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xl/pivotCache/pivotCacheRecords3.xml" ContentType="application/vnd.openxmlformats-officedocument.spreadsheetml.pivotCacheRecords+xml"/>
  <Override PartName="/xl/pivotCache/pivotCacheRecords4.xml" ContentType="application/vnd.openxmlformats-officedocument.spreadsheetml.pivotCacheRecords+xml"/>
  <Override PartName="/xl/pivotCache/pivotCacheRecords5.xml" ContentType="application/vnd.openxmlformats-officedocument.spreadsheetml.pivotCacheRecords+xml"/>
  <Override PartName="/xl/pivotCache/pivotCacheRecords6.xml" ContentType="application/vnd.openxmlformats-officedocument.spreadsheetml.pivotCacheRecords+xml"/>
  <Override PartName="/xl/pivotTables/pivotTable1.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sharedStrings.xml" ContentType="application/vnd.openxmlformats-officedocument.spreadsheetml.sharedString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00"/>
  </bookViews>
  <sheets>
    <sheet name="Registro de teleatendimento" sheetId="1" r:id="rId1"/>
    <sheet name="Notificação aos profissionais d" sheetId="2" r:id="rId2"/>
    <sheet name="Avaliação diária" sheetId="3" r:id="rId3"/>
    <sheet name="Dashboard" sheetId="4" r:id="rId4"/>
    <sheet name="Demanda Noturna" sheetId="5" r:id="rId5"/>
    <sheet name="LEGENDA" sheetId="6" r:id="rId6"/>
    <sheet name="Página15" sheetId="7" r:id="rId7"/>
    <sheet name="Página16" sheetId="8" r:id="rId8"/>
    <sheet name="Cadastro - Espelho (não editar)" sheetId="9" r:id="rId9"/>
    <sheet name="Dashboard DN" sheetId="10" r:id="rId10"/>
    <sheet name="Página8" sheetId="11" r:id="rId11"/>
    <sheet name="EventoSentinela" sheetId="12" state="hidden" r:id="rId12"/>
  </sheets>
  <definedNames>
    <definedName name="SlicerCache_Table_1_Col_10">#N/A</definedName>
    <definedName name="SlicerCache_Table_1_Col_14">#N/A</definedName>
    <definedName name="SlicerCache_Table_1_Col_21">#N/A</definedName>
    <definedName name="SlicerCache_Table_1_Col_24">#N/A</definedName>
    <definedName name="Z_0ED2982F_ECBB_42C5_889F_AC9C2970CFBA_.wvu.FilterData" localSheetId="0" hidden="1">'Registro de teleatendimento'!$A$1:$AH$5703</definedName>
    <definedName name="Z_0FD419F6_0B32_493F_9C0A_B591BDEFAB9E_.wvu.FilterData" localSheetId="0" hidden="1">'Registro de teleatendimento'!$A$1:$AH$5703</definedName>
    <definedName name="Z_273D72AF_73BC_44A3_9018_C66AFEA81757_.wvu.FilterData" localSheetId="0" hidden="1">'Registro de teleatendimento'!$A$1:$AH$1605</definedName>
    <definedName name="Z_307C25DC_C7DF_41B9_8134_689C45CA989E_.wvu.FilterData" localSheetId="0" hidden="1">'Registro de teleatendimento'!$A$1:$AH$4703</definedName>
    <definedName name="Z_38AE1E96_A1D5_4B20_B485_16B1B66D27F7_.wvu.FilterData" localSheetId="0" hidden="1">'Registro de teleatendimento'!$V$1:$V$4703</definedName>
    <definedName name="Z_406A547E_BA15_4AD5_8BFC_5FA7C8DC2C56_.wvu.FilterData" localSheetId="0" hidden="1">'Registro de teleatendimento'!$A$1:$AH$5703</definedName>
    <definedName name="Z_57082B1B_1301_42C6_B072_7F1E7C4F59F3_.wvu.FilterData" localSheetId="0" hidden="1">'Registro de teleatendimento'!$A$1:$AH$5703</definedName>
    <definedName name="Z_61794A7B_1CD1_4AD4_A487_2D713F610EB5_.wvu.FilterData" localSheetId="0" hidden="1">'Registro de teleatendimento'!$A$1:$AH$5703</definedName>
    <definedName name="Z_7E01EEAE_4860_4321_B905_E0A24A962C8B_.wvu.FilterData" localSheetId="0" hidden="1">'Registro de teleatendimento'!$A$1:$AH$3702</definedName>
    <definedName name="Z_9A9BF7C0_7EE5_4D01_8F0D_AD84B4CB5D68_.wvu.FilterData" localSheetId="0" hidden="1">'Registro de teleatendimento'!$A$1:$AH$2228</definedName>
    <definedName name="Z_9AA15DBA_215F_41F1_953B_B9F16BBFF479_.wvu.FilterData" localSheetId="0" hidden="1">'Registro de teleatendimento'!$A$1:$AK$4703</definedName>
    <definedName name="Z_B1B030FE_9153_44B5_BDA8_17E97194FF42_.wvu.FilterData" localSheetId="0" hidden="1">'Registro de teleatendimento'!$Y$3717</definedName>
    <definedName name="Z_B92ECD2B_E7A7_43A6_A809_FF98B059A86A_.wvu.FilterData" localSheetId="0" hidden="1">'Registro de teleatendimento'!$AH$3705</definedName>
    <definedName name="Z_D6E6366E_61EF_495D_9AE1_4F983961A368_.wvu.FilterData" localSheetId="0" hidden="1">'Registro de teleatendimento'!$A$1:$AH$4703</definedName>
    <definedName name="Z_EF7FAE0B_3171_46EB_9B66_0E7F6C993EFC_.wvu.FilterData" localSheetId="0" hidden="1">'Registro de teleatendimento'!$A$1:$AH$4703</definedName>
    <definedName name="Z_F2C0F0EB_F8AA_435A_A1AA_977B6491958F_.wvu.FilterData" localSheetId="0" hidden="1">'Registro de teleatendimento'!$A$1:$AH$5703</definedName>
    <definedName name="Z_FDC1E790_8841_406D_A565_B1B6F4582855_.wvu.FilterData" localSheetId="0" hidden="1">'Registro de teleatendimento'!$A$1:$Y$4703</definedName>
  </definedNames>
  <calcPr calcId="191029"/>
  <customWorkbookViews>
    <customWorkbookView name="LARISSA" guid="{0ED2982F-ECBB-42C5-889F-AC9C2970CFBA}" maximized="1" windowWidth="0" windowHeight="0" activeSheetId="0"/>
    <customWorkbookView name="Filtro 2" guid="{FDC1E790-8841-406D-A565-B1B6F4582855}" maximized="1" windowWidth="0" windowHeight="0" activeSheetId="0"/>
    <customWorkbookView name="TATYANA" guid="{9A9BF7C0-7EE5-4D01-8F0D-AD84B4CB5D68}" maximized="1" windowWidth="0" windowHeight="0" activeSheetId="0"/>
    <customWorkbookView name="THIAGO" guid="{38AE1E96-A1D5-4B20-B485-16B1B66D27F7}" maximized="1" windowWidth="0" windowHeight="0" activeSheetId="0"/>
    <customWorkbookView name="BEATRIZ" guid="{9AA15DBA-215F-41F1-953B-B9F16BBFF479}" maximized="1" windowWidth="0" windowHeight="0" activeSheetId="0"/>
    <customWorkbookView name="RHAYZA" guid="{D6E6366E-61EF-495D-9AE1-4F983961A368}" maximized="1" windowWidth="0" windowHeight="0" activeSheetId="0"/>
    <customWorkbookView name="TASSIA" guid="{273D72AF-73BC-44A3-9018-C66AFEA81757}" maximized="1" windowWidth="0" windowHeight="0" activeSheetId="0"/>
    <customWorkbookView name="ALANY" guid="{307C25DC-C7DF-41B9-8134-689C45CA989E}" maximized="1" windowWidth="0" windowHeight="0" activeSheetId="0"/>
    <customWorkbookView name="FABIANE" guid="{406A547E-BA15-4AD5-8BFC-5FA7C8DC2C56}" maximized="1" windowWidth="0" windowHeight="0" activeSheetId="0"/>
    <customWorkbookView name="MARIA JOANNA" guid="{0FD419F6-0B32-493F-9C0A-B591BDEFAB9E}" maximized="1" windowWidth="0" windowHeight="0" activeSheetId="0"/>
    <customWorkbookView name="MARTA" guid="{7E01EEAE-4860-4321-B905-E0A24A962C8B}" maximized="1" windowWidth="0" windowHeight="0" activeSheetId="0"/>
    <customWorkbookView name="JESSICA" guid="{57082B1B-1301-42C6-B072-7F1E7C4F59F3}" maximized="1" windowWidth="0" windowHeight="0" activeSheetId="0"/>
    <customWorkbookView name="IANNE" guid="{F2C0F0EB-F8AA-435A-A1AA-977B6491958F}" maximized="1" windowWidth="0" windowHeight="0" activeSheetId="0"/>
    <customWorkbookView name="CAMILLA" guid="{EF7FAE0B-3171-46EB-9B66-0E7F6C993EFC}" maximized="1" windowWidth="0" windowHeight="0" activeSheetId="0"/>
    <customWorkbookView name="LORENA" guid="{B1B030FE-9153-44B5-BDA8-17E97194FF42}" maximized="1" windowWidth="0" windowHeight="0" activeSheetId="0"/>
    <customWorkbookView name="LILIANA" guid="{61794A7B-1CD1-4AD4-A487-2D713F610EB5}" maximized="1" windowWidth="0" windowHeight="0" activeSheetId="0"/>
    <customWorkbookView name="DAMARTINE" guid="{B92ECD2B-E7A7-43A6-A809-FF98B059A86A}" maximized="1" windowWidth="0" windowHeight="0" activeSheetId="0"/>
  </customWorkbookViews>
  <pivotCaches>
    <pivotCache cacheId="0" r:id="rId16"/>
    <pivotCache cacheId="1" r:id="rId17"/>
    <pivotCache cacheId="2" r:id="rId18"/>
    <pivotCache cacheId="3" r:id="rId19"/>
    <pivotCache cacheId="4" r:id="rId20"/>
    <pivotCache cacheId="5" r:id="rId21"/>
  </pivotCaches>
  <extLst>
    <ext xmlns:x15="http://schemas.microsoft.com/office/spreadsheetml/2010/11/main" uri="{46BE6895-7355-4a93-B00E-2C351335B9C9}">
      <x15:slicerCaches xmlns:x14="http://schemas.microsoft.com/office/spreadsheetml/2009/9/main">
        <x14:slicerCache r:id="rId25"/>
        <x14:slicerCache r:id="rId24"/>
        <x14:slicerCache r:id="rId23"/>
        <x14:slicerCache r:id="rId22"/>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
  </authors>
  <commentList>
    <comment ref="C44" authorId="0">
      <text>
        <r>
          <rPr>
            <sz val="10"/>
            <color rgb="FF000000"/>
            <rFont val="Arial"/>
            <scheme val="minor"/>
            <charset val="1"/>
          </rPr>
          <t>O respondente atualizou este valor.</t>
        </r>
      </text>
    </comment>
    <comment ref="I472" authorId="0">
      <text>
        <r>
          <rPr>
            <sz val="10"/>
            <color rgb="FF000000"/>
            <rFont val="Arial"/>
            <scheme val="minor"/>
            <charset val="1"/>
          </rPr>
          <t>O respondente atualizou este valor.</t>
        </r>
      </text>
    </comment>
    <comment ref="Q472" authorId="0">
      <text>
        <r>
          <rPr>
            <sz val="10"/>
            <color rgb="FF000000"/>
            <rFont val="Arial"/>
            <scheme val="minor"/>
            <charset val="1"/>
          </rPr>
          <t>O respondente atualizou este valor.</t>
        </r>
      </text>
    </comment>
    <comment ref="K501" authorId="0">
      <text>
        <r>
          <rPr>
            <sz val="10"/>
            <color rgb="FF000000"/>
            <rFont val="Arial"/>
            <scheme val="minor"/>
            <charset val="1"/>
          </rPr>
          <t>O respondente atualizou este valor.</t>
        </r>
      </text>
    </comment>
    <comment ref="O501" authorId="0">
      <text>
        <r>
          <rPr>
            <sz val="10"/>
            <color rgb="FF000000"/>
            <rFont val="Arial"/>
            <scheme val="minor"/>
            <charset val="1"/>
          </rPr>
          <t>O respondente atualizou este valor.</t>
        </r>
      </text>
    </comment>
    <comment ref="P501" authorId="0">
      <text>
        <r>
          <rPr>
            <sz val="10"/>
            <color rgb="FF000000"/>
            <rFont val="Arial"/>
            <scheme val="minor"/>
            <charset val="1"/>
          </rPr>
          <t>O respondente atualizou este valor.</t>
        </r>
      </text>
    </comment>
    <comment ref="X1188" authorId="0">
      <text>
        <r>
          <rPr>
            <sz val="10"/>
            <color rgb="FF000000"/>
            <rFont val="Arial"/>
            <scheme val="minor"/>
            <charset val="1"/>
          </rPr>
          <t>O respondente atualizou este valor.</t>
        </r>
      </text>
    </comment>
    <comment ref="Y1188" authorId="0">
      <text>
        <r>
          <rPr>
            <sz val="10"/>
            <color rgb="FF000000"/>
            <rFont val="Arial"/>
            <scheme val="minor"/>
            <charset val="1"/>
          </rPr>
          <t>O respondente atualizou este valor.</t>
        </r>
      </text>
    </comment>
    <comment ref="E1237" authorId="0">
      <text>
        <r>
          <rPr>
            <sz val="10"/>
            <color rgb="FF000000"/>
            <rFont val="Arial"/>
            <scheme val="minor"/>
            <charset val="1"/>
          </rPr>
          <t>O respondente atualizou este valor.</t>
        </r>
      </text>
    </comment>
    <comment ref="E1255" authorId="0">
      <text>
        <r>
          <rPr>
            <sz val="10"/>
            <color rgb="FF000000"/>
            <rFont val="Arial"/>
            <scheme val="minor"/>
            <charset val="1"/>
          </rPr>
          <t>O respondente atualizou este valor.</t>
        </r>
      </text>
    </comment>
    <comment ref="U1255" authorId="0">
      <text>
        <r>
          <rPr>
            <sz val="10"/>
            <color rgb="FF000000"/>
            <rFont val="Arial"/>
            <scheme val="minor"/>
            <charset val="1"/>
          </rPr>
          <t>O respondente atualizou este valor.</t>
        </r>
      </text>
    </comment>
    <comment ref="V1255" authorId="0">
      <text>
        <r>
          <rPr>
            <sz val="10"/>
            <color rgb="FF000000"/>
            <rFont val="Arial"/>
            <scheme val="minor"/>
            <charset val="1"/>
          </rPr>
          <t>O respondente atualizou este valor.</t>
        </r>
      </text>
    </comment>
    <comment ref="V1559" authorId="0">
      <text>
        <r>
          <rPr>
            <sz val="10"/>
            <color rgb="FF000000"/>
            <rFont val="Arial"/>
            <scheme val="minor"/>
            <charset val="1"/>
          </rPr>
          <t>O respondente atualizou este valor.</t>
        </r>
      </text>
    </comment>
  </commentList>
</comments>
</file>

<file path=xl/sharedStrings.xml><?xml version="1.0" encoding="utf-8"?>
<sst xmlns="http://schemas.openxmlformats.org/spreadsheetml/2006/main" count="39161" uniqueCount="6735">
  <si>
    <t>Carimbo de data/hora</t>
  </si>
  <si>
    <t>Nome</t>
  </si>
  <si>
    <t>CPF</t>
  </si>
  <si>
    <t>CNS</t>
  </si>
  <si>
    <t>Link do atendimento no HopChat</t>
  </si>
  <si>
    <t>Mora em área de cobertura da ESF?</t>
  </si>
  <si>
    <t>Raça/cor</t>
  </si>
  <si>
    <t>Data de nascimento</t>
  </si>
  <si>
    <t>DUM</t>
  </si>
  <si>
    <t>Fase do ciclo gravídico</t>
  </si>
  <si>
    <t xml:space="preserve">Qual das situações abaixo foi a motivo da procura da gestante </t>
  </si>
  <si>
    <t xml:space="preserve">Qual o motivo da consulta </t>
  </si>
  <si>
    <t xml:space="preserve">Qual o motivo da procura pelo atende gestante? </t>
  </si>
  <si>
    <t>Tipo de atendimento realizado</t>
  </si>
  <si>
    <t>Neste momento, foi necessário converter para o atendimento presencial?</t>
  </si>
  <si>
    <t>Foi necessário encaminhamento para outro serviço?</t>
  </si>
  <si>
    <t>A condição gerou oferta de teleinterconsulta?</t>
  </si>
  <si>
    <t>Gestante já vinculada à APS?</t>
  </si>
  <si>
    <t>Gestante já vinculada à maternidade?</t>
  </si>
  <si>
    <t>Encaminhado para outro profissional do Telessaúde?</t>
  </si>
  <si>
    <t>Realizar telemonitoramento?</t>
  </si>
  <si>
    <t>Qual a data para realizar o telemonitoramento?</t>
  </si>
  <si>
    <t>O atendimento foi realizado por:</t>
  </si>
  <si>
    <t>Selecione o tipo de demanda</t>
  </si>
  <si>
    <t>Motivo de busca por atendimento no Atende Gestante</t>
  </si>
  <si>
    <t>Número WhatsApp</t>
  </si>
  <si>
    <t>Endereço de e-mail</t>
  </si>
  <si>
    <t>STATUS</t>
  </si>
  <si>
    <t>PROFISSIONAL QUE ATENDEU</t>
  </si>
  <si>
    <t>ENVIAR WHATSAPP?</t>
  </si>
  <si>
    <t>ENVIADO</t>
  </si>
  <si>
    <t>CONDUTA MONITORAMENTO 1</t>
  </si>
  <si>
    <t>CONDUTA MONITORAMENTO 2</t>
  </si>
  <si>
    <t>OBS</t>
  </si>
  <si>
    <t>DPP</t>
  </si>
  <si>
    <t>Teleconsulta pós lançamento</t>
  </si>
  <si>
    <t>Telemonitoramento efetivados pós lançamento</t>
  </si>
  <si>
    <t>Teletriagem pós lançamento</t>
  </si>
  <si>
    <t>Manuela Souza do Nascimento</t>
  </si>
  <si>
    <t>https://chat.brainyresolution.com/live/oSaHuaaqWPCwu9XH6</t>
  </si>
  <si>
    <t>Sim</t>
  </si>
  <si>
    <t>Branca</t>
  </si>
  <si>
    <t>Pré-natal</t>
  </si>
  <si>
    <t>Teleconsulta</t>
  </si>
  <si>
    <t>NÃO</t>
  </si>
  <si>
    <t>SIM</t>
  </si>
  <si>
    <t>Videochamada</t>
  </si>
  <si>
    <t>Dentro do horário da USF (segunda a sexta das 8h às 17h)</t>
  </si>
  <si>
    <t>Ausência de profissional assistente na sua unidade de saúde</t>
  </si>
  <si>
    <t>Atendimento realizado</t>
  </si>
  <si>
    <t>JOANNA</t>
  </si>
  <si>
    <t>Em casos de abortamento, aguardar por 4 semanas a partir da data de realização da USG; se não houver alterações em até 4 semanas ou se apresentar sinais de alerta, ir à maternidade.</t>
  </si>
  <si>
    <t>Ana Carolina Quirino da Silva</t>
  </si>
  <si>
    <t>https://chat.brainyresolution.com/omnichannel-directory/chats/info/kawrWMHt9gdgnMpc8</t>
  </si>
  <si>
    <t>Parda</t>
  </si>
  <si>
    <t>Pressão alta</t>
  </si>
  <si>
    <t>SIM, para Atenção Primária em Saúde</t>
  </si>
  <si>
    <t>Telefone</t>
  </si>
  <si>
    <t>Por escolha da usuária</t>
  </si>
  <si>
    <t>Não conseguiu contato. (Ianne)</t>
  </si>
  <si>
    <t>Foi atendida no PN da APS hoje, sem alterações de PA e sinais de premonitórios de PE. Próxima consulta agendada 07/12. IG=36s. Oriento acerca dos sinais de alerta/ir à urgência. (Joanna)</t>
  </si>
  <si>
    <t>Talita Silva de Lima</t>
  </si>
  <si>
    <t>https://chat.brainyresolution.com/live/eMevErRXvJJBeEN7H/room-info</t>
  </si>
  <si>
    <t>Cefaléia</t>
  </si>
  <si>
    <t>Teletriagem</t>
  </si>
  <si>
    <t>SIM: Urgência/ emergência</t>
  </si>
  <si>
    <t>SIM, para Maternidade</t>
  </si>
  <si>
    <t>Demanda noturna durante dias de semana (das 19h às 7h)</t>
  </si>
  <si>
    <t>Fora do dia ou horário de funcionamento da sua unidade de saúde</t>
  </si>
  <si>
    <t>Tentativa 1 de monitoramento sem sucesso</t>
  </si>
  <si>
    <t>Não atendeu às 12:30 (Tatyana)</t>
  </si>
  <si>
    <t>Monique Silva de Amorim</t>
  </si>
  <si>
    <t>09950658454</t>
  </si>
  <si>
    <t>https://chat.brainyresolution.com/live/RHHQobYjnMYfZsnSh</t>
  </si>
  <si>
    <t>Corrimento vaginal</t>
  </si>
  <si>
    <t>IANNE</t>
  </si>
  <si>
    <t xml:space="preserve">Não consegui contato (chamada desligada) </t>
  </si>
  <si>
    <t>ianne: Tentando ligar novamente 03/01 - desliga ligação</t>
  </si>
  <si>
    <t>Realizado telemonitoramento 03/01 as 15h. Encerrado do telemonitoramento</t>
  </si>
  <si>
    <t>Larissa Rayane de Santana Leite</t>
  </si>
  <si>
    <t>https://chat.brainyresolution.com/live/R4EejqGt6QdCLvade/user-info</t>
  </si>
  <si>
    <t>Trabalho de parto</t>
  </si>
  <si>
    <t>Falso trabalho de parto/ Contraçao de treinamento</t>
  </si>
  <si>
    <t>Não questionado</t>
  </si>
  <si>
    <t>CAMILLA</t>
  </si>
  <si>
    <t>(CAMILLA) Realizado telemonitoramento de gestante. Refere contrações irregulares no mesmo padrão que ontem, sem sinais de alerta. CD: oriento que busque unidade de saúde na presença de sinais de TP e/ou alerta; encorajo que compareça a consulta de pré-natal agendada para 06/01 e encerro telemonitoramento.</t>
  </si>
  <si>
    <t>Raissa Dayana Barbosa Santos</t>
  </si>
  <si>
    <t>https://chat.brainyresolution.com/live/sg2dcgrXH7yS9sL2a/room-info</t>
  </si>
  <si>
    <t>Preta</t>
  </si>
  <si>
    <t>23/07/2022</t>
  </si>
  <si>
    <t>Alteração de movimentos fetais</t>
  </si>
  <si>
    <t>tatyana.queiroz@recife.pe.gov.br</t>
  </si>
  <si>
    <t>TATYANA</t>
  </si>
  <si>
    <t xml:space="preserve">Realizado telemonitoramento de gestante, refere que apos a refeição os movimentos fetais foram bem evidenciados, sem sinais de alerta. Oriento procurar a APS em ate 48h para uma avalição do BCF e que iremos retornar o telemonitoramento na segunda 16/01/2023. oriento acerca dos sinais de alerta procurar uma emergência . </t>
  </si>
  <si>
    <t>23/07/2023</t>
  </si>
  <si>
    <t>Telemonitoramento</t>
  </si>
  <si>
    <t>SIM: Inadequação do ambiente virtual (ampliação do exame físico/ anamnese)</t>
  </si>
  <si>
    <t>Não se aplica</t>
  </si>
  <si>
    <t>Tentativa 2 de monitoramento sem sucesso</t>
  </si>
  <si>
    <t>Raissa Oliveira Silva</t>
  </si>
  <si>
    <t>https://chat.brainyresolution.com/live/hQujBEk7zZsnQY6M8/user-info</t>
  </si>
  <si>
    <t>13/05/2022</t>
  </si>
  <si>
    <t>Vinculação a maternidade</t>
  </si>
  <si>
    <t>larissa.oliveira@recife.pe.gov.br</t>
  </si>
  <si>
    <t>https://chat.brainyresolution.com/omnichannel-directory/chats/view/hGDZw5oKshnBhj9uN/room-info</t>
  </si>
  <si>
    <t>camilla.nascimento@recife.pe.gov.br</t>
  </si>
  <si>
    <t>LARISSA</t>
  </si>
  <si>
    <t>Paciente chorosa, com medo da dor do parto, não deseja ir para a maternidade hoje. Tentar novo contato as 10h.</t>
  </si>
  <si>
    <t>Realizado novo contato, paciente refere persistência da diminuição dos MF. Oriento ir para atendimento presencial imediatamente. Acolho queixa de medo da dor do TP e oriento sobre importância e ressignificação da dor no processo do nascimento. Explico sobre métodos de indução do TP. Monitoramento de acesso em 24h.</t>
  </si>
  <si>
    <t>Trabalho de parto com pródromos</t>
  </si>
  <si>
    <t>não se aplica</t>
  </si>
  <si>
    <t xml:space="preserve">Paciente na maternidade no momento, referiu que vai ser atendida agora pela obstetra. Oriento que a tarde entraremos em contato novamente, caso ela precise antes entrar em contato com o Atente gestante. </t>
  </si>
  <si>
    <t>14h paciente refere que esta aguardando internamento na maternidade Barros Lima. Nega queixas no momento e refere que medica do CISAM (atendimento realizado pela manha) informou que ela estava com 3cm. Informa que internamento na Barros Lima será devido idade gestacional. Tranquilizo a mesma sobre possibilidde de induçao do TP.</t>
  </si>
  <si>
    <t>ianne.oliveira@recife.pe.gov.br</t>
  </si>
  <si>
    <t>Segue sob cuidados na maternidade. Genitora da paciente informa que ela foi levada para realizar USG, segue aguardando nova avaliação. Obs: encontra-se sem internet, logo não não foi possível enviar link de avaliação do atendimento.</t>
  </si>
  <si>
    <t>maria.franca@recife.pe.gov.br</t>
  </si>
  <si>
    <t>Juliana dos Santos</t>
  </si>
  <si>
    <t>https://chat.brainyresolution.com/live/3x4FdDqutXMZ3mzLX</t>
  </si>
  <si>
    <t>31/05/2022</t>
  </si>
  <si>
    <t>Dúvida acerca de quando deveria ir à maternidade</t>
  </si>
  <si>
    <t>Gabriela Nunes Xavier</t>
  </si>
  <si>
    <t>05900599477</t>
  </si>
  <si>
    <t>https://chat.brainyresolution.com/live/BZuS5rFFnzPGWhJtv/room-info</t>
  </si>
  <si>
    <t>15/07/2022</t>
  </si>
  <si>
    <t>Sintomas gripais, cefaleia, dor em BV</t>
  </si>
  <si>
    <t xml:space="preserve">Encontra-se na Maternidade Barros Lima aguardando resultado de exames (EAS, Teste Covid, Hemograma). Refere que fez uso de Betametasona (amanhã será administrada outra dose), Buscopan e outra medicação (não sabe o nome). Apresenta melhora dos sintomas referidos, PA não estava alterada (não informou o valor), na admissão T = 37,7°C, dilatação cervical = 2 cm. Cd: Realizar telemonitoramento dia 20/03 (enviar histórico de atendimento para a usuária); Manter acompanhamento na APS (próxima consulta agendada para o dia 21/03).
</t>
  </si>
  <si>
    <t>Enfermeira da Unidade</t>
  </si>
  <si>
    <t>NÃO: Já está na maternidade</t>
  </si>
  <si>
    <t xml:space="preserve">Refere que após resultado dos exames (TR-Ag: negativo; EAS e hemograma: sem alterações) foi orientada a voltar para casa e retornar no sábado. No sábado recebeu a 2ª dose de Betametasona. Foi prescrito Loratadina 1x/dia e Dipirona. Refere piora do quadro clínico, pois continua com odinofagia intensa, febre, mialgia, dispneia leve, dificuldade para deambular. Oriento retornar para atendimento na urgência (Maternidade Barros Lima), porém, usuária informa que não irá porque foi classificada como verde e demorou muito para ser atendida. Reforço importância do atendimento na urgência em virtude da piora do quadro clínico e que ela também pode buscar atendimento em outro serviço próximo a sua residência (HAM ou CISAM). </t>
  </si>
  <si>
    <t>15/07/22</t>
  </si>
  <si>
    <t>Síndrome gripal (odinofagia, dispneia, febre, mialgia)</t>
  </si>
  <si>
    <t>Gestante, G3 PN2 A0, 35S4D, queixando-se de odinofagia, sem febre. Contrações esporádicas a cada 2 ou 3 horas sem perdas vaginais. Compareceu à consulta do pré-natal hoje. Oriento em caso de sinais de alerta e/ou de tp busque a maternidade mais próxima. Encerro monitoramento.</t>
  </si>
  <si>
    <t>Síndrome gripal, odinofagia</t>
  </si>
  <si>
    <t>Chrysline Pereira da Silva</t>
  </si>
  <si>
    <t>https://chat.brainyresolution.com/live/SzRui2rJbkkG4qYcP/room-info</t>
  </si>
  <si>
    <t>Amarela</t>
  </si>
  <si>
    <t>desconhecida</t>
  </si>
  <si>
    <t>sim</t>
  </si>
  <si>
    <t>Informa que foi atendida na Maternidade Barros Lima (05/04), diagnosticada com candidíase, prescrito creme vaginal 1x/noite por 10 dias (não sabe o nome). Ainda não iniciou o tratamento porque o PACS está fechado devido o feriado. Refere que corrimento diminuiu mesmo não tendo iniciado o tratamento. Nega outras queixas no momento. Cd: 1. Oriento iniciar o tratamento o mais rápido possível;  2. Informo acerca dos riscos associados a não realização do tratamento; 3. Oriento manutenção/início de pré natal em APS e sinais de alerta.</t>
  </si>
  <si>
    <t>https://meet.google.com/gsv-aoua-eyw</t>
  </si>
  <si>
    <t>2/1/0997</t>
  </si>
  <si>
    <t>16/08/2022</t>
  </si>
  <si>
    <t>Naiara Beatriz Pereira Rodrigues</t>
  </si>
  <si>
    <t>https://chat.brainyresolution.com/live/ZwvRgQfTJNn8GmhwN/room-info</t>
  </si>
  <si>
    <t>08/08/2022</t>
  </si>
  <si>
    <t>Inibição da lactação e laqueadura</t>
  </si>
  <si>
    <t>Marcela Lima dos Santos</t>
  </si>
  <si>
    <t>https://chat.brainyresolution.com/live/2rjPWWhBiQ2LyudK5/room-info</t>
  </si>
  <si>
    <t>26/01/2023</t>
  </si>
  <si>
    <t>Diarreia</t>
  </si>
  <si>
    <t xml:space="preserve">Paciente com melhora do quadro diarreeico, sem novos episodios nas ultimas 9h. </t>
  </si>
  <si>
    <t>https://chat.brainyresolution.com/live/fNXmckNHagPq5LMA8/room-info</t>
  </si>
  <si>
    <t>diarreia</t>
  </si>
  <si>
    <t>Kalyane Oliveira da Silva</t>
  </si>
  <si>
    <t>https://chat.brainyresolution.com/omnichannel-directory/chats/view/toynxpAG5WS8kcDLn/room-info</t>
  </si>
  <si>
    <t>Sangramento</t>
  </si>
  <si>
    <t>Demanda noturna em dias do final de semana ou feriado/ ponto facultativo</t>
  </si>
  <si>
    <t>Paciente recusou a ligação 2x</t>
  </si>
  <si>
    <t xml:space="preserve">Puérpera, no 3º DPO de cesariana, de alta há 24h. Bebê nasceu bem, dia 21/04 às 14:45, via cesariana devido a AP pélvica. </t>
  </si>
  <si>
    <t>https://chat.brainyresolution.com/live/tdqAkE6RRNay882hB/room-info</t>
  </si>
  <si>
    <t>sintomas gripais ( tosse, coriza, cefaleia)</t>
  </si>
  <si>
    <t>Telemonitoramento realizado por videochamada, paciente com sintomas gripais ( tosse, dor incomodo na garganta e secreção esverdiada, oriento atendimento presencial e realização do teste rapido.</t>
  </si>
  <si>
    <t xml:space="preserve">Agente de saúde; o PEC foi registrado pelo login do telessaude. </t>
  </si>
  <si>
    <t>https://chat.brainyresolution.com/live/9AP66FYnCtfQm8wYN/room-info</t>
  </si>
  <si>
    <t xml:space="preserve">SINTOMAS GRIPAIS </t>
  </si>
  <si>
    <t>Paciente relara que procurou atendimento presencial, porem nao realizou o TR, refere ainda melhora nos sintomas, oriento hidratação e manter o PN na APS e PNAR</t>
  </si>
  <si>
    <t>https://chat.brainyresolution.com/live/TR2pg3Fg2SWuDj2Ha/room-info</t>
  </si>
  <si>
    <t>SINTOMAS GRIPAIS</t>
  </si>
  <si>
    <t>Vitoria Conceicao Ferreira Bruno</t>
  </si>
  <si>
    <t>https://chat.brainyresolution.com/direct/NcmyoDSPPFwkbXMjAi2c2jSHZXRKjv2wQH</t>
  </si>
  <si>
    <t>30/09/2022</t>
  </si>
  <si>
    <t>Ana Alice dos Santos</t>
  </si>
  <si>
    <t>https://chat.brainyresolution.com/live/WZRRFcD538k9WGKko/room-info</t>
  </si>
  <si>
    <t>04/10/2022</t>
  </si>
  <si>
    <t>colicas</t>
  </si>
  <si>
    <t xml:space="preserve">Paciente nao atendeu o contato as 15:50 feito 3 tentativas </t>
  </si>
  <si>
    <t>Gestante atendeu a ligação às 17:15, mas disse que não foi à maternidade e que as cólicas cessaram, mas que a cefaleia forte permanece, mesmo após uso de diprona. Reforço a importância de buscar a emergência obstétrica hoje ou amanhã. Ciente do telemonitoramento.</t>
  </si>
  <si>
    <t>Enfermeira da unidade</t>
  </si>
  <si>
    <t>Mayara Jacinto de Araujo</t>
  </si>
  <si>
    <t>https://chat.brainyresolution.com/live/yJE3KBpPFuWoK5Jqq/user-info</t>
  </si>
  <si>
    <t>02/09/2022</t>
  </si>
  <si>
    <t xml:space="preserve">09/05: O celular da gestante está com o companheiro e ele só encontrará com ela a partir do meio dia. </t>
  </si>
  <si>
    <t>Vanessa Milena Maria da Silva</t>
  </si>
  <si>
    <t>https://chat.brainyresolution.com/live/zg7BGnnX9biG4eXHg/room-info</t>
  </si>
  <si>
    <t>02/09/2023</t>
  </si>
  <si>
    <t>Não conseguiu atendimento na sua unidade de saúde</t>
  </si>
  <si>
    <t xml:space="preserve">11/05 telefone nao completa a ligação </t>
  </si>
  <si>
    <t>Amizaday da Silva Leite</t>
  </si>
  <si>
    <t>https://chat.brainyresolution.com/live/gSjeKvzfTmmpKo4iE</t>
  </si>
  <si>
    <t>Ignorado</t>
  </si>
  <si>
    <t>16/09/2022</t>
  </si>
  <si>
    <t>Dúvida sobre o trabalho de parto</t>
  </si>
  <si>
    <t>HopChat</t>
  </si>
  <si>
    <t>22/05 (Lari) Não realizado telemoniotamento</t>
  </si>
  <si>
    <t>Foi ofertado TINC, porém não foi enviado a notificação de atendimento para o profissional (DS VII) visto que estamos aguardando confirmação de como será a notificação para os profissionais dos demais DS</t>
  </si>
  <si>
    <t>Maria de Fatima da Silva</t>
  </si>
  <si>
    <t>https://chat.brainyresolution.com/live/XF24tizPDv6cjkBwy/room-info</t>
  </si>
  <si>
    <t>04/09/2022</t>
  </si>
  <si>
    <t>LANÇAMENTO</t>
  </si>
  <si>
    <t>Yane Pereira dos Santos</t>
  </si>
  <si>
    <t>https://chat.brainyresolution.com/live/4eTxKvQrKCaRwyxdv/user-info</t>
  </si>
  <si>
    <t>28/08/2022</t>
  </si>
  <si>
    <t>Dor pélvica</t>
  </si>
  <si>
    <t>Fora do horário da USF mas de segunda a sexta das 7h-8h ou 17h às 19h</t>
  </si>
  <si>
    <t xml:space="preserve">Ilana de Almeida Albuquerque </t>
  </si>
  <si>
    <t>https://chat.brainyresolution.com/live/wonJaXmXRfgsP7vsh/user-info</t>
  </si>
  <si>
    <t>25/08/2022</t>
  </si>
  <si>
    <t>Apresentação córmica/transversa</t>
  </si>
  <si>
    <t>31/05 (Taty): Tentativa de monitoramento sem sucesso, paciente nao se encontrava, quem atendeu solicitou ligar mais tarde. Joanna: Realizo nova tentativa de contato, porém sem sucesso (17h51)</t>
  </si>
  <si>
    <t>ficou sabendo pela propaganda</t>
  </si>
  <si>
    <t>Deysiane Kiurenia dos Santos</t>
  </si>
  <si>
    <t>https://chat-conecta.recife.pe.gov.br/live/tc7yhyRfyPSpifvdL/room-info</t>
  </si>
  <si>
    <t>17/11/22</t>
  </si>
  <si>
    <t>Nega novos episódios de sangramento (último ontem pela manhã). Oriento acerca dos sinais de alerta.</t>
  </si>
  <si>
    <t>Gestante de rede privada - Hapvida</t>
  </si>
  <si>
    <t>Leticia de Oliveira</t>
  </si>
  <si>
    <t>https://chat-conecta.recife.pe.gov.br/live/K9x8cfu5YLXkeh6Pg/room-info</t>
  </si>
  <si>
    <t>Não</t>
  </si>
  <si>
    <t>17/03/2023</t>
  </si>
  <si>
    <t>Dúvida sobre via de parto</t>
  </si>
  <si>
    <t>MARIANA</t>
  </si>
  <si>
    <t>(Mariana) Orientado ir para Maternidade Arnaldo Marques devido cefáleia persistente, monitoramento ainda hoje</t>
  </si>
  <si>
    <t>Viviane de Almeida Costa</t>
  </si>
  <si>
    <t>05341859405</t>
  </si>
  <si>
    <t>https://chat-conecta.recife.pe.gov.br/live/nJ4jdQ7qATeuSWxdh</t>
  </si>
  <si>
    <t>Sim, ESF Incompleta (PACs/EACs)</t>
  </si>
  <si>
    <t>01/02/2023</t>
  </si>
  <si>
    <t>Sintomas gripais</t>
  </si>
  <si>
    <t xml:space="preserve">Refere que não foi à US. Mantenho conduta anterior. </t>
  </si>
  <si>
    <t>Faz PN CS Olinto - Lessa de Andrade</t>
  </si>
  <si>
    <t xml:space="preserve">Walenia Gabriele Neves de Melo </t>
  </si>
  <si>
    <t>https://chat-conecta.recife.pe.gov.br/live/XvxPADcFyL7YaArGz/user-info</t>
  </si>
  <si>
    <t>mariana.sodre@recife.pe.gov.br</t>
  </si>
  <si>
    <t>Usuária entrou como demanda espontânea em 01\06</t>
  </si>
  <si>
    <t>Debora Dayane da Costa Marques</t>
  </si>
  <si>
    <t>https://chat-conecta.recife.pe.gov.br/omnichannel-directory/chats/view/H2DKwQFYFdr4FJSJu/room-info</t>
  </si>
  <si>
    <t>01/05/2023</t>
  </si>
  <si>
    <t xml:space="preserve">beta HCG reagente </t>
  </si>
  <si>
    <t xml:space="preserve">(taty), consulta esta marcada para 06/06, troco esquema de ATB para ITU, uma vez que apaciente parou  o tratamento devido queixas de evento adverso e inicio acido folico </t>
  </si>
  <si>
    <t>https://chat-conecta.recife.pe.gov.br/live/r8GYqAr5E6vgwGWPT/room-info</t>
  </si>
  <si>
    <t>17/11/2022</t>
  </si>
  <si>
    <t>https://chat-conecta.recife.pe.gov.br/live/FbCjkvxHiN6u2HXZ9</t>
  </si>
  <si>
    <t>Tentar novamente dia 02/06</t>
  </si>
  <si>
    <t>Georgia Gomes da Cruz</t>
  </si>
  <si>
    <t>04802254431</t>
  </si>
  <si>
    <t>https://chat-conecta.recife.pe.gov.br/live/GExhGdmArLMGz4T4s/user-info</t>
  </si>
  <si>
    <t>10/04/2023</t>
  </si>
  <si>
    <t>(Lari) Tento contato telefônico sem sucesso.</t>
  </si>
  <si>
    <t xml:space="preserve">Refere que foi à urgência ontem devido aumento do sangramento. Prescrito Utrogestan. </t>
  </si>
  <si>
    <t>Gestante de rede privada. Sobre monitoramento, quando for identificado indicação de monitoramento que não esteja enquadrado dentro do fluxo, deixar registrado o motivo do monitoramento.</t>
  </si>
  <si>
    <t>Walenia Gabriele Neves de Melo</t>
  </si>
  <si>
    <t>https://chat-conecta.recife.pe.gov.br/omnichannel-directory/chats/view/7yudWDbkYwvLd3aDM/room-info</t>
  </si>
  <si>
    <t>DESCONHECIDA</t>
  </si>
  <si>
    <t xml:space="preserve"> Não tenho sintomas, mas estou com 40 semanas ou mais</t>
  </si>
  <si>
    <t>(lari) Telefone não completa ligação</t>
  </si>
  <si>
    <t>https://chat-conecta.recife.pe.gov.br/live/vCxRg8QAX4EuT3Pzp/room-info</t>
  </si>
  <si>
    <t>THIAGO</t>
  </si>
  <si>
    <t>Ligar às 17h</t>
  </si>
  <si>
    <t>Chirle da Silva Osorio</t>
  </si>
  <si>
    <t>04987045486</t>
  </si>
  <si>
    <t>https://chat-conecta.recife.pe.gov.br/live/AZFq3X5YQxP6nJjR4/user-info</t>
  </si>
  <si>
    <t>15/03/2023</t>
  </si>
  <si>
    <t>gravidez não confirmada</t>
  </si>
  <si>
    <t>- Oriento repetir TR-gravidez, se positivo agendar consulta de pré-natal na US de referência ( US 108 CS Boa Vista); 
- Informo que após parar o uso do anticoncepcional, bem como após uso da anticoncepção de emergência, pode acontecer irregularidade menstrual. Recomendo buscar serviço de referência para avaliação e orientações acerca dos métodos contraceptivos (planejamento reprodutivo);
- Oriento medidas não farmacológicas para alivio da náusea e higiene do sono;
- Oriento que se confirmada a gravidez e presença de dúvidas ou sintomas, entrar em contato com o Atende gestante novamente.</t>
  </si>
  <si>
    <t>Luana Pereira da Silva</t>
  </si>
  <si>
    <t>07063328492</t>
  </si>
  <si>
    <t>https://chat-conecta.recife.pe.gov.br/live/oJmefQpZ72YGkLRno/user-info</t>
  </si>
  <si>
    <t>19/10/2022</t>
  </si>
  <si>
    <t xml:space="preserve">Foi à Maternidade Barros Lima, descartado TPP. Oriento acerca dos sinais de alerta. </t>
  </si>
  <si>
    <t>Fernanda Bezerra da Silva Gabú</t>
  </si>
  <si>
    <t>https://chat-conecta.recife.pe.gov.br/live/m7tTT344KD5QpMsFT</t>
  </si>
  <si>
    <t xml:space="preserve"> 07/10/2022</t>
  </si>
  <si>
    <t>Eliminação de vermes pelas fezes + sangramento anal espontâneo</t>
  </si>
  <si>
    <t>thiagojas13@gmail.com</t>
  </si>
  <si>
    <t>ELAINE</t>
  </si>
  <si>
    <t>Não podia atender no momento do contato, pediu pra retornar no turno da tarde (monitoramento realizado por Elaine Carmo)</t>
  </si>
  <si>
    <t>Queixas: Prurido anal a noite, presença de vermes pequenos e de cor branca em região anal e peças íntimas. 
História da doença atual: Gestante refere ter realizado tratamento para verminose com albendazol 400mg, dose única, em março/2023. Apresentou melhora dos sintomas, mas que há aproximadamente 15 dias os sintomas sugestivos de oxiuríase retornaram. É a única pessoa da família a manifestar os sintomas.
Ontem apresentou sangramento retal e um ''botão'' no ânus, mas já apresenta melhora, com ausência do sangramento. Sendo assim não compareceu a emergência obstétrica por decisão pessoal.
Discuto caso com médica Tássia do Atende Gestante para condução clínica do tratamento para a gestante e familiares. Optamos por compartilhar atendimento com a Obstetra Ianne, tendo em vista o ciclo biológico do helminto e sugerimos a possibilidade de repetir a dose da medicação com 14 dias.</t>
  </si>
  <si>
    <t>https://chat-conecta.recife.pe.gov.br/omnichannel-directory/chats/view/xQwY8BrgnREaYNKnH/room-info</t>
  </si>
  <si>
    <t>betaHCG reagente</t>
  </si>
  <si>
    <t>Rayssa Luanna da Silva Costa</t>
  </si>
  <si>
    <t>https://chat-conecta.recife.pe.gov.br/omnichannel-directory/chats/view/DLdEmDNTaYZwdNeMq/room-info</t>
  </si>
  <si>
    <t>19/12/2022</t>
  </si>
  <si>
    <t>Queixas urinárias</t>
  </si>
  <si>
    <t>(Taty) tento monitoramento s/sucesso as 08:36/ 11:16</t>
  </si>
  <si>
    <t>(Thiago) tentativa às 16:20</t>
  </si>
  <si>
    <t>Não foi enviado notificação para o profissional de referência porque na planilha de cadastro não tem contato</t>
  </si>
  <si>
    <t>https://chat-conecta.recife.pe.gov.br/live/NQbfS6WNadhMv7Lvi</t>
  </si>
  <si>
    <t xml:space="preserve"> 01/02/2023</t>
  </si>
  <si>
    <t xml:space="preserve">(Thiago ) Tento monitoramento s/ sucesso as 08:39 </t>
  </si>
  <si>
    <t>(Taty) Monitoramento realizado, paciente ainda permanece com sintomatologia, TR negativo , conforme o protocolo mantenho o monitoramento</t>
  </si>
  <si>
    <t>https://chat-conecta.recife.pe.gov.br/live/FYNZ8GxosgEY7h7gr/room-info</t>
  </si>
  <si>
    <t>https://chat-conecta.recife.pe.gov.br/live/ex4f6BrKHj6AMiKL6</t>
  </si>
  <si>
    <t>Tento contato com a paciente para realizar monitoramento e a mesma solicita novo contato contato amanhã. Está em processo de abortamento</t>
  </si>
  <si>
    <t>https://chat-conecta.recife.pe.gov.br/live/oZD3tEm2dewzRYo5b/room-info</t>
  </si>
  <si>
    <t>07/10/2022</t>
  </si>
  <si>
    <t>Prurido anal, verminose</t>
  </si>
  <si>
    <t>eo.elainecarmo@gmail.com</t>
  </si>
  <si>
    <t>(Ianne)Realizo teleinterconsulta com enf Rose martins, orientado sobre tratamento adequado com albendazol para paciente e familiares (que moram na mesma casa). Consulta de pre natal amanha.</t>
  </si>
  <si>
    <t>Paciente teve consulta em prenatal e realizado prescriçao de albendazol dia 06/06 por enf rose (PEC)</t>
  </si>
  <si>
    <t>Ruth Crislayne Araujo dos Santos</t>
  </si>
  <si>
    <t>https://chat-conecta.recife.pe.gov.br/live/TfEbcpRTPmbmye8Yy/room-info</t>
  </si>
  <si>
    <t>04/02/2023</t>
  </si>
  <si>
    <t>Falta de ar</t>
  </si>
  <si>
    <t>Fora do horário da USF (finais de semana ou feriado/ponto facultativo 07 as 19h)</t>
  </si>
  <si>
    <t>(Thiago) Ligar mais tarde; nova tentativa às 11:15</t>
  </si>
  <si>
    <t>(Thiago) Refere melhora do quadro viral; informa que foi para atendimento; oriento realização do teste covid-19. Mantenho monitoramento com 48h seguindo protocolo de sindrome gripal</t>
  </si>
  <si>
    <t>Betania Maria dos Santos de Freitas</t>
  </si>
  <si>
    <t>04393038428</t>
  </si>
  <si>
    <t>https://chat-conecta.recife.pe.gov.br/live/cpKGT2actWvgBvvby</t>
  </si>
  <si>
    <t>28/03/2023</t>
  </si>
  <si>
    <t>https://chat-conecta.recife.pe.gov.br/live/Y77u9kyncEyGyLtry/user-info</t>
  </si>
  <si>
    <t xml:space="preserve">síndrome gripal </t>
  </si>
  <si>
    <t>(taty) tentativa de monitoramento sem sucesso as 16:30)</t>
  </si>
  <si>
    <t>(taty) tentativa de monitoramento sem sucesso as 16:50)</t>
  </si>
  <si>
    <t>( ianne) 10h50 Ligo 3 x, nao atendeu</t>
  </si>
  <si>
    <t>LIDIA TARCIANA SANTOS DA PAZ</t>
  </si>
  <si>
    <t>09344287430</t>
  </si>
  <si>
    <t>https://chat-conecta.recife.pe.gov.br/live/CsjDjX9HzaXgxEpKB/user-info</t>
  </si>
  <si>
    <t xml:space="preserve"> 31/10/2022</t>
  </si>
  <si>
    <t>Sintomas Gripais</t>
  </si>
  <si>
    <t>Foi à urgência da Unimed, refere melhora progressiva, porém ainda com tosse. Oriento acerca dos sinais de alerta.</t>
  </si>
  <si>
    <t>Rede Privada</t>
  </si>
  <si>
    <t>CAMILA MARIA DE LIMA</t>
  </si>
  <si>
    <t>08010319406</t>
  </si>
  <si>
    <t>https://chat-conecta.recife.pe.gov.br/omnichannel-directory/chats/view/yhBwZiHX4cGdiZMvb/room-info</t>
  </si>
  <si>
    <t>02/08/2022</t>
  </si>
  <si>
    <t>Paciene avaliada ontem na maternidade, prescrito amoxicilina por sinusite. Encerro monitoramento. Seguira em PN de risco habitual.</t>
  </si>
  <si>
    <t>Veronica Thais Goncalves Pereira dos Santos</t>
  </si>
  <si>
    <t>https://chat-conecta.recife.pe.gov.br/omnichannel-directory/chats/view/eaPcuyrRqaprkDNxm/room-info</t>
  </si>
  <si>
    <t>15/11/2022</t>
  </si>
  <si>
    <t>Dores tipo cólica e contrações.</t>
  </si>
  <si>
    <t>Paciente sem queixas no momento. Atendida e avaliada na Arnardo, conforme orientado, sem contrações e colo fechado.</t>
  </si>
  <si>
    <t xml:space="preserve">Amanda Mayara dos Santos </t>
  </si>
  <si>
    <t>https://chat-conecta.recife.pe.gov.br/live/zDPkLKrhgKt7S55iC/room-info</t>
  </si>
  <si>
    <t>10/01/2023</t>
  </si>
  <si>
    <t xml:space="preserve">Gestante nega queixas no momento. Segue aguardando agendamento de exames laboratoriais para investigação de trombofilia. </t>
  </si>
  <si>
    <t>Apoio emocional: refere muito medo de uma nova perda gestacional, considerando que teve 3 perdas anteriores a esta gestação.</t>
  </si>
  <si>
    <t>Andreza Maria da Silva</t>
  </si>
  <si>
    <t>https://chat-conecta.recife.pe.gov.br/live/x28P4PWmRojNQikS6/user-info</t>
  </si>
  <si>
    <t>08/02/2023</t>
  </si>
  <si>
    <t>Estephanne Vitoria da Silva</t>
  </si>
  <si>
    <t>https://chat-conecta.recife.pe.gov.br/live/wkcmmXdmRLXWGugZb</t>
  </si>
  <si>
    <t>28/12/2022</t>
  </si>
  <si>
    <t>Ana Clecia de Lima Feitosa</t>
  </si>
  <si>
    <t>https://chat-conecta.recife.pe.gov.br/live/finCCwKsqZPbmJ2bQ/room-info</t>
  </si>
  <si>
    <t>18/12/2022</t>
  </si>
  <si>
    <t>Jeanine Nathalia Leopoldo da Silva</t>
  </si>
  <si>
    <t>https://chat-conecta.recife.pe.gov.br/live/2uiSoMF78jfAGTzEa/room-info</t>
  </si>
  <si>
    <t>05/09/2022</t>
  </si>
  <si>
    <t>BR?</t>
  </si>
  <si>
    <t>(ianne) 11h ligo 3x, não atendeu</t>
  </si>
  <si>
    <t xml:space="preserve">(taty) paciente refere diminuição nos MF, apos mobilogarma (2 em 1h), com perca de muco e dor lombar; encaminho para atendimento presencial na maternidade bandeira filho </t>
  </si>
  <si>
    <t>Maria Claudineide Barros de Albuquerque</t>
  </si>
  <si>
    <t>07907825458</t>
  </si>
  <si>
    <t>https://chat-conecta.recife.pe.gov.br/omnichannel-directory/chats/view/8eDptj7MtWfwXnktN/room-info</t>
  </si>
  <si>
    <t>05/10/2022</t>
  </si>
  <si>
    <t>Perda de líquido</t>
  </si>
  <si>
    <t>Foi atendida na maternidade, colo fechado , conseguiu marcar consulta de PN para 15/06/2023, oriento repouso, ingesta liquida e acerca dos sinais de alerta.</t>
  </si>
  <si>
    <t>Isabella Albuquerque Jardim</t>
  </si>
  <si>
    <t>09744242426</t>
  </si>
  <si>
    <t>https://chat-conecta.recife.pe.gov.br/live/GC2A2Bx63DWyKBpPT/room-info</t>
  </si>
  <si>
    <t>28/01/2023</t>
  </si>
  <si>
    <t xml:space="preserve">Foi atendida na USF (06/06). Nega sinais de alerta. Mantém sintomatologia. Oriento ID, sinais de alerta, telemonitoramento, realizar TR-Ag amanhã. </t>
  </si>
  <si>
    <t>Aline Rafaela Andrade da Silva</t>
  </si>
  <si>
    <t>https://chat-conecta.recife.pe.gov.br/live/kuAHAa6sTDqf6Hjv9/user-info</t>
  </si>
  <si>
    <t>duvidas sobre quando ir para maternidade e sobre continuidade do pré natal</t>
  </si>
  <si>
    <t>Monitorar final da tarde, tem consulta no pre natal as 13h- para checar se teve consulta. Paciente necessita de apoiio emocional ( historia traumatica em parto anterior</t>
  </si>
  <si>
    <t>Mycherlane Melquiades da Silva</t>
  </si>
  <si>
    <t>https://chat-conecta.recife.pe.gov.br/live/Z5RvYzE5TqtoAFJYq/room-info</t>
  </si>
  <si>
    <t>16/02/2023</t>
  </si>
  <si>
    <t>Foi atendida na Maternidade Arnaldo Marques, exames sem alterações. Oriento acerca dos sinais de alerta.</t>
  </si>
  <si>
    <t>https://chat-conecta.recife.pe.gov.br/live/frntm4cDAYoff8Dq5/room-info</t>
  </si>
  <si>
    <t>15/11/2023</t>
  </si>
  <si>
    <t>Rosangela Jose de Franca</t>
  </si>
  <si>
    <t>09778988498</t>
  </si>
  <si>
    <t>https://chat-conecta.recife.pe.gov.br/live/EpkudacecCCWuf57s</t>
  </si>
  <si>
    <t>JEANINE NATHALIA LEOPOLDO DA SILVA</t>
  </si>
  <si>
    <t>https://chat-conecta.recife.pe.gov.br/live/BfweEdCAe3zZDSLdw/room-info</t>
  </si>
  <si>
    <t>(taty) paciente submetida pc, puerpera e rn se encotram bem</t>
  </si>
  <si>
    <t>05141053482</t>
  </si>
  <si>
    <t>https://chat-conecta.recife.pe.gov.br/live/8HPGWLKvp9rrRYk9j/room-info</t>
  </si>
  <si>
    <t>anamacintra@gmail.com</t>
  </si>
  <si>
    <t>(ianne) Relata que foi na maternidade Arnaldo Marques ontem a noite e hoje pela manha,  liberada apos avaliaçao medica devido a "inicio de trabalho de parto, ainda com 4cm. contraçoes a noite estavam mais intensas, que diminuiram mais agora pela manha. Refere cansada por não ter dormido a  noite. Refere boa movimentaçao fetal e nega novas queixas. Oriento  retornar para maternidade a tarde para reavaliaçao/Informo sobre telemonitoramento amanha a tarde</t>
  </si>
  <si>
    <t>Amanda Mayara dos Santos</t>
  </si>
  <si>
    <t>https://chat-conecta.recife.pe.gov.br/live/5XL97kRchTiKAJgT7/room-info</t>
  </si>
  <si>
    <t>cólica</t>
  </si>
  <si>
    <t>Apoio Emocional</t>
  </si>
  <si>
    <t>Magda Laiz de Oliveira Silva</t>
  </si>
  <si>
    <t>09359835463</t>
  </si>
  <si>
    <t>https://chat-conecta.recife.pe.gov.br/live/gRA7GCfTniLJPQuxc/user-info</t>
  </si>
  <si>
    <t>26/12/2022</t>
  </si>
  <si>
    <t>Dor de gengiva/ inflamação de gengiva</t>
  </si>
  <si>
    <t>Foi à US hoje, prescrito ATB (iniciou uso) e encaminhada para consulta odontológica (aguarda agendamento).</t>
  </si>
  <si>
    <t>Sarah Vitoria Cosme da Rocha</t>
  </si>
  <si>
    <t>https://chat-conecta.recife.pe.gov.br/live/uQARBG4WKpjsLCPtj/user-info</t>
  </si>
  <si>
    <t>15/02/2023</t>
  </si>
  <si>
    <t>Danielly Ingrid Bione de Lima</t>
  </si>
  <si>
    <t>https://chat-conecta.recife.pe.gov.br/live/rEYfbGbTCzgRRy447</t>
  </si>
  <si>
    <t>19/02/2023</t>
  </si>
  <si>
    <t>Náuseas e ou vômitos</t>
  </si>
  <si>
    <t xml:space="preserve">paciente nao respondeu ao comando </t>
  </si>
  <si>
    <t>09/06 (Lari) Paciente não atendeu as 16h</t>
  </si>
  <si>
    <t>https://chat-conecta.recife.pe.gov.br/live/exuY3k2bd2X29YmQE/room-info</t>
  </si>
  <si>
    <t>PN sem intercorrências na Maternidade Bandeira Filho</t>
  </si>
  <si>
    <t xml:space="preserve">Joanna: Registro atendimento realizado por Eliane, visto que ela não consegue editar a planilha. </t>
  </si>
  <si>
    <t>https://chat-conecta.recife.pe.gov.br/live/2NQsqaEW9EeFvpeGm/room-info</t>
  </si>
  <si>
    <t>Lidia Tarciana Santos da Paz</t>
  </si>
  <si>
    <t>31/10/2022</t>
  </si>
  <si>
    <t>Leticia Luany de Carvalho da Silva</t>
  </si>
  <si>
    <t>https://chat-conecta.recife.pe.gov.br/live/8cKNa3qZTWKCPSnuE/room-info</t>
  </si>
  <si>
    <t>21/01/2023</t>
  </si>
  <si>
    <t xml:space="preserve">thiago (09:12 )  paciente melhora dos sistomas da itu e leucorreia , porem apresentou queixas de emese e diarreia nonitora a tarde . </t>
  </si>
  <si>
    <t>Maria Alice de Oliveira Barbosa Leal</t>
  </si>
  <si>
    <t>08608151456</t>
  </si>
  <si>
    <t>https://chat-conecta.recife.pe.gov.br/live/ZeKBknwMJAZ4ZQEFX/room-info</t>
  </si>
  <si>
    <t>20/04/2023</t>
  </si>
  <si>
    <t xml:space="preserve">gestante solicita ligação as 10h </t>
  </si>
  <si>
    <t>09/06 (Lari) Paciente não atendeu as 16h30</t>
  </si>
  <si>
    <t>Alyne Souza dos Santos</t>
  </si>
  <si>
    <t>https://chat-conecta.recife.pe.gov.br/live/kjRApqcgvdfwuZWHY</t>
  </si>
  <si>
    <t>08/09/2022</t>
  </si>
  <si>
    <t>Contrações indolores</t>
  </si>
  <si>
    <t>Natacha Rodrigues de Farias</t>
  </si>
  <si>
    <t>https://chat-conecta.recife.pe.gov.br/live/EQFM9hG6ak3RjCs7c/room-info</t>
  </si>
  <si>
    <t>02/04/2023</t>
  </si>
  <si>
    <t>Camila Maria de Lima</t>
  </si>
  <si>
    <t>https://chat-conecta.recife.pe.gov.br/omnichannel-directory/chats/view/hZnXy5uvovXEvM6GZ/room-info</t>
  </si>
  <si>
    <t>Síndrome gripal</t>
  </si>
  <si>
    <t>Dor/ inflamação na gengiva</t>
  </si>
  <si>
    <t>Refere melhora do edema e secreção na gengiva. Está no 3º dia de tto com Amoxicilina.</t>
  </si>
  <si>
    <t>Riromia Pereira Juvenal</t>
  </si>
  <si>
    <t>06810407421</t>
  </si>
  <si>
    <t>https://chat-conecta.recife.pe.gov.br/live/SnDn2iBGkS77jCQSs</t>
  </si>
  <si>
    <t>29/10/2022</t>
  </si>
  <si>
    <t>Não foi à maternidade, pois refere que apresentou melhora dos sintomas. Reforço importância do atendimento presencial. Oriento buscar atendimento na maternidade (hoje) se piora ou presença de sinais de alerta. Encaminho à USF para reagendamento do PN + avaliação clínica (09/06).</t>
  </si>
  <si>
    <t>3/17/1195</t>
  </si>
  <si>
    <t>(Joanna)  Sem sucesso às 08h</t>
  </si>
  <si>
    <t>(Marcia) Sem sucesso às 17:36</t>
  </si>
  <si>
    <t>Puerpério</t>
  </si>
  <si>
    <t>Consulta puerperal</t>
  </si>
  <si>
    <t xml:space="preserve">(Joanna) </t>
  </si>
  <si>
    <t>(Joanna) Não foi ao atendimento presencial. Mantém coriza; não realizou TR-Ag; Oriento ir ao CS para agendar PNAR, fazer avaliação e rrealizar TR-Ag, se dispoível no serviço.</t>
  </si>
  <si>
    <t>Ana Gabriela Antonio do Nascimento</t>
  </si>
  <si>
    <t>https://chat-conecta.recife.pe.gov.br/live/j2MSBLTnhCSXXAqr7/room-info</t>
  </si>
  <si>
    <t xml:space="preserve">solicito que gestante realize teste do covid e busque atendimento presencial, como orientado no atendimento anterior, permanece coriza e tosse </t>
  </si>
  <si>
    <t>Foi encaminhada ao SPA da Barros Lima (Marta 10/06 - faz PN no Hapvida)</t>
  </si>
  <si>
    <t>Laís Viana Dias</t>
  </si>
  <si>
    <t>https://chat-conecta.recife.pe.gov.br/live/X6i49KmzJFA6zm4A3#&amp;gid=1&amp;pid=3</t>
  </si>
  <si>
    <t>DUM desconhecida</t>
  </si>
  <si>
    <t>Dúvida acerca da USG morfológica</t>
  </si>
  <si>
    <t>MARCIA</t>
  </si>
  <si>
    <t>(Marcia) Orienta buscar a unidade de saúde para avaliação/realizar telemonitoramento dia 13/06</t>
  </si>
  <si>
    <t>Thatyana Karla Nascimento Tenorio</t>
  </si>
  <si>
    <t>09147189401</t>
  </si>
  <si>
    <t>https://chat-conecta.recife.pe.gov.br/live/JaNrq26cFqnvbdMaf</t>
  </si>
  <si>
    <t>Exames laboratoriais alterados: Glicemia; TR/VDRL; Urocultura; Hb; outros)</t>
  </si>
  <si>
    <t>(Joanna) Ligar para número da Mãe 81984896307, telefone não recebe chamda</t>
  </si>
  <si>
    <t xml:space="preserve">(Joanna) Tentativa às 14h / Aguarda lab 3º trimestre </t>
  </si>
  <si>
    <t xml:space="preserve">(MARCIA) Entra em contato com o número disponibilizado, pessoa (Andrea) informa que ela saiu e não consegue atender hoje. Oriento que caso necessite de atendimento novamante ela entra em contato pelo Atende Gestante. </t>
  </si>
  <si>
    <t>Janicleide Barbosa Cavalcanti</t>
  </si>
  <si>
    <t>01485735416</t>
  </si>
  <si>
    <t>https://chat-conecta.recife.pe.gov.br/live/dbhGwsB2YHa7FriBF/room-info</t>
  </si>
  <si>
    <t>06/12/2022</t>
  </si>
  <si>
    <t>09/06 (Taty) Paciente não atendeu às 8h</t>
  </si>
  <si>
    <t>09/06 (Lari) Paciente não atendeu 16h30</t>
  </si>
  <si>
    <t>https://chat-conecta.recife.pe.gov.br/live/fqEQpBr2mgCg55drN</t>
  </si>
  <si>
    <t>09/06 (Lari) Paciente não atendeu 17h</t>
  </si>
  <si>
    <t>Vitoria Caroline Soares da Silva</t>
  </si>
  <si>
    <t>https://chat-conecta.recife.pe.gov.br/live/Bbz3pxezvt7fXZYWY/user-info</t>
  </si>
  <si>
    <t>27/10/2022</t>
  </si>
  <si>
    <t>hemorragia ocular</t>
  </si>
  <si>
    <t>(Thiago) procurou atendimento na UPA de Lagoa Encantada e refere ter recebido alta em seguida com prescrição de um colírio lubrificante e exame clínico sem alterações. Nega queixas obstétricas e refere boa movimentação fetal.</t>
  </si>
  <si>
    <t>Encaminhada à UPA Lagoa Encantada</t>
  </si>
  <si>
    <t>Brenda Melo de Araujo</t>
  </si>
  <si>
    <t>https://chat-conecta.recife.pe.gov.br/live/zt6GAgMALLX4z52k4/room-info</t>
  </si>
  <si>
    <t>02/12/2022</t>
  </si>
  <si>
    <t xml:space="preserve">Gestante reside em Jaboatão. Repassou endereço de Recife à recepção digital; durante anamnese informou endereço atual. Caso não registrado no PEC. </t>
  </si>
  <si>
    <t>https://chat-conecta.recife.pe.gov.br/live/KyHtGEvjrRqYzpeWz/room-info</t>
  </si>
  <si>
    <t xml:space="preserve">09/06 (Taty) Não consigo contato com a paciente </t>
  </si>
  <si>
    <t>https://chat-conecta.recife.pe.gov.br/live/bFCQnffiZsDhmdFGj/room-info</t>
  </si>
  <si>
    <t>Refere melhora dos sintomas gripais. Queixa-se de episódio de tontura ao acordar. Nega sinais de alerta. Foi ao CS Monteiro de Morais e não conseguiu agendar PN. Oriento retornar ao CS para agendar PN; oriento sinais de alerta e medidas de alivio para tontura; reforço importância do atendimento presencial em casos de SG; manter ID, agendar TR-Ag.</t>
  </si>
  <si>
    <t>Faz PN no Hapvida</t>
  </si>
  <si>
    <t>Profissional assistente não foi notificado</t>
  </si>
  <si>
    <t>Janaina de Assis da Silva</t>
  </si>
  <si>
    <t>https://chat-conecta.recife.pe.gov.br/live/gYTpAANLe3R39vSuY</t>
  </si>
  <si>
    <t>Dor tipo cólica e contração na noite passada.</t>
  </si>
  <si>
    <t>(Thiago) Gestante com contrações dolorosas e IG: 35s3d pela DUM, encaminhada a mat. Arnaldo Marques para atend. presencial.</t>
  </si>
  <si>
    <t>Camila Costa de Jesus</t>
  </si>
  <si>
    <t>https://chat-conecta.recife.pe.gov.br/live/bMRejBNrDsw2hvai6/room-info</t>
  </si>
  <si>
    <t>30/112022</t>
  </si>
  <si>
    <t>lesão única na  parte interna da coxa</t>
  </si>
  <si>
    <t>(taty) Realizado telemonitoramento, gestante orientada o que é fibroma mole e quando ao consultorio de pequenas cirurgia onde pode esta solicitando no posto o encaminhamento se caso seja seu desejo.</t>
  </si>
  <si>
    <t xml:space="preserve">TINC realizada com monique, lesao Fibroma Mole, que geralmente aparece na vida adulta, que pode modoficar na gestação, se for desejo pode ser realizado pela prefeitura a retirada no ambulatorio de pequenas cirurgias. enf e medica do posto pode solicitar </t>
  </si>
  <si>
    <t>Carina Jesus de Lima</t>
  </si>
  <si>
    <t>https://chat-conecta.recife.pe.gov.br/live/bRoahqMPdbr9wfGZd/room-info</t>
  </si>
  <si>
    <t>25/02/2023</t>
  </si>
  <si>
    <t>Claudia Raiane Oliveira Dionizio</t>
  </si>
  <si>
    <t>https://chat-conecta.recife.pe.gov.br/live/NgFs7KLHbEWyhPPzC/room-info</t>
  </si>
  <si>
    <t>24/09/2022</t>
  </si>
  <si>
    <t>Sufusão hemorrágica em conjuntiva ocular.</t>
  </si>
  <si>
    <t>Maria Vitoria dos Santos Castro</t>
  </si>
  <si>
    <t>08019242430</t>
  </si>
  <si>
    <t>https://chat-conecta.recife.pe.gov.br/live/gGXtaheXkC7LdoPLF/room-info</t>
  </si>
  <si>
    <t>29/102022</t>
  </si>
  <si>
    <t>tipagem sanguinea (B-)</t>
  </si>
  <si>
    <t>JUSSARA LORENA MARTINS DA SILVA</t>
  </si>
  <si>
    <t>https://chat-conecta.recife.pe.gov.br/live/PcJq6nGyeyedspFzy/contact-chat-history</t>
  </si>
  <si>
    <t>17/08/2022</t>
  </si>
  <si>
    <t>Gestação prolangada</t>
  </si>
  <si>
    <t>(Lari) Telefone não completa as 16h</t>
  </si>
  <si>
    <t>Realizado TINC no mesmo momento do atendimento com a enfa Arianny</t>
  </si>
  <si>
    <t>Mayara Rayane Soares da Silva</t>
  </si>
  <si>
    <t>https://chat-conecta.recife.pe.gov.br/live/MJrTry66k7RJgrsH9</t>
  </si>
  <si>
    <t>21/09/2022</t>
  </si>
  <si>
    <t>(Camilla) Não conseguiu contato - tel desligado às 10:42. (Thiago) Não conseguiu contato as 08:20.</t>
  </si>
  <si>
    <t>(Ianne) Tentativa as 14h e 14:30h</t>
  </si>
  <si>
    <t xml:space="preserve">Reavaliar fluxo de corrimento* (Marta lembrete) </t>
  </si>
  <si>
    <t>Mariana Almeida da Silva</t>
  </si>
  <si>
    <t>https://chat-conecta.recife.pe.gov.br/live/jHboZknEMDR8nDt4o/room-info</t>
  </si>
  <si>
    <t>15/09/2022</t>
  </si>
  <si>
    <t>Trabalho de parto fase ativa</t>
  </si>
  <si>
    <t>Foi à maternidade, descartou-se TP ativo. Queixa-se de ausência de MF (último às 23h30). Oriento realização do mobilograma. Realizar telemonitoramento às 10h.</t>
  </si>
  <si>
    <t>Maria Luziaria Virbergue da Silva</t>
  </si>
  <si>
    <t>https://chat-conecta.recife.pe.gov.br/omnichannel-directory/chats/view/ww5FceGaQS99HtWSf/room-info</t>
  </si>
  <si>
    <t>02/10/2022</t>
  </si>
  <si>
    <t>Trabalho de parto prematuro</t>
  </si>
  <si>
    <t>(Marcia) às 08h e às 18:20</t>
  </si>
  <si>
    <t>(Joanna) Tentativa às 14h</t>
  </si>
  <si>
    <t>https://chat-conecta.recife.pe.gov.br/omnichannel-directory/chats/view/Q4M6jFcKDHc4NGKQn</t>
  </si>
  <si>
    <t>Contrações dolorosas com IG: 35s3d</t>
  </si>
  <si>
    <t>Foi à maternidade, descartado TPP. Oriento MRPA.</t>
  </si>
  <si>
    <t>REBECA VITORIA ARRUDA DA SILVA</t>
  </si>
  <si>
    <t>https://chat-conecta.recife.pe.gov.br/live/AZcbFQYKnDof79GRa/room-info</t>
  </si>
  <si>
    <t>(Joanna) Ligar para: 81991724644 (número do namorado)</t>
  </si>
  <si>
    <t>(Joanna) Tentativa às 14h / (Marcia) às 17h: Foi à maternidade como orientada na teleconsulta, oriento seguir medicações prescritas e agendo monitoramento para dia 16/06 quando finaliza as medicações. Oriento sinais de alerta e se piora buscar atendimento.</t>
  </si>
  <si>
    <t>Atendimento feito por Lari e Registrado por Thiago (após às 19h)</t>
  </si>
  <si>
    <t>https://chat-conecta.recife.pe.gov.br/live/4d6ibWsqMeHBF7dmL/room-info</t>
  </si>
  <si>
    <t>Ligar às 10h</t>
  </si>
  <si>
    <t>(Marcia) Encaminho paciente para avaliação presencial na emergência obstétrica de preferência em até 2 horas devido diminuição dos movimentos fetais. Informo monitoramento pela equipe do Atende Gestante em 24 horas.</t>
  </si>
  <si>
    <t>https://chat-conecta.recife.pe.gov.br/live/2ABTu5i6nRFPimCFW</t>
  </si>
  <si>
    <t>30/04/2023</t>
  </si>
  <si>
    <t>marciasouzagomes05@gmail.com</t>
  </si>
  <si>
    <t xml:space="preserve">11/06 ( ana) telefone desligado </t>
  </si>
  <si>
    <t xml:space="preserve">11/06 ( taty) Monitoramento realizado gestante sem queixas oriento importancia e manutençao do PN tanto na APS E PNAR </t>
  </si>
  <si>
    <t>Laissa Gabriela Penalva da Rocha</t>
  </si>
  <si>
    <t>08732975473</t>
  </si>
  <si>
    <t>https://chat-conecta.recife.pe.gov.br/live/Pw9Y3YCoTXgaYDyfS</t>
  </si>
  <si>
    <t>sindrome gripal</t>
  </si>
  <si>
    <t>(Camilla) Não consegui contato às 10:54.(Thiago) Não conseguiu contato as 08:50</t>
  </si>
  <si>
    <t>(Camilla) Tentativa às 14:23 sem sucesso</t>
  </si>
  <si>
    <t>Puerpéra (bebê com 38 dias)</t>
  </si>
  <si>
    <t>https://chat-conecta.recife.pe.gov.br/live/FtCceFRSz3tzissd4</t>
  </si>
  <si>
    <t>Ana Patricia dos Santos Nascimento</t>
  </si>
  <si>
    <t>https://chat-conecta.recife.pe.gov.br/live/z858ReWchEuGC5ErF</t>
  </si>
  <si>
    <t>16/11/2022</t>
  </si>
  <si>
    <t>(Marcia) Número deu ocupado às11:40h /17h Nova tentativa sem sucesso</t>
  </si>
  <si>
    <t>Dandara Maria do Nascimento Ferreira Santos</t>
  </si>
  <si>
    <t>https://chat-conecta.recife.pe.gov.br/live/e93DRWNCn84Ar5bNe</t>
  </si>
  <si>
    <t>07/09/2022</t>
  </si>
  <si>
    <t>11/06 (taty) Gestante encaminhada para maternidade TP?</t>
  </si>
  <si>
    <t>https://chat-conecta.recife.pe.gov.br/live/WpEGYwLDi7pyekBCQ</t>
  </si>
  <si>
    <t>ANA_CINTRA</t>
  </si>
  <si>
    <t xml:space="preserve">11/06 ( ana ) orientado sinais de TP e mobilograma, monitoramento em 5dias </t>
  </si>
  <si>
    <t>https://chat-conecta.recife.pe.gov.br/live/mYe7Qx4Mdd3dSEWtf</t>
  </si>
  <si>
    <t>Contrações</t>
  </si>
  <si>
    <t>Dauany Nunes de Lima</t>
  </si>
  <si>
    <t>https://chat-conecta.recife.pe.gov.br/live/ZYqWnovHbh6gtNrmd</t>
  </si>
  <si>
    <t>01/03/2023</t>
  </si>
  <si>
    <t>reação adversa a vacina</t>
  </si>
  <si>
    <t>11/06 (taty) gestante nao atende a ligação tentativa as 10:11</t>
  </si>
  <si>
    <t>https://chat-conecta.recife.pe.gov.br/live/xSo5hgWJDXWBu8BoL</t>
  </si>
  <si>
    <t>Realizado telemonitoramento. Gestante sem queixas. Não fez o TR-ag, nega sintomas gripais. PN agendado para 14/06.</t>
  </si>
  <si>
    <t>Marcela Maria da Silva</t>
  </si>
  <si>
    <t>05506462484</t>
  </si>
  <si>
    <t>https://chat-conecta.recife.pe.gov.br/live/QFHhax7kvP6esqy2k</t>
  </si>
  <si>
    <t>Maria Danielle Miguel Bezerra</t>
  </si>
  <si>
    <t>08887603456</t>
  </si>
  <si>
    <t>https://chat-conecta.recife.pe.gov.br/live/rqgDAaFrCrYt5FNzk</t>
  </si>
  <si>
    <t>11/06 (taty) gestante encaminhada para maternidade , referindo cefaleia intensa eregistro de pa 130x90</t>
  </si>
  <si>
    <t>Avaliar novos sintomas/solicitar códido e senha do exame para verificar no site do lab</t>
  </si>
  <si>
    <t>https://chat-conecta.recife.pe.gov.br/live/dYAjoZxLRM8zhpeHG</t>
  </si>
  <si>
    <t>11/06 ( ana) telefoene desligado ( 10:39)</t>
  </si>
  <si>
    <t>11/06 ( ana) telefone desligado 13:55</t>
  </si>
  <si>
    <t>Apoio Emocional - ansiedade relacionada ao TP, sofreu violência obstétrica, sofrimento no parto anterior</t>
  </si>
  <si>
    <t>Edicleide Gomes de Almeida</t>
  </si>
  <si>
    <t>09890454475</t>
  </si>
  <si>
    <t>https://chat-conecta.recife.pe.gov.br/live/yekGDJhuioPkArGPc</t>
  </si>
  <si>
    <t>Secreção em ferida operatória</t>
  </si>
  <si>
    <t>Apoio emocional - tristeza/ luto - natimorto</t>
  </si>
  <si>
    <t>https://chat-conecta.recife.pe.gov.br/live/ihYGpeMSsyQJRS9Be</t>
  </si>
  <si>
    <t>Rebeca Vitoria Arruda da Silva</t>
  </si>
  <si>
    <t>(Thiago) Sem sucesso às 08:20</t>
  </si>
  <si>
    <t>(Thiago) Sem sucesso às 15:25 (nao atendeu )</t>
  </si>
  <si>
    <t>Ligar para: 81991724644 (número do namorado)</t>
  </si>
  <si>
    <t>(Thiago) Não conseguiu contato as 09:00</t>
  </si>
  <si>
    <t>(Thiago) Tentativa às 14:24</t>
  </si>
  <si>
    <t>05/02/2023</t>
  </si>
  <si>
    <t xml:space="preserve">( taty) 09:56 gestante nao atendeu a chamada </t>
  </si>
  <si>
    <t>(ianne) 14h42 telefone desligado</t>
  </si>
  <si>
    <t>Tatiana Thalia Ramalho de Lima</t>
  </si>
  <si>
    <t>https://chat-conecta.recife.pe.gov.br/live/pPjjqnn2qKo9Y7RWJ</t>
  </si>
  <si>
    <t>(Thiago) Não conseguiu contato as 09:20</t>
  </si>
  <si>
    <t>(Thiago) 15h Foi para atendimento na Barros Lima, recebeu prescrição de Fentizol óvulo + Miconazol creme vaginal.</t>
  </si>
  <si>
    <t>Joelma Ferreira da Silva</t>
  </si>
  <si>
    <t>https://chat-conecta.recife.pe.gov.br/live/jFeyWCaHCNj9FEcL5/members-list</t>
  </si>
  <si>
    <t>07/04/2023</t>
  </si>
  <si>
    <t>(Camilla) Não consegui contato às 10:43 - tel desligado. (Camilla) Não consegui contato às 08:30</t>
  </si>
  <si>
    <t>(Camilla) 14:10 - Atendeu, mas refere que não tinha disponibilidade de falar</t>
  </si>
  <si>
    <t>https://chat-conecta.recife.pe.gov.br/live/CjW2PfaDQcXdaLfs7/room-info</t>
  </si>
  <si>
    <t>29/092022</t>
  </si>
  <si>
    <t>11/06 (taty) nao atendeu as 15:40 tentar em 12/06</t>
  </si>
  <si>
    <t xml:space="preserve">11/06  (taty) gestante na maternidade bolsa integra e sera reavaliada em 4h, monitoramento em 12/06 </t>
  </si>
  <si>
    <t>https://chat-conecta.recife.pe.gov.br/live/ts5MBWjR9HouRWeE3</t>
  </si>
  <si>
    <t>(Thiago) Sem sucesso às 08:37</t>
  </si>
  <si>
    <t>(Thiago) Sem sucesso às 15:45 (nao atendeu )</t>
  </si>
  <si>
    <t>Monallyza Iasmin Duarte da Silva</t>
  </si>
  <si>
    <t>https://chat-conecta.recife.pe.gov.br/live/rebZWuF8Zg7kfNcrG/room-info</t>
  </si>
  <si>
    <t xml:space="preserve">11/06 ( ana) gestante internada para TPP no Barão de lucena </t>
  </si>
  <si>
    <t>Não foi feito registro do telemonitoramento</t>
  </si>
  <si>
    <t>https://chat-conecta.recife.pe.gov.br/omnichannel-directory/chats/view/4QfHD37tXnfrLz5o8/room-info</t>
  </si>
  <si>
    <t xml:space="preserve"> 15/03/2023</t>
  </si>
  <si>
    <t>(Thiago) Gestante com IG: 11s5d (DUM: 15/03/2023) refere que procurou a urgência da maternidade Barros Lima ontem com as queixas de dor de cabeça + ardor ao urinar + corrimento em grumos esbranquiçado sem odor, foi examinada e liberada em seguida e no momento do atendimento a PA estava normal. No momento, refere melhora das dores de cabeça, náusea leve mas mantém as queixas de disúria e leucorréia. Refere ainda não estar conciliando bem o sono devido a rotina diária agitada. Refere boa movimentação fetal.</t>
  </si>
  <si>
    <t>Naiara Herculano da Silva</t>
  </si>
  <si>
    <t>01784036447</t>
  </si>
  <si>
    <t>https://chat-conecta.recife.pe.gov.br/live/5ByRo2hakPCfn4bK6/room-info</t>
  </si>
  <si>
    <t>DESCOBERTA DE GESTAÇÃO INICIAL/ABORTO ANTERIOR</t>
  </si>
  <si>
    <t xml:space="preserve">Taty (08:19) paciente atendeu o telefone, porem nao entrou no hopchat e nao atende mais </t>
  </si>
  <si>
    <t xml:space="preserve">Taty (14:04 ) Paciente atendeu e deslisgou apos indentificação </t>
  </si>
  <si>
    <t>https://chat-conecta.recife.pe.gov.br/live/uqbcWz6GvP2cBHMG4/user-info</t>
  </si>
  <si>
    <t>30/05/2023</t>
  </si>
  <si>
    <t>(Camilla) Não consegui contato às 08:20 e nem às 10:15.</t>
  </si>
  <si>
    <t>(Camilla) 14:30 - Tentativa sem sucesso.</t>
  </si>
  <si>
    <t xml:space="preserve">Dandara estava dormindo na hora que liguei (08:20) e Neto pediu que ligasse às 10:00. </t>
  </si>
  <si>
    <t>Maria Gabriela Campos de Lima</t>
  </si>
  <si>
    <t>09955568496</t>
  </si>
  <si>
    <t>https://chat-conecta.recife.pe.gov.br/live/aheCmggLo9Kx8b8Ej/room-info</t>
  </si>
  <si>
    <t>02/05/2023</t>
  </si>
  <si>
    <t>Dúvidas relacionadas a gravidez.</t>
  </si>
  <si>
    <t>https://chat-conecta.recife.pe.gov.br/live/c3uCrNvkmypJyWct5/members-list</t>
  </si>
  <si>
    <t>Rosangela Pereira de Souza</t>
  </si>
  <si>
    <t>03787319476</t>
  </si>
  <si>
    <t>https://chat-conecta.recife.pe.gov.br/live/W4yrDwfKq67FXMPTY/room-info</t>
  </si>
  <si>
    <t>10/11/2022</t>
  </si>
  <si>
    <t>(Lari) Paciente refere melhora dos sintomas. Alta do episódio.</t>
  </si>
  <si>
    <t>https://chat-conecta.recife.pe.gov.br/live/fkk5CmPyRG8cR4hnJ/room-info</t>
  </si>
  <si>
    <t>30/11/2022</t>
  </si>
  <si>
    <t>fibroma mole</t>
  </si>
  <si>
    <t>Ayrine Ramonna Batista</t>
  </si>
  <si>
    <t>https://chat-conecta.recife.pe.gov.br/omnichannel-directory/chats/view/CDEMcLLNJrpxhgYzK/room-info</t>
  </si>
  <si>
    <t>00</t>
  </si>
  <si>
    <t>Cuidados/ retirada de pontos</t>
  </si>
  <si>
    <t>Joanna: tentativa sem sucesso - 8h.</t>
  </si>
  <si>
    <t xml:space="preserve">TATY(14:30) Puerpera  refere melhora na queixas. mantenho conduta de orientaçoes </t>
  </si>
  <si>
    <t>https://chat-conecta.recife.pe.gov.br/live/JTLJ9FqGtBM3QeykR/user-info</t>
  </si>
  <si>
    <t>taty (10:11) Gestante com atendimento marcado, porem refere continuar com os sintomas da leucorreia</t>
  </si>
  <si>
    <t>Maria Eduarda Silva de Oliveira Cavalcanti</t>
  </si>
  <si>
    <t>https://chat-conecta.recife.pe.gov.br/live/zWtziWfM7X7uNAB5T/room-info</t>
  </si>
  <si>
    <t>18/03/2023</t>
  </si>
  <si>
    <t>NÃO: Já está na USF</t>
  </si>
  <si>
    <t xml:space="preserve">Profissional da unidade entrou em contato no momento da consulta de PN </t>
  </si>
  <si>
    <t xml:space="preserve">(Camilla) Realizado telemonitoramento. Gestante se encontra no HMR. Chegou às 14h, com PA 130X90MMHG, classificada como amarela, aguarda atendimento médico. </t>
  </si>
  <si>
    <t>Kaline Thalia Leopoldina Silva de Lima</t>
  </si>
  <si>
    <t>09566394454</t>
  </si>
  <si>
    <t>https://chat-conecta.recife.pe.gov.br/live/Svr8YYbXRPsnuc2kZ/room-info</t>
  </si>
  <si>
    <t>06/09/2022</t>
  </si>
  <si>
    <t>duvidas sobre quando ir para maternidade</t>
  </si>
  <si>
    <t>https://chat-conecta.recife.pe.gov.br/live/2Mjmo7HXYgW7f89Rv/room-inf</t>
  </si>
  <si>
    <t>13/02/2023</t>
  </si>
  <si>
    <t xml:space="preserve">( taty) 10:13 Gestante nao atendeu a chamada </t>
  </si>
  <si>
    <t>(Camila)</t>
  </si>
  <si>
    <t>Rosangela Lira de Paiva</t>
  </si>
  <si>
    <t>https://chat-conecta.recife.pe.gov.br/live/yHrCkk86mDojNK4oK/room-info</t>
  </si>
  <si>
    <t>25/11/2022</t>
  </si>
  <si>
    <t>USG</t>
  </si>
  <si>
    <t>Gleiciane Correia de Melo Morais</t>
  </si>
  <si>
    <t>https://chat-conecta.recife.pe.gov.br/live/RxZ62KH4ix3J6R2ip/room-info</t>
  </si>
  <si>
    <t xml:space="preserve">14/06 Ianne (09h15) Paciente não atende ligaçao, pelo prontuario atendida em pre natal ontem. HAS em uso de metildopa, perdeu consulta de PNAR, não encontro no sisreg solicitaçao de PNAR. </t>
  </si>
  <si>
    <t xml:space="preserve">Joanna (15/06 - 13h20): Foi à Maternidade Barros Lima, diagnosticada com ITU, em uso de ATB (não lembra o nome). Sem queixas no momento. Oriento repetir urocultura após 10 dias do término do tto. </t>
  </si>
  <si>
    <t>Tentar monitoramento 15/06</t>
  </si>
  <si>
    <t>https://chat-conecta.recife.pe.gov.br/live/PS6nnhHppj6GzexXv/contact-chat-history</t>
  </si>
  <si>
    <t xml:space="preserve"> 10/11/2022</t>
  </si>
  <si>
    <t>Marina Byatriz Bento Arcelino</t>
  </si>
  <si>
    <t>https://chat-conecta.recife.pe.gov.br/live/RcpDGPkczT6G4ZoN2/room-info</t>
  </si>
  <si>
    <t>22/12/22</t>
  </si>
  <si>
    <t>14/06 ianne (09h30) Paciente não atende, avaliar se houve atendimento presencial</t>
  </si>
  <si>
    <t>Joanna (15/06): não atendeu (8h50; 13h58; 16h24). Taty (14/06 - 15:28 )ligar as 17:00</t>
  </si>
  <si>
    <t>Paula Eduarda dos Santos de Andrade</t>
  </si>
  <si>
    <t>https://chat-conecta.recife.pe.gov.br/live/WifnQdeQYhXRKPtEn/room-info</t>
  </si>
  <si>
    <t>11/11/2022</t>
  </si>
  <si>
    <t>Gestante iniciou PN Sanharó, depois mudou-se para Recife e continuou o acompanhamento. Há menos de 1 mês mudou-se para Olinda. Unidade realiza busca ativa dia 31/05 no endereço de Olinda e não encontra paciente.</t>
  </si>
  <si>
    <t>Usuária de Olinda???</t>
  </si>
  <si>
    <t>https://chat-conecta.recife.pe.gov.br/live/JBbpzqXWZFwJzjTwd/members-list</t>
  </si>
  <si>
    <t xml:space="preserve">(taty) 09:27 gestante sem queixas, aguardando uma USG para definição de conduta </t>
  </si>
  <si>
    <t>Gleica Mirela Ribeiro de Lima</t>
  </si>
  <si>
    <t>09504531458</t>
  </si>
  <si>
    <t>https://chat-conecta.recife.pe.gov.br/live/8E7gcehTH3G6Lp7gA/user-info</t>
  </si>
  <si>
    <t>28/12/22</t>
  </si>
  <si>
    <t>Ianne: 13h55: tentativa sem sucesso</t>
  </si>
  <si>
    <t>Aurea Claucia Rangel Carneiro</t>
  </si>
  <si>
    <t>06443929403</t>
  </si>
  <si>
    <t>https://chat-conecta.recife.pe.gov.br/live/ouvbQ6upgcmS3KY3K</t>
  </si>
  <si>
    <t>Atendida na unidade por enfermeira, mas não conseguiu tirar duvidas e resolver questoes relacionas a PA</t>
  </si>
  <si>
    <t>Taty (15:26) Telefone desligado. ianne (11h30) telefone desligado, tentar contato novamente a tarde. Insistir um pouco mais, paciente fazendo pico pressorico sem conseguir acesso ontem a consulta presencial</t>
  </si>
  <si>
    <t>Joanna (15/06 - 13h59; 16h26): não atendeu.</t>
  </si>
  <si>
    <t>https://chat-conecta.recife.pe.gov.br/live/C5yodAGnzKxDLLKok/room-info</t>
  </si>
  <si>
    <t>Erica Priscila Gomes dos Santos Silva</t>
  </si>
  <si>
    <t>https://chat-conecta.recife.pe.gov.br/live/gw3DmAa8vvBQg5byY/room-info</t>
  </si>
  <si>
    <t>22/02/2023</t>
  </si>
  <si>
    <t xml:space="preserve">palpitação </t>
  </si>
  <si>
    <t>https://chat-conecta.recife.pe.gov.br/live/nYxiP8e64mwc4yqWR/room-info</t>
  </si>
  <si>
    <t>Contrações de pródromos</t>
  </si>
  <si>
    <t>thiago(11:20) paciente nao atendeu (taty) ligar as 11h</t>
  </si>
  <si>
    <t xml:space="preserve">taty (14:15 ) paciente nao interagiu na sala e telefone esta agora desligado </t>
  </si>
  <si>
    <t>https://chat-conecta.recife.pe.gov.br/live/PzAMA5NpTBCFQqyGd</t>
  </si>
  <si>
    <t>02/09/22</t>
  </si>
  <si>
    <t xml:space="preserve"> (ianne) 9h45 -11h30 Tentado entrar em contato diversas vezes com paciente por ligaçao e pelo whatsapp sem sucesso. tentar novamente a tarde</t>
  </si>
  <si>
    <t xml:space="preserve">taty (14:15 ) gestante na maternidade, refere que esta com 4cm de dilatação, sem perdas vaginais. </t>
  </si>
  <si>
    <t>Sem registro das telecosnulta do dia 14/06 no pec</t>
  </si>
  <si>
    <t>https://chat-conecta.recife.pe.gov.br/live/pXjaTQk8of24D556Z</t>
  </si>
  <si>
    <t xml:space="preserve"> ITU + leucorreia, com queixa nova de vomito + diarreia.</t>
  </si>
  <si>
    <t>ianne (15/06 : 9h30) não atende</t>
  </si>
  <si>
    <t>ianne (13h40) não atende; Joanna (16h28): não atende.</t>
  </si>
  <si>
    <t>Tentar monitoramento 15/06 / PEC INSTAVEL SEM REGISTRO da cosulta anterior 14/06</t>
  </si>
  <si>
    <t>https://chat-conecta.recife.pe.gov.br/live/psEWX6uPybPGmShHw/user-info</t>
  </si>
  <si>
    <t>Joanna (8h): tentativa sem sucesso.</t>
  </si>
  <si>
    <t>Taty(13:35 telefone desligado; Joanna (16h29): não atendeu</t>
  </si>
  <si>
    <t>PEC sem registro da consulta anterior</t>
  </si>
  <si>
    <t>Millena Lima da Silva</t>
  </si>
  <si>
    <t>https://chat-conecta.recife.pe.gov.br/live/nkiWYsgrf4a6s3unA</t>
  </si>
  <si>
    <t>12/02/2023</t>
  </si>
  <si>
    <t xml:space="preserve">taty( 10:00) gestante refere melhora dos sintomas. </t>
  </si>
  <si>
    <t>(Marta) Não consigo identifiquei equipe responsável pela usuária</t>
  </si>
  <si>
    <t>Bruna Patricia Ferreira da Silva</t>
  </si>
  <si>
    <t>09383941421</t>
  </si>
  <si>
    <t>https://chat-conecta.recife.pe.gov.br/live/tmDhrTaSHvDzx7NKM/members-list</t>
  </si>
  <si>
    <t>15/01/2023</t>
  </si>
  <si>
    <t xml:space="preserve">Joanna: Foi à US indicada (Vila Arraes), porém foi informada que não seria a US de área de cobertura. Hoje vai ao CS Olinto Oliveira tentar agendar PN e fazer avaliação. </t>
  </si>
  <si>
    <t>Sem registro no PEC da teleconsulta realizada no dia 14/06. (MARTA) Usuária não é mais acompanhada pela USF Amaury de medeiros, se mudou, não enviado notificação.</t>
  </si>
  <si>
    <t>Maria Aparecida Alves da Silva Santos</t>
  </si>
  <si>
    <t>https://chat-conecta.recife.pe.gov.br/live/bu6MtwcioADXp2wCh</t>
  </si>
  <si>
    <t>Desconhecida IG aprox 24 semanas</t>
  </si>
  <si>
    <t>Dores tipo cólica com contrações</t>
  </si>
  <si>
    <t>Joanna (9h40): não atendeu</t>
  </si>
  <si>
    <t>Taty(13:55) Paciente nao atendeu; Joanna (16h30): não atendeu</t>
  </si>
  <si>
    <t>(ianne): paciente com 2 prontuarios, usar o do CNS. Não encontro registro de atendimento de ontem(Marta) Não consigo identifiquei equipe responsável pela usuária</t>
  </si>
  <si>
    <t>02/092022</t>
  </si>
  <si>
    <t>CLARA FERNANDA DOS SANTOS SILVA</t>
  </si>
  <si>
    <t>https://chat-conecta.recife.pe.gov.br/live/Xgw3dkbdfwu8KZBQk/room-info</t>
  </si>
  <si>
    <t>05/03/23</t>
  </si>
  <si>
    <t>ianne (09h44): não atendeu</t>
  </si>
  <si>
    <t>ianne (13h38) telefone desligado; Joanna (16h31): telefone desligado</t>
  </si>
  <si>
    <t>(ianne) não encontro registro atendimento de eontem no pec</t>
  </si>
  <si>
    <t>Luanda de Oliveira da Silva</t>
  </si>
  <si>
    <t>https://chat-conecta.recife.pe.gov.br/live/Cf2w3YAScmrEJcggJ#&amp;gid=1&amp;pid=5</t>
  </si>
  <si>
    <t>10/09/2022</t>
  </si>
  <si>
    <t>Dúvidas quanto a USG obstétrica</t>
  </si>
  <si>
    <t>Karla Eduarda de Franca Oliveira</t>
  </si>
  <si>
    <t>https://chat-conecta.recife.pe.gov.br/live/DTg8k4WDhqW4XwrMp/room-info</t>
  </si>
  <si>
    <t>10/10/2022</t>
  </si>
  <si>
    <t>Tosse produtiva</t>
  </si>
  <si>
    <t>(Thiago) Sem sucesso às 09:10</t>
  </si>
  <si>
    <t>Rede privada (Marta) Sem registro do atendimento no PEC e não consigo identificar equipe para envio de notificação / Serviço privado HAPVIDA</t>
  </si>
  <si>
    <t>https://chat-conecta.recife.pe.gov.br/live/FJG3JspZgcy6TGkEm</t>
  </si>
  <si>
    <t>Foi ao CS Olinto Oliveira, porém a enfermeira não estava presente; foi orientada a retornar próxima quinta-feira e buscar atendimento na urgência. Cd: Encaminho à maternidade Bandeira Filho.</t>
  </si>
  <si>
    <t>https://chat-conecta.recife.pe.gov.br/live/egvzzP283RvEfgG32</t>
  </si>
  <si>
    <t>Telemonitoramento do dia 14/06</t>
  </si>
  <si>
    <t>puerpera</t>
  </si>
  <si>
    <t>Realizar monitoramento às 18h.</t>
  </si>
  <si>
    <t>(Thiago) Gestante com IG 21s3d, compareceu a Bandeira Filho hoje e refere que no atendimento foi informada que o corrimento se tratava de candidíase vaginal e que realizou  sumário de urina com resultado normal. Nega queixas obstétricas como sangramento, perda de líquido ou cólica acompanhada de contração. Refere boa movimentação fetal. Recebeu prescrição de creme vaginal por 7 dias, mas não soube relatar o nome da medicação.</t>
  </si>
  <si>
    <t>(Marta) No momento o PEC não estava funcionando, oriento fazer o registro no dia 18/06 - dia do plantão.</t>
  </si>
  <si>
    <t>Raiza Carla da Silva</t>
  </si>
  <si>
    <t>https://chat-conecta.recife.pe.gov.br/live/26Ben5qB8xdYiA8RX</t>
  </si>
  <si>
    <t>05/11/2022</t>
  </si>
  <si>
    <t>Leticia Maria Carneiro Magalhaes</t>
  </si>
  <si>
    <t>06569084402</t>
  </si>
  <si>
    <t>https://chat-conecta.recife.pe.gov.br/live/jQ7FLCcjqRWpYYQNM/members-list</t>
  </si>
  <si>
    <t>03/04/2023</t>
  </si>
  <si>
    <t>Lombalgia</t>
  </si>
  <si>
    <t>https://chat-conecta.recife.pe.gov.br/live/reEuZnpvzMBZkJDfN/room-info</t>
  </si>
  <si>
    <t>Stephany Layne Pereira dos Santos</t>
  </si>
  <si>
    <t>https://chat-conecta.recife.pe.gov.br/live/ngoFinHDN8kSCBuYR/room-info</t>
  </si>
  <si>
    <t>Foi atendida na Maternidade Barros Lima, observou-se modificações do colo uterino (amolecimento, esvaecimento 50%), aumento das contrações, sendo encaminha ao Hospital das Clínicas. Segue internada no Hospital das Clínicas, feto com boa vitalidade, iniciou ciclo de corticoterapia antenatal. Sem queixas no momento.</t>
  </si>
  <si>
    <t>https://chat-conecta.recife.pe.gov.br/live/XN4BE566Ctz8HBFuT/room-info#&amp;gid=1&amp;pid=4</t>
  </si>
  <si>
    <t xml:space="preserve">41 simanas </t>
  </si>
  <si>
    <t>Alta do PN</t>
  </si>
  <si>
    <t xml:space="preserve">taty (09:05 ) telefone desligado; Joanna (13h56; 17h22): não atendeu </t>
  </si>
  <si>
    <t>Josefa Veronica da Silva</t>
  </si>
  <si>
    <t>06713356427</t>
  </si>
  <si>
    <t>https://chat-conecta.recife.pe.gov.br/live/FqD6ho6JG6uyeatvy</t>
  </si>
  <si>
    <t>11/04/2023</t>
  </si>
  <si>
    <t>Paciente muito ansiosa por medo de perda gestacional</t>
  </si>
  <si>
    <t>Thiago (8:48) Paciente não atende.</t>
  </si>
  <si>
    <t>Gestante com IG 11s6d pela DUM; G1 P1 (PN de prematuro extremo que foi a óbito) A0, a mesma informa que já deu início ao pré-natal em UBS de referência em seu território, já realizou consulta odontológica e está com consulta de volta marcada, assim como encaminhamento à consulta com nutricionista e solicitação para PNAR (IMC 36,93).</t>
  </si>
  <si>
    <t>Usuária de PACS - ainda não iniciou o PN, no monitoramento verificar se usuária já sabe o profissional responsável para enviar notificação e realizar acompanhamento. Às 15:00h usuária informa que conseguiu falar com ACS e irá marcar consulta para semana do dia 26/06. Apoio Emocional</t>
  </si>
  <si>
    <t>Evelyn Karine Macedo Vasconcelos</t>
  </si>
  <si>
    <t>https://chat-conecta.recife.pe.gov.br/live/Ji9BGftkSTxW3jYmP/room-info</t>
  </si>
  <si>
    <t>nao informada</t>
  </si>
  <si>
    <t xml:space="preserve">taty ( 09:05) puerpera, esta na maternidade bandeira filho </t>
  </si>
  <si>
    <t>Raquel Neidisson de Alququerque</t>
  </si>
  <si>
    <t>https://chat-conecta.recife.pe.gov.br/live/f4qAQYMYfvWsLvGEs/room-info#&amp;gid=1&amp;pid=7</t>
  </si>
  <si>
    <t>27/09/23</t>
  </si>
  <si>
    <t>Joanna (9h39; 14h; 17h23): não atendeu.</t>
  </si>
  <si>
    <t>Atendimento realizado dia 16/06 por Larissa sem PEC. Paciente G1, 37s6d por USG do cartao de PN com 10s4d, refere dor em BV, perda de TM, diarreia sem sangue ou muco e febre 38.9º (SIC). Refere boa MF. Oriento atendimento presencial. Informado monitoramente amanhã.</t>
  </si>
  <si>
    <t>https://chat-conecta.recife.pe.gov.br/live/HJn5SNbbmmxqAxWWL/contact-chat-history</t>
  </si>
  <si>
    <t>NAO INFORMADA</t>
  </si>
  <si>
    <t>Jessica da Silva Felix</t>
  </si>
  <si>
    <t>09255445405</t>
  </si>
  <si>
    <t>https://chat-conecta.recife.pe.gov.br/live/uJX7r34WhoQwcvWWc</t>
  </si>
  <si>
    <t>02/01/2023</t>
  </si>
  <si>
    <t xml:space="preserve">Ligar às 14h (Thiago) 4 tentativas sem sucesso às 15:56 </t>
  </si>
  <si>
    <t>(Thiago) Tentativas sem sucesso às 16:56</t>
  </si>
  <si>
    <t>Ana Carolina dos Anjos Araujo</t>
  </si>
  <si>
    <t>06929822485</t>
  </si>
  <si>
    <t>https://chat-conecta.recife.pe.gov.br/live/C7CnTzrkHXPgYokmZ</t>
  </si>
  <si>
    <t>08:40 ( taty) paciente nao atende</t>
  </si>
  <si>
    <t xml:space="preserve">13h30 (ianne) telefone desligado. </t>
  </si>
  <si>
    <t xml:space="preserve">Usuária ainda não iniciou o PN na USF de referência em Recife. Era moradora de Olinda e deu continuidade ao PN lá. </t>
  </si>
  <si>
    <t>Aldinez do Carmo Soares</t>
  </si>
  <si>
    <t>08237090438</t>
  </si>
  <si>
    <t>https://chat-conecta.recife.pe.gov.br/live/XQsfZQumE42ZtL78W/user-info</t>
  </si>
  <si>
    <t>30/10/2022</t>
  </si>
  <si>
    <t>Dores em BV + contrações</t>
  </si>
  <si>
    <t>09:41 (taty) Ligar as 14h; 13h35 (ianne) paciente não atende</t>
  </si>
  <si>
    <t>Joanna (15h6): permanece com a mesma queixa, no momento está se deslocando para atendimento na Barros Lima. Não foi possível encaminhar registro de atendimento porque a teleconsulta foi por chamada telefônica.</t>
  </si>
  <si>
    <t xml:space="preserve">Usuária fazendo atendimento em clínica particular </t>
  </si>
  <si>
    <t>Thamiris dos Santos Vieira</t>
  </si>
  <si>
    <t>07992425430</t>
  </si>
  <si>
    <t>https://chat-conecta.recife.pe.gov.br/live/mKErvR6p2CdyNNP4z</t>
  </si>
  <si>
    <t>Foi ao IMIP, avaliação sem alterações (SIC). Segue sem queixas. Oriento acerca dos sinais de alerta e manutenção do PNAR (APS e PNAR).</t>
  </si>
  <si>
    <t>https://chat-conecta.recife.pe.gov.br/live/dHF8NTjG5PwRXhjz9</t>
  </si>
  <si>
    <t>02052023</t>
  </si>
  <si>
    <t>Herpes labial</t>
  </si>
  <si>
    <t>TR-Ag: negativo; Não buscou atendimento presencial, iniciou uso do Aciclovir (oral e tópico) por conta própria, pois, refere que tem herpes labial recorrentemente. Queixa: Coriza, congestão nasal. Nega sinais de alerta. Refere melhora da lesão na boca (crosta). Inicio da doença: 16/06 (D5 - hoje). Cd: Reforço importância do atendimento presencial; Oriento paciente sobre sinais de alerta; Oriento não fazer uso de medicações sem avaliação médica; telemonitoramento em 23/06.</t>
  </si>
  <si>
    <t>Reside em Recife, mas está no Paraná a trabalho (retornará dia 13/07).</t>
  </si>
  <si>
    <t>Flavia Soares da Silva</t>
  </si>
  <si>
    <t>https://chat-conecta.recife.pe.gov.br/live/s7SGNTMBTKYKzroSR/room-info</t>
  </si>
  <si>
    <t>Encontra-se no HMR, foi medicada, aguarda reavaliação. Oriento realização do MRPA e manutenção do PN.</t>
  </si>
  <si>
    <t>Karolayne Marlene Santos de Souza</t>
  </si>
  <si>
    <t>https://chat-conecta.recife.pe.gov.br/live/qAWzX3kxtRNv3y3Ah/room-info</t>
  </si>
  <si>
    <t>22/03/2023</t>
  </si>
  <si>
    <t>8133554385</t>
  </si>
  <si>
    <t>TINC realizada com o profissional.</t>
  </si>
  <si>
    <t>Renata Joaquim do Nascimento</t>
  </si>
  <si>
    <t>https://chat-conecta.recife.pe.gov.br/live/JCL7MfqdBHzotCRfT</t>
  </si>
  <si>
    <t>Maria Tatiane Silva de Oliveira</t>
  </si>
  <si>
    <t>https://chat-conecta.recife.pe.gov.br/live/6M4dZyi3zNRp293Ny</t>
  </si>
  <si>
    <t>01/04/2023</t>
  </si>
  <si>
    <t>Joanna (8h25): não atendeu. 16h30: telefone indisponível.</t>
  </si>
  <si>
    <t>Sibele Alexandre dos Santos</t>
  </si>
  <si>
    <t>https://chat-conecta.recife.pe.gov.br/live/5xNcAwudCi6ufEF8F</t>
  </si>
  <si>
    <t>14/10/2022</t>
  </si>
  <si>
    <t>Cinthia Gabriela Messias</t>
  </si>
  <si>
    <t>https://chat-conecta.recife.pe.gov.br/live/4d6h8L9qL6WB6Ngfo</t>
  </si>
  <si>
    <t>https://chat-conecta.recife.pe.gov.br/live/R38MCTwrzu3CT499M/room-info</t>
  </si>
  <si>
    <t xml:space="preserve"> </t>
  </si>
  <si>
    <t xml:space="preserve">taty ( 07:50) paciente a caminho da maternidade par arealizar usg ( ligar a tarde 13:00) </t>
  </si>
  <si>
    <t xml:space="preserve"> (Taty) Paciente encontra-se na maternidade, aguarda USG para definir conduta </t>
  </si>
  <si>
    <t>Mayra Kelner Francisca Maciel</t>
  </si>
  <si>
    <t>https://chat-conecta.recife.pe.gov.br/live/d9hdoq8cnvWfckEZb</t>
  </si>
  <si>
    <t>ianne (8h30) desligado</t>
  </si>
  <si>
    <t>ianne (14h) Paciente não atende. Enviado whasapp por link, mas sem retorno</t>
  </si>
  <si>
    <t>Paciente entra em contato pelo hopchat as 14h20, realizado telemonitoramento.</t>
  </si>
  <si>
    <t>taty(08:41) paciente solicitou contato a tarde (14h)</t>
  </si>
  <si>
    <t>ianne (15h05) Paciente não atende</t>
  </si>
  <si>
    <t>https://chat-conecta.recife.pe.gov.br/live/MyYpWGeZCzNqPRCDT</t>
  </si>
  <si>
    <t>Desconhecida</t>
  </si>
  <si>
    <t>Mayara Cristina Gonzaga da Silva</t>
  </si>
  <si>
    <t>https://chat-conecta.recife.pe.gov.br/live/ajDiNA5DvmXzeWyTw</t>
  </si>
  <si>
    <t>(ianne) Realizado monitoramento</t>
  </si>
  <si>
    <t>Daniele das Neves Ferreira</t>
  </si>
  <si>
    <t>https://chat-conecta.recife.pe.gov.br/live/zrAmbggNHgzxPbvjp/room-info</t>
  </si>
  <si>
    <t xml:space="preserve">paciente estava no CAPS </t>
  </si>
  <si>
    <t>Joanna: não atendeu</t>
  </si>
  <si>
    <t>(Marta) Não consegue contato após às 07:30h porque usuária não tem celular</t>
  </si>
  <si>
    <t xml:space="preserve">ligar as 07:30 telefone da filha yasmin, paciente nao tem telefone, se passar do hoario o CAPS entrar em contato, para realizar o telemonitoramento </t>
  </si>
  <si>
    <t>https://chat-conecta.recife.pe.gov.br/live/KTdp7TJzfqp83g8rk</t>
  </si>
  <si>
    <t>https://chat-conecta.recife.pe.gov.br/live/5sZJex4zqaHvyTXRr/room-info</t>
  </si>
  <si>
    <t>contrações</t>
  </si>
  <si>
    <t>ianne: Paciente melhorou dos sintomas</t>
  </si>
  <si>
    <t>Ligar à tarde.</t>
  </si>
  <si>
    <t>Mirelly Steffany da Silva Sousa</t>
  </si>
  <si>
    <t>05508503412</t>
  </si>
  <si>
    <t>https://chat-conecta.recife.pe.gov.br/live/y44RafAdptzXoA6sc/room-info</t>
  </si>
  <si>
    <t>22/12/2022</t>
  </si>
  <si>
    <t>dor em flanco direito - estenose de JUP.</t>
  </si>
  <si>
    <t>Gestante atendida pelo plano de saúde SASSEPE, teve dificuldade de realizar exame de USG renal e entra em contato para pedir ajuda a rede municipal. Refere que tem estenose de JUP.</t>
  </si>
  <si>
    <t>Registrado Evento Sentinela - Encaminhamento via USF - agendamento regulação (Bel)</t>
  </si>
  <si>
    <t xml:space="preserve">Paciente deseja saber onde consegue fazer uma USG renal na rede. Acompanhada pelo SASSEPE e exame não estava disponível hoje. Ela tem estenose de JUP esquerda e apresentou dor em flanco direito hoje. </t>
  </si>
  <si>
    <t xml:space="preserve">Taty (08:34) paciente no D7 apresentando coriza e congestao nasal </t>
  </si>
  <si>
    <t>Contraçoes</t>
  </si>
  <si>
    <t>Rafaela de Araujo Marinho</t>
  </si>
  <si>
    <t>09971354411</t>
  </si>
  <si>
    <t>https://chat-conecta.recife.pe.gov.br/live/K87C63G57tBP9Pura</t>
  </si>
  <si>
    <t xml:space="preserve">Epigastralgia </t>
  </si>
  <si>
    <t xml:space="preserve">Joanna (8h26, 15h15, 18h20): não atendeu; </t>
  </si>
  <si>
    <t>PEC sem funcionar a partir das 17h, não foi possivel colocar falta</t>
  </si>
  <si>
    <t>Aline Alves dos Santos</t>
  </si>
  <si>
    <t>09225710402</t>
  </si>
  <si>
    <t>https://chat-conecta.recife.pe.gov.br/live/qgu6xKK6DLc2ZXEKc/room-info</t>
  </si>
  <si>
    <t>Aguarda EAS. Mantém desconforto suprapúbico ao iniciar micção. Realizar telemonitoramento.</t>
  </si>
  <si>
    <t>Vanessa Hingrid Marinho de Moura Monteiro</t>
  </si>
  <si>
    <t>09141821459</t>
  </si>
  <si>
    <t>https://chat-conecta.recife.pe.gov.br/live/FsrKrBH3FMueHdbGe</t>
  </si>
  <si>
    <t xml:space="preserve">Joanna: Foi à USF, foi agendada para o dia 26/06. Refere melhora do desconforto, segue apresentando sensação de cansaço, mal-estar. Taty (15:24) paciente mão atendeu </t>
  </si>
  <si>
    <t>Enia Ingrid de Araujo</t>
  </si>
  <si>
    <t>https://chat-conecta.recife.pe.gov.br/live/tRXLLw35arhbfy6f8</t>
  </si>
  <si>
    <t>(ianne) 16h15 paciente não atende; Joanna (18h20): não atendeu</t>
  </si>
  <si>
    <t>https://chat-conecta.recife.pe.gov.br/live/7Bj2BMaF3pomKH3c8/room-info</t>
  </si>
  <si>
    <t>Camilla Vitoria da Silva Gomes</t>
  </si>
  <si>
    <t>https://chat-conecta.recife.pe.gov.br/live/8eAqqFcqkD8EfKvr6</t>
  </si>
  <si>
    <t xml:space="preserve">Thiago (8:30) Tentativa de contato sem sucesso. Thiago (13:56 ) tentativa sem sucesso </t>
  </si>
  <si>
    <t>Graziela Silva de Aguiar</t>
  </si>
  <si>
    <t>https://chat-conecta.recife.pe.gov.br/live/fD4keojixPDeemMak</t>
  </si>
  <si>
    <t>Realizar nova tentativa em 23/06. ianne (16h) paciente não atende; Joanna (18h20): não atendeu</t>
  </si>
  <si>
    <t>taty (09:19 ) paciente nao atendeu  (taty:13:50) paciente nao atendeu  Taty(15:54) paciente nao atende u</t>
  </si>
  <si>
    <t>Thatiany da Silva Barbosa</t>
  </si>
  <si>
    <t>08357295401</t>
  </si>
  <si>
    <t>https://chat-conecta.recife.pe.gov.br/live/ALRaCiMckCoRSHpfz</t>
  </si>
  <si>
    <t>06/05/2023</t>
  </si>
  <si>
    <t>Mal estar / desmaio  / hipotensão</t>
  </si>
  <si>
    <t>KARINA SILVA DE AMORIM</t>
  </si>
  <si>
    <t>06785683408</t>
  </si>
  <si>
    <t>https://chat-conecta.recife.pe.gov.br/live/73aeAxSh4433vx5nT</t>
  </si>
  <si>
    <t>09/03/2023</t>
  </si>
  <si>
    <t xml:space="preserve">Taty(09:07) Paciente nao atendeu Taty (13:56 ) tentativa sem sucesso </t>
  </si>
  <si>
    <t>Rafaela Benedita da Silva Pereira</t>
  </si>
  <si>
    <t>https://chat-conecta.recife.pe.gov.br/live/9GpLwM6PoGuB5zxwj/room-info</t>
  </si>
  <si>
    <t xml:space="preserve"> 12/09/2022</t>
  </si>
  <si>
    <t xml:space="preserve">Camilla (16h) Tentativa sem sucesso. Taty (13:44) paciente nao atendeu </t>
  </si>
  <si>
    <t>https://chat-conecta.recife.pe.gov.br/live/wLHgaQtZvBHJaKjaP/user-info</t>
  </si>
  <si>
    <t>Gestante permanece ainda com queixas eventuais de falta de ar e coração acelerado, porém sem sintomas gripais ou outros sintomas. Como a mesma está vinculada ao pré-natal na APS, fnalizo motiromanto do AG.</t>
  </si>
  <si>
    <t xml:space="preserve">Apoio Emocional. Pouco comunicativa, aparenta tristeza. Thiago (26/06/23); gestante relata que mãe e irmão apresentam os mesmos sintomas. </t>
  </si>
  <si>
    <t>https://chat-conecta.recife.pe.gov.br/live/3FyCo8kFLnLuuvLo9/members-list</t>
  </si>
  <si>
    <t>Já tinha sido atendida anteriormente e orientada a retornar com resultado do exame de urina.</t>
  </si>
  <si>
    <t xml:space="preserve">Thiago (09:10) paciente nao atendeu </t>
  </si>
  <si>
    <t xml:space="preserve">Ianne (14h50): paciente não atende. è enferemeira e tinha ficado de entrar em contato com resultado de uroc. </t>
  </si>
  <si>
    <t>Preenchimento do nome da usuária</t>
  </si>
  <si>
    <t>https://chat-conecta.recife.pe.gov.br/live/86B4Pxcodyjo9Xuza/room-info</t>
  </si>
  <si>
    <t>Síndrome Gripal</t>
  </si>
  <si>
    <t>Paciente refere melhora dos sintomas gripais, oriento quanto habitos para melhora dos enjoos</t>
  </si>
  <si>
    <t>Rute Claudia da Silva</t>
  </si>
  <si>
    <t>06530344403</t>
  </si>
  <si>
    <t>https://chat-conecta.recife.pe.gov.br/live/H9SjNJJDYWiCmcYzP</t>
  </si>
  <si>
    <t>26/03/2023</t>
  </si>
  <si>
    <t xml:space="preserve">Taty (09:00) paciente  não atendeu </t>
  </si>
  <si>
    <t>ianne (16h): Paciente não atende</t>
  </si>
  <si>
    <t>Viviane Barbosa de Lima</t>
  </si>
  <si>
    <t>01727295480</t>
  </si>
  <si>
    <t>https://chat-conecta.recife.pe.gov.br/live/ykcb3iTQiRcH5i6z6</t>
  </si>
  <si>
    <t>28/11/2022</t>
  </si>
  <si>
    <t>Gestante, IG = 30s6d (USG), residente no municipio de Jaboatão (informação confirmada durante videochamada e registro no cartão de PN), queixa-se de dor em BV esporádica, corrimento vaginal amarelado associado a prurido vaginal, congestão nasal e falta de ar. MF +. Não sabe o nome da UBS, próxima consulta agendada para o dia 29/06. Cd: Oriento buscar atendimento em US mais próxima.</t>
  </si>
  <si>
    <t>Julia Mariaano de Andrade Santana</t>
  </si>
  <si>
    <t>https://chat-conecta.recife.pe.gov.br/live/CJGyKfZaJq3DkNh22</t>
  </si>
  <si>
    <t xml:space="preserve">Paciente na maternidade, aguardando resultado USG  e Glicose, refere melhora na dor pelvica </t>
  </si>
  <si>
    <t>https://chat-conecta.recife.pe.gov.br/live/KhtZvPxw9BWSzqiX9/room-info</t>
  </si>
  <si>
    <t xml:space="preserve">Taty (08/54) Paciente nao atendeu </t>
  </si>
  <si>
    <t>ianne (16h10) paciente não atende</t>
  </si>
  <si>
    <t>https://chat-conecta.recife.pe.gov.br/live/QigL6yYCPhvLaNctk/room-info</t>
  </si>
  <si>
    <t xml:space="preserve">sintomas Gripais </t>
  </si>
  <si>
    <t>JULIA MARIAANO DE ANDRADE SANTANA</t>
  </si>
  <si>
    <t>Marta Naite Maria da Silva</t>
  </si>
  <si>
    <t>https://chat-conecta.recife.pe.gov.br/live/GJ6ojea7Fn6faTMRL/room-info</t>
  </si>
  <si>
    <t>Primigesta, IG = 8s2d (DUM: 30/04/2023), foi encaminhada para avaliação presencial devido sangramento vaginal e dor em BV (tipo cólica). Foi atendida ontem no HMR, exame do colo do útero sem alterações, orientada a retornar hoje pela manhã para realização da USG e ABO-Rh. No momento, está à caminho do HMR. Segue com sangramento discreto e refere redução da dor.</t>
  </si>
  <si>
    <t>Sangramento (usuária ainda não iniciou o PN - foi hoje a unidade para realizar cadastro e agendar consulta)</t>
  </si>
  <si>
    <t>Aline Maria da Silva Miquiles</t>
  </si>
  <si>
    <t>07857213470</t>
  </si>
  <si>
    <t>https://chat-conecta.recife.pe.gov.br/live/JYmwwNSpWRtxcSpFq</t>
  </si>
  <si>
    <t>10/03/2023</t>
  </si>
  <si>
    <t>taty (08:18; 14:6 ) telefone desligado; Joanna (18h): não atendeu</t>
  </si>
  <si>
    <t>Gestante com dificuldade de conexão para vídeo chamada. Conseguiu contato com celular de terceiros. É de área coberta, mas não iniciou pré-natal, IG 15s1d pela USG em 03/05/2023com 7s3d, queixa de náuseas e cefaleia, internamento em gestação anterior com os mesmos sintomas.</t>
  </si>
  <si>
    <t>Barbara Ferreira da Silva</t>
  </si>
  <si>
    <t>09007371401</t>
  </si>
  <si>
    <t>https://chat-conecta.recife.pe.gov.br/live/tPZsX7YyXz3FHkHPt</t>
  </si>
  <si>
    <t>31/12/2022</t>
  </si>
  <si>
    <t>taty ( 08:45)  tentativa sem sucesso</t>
  </si>
  <si>
    <t>Taty(</t>
  </si>
  <si>
    <t>Morgana Marcelino dos Santos</t>
  </si>
  <si>
    <t>07716126482</t>
  </si>
  <si>
    <t>https://chat-conecta.recife.pe.gov.br/live/f9RnuSPKJryNLocDn/room-info</t>
  </si>
  <si>
    <t>30/01/2023</t>
  </si>
  <si>
    <t xml:space="preserve">dor abdominal / epigástrica </t>
  </si>
  <si>
    <t>Maria Fernanda Almeida da Silva</t>
  </si>
  <si>
    <t>https://chat-conecta.recife.pe.gov.br/live/2G8m5NqkHEg9CARs2</t>
  </si>
  <si>
    <t xml:space="preserve"> Thiago ( 08:40)Gestante afirma que possui 2 números, mas apenas 1 com whatsapp, não concluo atendimento devido interrupção da ligação.</t>
  </si>
  <si>
    <t xml:space="preserve">Taty ( 16:27) tentativa sem sucesso </t>
  </si>
  <si>
    <t>O telefone não é da gestante (não enviar link) Cel: 81996343446</t>
  </si>
  <si>
    <t>Marcela Ferreira dos Santos</t>
  </si>
  <si>
    <t>https://chat-conecta.recife.pe.gov.br/live/hFNFA9S3J63kzmvTx</t>
  </si>
  <si>
    <t>20/09/2022</t>
  </si>
  <si>
    <t>Mobilograma: + 15 MF.</t>
  </si>
  <si>
    <t>https://chat-conecta.recife.pe.gov.br/live/k6idPn29ShxrhceJE</t>
  </si>
  <si>
    <t>Joanna (13h23; 14h15): não atendeu. Às 16h13 atendeu e logo em seguida desligou. Nova tentativa às 17h 24 (telefone desligado)</t>
  </si>
  <si>
    <t>Ligar para 997023914</t>
  </si>
  <si>
    <t>Jessica Maria da Silva</t>
  </si>
  <si>
    <t>https://chat-conecta.recife.pe.gov.br/live/QKpizpY9bFdFvWhsC</t>
  </si>
  <si>
    <t>14/01/2023</t>
  </si>
  <si>
    <t>(Lari) Feito contato com a paciente e como ela persistia com dor apesar de analgésico e repouso, encaminhada a urgência</t>
  </si>
  <si>
    <t>https://chat-conecta.recife.pe.gov.br/live/4sK8cgSQo28JKXvj5</t>
  </si>
  <si>
    <t xml:space="preserve">21/09/2022 </t>
  </si>
  <si>
    <t>Joanna (8h11): não atendeu</t>
  </si>
  <si>
    <t xml:space="preserve">14:20 (taty) realizo telemonitoramento, paciente refere cefaleia e nega outras queixas, como ontem apresentou na maternidade 140*90, solicito ida ao posto para hoje e amanha para aferir a PA </t>
  </si>
  <si>
    <t>(Marta) Gestante entrou como novo atendimento após 2 tentativas de contato/registrado como telemonitoramento.</t>
  </si>
  <si>
    <t>(Ianne): Realizado teleatendimento e oriento procurar a maternidade devido a sangramento genital associada a prematuridade. Entretanto paciente informa não conseguir ir agora, então oriento ir ao APS ( ja que mais proximo da sua residencia) para avaliação. - Encaminho paciente para avaliação presencial.</t>
  </si>
  <si>
    <t>(Marta) Orientar que usuaria entre em contato com ACS ou vá a unidade tentar marcação de consulta com a outra enfermeira (Andrea está de férias mas informa que deixou tudo articulado com a colega da outa equipe)</t>
  </si>
  <si>
    <t>Fernanda de Oliveira Silva</t>
  </si>
  <si>
    <t>https://chat-conecta.recife.pe.gov.br/live/MeqRAbzJ8zLfgBQyQ</t>
  </si>
  <si>
    <t>13/03/2023</t>
  </si>
  <si>
    <t>Joanna (8h15; 11h24): não atendeu</t>
  </si>
  <si>
    <t>(ianne) realizar monitoramento amanha. Paciente ainda não foi na maternidade</t>
  </si>
  <si>
    <t>Eduarda Souza Soares</t>
  </si>
  <si>
    <t>https://chat-conecta.recife.pe.gov.br/live/cRsSquWYNKLkeHvPb</t>
  </si>
  <si>
    <t>27/03/2023</t>
  </si>
  <si>
    <t>Joanna (9h6; 10h57): Atendeu e desligou após identificação. Tentar novamente.taty (15:15) paciente nao atendeu; Joanna (17h7): não atendeu.</t>
  </si>
  <si>
    <t>01/07 (Joanna): Refere foi dia 29/06 ao CS Vereador Romildo Gomes, realizou 1ª consulta de PN, foi orientada quanto a normalidade do sangramento e corrimento vaginal. Nega novos episódios de sangramento. Prescrito Ácido fólico 1x/dia. Aguarda agendamento da USG e lab. Próxima consulta agendada para o dia 26/07. Cd: Oriento sinais de alerta + manutenção do PN na APS.</t>
  </si>
  <si>
    <t>No inicio do mês não conseguiu agendar PN devido indisponibilidade de profissional. Encaminhada ao CS para agendar PN e avaliação clínica.</t>
  </si>
  <si>
    <t>Foi à US e não foi avaliada. Mantém dor em BV, sensação de esvaziamento incompleto da bexiga, gotejamento pós-micção. Nega novos episódios de sangramento, último há 2 dias (descreveu como raios de sangue). Oriento buscar atendimento na urgência, visto que não tem conseguido na APS.</t>
  </si>
  <si>
    <t xml:space="preserve">#TELEMONITORAMENTO ATENDE GESTANTE# Registro que paciente forneceu o consentimento verbal livre e esclarecido para a realização da modalidade de teleconsulta. Impossibilidade de  videochamada, realizado atendeimento por ligaçao. Idade Gestacional (23sem 5d por USG 1ºT) G6 P5 (4pn/1pc) A0 Paciente refere dor lombar que irradia baixo ventre, com episodio de sangramento genital a noite. Nega corrimento, perda de liquido, queixas urinarias ou outras queixas no momento. Movimentos fetais: presente Antecedentes: Intercorrências durante a gestação (ITU, HAS, DM, leucorréias entre outras): Medicações usadas durante a gestação: Alergias: Acompanhamento Pré-Natal: dificuldade de marcção devido a enfermeira de ferias Número de consultas realizadas: 03.// cd - Realizado teleatendimento e oriento procurar a maternidade devido a sangramento genital associada a prematuridade. Entretanto paciente informa não conseguir ir agora, então oriento ir ao APS ( ja que mais proximo da sua residencia) para avaliação. - Encaminho paciente para avaliação presencial. - Informo monitoramento pela equipe do Atende Gestante amanha 30/06 - Oriento marcar o pré-natal em APS -&gt; informo que apesar da enfermeira andrea estar de ferias, outra equipe encontra-se disponivel para atendimento pré natal. </t>
  </si>
  <si>
    <t>https://chat-conecta.recife.pe.gov.br/live/GYC3QR6iYn8e6GEM2/room-info</t>
  </si>
  <si>
    <t>Taty (13:30) paciente procurou a APS  PA 110*80 em dois momentos destintos, continua sem conseguir marcação para consulta  e estava a caminho da maternidade por apresentar edema em um miLigar as 13h ( telefone para ligar:81987191246)</t>
  </si>
  <si>
    <t xml:space="preserve">paciente refere cefaleia e nega outras queixas, como ontem apresentou na maternidade 140*90, solicito ida ao posto para hoje e amanha para aferir a PA </t>
  </si>
  <si>
    <t>https://chat-conecta.recife.pe.gov.br/live/QJB57eeau4nDJQ4D6</t>
  </si>
  <si>
    <t xml:space="preserve">Joanna (8h42; 10h56): não atendeu. taty( 11:20) nao atendeu </t>
  </si>
  <si>
    <t xml:space="preserve">Taty (15:27/ 16:49 ) paciente nao atendeu </t>
  </si>
  <si>
    <t>Gestante com IG 15s3d pela DUM e 13s5d pela USG com 5s4d, G4 P2 (2PC) A1 (2022), Gravidez não planejada, usava ciclo 21, relata uso correto. Paciente atendida ontem e orientada ir na maternidade , mas nao foi por não ter quem ficque com filhos. Realata que irá hoje apos 16h da tarde.  Refere persistir com dor pelvica e "corrimento vaginal verde". Refere diminuição do sangramento. Ngea queixas urinarias outras queixas. Em uso: Metronidazol 2 comprimido 12/12h ha  3 dias, passado por medico do posto por 10 dias.  Refere uso de buscopan sem melhora. Pré natal:  irá iniciar o prénatal na UBS próxima semana -&gt; quinta feira. Refere DG em gestação anterior. cd:  - Realizado teleconsulta e oriento importancia de avaliaçao presencial devido a sangramento genital. - Encaminho paciente para avaliação presencial. - Informo monitoramento pela equipe do Atende Gestante amanha - Oriento início de pré-natal em APS - Encaminho arquivo do atendimento mediante consentimento da usuária</t>
  </si>
  <si>
    <t>Manoela Justino Alexandre Silva</t>
  </si>
  <si>
    <t>https://chat-conecta.recife.pe.gov.br/live/5oYySd2tB7vu7SBz2</t>
  </si>
  <si>
    <t xml:space="preserve">Mobilograma - 9 MF. Amanhã tem consulta de PN (rede privada) agendada. </t>
  </si>
  <si>
    <t>Mirella Kerolaine Goncalves da Silva Soares</t>
  </si>
  <si>
    <t>https://chat-conecta.recife.pe.gov.br/live/WQBx7HhJJ8xWEeY7G</t>
  </si>
  <si>
    <t>Reação alérgica à Cefalexina</t>
  </si>
  <si>
    <t>Taty (15:20; 15:30) paciente nao atendeu  + Thiago (16:30h) Paciente não atendeu</t>
  </si>
  <si>
    <t>01/07 (Joanna): Foi atendida na UPA dos Torrões, foi orientada que a reação apresentada à Cefalexina era normal e que poderia continuar uso. Encontra-se no 3º dia de tratamento, alega melhora do quadro apresentado, nega surgimento de novos efeitos colaterais ou reações adversas. Sem queixas no momento. Cd: Oriento sinais de alerta; manter acompanhamento PN na APS e PNAR.</t>
  </si>
  <si>
    <t>Reação alérgica à Cefalexina.</t>
  </si>
  <si>
    <t>https://chat-conecta.recife.pe.gov.br/live/nLu6osSqEuMqN4ogZ</t>
  </si>
  <si>
    <t>02/10/2001</t>
  </si>
  <si>
    <t>gestante com IG 38s5d pela DUM e 38s2d pela USG com 31s, a mesma refere boa movimentação fetal ao logo do dia. Nega queixas obstétricas como cólicas, contração, perdas vaginais. Nega ainda queixas urinárias. Relata não ter comparecido a última consulta de pré-natal hoje devido às fortes chuvas, mas afirma remarcação para dia 04/07/2023.</t>
  </si>
  <si>
    <t>Ligar às 17h em 04/07/2023</t>
  </si>
  <si>
    <t>Joanna (13h13): telefone atendido por alguém chamado Ulises, informou que a gestante não se encontra e que retornasse ligação às 16h.</t>
  </si>
  <si>
    <t>Joanna (16h12; 17h23): não atendeu</t>
  </si>
  <si>
    <t>Telemonitoramento (30/06): Foi à US e não foi avaliada. Mantém dor lombar que irradia para o BV, sensação de esvaziamento incompleto da bexiga, gotejamento pós-micção. Nega novos episódios de sangramento, último há 2 dias (descreveu como raios de sangue).  Relata que tentou agendar consulta de PN, mas foi informada pela ACS que não ficou nenhum profissional responsável pelos atendimento. Oriento buscar atendimento na urgência, visto que não tem conseguido na APS.</t>
  </si>
  <si>
    <t>Cilene Soares da Silva</t>
  </si>
  <si>
    <t>07331511408</t>
  </si>
  <si>
    <t>https://chat-conecta.recife.pe.gov.br/live/RnRsSvwLepg5xQYMK/user-info</t>
  </si>
  <si>
    <t>25/01/2023</t>
  </si>
  <si>
    <t>Dor tipo cólica + contrações + sangramento tipo borra</t>
  </si>
  <si>
    <t xml:space="preserve">Joanna (13h15; 14h16; 16h11; 17h20): não atendeu. </t>
  </si>
  <si>
    <t>Medo de perda gestacional</t>
  </si>
  <si>
    <t>https://chat-conecta.recife.pe.gov.br/live/J6CnHwNK2TYn4CoxG</t>
  </si>
  <si>
    <t>05/07 - Refere boa movimentação fetal, foi à consulta de PN ontem - avaliação sem alterações. Sem queixas no momento, nega sinais de alerta. Cd: Oriento paciente sobre sinais de alerta e manutenção do pré-natal.</t>
  </si>
  <si>
    <t>Telefone fixo e microsipp sem funcionar - tentar monitoramento 05/07</t>
  </si>
  <si>
    <t>https://chat-conecta.recife.pe.gov.br/live/jiALQqAWX2ut6Kf87</t>
  </si>
  <si>
    <t xml:space="preserve">Taty (08: 25) paciente iniciou tratamento para candida e continua com dor de garganta, coriza e obstrução nasal </t>
  </si>
  <si>
    <t>Gravides de risco habitual. Queixa: dor em BV intermitente e de forte intensidade há 1 dia + sintomas gripais iniciados em 26/06: dor de ouvido, desconforto na garganta, coriza. Nega sinais de alerta. Nega sintomas urinários, perdas vaginais, leucorreia, febre. Cd: Encaminho paciente para avaliação presencial (Policlínica e Maternidade Arnaldo Marques) devido dor em BV e sintomas gripais há 6 dias associados a otalgia; Oriento paciente sobre sinais de alerta + etiqueta respiratória + manutenção do PN em APS + retornar à USF UR 2 para reavaliação do quadro de vaginose, caso reavaliação não seja realizada na PMAM; Realizar TR-Ag Covid; Realizar telemonitoramento - 02/07;</t>
  </si>
  <si>
    <t>Gisele Maria da Silva Santos</t>
  </si>
  <si>
    <t>07864208479</t>
  </si>
  <si>
    <t>https://chat-conecta.recife.pe.gov.br/live/3dDmB5LEPoZwvzfyC</t>
  </si>
  <si>
    <t>Taty ( 10:00) telefone nao completa a ligação</t>
  </si>
  <si>
    <t xml:space="preserve">Taty ( 13:55) Thiago (15:10h) paciente não atende Taty ( 18:32  ) apos indentificação paciente desliga </t>
  </si>
  <si>
    <t>Queixa: disúria, leucorreia. Nega perdas vaginais nos últimos 30 dias. USG (05/06) sugestiva de gravidez anembrionada (IG = 8s); USG (21/06): imagem sugestiva de embrião sem batimentos cardíacos (Ig = 6s6d). Cd: Encaminho à maternidade Barros Lima. Obs: Envie pelo hopchat registro do atendimento.</t>
  </si>
  <si>
    <t>https://chat-conecta.recife.pe.gov.br/live/wjknzXc5SdJJ8p9pF/user-info</t>
  </si>
  <si>
    <t>Drenagem de secreção seropurulenta em FO</t>
  </si>
  <si>
    <t>Taty ( 09:55) paciente não atendeu</t>
  </si>
  <si>
    <t xml:space="preserve">Taty ( 13:55) paciente encontra-se no HBL, iniciou ATB e ira realizar uma lavagem cavitaria , o pec nao foi preenchido pois a paciente nao estava podendo falar ( preparo para o BC) falo com esposo </t>
  </si>
  <si>
    <t xml:space="preserve">6º dia pós-cesariana. Drenagem de secreção seropurulenta em FO. Encaminhada ao HBL. </t>
  </si>
  <si>
    <t>(Marta) Telemonitoramento do dia 30/06 realizado 01/07 após novas tentativas. Colocado desfecho na conduta do monitoramento do dia 30/06</t>
  </si>
  <si>
    <t>Renata Andreza Marinho da Paixao</t>
  </si>
  <si>
    <t>https://chat-conecta.recife.pe.gov.br/live/C4ovtkGsaDefWx6Q3</t>
  </si>
  <si>
    <t xml:space="preserve">Taty (08:29) telefone nao completa ligação </t>
  </si>
  <si>
    <t>Thiago (12:00) Paciente não atende à ligação. (Fabiane) tentativa às 16:10</t>
  </si>
  <si>
    <t xml:space="preserve">Gestante com 40s1d pela DUM (24/09/22) e USG 39s5d pela USG com 9s, procura o serviço com queixa de perda de líquido e tampão mucoso iniciada às 6h de hoje, juntamente a contrações dolorosas esporádicas. Nega sangramento, corrimento, queixas urinárias ou febre nos últimos dias. Refere boa movimentação fetal. Nega alergias ou comorbidades, realizou 10 consultas de pré-natal com exames normais. Encaminhada à mat. Arnaldo Marques para avaliação obstétrrica. </t>
  </si>
  <si>
    <t>05/07: Refere melhor dos sintomas gripais e dor em BV, segue em uso de creme vaginal (Canesten). Sem queixas no momento. Nega sinais de alerta. Cd: Oriento sinais de alerta e manutenção do PN na APS. Joanna (05/07 - 8h45): não atendeu. Joanna (8h15; 11h20; 14h14): não atendeu.</t>
  </si>
  <si>
    <t>Gravides de risco habitual. Queixa:dor de garganta, coriza, obstrução nasal. refere melhora da dor em BV . Cd: Da preferencia a calcinha de algodão,; não utilizar/ evitar  protetores diário, procurar dormir sem calcinha, Aplica creme vaginal antes de dormir e evitar relação sexual apos aplicação.  - Uso de mascara e realizar TR para COVID; Oriento paciente sobre sinais de alerta ;Realizar telemonitoramento - 04/07;</t>
  </si>
  <si>
    <t>Infecção de FO</t>
  </si>
  <si>
    <t>https://chat-conecta.recife.pe.gov.br/live/MDMX4sBnk4BuytErv/user-info</t>
  </si>
  <si>
    <t>Planejamento Familiar/Cuidados pós aborto</t>
  </si>
  <si>
    <t>https://chat-conecta.recife.pe.gov.br/live/tX3KMbRzZvHb44gWG</t>
  </si>
  <si>
    <t>https://chat-conecta.recife.pe.gov.br/live/cZ5afA9aswQQHGHGL/user-info</t>
  </si>
  <si>
    <t>Cefaléia + dor epigástrica</t>
  </si>
  <si>
    <t>Joanna (05/07 - 8h48; 13h54; 16h30): não atendeu. Joanna (8h23; 11h21; 14h5): não atendeu</t>
  </si>
  <si>
    <t>(Marta) O atendimento não ficou salvo no PEC, porém Thiago encaminhou o arquivo para usuária.</t>
  </si>
  <si>
    <t>Ingrid Gleyce Miranda dos Santos</t>
  </si>
  <si>
    <t>https://chat-conecta.recife.pe.gov.br/live/4YJXiE6tWzbXsPnmN</t>
  </si>
  <si>
    <t>14/04/2023</t>
  </si>
  <si>
    <t>Tontura vertigem</t>
  </si>
  <si>
    <t>Refere que foi atendida na USF Skylab II (04/07), apresentou PA = 100 x 60, solicitado MRPA, prescrito Paracetamol, reavaliação agendada para 11/07. Não foi encaminhada ao PNAR, mesmo mostrando registro do atendimento do Atende em Casa que recomendava encaminhamento em virtude do IMC &gt; 30. Cd: Oriento manutenção do PN, sinais de alerta, oferto TINC ao profissional.</t>
  </si>
  <si>
    <t>Shirlaine de Oliveira Ferreira</t>
  </si>
  <si>
    <t>https://chat-conecta.recife.pe.gov.br/live/hv8ozhsrCefAYf224</t>
  </si>
  <si>
    <t>Epigastralgia</t>
  </si>
  <si>
    <t>Joanna (9h29; 13h37): não atendeu.</t>
  </si>
  <si>
    <t xml:space="preserve">Refere que foi atendida na policlinica Bandeira filho , medicada e teve melhora da queixa </t>
  </si>
  <si>
    <t>Kalidiane Caroline Melo</t>
  </si>
  <si>
    <t>https://chat-conecta.recife.pe.gov.br/live/AiZtk26aQmuGTfyCM/user-info</t>
  </si>
  <si>
    <t>05/12/2022</t>
  </si>
  <si>
    <t xml:space="preserve">Gestante com 28s2d (DUM e USG) ainda não iniciou tratamento com miconazol, irá recebera medicação na UBS amanhã. </t>
  </si>
  <si>
    <t>Refere que em sua unidade é necessário marcar uma data para receber a medicação - registrado evento sentinela.</t>
  </si>
  <si>
    <t>Maria Vitória Moura de Lima</t>
  </si>
  <si>
    <t>https://chat-conecta.recife.pe.gov.br/live/EN6zx9cmkDyEZwyXq</t>
  </si>
  <si>
    <t>05/04/2023</t>
  </si>
  <si>
    <t>Ana Karolina Chagas Serpa Matos</t>
  </si>
  <si>
    <t>06529668454</t>
  </si>
  <si>
    <t>https://chat-conecta.recife.pe.gov.br/live/RMRKdc4C5BsLFd9XA/user-info</t>
  </si>
  <si>
    <t>06/05/23</t>
  </si>
  <si>
    <t>https://chat-conecta.recife.pe.gov.br/live/WZZJ47igGCEqbmrMx</t>
  </si>
  <si>
    <t>Joanna (8h09; 11h16; 14h7; 16h13; 17h20): não atendeu.</t>
  </si>
  <si>
    <t>https://chat-conecta.recife.pe.gov.br/live/793BsmqTmLxvhLdDB</t>
  </si>
  <si>
    <t>21/01/23</t>
  </si>
  <si>
    <t>Otalgia</t>
  </si>
  <si>
    <t>Geovana Micaelle Nascimento da Silva</t>
  </si>
  <si>
    <t>https://chat-conecta.recife.pe.gov.br/live/MLkrhpE2mo3Zf6qAY</t>
  </si>
  <si>
    <t>desconhece</t>
  </si>
  <si>
    <t>Sem queixas - Duvidas sobre IG</t>
  </si>
  <si>
    <t>Ligar apos 11h - paciente foi para maternidade (internar); 07/07 (Thiago) Às 11:15h, usuária não atendeu.</t>
  </si>
  <si>
    <t>07/07 (Thiago) Às 15:35, usuária não atendeu.16:33 (taty) tentativa sem sucesso</t>
  </si>
  <si>
    <t>https://chat-conecta.recife.pe.gov.br/live/T2DzJZDb5uzmiSFC3</t>
  </si>
  <si>
    <t>Está internada no CISAM (HAS + DMG).</t>
  </si>
  <si>
    <t>Caso do Evento Sentinela - DSVII (paciente não é da área, deu endereo da mãe)</t>
  </si>
  <si>
    <t>Maria Clara Jacinto de Oliveira</t>
  </si>
  <si>
    <t>https://chat-conecta.recife.pe.gov.br/live/wBZWCZRSTSpsGfPbo/user-info</t>
  </si>
  <si>
    <t>IG (DUM/USG): 8s4d/8s3d, G2 P0 A1 (aborto em fevereiro/2023); Condições de risco: nega. Intercorrências durante a gestação: nega. Em uso: Ácido fólico + Sulfato ferroso. Alergias: nega. Acompanhamento Pré-Natal:  USF Prof Antônio Francisco Areias (1ª consulta em 03/07 - próxima consulta agendada para 31/07). Aguarda realização de lab e USG. Queixa: cólicas esporádicas que irradia para vagina, do tipo fisgada. Nega sangramento, leucorreia, sintomas urinários, febre. Nega sinais de alerta. Ficou preocupada porque fez uma USG que evidenciou descolamento. Cd: Oriento e tranquilizo a gestante quanto ao caráter fisiológico do sintoma e acerca do achado ultrassonográfico (conduta expectante); Oriento realizar nova avaliação em casos de queixa intensa ou persistente, presença de sinais de alerta, sangramento ou outras queixas; Oriento paciente sobre sinais de alerta; Oriento manutenção do pré-natal em APS.</t>
  </si>
  <si>
    <t>https://chat-conecta.recife.pe.gov.br/live/pfG85bswFWC6Xfu2B/room-info</t>
  </si>
  <si>
    <t>https://chat-conecta.recife.pe.gov.br/live/R2vmaEuesnimaSx5P</t>
  </si>
  <si>
    <t>Ansiedade - dúvidas sobre local do PN</t>
  </si>
  <si>
    <t>Acompanhamento PN: Não iniciou PN. Refere que conforme orientação recebida ontem, foi à Upinha Dia Jardim São Paulo para agendar 1ª consulta de PN, sendo informada que não havia disponibilidade para atendimento. Em razão disso, entrou em contato com o Atende Gestante mais uma vez. Queixa: Refere crise de ansiedade frequente e episódios de choro desencadeados por preocupação com o trabalho, conflitos familiares, falecimento da mãe. Também relata dor de dente esporádica, sem episódio recente. Nega sinais de alerta. Cd: Encaminho para agendamento da 1ª consulta de PN (CS Prof Fernandes Figueira); Oriento paciente sobre sinais de alerta; uso de analgésico (Dipirona ou Paracetamol), se dor; buscar na US informações sobre atendimento odontológico.</t>
  </si>
  <si>
    <t>KALIDIANE CAROLINE MELO</t>
  </si>
  <si>
    <t>https://chat-conecta.recife.pe.gov.br/live/cjb5cZm3iZaDFNnWc/user-info</t>
  </si>
  <si>
    <t xml:space="preserve">TATY(14:12) Paciente refere melhora dos sintomas;  prurido, hiperemia vulvar, edema, corrimento ; Iniciou creme vaginal dia 07/07/2023 após ser liberado pela APS e higiene pessoal como orientado em consulta anterior </t>
  </si>
  <si>
    <t>Gestante com IG 28s2d pela DUM e pela USG, G3 P2(2PN) A0, refere discreto alívio dos sinais e sintomas de candidíase genital por ter iniciado medidas de higiene e cuidados íntimos, porém não iniciou ainda tratamento medicamentoso por não ter adquirido creme vaginal junto a sua unidade. Relata que irá receber a medicação amanhã. Nega queixas obstétricas como dor tipo cólica ou perdas vaginais como sangramento ou perda de líquido. Refere boa movimentação fetal.</t>
  </si>
  <si>
    <t>Analice Maria Cesar Barros</t>
  </si>
  <si>
    <t>01446203409</t>
  </si>
  <si>
    <t>https://chat-conecta.recife.pe.gov.br/live/aKoMMN3SX3cENnqus</t>
  </si>
  <si>
    <t>08/10/2022</t>
  </si>
  <si>
    <t>USG: placenta grau III, feto grande para IG</t>
  </si>
  <si>
    <t>Larhana Cristina dos Santos Silva</t>
  </si>
  <si>
    <t>https://chat-conecta.recife.pe.gov.br/live/7hbCfBbtKAiNoN9KZ</t>
  </si>
  <si>
    <t>(Thiago) Às 14:30 usuária se encontrava em atendimento no HMR.</t>
  </si>
  <si>
    <t>30/10/1984</t>
  </si>
  <si>
    <t>https://chat-conecta.recife.pe.gov.br/live/fcumqhPDfBKyBKQvP/room-info</t>
  </si>
  <si>
    <t xml:space="preserve">07/07 (taty as 11:32) nao atendeu </t>
  </si>
  <si>
    <t>07/07 (Thiago) Às 15:20, usuária não atendeu 16:33 (taty) telefone desligado</t>
  </si>
  <si>
    <t>https://chat-conecta.recife.pe.gov.br/live/d3KsZeJWmPzj8y3rt/user-info</t>
  </si>
  <si>
    <t>troca de medicamento prescrito para otite (usuária não encontra medicamento para compra)</t>
  </si>
  <si>
    <t>07/07 (Lari) tentativa às 08:30h; (Thiago) 12:00 usuária não atende</t>
  </si>
  <si>
    <t>(taty) Paciente refere que buscou atendimento em uma upa, onde foi medicada e iniciou o atb, refere ainda melhora dos sintomas da otalgia</t>
  </si>
  <si>
    <t>Oriento gestante com IG 23s5d pela DUM, G2 P0 A1, a se dirigir à Policlínica e Maternidade Arnaldo Marques, ou outro serviço de sua preferência para nova avaliação e substituição da referida prescrição para tratamento da otite, a mesma não encontra a medicação prescrita para a compra no primeiro atendimento.</t>
  </si>
  <si>
    <t>https://chat-conecta.recife.pe.gov.br/live/4XJ3zuEtFogaaGhyY/room-info</t>
  </si>
  <si>
    <t>otalgia</t>
  </si>
  <si>
    <t>Emanuela da Silva Souza</t>
  </si>
  <si>
    <t>01368258425</t>
  </si>
  <si>
    <t>https://chat-conecta.recife.pe.gov.br/live/qBs9n2Qjv72FBxKDm</t>
  </si>
  <si>
    <t xml:space="preserve">Refere que mantém dor em BV tipo cólica, moderada e intermitente há mais de uma semana, porém mais frequente; não observa melhora considerável, apenas alívio momentâneo quando fica em repouso. Oriento atendimento presencial. </t>
  </si>
  <si>
    <t>Gestante com 16s2d pela DUM e pela USG com 15s3d, G4 P3 (2PN 1PC) A0, procura o serviço com queixa de dor em baixo ventre tipo cólica de relacionada aos esforços. Nega queixas obstétricas como sangramento, perda de líquido ou corrimentos. Nega também febre ou queixas urinárias nos últimos dias. É acompanhada no pré-natal na unidade de saúde Waldemar de Oliveira. Refere internamento no IMIP no período de 06 a 12 de junho/23 por Pielonefrite e envia resumo de alta contendo diagnósticos durante o internamento de Passado de Tuberculose (2 episódios 2017/2022) + Pielonefrite + HASC + Asma Crônica + Passado de PE. Nega tratamento com medicação e acompanhamento para HASC. Atualmente está em uso de AAS + Carbonato de Cálcio + Nitrofurantoína + Sulfato Ferroso + Ácido Fólico. Recebeu alta do IMIP com consulta marcada para o dia 13/07/2023 no ambulatório de pré-natal de alto risco. **** Oriento medicação sintomática e reposo; sinais de alerta e ofereço TINC junto à APS.</t>
  </si>
  <si>
    <t>Ellida Tenuzia da Silva</t>
  </si>
  <si>
    <t>01450922406</t>
  </si>
  <si>
    <t>https://chat-conecta.recife.pe.gov.br/omnichannel-directory/chats/view/8SNs3dsnLs8wrRHQn</t>
  </si>
  <si>
    <t>19/01/2023</t>
  </si>
  <si>
    <t>Gestante EGBom, Glasgow 15, colaborativa, refere não ter tido náuseas e vômitos hoje. Por volta das 11h a PA foi 110x70mmHg, achou por bem fracionar a alimentação para reduzir a possibilidade de enjoo. Está esclarecida quantos aos sinais de alerta para procurar a maternidade. É defensora do parto normal e se sente confiante no processo.</t>
  </si>
  <si>
    <t>Apoio emocional.</t>
  </si>
  <si>
    <t>Taty (13:38 telefone desligado 10/07 ( taty) nao atendeu as 08:25</t>
  </si>
  <si>
    <t>https://chat-conecta.recife.pe.gov.br/live/pLyELzcJPqGReDKHZ/user-info</t>
  </si>
  <si>
    <t>https://chat-conecta.recife.pe.gov.br/live/5z8xo8AeQhuMfiGwm/user-info</t>
  </si>
  <si>
    <t>Gestante nega queixas obstétricas e gerais. Buscou o serviço para entender sobre grau de maturação da placenta e Golf Ball.</t>
  </si>
  <si>
    <t>https://chat-conecta.recife.pe.gov.br/live/ubGQFaxwmhxKcQM4J/room-info</t>
  </si>
  <si>
    <t>Beatriz Carla Silvestre Ferreira Cabral</t>
  </si>
  <si>
    <t>https://chat-conecta.recife.pe.gov.br/live/q9Bm9QzPFraHXDxkZ/members-list</t>
  </si>
  <si>
    <t>Dor pélvica + sangramento em raio de sangue (1 episódio)</t>
  </si>
  <si>
    <t>Gleicy Kitéria Gomes de Lima</t>
  </si>
  <si>
    <t>https://chat-conecta.recife.pe.gov.br/live/xRxPMbf6opH5XELwc</t>
  </si>
  <si>
    <t>não sabe</t>
  </si>
  <si>
    <t xml:space="preserve"> Crise de ansiedade</t>
  </si>
  <si>
    <t>TINC - Atendimento compartilhado</t>
  </si>
  <si>
    <t>Refere que ontem apresentou vários episódios de vômito e não conseguiu se alimentar ou ingerir líquido. Hoje apresentou melhora, porém ainda vomitou 5x, está com dor no peito ao respirar devido esforço para vomitar, conseguiu ingerir líquidos e se alimentar ao longo do dia. Não apresenta melhora das crises de ansiedade com uso de Passiflora, relata vários episódios ao longo do dia, inclusive no momento da teleconsulta.</t>
  </si>
  <si>
    <t>TINC - Contato da paciente por PEC. Monitoramento para avaliar se melhora de emese. TINC com Clarice marcada para dia 13/07. Enf andrea 81992751576</t>
  </si>
  <si>
    <t>Rebeka Vitoria Porfirio de Souza</t>
  </si>
  <si>
    <t>https://chat-conecta.recife.pe.gov.br/live/HvFduHPF7oB5RSXLu</t>
  </si>
  <si>
    <t>21/09/22</t>
  </si>
  <si>
    <t xml:space="preserve"> TATY (12:40)Paciente  41s encontra-se internada em TP ( perda de tampao mucoso e contraçoes ritmicas e intensa )</t>
  </si>
  <si>
    <t>Fazer a tarde. Pela amnha paciente vai para maternidade</t>
  </si>
  <si>
    <t>Maria Paula Gomes da Silva</t>
  </si>
  <si>
    <t>https://chat-conecta.recife.pe.gov.br/live/Pnsb2TosFh7RxtDcN</t>
  </si>
  <si>
    <t>12/12/2022</t>
  </si>
  <si>
    <t>Taty ( 13;51) paciente refere melhora nos sintomas e nao realizou a urocultura como solicitado )</t>
  </si>
  <si>
    <t>Checar se realizaçao de Exame (uroc) e sintomas. Se iniciado disuria, passar ela para rose ou mari fazer ATB</t>
  </si>
  <si>
    <t>Keila Vitoria da Silva Araujo</t>
  </si>
  <si>
    <t>https://chat-conecta.recife.pe.gov.br/live/mJfGf5cPBf3FCbWfa/room-info</t>
  </si>
  <si>
    <t xml:space="preserve"> 27/11/2022</t>
  </si>
  <si>
    <t xml:space="preserve">(10:10 - Camilla) Falo com gestante pelo celular e ela informa que está a caminho "da consulta com a médica". Combino de ligar à tarde. </t>
  </si>
  <si>
    <t>(Taty-15:20) paciente refere que procurou atendimento presenciau na maternidade barro lima, medicada e liberada, hoje refere melhora dos sintomas.</t>
  </si>
  <si>
    <t>Fazer às tarde</t>
  </si>
  <si>
    <t>Bianca de Oliveira Correia de Lima</t>
  </si>
  <si>
    <t>https://chat-conecta.recife.pe.gov.br/live/p7agoBdgGSNWDgext</t>
  </si>
  <si>
    <t>Dor lombar</t>
  </si>
  <si>
    <t>Gestante refere que dor melhorou. Oriento que observe e se piorar, busque a unidade de saúde. Reforço a importância do PN na próxima semana</t>
  </si>
  <si>
    <t>Às 14h - Resumo atendimento: Gestante G1 P0 A0 24s, com dor lombar, sem outras queixas associadas. Oriento tomar 1g de dipirona e repouso. Às 14h reavaliar. PNAR NA BARRO LIMA DEVIDO HAS E OBSESIDADE.</t>
  </si>
  <si>
    <t xml:space="preserve"> 21/09/2022</t>
  </si>
  <si>
    <t>https://chat-conecta.recife.pe.gov.br/live/N48iPCZ2xcbsycWB3/room-info</t>
  </si>
  <si>
    <t xml:space="preserve">Taty ( 08::20)paciente nao atendeu </t>
  </si>
  <si>
    <t xml:space="preserve">Taty(12;31) Paciente refere melhora, realizou coleta de URO hoje, oriento como melhora dos sintomas, mostra no PN </t>
  </si>
  <si>
    <t>Paciente refere melhora nos sintomas e nao realizou a urocultura como solicitado. Oriento quanto a importancia da realização do exame e informo monitoramento .</t>
  </si>
  <si>
    <t>Fez o primeiro atendimento e encaminhou para Ianne</t>
  </si>
  <si>
    <t>Alice Maria Oliveira de Lucena</t>
  </si>
  <si>
    <t>https://chat-conecta.recife.pe.gov.br/live/s6o4KCSvKSMnH9gWS/user-info</t>
  </si>
  <si>
    <t>Foi avaliada na Maternidade Barros Lima, prescrito Buscopan, realizará USG hoje. ianne (08h10): Usuaria não atende ligaçao</t>
  </si>
  <si>
    <t xml:space="preserve">Usuária do CS José Dustan - </t>
  </si>
  <si>
    <t>https://chat-conecta.recife.pe.gov.br/live/wvcBuPawFZnmkeiKz/room-info</t>
  </si>
  <si>
    <t>https://chat-conecta.recife.pe.gov.br/omnichannel-directory/chats/view/mGXJWwKQJv4M46wjq/room-info</t>
  </si>
  <si>
    <t>20/01/2023</t>
  </si>
  <si>
    <t>Gabriela Oliveira dos Santos Soares</t>
  </si>
  <si>
    <t>08103033456</t>
  </si>
  <si>
    <t>https://chat-conecta.recife.pe.gov.br/live/FEbFqzuu6snQNTkSE/room-info</t>
  </si>
  <si>
    <t>29/04/2023</t>
  </si>
  <si>
    <t>https://chat-conecta.recife.pe.gov.br/live/qoSNQuAyu65dzfS6D/room-info</t>
  </si>
  <si>
    <t xml:space="preserve">TATY (15:00) Paciente nao procurou atendimento presencial como orientado , porem hoje refere melhora dos sintomas. seguindo o protocolo para sintomais gripais. encaminho paciente para atendimento presencial e tr para COVID </t>
  </si>
  <si>
    <t xml:space="preserve">Ligar as 15h. Paciente procurou o atende gestante com queixas de cefaleia intensa há 3dias, otalgia E, dor nos seios da face, apresentou 1 episódio de vertigem nega febre, falta de ar.Encaminho paciente para avaliação presencial, devido a cefaleia intensa, otalgia E, apresentou 1 episódio de vertigem _ oriento realizar TR para COVID no C.S Mário Ramos </t>
  </si>
  <si>
    <t>Ruth Luiza Rodrigues</t>
  </si>
  <si>
    <t>https://chat-conecta.recife.pe.gov.br/live/DxajKj5irifgwCyDs/room-info</t>
  </si>
  <si>
    <t>taty(08:24 ) telefone nao esta disponivel no momento</t>
  </si>
  <si>
    <t>14/17 Fabiane (15:28), usuária não atendeu à ligação.</t>
  </si>
  <si>
    <t>https://chat-conecta.recife.pe.gov.br/live/rzRrKzgEYfT3saxCJ/user-info</t>
  </si>
  <si>
    <t>Foi à USF Coque (12/07), porém foi informada na recepção que não tinha profissional disponível na USF para realizar o atendimento. Orientada a retornar na segunda-feira. Também não conseguiu agendar exames porque a técnica está de licença. Não buscou atendimento na maternidade porque não tinha quem ficasse com o filho. Enc. à Maternidade; realizar telemonitoramento - 15/07. Taty ( 08:55) paciente nao atendeu</t>
  </si>
  <si>
    <t>https://chat-conecta.recife.pe.gov.br/live/hisCgH4aPCMvvTMN2/room-info</t>
  </si>
  <si>
    <t>Joanna (14h35; 15h; 18h): não atendeu.</t>
  </si>
  <si>
    <t xml:space="preserve">Paciente nao procurou atendimento presencial como orientado , porem hoje refere melhora dos sintomas. seguindo o protocolo para sintomais gripais. encaminho paciente para atendimento presencial e tr para COVID </t>
  </si>
  <si>
    <t>Crise de ansiedade</t>
  </si>
  <si>
    <t>14/07, ás 10:00h, usuária refere melhora dos sintomas, iniciou acompanhamento com psiquiatra e aguarda resultado de exames para iniciar o pré-natal. Encerro ciclo de monitoramento do AG.</t>
  </si>
  <si>
    <t>Camila Almeida da Fonseca</t>
  </si>
  <si>
    <t>08885743471</t>
  </si>
  <si>
    <t>https://chat-conecta.recife.pe.gov.br/live/XdetrSSMRryzADLzP/room-info</t>
  </si>
  <si>
    <t>14/11/2022</t>
  </si>
  <si>
    <t>Ianne&gt; Solicitado uroc// encaminhada para marcar consulta pre natal em UBS. Monitoramento segunda para checar acessoa ao pre natal e exame.</t>
  </si>
  <si>
    <t xml:space="preserve">Eliana Maria da Conceicao Silva </t>
  </si>
  <si>
    <t>09397155466</t>
  </si>
  <si>
    <t>https://chat-conecta.recife.pe.gov.br/live/pvvshwnvAfuj2gsMe/user-info</t>
  </si>
  <si>
    <t>04/11/2022</t>
  </si>
  <si>
    <t>https://chat-conecta.recife.pe.gov.br/live/pHvTLiY3YJBPZSEeT</t>
  </si>
  <si>
    <t xml:space="preserve">Camilla (09:08) </t>
  </si>
  <si>
    <t xml:space="preserve">taty (16:05) paciente não atendeuIanne (14:12) paciente não atende </t>
  </si>
  <si>
    <t>https://chat-conecta.recife.pe.gov.br/live/kzhpu6ExXb8yjWWxs</t>
  </si>
  <si>
    <t>Joanna (8h57; 14h13;16h17; 17h11): não atendeu</t>
  </si>
  <si>
    <t>https://chat-conecta.recife.pe.gov.br/live/jNfmWqDWsLwmqP8io/room-info</t>
  </si>
  <si>
    <t>(Thiago) Às 08:35h, 09:43h, paciente não atende à ligação.</t>
  </si>
  <si>
    <t>(Thiago) Às 13:30h, 17:24h, usuária não atende à ligação.</t>
  </si>
  <si>
    <t>Beatriz Fabiana da Silva</t>
  </si>
  <si>
    <t>https://chat-conecta.recife.pe.gov.br/live/L643Fb93Kij2kX5Eb/user-info</t>
  </si>
  <si>
    <t>Joanna (8h59; 14h15; 16h18; 17h13): não atendeu</t>
  </si>
  <si>
    <t>paciente procura o Atende gestante com queixa de prurido (nao sabe se por conta da tricotomia) e corrimento tipo nata ( oriento procurar APS para exame especular como no fluxo  e necessidade de tratamento</t>
  </si>
  <si>
    <t>Juliely Carolayne Rodrigues da Silva</t>
  </si>
  <si>
    <t>https://chat-conecta.recife.pe.gov.br/live/GpaYYmnupDTZznWcG</t>
  </si>
  <si>
    <t>05/05/23</t>
  </si>
  <si>
    <t>Medica entrou em contato. Quadro de vomitos</t>
  </si>
  <si>
    <t>A paciente entrou via demanda espontânea após tentativas sem sucesso de telemonitoramento.</t>
  </si>
  <si>
    <t>Flaviana Revoredo de Oliveira Nunes</t>
  </si>
  <si>
    <t>https://chat-conecta.recife.pe.gov.br/live/BuCz7Xed8HLuMgr7H/room-info</t>
  </si>
  <si>
    <t>14/07 (09:05)Paciente informa  que ontem apresentou piora dos sintomas cefaleia e êmese, procurando a emergência  da Maternidade Arnaldo Marques, avaliada PA 100*80, medicada e liberada, hoje refere melhora dos sintomas, nega sinais de alerta, distúrbios visuais.</t>
  </si>
  <si>
    <t xml:space="preserve">Ana Gabriela Antonio do Nascimento </t>
  </si>
  <si>
    <t>https://chat-conecta.recife.pe.gov.br/live/fsP6CrxEu5mJ3rrMv</t>
  </si>
  <si>
    <t>Dúvida sobre componentes de produto capilar</t>
  </si>
  <si>
    <t>https://chat-conecta.recife.pe.gov.br/live/ZurN4hzh97k2fxL4m/user-info</t>
  </si>
  <si>
    <t>Desconhecida.</t>
  </si>
  <si>
    <t>Natalia Bordalo</t>
  </si>
  <si>
    <t>05717648430</t>
  </si>
  <si>
    <t>https://chat-conecta.recife.pe.gov.br/live/5B93yNxNMkzdLt5Y4</t>
  </si>
  <si>
    <t>21/05/2023</t>
  </si>
  <si>
    <t>Foi ao HMR, confirmou-se ITU (EAS com alteração, resultado da urocultura estará disponível dia 19/07), prescrito Nitrofurantoína 100mg 6/6h, retornará para reavaliação no HMR dia 19/07.</t>
  </si>
  <si>
    <t>Profissional assistente ciente do caso pois recebeu notificação, realizado discursão do caso</t>
  </si>
  <si>
    <t>Katia Cristina Lopes do Rego</t>
  </si>
  <si>
    <t>09815364413</t>
  </si>
  <si>
    <t>https://chat-conecta.recife.pe.gov.br/live/5g9hf3Btciz6RKSro</t>
  </si>
  <si>
    <t>fabianesouza85@gmail.com</t>
  </si>
  <si>
    <t>Joanna (9h30; 14h16): não atendeu; 16h18; 17h13 - desligado</t>
  </si>
  <si>
    <t>https://chat-conecta.recife.pe.gov.br/live/m9eH8esjhZzgB2Dyt</t>
  </si>
  <si>
    <t>Ligar às 13h - Thiago, em 16/07/23 às 13:40h, paciente se encontrava na Maternidade Arnaldo Marques para atendimento.</t>
  </si>
  <si>
    <t>https://chat-conecta.recife.pe.gov.br/live/X4XheMmbxzud2SvZJ</t>
  </si>
  <si>
    <t>05/05/2023</t>
  </si>
  <si>
    <t>16/07 Ana Cintra (10:00), paciente não atende à ligação.</t>
  </si>
  <si>
    <t>16/07 Ana Cintra (15:20), paciente não atende à ligação.</t>
  </si>
  <si>
    <t>https://chat-conecta.recife.pe.gov.br/live/77GHgzgMdRFbPvHiq#&amp;gid=1&amp;pid=3</t>
  </si>
  <si>
    <t>Aguardo resposta do evento sentinela.</t>
  </si>
  <si>
    <t>Debora Farias de Lima</t>
  </si>
  <si>
    <t>https://chat-conecta.recife.pe.gov.br/live/Cpkxo5qFB8QkFMK4P/user-info</t>
  </si>
  <si>
    <t>07/12/2022</t>
  </si>
  <si>
    <t>Taty (09:20) paciente refere melhora dos sintomas ( diarreia e emese )</t>
  </si>
  <si>
    <t>https://chat-conecta.recife.pe.gov.br/live/qpLDn9EKzdv5uqGoZ/room-info</t>
  </si>
  <si>
    <t>16/07 Ana Cintra (17:30) (18:00), paciente não atende à ligação.</t>
  </si>
  <si>
    <t xml:space="preserve"> 16/07 Ana Cintra (18:30), paciente não atende à ligação.</t>
  </si>
  <si>
    <t>17/07 - Taty relizou monitoramento e usuária estava sendo atendida no IMIP</t>
  </si>
  <si>
    <t xml:space="preserve">Gleicy Kitéria Gomes de Lima </t>
  </si>
  <si>
    <t>Millena Pereira da Silva</t>
  </si>
  <si>
    <t>https://chat-conecta.recife.pe.gov.br/live/YGzKJaSWehkx9uWpj/room-info</t>
  </si>
  <si>
    <t>03/01/2023</t>
  </si>
  <si>
    <t xml:space="preserve">Taty( 08:50) telefone desligado </t>
  </si>
  <si>
    <t>taty (16:07 telefone desligado (Fabi - 14:40) desligado</t>
  </si>
  <si>
    <t>https://chat-conecta.recife.pe.gov.br/live/bEpTmdRdsGuNJJfEd/room-info</t>
  </si>
  <si>
    <t>07/12/2023</t>
  </si>
  <si>
    <t>10/112022</t>
  </si>
  <si>
    <t>Joanna fez novamente em 19/07</t>
  </si>
  <si>
    <t>Mariana Rikaelly dos Santos</t>
  </si>
  <si>
    <t>https://chat-conecta.recife.pe.gov.br/live/ucLzv2vDnYWrQrLLw/room-info</t>
  </si>
  <si>
    <t>04/05/2023</t>
  </si>
  <si>
    <t>https://chat-conecta.recife.pe.gov.br/omnichannel-directory/chats/view/T8gESdjdNeD4KHbkE</t>
  </si>
  <si>
    <t xml:space="preserve">camilla (10:30) taty ( 07:50) telefone oculpado </t>
  </si>
  <si>
    <t xml:space="preserve">Taty ( 16:56 ) telefone oculpado </t>
  </si>
  <si>
    <t>Geovana Monique da Silva Trajino</t>
  </si>
  <si>
    <t>https://chat-conecta.recife.pe.gov.br/live/LnNf2jJC4eWqdJCbi/members-list</t>
  </si>
  <si>
    <t>15/10/2022</t>
  </si>
  <si>
    <t>Perda de tampão mucoso e contrações de treinamento</t>
  </si>
  <si>
    <t>Ana Karolina de Franca Jeronimo</t>
  </si>
  <si>
    <t>https://chat-conecta.recife.pe.gov.br/live/R6ZChdpQzG4ewFYAB/room-info</t>
  </si>
  <si>
    <t xml:space="preserve">Taty (15:37) gestante com mobilograma normal, porem refere disuria ( ardencia em uretra e dor ao final da micção) , e dor em BV </t>
  </si>
  <si>
    <t>Paciente reside em agua fria, mas optou por continuar PN paulista</t>
  </si>
  <si>
    <t>https://chat-conecta.recife.pe.gov.br/live/hKkTX5kstAmHXbS5p/room-info</t>
  </si>
  <si>
    <t xml:space="preserve">desconhecida </t>
  </si>
  <si>
    <t>Taty ( 08:11) telefone oculpado; Joanna (14h; 17h): telefone desligado</t>
  </si>
  <si>
    <t>https://chat-conecta.recife.pe.gov.br/live/uJKDTh2hsrvjJNiwZ/room-info</t>
  </si>
  <si>
    <t xml:space="preserve">Não realizou EAS + urocultura. Mantém queixa. Joanna (8h16): não atendeu. </t>
  </si>
  <si>
    <t>Atendimento estava registrado como monitoramento.</t>
  </si>
  <si>
    <t>Cassiane Kethyle da Silva Ferreira</t>
  </si>
  <si>
    <t>https://chat-conecta.recife.pe.gov.br/live/eQbtZZhzkLJELB5mC</t>
  </si>
  <si>
    <t xml:space="preserve">Hemorroida </t>
  </si>
  <si>
    <t>https://chat-conecta.recife.pe.gov.br/live/EThC4wQChFHJycp4Y/user-info</t>
  </si>
  <si>
    <t>FABIANE</t>
  </si>
  <si>
    <t>(Fabiane) Às 08:50h, paciente não atende à ligação. 10:00h, Paciente colheu urocultura hoje, consulta PN na APS 25/07, sem queixas no momento, alta do monitoramento.</t>
  </si>
  <si>
    <t>Apoio Emocional - A coordenação de saúde da mulher (DS I): já articulou agendamento da consulta de PN e consulta com psicologo. Paciente já está ciente.</t>
  </si>
  <si>
    <t>Raynara Thaina da Silva Lima</t>
  </si>
  <si>
    <t>https://chat-conecta.recife.pe.gov.br/live/KKwY6tjiRf7nXo4Lm/user-info</t>
  </si>
  <si>
    <t>41semanas</t>
  </si>
  <si>
    <t>ligar as 13h (Taty) Telefone não completa chamada</t>
  </si>
  <si>
    <t xml:space="preserve">paciente com 41s ( estava com encaminhamento da aps, nega perdas vaginais, contração irregulares, indolor, porem duradoras (50´´) </t>
  </si>
  <si>
    <t>Niedja Maria do Nascimento</t>
  </si>
  <si>
    <t>06992220446</t>
  </si>
  <si>
    <t>https://chat-conecta.recife.pe.gov.br/live/EWYeSfFGgaW4f9Qgm</t>
  </si>
  <si>
    <t>27/11/2022</t>
  </si>
  <si>
    <t>Refere que foi ao CS Prof Joaquim Cavalcante para agendar PN em 20/07, foi orientada a aguardar visita do ACS com programação da consulta de PN. PN na rede privada está agendado para o dia 01/08.</t>
  </si>
  <si>
    <t>Rede privada</t>
  </si>
  <si>
    <t>Emily Andreinna Silva de Arruda</t>
  </si>
  <si>
    <t>https://chat-conecta.recife.pe.gov.br/live/nTZCvJWe3BNEYYmBu</t>
  </si>
  <si>
    <t>Prurido intenso nos pés</t>
  </si>
  <si>
    <t xml:space="preserve">Gestante refere que foi atendida na USF Brasilit e que foi informada sobre a possibilidade de reação alérgica, sem outras alterações identificadas. Durante telemonitoramento a ligação caiu e não foi possível estabelecer novo contato. Encerro telemonitoramento, visto que a gestante já foi avaliada presencialmente. </t>
  </si>
  <si>
    <t>Teleconsulta x teletriagem (Marta lembrar/Alany/Kleber)</t>
  </si>
  <si>
    <t>05/08/2019</t>
  </si>
  <si>
    <t>https://chat-conecta.recife.pe.gov.br/live/nwx4J5XacJQDZL8h9</t>
  </si>
  <si>
    <t>Foi à Maternidade Prof. Bandeira Filho, porém não aguardou atendimento. Refere melhora da disúria e cólica. Mantém pirose e desconforto gástrico leve (flatulência). Nega queixas obstétricas e sinais de alerta.</t>
  </si>
  <si>
    <t xml:space="preserve">Aguardo retorno sobre evento sentinela. Inclusive pelo histórico já foi realizado um evento sobre esse caso. </t>
  </si>
  <si>
    <t>https://chat-conecta.recife.pe.gov.br/live/hEuxna8bHfKjWDk6p/room-info</t>
  </si>
  <si>
    <t>https://chat-conecta.recife.pe.gov.br/live/tNhKPRpuicHkeJ46S/room-info</t>
  </si>
  <si>
    <t>Dúvida sobre alimentação</t>
  </si>
  <si>
    <t>Mirella Roberto Alves da Cruz</t>
  </si>
  <si>
    <t>09713035410</t>
  </si>
  <si>
    <t>https://chat-conecta.recife.pe.gov.br/live/9sD9mrSx9ZgkwWnG4</t>
  </si>
  <si>
    <t>16/04/2023</t>
  </si>
  <si>
    <t>(THIAGO) Às 09:00h, usuária não atende à chamada.</t>
  </si>
  <si>
    <t>(Thiago) Às 12:00h, usuária refere melhora do sangramento (01 episódio ontem), nega qualquer tipo de perda vaginal no momento; nega também outras queixas como dor em baixo ventre tipo cólica, contrações ou queixas urinárias. Finalizo monitoramento pelo AG.</t>
  </si>
  <si>
    <t>https://chat-conecta.recife.pe.gov.br/live/5WS5qjTe5WecM8rez/user-info</t>
  </si>
  <si>
    <t>(THIAGO) Às 09:05h, usuária compareceu em 22/07/23 à maternidade Arnaldo Marques, foi avaliada, medicada e liberada em seguida com melhora importante do quadro de dor em baixo ventre e contrações. Encerro monitoramento.</t>
  </si>
  <si>
    <t>Fabiola Estevao do Carmo</t>
  </si>
  <si>
    <t>https://chat-conecta.recife.pe.gov.br/live/TMRnqErcwEsjsGDMv</t>
  </si>
  <si>
    <t>12/10/2022</t>
  </si>
  <si>
    <t>CONTRAÇÕES</t>
  </si>
  <si>
    <t>(THIAGO) Às 09:50h, 10:20h, usuária não atende à chamada.</t>
  </si>
  <si>
    <t>Às 15:00h, telefone indisponível.</t>
  </si>
  <si>
    <t>Foi atendida dia 27 via demanda espontânea</t>
  </si>
  <si>
    <t>thiago.sandes@recife.pe.gov.br</t>
  </si>
  <si>
    <t>Claudia Rebeca da Silva</t>
  </si>
  <si>
    <t>07002578456</t>
  </si>
  <si>
    <t>https://chat-conecta.recife.pe.gov.br/live/wyxToaeYRS4RDSseP/user-info</t>
  </si>
  <si>
    <t>20/12/2022</t>
  </si>
  <si>
    <t>Joyce Silva Bezerra</t>
  </si>
  <si>
    <t>https://chat-conecta.recife.pe.gov.br/live/h3ggcuHQz2AHchky5</t>
  </si>
  <si>
    <t>02/02/2023</t>
  </si>
  <si>
    <t>(ianne) 03h35: paciente não atendeu. Joanna (15h7; 17h): não atendeu</t>
  </si>
  <si>
    <t xml:space="preserve">29/07 (Joanna): Refere que não apresentou novo episódio de sangramento. Segue sem queixas no momento. </t>
  </si>
  <si>
    <t>Deisiane da Silva Santana</t>
  </si>
  <si>
    <t>https://chat-conecta.recife.pe.gov.br/live/WL7wiYM5ft</t>
  </si>
  <si>
    <t>Palpitaçao</t>
  </si>
  <si>
    <t>(ianne) Orientaçoes de manter PNAR</t>
  </si>
  <si>
    <t>Camila Zoppi</t>
  </si>
  <si>
    <t>03923058950</t>
  </si>
  <si>
    <t>https://chat-conecta.recife.pe.gov.br/live/WywfPYywXSZmq7Bha</t>
  </si>
  <si>
    <t>22/05/2023</t>
  </si>
  <si>
    <t>Ligar a tarde, está indo fazer USG</t>
  </si>
  <si>
    <t>Realizado.</t>
  </si>
  <si>
    <t>Apoio emocional</t>
  </si>
  <si>
    <t>https://chat-conecta.recife.pe.gov.br/live/TABf6vNCQKJQij4C5</t>
  </si>
  <si>
    <t>(ianne) Paciente internada no HMR para controle pressorico</t>
  </si>
  <si>
    <t>Vamos monitorar com 1 semna devido paciente internada com 31semanas para ontrole pressorico. Escolhemos 1 semanas devido ao internamento provavevlmente ser mais prolongado. Se tiver alta dar apoio em relaçao ao controle pressorico, se tiver bebe vamos oferecer acompanhamento para puerperio</t>
  </si>
  <si>
    <t>Maria Eduarda de Lira</t>
  </si>
  <si>
    <t>https://chat-conecta.recife.pe.gov.br/live/9pEbyuxrv7vfAB9JC/user-info</t>
  </si>
  <si>
    <t>Joanna  (15h; 15h30; 17h): telefone indisponível</t>
  </si>
  <si>
    <t>29/07: Refere que apresenta contrações dolorosas esporádicas ao longo dia, hoje apenas 1 episódio. Mobilograma realizado dia 26/07 = 10 MF. Fez teleinterconsulta com médica do plano de saúde, foi descartado TP e outras intercorrências. Nega sangramento, perda de LA, sintomas urinários, cefaleia, febre. Queixa-se de dor na região anal (hemorroida), fissuras, constipação. Cd: Oriento atendimento presencial se sinais de alerta, TP, aumento da intensidade da dor na região anal, endurecimento do botão hemorroidário, sangramento retal; Recomendo dieta rica em fibras, aumentar ingestão de líquidos.</t>
  </si>
  <si>
    <t>https://chat-conecta.recife.pe.gov.br/live/E9MnafrXRHXgwhQg9</t>
  </si>
  <si>
    <t>https://chat-conecta.recife.pe.gov.br/live/HgtZ6fTkGDkMyraJ4#&amp;gid=1&amp;pid=4</t>
  </si>
  <si>
    <t xml:space="preserve">(taty) Paciente encontr-se internada no Hospital Barão de Lucena, desde do dia 27/07/2023,  para controle pressórico. prescrito MgSO4 e hoje em uso de metildopa., oligodramnio? Devido paciente ja internada no hospital Barão de Lucena  com assistência garantida. - Oriento se caso necessite de novo atendimento entre em contanto e oriento quanto a oferta  de teleconsulta puerperal pelo atende gestante </t>
  </si>
  <si>
    <t>https://chat-conecta.recife.pe.gov.br/live/miifKxkgztCgdgBc6</t>
  </si>
  <si>
    <t>https://chat-conecta.recife.pe.gov.br/live/qF2xWyZQTwvikZqum/room-info</t>
  </si>
  <si>
    <t>https://chat-conecta.recife.pe.gov.br/live/TfxzphDR2C948mnk8</t>
  </si>
  <si>
    <t>https://chat-conecta.recife.pe.gov.br/live/K3bY7GwqA2YG2etio/user-info</t>
  </si>
  <si>
    <t>Refere melhora da lombalgia, mantém contrações indolores. Oriento acerca dos sinais de alerta e TP, manutenção do PN na APS.</t>
  </si>
  <si>
    <t>Karina Silva de Amorim</t>
  </si>
  <si>
    <t>https://chat-conecta.recife.pe.gov.br/live/4Wd5hihZNxJL3fZzT</t>
  </si>
  <si>
    <t>Ligar às 9h (Ana Cintra) Às 09:15h, usuária não atende à chamada.</t>
  </si>
  <si>
    <t>(Thiago) Às 16:15h, usuária não atende à chamada.</t>
  </si>
  <si>
    <t>04/11/2023</t>
  </si>
  <si>
    <t>Grazielly Kelly Silva dos Santos</t>
  </si>
  <si>
    <t>https://chat-conecta.recife.pe.gov.br/live/u84QCyJBEQHWaSqsc</t>
  </si>
  <si>
    <t>Queda da própria altura</t>
  </si>
  <si>
    <t>Paciente refere que caiu da própria altura no dia 29/07/23  devido o chão esta molhado, no momento sem queixas ,refere melhora da cólica e nega sinais de alerta.</t>
  </si>
  <si>
    <t xml:space="preserve">queda da própria altura </t>
  </si>
  <si>
    <t>Emillayne Adriana da Silva</t>
  </si>
  <si>
    <t>https://chat-conecta.recife.pe.gov.br/live/u2RNWNjg4S49vLrnP/user-info</t>
  </si>
  <si>
    <t>18/02/2023</t>
  </si>
  <si>
    <t>PACIENTE NAO ATENDEU (16:30); Joanna (17h05): não atendeu</t>
  </si>
  <si>
    <t>05/08 (Joanna): Foi atendida dia 01/08 na USF Tia Regina, encontra-se no D8 (D0: 29/07), mantém coriza, nega sinais de alerta e queixas obstétricas.</t>
  </si>
  <si>
    <t>Renata Maria da Conceicao</t>
  </si>
  <si>
    <t>https://chat-conecta.recife.pe.gov.br/live/34jDtqtrDAiBv3bCM</t>
  </si>
  <si>
    <t>30/03/2023</t>
  </si>
  <si>
    <t>Ligar às 13h  *Joanna (13h24; 17h): não atendeu.</t>
  </si>
  <si>
    <t>ianne (15h17) Paciente não atendeu, mas pelo PEC foi atendida na UBS e inicado metronidazol</t>
  </si>
  <si>
    <t>https://chat-conecta.recife.pe.gov.br/live/3vnpKaTnjrd6vsdJe/user-info</t>
  </si>
  <si>
    <t>Lesões na pele</t>
  </si>
  <si>
    <t xml:space="preserve">Taty (09:06 ) Telefone nao completa a ligação </t>
  </si>
  <si>
    <t xml:space="preserve">Taty (16:42 ) Telefone nao completa a ligação </t>
  </si>
  <si>
    <t xml:space="preserve">Ketheury Andrade dos Santos </t>
  </si>
  <si>
    <t>https://chat-conecta.recife.pe.gov.br/live/R9ffWzkfZpvvQq7p6/user-info</t>
  </si>
  <si>
    <t>Não consegue marcar pré natal</t>
  </si>
  <si>
    <t>(Marta) Ligar a tarde, DS informa ES que usuária será atendida hoje na USF</t>
  </si>
  <si>
    <t>Gestante refere que que melhorou dos sintomas, porém, ainda não conseguiu inciar o PN. Na unidade de saúde, orientada que retornasse na semana seguinte.</t>
  </si>
  <si>
    <t>Marta -  Reportado evento sentinela DSVI - USF Pina</t>
  </si>
  <si>
    <t>https://chat-conecta.recife.pe.gov.br/live/nbE6NYQuxEkwsfDBP/user-info</t>
  </si>
  <si>
    <t xml:space="preserve"> 06/05/2023</t>
  </si>
  <si>
    <t>Ligar para esse numero 81993804960. (Thiago) Às 14:48h, 17:09h, usuária não atande à chamada.</t>
  </si>
  <si>
    <t xml:space="preserve">05/08: Refere que não conseguiu realizar a remarcação da consulta de PN no CS Prof Fernandes Figueira. Mantém cefaleia leve, sem sinais de alerta. Parou uso do Metildopa por conta própria, pois relata que após uso sente muito mal-estar, inclusive desmaiou ontem. PA aferida ontem = 100 x 70. Não consegue aferir no momento porque a filha não está em casa. Cd: Oriento que se PA ≥ 160/110 mmHg e/ou presença de sinais de alerta e/ou persistência da dor ou mudança no padrão de dor, buscar atendimento na urgência. </t>
  </si>
  <si>
    <t>Usuária impossibilitada de atender à vídeo chamada, solicita que retornemos a ligação às 14h.</t>
  </si>
  <si>
    <t>https://chat-conecta.recife.pe.gov.br/live/cQLvW7NwNeFRZdSK7/user-info</t>
  </si>
  <si>
    <t>(Thiago) Às 15:45, usuária não atende à chamada.</t>
  </si>
  <si>
    <t>(Thiago) Às 18:00h, usuária não atende à chamada.</t>
  </si>
  <si>
    <t>Usuária solicita contato às 14:30h.</t>
  </si>
  <si>
    <t>(Thiago) Às 08:20h, usuária não atende à chamada.</t>
  </si>
  <si>
    <t>Cleyce da Silva Borgues</t>
  </si>
  <si>
    <t>07615206430</t>
  </si>
  <si>
    <t>https://chat-conecta.recife.pe.gov.br/live/jgSGX9bpP7RpC8GBR</t>
  </si>
  <si>
    <t>Taty (16:19) telefone desligado ligar apos 16h - paciente encaminhada para urgencia</t>
  </si>
  <si>
    <t>// 04/08 (Lari) Telefone desligado</t>
  </si>
  <si>
    <t>Marta - para identificar até onde fiz a atualização dos dados de: "Mora em área de ESF" // 04/08 (Lari) Telefone desligado</t>
  </si>
  <si>
    <t>https://chat-conecta.recife.pe.gov.br/live/ybSxw6NBZFzhFpaPm/room-info</t>
  </si>
  <si>
    <t>monitoramento</t>
  </si>
  <si>
    <t>Suelen Izabel Santos da Silva</t>
  </si>
  <si>
    <t>https://chat-conecta.recife.pe.gov.br/omnichannel-directory/chats/view/ShD3RJjwiGo2pocKu/room-info</t>
  </si>
  <si>
    <t>(Thiago) Às 15:47h, paciente refere que procurou o posto de saúde hoje pela manhã, onde foi afrida PA e glicemia capilar, estando ambos normais. Nega outras quaixas. Encerro monitoramento.</t>
  </si>
  <si>
    <t xml:space="preserve">Marta - para identificar até onde fiz a atualização dos dados de: "Mora em área de ESF" </t>
  </si>
  <si>
    <t>Carla Alves de Oliveira Santos</t>
  </si>
  <si>
    <t>https://chat-conecta.recife.pe.gov.br/live/SaQ9gY92RWAhxRd7n/user-info</t>
  </si>
  <si>
    <t>26/05/2023</t>
  </si>
  <si>
    <t>rinite alérgica</t>
  </si>
  <si>
    <t>Maria Eduarda Santana dos Santos</t>
  </si>
  <si>
    <t>https://chat-conecta.recife.pe.gov.br/live/9ym8LveJLBfvE3qYR/user-info</t>
  </si>
  <si>
    <t>18/05/2023</t>
  </si>
  <si>
    <t xml:space="preserve">Taty (09:15) ligar a tarde 14h, paciente na policlinica para realizar USG </t>
  </si>
  <si>
    <t xml:space="preserve">taty (14:00) paciente procurou atendimento, e realizou  USG trasvaginal, como apresentou queixa de disuria + corrimento vaginal, com antecedentes de ITU recorrentes em gestação anterior, encaminho novamente a urgencia, para realizçao do su </t>
  </si>
  <si>
    <t xml:space="preserve">telefone da mae da paciente </t>
  </si>
  <si>
    <t>Tais Makishi da Silva</t>
  </si>
  <si>
    <t>https://chat-conecta.recife.pe.gov.br/live/kgtD9X4m7A8v9QjpS</t>
  </si>
  <si>
    <t>28/10/2022</t>
  </si>
  <si>
    <t>Secreção leitosa em pouca quantidade, sem prurido ou edema de genitália externa.</t>
  </si>
  <si>
    <t>Macilene Santos Barros</t>
  </si>
  <si>
    <t>https://chat-conecta.recife.pe.gov.br/live/tbpKedXxbo5W8AFha/members-list</t>
  </si>
  <si>
    <t xml:space="preserve"> desconhecida</t>
  </si>
  <si>
    <t>Joanna (9h19): telefone indisponível. 12h52: Encontra-se na Maternidade Bandeira Filho, pariu hoje, segue sem queixas.</t>
  </si>
  <si>
    <t>https://chat-conecta.recife.pe.gov.br/omnichannel-directory/chats/view/AxBQfb53bMLDaJDTZ/room-info</t>
  </si>
  <si>
    <t>Dor em BV + vontade de evacuar + sensação de peso na vagina</t>
  </si>
  <si>
    <t xml:space="preserve">Taty ( 09:25) ligar as 17h telefone do esposo, ele nao estava em casa ( 11:30) monitoramento realizado, gestante nao procurou o serviço como orientado, relata que ira hoje , mantem queixas, porem durante o atendimento nao foi relatado contrações </t>
  </si>
  <si>
    <t>constipação + dor BV</t>
  </si>
  <si>
    <t>(Thiago) Às 10:22h, usuária não atende à chamada. (Thiago) Às 15:48h, usuária não atende à chamada.</t>
  </si>
  <si>
    <t>Joanna (09/08): Foi atendida na USF Coqueiral dia 07/08, orientada quanto as alterações fisiológicas da gravidez. Consulta de PN agendada para dia 10/08. Mantém dor lombar. Nega leucorreia, sintomas urinários e sinais de alerta. Oriento paciente sobre sinais de alerta; Oriento manutenção do PN na APS; Oriento medidas de alivio para lombalgia.</t>
  </si>
  <si>
    <t xml:space="preserve">Telefone so para ligação  (81994811870- TELEFONE DO ESPOSO QUE SE ESTIVER EM CASA RECEBE WHATZAPP) </t>
  </si>
  <si>
    <t>(Thiago) Às 08:25h, usuária com telefone desligado.</t>
  </si>
  <si>
    <t>https://chat-conecta.recife.pe.gov.br/live/MRJjCwZTsTddX2hCJ/user-info</t>
  </si>
  <si>
    <t>(Ana Cintra) Às 8:40h usuária não atende à chamada.</t>
  </si>
  <si>
    <t>(Thiago) Às 15:59h, usuária com telefone desligado.</t>
  </si>
  <si>
    <t>(Thiago) Às 08:45h, usuária não atende à chamada.</t>
  </si>
  <si>
    <t>23/10/2022</t>
  </si>
  <si>
    <t>08/08 (Lari) Paciente bastante ansiosa, refere sincope e persistencia da cefaleia. Encaminho a emergencia.</t>
  </si>
  <si>
    <t>https://chat-conecta.recife.pe.gov.br/live/4f8XjkgJ3fpFc6h6e/room-info</t>
  </si>
  <si>
    <t>(Ana Cintra) Às 8:50h usuária não atende à chamada.</t>
  </si>
  <si>
    <t>(Thiago) Às 16:09h, usuária não atende à chamada.</t>
  </si>
  <si>
    <t>Amanda Vitoria da Silva</t>
  </si>
  <si>
    <t>https://chat-conecta.recife.pe.gov.br/live/3cN2HBJf7TATwtF83/room-info</t>
  </si>
  <si>
    <t>25/12/2022</t>
  </si>
  <si>
    <t xml:space="preserve">dor abd ( regiao umbilical ),+ hiperemia de vulva </t>
  </si>
  <si>
    <t>Tamires Pereira Goncalves</t>
  </si>
  <si>
    <t>08921673431</t>
  </si>
  <si>
    <t>https://chat-conecta.recife.pe.gov.br/live/dxTnpesE2DueBRyTT/members-list</t>
  </si>
  <si>
    <t>22/04/2023</t>
  </si>
  <si>
    <t>(Thiago) Às 15:00h, usuária não atende à chamada.</t>
  </si>
  <si>
    <t>Ligar às 15h para confirmação de acesso à UBS.</t>
  </si>
  <si>
    <t>Bianca de Carvalho Lemos Cunha</t>
  </si>
  <si>
    <t>https://chat-conecta.recife.pe.gov.br/live/zL9CDX4TmiGL7RZa8</t>
  </si>
  <si>
    <t>27/06/2023</t>
  </si>
  <si>
    <t>(Thiago) Às 09:47h, usuária não atende à chamada.</t>
  </si>
  <si>
    <t>(Thiago) Às 11:24h, usuária informa que compareceu hoje pela manhâ a 1ª consulta de PNRH em Us 373 Usf Cidade Operaria.</t>
  </si>
  <si>
    <t>Monitoramento em 17/08 para confirmação de acesso ao pré-natal em USF.</t>
  </si>
  <si>
    <t>Denise Bezerra da Silva</t>
  </si>
  <si>
    <t>https://chat-conecta.recife.pe.gov.br/live/x7D7yzm6tGatdjy8n/room-info</t>
  </si>
  <si>
    <t>(Camilla) Às 16:10, celular da paciente desligado</t>
  </si>
  <si>
    <t>Paciente atendeu e estava no CISAM, em processo de internamento, em virtude de PA alterada.</t>
  </si>
  <si>
    <t>Thayza Vitoria Ramos de Lima</t>
  </si>
  <si>
    <t>https://chat-conecta.recife.pe.gov.br/omnichannel-directory/chats/view/RNkN2GdyEpNmGTEqj/room-info</t>
  </si>
  <si>
    <t>07/03/2023</t>
  </si>
  <si>
    <t xml:space="preserve">taty(09:09 ) Paciente refere melhora do sangramento feito orientação </t>
  </si>
  <si>
    <t>23/11/2022</t>
  </si>
  <si>
    <t>Tainara Maria Oliveira</t>
  </si>
  <si>
    <t>https://chat-conecta.recife.pe.gov.br/direct/9DDXcgmpmFt3JMM58TQcuSEArNi4YqW2MZ</t>
  </si>
  <si>
    <t xml:space="preserve">TATY (09:31)  Tentativa sem sucesso </t>
  </si>
  <si>
    <t>(Camilla)</t>
  </si>
  <si>
    <t>Em 08/08/23 - Confirmar acesso a unidade de referência na APS; e em 10/08/23 - confirmar acesso a Arnaldo Marques em virtude da IG corresponder a 41s.</t>
  </si>
  <si>
    <t xml:space="preserve"> 01/03/23</t>
  </si>
  <si>
    <t>Joanna (8h55): solicitou que ligasse às 14h. Joanna (14h10; 16h39): não atendeu</t>
  </si>
  <si>
    <t>Foi à consulta de PNAR no IMIP hoje. Prescrito AAS 100 mg 1x/dia, Metildopa 250 mg 8/8h. Retorno programada para dia 23/08. Sem queixas no momento. Cd: Oriento manutenção do PNAR no IMIP e inicio do PN na APS; Informo que a consulta de PN na APS está agendada para o dia 11/08.</t>
  </si>
  <si>
    <t>Bruna Eugenia de Melo Vicente</t>
  </si>
  <si>
    <t>08568515401</t>
  </si>
  <si>
    <t>https://chat-conecta.recife.pe.gov.br/live/dSX7enYC9jgK6j7cq</t>
  </si>
  <si>
    <t>Debora Jeronimo da Silva</t>
  </si>
  <si>
    <t>06646982473</t>
  </si>
  <si>
    <t>https://chat-conecta.recife.pe.gov.br/live/7ik7WiwjkTdC2BS6X</t>
  </si>
  <si>
    <t>11/08 (Lari) Realizado monitoramento. Prescrito antibiotico para sludge. Paciente sem sangramento. PN agendado.</t>
  </si>
  <si>
    <t>Kamily Maria Peres da Hora</t>
  </si>
  <si>
    <t>https://chat-conecta.recife.pe.gov.br/live/AJ49EijrDZX5G2DFC</t>
  </si>
  <si>
    <t>corrimento vaginal</t>
  </si>
  <si>
    <t>Parto realizado há 9 meses</t>
  </si>
  <si>
    <t>https://chat-conecta.recife.pe.gov.br/live/2XeuA4jDKvc2NSikT/room-info</t>
  </si>
  <si>
    <t>ligar as 10h, avaliação do mobilograma - (Marta) Entrou novamente como demanda espontânea, colocado monitoramento para amanhã devido encaminhamento à maternidade</t>
  </si>
  <si>
    <t>https://chat-conecta.recife.pe.gov.br/live/vJtYN95y7h3GwYCtj/user-info</t>
  </si>
  <si>
    <t xml:space="preserve">11/08 (Lari) Paciente não atendeu. Taty ( 08:27) Paciente nao atendeu </t>
  </si>
  <si>
    <t>Maria Vitoria do Carmo Bento Bezerra Lola</t>
  </si>
  <si>
    <t>https://chat-conecta.recife.pe.gov.br/live/Nuownrgf5oF776qiZ</t>
  </si>
  <si>
    <t>Dor e edema MIE</t>
  </si>
  <si>
    <t>(Thiago) Às 09:23h, telefone da usuária não recebe a chamada.</t>
  </si>
  <si>
    <t>(Thiago) Às 18:02h, telefone da usuária não recebe a chamada.</t>
  </si>
  <si>
    <t>Isabela Alves Ribeiro</t>
  </si>
  <si>
    <t>https://chat-conecta.recife.pe.gov.br/live/mekEqDjc6wbnzdj7k/user-info#&amp;gid=1&amp;pid=4</t>
  </si>
  <si>
    <t>13/02/22</t>
  </si>
  <si>
    <t>Elaine (9h; 11h15): não atendeu.</t>
  </si>
  <si>
    <t>Agendada visita a maternidade Barros Lima para o dia 31/08. Oriento sinais de alerta e trabalho de parto ativo.</t>
  </si>
  <si>
    <t>Ana Karolayne Santos Silva</t>
  </si>
  <si>
    <t>https://chat-conecta.recife.pe.gov.br/live/6n9ftZLqquKcpbQu9/user-info</t>
  </si>
  <si>
    <t>03/11/2022</t>
  </si>
  <si>
    <t>Dúvida quanto aos sinais do TP</t>
  </si>
  <si>
    <t xml:space="preserve">Natalia Ferreira de Sales </t>
  </si>
  <si>
    <t>05166807499</t>
  </si>
  <si>
    <t>https://chat-conecta.recife.pe.gov.br/omnichannel-directory/chats/view/HjP4rCbhZvBEGFrSC</t>
  </si>
  <si>
    <t>10/12/2022</t>
  </si>
  <si>
    <t>O número de telefone deste atendimento é da enfermeira da USF Adriana.</t>
  </si>
  <si>
    <t>Samara Sandra Santana Silva</t>
  </si>
  <si>
    <t>09343711484</t>
  </si>
  <si>
    <t>https://chat-conecta.recife.pe.gov.br/live/D5WjvZume8NsboLoa/user-info</t>
  </si>
  <si>
    <t xml:space="preserve"> 10/01/2023</t>
  </si>
  <si>
    <t>Dúvidas sobre LT intraparto e parto humanizado.</t>
  </si>
  <si>
    <t>https://chat-conecta.recife.pe.gov.br/live/nAhSynitkBekefoAq/user-info</t>
  </si>
  <si>
    <t xml:space="preserve">02/04/2023 </t>
  </si>
  <si>
    <t>08886917422</t>
  </si>
  <si>
    <t>https://chat-conecta.recife.pe.gov.br/live/EaKQZtuifFYMa8QDg/user-info</t>
  </si>
  <si>
    <t>Michelle Caroline Barbosa</t>
  </si>
  <si>
    <t>01352820471</t>
  </si>
  <si>
    <t>https://chat-conecta.recife.pe.gov.br/live/uFtpWgcC3QiGaaZ3h</t>
  </si>
  <si>
    <t>11/12/2022</t>
  </si>
  <si>
    <t>Queixa: Presença de secreção com descrição compatível com tampão mucoso.</t>
  </si>
  <si>
    <t>Rebeca Raysa Correia da Silva</t>
  </si>
  <si>
    <t>https://chat-conecta.recife.pe.gov.br/live/XewiedrmYo3NKhRBF</t>
  </si>
  <si>
    <t>13/07/2023</t>
  </si>
  <si>
    <t xml:space="preserve">Taty ( 08:52) Telefone desligado (10:24) Telefone desligado (12:26 ) telefone desligado </t>
  </si>
  <si>
    <t xml:space="preserve">(Thiago) Às 13:56h, 17:40h, usuária não atende à chamada. Taty(14/08 as 08:47) paciente nao atende a chamada </t>
  </si>
  <si>
    <t>Tentar monitoramento em 18/08/2023 para confirmar acesso ao PNRH em APS.</t>
  </si>
  <si>
    <t>Emanuele Maria Coelho dos Prazeres</t>
  </si>
  <si>
    <t>https://chat-conecta.recife.pe.gov.br/live/4e7pWqi78u36zfWMf/user-info#&amp;gid=1&amp;pid=4</t>
  </si>
  <si>
    <t>( ianne) 13h30 gestante não atende ligaçao</t>
  </si>
  <si>
    <t>(ianne) 15h40 gestante não atende ligaçao</t>
  </si>
  <si>
    <t>Realizar telemonitoramento visto que perdeu seguimento no PN da APS e PNAR.</t>
  </si>
  <si>
    <t>14/12/2022</t>
  </si>
  <si>
    <t>Rafaely Domingos dos Santos</t>
  </si>
  <si>
    <t>09638619481</t>
  </si>
  <si>
    <t>https://chat-conecta.recife.pe.gov.br/live/uw3NHHSnpKsJ7S7Ps/user-info</t>
  </si>
  <si>
    <t>18/11/2022</t>
  </si>
  <si>
    <t xml:space="preserve">Taty (08:42) Paciente nao atendeu (10:23) Paciente nao atendeu ( 12:20) nao atendeu </t>
  </si>
  <si>
    <t xml:space="preserve">(Thiago) Às 14:04h, 17:42h, usuária não atende à chamada. Taty (14/08 as 08:56) paciente não atendeu </t>
  </si>
  <si>
    <t>https://chat-conecta.recife.pe.gov.br/live/zyzDnbev5qiQ6NkaK</t>
  </si>
  <si>
    <t>(Thiago) Às 11:15h, gestante com quadro inalterado de pródromos de TP, contactar às 15h para nova reavaliação.</t>
  </si>
  <si>
    <t>Gestante iniciando pródromos do TP, ligar às 11h de hoje para avaliação do quadro.</t>
  </si>
  <si>
    <t>(Thiago) Às 16:00h, usuária encaminhada à Barros Lima, IG 41s.</t>
  </si>
  <si>
    <t>https://chat-conecta.recife.pe.gov.br/omnichannel-directory/chats/view/iJgJQFXgXWF5vBCD5</t>
  </si>
  <si>
    <t xml:space="preserve">Taty ( 08:37) Telefone desligado ( </t>
  </si>
  <si>
    <t>taty (18:11)Paciente se encontra na baarro Lima, PC as 11:41, rn apresentou desconforto respiratorio, esta em obs e puerpera em enfermaria  ; ianne (14h42) não atende</t>
  </si>
  <si>
    <t>Usuária encaminhada à maternidade barros Lima por IG avançada 41s, confirmar acesso à maternidade.</t>
  </si>
  <si>
    <t>Eloiza Oliveira Barros Silva</t>
  </si>
  <si>
    <t>https://chat-conecta.recife.pe.gov.br/live/DuaSxpoc2PTCTf95k/room-info</t>
  </si>
  <si>
    <t xml:space="preserve">Taty (14:51 ) telefone desligado </t>
  </si>
  <si>
    <t xml:space="preserve">Sem vinculação a APS - registrado evento sentinela </t>
  </si>
  <si>
    <t>Mariana Guedes Neves de Oliveira</t>
  </si>
  <si>
    <t>https://chat-conecta.recife.pe.gov.br/live/SCwZB43bs3vzy5gTf/room-info</t>
  </si>
  <si>
    <t xml:space="preserve">Taty( 08:15) Telefone não nao existe </t>
  </si>
  <si>
    <t>Taty( 16:14) Telefone não nao existe (18/08 Thiago) Telefone ocupado</t>
  </si>
  <si>
    <t xml:space="preserve">CS Ivo Rabelo </t>
  </si>
  <si>
    <t>Esther Tacianne Paz Araujo Santos</t>
  </si>
  <si>
    <t>https://chat-conecta.recife.pe.gov.br/live/oHZJjZvruALqsntDg</t>
  </si>
  <si>
    <t>19/04/2023</t>
  </si>
  <si>
    <t>Natalia Oliveira Silva</t>
  </si>
  <si>
    <t>08477858403</t>
  </si>
  <si>
    <t>https://chat-conecta.recife.pe.gov.br/live/KEGnCFoh2ujrzkwfT</t>
  </si>
  <si>
    <t xml:space="preserve">Taty ( 08:10) paciente não atendeu </t>
  </si>
  <si>
    <t xml:space="preserve">Taty (17:11) paciente buscou atendimento presencial, continua com sintomatoligia, oriento realizar exame para COVID </t>
  </si>
  <si>
    <t>Lucilene Ferreira da Silva</t>
  </si>
  <si>
    <t>07912410414</t>
  </si>
  <si>
    <t>https://chat-conecta.recife.pe.gov.br/live/hftbkgDbwpg6GaSzi/user-info</t>
  </si>
  <si>
    <t>13/01/2023</t>
  </si>
  <si>
    <t>(Thiago) paciente fora da residência, pede para retomar a ligação às 9:00h.</t>
  </si>
  <si>
    <t>18/08(Thiago) Às 11:40h, gestante apresenta melhora dos níveis glicêmicos. Trasnfiro cuidado para APS, ofereço TINC.</t>
  </si>
  <si>
    <t>Ligar às 15h, checar com a gestante os valores da curva glicêmica de hoja e amanhã e ver possibilidade de antecipação da consulta de PNAR.</t>
  </si>
  <si>
    <t>Stefane Alves Brasil</t>
  </si>
  <si>
    <t>https://chat-conecta.recife.pe.gov.br/live/CxmEHvLrRAmj2Kgzk/user-info</t>
  </si>
  <si>
    <t>21/02/2023</t>
  </si>
  <si>
    <t xml:space="preserve">Taty ( 09:06 ) telefone desligado </t>
  </si>
  <si>
    <t>(Thiago) Às 13:55h, telefone da usuária desligado/ocupado.</t>
  </si>
  <si>
    <t>Maria Eduarda da Silva Farias</t>
  </si>
  <si>
    <t>https://chat-conecta.recife.pe.gov.br/live/eHcsJ6ig4jmhfts34</t>
  </si>
  <si>
    <t>(Thiago) Às 18:10h, paciente encaminhada a Barros Lima para avaliação presencial por sangramento transvaginal e pródromos.</t>
  </si>
  <si>
    <t>Ligar as 18h</t>
  </si>
  <si>
    <t>https://chat-conecta.recife.pe.gov.br/omnichannel-directory/chats/view/6WDXR7o8x8mfv2o4Q</t>
  </si>
  <si>
    <t>Evellyn Nicoly Oliveira da Silva</t>
  </si>
  <si>
    <t>https://chat-conecta.recife.pe.gov.br/live/WxHKLMNdCnL68dSpt/room-info</t>
  </si>
  <si>
    <t>02/03/2023</t>
  </si>
  <si>
    <t>dor ao respirar + dificuldade para respirar</t>
  </si>
  <si>
    <t xml:space="preserve">Taty ( 09:13) telefone desligado </t>
  </si>
  <si>
    <t>(Thiago) Às 13:45h, paciente não atende à chamada telefônica.</t>
  </si>
  <si>
    <t>Mirele dos Santos Freires</t>
  </si>
  <si>
    <t>https://chat-conecta.recife.pe.gov.br/live/3xiPPRLE3gx8Yv53w</t>
  </si>
  <si>
    <t>Dúvidas com resultado de USG obstétrica.</t>
  </si>
  <si>
    <t>Fabiane (14:50) Paciente não realizou o teste para covid 19, D5 do inicio dos sintomas</t>
  </si>
  <si>
    <t>ligar a tarde ( orientei realizar teste para COVID )</t>
  </si>
  <si>
    <t xml:space="preserve">TATY (09:20) Paciente encontra -se internada na barro Lima em trabalho de parto. , </t>
  </si>
  <si>
    <t>Ligar para confirmar acesso à maternidade Barros Lima.</t>
  </si>
  <si>
    <t>Talita de Oliveira Noronha</t>
  </si>
  <si>
    <t>09194447411</t>
  </si>
  <si>
    <t>https://chat-conecta.recife.pe.gov.br/live/H6q3nfX9MWhywQM4f/user-info</t>
  </si>
  <si>
    <t>20/03/2023</t>
  </si>
  <si>
    <t>(Thiago) Às 08:00h, usuária não atende à chamada.</t>
  </si>
  <si>
    <t>(Thiago) Às 11:48h, gestante comfirma boa movimentação fetal de ontem para hoje. Cofirmar acesso à APS em 22/08/23.</t>
  </si>
  <si>
    <t>Ligar pela manhã para avaliar movimentação fetal. (Marta - gestante de área do Cs Pam Ceasa, porém faz PN particular)</t>
  </si>
  <si>
    <t>Adrielle Albuquerque Jeremias Souto da Silva</t>
  </si>
  <si>
    <t>https://chat-conecta.recife.pe.gov.br/direct/9DDXcgmpmFt3JMM58NcmyoDSPPFwkbXMjA</t>
  </si>
  <si>
    <t>Doença hemorroidária no puerpério.</t>
  </si>
  <si>
    <t>Faltou colocar resumo do monitoramento</t>
  </si>
  <si>
    <t>Avaliar desconforto e dor por doença hemorroidária.</t>
  </si>
  <si>
    <t>https://chat-conecta.recife.pe.gov.br/live/aZhxETHA4qdwDmdop/user-info</t>
  </si>
  <si>
    <t xml:space="preserve"> 13/01/2023</t>
  </si>
  <si>
    <t>Alteração dos níveis de glicemia capilar - HGT.</t>
  </si>
  <si>
    <t>(Marta - monitoramento era do dia 17/08)</t>
  </si>
  <si>
    <t xml:space="preserve">11:40 ( taty) Paciente nao atendeu </t>
  </si>
  <si>
    <t xml:space="preserve">ianne (14h) paciente não atende  taty ( 15:33)  Paciente nao atendeu </t>
  </si>
  <si>
    <t>Mariana Barboza Lopes</t>
  </si>
  <si>
    <t>https://chat-conecta.recife.pe.gov.br/live/SAt5rm4fgfKbZkhkL</t>
  </si>
  <si>
    <t>05/03/2023</t>
  </si>
  <si>
    <t>(Thiago) Às 08:30h, usuária realizou teste para covid19 - negativo.</t>
  </si>
  <si>
    <t>Confirmar a realização do teste para covid 19. (Thiago) usuária fornece celular do companheiro para contato para vídeochamada - 81987066010.</t>
  </si>
  <si>
    <t>Lilian Vitoria de Souza Santana</t>
  </si>
  <si>
    <t>https://chat-conecta.recife.pe.gov.br/live/hqESioDsgkC7tG4dd/room-info</t>
  </si>
  <si>
    <t>13/06/2023</t>
  </si>
  <si>
    <t>Gestante sem queixas no momento. Oriento manutenção do PN e urocultura de controle após tto de ITU.</t>
  </si>
  <si>
    <t>https://chat-conecta.recife.pe.gov.br/live/bf5LQHyprZ2cTZySX</t>
  </si>
  <si>
    <t xml:space="preserve">taty ( 12:35 Paciente refere diminuição da dor, porem ainda exteriorizada  , ausência de evacuações hoje , continua com os cuidados orientados </t>
  </si>
  <si>
    <t>Shirley Soares Lopes</t>
  </si>
  <si>
    <t>01829481452</t>
  </si>
  <si>
    <t>https://chat-conecta.recife.pe.gov.br/omnichannel-directory/chats/view/5WhmNNhw275RxACZs/room-info</t>
  </si>
  <si>
    <t>Queixas relacionadas à amamentação</t>
  </si>
  <si>
    <t>(Camilla) Tento contato às 08:18, sem sucesso (telefone fora de área ou desligado)</t>
  </si>
  <si>
    <t>(Camilla) Tento contato às 14:22 sem sucesso (telefone fora de área ou desligado), (Thiago) Às 17:38h, usuária não atente à chamada.</t>
  </si>
  <si>
    <t>https://chat-conecta.recife.pe.gov.br/live/jtjSmJHNP5kvBXqFC/room-info</t>
  </si>
  <si>
    <t>prurido intenso no corpo</t>
  </si>
  <si>
    <t xml:space="preserve">(Fabiane) tento contato as 14:00 sem sucesso </t>
  </si>
  <si>
    <t>15:50 ( taty) tentativa sem sucesso, numero indisponivel. (Thiago) Às 17:40h, número indisponível.</t>
  </si>
  <si>
    <t>Rafaella Patrícia Francisca de Lima</t>
  </si>
  <si>
    <t>09077054480</t>
  </si>
  <si>
    <t>https://chat-conecta.recife.pe.gov.br/live/bT23zKeSWL4CxpKjb/room-info</t>
  </si>
  <si>
    <t>16/05/2023</t>
  </si>
  <si>
    <t>Às 09:12 não atendeu.</t>
  </si>
  <si>
    <t>Realizado o telemonitoramento. Gestante sem queixas hoje. Foi a maternidade hoje, onde foi orientada manter medicação de asma. Oriento que siga o PN e que apenas em caso de asma de difícil controle é que deveria ser encaminhada ao PNAR.</t>
  </si>
  <si>
    <t>https://chat-conecta.recife.pe.gov.br/live/J4C3kmHHkZCzY2suq/room-info</t>
  </si>
  <si>
    <t>https://chat-conecta.recife.pe.gov.br/live/MdHoASDQqS5nDcDgq</t>
  </si>
  <si>
    <t>https://chat-conecta.recife.pe.gov.br/live/7oxQJtA8bZxHM5pTY/members-list</t>
  </si>
  <si>
    <t>Risomar Almeida de Moraes</t>
  </si>
  <si>
    <t>05428508426</t>
  </si>
  <si>
    <t>https://chat-conecta.recife.pe.gov.br/live/jfYRaadEZyExva5di/room-info</t>
  </si>
  <si>
    <t>14/07/23</t>
  </si>
  <si>
    <t>taty ( 09:19) paciente refere melhora da falta de ar, porem relata vertigem / tontura, refoço a importancia da avaliação na APS</t>
  </si>
  <si>
    <t>https://chat-conecta.recife.pe.gov.br/live/SZ7bLje7RiY2q4bBi/room-info</t>
  </si>
  <si>
    <t xml:space="preserve">Taty( 09:58) telefone desligado </t>
  </si>
  <si>
    <t xml:space="preserve">ianne (13h50) dando erro pelo microsip (numero bloqueado?) taty (16:50) paciente nao atendeu </t>
  </si>
  <si>
    <t>Mabia Barbara Mendes</t>
  </si>
  <si>
    <t>07162770428</t>
  </si>
  <si>
    <t>https://chat-conecta.recife.pe.gov.br/live/CKEQ67Y4RKTNttNzq</t>
  </si>
  <si>
    <t>19/06/2023</t>
  </si>
  <si>
    <t xml:space="preserve">TATY (08:16) Paciente nao atendeu </t>
  </si>
  <si>
    <t xml:space="preserve">Taty (15:28) gestante no curso da 8 semanas, nao procurou atendimento  , IMC 42, sintomas, congestao nasal supervisora </t>
  </si>
  <si>
    <t>https://chat-conecta.recife.pe.gov.br/live/evDroRMP7ADwt4iMn</t>
  </si>
  <si>
    <t xml:space="preserve">Taty ( 10:04) Paciente nao atendeu </t>
  </si>
  <si>
    <t>ianne (16h50) monitorar quinta</t>
  </si>
  <si>
    <t>Talita Patrício Cavalcanti da Silva</t>
  </si>
  <si>
    <t>https://chat-conecta.recife.pe.gov.br/live/PXsxvdmW6PyCdjzcn</t>
  </si>
  <si>
    <t>Orientações quanto ao momento para se apresentar à maternidade.</t>
  </si>
  <si>
    <t xml:space="preserve">Taty( 09:49) Paciente nao atendeu </t>
  </si>
  <si>
    <t>Ianne (13h45) paciente submetida a cesariana, internada na maternidade</t>
  </si>
  <si>
    <t>Gestante completa 41s em 22/08, feto pélvico, ligar para confirmar acesso à Maternidade Barros Lima.</t>
  </si>
  <si>
    <t>14/06/2023</t>
  </si>
  <si>
    <t>Taty (09:46) Paciente nao atendeu</t>
  </si>
  <si>
    <t xml:space="preserve">Taty (15:28) Paciente nao atendeu </t>
  </si>
  <si>
    <t xml:space="preserve">paciente nao procurou atendimento como orientado e apresentou queixas de tontura e vertigem aos esforços, referindo melhora na falta de ar </t>
  </si>
  <si>
    <t>https://chat-conecta.recife.pe.gov.br/live/Rp2uAtgqWRdLfoyGk/room-info</t>
  </si>
  <si>
    <t>Ilana Carla Bento Pereira</t>
  </si>
  <si>
    <t>08594293429</t>
  </si>
  <si>
    <t>https://chat-conecta.recife.pe.gov.br/live/jLATi78fRSpFX4s7W</t>
  </si>
  <si>
    <t>ianne: Ajustado metildopa. Ofertado TINC</t>
  </si>
  <si>
    <t>https://chat-conecta.recife.pe.gov.br/live/2Hwdrk5nZhyAcHr3j</t>
  </si>
  <si>
    <t>ianne (08h30) telefone desligado</t>
  </si>
  <si>
    <t>ianne (15h35) paciente não atende</t>
  </si>
  <si>
    <t xml:space="preserve">Fazer comparativo de FO e abdome. </t>
  </si>
  <si>
    <t>Rita de Cassia Pereira de Menezes</t>
  </si>
  <si>
    <t>https://chat-conecta.recife.pe.gov.br/live/ytbQNpFFpfAjec9TY/members-list</t>
  </si>
  <si>
    <t xml:space="preserve"> 08/05/2023</t>
  </si>
  <si>
    <t>23/08 15h (Lari) Realizado monitoramento. Paciente assintomática, procurou atendimento com PA normal. R// AAS + Cálcio</t>
  </si>
  <si>
    <r>
      <rPr>
        <b/>
        <sz val="10"/>
        <color theme="1"/>
        <rFont val="Arial"/>
        <charset val="134"/>
      </rPr>
      <t>Ligar às 15h.</t>
    </r>
    <r>
      <rPr>
        <sz val="10"/>
        <color theme="1"/>
        <rFont val="Arial"/>
        <charset val="134"/>
      </rPr>
      <t xml:space="preserve"> Gestante portadora de HASC, em uso de metildopoa 500mg/dia, apresentando cefaléia intensa. Ligar para confirmar acesso à Barros Lima - faltou 1ª consulta do PNAR no HMR.</t>
    </r>
  </si>
  <si>
    <t>Rosa Maria da Silva Pontes</t>
  </si>
  <si>
    <t>09242838403</t>
  </si>
  <si>
    <t>https://chat-conecta.recife.pe.gov.br/live/KWRrFujNCZRsLaCFC</t>
  </si>
  <si>
    <t xml:space="preserve">Taty (15:21) Não completa ligaçãi pelo fixo  </t>
  </si>
  <si>
    <t>(Thiago) Às 17:40h, Telefone não recebe chamada pelo fixo.</t>
  </si>
  <si>
    <t xml:space="preserve">Ligar em 24/08/2023 </t>
  </si>
  <si>
    <t>Janderlane Maria da Silva</t>
  </si>
  <si>
    <t>https://chat-conecta.recife.pe.gov.br/live/6XPQQHbRCfs4Rq3aZ</t>
  </si>
  <si>
    <t>cefaleia</t>
  </si>
  <si>
    <t>ianne: orientaçoes sobre puerperio/ rede de apoio/ descanso</t>
  </si>
  <si>
    <t>Ligar as 11h30</t>
  </si>
  <si>
    <t>Vanessa Claudino Gomes</t>
  </si>
  <si>
    <t>08724492469</t>
  </si>
  <si>
    <t>https://chat-conecta.recife.pe.gov.br/live/dTQ3qE7oukKNpo72D</t>
  </si>
  <si>
    <t>25/03/2023</t>
  </si>
  <si>
    <t>Cefaleia + náuseas e vômitos</t>
  </si>
  <si>
    <t>ianne: paciente com melhora dos sintomas. solicito urocultura pós tratamento p ITU</t>
  </si>
  <si>
    <t>Reavaliar sinais e sintomas de gastroenterite.</t>
  </si>
  <si>
    <t>(Thiago) Às 08:22h, usuária não atende à chamada.</t>
  </si>
  <si>
    <t>(Thiago) Às 17:30h, usuária nã atende à ligação.</t>
  </si>
  <si>
    <t>07092486440</t>
  </si>
  <si>
    <t>https://chat-conecta.recife.pe.gov.br/omnichannel-directory/chats/view/HtkoLhL5nfdrMvdKJ/room-info</t>
  </si>
  <si>
    <t>08/05/2023</t>
  </si>
  <si>
    <t>https://chat-conecta.recife.pe.gov.br/live/zGe8KhrzFAbn2EjxR/room-info</t>
  </si>
  <si>
    <t>cefaleia + nauseas e vomitos</t>
  </si>
  <si>
    <t>https://chat-conecta.recife.pe.gov.br/live/heYXCgpSowCDsTQD2/room-info</t>
  </si>
  <si>
    <t>(Thiago) ÀS 08:34h, telefone da usuária desligado.</t>
  </si>
  <si>
    <t>(Thiago) ÀS 17:30h, telefone da usuária desligado.</t>
  </si>
  <si>
    <t>Luana de Souza Diehl</t>
  </si>
  <si>
    <t>09048100461</t>
  </si>
  <si>
    <t>https://chat-conecta.recife.pe.gov.br/live/evTiafidrQAAFpHms</t>
  </si>
  <si>
    <t>08/11/2022</t>
  </si>
  <si>
    <t xml:space="preserve">taty( 10:54) telefone desligado </t>
  </si>
  <si>
    <t xml:space="preserve">Taty ( 14:21) paciente procurou atendimento, foi avaliada e retonara dia 28/08/23 para realizar USG, no momento refere colicas, contração indolores </t>
  </si>
  <si>
    <t>Confirmar acesso à Barros Lima - Pródromos de TP.</t>
  </si>
  <si>
    <t>https://chat-conecta.recife.pe.gov.br/live/RmWckvWoYF8A3wp59</t>
  </si>
  <si>
    <t>Rayssa Rane Santos do Nascimento da Silva</t>
  </si>
  <si>
    <t>https://chat-conecta.recife.pe.gov.br/live/wqmFQN84wTQsAeiaF/room-info</t>
  </si>
  <si>
    <t>23/06/2023</t>
  </si>
  <si>
    <t xml:space="preserve">Taty( 11:20) paciente procurou atendimento presencial, sem queixas e refere melhora do sangramneto </t>
  </si>
  <si>
    <t>https://chat-conecta.recife.pe.gov.br/live/uxqtezwCGC37f4ju3/user-info</t>
  </si>
  <si>
    <t xml:space="preserve"> 23/06/23</t>
  </si>
  <si>
    <t>https://chat-conecta.recife.pe.gov.br/live/GYq2nZoGxHaNNfabY/room-info</t>
  </si>
  <si>
    <t>Karen Cecilia da Silva</t>
  </si>
  <si>
    <t>https://chat-conecta.recife.pe.gov.br/live/npiPb4KkctNMfYHr7/room-info</t>
  </si>
  <si>
    <t>05/07/2023</t>
  </si>
  <si>
    <t>Rayany Souza Gomes</t>
  </si>
  <si>
    <t>https://chat-conecta.recife.pe.gov.br/omnichannel-directory/chats/view/qsEwSyN3Xi4F5BNfk#&amp;gid=1&amp;pid=1</t>
  </si>
  <si>
    <t>Dúvidas quanto ao momento de procurar a maternidade para o parto.</t>
  </si>
  <si>
    <t xml:space="preserve">08:34 (taty) paciente nao atendeu </t>
  </si>
  <si>
    <t>15h13 (ianne) Paciente não atende telefone. IG 40sem 6 + HASG. internada?</t>
  </si>
  <si>
    <t>Confirmar acesso à maternidade Arnaldo Marques - gestante com 40s5d, HASG e obesidade ( paciente com dois registros no PEC) .</t>
  </si>
  <si>
    <t>Taise Maria Lima Silva</t>
  </si>
  <si>
    <t>https://chat-conecta.recife.pe.gov.br/live/PtFArmYXsqJDAxpEu</t>
  </si>
  <si>
    <t>31/01/2023</t>
  </si>
  <si>
    <t>Vanessa da Silva Pessoa</t>
  </si>
  <si>
    <t>https://chat-conecta.recife.pe.gov.br/live/NjQyPJfX33Fox9MF5/members-list</t>
  </si>
  <si>
    <t>8h25 (Lari) Não atedeu</t>
  </si>
  <si>
    <t>15:20 ( telefone desligado</t>
  </si>
  <si>
    <t>Gestante em pródromos, confirmar se a paciente deflagrou o TP.</t>
  </si>
  <si>
    <t>Kaylane Carine Dias Pereira</t>
  </si>
  <si>
    <t>https://chat-conecta.recife.pe.gov.br/live/AHdLbJKSsWKkznkEf/user-info</t>
  </si>
  <si>
    <t>28/05/2023</t>
  </si>
  <si>
    <t xml:space="preserve">Dor em BV / abdominal </t>
  </si>
  <si>
    <t xml:space="preserve">Entrou como demanda diura hoje - registrado como teleconsulta (Marta). (Taty) Paciente informou que procurou atendimento presencial , onde realizou uma nova USG transvaginal , medicada e recebeu alta, hoje sem queixas </t>
  </si>
  <si>
    <t>Jessica Maria Ferreira de Matos</t>
  </si>
  <si>
    <t>09926155421</t>
  </si>
  <si>
    <t>https://chat-conecta.recife.pe.gov.br/live/dtYC7zpeR7jvcxs5s</t>
  </si>
  <si>
    <t>(Thiago) Às 13:20h, usuária não atende à chamada.</t>
  </si>
  <si>
    <t xml:space="preserve">monitoramento para observar aspecto da secreção ( referiu perda com presença de sangramento, porem na imagem encaminhada secreção Mucoide); </t>
  </si>
  <si>
    <t>Marina Gabriele Pires da Silva |</t>
  </si>
  <si>
    <t>https://chat-conecta.recife.pe.gov.br/live/NWy8fvQ3RKnEt4oNH#&amp;gid=1&amp;pid=9</t>
  </si>
  <si>
    <t xml:space="preserve">09:07( taty) telefone sesligado </t>
  </si>
  <si>
    <t>(Thiago) Às 13:17h, usuária não atende à chamada.</t>
  </si>
  <si>
    <t>https://chat-conecta.recife.pe.gov.br/live/CsbhzhYgS3G9h5MGC/room-info</t>
  </si>
  <si>
    <t xml:space="preserve">dúvidas USG </t>
  </si>
  <si>
    <t>Crislayne Nascimento da Silva</t>
  </si>
  <si>
    <t>08897467458</t>
  </si>
  <si>
    <t>https://chat-conecta.recife.pe.gov.br/live/HeNbNXRRQAsjeYdNu/members-list</t>
  </si>
  <si>
    <t xml:space="preserve"> 12/02/2023</t>
  </si>
  <si>
    <t>Dúvida quanto ao resultado da USG obstétrica.</t>
  </si>
  <si>
    <t>Danielly Mayra Batista dos Santos</t>
  </si>
  <si>
    <t>09725947444</t>
  </si>
  <si>
    <t>https://chat-conecta.recife.pe.gov.br/live/nREB6dRLKiM4zrHjr/room-info</t>
  </si>
  <si>
    <t>02/02/23</t>
  </si>
  <si>
    <t xml:space="preserve">09:39 (Taty) Não atendeu a chamada </t>
  </si>
  <si>
    <t xml:space="preserve">14H ( Taty)  paciente nao atendeu </t>
  </si>
  <si>
    <t>Gisele Thais da Conceicao Ferreira</t>
  </si>
  <si>
    <t>https://chat-conecta.recife.pe.gov.br/live/9x2Zj6bi7Pp7EDHSe</t>
  </si>
  <si>
    <t>09/01/2023</t>
  </si>
  <si>
    <t>Desconfortos referentes ao terceiro trimestre.</t>
  </si>
  <si>
    <t>https://chat-conecta.recife.pe.gov.br/live/NHLvgyBvFhw5tJwsT#&amp;gid=1&amp;pid=1</t>
  </si>
  <si>
    <t>FO com secreção serosanguinolenta</t>
  </si>
  <si>
    <t>Em atendimento</t>
  </si>
  <si>
    <t>( Thiago) Às 15:35h, o telefone da usuária não está disponível.</t>
  </si>
  <si>
    <t>(Thiago) Às 18:10h, usuária não recebeu visita da equipe ainda, FO ainda secretiva. Monitorar e avliar estado de FO amanhã.</t>
  </si>
  <si>
    <t>(Marta - Registro do dia 01/09 não foi realizado no PEC porque o mesmo estava fora do ar, Thiago não conseguiu realizar o registro tardio, informado 04/09). Monitorar acesso à APS, puérpera 16 dias pós PC aguarda visita da equipe da USF.</t>
  </si>
  <si>
    <t>Ana Carolina Timoteo da Silva</t>
  </si>
  <si>
    <t>08970731423</t>
  </si>
  <si>
    <t>https://chat-conecta.recife.pe.gov.br/live/73fhEmNukJSdeSAps/room-info</t>
  </si>
  <si>
    <t>12/07/2023</t>
  </si>
  <si>
    <t>08:22 (Taty) paciente nao atendeu</t>
  </si>
  <si>
    <t xml:space="preserve">13:10 (taty) nao atendeu </t>
  </si>
  <si>
    <t xml:space="preserve">Joana Darc Pergentino de Barros </t>
  </si>
  <si>
    <t>06468732450</t>
  </si>
  <si>
    <t>https://chat-conecta.recife.pe.gov.br/live/5JfR9KNn6cHHtHty3</t>
  </si>
  <si>
    <t>07/02/2023</t>
  </si>
  <si>
    <t>Ajuste de drogas para crise de asma. Reavaliação com 48h.</t>
  </si>
  <si>
    <t>Monitorar acesso à mat.Bandeira Filho, gestante 30sem com falta de ar; em PNAR, obesidade, HASG, Asma em tratamento.</t>
  </si>
  <si>
    <t>https://chat-conecta.recife.pe.gov.br/omnichannel-directory/chats/view/FnBLQrGGAPBSRo9hZ/room-info</t>
  </si>
  <si>
    <t>(Thiago) Às 08:57h, usuária não atende à chamada.</t>
  </si>
  <si>
    <t>(Thiago) Às 15:55h, usuária não atende à chamada.</t>
  </si>
  <si>
    <t xml:space="preserve">Realizado ajuste de medicações para crise de asma dia 01/09/23. Fazer contato com 48h para avaliar se precisa prolongar o tratamento/nova avaliação presencial. </t>
  </si>
  <si>
    <t>Mariane da Silva</t>
  </si>
  <si>
    <t>https://chat-conecta.recife.pe.gov.br/live/JigFnCfTnGBGKj7Pr/room-info</t>
  </si>
  <si>
    <t>26/06/2023</t>
  </si>
  <si>
    <t>08h30 Paciente não atende. Entretanto pelo PEC foi atendida pela unidade de saude e agendado coleta deo teste do covid</t>
  </si>
  <si>
    <t>16h00 paciente não atende</t>
  </si>
  <si>
    <t xml:space="preserve">Confirmar acesso a APS </t>
  </si>
  <si>
    <t>https://chat-conecta.recife.pe.gov.br/live/dfx8bq8MZDHthAhhy</t>
  </si>
  <si>
    <t>08h40 Paciente não atende. Checar se melhora de nauseas e vomitos, oferecer tinc e sinalizar criterio de PNAR para equipe assistente (obesidade)</t>
  </si>
  <si>
    <t xml:space="preserve">16h05 paciente não atende. 09/09 (Joanna): Não fez uso do plasil. Mantém queixa de náusea, cefaleia discreta, fraqueza, alteração no padrão do sono, desconforto na garganta de inicio hoje. Cd: Oriento acerca dos sinais de alerta, uso de analgesico e antiemético, telemonitoramento - 10/09. </t>
  </si>
  <si>
    <t>Avaliar melhora das náusea e vômitos, em uso de plasil.</t>
  </si>
  <si>
    <t>Letícia Victoria Cruz Nascimento</t>
  </si>
  <si>
    <t>https://chat-conecta.recife.pe.gov.br/live/ckE7dHvTTmZLwqrZF</t>
  </si>
  <si>
    <t>10/06/2023</t>
  </si>
  <si>
    <t>09h Paciente não atende. Avaliada por tele atendimento por enfermeira da unidade ontem. Atenção para não termos atrasos no inicio de antibioticoterapia</t>
  </si>
  <si>
    <t xml:space="preserve">17h monitoramento realizado por telefone, devido dificuldade tecnica da paciente. Não conseguiu ser encaminhada para o hopchat. </t>
  </si>
  <si>
    <t>Puérpera no 17º dia aguardando avaliação pós parto pela equipe na APS, FO secretiva, avliar em próximo monitoramento.</t>
  </si>
  <si>
    <t>Karoline Mayara Mendes da Silva</t>
  </si>
  <si>
    <t>09181379420</t>
  </si>
  <si>
    <t>https://chat-conecta.recife.pe.gov.br/live/5WBawtTGCAM2PuE2Z/user-info</t>
  </si>
  <si>
    <t>(Thiago) Às 09:01h, usuária não atende à chamada.</t>
  </si>
  <si>
    <t>(Thiago) Às 16:00h, usuária refere melhora e ausência de vômitos e diarreia.</t>
  </si>
  <si>
    <t>https://chat-conecta.recife.pe.gov.br/live/pMrmBfeH7he9QtY9v/user-info</t>
  </si>
  <si>
    <t>Sangramento vaginal pós aborto</t>
  </si>
  <si>
    <t>(Thiago) Às 09:05h, usuária não atende à chamada.</t>
  </si>
  <si>
    <t>(Thiago) Às 16:20h, usuária não atende à chamada.</t>
  </si>
  <si>
    <t>Luzia Dias Valdevino</t>
  </si>
  <si>
    <t>07859294443</t>
  </si>
  <si>
    <t>https://chat-conecta.recife.pe.gov.br/live/SLpgNM8Qaa7Szv269</t>
  </si>
  <si>
    <t>14/03/2023</t>
  </si>
  <si>
    <t>(Thiago) Às 09:09h, usuária não atende à chamada.</t>
  </si>
  <si>
    <t>(Thiago) Às 16:25h, o telefone da usuária não está recebendo chamada.</t>
  </si>
  <si>
    <t>09/09 (Joanna): Nega novos episódios de sangramento após o dia 02. Sem queixas. Oriento paciente sobre sinais de alerta;Oriento manutenção do PN na APS e no HMR</t>
  </si>
  <si>
    <t xml:space="preserve">09:04 (taty) no momento da ligação paciente esta no posto para consulta </t>
  </si>
  <si>
    <r>
      <rPr>
        <sz val="10"/>
        <color theme="1"/>
        <rFont val="Arial"/>
        <charset val="134"/>
      </rPr>
      <t xml:space="preserve">(Thiago) Às 16:00h, telefone da usuária não recebe a chamada. </t>
    </r>
    <r>
      <rPr>
        <b/>
        <sz val="10"/>
        <color theme="1"/>
        <rFont val="Arial"/>
        <charset val="134"/>
      </rPr>
      <t>09/09 (Joanna):</t>
    </r>
    <r>
      <rPr>
        <sz val="10"/>
        <color theme="1"/>
        <rFont val="Arial"/>
        <charset val="134"/>
      </rPr>
      <t xml:space="preserve"> foi à USF dia 04/09, constatou-se FO sem alterações. Cd: Oriento paciente sobre sinais de alerta e cuidados gerais.</t>
    </r>
  </si>
  <si>
    <t>Realizo telemonitoramento em 09/09.</t>
  </si>
  <si>
    <t>Cristiane Pereira Nunes</t>
  </si>
  <si>
    <t>https://chat-conecta.recife.pe.gov.br/live/D4gxswpCPMrwehrgc/members-list</t>
  </si>
  <si>
    <t>24/11/2022</t>
  </si>
  <si>
    <t>09:12 (taty) telefone desligado; 16:34 chama e não atende.</t>
  </si>
  <si>
    <t>(Thiago - monitoramento 06/09) Às 08:52h, gestante foi avaliada na Arnaldo Marques e orientada a retornar em 07/09 para internamento, caso não entre em trabalho de parto esponteneamente.</t>
  </si>
  <si>
    <t>O número na planilha é da familiar Adriana, pelo qual foi realizado o atendimento. Confirmar acesso à maternidade Arnaldo Marques.</t>
  </si>
  <si>
    <t>Jamilly Soares de Barros</t>
  </si>
  <si>
    <t>https://chat-conecta.recife.pe.gov.br/live/w6ZaKPeYQD6u7tknT</t>
  </si>
  <si>
    <t>(Thiago) Às 09:50h, familiar informa que a usuária encontra-se internada na maternidade Arnaldo Marques, realizou PC em 07/09, por apresentação pélvica, sem intercorrências. Como não realizei valiação da paciente, não efetuo registro no PEC.</t>
  </si>
  <si>
    <t>Gestante completa hoje 41s1d, confirmar acesso à maternidade Arnaldo Marques.</t>
  </si>
  <si>
    <t>Taina Gomes da Silva</t>
  </si>
  <si>
    <t>https://chat-conecta.recife.pe.gov.br/live/YDC56o6orpYBudab7</t>
  </si>
  <si>
    <t>25/04/2023</t>
  </si>
  <si>
    <t>Aumento de umidade do canal vaginal.</t>
  </si>
  <si>
    <t>https://chat-conecta.recife.pe.gov.br/live/DqyYkTKvssfjKzYt6</t>
  </si>
  <si>
    <t>(Thiago) Às 11:00h, paciente refere melhoras das dores e do sangramento. Encerro monitoramento.</t>
  </si>
  <si>
    <t>Concluído monitoramento.</t>
  </si>
  <si>
    <t>Maria Karolayne Nascimento Lima</t>
  </si>
  <si>
    <t>https://chat-conecta.recife.pe.gov.br/live/gpbx3fK755rmnQvNo/user-info</t>
  </si>
  <si>
    <t>(Thiago) Às 15:48h, usuária refere melhora da cefaleia e da náusea. Encerro monitoramento.</t>
  </si>
  <si>
    <t>Monitorar com 2 a 3 horas para reavaliar sinais e sintomas.</t>
  </si>
  <si>
    <t>https://chat-conecta.recife.pe.gov.br/live/Zfew6L6nAsNicsWZK</t>
  </si>
  <si>
    <t xml:space="preserve">O telefone que consta na planilha é de uma amiga do trabalho, Micheli, por onde foi efetuado todo atendimento por vídeo chamada. </t>
  </si>
  <si>
    <t>Rayane Kelly do Nascimento</t>
  </si>
  <si>
    <t>https://chat-conecta.recife.pe.gov.br/live/PiNBwe6v3WheJ7a4p</t>
  </si>
  <si>
    <t>(Thiago) Às 09:16h, a usuária não atende à chamada.</t>
  </si>
  <si>
    <t>(Thiago) Às 17:27h, o número da usuária encontra-se indisponível.</t>
  </si>
  <si>
    <t>Telemonitoramento do dia 04/09</t>
  </si>
  <si>
    <t>Telemonitoramento do dia 03/09</t>
  </si>
  <si>
    <t>Ligar após 17h (Thiago) Às 17:25h, usuária não atende à chamada.</t>
  </si>
  <si>
    <t>Telemonitoramento do dia 02/09</t>
  </si>
  <si>
    <t>https://chat-conecta.recife.pe.gov.br/live/X7xa5JLL2T5DE9KRp</t>
  </si>
  <si>
    <t>(Thiago) Às 09:18h, a usuária não atende à chamada.</t>
  </si>
  <si>
    <t>(Thiago) Às 17:32h, a usuária não atende à chamada.</t>
  </si>
  <si>
    <t>https://chat-conecta.recife.pe.gov.br/live/Z9zKiTZ7gZRiEqjZ7/members-list</t>
  </si>
  <si>
    <t>Discreto sangramento + diminuição dos movimentos fetais.</t>
  </si>
  <si>
    <t>(Thiago) Às 11:00h, gestante encaminhada à Barros Lima para avaliação obstétrica por diminuição dos movimentos fetais.</t>
  </si>
  <si>
    <t xml:space="preserve"> 10/03/2023</t>
  </si>
  <si>
    <t>(Thiago) Às 12:27h, usuária informa que está a caminho de sua consulta no PNAR do HMR, mas não conseguiu comparecer à maternidade para avaliação presencial ontem. Confirmar acesso à consulta de hoje no final da tarde.</t>
  </si>
  <si>
    <t>Confirmar acesso à Barros Lima.</t>
  </si>
  <si>
    <t>Ayani de Souza Monteiro</t>
  </si>
  <si>
    <t>https://chat-conecta.recife.pe.gov.br/live/8K7mM5Ku2TrH69X23</t>
  </si>
  <si>
    <t>15/12/2022</t>
  </si>
  <si>
    <t>(Thiago) Às 17:58h, gestante mantendo sinais e sintomas leves de pórdromos do TP. Encerro monitoramento do AG.</t>
  </si>
  <si>
    <t>Ligar às 18h para avaliar os pródromos.</t>
  </si>
  <si>
    <t>Fernanda Carla Mendes da Silva</t>
  </si>
  <si>
    <t>06556220477</t>
  </si>
  <si>
    <t>https://chat-conecta.recife.pe.gov.br/live/XPCkqvFBtwPBJwfwR</t>
  </si>
  <si>
    <t xml:space="preserve"> 28/11/2022</t>
  </si>
  <si>
    <t>taty ( 08:26 ) paciente nao atendeu)</t>
  </si>
  <si>
    <t>(Thiago) Às 16:22h, o número da usuária não está recebendo ligação.</t>
  </si>
  <si>
    <t>Ligar ao final da manhã, confirmar acesso à Maternidade Bandeira Filho, prodromos de TP e IG 41s .</t>
  </si>
  <si>
    <t>https://chat-conecta.recife.pe.gov.br/live/Lpnh4LDx5dimZk99F</t>
  </si>
  <si>
    <t xml:space="preserve"> 15/12/2022</t>
  </si>
  <si>
    <t>Ana Karla da Fonseca Pereira</t>
  </si>
  <si>
    <t>05029110429</t>
  </si>
  <si>
    <t>https://chat-conecta.recife.pe.gov.br/live/B3mNBycZyHFa9r6py</t>
  </si>
  <si>
    <t>taty ( 13:30) paciente nao procurou o serviço como orientado anteriomente, paciente com queixas de cefaleia e diminuição dos MF, no momento do telemonitoramento PA 114x78, auto aferiçao supervisionada</t>
  </si>
  <si>
    <t>Gestante na 32ª semana, com elevação dos níveis pressóricos. Ligar à tarde para confirmar acesso à maternidade.</t>
  </si>
  <si>
    <t>https://chat-conecta.recife.pe.gov.br/live/dwRWD6srjTzWsD9Cz</t>
  </si>
  <si>
    <t>03/06/2023</t>
  </si>
  <si>
    <t xml:space="preserve">TATY ( 09:03) telefone oculpado </t>
  </si>
  <si>
    <t xml:space="preserve">Taty (18:30) nao consegui contato, porem nao sei se devido instabilidade do  microcip </t>
  </si>
  <si>
    <t>Mariana Azevedo de Freitas</t>
  </si>
  <si>
    <t>https://chat-conecta.recife.pe.gov.br/live/LtcfxNSaFj2cSBW9H</t>
  </si>
  <si>
    <t>(Thiago) Às 16:26h, o número da usuária não está recebendo ligação.</t>
  </si>
  <si>
    <t>(Thiago) Às 17:50h, o número da usuária não está recebendo ligação.</t>
  </si>
  <si>
    <t>Ligar ao final da tarde para confirmar acesso ao PNAR.</t>
  </si>
  <si>
    <t>https://chat-conecta.recife.pe.gov.br/live/SFxdwa79sJ8py2cPc</t>
  </si>
  <si>
    <t>15/012023</t>
  </si>
  <si>
    <t xml:space="preserve">(taty) Paciente buscou atendimento presencial, realizou USG, cardiotoco, rotina de PE, iniciou metildopa. hoje refere cefaleia </t>
  </si>
  <si>
    <t>https://chat-conecta.recife.pe.gov.br/live/jABwMLkvnRFDbFFTG/user-info</t>
  </si>
  <si>
    <t xml:space="preserve">Taty ( 11:00) Paciente  procurou o ambulatorio do ham e marcou PNAR para  20/09, no  momento da teleconsulta referiu melhora da cefaleia e negou qualquer sinal de eminincia ou outra queixa. </t>
  </si>
  <si>
    <t>https://chat-conecta.recife.pe.gov.br/live/4o7BYXMBosKBBrqBv</t>
  </si>
  <si>
    <t>https://chat-conecta.recife.pe.gov.br/live/K82TjozBXLwFcdeP7/user-info</t>
  </si>
  <si>
    <t>Maria Claudia de Oliveira</t>
  </si>
  <si>
    <t>https://chat-conecta.recife.pe.gov.br/live/gM73uqmL2T5CNvawe</t>
  </si>
  <si>
    <t>ianne (8h35) telefone desligado</t>
  </si>
  <si>
    <t>ianne (16h) mudança de padrao do corrimento - ir na aps/maternidade amanha</t>
  </si>
  <si>
    <t>Jeane dos Santos Santana</t>
  </si>
  <si>
    <t>https://chat-conecta.recife.pe.gov.br/live/P7x4nyBLpRG7Lrsvf</t>
  </si>
  <si>
    <t xml:space="preserve">Contração </t>
  </si>
  <si>
    <t>Lari (14h) Encaminho a Maternidade 36s3d com dor a cada 1h</t>
  </si>
  <si>
    <t>06780936448</t>
  </si>
  <si>
    <t>https://chat-conecta.recife.pe.gov.br/live/QNdahEsWgXtW8wyni/uploaded-files-list</t>
  </si>
  <si>
    <t xml:space="preserve">Taty ( 08:05) Microcip sem funcionar </t>
  </si>
  <si>
    <t>ianne (9h) paciente na maternidade, puerpera</t>
  </si>
  <si>
    <t>Encaminhada à Maternidade 36s3d com dor a cada 1h</t>
  </si>
  <si>
    <t>Valeria Jose de Souza Costa</t>
  </si>
  <si>
    <t>03952601403</t>
  </si>
  <si>
    <t>https://chat-conecta.recife.pe.gov.br/live/b57vCox8kXS8mE6Bp/room-info</t>
  </si>
  <si>
    <t>ianne (8h45) telefone desligado</t>
  </si>
  <si>
    <t>Gestante participou de TINC sobre sua quadro de saúde, no momento sem queixas e assintomática.</t>
  </si>
  <si>
    <t>Monitoramento realizado durante a TINC com profissional</t>
  </si>
  <si>
    <t>Joice Miranda dos Santos</t>
  </si>
  <si>
    <t>https://chat-conecta.recife.pe.gov.br/live/9AeaRH9NC6zTGwnxs/user-info</t>
  </si>
  <si>
    <t>27/12/2022</t>
  </si>
  <si>
    <t>Desconforto pélvico relacionado ao 3º trimestre gestacional.</t>
  </si>
  <si>
    <t>Aline Laysa da Silva</t>
  </si>
  <si>
    <t>https://chat-conecta.recife.pe.gov.br/live/RYqP6JcixphEtMmtK</t>
  </si>
  <si>
    <t>Não foi à USF, irá buscar atendimento segunda-feira. Refere melhora do corrimento, mantém prurido discreto. Nega sinais de alerta e outras queixas.</t>
  </si>
  <si>
    <t>Confirmar se a usuária conseguiu acesso à sua USF parta avaliação presencial.</t>
  </si>
  <si>
    <t>(Thiago) Às 14:48h, usuária não atende à chamada.</t>
  </si>
  <si>
    <t>(Thiago) Às 16:49h, usuária não atende à chamada.</t>
  </si>
  <si>
    <t>Ligar a tarde - checar atendimento em aps</t>
  </si>
  <si>
    <t>6/22/0081</t>
  </si>
  <si>
    <t>19/09 10h (Lari) Paciente não atendeu</t>
  </si>
  <si>
    <t xml:space="preserve">taty ( 13:50) realizado monitoramento, paciente refere corrimento e prurido descreto, nao procurou a APS, relata que ontem e hoje a tarde nao teve atendimento, mas esta marcado para amanha, </t>
  </si>
  <si>
    <t>Realizado em 19/09</t>
  </si>
  <si>
    <t>Mariana Barreto do Nascimento</t>
  </si>
  <si>
    <t>https://chat-conecta.recife.pe.gov.br/live/vMrygR4Sroq57B634/user-info</t>
  </si>
  <si>
    <t>17 /09 (taty) MicroSip sem funcionar as 10:40  as 13:17, as 14:11</t>
  </si>
  <si>
    <t xml:space="preserve">taty ( 18/09) Monitoramento realizado durante TINC com a profissional, Paciente com queixas de dor em BV e diminuição MF, paciente encaminhada para avaliação presencial, monitorar acesso a tarde </t>
  </si>
  <si>
    <t>Monitoramento realizado durante TINC com a profissional</t>
  </si>
  <si>
    <t>Ana Graziela Augusta do Nascimento</t>
  </si>
  <si>
    <t>https://chat-conecta.recife.pe.gov.br/live/QjjSbvJE2AwxhNEXz/user-info</t>
  </si>
  <si>
    <t xml:space="preserve"> 23/12/22</t>
  </si>
  <si>
    <t xml:space="preserve">duvida na IG </t>
  </si>
  <si>
    <t>Nathalia Gomes de Freitas</t>
  </si>
  <si>
    <t>09624709459</t>
  </si>
  <si>
    <t>https://chat-conecta.recife.pe.gov.br/live/qiHi6PS2gE8jozMfQ</t>
  </si>
  <si>
    <t>28/02/2023</t>
  </si>
  <si>
    <t>Tosse</t>
  </si>
  <si>
    <t xml:space="preserve">taty(15:49) telefone oculpado </t>
  </si>
  <si>
    <t>Não realizada em 18/09.</t>
  </si>
  <si>
    <t>https://chat-conecta.recife.pe.gov.br/live/fiX4FnZoyN5ubW7m3/room-info</t>
  </si>
  <si>
    <t>https://chat-conecta.recife.pe.gov.br/live/uYDghbmpAWJpj7vWG/room-info</t>
  </si>
  <si>
    <t>taty ( 13:08) Paciente nao atendeu (Thiago) Às 15:33h, usuária não atende à chamada.</t>
  </si>
  <si>
    <t>19/09 (10h30) Larissa - Paciente internada na Bandeira</t>
  </si>
  <si>
    <t>SIM: Problemas de identificação</t>
  </si>
  <si>
    <t>ianne (15:17) Atende e desliga em seguida</t>
  </si>
  <si>
    <t xml:space="preserve">Taty (09:58) Paciente no momento da teleconsulta se encontrava na maternidade bandeira filho, onde foi avaliada e realizado uma USG com doppler  ( resultado relatado, diminuição do liquido amniótico, não foi possível medir o maior bolsão,   e  diminuição dos movimentos fetais. aguarda reavaliação. </t>
  </si>
  <si>
    <t>https://chat-conecta.recife.pe.gov.br/live/dTKbwuTrwPZwkyQNr</t>
  </si>
  <si>
    <t>Epigastralgia, azia/queimação</t>
  </si>
  <si>
    <t>https://chat-conecta.recife.pe.gov.br/omnichannel-directory/chats/view/nJS8tA8f6pNgMWw7f</t>
  </si>
  <si>
    <t>(Thiago) Às 13:00h, gestante não compareceu à maternidade Bandeira Filho, refere melhora da dor lombar e que realizará consulta marcada em seu pré-natal em 48h.</t>
  </si>
  <si>
    <t>Ligar dia 20/09 às 13h, por hoje (19/09) paciente estava no trabalho e não podia falar. Ligar para confirmar acesso à Bandeira Filho.</t>
  </si>
  <si>
    <t>https://chat-conecta.recife.pe.gov.br/live/KstsxzZsf9WyJbs6M/user-info</t>
  </si>
  <si>
    <t>Joanna (9h10): não atendeu</t>
  </si>
  <si>
    <t>ianne (16h20) Confirmado acesso/ orientação</t>
  </si>
  <si>
    <t>Usuária informa que realizará consulta em sua USF de referência em 48h.</t>
  </si>
  <si>
    <t>Elaine Gutemberg dos Santos</t>
  </si>
  <si>
    <t>05409576403</t>
  </si>
  <si>
    <t>https://chat-conecta.recife.pe.gov.br/live/SLKTqp3Zo75Qbk89E</t>
  </si>
  <si>
    <t>08/04/2023</t>
  </si>
  <si>
    <t>Joanna (9h; 17h48): não atendeu</t>
  </si>
  <si>
    <t>Ligar às 9h (nº do telefone 99649-1398)</t>
  </si>
  <si>
    <t>Vitoria Beatriz Cruz da Silva</t>
  </si>
  <si>
    <t>https://chat-conecta.recife.pe.gov.br/live/So5JNiP7RbYv5m7EB#&amp;gid=1&amp;pid=5</t>
  </si>
  <si>
    <t>Refere melhora da cefaleia. Informo acerca da consulta agendada na USF (22/09 às 8h).</t>
  </si>
  <si>
    <t>https://chat-conecta.recife.pe.gov.br/live/EDCrZJap6jzFXHRkT</t>
  </si>
  <si>
    <t>14/012023</t>
  </si>
  <si>
    <t>ianne (16h45) telefone desligado</t>
  </si>
  <si>
    <t>22/09 (taty) paciente procurou atendimento e foi orientado repouso e buscopam</t>
  </si>
  <si>
    <t>Monitoramento realizado dia 22/09</t>
  </si>
  <si>
    <t>https://chat-conecta.recife.pe.gov.br/live/3PzfmBRBamdw5n99q</t>
  </si>
  <si>
    <t>Geisakel Melo da Conceicao</t>
  </si>
  <si>
    <t>09236557430</t>
  </si>
  <si>
    <t>https://chat-conecta.recife.pe.gov.br/live/xvg2y92NSfJaaxxw7</t>
  </si>
  <si>
    <t>Gestante nega perda de líquido há 24h e refere movimentos fetais normais.</t>
  </si>
  <si>
    <t>https://chat-conecta.recife.pe.gov.br/live/FadL7mshHaoH87y32</t>
  </si>
  <si>
    <t>(Thiago) Às 15:30h, gestante refere melhora do quadro. Encerro monitoramento.</t>
  </si>
  <si>
    <t>Ligar às 15h</t>
  </si>
  <si>
    <t xml:space="preserve"> 04/02/2023</t>
  </si>
  <si>
    <t>Rayane Kelly Ferreira da Silva</t>
  </si>
  <si>
    <t>https://chat-conecta.recife.pe.gov.br/live/fq5LBuFhL5t9YFEph/room-info</t>
  </si>
  <si>
    <t xml:space="preserve">Taty ( 10:56) paciente procurou atendimento presencial, a causa do sangramento seria hemorroida, PA normal e no momento sem queixas </t>
  </si>
  <si>
    <t>Monitoramento realizado dia 24/09</t>
  </si>
  <si>
    <t>https://chat-conecta.recife.pe.gov.br/live/ENmKgnAPNGNtK5hJm</t>
  </si>
  <si>
    <t>https://chat-conecta.recife.pe.gov.br/live/Q6KQjETvm7ZakLnMM/room-info</t>
  </si>
  <si>
    <t>contração de treinamento</t>
  </si>
  <si>
    <t>Janaina Silva dos Santos</t>
  </si>
  <si>
    <t>08925830450</t>
  </si>
  <si>
    <t>https://chat-conecta.recife.pe.gov.br/live/QPoSD83YzTNSBYn8r/room-info</t>
  </si>
  <si>
    <t>19/05/2023</t>
  </si>
  <si>
    <t>dor de dente</t>
  </si>
  <si>
    <t>Gabriela Evelin Fernandes da Silva</t>
  </si>
  <si>
    <t>https://chat-conecta.recife.pe.gov.br/live/J5yApicjQ25ZpDpvZ</t>
  </si>
  <si>
    <t>Dúvida sobre quando deveria ir à maternidade</t>
  </si>
  <si>
    <t>Lucimar Maria do Nascimento</t>
  </si>
  <si>
    <t>04561634410</t>
  </si>
  <si>
    <t>https://chat-conecta.recife.pe.gov.br/live/8RmemxfPoEwQKXs26</t>
  </si>
  <si>
    <t>05/08/2023</t>
  </si>
  <si>
    <t>(Thiago) Às 10:22h, usuária não atende à ligação. taty (12:48) paciente nao atendeu</t>
  </si>
  <si>
    <t>(Thiago) Às 15:45h, usuária não atende à ligação. taty (17:44) paciente nao atende</t>
  </si>
  <si>
    <t>Obs: a teleconsulta não foi finalizada, pois, usuário saiu do consultório digital e não consegui estabelecer nova comunicação, inclusive por telefone. Sendo assim, não foi possível informar acerca do telemonitoramento pela equipe do Atende Gestante em 24/09 e acerca da maternidade de referência.</t>
  </si>
  <si>
    <t>Marcia Santana Bispo da Silva</t>
  </si>
  <si>
    <t>07319672405</t>
  </si>
  <si>
    <t>https://chat-conecta.recife.pe.gov.br/live/S9pKRag9nTD8HjaHp</t>
  </si>
  <si>
    <t>(Thiago) Às 08:00h, usuária não atende à chamada.(Thiago) Às 14:23h, usuária não atende à chamada.</t>
  </si>
  <si>
    <t>27/09 (Joanna): Foi ao CISAM (24/09), constatou-se PA = 140/90, prescrito Dipirona, orientada a buscar atendimento no posto de saúde. Refere mantém dor de cabeça, porém menos intensa. Não buscou atendimento na APS porque foi orientada a permanecer apenas no PN do Hospital Barão de Lucena (última consulta - 15/09; próxima consulta - 29/09). Unidade de referência: USF Chão de Estrelas, última consulta em 27/04. Sem queixas no momento. Cd:  oriento acerca dos sinais de alerta, agendar consulta na USF Chão de Estrelas (reforço importância do vínculo), manutenção do pré-natal na APS e Hospital Barão de Lucena. Informo monitoramento pela equipe do Atende Gestante em 29/09 às 17h.</t>
  </si>
  <si>
    <t>Monitoramento realizado dia 27/09</t>
  </si>
  <si>
    <t>https://chat-conecta.recife.pe.gov.br/live/JE2g3BZhwo27gqKLb/room-info</t>
  </si>
  <si>
    <t>18/02/23</t>
  </si>
  <si>
    <t>enjoo</t>
  </si>
  <si>
    <t>(iann) 13h55 paciente não atende ligação</t>
  </si>
  <si>
    <t>(Thiago) Às 17:24h, paciente não atende à chamada.</t>
  </si>
  <si>
    <t>Maria Eduarda Cunha de Lima</t>
  </si>
  <si>
    <t>https://chat-conecta.recife.pe.gov.br/live/a925A58hfDuHJ6tsK/room-info</t>
  </si>
  <si>
    <t>06/07/2023</t>
  </si>
  <si>
    <t>Sonolência</t>
  </si>
  <si>
    <t>Tainara Silva Moura de Melo</t>
  </si>
  <si>
    <t>https://chat-conecta.recife.pe.gov.br/live/ZYC252AbpF7pt4si2/room-info</t>
  </si>
  <si>
    <t>16/01/2023</t>
  </si>
  <si>
    <t>15h30 chama 1x e cai.</t>
  </si>
  <si>
    <t>17h Não completa a ligação.</t>
  </si>
  <si>
    <t>Gestante com sangramento ao evacuar. Encaminhada ao CISAM, devido a limitação de transporte.</t>
  </si>
  <si>
    <t>https://chat-conecta.recife.pe.gov.br/live/BsWoAdmrXbLeG6A3L/user-info</t>
  </si>
  <si>
    <t>4/18/0001</t>
  </si>
  <si>
    <t>19/02/23</t>
  </si>
  <si>
    <t xml:space="preserve">Ligar as 14h30, pela manha paciente no PN </t>
  </si>
  <si>
    <t xml:space="preserve">15h20 paciente não atendeu. ligamos 2x. </t>
  </si>
  <si>
    <t>https://chat-conecta.recife.pe.gov.br/omnichannel-directory/chats/view/gtnLac2AurtuGrXMJ</t>
  </si>
  <si>
    <t>Paciente não foi para atendimento presencial, refere que as contrações cessaram.</t>
  </si>
  <si>
    <t xml:space="preserve">Gestante em fase inicial de TP. Confirmar acesso à Arnaldo Marques. </t>
  </si>
  <si>
    <t>Adriele Cristina do Amaral</t>
  </si>
  <si>
    <t>05237532411</t>
  </si>
  <si>
    <t>https://chat-conecta.recife.pe.gov.br/live/SRDBYEHvqpK6f9gvJ/room-info</t>
  </si>
  <si>
    <t>Joanna (8h38): não atendeu / Fabiane (15:10) Número ocupado</t>
  </si>
  <si>
    <t>https://chat-conecta.recife.pe.gov.br/live/cMosTbf53EvohL4By/room-info</t>
  </si>
  <si>
    <t>DU 3/45"60"40"/10'. Encaminho à maternidade (HMR).</t>
  </si>
  <si>
    <t>Ligar as 14 horas para confimar acesso na consulta da APS.</t>
  </si>
  <si>
    <t>Jessica Gomes da Silva</t>
  </si>
  <si>
    <t>09813863420</t>
  </si>
  <si>
    <t>https://chat-conecta.recife.pe.gov.br/live/STvdZKNqHi89vhvLu</t>
  </si>
  <si>
    <t>18/08/2023</t>
  </si>
  <si>
    <t>Dúvida sobre onde iniciar o PN</t>
  </si>
  <si>
    <t>08h20 (Lari) Paciente sem queixas, vai agendar PN hoje.</t>
  </si>
  <si>
    <t>Joanna (17h; 17h30): Não atendeu</t>
  </si>
  <si>
    <t>https://chat-conecta.recife.pe.gov.br/live/8FsATpXxfWsmQn5xR</t>
  </si>
  <si>
    <t xml:space="preserve">Encontra-se na MBF, parto cesareo (28/09 às 20h32), sem queixas. </t>
  </si>
  <si>
    <t>https://chat-conecta.recife.pe.gov.br/live/qeAceoXxrf9gm8g82/room-info</t>
  </si>
  <si>
    <t>Agendamento de PN</t>
  </si>
  <si>
    <t>Jacidaria Gomes da Silva</t>
  </si>
  <si>
    <t>06775536410</t>
  </si>
  <si>
    <t>https://chat-conecta.recife.pe.gov.br/live/jXu7Lnx5YxBdEtQst</t>
  </si>
  <si>
    <t>Hemorroida</t>
  </si>
  <si>
    <t>Andressa Caroline Silva</t>
  </si>
  <si>
    <t>07837957423</t>
  </si>
  <si>
    <t>https://chat-conecta.recife.pe.gov.br/live/ydQrgKMuzDrnSrNgW</t>
  </si>
  <si>
    <t>10/07/2023</t>
  </si>
  <si>
    <t>(Thiago) Às 08:25h, usuária não atende à chamada.</t>
  </si>
  <si>
    <t>(ianne -02/10 as 13h35) paciente não atendeu</t>
  </si>
  <si>
    <t>Tentar em 02/10</t>
  </si>
  <si>
    <t>Daniele Quiteria Araújo Ferreira</t>
  </si>
  <si>
    <t>https://chat-conecta.recife.pe.gov.br/live/83GyxDDbpfFRSTYtW</t>
  </si>
  <si>
    <t>16/08/2023</t>
  </si>
  <si>
    <t xml:space="preserve">Ligar às 12h, confirmar acesso à sua USF portando USG Endovaginal para reavaliação do quadro. </t>
  </si>
  <si>
    <t>https://chat-conecta.recife.pe.gov.br/live/Di65GgNX24XusZbuZ/user-info</t>
  </si>
  <si>
    <t xml:space="preserve">Taty (08:41) pacente encontra-se na maternidade foi avaliada ontem como orientado e hoje aguardando para USG liga para 07h 83996325965 (esposo ) seu numero é so whatsapp </t>
  </si>
  <si>
    <t>Leticia Bezerra da Silva</t>
  </si>
  <si>
    <t>04100092458</t>
  </si>
  <si>
    <t>https://chat-conecta.recife.pe.gov.br/live/r9o3ZqHaFjKzzzFLg/room-info</t>
  </si>
  <si>
    <t>Jadilene da Silva Albuquerque</t>
  </si>
  <si>
    <t>https://chat-conecta.recife.pe.gov.br/live/5nzaJ9pj7bcPwYniD/room-info</t>
  </si>
  <si>
    <t>30/07/2023</t>
  </si>
  <si>
    <t>Não atende (16h)</t>
  </si>
  <si>
    <t>Não atende (18h)</t>
  </si>
  <si>
    <t>Ligar às 16h</t>
  </si>
  <si>
    <t>https://chat-conecta.recife.pe.gov.br/live/8CvfSqgnXwnvqYXiT/room-info</t>
  </si>
  <si>
    <t>Fabiane (11:50) Paciente estava no trabalho e refereiu que não podia atender a video chamada e que a equipe do atende gestante não precisava ligar em outro momento pois seu sangramenta já havia parado e ela já estava tentando agendar uma consulta presencial para iniciar o seu pré-natal.</t>
  </si>
  <si>
    <t>https://chat-conecta.recife.pe.gov.br/live/zqdhp6ivb4h98eBRA</t>
  </si>
  <si>
    <t>(Ianne) paciente com melhora do quadro respiratorio. Apresenta desejo de LTB, em SISREG solicitação de planejamento familiar desde maio, permanece em fila. Martinha informa que já foi realizado evento sentinela desta situação</t>
  </si>
  <si>
    <t>Julia Vicente de Souza</t>
  </si>
  <si>
    <t>https://chat-conecta.recife.pe.gov.br/live/KP32Y5Ge6hq3PoptS/room-info</t>
  </si>
  <si>
    <t>15/04/2023</t>
  </si>
  <si>
    <t>taty ( 16:00) monitoramento realizado, paciente sem sangramento, contração de treinamento</t>
  </si>
  <si>
    <t>Jaqueline Barbosa da Silva</t>
  </si>
  <si>
    <t>https://chat-conecta.recife.pe.gov.br/live/dae8hijHZkqyLhmuH</t>
  </si>
  <si>
    <t>Dúvida sobre USG</t>
  </si>
  <si>
    <t>https://chat-conecta.recife.pe.gov.br/live/zGmFMWeNANbgXNHxZ</t>
  </si>
  <si>
    <t>Fabiane (08:50) telefone na caixa postal. Joanna (13h16): não atendeu</t>
  </si>
  <si>
    <t>Ligar para 99380-4960</t>
  </si>
  <si>
    <t>Amanda Cristina Bastos</t>
  </si>
  <si>
    <t>https://chat-conecta.recife.pe.gov.br/omnichannel-directory/chats/view/2NQMKPvGgmkNLFPyi/room-info</t>
  </si>
  <si>
    <t>29/12/2023</t>
  </si>
  <si>
    <t>Taty ( 14:51) encaminho paciente a materniddae contraçoes ritimadas, dolorosa (4 em 10mim)</t>
  </si>
  <si>
    <t>https://chat-conecta.recife.pe.gov.br/live/CyTqEr6DxdcxYY42h/room-info</t>
  </si>
  <si>
    <t>29/12/22022</t>
  </si>
  <si>
    <t>taty (08:57) nao atendeu</t>
  </si>
  <si>
    <t xml:space="preserve">Taty (13:38)Paciente na maternidade, pariu ontem as 21:35, puerpera e RN encontram-se no aalojamento </t>
  </si>
  <si>
    <t>https://chat-conecta.recife.pe.gov.br/live/d8D9JRmvMJptXuXwd/room-info</t>
  </si>
  <si>
    <t>15/042023</t>
  </si>
  <si>
    <t xml:space="preserve">Taty (08:44) paciente refere esta sem queixas, continua com presença de secreçao descreta, sem prurido e odor </t>
  </si>
  <si>
    <t>Rayanne Priscylla da Silva Ubirata Braga</t>
  </si>
  <si>
    <t>https://chat-conecta.recife.pe.gov.br/live/aiitppiyockKxJmKB</t>
  </si>
  <si>
    <t>Não foi à US porque o ACS informou que o atendimento deveria ser urgência obstétrica. Encaminho novamente à APS.</t>
  </si>
  <si>
    <t>Telemonitoramento realizado dia 05/10</t>
  </si>
  <si>
    <t>Maria Valeria dos Santos</t>
  </si>
  <si>
    <t>07473098411</t>
  </si>
  <si>
    <t>https://chat-conecta.recife.pe.gov.br/live/NNKR3geYk5siGhvE6</t>
  </si>
  <si>
    <t>Pós-datismo</t>
  </si>
  <si>
    <t>https://chat-conecta.recife.pe.gov.br/live/3s85yrRGRagwgtCDk</t>
  </si>
  <si>
    <t>Maria Nathalia da Silva Vasconcelos</t>
  </si>
  <si>
    <t>https://chat-conecta.recife.pe.gov.br/live/H4jKhPT3JY9LdLksL/user-info</t>
  </si>
  <si>
    <t>24/08/2023</t>
  </si>
  <si>
    <t>(Thiago) Às 13:40h, usuária não atende à chamada.</t>
  </si>
  <si>
    <t>(Thiago) Às 15:56h, usuária não atende à chamada.</t>
  </si>
  <si>
    <t>Ligar às 14h</t>
  </si>
  <si>
    <t>https://chat-conecta.recife.pe.gov.br/live/qRmuM7qRcfFuoLj2F/user-info</t>
  </si>
  <si>
    <t>29/12/2022</t>
  </si>
  <si>
    <t>Amanda Ramos de Lira</t>
  </si>
  <si>
    <t>https://chat-conecta.recife.pe.gov.br/live/FtfENriPYBYyomCog</t>
  </si>
  <si>
    <t>01/01/2023</t>
  </si>
  <si>
    <t xml:space="preserve">Contrações de Braxton Hicks </t>
  </si>
  <si>
    <t>Mobilograma sem alteração. Oriento manutenção do PN (agendar consulta), oriento acerca dos sinais de alerta e trabalho de parto.</t>
  </si>
  <si>
    <t>Contrações de Braxton Hicks</t>
  </si>
  <si>
    <t>https://chat-conecta.recife.pe.gov.br/live/XHh56qkWQoTdcSSGh</t>
  </si>
  <si>
    <t>Joanna (8h25): não atendeu</t>
  </si>
  <si>
    <t>Não conseguiu atendimento no CS Olinto de Oliveira. Segue com sintomas gripais. Demais informações sobre o caso no PEC.</t>
  </si>
  <si>
    <t>https://chat-conecta.recife.pe.gov.br/live/kMu6oKi5Gr6a39i4B/room-info</t>
  </si>
  <si>
    <t>Raquel Vitoria Rodrigues Gomes</t>
  </si>
  <si>
    <t>https://chat-conecta.recife.pe.gov.br/live/JDCtyJQNjXWpnFz4Y</t>
  </si>
  <si>
    <t xml:space="preserve"> 19/07/2023</t>
  </si>
  <si>
    <t>Gestante com IG 11s3d com 01 episódio de perda vaginal em "borra de café" extrememente discreta.</t>
  </si>
  <si>
    <t>Gilvania da Silva Gomes</t>
  </si>
  <si>
    <t>https://chat-conecta.recife.pe.gov.br/live/hcAAhWuafwdTxYMoG</t>
  </si>
  <si>
    <t>26/12/22</t>
  </si>
  <si>
    <t>Encaminhada a maternidade para avaliação do bem-estar fetal por idade gestacional e pródromos de trabalho de parto.</t>
  </si>
  <si>
    <t>Angelica Maria dos Santos Silva</t>
  </si>
  <si>
    <t>https://chat-conecta.recife.pe.gov.br/live/meHsTPnCMaruPJ2YN/members-list</t>
  </si>
  <si>
    <t>21/07/2023</t>
  </si>
  <si>
    <t xml:space="preserve">Taty (10/10) realizo monitoramento, paciente nega queixas, porem perfil glicemico alterado, encaminho a mesma a APS apos realização TINC com dra Jessica. </t>
  </si>
  <si>
    <t>Gestante encontra-se na Maternidade Professor Arnaldo Marques com indução de trabalho de parto iniciada por idade gestacional.</t>
  </si>
  <si>
    <t>(Thiago) Às 08:20h, paciente não atende à chamada.</t>
  </si>
  <si>
    <t>taty (10/10) paciente refere melhora nos sintomas, porem ainda com coriza, tosse esporadica, oriento realizar o teste para covid, pois durante o fds perdeu olfato e paladar</t>
  </si>
  <si>
    <t>Realizado em 10/10</t>
  </si>
  <si>
    <t>Indução de tp por idade gestacional</t>
  </si>
  <si>
    <t>https://chat-conecta.recife.pe.gov.br/live/v2a5dM6YyhTMwp3oX</t>
  </si>
  <si>
    <t>Ligar 11/10 - usuária estava na maternidade aguardando atendimento. Se não atender nessa data, colocar falta</t>
  </si>
  <si>
    <t>Liguei pela manhã e a tarde, porém gestante estava aguardando atendimento na emergência.</t>
  </si>
  <si>
    <t>Alice Cristina do Sacramento Felix</t>
  </si>
  <si>
    <t>07394169448</t>
  </si>
  <si>
    <t>https://chat-conecta.recife.pe.gov.br/live/FJBrLR8pKZEfGPZ5v/room-info</t>
  </si>
  <si>
    <t>20/07/2023</t>
  </si>
  <si>
    <t>(Camilla) Gestante encaminhada para atendimento médico para atestado médico.</t>
  </si>
  <si>
    <t>Ligar às 15h para reavaliar.</t>
  </si>
  <si>
    <t>Maria Eduarda da Silva Simplicio</t>
  </si>
  <si>
    <t>https://chat-conecta.recife.pe.gov.br/live/NbTuF9Tdvh5myMXW5/room-info</t>
  </si>
  <si>
    <t>Encerramento do monitoramento.</t>
  </si>
  <si>
    <t>https://chat-conecta.recife.pe.gov.br/live/R4scd6XHagQjF9jL8/user-info</t>
  </si>
  <si>
    <t>https://chat-conecta.recife.pe.gov.br/omnichannel-directory/chats/view/FJBrLR8pKZEfGPZ5v/room-info</t>
  </si>
  <si>
    <t>Edercarla Angela da Silva</t>
  </si>
  <si>
    <t>https://chat-conecta.recife.pe.gov.br/live/Tax38sYXfjzPHKsGh/members-list</t>
  </si>
  <si>
    <t>ianne (15h30) ligação cai</t>
  </si>
  <si>
    <t>taty (18:23) nao completa ligação ( dada falta)</t>
  </si>
  <si>
    <t>Ligar às 15h para confirmar acesso. RPMO?</t>
  </si>
  <si>
    <t>https://chat-conecta.recife.pe.gov.br/live/CfsCYMDZvMa5yNRJK/room-info</t>
  </si>
  <si>
    <t>https://chat-conecta.recife.pe.gov.br/live/ess787q7AicDeYem9/room-info#&amp;gid=1&amp;pid=2</t>
  </si>
  <si>
    <t xml:space="preserve">perfil glicêmico alterado </t>
  </si>
  <si>
    <t xml:space="preserve">Nao foi gerado telemonitoramento, pois foi gerado tinc, e confirmado acesso </t>
  </si>
  <si>
    <t>https://chat-conecta.recife.pe.gov.br/live/ro7zs33f3idwZj3Mq/room-info</t>
  </si>
  <si>
    <t>Joanna (13h; 15h30; 17h30): não atendeu</t>
  </si>
  <si>
    <t>Confirmar acesso na APS para iniciar o pré-natal.</t>
  </si>
  <si>
    <t>https://chat-conecta.recife.pe.gov.br/live/MuYP9bmze5HmmiK3q/room-info</t>
  </si>
  <si>
    <t>Laureli Henrique de Oliveira</t>
  </si>
  <si>
    <t>08176436488</t>
  </si>
  <si>
    <t>https://chat-conecta.recife.pe.gov.br/live/Ldtu4SBHn2f4rxcGt/user-info</t>
  </si>
  <si>
    <t>azia e refluxo</t>
  </si>
  <si>
    <t xml:space="preserve">Encaminhada para maternidade. </t>
  </si>
  <si>
    <t>ligar 11h para confirmar acesso</t>
  </si>
  <si>
    <t>https://chat-conecta.recife.pe.gov.br/live/BtXQyXXk9cQZ4cxjA/room-info</t>
  </si>
  <si>
    <t>Parto cesáreo realizado hoje (IMIP).</t>
  </si>
  <si>
    <t>Ligar para confirmar acesso a Matrenidade + avaliar se melhora de sintomas (azia / refluxo). Caso não visualize prontuario pelo PEC, consegue ver pelo Hopchat.</t>
  </si>
  <si>
    <t>https://chat-conecta.recife.pe.gov.br/live/8y3TR8ohzJJeHXZqC/user-info#&amp;gid=1&amp;pid=4</t>
  </si>
  <si>
    <t>(Thiago) Às 08:30h, 10:30h, usuária não atende à chamada. (Thiago) Às 13:30h, 16:00h, usuária não atende à chamada.</t>
  </si>
  <si>
    <t xml:space="preserve">Joanna (14/10): Gestante refere que está bem. Nega queixas obstétricas e sinais de alerta. </t>
  </si>
  <si>
    <t>Telemonitoramento realizado em 14/10.</t>
  </si>
  <si>
    <t>Kaillany Vitoria Sales da Siva</t>
  </si>
  <si>
    <t>https://chat-conecta.recife.pe.gov.br/live/D3ZfQK3vwPW99fXWc/user-info</t>
  </si>
  <si>
    <t xml:space="preserve"> 06/01/2023</t>
  </si>
  <si>
    <t>cefaléia + turvação visual</t>
  </si>
  <si>
    <t>Foi à Maternidade Barros Lima em 13/10. Refere que não apresentava alterações ao exame físico. Orientada a retornar caso entre em TP ou apresente queixas. No momento, segue sem queixas ginecológicas e sinais de alerta, com melhora do quadro de cefaleia. MF +. Cd: Oriento paciente sobre sinais de alerta e TP; caso não entre em TP ou apresente queixas/sinais de alerta, buscar atendimento ao completar 41s; finalizo telemonitoramento</t>
  </si>
  <si>
    <t>Ligar após às 13:00h.</t>
  </si>
  <si>
    <t>Samara Aretha Queiroz do Nascimento Neves</t>
  </si>
  <si>
    <t>https://chat-conecta.recife.pe.gov.br/live/eDmYZnKGXh2Jg4uGM</t>
  </si>
  <si>
    <t>(Thiago) Às 09:50h, 11:18h, usuária não atende à chamada.</t>
  </si>
  <si>
    <t>(Thiago) Às 14:00h, 16:00h, usuária não atende à chamada.</t>
  </si>
  <si>
    <t>Confirmar se o TP foi deflagrado.</t>
  </si>
  <si>
    <t>Valquiria Santos Fernandes Vieira</t>
  </si>
  <si>
    <t>https://chat-conecta.recife.pe.gov.br/live/8oKuW2s6JBPumwjBF</t>
  </si>
  <si>
    <t>20/06/2023</t>
  </si>
  <si>
    <t>Informa que não foi à US, pois apresenta redução do corrimento vaginal. No momento, o corrimento está em menor quantidade, porém, mantém as características iniciais. Informa que buscará atendimento amanhã. Cd: Enc para atendimento presencial; reforço importância</t>
  </si>
  <si>
    <t>ligar às 13h</t>
  </si>
  <si>
    <t>06/01/2002</t>
  </si>
  <si>
    <t>Jhennyfer Flavia Barbosa de Andrade Cavalcante</t>
  </si>
  <si>
    <t>https://chat-conecta.recife.pe.gov.br/live/DkxpyrNoojFFi4q4C/members-list</t>
  </si>
  <si>
    <t>Nega novo episódio de sangramento e outras queixas obstétricas. Cd: Oriento acerca dos sinais de alerta, manutenção do PN, finalizo telemonotoramento.</t>
  </si>
  <si>
    <t>Sara Maria da Silva</t>
  </si>
  <si>
    <t>https://chat-conecta.recife.pe.gov.br/live/buamMAmC8wXGoMYJW</t>
  </si>
  <si>
    <t xml:space="preserve"> 14/02/2023</t>
  </si>
  <si>
    <t>Orientações quanto ao momento do parto.</t>
  </si>
  <si>
    <t xml:space="preserve">Foi à urgência obstétrica do Hospital Barão de Lucena em 16/10. Recebeu diagnóstico de candidíase vaginal, prescrito Nitrato de Miconazol (1x/noite por 7 dias), realizou USG TV. Refere que foi informada acerca da possibilidade de aborto, visto que a USG evidenciou saco gestacional com contorno irregular. Foi orientada a repetir a USG em 15 dias. Iniciará o tratamento com o Miconazol hoje. </t>
  </si>
  <si>
    <t>Ligar às 13h</t>
  </si>
  <si>
    <t>Caelene Goncalves da Silva</t>
  </si>
  <si>
    <t>08844414406</t>
  </si>
  <si>
    <t>https://chat-conecta.recife.pe.gov.br/live/avS9ggNjm6ZF6HKbR/user-info</t>
  </si>
  <si>
    <t>25/07/2023</t>
  </si>
  <si>
    <t>10h Pct sem novas queixas. Oriento sinais de alerta. Alta do episódio.</t>
  </si>
  <si>
    <t>Jaqueline da Silva Moreira</t>
  </si>
  <si>
    <t>09932432407</t>
  </si>
  <si>
    <t>https://chat-conecta.recife.pe.gov.br/live/jKG7GZ7WS3ECmXzhY/room-info</t>
  </si>
  <si>
    <t>Contrações e pirose</t>
  </si>
  <si>
    <t>(Camilla) 08h12 - Falo com gestante pelo telefone, ela pede para ligar às 16h, quando estiver em casa de volta do trabalho.</t>
  </si>
  <si>
    <t>Foi à Arnaldo Marques (16/10); TPP descartado, fez uso de SF devido desidratação e Buscopan, orientada a manter uso do Pantoprazol 1x/dia. Refere melhora do quadro clínico, nega queixas obstétricas e sinais de alerta.</t>
  </si>
  <si>
    <t xml:space="preserve">Caelene Goncalves da Silva </t>
  </si>
  <si>
    <t>https://chat-conecta.recife.pe.gov.br/live/RQvYAYLFuYs5BXXJE/room-info</t>
  </si>
  <si>
    <t>Caroline Maria de Santana</t>
  </si>
  <si>
    <t>https://chat-conecta.recife.pe.gov.br/live/pmgLkXYi6xpm33kna/room-info</t>
  </si>
  <si>
    <t>10/20/0002</t>
  </si>
  <si>
    <t>20/02/2023</t>
  </si>
  <si>
    <t>(Thiago) Às 08:08h, usuária não atende à chamada.</t>
  </si>
  <si>
    <t>(Thiago) Às 11:32h, gestante se encontrava em atendimento no Hospital Agamenon Magalhães.</t>
  </si>
  <si>
    <t>ligar para esse contato 81987608875</t>
  </si>
  <si>
    <t>https://chat-conecta.recife.pe.gov.br/live/zfqcjiQXaotabHKCF/room-info</t>
  </si>
  <si>
    <t>(Thiago) Às 08:12h, 11:20h, usuária não atende à chamada.</t>
  </si>
  <si>
    <t>(Thiago) Às 14:40h, usuária não atende à chamada.</t>
  </si>
  <si>
    <t>https://chat-conecta.recife.pe.gov.br/live/fuDM2m6zX23HmRzyM#&amp;gid=1&amp;pid=2</t>
  </si>
  <si>
    <t>Maria Taynara Macena de Souza Santos</t>
  </si>
  <si>
    <t>https://chat-conecta.recife.pe.gov.br/live/S2reuqgRCntcmdzG5/room-info</t>
  </si>
  <si>
    <t>Dor genital</t>
  </si>
  <si>
    <t>(Thiago) Às 08:35h, paciente encerrou a chamada antes do término do atendimento. Tentar novamente contato. Às 11:20h, usuária não atende à chamada.</t>
  </si>
  <si>
    <t>(Thiago) Às 14:45h, usuária não atende à chamada.</t>
  </si>
  <si>
    <t>Mayara Oliveira de Sena</t>
  </si>
  <si>
    <t>09546579424</t>
  </si>
  <si>
    <t>https://chat-conecta.recife.pe.gov.br/live/KfvYAw7jZJX8Cb8nz/room-info</t>
  </si>
  <si>
    <t>05/01/2023</t>
  </si>
  <si>
    <t>Rafia de laceração com ardência e prurido</t>
  </si>
  <si>
    <t>(Thiago) Às 08:45h, 11:25h, usuária não atende à chamada.</t>
  </si>
  <si>
    <t>(Thiago) Às 17:53h, usuária não atende à chamada.</t>
  </si>
  <si>
    <t>Beatriz Carla Araujo Nascimento</t>
  </si>
  <si>
    <t>07962986450</t>
  </si>
  <si>
    <t>https://chat-conecta.recife.pe.gov.br/live/voYjixJuRCRwZhymX/room-info</t>
  </si>
  <si>
    <t>06/03/2023</t>
  </si>
  <si>
    <t>Werica Souza de Azevedo</t>
  </si>
  <si>
    <t>06270918499</t>
  </si>
  <si>
    <t>https://chat-conecta.recife.pe.gov.br/live/4pw4eGNarrsBimgWx/room-info</t>
  </si>
  <si>
    <t>Dúvida sobre via de parto (iterativa 2) e laqueadura intraparto</t>
  </si>
  <si>
    <t>Mariana Stefany Praxedes de Santana</t>
  </si>
  <si>
    <t>https://chat-conecta.recife.pe.gov.br/live/sfdFJbzPBXWsdL4Hz</t>
  </si>
  <si>
    <t xml:space="preserve"> 08/06/2023</t>
  </si>
  <si>
    <t>Dúvidas quanto aos resultados dos exames solicitados na 1ª consulta.</t>
  </si>
  <si>
    <t xml:space="preserve"> 30/01/2023</t>
  </si>
  <si>
    <t>Paciente encerrou a chamada antes da colclusão do atendimento.</t>
  </si>
  <si>
    <t xml:space="preserve">Natalia Maria Andrade da Silva </t>
  </si>
  <si>
    <t>https://chat-conecta.recife.pe.gov.br/live/tm6mREfidRYBYC2tt</t>
  </si>
  <si>
    <t>09/04/2023</t>
  </si>
  <si>
    <t>Fabiane (08:55) telefone na caixa postal</t>
  </si>
  <si>
    <t>Joanna (15h): não atendeu</t>
  </si>
  <si>
    <t>Anna Karolina de Santana Campos</t>
  </si>
  <si>
    <t>https://chat-conecta.recife.pe.gov.br/live/bWKcRpdasTR4eYWE9/room-info</t>
  </si>
  <si>
    <t>08/03/2023</t>
  </si>
  <si>
    <t>https://chat-conecta.recife.pe.gov.br/live/McrLSkMYE3xuKtsSS/room-info</t>
  </si>
  <si>
    <t>Incerta</t>
  </si>
  <si>
    <t>(Thiago) Às 14:21h, usuária não atende à chamada.</t>
  </si>
  <si>
    <t>taty ( 08:36 ) paciente atendida na urgencia do HBL, hoje com queixas leves, repetirar USG com uma semana, possibilidade de aborto retido.</t>
  </si>
  <si>
    <t>Telemonitoramento realizado dia 21/10 por Tatyana</t>
  </si>
  <si>
    <t>https://chat-conecta.recife.pe.gov.br/live/dKmTM4Xi2sf4EHJnm/members-list</t>
  </si>
  <si>
    <t>Demanda Noturna (segunda a sexta das 19h às 07h)</t>
  </si>
  <si>
    <t>Amanda Rafaely Vieira da Fonseca</t>
  </si>
  <si>
    <t>08354118428</t>
  </si>
  <si>
    <t>https://chat-conecta.recife.pe.gov.br/live/XF9qmAuTB9Gek27EH/members-list</t>
  </si>
  <si>
    <t>Claudia Adriana da Silva</t>
  </si>
  <si>
    <t>06588117469</t>
  </si>
  <si>
    <t>https://chat-conecta.recife.pe.gov.br/live/RfFjHHssLjvexk2fp</t>
  </si>
  <si>
    <t>28/08/2023</t>
  </si>
  <si>
    <t>cólicas</t>
  </si>
  <si>
    <t>Taty ( 08:34) nao atendeu; Joanna (10h30): não atendeu</t>
  </si>
  <si>
    <t>Foi ontem à Policlínica e Maternidade Barros Lima, realizou USG que evidenciou descolamento/hematoma; orientada a permanecer em repouso absoluto e retornar para reavaliação em 10 dias. Prescrito Utrogestan 2x/dia.</t>
  </si>
  <si>
    <t>Maria Eduarda dos Santos Pereira</t>
  </si>
  <si>
    <t>https://chat-conecta.recife.pe.gov.br/live/nCaCC8xSQC8JKJtFG</t>
  </si>
  <si>
    <t xml:space="preserve"> 10/02/2023</t>
  </si>
  <si>
    <t>https://chat-conecta.recife.pe.gov.br/live/RxLQhZtQL6Kkr4YCY</t>
  </si>
  <si>
    <t xml:space="preserve">irregular </t>
  </si>
  <si>
    <t>Telemonirotamento do dia 20/10</t>
  </si>
  <si>
    <t>Juliana Paula Alexandrino de Santana</t>
  </si>
  <si>
    <t>06245697484</t>
  </si>
  <si>
    <t>https://chat-conecta.recife.pe.gov.br/live/ZpahxkXRKchyJjA3L</t>
  </si>
  <si>
    <t>04/09/1987</t>
  </si>
  <si>
    <t>Cansaço físico/indisposição/náusea</t>
  </si>
  <si>
    <t>https://chat-conecta.recife.pe.gov.br/live/5rhuiqoJB9Zrgxymh</t>
  </si>
  <si>
    <t>Maria Cristina Tributino de Oliveira</t>
  </si>
  <si>
    <t>06211091427</t>
  </si>
  <si>
    <t>https://chat-conecta.recife.pe.gov.br/live/aZdmyAiNBxWBuPF68</t>
  </si>
  <si>
    <t>Exsudato em FO</t>
  </si>
  <si>
    <t xml:space="preserve">Taty ( 09:23) Paciente nao atendeu </t>
  </si>
  <si>
    <t xml:space="preserve">(Thiago) Às 15:50h, usuária não atendeu à chamada. Taty (18:50) nao atenddeu a chamada, dado falta </t>
  </si>
  <si>
    <t>Shirley da Hora de Oliveira</t>
  </si>
  <si>
    <t>https://chat-conecta.recife.pe.gov.br/live/T9wF6zPn6PJD4j6MW</t>
  </si>
  <si>
    <t>09/02/2023</t>
  </si>
  <si>
    <t>taty (18:16) paciente encaminhada a emergencia TPP?</t>
  </si>
  <si>
    <t>https://chat-conecta.recife.pe.gov.br/live/GAnXdvJTu48J2uHyR/room-info</t>
  </si>
  <si>
    <t xml:space="preserve">Taty (09:11) Paciente procurou atendimento presencial, avaliada e liberada , oriento paciente </t>
  </si>
  <si>
    <t>Maria Jose Vieira da Silva</t>
  </si>
  <si>
    <t>https://chat-conecta.recife.pe.gov.br/live/PD5xtw3eK4QtQy5MA</t>
  </si>
  <si>
    <t xml:space="preserve"> 21/02/2023</t>
  </si>
  <si>
    <t>Às 14:24, gestante atende e quando me identifico, ligação cai. Ligo novamente e não atende.</t>
  </si>
  <si>
    <t>(Thiago) Às 15:10h, usuária não atende à chamada.</t>
  </si>
  <si>
    <t>Ligar a partir das 14:00h, confirmar acesso à USF (realizar SU).</t>
  </si>
  <si>
    <t>https://chat-conecta.recife.pe.gov.br/live/4sz8CyRMPM7gpHxxy/room-info</t>
  </si>
  <si>
    <t>Lidia de Moraes Santo</t>
  </si>
  <si>
    <t>08722535462</t>
  </si>
  <si>
    <t>https://chat-conecta.recife.pe.gov.br/live/ZM92pnghF9yTnzrJz</t>
  </si>
  <si>
    <t>02/06/2023</t>
  </si>
  <si>
    <t>Não atendeu</t>
  </si>
  <si>
    <t>Ligar as 17h para 81996334713 ( o telefone cadastrado nao recebe ligação )</t>
  </si>
  <si>
    <t>Sabrina Lira de Tavares</t>
  </si>
  <si>
    <t>https://chat-conecta.recife.pe.gov.br/live/s5yGXGRxCdi3kKz5e#&amp;gid=1&amp;pid=4</t>
  </si>
  <si>
    <t>17/01/2023</t>
  </si>
  <si>
    <t>(Thiago) Às 15:14h, usuária não atende à chamada.</t>
  </si>
  <si>
    <t>8h Telefone desligado</t>
  </si>
  <si>
    <t>Thaynara Nunes de Santana</t>
  </si>
  <si>
    <t>https://chat-conecta.recife.pe.gov.br/omnichannel-directory/chats/view/rxsnhicykwTNSMuP9</t>
  </si>
  <si>
    <t>https://chat-conecta.recife.pe.gov.br/live/HRw3JfQgkPaDtz85q/room-info</t>
  </si>
  <si>
    <t>Rafaela Bezerra da Silva</t>
  </si>
  <si>
    <t>https://chat-conecta.recife.pe.gov.br/live/CdpKsRdbqhoXtXjwk</t>
  </si>
  <si>
    <t>(Lari) Alta do monitoramento. Não está em fase ativa</t>
  </si>
  <si>
    <t>Joseilda Maria da Silva</t>
  </si>
  <si>
    <t>https://chat-conecta.recife.pe.gov.br/live/n7oX7FgRtPjXMp4ub/room-info</t>
  </si>
  <si>
    <t>28/02/23</t>
  </si>
  <si>
    <t>Febre / Sinais de infecção</t>
  </si>
  <si>
    <t>Taty (08:50)  no momento do teleatendimento estava  internada na HBL, após transferência da Maternidade bandeira filho, onde procurou atendimento presencial; no memento refere dor lombar e em MIE, em tratamento para ITU e foi interrogado TVP em MIE , aguardando USG.</t>
  </si>
  <si>
    <t>https://chat-conecta.recife.pe.gov.br/live/QyJ9obB2noDM35TkA</t>
  </si>
  <si>
    <t>Refere que continua com tosse, nega presença de novos sintomas, queixas obstétricas e sinais de alerta. Em uso: Predsim + Arlivry. TR-Covid (23/10): negativo. Próxima consulta de PN: 30/10.</t>
  </si>
  <si>
    <t>Karine Virgnia Faierstein de Barros</t>
  </si>
  <si>
    <t>06755866407</t>
  </si>
  <si>
    <t>https://chat-conecta.recife.pe.gov.br/live/Y6E2niZZjKiWChvrQ/room-info</t>
  </si>
  <si>
    <t>irregular</t>
  </si>
  <si>
    <t>DIARREIA + MAL ESTAR</t>
  </si>
  <si>
    <t>https://chat-conecta.recife.pe.gov.br/omnichannel-directory/chats/view/nfHomGGPMfaRSP6SY/room-info</t>
  </si>
  <si>
    <t>Thaline Tenório de Assis</t>
  </si>
  <si>
    <t>https://chat-conecta.recife.pe.gov.br/live/7pmFhfKruBwAEfhAh/room-info</t>
  </si>
  <si>
    <t>08/07/2023</t>
  </si>
  <si>
    <t>Acne</t>
  </si>
  <si>
    <t>Ketlen Milene de Araujo Barbosa</t>
  </si>
  <si>
    <t>https://chat-conecta.recife.pe.gov.br/live/H3FDF6PjP6jSM2tTQ</t>
  </si>
  <si>
    <t>30/08/2023</t>
  </si>
  <si>
    <t>(30/10 Taty - 08:19) paciente nao atendeu</t>
  </si>
  <si>
    <t xml:space="preserve">Taty ( 30/10 as 15:44) usuaria nao atendeu </t>
  </si>
  <si>
    <t>Ligar para 984411270.</t>
  </si>
  <si>
    <t>https://chat-conecta.recife.pe.gov.br/live/z45Lfm3XniN8SMqdt</t>
  </si>
  <si>
    <t>25/06/2023</t>
  </si>
  <si>
    <t>https://chat-conecta.recife.pe.gov.br/live/tdPRYgYfhJSQ2wYsa/room-info</t>
  </si>
  <si>
    <t>Milena Pereira da Silva</t>
  </si>
  <si>
    <t>https://chat-conecta.recife.pe.gov.br/live/o2RNLNNcuiDva9rCe/room-info</t>
  </si>
  <si>
    <t>Taty (08:42) paciente nao atendeu</t>
  </si>
  <si>
    <t>Joanna (14h; 16h20): não atendeu</t>
  </si>
  <si>
    <t>https://chat-conecta.recife.pe.gov.br/live/Pud2sjZ3id3JsemYY/room-info</t>
  </si>
  <si>
    <t>(30/10 taty - 08:22)  Paciente estava no USF para PN, Tentar a tarde</t>
  </si>
  <si>
    <t xml:space="preserve">taty (16:20) monitoramentp realizado, paciente refere secreção e obstrução nasal, nega outras queixas </t>
  </si>
  <si>
    <t>Monitoramento realizado dia 30/10</t>
  </si>
  <si>
    <t>https://chat-conecta.recife.pe.gov.br/direct/NcmyoDSPPFwkbXMjAi2c2jSHZXRKjv2wQH</t>
  </si>
  <si>
    <t>Joanna (12h; 14h; 16h20): não atendeu</t>
  </si>
  <si>
    <t>Ligar para 997106216; Telemonitoramento às 12h. Orientar a atualizar cadastro</t>
  </si>
  <si>
    <t>Maria Rayanne Lima de Moraes</t>
  </si>
  <si>
    <t>https://chat-conecta.recife.pe.gov.br/live/QCbG3kpgSGTGz7wdG/room-info</t>
  </si>
  <si>
    <t>secreção em FO</t>
  </si>
  <si>
    <t>(Thiago) Às 11:15h, usuária não atende à chamada.</t>
  </si>
  <si>
    <t>Taty ( 16:30) paciente nao atendeu</t>
  </si>
  <si>
    <t>11h</t>
  </si>
  <si>
    <t>https://chat-conecta.recife.pe.gov.br/live/fMs2MgZJdDz3zpL3B/members-list</t>
  </si>
  <si>
    <t>22/01/2023</t>
  </si>
  <si>
    <t>(Thiago) Às 17:10h, usuária não atende à chamada.</t>
  </si>
  <si>
    <t>(Thiago) Às 18:20h, usuária não atende à chamada.</t>
  </si>
  <si>
    <t>Gestante em TP, ligar por volta das 15h, para confirmar acesso a Barros Lima.</t>
  </si>
  <si>
    <t>https://chat-conecta.recife.pe.gov.br/omnichannel-directory/chats/view/mdu5BX57Aayhwss3g/room-info</t>
  </si>
  <si>
    <t>Joanna (17h30): não atendeu</t>
  </si>
  <si>
    <t xml:space="preserve">Taty (30/10 as08:40) paciente nao atendeu </t>
  </si>
  <si>
    <t>(Thiago; 30/10/23) Às 11:20h, usuária não atende à ligação.</t>
  </si>
  <si>
    <t>https://chat-conecta.recife.pe.gov.br/live/ZEdCrmCQeB2BiEdyu/room-info</t>
  </si>
  <si>
    <t>Joanna (17h35): não atendeu</t>
  </si>
  <si>
    <t xml:space="preserve">Taty (30/10 as08:43) paciente nao atendeu </t>
  </si>
  <si>
    <t>(Thiago; 30/10/23) Às 11:38h, usuária não atende à ligação. Também foi realizado TINC com a médica Carolina Larré (Usuária é ACS e estava na USF.</t>
  </si>
  <si>
    <t>https://chat-conecta.recife.pe.gov.br/live/eJSP9vgscyetfgQM8/user-info</t>
  </si>
  <si>
    <t>Joanna (17h45): não atendeu</t>
  </si>
  <si>
    <t xml:space="preserve">Taty (30/10 as08:49) paciente nao atendeu </t>
  </si>
  <si>
    <t>(Thiago; 30/10/23) Às 11:41h, usuária não atende à ligação.</t>
  </si>
  <si>
    <t>Marilia Conceicao Dias Veiga</t>
  </si>
  <si>
    <t>06165781489</t>
  </si>
  <si>
    <t>https://chat-conecta.recife.pe.gov.br/live/bxTD23RzEJthzGgSo#&amp;gid=1&amp;pid=6</t>
  </si>
  <si>
    <t>14/09/2023</t>
  </si>
  <si>
    <t>taty (09:08) paciente nao atendeu. (Thiago) Às 17:05h, usuária não atende à chamada.</t>
  </si>
  <si>
    <t>01/11: foi avaliada no CS Gaspar Regueira Costa dia 31/10 (1ª consulta de PN). Refere que não apresentava alteração dos sinais vitais, orientada acerca dos sinais de alerta e uso de sintomático. Nega sinais de alerta no momento e queixas obstétricas. Mantém tosse, porém tem observado melhora (5º dia do inicio dos sintomas). TR-Ag Covid não realizado. Informa que frequentemente tem crise de rinite e sinusite. Realizar telemonitoramento em 03/11.</t>
  </si>
  <si>
    <t>Monitorametno realizado dia 01/11</t>
  </si>
  <si>
    <t>Rosileide Marques Alves do Nascimento</t>
  </si>
  <si>
    <t>https://chat-conecta.recife.pe.gov.br/live/rXdsKbA7MrTTYrC7c</t>
  </si>
  <si>
    <t>9/4/0205</t>
  </si>
  <si>
    <t>07/02/3023</t>
  </si>
  <si>
    <t>(Lari) 08h30 Paciente não atendeu</t>
  </si>
  <si>
    <t>Joanna (17h): não atendeu.</t>
  </si>
  <si>
    <t>Karolaine da Silva Santos</t>
  </si>
  <si>
    <t>https://chat-conecta.recife.pe.gov.br/live/yjaYZvXF3Xz8gFupv</t>
  </si>
  <si>
    <t>(Thiago) Às 17:12h, usuária não atende à chamada.</t>
  </si>
  <si>
    <t>31/10 - Joanna (8h30):  Não foi ao atendimento presencial. Refere melhora da cólica e mantém queixa de disúria. Encaminho para avaliação na APS.</t>
  </si>
  <si>
    <t>Monitoramento realizado 31/10</t>
  </si>
  <si>
    <t>Sabrina Leticia Ferreira de Lima Avelino</t>
  </si>
  <si>
    <t>09023361423</t>
  </si>
  <si>
    <t>https://chat-conecta.recife.pe.gov.br/live/9oerbMaGKGQpsKvof</t>
  </si>
  <si>
    <t>12/01/2023</t>
  </si>
  <si>
    <t xml:space="preserve">(Lari) 08h35 Paciente não atendeu. </t>
  </si>
  <si>
    <t>Joanna (10h20; 14h10; 17h): não atendeu</t>
  </si>
  <si>
    <t>Gestante com DG, 40s2d, encaminhada ao HMR, ao término da TINC compartilhada, para avaliação obstétrica. Confirmar acesso.</t>
  </si>
  <si>
    <t>Isabela Souza de Oliveira</t>
  </si>
  <si>
    <t>07260242442</t>
  </si>
  <si>
    <t>https://chat-conecta.recife.pe.gov.br/live/s9ssMzN9q2CqpNWFA</t>
  </si>
  <si>
    <t>https://chat-conecta.recife.pe.gov.br/live/jSWoe2nasPCBFiPdm/room-info</t>
  </si>
  <si>
    <t>9h(ianne) atende e desliga// depois não atende mais</t>
  </si>
  <si>
    <t>Usuária refere melhora dos sintomas, nega queixas obstétricas.</t>
  </si>
  <si>
    <t>Monitoramento do dia 28/10</t>
  </si>
  <si>
    <t>Kettly Alves de Mendonça</t>
  </si>
  <si>
    <t>https://chat-conecta.recife.pe.gov.br/live/vdpfFgmshefC3gxdn</t>
  </si>
  <si>
    <t xml:space="preserve"> 09/07/2023</t>
  </si>
  <si>
    <t>Não foi gerado monitoramento pela paciente não possuir número telefônico que receba ligação. Oriento que se caso precise, entre em contato novamente com o serviço.</t>
  </si>
  <si>
    <t>Thais Andrea Oliveira do Nascimento</t>
  </si>
  <si>
    <t>https://chat-conecta.recife.pe.gov.br/live/xrbLQr7oQM9XNGyLv</t>
  </si>
  <si>
    <t xml:space="preserve">(Lari) 08h40 Paciente não atendeu. </t>
  </si>
  <si>
    <t>Joanna (10h20; 16h11; 17h05): não atendeu</t>
  </si>
  <si>
    <t>https://chat-conecta.recife.pe.gov.br/live/5gxvRaoT8frwEqTiM/user-info</t>
  </si>
  <si>
    <t>Cólica</t>
  </si>
  <si>
    <t>Joanna (9h22; 12h; 14h; 17h26): não atendeu</t>
  </si>
  <si>
    <t>Monitoramento do dia 30/10</t>
  </si>
  <si>
    <t>Juliana Karla Negreiros do Nascimento</t>
  </si>
  <si>
    <t>https://chat-conecta.recife.pe.gov.br/live/tmbFYxEgcNTtdcyii/room-info</t>
  </si>
  <si>
    <t>12/06/2023</t>
  </si>
  <si>
    <t>08h40 (ianne) Não atende)</t>
  </si>
  <si>
    <t>Joanna (14h30; 16h15; 16h43; 17h6): não atendeu</t>
  </si>
  <si>
    <t>13/09/2023</t>
  </si>
  <si>
    <t>08:36 (Camilla) Gestante refere melhora do quadro gripal (D8 hoje) e confirma que compareceu a sua 1ª consulta de PN no dia 31/10. Alta do episódio.</t>
  </si>
  <si>
    <t>Anna Julia Cavalcanti dos Santos</t>
  </si>
  <si>
    <t>https://chat-conecta.recife.pe.gov.br/live/r2i4gahHaC7vNLEEK</t>
  </si>
  <si>
    <t>Joanna (15h; 17h20): telefone indisponível.</t>
  </si>
  <si>
    <t>Emilayne Barbosa da Silva</t>
  </si>
  <si>
    <t>https://chat-conecta.recife.pe.gov.br/live/AQfxjoyngDk8TndQB/room-info</t>
  </si>
  <si>
    <t>Aborto</t>
  </si>
  <si>
    <t>09:45 (Camilla) Usuária refere ausência de sangramento e outros sintomas. Dou alta do episódio.</t>
  </si>
  <si>
    <t>Keila Mislene da Silva</t>
  </si>
  <si>
    <t>https://chat-conecta.recife.pe.gov.br/live/P4Z55NZW5sKpbGBRY/user-info</t>
  </si>
  <si>
    <t>Desconforto na vagina</t>
  </si>
  <si>
    <t>https://chat-conecta.recife.pe.gov.br/live/AnHbN3eWMDHyNJkrt/members-list</t>
  </si>
  <si>
    <t>Letycia Carolane Marques da Silva</t>
  </si>
  <si>
    <t>https://chat-conecta.recife.pe.gov.br/live/KMwioqTKMqMhoy3jY/user-info</t>
  </si>
  <si>
    <t>Mobilograma após refeição: 7 movimentos em 35 min. Diante do resultado do mobilograma, oriento que gestante siga observando a movimentação fetal e que se perceber novamente a diminuição busque atendimento presencial na Arnaldo Marques. - Mantenho 1 monitoramento amanhã pela manhã (04/11/2023), para checar o histórico de movimentos do bebê realizar o encerramento do caso.</t>
  </si>
  <si>
    <t>https://chat-conecta.recife.pe.gov.br/live/KMwioqTKMqMhoy3jY/room-info</t>
  </si>
  <si>
    <t>Refere que realizou o mobilograma novamente e constatou 10 movimentos fetais. Nega queixas obstétricas no momento. Finalizo telemonitoramento.</t>
  </si>
  <si>
    <t>01/06/2023</t>
  </si>
  <si>
    <t>https://chat-conecta.recife.pe.gov.br/live/Rza7bpfB7NfqpmdBM/room-info</t>
  </si>
  <si>
    <t>Joanna (11h): atendeu e desligou. 14h20 - não atendeu.</t>
  </si>
  <si>
    <t>Joanna (17h): Alguém que não se identificou atendeu (parecia uma criança) e informou que ela estava no médico. Logo em seguida desligou e não atendeu mais.</t>
  </si>
  <si>
    <t>06/11 (Lari) Paciente não atende</t>
  </si>
  <si>
    <t>https://chat-conecta.recife.pe.gov.br/live/tE5Y8cZGLCpRTLWDo/user-info</t>
  </si>
  <si>
    <t>(Thiago) Gestante compareceu para atendimento presencial na Arnaldo Marques ontem, foi medicada, refere melhora da dor em região dorsal e iniciará tratamento para ITU com cefalexina hoje, conforme prescrito durante atendimento.</t>
  </si>
  <si>
    <t>IG 22s3d, queixa de dor intensa em região dorsal direita, inclusive à palpação, área próxima ao ângulo costovertebral. Além disso, refere corrimento acastanhado observado hoje, ardência ao urinar há 2 dias, principalmente no final da micção. Cd: Enc à Pol. e Maternidade Arnaldo Marques.</t>
  </si>
  <si>
    <t>https://chat-conecta.recife.pe.gov.br/live/AHsdXLhoywRd7sWRb/user-info</t>
  </si>
  <si>
    <t>Poliana das Neves Silva</t>
  </si>
  <si>
    <t>https://chat-conecta.recife.pe.gov.br/live/FE4HZoYBBxfZtD4kE</t>
  </si>
  <si>
    <t xml:space="preserve"> 24/12/2022</t>
  </si>
  <si>
    <t>Dor em região sacral.</t>
  </si>
  <si>
    <t>Taty (11H) Paciente esqueceu o celular na casa da mae, ligar as 15:30</t>
  </si>
  <si>
    <t>``As 18h15 Não atende.</t>
  </si>
  <si>
    <t>Confirmar aceso à USF de referência, usuária ainda sem consulta puerperal.</t>
  </si>
  <si>
    <t>Caroline Cristina da Silva</t>
  </si>
  <si>
    <t>https://chat-conecta.recife.pe.gov.br/live/nAFoFx7LCa7jLcwNw/room-info</t>
  </si>
  <si>
    <t>Mostrar exames e tirar dúvidas sobre o final da gestação</t>
  </si>
  <si>
    <t>Às 10h, telefone fora de área ou desligado.</t>
  </si>
  <si>
    <t>Às 14:40, telefone desligado ou fora de área.</t>
  </si>
  <si>
    <t>https://chat-conecta.recife.pe.gov.br/live/dDYTdcYQTz8p929tz</t>
  </si>
  <si>
    <t>Queixas relacionadas a saúde mental</t>
  </si>
  <si>
    <t>Adna Djully Vieira Y Cunha</t>
  </si>
  <si>
    <t>https://chat-conecta.recife.pe.gov.br/live/vj2Ee9qtE74H5qJHm/room-info</t>
  </si>
  <si>
    <t>Joanna (15h; 17h; 18h): não atendeu</t>
  </si>
  <si>
    <t>Ligar só as 14h para confirmar acesso à USF de referência.</t>
  </si>
  <si>
    <t xml:space="preserve">Grace Kelly da Silva Santana </t>
  </si>
  <si>
    <t>https://chat-conecta.recife.pe.gov.br/live/rHrMX6jFvrRD8Fy83/room-info</t>
  </si>
  <si>
    <t>Às 15h15, ligo, mas gestante não atende. (ligar as 15h para reavaliar perda de liquido? )</t>
  </si>
  <si>
    <t>Às 17h50 não atende.</t>
  </si>
  <si>
    <t>Soleane dos Santos Paiva</t>
  </si>
  <si>
    <t>06615610469</t>
  </si>
  <si>
    <t>https://chat-conecta.recife.pe.gov.br/live/yddLtRCcseMJqBGJc#&amp;gid=1&amp;pid=8</t>
  </si>
  <si>
    <t>CONTRAÇÃO ? + EPIGASTRALGIA</t>
  </si>
  <si>
    <t>Fabiane (08:40) paciente não atende.</t>
  </si>
  <si>
    <t>Fabiane (10:00) Gestante refere que não conseguiu ir para a avaliação presencial ontem. Matenho orientação de ir para o presencial.</t>
  </si>
  <si>
    <t>Elaine Flavia dos Santos Manoel</t>
  </si>
  <si>
    <t>08757158428</t>
  </si>
  <si>
    <t>https://chat-conecta.recife.pe.gov.br/live/CJCWWq4JbYsdotwXY/members-list</t>
  </si>
  <si>
    <t>Dor aguda em joelho direito.</t>
  </si>
  <si>
    <t>SIM, situação não relacionada ao período gravídico-puerperal</t>
  </si>
  <si>
    <t>(Thiago) Às 8:07h, usuária não atende à chamada.</t>
  </si>
  <si>
    <t>10/11/23, definido junto à coordenação não realizar monitoramento dos casos fora do ciclo grávido puerperal.</t>
  </si>
  <si>
    <t>Usuária encaminhada para UPA da Caxangá.</t>
  </si>
  <si>
    <t>(Lari) 08h Paciente não atende</t>
  </si>
  <si>
    <t xml:space="preserve">TATY (16H) Paciente nao atendeu ( Dada falta em 11/11/023, apos 1 tentativa) </t>
  </si>
  <si>
    <t>Ana Beatriz Augusto de Lima</t>
  </si>
  <si>
    <t>https://chat-conecta.recife.pe.gov.br/live/LNPG6DGuWT2h883BS</t>
  </si>
  <si>
    <t>Taty (17h) paciente nao atendeu</t>
  </si>
  <si>
    <t>taty (18:32) Paciente nao atendeu (Falta dada)</t>
  </si>
  <si>
    <t>Jessika Carla da Silva</t>
  </si>
  <si>
    <t>09272101425</t>
  </si>
  <si>
    <t>https://chat-conecta.recife.pe.gov.br/live/9h3sgK5qiaGkeQKc7/room-info</t>
  </si>
  <si>
    <t>05/10/2023</t>
  </si>
  <si>
    <t xml:space="preserve">Gestação a confirmar </t>
  </si>
  <si>
    <t>Taty ( 09:44) ITU , 28/</t>
  </si>
  <si>
    <t>Atendimento medico realizado ( ianne)</t>
  </si>
  <si>
    <t>Paula Maria de Sena</t>
  </si>
  <si>
    <t>06075278460</t>
  </si>
  <si>
    <t>https://chat-conecta.recife.pe.gov.br/live/mYoiBcMRb5sW8zxnF/user-info</t>
  </si>
  <si>
    <t>Dificuldade na aceitação da perda gestacional.</t>
  </si>
  <si>
    <t xml:space="preserve">taty(09:11) Paciente estava no posto, aguardando confirmação de atendimento </t>
  </si>
  <si>
    <t>15/11 (Joanna): realizou TR gravidez (14/11) com resultado positivo; foi à USF em busca de atendimento (14/11), porém, refere que não foi bem acolhida, o atendimento foi realizado fora da sala de atendimento, informada que poderia realizar uma USG no particular ou aguardar o agendamento pela prefeitura. Informa que optou por fazer USG no particular na próxima sexta-feira, pois recebe o resultado de forma imediata. Está preocupada porque não sabe se realmente está grávida, pois sente mexer (marido e filha também sentem), as mamas estão doloridas, sente cólicas. Obs.: Não tem BHCG quantitativo. Cd: Realizar telemonitoramento em 18/11 às 17h.</t>
  </si>
  <si>
    <t>Usuária encaminhada à sua USF para acolhimento pós abortamento de gestação desejada. Checar acesso.</t>
  </si>
  <si>
    <t>Natalia Luiza do Nascimento Silva</t>
  </si>
  <si>
    <t>https://chat-conecta.recife.pe.gov.br/live/We3zfcTLx5g9tc9Aq</t>
  </si>
  <si>
    <t>Iris dos Santos Silva</t>
  </si>
  <si>
    <t>https://chat-conecta.recife.pe.gov.br/live/MhXLwSHKAfsxt9pTy</t>
  </si>
  <si>
    <t>Gestante com IG 26s5d pela USG, com dores em BV- ameaça de TPP? Encaminhada à Bandeira Filho, checar acesso.</t>
  </si>
  <si>
    <t xml:space="preserve">Gestante foi para avaliação presencial no hospital da mulher. Refere melhora da cólica. Encerro monitoramento. </t>
  </si>
  <si>
    <t>https://chat-conecta.recife.pe.gov.br/omnichannel-directory/chats/view/9h3sgK5qiaGkeQKc7/room-info</t>
  </si>
  <si>
    <t xml:space="preserve">gestação confirmada </t>
  </si>
  <si>
    <t>Encaminhada para Ianne -  discussão de ITU</t>
  </si>
  <si>
    <t>Eduarda Suzani dos Santos Rolim</t>
  </si>
  <si>
    <t>https://chat-conecta.recife.pe.gov.br/live/8v8Mhw59E3o3Agxah/room-info</t>
  </si>
  <si>
    <t>04/07/2023</t>
  </si>
  <si>
    <t>Joanna (13h30; 18h): não atendeu</t>
  </si>
  <si>
    <t>https://chat-conecta.recife.pe.gov.br/live/4sGkT3uJnLEuB5nrH</t>
  </si>
  <si>
    <t>Vanessa Fabia Gomes da Silva</t>
  </si>
  <si>
    <t>https://chat-conecta.recife.pe.gov.br/live/piKXRSNQ5qg3MRub9/room-info</t>
  </si>
  <si>
    <t>13/11/2023</t>
  </si>
  <si>
    <t>Refere que não buscou atendimento presencial e que irá na próxima sexta. Mantém coriza, mas apresenta melhora considerável. Nega sinais de alerta e queixas obstétricas. Cd: Reforço importância da avaliação presencial e realização do TR Covid; Oriento paciente sobre sinais de alerta, etiqueta respiratória e lavagem nasal com soro fisiológico; telemonitoramento em 17/11 às 15h.</t>
  </si>
  <si>
    <t>Mikelle Maria da Silva Santos</t>
  </si>
  <si>
    <t>https://chat-conecta.recife.pe.gov.br/live/5nWMx4ytDEvxkzXpq</t>
  </si>
  <si>
    <t>15/07/2023</t>
  </si>
  <si>
    <t>(Thiago) Às 17:00h, usuária não atende à chamada.</t>
  </si>
  <si>
    <t>https://chat-conecta.recife.pe.gov.br/live/c57mqrxf6oucFNPii</t>
  </si>
  <si>
    <t xml:space="preserve">USG evidenciando istmocele e possível adenomiose; Gravidez não confirmada. Cd: Recomendo que busque atendimento na US de referência para seguimento do caso. Finalizo telemonitoramento. </t>
  </si>
  <si>
    <t>https://chat-conecta.recife.pe.gov.br/live/Ltwmmk5sRnyaJtMmd/room-info</t>
  </si>
  <si>
    <t xml:space="preserve">Atendimento realizado no dia 14/11 </t>
  </si>
  <si>
    <t>Joyce Marinho da Silva</t>
  </si>
  <si>
    <t>https://chat-conecta.recife.pe.gov.br/live/C9D6ytyB7zXR5ssru</t>
  </si>
  <si>
    <t>10/06/1991</t>
  </si>
  <si>
    <t>Máculas acastanhadas em mãos, pés e barriga</t>
  </si>
  <si>
    <t>(Thiago) Às 15:05h, usuária não atende à chamada.</t>
  </si>
  <si>
    <t>(Thiago) Às 17:20h, usuária não atende à chamada.</t>
  </si>
  <si>
    <t>https://chat-conecta.recife.pe.gov.br/live/av3ZiF2rHiAzeyg39</t>
  </si>
  <si>
    <t>Dúvidas quanto aos sinais de alerta em crise de asma na gestação.</t>
  </si>
  <si>
    <t>Não é mais da área da USF Cosme e DAmião</t>
  </si>
  <si>
    <t>Fabiana Andreza das Neves</t>
  </si>
  <si>
    <t>https://chat-conecta.recife.pe.gov.br/live/2jSdW8kWSMKLi2A4S/user-info</t>
  </si>
  <si>
    <t>26/08/2023</t>
  </si>
  <si>
    <t>https://chat-conecta.recife.pe.gov.br/live/HiMnirG6ozF8HwNWz</t>
  </si>
  <si>
    <t>Isabelle Joyce de França da Silva</t>
  </si>
  <si>
    <t>(Thiago) Às 08:50h, 10:20h, usuária não atende à chamada.</t>
  </si>
  <si>
    <t>Jessica Rayanne da Silva</t>
  </si>
  <si>
    <t>https://chat-conecta.recife.pe.gov.br/live/f3FZGXoFyKfZLHJdL/members-list</t>
  </si>
  <si>
    <t>27/02/2023</t>
  </si>
  <si>
    <t>Bruna Beatriz de Sena da Silva</t>
  </si>
  <si>
    <t>https://chat-conecta.recife.pe.gov.br/live/TwMADgQqhGRs6ihGy</t>
  </si>
  <si>
    <t>15/09/2023</t>
  </si>
  <si>
    <t>Stefany Katarina da Silva Oliveira</t>
  </si>
  <si>
    <t>05213591477</t>
  </si>
  <si>
    <t>https://chat-conecta.recife.pe.gov.br/live/LNcY2JYXqbJhvKGoc#&amp;gid=1&amp;pid=4</t>
  </si>
  <si>
    <t>20/09/2023</t>
  </si>
  <si>
    <t>Dúvidas quanto ao resultado da USG.</t>
  </si>
  <si>
    <t>Michelle Rodrigues da Silva</t>
  </si>
  <si>
    <t>https://chat-conecta.recife.pe.gov.br/live/YrmK4d8nbnTK2bPCS</t>
  </si>
  <si>
    <t xml:space="preserve"> 09/02/2023</t>
  </si>
  <si>
    <t>Dúvidas quanto ao trabalho de parto.</t>
  </si>
  <si>
    <t>Maria Eduarda dos Santos Barboza</t>
  </si>
  <si>
    <t>https://chat-conecta.recife.pe.gov.br/live/B4Hnt7Yhwor34pEEu/uploaded-files-list</t>
  </si>
  <si>
    <t>Assintomática // Chegou na DPP</t>
  </si>
  <si>
    <t>(Lari) Paciente informa que conseguiu agendar PN para amanha</t>
  </si>
  <si>
    <t xml:space="preserve">Danielle Janaina da Silva </t>
  </si>
  <si>
    <t>06852178412</t>
  </si>
  <si>
    <t>https://chat-conecta.recife.pe.gov.br/omnichannel-directory/chats/view/TipfusqGDBhNmbHfn</t>
  </si>
  <si>
    <t>06/08/2023</t>
  </si>
  <si>
    <t>Diarreia leve</t>
  </si>
  <si>
    <t>Fabiane (08:35). Gestante refere que a diarreia já cessou. Encerro monitoramento.</t>
  </si>
  <si>
    <t>Checar melhora do quadro de diarreia leve.</t>
  </si>
  <si>
    <t>Samara Albuquerque Alves</t>
  </si>
  <si>
    <t>https://chat-conecta.recife.pe.gov.br/live/WGm8jy85oco7vWuQn/user-info</t>
  </si>
  <si>
    <t>16/07/2023</t>
  </si>
  <si>
    <t>Dúvida sobre uso de cosmético</t>
  </si>
  <si>
    <t>Macione Maria Eduardo D Souza</t>
  </si>
  <si>
    <t>09270912400</t>
  </si>
  <si>
    <t>https://chat-conecta.recife.pe.gov.br/live/jqApCsg9G6N6bddA5/room-info</t>
  </si>
  <si>
    <t>(Lari) Realizo monitoramento, ainda não foi avaliada pela suspeita de TVP. Vai para o HMR.</t>
  </si>
  <si>
    <t>Assintomática. Esta na DPP</t>
  </si>
  <si>
    <t xml:space="preserve">Gestante conseguiu acesso ao pré-natal ontem. De acordo com seu relato, tudo está transcorrendo bem na gestação. Foi orientada a buscar a urgência em caso de sinais de TP e/ou sinais de alerta e/ou com 41s (dia 25/11) para avaliação obstétrica. Encerro o caso. </t>
  </si>
  <si>
    <t>https://chat-conecta.recife.pe.gov.br/live/ToeTmfK4QHYwHpYba</t>
  </si>
  <si>
    <t>https://chat-conecta.recife.pe.gov.br/live/LSwnF6zsHeuna6t5g/user-info</t>
  </si>
  <si>
    <t>https://chat-conecta.recife.pe.gov.br/live/PBopX9SHBgDuA2RAs/room-info</t>
  </si>
  <si>
    <t>prodromos</t>
  </si>
  <si>
    <t>(Thiago) Usuária realizou novo atendimento e foi encaminhada para Bandeira Filho com BR.</t>
  </si>
  <si>
    <t>Usuária encontrou para teleconsulta na demana noturna</t>
  </si>
  <si>
    <t>Jeyne Ariel Araujo da Costa</t>
  </si>
  <si>
    <t>https://chat-conecta.recife.pe.gov.br/live/YaPoRLRrozedndcwy</t>
  </si>
  <si>
    <t>15/04/1999</t>
  </si>
  <si>
    <t>Poliana Soares Basilio do Carmo</t>
  </si>
  <si>
    <t>08844438410</t>
  </si>
  <si>
    <t>https://chat-conecta.recife.pe.gov.br/live/wb4y3XeWoum4usnJZ/room-info</t>
  </si>
  <si>
    <t>Fabiane (15:00) Gestante foi para avalição presencial. Foi descatado TPP, foi medicada e liberada.</t>
  </si>
  <si>
    <t xml:space="preserve"> Ligar as 15 horas para checar acesso a maternidade. TPP? Ligar para o número 98966-7779</t>
  </si>
  <si>
    <t>Isa Rayanne de Moura Costa</t>
  </si>
  <si>
    <t>08332796458</t>
  </si>
  <si>
    <t>https://chat-conecta.recife.pe.gov.br/live/nJwhdHyfYxibDJQ4Y</t>
  </si>
  <si>
    <t>12/05/1992</t>
  </si>
  <si>
    <t>Joanna (8h; 9h): não atendeu.</t>
  </si>
  <si>
    <t xml:space="preserve">22/11 (taty) monitoramento realizado, paciente nao procurou atendimento na emergencia, permanece com sintomatologia </t>
  </si>
  <si>
    <t>Gestante com quadro sugestivo de franco TPP, aciono SAMU para remoção para maternidade mais próxima - Arnaldo Marques.</t>
  </si>
  <si>
    <t>Ligar para o n° 98966-7779, reavaliar quadro clinico de dor pelvica.</t>
  </si>
  <si>
    <t>https://chat-conecta.recife.pe.gov.br/live/EptoLGdPfW8sCx8G7</t>
  </si>
  <si>
    <t>Fabiane (08:40) telenofe na caixa postal.</t>
  </si>
  <si>
    <t>https://chat-conecta.recife.pe.gov.br/live/MCMvXyDPKmPBNy27S/members-list</t>
  </si>
  <si>
    <t xml:space="preserve">taty (08:30) paciente se encontra na maternidade  bandeira filho, pariu 22/11 as 19:48, puerpera e RN estao bem </t>
  </si>
  <si>
    <t>Gestante em fase latente do TP, BR, ancaminhada à Bandeira filho, checar acesso.</t>
  </si>
  <si>
    <t>SIM, para o SAMU</t>
  </si>
  <si>
    <t>Amanda Firmino da Paz</t>
  </si>
  <si>
    <t>https://chat-conecta.recife.pe.gov.br/live/uFnCh7mBMFBCWBE2X/room-info</t>
  </si>
  <si>
    <t>23/04/2023</t>
  </si>
  <si>
    <t>Gestante informa que sangramento cessou. Nega outros sintomas. Encerro o caso</t>
  </si>
  <si>
    <t>Maria Isabel da Silva</t>
  </si>
  <si>
    <t>https://chat-conecta.recife.pe.gov.br/live/XTh6tMgCDSD4zwfDh</t>
  </si>
  <si>
    <t>30/09/2023</t>
  </si>
  <si>
    <t>ligar a tarde, paciente sem poder falar;   Taty ( 13:51) nao atendeu</t>
  </si>
  <si>
    <t>:taty (17:50) paciente nao atendeu</t>
  </si>
  <si>
    <t>https://chat-conecta.recife.pe.gov.br/live/zGnGLFmbPuA4GCJRZ/room-info</t>
  </si>
  <si>
    <t>12/05/2023</t>
  </si>
  <si>
    <t>taty (09:13) paciente nao atendeu ( nao atendeu 13:50 )</t>
  </si>
  <si>
    <t>taty (17:54) paciente nao atendeu</t>
  </si>
  <si>
    <t>https://chat-conecta.recife.pe.gov.br/live/zk6hvdQ2DsaEiECXw/room-info</t>
  </si>
  <si>
    <t>(Thiago) Às 17:25h, usuária não atende à chamada.</t>
  </si>
  <si>
    <t>Ligar à tarde para checar acesso.</t>
  </si>
  <si>
    <t>Maria Rita Caetana dos Santos</t>
  </si>
  <si>
    <t>https://chat-conecta.recife.pe.gov.br/live/TGzvEeF8cuRGHPPLR/user-info</t>
  </si>
  <si>
    <t>21/04/2023</t>
  </si>
  <si>
    <t>(Lari) Paciente refere que procurou a maternidade, foi avaliada, afastado TPP e foi liberada.</t>
  </si>
  <si>
    <t>https://chat-conecta.recife.pe.gov.br/live/wdfKRtWpPAJBRdGp6/room-info</t>
  </si>
  <si>
    <t>Choque elétrico</t>
  </si>
  <si>
    <t>(Thiago) Às 08:25h, 09:25h, usuária não atende à chamada.</t>
  </si>
  <si>
    <t>(Thiago) Às 14:50h, 17:30h, usuária não atende à chamada.</t>
  </si>
  <si>
    <t>Confirmação de acesso</t>
  </si>
  <si>
    <t>https://chat-conecta.recife.pe.gov.br/live/nPjhPu6kieccuo72K/room-info</t>
  </si>
  <si>
    <t>duvida sobre horario da dexametasona</t>
  </si>
  <si>
    <t>Micheline da Costa Silva</t>
  </si>
  <si>
    <t>08479536454</t>
  </si>
  <si>
    <t>https://chat-conecta.recife.pe.gov.br/live/9wsNjYi8TBdfAneLt/user-info</t>
  </si>
  <si>
    <t xml:space="preserve"> 08/07/2023</t>
  </si>
  <si>
    <t>Usuária compareceu a UPA, foi prescrito dipirona e repouso. Refere melhora dos sintomas.</t>
  </si>
  <si>
    <t>Vitoria Kelly Barbosa Bezerra</t>
  </si>
  <si>
    <t>https://chat-conecta.recife.pe.gov.br/live/47ZoZZroPeSiJFPYZ/user-info</t>
  </si>
  <si>
    <t>17/06/2023</t>
  </si>
  <si>
    <t>28/11: Assintomática no momento, não foi à USF, irá próxima sexta, enfermeira ciente do caso.</t>
  </si>
  <si>
    <t>Ligar às 14h. Monitoramento não realizado, em virtude da indisponibilidade do microsip e dos telefones da EMPREL</t>
  </si>
  <si>
    <t>Tercia Innarah de Lucena Pereira</t>
  </si>
  <si>
    <t>https://chat-conecta.recife.pe.gov.br/live/f79GJPct9gYx9WmoJ/user-info#&amp;gid=1&amp;pid=5</t>
  </si>
  <si>
    <t>Dúvida sobre cosmético</t>
  </si>
  <si>
    <t>Mayara Jeniffer Oliveira do Nascimento</t>
  </si>
  <si>
    <t>https://chat-conecta.recife.pe.gov.br/live/z4h7ZpdSEq8oXc8L2/user-info</t>
  </si>
  <si>
    <t>Às 09:00h, 10:30h, 12:50h, 14:00h, 16:00h, Microsip sem funcionar.</t>
  </si>
  <si>
    <t>Joanna (8h6; 10h58; 12h45; 15h42; 17h21): não atendeu</t>
  </si>
  <si>
    <t>Monitoramento não realizado, em virtude da indisponibilidade do microsip e dos telefones da EMPREL</t>
  </si>
  <si>
    <t>https://chat-conecta.recife.pe.gov.br/live/oFn54msvsGSozPPZJ</t>
  </si>
  <si>
    <t>https://chat-conecta.recife.pe.gov.br/live/tPvLXrfSqgtcnywMi/user-info</t>
  </si>
  <si>
    <t xml:space="preserve"> 07/03/2023</t>
  </si>
  <si>
    <t>Diarreia durante o tratamento para ITU</t>
  </si>
  <si>
    <t>Ellen Victoria Claudino Oliveira</t>
  </si>
  <si>
    <t>https://chat-conecta.recife.pe.gov.br/live/vtmNXeGR4y3fLiocH</t>
  </si>
  <si>
    <t>Lidia Vitória Anacleto</t>
  </si>
  <si>
    <t>https://chat-conecta.recife.pe.gov.br/live/s2iHsveqyCgtgDdSr</t>
  </si>
  <si>
    <t>Fabiane (15:00) telefone na caixa postal.</t>
  </si>
  <si>
    <t>Joanna (17h22): não atendeu</t>
  </si>
  <si>
    <t>Ligar à tarde, checar acesso à APS.</t>
  </si>
  <si>
    <t>Natalia dos Santos Ferreira</t>
  </si>
  <si>
    <t>https://chat-conecta.recife.pe.gov.br/live/9F4uSSvb2RYbHXo3b/uploaded-files-list</t>
  </si>
  <si>
    <t>Fabiane (15:15) telefone na caixa postal.</t>
  </si>
  <si>
    <t>Joanna (17h25): parto cesáreo no HBL. Ambos seguem com BEG.</t>
  </si>
  <si>
    <t>https://chat-conecta.recife.pe.gov.br/live/bGCbT2d9dQkCyhkj4</t>
  </si>
  <si>
    <t>13/03/20223</t>
  </si>
  <si>
    <t>Mobilograma - 5MF/1h, dor élvica associada a micção</t>
  </si>
  <si>
    <t>Entrou como demanda noturna. DU: 3/50"90"53"/10'. Cd: Encaminho à maternidade.</t>
  </si>
  <si>
    <t>Aline Alexsandra Mendes dos Santos</t>
  </si>
  <si>
    <t>01589956435</t>
  </si>
  <si>
    <t>https://chat-conecta.recife.pe.gov.br/live/At5J4ZbgemTiaJ9Fr/room-info</t>
  </si>
  <si>
    <t>Joanna (17h30): número indisponível</t>
  </si>
  <si>
    <t>Ritshelly Cassia da Silva</t>
  </si>
  <si>
    <t>09817940411</t>
  </si>
  <si>
    <t>https://chat-conecta.recife.pe.gov.br/live/TEofGvc2fYQsMgQmy</t>
  </si>
  <si>
    <t>14/05/2023</t>
  </si>
  <si>
    <t>Odontalgia</t>
  </si>
  <si>
    <t>Sthefany Kelly Ferreira Rios</t>
  </si>
  <si>
    <t>https://chat-conecta.recife.pe.gov.br/live/3SWwdFoWRFuq9jGGi/user-info</t>
  </si>
  <si>
    <t>https://chat-conecta.recife.pe.gov.br/live/84kZepyKnNT9kBcqy</t>
  </si>
  <si>
    <t>Refere que foi atendida na Maternidade Bandeira Filho, ficou em observação devido dilatação do colo uterino = 3cm e contrações, porém, após as 12h as contrações diminuíram. Sendo assim, foi orientada a retornar para nova avaliação se as contrações retornarem. Informa que realizou EAS sem alterações.</t>
  </si>
  <si>
    <t>Rosangela Patricia Vania de Oliveira</t>
  </si>
  <si>
    <t>09000840490</t>
  </si>
  <si>
    <t>https://chat-conecta.recife.pe.gov.br/live/PZnr4tW6szgRaBtBQ/room-info</t>
  </si>
  <si>
    <t>Pápula eritematosa e pruriginosa no abdome</t>
  </si>
  <si>
    <t>Joanna (8h30; 14h15; 16h35; 17h15): não atendeu</t>
  </si>
  <si>
    <t>Roseanne Santana Ribeiro</t>
  </si>
  <si>
    <t>07111563441</t>
  </si>
  <si>
    <t>https://chat-conecta.recife.pe.gov.br/live/jamTQqREGtnZSsECP</t>
  </si>
  <si>
    <t>04/10/2023</t>
  </si>
  <si>
    <t>taty (08:47) paciente nao atendeu (12:30) Não atendeu</t>
  </si>
  <si>
    <t>Joanna (14h13; 16h3517h13): não atendeu</t>
  </si>
  <si>
    <t>Kauanny Emanuelly do Nascimento</t>
  </si>
  <si>
    <t>https://chat-conecta.recife.pe.gov.br/live/Xf8iPzZTiq6R8LQee/room-info</t>
  </si>
  <si>
    <t>Joanna (8h36; 13h55; 17h29): não atendeu</t>
  </si>
  <si>
    <t>Grace Kelly da Silva Santana</t>
  </si>
  <si>
    <t>https://chat-conecta.recife.pe.gov.br/live/LpdNGatAexmtLMwZK</t>
  </si>
  <si>
    <t>Karla Cristina dos Santos Silva</t>
  </si>
  <si>
    <t>https://chat-conecta.recife.pe.gov.br/live/3q7yt5WKx7NxZa4mP</t>
  </si>
  <si>
    <t>10/08//2023</t>
  </si>
  <si>
    <t>informa melhora da cefaleia após uso do Paracetamol. Segue sem outras queixas ou sinais de alerta.</t>
  </si>
  <si>
    <t>10/08/2023</t>
  </si>
  <si>
    <t>Tayane dos Santos Meira</t>
  </si>
  <si>
    <t>https://chat-conecta.recife.pe.gov.br/live/CNtjmr9Jt6DHa6ftr/room-info</t>
  </si>
  <si>
    <t>Joanna (15h; 15h30; 16h25; 17h20): telefone desligado</t>
  </si>
  <si>
    <t>Ligar às 15h - avaliar mobilograma</t>
  </si>
  <si>
    <t>Maria Eduarda de Miranda Cavalcanti</t>
  </si>
  <si>
    <t>09896030405</t>
  </si>
  <si>
    <t>https://chat-conecta.recife.pe.gov.br/live/7sL4pESJCqGuS6Nw7</t>
  </si>
  <si>
    <t>25/10/2023</t>
  </si>
  <si>
    <t>(Thiago) Às 09:30h, 10:30h, 11:30h, telefone indisponível.</t>
  </si>
  <si>
    <t>(Thiago) Às 13:30h, 15:00h, 16:30h, telefone indisponível.</t>
  </si>
  <si>
    <t>De acordo com o ARCGIS a US de referência é a Policlínica Albert Sabin e acordo com o mapa de vinculação é o CS Prof Mário Ramos/CS Francisco Pignatari/EACS 5; 5.1; 5.2 - faço registro na planilha de pendência.</t>
  </si>
  <si>
    <t>https://chat-conecta.recife.pe.gov.br/live/XqQca92b9rgdRgpmB</t>
  </si>
  <si>
    <t>Aline Mauricio dos Santos</t>
  </si>
  <si>
    <t>https://chat-conecta.recife.pe.gov.br/live/pAhjLDQiZhrwtFk8D</t>
  </si>
  <si>
    <t xml:space="preserve"> 24/07/2023</t>
  </si>
  <si>
    <t>Gestante refere que "a dor de dente passou" e que tomou dipirona apenas no domingo. Tem consulta de PN e odontológica dia 20/12. Dou alta do evento e finalizo atendimento.</t>
  </si>
  <si>
    <t>Ligar entre 13h e 15h, gestante IG 18s6d, com odontalgia importante, encaminhada para tentar acessom em sua USF em 04/12, checar acesso.</t>
  </si>
  <si>
    <t>https://chat-conecta.recife.pe.gov.br/live/GGZhQ75mX6jHpiHYD/members-list</t>
  </si>
  <si>
    <t xml:space="preserve">(Lari) Paciente internada no IMIP por TPP + iteratividade </t>
  </si>
  <si>
    <t>Gestante IG 36s4d, em TPP?, chacar acessoa à Bandeira Filho.</t>
  </si>
  <si>
    <t>Vanessa Nascimento de Araujo</t>
  </si>
  <si>
    <t>09569874430</t>
  </si>
  <si>
    <t>https://chat-conecta.recife.pe.gov.br/live/8ujind6kKqd78w4oP</t>
  </si>
  <si>
    <t xml:space="preserve">Ligar às 15h (Thiago) Às 15:20h, o telefone da usuária não está disponível. </t>
  </si>
  <si>
    <t>Joanna (17h; 18h10): não disponível</t>
  </si>
  <si>
    <t xml:space="preserve">Outro contato: 986887725. </t>
  </si>
  <si>
    <t>Heloisa Marques Bezerra</t>
  </si>
  <si>
    <t>https://chat-conecta.recife.pe.gov.br/live/TpLbFfJndDLC4k7CZ</t>
  </si>
  <si>
    <t xml:space="preserve"> 15/08/2023</t>
  </si>
  <si>
    <t>Sangramento e cólicas em baixo ventre</t>
  </si>
  <si>
    <t>Joelma Carla da Silva Araujo</t>
  </si>
  <si>
    <t>https://chat-conecta.recife.pe.gov.br/live/Ewcs7ZtEGacEXcWTk</t>
  </si>
  <si>
    <t>01/07/2023</t>
  </si>
  <si>
    <t>(Thiago) Às 17:25h , não consigo contato com usuária por nenhum número cadastrado.</t>
  </si>
  <si>
    <t>Joanna (18h12): indisponível</t>
  </si>
  <si>
    <t>Outro contato: 992521738 (marido - Leandro). Falta colocar falta no PEC</t>
  </si>
  <si>
    <t>https://chat-conecta.recife.pe.gov.br/live/Xtn8xzM9wrHdqW85z/room-info</t>
  </si>
  <si>
    <t>Via de parto</t>
  </si>
  <si>
    <t>Claudia Silva de Souza</t>
  </si>
  <si>
    <t>https://chat-conecta.recife.pe.gov.br/live/mt59LtTYgFaedaLGa</t>
  </si>
  <si>
    <t>15/10/2023</t>
  </si>
  <si>
    <t>Gestante informa que sangramento cessou e que não está mais sentindo cólicas. Foi examinada na Barros Lima, com colo fechado ao toque vaginal. Hoje decidiu fazer uma USG particular que está agendada para as 17h. Como sintomas cessaram, oriento que agende seu pré-natal, fazendo uma visita à unidade de saúde, dou alta do episódio e finalizo o caso.</t>
  </si>
  <si>
    <t>ANNY CAROLYNNE FERREIRA DA SILVA</t>
  </si>
  <si>
    <t>https://chat-conecta.recife.pe.gov.br/live/SWpnNq59vRSzv7APF</t>
  </si>
  <si>
    <t>Fabiane (08:30) Paciente refere que foi para atendimento presencial. Relata melhora dos sintomas. Encerro monitoramento.</t>
  </si>
  <si>
    <t>https://chat-conecta.recife.pe.gov.br/live/cDXhcWZkS5dpB4DPC</t>
  </si>
  <si>
    <t>Gestante procurou a Bandeira Filho e foi transferida para o HBL, onde se encontra internada para tratamento clínico.</t>
  </si>
  <si>
    <t xml:space="preserve">Ligar para  992062057 </t>
  </si>
  <si>
    <t>Anny Carolynne Ferreira da Silva</t>
  </si>
  <si>
    <t>fabiane.souza@recife.pe.gov.br</t>
  </si>
  <si>
    <t xml:space="preserve">Aline Mauricio dos Santos </t>
  </si>
  <si>
    <t>24/07/2023</t>
  </si>
  <si>
    <t>https://chat-conecta.recife.pe.gov.br/live/eN8NNFPhgkanD94ct/room-info</t>
  </si>
  <si>
    <t>Thallyne Maria Silva dos Santos</t>
  </si>
  <si>
    <t>https://chat-conecta.recife.pe.gov.br/live/EPoqqpCatZkGZKHNo/room-info</t>
  </si>
  <si>
    <t>https://chat-conecta.recife.pe.gov.br/live/WPQvNEK2d4gZ8Mow6</t>
  </si>
  <si>
    <t>Exames no puerpério: HAS/DHEG, DMG/DM</t>
  </si>
  <si>
    <t>Renata Maria da Conceição</t>
  </si>
  <si>
    <t>https://chat-conecta.recife.pe.gov.br/live/mjspR7BKruMbzfrmS/room-info</t>
  </si>
  <si>
    <t>Fabiane (09:30) Paciente não atendeu. (15:30) Telefone não chama.</t>
  </si>
  <si>
    <t>Fabiana Maria da Silva</t>
  </si>
  <si>
    <t>https://chat-conecta.recife.pe.gov.br/live/2MazhZKwiwsK53iH7</t>
  </si>
  <si>
    <t>10/05/2023</t>
  </si>
  <si>
    <t>Gestante refere que foi atendida na Bandeira Filho ontem, conforme orientada pela equipe do Atende. Hoje, nega queixas. Dou alta do episódio e encerro caso.</t>
  </si>
  <si>
    <t>Ligar pela manhã a partir das 8h, gestante com 31s3d, com cólicas, contrações, vômito e diarreia. Confirmar acesso à Bandeira Filho.</t>
  </si>
  <si>
    <t>Maria Betania Alves Vieira</t>
  </si>
  <si>
    <t>05778167482</t>
  </si>
  <si>
    <t>https://chat-conecta.recife.pe.gov.br/live/Jz7KP6qetfsivQbaq</t>
  </si>
  <si>
    <t>08/06/2023</t>
  </si>
  <si>
    <t>Fabiane (11:10) Paciente não atendeu. (15:40) Telefone na caixa postal.</t>
  </si>
  <si>
    <t>Ligar qualquer horário, gestante IG 25s6d, TPP? diagnóstico de CA de colo uterino e endometriose (SIC). Confirmar acesso ao HMR.</t>
  </si>
  <si>
    <t>https://chat-conecta.recife.pe.gov.br/live/WQf6RYEhThyNGrQ7J/room-info</t>
  </si>
  <si>
    <t>Sangramento vaginal persistente após um aborto espontâneo</t>
  </si>
  <si>
    <t>Rayane Carla Carneiro</t>
  </si>
  <si>
    <t>09024504414</t>
  </si>
  <si>
    <t>https://chat-conecta.recife.pe.gov.br/live/n8G9hupd2FQoyKw3h/room-info</t>
  </si>
  <si>
    <t>Joanna (10h; 14h; 15h; 16h33; 17h37): não atendeu</t>
  </si>
  <si>
    <t>Contrações de Braxton-Hicks? / Início do trabalho de parto? Confirma acesso na Barros Lima.</t>
  </si>
  <si>
    <t>https://chat-conecta.recife.pe.gov.br/live/5EPSr9bTFjfEw7pxA/room-info</t>
  </si>
  <si>
    <t>Laqueadura Tubária</t>
  </si>
  <si>
    <t>Hellen Cristina da Silva Cruz</t>
  </si>
  <si>
    <t>https://chat-conecta.recife.pe.gov.br/live/e96R3EJ4kiEFeSkxE/room-info</t>
  </si>
  <si>
    <t>17/09/2023</t>
  </si>
  <si>
    <t>Joanna (10h): não atendeu</t>
  </si>
  <si>
    <t xml:space="preserve">Foi à Upinha Eduardo Campos (local de funcionamento provisório da USF Ponto de Parada), recebeu 1ª dose de Penicilina benzatina (07/12) e foi orientada a retornar próxima terça-feira para agendar consulta de pré-natal. </t>
  </si>
  <si>
    <t>Telemonitoramento para: Confirmar o acesso à APS. Unidade da gestante é a Ponto de Parada que, em virtude da requalificação está funcionando provisoriamente na Upinha Eduardo Campos. Oriento que busque a Upinha para iniciar PN, tramento de sífilis e testagem do parceiro.</t>
  </si>
  <si>
    <t>Pamella Roberta de Sousa da Silva</t>
  </si>
  <si>
    <t>https://chat-conecta.recife.pe.gov.br/live/suetuRC4ydfLBjDiJ/room-info</t>
  </si>
  <si>
    <t>Entrou por demanda espontânea. Dinâmica uterina: 4/40"34"60"59"/10'; MF reduzida. Foto do absorvente com líquido de aspecto acastanhado.</t>
  </si>
  <si>
    <t>Telemonitoramento para: avaliar sinais de trabalho de parto e/ou de alerta e necessidade de encaminhar a gestante para avaliação presencial. HD: GUTT + PROVÁVEL RPMO.</t>
  </si>
  <si>
    <t>Bianca Nathalia Andrade de Souza</t>
  </si>
  <si>
    <t>https://chat-conecta.recife.pe.gov.br/live/9WZ3ziDLAgvDzpaf7/user-info</t>
  </si>
  <si>
    <t>13/04/2023</t>
  </si>
  <si>
    <t>Dor abdominal + diarreia com sangue</t>
  </si>
  <si>
    <t>Joanna (9h6): telefone desligado</t>
  </si>
  <si>
    <t>Foi ao Hospital Guararapes em Prazeres, constatou-se presença de sangue nas fezes, prescrito Azitromicina 500 mg 1x/dia por 5 dias, Floratil 2x/dia por 3 dias. Refere que apresenta melhora do quadro clínico, nega presença de evacuações aquosas desde ontem e dor abdominal. Nega queixas obstétricas. MF (+)</t>
  </si>
  <si>
    <t>https://chat-conecta.recife.pe.gov.br/live/jLmq7nqMNASP3wNhq/room-info</t>
  </si>
  <si>
    <t>Joanna (9h6; 11h11; 14h30; 17h08; 17h50): telefone desligado; Registro falta no PEC.</t>
  </si>
  <si>
    <t>Maria Eduarda Alves Santana</t>
  </si>
  <si>
    <t>https://chat-conecta.recife.pe.gov.br/live/XNkHTxuGqLiMHW367</t>
  </si>
  <si>
    <t>Dúvida sobre quando ir à maternidade</t>
  </si>
  <si>
    <t>Ana Julia Trajano Lima</t>
  </si>
  <si>
    <t>https://chat-conecta.recife.pe.gov.br/live/mTjGX7xp2go6KWdhT#&amp;gid=1&amp;pid=6</t>
  </si>
  <si>
    <t>10/06/1996</t>
  </si>
  <si>
    <t>Maria Cristiane de Oliveira</t>
  </si>
  <si>
    <t>05071789477</t>
  </si>
  <si>
    <t>https://chat-conecta.recife.pe.gov.br/live/hrLz382WiQGmE5NNv/room-info</t>
  </si>
  <si>
    <t xml:space="preserve">Refere que mantém contrações irregulares de intensidade variável (registro do horário das últimas contrações: 13h40; 14h15). Nega perdas vaginais, cefaleia e outros sinais de de alerta. Refere que mantém o mesmo padrão de movimentação fetal. Cd: Ir a maternidade se presença de sinais de alerta e/ou trabalho de parto ativo (contrações uterinas dolorosas e regulares em tempo (a cada 5 minutos ou menos), em intensidade (fortes) e em duração (50 a 60 segundos); Oriento manutenção pré-natal em APS, métodos não farmacológicos para alívio da dor, livre movimentação e deambulação;  </t>
  </si>
  <si>
    <t>Steffane Kelly da Silva</t>
  </si>
  <si>
    <t>https://chat-conecta.recife.pe.gov.br/live/KfhRPN5WQNXrfsGXa/user-info</t>
  </si>
  <si>
    <t>24/09/2023</t>
  </si>
  <si>
    <t>Refere melhora da dor de cabeça após uso do Paracetamol 500 mg. Nega outras queixas.</t>
  </si>
  <si>
    <t>Maria Eduarda Cruz Fonseca</t>
  </si>
  <si>
    <t>08467540451</t>
  </si>
  <si>
    <t>https://chat-conecta.recife.pe.gov.br/live/3CLnpsujeK6KfSNgy/room-info</t>
  </si>
  <si>
    <t>06/03/23</t>
  </si>
  <si>
    <t>Chegou na DPP</t>
  </si>
  <si>
    <t>https://chat-conecta.recife.pe.gov.br/live/kDF4XXNqNxZETDPwJ</t>
  </si>
  <si>
    <t xml:space="preserve"> 21/04/2023</t>
  </si>
  <si>
    <t>Fabiane (09:30) Telefono na caixa postal.</t>
  </si>
  <si>
    <t>Gestante atende a ligação, mas diz que está sem internet, por isso faço o monitoramento por ligação telefônica. Confirma que foi atendida na APS ontem, conforme orientação de Thiago. Iniciou o tto para o corrimento ontem. Ainda está com os mesmo sintomas, oriento continuar e observar por 3 dias. Se não melhorar, buscar atendimento novamente. Encerro o caso.</t>
  </si>
  <si>
    <t>Ligar a partir das 15h, gestante com IG 32s4d, com corrimento vaginal, checar acesso à sua USF.</t>
  </si>
  <si>
    <t>Pollyana Nery Flor</t>
  </si>
  <si>
    <t>https://chat-conecta.recife.pe.gov.br/live/TEYqdTArcZnMXx6fc</t>
  </si>
  <si>
    <t>Mikaelle Rodrigues Ramos de Souza</t>
  </si>
  <si>
    <t>08526174452</t>
  </si>
  <si>
    <t>https://chat-conecta.recife.pe.gov.br/live/kh3shwjfABzKaeF8Y/room-info</t>
  </si>
  <si>
    <t>24/03/2023</t>
  </si>
  <si>
    <t>Gestante sem perda de LA. Normotensa, sem contrações. Oriento observar sinais de alerta e ou trabalho de parto e comparecer ao PN dia 13/12.</t>
  </si>
  <si>
    <t>Williane da Silva Cardoso</t>
  </si>
  <si>
    <t>https://chat-conecta.recife.pe.gov.br/live/yfAqfskTwQizj7wzf/user-info</t>
  </si>
  <si>
    <t>04/03/2023</t>
  </si>
  <si>
    <t>Duvidas sobre quando ir a maternidade 40sem 3 dias</t>
  </si>
  <si>
    <t>Carolina de Vasconcelos Soares</t>
  </si>
  <si>
    <t>https://chat-conecta.recife.pe.gov.br/live/LQqBxxnqBFPDpMeRS</t>
  </si>
  <si>
    <t>Iniciar o pré-natal na APS</t>
  </si>
  <si>
    <t>https://chat-conecta.recife.pe.gov.br/live/SDQDBYkgbRyD7tsDw/user-info</t>
  </si>
  <si>
    <t>Erica Maria de Araujo Gomes</t>
  </si>
  <si>
    <t>https://chat-conecta.recife.pe.gov.br/live/qANtvMXKJo8ysphNS</t>
  </si>
  <si>
    <t>20/10/2023</t>
  </si>
  <si>
    <t>https://chat-conecta.recife.pe.gov.br/live/8HRxCuDkNtWG4t2oY</t>
  </si>
  <si>
    <t>Raiane Carine de Souza Silva</t>
  </si>
  <si>
    <t>https://chat-conecta.recife.pe.gov.br/live/WvpZswjNovxTzL6T7/room-info</t>
  </si>
  <si>
    <t>(Lari) Realizo telemonitoramento. Pct sem queixas</t>
  </si>
  <si>
    <t>Maira Gila de Oliveira Silva</t>
  </si>
  <si>
    <t>01732223408</t>
  </si>
  <si>
    <t>https://chat-conecta.recife.pe.gov.br/live/xwejZoBSFwvgT2RQa/user-info</t>
  </si>
  <si>
    <t>11/10/2023</t>
  </si>
  <si>
    <t>Maria Aparecida de Jesus Dias</t>
  </si>
  <si>
    <t>08933368400</t>
  </si>
  <si>
    <t>https://chat-conecta.recife.pe.gov.br/live/LvsE69AD54rx2eZJJ</t>
  </si>
  <si>
    <t>Foi atendida na APS, PA normal. Pródromos de trabalho de parto.</t>
  </si>
  <si>
    <t>Poliana Silva da Cunha</t>
  </si>
  <si>
    <t>https://chat-conecta.recife.pe.gov.br/live/JuZ2HW8CadSHTJWic/room-info</t>
  </si>
  <si>
    <t>21/04/23</t>
  </si>
  <si>
    <t>Gestante foi para atendimento presencial na Barros Lima foi avaliada, medicada e liberada. Estava em falso trabalho de parto. Encerro monitoramento.</t>
  </si>
  <si>
    <t>Juliana Emilly Cavalcanti dos Santos</t>
  </si>
  <si>
    <t>https://chat-conecta.recife.pe.gov.br/live/Z6QAd7AwEbPK8F76p/room-info</t>
  </si>
  <si>
    <t>Ligar as 15h Confirmar acesso</t>
  </si>
  <si>
    <t>Telemonitamento realizado, consulta presencial amanha pela manha</t>
  </si>
  <si>
    <t>Priscila Matos do Nascimento</t>
  </si>
  <si>
    <t>https://chat-conecta.recife.pe.gov.br/live/jSESwdMALKb5seoSK</t>
  </si>
  <si>
    <t>Covid-19</t>
  </si>
  <si>
    <t>(Thiago) Às 10:26h, usuária não atende à chamada</t>
  </si>
  <si>
    <t>16/12 - refere melhora considerável dos sintomas, mantém um pouco de coriza e apresentou episódio de tontura após jejum prolongado. Informo realização de novo monitoramento em 17/12 (7º dia de inicio dos sintomas).</t>
  </si>
  <si>
    <t>Joanna (13h; 15h37): não atendeu</t>
  </si>
  <si>
    <t>Refere que foi atendida hoje na USF Chão de Estrelas, prescrito Amoxicilina e Dipirona. Sem novas queixas no momento.</t>
  </si>
  <si>
    <t>Ligar as 11h para confirmar acesso</t>
  </si>
  <si>
    <t>Bianca Carina Silva Lucena</t>
  </si>
  <si>
    <t>https://chat-conecta.recife.pe.gov.br/live/LPodvTkfdriCKeLYF</t>
  </si>
  <si>
    <t>telefone do marido - ligar as 16h30. Tentamos contato, mas não atende. Telefone da filha cauane: 992627834</t>
  </si>
  <si>
    <t>Encontra-se internada no Hospital da Mulher do Recife. Informação fornecida pelo esposo Edimilson.</t>
  </si>
  <si>
    <t>Luenia Maria Andrade das Neves</t>
  </si>
  <si>
    <t>https://chat-conecta.recife.pe.gov.br/live/dfpjzxaRcYyKDe6H2/user-info</t>
  </si>
  <si>
    <t>13/10/2023</t>
  </si>
  <si>
    <t>16/12 - Refere que foi à USF Sítio Cardoso, porém, não tinha nenhum profissional disponível para atendimento (estavam em um curso). Foi atendida no dia seguinte (15/12) na Policlínica Lessa de Andrade. No momento não apresenta queixas.</t>
  </si>
  <si>
    <t xml:space="preserve">Maria Betania Alves Vieira </t>
  </si>
  <si>
    <t>https://chat-conecta.recife.pe.gov.br/live/wFE929JxDQXaQNKbp/user-info#&amp;gid=1&amp;pid=4</t>
  </si>
  <si>
    <t>Jaqueline da Silva Meneses</t>
  </si>
  <si>
    <t>09761815412</t>
  </si>
  <si>
    <t>https://chat-conecta.recife.pe.gov.br/live/YvhtDuqvs7H7LrD88/room-info</t>
  </si>
  <si>
    <t>(Thiago) Às 10:32h, usuária não atende à chamada.</t>
  </si>
  <si>
    <t xml:space="preserve">16/12 - Foi atendida no IMIP (14/12), fez uso de Tramal e Dipirona. Refere que está sem queixas no momento. </t>
  </si>
  <si>
    <t>Checar acesso na Bandeira Filho.</t>
  </si>
  <si>
    <t>https://chat-conecta.recife.pe.gov.br/omnichannel-directory/chats/view/g3kbApt67hmcEdEQj/room-info</t>
  </si>
  <si>
    <t>Sheila Cruz de Lemos</t>
  </si>
  <si>
    <t>https://chat-conecta.recife.pe.gov.br/live/DsZwim3tMQ5WzZS5w/members-list</t>
  </si>
  <si>
    <t>03/10/2023</t>
  </si>
  <si>
    <t>Joanna (11h46): telefone ocupado</t>
  </si>
  <si>
    <t xml:space="preserve">Foi atendida na USF Rosa Selvagem, fornecido atestado médico de 5 dias. Mantém coriza, nega outras queixas e sinais de alerta. Encontra-se no 5º dia do início dos sintomas (D0 - 11/12).
</t>
  </si>
  <si>
    <t>Checar acesso à Bandeira Filho.</t>
  </si>
  <si>
    <t>https://chat-conecta.recife.pe.gov.br/live/AwXrj6Xr9T3nacPuH</t>
  </si>
  <si>
    <t>(Thiago) Às 11:49h, gestante clinicamente bem, encerro monitorameto.</t>
  </si>
  <si>
    <t>Anne Karenina Marques da Silva</t>
  </si>
  <si>
    <t>08386312408</t>
  </si>
  <si>
    <t>https://chat-conecta.recife.pe.gov.br/live/wNc8LSiq63vp5xY3G/user-info</t>
  </si>
  <si>
    <t>Ligar para 8618-1502 (Thiago) Às 10:00h,12:00h, usuária não atende à chamada.</t>
  </si>
  <si>
    <t>(Thiago) Às 16:00h,18:00h, usuária não atende à chamada.</t>
  </si>
  <si>
    <t xml:space="preserve">Verificar se houve substituição da Losartana pelo metildopa. Caso não atenha acontecido, reforçar recomendação de ir à USF na segunda. </t>
  </si>
  <si>
    <t>Covid 19</t>
  </si>
  <si>
    <t>(Thiago) Às 12:10h, gestante clinicamente bem, encerro monitorameto.</t>
  </si>
  <si>
    <t>Reavaliação - 7º dia de inicio dos sintomas.</t>
  </si>
  <si>
    <t>Às 08:44, tento contato 2 vezes, mas sem sucesso.</t>
  </si>
  <si>
    <t>Às 16h25, telefone dá sinal de ocupado.</t>
  </si>
  <si>
    <t>Luciana Rodrigues dos Santos</t>
  </si>
  <si>
    <t>https://chat-conecta.recife.pe.gov.br/live/955u4rx7HG9Mpy2nM/members-list</t>
  </si>
  <si>
    <t>06/09/2023</t>
  </si>
  <si>
    <t>(Lari) 9h telefone desligado</t>
  </si>
  <si>
    <t>(Camilla) 15h11 Gestante foi atendida na Bandeira Filho e testada para COVID, com resultado negativo. Hemograma também coletado sem alterações. Agendo monitoramento em 48h para avaliar evolução do quadro.</t>
  </si>
  <si>
    <t>Cristiane da Silva Tavares</t>
  </si>
  <si>
    <t>https://chat-conecta.recife.pe.gov.br/live/6erw5JMxxjkeq6KHR/user-info</t>
  </si>
  <si>
    <t>Dúvidas quanto a Idade gestacional.</t>
  </si>
  <si>
    <t>(Thiago) Às 11:00h, 13:00h, gestante não atende à ligação.</t>
  </si>
  <si>
    <t>(Thiago) Às 15:00h, 16:00h, gestante não atende à ligação.</t>
  </si>
  <si>
    <t>Confirmar se gestante conseguiu retomar o atendeimento no PNAR da policlínica do Pina. Concluído os registros no dia seguinte ao atendimento.</t>
  </si>
  <si>
    <t>22/09/2023</t>
  </si>
  <si>
    <t>Kilzy da Silva Cordeiro Albuquerque</t>
  </si>
  <si>
    <t>07302189455</t>
  </si>
  <si>
    <t>https://chat-conecta.recife.pe.gov.br/live/FqRRk8vaZt8gGp9pG</t>
  </si>
  <si>
    <t xml:space="preserve"> 18/10/2023</t>
  </si>
  <si>
    <t>Pirose</t>
  </si>
  <si>
    <t>Maria Vitoria Barbosa Ramos</t>
  </si>
  <si>
    <t>https://chat-conecta.recife.pe.gov.br/live/j9DNDTRrq9ySBDLy4/members-list</t>
  </si>
  <si>
    <t>Joanna (8h30; 11h20; 15h7): não atendeu</t>
  </si>
  <si>
    <t>Refere parto vaginal sem intercorrência na Maternidade Arnaldo Marques, sem queixas no momento. RN em bom estado geral e em AME.</t>
  </si>
  <si>
    <t>Simone Valentim Vieira</t>
  </si>
  <si>
    <t>https://chat-conecta.recife.pe.gov.br/live/gkiG9W86RTYhLJNeT/room-info</t>
  </si>
  <si>
    <t>Joanna (8h35; 11h20): não atendeu</t>
  </si>
  <si>
    <t xml:space="preserve">Refere parto vaginal, sem intercorrências, RN do sexo masculino, nega queixas no momento. </t>
  </si>
  <si>
    <t>Argentina Candida do Nascimento</t>
  </si>
  <si>
    <t>01632837455</t>
  </si>
  <si>
    <t>https://chat-conecta.recife.pe.gov.br/live/LnNkyRMuYRcrKSjcm</t>
  </si>
  <si>
    <t>(Thiago) Às 08:00h, 09:00h, usuária não atende à ligação.</t>
  </si>
  <si>
    <t>(Thiago) Às 13:44h, 16:10usuária não atende à ligação.</t>
  </si>
  <si>
    <t>Luana Vasconcelos Ferreira da Silva</t>
  </si>
  <si>
    <t>https://chat-conecta.recife.pe.gov.br/live/YKcfCgt7msAin5DZf</t>
  </si>
  <si>
    <t>26/07/2023</t>
  </si>
  <si>
    <t>16h30 (Camilla) Aterndo e encaminho à urgencia para analgesia, avaliação e coleta de exames</t>
  </si>
  <si>
    <t>https://prescricao.cfm.org.br/api/consulta-documento?sw=CFMftU8q5p</t>
  </si>
  <si>
    <t>https://chat-conecta.recife.pe.gov.br/live/gSAHbAcMvjDuKXpc7</t>
  </si>
  <si>
    <t>Ligar as 18h ( avaliar contraçoes e desconforto pelvico)</t>
  </si>
  <si>
    <t>Gestante mantém quadro de pródromos, oriento quanto TP e sinais de alerta.</t>
  </si>
  <si>
    <t>https://chat-conecta.recife.pe.gov.br/live/ewQu7KPo2L3p3j4C4/room-info</t>
  </si>
  <si>
    <t>(Thiago) Às 08:10h, 09:10h, usuária não atende à ligação.</t>
  </si>
  <si>
    <t>(Thiago) Às 13:50h,16:00h usuária não atende à ligação.</t>
  </si>
  <si>
    <t>https://chat-conecta.recife.pe.gov.br/live/RJqTFJ3wGHYt53RNE/room-info</t>
  </si>
  <si>
    <t>Gestante realizou atendimento na Bandeira Filho, afastado ITU, liberada para casa.</t>
  </si>
  <si>
    <t>https://chat-conecta.recife.pe.gov.br/live/CxPnSzXnQtoqkSM5Y/room-info</t>
  </si>
  <si>
    <t>Joanna (8h36; 11h20; 15h35; 17h28): não atendeu (registro falta no PEC)</t>
  </si>
  <si>
    <t>https://chat-conecta.recife.pe.gov.br/live/ATbzSz4oNwiQsRGsn</t>
  </si>
  <si>
    <t>Jacilene Serra Cruz</t>
  </si>
  <si>
    <t>06936977413</t>
  </si>
  <si>
    <t>https://chat-conecta.recife.pe.gov.br/live/WhduJ3KxEETHGNW4J</t>
  </si>
  <si>
    <t>Gestante entrou em contato novamente para informar resultado positivo para teste de covid19. Confirmar acesso à USF ou maternidade.</t>
  </si>
  <si>
    <t>Ligar para 984388989. Checar acesso na APS.</t>
  </si>
  <si>
    <t>https://chat-conecta.recife.pe.gov.br/omnichannel-directory/chats/view/pJhp6GSZu6WfKsL98/room-info</t>
  </si>
  <si>
    <t>08/06/2003</t>
  </si>
  <si>
    <t>Documentação para clexane</t>
  </si>
  <si>
    <t>Stella Vitoria Dias do Nascimento</t>
  </si>
  <si>
    <t>https://chat-conecta.recife.pe.gov.br/live/jkSXWeBmc4rMqKBQt</t>
  </si>
  <si>
    <t>Orientado paciente sobre sinais de alerta, monitoramento com 48 h</t>
  </si>
  <si>
    <t>Amanda Santiago dos Santos</t>
  </si>
  <si>
    <t>https://chat-conecta.recife.pe.gov.br/live/Bgfzh5Xz2Ye3vRTzw</t>
  </si>
  <si>
    <t>23/09/2023</t>
  </si>
  <si>
    <t>(Thiago) Gestante se encontra em sua USF de referência para realçização de consulta pré-natal.</t>
  </si>
  <si>
    <t>Checar acesso na APS. Tem consulta agendada na USF amanhã.</t>
  </si>
  <si>
    <t>Paola Tamares Herculano Silva</t>
  </si>
  <si>
    <t>https://chat-conecta.recife.pe.gov.br/live/ws9qFWHpavvohcaYp</t>
  </si>
  <si>
    <t>20/12 (ianne) não atende telefone</t>
  </si>
  <si>
    <t>(Thiago) Gestante refere melhora dos sintomas, realizou avaliação em sua USF.</t>
  </si>
  <si>
    <t>https://chat-conecta.recife.pe.gov.br/live/xkf9eh94fsQBW7ynj/room-info</t>
  </si>
  <si>
    <t>20/12 (ianne) Paciente recusa chamada ( encaminhada em TP, tentar contato novamente a tarde)</t>
  </si>
  <si>
    <t>(Thiago) Às 14:53h, 16:50h, gestante não atende à ligação.</t>
  </si>
  <si>
    <t>(Thiago) Às 09:40h, suária não atende à chamada.</t>
  </si>
  <si>
    <t>(Thiago) Às 17:00h, suária não atende à chamada.</t>
  </si>
  <si>
    <t>https://chat-conecta.recife.pe.gov.br/live/fowZKxsWwHwttQkKC</t>
  </si>
  <si>
    <t xml:space="preserve"> 19/05/2023</t>
  </si>
  <si>
    <t xml:space="preserve">21/12 (ianne 15h10) desligado// 21/12 (ianne) 8h45  paciente não atende. Registrado em PEC atendimento de urgencia, teste covid +, hb 9.2. Caso consiga entrar em contato mais tarde, recomendar o sulfato ferroso 3x ao dia </t>
  </si>
  <si>
    <t>https://chat-conecta.recife.pe.gov.br/live/WYDP8X9h7feWj2d6R</t>
  </si>
  <si>
    <t xml:space="preserve"> 26/07/2023</t>
  </si>
  <si>
    <t>Fernanda Maria Brito de Arruda</t>
  </si>
  <si>
    <t>https://chat-conecta.recife.pe.gov.br/omnichannel-directory/chats/view/BbWbp7HdyHrP3hKSh/room-info</t>
  </si>
  <si>
    <t xml:space="preserve">21/12 (ianne) Realizado atendimento, solicitado exames lab, marcado PNAR devido IG  e sem contato com enf ou medico. </t>
  </si>
  <si>
    <t>21/12 (ianne) 15h15 não atende// 21/12 (ianne) 09h não atende. Sind gripal já monitorada ontem</t>
  </si>
  <si>
    <t>Rosangela Rodrigues de Almeida</t>
  </si>
  <si>
    <t>09117402441</t>
  </si>
  <si>
    <t>https://chat-conecta.recife.pe.gov.br/live/z7mn3KFCtXgEaZdnt</t>
  </si>
  <si>
    <t>21/10/2023</t>
  </si>
  <si>
    <t>(Lari) Paciente evoluiu para abortamento completo. Acolho paciente.</t>
  </si>
  <si>
    <t>Avaliar evolução do sangramento.</t>
  </si>
  <si>
    <t>Ana Lucia da Costa Oliveira</t>
  </si>
  <si>
    <t>https://chat-conecta.recife.pe.gov.br/live/8KnronK29MgMn3SED</t>
  </si>
  <si>
    <t>(Thiago) Às 10:20h, suária não atende à chamada.</t>
  </si>
  <si>
    <t>(Thiago) Às 17:08h, suária não atende à chamada.</t>
  </si>
  <si>
    <t>Luana Conceicao Araujo</t>
  </si>
  <si>
    <t>09231059483</t>
  </si>
  <si>
    <t>https://chat-conecta.recife.pe.gov.br/live/dkffgkKNnzdT8RRDs/room-info</t>
  </si>
  <si>
    <t>29/03/2023</t>
  </si>
  <si>
    <t>(Thiago) Usuária encontra-se internada na Maternidade Barros Lima.</t>
  </si>
  <si>
    <t>https://chat-conecta.recife.pe.gov.br/live/cEtMGgQ5yA5Dfa9D6/room-info</t>
  </si>
  <si>
    <t>29/09/2023</t>
  </si>
  <si>
    <t>ianne - monitoramento realizado dia 02/01. Paciente foi a consulta 29/12. Encerro telemonitoramento</t>
  </si>
  <si>
    <t>Flaviana Mirelle Torquato da Silva</t>
  </si>
  <si>
    <t>https://chat-conecta.recife.pe.gov.br/live/RGP5BjyP5HtnvP7kJ</t>
  </si>
  <si>
    <t>29/08/2023</t>
  </si>
  <si>
    <t>(Thiago) Usuária apresenta melhora dos sintomas, D3 dos sintomas hoje.</t>
  </si>
  <si>
    <t>Ligar às 14:30h</t>
  </si>
  <si>
    <t>Lis Helena de Carvalho Nogueira</t>
  </si>
  <si>
    <t>https://chat-conecta.recife.pe.gov.br/live/wqToPvGTH9hewLjMm/room-info</t>
  </si>
  <si>
    <t>28/09/2023</t>
  </si>
  <si>
    <t>Ianne (9h40): paciente não atende</t>
  </si>
  <si>
    <t>Joanna (17h41): não atendeu (Falta registrada no PEC)</t>
  </si>
  <si>
    <t>https://chat-conecta.recife.pe.gov.br/live/KshqGSPTJWwMt7h3T/user-info</t>
  </si>
  <si>
    <t>(Thiago) Gestante refere melhoras dos sintomas, realizou atendimento na Bandeira Filho e foi liberada em seguida.</t>
  </si>
  <si>
    <t>https://chat-conecta.recife.pe.gov.br/live/GSJeK8m57p4NCbTpf/room-info</t>
  </si>
  <si>
    <t>https://chat-conecta.recife.pe.gov.br/live/ARh9W73ruWnzzbnYu/room-info</t>
  </si>
  <si>
    <t>ianne (9h55) monitoramento realizado</t>
  </si>
  <si>
    <t>Luana Conceicaõ Araujo</t>
  </si>
  <si>
    <t xml:space="preserve"> 29/03/2023</t>
  </si>
  <si>
    <t>https://chat-conecta.recife.pe.gov.br/live/ERLWMhL4B7dF5Dxq5/room-info</t>
  </si>
  <si>
    <t xml:space="preserve"> 29/09/2023</t>
  </si>
  <si>
    <t>https://chat-conecta.recife.pe.gov.br/omnichannel-directory/chats/view/YpRs4mMxLcHaxz9uB</t>
  </si>
  <si>
    <t>Joanna (9h40; 15h; 17h42): não atendeu (Falta registrada no PEC)</t>
  </si>
  <si>
    <t>Paciente em TP encaminhada à Maternidade Arnaldo Marques, checar acesso.</t>
  </si>
  <si>
    <t>Ana Carla Xavier Cordeiro</t>
  </si>
  <si>
    <t>https://chat-conecta.recife.pe.gov.br/live/33ywnpsgGGyFDfriZ</t>
  </si>
  <si>
    <t>01/11/2023</t>
  </si>
  <si>
    <t>Andrielly Silva de Lima</t>
  </si>
  <si>
    <t>https://chat-conecta.recife.pe.gov.br/live/4KEcGWff8wwbgCdye/user-info</t>
  </si>
  <si>
    <t>02/08/2023</t>
  </si>
  <si>
    <t>(Lari) Paciente foi avaliada no HMR e liberada. Finalizo monitoramento</t>
  </si>
  <si>
    <t>https://chat-conecta.recife.pe.gov.br/live/apTEpHkRnvWZu9wTR/room-info</t>
  </si>
  <si>
    <t>Cuidados com a(o) bebê</t>
  </si>
  <si>
    <t>https://chat-conecta.recife.pe.gov.br/live/3uRXmFXo2muwHfbRZ/room-info</t>
  </si>
  <si>
    <t>10h (ianne) telefone desligado</t>
  </si>
  <si>
    <t>(Thiago) Às 15:00h, 17:10h, não consigo contato com a usuária.</t>
  </si>
  <si>
    <t>Avaliar quadro clínico</t>
  </si>
  <si>
    <t>https://chat-conecta.recife.pe.gov.br/live/2QaKw4am8xWs2h2J9/room-info</t>
  </si>
  <si>
    <t>https://chat-conecta.recife.pe.gov.br/live/PGB8NL8ChRdjeme57</t>
  </si>
  <si>
    <t>Tatiana Sumaya Barbosa da Silva</t>
  </si>
  <si>
    <t>09753564457</t>
  </si>
  <si>
    <t>https://chat-conecta.recife.pe.gov.br/live/WDSeCFBfRPY8Hkcsd</t>
  </si>
  <si>
    <t>(ianne) 13h paciente não atende</t>
  </si>
  <si>
    <t>Ligar após as 11h - paciente vai colher teste de covid</t>
  </si>
  <si>
    <t>Niedja de Oliveira Barbosa</t>
  </si>
  <si>
    <t>09080588458</t>
  </si>
  <si>
    <t>https://chat-conecta.recife.pe.gov.br/live/eEqz97ddknidsNAk5</t>
  </si>
  <si>
    <t>Dor lombar e MID</t>
  </si>
  <si>
    <t>Yara Beatriz Pereira da Silva</t>
  </si>
  <si>
    <t>https://chat-conecta.recife.pe.gov.br/live/2gqxNPEL7qtFhmeea</t>
  </si>
  <si>
    <t>(Thiago) Às 09:17h, 10:30h, usuária não atende à chamada.</t>
  </si>
  <si>
    <t>(Thiago) Às 14:40h, 16:00h, usuária não atende à chamada.</t>
  </si>
  <si>
    <t>Yasmim Ellen de Oliveira Andrade</t>
  </si>
  <si>
    <t>https://chat-conecta.recife.pe.gov.br/live/QWBLAYT2XyznCgdzw/user-info</t>
  </si>
  <si>
    <t>Inicio do PN</t>
  </si>
  <si>
    <t>Tharcila Kauanny Silva de Souza</t>
  </si>
  <si>
    <t>https://chat-conecta.recife.pe.gov.br/live/BiGxr7NEo3SvTxWTX</t>
  </si>
  <si>
    <t>(Thiago) Às 09:25h, usuária não atende à chamada.</t>
  </si>
  <si>
    <t>Gestante com sinais de ITU, febre há dois dias. Checar acesso à Bandeira Filho.</t>
  </si>
  <si>
    <t>Vanessa Conceicao Ferreira dos Santos</t>
  </si>
  <si>
    <t>09454086413</t>
  </si>
  <si>
    <t>https://chat-conecta.recife.pe.gov.br/live/BLWcxLAZed9JZ2D2s</t>
  </si>
  <si>
    <t>(Thiago) Às 11:00h, gestante realizou atendimento na Bandeira Filho, foi liberada em seguida.</t>
  </si>
  <si>
    <t>Gestante com sindrome gripal, covid19 positivo. Checar acesso à Bandeira Filho.</t>
  </si>
  <si>
    <t>Ariana Roberta Ferreira da Silva</t>
  </si>
  <si>
    <t>https://chat-conecta.recife.pe.gov.br/live/LuMbhG6L5bC6Lotbb/user-info</t>
  </si>
  <si>
    <t>05/06/2023</t>
  </si>
  <si>
    <t>Azia e queimação.</t>
  </si>
  <si>
    <t>https://chat-conecta.recife.pe.gov.br/live/ZNj4spu5dj5J7aGEu</t>
  </si>
  <si>
    <t>Erica Larissa Rigueira de Lima</t>
  </si>
  <si>
    <t>06057290429</t>
  </si>
  <si>
    <t>https://chat-conecta.recife.pe.gov.br/live/Gvepwa2Q2yBt3aKtv</t>
  </si>
  <si>
    <t>Vanessa Conceição Ferreira dos Santos</t>
  </si>
  <si>
    <t>https://chat-conecta.recife.pe.gov.br/live/ca2qW8rrF3LQvrwGS</t>
  </si>
  <si>
    <t>Joanna (11h): não atendeu</t>
  </si>
  <si>
    <t>Permanece com tosse, nega sinais de alerta e queixas obstétricas</t>
  </si>
  <si>
    <t>Monitorar sintomas, covid19 positivo, D4 hoje.</t>
  </si>
  <si>
    <t>Larissa Torres Sampaio</t>
  </si>
  <si>
    <t>https://chat-conecta.recife.pe.gov.br/live/kAsGAAjwtEN3sDxLC</t>
  </si>
  <si>
    <t>08/09/2023</t>
  </si>
  <si>
    <t>Picada de inseto em MMII</t>
  </si>
  <si>
    <t>Kayllane Kamilly Feitoza Marinho</t>
  </si>
  <si>
    <t>https://chat-conecta.recife.pe.gov.br/live/6xgKDN4SLBHoNspJz</t>
  </si>
  <si>
    <t>Orientações quanto ao momento do parto</t>
  </si>
  <si>
    <t>https://chat-conecta.recife.pe.gov.br/live/zSZZsXDhzoCeeFZNm</t>
  </si>
  <si>
    <t>Joanna (17h30; 18h): não atendeu</t>
  </si>
  <si>
    <t>Falta registrada no PEC.</t>
  </si>
  <si>
    <t>Danielle Mariane da Silva</t>
  </si>
  <si>
    <t>https://chat-conecta.recife.pe.gov.br/live/h5hk2N97AL5uNLRss</t>
  </si>
  <si>
    <t>(Thiago) Às 11:15h, gestante testou positivo para covid19, D3 hoje, sem sinais de gravidade.</t>
  </si>
  <si>
    <t>(Thiago) Às 11:55h, 14:00h, gestante não atende à ligação.</t>
  </si>
  <si>
    <t>Marcela Manuele de Souza Barros</t>
  </si>
  <si>
    <t>https://chat-conecta.recife.pe.gov.br/live/EDky2Zxdw68RNWLJz</t>
  </si>
  <si>
    <t>10/11/2023</t>
  </si>
  <si>
    <t>02/01 - Joanna (7h40; 9h20; 11h25): não atendeu</t>
  </si>
  <si>
    <t>02/01 - foi ao HMR. Mantém sangramento discreto, realizará USG hoje.</t>
  </si>
  <si>
    <t>https://chat-conecta.recife.pe.gov.br/live/bYkGnj6w7jHQZwtFG</t>
  </si>
  <si>
    <t>ianne 9h07 - caixa postal</t>
  </si>
  <si>
    <t>Joanna (14h42; 17h4): não atendeu</t>
  </si>
  <si>
    <t>Falta registrada no PEC</t>
  </si>
  <si>
    <t>https://chat-conecta.recife.pe.gov.br/live/TznuvBzFW2BkocC53/user-info</t>
  </si>
  <si>
    <t>ianne 9h10 - paciente não atende a chamada</t>
  </si>
  <si>
    <t xml:space="preserve">Joanna: Assintomática, D4 hoje. </t>
  </si>
  <si>
    <t>https://chat-conecta.recife.pe.gov.br/live/ciCaauKDvdB9d5Dun</t>
  </si>
  <si>
    <t>06/05/24</t>
  </si>
  <si>
    <t>Diarreia + dor epigastrica + nausea</t>
  </si>
  <si>
    <t>Joanna (17h; 17h25): não atendeu (Falta registrada no PEC)</t>
  </si>
  <si>
    <t xml:space="preserve">monitoramento a tarde - checar se melhorou dos episodios diarreicos e da dor. </t>
  </si>
  <si>
    <t>https://chat-conecta.recife.pe.gov.br/live/tfnuQBZJrkE3GDsxg/room-info</t>
  </si>
  <si>
    <t>DOR EM PERNA DIREITA</t>
  </si>
  <si>
    <t>Joanna (8h8): não atendeu</t>
  </si>
  <si>
    <t xml:space="preserve">Paciente procurou atendimento, descartado TVP. Nervo ciático? Apresenta melhora da dor. </t>
  </si>
  <si>
    <t>Joanna (8h10): não atendeu</t>
  </si>
  <si>
    <t>Refere que USG realizada em 02/12 evidenciou gravidez ectópica. Encontra-se no Hospital da Mulher do Recife.</t>
  </si>
  <si>
    <t>Avaliar USG</t>
  </si>
  <si>
    <t>Gestante no 6º dia do início dos sintomas, assintomática há 3 dias. Nega sinais de alerta e queixas obstétricas. Encontra-se na USF para consulta de PN.</t>
  </si>
  <si>
    <t>Alessandra Maria do Nascimento</t>
  </si>
  <si>
    <t>09628716484</t>
  </si>
  <si>
    <t>https://chat-conecta.recife.pe.gov.br/live/dNr8hZzLLK7s6Kevo</t>
  </si>
  <si>
    <t>18/04/2023</t>
  </si>
  <si>
    <t>Duvida sobre onde marcar ecocardio</t>
  </si>
  <si>
    <t>Larissa Silva de Souza</t>
  </si>
  <si>
    <t>09842512436</t>
  </si>
  <si>
    <t>https://chat-conecta.recife.pe.gov.br/live/wAX8gRMG9NSMZsLFg</t>
  </si>
  <si>
    <t>Refere que foi à Maternidade Memorial Guararapes, apresentava 3cm de dilatação, BCF = 132bpm, orientada a retornar se entrar em trabalho de parto ou com IG = 41s. Segue sem queixas no momento. MF +. Mantém contrações irregulares.</t>
  </si>
  <si>
    <t>Ligar para 99196186; encaminhada devido ausência de movimentos fetais a mais de 12h.</t>
  </si>
  <si>
    <t>https://chat-conecta.recife.pe.gov.br/live/Yk6c3wn5jSomzWvfN/room-info</t>
  </si>
  <si>
    <t>dor em MID</t>
  </si>
  <si>
    <t>Leticia da Silva Chagas</t>
  </si>
  <si>
    <t>https://chat-conecta.recife.pe.gov.br/live/FgXhPX8F2DEKf9R5p</t>
  </si>
  <si>
    <t>Refere presença de 4 movimentos fetais em 1h. Encaminho para avaliação na maternidade.</t>
  </si>
  <si>
    <t>Avaliar mobilograma</t>
  </si>
  <si>
    <t>https://chat-conecta.recife.pe.gov.br/live/AfcwB5M38f2rdWfDk#&amp;gid=1&amp;pid=4</t>
  </si>
  <si>
    <t>Joanna (16h15; 17h): não atendeu (registro falta no PEC)</t>
  </si>
  <si>
    <t>Ligar às 16h. Reavaliar se mantém cefaleia.</t>
  </si>
  <si>
    <t>https://chat-conecta.recife.pe.gov.br/live/o3DPeoNeH4pZ4jy7v/user-info</t>
  </si>
  <si>
    <t>https://chat-conecta.recife.pe.gov.br/live/MfHSfwiSnkGfu7Rd3/room-info</t>
  </si>
  <si>
    <t>(Thiago) Às 09:00h, usuária não atende à ligação.(taty) as 11h paciente nao atendeu</t>
  </si>
  <si>
    <t>Taty(16:22) nao atendeu a ligação</t>
  </si>
  <si>
    <t>https://chat-conecta.recife.pe.gov.br/live/59C96ZTrCxAR55yCi</t>
  </si>
  <si>
    <t>Joanna (8h10; 11h): não atendeu</t>
  </si>
  <si>
    <t xml:space="preserve">Parto vaginal dia 03/01 na Maternidade Barros Lima. </t>
  </si>
  <si>
    <t>https://chat-conecta.recife.pe.gov.br/live/SL9riEbnBGcKReMbT</t>
  </si>
  <si>
    <t>Joanna (9h; 11h; 16h17; 17h): não atendeu</t>
  </si>
  <si>
    <t>Foi ao Hospital Barão de Lucena, nenhuma anormalidade foi identificada. Hoje fez consulta de PN na APS. Nega queixas obstétricas e sinais de alerta.</t>
  </si>
  <si>
    <t>Confirmar acesso (encaminha devido 4 MF em 1h)</t>
  </si>
  <si>
    <t>https://chat-conecta.recife.pe.gov.br/live/o3DPeoNeH4pZ4jy7v/room-info</t>
  </si>
  <si>
    <t>Taty (08:33; 15:56) paciente nao atendeu</t>
  </si>
  <si>
    <t>Joanna (17h10): não atendeu (registro falta no PEC)</t>
  </si>
  <si>
    <t>https://chat-conecta.recife.pe.gov.br/live/zBqAxAMv6SuenDXEL/room-info</t>
  </si>
  <si>
    <t>Refere que não foi à urgência porque não tinha com quem deixar a filha, mas está se organizando para ir à USF. Mantém os mesmos sintomas. Sem PA aferida. Reforço a necessidade de atendimento na urgência obstétrica (recomendo HMR); Explico os riscos de não buscar atendimento  (Gestante informa que entende e que vai à urgência); Informo telemonitoramento dia 04/01/2024 às 15h30.</t>
  </si>
  <si>
    <t>Ligar para 98783-8957</t>
  </si>
  <si>
    <t>Maria Milena Bispo</t>
  </si>
  <si>
    <t>https://chat-conecta.recife.pe.gov.br/live/BY9kJ3miGsNu25A9h#&amp;gid=1&amp;pid=4</t>
  </si>
  <si>
    <t xml:space="preserve">Maria Eduarda Santana dos Santos </t>
  </si>
  <si>
    <t>Ianne (15h30/16h11) não atendeu</t>
  </si>
  <si>
    <t>Joanna (17h12): não atendeu (registro falta no PEC).</t>
  </si>
  <si>
    <t>https://chat-conecta.recife.pe.gov.br/live/GrjnsiGh3NdbGZaZc</t>
  </si>
  <si>
    <t>Joanna (17h14; 17h30): não atendeu (falta registrada no PEC)</t>
  </si>
  <si>
    <t>Iracelly Silvestre Silva</t>
  </si>
  <si>
    <t>https://chat-conecta.recife.pe.gov.br/live/3aBxvntNHhLTZwzh4/room-info</t>
  </si>
  <si>
    <t>Taty (08:25) paciente refere sangramento em pequena quantidade, atendida na arnaldo marque, HD ameaça de aborto, aguarda usg.</t>
  </si>
  <si>
    <t>Indrid Ferreira da Silva</t>
  </si>
  <si>
    <t>https://chat-conecta.recife.pe.gov.br/live/nqANNA4d5RxiZzyj7/user-info</t>
  </si>
  <si>
    <t xml:space="preserve"> 16/04/23</t>
  </si>
  <si>
    <t>Paciente refere melhora da dor bv( 2 contraçoes moderada em 4h) sem perdas vaginais, refere cefaleia que melhorou com uso de dipirona, oriento quanto sinais de alerta e trabalho de parto</t>
  </si>
  <si>
    <t>Marluce Cintia Oliveira dos Santos</t>
  </si>
  <si>
    <t>https://chat-conecta.recife.pe.gov.br/live/58TLkkNSEx8R6Ddqw/room-info</t>
  </si>
  <si>
    <t>taty ( 09:11) Paciente refere melhora da dor, contraçoes irregulares, foi a consulta do PN feto com boa vitalidade</t>
  </si>
  <si>
    <t>Girleide Silva das Merces Barbosa</t>
  </si>
  <si>
    <t>03368101480</t>
  </si>
  <si>
    <t>https://chat-conecta.recife.pe.gov.br/live/SWTqdE8RKerngWBmE</t>
  </si>
  <si>
    <t>02/10/23</t>
  </si>
  <si>
    <t>ianne - paciente foi a emergencia do hapvida por conta propria. Vamos monitorar amanha para avaliação após ace</t>
  </si>
  <si>
    <t xml:space="preserve">Taty(09:50) paciente refere inicio de tratamento para ITU, dor pelvica continua </t>
  </si>
  <si>
    <t>hat-conecta.recife.pe.gov.br/live/4dPpe3RPqYZRbiwdX/room-info</t>
  </si>
  <si>
    <t>Lucineia Gomes da Silva</t>
  </si>
  <si>
    <t>09357792481</t>
  </si>
  <si>
    <t>https://chat-conecta.recife.pe.gov.br/live/3sx3zdNMQrKqGJjsc</t>
  </si>
  <si>
    <t>(Thiago) Às 10:00h, 11:30h, o telefone da usuária não está recebendo ligação.</t>
  </si>
  <si>
    <t>(Thiago) Às 14:00h, 16:00h, o telefone da usuária não está recebendo ligação.</t>
  </si>
  <si>
    <t>Checar acesso à Bandeira Filho, ausência de MF.</t>
  </si>
  <si>
    <t>Yasmim Thais Ferreira da Silva</t>
  </si>
  <si>
    <t>https://chat-conecta.recife.pe.gov.br/live/9ZgdvyHfgxo5gnQEL/room-info</t>
  </si>
  <si>
    <t>(Thiago) Usuária após o atendimento no AG, procurou sua USF, foi avaliada e liberada em seguida, segue sem queixas.</t>
  </si>
  <si>
    <t xml:space="preserve">checar acesso; queda de altura, ausencia de MF e dor pelvica </t>
  </si>
  <si>
    <t>Milleny Eduarda Vital da Silva</t>
  </si>
  <si>
    <t>https://chat-conecta.recife.pe.gov.br/live/EpLkkvm6M7MoMi87T/user-info#&amp;gid=1&amp;pid=3</t>
  </si>
  <si>
    <t>SIM: Dificuldades técnicas e/ou de comunicação</t>
  </si>
  <si>
    <t>Camila Pereira Ferreira</t>
  </si>
  <si>
    <t>https://chat-conecta.recife.pe.gov.br/live/X3WcpvYGtPY2ct9w3</t>
  </si>
  <si>
    <t xml:space="preserve">Debora Dayane da Costa Marques </t>
  </si>
  <si>
    <t>https://chat-conecta.recife.pe.gov.br/omnichannel-directory/chats/view/Dr9HaSN5Yh9zLiGzA</t>
  </si>
  <si>
    <t>Joanna (8h32; 10h40): não atendeu</t>
  </si>
  <si>
    <t>Refere melhora do corrimento vaginal, não foi à USF, aguardará consulta de PNAR (11/01).</t>
  </si>
  <si>
    <t>https://chat-conecta.recife.pe.gov.br/live/KYzKi399w4cd68D3p/user-info</t>
  </si>
  <si>
    <t>Taty (09:20) paciente refere melhora da sintomatologia, reforço a importancia de manter o PN, paciente nao esta comparecendo as consultas</t>
  </si>
  <si>
    <t>Gestante em tratamento para ITU com nitrofurantoína, permenece com leve disúria, avaliar melhora dos sintomas.</t>
  </si>
  <si>
    <t>Talita Karla Lima da Silva</t>
  </si>
  <si>
    <t>https://chat-conecta.recife.pe.gov.br/live/sChGG49tFTzEKRJHs</t>
  </si>
  <si>
    <t xml:space="preserve"> 13/09/2023</t>
  </si>
  <si>
    <t>lesão cutânea com prurido</t>
  </si>
  <si>
    <t>https://chat-conecta.recife.pe.gov.br/live/Z3KhGRwWoRMtMM7MK/room-info</t>
  </si>
  <si>
    <t>Monnitoramento do dia 07/01</t>
  </si>
  <si>
    <t>Rayla Thune Dovale Bizarria</t>
  </si>
  <si>
    <t>https://chat-conecta.recife.pe.gov.br/live/AEwhTQXziYyiZ7t9Z</t>
  </si>
  <si>
    <t>NAO SABE</t>
  </si>
  <si>
    <t>Joanna (9h; 10h40; 15h; 16h22): caixa postal (falta registrada no PEC)</t>
  </si>
  <si>
    <t>Tamires Maria Brito</t>
  </si>
  <si>
    <t>08351582417</t>
  </si>
  <si>
    <t>https://chat-conecta.recife.pe.gov.br/live/XRinCWNj7TgMMaqxa</t>
  </si>
  <si>
    <t xml:space="preserve">Refere melhora da diarreia, nega novas queixas. </t>
  </si>
  <si>
    <t>https://chat-conecta.recife.pe.gov.br/live/5kPLmwG5uRbMN57Q5/room-info#&amp;gid=1&amp;pid=7</t>
  </si>
  <si>
    <t xml:space="preserve">10:50 ( taty) Paciente refere melhora do quadro de diarreia e vomitos </t>
  </si>
  <si>
    <t>Maria Daniela Santos de Araujo</t>
  </si>
  <si>
    <t>https://chat-conecta.recife.pe.gov.br/live/f6zLaoTdW7pjnGL7x/user-info</t>
  </si>
  <si>
    <t>Alteração em exame de  USG</t>
  </si>
  <si>
    <t>Saiuri Vieira da Cunha</t>
  </si>
  <si>
    <t>https://chat-conecta.recife.pe.gov.br/live/iveiJNpSfCJ4FKpqX/room-info</t>
  </si>
  <si>
    <t>24/05/2023</t>
  </si>
  <si>
    <t>Lesão em mamilo</t>
  </si>
  <si>
    <t xml:space="preserve">11:20(taty) paciente nao atendeu a ligação </t>
  </si>
  <si>
    <t>Joanna (17h30): telefone indisponível (falta registrada no PEC)</t>
  </si>
  <si>
    <t>https://chat-conecta.recife.pe.gov.br/live/uwRdow5hqxMk5cq3x/room-info</t>
  </si>
  <si>
    <t>contrações braxton hicks</t>
  </si>
  <si>
    <t xml:space="preserve">11:30( taty) paciente procurou atendimento presencial , avaliada e liberada, refere melhora da queixa </t>
  </si>
  <si>
    <t>ligar para esse contato 81987772073</t>
  </si>
  <si>
    <t>https://chat-conecta.recife.pe.gov.br/live/pypHsARJ4tPx6ss2P/room-info</t>
  </si>
  <si>
    <t xml:space="preserve">Refere melhora dador pélvica após uso do Buscopan, ao longo do dia 2 evacuações, dor de cabeça leve, fez uso de Paracetamol por volta das 15h30. Nega presença de sinais de alerta e outras queixas. </t>
  </si>
  <si>
    <t xml:space="preserve">ligar as 13- avaliar se melhora de dore/ diarreia e hidratacao. fiz o atestado de hj. Vai precisa fazeruroc daqui uma semana, nao solicitei pq ela tem consulta dia 16. </t>
  </si>
  <si>
    <t>https://chat-conecta.recife.pe.gov.br/live/2L5CkCAJcEmZkbfxv/room-info</t>
  </si>
  <si>
    <t>Aline Maria Rodrigues</t>
  </si>
  <si>
    <t>01391594444</t>
  </si>
  <si>
    <t>https://chat-conecta.recife.pe.gov.br/live/dcdhGCZmJRL8E7bDJ/room-info#&amp;gid=1&amp;pid=7</t>
  </si>
  <si>
    <t>cefaléia</t>
  </si>
  <si>
    <t>Joanna (16h; 17h30): telefone indisponível (falta registrada no PEC)</t>
  </si>
  <si>
    <t>https://chat-conecta.recife.pe.gov.br/live/2xLRfnHecHodLo474/room-info</t>
  </si>
  <si>
    <t>Joanna (8h26): não atendeu</t>
  </si>
  <si>
    <t>Taty (12:40) paciente refere melhora da sintomatologia,</t>
  </si>
  <si>
    <t>https://chat-conecta.recife.pe.gov.br/live/ZXJCq4zn6W82HMZqL</t>
  </si>
  <si>
    <t>taty (09:30) paciente nao atendeu (12:50) nao atendeu</t>
  </si>
  <si>
    <r>
      <rPr>
        <sz val="10"/>
        <color rgb="FF000000"/>
        <rFont val="Arial"/>
        <charset val="134"/>
      </rPr>
      <t xml:space="preserve">Joanna (15h): não atendeu </t>
    </r>
    <r>
      <rPr>
        <sz val="10"/>
        <color rgb="FF000000"/>
        <rFont val="Arial"/>
        <charset val="134"/>
      </rPr>
      <t>(Falta registrada no PEC dia 13/01)</t>
    </r>
  </si>
  <si>
    <t>https://chat-conecta.recife.pe.gov.br/live/YHghXmbc8a3s4TKtB/room-info</t>
  </si>
  <si>
    <t>Joanna (8h24): não atendeu (13:14 ) Paciente não atendeu</t>
  </si>
  <si>
    <t xml:space="preserve">Maria Gabriela Goncalves da Silva </t>
  </si>
  <si>
    <t>06554886427</t>
  </si>
  <si>
    <t>https://chat-conecta.recife.pe.gov.br/omnichannel-directory/chats/view/tcxMXqe3kCPoPDW2s</t>
  </si>
  <si>
    <t>Refere que apresentou sangramento vaginal e foi à Maternidade Barros Lima. Foi informada que o colo uterino estava fechado, administrado Buscopan, USG obst. agendada para o dia 12/01. Mantém cólica de baixa intensidade, nega novo episódio de sangramento e novas queixas. Cd: Oriento uso do Buscopan, sinais de alerta, telemonitoramento em 13/01 (avaliar USG).</t>
  </si>
  <si>
    <t>https://chat-conecta.recife.pe.gov.br/live/CWtpRo8syTNq7mEsk/room-info</t>
  </si>
  <si>
    <t>taty (09:50) Paciente nao atendeu (12:15) nao atendeu</t>
  </si>
  <si>
    <t>(Thiago) Às 16:00h, 17:00h, usuária não atende à chamada.</t>
  </si>
  <si>
    <t>https://chat-conecta.recife.pe.gov.br/live/c35qEHzyYqko6i3Zj#&amp;gid=1&amp;pid=7</t>
  </si>
  <si>
    <t xml:space="preserve">taty (16:11) paciente não atendeu </t>
  </si>
  <si>
    <r>
      <rPr>
        <sz val="10"/>
        <color rgb="FF000000"/>
        <rFont val="Arial"/>
        <charset val="134"/>
      </rPr>
      <t xml:space="preserve">12/01 :taty (13:17) paciente nao atendeu </t>
    </r>
    <r>
      <rPr>
        <sz val="10"/>
        <color rgb="FF000000"/>
        <rFont val="Arial"/>
        <charset val="134"/>
      </rPr>
      <t>(Falta registrada no PEC dia 13/01)</t>
    </r>
  </si>
  <si>
    <t>Ester Monte dos Santos</t>
  </si>
  <si>
    <t>https://chat-conecta.recife.pe.gov.br/live/7Pk53XcPNMaAsfh3r/room-info</t>
  </si>
  <si>
    <t>https://chat-conecta.recife.pe.gov.br/live/Mx4x2SXKHCFuQKkE5/room-info</t>
  </si>
  <si>
    <r>
      <rPr>
        <sz val="10"/>
        <color theme="1"/>
        <rFont val="Arial"/>
        <charset val="134"/>
      </rPr>
      <t xml:space="preserve">taty(09:12) paciente não atendeu </t>
    </r>
    <r>
      <rPr>
        <sz val="10"/>
        <color theme="1"/>
        <rFont val="Arial"/>
        <charset val="134"/>
      </rPr>
      <t>(Falta registrada no PEC dia 13/01)</t>
    </r>
  </si>
  <si>
    <t>Aline Rodrigues Mathias da Silva</t>
  </si>
  <si>
    <t>https://chat-conecta.recife.pe.gov.br/live/vMmm8MwsS4BnaWxCM</t>
  </si>
  <si>
    <t>13/01 (Joanna): Foi à USF Josué de Castro (11/01), PA 120/60 mmHg. Refere melhora da dor em BV e cefaleia. Nega novas queixas obstétricas e sinais de alerta.</t>
  </si>
  <si>
    <t>Ligar às 17h (confirmar acesso)</t>
  </si>
  <si>
    <t>Maria Gabriela Goncalves da Silva</t>
  </si>
  <si>
    <t xml:space="preserve">taty ( 09:50) paciente nega queixa no momento, em repouso e em uso de ultragesta, </t>
  </si>
  <si>
    <t>Eliane Borges da Silva</t>
  </si>
  <si>
    <t>https://chat-conecta.recife.pe.gov.br/live/KgbiMkC4BfuTweWfc/user-info</t>
  </si>
  <si>
    <t xml:space="preserve"> 18/04/2023</t>
  </si>
  <si>
    <t>Desconforto pélvico no 3º trimestre</t>
  </si>
  <si>
    <t>https://chat-conecta.recife.pe.gov.br/live/LHvxffLJFMJWP2XEZ</t>
  </si>
  <si>
    <t>taty (11:36)Paciente atende e nao responde no hopchat</t>
  </si>
  <si>
    <t xml:space="preserve">taty (16:09) paciente nao atende </t>
  </si>
  <si>
    <t>Tayana Sumaya Barbosa da Silva</t>
  </si>
  <si>
    <t>https://chat-conecta.recife.pe.gov.br/live/acM</t>
  </si>
  <si>
    <t>taty (09:09) telefone desligado</t>
  </si>
  <si>
    <t>Joanna (14h; 15h16): não atendeu (Falta registrada no PEC)</t>
  </si>
  <si>
    <t>Rayssa Carolinna Fereira dos Santos</t>
  </si>
  <si>
    <t>https://chat-conecta.recife.pe.gov.br/omnichannel-directory/chats/view/NC59HJJCywPTfzzL8</t>
  </si>
  <si>
    <t>Telemonitoramento do dia 11/01 (não tinha registro de nenhuma tentativa e não tinha falta registrada no PEC).</t>
  </si>
  <si>
    <t>https://chat-conecta.recife.pe.gov.br/live/3NdEwNDHJZxEJH955/room-info</t>
  </si>
  <si>
    <t>Rosangela Maria de Albuquerque Nascimento</t>
  </si>
  <si>
    <t>06571354454</t>
  </si>
  <si>
    <t>https://chat-conecta.recife.pe.gov.br/live/SerXf8CDdYNuvYg33/room-info</t>
  </si>
  <si>
    <t xml:space="preserve">pre natal </t>
  </si>
  <si>
    <t>Taty (15:40) paciente procurou a unidade e nao conseguiu realizar o teste , remarcado para dia 22/01, a mesme refere que ira tentar realizar particular. HAS e DM, em uso de glifage, losartana e hidrocloritiazida, MF presente.</t>
  </si>
  <si>
    <t xml:space="preserve">Atendimento acordado com alany, paciente sem queixas, porem refer que esta gravida , descobriu a 2 meses, sem inicio de PN , has e DM , SIC enfermeira de ferias e sem exame de comprovação (perdeu o beta) </t>
  </si>
  <si>
    <t xml:space="preserve">Rosicleide Lopes da Silva </t>
  </si>
  <si>
    <t>09092644498</t>
  </si>
  <si>
    <t>https://chat-conecta.recife.pe.gov.br/live/AyC7G2u8HwRki9Zp6/members-list</t>
  </si>
  <si>
    <t xml:space="preserve">taty (16:00) Paciente nao atendeu </t>
  </si>
  <si>
    <t>Pamela Filgueira Barros</t>
  </si>
  <si>
    <t>04671793440</t>
  </si>
  <si>
    <t>https://chat-conecta.recife.pe.gov.br/live/zApHgJFLkuyaN9NTQ/room-info</t>
  </si>
  <si>
    <t>11/12/2023</t>
  </si>
  <si>
    <t xml:space="preserve">colicas, gestação nao confirmada </t>
  </si>
  <si>
    <t xml:space="preserve">Taty (16:45) nao completou a ligação </t>
  </si>
  <si>
    <t>(Thiago) Às 17:30h, o telefone da usuária não está recebendo ligação.</t>
  </si>
  <si>
    <t>ligar a tarde para (81999474550)  confirmar acesso e gravidez</t>
  </si>
  <si>
    <t>Ana Carolina da Silva</t>
  </si>
  <si>
    <t>https://chat-conecta.recife.pe.gov.br/live/HAMEsiuZtqaNo2GKR</t>
  </si>
  <si>
    <t>23/12/2023</t>
  </si>
  <si>
    <t>Suspeita de gravidez</t>
  </si>
  <si>
    <t>Paula Roberta Oliveira da Silva</t>
  </si>
  <si>
    <t>https://chat-conecta.recife.pe.gov.br/live/4DkKhhja6kDaKJgnn</t>
  </si>
  <si>
    <t>(Thiago) Às 14:30h, gestante não se encontrava disponível para contato no referido número.</t>
  </si>
  <si>
    <t>(Thiago) Às 16:45h, gestante não atende à chamada.</t>
  </si>
  <si>
    <t>https://chat-conecta.recife.pe.gov.br/live/HKec4FjhwesB5Yo9h</t>
  </si>
  <si>
    <t xml:space="preserve">suspeita de gestação  </t>
  </si>
  <si>
    <t xml:space="preserve">Joanna: Refere que foi à USF ontem e foi informada que a enfermeira está de férias. Não fez o BHCG na rede particular, agendou exame para o dia 22/01. Sem queixas no momento. </t>
  </si>
  <si>
    <t>https://chat-conecta.recife.pe.gov.br/live/6gsboQzBgmoY5pZCB/room-info</t>
  </si>
  <si>
    <t>Juliana de Almeida Rocha</t>
  </si>
  <si>
    <t>08220304464</t>
  </si>
  <si>
    <t>https://chat-conecta.recife.pe.gov.br/live/rTtgfsrggPoHiQ7ne</t>
  </si>
  <si>
    <t>07/11/2023</t>
  </si>
  <si>
    <t>Joanna: Refere melhora da disúria. Nega novas queixas.</t>
  </si>
  <si>
    <t>Rita de Cássia Pereira de Menezes</t>
  </si>
  <si>
    <t>https://chat-conecta.recife.pe.gov.br/live/Fsvo3CWGyXz6N6cfo/room-info</t>
  </si>
  <si>
    <t>08/052023</t>
  </si>
  <si>
    <t xml:space="preserve">Taty: paciente refere que buscou atendimento na HMR, onde foi avaliada;  melhora na sintomatologia e nega novas queixas , </t>
  </si>
  <si>
    <t>Maria Cecilia Queiroga dos Santos</t>
  </si>
  <si>
    <t>https://chat-conecta.recife.pe.gov.br/live/5uHojBWN8iXdsh9vT/room-info</t>
  </si>
  <si>
    <t>25/05/2023</t>
  </si>
  <si>
    <t xml:space="preserve">Joanna: Foi atendida na USF hoje. Sem queixas no momento. </t>
  </si>
  <si>
    <t>Ligar à tarde para confirmar acesso a USF para ajuste da prescrição do Noripurum.</t>
  </si>
  <si>
    <t>Aborto espontâneo</t>
  </si>
  <si>
    <t>Usuária com HAS, DM, obesidade; aguarda BHCG.</t>
  </si>
  <si>
    <t>https://chat-conecta.recife.pe.gov.br/live/hz96xNiGGKnaKKrmA/room-info#&amp;gid=1&amp;pid=1</t>
  </si>
  <si>
    <t>Gestante concluiu tratamento para ITU, econtra-se assintomática, colherá urocultura. Receberá resulatdo de exames em 22/02/24.</t>
  </si>
  <si>
    <t>https://chat-conecta.recife.pe.gov.br/live/nrKoMsP3ZLmNr6cpQ/room-info</t>
  </si>
  <si>
    <t>14825985408</t>
  </si>
  <si>
    <t>https://chat-conecta.recife.pe.gov.br/live/3nLzhoZNJFRaFdAe6/user-info</t>
  </si>
  <si>
    <t>24/06/2023</t>
  </si>
  <si>
    <t>Joanna (8h; 8h30): não atendeu</t>
  </si>
  <si>
    <t>Joanna: Refere que foi ao HMR, foi diagnosticada com ITU, prescrito Cefalexina 500mg de 6/6h por 7 dias (iniciou tratamento)+ Buscopan. Relata que na triagem foi informada de PA 140 x 80 (não tem registro para comprovar). Nega que tenha sido realizada alguma intervenção acerca da PA. Sem queixas no momento. Não aferiu a PA hoje. Cd: Encaminho à USF para aferição da PA; falar com enfermeira ou médico se PAS ≥ 140 mmHg e/ou  ≥ 90mmHg;</t>
  </si>
  <si>
    <t>Ligar para 98783-8957 (lembrar de fazer registro acerca do PNAR)</t>
  </si>
  <si>
    <t>Mayara Camila Candida de Almeida</t>
  </si>
  <si>
    <t>https://chat-conecta.recife.pe.gov.br/live/Hn8etzp7wuzn6Gq7W/user-info#&amp;gid=1&amp;pid=6</t>
  </si>
  <si>
    <t>Perda de tampão mucoso</t>
  </si>
  <si>
    <t>Iasmim Sales de Santana Silva</t>
  </si>
  <si>
    <t>https://chat-conecta.recife.pe.gov.br/live/ZBbou7YupbZxyArLE</t>
  </si>
  <si>
    <t>31/10/2023</t>
  </si>
  <si>
    <t>Ligar a tarde</t>
  </si>
  <si>
    <t>https://chat-conecta.recife.pe.gov.br/live/cs2MrjrBy8vZunfKh</t>
  </si>
  <si>
    <t>(Thiago) Às 08:30h, usuária não atende a chamada.</t>
  </si>
  <si>
    <t>taty (16:04) usuaria não atendeu (Thiago) Às 17:44h, usuária não atendeu.</t>
  </si>
  <si>
    <t>https://chat-conecta.recife.pe.gov.br/live/AyLRnE89AkiQQzsLZ</t>
  </si>
  <si>
    <t>(Thiago) Às 08:45h, usuária não atende a chamada.</t>
  </si>
  <si>
    <t xml:space="preserve">taty (16:07)paciente refere melhora dos sintomas, porem nao procurou a aps para aferir a pressão </t>
  </si>
  <si>
    <t>Joyce Martins dos Santos</t>
  </si>
  <si>
    <t>08971497424</t>
  </si>
  <si>
    <t>https://chat-conecta.recife.pe.gov.br/live/iQSEHNW6crqvM4Mnj/room-info</t>
  </si>
  <si>
    <t>Taty (10:24)Usuaria sem queixas no momento, procurou a unidade porem sem data da consulta , profissionais de ferias</t>
  </si>
  <si>
    <t>Debora Joelly da Silva Costa</t>
  </si>
  <si>
    <t>https://chat-conecta.recife.pe.gov.br/live/6xwHoFqqeZwSNTdHN</t>
  </si>
  <si>
    <t>https://chat-conecta.recife.pe.gov.br/live/wDYeBJpn8RrhjxpDn</t>
  </si>
  <si>
    <t>26/05/23</t>
  </si>
  <si>
    <t xml:space="preserve">Taty (09:16) usuaria não atendeu </t>
  </si>
  <si>
    <t>Taty (15:39) usuaria nao atende (Falta registrada no PEC)</t>
  </si>
  <si>
    <t>Raphaela Nascimento da Silva</t>
  </si>
  <si>
    <t>04876514488</t>
  </si>
  <si>
    <t>https://chat-conecta.recife.pe.gov.br/live/GYNAPA5JtMhoFEyLp</t>
  </si>
  <si>
    <t xml:space="preserve"> 19/04/2023</t>
  </si>
  <si>
    <t>Perda de tampão mucoso.</t>
  </si>
  <si>
    <t>Joanna (10h37; 15h37): não atendeu (Falta registrada no PEC)</t>
  </si>
  <si>
    <t>https://chat-conecta.recife.pe.gov.br/live/KXDTHrk6hFwEJo6p9/members-list</t>
  </si>
  <si>
    <t>Taty (09:22) refere que foi ontem na USF, porem nao teria profissional disponivel para atendela, ainda com cefaleia, porem leve, PA 130*80,oriento uso de analgesico e monitoramento a tarde</t>
  </si>
  <si>
    <t>Checar acesso à maternidade.</t>
  </si>
  <si>
    <t>Leticia Gabriela Queiroz de Souza</t>
  </si>
  <si>
    <t>https://chat-conecta.recife.pe.gov.br/live/Hftgsg8KRn8f7ZTTm</t>
  </si>
  <si>
    <t>Joanna (15h56): não atendeu</t>
  </si>
  <si>
    <t>Encontra-se internada no Hospital das Clínicas para indução do parto.</t>
  </si>
  <si>
    <t>https://chat-conecta.recife.pe.gov.br/live/6uGnYZKe7dPCBfcda/room-info</t>
  </si>
  <si>
    <t>https://chat-conecta.recife.pe.gov.br/live/MHHXCFcFC6TgKTm7B/members-list</t>
  </si>
  <si>
    <t>Katllyn Laryssa de Souza Bezerra</t>
  </si>
  <si>
    <t>https://chat-conecta.recife.pe.gov.br/live/nGahoHcB42nbpsGku/room-info</t>
  </si>
  <si>
    <t>03/11/2023</t>
  </si>
  <si>
    <t>Joanna (10h28; 14h10; 17h21): não atendeu</t>
  </si>
  <si>
    <t>esposo 81984353919 caso nao pegue o outro (para esse ligar apos as 17h)</t>
  </si>
  <si>
    <t>Ana Beatriz Pereira da Silva</t>
  </si>
  <si>
    <t>https://chat-conecta.recife.pe.gov.br/live/z8aYeTETgHR4DvXg7/members-list</t>
  </si>
  <si>
    <t>Joanna (14h10): refere melhora da cefaleia e náusea. Sem queixas no momento.</t>
  </si>
  <si>
    <t>ligar as 14h para 81994288154</t>
  </si>
  <si>
    <t>https://chat-conecta.recife.pe.gov.br/live/Pa3tYyzWztXyKvCTB/user-info</t>
  </si>
  <si>
    <t>Raiane Dias Nascimento</t>
  </si>
  <si>
    <t>https://chat-conecta.recife.pe.gov.br/live/eJcHbLnYHDocKBiSR/user-info</t>
  </si>
  <si>
    <t xml:space="preserve">taty (15:40) Mobilograma com 13 movimentações fetais em 6 momentos, lombalgia e contraçoes indolores frequentes </t>
  </si>
  <si>
    <t>Emelly Lays Izidio das Chagas</t>
  </si>
  <si>
    <t>https://chat-conecta.recife.pe.gov.br/live/paZzmKEpLZFfiGpfu/room-info</t>
  </si>
  <si>
    <t>11/11/2023</t>
  </si>
  <si>
    <t>Ligar às 17h para avaliar queixa e confirmar acesso a APS</t>
  </si>
  <si>
    <t>Eduarda Cecilia da Silva</t>
  </si>
  <si>
    <t>09778501459</t>
  </si>
  <si>
    <t>https://chat-conecta.recife.pe.gov.br/live/Z7PqSB2psij7TCjuH/room-info</t>
  </si>
  <si>
    <t>Dúvidas sobre exames e suplementação vitamínica</t>
  </si>
  <si>
    <t>https://chat-conecta.recife.pe.gov.br/live/LKz9xSbMxFQ7xkwAo/user-info</t>
  </si>
  <si>
    <t>Taty ( 08:59) telefone desligado</t>
  </si>
  <si>
    <t>Joanna (14h46; 17h): não atendeu (falta registrada no PEC)</t>
  </si>
  <si>
    <t>https://chat-conecta.recife.pe.gov.br/live/iwAHdtfRmH9TTzmAw/room-info</t>
  </si>
  <si>
    <t>https://chat-conecta.recife.pe.gov.br/live/hZzKY6jrRgThPXY8u</t>
  </si>
  <si>
    <t>Joanna (8h13; 12h; 14h45): não atendeu</t>
  </si>
  <si>
    <t>Joanna (17h): não atendeu (falta registrada no PEC)</t>
  </si>
  <si>
    <t>Ligar às 17h para revaliar hiperemia e outros sinais flogísticos da mama direita. Avaliar a necessidade de avaliação presencial na UBS ou bando de leite.</t>
  </si>
  <si>
    <t>Jessika Belo da Silva</t>
  </si>
  <si>
    <t>https://chat-conecta.recife.pe.gov.br/live/Hs5FfrFKw6yLukDWW</t>
  </si>
  <si>
    <t>(Thiago) Às 8:26h, usuária não atende à chamada.</t>
  </si>
  <si>
    <t>(Thiago) Às 13:34h, usuária não atende à ligação.</t>
  </si>
  <si>
    <t>https://chat-conecta.recife.pe.gov.br/live/7YE9ueuABrCGehJfW/room-info</t>
  </si>
  <si>
    <t>(Thiago) Gestante realizou atendimento em sua USF, PNAR marcado para dia 07/02/24 na MBR.</t>
  </si>
  <si>
    <t>https://chat-conecta.recife.pe.gov.br/live/J9WdxttabqHSfKnkX</t>
  </si>
  <si>
    <t>https://chat-conecta.recife.pe.gov.br/live/4svW7AAi2SvHBj9cv/members-list</t>
  </si>
  <si>
    <t>Dúvidas quanto aos sinais de trabalho de parto e parto.</t>
  </si>
  <si>
    <t>https://chat-conecta.recife.pe.gov.br/live/apY8f73WDZ59ebcbd</t>
  </si>
  <si>
    <t>Desconforto abdominal e secreção vaginal</t>
  </si>
  <si>
    <t>Débora Domingos da Silva Amorim</t>
  </si>
  <si>
    <t>https://chat-conecta.recife.pe.gov.br/live/weovKF9fJw8doQZav</t>
  </si>
  <si>
    <t>28/12/2023</t>
  </si>
  <si>
    <t>suspeita de gravidez</t>
  </si>
  <si>
    <t>Gestante com dificuldade para marcar a primeira consulta de PN por não está vinculada à APS, ACS afastada.</t>
  </si>
  <si>
    <t>https://chat-conecta.recife.pe.gov.br/live/xs663rB3w2XeTNiHr</t>
  </si>
  <si>
    <t>Lombalgia e dor em MMII</t>
  </si>
  <si>
    <t>Fabia Maria de Santana</t>
  </si>
  <si>
    <t>04939304426</t>
  </si>
  <si>
    <t>https://chat-conecta.recife.pe.gov.br/live/pv9D5xWEavr4vBWPv</t>
  </si>
  <si>
    <t>Realizado por Elaine</t>
  </si>
  <si>
    <t>Ligar para o contato da irmã - Fabiana 999193216</t>
  </si>
  <si>
    <t>Sabrina Mikaele da Silva Sa</t>
  </si>
  <si>
    <t>09404433411</t>
  </si>
  <si>
    <t>https://chat-conecta.recife.pe.gov.br/live/Z5Hf9iwR47RpxGMHn</t>
  </si>
  <si>
    <t>05/11/2023</t>
  </si>
  <si>
    <t>Dúvidas quanto ao seu estado de saúde.</t>
  </si>
  <si>
    <t>Sangramento vaginal A/E</t>
  </si>
  <si>
    <t>Andreza Ferreira de Almeida</t>
  </si>
  <si>
    <t>08842150401</t>
  </si>
  <si>
    <t>https://chat-conecta.recife.pe.gov.br/live/5z7raoReSmZx4LpxT/room-info</t>
  </si>
  <si>
    <t>Gestante encontra-se internada no Hospital da Mulher para controle de PA e glicemia.</t>
  </si>
  <si>
    <t>https://chat-conecta.recife.pe.gov.br/live/CL8SCGdZPgfrTmeRY/room-info</t>
  </si>
  <si>
    <t>Rosimere Barbosa Santana</t>
  </si>
  <si>
    <t>09224274455</t>
  </si>
  <si>
    <t>https://chat-conecta.recife.pe.gov.br/live/Yig99BGWaKFcbhwAy</t>
  </si>
  <si>
    <t>Gestante está indo à maternidade agora pela manhã. Refere que hoje se alimentou e não vomitou, está apenas com salivação excessiva.</t>
  </si>
  <si>
    <t>https://chat-conecta.recife.pe.gov.br/live/Tsu8ww9CmQfp8AwvY/room-info</t>
  </si>
  <si>
    <t>Prurido</t>
  </si>
  <si>
    <t>https://chat-conecta.recife.pe.gov.br/live/i6K4D2gJxgSuqCspJ/room-info</t>
  </si>
  <si>
    <t>Emylly Novaes Gomes de Lima</t>
  </si>
  <si>
    <t>https://chat-conecta.recife.pe.gov.br/live/6P33av7zHrKkmSAWA/room-info</t>
  </si>
  <si>
    <t xml:space="preserve">taty (10:30)Paciente procurou a barro lima </t>
  </si>
  <si>
    <t>Isabele Carla da Silva Dantas</t>
  </si>
  <si>
    <t>https://chat-conecta.recife.pe.gov.br/live/ge3aiXhBuEdPXR3py/room-info</t>
  </si>
  <si>
    <t>Chama 2 vezes e a ligação cai. Não consigo contato.</t>
  </si>
  <si>
    <t xml:space="preserve">17h Camilla Gestante não atendeu. </t>
  </si>
  <si>
    <t>Monitoramento a fazer em 09/02 Confirmar início do tratamento de ITU; lembrar de agendar um novo monitoramento para dia 09/02 para reforçar a coletar de urocultura.</t>
  </si>
  <si>
    <t>https://chat-conecta.recife.pe.gov.br/live/EWYva57EZJYEyAtaA/room-info</t>
  </si>
  <si>
    <t>Cálculo de idade gestacional</t>
  </si>
  <si>
    <t>Jessika Suzy Bernardo Lopes</t>
  </si>
  <si>
    <t>09900961498</t>
  </si>
  <si>
    <t>https://chat-conecta.recife.pe.gov.br/live/jjzJFHu5HKWSenYvB/room-info</t>
  </si>
  <si>
    <t>Hiperglicemia capilar</t>
  </si>
  <si>
    <t xml:space="preserve">(Thiago) Gestante se encontra na triagem do HMR para avaliação. ligar a tarde (15h) </t>
  </si>
  <si>
    <t>https://chat-conecta.recife.pe.gov.br/live/mnm2CSQjZkAaKgowq</t>
  </si>
  <si>
    <t>15/10/2024</t>
  </si>
  <si>
    <t xml:space="preserve">taty (09:33) paciente não atendeu taty (13:19) nao atendeu </t>
  </si>
  <si>
    <t>Camilla (17h) Não atendeu</t>
  </si>
  <si>
    <t>https://chat-conecta.recife.pe.gov.br/omnichannel-directory/chats/view/uAHg4sGcfTzmgyrsg</t>
  </si>
  <si>
    <t xml:space="preserve"> 07/11/2023</t>
  </si>
  <si>
    <t>https://chat-conecta.recife.pe.gov.br/live/fe4LEnhvG7CjuwCAx</t>
  </si>
  <si>
    <t>Taty (11:25) paciente nao atendeu</t>
  </si>
  <si>
    <t xml:space="preserve">Taty( 13:44) paciente procurou atendimento como orientado, inicio de atb e melhora da febre e cefaleia, permanece com obstrução e seceção. </t>
  </si>
  <si>
    <t>https://chat-conecta.recife.pe.gov.br/live/cudQseAHtdwBdScK8</t>
  </si>
  <si>
    <t>(Thiago) Gestante informa que não conseguiu ir à Barros Lima, informa que irá hoje. Ligar amanhã para confirmar acesso.</t>
  </si>
  <si>
    <t>Gabriela Nascimento da Silva</t>
  </si>
  <si>
    <t>https://chat-conecta.recife.pe.gov.br/live/AMyjBmtLPx4wZNWgD</t>
  </si>
  <si>
    <t>nao se aplica</t>
  </si>
  <si>
    <t>dor epigastrica</t>
  </si>
  <si>
    <t>Elizabeth Antonia Menezes Pinheiro</t>
  </si>
  <si>
    <t>https://chat-conecta.recife.pe.gov.br/live/KpxNL5ZHLjrBsa6AQ/user-info</t>
  </si>
  <si>
    <t>40s (sic) pela usg 38s2d</t>
  </si>
  <si>
    <t>taty (08:45) paciente nao atendeu (11:03) paciente nao atendeu</t>
  </si>
  <si>
    <t>(Thiago) Às 17:00h, telefone encontra-se indisponível.</t>
  </si>
  <si>
    <t>Karolayne Maria Costa dos Santosa</t>
  </si>
  <si>
    <t>https://chat-conecta.recife.pe.gov.br/live/erEbmKvMHiuJRuinA/room-info</t>
  </si>
  <si>
    <t>taty (11:30) paciente refere cefaleia leve , PA 100X60, reavaliar contração</t>
  </si>
  <si>
    <t>Ligar às 9h30, para confirmar o valor da PA que ela irá aferir na farmácia, além do alívio da cefaléia, após uso de dipirona agora.</t>
  </si>
  <si>
    <t>https://chat-conecta.recife.pe.gov.br/live/erEbmKvMHiuJRuinA</t>
  </si>
  <si>
    <t xml:space="preserve">Gestante ainda está com desconfortos, especialmente pélvicos. Oriento que busque a maternidade para um avaliação presencial. </t>
  </si>
  <si>
    <t>https://chat-conecta.recife.pe.gov.br/live/aEXdfrgmC2w9HzWA3</t>
  </si>
  <si>
    <t>Eduarda Cristina Silva da Hora</t>
  </si>
  <si>
    <t>https://chat-conecta.recife.pe.gov.br/live/tNfBKNMRN3Jj5Pcxu</t>
  </si>
  <si>
    <t>26/10/23</t>
  </si>
  <si>
    <t>Mari (17:00) Gestante não atendeu.</t>
  </si>
  <si>
    <t>Camilla (18:00) Gestante não atendeu.</t>
  </si>
  <si>
    <t>Lari (8h50) Paciente não atendeu. (14h) Paciente refere que não foi para a materninade pois não tinha quem ficasse com os filhos. Refere melhora da cefaleia e da dor em BV. Refere boa MF. Oriento sobre sinais de TP.</t>
  </si>
  <si>
    <t>confirmar acesso á maternidade para avaliação presencial por inadequação do método</t>
  </si>
  <si>
    <t xml:space="preserve"> 28/12/2023</t>
  </si>
  <si>
    <t>(Thiago) Às 12:10h, gestante compareceu à Barros Lima, foi avaliada, recebeu prescrição medicamentosa e em seguida foi liberda.</t>
  </si>
  <si>
    <t>Karolina Driele Amorim da Rocha</t>
  </si>
  <si>
    <t>https://chat-conecta.recife.pe.gov.br/live/aFXym8yzoM6Leevpd</t>
  </si>
  <si>
    <t>Maria Brigida Chaprao da Silva</t>
  </si>
  <si>
    <t>https://chat-conecta.recife.pe.gov.br/live/8hAzthKS4t7FZafmp/members-list</t>
  </si>
  <si>
    <t xml:space="preserve"> 01/10/2023</t>
  </si>
  <si>
    <t>https://chat-conecta.recife.pe.gov.br/live/SkRxmBDAhsNrp2P6w/room-info</t>
  </si>
  <si>
    <t>Desconforto abdominal</t>
  </si>
  <si>
    <t>https://chat-conecta.recife.pe.gov.br/live/SET4kirFrQQtntR9e</t>
  </si>
  <si>
    <t>Josicleide Barbosa Silva</t>
  </si>
  <si>
    <t>https://chat-conecta.recife.pe.gov.br/live/SET4kirFrQQtntR9e#&amp;gid=1&amp;pid=5</t>
  </si>
  <si>
    <t>15/08/2023</t>
  </si>
  <si>
    <t>https://chat-conecta.recife.pe.gov.br/omnichannel-directory/chats/view/9ujTgc6JeaMJ9Ap6x</t>
  </si>
  <si>
    <t>(Thiago) Às 08:15h, gestante se dirigindo neste momento à maternidade para realizar atendimento. Ligar à terde para checar acesso.</t>
  </si>
  <si>
    <t>(Thiago) Às 16:42h, gestante foi atendida na Bandeira Filho, avaliada e liberada para casa em seguida.</t>
  </si>
  <si>
    <t>https://chat-conecta.recife.pe.gov.br/live/2PskQeJpo9TayW7bF/room-info</t>
  </si>
  <si>
    <t>(Camilla) às 11h, telefone desligado ou fora de área</t>
  </si>
  <si>
    <t>(Camilla) Gestante foi ao Hospital das Clínicas, foi avaliada e liberada (trabalho de parto inicial).</t>
  </si>
  <si>
    <t>Ligar às 11h para avaliar sinais de TP e/ ou de alerta</t>
  </si>
  <si>
    <t>Ewelin Maria da Silva</t>
  </si>
  <si>
    <t>https://chat-conecta.recife.pe.gov.br/live/m6GEWExf2pFJZ3yYt</t>
  </si>
  <si>
    <t xml:space="preserve">Taty (16:54) paciente refere melhora da sintomatoligia e nao apresentou mais colicas / contração, nega qualquer queixa obstetrica e urinaria </t>
  </si>
  <si>
    <t>ligar as 16:20 reavaliar,</t>
  </si>
  <si>
    <t>Ynara Lays da Silva Lins</t>
  </si>
  <si>
    <t>https://chat-conecta.recife.pe.gov.br/live/afuCLgXPJbu8sHABs</t>
  </si>
  <si>
    <t>(Camilla) 17h30 Realizado monitoramento, gestante refere alívio da dor após uso de buscopam. Alta do episódio.</t>
  </si>
  <si>
    <t>Ligar às 17h, reavaliar melhora das cólicas.</t>
  </si>
  <si>
    <t>https://chat-conecta.recife.pe.gov.br/live/3R6nqANmqGxuaR336/user-info</t>
  </si>
  <si>
    <t>https://chat-conecta.recife.pe.gov.br/live/Hx6uP5mHsMwoXDv48/room-info</t>
  </si>
  <si>
    <t>(Thiago) Às 08:53h, gestante informa que o incômodo pélvico pouco aliviou com as medicações. Oriento quanto sinais de alerta e TP.</t>
  </si>
  <si>
    <t>Karollyne Vanessa da Silva Soares</t>
  </si>
  <si>
    <t>https://chat-conecta.recife.pe.gov.br/live/5pi8XGggr3g7Ajoup/room-info</t>
  </si>
  <si>
    <t>17/10/2023</t>
  </si>
  <si>
    <t>dor no gluteo</t>
  </si>
  <si>
    <t>Poliana Barbosa dos Santos</t>
  </si>
  <si>
    <t>08813404484</t>
  </si>
  <si>
    <t>https://chat-conecta.recife.pe.gov.br/live/AHqMmspyxhpoesz7L</t>
  </si>
  <si>
    <t>Joanna (8h14): não atendeu</t>
  </si>
  <si>
    <t xml:space="preserve"> Foi atendida na Policlínica e Maternidade Barros Lima, apresentou PA normal (não lembra o valor), orientada quanto ao uso do Paracetamol, não realizou exames. Sente-se cansada e sonolenta, refere melhora da cefaleia, nega sinais de alerta. Hoje PA = 143 x 60 (braço esquerdo). Encaminho para aferição da PA e avaliação no CS. </t>
  </si>
  <si>
    <t>https://chat-conecta.recife.pe.gov.br/live/i2Rpkhm4e4cBbgqcQ/room-info</t>
  </si>
  <si>
    <t>Duvida sobre quando internar</t>
  </si>
  <si>
    <t>Isabele Patricia da Silva Mendes</t>
  </si>
  <si>
    <t>https://chat-conecta.recife.pe.gov.br/live/cKtdvZkhdC9SkACuF</t>
  </si>
  <si>
    <t>16/11/2023</t>
  </si>
  <si>
    <t>Cefaleia, náuseas e vômitos.</t>
  </si>
  <si>
    <t>https://chat-conecta.recife.pe.gov.br/live/rYYCoiFJkfYvtP3n5</t>
  </si>
  <si>
    <t>https://chat-conecta.recife.pe.gov.br/live/3iY49JNegrjd6f4Za/user-info</t>
  </si>
  <si>
    <t>Realizado telemonitoramento</t>
  </si>
  <si>
    <t>https://chat-conecta.recife.pe.gov.br/live/DTuYC3s43M8x4T9nB/user-info</t>
  </si>
  <si>
    <t>26/07/23</t>
  </si>
  <si>
    <t>Joanna (10h18; 14h7; 17h38): não atendeu</t>
  </si>
  <si>
    <t>Bianca Stephane Lima da Silva</t>
  </si>
  <si>
    <t>https://chat-conecta.recife.pe.gov.br/live/fSEnYLrKfrLNpQmnD/user-info</t>
  </si>
  <si>
    <t>19/12/2023</t>
  </si>
  <si>
    <t>(Thiago) Às 16:00h, gestante refere melhora dos sintomas hoje.</t>
  </si>
  <si>
    <t>Rayanne Gleice da Silva Reis</t>
  </si>
  <si>
    <t>https://chat-conecta.recife.pe.gov.br/omnichannel-directory/chats/view/YRnqp7b9NEDBFJF2K</t>
  </si>
  <si>
    <t>26/08/23</t>
  </si>
  <si>
    <t>Medo de complicações por ter engravidado utilizando DIU</t>
  </si>
  <si>
    <t>https://chat-conecta.recife.pe.gov.br/live/iFLjw8gboMxn9e7Dh#&amp;gid=1&amp;pid=3</t>
  </si>
  <si>
    <t>https://chat-conecta.recife.pe.gov.br/live/fYKuHitqwFz4LghZz</t>
  </si>
  <si>
    <t>Náuseas e ou vômitos, cafaleia</t>
  </si>
  <si>
    <t>Juliana Rodrigues de Oliveira</t>
  </si>
  <si>
    <t>https://chat-conecta.recife.pe.gov.br/live/Br5feW9vLbFSrDpGz</t>
  </si>
  <si>
    <t>Mobilograma = 2 MF</t>
  </si>
  <si>
    <t>(Thiago) Às 10:00h, usuária não atende à chamada.</t>
  </si>
  <si>
    <t>(Thiago) Às 17:38h, não consigo contato com a usuária.</t>
  </si>
  <si>
    <t>Suelayne Fagundes Falcão</t>
  </si>
  <si>
    <t>08052436400</t>
  </si>
  <si>
    <t>https://chat-conecta.recife.pe.gov.br/live/raDcP5gDyeD2TLk46</t>
  </si>
  <si>
    <t>09/08/2023</t>
  </si>
  <si>
    <t>(Thiago) Às 10:05h, usuária não atende à chamada.</t>
  </si>
  <si>
    <t>(Thiago) Às 18:00h, usuária realizou atendimento no HMR, sendo liberada em seguida. No momento, assintomática.</t>
  </si>
  <si>
    <t>https://chat-conecta.recife.pe.gov.br/live/KxZK9qYrXzSafrJDe</t>
  </si>
  <si>
    <t>(Thiago) Às 11:30h, gestante melhorou dos sintomas.</t>
  </si>
  <si>
    <t>Rute Arruda Rodrigues</t>
  </si>
  <si>
    <t>https://chat-conecta.recife.pe.gov.br/live/tqt6dLp5FPvWf89Do</t>
  </si>
  <si>
    <t>(Thiago) Às 17:30h, gestante realizou atendimento na Bandeira Filho e liberada em seguida para casa. Refere boa movimentação fetal.</t>
  </si>
  <si>
    <t>https://chat-conecta.recife.pe.gov.br/live/TcEMhs2iSYwvb44d3</t>
  </si>
  <si>
    <t>19/07/2023</t>
  </si>
  <si>
    <t>dor/desconforto gástrico</t>
  </si>
  <si>
    <t>Iasmim Alves Gomes da Silva</t>
  </si>
  <si>
    <t>https://chat-conecta.recife.pe.gov.br/live/qkAfNa4cTjo3P2n64</t>
  </si>
  <si>
    <t>Joanna (10h; 12h; 14h50; 17h): não atendeu</t>
  </si>
  <si>
    <t>Ligar pela manhã, checar aceeso à Bandeira Filho.</t>
  </si>
  <si>
    <t>Jenyffer Moraes Tavares</t>
  </si>
  <si>
    <t>05497260470</t>
  </si>
  <si>
    <t>https://chat-conecta.recife.pe.gov.br/live/vXNCAe4wGm63hK4af</t>
  </si>
  <si>
    <t>27/12/2023</t>
  </si>
  <si>
    <t>Cólicas e sangramento transvaginal</t>
  </si>
  <si>
    <t>Joanna: foi atendida na Maternidade Bandeira filho, diagnosticada com ITU, prescrito Cefalexiana 6/6h por 7 dias e Buscopan. Assintomática no momento.</t>
  </si>
  <si>
    <t>Ligar à tarde, checar acesso à Bandeira Filho.</t>
  </si>
  <si>
    <t>Carla Daniele Pereira da Silva</t>
  </si>
  <si>
    <t>09589544452</t>
  </si>
  <si>
    <t>https://chat-conecta.recife.pe.gov.br/live/ehakjbjYg24RLyewm/user-info</t>
  </si>
  <si>
    <t>Adontalgia</t>
  </si>
  <si>
    <t>Joanna (14h49;17h): não atendeu</t>
  </si>
  <si>
    <t>Ligar à tarde, checar acesso à urgência odontológica.</t>
  </si>
  <si>
    <t>https://chat-conecta.recife.pe.gov.br/home</t>
  </si>
  <si>
    <t>Jaciane Maria de Araujo</t>
  </si>
  <si>
    <t>07969064400</t>
  </si>
  <si>
    <t>https://chat-conecta.recife.pe.gov.br/live/S4bGfzQ2LufShqLqx</t>
  </si>
  <si>
    <t>Joanna: Está internada no HMR.</t>
  </si>
  <si>
    <t>https://chat-conecta.recife.pe.gov.br/live/z4qadkRZcAaQY4YAp</t>
  </si>
  <si>
    <t>Cólicas e sangramento vaginal</t>
  </si>
  <si>
    <t>Analice Ferreira da Silva</t>
  </si>
  <si>
    <t>https://chat-conecta.recife.pe.gov.br/live/TdunvEfpeKkuzNPaK/user-info</t>
  </si>
  <si>
    <t>04/06/2023</t>
  </si>
  <si>
    <t>Joanna: Nega novo episódio de sangramento e outras queixas.</t>
  </si>
  <si>
    <t>Raissa Kauany Alecrim da Fonseca</t>
  </si>
  <si>
    <t>https://chat-conecta.recife.pe.gov.br/live/rc9DL2zSu7KgxgCJm</t>
  </si>
  <si>
    <t>Joanna (14h30; 16h30; 18h30): não atendeu</t>
  </si>
  <si>
    <t>https://chat-conecta.recife.pe.gov.br/live/TdunvEfpeKkuzNPaK/room-info</t>
  </si>
  <si>
    <t>Gerlane Cabral da Silva</t>
  </si>
  <si>
    <t>07453742471</t>
  </si>
  <si>
    <t>https://chat-conecta.recife.pe.gov.br/live/WBieDPRdu69bTcJGM</t>
  </si>
  <si>
    <t>Dispneia, disúria</t>
  </si>
  <si>
    <t>08h45 atendimento realizado - pcte sem sintomas</t>
  </si>
  <si>
    <t>Karoline Cavalcanti da Silva</t>
  </si>
  <si>
    <t>https://chat-conecta.recife.pe.gov.br/live/mz8jxQa3fPJ6EgrnC</t>
  </si>
  <si>
    <t>constipação</t>
  </si>
  <si>
    <t>(Thiago) Às 11:26h, o telefone da usuária não está disponível para receber chamadas. 8h20 (Lari) Paciente não atendeu.</t>
  </si>
  <si>
    <t>(Thiago) Às 15:52h, o telefone da usuária não está disponível para receber chamadas.</t>
  </si>
  <si>
    <t>Marilia Machado da Silva</t>
  </si>
  <si>
    <t>https://chat-conecta.recife.pe.gov.br/live/eEWau4MkfXtySRHdJ</t>
  </si>
  <si>
    <t>Atestado médico</t>
  </si>
  <si>
    <t>(Thiago) Às 11:00h, o telefone da usuária não está disponível para receber chamadas.</t>
  </si>
  <si>
    <t>(Thiago) Às 15:55h, o telefone da usuária não está disponível para receber chamadas.</t>
  </si>
  <si>
    <t>Ligar as 10h Falar cm Marta primeiro - Preciso discutir o caso com quem for fazer o telemonitoramento</t>
  </si>
  <si>
    <t>Rayzza Marques Salgado da Silva</t>
  </si>
  <si>
    <t>09540280400</t>
  </si>
  <si>
    <t>https://chat-conecta.recife.pe.gov.br/live/XYBYaNsDvPth5EqjF/members-list</t>
  </si>
  <si>
    <t>Joanna (11h; 14h35/ 17h40): não atendeu</t>
  </si>
  <si>
    <t>Maria Nivaneide de Abreu Lima</t>
  </si>
  <si>
    <t>00059759305</t>
  </si>
  <si>
    <t>https://chat-conecta.recife.pe.gov.br/live/dHQF27r4Sw3ogbpP4/members-list</t>
  </si>
  <si>
    <t>09/12/2023</t>
  </si>
  <si>
    <t>Jéssica Fernanda Martins de Oliveira</t>
  </si>
  <si>
    <t>https://chat-conecta.recife.pe.gov.br/live/eCFzYihnWbjimYNA6</t>
  </si>
  <si>
    <t>Emilly Vitoria da Silva Oliveira</t>
  </si>
  <si>
    <t>https://chat-conecta.recife.pe.gov.br/live/n5sTMpgL8Wg6ZF7ux/members-list</t>
  </si>
  <si>
    <t xml:space="preserve">duvidas porque perdeu tampao mucoso e nao teve PN </t>
  </si>
  <si>
    <t>https://chat-conecta.recife.pe.gov.br/live/kvK4A7TfXKoRgbKp3</t>
  </si>
  <si>
    <t>(Thiago) Às 17:30h, usuária realizou atendimento na Bandeira Filho, foi liberada em seguida, sagramento ainda persiste.</t>
  </si>
  <si>
    <t>Ver vinculação à APS</t>
  </si>
  <si>
    <t>Alicia Ohana Gomes Damasceno</t>
  </si>
  <si>
    <t>07181969455</t>
  </si>
  <si>
    <t>https://chat-conecta.recife.pe.gov.br/live/LTE8hYQNhXNShsrBD</t>
  </si>
  <si>
    <t>Artralgia e mialgia</t>
  </si>
  <si>
    <t>(Thiago) Às 15:15h, usuária não atende à chamada.</t>
  </si>
  <si>
    <t>Ligar para 99591-0580</t>
  </si>
  <si>
    <t>Gleice Kelly Barboza de Lima</t>
  </si>
  <si>
    <t>https://chat-conecta.recife.pe.gov.br/live/GE3JpPzWDA2rKN58f/user-info</t>
  </si>
  <si>
    <t xml:space="preserve">Às 08:06, tento contato, mas gestante não atende. </t>
  </si>
  <si>
    <t>Gestante atende e informa que foi avaliada ontem na Maternidade, onde foi vista dilatação de 4-5cm e liberada. Hoje as contrações estão menos frequentes. Nega outras queixas e aguarda o desencadeamento do TP ativo em casa. Encerro o caso.</t>
  </si>
  <si>
    <t>https://chat-conecta.recife.pe.gov.br/live/bbYcMRchGBaHdckDW</t>
  </si>
  <si>
    <t>taty( 08:40) paciente nao atendeu</t>
  </si>
  <si>
    <t xml:space="preserve">taty (13:30) paciente apresentando sangramento e presença de coagulos ,provavel aborto </t>
  </si>
  <si>
    <t>Confirmar acesso ao PN da Bandeira Filho.</t>
  </si>
  <si>
    <t>https://chat-conecta.recife.pe.gov.br/live/FJga4BrjgWwYfhrYA/room-info</t>
  </si>
  <si>
    <t>Às 12h:00, tento contato, mas a agestante não atende.</t>
  </si>
  <si>
    <t>Gestante refere que durante o mobilograma, identificou 5 movimentos fetais. Encaminho para avaliação presencial na maternidade e agendo monitoramento para amanhã.</t>
  </si>
  <si>
    <t>Ligar às 12h</t>
  </si>
  <si>
    <t>https://chat-conecta.recife.pe.gov.br/live/FJga4BrjgWwYfhrYA/user-info</t>
  </si>
  <si>
    <t>taty( 11:14) paciente não atendeu</t>
  </si>
  <si>
    <t>Taty ( 16:29) paciente atendida no HMR, dor pelvica, medicada e orientada repouso.</t>
  </si>
  <si>
    <t>https://chat-conecta.recife.pe.gov.br/live/vsovcZFSBYmZjgTbZ/room-info</t>
  </si>
  <si>
    <t>29/04/2004</t>
  </si>
  <si>
    <t>taty ( 08:24) paciente não atendeu</t>
  </si>
  <si>
    <t>ianne (14h10) paciente não atende.  Mas PEC ela foi acolhida e avaliada hoje pelo APS.</t>
  </si>
  <si>
    <t>https://chat-conecta.recife.pe.gov.br/live/XNfDZK7XPL493ZAoa/room-info</t>
  </si>
  <si>
    <t>ianne (14:05) paciente não atendeu</t>
  </si>
  <si>
    <t xml:space="preserve">Gestante refere alívio da cefaleia. Alta do episódio. </t>
  </si>
  <si>
    <t>(Marta) Não realizado registro de formulário; não encontro registro de monitoramento no PEC, apenas de TINC. Foi realizado o monitoramento??</t>
  </si>
  <si>
    <t>https://chat-conecta.recife.pe.gov.br/live/2ZkFpYCRXKYzFaKME/user-info</t>
  </si>
  <si>
    <t>Amanda Dayane da Silva</t>
  </si>
  <si>
    <t>09245048462</t>
  </si>
  <si>
    <t>https://chat-conecta.recife.pe.gov.br/live/2LaTqvuDXcAMxB88S/uploaded-files-list</t>
  </si>
  <si>
    <t>27/08/2023</t>
  </si>
  <si>
    <t>ianne (11h20) paciente não atende</t>
  </si>
  <si>
    <t xml:space="preserve">Joanna (14h) paciente não atendeu Taty ( 15:35) iniciou tratamento para ITU, refere cefaleia leve </t>
  </si>
  <si>
    <t>https://chat-conecta.recife.pe.gov.br/live/ntTcP8qgcyv2xruan/user-info</t>
  </si>
  <si>
    <t>09/12/2024</t>
  </si>
  <si>
    <t>ianne (11h25) paciente não atende - ancaminhada ontem p maternidade - aborto completo?</t>
  </si>
  <si>
    <t>Aborto confirmado na Maternidade Bandeira Filho (20/02).</t>
  </si>
  <si>
    <t>22/06/2023</t>
  </si>
  <si>
    <t>Natalia Aparecida da Silva</t>
  </si>
  <si>
    <t>https://chat-conecta.recife.pe.gov.br/live/w58JiJcbzk3muumdf/room-info</t>
  </si>
  <si>
    <t>20/05/2023</t>
  </si>
  <si>
    <t>https://chat-conecta.recife.pe.gov.br/live/3nxL8LMwogha6y39P/user-info</t>
  </si>
  <si>
    <t xml:space="preserve">taty (08:56) paciente refere diminuição das contração , iniciou tratamento para ITU </t>
  </si>
  <si>
    <t>https://chat-conecta.recife.pe.gov.br/live/nCEjwZYLDHcf45QXQ</t>
  </si>
  <si>
    <t>Joanna (10h30; 14h; 17h): não atendeu</t>
  </si>
  <si>
    <t>https://chat-conecta.recife.pe.gov.br/live/6jBoww5kEg68LSPEa</t>
  </si>
  <si>
    <t xml:space="preserve">Taty( 09:10) paciente no 4 de tratamento para ITU, refere contração esporadica e de menor intensidade, dor lombar leve  e dificuldades para dormir. </t>
  </si>
  <si>
    <t>https://chat-conecta.recife.pe.gov.br/live/yxZidqQXA6pLY7wno/room-info</t>
  </si>
  <si>
    <t>01/10/2023</t>
  </si>
  <si>
    <t xml:space="preserve">GECA </t>
  </si>
  <si>
    <t xml:space="preserve">Taty (09:20) Paciente foi avaliada na bandeira filho, referindo melhora no quadro,no momento nega febre, emese e nausea, tendo 1 epsodio diarreico ate o momento. </t>
  </si>
  <si>
    <t>Rayssa Carolinna Ferreira dos Santos</t>
  </si>
  <si>
    <t>Registro tardio do telemonitoramento realizado dia 19/02/24 - Marta</t>
  </si>
  <si>
    <t>https://chat-conecta.recife.pe.gov.br/live/p6GkZfRrSaEbFLwnJ/room-info</t>
  </si>
  <si>
    <t>Dúvida sobre medicação</t>
  </si>
  <si>
    <t>(Thiago) Gestante apresenta melhora dos sintomas.</t>
  </si>
  <si>
    <t>https://chat-conecta.recife.pe.gov.br/live/4uZpnJQ4H8EaHxf9v</t>
  </si>
  <si>
    <t>https://chat-conecta.recife.pe.gov.br/live/pp2q8B6LDT2F47iGP/user-info</t>
  </si>
  <si>
    <t>Odontologia</t>
  </si>
  <si>
    <t>Joanna (10h; 15h; 17h): não atendeu</t>
  </si>
  <si>
    <t>https://chat-conecta.recife.pe.gov.br/live/ZP3qke22fp9uQCsnc</t>
  </si>
  <si>
    <t>https://chat-conecta.recife.pe.gov.br/live/y2KcN2MFrpsFpxBQu/user-info</t>
  </si>
  <si>
    <t>(Thiago) Às 17:00h, não consigo contato com a usuária.</t>
  </si>
  <si>
    <t>(Thiago) Às 17:30h, não consigo contato com a usuária.</t>
  </si>
  <si>
    <t>Reavaliar às 17h</t>
  </si>
  <si>
    <t>Amanda Costa Silva</t>
  </si>
  <si>
    <t>https://chat-conecta.recife.pe.gov.br/live/QDjZuqS2qdNawah3N/user-info#&amp;gid=1&amp;pid=4</t>
  </si>
  <si>
    <t>https://chat-conecta.recife.pe.gov.br/live/QMghrD6bDMZxTdFMi</t>
  </si>
  <si>
    <t>GECA</t>
  </si>
  <si>
    <t xml:space="preserve">Taty (09:55) paciente não atendeu </t>
  </si>
  <si>
    <t xml:space="preserve">Taty (12:40)Paciente refere melhora dos sintomas, hoje apresentou 2, nega nausea e vômitos, tontura, cefaleia, febre, sangue nas fezes e outros sintomas/sinais de alerta. nega perdas vaginas e queixas urinarias; Refere boa movimentação fetal e boa aceitação alimentar </t>
  </si>
  <si>
    <t>Ana Caroline Maria da Silva</t>
  </si>
  <si>
    <t>08873260489</t>
  </si>
  <si>
    <t>https://chat-conecta.recife.pe.gov.br/live/SahDMccdbbaFYPnkP/members-list</t>
  </si>
  <si>
    <t>30/11/2023</t>
  </si>
  <si>
    <t>Lari (8h40) Não atendeu.</t>
  </si>
  <si>
    <t>(Thiago) Gestante realizou atendimento presencial como orientado pelo AG, testou negativo para covid19. Refere lehoras dos sintomas.</t>
  </si>
  <si>
    <t>https://chat-conecta.recife.pe.gov.br/live/3KgouvFrQ2ngeGhMm</t>
  </si>
  <si>
    <t>taty (08:16) paciente refere  presença de contração esporadica, lombalgia leve, refere presença de colostro e prurido leve em vagina; ontem foi a consulta do PN, marcado urocultura</t>
  </si>
  <si>
    <t>Maria Luiza Wanderley Santos</t>
  </si>
  <si>
    <t>https://chat-conecta.recife.pe.gov.br/live/4ifBMoYDYoAF3NoSm/members-list</t>
  </si>
  <si>
    <t>TAMPAO MUCOSO</t>
  </si>
  <si>
    <t>https://chat-conecta.recife.pe.gov.br/live/fPwu5JZDC7waqsj9N</t>
  </si>
  <si>
    <t>Adriele Herculano da Silva</t>
  </si>
  <si>
    <t>07339708421</t>
  </si>
  <si>
    <t>https://chat-conecta.recife.pe.gov.br/live/KwktoySQ2ofGftWAp/room-info</t>
  </si>
  <si>
    <t>18/01/24</t>
  </si>
  <si>
    <t>Herpes genital</t>
  </si>
  <si>
    <t>Monitorar D4 de sintomas gripais, covig19 negativo.</t>
  </si>
  <si>
    <t>https://meet.google.com/zkn-skpm-kga</t>
  </si>
  <si>
    <t>Mariana (17:35) Telefone ocupado</t>
  </si>
  <si>
    <t xml:space="preserve">Camilla (27/02 - 08h37) Telefone ocupado (taty-16:48) sem sucesso-chama e cai nao recebe ligação? </t>
  </si>
  <si>
    <t>Ligar dia 27/02 para checar acesso</t>
  </si>
  <si>
    <t>https://chat-conecta.recife.pe.gov.br/live/sFwkhjEFgTgLH2x8t</t>
  </si>
  <si>
    <t>Reagendamento de consulta</t>
  </si>
  <si>
    <t>https://chat-conecta.recife.pe.gov.br/live/2b83aju9vYj8mY3q5/members-list</t>
  </si>
  <si>
    <t>Taty ( 10:04) paciente atendida no HMR, prescrito betametasona, referindo melhoras dos sintomas, hoje 1 epsodio de contração indolor, lombalgia leve.em tratamento para ITU ( 6/7)</t>
  </si>
  <si>
    <t>Gestante encaminhada para MBF, checar acesso.</t>
  </si>
  <si>
    <t>https://chat-conecta.recife.pe.gov.br/live/gFfnbRgNNBehpn8Ay/room-info</t>
  </si>
  <si>
    <t>https://chat-conecta.recife.pe.gov.br/live/TBHDHxkwSdaGByiSL</t>
  </si>
  <si>
    <t>https://chat-conecta.recife.pe.gov.br/live/QtGb9gii4sX393Bkd</t>
  </si>
  <si>
    <t>Taty ( 08:54) não atendeu (13:30) não atendeu</t>
  </si>
  <si>
    <t>taty (15:32) paciente não atendeu, (Thiago) Às 16:36h, paciente não atendeu.</t>
  </si>
  <si>
    <t>Vitoria Lima dos Santos</t>
  </si>
  <si>
    <t>https://chat-conecta.recife.pe.gov.br/live/JzGsxn9PgqTibdDsq/room-info</t>
  </si>
  <si>
    <t>16/06/2023</t>
  </si>
  <si>
    <t>ianne (15h20) paciente não atende</t>
  </si>
  <si>
    <t>ianne (15h40) paciente não atende</t>
  </si>
  <si>
    <t>Monitoramento as 15h30</t>
  </si>
  <si>
    <t>Myllena Batista Barros</t>
  </si>
  <si>
    <t>https://chat-conecta.recife.pe.gov.br/live/pC8H7M5LADJw36FnT</t>
  </si>
  <si>
    <t>https://chat-conecta.recife.pe.gov.br/live/Zbgwpgqm4eorLbgaG/room-info</t>
  </si>
  <si>
    <t>Rash na barriga</t>
  </si>
  <si>
    <t>Valquiria Conceição Alves de Barros</t>
  </si>
  <si>
    <t>https://chat-conecta.recife.pe.gov.br/live/4FND74xdcyvesPnxC/user-info</t>
  </si>
  <si>
    <t>06/01/2024</t>
  </si>
  <si>
    <t>Taty ( 08:54) não atendeu</t>
  </si>
  <si>
    <t>(Thiago) Gestante refere melhora das dores.</t>
  </si>
  <si>
    <t>Ligar para 81998898692</t>
  </si>
  <si>
    <t>Bruna Talita Placido da Silva</t>
  </si>
  <si>
    <t>https://chat-conecta.recife.pe.gov.br/live/gbk46mwGmZkBp5Kb4</t>
  </si>
  <si>
    <t>duvidas sobre espera do TP</t>
  </si>
  <si>
    <t>https://chat-conecta.recife.pe.gov.br/live/WnX9coRh3pY62bxQC/contact-profile</t>
  </si>
  <si>
    <t xml:space="preserve">cervicalgia </t>
  </si>
  <si>
    <t>https://chat-conecta.recife.pe.gov.br/live/riYrEZdu6iJH2GYFp</t>
  </si>
  <si>
    <t>30/10/2023</t>
  </si>
  <si>
    <t>Joanna (16h13; 16h40): não atendeu</t>
  </si>
  <si>
    <t>Joanna: Refere melhora da cefaleia. PA 110 x 80.</t>
  </si>
  <si>
    <t>Ligar para 994288154 -(Marta - ainda não iniciado PN pra enviar notificação)</t>
  </si>
  <si>
    <t>Patricia Antonio Rozario Sampaio de Brito</t>
  </si>
  <si>
    <t>08170030455</t>
  </si>
  <si>
    <t>https://chat-conecta.recife.pe.gov.br/live/SYQSsPFz88DojgDkr</t>
  </si>
  <si>
    <t>https://chat-conecta.recife.pe.gov.br/live/QQHB76xp4snCprhQe</t>
  </si>
  <si>
    <t>https://chat-conecta.recife.pe.gov.br/live/RHdf6zARviW3RTZs7/room-info</t>
  </si>
  <si>
    <t>Lari (16h30) Paciente atendida na Barros. Recebeu atestado médico de 5 dias.</t>
  </si>
  <si>
    <t>https://chat-conecta.recife.pe.gov.br/live/sjp4fHCpZN2EdD6TF</t>
  </si>
  <si>
    <t>18/10/2023</t>
  </si>
  <si>
    <t>Joanna (10h30): não atendeu</t>
  </si>
  <si>
    <t>Apresentou febre ontem, foi à Policlínica e Maternidade Arnaldo Marques, prescrito Dipirona e Histamin. Refere melhora da tosse e febre. Mantém coriza e congestão nasal. Nega sinais de alerta e outras queixas obstétricas. Cd: Oriento paciente sobre sinais de alerta, etiqueta respiratória, isolamento domiciliar; Oriento manutenção do pré-natal em APS; Realizar TR Covid-19 a partir do 3º dia de início dos sintomas; Informo monitoramento pela equipe do Atende Gestante em 04/03/24.</t>
  </si>
  <si>
    <t>Encontra-se no 3º dia de inícios dos sintomas, mantém tosse, nega sinais de alerta e queixas obstétricas. Cd: Oriento sinais de alerta; realizar TR Covid.</t>
  </si>
  <si>
    <t>Ketheury Andrade dos Santos</t>
  </si>
  <si>
    <t>https://chat-conecta.recife.pe.gov.br/live/p2vBwFrHyey6KJ8QS</t>
  </si>
  <si>
    <t xml:space="preserve"> 22/05/2023</t>
  </si>
  <si>
    <t>Dúvidas quanto ao tempo de gestação e parto, secreção vaginal</t>
  </si>
  <si>
    <t xml:space="preserve">Ana Flavia Monte dos Santos </t>
  </si>
  <si>
    <t>https://chat-conecta.recife.pe.gov.br/live/z5uQiZpT6euzZFBE8</t>
  </si>
  <si>
    <t>04/09/2023</t>
  </si>
  <si>
    <t>(08h15) Gestante atendida na urgência, onde foi prescrito ATB para ITU. Monitorar para relembrar da coleta da urocultura de controle</t>
  </si>
  <si>
    <t>https://chat-conecta.recife.pe.gov.br/live/h3tcthEo7mP3uEaEP</t>
  </si>
  <si>
    <t>Dúvida sobre quando deve ir à maternidade</t>
  </si>
  <si>
    <t>https://chat-conecta.recife.pe.gov.br/live/NADNosEkTjceY7Haw</t>
  </si>
  <si>
    <t>Mobilograma alterado, encaminhada à urgência.</t>
  </si>
  <si>
    <t>09h Realizado monitoramento. Paciente em curva de melhora. Sem novos sintomas</t>
  </si>
  <si>
    <t>Joanna (10h; 15h30; 16h30): não atendeu</t>
  </si>
  <si>
    <t>Maria Thayna Santos Lima</t>
  </si>
  <si>
    <t>https://chat-conecta.recife.pe.gov.br/live/wfa9GqJJdGjRiWgMQ</t>
  </si>
  <si>
    <t>Às 15h25, não atendeu a ligação.</t>
  </si>
  <si>
    <t xml:space="preserve">taty (16:40) paciente nao atendeu </t>
  </si>
  <si>
    <t>https://chat-conecta.recife.pe.gov.br/live/px9DHTxRrRPFJmp7S/user-info</t>
  </si>
  <si>
    <t>Taty (11:32) chama 2x e da oculpado</t>
  </si>
  <si>
    <t xml:space="preserve">Taty (16:38) paciente nao atendeu </t>
  </si>
  <si>
    <t xml:space="preserve">Taty(08:17) Paciente não atendeu (10:10) não atendeu </t>
  </si>
  <si>
    <t>Joanna (16h): não atendeu</t>
  </si>
  <si>
    <t>Averiguar se conseguiu agendar consulta de PN na USF Macaxeira</t>
  </si>
  <si>
    <t>Ana Flavia Monte dos Santos</t>
  </si>
  <si>
    <t>https://chat-conecta.recife.pe.gov.br/live/EMcanWTfPr6Ng4jXT/room-info</t>
  </si>
  <si>
    <t>RHAYZA</t>
  </si>
  <si>
    <t>Rhayza (10:40) paciente relata melhora dos sintomais, nao relata queixas no momento, refere termino do tratamento em 12/03/24</t>
  </si>
  <si>
    <t>Ligar para relembrar coleta de urocultura de controle</t>
  </si>
  <si>
    <t>Maria Eduarda da Silva Seabra</t>
  </si>
  <si>
    <t>https://chat-conecta.recife.pe.gov.br/live/Sy46W4jsemsCMYgtx</t>
  </si>
  <si>
    <t>11/06/2023</t>
  </si>
  <si>
    <t>Lari (8h50) Pct refere persistência de tosse e secreção amarelada. Vai iniciar ATB hoje</t>
  </si>
  <si>
    <t>https://chat-conecta.recife.pe.gov.br/live/LRsh5bpfvmMQFkw28/room-info</t>
  </si>
  <si>
    <t>Camilla (8h:30) Gestante atendeu o telefone, mas não entrou no Hopchat. Quando ligo novamente, não atende.</t>
  </si>
  <si>
    <t>Monitoramento realizado. Refere melhora dos sintomas da mastite. Novo monitoramento amanhã E AGENDADA TINC com médico da equipe para passar o caso. Consulta puerperal domiciliar à ser realizada pela equipe da APS em breve.</t>
  </si>
  <si>
    <t>https://chat-conecta.recife.pe.gov.br/live/zYNniGJ7Yie65RXsD</t>
  </si>
  <si>
    <t>Dor muscular</t>
  </si>
  <si>
    <t>https://chat-conecta.recife.pe.gov.br/live/dM2kPndQJAA5unEEG</t>
  </si>
  <si>
    <t>Prurido em MMII</t>
  </si>
  <si>
    <t>https://chat-conecta.recife.pe.gov.br/live/n6W7QqcXPD3vFARLx</t>
  </si>
  <si>
    <t>Joanna (12h30; 14h30; 17h20): não atendeu</t>
  </si>
  <si>
    <t>https://chat-conecta.recife.pe.gov.br/live/evxhWYwv3tS6Su4ng/room-info</t>
  </si>
  <si>
    <t xml:space="preserve">Taty ( 08:34) paciente refere melhora de forma geral do quadro, porem ainda com tosse produtiva e coriza, nega febre e outro sinais de alerta. </t>
  </si>
  <si>
    <t xml:space="preserve">Isabelle Thamires da Silva Dias </t>
  </si>
  <si>
    <t>https://chat-conecta.recife.pe.gov.br/live/2P2GffpuGdTo8fPuZ/user-info</t>
  </si>
  <si>
    <t>26/11/2023</t>
  </si>
  <si>
    <t>Rhayza: Conduta: Procurar APS e uso de dipirona S/N - Observação: averiguar se conseguiu acesso A APS</t>
  </si>
  <si>
    <t xml:space="preserve">ligar as 11h, avaliar PA </t>
  </si>
  <si>
    <t>https://chat-conecta.recife.pe.gov.br/live/cdezKR43nd7qaKTLR/room-info</t>
  </si>
  <si>
    <t>Joanna (12h30): não atendeu</t>
  </si>
  <si>
    <t>Refere mamas flácidas, macias e sem eritema. Sem novas queixas.</t>
  </si>
  <si>
    <t>https://chat-conecta.recife.pe.gov.br/live/vEmJokMMcRCuZcpJe</t>
  </si>
  <si>
    <t>rhayza.jordao@recife.pe.gov.br</t>
  </si>
  <si>
    <t>https://chat-conecta.recife.pe.gov.br/live/TmPirrjLAuzkkNfAd</t>
  </si>
  <si>
    <t>26/10/2023</t>
  </si>
  <si>
    <t>Ligar para 81 996713494</t>
  </si>
  <si>
    <t>Vanessa Maria dos Santos</t>
  </si>
  <si>
    <t>07262847422</t>
  </si>
  <si>
    <t>https://chat-conecta.recife.pe.gov.br/live/ENfvChr3AFyNfFTF5</t>
  </si>
  <si>
    <t>28/07/2023</t>
  </si>
  <si>
    <t>ianne (15h20) paciente não atende, mas pelo PEC foi atendida em APS e iniciado tratamento</t>
  </si>
  <si>
    <t>Foi à consulta de PN no CS Prof Joaquim Cavalcante; prescrito Metronidazol. Já iniciou tratamento. Nega novas queixas.</t>
  </si>
  <si>
    <t xml:space="preserve">Vitoria Alves de Oliveira Cavalcanti </t>
  </si>
  <si>
    <t>https://chat-conecta.recife.pe.gov.br/live/HzXvKzPZYoeLgwCNQ/user-info#&amp;gid=1&amp;pid=7</t>
  </si>
  <si>
    <t>Joanna (14h; 14h40; 17h20; 18h30): não atendeu</t>
  </si>
  <si>
    <t>Janifer Lopes dos Santos</t>
  </si>
  <si>
    <t>https://chat-conecta.recife.pe.gov.br/live/WTvhEhcSBfZmvMapq</t>
  </si>
  <si>
    <t>Joanna (11h; 13h40; 17h50): não atendeu</t>
  </si>
  <si>
    <t>Ligar às 11h --&gt; 81997635371</t>
  </si>
  <si>
    <t>https://chat-conecta.recife.pe.gov.br/live/WQjsu2vAdJxxMYepc</t>
  </si>
  <si>
    <t>(Thiago) Às 13:44h, usuária não atendeu à chamada.</t>
  </si>
  <si>
    <t>(Thiago) Às 17:00h, usuária não atendeu à chamada.</t>
  </si>
  <si>
    <t>Adrielly Alves da Silva</t>
  </si>
  <si>
    <t>https://chat-conecta.recife.pe.gov.br/live/YGzHPYudmJwTFbPKc/room-info</t>
  </si>
  <si>
    <t>13/12/2023</t>
  </si>
  <si>
    <t xml:space="preserve">ARBOVIROSE </t>
  </si>
  <si>
    <t>Foi à Maternidade Bandeira Filho, realizou EAS e hemograma, descartou-se arbovirose, fez hidratação EV. Prescrito Buscopan, Dramin e Vit C.  Apresentou novos episódios de vômito quando chegou em casa. Mantém mialgia. Ainda não fez uso do Dramin.</t>
  </si>
  <si>
    <t>Monitorar até o D8 diariamente, hoje D5</t>
  </si>
  <si>
    <t>Wendy Oliveira Duarte</t>
  </si>
  <si>
    <t>https://chat-conecta.recife.pe.gov.br/live/6rQTMJBz8QNXJ2dWM/user-info</t>
  </si>
  <si>
    <t>(Thiago) Usuária não atende à chamada.</t>
  </si>
  <si>
    <t>(Thiago) Gestante refere melhora dos sintomas.</t>
  </si>
  <si>
    <t>https://chat-conecta.recife.pe.gov.br/live/CQgs3L2stMHpDg2f5/user-info</t>
  </si>
  <si>
    <t>ARBOVIROSE</t>
  </si>
  <si>
    <t>(Thiago) Gestante no D6 dos sintomas, sem novas queixas, com melhora do quadro.</t>
  </si>
  <si>
    <t>Dayse da Silva de França</t>
  </si>
  <si>
    <t>https://chat-conecta.recife.pe.gov.br/live/vPCgH7z5oEurBMoR9</t>
  </si>
  <si>
    <t xml:space="preserve"> 18/06/2023</t>
  </si>
  <si>
    <t>Varicela</t>
  </si>
  <si>
    <t>https://chat-conecta.recife.pe.gov.br/live/AtpMmBNsSsd5enMtp</t>
  </si>
  <si>
    <t>Dengue/Arbovirose</t>
  </si>
  <si>
    <t xml:space="preserve">Taty ( 11:32) paciente Hoje, D7 do curso dos sintomas, refere melhora dos sintomas, sem surgimento de novas queixas, nega sinais de alerta </t>
  </si>
  <si>
    <t>Barbara Stela Bastos do Nascimento Guedes</t>
  </si>
  <si>
    <t>https://chat-conecta.recife.pe.gov.br/live/tPQfXcGR3cW8DgN3x/user-info</t>
  </si>
  <si>
    <t>https://chat-conecta.recife.pe.gov.br/live/hMFpmpb4XmmzZijYj</t>
  </si>
  <si>
    <t>08:37 (Taty) Gestante refere ausência de qualquer sintoma urinário e/ou de outra ordem no momento. conclusão do tratamento para ITU em 12/03/2024, URO marcada para 21/03/2024</t>
  </si>
  <si>
    <t>Ligar para relembrar coleta de urocultura de controle, agendada para 20/03</t>
  </si>
  <si>
    <t>https://chat-conecta.recife.pe.gov.br/live/PS9ohphYmJs7ekBQC</t>
  </si>
  <si>
    <t>(Thiago) Às 13:51h, usuária não atendeu à chamada.</t>
  </si>
  <si>
    <t>(Thiago) Às 17:30h, paciente informa que não melhorou da odontalgia, procurará a urgência amanhã pela manhã.</t>
  </si>
  <si>
    <t>Ligar a partir das 14h.</t>
  </si>
  <si>
    <t>(Thiago) Às 14:06h, usuária não atendeu à chamada.</t>
  </si>
  <si>
    <t>(Thiago) Às 18:00h, usuária não atendeu à chamada.</t>
  </si>
  <si>
    <t>Ana Karolynne da Silva</t>
  </si>
  <si>
    <t>https://chat-conecta.recife.pe.gov.br/live/Hukg4WMttHjaQfmua</t>
  </si>
  <si>
    <t>13:12 (taty) não procurou a unidade hoje, porem  ACS consulta para amanha 12/03/24, refere permanecer com os mesmos sintomas</t>
  </si>
  <si>
    <t>(Thiago) A gestante foi encaminhada para APS, sugiro ligar à tarde.</t>
  </si>
  <si>
    <t>https://chat-conecta.recife.pe.gov.br/live/NinevsZWkd7v7tjwM</t>
  </si>
  <si>
    <t>13:50 (taty)  Gestante informa que procurou atendimento na APS, fez restauração e limpeza dentaria , refere melhora dos sintomas e nega qualquer queixa obstetrica  e urinaria.</t>
  </si>
  <si>
    <t>Checar acesso à urgência odontológica, ligar após as 14h.</t>
  </si>
  <si>
    <t>https://chat-conecta.recife.pe.gov.br/live/Ak8ACWN7eEyjReRFB</t>
  </si>
  <si>
    <t>Joanna (9h26; 13h30): não atendeu</t>
  </si>
  <si>
    <t>Foi atendida na USF Três Carneiros de Baixo Zumbi do Pacheco (12/03), prescrito Nitrato de Miconazol (iniciará uso hoje). Nega novas queixas e sinais de alerta.</t>
  </si>
  <si>
    <t>2607/2023</t>
  </si>
  <si>
    <t>Nicole Helen da Silva</t>
  </si>
  <si>
    <t>https://chat-conecta.recife.pe.gov.br/live/Cvw4vTTyYDmSHdWDh/room-info</t>
  </si>
  <si>
    <t>08:35 (Camilla) Gestante não atendeu.</t>
  </si>
  <si>
    <t>14:25 (Camilla) Gestante não atendeu</t>
  </si>
  <si>
    <t>https://chat-conecta.recife.pe.gov.br/live/mGgiXxJAyqQtgm4uK/room-info</t>
  </si>
  <si>
    <t>Joanna (9h27; 13h30; 16h50): indisponível</t>
  </si>
  <si>
    <t xml:space="preserve"> Luana da Silva Santos</t>
  </si>
  <si>
    <t>07202895480</t>
  </si>
  <si>
    <t>https://chat-conecta.recife.pe.gov.br/live/kptrbhaTzrK2ktr8A</t>
  </si>
  <si>
    <t>prurido e lesões no corpo</t>
  </si>
  <si>
    <t>Joanna (9h28): não atendeu</t>
  </si>
  <si>
    <t>Encontra-se no 2º dia de uso da Loratadina, refere melhora do prurido e nega aparecimento de novas lesões. Observa que as lesões estão mais claras. Nega novas queixas e sinais de alerta.</t>
  </si>
  <si>
    <t>Dyana Vitoria Ferreira dos Santos</t>
  </si>
  <si>
    <t>https://chat-conecta.recife.pe.gov.br/live/7JTzz8yk2jZDFyJax</t>
  </si>
  <si>
    <t>Apresentação pélvica</t>
  </si>
  <si>
    <t>Luana da Silva Santos</t>
  </si>
  <si>
    <t>https://chat-conecta.recife.pe.gov.br/live/Pb5TZurtYb5jQtBtZ</t>
  </si>
  <si>
    <t>(Thiago) Às 08:27h, gestante refere melhora dos sintomas, sem novas queixas.</t>
  </si>
  <si>
    <t>https://chat-conecta.recife.pe.gov.br/live/N2Ph4b9paYK9MTEaN/uploaded-files-list</t>
  </si>
  <si>
    <t>Ketiny Magna Vasconcelos Santos</t>
  </si>
  <si>
    <t>https://chat-conecta.recife.pe.gov.br/live/9eKDYs2n3T9BkNyqm/room-info</t>
  </si>
  <si>
    <t>16/09/2023</t>
  </si>
  <si>
    <t>liliana.ufpe2015@gmail.com</t>
  </si>
  <si>
    <t>Foi ontem à Maternidade Barros Lima, prescrito Maleato de dexclorfeniramina + betametasona (ainda não iniciou uso), orientada a retornar hoje para realizar USG obstétrica e reavaliação. No momento, encontra-se na Maternidade aguardando realizar USG. Refere que acordou sentindo falta de ar.</t>
  </si>
  <si>
    <t>Lais Carine Guimaraes Viana Cancio</t>
  </si>
  <si>
    <t>09810823436</t>
  </si>
  <si>
    <t>https://chat-conecta.recife.pe.gov.br/live/6GHMrL8i9sSiG3vea</t>
  </si>
  <si>
    <t>(Thiago) Às 09:02h, gestante não atende à ligação.</t>
  </si>
  <si>
    <t>15:43 (taty) Paciente nao atendeu</t>
  </si>
  <si>
    <t xml:space="preserve">09:51 ( rhayza) Paciente não atenteu </t>
  </si>
  <si>
    <t xml:space="preserve">16:45 (taty) Foi à Maternidade Barros Lima, realizou USG obstétrica (bolsa integra) e reavaliação. relata que melhorou dos sintomas gripais, porem esta de repouso, pois colo fino (SIC). nega queixas obstetricas e urinarias </t>
  </si>
  <si>
    <t>https://chat-conecta.recife.pe.gov.br/live/DnzFR8wLjocHu8g8S/user-info</t>
  </si>
  <si>
    <t xml:space="preserve">09:03 ( taty) Paciente nao atendeu </t>
  </si>
  <si>
    <t>15:45 (taty) Paciente internada na Maternidade Bandeira Filho, devido a mastite, refere esta em uso de dois antibioticos venosos, aguardando USG para definição de conduta, RN com a paciente</t>
  </si>
  <si>
    <t>Maria Mycaela Barbosa Teixeira</t>
  </si>
  <si>
    <t>https://chat-conecta.recife.pe.gov.br/live/QMZMLNgNogRCAjf9z/room-info</t>
  </si>
  <si>
    <t>dor em dente</t>
  </si>
  <si>
    <t>marianaccsodre@gmail.com</t>
  </si>
  <si>
    <t>Nathalia Pereira Torres da Silva</t>
  </si>
  <si>
    <t>https://chat-conecta.recife.pe.gov.br/live/q4Lqh5k3twcoQkHzd/user-info</t>
  </si>
  <si>
    <t xml:space="preserve">14:09 ( taty) gestante procurou atendimento na Policlinica Arnaldo Marques, onde foi avaliada, medicada e recebeu alta; hoje refere cefaleia, tosse , sem febre, refere boa vitalidade do feto, nega sinais de gravidade, sangramento, queixas urinarias e outras queixas obstetricas, em uso de dipirona de 6/6h se dor ou febre; </t>
  </si>
  <si>
    <t>VivianViviane Rodrigues Correia de Santana</t>
  </si>
  <si>
    <t>https://chat-conecta.recife.pe.gov.br/live/7abZaadnTfuFeqXPE</t>
  </si>
  <si>
    <t xml:space="preserve">09:17 (taty) Paciente não atendeu (13:22) paciente nao atendeu </t>
  </si>
  <si>
    <t xml:space="preserve">14:56 ( taty) Paciente nao procurou atendimento, refere melhora na Odontalgia, relatando  contrações irregulares (4 contrações hoje) boa vitalidade do feto, sem queixas obstetricas e urinarias </t>
  </si>
  <si>
    <t>Prurido e manchas em pele.</t>
  </si>
  <si>
    <t>https://chat-conecta.recife.pe.gov.br/live/W5JpNfn3g4cCTXGqy</t>
  </si>
  <si>
    <t>Nayale (11h30): Não atendeu à chamada (tentado 2x)</t>
  </si>
  <si>
    <t>Nayale (17h00): Não atendeu à chamada (tentado 2x)</t>
  </si>
  <si>
    <t>Haymé Alcazar da Conceição do Nascimento</t>
  </si>
  <si>
    <t>https://chat-conecta.recife.pe.gov.br/live/MRFPaXmqffehdBh6a</t>
  </si>
  <si>
    <t>Viviane Rodrigues Correia de Santana</t>
  </si>
  <si>
    <t>https://chat-conecta.recife.pe.gov.br/live/5pD4oeWYp9P9SBztp</t>
  </si>
  <si>
    <t xml:space="preserve">09:53 (taty)Paciente nao procurou atendimento, refere melhora da Odontalgia, desde de ontem sem uso de analgesico, relata que esta a caminho da maternidade pois medica do PN encaminhou, refere boa vitalidade do feto, sem queixas obstetricas e urinarias </t>
  </si>
  <si>
    <t>NÃO SE APLICA</t>
  </si>
  <si>
    <t>https://chat-conecta.recife.pe.gov.br/live/gAAN4dZFDbEejhCAx/user-info</t>
  </si>
  <si>
    <t>Ana Carla Severo da Silva</t>
  </si>
  <si>
    <t>https://chat-conecta.recife.pe.gov.br/live/kAvqhexneJWkGC9TD/user-info</t>
  </si>
  <si>
    <t>Nayale (11h32): Não atendeu à chamada (tentado 2x)</t>
  </si>
  <si>
    <t>Nayale (17h06): Não atendeu à chamada (tentado 2x)</t>
  </si>
  <si>
    <t>https://chat-conecta.recife.pe.gov.br/live/ai3gqa3TxSHDrtEFS/user-info</t>
  </si>
  <si>
    <t>corrimento vaginal mais sangramento discreto</t>
  </si>
  <si>
    <t>Nayale (11h35):Puérpera solicita ligação a partir das 14h</t>
  </si>
  <si>
    <t>Nayale (14:32 e 17:08):Puérpera não atendeu à chamada (tentado 3x)</t>
  </si>
  <si>
    <t>Roseana da Silva Ribeiro</t>
  </si>
  <si>
    <t>https://chat-conecta.recife.pe.gov.br/live/s9iwo5z9PmJG9m8aP/user-info</t>
  </si>
  <si>
    <t>04/01/2024</t>
  </si>
  <si>
    <t>Joanna (8h27; 15h11): não atendeu</t>
  </si>
  <si>
    <t>Foi à USF ontem, porém, não aguardou atendimento devido superlotação. Retornará amanhã (22/03) para nova tentativa. Refere melhora do corrimento vaginal, mas mantém prurido. Nega aparecimento de sintomas e sinais de alerta.</t>
  </si>
  <si>
    <t>https://chat-conecta.recife.pe.gov.br/live/3EXzH8GWoH3xqdZYt/room-info</t>
  </si>
  <si>
    <t>https://chat-conecta.recife.pe.gov.br/live/kEKTHd5prXyRK3S5G/user-info</t>
  </si>
  <si>
    <t>15:53 (Nayale) Marido atende ligação e esposa não pode atender no momento. Estão indo para a maternidade Cisam. Retornarei ligação após as 17h.</t>
  </si>
  <si>
    <t>17:25 (Nayale) Retorno ligação, mas gestante não atende às chamadas (tentado 3x).</t>
  </si>
  <si>
    <t>Não consegui inserir a falta da gestante na agenda por falta de acesso. Registro aqui.</t>
  </si>
  <si>
    <t>Angelina Silva de Santana</t>
  </si>
  <si>
    <t>https://chat-conecta.recife.pe.gov.br/live/ikYgnHT7sy9wyw7ey/uploaded-files-list</t>
  </si>
  <si>
    <t>03/07/2023</t>
  </si>
  <si>
    <t>Internada no HAM.</t>
  </si>
  <si>
    <t>https://chat-conecta.recife.pe.gov.br/live/asyNQWaZd4JqqPrdq</t>
  </si>
  <si>
    <t>Rhayza (10:05; 13:33h): nao atendeu</t>
  </si>
  <si>
    <t>Joanna (16h; 17h15): não atendeu</t>
  </si>
  <si>
    <t>Silvia Almeida Simoes Ferreira</t>
  </si>
  <si>
    <t>https://chat-conecta.recife.pe.gov.br/live/25jhQpavZtEnGo5aF/user-info</t>
  </si>
  <si>
    <t>Rhayza (13:00) atendeu . Retornar às 16 h.</t>
  </si>
  <si>
    <t>Rhayza (16:28) : nao atendeu. Joanna (17h16): não atendeu</t>
  </si>
  <si>
    <t>Gestante aguardando a vez na consulta*</t>
  </si>
  <si>
    <t>https://chat-conecta.recife.pe.gov.br/live/j4im6HCvysDEtbkmD/user-info</t>
  </si>
  <si>
    <t>Refere melhora da cefaleia após uso de Dipirona. Não foi à USF devido estar no tramalho, mas vai amanhã. Nega surgimento de novos sintomas e sinais de alerta. Mantém odinofagia e congestão nasal.</t>
  </si>
  <si>
    <t>Joana Darc Barbosa Santos Torres</t>
  </si>
  <si>
    <t>https://chat-conecta.recife.pe.gov.br/live/NEkvcPtG5wsDcJMSs</t>
  </si>
  <si>
    <t>Internada na Barros lima</t>
  </si>
  <si>
    <t>Pricila Celice Lima dos Santos</t>
  </si>
  <si>
    <t>06466604462</t>
  </si>
  <si>
    <t>https://chat-conecta.recife.pe.gov.br/live/Zxu52bnSXjvwrH5uq/user-info</t>
  </si>
  <si>
    <t>Dor lombar com irradiação para MMII</t>
  </si>
  <si>
    <t>(Camilla) Às 09h50, gestante informa que está aguardando a consulta pré-natal na unidade de saúde. Ligar novamente à tarde</t>
  </si>
  <si>
    <t xml:space="preserve">(Lili) 14:28 Gestante não atendeu. </t>
  </si>
  <si>
    <t>Atendimento compartilhado (Obstetra + MFC + enfer. da USF)</t>
  </si>
  <si>
    <t>22/03 (Lari) Paciente não atendeu as 13h40</t>
  </si>
  <si>
    <t>16h Paciente sem queixas. Avaliada hoje na unidade. Monitoramento em 2h</t>
  </si>
  <si>
    <t>Não foi à USF. Mantém queixa. Cd: Reforço importância do atendimento presencial.</t>
  </si>
  <si>
    <t>Rafaela Francisca de Lima</t>
  </si>
  <si>
    <t>https://chat-conecta.recife.pe.gov.br/live/Bm4oDB4XkNbswdswE/user-info</t>
  </si>
  <si>
    <t>Planejamento familiar - laqueadura tubária</t>
  </si>
  <si>
    <t>Kaylane Danielle Barros Alves</t>
  </si>
  <si>
    <t>https://chat-conecta.recife.pe.gov.br/live/XoAFTDcAwgYpiQYG8/contact-profile</t>
  </si>
  <si>
    <t>17/12/2023</t>
  </si>
  <si>
    <t>damartine.feitosa@recife.pe.gov.br</t>
  </si>
  <si>
    <t>Joanna (23/03 - 11h; 16h30): não atendeu (falta registrada no PEC)</t>
  </si>
  <si>
    <t>https://chat-conecta.recife.pe.gov.br/live/KrgmYWN9T5MWHoe6i/user-info</t>
  </si>
  <si>
    <t>Questionar vacinação para covid. (Lari)  Não atendeu Rhayza (11:00)</t>
  </si>
  <si>
    <t>Nao atendeu/Ocupado (15:30) Rhayza</t>
  </si>
  <si>
    <t>Thayna Cristina de Moura Andrade</t>
  </si>
  <si>
    <t>09345624406</t>
  </si>
  <si>
    <t>https://chat-conecta.recife.pe.gov.br/live/YA7PGXog8CQx3cMbP/user-info</t>
  </si>
  <si>
    <t>Dúvidas USG</t>
  </si>
  <si>
    <t>joao.moreira@recife.pe.gov.br</t>
  </si>
  <si>
    <t>https://chat-conecta.recife.pe.gov.br/live/od6bjHeqe6hrumXao/room-info</t>
  </si>
  <si>
    <t>https://chat-conecta.recife.pe.gov.br/live/gZQyeGQWkHrN4v3y8</t>
  </si>
  <si>
    <t>19.11.23</t>
  </si>
  <si>
    <t>nayale.andrade@recife.pe.gov.br</t>
  </si>
  <si>
    <t>Paciente com 2 PEC - Verificar pelo SUS</t>
  </si>
  <si>
    <t>(Camilla) Gestante está na unidade de saúde, acabou de ser atandida no pré-natal. Foi prescrito tratamento para corrimento. Dou alta do episódio.</t>
  </si>
  <si>
    <t xml:space="preserve">Sthefany Kelly Ferreira Rios </t>
  </si>
  <si>
    <t>https://chat-conecta.recife.pe.gov.br/live/2qcsxzkmHud6yC6xS</t>
  </si>
  <si>
    <t>Náuseas, Vômitos e Diarreia</t>
  </si>
  <si>
    <t xml:space="preserve">Atendeu mas não respondeu no hopchat </t>
  </si>
  <si>
    <t>Não atendeu (15:32)</t>
  </si>
  <si>
    <t>https://chat-conecta.recife.pe.gov.br/live/Nf58wxS2ZqosHdQKv</t>
  </si>
  <si>
    <t>19/11/2023</t>
  </si>
  <si>
    <t>Joanna (8h49): não atendeu</t>
  </si>
  <si>
    <t xml:space="preserve">Em 24/03 foi à UPA de Torrões devido falta de ar. Foi avaliada e orientada quanto os sinais de alerta, recomendado uso de sintomáticos. Refere que se sente melhor. Mantém tosse produtiva, congestão nasal. Nega dispneia, febre e outros sinais de alerta. Sem queixas obstétricas. </t>
  </si>
  <si>
    <t>Thais Lima Gomes da Silva</t>
  </si>
  <si>
    <t>09413612412</t>
  </si>
  <si>
    <t>https://chat-conecta.recife.pe.gov.br/live/4753F3KtSvfevPb2A/user-info</t>
  </si>
  <si>
    <t>09/02/2024</t>
  </si>
  <si>
    <t>LILIANA</t>
  </si>
  <si>
    <t>Joanna (8h51): não atendeu</t>
  </si>
  <si>
    <t xml:space="preserve">Lili (15:13): Paciente refere </t>
  </si>
  <si>
    <t>Maria Eduada Seabra</t>
  </si>
  <si>
    <t>https://chat-conecta.recife.pe.gov.br/live/9auyC4igp6ranYjno</t>
  </si>
  <si>
    <t>14/12/2023</t>
  </si>
  <si>
    <t>Gestante queixa-se ainda dos sintomas. Encaminho à maternidade; Novo monitoramento amanhã</t>
  </si>
  <si>
    <t>Rosineide Martins Rodrigues</t>
  </si>
  <si>
    <t>https://chat-conecta.recife.pe.gov.br/live/8QZHNfWYfYBY5d3WN/user-info</t>
  </si>
  <si>
    <t>(Lari) 8h30 Paciente não atendeu</t>
  </si>
  <si>
    <t>Puérpera tirou os pontos em casa, com a irmã que é técnica de enfermagem. FO com bordas coaptadas, porém, drenando secreção seropurulenta em pouca quantidade. Nega dor local, nega febre. Encaminho à urgência.</t>
  </si>
  <si>
    <t>2a opção de telefone 81996823412</t>
  </si>
  <si>
    <t>NAYALE</t>
  </si>
  <si>
    <t>Ligar às 15h (Nayale 15:00) realizado telemonitoramento. Manter telemonitoramento amanhã. Ligar após as 15h.</t>
  </si>
  <si>
    <t>Paciente com 2 PEC - verificar pelo SUS</t>
  </si>
  <si>
    <t>https://chat-conecta.recife.pe.gov.br/live/EHtnE6sbcNpQyzBaC</t>
  </si>
  <si>
    <t>https://chat-conecta.recife.pe.gov.br/live/ay7LhoFE426QwSKss</t>
  </si>
  <si>
    <t>dor em região de FO + disúria + tristeza puerperal (sugestivo de baby blues)+ dúvidas sobre os lóquios</t>
  </si>
  <si>
    <t>https://chat-conecta.recife.pe.gov.br/live/NhYQ4h4Dx4rAkJ4Qf/user-info</t>
  </si>
  <si>
    <t>Karina dos Santos Oliveira</t>
  </si>
  <si>
    <t>03437474480</t>
  </si>
  <si>
    <t>https://chat-conecta.recife.pe.gov.br/live/i3uhSft4dYh92Me9D/user-info</t>
  </si>
  <si>
    <t>10/01/2024</t>
  </si>
  <si>
    <t>(Camilla) Gestante refere que foi à urgencia ontem e foi prescrito tratamento para corrimento. Encerro caso e sugiro  TINC psiquiatria</t>
  </si>
  <si>
    <t>https://chat-conecta.recife.pe.gov.br/live/moBnukvQALRWdciJQ</t>
  </si>
  <si>
    <t>DAMARTINE</t>
  </si>
  <si>
    <t>(Dama - Gestante em curso de 14s3d pela DUM e 19s5d pela USG, com remissão dos sintomas gripais. Queixa hoje de corrimento  leitoso com grumos e prurido discreto, nega odor fétido e dispareunia. Oriento ir à urgência, atendimento realizado fora do horário da USF, monitoramento com 48h.</t>
  </si>
  <si>
    <t>https://chat-conecta.recife.pe.gov.br/live/R6Quiuv9X9TZet43i/room-info</t>
  </si>
  <si>
    <t xml:space="preserve">Lili- Puérpera refere vermelhidão, dormência e saída de secreção amarelada em pequena quantidade da F.O. Nega febre, nega outras queixas. Relata que foi na urgência obstétrica hoje pela manhã, onde foi avaliada por profissional da saúde, o qual orientou que a F.O não está infectada e solicitou USG de paredes abdominais (SIC). Paciente refere que não conseguiu realizar o exame e foi orientada a retornar na próxima semana. </t>
  </si>
  <si>
    <t xml:space="preserve">Emile Carolyne Paula da Silva </t>
  </si>
  <si>
    <t>https://chat-conecta.recife.pe.gov.br/live/GmpHMrNpYPAhk5Xwk/room-info</t>
  </si>
  <si>
    <t>29/07/2023</t>
  </si>
  <si>
    <t>Corticoterapia para gemelar</t>
  </si>
  <si>
    <t>Julia Gabriela Barbosa da Silva</t>
  </si>
  <si>
    <t>https://chat-conecta.recife.pe.gov.br/live/GeD6XYqdWxves5SmY/room-info</t>
  </si>
  <si>
    <t>Lesão de pele</t>
  </si>
  <si>
    <t>Atendeu mas não respondeu ao hopchat (10:46)</t>
  </si>
  <si>
    <t>Rhayza (14:07) não atendeu</t>
  </si>
  <si>
    <t>26/07/1997</t>
  </si>
  <si>
    <t>Dor na F.O</t>
  </si>
  <si>
    <t>Maria Eduarda Seabra</t>
  </si>
  <si>
    <t>https://chat-conecta.recife.pe.gov.br/live/Muzwt7rfvePosaEDc/user-info</t>
  </si>
  <si>
    <t>Atendeu mas não respondeu ao hopchat (12:05); às 12:19 informou que o link não estava funcionando.</t>
  </si>
  <si>
    <t xml:space="preserve">Rhayza (14:03) não atendeu </t>
  </si>
  <si>
    <t>https://chat-conecta.recife.pe.gov.br/live/MHh2vSgFYtWZLYY8z/room-info</t>
  </si>
  <si>
    <t>Solicitação de reagendamento do PNAR</t>
  </si>
  <si>
    <t>Bruna Felipe da Silva</t>
  </si>
  <si>
    <t>https://chat-conecta.recife.pe.gov.br/live/ggCbwmwJFmL9WkFAk</t>
  </si>
  <si>
    <t>17/11/2023</t>
  </si>
  <si>
    <t>Lari ( 8h30) não atendeu</t>
  </si>
  <si>
    <t>8h40 (Lari) FO com bom aspecto. Oriento seguimento puerperal. Ag avaliação da FO pelo posto. No momento, sem sinais de infecção.</t>
  </si>
  <si>
    <t>https://chat-conecta.recife.pe.gov.br/live/KuuEkXbvHqdxsyCXF/members-list</t>
  </si>
  <si>
    <t>Joanna (8h33; 16h26): não atendeu (falta registrada no PEC)</t>
  </si>
  <si>
    <t>A gestante entrou em contato via demanda espontânea após ser realizado o registro de falta. informa que não foi ao serviço de saúde e que irá amanhã na Maternidade Prof. Bandeira Filho. Refere aumento da quantidade corrimento vaginal de aspecto leitoso e grumoso, ardência e dor durante coito, prurido um pouco mais intenso. Observou que após relação sexual o corrimento ficou rosado. Apresenta melhora dos sintomas gripais, mantendo apenas tosse residual. Encontra-se no 7º dia do início dos sintomas. Nega outras queixas e sinais de alerta. Refere boa movimentação fetal.</t>
  </si>
  <si>
    <t>Nielly Vitoria Cabral de Lima</t>
  </si>
  <si>
    <t>https://chat-conecta.recife.pe.gov.br/live/xpXmhirL8io26rffv/room-info#&amp;gid=1&amp;pid=5</t>
  </si>
  <si>
    <t>Dúvidas sobre DMG</t>
  </si>
  <si>
    <t>https://chat-conecta.recife.pe.gov.br/live/nZ8xf4m7NG7pZxxDr/room-info</t>
  </si>
  <si>
    <t>Jessica Maria Gomes dos Santos</t>
  </si>
  <si>
    <t>https://chat-conecta.recife.pe.gov.br/live/HrqqpdChi9dX3Ltcb/room-info</t>
  </si>
  <si>
    <t>05/09/2023</t>
  </si>
  <si>
    <t>Joanna (8h34; 16h27): não atendeu (falta registrada no PEC)</t>
  </si>
  <si>
    <t>Diana Karolainy Rodrigues dos Santos</t>
  </si>
  <si>
    <t>https://chat-conecta.recife.pe.gov.br/live/uHe4mKBqRAeWfA4wP/room-info</t>
  </si>
  <si>
    <t>dor na panturrilha</t>
  </si>
  <si>
    <t>Refere melhora da dor na panturrilha. Queixa-se de disúria há 4 dias. Encaminhada para avaliação presencial.</t>
  </si>
  <si>
    <t>Micaela Caroline de Franca Santos</t>
  </si>
  <si>
    <t>ligar as 10h</t>
  </si>
  <si>
    <t>Às 15h, telefone não completa a ligação</t>
  </si>
  <si>
    <t>Bruna Vitoria Ferreira da Silva Leao</t>
  </si>
  <si>
    <t>https://chat-conecta.recife.pe.gov.br/live/YDoPoFdKGedhJXJPi</t>
  </si>
  <si>
    <t>Rhayza não atendeu (15:07)</t>
  </si>
  <si>
    <t>Na segunda tentativa de monitoriamento recusou videochamada; monitoramento feito por telefone.</t>
  </si>
  <si>
    <t>https://chat-conecta.recife.pe.gov.br/live/Lxn8JgfrCpJPDJhxc</t>
  </si>
  <si>
    <t>Joanna (9h08; 16h28): não atendeu (falta registrada no PEC)</t>
  </si>
  <si>
    <t>Andreyce Ritchelly Gomes Rocha</t>
  </si>
  <si>
    <t>https://chat-conecta.recife.pe.gov.br/live/HQ6fdo5JeP47w4vod/room-info</t>
  </si>
  <si>
    <t>22/08/2023</t>
  </si>
  <si>
    <t>Contrações de treinamento</t>
  </si>
  <si>
    <t>28/06/2023</t>
  </si>
  <si>
    <t>Refere que não foi ao atendimento presencial, pois a PA estava normal (110 x 80) e melhorou após tomar dipirona novamente.</t>
  </si>
  <si>
    <t>https://chat-conecta.recife.pe.gov.br/live/yjtriDpr2RMjeoC9b/room-info</t>
  </si>
  <si>
    <t xml:space="preserve">08:19 ( taty) Paciente não entendeu 14:54 </t>
  </si>
  <si>
    <t>15:19 ( taty) FO sem sinais Flogidtico, dada orientaçoes quanto a assepsia de FO</t>
  </si>
  <si>
    <t>https://chat-conecta.recife.pe.gov.br/live/oG2z9vM5QSw6zrRAS/members-list</t>
  </si>
  <si>
    <t>Dor na panturrilha</t>
  </si>
  <si>
    <t>Rhayza (09:57) não atendeu</t>
  </si>
  <si>
    <t>Rhayza (17:20) nao atendeu</t>
  </si>
  <si>
    <t>https://chat-conecta.recife.pe.gov.br/live/nDYcwrSgZvQiTHymH/room-info#&amp;gid=1&amp;pid=3</t>
  </si>
  <si>
    <t>Dor precordial</t>
  </si>
  <si>
    <t>https://chat-conecta.recife.pe.gov.br/live/kq7N7Q8tk6tTJ4CKL</t>
  </si>
  <si>
    <t>Monitormanto realizado por contato telefonico pois pct estava internada na maternidade (Bandeira Filho)</t>
  </si>
  <si>
    <t>https://chat-conecta.recife.pe.gov.br/live/yLuFbzRfShcepYTrr</t>
  </si>
  <si>
    <t>Nayale (12:10) Gestante ainda não foi ao serviço de saúde. Reforço necessidade de ir ao serviço e informo que amanhã haverá novo telemonitoramento.</t>
  </si>
  <si>
    <t>Vitoria da Silva Gomes</t>
  </si>
  <si>
    <t>https://chat-conecta.recife.pe.gov.br/live/R5njmNWXy5JEp8tJN</t>
  </si>
  <si>
    <t>duvidas sobre pos datismo</t>
  </si>
  <si>
    <t>13:37 (taty) refere dor na lombar e promodomos inicio 23/03/24. nega perdas vaginais, queixas urinarias. movimentos fetais presente consulta de PN amanha (02/04/2024)</t>
  </si>
  <si>
    <t xml:space="preserve">Saber se buscou a APS ou se entrou em TP   </t>
  </si>
  <si>
    <t>Thaylania Virginia Machado de Holanda Andrade</t>
  </si>
  <si>
    <t>01798823411</t>
  </si>
  <si>
    <t>https://chat-conecta.recife.pe.gov.br/live/B4GQcxZc6ibuhGshW/user-info</t>
  </si>
  <si>
    <t>Dor em MIE</t>
  </si>
  <si>
    <t>8h30 paciente não foi na APS, vai agora de manha. Ligar a tarde</t>
  </si>
  <si>
    <t>Elizangela Maria da Silva</t>
  </si>
  <si>
    <t>https://chat-conecta.recife.pe.gov.br/live/6xfmkWKrzGJh8rWaw</t>
  </si>
  <si>
    <t>15/06/2023</t>
  </si>
  <si>
    <t>Dúvida sobre idade gestacional</t>
  </si>
  <si>
    <t xml:space="preserve">08:35 ( taty) Paciente não entendeu </t>
  </si>
  <si>
    <t>15h10 (Camilla) telefone não completa a ligação (tento do fixo e do microsip)</t>
  </si>
  <si>
    <t>https://chat-conecta.recife.pe.gov.br/live/ix7ZKELXkkk5xSxiM</t>
  </si>
  <si>
    <t>17:00 Não atendeu</t>
  </si>
  <si>
    <t>Jeynielle Alcantara Lima Fortunato</t>
  </si>
  <si>
    <t>https://chat-conecta.recife.pe.gov.br/live/Qq6PCyv6qfSF2Fnz9/room-info</t>
  </si>
  <si>
    <t>Dúvida sobre o diagnóstico de DMG</t>
  </si>
  <si>
    <t>Jaynne de França Brito</t>
  </si>
  <si>
    <t>https://chat-conecta.recife.pe.gov.br/live/h75KyQ2xMyFt7JW8e/room-info</t>
  </si>
  <si>
    <t>Paloma Milena de Menezes Santos</t>
  </si>
  <si>
    <t>09421353420</t>
  </si>
  <si>
    <t>https://chat-conecta.recife.pe.gov.br/live/WKtEkDzzyAALsJ7wG/user-info</t>
  </si>
  <si>
    <t xml:space="preserve">08:44 ( taty) gestante procurou atendimento no Barão de lucena,pois na APS nao conseguiu,  realizou teste para covid 19 com resultado negativo, referHD dengue. hoje relata melhora da nausea, fadiga, sem febre, em uso de 1g de dipirona 8/8h, nega queixas urinarias e obstétricas </t>
  </si>
  <si>
    <t>Maria Flabyan Cricya Ventura Xavier</t>
  </si>
  <si>
    <t>https://chat-conecta.recife.pe.gov.br/live/nmndfFBEZbChWqFfs</t>
  </si>
  <si>
    <t xml:space="preserve">17:00 Não </t>
  </si>
  <si>
    <t>Dara Daiane Silva de Andrade</t>
  </si>
  <si>
    <t>01798674408</t>
  </si>
  <si>
    <t>https://chat-conecta.recife.pe.gov.br/live/Gk9zyRGqPAcBuR34g/room-info</t>
  </si>
  <si>
    <t>16h40 (Camilla) Gestante nega queixas. Pede para prescrever antibiótico dose unica para ITU. Compartilho atendimento com Damartine. Agendo monitoramento para dia 0/04</t>
  </si>
  <si>
    <t>Ligar à tarde</t>
  </si>
  <si>
    <t>https://chat-conecta.recife.pe.gov.br/live/9kBiBZ93vnRuMbfbo/room-info</t>
  </si>
  <si>
    <t>10:00 (Camilla) tentativa de contato sem sucesso. Porém, visualizo no PEC que a gestante compareceu ao PN hoje e tem uma reavaliação na APS agendada para amanhã. Encerro o caso, considerando que houve a devida apropriação do cuidado pela APS.</t>
  </si>
  <si>
    <t>Luane Campelo de Oliveira</t>
  </si>
  <si>
    <t>https://chat-conecta.recife.pe.gov.br/live/6raoowi89PgCn9Wi6/user-info</t>
  </si>
  <si>
    <t>Larissa Jussiely Nascimento de Souza</t>
  </si>
  <si>
    <t>https://chat-conecta.recife.pe.gov.br/live/gAkvXg8mJAKtrQx8R/room-info#&amp;gid=1&amp;pid=2</t>
  </si>
  <si>
    <t>https://chat-conecta.recife.pe.gov.br/live/gu2QSnrH47D55vCnG</t>
  </si>
  <si>
    <t xml:space="preserve">09:27 ( taty) Paciente não atendeu </t>
  </si>
  <si>
    <t>12:30( taty)  hoje no d8, nega febre, cefaleia , fadiga,  relata melhora da tosse e secreção ,nega queixas urinarias e obstétricas  e refere que esta há 2 dia sem usar a dipirona e seu esposo realizou teste para o covid com resultado negativo</t>
  </si>
  <si>
    <t>https://chat-conecta.recife.pe.gov.br/live/zq5fqKf2RpbyXkerK/room-info</t>
  </si>
  <si>
    <t>Desejo de iniciar licença maternidade</t>
  </si>
  <si>
    <t>https://chat-conecta.recife.pe.gov.br/live/5HynbX9SdHkiJYXiA/room-info</t>
  </si>
  <si>
    <t>08h10 (Lari) Pacinte não atendeu</t>
  </si>
  <si>
    <t>(Thiago) Às 14:40h, paciente não atendeu.</t>
  </si>
  <si>
    <t>Adrielle Vitoria da Silva Ferreira</t>
  </si>
  <si>
    <t>https://chat-conecta.recife.pe.gov.br/live/ae7etZMMJ6XtuTYcP</t>
  </si>
  <si>
    <t>Dúvida sobre DPP e trabalho de parto</t>
  </si>
  <si>
    <t>Rayelle Roberta Barbosa do Espirito Santo</t>
  </si>
  <si>
    <t>https://chat-conecta.recife.pe.gov.br/live/9GxprWMrsBbcmjRhC</t>
  </si>
  <si>
    <t xml:space="preserve">Realizar novo monitoramento (15 h) para saber se acessou o PN e se diminuiu o sangramento. </t>
  </si>
  <si>
    <t>https://chat-conecta.recife.pe.gov.br/live/RGaWmd7GJBjj4oGJk/user-info</t>
  </si>
  <si>
    <t>https://chat-conecta.recife.pe.gov.br/omnichannel-directory/chats/view/f45aSh8RtYx7FxwXw</t>
  </si>
  <si>
    <t>17h20 - Foi atendida no Hospital da Mulher do Recife, realizou exames laboratoriais (sem alterações), prescrito Metildopa 250mg 8/8h (vai iniciar uso hoje). Nega queixas e sinais de alerta.</t>
  </si>
  <si>
    <t>8h30 (Lari) Paciente refere que a consulta de hoje na APS foi cancelada (sistema fora do ar, SIC). Oriento avaliação na maternidade mais próxima a sua casa, pois paciente permanece sangrando.</t>
  </si>
  <si>
    <t>https://chat-conecta.recife.pe.gov.br/live/J8ttWX3qJgnKGdiC5</t>
  </si>
  <si>
    <t>Marcia Caetano Barbosa</t>
  </si>
  <si>
    <t>05982559407</t>
  </si>
  <si>
    <t>https://chat-conecta.recife.pe.gov.br/live/y3AQ6JiMfT5fvpXb7</t>
  </si>
  <si>
    <t>(Thiago) Às 08:38h, gestante refere melhoras dos sintomas e econtra-se em sua USF para realização de consulta Pré-natal.</t>
  </si>
  <si>
    <t>https://chat-conecta.recife.pe.gov.br/live/88XG4JuNvu3ZukgTQ</t>
  </si>
  <si>
    <t>Elizia Keisy Gomes da Silva</t>
  </si>
  <si>
    <t>https://chat-conecta.recife.pe.gov.br/live/9SKGxq5TQMbGT5T56</t>
  </si>
  <si>
    <t xml:space="preserve">08:26 (taty) telefone desligado </t>
  </si>
  <si>
    <t>(Thiago) Às 14:50h, telefone desligado/indisponível.</t>
  </si>
  <si>
    <t>https://chat-conecta.recife.pe.gov.br/live/3AePyaDTPgwXjSFay/user-info</t>
  </si>
  <si>
    <t>Joanna (06/04): não disponível</t>
  </si>
  <si>
    <t>Realizar novo monitoramento em 12/04</t>
  </si>
  <si>
    <t>Feito por contato telefonico.</t>
  </si>
  <si>
    <t>Rhayza (16:15) não atendeu</t>
  </si>
  <si>
    <t xml:space="preserve">Rhayza (15:08) ocupado </t>
  </si>
  <si>
    <t xml:space="preserve">Rhayza (16:24) ocupado </t>
  </si>
  <si>
    <t>Thaisa Maria Rocha Lima</t>
  </si>
  <si>
    <t>06036013400</t>
  </si>
  <si>
    <t>https://chat-conecta.recife.pe.gov.br/live/MTGFFfBuwQMXCJPaE</t>
  </si>
  <si>
    <t>(Thiago) Às 15:27h, paciente não atende.</t>
  </si>
  <si>
    <t>(Thiago) Às 17:30h, paciente não atende.</t>
  </si>
  <si>
    <t>Paciente orientada a procurar o posto hoje pela manha, ligar a tarde</t>
  </si>
  <si>
    <t>Fernanda de Araujo Silva</t>
  </si>
  <si>
    <t>https://chat-conecta.recife.pe.gov.br/live/tJTBYvJ5HMiGecifh</t>
  </si>
  <si>
    <t>Gestante ainda não buscou unidade de saúde, como orientado. Ligar à tarde para confirmar.</t>
  </si>
  <si>
    <t>Maryanna Chistine dos Santos e Silva</t>
  </si>
  <si>
    <t>https://chat-conecta.recife.pe.gov.br/live/HGZ3DQBgBnRdWDc5C</t>
  </si>
  <si>
    <t>(Thiago) Às 15:18h, telefone indisponível.</t>
  </si>
  <si>
    <t>(Thiago) Às 17:40h, paciente não atende.</t>
  </si>
  <si>
    <t>Gestante encaminhada para avaliação na APS, ligar à tarde.</t>
  </si>
  <si>
    <t>Vanusa Alves da Silva</t>
  </si>
  <si>
    <t>08010651435</t>
  </si>
  <si>
    <t>https://chat-conecta.recife.pe.gov.br/live/Zb2cjYzfCsb4wLB5F</t>
  </si>
  <si>
    <t xml:space="preserve">contrações </t>
  </si>
  <si>
    <t xml:space="preserve">08:30 (taty) </t>
  </si>
  <si>
    <t xml:space="preserve">17h (Camilla) Ligação não completa. </t>
  </si>
  <si>
    <t>https://chat-conecta.recife.pe.gov.br/live/4gMyuFaa7aSYhj6eF/user-info</t>
  </si>
  <si>
    <t>Gestante compareceu à unidade. Iniciou tto de ITU. PN agendado para amanhã.</t>
  </si>
  <si>
    <t xml:space="preserve">Ligar à tarde para confirma acesso </t>
  </si>
  <si>
    <t>Rosilene Rodrigues Pereira da Silva</t>
  </si>
  <si>
    <t>https://chat-conecta.recife.pe.gov.br/live/hqiLiw458hC7NJJm4</t>
  </si>
  <si>
    <t>Joanna (8h20): não atendeu</t>
  </si>
  <si>
    <t>Refere melhora dos sinatomas. Sem novas queixas e sinais de alerta.</t>
  </si>
  <si>
    <t>Danille Clemente Prazo</t>
  </si>
  <si>
    <t>06110013498</t>
  </si>
  <si>
    <t>https://chat-conecta.recife.pe.gov.br/live/2j57WkKhuudQcc7ab/user-info</t>
  </si>
  <si>
    <t>(Lari) não atendeu</t>
  </si>
  <si>
    <t xml:space="preserve">Rhayza (16:25) nao atendeu </t>
  </si>
  <si>
    <t>https://chat-conecta.recife.pe.gov.br/live/FcXJqZXruSJgkWMBS/room-info</t>
  </si>
  <si>
    <t>(Thiago - 08:48h) Usuária não atende à chamada.</t>
  </si>
  <si>
    <t>(Thiago - 14:00h, 16:50h) Usuária não atende à chamada.</t>
  </si>
  <si>
    <t>https://chat-conecta.recife.pe.gov.br/live/EE5LNassRTcR2pHgL</t>
  </si>
  <si>
    <t>Efeito adverso à vacinas.</t>
  </si>
  <si>
    <t>Gestante refere melhora dos sintomas. Agendo montioramento em 48 horas</t>
  </si>
  <si>
    <t>Checar melhora do quadro de dor intensa no corpo, reação vacinal.</t>
  </si>
  <si>
    <t>Jhoyce de Arruda e Silva</t>
  </si>
  <si>
    <t>https://chat-conecta.recife.pe.gov.br/live/tvTDmobXyKjnGFwd5</t>
  </si>
  <si>
    <t>https://chat-conecta.recife.pe.gov.br/live/qX85kciwKt9H5moLp</t>
  </si>
  <si>
    <t>(Thiago - 09:34h) Gestante apresenta piora dos sintomas gripais iniciados dia 09/04, encaminho para avliação presencial na APS.</t>
  </si>
  <si>
    <t>(Thiago - 0818h) Gestante pede para retomar a ligação às 09:00h.</t>
  </si>
  <si>
    <t>Adrielly Negreiros da Silva Fidelis</t>
  </si>
  <si>
    <t>06093734471</t>
  </si>
  <si>
    <t>https://chat-conecta.recife.pe.gov.br/live/a4ww4m4HSfQW73T8u/room-info</t>
  </si>
  <si>
    <t>8h (Lari) Paciente não atendeu</t>
  </si>
  <si>
    <t>Joanna (14h09; 16h53): não atendeu</t>
  </si>
  <si>
    <t>https://chat-conecta.recife.pe.gov.br/live/voWj38eRFWBtmJxiA</t>
  </si>
  <si>
    <t>Perda de líquido e sintomas gripais</t>
  </si>
  <si>
    <t>8h (Lari) sem telefone</t>
  </si>
  <si>
    <t xml:space="preserve">Mantém coriza, tosse, congestão nasal, dor de garganta. Descartado perda de LA (atendida na Maternidade). Esqueceu de pedir atestado médico. Nega sinais de alerta. Encaminho para teleconsulta com Damartine. </t>
  </si>
  <si>
    <t>https://chat-conecta.recife.pe.gov.br/live/9uvebE7k2Adfs9LQx/user-info#&amp;gid=1&amp;pid=2</t>
  </si>
  <si>
    <t>SIM, Médica ou Enfermeira</t>
  </si>
  <si>
    <t>Perda de líquido / Sintomas Gripais</t>
  </si>
  <si>
    <t>Joanna (16h; 17h): não atendeu (falta registrada no PEC)</t>
  </si>
  <si>
    <t xml:space="preserve">Rhayza (08:16) nao atendeu </t>
  </si>
  <si>
    <t>Realizar novo monitoramento em 24 h</t>
  </si>
  <si>
    <t>Ligar após 9h, checar acesso à APS, início de sintomas gripais após reação adversa às vacinas.</t>
  </si>
  <si>
    <t>https://chat-conecta.recife.pe.gov.br/live/M8DHagAESdmdGnqxt</t>
  </si>
  <si>
    <t>SIM, Nutricionista</t>
  </si>
  <si>
    <t xml:space="preserve">Rhayza (08: 22) ocupado </t>
  </si>
  <si>
    <t xml:space="preserve">Rhayza (16:18) ocupado </t>
  </si>
  <si>
    <t>https://chat-conecta.recife.pe.gov.br/live/uzFZx8uLgRQzEA2QM/user-info</t>
  </si>
  <si>
    <t xml:space="preserve">Rhayza (16: 21) nao atendeu </t>
  </si>
  <si>
    <t xml:space="preserve">18:07 Encontra-se internada no HBL. Encerro monitoramento. </t>
  </si>
  <si>
    <t>ligar as 15h telefone 81991473240 (ligação) 12991876039 (zap)</t>
  </si>
  <si>
    <t>https://chat-conecta.recife.pe.gov.br/live/EQY5Kp3mgLJkycH2C/members-list</t>
  </si>
  <si>
    <t>https://chat-conecta.recife.pe.gov.br/live/4QtagmZbiS5FCMijX/room-info</t>
  </si>
  <si>
    <t>Realizar monitoramento amanha 14/04</t>
  </si>
  <si>
    <t xml:space="preserve">Ligar as 15h </t>
  </si>
  <si>
    <t>https://chat-conecta.recife.pe.gov.br/live/odPtAEvpaxnNQ2w8i/room-info</t>
  </si>
  <si>
    <t>IG avançada sem sinais de TP</t>
  </si>
  <si>
    <t>Gestante internada na maternidade</t>
  </si>
  <si>
    <t>Registro feito no dia 18/04</t>
  </si>
  <si>
    <t>https://chat-conecta.recife.pe.gov.br/live/3ksJ3mqXxYfvbRNbB/room-info</t>
  </si>
  <si>
    <t>Lari (8h) não atendeu</t>
  </si>
  <si>
    <t>Hoje, D8 de início dos sintomas gripais, refere que mantém tosse esporádica. Nega queixas obstétricas e sinais de alerta. Finalizo telemonitoramento</t>
  </si>
  <si>
    <t>Mayara de Sa Borba Pinto Pereira</t>
  </si>
  <si>
    <t>https://chat-conecta.recife.pe.gov.br/live/swyw2a96qRenApvdF</t>
  </si>
  <si>
    <t xml:space="preserve"> Refere melhora da cefaleia e movimentação fetal sem alterações. Nega contrações uterinas e perdas vaginais. Queixa-se de diarreia sem associação com outros sintomas e sinais de alerta (2 evacuações hoje). PA = 123 x 76. Cd: Orientações gerais. Monitoriramento em 48h. </t>
  </si>
  <si>
    <t>Andrea dos Santos Andrade</t>
  </si>
  <si>
    <t>https://chat-conecta.recife.pe.gov.br/live/NBp3nmmdBeYYmmbbs/members-list</t>
  </si>
  <si>
    <t>melhora da náusea e vômito; refere estar com raiva devido parceiro negar a paternidade e expressa desejo de abortar.</t>
  </si>
  <si>
    <t>Ligar à tarde para avaliar melhora dos sintomas.</t>
  </si>
  <si>
    <t>Joanna (12h; 12h30; 17h47): não atendeu (falta registrada no PEC)</t>
  </si>
  <si>
    <t>https://chat-conecta.recife.pe.gov.br/live/ndzjiW2RYtRmpozs8</t>
  </si>
  <si>
    <t>8h30 (Lari) não atende</t>
  </si>
  <si>
    <t>15:35 (taty) paciente nao atendeu e nao interagiu pelo hopchat; Joanna (16h50): não atendeu</t>
  </si>
  <si>
    <t>(Marta) Jessica articulou com a paciente fazer o atendimento amanhã-devido impossibilidade da usuária no momento.</t>
  </si>
  <si>
    <t>Alexsandra Nascimento de Barros</t>
  </si>
  <si>
    <t>https://chat-conecta.recife.pe.gov.br/live/XXCeBddGZWt5RzRNr</t>
  </si>
  <si>
    <t xml:space="preserve">Desconhecida </t>
  </si>
  <si>
    <t>jessica.silva@recife.pe.gov.br</t>
  </si>
  <si>
    <t>JESSICA</t>
  </si>
  <si>
    <t xml:space="preserve">Encaminhado para urgência por dor em baixo ventre </t>
  </si>
  <si>
    <t>Alania Gomes da Silva</t>
  </si>
  <si>
    <t>https://chat-conecta.recife.pe.gov.br/live/yaS3N3sFak2ZLyCGW</t>
  </si>
  <si>
    <t>Mantém perda de líquido sem sinais de alerta e trabalho de parto; dor em BV do tipo cólica iniciada por volta das 12h. Mobilograma: 16 MF, afebril e normotensa</t>
  </si>
  <si>
    <t>https://chat-conecta.recife.pe.gov.br/live/XXCeBddGZWt5RzRNr/room-info</t>
  </si>
  <si>
    <t>Rhayza  (8:09): ligação caindo/não atendeu</t>
  </si>
  <si>
    <t>Não foi à avaliação presencial devido melhora da dor em baixo. Refere discreta dor ao urinar, dor em loja renal há 1 dia, cefaleia e dois episódios de vômito. Cd: Encaminho à maternidade.</t>
  </si>
  <si>
    <t>Joanna (8h8; 14h26): não atendeu</t>
  </si>
  <si>
    <t>Taty (15:32; 17h08) paciente não atendeu ---&gt; falta registrada no PEC</t>
  </si>
  <si>
    <t>Maria Eduarda França da Silva</t>
  </si>
  <si>
    <t>https://chat-conecta.recife.pe.gov.br/live/xJtJMAqW2tzACRjqG/room-info</t>
  </si>
  <si>
    <t>Rhayza  (8:12): não atendeu</t>
  </si>
  <si>
    <t>Taty (15:34) paciente não atendeu; Joanna (17h10): não atendeu ---&gt; Falta registrada no PEC</t>
  </si>
  <si>
    <t>IG avançada</t>
  </si>
  <si>
    <t>Monitoramento realizado em 13/04/2024.</t>
  </si>
  <si>
    <t>https://chat-conecta.recife.pe.gov.br/live/tNt8TfGyEmano7FLq</t>
  </si>
  <si>
    <t>(Thiago - 09:19h) Usuária não atende à chamada.</t>
  </si>
  <si>
    <t>(Thiago - 14:10h, 16:55h) Usuária não atende à chamada.</t>
  </si>
  <si>
    <t>Adriele Emyly de Lima</t>
  </si>
  <si>
    <t>https://chat-conecta.recife.pe.gov.br/live/Z237t8NQozaYLmADw</t>
  </si>
  <si>
    <t>Gestante apresenta melhora dos sintomas.</t>
  </si>
  <si>
    <t>Gravidez indesejada + desejo por abortamento + náuseas</t>
  </si>
  <si>
    <t>SIM, Apoio Emocional</t>
  </si>
  <si>
    <t xml:space="preserve">(Jessi - 19/04): Paciente relatou muito sono com o uso de Dramin. Oriento substituir pela Metoclopramida. Pactuamos teleconsulta compartilhada com enfermeira do pré natal a ser agendada e informada através do ACS </t>
  </si>
  <si>
    <t>https://chat-conecta.recife.pe.gov.br/live/4KGrqAypaKgHiXCYj</t>
  </si>
  <si>
    <t xml:space="preserve">Amanda Ines da Silva </t>
  </si>
  <si>
    <t>https://chat-conecta.recife.pe.gov.br/live/pQEzNrwBbi2CCWaxu/user-info</t>
  </si>
  <si>
    <t xml:space="preserve">Atendimento realizado em 18/04. Gestante não é munícipe, oriento procurar APS de sua área. </t>
  </si>
  <si>
    <t>Mykaelle Rebeca do Nascimento Lima</t>
  </si>
  <si>
    <t>https://chat-conecta.recife.pe.gov.br/live/LwSC57fks9qxDYkoM</t>
  </si>
  <si>
    <t>Rhayza (11:00)</t>
  </si>
  <si>
    <t>Rhayza (17:06) Internada no HMR devido PA.</t>
  </si>
  <si>
    <t>Confirmar acesso à maternidade Arnaldo Marques.</t>
  </si>
  <si>
    <t>https://chat-conecta.recife.pe.gov.br/live/8NZAynBdhZkSBpoDX/room-info</t>
  </si>
  <si>
    <t>Cristina Rodrigues da Silva</t>
  </si>
  <si>
    <t>05186380571</t>
  </si>
  <si>
    <t>https://chat-conecta.recife.pe.gov.br/live/36HhPcAb5oNefXaKW/room-info</t>
  </si>
  <si>
    <t>17:15 Não procurou Maternidade. Novo monitoramento 21/04</t>
  </si>
  <si>
    <t xml:space="preserve">Confirmar acesso ao HMR 16h </t>
  </si>
  <si>
    <t>https://chat-conecta.recife.pe.gov.br/live/zgRNdosRghT9zjAzK/room-info</t>
  </si>
  <si>
    <t>(Lari) Foi encaminhada para avaliação presencial na APS</t>
  </si>
  <si>
    <t>Não atendeu.</t>
  </si>
  <si>
    <t>contrações uterinas</t>
  </si>
  <si>
    <t>Refere que as contrações estão mais intensas e em intervalo mais curto (não está fazendo o registro), não foi ao atendimento presencial. Além disso, apresentada cefaleia, náusea, ardência ao urinar, eliminação de volume urinários menor que o habitual. Refere boa movimentação fetal. Nega perdas vaginais. Dinâmica uterina - 2/110"105"/10'. Encaminhada ao HMR.</t>
  </si>
  <si>
    <t>Enviei comandado para iniciar atendimento, recebeu a mensagem, clicou em inicar atendimento, porém, não a visulizei no HopChat.</t>
  </si>
  <si>
    <t>Annyeli Santos Rodrigues</t>
  </si>
  <si>
    <t>https://chat-conecta.recife.pe.gov.br/live/9BaK85dFZHeruKhvM/user-info</t>
  </si>
  <si>
    <t>(Lari) ITU + febre, foi encaminhada para Barros. Ligar as 10h30</t>
  </si>
  <si>
    <t>10h30 Paciente refere dor lombar importante associada a febre não aferida. Opto por encaminhar a avaliação presencial</t>
  </si>
  <si>
    <t>Ligar para 982850804</t>
  </si>
  <si>
    <t>(Lari) DM1 + TPP, foi encaminhada para o HMR. Não atendeu as 8h</t>
  </si>
  <si>
    <t xml:space="preserve"> 16:50 ( taty) Paciente no momento do monitoramento se encontrava em atendimento no CISAN . Companheiro refere perda de tampao mucoso e contraçoes ritimadas e dolorosa </t>
  </si>
  <si>
    <t>Isabelle Thamyres de Silva Dias</t>
  </si>
  <si>
    <t>https://chat-conecta.recife.pe.gov.br/live/aB6Bc2BuRbP385Hrj/members-list</t>
  </si>
  <si>
    <t>Desconforto abdominal/Gases</t>
  </si>
  <si>
    <t>Ruama Gabriela Nascimento</t>
  </si>
  <si>
    <t>https://chat-conecta.recife.pe.gov.br/live/NH47SRKWMjAAXsuJr/user-info</t>
  </si>
  <si>
    <t>Nódulos mamários</t>
  </si>
  <si>
    <t>Andrea Silva Andrade Bandeira</t>
  </si>
  <si>
    <t>https://chat-conecta.recife.pe.gov.br/live/BFAvRxBRfPHLX7hHr</t>
  </si>
  <si>
    <t xml:space="preserve">(taty) paciente nao procurou atendimento presencial, refere dor em bv e lombar intensa e melhora da febre, oriente buncar atendimento presencial </t>
  </si>
  <si>
    <t>Ligar para 982850804 às 15h para checar acesso à urgência e/ou alívio das queixas</t>
  </si>
  <si>
    <t>https://chat-conecta.recife.pe.gov.br/live/n9ABbnNYdbt4p42vz/room-info</t>
  </si>
  <si>
    <t>https://chat-conecta.recife.pe.gov.br/live/ThTFqPxtDCEYGD8t4</t>
  </si>
  <si>
    <t>08:16 (Taty) Paciente não atendeu (12:44 ) paciente nao atendeu</t>
  </si>
  <si>
    <t xml:space="preserve">15:42 (Taty) Paciente não atendeu </t>
  </si>
  <si>
    <t>Lorena Ribeiro de Carvalho</t>
  </si>
  <si>
    <t>https://chat-conecta.recife.pe.gov.br/live/ThTFqPxtDCEYGD8t4/room-info</t>
  </si>
  <si>
    <t>Rhayza (08:09) telefone ocupado</t>
  </si>
  <si>
    <t>https://chat-conecta.recife.pe.gov.br/live/vZk9AxnuiFtsuMBMZ/room-info</t>
  </si>
  <si>
    <t>USG risco de pré-eclampsia</t>
  </si>
  <si>
    <t>Nataly Lucinda Ferreira</t>
  </si>
  <si>
    <t>06011565441</t>
  </si>
  <si>
    <t>https://chat-conecta.recife.pe.gov.br/live/CXL24YQuscqSFgfkX</t>
  </si>
  <si>
    <t>Suspeita de dengue</t>
  </si>
  <si>
    <t xml:space="preserve">Taty (08:38) não completa a chamada </t>
  </si>
  <si>
    <t>Lari (14h) não completa chamada</t>
  </si>
  <si>
    <t>https://chat-conecta.recife.pe.gov.br/live/MS26ufXrEAA7AszpS</t>
  </si>
  <si>
    <t>Diarréia + nauseas</t>
  </si>
  <si>
    <t>Taty (08:38) Paciente nao atendeu</t>
  </si>
  <si>
    <t xml:space="preserve">Taty ( 14:21) Paciente Procurou a APS, hoje apresentou 1 epsodio de diarreia, refere melhora da nausea e colicas, nega febre  e queixas obstetricas   </t>
  </si>
  <si>
    <t>https://chat-conecta.recife.pe.gov.br/live/GgCYzpBQnPCKfsExM</t>
  </si>
  <si>
    <t>Taty (09:40)  Paciente no D4 dos sintomas, nao buscou atendimento presecial, como orientado; Refere dispneia ao esforço que melhora ao repouso, coriza leve  e a noite apresenta congestao nasal, nega febre, queixas urinarias outra queixas obstetricas; refere MF presente.</t>
  </si>
  <si>
    <t>Está na consulta pré-natal. Ligar 16 h</t>
  </si>
  <si>
    <t xml:space="preserve">16:14 (taty) refere que procurou atendimento presencial e melhoras do sintomas </t>
  </si>
  <si>
    <t>Ana Caroline Bezerra da Silva</t>
  </si>
  <si>
    <t>https://chat-conecta.recife.pe.gov.br/live/G7TdNyTgvuvPYupGv/room-info</t>
  </si>
  <si>
    <t>Saira Esperanza Vargas Sanchez</t>
  </si>
  <si>
    <t>https://chat-conecta.recife.pe.gov.br/live/hHzCQk6747Nio5r28/room-info</t>
  </si>
  <si>
    <t>08:25 Não atendeu (Rhayza)</t>
  </si>
  <si>
    <t>13:48 Não atendeu (Camilla)</t>
  </si>
  <si>
    <t>DIARREIA</t>
  </si>
  <si>
    <t>Crislayne Silva Cavalcanti</t>
  </si>
  <si>
    <t>https://chat-conecta.recife.pe.gov.br/live/6BhhebnXknFpimzM5</t>
  </si>
  <si>
    <t>(Thiago) Às 11:04h, paciente não atendeu à chamada</t>
  </si>
  <si>
    <t>(Thiago) Às 15:20h, paciente não atendeu à chamada.</t>
  </si>
  <si>
    <t>Isabele da Silva Barbosa</t>
  </si>
  <si>
    <t>https://chat-conecta.recife.pe.gov.br/live/iMbRMgaYi57tfyLMe/room-info</t>
  </si>
  <si>
    <t>10h30 (Lari) Paciente não atendeu.</t>
  </si>
  <si>
    <t>(Thiago) Às 15:23h, paciente não atendeu à chamada.</t>
  </si>
  <si>
    <t>(Marta) informar sobre o agendamento de USG no dia 07/05 as 14h no HMR</t>
  </si>
  <si>
    <t>Michaelly Rhuanna Dias Soares</t>
  </si>
  <si>
    <t>https://chat-conecta.recife.pe.gov.br/live/XECA87aSgNfGBsPzr</t>
  </si>
  <si>
    <t>estou com 40 semanas</t>
  </si>
  <si>
    <t>Taciana Barbosa da Silva</t>
  </si>
  <si>
    <t>05903519407</t>
  </si>
  <si>
    <t>https://chat-conecta.recife.pe.gov.br/live/jaWmSM8YGBE5bwnEL</t>
  </si>
  <si>
    <t>26/04 (Lari) Pct sem queixas. Oriento seguimento de PN em APS.</t>
  </si>
  <si>
    <t>https://chat-conecta.recife.pe.gov.br/live/f8RiEH3LP5b6hCu7f/user-info</t>
  </si>
  <si>
    <t>https://chat-conecta.recife.pe.gov.br/live/c7igo4j4vdqWc2WHj/user-info</t>
  </si>
  <si>
    <t>Virose com quadro intestinal</t>
  </si>
  <si>
    <t>Rhayza (09:24) nao atendeu</t>
  </si>
  <si>
    <t>Rhayza (16:11) nao atendeu</t>
  </si>
  <si>
    <t>https://chat-conecta.recife.pe.gov.br/live/P5JEvc39PsTFP6dRy/user-info</t>
  </si>
  <si>
    <t xml:space="preserve">Melhora dos sintomas </t>
  </si>
  <si>
    <t>Monitoramento feito por telefone pois paciente estava no trabalho</t>
  </si>
  <si>
    <t>Jullyanna Cristina Albuquerque Sousa Macêdo</t>
  </si>
  <si>
    <t>https://chat-conecta.recife.pe.gov.br/live/irzdipYdciuzFkvoJ</t>
  </si>
  <si>
    <t>Odontalgia + cefaléia + otalgia</t>
  </si>
  <si>
    <t>Rhayza (09:32) nao atendeu</t>
  </si>
  <si>
    <t>Rhayza (16:15) nao atendeu</t>
  </si>
  <si>
    <t>Edilaine Maria Anunciado</t>
  </si>
  <si>
    <t>03886783480</t>
  </si>
  <si>
    <t>https://chat-conecta.recife.pe.gov.br/live/EfwFjDrh8mbyqLxsp/room-info</t>
  </si>
  <si>
    <t>Rhayza (16:16) nao atendeu</t>
  </si>
  <si>
    <t>Rhayza (17:25) nao atendeu</t>
  </si>
  <si>
    <t>Ligar 16 h</t>
  </si>
  <si>
    <t xml:space="preserve">Annyeli Santos Rodrigues </t>
  </si>
  <si>
    <t>https://chat-conecta.recife.pe.gov.br/live/4JD82cTjkLvB3Jj9Y/room-info</t>
  </si>
  <si>
    <t>tosse seca</t>
  </si>
  <si>
    <t>Gestante refere melhora dos sintomas de nauseas e vômitos e tosse. Alta do episódio, encerro caso.</t>
  </si>
  <si>
    <t>Ana Lucia de Santana Silva</t>
  </si>
  <si>
    <t>09772012448</t>
  </si>
  <si>
    <t>https://chat-conecta.recife.pe.gov.br/live/bpixz7bWhnQuxmQNN</t>
  </si>
  <si>
    <t>Puérpera se encontra na maternidade, após cesariana de urgência ontem às 23h.</t>
  </si>
  <si>
    <t>Edneide Silva da Cruz</t>
  </si>
  <si>
    <t>09186594427</t>
  </si>
  <si>
    <t>(Thiago) Às 17:35h, usuária apresenta melhoras do quadro de dor e níveis normais de PA.</t>
  </si>
  <si>
    <t>https://chat-conecta.recife.pe.gov.br/live/Zt3rrbFKSBdxzRXZ8</t>
  </si>
  <si>
    <t>https://chat-conecta.recife.pe.gov.br/live/szsD6iQ8WF6uKhHn2/room-info</t>
  </si>
  <si>
    <t>Alice Cabral Delgado Falcao</t>
  </si>
  <si>
    <t>https://chat-conecta.recife.pe.gov.br/live/Gmiz7uGtbh9ZL865d/room-info</t>
  </si>
  <si>
    <t>Realizar novo monitoramento 03/05</t>
  </si>
  <si>
    <t xml:space="preserve">Monitoramento realizado por telefone - solicitaçao da gestante </t>
  </si>
  <si>
    <t>Isabele Mikelle Oliveira dos Santos</t>
  </si>
  <si>
    <t>https://chat-conecta.recife.pe.gov.br/live/Nm3vDZ5xGCvujHKoS/user-info</t>
  </si>
  <si>
    <t>Joanna (17h; 18h16): não atendeu</t>
  </si>
  <si>
    <t>Ana Alice dos Santos Alves</t>
  </si>
  <si>
    <t>https://chat-conecta.recife.pe.gov.br/live/SCJ5L23fou3xmRi7x</t>
  </si>
  <si>
    <t xml:space="preserve">Encontra-se na urgencia do HAM </t>
  </si>
  <si>
    <t>9h50 (Lari) Paciente informa melhora da cefaleia. Está aguardando agendamento de PNAR DMG</t>
  </si>
  <si>
    <t xml:space="preserve">Ligar às 9 horas </t>
  </si>
  <si>
    <t>https://chat-conecta.recife.pe.gov.br/live/9ntRneC5QPRWSPfJx/room-info</t>
  </si>
  <si>
    <t xml:space="preserve">Rhayza (16:31) não atendeu </t>
  </si>
  <si>
    <t>Encontra-se aguardando resultado de exames laboratoriais na Maternidade Arnaldo Marques. Refere melhora dos sintomas após administração de medicações (não sabe quais medicações foram administradas) e desaparecimento das manchas no abdome.</t>
  </si>
  <si>
    <t>Ligar as 16 horas</t>
  </si>
  <si>
    <t>Valeska Dayse Morais dos Santos</t>
  </si>
  <si>
    <t>08002192443</t>
  </si>
  <si>
    <t>https://chat-conecta.recife.pe.gov.br/live/gu8TxfguPGrWHewqo</t>
  </si>
  <si>
    <t>08h20 (Lari) Não atende; 10:21h (Thiago), não atende.</t>
  </si>
  <si>
    <t>17:00h (Thiago) Não atende à chamada</t>
  </si>
  <si>
    <t>08:23 ( Taty) Paciente não atendeu; 10:35h (Thiago) não atende.</t>
  </si>
  <si>
    <t xml:space="preserve">14:27 (Taty) Refere que foi descartado dengue, na Maternidade Arnaldo Marques, onde  ealizou hemograma e SU. hoje nega febre, manchas pelo corpo, nausea e vômitos,  nega  queixas obstetricas e urinaria </t>
  </si>
  <si>
    <t>08:17 ( Taty) Paciente não atendeu; 10:46h (Thiago), esposo solicita que entremos em contato mais tarde.</t>
  </si>
  <si>
    <t xml:space="preserve">16:50 ( Taty)  Paciente não atendeu </t>
  </si>
  <si>
    <t>Kessiane Cristina Bernadina da Silva</t>
  </si>
  <si>
    <t>https://chat-conecta.recife.pe.gov.br/live/SiRKmmdwdiDBsqoKa/user-info</t>
  </si>
  <si>
    <t>Dor abdominal difusa</t>
  </si>
  <si>
    <t>09h50 (Lari) Não atende; 15:29h (Lili) Não atende</t>
  </si>
  <si>
    <t>Veronica Epifanio Sales Sauza</t>
  </si>
  <si>
    <t>https://chat-conecta.recife.pe.gov.br/live/n9vFtbtZye6oWQbns/room-info</t>
  </si>
  <si>
    <t>Foi atendida na USF, mas devido sintomas apresentados e PA = 140 x 90, foi encaminhada à maternidade. Na Maternidade Bandeira Filho realizou rotina de PE. Alterações não foram identificadas, foi medicada e recebeu alta. No momento, nega queixas. Refere boa movimentação fetal.</t>
  </si>
  <si>
    <t xml:space="preserve">Evylen Eduarda do Nascimento Oliveira </t>
  </si>
  <si>
    <t>https://chat-conecta.recife.pe.gov.br/live/MjMHvvSzb5d99Eu9y</t>
  </si>
  <si>
    <t>Refere que foi ao Hospital da Mulher do Recife, aguardou por 6 horas e não foi atendida. Último episódio de sangramento ontem, mantém disúria. Nega sinais de alerta. Cd: Encaminho para avaliação na Mat Bandeira Filho.</t>
  </si>
  <si>
    <t>Registro evento sentinela.</t>
  </si>
  <si>
    <t>https://chat-conecta.recife.pe.gov.br/live/aSvJDCgm3ryeQ847n</t>
  </si>
  <si>
    <t>https://chat-conecta.recife.pe.gov.br/live/SWj69vmkjrSCFTjgx</t>
  </si>
  <si>
    <t>Discreto ardor vulvar.</t>
  </si>
  <si>
    <t>Kauana Gabryella de Oliveira Goncalves</t>
  </si>
  <si>
    <t>https://chat-conecta.recife.pe.gov.br/live/oWbd3xLrEzRycFbxt</t>
  </si>
  <si>
    <t>Joanna (10h50; 15h): não atendeu</t>
  </si>
  <si>
    <t>https://chat-conecta.recife.pe.gov.br/live/dSHFc5ah9SQ7FCCRz/user-info</t>
  </si>
  <si>
    <t>Evylen Eduarda do Nascimento Oliveira</t>
  </si>
  <si>
    <t>https://chat-conecta.recife.pe.gov.br/live/wKHtBzpehps2Rpshe</t>
  </si>
  <si>
    <t xml:space="preserve">Rhayza (08:50) nao atendeu </t>
  </si>
  <si>
    <t>Rhayza (15:57) nao atendeu</t>
  </si>
  <si>
    <t>Vanessa de Araujo Amorim</t>
  </si>
  <si>
    <t>https://chat-conecta.recife.pe.gov.br/live/TDxrAmsnn7nJGGvtP</t>
  </si>
  <si>
    <t>Mobilograma +/- 3 movimentos em 1 hora. Encaminho para maternidade</t>
  </si>
  <si>
    <t>https://chat-conecta.recife.pe.gov.br/live/tLboSd8oieAL4vaD3/room-info</t>
  </si>
  <si>
    <t>(Thiago) Às 08:33h, usuária não atende à ligação 09:00 (taty) paciente não atendeu. 14:00 (Lili): Paciente não atendeu</t>
  </si>
  <si>
    <t>16:08 ( taty)  paciente procurou atendimento presencial , onde foi avaliada e liberada, nega queixas urinaria, sangramento e perda de liquido, refere MF presente</t>
  </si>
  <si>
    <t>Taynam Ramos Ferreira da Silva</t>
  </si>
  <si>
    <t>https://chat-conecta.recife.pe.gov.br/live/SKbFyD84FFG2az7x8/user-info</t>
  </si>
  <si>
    <t>ITU + dúvidas quanto ao resultado de exames laboratoriais</t>
  </si>
  <si>
    <t xml:space="preserve">10:00 (Lili): Paciente refere melhora dos sintomas. Em término do tratamento (D10). Reforço importância da realização de urocultura. </t>
  </si>
  <si>
    <t>Reforçar realização de urocultura de controle.</t>
  </si>
  <si>
    <t>https://chat-conecta.recife.pe.gov.br/live/pDc5fenzyGNH3uHNg/room-info</t>
  </si>
  <si>
    <t>Dúvida sobre produtos para cabelo</t>
  </si>
  <si>
    <t>https://chat-conecta.recife.pe.gov.br/live/mAT86vz7XtS3rYJR2/room-info</t>
  </si>
  <si>
    <t xml:space="preserve">Lili (16:10) Gestante refere melhora da dor, iniciou tratamento para ITU. </t>
  </si>
  <si>
    <t>https://chat-conecta.recife.pe.gov.br/live/qt5H6oQ82ACSYmC2G</t>
  </si>
  <si>
    <t>https://chat-conecta.recife.pe.gov.br/live/qt5H6oQ82ACSYmC2G/contact-profile</t>
  </si>
  <si>
    <t xml:space="preserve">08:10 (taty) Paciente não atendeu </t>
  </si>
  <si>
    <t>Joanna (13h25; 17h06): não atendeu</t>
  </si>
  <si>
    <t>Renata Maria da Silva Santos</t>
  </si>
  <si>
    <t>08773764418</t>
  </si>
  <si>
    <t>https://chat-conecta.recife.pe.gov.br/live/pAAr9hk3Sih9wAgni</t>
  </si>
  <si>
    <t>Foi atendida na APS; encaminhamento está no SISREG.</t>
  </si>
  <si>
    <t>Marilia Soares de Oliveira</t>
  </si>
  <si>
    <t>https://chat-conecta.recife.pe.gov.br/live/a9583jGBHLfn8HEQg/room-info</t>
  </si>
  <si>
    <t xml:space="preserve">Gestação prolongada + HASC </t>
  </si>
  <si>
    <t>Pct internada no CISAM</t>
  </si>
  <si>
    <t>Valeria Conceição da Silva Santos</t>
  </si>
  <si>
    <t>08038192427</t>
  </si>
  <si>
    <t>https://chat-conecta.recife.pe.gov.br/live/cy8YAqeoSBaTMNPfz</t>
  </si>
  <si>
    <t>Dor no abdome</t>
  </si>
  <si>
    <t>08:13 ( taty) Paciente não atendeu 12:07 ( taty) Paciente não atendeu</t>
  </si>
  <si>
    <t>Joanna (14h40): não atendeu; 16:34 (Taty) Paciente não atendeu</t>
  </si>
  <si>
    <t>USG (14/05): peso fetal adequado para IG. Finalizo telemonitoramento</t>
  </si>
  <si>
    <t>Jayane Cristianelle da Silva</t>
  </si>
  <si>
    <t>06529921451</t>
  </si>
  <si>
    <t>https://chat-conecta.recife.pe.gov.br/live/iRfCAPrFxs4itj35N</t>
  </si>
  <si>
    <t>Acesso à consulta de PN</t>
  </si>
  <si>
    <t>08:22 ( taty) Paciente não atendeu (81991300852) 12:05 ( taty) Paciente não atendeu</t>
  </si>
  <si>
    <t xml:space="preserve">14:43(taty) Paciente não atendeu 16:55 ( Taty) Paciente mão atendeu </t>
  </si>
  <si>
    <t>Ligar para 81991300852</t>
  </si>
  <si>
    <t>Eduarda Estefane Siqueira de Souza</t>
  </si>
  <si>
    <t>https://chat-conecta.recife.pe.gov.br/live/zDyKBTKQQQEiP8YBc</t>
  </si>
  <si>
    <t>Cefaleia + PA = 140 x 100</t>
  </si>
  <si>
    <t xml:space="preserve">11:11 ( taty) Procurou atendimento na Barro Lima, onde foi examinada,  realizou exames laboratoriais, medicada e foi liberada, hoje nega cefaleia, nega sinais flogistico em FO e outras queixas 08:47( taty) Paciente dormindo(ligar as 10:30) </t>
  </si>
  <si>
    <t>Roseane Silva Otaviano</t>
  </si>
  <si>
    <t>https://chat-conecta.recife.pe.gov.br/live/w3GekCtqXHGEroEvA/user-info</t>
  </si>
  <si>
    <t>Dúvidas sobre trabalho de parto</t>
  </si>
  <si>
    <t>Maria Eduarda da Silva</t>
  </si>
  <si>
    <t>https://chat-conecta.recife.pe.gov.br/live/kdovYu9zKiR78hpiN</t>
  </si>
  <si>
    <t xml:space="preserve">Refere melhora. Foi à consulta de PN. </t>
  </si>
  <si>
    <t>HASC + IG avançada</t>
  </si>
  <si>
    <t>Ghefylle Carvalho da Trindade</t>
  </si>
  <si>
    <t>https://chat-conecta.recife.pe.gov.br/live/N8ohjRZ5iHoMF9qgF/user-info</t>
  </si>
  <si>
    <t>Foi atendida na USF Três Carneiros, PA = 130 x 80. Refere melhora da cefaleia após uso de Dipirona. Segue sem novas queixas. Orientada a realizar MRPA.</t>
  </si>
  <si>
    <t>Ester Hadassa Silva de Lima</t>
  </si>
  <si>
    <t>https://chat-conecta.recife.pe.gov.br/live/BeJK4HzjJbJQMC74Q/room-info</t>
  </si>
  <si>
    <t>8h (Lari) paciente está se deslocando para realizar exames. Solicita contato as 10h. 10:10 (Lili): Paciente não atendeu</t>
  </si>
  <si>
    <t>14:33h (Thiago) Telefone fora de área.</t>
  </si>
  <si>
    <t>cefaleia + HAS</t>
  </si>
  <si>
    <t>Lethycia Karolayne Neres de Lima</t>
  </si>
  <si>
    <t>https://chat-conecta.recife.pe.gov.br/live/Zw7iqr7gyxX3nMhfJ</t>
  </si>
  <si>
    <t>9h (Thiago) paciente refere melhora das cólicas.</t>
  </si>
  <si>
    <t>Aynoa Izabel de Lima Correia</t>
  </si>
  <si>
    <t>https://chat-conecta.recife.pe.gov.br/live/LFMopf5EWNkZGqrir/user-info</t>
  </si>
  <si>
    <t>incerta</t>
  </si>
  <si>
    <t>duvida sobre via de parto</t>
  </si>
  <si>
    <t xml:space="preserve"> 13/03/2024</t>
  </si>
  <si>
    <t>Beatriz Maria da Silva</t>
  </si>
  <si>
    <t>https://chat-conecta.recife.pe.gov.br/live/nqpyCQ3YkJafAWX2W/members-list</t>
  </si>
  <si>
    <t>Rafaela Chagas da Silva</t>
  </si>
  <si>
    <t>07953985497</t>
  </si>
  <si>
    <t>https://chat-conecta.recife.pe.gov.br/live/8Q9kXLjfzaoTBbLjv/user-info</t>
  </si>
  <si>
    <t>12/01/2024</t>
  </si>
  <si>
    <t>Sono excessivo</t>
  </si>
  <si>
    <t xml:space="preserve">08:20 ( Taty) Paciente não atendeu. 16:00 (Lili): Paciente refere que não foi a APS e que irá realizar exame laboratorial por conta própria. </t>
  </si>
  <si>
    <t>https://chat-conecta.recife.pe.gov.br/live/iwkhY4WqcFZBRwx4e</t>
  </si>
  <si>
    <t>27/09/2023</t>
  </si>
  <si>
    <t>Dor muscular em região inframamária esquerda</t>
  </si>
  <si>
    <t>https://chat-conecta.recife.pe.gov.br/live/Rep4Gfxh3bGMunJ3T/room-info</t>
  </si>
  <si>
    <t>05/12/2023</t>
  </si>
  <si>
    <t xml:space="preserve">09:10 ( taty) Paciente internada no HMR . Aguarda USG e conduta ( provavel cerlagem), nega hoje dor ou sangramento, refere repouso absoluto </t>
  </si>
  <si>
    <t>Mirella Alexandra Queiroz Silva</t>
  </si>
  <si>
    <t>https://chat-conecta.recife.pe.gov.br/live/ioeSwQsHx96AsjnZZ/room-info</t>
  </si>
  <si>
    <t>09:35 ( Taty) Paciente não atendeu;  11:22 (taty) paciente nao atendeu</t>
  </si>
  <si>
    <t xml:space="preserve">16:43 (taty)Contração + lombalgia , sem perda de liquido ou sangramento, sem queixas urinarioas  e  MF presente, encaminho a maternidade </t>
  </si>
  <si>
    <t>Itamara Karoline Maria Odilon da Silva</t>
  </si>
  <si>
    <t>https://chat-conecta.recife.pe.gov.br/live/dahYTy8fMpsFfW9DB/room-info</t>
  </si>
  <si>
    <t>16:28 (taty) !7:38h (Thiago) Não completa a chamada.</t>
  </si>
  <si>
    <t>18:27h (Thiago) Não completa a chamada</t>
  </si>
  <si>
    <t>Ligar a tarde (foi encaminhada para avaliação presencial hoje na APS)</t>
  </si>
  <si>
    <t>Kassandra Maria da Silva</t>
  </si>
  <si>
    <t>https://chat-conecta.recife.pe.gov.br/live/C8Yhcsh7NCMhNpLSW/user-info</t>
  </si>
  <si>
    <t>Dor pélvica e secreção vaginal</t>
  </si>
  <si>
    <t>Feito registro e encaminhado presscrição de sintomáticos.</t>
  </si>
  <si>
    <t>PEC com instabilidade - registro feito 13/05 (Marta)</t>
  </si>
  <si>
    <t>Alice Leticia Alves do Nascimento</t>
  </si>
  <si>
    <t>https://chat-conecta.recife.pe.gov.br/live/suAdkvhHvWkCZSWZQ/user-info</t>
  </si>
  <si>
    <t>25/01/2024</t>
  </si>
  <si>
    <t>Geysiane Goncalves Anastacio</t>
  </si>
  <si>
    <t>https://chat-conecta.recife.pe.gov.br/live/RGwLiA5B6WrmvMmfm/user-info</t>
  </si>
  <si>
    <t>Pressão na pelve</t>
  </si>
  <si>
    <t>https://chat-conecta.recife.pe.gov.br/live/n4BKe9GfBkeNqK3iw</t>
  </si>
  <si>
    <t>Dor pélvica + secreção vaginal</t>
  </si>
  <si>
    <t>https://chat-conecta.recife.pe.gov.br/live/qjgRwZzCJm7NpokvD</t>
  </si>
  <si>
    <t xml:space="preserve">08:27 (taty)Gestante internada no IMIP, por ameaça de trabalho de parto prematuro,refere contrações irregulares, porem ao exame esta com dilatação de 4cm, em repouso ,  Nega perdas vaginais ou outras queixas.   </t>
  </si>
  <si>
    <t>https://chat-conecta.recife.pe.gov.br/live/M38yM7RzhPBcnhTYa/user-info</t>
  </si>
  <si>
    <t xml:space="preserve">cólicas gastrointestinais </t>
  </si>
  <si>
    <t>https://chat-conecta.recife.pe.gov.br/live/p9CNhgAmskxkjqebY/user-info</t>
  </si>
  <si>
    <t>08:17 (Taty) Paciente não atendeu 10:14 ( taty) paciente nao atendeu</t>
  </si>
  <si>
    <t>16:00 (taty) paciente não atendeu</t>
  </si>
  <si>
    <t>Allana Berenice da Silva</t>
  </si>
  <si>
    <t>https://chat-conecta.recife.pe.gov.br/live/dDq7dEaCqFipf9vmG</t>
  </si>
  <si>
    <t>20/03/2024</t>
  </si>
  <si>
    <t>Adriely Emille Gonçalves de Lima</t>
  </si>
  <si>
    <t>https://chat-conecta.recife.pe.gov.br/live/WDT2Fc683wyNam8nS/room-info#&amp;gid=1&amp;pid=3</t>
  </si>
  <si>
    <t>24/11/2024</t>
  </si>
  <si>
    <t>Elizangela Pereira de Oliveira Silva</t>
  </si>
  <si>
    <t>07881299452</t>
  </si>
  <si>
    <t>https://chat-conecta.recife.pe.gov.br/live/LZTFc7E5vJQKjwPfi/user-info</t>
  </si>
  <si>
    <t>21/09/2023</t>
  </si>
  <si>
    <t>16:00 (Lili): Paciente refere que foi diagnosticada com ITU e prescrito antibiótico.</t>
  </si>
  <si>
    <t>Ligar a tarde (Paciente encaminhada à urgência obstétrica)</t>
  </si>
  <si>
    <t>28/082023</t>
  </si>
  <si>
    <t>Rafaela Santana da Silva</t>
  </si>
  <si>
    <t>https://chat-conecta.recife.pe.gov.br/live/86R4KShPN3G5hfBAy</t>
  </si>
  <si>
    <t>10/012/2023</t>
  </si>
  <si>
    <t xml:space="preserve">Dor em flanco direito </t>
  </si>
  <si>
    <t>08:29 (taty) Paciente refere melhora da dor em flanco direito, nega queixas obstétricas e urinarias.</t>
  </si>
  <si>
    <t>https://chat-conecta.recife.pe.gov.br/live/yiY3ZpiSMBcDZiNht/members-list</t>
  </si>
  <si>
    <t>24/11/2023</t>
  </si>
  <si>
    <t>Perda de tampão mucoso/ cerclagem</t>
  </si>
  <si>
    <t xml:space="preserve">09:06 (taty) Paciente procurou atendimento no HC, hoje nega presença de sangramento, nega perdas vaginais, queixas urinarias e colicas, Refere MF presente </t>
  </si>
  <si>
    <t>Gleyce Kelly Borges de França</t>
  </si>
  <si>
    <t>https://chat-conecta.recife.pe.gov.br/live/zPW7S5a9bKyQFSxF6/room-info</t>
  </si>
  <si>
    <t>18/11/2023</t>
  </si>
  <si>
    <t>Solicitação de mediação para agendamento PNAR.</t>
  </si>
  <si>
    <t>Joanna (9h30; 14h26): não atendeu</t>
  </si>
  <si>
    <t>17:07 (taty) paciente sem queixas, porem angustiada</t>
  </si>
  <si>
    <t>Monitoramento para informar sobre agendamento de PNAR, após realizar TINC com médico Giovani</t>
  </si>
  <si>
    <t>Geane Correia de Araujo</t>
  </si>
  <si>
    <t>https://chat-conecta.recife.pe.gov.br/live/NPfqCSuNt2DDzNgLn</t>
  </si>
  <si>
    <t xml:space="preserve">09:05 (Lili): Paciente não atendeu 10:30 Paciente refere que foi atendida na Maternidade Bandeira Filho, que o BCF estava normal e que sentiu o bebê se movimentar normalmente hoje. </t>
  </si>
  <si>
    <t>https://chat-conecta.recife.pe.gov.br/live/oGH94CCqu6nP3SYwQ/room-info</t>
  </si>
  <si>
    <t>https://chat-conecta.recife.pe.gov.br/live/jDudnREXvvCbrcKxS/user-info</t>
  </si>
  <si>
    <t>18/03/2024</t>
  </si>
  <si>
    <t>https://chat-conecta.recife.pe.gov.br/direct/JqDiChnx3q5b6JYt5TQcuSEArNi4YqW2MZ</t>
  </si>
  <si>
    <t>22/02/2024</t>
  </si>
  <si>
    <t>Sem acompanhamento pré natal</t>
  </si>
  <si>
    <t>18:00 (Damartine) Retorno para a gestante, orientando que compareça nesta quinta-feira ao PN com médica da unidade.</t>
  </si>
  <si>
    <t>https://chat-conecta.recife.pe.gov.br/live/SiBvyBMwEDJe5Awgv/user-info</t>
  </si>
  <si>
    <t>Warla Kelle da Silva</t>
  </si>
  <si>
    <t>09112033464</t>
  </si>
  <si>
    <t>https://chat-conecta.recife.pe.gov.br/live/BQrofuawLzq9hSffu/room-info</t>
  </si>
  <si>
    <t>Contações</t>
  </si>
  <si>
    <t>10:24 (taty) paciente nao atendeu ; 12:13 (taty) microcip com instabilidade</t>
  </si>
  <si>
    <t>Joanna (16h): indisponível</t>
  </si>
  <si>
    <t>Maria Luiza Sales Pessoa de Meireles</t>
  </si>
  <si>
    <t>https://chat-conecta.recife.pe.gov.br/live/9G2xJLjeMHJhAAKMm/user-info</t>
  </si>
  <si>
    <t>08:30 (taty) puerpera levou filho a pediatra peso atual 3100 e 51cm, refere diurese e evacuaçoes presentes, colicas noturanas, oriento e encaminho gestante a nutrição</t>
  </si>
  <si>
    <t>sem acompanhamento de pré-natal</t>
  </si>
  <si>
    <t>https://chat-conecta.recife.pe.gov.br/live/rn4GpN6FoSbspp6Fz</t>
  </si>
  <si>
    <t>10/12/2023</t>
  </si>
  <si>
    <t>dor em flanco direito</t>
  </si>
  <si>
    <t>Hellen Sulyva Pereira da Silva</t>
  </si>
  <si>
    <t>09649602496</t>
  </si>
  <si>
    <t>https://chat-conecta.recife.pe.gov.br/live/2bL3fx6mPZnxyd6na/room-info</t>
  </si>
  <si>
    <t>31/08/2024</t>
  </si>
  <si>
    <t xml:space="preserve">08:20/ 11:10 (Lili): Paciente não atendeu </t>
  </si>
  <si>
    <t>Joanna (14h27; 17h08): não atendeu</t>
  </si>
  <si>
    <t xml:space="preserve">Não foi encaminhada à APS porque enfermeira está de férias e não tem médico. SG sem sinais de alerta. </t>
  </si>
  <si>
    <t>https://chat-conecta.recife.pe.gov.br/live/WApNrz3K6aa8cXpC3</t>
  </si>
  <si>
    <t>22/01/2024</t>
  </si>
  <si>
    <t>Pryscilla Matos do Nascimento</t>
  </si>
  <si>
    <t>https://chat-conecta.recife.pe.gov.br/live/8tzamN7wbdQPpzDHd/room-info</t>
  </si>
  <si>
    <t>08:27 (Rhayza): nao atendeu</t>
  </si>
  <si>
    <t>Joanna (14h30; 17h09): não atendeu</t>
  </si>
  <si>
    <t>https://chat-conecta.recife.pe.gov.br/live/FELS5sdARpBuD8jyn</t>
  </si>
  <si>
    <t>https://chat-conecta.recife.pe.gov.br/live/q8oEvo9QQsy76MeEc/user-info</t>
  </si>
  <si>
    <t>https://chat-conecta.recife.pe.gov.br/live/RdasYAmKuFQQnL7cu/room-info</t>
  </si>
  <si>
    <t>https://chat-conecta.recife.pe.gov.br/live/TE2qhzyKvuX8jjxwn/room-info</t>
  </si>
  <si>
    <t>Leinadh Maria da Silva Martins</t>
  </si>
  <si>
    <t>09190352483</t>
  </si>
  <si>
    <t>https://chat-conecta.recife.pe.gov.br/live/TE2qhzyKvuX8jjxwn/user-info</t>
  </si>
  <si>
    <t>duvidas quanto ao trabalho de parto (40s)</t>
  </si>
  <si>
    <t>https://chat-conecta.recife.pe.gov.br/live/RdasYAmKuFQQnL7cu/members-list</t>
  </si>
  <si>
    <t>https://chat-conecta.recife.pe.gov.br/live/GHvrDD4ZBXdyy8mR7/user-info</t>
  </si>
  <si>
    <t xml:space="preserve">(Lili): Paciente refere perda de líquido, encaminho para urgência obstétrica. Também refere que iniciou pré-natal em outra USF e será encaminhada ao PNAR. </t>
  </si>
  <si>
    <t>Fernanda Bezerra da Silva</t>
  </si>
  <si>
    <t>https://chat-conecta.recife.pe.gov.br/live/EjM4ydqyTRrgu7QgL/room-info</t>
  </si>
  <si>
    <t>18/09/2023</t>
  </si>
  <si>
    <t>09:47 ( taty) Paciente relata dor leve " virilha " refere contrações de treinamentos com colicas discreta, Nega sangramento, queixas urinarias, dor lombar ou outros sinais de alerta.</t>
  </si>
  <si>
    <t>https://chat-conecta.recife.pe.gov.br/live/bDpZL6bxbZLvqjpbv/user-info</t>
  </si>
  <si>
    <t>tampão mucoso</t>
  </si>
  <si>
    <t>Joanna (11h20; 13h58; 17h40): não atendeu</t>
  </si>
  <si>
    <t>https://chat-conecta.recife.pe.gov.br/live/LJQ68yNxuZKQFhqNa</t>
  </si>
  <si>
    <t>https://chat-conecta.recife.pe.gov.br/live/esjcEcd8NsSvmfDTx</t>
  </si>
  <si>
    <t>14:00h (Thiago) Paciente apresenta melhora das cólicas.</t>
  </si>
  <si>
    <t>Ligar entre 14h - 15h para reavaliar a cólica.</t>
  </si>
  <si>
    <t>Crislaine Estima da Silva</t>
  </si>
  <si>
    <t>https://chat-conecta.recife.pe.gov.br/live/3i8GDcP74euvyRq4y/user-info</t>
  </si>
  <si>
    <t>https://chat-conecta.recife.pe.gov.br/live/YPTtEWNCoR3MAMJnK/user-info</t>
  </si>
  <si>
    <t>edema no local da injeção (benzetacil)</t>
  </si>
  <si>
    <t>09:42 ( taty) paciente não atendeu</t>
  </si>
  <si>
    <t>16:27 (Taty) paciente não atendeu</t>
  </si>
  <si>
    <t>mantém dor em baixo ventre de intensidade leve, mais localizada no lado esquerdo. No geral, refere que apresenta melhora considerável. Nega perdas vaginais e outras queixas. Mantém boa movimentação fetal. Glicemia e PA sem alterações.</t>
  </si>
  <si>
    <t>Agendar monitoramento para 20/05/24, considerar TINC para avliar quadro geral da gestante.</t>
  </si>
  <si>
    <t>Ladijane Miranda de Siqueira</t>
  </si>
  <si>
    <t>06040753404</t>
  </si>
  <si>
    <t>https://chat-conecta.recife.pe.gov.br/live/6oRFbYZ982SuGG7y5/user-info</t>
  </si>
  <si>
    <t xml:space="preserve"> 17/01/2024</t>
  </si>
  <si>
    <t>Após o atendimento realizado ontem, fez uso do sintomático, porém, não apresentou melhora e a dor ficou mais intensa. Conforme orientação que recebeu na teleconsulta, foi à urgência do IMIP. Contatou-se trabalho de parto prematuro. RN nasceu no IMIP, dia 17/05, IG = 29s, com P = 1,2kg, parto vaginal. Refere que a RN está conseguindo respirar bem e apresenta bom estado geral. Segue em bom estado geral (SIC). Puérpera sem queixas.</t>
  </si>
  <si>
    <t>Debora Amanda da Silva</t>
  </si>
  <si>
    <t>https://chat-conecta.recife.pe.gov.br/live/3KGQ6uXXWrcejMkcx</t>
  </si>
  <si>
    <t>01/09/2023</t>
  </si>
  <si>
    <t>Mobilograma = 1 MF em 1h. Encaminho para avaliação na urgência obstétrica</t>
  </si>
  <si>
    <t>(Lari) Realizo monitoramento. Oriento nitrofurantoina profilático, MAPA e perfil de HGT</t>
  </si>
  <si>
    <t>Leila Flavia Nascimento da Silva</t>
  </si>
  <si>
    <t>https://chat-conecta.recife.pe.gov.br/live/bDTy44WhXchXergXn</t>
  </si>
  <si>
    <t>09:00h (Thiago) Usuária não atende a chamada.</t>
  </si>
  <si>
    <t>14:00h (Thiago) Usuária não atende a chamada.</t>
  </si>
  <si>
    <t>09:10h (Thiago) Usuária não atende a chamada.</t>
  </si>
  <si>
    <t>14:10h (Thiago) Usuária não atende a chamada.</t>
  </si>
  <si>
    <t>17/01/2024</t>
  </si>
  <si>
    <t>https://chat-conecta.recife.pe.gov.br/live/tJpBn7MqFqbp2e3kS</t>
  </si>
  <si>
    <t>https://chat-conecta.recife.pe.gov.br/live/C7oqL2ud3MZt2u3hn/user-info</t>
  </si>
  <si>
    <t>16:00h (Thiago) Gestante encontrava-se em atendimento na Bandeira Filho.</t>
  </si>
  <si>
    <t>Ligar às 16h para checar acesso à MBF.</t>
  </si>
  <si>
    <t>Anna Regina Guedes de Souza</t>
  </si>
  <si>
    <t>09075251483</t>
  </si>
  <si>
    <t>https://chat-conecta.recife.pe.gov.br/live/RyFSFhNSGGHNRf7sv</t>
  </si>
  <si>
    <t>23/03/2024</t>
  </si>
  <si>
    <t>https://chat-conecta.recife.pe.gov.br/live/W7DrXGZKt43eWc7iR/user-info</t>
  </si>
  <si>
    <t>16:48 (Lili) Paciente não atendeu. ligar as 16h para avaliar melhora da cefaleia</t>
  </si>
  <si>
    <t>18:00 (Camilla) Não atendeu</t>
  </si>
  <si>
    <t>Isabela Patricia da Silva Mendes</t>
  </si>
  <si>
    <t>https://chat-conecta.recife.pe.gov.br/live/nNTApPW98vGd25PDa/room-info</t>
  </si>
  <si>
    <t>09/11/2023</t>
  </si>
  <si>
    <t>Jania Alexandre Ricardo Freitas</t>
  </si>
  <si>
    <t>08579549469</t>
  </si>
  <si>
    <t>https://chat-conecta.recife.pe.gov.br/live/L2BfMcxxapK6jv2vj/user-info</t>
  </si>
  <si>
    <t>Ansiedade sobre momento do parto/ internamento</t>
  </si>
  <si>
    <t>https://chat-conecta.recife.pe.gov.br/live/TXrK4iYuBpRsCvb3S/user-info</t>
  </si>
  <si>
    <t>Solicitação de mediação PNAR / perda de líquido</t>
  </si>
  <si>
    <t xml:space="preserve">Pct foi ao HMR (22/05) e constatou que nao há perda de LA. Retornará ao PN amanhã. </t>
  </si>
  <si>
    <t>Informou que nao poderia entrar em contato por videochamada. Monitoramento feito por telefone.</t>
  </si>
  <si>
    <t>https://chat-conecta.recife.pe.gov.br/live/f9CJ9fpwKdydNazEG/room-info</t>
  </si>
  <si>
    <t>Rhayza (16:00) nao atendeu</t>
  </si>
  <si>
    <t>Rhayza (17:15) nao atendeu</t>
  </si>
  <si>
    <t xml:space="preserve">10:50h Paciente sem queixas, refere que foi para PN ontem na nova USF, sendo ecaminhada para o PNAR, e prescrito carbonato de cálcio para prevenção de PE. </t>
  </si>
  <si>
    <t>Saber se conseguiu encaminhamento para PNAR</t>
  </si>
  <si>
    <t>https://chat-conecta.recife.pe.gov.br/live/SiXEkNyhYPexDRTYB/room-info</t>
  </si>
  <si>
    <t>Dor e distensão abdominal</t>
  </si>
  <si>
    <t>Larisse Crispiniano da Silva</t>
  </si>
  <si>
    <t>https://chat-conecta.recife.pe.gov.br/live/REAFdqte2DKN4QpLP/room-info</t>
  </si>
  <si>
    <t>12/08/2023</t>
  </si>
  <si>
    <t>https://chat-conecta.recife.pe.gov.br/live/zYgtdJFJ3rJJACTvY/user-info</t>
  </si>
  <si>
    <t>25/09/2023</t>
  </si>
  <si>
    <t>hemorroida</t>
  </si>
  <si>
    <t xml:space="preserve">Rhayza (08:04) Não atendeu </t>
  </si>
  <si>
    <t xml:space="preserve">Rhayza (16:16) não atendeu </t>
  </si>
  <si>
    <t>Patricia da Silva Nascimento</t>
  </si>
  <si>
    <t>09061804493</t>
  </si>
  <si>
    <t>https://chat-conecta.recife.pe.gov.br/live/rkDpTrAb2zbsZZtEn/room-info</t>
  </si>
  <si>
    <t>Camilla (13h50) Gestante informa que estava dormindo, mas que o sangramento cessou.  Encerro o caso.</t>
  </si>
  <si>
    <t>Ligar às 14h - A conversa do Hopchat está em aberto no usuário de Camilla</t>
  </si>
  <si>
    <t>Gleyciane Maria da Silva Sales</t>
  </si>
  <si>
    <t>https://chat-conecta.recife.pe.gov.br/live/HC8js47RFGjMnqrgo/room-info</t>
  </si>
  <si>
    <t>21/08/2024</t>
  </si>
  <si>
    <t xml:space="preserve">Rhayza (16:18) Não atendeu </t>
  </si>
  <si>
    <t>Rhayza (17:46)</t>
  </si>
  <si>
    <t>Ligar às 16h - Reavaliar nauseas e vomitos e presença de sinais de TP</t>
  </si>
  <si>
    <t>https://chat-conecta.recife.pe.gov.br/live/eN55dtLrcue6ioXq6/room-info</t>
  </si>
  <si>
    <t>11:40 Paciente no IMIP aguardando atendimento. Relata peristência do sangramento</t>
  </si>
  <si>
    <t>Caroline Eugenia Araújo da Silva Oliveira</t>
  </si>
  <si>
    <t>https://chat-conecta.recife.pe.gov.br/live/uRmrzRFMFLpwi627A/room-info</t>
  </si>
  <si>
    <t>8h12 (Camilla) Não atendeu. 12h19 Não atendeu.</t>
  </si>
  <si>
    <t>16:11h (Thiago) Não atende a ligação.</t>
  </si>
  <si>
    <t>Juliana Maria da Silva de Araujo</t>
  </si>
  <si>
    <t>07237724444</t>
  </si>
  <si>
    <t>https://chat-conecta.recife.pe.gov.br/live/irRDQxrq8Wt5xQkxs/room-info</t>
  </si>
  <si>
    <t>03/11/2024</t>
  </si>
  <si>
    <t>https://chat-conecta.recife.pe.gov.br/live/QgyfPRR29Fw4fxpBr</t>
  </si>
  <si>
    <t>(Thiago) 8:30h Telefone ocupado, paciente não atende a chamada.</t>
  </si>
  <si>
    <t>(Thiago) 13:30h Telefone ocupado, paciente não atende a chamada.</t>
  </si>
  <si>
    <t>https://chat-conecta.recife.pe.gov.br/live/TSDPJpdEARmRSkntZ/room-info</t>
  </si>
  <si>
    <t>(Rhayza) 09:38 Atendeu e desligou</t>
  </si>
  <si>
    <t>(Rhayza) 16:45 Não atendeu</t>
  </si>
  <si>
    <t>Lucelia Maria Vitor do Nascimento</t>
  </si>
  <si>
    <t>05365206401</t>
  </si>
  <si>
    <t>https://chat-conecta.recife.pe.gov.br/live/o4i274noExP4KFtZD#&amp;gid=1&amp;pid=4</t>
  </si>
  <si>
    <t>27/02/2024</t>
  </si>
  <si>
    <t>https://chat-conecta.recife.pe.gov.br/live/M5AJwqY9hTP9hsbzn/room-info</t>
  </si>
  <si>
    <t>13/03/2024</t>
  </si>
  <si>
    <t>(Rhayza) 09:41 Nao atendeu</t>
  </si>
  <si>
    <t>Monitoramento realizado. Realizar novo monitoramento 27/05</t>
  </si>
  <si>
    <t>Avaliar evolução do sangramento transvaginal e acesso a APS</t>
  </si>
  <si>
    <t>Tainan da Silva Lima</t>
  </si>
  <si>
    <t>https://chat-conecta.recife.pe.gov.br/live/wKzKnY2JEsvez7qTe/room-info</t>
  </si>
  <si>
    <t>(Rhayza) 09:43 Nao atendeu</t>
  </si>
  <si>
    <t>(Rhayza) 16:49</t>
  </si>
  <si>
    <t xml:space="preserve">Gestante procurou o IMIP ontem, realizar novo monitoramento amanha </t>
  </si>
  <si>
    <t>Maria Jose Elias de Araujo</t>
  </si>
  <si>
    <t>03345996448</t>
  </si>
  <si>
    <t>https://chat-conecta.recife.pe.gov.br/live/mDSscMFhtKxSRk8wM/room-info</t>
  </si>
  <si>
    <t>Foliculite</t>
  </si>
  <si>
    <t xml:space="preserve">Gestante não tomou medicação para dor e nao procurou hospital, pediu para retornar a tarde </t>
  </si>
  <si>
    <t>Checar acesso ao CISAM à tarde, gestante diz que não conseguirá ir à Barros Lima.</t>
  </si>
  <si>
    <t>Silvana Kimberlly Libanio Soares Silva</t>
  </si>
  <si>
    <t>https://chat-conecta.recife.pe.gov.br/live/HvG3Hf6MtQt96AqC5</t>
  </si>
  <si>
    <t>25/02/2024</t>
  </si>
  <si>
    <t>11:00h (Thiago) Nao atendeu a chamada.</t>
  </si>
  <si>
    <t>17:00h (Thiago) Nao atendeu a chamada.</t>
  </si>
  <si>
    <t>Bruna Rita Oliveira de Albuquerque</t>
  </si>
  <si>
    <t>06366530483</t>
  </si>
  <si>
    <t>https://chat-conecta.recife.pe.gov.br/live/Wv4wZsCDqMyrkzAHt/room-info</t>
  </si>
  <si>
    <t>Foliculite?</t>
  </si>
  <si>
    <t>https://chat-conecta.recife.pe.gov.br/live/dmHQswBy5gDbErr3h/room-info</t>
  </si>
  <si>
    <t>10/03/2024</t>
  </si>
  <si>
    <t>08:15h (Lili): Ligar a tarde</t>
  </si>
  <si>
    <t>16:10h (Thiago) Não atende a ligação.</t>
  </si>
  <si>
    <t>Helen Jayane da Silva Martiniano</t>
  </si>
  <si>
    <t>https://chat-conecta.recife.pe.gov.br/direct/TQcuSEArNi4YqW2MZrD7nzdMcrwARnnswP</t>
  </si>
  <si>
    <t>Emanuela Danielle Silva de Moura</t>
  </si>
  <si>
    <t>https://chat-conecta.recife.pe.gov.br/live/GczgX5YLhyZj3MdrT/room-info</t>
  </si>
  <si>
    <t>27/01/2024</t>
  </si>
  <si>
    <t>https://chat-conecta.recife.pe.gov.br/live/gw8z9yc5S5BxidyoK</t>
  </si>
  <si>
    <t>8h15 (Camilla) Não atendeu. 12h22 Não atendeu.</t>
  </si>
  <si>
    <t>16:50h (Thiago) Não completa a ligação.</t>
  </si>
  <si>
    <t>Jessica Pinheiro da Silva</t>
  </si>
  <si>
    <t>https://chat-conecta.recife.pe.gov.br/omnichannel-directory/chats/view/XtDv9XtgshTPFwR5i</t>
  </si>
  <si>
    <t>16/10/2023</t>
  </si>
  <si>
    <t>09:10 (taty) Paciente não atendeu 12h28 (camilla) Ligação atende, mas sinal ruim, não consigo comunicação.</t>
  </si>
  <si>
    <t>17:00h (Thiago) Gestante compareceu à sua unidade e foi orientada a retornar amanhã.</t>
  </si>
  <si>
    <t>https://chat-conecta.recife.pe.gov.br/live/wzbTkDnqRDE3x5qfA</t>
  </si>
  <si>
    <t>Sintomas respiratórios</t>
  </si>
  <si>
    <t xml:space="preserve">09:40 (Lili) Paciente não atendeu </t>
  </si>
  <si>
    <t>15:40 (Thiago) Paciente não atendeu.</t>
  </si>
  <si>
    <t xml:space="preserve">Gleice Correia de Oliveira </t>
  </si>
  <si>
    <t>https://chat-conecta.recife.pe.gov.br/live/r5niX7Txd6au46Djc</t>
  </si>
  <si>
    <t>Desconforto pélvico e lombar</t>
  </si>
  <si>
    <t>Telefone do esposo.</t>
  </si>
  <si>
    <t>https://chat-conecta.recife.pe.gov.br/live/GK3DuFZokjHkRm9PR</t>
  </si>
  <si>
    <t>Secreção em FO</t>
  </si>
  <si>
    <t xml:space="preserve">08h20 Paciente não atendeu / 13:10h (Lili): Paciente não atendeu </t>
  </si>
  <si>
    <t>Joanna (17h): não atendeu</t>
  </si>
  <si>
    <t>Jessica Priscila da Silva Gomes</t>
  </si>
  <si>
    <t>https://chat-conecta.recife.pe.gov.br/live/4K83cYoqZJMWkoopL/room-info</t>
  </si>
  <si>
    <t>19/10/2023</t>
  </si>
  <si>
    <t>09h35 (Camilla) Gestante internada no HAM. Encerro caso e dou alta do episódio.</t>
  </si>
  <si>
    <t>Karina Bezerra dos Santos</t>
  </si>
  <si>
    <t>09085672430</t>
  </si>
  <si>
    <t>https://chat-conecta.recife.pe.gov.br/live/Egynxpvsz5BiZmNte</t>
  </si>
  <si>
    <t>03/2/08/2023</t>
  </si>
  <si>
    <t xml:space="preserve">Desconforto abdominal </t>
  </si>
  <si>
    <t>Rayane Milena da Silva</t>
  </si>
  <si>
    <t>https://chat-conecta.recife.pe.gov.br/omnichannel-directory/chats/view/eZNCqLDwhnaSogywR/room-info</t>
  </si>
  <si>
    <t>26/04/2024</t>
  </si>
  <si>
    <t>Irregularidade menstrual</t>
  </si>
  <si>
    <t>https://chat-conecta.recife.pe.gov.br/live/SpYsRE7QmAuqDZinD/contact-chat-history</t>
  </si>
  <si>
    <t>Bruna Rafaela Rodrigues da Silva</t>
  </si>
  <si>
    <t>08283085433</t>
  </si>
  <si>
    <t>https://chat-conecta.recife.pe.gov.br/live/59rCpymG9MbtoYKFp/room-info</t>
  </si>
  <si>
    <t xml:space="preserve">Rhayza (08:37) Não atendeu 11:02 (taty) ligar as 12h estava em consulta </t>
  </si>
  <si>
    <t>Rhayza (14: 54) Não atendeu</t>
  </si>
  <si>
    <t>Thayna Elias Braz Pereira</t>
  </si>
  <si>
    <t>https://chat-conecta.recife.pe.gov.br/live/aWL3dzB4mDB6cLWQk/room-info</t>
  </si>
  <si>
    <t>ligar as 16:30</t>
  </si>
  <si>
    <t>https://chat-conecta.recife.pe.gov.br/live/HE9wg335DEGEnuXK9/user-info</t>
  </si>
  <si>
    <t>tampao mucoso</t>
  </si>
  <si>
    <t>(Camilla) 08h12 não atendeu.</t>
  </si>
  <si>
    <t>(Thiago) 14:50h, não atendeu.</t>
  </si>
  <si>
    <t>Avaliar perfil glicêmico nas últimas 24h.</t>
  </si>
  <si>
    <t>Maria Angelica Gonçalves da Silva</t>
  </si>
  <si>
    <t>https://chat-conecta.recife.pe.gov.br/live/kbEASpjrpZ9fd5iNP/user-info</t>
  </si>
  <si>
    <t xml:space="preserve">Rhayza (08:40) Não atendeu </t>
  </si>
  <si>
    <t xml:space="preserve">Rhayza (14:57) Nao atendeu  </t>
  </si>
  <si>
    <t>https://chat-conecta.recife.pe.gov.br/live/H47ENv8Tx2LEoGPjL/room-info</t>
  </si>
  <si>
    <t>05/10/2024</t>
  </si>
  <si>
    <t>Joanna (7h58; 13h24; 18h): não atendeu</t>
  </si>
  <si>
    <t>Joyce Silva Prazeres</t>
  </si>
  <si>
    <t>https://chat-conecta.recife.pe.gov.br/live/9WvickZjiJEQELaF2/members-list</t>
  </si>
  <si>
    <t>15/03/2024</t>
  </si>
  <si>
    <t>https://chat-conecta.recife.pe.gov.br/live/yxCf8Ao3nfiWcZMvT</t>
  </si>
  <si>
    <t xml:space="preserve">Diarréia </t>
  </si>
  <si>
    <t>08:01 (taty) paciente não atendeu</t>
  </si>
  <si>
    <t xml:space="preserve">Foi atendida na USF. Refere melhora considerável. </t>
  </si>
  <si>
    <t>Wanessa Daphine de Araujo</t>
  </si>
  <si>
    <t>https://chat-conecta.recife.pe.gov.br/live/W7Jw76qsWbDu7j4RB</t>
  </si>
  <si>
    <t>USG alterada 8s4d sem AC</t>
  </si>
  <si>
    <t>Laís Marta Pereira</t>
  </si>
  <si>
    <t>09327901436</t>
  </si>
  <si>
    <t>https://chat-conecta.recife.pe.gov.br/live/5XPj5pAaCE7Zx7NLg/user-info</t>
  </si>
  <si>
    <t xml:space="preserve">08:50 (taty) Paciente refere melhora do quadro apos uso de analgesico, nega queixas obstetricas, urinaria e sinais de eminência </t>
  </si>
  <si>
    <t>Rhayza (17:15) sem conseguir contato telefonico</t>
  </si>
  <si>
    <t>Ligar as 17 horas - telemonitoramento realizado dia 30/05</t>
  </si>
  <si>
    <t>https://chat-conecta.recife.pe.gov.br/live/D8RLp69xF28EwFneB/user-info</t>
  </si>
  <si>
    <t>Ellen Mayra da Silva Ferreira</t>
  </si>
  <si>
    <t>https://chat-conecta.recife.pe.gov.br/live/KLTjRkqg2xoM6TZut</t>
  </si>
  <si>
    <t>Joanna (08h8): não atendeu 12:42 (taty) não completou a chamada</t>
  </si>
  <si>
    <t xml:space="preserve">14:19 ( taty) paciente não atendeu </t>
  </si>
  <si>
    <t>https://chat-conecta.recife.pe.gov.br/live/7fEWjjB9PTSzaizwQ</t>
  </si>
  <si>
    <t>(Camilla) 08h20 não atendeu.</t>
  </si>
  <si>
    <t>(Thiago) Não completa a ligação.</t>
  </si>
  <si>
    <t>Confirmar acesso à maternidade e reavaliar sintomas</t>
  </si>
  <si>
    <t>https://chat-conecta.recife.pe.gov.br/live/mLGoK8riyYGXLS6Bw/room-info</t>
  </si>
  <si>
    <t>(Camilla)  Às 14h não completa a ligação</t>
  </si>
  <si>
    <t>(Camilla) Às 16h. não completa a ligação.</t>
  </si>
  <si>
    <t>Ligar à tarde. Encaminhada ao banco de leite.Ligação chama duas vezes no Microsip e cai.</t>
  </si>
  <si>
    <t>https://chat-conecta.recife.pe.gov.br/live/7v873YBzShCTMkQLW</t>
  </si>
  <si>
    <t>Mobilograma = 20 MF</t>
  </si>
  <si>
    <t>Stefany Souza Silva</t>
  </si>
  <si>
    <t>https://chat-conecta.recife.pe.gov.br/live/t9hA4JHWvY2MsFqt3/user-info</t>
  </si>
  <si>
    <t>Pródromos de trabalho de parto</t>
  </si>
  <si>
    <t>(Camilla) 16h Gestante refere que as contrações não aumentaram. Continua em pródromos. Oriento e encerro caso.</t>
  </si>
  <si>
    <t>Ligar às 16h. Reavaliar TP - Formulario de monitoramento preenchido dia 04/06</t>
  </si>
  <si>
    <t>Andreza Goncalves do Nascimento</t>
  </si>
  <si>
    <t>08920287422</t>
  </si>
  <si>
    <t>https://chat-conecta.recife.pe.gov.br/live/EYi5wMbSFtekfQLeW/room-info</t>
  </si>
  <si>
    <t>dor em MMII</t>
  </si>
  <si>
    <t>10:00h (Thiago) Usuária não atende a ligação.</t>
  </si>
  <si>
    <t>17:00h (Thiago) Não completa a ligação.</t>
  </si>
  <si>
    <t>Adrielly Emille Goncalves de Lima</t>
  </si>
  <si>
    <t>https://chat-conecta.recife.pe.gov.br/live/NzuAX2fuDvLNid6Pm</t>
  </si>
  <si>
    <t>Refere melhora considerável após iniciar uso de Cefalexina no dia 01/06; nega novos sintomas e sinais de alerta. Optou por aguardar a consulta de pré-natal que está agendada para o dia 06/06, portanto, não buscará atendimento hoje na USF, conforme orientação recebida na teleconsulta do dia 01/06.</t>
  </si>
  <si>
    <t>Layla Beatriz Xavier Correia</t>
  </si>
  <si>
    <t>https://chat-conecta.recife.pe.gov.br/live/wYhjtz5PLqkCoEeve</t>
  </si>
  <si>
    <t>Puérpera refere melhora da amamentação. Nega queixas. Disse que amanh~ã tem consulta no posto de saúde.</t>
  </si>
  <si>
    <t>Checar vinculação à USF Alto do Maracanã, puérpera mudou-se recentemente para o território, ainda sem visita puerperal da equipe.</t>
  </si>
  <si>
    <t>Fabiana da Silva Alexandre</t>
  </si>
  <si>
    <t>06620762492</t>
  </si>
  <si>
    <t>https://chat-conecta.recife.pe.gov.br/live/4nLmynik4jnDFXCHS</t>
  </si>
  <si>
    <t>01/01/2024</t>
  </si>
  <si>
    <t>Bianca Xaiane Marques Lira Paz</t>
  </si>
  <si>
    <t>https://chat-conecta.recife.pe.gov.br/live/RQhZJYSuCyt8TK4KW/room-info</t>
  </si>
  <si>
    <t>Falar com Lili</t>
  </si>
  <si>
    <t>Josilene de Oliveira Nunes</t>
  </si>
  <si>
    <t>07801832400</t>
  </si>
  <si>
    <t>https://chat-conecta.recife.pe.gov.br/live/hbKHmedcAsJqBWZjw/user-info</t>
  </si>
  <si>
    <t>03/09/2023</t>
  </si>
  <si>
    <t>https://chat-conecta.recife.pe.gov.br/live/bgDhgvtu4L7BYDax3/room-info</t>
  </si>
  <si>
    <t xml:space="preserve">Realizado teleatendimento e durante teleconsulta perco contato telefônico com a paciente. Faço 3 tentativas de contato por telefone porém gestante não atende. Informaria que como há incongruência entre queixas e exame físico realizado hoje pela manha na última consulta de PN, orientaria retorno a unidade de saúde para nova avaliação presencial </t>
  </si>
  <si>
    <t>Havane Sumaya da Silva</t>
  </si>
  <si>
    <t>https://chat-conecta.recife.pe.gov.br/live/fJLEc8JKRAvGSRiT7</t>
  </si>
  <si>
    <t>17/08/2023</t>
  </si>
  <si>
    <t>08h05 (Lari) Telefone não atende</t>
  </si>
  <si>
    <t>18h (Camilla) Chama duas vezes e cai ligação.</t>
  </si>
  <si>
    <t>https://chat-conecta.recife.pe.gov.br/live/ugo5ocfiD2PFjBbTn/members-list</t>
  </si>
  <si>
    <t>28/08/2024</t>
  </si>
  <si>
    <t>QUANDO PROCURAR A MATERNIDADE  (GUTT+ DMG)</t>
  </si>
  <si>
    <t xml:space="preserve">08:29h (Lili): Paciente internada no HMR. </t>
  </si>
  <si>
    <t>Monitorar dia 05/06 para checar acesso à maternidade (DMG).</t>
  </si>
  <si>
    <t>Jessica Regina da Silva Brasileiro</t>
  </si>
  <si>
    <t>https://chat-conecta.recife.pe.gov.br/live/SktjE7pqwaEK5btiG/room-info</t>
  </si>
  <si>
    <t>07/03/2024</t>
  </si>
  <si>
    <t>Dúvida de quando ir para maternidade</t>
  </si>
  <si>
    <t>https://chat-conecta.recife.pe.gov.br/live/mLpGEgPv4gYrGFA27/user-info</t>
  </si>
  <si>
    <t>Pamela Vitoria da Silva Santos</t>
  </si>
  <si>
    <t>https://chat-conecta.recife.pe.gov.br/live/xMXigdLeLCZeaCRFA/user-info</t>
  </si>
  <si>
    <t>24/03/2024</t>
  </si>
  <si>
    <t>Carolayne Lins Ferreira</t>
  </si>
  <si>
    <t>https://chat-conecta.recife.pe.gov.br/live/jiCMh3NCYdMzxQkwr/room-info</t>
  </si>
  <si>
    <t>28/11/2023</t>
  </si>
  <si>
    <t>Gleice Kelly Felix da Silva</t>
  </si>
  <si>
    <t>https://chat-conecta.recife.pe.gov.br/live/HDPy7hR8Rn4FKRLzR/uploaded-files-list</t>
  </si>
  <si>
    <t>,</t>
  </si>
  <si>
    <t xml:space="preserve">  </t>
  </si>
  <si>
    <t xml:space="preserve">   </t>
  </si>
  <si>
    <t xml:space="preserve">                                                                                                                                                                                                                                                                                                                                                                                                                                                                                                                                                                                                                                                                                                                                                                                                                           </t>
  </si>
  <si>
    <t xml:space="preserve">                                 </t>
  </si>
  <si>
    <t/>
  </si>
  <si>
    <t>Nome do profissional</t>
  </si>
  <si>
    <t>Primeiro nome</t>
  </si>
  <si>
    <t>ENVIAR TEMPLATE?</t>
  </si>
  <si>
    <t>ENVIADO?</t>
  </si>
  <si>
    <t>NÃO ENVIAR PARA</t>
  </si>
  <si>
    <t>Situação do ciclo gravídico puerperal</t>
  </si>
  <si>
    <t>Unidade</t>
  </si>
  <si>
    <t>Nome Paciente</t>
  </si>
  <si>
    <t>CNS Paciente</t>
  </si>
  <si>
    <t>TEMPLATE IN CHAT</t>
  </si>
  <si>
    <t>ESPERA ENTRE TEMPLATES (SEGUNDOS)</t>
  </si>
  <si>
    <t>TEMPLATE</t>
  </si>
  <si>
    <t>gestante</t>
  </si>
  <si>
    <t>MARIA TEREZA CARNEIRO LEAO DE BIASE</t>
  </si>
  <si>
    <t>Usf Rio Pajeu</t>
  </si>
  <si>
    <t>enviar</t>
  </si>
  <si>
    <t>CARLOS ALBERTO DE LARANJEIRAS PINTO FILHO</t>
  </si>
  <si>
    <t>Usf Vila Tamandare Beirinha</t>
  </si>
  <si>
    <t>VIVIANE PATRICIA S DE SOUZA</t>
  </si>
  <si>
    <t>CS Romildo Gomes</t>
  </si>
  <si>
    <t>ERICKA MARIA DO NASCIMENTO</t>
  </si>
  <si>
    <t>Usf Barreiras</t>
  </si>
  <si>
    <t>EDNALVA MARIA BEZERRA DE LIRA</t>
  </si>
  <si>
    <t>Usf Joaquim Costa Carvalho</t>
  </si>
  <si>
    <t>MARIA VALESKA BERARDO PESSOA DE SOUZA 171</t>
  </si>
  <si>
    <t>Selma Carolina Gomes</t>
  </si>
  <si>
    <t>Usf Bidu Krause</t>
  </si>
  <si>
    <t>POLLYANA JUSTINO DE BRITO</t>
  </si>
  <si>
    <t>Usf da Macaxeira</t>
  </si>
  <si>
    <t>BRENNO LUIS PESSOA SHIMOKAWA</t>
  </si>
  <si>
    <t>Usf Coque</t>
  </si>
  <si>
    <t>MAIANA MACIEL GUIMARAES</t>
  </si>
  <si>
    <t>CS Ver Romildo Gomes</t>
  </si>
  <si>
    <t>CINTHIA IVO DA SILVA DIAS</t>
  </si>
  <si>
    <t>puérpera</t>
  </si>
  <si>
    <t>Usf Vila Uniao</t>
  </si>
  <si>
    <t>ANDRE FILIPE FERREIRA LOPES DOS SANTOS</t>
  </si>
  <si>
    <t>Usf Vila das Aeromocas</t>
  </si>
  <si>
    <t>PATRICIA MONTEIRO DE FREITAS PAIXAO</t>
  </si>
  <si>
    <t>Usf Alto dos Coqueiros Corrego da Jaqueira</t>
  </si>
  <si>
    <t>PAULA PEDROSA SOUTO MAIOR</t>
  </si>
  <si>
    <t>Upinha Usf Padre Jose Edwaldo</t>
  </si>
  <si>
    <t>JULIANA RIBEIRO DA SILVA</t>
  </si>
  <si>
    <t>CS Ina Rosa Borges</t>
  </si>
  <si>
    <t>MARIA DAS NEVES DA SILVA</t>
  </si>
  <si>
    <t>Usf Rosa Selvagem</t>
  </si>
  <si>
    <t>ROBERTA CORREIA RIBEIRO FERREIRA DE MIRANDA</t>
  </si>
  <si>
    <t>Usf Coelhos II</t>
  </si>
  <si>
    <t>SHIRLENE ALVES ALHEIROS</t>
  </si>
  <si>
    <t>Geral</t>
  </si>
  <si>
    <t>Recepção digital</t>
  </si>
  <si>
    <t>Teleconsulta Total</t>
  </si>
  <si>
    <t>Teleconsulta efetivadas</t>
  </si>
  <si>
    <t>Telemonitoramento com sucesso</t>
  </si>
  <si>
    <t>Telemonitoramento sem sucesso</t>
  </si>
  <si>
    <t>Suporte ao profissional de saúde</t>
  </si>
  <si>
    <t>Doulas</t>
  </si>
  <si>
    <t>Horário de atualização</t>
  </si>
  <si>
    <t>Gestante de outro município</t>
  </si>
  <si>
    <t>TOTAL</t>
  </si>
  <si>
    <t>Atualizada  18/06</t>
  </si>
  <si>
    <t>Atualizada  18/06 (Gestante de Jaboatão)</t>
  </si>
  <si>
    <t>Aguardando atualização da planilha conectazap</t>
  </si>
  <si>
    <r>
      <rPr>
        <u/>
        <sz val="10"/>
        <color rgb="FF0000FF"/>
        <rFont val="Arial"/>
        <charset val="134"/>
      </rPr>
      <t xml:space="preserve">Atualizada  18/06 -Gestante de Carpina - </t>
    </r>
    <r>
      <rPr>
        <u/>
        <sz val="10"/>
        <color rgb="FF1155CC"/>
        <rFont val="Arial"/>
        <charset val="134"/>
      </rPr>
      <t>https://chatconecta.recife.pe.gov.br/live/aqp96nuK877HDFxbX/room-info</t>
    </r>
    <r>
      <rPr>
        <sz val="10"/>
        <color rgb="FF000000"/>
        <rFont val="Arial"/>
        <charset val="134"/>
        <scheme val="minor"/>
      </rPr>
      <t xml:space="preserve">              Gestante de Jaboatão - </t>
    </r>
    <r>
      <rPr>
        <u/>
        <sz val="10"/>
        <color rgb="FF1155CC"/>
        <rFont val="Arial"/>
        <charset val="134"/>
      </rPr>
      <t>https://chat-conecta.recife.pe.gov.br/live/zt6GAgMALLX4z52k4/room-info</t>
    </r>
    <r>
      <rPr>
        <sz val="10"/>
        <color rgb="FF000000"/>
        <rFont val="Arial"/>
        <charset val="134"/>
        <scheme val="minor"/>
      </rPr>
      <t xml:space="preserve">                            </t>
    </r>
  </si>
  <si>
    <t>Atualizada  18/06 - Gestante Paulista e Puerpéra de Jaboatão</t>
  </si>
  <si>
    <t>Atualizada  18/06 - Atendimento de duas puerpéras</t>
  </si>
  <si>
    <t>Atualizada  18/06 - Uma que chegou as 19h não teve interação</t>
  </si>
  <si>
    <t>Atualizada  18/06 - Uma puerpera</t>
  </si>
  <si>
    <t>Verificada 18/06</t>
  </si>
  <si>
    <t>Atualizada 19/06</t>
  </si>
  <si>
    <t>Atualizada 20/06</t>
  </si>
  <si>
    <t>Atualizada 21/06</t>
  </si>
  <si>
    <t>Atualizada 22/06</t>
  </si>
  <si>
    <t>Atualizada 24/06</t>
  </si>
  <si>
    <t>Verificada 23/06</t>
  </si>
  <si>
    <t>Atualizado 26/06 - Gestante de Jaboatão</t>
  </si>
  <si>
    <t>verificado 26/06</t>
  </si>
  <si>
    <t>Atualizado 27/06</t>
  </si>
  <si>
    <t>Atualizado 28/06</t>
  </si>
  <si>
    <t>Atualizado 29/06</t>
  </si>
  <si>
    <t>Atualizado 30/06</t>
  </si>
  <si>
    <t>Atualizado 01/07</t>
  </si>
  <si>
    <t>Atualizado 03/07</t>
  </si>
  <si>
    <t>Verificado 03/07</t>
  </si>
  <si>
    <t>Atualizado 04/07</t>
  </si>
  <si>
    <t>Atualizado 05/07</t>
  </si>
  <si>
    <t>Atualizado 06/07</t>
  </si>
  <si>
    <t>Atualizado 07/07</t>
  </si>
  <si>
    <t>Atualizado 10/07</t>
  </si>
  <si>
    <t>Verificado 10/07</t>
  </si>
  <si>
    <t>Atualizado 11/07</t>
  </si>
  <si>
    <t>Atualizado 12/07</t>
  </si>
  <si>
    <t>Atualizado 13/07</t>
  </si>
  <si>
    <t>Atualizado 14/07</t>
  </si>
  <si>
    <t>Atualizado 17/07</t>
  </si>
  <si>
    <t>Verificada 17/07</t>
  </si>
  <si>
    <t>Atualizada 18/07</t>
  </si>
  <si>
    <t>Atualizada 19/07</t>
  </si>
  <si>
    <t>Atualizado 20/07</t>
  </si>
  <si>
    <t>Atualizado 21/07</t>
  </si>
  <si>
    <t>Atualizado 22/07</t>
  </si>
  <si>
    <t>Atualizado 24/07</t>
  </si>
  <si>
    <t>Atualizado 25/07</t>
  </si>
  <si>
    <t>Atualizado 26/07</t>
  </si>
  <si>
    <t>Atualizado 27/07</t>
  </si>
  <si>
    <t>Atualizado 28/07</t>
  </si>
  <si>
    <t>Atualizado 30/07</t>
  </si>
  <si>
    <t>Atualizado 31/07</t>
  </si>
  <si>
    <t>Atualizado 01/08</t>
  </si>
  <si>
    <t>Atualizado 02/08</t>
  </si>
  <si>
    <t>Atualizado 03/08</t>
  </si>
  <si>
    <t>Atualizado 04/08</t>
  </si>
  <si>
    <t>Atualizado 07/08</t>
  </si>
  <si>
    <t>Atualizado 08/08</t>
  </si>
  <si>
    <t>Atualizado 09/08</t>
  </si>
  <si>
    <t>Atualizado 10/08</t>
  </si>
  <si>
    <t>Atualizado 11/08</t>
  </si>
  <si>
    <t>Atualizado 13/08</t>
  </si>
  <si>
    <t>Atualizado 14/08</t>
  </si>
  <si>
    <t>Atualizado 15/08</t>
  </si>
  <si>
    <t>Atualizado 16/08</t>
  </si>
  <si>
    <t>Atualizado 17/08</t>
  </si>
  <si>
    <t>Atualizado 18/08</t>
  </si>
  <si>
    <t>Atualizado 21/08</t>
  </si>
  <si>
    <t>Atualizado 21/09</t>
  </si>
  <si>
    <t>Atualizado 21/10</t>
  </si>
  <si>
    <t>Atualizada 22/08</t>
  </si>
  <si>
    <t>Atualizada 23/08</t>
  </si>
  <si>
    <t>Atualizado 24/08</t>
  </si>
  <si>
    <t>atualizado 25/08</t>
  </si>
  <si>
    <t>Atualizado 28/08</t>
  </si>
  <si>
    <t>Atualizado 29/08</t>
  </si>
  <si>
    <t>Atualizado 04/09</t>
  </si>
  <si>
    <t>Verificar novamente os dados do hopchat</t>
  </si>
  <si>
    <t>Atualizado 11/09</t>
  </si>
  <si>
    <t>Atualizado 06/09</t>
  </si>
  <si>
    <t>Atualizado 11/10</t>
  </si>
  <si>
    <t>Atualizado 11/11</t>
  </si>
  <si>
    <t>Atualizado 11/12</t>
  </si>
  <si>
    <t>Atualizado 11/13</t>
  </si>
  <si>
    <t>Atualizado 12/09</t>
  </si>
  <si>
    <t>Atualizado 13/09</t>
  </si>
  <si>
    <t>Atualizado 14/09</t>
  </si>
  <si>
    <t>Atualizado 15/09</t>
  </si>
  <si>
    <t>Atualizado 18/09</t>
  </si>
  <si>
    <t>Atualizado 19/09</t>
  </si>
  <si>
    <t>Atualizado 20/09</t>
  </si>
  <si>
    <t>Atualizado 22/09</t>
  </si>
  <si>
    <t>Atualizado 23/09</t>
  </si>
  <si>
    <t>Atualizado 25/09</t>
  </si>
  <si>
    <t>Atualizado 26/09</t>
  </si>
  <si>
    <t>Atualizado 27/09</t>
  </si>
  <si>
    <t>Atualizado 28/09</t>
  </si>
  <si>
    <t>Atualizado 209/09</t>
  </si>
  <si>
    <t>Atualizado 02/10</t>
  </si>
  <si>
    <t>Atualizado 03/10</t>
  </si>
  <si>
    <t>Atualizado 04/10</t>
  </si>
  <si>
    <t>Atualizado 05/10</t>
  </si>
  <si>
    <t>Atualizado 06/10</t>
  </si>
  <si>
    <t>Atualizado 09/10</t>
  </si>
  <si>
    <t>Atualizado 10/10</t>
  </si>
  <si>
    <t>Atualizado 16/10</t>
  </si>
  <si>
    <t>Atualizado 17/10</t>
  </si>
  <si>
    <t>Atualizado 18/10</t>
  </si>
  <si>
    <t>Atualizada 19/10</t>
  </si>
  <si>
    <t>Atualizado 20/10</t>
  </si>
  <si>
    <t>Atualizado 23/10</t>
  </si>
  <si>
    <t>Atualizado 24/10</t>
  </si>
  <si>
    <t>Atualizada 25/10</t>
  </si>
  <si>
    <t>Atualizada 26/10</t>
  </si>
  <si>
    <t>Atualizado 27/10</t>
  </si>
  <si>
    <t>Atualizado 30/10</t>
  </si>
  <si>
    <t>Atualizada 31/10</t>
  </si>
  <si>
    <t>Atualizada 01/11</t>
  </si>
  <si>
    <t>Atualizado 06/11</t>
  </si>
  <si>
    <t>Atualizado 07/11</t>
  </si>
  <si>
    <t>Atualizado 08/11</t>
  </si>
  <si>
    <t>Atualizado 09/11</t>
  </si>
  <si>
    <t>Atualizado 10/11</t>
  </si>
  <si>
    <t>Atualizado 13/11</t>
  </si>
  <si>
    <t>Atualizado 14/11</t>
  </si>
  <si>
    <t>Atualizado 16/11</t>
  </si>
  <si>
    <t>Atualizado 17/11</t>
  </si>
  <si>
    <t>Atualizado 20/11</t>
  </si>
  <si>
    <t>Atualizado 21/11</t>
  </si>
  <si>
    <t>Atualizado 22/11</t>
  </si>
  <si>
    <t>Atualizado 23/11</t>
  </si>
  <si>
    <t>Atualizado 24/11</t>
  </si>
  <si>
    <t>Atualizado 27/11</t>
  </si>
  <si>
    <t>Atualizado 28/11</t>
  </si>
  <si>
    <t>Atualizado 29/11</t>
  </si>
  <si>
    <t>Atualizado 30/11</t>
  </si>
  <si>
    <t>Atualizado 01/12</t>
  </si>
  <si>
    <t>Atualizado 04/12</t>
  </si>
  <si>
    <t>Atualizado 05/12</t>
  </si>
  <si>
    <t>Atualizado 06/12</t>
  </si>
  <si>
    <t>Atualizado 07/12</t>
  </si>
  <si>
    <t>Atualizado 13/12</t>
  </si>
  <si>
    <t>Lorena estava de ATM</t>
  </si>
  <si>
    <t>Atualizado 14/12</t>
  </si>
  <si>
    <t>Atualizado 18/12</t>
  </si>
  <si>
    <t>Atualizado 19/12</t>
  </si>
  <si>
    <t>Atualizado 20/12</t>
  </si>
  <si>
    <t>Atualizado 21/12</t>
  </si>
  <si>
    <t>Atualizado 22/12</t>
  </si>
  <si>
    <t>Atualizado 26/12</t>
  </si>
  <si>
    <t>Atualizado 27/12</t>
  </si>
  <si>
    <t>Atualizado 28/12</t>
  </si>
  <si>
    <t>Atualizado 29/12</t>
  </si>
  <si>
    <t>Atualizado 02/01/2024</t>
  </si>
  <si>
    <t>Plantão fechado</t>
  </si>
  <si>
    <t>Atualizado 03/01/2024</t>
  </si>
  <si>
    <t>Atualizado 04/01/2024</t>
  </si>
  <si>
    <t>Atualizado 04/01/2023</t>
  </si>
  <si>
    <t>Atualizado 08/01/2024</t>
  </si>
  <si>
    <t>Não teve Prof. Saude/Atualizado 08/01/2024</t>
  </si>
  <si>
    <t>Atualizado 15/01/2024</t>
  </si>
  <si>
    <t>Atualizado 10/01/2024</t>
  </si>
  <si>
    <t>Atualizado 11/01/2024</t>
  </si>
  <si>
    <t>Atualizado 12/01/2024</t>
  </si>
  <si>
    <t>Atualizado 16/01/2024</t>
  </si>
  <si>
    <t>Atualizado 17/01/2024</t>
  </si>
  <si>
    <t>Atualizado 18/01/2024</t>
  </si>
  <si>
    <t>Atualizadfo 19/01/2024</t>
  </si>
  <si>
    <t>Atualizadfo 22/01/2024</t>
  </si>
  <si>
    <t>Atualizadfo 23/01/2024</t>
  </si>
  <si>
    <t>Atualizado 24/01/2024</t>
  </si>
  <si>
    <t>Atualizado 25/01/2024</t>
  </si>
  <si>
    <t>Atuallizado 26/01/2024</t>
  </si>
  <si>
    <t>Atualizado 29/01/2024</t>
  </si>
  <si>
    <t>Não teve plantonista</t>
  </si>
  <si>
    <t>Atualizado 30/01/2024</t>
  </si>
  <si>
    <t>Atualizado 31/01/2024</t>
  </si>
  <si>
    <t>Atualizado 01/02/2024</t>
  </si>
  <si>
    <t>Atualizado 02/02/2024</t>
  </si>
  <si>
    <t>Atualizado 05/02/2024</t>
  </si>
  <si>
    <t>;</t>
  </si>
  <si>
    <t>Atualizado 06/02/2024</t>
  </si>
  <si>
    <t>Atualizada 07/02/2024</t>
  </si>
  <si>
    <t>Atualizada 08/02/2024</t>
  </si>
  <si>
    <t>Atualizado 15/02/2024</t>
  </si>
  <si>
    <t>Atualizado 16/02/2024</t>
  </si>
  <si>
    <t>Atualizado 19/02/2024</t>
  </si>
  <si>
    <t>Atualziado 19/02/2024</t>
  </si>
  <si>
    <t>Atualizado 20/02/2024</t>
  </si>
  <si>
    <t>Atualizado 21/02/2024</t>
  </si>
  <si>
    <t>Atualizado 22/02/2024</t>
  </si>
  <si>
    <t>Atualizado 23/02/2024</t>
  </si>
  <si>
    <t>Atualizado 26/02/2024</t>
  </si>
  <si>
    <t>Atualizado 27/02/2024</t>
  </si>
  <si>
    <t>Atualizado 28/02/2024</t>
  </si>
  <si>
    <t>Atualizado 29/02/2024</t>
  </si>
  <si>
    <t>Atualizado 01/03/2024</t>
  </si>
  <si>
    <t>Atualizado 04/03/2024</t>
  </si>
  <si>
    <t>Atualizado 05/03/2024</t>
  </si>
  <si>
    <t>Atualizado 07/03/2024</t>
  </si>
  <si>
    <t>Atualizado 08/03/2024</t>
  </si>
  <si>
    <t>Atualizado 11/03/2024</t>
  </si>
  <si>
    <t>Atualizado 12/03/2024</t>
  </si>
  <si>
    <t>Atualizado 13/03/2024</t>
  </si>
  <si>
    <t>Atualizado 14/03/2024</t>
  </si>
  <si>
    <t>Atualizado 15/03/2024</t>
  </si>
  <si>
    <t>Atualizado 18/03/2024</t>
  </si>
  <si>
    <t>Atualizado 19/03/2024</t>
  </si>
  <si>
    <t>Atualizado 20/03/2024</t>
  </si>
  <si>
    <t>Atualizado 21/03/2024</t>
  </si>
  <si>
    <t>Atualizado 22/03/2024</t>
  </si>
  <si>
    <t>Atualizado 25/03/2024</t>
  </si>
  <si>
    <t>Atualizado 26/03/2024</t>
  </si>
  <si>
    <t>Atualizado 27/03/2024</t>
  </si>
  <si>
    <t>Atualizado 03/04/2024</t>
  </si>
  <si>
    <t>Atualizado 04/04/2024</t>
  </si>
  <si>
    <t>Atualizado 05/04/2024</t>
  </si>
  <si>
    <t>Atualizado 08/04/2024</t>
  </si>
  <si>
    <t>Atualizado 09/04/2024</t>
  </si>
  <si>
    <t>Atualizado 10/04/2024</t>
  </si>
  <si>
    <t>Atualizado 11/04/2024</t>
  </si>
  <si>
    <t>Atualizado 12/04/2024</t>
  </si>
  <si>
    <t>Atualizado 15/04/2024</t>
  </si>
  <si>
    <t>Atualizado 17/04/2024</t>
  </si>
  <si>
    <t>Atualizado 18/04/2024</t>
  </si>
  <si>
    <t>Atualizado 19/04/2024</t>
  </si>
  <si>
    <t>Atualizado 22/04/2024</t>
  </si>
  <si>
    <t>Atualizado 23/04/2024</t>
  </si>
  <si>
    <t>Atualizado 24/04/2024</t>
  </si>
  <si>
    <t>Atualizado 25/04/2024</t>
  </si>
  <si>
    <t>Atualizado 26/04/2024</t>
  </si>
  <si>
    <t>Atualizado 29/04/2024</t>
  </si>
  <si>
    <t>Atualizado 30/04/2024</t>
  </si>
  <si>
    <t>Atualizado 02/05/2024</t>
  </si>
  <si>
    <t>Atualizado 03/05/2024</t>
  </si>
  <si>
    <t>Atualizado 06/04/2024</t>
  </si>
  <si>
    <t>Atualizado 07/05/2024</t>
  </si>
  <si>
    <t>Atualizado 08/05/2024</t>
  </si>
  <si>
    <t>Atualziado 09/05/2024</t>
  </si>
  <si>
    <t>Atualizado 10/05/2024</t>
  </si>
  <si>
    <t>Atualizado 13/05/2024</t>
  </si>
  <si>
    <t>Atualizado 14/05/2024</t>
  </si>
  <si>
    <t>Atualizado 15/05/2024</t>
  </si>
  <si>
    <t>Atualizado 16/05/2024</t>
  </si>
  <si>
    <t>Atualizado 17/05/2024</t>
  </si>
  <si>
    <t>Atualizado 20/05/2024</t>
  </si>
  <si>
    <t>Atualizado 21/05/2024</t>
  </si>
  <si>
    <t>Atualizado 22/05/2024</t>
  </si>
  <si>
    <t>Atualizado 23/05/2024</t>
  </si>
  <si>
    <t>Atualizado 24/05/2024</t>
  </si>
  <si>
    <t>Atualizado 27/05/2024</t>
  </si>
  <si>
    <t>Atualizado 28/05/2024</t>
  </si>
  <si>
    <t>Atualizado 29/05/24</t>
  </si>
  <si>
    <t>Atualizado 30/05/2024</t>
  </si>
  <si>
    <t>Atualizado 03/06/2024</t>
  </si>
  <si>
    <t>Atualizado 04/06/2024</t>
  </si>
  <si>
    <t>Atualizado 05/06/2024</t>
  </si>
  <si>
    <t>RELATÓRIO</t>
  </si>
  <si>
    <t>COUNTA of CPF</t>
  </si>
  <si>
    <t>COUNTA of Fase do ciclo gravídico</t>
  </si>
  <si>
    <t>COUNTA of Mora em área de cobertura da ESF?</t>
  </si>
  <si>
    <t>COUNTA of Raça/cor</t>
  </si>
  <si>
    <t>COUNTA of Nome</t>
  </si>
  <si>
    <t>COUNTA of Neste momento, foi necessário converter para o atendimento presencial?</t>
  </si>
  <si>
    <t>COUNTA of O atendimento foi realizado por:</t>
  </si>
  <si>
    <t>COUNTA of Selecione o tipo de demanda</t>
  </si>
  <si>
    <t>COUNTA of Motivo de busca por atendimento no Atende Gestante</t>
  </si>
  <si>
    <t>COUNTA of Carimbo de data/hora</t>
  </si>
  <si>
    <t xml:space="preserve">                                                                                                                                                                                                                                                               </t>
  </si>
  <si>
    <t>(em branco)</t>
  </si>
  <si>
    <t>Total geral</t>
  </si>
  <si>
    <t>COUNTA de NÃO</t>
  </si>
  <si>
    <t>Total de pessoas atendidas</t>
  </si>
  <si>
    <t>Total de puérpera: 27</t>
  </si>
  <si>
    <t>Total de atendimentos</t>
  </si>
  <si>
    <t>Ano 2023 (teleconsulta + telemonitoramento)</t>
  </si>
  <si>
    <t xml:space="preserve">Total de pessoas atendidas </t>
  </si>
  <si>
    <t>Ano 2024 (até 06/02/24) (teleconsulta + telemonitoramento)</t>
  </si>
  <si>
    <t xml:space="preserve">Fonte: Atende Gestante </t>
  </si>
  <si>
    <t>Data</t>
  </si>
  <si>
    <t xml:space="preserve">NOME DA USUÁRIA </t>
  </si>
  <si>
    <t>HORÁRIO DE ENTRADA NA SUSi</t>
  </si>
  <si>
    <t>LINK DO HOPCHAT</t>
  </si>
  <si>
    <t>ATENDIMENTO REALIZADO COM SUCESSO?</t>
  </si>
  <si>
    <t>TOTAL desde 30/05</t>
  </si>
  <si>
    <t>Ingrid Marino</t>
  </si>
  <si>
    <t>https://chat.brainyresolution.com/live/kZFKJdw4SmmP8oTmr/room-info</t>
  </si>
  <si>
    <t>Studio Ana Hair</t>
  </si>
  <si>
    <t>https://chat.brainyresolution.com/live/E7F6R83o7cASDJsop/room-info</t>
  </si>
  <si>
    <t>Talita Liima</t>
  </si>
  <si>
    <t>Mylena Victória</t>
  </si>
  <si>
    <t>https://chat.brainyresolution.com/live/pGyM8mcQKSBW73fZF/room-info</t>
  </si>
  <si>
    <t>Simone Souza Designer</t>
  </si>
  <si>
    <t>https://chat.brainyresolution.com/live/YnB3zDmokbY4Lbsb2/room-info</t>
  </si>
  <si>
    <t xml:space="preserve">Sem nome </t>
  </si>
  <si>
    <t>https://chat.brainyresolution.com/live/nJYjukDmZSG3D9d4t/room-info</t>
  </si>
  <si>
    <t>Gleice Keli</t>
  </si>
  <si>
    <t>https://chat.brainyresolution.com/live/RwKRDJps6i8YPhAWi/room-info</t>
  </si>
  <si>
    <t>Vanessa</t>
  </si>
  <si>
    <t>https://chat.brainyresolution.com/live/ZTu6Fg9rfLcKRCQvJ/room-info</t>
  </si>
  <si>
    <t>Katherine</t>
  </si>
  <si>
    <t>https://chat.brainyresolution.com/live/rumXfxjqK4qTEXcWq/room-info</t>
  </si>
  <si>
    <t>Amanda</t>
  </si>
  <si>
    <t>https://chat.brainyresolution.com/live/cL6kKATTuKbobJ9JM/room-info</t>
  </si>
  <si>
    <t>Rayssa</t>
  </si>
  <si>
    <t>https://chat.brainyresolution.com/live/tR6sMipgEbwHTwW9j/room-info</t>
  </si>
  <si>
    <t>Naty</t>
  </si>
  <si>
    <t>https://chat.brainyresolution.com/live/WomyPimenE2KBmHGM/room-info</t>
  </si>
  <si>
    <t>Josi</t>
  </si>
  <si>
    <t>https://chat.brainyresolution.com/live/TRz4AwTf6M4rhwXqB/room-info</t>
  </si>
  <si>
    <t>Vitória Castro</t>
  </si>
  <si>
    <t>https://chat.brainyresolution.com/live/qwHn8Fvg7oX4ioMCT/room-info</t>
  </si>
  <si>
    <t>https://chat.brainyresolution.com/live/gu2MZpqS44taorwfd</t>
  </si>
  <si>
    <t>Demanda relacionada a dúvidas sobre auxílio</t>
  </si>
  <si>
    <t>https://chat.brainyresolution.com/live/B6cqNNJD9utSg2Wgx/room-info</t>
  </si>
  <si>
    <t>Luciene Medeiros</t>
  </si>
  <si>
    <t>https://chat.brainyresolution.com/live/eK7bjjPrRZFZ5v594/room-info</t>
  </si>
  <si>
    <t>Rodalmo</t>
  </si>
  <si>
    <t>https://chat.brainyresolution.com/live/f34n3bnpeADoyov42/room-info</t>
  </si>
  <si>
    <t>Entrou no atendimento errado, era dúvidas sobre covid-19</t>
  </si>
  <si>
    <t>Aline</t>
  </si>
  <si>
    <t>https://chat.brainyresolution.com/live/rzEoHTmDKHNwNzJYC/room-info</t>
  </si>
  <si>
    <t>Alexandra?? finalizou a conversa</t>
  </si>
  <si>
    <t>Hannah Lima</t>
  </si>
  <si>
    <t>https://chat.brainyresolution.com/live/4Mtur4GaozxbYMySX/room-info</t>
  </si>
  <si>
    <t>Dúvida onde fazer o PN</t>
  </si>
  <si>
    <t>Paola</t>
  </si>
  <si>
    <t>https://chat.brainyresolution.com/live/jkcXobMHjvixkw4dc/room-info</t>
  </si>
  <si>
    <t>Juliane</t>
  </si>
  <si>
    <t>https://chat.brainyresolution.com/live/rCRT8RLaMYcDY2rfe/room-info</t>
  </si>
  <si>
    <t>Talita Silva</t>
  </si>
  <si>
    <t>https://chat.brainyresolution.com/live/dxAAHScfueACCCwrt/room-info</t>
  </si>
  <si>
    <t>Amy</t>
  </si>
  <si>
    <t>https://chat.brainyresolution.com/live/7YPv962zxs2ZQRxML/user-info</t>
  </si>
  <si>
    <t>Informa que não desejava mais o atendimento</t>
  </si>
  <si>
    <t>Myly</t>
  </si>
  <si>
    <t>https://chat.brainyresolution.com/live/c79c3FAuNpJMcTgcP/user-info</t>
  </si>
  <si>
    <t>Wanessa</t>
  </si>
  <si>
    <t>https://chat.brainyresolution.com/live/Xv2Jxnkxv8hs2GxbX/room-info</t>
  </si>
  <si>
    <t>Simoninha</t>
  </si>
  <si>
    <t>https://chat.brainyresolution.com/live/LmYEKZwGL5XFkX4hB/user-info</t>
  </si>
  <si>
    <t xml:space="preserve">Dulce </t>
  </si>
  <si>
    <t>https://chat.brainyresolution.com/live/AaRikgn3SFBXynFr2/room-info</t>
  </si>
  <si>
    <t>https://hopchat.susi.crowde.dev/live/vCEYJp8xLFteSYjes/room-info</t>
  </si>
  <si>
    <t>Mayara</t>
  </si>
  <si>
    <t>https://hopchat.susi.crowde.dev/live/jKcF8wT24sgKgW8w7/room-info</t>
  </si>
  <si>
    <r>
      <rPr>
        <b/>
        <sz val="10"/>
        <color theme="1"/>
        <rFont val="Arial"/>
        <charset val="134"/>
      </rPr>
      <t xml:space="preserve">Entre os dias 30/05 e 01/06 </t>
    </r>
    <r>
      <rPr>
        <sz val="10"/>
        <color theme="1"/>
        <rFont val="Arial"/>
        <charset val="134"/>
      </rPr>
      <t>- ERRO: robô finalizou sem encaminhar para atendimento - casos foram inseridos manualmente por Thamires.</t>
    </r>
  </si>
  <si>
    <t>Dani</t>
  </si>
  <si>
    <t>https://hopchat.susi.crowde.dev/live/9fTeG2SA2crn83roi/room-info</t>
  </si>
  <si>
    <r>
      <rPr>
        <b/>
        <sz val="10"/>
        <color theme="1"/>
        <rFont val="Arial"/>
        <charset val="134"/>
      </rPr>
      <t>02/06 até dias atuais:</t>
    </r>
    <r>
      <rPr>
        <sz val="10"/>
        <color theme="1"/>
        <rFont val="Arial"/>
        <charset val="134"/>
      </rPr>
      <t xml:space="preserve"> Cólicas ou Contrações - estavam sendo encaminhados pela thread: gest_transferir_FORA_HORARIO_RECEPCAO_DIGITAL</t>
    </r>
  </si>
  <si>
    <t>EsfiHome</t>
  </si>
  <si>
    <t>https://hopchat.susi.crowde.dev/live/YT8FyLtvuhoEJ3yfX/room-info</t>
  </si>
  <si>
    <t>Não houve erro - casos foram atendidos no final do turno de trabalho, profissionais encaminharam para o departamento Demanda Noturna devido o horário.</t>
  </si>
  <si>
    <t>Larissa</t>
  </si>
  <si>
    <t>https://chat-conecta.recife.pe.gov.br/live/SAKrXchayJR2adsn3/room-info</t>
  </si>
  <si>
    <r>
      <rPr>
        <b/>
        <sz val="10"/>
        <color theme="1"/>
        <rFont val="Arial"/>
        <charset val="134"/>
      </rPr>
      <t>05/06:</t>
    </r>
    <r>
      <rPr>
        <sz val="10"/>
        <color theme="1"/>
        <rFont val="Arial"/>
        <charset val="134"/>
      </rPr>
      <t xml:space="preserve"> thread "gest_transferir_FORA_HORARIO_AMAMENTACAO": ERRO: a thead foi registrada 2 vezes no mesmo caso</t>
    </r>
  </si>
  <si>
    <t>Sem nome (🌹)</t>
  </si>
  <si>
    <t>https://chat-conecta.recife.pe.gov.br/live/6iDgsBccCP4dYeTAh/room-info</t>
  </si>
  <si>
    <r>
      <rPr>
        <b/>
        <sz val="10"/>
        <color theme="1"/>
        <rFont val="Arial"/>
        <charset val="134"/>
      </rPr>
      <t>12/06:</t>
    </r>
    <r>
      <rPr>
        <sz val="10"/>
        <color theme="1"/>
        <rFont val="Arial"/>
        <charset val="134"/>
      </rPr>
      <t xml:space="preserve"> Iniciei TP foi encaminhado para a thead: gest_transferir_FORA_HORARIO_RECEPCAO_DIGITAL</t>
    </r>
  </si>
  <si>
    <t>Barbara</t>
  </si>
  <si>
    <t>https://chat-conecta.recife.pe.gov.br/live/TpnTP66YdBZ8qhmQM</t>
  </si>
  <si>
    <t>Renata</t>
  </si>
  <si>
    <t>https://chat-conecta.recife.pe.gov.br/live/tSf4yGLXMoagiQ7Xn/room-info</t>
  </si>
  <si>
    <t>03/06 (3) e 10/06 (1) ERRO: Casos do horário das 7h às 19h, mas foram encaminhados para Demanda Noturna. Obs: Retirei do registro da Thread de DN da planilha ConectaZap</t>
  </si>
  <si>
    <t>Sem nome (❤️)</t>
  </si>
  <si>
    <t>https://chat-conecta.recife.pe.gov.br/live/ZRRiTmaP8GzpTQJDs/room-info</t>
  </si>
  <si>
    <t>16/06 - ERRO: Caso não fazia parte do menu do Atende Gestante - Excluo caso da planilha ConectaZap</t>
  </si>
  <si>
    <t>Rayssa Lauanna</t>
  </si>
  <si>
    <t>https://chat-conecta.recife.pe.gov.br/live/hQnzx4bYF92wWnKNS/room-info</t>
  </si>
  <si>
    <t>Studio Qualytfuncion</t>
  </si>
  <si>
    <t>https://chat-conecta.recife.pe.gov.br/live/betCShJnu3v9nKYz7</t>
  </si>
  <si>
    <t>Cólicas ou contrações;</t>
  </si>
  <si>
    <t>Taylline Gusmão</t>
  </si>
  <si>
    <t>https://chat-conecta.recife.pe.gov.br/live/C2bx85rQ3RqoSuA3j/room-info</t>
  </si>
  <si>
    <t>Lidia Paz</t>
  </si>
  <si>
    <t>https://chat-conecta.recife.pe.gov.br/live/CsjDjX9HzaXgxEpKB/room-info</t>
  </si>
  <si>
    <t>Gestante de rede privada</t>
  </si>
  <si>
    <t>Carla de Melo</t>
  </si>
  <si>
    <t>https://chat-conecta.recife.pe.gov.br/live/2hkd5aNNNysy3gx4G/room-info</t>
  </si>
  <si>
    <t>Alyne</t>
  </si>
  <si>
    <t>https://chat-conecta.recife.pe.gov.br/live/z24DAPMsdKHbaaY2v</t>
  </si>
  <si>
    <t>Kamilla Moura</t>
  </si>
  <si>
    <t>https://chat-conecta.recife.pe.gov.br/live/z86ZXXR8CLiSSfjiK</t>
  </si>
  <si>
    <t>Maju Silva</t>
  </si>
  <si>
    <t>https://chat-conecta.recife.pe.gov.br/live/LqLG97wpBLcpScXPc</t>
  </si>
  <si>
    <t>Léticia</t>
  </si>
  <si>
    <t>https://chat-conecta.recife.pe.gov.br/live/aSZyoz9QaNmAmMnjH/room-info</t>
  </si>
  <si>
    <t>Dor de dente</t>
  </si>
  <si>
    <t>Sabrina Ferreira</t>
  </si>
  <si>
    <t>https://chat-conecta.recife.pe.gov.br/live/Zrzdez42whK4Ef5tf</t>
  </si>
  <si>
    <t>Menu Já tive meu bebê/Puerpério</t>
  </si>
  <si>
    <t>Mirian Rosa</t>
  </si>
  <si>
    <t>https://chat-conecta.recife.pe.gov.br/live/pr8K6JuELaXSH5aAY</t>
  </si>
  <si>
    <t>Pamella Taynã</t>
  </si>
  <si>
    <t>https://chat-conecta.recife.pe.gov.br/live/zwskXk63SDB7bimFY/room-info</t>
  </si>
  <si>
    <t>Menu Cuidados com RN/Dúvidas sobre amamentação</t>
  </si>
  <si>
    <t>Sem nome (🍐)</t>
  </si>
  <si>
    <t>https://chat-conecta.recife.pe.gov.br/live/56RQu5vgXDC9t7k4e</t>
  </si>
  <si>
    <t>Michael Douglas</t>
  </si>
  <si>
    <t>https://chat-conecta.recife.pe.gov.br/live/YYa8m9eJMEnPykQPQ</t>
  </si>
  <si>
    <t>Abusada</t>
  </si>
  <si>
    <t>https://chat-conecta.recife.pe.gov.br/live/CYyr6DoSdaxyAkuGQ</t>
  </si>
  <si>
    <t>Menu Já tive meu bebê/ Perpério</t>
  </si>
  <si>
    <t>https://chat-conecta.recife.pe.gov.br/live/cbr8pkXx2Dtkmy9Yi/room-info</t>
  </si>
  <si>
    <t>Day</t>
  </si>
  <si>
    <t>https://chat-conecta.recife.pe.gov.br/live/fM58Gb9gePKqBpFTe/room-info</t>
  </si>
  <si>
    <t>Glaucce</t>
  </si>
  <si>
    <t>https://chat-conecta.recife.pe.gov.br/live/2HEJC79NMYLKxu7Ek/room-info</t>
  </si>
  <si>
    <t>Janayna</t>
  </si>
  <si>
    <t>https://chat-conecta.recife.pe.gov.br/live/FYE4QGnNXcC5bDhkE/user-info</t>
  </si>
  <si>
    <t>https://chat-conecta.recife.pe.gov.br/live/Rmjrk2AkuCJMvSKcL/room-info</t>
  </si>
  <si>
    <t>Fátima</t>
  </si>
  <si>
    <t>https://chat-conecta.recife.pe.gov.br/live/K469273HaLhEw38kn/room-info</t>
  </si>
  <si>
    <t>Sumaya</t>
  </si>
  <si>
    <t>https://chat-conecta.recife.pe.gov.br/live/6Y9yhsjMFLKRtvmd3/room-info</t>
  </si>
  <si>
    <t>Sarah Vitória</t>
  </si>
  <si>
    <t>https://chat-conecta.recife.pe.gov.br/live/uQARBG4WKpjsLCPtj/room-info</t>
  </si>
  <si>
    <t>Tavinho</t>
  </si>
  <si>
    <t>https://chat-conecta.recife.pe.gov.br/live/RzkAv4S3AagZmhc55/room-info</t>
  </si>
  <si>
    <t>Não queria mais atendimento</t>
  </si>
  <si>
    <t>Mireya Gabriela</t>
  </si>
  <si>
    <t>https://chat-conecta.recife.pe.gov.br/live/KNbLCGbuGLQYBxiG4/room-info</t>
  </si>
  <si>
    <t>Ana Marcia</t>
  </si>
  <si>
    <t>https://chat-conecta.recife.pe.gov.br/live/9w8gui8yLiw3DLF8H/room-info</t>
  </si>
  <si>
    <t>Kallyandra</t>
  </si>
  <si>
    <t>https://chat-conecta.recife.pe.gov.br/live/pYEy6yPqkGX9QWYSH/room-info</t>
  </si>
  <si>
    <t>Thais França</t>
  </si>
  <si>
    <t>https://chat-conecta.recife.pe.gov.br/live/pnzMGRk7fLv4hceJN/room-info</t>
  </si>
  <si>
    <t>Francy</t>
  </si>
  <si>
    <t>https://chat-conecta.recife.pe.gov.br/live/X88pamn5BQzStukAr</t>
  </si>
  <si>
    <t>Janaina</t>
  </si>
  <si>
    <t>https://chat-conecta.recife.pe.gov.br/live/gYTpAANLe3R39vSuY/room-info</t>
  </si>
  <si>
    <t>Sara lorena</t>
  </si>
  <si>
    <t>https://chat-conecta.recife.pe.gov.br/live/TSLQCpLSSpBNekwrp</t>
  </si>
  <si>
    <t>interagiu na recepção, porém não interagiu no consultório</t>
  </si>
  <si>
    <t>Luuh</t>
  </si>
  <si>
    <t>https://chat-conecta.recife.pe.gov.br/live/NbSF6qenquYzmrESn/room-info</t>
  </si>
  <si>
    <t>Rebeca</t>
  </si>
  <si>
    <t>https://chat-conecta.recife.pe.gov.br/live/NL3Bga5ytxH6ZSTPd</t>
  </si>
  <si>
    <t>Cila</t>
  </si>
  <si>
    <t>https://chat-conecta.recife.pe.gov.br/live/oh7Yfpxy5WTm7qdzL</t>
  </si>
  <si>
    <t>Claudia</t>
  </si>
  <si>
    <t>https://chat-conecta.recife.pe.gov.br/live/4LHm8D8KYeFc8Eqdz</t>
  </si>
  <si>
    <t>Branquinha</t>
  </si>
  <si>
    <t>https://chat-conecta.recife.pe.gov.br/live/GcGXrQho62Wq2yLoa</t>
  </si>
  <si>
    <t>Rochesly</t>
  </si>
  <si>
    <t>https://chat-conecta.recife.pe.gov.br/live/xecpFG2iomkPomACF</t>
  </si>
  <si>
    <t>Kessia</t>
  </si>
  <si>
    <t>https://chat-conecta.recife.pe.gov.br/live/nbQAi8kpeoMFr9DeM/room-info</t>
  </si>
  <si>
    <t>Juh</t>
  </si>
  <si>
    <t>https://chat-conecta.recife.pe.gov.br/live/tvL54nQm5hc3mWZBG/room-info</t>
  </si>
  <si>
    <t>Maria</t>
  </si>
  <si>
    <t>https://chat-conecta.recife.pe.gov.br/live/PnsYy67d25DG9yGju/room-info</t>
  </si>
  <si>
    <t>May</t>
  </si>
  <si>
    <t>https://chat-conecta.recife.pe.gov.br/live/7t65QQsjAL72NjHSa/room-info</t>
  </si>
  <si>
    <t>Mirian</t>
  </si>
  <si>
    <t>https://chat-conecta.recife.pe.gov.br/live/3o2EyWhpe9TicPG8e/room-info</t>
  </si>
  <si>
    <t>Vivi</t>
  </si>
  <si>
    <t>https://chat-conecta.recife.pe.gov.br/live/Qo4zkEHsBYKNkG65z/room-info</t>
  </si>
  <si>
    <t>Gestante de Paulista</t>
  </si>
  <si>
    <t xml:space="preserve">Lili </t>
  </si>
  <si>
    <t>https://chat-conecta.recife.pe.gov.br/live/KFB7vP73G5S3KRddD/room-info</t>
  </si>
  <si>
    <t>Elza</t>
  </si>
  <si>
    <t>https://chat-conecta.recife.pe.gov.br/live/AC5P3aNLPu36w8YSd/room-info</t>
  </si>
  <si>
    <t>Pollyana Kristina</t>
  </si>
  <si>
    <t>https://chat-conecta.recife.pe.gov.br/live/9Xkp45EJWcBHD8JwY/room-info</t>
  </si>
  <si>
    <t>Patricia</t>
  </si>
  <si>
    <t>Laisa Rocha</t>
  </si>
  <si>
    <t>https://chat-conecta.recife.pe.gov.br/live/pH573JfkeWkKutjDG/room-info</t>
  </si>
  <si>
    <t>Isabel Marques</t>
  </si>
  <si>
    <t>https://chat-conecta.recife.pe.gov.br/live/QyNStuvGiMvkFM7ph/room-info</t>
  </si>
  <si>
    <t>https://chat-conecta.recife.pe.gov.br/live/xHN4cC3wYoJRyGR7j</t>
  </si>
  <si>
    <t>Debora Dayane</t>
  </si>
  <si>
    <t>https://chat-conecta.recife.pe.gov.br/live/2ABTu5i6nRFPimCFW/user-info</t>
  </si>
  <si>
    <t>Natali</t>
  </si>
  <si>
    <t>https://chat-conecta.recife.pe.gov.br/live/FQP9rogfYjSn3hZ3q/user-info</t>
  </si>
  <si>
    <t>Amanda Bispo</t>
  </si>
  <si>
    <t>https://chat-conecta.recife.pe.gov.br/live/Zs8Nz3WjtHYfY2HL5/user-info</t>
  </si>
  <si>
    <t>https://chat-conecta.recife.pe.gov.br/live/3GWNRrQYRgKFa5HGv/room-info</t>
  </si>
  <si>
    <t>Mirela</t>
  </si>
  <si>
    <t>https://chat-conecta.recife.pe.gov.br/live/6QWCsiopuYtZTQKSB/room-info</t>
  </si>
  <si>
    <t>Duda</t>
  </si>
  <si>
    <t>https://chat-conecta.recife.pe.gov.br/live/Lw27a7BMDdj4qA5q7</t>
  </si>
  <si>
    <t>Jay Lima</t>
  </si>
  <si>
    <t>https://chat-conecta.recife.pe.gov.br/live/A9GEgydH5soB7q7yt</t>
  </si>
  <si>
    <t>Sem nome</t>
  </si>
  <si>
    <t>https://chat-conecta.recife.pe.gov.br/live/tsTwkjaqggYs5QTia</t>
  </si>
  <si>
    <t>Joelma (Jó)</t>
  </si>
  <si>
    <t>https://chat-conecta.recife.pe.gov.br/live/jFeyWCaHCNj9FEcL5/contact-chat-history</t>
  </si>
  <si>
    <t>Laura</t>
  </si>
  <si>
    <t>https://chat-conecta.recife.pe.gov.br/live/Qabrca8Y4jR9uYKWF/user-info</t>
  </si>
  <si>
    <t>Karina</t>
  </si>
  <si>
    <t>https://chat-conecta.recife.pe.gov.br/live/mw7KLPg3vm7WhWdbR/members-list</t>
  </si>
  <si>
    <t>Rosangela</t>
  </si>
  <si>
    <t>Maria Camila</t>
  </si>
  <si>
    <t>Olinda</t>
  </si>
  <si>
    <t>Micaela</t>
  </si>
  <si>
    <t>https://chat-conecta.recife.pe.gov.br/live/cE7z9wy9rW39tFoEx/room-info</t>
  </si>
  <si>
    <t>Paloma</t>
  </si>
  <si>
    <t>https://chat-conecta.recife.pe.gov.br/live/ax2HDudWeBDRWcKyL/room-info</t>
  </si>
  <si>
    <t xml:space="preserve">Ao ligar gestante desligou o telefone </t>
  </si>
  <si>
    <t>https://chat-conecta.recife.pe.gov.br/live/SLmMoPMJ5FGdC9T4H/room-info</t>
  </si>
  <si>
    <t>Luanda</t>
  </si>
  <si>
    <t>https://chat-conecta.recife.pe.gov.br/live/cPeWt8pRobzkA2nfo/members-list</t>
  </si>
  <si>
    <t>Lisandra</t>
  </si>
  <si>
    <t>https://chat-conecta.recife.pe.gov.br/live/jgWwzRDwbZzAeiXNJ/room-info</t>
  </si>
  <si>
    <t>Gaby</t>
  </si>
  <si>
    <t>-https://chat-conecta.recife.pe.gov.br/live/ihrqFTnW58hTCmsWg/room-info</t>
  </si>
  <si>
    <t>Marcela</t>
  </si>
  <si>
    <t>https://chat-conecta.recife.pe.gov.br/live/mCZDcnrfdZYGSJLav/room-info</t>
  </si>
  <si>
    <t>Paulista</t>
  </si>
  <si>
    <t>Raissa</t>
  </si>
  <si>
    <t>https://chat-conecta.recife.pe.gov.br/live/tq3hpAjr8cjsdcbS5/room-info</t>
  </si>
  <si>
    <t>https://chat-conecta.recife.pe.gov.br/omnichannel-directory/chats/view/FtQuauTnHorYBngRq/room-info</t>
  </si>
  <si>
    <t>Sem nome (AI)</t>
  </si>
  <si>
    <t>https://chat-conecta.recife.pe.gov.br/omnichannel-directory/chats/view/3wbZYGox6GjRmopPA/room-info</t>
  </si>
  <si>
    <t>Leticia</t>
  </si>
  <si>
    <t>https://chat-conecta.recife.pe.gov.br/live/jQ7FLCcjqRWpYYQNM/room-info</t>
  </si>
  <si>
    <t>Rafaela</t>
  </si>
  <si>
    <t>https://chat-conecta.recife.pe.gov.br/live/EWnN8MLEnNGCwXqis/room-info</t>
  </si>
  <si>
    <t>https://chat-conecta.recife.pe.gov.br/live/G4ywA2gndr3dFcW4j/room-info</t>
  </si>
  <si>
    <t>https://chat-conecta.recife.pe.gov.br/live/fNAHnGRi9nmZBAsRb/room-info</t>
  </si>
  <si>
    <t>Beatriz</t>
  </si>
  <si>
    <t>https://chat-conecta.recife.pe.gov.br/live/zGSNR4pSErcDAYTnY/room-info</t>
  </si>
  <si>
    <t>Wanussa</t>
  </si>
  <si>
    <t>https://chat-conecta.recife.pe.gov.br/live/5M8Rian6waTQshzA6/room-info</t>
  </si>
  <si>
    <t>Abreu e Lima</t>
  </si>
  <si>
    <t>Gabi</t>
  </si>
  <si>
    <t>https://chat-conecta.recife.pe.gov.br/live/RiRsRg3PpanipWNQH/room-info</t>
  </si>
  <si>
    <t>https://chat-conecta.recife.pe.gov.br/live/zCDGDgwyrkBkumxtx/room-info</t>
  </si>
  <si>
    <t>https://chat-conecta.recife.pe.gov.br/live/jtCvQhp4NaZGpW5R2/room-info</t>
  </si>
  <si>
    <t>Mony</t>
  </si>
  <si>
    <t>https://chat-conecta.recife.pe.gov.br/live/X3CCvSC3ARjdRZ8Pi/room-info</t>
  </si>
  <si>
    <t>Nine</t>
  </si>
  <si>
    <t>https://chat-conecta.recife.pe.gov.br/live/fmRMjumBR39MJpbit/room-info</t>
  </si>
  <si>
    <t>Manu</t>
  </si>
  <si>
    <t>https://chat-conecta.recife.pe.gov.br/live/m5e3WYq99hZAZoFr5/room-info</t>
  </si>
  <si>
    <t>Tamires vieira</t>
  </si>
  <si>
    <t>https://chat-conecta.recife.pe.gov.br/live/mKErvR6p2CdyNNP4z/room-info</t>
  </si>
  <si>
    <t>Ruthy</t>
  </si>
  <si>
    <t>https://chat-conecta.recife.pe.gov.br/live/9BYWYmRPvHeeaeSoq/room-info</t>
  </si>
  <si>
    <t>Clacia</t>
  </si>
  <si>
    <t>https://chat-conecta.recife.pe.gov.br/live/mbTEYefE6FKBgoveY/room-info</t>
  </si>
  <si>
    <t>Jaboatão</t>
  </si>
  <si>
    <t>Sem nome (FÉ EM DEUS)</t>
  </si>
  <si>
    <t>https://chat-conecta.recife.pe.gov.br/live/m2hgxtRX2aMqwciYp/room-info</t>
  </si>
  <si>
    <t>https://chat-conecta.recife.pe.gov.br/live/93DsTTJ7QDh7ejvdR/room-info</t>
  </si>
  <si>
    <t>https://chat-conecta.recife.pe.gov.br/live/R6Esd85vtCSSzNYa2/room-info</t>
  </si>
  <si>
    <t>Lidi</t>
  </si>
  <si>
    <t>https://chat-conecta.recife.pe.gov.br/live/wNDi3i55bPvXHGkAr/room-info</t>
  </si>
  <si>
    <t>Maria bruna</t>
  </si>
  <si>
    <t>https://chat-conecta.recife.pe.gov.br/live/8HYYxt3rkCduCh4SE/room-info</t>
  </si>
  <si>
    <t>Bruna Daniele</t>
  </si>
  <si>
    <t>https://chat-conecta.recife.pe.gov.br/live/Wg36iSyWF6N6ZJSY6/room-info</t>
  </si>
  <si>
    <t>https://chat-conecta.recife.pe.gov.br/live/eym9ENWJYrhrWTmgS/room-info</t>
  </si>
  <si>
    <t>Nanda</t>
  </si>
  <si>
    <t>https://chat-conecta.recife.pe.gov.br/live/f9LYdF3BiyMp9HviK/room-info</t>
  </si>
  <si>
    <t>Vitoria</t>
  </si>
  <si>
    <t>https://chat-conecta.recife.pe.gov.br/live/FgEHuqCm29cHm3hrq/room-info</t>
  </si>
  <si>
    <t>Enia</t>
  </si>
  <si>
    <t>https://chat-conecta.recife.pe.gov.br/live/tRXLLw35arhbfy6f8/room-info</t>
  </si>
  <si>
    <t>Jussara</t>
  </si>
  <si>
    <t>https://chat-conecta.recife.pe.gov.br/live/x3FJbWcXRtQ8ax2KT/user-info</t>
  </si>
  <si>
    <t>https://chat-conecta.recife.pe.gov.br/live/3FyCo8kFLnLuuvLo9/room-info</t>
  </si>
  <si>
    <t>Julia</t>
  </si>
  <si>
    <t>https://chat-conecta.recife.pe.gov.br/live/P5HfiupyGbd8cGPX9/room-info</t>
  </si>
  <si>
    <t>Veronica</t>
  </si>
  <si>
    <t>https://chat-conecta.recife.pe.gov.br/live/vH359k3JERvRsbJQc/room-info</t>
  </si>
  <si>
    <t>https://chat-conecta.recife.pe.gov.br/live/Snmnr8goaFWKdTcgj/room-info</t>
  </si>
  <si>
    <t>https://chat-conecta.recife.pe.gov.br/live/zg2JkPW8Lz2cykmh7/room-info</t>
  </si>
  <si>
    <t>https://chat-conecta.recife.pe.gov.br/live/8ddH4LNxRS39NabZg/room-info</t>
  </si>
  <si>
    <t>Emily</t>
  </si>
  <si>
    <t>https://chat-conecta.recife.pe.gov.br/live/oHb4uxDS2qBNbpjMc/room-info</t>
  </si>
  <si>
    <t>Kátia</t>
  </si>
  <si>
    <t>https://chat-conecta.recife.pe.gov.br/live/hQNPk9Qw3xHsgQ73W/user-info</t>
  </si>
  <si>
    <t>Maria Luiza</t>
  </si>
  <si>
    <t>https://chat-conecta.recife.pe.gov.br/live/Cd3oLs5byQLot8gq4/user-info</t>
  </si>
  <si>
    <t>https://chat-conecta.recife.pe.gov.br/live/ZY9pTh8xvYv8HDHGx/room-info</t>
  </si>
  <si>
    <t>Tamires</t>
  </si>
  <si>
    <t>https://chat-conecta.recife.pe.gov.br/live/rivwDgcuD4NgKtwx6/room-info</t>
  </si>
  <si>
    <t>Kailane</t>
  </si>
  <si>
    <t>https://chat-conecta.recife.pe.gov.br/live/3esQwu9Bi98ZStk7B/room-info</t>
  </si>
  <si>
    <t>https://chat-conecta.recife.pe.gov.br/live/YNWQ2yYGtWTeeW97Z/room-info</t>
  </si>
  <si>
    <t>https://chat-conecta.recife.pe.gov.br/live/x2WYEaSn642yQv2qx/room-info</t>
  </si>
  <si>
    <t>Naide</t>
  </si>
  <si>
    <t>https://chat-conecta.recife.pe.gov.br/live/dp4kLAumgW4aLn2pn/room-info</t>
  </si>
  <si>
    <t>https://chat-conecta.recife.pe.gov.br/live/4QzhWtzvySrb2Qyrw/room-info</t>
  </si>
  <si>
    <t>Alice tenorio</t>
  </si>
  <si>
    <t>https://chat-conecta.recife.pe.gov.br/live/fshKtjtWmgQYwngtq/room-info</t>
  </si>
  <si>
    <t>Geovana</t>
  </si>
  <si>
    <t>https://chat-conecta.recife.pe.gov.br/live/tR8ZXSpAwfn3L2TeY/room-info</t>
  </si>
  <si>
    <t>Joice</t>
  </si>
  <si>
    <t>https://chat-conecta.recife.pe.gov.br/live/eYkLHy4mfku8bCcms/room-info</t>
  </si>
  <si>
    <t>Michaele</t>
  </si>
  <si>
    <t>https://chat-conecta.recife.pe.gov.br/live/kuaDRFt8YNDJHtR4E/room-info</t>
  </si>
  <si>
    <t>Nathalia</t>
  </si>
  <si>
    <t>Osmar</t>
  </si>
  <si>
    <t>https://chat-conecta.recife.pe.gov.br/live/5TbmGyR7AucHP2L3G/room-info</t>
  </si>
  <si>
    <t>MYCHERLANE</t>
  </si>
  <si>
    <t>https://chat-conecta.recife.pe.gov.br/live/jiALQqAWX2ut6Kf87/room-info</t>
  </si>
  <si>
    <t>Thais</t>
  </si>
  <si>
    <t>https://chat-conecta.recife.pe.gov.br/live/cRftuAaHct4cv8tTe/room-info</t>
  </si>
  <si>
    <t>Evellyn</t>
  </si>
  <si>
    <t>https://chat-conecta.recife.pe.gov.br/live/Lv6iTajJCbqNWuu5p/room-info</t>
  </si>
  <si>
    <t>01/07- sem demanda noturna</t>
  </si>
  <si>
    <t>Marta</t>
  </si>
  <si>
    <t>https://chat-conecta.recife.pe.gov.br/live/MDMX4sBnk4BuytErv/room-info</t>
  </si>
  <si>
    <t>Fred</t>
  </si>
  <si>
    <t>https://chat-conecta.recife.pe.gov.br/live/JQaiPD5gaCfmmB2vB/room-info</t>
  </si>
  <si>
    <t>04/07 - sem demanda noturna</t>
  </si>
  <si>
    <t>Viih</t>
  </si>
  <si>
    <t>https://chat-conecta.recife.pe.gov.br/live/RvKfGja7Na67KXzGc</t>
  </si>
  <si>
    <t>06/07 - sem demanda noturna</t>
  </si>
  <si>
    <t>Elida</t>
  </si>
  <si>
    <t>Joanna</t>
  </si>
  <si>
    <t>https://chat-conecta.recife.pe.gov.br/live/apiPCSWYbBFHGMbuX</t>
  </si>
  <si>
    <t>Ana Vitoria</t>
  </si>
  <si>
    <t>https://chat-conecta.recife.pe.gov.br/live/XSjcZjXximK4K4dnL/user-info</t>
  </si>
  <si>
    <t>Raquel Queiroz</t>
  </si>
  <si>
    <t>https://chat-conecta.recife.pe.gov.br/live/yjGXgqJQHMbaHNNiS/user-info</t>
  </si>
  <si>
    <t>Raquel/David</t>
  </si>
  <si>
    <t>https://chat-conecta.recife.pe.gov.br/live/GBEKjXb5qB7ci4mJT/user-info</t>
  </si>
  <si>
    <t>Eulália</t>
  </si>
  <si>
    <t>https://chat-conecta.recife.pe.gov.br/live/RgjsNABSKKJRhEkoD</t>
  </si>
  <si>
    <t>Bia</t>
  </si>
  <si>
    <t>https://chat-conecta.recife.pe.gov.br/live/q9Bm9QzPFraHXDxkZ</t>
  </si>
  <si>
    <t>https://chat-conecta.recife.pe.gov.br/live/Xzg5buA5kRzdrHyDN</t>
  </si>
  <si>
    <t>11/07 - sem demanda noturna</t>
  </si>
  <si>
    <t>Camila Fonseca</t>
  </si>
  <si>
    <t>https://chat-conecta.recife.pe.gov.br/live/XdetrSSMRryzADLzP/user-info</t>
  </si>
  <si>
    <t>Andriele leal</t>
  </si>
  <si>
    <t>https://chat-conecta.recife.pe.gov.br/live/9RnP3Pw8wtLMxgAGe/room-info</t>
  </si>
  <si>
    <t>Ely Silva</t>
  </si>
  <si>
    <t>https://chat-conecta.recife.pe.gov.br/live/pvvshwnvAfuj2gsMe/room-info</t>
  </si>
  <si>
    <t>https://chat-conecta.recife.pe.gov.br/live/uSnxcbST9vduYjKzc/room-info</t>
  </si>
  <si>
    <t>Atendimento</t>
  </si>
  <si>
    <t>https://chat-conecta.recife.pe.gov.br/live/vm9n8ocbYoL43ta5a</t>
  </si>
  <si>
    <t>Cachinhos</t>
  </si>
  <si>
    <t>https://chat-conecta.recife.pe.gov.br/live/P4cpEBAPBTff26piZ</t>
  </si>
  <si>
    <t>Kamila</t>
  </si>
  <si>
    <t>https://chat-conecta.recife.pe.gov.br/live/rAKb3joCBFo2kGi8s</t>
  </si>
  <si>
    <t>Monalisa</t>
  </si>
  <si>
    <t>https://chat-conecta.recife.pe.gov.br/live/jKgocvXZKjmtikQoc/room-info</t>
  </si>
  <si>
    <t>Ana</t>
  </si>
  <si>
    <t>https://chat-conecta.recife.pe.gov.br/live/nWn2Ret9bbsHvh2qe/room-info</t>
  </si>
  <si>
    <t>Natalia</t>
  </si>
  <si>
    <t>https://chat-conecta.recife.pe.gov.br/live/dLAt6kozzP8q7YPwm/room-info</t>
  </si>
  <si>
    <t>https://chat-conecta.recife.pe.gov.br/live/ZxkQ52GxtHsq6QaWS/room-info</t>
  </si>
  <si>
    <t>https://chat-conecta.recife.pe.gov.br/live/XnkZf7HMf5g2qADNX/room-info</t>
  </si>
  <si>
    <t>Iza</t>
  </si>
  <si>
    <t>https://chat-conecta.recife.pe.gov.br/live/sihnqDLmYbNPm6Qkt/room-info</t>
  </si>
  <si>
    <t>Gabriela</t>
  </si>
  <si>
    <t>https://chat-conecta.recife.pe.gov.br/live/zSerzZd2fXNsj48ci/room-info</t>
  </si>
  <si>
    <t>https://chat-conecta.recife.pe.gov.br/live/RuwqxuepfRD44wzvg/room-info</t>
  </si>
  <si>
    <t>Keila</t>
  </si>
  <si>
    <t>https://chat-conecta.recife.pe.gov.br/live/sYQXAd8GFgfcNwEKK/room-info</t>
  </si>
  <si>
    <t>Maiara</t>
  </si>
  <si>
    <t>https://chat-conecta.recife.pe.gov.br/live/bJ3FCqwHmkuLju4Wu/user-info</t>
  </si>
  <si>
    <t>Cassiane</t>
  </si>
  <si>
    <t>Bruna</t>
  </si>
  <si>
    <t>https://chat-conecta.recife.pe.gov.br/live/X7vgMtFgLdMvSXxdK/user-info</t>
  </si>
  <si>
    <t>Carol</t>
  </si>
  <si>
    <t>https://chat-conecta.recife.pe.gov.br/live/xP2FQCHRHKBeos9HY</t>
  </si>
  <si>
    <t>https://chat-conecta.recife.pe.gov.br/live/kvnzsEg6bgdt3fzmo/room-info</t>
  </si>
  <si>
    <t>https://chat-conecta.recife.pe.gov.br/live/86CvmkXzA8zwRzzWt</t>
  </si>
  <si>
    <t>https://chat-conecta.recife.pe.gov.br/live/icoiWhELwKb4eX7S6</t>
  </si>
  <si>
    <t>Japa</t>
  </si>
  <si>
    <t>https://chat-conecta.recife.pe.gov.br/live/bzJSihH6GgfrEtpub/room-info</t>
  </si>
  <si>
    <t>21/07 sem DN</t>
  </si>
  <si>
    <t>Philipe</t>
  </si>
  <si>
    <t>https://chat-conecta.recife.pe.gov.br/live/TMNzv5Qb6NwC5zwjP/room-info</t>
  </si>
  <si>
    <t>https://chat-conecta.recife.pe.gov.br/live/rHhNuQcq5n7dvw7q2/room-info</t>
  </si>
  <si>
    <t>Tefis</t>
  </si>
  <si>
    <t>https://chat-conecta.recife.pe.gov.br/live/mD6aKRKru4uTd2cij/room-info</t>
  </si>
  <si>
    <t>https://chat-conecta.recife.pe.gov.br/live/khyiQeX5qctQSzsbg/room-info</t>
  </si>
  <si>
    <t>Aldenir</t>
  </si>
  <si>
    <t>https://chat-conecta.recife.pe.gov.br/live/wfRgKGa2mJAggoFWj</t>
  </si>
  <si>
    <t>Nessinha</t>
  </si>
  <si>
    <t>https://chat-conecta.recife.pe.gov.br/live/yBz529iApXMFTC5fx/user-info</t>
  </si>
  <si>
    <t>Girleide</t>
  </si>
  <si>
    <t>https://chat-conecta.recife.pe.gov.br/live/pBEm8NN2qwNLjY8hk/user-info</t>
  </si>
  <si>
    <t>Eduarda</t>
  </si>
  <si>
    <t>https://chat-conecta.recife.pe.gov.br/live/aRfJeQHYA8RwCajND/user-info</t>
  </si>
  <si>
    <t>Ageu</t>
  </si>
  <si>
    <t>https://chat-conecta.recife.pe.gov.br/live/8pjfE8v5wbQYdtw62</t>
  </si>
  <si>
    <t>Kel</t>
  </si>
  <si>
    <t>https://chat-conecta.recife.pe.gov.br/live/iBA7S6DgAbjQ7gPks/room-info</t>
  </si>
  <si>
    <t>Paula</t>
  </si>
  <si>
    <t>https://chat-conecta.recife.pe.gov.br/live/TDFpcpJs8z2bak4kZ/room-info</t>
  </si>
  <si>
    <t>https://chat-conecta.recife.pe.gov.br/live/Zw3gf7gJxXcf4CzRj/room-info</t>
  </si>
  <si>
    <t>Dia 30/07 sem demanda noturna</t>
  </si>
  <si>
    <t>Manuela</t>
  </si>
  <si>
    <t>https://chat-conecta.recife.pe.gov.br/live/XkpapkD7xbjG4fMNo/room-info</t>
  </si>
  <si>
    <t>Vitória</t>
  </si>
  <si>
    <t>https://chat-conecta.recife.pe.gov.br/live/cwojfC4xEMsjpLdcT/room-info</t>
  </si>
  <si>
    <t>Cleyce</t>
  </si>
  <si>
    <t>https://chat-conecta.recife.pe.gov.br/live/jgSGX9bpP7RpC8GBR/room-info</t>
  </si>
  <si>
    <t>Carlinha</t>
  </si>
  <si>
    <t>https://chat-conecta.recife.pe.gov.br/live/SaQ9gY92RWAhxRd7n/room-info</t>
  </si>
  <si>
    <t>Dia 04,05,06/08 sem DN</t>
  </si>
  <si>
    <t>https://chat-conecta.recife.pe.gov.br/live/gJEMyghr8fxPpZaYk/room-info</t>
  </si>
  <si>
    <t>Thays</t>
  </si>
  <si>
    <t>https://chat-conecta.recife.pe.gov.br/live/WEByGvLtkcevr879g/room-info</t>
  </si>
  <si>
    <t>08/08 sem DN</t>
  </si>
  <si>
    <t>Emilly</t>
  </si>
  <si>
    <t>Carlos</t>
  </si>
  <si>
    <t>https://chat-conecta.recife.pe.gov.br/live/kWBQuHPJ7TR7wkfDN/room-info</t>
  </si>
  <si>
    <t>https://chat-conecta.recife.pe.gov.br/live/NECNoyTfRgzGYbmAG/room-info</t>
  </si>
  <si>
    <t>Erica</t>
  </si>
  <si>
    <t>https://chat-conecta.recife.pe.gov.br/live/EaKQZtuifFYMa8QDg/room-info</t>
  </si>
  <si>
    <t>Mary</t>
  </si>
  <si>
    <t>https://chat-conecta.recife.pe.gov.br/live/dpvcPaQhtBmzPvTF4/room-info</t>
  </si>
  <si>
    <t>Rebeka</t>
  </si>
  <si>
    <t>https://chat-conecta.recife.pe.gov.br/live/B2vWiziDTSFapqnDq/room-info</t>
  </si>
  <si>
    <t>Sandrinha</t>
  </si>
  <si>
    <t>https://chat-conecta.recife.pe.gov.br/live/5bXNt88DYLyujEfBh/room-info</t>
  </si>
  <si>
    <t>Jaci</t>
  </si>
  <si>
    <t>https://chat-conecta.recife.pe.gov.br/live/kQnTdFMQk94z9ncou/room-info</t>
  </si>
  <si>
    <t>Eloiza</t>
  </si>
  <si>
    <t>Stefane</t>
  </si>
  <si>
    <t>https://chat-conecta.recife.pe.gov.br/live/atjd38tCYZGC3BQ2c/room-info</t>
  </si>
  <si>
    <t>Maju</t>
  </si>
  <si>
    <t>https://chat-conecta.recife.pe.gov.br/live/4ZiNFLRswKesdMyK9/room-info</t>
  </si>
  <si>
    <t>Lidia</t>
  </si>
  <si>
    <t>https://chat-conecta.recife.pe.gov.br/live/ZfGg7cLhQjHcFxts4/room-info</t>
  </si>
  <si>
    <t>Dawane</t>
  </si>
  <si>
    <t>https://chat-conecta.recife.pe.gov.br/live/8Tobb6DhQw6CMEJoC/room-info</t>
  </si>
  <si>
    <t>Gabrielle</t>
  </si>
  <si>
    <t>https://chat-conecta.recife.pe.gov.br/live/GcTN58Sgt2h8BQmsu/room-info</t>
  </si>
  <si>
    <t>Lih</t>
  </si>
  <si>
    <t>https://chat-conecta.recife.pe.gov.br/live/5aNNrfnwAjAjqvdin/room-info</t>
  </si>
  <si>
    <t>Lira</t>
  </si>
  <si>
    <t>https://chat-conecta.recife.pe.gov.br/live/5LtZLBm4BB5CydXsv/room-info</t>
  </si>
  <si>
    <t>Talita</t>
  </si>
  <si>
    <t>https://chat-conecta.recife.pe.gov.br/live/z5AFLveZahn5LB335/room-info</t>
  </si>
  <si>
    <t>Taliana</t>
  </si>
  <si>
    <t>https://chat-conecta.recife.pe.gov.br/live/cmHwaWBLtngautWwb/room-info</t>
  </si>
  <si>
    <t>Verônica</t>
  </si>
  <si>
    <t>https://chat-conecta.recife.pe.gov.br/live/GQuBWPyrtirt3myLb/room-info</t>
  </si>
  <si>
    <t>Mariana</t>
  </si>
  <si>
    <t>https://chat-conecta.recife.pe.gov.br/live/w8xYeuGjv9cH2HsQy/room-info</t>
  </si>
  <si>
    <t>Rosa</t>
  </si>
  <si>
    <t>https://chat-conecta.recife.pe.gov.br/live/KWRrFujNCZRsLaCFC/room-info</t>
  </si>
  <si>
    <t>Cristiane</t>
  </si>
  <si>
    <t>https://chat-conecta.recife.pe.gov.br/live/L6PK6tHPJG764ibck/room-info</t>
  </si>
  <si>
    <t>Carine</t>
  </si>
  <si>
    <t>https://chat-conecta.recife.pe.gov.br/live/5e7tMDSBGQDRkc29z/room-info</t>
  </si>
  <si>
    <t>Fia</t>
  </si>
  <si>
    <t>https://chat-conecta.recife.pe.gov.br/live/gzEttFBYRMnv5d8Yd/room-info</t>
  </si>
  <si>
    <t>https://chat-conecta.recife.pe.gov.br/live/3xwE3ptvyFg7YmDtT/room-info</t>
  </si>
  <si>
    <t>24/08 sem DN</t>
  </si>
  <si>
    <t>Karen</t>
  </si>
  <si>
    <t>https://chat-conecta.recife.pe.gov.br/live/jrY2NJ46AQiT5Wpyd/room-info</t>
  </si>
  <si>
    <t>26/08 sem DN</t>
  </si>
  <si>
    <t>Angelo</t>
  </si>
  <si>
    <t>https://chat-conecta.recife.pe.gov.br/live/xMBvEmYSZd2j362XZ/room-info</t>
  </si>
  <si>
    <t>https://chat-conecta.recife.pe.gov.br/live/tvjp6pDo2uhRmuCjE/room-info</t>
  </si>
  <si>
    <t>https://chat-conecta.recife.pe.gov.br/live/De8vsKptXwiSWqLxD/room-info</t>
  </si>
  <si>
    <t>https://chat-conecta.recife.pe.gov.br/live/HeNbNXRRQAsjeYdNu/user-info</t>
  </si>
  <si>
    <t>Carolina</t>
  </si>
  <si>
    <t>https://chat-conecta.recife.pe.gov.br/live/HPEYEb9v4H5SKn2Wu/user-info</t>
  </si>
  <si>
    <t>Ilka</t>
  </si>
  <si>
    <t>https://chat-conecta.recife.pe.gov.br/live/8jGKJhrnWRGqhEPBT/user-info</t>
  </si>
  <si>
    <t xml:space="preserve">Madu </t>
  </si>
  <si>
    <t>https://chat-conecta.recife.pe.gov.br/live/isgXLanviyL3G59Ty/user-info</t>
  </si>
  <si>
    <t>Teve uma</t>
  </si>
  <si>
    <t>Nessa</t>
  </si>
  <si>
    <t>https://chat-conecta.recife.pe.gov.br/live/rx3vegabSnS5iZodZ/user-info</t>
  </si>
  <si>
    <t>https://chat-conecta.recife.pe.gov.br/live/8Ynim4hHGfvXN6EGZ/user-info</t>
  </si>
  <si>
    <t>Jeniffer</t>
  </si>
  <si>
    <t>https://chat-conecta.recife.pe.gov.br/live/2HRvs4qjch5K8kN64/user-info</t>
  </si>
  <si>
    <t>https://chat-conecta.recife.pe.gov.br/live/rapXxPfrzoobNLhGK/user-info</t>
  </si>
  <si>
    <t>https://chat-conecta.recife.pe.gov.br/live/NqJeEze4pEbwzf2Yn/user-info</t>
  </si>
  <si>
    <t>https://chat-conecta.recife.pe.gov.br/live/Zbs96JhYHsca9teQs/room-info</t>
  </si>
  <si>
    <t>Lau</t>
  </si>
  <si>
    <t>https://chat-conecta.recife.pe.gov.br/live/rzLnXfNdugWLikBRZ/room-info</t>
  </si>
  <si>
    <t>https://chat-conecta.recife.pe.gov.br/live/PkXBNzxzZcGmMQXSs</t>
  </si>
  <si>
    <t>Geliane</t>
  </si>
  <si>
    <t>https://chat-conecta.recife.pe.gov.br/live/SZNc73qgbooY85svD</t>
  </si>
  <si>
    <t>https://chat-conecta.recife.pe.gov.br/live/bjfQqbxdPAD6v6rtj</t>
  </si>
  <si>
    <t>Jaque</t>
  </si>
  <si>
    <t>https://chat-conecta.recife.pe.gov.br/live/bAY9NTt8kywbYQ5dv</t>
  </si>
  <si>
    <t>Carynne</t>
  </si>
  <si>
    <t>https://chat-conecta.recife.pe.gov.br/live/ZqEwu5isu6gDk2n4c</t>
  </si>
  <si>
    <t>Ruth</t>
  </si>
  <si>
    <t>https://chat-conecta.recife.pe.gov.br/live/tevz39eMcPWpxxsyR</t>
  </si>
  <si>
    <t>https://chat-conecta.recife.pe.gov.br/live/hineX9fQrPYgPo9bs/room-info</t>
  </si>
  <si>
    <t>Ana Karolina</t>
  </si>
  <si>
    <t>Ana Karla</t>
  </si>
  <si>
    <t>https://chat-conecta.recife.pe.gov.br/live/dm3vBLhWwfzP4Q5en/room-info</t>
  </si>
  <si>
    <t>https://chat-conecta.recife.pe.gov.br/live/9AeaRH9NC6zTGwnxs/room-info</t>
  </si>
  <si>
    <t>https://chat-conecta.recife.pe.gov.br/live/TQtBCgLkrd4PFzM28/room-info</t>
  </si>
  <si>
    <t>Ekys</t>
  </si>
  <si>
    <t>https://chat-conecta.recife.pe.gov.br/live/n6FYiyaHifHEuTn8W/room-info</t>
  </si>
  <si>
    <t>https://chat-conecta.recife.pe.gov.br/live/ndCe2RnbsjbYq6EYK/room-info</t>
  </si>
  <si>
    <t>Bella</t>
  </si>
  <si>
    <t>https://chat-conecta.recife.pe.gov.br/live/RfaFeGArBJtum2A4Y/room-info</t>
  </si>
  <si>
    <t>Thalia</t>
  </si>
  <si>
    <t>https://chat-conecta.recife.pe.gov.br/live/vjHnnKNpMEyyNes4j/room-info</t>
  </si>
  <si>
    <t>Tatiane</t>
  </si>
  <si>
    <t>https://chat-conecta.recife.pe.gov.br/live/5cZw3C9xs2B5efvzE/room-info</t>
  </si>
  <si>
    <t>Crislayne</t>
  </si>
  <si>
    <t>https://chat-conecta.recife.pe.gov.br/live/aZWM9Ck73gpfS4HRg/room-info</t>
  </si>
  <si>
    <t>https://chat-conecta.recife.pe.gov.br/live/TLa2HyAnQjNuAE9qf/room-info</t>
  </si>
  <si>
    <t>Rodrigo</t>
  </si>
  <si>
    <t>https://chat-conecta.recife.pe.gov.br/live/23SajvLJCWRgWKkhe/room-info</t>
  </si>
  <si>
    <t>Filha do rei</t>
  </si>
  <si>
    <t>https://chat-conecta.recife.pe.gov.br/live/qkCDXjSDZcZvnqE87/room-info</t>
  </si>
  <si>
    <t>Kah</t>
  </si>
  <si>
    <t>https://chat-conecta.recife.pe.gov.br/live/FPjb2X6nEg5B3ivim/room-info</t>
  </si>
  <si>
    <t>Rayane</t>
  </si>
  <si>
    <t>https://chat-conecta.recife.pe.gov.br/live/swjY6LS9GXMyxMggD/room-info</t>
  </si>
  <si>
    <t>Emmily</t>
  </si>
  <si>
    <t>https://chat-conecta.recife.pe.gov.br/live/CNNG4FYoy7rTxGfNS</t>
  </si>
  <si>
    <t>Moranguinho</t>
  </si>
  <si>
    <t>https://chat-conecta.recife.pe.gov.br/live/a76hkBTHEoyQSf3WQ/room-info</t>
  </si>
  <si>
    <t>Ninny</t>
  </si>
  <si>
    <t>https://chat-conecta.recife.pe.gov.br/live/kMkXfsmpd4QAXeeX8/room-info</t>
  </si>
  <si>
    <t>Fernanda</t>
  </si>
  <si>
    <t>https://chat-conecta.recife.pe.gov.br/live/jngDdGmoLDP6hJvWm</t>
  </si>
  <si>
    <t>Thay</t>
  </si>
  <si>
    <t>https://chat-conecta.recife.pe.gov.br/live/3ySpMCufvcGYxggDs/room-info</t>
  </si>
  <si>
    <t>Milla</t>
  </si>
  <si>
    <t>https://chat-conecta.recife.pe.gov.br/live/j3YXM3ShMxAXMYDzt/room-info</t>
  </si>
  <si>
    <t>Jacilene</t>
  </si>
  <si>
    <t>https://chat-conecta.recife.pe.gov.br/live/vyqcASbaKNy5pCdvA/room-info</t>
  </si>
  <si>
    <t>São Lourenço</t>
  </si>
  <si>
    <t>Camylla</t>
  </si>
  <si>
    <t>https://chat-conecta.recife.pe.gov.br/live/EwPTP2AaAWMm4KSCp/room-info</t>
  </si>
  <si>
    <t>https://chat-conecta.recife.pe.gov.br/live/pKSQmqqrmLMac4uBv/room-info</t>
  </si>
  <si>
    <t>Nany</t>
  </si>
  <si>
    <t>https://chat-conecta.recife.pe.gov.br/live/DbE3MjfgcW4KBqvN8/room-info</t>
  </si>
  <si>
    <t>Leandra</t>
  </si>
  <si>
    <t>Valeria</t>
  </si>
  <si>
    <t>https://chat-conecta.recife.pe.gov.br/live/NNKR3geYk5siGhvE6/room-info</t>
  </si>
  <si>
    <t>Raquel</t>
  </si>
  <si>
    <t>https://chat-conecta.recife.pe.gov.br/live/7FoJGNnQAtub8Pbeu/room-info</t>
  </si>
  <si>
    <t>Ziran</t>
  </si>
  <si>
    <t>https://chat-conecta.recife.pe.gov.br/live/55tmgSH4BhovqPNbs/room-info</t>
  </si>
  <si>
    <t>Myrella</t>
  </si>
  <si>
    <t>https://chat-conecta.recife.pe.gov.br/live/8tKSh2EoFxFghcTf6/room-info</t>
  </si>
  <si>
    <t>Karol</t>
  </si>
  <si>
    <t>https://chat-conecta.recife.pe.gov.br/live/o7anGEizDANG4Tz9g/room-info</t>
  </si>
  <si>
    <t>https://chat-conecta.recife.pe.gov.br/live/7wQxrKnF4ZXWQtHJc/room-info</t>
  </si>
  <si>
    <t>https://chat-conecta.recife.pe.gov.br/live/7H5TzgPCwjcroMExJ/room-info</t>
  </si>
  <si>
    <t>Sara</t>
  </si>
  <si>
    <t>https://chat-conecta.recife.pe.gov.br/live/kx654zdpddCyxS4TB/room-info</t>
  </si>
  <si>
    <t>https://chat-conecta.recife.pe.gov.br/live/2DBGWFuYYz2ymZ5ES/room-info</t>
  </si>
  <si>
    <t>Mayer</t>
  </si>
  <si>
    <t>https://chat-conecta.recife.pe.gov.br/live/78YnaFQcRbCBfHCtc/room-info</t>
  </si>
  <si>
    <t>AS</t>
  </si>
  <si>
    <t>https://chat-conecta.recife.pe.gov.br/live/RRx5Pbp4NujcknTAi/room-info</t>
  </si>
  <si>
    <t>https://chat-conecta.recife.pe.gov.br/live/rcikRKnCpkrFbE3C2/room-info</t>
  </si>
  <si>
    <t>Carla</t>
  </si>
  <si>
    <t>https://chat-conecta.recife.pe.gov.br/live/fRHqyqFRfAT4aiYqR/room-info</t>
  </si>
  <si>
    <t>Ketlen</t>
  </si>
  <si>
    <t>https://chat-conecta.recife.pe.gov.br/live/cypqiKKAtQgQMmhE6/room-info</t>
  </si>
  <si>
    <t>Davi</t>
  </si>
  <si>
    <t>https://chat-conecta.recife.pe.gov.br/live/JCQ28z4wYMD35H4jB/room-info</t>
  </si>
  <si>
    <t>Raianara</t>
  </si>
  <si>
    <t>https://chat-conecta.recife.pe.gov.br/live/MeyJazrk6jviTybNu/room-info</t>
  </si>
  <si>
    <t>Geiciane</t>
  </si>
  <si>
    <t>https://chat-conecta.recife.pe.gov.br/live/BRNu54oBfuy8i2JbB/room-info</t>
  </si>
  <si>
    <t>Reeh</t>
  </si>
  <si>
    <t>https://chat-conecta.recife.pe.gov.br/live/FaWuuad7DHZJdzvTZ/room-info</t>
  </si>
  <si>
    <t>Proelium</t>
  </si>
  <si>
    <t>https://chat-conecta.recife.pe.gov.br/live/4jGR34HwGjZLBDHhJ/room-info</t>
  </si>
  <si>
    <t>Karlinha</t>
  </si>
  <si>
    <t>https://chat-conecta.recife.pe.gov.br/live/zjaJmoeKHqmLrdbXQ/room-info</t>
  </si>
  <si>
    <t>Mozinho</t>
  </si>
  <si>
    <t>https://chat-conecta.recife.pe.gov.br/live/CqqhrAkTraJsziQLB/room-info</t>
  </si>
  <si>
    <t xml:space="preserve">Juliana </t>
  </si>
  <si>
    <t>https://chat-conecta.recife.pe.gov.br/live/MBHK9sacp5YshTco3/room-info</t>
  </si>
  <si>
    <t>Berg</t>
  </si>
  <si>
    <t>https://chat-conecta.recife.pe.gov.br/live/pZPj5MoAq8fMgw7mr/room-info</t>
  </si>
  <si>
    <t xml:space="preserve">Amanda </t>
  </si>
  <si>
    <t>https://chat-conecta.recife.pe.gov.br/live/XF9qmAuTB9Gek27EH/room-info</t>
  </si>
  <si>
    <t>https://chat-conecta.recife.pe.gov.br/live/vBMwu3ssfvsrrMPzQ/room-info</t>
  </si>
  <si>
    <t>Raylla</t>
  </si>
  <si>
    <t>https://chat-conecta.recife.pe.gov.br/live/zk9NnbhtfBrQ7SBgu</t>
  </si>
  <si>
    <t>Dianna</t>
  </si>
  <si>
    <t>https://chat-conecta.recife.pe.gov.br/live/RfFjHHssLjvexk2fp/room-info</t>
  </si>
  <si>
    <t>https://chat-conecta.recife.pe.gov.br/live/mDq8SX9ySjwpCFJyk</t>
  </si>
  <si>
    <t>Gislaine</t>
  </si>
  <si>
    <t>https://chat-conecta.recife.pe.gov.br/live/uDqD2k8CZndhFmgni/room-info</t>
  </si>
  <si>
    <t>Roberta</t>
  </si>
  <si>
    <t>https://chat-conecta.recife.pe.gov.br/live/zsX6xGxtDjdMbnoCG/room-info</t>
  </si>
  <si>
    <t>Marcia</t>
  </si>
  <si>
    <t>https://chat-conecta.recife.pe.gov.br/live/ZiE3fQRPZphYWRBwP/room-info</t>
  </si>
  <si>
    <t>https://chat-conecta.recife.pe.gov.br/live/Spijqfgib2aYm3pg6/room-info</t>
  </si>
  <si>
    <t>https://chat-conecta.recife.pe.gov.br/live/dcd55dDsGgHRCeGzQ/room-info</t>
  </si>
  <si>
    <t>https://chat-conecta.recife.pe.gov.br/live/rxsnhicykwTNSMuP9/room-info</t>
  </si>
  <si>
    <t>Hilda</t>
  </si>
  <si>
    <t>Melissa</t>
  </si>
  <si>
    <t>https://chat-conecta.recife.pe.gov.br/live/C72aX2dcqjFhyA9Go/room-info</t>
  </si>
  <si>
    <t>https://chat-conecta.recife.pe.gov.br/live/iGE4DKSuaLEy3ri2d/room-info</t>
  </si>
  <si>
    <t>Jânia</t>
  </si>
  <si>
    <t>https://chat-conecta.recife.pe.gov.br/live/AFGrTpCrrTBDNB3xv/room-info</t>
  </si>
  <si>
    <t>Diana</t>
  </si>
  <si>
    <t>https://chat-conecta.recife.pe.gov.br/live/BDNWvqX4wD2rjW7SH/room-info</t>
  </si>
  <si>
    <t>Erika</t>
  </si>
  <si>
    <t>https://chat-conecta.recife.pe.gov.br/live/YqEtsef8GL38Hfqgj/room-info</t>
  </si>
  <si>
    <t>https://chat-conecta.recife.pe.gov.br/live/FW4ExGqp85e4SYzp4/room-info</t>
  </si>
  <si>
    <t>Eryka</t>
  </si>
  <si>
    <t>https://chat-conecta.recife.pe.gov.br/live/7kBGLduZWHMkBJus2/room-info</t>
  </si>
  <si>
    <t>https://chat-conecta.recife.pe.gov.br/live/JfAxyH2xHxCmXc7aL/room-info</t>
  </si>
  <si>
    <t>Menezes</t>
  </si>
  <si>
    <t>https://chat-conecta.recife.pe.gov.br/live/7edbgt6kx8eSsE3e3/room-info</t>
  </si>
  <si>
    <t>https://chat-conecta.recife.pe.gov.br/live/hn7qjTy43jfxeACHb/room-info</t>
  </si>
  <si>
    <t>https://chat-conecta.recife.pe.gov.br/live/HvqNmpH2dWZF2sGG3/room-info</t>
  </si>
  <si>
    <t>https://chat-conecta.recife.pe.gov.br/live/fH3xSeHGSjDF5cwFy/room-info</t>
  </si>
  <si>
    <t>https://chat-conecta.recife.pe.gov.br/live/dBTsvLXFiCXBvo3i2/room-info</t>
  </si>
  <si>
    <t>Samuca</t>
  </si>
  <si>
    <t>https://chat-conecta.recife.pe.gov.br/live/ujvxGgnHBi6CaHowQ/room-info</t>
  </si>
  <si>
    <t>vivi</t>
  </si>
  <si>
    <t>https://chat-conecta.recife.pe.gov.br/live/puhWKNakYd8RRQDpv/room-info</t>
  </si>
  <si>
    <t>Joyce</t>
  </si>
  <si>
    <t>https://chat-conecta.recife.pe.gov.br/live/cRnFdBmTQTzNJML72/room-info</t>
  </si>
  <si>
    <t>morena</t>
  </si>
  <si>
    <t>https://chat-conecta.recife.pe.gov.br/live/KZRoAoxzbQhotGBwE/room-info</t>
  </si>
  <si>
    <t>https://chat-conecta.recife.pe.gov.br/live/ArfTGhTapRRh8aNgx/room-info</t>
  </si>
  <si>
    <t>https://chat-conecta.recife.pe.gov.br/live/PAQLWTmb3LcDrAsAg/room-info</t>
  </si>
  <si>
    <t>Taynana</t>
  </si>
  <si>
    <t>https://chat-conecta.recife.pe.gov.br/live/NYZeSvpu9peMtidu5/room-info</t>
  </si>
  <si>
    <t>Tayana</t>
  </si>
  <si>
    <t>https://chat-conecta.recife.pe.gov.br/live/pdyqXzjYhFfySCy3N/room-info</t>
  </si>
  <si>
    <t>Amandinha</t>
  </si>
  <si>
    <t>https://chat-conecta.recife.pe.gov.br/live/2QJKNed4QF7wY3eqh/room-info</t>
  </si>
  <si>
    <t>Vandressa</t>
  </si>
  <si>
    <t>https://chat-conecta.recife.pe.gov.br/live/dYCtG6Q26P4fMRj8y/room-info</t>
  </si>
  <si>
    <t>Mericiana</t>
  </si>
  <si>
    <t>https://chat-conecta.recife.pe.gov.br/live/fqji29rXMYuX8g6m5/room-info</t>
  </si>
  <si>
    <t>Camila</t>
  </si>
  <si>
    <t>https://chat-conecta.recife.pe.gov.br/live/mGgpYPJ3qbmff9uWj/room-info</t>
  </si>
  <si>
    <t>Ester</t>
  </si>
  <si>
    <t>https://chat-conecta.recife.pe.gov.br/live/ZvGj4kQp5Swiaeo5p/room-info</t>
  </si>
  <si>
    <t>Eyshila - Elaine</t>
  </si>
  <si>
    <t>https://chat-conecta.recife.pe.gov.br/live/CJCWWq4JbYsdotwXY/room-info</t>
  </si>
  <si>
    <t>Tatiana</t>
  </si>
  <si>
    <t>https://chat-conecta.recife.pe.gov.br/live/qpWou5dafYFwYEqkN/room-info</t>
  </si>
  <si>
    <t>https://chat-conecta.recife.pe.gov.br/live/MXfjMomGS3SnFcF4p/room-info</t>
  </si>
  <si>
    <t>Jessy</t>
  </si>
  <si>
    <t>https://chat-conecta.recife.pe.gov.br/live/qxt8g6EhykZ5PCRMs/room-info</t>
  </si>
  <si>
    <t>Vinicius</t>
  </si>
  <si>
    <t>https://chat-conecta.recife.pe.gov.br/live/yQ7rM3jCmcTJCEcd8/room-info</t>
  </si>
  <si>
    <t>Vitória Alves</t>
  </si>
  <si>
    <t>HopChat PMR (recife.pe.gov.br)</t>
  </si>
  <si>
    <t>/</t>
  </si>
  <si>
    <t>Lis</t>
  </si>
  <si>
    <t>https://chat-conecta.recife.pe.gov.br/live/uh9gkmy9mhM2N3D48/room-info</t>
  </si>
  <si>
    <t>https://chat-conecta.recife.pe.gov.br/live/yLRexBnz8xuYYmLL5/room-info</t>
  </si>
  <si>
    <t>https://chat-conecta.recife.pe.gov.br/live/pp92cf3CPaAqNww5d/room-info</t>
  </si>
  <si>
    <t>https://chat-conecta.recife.pe.gov.br/live/kmR6MRRPXD8N9RjR3/room-info</t>
  </si>
  <si>
    <t>Felipe</t>
  </si>
  <si>
    <t>https://chat-conecta.recife.pe.gov.br/live/DrjDnLKDHJP9Ct3Y9/room-info</t>
  </si>
  <si>
    <t>https://chat-conecta.recife.pe.gov.br/live/8ZWx5u5Rfra9mRusE/room-info</t>
  </si>
  <si>
    <t>Rosemeri</t>
  </si>
  <si>
    <t>https://chat-conecta.recife.pe.gov.br/live/ZmKwj5AA5D98KhPKg/room-info</t>
  </si>
  <si>
    <t>Fatima</t>
  </si>
  <si>
    <t>https://chat-conecta.recife.pe.gov.br/live/gTgekjMvpQSpsLXCC/room-info</t>
  </si>
  <si>
    <t>Jessica</t>
  </si>
  <si>
    <t>https://chat-conecta.recife.pe.gov.br/live/f3FZGXoFyKfZLHJdL/room-info</t>
  </si>
  <si>
    <t>Lidiane</t>
  </si>
  <si>
    <t>https://chat-conecta.recife.pe.gov.br/live/jAtkJKQf9LQozjcPs/room-info</t>
  </si>
  <si>
    <t>Crsitini</t>
  </si>
  <si>
    <t>https://chat-conecta.recife.pe.gov.br/live/ha38z4BjpD8CWE3D3/room-info</t>
  </si>
  <si>
    <t>Ingridy</t>
  </si>
  <si>
    <t>https://chat-conecta.recife.pe.gov.br/live/ToeTmfK4QHYwHpYba/user-info</t>
  </si>
  <si>
    <t>https://chat-conecta.recife.pe.gov.br/live/aNSfxTnRZs7o5zsGr/room-info</t>
  </si>
  <si>
    <t>Rosinha</t>
  </si>
  <si>
    <t>https://chat-conecta.recife.pe.gov.br/live/TGBfXDRTuJTCD63NK/room-info</t>
  </si>
  <si>
    <t>https://chat-conecta.recife.pe.gov.br/live/A7cSH5wpz7chD24rL/room-info</t>
  </si>
  <si>
    <t>Tetezinha</t>
  </si>
  <si>
    <t>https://chat-conecta.recife.pe.gov.br/live/rGPhKvbf4XXCHvhLb/room-info</t>
  </si>
  <si>
    <t>Marcione</t>
  </si>
  <si>
    <t>https://chat-conecta.recife.pe.gov.br/live/MCMvXyDPKmPBNy27S/room-info</t>
  </si>
  <si>
    <t>Ghefylle</t>
  </si>
  <si>
    <t>https://chat-conecta.recife.pe.gov.br/live/Whn5KDJnxRTyBHC5C/room-info</t>
  </si>
  <si>
    <t>Maria Eduarda</t>
  </si>
  <si>
    <t>chat-conecta.recife.pe.gov.br/live/mHivMePBmHmqNga6H/room-info</t>
  </si>
  <si>
    <t>Tercia</t>
  </si>
  <si>
    <t>https://chat-conecta.recife.pe.gov.br/live/CnxBKQH8KymnojqCP/room-info</t>
  </si>
  <si>
    <t>Isa</t>
  </si>
  <si>
    <t>https://chat-conecta.recife.pe.gov.br/live/qztMGMbSBquJzTQMk/room-info</t>
  </si>
  <si>
    <t>Tarciana</t>
  </si>
  <si>
    <t>https://chat-conecta.recife.pe.gov.br/live/77wRGJBi3bMGye53k/room-info</t>
  </si>
  <si>
    <t>https://chat-conecta.recife.pe.gov.br/live/9F4uSSvb2RYbHXo3b/room-info</t>
  </si>
  <si>
    <t>Rayssa Luana</t>
  </si>
  <si>
    <t>https://chat-conecta.recife.pe.gov.br/live/gXuEtQ7z54pPKKb5a/room-info</t>
  </si>
  <si>
    <t>Juh Fenty</t>
  </si>
  <si>
    <t>https://chat-conecta.recife.pe.gov.br/live/oB7Cr9Tv3FQQ4wBBF/room-info</t>
  </si>
  <si>
    <r>
      <rPr>
        <sz val="9"/>
        <color rgb="FF000000"/>
        <rFont val="Arial"/>
        <charset val="134"/>
      </rPr>
      <t>Tauany Letícia</t>
    </r>
    <r>
      <rPr>
        <sz val="9"/>
        <color rgb="FF000000"/>
        <rFont val="Arial"/>
        <charset val="134"/>
      </rPr>
      <t xml:space="preserve">
</t>
    </r>
  </si>
  <si>
    <t>https://chat-conecta.recife.pe.gov.br/live/nRaRXn8KLuGdA4gRs/room-info</t>
  </si>
  <si>
    <t>RomeroC01</t>
  </si>
  <si>
    <t>https://chat-conecta.recife.pe.gov.br/live/pxcQX6mLaeSdWrv3F/room-info</t>
  </si>
  <si>
    <t>https://chat-conecta.recife.pe.gov.br/live/GGZhQ75mX6jHpiHYD/room-info</t>
  </si>
  <si>
    <t>Anny</t>
  </si>
  <si>
    <t>https://chat-conecta.recife.pe.gov.br/live/PHH8uM8mJgbCKaQba</t>
  </si>
  <si>
    <t>https://chat-conecta.recife.pe.gov.br/live/yKk43jpMkFa7T2rB4</t>
  </si>
  <si>
    <t>Evelyn</t>
  </si>
  <si>
    <t>https://chat-conecta.recife.pe.gov.br/live/8n4TiCLjpMkSQcAfz/room-info</t>
  </si>
  <si>
    <t>Eliane</t>
  </si>
  <si>
    <t>https://chat-conecta.recife.pe.gov.br/live/diGYeJpXsnNbSTwC6/room-info</t>
  </si>
  <si>
    <t>Sara Costa</t>
  </si>
  <si>
    <t>https://chat-conecta.recife.pe.gov.br/live/tRyEyyf6wc2ZLhgbw/room-info</t>
  </si>
  <si>
    <t>Lua</t>
  </si>
  <si>
    <t>https://chat-conecta.recife.pe.gov.br/live/Ydm6MF4XeXHHmvhyL/room-info</t>
  </si>
  <si>
    <t>Silva</t>
  </si>
  <si>
    <t>https://chat-conecta.recife.pe.gov.br/live/q7qLw5rEdtbMk9xAS/room-info</t>
  </si>
  <si>
    <t>Paulinha</t>
  </si>
  <si>
    <t>https://chat-conecta.recife.pe.gov.br/live/JPEZ44uZ76bRL44i5/room-info</t>
  </si>
  <si>
    <t>Sara Thalita</t>
  </si>
  <si>
    <t>https://chat-conecta.recife.pe.gov.br/live/R8QPbDaxidkfvtGfN/room-info</t>
  </si>
  <si>
    <t>NÂO</t>
  </si>
  <si>
    <t>https://chat-conecta.recife.pe.gov.br/live/viQ3ax49sv8Rx99So/room-info</t>
  </si>
  <si>
    <t>Jess</t>
  </si>
  <si>
    <t>https://chat-conecta.recife.pe.gov.br/live/geFmg2EKyJRxaC6qR/room-info</t>
  </si>
  <si>
    <t>🤍</t>
  </si>
  <si>
    <t>https://chat-conecta.recife.pe.gov.br/live/PgAwrh6cAHYDEfxme/room-info</t>
  </si>
  <si>
    <t>Sem indentificação na conversa</t>
  </si>
  <si>
    <t>yoto</t>
  </si>
  <si>
    <t>https://chat-conecta.recife.pe.gov.br/live/FQteeGosTc8Ckf42B/room-info</t>
  </si>
  <si>
    <t>Luciana Carla</t>
  </si>
  <si>
    <r>
      <rPr>
        <u/>
        <sz val="10"/>
        <color rgb="FF1155CC"/>
        <rFont val="Arial"/>
        <charset val="134"/>
      </rPr>
      <t>https://chat-conecta.recife.pe.gov.br/live/RdTN4zDkBG4iybRda/room-info</t>
    </r>
    <r>
      <rPr>
        <sz val="10"/>
        <rFont val="Arial"/>
        <charset val="134"/>
      </rPr>
      <t>o</t>
    </r>
  </si>
  <si>
    <t>Andressa Manuela</t>
  </si>
  <si>
    <t>https://chat-conecta.recife.pe.gov.br/live/9ko25QzKYj9sqnbdq/room-info</t>
  </si>
  <si>
    <t xml:space="preserve">Kauany Gomest
</t>
  </si>
  <si>
    <t>https://chat-conecta.recife.pe.gov.br/live/6QHsRSMt2Kwk8hgQK/room-info</t>
  </si>
  <si>
    <t>CG Acessórios</t>
  </si>
  <si>
    <t>https://chat-conecta.recife.pe.gov.br/live/2fcb8DknRBsWAyF4v/room-info</t>
  </si>
  <si>
    <t>Rosy Nascimento</t>
  </si>
  <si>
    <t>https://chat-conecta.recife.pe.gov.br/live/PNYFSKJybRmpcmcG6/room-info</t>
  </si>
  <si>
    <t>Recebeu o atendimento, depois não interagiu mais.</t>
  </si>
  <si>
    <t>Lili</t>
  </si>
  <si>
    <t>https://chat-conecta.recife.pe.gov.br/live/AZFwYwBBuBi7bWnrQ/room-info</t>
  </si>
  <si>
    <t>https://chat-conecta.recife.pe.gov.br/live/Fgt24zsWyhwxiRTYf/room-info</t>
  </si>
  <si>
    <t>💙💙💙❤️</t>
  </si>
  <si>
    <t>https://chat-conecta.recife.pe.gov.br/live/uhTazBxJyZcDBC8Ng/room-info</t>
  </si>
  <si>
    <t>Sem identificação na conversa</t>
  </si>
  <si>
    <t xml:space="preserve">Raiane Carine
</t>
  </si>
  <si>
    <t>https://chat-conecta.recife.pe.gov.br/live/sXJAwZ4MxbPkTPKzN/room-info</t>
  </si>
  <si>
    <t>Analucia Oliveira</t>
  </si>
  <si>
    <t>https://chat-conecta.recife.pe.gov.br/live/A4gpe25soqNdbxRFZ/room-info</t>
  </si>
  <si>
    <t xml:space="preserve">Bianka Vitória
</t>
  </si>
  <si>
    <t>https://chat-conecta.recife.pe.gov.br/live/JFbzZMcFPrWLShvTj/room-info</t>
  </si>
  <si>
    <t>Ragnar 💘</t>
  </si>
  <si>
    <t>https://chat-conecta.recife.pe.gov.br/live/zoLmb4NgyC4S42qky/room-info</t>
  </si>
  <si>
    <t>Deus Acima de Tudo</t>
  </si>
  <si>
    <t>https://chat-conecta.recife.pe.gov.br/live/ZzxcdyxoKBXWqEx8L/room-info</t>
  </si>
  <si>
    <t>Luciana Rodrigues</t>
  </si>
  <si>
    <t>https://chat-conecta.recife.pe.gov.br/live/955u4rx7HG9Mpy2nM/room-info</t>
  </si>
  <si>
    <t>kaah Carvalho</t>
  </si>
  <si>
    <t>https://chat-conecta.recife.pe.gov.br/live/icrnbX8bsRWgcaHrz/room-info</t>
  </si>
  <si>
    <t>Kharol</t>
  </si>
  <si>
    <t>https://chat-conecta.recife.pe.gov.br/live/jAk48jTZE3mCiocgd/room-info</t>
  </si>
  <si>
    <t>sem nome</t>
  </si>
  <si>
    <t>https://chat-conecta.recife.pe.gov.br/live/JQctaFSw8guuCeD8f/room-info</t>
  </si>
  <si>
    <t>https://chat-conecta.recife.pe.gov.br/live/YB26ag5Nxu96Pjmop/room-info</t>
  </si>
  <si>
    <t>Michelyne</t>
  </si>
  <si>
    <t>https://chat-conecta.recife.pe.gov.br/live/yH5D3qc3uSeBMDzmK/room-info</t>
  </si>
  <si>
    <t>Bárbara</t>
  </si>
  <si>
    <t>https://chat-conecta.recife.pe.gov.br/live/b7ZZbys3M82mDsQXB/room-info</t>
  </si>
  <si>
    <t>Graazinhah</t>
  </si>
  <si>
    <t>https://chat-conecta.recife.pe.gov.br/live/TmaiHmXJxu9ivNAhn/room-info</t>
  </si>
  <si>
    <t>https://chat-conecta.recife.pe.gov.br/live/MqnvoHGizXHioZwMF/room-info</t>
  </si>
  <si>
    <t>Não era gestante/puérpera</t>
  </si>
  <si>
    <t>Lívia</t>
  </si>
  <si>
    <t>https://chat-conecta.recife.pe.gov.br/live/c6cy265MoCAKXPZ2Q/room-info</t>
  </si>
  <si>
    <t>https://chat-conecta.recife.pe.gov.br/live/rA49Gi9pLtvJqYFcD/room-info</t>
  </si>
  <si>
    <t>Amanda Lucena</t>
  </si>
  <si>
    <t>https://chat-conecta.recife.pe.gov.br/live/KrJQGQpAJdRyNn9hm/room-info</t>
  </si>
  <si>
    <t>rosy</t>
  </si>
  <si>
    <t>https://chat-conecta.recife.pe.gov.br/live/4SckSy8FZPyPDnXGC/room-info</t>
  </si>
  <si>
    <t>Ana Gabriela</t>
  </si>
  <si>
    <t>https://chat-conecta.recife.pe.gov.br/live/AJ5fgWecJgPzmgZ3c/room-info</t>
  </si>
  <si>
    <t>Cintia Maria</t>
  </si>
  <si>
    <t>https://chat-conecta.recife.pe.gov.br/live/r2vCba92xFfjXGubQ/room-info</t>
  </si>
  <si>
    <t>Niedja Oliveira</t>
  </si>
  <si>
    <t>https://chat-conecta.recife.pe.gov.br/live/eEqz97ddknidsNAk5/room-info</t>
  </si>
  <si>
    <t>Ryta De kassia</t>
  </si>
  <si>
    <t>https://chat-conecta.recife.pe.gov.br/live/v74dpquyLqLkGEkGB/room-info</t>
  </si>
  <si>
    <t>Gleice Maria</t>
  </si>
  <si>
    <t>https://chat-conecta.recife.pe.gov.br/live/BjKjf5h6Ya4iE4tH7/room-info</t>
  </si>
  <si>
    <t>https://chat-conecta.recife.pe.gov.br/live/eZ7yqcQmFGsFmnHqa/room-info</t>
  </si>
  <si>
    <t>Débora Maria</t>
  </si>
  <si>
    <t>https://chat-conecta.recife.pe.gov.br/live/qCzpNz8jExyYcSmvB/room-info</t>
  </si>
  <si>
    <t>https://chat-conecta.recife.pe.gov.br/live/taQwWtCx3RhwPBm4u/room-info</t>
  </si>
  <si>
    <t>Daniella</t>
  </si>
  <si>
    <t>https://chat-conecta.recife.pe.gov.br/live/Mxqt6hpp5mrjjfoq6/room-info</t>
  </si>
  <si>
    <t>Thaty Silva</t>
  </si>
  <si>
    <t>https://chat-conecta.recife.pe.gov.br/live/Smo9rxurdnfGrdPpB/room-info</t>
  </si>
  <si>
    <t>Raysa</t>
  </si>
  <si>
    <t>https://chat-conecta.recife.pe.gov.br/live/azaWKjbsSxSZr69o9/room-info</t>
  </si>
  <si>
    <t>Bruna De Melo</t>
  </si>
  <si>
    <t>https://chat-conecta.recife.pe.gov.br/live/GAvPSFPH9i8vNkYqb/room-info</t>
  </si>
  <si>
    <t>https://chat-conecta.recife.pe.gov.br/live/89b5s9wQAaWpPEuaX/room-info</t>
  </si>
  <si>
    <t xml:space="preserve">Amanda Gomes </t>
  </si>
  <si>
    <t>https://chat-conecta.recife.pe.gov.br/live/WjjRMwoQFnkHn7Tdj/room-info</t>
  </si>
  <si>
    <t>Patrícia</t>
  </si>
  <si>
    <t>https://chat-conecta.recife.pe.gov.br/live/adG3qc9SLfoFxijYw/room-info</t>
  </si>
  <si>
    <t>Paciente de outro município</t>
  </si>
  <si>
    <t>Cellynha</t>
  </si>
  <si>
    <t>https://chat-conecta.recife.pe.gov.br/live/qEJSrwaL6Tgq38is2/room-info</t>
  </si>
  <si>
    <t>https://chat-conecta.recife.pe.gov.br/live/5gZv7as8kwDw2Hz93/room-info</t>
  </si>
  <si>
    <t>Rayza Nascimento</t>
  </si>
  <si>
    <t>https://chat-conecta.recife.pe.gov.br/live/Qg8kj5FCy59eT6smt/room-info</t>
  </si>
  <si>
    <t>Kauanny</t>
  </si>
  <si>
    <t>https://chat-conecta.recife.pe.gov.br/live/vzfHN68TvKPzQR2ge/room-info</t>
  </si>
  <si>
    <t>Saiuri Vieira</t>
  </si>
  <si>
    <t>https://chat-conecta.recife.pe.gov.br/live/qQfgAWkmGe5ai8Kfq/room-info</t>
  </si>
  <si>
    <t>JK</t>
  </si>
  <si>
    <t>https://chat-conecta.recife.pe.gov.br/live/XJJE2AewA3eKcfBHG/room-info</t>
  </si>
  <si>
    <t>Myka</t>
  </si>
  <si>
    <t>https://chat-conecta.recife.pe.gov.br/live/KjmJRtAmGhjGJuD5q/room-info</t>
  </si>
  <si>
    <t>https://chat-conecta.recife.pe.gov.br/live/cTYXQiLffNEjYj6ns/room-info</t>
  </si>
  <si>
    <t>Cacau</t>
  </si>
  <si>
    <t>https://chat-conecta.recife.pe.gov.br/live/F68ghf4L44gJPaMMe</t>
  </si>
  <si>
    <t>Italo</t>
  </si>
  <si>
    <t>https://chat-conecta.recife.pe.gov.br/live/swDDisvdfKzSfBd4W/room-info</t>
  </si>
  <si>
    <t>https://chat-conecta.recife.pe.gov.br/live/tdLmsHJ8SDvK3AecL</t>
  </si>
  <si>
    <t>https://chat-conecta.recife.pe.gov.br/live/seZCm8pF5eH9RshW9/room-info</t>
  </si>
  <si>
    <t>Alany</t>
  </si>
  <si>
    <t>https://chat-conecta.recife.pe.gov.br/live/6eB2dMyTnRxLCYesc/room-info</t>
  </si>
  <si>
    <t>teste</t>
  </si>
  <si>
    <t>Rhaylla Thuane</t>
  </si>
  <si>
    <t>https://chat-conecta.recife.pe.gov.br/live/TNgH8HfF6ogsMr22o/room-info</t>
  </si>
  <si>
    <t>https://chat-conecta.recife.pe.gov.br/live/ggZhDwe4qy6unHLqN</t>
  </si>
  <si>
    <t>Mara Penin</t>
  </si>
  <si>
    <t>https://chat-conecta.recife.pe.gov.br/live/wvATB2mwtXp5xza7k/room-info</t>
  </si>
  <si>
    <t xml:space="preserve">Janaina
</t>
  </si>
  <si>
    <t>https://chat-conecta.recife.pe.gov.br/live/K3Y9GLFzEW5rdGYg3/room-info</t>
  </si>
  <si>
    <t>Ary</t>
  </si>
  <si>
    <t>https://chat-conecta.recife.pe.gov.br/live/xeowPsaA5QR7iWFCH/room-info</t>
  </si>
  <si>
    <t>Usuária de outro município</t>
  </si>
  <si>
    <t>vanessa Araújo</t>
  </si>
  <si>
    <t>https://chat-conecta.recife.pe.gov.br/live/azXL63v4ndPaoRzLn/room-info</t>
  </si>
  <si>
    <t xml:space="preserve">Walkillany Fernandes
</t>
  </si>
  <si>
    <t>https://chat-conecta.recife.pe.gov.br/live/DENsZWLLNHP4ELJ6x/room-info</t>
  </si>
  <si>
    <t>Iniciou o atendimento, mas a paciente não interagiu mais</t>
  </si>
  <si>
    <t>Studio Tércia Lucena</t>
  </si>
  <si>
    <t>https://chat-conecta.recife.pe.gov.br/live/daan5dorJFXScbNi7/room-info</t>
  </si>
  <si>
    <t>Eli Siqueira Nails</t>
  </si>
  <si>
    <t>https://chat-conecta.recife.pe.gov.br/live/iZ2c9nx9mPARxxtkP/room-info</t>
  </si>
  <si>
    <t>Jessika Raquel</t>
  </si>
  <si>
    <t>https://chat-conecta.recife.pe.gov.br/live/qNNsT3k3bDBEYNJ2u/room-info</t>
  </si>
  <si>
    <t>Rute</t>
  </si>
  <si>
    <t>https://chat-conecta.recife.pe.gov.br/live/6hEAZryCpfprR7uLx/room-info</t>
  </si>
  <si>
    <t>https://chat-conecta.recife.pe.gov.br/live/zLaWsSFyqEsRGgXpB/room-info</t>
  </si>
  <si>
    <t>Ninha</t>
  </si>
  <si>
    <t>https://chat-conecta.recife.pe.gov.br/live/HAMEsiuZtqaNo2GKR/room-info</t>
  </si>
  <si>
    <t>Nubia</t>
  </si>
  <si>
    <t>https://chat-conecta.recife.pe.gov.br/live/wshFso8wKbmnpobk6/room-info</t>
  </si>
  <si>
    <t>https://chat-conecta.recife.pe.gov.br/live/B2J9vi6EA97xSvXbm/room-info</t>
  </si>
  <si>
    <t>Valquiria</t>
  </si>
  <si>
    <t>https://chat-conecta.recife.pe.gov.br/live/B7MNHCYjcWFsBP42D/room-info</t>
  </si>
  <si>
    <t>Milinha</t>
  </si>
  <si>
    <t>https://chat-conecta.recife.pe.gov.br/live/jQzzKT6d4pJuKpwsT/room-info</t>
  </si>
  <si>
    <t>Camilla Lima</t>
  </si>
  <si>
    <t>https://chat-conecta.recife.pe.gov.br/live/JFYuM2AihS2gMm2Rs/room-info</t>
  </si>
  <si>
    <t>Vih</t>
  </si>
  <si>
    <t>https://chat-conecta.recife.pe.gov.br/live/cKwWmiW5jRfgcz5Ap/room-info</t>
  </si>
  <si>
    <t xml:space="preserve">Não conseguiu finalizar tele pq paciente tava com problema no cel </t>
  </si>
  <si>
    <t>https://chat-conecta.recife.pe.gov.br/live/YM6PbTkXG92kFvPqw/room-info</t>
  </si>
  <si>
    <t>https://chat-conecta.recife.pe.gov.br/live/jTQvid9WmvcSvgs5Y/room-info</t>
  </si>
  <si>
    <t>Isabel</t>
  </si>
  <si>
    <t>https://chat-conecta.recife.pe.gov.br/live/bXMWJGHYtnFRnusuC/room-info</t>
  </si>
  <si>
    <t xml:space="preserve">A paciente conseguiu a orientação e não interagiu mais, </t>
  </si>
  <si>
    <t>Anna Victoria</t>
  </si>
  <si>
    <t>https://chat-conecta.recife.pe.gov.br/live/mYMBDWR6iTM2WJK9r/room-info</t>
  </si>
  <si>
    <t>https://chat-conecta.recife.pe.gov.br/live/dbEyzA5eewepMT73J/room-info</t>
  </si>
  <si>
    <t>22/01/0204</t>
  </si>
  <si>
    <t>https://chat-conecta.recife.pe.gov.br/live/gY3WamkfJ93qiRqcz/room-info</t>
  </si>
  <si>
    <t>https://chat-conecta.recife.pe.gov.br/live/yZgYqzC3j2iW9Xzri</t>
  </si>
  <si>
    <t>Ana Carolina</t>
  </si>
  <si>
    <r>
      <rPr>
        <u/>
        <sz val="10"/>
        <color rgb="FF1155CC"/>
        <rFont val="Arial"/>
        <charset val="134"/>
      </rPr>
      <t>https://chat-conecta.recife.pe.gov.br/live/HAMEsiuZtqaNo2GKR/room-info</t>
    </r>
    <r>
      <rPr>
        <sz val="10"/>
        <rFont val="Arial"/>
        <charset val="134"/>
      </rPr>
      <t>o</t>
    </r>
  </si>
  <si>
    <t>Eli</t>
  </si>
  <si>
    <t>https://chat-conecta.recife.pe.gov.br/live/Xh22qxheM6jSLwcro/room-info</t>
  </si>
  <si>
    <t>https://chat-conecta.recife.pe.gov.br/live/xxvrSL2rRZCTZfuKr/room-info</t>
  </si>
  <si>
    <t xml:space="preserve">Maria Vitoria </t>
  </si>
  <si>
    <t>https://chat-conecta.recife.pe.gov.br/live/j9DNDTRrq9ySBDLy4/room-info</t>
  </si>
  <si>
    <t>Pretuska/Jacielene</t>
  </si>
  <si>
    <t>https://chat-conecta.recife.pe.gov.br/live/fowZKxsWwHwttQkKC/room-info</t>
  </si>
  <si>
    <t>Caroline Albuquerque</t>
  </si>
  <si>
    <t>https://chat-conecta.recife.pe.gov.br/live/kEj435bmgoaLzAfq2/room-info</t>
  </si>
  <si>
    <t>Raphaella</t>
  </si>
  <si>
    <t>https://chat-conecta.recife.pe.gov.br/live/4svW7AAi2SvHBj9cv/room-info</t>
  </si>
  <si>
    <t>Dezinha</t>
  </si>
  <si>
    <t>https://chat-conecta.recife.pe.gov.br/live/ffZmqHZBiANLCNzvE/room-info</t>
  </si>
  <si>
    <t>Debora</t>
  </si>
  <si>
    <t>https://chat-conecta.recife.pe.gov.br/live/DhwvQgJr7ZQD5imPn/room-info</t>
  </si>
  <si>
    <t>https://chat-conecta.recife.pe.gov.br/live/YyW9Pfrda8v2DbEGj/room-info</t>
  </si>
  <si>
    <t>Neide</t>
  </si>
  <si>
    <t>https://chat-conecta.recife.pe.gov.br/live/JPqXobYPHNBTjP7X2/room-info</t>
  </si>
  <si>
    <t>Yure</t>
  </si>
  <si>
    <t>https://chat-conecta.recife.pe.gov.br/live/FHDZEbjqFiCcDm4cp/room-info</t>
  </si>
  <si>
    <t>Rayanara</t>
  </si>
  <si>
    <t>https://chat-conecta.recife.pe.gov.br/live/mCxqssEcJiawXShrw/room-info</t>
  </si>
  <si>
    <t>Saiure</t>
  </si>
  <si>
    <t>https://chat-conecta.recife.pe.gov.br/live/gYzuuxsdkPLt6xdsG/room-info</t>
  </si>
  <si>
    <t>https://chat-conecta.recife.pe.gov.br/live/CeSGLWQpBcX2iNY9G/room-info</t>
  </si>
  <si>
    <t>https://chat-conecta.recife.pe.gov.br/live/277Wo2zoXGHSZsp6P/room-info</t>
  </si>
  <si>
    <t>https://chat-conecta.recife.pe.gov.br/live/dfYrAnyL54p34evRh/room-info</t>
  </si>
  <si>
    <t>Joelma</t>
  </si>
  <si>
    <t>https://chat-conecta.recife.pe.gov.br/live/QvB5ZebkNmzsQEf37/room-info</t>
  </si>
  <si>
    <t>Sapthyra</t>
  </si>
  <si>
    <t>https://chat-conecta.recife.pe.gov.br/live/QWwDkAn54bez3oTQa/room-info</t>
  </si>
  <si>
    <t>https://chat-conecta.recife.pe.gov.br/live/uLkYM72zkdfZDujZe/room-info</t>
  </si>
  <si>
    <t>Esther</t>
  </si>
  <si>
    <t>https://chat-conecta.recife.pe.gov.br/live/Z4L5WFypbA4WQJahx/room-info</t>
  </si>
  <si>
    <t>Galeguinha</t>
  </si>
  <si>
    <t>https://chat-conecta.recife.pe.gov.br/live/ausBHBEhmNqESqfbM/room-info</t>
  </si>
  <si>
    <t>https://chat-conecta.recife.pe.gov.br/live/rwYG39N57XM95C3eT/room-info</t>
  </si>
  <si>
    <t>https://chat-conecta.recife.pe.gov.br/live/mnm2CSQjZkAaKgowq/room-info</t>
  </si>
  <si>
    <t>Karolayne Maria</t>
  </si>
  <si>
    <t>João</t>
  </si>
  <si>
    <t>https://chat-conecta.recife.pe.gov.br/live/29LXGucKd72XxfiBt/room-info</t>
  </si>
  <si>
    <t>Alaynne</t>
  </si>
  <si>
    <t>https://chat-conecta.recife.pe.gov.br/live/a33LkcsdgNDH5E3C9/room-info</t>
  </si>
  <si>
    <t>Nicolas</t>
  </si>
  <si>
    <t>https://chat-conecta.recife.pe.gov.br/live/iTxSZZnqygL3HwKit/room-info</t>
  </si>
  <si>
    <t>Chayane</t>
  </si>
  <si>
    <t>https://chat-conecta.recife.pe.gov.br/live/ymsJD5LA3QmKk2MJP/room-info</t>
  </si>
  <si>
    <t>Ray</t>
  </si>
  <si>
    <t>https://chat-conecta.recife.pe.gov.br/live/4mLX8mSaqsay8pYt5/room-info</t>
  </si>
  <si>
    <t>Clarice</t>
  </si>
  <si>
    <t>https://chat-conecta.recife.pe.gov.br/live/5czgdxuwiqaJKdxx7/room-info</t>
  </si>
  <si>
    <t>Ana Beatriz</t>
  </si>
  <si>
    <t>https://chat-conecta.recife.pe.gov.br/live/AsgLoYWotwTzNFfJy/room-info</t>
  </si>
  <si>
    <t>Meneses</t>
  </si>
  <si>
    <t>https://chat-conecta.recife.pe.gov.br/live/p2eMqiMubzTaZHhBL/room-info</t>
  </si>
  <si>
    <t>https://chat-conecta.recife.pe.gov.br/live/Bone4wH9EHdxiHMXJ/room-info</t>
  </si>
  <si>
    <t>https://chat-conecta.recife.pe.gov.br/live/YhoAhiKBpwT3jgPZa/room-info</t>
  </si>
  <si>
    <t>Vitória Fernandes</t>
  </si>
  <si>
    <t>https://chat-conecta.recife.pe.gov.br/live/buu9gwCMsNMnWPwQS/room-info</t>
  </si>
  <si>
    <t>Isabella</t>
  </si>
  <si>
    <t>https://chat-conecta.recife.pe.gov.br/live/tWykJ68TPB2SxvK6H/room-info</t>
  </si>
  <si>
    <t>Adriele</t>
  </si>
  <si>
    <t>https://chat-conecta.recife.pe.gov.br/live/W2C327mScjYGr4Gtu/room-info</t>
  </si>
  <si>
    <t>Camilla</t>
  </si>
  <si>
    <t>https://chat-conecta.recife.pe.gov.br/live/SzwnJ4x7AMDQZyut5/room-info</t>
  </si>
  <si>
    <t>https://chat-conecta.recife.pe.gov.br/live/NyHR9xDs4AWpGP9Jj/room-info</t>
  </si>
  <si>
    <t>Lory</t>
  </si>
  <si>
    <t>https://chat-conecta.recife.pe.gov.br/live/iZ8aageutK2WfEJYz/room-info</t>
  </si>
  <si>
    <t>https://chat-conecta.recife.pe.gov.br/live/cP9g8mR9txTsy2Smc/room-info</t>
  </si>
  <si>
    <t>https://chat-conecta.recife.pe.gov.br/live/9baPpXT57ghzHRYCs/room-info</t>
  </si>
  <si>
    <t>https://chat-conecta.recife.pe.gov.br/live/GbH3Fb9NXRLjCAwhr/room-info</t>
  </si>
  <si>
    <t>Tay</t>
  </si>
  <si>
    <t>https://chat-conecta.recife.pe.gov.br/live/acJZXy49QgpnjzGT3/room-info</t>
  </si>
  <si>
    <t>16/02/0204</t>
  </si>
  <si>
    <t>PHzinho</t>
  </si>
  <si>
    <t>https://chat-conecta.recife.pe.gov.br/live/EPj8HbiJ9uJw6YBcA/room-info</t>
  </si>
  <si>
    <t>https://chat-conecta.recife.pe.gov.br/live/XYBYaNsDvPth5EqjF/room-info</t>
  </si>
  <si>
    <t>https://chat-conecta.recife.pe.gov.br/live/dHQF27r4Sw3ogbpP4/room-info</t>
  </si>
  <si>
    <t>https://chat-conecta.recife.pe.gov.br/live/FhbzBddLf6nyYiBoE/room-info</t>
  </si>
  <si>
    <t>Joo</t>
  </si>
  <si>
    <t>https://chat-conecta.recife.pe.gov.br/live/cAgtxjKPvFvLHHLSe/room-info</t>
  </si>
  <si>
    <t>Heloísa Marques</t>
  </si>
  <si>
    <t>https://chat-conecta.recife.pe.gov.br/live/M9Md82rWSA9KqW5Fb/room-info</t>
  </si>
  <si>
    <t>Kelzinha</t>
  </si>
  <si>
    <t>https://chat-conecta.recife.pe.gov.br/live/rgyPqDhW2Yz6p2ciG/room-info</t>
  </si>
  <si>
    <t>𝓣𝓱𝓪𝓽𝓪</t>
  </si>
  <si>
    <t>https://chat-conecta.recife.pe.gov.br/live/2X4Gp9qwRgrD9X3mj/room-info</t>
  </si>
  <si>
    <t>Jean Amo Da Sua Vida</t>
  </si>
  <si>
    <t>https://chat-conecta.recife.pe.gov.br/live/M53zhLAGY86yfkGHg/room-info</t>
  </si>
  <si>
    <t>Nelson</t>
  </si>
  <si>
    <t>https://chat-conecta.recife.pe.gov.br/live/Hp6osTZGvQfPfktnz/room-info</t>
  </si>
  <si>
    <t>https://chat-conecta.recife.pe.gov.br/live/eHE3qgzyEBP6W9KMn/room-info</t>
  </si>
  <si>
    <t>Thalya</t>
  </si>
  <si>
    <t>https://chat-conecta.recife.pe.gov.br/live/kY94sHgQTvKR43f2L/room-info</t>
  </si>
  <si>
    <t xml:space="preserve">Kelly
</t>
  </si>
  <si>
    <t>https://chat-conecta.recife.pe.gov.br/live/LxQAuokgsakXvFpK4/room-info</t>
  </si>
  <si>
    <t>https://chat-conecta.recife.pe.gov.br/live/MEuEGrbqSJMucc2Yn/room-info</t>
  </si>
  <si>
    <t>Bila</t>
  </si>
  <si>
    <t>https://chat-conecta.recife.pe.gov.br/live/qTcDD52C6QLeAQzhA/room-info</t>
  </si>
  <si>
    <t>Thayna</t>
  </si>
  <si>
    <t>https://chat-conecta.recife.pe.gov.br/live/LeeXwH9YX3deY95xp/room-info</t>
  </si>
  <si>
    <t>Ana Caroline</t>
  </si>
  <si>
    <t>https://chat-conecta.recife.pe.gov.br/live/SahDMccdbbaFYPnkP/room-info</t>
  </si>
  <si>
    <t>https://chat-conecta.recife.pe.gov.br/live/gFfnbRgNNBehpn8Ay</t>
  </si>
  <si>
    <t>Nathalia Vasconcelos</t>
  </si>
  <si>
    <t>https://chat-conecta.recife.pe.gov.br/live/Tksic7WBPXE4ccitG/room-info</t>
  </si>
  <si>
    <t>Emanuelle</t>
  </si>
  <si>
    <t>https://chat-conecta.recife.pe.gov.br/live/no79roPrnj9v3wBhR/room-info</t>
  </si>
  <si>
    <t>Manuelle</t>
  </si>
  <si>
    <t>https://chat-conecta.recife.pe.gov.br/live/Ktgh9Ahpf9bHEwdZA/room-info</t>
  </si>
  <si>
    <t>https://chat-conecta.recife.pe.gov.br/live/SYQSsPFz88DojgDkr/room-info</t>
  </si>
  <si>
    <t>https://chat-conecta.recife.pe.gov.br/live/px9DHTxRrRPFJmp7S</t>
  </si>
  <si>
    <t>Suzi</t>
  </si>
  <si>
    <t>https://chat-conecta.recife.pe.gov.br/live/Ch6BAmai3hjte9rPp/room-info</t>
  </si>
  <si>
    <t>https://chat-conecta.recife.pe.gov.br/live/izn65RhSFNixyPwJe/room-info</t>
  </si>
  <si>
    <t>https://chat-conecta.recife.pe.gov.br/live/xzC3wsn8mQiHhPui3/room-info</t>
  </si>
  <si>
    <t>https://chat-conecta.recife.pe.gov.br/live/HYMCFXZ66kKM75MTT/room-info</t>
  </si>
  <si>
    <t>Lucilene</t>
  </si>
  <si>
    <t>https://chat-conecta.recife.pe.gov.br/live/zKcXBBaB4KEL8dZMd/room-info</t>
  </si>
  <si>
    <t>Eduarda Seabra</t>
  </si>
  <si>
    <t>Santos</t>
  </si>
  <si>
    <t>https://chat-conecta.recife.pe.gov.br/live/ZGZ23mpMPqRGPet45/room-info</t>
  </si>
  <si>
    <t>Shay</t>
  </si>
  <si>
    <t>https://chat-conecta.recife.pe.gov.br/live/4qu23WubKSeMtuG2j/room-info</t>
  </si>
  <si>
    <t>https://chat-conecta.recife.pe.gov.br/live/ivvHy77REr7QbhYz2/room-info</t>
  </si>
  <si>
    <t>https://chat-conecta.recife.pe.gov.br/live/sb2Aod6XDBvqw97HG/room-info</t>
  </si>
  <si>
    <t>Adryelle</t>
  </si>
  <si>
    <t>https://chat-conecta.recife.pe.gov.br/live/boGyHP3rzhtiBYvJK/room-info</t>
  </si>
  <si>
    <t>https://chat-conecta.recife.pe.gov.br/live/RPoY5Yak4N4H4aGJc/room-info</t>
  </si>
  <si>
    <t>Angel</t>
  </si>
  <si>
    <t>https://chat-conecta.recife.pe.gov.br/live/yCtAo5Q2ERdm4SXfP/room-info</t>
  </si>
  <si>
    <t>Ketiny</t>
  </si>
  <si>
    <t>https://chat-conecta.recife.pe.gov.br/live/hQAYTuFRFEHM9CsRS/room-info</t>
  </si>
  <si>
    <t>https://chat-conecta.recife.pe.gov.br/live/b56g6Ni9aqg8ptpBX/room-info</t>
  </si>
  <si>
    <t>Chelly</t>
  </si>
  <si>
    <t>https://chat-conecta.recife.pe.gov.br/live/27Sf8vQs53HAEuWp8/room-info</t>
  </si>
  <si>
    <t>Wanda</t>
  </si>
  <si>
    <t>https://chat-conecta.recife.pe.gov.br/live/RnR6oY48T2FPnx8ve/room-info</t>
  </si>
  <si>
    <t>https://chat-conecta.recife.pe.gov.br/live/7QvWm2eqmcjN6LT5G/room-info</t>
  </si>
  <si>
    <t>Maria Hellena</t>
  </si>
  <si>
    <t>https://chat-conecta.recife.pe.gov.br/live/nY2cCdcvZHHDQfAoK/room-info</t>
  </si>
  <si>
    <t>Casada</t>
  </si>
  <si>
    <t>https://chat-conecta.recife.pe.gov.br/live/mGgiXxJAyqQtgm4uK</t>
  </si>
  <si>
    <t>Beh</t>
  </si>
  <si>
    <t>https://chat-conecta.recife.pe.gov.br/live/YT3hEqkDK5gQsd8zH/room-info</t>
  </si>
  <si>
    <t>Roseane</t>
  </si>
  <si>
    <t>https://chat-conecta.recife.pe.gov.br/live/a5kn7XctY5rcXsnFL/room-info</t>
  </si>
  <si>
    <t>https://chat-conecta.recife.pe.gov.br/live/r7Bo6ojiFBxw8b57v/room-info</t>
  </si>
  <si>
    <t>Flavia</t>
  </si>
  <si>
    <t>https://chat-conecta.recife.pe.gov.br/live/pZYN2yts7NSu2Scij/room-info</t>
  </si>
  <si>
    <t>Silvanete</t>
  </si>
  <si>
    <t>https://chat-conecta.recife.pe.gov.br/live/u7rHGkjqruaL6vL6c/room-info</t>
  </si>
  <si>
    <t>Thainã Martins</t>
  </si>
  <si>
    <t>https://chat-conecta.recife.pe.gov.br/live/3fiYY7e27iErCauRg/room-info</t>
  </si>
  <si>
    <t>Cloves</t>
  </si>
  <si>
    <t>https://chat-conecta.recife.pe.gov.br/live/5GiPPm9FJNe4Mj2vC/room-info</t>
  </si>
  <si>
    <t>https://chat-conecta.recife.pe.gov.br/live/dmMnvr4fpjgWhEyam/room-info</t>
  </si>
  <si>
    <t>Fabiana</t>
  </si>
  <si>
    <t>https://chat-conecta.recife.pe.gov.br/live/NXdKHLtiNKoZAPJPJ/room-info</t>
  </si>
  <si>
    <t>Karine</t>
  </si>
  <si>
    <t>https://chat-conecta.recife.pe.gov.br/live/R3oT6Jx8n963MHGxK/room-info</t>
  </si>
  <si>
    <t>Ju</t>
  </si>
  <si>
    <t>https://chat-conecta.recife.pe.gov.br/live/4sd6H8pHeoqkgAWuh/room-info</t>
  </si>
  <si>
    <t>Tayna</t>
  </si>
  <si>
    <t>https://chat-conecta.recife.pe.gov.br/live/n664y5ALTwyu6Nhwr/room-info</t>
  </si>
  <si>
    <t>Mayane</t>
  </si>
  <si>
    <t>https://chat-conecta.recife.pe.gov.br/live/33LpDuogFzN43rMpz/room-info</t>
  </si>
  <si>
    <t>https://chat-conecta.recife.pe.gov.br/live/ZKq4sxBmbNDQpLTLm/room-info</t>
  </si>
  <si>
    <t>Dielle</t>
  </si>
  <si>
    <t>https://chat-conecta.recife.pe.gov.br/live/RYPhh6wbqPBipdj6c/room-info</t>
  </si>
  <si>
    <t>https://chat-conecta.recife.pe.gov.br/live/47vp8duREctHPmpjX/room-info</t>
  </si>
  <si>
    <t>Flaviana</t>
  </si>
  <si>
    <t>https://chat-conecta.recife.pe.gov.br/live/EmcweuCJAQ4rFqY8e/room-info</t>
  </si>
  <si>
    <t>Roseana</t>
  </si>
  <si>
    <t>https://chat-conecta.recife.pe.gov.br/live/s9iwo5z9PmJG9m8aP/room-info</t>
  </si>
  <si>
    <t>Talison</t>
  </si>
  <si>
    <t>https://chat-conecta.recife.pe.gov.br/live/qw6NNFhuDrC43bSoG/room-info</t>
  </si>
  <si>
    <t>Luana</t>
  </si>
  <si>
    <t>https://chat-conecta.recife.pe.gov.br/live/DkoX5oNghftnHCCoy/room-info</t>
  </si>
  <si>
    <t>https://chat-conecta.recife.pe.gov.br/live/L5qQxrMT5gMLLr5Em/room-info</t>
  </si>
  <si>
    <t>https://chat-conecta.recife.pe.gov.br/live/RHLcARLisnxThbjzX/room-info</t>
  </si>
  <si>
    <t>Ely</t>
  </si>
  <si>
    <t>https://chat-conecta.recife.pe.gov.br/live/sShkNnmWj9upYD8Ag/room-info</t>
  </si>
  <si>
    <t>https://chat-conecta.recife.pe.gov.br/live/um38ockuuAZi6voMn/room-info</t>
  </si>
  <si>
    <t>https://chat-conecta.recife.pe.gov.br/live/qwmYTe3TGv3dEb9Sr/room-info</t>
  </si>
  <si>
    <t>https://chat-conecta.recife.pe.gov.br/live/TccGa53ngxDjxdseL/room-info</t>
  </si>
  <si>
    <t>https://chat-conecta.recife.pe.gov.br/live/9auyC4igp6ranYjno/room-info</t>
  </si>
  <si>
    <t>25/03/0204</t>
  </si>
  <si>
    <t>Isadora</t>
  </si>
  <si>
    <t>https://chat-conecta.recife.pe.gov.br/live/MuXYqhPWBk3Cz8Nht/room-info</t>
  </si>
  <si>
    <t>https://chat-conecta.recife.pe.gov.br/live/w8xyAqzE7J27F622z/room-info</t>
  </si>
  <si>
    <t>https://chat-conecta.recife.pe.gov.br/live/XkExGeWhazoJmkfyQ/room-info</t>
  </si>
  <si>
    <t>Michaelly</t>
  </si>
  <si>
    <t>https://chat-conecta.recife.pe.gov.br/live/8RLTWWwTCrXMzu2g9/room-info</t>
  </si>
  <si>
    <t>Bianca</t>
  </si>
  <si>
    <t>https://chat-conecta.recife.pe.gov.br/live/g2GtzL7BTZ5ewz4Ak/room-info</t>
  </si>
  <si>
    <t>Bruna Vitoria</t>
  </si>
  <si>
    <t>https://chat-conecta.recife.pe.gov.br/live/YDoPoFdKGedhJXJPi/room-info</t>
  </si>
  <si>
    <t>Sol</t>
  </si>
  <si>
    <t>https://chat-conecta.recife.pe.gov.br/live/oPokpp2t2oPM87kdr/room-info</t>
  </si>
  <si>
    <t>Glauci</t>
  </si>
  <si>
    <t>https://chat-conecta.recife.pe.gov.br/live/ivKXXLiLA8f345FRG/room-info</t>
  </si>
  <si>
    <t>https://chat-conecta.recife.pe.gov.br/live/R5njmNWXy5JEp8tJN/room-info</t>
  </si>
  <si>
    <t>Nile</t>
  </si>
  <si>
    <t>https://chat-conecta.recife.pe.gov.br/live/5xWywJsCNmwCBu5iZ/room-info</t>
  </si>
  <si>
    <t>https://chat-conecta.recife.pe.gov.br/live/kmzYZ5rgxrY6Jh9PM/room-info</t>
  </si>
  <si>
    <t>https://chat-conecta.recife.pe.gov.br/live/9GxprWMrsBbcmjRhC/room-info</t>
  </si>
  <si>
    <t>https://chat-conecta.recife.pe.gov.br/live/ae7etZMMJ6XtuTYcP/room-info</t>
  </si>
  <si>
    <t>Deazh</t>
  </si>
  <si>
    <t>https://chat-conecta.recife.pe.gov.br/live/Kc94bSbhimgzpAv26/room-info</t>
  </si>
  <si>
    <t>Giselle</t>
  </si>
  <si>
    <t>https://chat-conecta.recife.pe.gov.br/live/rqL2CjiNKqy5atbb7/room-info</t>
  </si>
  <si>
    <t>https://chat-conecta.recife.pe.gov.br/live/FiabFLqGQGgJpzMoP/room-info</t>
  </si>
  <si>
    <t>Drih</t>
  </si>
  <si>
    <t>https://chat-conecta.recife.pe.gov.br/live/8Kg9NMNCZwCuEJrHp/room-info</t>
  </si>
  <si>
    <t>Safira</t>
  </si>
  <si>
    <t>https://chat-conecta.recife.pe.gov.br/live/tabbYdq5mRworNRwc/room-info</t>
  </si>
  <si>
    <t>Thaisa</t>
  </si>
  <si>
    <t>Jhoyce</t>
  </si>
  <si>
    <t>Wylliane Mirelly</t>
  </si>
  <si>
    <t>https://chat-conecta.recife.pe.gov.br/live/kn87gZxy22HSBXerb/room-info</t>
  </si>
  <si>
    <t>Gigi</t>
  </si>
  <si>
    <t>https://chat-conecta.recife.pe.gov.br/live/t55e2dYNtRvisDep2/room-info</t>
  </si>
  <si>
    <t>Yas</t>
  </si>
  <si>
    <t>https://chat-conecta.recife.pe.gov.br/live/pCtaS6gFSBwWz23mN/room-info</t>
  </si>
  <si>
    <t>https://chat-conecta.recife.pe.gov.br/live/SHkQ8x3j2vicWr29e/room-info</t>
  </si>
  <si>
    <t>https://chat-conecta.recife.pe.gov.br/live/kCp3QAe3KZwoP7AEn/room-info</t>
  </si>
  <si>
    <t>https://chat-conecta.recife.pe.gov.br/live/KAWj9T4wLgtnCciR5/room-info</t>
  </si>
  <si>
    <t>Dog</t>
  </si>
  <si>
    <t>https://chat-conecta.recife.pe.gov.br/live/XnD2jEwFm6ymQsGPo/room-info</t>
  </si>
  <si>
    <t>https://chat-conecta.recife.pe.gov.br/live/BrJs7PDyeGu24EuuK/room-info</t>
  </si>
  <si>
    <t>Pyetro</t>
  </si>
  <si>
    <t>https://chat-conecta.recife.pe.gov.br/live/7AD3X48iLGrgdrHf3/room-info</t>
  </si>
  <si>
    <t>Deyvison Melo</t>
  </si>
  <si>
    <t>https://chat-conecta.recife.pe.gov.br/live/n6Qx3nLfWi2AoYJJu</t>
  </si>
  <si>
    <t>https://chat-conecta.recife.pe.gov.br/live/oeJnh6QaJzaACwc6z/room-info</t>
  </si>
  <si>
    <t>Lilia Ferreira</t>
  </si>
  <si>
    <t>https://chat-conecta.recife.pe.gov.br/live/HYWiPTDdLQCQrPdos/room-info</t>
  </si>
  <si>
    <t>https://chat-conecta.recife.pe.gov.br/live/giJRcFN326u3E7vPw</t>
  </si>
  <si>
    <t>Giovanna Valentini</t>
  </si>
  <si>
    <t>https://chat-conecta.recife.pe.gov.br/live/NeXPCk8gyya3CDPLQ/room-info</t>
  </si>
  <si>
    <t>Maribel cantora</t>
  </si>
  <si>
    <t>https://chat-conecta.recife.pe.gov.br/live/t2YG2MFbNQB2cvFSz</t>
  </si>
  <si>
    <t>Lucy</t>
  </si>
  <si>
    <t>https://chat-conecta.recife.pe.gov.br/live/fRDw8EjLSB92HuYyo/room-info</t>
  </si>
  <si>
    <t>Angela</t>
  </si>
  <si>
    <t>https://chat-conecta.recife.pe.gov.br/live/yLt4jFqFBse2943Yb/room-info</t>
  </si>
  <si>
    <t>Arthur</t>
  </si>
  <si>
    <t>https://chat-conecta.recife.pe.gov.br/live/Ee7v3bukYf8B57bAq/room-info</t>
  </si>
  <si>
    <t>Alessandra</t>
  </si>
  <si>
    <t>https://chat-conecta.recife.pe.gov.br/live/rSDBv2dPs3degD3dd/room-info</t>
  </si>
  <si>
    <t>Alexandra</t>
  </si>
  <si>
    <t>https://chat-conecta.recife.pe.gov.br/live/8KzSrRQ8AcLBdKhDP/room-info</t>
  </si>
  <si>
    <t>https://chat-conecta.recife.pe.gov.br/live/ibBBp4jyzHaR7ubFF/room-info</t>
  </si>
  <si>
    <t>https://chat-conecta.recife.pe.gov.br/live/tSzt6sFXq9YpyG8qg/room-info</t>
  </si>
  <si>
    <t>Ewelin</t>
  </si>
  <si>
    <t>https://chat-conecta.recife.pe.gov.br/live/mz2J63d89Lipj3qXa/room-info</t>
  </si>
  <si>
    <t>geane</t>
  </si>
  <si>
    <t>https://chat-conecta.recife.pe.gov.br/live/8B2PrjtWrPwjkBNY6/room-info</t>
  </si>
  <si>
    <t>Licy</t>
  </si>
  <si>
    <t>https://chat-conecta.recife.pe.gov.br/live/8Rom3zbD2xP2LnpaX/room-info</t>
  </si>
  <si>
    <t>https://chat-conecta.recife.pe.gov.br/live/Ku2okhT3bGq73JJer/room-info</t>
  </si>
  <si>
    <t>Lorena</t>
  </si>
  <si>
    <t>https://chat-conecta.recife.pe.gov.br/live/HGmfGCi2zZdTtMB5D/room-info</t>
  </si>
  <si>
    <t>https://chat-conecta.recife.pe.gov.br/live/gy9LQuNNcmWDoXiDC/room-info</t>
  </si>
  <si>
    <t>Izabel</t>
  </si>
  <si>
    <t>https://chat-conecta.recife.pe.gov.br/live/aB6Bc2BuRbP385Hrj</t>
  </si>
  <si>
    <t>https://chat-conecta.recife.pe.gov.br/live/MzJhR2LznDH4zy5yF/room-info</t>
  </si>
  <si>
    <t>https://chat-conecta.recife.pe.gov.br/live/Bd8Rc35EQBRAWZ8cz/room-info</t>
  </si>
  <si>
    <t>https://chat-conecta.recife.pe.gov.br/live/kXAXEaHRAqDEXJDRh</t>
  </si>
  <si>
    <t>https://chat-conecta.recife.pe.gov.br/live/QuGS6zvL3aJb5F7CT/room-info</t>
  </si>
  <si>
    <t>https://chat-conecta.recife.pe.gov.br/live/Z4XSj9Gj5zYTZmmmF/room-info</t>
  </si>
  <si>
    <t>https://chat-conecta.recife.pe.gov.br/live/jJe2Xn53AM9dmH5im/room-info</t>
  </si>
  <si>
    <t>Isaias</t>
  </si>
  <si>
    <t>https://chat-conecta.recife.pe.gov.br/live/fLBtYJ9BKtuursnTD/room-info</t>
  </si>
  <si>
    <t>Jonatan</t>
  </si>
  <si>
    <t>https://chat-conecta.recife.pe.gov.br/live/yWXhdxTWh4pD5jmnB/room-info</t>
  </si>
  <si>
    <t>https://chat-conecta.recife.pe.gov.br/live/sr8J8vbn9X9GAjXFa/room-info</t>
  </si>
  <si>
    <t>Thalita</t>
  </si>
  <si>
    <t>https://chat-conecta.recife.pe.gov.br/live/t9hsKseYK5XQNtjgC/room-info</t>
  </si>
  <si>
    <t>Isabele</t>
  </si>
  <si>
    <t>https://chat-conecta.recife.pe.gov.br/live/buQRtRgvm3tofR8yF/room-info</t>
  </si>
  <si>
    <t>https://chat-conecta.recife.pe.gov.br/live/aL7rAnqWFbChSrYhN/room-info</t>
  </si>
  <si>
    <t>Eduarada</t>
  </si>
  <si>
    <t>https://chat-conecta.recife.pe.gov.br/live/oLjZSeycba75tcp6a/room-info</t>
  </si>
  <si>
    <t>Gabriel</t>
  </si>
  <si>
    <t>https://chat-conecta.recife.pe.gov.br/live/PYdj8KaYoGsd9zwkr/room-info</t>
  </si>
  <si>
    <t>Taynam</t>
  </si>
  <si>
    <t>https://chat-conecta.recife.pe.gov.br/live/Z8ebAKcGM7LmfPBxK/room-info</t>
  </si>
  <si>
    <t>https://chat-conecta.recife.pe.gov.br/live/orfouHJ7i4ad9skJz/room-info</t>
  </si>
  <si>
    <t>Emi</t>
  </si>
  <si>
    <t>https://chat-conecta.recife.pe.gov.br/live/ASQCpr8rpbwFSr2J6/room-info</t>
  </si>
  <si>
    <t>https://chat-conecta.recife.pe.gov.br/live/YXRn5NZoxBYHNnQXZ/room-info</t>
  </si>
  <si>
    <t>https://chat-conecta.recife.pe.gov.br/live/9qTXw5jFTykTsyMcp/room-info</t>
  </si>
  <si>
    <t>Michele</t>
  </si>
  <si>
    <t>https://chat-conecta.recife.pe.gov.br/live/GP4FJRyDTDje7am9x/room-info</t>
  </si>
  <si>
    <t>Kelly</t>
  </si>
  <si>
    <t>https://chat-conecta.recife.pe.gov.br/live/H6Bsjw6K6wuMew53Z</t>
  </si>
  <si>
    <t>Sheila</t>
  </si>
  <si>
    <t>https://chat-conecta.recife.pe.gov.br/live/TtxBgmmXkTkdpc7Yj</t>
  </si>
  <si>
    <t>Renatinha</t>
  </si>
  <si>
    <t>https://chat-conecta.recife.pe.gov.br/live/S8zz72BreEwmLe6Qb/room-info</t>
  </si>
  <si>
    <t>https://chat-conecta.recife.pe.gov.br/live/tcuW59jXPKqT4Wc4G/room-info</t>
  </si>
  <si>
    <t>https://chat-conecta.recife.pe.gov.br/live/ieE2yi7xyphxCWGSE/room-info</t>
  </si>
  <si>
    <t>Edson</t>
  </si>
  <si>
    <t>https://chat-conecta.recife.pe.gov.br/live/q4hJCcnMHgybC7Jcy/room-info</t>
  </si>
  <si>
    <t>Clara</t>
  </si>
  <si>
    <t>https://chat-conecta.recife.pe.gov.br/live/RALcoknc8zC7nehLZ/room-info</t>
  </si>
  <si>
    <t>https://chat-conecta.recife.pe.gov.br/live/hxQMuCWZkRKFjWkxZ/room-info</t>
  </si>
  <si>
    <t>Raniele</t>
  </si>
  <si>
    <t>https://chat-conecta.recife.pe.gov.br/live/9AbzwoeANSeaPd7Fg/room-info</t>
  </si>
  <si>
    <t>Rhannielly Silva</t>
  </si>
  <si>
    <t>https://chat-conecta.recife.pe.gov.br/live/Jp5Q3Lomgtb86ezr2/room-info</t>
  </si>
  <si>
    <t>LK</t>
  </si>
  <si>
    <t>https://chat-conecta.recife.pe.gov.br/live/jbSqe5NpgBDZ7nHxK/room-info</t>
  </si>
  <si>
    <t>Giih</t>
  </si>
  <si>
    <t>https://chat-conecta.recife.pe.gov.br/live/vStnmXYs56KwCqPTX/room-info</t>
  </si>
  <si>
    <t>Vitoria Paixão</t>
  </si>
  <si>
    <t>https://chat-conecta.recife.pe.gov.br/live/AzuZXw9BguKiH4bkX/room-info</t>
  </si>
  <si>
    <t>Natália Rodrigues</t>
  </si>
  <si>
    <t>https://chat-conecta.recife.pe.gov.br/live/2xBcJDcTjq6C7CFeA/room-info</t>
  </si>
  <si>
    <t>Jô</t>
  </si>
  <si>
    <t>https://chat-conecta.recife.pe.gov.br/live/Y4njjb5ZLWTigmtg6/room-info</t>
  </si>
  <si>
    <t>Viviane</t>
  </si>
  <si>
    <t>https://chat-conecta.recife.pe.gov.br/live/gkX52h8ucKdAWYetg/room-info</t>
  </si>
  <si>
    <t>Adrielly</t>
  </si>
  <si>
    <t>https://chat-conecta.recife.pe.gov.br/live/eLvamdupE8Z6N8hzA/room-info</t>
  </si>
  <si>
    <t>Or_Pretoh</t>
  </si>
  <si>
    <t>https://chat-conecta.recife.pe.gov.br/live/mxxgn9dDJZZ36zKNR/room-info</t>
  </si>
  <si>
    <t xml:space="preserve">Anna </t>
  </si>
  <si>
    <t>https://chat-conecta.recife.pe.gov.br/live/ohPNLeTesJvpSbbST/room-info</t>
  </si>
  <si>
    <t>https://chat-conecta.recife.pe.gov.br/live/N8ohjRZ5iHoMF9qgF</t>
  </si>
  <si>
    <t xml:space="preserve">luenia </t>
  </si>
  <si>
    <t>https://chat-conecta.recife.pe.gov.br/live/RYjG6GjaT9J2Xh2yx/room-info</t>
  </si>
  <si>
    <t>https://chat-conecta.recife.pe.gov.br/live/E3dCtJTmgjhTiJfer/room-info</t>
  </si>
  <si>
    <t>https://chat-conecta.recife.pe.gov.br/live/BJZyWLC5Db7oAmgKe</t>
  </si>
  <si>
    <t>Tubarão</t>
  </si>
  <si>
    <t>https://chat-conecta.recife.pe.gov.br/live/WogPpR2sYZP4oFmTg/room-info</t>
  </si>
  <si>
    <t>Bela</t>
  </si>
  <si>
    <t>https://chat-conecta.recife.pe.gov.br/live/L5AH2KL8DfJzuqkLu/room-info</t>
  </si>
  <si>
    <t>Helens</t>
  </si>
  <si>
    <t>https://chat-conecta.recife.pe.gov.br/live/b2ZsbnuB9FkvLFDCx/room-info</t>
  </si>
  <si>
    <t>https://chat-conecta.recife.pe.gov.br/live/Y3crzL2jjZ7BGgY9X/room-info</t>
  </si>
  <si>
    <t>Chaveirinho</t>
  </si>
  <si>
    <t>https://chat-conecta.recife.pe.gov.br/live/maP8eMETXgFxyyQnv/room-info</t>
  </si>
  <si>
    <t>Welica Pinheiro</t>
  </si>
  <si>
    <t>https://chat-conecta.recife.pe.gov.br/live/QL8dAPJakukaLZnbh</t>
  </si>
  <si>
    <t>https://chat-conecta.recife.pe.gov.br/live/mGpMMy6F2R27JcSgs/room-info</t>
  </si>
  <si>
    <t>Deyvison</t>
  </si>
  <si>
    <t>https://chat-conecta.recife.pe.gov.br/live/LG3ZXvJGCuNY2Stjv/room-info</t>
  </si>
  <si>
    <t>https://chat-conecta.recife.pe.gov.br/live/z3gtQi7ebHZo6cvWF/room-info</t>
  </si>
  <si>
    <t>Aleh</t>
  </si>
  <si>
    <t>https://chat-conecta.recife.pe.gov.br/live/ZqpdfwD9KNYovsN4Y/room-info</t>
  </si>
  <si>
    <t>Bebel</t>
  </si>
  <si>
    <t>https://chat-conecta.recife.pe.gov.br/live/JKF4SkS2R9sRyihmz/room-info</t>
  </si>
  <si>
    <t>Nicolly</t>
  </si>
  <si>
    <t>https://chat-conecta.recife.pe.gov.br/live/nvDp3He5amMGcawWQ/room-info</t>
  </si>
  <si>
    <t>https://chat-conecta.recife.pe.gov.br/live/ZmXB8vqMpxbN8duSJ/room-info</t>
  </si>
  <si>
    <t>https://chat-conecta.recife.pe.gov.br/live/jWF4Xc9XbGpQvCz2i/room-info</t>
  </si>
  <si>
    <t>Junior</t>
  </si>
  <si>
    <t>https://chat-conecta.recife.pe.gov.br/live/KMfnYDgsLJ32WTaAS/room-info</t>
  </si>
  <si>
    <t>Rayssa Albuquerque</t>
  </si>
  <si>
    <t>https://chat-conecta.recife.pe.gov.br/live/AbgbdZyM6sHMHoayk/room-info</t>
  </si>
  <si>
    <t>Rauanny</t>
  </si>
  <si>
    <t>https://chat-conecta.recife.pe.gov.br/live/eM9H7PTzMPSMwnDoF/room-info</t>
  </si>
  <si>
    <t>Sueli</t>
  </si>
  <si>
    <t>https://chat-conecta.recife.pe.gov.br/live/2YmqdDfaLqsmFJxNm/room-info</t>
  </si>
  <si>
    <t>https://chat-conecta.recife.pe.gov.br/live/F2byvnosptrkvWvmh/room-info</t>
  </si>
  <si>
    <t xml:space="preserve">Luciene </t>
  </si>
  <si>
    <t>https://chat-conecta.recife.pe.gov.br/live/PZ72HmQCSsiphSPMT/room-info</t>
  </si>
  <si>
    <t xml:space="preserve">Gleycieane </t>
  </si>
  <si>
    <t>https://chat-conecta.recife.pe.gov.br/live/XnpLR47GgFgmzRXGu/room-info</t>
  </si>
  <si>
    <t>https://chat-conecta.recife.pe.gov.br/live/otT7fgK4cpxTnjrWH/room-info</t>
  </si>
  <si>
    <t>Maryanne</t>
  </si>
  <si>
    <t>https://chat-conecta.recife.pe.gov.br/live/juamHNpdpuGxMcsib/room-info</t>
  </si>
  <si>
    <t>Lk</t>
  </si>
  <si>
    <t>https://chat-conecta.recife.pe.gov.br/live/gumb4dNHiDAyXtaEQ/room-info</t>
  </si>
  <si>
    <t>https://chat-conecta.recife.pe.gov.br/live/i7jns7GLhS7ivzYQa/room-info</t>
  </si>
  <si>
    <t>https://chat-conecta.recife.pe.gov.br/live/7RTkqpWZzby8XWj5X/room-info</t>
  </si>
  <si>
    <t>https://chat-conecta.recife.pe.gov.br/live/KW7treM6sjoaYepvy/room-info</t>
  </si>
  <si>
    <t>https://chat-conecta.recife.pe.gov.br/live/gZn35CWCujcuiPdGx/room-info</t>
  </si>
  <si>
    <t>https://chat-conecta.recife.pe.gov.br/live/Zmj9LpGLK86yKHNnP/room-info</t>
  </si>
  <si>
    <t>https://chat-conecta.recife.pe.gov.br/live/sgqH4EZDtHbmjhWks/room-info</t>
  </si>
  <si>
    <t>https://chat-conecta.recife.pe.gov.br/live/FC297Qzh8Lq4JYGvQ/room-info</t>
  </si>
  <si>
    <t>Angelica</t>
  </si>
  <si>
    <t>https://chat-conecta.recife.pe.gov.br/live/Q6uexPWXBFiz7QjMb/room-info</t>
  </si>
  <si>
    <t>https://chat-conecta.recife.pe.gov.br/live/HR8gxXKNyXsxdkdwX/room-info</t>
  </si>
  <si>
    <t>Dayane</t>
  </si>
  <si>
    <t>https://chat-conecta.recife.pe.gov.br/live/teM9LoNzmpL8jS8YP/room-info</t>
  </si>
  <si>
    <t>Marilia</t>
  </si>
  <si>
    <t>https://chat-conecta.recife.pe.gov.br/live/bPMdPE3WXhQL8p9mx/room-info</t>
  </si>
  <si>
    <t>https://chat-conecta.recife.pe.gov.br/live/7WjPFsBbbxXsD92rg/room-info</t>
  </si>
  <si>
    <t>Layla</t>
  </si>
  <si>
    <t>https://chat-conecta.recife.pe.gov.br/live/NdaTMqqpb8PLq89mq/room-info</t>
  </si>
  <si>
    <t>https://chat-conecta.recife.pe.gov.br/live/6vSeBGaovpqt8XRZJ/room-info</t>
  </si>
  <si>
    <t>https://chat-conecta.recife.pe.gov.br/live/Xj9RD5Dm7GKDQy7DQ/room-info</t>
  </si>
  <si>
    <t>https://chat-conecta.recife.pe.gov.br/live/cqJ2XbdFLtaSZJhhu/room-info</t>
  </si>
  <si>
    <t>LEGENDA</t>
  </si>
  <si>
    <t>Campos utilizados pelo robô para automatizar envio de mensagem no whatsapp</t>
  </si>
  <si>
    <t>Roxo</t>
  </si>
  <si>
    <t>Campos que durante o monitoramento a profissional deve preencher sequencialmente</t>
  </si>
  <si>
    <t>Branco</t>
  </si>
  <si>
    <t>Campos não editáveis</t>
  </si>
  <si>
    <t>Laranja</t>
  </si>
  <si>
    <t>Local de inicio da contagem (Marta)</t>
  </si>
  <si>
    <t>Pacientes para possível futuras entrevistas</t>
  </si>
  <si>
    <t>Azul</t>
  </si>
  <si>
    <t>Confirmado unidade de saúde</t>
  </si>
  <si>
    <t xml:space="preserve">Amarelo </t>
  </si>
  <si>
    <t>Registro realizado tardio</t>
  </si>
  <si>
    <t>RELATÓRIO - Demanda Noturna</t>
  </si>
  <si>
    <t xml:space="preserve">COUNTA of NOME DA USUÁRIA </t>
  </si>
  <si>
    <t>COUNTA of ATENDIMENTO REALIZADO COM SUCESSO?</t>
  </si>
  <si>
    <t>Hopchat</t>
  </si>
  <si>
    <t>Tempo com SUSi</t>
  </si>
  <si>
    <t>Tempo na Recepção digital</t>
  </si>
  <si>
    <t>Tempo para contato com especilista (Transf./Oi/até envio do link)</t>
  </si>
  <si>
    <t>Tempo de início da teleconsulta até o registro finalizado no forms</t>
  </si>
  <si>
    <t>observações</t>
  </si>
  <si>
    <t>Média de tempo em minutos</t>
  </si>
  <si>
    <t>Mediana de tempo em minutos</t>
  </si>
  <si>
    <t>Primeiro atendimento</t>
  </si>
  <si>
    <t>TalitaTalita Felipe de Lima</t>
  </si>
  <si>
    <t xml:space="preserve">08:08h até às 08:52 (teletriagem DN) - atendimento do dia 14/12, formulário dia 15/12                           </t>
  </si>
  <si>
    <t>DN</t>
  </si>
  <si>
    <t>Chat finalizado 10:46, formulário enviado às 12:06</t>
  </si>
  <si>
    <t>ID</t>
  </si>
  <si>
    <t>Data do atendimento</t>
  </si>
  <si>
    <t>Profissional que atendeu</t>
  </si>
  <si>
    <t>Setor/Unidade</t>
  </si>
  <si>
    <t>Link de Atendimento Hopchat (Whatsapp)</t>
  </si>
  <si>
    <t>Idade</t>
  </si>
  <si>
    <t>Rua</t>
  </si>
  <si>
    <t>Número</t>
  </si>
  <si>
    <t>Bairro</t>
  </si>
  <si>
    <t>Microrregião</t>
  </si>
  <si>
    <t>Situação</t>
  </si>
  <si>
    <t>IG</t>
  </si>
  <si>
    <t>Vinculação Maternidade</t>
  </si>
  <si>
    <t>Vinculação Pré-Natal</t>
  </si>
  <si>
    <t>Relato do evento</t>
  </si>
  <si>
    <t>Categoria do evento</t>
  </si>
  <si>
    <t>Destino/Responsável</t>
  </si>
  <si>
    <t>Resposta</t>
  </si>
  <si>
    <t>Referências nos serviços e território</t>
  </si>
  <si>
    <t>Formulário de Evento Sentinela</t>
  </si>
  <si>
    <t>Atende em Casa</t>
  </si>
  <si>
    <t>Gestante</t>
  </si>
  <si>
    <t>38s6d</t>
  </si>
  <si>
    <t>Maternidade Barros Lima</t>
  </si>
  <si>
    <t>USF 1</t>
  </si>
  <si>
    <t>2- Comunicado ao responsável</t>
  </si>
  <si>
    <t>USF X</t>
  </si>
  <si>
    <t>DS II</t>
  </si>
  <si>
    <t>Puérpara</t>
  </si>
  <si>
    <t>Maternidade Y</t>
  </si>
  <si>
    <t>Parturiente</t>
  </si>
  <si>
    <t>Atende em Casa Gestante</t>
  </si>
  <si>
    <t>DS II - CoordSM</t>
  </si>
  <si>
    <t>USF 2</t>
  </si>
  <si>
    <t>USF 3</t>
  </si>
  <si>
    <t>Policlínica 1</t>
  </si>
  <si>
    <t>Centro de Saúde 1</t>
  </si>
</sst>
</file>

<file path=xl/styles.xml><?xml version="1.0" encoding="utf-8"?>
<styleSheet xmlns="http://schemas.openxmlformats.org/spreadsheetml/2006/main" xmlns:mc="http://schemas.openxmlformats.org/markup-compatibility/2006" xmlns:xr9="http://schemas.microsoft.com/office/spreadsheetml/2016/revision9" mc:Ignorable="xr9">
  <numFmts count="14">
    <numFmt numFmtId="176" formatCode="_-* #,##0.00_-;\-* #,##0.00_-;_-* &quot;-&quot;??_-;_-@_-"/>
    <numFmt numFmtId="177" formatCode="_-&quot;R$&quot;\ * #,##0.00_-;\-&quot;R$&quot;\ * #,##0.00_-;_-&quot;R$&quot;\ * &quot;-&quot;??_-;_-@_-"/>
    <numFmt numFmtId="178" formatCode="_-* #,##0_-;\-* #,##0_-;_-* &quot;-&quot;_-;_-@_-"/>
    <numFmt numFmtId="179" formatCode="_-&quot;R$&quot;\ * #,##0_-;\-&quot;R$&quot;\ * #,##0_-;_-&quot;R$&quot;\ * &quot;-&quot;_-;_-@_-"/>
    <numFmt numFmtId="180" formatCode="d\.m"/>
    <numFmt numFmtId="181" formatCode="d/m/yyyy"/>
    <numFmt numFmtId="182" formatCode="0000000"/>
    <numFmt numFmtId="183" formatCode="00000000000"/>
    <numFmt numFmtId="184" formatCode="0000"/>
    <numFmt numFmtId="185" formatCode="dd/mm/yyyy\ h:mm"/>
    <numFmt numFmtId="186" formatCode="m/d/yyyy\ h:mm:ss"/>
    <numFmt numFmtId="187" formatCode="d/m/yyyy\ hh:mm:ss"/>
    <numFmt numFmtId="188" formatCode="dd/mm/yy"/>
    <numFmt numFmtId="189" formatCode="dd/mm/yyyy\ hh:mm:ss"/>
  </numFmts>
  <fonts count="71">
    <font>
      <sz val="10"/>
      <color rgb="FF000000"/>
      <name val="Arial"/>
      <charset val="134"/>
      <scheme val="minor"/>
    </font>
    <font>
      <b/>
      <sz val="10"/>
      <color theme="1"/>
      <name val="Arial"/>
      <charset val="134"/>
      <scheme val="minor"/>
    </font>
    <font>
      <b/>
      <sz val="8"/>
      <color theme="1"/>
      <name val="Arial"/>
      <charset val="134"/>
      <scheme val="minor"/>
    </font>
    <font>
      <sz val="10"/>
      <color theme="1"/>
      <name val="Arial"/>
      <charset val="134"/>
      <scheme val="minor"/>
    </font>
    <font>
      <sz val="6"/>
      <color theme="1"/>
      <name val="Arial"/>
      <charset val="134"/>
      <scheme val="minor"/>
    </font>
    <font>
      <u/>
      <sz val="10"/>
      <color rgb="FF0000FF"/>
      <name val="Arial"/>
      <charset val="134"/>
    </font>
    <font>
      <b/>
      <sz val="26"/>
      <color rgb="FF4C1130"/>
      <name val="Arial"/>
      <charset val="134"/>
      <scheme val="minor"/>
    </font>
    <font>
      <sz val="10"/>
      <color theme="1"/>
      <name val="Arial"/>
      <charset val="134"/>
    </font>
    <font>
      <b/>
      <sz val="11"/>
      <color rgb="FF000000"/>
      <name val="Arial"/>
      <charset val="134"/>
    </font>
    <font>
      <b/>
      <sz val="11"/>
      <color theme="1"/>
      <name val="Arial"/>
      <charset val="134"/>
      <scheme val="minor"/>
    </font>
    <font>
      <b/>
      <sz val="12"/>
      <color rgb="FF000000"/>
      <name val="Arial"/>
      <charset val="134"/>
    </font>
    <font>
      <sz val="12"/>
      <color theme="1"/>
      <name val="Arial"/>
      <charset val="134"/>
      <scheme val="minor"/>
    </font>
    <font>
      <b/>
      <sz val="12"/>
      <color theme="1"/>
      <name val="Arial"/>
      <charset val="134"/>
      <scheme val="minor"/>
    </font>
    <font>
      <sz val="10"/>
      <color rgb="FF000000"/>
      <name val="Arial"/>
      <charset val="134"/>
    </font>
    <font>
      <sz val="10"/>
      <color rgb="FF202124"/>
      <name val="Roboto"/>
      <charset val="134"/>
    </font>
    <font>
      <u/>
      <sz val="10"/>
      <color rgb="FF1967D2"/>
      <name val="Arial"/>
      <charset val="134"/>
    </font>
    <font>
      <u/>
      <sz val="10"/>
      <color rgb="FF444444"/>
      <name val="Arial"/>
      <charset val="134"/>
    </font>
    <font>
      <u/>
      <sz val="11"/>
      <color rgb="FF0000FF"/>
      <name val="Inter"/>
      <charset val="134"/>
    </font>
    <font>
      <u/>
      <sz val="11"/>
      <color rgb="FF444444"/>
      <name val="Inter"/>
      <charset val="134"/>
    </font>
    <font>
      <u/>
      <sz val="10"/>
      <color rgb="FF1967D2"/>
      <name val="Inter"/>
      <charset val="134"/>
    </font>
    <font>
      <sz val="10"/>
      <color rgb="FF1967D2"/>
      <name val="Arial"/>
      <charset val="134"/>
      <scheme val="minor"/>
    </font>
    <font>
      <u/>
      <sz val="10"/>
      <color rgb="FF000000"/>
      <name val="Arial"/>
      <charset val="134"/>
    </font>
    <font>
      <sz val="9"/>
      <color rgb="FF000000"/>
      <name val="Arial"/>
      <charset val="134"/>
    </font>
    <font>
      <sz val="10"/>
      <color rgb="FF2F343D"/>
      <name val="Arial"/>
      <charset val="134"/>
    </font>
    <font>
      <sz val="11"/>
      <color rgb="FF444444"/>
      <name val="Arial"/>
      <charset val="134"/>
      <scheme val="minor"/>
    </font>
    <font>
      <b/>
      <sz val="36"/>
      <color rgb="FF4C1130"/>
      <name val="Arial"/>
      <charset val="134"/>
      <scheme val="minor"/>
    </font>
    <font>
      <b/>
      <sz val="10"/>
      <color theme="1"/>
      <name val="Arial"/>
      <charset val="134"/>
    </font>
    <font>
      <b/>
      <sz val="12"/>
      <color theme="1"/>
      <name val="Arial"/>
      <charset val="134"/>
    </font>
    <font>
      <sz val="9"/>
      <color rgb="FF7E3794"/>
      <name val="&quot;Google Sans Mono&quot;"/>
      <charset val="134"/>
    </font>
    <font>
      <sz val="11"/>
      <color theme="1"/>
      <name val="Arial"/>
      <charset val="134"/>
    </font>
    <font>
      <sz val="10"/>
      <color rgb="FF24252E"/>
      <name val="&quot;IBM Plex Sans&quot;"/>
      <charset val="134"/>
    </font>
    <font>
      <b/>
      <sz val="11"/>
      <color theme="1"/>
      <name val="Arial"/>
      <charset val="134"/>
    </font>
    <font>
      <i/>
      <sz val="9"/>
      <color rgb="FFA0A0A0"/>
      <name val="Inter"/>
      <charset val="134"/>
    </font>
    <font>
      <b/>
      <sz val="10"/>
      <color rgb="FF24252E"/>
      <name val="&quot;IBM Plex Sans&quot;"/>
      <charset val="134"/>
    </font>
    <font>
      <sz val="10"/>
      <color rgb="FF1F1F1F"/>
      <name val="Arial"/>
      <charset val="134"/>
      <scheme val="minor"/>
    </font>
    <font>
      <sz val="10"/>
      <color rgb="FF24252E"/>
      <name val="Arial"/>
      <charset val="134"/>
      <scheme val="minor"/>
    </font>
    <font>
      <b/>
      <sz val="11"/>
      <color rgb="FF000000"/>
      <name val="Roboto"/>
      <charset val="134"/>
    </font>
    <font>
      <sz val="10"/>
      <color rgb="FF24252E"/>
      <name val="Arial"/>
      <charset val="134"/>
    </font>
    <font>
      <b/>
      <sz val="10"/>
      <color rgb="FFFF0000"/>
      <name val="Arial"/>
      <charset val="134"/>
      <scheme val="minor"/>
    </font>
    <font>
      <sz val="12"/>
      <color rgb="FF2F343D"/>
      <name val="Inter"/>
      <charset val="134"/>
    </font>
    <font>
      <sz val="11"/>
      <color rgb="FF444444"/>
      <name val="Inter"/>
      <charset val="134"/>
    </font>
    <font>
      <i/>
      <sz val="10"/>
      <color rgb="FF24252E"/>
      <name val="&quot;IBM Plex Sans&quot;"/>
      <charset val="134"/>
    </font>
    <font>
      <sz val="10"/>
      <color rgb="FF2F343D"/>
      <name val="Arial"/>
      <charset val="134"/>
      <scheme val="minor"/>
    </font>
    <font>
      <sz val="10"/>
      <color rgb="FF444444"/>
      <name val="Arial"/>
      <charset val="134"/>
    </font>
    <font>
      <sz val="11"/>
      <color rgb="FF202124"/>
      <name val="Docs-Roboto"/>
      <charset val="134"/>
    </font>
    <font>
      <sz val="9"/>
      <color rgb="FF1F1F1F"/>
      <name val="&quot;Google Sans&quot;"/>
      <charset val="134"/>
    </font>
    <font>
      <u/>
      <sz val="10"/>
      <color rgb="FF1967D2"/>
      <name val="Roboto"/>
      <charset val="134"/>
    </font>
    <font>
      <sz val="9"/>
      <color rgb="FF1155CC"/>
      <name val="&quot;Google Sans Mono&quot;"/>
      <charset val="134"/>
    </font>
    <font>
      <sz val="11"/>
      <color rgb="FF9EA2A8"/>
      <name val="Inter"/>
      <charset val="134"/>
    </font>
    <font>
      <u/>
      <sz val="11"/>
      <color rgb="FF0000FF"/>
      <name val="Arial"/>
      <charset val="0"/>
      <scheme val="minor"/>
    </font>
    <font>
      <u/>
      <sz val="11"/>
      <color rgb="FF800080"/>
      <name val="Arial"/>
      <charset val="0"/>
      <scheme val="minor"/>
    </font>
    <font>
      <sz val="11"/>
      <color rgb="FFFF0000"/>
      <name val="Arial"/>
      <charset val="0"/>
      <scheme val="minor"/>
    </font>
    <font>
      <b/>
      <sz val="18"/>
      <color theme="3"/>
      <name val="Arial"/>
      <charset val="134"/>
      <scheme val="minor"/>
    </font>
    <font>
      <i/>
      <sz val="11"/>
      <color rgb="FF7F7F7F"/>
      <name val="Arial"/>
      <charset val="0"/>
      <scheme val="minor"/>
    </font>
    <font>
      <b/>
      <sz val="15"/>
      <color theme="3"/>
      <name val="Arial"/>
      <charset val="134"/>
      <scheme val="minor"/>
    </font>
    <font>
      <b/>
      <sz val="13"/>
      <color theme="3"/>
      <name val="Arial"/>
      <charset val="134"/>
      <scheme val="minor"/>
    </font>
    <font>
      <b/>
      <sz val="11"/>
      <color theme="3"/>
      <name val="Arial"/>
      <charset val="134"/>
      <scheme val="minor"/>
    </font>
    <font>
      <sz val="11"/>
      <color rgb="FF3F3F76"/>
      <name val="Arial"/>
      <charset val="0"/>
      <scheme val="minor"/>
    </font>
    <font>
      <b/>
      <sz val="11"/>
      <color rgb="FF3F3F3F"/>
      <name val="Arial"/>
      <charset val="0"/>
      <scheme val="minor"/>
    </font>
    <font>
      <b/>
      <sz val="11"/>
      <color rgb="FFFA7D00"/>
      <name val="Arial"/>
      <charset val="0"/>
      <scheme val="minor"/>
    </font>
    <font>
      <b/>
      <sz val="11"/>
      <color rgb="FFFFFFFF"/>
      <name val="Arial"/>
      <charset val="0"/>
      <scheme val="minor"/>
    </font>
    <font>
      <sz val="11"/>
      <color rgb="FFFA7D00"/>
      <name val="Arial"/>
      <charset val="0"/>
      <scheme val="minor"/>
    </font>
    <font>
      <b/>
      <sz val="11"/>
      <color theme="1"/>
      <name val="Arial"/>
      <charset val="0"/>
      <scheme val="minor"/>
    </font>
    <font>
      <sz val="11"/>
      <color rgb="FF006100"/>
      <name val="Arial"/>
      <charset val="0"/>
      <scheme val="minor"/>
    </font>
    <font>
      <sz val="11"/>
      <color rgb="FF9C0006"/>
      <name val="Arial"/>
      <charset val="0"/>
      <scheme val="minor"/>
    </font>
    <font>
      <sz val="11"/>
      <color rgb="FF9C6500"/>
      <name val="Arial"/>
      <charset val="0"/>
      <scheme val="minor"/>
    </font>
    <font>
      <sz val="11"/>
      <color theme="0"/>
      <name val="Arial"/>
      <charset val="0"/>
      <scheme val="minor"/>
    </font>
    <font>
      <sz val="11"/>
      <color theme="1"/>
      <name val="Arial"/>
      <charset val="0"/>
      <scheme val="minor"/>
    </font>
    <font>
      <u/>
      <sz val="10"/>
      <color rgb="FF1155CC"/>
      <name val="Arial"/>
      <charset val="134"/>
    </font>
    <font>
      <sz val="10"/>
      <name val="Arial"/>
      <charset val="134"/>
    </font>
    <font>
      <sz val="10"/>
      <color rgb="FF000000"/>
      <name val="Arial"/>
      <charset val="1"/>
      <scheme val="minor"/>
    </font>
  </fonts>
  <fills count="64">
    <fill>
      <patternFill patternType="none"/>
    </fill>
    <fill>
      <patternFill patternType="gray125"/>
    </fill>
    <fill>
      <patternFill patternType="solid">
        <fgColor rgb="FFFFF2CC"/>
        <bgColor rgb="FFFFF2CC"/>
      </patternFill>
    </fill>
    <fill>
      <patternFill patternType="solid">
        <fgColor rgb="FFF4CCCC"/>
        <bgColor rgb="FFF4CCCC"/>
      </patternFill>
    </fill>
    <fill>
      <patternFill patternType="solid">
        <fgColor rgb="FFD9D2E9"/>
        <bgColor rgb="FFD9D2E9"/>
      </patternFill>
    </fill>
    <fill>
      <patternFill patternType="solid">
        <fgColor rgb="FFD5A6BD"/>
        <bgColor rgb="FFD5A6BD"/>
      </patternFill>
    </fill>
    <fill>
      <patternFill patternType="solid">
        <fgColor rgb="FFD9EAD3"/>
        <bgColor rgb="FFD9EAD3"/>
      </patternFill>
    </fill>
    <fill>
      <patternFill patternType="solid">
        <fgColor rgb="FFFFFF00"/>
        <bgColor rgb="FFFFFF00"/>
      </patternFill>
    </fill>
    <fill>
      <patternFill patternType="solid">
        <fgColor rgb="FF8E7CC3"/>
        <bgColor rgb="FF8E7CC3"/>
      </patternFill>
    </fill>
    <fill>
      <patternFill patternType="solid">
        <fgColor rgb="FFFF9900"/>
        <bgColor rgb="FFFF9900"/>
      </patternFill>
    </fill>
    <fill>
      <patternFill patternType="solid">
        <fgColor rgb="FFFF00FF"/>
        <bgColor rgb="FFFF00FF"/>
      </patternFill>
    </fill>
    <fill>
      <patternFill patternType="solid">
        <fgColor rgb="FFC9DAF8"/>
        <bgColor rgb="FFC9DAF8"/>
      </patternFill>
    </fill>
    <fill>
      <patternFill patternType="solid">
        <fgColor rgb="FFB6D7A8"/>
        <bgColor rgb="FFB6D7A8"/>
      </patternFill>
    </fill>
    <fill>
      <patternFill patternType="solid">
        <fgColor rgb="FF9FC5E8"/>
        <bgColor rgb="FF9FC5E8"/>
      </patternFill>
    </fill>
    <fill>
      <patternFill patternType="solid">
        <fgColor rgb="FFFFFFFF"/>
        <bgColor rgb="FFFFFFFF"/>
      </patternFill>
    </fill>
    <fill>
      <patternFill patternType="solid">
        <fgColor rgb="FFA4C2F4"/>
        <bgColor rgb="FFA4C2F4"/>
      </patternFill>
    </fill>
    <fill>
      <patternFill patternType="solid">
        <fgColor rgb="FFB7B7B7"/>
        <bgColor rgb="FFB7B7B7"/>
      </patternFill>
    </fill>
    <fill>
      <patternFill patternType="solid">
        <fgColor rgb="FF00FFFF"/>
        <bgColor rgb="FF00FFFF"/>
      </patternFill>
    </fill>
    <fill>
      <patternFill patternType="solid">
        <fgColor rgb="FFF7F8FA"/>
        <bgColor rgb="FFF7F8FA"/>
      </patternFill>
    </fill>
    <fill>
      <patternFill patternType="solid">
        <fgColor rgb="FFEAD1DC"/>
        <bgColor rgb="FFEAD1DC"/>
      </patternFill>
    </fill>
    <fill>
      <patternFill patternType="solid">
        <fgColor rgb="FFC27BA0"/>
        <bgColor rgb="FFC27BA0"/>
      </patternFill>
    </fill>
    <fill>
      <patternFill patternType="solid">
        <fgColor rgb="FF6AA84F"/>
        <bgColor rgb="FF6AA84F"/>
      </patternFill>
    </fill>
    <fill>
      <patternFill patternType="solid">
        <fgColor rgb="FF00FF00"/>
        <bgColor rgb="FF00FF00"/>
      </patternFill>
    </fill>
    <fill>
      <patternFill patternType="solid">
        <fgColor rgb="FFF0F0F5"/>
        <bgColor rgb="FFF0F0F5"/>
      </patternFill>
    </fill>
    <fill>
      <patternFill patternType="solid">
        <fgColor rgb="FFEA9999"/>
        <bgColor rgb="FFEA9999"/>
      </patternFill>
    </fill>
    <fill>
      <patternFill patternType="solid">
        <fgColor rgb="FFFCE5CD"/>
        <bgColor rgb="FFFCE5CD"/>
      </patternFill>
    </fill>
    <fill>
      <patternFill patternType="solid">
        <fgColor rgb="FF93C47D"/>
        <bgColor rgb="FF93C47D"/>
      </patternFill>
    </fill>
    <fill>
      <patternFill patternType="solid">
        <fgColor rgb="FFA2C4C9"/>
        <bgColor rgb="FFA2C4C9"/>
      </patternFill>
    </fill>
    <fill>
      <patternFill patternType="solid">
        <fgColor rgb="FFE06666"/>
        <bgColor rgb="FFE06666"/>
      </patternFill>
    </fill>
    <fill>
      <patternFill patternType="solid">
        <fgColor theme="0"/>
        <bgColor theme="0"/>
      </patternFill>
    </fill>
    <fill>
      <patternFill patternType="solid">
        <fgColor rgb="FFD0E0E3"/>
        <bgColor rgb="FFD0E0E3"/>
      </patternFill>
    </fill>
    <fill>
      <patternFill patternType="solid">
        <fgColor rgb="FFCFE2F3"/>
        <bgColor rgb="FFCFE2F3"/>
      </patternFill>
    </fill>
    <fill>
      <patternFill patternType="solid">
        <fgColor rgb="FFE8E7FC"/>
        <bgColor rgb="FFE8E7FC"/>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0">
    <border>
      <left/>
      <right/>
      <top/>
      <bottom/>
      <diagonal/>
    </border>
    <border>
      <left style="thin">
        <color rgb="FFABABAB"/>
      </left>
      <right/>
      <top style="thin">
        <color rgb="FFABABAB"/>
      </top>
      <bottom/>
      <diagonal/>
    </border>
    <border>
      <left style="thin">
        <color rgb="FFABABAB"/>
      </left>
      <right style="thin">
        <color rgb="FFABABAB"/>
      </right>
      <top style="thin">
        <color rgb="FFABABAB"/>
      </top>
      <bottom/>
      <diagonal/>
    </border>
    <border>
      <left style="thin">
        <color rgb="FFABABAB"/>
      </left>
      <right/>
      <top/>
      <bottom/>
      <diagonal/>
    </border>
    <border>
      <left style="thin">
        <color rgb="FFABABAB"/>
      </left>
      <right style="thin">
        <color rgb="FFABABAB"/>
      </right>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style="thin">
        <color indexed="65"/>
      </left>
      <right/>
      <top style="thin">
        <color rgb="FFABABAB"/>
      </top>
      <bottom/>
      <diagonal/>
    </border>
    <border>
      <left style="thin">
        <color indexed="65"/>
      </left>
      <right/>
      <top style="thin">
        <color rgb="FFABABAB"/>
      </top>
      <bottom style="thin">
        <color rgb="FFABABAB"/>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3" fillId="0" borderId="0" applyFont="0" applyFill="0" applyBorder="0" applyAlignment="0" applyProtection="0">
      <alignment vertical="center"/>
    </xf>
    <xf numFmtId="177" fontId="3" fillId="0" borderId="0" applyFont="0" applyFill="0" applyBorder="0" applyAlignment="0" applyProtection="0">
      <alignment vertical="center"/>
    </xf>
    <xf numFmtId="9" fontId="3" fillId="0" borderId="0" applyFont="0" applyFill="0" applyBorder="0" applyAlignment="0" applyProtection="0">
      <alignment vertical="center"/>
    </xf>
    <xf numFmtId="178" fontId="3" fillId="0" borderId="0" applyFont="0" applyFill="0" applyBorder="0" applyAlignment="0" applyProtection="0">
      <alignment vertical="center"/>
    </xf>
    <xf numFmtId="179" fontId="3" fillId="0" borderId="0" applyFont="0" applyFill="0" applyBorder="0" applyAlignment="0" applyProtection="0">
      <alignment vertical="center"/>
    </xf>
    <xf numFmtId="0" fontId="49"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3" fillId="33" borderId="12" applyNumberFormat="0" applyFont="0" applyAlignment="0" applyProtection="0">
      <alignment vertical="center"/>
    </xf>
    <xf numFmtId="0" fontId="51"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4" fillId="0" borderId="13" applyNumberFormat="0" applyFill="0" applyAlignment="0" applyProtection="0">
      <alignment vertical="center"/>
    </xf>
    <xf numFmtId="0" fontId="55" fillId="0" borderId="13" applyNumberFormat="0" applyFill="0" applyAlignment="0" applyProtection="0">
      <alignment vertical="center"/>
    </xf>
    <xf numFmtId="0" fontId="56" fillId="0" borderId="14" applyNumberFormat="0" applyFill="0" applyAlignment="0" applyProtection="0">
      <alignment vertical="center"/>
    </xf>
    <xf numFmtId="0" fontId="56" fillId="0" borderId="0" applyNumberFormat="0" applyFill="0" applyBorder="0" applyAlignment="0" applyProtection="0">
      <alignment vertical="center"/>
    </xf>
    <xf numFmtId="0" fontId="57" fillId="34" borderId="15" applyNumberFormat="0" applyAlignment="0" applyProtection="0">
      <alignment vertical="center"/>
    </xf>
    <xf numFmtId="0" fontId="58" fillId="35" borderId="16" applyNumberFormat="0" applyAlignment="0" applyProtection="0">
      <alignment vertical="center"/>
    </xf>
    <xf numFmtId="0" fontId="59" fillId="35" borderId="15" applyNumberFormat="0" applyAlignment="0" applyProtection="0">
      <alignment vertical="center"/>
    </xf>
    <xf numFmtId="0" fontId="60" fillId="36" borderId="17" applyNumberFormat="0" applyAlignment="0" applyProtection="0">
      <alignment vertical="center"/>
    </xf>
    <xf numFmtId="0" fontId="61" fillId="0" borderId="18" applyNumberFormat="0" applyFill="0" applyAlignment="0" applyProtection="0">
      <alignment vertical="center"/>
    </xf>
    <xf numFmtId="0" fontId="62" fillId="0" borderId="19" applyNumberFormat="0" applyFill="0" applyAlignment="0" applyProtection="0">
      <alignment vertical="center"/>
    </xf>
    <xf numFmtId="0" fontId="63" fillId="37" borderId="0" applyNumberFormat="0" applyBorder="0" applyAlignment="0" applyProtection="0">
      <alignment vertical="center"/>
    </xf>
    <xf numFmtId="0" fontId="64" fillId="38" borderId="0" applyNumberFormat="0" applyBorder="0" applyAlignment="0" applyProtection="0">
      <alignment vertical="center"/>
    </xf>
    <xf numFmtId="0" fontId="65" fillId="39" borderId="0" applyNumberFormat="0" applyBorder="0" applyAlignment="0" applyProtection="0">
      <alignment vertical="center"/>
    </xf>
    <xf numFmtId="0" fontId="66" fillId="40" borderId="0" applyNumberFormat="0" applyBorder="0" applyAlignment="0" applyProtection="0">
      <alignment vertical="center"/>
    </xf>
    <xf numFmtId="0" fontId="67" fillId="41" borderId="0" applyNumberFormat="0" applyBorder="0" applyAlignment="0" applyProtection="0">
      <alignment vertical="center"/>
    </xf>
    <xf numFmtId="0" fontId="67" fillId="42" borderId="0" applyNumberFormat="0" applyBorder="0" applyAlignment="0" applyProtection="0">
      <alignment vertical="center"/>
    </xf>
    <xf numFmtId="0" fontId="66" fillId="43" borderId="0" applyNumberFormat="0" applyBorder="0" applyAlignment="0" applyProtection="0">
      <alignment vertical="center"/>
    </xf>
    <xf numFmtId="0" fontId="66" fillId="44" borderId="0" applyNumberFormat="0" applyBorder="0" applyAlignment="0" applyProtection="0">
      <alignment vertical="center"/>
    </xf>
    <xf numFmtId="0" fontId="67" fillId="45" borderId="0" applyNumberFormat="0" applyBorder="0" applyAlignment="0" applyProtection="0">
      <alignment vertical="center"/>
    </xf>
    <xf numFmtId="0" fontId="67" fillId="46" borderId="0" applyNumberFormat="0" applyBorder="0" applyAlignment="0" applyProtection="0">
      <alignment vertical="center"/>
    </xf>
    <xf numFmtId="0" fontId="66" fillId="47" borderId="0" applyNumberFormat="0" applyBorder="0" applyAlignment="0" applyProtection="0">
      <alignment vertical="center"/>
    </xf>
    <xf numFmtId="0" fontId="66" fillId="48" borderId="0" applyNumberFormat="0" applyBorder="0" applyAlignment="0" applyProtection="0">
      <alignment vertical="center"/>
    </xf>
    <xf numFmtId="0" fontId="67" fillId="49" borderId="0" applyNumberFormat="0" applyBorder="0" applyAlignment="0" applyProtection="0">
      <alignment vertical="center"/>
    </xf>
    <xf numFmtId="0" fontId="67" fillId="50" borderId="0" applyNumberFormat="0" applyBorder="0" applyAlignment="0" applyProtection="0">
      <alignment vertical="center"/>
    </xf>
    <xf numFmtId="0" fontId="66" fillId="51" borderId="0" applyNumberFormat="0" applyBorder="0" applyAlignment="0" applyProtection="0">
      <alignment vertical="center"/>
    </xf>
    <xf numFmtId="0" fontId="66" fillId="52" borderId="0" applyNumberFormat="0" applyBorder="0" applyAlignment="0" applyProtection="0">
      <alignment vertical="center"/>
    </xf>
    <xf numFmtId="0" fontId="67" fillId="53" borderId="0" applyNumberFormat="0" applyBorder="0" applyAlignment="0" applyProtection="0">
      <alignment vertical="center"/>
    </xf>
    <xf numFmtId="0" fontId="67" fillId="54" borderId="0" applyNumberFormat="0" applyBorder="0" applyAlignment="0" applyProtection="0">
      <alignment vertical="center"/>
    </xf>
    <xf numFmtId="0" fontId="66" fillId="55" borderId="0" applyNumberFormat="0" applyBorder="0" applyAlignment="0" applyProtection="0">
      <alignment vertical="center"/>
    </xf>
    <xf numFmtId="0" fontId="66" fillId="56" borderId="0" applyNumberFormat="0" applyBorder="0" applyAlignment="0" applyProtection="0">
      <alignment vertical="center"/>
    </xf>
    <xf numFmtId="0" fontId="67" fillId="57" borderId="0" applyNumberFormat="0" applyBorder="0" applyAlignment="0" applyProtection="0">
      <alignment vertical="center"/>
    </xf>
    <xf numFmtId="0" fontId="67" fillId="58" borderId="0" applyNumberFormat="0" applyBorder="0" applyAlignment="0" applyProtection="0">
      <alignment vertical="center"/>
    </xf>
    <xf numFmtId="0" fontId="66" fillId="59" borderId="0" applyNumberFormat="0" applyBorder="0" applyAlignment="0" applyProtection="0">
      <alignment vertical="center"/>
    </xf>
    <xf numFmtId="0" fontId="66" fillId="60" borderId="0" applyNumberFormat="0" applyBorder="0" applyAlignment="0" applyProtection="0">
      <alignment vertical="center"/>
    </xf>
    <xf numFmtId="0" fontId="67" fillId="61" borderId="0" applyNumberFormat="0" applyBorder="0" applyAlignment="0" applyProtection="0">
      <alignment vertical="center"/>
    </xf>
    <xf numFmtId="0" fontId="67" fillId="62" borderId="0" applyNumberFormat="0" applyBorder="0" applyAlignment="0" applyProtection="0">
      <alignment vertical="center"/>
    </xf>
    <xf numFmtId="0" fontId="66" fillId="63" borderId="0" applyNumberFormat="0" applyBorder="0" applyAlignment="0" applyProtection="0">
      <alignment vertical="center"/>
    </xf>
  </cellStyleXfs>
  <cellXfs count="277">
    <xf numFmtId="0" fontId="0" fillId="0" borderId="0" xfId="0"/>
    <xf numFmtId="0" fontId="1" fillId="2" borderId="0" xfId="0" applyFont="1" applyFill="1" applyAlignment="1">
      <alignment wrapText="1"/>
    </xf>
    <xf numFmtId="0" fontId="1" fillId="3" borderId="0" xfId="0" applyFont="1" applyFill="1" applyAlignment="1">
      <alignment wrapText="1"/>
    </xf>
    <xf numFmtId="0" fontId="2" fillId="3" borderId="0" xfId="0" applyFont="1" applyFill="1" applyAlignment="1">
      <alignment wrapText="1"/>
    </xf>
    <xf numFmtId="0" fontId="3" fillId="2" borderId="0" xfId="0" applyFont="1" applyFill="1"/>
    <xf numFmtId="0" fontId="3" fillId="3" borderId="0" xfId="0" applyFont="1" applyFill="1"/>
    <xf numFmtId="180" fontId="3" fillId="3" borderId="0" xfId="0" applyNumberFormat="1" applyFont="1" applyFill="1"/>
    <xf numFmtId="0" fontId="1" fillId="4" borderId="0" xfId="0" applyFont="1" applyFill="1" applyAlignment="1">
      <alignment wrapText="1"/>
    </xf>
    <xf numFmtId="0" fontId="1" fillId="0" borderId="0" xfId="0" applyFont="1" applyAlignment="1">
      <alignment wrapText="1"/>
    </xf>
    <xf numFmtId="0" fontId="3" fillId="4" borderId="0" xfId="0" applyFont="1" applyFill="1"/>
    <xf numFmtId="0" fontId="4" fillId="4" borderId="0" xfId="0" applyFont="1" applyFill="1"/>
    <xf numFmtId="0" fontId="3" fillId="0" borderId="0" xfId="0" applyFont="1"/>
    <xf numFmtId="0" fontId="0" fillId="0" borderId="0" xfId="0" applyAlignment="1"/>
    <xf numFmtId="0" fontId="1" fillId="5" borderId="0" xfId="0" applyFont="1" applyFill="1" applyAlignment="1">
      <alignment wrapText="1"/>
    </xf>
    <xf numFmtId="0" fontId="1" fillId="5" borderId="0" xfId="0" applyFont="1" applyFill="1" applyAlignment="1">
      <alignment horizontal="right" wrapText="1"/>
    </xf>
    <xf numFmtId="0" fontId="1" fillId="2" borderId="0" xfId="0" applyFont="1" applyFill="1" applyAlignment="1">
      <alignment horizontal="center"/>
    </xf>
    <xf numFmtId="0" fontId="3" fillId="2" borderId="0" xfId="0" applyFont="1" applyFill="1" applyAlignment="1">
      <alignment horizontal="center"/>
    </xf>
    <xf numFmtId="0" fontId="3" fillId="2" borderId="0" xfId="0" applyFont="1" applyFill="1" applyAlignment="1">
      <alignment horizontal="right"/>
    </xf>
    <xf numFmtId="0" fontId="5" fillId="0" borderId="0" xfId="0" applyFont="1"/>
    <xf numFmtId="0" fontId="3" fillId="0" borderId="0" xfId="0" applyFont="1" applyAlignment="1">
      <alignment horizontal="right"/>
    </xf>
    <xf numFmtId="0" fontId="3" fillId="6" borderId="0" xfId="0" applyFont="1" applyFill="1"/>
    <xf numFmtId="0" fontId="5" fillId="6" borderId="0" xfId="0" applyFont="1" applyFill="1"/>
    <xf numFmtId="0" fontId="3" fillId="6" borderId="0" xfId="0" applyFont="1" applyFill="1" applyAlignment="1">
      <alignment horizontal="right"/>
    </xf>
    <xf numFmtId="0" fontId="6" fillId="0" borderId="0" xfId="0" applyFont="1" applyAlignment="1">
      <alignment wrapText="1"/>
    </xf>
    <xf numFmtId="58" fontId="3" fillId="0" borderId="0" xfId="0" applyNumberFormat="1" applyFont="1"/>
    <xf numFmtId="58" fontId="7" fillId="0" borderId="0" xfId="0" applyNumberFormat="1" applyFont="1" applyAlignment="1">
      <alignment horizontal="right"/>
    </xf>
    <xf numFmtId="181" fontId="7" fillId="0" borderId="0" xfId="0" applyNumberFormat="1" applyFont="1" applyAlignment="1">
      <alignment horizontal="right"/>
    </xf>
    <xf numFmtId="182" fontId="3" fillId="0" borderId="0" xfId="0" applyNumberFormat="1" applyFont="1"/>
    <xf numFmtId="4" fontId="3" fillId="0" borderId="0" xfId="0" applyNumberFormat="1" applyFont="1"/>
    <xf numFmtId="183" fontId="3" fillId="0" borderId="0" xfId="0" applyNumberFormat="1" applyFont="1"/>
    <xf numFmtId="49" fontId="3" fillId="0" borderId="0" xfId="0" applyNumberFormat="1" applyFont="1"/>
    <xf numFmtId="184" fontId="3" fillId="0" borderId="0" xfId="0" applyNumberFormat="1" applyFont="1"/>
    <xf numFmtId="3" fontId="3" fillId="0" borderId="0" xfId="0" applyNumberFormat="1" applyFont="1"/>
    <xf numFmtId="181" fontId="3" fillId="0" borderId="0" xfId="0" applyNumberFormat="1" applyFont="1"/>
    <xf numFmtId="1" fontId="3" fillId="0" borderId="0" xfId="0" applyNumberFormat="1" applyFont="1"/>
    <xf numFmtId="0" fontId="1" fillId="7" borderId="0" xfId="0" applyFont="1" applyFill="1"/>
    <xf numFmtId="0" fontId="1" fillId="0" borderId="0" xfId="0" applyFont="1"/>
    <xf numFmtId="0" fontId="1" fillId="3" borderId="0" xfId="0" applyFont="1" applyFill="1" applyAlignment="1">
      <alignment horizontal="left" vertical="center"/>
    </xf>
    <xf numFmtId="0" fontId="1" fillId="8" borderId="0" xfId="0" applyFont="1" applyFill="1" applyAlignment="1">
      <alignment horizontal="left" vertical="center" wrapText="1"/>
    </xf>
    <xf numFmtId="0" fontId="1" fillId="0" borderId="0" xfId="0" applyFont="1" applyAlignment="1">
      <alignment horizontal="left"/>
    </xf>
    <xf numFmtId="0" fontId="3" fillId="9" borderId="0" xfId="0" applyFont="1" applyFill="1"/>
    <xf numFmtId="0" fontId="3" fillId="10" borderId="0" xfId="0" applyFont="1" applyFill="1"/>
    <xf numFmtId="0" fontId="3" fillId="11" borderId="0" xfId="0" applyFont="1" applyFill="1"/>
    <xf numFmtId="0" fontId="8" fillId="12" borderId="0" xfId="0" applyFont="1" applyFill="1" applyAlignment="1">
      <alignment horizontal="center" wrapText="1"/>
    </xf>
    <xf numFmtId="0" fontId="9" fillId="12" borderId="0" xfId="0" applyFont="1" applyFill="1" applyAlignment="1">
      <alignment horizontal="center" wrapText="1"/>
    </xf>
    <xf numFmtId="0" fontId="1" fillId="12" borderId="0" xfId="0" applyFont="1" applyFill="1" applyAlignment="1">
      <alignment horizontal="center"/>
    </xf>
    <xf numFmtId="0" fontId="10" fillId="13" borderId="0" xfId="0" applyFont="1" applyFill="1" applyAlignment="1">
      <alignment wrapText="1"/>
    </xf>
    <xf numFmtId="0" fontId="10" fillId="13" borderId="0" xfId="0" applyFont="1" applyFill="1"/>
    <xf numFmtId="0" fontId="11" fillId="13" borderId="0" xfId="0" applyFont="1" applyFill="1"/>
    <xf numFmtId="0" fontId="12" fillId="13" borderId="0" xfId="0" applyFont="1" applyFill="1"/>
    <xf numFmtId="0" fontId="13" fillId="0" borderId="0" xfId="0" applyFont="1"/>
    <xf numFmtId="0" fontId="13" fillId="14" borderId="0" xfId="0" applyFont="1" applyFill="1"/>
    <xf numFmtId="0" fontId="13" fillId="2" borderId="0" xfId="0" applyFont="1" applyFill="1"/>
    <xf numFmtId="0" fontId="5" fillId="2" borderId="0" xfId="0" applyFont="1" applyFill="1"/>
    <xf numFmtId="58" fontId="13" fillId="0" borderId="0" xfId="0" applyNumberFormat="1" applyFont="1"/>
    <xf numFmtId="58" fontId="14" fillId="3" borderId="0" xfId="0" applyNumberFormat="1" applyFont="1" applyFill="1" applyAlignment="1">
      <alignment horizontal="left"/>
    </xf>
    <xf numFmtId="0" fontId="13" fillId="15" borderId="0" xfId="0" applyFont="1" applyFill="1"/>
    <xf numFmtId="0" fontId="5" fillId="3" borderId="0" xfId="0" applyFont="1" applyFill="1"/>
    <xf numFmtId="58" fontId="14" fillId="14" borderId="0" xfId="0" applyNumberFormat="1" applyFont="1" applyFill="1" applyAlignment="1">
      <alignment horizontal="left"/>
    </xf>
    <xf numFmtId="0" fontId="15" fillId="14" borderId="0" xfId="0" applyFont="1" applyFill="1" applyAlignment="1">
      <alignment horizontal="left"/>
    </xf>
    <xf numFmtId="0" fontId="3" fillId="15" borderId="0" xfId="0" applyFont="1" applyFill="1"/>
    <xf numFmtId="0" fontId="3" fillId="16" borderId="0" xfId="0" applyFont="1" applyFill="1"/>
    <xf numFmtId="0" fontId="14" fillId="15" borderId="0" xfId="0" applyFont="1" applyFill="1" applyAlignment="1">
      <alignment horizontal="left"/>
    </xf>
    <xf numFmtId="0" fontId="3" fillId="7" borderId="0" xfId="0" applyFont="1" applyFill="1"/>
    <xf numFmtId="0" fontId="3" fillId="17" borderId="0" xfId="0" applyFont="1" applyFill="1"/>
    <xf numFmtId="58" fontId="13" fillId="0" borderId="0" xfId="0" applyNumberFormat="1" applyFont="1" applyAlignment="1">
      <alignment horizontal="left"/>
    </xf>
    <xf numFmtId="0" fontId="7" fillId="16" borderId="0" xfId="0" applyFont="1" applyFill="1"/>
    <xf numFmtId="0" fontId="13" fillId="7" borderId="0" xfId="0" applyFont="1" applyFill="1"/>
    <xf numFmtId="0" fontId="13" fillId="16" borderId="0" xfId="0" applyFont="1" applyFill="1"/>
    <xf numFmtId="0" fontId="13" fillId="3" borderId="0" xfId="0" applyFont="1" applyFill="1"/>
    <xf numFmtId="0" fontId="5" fillId="18" borderId="0" xfId="0" applyFont="1" applyFill="1" applyAlignment="1">
      <alignment horizontal="left"/>
    </xf>
    <xf numFmtId="0" fontId="16" fillId="18" borderId="0" xfId="0" applyFont="1" applyFill="1" applyAlignment="1">
      <alignment horizontal="left"/>
    </xf>
    <xf numFmtId="0" fontId="17" fillId="18" borderId="0" xfId="0" applyFont="1" applyFill="1" applyAlignment="1">
      <alignment horizontal="left"/>
    </xf>
    <xf numFmtId="0" fontId="13" fillId="17" borderId="0" xfId="0" applyFont="1" applyFill="1"/>
    <xf numFmtId="0" fontId="18" fillId="18" borderId="0" xfId="0" applyFont="1" applyFill="1" applyAlignment="1">
      <alignment horizontal="left"/>
    </xf>
    <xf numFmtId="0" fontId="13" fillId="14" borderId="0" xfId="0" applyFont="1" applyFill="1" applyAlignment="1">
      <alignment horizontal="left"/>
    </xf>
    <xf numFmtId="0" fontId="15" fillId="18" borderId="0" xfId="0" applyFont="1" applyFill="1" applyAlignment="1">
      <alignment horizontal="left"/>
    </xf>
    <xf numFmtId="0" fontId="15" fillId="0" borderId="0" xfId="0" applyFont="1" applyAlignment="1">
      <alignment horizontal="left"/>
    </xf>
    <xf numFmtId="58" fontId="13" fillId="0" borderId="0" xfId="0" applyNumberFormat="1" applyFont="1" applyAlignment="1">
      <alignment horizontal="right"/>
    </xf>
    <xf numFmtId="0" fontId="19" fillId="18" borderId="0" xfId="0" applyFont="1" applyFill="1" applyAlignment="1">
      <alignment horizontal="left"/>
    </xf>
    <xf numFmtId="0" fontId="20" fillId="18" borderId="0" xfId="0" applyFont="1" applyFill="1" applyAlignment="1">
      <alignment horizontal="left"/>
    </xf>
    <xf numFmtId="58" fontId="13" fillId="9" borderId="0" xfId="0" applyNumberFormat="1" applyFont="1" applyFill="1"/>
    <xf numFmtId="0" fontId="13" fillId="9" borderId="0" xfId="0" applyFont="1" applyFill="1"/>
    <xf numFmtId="0" fontId="3" fillId="9" borderId="0" xfId="0" applyFont="1" applyFill="1" applyAlignment="1">
      <alignment horizontal="left"/>
    </xf>
    <xf numFmtId="181" fontId="13" fillId="0" borderId="0" xfId="0" applyNumberFormat="1" applyFont="1"/>
    <xf numFmtId="0" fontId="21" fillId="0" borderId="0" xfId="0" applyFont="1"/>
    <xf numFmtId="0" fontId="0" fillId="14" borderId="0" xfId="0" applyFill="1"/>
    <xf numFmtId="0" fontId="5" fillId="0" borderId="0" xfId="0" applyFont="1" applyAlignment="1">
      <alignment horizontal="left"/>
    </xf>
    <xf numFmtId="0" fontId="22" fillId="0" borderId="0" xfId="0" applyFont="1" applyAlignment="1">
      <alignment horizontal="left"/>
    </xf>
    <xf numFmtId="0" fontId="23" fillId="14" borderId="0" xfId="0" applyFont="1" applyFill="1"/>
    <xf numFmtId="0" fontId="13" fillId="0" borderId="0" xfId="0" applyFont="1" applyAlignment="1">
      <alignment horizontal="left"/>
    </xf>
    <xf numFmtId="181" fontId="13" fillId="0" borderId="0" xfId="0" applyNumberFormat="1" applyFont="1" applyAlignment="1">
      <alignment vertical="center"/>
    </xf>
    <xf numFmtId="0" fontId="13" fillId="0" borderId="0" xfId="0" applyFont="1" applyAlignment="1">
      <alignment vertical="center" wrapText="1"/>
    </xf>
    <xf numFmtId="0" fontId="3" fillId="0" borderId="0" xfId="0" applyFont="1" applyAlignment="1">
      <alignment vertical="center"/>
    </xf>
    <xf numFmtId="0" fontId="5" fillId="0" borderId="0" xfId="0" applyFont="1" applyAlignment="1">
      <alignment vertical="center"/>
    </xf>
    <xf numFmtId="58" fontId="13" fillId="17" borderId="0" xfId="0" applyNumberFormat="1" applyFont="1" applyFill="1"/>
    <xf numFmtId="181" fontId="13" fillId="17" borderId="0" xfId="0" applyNumberFormat="1" applyFont="1" applyFill="1"/>
    <xf numFmtId="0" fontId="0" fillId="0" borderId="0" xfId="0" applyAlignment="1">
      <alignment horizontal="left"/>
    </xf>
    <xf numFmtId="0" fontId="24" fillId="0" borderId="0" xfId="0" applyFont="1"/>
    <xf numFmtId="0" fontId="1" fillId="0" borderId="0" xfId="0" applyFont="1" applyAlignment="1">
      <alignment horizontal="left" wrapText="1"/>
    </xf>
    <xf numFmtId="0" fontId="25" fillId="0" borderId="0" xfId="0" applyFont="1"/>
    <xf numFmtId="0" fontId="0" fillId="0" borderId="1" xfId="0" applyBorder="1"/>
    <xf numFmtId="0" fontId="0" fillId="0" borderId="2" xfId="0" applyBorder="1"/>
    <xf numFmtId="0" fontId="1" fillId="19" borderId="0" xfId="0" applyFont="1" applyFill="1" applyAlignment="1">
      <alignment wrapText="1"/>
    </xf>
    <xf numFmtId="0" fontId="3" fillId="20" borderId="0" xfId="0" applyFont="1" applyFill="1"/>
    <xf numFmtId="0" fontId="3" fillId="0" borderId="0" xfId="0" applyFont="1" applyAlignment="1">
      <alignment wrapText="1"/>
    </xf>
    <xf numFmtId="0" fontId="0" fillId="0" borderId="3" xfId="0" applyBorder="1"/>
    <xf numFmtId="0" fontId="0" fillId="0" borderId="4" xfId="0" applyBorder="1"/>
    <xf numFmtId="0" fontId="3" fillId="0" borderId="0" xfId="0" applyFont="1" applyAlignment="1">
      <alignment horizontal="left"/>
    </xf>
    <xf numFmtId="0" fontId="0" fillId="0" borderId="5" xfId="0" applyBorder="1"/>
    <xf numFmtId="0" fontId="1" fillId="19" borderId="0" xfId="0" applyFont="1" applyFill="1" applyAlignment="1">
      <alignment horizontal="left" wrapText="1"/>
    </xf>
    <xf numFmtId="0" fontId="12" fillId="20" borderId="0" xfId="0" applyFont="1" applyFill="1"/>
    <xf numFmtId="0" fontId="1" fillId="20" borderId="0" xfId="0" applyFont="1" applyFill="1" applyAlignment="1">
      <alignment wrapText="1"/>
    </xf>
    <xf numFmtId="0" fontId="26" fillId="19" borderId="0" xfId="0" applyFont="1" applyFill="1" applyAlignment="1">
      <alignment wrapText="1"/>
    </xf>
    <xf numFmtId="0" fontId="27" fillId="20" borderId="0" xfId="0" applyFont="1" applyFill="1" applyAlignment="1">
      <alignment horizontal="right"/>
    </xf>
    <xf numFmtId="181" fontId="26" fillId="20" borderId="0" xfId="0" applyNumberFormat="1" applyFont="1" applyFill="1" applyAlignment="1">
      <alignment horizontal="right" wrapText="1"/>
    </xf>
    <xf numFmtId="0" fontId="7" fillId="20" borderId="0" xfId="0" applyFont="1" applyFill="1"/>
    <xf numFmtId="181" fontId="26" fillId="19" borderId="0" xfId="0" applyNumberFormat="1" applyFont="1" applyFill="1" applyAlignment="1">
      <alignment wrapText="1"/>
    </xf>
    <xf numFmtId="0" fontId="27" fillId="0" borderId="0" xfId="0" applyFont="1" applyAlignment="1">
      <alignment horizontal="right"/>
    </xf>
    <xf numFmtId="0" fontId="26" fillId="0" borderId="0" xfId="0" applyFont="1" applyAlignment="1">
      <alignment wrapText="1"/>
    </xf>
    <xf numFmtId="0" fontId="1" fillId="0" borderId="0" xfId="0" applyFont="1" applyAlignment="1">
      <alignment horizontal="center" wrapText="1"/>
    </xf>
    <xf numFmtId="0" fontId="0" fillId="0" borderId="6" xfId="0" applyBorder="1"/>
    <xf numFmtId="185" fontId="0" fillId="0" borderId="3" xfId="0" applyNumberFormat="1" applyBorder="1"/>
    <xf numFmtId="0" fontId="0" fillId="0" borderId="7" xfId="0" applyBorder="1"/>
    <xf numFmtId="0" fontId="0" fillId="0" borderId="8" xfId="0" applyBorder="1"/>
    <xf numFmtId="0" fontId="3" fillId="0" borderId="0" xfId="0" applyFont="1" applyAlignment="1">
      <alignment horizontal="left" wrapText="1"/>
    </xf>
    <xf numFmtId="0" fontId="3" fillId="0" borderId="0" xfId="0" applyFont="1" applyAlignment="1">
      <alignment horizontal="right" wrapText="1"/>
    </xf>
    <xf numFmtId="0" fontId="12" fillId="21" borderId="0" xfId="0" applyFont="1" applyFill="1" applyAlignment="1">
      <alignment horizontal="center" vertical="center" wrapText="1"/>
    </xf>
    <xf numFmtId="0" fontId="9" fillId="6" borderId="0" xfId="0" applyFont="1" applyFill="1"/>
    <xf numFmtId="58" fontId="3" fillId="7" borderId="0" xfId="0" applyNumberFormat="1" applyFont="1" applyFill="1"/>
    <xf numFmtId="58" fontId="3" fillId="17" borderId="0" xfId="0" applyNumberFormat="1" applyFont="1" applyFill="1"/>
    <xf numFmtId="58" fontId="3" fillId="7" borderId="0" xfId="0" applyNumberFormat="1" applyFont="1" applyFill="1" applyAlignment="1">
      <alignment horizontal="right"/>
    </xf>
    <xf numFmtId="0" fontId="12" fillId="21" borderId="0" xfId="0" applyFont="1" applyFill="1" applyAlignment="1">
      <alignment horizontal="left" vertical="center" wrapText="1"/>
    </xf>
    <xf numFmtId="0" fontId="9" fillId="6" borderId="0" xfId="0" applyFont="1" applyFill="1" applyAlignment="1">
      <alignment horizontal="left"/>
    </xf>
    <xf numFmtId="20" fontId="3" fillId="0" borderId="0" xfId="0" applyNumberFormat="1" applyFont="1" applyAlignment="1">
      <alignment horizontal="left"/>
    </xf>
    <xf numFmtId="0" fontId="28" fillId="14" borderId="0" xfId="0" applyFont="1" applyFill="1"/>
    <xf numFmtId="0" fontId="3" fillId="14" borderId="0" xfId="0" applyFont="1" applyFill="1"/>
    <xf numFmtId="20" fontId="3" fillId="14" borderId="0" xfId="0" applyNumberFormat="1" applyFont="1" applyFill="1" applyAlignment="1">
      <alignment horizontal="left"/>
    </xf>
    <xf numFmtId="181" fontId="3" fillId="17" borderId="0" xfId="0" applyNumberFormat="1" applyFont="1" applyFill="1"/>
    <xf numFmtId="181" fontId="3" fillId="7" borderId="0" xfId="0" applyNumberFormat="1" applyFont="1" applyFill="1"/>
    <xf numFmtId="58" fontId="3" fillId="9" borderId="0" xfId="0" applyNumberFormat="1" applyFont="1" applyFill="1"/>
    <xf numFmtId="0" fontId="3" fillId="22" borderId="0" xfId="0" applyFont="1" applyFill="1"/>
    <xf numFmtId="0" fontId="3" fillId="17" borderId="0" xfId="0" applyFont="1" applyFill="1" applyAlignment="1">
      <alignment horizontal="left"/>
    </xf>
    <xf numFmtId="0" fontId="1" fillId="4" borderId="0" xfId="0" applyFont="1" applyFill="1" applyAlignment="1">
      <alignment horizontal="center" vertical="center"/>
    </xf>
    <xf numFmtId="0" fontId="1" fillId="4" borderId="0" xfId="0" applyFont="1" applyFill="1" applyAlignment="1">
      <alignment horizontal="center" vertical="center" wrapText="1"/>
    </xf>
    <xf numFmtId="182" fontId="29" fillId="0" borderId="9" xfId="0" applyNumberFormat="1" applyFont="1" applyBorder="1" applyAlignment="1">
      <alignment horizontal="right" wrapText="1"/>
    </xf>
    <xf numFmtId="0" fontId="22" fillId="14" borderId="0" xfId="0" applyFont="1" applyFill="1" applyAlignment="1">
      <alignment horizontal="left"/>
    </xf>
    <xf numFmtId="0" fontId="3" fillId="0" borderId="0" xfId="0" applyFont="1" applyAlignment="1">
      <alignment horizontal="center" vertical="center"/>
    </xf>
    <xf numFmtId="0" fontId="30" fillId="14" borderId="0" xfId="0" applyFont="1" applyFill="1"/>
    <xf numFmtId="182" fontId="29" fillId="17" borderId="9" xfId="0" applyNumberFormat="1" applyFont="1" applyFill="1" applyBorder="1" applyAlignment="1">
      <alignment horizontal="right" wrapText="1"/>
    </xf>
    <xf numFmtId="0" fontId="3" fillId="17" borderId="0" xfId="0" applyFont="1" applyFill="1" applyAlignment="1">
      <alignment horizontal="center" vertical="center"/>
    </xf>
    <xf numFmtId="0" fontId="30" fillId="17" borderId="0" xfId="0" applyFont="1" applyFill="1"/>
    <xf numFmtId="0" fontId="30" fillId="0" borderId="0" xfId="0" applyFont="1"/>
    <xf numFmtId="0" fontId="3" fillId="0" borderId="10" xfId="0" applyFont="1" applyBorder="1"/>
    <xf numFmtId="0" fontId="30" fillId="23" borderId="0" xfId="0" applyFont="1" applyFill="1"/>
    <xf numFmtId="182" fontId="29" fillId="0" borderId="11" xfId="0" applyNumberFormat="1" applyFont="1" applyBorder="1" applyAlignment="1">
      <alignment horizontal="right" wrapText="1"/>
    </xf>
    <xf numFmtId="0" fontId="26" fillId="4" borderId="0" xfId="0" applyFont="1" applyFill="1" applyAlignment="1">
      <alignment horizontal="center" vertical="center" wrapText="1"/>
    </xf>
    <xf numFmtId="0" fontId="26" fillId="4" borderId="0" xfId="0" applyFont="1" applyFill="1" applyAlignment="1">
      <alignment horizontal="center" wrapText="1"/>
    </xf>
    <xf numFmtId="0" fontId="31" fillId="4" borderId="0" xfId="0" applyFont="1" applyFill="1" applyAlignment="1">
      <alignment horizontal="center" vertical="center" wrapText="1"/>
    </xf>
    <xf numFmtId="0" fontId="3" fillId="17" borderId="0" xfId="0" applyFont="1" applyFill="1" applyAlignment="1">
      <alignment wrapText="1"/>
    </xf>
    <xf numFmtId="0" fontId="3" fillId="24" borderId="0" xfId="0" applyFont="1" applyFill="1"/>
    <xf numFmtId="182" fontId="32" fillId="18" borderId="0" xfId="0" applyNumberFormat="1" applyFont="1" applyFill="1" applyAlignment="1">
      <alignment horizontal="left"/>
    </xf>
    <xf numFmtId="0" fontId="33" fillId="0" borderId="0" xfId="0" applyFont="1"/>
    <xf numFmtId="0" fontId="13" fillId="14" borderId="0" xfId="0" applyFont="1" applyFill="1" applyAlignment="1">
      <alignment horizontal="right"/>
    </xf>
    <xf numFmtId="182" fontId="13" fillId="14" borderId="10" xfId="0" applyNumberFormat="1" applyFont="1" applyFill="1" applyBorder="1" applyAlignment="1">
      <alignment horizontal="right" vertical="top"/>
    </xf>
    <xf numFmtId="0" fontId="1" fillId="0" borderId="0" xfId="0" applyFont="1" applyAlignment="1">
      <alignment horizontal="center" vertical="center"/>
    </xf>
    <xf numFmtId="0" fontId="1" fillId="3" borderId="0" xfId="0" applyFont="1" applyFill="1"/>
    <xf numFmtId="0" fontId="1" fillId="0" borderId="0" xfId="0" applyFont="1" applyAlignment="1">
      <alignment horizontal="right"/>
    </xf>
    <xf numFmtId="0" fontId="1" fillId="6" borderId="0" xfId="0" applyFont="1" applyFill="1" applyAlignment="1">
      <alignment horizontal="right" wrapText="1"/>
    </xf>
    <xf numFmtId="58" fontId="3" fillId="0" borderId="0" xfId="0" applyNumberFormat="1" applyFont="1" applyAlignment="1">
      <alignment wrapText="1"/>
    </xf>
    <xf numFmtId="0" fontId="1" fillId="25" borderId="0" xfId="0" applyFont="1" applyFill="1" applyAlignment="1">
      <alignment horizontal="right" wrapText="1"/>
    </xf>
    <xf numFmtId="0" fontId="1" fillId="2" borderId="0" xfId="0" applyFont="1" applyFill="1" applyAlignment="1">
      <alignment horizontal="right" wrapText="1"/>
    </xf>
    <xf numFmtId="186" fontId="3" fillId="19" borderId="0" xfId="0" applyNumberFormat="1" applyFont="1" applyFill="1"/>
    <xf numFmtId="0" fontId="3" fillId="19" borderId="0" xfId="0" applyFont="1" applyFill="1"/>
    <xf numFmtId="0" fontId="3" fillId="19" borderId="0" xfId="0" applyFont="1" applyFill="1" applyAlignment="1">
      <alignment horizontal="right"/>
    </xf>
    <xf numFmtId="0" fontId="5" fillId="19" borderId="0" xfId="0" applyFont="1" applyFill="1"/>
    <xf numFmtId="58" fontId="3" fillId="19" borderId="0" xfId="0" applyNumberFormat="1" applyFont="1" applyFill="1" applyAlignment="1">
      <alignment wrapText="1"/>
    </xf>
    <xf numFmtId="186" fontId="3" fillId="0" borderId="0" xfId="0" applyNumberFormat="1" applyFont="1"/>
    <xf numFmtId="0" fontId="34" fillId="14" borderId="0" xfId="0" applyFont="1" applyFill="1" applyAlignment="1">
      <alignment horizontal="right"/>
    </xf>
    <xf numFmtId="0" fontId="35" fillId="0" borderId="0" xfId="0" applyFont="1" applyAlignment="1">
      <alignment horizontal="right"/>
    </xf>
    <xf numFmtId="186" fontId="3" fillId="20" borderId="0" xfId="0" applyNumberFormat="1" applyFont="1" applyFill="1"/>
    <xf numFmtId="0" fontId="3" fillId="20" borderId="0" xfId="0" applyFont="1" applyFill="1" applyAlignment="1">
      <alignment horizontal="right"/>
    </xf>
    <xf numFmtId="0" fontId="5" fillId="20" borderId="0" xfId="0" applyFont="1" applyFill="1"/>
    <xf numFmtId="58" fontId="3" fillId="20" borderId="0" xfId="0" applyNumberFormat="1" applyFont="1" applyFill="1"/>
    <xf numFmtId="0" fontId="1" fillId="0" borderId="0" xfId="0" applyFont="1" applyAlignment="1">
      <alignment horizontal="right" wrapText="1"/>
    </xf>
    <xf numFmtId="0" fontId="1" fillId="0" borderId="0" xfId="0" applyFont="1" applyAlignment="1">
      <alignment vertical="center" wrapText="1"/>
    </xf>
    <xf numFmtId="0" fontId="3" fillId="19" borderId="0" xfId="0" applyFont="1" applyFill="1" applyAlignment="1">
      <alignment horizontal="right" wrapText="1"/>
    </xf>
    <xf numFmtId="0" fontId="3" fillId="19" borderId="0" xfId="0" applyFont="1" applyFill="1" applyAlignment="1">
      <alignment horizontal="left"/>
    </xf>
    <xf numFmtId="0" fontId="3" fillId="19" borderId="0" xfId="0" applyFont="1" applyFill="1" applyAlignment="1">
      <alignment wrapText="1"/>
    </xf>
    <xf numFmtId="58" fontId="3" fillId="19" borderId="0" xfId="0" applyNumberFormat="1" applyFont="1" applyFill="1" applyAlignment="1">
      <alignment horizontal="right" wrapText="1"/>
    </xf>
    <xf numFmtId="58" fontId="3" fillId="0" borderId="0" xfId="0" applyNumberFormat="1" applyFont="1" applyAlignment="1">
      <alignment horizontal="right" wrapText="1"/>
    </xf>
    <xf numFmtId="0" fontId="3" fillId="20" borderId="0" xfId="0" applyFont="1" applyFill="1" applyAlignment="1">
      <alignment horizontal="left"/>
    </xf>
    <xf numFmtId="0" fontId="36" fillId="8" borderId="0" xfId="0" applyFont="1" applyFill="1" applyAlignment="1">
      <alignment horizontal="center" wrapText="1"/>
    </xf>
    <xf numFmtId="0" fontId="1" fillId="14" borderId="0" xfId="0" applyFont="1" applyFill="1" applyAlignment="1">
      <alignment horizontal="center" vertical="center" wrapText="1"/>
    </xf>
    <xf numFmtId="0" fontId="1" fillId="3" borderId="0" xfId="0" applyFont="1" applyFill="1" applyAlignment="1">
      <alignment horizontal="center" vertical="center" wrapText="1"/>
    </xf>
    <xf numFmtId="0" fontId="1" fillId="3" borderId="0" xfId="0" applyFont="1" applyFill="1" applyAlignment="1">
      <alignment horizontal="center" vertical="center"/>
    </xf>
    <xf numFmtId="0" fontId="1" fillId="8" borderId="0" xfId="0" applyFont="1" applyFill="1" applyAlignment="1">
      <alignment horizontal="center" vertical="center"/>
    </xf>
    <xf numFmtId="0" fontId="1" fillId="8" borderId="0" xfId="0" applyFont="1" applyFill="1" applyAlignment="1">
      <alignment horizontal="center" vertical="center" wrapText="1"/>
    </xf>
    <xf numFmtId="0" fontId="26" fillId="8" borderId="0" xfId="0" applyFont="1" applyFill="1" applyAlignment="1">
      <alignment vertical="center"/>
    </xf>
    <xf numFmtId="0" fontId="37" fillId="14" borderId="0" xfId="0" applyFont="1" applyFill="1" applyAlignment="1">
      <alignment horizontal="left"/>
    </xf>
    <xf numFmtId="0" fontId="1" fillId="26" borderId="0" xfId="0" applyFont="1" applyFill="1" applyAlignment="1">
      <alignment horizontal="center" vertical="center"/>
    </xf>
    <xf numFmtId="0" fontId="1" fillId="20" borderId="0" xfId="0" applyFont="1" applyFill="1" applyAlignment="1">
      <alignment horizontal="center"/>
    </xf>
    <xf numFmtId="0" fontId="3" fillId="27" borderId="0" xfId="0" applyFont="1" applyFill="1"/>
    <xf numFmtId="186" fontId="3" fillId="2" borderId="0" xfId="0" applyNumberFormat="1" applyFont="1" applyFill="1"/>
    <xf numFmtId="58" fontId="3" fillId="2" borderId="0" xfId="0" applyNumberFormat="1" applyFont="1" applyFill="1"/>
    <xf numFmtId="0" fontId="37" fillId="0" borderId="0" xfId="0" applyFont="1" applyAlignment="1">
      <alignment horizontal="right"/>
    </xf>
    <xf numFmtId="0" fontId="3" fillId="2" borderId="0" xfId="0" applyFont="1" applyFill="1" applyAlignment="1">
      <alignment horizontal="left"/>
    </xf>
    <xf numFmtId="0" fontId="13" fillId="2" borderId="0" xfId="0" applyFont="1" applyFill="1" applyAlignment="1">
      <alignment horizontal="left"/>
    </xf>
    <xf numFmtId="186" fontId="3" fillId="7" borderId="0" xfId="0" applyNumberFormat="1" applyFont="1" applyFill="1"/>
    <xf numFmtId="0" fontId="3" fillId="7" borderId="0" xfId="0" applyFont="1" applyFill="1" applyAlignment="1">
      <alignment horizontal="right"/>
    </xf>
    <xf numFmtId="0" fontId="5" fillId="7" borderId="0" xfId="0" applyFont="1" applyFill="1"/>
    <xf numFmtId="0" fontId="30" fillId="0" borderId="0" xfId="0" applyFont="1" applyAlignment="1">
      <alignment horizontal="right"/>
    </xf>
    <xf numFmtId="186" fontId="3" fillId="28" borderId="0" xfId="0" applyNumberFormat="1" applyFont="1" applyFill="1"/>
    <xf numFmtId="0" fontId="3" fillId="7" borderId="0" xfId="0" applyFont="1" applyFill="1" applyAlignment="1">
      <alignment horizontal="left"/>
    </xf>
    <xf numFmtId="0" fontId="30" fillId="14" borderId="0" xfId="0" applyFont="1" applyFill="1" applyAlignment="1">
      <alignment horizontal="left"/>
    </xf>
    <xf numFmtId="0" fontId="38" fillId="7" borderId="0" xfId="0" applyFont="1" applyFill="1"/>
    <xf numFmtId="186" fontId="3" fillId="14" borderId="0" xfId="0" applyNumberFormat="1" applyFont="1" applyFill="1"/>
    <xf numFmtId="0" fontId="3" fillId="14" borderId="0" xfId="0" applyFont="1" applyFill="1" applyAlignment="1">
      <alignment horizontal="right"/>
    </xf>
    <xf numFmtId="0" fontId="5" fillId="14" borderId="0" xfId="0" applyFont="1" applyFill="1"/>
    <xf numFmtId="58" fontId="3" fillId="14" borderId="0" xfId="0" applyNumberFormat="1" applyFont="1" applyFill="1"/>
    <xf numFmtId="0" fontId="3" fillId="14" borderId="0" xfId="0" applyFont="1" applyFill="1" applyAlignment="1">
      <alignment horizontal="left"/>
    </xf>
    <xf numFmtId="0" fontId="35" fillId="14" borderId="0" xfId="0" applyFont="1" applyFill="1" applyAlignment="1">
      <alignment horizontal="right"/>
    </xf>
    <xf numFmtId="58" fontId="3" fillId="0" borderId="0" xfId="0" applyNumberFormat="1" applyFont="1" applyAlignment="1">
      <alignment horizontal="right"/>
    </xf>
    <xf numFmtId="0" fontId="39" fillId="14" borderId="0" xfId="0" applyFont="1" applyFill="1"/>
    <xf numFmtId="0" fontId="30" fillId="2" borderId="0" xfId="0" applyFont="1" applyFill="1" applyAlignment="1">
      <alignment horizontal="left"/>
    </xf>
    <xf numFmtId="0" fontId="30" fillId="7" borderId="0" xfId="0" applyFont="1" applyFill="1"/>
    <xf numFmtId="0" fontId="40" fillId="18" borderId="0" xfId="0" applyFont="1" applyFill="1"/>
    <xf numFmtId="0" fontId="0" fillId="0" borderId="0" xfId="0" applyFont="1"/>
    <xf numFmtId="0" fontId="30" fillId="0" borderId="0" xfId="0" applyFont="1" applyAlignment="1">
      <alignment horizontal="left"/>
    </xf>
    <xf numFmtId="0" fontId="3" fillId="29" borderId="0" xfId="0" applyFont="1" applyFill="1"/>
    <xf numFmtId="58" fontId="3" fillId="14" borderId="0" xfId="0" applyNumberFormat="1" applyFont="1" applyFill="1" applyAlignment="1">
      <alignment horizontal="right"/>
    </xf>
    <xf numFmtId="0" fontId="3" fillId="0" borderId="0" xfId="0" applyFont="1" applyAlignment="1">
      <alignment horizontal="center"/>
    </xf>
    <xf numFmtId="181" fontId="3" fillId="0" borderId="0" xfId="0" applyNumberFormat="1" applyFont="1" applyAlignment="1">
      <alignment horizontal="right"/>
    </xf>
    <xf numFmtId="0" fontId="41" fillId="14" borderId="0" xfId="0" applyFont="1" applyFill="1"/>
    <xf numFmtId="0" fontId="3" fillId="15" borderId="0" xfId="0" applyFont="1" applyFill="1" applyAlignment="1">
      <alignment horizontal="right"/>
    </xf>
    <xf numFmtId="0" fontId="3" fillId="12" borderId="0" xfId="0" applyFont="1" applyFill="1"/>
    <xf numFmtId="0" fontId="42" fillId="14" borderId="0" xfId="0" applyFont="1" applyFill="1"/>
    <xf numFmtId="0" fontId="13" fillId="0" borderId="0" xfId="0" applyFont="1" applyAlignment="1">
      <alignment horizontal="right"/>
    </xf>
    <xf numFmtId="0" fontId="43" fillId="14" borderId="0" xfId="0" applyFont="1" applyFill="1"/>
    <xf numFmtId="0" fontId="43" fillId="18" borderId="0" xfId="0" applyFont="1" applyFill="1" applyAlignment="1">
      <alignment horizontal="left"/>
    </xf>
    <xf numFmtId="0" fontId="30" fillId="5" borderId="0" xfId="0" applyFont="1" applyFill="1" applyAlignment="1">
      <alignment horizontal="left"/>
    </xf>
    <xf numFmtId="0" fontId="0" fillId="0" borderId="0" xfId="0" applyAlignment="1">
      <alignment horizontal="right"/>
    </xf>
    <xf numFmtId="0" fontId="44" fillId="14" borderId="0" xfId="0" applyFont="1" applyFill="1"/>
    <xf numFmtId="0" fontId="0" fillId="14" borderId="0" xfId="0" applyFont="1" applyFill="1" applyAlignment="1">
      <alignment horizontal="left"/>
    </xf>
    <xf numFmtId="0" fontId="35" fillId="14" borderId="0" xfId="0" applyFont="1" applyFill="1" applyAlignment="1">
      <alignment horizontal="left"/>
    </xf>
    <xf numFmtId="0" fontId="45" fillId="14" borderId="0" xfId="0" applyFont="1" applyFill="1"/>
    <xf numFmtId="0" fontId="35" fillId="0" borderId="0" xfId="0" applyFont="1" applyAlignment="1">
      <alignment horizontal="left"/>
    </xf>
    <xf numFmtId="0" fontId="30" fillId="29" borderId="0" xfId="0" applyFont="1" applyFill="1" applyAlignment="1">
      <alignment horizontal="left"/>
    </xf>
    <xf numFmtId="186" fontId="3" fillId="10" borderId="0" xfId="0" applyNumberFormat="1" applyFont="1" applyFill="1"/>
    <xf numFmtId="0" fontId="3" fillId="30" borderId="0" xfId="0" applyFont="1" applyFill="1"/>
    <xf numFmtId="0" fontId="40" fillId="18" borderId="0" xfId="0" applyFont="1" applyFill="1" applyAlignment="1">
      <alignment horizontal="left"/>
    </xf>
    <xf numFmtId="0" fontId="30" fillId="7" borderId="0" xfId="0" applyFont="1" applyFill="1" applyAlignment="1">
      <alignment horizontal="left"/>
    </xf>
    <xf numFmtId="0" fontId="3" fillId="31" borderId="0" xfId="0" applyFont="1" applyFill="1"/>
    <xf numFmtId="187" fontId="3" fillId="0" borderId="0" xfId="0" applyNumberFormat="1" applyFont="1"/>
    <xf numFmtId="0" fontId="3" fillId="32" borderId="0" xfId="0" applyFont="1" applyFill="1"/>
    <xf numFmtId="0" fontId="3" fillId="14" borderId="0" xfId="0" applyFont="1" applyFill="1" applyAlignment="1">
      <alignment horizontal="right" wrapText="1"/>
    </xf>
    <xf numFmtId="188" fontId="3" fillId="14" borderId="0" xfId="0" applyNumberFormat="1" applyFont="1" applyFill="1" applyAlignment="1">
      <alignment horizontal="right"/>
    </xf>
    <xf numFmtId="58" fontId="3" fillId="29" borderId="0" xfId="0" applyNumberFormat="1" applyFont="1" applyFill="1"/>
    <xf numFmtId="0" fontId="34" fillId="14" borderId="0" xfId="0" applyFont="1" applyFill="1"/>
    <xf numFmtId="0" fontId="13" fillId="32" borderId="0" xfId="0" applyFont="1" applyFill="1" applyAlignment="1">
      <alignment horizontal="left"/>
    </xf>
    <xf numFmtId="0" fontId="46" fillId="14" borderId="0" xfId="0" applyFont="1" applyFill="1" applyAlignment="1">
      <alignment horizontal="left"/>
    </xf>
    <xf numFmtId="0" fontId="0" fillId="22" borderId="0" xfId="0" applyFont="1" applyFill="1"/>
    <xf numFmtId="58" fontId="47" fillId="0" borderId="0" xfId="0" applyNumberFormat="1" applyFont="1"/>
    <xf numFmtId="0" fontId="47" fillId="14" borderId="0" xfId="0" applyFont="1" applyFill="1"/>
    <xf numFmtId="58" fontId="47" fillId="14" borderId="0" xfId="0" applyNumberFormat="1" applyFont="1" applyFill="1"/>
    <xf numFmtId="181" fontId="47" fillId="14" borderId="0" xfId="0" applyNumberFormat="1" applyFont="1" applyFill="1"/>
    <xf numFmtId="0" fontId="13" fillId="7" borderId="0" xfId="0" applyFont="1" applyFill="1" applyAlignment="1">
      <alignment horizontal="left"/>
    </xf>
    <xf numFmtId="189" fontId="3" fillId="7" borderId="0" xfId="0" applyNumberFormat="1" applyFont="1" applyFill="1"/>
    <xf numFmtId="58" fontId="3" fillId="0" borderId="0" xfId="0" applyNumberFormat="1" applyFont="1" applyAlignment="1">
      <alignment horizontal="left"/>
    </xf>
    <xf numFmtId="0" fontId="3" fillId="23" borderId="0" xfId="0" applyFont="1" applyFill="1"/>
    <xf numFmtId="189" fontId="3" fillId="0" borderId="0" xfId="0" applyNumberFormat="1" applyFont="1"/>
    <xf numFmtId="186" fontId="3" fillId="24" borderId="0" xfId="0" applyNumberFormat="1" applyFont="1" applyFill="1"/>
    <xf numFmtId="0" fontId="5" fillId="24" borderId="0" xfId="0" applyFont="1" applyFill="1"/>
    <xf numFmtId="58" fontId="3" fillId="24" borderId="0" xfId="0" applyNumberFormat="1" applyFont="1" applyFill="1"/>
    <xf numFmtId="0" fontId="40" fillId="0" borderId="0" xfId="0" applyFont="1" applyAlignment="1">
      <alignment horizontal="right"/>
    </xf>
    <xf numFmtId="0" fontId="48" fillId="14" borderId="0" xfId="0" applyFont="1" applyFill="1"/>
    <xf numFmtId="0" fontId="33" fillId="14" borderId="0" xfId="0" applyFont="1" applyFill="1" applyAlignment="1">
      <alignment horizontal="left"/>
    </xf>
    <xf numFmtId="0" fontId="3" fillId="0" borderId="0" xfId="0" applyFont="1" applyAlignment="1" quotePrefix="1">
      <alignment horizontal="right"/>
    </xf>
    <xf numFmtId="0" fontId="3" fillId="0" borderId="0" xfId="0" applyFont="1" applyAlignment="1" quotePrefix="1">
      <alignment horizontal="right" wrapText="1"/>
    </xf>
    <xf numFmtId="0" fontId="3" fillId="20" borderId="0" xfId="0" applyFont="1" applyFill="1" applyAlignment="1" quotePrefix="1">
      <alignment horizontal="right"/>
    </xf>
    <xf numFmtId="0" fontId="3" fillId="2" borderId="0" xfId="0" applyFont="1" applyFill="1" applyAlignment="1" quotePrefix="1">
      <alignment horizontal="right"/>
    </xf>
    <xf numFmtId="0" fontId="3" fillId="14" borderId="0" xfId="0" applyFont="1" applyFill="1" applyAlignment="1" quotePrefix="1">
      <alignment horizontal="right"/>
    </xf>
    <xf numFmtId="0" fontId="13" fillId="14" borderId="0" xfId="0" applyFont="1" applyFill="1" applyAlignment="1" quotePrefix="1">
      <alignment horizontal="right"/>
    </xf>
    <xf numFmtId="0" fontId="3" fillId="7" borderId="0" xfId="0" applyFont="1" applyFill="1" applyAlignment="1" quotePrefix="1">
      <alignment horizontal="right"/>
    </xf>
    <xf numFmtId="0" fontId="3" fillId="0" borderId="0" xfId="0" applyFont="1" quotePrefix="1"/>
    <xf numFmtId="0" fontId="3" fillId="24" borderId="0" xfId="0" applyFont="1" applyFill="1" quotePrefix="1"/>
  </cellXfs>
  <cellStyles count="49">
    <cellStyle name="Normal" xfId="0" builtinId="0"/>
    <cellStyle name="Comma" xfId="1" builtinId="3"/>
    <cellStyle name="Moeda" xfId="2" builtinId="4"/>
    <cellStyle name="Porcentagem" xfId="3" builtinId="5"/>
    <cellStyle name="Comma [0]" xfId="4" builtinId="6"/>
    <cellStyle name="Moeda [0]" xfId="5" builtinId="7"/>
    <cellStyle name="Hyperlink" xfId="6" builtinId="8"/>
    <cellStyle name="Hyperlink seguido" xfId="7" builtinId="9"/>
    <cellStyle name="Observação" xfId="8" builtinId="10"/>
    <cellStyle name="Texto de Aviso" xfId="9" builtinId="11"/>
    <cellStyle name="Título" xfId="10" builtinId="15"/>
    <cellStyle name="Texto Explicativo" xfId="11" builtinId="53"/>
    <cellStyle name="Título 1" xfId="12" builtinId="16"/>
    <cellStyle name="Título 2" xfId="13" builtinId="17"/>
    <cellStyle name="Título 3" xfId="14" builtinId="18"/>
    <cellStyle name="Título 4" xfId="15" builtinId="19"/>
    <cellStyle name="Entrada" xfId="16" builtinId="20"/>
    <cellStyle name="Saída" xfId="17" builtinId="21"/>
    <cellStyle name="Cálculo" xfId="18" builtinId="22"/>
    <cellStyle name="Célula de Verificação" xfId="19" builtinId="23"/>
    <cellStyle name="Célula Vinculada" xfId="20" builtinId="24"/>
    <cellStyle name="Total" xfId="21" builtinId="25"/>
    <cellStyle name="Bom" xfId="22" builtinId="26"/>
    <cellStyle name="Ruim" xfId="23" builtinId="27"/>
    <cellStyle name="Neutro" xfId="24" builtinId="28"/>
    <cellStyle name="Ênfase 1" xfId="25" builtinId="29"/>
    <cellStyle name="20% - Ênfase 1" xfId="26" builtinId="30"/>
    <cellStyle name="40% - Ênfase 1" xfId="27" builtinId="31"/>
    <cellStyle name="60% - Ênfase 1" xfId="28" builtinId="32"/>
    <cellStyle name="Ênfase 2" xfId="29" builtinId="33"/>
    <cellStyle name="20% - Ênfase 2" xfId="30" builtinId="34"/>
    <cellStyle name="40% - Ênfase 2" xfId="31" builtinId="35"/>
    <cellStyle name="60% - Ênfase 2" xfId="32" builtinId="36"/>
    <cellStyle name="Ênfase 3" xfId="33" builtinId="37"/>
    <cellStyle name="20% - Ênfase 3" xfId="34" builtinId="38"/>
    <cellStyle name="40% - Ênfase 3" xfId="35" builtinId="39"/>
    <cellStyle name="60% - Ênfase 3" xfId="36" builtinId="40"/>
    <cellStyle name="Ênfase 4" xfId="37" builtinId="41"/>
    <cellStyle name="20% - Ênfase 4" xfId="38" builtinId="42"/>
    <cellStyle name="40% - Ênfase 4" xfId="39" builtinId="43"/>
    <cellStyle name="60% - Ênfase 4" xfId="40" builtinId="44"/>
    <cellStyle name="Ênfase 5" xfId="41" builtinId="45"/>
    <cellStyle name="20% - Ênfase 5" xfId="42" builtinId="46"/>
    <cellStyle name="40% - Ênfase 5" xfId="43" builtinId="47"/>
    <cellStyle name="60% - Ênfase 5" xfId="44" builtinId="48"/>
    <cellStyle name="Ênfase 6" xfId="45" builtinId="49"/>
    <cellStyle name="20% - Ênfase 6" xfId="46" builtinId="50"/>
    <cellStyle name="40% - Ênfase 6" xfId="47" builtinId="51"/>
    <cellStyle name="60% - Ênfase 6" xfId="48" builtinId="52"/>
  </cellStyles>
  <dxfs count="18">
    <dxf>
      <fill>
        <patternFill patternType="solid">
          <fgColor rgb="FFFFFFFF"/>
          <bgColor rgb="FFFFFFFF"/>
        </patternFill>
      </fill>
    </dxf>
    <dxf>
      <fill>
        <patternFill patternType="solid">
          <fgColor rgb="FFCCCCCC"/>
          <bgColor rgb="FFCCCCCC"/>
        </patternFill>
      </fill>
    </dxf>
    <dxf>
      <fill>
        <patternFill patternType="solid">
          <fgColor rgb="FFD5A6BD"/>
          <bgColor rgb="FFD5A6BD"/>
        </patternFill>
      </fill>
    </dxf>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b val="1"/>
        <color rgb="FF000000"/>
      </font>
      <fill>
        <patternFill patternType="solid">
          <fgColor rgb="FFD9D9D9"/>
          <bgColor rgb="FFD9D9D9"/>
        </patternFill>
      </fill>
      <border>
        <top style="double">
          <color rgb="FF000000"/>
        </top>
      </border>
    </dxf>
    <dxf>
      <font>
        <color rgb="FFFFFFFF"/>
      </font>
      <fill>
        <patternFill patternType="solid">
          <fgColor rgb="FF666666"/>
          <bgColor rgb="FF666666"/>
        </patternFill>
      </fill>
      <border>
        <bottom style="thin">
          <color rgb="FFFFFFFF"/>
        </bottom>
      </border>
    </dxf>
    <dxf>
      <font>
        <color rgb="FF000000"/>
      </font>
      <fill>
        <patternFill patternType="solid">
          <fgColor rgb="FFFFFFFF"/>
          <bgColor rgb="FFFFFFFF"/>
        </patternFill>
      </fill>
    </dxf>
    <dxf>
      <fill>
        <patternFill patternType="solid">
          <fgColor rgb="FFE8E7FC"/>
          <bgColor rgb="FFE8E7FC"/>
        </patternFill>
      </fill>
    </dxf>
    <dxf>
      <fill>
        <patternFill patternType="solid">
          <fgColor rgb="FFFFFFFF"/>
          <bgColor rgb="FFFFFFFF"/>
        </patternFill>
      </fill>
    </dxf>
    <dxf>
      <fill>
        <patternFill patternType="solid">
          <fgColor rgb="FF8989EB"/>
          <bgColor rgb="FF8989EB"/>
        </patternFill>
      </fill>
    </dxf>
  </dxfs>
  <tableStyles count="3">
    <tableStyle name="Dashboard-style" pivot="0" count="3" xr9:uid="{2C97C774-725A-426D-9CE6-FB6BC7DAB3F2}">
      <tableStyleElement type="headerRow" dxfId="2"/>
      <tableStyleElement type="firstRowStripe" dxfId="1"/>
      <tableStyleElement type="secondRowStripe" dxfId="0"/>
    </tableStyle>
    <tableStyle name="Google Sheets Pivot Table Style" table="0" count="12" xr9:uid="{AB1B4FD9-3253-47C6-AF13-6DBB9BA5049C}">
      <tableStyleElement type="wholeTable" dxfId="14"/>
      <tableStyleElement type="headerRow" dxfId="13"/>
      <tableStyleElement type="totalRow" dxfId="12"/>
      <tableStyleElement type="firstSubtotalRow" dxfId="11"/>
      <tableStyleElement type="secondSubtotalRow" dxfId="10"/>
      <tableStyleElement type="thirdSubtotalRow" dxfId="9"/>
      <tableStyleElement type="firstColumnSubheading" dxfId="8"/>
      <tableStyleElement type="secondColumnSubheading" dxfId="7"/>
      <tableStyleElement type="thirdColumnSubheading" dxfId="6"/>
      <tableStyleElement type="firstRowSubheading" dxfId="5"/>
      <tableStyleElement type="secondRowSubheading" dxfId="4"/>
      <tableStyleElement type="thirdRowSubheading" dxfId="3"/>
    </tableStyle>
    <tableStyle name="EventoSentinela-style" pivot="0" count="3" xr9:uid="{6A571BA3-DCC9-4834-8CA7-31B370F50E69}">
      <tableStyleElement type="headerRow" dxfId="17"/>
      <tableStyleElement type="firstRowStripe" dxfId="16"/>
      <tableStyleElement type="secondRowStripe" dxfId="15"/>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8" Type="http://schemas.openxmlformats.org/officeDocument/2006/relationships/sharedStrings" Target="sharedStrings.xml"/><Relationship Id="rId27" Type="http://schemas.openxmlformats.org/officeDocument/2006/relationships/styles" Target="styles.xml"/><Relationship Id="rId26" Type="http://schemas.openxmlformats.org/officeDocument/2006/relationships/theme" Target="theme/theme1.xml"/><Relationship Id="rId25" Type="http://schemas.microsoft.com/office/2007/relationships/slicerCache" Target="slicerCaches/slicerCache4.xml"/><Relationship Id="rId24" Type="http://schemas.microsoft.com/office/2007/relationships/slicerCache" Target="slicerCaches/slicerCache3.xml"/><Relationship Id="rId23" Type="http://schemas.microsoft.com/office/2007/relationships/slicerCache" Target="slicerCaches/slicerCache2.xml"/><Relationship Id="rId22" Type="http://schemas.microsoft.com/office/2007/relationships/slicerCache" Target="slicerCaches/slicerCache1.xml"/><Relationship Id="rId21" Type="http://schemas.openxmlformats.org/officeDocument/2006/relationships/pivotCacheDefinition" Target="pivotCache/pivotCacheDefinition6.xml"/><Relationship Id="rId20" Type="http://schemas.openxmlformats.org/officeDocument/2006/relationships/pivotCacheDefinition" Target="pivotCache/pivotCacheDefinition5.xml"/><Relationship Id="rId2" Type="http://schemas.openxmlformats.org/officeDocument/2006/relationships/worksheet" Target="worksheets/sheet2.xml"/><Relationship Id="rId19" Type="http://schemas.openxmlformats.org/officeDocument/2006/relationships/pivotCacheDefinition" Target="pivotCache/pivotCacheDefinition4.xml"/><Relationship Id="rId18" Type="http://schemas.openxmlformats.org/officeDocument/2006/relationships/pivotCacheDefinition" Target="pivotCache/pivotCacheDefinition3.xml"/><Relationship Id="rId17" Type="http://schemas.openxmlformats.org/officeDocument/2006/relationships/pivotCacheDefinition" Target="pivotCache/pivotCacheDefinition2.xml"/><Relationship Id="rId16" Type="http://schemas.openxmlformats.org/officeDocument/2006/relationships/pivotCacheDefinition" Target="pivotCache/pivotCacheDefinition1.xml"/><Relationship Id="rId15" Type="http://schemas.openxmlformats.org/officeDocument/2006/relationships/customXml" Target="../customXml/item3.xml"/><Relationship Id="rId14" Type="http://schemas.openxmlformats.org/officeDocument/2006/relationships/customXml" Target="../customXml/item2.xml"/><Relationship Id="rId13" Type="http://schemas.openxmlformats.org/officeDocument/2006/relationships/customXml" Target="../customXml/item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pt-BR" sz="1800" b="0" i="0" u="none" strike="noStrike" kern="1200" baseline="0">
                <a:solidFill>
                  <a:srgbClr val="757575"/>
                </a:solidFill>
                <a:latin typeface="+mn-lt"/>
                <a:ea typeface="+mn-ea"/>
                <a:cs typeface="+mn-cs"/>
              </a:defRPr>
            </a:pPr>
            <a:r>
              <a:rPr lang="en-US" b="0">
                <a:solidFill>
                  <a:srgbClr val="757575"/>
                </a:solidFill>
                <a:latin typeface="+mn-lt"/>
              </a:rPr>
              <a:t>Teleconsulta (efetivadas + não efetivadas)</a:t>
            </a:r>
            <a:endParaRPr lang="en-US" b="0">
              <a:solidFill>
                <a:srgbClr val="757575"/>
              </a:solidFill>
              <a:latin typeface="+mn-lt"/>
            </a:endParaRPr>
          </a:p>
        </c:rich>
      </c:tx>
      <c:layout/>
      <c:overlay val="0"/>
    </c:title>
    <c:autoTitleDeleted val="0"/>
    <c:plotArea>
      <c:layout/>
      <c:barChart>
        <c:barDir val="col"/>
        <c:grouping val="clustered"/>
        <c:varyColors val="1"/>
        <c:ser>
          <c:idx val="0"/>
          <c:order val="0"/>
          <c:spPr>
            <a:solidFill>
              <a:srgbClr val="4285F4"/>
            </a:solidFill>
            <a:ln cmpd="sng">
              <a:solidFill>
                <a:srgbClr val="000000"/>
              </a:solidFill>
            </a:ln>
          </c:spPr>
          <c:invertIfNegative val="1"/>
          <c:dPt>
            <c:idx val="0"/>
            <c:invertIfNegative val="1"/>
            <c:bubble3D val="0"/>
            <c:spPr>
              <a:solidFill>
                <a:srgbClr val="4285F4"/>
              </a:solidFill>
              <a:ln cmpd="sng">
                <a:solidFill>
                  <a:srgbClr val="000000"/>
                </a:solidFill>
              </a:ln>
            </c:spPr>
          </c:dPt>
          <c:dPt>
            <c:idx val="1"/>
            <c:invertIfNegative val="1"/>
            <c:bubble3D val="0"/>
            <c:spPr>
              <a:solidFill>
                <a:srgbClr val="4285F4"/>
              </a:solidFill>
              <a:ln cmpd="sng">
                <a:solidFill>
                  <a:srgbClr val="000000"/>
                </a:solidFill>
              </a:ln>
            </c:spPr>
          </c:dPt>
          <c:dPt>
            <c:idx val="2"/>
            <c:invertIfNegative val="1"/>
            <c:bubble3D val="0"/>
            <c:spPr>
              <a:solidFill>
                <a:srgbClr val="4285F4"/>
              </a:solidFill>
              <a:ln cmpd="sng">
                <a:solidFill>
                  <a:srgbClr val="000000"/>
                </a:solidFill>
              </a:ln>
            </c:spPr>
          </c:dPt>
          <c:dPt>
            <c:idx val="3"/>
            <c:invertIfNegative val="1"/>
            <c:bubble3D val="0"/>
            <c:spPr>
              <a:solidFill>
                <a:srgbClr val="4285F4"/>
              </a:solidFill>
              <a:ln cmpd="sng">
                <a:solidFill>
                  <a:srgbClr val="000000"/>
                </a:solidFill>
              </a:ln>
            </c:spPr>
          </c:dPt>
          <c:dPt>
            <c:idx val="4"/>
            <c:invertIfNegative val="1"/>
            <c:bubble3D val="0"/>
            <c:spPr>
              <a:solidFill>
                <a:srgbClr val="4285F4"/>
              </a:solidFill>
              <a:ln cmpd="sng">
                <a:solidFill>
                  <a:srgbClr val="000000"/>
                </a:solidFill>
              </a:ln>
            </c:spPr>
          </c:dPt>
          <c:dPt>
            <c:idx val="5"/>
            <c:invertIfNegative val="1"/>
            <c:bubble3D val="0"/>
            <c:spPr>
              <a:solidFill>
                <a:srgbClr val="4285F4"/>
              </a:solidFill>
              <a:ln cmpd="sng">
                <a:solidFill>
                  <a:srgbClr val="000000"/>
                </a:solidFill>
              </a:ln>
            </c:spPr>
          </c:dPt>
          <c:dPt>
            <c:idx val="6"/>
            <c:invertIfNegative val="1"/>
            <c:bubble3D val="0"/>
            <c:spPr>
              <a:solidFill>
                <a:srgbClr val="4285F4"/>
              </a:solidFill>
              <a:ln cmpd="sng">
                <a:solidFill>
                  <a:srgbClr val="000000"/>
                </a:solidFill>
              </a:ln>
            </c:spPr>
          </c:dPt>
          <c:dPt>
            <c:idx val="7"/>
            <c:invertIfNegative val="1"/>
            <c:bubble3D val="0"/>
            <c:spPr>
              <a:solidFill>
                <a:srgbClr val="4285F4"/>
              </a:solidFill>
              <a:ln cmpd="sng">
                <a:solidFill>
                  <a:srgbClr val="000000"/>
                </a:solidFill>
              </a:ln>
            </c:spPr>
          </c:dPt>
          <c:dPt>
            <c:idx val="8"/>
            <c:invertIfNegative val="1"/>
            <c:bubble3D val="0"/>
            <c:spPr>
              <a:solidFill>
                <a:srgbClr val="4285F4"/>
              </a:solidFill>
              <a:ln cmpd="sng">
                <a:solidFill>
                  <a:srgbClr val="000000"/>
                </a:solidFill>
              </a:ln>
            </c:spPr>
          </c:dPt>
          <c:dPt>
            <c:idx val="9"/>
            <c:invertIfNegative val="1"/>
            <c:bubble3D val="0"/>
            <c:spPr>
              <a:solidFill>
                <a:srgbClr val="4285F4"/>
              </a:solidFill>
              <a:ln cmpd="sng">
                <a:solidFill>
                  <a:srgbClr val="000000"/>
                </a:solidFill>
              </a:ln>
            </c:spPr>
          </c:dPt>
          <c:dPt>
            <c:idx val="10"/>
            <c:invertIfNegative val="1"/>
            <c:bubble3D val="0"/>
            <c:spPr>
              <a:solidFill>
                <a:srgbClr val="4285F4"/>
              </a:solidFill>
              <a:ln cmpd="sng">
                <a:solidFill>
                  <a:srgbClr val="000000"/>
                </a:solidFill>
              </a:ln>
            </c:spPr>
          </c:dPt>
          <c:dPt>
            <c:idx val="11"/>
            <c:invertIfNegative val="1"/>
            <c:bubble3D val="0"/>
            <c:spPr>
              <a:solidFill>
                <a:srgbClr val="4285F4"/>
              </a:solidFill>
              <a:ln cmpd="sng">
                <a:solidFill>
                  <a:srgbClr val="000000"/>
                </a:solidFill>
              </a:ln>
            </c:spPr>
          </c:dPt>
          <c:dPt>
            <c:idx val="12"/>
            <c:invertIfNegative val="1"/>
            <c:bubble3D val="0"/>
            <c:spPr>
              <a:solidFill>
                <a:srgbClr val="4285F4"/>
              </a:solidFill>
              <a:ln cmpd="sng">
                <a:solidFill>
                  <a:srgbClr val="000000"/>
                </a:solidFill>
              </a:ln>
            </c:spPr>
          </c:dPt>
          <c:dPt>
            <c:idx val="13"/>
            <c:invertIfNegative val="1"/>
            <c:bubble3D val="0"/>
            <c:spPr>
              <a:solidFill>
                <a:srgbClr val="4285F4"/>
              </a:solidFill>
              <a:ln cmpd="sng">
                <a:solidFill>
                  <a:srgbClr val="000000"/>
                </a:solidFill>
              </a:ln>
            </c:spPr>
          </c:dPt>
          <c:dPt>
            <c:idx val="14"/>
            <c:invertIfNegative val="1"/>
            <c:bubble3D val="0"/>
            <c:spPr>
              <a:solidFill>
                <a:srgbClr val="4285F4"/>
              </a:solidFill>
              <a:ln cmpd="sng">
                <a:solidFill>
                  <a:srgbClr val="000000"/>
                </a:solidFill>
              </a:ln>
            </c:spPr>
          </c:dPt>
          <c:dPt>
            <c:idx val="15"/>
            <c:invertIfNegative val="1"/>
            <c:bubble3D val="0"/>
            <c:spPr>
              <a:solidFill>
                <a:srgbClr val="4285F4"/>
              </a:solidFill>
              <a:ln cmpd="sng">
                <a:solidFill>
                  <a:srgbClr val="000000"/>
                </a:solidFill>
              </a:ln>
            </c:spPr>
          </c:dPt>
          <c:dPt>
            <c:idx val="16"/>
            <c:invertIfNegative val="1"/>
            <c:bubble3D val="0"/>
            <c:spPr>
              <a:solidFill>
                <a:srgbClr val="4285F4"/>
              </a:solidFill>
              <a:ln cmpd="sng">
                <a:solidFill>
                  <a:srgbClr val="000000"/>
                </a:solidFill>
              </a:ln>
            </c:spPr>
          </c:dPt>
          <c:dPt>
            <c:idx val="17"/>
            <c:invertIfNegative val="1"/>
            <c:bubble3D val="0"/>
            <c:spPr>
              <a:solidFill>
                <a:srgbClr val="4285F4"/>
              </a:solidFill>
              <a:ln cmpd="sng">
                <a:solidFill>
                  <a:srgbClr val="000000"/>
                </a:solidFill>
              </a:ln>
            </c:spPr>
          </c:dPt>
          <c:dPt>
            <c:idx val="18"/>
            <c:invertIfNegative val="1"/>
            <c:bubble3D val="0"/>
            <c:spPr>
              <a:solidFill>
                <a:srgbClr val="4285F4"/>
              </a:solidFill>
              <a:ln cmpd="sng">
                <a:solidFill>
                  <a:srgbClr val="000000"/>
                </a:solidFill>
              </a:ln>
            </c:spPr>
          </c:dPt>
          <c:dPt>
            <c:idx val="19"/>
            <c:invertIfNegative val="1"/>
            <c:bubble3D val="0"/>
            <c:spPr>
              <a:solidFill>
                <a:srgbClr val="4285F4"/>
              </a:solidFill>
              <a:ln cmpd="sng">
                <a:solidFill>
                  <a:srgbClr val="000000"/>
                </a:solidFill>
              </a:ln>
            </c:spPr>
          </c:dPt>
          <c:dPt>
            <c:idx val="20"/>
            <c:invertIfNegative val="1"/>
            <c:bubble3D val="0"/>
            <c:spPr>
              <a:solidFill>
                <a:srgbClr val="4285F4"/>
              </a:solidFill>
              <a:ln cmpd="sng">
                <a:solidFill>
                  <a:srgbClr val="000000"/>
                </a:solidFill>
              </a:ln>
            </c:spPr>
          </c:dPt>
          <c:dPt>
            <c:idx val="21"/>
            <c:invertIfNegative val="1"/>
            <c:bubble3D val="0"/>
            <c:spPr>
              <a:solidFill>
                <a:srgbClr val="4285F4"/>
              </a:solidFill>
              <a:ln cmpd="sng">
                <a:solidFill>
                  <a:srgbClr val="000000"/>
                </a:solidFill>
              </a:ln>
            </c:spPr>
          </c:dPt>
          <c:dPt>
            <c:idx val="22"/>
            <c:invertIfNegative val="1"/>
            <c:bubble3D val="0"/>
            <c:spPr>
              <a:solidFill>
                <a:srgbClr val="4285F4"/>
              </a:solidFill>
              <a:ln cmpd="sng">
                <a:solidFill>
                  <a:srgbClr val="000000"/>
                </a:solidFill>
              </a:ln>
            </c:spPr>
          </c:dPt>
          <c:dPt>
            <c:idx val="23"/>
            <c:invertIfNegative val="1"/>
            <c:bubble3D val="0"/>
            <c:spPr>
              <a:solidFill>
                <a:srgbClr val="4285F4"/>
              </a:solidFill>
              <a:ln cmpd="sng">
                <a:solidFill>
                  <a:srgbClr val="000000"/>
                </a:solidFill>
              </a:ln>
            </c:spPr>
          </c:dPt>
          <c:dPt>
            <c:idx val="24"/>
            <c:invertIfNegative val="1"/>
            <c:bubble3D val="0"/>
            <c:spPr>
              <a:solidFill>
                <a:srgbClr val="4285F4"/>
              </a:solidFill>
              <a:ln cmpd="sng">
                <a:solidFill>
                  <a:srgbClr val="000000"/>
                </a:solidFill>
              </a:ln>
            </c:spPr>
          </c:dPt>
          <c:dPt>
            <c:idx val="25"/>
            <c:invertIfNegative val="1"/>
            <c:bubble3D val="0"/>
            <c:spPr>
              <a:solidFill>
                <a:srgbClr val="4285F4"/>
              </a:solidFill>
              <a:ln cmpd="sng">
                <a:solidFill>
                  <a:srgbClr val="000000"/>
                </a:solidFill>
              </a:ln>
            </c:spPr>
          </c:dPt>
          <c:dPt>
            <c:idx val="26"/>
            <c:invertIfNegative val="1"/>
            <c:bubble3D val="0"/>
            <c:spPr>
              <a:solidFill>
                <a:srgbClr val="4285F4"/>
              </a:solidFill>
              <a:ln cmpd="sng">
                <a:solidFill>
                  <a:srgbClr val="000000"/>
                </a:solidFill>
              </a:ln>
            </c:spPr>
          </c:dPt>
          <c:dPt>
            <c:idx val="27"/>
            <c:invertIfNegative val="1"/>
            <c:bubble3D val="0"/>
            <c:spPr>
              <a:solidFill>
                <a:srgbClr val="4285F4"/>
              </a:solidFill>
              <a:ln cmpd="sng">
                <a:solidFill>
                  <a:srgbClr val="000000"/>
                </a:solidFill>
              </a:ln>
            </c:spPr>
          </c:dPt>
          <c:dPt>
            <c:idx val="28"/>
            <c:invertIfNegative val="1"/>
            <c:bubble3D val="0"/>
            <c:spPr>
              <a:solidFill>
                <a:srgbClr val="4285F4"/>
              </a:solidFill>
              <a:ln cmpd="sng">
                <a:solidFill>
                  <a:srgbClr val="000000"/>
                </a:solidFill>
              </a:ln>
            </c:spPr>
          </c:dPt>
          <c:dPt>
            <c:idx val="29"/>
            <c:invertIfNegative val="1"/>
            <c:bubble3D val="0"/>
            <c:spPr>
              <a:solidFill>
                <a:srgbClr val="4285F4"/>
              </a:solidFill>
              <a:ln cmpd="sng">
                <a:solidFill>
                  <a:srgbClr val="000000"/>
                </a:solidFill>
              </a:ln>
            </c:spPr>
          </c:dPt>
          <c:dPt>
            <c:idx val="30"/>
            <c:invertIfNegative val="1"/>
            <c:bubble3D val="0"/>
            <c:spPr>
              <a:solidFill>
                <a:srgbClr val="4285F4"/>
              </a:solidFill>
              <a:ln cmpd="sng">
                <a:solidFill>
                  <a:srgbClr val="000000"/>
                </a:solidFill>
              </a:ln>
            </c:spPr>
          </c:dPt>
          <c:dPt>
            <c:idx val="31"/>
            <c:invertIfNegative val="1"/>
            <c:bubble3D val="0"/>
            <c:spPr>
              <a:solidFill>
                <a:srgbClr val="4285F4"/>
              </a:solidFill>
              <a:ln cmpd="sng">
                <a:solidFill>
                  <a:srgbClr val="000000"/>
                </a:solidFill>
              </a:ln>
            </c:spPr>
          </c:dPt>
          <c:dPt>
            <c:idx val="32"/>
            <c:invertIfNegative val="1"/>
            <c:bubble3D val="0"/>
            <c:spPr>
              <a:solidFill>
                <a:srgbClr val="4285F4"/>
              </a:solidFill>
              <a:ln cmpd="sng">
                <a:solidFill>
                  <a:srgbClr val="000000"/>
                </a:solidFill>
              </a:ln>
            </c:spPr>
          </c:dPt>
          <c:dPt>
            <c:idx val="33"/>
            <c:invertIfNegative val="1"/>
            <c:bubble3D val="0"/>
            <c:spPr>
              <a:solidFill>
                <a:srgbClr val="4285F4"/>
              </a:solidFill>
              <a:ln cmpd="sng">
                <a:solidFill>
                  <a:srgbClr val="000000"/>
                </a:solidFill>
              </a:ln>
            </c:spPr>
          </c:dPt>
          <c:dPt>
            <c:idx val="34"/>
            <c:invertIfNegative val="1"/>
            <c:bubble3D val="0"/>
            <c:spPr>
              <a:solidFill>
                <a:srgbClr val="4285F4"/>
              </a:solidFill>
              <a:ln cmpd="sng">
                <a:solidFill>
                  <a:srgbClr val="000000"/>
                </a:solidFill>
              </a:ln>
            </c:spPr>
          </c:dPt>
          <c:dPt>
            <c:idx val="35"/>
            <c:invertIfNegative val="1"/>
            <c:bubble3D val="0"/>
            <c:spPr>
              <a:solidFill>
                <a:srgbClr val="4285F4"/>
              </a:solidFill>
              <a:ln cmpd="sng">
                <a:solidFill>
                  <a:srgbClr val="000000"/>
                </a:solidFill>
              </a:ln>
            </c:spPr>
          </c:dPt>
          <c:dPt>
            <c:idx val="36"/>
            <c:invertIfNegative val="1"/>
            <c:bubble3D val="0"/>
            <c:spPr>
              <a:solidFill>
                <a:srgbClr val="4285F4"/>
              </a:solidFill>
              <a:ln cmpd="sng">
                <a:solidFill>
                  <a:srgbClr val="000000"/>
                </a:solidFill>
              </a:ln>
            </c:spPr>
          </c:dPt>
          <c:dPt>
            <c:idx val="37"/>
            <c:invertIfNegative val="1"/>
            <c:bubble3D val="0"/>
            <c:spPr>
              <a:solidFill>
                <a:srgbClr val="4285F4"/>
              </a:solidFill>
              <a:ln cmpd="sng">
                <a:solidFill>
                  <a:srgbClr val="000000"/>
                </a:solidFill>
              </a:ln>
            </c:spPr>
          </c:dPt>
          <c:dPt>
            <c:idx val="38"/>
            <c:invertIfNegative val="1"/>
            <c:bubble3D val="0"/>
            <c:spPr>
              <a:solidFill>
                <a:srgbClr val="4285F4"/>
              </a:solidFill>
              <a:ln cmpd="sng">
                <a:solidFill>
                  <a:srgbClr val="000000"/>
                </a:solidFill>
              </a:ln>
            </c:spPr>
          </c:dPt>
          <c:dPt>
            <c:idx val="39"/>
            <c:invertIfNegative val="1"/>
            <c:bubble3D val="0"/>
            <c:spPr>
              <a:solidFill>
                <a:srgbClr val="4285F4"/>
              </a:solidFill>
              <a:ln cmpd="sng">
                <a:solidFill>
                  <a:srgbClr val="000000"/>
                </a:solidFill>
              </a:ln>
            </c:spPr>
          </c:dPt>
          <c:dPt>
            <c:idx val="40"/>
            <c:invertIfNegative val="1"/>
            <c:bubble3D val="0"/>
            <c:spPr>
              <a:solidFill>
                <a:srgbClr val="4285F4"/>
              </a:solidFill>
              <a:ln cmpd="sng">
                <a:solidFill>
                  <a:srgbClr val="000000"/>
                </a:solidFill>
              </a:ln>
            </c:spPr>
          </c:dPt>
          <c:dPt>
            <c:idx val="41"/>
            <c:invertIfNegative val="1"/>
            <c:bubble3D val="0"/>
            <c:spPr>
              <a:solidFill>
                <a:srgbClr val="4285F4"/>
              </a:solidFill>
              <a:ln cmpd="sng">
                <a:solidFill>
                  <a:srgbClr val="000000"/>
                </a:solidFill>
              </a:ln>
            </c:spPr>
          </c:dPt>
          <c:dPt>
            <c:idx val="42"/>
            <c:invertIfNegative val="1"/>
            <c:bubble3D val="0"/>
            <c:spPr>
              <a:solidFill>
                <a:srgbClr val="4285F4"/>
              </a:solidFill>
              <a:ln cmpd="sng">
                <a:solidFill>
                  <a:srgbClr val="000000"/>
                </a:solidFill>
              </a:ln>
            </c:spPr>
          </c:dPt>
          <c:dPt>
            <c:idx val="43"/>
            <c:invertIfNegative val="1"/>
            <c:bubble3D val="0"/>
            <c:spPr>
              <a:solidFill>
                <a:srgbClr val="4285F4"/>
              </a:solidFill>
              <a:ln cmpd="sng">
                <a:solidFill>
                  <a:srgbClr val="000000"/>
                </a:solidFill>
              </a:ln>
            </c:spPr>
          </c:dPt>
          <c:dPt>
            <c:idx val="44"/>
            <c:invertIfNegative val="1"/>
            <c:bubble3D val="0"/>
            <c:spPr>
              <a:solidFill>
                <a:srgbClr val="4285F4"/>
              </a:solidFill>
              <a:ln cmpd="sng">
                <a:solidFill>
                  <a:srgbClr val="000000"/>
                </a:solidFill>
              </a:ln>
            </c:spPr>
          </c:dPt>
          <c:dPt>
            <c:idx val="45"/>
            <c:invertIfNegative val="1"/>
            <c:bubble3D val="0"/>
            <c:spPr>
              <a:solidFill>
                <a:srgbClr val="4285F4"/>
              </a:solidFill>
              <a:ln cmpd="sng">
                <a:solidFill>
                  <a:srgbClr val="000000"/>
                </a:solidFill>
              </a:ln>
            </c:spPr>
          </c:dPt>
          <c:dPt>
            <c:idx val="46"/>
            <c:invertIfNegative val="1"/>
            <c:bubble3D val="0"/>
            <c:spPr>
              <a:solidFill>
                <a:srgbClr val="4285F4"/>
              </a:solidFill>
              <a:ln cmpd="sng">
                <a:solidFill>
                  <a:srgbClr val="000000"/>
                </a:solidFill>
              </a:ln>
            </c:spPr>
          </c:dPt>
          <c:dPt>
            <c:idx val="47"/>
            <c:invertIfNegative val="1"/>
            <c:bubble3D val="0"/>
            <c:spPr>
              <a:solidFill>
                <a:srgbClr val="4285F4"/>
              </a:solidFill>
              <a:ln cmpd="sng">
                <a:solidFill>
                  <a:srgbClr val="000000"/>
                </a:solidFill>
              </a:ln>
            </c:spPr>
          </c:dPt>
          <c:dPt>
            <c:idx val="48"/>
            <c:invertIfNegative val="1"/>
            <c:bubble3D val="0"/>
            <c:spPr>
              <a:solidFill>
                <a:srgbClr val="4285F4"/>
              </a:solidFill>
              <a:ln cmpd="sng">
                <a:solidFill>
                  <a:srgbClr val="000000"/>
                </a:solidFill>
              </a:ln>
            </c:spPr>
          </c:dPt>
          <c:dPt>
            <c:idx val="49"/>
            <c:invertIfNegative val="1"/>
            <c:bubble3D val="0"/>
            <c:spPr>
              <a:solidFill>
                <a:srgbClr val="4285F4"/>
              </a:solidFill>
              <a:ln cmpd="sng">
                <a:solidFill>
                  <a:srgbClr val="000000"/>
                </a:solidFill>
              </a:ln>
            </c:spPr>
          </c:dPt>
          <c:dPt>
            <c:idx val="50"/>
            <c:invertIfNegative val="1"/>
            <c:bubble3D val="0"/>
            <c:spPr>
              <a:solidFill>
                <a:srgbClr val="4285F4"/>
              </a:solidFill>
              <a:ln cmpd="sng">
                <a:solidFill>
                  <a:srgbClr val="000000"/>
                </a:solidFill>
              </a:ln>
            </c:spPr>
          </c:dPt>
          <c:dPt>
            <c:idx val="51"/>
            <c:invertIfNegative val="1"/>
            <c:bubble3D val="0"/>
            <c:spPr>
              <a:solidFill>
                <a:srgbClr val="4285F4"/>
              </a:solidFill>
              <a:ln cmpd="sng">
                <a:solidFill>
                  <a:srgbClr val="000000"/>
                </a:solidFill>
              </a:ln>
            </c:spPr>
          </c:dPt>
          <c:dPt>
            <c:idx val="52"/>
            <c:invertIfNegative val="1"/>
            <c:bubble3D val="0"/>
            <c:spPr>
              <a:solidFill>
                <a:srgbClr val="4285F4"/>
              </a:solidFill>
              <a:ln cmpd="sng">
                <a:solidFill>
                  <a:srgbClr val="000000"/>
                </a:solidFill>
              </a:ln>
            </c:spPr>
          </c:dPt>
          <c:dPt>
            <c:idx val="53"/>
            <c:invertIfNegative val="1"/>
            <c:bubble3D val="0"/>
            <c:spPr>
              <a:solidFill>
                <a:srgbClr val="4285F4"/>
              </a:solidFill>
              <a:ln cmpd="sng">
                <a:solidFill>
                  <a:srgbClr val="000000"/>
                </a:solidFill>
              </a:ln>
            </c:spPr>
          </c:dPt>
          <c:dPt>
            <c:idx val="54"/>
            <c:invertIfNegative val="1"/>
            <c:bubble3D val="0"/>
            <c:spPr>
              <a:solidFill>
                <a:srgbClr val="4285F4"/>
              </a:solidFill>
              <a:ln cmpd="sng">
                <a:solidFill>
                  <a:srgbClr val="000000"/>
                </a:solidFill>
              </a:ln>
            </c:spPr>
          </c:dPt>
          <c:dPt>
            <c:idx val="55"/>
            <c:invertIfNegative val="1"/>
            <c:bubble3D val="0"/>
            <c:spPr>
              <a:solidFill>
                <a:srgbClr val="4285F4"/>
              </a:solidFill>
              <a:ln cmpd="sng">
                <a:solidFill>
                  <a:srgbClr val="000000"/>
                </a:solidFill>
              </a:ln>
            </c:spPr>
          </c:dPt>
          <c:dPt>
            <c:idx val="56"/>
            <c:invertIfNegative val="1"/>
            <c:bubble3D val="0"/>
            <c:spPr>
              <a:solidFill>
                <a:srgbClr val="4285F4"/>
              </a:solidFill>
              <a:ln cmpd="sng">
                <a:solidFill>
                  <a:srgbClr val="000000"/>
                </a:solidFill>
              </a:ln>
            </c:spPr>
          </c:dPt>
          <c:dPt>
            <c:idx val="57"/>
            <c:invertIfNegative val="1"/>
            <c:bubble3D val="0"/>
            <c:spPr>
              <a:solidFill>
                <a:srgbClr val="4285F4"/>
              </a:solidFill>
              <a:ln cmpd="sng">
                <a:solidFill>
                  <a:srgbClr val="000000"/>
                </a:solidFill>
              </a:ln>
            </c:spPr>
          </c:dPt>
          <c:dPt>
            <c:idx val="58"/>
            <c:invertIfNegative val="1"/>
            <c:bubble3D val="0"/>
            <c:spPr>
              <a:solidFill>
                <a:srgbClr val="4285F4"/>
              </a:solidFill>
              <a:ln cmpd="sng">
                <a:solidFill>
                  <a:srgbClr val="000000"/>
                </a:solidFill>
              </a:ln>
            </c:spPr>
          </c:dPt>
          <c:dPt>
            <c:idx val="59"/>
            <c:invertIfNegative val="1"/>
            <c:bubble3D val="0"/>
            <c:spPr>
              <a:solidFill>
                <a:srgbClr val="4285F4"/>
              </a:solidFill>
              <a:ln cmpd="sng">
                <a:solidFill>
                  <a:srgbClr val="000000"/>
                </a:solidFill>
              </a:ln>
            </c:spPr>
          </c:dPt>
          <c:dPt>
            <c:idx val="60"/>
            <c:invertIfNegative val="1"/>
            <c:bubble3D val="0"/>
            <c:spPr>
              <a:solidFill>
                <a:srgbClr val="4285F4"/>
              </a:solidFill>
              <a:ln cmpd="sng">
                <a:solidFill>
                  <a:srgbClr val="000000"/>
                </a:solidFill>
              </a:ln>
            </c:spPr>
          </c:dPt>
          <c:dPt>
            <c:idx val="61"/>
            <c:invertIfNegative val="1"/>
            <c:bubble3D val="0"/>
            <c:spPr>
              <a:solidFill>
                <a:srgbClr val="4285F4"/>
              </a:solidFill>
              <a:ln cmpd="sng">
                <a:solidFill>
                  <a:srgbClr val="000000"/>
                </a:solidFill>
              </a:ln>
            </c:spPr>
          </c:dPt>
          <c:dPt>
            <c:idx val="62"/>
            <c:invertIfNegative val="1"/>
            <c:bubble3D val="0"/>
            <c:spPr>
              <a:solidFill>
                <a:srgbClr val="4285F4"/>
              </a:solidFill>
              <a:ln cmpd="sng">
                <a:solidFill>
                  <a:srgbClr val="000000"/>
                </a:solidFill>
              </a:ln>
            </c:spPr>
          </c:dPt>
          <c:dPt>
            <c:idx val="63"/>
            <c:invertIfNegative val="1"/>
            <c:bubble3D val="0"/>
            <c:spPr>
              <a:solidFill>
                <a:srgbClr val="4285F4"/>
              </a:solidFill>
              <a:ln cmpd="sng">
                <a:solidFill>
                  <a:srgbClr val="000000"/>
                </a:solidFill>
              </a:ln>
            </c:spPr>
          </c:dPt>
          <c:dPt>
            <c:idx val="64"/>
            <c:invertIfNegative val="1"/>
            <c:bubble3D val="0"/>
            <c:spPr>
              <a:solidFill>
                <a:srgbClr val="4285F4"/>
              </a:solidFill>
              <a:ln cmpd="sng">
                <a:solidFill>
                  <a:srgbClr val="000000"/>
                </a:solidFill>
              </a:ln>
            </c:spPr>
          </c:dPt>
          <c:dPt>
            <c:idx val="65"/>
            <c:invertIfNegative val="1"/>
            <c:bubble3D val="0"/>
            <c:spPr>
              <a:solidFill>
                <a:srgbClr val="4285F4"/>
              </a:solidFill>
              <a:ln cmpd="sng">
                <a:solidFill>
                  <a:srgbClr val="000000"/>
                </a:solidFill>
              </a:ln>
            </c:spPr>
          </c:dPt>
          <c:dPt>
            <c:idx val="66"/>
            <c:invertIfNegative val="1"/>
            <c:bubble3D val="0"/>
            <c:spPr>
              <a:solidFill>
                <a:srgbClr val="4285F4"/>
              </a:solidFill>
              <a:ln cmpd="sng">
                <a:solidFill>
                  <a:srgbClr val="000000"/>
                </a:solidFill>
              </a:ln>
            </c:spPr>
          </c:dPt>
          <c:dPt>
            <c:idx val="67"/>
            <c:invertIfNegative val="1"/>
            <c:bubble3D val="0"/>
            <c:spPr>
              <a:solidFill>
                <a:srgbClr val="4285F4"/>
              </a:solidFill>
              <a:ln cmpd="sng">
                <a:solidFill>
                  <a:srgbClr val="000000"/>
                </a:solidFill>
              </a:ln>
            </c:spPr>
          </c:dPt>
          <c:dPt>
            <c:idx val="68"/>
            <c:invertIfNegative val="1"/>
            <c:bubble3D val="0"/>
            <c:spPr>
              <a:solidFill>
                <a:srgbClr val="4285F4"/>
              </a:solidFill>
              <a:ln cmpd="sng">
                <a:solidFill>
                  <a:srgbClr val="000000"/>
                </a:solidFill>
              </a:ln>
            </c:spPr>
          </c:dPt>
          <c:dPt>
            <c:idx val="69"/>
            <c:invertIfNegative val="1"/>
            <c:bubble3D val="0"/>
            <c:spPr>
              <a:solidFill>
                <a:srgbClr val="4285F4"/>
              </a:solidFill>
              <a:ln cmpd="sng">
                <a:solidFill>
                  <a:srgbClr val="000000"/>
                </a:solidFill>
              </a:ln>
            </c:spPr>
          </c:dPt>
          <c:dPt>
            <c:idx val="70"/>
            <c:invertIfNegative val="1"/>
            <c:bubble3D val="0"/>
            <c:spPr>
              <a:solidFill>
                <a:srgbClr val="4285F4"/>
              </a:solidFill>
              <a:ln cmpd="sng">
                <a:solidFill>
                  <a:srgbClr val="000000"/>
                </a:solidFill>
              </a:ln>
            </c:spPr>
          </c:dPt>
          <c:dPt>
            <c:idx val="71"/>
            <c:invertIfNegative val="1"/>
            <c:bubble3D val="0"/>
            <c:spPr>
              <a:solidFill>
                <a:srgbClr val="4285F4"/>
              </a:solidFill>
              <a:ln cmpd="sng">
                <a:solidFill>
                  <a:srgbClr val="000000"/>
                </a:solidFill>
              </a:ln>
            </c:spPr>
          </c:dPt>
          <c:dPt>
            <c:idx val="72"/>
            <c:invertIfNegative val="1"/>
            <c:bubble3D val="0"/>
            <c:spPr>
              <a:solidFill>
                <a:srgbClr val="4285F4"/>
              </a:solidFill>
              <a:ln cmpd="sng">
                <a:solidFill>
                  <a:srgbClr val="000000"/>
                </a:solidFill>
              </a:ln>
            </c:spPr>
          </c:dPt>
          <c:dPt>
            <c:idx val="73"/>
            <c:invertIfNegative val="1"/>
            <c:bubble3D val="0"/>
            <c:spPr>
              <a:solidFill>
                <a:srgbClr val="4285F4"/>
              </a:solidFill>
              <a:ln cmpd="sng">
                <a:solidFill>
                  <a:srgbClr val="000000"/>
                </a:solidFill>
              </a:ln>
            </c:spPr>
          </c:dPt>
          <c:dPt>
            <c:idx val="74"/>
            <c:invertIfNegative val="1"/>
            <c:bubble3D val="0"/>
            <c:spPr>
              <a:solidFill>
                <a:srgbClr val="4285F4"/>
              </a:solidFill>
              <a:ln cmpd="sng">
                <a:solidFill>
                  <a:srgbClr val="000000"/>
                </a:solidFill>
              </a:ln>
            </c:spPr>
          </c:dPt>
          <c:dPt>
            <c:idx val="75"/>
            <c:invertIfNegative val="1"/>
            <c:bubble3D val="0"/>
            <c:spPr>
              <a:solidFill>
                <a:srgbClr val="4285F4"/>
              </a:solidFill>
              <a:ln cmpd="sng">
                <a:solidFill>
                  <a:srgbClr val="000000"/>
                </a:solidFill>
              </a:ln>
            </c:spPr>
          </c:dPt>
          <c:dPt>
            <c:idx val="76"/>
            <c:invertIfNegative val="1"/>
            <c:bubble3D val="0"/>
            <c:spPr>
              <a:solidFill>
                <a:srgbClr val="4285F4"/>
              </a:solidFill>
              <a:ln cmpd="sng">
                <a:solidFill>
                  <a:srgbClr val="000000"/>
                </a:solidFill>
              </a:ln>
            </c:spPr>
          </c:dPt>
          <c:dPt>
            <c:idx val="77"/>
            <c:invertIfNegative val="1"/>
            <c:bubble3D val="0"/>
            <c:spPr>
              <a:solidFill>
                <a:srgbClr val="4285F4"/>
              </a:solidFill>
              <a:ln cmpd="sng">
                <a:solidFill>
                  <a:srgbClr val="000000"/>
                </a:solidFill>
              </a:ln>
            </c:spPr>
          </c:dPt>
          <c:dPt>
            <c:idx val="78"/>
            <c:invertIfNegative val="1"/>
            <c:bubble3D val="0"/>
            <c:spPr>
              <a:solidFill>
                <a:srgbClr val="4285F4"/>
              </a:solidFill>
              <a:ln cmpd="sng">
                <a:solidFill>
                  <a:srgbClr val="000000"/>
                </a:solidFill>
              </a:ln>
            </c:spPr>
          </c:dPt>
          <c:dPt>
            <c:idx val="79"/>
            <c:invertIfNegative val="1"/>
            <c:bubble3D val="0"/>
            <c:spPr>
              <a:solidFill>
                <a:srgbClr val="4285F4"/>
              </a:solidFill>
              <a:ln cmpd="sng">
                <a:solidFill>
                  <a:srgbClr val="000000"/>
                </a:solidFill>
              </a:ln>
            </c:spPr>
          </c:dPt>
          <c:dPt>
            <c:idx val="80"/>
            <c:invertIfNegative val="1"/>
            <c:bubble3D val="0"/>
            <c:spPr>
              <a:solidFill>
                <a:srgbClr val="4285F4"/>
              </a:solidFill>
              <a:ln cmpd="sng">
                <a:solidFill>
                  <a:srgbClr val="000000"/>
                </a:solidFill>
              </a:ln>
            </c:spPr>
          </c:dPt>
          <c:dPt>
            <c:idx val="81"/>
            <c:invertIfNegative val="1"/>
            <c:bubble3D val="0"/>
            <c:spPr>
              <a:solidFill>
                <a:srgbClr val="4285F4"/>
              </a:solidFill>
              <a:ln cmpd="sng">
                <a:solidFill>
                  <a:srgbClr val="000000"/>
                </a:solidFill>
              </a:ln>
            </c:spPr>
          </c:dPt>
          <c:dPt>
            <c:idx val="82"/>
            <c:invertIfNegative val="1"/>
            <c:bubble3D val="0"/>
            <c:spPr>
              <a:solidFill>
                <a:srgbClr val="4285F4"/>
              </a:solidFill>
              <a:ln cmpd="sng">
                <a:solidFill>
                  <a:srgbClr val="000000"/>
                </a:solidFill>
              </a:ln>
            </c:spPr>
          </c:dPt>
          <c:dPt>
            <c:idx val="83"/>
            <c:invertIfNegative val="1"/>
            <c:bubble3D val="0"/>
            <c:spPr>
              <a:solidFill>
                <a:srgbClr val="4285F4"/>
              </a:solidFill>
              <a:ln cmpd="sng">
                <a:solidFill>
                  <a:srgbClr val="000000"/>
                </a:solidFill>
              </a:ln>
            </c:spPr>
          </c:dPt>
          <c:dPt>
            <c:idx val="84"/>
            <c:invertIfNegative val="1"/>
            <c:bubble3D val="0"/>
            <c:spPr>
              <a:solidFill>
                <a:srgbClr val="4285F4"/>
              </a:solidFill>
              <a:ln cmpd="sng">
                <a:solidFill>
                  <a:srgbClr val="000000"/>
                </a:solidFill>
              </a:ln>
            </c:spPr>
          </c:dPt>
          <c:dPt>
            <c:idx val="85"/>
            <c:invertIfNegative val="1"/>
            <c:bubble3D val="0"/>
            <c:spPr>
              <a:solidFill>
                <a:srgbClr val="4285F4"/>
              </a:solidFill>
              <a:ln cmpd="sng">
                <a:solidFill>
                  <a:srgbClr val="000000"/>
                </a:solidFill>
              </a:ln>
            </c:spPr>
          </c:dPt>
          <c:dPt>
            <c:idx val="86"/>
            <c:invertIfNegative val="1"/>
            <c:bubble3D val="0"/>
            <c:spPr>
              <a:solidFill>
                <a:srgbClr val="4285F4"/>
              </a:solidFill>
              <a:ln cmpd="sng">
                <a:solidFill>
                  <a:srgbClr val="000000"/>
                </a:solidFill>
              </a:ln>
            </c:spPr>
          </c:dPt>
          <c:dPt>
            <c:idx val="87"/>
            <c:invertIfNegative val="1"/>
            <c:bubble3D val="0"/>
            <c:spPr>
              <a:solidFill>
                <a:srgbClr val="4285F4"/>
              </a:solidFill>
              <a:ln cmpd="sng">
                <a:solidFill>
                  <a:srgbClr val="000000"/>
                </a:solidFill>
              </a:ln>
            </c:spPr>
          </c:dPt>
          <c:dPt>
            <c:idx val="88"/>
            <c:invertIfNegative val="1"/>
            <c:bubble3D val="0"/>
            <c:spPr>
              <a:solidFill>
                <a:srgbClr val="4285F4"/>
              </a:solidFill>
              <a:ln cmpd="sng">
                <a:solidFill>
                  <a:srgbClr val="000000"/>
                </a:solidFill>
              </a:ln>
            </c:spPr>
          </c:dPt>
          <c:dPt>
            <c:idx val="89"/>
            <c:invertIfNegative val="1"/>
            <c:bubble3D val="0"/>
            <c:spPr>
              <a:solidFill>
                <a:srgbClr val="4285F4"/>
              </a:solidFill>
              <a:ln cmpd="sng">
                <a:solidFill>
                  <a:srgbClr val="000000"/>
                </a:solidFill>
              </a:ln>
            </c:spPr>
          </c:dPt>
          <c:dPt>
            <c:idx val="90"/>
            <c:invertIfNegative val="1"/>
            <c:bubble3D val="0"/>
            <c:spPr>
              <a:solidFill>
                <a:srgbClr val="4285F4"/>
              </a:solidFill>
              <a:ln cmpd="sng">
                <a:solidFill>
                  <a:srgbClr val="000000"/>
                </a:solidFill>
              </a:ln>
            </c:spPr>
          </c:dPt>
          <c:dPt>
            <c:idx val="91"/>
            <c:invertIfNegative val="1"/>
            <c:bubble3D val="0"/>
            <c:spPr>
              <a:solidFill>
                <a:srgbClr val="4285F4"/>
              </a:solidFill>
              <a:ln cmpd="sng">
                <a:solidFill>
                  <a:srgbClr val="000000"/>
                </a:solidFill>
              </a:ln>
            </c:spPr>
          </c:dPt>
          <c:dPt>
            <c:idx val="92"/>
            <c:invertIfNegative val="1"/>
            <c:bubble3D val="0"/>
            <c:spPr>
              <a:solidFill>
                <a:srgbClr val="4285F4"/>
              </a:solidFill>
              <a:ln cmpd="sng">
                <a:solidFill>
                  <a:srgbClr val="000000"/>
                </a:solidFill>
              </a:ln>
            </c:spPr>
          </c:dPt>
          <c:dPt>
            <c:idx val="93"/>
            <c:invertIfNegative val="1"/>
            <c:bubble3D val="0"/>
            <c:spPr>
              <a:solidFill>
                <a:srgbClr val="4285F4"/>
              </a:solidFill>
              <a:ln cmpd="sng">
                <a:solidFill>
                  <a:srgbClr val="000000"/>
                </a:solidFill>
              </a:ln>
            </c:spPr>
          </c:dPt>
          <c:dPt>
            <c:idx val="94"/>
            <c:invertIfNegative val="1"/>
            <c:bubble3D val="0"/>
            <c:spPr>
              <a:solidFill>
                <a:srgbClr val="4285F4"/>
              </a:solidFill>
              <a:ln cmpd="sng">
                <a:solidFill>
                  <a:srgbClr val="000000"/>
                </a:solidFill>
              </a:ln>
            </c:spPr>
          </c:dPt>
          <c:dPt>
            <c:idx val="95"/>
            <c:invertIfNegative val="1"/>
            <c:bubble3D val="0"/>
            <c:spPr>
              <a:solidFill>
                <a:srgbClr val="4285F4"/>
              </a:solidFill>
              <a:ln cmpd="sng">
                <a:solidFill>
                  <a:srgbClr val="000000"/>
                </a:solidFill>
              </a:ln>
            </c:spPr>
          </c:dPt>
          <c:dPt>
            <c:idx val="96"/>
            <c:invertIfNegative val="1"/>
            <c:bubble3D val="0"/>
            <c:spPr>
              <a:solidFill>
                <a:srgbClr val="4285F4"/>
              </a:solidFill>
              <a:ln cmpd="sng">
                <a:solidFill>
                  <a:srgbClr val="000000"/>
                </a:solidFill>
              </a:ln>
            </c:spPr>
          </c:dPt>
          <c:dPt>
            <c:idx val="97"/>
            <c:invertIfNegative val="1"/>
            <c:bubble3D val="0"/>
            <c:spPr>
              <a:solidFill>
                <a:srgbClr val="4285F4"/>
              </a:solidFill>
              <a:ln cmpd="sng">
                <a:solidFill>
                  <a:srgbClr val="000000"/>
                </a:solidFill>
              </a:ln>
            </c:spPr>
          </c:dPt>
          <c:dPt>
            <c:idx val="98"/>
            <c:invertIfNegative val="1"/>
            <c:bubble3D val="0"/>
            <c:spPr>
              <a:solidFill>
                <a:srgbClr val="4285F4"/>
              </a:solidFill>
              <a:ln cmpd="sng">
                <a:solidFill>
                  <a:srgbClr val="000000"/>
                </a:solidFill>
              </a:ln>
            </c:spPr>
          </c:dPt>
          <c:dPt>
            <c:idx val="99"/>
            <c:invertIfNegative val="1"/>
            <c:bubble3D val="0"/>
            <c:spPr>
              <a:solidFill>
                <a:srgbClr val="4285F4"/>
              </a:solidFill>
              <a:ln cmpd="sng">
                <a:solidFill>
                  <a:srgbClr val="000000"/>
                </a:solidFill>
              </a:ln>
            </c:spPr>
          </c:dPt>
          <c:dPt>
            <c:idx val="100"/>
            <c:invertIfNegative val="1"/>
            <c:bubble3D val="0"/>
            <c:spPr>
              <a:solidFill>
                <a:srgbClr val="4285F4"/>
              </a:solidFill>
              <a:ln cmpd="sng">
                <a:solidFill>
                  <a:srgbClr val="000000"/>
                </a:solidFill>
              </a:ln>
            </c:spPr>
          </c:dPt>
          <c:dPt>
            <c:idx val="101"/>
            <c:invertIfNegative val="1"/>
            <c:bubble3D val="0"/>
            <c:spPr>
              <a:solidFill>
                <a:srgbClr val="4285F4"/>
              </a:solidFill>
              <a:ln cmpd="sng">
                <a:solidFill>
                  <a:srgbClr val="000000"/>
                </a:solidFill>
              </a:ln>
            </c:spPr>
          </c:dPt>
          <c:dPt>
            <c:idx val="102"/>
            <c:invertIfNegative val="1"/>
            <c:bubble3D val="0"/>
            <c:spPr>
              <a:solidFill>
                <a:srgbClr val="4285F4"/>
              </a:solidFill>
              <a:ln cmpd="sng">
                <a:solidFill>
                  <a:srgbClr val="000000"/>
                </a:solidFill>
              </a:ln>
            </c:spPr>
          </c:dPt>
          <c:dPt>
            <c:idx val="103"/>
            <c:invertIfNegative val="1"/>
            <c:bubble3D val="0"/>
            <c:spPr>
              <a:solidFill>
                <a:srgbClr val="4285F4"/>
              </a:solidFill>
              <a:ln cmpd="sng">
                <a:solidFill>
                  <a:srgbClr val="000000"/>
                </a:solidFill>
              </a:ln>
            </c:spPr>
          </c:dPt>
          <c:dPt>
            <c:idx val="104"/>
            <c:invertIfNegative val="1"/>
            <c:bubble3D val="0"/>
            <c:spPr>
              <a:solidFill>
                <a:srgbClr val="4285F4"/>
              </a:solidFill>
              <a:ln cmpd="sng">
                <a:solidFill>
                  <a:srgbClr val="000000"/>
                </a:solidFill>
              </a:ln>
            </c:spPr>
          </c:dPt>
          <c:dPt>
            <c:idx val="105"/>
            <c:invertIfNegative val="1"/>
            <c:bubble3D val="0"/>
            <c:spPr>
              <a:solidFill>
                <a:srgbClr val="4285F4"/>
              </a:solidFill>
              <a:ln cmpd="sng">
                <a:solidFill>
                  <a:srgbClr val="000000"/>
                </a:solidFill>
              </a:ln>
            </c:spPr>
          </c:dPt>
          <c:dPt>
            <c:idx val="106"/>
            <c:invertIfNegative val="1"/>
            <c:bubble3D val="0"/>
            <c:spPr>
              <a:solidFill>
                <a:srgbClr val="4285F4"/>
              </a:solidFill>
              <a:ln cmpd="sng">
                <a:solidFill>
                  <a:srgbClr val="000000"/>
                </a:solidFill>
              </a:ln>
            </c:spPr>
          </c:dPt>
          <c:dPt>
            <c:idx val="107"/>
            <c:invertIfNegative val="1"/>
            <c:bubble3D val="0"/>
            <c:spPr>
              <a:solidFill>
                <a:srgbClr val="4285F4"/>
              </a:solidFill>
              <a:ln cmpd="sng">
                <a:solidFill>
                  <a:srgbClr val="000000"/>
                </a:solidFill>
              </a:ln>
            </c:spPr>
          </c:dPt>
          <c:dPt>
            <c:idx val="108"/>
            <c:invertIfNegative val="1"/>
            <c:bubble3D val="0"/>
            <c:spPr>
              <a:solidFill>
                <a:srgbClr val="4285F4"/>
              </a:solidFill>
              <a:ln cmpd="sng">
                <a:solidFill>
                  <a:srgbClr val="000000"/>
                </a:solidFill>
              </a:ln>
            </c:spPr>
          </c:dPt>
          <c:dPt>
            <c:idx val="109"/>
            <c:invertIfNegative val="1"/>
            <c:bubble3D val="0"/>
            <c:spPr>
              <a:solidFill>
                <a:srgbClr val="4285F4"/>
              </a:solidFill>
              <a:ln cmpd="sng">
                <a:solidFill>
                  <a:srgbClr val="000000"/>
                </a:solidFill>
              </a:ln>
            </c:spPr>
          </c:dPt>
          <c:dPt>
            <c:idx val="110"/>
            <c:invertIfNegative val="1"/>
            <c:bubble3D val="0"/>
            <c:spPr>
              <a:solidFill>
                <a:srgbClr val="4285F4"/>
              </a:solidFill>
              <a:ln cmpd="sng">
                <a:solidFill>
                  <a:srgbClr val="000000"/>
                </a:solidFill>
              </a:ln>
            </c:spPr>
          </c:dPt>
          <c:dPt>
            <c:idx val="111"/>
            <c:invertIfNegative val="1"/>
            <c:bubble3D val="0"/>
            <c:spPr>
              <a:solidFill>
                <a:srgbClr val="4285F4"/>
              </a:solidFill>
              <a:ln cmpd="sng">
                <a:solidFill>
                  <a:srgbClr val="000000"/>
                </a:solidFill>
              </a:ln>
            </c:spPr>
          </c:dPt>
          <c:dPt>
            <c:idx val="112"/>
            <c:invertIfNegative val="1"/>
            <c:bubble3D val="0"/>
            <c:spPr>
              <a:solidFill>
                <a:srgbClr val="4285F4"/>
              </a:solidFill>
              <a:ln cmpd="sng">
                <a:solidFill>
                  <a:srgbClr val="000000"/>
                </a:solidFill>
              </a:ln>
            </c:spPr>
          </c:dPt>
          <c:dPt>
            <c:idx val="113"/>
            <c:invertIfNegative val="1"/>
            <c:bubble3D val="0"/>
            <c:spPr>
              <a:solidFill>
                <a:srgbClr val="4285F4"/>
              </a:solidFill>
              <a:ln cmpd="sng">
                <a:solidFill>
                  <a:srgbClr val="000000"/>
                </a:solidFill>
              </a:ln>
            </c:spPr>
          </c:dPt>
          <c:dPt>
            <c:idx val="114"/>
            <c:invertIfNegative val="1"/>
            <c:bubble3D val="0"/>
            <c:spPr>
              <a:solidFill>
                <a:srgbClr val="4285F4"/>
              </a:solidFill>
              <a:ln cmpd="sng">
                <a:solidFill>
                  <a:srgbClr val="000000"/>
                </a:solidFill>
              </a:ln>
            </c:spPr>
          </c:dPt>
          <c:dPt>
            <c:idx val="115"/>
            <c:invertIfNegative val="1"/>
            <c:bubble3D val="0"/>
            <c:spPr>
              <a:solidFill>
                <a:srgbClr val="4285F4"/>
              </a:solidFill>
              <a:ln cmpd="sng">
                <a:solidFill>
                  <a:srgbClr val="000000"/>
                </a:solidFill>
              </a:ln>
            </c:spPr>
          </c:dPt>
          <c:dPt>
            <c:idx val="116"/>
            <c:invertIfNegative val="1"/>
            <c:bubble3D val="0"/>
            <c:spPr>
              <a:solidFill>
                <a:srgbClr val="4285F4"/>
              </a:solidFill>
              <a:ln cmpd="sng">
                <a:solidFill>
                  <a:srgbClr val="000000"/>
                </a:solidFill>
              </a:ln>
            </c:spPr>
          </c:dPt>
          <c:dPt>
            <c:idx val="117"/>
            <c:invertIfNegative val="1"/>
            <c:bubble3D val="0"/>
            <c:spPr>
              <a:solidFill>
                <a:srgbClr val="4285F4"/>
              </a:solidFill>
              <a:ln cmpd="sng">
                <a:solidFill>
                  <a:srgbClr val="000000"/>
                </a:solidFill>
              </a:ln>
            </c:spPr>
          </c:dPt>
          <c:dPt>
            <c:idx val="118"/>
            <c:invertIfNegative val="1"/>
            <c:bubble3D val="0"/>
            <c:spPr>
              <a:solidFill>
                <a:srgbClr val="4285F4"/>
              </a:solidFill>
              <a:ln cmpd="sng">
                <a:solidFill>
                  <a:srgbClr val="000000"/>
                </a:solidFill>
              </a:ln>
            </c:spPr>
          </c:dPt>
          <c:dPt>
            <c:idx val="119"/>
            <c:invertIfNegative val="1"/>
            <c:bubble3D val="0"/>
            <c:spPr>
              <a:solidFill>
                <a:srgbClr val="4285F4"/>
              </a:solidFill>
              <a:ln cmpd="sng">
                <a:solidFill>
                  <a:srgbClr val="000000"/>
                </a:solidFill>
              </a:ln>
            </c:spPr>
          </c:dPt>
          <c:dPt>
            <c:idx val="120"/>
            <c:invertIfNegative val="1"/>
            <c:bubble3D val="0"/>
            <c:spPr>
              <a:solidFill>
                <a:srgbClr val="4285F4"/>
              </a:solidFill>
              <a:ln cmpd="sng">
                <a:solidFill>
                  <a:srgbClr val="000000"/>
                </a:solidFill>
              </a:ln>
            </c:spPr>
          </c:dPt>
          <c:dPt>
            <c:idx val="121"/>
            <c:invertIfNegative val="1"/>
            <c:bubble3D val="0"/>
            <c:spPr>
              <a:solidFill>
                <a:srgbClr val="4285F4"/>
              </a:solidFill>
              <a:ln cmpd="sng">
                <a:solidFill>
                  <a:srgbClr val="000000"/>
                </a:solidFill>
              </a:ln>
            </c:spPr>
          </c:dPt>
          <c:dPt>
            <c:idx val="122"/>
            <c:invertIfNegative val="1"/>
            <c:bubble3D val="0"/>
            <c:spPr>
              <a:solidFill>
                <a:srgbClr val="4285F4"/>
              </a:solidFill>
              <a:ln cmpd="sng">
                <a:solidFill>
                  <a:srgbClr val="000000"/>
                </a:solidFill>
              </a:ln>
            </c:spPr>
          </c:dPt>
          <c:dPt>
            <c:idx val="123"/>
            <c:invertIfNegative val="1"/>
            <c:bubble3D val="0"/>
            <c:spPr>
              <a:solidFill>
                <a:srgbClr val="4285F4"/>
              </a:solidFill>
              <a:ln cmpd="sng">
                <a:solidFill>
                  <a:srgbClr val="000000"/>
                </a:solidFill>
              </a:ln>
            </c:spPr>
          </c:dPt>
          <c:dPt>
            <c:idx val="124"/>
            <c:invertIfNegative val="1"/>
            <c:bubble3D val="0"/>
            <c:spPr>
              <a:solidFill>
                <a:srgbClr val="4285F4"/>
              </a:solidFill>
              <a:ln cmpd="sng">
                <a:solidFill>
                  <a:srgbClr val="000000"/>
                </a:solidFill>
              </a:ln>
            </c:spPr>
          </c:dPt>
          <c:dPt>
            <c:idx val="125"/>
            <c:invertIfNegative val="1"/>
            <c:bubble3D val="0"/>
            <c:spPr>
              <a:solidFill>
                <a:srgbClr val="4285F4"/>
              </a:solidFill>
              <a:ln cmpd="sng">
                <a:solidFill>
                  <a:srgbClr val="000000"/>
                </a:solidFill>
              </a:ln>
            </c:spPr>
          </c:dPt>
          <c:dPt>
            <c:idx val="126"/>
            <c:invertIfNegative val="1"/>
            <c:bubble3D val="0"/>
            <c:spPr>
              <a:solidFill>
                <a:srgbClr val="4285F4"/>
              </a:solidFill>
              <a:ln cmpd="sng">
                <a:solidFill>
                  <a:srgbClr val="000000"/>
                </a:solidFill>
              </a:ln>
            </c:spPr>
          </c:dPt>
          <c:dPt>
            <c:idx val="127"/>
            <c:invertIfNegative val="1"/>
            <c:bubble3D val="0"/>
            <c:spPr>
              <a:solidFill>
                <a:srgbClr val="4285F4"/>
              </a:solidFill>
              <a:ln cmpd="sng">
                <a:solidFill>
                  <a:srgbClr val="000000"/>
                </a:solidFill>
              </a:ln>
            </c:spPr>
          </c:dPt>
          <c:dPt>
            <c:idx val="128"/>
            <c:invertIfNegative val="1"/>
            <c:bubble3D val="0"/>
            <c:spPr>
              <a:solidFill>
                <a:srgbClr val="4285F4"/>
              </a:solidFill>
              <a:ln cmpd="sng">
                <a:solidFill>
                  <a:srgbClr val="000000"/>
                </a:solidFill>
              </a:ln>
            </c:spPr>
          </c:dPt>
          <c:dPt>
            <c:idx val="129"/>
            <c:invertIfNegative val="1"/>
            <c:bubble3D val="0"/>
            <c:spPr>
              <a:solidFill>
                <a:srgbClr val="4285F4"/>
              </a:solidFill>
              <a:ln cmpd="sng">
                <a:solidFill>
                  <a:srgbClr val="000000"/>
                </a:solidFill>
              </a:ln>
            </c:spPr>
          </c:dPt>
          <c:dPt>
            <c:idx val="130"/>
            <c:invertIfNegative val="1"/>
            <c:bubble3D val="0"/>
            <c:spPr>
              <a:solidFill>
                <a:srgbClr val="4285F4"/>
              </a:solidFill>
              <a:ln cmpd="sng">
                <a:solidFill>
                  <a:srgbClr val="000000"/>
                </a:solidFill>
              </a:ln>
            </c:spPr>
          </c:dPt>
          <c:dPt>
            <c:idx val="131"/>
            <c:invertIfNegative val="1"/>
            <c:bubble3D val="0"/>
            <c:spPr>
              <a:solidFill>
                <a:srgbClr val="4285F4"/>
              </a:solidFill>
              <a:ln cmpd="sng">
                <a:solidFill>
                  <a:srgbClr val="000000"/>
                </a:solidFill>
              </a:ln>
            </c:spPr>
          </c:dPt>
          <c:dPt>
            <c:idx val="132"/>
            <c:invertIfNegative val="1"/>
            <c:bubble3D val="0"/>
            <c:spPr>
              <a:solidFill>
                <a:srgbClr val="4285F4"/>
              </a:solidFill>
              <a:ln cmpd="sng">
                <a:solidFill>
                  <a:srgbClr val="000000"/>
                </a:solidFill>
              </a:ln>
            </c:spPr>
          </c:dPt>
          <c:dPt>
            <c:idx val="133"/>
            <c:invertIfNegative val="1"/>
            <c:bubble3D val="0"/>
            <c:spPr>
              <a:solidFill>
                <a:srgbClr val="4285F4"/>
              </a:solidFill>
              <a:ln cmpd="sng">
                <a:solidFill>
                  <a:srgbClr val="000000"/>
                </a:solidFill>
              </a:ln>
            </c:spPr>
          </c:dPt>
          <c:dPt>
            <c:idx val="134"/>
            <c:invertIfNegative val="1"/>
            <c:bubble3D val="0"/>
            <c:spPr>
              <a:solidFill>
                <a:srgbClr val="4285F4"/>
              </a:solidFill>
              <a:ln cmpd="sng">
                <a:solidFill>
                  <a:srgbClr val="000000"/>
                </a:solidFill>
              </a:ln>
            </c:spPr>
          </c:dPt>
          <c:dPt>
            <c:idx val="135"/>
            <c:invertIfNegative val="1"/>
            <c:bubble3D val="0"/>
            <c:spPr>
              <a:solidFill>
                <a:srgbClr val="4285F4"/>
              </a:solidFill>
              <a:ln cmpd="sng">
                <a:solidFill>
                  <a:srgbClr val="000000"/>
                </a:solidFill>
              </a:ln>
            </c:spPr>
          </c:dPt>
          <c:dPt>
            <c:idx val="136"/>
            <c:invertIfNegative val="1"/>
            <c:bubble3D val="0"/>
            <c:spPr>
              <a:solidFill>
                <a:srgbClr val="4285F4"/>
              </a:solidFill>
              <a:ln cmpd="sng">
                <a:solidFill>
                  <a:srgbClr val="000000"/>
                </a:solidFill>
              </a:ln>
            </c:spPr>
          </c:dPt>
          <c:dPt>
            <c:idx val="137"/>
            <c:invertIfNegative val="1"/>
            <c:bubble3D val="0"/>
            <c:spPr>
              <a:solidFill>
                <a:srgbClr val="4285F4"/>
              </a:solidFill>
              <a:ln cmpd="sng">
                <a:solidFill>
                  <a:srgbClr val="000000"/>
                </a:solidFill>
              </a:ln>
            </c:spPr>
          </c:dPt>
          <c:dPt>
            <c:idx val="138"/>
            <c:invertIfNegative val="1"/>
            <c:bubble3D val="0"/>
            <c:spPr>
              <a:solidFill>
                <a:srgbClr val="4285F4"/>
              </a:solidFill>
              <a:ln cmpd="sng">
                <a:solidFill>
                  <a:srgbClr val="000000"/>
                </a:solidFill>
              </a:ln>
            </c:spPr>
          </c:dPt>
          <c:dPt>
            <c:idx val="139"/>
            <c:invertIfNegative val="1"/>
            <c:bubble3D val="0"/>
            <c:spPr>
              <a:solidFill>
                <a:srgbClr val="4285F4"/>
              </a:solidFill>
              <a:ln cmpd="sng">
                <a:solidFill>
                  <a:srgbClr val="000000"/>
                </a:solidFill>
              </a:ln>
            </c:spPr>
          </c:dPt>
          <c:dPt>
            <c:idx val="140"/>
            <c:invertIfNegative val="1"/>
            <c:bubble3D val="0"/>
            <c:spPr>
              <a:solidFill>
                <a:srgbClr val="4285F4"/>
              </a:solidFill>
              <a:ln cmpd="sng">
                <a:solidFill>
                  <a:srgbClr val="000000"/>
                </a:solidFill>
              </a:ln>
            </c:spPr>
          </c:dPt>
          <c:dPt>
            <c:idx val="141"/>
            <c:invertIfNegative val="1"/>
            <c:bubble3D val="0"/>
            <c:spPr>
              <a:solidFill>
                <a:srgbClr val="4285F4"/>
              </a:solidFill>
              <a:ln cmpd="sng">
                <a:solidFill>
                  <a:srgbClr val="000000"/>
                </a:solidFill>
              </a:ln>
            </c:spPr>
          </c:dPt>
          <c:dPt>
            <c:idx val="142"/>
            <c:invertIfNegative val="1"/>
            <c:bubble3D val="0"/>
            <c:spPr>
              <a:solidFill>
                <a:srgbClr val="4285F4"/>
              </a:solidFill>
              <a:ln cmpd="sng">
                <a:solidFill>
                  <a:srgbClr val="000000"/>
                </a:solidFill>
              </a:ln>
            </c:spPr>
          </c:dPt>
          <c:dPt>
            <c:idx val="143"/>
            <c:invertIfNegative val="1"/>
            <c:bubble3D val="0"/>
            <c:spPr>
              <a:solidFill>
                <a:srgbClr val="4285F4"/>
              </a:solidFill>
              <a:ln cmpd="sng">
                <a:solidFill>
                  <a:srgbClr val="000000"/>
                </a:solidFill>
              </a:ln>
            </c:spPr>
          </c:dPt>
          <c:dPt>
            <c:idx val="144"/>
            <c:invertIfNegative val="1"/>
            <c:bubble3D val="0"/>
            <c:spPr>
              <a:solidFill>
                <a:srgbClr val="4285F4"/>
              </a:solidFill>
              <a:ln cmpd="sng">
                <a:solidFill>
                  <a:srgbClr val="000000"/>
                </a:solidFill>
              </a:ln>
            </c:spPr>
          </c:dPt>
          <c:dPt>
            <c:idx val="145"/>
            <c:invertIfNegative val="1"/>
            <c:bubble3D val="0"/>
            <c:spPr>
              <a:solidFill>
                <a:srgbClr val="4285F4"/>
              </a:solidFill>
              <a:ln cmpd="sng">
                <a:solidFill>
                  <a:srgbClr val="000000"/>
                </a:solidFill>
              </a:ln>
            </c:spPr>
          </c:dPt>
          <c:dPt>
            <c:idx val="146"/>
            <c:invertIfNegative val="1"/>
            <c:bubble3D val="0"/>
            <c:spPr>
              <a:solidFill>
                <a:srgbClr val="4285F4"/>
              </a:solidFill>
              <a:ln cmpd="sng">
                <a:solidFill>
                  <a:srgbClr val="000000"/>
                </a:solidFill>
              </a:ln>
            </c:spPr>
          </c:dPt>
          <c:dPt>
            <c:idx val="147"/>
            <c:invertIfNegative val="1"/>
            <c:bubble3D val="0"/>
            <c:spPr>
              <a:solidFill>
                <a:srgbClr val="4285F4"/>
              </a:solidFill>
              <a:ln cmpd="sng">
                <a:solidFill>
                  <a:srgbClr val="000000"/>
                </a:solidFill>
              </a:ln>
            </c:spPr>
          </c:dPt>
          <c:dPt>
            <c:idx val="148"/>
            <c:invertIfNegative val="1"/>
            <c:bubble3D val="0"/>
            <c:spPr>
              <a:solidFill>
                <a:srgbClr val="4285F4"/>
              </a:solidFill>
              <a:ln cmpd="sng">
                <a:solidFill>
                  <a:srgbClr val="000000"/>
                </a:solidFill>
              </a:ln>
            </c:spPr>
          </c:dPt>
          <c:dPt>
            <c:idx val="149"/>
            <c:invertIfNegative val="1"/>
            <c:bubble3D val="0"/>
            <c:spPr>
              <a:solidFill>
                <a:srgbClr val="4285F4"/>
              </a:solidFill>
              <a:ln cmpd="sng">
                <a:solidFill>
                  <a:srgbClr val="000000"/>
                </a:solidFill>
              </a:ln>
            </c:spPr>
          </c:dPt>
          <c:dPt>
            <c:idx val="150"/>
            <c:invertIfNegative val="1"/>
            <c:bubble3D val="0"/>
            <c:spPr>
              <a:solidFill>
                <a:srgbClr val="4285F4"/>
              </a:solidFill>
              <a:ln cmpd="sng">
                <a:solidFill>
                  <a:srgbClr val="000000"/>
                </a:solidFill>
              </a:ln>
            </c:spPr>
          </c:dPt>
          <c:dPt>
            <c:idx val="151"/>
            <c:invertIfNegative val="1"/>
            <c:bubble3D val="0"/>
            <c:spPr>
              <a:solidFill>
                <a:srgbClr val="4285F4"/>
              </a:solidFill>
              <a:ln cmpd="sng">
                <a:solidFill>
                  <a:srgbClr val="000000"/>
                </a:solidFill>
              </a:ln>
            </c:spPr>
          </c:dPt>
          <c:dPt>
            <c:idx val="152"/>
            <c:invertIfNegative val="1"/>
            <c:bubble3D val="0"/>
            <c:spPr>
              <a:solidFill>
                <a:srgbClr val="4285F4"/>
              </a:solidFill>
              <a:ln cmpd="sng">
                <a:solidFill>
                  <a:srgbClr val="000000"/>
                </a:solidFill>
              </a:ln>
            </c:spPr>
          </c:dPt>
          <c:dPt>
            <c:idx val="153"/>
            <c:invertIfNegative val="1"/>
            <c:bubble3D val="0"/>
            <c:spPr>
              <a:solidFill>
                <a:srgbClr val="4285F4"/>
              </a:solidFill>
              <a:ln cmpd="sng">
                <a:solidFill>
                  <a:srgbClr val="000000"/>
                </a:solidFill>
              </a:ln>
            </c:spPr>
          </c:dPt>
          <c:dPt>
            <c:idx val="154"/>
            <c:invertIfNegative val="1"/>
            <c:bubble3D val="0"/>
            <c:spPr>
              <a:solidFill>
                <a:srgbClr val="4285F4"/>
              </a:solidFill>
              <a:ln cmpd="sng">
                <a:solidFill>
                  <a:srgbClr val="000000"/>
                </a:solidFill>
              </a:ln>
            </c:spPr>
          </c:dPt>
          <c:dPt>
            <c:idx val="155"/>
            <c:invertIfNegative val="1"/>
            <c:bubble3D val="0"/>
            <c:spPr>
              <a:solidFill>
                <a:srgbClr val="4285F4"/>
              </a:solidFill>
              <a:ln cmpd="sng">
                <a:solidFill>
                  <a:srgbClr val="000000"/>
                </a:solidFill>
              </a:ln>
            </c:spPr>
          </c:dPt>
          <c:dPt>
            <c:idx val="156"/>
            <c:invertIfNegative val="1"/>
            <c:bubble3D val="0"/>
            <c:spPr>
              <a:solidFill>
                <a:srgbClr val="4285F4"/>
              </a:solidFill>
              <a:ln cmpd="sng">
                <a:solidFill>
                  <a:srgbClr val="000000"/>
                </a:solidFill>
              </a:ln>
            </c:spPr>
          </c:dPt>
          <c:dPt>
            <c:idx val="157"/>
            <c:invertIfNegative val="1"/>
            <c:bubble3D val="0"/>
            <c:spPr>
              <a:solidFill>
                <a:srgbClr val="4285F4"/>
              </a:solidFill>
              <a:ln cmpd="sng">
                <a:solidFill>
                  <a:srgbClr val="000000"/>
                </a:solidFill>
              </a:ln>
            </c:spPr>
          </c:dPt>
          <c:dPt>
            <c:idx val="158"/>
            <c:invertIfNegative val="1"/>
            <c:bubble3D val="0"/>
            <c:spPr>
              <a:solidFill>
                <a:srgbClr val="4285F4"/>
              </a:solidFill>
              <a:ln cmpd="sng">
                <a:solidFill>
                  <a:srgbClr val="000000"/>
                </a:solidFill>
              </a:ln>
            </c:spPr>
          </c:dPt>
          <c:dPt>
            <c:idx val="159"/>
            <c:invertIfNegative val="1"/>
            <c:bubble3D val="0"/>
            <c:spPr>
              <a:solidFill>
                <a:srgbClr val="4285F4"/>
              </a:solidFill>
              <a:ln cmpd="sng">
                <a:solidFill>
                  <a:srgbClr val="000000"/>
                </a:solidFill>
              </a:ln>
            </c:spPr>
          </c:dPt>
          <c:dPt>
            <c:idx val="160"/>
            <c:invertIfNegative val="1"/>
            <c:bubble3D val="0"/>
            <c:spPr>
              <a:solidFill>
                <a:srgbClr val="4285F4"/>
              </a:solidFill>
              <a:ln cmpd="sng">
                <a:solidFill>
                  <a:srgbClr val="000000"/>
                </a:solidFill>
              </a:ln>
            </c:spPr>
          </c:dPt>
          <c:dPt>
            <c:idx val="161"/>
            <c:invertIfNegative val="1"/>
            <c:bubble3D val="0"/>
            <c:spPr>
              <a:solidFill>
                <a:srgbClr val="4285F4"/>
              </a:solidFill>
              <a:ln cmpd="sng">
                <a:solidFill>
                  <a:srgbClr val="000000"/>
                </a:solidFill>
              </a:ln>
            </c:spPr>
          </c:dPt>
          <c:dPt>
            <c:idx val="162"/>
            <c:invertIfNegative val="1"/>
            <c:bubble3D val="0"/>
            <c:spPr>
              <a:solidFill>
                <a:srgbClr val="4285F4"/>
              </a:solidFill>
              <a:ln cmpd="sng">
                <a:solidFill>
                  <a:srgbClr val="000000"/>
                </a:solidFill>
              </a:ln>
            </c:spPr>
          </c:dPt>
          <c:dPt>
            <c:idx val="163"/>
            <c:invertIfNegative val="1"/>
            <c:bubble3D val="0"/>
            <c:spPr>
              <a:solidFill>
                <a:srgbClr val="4285F4"/>
              </a:solidFill>
              <a:ln cmpd="sng">
                <a:solidFill>
                  <a:srgbClr val="000000"/>
                </a:solidFill>
              </a:ln>
            </c:spPr>
          </c:dPt>
          <c:dPt>
            <c:idx val="164"/>
            <c:invertIfNegative val="1"/>
            <c:bubble3D val="0"/>
            <c:spPr>
              <a:solidFill>
                <a:srgbClr val="4285F4"/>
              </a:solidFill>
              <a:ln cmpd="sng">
                <a:solidFill>
                  <a:srgbClr val="000000"/>
                </a:solidFill>
              </a:ln>
            </c:spPr>
          </c:dPt>
          <c:dPt>
            <c:idx val="165"/>
            <c:invertIfNegative val="1"/>
            <c:bubble3D val="0"/>
            <c:spPr>
              <a:solidFill>
                <a:srgbClr val="4285F4"/>
              </a:solidFill>
              <a:ln cmpd="sng">
                <a:solidFill>
                  <a:srgbClr val="000000"/>
                </a:solidFill>
              </a:ln>
            </c:spPr>
          </c:dPt>
          <c:dPt>
            <c:idx val="166"/>
            <c:invertIfNegative val="1"/>
            <c:bubble3D val="0"/>
            <c:spPr>
              <a:solidFill>
                <a:srgbClr val="4285F4"/>
              </a:solidFill>
              <a:ln cmpd="sng">
                <a:solidFill>
                  <a:srgbClr val="000000"/>
                </a:solidFill>
              </a:ln>
            </c:spPr>
          </c:dPt>
          <c:dPt>
            <c:idx val="167"/>
            <c:invertIfNegative val="1"/>
            <c:bubble3D val="0"/>
            <c:spPr>
              <a:solidFill>
                <a:srgbClr val="4285F4"/>
              </a:solidFill>
              <a:ln cmpd="sng">
                <a:solidFill>
                  <a:srgbClr val="000000"/>
                </a:solidFill>
              </a:ln>
            </c:spPr>
          </c:dPt>
          <c:dPt>
            <c:idx val="168"/>
            <c:invertIfNegative val="1"/>
            <c:bubble3D val="0"/>
            <c:spPr>
              <a:solidFill>
                <a:srgbClr val="4285F4"/>
              </a:solidFill>
              <a:ln cmpd="sng">
                <a:solidFill>
                  <a:srgbClr val="000000"/>
                </a:solidFill>
              </a:ln>
            </c:spPr>
          </c:dPt>
          <c:dPt>
            <c:idx val="169"/>
            <c:invertIfNegative val="1"/>
            <c:bubble3D val="0"/>
            <c:spPr>
              <a:solidFill>
                <a:srgbClr val="4285F4"/>
              </a:solidFill>
              <a:ln cmpd="sng">
                <a:solidFill>
                  <a:srgbClr val="000000"/>
                </a:solidFill>
              </a:ln>
            </c:spPr>
          </c:dPt>
          <c:dPt>
            <c:idx val="170"/>
            <c:invertIfNegative val="1"/>
            <c:bubble3D val="0"/>
            <c:spPr>
              <a:solidFill>
                <a:srgbClr val="4285F4"/>
              </a:solidFill>
              <a:ln cmpd="sng">
                <a:solidFill>
                  <a:srgbClr val="000000"/>
                </a:solidFill>
              </a:ln>
            </c:spPr>
          </c:dPt>
          <c:dPt>
            <c:idx val="171"/>
            <c:invertIfNegative val="1"/>
            <c:bubble3D val="0"/>
            <c:spPr>
              <a:solidFill>
                <a:srgbClr val="4285F4"/>
              </a:solidFill>
              <a:ln cmpd="sng">
                <a:solidFill>
                  <a:srgbClr val="000000"/>
                </a:solidFill>
              </a:ln>
            </c:spPr>
          </c:dPt>
          <c:dPt>
            <c:idx val="172"/>
            <c:invertIfNegative val="1"/>
            <c:bubble3D val="0"/>
            <c:spPr>
              <a:solidFill>
                <a:srgbClr val="4285F4"/>
              </a:solidFill>
              <a:ln cmpd="sng">
                <a:solidFill>
                  <a:srgbClr val="000000"/>
                </a:solidFill>
              </a:ln>
            </c:spPr>
          </c:dPt>
          <c:dPt>
            <c:idx val="173"/>
            <c:invertIfNegative val="1"/>
            <c:bubble3D val="0"/>
            <c:spPr>
              <a:solidFill>
                <a:srgbClr val="4285F4"/>
              </a:solidFill>
              <a:ln cmpd="sng">
                <a:solidFill>
                  <a:srgbClr val="000000"/>
                </a:solidFill>
              </a:ln>
            </c:spPr>
          </c:dPt>
          <c:dPt>
            <c:idx val="174"/>
            <c:invertIfNegative val="1"/>
            <c:bubble3D val="0"/>
            <c:spPr>
              <a:solidFill>
                <a:srgbClr val="4285F4"/>
              </a:solidFill>
              <a:ln cmpd="sng">
                <a:solidFill>
                  <a:srgbClr val="000000"/>
                </a:solidFill>
              </a:ln>
            </c:spPr>
          </c:dPt>
          <c:dPt>
            <c:idx val="175"/>
            <c:invertIfNegative val="1"/>
            <c:bubble3D val="0"/>
            <c:spPr>
              <a:solidFill>
                <a:srgbClr val="4285F4"/>
              </a:solidFill>
              <a:ln cmpd="sng">
                <a:solidFill>
                  <a:srgbClr val="000000"/>
                </a:solidFill>
              </a:ln>
            </c:spPr>
          </c:dPt>
          <c:dPt>
            <c:idx val="176"/>
            <c:invertIfNegative val="1"/>
            <c:bubble3D val="0"/>
            <c:spPr>
              <a:solidFill>
                <a:srgbClr val="4285F4"/>
              </a:solidFill>
              <a:ln cmpd="sng">
                <a:solidFill>
                  <a:srgbClr val="000000"/>
                </a:solidFill>
              </a:ln>
            </c:spPr>
          </c:dPt>
          <c:dPt>
            <c:idx val="177"/>
            <c:invertIfNegative val="1"/>
            <c:bubble3D val="0"/>
            <c:spPr>
              <a:solidFill>
                <a:srgbClr val="4285F4"/>
              </a:solidFill>
              <a:ln cmpd="sng">
                <a:solidFill>
                  <a:srgbClr val="000000"/>
                </a:solidFill>
              </a:ln>
            </c:spPr>
          </c:dPt>
          <c:dPt>
            <c:idx val="178"/>
            <c:invertIfNegative val="1"/>
            <c:bubble3D val="0"/>
            <c:spPr>
              <a:solidFill>
                <a:srgbClr val="4285F4"/>
              </a:solidFill>
              <a:ln cmpd="sng">
                <a:solidFill>
                  <a:srgbClr val="000000"/>
                </a:solidFill>
              </a:ln>
            </c:spPr>
          </c:dPt>
          <c:dPt>
            <c:idx val="179"/>
            <c:invertIfNegative val="1"/>
            <c:bubble3D val="0"/>
            <c:spPr>
              <a:solidFill>
                <a:srgbClr val="4285F4"/>
              </a:solidFill>
              <a:ln cmpd="sng">
                <a:solidFill>
                  <a:srgbClr val="000000"/>
                </a:solidFill>
              </a:ln>
            </c:spPr>
          </c:dPt>
          <c:dPt>
            <c:idx val="180"/>
            <c:invertIfNegative val="1"/>
            <c:bubble3D val="0"/>
            <c:spPr>
              <a:solidFill>
                <a:srgbClr val="4285F4"/>
              </a:solidFill>
              <a:ln cmpd="sng">
                <a:solidFill>
                  <a:srgbClr val="000000"/>
                </a:solidFill>
              </a:ln>
            </c:spPr>
          </c:dPt>
          <c:dPt>
            <c:idx val="181"/>
            <c:invertIfNegative val="1"/>
            <c:bubble3D val="0"/>
            <c:spPr>
              <a:solidFill>
                <a:srgbClr val="4285F4"/>
              </a:solidFill>
              <a:ln cmpd="sng">
                <a:solidFill>
                  <a:srgbClr val="000000"/>
                </a:solidFill>
              </a:ln>
            </c:spPr>
          </c:dPt>
          <c:dPt>
            <c:idx val="182"/>
            <c:invertIfNegative val="1"/>
            <c:bubble3D val="0"/>
            <c:spPr>
              <a:solidFill>
                <a:srgbClr val="4285F4"/>
              </a:solidFill>
              <a:ln cmpd="sng">
                <a:solidFill>
                  <a:srgbClr val="000000"/>
                </a:solidFill>
              </a:ln>
            </c:spPr>
          </c:dPt>
          <c:dPt>
            <c:idx val="183"/>
            <c:invertIfNegative val="1"/>
            <c:bubble3D val="0"/>
            <c:spPr>
              <a:solidFill>
                <a:srgbClr val="4285F4"/>
              </a:solidFill>
              <a:ln cmpd="sng">
                <a:solidFill>
                  <a:srgbClr val="000000"/>
                </a:solidFill>
              </a:ln>
            </c:spPr>
          </c:dPt>
          <c:dPt>
            <c:idx val="184"/>
            <c:invertIfNegative val="1"/>
            <c:bubble3D val="0"/>
            <c:spPr>
              <a:solidFill>
                <a:srgbClr val="4285F4"/>
              </a:solidFill>
              <a:ln cmpd="sng">
                <a:solidFill>
                  <a:srgbClr val="000000"/>
                </a:solidFill>
              </a:ln>
            </c:spPr>
          </c:dPt>
          <c:dPt>
            <c:idx val="185"/>
            <c:invertIfNegative val="1"/>
            <c:bubble3D val="0"/>
            <c:spPr>
              <a:solidFill>
                <a:srgbClr val="4285F4"/>
              </a:solidFill>
              <a:ln cmpd="sng">
                <a:solidFill>
                  <a:srgbClr val="000000"/>
                </a:solidFill>
              </a:ln>
            </c:spPr>
          </c:dPt>
          <c:dPt>
            <c:idx val="186"/>
            <c:invertIfNegative val="1"/>
            <c:bubble3D val="0"/>
            <c:spPr>
              <a:solidFill>
                <a:srgbClr val="4285F4"/>
              </a:solidFill>
              <a:ln cmpd="sng">
                <a:solidFill>
                  <a:srgbClr val="000000"/>
                </a:solidFill>
              </a:ln>
            </c:spPr>
          </c:dPt>
          <c:dPt>
            <c:idx val="187"/>
            <c:invertIfNegative val="1"/>
            <c:bubble3D val="0"/>
            <c:spPr>
              <a:solidFill>
                <a:srgbClr val="4285F4"/>
              </a:solidFill>
              <a:ln cmpd="sng">
                <a:solidFill>
                  <a:srgbClr val="000000"/>
                </a:solidFill>
              </a:ln>
            </c:spPr>
          </c:dPt>
          <c:dPt>
            <c:idx val="188"/>
            <c:invertIfNegative val="1"/>
            <c:bubble3D val="0"/>
            <c:spPr>
              <a:solidFill>
                <a:srgbClr val="4285F4"/>
              </a:solidFill>
              <a:ln cmpd="sng">
                <a:solidFill>
                  <a:srgbClr val="000000"/>
                </a:solidFill>
              </a:ln>
            </c:spPr>
          </c:dPt>
          <c:dPt>
            <c:idx val="189"/>
            <c:invertIfNegative val="1"/>
            <c:bubble3D val="0"/>
            <c:spPr>
              <a:solidFill>
                <a:srgbClr val="4285F4"/>
              </a:solidFill>
              <a:ln cmpd="sng">
                <a:solidFill>
                  <a:srgbClr val="000000"/>
                </a:solidFill>
              </a:ln>
            </c:spPr>
          </c:dPt>
          <c:dPt>
            <c:idx val="190"/>
            <c:invertIfNegative val="1"/>
            <c:bubble3D val="0"/>
            <c:spPr>
              <a:solidFill>
                <a:srgbClr val="4285F4"/>
              </a:solidFill>
              <a:ln cmpd="sng">
                <a:solidFill>
                  <a:srgbClr val="000000"/>
                </a:solidFill>
              </a:ln>
            </c:spPr>
          </c:dPt>
          <c:dPt>
            <c:idx val="191"/>
            <c:invertIfNegative val="1"/>
            <c:bubble3D val="0"/>
            <c:spPr>
              <a:solidFill>
                <a:srgbClr val="4285F4"/>
              </a:solidFill>
              <a:ln cmpd="sng">
                <a:solidFill>
                  <a:srgbClr val="000000"/>
                </a:solidFill>
              </a:ln>
            </c:spPr>
          </c:dPt>
          <c:dPt>
            <c:idx val="192"/>
            <c:invertIfNegative val="1"/>
            <c:bubble3D val="0"/>
            <c:spPr>
              <a:solidFill>
                <a:srgbClr val="4285F4"/>
              </a:solidFill>
              <a:ln cmpd="sng">
                <a:solidFill>
                  <a:srgbClr val="000000"/>
                </a:solidFill>
              </a:ln>
            </c:spPr>
          </c:dPt>
          <c:dPt>
            <c:idx val="193"/>
            <c:invertIfNegative val="1"/>
            <c:bubble3D val="0"/>
            <c:spPr>
              <a:solidFill>
                <a:srgbClr val="4285F4"/>
              </a:solidFill>
              <a:ln cmpd="sng">
                <a:solidFill>
                  <a:srgbClr val="000000"/>
                </a:solidFill>
              </a:ln>
            </c:spPr>
          </c:dPt>
          <c:dPt>
            <c:idx val="194"/>
            <c:invertIfNegative val="1"/>
            <c:bubble3D val="0"/>
            <c:spPr>
              <a:solidFill>
                <a:srgbClr val="4285F4"/>
              </a:solidFill>
              <a:ln cmpd="sng">
                <a:solidFill>
                  <a:srgbClr val="000000"/>
                </a:solidFill>
              </a:ln>
            </c:spPr>
          </c:dPt>
          <c:dPt>
            <c:idx val="195"/>
            <c:invertIfNegative val="1"/>
            <c:bubble3D val="0"/>
            <c:spPr>
              <a:solidFill>
                <a:srgbClr val="4285F4"/>
              </a:solidFill>
              <a:ln cmpd="sng">
                <a:solidFill>
                  <a:srgbClr val="000000"/>
                </a:solidFill>
              </a:ln>
            </c:spPr>
          </c:dPt>
          <c:dPt>
            <c:idx val="196"/>
            <c:invertIfNegative val="1"/>
            <c:bubble3D val="0"/>
            <c:spPr>
              <a:solidFill>
                <a:srgbClr val="4285F4"/>
              </a:solidFill>
              <a:ln cmpd="sng">
                <a:solidFill>
                  <a:srgbClr val="000000"/>
                </a:solidFill>
              </a:ln>
            </c:spPr>
          </c:dPt>
          <c:dPt>
            <c:idx val="197"/>
            <c:invertIfNegative val="1"/>
            <c:bubble3D val="0"/>
            <c:spPr>
              <a:solidFill>
                <a:srgbClr val="4285F4"/>
              </a:solidFill>
              <a:ln cmpd="sng">
                <a:solidFill>
                  <a:srgbClr val="000000"/>
                </a:solidFill>
              </a:ln>
            </c:spPr>
          </c:dPt>
          <c:dPt>
            <c:idx val="198"/>
            <c:invertIfNegative val="1"/>
            <c:bubble3D val="0"/>
            <c:spPr>
              <a:solidFill>
                <a:srgbClr val="4285F4"/>
              </a:solidFill>
              <a:ln cmpd="sng">
                <a:solidFill>
                  <a:srgbClr val="000000"/>
                </a:solidFill>
              </a:ln>
            </c:spPr>
          </c:dPt>
          <c:dPt>
            <c:idx val="199"/>
            <c:invertIfNegative val="1"/>
            <c:bubble3D val="0"/>
            <c:spPr>
              <a:solidFill>
                <a:srgbClr val="4285F4"/>
              </a:solidFill>
              <a:ln cmpd="sng">
                <a:solidFill>
                  <a:srgbClr val="000000"/>
                </a:solidFill>
              </a:ln>
            </c:spPr>
          </c:dPt>
          <c:dPt>
            <c:idx val="200"/>
            <c:invertIfNegative val="1"/>
            <c:bubble3D val="0"/>
            <c:spPr>
              <a:solidFill>
                <a:srgbClr val="4285F4"/>
              </a:solidFill>
              <a:ln cmpd="sng">
                <a:solidFill>
                  <a:srgbClr val="000000"/>
                </a:solidFill>
              </a:ln>
            </c:spPr>
          </c:dPt>
          <c:dPt>
            <c:idx val="201"/>
            <c:invertIfNegative val="1"/>
            <c:bubble3D val="0"/>
            <c:spPr>
              <a:solidFill>
                <a:srgbClr val="4285F4"/>
              </a:solidFill>
              <a:ln cmpd="sng">
                <a:solidFill>
                  <a:srgbClr val="000000"/>
                </a:solidFill>
              </a:ln>
            </c:spPr>
          </c:dPt>
          <c:dPt>
            <c:idx val="202"/>
            <c:invertIfNegative val="1"/>
            <c:bubble3D val="0"/>
            <c:spPr>
              <a:solidFill>
                <a:srgbClr val="4285F4"/>
              </a:solidFill>
              <a:ln cmpd="sng">
                <a:solidFill>
                  <a:srgbClr val="000000"/>
                </a:solidFill>
              </a:ln>
            </c:spPr>
          </c:dPt>
          <c:dPt>
            <c:idx val="203"/>
            <c:invertIfNegative val="1"/>
            <c:bubble3D val="0"/>
            <c:spPr>
              <a:solidFill>
                <a:srgbClr val="4285F4"/>
              </a:solidFill>
              <a:ln cmpd="sng">
                <a:solidFill>
                  <a:srgbClr val="000000"/>
                </a:solidFill>
              </a:ln>
            </c:spPr>
          </c:dPt>
          <c:dPt>
            <c:idx val="204"/>
            <c:invertIfNegative val="1"/>
            <c:bubble3D val="0"/>
            <c:spPr>
              <a:solidFill>
                <a:srgbClr val="4285F4"/>
              </a:solidFill>
              <a:ln cmpd="sng">
                <a:solidFill>
                  <a:srgbClr val="000000"/>
                </a:solidFill>
              </a:ln>
            </c:spPr>
          </c:dPt>
          <c:dPt>
            <c:idx val="205"/>
            <c:invertIfNegative val="1"/>
            <c:bubble3D val="0"/>
            <c:spPr>
              <a:solidFill>
                <a:srgbClr val="4285F4"/>
              </a:solidFill>
              <a:ln cmpd="sng">
                <a:solidFill>
                  <a:srgbClr val="000000"/>
                </a:solidFill>
              </a:ln>
            </c:spPr>
          </c:dPt>
          <c:dPt>
            <c:idx val="206"/>
            <c:invertIfNegative val="1"/>
            <c:bubble3D val="0"/>
            <c:spPr>
              <a:solidFill>
                <a:srgbClr val="4285F4"/>
              </a:solidFill>
              <a:ln cmpd="sng">
                <a:solidFill>
                  <a:srgbClr val="000000"/>
                </a:solidFill>
              </a:ln>
            </c:spPr>
          </c:dPt>
          <c:dPt>
            <c:idx val="207"/>
            <c:invertIfNegative val="1"/>
            <c:bubble3D val="0"/>
            <c:spPr>
              <a:solidFill>
                <a:srgbClr val="4285F4"/>
              </a:solidFill>
              <a:ln cmpd="sng">
                <a:solidFill>
                  <a:srgbClr val="000000"/>
                </a:solidFill>
              </a:ln>
            </c:spPr>
          </c:dPt>
          <c:dPt>
            <c:idx val="208"/>
            <c:invertIfNegative val="1"/>
            <c:bubble3D val="0"/>
            <c:spPr>
              <a:solidFill>
                <a:srgbClr val="4285F4"/>
              </a:solidFill>
              <a:ln cmpd="sng">
                <a:solidFill>
                  <a:srgbClr val="000000"/>
                </a:solidFill>
              </a:ln>
            </c:spPr>
          </c:dPt>
          <c:dPt>
            <c:idx val="209"/>
            <c:invertIfNegative val="1"/>
            <c:bubble3D val="0"/>
            <c:spPr>
              <a:solidFill>
                <a:srgbClr val="4285F4"/>
              </a:solidFill>
              <a:ln cmpd="sng">
                <a:solidFill>
                  <a:srgbClr val="000000"/>
                </a:solidFill>
              </a:ln>
            </c:spPr>
          </c:dPt>
          <c:dPt>
            <c:idx val="210"/>
            <c:invertIfNegative val="1"/>
            <c:bubble3D val="0"/>
            <c:spPr>
              <a:solidFill>
                <a:srgbClr val="4285F4"/>
              </a:solidFill>
              <a:ln cmpd="sng">
                <a:solidFill>
                  <a:srgbClr val="000000"/>
                </a:solidFill>
              </a:ln>
            </c:spPr>
          </c:dPt>
          <c:dPt>
            <c:idx val="211"/>
            <c:invertIfNegative val="1"/>
            <c:bubble3D val="0"/>
            <c:spPr>
              <a:solidFill>
                <a:srgbClr val="4285F4"/>
              </a:solidFill>
              <a:ln cmpd="sng">
                <a:solidFill>
                  <a:srgbClr val="000000"/>
                </a:solidFill>
              </a:ln>
            </c:spPr>
          </c:dPt>
          <c:dPt>
            <c:idx val="212"/>
            <c:invertIfNegative val="1"/>
            <c:bubble3D val="0"/>
            <c:spPr>
              <a:solidFill>
                <a:srgbClr val="4285F4"/>
              </a:solidFill>
              <a:ln cmpd="sng">
                <a:solidFill>
                  <a:srgbClr val="000000"/>
                </a:solidFill>
              </a:ln>
            </c:spPr>
          </c:dPt>
          <c:dPt>
            <c:idx val="213"/>
            <c:invertIfNegative val="1"/>
            <c:bubble3D val="0"/>
            <c:spPr>
              <a:solidFill>
                <a:srgbClr val="4285F4"/>
              </a:solidFill>
              <a:ln cmpd="sng">
                <a:solidFill>
                  <a:srgbClr val="000000"/>
                </a:solidFill>
              </a:ln>
            </c:spPr>
          </c:dPt>
          <c:dPt>
            <c:idx val="214"/>
            <c:invertIfNegative val="1"/>
            <c:bubble3D val="0"/>
            <c:spPr>
              <a:solidFill>
                <a:srgbClr val="4285F4"/>
              </a:solidFill>
              <a:ln cmpd="sng">
                <a:solidFill>
                  <a:srgbClr val="000000"/>
                </a:solidFill>
              </a:ln>
            </c:spPr>
          </c:dPt>
          <c:dPt>
            <c:idx val="215"/>
            <c:invertIfNegative val="1"/>
            <c:bubble3D val="0"/>
            <c:spPr>
              <a:solidFill>
                <a:srgbClr val="4285F4"/>
              </a:solidFill>
              <a:ln cmpd="sng">
                <a:solidFill>
                  <a:srgbClr val="000000"/>
                </a:solidFill>
              </a:ln>
            </c:spPr>
          </c:dPt>
          <c:dPt>
            <c:idx val="216"/>
            <c:invertIfNegative val="1"/>
            <c:bubble3D val="0"/>
            <c:spPr>
              <a:solidFill>
                <a:srgbClr val="4285F4"/>
              </a:solidFill>
              <a:ln cmpd="sng">
                <a:solidFill>
                  <a:srgbClr val="000000"/>
                </a:solidFill>
              </a:ln>
            </c:spPr>
          </c:dPt>
          <c:dPt>
            <c:idx val="217"/>
            <c:invertIfNegative val="1"/>
            <c:bubble3D val="0"/>
            <c:spPr>
              <a:solidFill>
                <a:srgbClr val="4285F4"/>
              </a:solidFill>
              <a:ln cmpd="sng">
                <a:solidFill>
                  <a:srgbClr val="000000"/>
                </a:solidFill>
              </a:ln>
            </c:spPr>
          </c:dPt>
          <c:dPt>
            <c:idx val="218"/>
            <c:invertIfNegative val="1"/>
            <c:bubble3D val="0"/>
            <c:spPr>
              <a:solidFill>
                <a:srgbClr val="4285F4"/>
              </a:solidFill>
              <a:ln cmpd="sng">
                <a:solidFill>
                  <a:srgbClr val="000000"/>
                </a:solidFill>
              </a:ln>
            </c:spPr>
          </c:dPt>
          <c:dPt>
            <c:idx val="219"/>
            <c:invertIfNegative val="1"/>
            <c:bubble3D val="0"/>
            <c:spPr>
              <a:solidFill>
                <a:srgbClr val="4285F4"/>
              </a:solidFill>
              <a:ln cmpd="sng">
                <a:solidFill>
                  <a:srgbClr val="000000"/>
                </a:solidFill>
              </a:ln>
            </c:spPr>
          </c:dPt>
          <c:dPt>
            <c:idx val="220"/>
            <c:invertIfNegative val="1"/>
            <c:bubble3D val="0"/>
            <c:spPr>
              <a:solidFill>
                <a:srgbClr val="4285F4"/>
              </a:solidFill>
              <a:ln cmpd="sng">
                <a:solidFill>
                  <a:srgbClr val="000000"/>
                </a:solidFill>
              </a:ln>
            </c:spPr>
          </c:dPt>
          <c:dPt>
            <c:idx val="221"/>
            <c:invertIfNegative val="1"/>
            <c:bubble3D val="0"/>
            <c:spPr>
              <a:solidFill>
                <a:srgbClr val="4285F4"/>
              </a:solidFill>
              <a:ln cmpd="sng">
                <a:solidFill>
                  <a:srgbClr val="000000"/>
                </a:solidFill>
              </a:ln>
            </c:spPr>
          </c:dPt>
          <c:dPt>
            <c:idx val="222"/>
            <c:invertIfNegative val="1"/>
            <c:bubble3D val="0"/>
            <c:spPr>
              <a:solidFill>
                <a:srgbClr val="4285F4"/>
              </a:solidFill>
              <a:ln cmpd="sng">
                <a:solidFill>
                  <a:srgbClr val="000000"/>
                </a:solidFill>
              </a:ln>
            </c:spPr>
          </c:dPt>
          <c:dPt>
            <c:idx val="223"/>
            <c:invertIfNegative val="1"/>
            <c:bubble3D val="0"/>
            <c:spPr>
              <a:solidFill>
                <a:srgbClr val="4285F4"/>
              </a:solidFill>
              <a:ln cmpd="sng">
                <a:solidFill>
                  <a:srgbClr val="000000"/>
                </a:solidFill>
              </a:ln>
            </c:spPr>
          </c:dPt>
          <c:dPt>
            <c:idx val="224"/>
            <c:invertIfNegative val="1"/>
            <c:bubble3D val="0"/>
            <c:spPr>
              <a:solidFill>
                <a:srgbClr val="4285F4"/>
              </a:solidFill>
              <a:ln cmpd="sng">
                <a:solidFill>
                  <a:srgbClr val="000000"/>
                </a:solidFill>
              </a:ln>
            </c:spPr>
          </c:dPt>
          <c:dPt>
            <c:idx val="225"/>
            <c:invertIfNegative val="1"/>
            <c:bubble3D val="0"/>
            <c:spPr>
              <a:solidFill>
                <a:srgbClr val="4285F4"/>
              </a:solidFill>
              <a:ln cmpd="sng">
                <a:solidFill>
                  <a:srgbClr val="000000"/>
                </a:solidFill>
              </a:ln>
            </c:spPr>
          </c:dPt>
          <c:dPt>
            <c:idx val="226"/>
            <c:invertIfNegative val="1"/>
            <c:bubble3D val="0"/>
            <c:spPr>
              <a:solidFill>
                <a:srgbClr val="4285F4"/>
              </a:solidFill>
              <a:ln cmpd="sng">
                <a:solidFill>
                  <a:srgbClr val="000000"/>
                </a:solidFill>
              </a:ln>
            </c:spPr>
          </c:dPt>
          <c:dPt>
            <c:idx val="227"/>
            <c:invertIfNegative val="1"/>
            <c:bubble3D val="0"/>
            <c:spPr>
              <a:solidFill>
                <a:srgbClr val="4285F4"/>
              </a:solidFill>
              <a:ln cmpd="sng">
                <a:solidFill>
                  <a:srgbClr val="000000"/>
                </a:solidFill>
              </a:ln>
            </c:spPr>
          </c:dPt>
          <c:dPt>
            <c:idx val="228"/>
            <c:invertIfNegative val="1"/>
            <c:bubble3D val="0"/>
            <c:spPr>
              <a:solidFill>
                <a:srgbClr val="4285F4"/>
              </a:solidFill>
              <a:ln cmpd="sng">
                <a:solidFill>
                  <a:srgbClr val="000000"/>
                </a:solidFill>
              </a:ln>
            </c:spPr>
          </c:dPt>
          <c:dPt>
            <c:idx val="229"/>
            <c:invertIfNegative val="1"/>
            <c:bubble3D val="0"/>
            <c:spPr>
              <a:solidFill>
                <a:srgbClr val="4285F4"/>
              </a:solidFill>
              <a:ln cmpd="sng">
                <a:solidFill>
                  <a:srgbClr val="000000"/>
                </a:solidFill>
              </a:ln>
            </c:spPr>
          </c:dPt>
          <c:dPt>
            <c:idx val="230"/>
            <c:invertIfNegative val="1"/>
            <c:bubble3D val="0"/>
            <c:spPr>
              <a:solidFill>
                <a:srgbClr val="4285F4"/>
              </a:solidFill>
              <a:ln cmpd="sng">
                <a:solidFill>
                  <a:srgbClr val="000000"/>
                </a:solidFill>
              </a:ln>
            </c:spPr>
          </c:dPt>
          <c:dPt>
            <c:idx val="231"/>
            <c:invertIfNegative val="1"/>
            <c:bubble3D val="0"/>
            <c:spPr>
              <a:solidFill>
                <a:srgbClr val="4285F4"/>
              </a:solidFill>
              <a:ln cmpd="sng">
                <a:solidFill>
                  <a:srgbClr val="000000"/>
                </a:solidFill>
              </a:ln>
            </c:spPr>
          </c:dPt>
          <c:dPt>
            <c:idx val="232"/>
            <c:invertIfNegative val="1"/>
            <c:bubble3D val="0"/>
            <c:spPr>
              <a:solidFill>
                <a:srgbClr val="4285F4"/>
              </a:solidFill>
              <a:ln cmpd="sng">
                <a:solidFill>
                  <a:srgbClr val="000000"/>
                </a:solidFill>
              </a:ln>
            </c:spPr>
          </c:dPt>
          <c:dPt>
            <c:idx val="233"/>
            <c:invertIfNegative val="1"/>
            <c:bubble3D val="0"/>
            <c:spPr>
              <a:solidFill>
                <a:srgbClr val="4285F4"/>
              </a:solidFill>
              <a:ln cmpd="sng">
                <a:solidFill>
                  <a:srgbClr val="000000"/>
                </a:solidFill>
              </a:ln>
            </c:spPr>
          </c:dPt>
          <c:dPt>
            <c:idx val="234"/>
            <c:invertIfNegative val="1"/>
            <c:bubble3D val="0"/>
            <c:spPr>
              <a:solidFill>
                <a:srgbClr val="4285F4"/>
              </a:solidFill>
              <a:ln cmpd="sng">
                <a:solidFill>
                  <a:srgbClr val="000000"/>
                </a:solidFill>
              </a:ln>
            </c:spPr>
          </c:dPt>
          <c:dPt>
            <c:idx val="235"/>
            <c:invertIfNegative val="1"/>
            <c:bubble3D val="0"/>
            <c:spPr>
              <a:solidFill>
                <a:srgbClr val="4285F4"/>
              </a:solidFill>
              <a:ln cmpd="sng">
                <a:solidFill>
                  <a:srgbClr val="000000"/>
                </a:solidFill>
              </a:ln>
            </c:spPr>
          </c:dPt>
          <c:dPt>
            <c:idx val="236"/>
            <c:invertIfNegative val="1"/>
            <c:bubble3D val="0"/>
            <c:spPr>
              <a:solidFill>
                <a:srgbClr val="4285F4"/>
              </a:solidFill>
              <a:ln cmpd="sng">
                <a:solidFill>
                  <a:srgbClr val="000000"/>
                </a:solidFill>
              </a:ln>
            </c:spPr>
          </c:dPt>
          <c:dPt>
            <c:idx val="237"/>
            <c:invertIfNegative val="1"/>
            <c:bubble3D val="0"/>
            <c:spPr>
              <a:solidFill>
                <a:srgbClr val="4285F4"/>
              </a:solidFill>
              <a:ln cmpd="sng">
                <a:solidFill>
                  <a:srgbClr val="000000"/>
                </a:solidFill>
              </a:ln>
            </c:spPr>
          </c:dPt>
          <c:dPt>
            <c:idx val="238"/>
            <c:invertIfNegative val="1"/>
            <c:bubble3D val="0"/>
            <c:spPr>
              <a:solidFill>
                <a:srgbClr val="4285F4"/>
              </a:solidFill>
              <a:ln cmpd="sng">
                <a:solidFill>
                  <a:srgbClr val="000000"/>
                </a:solidFill>
              </a:ln>
            </c:spPr>
          </c:dPt>
          <c:dPt>
            <c:idx val="239"/>
            <c:invertIfNegative val="1"/>
            <c:bubble3D val="0"/>
            <c:spPr>
              <a:solidFill>
                <a:srgbClr val="4285F4"/>
              </a:solidFill>
              <a:ln cmpd="sng">
                <a:solidFill>
                  <a:srgbClr val="000000"/>
                </a:solidFill>
              </a:ln>
            </c:spPr>
          </c:dPt>
          <c:dPt>
            <c:idx val="240"/>
            <c:invertIfNegative val="1"/>
            <c:bubble3D val="0"/>
            <c:spPr>
              <a:solidFill>
                <a:srgbClr val="4285F4"/>
              </a:solidFill>
              <a:ln cmpd="sng">
                <a:solidFill>
                  <a:srgbClr val="000000"/>
                </a:solidFill>
              </a:ln>
            </c:spPr>
          </c:dPt>
          <c:dPt>
            <c:idx val="241"/>
            <c:invertIfNegative val="1"/>
            <c:bubble3D val="0"/>
            <c:spPr>
              <a:solidFill>
                <a:srgbClr val="4285F4"/>
              </a:solidFill>
              <a:ln cmpd="sng">
                <a:solidFill>
                  <a:srgbClr val="000000"/>
                </a:solidFill>
              </a:ln>
            </c:spPr>
          </c:dPt>
          <c:dPt>
            <c:idx val="242"/>
            <c:invertIfNegative val="1"/>
            <c:bubble3D val="0"/>
            <c:spPr>
              <a:solidFill>
                <a:srgbClr val="4285F4"/>
              </a:solidFill>
              <a:ln cmpd="sng">
                <a:solidFill>
                  <a:srgbClr val="000000"/>
                </a:solidFill>
              </a:ln>
            </c:spPr>
          </c:dPt>
          <c:dPt>
            <c:idx val="243"/>
            <c:invertIfNegative val="1"/>
            <c:bubble3D val="0"/>
            <c:spPr>
              <a:solidFill>
                <a:srgbClr val="4285F4"/>
              </a:solidFill>
              <a:ln cmpd="sng">
                <a:solidFill>
                  <a:srgbClr val="000000"/>
                </a:solidFill>
              </a:ln>
            </c:spPr>
          </c:dPt>
          <c:dPt>
            <c:idx val="244"/>
            <c:invertIfNegative val="1"/>
            <c:bubble3D val="0"/>
            <c:spPr>
              <a:solidFill>
                <a:srgbClr val="4285F4"/>
              </a:solidFill>
              <a:ln cmpd="sng">
                <a:solidFill>
                  <a:srgbClr val="000000"/>
                </a:solidFill>
              </a:ln>
            </c:spPr>
          </c:dPt>
          <c:dPt>
            <c:idx val="245"/>
            <c:invertIfNegative val="1"/>
            <c:bubble3D val="0"/>
            <c:spPr>
              <a:solidFill>
                <a:srgbClr val="4285F4"/>
              </a:solidFill>
              <a:ln cmpd="sng">
                <a:solidFill>
                  <a:srgbClr val="000000"/>
                </a:solidFill>
              </a:ln>
            </c:spPr>
          </c:dPt>
          <c:dPt>
            <c:idx val="246"/>
            <c:invertIfNegative val="1"/>
            <c:bubble3D val="0"/>
            <c:spPr>
              <a:solidFill>
                <a:srgbClr val="4285F4"/>
              </a:solidFill>
              <a:ln cmpd="sng">
                <a:solidFill>
                  <a:srgbClr val="000000"/>
                </a:solidFill>
              </a:ln>
            </c:spPr>
          </c:dPt>
          <c:dPt>
            <c:idx val="247"/>
            <c:invertIfNegative val="1"/>
            <c:bubble3D val="0"/>
            <c:spPr>
              <a:solidFill>
                <a:srgbClr val="4285F4"/>
              </a:solidFill>
              <a:ln cmpd="sng">
                <a:solidFill>
                  <a:srgbClr val="000000"/>
                </a:solidFill>
              </a:ln>
            </c:spPr>
          </c:dPt>
          <c:dPt>
            <c:idx val="248"/>
            <c:invertIfNegative val="1"/>
            <c:bubble3D val="0"/>
            <c:spPr>
              <a:solidFill>
                <a:srgbClr val="4285F4"/>
              </a:solidFill>
              <a:ln cmpd="sng">
                <a:solidFill>
                  <a:srgbClr val="000000"/>
                </a:solidFill>
              </a:ln>
            </c:spPr>
          </c:dPt>
          <c:dPt>
            <c:idx val="249"/>
            <c:invertIfNegative val="1"/>
            <c:bubble3D val="0"/>
            <c:spPr>
              <a:solidFill>
                <a:srgbClr val="4285F4"/>
              </a:solidFill>
              <a:ln cmpd="sng">
                <a:solidFill>
                  <a:srgbClr val="000000"/>
                </a:solidFill>
              </a:ln>
            </c:spPr>
          </c:dPt>
          <c:dPt>
            <c:idx val="250"/>
            <c:invertIfNegative val="1"/>
            <c:bubble3D val="0"/>
            <c:spPr>
              <a:solidFill>
                <a:srgbClr val="4285F4"/>
              </a:solidFill>
              <a:ln cmpd="sng">
                <a:solidFill>
                  <a:srgbClr val="000000"/>
                </a:solidFill>
              </a:ln>
            </c:spPr>
          </c:dPt>
          <c:dPt>
            <c:idx val="251"/>
            <c:invertIfNegative val="1"/>
            <c:bubble3D val="0"/>
            <c:spPr>
              <a:solidFill>
                <a:srgbClr val="4285F4"/>
              </a:solidFill>
              <a:ln cmpd="sng">
                <a:solidFill>
                  <a:srgbClr val="000000"/>
                </a:solidFill>
              </a:ln>
            </c:spPr>
          </c:dPt>
          <c:dPt>
            <c:idx val="252"/>
            <c:invertIfNegative val="1"/>
            <c:bubble3D val="0"/>
            <c:spPr>
              <a:solidFill>
                <a:srgbClr val="4285F4"/>
              </a:solidFill>
              <a:ln cmpd="sng">
                <a:solidFill>
                  <a:srgbClr val="000000"/>
                </a:solidFill>
              </a:ln>
            </c:spPr>
          </c:dPt>
          <c:dPt>
            <c:idx val="253"/>
            <c:invertIfNegative val="1"/>
            <c:bubble3D val="0"/>
            <c:spPr>
              <a:solidFill>
                <a:srgbClr val="4285F4"/>
              </a:solidFill>
              <a:ln cmpd="sng">
                <a:solidFill>
                  <a:srgbClr val="000000"/>
                </a:solidFill>
              </a:ln>
            </c:spPr>
          </c:dPt>
          <c:dPt>
            <c:idx val="254"/>
            <c:invertIfNegative val="1"/>
            <c:bubble3D val="0"/>
            <c:spPr>
              <a:solidFill>
                <a:srgbClr val="4285F4"/>
              </a:solidFill>
              <a:ln cmpd="sng">
                <a:solidFill>
                  <a:srgbClr val="000000"/>
                </a:solidFill>
              </a:ln>
            </c:spPr>
          </c:dPt>
          <c:dPt>
            <c:idx val="255"/>
            <c:invertIfNegative val="1"/>
            <c:bubble3D val="0"/>
            <c:spPr>
              <a:solidFill>
                <a:srgbClr val="4285F4"/>
              </a:solidFill>
              <a:ln cmpd="sng">
                <a:solidFill>
                  <a:srgbClr val="000000"/>
                </a:solidFill>
              </a:ln>
            </c:spPr>
          </c:dPt>
          <c:dPt>
            <c:idx val="256"/>
            <c:invertIfNegative val="1"/>
            <c:bubble3D val="0"/>
            <c:spPr>
              <a:solidFill>
                <a:srgbClr val="4285F4"/>
              </a:solidFill>
              <a:ln cmpd="sng">
                <a:solidFill>
                  <a:srgbClr val="000000"/>
                </a:solidFill>
              </a:ln>
            </c:spPr>
          </c:dPt>
          <c:dPt>
            <c:idx val="257"/>
            <c:invertIfNegative val="1"/>
            <c:bubble3D val="0"/>
            <c:spPr>
              <a:solidFill>
                <a:srgbClr val="4285F4"/>
              </a:solidFill>
              <a:ln cmpd="sng">
                <a:solidFill>
                  <a:srgbClr val="000000"/>
                </a:solidFill>
              </a:ln>
            </c:spPr>
          </c:dPt>
          <c:dPt>
            <c:idx val="258"/>
            <c:invertIfNegative val="1"/>
            <c:bubble3D val="0"/>
            <c:spPr>
              <a:solidFill>
                <a:srgbClr val="4285F4"/>
              </a:solidFill>
              <a:ln cmpd="sng">
                <a:solidFill>
                  <a:srgbClr val="000000"/>
                </a:solidFill>
              </a:ln>
            </c:spPr>
          </c:dPt>
          <c:dPt>
            <c:idx val="259"/>
            <c:invertIfNegative val="1"/>
            <c:bubble3D val="0"/>
            <c:spPr>
              <a:solidFill>
                <a:srgbClr val="4285F4"/>
              </a:solidFill>
              <a:ln cmpd="sng">
                <a:solidFill>
                  <a:srgbClr val="000000"/>
                </a:solidFill>
              </a:ln>
            </c:spPr>
          </c:dPt>
          <c:dPt>
            <c:idx val="260"/>
            <c:invertIfNegative val="1"/>
            <c:bubble3D val="0"/>
            <c:spPr>
              <a:solidFill>
                <a:srgbClr val="4285F4"/>
              </a:solidFill>
              <a:ln cmpd="sng">
                <a:solidFill>
                  <a:srgbClr val="000000"/>
                </a:solidFill>
              </a:ln>
            </c:spPr>
          </c:dPt>
          <c:dPt>
            <c:idx val="261"/>
            <c:invertIfNegative val="1"/>
            <c:bubble3D val="0"/>
            <c:spPr>
              <a:solidFill>
                <a:srgbClr val="4285F4"/>
              </a:solidFill>
              <a:ln cmpd="sng">
                <a:solidFill>
                  <a:srgbClr val="000000"/>
                </a:solidFill>
              </a:ln>
            </c:spPr>
          </c:dPt>
          <c:dPt>
            <c:idx val="262"/>
            <c:invertIfNegative val="1"/>
            <c:bubble3D val="0"/>
            <c:spPr>
              <a:solidFill>
                <a:srgbClr val="4285F4"/>
              </a:solidFill>
              <a:ln cmpd="sng">
                <a:solidFill>
                  <a:srgbClr val="000000"/>
                </a:solidFill>
              </a:ln>
            </c:spPr>
          </c:dPt>
          <c:dPt>
            <c:idx val="263"/>
            <c:invertIfNegative val="1"/>
            <c:bubble3D val="0"/>
            <c:spPr>
              <a:solidFill>
                <a:srgbClr val="4285F4"/>
              </a:solidFill>
              <a:ln cmpd="sng">
                <a:solidFill>
                  <a:srgbClr val="000000"/>
                </a:solidFill>
              </a:ln>
            </c:spPr>
          </c:dPt>
          <c:dPt>
            <c:idx val="264"/>
            <c:invertIfNegative val="1"/>
            <c:bubble3D val="0"/>
            <c:spPr>
              <a:solidFill>
                <a:srgbClr val="4285F4"/>
              </a:solidFill>
              <a:ln cmpd="sng">
                <a:solidFill>
                  <a:srgbClr val="000000"/>
                </a:solidFill>
              </a:ln>
            </c:spPr>
          </c:dPt>
          <c:dPt>
            <c:idx val="265"/>
            <c:invertIfNegative val="1"/>
            <c:bubble3D val="0"/>
            <c:spPr>
              <a:solidFill>
                <a:srgbClr val="4285F4"/>
              </a:solidFill>
              <a:ln cmpd="sng">
                <a:solidFill>
                  <a:srgbClr val="000000"/>
                </a:solidFill>
              </a:ln>
            </c:spPr>
          </c:dPt>
          <c:dPt>
            <c:idx val="266"/>
            <c:invertIfNegative val="1"/>
            <c:bubble3D val="0"/>
            <c:spPr>
              <a:solidFill>
                <a:srgbClr val="4285F4"/>
              </a:solidFill>
              <a:ln cmpd="sng">
                <a:solidFill>
                  <a:srgbClr val="000000"/>
                </a:solidFill>
              </a:ln>
            </c:spPr>
          </c:dPt>
          <c:dPt>
            <c:idx val="267"/>
            <c:invertIfNegative val="1"/>
            <c:bubble3D val="0"/>
            <c:spPr>
              <a:solidFill>
                <a:srgbClr val="4285F4"/>
              </a:solidFill>
              <a:ln cmpd="sng">
                <a:solidFill>
                  <a:srgbClr val="000000"/>
                </a:solidFill>
              </a:ln>
            </c:spPr>
          </c:dPt>
          <c:dPt>
            <c:idx val="268"/>
            <c:invertIfNegative val="1"/>
            <c:bubble3D val="0"/>
            <c:spPr>
              <a:solidFill>
                <a:srgbClr val="4285F4"/>
              </a:solidFill>
              <a:ln cmpd="sng">
                <a:solidFill>
                  <a:srgbClr val="000000"/>
                </a:solidFill>
              </a:ln>
            </c:spPr>
          </c:dPt>
          <c:dPt>
            <c:idx val="269"/>
            <c:invertIfNegative val="1"/>
            <c:bubble3D val="0"/>
            <c:spPr>
              <a:solidFill>
                <a:srgbClr val="4285F4"/>
              </a:solidFill>
              <a:ln cmpd="sng">
                <a:solidFill>
                  <a:srgbClr val="000000"/>
                </a:solidFill>
              </a:ln>
            </c:spPr>
          </c:dPt>
          <c:dPt>
            <c:idx val="270"/>
            <c:invertIfNegative val="1"/>
            <c:bubble3D val="0"/>
            <c:spPr>
              <a:solidFill>
                <a:srgbClr val="4285F4"/>
              </a:solidFill>
              <a:ln cmpd="sng">
                <a:solidFill>
                  <a:srgbClr val="000000"/>
                </a:solidFill>
              </a:ln>
            </c:spPr>
          </c:dPt>
          <c:dPt>
            <c:idx val="271"/>
            <c:invertIfNegative val="1"/>
            <c:bubble3D val="0"/>
            <c:spPr>
              <a:solidFill>
                <a:srgbClr val="4285F4"/>
              </a:solidFill>
              <a:ln cmpd="sng">
                <a:solidFill>
                  <a:srgbClr val="000000"/>
                </a:solidFill>
              </a:ln>
            </c:spPr>
          </c:dPt>
          <c:dPt>
            <c:idx val="272"/>
            <c:invertIfNegative val="1"/>
            <c:bubble3D val="0"/>
            <c:spPr>
              <a:solidFill>
                <a:srgbClr val="4285F4"/>
              </a:solidFill>
              <a:ln cmpd="sng">
                <a:solidFill>
                  <a:srgbClr val="000000"/>
                </a:solidFill>
              </a:ln>
            </c:spPr>
          </c:dPt>
          <c:dPt>
            <c:idx val="273"/>
            <c:invertIfNegative val="1"/>
            <c:bubble3D val="0"/>
            <c:spPr>
              <a:solidFill>
                <a:srgbClr val="4285F4"/>
              </a:solidFill>
              <a:ln cmpd="sng">
                <a:solidFill>
                  <a:srgbClr val="000000"/>
                </a:solidFill>
              </a:ln>
            </c:spPr>
          </c:dPt>
          <c:dPt>
            <c:idx val="274"/>
            <c:invertIfNegative val="1"/>
            <c:bubble3D val="0"/>
            <c:spPr>
              <a:solidFill>
                <a:srgbClr val="4285F4"/>
              </a:solidFill>
              <a:ln cmpd="sng">
                <a:solidFill>
                  <a:srgbClr val="000000"/>
                </a:solidFill>
              </a:ln>
            </c:spPr>
          </c:dPt>
          <c:dPt>
            <c:idx val="275"/>
            <c:invertIfNegative val="1"/>
            <c:bubble3D val="0"/>
            <c:spPr>
              <a:solidFill>
                <a:srgbClr val="4285F4"/>
              </a:solidFill>
              <a:ln cmpd="sng">
                <a:solidFill>
                  <a:srgbClr val="000000"/>
                </a:solidFill>
              </a:ln>
            </c:spPr>
          </c:dPt>
          <c:dPt>
            <c:idx val="276"/>
            <c:invertIfNegative val="1"/>
            <c:bubble3D val="0"/>
            <c:spPr>
              <a:solidFill>
                <a:srgbClr val="4285F4"/>
              </a:solidFill>
              <a:ln cmpd="sng">
                <a:solidFill>
                  <a:srgbClr val="000000"/>
                </a:solidFill>
              </a:ln>
            </c:spPr>
          </c:dPt>
          <c:dPt>
            <c:idx val="277"/>
            <c:invertIfNegative val="1"/>
            <c:bubble3D val="0"/>
            <c:spPr>
              <a:solidFill>
                <a:srgbClr val="4285F4"/>
              </a:solidFill>
              <a:ln cmpd="sng">
                <a:solidFill>
                  <a:srgbClr val="000000"/>
                </a:solidFill>
              </a:ln>
            </c:spPr>
          </c:dPt>
          <c:dPt>
            <c:idx val="278"/>
            <c:invertIfNegative val="1"/>
            <c:bubble3D val="0"/>
            <c:spPr>
              <a:solidFill>
                <a:srgbClr val="4285F4"/>
              </a:solidFill>
              <a:ln cmpd="sng">
                <a:solidFill>
                  <a:srgbClr val="000000"/>
                </a:solidFill>
              </a:ln>
            </c:spPr>
          </c:dPt>
          <c:dPt>
            <c:idx val="279"/>
            <c:invertIfNegative val="1"/>
            <c:bubble3D val="0"/>
            <c:spPr>
              <a:solidFill>
                <a:srgbClr val="4285F4"/>
              </a:solidFill>
              <a:ln cmpd="sng">
                <a:solidFill>
                  <a:srgbClr val="000000"/>
                </a:solidFill>
              </a:ln>
            </c:spPr>
          </c:dPt>
          <c:dPt>
            <c:idx val="280"/>
            <c:invertIfNegative val="1"/>
            <c:bubble3D val="0"/>
            <c:spPr>
              <a:solidFill>
                <a:srgbClr val="4285F4"/>
              </a:solidFill>
              <a:ln cmpd="sng">
                <a:solidFill>
                  <a:srgbClr val="000000"/>
                </a:solidFill>
              </a:ln>
            </c:spPr>
          </c:dPt>
          <c:dPt>
            <c:idx val="281"/>
            <c:invertIfNegative val="1"/>
            <c:bubble3D val="0"/>
            <c:spPr>
              <a:solidFill>
                <a:srgbClr val="4285F4"/>
              </a:solidFill>
              <a:ln cmpd="sng">
                <a:solidFill>
                  <a:srgbClr val="000000"/>
                </a:solidFill>
              </a:ln>
            </c:spPr>
          </c:dPt>
          <c:dPt>
            <c:idx val="282"/>
            <c:invertIfNegative val="1"/>
            <c:bubble3D val="0"/>
            <c:spPr>
              <a:solidFill>
                <a:srgbClr val="4285F4"/>
              </a:solidFill>
              <a:ln cmpd="sng">
                <a:solidFill>
                  <a:srgbClr val="000000"/>
                </a:solidFill>
              </a:ln>
            </c:spPr>
          </c:dPt>
          <c:dPt>
            <c:idx val="283"/>
            <c:invertIfNegative val="1"/>
            <c:bubble3D val="0"/>
            <c:spPr>
              <a:solidFill>
                <a:srgbClr val="4285F4"/>
              </a:solidFill>
              <a:ln cmpd="sng">
                <a:solidFill>
                  <a:srgbClr val="000000"/>
                </a:solidFill>
              </a:ln>
            </c:spPr>
          </c:dPt>
          <c:dPt>
            <c:idx val="284"/>
            <c:invertIfNegative val="1"/>
            <c:bubble3D val="0"/>
            <c:spPr>
              <a:solidFill>
                <a:srgbClr val="4285F4"/>
              </a:solidFill>
              <a:ln cmpd="sng">
                <a:solidFill>
                  <a:srgbClr val="000000"/>
                </a:solidFill>
              </a:ln>
            </c:spPr>
          </c:dPt>
          <c:dPt>
            <c:idx val="285"/>
            <c:invertIfNegative val="1"/>
            <c:bubble3D val="0"/>
            <c:spPr>
              <a:solidFill>
                <a:srgbClr val="4285F4"/>
              </a:solidFill>
              <a:ln cmpd="sng">
                <a:solidFill>
                  <a:srgbClr val="000000"/>
                </a:solidFill>
              </a:ln>
            </c:spPr>
          </c:dPt>
          <c:dPt>
            <c:idx val="286"/>
            <c:invertIfNegative val="1"/>
            <c:bubble3D val="0"/>
            <c:spPr>
              <a:solidFill>
                <a:srgbClr val="4285F4"/>
              </a:solidFill>
              <a:ln cmpd="sng">
                <a:solidFill>
                  <a:srgbClr val="000000"/>
                </a:solidFill>
              </a:ln>
            </c:spPr>
          </c:dPt>
          <c:dPt>
            <c:idx val="287"/>
            <c:invertIfNegative val="1"/>
            <c:bubble3D val="0"/>
            <c:spPr>
              <a:solidFill>
                <a:srgbClr val="4285F4"/>
              </a:solidFill>
              <a:ln cmpd="sng">
                <a:solidFill>
                  <a:srgbClr val="000000"/>
                </a:solidFill>
              </a:ln>
            </c:spPr>
          </c:dPt>
          <c:dPt>
            <c:idx val="288"/>
            <c:invertIfNegative val="1"/>
            <c:bubble3D val="0"/>
            <c:spPr>
              <a:solidFill>
                <a:srgbClr val="4285F4"/>
              </a:solidFill>
              <a:ln cmpd="sng">
                <a:solidFill>
                  <a:srgbClr val="000000"/>
                </a:solidFill>
              </a:ln>
            </c:spPr>
          </c:dPt>
          <c:dPt>
            <c:idx val="289"/>
            <c:invertIfNegative val="1"/>
            <c:bubble3D val="0"/>
            <c:spPr>
              <a:solidFill>
                <a:srgbClr val="4285F4"/>
              </a:solidFill>
              <a:ln cmpd="sng">
                <a:solidFill>
                  <a:srgbClr val="000000"/>
                </a:solidFill>
              </a:ln>
            </c:spPr>
          </c:dPt>
          <c:dPt>
            <c:idx val="290"/>
            <c:invertIfNegative val="1"/>
            <c:bubble3D val="0"/>
            <c:spPr>
              <a:solidFill>
                <a:srgbClr val="4285F4"/>
              </a:solidFill>
              <a:ln cmpd="sng">
                <a:solidFill>
                  <a:srgbClr val="000000"/>
                </a:solidFill>
              </a:ln>
            </c:spPr>
          </c:dPt>
          <c:dPt>
            <c:idx val="291"/>
            <c:invertIfNegative val="1"/>
            <c:bubble3D val="0"/>
            <c:spPr>
              <a:solidFill>
                <a:srgbClr val="4285F4"/>
              </a:solidFill>
              <a:ln cmpd="sng">
                <a:solidFill>
                  <a:srgbClr val="000000"/>
                </a:solidFill>
              </a:ln>
            </c:spPr>
          </c:dPt>
          <c:dPt>
            <c:idx val="292"/>
            <c:invertIfNegative val="1"/>
            <c:bubble3D val="0"/>
            <c:spPr>
              <a:solidFill>
                <a:srgbClr val="4285F4"/>
              </a:solidFill>
              <a:ln cmpd="sng">
                <a:solidFill>
                  <a:srgbClr val="000000"/>
                </a:solidFill>
              </a:ln>
            </c:spPr>
          </c:dPt>
          <c:dPt>
            <c:idx val="293"/>
            <c:invertIfNegative val="1"/>
            <c:bubble3D val="0"/>
            <c:spPr>
              <a:solidFill>
                <a:srgbClr val="4285F4"/>
              </a:solidFill>
              <a:ln cmpd="sng">
                <a:solidFill>
                  <a:srgbClr val="000000"/>
                </a:solidFill>
              </a:ln>
            </c:spPr>
          </c:dPt>
          <c:dPt>
            <c:idx val="294"/>
            <c:invertIfNegative val="1"/>
            <c:bubble3D val="0"/>
            <c:spPr>
              <a:solidFill>
                <a:srgbClr val="4285F4"/>
              </a:solidFill>
              <a:ln cmpd="sng">
                <a:solidFill>
                  <a:srgbClr val="000000"/>
                </a:solidFill>
              </a:ln>
            </c:spPr>
          </c:dPt>
          <c:dPt>
            <c:idx val="295"/>
            <c:invertIfNegative val="1"/>
            <c:bubble3D val="0"/>
            <c:spPr>
              <a:solidFill>
                <a:srgbClr val="4285F4"/>
              </a:solidFill>
              <a:ln cmpd="sng">
                <a:solidFill>
                  <a:srgbClr val="000000"/>
                </a:solidFill>
              </a:ln>
            </c:spPr>
          </c:dPt>
          <c:dPt>
            <c:idx val="296"/>
            <c:invertIfNegative val="1"/>
            <c:bubble3D val="0"/>
            <c:spPr>
              <a:solidFill>
                <a:srgbClr val="4285F4"/>
              </a:solidFill>
              <a:ln cmpd="sng">
                <a:solidFill>
                  <a:srgbClr val="000000"/>
                </a:solidFill>
              </a:ln>
            </c:spPr>
          </c:dPt>
          <c:dPt>
            <c:idx val="297"/>
            <c:invertIfNegative val="1"/>
            <c:bubble3D val="0"/>
            <c:spPr>
              <a:solidFill>
                <a:srgbClr val="4285F4"/>
              </a:solidFill>
              <a:ln cmpd="sng">
                <a:solidFill>
                  <a:srgbClr val="000000"/>
                </a:solidFill>
              </a:ln>
            </c:spPr>
          </c:dPt>
          <c:dPt>
            <c:idx val="298"/>
            <c:invertIfNegative val="1"/>
            <c:bubble3D val="0"/>
            <c:spPr>
              <a:solidFill>
                <a:srgbClr val="4285F4"/>
              </a:solidFill>
              <a:ln cmpd="sng">
                <a:solidFill>
                  <a:srgbClr val="000000"/>
                </a:solidFill>
              </a:ln>
            </c:spPr>
          </c:dPt>
          <c:dPt>
            <c:idx val="299"/>
            <c:invertIfNegative val="1"/>
            <c:bubble3D val="0"/>
            <c:spPr>
              <a:solidFill>
                <a:srgbClr val="4285F4"/>
              </a:solidFill>
              <a:ln cmpd="sng">
                <a:solidFill>
                  <a:srgbClr val="000000"/>
                </a:solidFill>
              </a:ln>
            </c:spPr>
          </c:dPt>
          <c:dPt>
            <c:idx val="300"/>
            <c:invertIfNegative val="1"/>
            <c:bubble3D val="0"/>
            <c:spPr>
              <a:solidFill>
                <a:srgbClr val="4285F4"/>
              </a:solidFill>
              <a:ln cmpd="sng">
                <a:solidFill>
                  <a:srgbClr val="000000"/>
                </a:solidFill>
              </a:ln>
            </c:spPr>
          </c:dPt>
          <c:dPt>
            <c:idx val="301"/>
            <c:invertIfNegative val="1"/>
            <c:bubble3D val="0"/>
            <c:spPr>
              <a:solidFill>
                <a:srgbClr val="4285F4"/>
              </a:solidFill>
              <a:ln cmpd="sng">
                <a:solidFill>
                  <a:srgbClr val="000000"/>
                </a:solidFill>
              </a:ln>
            </c:spPr>
          </c:dPt>
          <c:dPt>
            <c:idx val="302"/>
            <c:invertIfNegative val="1"/>
            <c:bubble3D val="0"/>
            <c:spPr>
              <a:solidFill>
                <a:srgbClr val="4285F4"/>
              </a:solidFill>
              <a:ln cmpd="sng">
                <a:solidFill>
                  <a:srgbClr val="000000"/>
                </a:solidFill>
              </a:ln>
            </c:spPr>
          </c:dPt>
          <c:dPt>
            <c:idx val="303"/>
            <c:invertIfNegative val="1"/>
            <c:bubble3D val="0"/>
            <c:spPr>
              <a:solidFill>
                <a:srgbClr val="4285F4"/>
              </a:solidFill>
              <a:ln cmpd="sng">
                <a:solidFill>
                  <a:srgbClr val="000000"/>
                </a:solidFill>
              </a:ln>
            </c:spPr>
          </c:dPt>
          <c:dPt>
            <c:idx val="304"/>
            <c:invertIfNegative val="1"/>
            <c:bubble3D val="0"/>
            <c:spPr>
              <a:solidFill>
                <a:srgbClr val="4285F4"/>
              </a:solidFill>
              <a:ln cmpd="sng">
                <a:solidFill>
                  <a:srgbClr val="000000"/>
                </a:solidFill>
              </a:ln>
            </c:spPr>
          </c:dPt>
          <c:dPt>
            <c:idx val="305"/>
            <c:invertIfNegative val="1"/>
            <c:bubble3D val="0"/>
            <c:spPr>
              <a:solidFill>
                <a:srgbClr val="4285F4"/>
              </a:solidFill>
              <a:ln cmpd="sng">
                <a:solidFill>
                  <a:srgbClr val="000000"/>
                </a:solidFill>
              </a:ln>
            </c:spPr>
          </c:dPt>
          <c:dPt>
            <c:idx val="306"/>
            <c:invertIfNegative val="1"/>
            <c:bubble3D val="0"/>
            <c:spPr>
              <a:solidFill>
                <a:srgbClr val="4285F4"/>
              </a:solidFill>
              <a:ln cmpd="sng">
                <a:solidFill>
                  <a:srgbClr val="000000"/>
                </a:solidFill>
              </a:ln>
            </c:spPr>
          </c:dPt>
          <c:dPt>
            <c:idx val="307"/>
            <c:invertIfNegative val="1"/>
            <c:bubble3D val="0"/>
            <c:spPr>
              <a:solidFill>
                <a:srgbClr val="4285F4"/>
              </a:solidFill>
              <a:ln cmpd="sng">
                <a:solidFill>
                  <a:srgbClr val="000000"/>
                </a:solidFill>
              </a:ln>
            </c:spPr>
          </c:dPt>
          <c:dPt>
            <c:idx val="308"/>
            <c:invertIfNegative val="1"/>
            <c:bubble3D val="0"/>
            <c:spPr>
              <a:solidFill>
                <a:srgbClr val="4285F4"/>
              </a:solidFill>
              <a:ln cmpd="sng">
                <a:solidFill>
                  <a:srgbClr val="000000"/>
                </a:solidFill>
              </a:ln>
            </c:spPr>
          </c:dPt>
          <c:dPt>
            <c:idx val="309"/>
            <c:invertIfNegative val="1"/>
            <c:bubble3D val="0"/>
            <c:spPr>
              <a:solidFill>
                <a:srgbClr val="4285F4"/>
              </a:solidFill>
              <a:ln cmpd="sng">
                <a:solidFill>
                  <a:srgbClr val="000000"/>
                </a:solidFill>
              </a:ln>
            </c:spPr>
          </c:dPt>
          <c:dPt>
            <c:idx val="310"/>
            <c:invertIfNegative val="1"/>
            <c:bubble3D val="0"/>
            <c:spPr>
              <a:solidFill>
                <a:srgbClr val="4285F4"/>
              </a:solidFill>
              <a:ln cmpd="sng">
                <a:solidFill>
                  <a:srgbClr val="000000"/>
                </a:solidFill>
              </a:ln>
            </c:spPr>
          </c:dPt>
          <c:dPt>
            <c:idx val="311"/>
            <c:invertIfNegative val="1"/>
            <c:bubble3D val="0"/>
            <c:spPr>
              <a:solidFill>
                <a:srgbClr val="4285F4"/>
              </a:solidFill>
              <a:ln cmpd="sng">
                <a:solidFill>
                  <a:srgbClr val="000000"/>
                </a:solidFill>
              </a:ln>
            </c:spPr>
          </c:dPt>
          <c:dPt>
            <c:idx val="312"/>
            <c:invertIfNegative val="1"/>
            <c:bubble3D val="0"/>
            <c:spPr>
              <a:solidFill>
                <a:srgbClr val="4285F4"/>
              </a:solidFill>
              <a:ln cmpd="sng">
                <a:solidFill>
                  <a:srgbClr val="000000"/>
                </a:solidFill>
              </a:ln>
            </c:spPr>
          </c:dPt>
          <c:dPt>
            <c:idx val="313"/>
            <c:invertIfNegative val="1"/>
            <c:bubble3D val="0"/>
            <c:spPr>
              <a:solidFill>
                <a:srgbClr val="4285F4"/>
              </a:solidFill>
              <a:ln cmpd="sng">
                <a:solidFill>
                  <a:srgbClr val="000000"/>
                </a:solidFill>
              </a:ln>
            </c:spPr>
          </c:dPt>
          <c:dPt>
            <c:idx val="314"/>
            <c:invertIfNegative val="1"/>
            <c:bubble3D val="0"/>
            <c:spPr>
              <a:solidFill>
                <a:srgbClr val="4285F4"/>
              </a:solidFill>
              <a:ln cmpd="sng">
                <a:solidFill>
                  <a:srgbClr val="000000"/>
                </a:solidFill>
              </a:ln>
            </c:spPr>
          </c:dPt>
          <c:dPt>
            <c:idx val="315"/>
            <c:invertIfNegative val="1"/>
            <c:bubble3D val="0"/>
            <c:spPr>
              <a:solidFill>
                <a:srgbClr val="4285F4"/>
              </a:solidFill>
              <a:ln cmpd="sng">
                <a:solidFill>
                  <a:srgbClr val="000000"/>
                </a:solidFill>
              </a:ln>
            </c:spPr>
          </c:dPt>
          <c:dPt>
            <c:idx val="316"/>
            <c:invertIfNegative val="1"/>
            <c:bubble3D val="0"/>
            <c:spPr>
              <a:solidFill>
                <a:srgbClr val="4285F4"/>
              </a:solidFill>
              <a:ln cmpd="sng">
                <a:solidFill>
                  <a:srgbClr val="000000"/>
                </a:solidFill>
              </a:ln>
            </c:spPr>
          </c:dPt>
          <c:dPt>
            <c:idx val="317"/>
            <c:invertIfNegative val="1"/>
            <c:bubble3D val="0"/>
            <c:spPr>
              <a:solidFill>
                <a:srgbClr val="4285F4"/>
              </a:solidFill>
              <a:ln cmpd="sng">
                <a:solidFill>
                  <a:srgbClr val="000000"/>
                </a:solidFill>
              </a:ln>
            </c:spPr>
          </c:dPt>
          <c:dPt>
            <c:idx val="318"/>
            <c:invertIfNegative val="1"/>
            <c:bubble3D val="0"/>
            <c:spPr>
              <a:solidFill>
                <a:srgbClr val="4285F4"/>
              </a:solidFill>
              <a:ln cmpd="sng">
                <a:solidFill>
                  <a:srgbClr val="000000"/>
                </a:solidFill>
              </a:ln>
            </c:spPr>
          </c:dPt>
          <c:dPt>
            <c:idx val="319"/>
            <c:invertIfNegative val="1"/>
            <c:bubble3D val="0"/>
            <c:spPr>
              <a:solidFill>
                <a:srgbClr val="4285F4"/>
              </a:solidFill>
              <a:ln cmpd="sng">
                <a:solidFill>
                  <a:srgbClr val="000000"/>
                </a:solidFill>
              </a:ln>
            </c:spPr>
          </c:dPt>
          <c:dPt>
            <c:idx val="320"/>
            <c:invertIfNegative val="1"/>
            <c:bubble3D val="0"/>
            <c:spPr>
              <a:solidFill>
                <a:srgbClr val="4285F4"/>
              </a:solidFill>
              <a:ln cmpd="sng">
                <a:solidFill>
                  <a:srgbClr val="000000"/>
                </a:solidFill>
              </a:ln>
            </c:spPr>
          </c:dPt>
          <c:dPt>
            <c:idx val="321"/>
            <c:invertIfNegative val="1"/>
            <c:bubble3D val="0"/>
            <c:spPr>
              <a:solidFill>
                <a:srgbClr val="4285F4"/>
              </a:solidFill>
              <a:ln cmpd="sng">
                <a:solidFill>
                  <a:srgbClr val="000000"/>
                </a:solidFill>
              </a:ln>
            </c:spPr>
          </c:dPt>
          <c:dPt>
            <c:idx val="322"/>
            <c:invertIfNegative val="1"/>
            <c:bubble3D val="0"/>
            <c:spPr>
              <a:solidFill>
                <a:srgbClr val="4285F4"/>
              </a:solidFill>
              <a:ln cmpd="sng">
                <a:solidFill>
                  <a:srgbClr val="000000"/>
                </a:solidFill>
              </a:ln>
            </c:spPr>
          </c:dPt>
          <c:dPt>
            <c:idx val="323"/>
            <c:invertIfNegative val="1"/>
            <c:bubble3D val="0"/>
            <c:spPr>
              <a:solidFill>
                <a:srgbClr val="4285F4"/>
              </a:solidFill>
              <a:ln cmpd="sng">
                <a:solidFill>
                  <a:srgbClr val="000000"/>
                </a:solidFill>
              </a:ln>
            </c:spPr>
          </c:dPt>
          <c:dPt>
            <c:idx val="324"/>
            <c:invertIfNegative val="1"/>
            <c:bubble3D val="0"/>
            <c:spPr>
              <a:solidFill>
                <a:srgbClr val="4285F4"/>
              </a:solidFill>
              <a:ln cmpd="sng">
                <a:solidFill>
                  <a:srgbClr val="000000"/>
                </a:solidFill>
              </a:ln>
            </c:spPr>
          </c:dPt>
          <c:dPt>
            <c:idx val="325"/>
            <c:invertIfNegative val="1"/>
            <c:bubble3D val="0"/>
            <c:spPr>
              <a:solidFill>
                <a:srgbClr val="4285F4"/>
              </a:solidFill>
              <a:ln cmpd="sng">
                <a:solidFill>
                  <a:srgbClr val="000000"/>
                </a:solidFill>
              </a:ln>
            </c:spPr>
          </c:dPt>
          <c:dPt>
            <c:idx val="326"/>
            <c:invertIfNegative val="1"/>
            <c:bubble3D val="0"/>
            <c:spPr>
              <a:solidFill>
                <a:srgbClr val="4285F4"/>
              </a:solidFill>
              <a:ln cmpd="sng">
                <a:solidFill>
                  <a:srgbClr val="000000"/>
                </a:solidFill>
              </a:ln>
            </c:spPr>
          </c:dPt>
          <c:dPt>
            <c:idx val="327"/>
            <c:invertIfNegative val="1"/>
            <c:bubble3D val="0"/>
            <c:spPr>
              <a:solidFill>
                <a:srgbClr val="4285F4"/>
              </a:solidFill>
              <a:ln cmpd="sng">
                <a:solidFill>
                  <a:srgbClr val="000000"/>
                </a:solidFill>
              </a:ln>
            </c:spPr>
          </c:dPt>
          <c:dPt>
            <c:idx val="328"/>
            <c:invertIfNegative val="1"/>
            <c:bubble3D val="0"/>
            <c:spPr>
              <a:solidFill>
                <a:srgbClr val="4285F4"/>
              </a:solidFill>
              <a:ln cmpd="sng">
                <a:solidFill>
                  <a:srgbClr val="000000"/>
                </a:solidFill>
              </a:ln>
            </c:spPr>
          </c:dPt>
          <c:dPt>
            <c:idx val="329"/>
            <c:invertIfNegative val="1"/>
            <c:bubble3D val="0"/>
            <c:spPr>
              <a:solidFill>
                <a:srgbClr val="4285F4"/>
              </a:solidFill>
              <a:ln cmpd="sng">
                <a:solidFill>
                  <a:srgbClr val="000000"/>
                </a:solidFill>
              </a:ln>
            </c:spPr>
          </c:dPt>
          <c:dPt>
            <c:idx val="330"/>
            <c:invertIfNegative val="1"/>
            <c:bubble3D val="0"/>
            <c:spPr>
              <a:solidFill>
                <a:srgbClr val="4285F4"/>
              </a:solidFill>
              <a:ln cmpd="sng">
                <a:solidFill>
                  <a:srgbClr val="000000"/>
                </a:solidFill>
              </a:ln>
            </c:spPr>
          </c:dPt>
          <c:dPt>
            <c:idx val="331"/>
            <c:invertIfNegative val="1"/>
            <c:bubble3D val="0"/>
            <c:spPr>
              <a:solidFill>
                <a:srgbClr val="4285F4"/>
              </a:solidFill>
              <a:ln cmpd="sng">
                <a:solidFill>
                  <a:srgbClr val="000000"/>
                </a:solidFill>
              </a:ln>
            </c:spPr>
          </c:dPt>
          <c:dPt>
            <c:idx val="332"/>
            <c:invertIfNegative val="1"/>
            <c:bubble3D val="0"/>
            <c:spPr>
              <a:solidFill>
                <a:srgbClr val="4285F4"/>
              </a:solidFill>
              <a:ln cmpd="sng">
                <a:solidFill>
                  <a:srgbClr val="000000"/>
                </a:solidFill>
              </a:ln>
            </c:spPr>
          </c:dPt>
          <c:dPt>
            <c:idx val="333"/>
            <c:invertIfNegative val="1"/>
            <c:bubble3D val="0"/>
            <c:spPr>
              <a:solidFill>
                <a:srgbClr val="4285F4"/>
              </a:solidFill>
              <a:ln cmpd="sng">
                <a:solidFill>
                  <a:srgbClr val="000000"/>
                </a:solidFill>
              </a:ln>
            </c:spPr>
          </c:dPt>
          <c:dPt>
            <c:idx val="334"/>
            <c:invertIfNegative val="1"/>
            <c:bubble3D val="0"/>
            <c:spPr>
              <a:solidFill>
                <a:srgbClr val="4285F4"/>
              </a:solidFill>
              <a:ln cmpd="sng">
                <a:solidFill>
                  <a:srgbClr val="000000"/>
                </a:solidFill>
              </a:ln>
            </c:spPr>
          </c:dPt>
          <c:dPt>
            <c:idx val="335"/>
            <c:invertIfNegative val="1"/>
            <c:bubble3D val="0"/>
            <c:spPr>
              <a:solidFill>
                <a:srgbClr val="4285F4"/>
              </a:solidFill>
              <a:ln cmpd="sng">
                <a:solidFill>
                  <a:srgbClr val="000000"/>
                </a:solidFill>
              </a:ln>
            </c:spPr>
          </c:dPt>
          <c:dPt>
            <c:idx val="336"/>
            <c:invertIfNegative val="1"/>
            <c:bubble3D val="0"/>
            <c:spPr>
              <a:solidFill>
                <a:srgbClr val="4285F4"/>
              </a:solidFill>
              <a:ln cmpd="sng">
                <a:solidFill>
                  <a:srgbClr val="000000"/>
                </a:solidFill>
              </a:ln>
            </c:spPr>
          </c:dPt>
          <c:dPt>
            <c:idx val="337"/>
            <c:invertIfNegative val="1"/>
            <c:bubble3D val="0"/>
            <c:spPr>
              <a:solidFill>
                <a:srgbClr val="4285F4"/>
              </a:solidFill>
              <a:ln cmpd="sng">
                <a:solidFill>
                  <a:srgbClr val="000000"/>
                </a:solidFill>
              </a:ln>
            </c:spPr>
          </c:dPt>
          <c:dPt>
            <c:idx val="338"/>
            <c:invertIfNegative val="1"/>
            <c:bubble3D val="0"/>
            <c:spPr>
              <a:solidFill>
                <a:srgbClr val="4285F4"/>
              </a:solidFill>
              <a:ln cmpd="sng">
                <a:solidFill>
                  <a:srgbClr val="000000"/>
                </a:solidFill>
              </a:ln>
            </c:spPr>
          </c:dPt>
          <c:dPt>
            <c:idx val="339"/>
            <c:invertIfNegative val="1"/>
            <c:bubble3D val="0"/>
            <c:spPr>
              <a:solidFill>
                <a:srgbClr val="4285F4"/>
              </a:solidFill>
              <a:ln cmpd="sng">
                <a:solidFill>
                  <a:srgbClr val="000000"/>
                </a:solidFill>
              </a:ln>
            </c:spPr>
          </c:dPt>
          <c:dPt>
            <c:idx val="340"/>
            <c:invertIfNegative val="1"/>
            <c:bubble3D val="0"/>
            <c:spPr>
              <a:solidFill>
                <a:srgbClr val="4285F4"/>
              </a:solidFill>
              <a:ln cmpd="sng">
                <a:solidFill>
                  <a:srgbClr val="000000"/>
                </a:solidFill>
              </a:ln>
            </c:spPr>
          </c:dPt>
          <c:dPt>
            <c:idx val="341"/>
            <c:invertIfNegative val="1"/>
            <c:bubble3D val="0"/>
            <c:spPr>
              <a:solidFill>
                <a:srgbClr val="4285F4"/>
              </a:solidFill>
              <a:ln cmpd="sng">
                <a:solidFill>
                  <a:srgbClr val="000000"/>
                </a:solidFill>
              </a:ln>
            </c:spPr>
          </c:dPt>
          <c:dPt>
            <c:idx val="342"/>
            <c:invertIfNegative val="1"/>
            <c:bubble3D val="0"/>
            <c:spPr>
              <a:solidFill>
                <a:srgbClr val="4285F4"/>
              </a:solidFill>
              <a:ln cmpd="sng">
                <a:solidFill>
                  <a:srgbClr val="000000"/>
                </a:solidFill>
              </a:ln>
            </c:spPr>
          </c:dPt>
          <c:dPt>
            <c:idx val="343"/>
            <c:invertIfNegative val="1"/>
            <c:bubble3D val="0"/>
            <c:spPr>
              <a:solidFill>
                <a:srgbClr val="4285F4"/>
              </a:solidFill>
              <a:ln cmpd="sng">
                <a:solidFill>
                  <a:srgbClr val="000000"/>
                </a:solidFill>
              </a:ln>
            </c:spPr>
          </c:dPt>
          <c:dPt>
            <c:idx val="344"/>
            <c:invertIfNegative val="1"/>
            <c:bubble3D val="0"/>
            <c:spPr>
              <a:solidFill>
                <a:srgbClr val="4285F4"/>
              </a:solidFill>
              <a:ln cmpd="sng">
                <a:solidFill>
                  <a:srgbClr val="000000"/>
                </a:solidFill>
              </a:ln>
            </c:spPr>
          </c:dPt>
          <c:dPt>
            <c:idx val="345"/>
            <c:invertIfNegative val="1"/>
            <c:bubble3D val="0"/>
            <c:spPr>
              <a:solidFill>
                <a:srgbClr val="4285F4"/>
              </a:solidFill>
              <a:ln cmpd="sng">
                <a:solidFill>
                  <a:srgbClr val="000000"/>
                </a:solidFill>
              </a:ln>
            </c:spPr>
          </c:dPt>
          <c:dPt>
            <c:idx val="346"/>
            <c:invertIfNegative val="1"/>
            <c:bubble3D val="0"/>
            <c:spPr>
              <a:solidFill>
                <a:srgbClr val="4285F4"/>
              </a:solidFill>
              <a:ln cmpd="sng">
                <a:solidFill>
                  <a:srgbClr val="000000"/>
                </a:solidFill>
              </a:ln>
            </c:spPr>
          </c:dPt>
          <c:dPt>
            <c:idx val="347"/>
            <c:invertIfNegative val="1"/>
            <c:bubble3D val="0"/>
            <c:spPr>
              <a:solidFill>
                <a:srgbClr val="4285F4"/>
              </a:solidFill>
              <a:ln cmpd="sng">
                <a:solidFill>
                  <a:srgbClr val="000000"/>
                </a:solidFill>
              </a:ln>
            </c:spPr>
          </c:dPt>
          <c:dPt>
            <c:idx val="348"/>
            <c:invertIfNegative val="1"/>
            <c:bubble3D val="0"/>
            <c:spPr>
              <a:solidFill>
                <a:srgbClr val="4285F4"/>
              </a:solidFill>
              <a:ln cmpd="sng">
                <a:solidFill>
                  <a:srgbClr val="000000"/>
                </a:solidFill>
              </a:ln>
            </c:spPr>
          </c:dPt>
          <c:dPt>
            <c:idx val="349"/>
            <c:invertIfNegative val="1"/>
            <c:bubble3D val="0"/>
            <c:spPr>
              <a:solidFill>
                <a:srgbClr val="4285F4"/>
              </a:solidFill>
              <a:ln cmpd="sng">
                <a:solidFill>
                  <a:srgbClr val="000000"/>
                </a:solidFill>
              </a:ln>
            </c:spPr>
          </c:dPt>
          <c:dPt>
            <c:idx val="350"/>
            <c:invertIfNegative val="1"/>
            <c:bubble3D val="0"/>
            <c:spPr>
              <a:solidFill>
                <a:srgbClr val="4285F4"/>
              </a:solidFill>
              <a:ln cmpd="sng">
                <a:solidFill>
                  <a:srgbClr val="000000"/>
                </a:solidFill>
              </a:ln>
            </c:spPr>
          </c:dPt>
          <c:dPt>
            <c:idx val="351"/>
            <c:invertIfNegative val="1"/>
            <c:bubble3D val="0"/>
            <c:spPr>
              <a:solidFill>
                <a:srgbClr val="4285F4"/>
              </a:solidFill>
              <a:ln cmpd="sng">
                <a:solidFill>
                  <a:srgbClr val="000000"/>
                </a:solidFill>
              </a:ln>
            </c:spPr>
          </c:dPt>
          <c:dPt>
            <c:idx val="352"/>
            <c:invertIfNegative val="1"/>
            <c:bubble3D val="0"/>
            <c:spPr>
              <a:solidFill>
                <a:srgbClr val="4285F4"/>
              </a:solidFill>
              <a:ln cmpd="sng">
                <a:solidFill>
                  <a:srgbClr val="000000"/>
                </a:solidFill>
              </a:ln>
            </c:spPr>
          </c:dPt>
          <c:dPt>
            <c:idx val="353"/>
            <c:invertIfNegative val="1"/>
            <c:bubble3D val="0"/>
            <c:spPr>
              <a:solidFill>
                <a:srgbClr val="4285F4"/>
              </a:solidFill>
              <a:ln cmpd="sng">
                <a:solidFill>
                  <a:srgbClr val="000000"/>
                </a:solidFill>
              </a:ln>
            </c:spPr>
          </c:dPt>
          <c:dPt>
            <c:idx val="354"/>
            <c:invertIfNegative val="1"/>
            <c:bubble3D val="0"/>
            <c:spPr>
              <a:solidFill>
                <a:srgbClr val="4285F4"/>
              </a:solidFill>
              <a:ln cmpd="sng">
                <a:solidFill>
                  <a:srgbClr val="000000"/>
                </a:solidFill>
              </a:ln>
            </c:spPr>
          </c:dPt>
          <c:dPt>
            <c:idx val="355"/>
            <c:invertIfNegative val="1"/>
            <c:bubble3D val="0"/>
            <c:spPr>
              <a:solidFill>
                <a:srgbClr val="4285F4"/>
              </a:solidFill>
              <a:ln cmpd="sng">
                <a:solidFill>
                  <a:srgbClr val="000000"/>
                </a:solidFill>
              </a:ln>
            </c:spPr>
          </c:dPt>
          <c:dPt>
            <c:idx val="356"/>
            <c:invertIfNegative val="1"/>
            <c:bubble3D val="0"/>
            <c:spPr>
              <a:solidFill>
                <a:srgbClr val="4285F4"/>
              </a:solidFill>
              <a:ln cmpd="sng">
                <a:solidFill>
                  <a:srgbClr val="000000"/>
                </a:solidFill>
              </a:ln>
            </c:spPr>
          </c:dPt>
          <c:dPt>
            <c:idx val="357"/>
            <c:invertIfNegative val="1"/>
            <c:bubble3D val="0"/>
            <c:spPr>
              <a:solidFill>
                <a:srgbClr val="4285F4"/>
              </a:solidFill>
              <a:ln cmpd="sng">
                <a:solidFill>
                  <a:srgbClr val="000000"/>
                </a:solidFill>
              </a:ln>
            </c:spPr>
          </c:dPt>
          <c:dPt>
            <c:idx val="358"/>
            <c:invertIfNegative val="1"/>
            <c:bubble3D val="0"/>
            <c:spPr>
              <a:solidFill>
                <a:srgbClr val="4285F4"/>
              </a:solidFill>
              <a:ln cmpd="sng">
                <a:solidFill>
                  <a:srgbClr val="000000"/>
                </a:solidFill>
              </a:ln>
            </c:spPr>
          </c:dPt>
          <c:dPt>
            <c:idx val="359"/>
            <c:invertIfNegative val="1"/>
            <c:bubble3D val="0"/>
            <c:spPr>
              <a:solidFill>
                <a:srgbClr val="4285F4"/>
              </a:solidFill>
              <a:ln cmpd="sng">
                <a:solidFill>
                  <a:srgbClr val="000000"/>
                </a:solidFill>
              </a:ln>
            </c:spPr>
          </c:dPt>
          <c:dPt>
            <c:idx val="360"/>
            <c:invertIfNegative val="1"/>
            <c:bubble3D val="0"/>
            <c:spPr>
              <a:solidFill>
                <a:srgbClr val="4285F4"/>
              </a:solidFill>
              <a:ln cmpd="sng">
                <a:solidFill>
                  <a:srgbClr val="000000"/>
                </a:solidFill>
              </a:ln>
            </c:spPr>
          </c:dPt>
          <c:dPt>
            <c:idx val="361"/>
            <c:invertIfNegative val="1"/>
            <c:bubble3D val="0"/>
            <c:spPr>
              <a:solidFill>
                <a:srgbClr val="4285F4"/>
              </a:solidFill>
              <a:ln cmpd="sng">
                <a:solidFill>
                  <a:srgbClr val="000000"/>
                </a:solidFill>
              </a:ln>
            </c:spPr>
          </c:dPt>
          <c:dPt>
            <c:idx val="362"/>
            <c:invertIfNegative val="1"/>
            <c:bubble3D val="0"/>
            <c:spPr>
              <a:solidFill>
                <a:srgbClr val="4285F4"/>
              </a:solidFill>
              <a:ln cmpd="sng">
                <a:solidFill>
                  <a:srgbClr val="000000"/>
                </a:solidFill>
              </a:ln>
            </c:spPr>
          </c:dPt>
          <c:dPt>
            <c:idx val="363"/>
            <c:invertIfNegative val="1"/>
            <c:bubble3D val="0"/>
            <c:spPr>
              <a:solidFill>
                <a:srgbClr val="4285F4"/>
              </a:solidFill>
              <a:ln cmpd="sng">
                <a:solidFill>
                  <a:srgbClr val="000000"/>
                </a:solidFill>
              </a:ln>
            </c:spPr>
          </c:dPt>
          <c:dPt>
            <c:idx val="364"/>
            <c:invertIfNegative val="1"/>
            <c:bubble3D val="0"/>
            <c:spPr>
              <a:solidFill>
                <a:srgbClr val="4285F4"/>
              </a:solidFill>
              <a:ln cmpd="sng">
                <a:solidFill>
                  <a:srgbClr val="000000"/>
                </a:solidFill>
              </a:ln>
            </c:spPr>
          </c:dPt>
          <c:dPt>
            <c:idx val="365"/>
            <c:invertIfNegative val="1"/>
            <c:bubble3D val="0"/>
            <c:spPr>
              <a:solidFill>
                <a:srgbClr val="4285F4"/>
              </a:solidFill>
              <a:ln cmpd="sng">
                <a:solidFill>
                  <a:srgbClr val="000000"/>
                </a:solidFill>
              </a:ln>
            </c:spPr>
          </c:dPt>
          <c:dPt>
            <c:idx val="366"/>
            <c:invertIfNegative val="1"/>
            <c:bubble3D val="0"/>
            <c:spPr>
              <a:solidFill>
                <a:srgbClr val="4285F4"/>
              </a:solidFill>
              <a:ln cmpd="sng">
                <a:solidFill>
                  <a:srgbClr val="000000"/>
                </a:solidFill>
              </a:ln>
            </c:spPr>
          </c:dPt>
          <c:dPt>
            <c:idx val="367"/>
            <c:invertIfNegative val="1"/>
            <c:bubble3D val="0"/>
            <c:spPr>
              <a:solidFill>
                <a:srgbClr val="4285F4"/>
              </a:solidFill>
              <a:ln cmpd="sng">
                <a:solidFill>
                  <a:srgbClr val="000000"/>
                </a:solidFill>
              </a:ln>
            </c:spPr>
          </c:dPt>
          <c:dPt>
            <c:idx val="368"/>
            <c:invertIfNegative val="1"/>
            <c:bubble3D val="0"/>
            <c:spPr>
              <a:solidFill>
                <a:srgbClr val="4285F4"/>
              </a:solidFill>
              <a:ln cmpd="sng">
                <a:solidFill>
                  <a:srgbClr val="000000"/>
                </a:solidFill>
              </a:ln>
            </c:spPr>
          </c:dPt>
          <c:dPt>
            <c:idx val="369"/>
            <c:invertIfNegative val="1"/>
            <c:bubble3D val="0"/>
            <c:spPr>
              <a:solidFill>
                <a:srgbClr val="4285F4"/>
              </a:solidFill>
              <a:ln cmpd="sng">
                <a:solidFill>
                  <a:srgbClr val="000000"/>
                </a:solidFill>
              </a:ln>
            </c:spPr>
          </c:dPt>
          <c:dPt>
            <c:idx val="370"/>
            <c:invertIfNegative val="1"/>
            <c:bubble3D val="0"/>
            <c:spPr>
              <a:solidFill>
                <a:srgbClr val="4285F4"/>
              </a:solidFill>
              <a:ln cmpd="sng">
                <a:solidFill>
                  <a:srgbClr val="000000"/>
                </a:solidFill>
              </a:ln>
            </c:spPr>
          </c:dPt>
          <c:dPt>
            <c:idx val="371"/>
            <c:invertIfNegative val="1"/>
            <c:bubble3D val="0"/>
            <c:spPr>
              <a:solidFill>
                <a:srgbClr val="4285F4"/>
              </a:solidFill>
              <a:ln cmpd="sng">
                <a:solidFill>
                  <a:srgbClr val="000000"/>
                </a:solidFill>
              </a:ln>
            </c:spPr>
          </c:dPt>
          <c:dPt>
            <c:idx val="372"/>
            <c:invertIfNegative val="1"/>
            <c:bubble3D val="0"/>
            <c:spPr>
              <a:solidFill>
                <a:srgbClr val="4285F4"/>
              </a:solidFill>
              <a:ln cmpd="sng">
                <a:solidFill>
                  <a:srgbClr val="000000"/>
                </a:solidFill>
              </a:ln>
            </c:spPr>
          </c:dPt>
          <c:dPt>
            <c:idx val="373"/>
            <c:invertIfNegative val="1"/>
            <c:bubble3D val="0"/>
            <c:spPr>
              <a:solidFill>
                <a:srgbClr val="4285F4"/>
              </a:solidFill>
              <a:ln cmpd="sng">
                <a:solidFill>
                  <a:srgbClr val="000000"/>
                </a:solidFill>
              </a:ln>
            </c:spPr>
          </c:dPt>
          <c:dPt>
            <c:idx val="374"/>
            <c:invertIfNegative val="1"/>
            <c:bubble3D val="0"/>
            <c:spPr>
              <a:solidFill>
                <a:srgbClr val="4285F4"/>
              </a:solidFill>
              <a:ln cmpd="sng">
                <a:solidFill>
                  <a:srgbClr val="000000"/>
                </a:solidFill>
              </a:ln>
            </c:spPr>
          </c:dPt>
          <c:dPt>
            <c:idx val="375"/>
            <c:invertIfNegative val="1"/>
            <c:bubble3D val="0"/>
            <c:spPr>
              <a:solidFill>
                <a:srgbClr val="4285F4"/>
              </a:solidFill>
              <a:ln cmpd="sng">
                <a:solidFill>
                  <a:srgbClr val="000000"/>
                </a:solidFill>
              </a:ln>
            </c:spPr>
          </c:dPt>
          <c:dPt>
            <c:idx val="376"/>
            <c:invertIfNegative val="1"/>
            <c:bubble3D val="0"/>
            <c:spPr>
              <a:solidFill>
                <a:srgbClr val="4285F4"/>
              </a:solidFill>
              <a:ln cmpd="sng">
                <a:solidFill>
                  <a:srgbClr val="000000"/>
                </a:solidFill>
              </a:ln>
            </c:spPr>
          </c:dPt>
          <c:dPt>
            <c:idx val="377"/>
            <c:invertIfNegative val="1"/>
            <c:bubble3D val="0"/>
            <c:spPr>
              <a:solidFill>
                <a:srgbClr val="4285F4"/>
              </a:solidFill>
              <a:ln cmpd="sng">
                <a:solidFill>
                  <a:srgbClr val="000000"/>
                </a:solidFill>
              </a:ln>
            </c:spPr>
          </c:dPt>
          <c:dPt>
            <c:idx val="378"/>
            <c:invertIfNegative val="1"/>
            <c:bubble3D val="0"/>
            <c:spPr>
              <a:solidFill>
                <a:srgbClr val="4285F4"/>
              </a:solidFill>
              <a:ln cmpd="sng">
                <a:solidFill>
                  <a:srgbClr val="000000"/>
                </a:solidFill>
              </a:ln>
            </c:spPr>
          </c:dPt>
          <c:dPt>
            <c:idx val="379"/>
            <c:invertIfNegative val="1"/>
            <c:bubble3D val="0"/>
            <c:spPr>
              <a:solidFill>
                <a:srgbClr val="4285F4"/>
              </a:solidFill>
              <a:ln cmpd="sng">
                <a:solidFill>
                  <a:srgbClr val="000000"/>
                </a:solidFill>
              </a:ln>
            </c:spPr>
          </c:dPt>
          <c:dPt>
            <c:idx val="380"/>
            <c:invertIfNegative val="1"/>
            <c:bubble3D val="0"/>
            <c:spPr>
              <a:solidFill>
                <a:srgbClr val="4285F4"/>
              </a:solidFill>
              <a:ln cmpd="sng">
                <a:solidFill>
                  <a:srgbClr val="000000"/>
                </a:solidFill>
              </a:ln>
            </c:spPr>
          </c:dPt>
          <c:dPt>
            <c:idx val="381"/>
            <c:invertIfNegative val="1"/>
            <c:bubble3D val="0"/>
            <c:spPr>
              <a:solidFill>
                <a:srgbClr val="4285F4"/>
              </a:solidFill>
              <a:ln cmpd="sng">
                <a:solidFill>
                  <a:srgbClr val="000000"/>
                </a:solidFill>
              </a:ln>
            </c:spPr>
          </c:dPt>
          <c:dPt>
            <c:idx val="382"/>
            <c:invertIfNegative val="1"/>
            <c:bubble3D val="0"/>
            <c:spPr>
              <a:solidFill>
                <a:srgbClr val="4285F4"/>
              </a:solidFill>
              <a:ln cmpd="sng">
                <a:solidFill>
                  <a:srgbClr val="000000"/>
                </a:solidFill>
              </a:ln>
            </c:spPr>
          </c:dPt>
          <c:dPt>
            <c:idx val="383"/>
            <c:invertIfNegative val="1"/>
            <c:bubble3D val="0"/>
            <c:spPr>
              <a:solidFill>
                <a:srgbClr val="4285F4"/>
              </a:solidFill>
              <a:ln cmpd="sng">
                <a:solidFill>
                  <a:srgbClr val="000000"/>
                </a:solidFill>
              </a:ln>
            </c:spPr>
          </c:dPt>
          <c:dPt>
            <c:idx val="384"/>
            <c:invertIfNegative val="1"/>
            <c:bubble3D val="0"/>
            <c:spPr>
              <a:solidFill>
                <a:srgbClr val="4285F4"/>
              </a:solidFill>
              <a:ln cmpd="sng">
                <a:solidFill>
                  <a:srgbClr val="000000"/>
                </a:solidFill>
              </a:ln>
            </c:spPr>
          </c:dPt>
          <c:dPt>
            <c:idx val="385"/>
            <c:invertIfNegative val="1"/>
            <c:bubble3D val="0"/>
            <c:spPr>
              <a:solidFill>
                <a:srgbClr val="4285F4"/>
              </a:solidFill>
              <a:ln cmpd="sng">
                <a:solidFill>
                  <a:srgbClr val="000000"/>
                </a:solidFill>
              </a:ln>
            </c:spPr>
          </c:dPt>
          <c:dPt>
            <c:idx val="386"/>
            <c:invertIfNegative val="1"/>
            <c:bubble3D val="0"/>
            <c:spPr>
              <a:solidFill>
                <a:srgbClr val="4285F4"/>
              </a:solidFill>
              <a:ln cmpd="sng">
                <a:solidFill>
                  <a:srgbClr val="000000"/>
                </a:solidFill>
              </a:ln>
            </c:spPr>
          </c:dPt>
          <c:dPt>
            <c:idx val="387"/>
            <c:invertIfNegative val="1"/>
            <c:bubble3D val="0"/>
            <c:spPr>
              <a:solidFill>
                <a:srgbClr val="4285F4"/>
              </a:solidFill>
              <a:ln cmpd="sng">
                <a:solidFill>
                  <a:srgbClr val="000000"/>
                </a:solidFill>
              </a:ln>
            </c:spPr>
          </c:dPt>
          <c:dPt>
            <c:idx val="388"/>
            <c:invertIfNegative val="1"/>
            <c:bubble3D val="0"/>
            <c:spPr>
              <a:solidFill>
                <a:srgbClr val="4285F4"/>
              </a:solidFill>
              <a:ln cmpd="sng">
                <a:solidFill>
                  <a:srgbClr val="000000"/>
                </a:solidFill>
              </a:ln>
            </c:spPr>
          </c:dPt>
          <c:dPt>
            <c:idx val="389"/>
            <c:invertIfNegative val="1"/>
            <c:bubble3D val="0"/>
            <c:spPr>
              <a:solidFill>
                <a:srgbClr val="4285F4"/>
              </a:solidFill>
              <a:ln cmpd="sng">
                <a:solidFill>
                  <a:srgbClr val="000000"/>
                </a:solidFill>
              </a:ln>
            </c:spPr>
          </c:dPt>
          <c:dPt>
            <c:idx val="390"/>
            <c:invertIfNegative val="1"/>
            <c:bubble3D val="0"/>
            <c:spPr>
              <a:solidFill>
                <a:srgbClr val="4285F4"/>
              </a:solidFill>
              <a:ln cmpd="sng">
                <a:solidFill>
                  <a:srgbClr val="000000"/>
                </a:solidFill>
              </a:ln>
            </c:spPr>
          </c:dPt>
          <c:dPt>
            <c:idx val="391"/>
            <c:invertIfNegative val="1"/>
            <c:bubble3D val="0"/>
            <c:spPr>
              <a:solidFill>
                <a:srgbClr val="4285F4"/>
              </a:solidFill>
              <a:ln cmpd="sng">
                <a:solidFill>
                  <a:srgbClr val="000000"/>
                </a:solidFill>
              </a:ln>
            </c:spPr>
          </c:dPt>
          <c:dPt>
            <c:idx val="392"/>
            <c:invertIfNegative val="1"/>
            <c:bubble3D val="0"/>
            <c:spPr>
              <a:solidFill>
                <a:srgbClr val="4285F4"/>
              </a:solidFill>
              <a:ln cmpd="sng">
                <a:solidFill>
                  <a:srgbClr val="000000"/>
                </a:solidFill>
              </a:ln>
            </c:spPr>
          </c:dPt>
          <c:dPt>
            <c:idx val="393"/>
            <c:invertIfNegative val="1"/>
            <c:bubble3D val="0"/>
            <c:spPr>
              <a:solidFill>
                <a:srgbClr val="4285F4"/>
              </a:solidFill>
              <a:ln cmpd="sng">
                <a:solidFill>
                  <a:srgbClr val="000000"/>
                </a:solidFill>
              </a:ln>
            </c:spPr>
          </c:dPt>
          <c:dPt>
            <c:idx val="394"/>
            <c:invertIfNegative val="1"/>
            <c:bubble3D val="0"/>
            <c:spPr>
              <a:solidFill>
                <a:srgbClr val="4285F4"/>
              </a:solidFill>
              <a:ln cmpd="sng">
                <a:solidFill>
                  <a:srgbClr val="000000"/>
                </a:solidFill>
              </a:ln>
            </c:spPr>
          </c:dPt>
          <c:dPt>
            <c:idx val="395"/>
            <c:invertIfNegative val="1"/>
            <c:bubble3D val="0"/>
            <c:spPr>
              <a:solidFill>
                <a:srgbClr val="4285F4"/>
              </a:solidFill>
              <a:ln cmpd="sng">
                <a:solidFill>
                  <a:srgbClr val="000000"/>
                </a:solidFill>
              </a:ln>
            </c:spPr>
          </c:dPt>
          <c:dPt>
            <c:idx val="396"/>
            <c:invertIfNegative val="1"/>
            <c:bubble3D val="0"/>
            <c:spPr>
              <a:solidFill>
                <a:srgbClr val="4285F4"/>
              </a:solidFill>
              <a:ln cmpd="sng">
                <a:solidFill>
                  <a:srgbClr val="000000"/>
                </a:solidFill>
              </a:ln>
            </c:spPr>
          </c:dPt>
          <c:dPt>
            <c:idx val="397"/>
            <c:invertIfNegative val="1"/>
            <c:bubble3D val="0"/>
            <c:spPr>
              <a:solidFill>
                <a:srgbClr val="4285F4"/>
              </a:solidFill>
              <a:ln cmpd="sng">
                <a:solidFill>
                  <a:srgbClr val="000000"/>
                </a:solidFill>
              </a:ln>
            </c:spPr>
          </c:dPt>
          <c:dPt>
            <c:idx val="398"/>
            <c:invertIfNegative val="1"/>
            <c:bubble3D val="0"/>
            <c:spPr>
              <a:solidFill>
                <a:srgbClr val="4285F4"/>
              </a:solidFill>
              <a:ln cmpd="sng">
                <a:solidFill>
                  <a:srgbClr val="000000"/>
                </a:solidFill>
              </a:ln>
            </c:spPr>
          </c:dPt>
          <c:dPt>
            <c:idx val="399"/>
            <c:invertIfNegative val="1"/>
            <c:bubble3D val="0"/>
            <c:spPr>
              <a:solidFill>
                <a:srgbClr val="4285F4"/>
              </a:solidFill>
              <a:ln cmpd="sng">
                <a:solidFill>
                  <a:srgbClr val="000000"/>
                </a:solidFill>
              </a:ln>
            </c:spPr>
          </c:dPt>
          <c:dPt>
            <c:idx val="400"/>
            <c:invertIfNegative val="1"/>
            <c:bubble3D val="0"/>
            <c:spPr>
              <a:solidFill>
                <a:srgbClr val="4285F4"/>
              </a:solidFill>
              <a:ln cmpd="sng">
                <a:solidFill>
                  <a:srgbClr val="000000"/>
                </a:solidFill>
              </a:ln>
            </c:spPr>
          </c:dPt>
          <c:dPt>
            <c:idx val="401"/>
            <c:invertIfNegative val="1"/>
            <c:bubble3D val="0"/>
            <c:spPr>
              <a:solidFill>
                <a:srgbClr val="4285F4"/>
              </a:solidFill>
              <a:ln cmpd="sng">
                <a:solidFill>
                  <a:srgbClr val="000000"/>
                </a:solidFill>
              </a:ln>
            </c:spPr>
          </c:dPt>
          <c:dPt>
            <c:idx val="402"/>
            <c:invertIfNegative val="1"/>
            <c:bubble3D val="0"/>
            <c:spPr>
              <a:solidFill>
                <a:srgbClr val="4285F4"/>
              </a:solidFill>
              <a:ln cmpd="sng">
                <a:solidFill>
                  <a:srgbClr val="000000"/>
                </a:solidFill>
              </a:ln>
            </c:spPr>
          </c:dPt>
          <c:dPt>
            <c:idx val="403"/>
            <c:invertIfNegative val="1"/>
            <c:bubble3D val="0"/>
            <c:spPr>
              <a:solidFill>
                <a:srgbClr val="4285F4"/>
              </a:solidFill>
              <a:ln cmpd="sng">
                <a:solidFill>
                  <a:srgbClr val="000000"/>
                </a:solidFill>
              </a:ln>
            </c:spPr>
          </c:dPt>
          <c:dPt>
            <c:idx val="404"/>
            <c:invertIfNegative val="1"/>
            <c:bubble3D val="0"/>
            <c:spPr>
              <a:solidFill>
                <a:srgbClr val="4285F4"/>
              </a:solidFill>
              <a:ln cmpd="sng">
                <a:solidFill>
                  <a:srgbClr val="000000"/>
                </a:solidFill>
              </a:ln>
            </c:spPr>
          </c:dPt>
          <c:dPt>
            <c:idx val="405"/>
            <c:invertIfNegative val="1"/>
            <c:bubble3D val="0"/>
            <c:spPr>
              <a:solidFill>
                <a:srgbClr val="4285F4"/>
              </a:solidFill>
              <a:ln cmpd="sng">
                <a:solidFill>
                  <a:srgbClr val="000000"/>
                </a:solidFill>
              </a:ln>
            </c:spPr>
          </c:dPt>
          <c:dPt>
            <c:idx val="406"/>
            <c:invertIfNegative val="1"/>
            <c:bubble3D val="0"/>
            <c:spPr>
              <a:solidFill>
                <a:srgbClr val="4285F4"/>
              </a:solidFill>
              <a:ln cmpd="sng">
                <a:solidFill>
                  <a:srgbClr val="000000"/>
                </a:solidFill>
              </a:ln>
            </c:spPr>
          </c:dPt>
          <c:dPt>
            <c:idx val="407"/>
            <c:invertIfNegative val="1"/>
            <c:bubble3D val="0"/>
            <c:spPr>
              <a:solidFill>
                <a:srgbClr val="4285F4"/>
              </a:solidFill>
              <a:ln cmpd="sng">
                <a:solidFill>
                  <a:srgbClr val="000000"/>
                </a:solidFill>
              </a:ln>
            </c:spPr>
          </c:dPt>
          <c:dPt>
            <c:idx val="408"/>
            <c:invertIfNegative val="1"/>
            <c:bubble3D val="0"/>
            <c:spPr>
              <a:solidFill>
                <a:srgbClr val="4285F4"/>
              </a:solidFill>
              <a:ln cmpd="sng">
                <a:solidFill>
                  <a:srgbClr val="000000"/>
                </a:solidFill>
              </a:ln>
            </c:spPr>
          </c:dPt>
          <c:dPt>
            <c:idx val="409"/>
            <c:invertIfNegative val="1"/>
            <c:bubble3D val="0"/>
            <c:spPr>
              <a:solidFill>
                <a:srgbClr val="4285F4"/>
              </a:solidFill>
              <a:ln cmpd="sng">
                <a:solidFill>
                  <a:srgbClr val="000000"/>
                </a:solidFill>
              </a:ln>
            </c:spPr>
          </c:dPt>
          <c:dPt>
            <c:idx val="410"/>
            <c:invertIfNegative val="1"/>
            <c:bubble3D val="0"/>
            <c:spPr>
              <a:solidFill>
                <a:srgbClr val="4285F4"/>
              </a:solidFill>
              <a:ln cmpd="sng">
                <a:solidFill>
                  <a:srgbClr val="000000"/>
                </a:solidFill>
              </a:ln>
            </c:spPr>
          </c:dPt>
          <c:dPt>
            <c:idx val="411"/>
            <c:invertIfNegative val="1"/>
            <c:bubble3D val="0"/>
            <c:spPr>
              <a:solidFill>
                <a:srgbClr val="4285F4"/>
              </a:solidFill>
              <a:ln cmpd="sng">
                <a:solidFill>
                  <a:srgbClr val="000000"/>
                </a:solidFill>
              </a:ln>
            </c:spPr>
          </c:dPt>
          <c:dPt>
            <c:idx val="412"/>
            <c:invertIfNegative val="1"/>
            <c:bubble3D val="0"/>
            <c:spPr>
              <a:solidFill>
                <a:srgbClr val="4285F4"/>
              </a:solidFill>
              <a:ln cmpd="sng">
                <a:solidFill>
                  <a:srgbClr val="000000"/>
                </a:solidFill>
              </a:ln>
            </c:spPr>
          </c:dPt>
          <c:dPt>
            <c:idx val="413"/>
            <c:invertIfNegative val="1"/>
            <c:bubble3D val="0"/>
            <c:spPr>
              <a:solidFill>
                <a:srgbClr val="4285F4"/>
              </a:solidFill>
              <a:ln cmpd="sng">
                <a:solidFill>
                  <a:srgbClr val="000000"/>
                </a:solidFill>
              </a:ln>
            </c:spPr>
          </c:dPt>
          <c:dPt>
            <c:idx val="414"/>
            <c:invertIfNegative val="1"/>
            <c:bubble3D val="0"/>
            <c:spPr>
              <a:solidFill>
                <a:srgbClr val="4285F4"/>
              </a:solidFill>
              <a:ln cmpd="sng">
                <a:solidFill>
                  <a:srgbClr val="000000"/>
                </a:solidFill>
              </a:ln>
            </c:spPr>
          </c:dPt>
          <c:dPt>
            <c:idx val="415"/>
            <c:invertIfNegative val="1"/>
            <c:bubble3D val="0"/>
            <c:spPr>
              <a:solidFill>
                <a:srgbClr val="4285F4"/>
              </a:solidFill>
              <a:ln cmpd="sng">
                <a:solidFill>
                  <a:srgbClr val="000000"/>
                </a:solidFill>
              </a:ln>
            </c:spPr>
          </c:dPt>
          <c:dPt>
            <c:idx val="416"/>
            <c:invertIfNegative val="1"/>
            <c:bubble3D val="0"/>
            <c:spPr>
              <a:solidFill>
                <a:srgbClr val="4285F4"/>
              </a:solidFill>
              <a:ln cmpd="sng">
                <a:solidFill>
                  <a:srgbClr val="000000"/>
                </a:solidFill>
              </a:ln>
            </c:spPr>
          </c:dPt>
          <c:dPt>
            <c:idx val="417"/>
            <c:invertIfNegative val="1"/>
            <c:bubble3D val="0"/>
            <c:spPr>
              <a:solidFill>
                <a:srgbClr val="4285F4"/>
              </a:solidFill>
              <a:ln cmpd="sng">
                <a:solidFill>
                  <a:srgbClr val="000000"/>
                </a:solidFill>
              </a:ln>
            </c:spPr>
          </c:dPt>
          <c:dPt>
            <c:idx val="418"/>
            <c:invertIfNegative val="1"/>
            <c:bubble3D val="0"/>
            <c:spPr>
              <a:solidFill>
                <a:srgbClr val="4285F4"/>
              </a:solidFill>
              <a:ln cmpd="sng">
                <a:solidFill>
                  <a:srgbClr val="000000"/>
                </a:solidFill>
              </a:ln>
            </c:spPr>
          </c:dPt>
          <c:dPt>
            <c:idx val="419"/>
            <c:invertIfNegative val="1"/>
            <c:bubble3D val="0"/>
            <c:spPr>
              <a:solidFill>
                <a:srgbClr val="4285F4"/>
              </a:solidFill>
              <a:ln cmpd="sng">
                <a:solidFill>
                  <a:srgbClr val="000000"/>
                </a:solidFill>
              </a:ln>
            </c:spPr>
          </c:dPt>
          <c:dPt>
            <c:idx val="420"/>
            <c:invertIfNegative val="1"/>
            <c:bubble3D val="0"/>
            <c:spPr>
              <a:solidFill>
                <a:srgbClr val="4285F4"/>
              </a:solidFill>
              <a:ln cmpd="sng">
                <a:solidFill>
                  <a:srgbClr val="000000"/>
                </a:solidFill>
              </a:ln>
            </c:spPr>
          </c:dPt>
          <c:dPt>
            <c:idx val="421"/>
            <c:invertIfNegative val="1"/>
            <c:bubble3D val="0"/>
            <c:spPr>
              <a:solidFill>
                <a:srgbClr val="4285F4"/>
              </a:solidFill>
              <a:ln cmpd="sng">
                <a:solidFill>
                  <a:srgbClr val="000000"/>
                </a:solidFill>
              </a:ln>
            </c:spPr>
          </c:dPt>
          <c:dPt>
            <c:idx val="422"/>
            <c:invertIfNegative val="1"/>
            <c:bubble3D val="0"/>
            <c:spPr>
              <a:solidFill>
                <a:srgbClr val="4285F4"/>
              </a:solidFill>
              <a:ln cmpd="sng">
                <a:solidFill>
                  <a:srgbClr val="000000"/>
                </a:solidFill>
              </a:ln>
            </c:spPr>
          </c:dPt>
          <c:dPt>
            <c:idx val="423"/>
            <c:invertIfNegative val="1"/>
            <c:bubble3D val="0"/>
            <c:spPr>
              <a:solidFill>
                <a:srgbClr val="4285F4"/>
              </a:solidFill>
              <a:ln cmpd="sng">
                <a:solidFill>
                  <a:srgbClr val="000000"/>
                </a:solidFill>
              </a:ln>
            </c:spPr>
          </c:dPt>
          <c:dPt>
            <c:idx val="424"/>
            <c:invertIfNegative val="1"/>
            <c:bubble3D val="0"/>
            <c:spPr>
              <a:solidFill>
                <a:srgbClr val="4285F4"/>
              </a:solidFill>
              <a:ln cmpd="sng">
                <a:solidFill>
                  <a:srgbClr val="000000"/>
                </a:solidFill>
              </a:ln>
            </c:spPr>
          </c:dPt>
          <c:dPt>
            <c:idx val="425"/>
            <c:invertIfNegative val="1"/>
            <c:bubble3D val="0"/>
            <c:spPr>
              <a:solidFill>
                <a:srgbClr val="4285F4"/>
              </a:solidFill>
              <a:ln cmpd="sng">
                <a:solidFill>
                  <a:srgbClr val="000000"/>
                </a:solidFill>
              </a:ln>
            </c:spPr>
          </c:dPt>
          <c:dPt>
            <c:idx val="426"/>
            <c:invertIfNegative val="1"/>
            <c:bubble3D val="0"/>
            <c:spPr>
              <a:solidFill>
                <a:srgbClr val="4285F4"/>
              </a:solidFill>
              <a:ln cmpd="sng">
                <a:solidFill>
                  <a:srgbClr val="000000"/>
                </a:solidFill>
              </a:ln>
            </c:spPr>
          </c:dPt>
          <c:dPt>
            <c:idx val="427"/>
            <c:invertIfNegative val="1"/>
            <c:bubble3D val="0"/>
            <c:spPr>
              <a:solidFill>
                <a:srgbClr val="4285F4"/>
              </a:solidFill>
              <a:ln cmpd="sng">
                <a:solidFill>
                  <a:srgbClr val="000000"/>
                </a:solidFill>
              </a:ln>
            </c:spPr>
          </c:dPt>
          <c:dPt>
            <c:idx val="428"/>
            <c:invertIfNegative val="1"/>
            <c:bubble3D val="0"/>
            <c:spPr>
              <a:solidFill>
                <a:srgbClr val="4285F4"/>
              </a:solidFill>
              <a:ln cmpd="sng">
                <a:solidFill>
                  <a:srgbClr val="000000"/>
                </a:solidFill>
              </a:ln>
            </c:spPr>
          </c:dPt>
          <c:dPt>
            <c:idx val="429"/>
            <c:invertIfNegative val="1"/>
            <c:bubble3D val="0"/>
            <c:spPr>
              <a:solidFill>
                <a:srgbClr val="4285F4"/>
              </a:solidFill>
              <a:ln cmpd="sng">
                <a:solidFill>
                  <a:srgbClr val="000000"/>
                </a:solidFill>
              </a:ln>
            </c:spPr>
          </c:dPt>
          <c:dPt>
            <c:idx val="430"/>
            <c:invertIfNegative val="1"/>
            <c:bubble3D val="0"/>
            <c:spPr>
              <a:solidFill>
                <a:srgbClr val="4285F4"/>
              </a:solidFill>
              <a:ln cmpd="sng">
                <a:solidFill>
                  <a:srgbClr val="000000"/>
                </a:solidFill>
              </a:ln>
            </c:spPr>
          </c:dPt>
          <c:dPt>
            <c:idx val="431"/>
            <c:invertIfNegative val="1"/>
            <c:bubble3D val="0"/>
            <c:spPr>
              <a:solidFill>
                <a:srgbClr val="4285F4"/>
              </a:solidFill>
              <a:ln cmpd="sng">
                <a:solidFill>
                  <a:srgbClr val="000000"/>
                </a:solidFill>
              </a:ln>
            </c:spPr>
          </c:dPt>
          <c:dPt>
            <c:idx val="432"/>
            <c:invertIfNegative val="1"/>
            <c:bubble3D val="0"/>
            <c:spPr>
              <a:solidFill>
                <a:srgbClr val="4285F4"/>
              </a:solidFill>
              <a:ln cmpd="sng">
                <a:solidFill>
                  <a:srgbClr val="000000"/>
                </a:solidFill>
              </a:ln>
            </c:spPr>
          </c:dPt>
          <c:dPt>
            <c:idx val="433"/>
            <c:invertIfNegative val="1"/>
            <c:bubble3D val="0"/>
            <c:spPr>
              <a:solidFill>
                <a:srgbClr val="4285F4"/>
              </a:solidFill>
              <a:ln cmpd="sng">
                <a:solidFill>
                  <a:srgbClr val="000000"/>
                </a:solidFill>
              </a:ln>
            </c:spPr>
          </c:dPt>
          <c:dPt>
            <c:idx val="434"/>
            <c:invertIfNegative val="1"/>
            <c:bubble3D val="0"/>
            <c:spPr>
              <a:solidFill>
                <a:srgbClr val="4285F4"/>
              </a:solidFill>
              <a:ln cmpd="sng">
                <a:solidFill>
                  <a:srgbClr val="000000"/>
                </a:solidFill>
              </a:ln>
            </c:spPr>
          </c:dPt>
          <c:dPt>
            <c:idx val="435"/>
            <c:invertIfNegative val="1"/>
            <c:bubble3D val="0"/>
            <c:spPr>
              <a:solidFill>
                <a:srgbClr val="4285F4"/>
              </a:solidFill>
              <a:ln cmpd="sng">
                <a:solidFill>
                  <a:srgbClr val="000000"/>
                </a:solidFill>
              </a:ln>
            </c:spPr>
          </c:dPt>
          <c:dPt>
            <c:idx val="436"/>
            <c:invertIfNegative val="1"/>
            <c:bubble3D val="0"/>
            <c:spPr>
              <a:solidFill>
                <a:srgbClr val="4285F4"/>
              </a:solidFill>
              <a:ln cmpd="sng">
                <a:solidFill>
                  <a:srgbClr val="000000"/>
                </a:solidFill>
              </a:ln>
            </c:spPr>
          </c:dPt>
          <c:dPt>
            <c:idx val="437"/>
            <c:invertIfNegative val="1"/>
            <c:bubble3D val="0"/>
            <c:spPr>
              <a:solidFill>
                <a:srgbClr val="4285F4"/>
              </a:solidFill>
              <a:ln cmpd="sng">
                <a:solidFill>
                  <a:srgbClr val="000000"/>
                </a:solidFill>
              </a:ln>
            </c:spPr>
          </c:dPt>
          <c:dPt>
            <c:idx val="438"/>
            <c:invertIfNegative val="1"/>
            <c:bubble3D val="0"/>
            <c:spPr>
              <a:solidFill>
                <a:srgbClr val="4285F4"/>
              </a:solidFill>
              <a:ln cmpd="sng">
                <a:solidFill>
                  <a:srgbClr val="000000"/>
                </a:solidFill>
              </a:ln>
            </c:spPr>
          </c:dPt>
          <c:dPt>
            <c:idx val="439"/>
            <c:invertIfNegative val="1"/>
            <c:bubble3D val="0"/>
            <c:spPr>
              <a:solidFill>
                <a:srgbClr val="4285F4"/>
              </a:solidFill>
              <a:ln cmpd="sng">
                <a:solidFill>
                  <a:srgbClr val="000000"/>
                </a:solidFill>
              </a:ln>
            </c:spPr>
          </c:dPt>
          <c:dPt>
            <c:idx val="440"/>
            <c:invertIfNegative val="1"/>
            <c:bubble3D val="0"/>
            <c:spPr>
              <a:solidFill>
                <a:srgbClr val="4285F4"/>
              </a:solidFill>
              <a:ln cmpd="sng">
                <a:solidFill>
                  <a:srgbClr val="000000"/>
                </a:solidFill>
              </a:ln>
            </c:spPr>
          </c:dPt>
          <c:dPt>
            <c:idx val="441"/>
            <c:invertIfNegative val="1"/>
            <c:bubble3D val="0"/>
            <c:spPr>
              <a:solidFill>
                <a:srgbClr val="4285F4"/>
              </a:solidFill>
              <a:ln cmpd="sng">
                <a:solidFill>
                  <a:srgbClr val="000000"/>
                </a:solidFill>
              </a:ln>
            </c:spPr>
          </c:dPt>
          <c:dPt>
            <c:idx val="442"/>
            <c:invertIfNegative val="1"/>
            <c:bubble3D val="0"/>
            <c:spPr>
              <a:solidFill>
                <a:srgbClr val="4285F4"/>
              </a:solidFill>
              <a:ln cmpd="sng">
                <a:solidFill>
                  <a:srgbClr val="000000"/>
                </a:solidFill>
              </a:ln>
            </c:spPr>
          </c:dPt>
          <c:dPt>
            <c:idx val="443"/>
            <c:invertIfNegative val="1"/>
            <c:bubble3D val="0"/>
            <c:spPr>
              <a:solidFill>
                <a:srgbClr val="4285F4"/>
              </a:solidFill>
              <a:ln cmpd="sng">
                <a:solidFill>
                  <a:srgbClr val="000000"/>
                </a:solidFill>
              </a:ln>
            </c:spPr>
          </c:dPt>
          <c:dPt>
            <c:idx val="444"/>
            <c:invertIfNegative val="1"/>
            <c:bubble3D val="0"/>
            <c:spPr>
              <a:solidFill>
                <a:srgbClr val="4285F4"/>
              </a:solidFill>
              <a:ln cmpd="sng">
                <a:solidFill>
                  <a:srgbClr val="000000"/>
                </a:solidFill>
              </a:ln>
            </c:spPr>
          </c:dPt>
          <c:dPt>
            <c:idx val="445"/>
            <c:invertIfNegative val="1"/>
            <c:bubble3D val="0"/>
            <c:spPr>
              <a:solidFill>
                <a:srgbClr val="4285F4"/>
              </a:solidFill>
              <a:ln cmpd="sng">
                <a:solidFill>
                  <a:srgbClr val="000000"/>
                </a:solidFill>
              </a:ln>
            </c:spPr>
          </c:dPt>
          <c:dPt>
            <c:idx val="446"/>
            <c:invertIfNegative val="1"/>
            <c:bubble3D val="0"/>
            <c:spPr>
              <a:solidFill>
                <a:srgbClr val="4285F4"/>
              </a:solidFill>
              <a:ln cmpd="sng">
                <a:solidFill>
                  <a:srgbClr val="000000"/>
                </a:solidFill>
              </a:ln>
            </c:spPr>
          </c:dPt>
          <c:dPt>
            <c:idx val="447"/>
            <c:invertIfNegative val="1"/>
            <c:bubble3D val="0"/>
            <c:spPr>
              <a:solidFill>
                <a:srgbClr val="4285F4"/>
              </a:solidFill>
              <a:ln cmpd="sng">
                <a:solidFill>
                  <a:srgbClr val="000000"/>
                </a:solidFill>
              </a:ln>
            </c:spPr>
          </c:dPt>
          <c:dPt>
            <c:idx val="448"/>
            <c:invertIfNegative val="1"/>
            <c:bubble3D val="0"/>
            <c:spPr>
              <a:solidFill>
                <a:srgbClr val="4285F4"/>
              </a:solidFill>
              <a:ln cmpd="sng">
                <a:solidFill>
                  <a:srgbClr val="000000"/>
                </a:solidFill>
              </a:ln>
            </c:spPr>
          </c:dPt>
          <c:dPt>
            <c:idx val="449"/>
            <c:invertIfNegative val="1"/>
            <c:bubble3D val="0"/>
            <c:spPr>
              <a:solidFill>
                <a:srgbClr val="4285F4"/>
              </a:solidFill>
              <a:ln cmpd="sng">
                <a:solidFill>
                  <a:srgbClr val="000000"/>
                </a:solidFill>
              </a:ln>
            </c:spPr>
          </c:dPt>
          <c:dPt>
            <c:idx val="450"/>
            <c:invertIfNegative val="1"/>
            <c:bubble3D val="0"/>
            <c:spPr>
              <a:solidFill>
                <a:srgbClr val="4285F4"/>
              </a:solidFill>
              <a:ln cmpd="sng">
                <a:solidFill>
                  <a:srgbClr val="000000"/>
                </a:solidFill>
              </a:ln>
            </c:spPr>
          </c:dPt>
          <c:dPt>
            <c:idx val="451"/>
            <c:invertIfNegative val="1"/>
            <c:bubble3D val="0"/>
            <c:spPr>
              <a:solidFill>
                <a:srgbClr val="4285F4"/>
              </a:solidFill>
              <a:ln cmpd="sng">
                <a:solidFill>
                  <a:srgbClr val="000000"/>
                </a:solidFill>
              </a:ln>
            </c:spPr>
          </c:dPt>
          <c:dPt>
            <c:idx val="452"/>
            <c:invertIfNegative val="1"/>
            <c:bubble3D val="0"/>
            <c:spPr>
              <a:solidFill>
                <a:srgbClr val="4285F4"/>
              </a:solidFill>
              <a:ln cmpd="sng">
                <a:solidFill>
                  <a:srgbClr val="000000"/>
                </a:solidFill>
              </a:ln>
            </c:spPr>
          </c:dPt>
          <c:dPt>
            <c:idx val="453"/>
            <c:invertIfNegative val="1"/>
            <c:bubble3D val="0"/>
            <c:spPr>
              <a:solidFill>
                <a:srgbClr val="4285F4"/>
              </a:solidFill>
              <a:ln cmpd="sng">
                <a:solidFill>
                  <a:srgbClr val="000000"/>
                </a:solidFill>
              </a:ln>
            </c:spPr>
          </c:dPt>
          <c:dPt>
            <c:idx val="454"/>
            <c:invertIfNegative val="1"/>
            <c:bubble3D val="0"/>
            <c:spPr>
              <a:solidFill>
                <a:srgbClr val="4285F4"/>
              </a:solidFill>
              <a:ln cmpd="sng">
                <a:solidFill>
                  <a:srgbClr val="000000"/>
                </a:solidFill>
              </a:ln>
            </c:spPr>
          </c:dPt>
          <c:dPt>
            <c:idx val="455"/>
            <c:invertIfNegative val="1"/>
            <c:bubble3D val="0"/>
            <c:spPr>
              <a:solidFill>
                <a:srgbClr val="4285F4"/>
              </a:solidFill>
              <a:ln cmpd="sng">
                <a:solidFill>
                  <a:srgbClr val="000000"/>
                </a:solidFill>
              </a:ln>
            </c:spPr>
          </c:dPt>
          <c:dPt>
            <c:idx val="456"/>
            <c:invertIfNegative val="1"/>
            <c:bubble3D val="0"/>
            <c:spPr>
              <a:solidFill>
                <a:srgbClr val="4285F4"/>
              </a:solidFill>
              <a:ln cmpd="sng">
                <a:solidFill>
                  <a:srgbClr val="000000"/>
                </a:solidFill>
              </a:ln>
            </c:spPr>
          </c:dPt>
          <c:dPt>
            <c:idx val="457"/>
            <c:invertIfNegative val="1"/>
            <c:bubble3D val="0"/>
            <c:spPr>
              <a:solidFill>
                <a:srgbClr val="4285F4"/>
              </a:solidFill>
              <a:ln cmpd="sng">
                <a:solidFill>
                  <a:srgbClr val="000000"/>
                </a:solidFill>
              </a:ln>
            </c:spPr>
          </c:dPt>
          <c:dPt>
            <c:idx val="458"/>
            <c:invertIfNegative val="1"/>
            <c:bubble3D val="0"/>
            <c:spPr>
              <a:solidFill>
                <a:srgbClr val="4285F4"/>
              </a:solidFill>
              <a:ln cmpd="sng">
                <a:solidFill>
                  <a:srgbClr val="000000"/>
                </a:solidFill>
              </a:ln>
            </c:spPr>
          </c:dPt>
          <c:dPt>
            <c:idx val="459"/>
            <c:invertIfNegative val="1"/>
            <c:bubble3D val="0"/>
            <c:spPr>
              <a:solidFill>
                <a:srgbClr val="4285F4"/>
              </a:solidFill>
              <a:ln cmpd="sng">
                <a:solidFill>
                  <a:srgbClr val="000000"/>
                </a:solidFill>
              </a:ln>
            </c:spPr>
          </c:dPt>
          <c:dPt>
            <c:idx val="460"/>
            <c:invertIfNegative val="1"/>
            <c:bubble3D val="0"/>
            <c:spPr>
              <a:solidFill>
                <a:srgbClr val="4285F4"/>
              </a:solidFill>
              <a:ln cmpd="sng">
                <a:solidFill>
                  <a:srgbClr val="000000"/>
                </a:solidFill>
              </a:ln>
            </c:spPr>
          </c:dPt>
          <c:dPt>
            <c:idx val="461"/>
            <c:invertIfNegative val="1"/>
            <c:bubble3D val="0"/>
            <c:spPr>
              <a:solidFill>
                <a:srgbClr val="4285F4"/>
              </a:solidFill>
              <a:ln cmpd="sng">
                <a:solidFill>
                  <a:srgbClr val="000000"/>
                </a:solidFill>
              </a:ln>
            </c:spPr>
          </c:dPt>
          <c:dPt>
            <c:idx val="462"/>
            <c:invertIfNegative val="1"/>
            <c:bubble3D val="0"/>
            <c:spPr>
              <a:solidFill>
                <a:srgbClr val="4285F4"/>
              </a:solidFill>
              <a:ln cmpd="sng">
                <a:solidFill>
                  <a:srgbClr val="000000"/>
                </a:solidFill>
              </a:ln>
            </c:spPr>
          </c:dPt>
          <c:dPt>
            <c:idx val="463"/>
            <c:invertIfNegative val="1"/>
            <c:bubble3D val="0"/>
            <c:spPr>
              <a:solidFill>
                <a:srgbClr val="4285F4"/>
              </a:solidFill>
              <a:ln cmpd="sng">
                <a:solidFill>
                  <a:srgbClr val="000000"/>
                </a:solidFill>
              </a:ln>
            </c:spPr>
          </c:dPt>
          <c:dPt>
            <c:idx val="464"/>
            <c:invertIfNegative val="1"/>
            <c:bubble3D val="0"/>
            <c:spPr>
              <a:solidFill>
                <a:srgbClr val="4285F4"/>
              </a:solidFill>
              <a:ln cmpd="sng">
                <a:solidFill>
                  <a:srgbClr val="000000"/>
                </a:solidFill>
              </a:ln>
            </c:spPr>
          </c:dPt>
          <c:dPt>
            <c:idx val="465"/>
            <c:invertIfNegative val="1"/>
            <c:bubble3D val="0"/>
            <c:spPr>
              <a:solidFill>
                <a:srgbClr val="4285F4"/>
              </a:solidFill>
              <a:ln cmpd="sng">
                <a:solidFill>
                  <a:srgbClr val="000000"/>
                </a:solidFill>
              </a:ln>
            </c:spPr>
          </c:dPt>
          <c:dPt>
            <c:idx val="466"/>
            <c:invertIfNegative val="1"/>
            <c:bubble3D val="0"/>
            <c:spPr>
              <a:solidFill>
                <a:srgbClr val="4285F4"/>
              </a:solidFill>
              <a:ln cmpd="sng">
                <a:solidFill>
                  <a:srgbClr val="000000"/>
                </a:solidFill>
              </a:ln>
            </c:spPr>
          </c:dPt>
          <c:dPt>
            <c:idx val="467"/>
            <c:invertIfNegative val="1"/>
            <c:bubble3D val="0"/>
            <c:spPr>
              <a:solidFill>
                <a:srgbClr val="4285F4"/>
              </a:solidFill>
              <a:ln cmpd="sng">
                <a:solidFill>
                  <a:srgbClr val="000000"/>
                </a:solidFill>
              </a:ln>
            </c:spPr>
          </c:dPt>
          <c:dPt>
            <c:idx val="468"/>
            <c:invertIfNegative val="1"/>
            <c:bubble3D val="0"/>
            <c:spPr>
              <a:solidFill>
                <a:srgbClr val="4285F4"/>
              </a:solidFill>
              <a:ln cmpd="sng">
                <a:solidFill>
                  <a:srgbClr val="000000"/>
                </a:solidFill>
              </a:ln>
            </c:spPr>
          </c:dPt>
          <c:dPt>
            <c:idx val="469"/>
            <c:invertIfNegative val="1"/>
            <c:bubble3D val="0"/>
            <c:spPr>
              <a:solidFill>
                <a:srgbClr val="4285F4"/>
              </a:solidFill>
              <a:ln cmpd="sng">
                <a:solidFill>
                  <a:srgbClr val="000000"/>
                </a:solidFill>
              </a:ln>
            </c:spPr>
          </c:dPt>
          <c:dPt>
            <c:idx val="470"/>
            <c:invertIfNegative val="1"/>
            <c:bubble3D val="0"/>
            <c:spPr>
              <a:solidFill>
                <a:srgbClr val="4285F4"/>
              </a:solidFill>
              <a:ln cmpd="sng">
                <a:solidFill>
                  <a:srgbClr val="000000"/>
                </a:solidFill>
              </a:ln>
            </c:spPr>
          </c:dPt>
          <c:dPt>
            <c:idx val="471"/>
            <c:invertIfNegative val="1"/>
            <c:bubble3D val="0"/>
            <c:spPr>
              <a:solidFill>
                <a:srgbClr val="4285F4"/>
              </a:solidFill>
              <a:ln cmpd="sng">
                <a:solidFill>
                  <a:srgbClr val="000000"/>
                </a:solidFill>
              </a:ln>
            </c:spPr>
          </c:dPt>
          <c:dPt>
            <c:idx val="472"/>
            <c:invertIfNegative val="1"/>
            <c:bubble3D val="0"/>
            <c:spPr>
              <a:solidFill>
                <a:srgbClr val="4285F4"/>
              </a:solidFill>
              <a:ln cmpd="sng">
                <a:solidFill>
                  <a:srgbClr val="000000"/>
                </a:solidFill>
              </a:ln>
            </c:spPr>
          </c:dPt>
          <c:dPt>
            <c:idx val="473"/>
            <c:invertIfNegative val="1"/>
            <c:bubble3D val="0"/>
            <c:spPr>
              <a:solidFill>
                <a:srgbClr val="4285F4"/>
              </a:solidFill>
              <a:ln cmpd="sng">
                <a:solidFill>
                  <a:srgbClr val="000000"/>
                </a:solidFill>
              </a:ln>
            </c:spPr>
          </c:dPt>
          <c:dPt>
            <c:idx val="474"/>
            <c:invertIfNegative val="1"/>
            <c:bubble3D val="0"/>
            <c:spPr>
              <a:solidFill>
                <a:srgbClr val="4285F4"/>
              </a:solidFill>
              <a:ln cmpd="sng">
                <a:solidFill>
                  <a:srgbClr val="000000"/>
                </a:solidFill>
              </a:ln>
            </c:spPr>
          </c:dPt>
          <c:dPt>
            <c:idx val="475"/>
            <c:invertIfNegative val="1"/>
            <c:bubble3D val="0"/>
            <c:spPr>
              <a:solidFill>
                <a:srgbClr val="4285F4"/>
              </a:solidFill>
              <a:ln cmpd="sng">
                <a:solidFill>
                  <a:srgbClr val="000000"/>
                </a:solidFill>
              </a:ln>
            </c:spPr>
          </c:dPt>
          <c:dPt>
            <c:idx val="476"/>
            <c:invertIfNegative val="1"/>
            <c:bubble3D val="0"/>
            <c:spPr>
              <a:solidFill>
                <a:srgbClr val="4285F4"/>
              </a:solidFill>
              <a:ln cmpd="sng">
                <a:solidFill>
                  <a:srgbClr val="000000"/>
                </a:solidFill>
              </a:ln>
            </c:spPr>
          </c:dPt>
          <c:dPt>
            <c:idx val="477"/>
            <c:invertIfNegative val="1"/>
            <c:bubble3D val="0"/>
            <c:spPr>
              <a:solidFill>
                <a:srgbClr val="4285F4"/>
              </a:solidFill>
              <a:ln cmpd="sng">
                <a:solidFill>
                  <a:srgbClr val="000000"/>
                </a:solidFill>
              </a:ln>
            </c:spPr>
          </c:dPt>
          <c:dPt>
            <c:idx val="478"/>
            <c:invertIfNegative val="1"/>
            <c:bubble3D val="0"/>
            <c:spPr>
              <a:solidFill>
                <a:srgbClr val="4285F4"/>
              </a:solidFill>
              <a:ln cmpd="sng">
                <a:solidFill>
                  <a:srgbClr val="000000"/>
                </a:solidFill>
              </a:ln>
            </c:spPr>
          </c:dPt>
          <c:dPt>
            <c:idx val="479"/>
            <c:invertIfNegative val="1"/>
            <c:bubble3D val="0"/>
            <c:spPr>
              <a:solidFill>
                <a:srgbClr val="4285F4"/>
              </a:solidFill>
              <a:ln cmpd="sng">
                <a:solidFill>
                  <a:srgbClr val="000000"/>
                </a:solidFill>
              </a:ln>
            </c:spPr>
          </c:dPt>
          <c:dPt>
            <c:idx val="480"/>
            <c:invertIfNegative val="1"/>
            <c:bubble3D val="0"/>
            <c:spPr>
              <a:solidFill>
                <a:srgbClr val="4285F4"/>
              </a:solidFill>
              <a:ln cmpd="sng">
                <a:solidFill>
                  <a:srgbClr val="000000"/>
                </a:solidFill>
              </a:ln>
            </c:spPr>
          </c:dPt>
          <c:dPt>
            <c:idx val="481"/>
            <c:invertIfNegative val="1"/>
            <c:bubble3D val="0"/>
            <c:spPr>
              <a:solidFill>
                <a:srgbClr val="4285F4"/>
              </a:solidFill>
              <a:ln cmpd="sng">
                <a:solidFill>
                  <a:srgbClr val="000000"/>
                </a:solidFill>
              </a:ln>
            </c:spPr>
          </c:dPt>
          <c:dPt>
            <c:idx val="482"/>
            <c:invertIfNegative val="1"/>
            <c:bubble3D val="0"/>
            <c:spPr>
              <a:solidFill>
                <a:srgbClr val="4285F4"/>
              </a:solidFill>
              <a:ln cmpd="sng">
                <a:solidFill>
                  <a:srgbClr val="000000"/>
                </a:solidFill>
              </a:ln>
            </c:spPr>
          </c:dPt>
          <c:dPt>
            <c:idx val="483"/>
            <c:invertIfNegative val="1"/>
            <c:bubble3D val="0"/>
            <c:spPr>
              <a:solidFill>
                <a:srgbClr val="4285F4"/>
              </a:solidFill>
              <a:ln cmpd="sng">
                <a:solidFill>
                  <a:srgbClr val="000000"/>
                </a:solidFill>
              </a:ln>
            </c:spPr>
          </c:dPt>
          <c:dPt>
            <c:idx val="484"/>
            <c:invertIfNegative val="1"/>
            <c:bubble3D val="0"/>
            <c:spPr>
              <a:solidFill>
                <a:srgbClr val="4285F4"/>
              </a:solidFill>
              <a:ln cmpd="sng">
                <a:solidFill>
                  <a:srgbClr val="000000"/>
                </a:solidFill>
              </a:ln>
            </c:spPr>
          </c:dPt>
          <c:dPt>
            <c:idx val="485"/>
            <c:invertIfNegative val="1"/>
            <c:bubble3D val="0"/>
            <c:spPr>
              <a:solidFill>
                <a:srgbClr val="4285F4"/>
              </a:solidFill>
              <a:ln cmpd="sng">
                <a:solidFill>
                  <a:srgbClr val="000000"/>
                </a:solidFill>
              </a:ln>
            </c:spPr>
          </c:dPt>
          <c:dPt>
            <c:idx val="486"/>
            <c:invertIfNegative val="1"/>
            <c:bubble3D val="0"/>
            <c:spPr>
              <a:solidFill>
                <a:srgbClr val="4285F4"/>
              </a:solidFill>
              <a:ln cmpd="sng">
                <a:solidFill>
                  <a:srgbClr val="000000"/>
                </a:solidFill>
              </a:ln>
            </c:spPr>
          </c:dPt>
          <c:dPt>
            <c:idx val="487"/>
            <c:invertIfNegative val="1"/>
            <c:bubble3D val="0"/>
            <c:spPr>
              <a:solidFill>
                <a:srgbClr val="4285F4"/>
              </a:solidFill>
              <a:ln cmpd="sng">
                <a:solidFill>
                  <a:srgbClr val="000000"/>
                </a:solidFill>
              </a:ln>
            </c:spPr>
          </c:dPt>
          <c:dPt>
            <c:idx val="488"/>
            <c:invertIfNegative val="1"/>
            <c:bubble3D val="0"/>
            <c:spPr>
              <a:solidFill>
                <a:srgbClr val="4285F4"/>
              </a:solidFill>
              <a:ln cmpd="sng">
                <a:solidFill>
                  <a:srgbClr val="000000"/>
                </a:solidFill>
              </a:ln>
            </c:spPr>
          </c:dPt>
          <c:dPt>
            <c:idx val="489"/>
            <c:invertIfNegative val="1"/>
            <c:bubble3D val="0"/>
            <c:spPr>
              <a:solidFill>
                <a:srgbClr val="4285F4"/>
              </a:solidFill>
              <a:ln cmpd="sng">
                <a:solidFill>
                  <a:srgbClr val="000000"/>
                </a:solidFill>
              </a:ln>
            </c:spPr>
          </c:dPt>
          <c:dPt>
            <c:idx val="490"/>
            <c:invertIfNegative val="1"/>
            <c:bubble3D val="0"/>
            <c:spPr>
              <a:solidFill>
                <a:srgbClr val="4285F4"/>
              </a:solidFill>
              <a:ln cmpd="sng">
                <a:solidFill>
                  <a:srgbClr val="000000"/>
                </a:solidFill>
              </a:ln>
            </c:spPr>
          </c:dPt>
          <c:dPt>
            <c:idx val="491"/>
            <c:invertIfNegative val="1"/>
            <c:bubble3D val="0"/>
            <c:spPr>
              <a:solidFill>
                <a:srgbClr val="4285F4"/>
              </a:solidFill>
              <a:ln cmpd="sng">
                <a:solidFill>
                  <a:srgbClr val="000000"/>
                </a:solidFill>
              </a:ln>
            </c:spPr>
          </c:dPt>
          <c:dPt>
            <c:idx val="492"/>
            <c:invertIfNegative val="1"/>
            <c:bubble3D val="0"/>
            <c:spPr>
              <a:solidFill>
                <a:srgbClr val="4285F4"/>
              </a:solidFill>
              <a:ln cmpd="sng">
                <a:solidFill>
                  <a:srgbClr val="000000"/>
                </a:solidFill>
              </a:ln>
            </c:spPr>
          </c:dPt>
          <c:dPt>
            <c:idx val="493"/>
            <c:invertIfNegative val="1"/>
            <c:bubble3D val="0"/>
            <c:spPr>
              <a:solidFill>
                <a:srgbClr val="4285F4"/>
              </a:solidFill>
              <a:ln cmpd="sng">
                <a:solidFill>
                  <a:srgbClr val="000000"/>
                </a:solidFill>
              </a:ln>
            </c:spPr>
          </c:dPt>
          <c:dPt>
            <c:idx val="494"/>
            <c:invertIfNegative val="1"/>
            <c:bubble3D val="0"/>
            <c:spPr>
              <a:solidFill>
                <a:srgbClr val="4285F4"/>
              </a:solidFill>
              <a:ln cmpd="sng">
                <a:solidFill>
                  <a:srgbClr val="000000"/>
                </a:solidFill>
              </a:ln>
            </c:spPr>
          </c:dPt>
          <c:dPt>
            <c:idx val="495"/>
            <c:invertIfNegative val="1"/>
            <c:bubble3D val="0"/>
            <c:spPr>
              <a:solidFill>
                <a:srgbClr val="4285F4"/>
              </a:solidFill>
              <a:ln cmpd="sng">
                <a:solidFill>
                  <a:srgbClr val="000000"/>
                </a:solidFill>
              </a:ln>
            </c:spPr>
          </c:dPt>
          <c:dPt>
            <c:idx val="496"/>
            <c:invertIfNegative val="1"/>
            <c:bubble3D val="0"/>
            <c:spPr>
              <a:solidFill>
                <a:srgbClr val="4285F4"/>
              </a:solidFill>
              <a:ln cmpd="sng">
                <a:solidFill>
                  <a:srgbClr val="000000"/>
                </a:solidFill>
              </a:ln>
            </c:spPr>
          </c:dPt>
          <c:dPt>
            <c:idx val="497"/>
            <c:invertIfNegative val="1"/>
            <c:bubble3D val="0"/>
            <c:spPr>
              <a:solidFill>
                <a:srgbClr val="4285F4"/>
              </a:solidFill>
              <a:ln cmpd="sng">
                <a:solidFill>
                  <a:srgbClr val="000000"/>
                </a:solidFill>
              </a:ln>
            </c:spPr>
          </c:dPt>
          <c:dPt>
            <c:idx val="498"/>
            <c:invertIfNegative val="1"/>
            <c:bubble3D val="0"/>
            <c:spPr>
              <a:solidFill>
                <a:srgbClr val="4285F4"/>
              </a:solidFill>
              <a:ln cmpd="sng">
                <a:solidFill>
                  <a:srgbClr val="000000"/>
                </a:solidFill>
              </a:ln>
            </c:spPr>
          </c:dPt>
          <c:dPt>
            <c:idx val="499"/>
            <c:invertIfNegative val="1"/>
            <c:bubble3D val="0"/>
            <c:spPr>
              <a:solidFill>
                <a:srgbClr val="4285F4"/>
              </a:solidFill>
              <a:ln cmpd="sng">
                <a:solidFill>
                  <a:srgbClr val="000000"/>
                </a:solidFill>
              </a:ln>
            </c:spPr>
          </c:dPt>
          <c:dPt>
            <c:idx val="500"/>
            <c:invertIfNegative val="1"/>
            <c:bubble3D val="0"/>
            <c:spPr>
              <a:solidFill>
                <a:srgbClr val="4285F4"/>
              </a:solidFill>
              <a:ln cmpd="sng">
                <a:solidFill>
                  <a:srgbClr val="000000"/>
                </a:solidFill>
              </a:ln>
            </c:spPr>
          </c:dPt>
          <c:dPt>
            <c:idx val="501"/>
            <c:invertIfNegative val="1"/>
            <c:bubble3D val="0"/>
            <c:spPr>
              <a:solidFill>
                <a:srgbClr val="4285F4"/>
              </a:solidFill>
              <a:ln cmpd="sng">
                <a:solidFill>
                  <a:srgbClr val="000000"/>
                </a:solidFill>
              </a:ln>
            </c:spPr>
          </c:dPt>
          <c:dPt>
            <c:idx val="502"/>
            <c:invertIfNegative val="1"/>
            <c:bubble3D val="0"/>
            <c:spPr>
              <a:solidFill>
                <a:srgbClr val="4285F4"/>
              </a:solidFill>
              <a:ln cmpd="sng">
                <a:solidFill>
                  <a:srgbClr val="000000"/>
                </a:solidFill>
              </a:ln>
            </c:spPr>
          </c:dPt>
          <c:dPt>
            <c:idx val="503"/>
            <c:invertIfNegative val="1"/>
            <c:bubble3D val="0"/>
            <c:spPr>
              <a:solidFill>
                <a:srgbClr val="4285F4"/>
              </a:solidFill>
              <a:ln cmpd="sng">
                <a:solidFill>
                  <a:srgbClr val="000000"/>
                </a:solidFill>
              </a:ln>
            </c:spPr>
          </c:dPt>
          <c:dPt>
            <c:idx val="504"/>
            <c:invertIfNegative val="1"/>
            <c:bubble3D val="0"/>
            <c:spPr>
              <a:solidFill>
                <a:srgbClr val="4285F4"/>
              </a:solidFill>
              <a:ln cmpd="sng">
                <a:solidFill>
                  <a:srgbClr val="000000"/>
                </a:solidFill>
              </a:ln>
            </c:spPr>
          </c:dPt>
          <c:dPt>
            <c:idx val="505"/>
            <c:invertIfNegative val="1"/>
            <c:bubble3D val="0"/>
            <c:spPr>
              <a:solidFill>
                <a:srgbClr val="4285F4"/>
              </a:solidFill>
              <a:ln cmpd="sng">
                <a:solidFill>
                  <a:srgbClr val="000000"/>
                </a:solidFill>
              </a:ln>
            </c:spPr>
          </c:dPt>
          <c:dPt>
            <c:idx val="506"/>
            <c:invertIfNegative val="1"/>
            <c:bubble3D val="0"/>
            <c:spPr>
              <a:solidFill>
                <a:srgbClr val="4285F4"/>
              </a:solidFill>
              <a:ln cmpd="sng">
                <a:solidFill>
                  <a:srgbClr val="000000"/>
                </a:solidFill>
              </a:ln>
            </c:spPr>
          </c:dPt>
          <c:dPt>
            <c:idx val="507"/>
            <c:invertIfNegative val="1"/>
            <c:bubble3D val="0"/>
            <c:spPr>
              <a:solidFill>
                <a:srgbClr val="4285F4"/>
              </a:solidFill>
              <a:ln cmpd="sng">
                <a:solidFill>
                  <a:srgbClr val="000000"/>
                </a:solidFill>
              </a:ln>
            </c:spPr>
          </c:dPt>
          <c:dPt>
            <c:idx val="508"/>
            <c:invertIfNegative val="1"/>
            <c:bubble3D val="0"/>
            <c:spPr>
              <a:solidFill>
                <a:srgbClr val="4285F4"/>
              </a:solidFill>
              <a:ln cmpd="sng">
                <a:solidFill>
                  <a:srgbClr val="000000"/>
                </a:solidFill>
              </a:ln>
            </c:spPr>
          </c:dPt>
          <c:dPt>
            <c:idx val="509"/>
            <c:invertIfNegative val="1"/>
            <c:bubble3D val="0"/>
            <c:spPr>
              <a:solidFill>
                <a:srgbClr val="4285F4"/>
              </a:solidFill>
              <a:ln cmpd="sng">
                <a:solidFill>
                  <a:srgbClr val="000000"/>
                </a:solidFill>
              </a:ln>
            </c:spPr>
          </c:dPt>
          <c:dPt>
            <c:idx val="510"/>
            <c:invertIfNegative val="1"/>
            <c:bubble3D val="0"/>
            <c:spPr>
              <a:solidFill>
                <a:srgbClr val="4285F4"/>
              </a:solidFill>
              <a:ln cmpd="sng">
                <a:solidFill>
                  <a:srgbClr val="000000"/>
                </a:solidFill>
              </a:ln>
            </c:spPr>
          </c:dPt>
          <c:dPt>
            <c:idx val="511"/>
            <c:invertIfNegative val="1"/>
            <c:bubble3D val="0"/>
            <c:spPr>
              <a:solidFill>
                <a:srgbClr val="4285F4"/>
              </a:solidFill>
              <a:ln cmpd="sng">
                <a:solidFill>
                  <a:srgbClr val="000000"/>
                </a:solidFill>
              </a:ln>
            </c:spPr>
          </c:dPt>
          <c:dPt>
            <c:idx val="512"/>
            <c:invertIfNegative val="1"/>
            <c:bubble3D val="0"/>
            <c:spPr>
              <a:solidFill>
                <a:srgbClr val="4285F4"/>
              </a:solidFill>
              <a:ln cmpd="sng">
                <a:solidFill>
                  <a:srgbClr val="000000"/>
                </a:solidFill>
              </a:ln>
            </c:spPr>
          </c:dPt>
          <c:dPt>
            <c:idx val="513"/>
            <c:invertIfNegative val="1"/>
            <c:bubble3D val="0"/>
            <c:spPr>
              <a:solidFill>
                <a:srgbClr val="4285F4"/>
              </a:solidFill>
              <a:ln cmpd="sng">
                <a:solidFill>
                  <a:srgbClr val="000000"/>
                </a:solidFill>
              </a:ln>
            </c:spPr>
          </c:dPt>
          <c:dPt>
            <c:idx val="514"/>
            <c:invertIfNegative val="1"/>
            <c:bubble3D val="0"/>
            <c:spPr>
              <a:solidFill>
                <a:srgbClr val="4285F4"/>
              </a:solidFill>
              <a:ln cmpd="sng">
                <a:solidFill>
                  <a:srgbClr val="000000"/>
                </a:solidFill>
              </a:ln>
            </c:spPr>
          </c:dPt>
          <c:dPt>
            <c:idx val="515"/>
            <c:invertIfNegative val="1"/>
            <c:bubble3D val="0"/>
            <c:spPr>
              <a:solidFill>
                <a:srgbClr val="4285F4"/>
              </a:solidFill>
              <a:ln cmpd="sng">
                <a:solidFill>
                  <a:srgbClr val="000000"/>
                </a:solidFill>
              </a:ln>
            </c:spPr>
          </c:dPt>
          <c:dPt>
            <c:idx val="516"/>
            <c:invertIfNegative val="1"/>
            <c:bubble3D val="0"/>
            <c:spPr>
              <a:solidFill>
                <a:srgbClr val="4285F4"/>
              </a:solidFill>
              <a:ln cmpd="sng">
                <a:solidFill>
                  <a:srgbClr val="000000"/>
                </a:solidFill>
              </a:ln>
            </c:spPr>
          </c:dPt>
          <c:dPt>
            <c:idx val="517"/>
            <c:invertIfNegative val="1"/>
            <c:bubble3D val="0"/>
            <c:spPr>
              <a:solidFill>
                <a:srgbClr val="4285F4"/>
              </a:solidFill>
              <a:ln cmpd="sng">
                <a:solidFill>
                  <a:srgbClr val="000000"/>
                </a:solidFill>
              </a:ln>
            </c:spPr>
          </c:dPt>
          <c:dPt>
            <c:idx val="518"/>
            <c:invertIfNegative val="1"/>
            <c:bubble3D val="0"/>
            <c:spPr>
              <a:solidFill>
                <a:srgbClr val="4285F4"/>
              </a:solidFill>
              <a:ln cmpd="sng">
                <a:solidFill>
                  <a:srgbClr val="000000"/>
                </a:solidFill>
              </a:ln>
            </c:spPr>
          </c:dPt>
          <c:dPt>
            <c:idx val="519"/>
            <c:invertIfNegative val="1"/>
            <c:bubble3D val="0"/>
            <c:spPr>
              <a:solidFill>
                <a:srgbClr val="4285F4"/>
              </a:solidFill>
              <a:ln cmpd="sng">
                <a:solidFill>
                  <a:srgbClr val="000000"/>
                </a:solidFill>
              </a:ln>
            </c:spPr>
          </c:dPt>
          <c:dPt>
            <c:idx val="520"/>
            <c:invertIfNegative val="1"/>
            <c:bubble3D val="0"/>
            <c:spPr>
              <a:solidFill>
                <a:srgbClr val="4285F4"/>
              </a:solidFill>
              <a:ln cmpd="sng">
                <a:solidFill>
                  <a:srgbClr val="000000"/>
                </a:solidFill>
              </a:ln>
            </c:spPr>
          </c:dPt>
          <c:dPt>
            <c:idx val="521"/>
            <c:invertIfNegative val="1"/>
            <c:bubble3D val="0"/>
            <c:spPr>
              <a:solidFill>
                <a:srgbClr val="4285F4"/>
              </a:solidFill>
              <a:ln cmpd="sng">
                <a:solidFill>
                  <a:srgbClr val="000000"/>
                </a:solidFill>
              </a:ln>
            </c:spPr>
          </c:dPt>
          <c:dPt>
            <c:idx val="522"/>
            <c:invertIfNegative val="1"/>
            <c:bubble3D val="0"/>
            <c:spPr>
              <a:solidFill>
                <a:srgbClr val="4285F4"/>
              </a:solidFill>
              <a:ln cmpd="sng">
                <a:solidFill>
                  <a:srgbClr val="000000"/>
                </a:solidFill>
              </a:ln>
            </c:spPr>
          </c:dPt>
          <c:dPt>
            <c:idx val="523"/>
            <c:invertIfNegative val="1"/>
            <c:bubble3D val="0"/>
            <c:spPr>
              <a:solidFill>
                <a:srgbClr val="4285F4"/>
              </a:solidFill>
              <a:ln cmpd="sng">
                <a:solidFill>
                  <a:srgbClr val="000000"/>
                </a:solidFill>
              </a:ln>
            </c:spPr>
          </c:dPt>
          <c:dPt>
            <c:idx val="524"/>
            <c:invertIfNegative val="1"/>
            <c:bubble3D val="0"/>
            <c:spPr>
              <a:solidFill>
                <a:srgbClr val="4285F4"/>
              </a:solidFill>
              <a:ln cmpd="sng">
                <a:solidFill>
                  <a:srgbClr val="000000"/>
                </a:solidFill>
              </a:ln>
            </c:spPr>
          </c:dPt>
          <c:dPt>
            <c:idx val="525"/>
            <c:invertIfNegative val="1"/>
            <c:bubble3D val="0"/>
            <c:spPr>
              <a:solidFill>
                <a:srgbClr val="4285F4"/>
              </a:solidFill>
              <a:ln cmpd="sng">
                <a:solidFill>
                  <a:srgbClr val="000000"/>
                </a:solidFill>
              </a:ln>
            </c:spPr>
          </c:dPt>
          <c:dPt>
            <c:idx val="526"/>
            <c:invertIfNegative val="1"/>
            <c:bubble3D val="0"/>
            <c:spPr>
              <a:solidFill>
                <a:srgbClr val="4285F4"/>
              </a:solidFill>
              <a:ln cmpd="sng">
                <a:solidFill>
                  <a:srgbClr val="000000"/>
                </a:solidFill>
              </a:ln>
            </c:spPr>
          </c:dPt>
          <c:dPt>
            <c:idx val="527"/>
            <c:invertIfNegative val="1"/>
            <c:bubble3D val="0"/>
            <c:spPr>
              <a:solidFill>
                <a:srgbClr val="4285F4"/>
              </a:solidFill>
              <a:ln cmpd="sng">
                <a:solidFill>
                  <a:srgbClr val="000000"/>
                </a:solidFill>
              </a:ln>
            </c:spPr>
          </c:dPt>
          <c:dPt>
            <c:idx val="528"/>
            <c:invertIfNegative val="1"/>
            <c:bubble3D val="0"/>
            <c:spPr>
              <a:solidFill>
                <a:srgbClr val="4285F4"/>
              </a:solidFill>
              <a:ln cmpd="sng">
                <a:solidFill>
                  <a:srgbClr val="000000"/>
                </a:solidFill>
              </a:ln>
            </c:spPr>
          </c:dPt>
          <c:dPt>
            <c:idx val="529"/>
            <c:invertIfNegative val="1"/>
            <c:bubble3D val="0"/>
            <c:spPr>
              <a:solidFill>
                <a:srgbClr val="4285F4"/>
              </a:solidFill>
              <a:ln cmpd="sng">
                <a:solidFill>
                  <a:srgbClr val="000000"/>
                </a:solidFill>
              </a:ln>
            </c:spPr>
          </c:dPt>
          <c:dPt>
            <c:idx val="530"/>
            <c:invertIfNegative val="1"/>
            <c:bubble3D val="0"/>
            <c:spPr>
              <a:solidFill>
                <a:srgbClr val="4285F4"/>
              </a:solidFill>
              <a:ln cmpd="sng">
                <a:solidFill>
                  <a:srgbClr val="000000"/>
                </a:solidFill>
              </a:ln>
            </c:spPr>
          </c:dPt>
          <c:dPt>
            <c:idx val="531"/>
            <c:invertIfNegative val="1"/>
            <c:bubble3D val="0"/>
            <c:spPr>
              <a:solidFill>
                <a:srgbClr val="4285F4"/>
              </a:solidFill>
              <a:ln cmpd="sng">
                <a:solidFill>
                  <a:srgbClr val="000000"/>
                </a:solidFill>
              </a:ln>
            </c:spPr>
          </c:dPt>
          <c:dPt>
            <c:idx val="532"/>
            <c:invertIfNegative val="1"/>
            <c:bubble3D val="0"/>
            <c:spPr>
              <a:solidFill>
                <a:srgbClr val="4285F4"/>
              </a:solidFill>
              <a:ln cmpd="sng">
                <a:solidFill>
                  <a:srgbClr val="000000"/>
                </a:solidFill>
              </a:ln>
            </c:spPr>
          </c:dPt>
          <c:dPt>
            <c:idx val="533"/>
            <c:invertIfNegative val="1"/>
            <c:bubble3D val="0"/>
            <c:spPr>
              <a:solidFill>
                <a:srgbClr val="4285F4"/>
              </a:solidFill>
              <a:ln cmpd="sng">
                <a:solidFill>
                  <a:srgbClr val="000000"/>
                </a:solidFill>
              </a:ln>
            </c:spPr>
          </c:dPt>
          <c:dPt>
            <c:idx val="534"/>
            <c:invertIfNegative val="1"/>
            <c:bubble3D val="0"/>
            <c:spPr>
              <a:solidFill>
                <a:srgbClr val="4285F4"/>
              </a:solidFill>
              <a:ln cmpd="sng">
                <a:solidFill>
                  <a:srgbClr val="000000"/>
                </a:solidFill>
              </a:ln>
            </c:spPr>
          </c:dPt>
          <c:dPt>
            <c:idx val="535"/>
            <c:invertIfNegative val="1"/>
            <c:bubble3D val="0"/>
            <c:spPr>
              <a:solidFill>
                <a:srgbClr val="4285F4"/>
              </a:solidFill>
              <a:ln cmpd="sng">
                <a:solidFill>
                  <a:srgbClr val="000000"/>
                </a:solidFill>
              </a:ln>
            </c:spPr>
          </c:dPt>
          <c:dPt>
            <c:idx val="536"/>
            <c:invertIfNegative val="1"/>
            <c:bubble3D val="0"/>
            <c:spPr>
              <a:solidFill>
                <a:srgbClr val="4285F4"/>
              </a:solidFill>
              <a:ln cmpd="sng">
                <a:solidFill>
                  <a:srgbClr val="000000"/>
                </a:solidFill>
              </a:ln>
            </c:spPr>
          </c:dPt>
          <c:dPt>
            <c:idx val="537"/>
            <c:invertIfNegative val="1"/>
            <c:bubble3D val="0"/>
            <c:spPr>
              <a:solidFill>
                <a:srgbClr val="4285F4"/>
              </a:solidFill>
              <a:ln cmpd="sng">
                <a:solidFill>
                  <a:srgbClr val="000000"/>
                </a:solidFill>
              </a:ln>
            </c:spPr>
          </c:dPt>
          <c:dPt>
            <c:idx val="538"/>
            <c:invertIfNegative val="1"/>
            <c:bubble3D val="0"/>
            <c:spPr>
              <a:solidFill>
                <a:srgbClr val="4285F4"/>
              </a:solidFill>
              <a:ln cmpd="sng">
                <a:solidFill>
                  <a:srgbClr val="000000"/>
                </a:solidFill>
              </a:ln>
            </c:spPr>
          </c:dPt>
          <c:dPt>
            <c:idx val="539"/>
            <c:invertIfNegative val="1"/>
            <c:bubble3D val="0"/>
            <c:spPr>
              <a:solidFill>
                <a:srgbClr val="4285F4"/>
              </a:solidFill>
              <a:ln cmpd="sng">
                <a:solidFill>
                  <a:srgbClr val="000000"/>
                </a:solidFill>
              </a:ln>
            </c:spPr>
          </c:dPt>
          <c:dPt>
            <c:idx val="540"/>
            <c:invertIfNegative val="1"/>
            <c:bubble3D val="0"/>
            <c:spPr>
              <a:solidFill>
                <a:srgbClr val="4285F4"/>
              </a:solidFill>
              <a:ln cmpd="sng">
                <a:solidFill>
                  <a:srgbClr val="000000"/>
                </a:solidFill>
              </a:ln>
            </c:spPr>
          </c:dPt>
          <c:dPt>
            <c:idx val="541"/>
            <c:invertIfNegative val="1"/>
            <c:bubble3D val="0"/>
            <c:spPr>
              <a:solidFill>
                <a:srgbClr val="4285F4"/>
              </a:solidFill>
              <a:ln cmpd="sng">
                <a:solidFill>
                  <a:srgbClr val="000000"/>
                </a:solidFill>
              </a:ln>
            </c:spPr>
          </c:dPt>
          <c:dPt>
            <c:idx val="542"/>
            <c:invertIfNegative val="1"/>
            <c:bubble3D val="0"/>
            <c:spPr>
              <a:solidFill>
                <a:srgbClr val="4285F4"/>
              </a:solidFill>
              <a:ln cmpd="sng">
                <a:solidFill>
                  <a:srgbClr val="000000"/>
                </a:solidFill>
              </a:ln>
            </c:spPr>
          </c:dPt>
          <c:dPt>
            <c:idx val="543"/>
            <c:invertIfNegative val="1"/>
            <c:bubble3D val="0"/>
            <c:spPr>
              <a:solidFill>
                <a:srgbClr val="4285F4"/>
              </a:solidFill>
              <a:ln cmpd="sng">
                <a:solidFill>
                  <a:srgbClr val="000000"/>
                </a:solidFill>
              </a:ln>
            </c:spPr>
          </c:dPt>
          <c:dPt>
            <c:idx val="544"/>
            <c:invertIfNegative val="1"/>
            <c:bubble3D val="0"/>
            <c:spPr>
              <a:solidFill>
                <a:srgbClr val="4285F4"/>
              </a:solidFill>
              <a:ln cmpd="sng">
                <a:solidFill>
                  <a:srgbClr val="000000"/>
                </a:solidFill>
              </a:ln>
            </c:spPr>
          </c:dPt>
          <c:dPt>
            <c:idx val="545"/>
            <c:invertIfNegative val="1"/>
            <c:bubble3D val="0"/>
            <c:spPr>
              <a:solidFill>
                <a:srgbClr val="4285F4"/>
              </a:solidFill>
              <a:ln cmpd="sng">
                <a:solidFill>
                  <a:srgbClr val="000000"/>
                </a:solidFill>
              </a:ln>
            </c:spPr>
          </c:dPt>
          <c:dPt>
            <c:idx val="546"/>
            <c:invertIfNegative val="1"/>
            <c:bubble3D val="0"/>
            <c:spPr>
              <a:solidFill>
                <a:srgbClr val="4285F4"/>
              </a:solidFill>
              <a:ln cmpd="sng">
                <a:solidFill>
                  <a:srgbClr val="000000"/>
                </a:solidFill>
              </a:ln>
            </c:spPr>
          </c:dPt>
          <c:dPt>
            <c:idx val="547"/>
            <c:invertIfNegative val="1"/>
            <c:bubble3D val="0"/>
            <c:spPr>
              <a:solidFill>
                <a:srgbClr val="4285F4"/>
              </a:solidFill>
              <a:ln cmpd="sng">
                <a:solidFill>
                  <a:srgbClr val="000000"/>
                </a:solidFill>
              </a:ln>
            </c:spPr>
          </c:dPt>
          <c:dPt>
            <c:idx val="548"/>
            <c:invertIfNegative val="1"/>
            <c:bubble3D val="0"/>
            <c:spPr>
              <a:solidFill>
                <a:srgbClr val="4285F4"/>
              </a:solidFill>
              <a:ln cmpd="sng">
                <a:solidFill>
                  <a:srgbClr val="000000"/>
                </a:solidFill>
              </a:ln>
            </c:spPr>
          </c:dPt>
          <c:dPt>
            <c:idx val="549"/>
            <c:invertIfNegative val="1"/>
            <c:bubble3D val="0"/>
            <c:spPr>
              <a:solidFill>
                <a:srgbClr val="4285F4"/>
              </a:solidFill>
              <a:ln cmpd="sng">
                <a:solidFill>
                  <a:srgbClr val="000000"/>
                </a:solidFill>
              </a:ln>
            </c:spPr>
          </c:dPt>
          <c:dPt>
            <c:idx val="550"/>
            <c:invertIfNegative val="1"/>
            <c:bubble3D val="0"/>
            <c:spPr>
              <a:solidFill>
                <a:srgbClr val="4285F4"/>
              </a:solidFill>
              <a:ln cmpd="sng">
                <a:solidFill>
                  <a:srgbClr val="000000"/>
                </a:solidFill>
              </a:ln>
            </c:spPr>
          </c:dPt>
          <c:dPt>
            <c:idx val="551"/>
            <c:invertIfNegative val="1"/>
            <c:bubble3D val="0"/>
            <c:spPr>
              <a:solidFill>
                <a:srgbClr val="4285F4"/>
              </a:solidFill>
              <a:ln cmpd="sng">
                <a:solidFill>
                  <a:srgbClr val="000000"/>
                </a:solidFill>
              </a:ln>
            </c:spPr>
          </c:dPt>
          <c:dPt>
            <c:idx val="552"/>
            <c:invertIfNegative val="1"/>
            <c:bubble3D val="0"/>
            <c:spPr>
              <a:solidFill>
                <a:srgbClr val="4285F4"/>
              </a:solidFill>
              <a:ln cmpd="sng">
                <a:solidFill>
                  <a:srgbClr val="000000"/>
                </a:solidFill>
              </a:ln>
            </c:spPr>
          </c:dPt>
          <c:dPt>
            <c:idx val="553"/>
            <c:invertIfNegative val="1"/>
            <c:bubble3D val="0"/>
            <c:spPr>
              <a:solidFill>
                <a:srgbClr val="4285F4"/>
              </a:solidFill>
              <a:ln cmpd="sng">
                <a:solidFill>
                  <a:srgbClr val="000000"/>
                </a:solidFill>
              </a:ln>
            </c:spPr>
          </c:dPt>
          <c:dPt>
            <c:idx val="554"/>
            <c:invertIfNegative val="1"/>
            <c:bubble3D val="0"/>
            <c:spPr>
              <a:solidFill>
                <a:srgbClr val="4285F4"/>
              </a:solidFill>
              <a:ln cmpd="sng">
                <a:solidFill>
                  <a:srgbClr val="000000"/>
                </a:solidFill>
              </a:ln>
            </c:spPr>
          </c:dPt>
          <c:dPt>
            <c:idx val="555"/>
            <c:invertIfNegative val="1"/>
            <c:bubble3D val="0"/>
            <c:spPr>
              <a:solidFill>
                <a:srgbClr val="4285F4"/>
              </a:solidFill>
              <a:ln cmpd="sng">
                <a:solidFill>
                  <a:srgbClr val="000000"/>
                </a:solidFill>
              </a:ln>
            </c:spPr>
          </c:dPt>
          <c:dPt>
            <c:idx val="556"/>
            <c:invertIfNegative val="1"/>
            <c:bubble3D val="0"/>
            <c:spPr>
              <a:solidFill>
                <a:srgbClr val="4285F4"/>
              </a:solidFill>
              <a:ln cmpd="sng">
                <a:solidFill>
                  <a:srgbClr val="000000"/>
                </a:solidFill>
              </a:ln>
            </c:spPr>
          </c:dPt>
          <c:dPt>
            <c:idx val="557"/>
            <c:invertIfNegative val="1"/>
            <c:bubble3D val="0"/>
            <c:spPr>
              <a:solidFill>
                <a:srgbClr val="4285F4"/>
              </a:solidFill>
              <a:ln cmpd="sng">
                <a:solidFill>
                  <a:srgbClr val="000000"/>
                </a:solidFill>
              </a:ln>
            </c:spPr>
          </c:dPt>
          <c:dPt>
            <c:idx val="558"/>
            <c:invertIfNegative val="1"/>
            <c:bubble3D val="0"/>
            <c:spPr>
              <a:solidFill>
                <a:srgbClr val="4285F4"/>
              </a:solidFill>
              <a:ln cmpd="sng">
                <a:solidFill>
                  <a:srgbClr val="000000"/>
                </a:solidFill>
              </a:ln>
            </c:spPr>
          </c:dPt>
          <c:dPt>
            <c:idx val="559"/>
            <c:invertIfNegative val="1"/>
            <c:bubble3D val="0"/>
            <c:spPr>
              <a:solidFill>
                <a:srgbClr val="4285F4"/>
              </a:solidFill>
              <a:ln cmpd="sng">
                <a:solidFill>
                  <a:srgbClr val="000000"/>
                </a:solidFill>
              </a:ln>
            </c:spPr>
          </c:dPt>
          <c:dPt>
            <c:idx val="560"/>
            <c:invertIfNegative val="1"/>
            <c:bubble3D val="0"/>
            <c:spPr>
              <a:solidFill>
                <a:srgbClr val="4285F4"/>
              </a:solidFill>
              <a:ln cmpd="sng">
                <a:solidFill>
                  <a:srgbClr val="000000"/>
                </a:solidFill>
              </a:ln>
            </c:spPr>
          </c:dPt>
          <c:dPt>
            <c:idx val="561"/>
            <c:invertIfNegative val="1"/>
            <c:bubble3D val="0"/>
            <c:spPr>
              <a:solidFill>
                <a:srgbClr val="4285F4"/>
              </a:solidFill>
              <a:ln cmpd="sng">
                <a:solidFill>
                  <a:srgbClr val="000000"/>
                </a:solidFill>
              </a:ln>
            </c:spPr>
          </c:dPt>
          <c:dPt>
            <c:idx val="562"/>
            <c:invertIfNegative val="1"/>
            <c:bubble3D val="0"/>
            <c:spPr>
              <a:solidFill>
                <a:srgbClr val="4285F4"/>
              </a:solidFill>
              <a:ln cmpd="sng">
                <a:solidFill>
                  <a:srgbClr val="000000"/>
                </a:solidFill>
              </a:ln>
            </c:spPr>
          </c:dPt>
          <c:dPt>
            <c:idx val="563"/>
            <c:invertIfNegative val="1"/>
            <c:bubble3D val="0"/>
            <c:spPr>
              <a:solidFill>
                <a:srgbClr val="4285F4"/>
              </a:solidFill>
              <a:ln cmpd="sng">
                <a:solidFill>
                  <a:srgbClr val="000000"/>
                </a:solidFill>
              </a:ln>
            </c:spPr>
          </c:dPt>
          <c:dPt>
            <c:idx val="564"/>
            <c:invertIfNegative val="1"/>
            <c:bubble3D val="0"/>
            <c:spPr>
              <a:solidFill>
                <a:srgbClr val="4285F4"/>
              </a:solidFill>
              <a:ln cmpd="sng">
                <a:solidFill>
                  <a:srgbClr val="000000"/>
                </a:solidFill>
              </a:ln>
            </c:spPr>
          </c:dPt>
          <c:dPt>
            <c:idx val="565"/>
            <c:invertIfNegative val="1"/>
            <c:bubble3D val="0"/>
            <c:spPr>
              <a:solidFill>
                <a:srgbClr val="4285F4"/>
              </a:solidFill>
              <a:ln cmpd="sng">
                <a:solidFill>
                  <a:srgbClr val="000000"/>
                </a:solidFill>
              </a:ln>
            </c:spPr>
          </c:dPt>
          <c:dPt>
            <c:idx val="566"/>
            <c:invertIfNegative val="1"/>
            <c:bubble3D val="0"/>
            <c:spPr>
              <a:solidFill>
                <a:srgbClr val="4285F4"/>
              </a:solidFill>
              <a:ln cmpd="sng">
                <a:solidFill>
                  <a:srgbClr val="000000"/>
                </a:solidFill>
              </a:ln>
            </c:spPr>
          </c:dPt>
          <c:dPt>
            <c:idx val="567"/>
            <c:invertIfNegative val="1"/>
            <c:bubble3D val="0"/>
            <c:spPr>
              <a:solidFill>
                <a:srgbClr val="4285F4"/>
              </a:solidFill>
              <a:ln cmpd="sng">
                <a:solidFill>
                  <a:srgbClr val="000000"/>
                </a:solidFill>
              </a:ln>
            </c:spPr>
          </c:dPt>
          <c:dPt>
            <c:idx val="568"/>
            <c:invertIfNegative val="1"/>
            <c:bubble3D val="0"/>
            <c:spPr>
              <a:solidFill>
                <a:srgbClr val="4285F4"/>
              </a:solidFill>
              <a:ln cmpd="sng">
                <a:solidFill>
                  <a:srgbClr val="000000"/>
                </a:solidFill>
              </a:ln>
            </c:spPr>
          </c:dPt>
          <c:dPt>
            <c:idx val="569"/>
            <c:invertIfNegative val="1"/>
            <c:bubble3D val="0"/>
            <c:spPr>
              <a:solidFill>
                <a:srgbClr val="4285F4"/>
              </a:solidFill>
              <a:ln cmpd="sng">
                <a:solidFill>
                  <a:srgbClr val="000000"/>
                </a:solidFill>
              </a:ln>
            </c:spPr>
          </c:dPt>
          <c:dPt>
            <c:idx val="570"/>
            <c:invertIfNegative val="1"/>
            <c:bubble3D val="0"/>
            <c:spPr>
              <a:solidFill>
                <a:srgbClr val="4285F4"/>
              </a:solidFill>
              <a:ln cmpd="sng">
                <a:solidFill>
                  <a:srgbClr val="000000"/>
                </a:solidFill>
              </a:ln>
            </c:spPr>
          </c:dPt>
          <c:dPt>
            <c:idx val="571"/>
            <c:invertIfNegative val="1"/>
            <c:bubble3D val="0"/>
            <c:spPr>
              <a:solidFill>
                <a:srgbClr val="4285F4"/>
              </a:solidFill>
              <a:ln cmpd="sng">
                <a:solidFill>
                  <a:srgbClr val="000000"/>
                </a:solidFill>
              </a:ln>
            </c:spPr>
          </c:dPt>
          <c:dPt>
            <c:idx val="572"/>
            <c:invertIfNegative val="1"/>
            <c:bubble3D val="0"/>
            <c:spPr>
              <a:solidFill>
                <a:srgbClr val="4285F4"/>
              </a:solidFill>
              <a:ln cmpd="sng">
                <a:solidFill>
                  <a:srgbClr val="000000"/>
                </a:solidFill>
              </a:ln>
            </c:spPr>
          </c:dPt>
          <c:dPt>
            <c:idx val="573"/>
            <c:invertIfNegative val="1"/>
            <c:bubble3D val="0"/>
            <c:spPr>
              <a:solidFill>
                <a:srgbClr val="4285F4"/>
              </a:solidFill>
              <a:ln cmpd="sng">
                <a:solidFill>
                  <a:srgbClr val="000000"/>
                </a:solidFill>
              </a:ln>
            </c:spPr>
          </c:dPt>
          <c:dPt>
            <c:idx val="574"/>
            <c:invertIfNegative val="1"/>
            <c:bubble3D val="0"/>
            <c:spPr>
              <a:solidFill>
                <a:srgbClr val="4285F4"/>
              </a:solidFill>
              <a:ln cmpd="sng">
                <a:solidFill>
                  <a:srgbClr val="000000"/>
                </a:solidFill>
              </a:ln>
            </c:spPr>
          </c:dPt>
          <c:dPt>
            <c:idx val="575"/>
            <c:invertIfNegative val="1"/>
            <c:bubble3D val="0"/>
            <c:spPr>
              <a:solidFill>
                <a:srgbClr val="4285F4"/>
              </a:solidFill>
              <a:ln cmpd="sng">
                <a:solidFill>
                  <a:srgbClr val="000000"/>
                </a:solidFill>
              </a:ln>
            </c:spPr>
          </c:dPt>
          <c:dPt>
            <c:idx val="576"/>
            <c:invertIfNegative val="1"/>
            <c:bubble3D val="0"/>
            <c:spPr>
              <a:solidFill>
                <a:srgbClr val="4285F4"/>
              </a:solidFill>
              <a:ln cmpd="sng">
                <a:solidFill>
                  <a:srgbClr val="000000"/>
                </a:solidFill>
              </a:ln>
            </c:spPr>
          </c:dPt>
          <c:dPt>
            <c:idx val="577"/>
            <c:invertIfNegative val="1"/>
            <c:bubble3D val="0"/>
            <c:spPr>
              <a:solidFill>
                <a:srgbClr val="4285F4"/>
              </a:solidFill>
              <a:ln cmpd="sng">
                <a:solidFill>
                  <a:srgbClr val="000000"/>
                </a:solidFill>
              </a:ln>
            </c:spPr>
          </c:dPt>
          <c:dPt>
            <c:idx val="578"/>
            <c:invertIfNegative val="1"/>
            <c:bubble3D val="0"/>
            <c:spPr>
              <a:solidFill>
                <a:srgbClr val="4285F4"/>
              </a:solidFill>
              <a:ln cmpd="sng">
                <a:solidFill>
                  <a:srgbClr val="000000"/>
                </a:solidFill>
              </a:ln>
            </c:spPr>
          </c:dPt>
          <c:dPt>
            <c:idx val="579"/>
            <c:invertIfNegative val="1"/>
            <c:bubble3D val="0"/>
            <c:spPr>
              <a:solidFill>
                <a:srgbClr val="4285F4"/>
              </a:solidFill>
              <a:ln cmpd="sng">
                <a:solidFill>
                  <a:srgbClr val="000000"/>
                </a:solidFill>
              </a:ln>
            </c:spPr>
          </c:dPt>
          <c:dPt>
            <c:idx val="580"/>
            <c:invertIfNegative val="1"/>
            <c:bubble3D val="0"/>
            <c:spPr>
              <a:solidFill>
                <a:srgbClr val="4285F4"/>
              </a:solidFill>
              <a:ln cmpd="sng">
                <a:solidFill>
                  <a:srgbClr val="000000"/>
                </a:solidFill>
              </a:ln>
            </c:spPr>
          </c:dPt>
          <c:dPt>
            <c:idx val="581"/>
            <c:invertIfNegative val="1"/>
            <c:bubble3D val="0"/>
            <c:spPr>
              <a:solidFill>
                <a:srgbClr val="4285F4"/>
              </a:solidFill>
              <a:ln cmpd="sng">
                <a:solidFill>
                  <a:srgbClr val="000000"/>
                </a:solidFill>
              </a:ln>
            </c:spPr>
          </c:dPt>
          <c:dPt>
            <c:idx val="582"/>
            <c:invertIfNegative val="1"/>
            <c:bubble3D val="0"/>
            <c:spPr>
              <a:solidFill>
                <a:srgbClr val="4285F4"/>
              </a:solidFill>
              <a:ln cmpd="sng">
                <a:solidFill>
                  <a:srgbClr val="000000"/>
                </a:solidFill>
              </a:ln>
            </c:spPr>
          </c:dPt>
          <c:dPt>
            <c:idx val="583"/>
            <c:invertIfNegative val="1"/>
            <c:bubble3D val="0"/>
            <c:spPr>
              <a:solidFill>
                <a:srgbClr val="4285F4"/>
              </a:solidFill>
              <a:ln cmpd="sng">
                <a:solidFill>
                  <a:srgbClr val="000000"/>
                </a:solidFill>
              </a:ln>
            </c:spPr>
          </c:dPt>
          <c:dPt>
            <c:idx val="584"/>
            <c:invertIfNegative val="1"/>
            <c:bubble3D val="0"/>
            <c:spPr>
              <a:solidFill>
                <a:srgbClr val="4285F4"/>
              </a:solidFill>
              <a:ln cmpd="sng">
                <a:solidFill>
                  <a:srgbClr val="000000"/>
                </a:solidFill>
              </a:ln>
            </c:spPr>
          </c:dPt>
          <c:dPt>
            <c:idx val="585"/>
            <c:invertIfNegative val="1"/>
            <c:bubble3D val="0"/>
            <c:spPr>
              <a:solidFill>
                <a:srgbClr val="4285F4"/>
              </a:solidFill>
              <a:ln cmpd="sng">
                <a:solidFill>
                  <a:srgbClr val="000000"/>
                </a:solidFill>
              </a:ln>
            </c:spPr>
          </c:dPt>
          <c:dPt>
            <c:idx val="586"/>
            <c:invertIfNegative val="1"/>
            <c:bubble3D val="0"/>
            <c:spPr>
              <a:solidFill>
                <a:srgbClr val="4285F4"/>
              </a:solidFill>
              <a:ln cmpd="sng">
                <a:solidFill>
                  <a:srgbClr val="000000"/>
                </a:solidFill>
              </a:ln>
            </c:spPr>
          </c:dPt>
          <c:dPt>
            <c:idx val="587"/>
            <c:invertIfNegative val="1"/>
            <c:bubble3D val="0"/>
            <c:spPr>
              <a:solidFill>
                <a:srgbClr val="4285F4"/>
              </a:solidFill>
              <a:ln cmpd="sng">
                <a:solidFill>
                  <a:srgbClr val="000000"/>
                </a:solidFill>
              </a:ln>
            </c:spPr>
          </c:dPt>
          <c:dPt>
            <c:idx val="588"/>
            <c:invertIfNegative val="1"/>
            <c:bubble3D val="0"/>
            <c:spPr>
              <a:solidFill>
                <a:srgbClr val="4285F4"/>
              </a:solidFill>
              <a:ln cmpd="sng">
                <a:solidFill>
                  <a:srgbClr val="000000"/>
                </a:solidFill>
              </a:ln>
            </c:spPr>
          </c:dPt>
          <c:dPt>
            <c:idx val="589"/>
            <c:invertIfNegative val="1"/>
            <c:bubble3D val="0"/>
            <c:spPr>
              <a:solidFill>
                <a:srgbClr val="4285F4"/>
              </a:solidFill>
              <a:ln cmpd="sng">
                <a:solidFill>
                  <a:srgbClr val="000000"/>
                </a:solidFill>
              </a:ln>
            </c:spPr>
          </c:dPt>
          <c:dPt>
            <c:idx val="590"/>
            <c:invertIfNegative val="1"/>
            <c:bubble3D val="0"/>
            <c:spPr>
              <a:solidFill>
                <a:srgbClr val="4285F4"/>
              </a:solidFill>
              <a:ln cmpd="sng">
                <a:solidFill>
                  <a:srgbClr val="000000"/>
                </a:solidFill>
              </a:ln>
            </c:spPr>
          </c:dPt>
          <c:dPt>
            <c:idx val="591"/>
            <c:invertIfNegative val="1"/>
            <c:bubble3D val="0"/>
            <c:spPr>
              <a:solidFill>
                <a:srgbClr val="4285F4"/>
              </a:solidFill>
              <a:ln cmpd="sng">
                <a:solidFill>
                  <a:srgbClr val="000000"/>
                </a:solidFill>
              </a:ln>
            </c:spPr>
          </c:dPt>
          <c:dPt>
            <c:idx val="592"/>
            <c:invertIfNegative val="1"/>
            <c:bubble3D val="0"/>
            <c:spPr>
              <a:solidFill>
                <a:srgbClr val="4285F4"/>
              </a:solidFill>
              <a:ln cmpd="sng">
                <a:solidFill>
                  <a:srgbClr val="000000"/>
                </a:solidFill>
              </a:ln>
            </c:spPr>
          </c:dPt>
          <c:dPt>
            <c:idx val="593"/>
            <c:invertIfNegative val="1"/>
            <c:bubble3D val="0"/>
            <c:spPr>
              <a:solidFill>
                <a:srgbClr val="4285F4"/>
              </a:solidFill>
              <a:ln cmpd="sng">
                <a:solidFill>
                  <a:srgbClr val="000000"/>
                </a:solidFill>
              </a:ln>
            </c:spPr>
          </c:dPt>
          <c:dPt>
            <c:idx val="594"/>
            <c:invertIfNegative val="1"/>
            <c:bubble3D val="0"/>
            <c:spPr>
              <a:solidFill>
                <a:srgbClr val="4285F4"/>
              </a:solidFill>
              <a:ln cmpd="sng">
                <a:solidFill>
                  <a:srgbClr val="000000"/>
                </a:solidFill>
              </a:ln>
            </c:spPr>
          </c:dPt>
          <c:dPt>
            <c:idx val="595"/>
            <c:invertIfNegative val="1"/>
            <c:bubble3D val="0"/>
            <c:spPr>
              <a:solidFill>
                <a:srgbClr val="4285F4"/>
              </a:solidFill>
              <a:ln cmpd="sng">
                <a:solidFill>
                  <a:srgbClr val="000000"/>
                </a:solidFill>
              </a:ln>
            </c:spPr>
          </c:dPt>
          <c:dPt>
            <c:idx val="596"/>
            <c:invertIfNegative val="1"/>
            <c:bubble3D val="0"/>
            <c:spPr>
              <a:solidFill>
                <a:srgbClr val="4285F4"/>
              </a:solidFill>
              <a:ln cmpd="sng">
                <a:solidFill>
                  <a:srgbClr val="000000"/>
                </a:solidFill>
              </a:ln>
            </c:spPr>
          </c:dPt>
          <c:dPt>
            <c:idx val="597"/>
            <c:invertIfNegative val="1"/>
            <c:bubble3D val="0"/>
            <c:spPr>
              <a:solidFill>
                <a:srgbClr val="4285F4"/>
              </a:solidFill>
              <a:ln cmpd="sng">
                <a:solidFill>
                  <a:srgbClr val="000000"/>
                </a:solidFill>
              </a:ln>
            </c:spPr>
          </c:dPt>
          <c:dPt>
            <c:idx val="598"/>
            <c:invertIfNegative val="1"/>
            <c:bubble3D val="0"/>
            <c:spPr>
              <a:solidFill>
                <a:srgbClr val="4285F4"/>
              </a:solidFill>
              <a:ln cmpd="sng">
                <a:solidFill>
                  <a:srgbClr val="000000"/>
                </a:solidFill>
              </a:ln>
            </c:spPr>
          </c:dPt>
          <c:dPt>
            <c:idx val="599"/>
            <c:invertIfNegative val="1"/>
            <c:bubble3D val="0"/>
            <c:spPr>
              <a:solidFill>
                <a:srgbClr val="4285F4"/>
              </a:solidFill>
              <a:ln cmpd="sng">
                <a:solidFill>
                  <a:srgbClr val="000000"/>
                </a:solidFill>
              </a:ln>
            </c:spPr>
          </c:dPt>
          <c:dPt>
            <c:idx val="600"/>
            <c:invertIfNegative val="1"/>
            <c:bubble3D val="0"/>
            <c:spPr>
              <a:solidFill>
                <a:srgbClr val="4285F4"/>
              </a:solidFill>
              <a:ln cmpd="sng">
                <a:solidFill>
                  <a:srgbClr val="000000"/>
                </a:solidFill>
              </a:ln>
            </c:spPr>
          </c:dPt>
          <c:dPt>
            <c:idx val="601"/>
            <c:invertIfNegative val="1"/>
            <c:bubble3D val="0"/>
            <c:spPr>
              <a:solidFill>
                <a:srgbClr val="4285F4"/>
              </a:solidFill>
              <a:ln cmpd="sng">
                <a:solidFill>
                  <a:srgbClr val="000000"/>
                </a:solidFill>
              </a:ln>
            </c:spPr>
          </c:dPt>
          <c:dPt>
            <c:idx val="602"/>
            <c:invertIfNegative val="1"/>
            <c:bubble3D val="0"/>
            <c:spPr>
              <a:solidFill>
                <a:srgbClr val="4285F4"/>
              </a:solidFill>
              <a:ln cmpd="sng">
                <a:solidFill>
                  <a:srgbClr val="000000"/>
                </a:solidFill>
              </a:ln>
            </c:spPr>
          </c:dPt>
          <c:dPt>
            <c:idx val="603"/>
            <c:invertIfNegative val="1"/>
            <c:bubble3D val="0"/>
            <c:spPr>
              <a:solidFill>
                <a:srgbClr val="4285F4"/>
              </a:solidFill>
              <a:ln cmpd="sng">
                <a:solidFill>
                  <a:srgbClr val="000000"/>
                </a:solidFill>
              </a:ln>
            </c:spPr>
          </c:dPt>
          <c:dPt>
            <c:idx val="604"/>
            <c:invertIfNegative val="1"/>
            <c:bubble3D val="0"/>
            <c:spPr>
              <a:solidFill>
                <a:srgbClr val="4285F4"/>
              </a:solidFill>
              <a:ln cmpd="sng">
                <a:solidFill>
                  <a:srgbClr val="000000"/>
                </a:solidFill>
              </a:ln>
            </c:spPr>
          </c:dPt>
          <c:dPt>
            <c:idx val="605"/>
            <c:invertIfNegative val="1"/>
            <c:bubble3D val="0"/>
            <c:spPr>
              <a:solidFill>
                <a:srgbClr val="4285F4"/>
              </a:solidFill>
              <a:ln cmpd="sng">
                <a:solidFill>
                  <a:srgbClr val="000000"/>
                </a:solidFill>
              </a:ln>
            </c:spPr>
          </c:dPt>
          <c:dPt>
            <c:idx val="606"/>
            <c:invertIfNegative val="1"/>
            <c:bubble3D val="0"/>
            <c:spPr>
              <a:solidFill>
                <a:srgbClr val="4285F4"/>
              </a:solidFill>
              <a:ln cmpd="sng">
                <a:solidFill>
                  <a:srgbClr val="000000"/>
                </a:solidFill>
              </a:ln>
            </c:spPr>
          </c:dPt>
          <c:dPt>
            <c:idx val="607"/>
            <c:invertIfNegative val="1"/>
            <c:bubble3D val="0"/>
            <c:spPr>
              <a:solidFill>
                <a:srgbClr val="4285F4"/>
              </a:solidFill>
              <a:ln cmpd="sng">
                <a:solidFill>
                  <a:srgbClr val="000000"/>
                </a:solidFill>
              </a:ln>
            </c:spPr>
          </c:dPt>
          <c:dPt>
            <c:idx val="608"/>
            <c:invertIfNegative val="1"/>
            <c:bubble3D val="0"/>
            <c:spPr>
              <a:solidFill>
                <a:srgbClr val="4285F4"/>
              </a:solidFill>
              <a:ln cmpd="sng">
                <a:solidFill>
                  <a:srgbClr val="000000"/>
                </a:solidFill>
              </a:ln>
            </c:spPr>
          </c:dPt>
          <c:dPt>
            <c:idx val="609"/>
            <c:invertIfNegative val="1"/>
            <c:bubble3D val="0"/>
            <c:spPr>
              <a:solidFill>
                <a:srgbClr val="4285F4"/>
              </a:solidFill>
              <a:ln cmpd="sng">
                <a:solidFill>
                  <a:srgbClr val="000000"/>
                </a:solidFill>
              </a:ln>
            </c:spPr>
          </c:dPt>
          <c:dPt>
            <c:idx val="610"/>
            <c:invertIfNegative val="1"/>
            <c:bubble3D val="0"/>
            <c:spPr>
              <a:solidFill>
                <a:srgbClr val="4285F4"/>
              </a:solidFill>
              <a:ln cmpd="sng">
                <a:solidFill>
                  <a:srgbClr val="000000"/>
                </a:solidFill>
              </a:ln>
            </c:spPr>
          </c:dPt>
          <c:dPt>
            <c:idx val="611"/>
            <c:invertIfNegative val="1"/>
            <c:bubble3D val="0"/>
            <c:spPr>
              <a:solidFill>
                <a:srgbClr val="4285F4"/>
              </a:solidFill>
              <a:ln cmpd="sng">
                <a:solidFill>
                  <a:srgbClr val="000000"/>
                </a:solidFill>
              </a:ln>
            </c:spPr>
          </c:dPt>
          <c:dPt>
            <c:idx val="612"/>
            <c:invertIfNegative val="1"/>
            <c:bubble3D val="0"/>
            <c:spPr>
              <a:solidFill>
                <a:srgbClr val="4285F4"/>
              </a:solidFill>
              <a:ln cmpd="sng">
                <a:solidFill>
                  <a:srgbClr val="000000"/>
                </a:solidFill>
              </a:ln>
            </c:spPr>
          </c:dPt>
          <c:dPt>
            <c:idx val="613"/>
            <c:invertIfNegative val="1"/>
            <c:bubble3D val="0"/>
            <c:spPr>
              <a:solidFill>
                <a:srgbClr val="4285F4"/>
              </a:solidFill>
              <a:ln cmpd="sng">
                <a:solidFill>
                  <a:srgbClr val="000000"/>
                </a:solidFill>
              </a:ln>
            </c:spPr>
          </c:dPt>
          <c:dPt>
            <c:idx val="614"/>
            <c:invertIfNegative val="1"/>
            <c:bubble3D val="0"/>
            <c:spPr>
              <a:solidFill>
                <a:srgbClr val="4285F4"/>
              </a:solidFill>
              <a:ln cmpd="sng">
                <a:solidFill>
                  <a:srgbClr val="000000"/>
                </a:solidFill>
              </a:ln>
            </c:spPr>
          </c:dPt>
          <c:dPt>
            <c:idx val="615"/>
            <c:invertIfNegative val="1"/>
            <c:bubble3D val="0"/>
            <c:spPr>
              <a:solidFill>
                <a:srgbClr val="4285F4"/>
              </a:solidFill>
              <a:ln cmpd="sng">
                <a:solidFill>
                  <a:srgbClr val="000000"/>
                </a:solidFill>
              </a:ln>
            </c:spPr>
          </c:dPt>
          <c:dPt>
            <c:idx val="616"/>
            <c:invertIfNegative val="1"/>
            <c:bubble3D val="0"/>
            <c:spPr>
              <a:solidFill>
                <a:srgbClr val="4285F4"/>
              </a:solidFill>
              <a:ln cmpd="sng">
                <a:solidFill>
                  <a:srgbClr val="000000"/>
                </a:solidFill>
              </a:ln>
            </c:spPr>
          </c:dPt>
          <c:dPt>
            <c:idx val="617"/>
            <c:invertIfNegative val="1"/>
            <c:bubble3D val="0"/>
            <c:spPr>
              <a:solidFill>
                <a:srgbClr val="4285F4"/>
              </a:solidFill>
              <a:ln cmpd="sng">
                <a:solidFill>
                  <a:srgbClr val="000000"/>
                </a:solidFill>
              </a:ln>
            </c:spPr>
          </c:dPt>
          <c:dPt>
            <c:idx val="618"/>
            <c:invertIfNegative val="1"/>
            <c:bubble3D val="0"/>
            <c:spPr>
              <a:solidFill>
                <a:srgbClr val="4285F4"/>
              </a:solidFill>
              <a:ln cmpd="sng">
                <a:solidFill>
                  <a:srgbClr val="000000"/>
                </a:solidFill>
              </a:ln>
            </c:spPr>
          </c:dPt>
          <c:dPt>
            <c:idx val="619"/>
            <c:invertIfNegative val="1"/>
            <c:bubble3D val="0"/>
            <c:spPr>
              <a:solidFill>
                <a:srgbClr val="4285F4"/>
              </a:solidFill>
              <a:ln cmpd="sng">
                <a:solidFill>
                  <a:srgbClr val="000000"/>
                </a:solidFill>
              </a:ln>
            </c:spPr>
          </c:dPt>
          <c:dPt>
            <c:idx val="620"/>
            <c:invertIfNegative val="1"/>
            <c:bubble3D val="0"/>
            <c:spPr>
              <a:solidFill>
                <a:srgbClr val="4285F4"/>
              </a:solidFill>
              <a:ln cmpd="sng">
                <a:solidFill>
                  <a:srgbClr val="000000"/>
                </a:solidFill>
              </a:ln>
            </c:spPr>
          </c:dPt>
          <c:dPt>
            <c:idx val="621"/>
            <c:invertIfNegative val="1"/>
            <c:bubble3D val="0"/>
            <c:spPr>
              <a:solidFill>
                <a:srgbClr val="4285F4"/>
              </a:solidFill>
              <a:ln cmpd="sng">
                <a:solidFill>
                  <a:srgbClr val="000000"/>
                </a:solidFill>
              </a:ln>
            </c:spPr>
          </c:dPt>
          <c:dPt>
            <c:idx val="622"/>
            <c:invertIfNegative val="1"/>
            <c:bubble3D val="0"/>
            <c:spPr>
              <a:solidFill>
                <a:srgbClr val="4285F4"/>
              </a:solidFill>
              <a:ln cmpd="sng">
                <a:solidFill>
                  <a:srgbClr val="000000"/>
                </a:solidFill>
              </a:ln>
            </c:spPr>
          </c:dPt>
          <c:dPt>
            <c:idx val="623"/>
            <c:invertIfNegative val="1"/>
            <c:bubble3D val="0"/>
            <c:spPr>
              <a:solidFill>
                <a:srgbClr val="4285F4"/>
              </a:solidFill>
              <a:ln cmpd="sng">
                <a:solidFill>
                  <a:srgbClr val="000000"/>
                </a:solidFill>
              </a:ln>
            </c:spPr>
          </c:dPt>
          <c:dPt>
            <c:idx val="624"/>
            <c:invertIfNegative val="1"/>
            <c:bubble3D val="0"/>
            <c:spPr>
              <a:solidFill>
                <a:srgbClr val="4285F4"/>
              </a:solidFill>
              <a:ln cmpd="sng">
                <a:solidFill>
                  <a:srgbClr val="000000"/>
                </a:solidFill>
              </a:ln>
            </c:spPr>
          </c:dPt>
          <c:dPt>
            <c:idx val="625"/>
            <c:invertIfNegative val="1"/>
            <c:bubble3D val="0"/>
            <c:spPr>
              <a:solidFill>
                <a:srgbClr val="4285F4"/>
              </a:solidFill>
              <a:ln cmpd="sng">
                <a:solidFill>
                  <a:srgbClr val="000000"/>
                </a:solidFill>
              </a:ln>
            </c:spPr>
          </c:dPt>
          <c:dPt>
            <c:idx val="626"/>
            <c:invertIfNegative val="1"/>
            <c:bubble3D val="0"/>
            <c:spPr>
              <a:solidFill>
                <a:srgbClr val="4285F4"/>
              </a:solidFill>
              <a:ln cmpd="sng">
                <a:solidFill>
                  <a:srgbClr val="000000"/>
                </a:solidFill>
              </a:ln>
            </c:spPr>
          </c:dPt>
          <c:dPt>
            <c:idx val="627"/>
            <c:invertIfNegative val="1"/>
            <c:bubble3D val="0"/>
            <c:spPr>
              <a:solidFill>
                <a:srgbClr val="4285F4"/>
              </a:solidFill>
              <a:ln cmpd="sng">
                <a:solidFill>
                  <a:srgbClr val="000000"/>
                </a:solidFill>
              </a:ln>
            </c:spPr>
          </c:dPt>
          <c:dPt>
            <c:idx val="628"/>
            <c:invertIfNegative val="1"/>
            <c:bubble3D val="0"/>
            <c:spPr>
              <a:solidFill>
                <a:srgbClr val="4285F4"/>
              </a:solidFill>
              <a:ln cmpd="sng">
                <a:solidFill>
                  <a:srgbClr val="000000"/>
                </a:solidFill>
              </a:ln>
            </c:spPr>
          </c:dPt>
          <c:dPt>
            <c:idx val="629"/>
            <c:invertIfNegative val="1"/>
            <c:bubble3D val="0"/>
            <c:spPr>
              <a:solidFill>
                <a:srgbClr val="4285F4"/>
              </a:solidFill>
              <a:ln cmpd="sng">
                <a:solidFill>
                  <a:srgbClr val="000000"/>
                </a:solidFill>
              </a:ln>
            </c:spPr>
          </c:dPt>
          <c:dPt>
            <c:idx val="630"/>
            <c:invertIfNegative val="1"/>
            <c:bubble3D val="0"/>
            <c:spPr>
              <a:solidFill>
                <a:srgbClr val="4285F4"/>
              </a:solidFill>
              <a:ln cmpd="sng">
                <a:solidFill>
                  <a:srgbClr val="000000"/>
                </a:solidFill>
              </a:ln>
            </c:spPr>
          </c:dPt>
          <c:dPt>
            <c:idx val="631"/>
            <c:invertIfNegative val="1"/>
            <c:bubble3D val="0"/>
            <c:spPr>
              <a:solidFill>
                <a:srgbClr val="4285F4"/>
              </a:solidFill>
              <a:ln cmpd="sng">
                <a:solidFill>
                  <a:srgbClr val="000000"/>
                </a:solidFill>
              </a:ln>
            </c:spPr>
          </c:dPt>
          <c:dPt>
            <c:idx val="632"/>
            <c:invertIfNegative val="1"/>
            <c:bubble3D val="0"/>
            <c:spPr>
              <a:solidFill>
                <a:srgbClr val="4285F4"/>
              </a:solidFill>
              <a:ln cmpd="sng">
                <a:solidFill>
                  <a:srgbClr val="000000"/>
                </a:solidFill>
              </a:ln>
            </c:spPr>
          </c:dPt>
          <c:dPt>
            <c:idx val="633"/>
            <c:invertIfNegative val="1"/>
            <c:bubble3D val="0"/>
            <c:spPr>
              <a:solidFill>
                <a:srgbClr val="4285F4"/>
              </a:solidFill>
              <a:ln cmpd="sng">
                <a:solidFill>
                  <a:srgbClr val="000000"/>
                </a:solidFill>
              </a:ln>
            </c:spPr>
          </c:dPt>
          <c:dPt>
            <c:idx val="634"/>
            <c:invertIfNegative val="1"/>
            <c:bubble3D val="0"/>
            <c:spPr>
              <a:solidFill>
                <a:srgbClr val="4285F4"/>
              </a:solidFill>
              <a:ln cmpd="sng">
                <a:solidFill>
                  <a:srgbClr val="000000"/>
                </a:solidFill>
              </a:ln>
            </c:spPr>
          </c:dPt>
          <c:dPt>
            <c:idx val="635"/>
            <c:invertIfNegative val="1"/>
            <c:bubble3D val="0"/>
            <c:spPr>
              <a:solidFill>
                <a:srgbClr val="4285F4"/>
              </a:solidFill>
              <a:ln cmpd="sng">
                <a:solidFill>
                  <a:srgbClr val="000000"/>
                </a:solidFill>
              </a:ln>
            </c:spPr>
          </c:dPt>
          <c:dPt>
            <c:idx val="636"/>
            <c:invertIfNegative val="1"/>
            <c:bubble3D val="0"/>
            <c:spPr>
              <a:solidFill>
                <a:srgbClr val="4285F4"/>
              </a:solidFill>
              <a:ln cmpd="sng">
                <a:solidFill>
                  <a:srgbClr val="000000"/>
                </a:solidFill>
              </a:ln>
            </c:spPr>
          </c:dPt>
          <c:dPt>
            <c:idx val="637"/>
            <c:invertIfNegative val="1"/>
            <c:bubble3D val="0"/>
            <c:spPr>
              <a:solidFill>
                <a:srgbClr val="4285F4"/>
              </a:solidFill>
              <a:ln cmpd="sng">
                <a:solidFill>
                  <a:srgbClr val="000000"/>
                </a:solidFill>
              </a:ln>
            </c:spPr>
          </c:dPt>
          <c:dPt>
            <c:idx val="638"/>
            <c:invertIfNegative val="1"/>
            <c:bubble3D val="0"/>
            <c:spPr>
              <a:solidFill>
                <a:srgbClr val="4285F4"/>
              </a:solidFill>
              <a:ln cmpd="sng">
                <a:solidFill>
                  <a:srgbClr val="000000"/>
                </a:solidFill>
              </a:ln>
            </c:spPr>
          </c:dPt>
          <c:dPt>
            <c:idx val="639"/>
            <c:invertIfNegative val="1"/>
            <c:bubble3D val="0"/>
            <c:spPr>
              <a:solidFill>
                <a:srgbClr val="4285F4"/>
              </a:solidFill>
              <a:ln cmpd="sng">
                <a:solidFill>
                  <a:srgbClr val="000000"/>
                </a:solidFill>
              </a:ln>
            </c:spPr>
          </c:dPt>
          <c:dPt>
            <c:idx val="640"/>
            <c:invertIfNegative val="1"/>
            <c:bubble3D val="0"/>
            <c:spPr>
              <a:solidFill>
                <a:srgbClr val="4285F4"/>
              </a:solidFill>
              <a:ln cmpd="sng">
                <a:solidFill>
                  <a:srgbClr val="000000"/>
                </a:solidFill>
              </a:ln>
            </c:spPr>
          </c:dPt>
          <c:dPt>
            <c:idx val="641"/>
            <c:invertIfNegative val="1"/>
            <c:bubble3D val="0"/>
            <c:spPr>
              <a:solidFill>
                <a:srgbClr val="4285F4"/>
              </a:solidFill>
              <a:ln cmpd="sng">
                <a:solidFill>
                  <a:srgbClr val="000000"/>
                </a:solidFill>
              </a:ln>
            </c:spPr>
          </c:dPt>
          <c:dPt>
            <c:idx val="642"/>
            <c:invertIfNegative val="1"/>
            <c:bubble3D val="0"/>
            <c:spPr>
              <a:solidFill>
                <a:srgbClr val="4285F4"/>
              </a:solidFill>
              <a:ln cmpd="sng">
                <a:solidFill>
                  <a:srgbClr val="000000"/>
                </a:solidFill>
              </a:ln>
            </c:spPr>
          </c:dPt>
          <c:dPt>
            <c:idx val="643"/>
            <c:invertIfNegative val="1"/>
            <c:bubble3D val="0"/>
            <c:spPr>
              <a:solidFill>
                <a:srgbClr val="4285F4"/>
              </a:solidFill>
              <a:ln cmpd="sng">
                <a:solidFill>
                  <a:srgbClr val="000000"/>
                </a:solidFill>
              </a:ln>
            </c:spPr>
          </c:dPt>
          <c:dPt>
            <c:idx val="644"/>
            <c:invertIfNegative val="1"/>
            <c:bubble3D val="0"/>
            <c:spPr>
              <a:solidFill>
                <a:srgbClr val="4285F4"/>
              </a:solidFill>
              <a:ln cmpd="sng">
                <a:solidFill>
                  <a:srgbClr val="000000"/>
                </a:solidFill>
              </a:ln>
            </c:spPr>
          </c:dPt>
          <c:dPt>
            <c:idx val="645"/>
            <c:invertIfNegative val="1"/>
            <c:bubble3D val="0"/>
            <c:spPr>
              <a:solidFill>
                <a:srgbClr val="4285F4"/>
              </a:solidFill>
              <a:ln cmpd="sng">
                <a:solidFill>
                  <a:srgbClr val="000000"/>
                </a:solidFill>
              </a:ln>
            </c:spPr>
          </c:dPt>
          <c:dPt>
            <c:idx val="646"/>
            <c:invertIfNegative val="1"/>
            <c:bubble3D val="0"/>
            <c:spPr>
              <a:solidFill>
                <a:srgbClr val="4285F4"/>
              </a:solidFill>
              <a:ln cmpd="sng">
                <a:solidFill>
                  <a:srgbClr val="000000"/>
                </a:solidFill>
              </a:ln>
            </c:spPr>
          </c:dPt>
          <c:dPt>
            <c:idx val="647"/>
            <c:invertIfNegative val="1"/>
            <c:bubble3D val="0"/>
            <c:spPr>
              <a:solidFill>
                <a:srgbClr val="4285F4"/>
              </a:solidFill>
              <a:ln cmpd="sng">
                <a:solidFill>
                  <a:srgbClr val="000000"/>
                </a:solidFill>
              </a:ln>
            </c:spPr>
          </c:dPt>
          <c:dPt>
            <c:idx val="648"/>
            <c:invertIfNegative val="1"/>
            <c:bubble3D val="0"/>
            <c:spPr>
              <a:solidFill>
                <a:srgbClr val="4285F4"/>
              </a:solidFill>
              <a:ln cmpd="sng">
                <a:solidFill>
                  <a:srgbClr val="000000"/>
                </a:solidFill>
              </a:ln>
            </c:spPr>
          </c:dPt>
          <c:dPt>
            <c:idx val="649"/>
            <c:invertIfNegative val="1"/>
            <c:bubble3D val="0"/>
            <c:spPr>
              <a:solidFill>
                <a:srgbClr val="4285F4"/>
              </a:solidFill>
              <a:ln cmpd="sng">
                <a:solidFill>
                  <a:srgbClr val="000000"/>
                </a:solidFill>
              </a:ln>
            </c:spPr>
          </c:dPt>
          <c:dPt>
            <c:idx val="650"/>
            <c:invertIfNegative val="1"/>
            <c:bubble3D val="0"/>
            <c:spPr>
              <a:solidFill>
                <a:srgbClr val="4285F4"/>
              </a:solidFill>
              <a:ln cmpd="sng">
                <a:solidFill>
                  <a:srgbClr val="000000"/>
                </a:solidFill>
              </a:ln>
            </c:spPr>
          </c:dPt>
          <c:dPt>
            <c:idx val="651"/>
            <c:invertIfNegative val="1"/>
            <c:bubble3D val="0"/>
            <c:spPr>
              <a:solidFill>
                <a:srgbClr val="4285F4"/>
              </a:solidFill>
              <a:ln cmpd="sng">
                <a:solidFill>
                  <a:srgbClr val="000000"/>
                </a:solidFill>
              </a:ln>
            </c:spPr>
          </c:dPt>
          <c:dPt>
            <c:idx val="652"/>
            <c:invertIfNegative val="1"/>
            <c:bubble3D val="0"/>
            <c:spPr>
              <a:solidFill>
                <a:srgbClr val="4285F4"/>
              </a:solidFill>
              <a:ln cmpd="sng">
                <a:solidFill>
                  <a:srgbClr val="000000"/>
                </a:solidFill>
              </a:ln>
            </c:spPr>
          </c:dPt>
          <c:dPt>
            <c:idx val="653"/>
            <c:invertIfNegative val="1"/>
            <c:bubble3D val="0"/>
            <c:spPr>
              <a:solidFill>
                <a:srgbClr val="4285F4"/>
              </a:solidFill>
              <a:ln cmpd="sng">
                <a:solidFill>
                  <a:srgbClr val="000000"/>
                </a:solidFill>
              </a:ln>
            </c:spPr>
          </c:dPt>
          <c:dPt>
            <c:idx val="654"/>
            <c:invertIfNegative val="1"/>
            <c:bubble3D val="0"/>
            <c:spPr>
              <a:solidFill>
                <a:srgbClr val="4285F4"/>
              </a:solidFill>
              <a:ln cmpd="sng">
                <a:solidFill>
                  <a:srgbClr val="000000"/>
                </a:solidFill>
              </a:ln>
            </c:spPr>
          </c:dPt>
          <c:dPt>
            <c:idx val="655"/>
            <c:invertIfNegative val="1"/>
            <c:bubble3D val="0"/>
            <c:spPr>
              <a:solidFill>
                <a:srgbClr val="4285F4"/>
              </a:solidFill>
              <a:ln cmpd="sng">
                <a:solidFill>
                  <a:srgbClr val="000000"/>
                </a:solidFill>
              </a:ln>
            </c:spPr>
          </c:dPt>
          <c:dPt>
            <c:idx val="656"/>
            <c:invertIfNegative val="1"/>
            <c:bubble3D val="0"/>
            <c:spPr>
              <a:solidFill>
                <a:srgbClr val="4285F4"/>
              </a:solidFill>
              <a:ln cmpd="sng">
                <a:solidFill>
                  <a:srgbClr val="000000"/>
                </a:solidFill>
              </a:ln>
            </c:spPr>
          </c:dPt>
          <c:dPt>
            <c:idx val="657"/>
            <c:invertIfNegative val="1"/>
            <c:bubble3D val="0"/>
            <c:spPr>
              <a:solidFill>
                <a:srgbClr val="4285F4"/>
              </a:solidFill>
              <a:ln cmpd="sng">
                <a:solidFill>
                  <a:srgbClr val="000000"/>
                </a:solidFill>
              </a:ln>
            </c:spPr>
          </c:dPt>
          <c:dPt>
            <c:idx val="658"/>
            <c:invertIfNegative val="1"/>
            <c:bubble3D val="0"/>
            <c:spPr>
              <a:solidFill>
                <a:srgbClr val="4285F4"/>
              </a:solidFill>
              <a:ln cmpd="sng">
                <a:solidFill>
                  <a:srgbClr val="000000"/>
                </a:solidFill>
              </a:ln>
            </c:spPr>
          </c:dPt>
          <c:dPt>
            <c:idx val="659"/>
            <c:invertIfNegative val="1"/>
            <c:bubble3D val="0"/>
            <c:spPr>
              <a:solidFill>
                <a:srgbClr val="4285F4"/>
              </a:solidFill>
              <a:ln cmpd="sng">
                <a:solidFill>
                  <a:srgbClr val="000000"/>
                </a:solidFill>
              </a:ln>
            </c:spPr>
          </c:dPt>
          <c:dPt>
            <c:idx val="660"/>
            <c:invertIfNegative val="1"/>
            <c:bubble3D val="0"/>
            <c:spPr>
              <a:solidFill>
                <a:srgbClr val="4285F4"/>
              </a:solidFill>
              <a:ln cmpd="sng">
                <a:solidFill>
                  <a:srgbClr val="000000"/>
                </a:solidFill>
              </a:ln>
            </c:spPr>
          </c:dPt>
          <c:dPt>
            <c:idx val="661"/>
            <c:invertIfNegative val="1"/>
            <c:bubble3D val="0"/>
            <c:spPr>
              <a:solidFill>
                <a:srgbClr val="4285F4"/>
              </a:solidFill>
              <a:ln cmpd="sng">
                <a:solidFill>
                  <a:srgbClr val="000000"/>
                </a:solidFill>
              </a:ln>
            </c:spPr>
          </c:dPt>
          <c:dPt>
            <c:idx val="662"/>
            <c:invertIfNegative val="1"/>
            <c:bubble3D val="0"/>
            <c:spPr>
              <a:solidFill>
                <a:srgbClr val="4285F4"/>
              </a:solidFill>
              <a:ln cmpd="sng">
                <a:solidFill>
                  <a:srgbClr val="000000"/>
                </a:solidFill>
              </a:ln>
            </c:spPr>
          </c:dPt>
          <c:dPt>
            <c:idx val="663"/>
            <c:invertIfNegative val="1"/>
            <c:bubble3D val="0"/>
            <c:spPr>
              <a:solidFill>
                <a:srgbClr val="4285F4"/>
              </a:solidFill>
              <a:ln cmpd="sng">
                <a:solidFill>
                  <a:srgbClr val="000000"/>
                </a:solidFill>
              </a:ln>
            </c:spPr>
          </c:dPt>
          <c:dPt>
            <c:idx val="664"/>
            <c:invertIfNegative val="1"/>
            <c:bubble3D val="0"/>
            <c:spPr>
              <a:solidFill>
                <a:srgbClr val="4285F4"/>
              </a:solidFill>
              <a:ln cmpd="sng">
                <a:solidFill>
                  <a:srgbClr val="000000"/>
                </a:solidFill>
              </a:ln>
            </c:spPr>
          </c:dPt>
          <c:dPt>
            <c:idx val="665"/>
            <c:invertIfNegative val="1"/>
            <c:bubble3D val="0"/>
            <c:spPr>
              <a:solidFill>
                <a:srgbClr val="4285F4"/>
              </a:solidFill>
              <a:ln cmpd="sng">
                <a:solidFill>
                  <a:srgbClr val="000000"/>
                </a:solidFill>
              </a:ln>
            </c:spPr>
          </c:dPt>
          <c:dPt>
            <c:idx val="666"/>
            <c:invertIfNegative val="1"/>
            <c:bubble3D val="0"/>
            <c:spPr>
              <a:solidFill>
                <a:srgbClr val="4285F4"/>
              </a:solidFill>
              <a:ln cmpd="sng">
                <a:solidFill>
                  <a:srgbClr val="000000"/>
                </a:solidFill>
              </a:ln>
            </c:spPr>
          </c:dPt>
          <c:dPt>
            <c:idx val="667"/>
            <c:invertIfNegative val="1"/>
            <c:bubble3D val="0"/>
            <c:spPr>
              <a:solidFill>
                <a:srgbClr val="4285F4"/>
              </a:solidFill>
              <a:ln cmpd="sng">
                <a:solidFill>
                  <a:srgbClr val="000000"/>
                </a:solidFill>
              </a:ln>
            </c:spPr>
          </c:dPt>
          <c:dPt>
            <c:idx val="668"/>
            <c:invertIfNegative val="1"/>
            <c:bubble3D val="0"/>
            <c:spPr>
              <a:solidFill>
                <a:srgbClr val="4285F4"/>
              </a:solidFill>
              <a:ln cmpd="sng">
                <a:solidFill>
                  <a:srgbClr val="000000"/>
                </a:solidFill>
              </a:ln>
            </c:spPr>
          </c:dPt>
          <c:dPt>
            <c:idx val="669"/>
            <c:invertIfNegative val="1"/>
            <c:bubble3D val="0"/>
            <c:spPr>
              <a:solidFill>
                <a:srgbClr val="4285F4"/>
              </a:solidFill>
              <a:ln cmpd="sng">
                <a:solidFill>
                  <a:srgbClr val="000000"/>
                </a:solidFill>
              </a:ln>
            </c:spPr>
          </c:dPt>
          <c:dPt>
            <c:idx val="670"/>
            <c:invertIfNegative val="1"/>
            <c:bubble3D val="0"/>
            <c:spPr>
              <a:solidFill>
                <a:srgbClr val="4285F4"/>
              </a:solidFill>
              <a:ln cmpd="sng">
                <a:solidFill>
                  <a:srgbClr val="000000"/>
                </a:solidFill>
              </a:ln>
            </c:spPr>
          </c:dPt>
          <c:dPt>
            <c:idx val="671"/>
            <c:invertIfNegative val="1"/>
            <c:bubble3D val="0"/>
            <c:spPr>
              <a:solidFill>
                <a:srgbClr val="4285F4"/>
              </a:solidFill>
              <a:ln cmpd="sng">
                <a:solidFill>
                  <a:srgbClr val="000000"/>
                </a:solidFill>
              </a:ln>
            </c:spPr>
          </c:dPt>
          <c:dPt>
            <c:idx val="672"/>
            <c:invertIfNegative val="1"/>
            <c:bubble3D val="0"/>
            <c:spPr>
              <a:solidFill>
                <a:srgbClr val="4285F4"/>
              </a:solidFill>
              <a:ln cmpd="sng">
                <a:solidFill>
                  <a:srgbClr val="000000"/>
                </a:solidFill>
              </a:ln>
            </c:spPr>
          </c:dPt>
          <c:dPt>
            <c:idx val="673"/>
            <c:invertIfNegative val="1"/>
            <c:bubble3D val="0"/>
            <c:spPr>
              <a:solidFill>
                <a:srgbClr val="4285F4"/>
              </a:solidFill>
              <a:ln cmpd="sng">
                <a:solidFill>
                  <a:srgbClr val="000000"/>
                </a:solidFill>
              </a:ln>
            </c:spPr>
          </c:dPt>
          <c:dPt>
            <c:idx val="674"/>
            <c:invertIfNegative val="1"/>
            <c:bubble3D val="0"/>
            <c:spPr>
              <a:solidFill>
                <a:srgbClr val="4285F4"/>
              </a:solidFill>
              <a:ln cmpd="sng">
                <a:solidFill>
                  <a:srgbClr val="000000"/>
                </a:solidFill>
              </a:ln>
            </c:spPr>
          </c:dPt>
          <c:dPt>
            <c:idx val="675"/>
            <c:invertIfNegative val="1"/>
            <c:bubble3D val="0"/>
            <c:spPr>
              <a:solidFill>
                <a:srgbClr val="4285F4"/>
              </a:solidFill>
              <a:ln cmpd="sng">
                <a:solidFill>
                  <a:srgbClr val="000000"/>
                </a:solidFill>
              </a:ln>
            </c:spPr>
          </c:dPt>
          <c:dPt>
            <c:idx val="676"/>
            <c:invertIfNegative val="1"/>
            <c:bubble3D val="0"/>
            <c:spPr>
              <a:solidFill>
                <a:srgbClr val="4285F4"/>
              </a:solidFill>
              <a:ln cmpd="sng">
                <a:solidFill>
                  <a:srgbClr val="000000"/>
                </a:solidFill>
              </a:ln>
            </c:spPr>
          </c:dPt>
          <c:dPt>
            <c:idx val="677"/>
            <c:invertIfNegative val="1"/>
            <c:bubble3D val="0"/>
            <c:spPr>
              <a:solidFill>
                <a:srgbClr val="4285F4"/>
              </a:solidFill>
              <a:ln cmpd="sng">
                <a:solidFill>
                  <a:srgbClr val="000000"/>
                </a:solidFill>
              </a:ln>
            </c:spPr>
          </c:dPt>
          <c:dPt>
            <c:idx val="678"/>
            <c:invertIfNegative val="1"/>
            <c:bubble3D val="0"/>
            <c:spPr>
              <a:solidFill>
                <a:srgbClr val="4285F4"/>
              </a:solidFill>
              <a:ln cmpd="sng">
                <a:solidFill>
                  <a:srgbClr val="000000"/>
                </a:solidFill>
              </a:ln>
            </c:spPr>
          </c:dPt>
          <c:dPt>
            <c:idx val="679"/>
            <c:invertIfNegative val="1"/>
            <c:bubble3D val="0"/>
            <c:spPr>
              <a:solidFill>
                <a:srgbClr val="4285F4"/>
              </a:solidFill>
              <a:ln cmpd="sng">
                <a:solidFill>
                  <a:srgbClr val="000000"/>
                </a:solidFill>
              </a:ln>
            </c:spPr>
          </c:dPt>
          <c:dPt>
            <c:idx val="680"/>
            <c:invertIfNegative val="1"/>
            <c:bubble3D val="0"/>
            <c:spPr>
              <a:solidFill>
                <a:srgbClr val="4285F4"/>
              </a:solidFill>
              <a:ln cmpd="sng">
                <a:solidFill>
                  <a:srgbClr val="000000"/>
                </a:solidFill>
              </a:ln>
            </c:spPr>
          </c:dPt>
          <c:dPt>
            <c:idx val="681"/>
            <c:invertIfNegative val="1"/>
            <c:bubble3D val="0"/>
            <c:spPr>
              <a:solidFill>
                <a:srgbClr val="4285F4"/>
              </a:solidFill>
              <a:ln cmpd="sng">
                <a:solidFill>
                  <a:srgbClr val="000000"/>
                </a:solidFill>
              </a:ln>
            </c:spPr>
          </c:dPt>
          <c:dPt>
            <c:idx val="682"/>
            <c:invertIfNegative val="1"/>
            <c:bubble3D val="0"/>
            <c:spPr>
              <a:solidFill>
                <a:srgbClr val="4285F4"/>
              </a:solidFill>
              <a:ln cmpd="sng">
                <a:solidFill>
                  <a:srgbClr val="000000"/>
                </a:solidFill>
              </a:ln>
            </c:spPr>
          </c:dPt>
          <c:dPt>
            <c:idx val="683"/>
            <c:invertIfNegative val="1"/>
            <c:bubble3D val="0"/>
            <c:spPr>
              <a:solidFill>
                <a:srgbClr val="4285F4"/>
              </a:solidFill>
              <a:ln cmpd="sng">
                <a:solidFill>
                  <a:srgbClr val="000000"/>
                </a:solidFill>
              </a:ln>
            </c:spPr>
          </c:dPt>
          <c:dPt>
            <c:idx val="684"/>
            <c:invertIfNegative val="1"/>
            <c:bubble3D val="0"/>
            <c:spPr>
              <a:solidFill>
                <a:srgbClr val="4285F4"/>
              </a:solidFill>
              <a:ln cmpd="sng">
                <a:solidFill>
                  <a:srgbClr val="000000"/>
                </a:solidFill>
              </a:ln>
            </c:spPr>
          </c:dPt>
          <c:dPt>
            <c:idx val="685"/>
            <c:invertIfNegative val="1"/>
            <c:bubble3D val="0"/>
            <c:spPr>
              <a:solidFill>
                <a:srgbClr val="4285F4"/>
              </a:solidFill>
              <a:ln cmpd="sng">
                <a:solidFill>
                  <a:srgbClr val="000000"/>
                </a:solidFill>
              </a:ln>
            </c:spPr>
          </c:dPt>
          <c:dPt>
            <c:idx val="686"/>
            <c:invertIfNegative val="1"/>
            <c:bubble3D val="0"/>
            <c:spPr>
              <a:solidFill>
                <a:srgbClr val="4285F4"/>
              </a:solidFill>
              <a:ln cmpd="sng">
                <a:solidFill>
                  <a:srgbClr val="000000"/>
                </a:solidFill>
              </a:ln>
            </c:spPr>
          </c:dPt>
          <c:dPt>
            <c:idx val="687"/>
            <c:invertIfNegative val="1"/>
            <c:bubble3D val="0"/>
            <c:spPr>
              <a:solidFill>
                <a:srgbClr val="4285F4"/>
              </a:solidFill>
              <a:ln cmpd="sng">
                <a:solidFill>
                  <a:srgbClr val="000000"/>
                </a:solidFill>
              </a:ln>
            </c:spPr>
          </c:dPt>
          <c:dPt>
            <c:idx val="688"/>
            <c:invertIfNegative val="1"/>
            <c:bubble3D val="0"/>
            <c:spPr>
              <a:solidFill>
                <a:srgbClr val="4285F4"/>
              </a:solidFill>
              <a:ln cmpd="sng">
                <a:solidFill>
                  <a:srgbClr val="000000"/>
                </a:solidFill>
              </a:ln>
            </c:spPr>
          </c:dPt>
          <c:dPt>
            <c:idx val="689"/>
            <c:invertIfNegative val="1"/>
            <c:bubble3D val="0"/>
            <c:spPr>
              <a:solidFill>
                <a:srgbClr val="4285F4"/>
              </a:solidFill>
              <a:ln cmpd="sng">
                <a:solidFill>
                  <a:srgbClr val="000000"/>
                </a:solidFill>
              </a:ln>
            </c:spPr>
          </c:dPt>
          <c:dPt>
            <c:idx val="690"/>
            <c:invertIfNegative val="1"/>
            <c:bubble3D val="0"/>
            <c:spPr>
              <a:solidFill>
                <a:srgbClr val="4285F4"/>
              </a:solidFill>
              <a:ln cmpd="sng">
                <a:solidFill>
                  <a:srgbClr val="000000"/>
                </a:solidFill>
              </a:ln>
            </c:spPr>
          </c:dPt>
          <c:dPt>
            <c:idx val="691"/>
            <c:invertIfNegative val="1"/>
            <c:bubble3D val="0"/>
            <c:spPr>
              <a:solidFill>
                <a:srgbClr val="4285F4"/>
              </a:solidFill>
              <a:ln cmpd="sng">
                <a:solidFill>
                  <a:srgbClr val="000000"/>
                </a:solidFill>
              </a:ln>
            </c:spPr>
          </c:dPt>
          <c:dPt>
            <c:idx val="692"/>
            <c:invertIfNegative val="1"/>
            <c:bubble3D val="0"/>
            <c:spPr>
              <a:solidFill>
                <a:srgbClr val="4285F4"/>
              </a:solidFill>
              <a:ln cmpd="sng">
                <a:solidFill>
                  <a:srgbClr val="000000"/>
                </a:solidFill>
              </a:ln>
            </c:spPr>
          </c:dPt>
          <c:dPt>
            <c:idx val="693"/>
            <c:invertIfNegative val="1"/>
            <c:bubble3D val="0"/>
            <c:spPr>
              <a:solidFill>
                <a:srgbClr val="4285F4"/>
              </a:solidFill>
              <a:ln cmpd="sng">
                <a:solidFill>
                  <a:srgbClr val="000000"/>
                </a:solidFill>
              </a:ln>
            </c:spPr>
          </c:dPt>
          <c:dPt>
            <c:idx val="694"/>
            <c:invertIfNegative val="1"/>
            <c:bubble3D val="0"/>
            <c:spPr>
              <a:solidFill>
                <a:srgbClr val="4285F4"/>
              </a:solidFill>
              <a:ln cmpd="sng">
                <a:solidFill>
                  <a:srgbClr val="000000"/>
                </a:solidFill>
              </a:ln>
            </c:spPr>
          </c:dPt>
          <c:dPt>
            <c:idx val="695"/>
            <c:invertIfNegative val="1"/>
            <c:bubble3D val="0"/>
            <c:spPr>
              <a:solidFill>
                <a:srgbClr val="4285F4"/>
              </a:solidFill>
              <a:ln cmpd="sng">
                <a:solidFill>
                  <a:srgbClr val="000000"/>
                </a:solidFill>
              </a:ln>
            </c:spPr>
          </c:dPt>
          <c:dPt>
            <c:idx val="696"/>
            <c:invertIfNegative val="1"/>
            <c:bubble3D val="0"/>
            <c:spPr>
              <a:solidFill>
                <a:srgbClr val="4285F4"/>
              </a:solidFill>
              <a:ln cmpd="sng">
                <a:solidFill>
                  <a:srgbClr val="000000"/>
                </a:solidFill>
              </a:ln>
            </c:spPr>
          </c:dPt>
          <c:dPt>
            <c:idx val="697"/>
            <c:invertIfNegative val="1"/>
            <c:bubble3D val="0"/>
            <c:spPr>
              <a:solidFill>
                <a:srgbClr val="4285F4"/>
              </a:solidFill>
              <a:ln cmpd="sng">
                <a:solidFill>
                  <a:srgbClr val="000000"/>
                </a:solidFill>
              </a:ln>
            </c:spPr>
          </c:dPt>
          <c:dPt>
            <c:idx val="698"/>
            <c:invertIfNegative val="1"/>
            <c:bubble3D val="0"/>
            <c:spPr>
              <a:solidFill>
                <a:srgbClr val="4285F4"/>
              </a:solidFill>
              <a:ln cmpd="sng">
                <a:solidFill>
                  <a:srgbClr val="000000"/>
                </a:solidFill>
              </a:ln>
            </c:spPr>
          </c:dPt>
          <c:dPt>
            <c:idx val="699"/>
            <c:invertIfNegative val="1"/>
            <c:bubble3D val="0"/>
            <c:spPr>
              <a:solidFill>
                <a:srgbClr val="4285F4"/>
              </a:solidFill>
              <a:ln cmpd="sng">
                <a:solidFill>
                  <a:srgbClr val="000000"/>
                </a:solidFill>
              </a:ln>
            </c:spPr>
          </c:dPt>
          <c:dPt>
            <c:idx val="700"/>
            <c:invertIfNegative val="1"/>
            <c:bubble3D val="0"/>
            <c:spPr>
              <a:solidFill>
                <a:srgbClr val="4285F4"/>
              </a:solidFill>
              <a:ln cmpd="sng">
                <a:solidFill>
                  <a:srgbClr val="000000"/>
                </a:solidFill>
              </a:ln>
            </c:spPr>
          </c:dPt>
          <c:dPt>
            <c:idx val="701"/>
            <c:invertIfNegative val="1"/>
            <c:bubble3D val="0"/>
            <c:spPr>
              <a:solidFill>
                <a:srgbClr val="4285F4"/>
              </a:solidFill>
              <a:ln cmpd="sng">
                <a:solidFill>
                  <a:srgbClr val="000000"/>
                </a:solidFill>
              </a:ln>
            </c:spPr>
          </c:dPt>
          <c:dPt>
            <c:idx val="702"/>
            <c:invertIfNegative val="1"/>
            <c:bubble3D val="0"/>
            <c:spPr>
              <a:solidFill>
                <a:srgbClr val="4285F4"/>
              </a:solidFill>
              <a:ln cmpd="sng">
                <a:solidFill>
                  <a:srgbClr val="000000"/>
                </a:solidFill>
              </a:ln>
            </c:spPr>
          </c:dPt>
          <c:dPt>
            <c:idx val="703"/>
            <c:invertIfNegative val="1"/>
            <c:bubble3D val="0"/>
            <c:spPr>
              <a:solidFill>
                <a:srgbClr val="4285F4"/>
              </a:solidFill>
              <a:ln cmpd="sng">
                <a:solidFill>
                  <a:srgbClr val="000000"/>
                </a:solidFill>
              </a:ln>
            </c:spPr>
          </c:dPt>
          <c:dPt>
            <c:idx val="704"/>
            <c:invertIfNegative val="1"/>
            <c:bubble3D val="0"/>
            <c:spPr>
              <a:solidFill>
                <a:srgbClr val="4285F4"/>
              </a:solidFill>
              <a:ln cmpd="sng">
                <a:solidFill>
                  <a:srgbClr val="000000"/>
                </a:solidFill>
              </a:ln>
            </c:spPr>
          </c:dPt>
          <c:dPt>
            <c:idx val="705"/>
            <c:invertIfNegative val="1"/>
            <c:bubble3D val="0"/>
            <c:spPr>
              <a:solidFill>
                <a:srgbClr val="4285F4"/>
              </a:solidFill>
              <a:ln cmpd="sng">
                <a:solidFill>
                  <a:srgbClr val="000000"/>
                </a:solidFill>
              </a:ln>
            </c:spPr>
          </c:dPt>
          <c:dPt>
            <c:idx val="706"/>
            <c:invertIfNegative val="1"/>
            <c:bubble3D val="0"/>
            <c:spPr>
              <a:solidFill>
                <a:srgbClr val="4285F4"/>
              </a:solidFill>
              <a:ln cmpd="sng">
                <a:solidFill>
                  <a:srgbClr val="000000"/>
                </a:solidFill>
              </a:ln>
            </c:spPr>
          </c:dPt>
          <c:dPt>
            <c:idx val="707"/>
            <c:invertIfNegative val="1"/>
            <c:bubble3D val="0"/>
            <c:spPr>
              <a:solidFill>
                <a:srgbClr val="4285F4"/>
              </a:solidFill>
              <a:ln cmpd="sng">
                <a:solidFill>
                  <a:srgbClr val="000000"/>
                </a:solidFill>
              </a:ln>
            </c:spPr>
          </c:dPt>
          <c:dPt>
            <c:idx val="708"/>
            <c:invertIfNegative val="1"/>
            <c:bubble3D val="0"/>
            <c:spPr>
              <a:solidFill>
                <a:srgbClr val="4285F4"/>
              </a:solidFill>
              <a:ln cmpd="sng">
                <a:solidFill>
                  <a:srgbClr val="000000"/>
                </a:solidFill>
              </a:ln>
            </c:spPr>
          </c:dPt>
          <c:dPt>
            <c:idx val="709"/>
            <c:invertIfNegative val="1"/>
            <c:bubble3D val="0"/>
            <c:spPr>
              <a:solidFill>
                <a:srgbClr val="4285F4"/>
              </a:solidFill>
              <a:ln cmpd="sng">
                <a:solidFill>
                  <a:srgbClr val="000000"/>
                </a:solidFill>
              </a:ln>
            </c:spPr>
          </c:dPt>
          <c:dPt>
            <c:idx val="710"/>
            <c:invertIfNegative val="1"/>
            <c:bubble3D val="0"/>
            <c:spPr>
              <a:solidFill>
                <a:srgbClr val="4285F4"/>
              </a:solidFill>
              <a:ln cmpd="sng">
                <a:solidFill>
                  <a:srgbClr val="000000"/>
                </a:solidFill>
              </a:ln>
            </c:spPr>
          </c:dPt>
          <c:dPt>
            <c:idx val="711"/>
            <c:invertIfNegative val="1"/>
            <c:bubble3D val="0"/>
            <c:spPr>
              <a:solidFill>
                <a:srgbClr val="4285F4"/>
              </a:solidFill>
              <a:ln cmpd="sng">
                <a:solidFill>
                  <a:srgbClr val="000000"/>
                </a:solidFill>
              </a:ln>
            </c:spPr>
          </c:dPt>
          <c:dPt>
            <c:idx val="712"/>
            <c:invertIfNegative val="1"/>
            <c:bubble3D val="0"/>
            <c:spPr>
              <a:solidFill>
                <a:srgbClr val="4285F4"/>
              </a:solidFill>
              <a:ln cmpd="sng">
                <a:solidFill>
                  <a:srgbClr val="000000"/>
                </a:solidFill>
              </a:ln>
            </c:spPr>
          </c:dPt>
          <c:dPt>
            <c:idx val="713"/>
            <c:invertIfNegative val="1"/>
            <c:bubble3D val="0"/>
            <c:spPr>
              <a:solidFill>
                <a:srgbClr val="4285F4"/>
              </a:solidFill>
              <a:ln cmpd="sng">
                <a:solidFill>
                  <a:srgbClr val="000000"/>
                </a:solidFill>
              </a:ln>
            </c:spPr>
          </c:dPt>
          <c:dPt>
            <c:idx val="714"/>
            <c:invertIfNegative val="1"/>
            <c:bubble3D val="0"/>
            <c:spPr>
              <a:solidFill>
                <a:srgbClr val="4285F4"/>
              </a:solidFill>
              <a:ln cmpd="sng">
                <a:solidFill>
                  <a:srgbClr val="000000"/>
                </a:solidFill>
              </a:ln>
            </c:spPr>
          </c:dPt>
          <c:dPt>
            <c:idx val="715"/>
            <c:invertIfNegative val="1"/>
            <c:bubble3D val="0"/>
            <c:spPr>
              <a:solidFill>
                <a:srgbClr val="4285F4"/>
              </a:solidFill>
              <a:ln cmpd="sng">
                <a:solidFill>
                  <a:srgbClr val="000000"/>
                </a:solidFill>
              </a:ln>
            </c:spPr>
          </c:dPt>
          <c:dPt>
            <c:idx val="716"/>
            <c:invertIfNegative val="1"/>
            <c:bubble3D val="0"/>
            <c:spPr>
              <a:solidFill>
                <a:srgbClr val="4285F4"/>
              </a:solidFill>
              <a:ln cmpd="sng">
                <a:solidFill>
                  <a:srgbClr val="000000"/>
                </a:solidFill>
              </a:ln>
            </c:spPr>
          </c:dPt>
          <c:dPt>
            <c:idx val="717"/>
            <c:invertIfNegative val="1"/>
            <c:bubble3D val="0"/>
            <c:spPr>
              <a:solidFill>
                <a:srgbClr val="4285F4"/>
              </a:solidFill>
              <a:ln cmpd="sng">
                <a:solidFill>
                  <a:srgbClr val="000000"/>
                </a:solidFill>
              </a:ln>
            </c:spPr>
          </c:dPt>
          <c:dPt>
            <c:idx val="718"/>
            <c:invertIfNegative val="1"/>
            <c:bubble3D val="0"/>
            <c:spPr>
              <a:solidFill>
                <a:srgbClr val="4285F4"/>
              </a:solidFill>
              <a:ln cmpd="sng">
                <a:solidFill>
                  <a:srgbClr val="000000"/>
                </a:solidFill>
              </a:ln>
            </c:spPr>
          </c:dPt>
          <c:dPt>
            <c:idx val="719"/>
            <c:invertIfNegative val="1"/>
            <c:bubble3D val="0"/>
            <c:spPr>
              <a:solidFill>
                <a:srgbClr val="4285F4"/>
              </a:solidFill>
              <a:ln cmpd="sng">
                <a:solidFill>
                  <a:srgbClr val="000000"/>
                </a:solidFill>
              </a:ln>
            </c:spPr>
          </c:dPt>
          <c:dPt>
            <c:idx val="720"/>
            <c:invertIfNegative val="1"/>
            <c:bubble3D val="0"/>
            <c:spPr>
              <a:solidFill>
                <a:srgbClr val="4285F4"/>
              </a:solidFill>
              <a:ln cmpd="sng">
                <a:solidFill>
                  <a:srgbClr val="000000"/>
                </a:solidFill>
              </a:ln>
            </c:spPr>
          </c:dPt>
          <c:dPt>
            <c:idx val="721"/>
            <c:invertIfNegative val="1"/>
            <c:bubble3D val="0"/>
            <c:spPr>
              <a:solidFill>
                <a:srgbClr val="4285F4"/>
              </a:solidFill>
              <a:ln cmpd="sng">
                <a:solidFill>
                  <a:srgbClr val="000000"/>
                </a:solidFill>
              </a:ln>
            </c:spPr>
          </c:dPt>
          <c:dPt>
            <c:idx val="722"/>
            <c:invertIfNegative val="1"/>
            <c:bubble3D val="0"/>
            <c:spPr>
              <a:solidFill>
                <a:srgbClr val="4285F4"/>
              </a:solidFill>
              <a:ln cmpd="sng">
                <a:solidFill>
                  <a:srgbClr val="000000"/>
                </a:solidFill>
              </a:ln>
            </c:spPr>
          </c:dPt>
          <c:dPt>
            <c:idx val="723"/>
            <c:invertIfNegative val="1"/>
            <c:bubble3D val="0"/>
            <c:spPr>
              <a:solidFill>
                <a:srgbClr val="4285F4"/>
              </a:solidFill>
              <a:ln cmpd="sng">
                <a:solidFill>
                  <a:srgbClr val="000000"/>
                </a:solidFill>
              </a:ln>
            </c:spPr>
          </c:dPt>
          <c:dPt>
            <c:idx val="724"/>
            <c:invertIfNegative val="1"/>
            <c:bubble3D val="0"/>
            <c:spPr>
              <a:solidFill>
                <a:srgbClr val="4285F4"/>
              </a:solidFill>
              <a:ln cmpd="sng">
                <a:solidFill>
                  <a:srgbClr val="000000"/>
                </a:solidFill>
              </a:ln>
            </c:spPr>
          </c:dPt>
          <c:dPt>
            <c:idx val="725"/>
            <c:invertIfNegative val="1"/>
            <c:bubble3D val="0"/>
            <c:spPr>
              <a:solidFill>
                <a:srgbClr val="4285F4"/>
              </a:solidFill>
              <a:ln cmpd="sng">
                <a:solidFill>
                  <a:srgbClr val="000000"/>
                </a:solidFill>
              </a:ln>
            </c:spPr>
          </c:dPt>
          <c:dPt>
            <c:idx val="726"/>
            <c:invertIfNegative val="1"/>
            <c:bubble3D val="0"/>
            <c:spPr>
              <a:solidFill>
                <a:srgbClr val="4285F4"/>
              </a:solidFill>
              <a:ln cmpd="sng">
                <a:solidFill>
                  <a:srgbClr val="000000"/>
                </a:solidFill>
              </a:ln>
            </c:spPr>
          </c:dPt>
          <c:dPt>
            <c:idx val="727"/>
            <c:invertIfNegative val="1"/>
            <c:bubble3D val="0"/>
            <c:spPr>
              <a:solidFill>
                <a:srgbClr val="4285F4"/>
              </a:solidFill>
              <a:ln cmpd="sng">
                <a:solidFill>
                  <a:srgbClr val="000000"/>
                </a:solidFill>
              </a:ln>
            </c:spPr>
          </c:dPt>
          <c:dPt>
            <c:idx val="728"/>
            <c:invertIfNegative val="1"/>
            <c:bubble3D val="0"/>
            <c:spPr>
              <a:solidFill>
                <a:srgbClr val="4285F4"/>
              </a:solidFill>
              <a:ln cmpd="sng">
                <a:solidFill>
                  <a:srgbClr val="000000"/>
                </a:solidFill>
              </a:ln>
            </c:spPr>
          </c:dPt>
          <c:dPt>
            <c:idx val="729"/>
            <c:invertIfNegative val="1"/>
            <c:bubble3D val="0"/>
            <c:spPr>
              <a:solidFill>
                <a:srgbClr val="4285F4"/>
              </a:solidFill>
              <a:ln cmpd="sng">
                <a:solidFill>
                  <a:srgbClr val="000000"/>
                </a:solidFill>
              </a:ln>
            </c:spPr>
          </c:dPt>
          <c:dPt>
            <c:idx val="730"/>
            <c:invertIfNegative val="1"/>
            <c:bubble3D val="0"/>
            <c:spPr>
              <a:solidFill>
                <a:srgbClr val="4285F4"/>
              </a:solidFill>
              <a:ln cmpd="sng">
                <a:solidFill>
                  <a:srgbClr val="000000"/>
                </a:solidFill>
              </a:ln>
            </c:spPr>
          </c:dPt>
          <c:dPt>
            <c:idx val="731"/>
            <c:invertIfNegative val="1"/>
            <c:bubble3D val="0"/>
            <c:spPr>
              <a:solidFill>
                <a:srgbClr val="4285F4"/>
              </a:solidFill>
              <a:ln cmpd="sng">
                <a:solidFill>
                  <a:srgbClr val="000000"/>
                </a:solidFill>
              </a:ln>
            </c:spPr>
          </c:dPt>
          <c:dPt>
            <c:idx val="732"/>
            <c:invertIfNegative val="1"/>
            <c:bubble3D val="0"/>
            <c:spPr>
              <a:solidFill>
                <a:srgbClr val="4285F4"/>
              </a:solidFill>
              <a:ln cmpd="sng">
                <a:solidFill>
                  <a:srgbClr val="000000"/>
                </a:solidFill>
              </a:ln>
            </c:spPr>
          </c:dPt>
          <c:dPt>
            <c:idx val="733"/>
            <c:invertIfNegative val="1"/>
            <c:bubble3D val="0"/>
            <c:spPr>
              <a:solidFill>
                <a:srgbClr val="4285F4"/>
              </a:solidFill>
              <a:ln cmpd="sng">
                <a:solidFill>
                  <a:srgbClr val="000000"/>
                </a:solidFill>
              </a:ln>
            </c:spPr>
          </c:dPt>
          <c:dPt>
            <c:idx val="734"/>
            <c:invertIfNegative val="1"/>
            <c:bubble3D val="0"/>
            <c:spPr>
              <a:solidFill>
                <a:srgbClr val="4285F4"/>
              </a:solidFill>
              <a:ln cmpd="sng">
                <a:solidFill>
                  <a:srgbClr val="000000"/>
                </a:solidFill>
              </a:ln>
            </c:spPr>
          </c:dPt>
          <c:dPt>
            <c:idx val="735"/>
            <c:invertIfNegative val="1"/>
            <c:bubble3D val="0"/>
            <c:spPr>
              <a:solidFill>
                <a:srgbClr val="4285F4"/>
              </a:solidFill>
              <a:ln cmpd="sng">
                <a:solidFill>
                  <a:srgbClr val="000000"/>
                </a:solidFill>
              </a:ln>
            </c:spPr>
          </c:dPt>
          <c:dPt>
            <c:idx val="736"/>
            <c:invertIfNegative val="1"/>
            <c:bubble3D val="0"/>
            <c:spPr>
              <a:solidFill>
                <a:srgbClr val="4285F4"/>
              </a:solidFill>
              <a:ln cmpd="sng">
                <a:solidFill>
                  <a:srgbClr val="000000"/>
                </a:solidFill>
              </a:ln>
            </c:spPr>
          </c:dPt>
          <c:dPt>
            <c:idx val="737"/>
            <c:invertIfNegative val="1"/>
            <c:bubble3D val="0"/>
            <c:spPr>
              <a:solidFill>
                <a:srgbClr val="4285F4"/>
              </a:solidFill>
              <a:ln cmpd="sng">
                <a:solidFill>
                  <a:srgbClr val="000000"/>
                </a:solidFill>
              </a:ln>
            </c:spPr>
          </c:dPt>
          <c:dPt>
            <c:idx val="738"/>
            <c:invertIfNegative val="1"/>
            <c:bubble3D val="0"/>
            <c:spPr>
              <a:solidFill>
                <a:srgbClr val="4285F4"/>
              </a:solidFill>
              <a:ln cmpd="sng">
                <a:solidFill>
                  <a:srgbClr val="000000"/>
                </a:solidFill>
              </a:ln>
            </c:spPr>
          </c:dPt>
          <c:dPt>
            <c:idx val="739"/>
            <c:invertIfNegative val="1"/>
            <c:bubble3D val="0"/>
            <c:spPr>
              <a:solidFill>
                <a:srgbClr val="4285F4"/>
              </a:solidFill>
              <a:ln cmpd="sng">
                <a:solidFill>
                  <a:srgbClr val="000000"/>
                </a:solidFill>
              </a:ln>
            </c:spPr>
          </c:dPt>
          <c:dPt>
            <c:idx val="740"/>
            <c:invertIfNegative val="1"/>
            <c:bubble3D val="0"/>
            <c:spPr>
              <a:solidFill>
                <a:srgbClr val="4285F4"/>
              </a:solidFill>
              <a:ln cmpd="sng">
                <a:solidFill>
                  <a:srgbClr val="000000"/>
                </a:solidFill>
              </a:ln>
            </c:spPr>
          </c:dPt>
          <c:dPt>
            <c:idx val="741"/>
            <c:invertIfNegative val="1"/>
            <c:bubble3D val="0"/>
            <c:spPr>
              <a:solidFill>
                <a:srgbClr val="4285F4"/>
              </a:solidFill>
              <a:ln cmpd="sng">
                <a:solidFill>
                  <a:srgbClr val="000000"/>
                </a:solidFill>
              </a:ln>
            </c:spPr>
          </c:dPt>
          <c:dPt>
            <c:idx val="742"/>
            <c:invertIfNegative val="1"/>
            <c:bubble3D val="0"/>
            <c:spPr>
              <a:solidFill>
                <a:srgbClr val="4285F4"/>
              </a:solidFill>
              <a:ln cmpd="sng">
                <a:solidFill>
                  <a:srgbClr val="000000"/>
                </a:solidFill>
              </a:ln>
            </c:spPr>
          </c:dPt>
          <c:dPt>
            <c:idx val="743"/>
            <c:invertIfNegative val="1"/>
            <c:bubble3D val="0"/>
            <c:spPr>
              <a:solidFill>
                <a:srgbClr val="4285F4"/>
              </a:solidFill>
              <a:ln cmpd="sng">
                <a:solidFill>
                  <a:srgbClr val="000000"/>
                </a:solidFill>
              </a:ln>
            </c:spPr>
          </c:dPt>
          <c:dPt>
            <c:idx val="744"/>
            <c:invertIfNegative val="1"/>
            <c:bubble3D val="0"/>
            <c:spPr>
              <a:solidFill>
                <a:srgbClr val="4285F4"/>
              </a:solidFill>
              <a:ln cmpd="sng">
                <a:solidFill>
                  <a:srgbClr val="000000"/>
                </a:solidFill>
              </a:ln>
            </c:spPr>
          </c:dPt>
          <c:dPt>
            <c:idx val="745"/>
            <c:invertIfNegative val="1"/>
            <c:bubble3D val="0"/>
            <c:spPr>
              <a:solidFill>
                <a:srgbClr val="4285F4"/>
              </a:solidFill>
              <a:ln cmpd="sng">
                <a:solidFill>
                  <a:srgbClr val="000000"/>
                </a:solidFill>
              </a:ln>
            </c:spPr>
          </c:dPt>
          <c:dPt>
            <c:idx val="746"/>
            <c:invertIfNegative val="1"/>
            <c:bubble3D val="0"/>
            <c:spPr>
              <a:solidFill>
                <a:srgbClr val="4285F4"/>
              </a:solidFill>
              <a:ln cmpd="sng">
                <a:solidFill>
                  <a:srgbClr val="000000"/>
                </a:solidFill>
              </a:ln>
            </c:spPr>
          </c:dPt>
          <c:dPt>
            <c:idx val="747"/>
            <c:invertIfNegative val="1"/>
            <c:bubble3D val="0"/>
            <c:spPr>
              <a:solidFill>
                <a:srgbClr val="4285F4"/>
              </a:solidFill>
              <a:ln cmpd="sng">
                <a:solidFill>
                  <a:srgbClr val="000000"/>
                </a:solidFill>
              </a:ln>
            </c:spPr>
          </c:dPt>
          <c:dPt>
            <c:idx val="748"/>
            <c:invertIfNegative val="1"/>
            <c:bubble3D val="0"/>
            <c:spPr>
              <a:solidFill>
                <a:srgbClr val="4285F4"/>
              </a:solidFill>
              <a:ln cmpd="sng">
                <a:solidFill>
                  <a:srgbClr val="000000"/>
                </a:solidFill>
              </a:ln>
            </c:spPr>
          </c:dPt>
          <c:dPt>
            <c:idx val="749"/>
            <c:invertIfNegative val="1"/>
            <c:bubble3D val="0"/>
            <c:spPr>
              <a:solidFill>
                <a:srgbClr val="4285F4"/>
              </a:solidFill>
              <a:ln cmpd="sng">
                <a:solidFill>
                  <a:srgbClr val="000000"/>
                </a:solidFill>
              </a:ln>
            </c:spPr>
          </c:dPt>
          <c:dPt>
            <c:idx val="750"/>
            <c:invertIfNegative val="1"/>
            <c:bubble3D val="0"/>
            <c:spPr>
              <a:solidFill>
                <a:srgbClr val="4285F4"/>
              </a:solidFill>
              <a:ln cmpd="sng">
                <a:solidFill>
                  <a:srgbClr val="000000"/>
                </a:solidFill>
              </a:ln>
            </c:spPr>
          </c:dPt>
          <c:dPt>
            <c:idx val="751"/>
            <c:invertIfNegative val="1"/>
            <c:bubble3D val="0"/>
            <c:spPr>
              <a:solidFill>
                <a:srgbClr val="4285F4"/>
              </a:solidFill>
              <a:ln cmpd="sng">
                <a:solidFill>
                  <a:srgbClr val="000000"/>
                </a:solidFill>
              </a:ln>
            </c:spPr>
          </c:dPt>
          <c:dPt>
            <c:idx val="752"/>
            <c:invertIfNegative val="1"/>
            <c:bubble3D val="0"/>
            <c:spPr>
              <a:solidFill>
                <a:srgbClr val="4285F4"/>
              </a:solidFill>
              <a:ln cmpd="sng">
                <a:solidFill>
                  <a:srgbClr val="000000"/>
                </a:solidFill>
              </a:ln>
            </c:spPr>
          </c:dPt>
          <c:dPt>
            <c:idx val="753"/>
            <c:invertIfNegative val="1"/>
            <c:bubble3D val="0"/>
            <c:spPr>
              <a:solidFill>
                <a:srgbClr val="4285F4"/>
              </a:solidFill>
              <a:ln cmpd="sng">
                <a:solidFill>
                  <a:srgbClr val="000000"/>
                </a:solidFill>
              </a:ln>
            </c:spPr>
          </c:dPt>
          <c:dPt>
            <c:idx val="754"/>
            <c:invertIfNegative val="1"/>
            <c:bubble3D val="0"/>
            <c:spPr>
              <a:solidFill>
                <a:srgbClr val="4285F4"/>
              </a:solidFill>
              <a:ln cmpd="sng">
                <a:solidFill>
                  <a:srgbClr val="000000"/>
                </a:solidFill>
              </a:ln>
            </c:spPr>
          </c:dPt>
          <c:dPt>
            <c:idx val="755"/>
            <c:invertIfNegative val="1"/>
            <c:bubble3D val="0"/>
            <c:spPr>
              <a:solidFill>
                <a:srgbClr val="4285F4"/>
              </a:solidFill>
              <a:ln cmpd="sng">
                <a:solidFill>
                  <a:srgbClr val="000000"/>
                </a:solidFill>
              </a:ln>
            </c:spPr>
          </c:dPt>
          <c:dPt>
            <c:idx val="756"/>
            <c:invertIfNegative val="1"/>
            <c:bubble3D val="0"/>
            <c:spPr>
              <a:solidFill>
                <a:srgbClr val="4285F4"/>
              </a:solidFill>
              <a:ln cmpd="sng">
                <a:solidFill>
                  <a:srgbClr val="000000"/>
                </a:solidFill>
              </a:ln>
            </c:spPr>
          </c:dPt>
          <c:dPt>
            <c:idx val="757"/>
            <c:invertIfNegative val="1"/>
            <c:bubble3D val="0"/>
            <c:spPr>
              <a:solidFill>
                <a:srgbClr val="4285F4"/>
              </a:solidFill>
              <a:ln cmpd="sng">
                <a:solidFill>
                  <a:srgbClr val="000000"/>
                </a:solidFill>
              </a:ln>
            </c:spPr>
          </c:dPt>
          <c:dPt>
            <c:idx val="758"/>
            <c:invertIfNegative val="1"/>
            <c:bubble3D val="0"/>
            <c:spPr>
              <a:solidFill>
                <a:srgbClr val="4285F4"/>
              </a:solidFill>
              <a:ln cmpd="sng">
                <a:solidFill>
                  <a:srgbClr val="000000"/>
                </a:solidFill>
              </a:ln>
            </c:spPr>
          </c:dPt>
          <c:dPt>
            <c:idx val="759"/>
            <c:invertIfNegative val="1"/>
            <c:bubble3D val="0"/>
            <c:spPr>
              <a:solidFill>
                <a:srgbClr val="4285F4"/>
              </a:solidFill>
              <a:ln cmpd="sng">
                <a:solidFill>
                  <a:srgbClr val="000000"/>
                </a:solidFill>
              </a:ln>
            </c:spPr>
          </c:dPt>
          <c:dPt>
            <c:idx val="760"/>
            <c:invertIfNegative val="1"/>
            <c:bubble3D val="0"/>
            <c:spPr>
              <a:solidFill>
                <a:srgbClr val="4285F4"/>
              </a:solidFill>
              <a:ln cmpd="sng">
                <a:solidFill>
                  <a:srgbClr val="000000"/>
                </a:solidFill>
              </a:ln>
            </c:spPr>
          </c:dPt>
          <c:dPt>
            <c:idx val="761"/>
            <c:invertIfNegative val="1"/>
            <c:bubble3D val="0"/>
            <c:spPr>
              <a:solidFill>
                <a:srgbClr val="4285F4"/>
              </a:solidFill>
              <a:ln cmpd="sng">
                <a:solidFill>
                  <a:srgbClr val="000000"/>
                </a:solidFill>
              </a:ln>
            </c:spPr>
          </c:dPt>
          <c:dPt>
            <c:idx val="762"/>
            <c:invertIfNegative val="1"/>
            <c:bubble3D val="0"/>
            <c:spPr>
              <a:solidFill>
                <a:srgbClr val="4285F4"/>
              </a:solidFill>
              <a:ln cmpd="sng">
                <a:solidFill>
                  <a:srgbClr val="000000"/>
                </a:solidFill>
              </a:ln>
            </c:spPr>
          </c:dPt>
          <c:dPt>
            <c:idx val="763"/>
            <c:invertIfNegative val="1"/>
            <c:bubble3D val="0"/>
            <c:spPr>
              <a:solidFill>
                <a:srgbClr val="4285F4"/>
              </a:solidFill>
              <a:ln cmpd="sng">
                <a:solidFill>
                  <a:srgbClr val="000000"/>
                </a:solidFill>
              </a:ln>
            </c:spPr>
          </c:dPt>
          <c:dPt>
            <c:idx val="764"/>
            <c:invertIfNegative val="1"/>
            <c:bubble3D val="0"/>
            <c:spPr>
              <a:solidFill>
                <a:srgbClr val="4285F4"/>
              </a:solidFill>
              <a:ln cmpd="sng">
                <a:solidFill>
                  <a:srgbClr val="000000"/>
                </a:solidFill>
              </a:ln>
            </c:spPr>
          </c:dPt>
          <c:dPt>
            <c:idx val="765"/>
            <c:invertIfNegative val="1"/>
            <c:bubble3D val="0"/>
            <c:spPr>
              <a:solidFill>
                <a:srgbClr val="4285F4"/>
              </a:solidFill>
              <a:ln cmpd="sng">
                <a:solidFill>
                  <a:srgbClr val="000000"/>
                </a:solidFill>
              </a:ln>
            </c:spPr>
          </c:dPt>
          <c:dPt>
            <c:idx val="766"/>
            <c:invertIfNegative val="1"/>
            <c:bubble3D val="0"/>
            <c:spPr>
              <a:solidFill>
                <a:srgbClr val="4285F4"/>
              </a:solidFill>
              <a:ln cmpd="sng">
                <a:solidFill>
                  <a:srgbClr val="000000"/>
                </a:solidFill>
              </a:ln>
            </c:spPr>
          </c:dPt>
          <c:dPt>
            <c:idx val="767"/>
            <c:invertIfNegative val="1"/>
            <c:bubble3D val="0"/>
            <c:spPr>
              <a:solidFill>
                <a:srgbClr val="4285F4"/>
              </a:solidFill>
              <a:ln cmpd="sng">
                <a:solidFill>
                  <a:srgbClr val="000000"/>
                </a:solidFill>
              </a:ln>
            </c:spPr>
          </c:dPt>
          <c:dPt>
            <c:idx val="768"/>
            <c:invertIfNegative val="1"/>
            <c:bubble3D val="0"/>
            <c:spPr>
              <a:solidFill>
                <a:srgbClr val="4285F4"/>
              </a:solidFill>
              <a:ln cmpd="sng">
                <a:solidFill>
                  <a:srgbClr val="000000"/>
                </a:solidFill>
              </a:ln>
            </c:spPr>
          </c:dPt>
          <c:dPt>
            <c:idx val="769"/>
            <c:invertIfNegative val="1"/>
            <c:bubble3D val="0"/>
            <c:spPr>
              <a:solidFill>
                <a:srgbClr val="4285F4"/>
              </a:solidFill>
              <a:ln cmpd="sng">
                <a:solidFill>
                  <a:srgbClr val="000000"/>
                </a:solidFill>
              </a:ln>
            </c:spPr>
          </c:dPt>
          <c:dPt>
            <c:idx val="770"/>
            <c:invertIfNegative val="1"/>
            <c:bubble3D val="0"/>
            <c:spPr>
              <a:solidFill>
                <a:srgbClr val="4285F4"/>
              </a:solidFill>
              <a:ln cmpd="sng">
                <a:solidFill>
                  <a:srgbClr val="000000"/>
                </a:solidFill>
              </a:ln>
            </c:spPr>
          </c:dPt>
          <c:dPt>
            <c:idx val="771"/>
            <c:invertIfNegative val="1"/>
            <c:bubble3D val="0"/>
            <c:spPr>
              <a:solidFill>
                <a:srgbClr val="4285F4"/>
              </a:solidFill>
              <a:ln cmpd="sng">
                <a:solidFill>
                  <a:srgbClr val="000000"/>
                </a:solidFill>
              </a:ln>
            </c:spPr>
          </c:dPt>
          <c:dPt>
            <c:idx val="772"/>
            <c:invertIfNegative val="1"/>
            <c:bubble3D val="0"/>
            <c:spPr>
              <a:solidFill>
                <a:srgbClr val="4285F4"/>
              </a:solidFill>
              <a:ln cmpd="sng">
                <a:solidFill>
                  <a:srgbClr val="000000"/>
                </a:solidFill>
              </a:ln>
            </c:spPr>
          </c:dPt>
          <c:dPt>
            <c:idx val="773"/>
            <c:invertIfNegative val="1"/>
            <c:bubble3D val="0"/>
            <c:spPr>
              <a:solidFill>
                <a:srgbClr val="4285F4"/>
              </a:solidFill>
              <a:ln cmpd="sng">
                <a:solidFill>
                  <a:srgbClr val="000000"/>
                </a:solidFill>
              </a:ln>
            </c:spPr>
          </c:dPt>
          <c:dPt>
            <c:idx val="774"/>
            <c:invertIfNegative val="1"/>
            <c:bubble3D val="0"/>
            <c:spPr>
              <a:solidFill>
                <a:srgbClr val="4285F4"/>
              </a:solidFill>
              <a:ln cmpd="sng">
                <a:solidFill>
                  <a:srgbClr val="000000"/>
                </a:solidFill>
              </a:ln>
            </c:spPr>
          </c:dPt>
          <c:dPt>
            <c:idx val="775"/>
            <c:invertIfNegative val="1"/>
            <c:bubble3D val="0"/>
            <c:spPr>
              <a:solidFill>
                <a:srgbClr val="4285F4"/>
              </a:solidFill>
              <a:ln cmpd="sng">
                <a:solidFill>
                  <a:srgbClr val="000000"/>
                </a:solidFill>
              </a:ln>
            </c:spPr>
          </c:dPt>
          <c:dPt>
            <c:idx val="776"/>
            <c:invertIfNegative val="1"/>
            <c:bubble3D val="0"/>
            <c:spPr>
              <a:solidFill>
                <a:srgbClr val="4285F4"/>
              </a:solidFill>
              <a:ln cmpd="sng">
                <a:solidFill>
                  <a:srgbClr val="000000"/>
                </a:solidFill>
              </a:ln>
            </c:spPr>
          </c:dPt>
          <c:dPt>
            <c:idx val="777"/>
            <c:invertIfNegative val="1"/>
            <c:bubble3D val="0"/>
            <c:spPr>
              <a:solidFill>
                <a:srgbClr val="4285F4"/>
              </a:solidFill>
              <a:ln cmpd="sng">
                <a:solidFill>
                  <a:srgbClr val="000000"/>
                </a:solidFill>
              </a:ln>
            </c:spPr>
          </c:dPt>
          <c:dPt>
            <c:idx val="778"/>
            <c:invertIfNegative val="1"/>
            <c:bubble3D val="0"/>
            <c:spPr>
              <a:solidFill>
                <a:srgbClr val="4285F4"/>
              </a:solidFill>
              <a:ln cmpd="sng">
                <a:solidFill>
                  <a:srgbClr val="000000"/>
                </a:solidFill>
              </a:ln>
            </c:spPr>
          </c:dPt>
          <c:dPt>
            <c:idx val="779"/>
            <c:invertIfNegative val="1"/>
            <c:bubble3D val="0"/>
            <c:spPr>
              <a:solidFill>
                <a:srgbClr val="4285F4"/>
              </a:solidFill>
              <a:ln cmpd="sng">
                <a:solidFill>
                  <a:srgbClr val="000000"/>
                </a:solidFill>
              </a:ln>
            </c:spPr>
          </c:dPt>
          <c:dPt>
            <c:idx val="780"/>
            <c:invertIfNegative val="1"/>
            <c:bubble3D val="0"/>
            <c:spPr>
              <a:solidFill>
                <a:srgbClr val="4285F4"/>
              </a:solidFill>
              <a:ln cmpd="sng">
                <a:solidFill>
                  <a:srgbClr val="000000"/>
                </a:solidFill>
              </a:ln>
            </c:spPr>
          </c:dPt>
          <c:dPt>
            <c:idx val="781"/>
            <c:invertIfNegative val="1"/>
            <c:bubble3D val="0"/>
            <c:spPr>
              <a:solidFill>
                <a:srgbClr val="4285F4"/>
              </a:solidFill>
              <a:ln cmpd="sng">
                <a:solidFill>
                  <a:srgbClr val="000000"/>
                </a:solidFill>
              </a:ln>
            </c:spPr>
          </c:dPt>
          <c:dPt>
            <c:idx val="782"/>
            <c:invertIfNegative val="1"/>
            <c:bubble3D val="0"/>
            <c:spPr>
              <a:solidFill>
                <a:srgbClr val="4285F4"/>
              </a:solidFill>
              <a:ln cmpd="sng">
                <a:solidFill>
                  <a:srgbClr val="000000"/>
                </a:solidFill>
              </a:ln>
            </c:spPr>
          </c:dPt>
          <c:dPt>
            <c:idx val="783"/>
            <c:invertIfNegative val="1"/>
            <c:bubble3D val="0"/>
            <c:spPr>
              <a:solidFill>
                <a:srgbClr val="4285F4"/>
              </a:solidFill>
              <a:ln cmpd="sng">
                <a:solidFill>
                  <a:srgbClr val="000000"/>
                </a:solidFill>
              </a:ln>
            </c:spPr>
          </c:dPt>
          <c:dPt>
            <c:idx val="784"/>
            <c:invertIfNegative val="1"/>
            <c:bubble3D val="0"/>
            <c:spPr>
              <a:solidFill>
                <a:srgbClr val="4285F4"/>
              </a:solidFill>
              <a:ln cmpd="sng">
                <a:solidFill>
                  <a:srgbClr val="000000"/>
                </a:solidFill>
              </a:ln>
            </c:spPr>
          </c:dPt>
          <c:dPt>
            <c:idx val="785"/>
            <c:invertIfNegative val="1"/>
            <c:bubble3D val="0"/>
            <c:spPr>
              <a:solidFill>
                <a:srgbClr val="4285F4"/>
              </a:solidFill>
              <a:ln cmpd="sng">
                <a:solidFill>
                  <a:srgbClr val="000000"/>
                </a:solidFill>
              </a:ln>
            </c:spPr>
          </c:dPt>
          <c:dPt>
            <c:idx val="786"/>
            <c:invertIfNegative val="1"/>
            <c:bubble3D val="0"/>
            <c:spPr>
              <a:solidFill>
                <a:srgbClr val="4285F4"/>
              </a:solidFill>
              <a:ln cmpd="sng">
                <a:solidFill>
                  <a:srgbClr val="000000"/>
                </a:solidFill>
              </a:ln>
            </c:spPr>
          </c:dPt>
          <c:dPt>
            <c:idx val="787"/>
            <c:invertIfNegative val="1"/>
            <c:bubble3D val="0"/>
            <c:spPr>
              <a:solidFill>
                <a:srgbClr val="4285F4"/>
              </a:solidFill>
              <a:ln cmpd="sng">
                <a:solidFill>
                  <a:srgbClr val="000000"/>
                </a:solidFill>
              </a:ln>
            </c:spPr>
          </c:dPt>
          <c:dPt>
            <c:idx val="788"/>
            <c:invertIfNegative val="1"/>
            <c:bubble3D val="0"/>
            <c:spPr>
              <a:solidFill>
                <a:srgbClr val="4285F4"/>
              </a:solidFill>
              <a:ln cmpd="sng">
                <a:solidFill>
                  <a:srgbClr val="000000"/>
                </a:solidFill>
              </a:ln>
            </c:spPr>
          </c:dPt>
          <c:dPt>
            <c:idx val="789"/>
            <c:invertIfNegative val="1"/>
            <c:bubble3D val="0"/>
            <c:spPr>
              <a:solidFill>
                <a:srgbClr val="4285F4"/>
              </a:solidFill>
              <a:ln cmpd="sng">
                <a:solidFill>
                  <a:srgbClr val="000000"/>
                </a:solidFill>
              </a:ln>
            </c:spPr>
          </c:dPt>
          <c:dPt>
            <c:idx val="790"/>
            <c:invertIfNegative val="1"/>
            <c:bubble3D val="0"/>
            <c:spPr>
              <a:solidFill>
                <a:srgbClr val="4285F4"/>
              </a:solidFill>
              <a:ln cmpd="sng">
                <a:solidFill>
                  <a:srgbClr val="000000"/>
                </a:solidFill>
              </a:ln>
            </c:spPr>
          </c:dPt>
          <c:dPt>
            <c:idx val="791"/>
            <c:invertIfNegative val="1"/>
            <c:bubble3D val="0"/>
            <c:spPr>
              <a:solidFill>
                <a:srgbClr val="4285F4"/>
              </a:solidFill>
              <a:ln cmpd="sng">
                <a:solidFill>
                  <a:srgbClr val="000000"/>
                </a:solidFill>
              </a:ln>
            </c:spPr>
          </c:dPt>
          <c:dPt>
            <c:idx val="792"/>
            <c:invertIfNegative val="1"/>
            <c:bubble3D val="0"/>
            <c:spPr>
              <a:solidFill>
                <a:srgbClr val="4285F4"/>
              </a:solidFill>
              <a:ln cmpd="sng">
                <a:solidFill>
                  <a:srgbClr val="000000"/>
                </a:solidFill>
              </a:ln>
            </c:spPr>
          </c:dPt>
          <c:dPt>
            <c:idx val="793"/>
            <c:invertIfNegative val="1"/>
            <c:bubble3D val="0"/>
            <c:spPr>
              <a:solidFill>
                <a:srgbClr val="4285F4"/>
              </a:solidFill>
              <a:ln cmpd="sng">
                <a:solidFill>
                  <a:srgbClr val="000000"/>
                </a:solidFill>
              </a:ln>
            </c:spPr>
          </c:dPt>
          <c:dPt>
            <c:idx val="794"/>
            <c:invertIfNegative val="1"/>
            <c:bubble3D val="0"/>
            <c:spPr>
              <a:solidFill>
                <a:srgbClr val="4285F4"/>
              </a:solidFill>
              <a:ln cmpd="sng">
                <a:solidFill>
                  <a:srgbClr val="000000"/>
                </a:solidFill>
              </a:ln>
            </c:spPr>
          </c:dPt>
          <c:dPt>
            <c:idx val="795"/>
            <c:invertIfNegative val="1"/>
            <c:bubble3D val="0"/>
            <c:spPr>
              <a:solidFill>
                <a:srgbClr val="4285F4"/>
              </a:solidFill>
              <a:ln cmpd="sng">
                <a:solidFill>
                  <a:srgbClr val="000000"/>
                </a:solidFill>
              </a:ln>
            </c:spPr>
          </c:dPt>
          <c:dPt>
            <c:idx val="796"/>
            <c:invertIfNegative val="1"/>
            <c:bubble3D val="0"/>
            <c:spPr>
              <a:solidFill>
                <a:srgbClr val="4285F4"/>
              </a:solidFill>
              <a:ln cmpd="sng">
                <a:solidFill>
                  <a:srgbClr val="000000"/>
                </a:solidFill>
              </a:ln>
            </c:spPr>
          </c:dPt>
          <c:dPt>
            <c:idx val="797"/>
            <c:invertIfNegative val="1"/>
            <c:bubble3D val="0"/>
            <c:spPr>
              <a:solidFill>
                <a:srgbClr val="4285F4"/>
              </a:solidFill>
              <a:ln cmpd="sng">
                <a:solidFill>
                  <a:srgbClr val="000000"/>
                </a:solidFill>
              </a:ln>
            </c:spPr>
          </c:dPt>
          <c:dPt>
            <c:idx val="798"/>
            <c:invertIfNegative val="1"/>
            <c:bubble3D val="0"/>
            <c:spPr>
              <a:solidFill>
                <a:srgbClr val="4285F4"/>
              </a:solidFill>
              <a:ln cmpd="sng">
                <a:solidFill>
                  <a:srgbClr val="000000"/>
                </a:solidFill>
              </a:ln>
            </c:spPr>
          </c:dPt>
          <c:dPt>
            <c:idx val="799"/>
            <c:invertIfNegative val="1"/>
            <c:bubble3D val="0"/>
            <c:spPr>
              <a:solidFill>
                <a:srgbClr val="4285F4"/>
              </a:solidFill>
              <a:ln cmpd="sng">
                <a:solidFill>
                  <a:srgbClr val="000000"/>
                </a:solidFill>
              </a:ln>
            </c:spPr>
          </c:dPt>
          <c:dPt>
            <c:idx val="800"/>
            <c:invertIfNegative val="1"/>
            <c:bubble3D val="0"/>
            <c:spPr>
              <a:solidFill>
                <a:srgbClr val="4285F4"/>
              </a:solidFill>
              <a:ln cmpd="sng">
                <a:solidFill>
                  <a:srgbClr val="000000"/>
                </a:solidFill>
              </a:ln>
            </c:spPr>
          </c:dPt>
          <c:dPt>
            <c:idx val="801"/>
            <c:invertIfNegative val="1"/>
            <c:bubble3D val="0"/>
            <c:spPr>
              <a:solidFill>
                <a:srgbClr val="4285F4"/>
              </a:solidFill>
              <a:ln cmpd="sng">
                <a:solidFill>
                  <a:srgbClr val="000000"/>
                </a:solidFill>
              </a:ln>
            </c:spPr>
          </c:dPt>
          <c:dPt>
            <c:idx val="802"/>
            <c:invertIfNegative val="1"/>
            <c:bubble3D val="0"/>
            <c:spPr>
              <a:solidFill>
                <a:srgbClr val="4285F4"/>
              </a:solidFill>
              <a:ln cmpd="sng">
                <a:solidFill>
                  <a:srgbClr val="000000"/>
                </a:solidFill>
              </a:ln>
            </c:spPr>
          </c:dPt>
          <c:dPt>
            <c:idx val="803"/>
            <c:invertIfNegative val="1"/>
            <c:bubble3D val="0"/>
            <c:spPr>
              <a:solidFill>
                <a:srgbClr val="4285F4"/>
              </a:solidFill>
              <a:ln cmpd="sng">
                <a:solidFill>
                  <a:srgbClr val="000000"/>
                </a:solidFill>
              </a:ln>
            </c:spPr>
          </c:dPt>
          <c:dPt>
            <c:idx val="804"/>
            <c:invertIfNegative val="1"/>
            <c:bubble3D val="0"/>
            <c:spPr>
              <a:solidFill>
                <a:srgbClr val="4285F4"/>
              </a:solidFill>
              <a:ln cmpd="sng">
                <a:solidFill>
                  <a:srgbClr val="000000"/>
                </a:solidFill>
              </a:ln>
            </c:spPr>
          </c:dPt>
          <c:dPt>
            <c:idx val="805"/>
            <c:invertIfNegative val="1"/>
            <c:bubble3D val="0"/>
            <c:spPr>
              <a:solidFill>
                <a:srgbClr val="4285F4"/>
              </a:solidFill>
              <a:ln cmpd="sng">
                <a:solidFill>
                  <a:srgbClr val="000000"/>
                </a:solidFill>
              </a:ln>
            </c:spPr>
          </c:dPt>
          <c:dPt>
            <c:idx val="806"/>
            <c:invertIfNegative val="1"/>
            <c:bubble3D val="0"/>
            <c:spPr>
              <a:solidFill>
                <a:srgbClr val="4285F4"/>
              </a:solidFill>
              <a:ln cmpd="sng">
                <a:solidFill>
                  <a:srgbClr val="000000"/>
                </a:solidFill>
              </a:ln>
            </c:spPr>
          </c:dPt>
          <c:dPt>
            <c:idx val="807"/>
            <c:invertIfNegative val="1"/>
            <c:bubble3D val="0"/>
            <c:spPr>
              <a:solidFill>
                <a:srgbClr val="4285F4"/>
              </a:solidFill>
              <a:ln cmpd="sng">
                <a:solidFill>
                  <a:srgbClr val="000000"/>
                </a:solidFill>
              </a:ln>
            </c:spPr>
          </c:dPt>
          <c:dPt>
            <c:idx val="808"/>
            <c:invertIfNegative val="1"/>
            <c:bubble3D val="0"/>
            <c:spPr>
              <a:solidFill>
                <a:srgbClr val="4285F4"/>
              </a:solidFill>
              <a:ln cmpd="sng">
                <a:solidFill>
                  <a:srgbClr val="000000"/>
                </a:solidFill>
              </a:ln>
            </c:spPr>
          </c:dPt>
          <c:dPt>
            <c:idx val="809"/>
            <c:invertIfNegative val="1"/>
            <c:bubble3D val="0"/>
            <c:spPr>
              <a:solidFill>
                <a:srgbClr val="4285F4"/>
              </a:solidFill>
              <a:ln cmpd="sng">
                <a:solidFill>
                  <a:srgbClr val="000000"/>
                </a:solidFill>
              </a:ln>
            </c:spPr>
          </c:dPt>
          <c:dPt>
            <c:idx val="810"/>
            <c:invertIfNegative val="1"/>
            <c:bubble3D val="0"/>
            <c:spPr>
              <a:solidFill>
                <a:srgbClr val="4285F4"/>
              </a:solidFill>
              <a:ln cmpd="sng">
                <a:solidFill>
                  <a:srgbClr val="000000"/>
                </a:solidFill>
              </a:ln>
            </c:spPr>
          </c:dPt>
          <c:dPt>
            <c:idx val="811"/>
            <c:invertIfNegative val="1"/>
            <c:bubble3D val="0"/>
            <c:spPr>
              <a:solidFill>
                <a:srgbClr val="4285F4"/>
              </a:solidFill>
              <a:ln cmpd="sng">
                <a:solidFill>
                  <a:srgbClr val="000000"/>
                </a:solidFill>
              </a:ln>
            </c:spPr>
          </c:dPt>
          <c:dPt>
            <c:idx val="812"/>
            <c:invertIfNegative val="1"/>
            <c:bubble3D val="0"/>
            <c:spPr>
              <a:solidFill>
                <a:srgbClr val="4285F4"/>
              </a:solidFill>
              <a:ln cmpd="sng">
                <a:solidFill>
                  <a:srgbClr val="000000"/>
                </a:solidFill>
              </a:ln>
            </c:spPr>
          </c:dPt>
          <c:dPt>
            <c:idx val="813"/>
            <c:invertIfNegative val="1"/>
            <c:bubble3D val="0"/>
            <c:spPr>
              <a:solidFill>
                <a:srgbClr val="4285F4"/>
              </a:solidFill>
              <a:ln cmpd="sng">
                <a:solidFill>
                  <a:srgbClr val="000000"/>
                </a:solidFill>
              </a:ln>
            </c:spPr>
          </c:dPt>
          <c:dPt>
            <c:idx val="814"/>
            <c:invertIfNegative val="1"/>
            <c:bubble3D val="0"/>
            <c:spPr>
              <a:solidFill>
                <a:srgbClr val="4285F4"/>
              </a:solidFill>
              <a:ln cmpd="sng">
                <a:solidFill>
                  <a:srgbClr val="000000"/>
                </a:solidFill>
              </a:ln>
            </c:spPr>
          </c:dPt>
          <c:dPt>
            <c:idx val="815"/>
            <c:invertIfNegative val="1"/>
            <c:bubble3D val="0"/>
            <c:spPr>
              <a:solidFill>
                <a:srgbClr val="4285F4"/>
              </a:solidFill>
              <a:ln cmpd="sng">
                <a:solidFill>
                  <a:srgbClr val="000000"/>
                </a:solidFill>
              </a:ln>
            </c:spPr>
          </c:dPt>
          <c:dPt>
            <c:idx val="816"/>
            <c:invertIfNegative val="1"/>
            <c:bubble3D val="0"/>
            <c:spPr>
              <a:solidFill>
                <a:srgbClr val="4285F4"/>
              </a:solidFill>
              <a:ln cmpd="sng">
                <a:solidFill>
                  <a:srgbClr val="000000"/>
                </a:solidFill>
              </a:ln>
            </c:spPr>
          </c:dPt>
          <c:dPt>
            <c:idx val="817"/>
            <c:invertIfNegative val="1"/>
            <c:bubble3D val="0"/>
            <c:spPr>
              <a:solidFill>
                <a:srgbClr val="4285F4"/>
              </a:solidFill>
              <a:ln cmpd="sng">
                <a:solidFill>
                  <a:srgbClr val="000000"/>
                </a:solidFill>
              </a:ln>
            </c:spPr>
          </c:dPt>
          <c:dPt>
            <c:idx val="818"/>
            <c:invertIfNegative val="1"/>
            <c:bubble3D val="0"/>
            <c:spPr>
              <a:solidFill>
                <a:srgbClr val="4285F4"/>
              </a:solidFill>
              <a:ln cmpd="sng">
                <a:solidFill>
                  <a:srgbClr val="000000"/>
                </a:solidFill>
              </a:ln>
            </c:spPr>
          </c:dPt>
          <c:dPt>
            <c:idx val="819"/>
            <c:invertIfNegative val="1"/>
            <c:bubble3D val="0"/>
            <c:spPr>
              <a:solidFill>
                <a:srgbClr val="4285F4"/>
              </a:solidFill>
              <a:ln cmpd="sng">
                <a:solidFill>
                  <a:srgbClr val="000000"/>
                </a:solidFill>
              </a:ln>
            </c:spPr>
          </c:dPt>
          <c:dPt>
            <c:idx val="820"/>
            <c:invertIfNegative val="1"/>
            <c:bubble3D val="0"/>
            <c:spPr>
              <a:solidFill>
                <a:srgbClr val="4285F4"/>
              </a:solidFill>
              <a:ln cmpd="sng">
                <a:solidFill>
                  <a:srgbClr val="000000"/>
                </a:solidFill>
              </a:ln>
            </c:spPr>
          </c:dPt>
          <c:dPt>
            <c:idx val="821"/>
            <c:invertIfNegative val="1"/>
            <c:bubble3D val="0"/>
            <c:spPr>
              <a:solidFill>
                <a:srgbClr val="4285F4"/>
              </a:solidFill>
              <a:ln cmpd="sng">
                <a:solidFill>
                  <a:srgbClr val="000000"/>
                </a:solidFill>
              </a:ln>
            </c:spPr>
          </c:dPt>
          <c:dPt>
            <c:idx val="822"/>
            <c:invertIfNegative val="1"/>
            <c:bubble3D val="0"/>
            <c:spPr>
              <a:solidFill>
                <a:srgbClr val="4285F4"/>
              </a:solidFill>
              <a:ln cmpd="sng">
                <a:solidFill>
                  <a:srgbClr val="000000"/>
                </a:solidFill>
              </a:ln>
            </c:spPr>
          </c:dPt>
          <c:dPt>
            <c:idx val="823"/>
            <c:invertIfNegative val="1"/>
            <c:bubble3D val="0"/>
            <c:spPr>
              <a:solidFill>
                <a:srgbClr val="4285F4"/>
              </a:solidFill>
              <a:ln cmpd="sng">
                <a:solidFill>
                  <a:srgbClr val="000000"/>
                </a:solidFill>
              </a:ln>
            </c:spPr>
          </c:dPt>
          <c:dPt>
            <c:idx val="824"/>
            <c:invertIfNegative val="1"/>
            <c:bubble3D val="0"/>
            <c:spPr>
              <a:solidFill>
                <a:srgbClr val="4285F4"/>
              </a:solidFill>
              <a:ln cmpd="sng">
                <a:solidFill>
                  <a:srgbClr val="000000"/>
                </a:solidFill>
              </a:ln>
            </c:spPr>
          </c:dPt>
          <c:dPt>
            <c:idx val="825"/>
            <c:invertIfNegative val="1"/>
            <c:bubble3D val="0"/>
            <c:spPr>
              <a:solidFill>
                <a:srgbClr val="4285F4"/>
              </a:solidFill>
              <a:ln cmpd="sng">
                <a:solidFill>
                  <a:srgbClr val="000000"/>
                </a:solidFill>
              </a:ln>
            </c:spPr>
          </c:dPt>
          <c:dPt>
            <c:idx val="826"/>
            <c:invertIfNegative val="1"/>
            <c:bubble3D val="0"/>
            <c:spPr>
              <a:solidFill>
                <a:srgbClr val="4285F4"/>
              </a:solidFill>
              <a:ln cmpd="sng">
                <a:solidFill>
                  <a:srgbClr val="000000"/>
                </a:solidFill>
              </a:ln>
            </c:spPr>
          </c:dPt>
          <c:dPt>
            <c:idx val="827"/>
            <c:invertIfNegative val="1"/>
            <c:bubble3D val="0"/>
            <c:spPr>
              <a:solidFill>
                <a:srgbClr val="4285F4"/>
              </a:solidFill>
              <a:ln cmpd="sng">
                <a:solidFill>
                  <a:srgbClr val="000000"/>
                </a:solidFill>
              </a:ln>
            </c:spPr>
          </c:dPt>
          <c:dPt>
            <c:idx val="828"/>
            <c:invertIfNegative val="1"/>
            <c:bubble3D val="0"/>
            <c:spPr>
              <a:solidFill>
                <a:srgbClr val="4285F4"/>
              </a:solidFill>
              <a:ln cmpd="sng">
                <a:solidFill>
                  <a:srgbClr val="000000"/>
                </a:solidFill>
              </a:ln>
            </c:spPr>
          </c:dPt>
          <c:dPt>
            <c:idx val="829"/>
            <c:invertIfNegative val="1"/>
            <c:bubble3D val="0"/>
            <c:spPr>
              <a:solidFill>
                <a:srgbClr val="4285F4"/>
              </a:solidFill>
              <a:ln cmpd="sng">
                <a:solidFill>
                  <a:srgbClr val="000000"/>
                </a:solidFill>
              </a:ln>
            </c:spPr>
          </c:dPt>
          <c:dPt>
            <c:idx val="830"/>
            <c:invertIfNegative val="1"/>
            <c:bubble3D val="0"/>
            <c:spPr>
              <a:solidFill>
                <a:srgbClr val="4285F4"/>
              </a:solidFill>
              <a:ln cmpd="sng">
                <a:solidFill>
                  <a:srgbClr val="000000"/>
                </a:solidFill>
              </a:ln>
            </c:spPr>
          </c:dPt>
          <c:dPt>
            <c:idx val="831"/>
            <c:invertIfNegative val="1"/>
            <c:bubble3D val="0"/>
            <c:spPr>
              <a:solidFill>
                <a:srgbClr val="4285F4"/>
              </a:solidFill>
              <a:ln cmpd="sng">
                <a:solidFill>
                  <a:srgbClr val="000000"/>
                </a:solidFill>
              </a:ln>
            </c:spPr>
          </c:dPt>
          <c:dPt>
            <c:idx val="832"/>
            <c:invertIfNegative val="1"/>
            <c:bubble3D val="0"/>
            <c:spPr>
              <a:solidFill>
                <a:srgbClr val="4285F4"/>
              </a:solidFill>
              <a:ln cmpd="sng">
                <a:solidFill>
                  <a:srgbClr val="000000"/>
                </a:solidFill>
              </a:ln>
            </c:spPr>
          </c:dPt>
          <c:dPt>
            <c:idx val="833"/>
            <c:invertIfNegative val="1"/>
            <c:bubble3D val="0"/>
            <c:spPr>
              <a:solidFill>
                <a:srgbClr val="4285F4"/>
              </a:solidFill>
              <a:ln cmpd="sng">
                <a:solidFill>
                  <a:srgbClr val="000000"/>
                </a:solidFill>
              </a:ln>
            </c:spPr>
          </c:dPt>
          <c:dPt>
            <c:idx val="834"/>
            <c:invertIfNegative val="1"/>
            <c:bubble3D val="0"/>
            <c:spPr>
              <a:solidFill>
                <a:srgbClr val="4285F4"/>
              </a:solidFill>
              <a:ln cmpd="sng">
                <a:solidFill>
                  <a:srgbClr val="000000"/>
                </a:solidFill>
              </a:ln>
            </c:spPr>
          </c:dPt>
          <c:dPt>
            <c:idx val="835"/>
            <c:invertIfNegative val="1"/>
            <c:bubble3D val="0"/>
            <c:spPr>
              <a:solidFill>
                <a:srgbClr val="4285F4"/>
              </a:solidFill>
              <a:ln cmpd="sng">
                <a:solidFill>
                  <a:srgbClr val="000000"/>
                </a:solidFill>
              </a:ln>
            </c:spPr>
          </c:dPt>
          <c:dPt>
            <c:idx val="836"/>
            <c:invertIfNegative val="1"/>
            <c:bubble3D val="0"/>
            <c:spPr>
              <a:solidFill>
                <a:srgbClr val="4285F4"/>
              </a:solidFill>
              <a:ln cmpd="sng">
                <a:solidFill>
                  <a:srgbClr val="000000"/>
                </a:solidFill>
              </a:ln>
            </c:spPr>
          </c:dPt>
          <c:dPt>
            <c:idx val="837"/>
            <c:invertIfNegative val="1"/>
            <c:bubble3D val="0"/>
            <c:spPr>
              <a:solidFill>
                <a:srgbClr val="4285F4"/>
              </a:solidFill>
              <a:ln cmpd="sng">
                <a:solidFill>
                  <a:srgbClr val="000000"/>
                </a:solidFill>
              </a:ln>
            </c:spPr>
          </c:dPt>
          <c:dPt>
            <c:idx val="838"/>
            <c:invertIfNegative val="1"/>
            <c:bubble3D val="0"/>
            <c:spPr>
              <a:solidFill>
                <a:srgbClr val="4285F4"/>
              </a:solidFill>
              <a:ln cmpd="sng">
                <a:solidFill>
                  <a:srgbClr val="000000"/>
                </a:solidFill>
              </a:ln>
            </c:spPr>
          </c:dPt>
          <c:dPt>
            <c:idx val="839"/>
            <c:invertIfNegative val="1"/>
            <c:bubble3D val="0"/>
            <c:spPr>
              <a:solidFill>
                <a:srgbClr val="4285F4"/>
              </a:solidFill>
              <a:ln cmpd="sng">
                <a:solidFill>
                  <a:srgbClr val="000000"/>
                </a:solidFill>
              </a:ln>
            </c:spPr>
          </c:dPt>
          <c:dPt>
            <c:idx val="840"/>
            <c:invertIfNegative val="1"/>
            <c:bubble3D val="0"/>
            <c:spPr>
              <a:solidFill>
                <a:srgbClr val="4285F4"/>
              </a:solidFill>
              <a:ln cmpd="sng">
                <a:solidFill>
                  <a:srgbClr val="000000"/>
                </a:solidFill>
              </a:ln>
            </c:spPr>
          </c:dPt>
          <c:dPt>
            <c:idx val="841"/>
            <c:invertIfNegative val="1"/>
            <c:bubble3D val="0"/>
            <c:spPr>
              <a:solidFill>
                <a:srgbClr val="4285F4"/>
              </a:solidFill>
              <a:ln cmpd="sng">
                <a:solidFill>
                  <a:srgbClr val="000000"/>
                </a:solidFill>
              </a:ln>
            </c:spPr>
          </c:dPt>
          <c:dPt>
            <c:idx val="842"/>
            <c:invertIfNegative val="1"/>
            <c:bubble3D val="0"/>
            <c:spPr>
              <a:solidFill>
                <a:srgbClr val="4285F4"/>
              </a:solidFill>
              <a:ln cmpd="sng">
                <a:solidFill>
                  <a:srgbClr val="000000"/>
                </a:solidFill>
              </a:ln>
            </c:spPr>
          </c:dPt>
          <c:dPt>
            <c:idx val="843"/>
            <c:invertIfNegative val="1"/>
            <c:bubble3D val="0"/>
            <c:spPr>
              <a:solidFill>
                <a:srgbClr val="4285F4"/>
              </a:solidFill>
              <a:ln cmpd="sng">
                <a:solidFill>
                  <a:srgbClr val="000000"/>
                </a:solidFill>
              </a:ln>
            </c:spPr>
          </c:dPt>
          <c:dPt>
            <c:idx val="844"/>
            <c:invertIfNegative val="1"/>
            <c:bubble3D val="0"/>
            <c:spPr>
              <a:solidFill>
                <a:srgbClr val="4285F4"/>
              </a:solidFill>
              <a:ln cmpd="sng">
                <a:solidFill>
                  <a:srgbClr val="000000"/>
                </a:solidFill>
              </a:ln>
            </c:spPr>
          </c:dPt>
          <c:dPt>
            <c:idx val="845"/>
            <c:invertIfNegative val="1"/>
            <c:bubble3D val="0"/>
            <c:spPr>
              <a:solidFill>
                <a:srgbClr val="4285F4"/>
              </a:solidFill>
              <a:ln cmpd="sng">
                <a:solidFill>
                  <a:srgbClr val="000000"/>
                </a:solidFill>
              </a:ln>
            </c:spPr>
          </c:dPt>
          <c:dPt>
            <c:idx val="846"/>
            <c:invertIfNegative val="1"/>
            <c:bubble3D val="0"/>
            <c:spPr>
              <a:solidFill>
                <a:srgbClr val="4285F4"/>
              </a:solidFill>
              <a:ln cmpd="sng">
                <a:solidFill>
                  <a:srgbClr val="000000"/>
                </a:solidFill>
              </a:ln>
            </c:spPr>
          </c:dPt>
          <c:dPt>
            <c:idx val="847"/>
            <c:invertIfNegative val="1"/>
            <c:bubble3D val="0"/>
            <c:spPr>
              <a:solidFill>
                <a:srgbClr val="4285F4"/>
              </a:solidFill>
              <a:ln cmpd="sng">
                <a:solidFill>
                  <a:srgbClr val="000000"/>
                </a:solidFill>
              </a:ln>
            </c:spPr>
          </c:dPt>
          <c:dPt>
            <c:idx val="848"/>
            <c:invertIfNegative val="1"/>
            <c:bubble3D val="0"/>
            <c:spPr>
              <a:solidFill>
                <a:srgbClr val="4285F4"/>
              </a:solidFill>
              <a:ln cmpd="sng">
                <a:solidFill>
                  <a:srgbClr val="000000"/>
                </a:solidFill>
              </a:ln>
            </c:spPr>
          </c:dPt>
          <c:dPt>
            <c:idx val="849"/>
            <c:invertIfNegative val="1"/>
            <c:bubble3D val="0"/>
            <c:spPr>
              <a:solidFill>
                <a:srgbClr val="4285F4"/>
              </a:solidFill>
              <a:ln cmpd="sng">
                <a:solidFill>
                  <a:srgbClr val="000000"/>
                </a:solidFill>
              </a:ln>
            </c:spPr>
          </c:dPt>
          <c:dPt>
            <c:idx val="850"/>
            <c:invertIfNegative val="1"/>
            <c:bubble3D val="0"/>
            <c:spPr>
              <a:solidFill>
                <a:srgbClr val="4285F4"/>
              </a:solidFill>
              <a:ln cmpd="sng">
                <a:solidFill>
                  <a:srgbClr val="000000"/>
                </a:solidFill>
              </a:ln>
            </c:spPr>
          </c:dPt>
          <c:dPt>
            <c:idx val="851"/>
            <c:invertIfNegative val="1"/>
            <c:bubble3D val="0"/>
            <c:spPr>
              <a:solidFill>
                <a:srgbClr val="4285F4"/>
              </a:solidFill>
              <a:ln cmpd="sng">
                <a:solidFill>
                  <a:srgbClr val="000000"/>
                </a:solidFill>
              </a:ln>
            </c:spPr>
          </c:dPt>
          <c:dPt>
            <c:idx val="852"/>
            <c:invertIfNegative val="1"/>
            <c:bubble3D val="0"/>
            <c:spPr>
              <a:solidFill>
                <a:srgbClr val="4285F4"/>
              </a:solidFill>
              <a:ln cmpd="sng">
                <a:solidFill>
                  <a:srgbClr val="000000"/>
                </a:solidFill>
              </a:ln>
            </c:spPr>
          </c:dPt>
          <c:dPt>
            <c:idx val="853"/>
            <c:invertIfNegative val="1"/>
            <c:bubble3D val="0"/>
            <c:spPr>
              <a:solidFill>
                <a:srgbClr val="4285F4"/>
              </a:solidFill>
              <a:ln cmpd="sng">
                <a:solidFill>
                  <a:srgbClr val="000000"/>
                </a:solidFill>
              </a:ln>
            </c:spPr>
          </c:dPt>
          <c:dPt>
            <c:idx val="854"/>
            <c:invertIfNegative val="1"/>
            <c:bubble3D val="0"/>
            <c:spPr>
              <a:solidFill>
                <a:srgbClr val="4285F4"/>
              </a:solidFill>
              <a:ln cmpd="sng">
                <a:solidFill>
                  <a:srgbClr val="000000"/>
                </a:solidFill>
              </a:ln>
            </c:spPr>
          </c:dPt>
          <c:dPt>
            <c:idx val="855"/>
            <c:invertIfNegative val="1"/>
            <c:bubble3D val="0"/>
            <c:spPr>
              <a:solidFill>
                <a:srgbClr val="4285F4"/>
              </a:solidFill>
              <a:ln cmpd="sng">
                <a:solidFill>
                  <a:srgbClr val="000000"/>
                </a:solidFill>
              </a:ln>
            </c:spPr>
          </c:dPt>
          <c:dPt>
            <c:idx val="856"/>
            <c:invertIfNegative val="1"/>
            <c:bubble3D val="0"/>
            <c:spPr>
              <a:solidFill>
                <a:srgbClr val="4285F4"/>
              </a:solidFill>
              <a:ln cmpd="sng">
                <a:solidFill>
                  <a:srgbClr val="000000"/>
                </a:solidFill>
              </a:ln>
            </c:spPr>
          </c:dPt>
          <c:dPt>
            <c:idx val="857"/>
            <c:invertIfNegative val="1"/>
            <c:bubble3D val="0"/>
            <c:spPr>
              <a:solidFill>
                <a:srgbClr val="4285F4"/>
              </a:solidFill>
              <a:ln cmpd="sng">
                <a:solidFill>
                  <a:srgbClr val="000000"/>
                </a:solidFill>
              </a:ln>
            </c:spPr>
          </c:dPt>
          <c:dPt>
            <c:idx val="858"/>
            <c:invertIfNegative val="1"/>
            <c:bubble3D val="0"/>
            <c:spPr>
              <a:solidFill>
                <a:srgbClr val="4285F4"/>
              </a:solidFill>
              <a:ln cmpd="sng">
                <a:solidFill>
                  <a:srgbClr val="000000"/>
                </a:solidFill>
              </a:ln>
            </c:spPr>
          </c:dPt>
          <c:dPt>
            <c:idx val="859"/>
            <c:invertIfNegative val="1"/>
            <c:bubble3D val="0"/>
            <c:spPr>
              <a:solidFill>
                <a:srgbClr val="4285F4"/>
              </a:solidFill>
              <a:ln cmpd="sng">
                <a:solidFill>
                  <a:srgbClr val="000000"/>
                </a:solidFill>
              </a:ln>
            </c:spPr>
          </c:dPt>
          <c:dPt>
            <c:idx val="860"/>
            <c:invertIfNegative val="1"/>
            <c:bubble3D val="0"/>
            <c:spPr>
              <a:solidFill>
                <a:srgbClr val="4285F4"/>
              </a:solidFill>
              <a:ln cmpd="sng">
                <a:solidFill>
                  <a:srgbClr val="000000"/>
                </a:solidFill>
              </a:ln>
            </c:spPr>
          </c:dPt>
          <c:dPt>
            <c:idx val="861"/>
            <c:invertIfNegative val="1"/>
            <c:bubble3D val="0"/>
            <c:spPr>
              <a:solidFill>
                <a:srgbClr val="4285F4"/>
              </a:solidFill>
              <a:ln cmpd="sng">
                <a:solidFill>
                  <a:srgbClr val="000000"/>
                </a:solidFill>
              </a:ln>
            </c:spPr>
          </c:dPt>
          <c:dPt>
            <c:idx val="862"/>
            <c:invertIfNegative val="1"/>
            <c:bubble3D val="0"/>
            <c:spPr>
              <a:solidFill>
                <a:srgbClr val="4285F4"/>
              </a:solidFill>
              <a:ln cmpd="sng">
                <a:solidFill>
                  <a:srgbClr val="000000"/>
                </a:solidFill>
              </a:ln>
            </c:spPr>
          </c:dPt>
          <c:dPt>
            <c:idx val="863"/>
            <c:invertIfNegative val="1"/>
            <c:bubble3D val="0"/>
            <c:spPr>
              <a:solidFill>
                <a:srgbClr val="4285F4"/>
              </a:solidFill>
              <a:ln cmpd="sng">
                <a:solidFill>
                  <a:srgbClr val="000000"/>
                </a:solidFill>
              </a:ln>
            </c:spPr>
          </c:dPt>
          <c:dPt>
            <c:idx val="864"/>
            <c:invertIfNegative val="1"/>
            <c:bubble3D val="0"/>
            <c:spPr>
              <a:solidFill>
                <a:srgbClr val="4285F4"/>
              </a:solidFill>
              <a:ln cmpd="sng">
                <a:solidFill>
                  <a:srgbClr val="000000"/>
                </a:solidFill>
              </a:ln>
            </c:spPr>
          </c:dPt>
          <c:dPt>
            <c:idx val="865"/>
            <c:invertIfNegative val="1"/>
            <c:bubble3D val="0"/>
            <c:spPr>
              <a:solidFill>
                <a:srgbClr val="4285F4"/>
              </a:solidFill>
              <a:ln cmpd="sng">
                <a:solidFill>
                  <a:srgbClr val="000000"/>
                </a:solidFill>
              </a:ln>
            </c:spPr>
          </c:dPt>
          <c:dPt>
            <c:idx val="866"/>
            <c:invertIfNegative val="1"/>
            <c:bubble3D val="0"/>
            <c:spPr>
              <a:solidFill>
                <a:srgbClr val="4285F4"/>
              </a:solidFill>
              <a:ln cmpd="sng">
                <a:solidFill>
                  <a:srgbClr val="000000"/>
                </a:solidFill>
              </a:ln>
            </c:spPr>
          </c:dPt>
          <c:dPt>
            <c:idx val="867"/>
            <c:invertIfNegative val="1"/>
            <c:bubble3D val="0"/>
            <c:spPr>
              <a:solidFill>
                <a:srgbClr val="4285F4"/>
              </a:solidFill>
              <a:ln cmpd="sng">
                <a:solidFill>
                  <a:srgbClr val="000000"/>
                </a:solidFill>
              </a:ln>
            </c:spPr>
          </c:dPt>
          <c:dPt>
            <c:idx val="868"/>
            <c:invertIfNegative val="1"/>
            <c:bubble3D val="0"/>
            <c:spPr>
              <a:solidFill>
                <a:srgbClr val="4285F4"/>
              </a:solidFill>
              <a:ln cmpd="sng">
                <a:solidFill>
                  <a:srgbClr val="000000"/>
                </a:solidFill>
              </a:ln>
            </c:spPr>
          </c:dPt>
          <c:dPt>
            <c:idx val="869"/>
            <c:invertIfNegative val="1"/>
            <c:bubble3D val="0"/>
            <c:spPr>
              <a:solidFill>
                <a:srgbClr val="4285F4"/>
              </a:solidFill>
              <a:ln cmpd="sng">
                <a:solidFill>
                  <a:srgbClr val="000000"/>
                </a:solidFill>
              </a:ln>
            </c:spPr>
          </c:dPt>
          <c:dPt>
            <c:idx val="870"/>
            <c:invertIfNegative val="1"/>
            <c:bubble3D val="0"/>
            <c:spPr>
              <a:solidFill>
                <a:srgbClr val="4285F4"/>
              </a:solidFill>
              <a:ln cmpd="sng">
                <a:solidFill>
                  <a:srgbClr val="000000"/>
                </a:solidFill>
              </a:ln>
            </c:spPr>
          </c:dPt>
          <c:dPt>
            <c:idx val="871"/>
            <c:invertIfNegative val="1"/>
            <c:bubble3D val="0"/>
            <c:spPr>
              <a:solidFill>
                <a:srgbClr val="4285F4"/>
              </a:solidFill>
              <a:ln cmpd="sng">
                <a:solidFill>
                  <a:srgbClr val="000000"/>
                </a:solidFill>
              </a:ln>
            </c:spPr>
          </c:dPt>
          <c:dPt>
            <c:idx val="872"/>
            <c:invertIfNegative val="1"/>
            <c:bubble3D val="0"/>
            <c:spPr>
              <a:solidFill>
                <a:srgbClr val="4285F4"/>
              </a:solidFill>
              <a:ln cmpd="sng">
                <a:solidFill>
                  <a:srgbClr val="000000"/>
                </a:solidFill>
              </a:ln>
            </c:spPr>
          </c:dPt>
          <c:dPt>
            <c:idx val="873"/>
            <c:invertIfNegative val="1"/>
            <c:bubble3D val="0"/>
            <c:spPr>
              <a:solidFill>
                <a:srgbClr val="4285F4"/>
              </a:solidFill>
              <a:ln cmpd="sng">
                <a:solidFill>
                  <a:srgbClr val="000000"/>
                </a:solidFill>
              </a:ln>
            </c:spPr>
          </c:dPt>
          <c:dPt>
            <c:idx val="874"/>
            <c:invertIfNegative val="1"/>
            <c:bubble3D val="0"/>
            <c:spPr>
              <a:solidFill>
                <a:srgbClr val="4285F4"/>
              </a:solidFill>
              <a:ln cmpd="sng">
                <a:solidFill>
                  <a:srgbClr val="000000"/>
                </a:solidFill>
              </a:ln>
            </c:spPr>
          </c:dPt>
          <c:dPt>
            <c:idx val="875"/>
            <c:invertIfNegative val="1"/>
            <c:bubble3D val="0"/>
            <c:spPr>
              <a:solidFill>
                <a:srgbClr val="4285F4"/>
              </a:solidFill>
              <a:ln cmpd="sng">
                <a:solidFill>
                  <a:srgbClr val="000000"/>
                </a:solidFill>
              </a:ln>
            </c:spPr>
          </c:dPt>
          <c:dPt>
            <c:idx val="876"/>
            <c:invertIfNegative val="1"/>
            <c:bubble3D val="0"/>
            <c:spPr>
              <a:solidFill>
                <a:srgbClr val="4285F4"/>
              </a:solidFill>
              <a:ln cmpd="sng">
                <a:solidFill>
                  <a:srgbClr val="000000"/>
                </a:solidFill>
              </a:ln>
            </c:spPr>
          </c:dPt>
          <c:dPt>
            <c:idx val="877"/>
            <c:invertIfNegative val="1"/>
            <c:bubble3D val="0"/>
            <c:spPr>
              <a:solidFill>
                <a:srgbClr val="4285F4"/>
              </a:solidFill>
              <a:ln cmpd="sng">
                <a:solidFill>
                  <a:srgbClr val="000000"/>
                </a:solidFill>
              </a:ln>
            </c:spPr>
          </c:dPt>
          <c:dPt>
            <c:idx val="878"/>
            <c:invertIfNegative val="1"/>
            <c:bubble3D val="0"/>
            <c:spPr>
              <a:solidFill>
                <a:srgbClr val="4285F4"/>
              </a:solidFill>
              <a:ln cmpd="sng">
                <a:solidFill>
                  <a:srgbClr val="000000"/>
                </a:solidFill>
              </a:ln>
            </c:spPr>
          </c:dPt>
          <c:dPt>
            <c:idx val="879"/>
            <c:invertIfNegative val="1"/>
            <c:bubble3D val="0"/>
            <c:spPr>
              <a:solidFill>
                <a:srgbClr val="4285F4"/>
              </a:solidFill>
              <a:ln cmpd="sng">
                <a:solidFill>
                  <a:srgbClr val="000000"/>
                </a:solidFill>
              </a:ln>
            </c:spPr>
          </c:dPt>
          <c:dPt>
            <c:idx val="880"/>
            <c:invertIfNegative val="1"/>
            <c:bubble3D val="0"/>
            <c:spPr>
              <a:solidFill>
                <a:srgbClr val="4285F4"/>
              </a:solidFill>
              <a:ln cmpd="sng">
                <a:solidFill>
                  <a:srgbClr val="000000"/>
                </a:solidFill>
              </a:ln>
            </c:spPr>
          </c:dPt>
          <c:dPt>
            <c:idx val="881"/>
            <c:invertIfNegative val="1"/>
            <c:bubble3D val="0"/>
            <c:spPr>
              <a:solidFill>
                <a:srgbClr val="4285F4"/>
              </a:solidFill>
              <a:ln cmpd="sng">
                <a:solidFill>
                  <a:srgbClr val="000000"/>
                </a:solidFill>
              </a:ln>
            </c:spPr>
          </c:dPt>
          <c:dPt>
            <c:idx val="882"/>
            <c:invertIfNegative val="1"/>
            <c:bubble3D val="0"/>
            <c:spPr>
              <a:solidFill>
                <a:srgbClr val="4285F4"/>
              </a:solidFill>
              <a:ln cmpd="sng">
                <a:solidFill>
                  <a:srgbClr val="000000"/>
                </a:solidFill>
              </a:ln>
            </c:spPr>
          </c:dPt>
          <c:dPt>
            <c:idx val="883"/>
            <c:invertIfNegative val="1"/>
            <c:bubble3D val="0"/>
            <c:spPr>
              <a:solidFill>
                <a:srgbClr val="4285F4"/>
              </a:solidFill>
              <a:ln cmpd="sng">
                <a:solidFill>
                  <a:srgbClr val="000000"/>
                </a:solidFill>
              </a:ln>
            </c:spPr>
          </c:dPt>
          <c:dPt>
            <c:idx val="884"/>
            <c:invertIfNegative val="1"/>
            <c:bubble3D val="0"/>
            <c:spPr>
              <a:solidFill>
                <a:srgbClr val="4285F4"/>
              </a:solidFill>
              <a:ln cmpd="sng">
                <a:solidFill>
                  <a:srgbClr val="000000"/>
                </a:solidFill>
              </a:ln>
            </c:spPr>
          </c:dPt>
          <c:dPt>
            <c:idx val="885"/>
            <c:invertIfNegative val="1"/>
            <c:bubble3D val="0"/>
            <c:spPr>
              <a:solidFill>
                <a:srgbClr val="4285F4"/>
              </a:solidFill>
              <a:ln cmpd="sng">
                <a:solidFill>
                  <a:srgbClr val="000000"/>
                </a:solidFill>
              </a:ln>
            </c:spPr>
          </c:dPt>
          <c:dPt>
            <c:idx val="886"/>
            <c:invertIfNegative val="1"/>
            <c:bubble3D val="0"/>
            <c:spPr>
              <a:solidFill>
                <a:srgbClr val="4285F4"/>
              </a:solidFill>
              <a:ln cmpd="sng">
                <a:solidFill>
                  <a:srgbClr val="000000"/>
                </a:solidFill>
              </a:ln>
            </c:spPr>
          </c:dPt>
          <c:dPt>
            <c:idx val="887"/>
            <c:invertIfNegative val="1"/>
            <c:bubble3D val="0"/>
            <c:spPr>
              <a:solidFill>
                <a:srgbClr val="4285F4"/>
              </a:solidFill>
              <a:ln cmpd="sng">
                <a:solidFill>
                  <a:srgbClr val="000000"/>
                </a:solidFill>
              </a:ln>
            </c:spPr>
          </c:dPt>
          <c:dPt>
            <c:idx val="888"/>
            <c:invertIfNegative val="1"/>
            <c:bubble3D val="0"/>
            <c:spPr>
              <a:solidFill>
                <a:srgbClr val="4285F4"/>
              </a:solidFill>
              <a:ln cmpd="sng">
                <a:solidFill>
                  <a:srgbClr val="000000"/>
                </a:solidFill>
              </a:ln>
            </c:spPr>
          </c:dPt>
          <c:dPt>
            <c:idx val="889"/>
            <c:invertIfNegative val="1"/>
            <c:bubble3D val="0"/>
            <c:spPr>
              <a:solidFill>
                <a:srgbClr val="4285F4"/>
              </a:solidFill>
              <a:ln cmpd="sng">
                <a:solidFill>
                  <a:srgbClr val="000000"/>
                </a:solidFill>
              </a:ln>
            </c:spPr>
          </c:dPt>
          <c:dPt>
            <c:idx val="890"/>
            <c:invertIfNegative val="1"/>
            <c:bubble3D val="0"/>
            <c:spPr>
              <a:solidFill>
                <a:srgbClr val="4285F4"/>
              </a:solidFill>
              <a:ln cmpd="sng">
                <a:solidFill>
                  <a:srgbClr val="000000"/>
                </a:solidFill>
              </a:ln>
            </c:spPr>
          </c:dPt>
          <c:dPt>
            <c:idx val="891"/>
            <c:invertIfNegative val="1"/>
            <c:bubble3D val="0"/>
            <c:spPr>
              <a:solidFill>
                <a:srgbClr val="4285F4"/>
              </a:solidFill>
              <a:ln cmpd="sng">
                <a:solidFill>
                  <a:srgbClr val="000000"/>
                </a:solidFill>
              </a:ln>
            </c:spPr>
          </c:dPt>
          <c:dPt>
            <c:idx val="892"/>
            <c:invertIfNegative val="1"/>
            <c:bubble3D val="0"/>
            <c:spPr>
              <a:solidFill>
                <a:srgbClr val="4285F4"/>
              </a:solidFill>
              <a:ln cmpd="sng">
                <a:solidFill>
                  <a:srgbClr val="000000"/>
                </a:solidFill>
              </a:ln>
            </c:spPr>
          </c:dPt>
          <c:dPt>
            <c:idx val="893"/>
            <c:invertIfNegative val="1"/>
            <c:bubble3D val="0"/>
            <c:spPr>
              <a:solidFill>
                <a:srgbClr val="4285F4"/>
              </a:solidFill>
              <a:ln cmpd="sng">
                <a:solidFill>
                  <a:srgbClr val="000000"/>
                </a:solidFill>
              </a:ln>
            </c:spPr>
          </c:dPt>
          <c:dPt>
            <c:idx val="894"/>
            <c:invertIfNegative val="1"/>
            <c:bubble3D val="0"/>
            <c:spPr>
              <a:solidFill>
                <a:srgbClr val="4285F4"/>
              </a:solidFill>
              <a:ln cmpd="sng">
                <a:solidFill>
                  <a:srgbClr val="000000"/>
                </a:solidFill>
              </a:ln>
            </c:spPr>
          </c:dPt>
          <c:dPt>
            <c:idx val="895"/>
            <c:invertIfNegative val="1"/>
            <c:bubble3D val="0"/>
            <c:spPr>
              <a:solidFill>
                <a:srgbClr val="4285F4"/>
              </a:solidFill>
              <a:ln cmpd="sng">
                <a:solidFill>
                  <a:srgbClr val="000000"/>
                </a:solidFill>
              </a:ln>
            </c:spPr>
          </c:dPt>
          <c:dPt>
            <c:idx val="896"/>
            <c:invertIfNegative val="1"/>
            <c:bubble3D val="0"/>
            <c:spPr>
              <a:solidFill>
                <a:srgbClr val="4285F4"/>
              </a:solidFill>
              <a:ln cmpd="sng">
                <a:solidFill>
                  <a:srgbClr val="000000"/>
                </a:solidFill>
              </a:ln>
            </c:spPr>
          </c:dPt>
          <c:dPt>
            <c:idx val="897"/>
            <c:invertIfNegative val="1"/>
            <c:bubble3D val="0"/>
            <c:spPr>
              <a:solidFill>
                <a:srgbClr val="4285F4"/>
              </a:solidFill>
              <a:ln cmpd="sng">
                <a:solidFill>
                  <a:srgbClr val="000000"/>
                </a:solidFill>
              </a:ln>
            </c:spPr>
          </c:dPt>
          <c:dPt>
            <c:idx val="898"/>
            <c:invertIfNegative val="1"/>
            <c:bubble3D val="0"/>
            <c:spPr>
              <a:solidFill>
                <a:srgbClr val="4285F4"/>
              </a:solidFill>
              <a:ln cmpd="sng">
                <a:solidFill>
                  <a:srgbClr val="000000"/>
                </a:solidFill>
              </a:ln>
            </c:spPr>
          </c:dPt>
          <c:dPt>
            <c:idx val="899"/>
            <c:invertIfNegative val="1"/>
            <c:bubble3D val="0"/>
            <c:spPr>
              <a:solidFill>
                <a:srgbClr val="4285F4"/>
              </a:solidFill>
              <a:ln cmpd="sng">
                <a:solidFill>
                  <a:srgbClr val="000000"/>
                </a:solidFill>
              </a:ln>
            </c:spPr>
          </c:dPt>
          <c:dPt>
            <c:idx val="900"/>
            <c:invertIfNegative val="1"/>
            <c:bubble3D val="0"/>
            <c:spPr>
              <a:solidFill>
                <a:srgbClr val="4285F4"/>
              </a:solidFill>
              <a:ln cmpd="sng">
                <a:solidFill>
                  <a:srgbClr val="000000"/>
                </a:solidFill>
              </a:ln>
            </c:spPr>
          </c:dPt>
          <c:dPt>
            <c:idx val="901"/>
            <c:invertIfNegative val="1"/>
            <c:bubble3D val="0"/>
            <c:spPr>
              <a:solidFill>
                <a:srgbClr val="4285F4"/>
              </a:solidFill>
              <a:ln cmpd="sng">
                <a:solidFill>
                  <a:srgbClr val="000000"/>
                </a:solidFill>
              </a:ln>
            </c:spPr>
          </c:dPt>
          <c:dPt>
            <c:idx val="902"/>
            <c:invertIfNegative val="1"/>
            <c:bubble3D val="0"/>
            <c:spPr>
              <a:solidFill>
                <a:srgbClr val="4285F4"/>
              </a:solidFill>
              <a:ln cmpd="sng">
                <a:solidFill>
                  <a:srgbClr val="000000"/>
                </a:solidFill>
              </a:ln>
            </c:spPr>
          </c:dPt>
          <c:dPt>
            <c:idx val="903"/>
            <c:invertIfNegative val="1"/>
            <c:bubble3D val="0"/>
            <c:spPr>
              <a:solidFill>
                <a:srgbClr val="4285F4"/>
              </a:solidFill>
              <a:ln cmpd="sng">
                <a:solidFill>
                  <a:srgbClr val="000000"/>
                </a:solidFill>
              </a:ln>
            </c:spPr>
          </c:dPt>
          <c:dPt>
            <c:idx val="904"/>
            <c:invertIfNegative val="1"/>
            <c:bubble3D val="0"/>
            <c:spPr>
              <a:solidFill>
                <a:srgbClr val="4285F4"/>
              </a:solidFill>
              <a:ln cmpd="sng">
                <a:solidFill>
                  <a:srgbClr val="000000"/>
                </a:solidFill>
              </a:ln>
            </c:spPr>
          </c:dPt>
          <c:dPt>
            <c:idx val="905"/>
            <c:invertIfNegative val="1"/>
            <c:bubble3D val="0"/>
            <c:spPr>
              <a:solidFill>
                <a:srgbClr val="4285F4"/>
              </a:solidFill>
              <a:ln cmpd="sng">
                <a:solidFill>
                  <a:srgbClr val="000000"/>
                </a:solidFill>
              </a:ln>
            </c:spPr>
          </c:dPt>
          <c:dPt>
            <c:idx val="906"/>
            <c:invertIfNegative val="1"/>
            <c:bubble3D val="0"/>
            <c:spPr>
              <a:solidFill>
                <a:srgbClr val="4285F4"/>
              </a:solidFill>
              <a:ln cmpd="sng">
                <a:solidFill>
                  <a:srgbClr val="000000"/>
                </a:solidFill>
              </a:ln>
            </c:spPr>
          </c:dPt>
          <c:dPt>
            <c:idx val="907"/>
            <c:invertIfNegative val="1"/>
            <c:bubble3D val="0"/>
            <c:spPr>
              <a:solidFill>
                <a:srgbClr val="4285F4"/>
              </a:solidFill>
              <a:ln cmpd="sng">
                <a:solidFill>
                  <a:srgbClr val="000000"/>
                </a:solidFill>
              </a:ln>
            </c:spPr>
          </c:dPt>
          <c:dPt>
            <c:idx val="908"/>
            <c:invertIfNegative val="1"/>
            <c:bubble3D val="0"/>
            <c:spPr>
              <a:solidFill>
                <a:srgbClr val="4285F4"/>
              </a:solidFill>
              <a:ln cmpd="sng">
                <a:solidFill>
                  <a:srgbClr val="000000"/>
                </a:solidFill>
              </a:ln>
            </c:spPr>
          </c:dPt>
          <c:dPt>
            <c:idx val="909"/>
            <c:invertIfNegative val="1"/>
            <c:bubble3D val="0"/>
            <c:spPr>
              <a:solidFill>
                <a:srgbClr val="4285F4"/>
              </a:solidFill>
              <a:ln cmpd="sng">
                <a:solidFill>
                  <a:srgbClr val="000000"/>
                </a:solidFill>
              </a:ln>
            </c:spPr>
          </c:dPt>
          <c:dPt>
            <c:idx val="910"/>
            <c:invertIfNegative val="1"/>
            <c:bubble3D val="0"/>
            <c:spPr>
              <a:solidFill>
                <a:srgbClr val="4285F4"/>
              </a:solidFill>
              <a:ln cmpd="sng">
                <a:solidFill>
                  <a:srgbClr val="000000"/>
                </a:solidFill>
              </a:ln>
            </c:spPr>
          </c:dPt>
          <c:dPt>
            <c:idx val="911"/>
            <c:invertIfNegative val="1"/>
            <c:bubble3D val="0"/>
            <c:spPr>
              <a:solidFill>
                <a:srgbClr val="4285F4"/>
              </a:solidFill>
              <a:ln cmpd="sng">
                <a:solidFill>
                  <a:srgbClr val="000000"/>
                </a:solidFill>
              </a:ln>
            </c:spPr>
          </c:dPt>
          <c:dPt>
            <c:idx val="912"/>
            <c:invertIfNegative val="1"/>
            <c:bubble3D val="0"/>
            <c:spPr>
              <a:solidFill>
                <a:srgbClr val="4285F4"/>
              </a:solidFill>
              <a:ln cmpd="sng">
                <a:solidFill>
                  <a:srgbClr val="000000"/>
                </a:solidFill>
              </a:ln>
            </c:spPr>
          </c:dPt>
          <c:dPt>
            <c:idx val="913"/>
            <c:invertIfNegative val="1"/>
            <c:bubble3D val="0"/>
            <c:spPr>
              <a:solidFill>
                <a:srgbClr val="4285F4"/>
              </a:solidFill>
              <a:ln cmpd="sng">
                <a:solidFill>
                  <a:srgbClr val="000000"/>
                </a:solidFill>
              </a:ln>
            </c:spPr>
          </c:dPt>
          <c:dPt>
            <c:idx val="914"/>
            <c:invertIfNegative val="1"/>
            <c:bubble3D val="0"/>
            <c:spPr>
              <a:solidFill>
                <a:srgbClr val="4285F4"/>
              </a:solidFill>
              <a:ln cmpd="sng">
                <a:solidFill>
                  <a:srgbClr val="000000"/>
                </a:solidFill>
              </a:ln>
            </c:spPr>
          </c:dPt>
          <c:dPt>
            <c:idx val="915"/>
            <c:invertIfNegative val="1"/>
            <c:bubble3D val="0"/>
            <c:spPr>
              <a:solidFill>
                <a:srgbClr val="4285F4"/>
              </a:solidFill>
              <a:ln cmpd="sng">
                <a:solidFill>
                  <a:srgbClr val="000000"/>
                </a:solidFill>
              </a:ln>
            </c:spPr>
          </c:dPt>
          <c:dPt>
            <c:idx val="916"/>
            <c:invertIfNegative val="1"/>
            <c:bubble3D val="0"/>
            <c:spPr>
              <a:solidFill>
                <a:srgbClr val="4285F4"/>
              </a:solidFill>
              <a:ln cmpd="sng">
                <a:solidFill>
                  <a:srgbClr val="000000"/>
                </a:solidFill>
              </a:ln>
            </c:spPr>
          </c:dPt>
          <c:dPt>
            <c:idx val="917"/>
            <c:invertIfNegative val="1"/>
            <c:bubble3D val="0"/>
            <c:spPr>
              <a:solidFill>
                <a:srgbClr val="4285F4"/>
              </a:solidFill>
              <a:ln cmpd="sng">
                <a:solidFill>
                  <a:srgbClr val="000000"/>
                </a:solidFill>
              </a:ln>
            </c:spPr>
          </c:dPt>
          <c:dPt>
            <c:idx val="918"/>
            <c:invertIfNegative val="1"/>
            <c:bubble3D val="0"/>
            <c:spPr>
              <a:solidFill>
                <a:srgbClr val="4285F4"/>
              </a:solidFill>
              <a:ln cmpd="sng">
                <a:solidFill>
                  <a:srgbClr val="000000"/>
                </a:solidFill>
              </a:ln>
            </c:spPr>
          </c:dPt>
          <c:dPt>
            <c:idx val="919"/>
            <c:invertIfNegative val="1"/>
            <c:bubble3D val="0"/>
            <c:spPr>
              <a:solidFill>
                <a:srgbClr val="4285F4"/>
              </a:solidFill>
              <a:ln cmpd="sng">
                <a:solidFill>
                  <a:srgbClr val="000000"/>
                </a:solidFill>
              </a:ln>
            </c:spPr>
          </c:dPt>
          <c:dPt>
            <c:idx val="920"/>
            <c:invertIfNegative val="1"/>
            <c:bubble3D val="0"/>
            <c:spPr>
              <a:solidFill>
                <a:srgbClr val="4285F4"/>
              </a:solidFill>
              <a:ln cmpd="sng">
                <a:solidFill>
                  <a:srgbClr val="000000"/>
                </a:solidFill>
              </a:ln>
            </c:spPr>
          </c:dPt>
          <c:dPt>
            <c:idx val="921"/>
            <c:invertIfNegative val="1"/>
            <c:bubble3D val="0"/>
            <c:spPr>
              <a:solidFill>
                <a:srgbClr val="4285F4"/>
              </a:solidFill>
              <a:ln cmpd="sng">
                <a:solidFill>
                  <a:srgbClr val="000000"/>
                </a:solidFill>
              </a:ln>
            </c:spPr>
          </c:dPt>
          <c:dPt>
            <c:idx val="922"/>
            <c:invertIfNegative val="1"/>
            <c:bubble3D val="0"/>
            <c:spPr>
              <a:solidFill>
                <a:srgbClr val="4285F4"/>
              </a:solidFill>
              <a:ln cmpd="sng">
                <a:solidFill>
                  <a:srgbClr val="000000"/>
                </a:solidFill>
              </a:ln>
            </c:spPr>
          </c:dPt>
          <c:dPt>
            <c:idx val="923"/>
            <c:invertIfNegative val="1"/>
            <c:bubble3D val="0"/>
            <c:spPr>
              <a:solidFill>
                <a:srgbClr val="4285F4"/>
              </a:solidFill>
              <a:ln cmpd="sng">
                <a:solidFill>
                  <a:srgbClr val="000000"/>
                </a:solidFill>
              </a:ln>
            </c:spPr>
          </c:dPt>
          <c:dPt>
            <c:idx val="924"/>
            <c:invertIfNegative val="1"/>
            <c:bubble3D val="0"/>
            <c:spPr>
              <a:solidFill>
                <a:srgbClr val="4285F4"/>
              </a:solidFill>
              <a:ln cmpd="sng">
                <a:solidFill>
                  <a:srgbClr val="000000"/>
                </a:solidFill>
              </a:ln>
            </c:spPr>
          </c:dPt>
          <c:dPt>
            <c:idx val="925"/>
            <c:invertIfNegative val="1"/>
            <c:bubble3D val="0"/>
            <c:spPr>
              <a:solidFill>
                <a:srgbClr val="4285F4"/>
              </a:solidFill>
              <a:ln cmpd="sng">
                <a:solidFill>
                  <a:srgbClr val="000000"/>
                </a:solidFill>
              </a:ln>
            </c:spPr>
          </c:dPt>
          <c:dPt>
            <c:idx val="926"/>
            <c:invertIfNegative val="1"/>
            <c:bubble3D val="0"/>
            <c:spPr>
              <a:solidFill>
                <a:srgbClr val="4285F4"/>
              </a:solidFill>
              <a:ln cmpd="sng">
                <a:solidFill>
                  <a:srgbClr val="000000"/>
                </a:solidFill>
              </a:ln>
            </c:spPr>
          </c:dPt>
          <c:dPt>
            <c:idx val="927"/>
            <c:invertIfNegative val="1"/>
            <c:bubble3D val="0"/>
            <c:spPr>
              <a:solidFill>
                <a:srgbClr val="4285F4"/>
              </a:solidFill>
              <a:ln cmpd="sng">
                <a:solidFill>
                  <a:srgbClr val="000000"/>
                </a:solidFill>
              </a:ln>
            </c:spPr>
          </c:dPt>
          <c:dPt>
            <c:idx val="928"/>
            <c:invertIfNegative val="1"/>
            <c:bubble3D val="0"/>
            <c:spPr>
              <a:solidFill>
                <a:srgbClr val="4285F4"/>
              </a:solidFill>
              <a:ln cmpd="sng">
                <a:solidFill>
                  <a:srgbClr val="000000"/>
                </a:solidFill>
              </a:ln>
            </c:spPr>
          </c:dPt>
          <c:dPt>
            <c:idx val="929"/>
            <c:invertIfNegative val="1"/>
            <c:bubble3D val="0"/>
            <c:spPr>
              <a:solidFill>
                <a:srgbClr val="4285F4"/>
              </a:solidFill>
              <a:ln cmpd="sng">
                <a:solidFill>
                  <a:srgbClr val="000000"/>
                </a:solidFill>
              </a:ln>
            </c:spPr>
          </c:dPt>
          <c:dPt>
            <c:idx val="930"/>
            <c:invertIfNegative val="1"/>
            <c:bubble3D val="0"/>
            <c:spPr>
              <a:solidFill>
                <a:srgbClr val="4285F4"/>
              </a:solidFill>
              <a:ln cmpd="sng">
                <a:solidFill>
                  <a:srgbClr val="000000"/>
                </a:solidFill>
              </a:ln>
            </c:spPr>
          </c:dPt>
          <c:dPt>
            <c:idx val="931"/>
            <c:invertIfNegative val="1"/>
            <c:bubble3D val="0"/>
            <c:spPr>
              <a:solidFill>
                <a:srgbClr val="4285F4"/>
              </a:solidFill>
              <a:ln cmpd="sng">
                <a:solidFill>
                  <a:srgbClr val="000000"/>
                </a:solidFill>
              </a:ln>
            </c:spPr>
          </c:dPt>
          <c:dPt>
            <c:idx val="932"/>
            <c:invertIfNegative val="1"/>
            <c:bubble3D val="0"/>
            <c:spPr>
              <a:solidFill>
                <a:srgbClr val="4285F4"/>
              </a:solidFill>
              <a:ln cmpd="sng">
                <a:solidFill>
                  <a:srgbClr val="000000"/>
                </a:solidFill>
              </a:ln>
            </c:spPr>
          </c:dPt>
          <c:dPt>
            <c:idx val="933"/>
            <c:invertIfNegative val="1"/>
            <c:bubble3D val="0"/>
            <c:spPr>
              <a:solidFill>
                <a:srgbClr val="4285F4"/>
              </a:solidFill>
              <a:ln cmpd="sng">
                <a:solidFill>
                  <a:srgbClr val="000000"/>
                </a:solidFill>
              </a:ln>
            </c:spPr>
          </c:dPt>
          <c:dPt>
            <c:idx val="934"/>
            <c:invertIfNegative val="1"/>
            <c:bubble3D val="0"/>
            <c:spPr>
              <a:solidFill>
                <a:srgbClr val="4285F4"/>
              </a:solidFill>
              <a:ln cmpd="sng">
                <a:solidFill>
                  <a:srgbClr val="000000"/>
                </a:solidFill>
              </a:ln>
            </c:spPr>
          </c:dPt>
          <c:dPt>
            <c:idx val="935"/>
            <c:invertIfNegative val="1"/>
            <c:bubble3D val="0"/>
            <c:spPr>
              <a:solidFill>
                <a:srgbClr val="4285F4"/>
              </a:solidFill>
              <a:ln cmpd="sng">
                <a:solidFill>
                  <a:srgbClr val="000000"/>
                </a:solidFill>
              </a:ln>
            </c:spPr>
          </c:dPt>
          <c:dPt>
            <c:idx val="936"/>
            <c:invertIfNegative val="1"/>
            <c:bubble3D val="0"/>
            <c:spPr>
              <a:solidFill>
                <a:srgbClr val="4285F4"/>
              </a:solidFill>
              <a:ln cmpd="sng">
                <a:solidFill>
                  <a:srgbClr val="000000"/>
                </a:solidFill>
              </a:ln>
            </c:spPr>
          </c:dPt>
          <c:dPt>
            <c:idx val="937"/>
            <c:invertIfNegative val="1"/>
            <c:bubble3D val="0"/>
            <c:spPr>
              <a:solidFill>
                <a:srgbClr val="4285F4"/>
              </a:solidFill>
              <a:ln cmpd="sng">
                <a:solidFill>
                  <a:srgbClr val="000000"/>
                </a:solidFill>
              </a:ln>
            </c:spPr>
          </c:dPt>
          <c:dPt>
            <c:idx val="938"/>
            <c:invertIfNegative val="1"/>
            <c:bubble3D val="0"/>
            <c:spPr>
              <a:solidFill>
                <a:srgbClr val="4285F4"/>
              </a:solidFill>
              <a:ln cmpd="sng">
                <a:solidFill>
                  <a:srgbClr val="000000"/>
                </a:solidFill>
              </a:ln>
            </c:spPr>
          </c:dPt>
          <c:dPt>
            <c:idx val="939"/>
            <c:invertIfNegative val="1"/>
            <c:bubble3D val="0"/>
            <c:spPr>
              <a:solidFill>
                <a:srgbClr val="4285F4"/>
              </a:solidFill>
              <a:ln cmpd="sng">
                <a:solidFill>
                  <a:srgbClr val="000000"/>
                </a:solidFill>
              </a:ln>
            </c:spPr>
          </c:dPt>
          <c:dPt>
            <c:idx val="940"/>
            <c:invertIfNegative val="1"/>
            <c:bubble3D val="0"/>
            <c:spPr>
              <a:solidFill>
                <a:srgbClr val="4285F4"/>
              </a:solidFill>
              <a:ln cmpd="sng">
                <a:solidFill>
                  <a:srgbClr val="000000"/>
                </a:solidFill>
              </a:ln>
            </c:spPr>
          </c:dPt>
          <c:dPt>
            <c:idx val="941"/>
            <c:invertIfNegative val="1"/>
            <c:bubble3D val="0"/>
            <c:spPr>
              <a:solidFill>
                <a:srgbClr val="4285F4"/>
              </a:solidFill>
              <a:ln cmpd="sng">
                <a:solidFill>
                  <a:srgbClr val="000000"/>
                </a:solidFill>
              </a:ln>
            </c:spPr>
          </c:dPt>
          <c:dPt>
            <c:idx val="942"/>
            <c:invertIfNegative val="1"/>
            <c:bubble3D val="0"/>
            <c:spPr>
              <a:solidFill>
                <a:srgbClr val="4285F4"/>
              </a:solidFill>
              <a:ln cmpd="sng">
                <a:solidFill>
                  <a:srgbClr val="000000"/>
                </a:solidFill>
              </a:ln>
            </c:spPr>
          </c:dPt>
          <c:dPt>
            <c:idx val="943"/>
            <c:invertIfNegative val="1"/>
            <c:bubble3D val="0"/>
            <c:spPr>
              <a:solidFill>
                <a:srgbClr val="4285F4"/>
              </a:solidFill>
              <a:ln cmpd="sng">
                <a:solidFill>
                  <a:srgbClr val="000000"/>
                </a:solidFill>
              </a:ln>
            </c:spPr>
          </c:dPt>
          <c:dPt>
            <c:idx val="944"/>
            <c:invertIfNegative val="1"/>
            <c:bubble3D val="0"/>
            <c:spPr>
              <a:solidFill>
                <a:srgbClr val="4285F4"/>
              </a:solidFill>
              <a:ln cmpd="sng">
                <a:solidFill>
                  <a:srgbClr val="000000"/>
                </a:solidFill>
              </a:ln>
            </c:spPr>
          </c:dPt>
          <c:dPt>
            <c:idx val="945"/>
            <c:invertIfNegative val="1"/>
            <c:bubble3D val="0"/>
            <c:spPr>
              <a:solidFill>
                <a:srgbClr val="4285F4"/>
              </a:solidFill>
              <a:ln cmpd="sng">
                <a:solidFill>
                  <a:srgbClr val="000000"/>
                </a:solidFill>
              </a:ln>
            </c:spPr>
          </c:dPt>
          <c:dPt>
            <c:idx val="946"/>
            <c:invertIfNegative val="1"/>
            <c:bubble3D val="0"/>
            <c:spPr>
              <a:solidFill>
                <a:srgbClr val="4285F4"/>
              </a:solidFill>
              <a:ln cmpd="sng">
                <a:solidFill>
                  <a:srgbClr val="000000"/>
                </a:solidFill>
              </a:ln>
            </c:spPr>
          </c:dPt>
          <c:dPt>
            <c:idx val="947"/>
            <c:invertIfNegative val="1"/>
            <c:bubble3D val="0"/>
            <c:spPr>
              <a:solidFill>
                <a:srgbClr val="4285F4"/>
              </a:solidFill>
              <a:ln cmpd="sng">
                <a:solidFill>
                  <a:srgbClr val="000000"/>
                </a:solidFill>
              </a:ln>
            </c:spPr>
          </c:dPt>
          <c:dPt>
            <c:idx val="948"/>
            <c:invertIfNegative val="1"/>
            <c:bubble3D val="0"/>
            <c:spPr>
              <a:solidFill>
                <a:srgbClr val="4285F4"/>
              </a:solidFill>
              <a:ln cmpd="sng">
                <a:solidFill>
                  <a:srgbClr val="000000"/>
                </a:solidFill>
              </a:ln>
            </c:spPr>
          </c:dPt>
          <c:dPt>
            <c:idx val="949"/>
            <c:invertIfNegative val="1"/>
            <c:bubble3D val="0"/>
            <c:spPr>
              <a:solidFill>
                <a:srgbClr val="4285F4"/>
              </a:solidFill>
              <a:ln cmpd="sng">
                <a:solidFill>
                  <a:srgbClr val="000000"/>
                </a:solidFill>
              </a:ln>
            </c:spPr>
          </c:dPt>
          <c:dPt>
            <c:idx val="950"/>
            <c:invertIfNegative val="1"/>
            <c:bubble3D val="0"/>
            <c:spPr>
              <a:solidFill>
                <a:srgbClr val="4285F4"/>
              </a:solidFill>
              <a:ln cmpd="sng">
                <a:solidFill>
                  <a:srgbClr val="000000"/>
                </a:solidFill>
              </a:ln>
            </c:spPr>
          </c:dPt>
          <c:dPt>
            <c:idx val="951"/>
            <c:invertIfNegative val="1"/>
            <c:bubble3D val="0"/>
            <c:spPr>
              <a:solidFill>
                <a:srgbClr val="4285F4"/>
              </a:solidFill>
              <a:ln cmpd="sng">
                <a:solidFill>
                  <a:srgbClr val="000000"/>
                </a:solidFill>
              </a:ln>
            </c:spPr>
          </c:dPt>
          <c:dPt>
            <c:idx val="952"/>
            <c:invertIfNegative val="1"/>
            <c:bubble3D val="0"/>
            <c:spPr>
              <a:solidFill>
                <a:srgbClr val="4285F4"/>
              </a:solidFill>
              <a:ln cmpd="sng">
                <a:solidFill>
                  <a:srgbClr val="000000"/>
                </a:solidFill>
              </a:ln>
            </c:spPr>
          </c:dPt>
          <c:dPt>
            <c:idx val="953"/>
            <c:invertIfNegative val="1"/>
            <c:bubble3D val="0"/>
            <c:spPr>
              <a:solidFill>
                <a:srgbClr val="4285F4"/>
              </a:solidFill>
              <a:ln cmpd="sng">
                <a:solidFill>
                  <a:srgbClr val="000000"/>
                </a:solidFill>
              </a:ln>
            </c:spPr>
          </c:dPt>
          <c:dPt>
            <c:idx val="954"/>
            <c:invertIfNegative val="1"/>
            <c:bubble3D val="0"/>
            <c:spPr>
              <a:solidFill>
                <a:srgbClr val="4285F4"/>
              </a:solidFill>
              <a:ln cmpd="sng">
                <a:solidFill>
                  <a:srgbClr val="000000"/>
                </a:solidFill>
              </a:ln>
            </c:spPr>
          </c:dPt>
          <c:dPt>
            <c:idx val="955"/>
            <c:invertIfNegative val="1"/>
            <c:bubble3D val="0"/>
            <c:spPr>
              <a:solidFill>
                <a:srgbClr val="4285F4"/>
              </a:solidFill>
              <a:ln cmpd="sng">
                <a:solidFill>
                  <a:srgbClr val="000000"/>
                </a:solidFill>
              </a:ln>
            </c:spPr>
          </c:dPt>
          <c:dPt>
            <c:idx val="956"/>
            <c:invertIfNegative val="1"/>
            <c:bubble3D val="0"/>
            <c:spPr>
              <a:solidFill>
                <a:srgbClr val="4285F4"/>
              </a:solidFill>
              <a:ln cmpd="sng">
                <a:solidFill>
                  <a:srgbClr val="000000"/>
                </a:solidFill>
              </a:ln>
            </c:spPr>
          </c:dPt>
          <c:dPt>
            <c:idx val="957"/>
            <c:invertIfNegative val="1"/>
            <c:bubble3D val="0"/>
            <c:spPr>
              <a:solidFill>
                <a:srgbClr val="4285F4"/>
              </a:solidFill>
              <a:ln cmpd="sng">
                <a:solidFill>
                  <a:srgbClr val="000000"/>
                </a:solidFill>
              </a:ln>
            </c:spPr>
          </c:dPt>
          <c:dPt>
            <c:idx val="958"/>
            <c:invertIfNegative val="1"/>
            <c:bubble3D val="0"/>
            <c:spPr>
              <a:solidFill>
                <a:srgbClr val="4285F4"/>
              </a:solidFill>
              <a:ln cmpd="sng">
                <a:solidFill>
                  <a:srgbClr val="000000"/>
                </a:solidFill>
              </a:ln>
            </c:spPr>
          </c:dPt>
          <c:dPt>
            <c:idx val="959"/>
            <c:invertIfNegative val="1"/>
            <c:bubble3D val="0"/>
            <c:spPr>
              <a:solidFill>
                <a:srgbClr val="4285F4"/>
              </a:solidFill>
              <a:ln cmpd="sng">
                <a:solidFill>
                  <a:srgbClr val="000000"/>
                </a:solidFill>
              </a:ln>
            </c:spPr>
          </c:dPt>
          <c:dPt>
            <c:idx val="960"/>
            <c:invertIfNegative val="1"/>
            <c:bubble3D val="0"/>
            <c:spPr>
              <a:solidFill>
                <a:srgbClr val="4285F4"/>
              </a:solidFill>
              <a:ln cmpd="sng">
                <a:solidFill>
                  <a:srgbClr val="000000"/>
                </a:solidFill>
              </a:ln>
            </c:spPr>
          </c:dPt>
          <c:dPt>
            <c:idx val="961"/>
            <c:invertIfNegative val="1"/>
            <c:bubble3D val="0"/>
            <c:spPr>
              <a:solidFill>
                <a:srgbClr val="4285F4"/>
              </a:solidFill>
              <a:ln cmpd="sng">
                <a:solidFill>
                  <a:srgbClr val="000000"/>
                </a:solidFill>
              </a:ln>
            </c:spPr>
          </c:dPt>
          <c:dPt>
            <c:idx val="962"/>
            <c:invertIfNegative val="1"/>
            <c:bubble3D val="0"/>
            <c:spPr>
              <a:solidFill>
                <a:srgbClr val="4285F4"/>
              </a:solidFill>
              <a:ln cmpd="sng">
                <a:solidFill>
                  <a:srgbClr val="000000"/>
                </a:solidFill>
              </a:ln>
            </c:spPr>
          </c:dPt>
          <c:dPt>
            <c:idx val="963"/>
            <c:invertIfNegative val="1"/>
            <c:bubble3D val="0"/>
            <c:spPr>
              <a:solidFill>
                <a:srgbClr val="4285F4"/>
              </a:solidFill>
              <a:ln cmpd="sng">
                <a:solidFill>
                  <a:srgbClr val="000000"/>
                </a:solidFill>
              </a:ln>
            </c:spPr>
          </c:dPt>
          <c:dPt>
            <c:idx val="964"/>
            <c:invertIfNegative val="1"/>
            <c:bubble3D val="0"/>
            <c:spPr>
              <a:solidFill>
                <a:srgbClr val="4285F4"/>
              </a:solidFill>
              <a:ln cmpd="sng">
                <a:solidFill>
                  <a:srgbClr val="000000"/>
                </a:solidFill>
              </a:ln>
            </c:spPr>
          </c:dPt>
          <c:dPt>
            <c:idx val="965"/>
            <c:invertIfNegative val="1"/>
            <c:bubble3D val="0"/>
            <c:spPr>
              <a:solidFill>
                <a:srgbClr val="4285F4"/>
              </a:solidFill>
              <a:ln cmpd="sng">
                <a:solidFill>
                  <a:srgbClr val="000000"/>
                </a:solidFill>
              </a:ln>
            </c:spPr>
          </c:dPt>
          <c:dPt>
            <c:idx val="966"/>
            <c:invertIfNegative val="1"/>
            <c:bubble3D val="0"/>
            <c:spPr>
              <a:solidFill>
                <a:srgbClr val="4285F4"/>
              </a:solidFill>
              <a:ln cmpd="sng">
                <a:solidFill>
                  <a:srgbClr val="000000"/>
                </a:solidFill>
              </a:ln>
            </c:spPr>
          </c:dPt>
          <c:dPt>
            <c:idx val="967"/>
            <c:invertIfNegative val="1"/>
            <c:bubble3D val="0"/>
            <c:spPr>
              <a:solidFill>
                <a:srgbClr val="4285F4"/>
              </a:solidFill>
              <a:ln cmpd="sng">
                <a:solidFill>
                  <a:srgbClr val="000000"/>
                </a:solidFill>
              </a:ln>
            </c:spPr>
          </c:dPt>
          <c:dPt>
            <c:idx val="968"/>
            <c:invertIfNegative val="1"/>
            <c:bubble3D val="0"/>
            <c:spPr>
              <a:solidFill>
                <a:srgbClr val="4285F4"/>
              </a:solidFill>
              <a:ln cmpd="sng">
                <a:solidFill>
                  <a:srgbClr val="000000"/>
                </a:solidFill>
              </a:ln>
            </c:spPr>
          </c:dPt>
          <c:dPt>
            <c:idx val="969"/>
            <c:invertIfNegative val="1"/>
            <c:bubble3D val="0"/>
            <c:spPr>
              <a:solidFill>
                <a:srgbClr val="4285F4"/>
              </a:solidFill>
              <a:ln cmpd="sng">
                <a:solidFill>
                  <a:srgbClr val="000000"/>
                </a:solidFill>
              </a:ln>
            </c:spPr>
          </c:dPt>
          <c:dPt>
            <c:idx val="970"/>
            <c:invertIfNegative val="1"/>
            <c:bubble3D val="0"/>
            <c:spPr>
              <a:solidFill>
                <a:srgbClr val="4285F4"/>
              </a:solidFill>
              <a:ln cmpd="sng">
                <a:solidFill>
                  <a:srgbClr val="000000"/>
                </a:solidFill>
              </a:ln>
            </c:spPr>
          </c:dPt>
          <c:dPt>
            <c:idx val="971"/>
            <c:invertIfNegative val="1"/>
            <c:bubble3D val="0"/>
            <c:spPr>
              <a:solidFill>
                <a:srgbClr val="4285F4"/>
              </a:solidFill>
              <a:ln cmpd="sng">
                <a:solidFill>
                  <a:srgbClr val="000000"/>
                </a:solidFill>
              </a:ln>
            </c:spPr>
          </c:dPt>
          <c:dPt>
            <c:idx val="972"/>
            <c:invertIfNegative val="1"/>
            <c:bubble3D val="0"/>
            <c:spPr>
              <a:solidFill>
                <a:srgbClr val="4285F4"/>
              </a:solidFill>
              <a:ln cmpd="sng">
                <a:solidFill>
                  <a:srgbClr val="000000"/>
                </a:solidFill>
              </a:ln>
            </c:spPr>
          </c:dPt>
          <c:dPt>
            <c:idx val="973"/>
            <c:invertIfNegative val="1"/>
            <c:bubble3D val="0"/>
            <c:spPr>
              <a:solidFill>
                <a:srgbClr val="4285F4"/>
              </a:solidFill>
              <a:ln cmpd="sng">
                <a:solidFill>
                  <a:srgbClr val="000000"/>
                </a:solidFill>
              </a:ln>
            </c:spPr>
          </c:dPt>
          <c:dPt>
            <c:idx val="974"/>
            <c:invertIfNegative val="1"/>
            <c:bubble3D val="0"/>
            <c:spPr>
              <a:solidFill>
                <a:srgbClr val="4285F4"/>
              </a:solidFill>
              <a:ln cmpd="sng">
                <a:solidFill>
                  <a:srgbClr val="000000"/>
                </a:solidFill>
              </a:ln>
            </c:spPr>
          </c:dPt>
          <c:dPt>
            <c:idx val="975"/>
            <c:invertIfNegative val="1"/>
            <c:bubble3D val="0"/>
            <c:spPr>
              <a:solidFill>
                <a:srgbClr val="4285F4"/>
              </a:solidFill>
              <a:ln cmpd="sng">
                <a:solidFill>
                  <a:srgbClr val="000000"/>
                </a:solidFill>
              </a:ln>
            </c:spPr>
          </c:dPt>
          <c:dPt>
            <c:idx val="976"/>
            <c:invertIfNegative val="1"/>
            <c:bubble3D val="0"/>
            <c:spPr>
              <a:solidFill>
                <a:srgbClr val="4285F4"/>
              </a:solidFill>
              <a:ln cmpd="sng">
                <a:solidFill>
                  <a:srgbClr val="000000"/>
                </a:solidFill>
              </a:ln>
            </c:spPr>
          </c:dPt>
          <c:dPt>
            <c:idx val="977"/>
            <c:invertIfNegative val="1"/>
            <c:bubble3D val="0"/>
            <c:spPr>
              <a:solidFill>
                <a:srgbClr val="4285F4"/>
              </a:solidFill>
              <a:ln cmpd="sng">
                <a:solidFill>
                  <a:srgbClr val="000000"/>
                </a:solidFill>
              </a:ln>
            </c:spPr>
          </c:dPt>
          <c:dPt>
            <c:idx val="978"/>
            <c:invertIfNegative val="1"/>
            <c:bubble3D val="0"/>
            <c:spPr>
              <a:solidFill>
                <a:srgbClr val="4285F4"/>
              </a:solidFill>
              <a:ln cmpd="sng">
                <a:solidFill>
                  <a:srgbClr val="000000"/>
                </a:solidFill>
              </a:ln>
            </c:spPr>
          </c:dPt>
          <c:dPt>
            <c:idx val="979"/>
            <c:invertIfNegative val="1"/>
            <c:bubble3D val="0"/>
            <c:spPr>
              <a:solidFill>
                <a:srgbClr val="4285F4"/>
              </a:solidFill>
              <a:ln cmpd="sng">
                <a:solidFill>
                  <a:srgbClr val="000000"/>
                </a:solidFill>
              </a:ln>
            </c:spPr>
          </c:dPt>
          <c:dPt>
            <c:idx val="980"/>
            <c:invertIfNegative val="1"/>
            <c:bubble3D val="0"/>
            <c:spPr>
              <a:solidFill>
                <a:srgbClr val="4285F4"/>
              </a:solidFill>
              <a:ln cmpd="sng">
                <a:solidFill>
                  <a:srgbClr val="000000"/>
                </a:solidFill>
              </a:ln>
            </c:spPr>
          </c:dPt>
          <c:dPt>
            <c:idx val="981"/>
            <c:invertIfNegative val="1"/>
            <c:bubble3D val="0"/>
            <c:spPr>
              <a:solidFill>
                <a:srgbClr val="4285F4"/>
              </a:solidFill>
              <a:ln cmpd="sng">
                <a:solidFill>
                  <a:srgbClr val="000000"/>
                </a:solidFill>
              </a:ln>
            </c:spPr>
          </c:dPt>
          <c:dPt>
            <c:idx val="982"/>
            <c:invertIfNegative val="1"/>
            <c:bubble3D val="0"/>
            <c:spPr>
              <a:solidFill>
                <a:srgbClr val="4285F4"/>
              </a:solidFill>
              <a:ln cmpd="sng">
                <a:solidFill>
                  <a:srgbClr val="000000"/>
                </a:solidFill>
              </a:ln>
            </c:spPr>
          </c:dPt>
          <c:dPt>
            <c:idx val="983"/>
            <c:invertIfNegative val="1"/>
            <c:bubble3D val="0"/>
            <c:spPr>
              <a:solidFill>
                <a:srgbClr val="4285F4"/>
              </a:solidFill>
              <a:ln cmpd="sng">
                <a:solidFill>
                  <a:srgbClr val="000000"/>
                </a:solidFill>
              </a:ln>
            </c:spPr>
          </c:dPt>
          <c:dPt>
            <c:idx val="984"/>
            <c:invertIfNegative val="1"/>
            <c:bubble3D val="0"/>
            <c:spPr>
              <a:solidFill>
                <a:srgbClr val="4285F4"/>
              </a:solidFill>
              <a:ln cmpd="sng">
                <a:solidFill>
                  <a:srgbClr val="000000"/>
                </a:solidFill>
              </a:ln>
            </c:spPr>
          </c:dPt>
          <c:dPt>
            <c:idx val="985"/>
            <c:invertIfNegative val="1"/>
            <c:bubble3D val="0"/>
            <c:spPr>
              <a:solidFill>
                <a:srgbClr val="4285F4"/>
              </a:solidFill>
              <a:ln cmpd="sng">
                <a:solidFill>
                  <a:srgbClr val="000000"/>
                </a:solidFill>
              </a:ln>
            </c:spPr>
          </c:dPt>
          <c:dPt>
            <c:idx val="986"/>
            <c:invertIfNegative val="1"/>
            <c:bubble3D val="0"/>
            <c:spPr>
              <a:solidFill>
                <a:srgbClr val="4285F4"/>
              </a:solidFill>
              <a:ln cmpd="sng">
                <a:solidFill>
                  <a:srgbClr val="000000"/>
                </a:solidFill>
              </a:ln>
            </c:spPr>
          </c:dPt>
          <c:dPt>
            <c:idx val="987"/>
            <c:invertIfNegative val="1"/>
            <c:bubble3D val="0"/>
            <c:spPr>
              <a:solidFill>
                <a:srgbClr val="4285F4"/>
              </a:solidFill>
              <a:ln cmpd="sng">
                <a:solidFill>
                  <a:srgbClr val="000000"/>
                </a:solidFill>
              </a:ln>
            </c:spPr>
          </c:dPt>
          <c:dPt>
            <c:idx val="988"/>
            <c:invertIfNegative val="1"/>
            <c:bubble3D val="0"/>
            <c:spPr>
              <a:solidFill>
                <a:srgbClr val="4285F4"/>
              </a:solidFill>
              <a:ln cmpd="sng">
                <a:solidFill>
                  <a:srgbClr val="000000"/>
                </a:solidFill>
              </a:ln>
            </c:spPr>
          </c:dPt>
          <c:dPt>
            <c:idx val="989"/>
            <c:invertIfNegative val="1"/>
            <c:bubble3D val="0"/>
            <c:spPr>
              <a:solidFill>
                <a:srgbClr val="4285F4"/>
              </a:solidFill>
              <a:ln cmpd="sng">
                <a:solidFill>
                  <a:srgbClr val="000000"/>
                </a:solidFill>
              </a:ln>
            </c:spPr>
          </c:dPt>
          <c:dPt>
            <c:idx val="990"/>
            <c:invertIfNegative val="1"/>
            <c:bubble3D val="0"/>
            <c:spPr>
              <a:solidFill>
                <a:srgbClr val="4285F4"/>
              </a:solidFill>
              <a:ln cmpd="sng">
                <a:solidFill>
                  <a:srgbClr val="000000"/>
                </a:solidFill>
              </a:ln>
            </c:spPr>
          </c:dPt>
          <c:dPt>
            <c:idx val="991"/>
            <c:invertIfNegative val="1"/>
            <c:bubble3D val="0"/>
            <c:spPr>
              <a:solidFill>
                <a:srgbClr val="4285F4"/>
              </a:solidFill>
              <a:ln cmpd="sng">
                <a:solidFill>
                  <a:srgbClr val="000000"/>
                </a:solidFill>
              </a:ln>
            </c:spPr>
          </c:dPt>
          <c:dPt>
            <c:idx val="992"/>
            <c:invertIfNegative val="1"/>
            <c:bubble3D val="0"/>
            <c:spPr>
              <a:solidFill>
                <a:srgbClr val="4285F4"/>
              </a:solidFill>
              <a:ln cmpd="sng">
                <a:solidFill>
                  <a:srgbClr val="000000"/>
                </a:solidFill>
              </a:ln>
            </c:spPr>
          </c:dPt>
          <c:dPt>
            <c:idx val="993"/>
            <c:invertIfNegative val="1"/>
            <c:bubble3D val="0"/>
            <c:spPr>
              <a:solidFill>
                <a:srgbClr val="4285F4"/>
              </a:solidFill>
              <a:ln cmpd="sng">
                <a:solidFill>
                  <a:srgbClr val="000000"/>
                </a:solidFill>
              </a:ln>
            </c:spPr>
          </c:dPt>
          <c:dPt>
            <c:idx val="994"/>
            <c:invertIfNegative val="1"/>
            <c:bubble3D val="0"/>
            <c:spPr>
              <a:solidFill>
                <a:srgbClr val="4285F4"/>
              </a:solidFill>
              <a:ln cmpd="sng">
                <a:solidFill>
                  <a:srgbClr val="000000"/>
                </a:solidFill>
              </a:ln>
            </c:spPr>
          </c:dPt>
          <c:dPt>
            <c:idx val="995"/>
            <c:invertIfNegative val="1"/>
            <c:bubble3D val="0"/>
            <c:spPr>
              <a:solidFill>
                <a:srgbClr val="4285F4"/>
              </a:solidFill>
              <a:ln cmpd="sng">
                <a:solidFill>
                  <a:srgbClr val="000000"/>
                </a:solidFill>
              </a:ln>
            </c:spPr>
          </c:dPt>
          <c:dPt>
            <c:idx val="996"/>
            <c:invertIfNegative val="1"/>
            <c:bubble3D val="0"/>
            <c:spPr>
              <a:solidFill>
                <a:srgbClr val="4285F4"/>
              </a:solidFill>
              <a:ln cmpd="sng">
                <a:solidFill>
                  <a:srgbClr val="000000"/>
                </a:solidFill>
              </a:ln>
            </c:spPr>
          </c:dPt>
          <c:dPt>
            <c:idx val="997"/>
            <c:invertIfNegative val="1"/>
            <c:bubble3D val="0"/>
            <c:spPr>
              <a:solidFill>
                <a:srgbClr val="4285F4"/>
              </a:solidFill>
              <a:ln cmpd="sng">
                <a:solidFill>
                  <a:srgbClr val="000000"/>
                </a:solidFill>
              </a:ln>
            </c:spPr>
          </c:dPt>
          <c:dLbls>
            <c:delete val="1"/>
          </c:dLbls>
          <c:trendline>
            <c:spPr>
              <a:ln w="19050" cap="rnd" cmpd="sng" algn="ctr">
                <a:solidFill>
                  <a:srgbClr val="FF0000">
                    <a:alpha val="40000"/>
                  </a:srgbClr>
                </a:solidFill>
                <a:prstDash val="solid"/>
                <a:round/>
              </a:ln>
            </c:spPr>
            <c:trendlineType val="linear"/>
            <c:dispRSqr val="0"/>
            <c:dispEq val="0"/>
          </c:trendline>
          <c:cat>
            <c:numRef>
              <c:f>'Avaliação diária'!$A$3:$A$1000</c:f>
              <c:numCache>
                <c:formatCode>dd/mm/yyyy</c:formatCode>
                <c:ptCount val="998"/>
                <c:pt idx="0" c:formatCode="dd/mm/yyyy">
                  <c:v>45076</c:v>
                </c:pt>
                <c:pt idx="1" c:formatCode="dd/mm/yyyy">
                  <c:v>45077</c:v>
                </c:pt>
                <c:pt idx="2" c:formatCode="dd/mm/yyyy">
                  <c:v>45078</c:v>
                </c:pt>
                <c:pt idx="3" c:formatCode="dd/mm/yyyy">
                  <c:v>45079</c:v>
                </c:pt>
                <c:pt idx="4" c:formatCode="dd/mm/yyyy">
                  <c:v>45080</c:v>
                </c:pt>
                <c:pt idx="5" c:formatCode="dd/mm/yyyy">
                  <c:v>45081</c:v>
                </c:pt>
                <c:pt idx="6" c:formatCode="dd/mm/yyyy">
                  <c:v>45082</c:v>
                </c:pt>
                <c:pt idx="7" c:formatCode="dd/mm/yyyy">
                  <c:v>45083</c:v>
                </c:pt>
                <c:pt idx="8" c:formatCode="dd/mm/yyyy">
                  <c:v>45084</c:v>
                </c:pt>
                <c:pt idx="9" c:formatCode="dd/mm/yyyy">
                  <c:v>45085</c:v>
                </c:pt>
                <c:pt idx="10" c:formatCode="dd/mm/yyyy">
                  <c:v>45086</c:v>
                </c:pt>
                <c:pt idx="11" c:formatCode="dd/mm/yyyy">
                  <c:v>45087</c:v>
                </c:pt>
                <c:pt idx="12" c:formatCode="dd/mm/yyyy">
                  <c:v>45088</c:v>
                </c:pt>
                <c:pt idx="13" c:formatCode="dd/mm/yyyy">
                  <c:v>45089</c:v>
                </c:pt>
                <c:pt idx="14" c:formatCode="dd/mm/yyyy">
                  <c:v>45090</c:v>
                </c:pt>
                <c:pt idx="15" c:formatCode="dd/mm/yyyy">
                  <c:v>45091</c:v>
                </c:pt>
                <c:pt idx="16" c:formatCode="dd/mm/yyyy">
                  <c:v>45092</c:v>
                </c:pt>
                <c:pt idx="17" c:formatCode="dd/mm/yyyy">
                  <c:v>45093</c:v>
                </c:pt>
                <c:pt idx="18" c:formatCode="dd/mm/yyyy">
                  <c:v>45094</c:v>
                </c:pt>
                <c:pt idx="19" c:formatCode="dd/mm/yyyy">
                  <c:v>45095</c:v>
                </c:pt>
                <c:pt idx="20" c:formatCode="dd/mm/yyyy">
                  <c:v>45096</c:v>
                </c:pt>
                <c:pt idx="21" c:formatCode="dd/mm/yyyy">
                  <c:v>45097</c:v>
                </c:pt>
                <c:pt idx="22" c:formatCode="dd/mm/yyyy">
                  <c:v>45098</c:v>
                </c:pt>
                <c:pt idx="23" c:formatCode="dd/mm/yyyy">
                  <c:v>45099</c:v>
                </c:pt>
                <c:pt idx="24" c:formatCode="dd/mm/yyyy">
                  <c:v>45100</c:v>
                </c:pt>
                <c:pt idx="25" c:formatCode="dd/mm/yyyy">
                  <c:v>45101</c:v>
                </c:pt>
                <c:pt idx="26" c:formatCode="dd/mm/yyyy">
                  <c:v>45102</c:v>
                </c:pt>
                <c:pt idx="27" c:formatCode="dd/mm/yyyy">
                  <c:v>45103</c:v>
                </c:pt>
                <c:pt idx="28" c:formatCode="dd/mm/yyyy">
                  <c:v>45104</c:v>
                </c:pt>
                <c:pt idx="29" c:formatCode="dd/mm/yyyy">
                  <c:v>45105</c:v>
                </c:pt>
                <c:pt idx="30" c:formatCode="dd/mm/yyyy">
                  <c:v>45106</c:v>
                </c:pt>
                <c:pt idx="31" c:formatCode="dd/mm/yyyy">
                  <c:v>45107</c:v>
                </c:pt>
                <c:pt idx="32" c:formatCode="dd/mm/yyyy">
                  <c:v>45108</c:v>
                </c:pt>
                <c:pt idx="33" c:formatCode="dd/mm/yyyy">
                  <c:v>45109</c:v>
                </c:pt>
                <c:pt idx="34" c:formatCode="dd/mm/yyyy">
                  <c:v>45110</c:v>
                </c:pt>
                <c:pt idx="35" c:formatCode="dd/mm/yyyy">
                  <c:v>45111</c:v>
                </c:pt>
                <c:pt idx="36" c:formatCode="dd/mm/yyyy">
                  <c:v>45112</c:v>
                </c:pt>
                <c:pt idx="37" c:formatCode="dd/mm/yyyy">
                  <c:v>45113</c:v>
                </c:pt>
                <c:pt idx="38" c:formatCode="dd/mm/yyyy">
                  <c:v>45114</c:v>
                </c:pt>
                <c:pt idx="39" c:formatCode="dd/mm/yyyy">
                  <c:v>45115</c:v>
                </c:pt>
                <c:pt idx="40" c:formatCode="dd/mm/yyyy">
                  <c:v>45116</c:v>
                </c:pt>
                <c:pt idx="41" c:formatCode="dd/mm/yyyy">
                  <c:v>45117</c:v>
                </c:pt>
                <c:pt idx="42" c:formatCode="dd/mm/yyyy">
                  <c:v>45118</c:v>
                </c:pt>
                <c:pt idx="43" c:formatCode="dd/mm/yyyy">
                  <c:v>45119</c:v>
                </c:pt>
                <c:pt idx="44" c:formatCode="dd/mm/yyyy">
                  <c:v>45120</c:v>
                </c:pt>
                <c:pt idx="45" c:formatCode="dd/mm/yyyy">
                  <c:v>45121</c:v>
                </c:pt>
                <c:pt idx="46" c:formatCode="dd/mm/yyyy">
                  <c:v>45122</c:v>
                </c:pt>
                <c:pt idx="47" c:formatCode="dd/mm/yyyy">
                  <c:v>45123</c:v>
                </c:pt>
                <c:pt idx="48" c:formatCode="dd/mm/yyyy">
                  <c:v>45124</c:v>
                </c:pt>
                <c:pt idx="49" c:formatCode="dd/mm/yyyy">
                  <c:v>45125</c:v>
                </c:pt>
                <c:pt idx="50" c:formatCode="dd/mm/yyyy">
                  <c:v>45126</c:v>
                </c:pt>
                <c:pt idx="51" c:formatCode="dd/mm/yyyy">
                  <c:v>45127</c:v>
                </c:pt>
                <c:pt idx="52" c:formatCode="dd/mm/yyyy">
                  <c:v>45128</c:v>
                </c:pt>
                <c:pt idx="53" c:formatCode="dd/mm/yyyy">
                  <c:v>45129</c:v>
                </c:pt>
                <c:pt idx="54" c:formatCode="dd/mm/yyyy">
                  <c:v>45130</c:v>
                </c:pt>
                <c:pt idx="55" c:formatCode="dd/mm/yyyy">
                  <c:v>45131</c:v>
                </c:pt>
                <c:pt idx="56" c:formatCode="dd/mm/yyyy">
                  <c:v>45132</c:v>
                </c:pt>
                <c:pt idx="57" c:formatCode="dd/mm/yyyy">
                  <c:v>45133</c:v>
                </c:pt>
                <c:pt idx="58" c:formatCode="dd/mm/yyyy">
                  <c:v>45134</c:v>
                </c:pt>
                <c:pt idx="59" c:formatCode="dd/mm/yyyy">
                  <c:v>45135</c:v>
                </c:pt>
                <c:pt idx="60" c:formatCode="dd/mm/yyyy">
                  <c:v>45136</c:v>
                </c:pt>
                <c:pt idx="61" c:formatCode="dd/mm/yyyy">
                  <c:v>45137</c:v>
                </c:pt>
                <c:pt idx="62" c:formatCode="dd/mm/yyyy">
                  <c:v>45138</c:v>
                </c:pt>
                <c:pt idx="63" c:formatCode="dd/mm/yyyy">
                  <c:v>45139</c:v>
                </c:pt>
                <c:pt idx="64" c:formatCode="dd/mm/yyyy">
                  <c:v>45140</c:v>
                </c:pt>
                <c:pt idx="65" c:formatCode="dd/mm/yyyy">
                  <c:v>45141</c:v>
                </c:pt>
                <c:pt idx="66" c:formatCode="dd/mm/yyyy">
                  <c:v>45142</c:v>
                </c:pt>
                <c:pt idx="67" c:formatCode="dd/mm/yyyy">
                  <c:v>45143</c:v>
                </c:pt>
                <c:pt idx="68" c:formatCode="dd/mm/yyyy">
                  <c:v>45144</c:v>
                </c:pt>
                <c:pt idx="69" c:formatCode="dd/mm/yyyy">
                  <c:v>45145</c:v>
                </c:pt>
                <c:pt idx="70" c:formatCode="dd/mm/yyyy">
                  <c:v>45146</c:v>
                </c:pt>
                <c:pt idx="71" c:formatCode="dd/mm/yyyy">
                  <c:v>45147</c:v>
                </c:pt>
                <c:pt idx="72" c:formatCode="dd/mm/yyyy">
                  <c:v>45148</c:v>
                </c:pt>
                <c:pt idx="73" c:formatCode="dd/mm/yyyy">
                  <c:v>45149</c:v>
                </c:pt>
                <c:pt idx="74" c:formatCode="dd/mm/yyyy">
                  <c:v>45150</c:v>
                </c:pt>
                <c:pt idx="75" c:formatCode="dd/mm/yyyy">
                  <c:v>45151</c:v>
                </c:pt>
                <c:pt idx="76" c:formatCode="dd/mm/yyyy">
                  <c:v>45152</c:v>
                </c:pt>
                <c:pt idx="77" c:formatCode="dd/mm/yyyy">
                  <c:v>45153</c:v>
                </c:pt>
                <c:pt idx="78" c:formatCode="dd/mm/yyyy">
                  <c:v>45154</c:v>
                </c:pt>
                <c:pt idx="79" c:formatCode="dd/mm/yyyy">
                  <c:v>45155</c:v>
                </c:pt>
                <c:pt idx="80" c:formatCode="dd/mm/yyyy">
                  <c:v>45156</c:v>
                </c:pt>
                <c:pt idx="81" c:formatCode="dd/mm/yyyy">
                  <c:v>45157</c:v>
                </c:pt>
                <c:pt idx="82" c:formatCode="dd/mm/yyyy">
                  <c:v>45158</c:v>
                </c:pt>
                <c:pt idx="83" c:formatCode="dd/mm/yyyy">
                  <c:v>45159</c:v>
                </c:pt>
                <c:pt idx="84" c:formatCode="dd/mm/yyyy">
                  <c:v>45160</c:v>
                </c:pt>
                <c:pt idx="85" c:formatCode="dd/mm/yyyy">
                  <c:v>45161</c:v>
                </c:pt>
                <c:pt idx="86" c:formatCode="dd/mm/yyyy">
                  <c:v>45162</c:v>
                </c:pt>
                <c:pt idx="87" c:formatCode="dd/mm/yyyy">
                  <c:v>45163</c:v>
                </c:pt>
                <c:pt idx="88" c:formatCode="dd/mm/yyyy">
                  <c:v>45164</c:v>
                </c:pt>
                <c:pt idx="89" c:formatCode="dd/mm/yyyy">
                  <c:v>45165</c:v>
                </c:pt>
                <c:pt idx="90" c:formatCode="dd/mm/yyyy">
                  <c:v>45166</c:v>
                </c:pt>
                <c:pt idx="91" c:formatCode="dd/mm/yyyy">
                  <c:v>45167</c:v>
                </c:pt>
                <c:pt idx="92" c:formatCode="dd/mm/yyyy">
                  <c:v>45168</c:v>
                </c:pt>
                <c:pt idx="93" c:formatCode="dd/mm/yyyy">
                  <c:v>45169</c:v>
                </c:pt>
                <c:pt idx="94" c:formatCode="dd/mm/yyyy">
                  <c:v>45170</c:v>
                </c:pt>
                <c:pt idx="95" c:formatCode="dd/mm/yyyy">
                  <c:v>45171</c:v>
                </c:pt>
                <c:pt idx="96" c:formatCode="dd/mm/yyyy">
                  <c:v>45172</c:v>
                </c:pt>
                <c:pt idx="97" c:formatCode="dd/mm/yyyy">
                  <c:v>45173</c:v>
                </c:pt>
                <c:pt idx="98" c:formatCode="dd/mm/yyyy">
                  <c:v>45174</c:v>
                </c:pt>
                <c:pt idx="99" c:formatCode="dd/mm/yyyy">
                  <c:v>45175</c:v>
                </c:pt>
                <c:pt idx="100" c:formatCode="dd/mm/yyyy">
                  <c:v>45176</c:v>
                </c:pt>
                <c:pt idx="101" c:formatCode="dd/mm/yyyy">
                  <c:v>45177</c:v>
                </c:pt>
                <c:pt idx="102" c:formatCode="dd/mm/yyyy">
                  <c:v>45178</c:v>
                </c:pt>
                <c:pt idx="103" c:formatCode="dd/mm/yyyy">
                  <c:v>45179</c:v>
                </c:pt>
                <c:pt idx="104" c:formatCode="dd/mm/yyyy">
                  <c:v>45180</c:v>
                </c:pt>
                <c:pt idx="105" c:formatCode="dd/mm/yyyy">
                  <c:v>45181</c:v>
                </c:pt>
                <c:pt idx="106" c:formatCode="dd/mm/yyyy">
                  <c:v>45182</c:v>
                </c:pt>
                <c:pt idx="107" c:formatCode="dd/mm/yyyy">
                  <c:v>45183</c:v>
                </c:pt>
                <c:pt idx="108" c:formatCode="dd/mm/yyyy">
                  <c:v>45184</c:v>
                </c:pt>
                <c:pt idx="109" c:formatCode="dd/mm/yyyy">
                  <c:v>45185</c:v>
                </c:pt>
                <c:pt idx="110" c:formatCode="dd/mm/yyyy">
                  <c:v>45186</c:v>
                </c:pt>
                <c:pt idx="111" c:formatCode="dd/mm/yyyy">
                  <c:v>45187</c:v>
                </c:pt>
                <c:pt idx="112" c:formatCode="dd/mm/yyyy">
                  <c:v>45188</c:v>
                </c:pt>
                <c:pt idx="113" c:formatCode="dd/mm/yyyy">
                  <c:v>45189</c:v>
                </c:pt>
                <c:pt idx="114" c:formatCode="dd/mm/yyyy">
                  <c:v>45190</c:v>
                </c:pt>
                <c:pt idx="115" c:formatCode="dd/mm/yyyy">
                  <c:v>45191</c:v>
                </c:pt>
                <c:pt idx="116" c:formatCode="dd/mm/yyyy">
                  <c:v>45192</c:v>
                </c:pt>
                <c:pt idx="117" c:formatCode="dd/mm/yyyy">
                  <c:v>45193</c:v>
                </c:pt>
                <c:pt idx="118" c:formatCode="dd/mm/yyyy">
                  <c:v>45194</c:v>
                </c:pt>
                <c:pt idx="119" c:formatCode="dd/mm/yyyy">
                  <c:v>45195</c:v>
                </c:pt>
                <c:pt idx="120" c:formatCode="dd/mm/yyyy">
                  <c:v>45196</c:v>
                </c:pt>
                <c:pt idx="121" c:formatCode="dd/mm/yyyy">
                  <c:v>45197</c:v>
                </c:pt>
                <c:pt idx="122" c:formatCode="dd/mm/yyyy">
                  <c:v>45198</c:v>
                </c:pt>
                <c:pt idx="123" c:formatCode="dd/mm/yyyy">
                  <c:v>45199</c:v>
                </c:pt>
                <c:pt idx="124" c:formatCode="dd/mm/yyyy">
                  <c:v>45200</c:v>
                </c:pt>
                <c:pt idx="125" c:formatCode="dd/mm/yyyy">
                  <c:v>45201</c:v>
                </c:pt>
                <c:pt idx="126" c:formatCode="dd/mm/yyyy">
                  <c:v>45202</c:v>
                </c:pt>
                <c:pt idx="127" c:formatCode="dd/mm/yyyy">
                  <c:v>45203</c:v>
                </c:pt>
                <c:pt idx="128" c:formatCode="dd/mm/yyyy">
                  <c:v>45204</c:v>
                </c:pt>
                <c:pt idx="129" c:formatCode="dd/mm/yyyy">
                  <c:v>45205</c:v>
                </c:pt>
                <c:pt idx="130" c:formatCode="dd/mm/yyyy">
                  <c:v>45206</c:v>
                </c:pt>
                <c:pt idx="131" c:formatCode="dd/mm/yyyy">
                  <c:v>45207</c:v>
                </c:pt>
                <c:pt idx="132" c:formatCode="dd/mm/yyyy">
                  <c:v>45208</c:v>
                </c:pt>
                <c:pt idx="133" c:formatCode="d/m/yyyy">
                  <c:v>33887</c:v>
                </c:pt>
                <c:pt idx="134" c:formatCode="d/m/yyyy">
                  <c:v>33888</c:v>
                </c:pt>
                <c:pt idx="135" c:formatCode="d/m/yyyy">
                  <c:v>45211</c:v>
                </c:pt>
                <c:pt idx="136" c:formatCode="d/m/yyyy">
                  <c:v>45212</c:v>
                </c:pt>
                <c:pt idx="137" c:formatCode="d/m/yyyy">
                  <c:v>45213</c:v>
                </c:pt>
                <c:pt idx="138" c:formatCode="d/m/yyyy">
                  <c:v>45214</c:v>
                </c:pt>
                <c:pt idx="139" c:formatCode="d/m/yyyy">
                  <c:v>45215</c:v>
                </c:pt>
                <c:pt idx="140" c:formatCode="d/m/yyyy">
                  <c:v>45216</c:v>
                </c:pt>
                <c:pt idx="141" c:formatCode="d/m/yyyy">
                  <c:v>45217</c:v>
                </c:pt>
                <c:pt idx="142" c:formatCode="d/m/yyyy">
                  <c:v>45218</c:v>
                </c:pt>
                <c:pt idx="143" c:formatCode="d/m/yyyy">
                  <c:v>45219</c:v>
                </c:pt>
                <c:pt idx="144" c:formatCode="d/m/yyyy">
                  <c:v>45220</c:v>
                </c:pt>
                <c:pt idx="145" c:formatCode="d/m/yyyy">
                  <c:v>45221</c:v>
                </c:pt>
                <c:pt idx="146" c:formatCode="d/m/yyyy">
                  <c:v>45222</c:v>
                </c:pt>
                <c:pt idx="147" c:formatCode="d/m/yyyy">
                  <c:v>45223</c:v>
                </c:pt>
                <c:pt idx="148" c:formatCode="d/m/yyyy">
                  <c:v>45224</c:v>
                </c:pt>
                <c:pt idx="149" c:formatCode="d/m/yyyy">
                  <c:v>45225</c:v>
                </c:pt>
                <c:pt idx="150" c:formatCode="d/m/yyyy">
                  <c:v>45226</c:v>
                </c:pt>
                <c:pt idx="151" c:formatCode="d/m/yyyy">
                  <c:v>45227</c:v>
                </c:pt>
                <c:pt idx="152" c:formatCode="d/m/yyyy">
                  <c:v>45228</c:v>
                </c:pt>
                <c:pt idx="153" c:formatCode="d/m/yyyy">
                  <c:v>45229</c:v>
                </c:pt>
                <c:pt idx="154" c:formatCode="d/m/yyyy">
                  <c:v>45230</c:v>
                </c:pt>
                <c:pt idx="155" c:formatCode="dd/mm/yyyy">
                  <c:v>45231</c:v>
                </c:pt>
                <c:pt idx="156" c:formatCode="dd/mm/yyyy">
                  <c:v>45232</c:v>
                </c:pt>
                <c:pt idx="157" c:formatCode="dd/mm/yyyy">
                  <c:v>45233</c:v>
                </c:pt>
                <c:pt idx="158" c:formatCode="dd/mm/yyyy">
                  <c:v>45234</c:v>
                </c:pt>
                <c:pt idx="159" c:formatCode="dd/mm/yyyy">
                  <c:v>45235</c:v>
                </c:pt>
                <c:pt idx="160" c:formatCode="dd/mm/yyyy">
                  <c:v>45236</c:v>
                </c:pt>
                <c:pt idx="161" c:formatCode="dd/mm/yyyy">
                  <c:v>45237</c:v>
                </c:pt>
                <c:pt idx="162" c:formatCode="dd/mm/yyyy">
                  <c:v>45238</c:v>
                </c:pt>
                <c:pt idx="163" c:formatCode="dd/mm/yyyy">
                  <c:v>45239</c:v>
                </c:pt>
                <c:pt idx="164" c:formatCode="d/m/yyyy">
                  <c:v>45240</c:v>
                </c:pt>
                <c:pt idx="165" c:formatCode="d/m/yyyy">
                  <c:v>45241</c:v>
                </c:pt>
                <c:pt idx="166" c:formatCode="d/m/yyyy">
                  <c:v>45242</c:v>
                </c:pt>
                <c:pt idx="167" c:formatCode="d/m/yyyy">
                  <c:v>45243</c:v>
                </c:pt>
                <c:pt idx="168" c:formatCode="d/m/yyyy">
                  <c:v>45244</c:v>
                </c:pt>
                <c:pt idx="169" c:formatCode="d/m/yyyy">
                  <c:v>45245</c:v>
                </c:pt>
                <c:pt idx="170" c:formatCode="d/m/yyyy">
                  <c:v>45246</c:v>
                </c:pt>
                <c:pt idx="171" c:formatCode="d/m/yyyy">
                  <c:v>45247</c:v>
                </c:pt>
                <c:pt idx="172" c:formatCode="d/m/yyyy">
                  <c:v>45248</c:v>
                </c:pt>
                <c:pt idx="173" c:formatCode="d/m/yyyy">
                  <c:v>45249</c:v>
                </c:pt>
                <c:pt idx="174" c:formatCode="d/m/yyyy">
                  <c:v>45250</c:v>
                </c:pt>
                <c:pt idx="175" c:formatCode="d/m/yyyy">
                  <c:v>45251</c:v>
                </c:pt>
                <c:pt idx="176" c:formatCode="d/m/yyyy">
                  <c:v>45252</c:v>
                </c:pt>
                <c:pt idx="177" c:formatCode="d/m/yyyy">
                  <c:v>45253</c:v>
                </c:pt>
                <c:pt idx="178" c:formatCode="d/m/yyyy">
                  <c:v>45254</c:v>
                </c:pt>
                <c:pt idx="179" c:formatCode="d/m/yyyy">
                  <c:v>45255</c:v>
                </c:pt>
                <c:pt idx="180" c:formatCode="d/m/yyyy">
                  <c:v>45256</c:v>
                </c:pt>
                <c:pt idx="181" c:formatCode="d/m/yyyy">
                  <c:v>45257</c:v>
                </c:pt>
                <c:pt idx="182" c:formatCode="d/m/yyyy">
                  <c:v>45258</c:v>
                </c:pt>
                <c:pt idx="183" c:formatCode="d/m/yyyy">
                  <c:v>45259</c:v>
                </c:pt>
                <c:pt idx="184" c:formatCode="d/m/yyyy">
                  <c:v>45260</c:v>
                </c:pt>
                <c:pt idx="185" c:formatCode="dd/mm/yyyy">
                  <c:v>45627</c:v>
                </c:pt>
                <c:pt idx="186" c:formatCode="dd/mm/yyyy">
                  <c:v>45262</c:v>
                </c:pt>
                <c:pt idx="187" c:formatCode="dd/mm/yyyy">
                  <c:v>45263</c:v>
                </c:pt>
                <c:pt idx="188" c:formatCode="dd/mm/yyyy">
                  <c:v>45264</c:v>
                </c:pt>
                <c:pt idx="189" c:formatCode="dd/mm/yyyy">
                  <c:v>45265</c:v>
                </c:pt>
                <c:pt idx="190" c:formatCode="dd/mm/yyyy">
                  <c:v>45266</c:v>
                </c:pt>
                <c:pt idx="191" c:formatCode="dd/mm/yyyy">
                  <c:v>45267</c:v>
                </c:pt>
                <c:pt idx="192" c:formatCode="dd/mm/yyyy">
                  <c:v>45268</c:v>
                </c:pt>
                <c:pt idx="193" c:formatCode="dd/mm/yyyy">
                  <c:v>45269</c:v>
                </c:pt>
                <c:pt idx="194" c:formatCode="dd/mm/yyyy">
                  <c:v>45270</c:v>
                </c:pt>
                <c:pt idx="195" c:formatCode="dd/mm/yyyy">
                  <c:v>45271</c:v>
                </c:pt>
                <c:pt idx="196" c:formatCode="dd/mm/yyyy">
                  <c:v>45272</c:v>
                </c:pt>
                <c:pt idx="197" c:formatCode="dd/mm/yyyy">
                  <c:v>45273</c:v>
                </c:pt>
                <c:pt idx="198" c:formatCode="dd/mm/yyyy">
                  <c:v>45274</c:v>
                </c:pt>
                <c:pt idx="199" c:formatCode="d/m/yyyy">
                  <c:v>45275</c:v>
                </c:pt>
                <c:pt idx="200" c:formatCode="d/m/yyyy">
                  <c:v>45276</c:v>
                </c:pt>
                <c:pt idx="201" c:formatCode="d/m/yyyy">
                  <c:v>45277</c:v>
                </c:pt>
                <c:pt idx="202" c:formatCode="d/m/yyyy">
                  <c:v>45278</c:v>
                </c:pt>
                <c:pt idx="203" c:formatCode="d/m/yyyy">
                  <c:v>45279</c:v>
                </c:pt>
                <c:pt idx="204" c:formatCode="d/m/yyyy">
                  <c:v>45280</c:v>
                </c:pt>
                <c:pt idx="205" c:formatCode="d/m/yyyy">
                  <c:v>45281</c:v>
                </c:pt>
                <c:pt idx="206" c:formatCode="d/m/yyyy">
                  <c:v>45282</c:v>
                </c:pt>
                <c:pt idx="207" c:formatCode="d/m/yyyy">
                  <c:v>45283</c:v>
                </c:pt>
                <c:pt idx="208" c:formatCode="d/m/yyyy">
                  <c:v>45284</c:v>
                </c:pt>
                <c:pt idx="209" c:formatCode="d/m/yyyy">
                  <c:v>45285</c:v>
                </c:pt>
                <c:pt idx="210" c:formatCode="d/m/yyyy">
                  <c:v>45286</c:v>
                </c:pt>
                <c:pt idx="211" c:formatCode="d/m/yyyy">
                  <c:v>45287</c:v>
                </c:pt>
                <c:pt idx="212" c:formatCode="d/m/yyyy">
                  <c:v>45288</c:v>
                </c:pt>
                <c:pt idx="213" c:formatCode="d/m/yyyy">
                  <c:v>45289</c:v>
                </c:pt>
                <c:pt idx="214" c:formatCode="d/m/yyyy">
                  <c:v>45290</c:v>
                </c:pt>
                <c:pt idx="215" c:formatCode="d/m/yyyy">
                  <c:v>45291</c:v>
                </c:pt>
                <c:pt idx="216" c:formatCode="dd/mm/yyyy">
                  <c:v>45292</c:v>
                </c:pt>
                <c:pt idx="217" c:formatCode="dd/mm/yyyy">
                  <c:v>45293</c:v>
                </c:pt>
                <c:pt idx="218" c:formatCode="dd/mm/yyyy">
                  <c:v>45294</c:v>
                </c:pt>
                <c:pt idx="219" c:formatCode="dd/mm/yyyy">
                  <c:v>45295</c:v>
                </c:pt>
                <c:pt idx="220" c:formatCode="dd/mm/yyyy">
                  <c:v>44931</c:v>
                </c:pt>
                <c:pt idx="221" c:formatCode="dd/mm/yyyy">
                  <c:v>45297</c:v>
                </c:pt>
                <c:pt idx="222" c:formatCode="dd/mm/yyyy">
                  <c:v>45298</c:v>
                </c:pt>
                <c:pt idx="223" c:formatCode="dd/mm/yyyy">
                  <c:v>45299</c:v>
                </c:pt>
                <c:pt idx="224" c:formatCode="dd/mm/yyyy">
                  <c:v>45300</c:v>
                </c:pt>
                <c:pt idx="225" c:formatCode="dd/mm/yyyy">
                  <c:v>45301</c:v>
                </c:pt>
                <c:pt idx="226" c:formatCode="dd/mm/yyyy">
                  <c:v>45302</c:v>
                </c:pt>
                <c:pt idx="227" c:formatCode="dd/mm/yyyy">
                  <c:v>45303</c:v>
                </c:pt>
                <c:pt idx="228" c:formatCode="dd/mm/yyyy">
                  <c:v>45304</c:v>
                </c:pt>
                <c:pt idx="229" c:formatCode="dd/mm/yyyy">
                  <c:v>45305</c:v>
                </c:pt>
                <c:pt idx="230" c:formatCode="dd/mm/yyyy">
                  <c:v>45306</c:v>
                </c:pt>
                <c:pt idx="231" c:formatCode="dd/mm/yyyy">
                  <c:v>45307</c:v>
                </c:pt>
                <c:pt idx="232" c:formatCode="dd/mm/yyyy">
                  <c:v>45308</c:v>
                </c:pt>
                <c:pt idx="233" c:formatCode="dd/mm/yyyy">
                  <c:v>45309</c:v>
                </c:pt>
                <c:pt idx="234" c:formatCode="dd/mm/yyyy">
                  <c:v>45310</c:v>
                </c:pt>
                <c:pt idx="235" c:formatCode="dd/mm/yyyy">
                  <c:v>45311</c:v>
                </c:pt>
                <c:pt idx="236" c:formatCode="dd/mm/yyyy">
                  <c:v>45312</c:v>
                </c:pt>
                <c:pt idx="237" c:formatCode="dd/mm/yyyy">
                  <c:v>45313</c:v>
                </c:pt>
                <c:pt idx="238" c:formatCode="dd/mm/yyyy">
                  <c:v>45314</c:v>
                </c:pt>
                <c:pt idx="239" c:formatCode="dd/mm/yyyy">
                  <c:v>45315</c:v>
                </c:pt>
                <c:pt idx="240" c:formatCode="dd/mm/yyyy">
                  <c:v>45316</c:v>
                </c:pt>
                <c:pt idx="241" c:formatCode="dd/mm/yyyy">
                  <c:v>45317</c:v>
                </c:pt>
                <c:pt idx="242" c:formatCode="dd/mm/yyyy">
                  <c:v>45318</c:v>
                </c:pt>
                <c:pt idx="243" c:formatCode="dd/mm/yyyy">
                  <c:v>45319</c:v>
                </c:pt>
                <c:pt idx="244" c:formatCode="dd/mm/yyyy">
                  <c:v>45320</c:v>
                </c:pt>
                <c:pt idx="245" c:formatCode="dd/mm/yyyy">
                  <c:v>45321</c:v>
                </c:pt>
                <c:pt idx="246" c:formatCode="dd/mm/yyyy">
                  <c:v>45322</c:v>
                </c:pt>
                <c:pt idx="247" c:formatCode="dd/mm/yyyy">
                  <c:v>45323</c:v>
                </c:pt>
                <c:pt idx="248" c:formatCode="dd/mm/yyyy">
                  <c:v>45324</c:v>
                </c:pt>
                <c:pt idx="249" c:formatCode="dd/mm/yyyy">
                  <c:v>45325</c:v>
                </c:pt>
                <c:pt idx="250" c:formatCode="dd/mm/yyyy">
                  <c:v>45326</c:v>
                </c:pt>
                <c:pt idx="251" c:formatCode="dd/mm/yyyy">
                  <c:v>45327</c:v>
                </c:pt>
                <c:pt idx="252" c:formatCode="dd/mm/yyyy">
                  <c:v>45328</c:v>
                </c:pt>
                <c:pt idx="253" c:formatCode="dd/mm/yyyy">
                  <c:v>45329</c:v>
                </c:pt>
                <c:pt idx="254" c:formatCode="dd/mm/yyyy">
                  <c:v>45330</c:v>
                </c:pt>
                <c:pt idx="255" c:formatCode="dd/mm/yyyy">
                  <c:v>45331</c:v>
                </c:pt>
                <c:pt idx="256" c:formatCode="dd/mm/yyyy">
                  <c:v>45332</c:v>
                </c:pt>
                <c:pt idx="257" c:formatCode="dd/mm/yyyy">
                  <c:v>45333</c:v>
                </c:pt>
                <c:pt idx="258" c:formatCode="dd/mm/yyyy">
                  <c:v>45334</c:v>
                </c:pt>
                <c:pt idx="259" c:formatCode="dd/mm/yyyy">
                  <c:v>45335</c:v>
                </c:pt>
                <c:pt idx="260" c:formatCode="dd/mm/yyyy">
                  <c:v>45336</c:v>
                </c:pt>
                <c:pt idx="261" c:formatCode="dd/mm/yyyy">
                  <c:v>45337</c:v>
                </c:pt>
                <c:pt idx="262" c:formatCode="dd/mm/yyyy">
                  <c:v>45338</c:v>
                </c:pt>
                <c:pt idx="263" c:formatCode="dd/mm/yyyy">
                  <c:v>45339</c:v>
                </c:pt>
                <c:pt idx="264" c:formatCode="dd/mm/yyyy">
                  <c:v>45340</c:v>
                </c:pt>
                <c:pt idx="265" c:formatCode="dd/mm/yyyy">
                  <c:v>45341</c:v>
                </c:pt>
                <c:pt idx="266" c:formatCode="dd/mm/yyyy">
                  <c:v>45342</c:v>
                </c:pt>
                <c:pt idx="267" c:formatCode="dd/mm/yyyy">
                  <c:v>45343</c:v>
                </c:pt>
                <c:pt idx="268" c:formatCode="dd/mm/yyyy">
                  <c:v>45344</c:v>
                </c:pt>
                <c:pt idx="269" c:formatCode="dd/mm/yyyy">
                  <c:v>45345</c:v>
                </c:pt>
                <c:pt idx="270" c:formatCode="dd/mm/yyyy">
                  <c:v>45346</c:v>
                </c:pt>
                <c:pt idx="271" c:formatCode="dd/mm/yyyy">
                  <c:v>45347</c:v>
                </c:pt>
                <c:pt idx="272" c:formatCode="dd/mm/yyyy">
                  <c:v>45348</c:v>
                </c:pt>
                <c:pt idx="273" c:formatCode="dd/mm/yyyy">
                  <c:v>45349</c:v>
                </c:pt>
                <c:pt idx="274" c:formatCode="dd/mm/yyyy">
                  <c:v>45350</c:v>
                </c:pt>
                <c:pt idx="275" c:formatCode="dd/mm/yyyy">
                  <c:v>45351</c:v>
                </c:pt>
                <c:pt idx="276" c:formatCode="dd/mm/yyyy">
                  <c:v>45352</c:v>
                </c:pt>
                <c:pt idx="277" c:formatCode="dd/mm/yyyy">
                  <c:v>45353</c:v>
                </c:pt>
                <c:pt idx="278" c:formatCode="dd/mm/yyyy">
                  <c:v>45354</c:v>
                </c:pt>
                <c:pt idx="279" c:formatCode="dd/mm/yyyy">
                  <c:v>45355</c:v>
                </c:pt>
                <c:pt idx="280" c:formatCode="dd/mm/yyyy">
                  <c:v>45356</c:v>
                </c:pt>
                <c:pt idx="281" c:formatCode="dd/mm/yyyy">
                  <c:v>45357</c:v>
                </c:pt>
                <c:pt idx="282" c:formatCode="dd/mm/yyyy">
                  <c:v>45358</c:v>
                </c:pt>
                <c:pt idx="283" c:formatCode="dd/mm/yyyy">
                  <c:v>45359</c:v>
                </c:pt>
                <c:pt idx="284" c:formatCode="dd/mm/yyyy">
                  <c:v>45360</c:v>
                </c:pt>
                <c:pt idx="285" c:formatCode="dd/mm/yyyy">
                  <c:v>45361</c:v>
                </c:pt>
                <c:pt idx="286" c:formatCode="dd/mm/yyyy">
                  <c:v>45362</c:v>
                </c:pt>
                <c:pt idx="287" c:formatCode="dd/mm/yyyy">
                  <c:v>45363</c:v>
                </c:pt>
                <c:pt idx="288" c:formatCode="dd/mm/yyyy">
                  <c:v>45364</c:v>
                </c:pt>
                <c:pt idx="289" c:formatCode="dd/mm/yyyy">
                  <c:v>45365</c:v>
                </c:pt>
                <c:pt idx="290" c:formatCode="dd/mm/yyyy">
                  <c:v>45366</c:v>
                </c:pt>
                <c:pt idx="291" c:formatCode="dd/mm/yyyy">
                  <c:v>45367</c:v>
                </c:pt>
                <c:pt idx="292" c:formatCode="dd/mm/yyyy">
                  <c:v>45368</c:v>
                </c:pt>
                <c:pt idx="293" c:formatCode="dd/mm/yyyy">
                  <c:v>45369</c:v>
                </c:pt>
                <c:pt idx="294" c:formatCode="dd/mm/yyyy">
                  <c:v>45370</c:v>
                </c:pt>
                <c:pt idx="295" c:formatCode="dd/mm/yyyy">
                  <c:v>45371</c:v>
                </c:pt>
                <c:pt idx="296" c:formatCode="dd/mm/yyyy">
                  <c:v>45372</c:v>
                </c:pt>
                <c:pt idx="297" c:formatCode="dd/mm/yyyy">
                  <c:v>45373</c:v>
                </c:pt>
                <c:pt idx="298" c:formatCode="dd/mm/yyyy">
                  <c:v>45374</c:v>
                </c:pt>
                <c:pt idx="299" c:formatCode="dd/mm/yyyy">
                  <c:v>45375</c:v>
                </c:pt>
                <c:pt idx="300" c:formatCode="dd/mm/yyyy">
                  <c:v>45376</c:v>
                </c:pt>
                <c:pt idx="301" c:formatCode="dd/mm/yyyy">
                  <c:v>45377</c:v>
                </c:pt>
                <c:pt idx="302" c:formatCode="dd/mm/yyyy">
                  <c:v>45378</c:v>
                </c:pt>
                <c:pt idx="303" c:formatCode="dd/mm/yyyy">
                  <c:v>45379</c:v>
                </c:pt>
                <c:pt idx="304" c:formatCode="dd/mm/yyyy">
                  <c:v>45380</c:v>
                </c:pt>
                <c:pt idx="305" c:formatCode="dd/mm/yyyy">
                  <c:v>45381</c:v>
                </c:pt>
                <c:pt idx="306" c:formatCode="dd/mm/yyyy">
                  <c:v>45382</c:v>
                </c:pt>
                <c:pt idx="307" c:formatCode="dd/mm/yyyy">
                  <c:v>45383</c:v>
                </c:pt>
                <c:pt idx="308" c:formatCode="dd/mm/yyyy">
                  <c:v>45384</c:v>
                </c:pt>
                <c:pt idx="309" c:formatCode="dd/mm/yyyy">
                  <c:v>45385</c:v>
                </c:pt>
                <c:pt idx="310" c:formatCode="dd/mm/yyyy">
                  <c:v>45386</c:v>
                </c:pt>
                <c:pt idx="311" c:formatCode="dd/mm/yyyy">
                  <c:v>45387</c:v>
                </c:pt>
                <c:pt idx="312" c:formatCode="dd/mm/yyyy">
                  <c:v>45388</c:v>
                </c:pt>
                <c:pt idx="313" c:formatCode="dd/mm/yyyy">
                  <c:v>45389</c:v>
                </c:pt>
                <c:pt idx="314" c:formatCode="dd/mm/yyyy">
                  <c:v>45390</c:v>
                </c:pt>
                <c:pt idx="315" c:formatCode="dd/mm/yyyy">
                  <c:v>45391</c:v>
                </c:pt>
                <c:pt idx="316" c:formatCode="dd/mm/yyyy">
                  <c:v>45392</c:v>
                </c:pt>
                <c:pt idx="317" c:formatCode="dd/mm/yyyy">
                  <c:v>45393</c:v>
                </c:pt>
                <c:pt idx="318" c:formatCode="dd/mm/yyyy">
                  <c:v>45394</c:v>
                </c:pt>
                <c:pt idx="319" c:formatCode="dd/mm/yyyy">
                  <c:v>45395</c:v>
                </c:pt>
                <c:pt idx="320" c:formatCode="dd/mm/yyyy">
                  <c:v>45396</c:v>
                </c:pt>
                <c:pt idx="321" c:formatCode="dd/mm/yyyy">
                  <c:v>45397</c:v>
                </c:pt>
                <c:pt idx="322" c:formatCode="dd/mm/yyyy">
                  <c:v>45398</c:v>
                </c:pt>
                <c:pt idx="323" c:formatCode="dd/mm/yyyy">
                  <c:v>45399</c:v>
                </c:pt>
                <c:pt idx="324" c:formatCode="dd/mm/yyyy">
                  <c:v>45400</c:v>
                </c:pt>
                <c:pt idx="325" c:formatCode="dd/mm/yyyy">
                  <c:v>45401</c:v>
                </c:pt>
                <c:pt idx="326" c:formatCode="dd/mm/yyyy">
                  <c:v>45402</c:v>
                </c:pt>
                <c:pt idx="327" c:formatCode="dd/mm/yyyy">
                  <c:v>45403</c:v>
                </c:pt>
                <c:pt idx="328" c:formatCode="dd/mm/yyyy">
                  <c:v>45404</c:v>
                </c:pt>
                <c:pt idx="329" c:formatCode="dd/mm/yyyy">
                  <c:v>45405</c:v>
                </c:pt>
                <c:pt idx="330" c:formatCode="dd/mm/yyyy">
                  <c:v>45406</c:v>
                </c:pt>
                <c:pt idx="331" c:formatCode="dd/mm/yyyy">
                  <c:v>45407</c:v>
                </c:pt>
                <c:pt idx="332" c:formatCode="dd/mm/yyyy">
                  <c:v>45408</c:v>
                </c:pt>
                <c:pt idx="333" c:formatCode="dd/mm/yyyy">
                  <c:v>45409</c:v>
                </c:pt>
                <c:pt idx="334" c:formatCode="dd/mm/yyyy">
                  <c:v>45410</c:v>
                </c:pt>
                <c:pt idx="335" c:formatCode="dd/mm/yyyy">
                  <c:v>45411</c:v>
                </c:pt>
                <c:pt idx="336" c:formatCode="dd/mm/yyyy">
                  <c:v>45412</c:v>
                </c:pt>
                <c:pt idx="337" c:formatCode="dd/mm/yyyy">
                  <c:v>45413</c:v>
                </c:pt>
                <c:pt idx="338" c:formatCode="dd/mm/yyyy">
                  <c:v>45414</c:v>
                </c:pt>
                <c:pt idx="339" c:formatCode="dd/mm/yyyy">
                  <c:v>45415</c:v>
                </c:pt>
                <c:pt idx="340" c:formatCode="dd/mm/yyyy">
                  <c:v>45416</c:v>
                </c:pt>
                <c:pt idx="341" c:formatCode="dd/mm/yyyy">
                  <c:v>45417</c:v>
                </c:pt>
                <c:pt idx="342" c:formatCode="dd/mm/yyyy">
                  <c:v>45418</c:v>
                </c:pt>
                <c:pt idx="343" c:formatCode="dd/mm/yyyy">
                  <c:v>45419</c:v>
                </c:pt>
                <c:pt idx="344" c:formatCode="dd/mm/yyyy">
                  <c:v>45420</c:v>
                </c:pt>
                <c:pt idx="345" c:formatCode="dd/mm/yyyy">
                  <c:v>45421</c:v>
                </c:pt>
                <c:pt idx="346" c:formatCode="dd/mm/yyyy">
                  <c:v>45422</c:v>
                </c:pt>
                <c:pt idx="347" c:formatCode="dd/mm/yyyy">
                  <c:v>45423</c:v>
                </c:pt>
                <c:pt idx="348" c:formatCode="dd/mm/yyyy">
                  <c:v>45424</c:v>
                </c:pt>
                <c:pt idx="349" c:formatCode="dd/mm/yyyy">
                  <c:v>45425</c:v>
                </c:pt>
                <c:pt idx="350" c:formatCode="dd/mm/yyyy">
                  <c:v>45426</c:v>
                </c:pt>
                <c:pt idx="351" c:formatCode="dd/mm/yyyy">
                  <c:v>45427</c:v>
                </c:pt>
                <c:pt idx="352" c:formatCode="dd/mm/yyyy">
                  <c:v>45428</c:v>
                </c:pt>
                <c:pt idx="353" c:formatCode="dd/mm/yyyy">
                  <c:v>45429</c:v>
                </c:pt>
                <c:pt idx="354" c:formatCode="dd/mm/yyyy">
                  <c:v>45430</c:v>
                </c:pt>
                <c:pt idx="355" c:formatCode="dd/mm/yyyy">
                  <c:v>45431</c:v>
                </c:pt>
                <c:pt idx="356" c:formatCode="dd/mm/yyyy">
                  <c:v>45432</c:v>
                </c:pt>
                <c:pt idx="357" c:formatCode="dd/mm/yyyy">
                  <c:v>45433</c:v>
                </c:pt>
                <c:pt idx="358" c:formatCode="dd/mm/yyyy">
                  <c:v>45434</c:v>
                </c:pt>
                <c:pt idx="359" c:formatCode="dd/mm/yyyy">
                  <c:v>45435</c:v>
                </c:pt>
                <c:pt idx="360" c:formatCode="dd/mm/yyyy">
                  <c:v>45436</c:v>
                </c:pt>
                <c:pt idx="361" c:formatCode="dd/mm/yyyy">
                  <c:v>45437</c:v>
                </c:pt>
                <c:pt idx="362" c:formatCode="dd/mm/yyyy">
                  <c:v>45438</c:v>
                </c:pt>
                <c:pt idx="363" c:formatCode="dd/mm/yyyy">
                  <c:v>45439</c:v>
                </c:pt>
                <c:pt idx="364" c:formatCode="dd/mm/yyyy">
                  <c:v>45440</c:v>
                </c:pt>
                <c:pt idx="365" c:formatCode="dd/mm/yyyy">
                  <c:v>45441</c:v>
                </c:pt>
                <c:pt idx="366" c:formatCode="dd/mm/yyyy">
                  <c:v>45442</c:v>
                </c:pt>
                <c:pt idx="367" c:formatCode="dd/mm/yyyy">
                  <c:v>45443</c:v>
                </c:pt>
                <c:pt idx="368" c:formatCode="dd/mm/yyyy">
                  <c:v>45444</c:v>
                </c:pt>
                <c:pt idx="369" c:formatCode="dd/mm/yyyy">
                  <c:v>45445</c:v>
                </c:pt>
                <c:pt idx="370" c:formatCode="dd/mm/yyyy">
                  <c:v>45446</c:v>
                </c:pt>
                <c:pt idx="371" c:formatCode="dd/mm/yyyy">
                  <c:v>45447</c:v>
                </c:pt>
                <c:pt idx="372" c:formatCode="dd/mm/yyyy">
                  <c:v>45448</c:v>
                </c:pt>
                <c:pt idx="373" c:formatCode="dd/mm/yyyy">
                  <c:v>45449</c:v>
                </c:pt>
              </c:numCache>
            </c:numRef>
          </c:cat>
          <c:val>
            <c:numRef>
              <c:f>'Avaliação diária'!$D$3:$D$1000</c:f>
              <c:numCache>
                <c:formatCode>General</c:formatCode>
                <c:ptCount val="998"/>
                <c:pt idx="0">
                  <c:v>3</c:v>
                </c:pt>
                <c:pt idx="1">
                  <c:v>5</c:v>
                </c:pt>
                <c:pt idx="2">
                  <c:v>3</c:v>
                </c:pt>
                <c:pt idx="3">
                  <c:v>3</c:v>
                </c:pt>
                <c:pt idx="4">
                  <c:v>1</c:v>
                </c:pt>
                <c:pt idx="5">
                  <c:v>1</c:v>
                </c:pt>
                <c:pt idx="6">
                  <c:v>6</c:v>
                </c:pt>
                <c:pt idx="7">
                  <c:v>12</c:v>
                </c:pt>
                <c:pt idx="8">
                  <c:v>7</c:v>
                </c:pt>
                <c:pt idx="9">
                  <c:v>8</c:v>
                </c:pt>
                <c:pt idx="10">
                  <c:v>10</c:v>
                </c:pt>
                <c:pt idx="11">
                  <c:v>11</c:v>
                </c:pt>
                <c:pt idx="12">
                  <c:v>5</c:v>
                </c:pt>
                <c:pt idx="13">
                  <c:v>6</c:v>
                </c:pt>
                <c:pt idx="14">
                  <c:v>10</c:v>
                </c:pt>
                <c:pt idx="15">
                  <c:v>10</c:v>
                </c:pt>
                <c:pt idx="16">
                  <c:v>1</c:v>
                </c:pt>
                <c:pt idx="17">
                  <c:v>6</c:v>
                </c:pt>
                <c:pt idx="18">
                  <c:v>1</c:v>
                </c:pt>
                <c:pt idx="19">
                  <c:v>3</c:v>
                </c:pt>
                <c:pt idx="20">
                  <c:v>11</c:v>
                </c:pt>
                <c:pt idx="21">
                  <c:v>4</c:v>
                </c:pt>
                <c:pt idx="22">
                  <c:v>3</c:v>
                </c:pt>
                <c:pt idx="23">
                  <c:v>6</c:v>
                </c:pt>
                <c:pt idx="24">
                  <c:v>4</c:v>
                </c:pt>
                <c:pt idx="25">
                  <c:v>2</c:v>
                </c:pt>
                <c:pt idx="26">
                  <c:v>1</c:v>
                </c:pt>
                <c:pt idx="27">
                  <c:v>5</c:v>
                </c:pt>
                <c:pt idx="28">
                  <c:v>3</c:v>
                </c:pt>
                <c:pt idx="29">
                  <c:v>3</c:v>
                </c:pt>
                <c:pt idx="30">
                  <c:v>5</c:v>
                </c:pt>
                <c:pt idx="31">
                  <c:v>2</c:v>
                </c:pt>
                <c:pt idx="32">
                  <c:v>3</c:v>
                </c:pt>
                <c:pt idx="33">
                  <c:v>1</c:v>
                </c:pt>
                <c:pt idx="34">
                  <c:v>3</c:v>
                </c:pt>
                <c:pt idx="35">
                  <c:v>5</c:v>
                </c:pt>
                <c:pt idx="36">
                  <c:v>7</c:v>
                </c:pt>
                <c:pt idx="37">
                  <c:v>4</c:v>
                </c:pt>
                <c:pt idx="38">
                  <c:v>1</c:v>
                </c:pt>
                <c:pt idx="39">
                  <c:v>2</c:v>
                </c:pt>
                <c:pt idx="40">
                  <c:v>0</c:v>
                </c:pt>
                <c:pt idx="41">
                  <c:v>4</c:v>
                </c:pt>
                <c:pt idx="42">
                  <c:v>4</c:v>
                </c:pt>
                <c:pt idx="43">
                  <c:v>2</c:v>
                </c:pt>
                <c:pt idx="44">
                  <c:v>5</c:v>
                </c:pt>
                <c:pt idx="45">
                  <c:v>2</c:v>
                </c:pt>
                <c:pt idx="46">
                  <c:v>3</c:v>
                </c:pt>
                <c:pt idx="47">
                  <c:v>3</c:v>
                </c:pt>
                <c:pt idx="48">
                  <c:v>2</c:v>
                </c:pt>
                <c:pt idx="49">
                  <c:v>4</c:v>
                </c:pt>
                <c:pt idx="50">
                  <c:v>4</c:v>
                </c:pt>
                <c:pt idx="51">
                  <c:v>1</c:v>
                </c:pt>
                <c:pt idx="52">
                  <c:v>1</c:v>
                </c:pt>
                <c:pt idx="53">
                  <c:v>3</c:v>
                </c:pt>
                <c:pt idx="54">
                  <c:v>0</c:v>
                </c:pt>
                <c:pt idx="55">
                  <c:v>1</c:v>
                </c:pt>
                <c:pt idx="56">
                  <c:v>2</c:v>
                </c:pt>
                <c:pt idx="57">
                  <c:v>4</c:v>
                </c:pt>
                <c:pt idx="58">
                  <c:v>2</c:v>
                </c:pt>
                <c:pt idx="59">
                  <c:v>2</c:v>
                </c:pt>
                <c:pt idx="60">
                  <c:v>2</c:v>
                </c:pt>
                <c:pt idx="61">
                  <c:v>0</c:v>
                </c:pt>
                <c:pt idx="62">
                  <c:v>2</c:v>
                </c:pt>
                <c:pt idx="63">
                  <c:v>4</c:v>
                </c:pt>
                <c:pt idx="64">
                  <c:v>1</c:v>
                </c:pt>
                <c:pt idx="65">
                  <c:v>3</c:v>
                </c:pt>
                <c:pt idx="66">
                  <c:v>4</c:v>
                </c:pt>
                <c:pt idx="67">
                  <c:v>2</c:v>
                </c:pt>
                <c:pt idx="68">
                  <c:v>1</c:v>
                </c:pt>
                <c:pt idx="69">
                  <c:v>4</c:v>
                </c:pt>
                <c:pt idx="70">
                  <c:v>0</c:v>
                </c:pt>
                <c:pt idx="71">
                  <c:v>3</c:v>
                </c:pt>
                <c:pt idx="72">
                  <c:v>7</c:v>
                </c:pt>
                <c:pt idx="73">
                  <c:v>3</c:v>
                </c:pt>
                <c:pt idx="74">
                  <c:v>2</c:v>
                </c:pt>
                <c:pt idx="75">
                  <c:v>0</c:v>
                </c:pt>
                <c:pt idx="76">
                  <c:v>3</c:v>
                </c:pt>
                <c:pt idx="77">
                  <c:v>2</c:v>
                </c:pt>
                <c:pt idx="78">
                  <c:v>3</c:v>
                </c:pt>
                <c:pt idx="79">
                  <c:v>7</c:v>
                </c:pt>
                <c:pt idx="80">
                  <c:v>3</c:v>
                </c:pt>
                <c:pt idx="81">
                  <c:v>4</c:v>
                </c:pt>
                <c:pt idx="82">
                  <c:v>1</c:v>
                </c:pt>
                <c:pt idx="83">
                  <c:v>4</c:v>
                </c:pt>
                <c:pt idx="84">
                  <c:v>1</c:v>
                </c:pt>
                <c:pt idx="85">
                  <c:v>6</c:v>
                </c:pt>
                <c:pt idx="86">
                  <c:v>1</c:v>
                </c:pt>
                <c:pt idx="87">
                  <c:v>4</c:v>
                </c:pt>
                <c:pt idx="88">
                  <c:v>1</c:v>
                </c:pt>
                <c:pt idx="89">
                  <c:v>0</c:v>
                </c:pt>
                <c:pt idx="90">
                  <c:v>3</c:v>
                </c:pt>
                <c:pt idx="91">
                  <c:v>4</c:v>
                </c:pt>
                <c:pt idx="92">
                  <c:v>3</c:v>
                </c:pt>
                <c:pt idx="93">
                  <c:v>5</c:v>
                </c:pt>
                <c:pt idx="94">
                  <c:v>3</c:v>
                </c:pt>
                <c:pt idx="95">
                  <c:v>3</c:v>
                </c:pt>
                <c:pt idx="96">
                  <c:v>0</c:v>
                </c:pt>
                <c:pt idx="97">
                  <c:v>2</c:v>
                </c:pt>
                <c:pt idx="98">
                  <c:v>0</c:v>
                </c:pt>
                <c:pt idx="99">
                  <c:v>4</c:v>
                </c:pt>
                <c:pt idx="100">
                  <c:v>1</c:v>
                </c:pt>
                <c:pt idx="101">
                  <c:v>2</c:v>
                </c:pt>
                <c:pt idx="102">
                  <c:v>2</c:v>
                </c:pt>
                <c:pt idx="103">
                  <c:v>3</c:v>
                </c:pt>
                <c:pt idx="104">
                  <c:v>4</c:v>
                </c:pt>
                <c:pt idx="105">
                  <c:v>1</c:v>
                </c:pt>
                <c:pt idx="106">
                  <c:v>3</c:v>
                </c:pt>
                <c:pt idx="107">
                  <c:v>3</c:v>
                </c:pt>
                <c:pt idx="108">
                  <c:v>0</c:v>
                </c:pt>
                <c:pt idx="109">
                  <c:v>3</c:v>
                </c:pt>
                <c:pt idx="110">
                  <c:v>0</c:v>
                </c:pt>
                <c:pt idx="111">
                  <c:v>4</c:v>
                </c:pt>
                <c:pt idx="112">
                  <c:v>0</c:v>
                </c:pt>
                <c:pt idx="113">
                  <c:v>0</c:v>
                </c:pt>
                <c:pt idx="114">
                  <c:v>5</c:v>
                </c:pt>
                <c:pt idx="115">
                  <c:v>2</c:v>
                </c:pt>
                <c:pt idx="116">
                  <c:v>2</c:v>
                </c:pt>
                <c:pt idx="117">
                  <c:v>2</c:v>
                </c:pt>
                <c:pt idx="118">
                  <c:v>4</c:v>
                </c:pt>
                <c:pt idx="119">
                  <c:v>1</c:v>
                </c:pt>
                <c:pt idx="120">
                  <c:v>1</c:v>
                </c:pt>
                <c:pt idx="121">
                  <c:v>0</c:v>
                </c:pt>
                <c:pt idx="122">
                  <c:v>0</c:v>
                </c:pt>
                <c:pt idx="123">
                  <c:v>1</c:v>
                </c:pt>
                <c:pt idx="124">
                  <c:v>1</c:v>
                </c:pt>
                <c:pt idx="125">
                  <c:v>1</c:v>
                </c:pt>
                <c:pt idx="126">
                  <c:v>2</c:v>
                </c:pt>
                <c:pt idx="127">
                  <c:v>6</c:v>
                </c:pt>
                <c:pt idx="128">
                  <c:v>3</c:v>
                </c:pt>
                <c:pt idx="129">
                  <c:v>3</c:v>
                </c:pt>
                <c:pt idx="130">
                  <c:v>0</c:v>
                </c:pt>
                <c:pt idx="131">
                  <c:v>1</c:v>
                </c:pt>
                <c:pt idx="132">
                  <c:v>2</c:v>
                </c:pt>
                <c:pt idx="133">
                  <c:v>3</c:v>
                </c:pt>
                <c:pt idx="134">
                  <c:v>0</c:v>
                </c:pt>
                <c:pt idx="135">
                  <c:v>1</c:v>
                </c:pt>
                <c:pt idx="136">
                  <c:v>2</c:v>
                </c:pt>
                <c:pt idx="137">
                  <c:v>2</c:v>
                </c:pt>
                <c:pt idx="138">
                  <c:v>3</c:v>
                </c:pt>
                <c:pt idx="139">
                  <c:v>3</c:v>
                </c:pt>
                <c:pt idx="140">
                  <c:v>7</c:v>
                </c:pt>
                <c:pt idx="141">
                  <c:v>2</c:v>
                </c:pt>
                <c:pt idx="142">
                  <c:v>2</c:v>
                </c:pt>
                <c:pt idx="143">
                  <c:v>5</c:v>
                </c:pt>
                <c:pt idx="144">
                  <c:v>3</c:v>
                </c:pt>
                <c:pt idx="145">
                  <c:v>3</c:v>
                </c:pt>
                <c:pt idx="146">
                  <c:v>4</c:v>
                </c:pt>
                <c:pt idx="147">
                  <c:v>3</c:v>
                </c:pt>
                <c:pt idx="148">
                  <c:v>2</c:v>
                </c:pt>
                <c:pt idx="149">
                  <c:v>4</c:v>
                </c:pt>
                <c:pt idx="150">
                  <c:v>5</c:v>
                </c:pt>
                <c:pt idx="151">
                  <c:v>1</c:v>
                </c:pt>
                <c:pt idx="152">
                  <c:v>2</c:v>
                </c:pt>
                <c:pt idx="153">
                  <c:v>3</c:v>
                </c:pt>
                <c:pt idx="154">
                  <c:v>1</c:v>
                </c:pt>
                <c:pt idx="155">
                  <c:v>0</c:v>
                </c:pt>
                <c:pt idx="156">
                  <c:v>4</c:v>
                </c:pt>
                <c:pt idx="157">
                  <c:v>1</c:v>
                </c:pt>
                <c:pt idx="158">
                  <c:v>1</c:v>
                </c:pt>
                <c:pt idx="159">
                  <c:v>1</c:v>
                </c:pt>
                <c:pt idx="160">
                  <c:v>4</c:v>
                </c:pt>
                <c:pt idx="161">
                  <c:v>2</c:v>
                </c:pt>
                <c:pt idx="162">
                  <c:v>1</c:v>
                </c:pt>
                <c:pt idx="163">
                  <c:v>1</c:v>
                </c:pt>
                <c:pt idx="164">
                  <c:v>0</c:v>
                </c:pt>
                <c:pt idx="165">
                  <c:v>1</c:v>
                </c:pt>
                <c:pt idx="166">
                  <c:v>1</c:v>
                </c:pt>
                <c:pt idx="167">
                  <c:v>3</c:v>
                </c:pt>
                <c:pt idx="168">
                  <c:v>3</c:v>
                </c:pt>
                <c:pt idx="169">
                  <c:v>3</c:v>
                </c:pt>
                <c:pt idx="170">
                  <c:v>1</c:v>
                </c:pt>
                <c:pt idx="171">
                  <c:v>1</c:v>
                </c:pt>
                <c:pt idx="172">
                  <c:v>2</c:v>
                </c:pt>
                <c:pt idx="173">
                  <c:v>4</c:v>
                </c:pt>
                <c:pt idx="174">
                  <c:v>4</c:v>
                </c:pt>
                <c:pt idx="175">
                  <c:v>5</c:v>
                </c:pt>
                <c:pt idx="176">
                  <c:v>3</c:v>
                </c:pt>
                <c:pt idx="177">
                  <c:v>4</c:v>
                </c:pt>
                <c:pt idx="178">
                  <c:v>2</c:v>
                </c:pt>
                <c:pt idx="179">
                  <c:v>3</c:v>
                </c:pt>
                <c:pt idx="180">
                  <c:v>4</c:v>
                </c:pt>
                <c:pt idx="181">
                  <c:v>0</c:v>
                </c:pt>
                <c:pt idx="182">
                  <c:v>5</c:v>
                </c:pt>
                <c:pt idx="183">
                  <c:v>2</c:v>
                </c:pt>
                <c:pt idx="184">
                  <c:v>2</c:v>
                </c:pt>
                <c:pt idx="185">
                  <c:v>2</c:v>
                </c:pt>
                <c:pt idx="186">
                  <c:v>2</c:v>
                </c:pt>
                <c:pt idx="187">
                  <c:v>3</c:v>
                </c:pt>
                <c:pt idx="188">
                  <c:v>7</c:v>
                </c:pt>
                <c:pt idx="189">
                  <c:v>1</c:v>
                </c:pt>
                <c:pt idx="190">
                  <c:v>5</c:v>
                </c:pt>
                <c:pt idx="191">
                  <c:v>4</c:v>
                </c:pt>
                <c:pt idx="192">
                  <c:v>4</c:v>
                </c:pt>
                <c:pt idx="193">
                  <c:v>1</c:v>
                </c:pt>
                <c:pt idx="194">
                  <c:v>1</c:v>
                </c:pt>
                <c:pt idx="195">
                  <c:v>10</c:v>
                </c:pt>
                <c:pt idx="196">
                  <c:v>3</c:v>
                </c:pt>
                <c:pt idx="197">
                  <c:v>3</c:v>
                </c:pt>
                <c:pt idx="198">
                  <c:v>4</c:v>
                </c:pt>
                <c:pt idx="199">
                  <c:v>3</c:v>
                </c:pt>
                <c:pt idx="200">
                  <c:v>1</c:v>
                </c:pt>
                <c:pt idx="201">
                  <c:v>2</c:v>
                </c:pt>
                <c:pt idx="202">
                  <c:v>7</c:v>
                </c:pt>
                <c:pt idx="203">
                  <c:v>6</c:v>
                </c:pt>
                <c:pt idx="204">
                  <c:v>3</c:v>
                </c:pt>
                <c:pt idx="205">
                  <c:v>5</c:v>
                </c:pt>
                <c:pt idx="206">
                  <c:v>3</c:v>
                </c:pt>
                <c:pt idx="207">
                  <c:v>1</c:v>
                </c:pt>
                <c:pt idx="208">
                  <c:v>0</c:v>
                </c:pt>
                <c:pt idx="209">
                  <c:v>2</c:v>
                </c:pt>
                <c:pt idx="210">
                  <c:v>3</c:v>
                </c:pt>
                <c:pt idx="211">
                  <c:v>5</c:v>
                </c:pt>
                <c:pt idx="212">
                  <c:v>7</c:v>
                </c:pt>
                <c:pt idx="213">
                  <c:v>2</c:v>
                </c:pt>
                <c:pt idx="214">
                  <c:v>3</c:v>
                </c:pt>
                <c:pt idx="215">
                  <c:v>0</c:v>
                </c:pt>
                <c:pt idx="216">
                  <c:v>1</c:v>
                </c:pt>
                <c:pt idx="217">
                  <c:v>4</c:v>
                </c:pt>
                <c:pt idx="218">
                  <c:v>7</c:v>
                </c:pt>
                <c:pt idx="219">
                  <c:v>6</c:v>
                </c:pt>
                <c:pt idx="220">
                  <c:v>3</c:v>
                </c:pt>
                <c:pt idx="221">
                  <c:v>5</c:v>
                </c:pt>
                <c:pt idx="222">
                  <c:v>0</c:v>
                </c:pt>
                <c:pt idx="223">
                  <c:v>1</c:v>
                </c:pt>
                <c:pt idx="224">
                  <c:v>5</c:v>
                </c:pt>
                <c:pt idx="225">
                  <c:v>5</c:v>
                </c:pt>
                <c:pt idx="226">
                  <c:v>5</c:v>
                </c:pt>
                <c:pt idx="227">
                  <c:v>4</c:v>
                </c:pt>
                <c:pt idx="228">
                  <c:v>0</c:v>
                </c:pt>
                <c:pt idx="229">
                  <c:v>4</c:v>
                </c:pt>
                <c:pt idx="230">
                  <c:v>3</c:v>
                </c:pt>
                <c:pt idx="231">
                  <c:v>2</c:v>
                </c:pt>
                <c:pt idx="232">
                  <c:v>2</c:v>
                </c:pt>
                <c:pt idx="233">
                  <c:v>3</c:v>
                </c:pt>
                <c:pt idx="234">
                  <c:v>4</c:v>
                </c:pt>
                <c:pt idx="235">
                  <c:v>1</c:v>
                </c:pt>
                <c:pt idx="236">
                  <c:v>2</c:v>
                </c:pt>
                <c:pt idx="237">
                  <c:v>1</c:v>
                </c:pt>
                <c:pt idx="238">
                  <c:v>4</c:v>
                </c:pt>
                <c:pt idx="239">
                  <c:v>2</c:v>
                </c:pt>
                <c:pt idx="240">
                  <c:v>0</c:v>
                </c:pt>
                <c:pt idx="241">
                  <c:v>6</c:v>
                </c:pt>
                <c:pt idx="242">
                  <c:v>1</c:v>
                </c:pt>
                <c:pt idx="243">
                  <c:v>1</c:v>
                </c:pt>
                <c:pt idx="244">
                  <c:v>2</c:v>
                </c:pt>
                <c:pt idx="245">
                  <c:v>4</c:v>
                </c:pt>
                <c:pt idx="246">
                  <c:v>3</c:v>
                </c:pt>
                <c:pt idx="247">
                  <c:v>2</c:v>
                </c:pt>
                <c:pt idx="248">
                  <c:v>2</c:v>
                </c:pt>
                <c:pt idx="249">
                  <c:v>3</c:v>
                </c:pt>
                <c:pt idx="250">
                  <c:v>1</c:v>
                </c:pt>
                <c:pt idx="251">
                  <c:v>3</c:v>
                </c:pt>
                <c:pt idx="252">
                  <c:v>2</c:v>
                </c:pt>
                <c:pt idx="253">
                  <c:v>4</c:v>
                </c:pt>
                <c:pt idx="254">
                  <c:v>1</c:v>
                </c:pt>
                <c:pt idx="255">
                  <c:v>2</c:v>
                </c:pt>
                <c:pt idx="256">
                  <c:v>4</c:v>
                </c:pt>
                <c:pt idx="257">
                  <c:v>4</c:v>
                </c:pt>
                <c:pt idx="258">
                  <c:v>1</c:v>
                </c:pt>
                <c:pt idx="259">
                  <c:v>2</c:v>
                </c:pt>
                <c:pt idx="260">
                  <c:v>1</c:v>
                </c:pt>
                <c:pt idx="261">
                  <c:v>2</c:v>
                </c:pt>
                <c:pt idx="262">
                  <c:v>4</c:v>
                </c:pt>
                <c:pt idx="263">
                  <c:v>2</c:v>
                </c:pt>
                <c:pt idx="264">
                  <c:v>1</c:v>
                </c:pt>
                <c:pt idx="265">
                  <c:v>3</c:v>
                </c:pt>
                <c:pt idx="266">
                  <c:v>2</c:v>
                </c:pt>
                <c:pt idx="267">
                  <c:v>3</c:v>
                </c:pt>
                <c:pt idx="268">
                  <c:v>2</c:v>
                </c:pt>
                <c:pt idx="269">
                  <c:v>2</c:v>
                </c:pt>
                <c:pt idx="270">
                  <c:v>2</c:v>
                </c:pt>
                <c:pt idx="271">
                  <c:v>2</c:v>
                </c:pt>
                <c:pt idx="272">
                  <c:v>5</c:v>
                </c:pt>
                <c:pt idx="273">
                  <c:v>3</c:v>
                </c:pt>
                <c:pt idx="274">
                  <c:v>3</c:v>
                </c:pt>
                <c:pt idx="275">
                  <c:v>5</c:v>
                </c:pt>
                <c:pt idx="276">
                  <c:v>4</c:v>
                </c:pt>
                <c:pt idx="277">
                  <c:v>4</c:v>
                </c:pt>
                <c:pt idx="278">
                  <c:v>1</c:v>
                </c:pt>
                <c:pt idx="279">
                  <c:v>4</c:v>
                </c:pt>
                <c:pt idx="280">
                  <c:v>4</c:v>
                </c:pt>
                <c:pt idx="281">
                  <c:v>3</c:v>
                </c:pt>
                <c:pt idx="282">
                  <c:v>2</c:v>
                </c:pt>
                <c:pt idx="283">
                  <c:v>2</c:v>
                </c:pt>
                <c:pt idx="284">
                  <c:v>2</c:v>
                </c:pt>
                <c:pt idx="285">
                  <c:v>0</c:v>
                </c:pt>
                <c:pt idx="286">
                  <c:v>1</c:v>
                </c:pt>
                <c:pt idx="287">
                  <c:v>2</c:v>
                </c:pt>
                <c:pt idx="288">
                  <c:v>3</c:v>
                </c:pt>
                <c:pt idx="289">
                  <c:v>5</c:v>
                </c:pt>
                <c:pt idx="290">
                  <c:v>3</c:v>
                </c:pt>
                <c:pt idx="291">
                  <c:v>3</c:v>
                </c:pt>
                <c:pt idx="292">
                  <c:v>0</c:v>
                </c:pt>
                <c:pt idx="293">
                  <c:v>2</c:v>
                </c:pt>
                <c:pt idx="294">
                  <c:v>1</c:v>
                </c:pt>
                <c:pt idx="295">
                  <c:v>3</c:v>
                </c:pt>
                <c:pt idx="296">
                  <c:v>5</c:v>
                </c:pt>
                <c:pt idx="297">
                  <c:v>3</c:v>
                </c:pt>
                <c:pt idx="298">
                  <c:v>2</c:v>
                </c:pt>
                <c:pt idx="299">
                  <c:v>1</c:v>
                </c:pt>
                <c:pt idx="300">
                  <c:v>2</c:v>
                </c:pt>
                <c:pt idx="301">
                  <c:v>4</c:v>
                </c:pt>
                <c:pt idx="302">
                  <c:v>8</c:v>
                </c:pt>
                <c:pt idx="303">
                  <c:v>3</c:v>
                </c:pt>
                <c:pt idx="304">
                  <c:v>2</c:v>
                </c:pt>
                <c:pt idx="305">
                  <c:v>2</c:v>
                </c:pt>
                <c:pt idx="306">
                  <c:v>1</c:v>
                </c:pt>
                <c:pt idx="307">
                  <c:v>7</c:v>
                </c:pt>
                <c:pt idx="308">
                  <c:v>1</c:v>
                </c:pt>
                <c:pt idx="309">
                  <c:v>3</c:v>
                </c:pt>
                <c:pt idx="310">
                  <c:v>4</c:v>
                </c:pt>
                <c:pt idx="311">
                  <c:v>1</c:v>
                </c:pt>
                <c:pt idx="312">
                  <c:v>0</c:v>
                </c:pt>
                <c:pt idx="313">
                  <c:v>4</c:v>
                </c:pt>
                <c:pt idx="314">
                  <c:v>3</c:v>
                </c:pt>
                <c:pt idx="315">
                  <c:v>3</c:v>
                </c:pt>
                <c:pt idx="316">
                  <c:v>1</c:v>
                </c:pt>
                <c:pt idx="317">
                  <c:v>2</c:v>
                </c:pt>
                <c:pt idx="318">
                  <c:v>3</c:v>
                </c:pt>
                <c:pt idx="319">
                  <c:v>4</c:v>
                </c:pt>
                <c:pt idx="320">
                  <c:v>0</c:v>
                </c:pt>
                <c:pt idx="321">
                  <c:v>3</c:v>
                </c:pt>
                <c:pt idx="322">
                  <c:v>0</c:v>
                </c:pt>
                <c:pt idx="323">
                  <c:v>3</c:v>
                </c:pt>
                <c:pt idx="324">
                  <c:v>2</c:v>
                </c:pt>
                <c:pt idx="325">
                  <c:v>2</c:v>
                </c:pt>
                <c:pt idx="326">
                  <c:v>3</c:v>
                </c:pt>
                <c:pt idx="327">
                  <c:v>1</c:v>
                </c:pt>
                <c:pt idx="328">
                  <c:v>4</c:v>
                </c:pt>
                <c:pt idx="329">
                  <c:v>4</c:v>
                </c:pt>
                <c:pt idx="330">
                  <c:v>2</c:v>
                </c:pt>
                <c:pt idx="331">
                  <c:v>4</c:v>
                </c:pt>
                <c:pt idx="332">
                  <c:v>3</c:v>
                </c:pt>
                <c:pt idx="333">
                  <c:v>2</c:v>
                </c:pt>
                <c:pt idx="334">
                  <c:v>2</c:v>
                </c:pt>
                <c:pt idx="335">
                  <c:v>0</c:v>
                </c:pt>
                <c:pt idx="336">
                  <c:v>2</c:v>
                </c:pt>
                <c:pt idx="337">
                  <c:v>1</c:v>
                </c:pt>
                <c:pt idx="338">
                  <c:v>4</c:v>
                </c:pt>
                <c:pt idx="339">
                  <c:v>4</c:v>
                </c:pt>
                <c:pt idx="340">
                  <c:v>1</c:v>
                </c:pt>
                <c:pt idx="341">
                  <c:v>1</c:v>
                </c:pt>
                <c:pt idx="342">
                  <c:v>2</c:v>
                </c:pt>
                <c:pt idx="343">
                  <c:v>2</c:v>
                </c:pt>
                <c:pt idx="344">
                  <c:v>7</c:v>
                </c:pt>
                <c:pt idx="345">
                  <c:v>6</c:v>
                </c:pt>
                <c:pt idx="346">
                  <c:v>4</c:v>
                </c:pt>
                <c:pt idx="347">
                  <c:v>4</c:v>
                </c:pt>
                <c:pt idx="348">
                  <c:v>0</c:v>
                </c:pt>
                <c:pt idx="349">
                  <c:v>5</c:v>
                </c:pt>
                <c:pt idx="350">
                  <c:v>13</c:v>
                </c:pt>
                <c:pt idx="351">
                  <c:v>2</c:v>
                </c:pt>
                <c:pt idx="352">
                  <c:v>3</c:v>
                </c:pt>
                <c:pt idx="353">
                  <c:v>6</c:v>
                </c:pt>
                <c:pt idx="354">
                  <c:v>3</c:v>
                </c:pt>
                <c:pt idx="355">
                  <c:v>0</c:v>
                </c:pt>
                <c:pt idx="356">
                  <c:v>3</c:v>
                </c:pt>
                <c:pt idx="357">
                  <c:v>3</c:v>
                </c:pt>
                <c:pt idx="358">
                  <c:v>3</c:v>
                </c:pt>
                <c:pt idx="359">
                  <c:v>6</c:v>
                </c:pt>
                <c:pt idx="360">
                  <c:v>5</c:v>
                </c:pt>
                <c:pt idx="361">
                  <c:v>5</c:v>
                </c:pt>
                <c:pt idx="362">
                  <c:v>4</c:v>
                </c:pt>
                <c:pt idx="363">
                  <c:v>4</c:v>
                </c:pt>
                <c:pt idx="364">
                  <c:v>5</c:v>
                </c:pt>
                <c:pt idx="365">
                  <c:v>5</c:v>
                </c:pt>
                <c:pt idx="366">
                  <c:v>5</c:v>
                </c:pt>
                <c:pt idx="367">
                  <c:v>1</c:v>
                </c:pt>
                <c:pt idx="368">
                  <c:v>2</c:v>
                </c:pt>
                <c:pt idx="369">
                  <c:v>3</c:v>
                </c:pt>
                <c:pt idx="370">
                  <c:v>4</c:v>
                </c:pt>
                <c:pt idx="371">
                  <c:v>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76376085"/>
        <c:axId val="1247020831"/>
      </c:barChart>
      <c:dateAx>
        <c:axId val="76376085"/>
        <c:scaling>
          <c:orientation val="minMax"/>
        </c:scaling>
        <c:delete val="0"/>
        <c:axPos val="b"/>
        <c:title>
          <c:layout/>
          <c:overlay val="0"/>
          <c:tx>
            <c:rich>
              <a:bodyPr/>
              <a:lstStyle/>
              <a:p>
                <a:pPr>
                  <a:defRPr/>
                </a:pPr>
              </a:p>
            </c:rich>
          </c:tx>
        </c:title>
        <c:numFmt formatCode="m/d/yyyy" sourceLinked="1"/>
        <c:majorTickMark val="none"/>
        <c:minorTickMark val="none"/>
        <c:tickLblPos val="nextTo"/>
        <c:txPr>
          <a:bodyPr rot="-60000000" spcFirstLastPara="0" vertOverflow="ellipsis" vert="horz" wrap="square" anchor="ctr" anchorCtr="1"/>
          <a:lstStyle/>
          <a:p>
            <a:pPr>
              <a:defRPr lang="pt-BR" sz="1000" b="0" i="0" u="none" strike="noStrike" kern="1200" baseline="0">
                <a:solidFill>
                  <a:srgbClr val="000000"/>
                </a:solidFill>
                <a:latin typeface="+mn-lt"/>
                <a:ea typeface="+mn-ea"/>
                <a:cs typeface="+mn-cs"/>
              </a:defRPr>
            </a:pPr>
          </a:p>
        </c:txPr>
        <c:crossAx val="1247020831"/>
        <c:crosses val="autoZero"/>
        <c:auto val="1"/>
        <c:lblOffset val="100"/>
        <c:baseTimeUnit val="days"/>
      </c:dateAx>
      <c:valAx>
        <c:axId val="1247020831"/>
        <c:scaling>
          <c:orientation val="minMax"/>
        </c:scaling>
        <c:delete val="0"/>
        <c:axPos val="l"/>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rot="-5400000" spcFirstLastPara="0" vertOverflow="ellipsis" vert="horz" wrap="square" anchor="ctr" anchorCtr="1"/>
              <a:lstStyle/>
              <a:p>
                <a:pPr lvl="0">
                  <a:defRPr lang="pt-BR" sz="1000" b="0" i="0" u="none" strike="noStrike" kern="1200" baseline="0">
                    <a:solidFill>
                      <a:srgbClr val="000000"/>
                    </a:solidFill>
                    <a:latin typeface="+mn-lt"/>
                    <a:ea typeface="+mn-ea"/>
                    <a:cs typeface="+mn-cs"/>
                  </a:defRPr>
                </a:pPr>
                <a:r>
                  <a:rPr lang="en-US" b="0">
                    <a:solidFill>
                      <a:srgbClr val="000000"/>
                    </a:solidFill>
                    <a:latin typeface="+mn-lt"/>
                  </a:rPr>
                  <a:t>Teleconsulta</a:t>
                </a:r>
                <a:endParaRPr lang="en-US" b="0">
                  <a:solidFill>
                    <a:srgbClr val="000000"/>
                  </a:solidFill>
                  <a:latin typeface="+mn-lt"/>
                </a:endParaRPr>
              </a:p>
            </c:rich>
          </c:tx>
          <c:layout/>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pt-BR" sz="1000" b="0" i="0" u="none" strike="noStrike" kern="1200" baseline="0">
                <a:solidFill>
                  <a:srgbClr val="000000"/>
                </a:solidFill>
                <a:latin typeface="+mn-lt"/>
                <a:ea typeface="+mn-ea"/>
                <a:cs typeface="+mn-cs"/>
              </a:defRPr>
            </a:pPr>
          </a:p>
        </c:txPr>
        <c:crossAx val="76376085"/>
        <c:crosses val="autoZero"/>
        <c:crossBetween val="between"/>
      </c:valAx>
    </c:plotArea>
    <c:legend>
      <c:legendPos val="r"/>
      <c:layout/>
      <c:overlay val="0"/>
      <c:txPr>
        <a:bodyPr rot="0" spcFirstLastPara="0" vertOverflow="ellipsis" vert="horz" wrap="square" anchor="ctr" anchorCtr="1"/>
        <a:lstStyle/>
        <a:p>
          <a:pPr>
            <a:defRPr lang="pt-BR" sz="1000" b="0" i="0" u="none" strike="noStrike" kern="1200" baseline="0">
              <a:solidFill>
                <a:srgbClr val="1A1A1A"/>
              </a:solidFill>
              <a:latin typeface="+mn-lt"/>
              <a:ea typeface="+mn-ea"/>
              <a:cs typeface="+mn-cs"/>
            </a:defRPr>
          </a:pPr>
        </a:p>
      </c:txPr>
    </c:legend>
    <c:plotVisOnly val="1"/>
    <c:dispBlanksAs val="zero"/>
    <c:showDLblsOverMax val="1"/>
  </c:chart>
  <c:txPr>
    <a:bodyPr/>
    <a:lstStyle/>
    <a:p>
      <a:pPr>
        <a:defRPr lang="pt-BR"/>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pt-BR" sz="2000" b="1" i="0" u="none" strike="noStrike" kern="1200" baseline="0">
                <a:solidFill>
                  <a:srgbClr val="757575"/>
                </a:solidFill>
                <a:latin typeface="+mn-lt"/>
                <a:ea typeface="+mn-ea"/>
                <a:cs typeface="+mn-cs"/>
              </a:defRPr>
            </a:pPr>
            <a:r>
              <a:rPr lang="en-US" sz="2000" b="1" i="0">
                <a:solidFill>
                  <a:srgbClr val="757575"/>
                </a:solidFill>
                <a:latin typeface="+mn-lt"/>
              </a:rPr>
              <a:t>Atende Gestante: atendimentos realizados</a:t>
            </a:r>
            <a:endParaRPr lang="en-US" sz="2000" b="1" i="0">
              <a:solidFill>
                <a:srgbClr val="757575"/>
              </a:solidFill>
              <a:latin typeface="+mn-lt"/>
            </a:endParaRPr>
          </a:p>
        </c:rich>
      </c:tx>
      <c:layout/>
      <c:overlay val="0"/>
    </c:title>
    <c:autoTitleDeleted val="0"/>
    <c:plotArea>
      <c:layout/>
      <c:barChart>
        <c:barDir val="col"/>
        <c:grouping val="stacked"/>
        <c:varyColors val="1"/>
        <c:ser>
          <c:idx val="0"/>
          <c:order val="0"/>
          <c:spPr>
            <a:solidFill>
              <a:srgbClr val="4285F4"/>
            </a:solidFill>
            <a:ln cmpd="sng">
              <a:solidFill>
                <a:srgbClr val="000000"/>
              </a:solidFill>
              <a:prstDash val="solid"/>
            </a:ln>
          </c:spPr>
          <c:invertIfNegative val="1"/>
          <c:dPt>
            <c:idx val="0"/>
            <c:invertIfNegative val="1"/>
            <c:bubble3D val="0"/>
            <c:spPr>
              <a:solidFill>
                <a:srgbClr val="4285F4"/>
              </a:solidFill>
              <a:ln cmpd="sng">
                <a:solidFill>
                  <a:srgbClr val="000000"/>
                </a:solidFill>
                <a:prstDash val="solid"/>
              </a:ln>
            </c:spPr>
          </c:dPt>
          <c:dPt>
            <c:idx val="1"/>
            <c:invertIfNegative val="1"/>
            <c:bubble3D val="0"/>
            <c:spPr>
              <a:solidFill>
                <a:srgbClr val="4285F4"/>
              </a:solidFill>
              <a:ln cmpd="sng">
                <a:solidFill>
                  <a:srgbClr val="000000"/>
                </a:solidFill>
                <a:prstDash val="solid"/>
              </a:ln>
            </c:spPr>
          </c:dPt>
          <c:dPt>
            <c:idx val="2"/>
            <c:invertIfNegative val="1"/>
            <c:bubble3D val="0"/>
            <c:spPr>
              <a:solidFill>
                <a:srgbClr val="4285F4"/>
              </a:solidFill>
              <a:ln cmpd="sng">
                <a:solidFill>
                  <a:srgbClr val="000000"/>
                </a:solidFill>
                <a:prstDash val="solid"/>
              </a:ln>
            </c:spPr>
          </c:dPt>
          <c:dPt>
            <c:idx val="3"/>
            <c:invertIfNegative val="1"/>
            <c:bubble3D val="0"/>
            <c:spPr>
              <a:solidFill>
                <a:srgbClr val="4285F4"/>
              </a:solidFill>
              <a:ln cmpd="sng">
                <a:solidFill>
                  <a:srgbClr val="000000"/>
                </a:solidFill>
                <a:prstDash val="solid"/>
              </a:ln>
            </c:spPr>
          </c:dPt>
          <c:dPt>
            <c:idx val="4"/>
            <c:invertIfNegative val="1"/>
            <c:bubble3D val="0"/>
            <c:spPr>
              <a:solidFill>
                <a:srgbClr val="4285F4"/>
              </a:solidFill>
              <a:ln cmpd="sng">
                <a:solidFill>
                  <a:srgbClr val="000000"/>
                </a:solidFill>
                <a:prstDash val="solid"/>
              </a:ln>
            </c:spPr>
          </c:dPt>
          <c:dPt>
            <c:idx val="5"/>
            <c:invertIfNegative val="1"/>
            <c:bubble3D val="0"/>
            <c:spPr>
              <a:solidFill>
                <a:srgbClr val="4285F4"/>
              </a:solidFill>
              <a:ln cmpd="sng">
                <a:solidFill>
                  <a:srgbClr val="000000"/>
                </a:solidFill>
                <a:prstDash val="solid"/>
              </a:ln>
            </c:spPr>
          </c:dPt>
          <c:dPt>
            <c:idx val="6"/>
            <c:invertIfNegative val="1"/>
            <c:bubble3D val="0"/>
            <c:spPr>
              <a:solidFill>
                <a:srgbClr val="4285F4"/>
              </a:solidFill>
              <a:ln cmpd="sng">
                <a:solidFill>
                  <a:srgbClr val="000000"/>
                </a:solidFill>
                <a:prstDash val="solid"/>
              </a:ln>
            </c:spPr>
          </c:dPt>
          <c:dPt>
            <c:idx val="7"/>
            <c:invertIfNegative val="1"/>
            <c:bubble3D val="0"/>
            <c:spPr>
              <a:solidFill>
                <a:srgbClr val="4285F4"/>
              </a:solidFill>
              <a:ln cmpd="sng">
                <a:solidFill>
                  <a:srgbClr val="000000"/>
                </a:solidFill>
                <a:prstDash val="solid"/>
              </a:ln>
            </c:spPr>
          </c:dPt>
          <c:dPt>
            <c:idx val="8"/>
            <c:invertIfNegative val="1"/>
            <c:bubble3D val="0"/>
            <c:spPr>
              <a:solidFill>
                <a:srgbClr val="4285F4"/>
              </a:solidFill>
              <a:ln cmpd="sng">
                <a:solidFill>
                  <a:srgbClr val="000000"/>
                </a:solidFill>
                <a:prstDash val="solid"/>
              </a:ln>
            </c:spPr>
          </c:dPt>
          <c:dPt>
            <c:idx val="9"/>
            <c:invertIfNegative val="1"/>
            <c:bubble3D val="0"/>
            <c:spPr>
              <a:solidFill>
                <a:srgbClr val="4285F4"/>
              </a:solidFill>
              <a:ln cmpd="sng">
                <a:solidFill>
                  <a:srgbClr val="000000"/>
                </a:solidFill>
                <a:prstDash val="solid"/>
              </a:ln>
            </c:spPr>
          </c:dPt>
          <c:dPt>
            <c:idx val="10"/>
            <c:invertIfNegative val="1"/>
            <c:bubble3D val="0"/>
            <c:spPr>
              <a:solidFill>
                <a:srgbClr val="4285F4"/>
              </a:solidFill>
              <a:ln cmpd="sng">
                <a:solidFill>
                  <a:srgbClr val="000000"/>
                </a:solidFill>
                <a:prstDash val="solid"/>
              </a:ln>
            </c:spPr>
          </c:dPt>
          <c:dPt>
            <c:idx val="11"/>
            <c:invertIfNegative val="1"/>
            <c:bubble3D val="0"/>
            <c:spPr>
              <a:solidFill>
                <a:srgbClr val="4285F4"/>
              </a:solidFill>
              <a:ln cmpd="sng">
                <a:solidFill>
                  <a:srgbClr val="000000"/>
                </a:solidFill>
                <a:prstDash val="solid"/>
              </a:ln>
            </c:spPr>
          </c:dPt>
          <c:dPt>
            <c:idx val="12"/>
            <c:invertIfNegative val="1"/>
            <c:bubble3D val="0"/>
            <c:spPr>
              <a:solidFill>
                <a:srgbClr val="4285F4"/>
              </a:solidFill>
              <a:ln cmpd="sng">
                <a:solidFill>
                  <a:srgbClr val="000000"/>
                </a:solidFill>
                <a:prstDash val="solid"/>
              </a:ln>
            </c:spPr>
          </c:dPt>
          <c:dPt>
            <c:idx val="13"/>
            <c:invertIfNegative val="1"/>
            <c:bubble3D val="0"/>
            <c:spPr>
              <a:solidFill>
                <a:srgbClr val="4285F4"/>
              </a:solidFill>
              <a:ln cmpd="sng">
                <a:solidFill>
                  <a:srgbClr val="000000"/>
                </a:solidFill>
                <a:prstDash val="solid"/>
              </a:ln>
            </c:spPr>
          </c:dPt>
          <c:dPt>
            <c:idx val="14"/>
            <c:invertIfNegative val="1"/>
            <c:bubble3D val="0"/>
            <c:spPr>
              <a:solidFill>
                <a:srgbClr val="4285F4"/>
              </a:solidFill>
              <a:ln cmpd="sng">
                <a:solidFill>
                  <a:srgbClr val="000000"/>
                </a:solidFill>
                <a:prstDash val="solid"/>
              </a:ln>
            </c:spPr>
          </c:dPt>
          <c:dPt>
            <c:idx val="15"/>
            <c:invertIfNegative val="1"/>
            <c:bubble3D val="0"/>
            <c:spPr>
              <a:solidFill>
                <a:srgbClr val="4285F4"/>
              </a:solidFill>
              <a:ln cmpd="sng">
                <a:solidFill>
                  <a:srgbClr val="000000"/>
                </a:solidFill>
                <a:prstDash val="solid"/>
              </a:ln>
            </c:spPr>
          </c:dPt>
          <c:dPt>
            <c:idx val="16"/>
            <c:invertIfNegative val="1"/>
            <c:bubble3D val="0"/>
            <c:spPr>
              <a:solidFill>
                <a:srgbClr val="4285F4"/>
              </a:solidFill>
              <a:ln cmpd="sng">
                <a:solidFill>
                  <a:srgbClr val="000000"/>
                </a:solidFill>
                <a:prstDash val="solid"/>
              </a:ln>
            </c:spPr>
          </c:dPt>
          <c:dPt>
            <c:idx val="17"/>
            <c:invertIfNegative val="1"/>
            <c:bubble3D val="0"/>
            <c:spPr>
              <a:solidFill>
                <a:srgbClr val="4285F4"/>
              </a:solidFill>
              <a:ln cmpd="sng">
                <a:solidFill>
                  <a:srgbClr val="000000"/>
                </a:solidFill>
                <a:prstDash val="solid"/>
              </a:ln>
            </c:spPr>
          </c:dPt>
          <c:dPt>
            <c:idx val="18"/>
            <c:invertIfNegative val="1"/>
            <c:bubble3D val="0"/>
            <c:spPr>
              <a:solidFill>
                <a:srgbClr val="4285F4"/>
              </a:solidFill>
              <a:ln cmpd="sng">
                <a:solidFill>
                  <a:srgbClr val="000000"/>
                </a:solidFill>
                <a:prstDash val="solid"/>
              </a:ln>
            </c:spPr>
          </c:dPt>
          <c:dPt>
            <c:idx val="19"/>
            <c:invertIfNegative val="1"/>
            <c:bubble3D val="0"/>
            <c:spPr>
              <a:solidFill>
                <a:srgbClr val="4285F4"/>
              </a:solidFill>
              <a:ln cmpd="sng">
                <a:solidFill>
                  <a:srgbClr val="000000"/>
                </a:solidFill>
                <a:prstDash val="solid"/>
              </a:ln>
            </c:spPr>
          </c:dPt>
          <c:dPt>
            <c:idx val="20"/>
            <c:invertIfNegative val="1"/>
            <c:bubble3D val="0"/>
            <c:spPr>
              <a:solidFill>
                <a:srgbClr val="4285F4"/>
              </a:solidFill>
              <a:ln cmpd="sng">
                <a:solidFill>
                  <a:srgbClr val="000000"/>
                </a:solidFill>
                <a:prstDash val="solid"/>
              </a:ln>
            </c:spPr>
          </c:dPt>
          <c:dPt>
            <c:idx val="21"/>
            <c:invertIfNegative val="1"/>
            <c:bubble3D val="0"/>
            <c:spPr>
              <a:solidFill>
                <a:srgbClr val="4285F4"/>
              </a:solidFill>
              <a:ln cmpd="sng">
                <a:solidFill>
                  <a:srgbClr val="000000"/>
                </a:solidFill>
                <a:prstDash val="solid"/>
              </a:ln>
            </c:spPr>
          </c:dPt>
          <c:dPt>
            <c:idx val="22"/>
            <c:invertIfNegative val="1"/>
            <c:bubble3D val="0"/>
            <c:spPr>
              <a:solidFill>
                <a:srgbClr val="4285F4"/>
              </a:solidFill>
              <a:ln cmpd="sng">
                <a:solidFill>
                  <a:srgbClr val="000000"/>
                </a:solidFill>
                <a:prstDash val="solid"/>
              </a:ln>
            </c:spPr>
          </c:dPt>
          <c:dPt>
            <c:idx val="23"/>
            <c:invertIfNegative val="1"/>
            <c:bubble3D val="0"/>
            <c:spPr>
              <a:solidFill>
                <a:srgbClr val="4285F4"/>
              </a:solidFill>
              <a:ln cmpd="sng">
                <a:solidFill>
                  <a:srgbClr val="000000"/>
                </a:solidFill>
                <a:prstDash val="solid"/>
              </a:ln>
            </c:spPr>
          </c:dPt>
          <c:dPt>
            <c:idx val="24"/>
            <c:invertIfNegative val="1"/>
            <c:bubble3D val="0"/>
            <c:spPr>
              <a:solidFill>
                <a:srgbClr val="4285F4"/>
              </a:solidFill>
              <a:ln cmpd="sng">
                <a:solidFill>
                  <a:srgbClr val="000000"/>
                </a:solidFill>
                <a:prstDash val="solid"/>
              </a:ln>
            </c:spPr>
          </c:dPt>
          <c:dPt>
            <c:idx val="25"/>
            <c:invertIfNegative val="1"/>
            <c:bubble3D val="0"/>
            <c:spPr>
              <a:solidFill>
                <a:srgbClr val="4285F4"/>
              </a:solidFill>
              <a:ln cmpd="sng">
                <a:solidFill>
                  <a:srgbClr val="000000"/>
                </a:solidFill>
                <a:prstDash val="solid"/>
              </a:ln>
            </c:spPr>
          </c:dPt>
          <c:dPt>
            <c:idx val="26"/>
            <c:invertIfNegative val="1"/>
            <c:bubble3D val="0"/>
            <c:spPr>
              <a:solidFill>
                <a:srgbClr val="4285F4"/>
              </a:solidFill>
              <a:ln cmpd="sng">
                <a:solidFill>
                  <a:srgbClr val="000000"/>
                </a:solidFill>
                <a:prstDash val="solid"/>
              </a:ln>
            </c:spPr>
          </c:dPt>
          <c:dPt>
            <c:idx val="27"/>
            <c:invertIfNegative val="1"/>
            <c:bubble3D val="0"/>
            <c:spPr>
              <a:solidFill>
                <a:srgbClr val="4285F4"/>
              </a:solidFill>
              <a:ln cmpd="sng">
                <a:solidFill>
                  <a:srgbClr val="000000"/>
                </a:solidFill>
                <a:prstDash val="solid"/>
              </a:ln>
            </c:spPr>
          </c:dPt>
          <c:dPt>
            <c:idx val="28"/>
            <c:invertIfNegative val="1"/>
            <c:bubble3D val="0"/>
            <c:spPr>
              <a:solidFill>
                <a:srgbClr val="4285F4"/>
              </a:solidFill>
              <a:ln cmpd="sng">
                <a:solidFill>
                  <a:srgbClr val="000000"/>
                </a:solidFill>
                <a:prstDash val="solid"/>
              </a:ln>
            </c:spPr>
          </c:dPt>
          <c:dPt>
            <c:idx val="29"/>
            <c:invertIfNegative val="1"/>
            <c:bubble3D val="0"/>
            <c:spPr>
              <a:solidFill>
                <a:srgbClr val="4285F4"/>
              </a:solidFill>
              <a:ln cmpd="sng">
                <a:solidFill>
                  <a:srgbClr val="000000"/>
                </a:solidFill>
                <a:prstDash val="solid"/>
              </a:ln>
            </c:spPr>
          </c:dPt>
          <c:dPt>
            <c:idx val="30"/>
            <c:invertIfNegative val="1"/>
            <c:bubble3D val="0"/>
            <c:spPr>
              <a:solidFill>
                <a:srgbClr val="4285F4"/>
              </a:solidFill>
              <a:ln cmpd="sng">
                <a:solidFill>
                  <a:srgbClr val="000000"/>
                </a:solidFill>
                <a:prstDash val="solid"/>
              </a:ln>
            </c:spPr>
          </c:dPt>
          <c:dPt>
            <c:idx val="31"/>
            <c:invertIfNegative val="1"/>
            <c:bubble3D val="0"/>
            <c:spPr>
              <a:solidFill>
                <a:srgbClr val="4285F4"/>
              </a:solidFill>
              <a:ln cmpd="sng">
                <a:solidFill>
                  <a:srgbClr val="000000"/>
                </a:solidFill>
                <a:prstDash val="solid"/>
              </a:ln>
            </c:spPr>
          </c:dPt>
          <c:dPt>
            <c:idx val="32"/>
            <c:invertIfNegative val="1"/>
            <c:bubble3D val="0"/>
            <c:spPr>
              <a:solidFill>
                <a:srgbClr val="4285F4"/>
              </a:solidFill>
              <a:ln cmpd="sng">
                <a:solidFill>
                  <a:srgbClr val="000000"/>
                </a:solidFill>
                <a:prstDash val="solid"/>
              </a:ln>
            </c:spPr>
          </c:dPt>
          <c:dPt>
            <c:idx val="33"/>
            <c:invertIfNegative val="1"/>
            <c:bubble3D val="0"/>
            <c:spPr>
              <a:solidFill>
                <a:srgbClr val="4285F4"/>
              </a:solidFill>
              <a:ln cmpd="sng">
                <a:solidFill>
                  <a:srgbClr val="000000"/>
                </a:solidFill>
                <a:prstDash val="solid"/>
              </a:ln>
            </c:spPr>
          </c:dPt>
          <c:dPt>
            <c:idx val="34"/>
            <c:invertIfNegative val="1"/>
            <c:bubble3D val="0"/>
            <c:spPr>
              <a:solidFill>
                <a:srgbClr val="4285F4"/>
              </a:solidFill>
              <a:ln cmpd="sng">
                <a:solidFill>
                  <a:srgbClr val="000000"/>
                </a:solidFill>
                <a:prstDash val="solid"/>
              </a:ln>
            </c:spPr>
          </c:dPt>
          <c:dPt>
            <c:idx val="35"/>
            <c:invertIfNegative val="1"/>
            <c:bubble3D val="0"/>
            <c:spPr>
              <a:solidFill>
                <a:srgbClr val="4285F4"/>
              </a:solidFill>
              <a:ln cmpd="sng">
                <a:solidFill>
                  <a:srgbClr val="000000"/>
                </a:solidFill>
                <a:prstDash val="solid"/>
              </a:ln>
            </c:spPr>
          </c:dPt>
          <c:dPt>
            <c:idx val="36"/>
            <c:invertIfNegative val="1"/>
            <c:bubble3D val="0"/>
            <c:spPr>
              <a:solidFill>
                <a:srgbClr val="4285F4"/>
              </a:solidFill>
              <a:ln cmpd="sng">
                <a:solidFill>
                  <a:srgbClr val="000000"/>
                </a:solidFill>
                <a:prstDash val="solid"/>
              </a:ln>
            </c:spPr>
          </c:dPt>
          <c:dPt>
            <c:idx val="37"/>
            <c:invertIfNegative val="1"/>
            <c:bubble3D val="0"/>
            <c:spPr>
              <a:solidFill>
                <a:srgbClr val="4285F4"/>
              </a:solidFill>
              <a:ln cmpd="sng">
                <a:solidFill>
                  <a:srgbClr val="000000"/>
                </a:solidFill>
                <a:prstDash val="solid"/>
              </a:ln>
            </c:spPr>
          </c:dPt>
          <c:dPt>
            <c:idx val="38"/>
            <c:invertIfNegative val="1"/>
            <c:bubble3D val="0"/>
            <c:spPr>
              <a:solidFill>
                <a:srgbClr val="4285F4"/>
              </a:solidFill>
              <a:ln cmpd="sng">
                <a:solidFill>
                  <a:srgbClr val="000000"/>
                </a:solidFill>
                <a:prstDash val="solid"/>
              </a:ln>
            </c:spPr>
          </c:dPt>
          <c:dPt>
            <c:idx val="39"/>
            <c:invertIfNegative val="1"/>
            <c:bubble3D val="0"/>
            <c:spPr>
              <a:solidFill>
                <a:srgbClr val="4285F4"/>
              </a:solidFill>
              <a:ln cmpd="sng">
                <a:solidFill>
                  <a:srgbClr val="000000"/>
                </a:solidFill>
                <a:prstDash val="solid"/>
              </a:ln>
            </c:spPr>
          </c:dPt>
          <c:dPt>
            <c:idx val="40"/>
            <c:invertIfNegative val="1"/>
            <c:bubble3D val="0"/>
            <c:spPr>
              <a:solidFill>
                <a:srgbClr val="4285F4"/>
              </a:solidFill>
              <a:ln cmpd="sng">
                <a:solidFill>
                  <a:srgbClr val="000000"/>
                </a:solidFill>
                <a:prstDash val="solid"/>
              </a:ln>
            </c:spPr>
          </c:dPt>
          <c:dPt>
            <c:idx val="41"/>
            <c:invertIfNegative val="1"/>
            <c:bubble3D val="0"/>
            <c:spPr>
              <a:solidFill>
                <a:srgbClr val="4285F4"/>
              </a:solidFill>
              <a:ln cmpd="sng">
                <a:solidFill>
                  <a:srgbClr val="000000"/>
                </a:solidFill>
                <a:prstDash val="solid"/>
              </a:ln>
            </c:spPr>
          </c:dPt>
          <c:dPt>
            <c:idx val="42"/>
            <c:invertIfNegative val="1"/>
            <c:bubble3D val="0"/>
            <c:spPr>
              <a:solidFill>
                <a:srgbClr val="4285F4"/>
              </a:solidFill>
              <a:ln cmpd="sng">
                <a:solidFill>
                  <a:srgbClr val="000000"/>
                </a:solidFill>
                <a:prstDash val="solid"/>
              </a:ln>
            </c:spPr>
          </c:dPt>
          <c:dPt>
            <c:idx val="43"/>
            <c:invertIfNegative val="1"/>
            <c:bubble3D val="0"/>
            <c:spPr>
              <a:solidFill>
                <a:srgbClr val="4285F4"/>
              </a:solidFill>
              <a:ln cmpd="sng">
                <a:solidFill>
                  <a:srgbClr val="000000"/>
                </a:solidFill>
                <a:prstDash val="solid"/>
              </a:ln>
            </c:spPr>
          </c:dPt>
          <c:dPt>
            <c:idx val="44"/>
            <c:invertIfNegative val="1"/>
            <c:bubble3D val="0"/>
            <c:spPr>
              <a:solidFill>
                <a:srgbClr val="4285F4"/>
              </a:solidFill>
              <a:ln cmpd="sng">
                <a:solidFill>
                  <a:srgbClr val="000000"/>
                </a:solidFill>
                <a:prstDash val="solid"/>
              </a:ln>
            </c:spPr>
          </c:dPt>
          <c:dPt>
            <c:idx val="45"/>
            <c:invertIfNegative val="1"/>
            <c:bubble3D val="0"/>
            <c:spPr>
              <a:solidFill>
                <a:srgbClr val="4285F4"/>
              </a:solidFill>
              <a:ln cmpd="sng">
                <a:solidFill>
                  <a:srgbClr val="000000"/>
                </a:solidFill>
                <a:prstDash val="solid"/>
              </a:ln>
            </c:spPr>
          </c:dPt>
          <c:dPt>
            <c:idx val="46"/>
            <c:invertIfNegative val="1"/>
            <c:bubble3D val="0"/>
            <c:spPr>
              <a:solidFill>
                <a:srgbClr val="4285F4"/>
              </a:solidFill>
              <a:ln cmpd="sng">
                <a:solidFill>
                  <a:srgbClr val="000000"/>
                </a:solidFill>
                <a:prstDash val="solid"/>
              </a:ln>
            </c:spPr>
          </c:dPt>
          <c:dPt>
            <c:idx val="47"/>
            <c:invertIfNegative val="1"/>
            <c:bubble3D val="0"/>
            <c:spPr>
              <a:solidFill>
                <a:srgbClr val="4285F4"/>
              </a:solidFill>
              <a:ln cmpd="sng">
                <a:solidFill>
                  <a:srgbClr val="000000"/>
                </a:solidFill>
                <a:prstDash val="solid"/>
              </a:ln>
            </c:spPr>
          </c:dPt>
          <c:dPt>
            <c:idx val="48"/>
            <c:invertIfNegative val="1"/>
            <c:bubble3D val="0"/>
            <c:spPr>
              <a:solidFill>
                <a:srgbClr val="4285F4"/>
              </a:solidFill>
              <a:ln cmpd="sng">
                <a:solidFill>
                  <a:srgbClr val="000000"/>
                </a:solidFill>
                <a:prstDash val="solid"/>
              </a:ln>
            </c:spPr>
          </c:dPt>
          <c:dPt>
            <c:idx val="49"/>
            <c:invertIfNegative val="1"/>
            <c:bubble3D val="0"/>
            <c:spPr>
              <a:solidFill>
                <a:srgbClr val="4285F4"/>
              </a:solidFill>
              <a:ln cmpd="sng">
                <a:solidFill>
                  <a:srgbClr val="000000"/>
                </a:solidFill>
                <a:prstDash val="solid"/>
              </a:ln>
            </c:spPr>
          </c:dPt>
          <c:dPt>
            <c:idx val="50"/>
            <c:invertIfNegative val="1"/>
            <c:bubble3D val="0"/>
            <c:spPr>
              <a:solidFill>
                <a:srgbClr val="4285F4"/>
              </a:solidFill>
              <a:ln cmpd="sng">
                <a:solidFill>
                  <a:srgbClr val="000000"/>
                </a:solidFill>
                <a:prstDash val="solid"/>
              </a:ln>
            </c:spPr>
          </c:dPt>
          <c:dPt>
            <c:idx val="51"/>
            <c:invertIfNegative val="1"/>
            <c:bubble3D val="0"/>
            <c:spPr>
              <a:solidFill>
                <a:srgbClr val="4285F4"/>
              </a:solidFill>
              <a:ln cmpd="sng">
                <a:solidFill>
                  <a:srgbClr val="000000"/>
                </a:solidFill>
                <a:prstDash val="solid"/>
              </a:ln>
            </c:spPr>
          </c:dPt>
          <c:dPt>
            <c:idx val="52"/>
            <c:invertIfNegative val="1"/>
            <c:bubble3D val="0"/>
            <c:spPr>
              <a:solidFill>
                <a:srgbClr val="4285F4"/>
              </a:solidFill>
              <a:ln cmpd="sng">
                <a:solidFill>
                  <a:srgbClr val="000000"/>
                </a:solidFill>
                <a:prstDash val="solid"/>
              </a:ln>
            </c:spPr>
          </c:dPt>
          <c:dPt>
            <c:idx val="53"/>
            <c:invertIfNegative val="1"/>
            <c:bubble3D val="0"/>
            <c:spPr>
              <a:solidFill>
                <a:srgbClr val="4285F4"/>
              </a:solidFill>
              <a:ln cmpd="sng">
                <a:solidFill>
                  <a:srgbClr val="000000"/>
                </a:solidFill>
                <a:prstDash val="solid"/>
              </a:ln>
            </c:spPr>
          </c:dPt>
          <c:dPt>
            <c:idx val="54"/>
            <c:invertIfNegative val="1"/>
            <c:bubble3D val="0"/>
            <c:spPr>
              <a:solidFill>
                <a:srgbClr val="4285F4"/>
              </a:solidFill>
              <a:ln cmpd="sng">
                <a:solidFill>
                  <a:srgbClr val="000000"/>
                </a:solidFill>
                <a:prstDash val="solid"/>
              </a:ln>
            </c:spPr>
          </c:dPt>
          <c:dPt>
            <c:idx val="55"/>
            <c:invertIfNegative val="1"/>
            <c:bubble3D val="0"/>
            <c:spPr>
              <a:solidFill>
                <a:srgbClr val="4285F4"/>
              </a:solidFill>
              <a:ln cmpd="sng">
                <a:solidFill>
                  <a:srgbClr val="000000"/>
                </a:solidFill>
                <a:prstDash val="solid"/>
              </a:ln>
            </c:spPr>
          </c:dPt>
          <c:dPt>
            <c:idx val="56"/>
            <c:invertIfNegative val="1"/>
            <c:bubble3D val="0"/>
            <c:spPr>
              <a:solidFill>
                <a:srgbClr val="4285F4"/>
              </a:solidFill>
              <a:ln cmpd="sng">
                <a:solidFill>
                  <a:srgbClr val="000000"/>
                </a:solidFill>
                <a:prstDash val="solid"/>
              </a:ln>
            </c:spPr>
          </c:dPt>
          <c:dPt>
            <c:idx val="57"/>
            <c:invertIfNegative val="1"/>
            <c:bubble3D val="0"/>
            <c:spPr>
              <a:solidFill>
                <a:srgbClr val="4285F4"/>
              </a:solidFill>
              <a:ln cmpd="sng">
                <a:solidFill>
                  <a:srgbClr val="000000"/>
                </a:solidFill>
                <a:prstDash val="solid"/>
              </a:ln>
            </c:spPr>
          </c:dPt>
          <c:dPt>
            <c:idx val="58"/>
            <c:invertIfNegative val="1"/>
            <c:bubble3D val="0"/>
            <c:spPr>
              <a:solidFill>
                <a:srgbClr val="4285F4"/>
              </a:solidFill>
              <a:ln cmpd="sng">
                <a:solidFill>
                  <a:srgbClr val="000000"/>
                </a:solidFill>
                <a:prstDash val="solid"/>
              </a:ln>
            </c:spPr>
          </c:dPt>
          <c:dPt>
            <c:idx val="59"/>
            <c:invertIfNegative val="1"/>
            <c:bubble3D val="0"/>
            <c:spPr>
              <a:solidFill>
                <a:srgbClr val="4285F4"/>
              </a:solidFill>
              <a:ln cmpd="sng">
                <a:solidFill>
                  <a:srgbClr val="000000"/>
                </a:solidFill>
                <a:prstDash val="solid"/>
              </a:ln>
            </c:spPr>
          </c:dPt>
          <c:dPt>
            <c:idx val="60"/>
            <c:invertIfNegative val="1"/>
            <c:bubble3D val="0"/>
            <c:spPr>
              <a:solidFill>
                <a:srgbClr val="4285F4"/>
              </a:solidFill>
              <a:ln cmpd="sng">
                <a:solidFill>
                  <a:srgbClr val="000000"/>
                </a:solidFill>
                <a:prstDash val="solid"/>
              </a:ln>
            </c:spPr>
          </c:dPt>
          <c:dPt>
            <c:idx val="61"/>
            <c:invertIfNegative val="1"/>
            <c:bubble3D val="0"/>
            <c:spPr>
              <a:solidFill>
                <a:srgbClr val="4285F4"/>
              </a:solidFill>
              <a:ln cmpd="sng">
                <a:solidFill>
                  <a:srgbClr val="000000"/>
                </a:solidFill>
                <a:prstDash val="solid"/>
              </a:ln>
            </c:spPr>
          </c:dPt>
          <c:dPt>
            <c:idx val="62"/>
            <c:invertIfNegative val="1"/>
            <c:bubble3D val="0"/>
            <c:spPr>
              <a:solidFill>
                <a:srgbClr val="4285F4"/>
              </a:solidFill>
              <a:ln cmpd="sng">
                <a:solidFill>
                  <a:srgbClr val="000000"/>
                </a:solidFill>
                <a:prstDash val="solid"/>
              </a:ln>
            </c:spPr>
          </c:dPt>
          <c:dPt>
            <c:idx val="63"/>
            <c:invertIfNegative val="1"/>
            <c:bubble3D val="0"/>
            <c:spPr>
              <a:solidFill>
                <a:srgbClr val="4285F4"/>
              </a:solidFill>
              <a:ln cmpd="sng">
                <a:solidFill>
                  <a:srgbClr val="000000"/>
                </a:solidFill>
                <a:prstDash val="solid"/>
              </a:ln>
            </c:spPr>
          </c:dPt>
          <c:dPt>
            <c:idx val="64"/>
            <c:invertIfNegative val="1"/>
            <c:bubble3D val="0"/>
            <c:spPr>
              <a:solidFill>
                <a:srgbClr val="4285F4"/>
              </a:solidFill>
              <a:ln cmpd="sng">
                <a:solidFill>
                  <a:srgbClr val="000000"/>
                </a:solidFill>
                <a:prstDash val="solid"/>
              </a:ln>
            </c:spPr>
          </c:dPt>
          <c:dPt>
            <c:idx val="65"/>
            <c:invertIfNegative val="1"/>
            <c:bubble3D val="0"/>
            <c:spPr>
              <a:solidFill>
                <a:srgbClr val="4285F4"/>
              </a:solidFill>
              <a:ln cmpd="sng">
                <a:solidFill>
                  <a:srgbClr val="000000"/>
                </a:solidFill>
                <a:prstDash val="solid"/>
              </a:ln>
            </c:spPr>
          </c:dPt>
          <c:dPt>
            <c:idx val="66"/>
            <c:invertIfNegative val="1"/>
            <c:bubble3D val="0"/>
            <c:spPr>
              <a:solidFill>
                <a:srgbClr val="4285F4"/>
              </a:solidFill>
              <a:ln cmpd="sng">
                <a:solidFill>
                  <a:srgbClr val="000000"/>
                </a:solidFill>
                <a:prstDash val="solid"/>
              </a:ln>
            </c:spPr>
          </c:dPt>
          <c:dPt>
            <c:idx val="67"/>
            <c:invertIfNegative val="1"/>
            <c:bubble3D val="0"/>
            <c:spPr>
              <a:solidFill>
                <a:srgbClr val="4285F4"/>
              </a:solidFill>
              <a:ln cmpd="sng">
                <a:solidFill>
                  <a:srgbClr val="000000"/>
                </a:solidFill>
                <a:prstDash val="solid"/>
              </a:ln>
            </c:spPr>
          </c:dPt>
          <c:dPt>
            <c:idx val="68"/>
            <c:invertIfNegative val="1"/>
            <c:bubble3D val="0"/>
            <c:spPr>
              <a:solidFill>
                <a:srgbClr val="4285F4"/>
              </a:solidFill>
              <a:ln cmpd="sng">
                <a:solidFill>
                  <a:srgbClr val="000000"/>
                </a:solidFill>
                <a:prstDash val="solid"/>
              </a:ln>
            </c:spPr>
          </c:dPt>
          <c:dPt>
            <c:idx val="69"/>
            <c:invertIfNegative val="1"/>
            <c:bubble3D val="0"/>
            <c:spPr>
              <a:solidFill>
                <a:srgbClr val="4285F4"/>
              </a:solidFill>
              <a:ln cmpd="sng">
                <a:solidFill>
                  <a:srgbClr val="000000"/>
                </a:solidFill>
                <a:prstDash val="solid"/>
              </a:ln>
            </c:spPr>
          </c:dPt>
          <c:dPt>
            <c:idx val="70"/>
            <c:invertIfNegative val="1"/>
            <c:bubble3D val="0"/>
            <c:spPr>
              <a:solidFill>
                <a:srgbClr val="4285F4"/>
              </a:solidFill>
              <a:ln cmpd="sng">
                <a:solidFill>
                  <a:srgbClr val="000000"/>
                </a:solidFill>
                <a:prstDash val="solid"/>
              </a:ln>
            </c:spPr>
          </c:dPt>
          <c:dPt>
            <c:idx val="71"/>
            <c:invertIfNegative val="1"/>
            <c:bubble3D val="0"/>
            <c:spPr>
              <a:solidFill>
                <a:srgbClr val="4285F4"/>
              </a:solidFill>
              <a:ln cmpd="sng">
                <a:solidFill>
                  <a:srgbClr val="000000"/>
                </a:solidFill>
                <a:prstDash val="solid"/>
              </a:ln>
            </c:spPr>
          </c:dPt>
          <c:dPt>
            <c:idx val="72"/>
            <c:invertIfNegative val="1"/>
            <c:bubble3D val="0"/>
            <c:spPr>
              <a:solidFill>
                <a:srgbClr val="4285F4"/>
              </a:solidFill>
              <a:ln cmpd="sng">
                <a:solidFill>
                  <a:srgbClr val="000000"/>
                </a:solidFill>
                <a:prstDash val="solid"/>
              </a:ln>
            </c:spPr>
          </c:dPt>
          <c:dPt>
            <c:idx val="73"/>
            <c:invertIfNegative val="1"/>
            <c:bubble3D val="0"/>
            <c:spPr>
              <a:solidFill>
                <a:srgbClr val="4285F4"/>
              </a:solidFill>
              <a:ln cmpd="sng">
                <a:solidFill>
                  <a:srgbClr val="000000"/>
                </a:solidFill>
                <a:prstDash val="solid"/>
              </a:ln>
            </c:spPr>
          </c:dPt>
          <c:dPt>
            <c:idx val="74"/>
            <c:invertIfNegative val="1"/>
            <c:bubble3D val="0"/>
            <c:spPr>
              <a:solidFill>
                <a:srgbClr val="4285F4"/>
              </a:solidFill>
              <a:ln cmpd="sng">
                <a:solidFill>
                  <a:srgbClr val="000000"/>
                </a:solidFill>
                <a:prstDash val="solid"/>
              </a:ln>
            </c:spPr>
          </c:dPt>
          <c:dPt>
            <c:idx val="75"/>
            <c:invertIfNegative val="1"/>
            <c:bubble3D val="0"/>
            <c:spPr>
              <a:solidFill>
                <a:srgbClr val="4285F4"/>
              </a:solidFill>
              <a:ln cmpd="sng">
                <a:solidFill>
                  <a:srgbClr val="000000"/>
                </a:solidFill>
                <a:prstDash val="solid"/>
              </a:ln>
            </c:spPr>
          </c:dPt>
          <c:dPt>
            <c:idx val="76"/>
            <c:invertIfNegative val="1"/>
            <c:bubble3D val="0"/>
            <c:spPr>
              <a:solidFill>
                <a:srgbClr val="4285F4"/>
              </a:solidFill>
              <a:ln cmpd="sng">
                <a:solidFill>
                  <a:srgbClr val="000000"/>
                </a:solidFill>
                <a:prstDash val="solid"/>
              </a:ln>
            </c:spPr>
          </c:dPt>
          <c:dPt>
            <c:idx val="77"/>
            <c:invertIfNegative val="1"/>
            <c:bubble3D val="0"/>
            <c:spPr>
              <a:solidFill>
                <a:srgbClr val="4285F4"/>
              </a:solidFill>
              <a:ln cmpd="sng">
                <a:solidFill>
                  <a:srgbClr val="000000"/>
                </a:solidFill>
                <a:prstDash val="solid"/>
              </a:ln>
            </c:spPr>
          </c:dPt>
          <c:dPt>
            <c:idx val="78"/>
            <c:invertIfNegative val="1"/>
            <c:bubble3D val="0"/>
            <c:spPr>
              <a:solidFill>
                <a:srgbClr val="4285F4"/>
              </a:solidFill>
              <a:ln cmpd="sng">
                <a:solidFill>
                  <a:srgbClr val="000000"/>
                </a:solidFill>
                <a:prstDash val="solid"/>
              </a:ln>
            </c:spPr>
          </c:dPt>
          <c:dPt>
            <c:idx val="79"/>
            <c:invertIfNegative val="1"/>
            <c:bubble3D val="0"/>
            <c:spPr>
              <a:solidFill>
                <a:srgbClr val="4285F4"/>
              </a:solidFill>
              <a:ln cmpd="sng">
                <a:solidFill>
                  <a:srgbClr val="000000"/>
                </a:solidFill>
                <a:prstDash val="solid"/>
              </a:ln>
            </c:spPr>
          </c:dPt>
          <c:dPt>
            <c:idx val="80"/>
            <c:invertIfNegative val="1"/>
            <c:bubble3D val="0"/>
            <c:spPr>
              <a:solidFill>
                <a:srgbClr val="4285F4"/>
              </a:solidFill>
              <a:ln cmpd="sng">
                <a:solidFill>
                  <a:srgbClr val="000000"/>
                </a:solidFill>
                <a:prstDash val="solid"/>
              </a:ln>
            </c:spPr>
          </c:dPt>
          <c:dPt>
            <c:idx val="81"/>
            <c:invertIfNegative val="1"/>
            <c:bubble3D val="0"/>
            <c:spPr>
              <a:solidFill>
                <a:srgbClr val="4285F4"/>
              </a:solidFill>
              <a:ln cmpd="sng">
                <a:solidFill>
                  <a:srgbClr val="000000"/>
                </a:solidFill>
                <a:prstDash val="solid"/>
              </a:ln>
            </c:spPr>
          </c:dPt>
          <c:dPt>
            <c:idx val="82"/>
            <c:invertIfNegative val="1"/>
            <c:bubble3D val="0"/>
            <c:spPr>
              <a:solidFill>
                <a:srgbClr val="4285F4"/>
              </a:solidFill>
              <a:ln cmpd="sng">
                <a:solidFill>
                  <a:srgbClr val="000000"/>
                </a:solidFill>
                <a:prstDash val="solid"/>
              </a:ln>
            </c:spPr>
          </c:dPt>
          <c:dPt>
            <c:idx val="83"/>
            <c:invertIfNegative val="1"/>
            <c:bubble3D val="0"/>
            <c:spPr>
              <a:solidFill>
                <a:srgbClr val="4285F4"/>
              </a:solidFill>
              <a:ln cmpd="sng">
                <a:solidFill>
                  <a:srgbClr val="000000"/>
                </a:solidFill>
                <a:prstDash val="solid"/>
              </a:ln>
            </c:spPr>
          </c:dPt>
          <c:dPt>
            <c:idx val="84"/>
            <c:invertIfNegative val="1"/>
            <c:bubble3D val="0"/>
            <c:spPr>
              <a:solidFill>
                <a:srgbClr val="4285F4"/>
              </a:solidFill>
              <a:ln cmpd="sng">
                <a:solidFill>
                  <a:srgbClr val="000000"/>
                </a:solidFill>
                <a:prstDash val="solid"/>
              </a:ln>
            </c:spPr>
          </c:dPt>
          <c:dPt>
            <c:idx val="85"/>
            <c:invertIfNegative val="1"/>
            <c:bubble3D val="0"/>
            <c:spPr>
              <a:solidFill>
                <a:srgbClr val="4285F4"/>
              </a:solidFill>
              <a:ln cmpd="sng">
                <a:solidFill>
                  <a:srgbClr val="000000"/>
                </a:solidFill>
                <a:prstDash val="solid"/>
              </a:ln>
            </c:spPr>
          </c:dPt>
          <c:dPt>
            <c:idx val="86"/>
            <c:invertIfNegative val="1"/>
            <c:bubble3D val="0"/>
            <c:spPr>
              <a:solidFill>
                <a:srgbClr val="4285F4"/>
              </a:solidFill>
              <a:ln cmpd="sng">
                <a:solidFill>
                  <a:srgbClr val="000000"/>
                </a:solidFill>
                <a:prstDash val="solid"/>
              </a:ln>
            </c:spPr>
          </c:dPt>
          <c:dPt>
            <c:idx val="87"/>
            <c:invertIfNegative val="1"/>
            <c:bubble3D val="0"/>
            <c:spPr>
              <a:solidFill>
                <a:srgbClr val="4285F4"/>
              </a:solidFill>
              <a:ln cmpd="sng">
                <a:solidFill>
                  <a:srgbClr val="000000"/>
                </a:solidFill>
                <a:prstDash val="solid"/>
              </a:ln>
            </c:spPr>
          </c:dPt>
          <c:dPt>
            <c:idx val="88"/>
            <c:invertIfNegative val="1"/>
            <c:bubble3D val="0"/>
            <c:spPr>
              <a:solidFill>
                <a:srgbClr val="4285F4"/>
              </a:solidFill>
              <a:ln cmpd="sng">
                <a:solidFill>
                  <a:srgbClr val="000000"/>
                </a:solidFill>
                <a:prstDash val="solid"/>
              </a:ln>
            </c:spPr>
          </c:dPt>
          <c:dPt>
            <c:idx val="89"/>
            <c:invertIfNegative val="1"/>
            <c:bubble3D val="0"/>
            <c:spPr>
              <a:solidFill>
                <a:srgbClr val="4285F4"/>
              </a:solidFill>
              <a:ln cmpd="sng">
                <a:solidFill>
                  <a:srgbClr val="000000"/>
                </a:solidFill>
                <a:prstDash val="solid"/>
              </a:ln>
            </c:spPr>
          </c:dPt>
          <c:dPt>
            <c:idx val="90"/>
            <c:invertIfNegative val="1"/>
            <c:bubble3D val="0"/>
            <c:spPr>
              <a:solidFill>
                <a:srgbClr val="4285F4"/>
              </a:solidFill>
              <a:ln cmpd="sng">
                <a:solidFill>
                  <a:srgbClr val="000000"/>
                </a:solidFill>
                <a:prstDash val="solid"/>
              </a:ln>
            </c:spPr>
          </c:dPt>
          <c:dPt>
            <c:idx val="91"/>
            <c:invertIfNegative val="1"/>
            <c:bubble3D val="0"/>
            <c:spPr>
              <a:solidFill>
                <a:srgbClr val="4285F4"/>
              </a:solidFill>
              <a:ln cmpd="sng">
                <a:solidFill>
                  <a:srgbClr val="000000"/>
                </a:solidFill>
                <a:prstDash val="solid"/>
              </a:ln>
            </c:spPr>
          </c:dPt>
          <c:dPt>
            <c:idx val="92"/>
            <c:invertIfNegative val="1"/>
            <c:bubble3D val="0"/>
            <c:spPr>
              <a:solidFill>
                <a:srgbClr val="4285F4"/>
              </a:solidFill>
              <a:ln cmpd="sng">
                <a:solidFill>
                  <a:srgbClr val="000000"/>
                </a:solidFill>
                <a:prstDash val="solid"/>
              </a:ln>
            </c:spPr>
          </c:dPt>
          <c:dPt>
            <c:idx val="93"/>
            <c:invertIfNegative val="1"/>
            <c:bubble3D val="0"/>
            <c:spPr>
              <a:solidFill>
                <a:srgbClr val="4285F4"/>
              </a:solidFill>
              <a:ln cmpd="sng">
                <a:solidFill>
                  <a:srgbClr val="000000"/>
                </a:solidFill>
                <a:prstDash val="solid"/>
              </a:ln>
            </c:spPr>
          </c:dPt>
          <c:dPt>
            <c:idx val="94"/>
            <c:invertIfNegative val="1"/>
            <c:bubble3D val="0"/>
            <c:spPr>
              <a:solidFill>
                <a:srgbClr val="4285F4"/>
              </a:solidFill>
              <a:ln cmpd="sng">
                <a:solidFill>
                  <a:srgbClr val="000000"/>
                </a:solidFill>
                <a:prstDash val="solid"/>
              </a:ln>
            </c:spPr>
          </c:dPt>
          <c:dPt>
            <c:idx val="95"/>
            <c:invertIfNegative val="1"/>
            <c:bubble3D val="0"/>
            <c:spPr>
              <a:solidFill>
                <a:srgbClr val="4285F4"/>
              </a:solidFill>
              <a:ln cmpd="sng">
                <a:solidFill>
                  <a:srgbClr val="000000"/>
                </a:solidFill>
                <a:prstDash val="solid"/>
              </a:ln>
            </c:spPr>
          </c:dPt>
          <c:dPt>
            <c:idx val="96"/>
            <c:invertIfNegative val="1"/>
            <c:bubble3D val="0"/>
            <c:spPr>
              <a:solidFill>
                <a:srgbClr val="4285F4"/>
              </a:solidFill>
              <a:ln cmpd="sng">
                <a:solidFill>
                  <a:srgbClr val="000000"/>
                </a:solidFill>
                <a:prstDash val="solid"/>
              </a:ln>
            </c:spPr>
          </c:dPt>
          <c:dPt>
            <c:idx val="97"/>
            <c:invertIfNegative val="1"/>
            <c:bubble3D val="0"/>
            <c:spPr>
              <a:solidFill>
                <a:srgbClr val="4285F4"/>
              </a:solidFill>
              <a:ln cmpd="sng">
                <a:solidFill>
                  <a:srgbClr val="000000"/>
                </a:solidFill>
                <a:prstDash val="solid"/>
              </a:ln>
            </c:spPr>
          </c:dPt>
          <c:dPt>
            <c:idx val="98"/>
            <c:invertIfNegative val="1"/>
            <c:bubble3D val="0"/>
            <c:spPr>
              <a:solidFill>
                <a:srgbClr val="4285F4"/>
              </a:solidFill>
              <a:ln cmpd="sng">
                <a:solidFill>
                  <a:srgbClr val="000000"/>
                </a:solidFill>
                <a:prstDash val="solid"/>
              </a:ln>
            </c:spPr>
          </c:dPt>
          <c:dPt>
            <c:idx val="99"/>
            <c:invertIfNegative val="1"/>
            <c:bubble3D val="0"/>
            <c:spPr>
              <a:solidFill>
                <a:srgbClr val="4285F4"/>
              </a:solidFill>
              <a:ln cmpd="sng">
                <a:solidFill>
                  <a:srgbClr val="000000"/>
                </a:solidFill>
                <a:prstDash val="solid"/>
              </a:ln>
            </c:spPr>
          </c:dPt>
          <c:dPt>
            <c:idx val="100"/>
            <c:invertIfNegative val="1"/>
            <c:bubble3D val="0"/>
            <c:spPr>
              <a:solidFill>
                <a:srgbClr val="4285F4"/>
              </a:solidFill>
              <a:ln cmpd="sng">
                <a:solidFill>
                  <a:srgbClr val="000000"/>
                </a:solidFill>
                <a:prstDash val="solid"/>
              </a:ln>
            </c:spPr>
          </c:dPt>
          <c:dPt>
            <c:idx val="101"/>
            <c:invertIfNegative val="1"/>
            <c:bubble3D val="0"/>
            <c:spPr>
              <a:solidFill>
                <a:srgbClr val="4285F4"/>
              </a:solidFill>
              <a:ln cmpd="sng">
                <a:solidFill>
                  <a:srgbClr val="000000"/>
                </a:solidFill>
                <a:prstDash val="solid"/>
              </a:ln>
            </c:spPr>
          </c:dPt>
          <c:dPt>
            <c:idx val="102"/>
            <c:invertIfNegative val="1"/>
            <c:bubble3D val="0"/>
            <c:spPr>
              <a:solidFill>
                <a:srgbClr val="4285F4"/>
              </a:solidFill>
              <a:ln cmpd="sng">
                <a:solidFill>
                  <a:srgbClr val="000000"/>
                </a:solidFill>
                <a:prstDash val="solid"/>
              </a:ln>
            </c:spPr>
          </c:dPt>
          <c:dPt>
            <c:idx val="103"/>
            <c:invertIfNegative val="1"/>
            <c:bubble3D val="0"/>
            <c:spPr>
              <a:solidFill>
                <a:srgbClr val="4285F4"/>
              </a:solidFill>
              <a:ln cmpd="sng">
                <a:solidFill>
                  <a:srgbClr val="000000"/>
                </a:solidFill>
                <a:prstDash val="solid"/>
              </a:ln>
            </c:spPr>
          </c:dPt>
          <c:dPt>
            <c:idx val="104"/>
            <c:invertIfNegative val="1"/>
            <c:bubble3D val="0"/>
            <c:spPr>
              <a:solidFill>
                <a:srgbClr val="4285F4"/>
              </a:solidFill>
              <a:ln cmpd="sng">
                <a:solidFill>
                  <a:srgbClr val="000000"/>
                </a:solidFill>
                <a:prstDash val="solid"/>
              </a:ln>
            </c:spPr>
          </c:dPt>
          <c:dPt>
            <c:idx val="105"/>
            <c:invertIfNegative val="1"/>
            <c:bubble3D val="0"/>
            <c:spPr>
              <a:solidFill>
                <a:srgbClr val="4285F4"/>
              </a:solidFill>
              <a:ln cmpd="sng">
                <a:solidFill>
                  <a:srgbClr val="000000"/>
                </a:solidFill>
                <a:prstDash val="solid"/>
              </a:ln>
            </c:spPr>
          </c:dPt>
          <c:dPt>
            <c:idx val="106"/>
            <c:invertIfNegative val="1"/>
            <c:bubble3D val="0"/>
            <c:spPr>
              <a:solidFill>
                <a:srgbClr val="4285F4"/>
              </a:solidFill>
              <a:ln cmpd="sng">
                <a:solidFill>
                  <a:srgbClr val="000000"/>
                </a:solidFill>
                <a:prstDash val="solid"/>
              </a:ln>
            </c:spPr>
          </c:dPt>
          <c:dPt>
            <c:idx val="107"/>
            <c:invertIfNegative val="1"/>
            <c:bubble3D val="0"/>
            <c:spPr>
              <a:solidFill>
                <a:srgbClr val="4285F4"/>
              </a:solidFill>
              <a:ln cmpd="sng">
                <a:solidFill>
                  <a:srgbClr val="000000"/>
                </a:solidFill>
                <a:prstDash val="solid"/>
              </a:ln>
            </c:spPr>
          </c:dPt>
          <c:dPt>
            <c:idx val="108"/>
            <c:invertIfNegative val="1"/>
            <c:bubble3D val="0"/>
            <c:spPr>
              <a:solidFill>
                <a:srgbClr val="4285F4"/>
              </a:solidFill>
              <a:ln cmpd="sng">
                <a:solidFill>
                  <a:srgbClr val="000000"/>
                </a:solidFill>
                <a:prstDash val="solid"/>
              </a:ln>
            </c:spPr>
          </c:dPt>
          <c:dPt>
            <c:idx val="109"/>
            <c:invertIfNegative val="1"/>
            <c:bubble3D val="0"/>
            <c:spPr>
              <a:solidFill>
                <a:srgbClr val="4285F4"/>
              </a:solidFill>
              <a:ln cmpd="sng">
                <a:solidFill>
                  <a:srgbClr val="000000"/>
                </a:solidFill>
                <a:prstDash val="solid"/>
              </a:ln>
            </c:spPr>
          </c:dPt>
          <c:dPt>
            <c:idx val="110"/>
            <c:invertIfNegative val="1"/>
            <c:bubble3D val="0"/>
            <c:spPr>
              <a:solidFill>
                <a:srgbClr val="4285F4"/>
              </a:solidFill>
              <a:ln cmpd="sng">
                <a:solidFill>
                  <a:srgbClr val="000000"/>
                </a:solidFill>
                <a:prstDash val="solid"/>
              </a:ln>
            </c:spPr>
          </c:dPt>
          <c:dPt>
            <c:idx val="111"/>
            <c:invertIfNegative val="1"/>
            <c:bubble3D val="0"/>
            <c:spPr>
              <a:solidFill>
                <a:srgbClr val="4285F4"/>
              </a:solidFill>
              <a:ln cmpd="sng">
                <a:solidFill>
                  <a:srgbClr val="000000"/>
                </a:solidFill>
                <a:prstDash val="solid"/>
              </a:ln>
            </c:spPr>
          </c:dPt>
          <c:dPt>
            <c:idx val="112"/>
            <c:invertIfNegative val="1"/>
            <c:bubble3D val="0"/>
            <c:spPr>
              <a:solidFill>
                <a:srgbClr val="4285F4"/>
              </a:solidFill>
              <a:ln cmpd="sng">
                <a:solidFill>
                  <a:srgbClr val="000000"/>
                </a:solidFill>
                <a:prstDash val="solid"/>
              </a:ln>
            </c:spPr>
          </c:dPt>
          <c:dPt>
            <c:idx val="113"/>
            <c:invertIfNegative val="1"/>
            <c:bubble3D val="0"/>
            <c:spPr>
              <a:solidFill>
                <a:srgbClr val="4285F4"/>
              </a:solidFill>
              <a:ln cmpd="sng">
                <a:solidFill>
                  <a:srgbClr val="000000"/>
                </a:solidFill>
                <a:prstDash val="solid"/>
              </a:ln>
            </c:spPr>
          </c:dPt>
          <c:dPt>
            <c:idx val="114"/>
            <c:invertIfNegative val="1"/>
            <c:bubble3D val="0"/>
            <c:spPr>
              <a:solidFill>
                <a:srgbClr val="4285F4"/>
              </a:solidFill>
              <a:ln cmpd="sng">
                <a:solidFill>
                  <a:srgbClr val="000000"/>
                </a:solidFill>
                <a:prstDash val="solid"/>
              </a:ln>
            </c:spPr>
          </c:dPt>
          <c:dPt>
            <c:idx val="115"/>
            <c:invertIfNegative val="1"/>
            <c:bubble3D val="0"/>
            <c:spPr>
              <a:solidFill>
                <a:srgbClr val="4285F4"/>
              </a:solidFill>
              <a:ln cmpd="sng">
                <a:solidFill>
                  <a:srgbClr val="000000"/>
                </a:solidFill>
                <a:prstDash val="solid"/>
              </a:ln>
            </c:spPr>
          </c:dPt>
          <c:dPt>
            <c:idx val="116"/>
            <c:invertIfNegative val="1"/>
            <c:bubble3D val="0"/>
            <c:spPr>
              <a:solidFill>
                <a:srgbClr val="4285F4"/>
              </a:solidFill>
              <a:ln cmpd="sng">
                <a:solidFill>
                  <a:srgbClr val="000000"/>
                </a:solidFill>
                <a:prstDash val="solid"/>
              </a:ln>
            </c:spPr>
          </c:dPt>
          <c:dPt>
            <c:idx val="117"/>
            <c:invertIfNegative val="1"/>
            <c:bubble3D val="0"/>
            <c:spPr>
              <a:solidFill>
                <a:srgbClr val="4285F4"/>
              </a:solidFill>
              <a:ln cmpd="sng">
                <a:solidFill>
                  <a:srgbClr val="000000"/>
                </a:solidFill>
                <a:prstDash val="solid"/>
              </a:ln>
            </c:spPr>
          </c:dPt>
          <c:dPt>
            <c:idx val="118"/>
            <c:invertIfNegative val="1"/>
            <c:bubble3D val="0"/>
            <c:spPr>
              <a:solidFill>
                <a:srgbClr val="4285F4"/>
              </a:solidFill>
              <a:ln cmpd="sng">
                <a:solidFill>
                  <a:srgbClr val="000000"/>
                </a:solidFill>
                <a:prstDash val="solid"/>
              </a:ln>
            </c:spPr>
          </c:dPt>
          <c:dPt>
            <c:idx val="119"/>
            <c:invertIfNegative val="1"/>
            <c:bubble3D val="0"/>
            <c:spPr>
              <a:solidFill>
                <a:srgbClr val="4285F4"/>
              </a:solidFill>
              <a:ln cmpd="sng">
                <a:solidFill>
                  <a:srgbClr val="000000"/>
                </a:solidFill>
                <a:prstDash val="solid"/>
              </a:ln>
            </c:spPr>
          </c:dPt>
          <c:dPt>
            <c:idx val="120"/>
            <c:invertIfNegative val="1"/>
            <c:bubble3D val="0"/>
            <c:spPr>
              <a:solidFill>
                <a:srgbClr val="4285F4"/>
              </a:solidFill>
              <a:ln cmpd="sng">
                <a:solidFill>
                  <a:srgbClr val="000000"/>
                </a:solidFill>
                <a:prstDash val="solid"/>
              </a:ln>
            </c:spPr>
          </c:dPt>
          <c:dPt>
            <c:idx val="121"/>
            <c:invertIfNegative val="1"/>
            <c:bubble3D val="0"/>
            <c:spPr>
              <a:solidFill>
                <a:srgbClr val="4285F4"/>
              </a:solidFill>
              <a:ln cmpd="sng">
                <a:solidFill>
                  <a:srgbClr val="000000"/>
                </a:solidFill>
                <a:prstDash val="solid"/>
              </a:ln>
            </c:spPr>
          </c:dPt>
          <c:dPt>
            <c:idx val="122"/>
            <c:invertIfNegative val="1"/>
            <c:bubble3D val="0"/>
            <c:spPr>
              <a:solidFill>
                <a:srgbClr val="4285F4"/>
              </a:solidFill>
              <a:ln cmpd="sng">
                <a:solidFill>
                  <a:srgbClr val="000000"/>
                </a:solidFill>
                <a:prstDash val="solid"/>
              </a:ln>
            </c:spPr>
          </c:dPt>
          <c:dPt>
            <c:idx val="123"/>
            <c:invertIfNegative val="1"/>
            <c:bubble3D val="0"/>
            <c:spPr>
              <a:solidFill>
                <a:srgbClr val="4285F4"/>
              </a:solidFill>
              <a:ln cmpd="sng">
                <a:solidFill>
                  <a:srgbClr val="000000"/>
                </a:solidFill>
                <a:prstDash val="solid"/>
              </a:ln>
            </c:spPr>
          </c:dPt>
          <c:dPt>
            <c:idx val="124"/>
            <c:invertIfNegative val="1"/>
            <c:bubble3D val="0"/>
            <c:spPr>
              <a:solidFill>
                <a:srgbClr val="4285F4"/>
              </a:solidFill>
              <a:ln cmpd="sng">
                <a:solidFill>
                  <a:srgbClr val="000000"/>
                </a:solidFill>
                <a:prstDash val="solid"/>
              </a:ln>
            </c:spPr>
          </c:dPt>
          <c:dPt>
            <c:idx val="125"/>
            <c:invertIfNegative val="1"/>
            <c:bubble3D val="0"/>
            <c:spPr>
              <a:solidFill>
                <a:srgbClr val="4285F4"/>
              </a:solidFill>
              <a:ln cmpd="sng">
                <a:solidFill>
                  <a:srgbClr val="000000"/>
                </a:solidFill>
                <a:prstDash val="solid"/>
              </a:ln>
            </c:spPr>
          </c:dPt>
          <c:dPt>
            <c:idx val="126"/>
            <c:invertIfNegative val="1"/>
            <c:bubble3D val="0"/>
            <c:spPr>
              <a:solidFill>
                <a:srgbClr val="4285F4"/>
              </a:solidFill>
              <a:ln cmpd="sng">
                <a:solidFill>
                  <a:srgbClr val="000000"/>
                </a:solidFill>
                <a:prstDash val="solid"/>
              </a:ln>
            </c:spPr>
          </c:dPt>
          <c:dPt>
            <c:idx val="127"/>
            <c:invertIfNegative val="1"/>
            <c:bubble3D val="0"/>
            <c:spPr>
              <a:solidFill>
                <a:srgbClr val="4285F4"/>
              </a:solidFill>
              <a:ln cmpd="sng">
                <a:solidFill>
                  <a:srgbClr val="000000"/>
                </a:solidFill>
                <a:prstDash val="solid"/>
              </a:ln>
            </c:spPr>
          </c:dPt>
          <c:dPt>
            <c:idx val="128"/>
            <c:invertIfNegative val="1"/>
            <c:bubble3D val="0"/>
            <c:spPr>
              <a:solidFill>
                <a:srgbClr val="4285F4"/>
              </a:solidFill>
              <a:ln cmpd="sng">
                <a:solidFill>
                  <a:srgbClr val="000000"/>
                </a:solidFill>
                <a:prstDash val="solid"/>
              </a:ln>
            </c:spPr>
          </c:dPt>
          <c:dPt>
            <c:idx val="129"/>
            <c:invertIfNegative val="1"/>
            <c:bubble3D val="0"/>
            <c:spPr>
              <a:solidFill>
                <a:srgbClr val="4285F4"/>
              </a:solidFill>
              <a:ln cmpd="sng">
                <a:solidFill>
                  <a:srgbClr val="000000"/>
                </a:solidFill>
                <a:prstDash val="solid"/>
              </a:ln>
            </c:spPr>
          </c:dPt>
          <c:dPt>
            <c:idx val="130"/>
            <c:invertIfNegative val="1"/>
            <c:bubble3D val="0"/>
            <c:spPr>
              <a:solidFill>
                <a:srgbClr val="4285F4"/>
              </a:solidFill>
              <a:ln cmpd="sng">
                <a:solidFill>
                  <a:srgbClr val="000000"/>
                </a:solidFill>
                <a:prstDash val="solid"/>
              </a:ln>
            </c:spPr>
          </c:dPt>
          <c:dPt>
            <c:idx val="131"/>
            <c:invertIfNegative val="1"/>
            <c:bubble3D val="0"/>
            <c:spPr>
              <a:solidFill>
                <a:srgbClr val="4285F4"/>
              </a:solidFill>
              <a:ln cmpd="sng">
                <a:solidFill>
                  <a:srgbClr val="000000"/>
                </a:solidFill>
                <a:prstDash val="solid"/>
              </a:ln>
            </c:spPr>
          </c:dPt>
          <c:dPt>
            <c:idx val="132"/>
            <c:invertIfNegative val="1"/>
            <c:bubble3D val="0"/>
            <c:spPr>
              <a:solidFill>
                <a:srgbClr val="4285F4"/>
              </a:solidFill>
              <a:ln cmpd="sng">
                <a:solidFill>
                  <a:srgbClr val="000000"/>
                </a:solidFill>
                <a:prstDash val="solid"/>
              </a:ln>
            </c:spPr>
          </c:dPt>
          <c:dPt>
            <c:idx val="133"/>
            <c:invertIfNegative val="1"/>
            <c:bubble3D val="0"/>
            <c:spPr>
              <a:solidFill>
                <a:srgbClr val="4285F4"/>
              </a:solidFill>
              <a:ln cmpd="sng">
                <a:solidFill>
                  <a:srgbClr val="000000"/>
                </a:solidFill>
                <a:prstDash val="solid"/>
              </a:ln>
            </c:spPr>
          </c:dPt>
          <c:dPt>
            <c:idx val="134"/>
            <c:invertIfNegative val="1"/>
            <c:bubble3D val="0"/>
            <c:spPr>
              <a:solidFill>
                <a:srgbClr val="4285F4"/>
              </a:solidFill>
              <a:ln cmpd="sng">
                <a:solidFill>
                  <a:srgbClr val="000000"/>
                </a:solidFill>
                <a:prstDash val="solid"/>
              </a:ln>
            </c:spPr>
          </c:dPt>
          <c:dPt>
            <c:idx val="135"/>
            <c:invertIfNegative val="1"/>
            <c:bubble3D val="0"/>
            <c:spPr>
              <a:solidFill>
                <a:srgbClr val="4285F4"/>
              </a:solidFill>
              <a:ln cmpd="sng">
                <a:solidFill>
                  <a:srgbClr val="000000"/>
                </a:solidFill>
                <a:prstDash val="solid"/>
              </a:ln>
            </c:spPr>
          </c:dPt>
          <c:dPt>
            <c:idx val="136"/>
            <c:invertIfNegative val="1"/>
            <c:bubble3D val="0"/>
            <c:spPr>
              <a:solidFill>
                <a:srgbClr val="4285F4"/>
              </a:solidFill>
              <a:ln cmpd="sng">
                <a:solidFill>
                  <a:srgbClr val="000000"/>
                </a:solidFill>
                <a:prstDash val="solid"/>
              </a:ln>
            </c:spPr>
          </c:dPt>
          <c:dPt>
            <c:idx val="137"/>
            <c:invertIfNegative val="1"/>
            <c:bubble3D val="0"/>
            <c:spPr>
              <a:solidFill>
                <a:srgbClr val="4285F4"/>
              </a:solidFill>
              <a:ln cmpd="sng">
                <a:solidFill>
                  <a:srgbClr val="000000"/>
                </a:solidFill>
                <a:prstDash val="solid"/>
              </a:ln>
            </c:spPr>
          </c:dPt>
          <c:dPt>
            <c:idx val="138"/>
            <c:invertIfNegative val="1"/>
            <c:bubble3D val="0"/>
            <c:spPr>
              <a:solidFill>
                <a:srgbClr val="4285F4"/>
              </a:solidFill>
              <a:ln cmpd="sng">
                <a:solidFill>
                  <a:srgbClr val="000000"/>
                </a:solidFill>
                <a:prstDash val="solid"/>
              </a:ln>
            </c:spPr>
          </c:dPt>
          <c:dPt>
            <c:idx val="139"/>
            <c:invertIfNegative val="1"/>
            <c:bubble3D val="0"/>
            <c:spPr>
              <a:solidFill>
                <a:srgbClr val="4285F4"/>
              </a:solidFill>
              <a:ln cmpd="sng">
                <a:solidFill>
                  <a:srgbClr val="000000"/>
                </a:solidFill>
                <a:prstDash val="solid"/>
              </a:ln>
            </c:spPr>
          </c:dPt>
          <c:dPt>
            <c:idx val="140"/>
            <c:invertIfNegative val="1"/>
            <c:bubble3D val="0"/>
            <c:spPr>
              <a:solidFill>
                <a:srgbClr val="4285F4"/>
              </a:solidFill>
              <a:ln cmpd="sng">
                <a:solidFill>
                  <a:srgbClr val="000000"/>
                </a:solidFill>
                <a:prstDash val="solid"/>
              </a:ln>
            </c:spPr>
          </c:dPt>
          <c:dPt>
            <c:idx val="141"/>
            <c:invertIfNegative val="1"/>
            <c:bubble3D val="0"/>
            <c:spPr>
              <a:solidFill>
                <a:srgbClr val="4285F4"/>
              </a:solidFill>
              <a:ln cmpd="sng">
                <a:solidFill>
                  <a:srgbClr val="000000"/>
                </a:solidFill>
                <a:prstDash val="solid"/>
              </a:ln>
            </c:spPr>
          </c:dPt>
          <c:dPt>
            <c:idx val="142"/>
            <c:invertIfNegative val="1"/>
            <c:bubble3D val="0"/>
            <c:spPr>
              <a:solidFill>
                <a:srgbClr val="4285F4"/>
              </a:solidFill>
              <a:ln cmpd="sng">
                <a:solidFill>
                  <a:srgbClr val="000000"/>
                </a:solidFill>
                <a:prstDash val="solid"/>
              </a:ln>
            </c:spPr>
          </c:dPt>
          <c:dPt>
            <c:idx val="143"/>
            <c:invertIfNegative val="1"/>
            <c:bubble3D val="0"/>
            <c:spPr>
              <a:solidFill>
                <a:srgbClr val="4285F4"/>
              </a:solidFill>
              <a:ln cmpd="sng">
                <a:solidFill>
                  <a:srgbClr val="000000"/>
                </a:solidFill>
                <a:prstDash val="solid"/>
              </a:ln>
            </c:spPr>
          </c:dPt>
          <c:dPt>
            <c:idx val="144"/>
            <c:invertIfNegative val="1"/>
            <c:bubble3D val="0"/>
            <c:spPr>
              <a:solidFill>
                <a:srgbClr val="4285F4"/>
              </a:solidFill>
              <a:ln cmpd="sng">
                <a:solidFill>
                  <a:srgbClr val="000000"/>
                </a:solidFill>
                <a:prstDash val="solid"/>
              </a:ln>
            </c:spPr>
          </c:dPt>
          <c:dPt>
            <c:idx val="145"/>
            <c:invertIfNegative val="1"/>
            <c:bubble3D val="0"/>
            <c:spPr>
              <a:solidFill>
                <a:srgbClr val="4285F4"/>
              </a:solidFill>
              <a:ln cmpd="sng">
                <a:solidFill>
                  <a:srgbClr val="000000"/>
                </a:solidFill>
                <a:prstDash val="solid"/>
              </a:ln>
            </c:spPr>
          </c:dPt>
          <c:dPt>
            <c:idx val="146"/>
            <c:invertIfNegative val="1"/>
            <c:bubble3D val="0"/>
            <c:spPr>
              <a:solidFill>
                <a:srgbClr val="4285F4"/>
              </a:solidFill>
              <a:ln cmpd="sng">
                <a:solidFill>
                  <a:srgbClr val="000000"/>
                </a:solidFill>
                <a:prstDash val="solid"/>
              </a:ln>
            </c:spPr>
          </c:dPt>
          <c:dPt>
            <c:idx val="147"/>
            <c:invertIfNegative val="1"/>
            <c:bubble3D val="0"/>
            <c:spPr>
              <a:solidFill>
                <a:srgbClr val="4285F4"/>
              </a:solidFill>
              <a:ln cmpd="sng">
                <a:solidFill>
                  <a:srgbClr val="000000"/>
                </a:solidFill>
                <a:prstDash val="solid"/>
              </a:ln>
            </c:spPr>
          </c:dPt>
          <c:dPt>
            <c:idx val="148"/>
            <c:invertIfNegative val="1"/>
            <c:bubble3D val="0"/>
            <c:spPr>
              <a:solidFill>
                <a:srgbClr val="4285F4"/>
              </a:solidFill>
              <a:ln cmpd="sng">
                <a:solidFill>
                  <a:srgbClr val="000000"/>
                </a:solidFill>
                <a:prstDash val="solid"/>
              </a:ln>
            </c:spPr>
          </c:dPt>
          <c:dPt>
            <c:idx val="149"/>
            <c:invertIfNegative val="1"/>
            <c:bubble3D val="0"/>
            <c:spPr>
              <a:solidFill>
                <a:srgbClr val="4285F4"/>
              </a:solidFill>
              <a:ln cmpd="sng">
                <a:solidFill>
                  <a:srgbClr val="000000"/>
                </a:solidFill>
                <a:prstDash val="solid"/>
              </a:ln>
            </c:spPr>
          </c:dPt>
          <c:dPt>
            <c:idx val="150"/>
            <c:invertIfNegative val="1"/>
            <c:bubble3D val="0"/>
            <c:spPr>
              <a:solidFill>
                <a:srgbClr val="4285F4"/>
              </a:solidFill>
              <a:ln cmpd="sng">
                <a:solidFill>
                  <a:srgbClr val="000000"/>
                </a:solidFill>
                <a:prstDash val="solid"/>
              </a:ln>
            </c:spPr>
          </c:dPt>
          <c:dPt>
            <c:idx val="151"/>
            <c:invertIfNegative val="1"/>
            <c:bubble3D val="0"/>
            <c:spPr>
              <a:solidFill>
                <a:srgbClr val="4285F4"/>
              </a:solidFill>
              <a:ln cmpd="sng">
                <a:solidFill>
                  <a:srgbClr val="000000"/>
                </a:solidFill>
                <a:prstDash val="solid"/>
              </a:ln>
            </c:spPr>
          </c:dPt>
          <c:dPt>
            <c:idx val="152"/>
            <c:invertIfNegative val="1"/>
            <c:bubble3D val="0"/>
            <c:spPr>
              <a:solidFill>
                <a:srgbClr val="4285F4"/>
              </a:solidFill>
              <a:ln cmpd="sng">
                <a:solidFill>
                  <a:srgbClr val="000000"/>
                </a:solidFill>
                <a:prstDash val="solid"/>
              </a:ln>
            </c:spPr>
          </c:dPt>
          <c:dPt>
            <c:idx val="153"/>
            <c:invertIfNegative val="1"/>
            <c:bubble3D val="0"/>
            <c:spPr>
              <a:solidFill>
                <a:srgbClr val="4285F4"/>
              </a:solidFill>
              <a:ln cmpd="sng">
                <a:solidFill>
                  <a:srgbClr val="000000"/>
                </a:solidFill>
                <a:prstDash val="solid"/>
              </a:ln>
            </c:spPr>
          </c:dPt>
          <c:dPt>
            <c:idx val="154"/>
            <c:invertIfNegative val="1"/>
            <c:bubble3D val="0"/>
            <c:spPr>
              <a:solidFill>
                <a:srgbClr val="4285F4"/>
              </a:solidFill>
              <a:ln cmpd="sng">
                <a:solidFill>
                  <a:srgbClr val="000000"/>
                </a:solidFill>
                <a:prstDash val="solid"/>
              </a:ln>
            </c:spPr>
          </c:dPt>
          <c:dPt>
            <c:idx val="155"/>
            <c:invertIfNegative val="1"/>
            <c:bubble3D val="0"/>
            <c:spPr>
              <a:solidFill>
                <a:srgbClr val="4285F4"/>
              </a:solidFill>
              <a:ln cmpd="sng">
                <a:solidFill>
                  <a:srgbClr val="000000"/>
                </a:solidFill>
                <a:prstDash val="solid"/>
              </a:ln>
            </c:spPr>
          </c:dPt>
          <c:dPt>
            <c:idx val="156"/>
            <c:invertIfNegative val="1"/>
            <c:bubble3D val="0"/>
            <c:spPr>
              <a:solidFill>
                <a:srgbClr val="4285F4"/>
              </a:solidFill>
              <a:ln cmpd="sng">
                <a:solidFill>
                  <a:srgbClr val="000000"/>
                </a:solidFill>
                <a:prstDash val="solid"/>
              </a:ln>
            </c:spPr>
          </c:dPt>
          <c:dPt>
            <c:idx val="157"/>
            <c:invertIfNegative val="1"/>
            <c:bubble3D val="0"/>
            <c:spPr>
              <a:solidFill>
                <a:srgbClr val="4285F4"/>
              </a:solidFill>
              <a:ln cmpd="sng">
                <a:solidFill>
                  <a:srgbClr val="000000"/>
                </a:solidFill>
                <a:prstDash val="solid"/>
              </a:ln>
            </c:spPr>
          </c:dPt>
          <c:dPt>
            <c:idx val="158"/>
            <c:invertIfNegative val="1"/>
            <c:bubble3D val="0"/>
            <c:spPr>
              <a:solidFill>
                <a:srgbClr val="4285F4"/>
              </a:solidFill>
              <a:ln cmpd="sng">
                <a:solidFill>
                  <a:srgbClr val="000000"/>
                </a:solidFill>
                <a:prstDash val="solid"/>
              </a:ln>
            </c:spPr>
          </c:dPt>
          <c:dPt>
            <c:idx val="159"/>
            <c:invertIfNegative val="1"/>
            <c:bubble3D val="0"/>
            <c:spPr>
              <a:solidFill>
                <a:srgbClr val="4285F4"/>
              </a:solidFill>
              <a:ln cmpd="sng">
                <a:solidFill>
                  <a:srgbClr val="000000"/>
                </a:solidFill>
                <a:prstDash val="solid"/>
              </a:ln>
            </c:spPr>
          </c:dPt>
          <c:dPt>
            <c:idx val="160"/>
            <c:invertIfNegative val="1"/>
            <c:bubble3D val="0"/>
            <c:spPr>
              <a:solidFill>
                <a:srgbClr val="4285F4"/>
              </a:solidFill>
              <a:ln cmpd="sng">
                <a:solidFill>
                  <a:srgbClr val="000000"/>
                </a:solidFill>
                <a:prstDash val="solid"/>
              </a:ln>
            </c:spPr>
          </c:dPt>
          <c:dPt>
            <c:idx val="161"/>
            <c:invertIfNegative val="1"/>
            <c:bubble3D val="0"/>
            <c:spPr>
              <a:solidFill>
                <a:srgbClr val="4285F4"/>
              </a:solidFill>
              <a:ln cmpd="sng">
                <a:solidFill>
                  <a:srgbClr val="000000"/>
                </a:solidFill>
                <a:prstDash val="solid"/>
              </a:ln>
            </c:spPr>
          </c:dPt>
          <c:dPt>
            <c:idx val="162"/>
            <c:invertIfNegative val="1"/>
            <c:bubble3D val="0"/>
            <c:spPr>
              <a:solidFill>
                <a:srgbClr val="4285F4"/>
              </a:solidFill>
              <a:ln cmpd="sng">
                <a:solidFill>
                  <a:srgbClr val="000000"/>
                </a:solidFill>
                <a:prstDash val="solid"/>
              </a:ln>
            </c:spPr>
          </c:dPt>
          <c:dPt>
            <c:idx val="163"/>
            <c:invertIfNegative val="1"/>
            <c:bubble3D val="0"/>
            <c:spPr>
              <a:solidFill>
                <a:srgbClr val="4285F4"/>
              </a:solidFill>
              <a:ln cmpd="sng">
                <a:solidFill>
                  <a:srgbClr val="000000"/>
                </a:solidFill>
                <a:prstDash val="solid"/>
              </a:ln>
            </c:spPr>
          </c:dPt>
          <c:dPt>
            <c:idx val="164"/>
            <c:invertIfNegative val="1"/>
            <c:bubble3D val="0"/>
            <c:spPr>
              <a:solidFill>
                <a:srgbClr val="4285F4"/>
              </a:solidFill>
              <a:ln cmpd="sng">
                <a:solidFill>
                  <a:srgbClr val="000000"/>
                </a:solidFill>
                <a:prstDash val="solid"/>
              </a:ln>
            </c:spPr>
          </c:dPt>
          <c:dPt>
            <c:idx val="165"/>
            <c:invertIfNegative val="1"/>
            <c:bubble3D val="0"/>
            <c:spPr>
              <a:solidFill>
                <a:srgbClr val="4285F4"/>
              </a:solidFill>
              <a:ln cmpd="sng">
                <a:solidFill>
                  <a:srgbClr val="000000"/>
                </a:solidFill>
                <a:prstDash val="solid"/>
              </a:ln>
            </c:spPr>
          </c:dPt>
          <c:dPt>
            <c:idx val="166"/>
            <c:invertIfNegative val="1"/>
            <c:bubble3D val="0"/>
            <c:spPr>
              <a:solidFill>
                <a:srgbClr val="4285F4"/>
              </a:solidFill>
              <a:ln cmpd="sng">
                <a:solidFill>
                  <a:srgbClr val="000000"/>
                </a:solidFill>
                <a:prstDash val="solid"/>
              </a:ln>
            </c:spPr>
          </c:dPt>
          <c:dPt>
            <c:idx val="167"/>
            <c:invertIfNegative val="1"/>
            <c:bubble3D val="0"/>
            <c:spPr>
              <a:solidFill>
                <a:srgbClr val="4285F4"/>
              </a:solidFill>
              <a:ln cmpd="sng">
                <a:solidFill>
                  <a:srgbClr val="000000"/>
                </a:solidFill>
                <a:prstDash val="solid"/>
              </a:ln>
            </c:spPr>
          </c:dPt>
          <c:dPt>
            <c:idx val="168"/>
            <c:invertIfNegative val="1"/>
            <c:bubble3D val="0"/>
            <c:spPr>
              <a:solidFill>
                <a:srgbClr val="4285F4"/>
              </a:solidFill>
              <a:ln cmpd="sng">
                <a:solidFill>
                  <a:srgbClr val="000000"/>
                </a:solidFill>
                <a:prstDash val="solid"/>
              </a:ln>
            </c:spPr>
          </c:dPt>
          <c:dPt>
            <c:idx val="169"/>
            <c:invertIfNegative val="1"/>
            <c:bubble3D val="0"/>
            <c:spPr>
              <a:solidFill>
                <a:srgbClr val="4285F4"/>
              </a:solidFill>
              <a:ln cmpd="sng">
                <a:solidFill>
                  <a:srgbClr val="000000"/>
                </a:solidFill>
                <a:prstDash val="solid"/>
              </a:ln>
            </c:spPr>
          </c:dPt>
          <c:dPt>
            <c:idx val="170"/>
            <c:invertIfNegative val="1"/>
            <c:bubble3D val="0"/>
            <c:spPr>
              <a:solidFill>
                <a:srgbClr val="4285F4"/>
              </a:solidFill>
              <a:ln cmpd="sng">
                <a:solidFill>
                  <a:srgbClr val="000000"/>
                </a:solidFill>
                <a:prstDash val="solid"/>
              </a:ln>
            </c:spPr>
          </c:dPt>
          <c:dPt>
            <c:idx val="171"/>
            <c:invertIfNegative val="1"/>
            <c:bubble3D val="0"/>
            <c:spPr>
              <a:solidFill>
                <a:srgbClr val="4285F4"/>
              </a:solidFill>
              <a:ln cmpd="sng">
                <a:solidFill>
                  <a:srgbClr val="000000"/>
                </a:solidFill>
                <a:prstDash val="solid"/>
              </a:ln>
            </c:spPr>
          </c:dPt>
          <c:dPt>
            <c:idx val="172"/>
            <c:invertIfNegative val="1"/>
            <c:bubble3D val="0"/>
            <c:spPr>
              <a:solidFill>
                <a:srgbClr val="4285F4"/>
              </a:solidFill>
              <a:ln cmpd="sng">
                <a:solidFill>
                  <a:srgbClr val="000000"/>
                </a:solidFill>
                <a:prstDash val="solid"/>
              </a:ln>
            </c:spPr>
          </c:dPt>
          <c:dPt>
            <c:idx val="173"/>
            <c:invertIfNegative val="1"/>
            <c:bubble3D val="0"/>
            <c:spPr>
              <a:solidFill>
                <a:srgbClr val="4285F4"/>
              </a:solidFill>
              <a:ln cmpd="sng">
                <a:solidFill>
                  <a:srgbClr val="000000"/>
                </a:solidFill>
                <a:prstDash val="solid"/>
              </a:ln>
            </c:spPr>
          </c:dPt>
          <c:dPt>
            <c:idx val="174"/>
            <c:invertIfNegative val="1"/>
            <c:bubble3D val="0"/>
            <c:spPr>
              <a:solidFill>
                <a:srgbClr val="4285F4"/>
              </a:solidFill>
              <a:ln cmpd="sng">
                <a:solidFill>
                  <a:srgbClr val="000000"/>
                </a:solidFill>
                <a:prstDash val="solid"/>
              </a:ln>
            </c:spPr>
          </c:dPt>
          <c:dPt>
            <c:idx val="175"/>
            <c:invertIfNegative val="1"/>
            <c:bubble3D val="0"/>
            <c:spPr>
              <a:solidFill>
                <a:srgbClr val="4285F4"/>
              </a:solidFill>
              <a:ln cmpd="sng">
                <a:solidFill>
                  <a:srgbClr val="000000"/>
                </a:solidFill>
                <a:prstDash val="solid"/>
              </a:ln>
            </c:spPr>
          </c:dPt>
          <c:dPt>
            <c:idx val="176"/>
            <c:invertIfNegative val="1"/>
            <c:bubble3D val="0"/>
            <c:spPr>
              <a:solidFill>
                <a:srgbClr val="4285F4"/>
              </a:solidFill>
              <a:ln cmpd="sng">
                <a:solidFill>
                  <a:srgbClr val="000000"/>
                </a:solidFill>
                <a:prstDash val="solid"/>
              </a:ln>
            </c:spPr>
          </c:dPt>
          <c:dPt>
            <c:idx val="177"/>
            <c:invertIfNegative val="1"/>
            <c:bubble3D val="0"/>
            <c:spPr>
              <a:solidFill>
                <a:srgbClr val="4285F4"/>
              </a:solidFill>
              <a:ln cmpd="sng">
                <a:solidFill>
                  <a:srgbClr val="000000"/>
                </a:solidFill>
                <a:prstDash val="solid"/>
              </a:ln>
            </c:spPr>
          </c:dPt>
          <c:dPt>
            <c:idx val="178"/>
            <c:invertIfNegative val="1"/>
            <c:bubble3D val="0"/>
            <c:spPr>
              <a:solidFill>
                <a:srgbClr val="4285F4"/>
              </a:solidFill>
              <a:ln cmpd="sng">
                <a:solidFill>
                  <a:srgbClr val="000000"/>
                </a:solidFill>
                <a:prstDash val="solid"/>
              </a:ln>
            </c:spPr>
          </c:dPt>
          <c:dPt>
            <c:idx val="179"/>
            <c:invertIfNegative val="1"/>
            <c:bubble3D val="0"/>
            <c:spPr>
              <a:solidFill>
                <a:srgbClr val="4285F4"/>
              </a:solidFill>
              <a:ln cmpd="sng">
                <a:solidFill>
                  <a:srgbClr val="000000"/>
                </a:solidFill>
                <a:prstDash val="solid"/>
              </a:ln>
            </c:spPr>
          </c:dPt>
          <c:dPt>
            <c:idx val="180"/>
            <c:invertIfNegative val="1"/>
            <c:bubble3D val="0"/>
            <c:spPr>
              <a:solidFill>
                <a:srgbClr val="4285F4"/>
              </a:solidFill>
              <a:ln cmpd="sng">
                <a:solidFill>
                  <a:srgbClr val="000000"/>
                </a:solidFill>
                <a:prstDash val="solid"/>
              </a:ln>
            </c:spPr>
          </c:dPt>
          <c:dPt>
            <c:idx val="181"/>
            <c:invertIfNegative val="1"/>
            <c:bubble3D val="0"/>
            <c:spPr>
              <a:solidFill>
                <a:srgbClr val="4285F4"/>
              </a:solidFill>
              <a:ln cmpd="sng">
                <a:solidFill>
                  <a:srgbClr val="000000"/>
                </a:solidFill>
                <a:prstDash val="solid"/>
              </a:ln>
            </c:spPr>
          </c:dPt>
          <c:dPt>
            <c:idx val="182"/>
            <c:invertIfNegative val="1"/>
            <c:bubble3D val="0"/>
            <c:spPr>
              <a:solidFill>
                <a:srgbClr val="4285F4"/>
              </a:solidFill>
              <a:ln cmpd="sng">
                <a:solidFill>
                  <a:srgbClr val="000000"/>
                </a:solidFill>
                <a:prstDash val="solid"/>
              </a:ln>
            </c:spPr>
          </c:dPt>
          <c:dPt>
            <c:idx val="183"/>
            <c:invertIfNegative val="1"/>
            <c:bubble3D val="0"/>
            <c:spPr>
              <a:solidFill>
                <a:srgbClr val="4285F4"/>
              </a:solidFill>
              <a:ln cmpd="sng">
                <a:solidFill>
                  <a:srgbClr val="000000"/>
                </a:solidFill>
                <a:prstDash val="solid"/>
              </a:ln>
            </c:spPr>
          </c:dPt>
          <c:dPt>
            <c:idx val="184"/>
            <c:invertIfNegative val="1"/>
            <c:bubble3D val="0"/>
            <c:spPr>
              <a:solidFill>
                <a:srgbClr val="4285F4"/>
              </a:solidFill>
              <a:ln cmpd="sng">
                <a:solidFill>
                  <a:srgbClr val="000000"/>
                </a:solidFill>
                <a:prstDash val="solid"/>
              </a:ln>
            </c:spPr>
          </c:dPt>
          <c:dPt>
            <c:idx val="185"/>
            <c:invertIfNegative val="1"/>
            <c:bubble3D val="0"/>
            <c:spPr>
              <a:solidFill>
                <a:srgbClr val="4285F4"/>
              </a:solidFill>
              <a:ln cmpd="sng">
                <a:solidFill>
                  <a:srgbClr val="000000"/>
                </a:solidFill>
                <a:prstDash val="solid"/>
              </a:ln>
            </c:spPr>
          </c:dPt>
          <c:dPt>
            <c:idx val="186"/>
            <c:invertIfNegative val="1"/>
            <c:bubble3D val="0"/>
            <c:spPr>
              <a:solidFill>
                <a:srgbClr val="4285F4"/>
              </a:solidFill>
              <a:ln cmpd="sng">
                <a:solidFill>
                  <a:srgbClr val="000000"/>
                </a:solidFill>
                <a:prstDash val="solid"/>
              </a:ln>
            </c:spPr>
          </c:dPt>
          <c:dPt>
            <c:idx val="187"/>
            <c:invertIfNegative val="1"/>
            <c:bubble3D val="0"/>
            <c:spPr>
              <a:solidFill>
                <a:srgbClr val="4285F4"/>
              </a:solidFill>
              <a:ln cmpd="sng">
                <a:solidFill>
                  <a:srgbClr val="000000"/>
                </a:solidFill>
                <a:prstDash val="solid"/>
              </a:ln>
            </c:spPr>
          </c:dPt>
          <c:dPt>
            <c:idx val="188"/>
            <c:invertIfNegative val="1"/>
            <c:bubble3D val="0"/>
            <c:spPr>
              <a:solidFill>
                <a:srgbClr val="4285F4"/>
              </a:solidFill>
              <a:ln cmpd="sng">
                <a:solidFill>
                  <a:srgbClr val="000000"/>
                </a:solidFill>
                <a:prstDash val="solid"/>
              </a:ln>
            </c:spPr>
          </c:dPt>
          <c:dPt>
            <c:idx val="189"/>
            <c:invertIfNegative val="1"/>
            <c:bubble3D val="0"/>
            <c:spPr>
              <a:solidFill>
                <a:srgbClr val="4285F4"/>
              </a:solidFill>
              <a:ln cmpd="sng">
                <a:solidFill>
                  <a:srgbClr val="000000"/>
                </a:solidFill>
                <a:prstDash val="solid"/>
              </a:ln>
            </c:spPr>
          </c:dPt>
          <c:dPt>
            <c:idx val="190"/>
            <c:invertIfNegative val="1"/>
            <c:bubble3D val="0"/>
            <c:spPr>
              <a:solidFill>
                <a:srgbClr val="4285F4"/>
              </a:solidFill>
              <a:ln cmpd="sng">
                <a:solidFill>
                  <a:srgbClr val="000000"/>
                </a:solidFill>
                <a:prstDash val="solid"/>
              </a:ln>
            </c:spPr>
          </c:dPt>
          <c:dPt>
            <c:idx val="191"/>
            <c:invertIfNegative val="1"/>
            <c:bubble3D val="0"/>
            <c:spPr>
              <a:solidFill>
                <a:srgbClr val="4285F4"/>
              </a:solidFill>
              <a:ln cmpd="sng">
                <a:solidFill>
                  <a:srgbClr val="000000"/>
                </a:solidFill>
                <a:prstDash val="solid"/>
              </a:ln>
            </c:spPr>
          </c:dPt>
          <c:dPt>
            <c:idx val="192"/>
            <c:invertIfNegative val="1"/>
            <c:bubble3D val="0"/>
            <c:spPr>
              <a:solidFill>
                <a:srgbClr val="4285F4"/>
              </a:solidFill>
              <a:ln cmpd="sng">
                <a:solidFill>
                  <a:srgbClr val="000000"/>
                </a:solidFill>
                <a:prstDash val="solid"/>
              </a:ln>
            </c:spPr>
          </c:dPt>
          <c:dPt>
            <c:idx val="193"/>
            <c:invertIfNegative val="1"/>
            <c:bubble3D val="0"/>
            <c:spPr>
              <a:solidFill>
                <a:srgbClr val="4285F4"/>
              </a:solidFill>
              <a:ln cmpd="sng">
                <a:solidFill>
                  <a:srgbClr val="000000"/>
                </a:solidFill>
                <a:prstDash val="solid"/>
              </a:ln>
            </c:spPr>
          </c:dPt>
          <c:dPt>
            <c:idx val="194"/>
            <c:invertIfNegative val="1"/>
            <c:bubble3D val="0"/>
            <c:spPr>
              <a:solidFill>
                <a:srgbClr val="4285F4"/>
              </a:solidFill>
              <a:ln cmpd="sng">
                <a:solidFill>
                  <a:srgbClr val="000000"/>
                </a:solidFill>
                <a:prstDash val="solid"/>
              </a:ln>
            </c:spPr>
          </c:dPt>
          <c:dPt>
            <c:idx val="195"/>
            <c:invertIfNegative val="1"/>
            <c:bubble3D val="0"/>
            <c:spPr>
              <a:solidFill>
                <a:srgbClr val="4285F4"/>
              </a:solidFill>
              <a:ln cmpd="sng">
                <a:solidFill>
                  <a:srgbClr val="000000"/>
                </a:solidFill>
                <a:prstDash val="solid"/>
              </a:ln>
            </c:spPr>
          </c:dPt>
          <c:dPt>
            <c:idx val="196"/>
            <c:invertIfNegative val="1"/>
            <c:bubble3D val="0"/>
            <c:spPr>
              <a:solidFill>
                <a:srgbClr val="4285F4"/>
              </a:solidFill>
              <a:ln cmpd="sng">
                <a:solidFill>
                  <a:srgbClr val="000000"/>
                </a:solidFill>
                <a:prstDash val="solid"/>
              </a:ln>
            </c:spPr>
          </c:dPt>
          <c:dPt>
            <c:idx val="197"/>
            <c:invertIfNegative val="1"/>
            <c:bubble3D val="0"/>
            <c:spPr>
              <a:solidFill>
                <a:srgbClr val="4285F4"/>
              </a:solidFill>
              <a:ln cmpd="sng">
                <a:solidFill>
                  <a:srgbClr val="000000"/>
                </a:solidFill>
                <a:prstDash val="solid"/>
              </a:ln>
            </c:spPr>
          </c:dPt>
          <c:dPt>
            <c:idx val="198"/>
            <c:invertIfNegative val="1"/>
            <c:bubble3D val="0"/>
            <c:spPr>
              <a:solidFill>
                <a:srgbClr val="4285F4"/>
              </a:solidFill>
              <a:ln cmpd="sng">
                <a:solidFill>
                  <a:srgbClr val="000000"/>
                </a:solidFill>
                <a:prstDash val="solid"/>
              </a:ln>
            </c:spPr>
          </c:dPt>
          <c:dPt>
            <c:idx val="199"/>
            <c:invertIfNegative val="1"/>
            <c:bubble3D val="0"/>
            <c:spPr>
              <a:solidFill>
                <a:srgbClr val="4285F4"/>
              </a:solidFill>
              <a:ln cmpd="sng">
                <a:solidFill>
                  <a:srgbClr val="000000"/>
                </a:solidFill>
                <a:prstDash val="solid"/>
              </a:ln>
            </c:spPr>
          </c:dPt>
          <c:dPt>
            <c:idx val="200"/>
            <c:invertIfNegative val="1"/>
            <c:bubble3D val="0"/>
            <c:spPr>
              <a:solidFill>
                <a:srgbClr val="4285F4"/>
              </a:solidFill>
              <a:ln cmpd="sng">
                <a:solidFill>
                  <a:srgbClr val="000000"/>
                </a:solidFill>
                <a:prstDash val="solid"/>
              </a:ln>
            </c:spPr>
          </c:dPt>
          <c:dPt>
            <c:idx val="201"/>
            <c:invertIfNegative val="1"/>
            <c:bubble3D val="0"/>
            <c:spPr>
              <a:solidFill>
                <a:srgbClr val="4285F4"/>
              </a:solidFill>
              <a:ln cmpd="sng">
                <a:solidFill>
                  <a:srgbClr val="000000"/>
                </a:solidFill>
                <a:prstDash val="solid"/>
              </a:ln>
            </c:spPr>
          </c:dPt>
          <c:dPt>
            <c:idx val="202"/>
            <c:invertIfNegative val="1"/>
            <c:bubble3D val="0"/>
            <c:spPr>
              <a:solidFill>
                <a:srgbClr val="4285F4"/>
              </a:solidFill>
              <a:ln cmpd="sng">
                <a:solidFill>
                  <a:srgbClr val="000000"/>
                </a:solidFill>
                <a:prstDash val="solid"/>
              </a:ln>
            </c:spPr>
          </c:dPt>
          <c:dPt>
            <c:idx val="203"/>
            <c:invertIfNegative val="1"/>
            <c:bubble3D val="0"/>
            <c:spPr>
              <a:solidFill>
                <a:srgbClr val="4285F4"/>
              </a:solidFill>
              <a:ln cmpd="sng">
                <a:solidFill>
                  <a:srgbClr val="000000"/>
                </a:solidFill>
                <a:prstDash val="solid"/>
              </a:ln>
            </c:spPr>
          </c:dPt>
          <c:dPt>
            <c:idx val="204"/>
            <c:invertIfNegative val="1"/>
            <c:bubble3D val="0"/>
            <c:spPr>
              <a:solidFill>
                <a:srgbClr val="4285F4"/>
              </a:solidFill>
              <a:ln cmpd="sng">
                <a:solidFill>
                  <a:srgbClr val="000000"/>
                </a:solidFill>
                <a:prstDash val="solid"/>
              </a:ln>
            </c:spPr>
          </c:dPt>
          <c:dPt>
            <c:idx val="205"/>
            <c:invertIfNegative val="1"/>
            <c:bubble3D val="0"/>
            <c:spPr>
              <a:solidFill>
                <a:srgbClr val="4285F4"/>
              </a:solidFill>
              <a:ln cmpd="sng">
                <a:solidFill>
                  <a:srgbClr val="000000"/>
                </a:solidFill>
                <a:prstDash val="solid"/>
              </a:ln>
            </c:spPr>
          </c:dPt>
          <c:dPt>
            <c:idx val="206"/>
            <c:invertIfNegative val="1"/>
            <c:bubble3D val="0"/>
            <c:spPr>
              <a:solidFill>
                <a:srgbClr val="4285F4"/>
              </a:solidFill>
              <a:ln cmpd="sng">
                <a:solidFill>
                  <a:srgbClr val="000000"/>
                </a:solidFill>
                <a:prstDash val="solid"/>
              </a:ln>
            </c:spPr>
          </c:dPt>
          <c:dPt>
            <c:idx val="207"/>
            <c:invertIfNegative val="1"/>
            <c:bubble3D val="0"/>
            <c:spPr>
              <a:solidFill>
                <a:srgbClr val="4285F4"/>
              </a:solidFill>
              <a:ln cmpd="sng">
                <a:solidFill>
                  <a:srgbClr val="000000"/>
                </a:solidFill>
                <a:prstDash val="solid"/>
              </a:ln>
            </c:spPr>
          </c:dPt>
          <c:dPt>
            <c:idx val="208"/>
            <c:invertIfNegative val="1"/>
            <c:bubble3D val="0"/>
            <c:spPr>
              <a:solidFill>
                <a:srgbClr val="4285F4"/>
              </a:solidFill>
              <a:ln cmpd="sng">
                <a:solidFill>
                  <a:srgbClr val="000000"/>
                </a:solidFill>
                <a:prstDash val="solid"/>
              </a:ln>
            </c:spPr>
          </c:dPt>
          <c:dPt>
            <c:idx val="209"/>
            <c:invertIfNegative val="1"/>
            <c:bubble3D val="0"/>
            <c:spPr>
              <a:solidFill>
                <a:srgbClr val="4285F4"/>
              </a:solidFill>
              <a:ln cmpd="sng">
                <a:solidFill>
                  <a:srgbClr val="000000"/>
                </a:solidFill>
                <a:prstDash val="solid"/>
              </a:ln>
            </c:spPr>
          </c:dPt>
          <c:dPt>
            <c:idx val="210"/>
            <c:invertIfNegative val="1"/>
            <c:bubble3D val="0"/>
            <c:spPr>
              <a:solidFill>
                <a:srgbClr val="4285F4"/>
              </a:solidFill>
              <a:ln cmpd="sng">
                <a:solidFill>
                  <a:srgbClr val="000000"/>
                </a:solidFill>
                <a:prstDash val="solid"/>
              </a:ln>
            </c:spPr>
          </c:dPt>
          <c:dPt>
            <c:idx val="211"/>
            <c:invertIfNegative val="1"/>
            <c:bubble3D val="0"/>
            <c:spPr>
              <a:solidFill>
                <a:srgbClr val="4285F4"/>
              </a:solidFill>
              <a:ln cmpd="sng">
                <a:solidFill>
                  <a:srgbClr val="000000"/>
                </a:solidFill>
                <a:prstDash val="solid"/>
              </a:ln>
            </c:spPr>
          </c:dPt>
          <c:dPt>
            <c:idx val="212"/>
            <c:invertIfNegative val="1"/>
            <c:bubble3D val="0"/>
            <c:spPr>
              <a:solidFill>
                <a:srgbClr val="4285F4"/>
              </a:solidFill>
              <a:ln cmpd="sng">
                <a:solidFill>
                  <a:srgbClr val="000000"/>
                </a:solidFill>
                <a:prstDash val="solid"/>
              </a:ln>
            </c:spPr>
          </c:dPt>
          <c:dPt>
            <c:idx val="213"/>
            <c:invertIfNegative val="1"/>
            <c:bubble3D val="0"/>
            <c:spPr>
              <a:solidFill>
                <a:srgbClr val="4285F4"/>
              </a:solidFill>
              <a:ln cmpd="sng">
                <a:solidFill>
                  <a:srgbClr val="000000"/>
                </a:solidFill>
                <a:prstDash val="solid"/>
              </a:ln>
            </c:spPr>
          </c:dPt>
          <c:dPt>
            <c:idx val="214"/>
            <c:invertIfNegative val="1"/>
            <c:bubble3D val="0"/>
            <c:spPr>
              <a:solidFill>
                <a:srgbClr val="4285F4"/>
              </a:solidFill>
              <a:ln cmpd="sng">
                <a:solidFill>
                  <a:srgbClr val="000000"/>
                </a:solidFill>
                <a:prstDash val="solid"/>
              </a:ln>
            </c:spPr>
          </c:dPt>
          <c:dPt>
            <c:idx val="215"/>
            <c:invertIfNegative val="1"/>
            <c:bubble3D val="0"/>
            <c:spPr>
              <a:solidFill>
                <a:srgbClr val="4285F4"/>
              </a:solidFill>
              <a:ln cmpd="sng">
                <a:solidFill>
                  <a:srgbClr val="000000"/>
                </a:solidFill>
                <a:prstDash val="solid"/>
              </a:ln>
            </c:spPr>
          </c:dPt>
          <c:dPt>
            <c:idx val="216"/>
            <c:invertIfNegative val="1"/>
            <c:bubble3D val="0"/>
            <c:spPr>
              <a:solidFill>
                <a:srgbClr val="4285F4"/>
              </a:solidFill>
              <a:ln cmpd="sng">
                <a:solidFill>
                  <a:srgbClr val="000000"/>
                </a:solidFill>
                <a:prstDash val="solid"/>
              </a:ln>
            </c:spPr>
          </c:dPt>
          <c:dPt>
            <c:idx val="217"/>
            <c:invertIfNegative val="1"/>
            <c:bubble3D val="0"/>
            <c:spPr>
              <a:solidFill>
                <a:srgbClr val="4285F4"/>
              </a:solidFill>
              <a:ln cmpd="sng">
                <a:solidFill>
                  <a:srgbClr val="000000"/>
                </a:solidFill>
                <a:prstDash val="solid"/>
              </a:ln>
            </c:spPr>
          </c:dPt>
          <c:dPt>
            <c:idx val="218"/>
            <c:invertIfNegative val="1"/>
            <c:bubble3D val="0"/>
            <c:spPr>
              <a:solidFill>
                <a:srgbClr val="4285F4"/>
              </a:solidFill>
              <a:ln cmpd="sng">
                <a:solidFill>
                  <a:srgbClr val="000000"/>
                </a:solidFill>
                <a:prstDash val="solid"/>
              </a:ln>
            </c:spPr>
          </c:dPt>
          <c:dPt>
            <c:idx val="219"/>
            <c:invertIfNegative val="1"/>
            <c:bubble3D val="0"/>
            <c:spPr>
              <a:solidFill>
                <a:srgbClr val="4285F4"/>
              </a:solidFill>
              <a:ln cmpd="sng">
                <a:solidFill>
                  <a:srgbClr val="000000"/>
                </a:solidFill>
                <a:prstDash val="solid"/>
              </a:ln>
            </c:spPr>
          </c:dPt>
          <c:dPt>
            <c:idx val="220"/>
            <c:invertIfNegative val="1"/>
            <c:bubble3D val="0"/>
            <c:spPr>
              <a:solidFill>
                <a:srgbClr val="4285F4"/>
              </a:solidFill>
              <a:ln cmpd="sng">
                <a:solidFill>
                  <a:srgbClr val="000000"/>
                </a:solidFill>
                <a:prstDash val="solid"/>
              </a:ln>
            </c:spPr>
          </c:dPt>
          <c:dPt>
            <c:idx val="221"/>
            <c:invertIfNegative val="1"/>
            <c:bubble3D val="0"/>
            <c:spPr>
              <a:solidFill>
                <a:srgbClr val="4285F4"/>
              </a:solidFill>
              <a:ln cmpd="sng">
                <a:solidFill>
                  <a:srgbClr val="000000"/>
                </a:solidFill>
                <a:prstDash val="solid"/>
              </a:ln>
            </c:spPr>
          </c:dPt>
          <c:dPt>
            <c:idx val="222"/>
            <c:invertIfNegative val="1"/>
            <c:bubble3D val="0"/>
            <c:spPr>
              <a:solidFill>
                <a:srgbClr val="4285F4"/>
              </a:solidFill>
              <a:ln cmpd="sng">
                <a:solidFill>
                  <a:srgbClr val="000000"/>
                </a:solidFill>
                <a:prstDash val="solid"/>
              </a:ln>
            </c:spPr>
          </c:dPt>
          <c:dPt>
            <c:idx val="223"/>
            <c:invertIfNegative val="1"/>
            <c:bubble3D val="0"/>
            <c:spPr>
              <a:solidFill>
                <a:srgbClr val="4285F4"/>
              </a:solidFill>
              <a:ln cmpd="sng">
                <a:solidFill>
                  <a:srgbClr val="000000"/>
                </a:solidFill>
                <a:prstDash val="solid"/>
              </a:ln>
            </c:spPr>
          </c:dPt>
          <c:dPt>
            <c:idx val="224"/>
            <c:invertIfNegative val="1"/>
            <c:bubble3D val="0"/>
            <c:spPr>
              <a:solidFill>
                <a:srgbClr val="4285F4"/>
              </a:solidFill>
              <a:ln cmpd="sng">
                <a:solidFill>
                  <a:srgbClr val="000000"/>
                </a:solidFill>
                <a:prstDash val="solid"/>
              </a:ln>
            </c:spPr>
          </c:dPt>
          <c:dPt>
            <c:idx val="225"/>
            <c:invertIfNegative val="1"/>
            <c:bubble3D val="0"/>
            <c:spPr>
              <a:solidFill>
                <a:srgbClr val="4285F4"/>
              </a:solidFill>
              <a:ln cmpd="sng">
                <a:solidFill>
                  <a:srgbClr val="000000"/>
                </a:solidFill>
                <a:prstDash val="solid"/>
              </a:ln>
            </c:spPr>
          </c:dPt>
          <c:dPt>
            <c:idx val="226"/>
            <c:invertIfNegative val="1"/>
            <c:bubble3D val="0"/>
            <c:spPr>
              <a:solidFill>
                <a:srgbClr val="4285F4"/>
              </a:solidFill>
              <a:ln cmpd="sng">
                <a:solidFill>
                  <a:srgbClr val="000000"/>
                </a:solidFill>
                <a:prstDash val="solid"/>
              </a:ln>
            </c:spPr>
          </c:dPt>
          <c:dPt>
            <c:idx val="227"/>
            <c:invertIfNegative val="1"/>
            <c:bubble3D val="0"/>
            <c:spPr>
              <a:solidFill>
                <a:srgbClr val="4285F4"/>
              </a:solidFill>
              <a:ln cmpd="sng">
                <a:solidFill>
                  <a:srgbClr val="000000"/>
                </a:solidFill>
                <a:prstDash val="solid"/>
              </a:ln>
            </c:spPr>
          </c:dPt>
          <c:dPt>
            <c:idx val="228"/>
            <c:invertIfNegative val="1"/>
            <c:bubble3D val="0"/>
            <c:spPr>
              <a:solidFill>
                <a:srgbClr val="4285F4"/>
              </a:solidFill>
              <a:ln cmpd="sng">
                <a:solidFill>
                  <a:srgbClr val="000000"/>
                </a:solidFill>
                <a:prstDash val="solid"/>
              </a:ln>
            </c:spPr>
          </c:dPt>
          <c:dPt>
            <c:idx val="229"/>
            <c:invertIfNegative val="1"/>
            <c:bubble3D val="0"/>
            <c:spPr>
              <a:solidFill>
                <a:srgbClr val="4285F4"/>
              </a:solidFill>
              <a:ln cmpd="sng">
                <a:solidFill>
                  <a:srgbClr val="000000"/>
                </a:solidFill>
                <a:prstDash val="solid"/>
              </a:ln>
            </c:spPr>
          </c:dPt>
          <c:dPt>
            <c:idx val="230"/>
            <c:invertIfNegative val="1"/>
            <c:bubble3D val="0"/>
            <c:spPr>
              <a:solidFill>
                <a:srgbClr val="4285F4"/>
              </a:solidFill>
              <a:ln cmpd="sng">
                <a:solidFill>
                  <a:srgbClr val="000000"/>
                </a:solidFill>
                <a:prstDash val="solid"/>
              </a:ln>
            </c:spPr>
          </c:dPt>
          <c:dPt>
            <c:idx val="231"/>
            <c:invertIfNegative val="1"/>
            <c:bubble3D val="0"/>
            <c:spPr>
              <a:solidFill>
                <a:srgbClr val="4285F4"/>
              </a:solidFill>
              <a:ln cmpd="sng">
                <a:solidFill>
                  <a:srgbClr val="000000"/>
                </a:solidFill>
                <a:prstDash val="solid"/>
              </a:ln>
            </c:spPr>
          </c:dPt>
          <c:dPt>
            <c:idx val="232"/>
            <c:invertIfNegative val="1"/>
            <c:bubble3D val="0"/>
            <c:spPr>
              <a:solidFill>
                <a:srgbClr val="4285F4"/>
              </a:solidFill>
              <a:ln cmpd="sng">
                <a:solidFill>
                  <a:srgbClr val="000000"/>
                </a:solidFill>
                <a:prstDash val="solid"/>
              </a:ln>
            </c:spPr>
          </c:dPt>
          <c:dPt>
            <c:idx val="233"/>
            <c:invertIfNegative val="1"/>
            <c:bubble3D val="0"/>
            <c:spPr>
              <a:solidFill>
                <a:srgbClr val="4285F4"/>
              </a:solidFill>
              <a:ln cmpd="sng">
                <a:solidFill>
                  <a:srgbClr val="000000"/>
                </a:solidFill>
                <a:prstDash val="solid"/>
              </a:ln>
            </c:spPr>
          </c:dPt>
          <c:dPt>
            <c:idx val="234"/>
            <c:invertIfNegative val="1"/>
            <c:bubble3D val="0"/>
            <c:spPr>
              <a:solidFill>
                <a:srgbClr val="4285F4"/>
              </a:solidFill>
              <a:ln cmpd="sng">
                <a:solidFill>
                  <a:srgbClr val="000000"/>
                </a:solidFill>
                <a:prstDash val="solid"/>
              </a:ln>
            </c:spPr>
          </c:dPt>
          <c:dPt>
            <c:idx val="235"/>
            <c:invertIfNegative val="1"/>
            <c:bubble3D val="0"/>
            <c:spPr>
              <a:solidFill>
                <a:srgbClr val="4285F4"/>
              </a:solidFill>
              <a:ln cmpd="sng">
                <a:solidFill>
                  <a:srgbClr val="000000"/>
                </a:solidFill>
                <a:prstDash val="solid"/>
              </a:ln>
            </c:spPr>
          </c:dPt>
          <c:dPt>
            <c:idx val="236"/>
            <c:invertIfNegative val="1"/>
            <c:bubble3D val="0"/>
            <c:spPr>
              <a:solidFill>
                <a:srgbClr val="4285F4"/>
              </a:solidFill>
              <a:ln cmpd="sng">
                <a:solidFill>
                  <a:srgbClr val="000000"/>
                </a:solidFill>
                <a:prstDash val="solid"/>
              </a:ln>
            </c:spPr>
          </c:dPt>
          <c:dPt>
            <c:idx val="237"/>
            <c:invertIfNegative val="1"/>
            <c:bubble3D val="0"/>
            <c:spPr>
              <a:solidFill>
                <a:srgbClr val="4285F4"/>
              </a:solidFill>
              <a:ln cmpd="sng">
                <a:solidFill>
                  <a:srgbClr val="000000"/>
                </a:solidFill>
                <a:prstDash val="solid"/>
              </a:ln>
            </c:spPr>
          </c:dPt>
          <c:dPt>
            <c:idx val="238"/>
            <c:invertIfNegative val="1"/>
            <c:bubble3D val="0"/>
            <c:spPr>
              <a:solidFill>
                <a:srgbClr val="4285F4"/>
              </a:solidFill>
              <a:ln cmpd="sng">
                <a:solidFill>
                  <a:srgbClr val="000000"/>
                </a:solidFill>
                <a:prstDash val="solid"/>
              </a:ln>
            </c:spPr>
          </c:dPt>
          <c:dPt>
            <c:idx val="239"/>
            <c:invertIfNegative val="1"/>
            <c:bubble3D val="0"/>
            <c:spPr>
              <a:solidFill>
                <a:srgbClr val="4285F4"/>
              </a:solidFill>
              <a:ln cmpd="sng">
                <a:solidFill>
                  <a:srgbClr val="000000"/>
                </a:solidFill>
                <a:prstDash val="solid"/>
              </a:ln>
            </c:spPr>
          </c:dPt>
          <c:dPt>
            <c:idx val="240"/>
            <c:invertIfNegative val="1"/>
            <c:bubble3D val="0"/>
            <c:spPr>
              <a:solidFill>
                <a:srgbClr val="4285F4"/>
              </a:solidFill>
              <a:ln cmpd="sng">
                <a:solidFill>
                  <a:srgbClr val="000000"/>
                </a:solidFill>
                <a:prstDash val="solid"/>
              </a:ln>
            </c:spPr>
          </c:dPt>
          <c:dPt>
            <c:idx val="241"/>
            <c:invertIfNegative val="1"/>
            <c:bubble3D val="0"/>
            <c:spPr>
              <a:solidFill>
                <a:srgbClr val="4285F4"/>
              </a:solidFill>
              <a:ln cmpd="sng">
                <a:solidFill>
                  <a:srgbClr val="000000"/>
                </a:solidFill>
                <a:prstDash val="solid"/>
              </a:ln>
            </c:spPr>
          </c:dPt>
          <c:dPt>
            <c:idx val="242"/>
            <c:invertIfNegative val="1"/>
            <c:bubble3D val="0"/>
            <c:spPr>
              <a:solidFill>
                <a:srgbClr val="4285F4"/>
              </a:solidFill>
              <a:ln cmpd="sng">
                <a:solidFill>
                  <a:srgbClr val="000000"/>
                </a:solidFill>
                <a:prstDash val="solid"/>
              </a:ln>
            </c:spPr>
          </c:dPt>
          <c:dPt>
            <c:idx val="243"/>
            <c:invertIfNegative val="1"/>
            <c:bubble3D val="0"/>
            <c:spPr>
              <a:solidFill>
                <a:srgbClr val="4285F4"/>
              </a:solidFill>
              <a:ln cmpd="sng">
                <a:solidFill>
                  <a:srgbClr val="000000"/>
                </a:solidFill>
                <a:prstDash val="solid"/>
              </a:ln>
            </c:spPr>
          </c:dPt>
          <c:dPt>
            <c:idx val="244"/>
            <c:invertIfNegative val="1"/>
            <c:bubble3D val="0"/>
            <c:spPr>
              <a:solidFill>
                <a:srgbClr val="4285F4"/>
              </a:solidFill>
              <a:ln cmpd="sng">
                <a:solidFill>
                  <a:srgbClr val="000000"/>
                </a:solidFill>
                <a:prstDash val="solid"/>
              </a:ln>
            </c:spPr>
          </c:dPt>
          <c:dPt>
            <c:idx val="245"/>
            <c:invertIfNegative val="1"/>
            <c:bubble3D val="0"/>
            <c:spPr>
              <a:solidFill>
                <a:srgbClr val="4285F4"/>
              </a:solidFill>
              <a:ln cmpd="sng">
                <a:solidFill>
                  <a:srgbClr val="000000"/>
                </a:solidFill>
                <a:prstDash val="solid"/>
              </a:ln>
            </c:spPr>
          </c:dPt>
          <c:dPt>
            <c:idx val="246"/>
            <c:invertIfNegative val="1"/>
            <c:bubble3D val="0"/>
            <c:spPr>
              <a:solidFill>
                <a:srgbClr val="4285F4"/>
              </a:solidFill>
              <a:ln cmpd="sng">
                <a:solidFill>
                  <a:srgbClr val="000000"/>
                </a:solidFill>
                <a:prstDash val="solid"/>
              </a:ln>
            </c:spPr>
          </c:dPt>
          <c:dPt>
            <c:idx val="247"/>
            <c:invertIfNegative val="1"/>
            <c:bubble3D val="0"/>
            <c:spPr>
              <a:solidFill>
                <a:srgbClr val="4285F4"/>
              </a:solidFill>
              <a:ln cmpd="sng">
                <a:solidFill>
                  <a:srgbClr val="000000"/>
                </a:solidFill>
                <a:prstDash val="solid"/>
              </a:ln>
            </c:spPr>
          </c:dPt>
          <c:dPt>
            <c:idx val="248"/>
            <c:invertIfNegative val="1"/>
            <c:bubble3D val="0"/>
            <c:spPr>
              <a:solidFill>
                <a:srgbClr val="4285F4"/>
              </a:solidFill>
              <a:ln cmpd="sng">
                <a:solidFill>
                  <a:srgbClr val="000000"/>
                </a:solidFill>
                <a:prstDash val="solid"/>
              </a:ln>
            </c:spPr>
          </c:dPt>
          <c:dPt>
            <c:idx val="249"/>
            <c:invertIfNegative val="1"/>
            <c:bubble3D val="0"/>
            <c:spPr>
              <a:solidFill>
                <a:srgbClr val="4285F4"/>
              </a:solidFill>
              <a:ln cmpd="sng">
                <a:solidFill>
                  <a:srgbClr val="000000"/>
                </a:solidFill>
                <a:prstDash val="solid"/>
              </a:ln>
            </c:spPr>
          </c:dPt>
          <c:dPt>
            <c:idx val="250"/>
            <c:invertIfNegative val="1"/>
            <c:bubble3D val="0"/>
            <c:spPr>
              <a:solidFill>
                <a:srgbClr val="4285F4"/>
              </a:solidFill>
              <a:ln cmpd="sng">
                <a:solidFill>
                  <a:srgbClr val="000000"/>
                </a:solidFill>
                <a:prstDash val="solid"/>
              </a:ln>
            </c:spPr>
          </c:dPt>
          <c:dPt>
            <c:idx val="251"/>
            <c:invertIfNegative val="1"/>
            <c:bubble3D val="0"/>
            <c:spPr>
              <a:solidFill>
                <a:srgbClr val="4285F4"/>
              </a:solidFill>
              <a:ln cmpd="sng">
                <a:solidFill>
                  <a:srgbClr val="000000"/>
                </a:solidFill>
                <a:prstDash val="solid"/>
              </a:ln>
            </c:spPr>
          </c:dPt>
          <c:dPt>
            <c:idx val="252"/>
            <c:invertIfNegative val="1"/>
            <c:bubble3D val="0"/>
            <c:spPr>
              <a:solidFill>
                <a:srgbClr val="4285F4"/>
              </a:solidFill>
              <a:ln cmpd="sng">
                <a:solidFill>
                  <a:srgbClr val="000000"/>
                </a:solidFill>
                <a:prstDash val="solid"/>
              </a:ln>
            </c:spPr>
          </c:dPt>
          <c:dPt>
            <c:idx val="253"/>
            <c:invertIfNegative val="1"/>
            <c:bubble3D val="0"/>
            <c:spPr>
              <a:solidFill>
                <a:srgbClr val="4285F4"/>
              </a:solidFill>
              <a:ln cmpd="sng">
                <a:solidFill>
                  <a:srgbClr val="000000"/>
                </a:solidFill>
                <a:prstDash val="solid"/>
              </a:ln>
            </c:spPr>
          </c:dPt>
          <c:dPt>
            <c:idx val="254"/>
            <c:invertIfNegative val="1"/>
            <c:bubble3D val="0"/>
            <c:spPr>
              <a:solidFill>
                <a:srgbClr val="4285F4"/>
              </a:solidFill>
              <a:ln cmpd="sng">
                <a:solidFill>
                  <a:srgbClr val="000000"/>
                </a:solidFill>
                <a:prstDash val="solid"/>
              </a:ln>
            </c:spPr>
          </c:dPt>
          <c:dPt>
            <c:idx val="255"/>
            <c:invertIfNegative val="1"/>
            <c:bubble3D val="0"/>
            <c:spPr>
              <a:solidFill>
                <a:srgbClr val="4285F4"/>
              </a:solidFill>
              <a:ln cmpd="sng">
                <a:solidFill>
                  <a:srgbClr val="000000"/>
                </a:solidFill>
                <a:prstDash val="solid"/>
              </a:ln>
            </c:spPr>
          </c:dPt>
          <c:dPt>
            <c:idx val="256"/>
            <c:invertIfNegative val="1"/>
            <c:bubble3D val="0"/>
            <c:spPr>
              <a:solidFill>
                <a:srgbClr val="4285F4"/>
              </a:solidFill>
              <a:ln cmpd="sng">
                <a:solidFill>
                  <a:srgbClr val="000000"/>
                </a:solidFill>
                <a:prstDash val="solid"/>
              </a:ln>
            </c:spPr>
          </c:dPt>
          <c:dPt>
            <c:idx val="257"/>
            <c:invertIfNegative val="1"/>
            <c:bubble3D val="0"/>
            <c:spPr>
              <a:solidFill>
                <a:srgbClr val="4285F4"/>
              </a:solidFill>
              <a:ln cmpd="sng">
                <a:solidFill>
                  <a:srgbClr val="000000"/>
                </a:solidFill>
                <a:prstDash val="solid"/>
              </a:ln>
            </c:spPr>
          </c:dPt>
          <c:dPt>
            <c:idx val="258"/>
            <c:invertIfNegative val="1"/>
            <c:bubble3D val="0"/>
            <c:spPr>
              <a:solidFill>
                <a:srgbClr val="4285F4"/>
              </a:solidFill>
              <a:ln cmpd="sng">
                <a:solidFill>
                  <a:srgbClr val="000000"/>
                </a:solidFill>
                <a:prstDash val="solid"/>
              </a:ln>
            </c:spPr>
          </c:dPt>
          <c:dPt>
            <c:idx val="259"/>
            <c:invertIfNegative val="1"/>
            <c:bubble3D val="0"/>
            <c:spPr>
              <a:solidFill>
                <a:srgbClr val="4285F4"/>
              </a:solidFill>
              <a:ln cmpd="sng">
                <a:solidFill>
                  <a:srgbClr val="000000"/>
                </a:solidFill>
                <a:prstDash val="solid"/>
              </a:ln>
            </c:spPr>
          </c:dPt>
          <c:dPt>
            <c:idx val="260"/>
            <c:invertIfNegative val="1"/>
            <c:bubble3D val="0"/>
            <c:spPr>
              <a:solidFill>
                <a:srgbClr val="4285F4"/>
              </a:solidFill>
              <a:ln cmpd="sng">
                <a:solidFill>
                  <a:srgbClr val="000000"/>
                </a:solidFill>
                <a:prstDash val="solid"/>
              </a:ln>
            </c:spPr>
          </c:dPt>
          <c:dPt>
            <c:idx val="261"/>
            <c:invertIfNegative val="1"/>
            <c:bubble3D val="0"/>
            <c:spPr>
              <a:solidFill>
                <a:srgbClr val="4285F4"/>
              </a:solidFill>
              <a:ln cmpd="sng">
                <a:solidFill>
                  <a:srgbClr val="000000"/>
                </a:solidFill>
                <a:prstDash val="solid"/>
              </a:ln>
            </c:spPr>
          </c:dPt>
          <c:dPt>
            <c:idx val="262"/>
            <c:invertIfNegative val="1"/>
            <c:bubble3D val="0"/>
            <c:spPr>
              <a:solidFill>
                <a:srgbClr val="4285F4"/>
              </a:solidFill>
              <a:ln cmpd="sng">
                <a:solidFill>
                  <a:srgbClr val="000000"/>
                </a:solidFill>
                <a:prstDash val="solid"/>
              </a:ln>
            </c:spPr>
          </c:dPt>
          <c:dPt>
            <c:idx val="263"/>
            <c:invertIfNegative val="1"/>
            <c:bubble3D val="0"/>
            <c:spPr>
              <a:solidFill>
                <a:srgbClr val="4285F4"/>
              </a:solidFill>
              <a:ln cmpd="sng">
                <a:solidFill>
                  <a:srgbClr val="000000"/>
                </a:solidFill>
                <a:prstDash val="solid"/>
              </a:ln>
            </c:spPr>
          </c:dPt>
          <c:dPt>
            <c:idx val="264"/>
            <c:invertIfNegative val="1"/>
            <c:bubble3D val="0"/>
            <c:spPr>
              <a:solidFill>
                <a:srgbClr val="4285F4"/>
              </a:solidFill>
              <a:ln cmpd="sng">
                <a:solidFill>
                  <a:srgbClr val="000000"/>
                </a:solidFill>
                <a:prstDash val="solid"/>
              </a:ln>
            </c:spPr>
          </c:dPt>
          <c:dPt>
            <c:idx val="265"/>
            <c:invertIfNegative val="1"/>
            <c:bubble3D val="0"/>
            <c:spPr>
              <a:solidFill>
                <a:srgbClr val="4285F4"/>
              </a:solidFill>
              <a:ln cmpd="sng">
                <a:solidFill>
                  <a:srgbClr val="000000"/>
                </a:solidFill>
                <a:prstDash val="solid"/>
              </a:ln>
            </c:spPr>
          </c:dPt>
          <c:dPt>
            <c:idx val="266"/>
            <c:invertIfNegative val="1"/>
            <c:bubble3D val="0"/>
            <c:spPr>
              <a:solidFill>
                <a:srgbClr val="4285F4"/>
              </a:solidFill>
              <a:ln cmpd="sng">
                <a:solidFill>
                  <a:srgbClr val="000000"/>
                </a:solidFill>
                <a:prstDash val="solid"/>
              </a:ln>
            </c:spPr>
          </c:dPt>
          <c:dPt>
            <c:idx val="267"/>
            <c:invertIfNegative val="1"/>
            <c:bubble3D val="0"/>
            <c:spPr>
              <a:solidFill>
                <a:srgbClr val="4285F4"/>
              </a:solidFill>
              <a:ln cmpd="sng">
                <a:solidFill>
                  <a:srgbClr val="000000"/>
                </a:solidFill>
                <a:prstDash val="solid"/>
              </a:ln>
            </c:spPr>
          </c:dPt>
          <c:dPt>
            <c:idx val="268"/>
            <c:invertIfNegative val="1"/>
            <c:bubble3D val="0"/>
            <c:spPr>
              <a:solidFill>
                <a:srgbClr val="4285F4"/>
              </a:solidFill>
              <a:ln cmpd="sng">
                <a:solidFill>
                  <a:srgbClr val="000000"/>
                </a:solidFill>
                <a:prstDash val="solid"/>
              </a:ln>
            </c:spPr>
          </c:dPt>
          <c:dPt>
            <c:idx val="269"/>
            <c:invertIfNegative val="1"/>
            <c:bubble3D val="0"/>
            <c:spPr>
              <a:solidFill>
                <a:srgbClr val="4285F4"/>
              </a:solidFill>
              <a:ln cmpd="sng">
                <a:solidFill>
                  <a:srgbClr val="000000"/>
                </a:solidFill>
                <a:prstDash val="solid"/>
              </a:ln>
            </c:spPr>
          </c:dPt>
          <c:dPt>
            <c:idx val="270"/>
            <c:invertIfNegative val="1"/>
            <c:bubble3D val="0"/>
            <c:spPr>
              <a:solidFill>
                <a:srgbClr val="4285F4"/>
              </a:solidFill>
              <a:ln cmpd="sng">
                <a:solidFill>
                  <a:srgbClr val="000000"/>
                </a:solidFill>
                <a:prstDash val="solid"/>
              </a:ln>
            </c:spPr>
          </c:dPt>
          <c:dPt>
            <c:idx val="271"/>
            <c:invertIfNegative val="1"/>
            <c:bubble3D val="0"/>
            <c:spPr>
              <a:solidFill>
                <a:srgbClr val="4285F4"/>
              </a:solidFill>
              <a:ln cmpd="sng">
                <a:solidFill>
                  <a:srgbClr val="000000"/>
                </a:solidFill>
                <a:prstDash val="solid"/>
              </a:ln>
            </c:spPr>
          </c:dPt>
          <c:dPt>
            <c:idx val="272"/>
            <c:invertIfNegative val="1"/>
            <c:bubble3D val="0"/>
            <c:spPr>
              <a:solidFill>
                <a:srgbClr val="4285F4"/>
              </a:solidFill>
              <a:ln cmpd="sng">
                <a:solidFill>
                  <a:srgbClr val="000000"/>
                </a:solidFill>
                <a:prstDash val="solid"/>
              </a:ln>
            </c:spPr>
          </c:dPt>
          <c:dPt>
            <c:idx val="273"/>
            <c:invertIfNegative val="1"/>
            <c:bubble3D val="0"/>
            <c:spPr>
              <a:solidFill>
                <a:srgbClr val="4285F4"/>
              </a:solidFill>
              <a:ln cmpd="sng">
                <a:solidFill>
                  <a:srgbClr val="000000"/>
                </a:solidFill>
                <a:prstDash val="solid"/>
              </a:ln>
            </c:spPr>
          </c:dPt>
          <c:dPt>
            <c:idx val="274"/>
            <c:invertIfNegative val="1"/>
            <c:bubble3D val="0"/>
            <c:spPr>
              <a:solidFill>
                <a:srgbClr val="4285F4"/>
              </a:solidFill>
              <a:ln cmpd="sng">
                <a:solidFill>
                  <a:srgbClr val="000000"/>
                </a:solidFill>
                <a:prstDash val="solid"/>
              </a:ln>
            </c:spPr>
          </c:dPt>
          <c:dPt>
            <c:idx val="275"/>
            <c:invertIfNegative val="1"/>
            <c:bubble3D val="0"/>
            <c:spPr>
              <a:solidFill>
                <a:srgbClr val="4285F4"/>
              </a:solidFill>
              <a:ln cmpd="sng">
                <a:solidFill>
                  <a:srgbClr val="000000"/>
                </a:solidFill>
                <a:prstDash val="solid"/>
              </a:ln>
            </c:spPr>
          </c:dPt>
          <c:dPt>
            <c:idx val="276"/>
            <c:invertIfNegative val="1"/>
            <c:bubble3D val="0"/>
            <c:spPr>
              <a:solidFill>
                <a:srgbClr val="4285F4"/>
              </a:solidFill>
              <a:ln cmpd="sng">
                <a:solidFill>
                  <a:srgbClr val="000000"/>
                </a:solidFill>
                <a:prstDash val="solid"/>
              </a:ln>
            </c:spPr>
          </c:dPt>
          <c:dPt>
            <c:idx val="277"/>
            <c:invertIfNegative val="1"/>
            <c:bubble3D val="0"/>
            <c:spPr>
              <a:solidFill>
                <a:srgbClr val="4285F4"/>
              </a:solidFill>
              <a:ln cmpd="sng">
                <a:solidFill>
                  <a:srgbClr val="000000"/>
                </a:solidFill>
                <a:prstDash val="solid"/>
              </a:ln>
            </c:spPr>
          </c:dPt>
          <c:dPt>
            <c:idx val="278"/>
            <c:invertIfNegative val="1"/>
            <c:bubble3D val="0"/>
            <c:spPr>
              <a:solidFill>
                <a:srgbClr val="4285F4"/>
              </a:solidFill>
              <a:ln cmpd="sng">
                <a:solidFill>
                  <a:srgbClr val="000000"/>
                </a:solidFill>
                <a:prstDash val="solid"/>
              </a:ln>
            </c:spPr>
          </c:dPt>
          <c:dPt>
            <c:idx val="279"/>
            <c:invertIfNegative val="1"/>
            <c:bubble3D val="0"/>
            <c:spPr>
              <a:solidFill>
                <a:srgbClr val="4285F4"/>
              </a:solidFill>
              <a:ln cmpd="sng">
                <a:solidFill>
                  <a:srgbClr val="000000"/>
                </a:solidFill>
                <a:prstDash val="solid"/>
              </a:ln>
            </c:spPr>
          </c:dPt>
          <c:dPt>
            <c:idx val="280"/>
            <c:invertIfNegative val="1"/>
            <c:bubble3D val="0"/>
            <c:spPr>
              <a:solidFill>
                <a:srgbClr val="4285F4"/>
              </a:solidFill>
              <a:ln cmpd="sng">
                <a:solidFill>
                  <a:srgbClr val="000000"/>
                </a:solidFill>
                <a:prstDash val="solid"/>
              </a:ln>
            </c:spPr>
          </c:dPt>
          <c:dPt>
            <c:idx val="281"/>
            <c:invertIfNegative val="1"/>
            <c:bubble3D val="0"/>
            <c:spPr>
              <a:solidFill>
                <a:srgbClr val="4285F4"/>
              </a:solidFill>
              <a:ln cmpd="sng">
                <a:solidFill>
                  <a:srgbClr val="000000"/>
                </a:solidFill>
                <a:prstDash val="solid"/>
              </a:ln>
            </c:spPr>
          </c:dPt>
          <c:dPt>
            <c:idx val="282"/>
            <c:invertIfNegative val="1"/>
            <c:bubble3D val="0"/>
            <c:spPr>
              <a:solidFill>
                <a:srgbClr val="4285F4"/>
              </a:solidFill>
              <a:ln cmpd="sng">
                <a:solidFill>
                  <a:srgbClr val="000000"/>
                </a:solidFill>
                <a:prstDash val="solid"/>
              </a:ln>
            </c:spPr>
          </c:dPt>
          <c:dPt>
            <c:idx val="283"/>
            <c:invertIfNegative val="1"/>
            <c:bubble3D val="0"/>
            <c:spPr>
              <a:solidFill>
                <a:srgbClr val="4285F4"/>
              </a:solidFill>
              <a:ln cmpd="sng">
                <a:solidFill>
                  <a:srgbClr val="000000"/>
                </a:solidFill>
                <a:prstDash val="solid"/>
              </a:ln>
            </c:spPr>
          </c:dPt>
          <c:dPt>
            <c:idx val="284"/>
            <c:invertIfNegative val="1"/>
            <c:bubble3D val="0"/>
            <c:spPr>
              <a:solidFill>
                <a:srgbClr val="4285F4"/>
              </a:solidFill>
              <a:ln cmpd="sng">
                <a:solidFill>
                  <a:srgbClr val="000000"/>
                </a:solidFill>
                <a:prstDash val="solid"/>
              </a:ln>
            </c:spPr>
          </c:dPt>
          <c:dPt>
            <c:idx val="285"/>
            <c:invertIfNegative val="1"/>
            <c:bubble3D val="0"/>
            <c:spPr>
              <a:solidFill>
                <a:srgbClr val="4285F4"/>
              </a:solidFill>
              <a:ln cmpd="sng">
                <a:solidFill>
                  <a:srgbClr val="000000"/>
                </a:solidFill>
                <a:prstDash val="solid"/>
              </a:ln>
            </c:spPr>
          </c:dPt>
          <c:dPt>
            <c:idx val="286"/>
            <c:invertIfNegative val="1"/>
            <c:bubble3D val="0"/>
            <c:spPr>
              <a:solidFill>
                <a:srgbClr val="4285F4"/>
              </a:solidFill>
              <a:ln cmpd="sng">
                <a:solidFill>
                  <a:srgbClr val="000000"/>
                </a:solidFill>
                <a:prstDash val="solid"/>
              </a:ln>
            </c:spPr>
          </c:dPt>
          <c:dPt>
            <c:idx val="287"/>
            <c:invertIfNegative val="1"/>
            <c:bubble3D val="0"/>
            <c:spPr>
              <a:solidFill>
                <a:srgbClr val="4285F4"/>
              </a:solidFill>
              <a:ln cmpd="sng">
                <a:solidFill>
                  <a:srgbClr val="000000"/>
                </a:solidFill>
                <a:prstDash val="solid"/>
              </a:ln>
            </c:spPr>
          </c:dPt>
          <c:dPt>
            <c:idx val="288"/>
            <c:invertIfNegative val="1"/>
            <c:bubble3D val="0"/>
            <c:spPr>
              <a:solidFill>
                <a:srgbClr val="4285F4"/>
              </a:solidFill>
              <a:ln cmpd="sng">
                <a:solidFill>
                  <a:srgbClr val="000000"/>
                </a:solidFill>
                <a:prstDash val="solid"/>
              </a:ln>
            </c:spPr>
          </c:dPt>
          <c:dPt>
            <c:idx val="289"/>
            <c:invertIfNegative val="1"/>
            <c:bubble3D val="0"/>
            <c:spPr>
              <a:solidFill>
                <a:srgbClr val="4285F4"/>
              </a:solidFill>
              <a:ln cmpd="sng">
                <a:solidFill>
                  <a:srgbClr val="000000"/>
                </a:solidFill>
                <a:prstDash val="solid"/>
              </a:ln>
            </c:spPr>
          </c:dPt>
          <c:dPt>
            <c:idx val="290"/>
            <c:invertIfNegative val="1"/>
            <c:bubble3D val="0"/>
            <c:spPr>
              <a:solidFill>
                <a:srgbClr val="4285F4"/>
              </a:solidFill>
              <a:ln cmpd="sng">
                <a:solidFill>
                  <a:srgbClr val="000000"/>
                </a:solidFill>
                <a:prstDash val="solid"/>
              </a:ln>
            </c:spPr>
          </c:dPt>
          <c:dPt>
            <c:idx val="291"/>
            <c:invertIfNegative val="1"/>
            <c:bubble3D val="0"/>
            <c:spPr>
              <a:solidFill>
                <a:srgbClr val="4285F4"/>
              </a:solidFill>
              <a:ln cmpd="sng">
                <a:solidFill>
                  <a:srgbClr val="000000"/>
                </a:solidFill>
                <a:prstDash val="solid"/>
              </a:ln>
            </c:spPr>
          </c:dPt>
          <c:dPt>
            <c:idx val="292"/>
            <c:invertIfNegative val="1"/>
            <c:bubble3D val="0"/>
            <c:spPr>
              <a:solidFill>
                <a:srgbClr val="4285F4"/>
              </a:solidFill>
              <a:ln cmpd="sng">
                <a:solidFill>
                  <a:srgbClr val="000000"/>
                </a:solidFill>
                <a:prstDash val="solid"/>
              </a:ln>
            </c:spPr>
          </c:dPt>
          <c:dPt>
            <c:idx val="293"/>
            <c:invertIfNegative val="1"/>
            <c:bubble3D val="0"/>
            <c:spPr>
              <a:solidFill>
                <a:srgbClr val="4285F4"/>
              </a:solidFill>
              <a:ln cmpd="sng">
                <a:solidFill>
                  <a:srgbClr val="000000"/>
                </a:solidFill>
                <a:prstDash val="solid"/>
              </a:ln>
            </c:spPr>
          </c:dPt>
          <c:dPt>
            <c:idx val="294"/>
            <c:invertIfNegative val="1"/>
            <c:bubble3D val="0"/>
            <c:spPr>
              <a:solidFill>
                <a:srgbClr val="4285F4"/>
              </a:solidFill>
              <a:ln cmpd="sng">
                <a:solidFill>
                  <a:srgbClr val="000000"/>
                </a:solidFill>
                <a:prstDash val="solid"/>
              </a:ln>
            </c:spPr>
          </c:dPt>
          <c:dPt>
            <c:idx val="295"/>
            <c:invertIfNegative val="1"/>
            <c:bubble3D val="0"/>
            <c:spPr>
              <a:solidFill>
                <a:srgbClr val="4285F4"/>
              </a:solidFill>
              <a:ln cmpd="sng">
                <a:solidFill>
                  <a:srgbClr val="000000"/>
                </a:solidFill>
                <a:prstDash val="solid"/>
              </a:ln>
            </c:spPr>
          </c:dPt>
          <c:dPt>
            <c:idx val="296"/>
            <c:invertIfNegative val="1"/>
            <c:bubble3D val="0"/>
            <c:spPr>
              <a:solidFill>
                <a:srgbClr val="4285F4"/>
              </a:solidFill>
              <a:ln cmpd="sng">
                <a:solidFill>
                  <a:srgbClr val="000000"/>
                </a:solidFill>
                <a:prstDash val="solid"/>
              </a:ln>
            </c:spPr>
          </c:dPt>
          <c:dPt>
            <c:idx val="297"/>
            <c:invertIfNegative val="1"/>
            <c:bubble3D val="0"/>
            <c:spPr>
              <a:solidFill>
                <a:srgbClr val="4285F4"/>
              </a:solidFill>
              <a:ln cmpd="sng">
                <a:solidFill>
                  <a:srgbClr val="000000"/>
                </a:solidFill>
                <a:prstDash val="solid"/>
              </a:ln>
            </c:spPr>
          </c:dPt>
          <c:dPt>
            <c:idx val="298"/>
            <c:invertIfNegative val="1"/>
            <c:bubble3D val="0"/>
            <c:spPr>
              <a:solidFill>
                <a:srgbClr val="4285F4"/>
              </a:solidFill>
              <a:ln cmpd="sng">
                <a:solidFill>
                  <a:srgbClr val="000000"/>
                </a:solidFill>
                <a:prstDash val="solid"/>
              </a:ln>
            </c:spPr>
          </c:dPt>
          <c:dPt>
            <c:idx val="299"/>
            <c:invertIfNegative val="1"/>
            <c:bubble3D val="0"/>
            <c:spPr>
              <a:solidFill>
                <a:srgbClr val="4285F4"/>
              </a:solidFill>
              <a:ln cmpd="sng">
                <a:solidFill>
                  <a:srgbClr val="000000"/>
                </a:solidFill>
                <a:prstDash val="solid"/>
              </a:ln>
            </c:spPr>
          </c:dPt>
          <c:dPt>
            <c:idx val="300"/>
            <c:invertIfNegative val="1"/>
            <c:bubble3D val="0"/>
            <c:spPr>
              <a:solidFill>
                <a:srgbClr val="4285F4"/>
              </a:solidFill>
              <a:ln cmpd="sng">
                <a:solidFill>
                  <a:srgbClr val="000000"/>
                </a:solidFill>
                <a:prstDash val="solid"/>
              </a:ln>
            </c:spPr>
          </c:dPt>
          <c:dPt>
            <c:idx val="301"/>
            <c:invertIfNegative val="1"/>
            <c:bubble3D val="0"/>
            <c:spPr>
              <a:solidFill>
                <a:srgbClr val="4285F4"/>
              </a:solidFill>
              <a:ln cmpd="sng">
                <a:solidFill>
                  <a:srgbClr val="000000"/>
                </a:solidFill>
                <a:prstDash val="solid"/>
              </a:ln>
            </c:spPr>
          </c:dPt>
          <c:dPt>
            <c:idx val="302"/>
            <c:invertIfNegative val="1"/>
            <c:bubble3D val="0"/>
            <c:spPr>
              <a:solidFill>
                <a:srgbClr val="4285F4"/>
              </a:solidFill>
              <a:ln cmpd="sng">
                <a:solidFill>
                  <a:srgbClr val="000000"/>
                </a:solidFill>
                <a:prstDash val="solid"/>
              </a:ln>
            </c:spPr>
          </c:dPt>
          <c:dPt>
            <c:idx val="303"/>
            <c:invertIfNegative val="1"/>
            <c:bubble3D val="0"/>
            <c:spPr>
              <a:solidFill>
                <a:srgbClr val="4285F4"/>
              </a:solidFill>
              <a:ln cmpd="sng">
                <a:solidFill>
                  <a:srgbClr val="000000"/>
                </a:solidFill>
                <a:prstDash val="solid"/>
              </a:ln>
            </c:spPr>
          </c:dPt>
          <c:dPt>
            <c:idx val="304"/>
            <c:invertIfNegative val="1"/>
            <c:bubble3D val="0"/>
            <c:spPr>
              <a:solidFill>
                <a:srgbClr val="4285F4"/>
              </a:solidFill>
              <a:ln cmpd="sng">
                <a:solidFill>
                  <a:srgbClr val="000000"/>
                </a:solidFill>
                <a:prstDash val="solid"/>
              </a:ln>
            </c:spPr>
          </c:dPt>
          <c:dPt>
            <c:idx val="305"/>
            <c:invertIfNegative val="1"/>
            <c:bubble3D val="0"/>
            <c:spPr>
              <a:solidFill>
                <a:srgbClr val="4285F4"/>
              </a:solidFill>
              <a:ln cmpd="sng">
                <a:solidFill>
                  <a:srgbClr val="000000"/>
                </a:solidFill>
                <a:prstDash val="solid"/>
              </a:ln>
            </c:spPr>
          </c:dPt>
          <c:dPt>
            <c:idx val="306"/>
            <c:invertIfNegative val="1"/>
            <c:bubble3D val="0"/>
            <c:spPr>
              <a:solidFill>
                <a:srgbClr val="4285F4"/>
              </a:solidFill>
              <a:ln cmpd="sng">
                <a:solidFill>
                  <a:srgbClr val="000000"/>
                </a:solidFill>
                <a:prstDash val="solid"/>
              </a:ln>
            </c:spPr>
          </c:dPt>
          <c:dPt>
            <c:idx val="307"/>
            <c:invertIfNegative val="1"/>
            <c:bubble3D val="0"/>
            <c:spPr>
              <a:solidFill>
                <a:srgbClr val="4285F4"/>
              </a:solidFill>
              <a:ln cmpd="sng">
                <a:solidFill>
                  <a:srgbClr val="000000"/>
                </a:solidFill>
                <a:prstDash val="solid"/>
              </a:ln>
            </c:spPr>
          </c:dPt>
          <c:dPt>
            <c:idx val="308"/>
            <c:invertIfNegative val="1"/>
            <c:bubble3D val="0"/>
            <c:spPr>
              <a:solidFill>
                <a:srgbClr val="4285F4"/>
              </a:solidFill>
              <a:ln cmpd="sng">
                <a:solidFill>
                  <a:srgbClr val="000000"/>
                </a:solidFill>
                <a:prstDash val="solid"/>
              </a:ln>
            </c:spPr>
          </c:dPt>
          <c:dPt>
            <c:idx val="309"/>
            <c:invertIfNegative val="1"/>
            <c:bubble3D val="0"/>
            <c:spPr>
              <a:solidFill>
                <a:srgbClr val="4285F4"/>
              </a:solidFill>
              <a:ln cmpd="sng">
                <a:solidFill>
                  <a:srgbClr val="000000"/>
                </a:solidFill>
                <a:prstDash val="solid"/>
              </a:ln>
            </c:spPr>
          </c:dPt>
          <c:dPt>
            <c:idx val="310"/>
            <c:invertIfNegative val="1"/>
            <c:bubble3D val="0"/>
            <c:spPr>
              <a:solidFill>
                <a:srgbClr val="4285F4"/>
              </a:solidFill>
              <a:ln cmpd="sng">
                <a:solidFill>
                  <a:srgbClr val="000000"/>
                </a:solidFill>
                <a:prstDash val="solid"/>
              </a:ln>
            </c:spPr>
          </c:dPt>
          <c:dPt>
            <c:idx val="311"/>
            <c:invertIfNegative val="1"/>
            <c:bubble3D val="0"/>
            <c:spPr>
              <a:solidFill>
                <a:srgbClr val="4285F4"/>
              </a:solidFill>
              <a:ln cmpd="sng">
                <a:solidFill>
                  <a:srgbClr val="000000"/>
                </a:solidFill>
                <a:prstDash val="solid"/>
              </a:ln>
            </c:spPr>
          </c:dPt>
          <c:dPt>
            <c:idx val="312"/>
            <c:invertIfNegative val="1"/>
            <c:bubble3D val="0"/>
            <c:spPr>
              <a:solidFill>
                <a:srgbClr val="4285F4"/>
              </a:solidFill>
              <a:ln cmpd="sng">
                <a:solidFill>
                  <a:srgbClr val="000000"/>
                </a:solidFill>
                <a:prstDash val="solid"/>
              </a:ln>
            </c:spPr>
          </c:dPt>
          <c:dPt>
            <c:idx val="313"/>
            <c:invertIfNegative val="1"/>
            <c:bubble3D val="0"/>
            <c:spPr>
              <a:solidFill>
                <a:srgbClr val="4285F4"/>
              </a:solidFill>
              <a:ln cmpd="sng">
                <a:solidFill>
                  <a:srgbClr val="000000"/>
                </a:solidFill>
                <a:prstDash val="solid"/>
              </a:ln>
            </c:spPr>
          </c:dPt>
          <c:dPt>
            <c:idx val="314"/>
            <c:invertIfNegative val="1"/>
            <c:bubble3D val="0"/>
            <c:spPr>
              <a:solidFill>
                <a:srgbClr val="4285F4"/>
              </a:solidFill>
              <a:ln cmpd="sng">
                <a:solidFill>
                  <a:srgbClr val="000000"/>
                </a:solidFill>
                <a:prstDash val="solid"/>
              </a:ln>
            </c:spPr>
          </c:dPt>
          <c:dPt>
            <c:idx val="315"/>
            <c:invertIfNegative val="1"/>
            <c:bubble3D val="0"/>
            <c:spPr>
              <a:solidFill>
                <a:srgbClr val="4285F4"/>
              </a:solidFill>
              <a:ln cmpd="sng">
                <a:solidFill>
                  <a:srgbClr val="000000"/>
                </a:solidFill>
                <a:prstDash val="solid"/>
              </a:ln>
            </c:spPr>
          </c:dPt>
          <c:dPt>
            <c:idx val="316"/>
            <c:invertIfNegative val="1"/>
            <c:bubble3D val="0"/>
            <c:spPr>
              <a:solidFill>
                <a:srgbClr val="4285F4"/>
              </a:solidFill>
              <a:ln cmpd="sng">
                <a:solidFill>
                  <a:srgbClr val="000000"/>
                </a:solidFill>
                <a:prstDash val="solid"/>
              </a:ln>
            </c:spPr>
          </c:dPt>
          <c:dPt>
            <c:idx val="317"/>
            <c:invertIfNegative val="1"/>
            <c:bubble3D val="0"/>
            <c:spPr>
              <a:solidFill>
                <a:srgbClr val="4285F4"/>
              </a:solidFill>
              <a:ln cmpd="sng">
                <a:solidFill>
                  <a:srgbClr val="000000"/>
                </a:solidFill>
                <a:prstDash val="solid"/>
              </a:ln>
            </c:spPr>
          </c:dPt>
          <c:dPt>
            <c:idx val="318"/>
            <c:invertIfNegative val="1"/>
            <c:bubble3D val="0"/>
            <c:spPr>
              <a:solidFill>
                <a:srgbClr val="4285F4"/>
              </a:solidFill>
              <a:ln cmpd="sng">
                <a:solidFill>
                  <a:srgbClr val="000000"/>
                </a:solidFill>
                <a:prstDash val="solid"/>
              </a:ln>
            </c:spPr>
          </c:dPt>
          <c:dPt>
            <c:idx val="319"/>
            <c:invertIfNegative val="1"/>
            <c:bubble3D val="0"/>
            <c:spPr>
              <a:solidFill>
                <a:srgbClr val="4285F4"/>
              </a:solidFill>
              <a:ln cmpd="sng">
                <a:solidFill>
                  <a:srgbClr val="000000"/>
                </a:solidFill>
                <a:prstDash val="solid"/>
              </a:ln>
            </c:spPr>
          </c:dPt>
          <c:dPt>
            <c:idx val="320"/>
            <c:invertIfNegative val="1"/>
            <c:bubble3D val="0"/>
            <c:spPr>
              <a:solidFill>
                <a:srgbClr val="4285F4"/>
              </a:solidFill>
              <a:ln cmpd="sng">
                <a:solidFill>
                  <a:srgbClr val="000000"/>
                </a:solidFill>
                <a:prstDash val="solid"/>
              </a:ln>
            </c:spPr>
          </c:dPt>
          <c:dPt>
            <c:idx val="321"/>
            <c:invertIfNegative val="1"/>
            <c:bubble3D val="0"/>
            <c:spPr>
              <a:solidFill>
                <a:srgbClr val="4285F4"/>
              </a:solidFill>
              <a:ln cmpd="sng">
                <a:solidFill>
                  <a:srgbClr val="000000"/>
                </a:solidFill>
                <a:prstDash val="solid"/>
              </a:ln>
            </c:spPr>
          </c:dPt>
          <c:dPt>
            <c:idx val="322"/>
            <c:invertIfNegative val="1"/>
            <c:bubble3D val="0"/>
            <c:spPr>
              <a:solidFill>
                <a:srgbClr val="4285F4"/>
              </a:solidFill>
              <a:ln cmpd="sng">
                <a:solidFill>
                  <a:srgbClr val="000000"/>
                </a:solidFill>
                <a:prstDash val="solid"/>
              </a:ln>
            </c:spPr>
          </c:dPt>
          <c:dPt>
            <c:idx val="323"/>
            <c:invertIfNegative val="1"/>
            <c:bubble3D val="0"/>
            <c:spPr>
              <a:solidFill>
                <a:srgbClr val="4285F4"/>
              </a:solidFill>
              <a:ln cmpd="sng">
                <a:solidFill>
                  <a:srgbClr val="000000"/>
                </a:solidFill>
                <a:prstDash val="solid"/>
              </a:ln>
            </c:spPr>
          </c:dPt>
          <c:dPt>
            <c:idx val="324"/>
            <c:invertIfNegative val="1"/>
            <c:bubble3D val="0"/>
            <c:spPr>
              <a:solidFill>
                <a:srgbClr val="4285F4"/>
              </a:solidFill>
              <a:ln cmpd="sng">
                <a:solidFill>
                  <a:srgbClr val="000000"/>
                </a:solidFill>
                <a:prstDash val="solid"/>
              </a:ln>
            </c:spPr>
          </c:dPt>
          <c:dPt>
            <c:idx val="325"/>
            <c:invertIfNegative val="1"/>
            <c:bubble3D val="0"/>
            <c:spPr>
              <a:solidFill>
                <a:srgbClr val="4285F4"/>
              </a:solidFill>
              <a:ln cmpd="sng">
                <a:solidFill>
                  <a:srgbClr val="000000"/>
                </a:solidFill>
                <a:prstDash val="solid"/>
              </a:ln>
            </c:spPr>
          </c:dPt>
          <c:dPt>
            <c:idx val="326"/>
            <c:invertIfNegative val="1"/>
            <c:bubble3D val="0"/>
            <c:spPr>
              <a:solidFill>
                <a:srgbClr val="4285F4"/>
              </a:solidFill>
              <a:ln cmpd="sng">
                <a:solidFill>
                  <a:srgbClr val="000000"/>
                </a:solidFill>
                <a:prstDash val="solid"/>
              </a:ln>
            </c:spPr>
          </c:dPt>
          <c:dPt>
            <c:idx val="327"/>
            <c:invertIfNegative val="1"/>
            <c:bubble3D val="0"/>
            <c:spPr>
              <a:solidFill>
                <a:srgbClr val="4285F4"/>
              </a:solidFill>
              <a:ln cmpd="sng">
                <a:solidFill>
                  <a:srgbClr val="000000"/>
                </a:solidFill>
                <a:prstDash val="solid"/>
              </a:ln>
            </c:spPr>
          </c:dPt>
          <c:dPt>
            <c:idx val="328"/>
            <c:invertIfNegative val="1"/>
            <c:bubble3D val="0"/>
            <c:spPr>
              <a:solidFill>
                <a:srgbClr val="4285F4"/>
              </a:solidFill>
              <a:ln cmpd="sng">
                <a:solidFill>
                  <a:srgbClr val="000000"/>
                </a:solidFill>
                <a:prstDash val="solid"/>
              </a:ln>
            </c:spPr>
          </c:dPt>
          <c:dPt>
            <c:idx val="329"/>
            <c:invertIfNegative val="1"/>
            <c:bubble3D val="0"/>
            <c:spPr>
              <a:solidFill>
                <a:srgbClr val="4285F4"/>
              </a:solidFill>
              <a:ln cmpd="sng">
                <a:solidFill>
                  <a:srgbClr val="000000"/>
                </a:solidFill>
                <a:prstDash val="solid"/>
              </a:ln>
            </c:spPr>
          </c:dPt>
          <c:dPt>
            <c:idx val="330"/>
            <c:invertIfNegative val="1"/>
            <c:bubble3D val="0"/>
            <c:spPr>
              <a:solidFill>
                <a:srgbClr val="4285F4"/>
              </a:solidFill>
              <a:ln cmpd="sng">
                <a:solidFill>
                  <a:srgbClr val="000000"/>
                </a:solidFill>
                <a:prstDash val="solid"/>
              </a:ln>
            </c:spPr>
          </c:dPt>
          <c:dPt>
            <c:idx val="331"/>
            <c:invertIfNegative val="1"/>
            <c:bubble3D val="0"/>
            <c:spPr>
              <a:solidFill>
                <a:srgbClr val="4285F4"/>
              </a:solidFill>
              <a:ln cmpd="sng">
                <a:solidFill>
                  <a:srgbClr val="000000"/>
                </a:solidFill>
                <a:prstDash val="solid"/>
              </a:ln>
            </c:spPr>
          </c:dPt>
          <c:dPt>
            <c:idx val="332"/>
            <c:invertIfNegative val="1"/>
            <c:bubble3D val="0"/>
            <c:spPr>
              <a:solidFill>
                <a:srgbClr val="4285F4"/>
              </a:solidFill>
              <a:ln cmpd="sng">
                <a:solidFill>
                  <a:srgbClr val="000000"/>
                </a:solidFill>
                <a:prstDash val="solid"/>
              </a:ln>
            </c:spPr>
          </c:dPt>
          <c:dPt>
            <c:idx val="333"/>
            <c:invertIfNegative val="1"/>
            <c:bubble3D val="0"/>
            <c:spPr>
              <a:solidFill>
                <a:srgbClr val="4285F4"/>
              </a:solidFill>
              <a:ln cmpd="sng">
                <a:solidFill>
                  <a:srgbClr val="000000"/>
                </a:solidFill>
                <a:prstDash val="solid"/>
              </a:ln>
            </c:spPr>
          </c:dPt>
          <c:dPt>
            <c:idx val="334"/>
            <c:invertIfNegative val="1"/>
            <c:bubble3D val="0"/>
            <c:spPr>
              <a:solidFill>
                <a:srgbClr val="4285F4"/>
              </a:solidFill>
              <a:ln cmpd="sng">
                <a:solidFill>
                  <a:srgbClr val="000000"/>
                </a:solidFill>
                <a:prstDash val="solid"/>
              </a:ln>
            </c:spPr>
          </c:dPt>
          <c:dPt>
            <c:idx val="335"/>
            <c:invertIfNegative val="1"/>
            <c:bubble3D val="0"/>
            <c:spPr>
              <a:solidFill>
                <a:srgbClr val="4285F4"/>
              </a:solidFill>
              <a:ln cmpd="sng">
                <a:solidFill>
                  <a:srgbClr val="000000"/>
                </a:solidFill>
                <a:prstDash val="solid"/>
              </a:ln>
            </c:spPr>
          </c:dPt>
          <c:dPt>
            <c:idx val="336"/>
            <c:invertIfNegative val="1"/>
            <c:bubble3D val="0"/>
            <c:spPr>
              <a:solidFill>
                <a:srgbClr val="4285F4"/>
              </a:solidFill>
              <a:ln cmpd="sng">
                <a:solidFill>
                  <a:srgbClr val="000000"/>
                </a:solidFill>
                <a:prstDash val="solid"/>
              </a:ln>
            </c:spPr>
          </c:dPt>
          <c:dPt>
            <c:idx val="337"/>
            <c:invertIfNegative val="1"/>
            <c:bubble3D val="0"/>
            <c:spPr>
              <a:solidFill>
                <a:srgbClr val="4285F4"/>
              </a:solidFill>
              <a:ln cmpd="sng">
                <a:solidFill>
                  <a:srgbClr val="000000"/>
                </a:solidFill>
                <a:prstDash val="solid"/>
              </a:ln>
            </c:spPr>
          </c:dPt>
          <c:dPt>
            <c:idx val="338"/>
            <c:invertIfNegative val="1"/>
            <c:bubble3D val="0"/>
            <c:spPr>
              <a:solidFill>
                <a:srgbClr val="4285F4"/>
              </a:solidFill>
              <a:ln cmpd="sng">
                <a:solidFill>
                  <a:srgbClr val="000000"/>
                </a:solidFill>
                <a:prstDash val="solid"/>
              </a:ln>
            </c:spPr>
          </c:dPt>
          <c:dPt>
            <c:idx val="339"/>
            <c:invertIfNegative val="1"/>
            <c:bubble3D val="0"/>
            <c:spPr>
              <a:solidFill>
                <a:srgbClr val="4285F4"/>
              </a:solidFill>
              <a:ln cmpd="sng">
                <a:solidFill>
                  <a:srgbClr val="000000"/>
                </a:solidFill>
                <a:prstDash val="solid"/>
              </a:ln>
            </c:spPr>
          </c:dPt>
          <c:dPt>
            <c:idx val="340"/>
            <c:invertIfNegative val="1"/>
            <c:bubble3D val="0"/>
            <c:spPr>
              <a:solidFill>
                <a:srgbClr val="4285F4"/>
              </a:solidFill>
              <a:ln cmpd="sng">
                <a:solidFill>
                  <a:srgbClr val="000000"/>
                </a:solidFill>
                <a:prstDash val="solid"/>
              </a:ln>
            </c:spPr>
          </c:dPt>
          <c:dPt>
            <c:idx val="341"/>
            <c:invertIfNegative val="1"/>
            <c:bubble3D val="0"/>
            <c:spPr>
              <a:solidFill>
                <a:srgbClr val="4285F4"/>
              </a:solidFill>
              <a:ln cmpd="sng">
                <a:solidFill>
                  <a:srgbClr val="000000"/>
                </a:solidFill>
                <a:prstDash val="solid"/>
              </a:ln>
            </c:spPr>
          </c:dPt>
          <c:dPt>
            <c:idx val="342"/>
            <c:invertIfNegative val="1"/>
            <c:bubble3D val="0"/>
            <c:spPr>
              <a:solidFill>
                <a:srgbClr val="4285F4"/>
              </a:solidFill>
              <a:ln cmpd="sng">
                <a:solidFill>
                  <a:srgbClr val="000000"/>
                </a:solidFill>
                <a:prstDash val="solid"/>
              </a:ln>
            </c:spPr>
          </c:dPt>
          <c:dPt>
            <c:idx val="343"/>
            <c:invertIfNegative val="1"/>
            <c:bubble3D val="0"/>
            <c:spPr>
              <a:solidFill>
                <a:srgbClr val="4285F4"/>
              </a:solidFill>
              <a:ln cmpd="sng">
                <a:solidFill>
                  <a:srgbClr val="000000"/>
                </a:solidFill>
                <a:prstDash val="solid"/>
              </a:ln>
            </c:spPr>
          </c:dPt>
          <c:dPt>
            <c:idx val="344"/>
            <c:invertIfNegative val="1"/>
            <c:bubble3D val="0"/>
            <c:spPr>
              <a:solidFill>
                <a:srgbClr val="4285F4"/>
              </a:solidFill>
              <a:ln cmpd="sng">
                <a:solidFill>
                  <a:srgbClr val="000000"/>
                </a:solidFill>
                <a:prstDash val="solid"/>
              </a:ln>
            </c:spPr>
          </c:dPt>
          <c:dPt>
            <c:idx val="345"/>
            <c:invertIfNegative val="1"/>
            <c:bubble3D val="0"/>
            <c:spPr>
              <a:solidFill>
                <a:srgbClr val="4285F4"/>
              </a:solidFill>
              <a:ln cmpd="sng">
                <a:solidFill>
                  <a:srgbClr val="000000"/>
                </a:solidFill>
                <a:prstDash val="solid"/>
              </a:ln>
            </c:spPr>
          </c:dPt>
          <c:dPt>
            <c:idx val="346"/>
            <c:invertIfNegative val="1"/>
            <c:bubble3D val="0"/>
            <c:spPr>
              <a:solidFill>
                <a:srgbClr val="4285F4"/>
              </a:solidFill>
              <a:ln cmpd="sng">
                <a:solidFill>
                  <a:srgbClr val="000000"/>
                </a:solidFill>
                <a:prstDash val="solid"/>
              </a:ln>
            </c:spPr>
          </c:dPt>
          <c:dPt>
            <c:idx val="347"/>
            <c:invertIfNegative val="1"/>
            <c:bubble3D val="0"/>
            <c:spPr>
              <a:solidFill>
                <a:srgbClr val="4285F4"/>
              </a:solidFill>
              <a:ln cmpd="sng">
                <a:solidFill>
                  <a:srgbClr val="000000"/>
                </a:solidFill>
                <a:prstDash val="solid"/>
              </a:ln>
            </c:spPr>
          </c:dPt>
          <c:dPt>
            <c:idx val="348"/>
            <c:invertIfNegative val="1"/>
            <c:bubble3D val="0"/>
            <c:spPr>
              <a:solidFill>
                <a:srgbClr val="4285F4"/>
              </a:solidFill>
              <a:ln cmpd="sng">
                <a:solidFill>
                  <a:srgbClr val="000000"/>
                </a:solidFill>
                <a:prstDash val="solid"/>
              </a:ln>
            </c:spPr>
          </c:dPt>
          <c:dPt>
            <c:idx val="349"/>
            <c:invertIfNegative val="1"/>
            <c:bubble3D val="0"/>
            <c:spPr>
              <a:solidFill>
                <a:srgbClr val="4285F4"/>
              </a:solidFill>
              <a:ln cmpd="sng">
                <a:solidFill>
                  <a:srgbClr val="000000"/>
                </a:solidFill>
                <a:prstDash val="solid"/>
              </a:ln>
            </c:spPr>
          </c:dPt>
          <c:dPt>
            <c:idx val="350"/>
            <c:invertIfNegative val="1"/>
            <c:bubble3D val="0"/>
            <c:spPr>
              <a:solidFill>
                <a:srgbClr val="4285F4"/>
              </a:solidFill>
              <a:ln cmpd="sng">
                <a:solidFill>
                  <a:srgbClr val="000000"/>
                </a:solidFill>
                <a:prstDash val="solid"/>
              </a:ln>
            </c:spPr>
          </c:dPt>
          <c:dPt>
            <c:idx val="351"/>
            <c:invertIfNegative val="1"/>
            <c:bubble3D val="0"/>
            <c:spPr>
              <a:solidFill>
                <a:srgbClr val="4285F4"/>
              </a:solidFill>
              <a:ln cmpd="sng">
                <a:solidFill>
                  <a:srgbClr val="000000"/>
                </a:solidFill>
                <a:prstDash val="solid"/>
              </a:ln>
            </c:spPr>
          </c:dPt>
          <c:dPt>
            <c:idx val="352"/>
            <c:invertIfNegative val="1"/>
            <c:bubble3D val="0"/>
            <c:spPr>
              <a:solidFill>
                <a:srgbClr val="4285F4"/>
              </a:solidFill>
              <a:ln cmpd="sng">
                <a:solidFill>
                  <a:srgbClr val="000000"/>
                </a:solidFill>
                <a:prstDash val="solid"/>
              </a:ln>
            </c:spPr>
          </c:dPt>
          <c:dPt>
            <c:idx val="353"/>
            <c:invertIfNegative val="1"/>
            <c:bubble3D val="0"/>
            <c:spPr>
              <a:solidFill>
                <a:srgbClr val="4285F4"/>
              </a:solidFill>
              <a:ln cmpd="sng">
                <a:solidFill>
                  <a:srgbClr val="000000"/>
                </a:solidFill>
                <a:prstDash val="solid"/>
              </a:ln>
            </c:spPr>
          </c:dPt>
          <c:dPt>
            <c:idx val="354"/>
            <c:invertIfNegative val="1"/>
            <c:bubble3D val="0"/>
            <c:spPr>
              <a:solidFill>
                <a:srgbClr val="4285F4"/>
              </a:solidFill>
              <a:ln cmpd="sng">
                <a:solidFill>
                  <a:srgbClr val="000000"/>
                </a:solidFill>
                <a:prstDash val="solid"/>
              </a:ln>
            </c:spPr>
          </c:dPt>
          <c:dPt>
            <c:idx val="355"/>
            <c:invertIfNegative val="1"/>
            <c:bubble3D val="0"/>
            <c:spPr>
              <a:solidFill>
                <a:srgbClr val="4285F4"/>
              </a:solidFill>
              <a:ln cmpd="sng">
                <a:solidFill>
                  <a:srgbClr val="000000"/>
                </a:solidFill>
                <a:prstDash val="solid"/>
              </a:ln>
            </c:spPr>
          </c:dPt>
          <c:dPt>
            <c:idx val="356"/>
            <c:invertIfNegative val="1"/>
            <c:bubble3D val="0"/>
            <c:spPr>
              <a:solidFill>
                <a:srgbClr val="4285F4"/>
              </a:solidFill>
              <a:ln cmpd="sng">
                <a:solidFill>
                  <a:srgbClr val="000000"/>
                </a:solidFill>
                <a:prstDash val="solid"/>
              </a:ln>
            </c:spPr>
          </c:dPt>
          <c:dPt>
            <c:idx val="357"/>
            <c:invertIfNegative val="1"/>
            <c:bubble3D val="0"/>
            <c:spPr>
              <a:solidFill>
                <a:srgbClr val="4285F4"/>
              </a:solidFill>
              <a:ln cmpd="sng">
                <a:solidFill>
                  <a:srgbClr val="000000"/>
                </a:solidFill>
                <a:prstDash val="solid"/>
              </a:ln>
            </c:spPr>
          </c:dPt>
          <c:dPt>
            <c:idx val="358"/>
            <c:invertIfNegative val="1"/>
            <c:bubble3D val="0"/>
            <c:spPr>
              <a:solidFill>
                <a:srgbClr val="4285F4"/>
              </a:solidFill>
              <a:ln cmpd="sng">
                <a:solidFill>
                  <a:srgbClr val="000000"/>
                </a:solidFill>
                <a:prstDash val="solid"/>
              </a:ln>
            </c:spPr>
          </c:dPt>
          <c:dPt>
            <c:idx val="359"/>
            <c:invertIfNegative val="1"/>
            <c:bubble3D val="0"/>
            <c:spPr>
              <a:solidFill>
                <a:srgbClr val="4285F4"/>
              </a:solidFill>
              <a:ln cmpd="sng">
                <a:solidFill>
                  <a:srgbClr val="000000"/>
                </a:solidFill>
                <a:prstDash val="solid"/>
              </a:ln>
            </c:spPr>
          </c:dPt>
          <c:dPt>
            <c:idx val="360"/>
            <c:invertIfNegative val="1"/>
            <c:bubble3D val="0"/>
            <c:spPr>
              <a:solidFill>
                <a:srgbClr val="4285F4"/>
              </a:solidFill>
              <a:ln cmpd="sng">
                <a:solidFill>
                  <a:srgbClr val="000000"/>
                </a:solidFill>
                <a:prstDash val="solid"/>
              </a:ln>
            </c:spPr>
          </c:dPt>
          <c:dPt>
            <c:idx val="361"/>
            <c:invertIfNegative val="1"/>
            <c:bubble3D val="0"/>
            <c:spPr>
              <a:solidFill>
                <a:srgbClr val="4285F4"/>
              </a:solidFill>
              <a:ln cmpd="sng">
                <a:solidFill>
                  <a:srgbClr val="000000"/>
                </a:solidFill>
                <a:prstDash val="solid"/>
              </a:ln>
            </c:spPr>
          </c:dPt>
          <c:dPt>
            <c:idx val="362"/>
            <c:invertIfNegative val="1"/>
            <c:bubble3D val="0"/>
            <c:spPr>
              <a:solidFill>
                <a:srgbClr val="4285F4"/>
              </a:solidFill>
              <a:ln cmpd="sng">
                <a:solidFill>
                  <a:srgbClr val="000000"/>
                </a:solidFill>
                <a:prstDash val="solid"/>
              </a:ln>
            </c:spPr>
          </c:dPt>
          <c:dPt>
            <c:idx val="363"/>
            <c:invertIfNegative val="1"/>
            <c:bubble3D val="0"/>
            <c:spPr>
              <a:solidFill>
                <a:srgbClr val="4285F4"/>
              </a:solidFill>
              <a:ln cmpd="sng">
                <a:solidFill>
                  <a:srgbClr val="000000"/>
                </a:solidFill>
                <a:prstDash val="solid"/>
              </a:ln>
            </c:spPr>
          </c:dPt>
          <c:dPt>
            <c:idx val="364"/>
            <c:invertIfNegative val="1"/>
            <c:bubble3D val="0"/>
            <c:spPr>
              <a:solidFill>
                <a:srgbClr val="4285F4"/>
              </a:solidFill>
              <a:ln cmpd="sng">
                <a:solidFill>
                  <a:srgbClr val="000000"/>
                </a:solidFill>
                <a:prstDash val="solid"/>
              </a:ln>
            </c:spPr>
          </c:dPt>
          <c:dPt>
            <c:idx val="365"/>
            <c:invertIfNegative val="1"/>
            <c:bubble3D val="0"/>
            <c:spPr>
              <a:solidFill>
                <a:srgbClr val="4285F4"/>
              </a:solidFill>
              <a:ln cmpd="sng">
                <a:solidFill>
                  <a:srgbClr val="000000"/>
                </a:solidFill>
                <a:prstDash val="solid"/>
              </a:ln>
            </c:spPr>
          </c:dPt>
          <c:dPt>
            <c:idx val="366"/>
            <c:invertIfNegative val="1"/>
            <c:bubble3D val="0"/>
            <c:spPr>
              <a:solidFill>
                <a:srgbClr val="4285F4"/>
              </a:solidFill>
              <a:ln cmpd="sng">
                <a:solidFill>
                  <a:srgbClr val="000000"/>
                </a:solidFill>
                <a:prstDash val="solid"/>
              </a:ln>
            </c:spPr>
          </c:dPt>
          <c:dPt>
            <c:idx val="367"/>
            <c:invertIfNegative val="1"/>
            <c:bubble3D val="0"/>
            <c:spPr>
              <a:solidFill>
                <a:srgbClr val="4285F4"/>
              </a:solidFill>
              <a:ln cmpd="sng">
                <a:solidFill>
                  <a:srgbClr val="000000"/>
                </a:solidFill>
                <a:prstDash val="solid"/>
              </a:ln>
            </c:spPr>
          </c:dPt>
          <c:dPt>
            <c:idx val="368"/>
            <c:invertIfNegative val="1"/>
            <c:bubble3D val="0"/>
            <c:spPr>
              <a:solidFill>
                <a:srgbClr val="4285F4"/>
              </a:solidFill>
              <a:ln cmpd="sng">
                <a:solidFill>
                  <a:srgbClr val="000000"/>
                </a:solidFill>
                <a:prstDash val="solid"/>
              </a:ln>
            </c:spPr>
          </c:dPt>
          <c:dPt>
            <c:idx val="369"/>
            <c:invertIfNegative val="1"/>
            <c:bubble3D val="0"/>
            <c:spPr>
              <a:solidFill>
                <a:srgbClr val="4285F4"/>
              </a:solidFill>
              <a:ln cmpd="sng">
                <a:solidFill>
                  <a:srgbClr val="000000"/>
                </a:solidFill>
                <a:prstDash val="solid"/>
              </a:ln>
            </c:spPr>
          </c:dPt>
          <c:dPt>
            <c:idx val="370"/>
            <c:invertIfNegative val="1"/>
            <c:bubble3D val="0"/>
            <c:spPr>
              <a:solidFill>
                <a:srgbClr val="4285F4"/>
              </a:solidFill>
              <a:ln cmpd="sng">
                <a:solidFill>
                  <a:srgbClr val="000000"/>
                </a:solidFill>
                <a:prstDash val="solid"/>
              </a:ln>
            </c:spPr>
          </c:dPt>
          <c:dPt>
            <c:idx val="371"/>
            <c:invertIfNegative val="1"/>
            <c:bubble3D val="0"/>
            <c:spPr>
              <a:solidFill>
                <a:srgbClr val="4285F4"/>
              </a:solidFill>
              <a:ln cmpd="sng">
                <a:solidFill>
                  <a:srgbClr val="000000"/>
                </a:solidFill>
                <a:prstDash val="solid"/>
              </a:ln>
            </c:spPr>
          </c:dPt>
          <c:dPt>
            <c:idx val="372"/>
            <c:invertIfNegative val="1"/>
            <c:bubble3D val="0"/>
            <c:spPr>
              <a:solidFill>
                <a:srgbClr val="4285F4"/>
              </a:solidFill>
              <a:ln cmpd="sng">
                <a:solidFill>
                  <a:srgbClr val="000000"/>
                </a:solidFill>
                <a:prstDash val="solid"/>
              </a:ln>
            </c:spPr>
          </c:dPt>
          <c:dPt>
            <c:idx val="373"/>
            <c:invertIfNegative val="1"/>
            <c:bubble3D val="0"/>
            <c:spPr>
              <a:solidFill>
                <a:srgbClr val="4285F4"/>
              </a:solidFill>
              <a:ln cmpd="sng">
                <a:solidFill>
                  <a:srgbClr val="000000"/>
                </a:solidFill>
                <a:prstDash val="solid"/>
              </a:ln>
            </c:spPr>
          </c:dPt>
          <c:dPt>
            <c:idx val="374"/>
            <c:invertIfNegative val="1"/>
            <c:bubble3D val="0"/>
            <c:spPr>
              <a:solidFill>
                <a:srgbClr val="4285F4"/>
              </a:solidFill>
              <a:ln cmpd="sng">
                <a:solidFill>
                  <a:srgbClr val="000000"/>
                </a:solidFill>
                <a:prstDash val="solid"/>
              </a:ln>
            </c:spPr>
          </c:dPt>
          <c:dPt>
            <c:idx val="375"/>
            <c:invertIfNegative val="1"/>
            <c:bubble3D val="0"/>
            <c:spPr>
              <a:solidFill>
                <a:srgbClr val="4285F4"/>
              </a:solidFill>
              <a:ln cmpd="sng">
                <a:solidFill>
                  <a:srgbClr val="000000"/>
                </a:solidFill>
                <a:prstDash val="solid"/>
              </a:ln>
            </c:spPr>
          </c:dPt>
          <c:dPt>
            <c:idx val="376"/>
            <c:invertIfNegative val="1"/>
            <c:bubble3D val="0"/>
            <c:spPr>
              <a:solidFill>
                <a:srgbClr val="4285F4"/>
              </a:solidFill>
              <a:ln cmpd="sng">
                <a:solidFill>
                  <a:srgbClr val="000000"/>
                </a:solidFill>
                <a:prstDash val="solid"/>
              </a:ln>
            </c:spPr>
          </c:dPt>
          <c:dPt>
            <c:idx val="377"/>
            <c:invertIfNegative val="1"/>
            <c:bubble3D val="0"/>
            <c:spPr>
              <a:solidFill>
                <a:srgbClr val="4285F4"/>
              </a:solidFill>
              <a:ln cmpd="sng">
                <a:solidFill>
                  <a:srgbClr val="000000"/>
                </a:solidFill>
                <a:prstDash val="solid"/>
              </a:ln>
            </c:spPr>
          </c:dPt>
          <c:dPt>
            <c:idx val="378"/>
            <c:invertIfNegative val="1"/>
            <c:bubble3D val="0"/>
            <c:spPr>
              <a:solidFill>
                <a:srgbClr val="4285F4"/>
              </a:solidFill>
              <a:ln cmpd="sng">
                <a:solidFill>
                  <a:srgbClr val="000000"/>
                </a:solidFill>
                <a:prstDash val="solid"/>
              </a:ln>
            </c:spPr>
          </c:dPt>
          <c:dPt>
            <c:idx val="379"/>
            <c:invertIfNegative val="1"/>
            <c:bubble3D val="0"/>
            <c:spPr>
              <a:solidFill>
                <a:srgbClr val="4285F4"/>
              </a:solidFill>
              <a:ln cmpd="sng">
                <a:solidFill>
                  <a:srgbClr val="000000"/>
                </a:solidFill>
                <a:prstDash val="solid"/>
              </a:ln>
            </c:spPr>
          </c:dPt>
          <c:dPt>
            <c:idx val="380"/>
            <c:invertIfNegative val="1"/>
            <c:bubble3D val="0"/>
            <c:spPr>
              <a:solidFill>
                <a:srgbClr val="4285F4"/>
              </a:solidFill>
              <a:ln cmpd="sng">
                <a:solidFill>
                  <a:srgbClr val="000000"/>
                </a:solidFill>
                <a:prstDash val="solid"/>
              </a:ln>
            </c:spPr>
          </c:dPt>
          <c:dPt>
            <c:idx val="381"/>
            <c:invertIfNegative val="1"/>
            <c:bubble3D val="0"/>
            <c:spPr>
              <a:solidFill>
                <a:srgbClr val="4285F4"/>
              </a:solidFill>
              <a:ln cmpd="sng">
                <a:solidFill>
                  <a:srgbClr val="000000"/>
                </a:solidFill>
                <a:prstDash val="solid"/>
              </a:ln>
            </c:spPr>
          </c:dPt>
          <c:dPt>
            <c:idx val="382"/>
            <c:invertIfNegative val="1"/>
            <c:bubble3D val="0"/>
            <c:spPr>
              <a:solidFill>
                <a:srgbClr val="4285F4"/>
              </a:solidFill>
              <a:ln cmpd="sng">
                <a:solidFill>
                  <a:srgbClr val="000000"/>
                </a:solidFill>
                <a:prstDash val="solid"/>
              </a:ln>
            </c:spPr>
          </c:dPt>
          <c:dPt>
            <c:idx val="383"/>
            <c:invertIfNegative val="1"/>
            <c:bubble3D val="0"/>
            <c:spPr>
              <a:solidFill>
                <a:srgbClr val="4285F4"/>
              </a:solidFill>
              <a:ln cmpd="sng">
                <a:solidFill>
                  <a:srgbClr val="000000"/>
                </a:solidFill>
                <a:prstDash val="solid"/>
              </a:ln>
            </c:spPr>
          </c:dPt>
          <c:dPt>
            <c:idx val="384"/>
            <c:invertIfNegative val="1"/>
            <c:bubble3D val="0"/>
            <c:spPr>
              <a:solidFill>
                <a:srgbClr val="4285F4"/>
              </a:solidFill>
              <a:ln cmpd="sng">
                <a:solidFill>
                  <a:srgbClr val="000000"/>
                </a:solidFill>
                <a:prstDash val="solid"/>
              </a:ln>
            </c:spPr>
          </c:dPt>
          <c:dPt>
            <c:idx val="385"/>
            <c:invertIfNegative val="1"/>
            <c:bubble3D val="0"/>
            <c:spPr>
              <a:solidFill>
                <a:srgbClr val="4285F4"/>
              </a:solidFill>
              <a:ln cmpd="sng">
                <a:solidFill>
                  <a:srgbClr val="000000"/>
                </a:solidFill>
                <a:prstDash val="solid"/>
              </a:ln>
            </c:spPr>
          </c:dPt>
          <c:dPt>
            <c:idx val="386"/>
            <c:invertIfNegative val="1"/>
            <c:bubble3D val="0"/>
            <c:spPr>
              <a:solidFill>
                <a:srgbClr val="4285F4"/>
              </a:solidFill>
              <a:ln cmpd="sng">
                <a:solidFill>
                  <a:srgbClr val="000000"/>
                </a:solidFill>
                <a:prstDash val="solid"/>
              </a:ln>
            </c:spPr>
          </c:dPt>
          <c:dPt>
            <c:idx val="387"/>
            <c:invertIfNegative val="1"/>
            <c:bubble3D val="0"/>
            <c:spPr>
              <a:solidFill>
                <a:srgbClr val="4285F4"/>
              </a:solidFill>
              <a:ln cmpd="sng">
                <a:solidFill>
                  <a:srgbClr val="000000"/>
                </a:solidFill>
                <a:prstDash val="solid"/>
              </a:ln>
            </c:spPr>
          </c:dPt>
          <c:dPt>
            <c:idx val="388"/>
            <c:invertIfNegative val="1"/>
            <c:bubble3D val="0"/>
            <c:spPr>
              <a:solidFill>
                <a:srgbClr val="4285F4"/>
              </a:solidFill>
              <a:ln cmpd="sng">
                <a:solidFill>
                  <a:srgbClr val="000000"/>
                </a:solidFill>
                <a:prstDash val="solid"/>
              </a:ln>
            </c:spPr>
          </c:dPt>
          <c:dPt>
            <c:idx val="389"/>
            <c:invertIfNegative val="1"/>
            <c:bubble3D val="0"/>
            <c:spPr>
              <a:solidFill>
                <a:srgbClr val="4285F4"/>
              </a:solidFill>
              <a:ln cmpd="sng">
                <a:solidFill>
                  <a:srgbClr val="000000"/>
                </a:solidFill>
                <a:prstDash val="solid"/>
              </a:ln>
            </c:spPr>
          </c:dPt>
          <c:dPt>
            <c:idx val="390"/>
            <c:invertIfNegative val="1"/>
            <c:bubble3D val="0"/>
            <c:spPr>
              <a:solidFill>
                <a:srgbClr val="4285F4"/>
              </a:solidFill>
              <a:ln cmpd="sng">
                <a:solidFill>
                  <a:srgbClr val="000000"/>
                </a:solidFill>
                <a:prstDash val="solid"/>
              </a:ln>
            </c:spPr>
          </c:dPt>
          <c:dPt>
            <c:idx val="391"/>
            <c:invertIfNegative val="1"/>
            <c:bubble3D val="0"/>
            <c:spPr>
              <a:solidFill>
                <a:srgbClr val="4285F4"/>
              </a:solidFill>
              <a:ln cmpd="sng">
                <a:solidFill>
                  <a:srgbClr val="000000"/>
                </a:solidFill>
                <a:prstDash val="solid"/>
              </a:ln>
            </c:spPr>
          </c:dPt>
          <c:dPt>
            <c:idx val="392"/>
            <c:invertIfNegative val="1"/>
            <c:bubble3D val="0"/>
            <c:spPr>
              <a:solidFill>
                <a:srgbClr val="4285F4"/>
              </a:solidFill>
              <a:ln cmpd="sng">
                <a:solidFill>
                  <a:srgbClr val="000000"/>
                </a:solidFill>
                <a:prstDash val="solid"/>
              </a:ln>
            </c:spPr>
          </c:dPt>
          <c:dPt>
            <c:idx val="393"/>
            <c:invertIfNegative val="1"/>
            <c:bubble3D val="0"/>
            <c:spPr>
              <a:solidFill>
                <a:srgbClr val="4285F4"/>
              </a:solidFill>
              <a:ln cmpd="sng">
                <a:solidFill>
                  <a:srgbClr val="000000"/>
                </a:solidFill>
                <a:prstDash val="solid"/>
              </a:ln>
            </c:spPr>
          </c:dPt>
          <c:dPt>
            <c:idx val="394"/>
            <c:invertIfNegative val="1"/>
            <c:bubble3D val="0"/>
            <c:spPr>
              <a:solidFill>
                <a:srgbClr val="4285F4"/>
              </a:solidFill>
              <a:ln cmpd="sng">
                <a:solidFill>
                  <a:srgbClr val="000000"/>
                </a:solidFill>
                <a:prstDash val="solid"/>
              </a:ln>
            </c:spPr>
          </c:dPt>
          <c:dPt>
            <c:idx val="395"/>
            <c:invertIfNegative val="1"/>
            <c:bubble3D val="0"/>
            <c:spPr>
              <a:solidFill>
                <a:srgbClr val="4285F4"/>
              </a:solidFill>
              <a:ln cmpd="sng">
                <a:solidFill>
                  <a:srgbClr val="000000"/>
                </a:solidFill>
                <a:prstDash val="solid"/>
              </a:ln>
            </c:spPr>
          </c:dPt>
          <c:dPt>
            <c:idx val="396"/>
            <c:invertIfNegative val="1"/>
            <c:bubble3D val="0"/>
            <c:spPr>
              <a:solidFill>
                <a:srgbClr val="4285F4"/>
              </a:solidFill>
              <a:ln cmpd="sng">
                <a:solidFill>
                  <a:srgbClr val="000000"/>
                </a:solidFill>
                <a:prstDash val="solid"/>
              </a:ln>
            </c:spPr>
          </c:dPt>
          <c:dPt>
            <c:idx val="397"/>
            <c:invertIfNegative val="1"/>
            <c:bubble3D val="0"/>
            <c:spPr>
              <a:solidFill>
                <a:srgbClr val="4285F4"/>
              </a:solidFill>
              <a:ln cmpd="sng">
                <a:solidFill>
                  <a:srgbClr val="000000"/>
                </a:solidFill>
                <a:prstDash val="solid"/>
              </a:ln>
            </c:spPr>
          </c:dPt>
          <c:dPt>
            <c:idx val="398"/>
            <c:invertIfNegative val="1"/>
            <c:bubble3D val="0"/>
            <c:spPr>
              <a:solidFill>
                <a:srgbClr val="4285F4"/>
              </a:solidFill>
              <a:ln cmpd="sng">
                <a:solidFill>
                  <a:srgbClr val="000000"/>
                </a:solidFill>
                <a:prstDash val="solid"/>
              </a:ln>
            </c:spPr>
          </c:dPt>
          <c:dPt>
            <c:idx val="399"/>
            <c:invertIfNegative val="1"/>
            <c:bubble3D val="0"/>
            <c:spPr>
              <a:solidFill>
                <a:srgbClr val="4285F4"/>
              </a:solidFill>
              <a:ln cmpd="sng">
                <a:solidFill>
                  <a:srgbClr val="000000"/>
                </a:solidFill>
                <a:prstDash val="solid"/>
              </a:ln>
            </c:spPr>
          </c:dPt>
          <c:dPt>
            <c:idx val="400"/>
            <c:invertIfNegative val="1"/>
            <c:bubble3D val="0"/>
            <c:spPr>
              <a:solidFill>
                <a:srgbClr val="4285F4"/>
              </a:solidFill>
              <a:ln cmpd="sng">
                <a:solidFill>
                  <a:srgbClr val="000000"/>
                </a:solidFill>
                <a:prstDash val="solid"/>
              </a:ln>
            </c:spPr>
          </c:dPt>
          <c:dPt>
            <c:idx val="401"/>
            <c:invertIfNegative val="1"/>
            <c:bubble3D val="0"/>
            <c:spPr>
              <a:solidFill>
                <a:srgbClr val="4285F4"/>
              </a:solidFill>
              <a:ln cmpd="sng">
                <a:solidFill>
                  <a:srgbClr val="000000"/>
                </a:solidFill>
                <a:prstDash val="solid"/>
              </a:ln>
            </c:spPr>
          </c:dPt>
          <c:dPt>
            <c:idx val="402"/>
            <c:invertIfNegative val="1"/>
            <c:bubble3D val="0"/>
            <c:spPr>
              <a:solidFill>
                <a:srgbClr val="4285F4"/>
              </a:solidFill>
              <a:ln cmpd="sng">
                <a:solidFill>
                  <a:srgbClr val="000000"/>
                </a:solidFill>
                <a:prstDash val="solid"/>
              </a:ln>
            </c:spPr>
          </c:dPt>
          <c:dPt>
            <c:idx val="403"/>
            <c:invertIfNegative val="1"/>
            <c:bubble3D val="0"/>
            <c:spPr>
              <a:solidFill>
                <a:srgbClr val="4285F4"/>
              </a:solidFill>
              <a:ln cmpd="sng">
                <a:solidFill>
                  <a:srgbClr val="000000"/>
                </a:solidFill>
                <a:prstDash val="solid"/>
              </a:ln>
            </c:spPr>
          </c:dPt>
          <c:dPt>
            <c:idx val="404"/>
            <c:invertIfNegative val="1"/>
            <c:bubble3D val="0"/>
            <c:spPr>
              <a:solidFill>
                <a:srgbClr val="4285F4"/>
              </a:solidFill>
              <a:ln cmpd="sng">
                <a:solidFill>
                  <a:srgbClr val="000000"/>
                </a:solidFill>
                <a:prstDash val="solid"/>
              </a:ln>
            </c:spPr>
          </c:dPt>
          <c:dPt>
            <c:idx val="405"/>
            <c:invertIfNegative val="1"/>
            <c:bubble3D val="0"/>
            <c:spPr>
              <a:solidFill>
                <a:srgbClr val="4285F4"/>
              </a:solidFill>
              <a:ln cmpd="sng">
                <a:solidFill>
                  <a:srgbClr val="000000"/>
                </a:solidFill>
                <a:prstDash val="solid"/>
              </a:ln>
            </c:spPr>
          </c:dPt>
          <c:dPt>
            <c:idx val="406"/>
            <c:invertIfNegative val="1"/>
            <c:bubble3D val="0"/>
            <c:spPr>
              <a:solidFill>
                <a:srgbClr val="4285F4"/>
              </a:solidFill>
              <a:ln cmpd="sng">
                <a:solidFill>
                  <a:srgbClr val="000000"/>
                </a:solidFill>
                <a:prstDash val="solid"/>
              </a:ln>
            </c:spPr>
          </c:dPt>
          <c:dPt>
            <c:idx val="407"/>
            <c:invertIfNegative val="1"/>
            <c:bubble3D val="0"/>
            <c:spPr>
              <a:solidFill>
                <a:srgbClr val="4285F4"/>
              </a:solidFill>
              <a:ln cmpd="sng">
                <a:solidFill>
                  <a:srgbClr val="000000"/>
                </a:solidFill>
                <a:prstDash val="solid"/>
              </a:ln>
            </c:spPr>
          </c:dPt>
          <c:dPt>
            <c:idx val="408"/>
            <c:invertIfNegative val="1"/>
            <c:bubble3D val="0"/>
            <c:spPr>
              <a:solidFill>
                <a:srgbClr val="4285F4"/>
              </a:solidFill>
              <a:ln cmpd="sng">
                <a:solidFill>
                  <a:srgbClr val="000000"/>
                </a:solidFill>
                <a:prstDash val="solid"/>
              </a:ln>
            </c:spPr>
          </c:dPt>
          <c:dPt>
            <c:idx val="409"/>
            <c:invertIfNegative val="1"/>
            <c:bubble3D val="0"/>
            <c:spPr>
              <a:solidFill>
                <a:srgbClr val="4285F4"/>
              </a:solidFill>
              <a:ln cmpd="sng">
                <a:solidFill>
                  <a:srgbClr val="000000"/>
                </a:solidFill>
                <a:prstDash val="solid"/>
              </a:ln>
            </c:spPr>
          </c:dPt>
          <c:dPt>
            <c:idx val="410"/>
            <c:invertIfNegative val="1"/>
            <c:bubble3D val="0"/>
            <c:spPr>
              <a:solidFill>
                <a:srgbClr val="4285F4"/>
              </a:solidFill>
              <a:ln cmpd="sng">
                <a:solidFill>
                  <a:srgbClr val="000000"/>
                </a:solidFill>
                <a:prstDash val="solid"/>
              </a:ln>
            </c:spPr>
          </c:dPt>
          <c:dPt>
            <c:idx val="411"/>
            <c:invertIfNegative val="1"/>
            <c:bubble3D val="0"/>
            <c:spPr>
              <a:solidFill>
                <a:srgbClr val="4285F4"/>
              </a:solidFill>
              <a:ln cmpd="sng">
                <a:solidFill>
                  <a:srgbClr val="000000"/>
                </a:solidFill>
                <a:prstDash val="solid"/>
              </a:ln>
            </c:spPr>
          </c:dPt>
          <c:dPt>
            <c:idx val="412"/>
            <c:invertIfNegative val="1"/>
            <c:bubble3D val="0"/>
            <c:spPr>
              <a:solidFill>
                <a:srgbClr val="4285F4"/>
              </a:solidFill>
              <a:ln cmpd="sng">
                <a:solidFill>
                  <a:srgbClr val="000000"/>
                </a:solidFill>
                <a:prstDash val="solid"/>
              </a:ln>
            </c:spPr>
          </c:dPt>
          <c:dPt>
            <c:idx val="413"/>
            <c:invertIfNegative val="1"/>
            <c:bubble3D val="0"/>
            <c:spPr>
              <a:solidFill>
                <a:srgbClr val="4285F4"/>
              </a:solidFill>
              <a:ln cmpd="sng">
                <a:solidFill>
                  <a:srgbClr val="000000"/>
                </a:solidFill>
                <a:prstDash val="solid"/>
              </a:ln>
            </c:spPr>
          </c:dPt>
          <c:dPt>
            <c:idx val="414"/>
            <c:invertIfNegative val="1"/>
            <c:bubble3D val="0"/>
            <c:spPr>
              <a:solidFill>
                <a:srgbClr val="4285F4"/>
              </a:solidFill>
              <a:ln cmpd="sng">
                <a:solidFill>
                  <a:srgbClr val="000000"/>
                </a:solidFill>
                <a:prstDash val="solid"/>
              </a:ln>
            </c:spPr>
          </c:dPt>
          <c:dPt>
            <c:idx val="415"/>
            <c:invertIfNegative val="1"/>
            <c:bubble3D val="0"/>
            <c:spPr>
              <a:solidFill>
                <a:srgbClr val="4285F4"/>
              </a:solidFill>
              <a:ln cmpd="sng">
                <a:solidFill>
                  <a:srgbClr val="000000"/>
                </a:solidFill>
                <a:prstDash val="solid"/>
              </a:ln>
            </c:spPr>
          </c:dPt>
          <c:dPt>
            <c:idx val="416"/>
            <c:invertIfNegative val="1"/>
            <c:bubble3D val="0"/>
            <c:spPr>
              <a:solidFill>
                <a:srgbClr val="4285F4"/>
              </a:solidFill>
              <a:ln cmpd="sng">
                <a:solidFill>
                  <a:srgbClr val="000000"/>
                </a:solidFill>
                <a:prstDash val="solid"/>
              </a:ln>
            </c:spPr>
          </c:dPt>
          <c:dPt>
            <c:idx val="417"/>
            <c:invertIfNegative val="1"/>
            <c:bubble3D val="0"/>
            <c:spPr>
              <a:solidFill>
                <a:srgbClr val="4285F4"/>
              </a:solidFill>
              <a:ln cmpd="sng">
                <a:solidFill>
                  <a:srgbClr val="000000"/>
                </a:solidFill>
                <a:prstDash val="solid"/>
              </a:ln>
            </c:spPr>
          </c:dPt>
          <c:dPt>
            <c:idx val="418"/>
            <c:invertIfNegative val="1"/>
            <c:bubble3D val="0"/>
            <c:spPr>
              <a:solidFill>
                <a:srgbClr val="4285F4"/>
              </a:solidFill>
              <a:ln cmpd="sng">
                <a:solidFill>
                  <a:srgbClr val="000000"/>
                </a:solidFill>
                <a:prstDash val="solid"/>
              </a:ln>
            </c:spPr>
          </c:dPt>
          <c:dPt>
            <c:idx val="419"/>
            <c:invertIfNegative val="1"/>
            <c:bubble3D val="0"/>
            <c:spPr>
              <a:solidFill>
                <a:srgbClr val="4285F4"/>
              </a:solidFill>
              <a:ln cmpd="sng">
                <a:solidFill>
                  <a:srgbClr val="000000"/>
                </a:solidFill>
                <a:prstDash val="solid"/>
              </a:ln>
            </c:spPr>
          </c:dPt>
          <c:dPt>
            <c:idx val="420"/>
            <c:invertIfNegative val="1"/>
            <c:bubble3D val="0"/>
            <c:spPr>
              <a:solidFill>
                <a:srgbClr val="4285F4"/>
              </a:solidFill>
              <a:ln cmpd="sng">
                <a:solidFill>
                  <a:srgbClr val="000000"/>
                </a:solidFill>
                <a:prstDash val="solid"/>
              </a:ln>
            </c:spPr>
          </c:dPt>
          <c:dPt>
            <c:idx val="421"/>
            <c:invertIfNegative val="1"/>
            <c:bubble3D val="0"/>
            <c:spPr>
              <a:solidFill>
                <a:srgbClr val="4285F4"/>
              </a:solidFill>
              <a:ln cmpd="sng">
                <a:solidFill>
                  <a:srgbClr val="000000"/>
                </a:solidFill>
                <a:prstDash val="solid"/>
              </a:ln>
            </c:spPr>
          </c:dPt>
          <c:dPt>
            <c:idx val="422"/>
            <c:invertIfNegative val="1"/>
            <c:bubble3D val="0"/>
            <c:spPr>
              <a:solidFill>
                <a:srgbClr val="4285F4"/>
              </a:solidFill>
              <a:ln cmpd="sng">
                <a:solidFill>
                  <a:srgbClr val="000000"/>
                </a:solidFill>
                <a:prstDash val="solid"/>
              </a:ln>
            </c:spPr>
          </c:dPt>
          <c:dPt>
            <c:idx val="423"/>
            <c:invertIfNegative val="1"/>
            <c:bubble3D val="0"/>
            <c:spPr>
              <a:solidFill>
                <a:srgbClr val="4285F4"/>
              </a:solidFill>
              <a:ln cmpd="sng">
                <a:solidFill>
                  <a:srgbClr val="000000"/>
                </a:solidFill>
                <a:prstDash val="solid"/>
              </a:ln>
            </c:spPr>
          </c:dPt>
          <c:dPt>
            <c:idx val="424"/>
            <c:invertIfNegative val="1"/>
            <c:bubble3D val="0"/>
            <c:spPr>
              <a:solidFill>
                <a:srgbClr val="4285F4"/>
              </a:solidFill>
              <a:ln cmpd="sng">
                <a:solidFill>
                  <a:srgbClr val="000000"/>
                </a:solidFill>
                <a:prstDash val="solid"/>
              </a:ln>
            </c:spPr>
          </c:dPt>
          <c:dPt>
            <c:idx val="425"/>
            <c:invertIfNegative val="1"/>
            <c:bubble3D val="0"/>
            <c:spPr>
              <a:solidFill>
                <a:srgbClr val="4285F4"/>
              </a:solidFill>
              <a:ln cmpd="sng">
                <a:solidFill>
                  <a:srgbClr val="000000"/>
                </a:solidFill>
                <a:prstDash val="solid"/>
              </a:ln>
            </c:spPr>
          </c:dPt>
          <c:dPt>
            <c:idx val="426"/>
            <c:invertIfNegative val="1"/>
            <c:bubble3D val="0"/>
            <c:spPr>
              <a:solidFill>
                <a:srgbClr val="4285F4"/>
              </a:solidFill>
              <a:ln cmpd="sng">
                <a:solidFill>
                  <a:srgbClr val="000000"/>
                </a:solidFill>
                <a:prstDash val="solid"/>
              </a:ln>
            </c:spPr>
          </c:dPt>
          <c:dPt>
            <c:idx val="427"/>
            <c:invertIfNegative val="1"/>
            <c:bubble3D val="0"/>
            <c:spPr>
              <a:solidFill>
                <a:srgbClr val="4285F4"/>
              </a:solidFill>
              <a:ln cmpd="sng">
                <a:solidFill>
                  <a:srgbClr val="000000"/>
                </a:solidFill>
                <a:prstDash val="solid"/>
              </a:ln>
            </c:spPr>
          </c:dPt>
          <c:dPt>
            <c:idx val="428"/>
            <c:invertIfNegative val="1"/>
            <c:bubble3D val="0"/>
            <c:spPr>
              <a:solidFill>
                <a:srgbClr val="4285F4"/>
              </a:solidFill>
              <a:ln cmpd="sng">
                <a:solidFill>
                  <a:srgbClr val="000000"/>
                </a:solidFill>
                <a:prstDash val="solid"/>
              </a:ln>
            </c:spPr>
          </c:dPt>
          <c:dPt>
            <c:idx val="429"/>
            <c:invertIfNegative val="1"/>
            <c:bubble3D val="0"/>
            <c:spPr>
              <a:solidFill>
                <a:srgbClr val="4285F4"/>
              </a:solidFill>
              <a:ln cmpd="sng">
                <a:solidFill>
                  <a:srgbClr val="000000"/>
                </a:solidFill>
                <a:prstDash val="solid"/>
              </a:ln>
            </c:spPr>
          </c:dPt>
          <c:dPt>
            <c:idx val="430"/>
            <c:invertIfNegative val="1"/>
            <c:bubble3D val="0"/>
            <c:spPr>
              <a:solidFill>
                <a:srgbClr val="4285F4"/>
              </a:solidFill>
              <a:ln cmpd="sng">
                <a:solidFill>
                  <a:srgbClr val="000000"/>
                </a:solidFill>
                <a:prstDash val="solid"/>
              </a:ln>
            </c:spPr>
          </c:dPt>
          <c:dPt>
            <c:idx val="431"/>
            <c:invertIfNegative val="1"/>
            <c:bubble3D val="0"/>
            <c:spPr>
              <a:solidFill>
                <a:srgbClr val="4285F4"/>
              </a:solidFill>
              <a:ln cmpd="sng">
                <a:solidFill>
                  <a:srgbClr val="000000"/>
                </a:solidFill>
                <a:prstDash val="solid"/>
              </a:ln>
            </c:spPr>
          </c:dPt>
          <c:dPt>
            <c:idx val="432"/>
            <c:invertIfNegative val="1"/>
            <c:bubble3D val="0"/>
            <c:spPr>
              <a:solidFill>
                <a:srgbClr val="4285F4"/>
              </a:solidFill>
              <a:ln cmpd="sng">
                <a:solidFill>
                  <a:srgbClr val="000000"/>
                </a:solidFill>
                <a:prstDash val="solid"/>
              </a:ln>
            </c:spPr>
          </c:dPt>
          <c:dPt>
            <c:idx val="433"/>
            <c:invertIfNegative val="1"/>
            <c:bubble3D val="0"/>
            <c:spPr>
              <a:solidFill>
                <a:srgbClr val="4285F4"/>
              </a:solidFill>
              <a:ln cmpd="sng">
                <a:solidFill>
                  <a:srgbClr val="000000"/>
                </a:solidFill>
                <a:prstDash val="solid"/>
              </a:ln>
            </c:spPr>
          </c:dPt>
          <c:dPt>
            <c:idx val="434"/>
            <c:invertIfNegative val="1"/>
            <c:bubble3D val="0"/>
            <c:spPr>
              <a:solidFill>
                <a:srgbClr val="4285F4"/>
              </a:solidFill>
              <a:ln cmpd="sng">
                <a:solidFill>
                  <a:srgbClr val="000000"/>
                </a:solidFill>
                <a:prstDash val="solid"/>
              </a:ln>
            </c:spPr>
          </c:dPt>
          <c:dPt>
            <c:idx val="435"/>
            <c:invertIfNegative val="1"/>
            <c:bubble3D val="0"/>
            <c:spPr>
              <a:solidFill>
                <a:srgbClr val="4285F4"/>
              </a:solidFill>
              <a:ln cmpd="sng">
                <a:solidFill>
                  <a:srgbClr val="000000"/>
                </a:solidFill>
                <a:prstDash val="solid"/>
              </a:ln>
            </c:spPr>
          </c:dPt>
          <c:dPt>
            <c:idx val="436"/>
            <c:invertIfNegative val="1"/>
            <c:bubble3D val="0"/>
            <c:spPr>
              <a:solidFill>
                <a:srgbClr val="4285F4"/>
              </a:solidFill>
              <a:ln cmpd="sng">
                <a:solidFill>
                  <a:srgbClr val="000000"/>
                </a:solidFill>
                <a:prstDash val="solid"/>
              </a:ln>
            </c:spPr>
          </c:dPt>
          <c:dPt>
            <c:idx val="437"/>
            <c:invertIfNegative val="1"/>
            <c:bubble3D val="0"/>
            <c:spPr>
              <a:solidFill>
                <a:srgbClr val="4285F4"/>
              </a:solidFill>
              <a:ln cmpd="sng">
                <a:solidFill>
                  <a:srgbClr val="000000"/>
                </a:solidFill>
                <a:prstDash val="solid"/>
              </a:ln>
            </c:spPr>
          </c:dPt>
          <c:dPt>
            <c:idx val="438"/>
            <c:invertIfNegative val="1"/>
            <c:bubble3D val="0"/>
            <c:spPr>
              <a:solidFill>
                <a:srgbClr val="4285F4"/>
              </a:solidFill>
              <a:ln cmpd="sng">
                <a:solidFill>
                  <a:srgbClr val="000000"/>
                </a:solidFill>
                <a:prstDash val="solid"/>
              </a:ln>
            </c:spPr>
          </c:dPt>
          <c:dPt>
            <c:idx val="439"/>
            <c:invertIfNegative val="1"/>
            <c:bubble3D val="0"/>
            <c:spPr>
              <a:solidFill>
                <a:srgbClr val="4285F4"/>
              </a:solidFill>
              <a:ln cmpd="sng">
                <a:solidFill>
                  <a:srgbClr val="000000"/>
                </a:solidFill>
                <a:prstDash val="solid"/>
              </a:ln>
            </c:spPr>
          </c:dPt>
          <c:dPt>
            <c:idx val="440"/>
            <c:invertIfNegative val="1"/>
            <c:bubble3D val="0"/>
            <c:spPr>
              <a:solidFill>
                <a:srgbClr val="4285F4"/>
              </a:solidFill>
              <a:ln cmpd="sng">
                <a:solidFill>
                  <a:srgbClr val="000000"/>
                </a:solidFill>
                <a:prstDash val="solid"/>
              </a:ln>
            </c:spPr>
          </c:dPt>
          <c:dPt>
            <c:idx val="441"/>
            <c:invertIfNegative val="1"/>
            <c:bubble3D val="0"/>
            <c:spPr>
              <a:solidFill>
                <a:srgbClr val="4285F4"/>
              </a:solidFill>
              <a:ln cmpd="sng">
                <a:solidFill>
                  <a:srgbClr val="000000"/>
                </a:solidFill>
                <a:prstDash val="solid"/>
              </a:ln>
            </c:spPr>
          </c:dPt>
          <c:dPt>
            <c:idx val="442"/>
            <c:invertIfNegative val="1"/>
            <c:bubble3D val="0"/>
            <c:spPr>
              <a:solidFill>
                <a:srgbClr val="4285F4"/>
              </a:solidFill>
              <a:ln cmpd="sng">
                <a:solidFill>
                  <a:srgbClr val="000000"/>
                </a:solidFill>
                <a:prstDash val="solid"/>
              </a:ln>
            </c:spPr>
          </c:dPt>
          <c:dPt>
            <c:idx val="443"/>
            <c:invertIfNegative val="1"/>
            <c:bubble3D val="0"/>
            <c:spPr>
              <a:solidFill>
                <a:srgbClr val="4285F4"/>
              </a:solidFill>
              <a:ln cmpd="sng">
                <a:solidFill>
                  <a:srgbClr val="000000"/>
                </a:solidFill>
                <a:prstDash val="solid"/>
              </a:ln>
            </c:spPr>
          </c:dPt>
          <c:dPt>
            <c:idx val="444"/>
            <c:invertIfNegative val="1"/>
            <c:bubble3D val="0"/>
            <c:spPr>
              <a:solidFill>
                <a:srgbClr val="4285F4"/>
              </a:solidFill>
              <a:ln cmpd="sng">
                <a:solidFill>
                  <a:srgbClr val="000000"/>
                </a:solidFill>
                <a:prstDash val="solid"/>
              </a:ln>
            </c:spPr>
          </c:dPt>
          <c:dPt>
            <c:idx val="445"/>
            <c:invertIfNegative val="1"/>
            <c:bubble3D val="0"/>
            <c:spPr>
              <a:solidFill>
                <a:srgbClr val="4285F4"/>
              </a:solidFill>
              <a:ln cmpd="sng">
                <a:solidFill>
                  <a:srgbClr val="000000"/>
                </a:solidFill>
                <a:prstDash val="solid"/>
              </a:ln>
            </c:spPr>
          </c:dPt>
          <c:dPt>
            <c:idx val="446"/>
            <c:invertIfNegative val="1"/>
            <c:bubble3D val="0"/>
            <c:spPr>
              <a:solidFill>
                <a:srgbClr val="4285F4"/>
              </a:solidFill>
              <a:ln cmpd="sng">
                <a:solidFill>
                  <a:srgbClr val="000000"/>
                </a:solidFill>
                <a:prstDash val="solid"/>
              </a:ln>
            </c:spPr>
          </c:dPt>
          <c:dPt>
            <c:idx val="447"/>
            <c:invertIfNegative val="1"/>
            <c:bubble3D val="0"/>
            <c:spPr>
              <a:solidFill>
                <a:srgbClr val="4285F4"/>
              </a:solidFill>
              <a:ln cmpd="sng">
                <a:solidFill>
                  <a:srgbClr val="000000"/>
                </a:solidFill>
                <a:prstDash val="solid"/>
              </a:ln>
            </c:spPr>
          </c:dPt>
          <c:dPt>
            <c:idx val="448"/>
            <c:invertIfNegative val="1"/>
            <c:bubble3D val="0"/>
            <c:spPr>
              <a:solidFill>
                <a:srgbClr val="4285F4"/>
              </a:solidFill>
              <a:ln cmpd="sng">
                <a:solidFill>
                  <a:srgbClr val="000000"/>
                </a:solidFill>
                <a:prstDash val="solid"/>
              </a:ln>
            </c:spPr>
          </c:dPt>
          <c:dPt>
            <c:idx val="449"/>
            <c:invertIfNegative val="1"/>
            <c:bubble3D val="0"/>
            <c:spPr>
              <a:solidFill>
                <a:srgbClr val="4285F4"/>
              </a:solidFill>
              <a:ln cmpd="sng">
                <a:solidFill>
                  <a:srgbClr val="000000"/>
                </a:solidFill>
                <a:prstDash val="solid"/>
              </a:ln>
            </c:spPr>
          </c:dPt>
          <c:dPt>
            <c:idx val="450"/>
            <c:invertIfNegative val="1"/>
            <c:bubble3D val="0"/>
            <c:spPr>
              <a:solidFill>
                <a:srgbClr val="4285F4"/>
              </a:solidFill>
              <a:ln cmpd="sng">
                <a:solidFill>
                  <a:srgbClr val="000000"/>
                </a:solidFill>
                <a:prstDash val="solid"/>
              </a:ln>
            </c:spPr>
          </c:dPt>
          <c:dPt>
            <c:idx val="451"/>
            <c:invertIfNegative val="1"/>
            <c:bubble3D val="0"/>
            <c:spPr>
              <a:solidFill>
                <a:srgbClr val="4285F4"/>
              </a:solidFill>
              <a:ln cmpd="sng">
                <a:solidFill>
                  <a:srgbClr val="000000"/>
                </a:solidFill>
                <a:prstDash val="solid"/>
              </a:ln>
            </c:spPr>
          </c:dPt>
          <c:dPt>
            <c:idx val="452"/>
            <c:invertIfNegative val="1"/>
            <c:bubble3D val="0"/>
            <c:spPr>
              <a:solidFill>
                <a:srgbClr val="4285F4"/>
              </a:solidFill>
              <a:ln cmpd="sng">
                <a:solidFill>
                  <a:srgbClr val="000000"/>
                </a:solidFill>
                <a:prstDash val="solid"/>
              </a:ln>
            </c:spPr>
          </c:dPt>
          <c:dPt>
            <c:idx val="453"/>
            <c:invertIfNegative val="1"/>
            <c:bubble3D val="0"/>
            <c:spPr>
              <a:solidFill>
                <a:srgbClr val="4285F4"/>
              </a:solidFill>
              <a:ln cmpd="sng">
                <a:solidFill>
                  <a:srgbClr val="000000"/>
                </a:solidFill>
                <a:prstDash val="solid"/>
              </a:ln>
            </c:spPr>
          </c:dPt>
          <c:dPt>
            <c:idx val="454"/>
            <c:invertIfNegative val="1"/>
            <c:bubble3D val="0"/>
            <c:spPr>
              <a:solidFill>
                <a:srgbClr val="4285F4"/>
              </a:solidFill>
              <a:ln cmpd="sng">
                <a:solidFill>
                  <a:srgbClr val="000000"/>
                </a:solidFill>
                <a:prstDash val="solid"/>
              </a:ln>
            </c:spPr>
          </c:dPt>
          <c:dPt>
            <c:idx val="455"/>
            <c:invertIfNegative val="1"/>
            <c:bubble3D val="0"/>
            <c:spPr>
              <a:solidFill>
                <a:srgbClr val="4285F4"/>
              </a:solidFill>
              <a:ln cmpd="sng">
                <a:solidFill>
                  <a:srgbClr val="000000"/>
                </a:solidFill>
                <a:prstDash val="solid"/>
              </a:ln>
            </c:spPr>
          </c:dPt>
          <c:dPt>
            <c:idx val="456"/>
            <c:invertIfNegative val="1"/>
            <c:bubble3D val="0"/>
            <c:spPr>
              <a:solidFill>
                <a:srgbClr val="4285F4"/>
              </a:solidFill>
              <a:ln cmpd="sng">
                <a:solidFill>
                  <a:srgbClr val="000000"/>
                </a:solidFill>
                <a:prstDash val="solid"/>
              </a:ln>
            </c:spPr>
          </c:dPt>
          <c:dPt>
            <c:idx val="457"/>
            <c:invertIfNegative val="1"/>
            <c:bubble3D val="0"/>
            <c:spPr>
              <a:solidFill>
                <a:srgbClr val="4285F4"/>
              </a:solidFill>
              <a:ln cmpd="sng">
                <a:solidFill>
                  <a:srgbClr val="000000"/>
                </a:solidFill>
                <a:prstDash val="solid"/>
              </a:ln>
            </c:spPr>
          </c:dPt>
          <c:dPt>
            <c:idx val="458"/>
            <c:invertIfNegative val="1"/>
            <c:bubble3D val="0"/>
            <c:spPr>
              <a:solidFill>
                <a:srgbClr val="4285F4"/>
              </a:solidFill>
              <a:ln cmpd="sng">
                <a:solidFill>
                  <a:srgbClr val="000000"/>
                </a:solidFill>
                <a:prstDash val="solid"/>
              </a:ln>
            </c:spPr>
          </c:dPt>
          <c:dPt>
            <c:idx val="459"/>
            <c:invertIfNegative val="1"/>
            <c:bubble3D val="0"/>
            <c:spPr>
              <a:solidFill>
                <a:srgbClr val="4285F4"/>
              </a:solidFill>
              <a:ln cmpd="sng">
                <a:solidFill>
                  <a:srgbClr val="000000"/>
                </a:solidFill>
                <a:prstDash val="solid"/>
              </a:ln>
            </c:spPr>
          </c:dPt>
          <c:dPt>
            <c:idx val="460"/>
            <c:invertIfNegative val="1"/>
            <c:bubble3D val="0"/>
            <c:spPr>
              <a:solidFill>
                <a:srgbClr val="4285F4"/>
              </a:solidFill>
              <a:ln cmpd="sng">
                <a:solidFill>
                  <a:srgbClr val="000000"/>
                </a:solidFill>
                <a:prstDash val="solid"/>
              </a:ln>
            </c:spPr>
          </c:dPt>
          <c:dPt>
            <c:idx val="461"/>
            <c:invertIfNegative val="1"/>
            <c:bubble3D val="0"/>
            <c:spPr>
              <a:solidFill>
                <a:srgbClr val="4285F4"/>
              </a:solidFill>
              <a:ln cmpd="sng">
                <a:solidFill>
                  <a:srgbClr val="000000"/>
                </a:solidFill>
                <a:prstDash val="solid"/>
              </a:ln>
            </c:spPr>
          </c:dPt>
          <c:dPt>
            <c:idx val="462"/>
            <c:invertIfNegative val="1"/>
            <c:bubble3D val="0"/>
            <c:spPr>
              <a:solidFill>
                <a:srgbClr val="4285F4"/>
              </a:solidFill>
              <a:ln cmpd="sng">
                <a:solidFill>
                  <a:srgbClr val="000000"/>
                </a:solidFill>
                <a:prstDash val="solid"/>
              </a:ln>
            </c:spPr>
          </c:dPt>
          <c:dPt>
            <c:idx val="463"/>
            <c:invertIfNegative val="1"/>
            <c:bubble3D val="0"/>
            <c:spPr>
              <a:solidFill>
                <a:srgbClr val="4285F4"/>
              </a:solidFill>
              <a:ln cmpd="sng">
                <a:solidFill>
                  <a:srgbClr val="000000"/>
                </a:solidFill>
                <a:prstDash val="solid"/>
              </a:ln>
            </c:spPr>
          </c:dPt>
          <c:dPt>
            <c:idx val="464"/>
            <c:invertIfNegative val="1"/>
            <c:bubble3D val="0"/>
            <c:spPr>
              <a:solidFill>
                <a:srgbClr val="4285F4"/>
              </a:solidFill>
              <a:ln cmpd="sng">
                <a:solidFill>
                  <a:srgbClr val="000000"/>
                </a:solidFill>
                <a:prstDash val="solid"/>
              </a:ln>
            </c:spPr>
          </c:dPt>
          <c:dPt>
            <c:idx val="465"/>
            <c:invertIfNegative val="1"/>
            <c:bubble3D val="0"/>
            <c:spPr>
              <a:solidFill>
                <a:srgbClr val="4285F4"/>
              </a:solidFill>
              <a:ln cmpd="sng">
                <a:solidFill>
                  <a:srgbClr val="000000"/>
                </a:solidFill>
                <a:prstDash val="solid"/>
              </a:ln>
            </c:spPr>
          </c:dPt>
          <c:dPt>
            <c:idx val="466"/>
            <c:invertIfNegative val="1"/>
            <c:bubble3D val="0"/>
            <c:spPr>
              <a:solidFill>
                <a:srgbClr val="4285F4"/>
              </a:solidFill>
              <a:ln cmpd="sng">
                <a:solidFill>
                  <a:srgbClr val="000000"/>
                </a:solidFill>
                <a:prstDash val="solid"/>
              </a:ln>
            </c:spPr>
          </c:dPt>
          <c:dPt>
            <c:idx val="467"/>
            <c:invertIfNegative val="1"/>
            <c:bubble3D val="0"/>
            <c:spPr>
              <a:solidFill>
                <a:srgbClr val="4285F4"/>
              </a:solidFill>
              <a:ln cmpd="sng">
                <a:solidFill>
                  <a:srgbClr val="000000"/>
                </a:solidFill>
                <a:prstDash val="solid"/>
              </a:ln>
            </c:spPr>
          </c:dPt>
          <c:dPt>
            <c:idx val="468"/>
            <c:invertIfNegative val="1"/>
            <c:bubble3D val="0"/>
            <c:spPr>
              <a:solidFill>
                <a:srgbClr val="4285F4"/>
              </a:solidFill>
              <a:ln cmpd="sng">
                <a:solidFill>
                  <a:srgbClr val="000000"/>
                </a:solidFill>
                <a:prstDash val="solid"/>
              </a:ln>
            </c:spPr>
          </c:dPt>
          <c:dPt>
            <c:idx val="469"/>
            <c:invertIfNegative val="1"/>
            <c:bubble3D val="0"/>
            <c:spPr>
              <a:solidFill>
                <a:srgbClr val="4285F4"/>
              </a:solidFill>
              <a:ln cmpd="sng">
                <a:solidFill>
                  <a:srgbClr val="000000"/>
                </a:solidFill>
                <a:prstDash val="solid"/>
              </a:ln>
            </c:spPr>
          </c:dPt>
          <c:dPt>
            <c:idx val="470"/>
            <c:invertIfNegative val="1"/>
            <c:bubble3D val="0"/>
            <c:spPr>
              <a:solidFill>
                <a:srgbClr val="4285F4"/>
              </a:solidFill>
              <a:ln cmpd="sng">
                <a:solidFill>
                  <a:srgbClr val="000000"/>
                </a:solidFill>
                <a:prstDash val="solid"/>
              </a:ln>
            </c:spPr>
          </c:dPt>
          <c:dPt>
            <c:idx val="471"/>
            <c:invertIfNegative val="1"/>
            <c:bubble3D val="0"/>
            <c:spPr>
              <a:solidFill>
                <a:srgbClr val="4285F4"/>
              </a:solidFill>
              <a:ln cmpd="sng">
                <a:solidFill>
                  <a:srgbClr val="000000"/>
                </a:solidFill>
                <a:prstDash val="solid"/>
              </a:ln>
            </c:spPr>
          </c:dPt>
          <c:dPt>
            <c:idx val="472"/>
            <c:invertIfNegative val="1"/>
            <c:bubble3D val="0"/>
            <c:spPr>
              <a:solidFill>
                <a:srgbClr val="4285F4"/>
              </a:solidFill>
              <a:ln cmpd="sng">
                <a:solidFill>
                  <a:srgbClr val="000000"/>
                </a:solidFill>
                <a:prstDash val="solid"/>
              </a:ln>
            </c:spPr>
          </c:dPt>
          <c:dPt>
            <c:idx val="473"/>
            <c:invertIfNegative val="1"/>
            <c:bubble3D val="0"/>
            <c:spPr>
              <a:solidFill>
                <a:srgbClr val="4285F4"/>
              </a:solidFill>
              <a:ln cmpd="sng">
                <a:solidFill>
                  <a:srgbClr val="000000"/>
                </a:solidFill>
                <a:prstDash val="solid"/>
              </a:ln>
            </c:spPr>
          </c:dPt>
          <c:dPt>
            <c:idx val="474"/>
            <c:invertIfNegative val="1"/>
            <c:bubble3D val="0"/>
            <c:spPr>
              <a:solidFill>
                <a:srgbClr val="4285F4"/>
              </a:solidFill>
              <a:ln cmpd="sng">
                <a:solidFill>
                  <a:srgbClr val="000000"/>
                </a:solidFill>
                <a:prstDash val="solid"/>
              </a:ln>
            </c:spPr>
          </c:dPt>
          <c:dPt>
            <c:idx val="475"/>
            <c:invertIfNegative val="1"/>
            <c:bubble3D val="0"/>
            <c:spPr>
              <a:solidFill>
                <a:srgbClr val="4285F4"/>
              </a:solidFill>
              <a:ln cmpd="sng">
                <a:solidFill>
                  <a:srgbClr val="000000"/>
                </a:solidFill>
                <a:prstDash val="solid"/>
              </a:ln>
            </c:spPr>
          </c:dPt>
          <c:dPt>
            <c:idx val="476"/>
            <c:invertIfNegative val="1"/>
            <c:bubble3D val="0"/>
            <c:spPr>
              <a:solidFill>
                <a:srgbClr val="4285F4"/>
              </a:solidFill>
              <a:ln cmpd="sng">
                <a:solidFill>
                  <a:srgbClr val="000000"/>
                </a:solidFill>
                <a:prstDash val="solid"/>
              </a:ln>
            </c:spPr>
          </c:dPt>
          <c:dPt>
            <c:idx val="477"/>
            <c:invertIfNegative val="1"/>
            <c:bubble3D val="0"/>
            <c:spPr>
              <a:solidFill>
                <a:srgbClr val="4285F4"/>
              </a:solidFill>
              <a:ln cmpd="sng">
                <a:solidFill>
                  <a:srgbClr val="000000"/>
                </a:solidFill>
                <a:prstDash val="solid"/>
              </a:ln>
            </c:spPr>
          </c:dPt>
          <c:dPt>
            <c:idx val="478"/>
            <c:invertIfNegative val="1"/>
            <c:bubble3D val="0"/>
            <c:spPr>
              <a:solidFill>
                <a:srgbClr val="4285F4"/>
              </a:solidFill>
              <a:ln cmpd="sng">
                <a:solidFill>
                  <a:srgbClr val="000000"/>
                </a:solidFill>
                <a:prstDash val="solid"/>
              </a:ln>
            </c:spPr>
          </c:dPt>
          <c:dPt>
            <c:idx val="479"/>
            <c:invertIfNegative val="1"/>
            <c:bubble3D val="0"/>
            <c:spPr>
              <a:solidFill>
                <a:srgbClr val="4285F4"/>
              </a:solidFill>
              <a:ln cmpd="sng">
                <a:solidFill>
                  <a:srgbClr val="000000"/>
                </a:solidFill>
                <a:prstDash val="solid"/>
              </a:ln>
            </c:spPr>
          </c:dPt>
          <c:dPt>
            <c:idx val="480"/>
            <c:invertIfNegative val="1"/>
            <c:bubble3D val="0"/>
            <c:spPr>
              <a:solidFill>
                <a:srgbClr val="4285F4"/>
              </a:solidFill>
              <a:ln cmpd="sng">
                <a:solidFill>
                  <a:srgbClr val="000000"/>
                </a:solidFill>
                <a:prstDash val="solid"/>
              </a:ln>
            </c:spPr>
          </c:dPt>
          <c:dPt>
            <c:idx val="481"/>
            <c:invertIfNegative val="1"/>
            <c:bubble3D val="0"/>
            <c:spPr>
              <a:solidFill>
                <a:srgbClr val="4285F4"/>
              </a:solidFill>
              <a:ln cmpd="sng">
                <a:solidFill>
                  <a:srgbClr val="000000"/>
                </a:solidFill>
                <a:prstDash val="solid"/>
              </a:ln>
            </c:spPr>
          </c:dPt>
          <c:dPt>
            <c:idx val="482"/>
            <c:invertIfNegative val="1"/>
            <c:bubble3D val="0"/>
            <c:spPr>
              <a:solidFill>
                <a:srgbClr val="4285F4"/>
              </a:solidFill>
              <a:ln cmpd="sng">
                <a:solidFill>
                  <a:srgbClr val="000000"/>
                </a:solidFill>
                <a:prstDash val="solid"/>
              </a:ln>
            </c:spPr>
          </c:dPt>
          <c:dPt>
            <c:idx val="483"/>
            <c:invertIfNegative val="1"/>
            <c:bubble3D val="0"/>
            <c:spPr>
              <a:solidFill>
                <a:srgbClr val="4285F4"/>
              </a:solidFill>
              <a:ln cmpd="sng">
                <a:solidFill>
                  <a:srgbClr val="000000"/>
                </a:solidFill>
                <a:prstDash val="solid"/>
              </a:ln>
            </c:spPr>
          </c:dPt>
          <c:dPt>
            <c:idx val="484"/>
            <c:invertIfNegative val="1"/>
            <c:bubble3D val="0"/>
            <c:spPr>
              <a:solidFill>
                <a:srgbClr val="4285F4"/>
              </a:solidFill>
              <a:ln cmpd="sng">
                <a:solidFill>
                  <a:srgbClr val="000000"/>
                </a:solidFill>
                <a:prstDash val="solid"/>
              </a:ln>
            </c:spPr>
          </c:dPt>
          <c:dPt>
            <c:idx val="485"/>
            <c:invertIfNegative val="1"/>
            <c:bubble3D val="0"/>
            <c:spPr>
              <a:solidFill>
                <a:srgbClr val="4285F4"/>
              </a:solidFill>
              <a:ln cmpd="sng">
                <a:solidFill>
                  <a:srgbClr val="000000"/>
                </a:solidFill>
                <a:prstDash val="solid"/>
              </a:ln>
            </c:spPr>
          </c:dPt>
          <c:dPt>
            <c:idx val="486"/>
            <c:invertIfNegative val="1"/>
            <c:bubble3D val="0"/>
            <c:spPr>
              <a:solidFill>
                <a:srgbClr val="4285F4"/>
              </a:solidFill>
              <a:ln cmpd="sng">
                <a:solidFill>
                  <a:srgbClr val="000000"/>
                </a:solidFill>
                <a:prstDash val="solid"/>
              </a:ln>
            </c:spPr>
          </c:dPt>
          <c:dPt>
            <c:idx val="487"/>
            <c:invertIfNegative val="1"/>
            <c:bubble3D val="0"/>
            <c:spPr>
              <a:solidFill>
                <a:srgbClr val="4285F4"/>
              </a:solidFill>
              <a:ln cmpd="sng">
                <a:solidFill>
                  <a:srgbClr val="000000"/>
                </a:solidFill>
                <a:prstDash val="solid"/>
              </a:ln>
            </c:spPr>
          </c:dPt>
          <c:dPt>
            <c:idx val="488"/>
            <c:invertIfNegative val="1"/>
            <c:bubble3D val="0"/>
            <c:spPr>
              <a:solidFill>
                <a:srgbClr val="4285F4"/>
              </a:solidFill>
              <a:ln cmpd="sng">
                <a:solidFill>
                  <a:srgbClr val="000000"/>
                </a:solidFill>
                <a:prstDash val="solid"/>
              </a:ln>
            </c:spPr>
          </c:dPt>
          <c:dPt>
            <c:idx val="489"/>
            <c:invertIfNegative val="1"/>
            <c:bubble3D val="0"/>
            <c:spPr>
              <a:solidFill>
                <a:srgbClr val="4285F4"/>
              </a:solidFill>
              <a:ln cmpd="sng">
                <a:solidFill>
                  <a:srgbClr val="000000"/>
                </a:solidFill>
                <a:prstDash val="solid"/>
              </a:ln>
            </c:spPr>
          </c:dPt>
          <c:dPt>
            <c:idx val="490"/>
            <c:invertIfNegative val="1"/>
            <c:bubble3D val="0"/>
            <c:spPr>
              <a:solidFill>
                <a:srgbClr val="4285F4"/>
              </a:solidFill>
              <a:ln cmpd="sng">
                <a:solidFill>
                  <a:srgbClr val="000000"/>
                </a:solidFill>
                <a:prstDash val="solid"/>
              </a:ln>
            </c:spPr>
          </c:dPt>
          <c:dPt>
            <c:idx val="491"/>
            <c:invertIfNegative val="1"/>
            <c:bubble3D val="0"/>
            <c:spPr>
              <a:solidFill>
                <a:srgbClr val="4285F4"/>
              </a:solidFill>
              <a:ln cmpd="sng">
                <a:solidFill>
                  <a:srgbClr val="000000"/>
                </a:solidFill>
                <a:prstDash val="solid"/>
              </a:ln>
            </c:spPr>
          </c:dPt>
          <c:dPt>
            <c:idx val="492"/>
            <c:invertIfNegative val="1"/>
            <c:bubble3D val="0"/>
            <c:spPr>
              <a:solidFill>
                <a:srgbClr val="4285F4"/>
              </a:solidFill>
              <a:ln cmpd="sng">
                <a:solidFill>
                  <a:srgbClr val="000000"/>
                </a:solidFill>
                <a:prstDash val="solid"/>
              </a:ln>
            </c:spPr>
          </c:dPt>
          <c:dPt>
            <c:idx val="493"/>
            <c:invertIfNegative val="1"/>
            <c:bubble3D val="0"/>
            <c:spPr>
              <a:solidFill>
                <a:srgbClr val="4285F4"/>
              </a:solidFill>
              <a:ln cmpd="sng">
                <a:solidFill>
                  <a:srgbClr val="000000"/>
                </a:solidFill>
                <a:prstDash val="solid"/>
              </a:ln>
            </c:spPr>
          </c:dPt>
          <c:dPt>
            <c:idx val="494"/>
            <c:invertIfNegative val="1"/>
            <c:bubble3D val="0"/>
            <c:spPr>
              <a:solidFill>
                <a:srgbClr val="4285F4"/>
              </a:solidFill>
              <a:ln cmpd="sng">
                <a:solidFill>
                  <a:srgbClr val="000000"/>
                </a:solidFill>
                <a:prstDash val="solid"/>
              </a:ln>
            </c:spPr>
          </c:dPt>
          <c:dPt>
            <c:idx val="495"/>
            <c:invertIfNegative val="1"/>
            <c:bubble3D val="0"/>
            <c:spPr>
              <a:solidFill>
                <a:srgbClr val="4285F4"/>
              </a:solidFill>
              <a:ln cmpd="sng">
                <a:solidFill>
                  <a:srgbClr val="000000"/>
                </a:solidFill>
                <a:prstDash val="solid"/>
              </a:ln>
            </c:spPr>
          </c:dPt>
          <c:dPt>
            <c:idx val="496"/>
            <c:invertIfNegative val="1"/>
            <c:bubble3D val="0"/>
            <c:spPr>
              <a:solidFill>
                <a:srgbClr val="4285F4"/>
              </a:solidFill>
              <a:ln cmpd="sng">
                <a:solidFill>
                  <a:srgbClr val="000000"/>
                </a:solidFill>
                <a:prstDash val="solid"/>
              </a:ln>
            </c:spPr>
          </c:dPt>
          <c:dPt>
            <c:idx val="497"/>
            <c:invertIfNegative val="1"/>
            <c:bubble3D val="0"/>
            <c:spPr>
              <a:solidFill>
                <a:srgbClr val="4285F4"/>
              </a:solidFill>
              <a:ln cmpd="sng">
                <a:solidFill>
                  <a:srgbClr val="000000"/>
                </a:solidFill>
                <a:prstDash val="solid"/>
              </a:ln>
            </c:spPr>
          </c:dPt>
          <c:dPt>
            <c:idx val="498"/>
            <c:invertIfNegative val="1"/>
            <c:bubble3D val="0"/>
            <c:spPr>
              <a:solidFill>
                <a:srgbClr val="4285F4"/>
              </a:solidFill>
              <a:ln cmpd="sng">
                <a:solidFill>
                  <a:srgbClr val="000000"/>
                </a:solidFill>
                <a:prstDash val="solid"/>
              </a:ln>
            </c:spPr>
          </c:dPt>
          <c:dPt>
            <c:idx val="499"/>
            <c:invertIfNegative val="1"/>
            <c:bubble3D val="0"/>
            <c:spPr>
              <a:solidFill>
                <a:srgbClr val="4285F4"/>
              </a:solidFill>
              <a:ln cmpd="sng">
                <a:solidFill>
                  <a:srgbClr val="000000"/>
                </a:solidFill>
                <a:prstDash val="solid"/>
              </a:ln>
            </c:spPr>
          </c:dPt>
          <c:dPt>
            <c:idx val="500"/>
            <c:invertIfNegative val="1"/>
            <c:bubble3D val="0"/>
            <c:spPr>
              <a:solidFill>
                <a:srgbClr val="4285F4"/>
              </a:solidFill>
              <a:ln cmpd="sng">
                <a:solidFill>
                  <a:srgbClr val="000000"/>
                </a:solidFill>
                <a:prstDash val="solid"/>
              </a:ln>
            </c:spPr>
          </c:dPt>
          <c:dPt>
            <c:idx val="501"/>
            <c:invertIfNegative val="1"/>
            <c:bubble3D val="0"/>
            <c:spPr>
              <a:solidFill>
                <a:srgbClr val="4285F4"/>
              </a:solidFill>
              <a:ln cmpd="sng">
                <a:solidFill>
                  <a:srgbClr val="000000"/>
                </a:solidFill>
                <a:prstDash val="solid"/>
              </a:ln>
            </c:spPr>
          </c:dPt>
          <c:dPt>
            <c:idx val="502"/>
            <c:invertIfNegative val="1"/>
            <c:bubble3D val="0"/>
            <c:spPr>
              <a:solidFill>
                <a:srgbClr val="4285F4"/>
              </a:solidFill>
              <a:ln cmpd="sng">
                <a:solidFill>
                  <a:srgbClr val="000000"/>
                </a:solidFill>
                <a:prstDash val="solid"/>
              </a:ln>
            </c:spPr>
          </c:dPt>
          <c:dPt>
            <c:idx val="503"/>
            <c:invertIfNegative val="1"/>
            <c:bubble3D val="0"/>
            <c:spPr>
              <a:solidFill>
                <a:srgbClr val="4285F4"/>
              </a:solidFill>
              <a:ln cmpd="sng">
                <a:solidFill>
                  <a:srgbClr val="000000"/>
                </a:solidFill>
                <a:prstDash val="solid"/>
              </a:ln>
            </c:spPr>
          </c:dPt>
          <c:dPt>
            <c:idx val="504"/>
            <c:invertIfNegative val="1"/>
            <c:bubble3D val="0"/>
            <c:spPr>
              <a:solidFill>
                <a:srgbClr val="4285F4"/>
              </a:solidFill>
              <a:ln cmpd="sng">
                <a:solidFill>
                  <a:srgbClr val="000000"/>
                </a:solidFill>
                <a:prstDash val="solid"/>
              </a:ln>
            </c:spPr>
          </c:dPt>
          <c:dPt>
            <c:idx val="505"/>
            <c:invertIfNegative val="1"/>
            <c:bubble3D val="0"/>
            <c:spPr>
              <a:solidFill>
                <a:srgbClr val="4285F4"/>
              </a:solidFill>
              <a:ln cmpd="sng">
                <a:solidFill>
                  <a:srgbClr val="000000"/>
                </a:solidFill>
                <a:prstDash val="solid"/>
              </a:ln>
            </c:spPr>
          </c:dPt>
          <c:dPt>
            <c:idx val="506"/>
            <c:invertIfNegative val="1"/>
            <c:bubble3D val="0"/>
            <c:spPr>
              <a:solidFill>
                <a:srgbClr val="4285F4"/>
              </a:solidFill>
              <a:ln cmpd="sng">
                <a:solidFill>
                  <a:srgbClr val="000000"/>
                </a:solidFill>
                <a:prstDash val="solid"/>
              </a:ln>
            </c:spPr>
          </c:dPt>
          <c:dPt>
            <c:idx val="507"/>
            <c:invertIfNegative val="1"/>
            <c:bubble3D val="0"/>
            <c:spPr>
              <a:solidFill>
                <a:srgbClr val="4285F4"/>
              </a:solidFill>
              <a:ln cmpd="sng">
                <a:solidFill>
                  <a:srgbClr val="000000"/>
                </a:solidFill>
                <a:prstDash val="solid"/>
              </a:ln>
            </c:spPr>
          </c:dPt>
          <c:dPt>
            <c:idx val="508"/>
            <c:invertIfNegative val="1"/>
            <c:bubble3D val="0"/>
            <c:spPr>
              <a:solidFill>
                <a:srgbClr val="4285F4"/>
              </a:solidFill>
              <a:ln cmpd="sng">
                <a:solidFill>
                  <a:srgbClr val="000000"/>
                </a:solidFill>
                <a:prstDash val="solid"/>
              </a:ln>
            </c:spPr>
          </c:dPt>
          <c:dPt>
            <c:idx val="509"/>
            <c:invertIfNegative val="1"/>
            <c:bubble3D val="0"/>
            <c:spPr>
              <a:solidFill>
                <a:srgbClr val="4285F4"/>
              </a:solidFill>
              <a:ln cmpd="sng">
                <a:solidFill>
                  <a:srgbClr val="000000"/>
                </a:solidFill>
                <a:prstDash val="solid"/>
              </a:ln>
            </c:spPr>
          </c:dPt>
          <c:dPt>
            <c:idx val="510"/>
            <c:invertIfNegative val="1"/>
            <c:bubble3D val="0"/>
            <c:spPr>
              <a:solidFill>
                <a:srgbClr val="4285F4"/>
              </a:solidFill>
              <a:ln cmpd="sng">
                <a:solidFill>
                  <a:srgbClr val="000000"/>
                </a:solidFill>
                <a:prstDash val="solid"/>
              </a:ln>
            </c:spPr>
          </c:dPt>
          <c:dPt>
            <c:idx val="511"/>
            <c:invertIfNegative val="1"/>
            <c:bubble3D val="0"/>
            <c:spPr>
              <a:solidFill>
                <a:srgbClr val="4285F4"/>
              </a:solidFill>
              <a:ln cmpd="sng">
                <a:solidFill>
                  <a:srgbClr val="000000"/>
                </a:solidFill>
                <a:prstDash val="solid"/>
              </a:ln>
            </c:spPr>
          </c:dPt>
          <c:dPt>
            <c:idx val="512"/>
            <c:invertIfNegative val="1"/>
            <c:bubble3D val="0"/>
            <c:spPr>
              <a:solidFill>
                <a:srgbClr val="4285F4"/>
              </a:solidFill>
              <a:ln cmpd="sng">
                <a:solidFill>
                  <a:srgbClr val="000000"/>
                </a:solidFill>
                <a:prstDash val="solid"/>
              </a:ln>
            </c:spPr>
          </c:dPt>
          <c:dPt>
            <c:idx val="513"/>
            <c:invertIfNegative val="1"/>
            <c:bubble3D val="0"/>
            <c:spPr>
              <a:solidFill>
                <a:srgbClr val="4285F4"/>
              </a:solidFill>
              <a:ln cmpd="sng">
                <a:solidFill>
                  <a:srgbClr val="000000"/>
                </a:solidFill>
                <a:prstDash val="solid"/>
              </a:ln>
            </c:spPr>
          </c:dPt>
          <c:dPt>
            <c:idx val="514"/>
            <c:invertIfNegative val="1"/>
            <c:bubble3D val="0"/>
            <c:spPr>
              <a:solidFill>
                <a:srgbClr val="4285F4"/>
              </a:solidFill>
              <a:ln cmpd="sng">
                <a:solidFill>
                  <a:srgbClr val="000000"/>
                </a:solidFill>
                <a:prstDash val="solid"/>
              </a:ln>
            </c:spPr>
          </c:dPt>
          <c:dPt>
            <c:idx val="515"/>
            <c:invertIfNegative val="1"/>
            <c:bubble3D val="0"/>
            <c:spPr>
              <a:solidFill>
                <a:srgbClr val="4285F4"/>
              </a:solidFill>
              <a:ln cmpd="sng">
                <a:solidFill>
                  <a:srgbClr val="000000"/>
                </a:solidFill>
                <a:prstDash val="solid"/>
              </a:ln>
            </c:spPr>
          </c:dPt>
          <c:dPt>
            <c:idx val="516"/>
            <c:invertIfNegative val="1"/>
            <c:bubble3D val="0"/>
            <c:spPr>
              <a:solidFill>
                <a:srgbClr val="4285F4"/>
              </a:solidFill>
              <a:ln cmpd="sng">
                <a:solidFill>
                  <a:srgbClr val="000000"/>
                </a:solidFill>
                <a:prstDash val="solid"/>
              </a:ln>
            </c:spPr>
          </c:dPt>
          <c:dPt>
            <c:idx val="517"/>
            <c:invertIfNegative val="1"/>
            <c:bubble3D val="0"/>
            <c:spPr>
              <a:solidFill>
                <a:srgbClr val="4285F4"/>
              </a:solidFill>
              <a:ln cmpd="sng">
                <a:solidFill>
                  <a:srgbClr val="000000"/>
                </a:solidFill>
                <a:prstDash val="solid"/>
              </a:ln>
            </c:spPr>
          </c:dPt>
          <c:dPt>
            <c:idx val="518"/>
            <c:invertIfNegative val="1"/>
            <c:bubble3D val="0"/>
            <c:spPr>
              <a:solidFill>
                <a:srgbClr val="4285F4"/>
              </a:solidFill>
              <a:ln cmpd="sng">
                <a:solidFill>
                  <a:srgbClr val="000000"/>
                </a:solidFill>
                <a:prstDash val="solid"/>
              </a:ln>
            </c:spPr>
          </c:dPt>
          <c:dPt>
            <c:idx val="519"/>
            <c:invertIfNegative val="1"/>
            <c:bubble3D val="0"/>
            <c:spPr>
              <a:solidFill>
                <a:srgbClr val="4285F4"/>
              </a:solidFill>
              <a:ln cmpd="sng">
                <a:solidFill>
                  <a:srgbClr val="000000"/>
                </a:solidFill>
                <a:prstDash val="solid"/>
              </a:ln>
            </c:spPr>
          </c:dPt>
          <c:dPt>
            <c:idx val="520"/>
            <c:invertIfNegative val="1"/>
            <c:bubble3D val="0"/>
            <c:spPr>
              <a:solidFill>
                <a:srgbClr val="4285F4"/>
              </a:solidFill>
              <a:ln cmpd="sng">
                <a:solidFill>
                  <a:srgbClr val="000000"/>
                </a:solidFill>
                <a:prstDash val="solid"/>
              </a:ln>
            </c:spPr>
          </c:dPt>
          <c:dPt>
            <c:idx val="521"/>
            <c:invertIfNegative val="1"/>
            <c:bubble3D val="0"/>
            <c:spPr>
              <a:solidFill>
                <a:srgbClr val="4285F4"/>
              </a:solidFill>
              <a:ln cmpd="sng">
                <a:solidFill>
                  <a:srgbClr val="000000"/>
                </a:solidFill>
                <a:prstDash val="solid"/>
              </a:ln>
            </c:spPr>
          </c:dPt>
          <c:dPt>
            <c:idx val="522"/>
            <c:invertIfNegative val="1"/>
            <c:bubble3D val="0"/>
            <c:spPr>
              <a:solidFill>
                <a:srgbClr val="4285F4"/>
              </a:solidFill>
              <a:ln cmpd="sng">
                <a:solidFill>
                  <a:srgbClr val="000000"/>
                </a:solidFill>
                <a:prstDash val="solid"/>
              </a:ln>
            </c:spPr>
          </c:dPt>
          <c:dPt>
            <c:idx val="523"/>
            <c:invertIfNegative val="1"/>
            <c:bubble3D val="0"/>
            <c:spPr>
              <a:solidFill>
                <a:srgbClr val="4285F4"/>
              </a:solidFill>
              <a:ln cmpd="sng">
                <a:solidFill>
                  <a:srgbClr val="000000"/>
                </a:solidFill>
                <a:prstDash val="solid"/>
              </a:ln>
            </c:spPr>
          </c:dPt>
          <c:dPt>
            <c:idx val="524"/>
            <c:invertIfNegative val="1"/>
            <c:bubble3D val="0"/>
            <c:spPr>
              <a:solidFill>
                <a:srgbClr val="4285F4"/>
              </a:solidFill>
              <a:ln cmpd="sng">
                <a:solidFill>
                  <a:srgbClr val="000000"/>
                </a:solidFill>
                <a:prstDash val="solid"/>
              </a:ln>
            </c:spPr>
          </c:dPt>
          <c:dPt>
            <c:idx val="525"/>
            <c:invertIfNegative val="1"/>
            <c:bubble3D val="0"/>
            <c:spPr>
              <a:solidFill>
                <a:srgbClr val="4285F4"/>
              </a:solidFill>
              <a:ln cmpd="sng">
                <a:solidFill>
                  <a:srgbClr val="000000"/>
                </a:solidFill>
                <a:prstDash val="solid"/>
              </a:ln>
            </c:spPr>
          </c:dPt>
          <c:dPt>
            <c:idx val="526"/>
            <c:invertIfNegative val="1"/>
            <c:bubble3D val="0"/>
            <c:spPr>
              <a:solidFill>
                <a:srgbClr val="4285F4"/>
              </a:solidFill>
              <a:ln cmpd="sng">
                <a:solidFill>
                  <a:srgbClr val="000000"/>
                </a:solidFill>
                <a:prstDash val="solid"/>
              </a:ln>
            </c:spPr>
          </c:dPt>
          <c:dPt>
            <c:idx val="527"/>
            <c:invertIfNegative val="1"/>
            <c:bubble3D val="0"/>
            <c:spPr>
              <a:solidFill>
                <a:srgbClr val="4285F4"/>
              </a:solidFill>
              <a:ln cmpd="sng">
                <a:solidFill>
                  <a:srgbClr val="000000"/>
                </a:solidFill>
                <a:prstDash val="solid"/>
              </a:ln>
            </c:spPr>
          </c:dPt>
          <c:dPt>
            <c:idx val="528"/>
            <c:invertIfNegative val="1"/>
            <c:bubble3D val="0"/>
            <c:spPr>
              <a:solidFill>
                <a:srgbClr val="4285F4"/>
              </a:solidFill>
              <a:ln cmpd="sng">
                <a:solidFill>
                  <a:srgbClr val="000000"/>
                </a:solidFill>
                <a:prstDash val="solid"/>
              </a:ln>
            </c:spPr>
          </c:dPt>
          <c:dPt>
            <c:idx val="529"/>
            <c:invertIfNegative val="1"/>
            <c:bubble3D val="0"/>
            <c:spPr>
              <a:solidFill>
                <a:srgbClr val="4285F4"/>
              </a:solidFill>
              <a:ln cmpd="sng">
                <a:solidFill>
                  <a:srgbClr val="000000"/>
                </a:solidFill>
                <a:prstDash val="solid"/>
              </a:ln>
            </c:spPr>
          </c:dPt>
          <c:dPt>
            <c:idx val="530"/>
            <c:invertIfNegative val="1"/>
            <c:bubble3D val="0"/>
            <c:spPr>
              <a:solidFill>
                <a:srgbClr val="4285F4"/>
              </a:solidFill>
              <a:ln cmpd="sng">
                <a:solidFill>
                  <a:srgbClr val="000000"/>
                </a:solidFill>
                <a:prstDash val="solid"/>
              </a:ln>
            </c:spPr>
          </c:dPt>
          <c:dPt>
            <c:idx val="531"/>
            <c:invertIfNegative val="1"/>
            <c:bubble3D val="0"/>
            <c:spPr>
              <a:solidFill>
                <a:srgbClr val="4285F4"/>
              </a:solidFill>
              <a:ln cmpd="sng">
                <a:solidFill>
                  <a:srgbClr val="000000"/>
                </a:solidFill>
                <a:prstDash val="solid"/>
              </a:ln>
            </c:spPr>
          </c:dPt>
          <c:dPt>
            <c:idx val="532"/>
            <c:invertIfNegative val="1"/>
            <c:bubble3D val="0"/>
            <c:spPr>
              <a:solidFill>
                <a:srgbClr val="4285F4"/>
              </a:solidFill>
              <a:ln cmpd="sng">
                <a:solidFill>
                  <a:srgbClr val="000000"/>
                </a:solidFill>
                <a:prstDash val="solid"/>
              </a:ln>
            </c:spPr>
          </c:dPt>
          <c:dPt>
            <c:idx val="533"/>
            <c:invertIfNegative val="1"/>
            <c:bubble3D val="0"/>
            <c:spPr>
              <a:solidFill>
                <a:srgbClr val="4285F4"/>
              </a:solidFill>
              <a:ln cmpd="sng">
                <a:solidFill>
                  <a:srgbClr val="000000"/>
                </a:solidFill>
                <a:prstDash val="solid"/>
              </a:ln>
            </c:spPr>
          </c:dPt>
          <c:dPt>
            <c:idx val="534"/>
            <c:invertIfNegative val="1"/>
            <c:bubble3D val="0"/>
            <c:spPr>
              <a:solidFill>
                <a:srgbClr val="4285F4"/>
              </a:solidFill>
              <a:ln cmpd="sng">
                <a:solidFill>
                  <a:srgbClr val="000000"/>
                </a:solidFill>
                <a:prstDash val="solid"/>
              </a:ln>
            </c:spPr>
          </c:dPt>
          <c:dPt>
            <c:idx val="535"/>
            <c:invertIfNegative val="1"/>
            <c:bubble3D val="0"/>
            <c:spPr>
              <a:solidFill>
                <a:srgbClr val="4285F4"/>
              </a:solidFill>
              <a:ln cmpd="sng">
                <a:solidFill>
                  <a:srgbClr val="000000"/>
                </a:solidFill>
                <a:prstDash val="solid"/>
              </a:ln>
            </c:spPr>
          </c:dPt>
          <c:dPt>
            <c:idx val="536"/>
            <c:invertIfNegative val="1"/>
            <c:bubble3D val="0"/>
            <c:spPr>
              <a:solidFill>
                <a:srgbClr val="4285F4"/>
              </a:solidFill>
              <a:ln cmpd="sng">
                <a:solidFill>
                  <a:srgbClr val="000000"/>
                </a:solidFill>
                <a:prstDash val="solid"/>
              </a:ln>
            </c:spPr>
          </c:dPt>
          <c:dPt>
            <c:idx val="537"/>
            <c:invertIfNegative val="1"/>
            <c:bubble3D val="0"/>
            <c:spPr>
              <a:solidFill>
                <a:srgbClr val="4285F4"/>
              </a:solidFill>
              <a:ln cmpd="sng">
                <a:solidFill>
                  <a:srgbClr val="000000"/>
                </a:solidFill>
                <a:prstDash val="solid"/>
              </a:ln>
            </c:spPr>
          </c:dPt>
          <c:dPt>
            <c:idx val="538"/>
            <c:invertIfNegative val="1"/>
            <c:bubble3D val="0"/>
            <c:spPr>
              <a:solidFill>
                <a:srgbClr val="4285F4"/>
              </a:solidFill>
              <a:ln cmpd="sng">
                <a:solidFill>
                  <a:srgbClr val="000000"/>
                </a:solidFill>
                <a:prstDash val="solid"/>
              </a:ln>
            </c:spPr>
          </c:dPt>
          <c:dPt>
            <c:idx val="539"/>
            <c:invertIfNegative val="1"/>
            <c:bubble3D val="0"/>
            <c:spPr>
              <a:solidFill>
                <a:srgbClr val="4285F4"/>
              </a:solidFill>
              <a:ln cmpd="sng">
                <a:solidFill>
                  <a:srgbClr val="000000"/>
                </a:solidFill>
                <a:prstDash val="solid"/>
              </a:ln>
            </c:spPr>
          </c:dPt>
          <c:dPt>
            <c:idx val="540"/>
            <c:invertIfNegative val="1"/>
            <c:bubble3D val="0"/>
            <c:spPr>
              <a:solidFill>
                <a:srgbClr val="4285F4"/>
              </a:solidFill>
              <a:ln cmpd="sng">
                <a:solidFill>
                  <a:srgbClr val="000000"/>
                </a:solidFill>
                <a:prstDash val="solid"/>
              </a:ln>
            </c:spPr>
          </c:dPt>
          <c:dPt>
            <c:idx val="541"/>
            <c:invertIfNegative val="1"/>
            <c:bubble3D val="0"/>
            <c:spPr>
              <a:solidFill>
                <a:srgbClr val="4285F4"/>
              </a:solidFill>
              <a:ln cmpd="sng">
                <a:solidFill>
                  <a:srgbClr val="000000"/>
                </a:solidFill>
                <a:prstDash val="solid"/>
              </a:ln>
            </c:spPr>
          </c:dPt>
          <c:dPt>
            <c:idx val="542"/>
            <c:invertIfNegative val="1"/>
            <c:bubble3D val="0"/>
            <c:spPr>
              <a:solidFill>
                <a:srgbClr val="4285F4"/>
              </a:solidFill>
              <a:ln cmpd="sng">
                <a:solidFill>
                  <a:srgbClr val="000000"/>
                </a:solidFill>
                <a:prstDash val="solid"/>
              </a:ln>
            </c:spPr>
          </c:dPt>
          <c:dPt>
            <c:idx val="543"/>
            <c:invertIfNegative val="1"/>
            <c:bubble3D val="0"/>
            <c:spPr>
              <a:solidFill>
                <a:srgbClr val="4285F4"/>
              </a:solidFill>
              <a:ln cmpd="sng">
                <a:solidFill>
                  <a:srgbClr val="000000"/>
                </a:solidFill>
                <a:prstDash val="solid"/>
              </a:ln>
            </c:spPr>
          </c:dPt>
          <c:dPt>
            <c:idx val="544"/>
            <c:invertIfNegative val="1"/>
            <c:bubble3D val="0"/>
            <c:spPr>
              <a:solidFill>
                <a:srgbClr val="4285F4"/>
              </a:solidFill>
              <a:ln cmpd="sng">
                <a:solidFill>
                  <a:srgbClr val="000000"/>
                </a:solidFill>
                <a:prstDash val="solid"/>
              </a:ln>
            </c:spPr>
          </c:dPt>
          <c:dPt>
            <c:idx val="545"/>
            <c:invertIfNegative val="1"/>
            <c:bubble3D val="0"/>
            <c:spPr>
              <a:solidFill>
                <a:srgbClr val="4285F4"/>
              </a:solidFill>
              <a:ln cmpd="sng">
                <a:solidFill>
                  <a:srgbClr val="000000"/>
                </a:solidFill>
                <a:prstDash val="solid"/>
              </a:ln>
            </c:spPr>
          </c:dPt>
          <c:dPt>
            <c:idx val="546"/>
            <c:invertIfNegative val="1"/>
            <c:bubble3D val="0"/>
            <c:spPr>
              <a:solidFill>
                <a:srgbClr val="4285F4"/>
              </a:solidFill>
              <a:ln cmpd="sng">
                <a:solidFill>
                  <a:srgbClr val="000000"/>
                </a:solidFill>
                <a:prstDash val="solid"/>
              </a:ln>
            </c:spPr>
          </c:dPt>
          <c:dPt>
            <c:idx val="547"/>
            <c:invertIfNegative val="1"/>
            <c:bubble3D val="0"/>
            <c:spPr>
              <a:solidFill>
                <a:srgbClr val="4285F4"/>
              </a:solidFill>
              <a:ln cmpd="sng">
                <a:solidFill>
                  <a:srgbClr val="000000"/>
                </a:solidFill>
                <a:prstDash val="solid"/>
              </a:ln>
            </c:spPr>
          </c:dPt>
          <c:dPt>
            <c:idx val="548"/>
            <c:invertIfNegative val="1"/>
            <c:bubble3D val="0"/>
            <c:spPr>
              <a:solidFill>
                <a:srgbClr val="4285F4"/>
              </a:solidFill>
              <a:ln cmpd="sng">
                <a:solidFill>
                  <a:srgbClr val="000000"/>
                </a:solidFill>
                <a:prstDash val="solid"/>
              </a:ln>
            </c:spPr>
          </c:dPt>
          <c:dPt>
            <c:idx val="549"/>
            <c:invertIfNegative val="1"/>
            <c:bubble3D val="0"/>
            <c:spPr>
              <a:solidFill>
                <a:srgbClr val="4285F4"/>
              </a:solidFill>
              <a:ln cmpd="sng">
                <a:solidFill>
                  <a:srgbClr val="000000"/>
                </a:solidFill>
                <a:prstDash val="solid"/>
              </a:ln>
            </c:spPr>
          </c:dPt>
          <c:dPt>
            <c:idx val="550"/>
            <c:invertIfNegative val="1"/>
            <c:bubble3D val="0"/>
            <c:spPr>
              <a:solidFill>
                <a:srgbClr val="4285F4"/>
              </a:solidFill>
              <a:ln cmpd="sng">
                <a:solidFill>
                  <a:srgbClr val="000000"/>
                </a:solidFill>
                <a:prstDash val="solid"/>
              </a:ln>
            </c:spPr>
          </c:dPt>
          <c:dPt>
            <c:idx val="551"/>
            <c:invertIfNegative val="1"/>
            <c:bubble3D val="0"/>
            <c:spPr>
              <a:solidFill>
                <a:srgbClr val="4285F4"/>
              </a:solidFill>
              <a:ln cmpd="sng">
                <a:solidFill>
                  <a:srgbClr val="000000"/>
                </a:solidFill>
                <a:prstDash val="solid"/>
              </a:ln>
            </c:spPr>
          </c:dPt>
          <c:dPt>
            <c:idx val="552"/>
            <c:invertIfNegative val="1"/>
            <c:bubble3D val="0"/>
            <c:spPr>
              <a:solidFill>
                <a:srgbClr val="4285F4"/>
              </a:solidFill>
              <a:ln cmpd="sng">
                <a:solidFill>
                  <a:srgbClr val="000000"/>
                </a:solidFill>
                <a:prstDash val="solid"/>
              </a:ln>
            </c:spPr>
          </c:dPt>
          <c:dPt>
            <c:idx val="553"/>
            <c:invertIfNegative val="1"/>
            <c:bubble3D val="0"/>
            <c:spPr>
              <a:solidFill>
                <a:srgbClr val="4285F4"/>
              </a:solidFill>
              <a:ln cmpd="sng">
                <a:solidFill>
                  <a:srgbClr val="000000"/>
                </a:solidFill>
                <a:prstDash val="solid"/>
              </a:ln>
            </c:spPr>
          </c:dPt>
          <c:dPt>
            <c:idx val="554"/>
            <c:invertIfNegative val="1"/>
            <c:bubble3D val="0"/>
            <c:spPr>
              <a:solidFill>
                <a:srgbClr val="4285F4"/>
              </a:solidFill>
              <a:ln cmpd="sng">
                <a:solidFill>
                  <a:srgbClr val="000000"/>
                </a:solidFill>
                <a:prstDash val="solid"/>
              </a:ln>
            </c:spPr>
          </c:dPt>
          <c:dPt>
            <c:idx val="555"/>
            <c:invertIfNegative val="1"/>
            <c:bubble3D val="0"/>
            <c:spPr>
              <a:solidFill>
                <a:srgbClr val="4285F4"/>
              </a:solidFill>
              <a:ln cmpd="sng">
                <a:solidFill>
                  <a:srgbClr val="000000"/>
                </a:solidFill>
                <a:prstDash val="solid"/>
              </a:ln>
            </c:spPr>
          </c:dPt>
          <c:dPt>
            <c:idx val="556"/>
            <c:invertIfNegative val="1"/>
            <c:bubble3D val="0"/>
            <c:spPr>
              <a:solidFill>
                <a:srgbClr val="4285F4"/>
              </a:solidFill>
              <a:ln cmpd="sng">
                <a:solidFill>
                  <a:srgbClr val="000000"/>
                </a:solidFill>
                <a:prstDash val="solid"/>
              </a:ln>
            </c:spPr>
          </c:dPt>
          <c:dPt>
            <c:idx val="557"/>
            <c:invertIfNegative val="1"/>
            <c:bubble3D val="0"/>
            <c:spPr>
              <a:solidFill>
                <a:srgbClr val="4285F4"/>
              </a:solidFill>
              <a:ln cmpd="sng">
                <a:solidFill>
                  <a:srgbClr val="000000"/>
                </a:solidFill>
                <a:prstDash val="solid"/>
              </a:ln>
            </c:spPr>
          </c:dPt>
          <c:dPt>
            <c:idx val="558"/>
            <c:invertIfNegative val="1"/>
            <c:bubble3D val="0"/>
            <c:spPr>
              <a:solidFill>
                <a:srgbClr val="4285F4"/>
              </a:solidFill>
              <a:ln cmpd="sng">
                <a:solidFill>
                  <a:srgbClr val="000000"/>
                </a:solidFill>
                <a:prstDash val="solid"/>
              </a:ln>
            </c:spPr>
          </c:dPt>
          <c:dPt>
            <c:idx val="559"/>
            <c:invertIfNegative val="1"/>
            <c:bubble3D val="0"/>
            <c:spPr>
              <a:solidFill>
                <a:srgbClr val="4285F4"/>
              </a:solidFill>
              <a:ln cmpd="sng">
                <a:solidFill>
                  <a:srgbClr val="000000"/>
                </a:solidFill>
                <a:prstDash val="solid"/>
              </a:ln>
            </c:spPr>
          </c:dPt>
          <c:dPt>
            <c:idx val="560"/>
            <c:invertIfNegative val="1"/>
            <c:bubble3D val="0"/>
            <c:spPr>
              <a:solidFill>
                <a:srgbClr val="4285F4"/>
              </a:solidFill>
              <a:ln cmpd="sng">
                <a:solidFill>
                  <a:srgbClr val="000000"/>
                </a:solidFill>
                <a:prstDash val="solid"/>
              </a:ln>
            </c:spPr>
          </c:dPt>
          <c:dPt>
            <c:idx val="561"/>
            <c:invertIfNegative val="1"/>
            <c:bubble3D val="0"/>
            <c:spPr>
              <a:solidFill>
                <a:srgbClr val="4285F4"/>
              </a:solidFill>
              <a:ln cmpd="sng">
                <a:solidFill>
                  <a:srgbClr val="000000"/>
                </a:solidFill>
                <a:prstDash val="solid"/>
              </a:ln>
            </c:spPr>
          </c:dPt>
          <c:dPt>
            <c:idx val="562"/>
            <c:invertIfNegative val="1"/>
            <c:bubble3D val="0"/>
            <c:spPr>
              <a:solidFill>
                <a:srgbClr val="4285F4"/>
              </a:solidFill>
              <a:ln cmpd="sng">
                <a:solidFill>
                  <a:srgbClr val="000000"/>
                </a:solidFill>
                <a:prstDash val="solid"/>
              </a:ln>
            </c:spPr>
          </c:dPt>
          <c:dPt>
            <c:idx val="563"/>
            <c:invertIfNegative val="1"/>
            <c:bubble3D val="0"/>
            <c:spPr>
              <a:solidFill>
                <a:srgbClr val="4285F4"/>
              </a:solidFill>
              <a:ln cmpd="sng">
                <a:solidFill>
                  <a:srgbClr val="000000"/>
                </a:solidFill>
                <a:prstDash val="solid"/>
              </a:ln>
            </c:spPr>
          </c:dPt>
          <c:dPt>
            <c:idx val="564"/>
            <c:invertIfNegative val="1"/>
            <c:bubble3D val="0"/>
            <c:spPr>
              <a:solidFill>
                <a:srgbClr val="4285F4"/>
              </a:solidFill>
              <a:ln cmpd="sng">
                <a:solidFill>
                  <a:srgbClr val="000000"/>
                </a:solidFill>
                <a:prstDash val="solid"/>
              </a:ln>
            </c:spPr>
          </c:dPt>
          <c:dPt>
            <c:idx val="565"/>
            <c:invertIfNegative val="1"/>
            <c:bubble3D val="0"/>
            <c:spPr>
              <a:solidFill>
                <a:srgbClr val="4285F4"/>
              </a:solidFill>
              <a:ln cmpd="sng">
                <a:solidFill>
                  <a:srgbClr val="000000"/>
                </a:solidFill>
                <a:prstDash val="solid"/>
              </a:ln>
            </c:spPr>
          </c:dPt>
          <c:dPt>
            <c:idx val="566"/>
            <c:invertIfNegative val="1"/>
            <c:bubble3D val="0"/>
            <c:spPr>
              <a:solidFill>
                <a:srgbClr val="4285F4"/>
              </a:solidFill>
              <a:ln cmpd="sng">
                <a:solidFill>
                  <a:srgbClr val="000000"/>
                </a:solidFill>
                <a:prstDash val="solid"/>
              </a:ln>
            </c:spPr>
          </c:dPt>
          <c:dPt>
            <c:idx val="567"/>
            <c:invertIfNegative val="1"/>
            <c:bubble3D val="0"/>
            <c:spPr>
              <a:solidFill>
                <a:srgbClr val="4285F4"/>
              </a:solidFill>
              <a:ln cmpd="sng">
                <a:solidFill>
                  <a:srgbClr val="000000"/>
                </a:solidFill>
                <a:prstDash val="solid"/>
              </a:ln>
            </c:spPr>
          </c:dPt>
          <c:dPt>
            <c:idx val="568"/>
            <c:invertIfNegative val="1"/>
            <c:bubble3D val="0"/>
            <c:spPr>
              <a:solidFill>
                <a:srgbClr val="4285F4"/>
              </a:solidFill>
              <a:ln cmpd="sng">
                <a:solidFill>
                  <a:srgbClr val="000000"/>
                </a:solidFill>
                <a:prstDash val="solid"/>
              </a:ln>
            </c:spPr>
          </c:dPt>
          <c:dPt>
            <c:idx val="569"/>
            <c:invertIfNegative val="1"/>
            <c:bubble3D val="0"/>
            <c:spPr>
              <a:solidFill>
                <a:srgbClr val="4285F4"/>
              </a:solidFill>
              <a:ln cmpd="sng">
                <a:solidFill>
                  <a:srgbClr val="000000"/>
                </a:solidFill>
                <a:prstDash val="solid"/>
              </a:ln>
            </c:spPr>
          </c:dPt>
          <c:dPt>
            <c:idx val="570"/>
            <c:invertIfNegative val="1"/>
            <c:bubble3D val="0"/>
            <c:spPr>
              <a:solidFill>
                <a:srgbClr val="4285F4"/>
              </a:solidFill>
              <a:ln cmpd="sng">
                <a:solidFill>
                  <a:srgbClr val="000000"/>
                </a:solidFill>
                <a:prstDash val="solid"/>
              </a:ln>
            </c:spPr>
          </c:dPt>
          <c:dPt>
            <c:idx val="571"/>
            <c:invertIfNegative val="1"/>
            <c:bubble3D val="0"/>
            <c:spPr>
              <a:solidFill>
                <a:srgbClr val="4285F4"/>
              </a:solidFill>
              <a:ln cmpd="sng">
                <a:solidFill>
                  <a:srgbClr val="000000"/>
                </a:solidFill>
                <a:prstDash val="solid"/>
              </a:ln>
            </c:spPr>
          </c:dPt>
          <c:dPt>
            <c:idx val="572"/>
            <c:invertIfNegative val="1"/>
            <c:bubble3D val="0"/>
            <c:spPr>
              <a:solidFill>
                <a:srgbClr val="4285F4"/>
              </a:solidFill>
              <a:ln cmpd="sng">
                <a:solidFill>
                  <a:srgbClr val="000000"/>
                </a:solidFill>
                <a:prstDash val="solid"/>
              </a:ln>
            </c:spPr>
          </c:dPt>
          <c:dPt>
            <c:idx val="573"/>
            <c:invertIfNegative val="1"/>
            <c:bubble3D val="0"/>
            <c:spPr>
              <a:solidFill>
                <a:srgbClr val="4285F4"/>
              </a:solidFill>
              <a:ln cmpd="sng">
                <a:solidFill>
                  <a:srgbClr val="000000"/>
                </a:solidFill>
                <a:prstDash val="solid"/>
              </a:ln>
            </c:spPr>
          </c:dPt>
          <c:dPt>
            <c:idx val="574"/>
            <c:invertIfNegative val="1"/>
            <c:bubble3D val="0"/>
            <c:spPr>
              <a:solidFill>
                <a:srgbClr val="4285F4"/>
              </a:solidFill>
              <a:ln cmpd="sng">
                <a:solidFill>
                  <a:srgbClr val="000000"/>
                </a:solidFill>
                <a:prstDash val="solid"/>
              </a:ln>
            </c:spPr>
          </c:dPt>
          <c:dPt>
            <c:idx val="575"/>
            <c:invertIfNegative val="1"/>
            <c:bubble3D val="0"/>
            <c:spPr>
              <a:solidFill>
                <a:srgbClr val="4285F4"/>
              </a:solidFill>
              <a:ln cmpd="sng">
                <a:solidFill>
                  <a:srgbClr val="000000"/>
                </a:solidFill>
                <a:prstDash val="solid"/>
              </a:ln>
            </c:spPr>
          </c:dPt>
          <c:dPt>
            <c:idx val="576"/>
            <c:invertIfNegative val="1"/>
            <c:bubble3D val="0"/>
            <c:spPr>
              <a:solidFill>
                <a:srgbClr val="4285F4"/>
              </a:solidFill>
              <a:ln cmpd="sng">
                <a:solidFill>
                  <a:srgbClr val="000000"/>
                </a:solidFill>
                <a:prstDash val="solid"/>
              </a:ln>
            </c:spPr>
          </c:dPt>
          <c:dPt>
            <c:idx val="577"/>
            <c:invertIfNegative val="1"/>
            <c:bubble3D val="0"/>
            <c:spPr>
              <a:solidFill>
                <a:srgbClr val="4285F4"/>
              </a:solidFill>
              <a:ln cmpd="sng">
                <a:solidFill>
                  <a:srgbClr val="000000"/>
                </a:solidFill>
                <a:prstDash val="solid"/>
              </a:ln>
            </c:spPr>
          </c:dPt>
          <c:dPt>
            <c:idx val="578"/>
            <c:invertIfNegative val="1"/>
            <c:bubble3D val="0"/>
            <c:spPr>
              <a:solidFill>
                <a:srgbClr val="4285F4"/>
              </a:solidFill>
              <a:ln cmpd="sng">
                <a:solidFill>
                  <a:srgbClr val="000000"/>
                </a:solidFill>
                <a:prstDash val="solid"/>
              </a:ln>
            </c:spPr>
          </c:dPt>
          <c:dPt>
            <c:idx val="579"/>
            <c:invertIfNegative val="1"/>
            <c:bubble3D val="0"/>
            <c:spPr>
              <a:solidFill>
                <a:srgbClr val="4285F4"/>
              </a:solidFill>
              <a:ln cmpd="sng">
                <a:solidFill>
                  <a:srgbClr val="000000"/>
                </a:solidFill>
                <a:prstDash val="solid"/>
              </a:ln>
            </c:spPr>
          </c:dPt>
          <c:dPt>
            <c:idx val="580"/>
            <c:invertIfNegative val="1"/>
            <c:bubble3D val="0"/>
            <c:spPr>
              <a:solidFill>
                <a:srgbClr val="4285F4"/>
              </a:solidFill>
              <a:ln cmpd="sng">
                <a:solidFill>
                  <a:srgbClr val="000000"/>
                </a:solidFill>
                <a:prstDash val="solid"/>
              </a:ln>
            </c:spPr>
          </c:dPt>
          <c:dPt>
            <c:idx val="581"/>
            <c:invertIfNegative val="1"/>
            <c:bubble3D val="0"/>
            <c:spPr>
              <a:solidFill>
                <a:srgbClr val="4285F4"/>
              </a:solidFill>
              <a:ln cmpd="sng">
                <a:solidFill>
                  <a:srgbClr val="000000"/>
                </a:solidFill>
                <a:prstDash val="solid"/>
              </a:ln>
            </c:spPr>
          </c:dPt>
          <c:dPt>
            <c:idx val="582"/>
            <c:invertIfNegative val="1"/>
            <c:bubble3D val="0"/>
            <c:spPr>
              <a:solidFill>
                <a:srgbClr val="4285F4"/>
              </a:solidFill>
              <a:ln cmpd="sng">
                <a:solidFill>
                  <a:srgbClr val="000000"/>
                </a:solidFill>
                <a:prstDash val="solid"/>
              </a:ln>
            </c:spPr>
          </c:dPt>
          <c:dPt>
            <c:idx val="583"/>
            <c:invertIfNegative val="1"/>
            <c:bubble3D val="0"/>
            <c:spPr>
              <a:solidFill>
                <a:srgbClr val="4285F4"/>
              </a:solidFill>
              <a:ln cmpd="sng">
                <a:solidFill>
                  <a:srgbClr val="000000"/>
                </a:solidFill>
                <a:prstDash val="solid"/>
              </a:ln>
            </c:spPr>
          </c:dPt>
          <c:dPt>
            <c:idx val="584"/>
            <c:invertIfNegative val="1"/>
            <c:bubble3D val="0"/>
            <c:spPr>
              <a:solidFill>
                <a:srgbClr val="4285F4"/>
              </a:solidFill>
              <a:ln cmpd="sng">
                <a:solidFill>
                  <a:srgbClr val="000000"/>
                </a:solidFill>
                <a:prstDash val="solid"/>
              </a:ln>
            </c:spPr>
          </c:dPt>
          <c:dPt>
            <c:idx val="585"/>
            <c:invertIfNegative val="1"/>
            <c:bubble3D val="0"/>
            <c:spPr>
              <a:solidFill>
                <a:srgbClr val="4285F4"/>
              </a:solidFill>
              <a:ln cmpd="sng">
                <a:solidFill>
                  <a:srgbClr val="000000"/>
                </a:solidFill>
                <a:prstDash val="solid"/>
              </a:ln>
            </c:spPr>
          </c:dPt>
          <c:dPt>
            <c:idx val="586"/>
            <c:invertIfNegative val="1"/>
            <c:bubble3D val="0"/>
            <c:spPr>
              <a:solidFill>
                <a:srgbClr val="4285F4"/>
              </a:solidFill>
              <a:ln cmpd="sng">
                <a:solidFill>
                  <a:srgbClr val="000000"/>
                </a:solidFill>
                <a:prstDash val="solid"/>
              </a:ln>
            </c:spPr>
          </c:dPt>
          <c:dPt>
            <c:idx val="587"/>
            <c:invertIfNegative val="1"/>
            <c:bubble3D val="0"/>
            <c:spPr>
              <a:solidFill>
                <a:srgbClr val="4285F4"/>
              </a:solidFill>
              <a:ln cmpd="sng">
                <a:solidFill>
                  <a:srgbClr val="000000"/>
                </a:solidFill>
                <a:prstDash val="solid"/>
              </a:ln>
            </c:spPr>
          </c:dPt>
          <c:dPt>
            <c:idx val="588"/>
            <c:invertIfNegative val="1"/>
            <c:bubble3D val="0"/>
            <c:spPr>
              <a:solidFill>
                <a:srgbClr val="4285F4"/>
              </a:solidFill>
              <a:ln cmpd="sng">
                <a:solidFill>
                  <a:srgbClr val="000000"/>
                </a:solidFill>
                <a:prstDash val="solid"/>
              </a:ln>
            </c:spPr>
          </c:dPt>
          <c:dPt>
            <c:idx val="589"/>
            <c:invertIfNegative val="1"/>
            <c:bubble3D val="0"/>
            <c:spPr>
              <a:solidFill>
                <a:srgbClr val="4285F4"/>
              </a:solidFill>
              <a:ln cmpd="sng">
                <a:solidFill>
                  <a:srgbClr val="000000"/>
                </a:solidFill>
                <a:prstDash val="solid"/>
              </a:ln>
            </c:spPr>
          </c:dPt>
          <c:dPt>
            <c:idx val="590"/>
            <c:invertIfNegative val="1"/>
            <c:bubble3D val="0"/>
            <c:spPr>
              <a:solidFill>
                <a:srgbClr val="4285F4"/>
              </a:solidFill>
              <a:ln cmpd="sng">
                <a:solidFill>
                  <a:srgbClr val="000000"/>
                </a:solidFill>
                <a:prstDash val="solid"/>
              </a:ln>
            </c:spPr>
          </c:dPt>
          <c:dPt>
            <c:idx val="591"/>
            <c:invertIfNegative val="1"/>
            <c:bubble3D val="0"/>
            <c:spPr>
              <a:solidFill>
                <a:srgbClr val="4285F4"/>
              </a:solidFill>
              <a:ln cmpd="sng">
                <a:solidFill>
                  <a:srgbClr val="000000"/>
                </a:solidFill>
                <a:prstDash val="solid"/>
              </a:ln>
            </c:spPr>
          </c:dPt>
          <c:dPt>
            <c:idx val="592"/>
            <c:invertIfNegative val="1"/>
            <c:bubble3D val="0"/>
            <c:spPr>
              <a:solidFill>
                <a:srgbClr val="4285F4"/>
              </a:solidFill>
              <a:ln cmpd="sng">
                <a:solidFill>
                  <a:srgbClr val="000000"/>
                </a:solidFill>
                <a:prstDash val="solid"/>
              </a:ln>
            </c:spPr>
          </c:dPt>
          <c:dPt>
            <c:idx val="593"/>
            <c:invertIfNegative val="1"/>
            <c:bubble3D val="0"/>
            <c:spPr>
              <a:solidFill>
                <a:srgbClr val="4285F4"/>
              </a:solidFill>
              <a:ln cmpd="sng">
                <a:solidFill>
                  <a:srgbClr val="000000"/>
                </a:solidFill>
                <a:prstDash val="solid"/>
              </a:ln>
            </c:spPr>
          </c:dPt>
          <c:dPt>
            <c:idx val="594"/>
            <c:invertIfNegative val="1"/>
            <c:bubble3D val="0"/>
            <c:spPr>
              <a:solidFill>
                <a:srgbClr val="4285F4"/>
              </a:solidFill>
              <a:ln cmpd="sng">
                <a:solidFill>
                  <a:srgbClr val="000000"/>
                </a:solidFill>
                <a:prstDash val="solid"/>
              </a:ln>
            </c:spPr>
          </c:dPt>
          <c:dPt>
            <c:idx val="595"/>
            <c:invertIfNegative val="1"/>
            <c:bubble3D val="0"/>
            <c:spPr>
              <a:solidFill>
                <a:srgbClr val="4285F4"/>
              </a:solidFill>
              <a:ln cmpd="sng">
                <a:solidFill>
                  <a:srgbClr val="000000"/>
                </a:solidFill>
                <a:prstDash val="solid"/>
              </a:ln>
            </c:spPr>
          </c:dPt>
          <c:dPt>
            <c:idx val="596"/>
            <c:invertIfNegative val="1"/>
            <c:bubble3D val="0"/>
            <c:spPr>
              <a:solidFill>
                <a:srgbClr val="4285F4"/>
              </a:solidFill>
              <a:ln cmpd="sng">
                <a:solidFill>
                  <a:srgbClr val="000000"/>
                </a:solidFill>
                <a:prstDash val="solid"/>
              </a:ln>
            </c:spPr>
          </c:dPt>
          <c:dPt>
            <c:idx val="597"/>
            <c:invertIfNegative val="1"/>
            <c:bubble3D val="0"/>
            <c:spPr>
              <a:solidFill>
                <a:srgbClr val="4285F4"/>
              </a:solidFill>
              <a:ln cmpd="sng">
                <a:solidFill>
                  <a:srgbClr val="000000"/>
                </a:solidFill>
                <a:prstDash val="solid"/>
              </a:ln>
            </c:spPr>
          </c:dPt>
          <c:dPt>
            <c:idx val="598"/>
            <c:invertIfNegative val="1"/>
            <c:bubble3D val="0"/>
            <c:spPr>
              <a:solidFill>
                <a:srgbClr val="4285F4"/>
              </a:solidFill>
              <a:ln cmpd="sng">
                <a:solidFill>
                  <a:srgbClr val="000000"/>
                </a:solidFill>
                <a:prstDash val="solid"/>
              </a:ln>
            </c:spPr>
          </c:dPt>
          <c:dPt>
            <c:idx val="599"/>
            <c:invertIfNegative val="1"/>
            <c:bubble3D val="0"/>
            <c:spPr>
              <a:solidFill>
                <a:srgbClr val="4285F4"/>
              </a:solidFill>
              <a:ln cmpd="sng">
                <a:solidFill>
                  <a:srgbClr val="000000"/>
                </a:solidFill>
                <a:prstDash val="solid"/>
              </a:ln>
            </c:spPr>
          </c:dPt>
          <c:dPt>
            <c:idx val="600"/>
            <c:invertIfNegative val="1"/>
            <c:bubble3D val="0"/>
            <c:spPr>
              <a:solidFill>
                <a:srgbClr val="4285F4"/>
              </a:solidFill>
              <a:ln cmpd="sng">
                <a:solidFill>
                  <a:srgbClr val="000000"/>
                </a:solidFill>
                <a:prstDash val="solid"/>
              </a:ln>
            </c:spPr>
          </c:dPt>
          <c:dPt>
            <c:idx val="601"/>
            <c:invertIfNegative val="1"/>
            <c:bubble3D val="0"/>
            <c:spPr>
              <a:solidFill>
                <a:srgbClr val="4285F4"/>
              </a:solidFill>
              <a:ln cmpd="sng">
                <a:solidFill>
                  <a:srgbClr val="000000"/>
                </a:solidFill>
                <a:prstDash val="solid"/>
              </a:ln>
            </c:spPr>
          </c:dPt>
          <c:dPt>
            <c:idx val="602"/>
            <c:invertIfNegative val="1"/>
            <c:bubble3D val="0"/>
            <c:spPr>
              <a:solidFill>
                <a:srgbClr val="4285F4"/>
              </a:solidFill>
              <a:ln cmpd="sng">
                <a:solidFill>
                  <a:srgbClr val="000000"/>
                </a:solidFill>
                <a:prstDash val="solid"/>
              </a:ln>
            </c:spPr>
          </c:dPt>
          <c:dPt>
            <c:idx val="603"/>
            <c:invertIfNegative val="1"/>
            <c:bubble3D val="0"/>
            <c:spPr>
              <a:solidFill>
                <a:srgbClr val="4285F4"/>
              </a:solidFill>
              <a:ln cmpd="sng">
                <a:solidFill>
                  <a:srgbClr val="000000"/>
                </a:solidFill>
                <a:prstDash val="solid"/>
              </a:ln>
            </c:spPr>
          </c:dPt>
          <c:dPt>
            <c:idx val="604"/>
            <c:invertIfNegative val="1"/>
            <c:bubble3D val="0"/>
            <c:spPr>
              <a:solidFill>
                <a:srgbClr val="4285F4"/>
              </a:solidFill>
              <a:ln cmpd="sng">
                <a:solidFill>
                  <a:srgbClr val="000000"/>
                </a:solidFill>
                <a:prstDash val="solid"/>
              </a:ln>
            </c:spPr>
          </c:dPt>
          <c:dPt>
            <c:idx val="605"/>
            <c:invertIfNegative val="1"/>
            <c:bubble3D val="0"/>
            <c:spPr>
              <a:solidFill>
                <a:srgbClr val="4285F4"/>
              </a:solidFill>
              <a:ln cmpd="sng">
                <a:solidFill>
                  <a:srgbClr val="000000"/>
                </a:solidFill>
                <a:prstDash val="solid"/>
              </a:ln>
            </c:spPr>
          </c:dPt>
          <c:dPt>
            <c:idx val="606"/>
            <c:invertIfNegative val="1"/>
            <c:bubble3D val="0"/>
            <c:spPr>
              <a:solidFill>
                <a:srgbClr val="4285F4"/>
              </a:solidFill>
              <a:ln cmpd="sng">
                <a:solidFill>
                  <a:srgbClr val="000000"/>
                </a:solidFill>
                <a:prstDash val="solid"/>
              </a:ln>
            </c:spPr>
          </c:dPt>
          <c:dPt>
            <c:idx val="607"/>
            <c:invertIfNegative val="1"/>
            <c:bubble3D val="0"/>
            <c:spPr>
              <a:solidFill>
                <a:srgbClr val="4285F4"/>
              </a:solidFill>
              <a:ln cmpd="sng">
                <a:solidFill>
                  <a:srgbClr val="000000"/>
                </a:solidFill>
                <a:prstDash val="solid"/>
              </a:ln>
            </c:spPr>
          </c:dPt>
          <c:dPt>
            <c:idx val="608"/>
            <c:invertIfNegative val="1"/>
            <c:bubble3D val="0"/>
            <c:spPr>
              <a:solidFill>
                <a:srgbClr val="4285F4"/>
              </a:solidFill>
              <a:ln cmpd="sng">
                <a:solidFill>
                  <a:srgbClr val="000000"/>
                </a:solidFill>
                <a:prstDash val="solid"/>
              </a:ln>
            </c:spPr>
          </c:dPt>
          <c:dPt>
            <c:idx val="609"/>
            <c:invertIfNegative val="1"/>
            <c:bubble3D val="0"/>
            <c:spPr>
              <a:solidFill>
                <a:srgbClr val="4285F4"/>
              </a:solidFill>
              <a:ln cmpd="sng">
                <a:solidFill>
                  <a:srgbClr val="000000"/>
                </a:solidFill>
                <a:prstDash val="solid"/>
              </a:ln>
            </c:spPr>
          </c:dPt>
          <c:dPt>
            <c:idx val="610"/>
            <c:invertIfNegative val="1"/>
            <c:bubble3D val="0"/>
            <c:spPr>
              <a:solidFill>
                <a:srgbClr val="4285F4"/>
              </a:solidFill>
              <a:ln cmpd="sng">
                <a:solidFill>
                  <a:srgbClr val="000000"/>
                </a:solidFill>
                <a:prstDash val="solid"/>
              </a:ln>
            </c:spPr>
          </c:dPt>
          <c:dPt>
            <c:idx val="611"/>
            <c:invertIfNegative val="1"/>
            <c:bubble3D val="0"/>
            <c:spPr>
              <a:solidFill>
                <a:srgbClr val="4285F4"/>
              </a:solidFill>
              <a:ln cmpd="sng">
                <a:solidFill>
                  <a:srgbClr val="000000"/>
                </a:solidFill>
                <a:prstDash val="solid"/>
              </a:ln>
            </c:spPr>
          </c:dPt>
          <c:dPt>
            <c:idx val="612"/>
            <c:invertIfNegative val="1"/>
            <c:bubble3D val="0"/>
            <c:spPr>
              <a:solidFill>
                <a:srgbClr val="4285F4"/>
              </a:solidFill>
              <a:ln cmpd="sng">
                <a:solidFill>
                  <a:srgbClr val="000000"/>
                </a:solidFill>
                <a:prstDash val="solid"/>
              </a:ln>
            </c:spPr>
          </c:dPt>
          <c:dPt>
            <c:idx val="613"/>
            <c:invertIfNegative val="1"/>
            <c:bubble3D val="0"/>
            <c:spPr>
              <a:solidFill>
                <a:srgbClr val="4285F4"/>
              </a:solidFill>
              <a:ln cmpd="sng">
                <a:solidFill>
                  <a:srgbClr val="000000"/>
                </a:solidFill>
                <a:prstDash val="solid"/>
              </a:ln>
            </c:spPr>
          </c:dPt>
          <c:dPt>
            <c:idx val="614"/>
            <c:invertIfNegative val="1"/>
            <c:bubble3D val="0"/>
            <c:spPr>
              <a:solidFill>
                <a:srgbClr val="4285F4"/>
              </a:solidFill>
              <a:ln cmpd="sng">
                <a:solidFill>
                  <a:srgbClr val="000000"/>
                </a:solidFill>
                <a:prstDash val="solid"/>
              </a:ln>
            </c:spPr>
          </c:dPt>
          <c:dPt>
            <c:idx val="615"/>
            <c:invertIfNegative val="1"/>
            <c:bubble3D val="0"/>
            <c:spPr>
              <a:solidFill>
                <a:srgbClr val="4285F4"/>
              </a:solidFill>
              <a:ln cmpd="sng">
                <a:solidFill>
                  <a:srgbClr val="000000"/>
                </a:solidFill>
                <a:prstDash val="solid"/>
              </a:ln>
            </c:spPr>
          </c:dPt>
          <c:dPt>
            <c:idx val="616"/>
            <c:invertIfNegative val="1"/>
            <c:bubble3D val="0"/>
            <c:spPr>
              <a:solidFill>
                <a:srgbClr val="4285F4"/>
              </a:solidFill>
              <a:ln cmpd="sng">
                <a:solidFill>
                  <a:srgbClr val="000000"/>
                </a:solidFill>
                <a:prstDash val="solid"/>
              </a:ln>
            </c:spPr>
          </c:dPt>
          <c:dPt>
            <c:idx val="617"/>
            <c:invertIfNegative val="1"/>
            <c:bubble3D val="0"/>
            <c:spPr>
              <a:solidFill>
                <a:srgbClr val="4285F4"/>
              </a:solidFill>
              <a:ln cmpd="sng">
                <a:solidFill>
                  <a:srgbClr val="000000"/>
                </a:solidFill>
                <a:prstDash val="solid"/>
              </a:ln>
            </c:spPr>
          </c:dPt>
          <c:dPt>
            <c:idx val="618"/>
            <c:invertIfNegative val="1"/>
            <c:bubble3D val="0"/>
            <c:spPr>
              <a:solidFill>
                <a:srgbClr val="4285F4"/>
              </a:solidFill>
              <a:ln cmpd="sng">
                <a:solidFill>
                  <a:srgbClr val="000000"/>
                </a:solidFill>
                <a:prstDash val="solid"/>
              </a:ln>
            </c:spPr>
          </c:dPt>
          <c:dPt>
            <c:idx val="619"/>
            <c:invertIfNegative val="1"/>
            <c:bubble3D val="0"/>
            <c:spPr>
              <a:solidFill>
                <a:srgbClr val="4285F4"/>
              </a:solidFill>
              <a:ln cmpd="sng">
                <a:solidFill>
                  <a:srgbClr val="000000"/>
                </a:solidFill>
                <a:prstDash val="solid"/>
              </a:ln>
            </c:spPr>
          </c:dPt>
          <c:dPt>
            <c:idx val="620"/>
            <c:invertIfNegative val="1"/>
            <c:bubble3D val="0"/>
            <c:spPr>
              <a:solidFill>
                <a:srgbClr val="4285F4"/>
              </a:solidFill>
              <a:ln cmpd="sng">
                <a:solidFill>
                  <a:srgbClr val="000000"/>
                </a:solidFill>
                <a:prstDash val="solid"/>
              </a:ln>
            </c:spPr>
          </c:dPt>
          <c:dPt>
            <c:idx val="621"/>
            <c:invertIfNegative val="1"/>
            <c:bubble3D val="0"/>
            <c:spPr>
              <a:solidFill>
                <a:srgbClr val="4285F4"/>
              </a:solidFill>
              <a:ln cmpd="sng">
                <a:solidFill>
                  <a:srgbClr val="000000"/>
                </a:solidFill>
                <a:prstDash val="solid"/>
              </a:ln>
            </c:spPr>
          </c:dPt>
          <c:dPt>
            <c:idx val="622"/>
            <c:invertIfNegative val="1"/>
            <c:bubble3D val="0"/>
            <c:spPr>
              <a:solidFill>
                <a:srgbClr val="4285F4"/>
              </a:solidFill>
              <a:ln cmpd="sng">
                <a:solidFill>
                  <a:srgbClr val="000000"/>
                </a:solidFill>
                <a:prstDash val="solid"/>
              </a:ln>
            </c:spPr>
          </c:dPt>
          <c:dPt>
            <c:idx val="623"/>
            <c:invertIfNegative val="1"/>
            <c:bubble3D val="0"/>
            <c:spPr>
              <a:solidFill>
                <a:srgbClr val="4285F4"/>
              </a:solidFill>
              <a:ln cmpd="sng">
                <a:solidFill>
                  <a:srgbClr val="000000"/>
                </a:solidFill>
                <a:prstDash val="solid"/>
              </a:ln>
            </c:spPr>
          </c:dPt>
          <c:dPt>
            <c:idx val="624"/>
            <c:invertIfNegative val="1"/>
            <c:bubble3D val="0"/>
            <c:spPr>
              <a:solidFill>
                <a:srgbClr val="4285F4"/>
              </a:solidFill>
              <a:ln cmpd="sng">
                <a:solidFill>
                  <a:srgbClr val="000000"/>
                </a:solidFill>
                <a:prstDash val="solid"/>
              </a:ln>
            </c:spPr>
          </c:dPt>
          <c:dPt>
            <c:idx val="625"/>
            <c:invertIfNegative val="1"/>
            <c:bubble3D val="0"/>
            <c:spPr>
              <a:solidFill>
                <a:srgbClr val="4285F4"/>
              </a:solidFill>
              <a:ln cmpd="sng">
                <a:solidFill>
                  <a:srgbClr val="000000"/>
                </a:solidFill>
                <a:prstDash val="solid"/>
              </a:ln>
            </c:spPr>
          </c:dPt>
          <c:dPt>
            <c:idx val="626"/>
            <c:invertIfNegative val="1"/>
            <c:bubble3D val="0"/>
            <c:spPr>
              <a:solidFill>
                <a:srgbClr val="4285F4"/>
              </a:solidFill>
              <a:ln cmpd="sng">
                <a:solidFill>
                  <a:srgbClr val="000000"/>
                </a:solidFill>
                <a:prstDash val="solid"/>
              </a:ln>
            </c:spPr>
          </c:dPt>
          <c:dPt>
            <c:idx val="627"/>
            <c:invertIfNegative val="1"/>
            <c:bubble3D val="0"/>
            <c:spPr>
              <a:solidFill>
                <a:srgbClr val="4285F4"/>
              </a:solidFill>
              <a:ln cmpd="sng">
                <a:solidFill>
                  <a:srgbClr val="000000"/>
                </a:solidFill>
                <a:prstDash val="solid"/>
              </a:ln>
            </c:spPr>
          </c:dPt>
          <c:dPt>
            <c:idx val="628"/>
            <c:invertIfNegative val="1"/>
            <c:bubble3D val="0"/>
            <c:spPr>
              <a:solidFill>
                <a:srgbClr val="4285F4"/>
              </a:solidFill>
              <a:ln cmpd="sng">
                <a:solidFill>
                  <a:srgbClr val="000000"/>
                </a:solidFill>
                <a:prstDash val="solid"/>
              </a:ln>
            </c:spPr>
          </c:dPt>
          <c:dPt>
            <c:idx val="629"/>
            <c:invertIfNegative val="1"/>
            <c:bubble3D val="0"/>
            <c:spPr>
              <a:solidFill>
                <a:srgbClr val="4285F4"/>
              </a:solidFill>
              <a:ln cmpd="sng">
                <a:solidFill>
                  <a:srgbClr val="000000"/>
                </a:solidFill>
                <a:prstDash val="solid"/>
              </a:ln>
            </c:spPr>
          </c:dPt>
          <c:dPt>
            <c:idx val="630"/>
            <c:invertIfNegative val="1"/>
            <c:bubble3D val="0"/>
            <c:spPr>
              <a:solidFill>
                <a:srgbClr val="4285F4"/>
              </a:solidFill>
              <a:ln cmpd="sng">
                <a:solidFill>
                  <a:srgbClr val="000000"/>
                </a:solidFill>
                <a:prstDash val="solid"/>
              </a:ln>
            </c:spPr>
          </c:dPt>
          <c:dPt>
            <c:idx val="631"/>
            <c:invertIfNegative val="1"/>
            <c:bubble3D val="0"/>
            <c:spPr>
              <a:solidFill>
                <a:srgbClr val="4285F4"/>
              </a:solidFill>
              <a:ln cmpd="sng">
                <a:solidFill>
                  <a:srgbClr val="000000"/>
                </a:solidFill>
                <a:prstDash val="solid"/>
              </a:ln>
            </c:spPr>
          </c:dPt>
          <c:dPt>
            <c:idx val="632"/>
            <c:invertIfNegative val="1"/>
            <c:bubble3D val="0"/>
            <c:spPr>
              <a:solidFill>
                <a:srgbClr val="4285F4"/>
              </a:solidFill>
              <a:ln cmpd="sng">
                <a:solidFill>
                  <a:srgbClr val="000000"/>
                </a:solidFill>
                <a:prstDash val="solid"/>
              </a:ln>
            </c:spPr>
          </c:dPt>
          <c:dPt>
            <c:idx val="633"/>
            <c:invertIfNegative val="1"/>
            <c:bubble3D val="0"/>
            <c:spPr>
              <a:solidFill>
                <a:srgbClr val="4285F4"/>
              </a:solidFill>
              <a:ln cmpd="sng">
                <a:solidFill>
                  <a:srgbClr val="000000"/>
                </a:solidFill>
                <a:prstDash val="solid"/>
              </a:ln>
            </c:spPr>
          </c:dPt>
          <c:dPt>
            <c:idx val="634"/>
            <c:invertIfNegative val="1"/>
            <c:bubble3D val="0"/>
            <c:spPr>
              <a:solidFill>
                <a:srgbClr val="4285F4"/>
              </a:solidFill>
              <a:ln cmpd="sng">
                <a:solidFill>
                  <a:srgbClr val="000000"/>
                </a:solidFill>
                <a:prstDash val="solid"/>
              </a:ln>
            </c:spPr>
          </c:dPt>
          <c:dPt>
            <c:idx val="635"/>
            <c:invertIfNegative val="1"/>
            <c:bubble3D val="0"/>
            <c:spPr>
              <a:solidFill>
                <a:srgbClr val="4285F4"/>
              </a:solidFill>
              <a:ln cmpd="sng">
                <a:solidFill>
                  <a:srgbClr val="000000"/>
                </a:solidFill>
                <a:prstDash val="solid"/>
              </a:ln>
            </c:spPr>
          </c:dPt>
          <c:dPt>
            <c:idx val="636"/>
            <c:invertIfNegative val="1"/>
            <c:bubble3D val="0"/>
            <c:spPr>
              <a:solidFill>
                <a:srgbClr val="4285F4"/>
              </a:solidFill>
              <a:ln cmpd="sng">
                <a:solidFill>
                  <a:srgbClr val="000000"/>
                </a:solidFill>
                <a:prstDash val="solid"/>
              </a:ln>
            </c:spPr>
          </c:dPt>
          <c:dPt>
            <c:idx val="637"/>
            <c:invertIfNegative val="1"/>
            <c:bubble3D val="0"/>
            <c:spPr>
              <a:solidFill>
                <a:srgbClr val="4285F4"/>
              </a:solidFill>
              <a:ln cmpd="sng">
                <a:solidFill>
                  <a:srgbClr val="000000"/>
                </a:solidFill>
                <a:prstDash val="solid"/>
              </a:ln>
            </c:spPr>
          </c:dPt>
          <c:dPt>
            <c:idx val="638"/>
            <c:invertIfNegative val="1"/>
            <c:bubble3D val="0"/>
            <c:spPr>
              <a:solidFill>
                <a:srgbClr val="4285F4"/>
              </a:solidFill>
              <a:ln cmpd="sng">
                <a:solidFill>
                  <a:srgbClr val="000000"/>
                </a:solidFill>
                <a:prstDash val="solid"/>
              </a:ln>
            </c:spPr>
          </c:dPt>
          <c:dPt>
            <c:idx val="639"/>
            <c:invertIfNegative val="1"/>
            <c:bubble3D val="0"/>
            <c:spPr>
              <a:solidFill>
                <a:srgbClr val="4285F4"/>
              </a:solidFill>
              <a:ln cmpd="sng">
                <a:solidFill>
                  <a:srgbClr val="000000"/>
                </a:solidFill>
                <a:prstDash val="solid"/>
              </a:ln>
            </c:spPr>
          </c:dPt>
          <c:dPt>
            <c:idx val="640"/>
            <c:invertIfNegative val="1"/>
            <c:bubble3D val="0"/>
            <c:spPr>
              <a:solidFill>
                <a:srgbClr val="4285F4"/>
              </a:solidFill>
              <a:ln cmpd="sng">
                <a:solidFill>
                  <a:srgbClr val="000000"/>
                </a:solidFill>
                <a:prstDash val="solid"/>
              </a:ln>
            </c:spPr>
          </c:dPt>
          <c:dPt>
            <c:idx val="641"/>
            <c:invertIfNegative val="1"/>
            <c:bubble3D val="0"/>
            <c:spPr>
              <a:solidFill>
                <a:srgbClr val="4285F4"/>
              </a:solidFill>
              <a:ln cmpd="sng">
                <a:solidFill>
                  <a:srgbClr val="000000"/>
                </a:solidFill>
                <a:prstDash val="solid"/>
              </a:ln>
            </c:spPr>
          </c:dPt>
          <c:dPt>
            <c:idx val="642"/>
            <c:invertIfNegative val="1"/>
            <c:bubble3D val="0"/>
            <c:spPr>
              <a:solidFill>
                <a:srgbClr val="4285F4"/>
              </a:solidFill>
              <a:ln cmpd="sng">
                <a:solidFill>
                  <a:srgbClr val="000000"/>
                </a:solidFill>
                <a:prstDash val="solid"/>
              </a:ln>
            </c:spPr>
          </c:dPt>
          <c:dPt>
            <c:idx val="643"/>
            <c:invertIfNegative val="1"/>
            <c:bubble3D val="0"/>
            <c:spPr>
              <a:solidFill>
                <a:srgbClr val="4285F4"/>
              </a:solidFill>
              <a:ln cmpd="sng">
                <a:solidFill>
                  <a:srgbClr val="000000"/>
                </a:solidFill>
                <a:prstDash val="solid"/>
              </a:ln>
            </c:spPr>
          </c:dPt>
          <c:dPt>
            <c:idx val="644"/>
            <c:invertIfNegative val="1"/>
            <c:bubble3D val="0"/>
            <c:spPr>
              <a:solidFill>
                <a:srgbClr val="4285F4"/>
              </a:solidFill>
              <a:ln cmpd="sng">
                <a:solidFill>
                  <a:srgbClr val="000000"/>
                </a:solidFill>
                <a:prstDash val="solid"/>
              </a:ln>
            </c:spPr>
          </c:dPt>
          <c:dPt>
            <c:idx val="645"/>
            <c:invertIfNegative val="1"/>
            <c:bubble3D val="0"/>
            <c:spPr>
              <a:solidFill>
                <a:srgbClr val="4285F4"/>
              </a:solidFill>
              <a:ln cmpd="sng">
                <a:solidFill>
                  <a:srgbClr val="000000"/>
                </a:solidFill>
                <a:prstDash val="solid"/>
              </a:ln>
            </c:spPr>
          </c:dPt>
          <c:dPt>
            <c:idx val="646"/>
            <c:invertIfNegative val="1"/>
            <c:bubble3D val="0"/>
            <c:spPr>
              <a:solidFill>
                <a:srgbClr val="4285F4"/>
              </a:solidFill>
              <a:ln cmpd="sng">
                <a:solidFill>
                  <a:srgbClr val="000000"/>
                </a:solidFill>
                <a:prstDash val="solid"/>
              </a:ln>
            </c:spPr>
          </c:dPt>
          <c:dPt>
            <c:idx val="647"/>
            <c:invertIfNegative val="1"/>
            <c:bubble3D val="0"/>
            <c:spPr>
              <a:solidFill>
                <a:srgbClr val="4285F4"/>
              </a:solidFill>
              <a:ln cmpd="sng">
                <a:solidFill>
                  <a:srgbClr val="000000"/>
                </a:solidFill>
                <a:prstDash val="solid"/>
              </a:ln>
            </c:spPr>
          </c:dPt>
          <c:dPt>
            <c:idx val="648"/>
            <c:invertIfNegative val="1"/>
            <c:bubble3D val="0"/>
            <c:spPr>
              <a:solidFill>
                <a:srgbClr val="4285F4"/>
              </a:solidFill>
              <a:ln cmpd="sng">
                <a:solidFill>
                  <a:srgbClr val="000000"/>
                </a:solidFill>
                <a:prstDash val="solid"/>
              </a:ln>
            </c:spPr>
          </c:dPt>
          <c:dPt>
            <c:idx val="649"/>
            <c:invertIfNegative val="1"/>
            <c:bubble3D val="0"/>
            <c:spPr>
              <a:solidFill>
                <a:srgbClr val="4285F4"/>
              </a:solidFill>
              <a:ln cmpd="sng">
                <a:solidFill>
                  <a:srgbClr val="000000"/>
                </a:solidFill>
                <a:prstDash val="solid"/>
              </a:ln>
            </c:spPr>
          </c:dPt>
          <c:dPt>
            <c:idx val="650"/>
            <c:invertIfNegative val="1"/>
            <c:bubble3D val="0"/>
            <c:spPr>
              <a:solidFill>
                <a:srgbClr val="4285F4"/>
              </a:solidFill>
              <a:ln cmpd="sng">
                <a:solidFill>
                  <a:srgbClr val="000000"/>
                </a:solidFill>
                <a:prstDash val="solid"/>
              </a:ln>
            </c:spPr>
          </c:dPt>
          <c:dPt>
            <c:idx val="651"/>
            <c:invertIfNegative val="1"/>
            <c:bubble3D val="0"/>
            <c:spPr>
              <a:solidFill>
                <a:srgbClr val="4285F4"/>
              </a:solidFill>
              <a:ln cmpd="sng">
                <a:solidFill>
                  <a:srgbClr val="000000"/>
                </a:solidFill>
                <a:prstDash val="solid"/>
              </a:ln>
            </c:spPr>
          </c:dPt>
          <c:dPt>
            <c:idx val="652"/>
            <c:invertIfNegative val="1"/>
            <c:bubble3D val="0"/>
            <c:spPr>
              <a:solidFill>
                <a:srgbClr val="4285F4"/>
              </a:solidFill>
              <a:ln cmpd="sng">
                <a:solidFill>
                  <a:srgbClr val="000000"/>
                </a:solidFill>
                <a:prstDash val="solid"/>
              </a:ln>
            </c:spPr>
          </c:dPt>
          <c:dPt>
            <c:idx val="653"/>
            <c:invertIfNegative val="1"/>
            <c:bubble3D val="0"/>
            <c:spPr>
              <a:solidFill>
                <a:srgbClr val="4285F4"/>
              </a:solidFill>
              <a:ln cmpd="sng">
                <a:solidFill>
                  <a:srgbClr val="000000"/>
                </a:solidFill>
                <a:prstDash val="solid"/>
              </a:ln>
            </c:spPr>
          </c:dPt>
          <c:dPt>
            <c:idx val="654"/>
            <c:invertIfNegative val="1"/>
            <c:bubble3D val="0"/>
            <c:spPr>
              <a:solidFill>
                <a:srgbClr val="4285F4"/>
              </a:solidFill>
              <a:ln cmpd="sng">
                <a:solidFill>
                  <a:srgbClr val="000000"/>
                </a:solidFill>
                <a:prstDash val="solid"/>
              </a:ln>
            </c:spPr>
          </c:dPt>
          <c:dPt>
            <c:idx val="655"/>
            <c:invertIfNegative val="1"/>
            <c:bubble3D val="0"/>
            <c:spPr>
              <a:solidFill>
                <a:srgbClr val="4285F4"/>
              </a:solidFill>
              <a:ln cmpd="sng">
                <a:solidFill>
                  <a:srgbClr val="000000"/>
                </a:solidFill>
                <a:prstDash val="solid"/>
              </a:ln>
            </c:spPr>
          </c:dPt>
          <c:dPt>
            <c:idx val="656"/>
            <c:invertIfNegative val="1"/>
            <c:bubble3D val="0"/>
            <c:spPr>
              <a:solidFill>
                <a:srgbClr val="4285F4"/>
              </a:solidFill>
              <a:ln cmpd="sng">
                <a:solidFill>
                  <a:srgbClr val="000000"/>
                </a:solidFill>
                <a:prstDash val="solid"/>
              </a:ln>
            </c:spPr>
          </c:dPt>
          <c:dPt>
            <c:idx val="657"/>
            <c:invertIfNegative val="1"/>
            <c:bubble3D val="0"/>
            <c:spPr>
              <a:solidFill>
                <a:srgbClr val="4285F4"/>
              </a:solidFill>
              <a:ln cmpd="sng">
                <a:solidFill>
                  <a:srgbClr val="000000"/>
                </a:solidFill>
                <a:prstDash val="solid"/>
              </a:ln>
            </c:spPr>
          </c:dPt>
          <c:dPt>
            <c:idx val="658"/>
            <c:invertIfNegative val="1"/>
            <c:bubble3D val="0"/>
            <c:spPr>
              <a:solidFill>
                <a:srgbClr val="4285F4"/>
              </a:solidFill>
              <a:ln cmpd="sng">
                <a:solidFill>
                  <a:srgbClr val="000000"/>
                </a:solidFill>
                <a:prstDash val="solid"/>
              </a:ln>
            </c:spPr>
          </c:dPt>
          <c:dPt>
            <c:idx val="659"/>
            <c:invertIfNegative val="1"/>
            <c:bubble3D val="0"/>
            <c:spPr>
              <a:solidFill>
                <a:srgbClr val="4285F4"/>
              </a:solidFill>
              <a:ln cmpd="sng">
                <a:solidFill>
                  <a:srgbClr val="000000"/>
                </a:solidFill>
                <a:prstDash val="solid"/>
              </a:ln>
            </c:spPr>
          </c:dPt>
          <c:dPt>
            <c:idx val="660"/>
            <c:invertIfNegative val="1"/>
            <c:bubble3D val="0"/>
            <c:spPr>
              <a:solidFill>
                <a:srgbClr val="4285F4"/>
              </a:solidFill>
              <a:ln cmpd="sng">
                <a:solidFill>
                  <a:srgbClr val="000000"/>
                </a:solidFill>
                <a:prstDash val="solid"/>
              </a:ln>
            </c:spPr>
          </c:dPt>
          <c:dPt>
            <c:idx val="661"/>
            <c:invertIfNegative val="1"/>
            <c:bubble3D val="0"/>
            <c:spPr>
              <a:solidFill>
                <a:srgbClr val="4285F4"/>
              </a:solidFill>
              <a:ln cmpd="sng">
                <a:solidFill>
                  <a:srgbClr val="000000"/>
                </a:solidFill>
                <a:prstDash val="solid"/>
              </a:ln>
            </c:spPr>
          </c:dPt>
          <c:dPt>
            <c:idx val="662"/>
            <c:invertIfNegative val="1"/>
            <c:bubble3D val="0"/>
            <c:spPr>
              <a:solidFill>
                <a:srgbClr val="4285F4"/>
              </a:solidFill>
              <a:ln cmpd="sng">
                <a:solidFill>
                  <a:srgbClr val="000000"/>
                </a:solidFill>
                <a:prstDash val="solid"/>
              </a:ln>
            </c:spPr>
          </c:dPt>
          <c:dPt>
            <c:idx val="663"/>
            <c:invertIfNegative val="1"/>
            <c:bubble3D val="0"/>
            <c:spPr>
              <a:solidFill>
                <a:srgbClr val="4285F4"/>
              </a:solidFill>
              <a:ln cmpd="sng">
                <a:solidFill>
                  <a:srgbClr val="000000"/>
                </a:solidFill>
                <a:prstDash val="solid"/>
              </a:ln>
            </c:spPr>
          </c:dPt>
          <c:dPt>
            <c:idx val="664"/>
            <c:invertIfNegative val="1"/>
            <c:bubble3D val="0"/>
            <c:spPr>
              <a:solidFill>
                <a:srgbClr val="4285F4"/>
              </a:solidFill>
              <a:ln cmpd="sng">
                <a:solidFill>
                  <a:srgbClr val="000000"/>
                </a:solidFill>
                <a:prstDash val="solid"/>
              </a:ln>
            </c:spPr>
          </c:dPt>
          <c:dPt>
            <c:idx val="665"/>
            <c:invertIfNegative val="1"/>
            <c:bubble3D val="0"/>
            <c:spPr>
              <a:solidFill>
                <a:srgbClr val="4285F4"/>
              </a:solidFill>
              <a:ln cmpd="sng">
                <a:solidFill>
                  <a:srgbClr val="000000"/>
                </a:solidFill>
                <a:prstDash val="solid"/>
              </a:ln>
            </c:spPr>
          </c:dPt>
          <c:dPt>
            <c:idx val="666"/>
            <c:invertIfNegative val="1"/>
            <c:bubble3D val="0"/>
            <c:spPr>
              <a:solidFill>
                <a:srgbClr val="4285F4"/>
              </a:solidFill>
              <a:ln cmpd="sng">
                <a:solidFill>
                  <a:srgbClr val="000000"/>
                </a:solidFill>
                <a:prstDash val="solid"/>
              </a:ln>
            </c:spPr>
          </c:dPt>
          <c:dPt>
            <c:idx val="667"/>
            <c:invertIfNegative val="1"/>
            <c:bubble3D val="0"/>
            <c:spPr>
              <a:solidFill>
                <a:srgbClr val="4285F4"/>
              </a:solidFill>
              <a:ln cmpd="sng">
                <a:solidFill>
                  <a:srgbClr val="000000"/>
                </a:solidFill>
                <a:prstDash val="solid"/>
              </a:ln>
            </c:spPr>
          </c:dPt>
          <c:dPt>
            <c:idx val="668"/>
            <c:invertIfNegative val="1"/>
            <c:bubble3D val="0"/>
            <c:spPr>
              <a:solidFill>
                <a:srgbClr val="4285F4"/>
              </a:solidFill>
              <a:ln cmpd="sng">
                <a:solidFill>
                  <a:srgbClr val="000000"/>
                </a:solidFill>
                <a:prstDash val="solid"/>
              </a:ln>
            </c:spPr>
          </c:dPt>
          <c:dPt>
            <c:idx val="669"/>
            <c:invertIfNegative val="1"/>
            <c:bubble3D val="0"/>
            <c:spPr>
              <a:solidFill>
                <a:srgbClr val="4285F4"/>
              </a:solidFill>
              <a:ln cmpd="sng">
                <a:solidFill>
                  <a:srgbClr val="000000"/>
                </a:solidFill>
                <a:prstDash val="solid"/>
              </a:ln>
            </c:spPr>
          </c:dPt>
          <c:dPt>
            <c:idx val="670"/>
            <c:invertIfNegative val="1"/>
            <c:bubble3D val="0"/>
            <c:spPr>
              <a:solidFill>
                <a:srgbClr val="4285F4"/>
              </a:solidFill>
              <a:ln cmpd="sng">
                <a:solidFill>
                  <a:srgbClr val="000000"/>
                </a:solidFill>
                <a:prstDash val="solid"/>
              </a:ln>
            </c:spPr>
          </c:dPt>
          <c:dPt>
            <c:idx val="671"/>
            <c:invertIfNegative val="1"/>
            <c:bubble3D val="0"/>
            <c:spPr>
              <a:solidFill>
                <a:srgbClr val="4285F4"/>
              </a:solidFill>
              <a:ln cmpd="sng">
                <a:solidFill>
                  <a:srgbClr val="000000"/>
                </a:solidFill>
                <a:prstDash val="solid"/>
              </a:ln>
            </c:spPr>
          </c:dPt>
          <c:dPt>
            <c:idx val="672"/>
            <c:invertIfNegative val="1"/>
            <c:bubble3D val="0"/>
            <c:spPr>
              <a:solidFill>
                <a:srgbClr val="4285F4"/>
              </a:solidFill>
              <a:ln cmpd="sng">
                <a:solidFill>
                  <a:srgbClr val="000000"/>
                </a:solidFill>
                <a:prstDash val="solid"/>
              </a:ln>
            </c:spPr>
          </c:dPt>
          <c:dPt>
            <c:idx val="673"/>
            <c:invertIfNegative val="1"/>
            <c:bubble3D val="0"/>
            <c:spPr>
              <a:solidFill>
                <a:srgbClr val="4285F4"/>
              </a:solidFill>
              <a:ln cmpd="sng">
                <a:solidFill>
                  <a:srgbClr val="000000"/>
                </a:solidFill>
                <a:prstDash val="solid"/>
              </a:ln>
            </c:spPr>
          </c:dPt>
          <c:dPt>
            <c:idx val="674"/>
            <c:invertIfNegative val="1"/>
            <c:bubble3D val="0"/>
            <c:spPr>
              <a:solidFill>
                <a:srgbClr val="4285F4"/>
              </a:solidFill>
              <a:ln cmpd="sng">
                <a:solidFill>
                  <a:srgbClr val="000000"/>
                </a:solidFill>
                <a:prstDash val="solid"/>
              </a:ln>
            </c:spPr>
          </c:dPt>
          <c:dPt>
            <c:idx val="675"/>
            <c:invertIfNegative val="1"/>
            <c:bubble3D val="0"/>
            <c:spPr>
              <a:solidFill>
                <a:srgbClr val="4285F4"/>
              </a:solidFill>
              <a:ln cmpd="sng">
                <a:solidFill>
                  <a:srgbClr val="000000"/>
                </a:solidFill>
                <a:prstDash val="solid"/>
              </a:ln>
            </c:spPr>
          </c:dPt>
          <c:dPt>
            <c:idx val="676"/>
            <c:invertIfNegative val="1"/>
            <c:bubble3D val="0"/>
            <c:spPr>
              <a:solidFill>
                <a:srgbClr val="4285F4"/>
              </a:solidFill>
              <a:ln cmpd="sng">
                <a:solidFill>
                  <a:srgbClr val="000000"/>
                </a:solidFill>
                <a:prstDash val="solid"/>
              </a:ln>
            </c:spPr>
          </c:dPt>
          <c:dPt>
            <c:idx val="677"/>
            <c:invertIfNegative val="1"/>
            <c:bubble3D val="0"/>
            <c:spPr>
              <a:solidFill>
                <a:srgbClr val="4285F4"/>
              </a:solidFill>
              <a:ln cmpd="sng">
                <a:solidFill>
                  <a:srgbClr val="000000"/>
                </a:solidFill>
                <a:prstDash val="solid"/>
              </a:ln>
            </c:spPr>
          </c:dPt>
          <c:dPt>
            <c:idx val="678"/>
            <c:invertIfNegative val="1"/>
            <c:bubble3D val="0"/>
            <c:spPr>
              <a:solidFill>
                <a:srgbClr val="4285F4"/>
              </a:solidFill>
              <a:ln cmpd="sng">
                <a:solidFill>
                  <a:srgbClr val="000000"/>
                </a:solidFill>
                <a:prstDash val="solid"/>
              </a:ln>
            </c:spPr>
          </c:dPt>
          <c:dPt>
            <c:idx val="679"/>
            <c:invertIfNegative val="1"/>
            <c:bubble3D val="0"/>
            <c:spPr>
              <a:solidFill>
                <a:srgbClr val="4285F4"/>
              </a:solidFill>
              <a:ln cmpd="sng">
                <a:solidFill>
                  <a:srgbClr val="000000"/>
                </a:solidFill>
                <a:prstDash val="solid"/>
              </a:ln>
            </c:spPr>
          </c:dPt>
          <c:dPt>
            <c:idx val="680"/>
            <c:invertIfNegative val="1"/>
            <c:bubble3D val="0"/>
            <c:spPr>
              <a:solidFill>
                <a:srgbClr val="4285F4"/>
              </a:solidFill>
              <a:ln cmpd="sng">
                <a:solidFill>
                  <a:srgbClr val="000000"/>
                </a:solidFill>
                <a:prstDash val="solid"/>
              </a:ln>
            </c:spPr>
          </c:dPt>
          <c:dPt>
            <c:idx val="681"/>
            <c:invertIfNegative val="1"/>
            <c:bubble3D val="0"/>
            <c:spPr>
              <a:solidFill>
                <a:srgbClr val="4285F4"/>
              </a:solidFill>
              <a:ln cmpd="sng">
                <a:solidFill>
                  <a:srgbClr val="000000"/>
                </a:solidFill>
                <a:prstDash val="solid"/>
              </a:ln>
            </c:spPr>
          </c:dPt>
          <c:dPt>
            <c:idx val="682"/>
            <c:invertIfNegative val="1"/>
            <c:bubble3D val="0"/>
            <c:spPr>
              <a:solidFill>
                <a:srgbClr val="4285F4"/>
              </a:solidFill>
              <a:ln cmpd="sng">
                <a:solidFill>
                  <a:srgbClr val="000000"/>
                </a:solidFill>
                <a:prstDash val="solid"/>
              </a:ln>
            </c:spPr>
          </c:dPt>
          <c:dPt>
            <c:idx val="683"/>
            <c:invertIfNegative val="1"/>
            <c:bubble3D val="0"/>
            <c:spPr>
              <a:solidFill>
                <a:srgbClr val="4285F4"/>
              </a:solidFill>
              <a:ln cmpd="sng">
                <a:solidFill>
                  <a:srgbClr val="000000"/>
                </a:solidFill>
                <a:prstDash val="solid"/>
              </a:ln>
            </c:spPr>
          </c:dPt>
          <c:dPt>
            <c:idx val="684"/>
            <c:invertIfNegative val="1"/>
            <c:bubble3D val="0"/>
            <c:spPr>
              <a:solidFill>
                <a:srgbClr val="4285F4"/>
              </a:solidFill>
              <a:ln cmpd="sng">
                <a:solidFill>
                  <a:srgbClr val="000000"/>
                </a:solidFill>
                <a:prstDash val="solid"/>
              </a:ln>
            </c:spPr>
          </c:dPt>
          <c:dPt>
            <c:idx val="685"/>
            <c:invertIfNegative val="1"/>
            <c:bubble3D val="0"/>
            <c:spPr>
              <a:solidFill>
                <a:srgbClr val="4285F4"/>
              </a:solidFill>
              <a:ln cmpd="sng">
                <a:solidFill>
                  <a:srgbClr val="000000"/>
                </a:solidFill>
                <a:prstDash val="solid"/>
              </a:ln>
            </c:spPr>
          </c:dPt>
          <c:dPt>
            <c:idx val="686"/>
            <c:invertIfNegative val="1"/>
            <c:bubble3D val="0"/>
            <c:spPr>
              <a:solidFill>
                <a:srgbClr val="4285F4"/>
              </a:solidFill>
              <a:ln cmpd="sng">
                <a:solidFill>
                  <a:srgbClr val="000000"/>
                </a:solidFill>
                <a:prstDash val="solid"/>
              </a:ln>
            </c:spPr>
          </c:dPt>
          <c:dPt>
            <c:idx val="687"/>
            <c:invertIfNegative val="1"/>
            <c:bubble3D val="0"/>
            <c:spPr>
              <a:solidFill>
                <a:srgbClr val="4285F4"/>
              </a:solidFill>
              <a:ln cmpd="sng">
                <a:solidFill>
                  <a:srgbClr val="000000"/>
                </a:solidFill>
                <a:prstDash val="solid"/>
              </a:ln>
            </c:spPr>
          </c:dPt>
          <c:dPt>
            <c:idx val="688"/>
            <c:invertIfNegative val="1"/>
            <c:bubble3D val="0"/>
            <c:spPr>
              <a:solidFill>
                <a:srgbClr val="4285F4"/>
              </a:solidFill>
              <a:ln cmpd="sng">
                <a:solidFill>
                  <a:srgbClr val="000000"/>
                </a:solidFill>
                <a:prstDash val="solid"/>
              </a:ln>
            </c:spPr>
          </c:dPt>
          <c:dPt>
            <c:idx val="689"/>
            <c:invertIfNegative val="1"/>
            <c:bubble3D val="0"/>
            <c:spPr>
              <a:solidFill>
                <a:srgbClr val="4285F4"/>
              </a:solidFill>
              <a:ln cmpd="sng">
                <a:solidFill>
                  <a:srgbClr val="000000"/>
                </a:solidFill>
                <a:prstDash val="solid"/>
              </a:ln>
            </c:spPr>
          </c:dPt>
          <c:dPt>
            <c:idx val="690"/>
            <c:invertIfNegative val="1"/>
            <c:bubble3D val="0"/>
            <c:spPr>
              <a:solidFill>
                <a:srgbClr val="4285F4"/>
              </a:solidFill>
              <a:ln cmpd="sng">
                <a:solidFill>
                  <a:srgbClr val="000000"/>
                </a:solidFill>
                <a:prstDash val="solid"/>
              </a:ln>
            </c:spPr>
          </c:dPt>
          <c:dPt>
            <c:idx val="691"/>
            <c:invertIfNegative val="1"/>
            <c:bubble3D val="0"/>
            <c:spPr>
              <a:solidFill>
                <a:srgbClr val="4285F4"/>
              </a:solidFill>
              <a:ln cmpd="sng">
                <a:solidFill>
                  <a:srgbClr val="000000"/>
                </a:solidFill>
                <a:prstDash val="solid"/>
              </a:ln>
            </c:spPr>
          </c:dPt>
          <c:dPt>
            <c:idx val="692"/>
            <c:invertIfNegative val="1"/>
            <c:bubble3D val="0"/>
            <c:spPr>
              <a:solidFill>
                <a:srgbClr val="4285F4"/>
              </a:solidFill>
              <a:ln cmpd="sng">
                <a:solidFill>
                  <a:srgbClr val="000000"/>
                </a:solidFill>
                <a:prstDash val="solid"/>
              </a:ln>
            </c:spPr>
          </c:dPt>
          <c:dPt>
            <c:idx val="693"/>
            <c:invertIfNegative val="1"/>
            <c:bubble3D val="0"/>
            <c:spPr>
              <a:solidFill>
                <a:srgbClr val="4285F4"/>
              </a:solidFill>
              <a:ln cmpd="sng">
                <a:solidFill>
                  <a:srgbClr val="000000"/>
                </a:solidFill>
                <a:prstDash val="solid"/>
              </a:ln>
            </c:spPr>
          </c:dPt>
          <c:dPt>
            <c:idx val="694"/>
            <c:invertIfNegative val="1"/>
            <c:bubble3D val="0"/>
            <c:spPr>
              <a:solidFill>
                <a:srgbClr val="4285F4"/>
              </a:solidFill>
              <a:ln cmpd="sng">
                <a:solidFill>
                  <a:srgbClr val="000000"/>
                </a:solidFill>
                <a:prstDash val="solid"/>
              </a:ln>
            </c:spPr>
          </c:dPt>
          <c:dPt>
            <c:idx val="695"/>
            <c:invertIfNegative val="1"/>
            <c:bubble3D val="0"/>
            <c:spPr>
              <a:solidFill>
                <a:srgbClr val="4285F4"/>
              </a:solidFill>
              <a:ln cmpd="sng">
                <a:solidFill>
                  <a:srgbClr val="000000"/>
                </a:solidFill>
                <a:prstDash val="solid"/>
              </a:ln>
            </c:spPr>
          </c:dPt>
          <c:dPt>
            <c:idx val="696"/>
            <c:invertIfNegative val="1"/>
            <c:bubble3D val="0"/>
            <c:spPr>
              <a:solidFill>
                <a:srgbClr val="4285F4"/>
              </a:solidFill>
              <a:ln cmpd="sng">
                <a:solidFill>
                  <a:srgbClr val="000000"/>
                </a:solidFill>
                <a:prstDash val="solid"/>
              </a:ln>
            </c:spPr>
          </c:dPt>
          <c:dPt>
            <c:idx val="697"/>
            <c:invertIfNegative val="1"/>
            <c:bubble3D val="0"/>
            <c:spPr>
              <a:solidFill>
                <a:srgbClr val="4285F4"/>
              </a:solidFill>
              <a:ln cmpd="sng">
                <a:solidFill>
                  <a:srgbClr val="000000"/>
                </a:solidFill>
                <a:prstDash val="solid"/>
              </a:ln>
            </c:spPr>
          </c:dPt>
          <c:dPt>
            <c:idx val="698"/>
            <c:invertIfNegative val="1"/>
            <c:bubble3D val="0"/>
            <c:spPr>
              <a:solidFill>
                <a:srgbClr val="4285F4"/>
              </a:solidFill>
              <a:ln cmpd="sng">
                <a:solidFill>
                  <a:srgbClr val="000000"/>
                </a:solidFill>
                <a:prstDash val="solid"/>
              </a:ln>
            </c:spPr>
          </c:dPt>
          <c:dPt>
            <c:idx val="699"/>
            <c:invertIfNegative val="1"/>
            <c:bubble3D val="0"/>
            <c:spPr>
              <a:solidFill>
                <a:srgbClr val="4285F4"/>
              </a:solidFill>
              <a:ln cmpd="sng">
                <a:solidFill>
                  <a:srgbClr val="000000"/>
                </a:solidFill>
                <a:prstDash val="solid"/>
              </a:ln>
            </c:spPr>
          </c:dPt>
          <c:dPt>
            <c:idx val="700"/>
            <c:invertIfNegative val="1"/>
            <c:bubble3D val="0"/>
            <c:spPr>
              <a:solidFill>
                <a:srgbClr val="4285F4"/>
              </a:solidFill>
              <a:ln cmpd="sng">
                <a:solidFill>
                  <a:srgbClr val="000000"/>
                </a:solidFill>
                <a:prstDash val="solid"/>
              </a:ln>
            </c:spPr>
          </c:dPt>
          <c:dPt>
            <c:idx val="701"/>
            <c:invertIfNegative val="1"/>
            <c:bubble3D val="0"/>
            <c:spPr>
              <a:solidFill>
                <a:srgbClr val="4285F4"/>
              </a:solidFill>
              <a:ln cmpd="sng">
                <a:solidFill>
                  <a:srgbClr val="000000"/>
                </a:solidFill>
                <a:prstDash val="solid"/>
              </a:ln>
            </c:spPr>
          </c:dPt>
          <c:dPt>
            <c:idx val="702"/>
            <c:invertIfNegative val="1"/>
            <c:bubble3D val="0"/>
            <c:spPr>
              <a:solidFill>
                <a:srgbClr val="4285F4"/>
              </a:solidFill>
              <a:ln cmpd="sng">
                <a:solidFill>
                  <a:srgbClr val="000000"/>
                </a:solidFill>
                <a:prstDash val="solid"/>
              </a:ln>
            </c:spPr>
          </c:dPt>
          <c:dPt>
            <c:idx val="703"/>
            <c:invertIfNegative val="1"/>
            <c:bubble3D val="0"/>
            <c:spPr>
              <a:solidFill>
                <a:srgbClr val="4285F4"/>
              </a:solidFill>
              <a:ln cmpd="sng">
                <a:solidFill>
                  <a:srgbClr val="000000"/>
                </a:solidFill>
                <a:prstDash val="solid"/>
              </a:ln>
            </c:spPr>
          </c:dPt>
          <c:dPt>
            <c:idx val="704"/>
            <c:invertIfNegative val="1"/>
            <c:bubble3D val="0"/>
            <c:spPr>
              <a:solidFill>
                <a:srgbClr val="4285F4"/>
              </a:solidFill>
              <a:ln cmpd="sng">
                <a:solidFill>
                  <a:srgbClr val="000000"/>
                </a:solidFill>
                <a:prstDash val="solid"/>
              </a:ln>
            </c:spPr>
          </c:dPt>
          <c:dPt>
            <c:idx val="705"/>
            <c:invertIfNegative val="1"/>
            <c:bubble3D val="0"/>
            <c:spPr>
              <a:solidFill>
                <a:srgbClr val="4285F4"/>
              </a:solidFill>
              <a:ln cmpd="sng">
                <a:solidFill>
                  <a:srgbClr val="000000"/>
                </a:solidFill>
                <a:prstDash val="solid"/>
              </a:ln>
            </c:spPr>
          </c:dPt>
          <c:dPt>
            <c:idx val="706"/>
            <c:invertIfNegative val="1"/>
            <c:bubble3D val="0"/>
            <c:spPr>
              <a:solidFill>
                <a:srgbClr val="4285F4"/>
              </a:solidFill>
              <a:ln cmpd="sng">
                <a:solidFill>
                  <a:srgbClr val="000000"/>
                </a:solidFill>
                <a:prstDash val="solid"/>
              </a:ln>
            </c:spPr>
          </c:dPt>
          <c:dPt>
            <c:idx val="707"/>
            <c:invertIfNegative val="1"/>
            <c:bubble3D val="0"/>
            <c:spPr>
              <a:solidFill>
                <a:srgbClr val="4285F4"/>
              </a:solidFill>
              <a:ln cmpd="sng">
                <a:solidFill>
                  <a:srgbClr val="000000"/>
                </a:solidFill>
                <a:prstDash val="solid"/>
              </a:ln>
            </c:spPr>
          </c:dPt>
          <c:dPt>
            <c:idx val="708"/>
            <c:invertIfNegative val="1"/>
            <c:bubble3D val="0"/>
            <c:spPr>
              <a:solidFill>
                <a:srgbClr val="4285F4"/>
              </a:solidFill>
              <a:ln cmpd="sng">
                <a:solidFill>
                  <a:srgbClr val="000000"/>
                </a:solidFill>
                <a:prstDash val="solid"/>
              </a:ln>
            </c:spPr>
          </c:dPt>
          <c:dPt>
            <c:idx val="709"/>
            <c:invertIfNegative val="1"/>
            <c:bubble3D val="0"/>
            <c:spPr>
              <a:solidFill>
                <a:srgbClr val="4285F4"/>
              </a:solidFill>
              <a:ln cmpd="sng">
                <a:solidFill>
                  <a:srgbClr val="000000"/>
                </a:solidFill>
                <a:prstDash val="solid"/>
              </a:ln>
            </c:spPr>
          </c:dPt>
          <c:dPt>
            <c:idx val="710"/>
            <c:invertIfNegative val="1"/>
            <c:bubble3D val="0"/>
            <c:spPr>
              <a:solidFill>
                <a:srgbClr val="4285F4"/>
              </a:solidFill>
              <a:ln cmpd="sng">
                <a:solidFill>
                  <a:srgbClr val="000000"/>
                </a:solidFill>
                <a:prstDash val="solid"/>
              </a:ln>
            </c:spPr>
          </c:dPt>
          <c:dPt>
            <c:idx val="711"/>
            <c:invertIfNegative val="1"/>
            <c:bubble3D val="0"/>
            <c:spPr>
              <a:solidFill>
                <a:srgbClr val="4285F4"/>
              </a:solidFill>
              <a:ln cmpd="sng">
                <a:solidFill>
                  <a:srgbClr val="000000"/>
                </a:solidFill>
                <a:prstDash val="solid"/>
              </a:ln>
            </c:spPr>
          </c:dPt>
          <c:dPt>
            <c:idx val="712"/>
            <c:invertIfNegative val="1"/>
            <c:bubble3D val="0"/>
            <c:spPr>
              <a:solidFill>
                <a:srgbClr val="4285F4"/>
              </a:solidFill>
              <a:ln cmpd="sng">
                <a:solidFill>
                  <a:srgbClr val="000000"/>
                </a:solidFill>
                <a:prstDash val="solid"/>
              </a:ln>
            </c:spPr>
          </c:dPt>
          <c:dPt>
            <c:idx val="713"/>
            <c:invertIfNegative val="1"/>
            <c:bubble3D val="0"/>
            <c:spPr>
              <a:solidFill>
                <a:srgbClr val="4285F4"/>
              </a:solidFill>
              <a:ln cmpd="sng">
                <a:solidFill>
                  <a:srgbClr val="000000"/>
                </a:solidFill>
                <a:prstDash val="solid"/>
              </a:ln>
            </c:spPr>
          </c:dPt>
          <c:dPt>
            <c:idx val="714"/>
            <c:invertIfNegative val="1"/>
            <c:bubble3D val="0"/>
            <c:spPr>
              <a:solidFill>
                <a:srgbClr val="4285F4"/>
              </a:solidFill>
              <a:ln cmpd="sng">
                <a:solidFill>
                  <a:srgbClr val="000000"/>
                </a:solidFill>
                <a:prstDash val="solid"/>
              </a:ln>
            </c:spPr>
          </c:dPt>
          <c:dPt>
            <c:idx val="715"/>
            <c:invertIfNegative val="1"/>
            <c:bubble3D val="0"/>
            <c:spPr>
              <a:solidFill>
                <a:srgbClr val="4285F4"/>
              </a:solidFill>
              <a:ln cmpd="sng">
                <a:solidFill>
                  <a:srgbClr val="000000"/>
                </a:solidFill>
                <a:prstDash val="solid"/>
              </a:ln>
            </c:spPr>
          </c:dPt>
          <c:dPt>
            <c:idx val="716"/>
            <c:invertIfNegative val="1"/>
            <c:bubble3D val="0"/>
            <c:spPr>
              <a:solidFill>
                <a:srgbClr val="4285F4"/>
              </a:solidFill>
              <a:ln cmpd="sng">
                <a:solidFill>
                  <a:srgbClr val="000000"/>
                </a:solidFill>
                <a:prstDash val="solid"/>
              </a:ln>
            </c:spPr>
          </c:dPt>
          <c:dPt>
            <c:idx val="717"/>
            <c:invertIfNegative val="1"/>
            <c:bubble3D val="0"/>
            <c:spPr>
              <a:solidFill>
                <a:srgbClr val="4285F4"/>
              </a:solidFill>
              <a:ln cmpd="sng">
                <a:solidFill>
                  <a:srgbClr val="000000"/>
                </a:solidFill>
                <a:prstDash val="solid"/>
              </a:ln>
            </c:spPr>
          </c:dPt>
          <c:dPt>
            <c:idx val="718"/>
            <c:invertIfNegative val="1"/>
            <c:bubble3D val="0"/>
            <c:spPr>
              <a:solidFill>
                <a:srgbClr val="4285F4"/>
              </a:solidFill>
              <a:ln cmpd="sng">
                <a:solidFill>
                  <a:srgbClr val="000000"/>
                </a:solidFill>
                <a:prstDash val="solid"/>
              </a:ln>
            </c:spPr>
          </c:dPt>
          <c:dPt>
            <c:idx val="719"/>
            <c:invertIfNegative val="1"/>
            <c:bubble3D val="0"/>
            <c:spPr>
              <a:solidFill>
                <a:srgbClr val="4285F4"/>
              </a:solidFill>
              <a:ln cmpd="sng">
                <a:solidFill>
                  <a:srgbClr val="000000"/>
                </a:solidFill>
                <a:prstDash val="solid"/>
              </a:ln>
            </c:spPr>
          </c:dPt>
          <c:dPt>
            <c:idx val="720"/>
            <c:invertIfNegative val="1"/>
            <c:bubble3D val="0"/>
            <c:spPr>
              <a:solidFill>
                <a:srgbClr val="4285F4"/>
              </a:solidFill>
              <a:ln cmpd="sng">
                <a:solidFill>
                  <a:srgbClr val="000000"/>
                </a:solidFill>
                <a:prstDash val="solid"/>
              </a:ln>
            </c:spPr>
          </c:dPt>
          <c:dPt>
            <c:idx val="721"/>
            <c:invertIfNegative val="1"/>
            <c:bubble3D val="0"/>
            <c:spPr>
              <a:solidFill>
                <a:srgbClr val="4285F4"/>
              </a:solidFill>
              <a:ln cmpd="sng">
                <a:solidFill>
                  <a:srgbClr val="000000"/>
                </a:solidFill>
                <a:prstDash val="solid"/>
              </a:ln>
            </c:spPr>
          </c:dPt>
          <c:dPt>
            <c:idx val="722"/>
            <c:invertIfNegative val="1"/>
            <c:bubble3D val="0"/>
            <c:spPr>
              <a:solidFill>
                <a:srgbClr val="4285F4"/>
              </a:solidFill>
              <a:ln cmpd="sng">
                <a:solidFill>
                  <a:srgbClr val="000000"/>
                </a:solidFill>
                <a:prstDash val="solid"/>
              </a:ln>
            </c:spPr>
          </c:dPt>
          <c:dPt>
            <c:idx val="723"/>
            <c:invertIfNegative val="1"/>
            <c:bubble3D val="0"/>
            <c:spPr>
              <a:solidFill>
                <a:srgbClr val="4285F4"/>
              </a:solidFill>
              <a:ln cmpd="sng">
                <a:solidFill>
                  <a:srgbClr val="000000"/>
                </a:solidFill>
                <a:prstDash val="solid"/>
              </a:ln>
            </c:spPr>
          </c:dPt>
          <c:dPt>
            <c:idx val="724"/>
            <c:invertIfNegative val="1"/>
            <c:bubble3D val="0"/>
            <c:spPr>
              <a:solidFill>
                <a:srgbClr val="4285F4"/>
              </a:solidFill>
              <a:ln cmpd="sng">
                <a:solidFill>
                  <a:srgbClr val="000000"/>
                </a:solidFill>
                <a:prstDash val="solid"/>
              </a:ln>
            </c:spPr>
          </c:dPt>
          <c:dPt>
            <c:idx val="725"/>
            <c:invertIfNegative val="1"/>
            <c:bubble3D val="0"/>
            <c:spPr>
              <a:solidFill>
                <a:srgbClr val="4285F4"/>
              </a:solidFill>
              <a:ln cmpd="sng">
                <a:solidFill>
                  <a:srgbClr val="000000"/>
                </a:solidFill>
                <a:prstDash val="solid"/>
              </a:ln>
            </c:spPr>
          </c:dPt>
          <c:dPt>
            <c:idx val="726"/>
            <c:invertIfNegative val="1"/>
            <c:bubble3D val="0"/>
            <c:spPr>
              <a:solidFill>
                <a:srgbClr val="4285F4"/>
              </a:solidFill>
              <a:ln cmpd="sng">
                <a:solidFill>
                  <a:srgbClr val="000000"/>
                </a:solidFill>
                <a:prstDash val="solid"/>
              </a:ln>
            </c:spPr>
          </c:dPt>
          <c:dPt>
            <c:idx val="727"/>
            <c:invertIfNegative val="1"/>
            <c:bubble3D val="0"/>
            <c:spPr>
              <a:solidFill>
                <a:srgbClr val="4285F4"/>
              </a:solidFill>
              <a:ln cmpd="sng">
                <a:solidFill>
                  <a:srgbClr val="000000"/>
                </a:solidFill>
                <a:prstDash val="solid"/>
              </a:ln>
            </c:spPr>
          </c:dPt>
          <c:dPt>
            <c:idx val="728"/>
            <c:invertIfNegative val="1"/>
            <c:bubble3D val="0"/>
            <c:spPr>
              <a:solidFill>
                <a:srgbClr val="4285F4"/>
              </a:solidFill>
              <a:ln cmpd="sng">
                <a:solidFill>
                  <a:srgbClr val="000000"/>
                </a:solidFill>
                <a:prstDash val="solid"/>
              </a:ln>
            </c:spPr>
          </c:dPt>
          <c:dPt>
            <c:idx val="729"/>
            <c:invertIfNegative val="1"/>
            <c:bubble3D val="0"/>
            <c:spPr>
              <a:solidFill>
                <a:srgbClr val="4285F4"/>
              </a:solidFill>
              <a:ln cmpd="sng">
                <a:solidFill>
                  <a:srgbClr val="000000"/>
                </a:solidFill>
                <a:prstDash val="solid"/>
              </a:ln>
            </c:spPr>
          </c:dPt>
          <c:dPt>
            <c:idx val="730"/>
            <c:invertIfNegative val="1"/>
            <c:bubble3D val="0"/>
            <c:spPr>
              <a:solidFill>
                <a:srgbClr val="4285F4"/>
              </a:solidFill>
              <a:ln cmpd="sng">
                <a:solidFill>
                  <a:srgbClr val="000000"/>
                </a:solidFill>
                <a:prstDash val="solid"/>
              </a:ln>
            </c:spPr>
          </c:dPt>
          <c:dPt>
            <c:idx val="731"/>
            <c:invertIfNegative val="1"/>
            <c:bubble3D val="0"/>
            <c:spPr>
              <a:solidFill>
                <a:srgbClr val="4285F4"/>
              </a:solidFill>
              <a:ln cmpd="sng">
                <a:solidFill>
                  <a:srgbClr val="000000"/>
                </a:solidFill>
                <a:prstDash val="solid"/>
              </a:ln>
            </c:spPr>
          </c:dPt>
          <c:dPt>
            <c:idx val="732"/>
            <c:invertIfNegative val="1"/>
            <c:bubble3D val="0"/>
            <c:spPr>
              <a:solidFill>
                <a:srgbClr val="4285F4"/>
              </a:solidFill>
              <a:ln cmpd="sng">
                <a:solidFill>
                  <a:srgbClr val="000000"/>
                </a:solidFill>
                <a:prstDash val="solid"/>
              </a:ln>
            </c:spPr>
          </c:dPt>
          <c:dPt>
            <c:idx val="733"/>
            <c:invertIfNegative val="1"/>
            <c:bubble3D val="0"/>
            <c:spPr>
              <a:solidFill>
                <a:srgbClr val="4285F4"/>
              </a:solidFill>
              <a:ln cmpd="sng">
                <a:solidFill>
                  <a:srgbClr val="000000"/>
                </a:solidFill>
                <a:prstDash val="solid"/>
              </a:ln>
            </c:spPr>
          </c:dPt>
          <c:dPt>
            <c:idx val="734"/>
            <c:invertIfNegative val="1"/>
            <c:bubble3D val="0"/>
            <c:spPr>
              <a:solidFill>
                <a:srgbClr val="4285F4"/>
              </a:solidFill>
              <a:ln cmpd="sng">
                <a:solidFill>
                  <a:srgbClr val="000000"/>
                </a:solidFill>
                <a:prstDash val="solid"/>
              </a:ln>
            </c:spPr>
          </c:dPt>
          <c:dPt>
            <c:idx val="735"/>
            <c:invertIfNegative val="1"/>
            <c:bubble3D val="0"/>
            <c:spPr>
              <a:solidFill>
                <a:srgbClr val="4285F4"/>
              </a:solidFill>
              <a:ln cmpd="sng">
                <a:solidFill>
                  <a:srgbClr val="000000"/>
                </a:solidFill>
                <a:prstDash val="solid"/>
              </a:ln>
            </c:spPr>
          </c:dPt>
          <c:dPt>
            <c:idx val="736"/>
            <c:invertIfNegative val="1"/>
            <c:bubble3D val="0"/>
            <c:spPr>
              <a:solidFill>
                <a:srgbClr val="4285F4"/>
              </a:solidFill>
              <a:ln cmpd="sng">
                <a:solidFill>
                  <a:srgbClr val="000000"/>
                </a:solidFill>
                <a:prstDash val="solid"/>
              </a:ln>
            </c:spPr>
          </c:dPt>
          <c:dPt>
            <c:idx val="737"/>
            <c:invertIfNegative val="1"/>
            <c:bubble3D val="0"/>
            <c:spPr>
              <a:solidFill>
                <a:srgbClr val="4285F4"/>
              </a:solidFill>
              <a:ln cmpd="sng">
                <a:solidFill>
                  <a:srgbClr val="000000"/>
                </a:solidFill>
                <a:prstDash val="solid"/>
              </a:ln>
            </c:spPr>
          </c:dPt>
          <c:dPt>
            <c:idx val="738"/>
            <c:invertIfNegative val="1"/>
            <c:bubble3D val="0"/>
            <c:spPr>
              <a:solidFill>
                <a:srgbClr val="4285F4"/>
              </a:solidFill>
              <a:ln cmpd="sng">
                <a:solidFill>
                  <a:srgbClr val="000000"/>
                </a:solidFill>
                <a:prstDash val="solid"/>
              </a:ln>
            </c:spPr>
          </c:dPt>
          <c:dPt>
            <c:idx val="739"/>
            <c:invertIfNegative val="1"/>
            <c:bubble3D val="0"/>
            <c:spPr>
              <a:solidFill>
                <a:srgbClr val="4285F4"/>
              </a:solidFill>
              <a:ln cmpd="sng">
                <a:solidFill>
                  <a:srgbClr val="000000"/>
                </a:solidFill>
                <a:prstDash val="solid"/>
              </a:ln>
            </c:spPr>
          </c:dPt>
          <c:dPt>
            <c:idx val="740"/>
            <c:invertIfNegative val="1"/>
            <c:bubble3D val="0"/>
            <c:spPr>
              <a:solidFill>
                <a:srgbClr val="4285F4"/>
              </a:solidFill>
              <a:ln cmpd="sng">
                <a:solidFill>
                  <a:srgbClr val="000000"/>
                </a:solidFill>
                <a:prstDash val="solid"/>
              </a:ln>
            </c:spPr>
          </c:dPt>
          <c:dPt>
            <c:idx val="741"/>
            <c:invertIfNegative val="1"/>
            <c:bubble3D val="0"/>
            <c:spPr>
              <a:solidFill>
                <a:srgbClr val="4285F4"/>
              </a:solidFill>
              <a:ln cmpd="sng">
                <a:solidFill>
                  <a:srgbClr val="000000"/>
                </a:solidFill>
                <a:prstDash val="solid"/>
              </a:ln>
            </c:spPr>
          </c:dPt>
          <c:dPt>
            <c:idx val="742"/>
            <c:invertIfNegative val="1"/>
            <c:bubble3D val="0"/>
            <c:spPr>
              <a:solidFill>
                <a:srgbClr val="4285F4"/>
              </a:solidFill>
              <a:ln cmpd="sng">
                <a:solidFill>
                  <a:srgbClr val="000000"/>
                </a:solidFill>
                <a:prstDash val="solid"/>
              </a:ln>
            </c:spPr>
          </c:dPt>
          <c:dPt>
            <c:idx val="743"/>
            <c:invertIfNegative val="1"/>
            <c:bubble3D val="0"/>
            <c:spPr>
              <a:solidFill>
                <a:srgbClr val="4285F4"/>
              </a:solidFill>
              <a:ln cmpd="sng">
                <a:solidFill>
                  <a:srgbClr val="000000"/>
                </a:solidFill>
                <a:prstDash val="solid"/>
              </a:ln>
            </c:spPr>
          </c:dPt>
          <c:dPt>
            <c:idx val="744"/>
            <c:invertIfNegative val="1"/>
            <c:bubble3D val="0"/>
            <c:spPr>
              <a:solidFill>
                <a:srgbClr val="4285F4"/>
              </a:solidFill>
              <a:ln cmpd="sng">
                <a:solidFill>
                  <a:srgbClr val="000000"/>
                </a:solidFill>
                <a:prstDash val="solid"/>
              </a:ln>
            </c:spPr>
          </c:dPt>
          <c:dPt>
            <c:idx val="745"/>
            <c:invertIfNegative val="1"/>
            <c:bubble3D val="0"/>
            <c:spPr>
              <a:solidFill>
                <a:srgbClr val="4285F4"/>
              </a:solidFill>
              <a:ln cmpd="sng">
                <a:solidFill>
                  <a:srgbClr val="000000"/>
                </a:solidFill>
                <a:prstDash val="solid"/>
              </a:ln>
            </c:spPr>
          </c:dPt>
          <c:dPt>
            <c:idx val="746"/>
            <c:invertIfNegative val="1"/>
            <c:bubble3D val="0"/>
            <c:spPr>
              <a:solidFill>
                <a:srgbClr val="4285F4"/>
              </a:solidFill>
              <a:ln cmpd="sng">
                <a:solidFill>
                  <a:srgbClr val="000000"/>
                </a:solidFill>
                <a:prstDash val="solid"/>
              </a:ln>
            </c:spPr>
          </c:dPt>
          <c:dPt>
            <c:idx val="747"/>
            <c:invertIfNegative val="1"/>
            <c:bubble3D val="0"/>
            <c:spPr>
              <a:solidFill>
                <a:srgbClr val="4285F4"/>
              </a:solidFill>
              <a:ln cmpd="sng">
                <a:solidFill>
                  <a:srgbClr val="000000"/>
                </a:solidFill>
                <a:prstDash val="solid"/>
              </a:ln>
            </c:spPr>
          </c:dPt>
          <c:dPt>
            <c:idx val="748"/>
            <c:invertIfNegative val="1"/>
            <c:bubble3D val="0"/>
            <c:spPr>
              <a:solidFill>
                <a:srgbClr val="4285F4"/>
              </a:solidFill>
              <a:ln cmpd="sng">
                <a:solidFill>
                  <a:srgbClr val="000000"/>
                </a:solidFill>
                <a:prstDash val="solid"/>
              </a:ln>
            </c:spPr>
          </c:dPt>
          <c:dPt>
            <c:idx val="749"/>
            <c:invertIfNegative val="1"/>
            <c:bubble3D val="0"/>
            <c:spPr>
              <a:solidFill>
                <a:srgbClr val="4285F4"/>
              </a:solidFill>
              <a:ln cmpd="sng">
                <a:solidFill>
                  <a:srgbClr val="000000"/>
                </a:solidFill>
                <a:prstDash val="solid"/>
              </a:ln>
            </c:spPr>
          </c:dPt>
          <c:dPt>
            <c:idx val="750"/>
            <c:invertIfNegative val="1"/>
            <c:bubble3D val="0"/>
            <c:spPr>
              <a:solidFill>
                <a:srgbClr val="4285F4"/>
              </a:solidFill>
              <a:ln cmpd="sng">
                <a:solidFill>
                  <a:srgbClr val="000000"/>
                </a:solidFill>
                <a:prstDash val="solid"/>
              </a:ln>
            </c:spPr>
          </c:dPt>
          <c:dPt>
            <c:idx val="751"/>
            <c:invertIfNegative val="1"/>
            <c:bubble3D val="0"/>
            <c:spPr>
              <a:solidFill>
                <a:srgbClr val="4285F4"/>
              </a:solidFill>
              <a:ln cmpd="sng">
                <a:solidFill>
                  <a:srgbClr val="000000"/>
                </a:solidFill>
                <a:prstDash val="solid"/>
              </a:ln>
            </c:spPr>
          </c:dPt>
          <c:dPt>
            <c:idx val="752"/>
            <c:invertIfNegative val="1"/>
            <c:bubble3D val="0"/>
            <c:spPr>
              <a:solidFill>
                <a:srgbClr val="4285F4"/>
              </a:solidFill>
              <a:ln cmpd="sng">
                <a:solidFill>
                  <a:srgbClr val="000000"/>
                </a:solidFill>
                <a:prstDash val="solid"/>
              </a:ln>
            </c:spPr>
          </c:dPt>
          <c:dPt>
            <c:idx val="753"/>
            <c:invertIfNegative val="1"/>
            <c:bubble3D val="0"/>
            <c:spPr>
              <a:solidFill>
                <a:srgbClr val="4285F4"/>
              </a:solidFill>
              <a:ln cmpd="sng">
                <a:solidFill>
                  <a:srgbClr val="000000"/>
                </a:solidFill>
                <a:prstDash val="solid"/>
              </a:ln>
            </c:spPr>
          </c:dPt>
          <c:dPt>
            <c:idx val="754"/>
            <c:invertIfNegative val="1"/>
            <c:bubble3D val="0"/>
            <c:spPr>
              <a:solidFill>
                <a:srgbClr val="4285F4"/>
              </a:solidFill>
              <a:ln cmpd="sng">
                <a:solidFill>
                  <a:srgbClr val="000000"/>
                </a:solidFill>
                <a:prstDash val="solid"/>
              </a:ln>
            </c:spPr>
          </c:dPt>
          <c:dPt>
            <c:idx val="755"/>
            <c:invertIfNegative val="1"/>
            <c:bubble3D val="0"/>
            <c:spPr>
              <a:solidFill>
                <a:srgbClr val="4285F4"/>
              </a:solidFill>
              <a:ln cmpd="sng">
                <a:solidFill>
                  <a:srgbClr val="000000"/>
                </a:solidFill>
                <a:prstDash val="solid"/>
              </a:ln>
            </c:spPr>
          </c:dPt>
          <c:dPt>
            <c:idx val="756"/>
            <c:invertIfNegative val="1"/>
            <c:bubble3D val="0"/>
            <c:spPr>
              <a:solidFill>
                <a:srgbClr val="4285F4"/>
              </a:solidFill>
              <a:ln cmpd="sng">
                <a:solidFill>
                  <a:srgbClr val="000000"/>
                </a:solidFill>
                <a:prstDash val="solid"/>
              </a:ln>
            </c:spPr>
          </c:dPt>
          <c:dPt>
            <c:idx val="757"/>
            <c:invertIfNegative val="1"/>
            <c:bubble3D val="0"/>
            <c:spPr>
              <a:solidFill>
                <a:srgbClr val="4285F4"/>
              </a:solidFill>
              <a:ln cmpd="sng">
                <a:solidFill>
                  <a:srgbClr val="000000"/>
                </a:solidFill>
                <a:prstDash val="solid"/>
              </a:ln>
            </c:spPr>
          </c:dPt>
          <c:dPt>
            <c:idx val="758"/>
            <c:invertIfNegative val="1"/>
            <c:bubble3D val="0"/>
            <c:spPr>
              <a:solidFill>
                <a:srgbClr val="4285F4"/>
              </a:solidFill>
              <a:ln cmpd="sng">
                <a:solidFill>
                  <a:srgbClr val="000000"/>
                </a:solidFill>
                <a:prstDash val="solid"/>
              </a:ln>
            </c:spPr>
          </c:dPt>
          <c:dPt>
            <c:idx val="759"/>
            <c:invertIfNegative val="1"/>
            <c:bubble3D val="0"/>
            <c:spPr>
              <a:solidFill>
                <a:srgbClr val="4285F4"/>
              </a:solidFill>
              <a:ln cmpd="sng">
                <a:solidFill>
                  <a:srgbClr val="000000"/>
                </a:solidFill>
                <a:prstDash val="solid"/>
              </a:ln>
            </c:spPr>
          </c:dPt>
          <c:dPt>
            <c:idx val="760"/>
            <c:invertIfNegative val="1"/>
            <c:bubble3D val="0"/>
            <c:spPr>
              <a:solidFill>
                <a:srgbClr val="4285F4"/>
              </a:solidFill>
              <a:ln cmpd="sng">
                <a:solidFill>
                  <a:srgbClr val="000000"/>
                </a:solidFill>
                <a:prstDash val="solid"/>
              </a:ln>
            </c:spPr>
          </c:dPt>
          <c:dPt>
            <c:idx val="761"/>
            <c:invertIfNegative val="1"/>
            <c:bubble3D val="0"/>
            <c:spPr>
              <a:solidFill>
                <a:srgbClr val="4285F4"/>
              </a:solidFill>
              <a:ln cmpd="sng">
                <a:solidFill>
                  <a:srgbClr val="000000"/>
                </a:solidFill>
                <a:prstDash val="solid"/>
              </a:ln>
            </c:spPr>
          </c:dPt>
          <c:dPt>
            <c:idx val="762"/>
            <c:invertIfNegative val="1"/>
            <c:bubble3D val="0"/>
            <c:spPr>
              <a:solidFill>
                <a:srgbClr val="4285F4"/>
              </a:solidFill>
              <a:ln cmpd="sng">
                <a:solidFill>
                  <a:srgbClr val="000000"/>
                </a:solidFill>
                <a:prstDash val="solid"/>
              </a:ln>
            </c:spPr>
          </c:dPt>
          <c:dPt>
            <c:idx val="763"/>
            <c:invertIfNegative val="1"/>
            <c:bubble3D val="0"/>
            <c:spPr>
              <a:solidFill>
                <a:srgbClr val="4285F4"/>
              </a:solidFill>
              <a:ln cmpd="sng">
                <a:solidFill>
                  <a:srgbClr val="000000"/>
                </a:solidFill>
                <a:prstDash val="solid"/>
              </a:ln>
            </c:spPr>
          </c:dPt>
          <c:dPt>
            <c:idx val="764"/>
            <c:invertIfNegative val="1"/>
            <c:bubble3D val="0"/>
            <c:spPr>
              <a:solidFill>
                <a:srgbClr val="4285F4"/>
              </a:solidFill>
              <a:ln cmpd="sng">
                <a:solidFill>
                  <a:srgbClr val="000000"/>
                </a:solidFill>
                <a:prstDash val="solid"/>
              </a:ln>
            </c:spPr>
          </c:dPt>
          <c:dPt>
            <c:idx val="765"/>
            <c:invertIfNegative val="1"/>
            <c:bubble3D val="0"/>
            <c:spPr>
              <a:solidFill>
                <a:srgbClr val="4285F4"/>
              </a:solidFill>
              <a:ln cmpd="sng">
                <a:solidFill>
                  <a:srgbClr val="000000"/>
                </a:solidFill>
                <a:prstDash val="solid"/>
              </a:ln>
            </c:spPr>
          </c:dPt>
          <c:dPt>
            <c:idx val="766"/>
            <c:invertIfNegative val="1"/>
            <c:bubble3D val="0"/>
            <c:spPr>
              <a:solidFill>
                <a:srgbClr val="4285F4"/>
              </a:solidFill>
              <a:ln cmpd="sng">
                <a:solidFill>
                  <a:srgbClr val="000000"/>
                </a:solidFill>
                <a:prstDash val="solid"/>
              </a:ln>
            </c:spPr>
          </c:dPt>
          <c:dPt>
            <c:idx val="767"/>
            <c:invertIfNegative val="1"/>
            <c:bubble3D val="0"/>
            <c:spPr>
              <a:solidFill>
                <a:srgbClr val="4285F4"/>
              </a:solidFill>
              <a:ln cmpd="sng">
                <a:solidFill>
                  <a:srgbClr val="000000"/>
                </a:solidFill>
                <a:prstDash val="solid"/>
              </a:ln>
            </c:spPr>
          </c:dPt>
          <c:dPt>
            <c:idx val="768"/>
            <c:invertIfNegative val="1"/>
            <c:bubble3D val="0"/>
            <c:spPr>
              <a:solidFill>
                <a:srgbClr val="4285F4"/>
              </a:solidFill>
              <a:ln cmpd="sng">
                <a:solidFill>
                  <a:srgbClr val="000000"/>
                </a:solidFill>
                <a:prstDash val="solid"/>
              </a:ln>
            </c:spPr>
          </c:dPt>
          <c:dPt>
            <c:idx val="769"/>
            <c:invertIfNegative val="1"/>
            <c:bubble3D val="0"/>
            <c:spPr>
              <a:solidFill>
                <a:srgbClr val="4285F4"/>
              </a:solidFill>
              <a:ln cmpd="sng">
                <a:solidFill>
                  <a:srgbClr val="000000"/>
                </a:solidFill>
                <a:prstDash val="solid"/>
              </a:ln>
            </c:spPr>
          </c:dPt>
          <c:dPt>
            <c:idx val="770"/>
            <c:invertIfNegative val="1"/>
            <c:bubble3D val="0"/>
            <c:spPr>
              <a:solidFill>
                <a:srgbClr val="4285F4"/>
              </a:solidFill>
              <a:ln cmpd="sng">
                <a:solidFill>
                  <a:srgbClr val="000000"/>
                </a:solidFill>
                <a:prstDash val="solid"/>
              </a:ln>
            </c:spPr>
          </c:dPt>
          <c:dPt>
            <c:idx val="771"/>
            <c:invertIfNegative val="1"/>
            <c:bubble3D val="0"/>
            <c:spPr>
              <a:solidFill>
                <a:srgbClr val="4285F4"/>
              </a:solidFill>
              <a:ln cmpd="sng">
                <a:solidFill>
                  <a:srgbClr val="000000"/>
                </a:solidFill>
                <a:prstDash val="solid"/>
              </a:ln>
            </c:spPr>
          </c:dPt>
          <c:dPt>
            <c:idx val="772"/>
            <c:invertIfNegative val="1"/>
            <c:bubble3D val="0"/>
            <c:spPr>
              <a:solidFill>
                <a:srgbClr val="4285F4"/>
              </a:solidFill>
              <a:ln cmpd="sng">
                <a:solidFill>
                  <a:srgbClr val="000000"/>
                </a:solidFill>
                <a:prstDash val="solid"/>
              </a:ln>
            </c:spPr>
          </c:dPt>
          <c:dPt>
            <c:idx val="773"/>
            <c:invertIfNegative val="1"/>
            <c:bubble3D val="0"/>
            <c:spPr>
              <a:solidFill>
                <a:srgbClr val="4285F4"/>
              </a:solidFill>
              <a:ln cmpd="sng">
                <a:solidFill>
                  <a:srgbClr val="000000"/>
                </a:solidFill>
                <a:prstDash val="solid"/>
              </a:ln>
            </c:spPr>
          </c:dPt>
          <c:dPt>
            <c:idx val="774"/>
            <c:invertIfNegative val="1"/>
            <c:bubble3D val="0"/>
            <c:spPr>
              <a:solidFill>
                <a:srgbClr val="4285F4"/>
              </a:solidFill>
              <a:ln cmpd="sng">
                <a:solidFill>
                  <a:srgbClr val="000000"/>
                </a:solidFill>
                <a:prstDash val="solid"/>
              </a:ln>
            </c:spPr>
          </c:dPt>
          <c:dPt>
            <c:idx val="775"/>
            <c:invertIfNegative val="1"/>
            <c:bubble3D val="0"/>
            <c:spPr>
              <a:solidFill>
                <a:srgbClr val="4285F4"/>
              </a:solidFill>
              <a:ln cmpd="sng">
                <a:solidFill>
                  <a:srgbClr val="000000"/>
                </a:solidFill>
                <a:prstDash val="solid"/>
              </a:ln>
            </c:spPr>
          </c:dPt>
          <c:dPt>
            <c:idx val="776"/>
            <c:invertIfNegative val="1"/>
            <c:bubble3D val="0"/>
            <c:spPr>
              <a:solidFill>
                <a:srgbClr val="4285F4"/>
              </a:solidFill>
              <a:ln cmpd="sng">
                <a:solidFill>
                  <a:srgbClr val="000000"/>
                </a:solidFill>
                <a:prstDash val="solid"/>
              </a:ln>
            </c:spPr>
          </c:dPt>
          <c:dPt>
            <c:idx val="777"/>
            <c:invertIfNegative val="1"/>
            <c:bubble3D val="0"/>
            <c:spPr>
              <a:solidFill>
                <a:srgbClr val="4285F4"/>
              </a:solidFill>
              <a:ln cmpd="sng">
                <a:solidFill>
                  <a:srgbClr val="000000"/>
                </a:solidFill>
                <a:prstDash val="solid"/>
              </a:ln>
            </c:spPr>
          </c:dPt>
          <c:dPt>
            <c:idx val="778"/>
            <c:invertIfNegative val="1"/>
            <c:bubble3D val="0"/>
            <c:spPr>
              <a:solidFill>
                <a:srgbClr val="4285F4"/>
              </a:solidFill>
              <a:ln cmpd="sng">
                <a:solidFill>
                  <a:srgbClr val="000000"/>
                </a:solidFill>
                <a:prstDash val="solid"/>
              </a:ln>
            </c:spPr>
          </c:dPt>
          <c:dPt>
            <c:idx val="779"/>
            <c:invertIfNegative val="1"/>
            <c:bubble3D val="0"/>
            <c:spPr>
              <a:solidFill>
                <a:srgbClr val="4285F4"/>
              </a:solidFill>
              <a:ln cmpd="sng">
                <a:solidFill>
                  <a:srgbClr val="000000"/>
                </a:solidFill>
                <a:prstDash val="solid"/>
              </a:ln>
            </c:spPr>
          </c:dPt>
          <c:dPt>
            <c:idx val="780"/>
            <c:invertIfNegative val="1"/>
            <c:bubble3D val="0"/>
            <c:spPr>
              <a:solidFill>
                <a:srgbClr val="4285F4"/>
              </a:solidFill>
              <a:ln cmpd="sng">
                <a:solidFill>
                  <a:srgbClr val="000000"/>
                </a:solidFill>
                <a:prstDash val="solid"/>
              </a:ln>
            </c:spPr>
          </c:dPt>
          <c:dPt>
            <c:idx val="781"/>
            <c:invertIfNegative val="1"/>
            <c:bubble3D val="0"/>
            <c:spPr>
              <a:solidFill>
                <a:srgbClr val="4285F4"/>
              </a:solidFill>
              <a:ln cmpd="sng">
                <a:solidFill>
                  <a:srgbClr val="000000"/>
                </a:solidFill>
                <a:prstDash val="solid"/>
              </a:ln>
            </c:spPr>
          </c:dPt>
          <c:dPt>
            <c:idx val="782"/>
            <c:invertIfNegative val="1"/>
            <c:bubble3D val="0"/>
            <c:spPr>
              <a:solidFill>
                <a:srgbClr val="4285F4"/>
              </a:solidFill>
              <a:ln cmpd="sng">
                <a:solidFill>
                  <a:srgbClr val="000000"/>
                </a:solidFill>
                <a:prstDash val="solid"/>
              </a:ln>
            </c:spPr>
          </c:dPt>
          <c:dPt>
            <c:idx val="783"/>
            <c:invertIfNegative val="1"/>
            <c:bubble3D val="0"/>
            <c:spPr>
              <a:solidFill>
                <a:srgbClr val="4285F4"/>
              </a:solidFill>
              <a:ln cmpd="sng">
                <a:solidFill>
                  <a:srgbClr val="000000"/>
                </a:solidFill>
                <a:prstDash val="solid"/>
              </a:ln>
            </c:spPr>
          </c:dPt>
          <c:dPt>
            <c:idx val="784"/>
            <c:invertIfNegative val="1"/>
            <c:bubble3D val="0"/>
            <c:spPr>
              <a:solidFill>
                <a:srgbClr val="4285F4"/>
              </a:solidFill>
              <a:ln cmpd="sng">
                <a:solidFill>
                  <a:srgbClr val="000000"/>
                </a:solidFill>
                <a:prstDash val="solid"/>
              </a:ln>
            </c:spPr>
          </c:dPt>
          <c:dPt>
            <c:idx val="785"/>
            <c:invertIfNegative val="1"/>
            <c:bubble3D val="0"/>
            <c:spPr>
              <a:solidFill>
                <a:srgbClr val="4285F4"/>
              </a:solidFill>
              <a:ln cmpd="sng">
                <a:solidFill>
                  <a:srgbClr val="000000"/>
                </a:solidFill>
                <a:prstDash val="solid"/>
              </a:ln>
            </c:spPr>
          </c:dPt>
          <c:dPt>
            <c:idx val="786"/>
            <c:invertIfNegative val="1"/>
            <c:bubble3D val="0"/>
            <c:spPr>
              <a:solidFill>
                <a:srgbClr val="4285F4"/>
              </a:solidFill>
              <a:ln cmpd="sng">
                <a:solidFill>
                  <a:srgbClr val="000000"/>
                </a:solidFill>
                <a:prstDash val="solid"/>
              </a:ln>
            </c:spPr>
          </c:dPt>
          <c:dPt>
            <c:idx val="787"/>
            <c:invertIfNegative val="1"/>
            <c:bubble3D val="0"/>
            <c:spPr>
              <a:solidFill>
                <a:srgbClr val="4285F4"/>
              </a:solidFill>
              <a:ln cmpd="sng">
                <a:solidFill>
                  <a:srgbClr val="000000"/>
                </a:solidFill>
                <a:prstDash val="solid"/>
              </a:ln>
            </c:spPr>
          </c:dPt>
          <c:dPt>
            <c:idx val="788"/>
            <c:invertIfNegative val="1"/>
            <c:bubble3D val="0"/>
            <c:spPr>
              <a:solidFill>
                <a:srgbClr val="4285F4"/>
              </a:solidFill>
              <a:ln cmpd="sng">
                <a:solidFill>
                  <a:srgbClr val="000000"/>
                </a:solidFill>
                <a:prstDash val="solid"/>
              </a:ln>
            </c:spPr>
          </c:dPt>
          <c:dPt>
            <c:idx val="789"/>
            <c:invertIfNegative val="1"/>
            <c:bubble3D val="0"/>
            <c:spPr>
              <a:solidFill>
                <a:srgbClr val="4285F4"/>
              </a:solidFill>
              <a:ln cmpd="sng">
                <a:solidFill>
                  <a:srgbClr val="000000"/>
                </a:solidFill>
                <a:prstDash val="solid"/>
              </a:ln>
            </c:spPr>
          </c:dPt>
          <c:dPt>
            <c:idx val="790"/>
            <c:invertIfNegative val="1"/>
            <c:bubble3D val="0"/>
            <c:spPr>
              <a:solidFill>
                <a:srgbClr val="4285F4"/>
              </a:solidFill>
              <a:ln cmpd="sng">
                <a:solidFill>
                  <a:srgbClr val="000000"/>
                </a:solidFill>
                <a:prstDash val="solid"/>
              </a:ln>
            </c:spPr>
          </c:dPt>
          <c:dPt>
            <c:idx val="791"/>
            <c:invertIfNegative val="1"/>
            <c:bubble3D val="0"/>
            <c:spPr>
              <a:solidFill>
                <a:srgbClr val="4285F4"/>
              </a:solidFill>
              <a:ln cmpd="sng">
                <a:solidFill>
                  <a:srgbClr val="000000"/>
                </a:solidFill>
                <a:prstDash val="solid"/>
              </a:ln>
            </c:spPr>
          </c:dPt>
          <c:dPt>
            <c:idx val="792"/>
            <c:invertIfNegative val="1"/>
            <c:bubble3D val="0"/>
            <c:spPr>
              <a:solidFill>
                <a:srgbClr val="4285F4"/>
              </a:solidFill>
              <a:ln cmpd="sng">
                <a:solidFill>
                  <a:srgbClr val="000000"/>
                </a:solidFill>
                <a:prstDash val="solid"/>
              </a:ln>
            </c:spPr>
          </c:dPt>
          <c:dPt>
            <c:idx val="793"/>
            <c:invertIfNegative val="1"/>
            <c:bubble3D val="0"/>
            <c:spPr>
              <a:solidFill>
                <a:srgbClr val="4285F4"/>
              </a:solidFill>
              <a:ln cmpd="sng">
                <a:solidFill>
                  <a:srgbClr val="000000"/>
                </a:solidFill>
                <a:prstDash val="solid"/>
              </a:ln>
            </c:spPr>
          </c:dPt>
          <c:dPt>
            <c:idx val="794"/>
            <c:invertIfNegative val="1"/>
            <c:bubble3D val="0"/>
            <c:spPr>
              <a:solidFill>
                <a:srgbClr val="4285F4"/>
              </a:solidFill>
              <a:ln cmpd="sng">
                <a:solidFill>
                  <a:srgbClr val="000000"/>
                </a:solidFill>
                <a:prstDash val="solid"/>
              </a:ln>
            </c:spPr>
          </c:dPt>
          <c:dPt>
            <c:idx val="795"/>
            <c:invertIfNegative val="1"/>
            <c:bubble3D val="0"/>
            <c:spPr>
              <a:solidFill>
                <a:srgbClr val="4285F4"/>
              </a:solidFill>
              <a:ln cmpd="sng">
                <a:solidFill>
                  <a:srgbClr val="000000"/>
                </a:solidFill>
                <a:prstDash val="solid"/>
              </a:ln>
            </c:spPr>
          </c:dPt>
          <c:dPt>
            <c:idx val="796"/>
            <c:invertIfNegative val="1"/>
            <c:bubble3D val="0"/>
            <c:spPr>
              <a:solidFill>
                <a:srgbClr val="4285F4"/>
              </a:solidFill>
              <a:ln cmpd="sng">
                <a:solidFill>
                  <a:srgbClr val="000000"/>
                </a:solidFill>
                <a:prstDash val="solid"/>
              </a:ln>
            </c:spPr>
          </c:dPt>
          <c:dPt>
            <c:idx val="797"/>
            <c:invertIfNegative val="1"/>
            <c:bubble3D val="0"/>
            <c:spPr>
              <a:solidFill>
                <a:srgbClr val="4285F4"/>
              </a:solidFill>
              <a:ln cmpd="sng">
                <a:solidFill>
                  <a:srgbClr val="000000"/>
                </a:solidFill>
                <a:prstDash val="solid"/>
              </a:ln>
            </c:spPr>
          </c:dPt>
          <c:dPt>
            <c:idx val="798"/>
            <c:invertIfNegative val="1"/>
            <c:bubble3D val="0"/>
            <c:spPr>
              <a:solidFill>
                <a:srgbClr val="4285F4"/>
              </a:solidFill>
              <a:ln cmpd="sng">
                <a:solidFill>
                  <a:srgbClr val="000000"/>
                </a:solidFill>
                <a:prstDash val="solid"/>
              </a:ln>
            </c:spPr>
          </c:dPt>
          <c:dPt>
            <c:idx val="799"/>
            <c:invertIfNegative val="1"/>
            <c:bubble3D val="0"/>
            <c:spPr>
              <a:solidFill>
                <a:srgbClr val="4285F4"/>
              </a:solidFill>
              <a:ln cmpd="sng">
                <a:solidFill>
                  <a:srgbClr val="000000"/>
                </a:solidFill>
                <a:prstDash val="solid"/>
              </a:ln>
            </c:spPr>
          </c:dPt>
          <c:dPt>
            <c:idx val="800"/>
            <c:invertIfNegative val="1"/>
            <c:bubble3D val="0"/>
            <c:spPr>
              <a:solidFill>
                <a:srgbClr val="4285F4"/>
              </a:solidFill>
              <a:ln cmpd="sng">
                <a:solidFill>
                  <a:srgbClr val="000000"/>
                </a:solidFill>
                <a:prstDash val="solid"/>
              </a:ln>
            </c:spPr>
          </c:dPt>
          <c:dPt>
            <c:idx val="801"/>
            <c:invertIfNegative val="1"/>
            <c:bubble3D val="0"/>
            <c:spPr>
              <a:solidFill>
                <a:srgbClr val="4285F4"/>
              </a:solidFill>
              <a:ln cmpd="sng">
                <a:solidFill>
                  <a:srgbClr val="000000"/>
                </a:solidFill>
                <a:prstDash val="solid"/>
              </a:ln>
            </c:spPr>
          </c:dPt>
          <c:dPt>
            <c:idx val="802"/>
            <c:invertIfNegative val="1"/>
            <c:bubble3D val="0"/>
            <c:spPr>
              <a:solidFill>
                <a:srgbClr val="4285F4"/>
              </a:solidFill>
              <a:ln cmpd="sng">
                <a:solidFill>
                  <a:srgbClr val="000000"/>
                </a:solidFill>
                <a:prstDash val="solid"/>
              </a:ln>
            </c:spPr>
          </c:dPt>
          <c:dPt>
            <c:idx val="803"/>
            <c:invertIfNegative val="1"/>
            <c:bubble3D val="0"/>
            <c:spPr>
              <a:solidFill>
                <a:srgbClr val="4285F4"/>
              </a:solidFill>
              <a:ln cmpd="sng">
                <a:solidFill>
                  <a:srgbClr val="000000"/>
                </a:solidFill>
                <a:prstDash val="solid"/>
              </a:ln>
            </c:spPr>
          </c:dPt>
          <c:dPt>
            <c:idx val="804"/>
            <c:invertIfNegative val="1"/>
            <c:bubble3D val="0"/>
            <c:spPr>
              <a:solidFill>
                <a:srgbClr val="4285F4"/>
              </a:solidFill>
              <a:ln cmpd="sng">
                <a:solidFill>
                  <a:srgbClr val="000000"/>
                </a:solidFill>
                <a:prstDash val="solid"/>
              </a:ln>
            </c:spPr>
          </c:dPt>
          <c:dPt>
            <c:idx val="805"/>
            <c:invertIfNegative val="1"/>
            <c:bubble3D val="0"/>
            <c:spPr>
              <a:solidFill>
                <a:srgbClr val="4285F4"/>
              </a:solidFill>
              <a:ln cmpd="sng">
                <a:solidFill>
                  <a:srgbClr val="000000"/>
                </a:solidFill>
                <a:prstDash val="solid"/>
              </a:ln>
            </c:spPr>
          </c:dPt>
          <c:dPt>
            <c:idx val="806"/>
            <c:invertIfNegative val="1"/>
            <c:bubble3D val="0"/>
            <c:spPr>
              <a:solidFill>
                <a:srgbClr val="4285F4"/>
              </a:solidFill>
              <a:ln cmpd="sng">
                <a:solidFill>
                  <a:srgbClr val="000000"/>
                </a:solidFill>
                <a:prstDash val="solid"/>
              </a:ln>
            </c:spPr>
          </c:dPt>
          <c:dPt>
            <c:idx val="807"/>
            <c:invertIfNegative val="1"/>
            <c:bubble3D val="0"/>
            <c:spPr>
              <a:solidFill>
                <a:srgbClr val="4285F4"/>
              </a:solidFill>
              <a:ln cmpd="sng">
                <a:solidFill>
                  <a:srgbClr val="000000"/>
                </a:solidFill>
                <a:prstDash val="solid"/>
              </a:ln>
            </c:spPr>
          </c:dPt>
          <c:dPt>
            <c:idx val="808"/>
            <c:invertIfNegative val="1"/>
            <c:bubble3D val="0"/>
            <c:spPr>
              <a:solidFill>
                <a:srgbClr val="4285F4"/>
              </a:solidFill>
              <a:ln cmpd="sng">
                <a:solidFill>
                  <a:srgbClr val="000000"/>
                </a:solidFill>
                <a:prstDash val="solid"/>
              </a:ln>
            </c:spPr>
          </c:dPt>
          <c:dPt>
            <c:idx val="809"/>
            <c:invertIfNegative val="1"/>
            <c:bubble3D val="0"/>
            <c:spPr>
              <a:solidFill>
                <a:srgbClr val="4285F4"/>
              </a:solidFill>
              <a:ln cmpd="sng">
                <a:solidFill>
                  <a:srgbClr val="000000"/>
                </a:solidFill>
                <a:prstDash val="solid"/>
              </a:ln>
            </c:spPr>
          </c:dPt>
          <c:dPt>
            <c:idx val="810"/>
            <c:invertIfNegative val="1"/>
            <c:bubble3D val="0"/>
            <c:spPr>
              <a:solidFill>
                <a:srgbClr val="4285F4"/>
              </a:solidFill>
              <a:ln cmpd="sng">
                <a:solidFill>
                  <a:srgbClr val="000000"/>
                </a:solidFill>
                <a:prstDash val="solid"/>
              </a:ln>
            </c:spPr>
          </c:dPt>
          <c:dPt>
            <c:idx val="811"/>
            <c:invertIfNegative val="1"/>
            <c:bubble3D val="0"/>
            <c:spPr>
              <a:solidFill>
                <a:srgbClr val="4285F4"/>
              </a:solidFill>
              <a:ln cmpd="sng">
                <a:solidFill>
                  <a:srgbClr val="000000"/>
                </a:solidFill>
                <a:prstDash val="solid"/>
              </a:ln>
            </c:spPr>
          </c:dPt>
          <c:dPt>
            <c:idx val="812"/>
            <c:invertIfNegative val="1"/>
            <c:bubble3D val="0"/>
            <c:spPr>
              <a:solidFill>
                <a:srgbClr val="4285F4"/>
              </a:solidFill>
              <a:ln cmpd="sng">
                <a:solidFill>
                  <a:srgbClr val="000000"/>
                </a:solidFill>
                <a:prstDash val="solid"/>
              </a:ln>
            </c:spPr>
          </c:dPt>
          <c:dPt>
            <c:idx val="813"/>
            <c:invertIfNegative val="1"/>
            <c:bubble3D val="0"/>
            <c:spPr>
              <a:solidFill>
                <a:srgbClr val="4285F4"/>
              </a:solidFill>
              <a:ln cmpd="sng">
                <a:solidFill>
                  <a:srgbClr val="000000"/>
                </a:solidFill>
                <a:prstDash val="solid"/>
              </a:ln>
            </c:spPr>
          </c:dPt>
          <c:dPt>
            <c:idx val="814"/>
            <c:invertIfNegative val="1"/>
            <c:bubble3D val="0"/>
            <c:spPr>
              <a:solidFill>
                <a:srgbClr val="4285F4"/>
              </a:solidFill>
              <a:ln cmpd="sng">
                <a:solidFill>
                  <a:srgbClr val="000000"/>
                </a:solidFill>
                <a:prstDash val="solid"/>
              </a:ln>
            </c:spPr>
          </c:dPt>
          <c:dPt>
            <c:idx val="815"/>
            <c:invertIfNegative val="1"/>
            <c:bubble3D val="0"/>
            <c:spPr>
              <a:solidFill>
                <a:srgbClr val="4285F4"/>
              </a:solidFill>
              <a:ln cmpd="sng">
                <a:solidFill>
                  <a:srgbClr val="000000"/>
                </a:solidFill>
                <a:prstDash val="solid"/>
              </a:ln>
            </c:spPr>
          </c:dPt>
          <c:dPt>
            <c:idx val="816"/>
            <c:invertIfNegative val="1"/>
            <c:bubble3D val="0"/>
            <c:spPr>
              <a:solidFill>
                <a:srgbClr val="4285F4"/>
              </a:solidFill>
              <a:ln cmpd="sng">
                <a:solidFill>
                  <a:srgbClr val="000000"/>
                </a:solidFill>
                <a:prstDash val="solid"/>
              </a:ln>
            </c:spPr>
          </c:dPt>
          <c:dPt>
            <c:idx val="817"/>
            <c:invertIfNegative val="1"/>
            <c:bubble3D val="0"/>
            <c:spPr>
              <a:solidFill>
                <a:srgbClr val="4285F4"/>
              </a:solidFill>
              <a:ln cmpd="sng">
                <a:solidFill>
                  <a:srgbClr val="000000"/>
                </a:solidFill>
                <a:prstDash val="solid"/>
              </a:ln>
            </c:spPr>
          </c:dPt>
          <c:dPt>
            <c:idx val="818"/>
            <c:invertIfNegative val="1"/>
            <c:bubble3D val="0"/>
            <c:spPr>
              <a:solidFill>
                <a:srgbClr val="4285F4"/>
              </a:solidFill>
              <a:ln cmpd="sng">
                <a:solidFill>
                  <a:srgbClr val="000000"/>
                </a:solidFill>
                <a:prstDash val="solid"/>
              </a:ln>
            </c:spPr>
          </c:dPt>
          <c:dPt>
            <c:idx val="819"/>
            <c:invertIfNegative val="1"/>
            <c:bubble3D val="0"/>
            <c:spPr>
              <a:solidFill>
                <a:srgbClr val="4285F4"/>
              </a:solidFill>
              <a:ln cmpd="sng">
                <a:solidFill>
                  <a:srgbClr val="000000"/>
                </a:solidFill>
                <a:prstDash val="solid"/>
              </a:ln>
            </c:spPr>
          </c:dPt>
          <c:dPt>
            <c:idx val="820"/>
            <c:invertIfNegative val="1"/>
            <c:bubble3D val="0"/>
            <c:spPr>
              <a:solidFill>
                <a:srgbClr val="4285F4"/>
              </a:solidFill>
              <a:ln cmpd="sng">
                <a:solidFill>
                  <a:srgbClr val="000000"/>
                </a:solidFill>
                <a:prstDash val="solid"/>
              </a:ln>
            </c:spPr>
          </c:dPt>
          <c:dPt>
            <c:idx val="821"/>
            <c:invertIfNegative val="1"/>
            <c:bubble3D val="0"/>
            <c:spPr>
              <a:solidFill>
                <a:srgbClr val="4285F4"/>
              </a:solidFill>
              <a:ln cmpd="sng">
                <a:solidFill>
                  <a:srgbClr val="000000"/>
                </a:solidFill>
                <a:prstDash val="solid"/>
              </a:ln>
            </c:spPr>
          </c:dPt>
          <c:dPt>
            <c:idx val="822"/>
            <c:invertIfNegative val="1"/>
            <c:bubble3D val="0"/>
            <c:spPr>
              <a:solidFill>
                <a:srgbClr val="4285F4"/>
              </a:solidFill>
              <a:ln cmpd="sng">
                <a:solidFill>
                  <a:srgbClr val="000000"/>
                </a:solidFill>
                <a:prstDash val="solid"/>
              </a:ln>
            </c:spPr>
          </c:dPt>
          <c:dPt>
            <c:idx val="823"/>
            <c:invertIfNegative val="1"/>
            <c:bubble3D val="0"/>
            <c:spPr>
              <a:solidFill>
                <a:srgbClr val="4285F4"/>
              </a:solidFill>
              <a:ln cmpd="sng">
                <a:solidFill>
                  <a:srgbClr val="000000"/>
                </a:solidFill>
                <a:prstDash val="solid"/>
              </a:ln>
            </c:spPr>
          </c:dPt>
          <c:dPt>
            <c:idx val="824"/>
            <c:invertIfNegative val="1"/>
            <c:bubble3D val="0"/>
            <c:spPr>
              <a:solidFill>
                <a:srgbClr val="4285F4"/>
              </a:solidFill>
              <a:ln cmpd="sng">
                <a:solidFill>
                  <a:srgbClr val="000000"/>
                </a:solidFill>
                <a:prstDash val="solid"/>
              </a:ln>
            </c:spPr>
          </c:dPt>
          <c:dPt>
            <c:idx val="825"/>
            <c:invertIfNegative val="1"/>
            <c:bubble3D val="0"/>
            <c:spPr>
              <a:solidFill>
                <a:srgbClr val="4285F4"/>
              </a:solidFill>
              <a:ln cmpd="sng">
                <a:solidFill>
                  <a:srgbClr val="000000"/>
                </a:solidFill>
                <a:prstDash val="solid"/>
              </a:ln>
            </c:spPr>
          </c:dPt>
          <c:dPt>
            <c:idx val="826"/>
            <c:invertIfNegative val="1"/>
            <c:bubble3D val="0"/>
            <c:spPr>
              <a:solidFill>
                <a:srgbClr val="4285F4"/>
              </a:solidFill>
              <a:ln cmpd="sng">
                <a:solidFill>
                  <a:srgbClr val="000000"/>
                </a:solidFill>
                <a:prstDash val="solid"/>
              </a:ln>
            </c:spPr>
          </c:dPt>
          <c:dPt>
            <c:idx val="827"/>
            <c:invertIfNegative val="1"/>
            <c:bubble3D val="0"/>
            <c:spPr>
              <a:solidFill>
                <a:srgbClr val="4285F4"/>
              </a:solidFill>
              <a:ln cmpd="sng">
                <a:solidFill>
                  <a:srgbClr val="000000"/>
                </a:solidFill>
                <a:prstDash val="solid"/>
              </a:ln>
            </c:spPr>
          </c:dPt>
          <c:dPt>
            <c:idx val="828"/>
            <c:invertIfNegative val="1"/>
            <c:bubble3D val="0"/>
            <c:spPr>
              <a:solidFill>
                <a:srgbClr val="4285F4"/>
              </a:solidFill>
              <a:ln cmpd="sng">
                <a:solidFill>
                  <a:srgbClr val="000000"/>
                </a:solidFill>
                <a:prstDash val="solid"/>
              </a:ln>
            </c:spPr>
          </c:dPt>
          <c:dPt>
            <c:idx val="829"/>
            <c:invertIfNegative val="1"/>
            <c:bubble3D val="0"/>
            <c:spPr>
              <a:solidFill>
                <a:srgbClr val="4285F4"/>
              </a:solidFill>
              <a:ln cmpd="sng">
                <a:solidFill>
                  <a:srgbClr val="000000"/>
                </a:solidFill>
                <a:prstDash val="solid"/>
              </a:ln>
            </c:spPr>
          </c:dPt>
          <c:dPt>
            <c:idx val="830"/>
            <c:invertIfNegative val="1"/>
            <c:bubble3D val="0"/>
            <c:spPr>
              <a:solidFill>
                <a:srgbClr val="4285F4"/>
              </a:solidFill>
              <a:ln cmpd="sng">
                <a:solidFill>
                  <a:srgbClr val="000000"/>
                </a:solidFill>
                <a:prstDash val="solid"/>
              </a:ln>
            </c:spPr>
          </c:dPt>
          <c:dPt>
            <c:idx val="831"/>
            <c:invertIfNegative val="1"/>
            <c:bubble3D val="0"/>
            <c:spPr>
              <a:solidFill>
                <a:srgbClr val="4285F4"/>
              </a:solidFill>
              <a:ln cmpd="sng">
                <a:solidFill>
                  <a:srgbClr val="000000"/>
                </a:solidFill>
                <a:prstDash val="solid"/>
              </a:ln>
            </c:spPr>
          </c:dPt>
          <c:dPt>
            <c:idx val="832"/>
            <c:invertIfNegative val="1"/>
            <c:bubble3D val="0"/>
            <c:spPr>
              <a:solidFill>
                <a:srgbClr val="4285F4"/>
              </a:solidFill>
              <a:ln cmpd="sng">
                <a:solidFill>
                  <a:srgbClr val="000000"/>
                </a:solidFill>
                <a:prstDash val="solid"/>
              </a:ln>
            </c:spPr>
          </c:dPt>
          <c:dPt>
            <c:idx val="833"/>
            <c:invertIfNegative val="1"/>
            <c:bubble3D val="0"/>
            <c:spPr>
              <a:solidFill>
                <a:srgbClr val="4285F4"/>
              </a:solidFill>
              <a:ln cmpd="sng">
                <a:solidFill>
                  <a:srgbClr val="000000"/>
                </a:solidFill>
                <a:prstDash val="solid"/>
              </a:ln>
            </c:spPr>
          </c:dPt>
          <c:dPt>
            <c:idx val="834"/>
            <c:invertIfNegative val="1"/>
            <c:bubble3D val="0"/>
            <c:spPr>
              <a:solidFill>
                <a:srgbClr val="4285F4"/>
              </a:solidFill>
              <a:ln cmpd="sng">
                <a:solidFill>
                  <a:srgbClr val="000000"/>
                </a:solidFill>
                <a:prstDash val="solid"/>
              </a:ln>
            </c:spPr>
          </c:dPt>
          <c:dPt>
            <c:idx val="835"/>
            <c:invertIfNegative val="1"/>
            <c:bubble3D val="0"/>
            <c:spPr>
              <a:solidFill>
                <a:srgbClr val="4285F4"/>
              </a:solidFill>
              <a:ln cmpd="sng">
                <a:solidFill>
                  <a:srgbClr val="000000"/>
                </a:solidFill>
                <a:prstDash val="solid"/>
              </a:ln>
            </c:spPr>
          </c:dPt>
          <c:dPt>
            <c:idx val="836"/>
            <c:invertIfNegative val="1"/>
            <c:bubble3D val="0"/>
            <c:spPr>
              <a:solidFill>
                <a:srgbClr val="4285F4"/>
              </a:solidFill>
              <a:ln cmpd="sng">
                <a:solidFill>
                  <a:srgbClr val="000000"/>
                </a:solidFill>
                <a:prstDash val="solid"/>
              </a:ln>
            </c:spPr>
          </c:dPt>
          <c:dPt>
            <c:idx val="837"/>
            <c:invertIfNegative val="1"/>
            <c:bubble3D val="0"/>
            <c:spPr>
              <a:solidFill>
                <a:srgbClr val="4285F4"/>
              </a:solidFill>
              <a:ln cmpd="sng">
                <a:solidFill>
                  <a:srgbClr val="000000"/>
                </a:solidFill>
                <a:prstDash val="solid"/>
              </a:ln>
            </c:spPr>
          </c:dPt>
          <c:dPt>
            <c:idx val="838"/>
            <c:invertIfNegative val="1"/>
            <c:bubble3D val="0"/>
            <c:spPr>
              <a:solidFill>
                <a:srgbClr val="4285F4"/>
              </a:solidFill>
              <a:ln cmpd="sng">
                <a:solidFill>
                  <a:srgbClr val="000000"/>
                </a:solidFill>
                <a:prstDash val="solid"/>
              </a:ln>
            </c:spPr>
          </c:dPt>
          <c:dPt>
            <c:idx val="839"/>
            <c:invertIfNegative val="1"/>
            <c:bubble3D val="0"/>
            <c:spPr>
              <a:solidFill>
                <a:srgbClr val="4285F4"/>
              </a:solidFill>
              <a:ln cmpd="sng">
                <a:solidFill>
                  <a:srgbClr val="000000"/>
                </a:solidFill>
                <a:prstDash val="solid"/>
              </a:ln>
            </c:spPr>
          </c:dPt>
          <c:dPt>
            <c:idx val="840"/>
            <c:invertIfNegative val="1"/>
            <c:bubble3D val="0"/>
            <c:spPr>
              <a:solidFill>
                <a:srgbClr val="4285F4"/>
              </a:solidFill>
              <a:ln cmpd="sng">
                <a:solidFill>
                  <a:srgbClr val="000000"/>
                </a:solidFill>
                <a:prstDash val="solid"/>
              </a:ln>
            </c:spPr>
          </c:dPt>
          <c:dPt>
            <c:idx val="841"/>
            <c:invertIfNegative val="1"/>
            <c:bubble3D val="0"/>
            <c:spPr>
              <a:solidFill>
                <a:srgbClr val="4285F4"/>
              </a:solidFill>
              <a:ln cmpd="sng">
                <a:solidFill>
                  <a:srgbClr val="000000"/>
                </a:solidFill>
                <a:prstDash val="solid"/>
              </a:ln>
            </c:spPr>
          </c:dPt>
          <c:dPt>
            <c:idx val="842"/>
            <c:invertIfNegative val="1"/>
            <c:bubble3D val="0"/>
            <c:spPr>
              <a:solidFill>
                <a:srgbClr val="4285F4"/>
              </a:solidFill>
              <a:ln cmpd="sng">
                <a:solidFill>
                  <a:srgbClr val="000000"/>
                </a:solidFill>
                <a:prstDash val="solid"/>
              </a:ln>
            </c:spPr>
          </c:dPt>
          <c:dPt>
            <c:idx val="843"/>
            <c:invertIfNegative val="1"/>
            <c:bubble3D val="0"/>
            <c:spPr>
              <a:solidFill>
                <a:srgbClr val="4285F4"/>
              </a:solidFill>
              <a:ln cmpd="sng">
                <a:solidFill>
                  <a:srgbClr val="000000"/>
                </a:solidFill>
                <a:prstDash val="solid"/>
              </a:ln>
            </c:spPr>
          </c:dPt>
          <c:dPt>
            <c:idx val="844"/>
            <c:invertIfNegative val="1"/>
            <c:bubble3D val="0"/>
            <c:spPr>
              <a:solidFill>
                <a:srgbClr val="4285F4"/>
              </a:solidFill>
              <a:ln cmpd="sng">
                <a:solidFill>
                  <a:srgbClr val="000000"/>
                </a:solidFill>
                <a:prstDash val="solid"/>
              </a:ln>
            </c:spPr>
          </c:dPt>
          <c:dPt>
            <c:idx val="845"/>
            <c:invertIfNegative val="1"/>
            <c:bubble3D val="0"/>
            <c:spPr>
              <a:solidFill>
                <a:srgbClr val="4285F4"/>
              </a:solidFill>
              <a:ln cmpd="sng">
                <a:solidFill>
                  <a:srgbClr val="000000"/>
                </a:solidFill>
                <a:prstDash val="solid"/>
              </a:ln>
            </c:spPr>
          </c:dPt>
          <c:dPt>
            <c:idx val="846"/>
            <c:invertIfNegative val="1"/>
            <c:bubble3D val="0"/>
            <c:spPr>
              <a:solidFill>
                <a:srgbClr val="4285F4"/>
              </a:solidFill>
              <a:ln cmpd="sng">
                <a:solidFill>
                  <a:srgbClr val="000000"/>
                </a:solidFill>
                <a:prstDash val="solid"/>
              </a:ln>
            </c:spPr>
          </c:dPt>
          <c:dPt>
            <c:idx val="847"/>
            <c:invertIfNegative val="1"/>
            <c:bubble3D val="0"/>
            <c:spPr>
              <a:solidFill>
                <a:srgbClr val="4285F4"/>
              </a:solidFill>
              <a:ln cmpd="sng">
                <a:solidFill>
                  <a:srgbClr val="000000"/>
                </a:solidFill>
                <a:prstDash val="solid"/>
              </a:ln>
            </c:spPr>
          </c:dPt>
          <c:dPt>
            <c:idx val="848"/>
            <c:invertIfNegative val="1"/>
            <c:bubble3D val="0"/>
            <c:spPr>
              <a:solidFill>
                <a:srgbClr val="4285F4"/>
              </a:solidFill>
              <a:ln cmpd="sng">
                <a:solidFill>
                  <a:srgbClr val="000000"/>
                </a:solidFill>
                <a:prstDash val="solid"/>
              </a:ln>
            </c:spPr>
          </c:dPt>
          <c:dPt>
            <c:idx val="849"/>
            <c:invertIfNegative val="1"/>
            <c:bubble3D val="0"/>
            <c:spPr>
              <a:solidFill>
                <a:srgbClr val="4285F4"/>
              </a:solidFill>
              <a:ln cmpd="sng">
                <a:solidFill>
                  <a:srgbClr val="000000"/>
                </a:solidFill>
                <a:prstDash val="solid"/>
              </a:ln>
            </c:spPr>
          </c:dPt>
          <c:dPt>
            <c:idx val="850"/>
            <c:invertIfNegative val="1"/>
            <c:bubble3D val="0"/>
            <c:spPr>
              <a:solidFill>
                <a:srgbClr val="4285F4"/>
              </a:solidFill>
              <a:ln cmpd="sng">
                <a:solidFill>
                  <a:srgbClr val="000000"/>
                </a:solidFill>
                <a:prstDash val="solid"/>
              </a:ln>
            </c:spPr>
          </c:dPt>
          <c:dPt>
            <c:idx val="851"/>
            <c:invertIfNegative val="1"/>
            <c:bubble3D val="0"/>
            <c:spPr>
              <a:solidFill>
                <a:srgbClr val="4285F4"/>
              </a:solidFill>
              <a:ln cmpd="sng">
                <a:solidFill>
                  <a:srgbClr val="000000"/>
                </a:solidFill>
                <a:prstDash val="solid"/>
              </a:ln>
            </c:spPr>
          </c:dPt>
          <c:dPt>
            <c:idx val="852"/>
            <c:invertIfNegative val="1"/>
            <c:bubble3D val="0"/>
            <c:spPr>
              <a:solidFill>
                <a:srgbClr val="4285F4"/>
              </a:solidFill>
              <a:ln cmpd="sng">
                <a:solidFill>
                  <a:srgbClr val="000000"/>
                </a:solidFill>
                <a:prstDash val="solid"/>
              </a:ln>
            </c:spPr>
          </c:dPt>
          <c:dPt>
            <c:idx val="853"/>
            <c:invertIfNegative val="1"/>
            <c:bubble3D val="0"/>
            <c:spPr>
              <a:solidFill>
                <a:srgbClr val="4285F4"/>
              </a:solidFill>
              <a:ln cmpd="sng">
                <a:solidFill>
                  <a:srgbClr val="000000"/>
                </a:solidFill>
                <a:prstDash val="solid"/>
              </a:ln>
            </c:spPr>
          </c:dPt>
          <c:dPt>
            <c:idx val="854"/>
            <c:invertIfNegative val="1"/>
            <c:bubble3D val="0"/>
            <c:spPr>
              <a:solidFill>
                <a:srgbClr val="4285F4"/>
              </a:solidFill>
              <a:ln cmpd="sng">
                <a:solidFill>
                  <a:srgbClr val="000000"/>
                </a:solidFill>
                <a:prstDash val="solid"/>
              </a:ln>
            </c:spPr>
          </c:dPt>
          <c:dPt>
            <c:idx val="855"/>
            <c:invertIfNegative val="1"/>
            <c:bubble3D val="0"/>
            <c:spPr>
              <a:solidFill>
                <a:srgbClr val="4285F4"/>
              </a:solidFill>
              <a:ln cmpd="sng">
                <a:solidFill>
                  <a:srgbClr val="000000"/>
                </a:solidFill>
                <a:prstDash val="solid"/>
              </a:ln>
            </c:spPr>
          </c:dPt>
          <c:dPt>
            <c:idx val="856"/>
            <c:invertIfNegative val="1"/>
            <c:bubble3D val="0"/>
            <c:spPr>
              <a:solidFill>
                <a:srgbClr val="4285F4"/>
              </a:solidFill>
              <a:ln cmpd="sng">
                <a:solidFill>
                  <a:srgbClr val="000000"/>
                </a:solidFill>
                <a:prstDash val="solid"/>
              </a:ln>
            </c:spPr>
          </c:dPt>
          <c:dPt>
            <c:idx val="857"/>
            <c:invertIfNegative val="1"/>
            <c:bubble3D val="0"/>
            <c:spPr>
              <a:solidFill>
                <a:srgbClr val="4285F4"/>
              </a:solidFill>
              <a:ln cmpd="sng">
                <a:solidFill>
                  <a:srgbClr val="000000"/>
                </a:solidFill>
                <a:prstDash val="solid"/>
              </a:ln>
            </c:spPr>
          </c:dPt>
          <c:dPt>
            <c:idx val="858"/>
            <c:invertIfNegative val="1"/>
            <c:bubble3D val="0"/>
            <c:spPr>
              <a:solidFill>
                <a:srgbClr val="4285F4"/>
              </a:solidFill>
              <a:ln cmpd="sng">
                <a:solidFill>
                  <a:srgbClr val="000000"/>
                </a:solidFill>
                <a:prstDash val="solid"/>
              </a:ln>
            </c:spPr>
          </c:dPt>
          <c:dPt>
            <c:idx val="859"/>
            <c:invertIfNegative val="1"/>
            <c:bubble3D val="0"/>
            <c:spPr>
              <a:solidFill>
                <a:srgbClr val="4285F4"/>
              </a:solidFill>
              <a:ln cmpd="sng">
                <a:solidFill>
                  <a:srgbClr val="000000"/>
                </a:solidFill>
                <a:prstDash val="solid"/>
              </a:ln>
            </c:spPr>
          </c:dPt>
          <c:dPt>
            <c:idx val="860"/>
            <c:invertIfNegative val="1"/>
            <c:bubble3D val="0"/>
            <c:spPr>
              <a:solidFill>
                <a:srgbClr val="4285F4"/>
              </a:solidFill>
              <a:ln cmpd="sng">
                <a:solidFill>
                  <a:srgbClr val="000000"/>
                </a:solidFill>
                <a:prstDash val="solid"/>
              </a:ln>
            </c:spPr>
          </c:dPt>
          <c:dPt>
            <c:idx val="861"/>
            <c:invertIfNegative val="1"/>
            <c:bubble3D val="0"/>
            <c:spPr>
              <a:solidFill>
                <a:srgbClr val="4285F4"/>
              </a:solidFill>
              <a:ln cmpd="sng">
                <a:solidFill>
                  <a:srgbClr val="000000"/>
                </a:solidFill>
                <a:prstDash val="solid"/>
              </a:ln>
            </c:spPr>
          </c:dPt>
          <c:dPt>
            <c:idx val="862"/>
            <c:invertIfNegative val="1"/>
            <c:bubble3D val="0"/>
            <c:spPr>
              <a:solidFill>
                <a:srgbClr val="4285F4"/>
              </a:solidFill>
              <a:ln cmpd="sng">
                <a:solidFill>
                  <a:srgbClr val="000000"/>
                </a:solidFill>
                <a:prstDash val="solid"/>
              </a:ln>
            </c:spPr>
          </c:dPt>
          <c:dPt>
            <c:idx val="863"/>
            <c:invertIfNegative val="1"/>
            <c:bubble3D val="0"/>
            <c:spPr>
              <a:solidFill>
                <a:srgbClr val="4285F4"/>
              </a:solidFill>
              <a:ln cmpd="sng">
                <a:solidFill>
                  <a:srgbClr val="000000"/>
                </a:solidFill>
                <a:prstDash val="solid"/>
              </a:ln>
            </c:spPr>
          </c:dPt>
          <c:dPt>
            <c:idx val="864"/>
            <c:invertIfNegative val="1"/>
            <c:bubble3D val="0"/>
            <c:spPr>
              <a:solidFill>
                <a:srgbClr val="4285F4"/>
              </a:solidFill>
              <a:ln cmpd="sng">
                <a:solidFill>
                  <a:srgbClr val="000000"/>
                </a:solidFill>
                <a:prstDash val="solid"/>
              </a:ln>
            </c:spPr>
          </c:dPt>
          <c:dPt>
            <c:idx val="865"/>
            <c:invertIfNegative val="1"/>
            <c:bubble3D val="0"/>
            <c:spPr>
              <a:solidFill>
                <a:srgbClr val="4285F4"/>
              </a:solidFill>
              <a:ln cmpd="sng">
                <a:solidFill>
                  <a:srgbClr val="000000"/>
                </a:solidFill>
                <a:prstDash val="solid"/>
              </a:ln>
            </c:spPr>
          </c:dPt>
          <c:dPt>
            <c:idx val="866"/>
            <c:invertIfNegative val="1"/>
            <c:bubble3D val="0"/>
            <c:spPr>
              <a:solidFill>
                <a:srgbClr val="4285F4"/>
              </a:solidFill>
              <a:ln cmpd="sng">
                <a:solidFill>
                  <a:srgbClr val="000000"/>
                </a:solidFill>
                <a:prstDash val="solid"/>
              </a:ln>
            </c:spPr>
          </c:dPt>
          <c:dPt>
            <c:idx val="867"/>
            <c:invertIfNegative val="1"/>
            <c:bubble3D val="0"/>
            <c:spPr>
              <a:solidFill>
                <a:srgbClr val="4285F4"/>
              </a:solidFill>
              <a:ln cmpd="sng">
                <a:solidFill>
                  <a:srgbClr val="000000"/>
                </a:solidFill>
                <a:prstDash val="solid"/>
              </a:ln>
            </c:spPr>
          </c:dPt>
          <c:dPt>
            <c:idx val="868"/>
            <c:invertIfNegative val="1"/>
            <c:bubble3D val="0"/>
            <c:spPr>
              <a:solidFill>
                <a:srgbClr val="4285F4"/>
              </a:solidFill>
              <a:ln cmpd="sng">
                <a:solidFill>
                  <a:srgbClr val="000000"/>
                </a:solidFill>
                <a:prstDash val="solid"/>
              </a:ln>
            </c:spPr>
          </c:dPt>
          <c:dPt>
            <c:idx val="869"/>
            <c:invertIfNegative val="1"/>
            <c:bubble3D val="0"/>
            <c:spPr>
              <a:solidFill>
                <a:srgbClr val="4285F4"/>
              </a:solidFill>
              <a:ln cmpd="sng">
                <a:solidFill>
                  <a:srgbClr val="000000"/>
                </a:solidFill>
                <a:prstDash val="solid"/>
              </a:ln>
            </c:spPr>
          </c:dPt>
          <c:dPt>
            <c:idx val="870"/>
            <c:invertIfNegative val="1"/>
            <c:bubble3D val="0"/>
            <c:spPr>
              <a:solidFill>
                <a:srgbClr val="4285F4"/>
              </a:solidFill>
              <a:ln cmpd="sng">
                <a:solidFill>
                  <a:srgbClr val="000000"/>
                </a:solidFill>
                <a:prstDash val="solid"/>
              </a:ln>
            </c:spPr>
          </c:dPt>
          <c:dPt>
            <c:idx val="871"/>
            <c:invertIfNegative val="1"/>
            <c:bubble3D val="0"/>
            <c:spPr>
              <a:solidFill>
                <a:srgbClr val="4285F4"/>
              </a:solidFill>
              <a:ln cmpd="sng">
                <a:solidFill>
                  <a:srgbClr val="000000"/>
                </a:solidFill>
                <a:prstDash val="solid"/>
              </a:ln>
            </c:spPr>
          </c:dPt>
          <c:dPt>
            <c:idx val="872"/>
            <c:invertIfNegative val="1"/>
            <c:bubble3D val="0"/>
            <c:spPr>
              <a:solidFill>
                <a:srgbClr val="4285F4"/>
              </a:solidFill>
              <a:ln cmpd="sng">
                <a:solidFill>
                  <a:srgbClr val="000000"/>
                </a:solidFill>
                <a:prstDash val="solid"/>
              </a:ln>
            </c:spPr>
          </c:dPt>
          <c:dPt>
            <c:idx val="873"/>
            <c:invertIfNegative val="1"/>
            <c:bubble3D val="0"/>
            <c:spPr>
              <a:solidFill>
                <a:srgbClr val="4285F4"/>
              </a:solidFill>
              <a:ln cmpd="sng">
                <a:solidFill>
                  <a:srgbClr val="000000"/>
                </a:solidFill>
                <a:prstDash val="solid"/>
              </a:ln>
            </c:spPr>
          </c:dPt>
          <c:dPt>
            <c:idx val="874"/>
            <c:invertIfNegative val="1"/>
            <c:bubble3D val="0"/>
            <c:spPr>
              <a:solidFill>
                <a:srgbClr val="4285F4"/>
              </a:solidFill>
              <a:ln cmpd="sng">
                <a:solidFill>
                  <a:srgbClr val="000000"/>
                </a:solidFill>
                <a:prstDash val="solid"/>
              </a:ln>
            </c:spPr>
          </c:dPt>
          <c:dPt>
            <c:idx val="875"/>
            <c:invertIfNegative val="1"/>
            <c:bubble3D val="0"/>
            <c:spPr>
              <a:solidFill>
                <a:srgbClr val="4285F4"/>
              </a:solidFill>
              <a:ln cmpd="sng">
                <a:solidFill>
                  <a:srgbClr val="000000"/>
                </a:solidFill>
                <a:prstDash val="solid"/>
              </a:ln>
            </c:spPr>
          </c:dPt>
          <c:dPt>
            <c:idx val="876"/>
            <c:invertIfNegative val="1"/>
            <c:bubble3D val="0"/>
            <c:spPr>
              <a:solidFill>
                <a:srgbClr val="4285F4"/>
              </a:solidFill>
              <a:ln cmpd="sng">
                <a:solidFill>
                  <a:srgbClr val="000000"/>
                </a:solidFill>
                <a:prstDash val="solid"/>
              </a:ln>
            </c:spPr>
          </c:dPt>
          <c:dPt>
            <c:idx val="877"/>
            <c:invertIfNegative val="1"/>
            <c:bubble3D val="0"/>
            <c:spPr>
              <a:solidFill>
                <a:srgbClr val="4285F4"/>
              </a:solidFill>
              <a:ln cmpd="sng">
                <a:solidFill>
                  <a:srgbClr val="000000"/>
                </a:solidFill>
                <a:prstDash val="solid"/>
              </a:ln>
            </c:spPr>
          </c:dPt>
          <c:dPt>
            <c:idx val="878"/>
            <c:invertIfNegative val="1"/>
            <c:bubble3D val="0"/>
            <c:spPr>
              <a:solidFill>
                <a:srgbClr val="4285F4"/>
              </a:solidFill>
              <a:ln cmpd="sng">
                <a:solidFill>
                  <a:srgbClr val="000000"/>
                </a:solidFill>
                <a:prstDash val="solid"/>
              </a:ln>
            </c:spPr>
          </c:dPt>
          <c:dPt>
            <c:idx val="879"/>
            <c:invertIfNegative val="1"/>
            <c:bubble3D val="0"/>
            <c:spPr>
              <a:solidFill>
                <a:srgbClr val="4285F4"/>
              </a:solidFill>
              <a:ln cmpd="sng">
                <a:solidFill>
                  <a:srgbClr val="000000"/>
                </a:solidFill>
                <a:prstDash val="solid"/>
              </a:ln>
            </c:spPr>
          </c:dPt>
          <c:dPt>
            <c:idx val="880"/>
            <c:invertIfNegative val="1"/>
            <c:bubble3D val="0"/>
            <c:spPr>
              <a:solidFill>
                <a:srgbClr val="4285F4"/>
              </a:solidFill>
              <a:ln cmpd="sng">
                <a:solidFill>
                  <a:srgbClr val="000000"/>
                </a:solidFill>
                <a:prstDash val="solid"/>
              </a:ln>
            </c:spPr>
          </c:dPt>
          <c:dPt>
            <c:idx val="881"/>
            <c:invertIfNegative val="1"/>
            <c:bubble3D val="0"/>
            <c:spPr>
              <a:solidFill>
                <a:srgbClr val="4285F4"/>
              </a:solidFill>
              <a:ln cmpd="sng">
                <a:solidFill>
                  <a:srgbClr val="000000"/>
                </a:solidFill>
                <a:prstDash val="solid"/>
              </a:ln>
            </c:spPr>
          </c:dPt>
          <c:dPt>
            <c:idx val="882"/>
            <c:invertIfNegative val="1"/>
            <c:bubble3D val="0"/>
            <c:spPr>
              <a:solidFill>
                <a:srgbClr val="4285F4"/>
              </a:solidFill>
              <a:ln cmpd="sng">
                <a:solidFill>
                  <a:srgbClr val="000000"/>
                </a:solidFill>
                <a:prstDash val="solid"/>
              </a:ln>
            </c:spPr>
          </c:dPt>
          <c:dPt>
            <c:idx val="883"/>
            <c:invertIfNegative val="1"/>
            <c:bubble3D val="0"/>
            <c:spPr>
              <a:solidFill>
                <a:srgbClr val="4285F4"/>
              </a:solidFill>
              <a:ln cmpd="sng">
                <a:solidFill>
                  <a:srgbClr val="000000"/>
                </a:solidFill>
                <a:prstDash val="solid"/>
              </a:ln>
            </c:spPr>
          </c:dPt>
          <c:dPt>
            <c:idx val="884"/>
            <c:invertIfNegative val="1"/>
            <c:bubble3D val="0"/>
            <c:spPr>
              <a:solidFill>
                <a:srgbClr val="4285F4"/>
              </a:solidFill>
              <a:ln cmpd="sng">
                <a:solidFill>
                  <a:srgbClr val="000000"/>
                </a:solidFill>
                <a:prstDash val="solid"/>
              </a:ln>
            </c:spPr>
          </c:dPt>
          <c:dPt>
            <c:idx val="885"/>
            <c:invertIfNegative val="1"/>
            <c:bubble3D val="0"/>
            <c:spPr>
              <a:solidFill>
                <a:srgbClr val="4285F4"/>
              </a:solidFill>
              <a:ln cmpd="sng">
                <a:solidFill>
                  <a:srgbClr val="000000"/>
                </a:solidFill>
                <a:prstDash val="solid"/>
              </a:ln>
            </c:spPr>
          </c:dPt>
          <c:dPt>
            <c:idx val="886"/>
            <c:invertIfNegative val="1"/>
            <c:bubble3D val="0"/>
            <c:spPr>
              <a:solidFill>
                <a:srgbClr val="4285F4"/>
              </a:solidFill>
              <a:ln cmpd="sng">
                <a:solidFill>
                  <a:srgbClr val="000000"/>
                </a:solidFill>
                <a:prstDash val="solid"/>
              </a:ln>
            </c:spPr>
          </c:dPt>
          <c:dPt>
            <c:idx val="887"/>
            <c:invertIfNegative val="1"/>
            <c:bubble3D val="0"/>
            <c:spPr>
              <a:solidFill>
                <a:srgbClr val="4285F4"/>
              </a:solidFill>
              <a:ln cmpd="sng">
                <a:solidFill>
                  <a:srgbClr val="000000"/>
                </a:solidFill>
                <a:prstDash val="solid"/>
              </a:ln>
            </c:spPr>
          </c:dPt>
          <c:dPt>
            <c:idx val="888"/>
            <c:invertIfNegative val="1"/>
            <c:bubble3D val="0"/>
            <c:spPr>
              <a:solidFill>
                <a:srgbClr val="4285F4"/>
              </a:solidFill>
              <a:ln cmpd="sng">
                <a:solidFill>
                  <a:srgbClr val="000000"/>
                </a:solidFill>
                <a:prstDash val="solid"/>
              </a:ln>
            </c:spPr>
          </c:dPt>
          <c:dPt>
            <c:idx val="889"/>
            <c:invertIfNegative val="1"/>
            <c:bubble3D val="0"/>
            <c:spPr>
              <a:solidFill>
                <a:srgbClr val="4285F4"/>
              </a:solidFill>
              <a:ln cmpd="sng">
                <a:solidFill>
                  <a:srgbClr val="000000"/>
                </a:solidFill>
                <a:prstDash val="solid"/>
              </a:ln>
            </c:spPr>
          </c:dPt>
          <c:dPt>
            <c:idx val="890"/>
            <c:invertIfNegative val="1"/>
            <c:bubble3D val="0"/>
            <c:spPr>
              <a:solidFill>
                <a:srgbClr val="4285F4"/>
              </a:solidFill>
              <a:ln cmpd="sng">
                <a:solidFill>
                  <a:srgbClr val="000000"/>
                </a:solidFill>
                <a:prstDash val="solid"/>
              </a:ln>
            </c:spPr>
          </c:dPt>
          <c:dPt>
            <c:idx val="891"/>
            <c:invertIfNegative val="1"/>
            <c:bubble3D val="0"/>
            <c:spPr>
              <a:solidFill>
                <a:srgbClr val="4285F4"/>
              </a:solidFill>
              <a:ln cmpd="sng">
                <a:solidFill>
                  <a:srgbClr val="000000"/>
                </a:solidFill>
                <a:prstDash val="solid"/>
              </a:ln>
            </c:spPr>
          </c:dPt>
          <c:dPt>
            <c:idx val="892"/>
            <c:invertIfNegative val="1"/>
            <c:bubble3D val="0"/>
            <c:spPr>
              <a:solidFill>
                <a:srgbClr val="4285F4"/>
              </a:solidFill>
              <a:ln cmpd="sng">
                <a:solidFill>
                  <a:srgbClr val="000000"/>
                </a:solidFill>
                <a:prstDash val="solid"/>
              </a:ln>
            </c:spPr>
          </c:dPt>
          <c:dPt>
            <c:idx val="893"/>
            <c:invertIfNegative val="1"/>
            <c:bubble3D val="0"/>
            <c:spPr>
              <a:solidFill>
                <a:srgbClr val="4285F4"/>
              </a:solidFill>
              <a:ln cmpd="sng">
                <a:solidFill>
                  <a:srgbClr val="000000"/>
                </a:solidFill>
                <a:prstDash val="solid"/>
              </a:ln>
            </c:spPr>
          </c:dPt>
          <c:dPt>
            <c:idx val="894"/>
            <c:invertIfNegative val="1"/>
            <c:bubble3D val="0"/>
            <c:spPr>
              <a:solidFill>
                <a:srgbClr val="4285F4"/>
              </a:solidFill>
              <a:ln cmpd="sng">
                <a:solidFill>
                  <a:srgbClr val="000000"/>
                </a:solidFill>
                <a:prstDash val="solid"/>
              </a:ln>
            </c:spPr>
          </c:dPt>
          <c:dPt>
            <c:idx val="895"/>
            <c:invertIfNegative val="1"/>
            <c:bubble3D val="0"/>
            <c:spPr>
              <a:solidFill>
                <a:srgbClr val="4285F4"/>
              </a:solidFill>
              <a:ln cmpd="sng">
                <a:solidFill>
                  <a:srgbClr val="000000"/>
                </a:solidFill>
                <a:prstDash val="solid"/>
              </a:ln>
            </c:spPr>
          </c:dPt>
          <c:dPt>
            <c:idx val="896"/>
            <c:invertIfNegative val="1"/>
            <c:bubble3D val="0"/>
            <c:spPr>
              <a:solidFill>
                <a:srgbClr val="4285F4"/>
              </a:solidFill>
              <a:ln cmpd="sng">
                <a:solidFill>
                  <a:srgbClr val="000000"/>
                </a:solidFill>
                <a:prstDash val="solid"/>
              </a:ln>
            </c:spPr>
          </c:dPt>
          <c:dPt>
            <c:idx val="897"/>
            <c:invertIfNegative val="1"/>
            <c:bubble3D val="0"/>
            <c:spPr>
              <a:solidFill>
                <a:srgbClr val="4285F4"/>
              </a:solidFill>
              <a:ln cmpd="sng">
                <a:solidFill>
                  <a:srgbClr val="000000"/>
                </a:solidFill>
                <a:prstDash val="solid"/>
              </a:ln>
            </c:spPr>
          </c:dPt>
          <c:dPt>
            <c:idx val="898"/>
            <c:invertIfNegative val="1"/>
            <c:bubble3D val="0"/>
            <c:spPr>
              <a:solidFill>
                <a:srgbClr val="4285F4"/>
              </a:solidFill>
              <a:ln cmpd="sng">
                <a:solidFill>
                  <a:srgbClr val="000000"/>
                </a:solidFill>
                <a:prstDash val="solid"/>
              </a:ln>
            </c:spPr>
          </c:dPt>
          <c:dPt>
            <c:idx val="899"/>
            <c:invertIfNegative val="1"/>
            <c:bubble3D val="0"/>
            <c:spPr>
              <a:solidFill>
                <a:srgbClr val="4285F4"/>
              </a:solidFill>
              <a:ln cmpd="sng">
                <a:solidFill>
                  <a:srgbClr val="000000"/>
                </a:solidFill>
                <a:prstDash val="solid"/>
              </a:ln>
            </c:spPr>
          </c:dPt>
          <c:dPt>
            <c:idx val="900"/>
            <c:invertIfNegative val="1"/>
            <c:bubble3D val="0"/>
            <c:spPr>
              <a:solidFill>
                <a:srgbClr val="4285F4"/>
              </a:solidFill>
              <a:ln cmpd="sng">
                <a:solidFill>
                  <a:srgbClr val="000000"/>
                </a:solidFill>
                <a:prstDash val="solid"/>
              </a:ln>
            </c:spPr>
          </c:dPt>
          <c:dPt>
            <c:idx val="901"/>
            <c:invertIfNegative val="1"/>
            <c:bubble3D val="0"/>
            <c:spPr>
              <a:solidFill>
                <a:srgbClr val="4285F4"/>
              </a:solidFill>
              <a:ln cmpd="sng">
                <a:solidFill>
                  <a:srgbClr val="000000"/>
                </a:solidFill>
                <a:prstDash val="solid"/>
              </a:ln>
            </c:spPr>
          </c:dPt>
          <c:dPt>
            <c:idx val="902"/>
            <c:invertIfNegative val="1"/>
            <c:bubble3D val="0"/>
            <c:spPr>
              <a:solidFill>
                <a:srgbClr val="4285F4"/>
              </a:solidFill>
              <a:ln cmpd="sng">
                <a:solidFill>
                  <a:srgbClr val="000000"/>
                </a:solidFill>
                <a:prstDash val="solid"/>
              </a:ln>
            </c:spPr>
          </c:dPt>
          <c:dPt>
            <c:idx val="903"/>
            <c:invertIfNegative val="1"/>
            <c:bubble3D val="0"/>
            <c:spPr>
              <a:solidFill>
                <a:srgbClr val="4285F4"/>
              </a:solidFill>
              <a:ln cmpd="sng">
                <a:solidFill>
                  <a:srgbClr val="000000"/>
                </a:solidFill>
                <a:prstDash val="solid"/>
              </a:ln>
            </c:spPr>
          </c:dPt>
          <c:dPt>
            <c:idx val="904"/>
            <c:invertIfNegative val="1"/>
            <c:bubble3D val="0"/>
            <c:spPr>
              <a:solidFill>
                <a:srgbClr val="4285F4"/>
              </a:solidFill>
              <a:ln cmpd="sng">
                <a:solidFill>
                  <a:srgbClr val="000000"/>
                </a:solidFill>
                <a:prstDash val="solid"/>
              </a:ln>
            </c:spPr>
          </c:dPt>
          <c:dPt>
            <c:idx val="905"/>
            <c:invertIfNegative val="1"/>
            <c:bubble3D val="0"/>
            <c:spPr>
              <a:solidFill>
                <a:srgbClr val="4285F4"/>
              </a:solidFill>
              <a:ln cmpd="sng">
                <a:solidFill>
                  <a:srgbClr val="000000"/>
                </a:solidFill>
                <a:prstDash val="solid"/>
              </a:ln>
            </c:spPr>
          </c:dPt>
          <c:dPt>
            <c:idx val="906"/>
            <c:invertIfNegative val="1"/>
            <c:bubble3D val="0"/>
            <c:spPr>
              <a:solidFill>
                <a:srgbClr val="4285F4"/>
              </a:solidFill>
              <a:ln cmpd="sng">
                <a:solidFill>
                  <a:srgbClr val="000000"/>
                </a:solidFill>
                <a:prstDash val="solid"/>
              </a:ln>
            </c:spPr>
          </c:dPt>
          <c:dPt>
            <c:idx val="907"/>
            <c:invertIfNegative val="1"/>
            <c:bubble3D val="0"/>
            <c:spPr>
              <a:solidFill>
                <a:srgbClr val="4285F4"/>
              </a:solidFill>
              <a:ln cmpd="sng">
                <a:solidFill>
                  <a:srgbClr val="000000"/>
                </a:solidFill>
                <a:prstDash val="solid"/>
              </a:ln>
            </c:spPr>
          </c:dPt>
          <c:dPt>
            <c:idx val="908"/>
            <c:invertIfNegative val="1"/>
            <c:bubble3D val="0"/>
            <c:spPr>
              <a:solidFill>
                <a:srgbClr val="4285F4"/>
              </a:solidFill>
              <a:ln cmpd="sng">
                <a:solidFill>
                  <a:srgbClr val="000000"/>
                </a:solidFill>
                <a:prstDash val="solid"/>
              </a:ln>
            </c:spPr>
          </c:dPt>
          <c:dPt>
            <c:idx val="909"/>
            <c:invertIfNegative val="1"/>
            <c:bubble3D val="0"/>
            <c:spPr>
              <a:solidFill>
                <a:srgbClr val="4285F4"/>
              </a:solidFill>
              <a:ln cmpd="sng">
                <a:solidFill>
                  <a:srgbClr val="000000"/>
                </a:solidFill>
                <a:prstDash val="solid"/>
              </a:ln>
            </c:spPr>
          </c:dPt>
          <c:dPt>
            <c:idx val="910"/>
            <c:invertIfNegative val="1"/>
            <c:bubble3D val="0"/>
            <c:spPr>
              <a:solidFill>
                <a:srgbClr val="4285F4"/>
              </a:solidFill>
              <a:ln cmpd="sng">
                <a:solidFill>
                  <a:srgbClr val="000000"/>
                </a:solidFill>
                <a:prstDash val="solid"/>
              </a:ln>
            </c:spPr>
          </c:dPt>
          <c:dPt>
            <c:idx val="911"/>
            <c:invertIfNegative val="1"/>
            <c:bubble3D val="0"/>
            <c:spPr>
              <a:solidFill>
                <a:srgbClr val="4285F4"/>
              </a:solidFill>
              <a:ln cmpd="sng">
                <a:solidFill>
                  <a:srgbClr val="000000"/>
                </a:solidFill>
                <a:prstDash val="solid"/>
              </a:ln>
            </c:spPr>
          </c:dPt>
          <c:dPt>
            <c:idx val="912"/>
            <c:invertIfNegative val="1"/>
            <c:bubble3D val="0"/>
            <c:spPr>
              <a:solidFill>
                <a:srgbClr val="4285F4"/>
              </a:solidFill>
              <a:ln cmpd="sng">
                <a:solidFill>
                  <a:srgbClr val="000000"/>
                </a:solidFill>
                <a:prstDash val="solid"/>
              </a:ln>
            </c:spPr>
          </c:dPt>
          <c:dPt>
            <c:idx val="913"/>
            <c:invertIfNegative val="1"/>
            <c:bubble3D val="0"/>
            <c:spPr>
              <a:solidFill>
                <a:srgbClr val="4285F4"/>
              </a:solidFill>
              <a:ln cmpd="sng">
                <a:solidFill>
                  <a:srgbClr val="000000"/>
                </a:solidFill>
                <a:prstDash val="solid"/>
              </a:ln>
            </c:spPr>
          </c:dPt>
          <c:dPt>
            <c:idx val="914"/>
            <c:invertIfNegative val="1"/>
            <c:bubble3D val="0"/>
            <c:spPr>
              <a:solidFill>
                <a:srgbClr val="4285F4"/>
              </a:solidFill>
              <a:ln cmpd="sng">
                <a:solidFill>
                  <a:srgbClr val="000000"/>
                </a:solidFill>
                <a:prstDash val="solid"/>
              </a:ln>
            </c:spPr>
          </c:dPt>
          <c:dPt>
            <c:idx val="915"/>
            <c:invertIfNegative val="1"/>
            <c:bubble3D val="0"/>
            <c:spPr>
              <a:solidFill>
                <a:srgbClr val="4285F4"/>
              </a:solidFill>
              <a:ln cmpd="sng">
                <a:solidFill>
                  <a:srgbClr val="000000"/>
                </a:solidFill>
                <a:prstDash val="solid"/>
              </a:ln>
            </c:spPr>
          </c:dPt>
          <c:dPt>
            <c:idx val="916"/>
            <c:invertIfNegative val="1"/>
            <c:bubble3D val="0"/>
            <c:spPr>
              <a:solidFill>
                <a:srgbClr val="4285F4"/>
              </a:solidFill>
              <a:ln cmpd="sng">
                <a:solidFill>
                  <a:srgbClr val="000000"/>
                </a:solidFill>
                <a:prstDash val="solid"/>
              </a:ln>
            </c:spPr>
          </c:dPt>
          <c:dPt>
            <c:idx val="917"/>
            <c:invertIfNegative val="1"/>
            <c:bubble3D val="0"/>
            <c:spPr>
              <a:solidFill>
                <a:srgbClr val="4285F4"/>
              </a:solidFill>
              <a:ln cmpd="sng">
                <a:solidFill>
                  <a:srgbClr val="000000"/>
                </a:solidFill>
                <a:prstDash val="solid"/>
              </a:ln>
            </c:spPr>
          </c:dPt>
          <c:dPt>
            <c:idx val="918"/>
            <c:invertIfNegative val="1"/>
            <c:bubble3D val="0"/>
            <c:spPr>
              <a:solidFill>
                <a:srgbClr val="4285F4"/>
              </a:solidFill>
              <a:ln cmpd="sng">
                <a:solidFill>
                  <a:srgbClr val="000000"/>
                </a:solidFill>
                <a:prstDash val="solid"/>
              </a:ln>
            </c:spPr>
          </c:dPt>
          <c:dPt>
            <c:idx val="919"/>
            <c:invertIfNegative val="1"/>
            <c:bubble3D val="0"/>
            <c:spPr>
              <a:solidFill>
                <a:srgbClr val="4285F4"/>
              </a:solidFill>
              <a:ln cmpd="sng">
                <a:solidFill>
                  <a:srgbClr val="000000"/>
                </a:solidFill>
                <a:prstDash val="solid"/>
              </a:ln>
            </c:spPr>
          </c:dPt>
          <c:dPt>
            <c:idx val="920"/>
            <c:invertIfNegative val="1"/>
            <c:bubble3D val="0"/>
            <c:spPr>
              <a:solidFill>
                <a:srgbClr val="4285F4"/>
              </a:solidFill>
              <a:ln cmpd="sng">
                <a:solidFill>
                  <a:srgbClr val="000000"/>
                </a:solidFill>
                <a:prstDash val="solid"/>
              </a:ln>
            </c:spPr>
          </c:dPt>
          <c:dPt>
            <c:idx val="921"/>
            <c:invertIfNegative val="1"/>
            <c:bubble3D val="0"/>
            <c:spPr>
              <a:solidFill>
                <a:srgbClr val="4285F4"/>
              </a:solidFill>
              <a:ln cmpd="sng">
                <a:solidFill>
                  <a:srgbClr val="000000"/>
                </a:solidFill>
                <a:prstDash val="solid"/>
              </a:ln>
            </c:spPr>
          </c:dPt>
          <c:dPt>
            <c:idx val="922"/>
            <c:invertIfNegative val="1"/>
            <c:bubble3D val="0"/>
            <c:spPr>
              <a:solidFill>
                <a:srgbClr val="4285F4"/>
              </a:solidFill>
              <a:ln cmpd="sng">
                <a:solidFill>
                  <a:srgbClr val="000000"/>
                </a:solidFill>
                <a:prstDash val="solid"/>
              </a:ln>
            </c:spPr>
          </c:dPt>
          <c:dPt>
            <c:idx val="923"/>
            <c:invertIfNegative val="1"/>
            <c:bubble3D val="0"/>
            <c:spPr>
              <a:solidFill>
                <a:srgbClr val="4285F4"/>
              </a:solidFill>
              <a:ln cmpd="sng">
                <a:solidFill>
                  <a:srgbClr val="000000"/>
                </a:solidFill>
                <a:prstDash val="solid"/>
              </a:ln>
            </c:spPr>
          </c:dPt>
          <c:dPt>
            <c:idx val="924"/>
            <c:invertIfNegative val="1"/>
            <c:bubble3D val="0"/>
            <c:spPr>
              <a:solidFill>
                <a:srgbClr val="4285F4"/>
              </a:solidFill>
              <a:ln cmpd="sng">
                <a:solidFill>
                  <a:srgbClr val="000000"/>
                </a:solidFill>
                <a:prstDash val="solid"/>
              </a:ln>
            </c:spPr>
          </c:dPt>
          <c:dPt>
            <c:idx val="925"/>
            <c:invertIfNegative val="1"/>
            <c:bubble3D val="0"/>
            <c:spPr>
              <a:solidFill>
                <a:srgbClr val="4285F4"/>
              </a:solidFill>
              <a:ln cmpd="sng">
                <a:solidFill>
                  <a:srgbClr val="000000"/>
                </a:solidFill>
                <a:prstDash val="solid"/>
              </a:ln>
            </c:spPr>
          </c:dPt>
          <c:dPt>
            <c:idx val="926"/>
            <c:invertIfNegative val="1"/>
            <c:bubble3D val="0"/>
            <c:spPr>
              <a:solidFill>
                <a:srgbClr val="4285F4"/>
              </a:solidFill>
              <a:ln cmpd="sng">
                <a:solidFill>
                  <a:srgbClr val="000000"/>
                </a:solidFill>
                <a:prstDash val="solid"/>
              </a:ln>
            </c:spPr>
          </c:dPt>
          <c:dPt>
            <c:idx val="927"/>
            <c:invertIfNegative val="1"/>
            <c:bubble3D val="0"/>
            <c:spPr>
              <a:solidFill>
                <a:srgbClr val="4285F4"/>
              </a:solidFill>
              <a:ln cmpd="sng">
                <a:solidFill>
                  <a:srgbClr val="000000"/>
                </a:solidFill>
                <a:prstDash val="solid"/>
              </a:ln>
            </c:spPr>
          </c:dPt>
          <c:dPt>
            <c:idx val="928"/>
            <c:invertIfNegative val="1"/>
            <c:bubble3D val="0"/>
            <c:spPr>
              <a:solidFill>
                <a:srgbClr val="4285F4"/>
              </a:solidFill>
              <a:ln cmpd="sng">
                <a:solidFill>
                  <a:srgbClr val="000000"/>
                </a:solidFill>
                <a:prstDash val="solid"/>
              </a:ln>
            </c:spPr>
          </c:dPt>
          <c:dPt>
            <c:idx val="929"/>
            <c:invertIfNegative val="1"/>
            <c:bubble3D val="0"/>
            <c:spPr>
              <a:solidFill>
                <a:srgbClr val="4285F4"/>
              </a:solidFill>
              <a:ln cmpd="sng">
                <a:solidFill>
                  <a:srgbClr val="000000"/>
                </a:solidFill>
                <a:prstDash val="solid"/>
              </a:ln>
            </c:spPr>
          </c:dPt>
          <c:dPt>
            <c:idx val="930"/>
            <c:invertIfNegative val="1"/>
            <c:bubble3D val="0"/>
            <c:spPr>
              <a:solidFill>
                <a:srgbClr val="4285F4"/>
              </a:solidFill>
              <a:ln cmpd="sng">
                <a:solidFill>
                  <a:srgbClr val="000000"/>
                </a:solidFill>
                <a:prstDash val="solid"/>
              </a:ln>
            </c:spPr>
          </c:dPt>
          <c:dPt>
            <c:idx val="931"/>
            <c:invertIfNegative val="1"/>
            <c:bubble3D val="0"/>
            <c:spPr>
              <a:solidFill>
                <a:srgbClr val="4285F4"/>
              </a:solidFill>
              <a:ln cmpd="sng">
                <a:solidFill>
                  <a:srgbClr val="000000"/>
                </a:solidFill>
                <a:prstDash val="solid"/>
              </a:ln>
            </c:spPr>
          </c:dPt>
          <c:dPt>
            <c:idx val="932"/>
            <c:invertIfNegative val="1"/>
            <c:bubble3D val="0"/>
            <c:spPr>
              <a:solidFill>
                <a:srgbClr val="4285F4"/>
              </a:solidFill>
              <a:ln cmpd="sng">
                <a:solidFill>
                  <a:srgbClr val="000000"/>
                </a:solidFill>
                <a:prstDash val="solid"/>
              </a:ln>
            </c:spPr>
          </c:dPt>
          <c:dPt>
            <c:idx val="933"/>
            <c:invertIfNegative val="1"/>
            <c:bubble3D val="0"/>
            <c:spPr>
              <a:solidFill>
                <a:srgbClr val="4285F4"/>
              </a:solidFill>
              <a:ln cmpd="sng">
                <a:solidFill>
                  <a:srgbClr val="000000"/>
                </a:solidFill>
                <a:prstDash val="solid"/>
              </a:ln>
            </c:spPr>
          </c:dPt>
          <c:dPt>
            <c:idx val="934"/>
            <c:invertIfNegative val="1"/>
            <c:bubble3D val="0"/>
            <c:spPr>
              <a:solidFill>
                <a:srgbClr val="4285F4"/>
              </a:solidFill>
              <a:ln cmpd="sng">
                <a:solidFill>
                  <a:srgbClr val="000000"/>
                </a:solidFill>
                <a:prstDash val="solid"/>
              </a:ln>
            </c:spPr>
          </c:dPt>
          <c:dPt>
            <c:idx val="935"/>
            <c:invertIfNegative val="1"/>
            <c:bubble3D val="0"/>
            <c:spPr>
              <a:solidFill>
                <a:srgbClr val="4285F4"/>
              </a:solidFill>
              <a:ln cmpd="sng">
                <a:solidFill>
                  <a:srgbClr val="000000"/>
                </a:solidFill>
                <a:prstDash val="solid"/>
              </a:ln>
            </c:spPr>
          </c:dPt>
          <c:dPt>
            <c:idx val="936"/>
            <c:invertIfNegative val="1"/>
            <c:bubble3D val="0"/>
            <c:spPr>
              <a:solidFill>
                <a:srgbClr val="4285F4"/>
              </a:solidFill>
              <a:ln cmpd="sng">
                <a:solidFill>
                  <a:srgbClr val="000000"/>
                </a:solidFill>
                <a:prstDash val="solid"/>
              </a:ln>
            </c:spPr>
          </c:dPt>
          <c:dPt>
            <c:idx val="937"/>
            <c:invertIfNegative val="1"/>
            <c:bubble3D val="0"/>
            <c:spPr>
              <a:solidFill>
                <a:srgbClr val="4285F4"/>
              </a:solidFill>
              <a:ln cmpd="sng">
                <a:solidFill>
                  <a:srgbClr val="000000"/>
                </a:solidFill>
                <a:prstDash val="solid"/>
              </a:ln>
            </c:spPr>
          </c:dPt>
          <c:dPt>
            <c:idx val="938"/>
            <c:invertIfNegative val="1"/>
            <c:bubble3D val="0"/>
            <c:spPr>
              <a:solidFill>
                <a:srgbClr val="4285F4"/>
              </a:solidFill>
              <a:ln cmpd="sng">
                <a:solidFill>
                  <a:srgbClr val="000000"/>
                </a:solidFill>
                <a:prstDash val="solid"/>
              </a:ln>
            </c:spPr>
          </c:dPt>
          <c:dPt>
            <c:idx val="939"/>
            <c:invertIfNegative val="1"/>
            <c:bubble3D val="0"/>
            <c:spPr>
              <a:solidFill>
                <a:srgbClr val="4285F4"/>
              </a:solidFill>
              <a:ln cmpd="sng">
                <a:solidFill>
                  <a:srgbClr val="000000"/>
                </a:solidFill>
                <a:prstDash val="solid"/>
              </a:ln>
            </c:spPr>
          </c:dPt>
          <c:dPt>
            <c:idx val="940"/>
            <c:invertIfNegative val="1"/>
            <c:bubble3D val="0"/>
            <c:spPr>
              <a:solidFill>
                <a:srgbClr val="4285F4"/>
              </a:solidFill>
              <a:ln cmpd="sng">
                <a:solidFill>
                  <a:srgbClr val="000000"/>
                </a:solidFill>
                <a:prstDash val="solid"/>
              </a:ln>
            </c:spPr>
          </c:dPt>
          <c:dPt>
            <c:idx val="941"/>
            <c:invertIfNegative val="1"/>
            <c:bubble3D val="0"/>
            <c:spPr>
              <a:solidFill>
                <a:srgbClr val="4285F4"/>
              </a:solidFill>
              <a:ln cmpd="sng">
                <a:solidFill>
                  <a:srgbClr val="000000"/>
                </a:solidFill>
                <a:prstDash val="solid"/>
              </a:ln>
            </c:spPr>
          </c:dPt>
          <c:dPt>
            <c:idx val="942"/>
            <c:invertIfNegative val="1"/>
            <c:bubble3D val="0"/>
            <c:spPr>
              <a:solidFill>
                <a:srgbClr val="4285F4"/>
              </a:solidFill>
              <a:ln cmpd="sng">
                <a:solidFill>
                  <a:srgbClr val="000000"/>
                </a:solidFill>
                <a:prstDash val="solid"/>
              </a:ln>
            </c:spPr>
          </c:dPt>
          <c:dPt>
            <c:idx val="943"/>
            <c:invertIfNegative val="1"/>
            <c:bubble3D val="0"/>
            <c:spPr>
              <a:solidFill>
                <a:srgbClr val="4285F4"/>
              </a:solidFill>
              <a:ln cmpd="sng">
                <a:solidFill>
                  <a:srgbClr val="000000"/>
                </a:solidFill>
                <a:prstDash val="solid"/>
              </a:ln>
            </c:spPr>
          </c:dPt>
          <c:dPt>
            <c:idx val="944"/>
            <c:invertIfNegative val="1"/>
            <c:bubble3D val="0"/>
            <c:spPr>
              <a:solidFill>
                <a:srgbClr val="4285F4"/>
              </a:solidFill>
              <a:ln cmpd="sng">
                <a:solidFill>
                  <a:srgbClr val="000000"/>
                </a:solidFill>
                <a:prstDash val="solid"/>
              </a:ln>
            </c:spPr>
          </c:dPt>
          <c:dPt>
            <c:idx val="945"/>
            <c:invertIfNegative val="1"/>
            <c:bubble3D val="0"/>
            <c:spPr>
              <a:solidFill>
                <a:srgbClr val="4285F4"/>
              </a:solidFill>
              <a:ln cmpd="sng">
                <a:solidFill>
                  <a:srgbClr val="000000"/>
                </a:solidFill>
                <a:prstDash val="solid"/>
              </a:ln>
            </c:spPr>
          </c:dPt>
          <c:dPt>
            <c:idx val="946"/>
            <c:invertIfNegative val="1"/>
            <c:bubble3D val="0"/>
            <c:spPr>
              <a:solidFill>
                <a:srgbClr val="4285F4"/>
              </a:solidFill>
              <a:ln cmpd="sng">
                <a:solidFill>
                  <a:srgbClr val="000000"/>
                </a:solidFill>
                <a:prstDash val="solid"/>
              </a:ln>
            </c:spPr>
          </c:dPt>
          <c:dPt>
            <c:idx val="947"/>
            <c:invertIfNegative val="1"/>
            <c:bubble3D val="0"/>
            <c:spPr>
              <a:solidFill>
                <a:srgbClr val="4285F4"/>
              </a:solidFill>
              <a:ln cmpd="sng">
                <a:solidFill>
                  <a:srgbClr val="000000"/>
                </a:solidFill>
                <a:prstDash val="solid"/>
              </a:ln>
            </c:spPr>
          </c:dPt>
          <c:dPt>
            <c:idx val="948"/>
            <c:invertIfNegative val="1"/>
            <c:bubble3D val="0"/>
            <c:spPr>
              <a:solidFill>
                <a:srgbClr val="4285F4"/>
              </a:solidFill>
              <a:ln cmpd="sng">
                <a:solidFill>
                  <a:srgbClr val="000000"/>
                </a:solidFill>
                <a:prstDash val="solid"/>
              </a:ln>
            </c:spPr>
          </c:dPt>
          <c:dPt>
            <c:idx val="949"/>
            <c:invertIfNegative val="1"/>
            <c:bubble3D val="0"/>
            <c:spPr>
              <a:solidFill>
                <a:srgbClr val="4285F4"/>
              </a:solidFill>
              <a:ln cmpd="sng">
                <a:solidFill>
                  <a:srgbClr val="000000"/>
                </a:solidFill>
                <a:prstDash val="solid"/>
              </a:ln>
            </c:spPr>
          </c:dPt>
          <c:dPt>
            <c:idx val="950"/>
            <c:invertIfNegative val="1"/>
            <c:bubble3D val="0"/>
            <c:spPr>
              <a:solidFill>
                <a:srgbClr val="4285F4"/>
              </a:solidFill>
              <a:ln cmpd="sng">
                <a:solidFill>
                  <a:srgbClr val="000000"/>
                </a:solidFill>
                <a:prstDash val="solid"/>
              </a:ln>
            </c:spPr>
          </c:dPt>
          <c:dPt>
            <c:idx val="951"/>
            <c:invertIfNegative val="1"/>
            <c:bubble3D val="0"/>
            <c:spPr>
              <a:solidFill>
                <a:srgbClr val="4285F4"/>
              </a:solidFill>
              <a:ln cmpd="sng">
                <a:solidFill>
                  <a:srgbClr val="000000"/>
                </a:solidFill>
                <a:prstDash val="solid"/>
              </a:ln>
            </c:spPr>
          </c:dPt>
          <c:dPt>
            <c:idx val="952"/>
            <c:invertIfNegative val="1"/>
            <c:bubble3D val="0"/>
            <c:spPr>
              <a:solidFill>
                <a:srgbClr val="4285F4"/>
              </a:solidFill>
              <a:ln cmpd="sng">
                <a:solidFill>
                  <a:srgbClr val="000000"/>
                </a:solidFill>
                <a:prstDash val="solid"/>
              </a:ln>
            </c:spPr>
          </c:dPt>
          <c:dPt>
            <c:idx val="953"/>
            <c:invertIfNegative val="1"/>
            <c:bubble3D val="0"/>
            <c:spPr>
              <a:solidFill>
                <a:srgbClr val="4285F4"/>
              </a:solidFill>
              <a:ln cmpd="sng">
                <a:solidFill>
                  <a:srgbClr val="000000"/>
                </a:solidFill>
                <a:prstDash val="solid"/>
              </a:ln>
            </c:spPr>
          </c:dPt>
          <c:dPt>
            <c:idx val="954"/>
            <c:invertIfNegative val="1"/>
            <c:bubble3D val="0"/>
            <c:spPr>
              <a:solidFill>
                <a:srgbClr val="4285F4"/>
              </a:solidFill>
              <a:ln cmpd="sng">
                <a:solidFill>
                  <a:srgbClr val="000000"/>
                </a:solidFill>
                <a:prstDash val="solid"/>
              </a:ln>
            </c:spPr>
          </c:dPt>
          <c:dPt>
            <c:idx val="955"/>
            <c:invertIfNegative val="1"/>
            <c:bubble3D val="0"/>
            <c:spPr>
              <a:solidFill>
                <a:srgbClr val="4285F4"/>
              </a:solidFill>
              <a:ln cmpd="sng">
                <a:solidFill>
                  <a:srgbClr val="000000"/>
                </a:solidFill>
                <a:prstDash val="solid"/>
              </a:ln>
            </c:spPr>
          </c:dPt>
          <c:dPt>
            <c:idx val="956"/>
            <c:invertIfNegative val="1"/>
            <c:bubble3D val="0"/>
            <c:spPr>
              <a:solidFill>
                <a:srgbClr val="4285F4"/>
              </a:solidFill>
              <a:ln cmpd="sng">
                <a:solidFill>
                  <a:srgbClr val="000000"/>
                </a:solidFill>
                <a:prstDash val="solid"/>
              </a:ln>
            </c:spPr>
          </c:dPt>
          <c:dPt>
            <c:idx val="957"/>
            <c:invertIfNegative val="1"/>
            <c:bubble3D val="0"/>
            <c:spPr>
              <a:solidFill>
                <a:srgbClr val="4285F4"/>
              </a:solidFill>
              <a:ln cmpd="sng">
                <a:solidFill>
                  <a:srgbClr val="000000"/>
                </a:solidFill>
                <a:prstDash val="solid"/>
              </a:ln>
            </c:spPr>
          </c:dPt>
          <c:dPt>
            <c:idx val="958"/>
            <c:invertIfNegative val="1"/>
            <c:bubble3D val="0"/>
            <c:spPr>
              <a:solidFill>
                <a:srgbClr val="4285F4"/>
              </a:solidFill>
              <a:ln cmpd="sng">
                <a:solidFill>
                  <a:srgbClr val="000000"/>
                </a:solidFill>
                <a:prstDash val="solid"/>
              </a:ln>
            </c:spPr>
          </c:dPt>
          <c:dPt>
            <c:idx val="959"/>
            <c:invertIfNegative val="1"/>
            <c:bubble3D val="0"/>
            <c:spPr>
              <a:solidFill>
                <a:srgbClr val="4285F4"/>
              </a:solidFill>
              <a:ln cmpd="sng">
                <a:solidFill>
                  <a:srgbClr val="000000"/>
                </a:solidFill>
                <a:prstDash val="solid"/>
              </a:ln>
            </c:spPr>
          </c:dPt>
          <c:dPt>
            <c:idx val="960"/>
            <c:invertIfNegative val="1"/>
            <c:bubble3D val="0"/>
            <c:spPr>
              <a:solidFill>
                <a:srgbClr val="4285F4"/>
              </a:solidFill>
              <a:ln cmpd="sng">
                <a:solidFill>
                  <a:srgbClr val="000000"/>
                </a:solidFill>
                <a:prstDash val="solid"/>
              </a:ln>
            </c:spPr>
          </c:dPt>
          <c:dPt>
            <c:idx val="961"/>
            <c:invertIfNegative val="1"/>
            <c:bubble3D val="0"/>
            <c:spPr>
              <a:solidFill>
                <a:srgbClr val="4285F4"/>
              </a:solidFill>
              <a:ln cmpd="sng">
                <a:solidFill>
                  <a:srgbClr val="000000"/>
                </a:solidFill>
                <a:prstDash val="solid"/>
              </a:ln>
            </c:spPr>
          </c:dPt>
          <c:dPt>
            <c:idx val="962"/>
            <c:invertIfNegative val="1"/>
            <c:bubble3D val="0"/>
            <c:spPr>
              <a:solidFill>
                <a:srgbClr val="4285F4"/>
              </a:solidFill>
              <a:ln cmpd="sng">
                <a:solidFill>
                  <a:srgbClr val="000000"/>
                </a:solidFill>
                <a:prstDash val="solid"/>
              </a:ln>
            </c:spPr>
          </c:dPt>
          <c:dPt>
            <c:idx val="963"/>
            <c:invertIfNegative val="1"/>
            <c:bubble3D val="0"/>
            <c:spPr>
              <a:solidFill>
                <a:srgbClr val="4285F4"/>
              </a:solidFill>
              <a:ln cmpd="sng">
                <a:solidFill>
                  <a:srgbClr val="000000"/>
                </a:solidFill>
                <a:prstDash val="solid"/>
              </a:ln>
            </c:spPr>
          </c:dPt>
          <c:dPt>
            <c:idx val="964"/>
            <c:invertIfNegative val="1"/>
            <c:bubble3D val="0"/>
            <c:spPr>
              <a:solidFill>
                <a:srgbClr val="4285F4"/>
              </a:solidFill>
              <a:ln cmpd="sng">
                <a:solidFill>
                  <a:srgbClr val="000000"/>
                </a:solidFill>
                <a:prstDash val="solid"/>
              </a:ln>
            </c:spPr>
          </c:dPt>
          <c:dPt>
            <c:idx val="965"/>
            <c:invertIfNegative val="1"/>
            <c:bubble3D val="0"/>
            <c:spPr>
              <a:solidFill>
                <a:srgbClr val="4285F4"/>
              </a:solidFill>
              <a:ln cmpd="sng">
                <a:solidFill>
                  <a:srgbClr val="000000"/>
                </a:solidFill>
                <a:prstDash val="solid"/>
              </a:ln>
            </c:spPr>
          </c:dPt>
          <c:dPt>
            <c:idx val="966"/>
            <c:invertIfNegative val="1"/>
            <c:bubble3D val="0"/>
            <c:spPr>
              <a:solidFill>
                <a:srgbClr val="4285F4"/>
              </a:solidFill>
              <a:ln cmpd="sng">
                <a:solidFill>
                  <a:srgbClr val="000000"/>
                </a:solidFill>
                <a:prstDash val="solid"/>
              </a:ln>
            </c:spPr>
          </c:dPt>
          <c:dPt>
            <c:idx val="967"/>
            <c:invertIfNegative val="1"/>
            <c:bubble3D val="0"/>
            <c:spPr>
              <a:solidFill>
                <a:srgbClr val="4285F4"/>
              </a:solidFill>
              <a:ln cmpd="sng">
                <a:solidFill>
                  <a:srgbClr val="000000"/>
                </a:solidFill>
                <a:prstDash val="solid"/>
              </a:ln>
            </c:spPr>
          </c:dPt>
          <c:dPt>
            <c:idx val="968"/>
            <c:invertIfNegative val="1"/>
            <c:bubble3D val="0"/>
            <c:spPr>
              <a:solidFill>
                <a:srgbClr val="4285F4"/>
              </a:solidFill>
              <a:ln cmpd="sng">
                <a:solidFill>
                  <a:srgbClr val="000000"/>
                </a:solidFill>
                <a:prstDash val="solid"/>
              </a:ln>
            </c:spPr>
          </c:dPt>
          <c:dPt>
            <c:idx val="969"/>
            <c:invertIfNegative val="1"/>
            <c:bubble3D val="0"/>
            <c:spPr>
              <a:solidFill>
                <a:srgbClr val="4285F4"/>
              </a:solidFill>
              <a:ln cmpd="sng">
                <a:solidFill>
                  <a:srgbClr val="000000"/>
                </a:solidFill>
                <a:prstDash val="solid"/>
              </a:ln>
            </c:spPr>
          </c:dPt>
          <c:dPt>
            <c:idx val="970"/>
            <c:invertIfNegative val="1"/>
            <c:bubble3D val="0"/>
            <c:spPr>
              <a:solidFill>
                <a:srgbClr val="4285F4"/>
              </a:solidFill>
              <a:ln cmpd="sng">
                <a:solidFill>
                  <a:srgbClr val="000000"/>
                </a:solidFill>
                <a:prstDash val="solid"/>
              </a:ln>
            </c:spPr>
          </c:dPt>
          <c:dPt>
            <c:idx val="971"/>
            <c:invertIfNegative val="1"/>
            <c:bubble3D val="0"/>
            <c:spPr>
              <a:solidFill>
                <a:srgbClr val="4285F4"/>
              </a:solidFill>
              <a:ln cmpd="sng">
                <a:solidFill>
                  <a:srgbClr val="000000"/>
                </a:solidFill>
                <a:prstDash val="solid"/>
              </a:ln>
            </c:spPr>
          </c:dPt>
          <c:dPt>
            <c:idx val="972"/>
            <c:invertIfNegative val="1"/>
            <c:bubble3D val="0"/>
            <c:spPr>
              <a:solidFill>
                <a:srgbClr val="4285F4"/>
              </a:solidFill>
              <a:ln cmpd="sng">
                <a:solidFill>
                  <a:srgbClr val="000000"/>
                </a:solidFill>
                <a:prstDash val="solid"/>
              </a:ln>
            </c:spPr>
          </c:dPt>
          <c:dPt>
            <c:idx val="973"/>
            <c:invertIfNegative val="1"/>
            <c:bubble3D val="0"/>
            <c:spPr>
              <a:solidFill>
                <a:srgbClr val="4285F4"/>
              </a:solidFill>
              <a:ln cmpd="sng">
                <a:solidFill>
                  <a:srgbClr val="000000"/>
                </a:solidFill>
                <a:prstDash val="solid"/>
              </a:ln>
            </c:spPr>
          </c:dPt>
          <c:dPt>
            <c:idx val="974"/>
            <c:invertIfNegative val="1"/>
            <c:bubble3D val="0"/>
            <c:spPr>
              <a:solidFill>
                <a:srgbClr val="4285F4"/>
              </a:solidFill>
              <a:ln cmpd="sng">
                <a:solidFill>
                  <a:srgbClr val="000000"/>
                </a:solidFill>
                <a:prstDash val="solid"/>
              </a:ln>
            </c:spPr>
          </c:dPt>
          <c:dPt>
            <c:idx val="975"/>
            <c:invertIfNegative val="1"/>
            <c:bubble3D val="0"/>
            <c:spPr>
              <a:solidFill>
                <a:srgbClr val="4285F4"/>
              </a:solidFill>
              <a:ln cmpd="sng">
                <a:solidFill>
                  <a:srgbClr val="000000"/>
                </a:solidFill>
                <a:prstDash val="solid"/>
              </a:ln>
            </c:spPr>
          </c:dPt>
          <c:dPt>
            <c:idx val="976"/>
            <c:invertIfNegative val="1"/>
            <c:bubble3D val="0"/>
            <c:spPr>
              <a:solidFill>
                <a:srgbClr val="4285F4"/>
              </a:solidFill>
              <a:ln cmpd="sng">
                <a:solidFill>
                  <a:srgbClr val="000000"/>
                </a:solidFill>
                <a:prstDash val="solid"/>
              </a:ln>
            </c:spPr>
          </c:dPt>
          <c:dPt>
            <c:idx val="977"/>
            <c:invertIfNegative val="1"/>
            <c:bubble3D val="0"/>
            <c:spPr>
              <a:solidFill>
                <a:srgbClr val="4285F4"/>
              </a:solidFill>
              <a:ln cmpd="sng">
                <a:solidFill>
                  <a:srgbClr val="000000"/>
                </a:solidFill>
                <a:prstDash val="solid"/>
              </a:ln>
            </c:spPr>
          </c:dPt>
          <c:dPt>
            <c:idx val="978"/>
            <c:invertIfNegative val="1"/>
            <c:bubble3D val="0"/>
            <c:spPr>
              <a:solidFill>
                <a:srgbClr val="4285F4"/>
              </a:solidFill>
              <a:ln cmpd="sng">
                <a:solidFill>
                  <a:srgbClr val="000000"/>
                </a:solidFill>
                <a:prstDash val="solid"/>
              </a:ln>
            </c:spPr>
          </c:dPt>
          <c:dPt>
            <c:idx val="979"/>
            <c:invertIfNegative val="1"/>
            <c:bubble3D val="0"/>
            <c:spPr>
              <a:solidFill>
                <a:srgbClr val="4285F4"/>
              </a:solidFill>
              <a:ln cmpd="sng">
                <a:solidFill>
                  <a:srgbClr val="000000"/>
                </a:solidFill>
                <a:prstDash val="solid"/>
              </a:ln>
            </c:spPr>
          </c:dPt>
          <c:dPt>
            <c:idx val="980"/>
            <c:invertIfNegative val="1"/>
            <c:bubble3D val="0"/>
            <c:spPr>
              <a:solidFill>
                <a:srgbClr val="4285F4"/>
              </a:solidFill>
              <a:ln cmpd="sng">
                <a:solidFill>
                  <a:srgbClr val="000000"/>
                </a:solidFill>
                <a:prstDash val="solid"/>
              </a:ln>
            </c:spPr>
          </c:dPt>
          <c:dPt>
            <c:idx val="981"/>
            <c:invertIfNegative val="1"/>
            <c:bubble3D val="0"/>
            <c:spPr>
              <a:solidFill>
                <a:srgbClr val="4285F4"/>
              </a:solidFill>
              <a:ln cmpd="sng">
                <a:solidFill>
                  <a:srgbClr val="000000"/>
                </a:solidFill>
                <a:prstDash val="solid"/>
              </a:ln>
            </c:spPr>
          </c:dPt>
          <c:dPt>
            <c:idx val="982"/>
            <c:invertIfNegative val="1"/>
            <c:bubble3D val="0"/>
            <c:spPr>
              <a:solidFill>
                <a:srgbClr val="4285F4"/>
              </a:solidFill>
              <a:ln cmpd="sng">
                <a:solidFill>
                  <a:srgbClr val="000000"/>
                </a:solidFill>
                <a:prstDash val="solid"/>
              </a:ln>
            </c:spPr>
          </c:dPt>
          <c:dPt>
            <c:idx val="983"/>
            <c:invertIfNegative val="1"/>
            <c:bubble3D val="0"/>
            <c:spPr>
              <a:solidFill>
                <a:srgbClr val="4285F4"/>
              </a:solidFill>
              <a:ln cmpd="sng">
                <a:solidFill>
                  <a:srgbClr val="000000"/>
                </a:solidFill>
                <a:prstDash val="solid"/>
              </a:ln>
            </c:spPr>
          </c:dPt>
          <c:dPt>
            <c:idx val="984"/>
            <c:invertIfNegative val="1"/>
            <c:bubble3D val="0"/>
            <c:spPr>
              <a:solidFill>
                <a:srgbClr val="4285F4"/>
              </a:solidFill>
              <a:ln cmpd="sng">
                <a:solidFill>
                  <a:srgbClr val="000000"/>
                </a:solidFill>
                <a:prstDash val="solid"/>
              </a:ln>
            </c:spPr>
          </c:dPt>
          <c:dPt>
            <c:idx val="985"/>
            <c:invertIfNegative val="1"/>
            <c:bubble3D val="0"/>
            <c:spPr>
              <a:solidFill>
                <a:srgbClr val="4285F4"/>
              </a:solidFill>
              <a:ln cmpd="sng">
                <a:solidFill>
                  <a:srgbClr val="000000"/>
                </a:solidFill>
                <a:prstDash val="solid"/>
              </a:ln>
            </c:spPr>
          </c:dPt>
          <c:dPt>
            <c:idx val="986"/>
            <c:invertIfNegative val="1"/>
            <c:bubble3D val="0"/>
            <c:spPr>
              <a:solidFill>
                <a:srgbClr val="4285F4"/>
              </a:solidFill>
              <a:ln cmpd="sng">
                <a:solidFill>
                  <a:srgbClr val="000000"/>
                </a:solidFill>
                <a:prstDash val="solid"/>
              </a:ln>
            </c:spPr>
          </c:dPt>
          <c:dPt>
            <c:idx val="987"/>
            <c:invertIfNegative val="1"/>
            <c:bubble3D val="0"/>
            <c:spPr>
              <a:solidFill>
                <a:srgbClr val="4285F4"/>
              </a:solidFill>
              <a:ln cmpd="sng">
                <a:solidFill>
                  <a:srgbClr val="000000"/>
                </a:solidFill>
                <a:prstDash val="solid"/>
              </a:ln>
            </c:spPr>
          </c:dPt>
          <c:dPt>
            <c:idx val="988"/>
            <c:invertIfNegative val="1"/>
            <c:bubble3D val="0"/>
            <c:spPr>
              <a:solidFill>
                <a:srgbClr val="4285F4"/>
              </a:solidFill>
              <a:ln cmpd="sng">
                <a:solidFill>
                  <a:srgbClr val="000000"/>
                </a:solidFill>
                <a:prstDash val="solid"/>
              </a:ln>
            </c:spPr>
          </c:dPt>
          <c:dPt>
            <c:idx val="989"/>
            <c:invertIfNegative val="1"/>
            <c:bubble3D val="0"/>
            <c:spPr>
              <a:solidFill>
                <a:srgbClr val="4285F4"/>
              </a:solidFill>
              <a:ln cmpd="sng">
                <a:solidFill>
                  <a:srgbClr val="000000"/>
                </a:solidFill>
                <a:prstDash val="solid"/>
              </a:ln>
            </c:spPr>
          </c:dPt>
          <c:dPt>
            <c:idx val="990"/>
            <c:invertIfNegative val="1"/>
            <c:bubble3D val="0"/>
            <c:spPr>
              <a:solidFill>
                <a:srgbClr val="4285F4"/>
              </a:solidFill>
              <a:ln cmpd="sng">
                <a:solidFill>
                  <a:srgbClr val="000000"/>
                </a:solidFill>
                <a:prstDash val="solid"/>
              </a:ln>
            </c:spPr>
          </c:dPt>
          <c:dPt>
            <c:idx val="991"/>
            <c:invertIfNegative val="1"/>
            <c:bubble3D val="0"/>
            <c:spPr>
              <a:solidFill>
                <a:srgbClr val="4285F4"/>
              </a:solidFill>
              <a:ln cmpd="sng">
                <a:solidFill>
                  <a:srgbClr val="000000"/>
                </a:solidFill>
                <a:prstDash val="solid"/>
              </a:ln>
            </c:spPr>
          </c:dPt>
          <c:dPt>
            <c:idx val="992"/>
            <c:invertIfNegative val="1"/>
            <c:bubble3D val="0"/>
            <c:spPr>
              <a:solidFill>
                <a:srgbClr val="4285F4"/>
              </a:solidFill>
              <a:ln cmpd="sng">
                <a:solidFill>
                  <a:srgbClr val="000000"/>
                </a:solidFill>
                <a:prstDash val="solid"/>
              </a:ln>
            </c:spPr>
          </c:dPt>
          <c:dPt>
            <c:idx val="993"/>
            <c:invertIfNegative val="1"/>
            <c:bubble3D val="0"/>
            <c:spPr>
              <a:solidFill>
                <a:srgbClr val="4285F4"/>
              </a:solidFill>
              <a:ln cmpd="sng">
                <a:solidFill>
                  <a:srgbClr val="000000"/>
                </a:solidFill>
                <a:prstDash val="solid"/>
              </a:ln>
            </c:spPr>
          </c:dPt>
          <c:dPt>
            <c:idx val="994"/>
            <c:invertIfNegative val="1"/>
            <c:bubble3D val="0"/>
            <c:spPr>
              <a:solidFill>
                <a:srgbClr val="4285F4"/>
              </a:solidFill>
              <a:ln cmpd="sng">
                <a:solidFill>
                  <a:srgbClr val="000000"/>
                </a:solidFill>
                <a:prstDash val="solid"/>
              </a:ln>
            </c:spPr>
          </c:dPt>
          <c:dPt>
            <c:idx val="995"/>
            <c:invertIfNegative val="1"/>
            <c:bubble3D val="0"/>
            <c:spPr>
              <a:solidFill>
                <a:srgbClr val="4285F4"/>
              </a:solidFill>
              <a:ln cmpd="sng">
                <a:solidFill>
                  <a:srgbClr val="000000"/>
                </a:solidFill>
                <a:prstDash val="solid"/>
              </a:ln>
            </c:spPr>
          </c:dPt>
          <c:dPt>
            <c:idx val="996"/>
            <c:invertIfNegative val="1"/>
            <c:bubble3D val="0"/>
            <c:spPr>
              <a:solidFill>
                <a:srgbClr val="4285F4"/>
              </a:solidFill>
              <a:ln cmpd="sng">
                <a:solidFill>
                  <a:srgbClr val="000000"/>
                </a:solidFill>
                <a:prstDash val="solid"/>
              </a:ln>
            </c:spPr>
          </c:dPt>
          <c:dPt>
            <c:idx val="997"/>
            <c:invertIfNegative val="1"/>
            <c:bubble3D val="0"/>
            <c:spPr>
              <a:solidFill>
                <a:srgbClr val="4285F4"/>
              </a:solidFill>
              <a:ln cmpd="sng">
                <a:solidFill>
                  <a:srgbClr val="000000"/>
                </a:solidFill>
                <a:prstDash val="solid"/>
              </a:ln>
            </c:spPr>
          </c:dPt>
          <c:dLbls>
            <c:delete val="1"/>
          </c:dLbls>
          <c:cat>
            <c:numRef>
              <c:f>'Avaliação diária'!$A$3:$A$1000</c:f>
              <c:numCache>
                <c:formatCode>dd/mm/yyyy</c:formatCode>
                <c:ptCount val="998"/>
                <c:pt idx="0" c:formatCode="dd/mm/yyyy">
                  <c:v>45076</c:v>
                </c:pt>
                <c:pt idx="1" c:formatCode="dd/mm/yyyy">
                  <c:v>45077</c:v>
                </c:pt>
                <c:pt idx="2" c:formatCode="dd/mm/yyyy">
                  <c:v>45078</c:v>
                </c:pt>
                <c:pt idx="3" c:formatCode="dd/mm/yyyy">
                  <c:v>45079</c:v>
                </c:pt>
                <c:pt idx="4" c:formatCode="dd/mm/yyyy">
                  <c:v>45080</c:v>
                </c:pt>
                <c:pt idx="5" c:formatCode="dd/mm/yyyy">
                  <c:v>45081</c:v>
                </c:pt>
                <c:pt idx="6" c:formatCode="dd/mm/yyyy">
                  <c:v>45082</c:v>
                </c:pt>
                <c:pt idx="7" c:formatCode="dd/mm/yyyy">
                  <c:v>45083</c:v>
                </c:pt>
                <c:pt idx="8" c:formatCode="dd/mm/yyyy">
                  <c:v>45084</c:v>
                </c:pt>
                <c:pt idx="9" c:formatCode="dd/mm/yyyy">
                  <c:v>45085</c:v>
                </c:pt>
                <c:pt idx="10" c:formatCode="dd/mm/yyyy">
                  <c:v>45086</c:v>
                </c:pt>
                <c:pt idx="11" c:formatCode="dd/mm/yyyy">
                  <c:v>45087</c:v>
                </c:pt>
                <c:pt idx="12" c:formatCode="dd/mm/yyyy">
                  <c:v>45088</c:v>
                </c:pt>
                <c:pt idx="13" c:formatCode="dd/mm/yyyy">
                  <c:v>45089</c:v>
                </c:pt>
                <c:pt idx="14" c:formatCode="dd/mm/yyyy">
                  <c:v>45090</c:v>
                </c:pt>
                <c:pt idx="15" c:formatCode="dd/mm/yyyy">
                  <c:v>45091</c:v>
                </c:pt>
                <c:pt idx="16" c:formatCode="dd/mm/yyyy">
                  <c:v>45092</c:v>
                </c:pt>
                <c:pt idx="17" c:formatCode="dd/mm/yyyy">
                  <c:v>45093</c:v>
                </c:pt>
                <c:pt idx="18" c:formatCode="dd/mm/yyyy">
                  <c:v>45094</c:v>
                </c:pt>
                <c:pt idx="19" c:formatCode="dd/mm/yyyy">
                  <c:v>45095</c:v>
                </c:pt>
                <c:pt idx="20" c:formatCode="dd/mm/yyyy">
                  <c:v>45096</c:v>
                </c:pt>
                <c:pt idx="21" c:formatCode="dd/mm/yyyy">
                  <c:v>45097</c:v>
                </c:pt>
                <c:pt idx="22" c:formatCode="dd/mm/yyyy">
                  <c:v>45098</c:v>
                </c:pt>
                <c:pt idx="23" c:formatCode="dd/mm/yyyy">
                  <c:v>45099</c:v>
                </c:pt>
                <c:pt idx="24" c:formatCode="dd/mm/yyyy">
                  <c:v>45100</c:v>
                </c:pt>
                <c:pt idx="25" c:formatCode="dd/mm/yyyy">
                  <c:v>45101</c:v>
                </c:pt>
                <c:pt idx="26" c:formatCode="dd/mm/yyyy">
                  <c:v>45102</c:v>
                </c:pt>
                <c:pt idx="27" c:formatCode="dd/mm/yyyy">
                  <c:v>45103</c:v>
                </c:pt>
                <c:pt idx="28" c:formatCode="dd/mm/yyyy">
                  <c:v>45104</c:v>
                </c:pt>
                <c:pt idx="29" c:formatCode="dd/mm/yyyy">
                  <c:v>45105</c:v>
                </c:pt>
                <c:pt idx="30" c:formatCode="dd/mm/yyyy">
                  <c:v>45106</c:v>
                </c:pt>
                <c:pt idx="31" c:formatCode="dd/mm/yyyy">
                  <c:v>45107</c:v>
                </c:pt>
                <c:pt idx="32" c:formatCode="dd/mm/yyyy">
                  <c:v>45108</c:v>
                </c:pt>
                <c:pt idx="33" c:formatCode="dd/mm/yyyy">
                  <c:v>45109</c:v>
                </c:pt>
                <c:pt idx="34" c:formatCode="dd/mm/yyyy">
                  <c:v>45110</c:v>
                </c:pt>
                <c:pt idx="35" c:formatCode="dd/mm/yyyy">
                  <c:v>45111</c:v>
                </c:pt>
                <c:pt idx="36" c:formatCode="dd/mm/yyyy">
                  <c:v>45112</c:v>
                </c:pt>
                <c:pt idx="37" c:formatCode="dd/mm/yyyy">
                  <c:v>45113</c:v>
                </c:pt>
                <c:pt idx="38" c:formatCode="dd/mm/yyyy">
                  <c:v>45114</c:v>
                </c:pt>
                <c:pt idx="39" c:formatCode="dd/mm/yyyy">
                  <c:v>45115</c:v>
                </c:pt>
                <c:pt idx="40" c:formatCode="dd/mm/yyyy">
                  <c:v>45116</c:v>
                </c:pt>
                <c:pt idx="41" c:formatCode="dd/mm/yyyy">
                  <c:v>45117</c:v>
                </c:pt>
                <c:pt idx="42" c:formatCode="dd/mm/yyyy">
                  <c:v>45118</c:v>
                </c:pt>
                <c:pt idx="43" c:formatCode="dd/mm/yyyy">
                  <c:v>45119</c:v>
                </c:pt>
                <c:pt idx="44" c:formatCode="dd/mm/yyyy">
                  <c:v>45120</c:v>
                </c:pt>
                <c:pt idx="45" c:formatCode="dd/mm/yyyy">
                  <c:v>45121</c:v>
                </c:pt>
                <c:pt idx="46" c:formatCode="dd/mm/yyyy">
                  <c:v>45122</c:v>
                </c:pt>
                <c:pt idx="47" c:formatCode="dd/mm/yyyy">
                  <c:v>45123</c:v>
                </c:pt>
                <c:pt idx="48" c:formatCode="dd/mm/yyyy">
                  <c:v>45124</c:v>
                </c:pt>
                <c:pt idx="49" c:formatCode="dd/mm/yyyy">
                  <c:v>45125</c:v>
                </c:pt>
                <c:pt idx="50" c:formatCode="dd/mm/yyyy">
                  <c:v>45126</c:v>
                </c:pt>
                <c:pt idx="51" c:formatCode="dd/mm/yyyy">
                  <c:v>45127</c:v>
                </c:pt>
                <c:pt idx="52" c:formatCode="dd/mm/yyyy">
                  <c:v>45128</c:v>
                </c:pt>
                <c:pt idx="53" c:formatCode="dd/mm/yyyy">
                  <c:v>45129</c:v>
                </c:pt>
                <c:pt idx="54" c:formatCode="dd/mm/yyyy">
                  <c:v>45130</c:v>
                </c:pt>
                <c:pt idx="55" c:formatCode="dd/mm/yyyy">
                  <c:v>45131</c:v>
                </c:pt>
                <c:pt idx="56" c:formatCode="dd/mm/yyyy">
                  <c:v>45132</c:v>
                </c:pt>
                <c:pt idx="57" c:formatCode="dd/mm/yyyy">
                  <c:v>45133</c:v>
                </c:pt>
                <c:pt idx="58" c:formatCode="dd/mm/yyyy">
                  <c:v>45134</c:v>
                </c:pt>
                <c:pt idx="59" c:formatCode="dd/mm/yyyy">
                  <c:v>45135</c:v>
                </c:pt>
                <c:pt idx="60" c:formatCode="dd/mm/yyyy">
                  <c:v>45136</c:v>
                </c:pt>
                <c:pt idx="61" c:formatCode="dd/mm/yyyy">
                  <c:v>45137</c:v>
                </c:pt>
                <c:pt idx="62" c:formatCode="dd/mm/yyyy">
                  <c:v>45138</c:v>
                </c:pt>
                <c:pt idx="63" c:formatCode="dd/mm/yyyy">
                  <c:v>45139</c:v>
                </c:pt>
                <c:pt idx="64" c:formatCode="dd/mm/yyyy">
                  <c:v>45140</c:v>
                </c:pt>
                <c:pt idx="65" c:formatCode="dd/mm/yyyy">
                  <c:v>45141</c:v>
                </c:pt>
                <c:pt idx="66" c:formatCode="dd/mm/yyyy">
                  <c:v>45142</c:v>
                </c:pt>
                <c:pt idx="67" c:formatCode="dd/mm/yyyy">
                  <c:v>45143</c:v>
                </c:pt>
                <c:pt idx="68" c:formatCode="dd/mm/yyyy">
                  <c:v>45144</c:v>
                </c:pt>
                <c:pt idx="69" c:formatCode="dd/mm/yyyy">
                  <c:v>45145</c:v>
                </c:pt>
                <c:pt idx="70" c:formatCode="dd/mm/yyyy">
                  <c:v>45146</c:v>
                </c:pt>
                <c:pt idx="71" c:formatCode="dd/mm/yyyy">
                  <c:v>45147</c:v>
                </c:pt>
                <c:pt idx="72" c:formatCode="dd/mm/yyyy">
                  <c:v>45148</c:v>
                </c:pt>
                <c:pt idx="73" c:formatCode="dd/mm/yyyy">
                  <c:v>45149</c:v>
                </c:pt>
                <c:pt idx="74" c:formatCode="dd/mm/yyyy">
                  <c:v>45150</c:v>
                </c:pt>
                <c:pt idx="75" c:formatCode="dd/mm/yyyy">
                  <c:v>45151</c:v>
                </c:pt>
                <c:pt idx="76" c:formatCode="dd/mm/yyyy">
                  <c:v>45152</c:v>
                </c:pt>
                <c:pt idx="77" c:formatCode="dd/mm/yyyy">
                  <c:v>45153</c:v>
                </c:pt>
                <c:pt idx="78" c:formatCode="dd/mm/yyyy">
                  <c:v>45154</c:v>
                </c:pt>
                <c:pt idx="79" c:formatCode="dd/mm/yyyy">
                  <c:v>45155</c:v>
                </c:pt>
                <c:pt idx="80" c:formatCode="dd/mm/yyyy">
                  <c:v>45156</c:v>
                </c:pt>
                <c:pt idx="81" c:formatCode="dd/mm/yyyy">
                  <c:v>45157</c:v>
                </c:pt>
                <c:pt idx="82" c:formatCode="dd/mm/yyyy">
                  <c:v>45158</c:v>
                </c:pt>
                <c:pt idx="83" c:formatCode="dd/mm/yyyy">
                  <c:v>45159</c:v>
                </c:pt>
                <c:pt idx="84" c:formatCode="dd/mm/yyyy">
                  <c:v>45160</c:v>
                </c:pt>
                <c:pt idx="85" c:formatCode="dd/mm/yyyy">
                  <c:v>45161</c:v>
                </c:pt>
                <c:pt idx="86" c:formatCode="dd/mm/yyyy">
                  <c:v>45162</c:v>
                </c:pt>
                <c:pt idx="87" c:formatCode="dd/mm/yyyy">
                  <c:v>45163</c:v>
                </c:pt>
                <c:pt idx="88" c:formatCode="dd/mm/yyyy">
                  <c:v>45164</c:v>
                </c:pt>
                <c:pt idx="89" c:formatCode="dd/mm/yyyy">
                  <c:v>45165</c:v>
                </c:pt>
                <c:pt idx="90" c:formatCode="dd/mm/yyyy">
                  <c:v>45166</c:v>
                </c:pt>
                <c:pt idx="91" c:formatCode="dd/mm/yyyy">
                  <c:v>45167</c:v>
                </c:pt>
                <c:pt idx="92" c:formatCode="dd/mm/yyyy">
                  <c:v>45168</c:v>
                </c:pt>
                <c:pt idx="93" c:formatCode="dd/mm/yyyy">
                  <c:v>45169</c:v>
                </c:pt>
                <c:pt idx="94" c:formatCode="dd/mm/yyyy">
                  <c:v>45170</c:v>
                </c:pt>
                <c:pt idx="95" c:formatCode="dd/mm/yyyy">
                  <c:v>45171</c:v>
                </c:pt>
                <c:pt idx="96" c:formatCode="dd/mm/yyyy">
                  <c:v>45172</c:v>
                </c:pt>
                <c:pt idx="97" c:formatCode="dd/mm/yyyy">
                  <c:v>45173</c:v>
                </c:pt>
                <c:pt idx="98" c:formatCode="dd/mm/yyyy">
                  <c:v>45174</c:v>
                </c:pt>
                <c:pt idx="99" c:formatCode="dd/mm/yyyy">
                  <c:v>45175</c:v>
                </c:pt>
                <c:pt idx="100" c:formatCode="dd/mm/yyyy">
                  <c:v>45176</c:v>
                </c:pt>
                <c:pt idx="101" c:formatCode="dd/mm/yyyy">
                  <c:v>45177</c:v>
                </c:pt>
                <c:pt idx="102" c:formatCode="dd/mm/yyyy">
                  <c:v>45178</c:v>
                </c:pt>
                <c:pt idx="103" c:formatCode="dd/mm/yyyy">
                  <c:v>45179</c:v>
                </c:pt>
                <c:pt idx="104" c:formatCode="dd/mm/yyyy">
                  <c:v>45180</c:v>
                </c:pt>
                <c:pt idx="105" c:formatCode="dd/mm/yyyy">
                  <c:v>45181</c:v>
                </c:pt>
                <c:pt idx="106" c:formatCode="dd/mm/yyyy">
                  <c:v>45182</c:v>
                </c:pt>
                <c:pt idx="107" c:formatCode="dd/mm/yyyy">
                  <c:v>45183</c:v>
                </c:pt>
                <c:pt idx="108" c:formatCode="dd/mm/yyyy">
                  <c:v>45184</c:v>
                </c:pt>
                <c:pt idx="109" c:formatCode="dd/mm/yyyy">
                  <c:v>45185</c:v>
                </c:pt>
                <c:pt idx="110" c:formatCode="dd/mm/yyyy">
                  <c:v>45186</c:v>
                </c:pt>
                <c:pt idx="111" c:formatCode="dd/mm/yyyy">
                  <c:v>45187</c:v>
                </c:pt>
                <c:pt idx="112" c:formatCode="dd/mm/yyyy">
                  <c:v>45188</c:v>
                </c:pt>
                <c:pt idx="113" c:formatCode="dd/mm/yyyy">
                  <c:v>45189</c:v>
                </c:pt>
                <c:pt idx="114" c:formatCode="dd/mm/yyyy">
                  <c:v>45190</c:v>
                </c:pt>
                <c:pt idx="115" c:formatCode="dd/mm/yyyy">
                  <c:v>45191</c:v>
                </c:pt>
                <c:pt idx="116" c:formatCode="dd/mm/yyyy">
                  <c:v>45192</c:v>
                </c:pt>
                <c:pt idx="117" c:formatCode="dd/mm/yyyy">
                  <c:v>45193</c:v>
                </c:pt>
                <c:pt idx="118" c:formatCode="dd/mm/yyyy">
                  <c:v>45194</c:v>
                </c:pt>
                <c:pt idx="119" c:formatCode="dd/mm/yyyy">
                  <c:v>45195</c:v>
                </c:pt>
                <c:pt idx="120" c:formatCode="dd/mm/yyyy">
                  <c:v>45196</c:v>
                </c:pt>
                <c:pt idx="121" c:formatCode="dd/mm/yyyy">
                  <c:v>45197</c:v>
                </c:pt>
                <c:pt idx="122" c:formatCode="dd/mm/yyyy">
                  <c:v>45198</c:v>
                </c:pt>
                <c:pt idx="123" c:formatCode="dd/mm/yyyy">
                  <c:v>45199</c:v>
                </c:pt>
                <c:pt idx="124" c:formatCode="dd/mm/yyyy">
                  <c:v>45200</c:v>
                </c:pt>
                <c:pt idx="125" c:formatCode="dd/mm/yyyy">
                  <c:v>45201</c:v>
                </c:pt>
                <c:pt idx="126" c:formatCode="dd/mm/yyyy">
                  <c:v>45202</c:v>
                </c:pt>
                <c:pt idx="127" c:formatCode="dd/mm/yyyy">
                  <c:v>45203</c:v>
                </c:pt>
                <c:pt idx="128" c:formatCode="dd/mm/yyyy">
                  <c:v>45204</c:v>
                </c:pt>
                <c:pt idx="129" c:formatCode="dd/mm/yyyy">
                  <c:v>45205</c:v>
                </c:pt>
                <c:pt idx="130" c:formatCode="dd/mm/yyyy">
                  <c:v>45206</c:v>
                </c:pt>
                <c:pt idx="131" c:formatCode="dd/mm/yyyy">
                  <c:v>45207</c:v>
                </c:pt>
                <c:pt idx="132" c:formatCode="dd/mm/yyyy">
                  <c:v>45208</c:v>
                </c:pt>
                <c:pt idx="133" c:formatCode="d/m/yyyy">
                  <c:v>33887</c:v>
                </c:pt>
                <c:pt idx="134" c:formatCode="d/m/yyyy">
                  <c:v>33888</c:v>
                </c:pt>
                <c:pt idx="135" c:formatCode="d/m/yyyy">
                  <c:v>45211</c:v>
                </c:pt>
                <c:pt idx="136" c:formatCode="d/m/yyyy">
                  <c:v>45212</c:v>
                </c:pt>
                <c:pt idx="137" c:formatCode="d/m/yyyy">
                  <c:v>45213</c:v>
                </c:pt>
                <c:pt idx="138" c:formatCode="d/m/yyyy">
                  <c:v>45214</c:v>
                </c:pt>
                <c:pt idx="139" c:formatCode="d/m/yyyy">
                  <c:v>45215</c:v>
                </c:pt>
                <c:pt idx="140" c:formatCode="d/m/yyyy">
                  <c:v>45216</c:v>
                </c:pt>
                <c:pt idx="141" c:formatCode="d/m/yyyy">
                  <c:v>45217</c:v>
                </c:pt>
                <c:pt idx="142" c:formatCode="d/m/yyyy">
                  <c:v>45218</c:v>
                </c:pt>
                <c:pt idx="143" c:formatCode="d/m/yyyy">
                  <c:v>45219</c:v>
                </c:pt>
                <c:pt idx="144" c:formatCode="d/m/yyyy">
                  <c:v>45220</c:v>
                </c:pt>
                <c:pt idx="145" c:formatCode="d/m/yyyy">
                  <c:v>45221</c:v>
                </c:pt>
                <c:pt idx="146" c:formatCode="d/m/yyyy">
                  <c:v>45222</c:v>
                </c:pt>
                <c:pt idx="147" c:formatCode="d/m/yyyy">
                  <c:v>45223</c:v>
                </c:pt>
                <c:pt idx="148" c:formatCode="d/m/yyyy">
                  <c:v>45224</c:v>
                </c:pt>
                <c:pt idx="149" c:formatCode="d/m/yyyy">
                  <c:v>45225</c:v>
                </c:pt>
                <c:pt idx="150" c:formatCode="d/m/yyyy">
                  <c:v>45226</c:v>
                </c:pt>
                <c:pt idx="151" c:formatCode="d/m/yyyy">
                  <c:v>45227</c:v>
                </c:pt>
                <c:pt idx="152" c:formatCode="d/m/yyyy">
                  <c:v>45228</c:v>
                </c:pt>
                <c:pt idx="153" c:formatCode="d/m/yyyy">
                  <c:v>45229</c:v>
                </c:pt>
                <c:pt idx="154" c:formatCode="d/m/yyyy">
                  <c:v>45230</c:v>
                </c:pt>
                <c:pt idx="155" c:formatCode="dd/mm/yyyy">
                  <c:v>45231</c:v>
                </c:pt>
                <c:pt idx="156" c:formatCode="dd/mm/yyyy">
                  <c:v>45232</c:v>
                </c:pt>
                <c:pt idx="157" c:formatCode="dd/mm/yyyy">
                  <c:v>45233</c:v>
                </c:pt>
                <c:pt idx="158" c:formatCode="dd/mm/yyyy">
                  <c:v>45234</c:v>
                </c:pt>
                <c:pt idx="159" c:formatCode="dd/mm/yyyy">
                  <c:v>45235</c:v>
                </c:pt>
                <c:pt idx="160" c:formatCode="dd/mm/yyyy">
                  <c:v>45236</c:v>
                </c:pt>
                <c:pt idx="161" c:formatCode="dd/mm/yyyy">
                  <c:v>45237</c:v>
                </c:pt>
                <c:pt idx="162" c:formatCode="dd/mm/yyyy">
                  <c:v>45238</c:v>
                </c:pt>
                <c:pt idx="163" c:formatCode="dd/mm/yyyy">
                  <c:v>45239</c:v>
                </c:pt>
                <c:pt idx="164" c:formatCode="d/m/yyyy">
                  <c:v>45240</c:v>
                </c:pt>
                <c:pt idx="165" c:formatCode="d/m/yyyy">
                  <c:v>45241</c:v>
                </c:pt>
                <c:pt idx="166" c:formatCode="d/m/yyyy">
                  <c:v>45242</c:v>
                </c:pt>
                <c:pt idx="167" c:formatCode="d/m/yyyy">
                  <c:v>45243</c:v>
                </c:pt>
                <c:pt idx="168" c:formatCode="d/m/yyyy">
                  <c:v>45244</c:v>
                </c:pt>
                <c:pt idx="169" c:formatCode="d/m/yyyy">
                  <c:v>45245</c:v>
                </c:pt>
                <c:pt idx="170" c:formatCode="d/m/yyyy">
                  <c:v>45246</c:v>
                </c:pt>
                <c:pt idx="171" c:formatCode="d/m/yyyy">
                  <c:v>45247</c:v>
                </c:pt>
                <c:pt idx="172" c:formatCode="d/m/yyyy">
                  <c:v>45248</c:v>
                </c:pt>
                <c:pt idx="173" c:formatCode="d/m/yyyy">
                  <c:v>45249</c:v>
                </c:pt>
                <c:pt idx="174" c:formatCode="d/m/yyyy">
                  <c:v>45250</c:v>
                </c:pt>
                <c:pt idx="175" c:formatCode="d/m/yyyy">
                  <c:v>45251</c:v>
                </c:pt>
                <c:pt idx="176" c:formatCode="d/m/yyyy">
                  <c:v>45252</c:v>
                </c:pt>
                <c:pt idx="177" c:formatCode="d/m/yyyy">
                  <c:v>45253</c:v>
                </c:pt>
                <c:pt idx="178" c:formatCode="d/m/yyyy">
                  <c:v>45254</c:v>
                </c:pt>
                <c:pt idx="179" c:formatCode="d/m/yyyy">
                  <c:v>45255</c:v>
                </c:pt>
                <c:pt idx="180" c:formatCode="d/m/yyyy">
                  <c:v>45256</c:v>
                </c:pt>
                <c:pt idx="181" c:formatCode="d/m/yyyy">
                  <c:v>45257</c:v>
                </c:pt>
                <c:pt idx="182" c:formatCode="d/m/yyyy">
                  <c:v>45258</c:v>
                </c:pt>
                <c:pt idx="183" c:formatCode="d/m/yyyy">
                  <c:v>45259</c:v>
                </c:pt>
                <c:pt idx="184" c:formatCode="d/m/yyyy">
                  <c:v>45260</c:v>
                </c:pt>
                <c:pt idx="185" c:formatCode="dd/mm/yyyy">
                  <c:v>45627</c:v>
                </c:pt>
                <c:pt idx="186" c:formatCode="dd/mm/yyyy">
                  <c:v>45262</c:v>
                </c:pt>
                <c:pt idx="187" c:formatCode="dd/mm/yyyy">
                  <c:v>45263</c:v>
                </c:pt>
                <c:pt idx="188" c:formatCode="dd/mm/yyyy">
                  <c:v>45264</c:v>
                </c:pt>
                <c:pt idx="189" c:formatCode="dd/mm/yyyy">
                  <c:v>45265</c:v>
                </c:pt>
                <c:pt idx="190" c:formatCode="dd/mm/yyyy">
                  <c:v>45266</c:v>
                </c:pt>
                <c:pt idx="191" c:formatCode="dd/mm/yyyy">
                  <c:v>45267</c:v>
                </c:pt>
                <c:pt idx="192" c:formatCode="dd/mm/yyyy">
                  <c:v>45268</c:v>
                </c:pt>
                <c:pt idx="193" c:formatCode="dd/mm/yyyy">
                  <c:v>45269</c:v>
                </c:pt>
                <c:pt idx="194" c:formatCode="dd/mm/yyyy">
                  <c:v>45270</c:v>
                </c:pt>
                <c:pt idx="195" c:formatCode="dd/mm/yyyy">
                  <c:v>45271</c:v>
                </c:pt>
                <c:pt idx="196" c:formatCode="dd/mm/yyyy">
                  <c:v>45272</c:v>
                </c:pt>
                <c:pt idx="197" c:formatCode="dd/mm/yyyy">
                  <c:v>45273</c:v>
                </c:pt>
                <c:pt idx="198" c:formatCode="dd/mm/yyyy">
                  <c:v>45274</c:v>
                </c:pt>
                <c:pt idx="199" c:formatCode="d/m/yyyy">
                  <c:v>45275</c:v>
                </c:pt>
                <c:pt idx="200" c:formatCode="d/m/yyyy">
                  <c:v>45276</c:v>
                </c:pt>
                <c:pt idx="201" c:formatCode="d/m/yyyy">
                  <c:v>45277</c:v>
                </c:pt>
                <c:pt idx="202" c:formatCode="d/m/yyyy">
                  <c:v>45278</c:v>
                </c:pt>
                <c:pt idx="203" c:formatCode="d/m/yyyy">
                  <c:v>45279</c:v>
                </c:pt>
                <c:pt idx="204" c:formatCode="d/m/yyyy">
                  <c:v>45280</c:v>
                </c:pt>
                <c:pt idx="205" c:formatCode="d/m/yyyy">
                  <c:v>45281</c:v>
                </c:pt>
                <c:pt idx="206" c:formatCode="d/m/yyyy">
                  <c:v>45282</c:v>
                </c:pt>
                <c:pt idx="207" c:formatCode="d/m/yyyy">
                  <c:v>45283</c:v>
                </c:pt>
                <c:pt idx="208" c:formatCode="d/m/yyyy">
                  <c:v>45284</c:v>
                </c:pt>
                <c:pt idx="209" c:formatCode="d/m/yyyy">
                  <c:v>45285</c:v>
                </c:pt>
                <c:pt idx="210" c:formatCode="d/m/yyyy">
                  <c:v>45286</c:v>
                </c:pt>
                <c:pt idx="211" c:formatCode="d/m/yyyy">
                  <c:v>45287</c:v>
                </c:pt>
                <c:pt idx="212" c:formatCode="d/m/yyyy">
                  <c:v>45288</c:v>
                </c:pt>
                <c:pt idx="213" c:formatCode="d/m/yyyy">
                  <c:v>45289</c:v>
                </c:pt>
                <c:pt idx="214" c:formatCode="d/m/yyyy">
                  <c:v>45290</c:v>
                </c:pt>
                <c:pt idx="215" c:formatCode="d/m/yyyy">
                  <c:v>45291</c:v>
                </c:pt>
                <c:pt idx="216" c:formatCode="dd/mm/yyyy">
                  <c:v>45292</c:v>
                </c:pt>
                <c:pt idx="217" c:formatCode="dd/mm/yyyy">
                  <c:v>45293</c:v>
                </c:pt>
                <c:pt idx="218" c:formatCode="dd/mm/yyyy">
                  <c:v>45294</c:v>
                </c:pt>
                <c:pt idx="219" c:formatCode="dd/mm/yyyy">
                  <c:v>45295</c:v>
                </c:pt>
                <c:pt idx="220" c:formatCode="dd/mm/yyyy">
                  <c:v>44931</c:v>
                </c:pt>
                <c:pt idx="221" c:formatCode="dd/mm/yyyy">
                  <c:v>45297</c:v>
                </c:pt>
                <c:pt idx="222" c:formatCode="dd/mm/yyyy">
                  <c:v>45298</c:v>
                </c:pt>
                <c:pt idx="223" c:formatCode="dd/mm/yyyy">
                  <c:v>45299</c:v>
                </c:pt>
                <c:pt idx="224" c:formatCode="dd/mm/yyyy">
                  <c:v>45300</c:v>
                </c:pt>
                <c:pt idx="225" c:formatCode="dd/mm/yyyy">
                  <c:v>45301</c:v>
                </c:pt>
                <c:pt idx="226" c:formatCode="dd/mm/yyyy">
                  <c:v>45302</c:v>
                </c:pt>
                <c:pt idx="227" c:formatCode="dd/mm/yyyy">
                  <c:v>45303</c:v>
                </c:pt>
                <c:pt idx="228" c:formatCode="dd/mm/yyyy">
                  <c:v>45304</c:v>
                </c:pt>
                <c:pt idx="229" c:formatCode="dd/mm/yyyy">
                  <c:v>45305</c:v>
                </c:pt>
                <c:pt idx="230" c:formatCode="dd/mm/yyyy">
                  <c:v>45306</c:v>
                </c:pt>
                <c:pt idx="231" c:formatCode="dd/mm/yyyy">
                  <c:v>45307</c:v>
                </c:pt>
                <c:pt idx="232" c:formatCode="dd/mm/yyyy">
                  <c:v>45308</c:v>
                </c:pt>
                <c:pt idx="233" c:formatCode="dd/mm/yyyy">
                  <c:v>45309</c:v>
                </c:pt>
                <c:pt idx="234" c:formatCode="dd/mm/yyyy">
                  <c:v>45310</c:v>
                </c:pt>
                <c:pt idx="235" c:formatCode="dd/mm/yyyy">
                  <c:v>45311</c:v>
                </c:pt>
                <c:pt idx="236" c:formatCode="dd/mm/yyyy">
                  <c:v>45312</c:v>
                </c:pt>
                <c:pt idx="237" c:formatCode="dd/mm/yyyy">
                  <c:v>45313</c:v>
                </c:pt>
                <c:pt idx="238" c:formatCode="dd/mm/yyyy">
                  <c:v>45314</c:v>
                </c:pt>
                <c:pt idx="239" c:formatCode="dd/mm/yyyy">
                  <c:v>45315</c:v>
                </c:pt>
                <c:pt idx="240" c:formatCode="dd/mm/yyyy">
                  <c:v>45316</c:v>
                </c:pt>
                <c:pt idx="241" c:formatCode="dd/mm/yyyy">
                  <c:v>45317</c:v>
                </c:pt>
                <c:pt idx="242" c:formatCode="dd/mm/yyyy">
                  <c:v>45318</c:v>
                </c:pt>
                <c:pt idx="243" c:formatCode="dd/mm/yyyy">
                  <c:v>45319</c:v>
                </c:pt>
                <c:pt idx="244" c:formatCode="dd/mm/yyyy">
                  <c:v>45320</c:v>
                </c:pt>
                <c:pt idx="245" c:formatCode="dd/mm/yyyy">
                  <c:v>45321</c:v>
                </c:pt>
                <c:pt idx="246" c:formatCode="dd/mm/yyyy">
                  <c:v>45322</c:v>
                </c:pt>
                <c:pt idx="247" c:formatCode="dd/mm/yyyy">
                  <c:v>45323</c:v>
                </c:pt>
                <c:pt idx="248" c:formatCode="dd/mm/yyyy">
                  <c:v>45324</c:v>
                </c:pt>
                <c:pt idx="249" c:formatCode="dd/mm/yyyy">
                  <c:v>45325</c:v>
                </c:pt>
                <c:pt idx="250" c:formatCode="dd/mm/yyyy">
                  <c:v>45326</c:v>
                </c:pt>
                <c:pt idx="251" c:formatCode="dd/mm/yyyy">
                  <c:v>45327</c:v>
                </c:pt>
                <c:pt idx="252" c:formatCode="dd/mm/yyyy">
                  <c:v>45328</c:v>
                </c:pt>
                <c:pt idx="253" c:formatCode="dd/mm/yyyy">
                  <c:v>45329</c:v>
                </c:pt>
                <c:pt idx="254" c:formatCode="dd/mm/yyyy">
                  <c:v>45330</c:v>
                </c:pt>
                <c:pt idx="255" c:formatCode="dd/mm/yyyy">
                  <c:v>45331</c:v>
                </c:pt>
                <c:pt idx="256" c:formatCode="dd/mm/yyyy">
                  <c:v>45332</c:v>
                </c:pt>
                <c:pt idx="257" c:formatCode="dd/mm/yyyy">
                  <c:v>45333</c:v>
                </c:pt>
                <c:pt idx="258" c:formatCode="dd/mm/yyyy">
                  <c:v>45334</c:v>
                </c:pt>
                <c:pt idx="259" c:formatCode="dd/mm/yyyy">
                  <c:v>45335</c:v>
                </c:pt>
                <c:pt idx="260" c:formatCode="dd/mm/yyyy">
                  <c:v>45336</c:v>
                </c:pt>
                <c:pt idx="261" c:formatCode="dd/mm/yyyy">
                  <c:v>45337</c:v>
                </c:pt>
                <c:pt idx="262" c:formatCode="dd/mm/yyyy">
                  <c:v>45338</c:v>
                </c:pt>
                <c:pt idx="263" c:formatCode="dd/mm/yyyy">
                  <c:v>45339</c:v>
                </c:pt>
                <c:pt idx="264" c:formatCode="dd/mm/yyyy">
                  <c:v>45340</c:v>
                </c:pt>
                <c:pt idx="265" c:formatCode="dd/mm/yyyy">
                  <c:v>45341</c:v>
                </c:pt>
                <c:pt idx="266" c:formatCode="dd/mm/yyyy">
                  <c:v>45342</c:v>
                </c:pt>
                <c:pt idx="267" c:formatCode="dd/mm/yyyy">
                  <c:v>45343</c:v>
                </c:pt>
                <c:pt idx="268" c:formatCode="dd/mm/yyyy">
                  <c:v>45344</c:v>
                </c:pt>
                <c:pt idx="269" c:formatCode="dd/mm/yyyy">
                  <c:v>45345</c:v>
                </c:pt>
                <c:pt idx="270" c:formatCode="dd/mm/yyyy">
                  <c:v>45346</c:v>
                </c:pt>
                <c:pt idx="271" c:formatCode="dd/mm/yyyy">
                  <c:v>45347</c:v>
                </c:pt>
                <c:pt idx="272" c:formatCode="dd/mm/yyyy">
                  <c:v>45348</c:v>
                </c:pt>
                <c:pt idx="273" c:formatCode="dd/mm/yyyy">
                  <c:v>45349</c:v>
                </c:pt>
                <c:pt idx="274" c:formatCode="dd/mm/yyyy">
                  <c:v>45350</c:v>
                </c:pt>
                <c:pt idx="275" c:formatCode="dd/mm/yyyy">
                  <c:v>45351</c:v>
                </c:pt>
                <c:pt idx="276" c:formatCode="dd/mm/yyyy">
                  <c:v>45352</c:v>
                </c:pt>
                <c:pt idx="277" c:formatCode="dd/mm/yyyy">
                  <c:v>45353</c:v>
                </c:pt>
                <c:pt idx="278" c:formatCode="dd/mm/yyyy">
                  <c:v>45354</c:v>
                </c:pt>
                <c:pt idx="279" c:formatCode="dd/mm/yyyy">
                  <c:v>45355</c:v>
                </c:pt>
                <c:pt idx="280" c:formatCode="dd/mm/yyyy">
                  <c:v>45356</c:v>
                </c:pt>
                <c:pt idx="281" c:formatCode="dd/mm/yyyy">
                  <c:v>45357</c:v>
                </c:pt>
                <c:pt idx="282" c:formatCode="dd/mm/yyyy">
                  <c:v>45358</c:v>
                </c:pt>
                <c:pt idx="283" c:formatCode="dd/mm/yyyy">
                  <c:v>45359</c:v>
                </c:pt>
                <c:pt idx="284" c:formatCode="dd/mm/yyyy">
                  <c:v>45360</c:v>
                </c:pt>
                <c:pt idx="285" c:formatCode="dd/mm/yyyy">
                  <c:v>45361</c:v>
                </c:pt>
                <c:pt idx="286" c:formatCode="dd/mm/yyyy">
                  <c:v>45362</c:v>
                </c:pt>
                <c:pt idx="287" c:formatCode="dd/mm/yyyy">
                  <c:v>45363</c:v>
                </c:pt>
                <c:pt idx="288" c:formatCode="dd/mm/yyyy">
                  <c:v>45364</c:v>
                </c:pt>
                <c:pt idx="289" c:formatCode="dd/mm/yyyy">
                  <c:v>45365</c:v>
                </c:pt>
                <c:pt idx="290" c:formatCode="dd/mm/yyyy">
                  <c:v>45366</c:v>
                </c:pt>
                <c:pt idx="291" c:formatCode="dd/mm/yyyy">
                  <c:v>45367</c:v>
                </c:pt>
                <c:pt idx="292" c:formatCode="dd/mm/yyyy">
                  <c:v>45368</c:v>
                </c:pt>
                <c:pt idx="293" c:formatCode="dd/mm/yyyy">
                  <c:v>45369</c:v>
                </c:pt>
                <c:pt idx="294" c:formatCode="dd/mm/yyyy">
                  <c:v>45370</c:v>
                </c:pt>
                <c:pt idx="295" c:formatCode="dd/mm/yyyy">
                  <c:v>45371</c:v>
                </c:pt>
                <c:pt idx="296" c:formatCode="dd/mm/yyyy">
                  <c:v>45372</c:v>
                </c:pt>
                <c:pt idx="297" c:formatCode="dd/mm/yyyy">
                  <c:v>45373</c:v>
                </c:pt>
                <c:pt idx="298" c:formatCode="dd/mm/yyyy">
                  <c:v>45374</c:v>
                </c:pt>
                <c:pt idx="299" c:formatCode="dd/mm/yyyy">
                  <c:v>45375</c:v>
                </c:pt>
                <c:pt idx="300" c:formatCode="dd/mm/yyyy">
                  <c:v>45376</c:v>
                </c:pt>
                <c:pt idx="301" c:formatCode="dd/mm/yyyy">
                  <c:v>45377</c:v>
                </c:pt>
                <c:pt idx="302" c:formatCode="dd/mm/yyyy">
                  <c:v>45378</c:v>
                </c:pt>
                <c:pt idx="303" c:formatCode="dd/mm/yyyy">
                  <c:v>45379</c:v>
                </c:pt>
                <c:pt idx="304" c:formatCode="dd/mm/yyyy">
                  <c:v>45380</c:v>
                </c:pt>
                <c:pt idx="305" c:formatCode="dd/mm/yyyy">
                  <c:v>45381</c:v>
                </c:pt>
                <c:pt idx="306" c:formatCode="dd/mm/yyyy">
                  <c:v>45382</c:v>
                </c:pt>
                <c:pt idx="307" c:formatCode="dd/mm/yyyy">
                  <c:v>45383</c:v>
                </c:pt>
                <c:pt idx="308" c:formatCode="dd/mm/yyyy">
                  <c:v>45384</c:v>
                </c:pt>
                <c:pt idx="309" c:formatCode="dd/mm/yyyy">
                  <c:v>45385</c:v>
                </c:pt>
                <c:pt idx="310" c:formatCode="dd/mm/yyyy">
                  <c:v>45386</c:v>
                </c:pt>
                <c:pt idx="311" c:formatCode="dd/mm/yyyy">
                  <c:v>45387</c:v>
                </c:pt>
                <c:pt idx="312" c:formatCode="dd/mm/yyyy">
                  <c:v>45388</c:v>
                </c:pt>
                <c:pt idx="313" c:formatCode="dd/mm/yyyy">
                  <c:v>45389</c:v>
                </c:pt>
                <c:pt idx="314" c:formatCode="dd/mm/yyyy">
                  <c:v>45390</c:v>
                </c:pt>
                <c:pt idx="315" c:formatCode="dd/mm/yyyy">
                  <c:v>45391</c:v>
                </c:pt>
                <c:pt idx="316" c:formatCode="dd/mm/yyyy">
                  <c:v>45392</c:v>
                </c:pt>
                <c:pt idx="317" c:formatCode="dd/mm/yyyy">
                  <c:v>45393</c:v>
                </c:pt>
                <c:pt idx="318" c:formatCode="dd/mm/yyyy">
                  <c:v>45394</c:v>
                </c:pt>
                <c:pt idx="319" c:formatCode="dd/mm/yyyy">
                  <c:v>45395</c:v>
                </c:pt>
                <c:pt idx="320" c:formatCode="dd/mm/yyyy">
                  <c:v>45396</c:v>
                </c:pt>
                <c:pt idx="321" c:formatCode="dd/mm/yyyy">
                  <c:v>45397</c:v>
                </c:pt>
                <c:pt idx="322" c:formatCode="dd/mm/yyyy">
                  <c:v>45398</c:v>
                </c:pt>
                <c:pt idx="323" c:formatCode="dd/mm/yyyy">
                  <c:v>45399</c:v>
                </c:pt>
                <c:pt idx="324" c:formatCode="dd/mm/yyyy">
                  <c:v>45400</c:v>
                </c:pt>
                <c:pt idx="325" c:formatCode="dd/mm/yyyy">
                  <c:v>45401</c:v>
                </c:pt>
                <c:pt idx="326" c:formatCode="dd/mm/yyyy">
                  <c:v>45402</c:v>
                </c:pt>
                <c:pt idx="327" c:formatCode="dd/mm/yyyy">
                  <c:v>45403</c:v>
                </c:pt>
                <c:pt idx="328" c:formatCode="dd/mm/yyyy">
                  <c:v>45404</c:v>
                </c:pt>
                <c:pt idx="329" c:formatCode="dd/mm/yyyy">
                  <c:v>45405</c:v>
                </c:pt>
                <c:pt idx="330" c:formatCode="dd/mm/yyyy">
                  <c:v>45406</c:v>
                </c:pt>
                <c:pt idx="331" c:formatCode="dd/mm/yyyy">
                  <c:v>45407</c:v>
                </c:pt>
                <c:pt idx="332" c:formatCode="dd/mm/yyyy">
                  <c:v>45408</c:v>
                </c:pt>
                <c:pt idx="333" c:formatCode="dd/mm/yyyy">
                  <c:v>45409</c:v>
                </c:pt>
                <c:pt idx="334" c:formatCode="dd/mm/yyyy">
                  <c:v>45410</c:v>
                </c:pt>
                <c:pt idx="335" c:formatCode="dd/mm/yyyy">
                  <c:v>45411</c:v>
                </c:pt>
                <c:pt idx="336" c:formatCode="dd/mm/yyyy">
                  <c:v>45412</c:v>
                </c:pt>
                <c:pt idx="337" c:formatCode="dd/mm/yyyy">
                  <c:v>45413</c:v>
                </c:pt>
                <c:pt idx="338" c:formatCode="dd/mm/yyyy">
                  <c:v>45414</c:v>
                </c:pt>
                <c:pt idx="339" c:formatCode="dd/mm/yyyy">
                  <c:v>45415</c:v>
                </c:pt>
                <c:pt idx="340" c:formatCode="dd/mm/yyyy">
                  <c:v>45416</c:v>
                </c:pt>
                <c:pt idx="341" c:formatCode="dd/mm/yyyy">
                  <c:v>45417</c:v>
                </c:pt>
                <c:pt idx="342" c:formatCode="dd/mm/yyyy">
                  <c:v>45418</c:v>
                </c:pt>
                <c:pt idx="343" c:formatCode="dd/mm/yyyy">
                  <c:v>45419</c:v>
                </c:pt>
                <c:pt idx="344" c:formatCode="dd/mm/yyyy">
                  <c:v>45420</c:v>
                </c:pt>
                <c:pt idx="345" c:formatCode="dd/mm/yyyy">
                  <c:v>45421</c:v>
                </c:pt>
                <c:pt idx="346" c:formatCode="dd/mm/yyyy">
                  <c:v>45422</c:v>
                </c:pt>
                <c:pt idx="347" c:formatCode="dd/mm/yyyy">
                  <c:v>45423</c:v>
                </c:pt>
                <c:pt idx="348" c:formatCode="dd/mm/yyyy">
                  <c:v>45424</c:v>
                </c:pt>
                <c:pt idx="349" c:formatCode="dd/mm/yyyy">
                  <c:v>45425</c:v>
                </c:pt>
                <c:pt idx="350" c:formatCode="dd/mm/yyyy">
                  <c:v>45426</c:v>
                </c:pt>
                <c:pt idx="351" c:formatCode="dd/mm/yyyy">
                  <c:v>45427</c:v>
                </c:pt>
                <c:pt idx="352" c:formatCode="dd/mm/yyyy">
                  <c:v>45428</c:v>
                </c:pt>
                <c:pt idx="353" c:formatCode="dd/mm/yyyy">
                  <c:v>45429</c:v>
                </c:pt>
                <c:pt idx="354" c:formatCode="dd/mm/yyyy">
                  <c:v>45430</c:v>
                </c:pt>
                <c:pt idx="355" c:formatCode="dd/mm/yyyy">
                  <c:v>45431</c:v>
                </c:pt>
                <c:pt idx="356" c:formatCode="dd/mm/yyyy">
                  <c:v>45432</c:v>
                </c:pt>
                <c:pt idx="357" c:formatCode="dd/mm/yyyy">
                  <c:v>45433</c:v>
                </c:pt>
                <c:pt idx="358" c:formatCode="dd/mm/yyyy">
                  <c:v>45434</c:v>
                </c:pt>
                <c:pt idx="359" c:formatCode="dd/mm/yyyy">
                  <c:v>45435</c:v>
                </c:pt>
                <c:pt idx="360" c:formatCode="dd/mm/yyyy">
                  <c:v>45436</c:v>
                </c:pt>
                <c:pt idx="361" c:formatCode="dd/mm/yyyy">
                  <c:v>45437</c:v>
                </c:pt>
                <c:pt idx="362" c:formatCode="dd/mm/yyyy">
                  <c:v>45438</c:v>
                </c:pt>
                <c:pt idx="363" c:formatCode="dd/mm/yyyy">
                  <c:v>45439</c:v>
                </c:pt>
                <c:pt idx="364" c:formatCode="dd/mm/yyyy">
                  <c:v>45440</c:v>
                </c:pt>
                <c:pt idx="365" c:formatCode="dd/mm/yyyy">
                  <c:v>45441</c:v>
                </c:pt>
                <c:pt idx="366" c:formatCode="dd/mm/yyyy">
                  <c:v>45442</c:v>
                </c:pt>
                <c:pt idx="367" c:formatCode="dd/mm/yyyy">
                  <c:v>45443</c:v>
                </c:pt>
                <c:pt idx="368" c:formatCode="dd/mm/yyyy">
                  <c:v>45444</c:v>
                </c:pt>
                <c:pt idx="369" c:formatCode="dd/mm/yyyy">
                  <c:v>45445</c:v>
                </c:pt>
                <c:pt idx="370" c:formatCode="dd/mm/yyyy">
                  <c:v>45446</c:v>
                </c:pt>
                <c:pt idx="371" c:formatCode="dd/mm/yyyy">
                  <c:v>45447</c:v>
                </c:pt>
                <c:pt idx="372" c:formatCode="dd/mm/yyyy">
                  <c:v>45448</c:v>
                </c:pt>
                <c:pt idx="373" c:formatCode="dd/mm/yyyy">
                  <c:v>45449</c:v>
                </c:pt>
              </c:numCache>
            </c:numRef>
          </c:cat>
          <c:val>
            <c:numRef>
              <c:f>'Avaliação diária'!$B$3:$B$1000</c:f>
              <c:numCache>
                <c:formatCode>General</c:formatCode>
                <c:ptCount val="998"/>
                <c:pt idx="0">
                  <c:v>51</c:v>
                </c:pt>
                <c:pt idx="1">
                  <c:v>57</c:v>
                </c:pt>
                <c:pt idx="2">
                  <c:v>40</c:v>
                </c:pt>
                <c:pt idx="3">
                  <c:v>20</c:v>
                </c:pt>
                <c:pt idx="4">
                  <c:v>14</c:v>
                </c:pt>
                <c:pt idx="5">
                  <c:v>8</c:v>
                </c:pt>
                <c:pt idx="6">
                  <c:v>228</c:v>
                </c:pt>
                <c:pt idx="7">
                  <c:v>228</c:v>
                </c:pt>
                <c:pt idx="8">
                  <c:v>76</c:v>
                </c:pt>
                <c:pt idx="9">
                  <c:v>114</c:v>
                </c:pt>
                <c:pt idx="10">
                  <c:v>81</c:v>
                </c:pt>
                <c:pt idx="11">
                  <c:v>39</c:v>
                </c:pt>
                <c:pt idx="12">
                  <c:v>41</c:v>
                </c:pt>
                <c:pt idx="13">
                  <c:v>44</c:v>
                </c:pt>
                <c:pt idx="14">
                  <c:v>53</c:v>
                </c:pt>
                <c:pt idx="15">
                  <c:v>58</c:v>
                </c:pt>
                <c:pt idx="16">
                  <c:v>43</c:v>
                </c:pt>
                <c:pt idx="17">
                  <c:v>90</c:v>
                </c:pt>
                <c:pt idx="18">
                  <c:v>34</c:v>
                </c:pt>
                <c:pt idx="19">
                  <c:v>9</c:v>
                </c:pt>
                <c:pt idx="20">
                  <c:v>64</c:v>
                </c:pt>
                <c:pt idx="21">
                  <c:v>40</c:v>
                </c:pt>
                <c:pt idx="22">
                  <c:v>42</c:v>
                </c:pt>
                <c:pt idx="23">
                  <c:v>43</c:v>
                </c:pt>
                <c:pt idx="24">
                  <c:v>14</c:v>
                </c:pt>
                <c:pt idx="25">
                  <c:v>11</c:v>
                </c:pt>
                <c:pt idx="26">
                  <c:v>19</c:v>
                </c:pt>
                <c:pt idx="27">
                  <c:v>41</c:v>
                </c:pt>
                <c:pt idx="28">
                  <c:v>32</c:v>
                </c:pt>
                <c:pt idx="29">
                  <c:v>30</c:v>
                </c:pt>
                <c:pt idx="30">
                  <c:v>36</c:v>
                </c:pt>
                <c:pt idx="31">
                  <c:v>32</c:v>
                </c:pt>
                <c:pt idx="32">
                  <c:v>12</c:v>
                </c:pt>
                <c:pt idx="33">
                  <c:v>15</c:v>
                </c:pt>
                <c:pt idx="34">
                  <c:v>33</c:v>
                </c:pt>
                <c:pt idx="35">
                  <c:v>23</c:v>
                </c:pt>
                <c:pt idx="36">
                  <c:v>38</c:v>
                </c:pt>
                <c:pt idx="37">
                  <c:v>22</c:v>
                </c:pt>
                <c:pt idx="38">
                  <c:v>14</c:v>
                </c:pt>
                <c:pt idx="39">
                  <c:v>13</c:v>
                </c:pt>
                <c:pt idx="40">
                  <c:v>13</c:v>
                </c:pt>
                <c:pt idx="41">
                  <c:v>39</c:v>
                </c:pt>
                <c:pt idx="42">
                  <c:v>29</c:v>
                </c:pt>
                <c:pt idx="43">
                  <c:v>34</c:v>
                </c:pt>
                <c:pt idx="44">
                  <c:v>35</c:v>
                </c:pt>
                <c:pt idx="45">
                  <c:v>27</c:v>
                </c:pt>
                <c:pt idx="46">
                  <c:v>12</c:v>
                </c:pt>
                <c:pt idx="47">
                  <c:v>15</c:v>
                </c:pt>
                <c:pt idx="48">
                  <c:v>34</c:v>
                </c:pt>
                <c:pt idx="49">
                  <c:v>33</c:v>
                </c:pt>
                <c:pt idx="50">
                  <c:v>35</c:v>
                </c:pt>
                <c:pt idx="51">
                  <c:v>21</c:v>
                </c:pt>
                <c:pt idx="52">
                  <c:v>16</c:v>
                </c:pt>
                <c:pt idx="53">
                  <c:v>9</c:v>
                </c:pt>
                <c:pt idx="54">
                  <c:v>10</c:v>
                </c:pt>
                <c:pt idx="55">
                  <c:v>26</c:v>
                </c:pt>
                <c:pt idx="56">
                  <c:v>45</c:v>
                </c:pt>
                <c:pt idx="57">
                  <c:v>34</c:v>
                </c:pt>
                <c:pt idx="58">
                  <c:v>34</c:v>
                </c:pt>
                <c:pt idx="59">
                  <c:v>25</c:v>
                </c:pt>
                <c:pt idx="60">
                  <c:v>8</c:v>
                </c:pt>
                <c:pt idx="61">
                  <c:v>5</c:v>
                </c:pt>
                <c:pt idx="62">
                  <c:v>26</c:v>
                </c:pt>
                <c:pt idx="63">
                  <c:v>40</c:v>
                </c:pt>
                <c:pt idx="64">
                  <c:v>19</c:v>
                </c:pt>
                <c:pt idx="65">
                  <c:v>35</c:v>
                </c:pt>
                <c:pt idx="66">
                  <c:v>19</c:v>
                </c:pt>
                <c:pt idx="67">
                  <c:v>12</c:v>
                </c:pt>
                <c:pt idx="68">
                  <c:v>6</c:v>
                </c:pt>
                <c:pt idx="69">
                  <c:v>39</c:v>
                </c:pt>
                <c:pt idx="70">
                  <c:v>36</c:v>
                </c:pt>
                <c:pt idx="71">
                  <c:v>13</c:v>
                </c:pt>
                <c:pt idx="72">
                  <c:v>64</c:v>
                </c:pt>
                <c:pt idx="73">
                  <c:v>33</c:v>
                </c:pt>
                <c:pt idx="74">
                  <c:v>11</c:v>
                </c:pt>
                <c:pt idx="75">
                  <c:v>6</c:v>
                </c:pt>
                <c:pt idx="76">
                  <c:v>40</c:v>
                </c:pt>
                <c:pt idx="77">
                  <c:v>44</c:v>
                </c:pt>
                <c:pt idx="78">
                  <c:v>38</c:v>
                </c:pt>
                <c:pt idx="79">
                  <c:v>40</c:v>
                </c:pt>
                <c:pt idx="80">
                  <c:v>174</c:v>
                </c:pt>
                <c:pt idx="81">
                  <c:v>58</c:v>
                </c:pt>
                <c:pt idx="82">
                  <c:v>26</c:v>
                </c:pt>
                <c:pt idx="83">
                  <c:v>55</c:v>
                </c:pt>
                <c:pt idx="84">
                  <c:v>69</c:v>
                </c:pt>
                <c:pt idx="85">
                  <c:v>52</c:v>
                </c:pt>
                <c:pt idx="86">
                  <c:v>34</c:v>
                </c:pt>
                <c:pt idx="87">
                  <c:v>33</c:v>
                </c:pt>
                <c:pt idx="90">
                  <c:v>36</c:v>
                </c:pt>
                <c:pt idx="91">
                  <c:v>37</c:v>
                </c:pt>
                <c:pt idx="92">
                  <c:v>43</c:v>
                </c:pt>
                <c:pt idx="93">
                  <c:v>40</c:v>
                </c:pt>
                <c:pt idx="94">
                  <c:v>88</c:v>
                </c:pt>
                <c:pt idx="95">
                  <c:v>15</c:v>
                </c:pt>
                <c:pt idx="96">
                  <c:v>11</c:v>
                </c:pt>
                <c:pt idx="97">
                  <c:v>46</c:v>
                </c:pt>
                <c:pt idx="98">
                  <c:v>43</c:v>
                </c:pt>
                <c:pt idx="99">
                  <c:v>40</c:v>
                </c:pt>
                <c:pt idx="100">
                  <c:v>18</c:v>
                </c:pt>
                <c:pt idx="101">
                  <c:v>20</c:v>
                </c:pt>
                <c:pt idx="102">
                  <c:v>19</c:v>
                </c:pt>
                <c:pt idx="103">
                  <c:v>16</c:v>
                </c:pt>
                <c:pt idx="104">
                  <c:v>43</c:v>
                </c:pt>
                <c:pt idx="105">
                  <c:v>41</c:v>
                </c:pt>
                <c:pt idx="106">
                  <c:v>47</c:v>
                </c:pt>
                <c:pt idx="107">
                  <c:v>30</c:v>
                </c:pt>
                <c:pt idx="109">
                  <c:v>12</c:v>
                </c:pt>
                <c:pt idx="110">
                  <c:v>11</c:v>
                </c:pt>
                <c:pt idx="111">
                  <c:v>78</c:v>
                </c:pt>
                <c:pt idx="112">
                  <c:v>58</c:v>
                </c:pt>
                <c:pt idx="113">
                  <c:v>28</c:v>
                </c:pt>
                <c:pt idx="114">
                  <c:v>55</c:v>
                </c:pt>
                <c:pt idx="115">
                  <c:v>36</c:v>
                </c:pt>
                <c:pt idx="116">
                  <c:v>14</c:v>
                </c:pt>
                <c:pt idx="117">
                  <c:v>6</c:v>
                </c:pt>
                <c:pt idx="118">
                  <c:v>46</c:v>
                </c:pt>
                <c:pt idx="119">
                  <c:v>43</c:v>
                </c:pt>
                <c:pt idx="120">
                  <c:v>40</c:v>
                </c:pt>
                <c:pt idx="121">
                  <c:v>36</c:v>
                </c:pt>
                <c:pt idx="122">
                  <c:v>23</c:v>
                </c:pt>
                <c:pt idx="123">
                  <c:v>13</c:v>
                </c:pt>
                <c:pt idx="124">
                  <c:v>10</c:v>
                </c:pt>
                <c:pt idx="125">
                  <c:v>33</c:v>
                </c:pt>
                <c:pt idx="126">
                  <c:v>42</c:v>
                </c:pt>
                <c:pt idx="127">
                  <c:v>56</c:v>
                </c:pt>
                <c:pt idx="128">
                  <c:v>45</c:v>
                </c:pt>
                <c:pt idx="129">
                  <c:v>31</c:v>
                </c:pt>
                <c:pt idx="130">
                  <c:v>13</c:v>
                </c:pt>
                <c:pt idx="131">
                  <c:v>12</c:v>
                </c:pt>
                <c:pt idx="132">
                  <c:v>49</c:v>
                </c:pt>
                <c:pt idx="133">
                  <c:v>54</c:v>
                </c:pt>
                <c:pt idx="134">
                  <c:v>33</c:v>
                </c:pt>
                <c:pt idx="135">
                  <c:v>7</c:v>
                </c:pt>
                <c:pt idx="136">
                  <c:v>21</c:v>
                </c:pt>
                <c:pt idx="137">
                  <c:v>12</c:v>
                </c:pt>
                <c:pt idx="138">
                  <c:v>18</c:v>
                </c:pt>
                <c:pt idx="139">
                  <c:v>43</c:v>
                </c:pt>
                <c:pt idx="140">
                  <c:v>42</c:v>
                </c:pt>
                <c:pt idx="141">
                  <c:v>47</c:v>
                </c:pt>
                <c:pt idx="142">
                  <c:v>41</c:v>
                </c:pt>
                <c:pt idx="143">
                  <c:v>43</c:v>
                </c:pt>
                <c:pt idx="144">
                  <c:v>17</c:v>
                </c:pt>
                <c:pt idx="145">
                  <c:v>14</c:v>
                </c:pt>
                <c:pt idx="146">
                  <c:v>47</c:v>
                </c:pt>
                <c:pt idx="147">
                  <c:v>58</c:v>
                </c:pt>
                <c:pt idx="148">
                  <c:v>59</c:v>
                </c:pt>
                <c:pt idx="149">
                  <c:v>53</c:v>
                </c:pt>
                <c:pt idx="150">
                  <c:v>43</c:v>
                </c:pt>
                <c:pt idx="151">
                  <c:v>13</c:v>
                </c:pt>
                <c:pt idx="152">
                  <c:v>12</c:v>
                </c:pt>
                <c:pt idx="153">
                  <c:v>46</c:v>
                </c:pt>
                <c:pt idx="154">
                  <c:v>34</c:v>
                </c:pt>
                <c:pt idx="155">
                  <c:v>39</c:v>
                </c:pt>
                <c:pt idx="156">
                  <c:v>20</c:v>
                </c:pt>
                <c:pt idx="157">
                  <c:v>19</c:v>
                </c:pt>
                <c:pt idx="158">
                  <c:v>14</c:v>
                </c:pt>
                <c:pt idx="159">
                  <c:v>8</c:v>
                </c:pt>
                <c:pt idx="160">
                  <c:v>46</c:v>
                </c:pt>
                <c:pt idx="161">
                  <c:v>54</c:v>
                </c:pt>
                <c:pt idx="162">
                  <c:v>48</c:v>
                </c:pt>
                <c:pt idx="163">
                  <c:v>45</c:v>
                </c:pt>
                <c:pt idx="164">
                  <c:v>56</c:v>
                </c:pt>
                <c:pt idx="165">
                  <c:v>23</c:v>
                </c:pt>
                <c:pt idx="166">
                  <c:v>17</c:v>
                </c:pt>
                <c:pt idx="167">
                  <c:v>68</c:v>
                </c:pt>
                <c:pt idx="168">
                  <c:v>48</c:v>
                </c:pt>
                <c:pt idx="169">
                  <c:v>21</c:v>
                </c:pt>
                <c:pt idx="170">
                  <c:v>48</c:v>
                </c:pt>
                <c:pt idx="171">
                  <c:v>24</c:v>
                </c:pt>
                <c:pt idx="172">
                  <c:v>22</c:v>
                </c:pt>
                <c:pt idx="173">
                  <c:v>20</c:v>
                </c:pt>
                <c:pt idx="174">
                  <c:v>76</c:v>
                </c:pt>
                <c:pt idx="175">
                  <c:v>54</c:v>
                </c:pt>
                <c:pt idx="176">
                  <c:v>40</c:v>
                </c:pt>
                <c:pt idx="177">
                  <c:v>34</c:v>
                </c:pt>
                <c:pt idx="178">
                  <c:v>34</c:v>
                </c:pt>
                <c:pt idx="179">
                  <c:v>14</c:v>
                </c:pt>
                <c:pt idx="180">
                  <c:v>16</c:v>
                </c:pt>
                <c:pt idx="181">
                  <c:v>55</c:v>
                </c:pt>
                <c:pt idx="182">
                  <c:v>52</c:v>
                </c:pt>
                <c:pt idx="183">
                  <c:v>29</c:v>
                </c:pt>
                <c:pt idx="184">
                  <c:v>41</c:v>
                </c:pt>
                <c:pt idx="185">
                  <c:v>25</c:v>
                </c:pt>
                <c:pt idx="186">
                  <c:v>24</c:v>
                </c:pt>
                <c:pt idx="187">
                  <c:v>17</c:v>
                </c:pt>
                <c:pt idx="188">
                  <c:v>45</c:v>
                </c:pt>
                <c:pt idx="189">
                  <c:v>35</c:v>
                </c:pt>
                <c:pt idx="190">
                  <c:v>48</c:v>
                </c:pt>
                <c:pt idx="191">
                  <c:v>38</c:v>
                </c:pt>
                <c:pt idx="192">
                  <c:v>19</c:v>
                </c:pt>
                <c:pt idx="193">
                  <c:v>16</c:v>
                </c:pt>
                <c:pt idx="194">
                  <c:v>9</c:v>
                </c:pt>
                <c:pt idx="195">
                  <c:v>66</c:v>
                </c:pt>
                <c:pt idx="196">
                  <c:v>52</c:v>
                </c:pt>
                <c:pt idx="197">
                  <c:v>57</c:v>
                </c:pt>
                <c:pt idx="198">
                  <c:v>52</c:v>
                </c:pt>
                <c:pt idx="199">
                  <c:v>28</c:v>
                </c:pt>
                <c:pt idx="200">
                  <c:v>18</c:v>
                </c:pt>
                <c:pt idx="201">
                  <c:v>24</c:v>
                </c:pt>
                <c:pt idx="202">
                  <c:v>49</c:v>
                </c:pt>
                <c:pt idx="203">
                  <c:v>32</c:v>
                </c:pt>
                <c:pt idx="204">
                  <c:v>41</c:v>
                </c:pt>
                <c:pt idx="205">
                  <c:v>39</c:v>
                </c:pt>
                <c:pt idx="206">
                  <c:v>28</c:v>
                </c:pt>
                <c:pt idx="207">
                  <c:v>18</c:v>
                </c:pt>
                <c:pt idx="208">
                  <c:v>3</c:v>
                </c:pt>
                <c:pt idx="209">
                  <c:v>7</c:v>
                </c:pt>
                <c:pt idx="210">
                  <c:v>41</c:v>
                </c:pt>
                <c:pt idx="211">
                  <c:v>42</c:v>
                </c:pt>
                <c:pt idx="212">
                  <c:v>48</c:v>
                </c:pt>
                <c:pt idx="213">
                  <c:v>23</c:v>
                </c:pt>
                <c:pt idx="214">
                  <c:v>11</c:v>
                </c:pt>
                <c:pt idx="215">
                  <c:v>14</c:v>
                </c:pt>
                <c:pt idx="216">
                  <c:v>12</c:v>
                </c:pt>
                <c:pt idx="217">
                  <c:v>62</c:v>
                </c:pt>
                <c:pt idx="218">
                  <c:v>53</c:v>
                </c:pt>
                <c:pt idx="219">
                  <c:v>61</c:v>
                </c:pt>
                <c:pt idx="220">
                  <c:v>29</c:v>
                </c:pt>
                <c:pt idx="221">
                  <c:v>28</c:v>
                </c:pt>
                <c:pt idx="222">
                  <c:v>12</c:v>
                </c:pt>
                <c:pt idx="223">
                  <c:v>65</c:v>
                </c:pt>
                <c:pt idx="224">
                  <c:v>50</c:v>
                </c:pt>
                <c:pt idx="225">
                  <c:v>69</c:v>
                </c:pt>
                <c:pt idx="226">
                  <c:v>53</c:v>
                </c:pt>
                <c:pt idx="227">
                  <c:v>37</c:v>
                </c:pt>
                <c:pt idx="228">
                  <c:v>11</c:v>
                </c:pt>
                <c:pt idx="229">
                  <c:v>21</c:v>
                </c:pt>
                <c:pt idx="230">
                  <c:v>59</c:v>
                </c:pt>
                <c:pt idx="231">
                  <c:v>46</c:v>
                </c:pt>
                <c:pt idx="232">
                  <c:v>50</c:v>
                </c:pt>
                <c:pt idx="233">
                  <c:v>50</c:v>
                </c:pt>
                <c:pt idx="234">
                  <c:v>42</c:v>
                </c:pt>
                <c:pt idx="235">
                  <c:v>15</c:v>
                </c:pt>
                <c:pt idx="236">
                  <c:v>8</c:v>
                </c:pt>
                <c:pt idx="237">
                  <c:v>41</c:v>
                </c:pt>
                <c:pt idx="238">
                  <c:v>46</c:v>
                </c:pt>
                <c:pt idx="239">
                  <c:v>34</c:v>
                </c:pt>
                <c:pt idx="240">
                  <c:v>47</c:v>
                </c:pt>
                <c:pt idx="241">
                  <c:v>33</c:v>
                </c:pt>
                <c:pt idx="242">
                  <c:v>29</c:v>
                </c:pt>
                <c:pt idx="243">
                  <c:v>13</c:v>
                </c:pt>
                <c:pt idx="244">
                  <c:v>50</c:v>
                </c:pt>
                <c:pt idx="245">
                  <c:v>60</c:v>
                </c:pt>
                <c:pt idx="246">
                  <c:v>48</c:v>
                </c:pt>
                <c:pt idx="247">
                  <c:v>46</c:v>
                </c:pt>
                <c:pt idx="248">
                  <c:v>26</c:v>
                </c:pt>
                <c:pt idx="249">
                  <c:v>13</c:v>
                </c:pt>
                <c:pt idx="250">
                  <c:v>5</c:v>
                </c:pt>
                <c:pt idx="251">
                  <c:v>42</c:v>
                </c:pt>
                <c:pt idx="252">
                  <c:v>39</c:v>
                </c:pt>
                <c:pt idx="253">
                  <c:v>37</c:v>
                </c:pt>
                <c:pt idx="254">
                  <c:v>26</c:v>
                </c:pt>
                <c:pt idx="255">
                  <c:v>15</c:v>
                </c:pt>
                <c:pt idx="256">
                  <c:v>10</c:v>
                </c:pt>
                <c:pt idx="257">
                  <c:v>8</c:v>
                </c:pt>
                <c:pt idx="258">
                  <c:v>7</c:v>
                </c:pt>
                <c:pt idx="259">
                  <c:v>10</c:v>
                </c:pt>
                <c:pt idx="260">
                  <c:v>11</c:v>
                </c:pt>
                <c:pt idx="261">
                  <c:v>40</c:v>
                </c:pt>
                <c:pt idx="262">
                  <c:v>25</c:v>
                </c:pt>
                <c:pt idx="263">
                  <c:v>13</c:v>
                </c:pt>
                <c:pt idx="264">
                  <c:v>15</c:v>
                </c:pt>
                <c:pt idx="265">
                  <c:v>27</c:v>
                </c:pt>
                <c:pt idx="266">
                  <c:v>31</c:v>
                </c:pt>
                <c:pt idx="267">
                  <c:v>35</c:v>
                </c:pt>
                <c:pt idx="268">
                  <c:v>31</c:v>
                </c:pt>
                <c:pt idx="269">
                  <c:v>22</c:v>
                </c:pt>
                <c:pt idx="270">
                  <c:v>11</c:v>
                </c:pt>
                <c:pt idx="271">
                  <c:v>12</c:v>
                </c:pt>
                <c:pt idx="272">
                  <c:v>42</c:v>
                </c:pt>
                <c:pt idx="273">
                  <c:v>34</c:v>
                </c:pt>
                <c:pt idx="274">
                  <c:v>28</c:v>
                </c:pt>
                <c:pt idx="275">
                  <c:v>32</c:v>
                </c:pt>
                <c:pt idx="276">
                  <c:v>28</c:v>
                </c:pt>
                <c:pt idx="277">
                  <c:v>13</c:v>
                </c:pt>
                <c:pt idx="278">
                  <c:v>11</c:v>
                </c:pt>
                <c:pt idx="279">
                  <c:v>36</c:v>
                </c:pt>
                <c:pt idx="280">
                  <c:v>40</c:v>
                </c:pt>
                <c:pt idx="281">
                  <c:v>32</c:v>
                </c:pt>
                <c:pt idx="282">
                  <c:v>42</c:v>
                </c:pt>
                <c:pt idx="283">
                  <c:v>26</c:v>
                </c:pt>
                <c:pt idx="284">
                  <c:v>13</c:v>
                </c:pt>
                <c:pt idx="285">
                  <c:v>11</c:v>
                </c:pt>
                <c:pt idx="286">
                  <c:v>21</c:v>
                </c:pt>
                <c:pt idx="287">
                  <c:v>33</c:v>
                </c:pt>
                <c:pt idx="288">
                  <c:v>34</c:v>
                </c:pt>
                <c:pt idx="289">
                  <c:v>42</c:v>
                </c:pt>
                <c:pt idx="290">
                  <c:v>37</c:v>
                </c:pt>
                <c:pt idx="291">
                  <c:v>17</c:v>
                </c:pt>
                <c:pt idx="292">
                  <c:v>11</c:v>
                </c:pt>
                <c:pt idx="293">
                  <c:v>27</c:v>
                </c:pt>
                <c:pt idx="294">
                  <c:v>55</c:v>
                </c:pt>
                <c:pt idx="295">
                  <c:v>64</c:v>
                </c:pt>
                <c:pt idx="296">
                  <c:v>51</c:v>
                </c:pt>
                <c:pt idx="297">
                  <c:v>47</c:v>
                </c:pt>
                <c:pt idx="298">
                  <c:v>11</c:v>
                </c:pt>
                <c:pt idx="299">
                  <c:v>9</c:v>
                </c:pt>
                <c:pt idx="300">
                  <c:v>35</c:v>
                </c:pt>
                <c:pt idx="301">
                  <c:v>40</c:v>
                </c:pt>
                <c:pt idx="302">
                  <c:v>46</c:v>
                </c:pt>
                <c:pt idx="303">
                  <c:v>17</c:v>
                </c:pt>
                <c:pt idx="304">
                  <c:v>15</c:v>
                </c:pt>
                <c:pt idx="305">
                  <c:v>10</c:v>
                </c:pt>
                <c:pt idx="306">
                  <c:v>6</c:v>
                </c:pt>
                <c:pt idx="307">
                  <c:v>36</c:v>
                </c:pt>
                <c:pt idx="308">
                  <c:v>61</c:v>
                </c:pt>
                <c:pt idx="309">
                  <c:v>31</c:v>
                </c:pt>
                <c:pt idx="310">
                  <c:v>37</c:v>
                </c:pt>
                <c:pt idx="311">
                  <c:v>27</c:v>
                </c:pt>
                <c:pt idx="312">
                  <c:v>8</c:v>
                </c:pt>
                <c:pt idx="313">
                  <c:v>8</c:v>
                </c:pt>
                <c:pt idx="314">
                  <c:v>23</c:v>
                </c:pt>
                <c:pt idx="315">
                  <c:v>35</c:v>
                </c:pt>
                <c:pt idx="316">
                  <c:v>26</c:v>
                </c:pt>
                <c:pt idx="317">
                  <c:v>31</c:v>
                </c:pt>
                <c:pt idx="318">
                  <c:v>28</c:v>
                </c:pt>
                <c:pt idx="319">
                  <c:v>15</c:v>
                </c:pt>
                <c:pt idx="320">
                  <c:v>11</c:v>
                </c:pt>
                <c:pt idx="321">
                  <c:v>35</c:v>
                </c:pt>
                <c:pt idx="322">
                  <c:v>27</c:v>
                </c:pt>
                <c:pt idx="323">
                  <c:v>31</c:v>
                </c:pt>
                <c:pt idx="324">
                  <c:v>31</c:v>
                </c:pt>
                <c:pt idx="325">
                  <c:v>30</c:v>
                </c:pt>
                <c:pt idx="326">
                  <c:v>15</c:v>
                </c:pt>
                <c:pt idx="327">
                  <c:v>16</c:v>
                </c:pt>
                <c:pt idx="328">
                  <c:v>55</c:v>
                </c:pt>
                <c:pt idx="329">
                  <c:v>37</c:v>
                </c:pt>
                <c:pt idx="330">
                  <c:v>43</c:v>
                </c:pt>
                <c:pt idx="331">
                  <c:v>53</c:v>
                </c:pt>
                <c:pt idx="332">
                  <c:v>21</c:v>
                </c:pt>
                <c:pt idx="333">
                  <c:v>15</c:v>
                </c:pt>
                <c:pt idx="334">
                  <c:v>15</c:v>
                </c:pt>
                <c:pt idx="335">
                  <c:v>36</c:v>
                </c:pt>
                <c:pt idx="336">
                  <c:v>40</c:v>
                </c:pt>
                <c:pt idx="337">
                  <c:v>15</c:v>
                </c:pt>
                <c:pt idx="338">
                  <c:v>35</c:v>
                </c:pt>
                <c:pt idx="339">
                  <c:v>26</c:v>
                </c:pt>
                <c:pt idx="340">
                  <c:v>9</c:v>
                </c:pt>
                <c:pt idx="341">
                  <c:v>13</c:v>
                </c:pt>
                <c:pt idx="342">
                  <c:v>39</c:v>
                </c:pt>
                <c:pt idx="343">
                  <c:v>29</c:v>
                </c:pt>
                <c:pt idx="344">
                  <c:v>399</c:v>
                </c:pt>
                <c:pt idx="345">
                  <c:v>104</c:v>
                </c:pt>
                <c:pt idx="346">
                  <c:v>52</c:v>
                </c:pt>
                <c:pt idx="347">
                  <c:v>11</c:v>
                </c:pt>
                <c:pt idx="348">
                  <c:v>12</c:v>
                </c:pt>
                <c:pt idx="349">
                  <c:v>33</c:v>
                </c:pt>
                <c:pt idx="350">
                  <c:v>52</c:v>
                </c:pt>
                <c:pt idx="351">
                  <c:v>38</c:v>
                </c:pt>
                <c:pt idx="352">
                  <c:v>40</c:v>
                </c:pt>
                <c:pt idx="353">
                  <c:v>28</c:v>
                </c:pt>
                <c:pt idx="354">
                  <c:v>9</c:v>
                </c:pt>
                <c:pt idx="355">
                  <c:v>8</c:v>
                </c:pt>
                <c:pt idx="356">
                  <c:v>32</c:v>
                </c:pt>
                <c:pt idx="357">
                  <c:v>47</c:v>
                </c:pt>
                <c:pt idx="358">
                  <c:v>42</c:v>
                </c:pt>
                <c:pt idx="359">
                  <c:v>18</c:v>
                </c:pt>
                <c:pt idx="360">
                  <c:v>43</c:v>
                </c:pt>
                <c:pt idx="361">
                  <c:v>17</c:v>
                </c:pt>
                <c:pt idx="362">
                  <c:v>6</c:v>
                </c:pt>
                <c:pt idx="363">
                  <c:v>46</c:v>
                </c:pt>
                <c:pt idx="364">
                  <c:v>40</c:v>
                </c:pt>
                <c:pt idx="365">
                  <c:v>28</c:v>
                </c:pt>
                <c:pt idx="366">
                  <c:v>36</c:v>
                </c:pt>
                <c:pt idx="367">
                  <c:v>23</c:v>
                </c:pt>
                <c:pt idx="368">
                  <c:v>10</c:v>
                </c:pt>
                <c:pt idx="369">
                  <c:v>12</c:v>
                </c:pt>
                <c:pt idx="370">
                  <c:v>35</c:v>
                </c:pt>
                <c:pt idx="371">
                  <c:v>34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overlap val="100"/>
        <c:axId val="979242035"/>
        <c:axId val="1971266745"/>
      </c:barChart>
      <c:dateAx>
        <c:axId val="979242035"/>
        <c:scaling>
          <c:orientation val="minMax"/>
        </c:scaling>
        <c:delete val="0"/>
        <c:axPos val="b"/>
        <c:title>
          <c:layout/>
          <c:overlay val="0"/>
          <c:tx>
            <c:rich>
              <a:bodyPr/>
              <a:lstStyle/>
              <a:p>
                <a:pPr>
                  <a:defRPr/>
                </a:pPr>
              </a:p>
            </c:rich>
          </c:tx>
        </c:title>
        <c:numFmt formatCode="m/d/yyyy" sourceLinked="1"/>
        <c:majorTickMark val="none"/>
        <c:minorTickMark val="none"/>
        <c:tickLblPos val="nextTo"/>
        <c:txPr>
          <a:bodyPr rot="-1800000" spcFirstLastPara="0" vertOverflow="ellipsis" vert="horz" wrap="square" anchor="ctr" anchorCtr="1"/>
          <a:lstStyle/>
          <a:p>
            <a:pPr>
              <a:defRPr lang="pt-BR" sz="1000" b="0" i="0" u="none" strike="noStrike" kern="1200" baseline="0">
                <a:solidFill>
                  <a:srgbClr val="000000"/>
                </a:solidFill>
                <a:latin typeface="+mn-lt"/>
                <a:ea typeface="+mn-ea"/>
                <a:cs typeface="+mn-cs"/>
              </a:defRPr>
            </a:pPr>
          </a:p>
        </c:txPr>
        <c:crossAx val="1971266745"/>
        <c:crosses val="autoZero"/>
        <c:auto val="1"/>
        <c:lblOffset val="100"/>
        <c:baseTimeUnit val="days"/>
      </c:dateAx>
      <c:valAx>
        <c:axId val="1971266745"/>
        <c:scaling>
          <c:orientation val="minMax"/>
        </c:scaling>
        <c:delete val="0"/>
        <c:axPos val="l"/>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layout/>
          <c:overlay val="0"/>
          <c:tx>
            <c:rich>
              <a:bodyPr/>
              <a:lstStyle/>
              <a:p>
                <a:pPr>
                  <a:defRPr/>
                </a:pPr>
              </a:p>
            </c:rich>
          </c:tx>
        </c:title>
        <c:numFmt formatCode="General" sourceLinked="1"/>
        <c:majorTickMark val="cross"/>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pt-BR" sz="1000" b="0" i="0" u="none" strike="noStrike" kern="1200" baseline="0">
                <a:solidFill>
                  <a:srgbClr val="000000"/>
                </a:solidFill>
                <a:latin typeface="+mn-lt"/>
                <a:ea typeface="+mn-ea"/>
                <a:cs typeface="+mn-cs"/>
              </a:defRPr>
            </a:pPr>
          </a:p>
        </c:txPr>
        <c:crossAx val="979242035"/>
        <c:crosses val="autoZero"/>
        <c:crossBetween val="between"/>
      </c:valAx>
    </c:plotArea>
    <c:legend>
      <c:legendPos val="b"/>
      <c:layout/>
      <c:overlay val="0"/>
      <c:txPr>
        <a:bodyPr rot="0" spcFirstLastPara="0" vertOverflow="ellipsis" vert="horz" wrap="square" anchor="ctr" anchorCtr="1"/>
        <a:lstStyle/>
        <a:p>
          <a:pPr>
            <a:defRPr lang="pt-BR" sz="1000" b="1" i="0" u="none" strike="noStrike" kern="1200" baseline="0">
              <a:solidFill>
                <a:srgbClr val="1A1A1A"/>
              </a:solidFill>
              <a:latin typeface="Arial" panose="020B0604020202020204"/>
              <a:ea typeface="+mn-ea"/>
              <a:cs typeface="+mn-cs"/>
            </a:defRPr>
          </a:pPr>
        </a:p>
      </c:txPr>
    </c:legend>
    <c:plotVisOnly val="1"/>
    <c:dispBlanksAs val="zero"/>
    <c:showDLblsOverMax val="1"/>
  </c:chart>
  <c:txPr>
    <a:bodyPr/>
    <a:lstStyle/>
    <a:p>
      <a:pPr>
        <a:defRPr lang="pt-BR"/>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4285F4"/>
            </a:solidFill>
            <a:ln cmpd="sng">
              <a:solidFill>
                <a:srgbClr val="000000"/>
              </a:solidFill>
            </a:ln>
          </c:spPr>
          <c:invertIfNegative val="1"/>
          <c:dPt>
            <c:idx val="0"/>
            <c:invertIfNegative val="1"/>
            <c:bubble3D val="0"/>
            <c:spPr>
              <a:solidFill>
                <a:srgbClr val="4285F4"/>
              </a:solidFill>
              <a:ln cmpd="sng">
                <a:solidFill>
                  <a:srgbClr val="000000"/>
                </a:solidFill>
              </a:ln>
            </c:spPr>
          </c:dPt>
          <c:dPt>
            <c:idx val="1"/>
            <c:invertIfNegative val="1"/>
            <c:bubble3D val="0"/>
            <c:spPr>
              <a:solidFill>
                <a:srgbClr val="4285F4"/>
              </a:solidFill>
              <a:ln cmpd="sng">
                <a:solidFill>
                  <a:srgbClr val="000000"/>
                </a:solidFill>
              </a:ln>
            </c:spPr>
          </c:dPt>
          <c:dPt>
            <c:idx val="2"/>
            <c:invertIfNegative val="1"/>
            <c:bubble3D val="0"/>
            <c:spPr>
              <a:solidFill>
                <a:srgbClr val="4285F4"/>
              </a:solidFill>
              <a:ln cmpd="sng">
                <a:solidFill>
                  <a:srgbClr val="000000"/>
                </a:solidFill>
              </a:ln>
            </c:spPr>
          </c:dPt>
          <c:dPt>
            <c:idx val="3"/>
            <c:invertIfNegative val="1"/>
            <c:bubble3D val="0"/>
            <c:spPr>
              <a:solidFill>
                <a:srgbClr val="4285F4"/>
              </a:solidFill>
              <a:ln cmpd="sng">
                <a:solidFill>
                  <a:srgbClr val="000000"/>
                </a:solidFill>
              </a:ln>
            </c:spPr>
          </c:dPt>
          <c:dPt>
            <c:idx val="4"/>
            <c:invertIfNegative val="1"/>
            <c:bubble3D val="0"/>
            <c:spPr>
              <a:solidFill>
                <a:srgbClr val="4285F4"/>
              </a:solidFill>
              <a:ln cmpd="sng">
                <a:solidFill>
                  <a:srgbClr val="000000"/>
                </a:solidFill>
              </a:ln>
            </c:spPr>
          </c:dPt>
          <c:dPt>
            <c:idx val="5"/>
            <c:invertIfNegative val="1"/>
            <c:bubble3D val="0"/>
            <c:spPr>
              <a:solidFill>
                <a:srgbClr val="4285F4"/>
              </a:solidFill>
              <a:ln cmpd="sng">
                <a:solidFill>
                  <a:srgbClr val="000000"/>
                </a:solidFill>
              </a:ln>
            </c:spPr>
          </c:dPt>
          <c:dPt>
            <c:idx val="6"/>
            <c:invertIfNegative val="1"/>
            <c:bubble3D val="0"/>
            <c:spPr>
              <a:solidFill>
                <a:srgbClr val="4285F4"/>
              </a:solidFill>
              <a:ln cmpd="sng">
                <a:solidFill>
                  <a:srgbClr val="000000"/>
                </a:solidFill>
              </a:ln>
            </c:spPr>
          </c:dPt>
          <c:dPt>
            <c:idx val="7"/>
            <c:invertIfNegative val="1"/>
            <c:bubble3D val="0"/>
            <c:spPr>
              <a:solidFill>
                <a:srgbClr val="4285F4"/>
              </a:solidFill>
              <a:ln cmpd="sng">
                <a:solidFill>
                  <a:srgbClr val="000000"/>
                </a:solidFill>
              </a:ln>
            </c:spPr>
          </c:dPt>
          <c:dPt>
            <c:idx val="8"/>
            <c:invertIfNegative val="1"/>
            <c:bubble3D val="0"/>
            <c:spPr>
              <a:solidFill>
                <a:srgbClr val="4285F4"/>
              </a:solidFill>
              <a:ln cmpd="sng">
                <a:solidFill>
                  <a:srgbClr val="000000"/>
                </a:solidFill>
              </a:ln>
            </c:spPr>
          </c:dPt>
          <c:dPt>
            <c:idx val="9"/>
            <c:invertIfNegative val="1"/>
            <c:bubble3D val="0"/>
            <c:spPr>
              <a:solidFill>
                <a:srgbClr val="4285F4"/>
              </a:solidFill>
              <a:ln cmpd="sng">
                <a:solidFill>
                  <a:srgbClr val="000000"/>
                </a:solidFill>
              </a:ln>
            </c:spPr>
          </c:dPt>
          <c:dPt>
            <c:idx val="10"/>
            <c:invertIfNegative val="1"/>
            <c:bubble3D val="0"/>
            <c:spPr>
              <a:solidFill>
                <a:srgbClr val="4285F4"/>
              </a:solidFill>
              <a:ln cmpd="sng">
                <a:solidFill>
                  <a:srgbClr val="000000"/>
                </a:solidFill>
              </a:ln>
            </c:spPr>
          </c:dPt>
          <c:dPt>
            <c:idx val="11"/>
            <c:invertIfNegative val="1"/>
            <c:bubble3D val="0"/>
            <c:spPr>
              <a:solidFill>
                <a:srgbClr val="4285F4"/>
              </a:solidFill>
              <a:ln cmpd="sng">
                <a:solidFill>
                  <a:srgbClr val="000000"/>
                </a:solidFill>
              </a:ln>
            </c:spPr>
          </c:dPt>
          <c:dPt>
            <c:idx val="12"/>
            <c:invertIfNegative val="1"/>
            <c:bubble3D val="0"/>
            <c:spPr>
              <a:solidFill>
                <a:srgbClr val="4285F4"/>
              </a:solidFill>
              <a:ln cmpd="sng">
                <a:solidFill>
                  <a:srgbClr val="000000"/>
                </a:solidFill>
              </a:ln>
            </c:spPr>
          </c:dPt>
          <c:dPt>
            <c:idx val="13"/>
            <c:invertIfNegative val="1"/>
            <c:bubble3D val="0"/>
            <c:spPr>
              <a:solidFill>
                <a:srgbClr val="4285F4"/>
              </a:solidFill>
              <a:ln cmpd="sng">
                <a:solidFill>
                  <a:srgbClr val="000000"/>
                </a:solidFill>
              </a:ln>
            </c:spPr>
          </c:dPt>
          <c:dPt>
            <c:idx val="14"/>
            <c:invertIfNegative val="1"/>
            <c:bubble3D val="0"/>
            <c:spPr>
              <a:solidFill>
                <a:srgbClr val="4285F4"/>
              </a:solidFill>
              <a:ln cmpd="sng">
                <a:solidFill>
                  <a:srgbClr val="000000"/>
                </a:solidFill>
              </a:ln>
            </c:spPr>
          </c:dPt>
          <c:dPt>
            <c:idx val="15"/>
            <c:invertIfNegative val="1"/>
            <c:bubble3D val="0"/>
            <c:spPr>
              <a:solidFill>
                <a:srgbClr val="4285F4"/>
              </a:solidFill>
              <a:ln cmpd="sng">
                <a:solidFill>
                  <a:srgbClr val="000000"/>
                </a:solidFill>
              </a:ln>
            </c:spPr>
          </c:dPt>
          <c:dPt>
            <c:idx val="16"/>
            <c:invertIfNegative val="1"/>
            <c:bubble3D val="0"/>
            <c:spPr>
              <a:solidFill>
                <a:srgbClr val="4285F4"/>
              </a:solidFill>
              <a:ln cmpd="sng">
                <a:solidFill>
                  <a:srgbClr val="000000"/>
                </a:solidFill>
              </a:ln>
            </c:spPr>
          </c:dPt>
          <c:dPt>
            <c:idx val="17"/>
            <c:invertIfNegative val="1"/>
            <c:bubble3D val="0"/>
            <c:spPr>
              <a:solidFill>
                <a:srgbClr val="4285F4"/>
              </a:solidFill>
              <a:ln cmpd="sng">
                <a:solidFill>
                  <a:srgbClr val="000000"/>
                </a:solidFill>
              </a:ln>
            </c:spPr>
          </c:dPt>
          <c:dPt>
            <c:idx val="18"/>
            <c:invertIfNegative val="1"/>
            <c:bubble3D val="0"/>
            <c:spPr>
              <a:solidFill>
                <a:srgbClr val="4285F4"/>
              </a:solidFill>
              <a:ln cmpd="sng">
                <a:solidFill>
                  <a:srgbClr val="000000"/>
                </a:solidFill>
              </a:ln>
            </c:spPr>
          </c:dPt>
          <c:dPt>
            <c:idx val="19"/>
            <c:invertIfNegative val="1"/>
            <c:bubble3D val="0"/>
            <c:spPr>
              <a:solidFill>
                <a:srgbClr val="4285F4"/>
              </a:solidFill>
              <a:ln cmpd="sng">
                <a:solidFill>
                  <a:srgbClr val="000000"/>
                </a:solidFill>
              </a:ln>
            </c:spPr>
          </c:dPt>
          <c:dPt>
            <c:idx val="20"/>
            <c:invertIfNegative val="1"/>
            <c:bubble3D val="0"/>
            <c:spPr>
              <a:solidFill>
                <a:srgbClr val="4285F4"/>
              </a:solidFill>
              <a:ln cmpd="sng">
                <a:solidFill>
                  <a:srgbClr val="000000"/>
                </a:solidFill>
              </a:ln>
            </c:spPr>
          </c:dPt>
          <c:dPt>
            <c:idx val="21"/>
            <c:invertIfNegative val="1"/>
            <c:bubble3D val="0"/>
            <c:spPr>
              <a:solidFill>
                <a:srgbClr val="4285F4"/>
              </a:solidFill>
              <a:ln cmpd="sng">
                <a:solidFill>
                  <a:srgbClr val="000000"/>
                </a:solidFill>
              </a:ln>
            </c:spPr>
          </c:dPt>
          <c:dPt>
            <c:idx val="22"/>
            <c:invertIfNegative val="1"/>
            <c:bubble3D val="0"/>
            <c:spPr>
              <a:solidFill>
                <a:srgbClr val="4285F4"/>
              </a:solidFill>
              <a:ln cmpd="sng">
                <a:solidFill>
                  <a:srgbClr val="000000"/>
                </a:solidFill>
              </a:ln>
            </c:spPr>
          </c:dPt>
          <c:dPt>
            <c:idx val="23"/>
            <c:invertIfNegative val="1"/>
            <c:bubble3D val="0"/>
            <c:spPr>
              <a:solidFill>
                <a:srgbClr val="4285F4"/>
              </a:solidFill>
              <a:ln cmpd="sng">
                <a:solidFill>
                  <a:srgbClr val="000000"/>
                </a:solidFill>
              </a:ln>
            </c:spPr>
          </c:dPt>
          <c:dPt>
            <c:idx val="24"/>
            <c:invertIfNegative val="1"/>
            <c:bubble3D val="0"/>
            <c:spPr>
              <a:solidFill>
                <a:srgbClr val="4285F4"/>
              </a:solidFill>
              <a:ln cmpd="sng">
                <a:solidFill>
                  <a:srgbClr val="000000"/>
                </a:solidFill>
              </a:ln>
            </c:spPr>
          </c:dPt>
          <c:dPt>
            <c:idx val="25"/>
            <c:invertIfNegative val="1"/>
            <c:bubble3D val="0"/>
            <c:spPr>
              <a:solidFill>
                <a:srgbClr val="4285F4"/>
              </a:solidFill>
              <a:ln cmpd="sng">
                <a:solidFill>
                  <a:srgbClr val="000000"/>
                </a:solidFill>
              </a:ln>
            </c:spPr>
          </c:dPt>
          <c:dPt>
            <c:idx val="26"/>
            <c:invertIfNegative val="1"/>
            <c:bubble3D val="0"/>
            <c:spPr>
              <a:solidFill>
                <a:srgbClr val="4285F4"/>
              </a:solidFill>
              <a:ln cmpd="sng">
                <a:solidFill>
                  <a:srgbClr val="000000"/>
                </a:solidFill>
              </a:ln>
            </c:spPr>
          </c:dPt>
          <c:dPt>
            <c:idx val="27"/>
            <c:invertIfNegative val="1"/>
            <c:bubble3D val="0"/>
            <c:spPr>
              <a:solidFill>
                <a:srgbClr val="4285F4"/>
              </a:solidFill>
              <a:ln cmpd="sng">
                <a:solidFill>
                  <a:srgbClr val="000000"/>
                </a:solidFill>
              </a:ln>
            </c:spPr>
          </c:dPt>
          <c:dPt>
            <c:idx val="28"/>
            <c:invertIfNegative val="1"/>
            <c:bubble3D val="0"/>
            <c:spPr>
              <a:solidFill>
                <a:srgbClr val="4285F4"/>
              </a:solidFill>
              <a:ln cmpd="sng">
                <a:solidFill>
                  <a:srgbClr val="000000"/>
                </a:solidFill>
              </a:ln>
            </c:spPr>
          </c:dPt>
          <c:dPt>
            <c:idx val="29"/>
            <c:invertIfNegative val="1"/>
            <c:bubble3D val="0"/>
            <c:spPr>
              <a:solidFill>
                <a:srgbClr val="4285F4"/>
              </a:solidFill>
              <a:ln cmpd="sng">
                <a:solidFill>
                  <a:srgbClr val="000000"/>
                </a:solidFill>
              </a:ln>
            </c:spPr>
          </c:dPt>
          <c:dPt>
            <c:idx val="30"/>
            <c:invertIfNegative val="1"/>
            <c:bubble3D val="0"/>
            <c:spPr>
              <a:solidFill>
                <a:srgbClr val="4285F4"/>
              </a:solidFill>
              <a:ln cmpd="sng">
                <a:solidFill>
                  <a:srgbClr val="000000"/>
                </a:solidFill>
              </a:ln>
            </c:spPr>
          </c:dPt>
          <c:dPt>
            <c:idx val="31"/>
            <c:invertIfNegative val="1"/>
            <c:bubble3D val="0"/>
            <c:spPr>
              <a:solidFill>
                <a:srgbClr val="4285F4"/>
              </a:solidFill>
              <a:ln cmpd="sng">
                <a:solidFill>
                  <a:srgbClr val="000000"/>
                </a:solidFill>
              </a:ln>
            </c:spPr>
          </c:dPt>
          <c:dPt>
            <c:idx val="32"/>
            <c:invertIfNegative val="1"/>
            <c:bubble3D val="0"/>
            <c:spPr>
              <a:solidFill>
                <a:srgbClr val="4285F4"/>
              </a:solidFill>
              <a:ln cmpd="sng">
                <a:solidFill>
                  <a:srgbClr val="000000"/>
                </a:solidFill>
              </a:ln>
            </c:spPr>
          </c:dPt>
          <c:dPt>
            <c:idx val="33"/>
            <c:invertIfNegative val="1"/>
            <c:bubble3D val="0"/>
            <c:spPr>
              <a:solidFill>
                <a:srgbClr val="4285F4"/>
              </a:solidFill>
              <a:ln cmpd="sng">
                <a:solidFill>
                  <a:srgbClr val="000000"/>
                </a:solidFill>
              </a:ln>
            </c:spPr>
          </c:dPt>
          <c:dPt>
            <c:idx val="34"/>
            <c:invertIfNegative val="1"/>
            <c:bubble3D val="0"/>
            <c:spPr>
              <a:solidFill>
                <a:srgbClr val="4285F4"/>
              </a:solidFill>
              <a:ln cmpd="sng">
                <a:solidFill>
                  <a:srgbClr val="000000"/>
                </a:solidFill>
              </a:ln>
            </c:spPr>
          </c:dPt>
          <c:dPt>
            <c:idx val="35"/>
            <c:invertIfNegative val="1"/>
            <c:bubble3D val="0"/>
            <c:spPr>
              <a:solidFill>
                <a:srgbClr val="4285F4"/>
              </a:solidFill>
              <a:ln cmpd="sng">
                <a:solidFill>
                  <a:srgbClr val="000000"/>
                </a:solidFill>
              </a:ln>
            </c:spPr>
          </c:dPt>
          <c:dPt>
            <c:idx val="36"/>
            <c:invertIfNegative val="1"/>
            <c:bubble3D val="0"/>
            <c:spPr>
              <a:solidFill>
                <a:srgbClr val="4285F4"/>
              </a:solidFill>
              <a:ln cmpd="sng">
                <a:solidFill>
                  <a:srgbClr val="000000"/>
                </a:solidFill>
              </a:ln>
            </c:spPr>
          </c:dPt>
          <c:dPt>
            <c:idx val="37"/>
            <c:invertIfNegative val="1"/>
            <c:bubble3D val="0"/>
            <c:spPr>
              <a:solidFill>
                <a:srgbClr val="4285F4"/>
              </a:solidFill>
              <a:ln cmpd="sng">
                <a:solidFill>
                  <a:srgbClr val="000000"/>
                </a:solidFill>
              </a:ln>
            </c:spPr>
          </c:dPt>
          <c:dPt>
            <c:idx val="38"/>
            <c:invertIfNegative val="1"/>
            <c:bubble3D val="0"/>
            <c:spPr>
              <a:solidFill>
                <a:srgbClr val="4285F4"/>
              </a:solidFill>
              <a:ln cmpd="sng">
                <a:solidFill>
                  <a:srgbClr val="000000"/>
                </a:solidFill>
              </a:ln>
            </c:spPr>
          </c:dPt>
          <c:dPt>
            <c:idx val="39"/>
            <c:invertIfNegative val="1"/>
            <c:bubble3D val="0"/>
            <c:spPr>
              <a:solidFill>
                <a:srgbClr val="4285F4"/>
              </a:solidFill>
              <a:ln cmpd="sng">
                <a:solidFill>
                  <a:srgbClr val="000000"/>
                </a:solidFill>
              </a:ln>
            </c:spPr>
          </c:dPt>
          <c:dPt>
            <c:idx val="40"/>
            <c:invertIfNegative val="1"/>
            <c:bubble3D val="0"/>
            <c:spPr>
              <a:solidFill>
                <a:srgbClr val="4285F4"/>
              </a:solidFill>
              <a:ln cmpd="sng">
                <a:solidFill>
                  <a:srgbClr val="000000"/>
                </a:solidFill>
              </a:ln>
            </c:spPr>
          </c:dPt>
          <c:dPt>
            <c:idx val="41"/>
            <c:invertIfNegative val="1"/>
            <c:bubble3D val="0"/>
            <c:spPr>
              <a:solidFill>
                <a:srgbClr val="4285F4"/>
              </a:solidFill>
              <a:ln cmpd="sng">
                <a:solidFill>
                  <a:srgbClr val="000000"/>
                </a:solidFill>
              </a:ln>
            </c:spPr>
          </c:dPt>
          <c:dPt>
            <c:idx val="42"/>
            <c:invertIfNegative val="1"/>
            <c:bubble3D val="0"/>
            <c:spPr>
              <a:solidFill>
                <a:srgbClr val="4285F4"/>
              </a:solidFill>
              <a:ln cmpd="sng">
                <a:solidFill>
                  <a:srgbClr val="000000"/>
                </a:solidFill>
              </a:ln>
            </c:spPr>
          </c:dPt>
          <c:dPt>
            <c:idx val="43"/>
            <c:invertIfNegative val="1"/>
            <c:bubble3D val="0"/>
            <c:spPr>
              <a:solidFill>
                <a:srgbClr val="4285F4"/>
              </a:solidFill>
              <a:ln cmpd="sng">
                <a:solidFill>
                  <a:srgbClr val="000000"/>
                </a:solidFill>
              </a:ln>
            </c:spPr>
          </c:dPt>
          <c:dPt>
            <c:idx val="44"/>
            <c:invertIfNegative val="1"/>
            <c:bubble3D val="0"/>
            <c:spPr>
              <a:solidFill>
                <a:srgbClr val="4285F4"/>
              </a:solidFill>
              <a:ln cmpd="sng">
                <a:solidFill>
                  <a:srgbClr val="000000"/>
                </a:solidFill>
              </a:ln>
            </c:spPr>
          </c:dPt>
          <c:dPt>
            <c:idx val="45"/>
            <c:invertIfNegative val="1"/>
            <c:bubble3D val="0"/>
            <c:spPr>
              <a:solidFill>
                <a:srgbClr val="4285F4"/>
              </a:solidFill>
              <a:ln cmpd="sng">
                <a:solidFill>
                  <a:srgbClr val="000000"/>
                </a:solidFill>
              </a:ln>
            </c:spPr>
          </c:dPt>
          <c:dPt>
            <c:idx val="46"/>
            <c:invertIfNegative val="1"/>
            <c:bubble3D val="0"/>
            <c:spPr>
              <a:solidFill>
                <a:srgbClr val="4285F4"/>
              </a:solidFill>
              <a:ln cmpd="sng">
                <a:solidFill>
                  <a:srgbClr val="000000"/>
                </a:solidFill>
              </a:ln>
            </c:spPr>
          </c:dPt>
          <c:dPt>
            <c:idx val="47"/>
            <c:invertIfNegative val="1"/>
            <c:bubble3D val="0"/>
            <c:spPr>
              <a:solidFill>
                <a:srgbClr val="4285F4"/>
              </a:solidFill>
              <a:ln cmpd="sng">
                <a:solidFill>
                  <a:srgbClr val="000000"/>
                </a:solidFill>
              </a:ln>
            </c:spPr>
          </c:dPt>
          <c:dPt>
            <c:idx val="48"/>
            <c:invertIfNegative val="1"/>
            <c:bubble3D val="0"/>
            <c:spPr>
              <a:solidFill>
                <a:srgbClr val="4285F4"/>
              </a:solidFill>
              <a:ln cmpd="sng">
                <a:solidFill>
                  <a:srgbClr val="000000"/>
                </a:solidFill>
              </a:ln>
            </c:spPr>
          </c:dPt>
          <c:dPt>
            <c:idx val="49"/>
            <c:invertIfNegative val="1"/>
            <c:bubble3D val="0"/>
            <c:spPr>
              <a:solidFill>
                <a:srgbClr val="4285F4"/>
              </a:solidFill>
              <a:ln cmpd="sng">
                <a:solidFill>
                  <a:srgbClr val="000000"/>
                </a:solidFill>
              </a:ln>
            </c:spPr>
          </c:dPt>
          <c:dPt>
            <c:idx val="50"/>
            <c:invertIfNegative val="1"/>
            <c:bubble3D val="0"/>
            <c:spPr>
              <a:solidFill>
                <a:srgbClr val="4285F4"/>
              </a:solidFill>
              <a:ln cmpd="sng">
                <a:solidFill>
                  <a:srgbClr val="000000"/>
                </a:solidFill>
              </a:ln>
            </c:spPr>
          </c:dPt>
          <c:dPt>
            <c:idx val="51"/>
            <c:invertIfNegative val="1"/>
            <c:bubble3D val="0"/>
            <c:spPr>
              <a:solidFill>
                <a:srgbClr val="4285F4"/>
              </a:solidFill>
              <a:ln cmpd="sng">
                <a:solidFill>
                  <a:srgbClr val="000000"/>
                </a:solidFill>
              </a:ln>
            </c:spPr>
          </c:dPt>
          <c:dPt>
            <c:idx val="52"/>
            <c:invertIfNegative val="1"/>
            <c:bubble3D val="0"/>
            <c:spPr>
              <a:solidFill>
                <a:srgbClr val="4285F4"/>
              </a:solidFill>
              <a:ln cmpd="sng">
                <a:solidFill>
                  <a:srgbClr val="000000"/>
                </a:solidFill>
              </a:ln>
            </c:spPr>
          </c:dPt>
          <c:dPt>
            <c:idx val="53"/>
            <c:invertIfNegative val="1"/>
            <c:bubble3D val="0"/>
            <c:spPr>
              <a:solidFill>
                <a:srgbClr val="4285F4"/>
              </a:solidFill>
              <a:ln cmpd="sng">
                <a:solidFill>
                  <a:srgbClr val="000000"/>
                </a:solidFill>
              </a:ln>
            </c:spPr>
          </c:dPt>
          <c:dPt>
            <c:idx val="54"/>
            <c:invertIfNegative val="1"/>
            <c:bubble3D val="0"/>
            <c:spPr>
              <a:solidFill>
                <a:srgbClr val="4285F4"/>
              </a:solidFill>
              <a:ln cmpd="sng">
                <a:solidFill>
                  <a:srgbClr val="000000"/>
                </a:solidFill>
              </a:ln>
            </c:spPr>
          </c:dPt>
          <c:dPt>
            <c:idx val="55"/>
            <c:invertIfNegative val="1"/>
            <c:bubble3D val="0"/>
            <c:spPr>
              <a:solidFill>
                <a:srgbClr val="4285F4"/>
              </a:solidFill>
              <a:ln cmpd="sng">
                <a:solidFill>
                  <a:srgbClr val="000000"/>
                </a:solidFill>
              </a:ln>
            </c:spPr>
          </c:dPt>
          <c:dPt>
            <c:idx val="56"/>
            <c:invertIfNegative val="1"/>
            <c:bubble3D val="0"/>
            <c:spPr>
              <a:solidFill>
                <a:srgbClr val="4285F4"/>
              </a:solidFill>
              <a:ln cmpd="sng">
                <a:solidFill>
                  <a:srgbClr val="000000"/>
                </a:solidFill>
              </a:ln>
            </c:spPr>
          </c:dPt>
          <c:dPt>
            <c:idx val="57"/>
            <c:invertIfNegative val="1"/>
            <c:bubble3D val="0"/>
            <c:spPr>
              <a:solidFill>
                <a:srgbClr val="4285F4"/>
              </a:solidFill>
              <a:ln cmpd="sng">
                <a:solidFill>
                  <a:srgbClr val="000000"/>
                </a:solidFill>
              </a:ln>
            </c:spPr>
          </c:dPt>
          <c:dPt>
            <c:idx val="58"/>
            <c:invertIfNegative val="1"/>
            <c:bubble3D val="0"/>
            <c:spPr>
              <a:solidFill>
                <a:srgbClr val="4285F4"/>
              </a:solidFill>
              <a:ln cmpd="sng">
                <a:solidFill>
                  <a:srgbClr val="000000"/>
                </a:solidFill>
              </a:ln>
            </c:spPr>
          </c:dPt>
          <c:dPt>
            <c:idx val="59"/>
            <c:invertIfNegative val="1"/>
            <c:bubble3D val="0"/>
            <c:spPr>
              <a:solidFill>
                <a:srgbClr val="4285F4"/>
              </a:solidFill>
              <a:ln cmpd="sng">
                <a:solidFill>
                  <a:srgbClr val="000000"/>
                </a:solidFill>
              </a:ln>
            </c:spPr>
          </c:dPt>
          <c:dPt>
            <c:idx val="60"/>
            <c:invertIfNegative val="1"/>
            <c:bubble3D val="0"/>
            <c:spPr>
              <a:solidFill>
                <a:srgbClr val="4285F4"/>
              </a:solidFill>
              <a:ln cmpd="sng">
                <a:solidFill>
                  <a:srgbClr val="000000"/>
                </a:solidFill>
              </a:ln>
            </c:spPr>
          </c:dPt>
          <c:dPt>
            <c:idx val="61"/>
            <c:invertIfNegative val="1"/>
            <c:bubble3D val="0"/>
            <c:spPr>
              <a:solidFill>
                <a:srgbClr val="4285F4"/>
              </a:solidFill>
              <a:ln cmpd="sng">
                <a:solidFill>
                  <a:srgbClr val="000000"/>
                </a:solidFill>
              </a:ln>
            </c:spPr>
          </c:dPt>
          <c:dPt>
            <c:idx val="62"/>
            <c:invertIfNegative val="1"/>
            <c:bubble3D val="0"/>
            <c:spPr>
              <a:solidFill>
                <a:srgbClr val="4285F4"/>
              </a:solidFill>
              <a:ln cmpd="sng">
                <a:solidFill>
                  <a:srgbClr val="000000"/>
                </a:solidFill>
              </a:ln>
            </c:spPr>
          </c:dPt>
          <c:dPt>
            <c:idx val="63"/>
            <c:invertIfNegative val="1"/>
            <c:bubble3D val="0"/>
            <c:spPr>
              <a:solidFill>
                <a:srgbClr val="4285F4"/>
              </a:solidFill>
              <a:ln cmpd="sng">
                <a:solidFill>
                  <a:srgbClr val="000000"/>
                </a:solidFill>
              </a:ln>
            </c:spPr>
          </c:dPt>
          <c:dPt>
            <c:idx val="64"/>
            <c:invertIfNegative val="1"/>
            <c:bubble3D val="0"/>
            <c:spPr>
              <a:solidFill>
                <a:srgbClr val="4285F4"/>
              </a:solidFill>
              <a:ln cmpd="sng">
                <a:solidFill>
                  <a:srgbClr val="000000"/>
                </a:solidFill>
              </a:ln>
            </c:spPr>
          </c:dPt>
          <c:dPt>
            <c:idx val="65"/>
            <c:invertIfNegative val="1"/>
            <c:bubble3D val="0"/>
            <c:spPr>
              <a:solidFill>
                <a:srgbClr val="4285F4"/>
              </a:solidFill>
              <a:ln cmpd="sng">
                <a:solidFill>
                  <a:srgbClr val="000000"/>
                </a:solidFill>
              </a:ln>
            </c:spPr>
          </c:dPt>
          <c:dPt>
            <c:idx val="66"/>
            <c:invertIfNegative val="1"/>
            <c:bubble3D val="0"/>
            <c:spPr>
              <a:solidFill>
                <a:srgbClr val="4285F4"/>
              </a:solidFill>
              <a:ln cmpd="sng">
                <a:solidFill>
                  <a:srgbClr val="000000"/>
                </a:solidFill>
              </a:ln>
            </c:spPr>
          </c:dPt>
          <c:dPt>
            <c:idx val="67"/>
            <c:invertIfNegative val="1"/>
            <c:bubble3D val="0"/>
            <c:spPr>
              <a:solidFill>
                <a:srgbClr val="4285F4"/>
              </a:solidFill>
              <a:ln cmpd="sng">
                <a:solidFill>
                  <a:srgbClr val="000000"/>
                </a:solidFill>
              </a:ln>
            </c:spPr>
          </c:dPt>
          <c:dPt>
            <c:idx val="68"/>
            <c:invertIfNegative val="1"/>
            <c:bubble3D val="0"/>
            <c:spPr>
              <a:solidFill>
                <a:srgbClr val="4285F4"/>
              </a:solidFill>
              <a:ln cmpd="sng">
                <a:solidFill>
                  <a:srgbClr val="000000"/>
                </a:solidFill>
              </a:ln>
            </c:spPr>
          </c:dPt>
          <c:dPt>
            <c:idx val="69"/>
            <c:invertIfNegative val="1"/>
            <c:bubble3D val="0"/>
            <c:spPr>
              <a:solidFill>
                <a:srgbClr val="4285F4"/>
              </a:solidFill>
              <a:ln cmpd="sng">
                <a:solidFill>
                  <a:srgbClr val="000000"/>
                </a:solidFill>
              </a:ln>
            </c:spPr>
          </c:dPt>
          <c:dPt>
            <c:idx val="70"/>
            <c:invertIfNegative val="1"/>
            <c:bubble3D val="0"/>
            <c:spPr>
              <a:solidFill>
                <a:srgbClr val="4285F4"/>
              </a:solidFill>
              <a:ln cmpd="sng">
                <a:solidFill>
                  <a:srgbClr val="000000"/>
                </a:solidFill>
              </a:ln>
            </c:spPr>
          </c:dPt>
          <c:dPt>
            <c:idx val="71"/>
            <c:invertIfNegative val="1"/>
            <c:bubble3D val="0"/>
            <c:spPr>
              <a:solidFill>
                <a:srgbClr val="4285F4"/>
              </a:solidFill>
              <a:ln cmpd="sng">
                <a:solidFill>
                  <a:srgbClr val="000000"/>
                </a:solidFill>
              </a:ln>
            </c:spPr>
          </c:dPt>
          <c:dPt>
            <c:idx val="72"/>
            <c:invertIfNegative val="1"/>
            <c:bubble3D val="0"/>
            <c:spPr>
              <a:solidFill>
                <a:srgbClr val="4285F4"/>
              </a:solidFill>
              <a:ln cmpd="sng">
                <a:solidFill>
                  <a:srgbClr val="000000"/>
                </a:solidFill>
              </a:ln>
            </c:spPr>
          </c:dPt>
          <c:dPt>
            <c:idx val="73"/>
            <c:invertIfNegative val="1"/>
            <c:bubble3D val="0"/>
            <c:spPr>
              <a:solidFill>
                <a:srgbClr val="4285F4"/>
              </a:solidFill>
              <a:ln cmpd="sng">
                <a:solidFill>
                  <a:srgbClr val="000000"/>
                </a:solidFill>
              </a:ln>
            </c:spPr>
          </c:dPt>
          <c:dPt>
            <c:idx val="74"/>
            <c:invertIfNegative val="1"/>
            <c:bubble3D val="0"/>
            <c:spPr>
              <a:solidFill>
                <a:srgbClr val="4285F4"/>
              </a:solidFill>
              <a:ln cmpd="sng">
                <a:solidFill>
                  <a:srgbClr val="000000"/>
                </a:solidFill>
              </a:ln>
            </c:spPr>
          </c:dPt>
          <c:dPt>
            <c:idx val="75"/>
            <c:invertIfNegative val="1"/>
            <c:bubble3D val="0"/>
            <c:spPr>
              <a:solidFill>
                <a:srgbClr val="4285F4"/>
              </a:solidFill>
              <a:ln cmpd="sng">
                <a:solidFill>
                  <a:srgbClr val="000000"/>
                </a:solidFill>
              </a:ln>
            </c:spPr>
          </c:dPt>
          <c:dPt>
            <c:idx val="76"/>
            <c:invertIfNegative val="1"/>
            <c:bubble3D val="0"/>
            <c:spPr>
              <a:solidFill>
                <a:srgbClr val="4285F4"/>
              </a:solidFill>
              <a:ln cmpd="sng">
                <a:solidFill>
                  <a:srgbClr val="000000"/>
                </a:solidFill>
              </a:ln>
            </c:spPr>
          </c:dPt>
          <c:dPt>
            <c:idx val="77"/>
            <c:invertIfNegative val="1"/>
            <c:bubble3D val="0"/>
            <c:spPr>
              <a:solidFill>
                <a:srgbClr val="4285F4"/>
              </a:solidFill>
              <a:ln cmpd="sng">
                <a:solidFill>
                  <a:srgbClr val="000000"/>
                </a:solidFill>
              </a:ln>
            </c:spPr>
          </c:dPt>
          <c:dPt>
            <c:idx val="78"/>
            <c:invertIfNegative val="1"/>
            <c:bubble3D val="0"/>
            <c:spPr>
              <a:solidFill>
                <a:srgbClr val="4285F4"/>
              </a:solidFill>
              <a:ln cmpd="sng">
                <a:solidFill>
                  <a:srgbClr val="000000"/>
                </a:solidFill>
              </a:ln>
            </c:spPr>
          </c:dPt>
          <c:dPt>
            <c:idx val="79"/>
            <c:invertIfNegative val="1"/>
            <c:bubble3D val="0"/>
            <c:spPr>
              <a:solidFill>
                <a:srgbClr val="4285F4"/>
              </a:solidFill>
              <a:ln cmpd="sng">
                <a:solidFill>
                  <a:srgbClr val="000000"/>
                </a:solidFill>
              </a:ln>
            </c:spPr>
          </c:dPt>
          <c:dPt>
            <c:idx val="80"/>
            <c:invertIfNegative val="1"/>
            <c:bubble3D val="0"/>
            <c:spPr>
              <a:solidFill>
                <a:srgbClr val="4285F4"/>
              </a:solidFill>
              <a:ln cmpd="sng">
                <a:solidFill>
                  <a:srgbClr val="000000"/>
                </a:solidFill>
              </a:ln>
            </c:spPr>
          </c:dPt>
          <c:dPt>
            <c:idx val="81"/>
            <c:invertIfNegative val="1"/>
            <c:bubble3D val="0"/>
            <c:spPr>
              <a:solidFill>
                <a:srgbClr val="4285F4"/>
              </a:solidFill>
              <a:ln cmpd="sng">
                <a:solidFill>
                  <a:srgbClr val="000000"/>
                </a:solidFill>
              </a:ln>
            </c:spPr>
          </c:dPt>
          <c:dPt>
            <c:idx val="82"/>
            <c:invertIfNegative val="1"/>
            <c:bubble3D val="0"/>
            <c:spPr>
              <a:solidFill>
                <a:srgbClr val="4285F4"/>
              </a:solidFill>
              <a:ln cmpd="sng">
                <a:solidFill>
                  <a:srgbClr val="000000"/>
                </a:solidFill>
              </a:ln>
            </c:spPr>
          </c:dPt>
          <c:dPt>
            <c:idx val="83"/>
            <c:invertIfNegative val="1"/>
            <c:bubble3D val="0"/>
            <c:spPr>
              <a:solidFill>
                <a:srgbClr val="4285F4"/>
              </a:solidFill>
              <a:ln cmpd="sng">
                <a:solidFill>
                  <a:srgbClr val="000000"/>
                </a:solidFill>
              </a:ln>
            </c:spPr>
          </c:dPt>
          <c:dPt>
            <c:idx val="84"/>
            <c:invertIfNegative val="1"/>
            <c:bubble3D val="0"/>
            <c:spPr>
              <a:solidFill>
                <a:srgbClr val="4285F4"/>
              </a:solidFill>
              <a:ln cmpd="sng">
                <a:solidFill>
                  <a:srgbClr val="000000"/>
                </a:solidFill>
              </a:ln>
            </c:spPr>
          </c:dPt>
          <c:dPt>
            <c:idx val="85"/>
            <c:invertIfNegative val="1"/>
            <c:bubble3D val="0"/>
            <c:spPr>
              <a:solidFill>
                <a:srgbClr val="4285F4"/>
              </a:solidFill>
              <a:ln cmpd="sng">
                <a:solidFill>
                  <a:srgbClr val="000000"/>
                </a:solidFill>
              </a:ln>
            </c:spPr>
          </c:dPt>
          <c:dPt>
            <c:idx val="86"/>
            <c:invertIfNegative val="1"/>
            <c:bubble3D val="0"/>
            <c:spPr>
              <a:solidFill>
                <a:srgbClr val="4285F4"/>
              </a:solidFill>
              <a:ln cmpd="sng">
                <a:solidFill>
                  <a:srgbClr val="000000"/>
                </a:solidFill>
              </a:ln>
            </c:spPr>
          </c:dPt>
          <c:dPt>
            <c:idx val="87"/>
            <c:invertIfNegative val="1"/>
            <c:bubble3D val="0"/>
            <c:spPr>
              <a:solidFill>
                <a:srgbClr val="4285F4"/>
              </a:solidFill>
              <a:ln cmpd="sng">
                <a:solidFill>
                  <a:srgbClr val="000000"/>
                </a:solidFill>
              </a:ln>
            </c:spPr>
          </c:dPt>
          <c:dPt>
            <c:idx val="88"/>
            <c:invertIfNegative val="1"/>
            <c:bubble3D val="0"/>
            <c:spPr>
              <a:solidFill>
                <a:srgbClr val="4285F4"/>
              </a:solidFill>
              <a:ln cmpd="sng">
                <a:solidFill>
                  <a:srgbClr val="000000"/>
                </a:solidFill>
              </a:ln>
            </c:spPr>
          </c:dPt>
          <c:dPt>
            <c:idx val="89"/>
            <c:invertIfNegative val="1"/>
            <c:bubble3D val="0"/>
            <c:spPr>
              <a:solidFill>
                <a:srgbClr val="4285F4"/>
              </a:solidFill>
              <a:ln cmpd="sng">
                <a:solidFill>
                  <a:srgbClr val="000000"/>
                </a:solidFill>
              </a:ln>
            </c:spPr>
          </c:dPt>
          <c:dPt>
            <c:idx val="90"/>
            <c:invertIfNegative val="1"/>
            <c:bubble3D val="0"/>
            <c:spPr>
              <a:solidFill>
                <a:srgbClr val="4285F4"/>
              </a:solidFill>
              <a:ln cmpd="sng">
                <a:solidFill>
                  <a:srgbClr val="000000"/>
                </a:solidFill>
              </a:ln>
            </c:spPr>
          </c:dPt>
          <c:dPt>
            <c:idx val="91"/>
            <c:invertIfNegative val="1"/>
            <c:bubble3D val="0"/>
            <c:spPr>
              <a:solidFill>
                <a:srgbClr val="4285F4"/>
              </a:solidFill>
              <a:ln cmpd="sng">
                <a:solidFill>
                  <a:srgbClr val="000000"/>
                </a:solidFill>
              </a:ln>
            </c:spPr>
          </c:dPt>
          <c:dPt>
            <c:idx val="92"/>
            <c:invertIfNegative val="1"/>
            <c:bubble3D val="0"/>
            <c:spPr>
              <a:solidFill>
                <a:srgbClr val="4285F4"/>
              </a:solidFill>
              <a:ln cmpd="sng">
                <a:solidFill>
                  <a:srgbClr val="000000"/>
                </a:solidFill>
              </a:ln>
            </c:spPr>
          </c:dPt>
          <c:dPt>
            <c:idx val="93"/>
            <c:invertIfNegative val="1"/>
            <c:bubble3D val="0"/>
            <c:spPr>
              <a:solidFill>
                <a:srgbClr val="4285F4"/>
              </a:solidFill>
              <a:ln cmpd="sng">
                <a:solidFill>
                  <a:srgbClr val="000000"/>
                </a:solidFill>
              </a:ln>
            </c:spPr>
          </c:dPt>
          <c:dPt>
            <c:idx val="94"/>
            <c:invertIfNegative val="1"/>
            <c:bubble3D val="0"/>
            <c:spPr>
              <a:solidFill>
                <a:srgbClr val="4285F4"/>
              </a:solidFill>
              <a:ln cmpd="sng">
                <a:solidFill>
                  <a:srgbClr val="000000"/>
                </a:solidFill>
              </a:ln>
            </c:spPr>
          </c:dPt>
          <c:dPt>
            <c:idx val="95"/>
            <c:invertIfNegative val="1"/>
            <c:bubble3D val="0"/>
            <c:spPr>
              <a:solidFill>
                <a:srgbClr val="4285F4"/>
              </a:solidFill>
              <a:ln cmpd="sng">
                <a:solidFill>
                  <a:srgbClr val="000000"/>
                </a:solidFill>
              </a:ln>
            </c:spPr>
          </c:dPt>
          <c:dPt>
            <c:idx val="96"/>
            <c:invertIfNegative val="1"/>
            <c:bubble3D val="0"/>
            <c:spPr>
              <a:solidFill>
                <a:srgbClr val="4285F4"/>
              </a:solidFill>
              <a:ln cmpd="sng">
                <a:solidFill>
                  <a:srgbClr val="000000"/>
                </a:solidFill>
              </a:ln>
            </c:spPr>
          </c:dPt>
          <c:dPt>
            <c:idx val="97"/>
            <c:invertIfNegative val="1"/>
            <c:bubble3D val="0"/>
            <c:spPr>
              <a:solidFill>
                <a:srgbClr val="4285F4"/>
              </a:solidFill>
              <a:ln cmpd="sng">
                <a:solidFill>
                  <a:srgbClr val="000000"/>
                </a:solidFill>
              </a:ln>
            </c:spPr>
          </c:dPt>
          <c:dPt>
            <c:idx val="98"/>
            <c:invertIfNegative val="1"/>
            <c:bubble3D val="0"/>
            <c:spPr>
              <a:solidFill>
                <a:srgbClr val="4285F4"/>
              </a:solidFill>
              <a:ln cmpd="sng">
                <a:solidFill>
                  <a:srgbClr val="000000"/>
                </a:solidFill>
              </a:ln>
            </c:spPr>
          </c:dPt>
          <c:dPt>
            <c:idx val="99"/>
            <c:invertIfNegative val="1"/>
            <c:bubble3D val="0"/>
            <c:spPr>
              <a:solidFill>
                <a:srgbClr val="4285F4"/>
              </a:solidFill>
              <a:ln cmpd="sng">
                <a:solidFill>
                  <a:srgbClr val="000000"/>
                </a:solidFill>
              </a:ln>
            </c:spPr>
          </c:dPt>
          <c:dPt>
            <c:idx val="100"/>
            <c:invertIfNegative val="1"/>
            <c:bubble3D val="0"/>
            <c:spPr>
              <a:solidFill>
                <a:srgbClr val="4285F4"/>
              </a:solidFill>
              <a:ln cmpd="sng">
                <a:solidFill>
                  <a:srgbClr val="000000"/>
                </a:solidFill>
              </a:ln>
            </c:spPr>
          </c:dPt>
          <c:dPt>
            <c:idx val="101"/>
            <c:invertIfNegative val="1"/>
            <c:bubble3D val="0"/>
            <c:spPr>
              <a:solidFill>
                <a:srgbClr val="4285F4"/>
              </a:solidFill>
              <a:ln cmpd="sng">
                <a:solidFill>
                  <a:srgbClr val="000000"/>
                </a:solidFill>
              </a:ln>
            </c:spPr>
          </c:dPt>
          <c:dPt>
            <c:idx val="102"/>
            <c:invertIfNegative val="1"/>
            <c:bubble3D val="0"/>
            <c:spPr>
              <a:solidFill>
                <a:srgbClr val="4285F4"/>
              </a:solidFill>
              <a:ln cmpd="sng">
                <a:solidFill>
                  <a:srgbClr val="000000"/>
                </a:solidFill>
              </a:ln>
            </c:spPr>
          </c:dPt>
          <c:dPt>
            <c:idx val="103"/>
            <c:invertIfNegative val="1"/>
            <c:bubble3D val="0"/>
            <c:spPr>
              <a:solidFill>
                <a:srgbClr val="4285F4"/>
              </a:solidFill>
              <a:ln cmpd="sng">
                <a:solidFill>
                  <a:srgbClr val="000000"/>
                </a:solidFill>
              </a:ln>
            </c:spPr>
          </c:dPt>
          <c:dPt>
            <c:idx val="104"/>
            <c:invertIfNegative val="1"/>
            <c:bubble3D val="0"/>
            <c:spPr>
              <a:solidFill>
                <a:srgbClr val="4285F4"/>
              </a:solidFill>
              <a:ln cmpd="sng">
                <a:solidFill>
                  <a:srgbClr val="000000"/>
                </a:solidFill>
              </a:ln>
            </c:spPr>
          </c:dPt>
          <c:dPt>
            <c:idx val="105"/>
            <c:invertIfNegative val="1"/>
            <c:bubble3D val="0"/>
            <c:spPr>
              <a:solidFill>
                <a:srgbClr val="4285F4"/>
              </a:solidFill>
              <a:ln cmpd="sng">
                <a:solidFill>
                  <a:srgbClr val="000000"/>
                </a:solidFill>
              </a:ln>
            </c:spPr>
          </c:dPt>
          <c:dPt>
            <c:idx val="106"/>
            <c:invertIfNegative val="1"/>
            <c:bubble3D val="0"/>
            <c:spPr>
              <a:solidFill>
                <a:srgbClr val="4285F4"/>
              </a:solidFill>
              <a:ln cmpd="sng">
                <a:solidFill>
                  <a:srgbClr val="000000"/>
                </a:solidFill>
              </a:ln>
            </c:spPr>
          </c:dPt>
          <c:dPt>
            <c:idx val="107"/>
            <c:invertIfNegative val="1"/>
            <c:bubble3D val="0"/>
            <c:spPr>
              <a:solidFill>
                <a:srgbClr val="4285F4"/>
              </a:solidFill>
              <a:ln cmpd="sng">
                <a:solidFill>
                  <a:srgbClr val="000000"/>
                </a:solidFill>
              </a:ln>
            </c:spPr>
          </c:dPt>
          <c:dPt>
            <c:idx val="108"/>
            <c:invertIfNegative val="1"/>
            <c:bubble3D val="0"/>
            <c:spPr>
              <a:solidFill>
                <a:srgbClr val="4285F4"/>
              </a:solidFill>
              <a:ln cmpd="sng">
                <a:solidFill>
                  <a:srgbClr val="000000"/>
                </a:solidFill>
              </a:ln>
            </c:spPr>
          </c:dPt>
          <c:dPt>
            <c:idx val="109"/>
            <c:invertIfNegative val="1"/>
            <c:bubble3D val="0"/>
            <c:spPr>
              <a:solidFill>
                <a:srgbClr val="4285F4"/>
              </a:solidFill>
              <a:ln cmpd="sng">
                <a:solidFill>
                  <a:srgbClr val="000000"/>
                </a:solidFill>
              </a:ln>
            </c:spPr>
          </c:dPt>
          <c:dPt>
            <c:idx val="110"/>
            <c:invertIfNegative val="1"/>
            <c:bubble3D val="0"/>
            <c:spPr>
              <a:solidFill>
                <a:srgbClr val="4285F4"/>
              </a:solidFill>
              <a:ln cmpd="sng">
                <a:solidFill>
                  <a:srgbClr val="000000"/>
                </a:solidFill>
              </a:ln>
            </c:spPr>
          </c:dPt>
          <c:dPt>
            <c:idx val="111"/>
            <c:invertIfNegative val="1"/>
            <c:bubble3D val="0"/>
            <c:spPr>
              <a:solidFill>
                <a:srgbClr val="4285F4"/>
              </a:solidFill>
              <a:ln cmpd="sng">
                <a:solidFill>
                  <a:srgbClr val="000000"/>
                </a:solidFill>
              </a:ln>
            </c:spPr>
          </c:dPt>
          <c:dPt>
            <c:idx val="112"/>
            <c:invertIfNegative val="1"/>
            <c:bubble3D val="0"/>
            <c:spPr>
              <a:solidFill>
                <a:srgbClr val="4285F4"/>
              </a:solidFill>
              <a:ln cmpd="sng">
                <a:solidFill>
                  <a:srgbClr val="000000"/>
                </a:solidFill>
              </a:ln>
            </c:spPr>
          </c:dPt>
          <c:dPt>
            <c:idx val="113"/>
            <c:invertIfNegative val="1"/>
            <c:bubble3D val="0"/>
            <c:spPr>
              <a:solidFill>
                <a:srgbClr val="4285F4"/>
              </a:solidFill>
              <a:ln cmpd="sng">
                <a:solidFill>
                  <a:srgbClr val="000000"/>
                </a:solidFill>
              </a:ln>
            </c:spPr>
          </c:dPt>
          <c:dPt>
            <c:idx val="114"/>
            <c:invertIfNegative val="1"/>
            <c:bubble3D val="0"/>
            <c:spPr>
              <a:solidFill>
                <a:srgbClr val="4285F4"/>
              </a:solidFill>
              <a:ln cmpd="sng">
                <a:solidFill>
                  <a:srgbClr val="000000"/>
                </a:solidFill>
              </a:ln>
            </c:spPr>
          </c:dPt>
          <c:dPt>
            <c:idx val="115"/>
            <c:invertIfNegative val="1"/>
            <c:bubble3D val="0"/>
            <c:spPr>
              <a:solidFill>
                <a:srgbClr val="4285F4"/>
              </a:solidFill>
              <a:ln cmpd="sng">
                <a:solidFill>
                  <a:srgbClr val="000000"/>
                </a:solidFill>
              </a:ln>
            </c:spPr>
          </c:dPt>
          <c:dPt>
            <c:idx val="116"/>
            <c:invertIfNegative val="1"/>
            <c:bubble3D val="0"/>
            <c:spPr>
              <a:solidFill>
                <a:srgbClr val="4285F4"/>
              </a:solidFill>
              <a:ln cmpd="sng">
                <a:solidFill>
                  <a:srgbClr val="000000"/>
                </a:solidFill>
              </a:ln>
            </c:spPr>
          </c:dPt>
          <c:dPt>
            <c:idx val="117"/>
            <c:invertIfNegative val="1"/>
            <c:bubble3D val="0"/>
            <c:spPr>
              <a:solidFill>
                <a:srgbClr val="4285F4"/>
              </a:solidFill>
              <a:ln cmpd="sng">
                <a:solidFill>
                  <a:srgbClr val="000000"/>
                </a:solidFill>
              </a:ln>
            </c:spPr>
          </c:dPt>
          <c:dPt>
            <c:idx val="118"/>
            <c:invertIfNegative val="1"/>
            <c:bubble3D val="0"/>
            <c:spPr>
              <a:solidFill>
                <a:srgbClr val="4285F4"/>
              </a:solidFill>
              <a:ln cmpd="sng">
                <a:solidFill>
                  <a:srgbClr val="000000"/>
                </a:solidFill>
              </a:ln>
            </c:spPr>
          </c:dPt>
          <c:dPt>
            <c:idx val="119"/>
            <c:invertIfNegative val="1"/>
            <c:bubble3D val="0"/>
            <c:spPr>
              <a:solidFill>
                <a:srgbClr val="4285F4"/>
              </a:solidFill>
              <a:ln cmpd="sng">
                <a:solidFill>
                  <a:srgbClr val="000000"/>
                </a:solidFill>
              </a:ln>
            </c:spPr>
          </c:dPt>
          <c:dPt>
            <c:idx val="120"/>
            <c:invertIfNegative val="1"/>
            <c:bubble3D val="0"/>
            <c:spPr>
              <a:solidFill>
                <a:srgbClr val="4285F4"/>
              </a:solidFill>
              <a:ln cmpd="sng">
                <a:solidFill>
                  <a:srgbClr val="000000"/>
                </a:solidFill>
              </a:ln>
            </c:spPr>
          </c:dPt>
          <c:dPt>
            <c:idx val="121"/>
            <c:invertIfNegative val="1"/>
            <c:bubble3D val="0"/>
            <c:spPr>
              <a:solidFill>
                <a:srgbClr val="4285F4"/>
              </a:solidFill>
              <a:ln cmpd="sng">
                <a:solidFill>
                  <a:srgbClr val="000000"/>
                </a:solidFill>
              </a:ln>
            </c:spPr>
          </c:dPt>
          <c:dPt>
            <c:idx val="122"/>
            <c:invertIfNegative val="1"/>
            <c:bubble3D val="0"/>
            <c:spPr>
              <a:solidFill>
                <a:srgbClr val="4285F4"/>
              </a:solidFill>
              <a:ln cmpd="sng">
                <a:solidFill>
                  <a:srgbClr val="000000"/>
                </a:solidFill>
              </a:ln>
            </c:spPr>
          </c:dPt>
          <c:dPt>
            <c:idx val="123"/>
            <c:invertIfNegative val="1"/>
            <c:bubble3D val="0"/>
            <c:spPr>
              <a:solidFill>
                <a:srgbClr val="4285F4"/>
              </a:solidFill>
              <a:ln cmpd="sng">
                <a:solidFill>
                  <a:srgbClr val="000000"/>
                </a:solidFill>
              </a:ln>
            </c:spPr>
          </c:dPt>
          <c:dPt>
            <c:idx val="124"/>
            <c:invertIfNegative val="1"/>
            <c:bubble3D val="0"/>
            <c:spPr>
              <a:solidFill>
                <a:srgbClr val="4285F4"/>
              </a:solidFill>
              <a:ln cmpd="sng">
                <a:solidFill>
                  <a:srgbClr val="000000"/>
                </a:solidFill>
              </a:ln>
            </c:spPr>
          </c:dPt>
          <c:dPt>
            <c:idx val="125"/>
            <c:invertIfNegative val="1"/>
            <c:bubble3D val="0"/>
            <c:spPr>
              <a:solidFill>
                <a:srgbClr val="4285F4"/>
              </a:solidFill>
              <a:ln cmpd="sng">
                <a:solidFill>
                  <a:srgbClr val="000000"/>
                </a:solidFill>
              </a:ln>
            </c:spPr>
          </c:dPt>
          <c:dPt>
            <c:idx val="126"/>
            <c:invertIfNegative val="1"/>
            <c:bubble3D val="0"/>
            <c:spPr>
              <a:solidFill>
                <a:srgbClr val="4285F4"/>
              </a:solidFill>
              <a:ln cmpd="sng">
                <a:solidFill>
                  <a:srgbClr val="000000"/>
                </a:solidFill>
              </a:ln>
            </c:spPr>
          </c:dPt>
          <c:dPt>
            <c:idx val="127"/>
            <c:invertIfNegative val="1"/>
            <c:bubble3D val="0"/>
            <c:spPr>
              <a:solidFill>
                <a:srgbClr val="4285F4"/>
              </a:solidFill>
              <a:ln cmpd="sng">
                <a:solidFill>
                  <a:srgbClr val="000000"/>
                </a:solidFill>
              </a:ln>
            </c:spPr>
          </c:dPt>
          <c:dPt>
            <c:idx val="128"/>
            <c:invertIfNegative val="1"/>
            <c:bubble3D val="0"/>
            <c:spPr>
              <a:solidFill>
                <a:srgbClr val="4285F4"/>
              </a:solidFill>
              <a:ln cmpd="sng">
                <a:solidFill>
                  <a:srgbClr val="000000"/>
                </a:solidFill>
              </a:ln>
            </c:spPr>
          </c:dPt>
          <c:dPt>
            <c:idx val="129"/>
            <c:invertIfNegative val="1"/>
            <c:bubble3D val="0"/>
            <c:spPr>
              <a:solidFill>
                <a:srgbClr val="4285F4"/>
              </a:solidFill>
              <a:ln cmpd="sng">
                <a:solidFill>
                  <a:srgbClr val="000000"/>
                </a:solidFill>
              </a:ln>
            </c:spPr>
          </c:dPt>
          <c:dPt>
            <c:idx val="130"/>
            <c:invertIfNegative val="1"/>
            <c:bubble3D val="0"/>
            <c:spPr>
              <a:solidFill>
                <a:srgbClr val="4285F4"/>
              </a:solidFill>
              <a:ln cmpd="sng">
                <a:solidFill>
                  <a:srgbClr val="000000"/>
                </a:solidFill>
              </a:ln>
            </c:spPr>
          </c:dPt>
          <c:dPt>
            <c:idx val="131"/>
            <c:invertIfNegative val="1"/>
            <c:bubble3D val="0"/>
            <c:spPr>
              <a:solidFill>
                <a:srgbClr val="4285F4"/>
              </a:solidFill>
              <a:ln cmpd="sng">
                <a:solidFill>
                  <a:srgbClr val="000000"/>
                </a:solidFill>
              </a:ln>
            </c:spPr>
          </c:dPt>
          <c:dPt>
            <c:idx val="132"/>
            <c:invertIfNegative val="1"/>
            <c:bubble3D val="0"/>
            <c:spPr>
              <a:solidFill>
                <a:srgbClr val="4285F4"/>
              </a:solidFill>
              <a:ln cmpd="sng">
                <a:solidFill>
                  <a:srgbClr val="000000"/>
                </a:solidFill>
              </a:ln>
            </c:spPr>
          </c:dPt>
          <c:dPt>
            <c:idx val="133"/>
            <c:invertIfNegative val="1"/>
            <c:bubble3D val="0"/>
            <c:spPr>
              <a:solidFill>
                <a:srgbClr val="4285F4"/>
              </a:solidFill>
              <a:ln cmpd="sng">
                <a:solidFill>
                  <a:srgbClr val="000000"/>
                </a:solidFill>
              </a:ln>
            </c:spPr>
          </c:dPt>
          <c:dPt>
            <c:idx val="134"/>
            <c:invertIfNegative val="1"/>
            <c:bubble3D val="0"/>
            <c:spPr>
              <a:solidFill>
                <a:srgbClr val="4285F4"/>
              </a:solidFill>
              <a:ln cmpd="sng">
                <a:solidFill>
                  <a:srgbClr val="000000"/>
                </a:solidFill>
              </a:ln>
            </c:spPr>
          </c:dPt>
          <c:dPt>
            <c:idx val="135"/>
            <c:invertIfNegative val="1"/>
            <c:bubble3D val="0"/>
            <c:spPr>
              <a:solidFill>
                <a:srgbClr val="4285F4"/>
              </a:solidFill>
              <a:ln cmpd="sng">
                <a:solidFill>
                  <a:srgbClr val="000000"/>
                </a:solidFill>
              </a:ln>
            </c:spPr>
          </c:dPt>
          <c:dPt>
            <c:idx val="136"/>
            <c:invertIfNegative val="1"/>
            <c:bubble3D val="0"/>
            <c:spPr>
              <a:solidFill>
                <a:srgbClr val="4285F4"/>
              </a:solidFill>
              <a:ln cmpd="sng">
                <a:solidFill>
                  <a:srgbClr val="000000"/>
                </a:solidFill>
              </a:ln>
            </c:spPr>
          </c:dPt>
          <c:dPt>
            <c:idx val="137"/>
            <c:invertIfNegative val="1"/>
            <c:bubble3D val="0"/>
            <c:spPr>
              <a:solidFill>
                <a:srgbClr val="4285F4"/>
              </a:solidFill>
              <a:ln cmpd="sng">
                <a:solidFill>
                  <a:srgbClr val="000000"/>
                </a:solidFill>
              </a:ln>
            </c:spPr>
          </c:dPt>
          <c:dPt>
            <c:idx val="138"/>
            <c:invertIfNegative val="1"/>
            <c:bubble3D val="0"/>
            <c:spPr>
              <a:solidFill>
                <a:srgbClr val="4285F4"/>
              </a:solidFill>
              <a:ln cmpd="sng">
                <a:solidFill>
                  <a:srgbClr val="000000"/>
                </a:solidFill>
              </a:ln>
            </c:spPr>
          </c:dPt>
          <c:dPt>
            <c:idx val="139"/>
            <c:invertIfNegative val="1"/>
            <c:bubble3D val="0"/>
            <c:spPr>
              <a:solidFill>
                <a:srgbClr val="4285F4"/>
              </a:solidFill>
              <a:ln cmpd="sng">
                <a:solidFill>
                  <a:srgbClr val="000000"/>
                </a:solidFill>
              </a:ln>
            </c:spPr>
          </c:dPt>
          <c:dPt>
            <c:idx val="140"/>
            <c:invertIfNegative val="1"/>
            <c:bubble3D val="0"/>
            <c:spPr>
              <a:solidFill>
                <a:srgbClr val="4285F4"/>
              </a:solidFill>
              <a:ln cmpd="sng">
                <a:solidFill>
                  <a:srgbClr val="000000"/>
                </a:solidFill>
              </a:ln>
            </c:spPr>
          </c:dPt>
          <c:dPt>
            <c:idx val="141"/>
            <c:invertIfNegative val="1"/>
            <c:bubble3D val="0"/>
            <c:spPr>
              <a:solidFill>
                <a:srgbClr val="4285F4"/>
              </a:solidFill>
              <a:ln cmpd="sng">
                <a:solidFill>
                  <a:srgbClr val="000000"/>
                </a:solidFill>
              </a:ln>
            </c:spPr>
          </c:dPt>
          <c:dPt>
            <c:idx val="142"/>
            <c:invertIfNegative val="1"/>
            <c:bubble3D val="0"/>
            <c:spPr>
              <a:solidFill>
                <a:srgbClr val="4285F4"/>
              </a:solidFill>
              <a:ln cmpd="sng">
                <a:solidFill>
                  <a:srgbClr val="000000"/>
                </a:solidFill>
              </a:ln>
            </c:spPr>
          </c:dPt>
          <c:dPt>
            <c:idx val="143"/>
            <c:invertIfNegative val="1"/>
            <c:bubble3D val="0"/>
            <c:spPr>
              <a:solidFill>
                <a:srgbClr val="4285F4"/>
              </a:solidFill>
              <a:ln cmpd="sng">
                <a:solidFill>
                  <a:srgbClr val="000000"/>
                </a:solidFill>
              </a:ln>
            </c:spPr>
          </c:dPt>
          <c:dPt>
            <c:idx val="144"/>
            <c:invertIfNegative val="1"/>
            <c:bubble3D val="0"/>
            <c:spPr>
              <a:solidFill>
                <a:srgbClr val="4285F4"/>
              </a:solidFill>
              <a:ln cmpd="sng">
                <a:solidFill>
                  <a:srgbClr val="000000"/>
                </a:solidFill>
              </a:ln>
            </c:spPr>
          </c:dPt>
          <c:dPt>
            <c:idx val="145"/>
            <c:invertIfNegative val="1"/>
            <c:bubble3D val="0"/>
            <c:spPr>
              <a:solidFill>
                <a:srgbClr val="4285F4"/>
              </a:solidFill>
              <a:ln cmpd="sng">
                <a:solidFill>
                  <a:srgbClr val="000000"/>
                </a:solidFill>
              </a:ln>
            </c:spPr>
          </c:dPt>
          <c:dPt>
            <c:idx val="146"/>
            <c:invertIfNegative val="1"/>
            <c:bubble3D val="0"/>
            <c:spPr>
              <a:solidFill>
                <a:srgbClr val="4285F4"/>
              </a:solidFill>
              <a:ln cmpd="sng">
                <a:solidFill>
                  <a:srgbClr val="000000"/>
                </a:solidFill>
              </a:ln>
            </c:spPr>
          </c:dPt>
          <c:dPt>
            <c:idx val="147"/>
            <c:invertIfNegative val="1"/>
            <c:bubble3D val="0"/>
            <c:spPr>
              <a:solidFill>
                <a:srgbClr val="4285F4"/>
              </a:solidFill>
              <a:ln cmpd="sng">
                <a:solidFill>
                  <a:srgbClr val="000000"/>
                </a:solidFill>
              </a:ln>
            </c:spPr>
          </c:dPt>
          <c:dPt>
            <c:idx val="148"/>
            <c:invertIfNegative val="1"/>
            <c:bubble3D val="0"/>
            <c:spPr>
              <a:solidFill>
                <a:srgbClr val="4285F4"/>
              </a:solidFill>
              <a:ln cmpd="sng">
                <a:solidFill>
                  <a:srgbClr val="000000"/>
                </a:solidFill>
              </a:ln>
            </c:spPr>
          </c:dPt>
          <c:dPt>
            <c:idx val="149"/>
            <c:invertIfNegative val="1"/>
            <c:bubble3D val="0"/>
            <c:spPr>
              <a:solidFill>
                <a:srgbClr val="4285F4"/>
              </a:solidFill>
              <a:ln cmpd="sng">
                <a:solidFill>
                  <a:srgbClr val="000000"/>
                </a:solidFill>
              </a:ln>
            </c:spPr>
          </c:dPt>
          <c:dPt>
            <c:idx val="150"/>
            <c:invertIfNegative val="1"/>
            <c:bubble3D val="0"/>
            <c:spPr>
              <a:solidFill>
                <a:srgbClr val="4285F4"/>
              </a:solidFill>
              <a:ln cmpd="sng">
                <a:solidFill>
                  <a:srgbClr val="000000"/>
                </a:solidFill>
              </a:ln>
            </c:spPr>
          </c:dPt>
          <c:dPt>
            <c:idx val="151"/>
            <c:invertIfNegative val="1"/>
            <c:bubble3D val="0"/>
            <c:spPr>
              <a:solidFill>
                <a:srgbClr val="4285F4"/>
              </a:solidFill>
              <a:ln cmpd="sng">
                <a:solidFill>
                  <a:srgbClr val="000000"/>
                </a:solidFill>
              </a:ln>
            </c:spPr>
          </c:dPt>
          <c:dPt>
            <c:idx val="152"/>
            <c:invertIfNegative val="1"/>
            <c:bubble3D val="0"/>
            <c:spPr>
              <a:solidFill>
                <a:srgbClr val="4285F4"/>
              </a:solidFill>
              <a:ln cmpd="sng">
                <a:solidFill>
                  <a:srgbClr val="000000"/>
                </a:solidFill>
              </a:ln>
            </c:spPr>
          </c:dPt>
          <c:dPt>
            <c:idx val="153"/>
            <c:invertIfNegative val="1"/>
            <c:bubble3D val="0"/>
            <c:spPr>
              <a:solidFill>
                <a:srgbClr val="4285F4"/>
              </a:solidFill>
              <a:ln cmpd="sng">
                <a:solidFill>
                  <a:srgbClr val="000000"/>
                </a:solidFill>
              </a:ln>
            </c:spPr>
          </c:dPt>
          <c:dPt>
            <c:idx val="154"/>
            <c:invertIfNegative val="1"/>
            <c:bubble3D val="0"/>
            <c:spPr>
              <a:solidFill>
                <a:srgbClr val="4285F4"/>
              </a:solidFill>
              <a:ln cmpd="sng">
                <a:solidFill>
                  <a:srgbClr val="000000"/>
                </a:solidFill>
              </a:ln>
            </c:spPr>
          </c:dPt>
          <c:dPt>
            <c:idx val="155"/>
            <c:invertIfNegative val="1"/>
            <c:bubble3D val="0"/>
            <c:spPr>
              <a:solidFill>
                <a:srgbClr val="4285F4"/>
              </a:solidFill>
              <a:ln cmpd="sng">
                <a:solidFill>
                  <a:srgbClr val="000000"/>
                </a:solidFill>
              </a:ln>
            </c:spPr>
          </c:dPt>
          <c:dPt>
            <c:idx val="156"/>
            <c:invertIfNegative val="1"/>
            <c:bubble3D val="0"/>
            <c:spPr>
              <a:solidFill>
                <a:srgbClr val="4285F4"/>
              </a:solidFill>
              <a:ln cmpd="sng">
                <a:solidFill>
                  <a:srgbClr val="000000"/>
                </a:solidFill>
              </a:ln>
            </c:spPr>
          </c:dPt>
          <c:dPt>
            <c:idx val="157"/>
            <c:invertIfNegative val="1"/>
            <c:bubble3D val="0"/>
            <c:spPr>
              <a:solidFill>
                <a:srgbClr val="4285F4"/>
              </a:solidFill>
              <a:ln cmpd="sng">
                <a:solidFill>
                  <a:srgbClr val="000000"/>
                </a:solidFill>
              </a:ln>
            </c:spPr>
          </c:dPt>
          <c:dPt>
            <c:idx val="158"/>
            <c:invertIfNegative val="1"/>
            <c:bubble3D val="0"/>
            <c:spPr>
              <a:solidFill>
                <a:srgbClr val="4285F4"/>
              </a:solidFill>
              <a:ln cmpd="sng">
                <a:solidFill>
                  <a:srgbClr val="000000"/>
                </a:solidFill>
              </a:ln>
            </c:spPr>
          </c:dPt>
          <c:dPt>
            <c:idx val="159"/>
            <c:invertIfNegative val="1"/>
            <c:bubble3D val="0"/>
            <c:spPr>
              <a:solidFill>
                <a:srgbClr val="4285F4"/>
              </a:solidFill>
              <a:ln cmpd="sng">
                <a:solidFill>
                  <a:srgbClr val="000000"/>
                </a:solidFill>
              </a:ln>
            </c:spPr>
          </c:dPt>
          <c:dPt>
            <c:idx val="160"/>
            <c:invertIfNegative val="1"/>
            <c:bubble3D val="0"/>
            <c:spPr>
              <a:solidFill>
                <a:srgbClr val="4285F4"/>
              </a:solidFill>
              <a:ln cmpd="sng">
                <a:solidFill>
                  <a:srgbClr val="000000"/>
                </a:solidFill>
              </a:ln>
            </c:spPr>
          </c:dPt>
          <c:dPt>
            <c:idx val="161"/>
            <c:invertIfNegative val="1"/>
            <c:bubble3D val="0"/>
            <c:spPr>
              <a:solidFill>
                <a:srgbClr val="4285F4"/>
              </a:solidFill>
              <a:ln cmpd="sng">
                <a:solidFill>
                  <a:srgbClr val="000000"/>
                </a:solidFill>
              </a:ln>
            </c:spPr>
          </c:dPt>
          <c:dPt>
            <c:idx val="162"/>
            <c:invertIfNegative val="1"/>
            <c:bubble3D val="0"/>
            <c:spPr>
              <a:solidFill>
                <a:srgbClr val="4285F4"/>
              </a:solidFill>
              <a:ln cmpd="sng">
                <a:solidFill>
                  <a:srgbClr val="000000"/>
                </a:solidFill>
              </a:ln>
            </c:spPr>
          </c:dPt>
          <c:dPt>
            <c:idx val="163"/>
            <c:invertIfNegative val="1"/>
            <c:bubble3D val="0"/>
            <c:spPr>
              <a:solidFill>
                <a:srgbClr val="4285F4"/>
              </a:solidFill>
              <a:ln cmpd="sng">
                <a:solidFill>
                  <a:srgbClr val="000000"/>
                </a:solidFill>
              </a:ln>
            </c:spPr>
          </c:dPt>
          <c:dPt>
            <c:idx val="164"/>
            <c:invertIfNegative val="1"/>
            <c:bubble3D val="0"/>
            <c:spPr>
              <a:solidFill>
                <a:srgbClr val="4285F4"/>
              </a:solidFill>
              <a:ln cmpd="sng">
                <a:solidFill>
                  <a:srgbClr val="000000"/>
                </a:solidFill>
              </a:ln>
            </c:spPr>
          </c:dPt>
          <c:dPt>
            <c:idx val="165"/>
            <c:invertIfNegative val="1"/>
            <c:bubble3D val="0"/>
            <c:spPr>
              <a:solidFill>
                <a:srgbClr val="4285F4"/>
              </a:solidFill>
              <a:ln cmpd="sng">
                <a:solidFill>
                  <a:srgbClr val="000000"/>
                </a:solidFill>
              </a:ln>
            </c:spPr>
          </c:dPt>
          <c:dPt>
            <c:idx val="166"/>
            <c:invertIfNegative val="1"/>
            <c:bubble3D val="0"/>
            <c:spPr>
              <a:solidFill>
                <a:srgbClr val="4285F4"/>
              </a:solidFill>
              <a:ln cmpd="sng">
                <a:solidFill>
                  <a:srgbClr val="000000"/>
                </a:solidFill>
              </a:ln>
            </c:spPr>
          </c:dPt>
          <c:dPt>
            <c:idx val="167"/>
            <c:invertIfNegative val="1"/>
            <c:bubble3D val="0"/>
            <c:spPr>
              <a:solidFill>
                <a:srgbClr val="4285F4"/>
              </a:solidFill>
              <a:ln cmpd="sng">
                <a:solidFill>
                  <a:srgbClr val="000000"/>
                </a:solidFill>
              </a:ln>
            </c:spPr>
          </c:dPt>
          <c:dPt>
            <c:idx val="168"/>
            <c:invertIfNegative val="1"/>
            <c:bubble3D val="0"/>
            <c:spPr>
              <a:solidFill>
                <a:srgbClr val="4285F4"/>
              </a:solidFill>
              <a:ln cmpd="sng">
                <a:solidFill>
                  <a:srgbClr val="000000"/>
                </a:solidFill>
              </a:ln>
            </c:spPr>
          </c:dPt>
          <c:dPt>
            <c:idx val="169"/>
            <c:invertIfNegative val="1"/>
            <c:bubble3D val="0"/>
            <c:spPr>
              <a:solidFill>
                <a:srgbClr val="4285F4"/>
              </a:solidFill>
              <a:ln cmpd="sng">
                <a:solidFill>
                  <a:srgbClr val="000000"/>
                </a:solidFill>
              </a:ln>
            </c:spPr>
          </c:dPt>
          <c:dPt>
            <c:idx val="170"/>
            <c:invertIfNegative val="1"/>
            <c:bubble3D val="0"/>
            <c:spPr>
              <a:solidFill>
                <a:srgbClr val="4285F4"/>
              </a:solidFill>
              <a:ln cmpd="sng">
                <a:solidFill>
                  <a:srgbClr val="000000"/>
                </a:solidFill>
              </a:ln>
            </c:spPr>
          </c:dPt>
          <c:dPt>
            <c:idx val="171"/>
            <c:invertIfNegative val="1"/>
            <c:bubble3D val="0"/>
            <c:spPr>
              <a:solidFill>
                <a:srgbClr val="4285F4"/>
              </a:solidFill>
              <a:ln cmpd="sng">
                <a:solidFill>
                  <a:srgbClr val="000000"/>
                </a:solidFill>
              </a:ln>
            </c:spPr>
          </c:dPt>
          <c:dPt>
            <c:idx val="172"/>
            <c:invertIfNegative val="1"/>
            <c:bubble3D val="0"/>
            <c:spPr>
              <a:solidFill>
                <a:srgbClr val="4285F4"/>
              </a:solidFill>
              <a:ln cmpd="sng">
                <a:solidFill>
                  <a:srgbClr val="000000"/>
                </a:solidFill>
              </a:ln>
            </c:spPr>
          </c:dPt>
          <c:dPt>
            <c:idx val="173"/>
            <c:invertIfNegative val="1"/>
            <c:bubble3D val="0"/>
            <c:spPr>
              <a:solidFill>
                <a:srgbClr val="4285F4"/>
              </a:solidFill>
              <a:ln cmpd="sng">
                <a:solidFill>
                  <a:srgbClr val="000000"/>
                </a:solidFill>
              </a:ln>
            </c:spPr>
          </c:dPt>
          <c:dPt>
            <c:idx val="174"/>
            <c:invertIfNegative val="1"/>
            <c:bubble3D val="0"/>
            <c:spPr>
              <a:solidFill>
                <a:srgbClr val="4285F4"/>
              </a:solidFill>
              <a:ln cmpd="sng">
                <a:solidFill>
                  <a:srgbClr val="000000"/>
                </a:solidFill>
              </a:ln>
            </c:spPr>
          </c:dPt>
          <c:dPt>
            <c:idx val="175"/>
            <c:invertIfNegative val="1"/>
            <c:bubble3D val="0"/>
            <c:spPr>
              <a:solidFill>
                <a:srgbClr val="4285F4"/>
              </a:solidFill>
              <a:ln cmpd="sng">
                <a:solidFill>
                  <a:srgbClr val="000000"/>
                </a:solidFill>
              </a:ln>
            </c:spPr>
          </c:dPt>
          <c:dPt>
            <c:idx val="176"/>
            <c:invertIfNegative val="1"/>
            <c:bubble3D val="0"/>
            <c:spPr>
              <a:solidFill>
                <a:srgbClr val="4285F4"/>
              </a:solidFill>
              <a:ln cmpd="sng">
                <a:solidFill>
                  <a:srgbClr val="000000"/>
                </a:solidFill>
              </a:ln>
            </c:spPr>
          </c:dPt>
          <c:dPt>
            <c:idx val="177"/>
            <c:invertIfNegative val="1"/>
            <c:bubble3D val="0"/>
            <c:spPr>
              <a:solidFill>
                <a:srgbClr val="4285F4"/>
              </a:solidFill>
              <a:ln cmpd="sng">
                <a:solidFill>
                  <a:srgbClr val="000000"/>
                </a:solidFill>
              </a:ln>
            </c:spPr>
          </c:dPt>
          <c:dPt>
            <c:idx val="178"/>
            <c:invertIfNegative val="1"/>
            <c:bubble3D val="0"/>
            <c:spPr>
              <a:solidFill>
                <a:srgbClr val="4285F4"/>
              </a:solidFill>
              <a:ln cmpd="sng">
                <a:solidFill>
                  <a:srgbClr val="000000"/>
                </a:solidFill>
              </a:ln>
            </c:spPr>
          </c:dPt>
          <c:dPt>
            <c:idx val="179"/>
            <c:invertIfNegative val="1"/>
            <c:bubble3D val="0"/>
            <c:spPr>
              <a:solidFill>
                <a:srgbClr val="4285F4"/>
              </a:solidFill>
              <a:ln cmpd="sng">
                <a:solidFill>
                  <a:srgbClr val="000000"/>
                </a:solidFill>
              </a:ln>
            </c:spPr>
          </c:dPt>
          <c:dPt>
            <c:idx val="180"/>
            <c:invertIfNegative val="1"/>
            <c:bubble3D val="0"/>
            <c:spPr>
              <a:solidFill>
                <a:srgbClr val="4285F4"/>
              </a:solidFill>
              <a:ln cmpd="sng">
                <a:solidFill>
                  <a:srgbClr val="000000"/>
                </a:solidFill>
              </a:ln>
            </c:spPr>
          </c:dPt>
          <c:dPt>
            <c:idx val="181"/>
            <c:invertIfNegative val="1"/>
            <c:bubble3D val="0"/>
            <c:spPr>
              <a:solidFill>
                <a:srgbClr val="4285F4"/>
              </a:solidFill>
              <a:ln cmpd="sng">
                <a:solidFill>
                  <a:srgbClr val="000000"/>
                </a:solidFill>
              </a:ln>
            </c:spPr>
          </c:dPt>
          <c:dPt>
            <c:idx val="182"/>
            <c:invertIfNegative val="1"/>
            <c:bubble3D val="0"/>
            <c:spPr>
              <a:solidFill>
                <a:srgbClr val="4285F4"/>
              </a:solidFill>
              <a:ln cmpd="sng">
                <a:solidFill>
                  <a:srgbClr val="000000"/>
                </a:solidFill>
              </a:ln>
            </c:spPr>
          </c:dPt>
          <c:dPt>
            <c:idx val="183"/>
            <c:invertIfNegative val="1"/>
            <c:bubble3D val="0"/>
            <c:spPr>
              <a:solidFill>
                <a:srgbClr val="4285F4"/>
              </a:solidFill>
              <a:ln cmpd="sng">
                <a:solidFill>
                  <a:srgbClr val="000000"/>
                </a:solidFill>
              </a:ln>
            </c:spPr>
          </c:dPt>
          <c:dPt>
            <c:idx val="184"/>
            <c:invertIfNegative val="1"/>
            <c:bubble3D val="0"/>
            <c:spPr>
              <a:solidFill>
                <a:srgbClr val="4285F4"/>
              </a:solidFill>
              <a:ln cmpd="sng">
                <a:solidFill>
                  <a:srgbClr val="000000"/>
                </a:solidFill>
              </a:ln>
            </c:spPr>
          </c:dPt>
          <c:dPt>
            <c:idx val="185"/>
            <c:invertIfNegative val="1"/>
            <c:bubble3D val="0"/>
            <c:spPr>
              <a:solidFill>
                <a:srgbClr val="4285F4"/>
              </a:solidFill>
              <a:ln cmpd="sng">
                <a:solidFill>
                  <a:srgbClr val="000000"/>
                </a:solidFill>
              </a:ln>
            </c:spPr>
          </c:dPt>
          <c:dPt>
            <c:idx val="186"/>
            <c:invertIfNegative val="1"/>
            <c:bubble3D val="0"/>
            <c:spPr>
              <a:solidFill>
                <a:srgbClr val="4285F4"/>
              </a:solidFill>
              <a:ln cmpd="sng">
                <a:solidFill>
                  <a:srgbClr val="000000"/>
                </a:solidFill>
              </a:ln>
            </c:spPr>
          </c:dPt>
          <c:dPt>
            <c:idx val="187"/>
            <c:invertIfNegative val="1"/>
            <c:bubble3D val="0"/>
            <c:spPr>
              <a:solidFill>
                <a:srgbClr val="4285F4"/>
              </a:solidFill>
              <a:ln cmpd="sng">
                <a:solidFill>
                  <a:srgbClr val="000000"/>
                </a:solidFill>
              </a:ln>
            </c:spPr>
          </c:dPt>
          <c:dPt>
            <c:idx val="188"/>
            <c:invertIfNegative val="1"/>
            <c:bubble3D val="0"/>
            <c:spPr>
              <a:solidFill>
                <a:srgbClr val="4285F4"/>
              </a:solidFill>
              <a:ln cmpd="sng">
                <a:solidFill>
                  <a:srgbClr val="000000"/>
                </a:solidFill>
              </a:ln>
            </c:spPr>
          </c:dPt>
          <c:dPt>
            <c:idx val="189"/>
            <c:invertIfNegative val="1"/>
            <c:bubble3D val="0"/>
            <c:spPr>
              <a:solidFill>
                <a:srgbClr val="4285F4"/>
              </a:solidFill>
              <a:ln cmpd="sng">
                <a:solidFill>
                  <a:srgbClr val="000000"/>
                </a:solidFill>
              </a:ln>
            </c:spPr>
          </c:dPt>
          <c:dPt>
            <c:idx val="190"/>
            <c:invertIfNegative val="1"/>
            <c:bubble3D val="0"/>
            <c:spPr>
              <a:solidFill>
                <a:srgbClr val="4285F4"/>
              </a:solidFill>
              <a:ln cmpd="sng">
                <a:solidFill>
                  <a:srgbClr val="000000"/>
                </a:solidFill>
              </a:ln>
            </c:spPr>
          </c:dPt>
          <c:dPt>
            <c:idx val="191"/>
            <c:invertIfNegative val="1"/>
            <c:bubble3D val="0"/>
            <c:spPr>
              <a:solidFill>
                <a:srgbClr val="4285F4"/>
              </a:solidFill>
              <a:ln cmpd="sng">
                <a:solidFill>
                  <a:srgbClr val="000000"/>
                </a:solidFill>
              </a:ln>
            </c:spPr>
          </c:dPt>
          <c:dPt>
            <c:idx val="192"/>
            <c:invertIfNegative val="1"/>
            <c:bubble3D val="0"/>
            <c:spPr>
              <a:solidFill>
                <a:srgbClr val="4285F4"/>
              </a:solidFill>
              <a:ln cmpd="sng">
                <a:solidFill>
                  <a:srgbClr val="000000"/>
                </a:solidFill>
              </a:ln>
            </c:spPr>
          </c:dPt>
          <c:dPt>
            <c:idx val="193"/>
            <c:invertIfNegative val="1"/>
            <c:bubble3D val="0"/>
            <c:spPr>
              <a:solidFill>
                <a:srgbClr val="4285F4"/>
              </a:solidFill>
              <a:ln cmpd="sng">
                <a:solidFill>
                  <a:srgbClr val="000000"/>
                </a:solidFill>
              </a:ln>
            </c:spPr>
          </c:dPt>
          <c:dPt>
            <c:idx val="194"/>
            <c:invertIfNegative val="1"/>
            <c:bubble3D val="0"/>
            <c:spPr>
              <a:solidFill>
                <a:srgbClr val="4285F4"/>
              </a:solidFill>
              <a:ln cmpd="sng">
                <a:solidFill>
                  <a:srgbClr val="000000"/>
                </a:solidFill>
              </a:ln>
            </c:spPr>
          </c:dPt>
          <c:dPt>
            <c:idx val="195"/>
            <c:invertIfNegative val="1"/>
            <c:bubble3D val="0"/>
            <c:spPr>
              <a:solidFill>
                <a:srgbClr val="4285F4"/>
              </a:solidFill>
              <a:ln cmpd="sng">
                <a:solidFill>
                  <a:srgbClr val="000000"/>
                </a:solidFill>
              </a:ln>
            </c:spPr>
          </c:dPt>
          <c:dPt>
            <c:idx val="196"/>
            <c:invertIfNegative val="1"/>
            <c:bubble3D val="0"/>
            <c:spPr>
              <a:solidFill>
                <a:srgbClr val="4285F4"/>
              </a:solidFill>
              <a:ln cmpd="sng">
                <a:solidFill>
                  <a:srgbClr val="000000"/>
                </a:solidFill>
              </a:ln>
            </c:spPr>
          </c:dPt>
          <c:dPt>
            <c:idx val="197"/>
            <c:invertIfNegative val="1"/>
            <c:bubble3D val="0"/>
            <c:spPr>
              <a:solidFill>
                <a:srgbClr val="4285F4"/>
              </a:solidFill>
              <a:ln cmpd="sng">
                <a:solidFill>
                  <a:srgbClr val="000000"/>
                </a:solidFill>
              </a:ln>
            </c:spPr>
          </c:dPt>
          <c:dPt>
            <c:idx val="198"/>
            <c:invertIfNegative val="1"/>
            <c:bubble3D val="0"/>
            <c:spPr>
              <a:solidFill>
                <a:srgbClr val="4285F4"/>
              </a:solidFill>
              <a:ln cmpd="sng">
                <a:solidFill>
                  <a:srgbClr val="000000"/>
                </a:solidFill>
              </a:ln>
            </c:spPr>
          </c:dPt>
          <c:dPt>
            <c:idx val="199"/>
            <c:invertIfNegative val="1"/>
            <c:bubble3D val="0"/>
            <c:spPr>
              <a:solidFill>
                <a:srgbClr val="4285F4"/>
              </a:solidFill>
              <a:ln cmpd="sng">
                <a:solidFill>
                  <a:srgbClr val="000000"/>
                </a:solidFill>
              </a:ln>
            </c:spPr>
          </c:dPt>
          <c:dPt>
            <c:idx val="200"/>
            <c:invertIfNegative val="1"/>
            <c:bubble3D val="0"/>
            <c:spPr>
              <a:solidFill>
                <a:srgbClr val="4285F4"/>
              </a:solidFill>
              <a:ln cmpd="sng">
                <a:solidFill>
                  <a:srgbClr val="000000"/>
                </a:solidFill>
              </a:ln>
            </c:spPr>
          </c:dPt>
          <c:dPt>
            <c:idx val="201"/>
            <c:invertIfNegative val="1"/>
            <c:bubble3D val="0"/>
            <c:spPr>
              <a:solidFill>
                <a:srgbClr val="4285F4"/>
              </a:solidFill>
              <a:ln cmpd="sng">
                <a:solidFill>
                  <a:srgbClr val="000000"/>
                </a:solidFill>
              </a:ln>
            </c:spPr>
          </c:dPt>
          <c:dPt>
            <c:idx val="202"/>
            <c:invertIfNegative val="1"/>
            <c:bubble3D val="0"/>
            <c:spPr>
              <a:solidFill>
                <a:srgbClr val="4285F4"/>
              </a:solidFill>
              <a:ln cmpd="sng">
                <a:solidFill>
                  <a:srgbClr val="000000"/>
                </a:solidFill>
              </a:ln>
            </c:spPr>
          </c:dPt>
          <c:dPt>
            <c:idx val="203"/>
            <c:invertIfNegative val="1"/>
            <c:bubble3D val="0"/>
            <c:spPr>
              <a:solidFill>
                <a:srgbClr val="4285F4"/>
              </a:solidFill>
              <a:ln cmpd="sng">
                <a:solidFill>
                  <a:srgbClr val="000000"/>
                </a:solidFill>
              </a:ln>
            </c:spPr>
          </c:dPt>
          <c:dPt>
            <c:idx val="204"/>
            <c:invertIfNegative val="1"/>
            <c:bubble3D val="0"/>
            <c:spPr>
              <a:solidFill>
                <a:srgbClr val="4285F4"/>
              </a:solidFill>
              <a:ln cmpd="sng">
                <a:solidFill>
                  <a:srgbClr val="000000"/>
                </a:solidFill>
              </a:ln>
            </c:spPr>
          </c:dPt>
          <c:dPt>
            <c:idx val="205"/>
            <c:invertIfNegative val="1"/>
            <c:bubble3D val="0"/>
            <c:spPr>
              <a:solidFill>
                <a:srgbClr val="4285F4"/>
              </a:solidFill>
              <a:ln cmpd="sng">
                <a:solidFill>
                  <a:srgbClr val="000000"/>
                </a:solidFill>
              </a:ln>
            </c:spPr>
          </c:dPt>
          <c:dPt>
            <c:idx val="206"/>
            <c:invertIfNegative val="1"/>
            <c:bubble3D val="0"/>
            <c:spPr>
              <a:solidFill>
                <a:srgbClr val="4285F4"/>
              </a:solidFill>
              <a:ln cmpd="sng">
                <a:solidFill>
                  <a:srgbClr val="000000"/>
                </a:solidFill>
              </a:ln>
            </c:spPr>
          </c:dPt>
          <c:dPt>
            <c:idx val="207"/>
            <c:invertIfNegative val="1"/>
            <c:bubble3D val="0"/>
            <c:spPr>
              <a:solidFill>
                <a:srgbClr val="4285F4"/>
              </a:solidFill>
              <a:ln cmpd="sng">
                <a:solidFill>
                  <a:srgbClr val="000000"/>
                </a:solidFill>
              </a:ln>
            </c:spPr>
          </c:dPt>
          <c:dPt>
            <c:idx val="208"/>
            <c:invertIfNegative val="1"/>
            <c:bubble3D val="0"/>
            <c:spPr>
              <a:solidFill>
                <a:srgbClr val="4285F4"/>
              </a:solidFill>
              <a:ln cmpd="sng">
                <a:solidFill>
                  <a:srgbClr val="000000"/>
                </a:solidFill>
              </a:ln>
            </c:spPr>
          </c:dPt>
          <c:dPt>
            <c:idx val="209"/>
            <c:invertIfNegative val="1"/>
            <c:bubble3D val="0"/>
            <c:spPr>
              <a:solidFill>
                <a:srgbClr val="4285F4"/>
              </a:solidFill>
              <a:ln cmpd="sng">
                <a:solidFill>
                  <a:srgbClr val="000000"/>
                </a:solidFill>
              </a:ln>
            </c:spPr>
          </c:dPt>
          <c:dPt>
            <c:idx val="210"/>
            <c:invertIfNegative val="1"/>
            <c:bubble3D val="0"/>
            <c:spPr>
              <a:solidFill>
                <a:srgbClr val="4285F4"/>
              </a:solidFill>
              <a:ln cmpd="sng">
                <a:solidFill>
                  <a:srgbClr val="000000"/>
                </a:solidFill>
              </a:ln>
            </c:spPr>
          </c:dPt>
          <c:dPt>
            <c:idx val="211"/>
            <c:invertIfNegative val="1"/>
            <c:bubble3D val="0"/>
            <c:spPr>
              <a:solidFill>
                <a:srgbClr val="4285F4"/>
              </a:solidFill>
              <a:ln cmpd="sng">
                <a:solidFill>
                  <a:srgbClr val="000000"/>
                </a:solidFill>
              </a:ln>
            </c:spPr>
          </c:dPt>
          <c:dPt>
            <c:idx val="212"/>
            <c:invertIfNegative val="1"/>
            <c:bubble3D val="0"/>
            <c:spPr>
              <a:solidFill>
                <a:srgbClr val="4285F4"/>
              </a:solidFill>
              <a:ln cmpd="sng">
                <a:solidFill>
                  <a:srgbClr val="000000"/>
                </a:solidFill>
              </a:ln>
            </c:spPr>
          </c:dPt>
          <c:dPt>
            <c:idx val="213"/>
            <c:invertIfNegative val="1"/>
            <c:bubble3D val="0"/>
            <c:spPr>
              <a:solidFill>
                <a:srgbClr val="4285F4"/>
              </a:solidFill>
              <a:ln cmpd="sng">
                <a:solidFill>
                  <a:srgbClr val="000000"/>
                </a:solidFill>
              </a:ln>
            </c:spPr>
          </c:dPt>
          <c:dPt>
            <c:idx val="214"/>
            <c:invertIfNegative val="1"/>
            <c:bubble3D val="0"/>
            <c:spPr>
              <a:solidFill>
                <a:srgbClr val="4285F4"/>
              </a:solidFill>
              <a:ln cmpd="sng">
                <a:solidFill>
                  <a:srgbClr val="000000"/>
                </a:solidFill>
              </a:ln>
            </c:spPr>
          </c:dPt>
          <c:dPt>
            <c:idx val="215"/>
            <c:invertIfNegative val="1"/>
            <c:bubble3D val="0"/>
            <c:spPr>
              <a:solidFill>
                <a:srgbClr val="4285F4"/>
              </a:solidFill>
              <a:ln cmpd="sng">
                <a:solidFill>
                  <a:srgbClr val="000000"/>
                </a:solidFill>
              </a:ln>
            </c:spPr>
          </c:dPt>
          <c:dPt>
            <c:idx val="216"/>
            <c:invertIfNegative val="1"/>
            <c:bubble3D val="0"/>
            <c:spPr>
              <a:solidFill>
                <a:srgbClr val="4285F4"/>
              </a:solidFill>
              <a:ln cmpd="sng">
                <a:solidFill>
                  <a:srgbClr val="000000"/>
                </a:solidFill>
              </a:ln>
            </c:spPr>
          </c:dPt>
          <c:dPt>
            <c:idx val="217"/>
            <c:invertIfNegative val="1"/>
            <c:bubble3D val="0"/>
            <c:spPr>
              <a:solidFill>
                <a:srgbClr val="4285F4"/>
              </a:solidFill>
              <a:ln cmpd="sng">
                <a:solidFill>
                  <a:srgbClr val="000000"/>
                </a:solidFill>
              </a:ln>
            </c:spPr>
          </c:dPt>
          <c:dPt>
            <c:idx val="218"/>
            <c:invertIfNegative val="1"/>
            <c:bubble3D val="0"/>
            <c:spPr>
              <a:solidFill>
                <a:srgbClr val="4285F4"/>
              </a:solidFill>
              <a:ln cmpd="sng">
                <a:solidFill>
                  <a:srgbClr val="000000"/>
                </a:solidFill>
              </a:ln>
            </c:spPr>
          </c:dPt>
          <c:dPt>
            <c:idx val="219"/>
            <c:invertIfNegative val="1"/>
            <c:bubble3D val="0"/>
            <c:spPr>
              <a:solidFill>
                <a:srgbClr val="4285F4"/>
              </a:solidFill>
              <a:ln cmpd="sng">
                <a:solidFill>
                  <a:srgbClr val="000000"/>
                </a:solidFill>
              </a:ln>
            </c:spPr>
          </c:dPt>
          <c:dPt>
            <c:idx val="220"/>
            <c:invertIfNegative val="1"/>
            <c:bubble3D val="0"/>
            <c:spPr>
              <a:solidFill>
                <a:srgbClr val="4285F4"/>
              </a:solidFill>
              <a:ln cmpd="sng">
                <a:solidFill>
                  <a:srgbClr val="000000"/>
                </a:solidFill>
              </a:ln>
            </c:spPr>
          </c:dPt>
          <c:dPt>
            <c:idx val="221"/>
            <c:invertIfNegative val="1"/>
            <c:bubble3D val="0"/>
            <c:spPr>
              <a:solidFill>
                <a:srgbClr val="4285F4"/>
              </a:solidFill>
              <a:ln cmpd="sng">
                <a:solidFill>
                  <a:srgbClr val="000000"/>
                </a:solidFill>
              </a:ln>
            </c:spPr>
          </c:dPt>
          <c:dPt>
            <c:idx val="222"/>
            <c:invertIfNegative val="1"/>
            <c:bubble3D val="0"/>
            <c:spPr>
              <a:solidFill>
                <a:srgbClr val="4285F4"/>
              </a:solidFill>
              <a:ln cmpd="sng">
                <a:solidFill>
                  <a:srgbClr val="000000"/>
                </a:solidFill>
              </a:ln>
            </c:spPr>
          </c:dPt>
          <c:dPt>
            <c:idx val="223"/>
            <c:invertIfNegative val="1"/>
            <c:bubble3D val="0"/>
            <c:spPr>
              <a:solidFill>
                <a:srgbClr val="4285F4"/>
              </a:solidFill>
              <a:ln cmpd="sng">
                <a:solidFill>
                  <a:srgbClr val="000000"/>
                </a:solidFill>
              </a:ln>
            </c:spPr>
          </c:dPt>
          <c:dPt>
            <c:idx val="224"/>
            <c:invertIfNegative val="1"/>
            <c:bubble3D val="0"/>
            <c:spPr>
              <a:solidFill>
                <a:srgbClr val="4285F4"/>
              </a:solidFill>
              <a:ln cmpd="sng">
                <a:solidFill>
                  <a:srgbClr val="000000"/>
                </a:solidFill>
              </a:ln>
            </c:spPr>
          </c:dPt>
          <c:dPt>
            <c:idx val="225"/>
            <c:invertIfNegative val="1"/>
            <c:bubble3D val="0"/>
            <c:spPr>
              <a:solidFill>
                <a:srgbClr val="4285F4"/>
              </a:solidFill>
              <a:ln cmpd="sng">
                <a:solidFill>
                  <a:srgbClr val="000000"/>
                </a:solidFill>
              </a:ln>
            </c:spPr>
          </c:dPt>
          <c:dPt>
            <c:idx val="226"/>
            <c:invertIfNegative val="1"/>
            <c:bubble3D val="0"/>
            <c:spPr>
              <a:solidFill>
                <a:srgbClr val="4285F4"/>
              </a:solidFill>
              <a:ln cmpd="sng">
                <a:solidFill>
                  <a:srgbClr val="000000"/>
                </a:solidFill>
              </a:ln>
            </c:spPr>
          </c:dPt>
          <c:dPt>
            <c:idx val="227"/>
            <c:invertIfNegative val="1"/>
            <c:bubble3D val="0"/>
            <c:spPr>
              <a:solidFill>
                <a:srgbClr val="4285F4"/>
              </a:solidFill>
              <a:ln cmpd="sng">
                <a:solidFill>
                  <a:srgbClr val="000000"/>
                </a:solidFill>
              </a:ln>
            </c:spPr>
          </c:dPt>
          <c:dPt>
            <c:idx val="228"/>
            <c:invertIfNegative val="1"/>
            <c:bubble3D val="0"/>
            <c:spPr>
              <a:solidFill>
                <a:srgbClr val="4285F4"/>
              </a:solidFill>
              <a:ln cmpd="sng">
                <a:solidFill>
                  <a:srgbClr val="000000"/>
                </a:solidFill>
              </a:ln>
            </c:spPr>
          </c:dPt>
          <c:dPt>
            <c:idx val="229"/>
            <c:invertIfNegative val="1"/>
            <c:bubble3D val="0"/>
            <c:spPr>
              <a:solidFill>
                <a:srgbClr val="4285F4"/>
              </a:solidFill>
              <a:ln cmpd="sng">
                <a:solidFill>
                  <a:srgbClr val="000000"/>
                </a:solidFill>
              </a:ln>
            </c:spPr>
          </c:dPt>
          <c:dPt>
            <c:idx val="230"/>
            <c:invertIfNegative val="1"/>
            <c:bubble3D val="0"/>
            <c:spPr>
              <a:solidFill>
                <a:srgbClr val="4285F4"/>
              </a:solidFill>
              <a:ln cmpd="sng">
                <a:solidFill>
                  <a:srgbClr val="000000"/>
                </a:solidFill>
              </a:ln>
            </c:spPr>
          </c:dPt>
          <c:dPt>
            <c:idx val="231"/>
            <c:invertIfNegative val="1"/>
            <c:bubble3D val="0"/>
            <c:spPr>
              <a:solidFill>
                <a:srgbClr val="4285F4"/>
              </a:solidFill>
              <a:ln cmpd="sng">
                <a:solidFill>
                  <a:srgbClr val="000000"/>
                </a:solidFill>
              </a:ln>
            </c:spPr>
          </c:dPt>
          <c:dPt>
            <c:idx val="232"/>
            <c:invertIfNegative val="1"/>
            <c:bubble3D val="0"/>
            <c:spPr>
              <a:solidFill>
                <a:srgbClr val="4285F4"/>
              </a:solidFill>
              <a:ln cmpd="sng">
                <a:solidFill>
                  <a:srgbClr val="000000"/>
                </a:solidFill>
              </a:ln>
            </c:spPr>
          </c:dPt>
          <c:dPt>
            <c:idx val="233"/>
            <c:invertIfNegative val="1"/>
            <c:bubble3D val="0"/>
            <c:spPr>
              <a:solidFill>
                <a:srgbClr val="4285F4"/>
              </a:solidFill>
              <a:ln cmpd="sng">
                <a:solidFill>
                  <a:srgbClr val="000000"/>
                </a:solidFill>
              </a:ln>
            </c:spPr>
          </c:dPt>
          <c:dPt>
            <c:idx val="234"/>
            <c:invertIfNegative val="1"/>
            <c:bubble3D val="0"/>
            <c:spPr>
              <a:solidFill>
                <a:srgbClr val="4285F4"/>
              </a:solidFill>
              <a:ln cmpd="sng">
                <a:solidFill>
                  <a:srgbClr val="000000"/>
                </a:solidFill>
              </a:ln>
            </c:spPr>
          </c:dPt>
          <c:dPt>
            <c:idx val="235"/>
            <c:invertIfNegative val="1"/>
            <c:bubble3D val="0"/>
            <c:spPr>
              <a:solidFill>
                <a:srgbClr val="4285F4"/>
              </a:solidFill>
              <a:ln cmpd="sng">
                <a:solidFill>
                  <a:srgbClr val="000000"/>
                </a:solidFill>
              </a:ln>
            </c:spPr>
          </c:dPt>
          <c:dPt>
            <c:idx val="236"/>
            <c:invertIfNegative val="1"/>
            <c:bubble3D val="0"/>
            <c:spPr>
              <a:solidFill>
                <a:srgbClr val="4285F4"/>
              </a:solidFill>
              <a:ln cmpd="sng">
                <a:solidFill>
                  <a:srgbClr val="000000"/>
                </a:solidFill>
              </a:ln>
            </c:spPr>
          </c:dPt>
          <c:dPt>
            <c:idx val="237"/>
            <c:invertIfNegative val="1"/>
            <c:bubble3D val="0"/>
            <c:spPr>
              <a:solidFill>
                <a:srgbClr val="4285F4"/>
              </a:solidFill>
              <a:ln cmpd="sng">
                <a:solidFill>
                  <a:srgbClr val="000000"/>
                </a:solidFill>
              </a:ln>
            </c:spPr>
          </c:dPt>
          <c:dPt>
            <c:idx val="238"/>
            <c:invertIfNegative val="1"/>
            <c:bubble3D val="0"/>
            <c:spPr>
              <a:solidFill>
                <a:srgbClr val="4285F4"/>
              </a:solidFill>
              <a:ln cmpd="sng">
                <a:solidFill>
                  <a:srgbClr val="000000"/>
                </a:solidFill>
              </a:ln>
            </c:spPr>
          </c:dPt>
          <c:dPt>
            <c:idx val="239"/>
            <c:invertIfNegative val="1"/>
            <c:bubble3D val="0"/>
            <c:spPr>
              <a:solidFill>
                <a:srgbClr val="4285F4"/>
              </a:solidFill>
              <a:ln cmpd="sng">
                <a:solidFill>
                  <a:srgbClr val="000000"/>
                </a:solidFill>
              </a:ln>
            </c:spPr>
          </c:dPt>
          <c:dPt>
            <c:idx val="240"/>
            <c:invertIfNegative val="1"/>
            <c:bubble3D val="0"/>
            <c:spPr>
              <a:solidFill>
                <a:srgbClr val="4285F4"/>
              </a:solidFill>
              <a:ln cmpd="sng">
                <a:solidFill>
                  <a:srgbClr val="000000"/>
                </a:solidFill>
              </a:ln>
            </c:spPr>
          </c:dPt>
          <c:dPt>
            <c:idx val="241"/>
            <c:invertIfNegative val="1"/>
            <c:bubble3D val="0"/>
            <c:spPr>
              <a:solidFill>
                <a:srgbClr val="4285F4"/>
              </a:solidFill>
              <a:ln cmpd="sng">
                <a:solidFill>
                  <a:srgbClr val="000000"/>
                </a:solidFill>
              </a:ln>
            </c:spPr>
          </c:dPt>
          <c:dPt>
            <c:idx val="242"/>
            <c:invertIfNegative val="1"/>
            <c:bubble3D val="0"/>
            <c:spPr>
              <a:solidFill>
                <a:srgbClr val="4285F4"/>
              </a:solidFill>
              <a:ln cmpd="sng">
                <a:solidFill>
                  <a:srgbClr val="000000"/>
                </a:solidFill>
              </a:ln>
            </c:spPr>
          </c:dPt>
          <c:dPt>
            <c:idx val="243"/>
            <c:invertIfNegative val="1"/>
            <c:bubble3D val="0"/>
            <c:spPr>
              <a:solidFill>
                <a:srgbClr val="4285F4"/>
              </a:solidFill>
              <a:ln cmpd="sng">
                <a:solidFill>
                  <a:srgbClr val="000000"/>
                </a:solidFill>
              </a:ln>
            </c:spPr>
          </c:dPt>
          <c:dPt>
            <c:idx val="244"/>
            <c:invertIfNegative val="1"/>
            <c:bubble3D val="0"/>
            <c:spPr>
              <a:solidFill>
                <a:srgbClr val="4285F4"/>
              </a:solidFill>
              <a:ln cmpd="sng">
                <a:solidFill>
                  <a:srgbClr val="000000"/>
                </a:solidFill>
              </a:ln>
            </c:spPr>
          </c:dPt>
          <c:dPt>
            <c:idx val="245"/>
            <c:invertIfNegative val="1"/>
            <c:bubble3D val="0"/>
            <c:spPr>
              <a:solidFill>
                <a:srgbClr val="4285F4"/>
              </a:solidFill>
              <a:ln cmpd="sng">
                <a:solidFill>
                  <a:srgbClr val="000000"/>
                </a:solidFill>
              </a:ln>
            </c:spPr>
          </c:dPt>
          <c:dPt>
            <c:idx val="246"/>
            <c:invertIfNegative val="1"/>
            <c:bubble3D val="0"/>
            <c:spPr>
              <a:solidFill>
                <a:srgbClr val="4285F4"/>
              </a:solidFill>
              <a:ln cmpd="sng">
                <a:solidFill>
                  <a:srgbClr val="000000"/>
                </a:solidFill>
              </a:ln>
            </c:spPr>
          </c:dPt>
          <c:dPt>
            <c:idx val="247"/>
            <c:invertIfNegative val="1"/>
            <c:bubble3D val="0"/>
            <c:spPr>
              <a:solidFill>
                <a:srgbClr val="4285F4"/>
              </a:solidFill>
              <a:ln cmpd="sng">
                <a:solidFill>
                  <a:srgbClr val="000000"/>
                </a:solidFill>
              </a:ln>
            </c:spPr>
          </c:dPt>
          <c:dPt>
            <c:idx val="248"/>
            <c:invertIfNegative val="1"/>
            <c:bubble3D val="0"/>
            <c:spPr>
              <a:solidFill>
                <a:srgbClr val="4285F4"/>
              </a:solidFill>
              <a:ln cmpd="sng">
                <a:solidFill>
                  <a:srgbClr val="000000"/>
                </a:solidFill>
              </a:ln>
            </c:spPr>
          </c:dPt>
          <c:dPt>
            <c:idx val="249"/>
            <c:invertIfNegative val="1"/>
            <c:bubble3D val="0"/>
            <c:spPr>
              <a:solidFill>
                <a:srgbClr val="4285F4"/>
              </a:solidFill>
              <a:ln cmpd="sng">
                <a:solidFill>
                  <a:srgbClr val="000000"/>
                </a:solidFill>
              </a:ln>
            </c:spPr>
          </c:dPt>
          <c:dPt>
            <c:idx val="250"/>
            <c:invertIfNegative val="1"/>
            <c:bubble3D val="0"/>
            <c:spPr>
              <a:solidFill>
                <a:srgbClr val="4285F4"/>
              </a:solidFill>
              <a:ln cmpd="sng">
                <a:solidFill>
                  <a:srgbClr val="000000"/>
                </a:solidFill>
              </a:ln>
            </c:spPr>
          </c:dPt>
          <c:dPt>
            <c:idx val="251"/>
            <c:invertIfNegative val="1"/>
            <c:bubble3D val="0"/>
            <c:spPr>
              <a:solidFill>
                <a:srgbClr val="4285F4"/>
              </a:solidFill>
              <a:ln cmpd="sng">
                <a:solidFill>
                  <a:srgbClr val="000000"/>
                </a:solidFill>
              </a:ln>
            </c:spPr>
          </c:dPt>
          <c:dPt>
            <c:idx val="252"/>
            <c:invertIfNegative val="1"/>
            <c:bubble3D val="0"/>
            <c:spPr>
              <a:solidFill>
                <a:srgbClr val="4285F4"/>
              </a:solidFill>
              <a:ln cmpd="sng">
                <a:solidFill>
                  <a:srgbClr val="000000"/>
                </a:solidFill>
              </a:ln>
            </c:spPr>
          </c:dPt>
          <c:dPt>
            <c:idx val="253"/>
            <c:invertIfNegative val="1"/>
            <c:bubble3D val="0"/>
            <c:spPr>
              <a:solidFill>
                <a:srgbClr val="4285F4"/>
              </a:solidFill>
              <a:ln cmpd="sng">
                <a:solidFill>
                  <a:srgbClr val="000000"/>
                </a:solidFill>
              </a:ln>
            </c:spPr>
          </c:dPt>
          <c:dPt>
            <c:idx val="254"/>
            <c:invertIfNegative val="1"/>
            <c:bubble3D val="0"/>
            <c:spPr>
              <a:solidFill>
                <a:srgbClr val="4285F4"/>
              </a:solidFill>
              <a:ln cmpd="sng">
                <a:solidFill>
                  <a:srgbClr val="000000"/>
                </a:solidFill>
              </a:ln>
            </c:spPr>
          </c:dPt>
          <c:dPt>
            <c:idx val="255"/>
            <c:invertIfNegative val="1"/>
            <c:bubble3D val="0"/>
            <c:spPr>
              <a:solidFill>
                <a:srgbClr val="4285F4"/>
              </a:solidFill>
              <a:ln cmpd="sng">
                <a:solidFill>
                  <a:srgbClr val="000000"/>
                </a:solidFill>
              </a:ln>
            </c:spPr>
          </c:dPt>
          <c:dPt>
            <c:idx val="256"/>
            <c:invertIfNegative val="1"/>
            <c:bubble3D val="0"/>
            <c:spPr>
              <a:solidFill>
                <a:srgbClr val="4285F4"/>
              </a:solidFill>
              <a:ln cmpd="sng">
                <a:solidFill>
                  <a:srgbClr val="000000"/>
                </a:solidFill>
              </a:ln>
            </c:spPr>
          </c:dPt>
          <c:dPt>
            <c:idx val="257"/>
            <c:invertIfNegative val="1"/>
            <c:bubble3D val="0"/>
            <c:spPr>
              <a:solidFill>
                <a:srgbClr val="4285F4"/>
              </a:solidFill>
              <a:ln cmpd="sng">
                <a:solidFill>
                  <a:srgbClr val="000000"/>
                </a:solidFill>
              </a:ln>
            </c:spPr>
          </c:dPt>
          <c:dPt>
            <c:idx val="258"/>
            <c:invertIfNegative val="1"/>
            <c:bubble3D val="0"/>
            <c:spPr>
              <a:solidFill>
                <a:srgbClr val="4285F4"/>
              </a:solidFill>
              <a:ln cmpd="sng">
                <a:solidFill>
                  <a:srgbClr val="000000"/>
                </a:solidFill>
              </a:ln>
            </c:spPr>
          </c:dPt>
          <c:dPt>
            <c:idx val="259"/>
            <c:invertIfNegative val="1"/>
            <c:bubble3D val="0"/>
            <c:spPr>
              <a:solidFill>
                <a:srgbClr val="4285F4"/>
              </a:solidFill>
              <a:ln cmpd="sng">
                <a:solidFill>
                  <a:srgbClr val="000000"/>
                </a:solidFill>
              </a:ln>
            </c:spPr>
          </c:dPt>
          <c:dPt>
            <c:idx val="260"/>
            <c:invertIfNegative val="1"/>
            <c:bubble3D val="0"/>
            <c:spPr>
              <a:solidFill>
                <a:srgbClr val="4285F4"/>
              </a:solidFill>
              <a:ln cmpd="sng">
                <a:solidFill>
                  <a:srgbClr val="000000"/>
                </a:solidFill>
              </a:ln>
            </c:spPr>
          </c:dPt>
          <c:dPt>
            <c:idx val="261"/>
            <c:invertIfNegative val="1"/>
            <c:bubble3D val="0"/>
            <c:spPr>
              <a:solidFill>
                <a:srgbClr val="4285F4"/>
              </a:solidFill>
              <a:ln cmpd="sng">
                <a:solidFill>
                  <a:srgbClr val="000000"/>
                </a:solidFill>
              </a:ln>
            </c:spPr>
          </c:dPt>
          <c:dPt>
            <c:idx val="262"/>
            <c:invertIfNegative val="1"/>
            <c:bubble3D val="0"/>
            <c:spPr>
              <a:solidFill>
                <a:srgbClr val="4285F4"/>
              </a:solidFill>
              <a:ln cmpd="sng">
                <a:solidFill>
                  <a:srgbClr val="000000"/>
                </a:solidFill>
              </a:ln>
            </c:spPr>
          </c:dPt>
          <c:dPt>
            <c:idx val="263"/>
            <c:invertIfNegative val="1"/>
            <c:bubble3D val="0"/>
            <c:spPr>
              <a:solidFill>
                <a:srgbClr val="4285F4"/>
              </a:solidFill>
              <a:ln cmpd="sng">
                <a:solidFill>
                  <a:srgbClr val="000000"/>
                </a:solidFill>
              </a:ln>
            </c:spPr>
          </c:dPt>
          <c:dPt>
            <c:idx val="264"/>
            <c:invertIfNegative val="1"/>
            <c:bubble3D val="0"/>
            <c:spPr>
              <a:solidFill>
                <a:srgbClr val="4285F4"/>
              </a:solidFill>
              <a:ln cmpd="sng">
                <a:solidFill>
                  <a:srgbClr val="000000"/>
                </a:solidFill>
              </a:ln>
            </c:spPr>
          </c:dPt>
          <c:dPt>
            <c:idx val="265"/>
            <c:invertIfNegative val="1"/>
            <c:bubble3D val="0"/>
            <c:spPr>
              <a:solidFill>
                <a:srgbClr val="4285F4"/>
              </a:solidFill>
              <a:ln cmpd="sng">
                <a:solidFill>
                  <a:srgbClr val="000000"/>
                </a:solidFill>
              </a:ln>
            </c:spPr>
          </c:dPt>
          <c:dPt>
            <c:idx val="266"/>
            <c:invertIfNegative val="1"/>
            <c:bubble3D val="0"/>
            <c:spPr>
              <a:solidFill>
                <a:srgbClr val="4285F4"/>
              </a:solidFill>
              <a:ln cmpd="sng">
                <a:solidFill>
                  <a:srgbClr val="000000"/>
                </a:solidFill>
              </a:ln>
            </c:spPr>
          </c:dPt>
          <c:dPt>
            <c:idx val="267"/>
            <c:invertIfNegative val="1"/>
            <c:bubble3D val="0"/>
            <c:spPr>
              <a:solidFill>
                <a:srgbClr val="4285F4"/>
              </a:solidFill>
              <a:ln cmpd="sng">
                <a:solidFill>
                  <a:srgbClr val="000000"/>
                </a:solidFill>
              </a:ln>
            </c:spPr>
          </c:dPt>
          <c:dPt>
            <c:idx val="268"/>
            <c:invertIfNegative val="1"/>
            <c:bubble3D val="0"/>
            <c:spPr>
              <a:solidFill>
                <a:srgbClr val="4285F4"/>
              </a:solidFill>
              <a:ln cmpd="sng">
                <a:solidFill>
                  <a:srgbClr val="000000"/>
                </a:solidFill>
              </a:ln>
            </c:spPr>
          </c:dPt>
          <c:dPt>
            <c:idx val="269"/>
            <c:invertIfNegative val="1"/>
            <c:bubble3D val="0"/>
            <c:spPr>
              <a:solidFill>
                <a:srgbClr val="4285F4"/>
              </a:solidFill>
              <a:ln cmpd="sng">
                <a:solidFill>
                  <a:srgbClr val="000000"/>
                </a:solidFill>
              </a:ln>
            </c:spPr>
          </c:dPt>
          <c:dPt>
            <c:idx val="270"/>
            <c:invertIfNegative val="1"/>
            <c:bubble3D val="0"/>
            <c:spPr>
              <a:solidFill>
                <a:srgbClr val="4285F4"/>
              </a:solidFill>
              <a:ln cmpd="sng">
                <a:solidFill>
                  <a:srgbClr val="000000"/>
                </a:solidFill>
              </a:ln>
            </c:spPr>
          </c:dPt>
          <c:dPt>
            <c:idx val="271"/>
            <c:invertIfNegative val="1"/>
            <c:bubble3D val="0"/>
            <c:spPr>
              <a:solidFill>
                <a:srgbClr val="4285F4"/>
              </a:solidFill>
              <a:ln cmpd="sng">
                <a:solidFill>
                  <a:srgbClr val="000000"/>
                </a:solidFill>
              </a:ln>
            </c:spPr>
          </c:dPt>
          <c:dPt>
            <c:idx val="272"/>
            <c:invertIfNegative val="1"/>
            <c:bubble3D val="0"/>
            <c:spPr>
              <a:solidFill>
                <a:srgbClr val="4285F4"/>
              </a:solidFill>
              <a:ln cmpd="sng">
                <a:solidFill>
                  <a:srgbClr val="000000"/>
                </a:solidFill>
              </a:ln>
            </c:spPr>
          </c:dPt>
          <c:dPt>
            <c:idx val="273"/>
            <c:invertIfNegative val="1"/>
            <c:bubble3D val="0"/>
            <c:spPr>
              <a:solidFill>
                <a:srgbClr val="4285F4"/>
              </a:solidFill>
              <a:ln cmpd="sng">
                <a:solidFill>
                  <a:srgbClr val="000000"/>
                </a:solidFill>
              </a:ln>
            </c:spPr>
          </c:dPt>
          <c:dPt>
            <c:idx val="274"/>
            <c:invertIfNegative val="1"/>
            <c:bubble3D val="0"/>
            <c:spPr>
              <a:solidFill>
                <a:srgbClr val="4285F4"/>
              </a:solidFill>
              <a:ln cmpd="sng">
                <a:solidFill>
                  <a:srgbClr val="000000"/>
                </a:solidFill>
              </a:ln>
            </c:spPr>
          </c:dPt>
          <c:dPt>
            <c:idx val="275"/>
            <c:invertIfNegative val="1"/>
            <c:bubble3D val="0"/>
            <c:spPr>
              <a:solidFill>
                <a:srgbClr val="4285F4"/>
              </a:solidFill>
              <a:ln cmpd="sng">
                <a:solidFill>
                  <a:srgbClr val="000000"/>
                </a:solidFill>
              </a:ln>
            </c:spPr>
          </c:dPt>
          <c:dPt>
            <c:idx val="276"/>
            <c:invertIfNegative val="1"/>
            <c:bubble3D val="0"/>
            <c:spPr>
              <a:solidFill>
                <a:srgbClr val="4285F4"/>
              </a:solidFill>
              <a:ln cmpd="sng">
                <a:solidFill>
                  <a:srgbClr val="000000"/>
                </a:solidFill>
              </a:ln>
            </c:spPr>
          </c:dPt>
          <c:dPt>
            <c:idx val="277"/>
            <c:invertIfNegative val="1"/>
            <c:bubble3D val="0"/>
            <c:spPr>
              <a:solidFill>
                <a:srgbClr val="4285F4"/>
              </a:solidFill>
              <a:ln cmpd="sng">
                <a:solidFill>
                  <a:srgbClr val="000000"/>
                </a:solidFill>
              </a:ln>
            </c:spPr>
          </c:dPt>
          <c:dPt>
            <c:idx val="278"/>
            <c:invertIfNegative val="1"/>
            <c:bubble3D val="0"/>
            <c:spPr>
              <a:solidFill>
                <a:srgbClr val="4285F4"/>
              </a:solidFill>
              <a:ln cmpd="sng">
                <a:solidFill>
                  <a:srgbClr val="000000"/>
                </a:solidFill>
              </a:ln>
            </c:spPr>
          </c:dPt>
          <c:dPt>
            <c:idx val="279"/>
            <c:invertIfNegative val="1"/>
            <c:bubble3D val="0"/>
            <c:spPr>
              <a:solidFill>
                <a:srgbClr val="4285F4"/>
              </a:solidFill>
              <a:ln cmpd="sng">
                <a:solidFill>
                  <a:srgbClr val="000000"/>
                </a:solidFill>
              </a:ln>
            </c:spPr>
          </c:dPt>
          <c:dPt>
            <c:idx val="280"/>
            <c:invertIfNegative val="1"/>
            <c:bubble3D val="0"/>
            <c:spPr>
              <a:solidFill>
                <a:srgbClr val="4285F4"/>
              </a:solidFill>
              <a:ln cmpd="sng">
                <a:solidFill>
                  <a:srgbClr val="000000"/>
                </a:solidFill>
              </a:ln>
            </c:spPr>
          </c:dPt>
          <c:dPt>
            <c:idx val="281"/>
            <c:invertIfNegative val="1"/>
            <c:bubble3D val="0"/>
            <c:spPr>
              <a:solidFill>
                <a:srgbClr val="4285F4"/>
              </a:solidFill>
              <a:ln cmpd="sng">
                <a:solidFill>
                  <a:srgbClr val="000000"/>
                </a:solidFill>
              </a:ln>
            </c:spPr>
          </c:dPt>
          <c:dPt>
            <c:idx val="282"/>
            <c:invertIfNegative val="1"/>
            <c:bubble3D val="0"/>
            <c:spPr>
              <a:solidFill>
                <a:srgbClr val="4285F4"/>
              </a:solidFill>
              <a:ln cmpd="sng">
                <a:solidFill>
                  <a:srgbClr val="000000"/>
                </a:solidFill>
              </a:ln>
            </c:spPr>
          </c:dPt>
          <c:dPt>
            <c:idx val="283"/>
            <c:invertIfNegative val="1"/>
            <c:bubble3D val="0"/>
            <c:spPr>
              <a:solidFill>
                <a:srgbClr val="4285F4"/>
              </a:solidFill>
              <a:ln cmpd="sng">
                <a:solidFill>
                  <a:srgbClr val="000000"/>
                </a:solidFill>
              </a:ln>
            </c:spPr>
          </c:dPt>
          <c:dPt>
            <c:idx val="284"/>
            <c:invertIfNegative val="1"/>
            <c:bubble3D val="0"/>
            <c:spPr>
              <a:solidFill>
                <a:srgbClr val="4285F4"/>
              </a:solidFill>
              <a:ln cmpd="sng">
                <a:solidFill>
                  <a:srgbClr val="000000"/>
                </a:solidFill>
              </a:ln>
            </c:spPr>
          </c:dPt>
          <c:dPt>
            <c:idx val="285"/>
            <c:invertIfNegative val="1"/>
            <c:bubble3D val="0"/>
            <c:spPr>
              <a:solidFill>
                <a:srgbClr val="4285F4"/>
              </a:solidFill>
              <a:ln cmpd="sng">
                <a:solidFill>
                  <a:srgbClr val="000000"/>
                </a:solidFill>
              </a:ln>
            </c:spPr>
          </c:dPt>
          <c:dPt>
            <c:idx val="286"/>
            <c:invertIfNegative val="1"/>
            <c:bubble3D val="0"/>
            <c:spPr>
              <a:solidFill>
                <a:srgbClr val="4285F4"/>
              </a:solidFill>
              <a:ln cmpd="sng">
                <a:solidFill>
                  <a:srgbClr val="000000"/>
                </a:solidFill>
              </a:ln>
            </c:spPr>
          </c:dPt>
          <c:dPt>
            <c:idx val="287"/>
            <c:invertIfNegative val="1"/>
            <c:bubble3D val="0"/>
            <c:spPr>
              <a:solidFill>
                <a:srgbClr val="4285F4"/>
              </a:solidFill>
              <a:ln cmpd="sng">
                <a:solidFill>
                  <a:srgbClr val="000000"/>
                </a:solidFill>
              </a:ln>
            </c:spPr>
          </c:dPt>
          <c:dPt>
            <c:idx val="288"/>
            <c:invertIfNegative val="1"/>
            <c:bubble3D val="0"/>
            <c:spPr>
              <a:solidFill>
                <a:srgbClr val="4285F4"/>
              </a:solidFill>
              <a:ln cmpd="sng">
                <a:solidFill>
                  <a:srgbClr val="000000"/>
                </a:solidFill>
              </a:ln>
            </c:spPr>
          </c:dPt>
          <c:dPt>
            <c:idx val="289"/>
            <c:invertIfNegative val="1"/>
            <c:bubble3D val="0"/>
            <c:spPr>
              <a:solidFill>
                <a:srgbClr val="4285F4"/>
              </a:solidFill>
              <a:ln cmpd="sng">
                <a:solidFill>
                  <a:srgbClr val="000000"/>
                </a:solidFill>
              </a:ln>
            </c:spPr>
          </c:dPt>
          <c:dPt>
            <c:idx val="290"/>
            <c:invertIfNegative val="1"/>
            <c:bubble3D val="0"/>
            <c:spPr>
              <a:solidFill>
                <a:srgbClr val="4285F4"/>
              </a:solidFill>
              <a:ln cmpd="sng">
                <a:solidFill>
                  <a:srgbClr val="000000"/>
                </a:solidFill>
              </a:ln>
            </c:spPr>
          </c:dPt>
          <c:dPt>
            <c:idx val="291"/>
            <c:invertIfNegative val="1"/>
            <c:bubble3D val="0"/>
            <c:spPr>
              <a:solidFill>
                <a:srgbClr val="4285F4"/>
              </a:solidFill>
              <a:ln cmpd="sng">
                <a:solidFill>
                  <a:srgbClr val="000000"/>
                </a:solidFill>
              </a:ln>
            </c:spPr>
          </c:dPt>
          <c:dPt>
            <c:idx val="292"/>
            <c:invertIfNegative val="1"/>
            <c:bubble3D val="0"/>
            <c:spPr>
              <a:solidFill>
                <a:srgbClr val="4285F4"/>
              </a:solidFill>
              <a:ln cmpd="sng">
                <a:solidFill>
                  <a:srgbClr val="000000"/>
                </a:solidFill>
              </a:ln>
            </c:spPr>
          </c:dPt>
          <c:dPt>
            <c:idx val="293"/>
            <c:invertIfNegative val="1"/>
            <c:bubble3D val="0"/>
            <c:spPr>
              <a:solidFill>
                <a:srgbClr val="4285F4"/>
              </a:solidFill>
              <a:ln cmpd="sng">
                <a:solidFill>
                  <a:srgbClr val="000000"/>
                </a:solidFill>
              </a:ln>
            </c:spPr>
          </c:dPt>
          <c:dPt>
            <c:idx val="294"/>
            <c:invertIfNegative val="1"/>
            <c:bubble3D val="0"/>
            <c:spPr>
              <a:solidFill>
                <a:srgbClr val="4285F4"/>
              </a:solidFill>
              <a:ln cmpd="sng">
                <a:solidFill>
                  <a:srgbClr val="000000"/>
                </a:solidFill>
              </a:ln>
            </c:spPr>
          </c:dPt>
          <c:dPt>
            <c:idx val="295"/>
            <c:invertIfNegative val="1"/>
            <c:bubble3D val="0"/>
            <c:spPr>
              <a:solidFill>
                <a:srgbClr val="4285F4"/>
              </a:solidFill>
              <a:ln cmpd="sng">
                <a:solidFill>
                  <a:srgbClr val="000000"/>
                </a:solidFill>
              </a:ln>
            </c:spPr>
          </c:dPt>
          <c:dPt>
            <c:idx val="296"/>
            <c:invertIfNegative val="1"/>
            <c:bubble3D val="0"/>
            <c:spPr>
              <a:solidFill>
                <a:srgbClr val="4285F4"/>
              </a:solidFill>
              <a:ln cmpd="sng">
                <a:solidFill>
                  <a:srgbClr val="000000"/>
                </a:solidFill>
              </a:ln>
            </c:spPr>
          </c:dPt>
          <c:dPt>
            <c:idx val="297"/>
            <c:invertIfNegative val="1"/>
            <c:bubble3D val="0"/>
            <c:spPr>
              <a:solidFill>
                <a:srgbClr val="4285F4"/>
              </a:solidFill>
              <a:ln cmpd="sng">
                <a:solidFill>
                  <a:srgbClr val="000000"/>
                </a:solidFill>
              </a:ln>
            </c:spPr>
          </c:dPt>
          <c:dPt>
            <c:idx val="298"/>
            <c:invertIfNegative val="1"/>
            <c:bubble3D val="0"/>
            <c:spPr>
              <a:solidFill>
                <a:srgbClr val="4285F4"/>
              </a:solidFill>
              <a:ln cmpd="sng">
                <a:solidFill>
                  <a:srgbClr val="000000"/>
                </a:solidFill>
              </a:ln>
            </c:spPr>
          </c:dPt>
          <c:dPt>
            <c:idx val="299"/>
            <c:invertIfNegative val="1"/>
            <c:bubble3D val="0"/>
            <c:spPr>
              <a:solidFill>
                <a:srgbClr val="4285F4"/>
              </a:solidFill>
              <a:ln cmpd="sng">
                <a:solidFill>
                  <a:srgbClr val="000000"/>
                </a:solidFill>
              </a:ln>
            </c:spPr>
          </c:dPt>
          <c:dPt>
            <c:idx val="300"/>
            <c:invertIfNegative val="1"/>
            <c:bubble3D val="0"/>
            <c:spPr>
              <a:solidFill>
                <a:srgbClr val="4285F4"/>
              </a:solidFill>
              <a:ln cmpd="sng">
                <a:solidFill>
                  <a:srgbClr val="000000"/>
                </a:solidFill>
              </a:ln>
            </c:spPr>
          </c:dPt>
          <c:dPt>
            <c:idx val="301"/>
            <c:invertIfNegative val="1"/>
            <c:bubble3D val="0"/>
            <c:spPr>
              <a:solidFill>
                <a:srgbClr val="4285F4"/>
              </a:solidFill>
              <a:ln cmpd="sng">
                <a:solidFill>
                  <a:srgbClr val="000000"/>
                </a:solidFill>
              </a:ln>
            </c:spPr>
          </c:dPt>
          <c:dPt>
            <c:idx val="302"/>
            <c:invertIfNegative val="1"/>
            <c:bubble3D val="0"/>
            <c:spPr>
              <a:solidFill>
                <a:srgbClr val="4285F4"/>
              </a:solidFill>
              <a:ln cmpd="sng">
                <a:solidFill>
                  <a:srgbClr val="000000"/>
                </a:solidFill>
              </a:ln>
            </c:spPr>
          </c:dPt>
          <c:dPt>
            <c:idx val="303"/>
            <c:invertIfNegative val="1"/>
            <c:bubble3D val="0"/>
            <c:spPr>
              <a:solidFill>
                <a:srgbClr val="4285F4"/>
              </a:solidFill>
              <a:ln cmpd="sng">
                <a:solidFill>
                  <a:srgbClr val="000000"/>
                </a:solidFill>
              </a:ln>
            </c:spPr>
          </c:dPt>
          <c:dPt>
            <c:idx val="304"/>
            <c:invertIfNegative val="1"/>
            <c:bubble3D val="0"/>
            <c:spPr>
              <a:solidFill>
                <a:srgbClr val="4285F4"/>
              </a:solidFill>
              <a:ln cmpd="sng">
                <a:solidFill>
                  <a:srgbClr val="000000"/>
                </a:solidFill>
              </a:ln>
            </c:spPr>
          </c:dPt>
          <c:dPt>
            <c:idx val="305"/>
            <c:invertIfNegative val="1"/>
            <c:bubble3D val="0"/>
            <c:spPr>
              <a:solidFill>
                <a:srgbClr val="4285F4"/>
              </a:solidFill>
              <a:ln cmpd="sng">
                <a:solidFill>
                  <a:srgbClr val="000000"/>
                </a:solidFill>
              </a:ln>
            </c:spPr>
          </c:dPt>
          <c:dPt>
            <c:idx val="306"/>
            <c:invertIfNegative val="1"/>
            <c:bubble3D val="0"/>
            <c:spPr>
              <a:solidFill>
                <a:srgbClr val="4285F4"/>
              </a:solidFill>
              <a:ln cmpd="sng">
                <a:solidFill>
                  <a:srgbClr val="000000"/>
                </a:solidFill>
              </a:ln>
            </c:spPr>
          </c:dPt>
          <c:dPt>
            <c:idx val="307"/>
            <c:invertIfNegative val="1"/>
            <c:bubble3D val="0"/>
            <c:spPr>
              <a:solidFill>
                <a:srgbClr val="4285F4"/>
              </a:solidFill>
              <a:ln cmpd="sng">
                <a:solidFill>
                  <a:srgbClr val="000000"/>
                </a:solidFill>
              </a:ln>
            </c:spPr>
          </c:dPt>
          <c:dPt>
            <c:idx val="308"/>
            <c:invertIfNegative val="1"/>
            <c:bubble3D val="0"/>
            <c:spPr>
              <a:solidFill>
                <a:srgbClr val="4285F4"/>
              </a:solidFill>
              <a:ln cmpd="sng">
                <a:solidFill>
                  <a:srgbClr val="000000"/>
                </a:solidFill>
              </a:ln>
            </c:spPr>
          </c:dPt>
          <c:dPt>
            <c:idx val="309"/>
            <c:invertIfNegative val="1"/>
            <c:bubble3D val="0"/>
            <c:spPr>
              <a:solidFill>
                <a:srgbClr val="4285F4"/>
              </a:solidFill>
              <a:ln cmpd="sng">
                <a:solidFill>
                  <a:srgbClr val="000000"/>
                </a:solidFill>
              </a:ln>
            </c:spPr>
          </c:dPt>
          <c:dPt>
            <c:idx val="310"/>
            <c:invertIfNegative val="1"/>
            <c:bubble3D val="0"/>
            <c:spPr>
              <a:solidFill>
                <a:srgbClr val="4285F4"/>
              </a:solidFill>
              <a:ln cmpd="sng">
                <a:solidFill>
                  <a:srgbClr val="000000"/>
                </a:solidFill>
              </a:ln>
            </c:spPr>
          </c:dPt>
          <c:dPt>
            <c:idx val="311"/>
            <c:invertIfNegative val="1"/>
            <c:bubble3D val="0"/>
            <c:spPr>
              <a:solidFill>
                <a:srgbClr val="4285F4"/>
              </a:solidFill>
              <a:ln cmpd="sng">
                <a:solidFill>
                  <a:srgbClr val="000000"/>
                </a:solidFill>
              </a:ln>
            </c:spPr>
          </c:dPt>
          <c:dPt>
            <c:idx val="312"/>
            <c:invertIfNegative val="1"/>
            <c:bubble3D val="0"/>
            <c:spPr>
              <a:solidFill>
                <a:srgbClr val="4285F4"/>
              </a:solidFill>
              <a:ln cmpd="sng">
                <a:solidFill>
                  <a:srgbClr val="000000"/>
                </a:solidFill>
              </a:ln>
            </c:spPr>
          </c:dPt>
          <c:dPt>
            <c:idx val="313"/>
            <c:invertIfNegative val="1"/>
            <c:bubble3D val="0"/>
            <c:spPr>
              <a:solidFill>
                <a:srgbClr val="4285F4"/>
              </a:solidFill>
              <a:ln cmpd="sng">
                <a:solidFill>
                  <a:srgbClr val="000000"/>
                </a:solidFill>
              </a:ln>
            </c:spPr>
          </c:dPt>
          <c:dPt>
            <c:idx val="314"/>
            <c:invertIfNegative val="1"/>
            <c:bubble3D val="0"/>
            <c:spPr>
              <a:solidFill>
                <a:srgbClr val="4285F4"/>
              </a:solidFill>
              <a:ln cmpd="sng">
                <a:solidFill>
                  <a:srgbClr val="000000"/>
                </a:solidFill>
              </a:ln>
            </c:spPr>
          </c:dPt>
          <c:dPt>
            <c:idx val="315"/>
            <c:invertIfNegative val="1"/>
            <c:bubble3D val="0"/>
            <c:spPr>
              <a:solidFill>
                <a:srgbClr val="4285F4"/>
              </a:solidFill>
              <a:ln cmpd="sng">
                <a:solidFill>
                  <a:srgbClr val="000000"/>
                </a:solidFill>
              </a:ln>
            </c:spPr>
          </c:dPt>
          <c:dPt>
            <c:idx val="316"/>
            <c:invertIfNegative val="1"/>
            <c:bubble3D val="0"/>
            <c:spPr>
              <a:solidFill>
                <a:srgbClr val="4285F4"/>
              </a:solidFill>
              <a:ln cmpd="sng">
                <a:solidFill>
                  <a:srgbClr val="000000"/>
                </a:solidFill>
              </a:ln>
            </c:spPr>
          </c:dPt>
          <c:dPt>
            <c:idx val="317"/>
            <c:invertIfNegative val="1"/>
            <c:bubble3D val="0"/>
            <c:spPr>
              <a:solidFill>
                <a:srgbClr val="4285F4"/>
              </a:solidFill>
              <a:ln cmpd="sng">
                <a:solidFill>
                  <a:srgbClr val="000000"/>
                </a:solidFill>
              </a:ln>
            </c:spPr>
          </c:dPt>
          <c:dPt>
            <c:idx val="318"/>
            <c:invertIfNegative val="1"/>
            <c:bubble3D val="0"/>
            <c:spPr>
              <a:solidFill>
                <a:srgbClr val="4285F4"/>
              </a:solidFill>
              <a:ln cmpd="sng">
                <a:solidFill>
                  <a:srgbClr val="000000"/>
                </a:solidFill>
              </a:ln>
            </c:spPr>
          </c:dPt>
          <c:dPt>
            <c:idx val="319"/>
            <c:invertIfNegative val="1"/>
            <c:bubble3D val="0"/>
            <c:spPr>
              <a:solidFill>
                <a:srgbClr val="4285F4"/>
              </a:solidFill>
              <a:ln cmpd="sng">
                <a:solidFill>
                  <a:srgbClr val="000000"/>
                </a:solidFill>
              </a:ln>
            </c:spPr>
          </c:dPt>
          <c:dPt>
            <c:idx val="320"/>
            <c:invertIfNegative val="1"/>
            <c:bubble3D val="0"/>
            <c:spPr>
              <a:solidFill>
                <a:srgbClr val="4285F4"/>
              </a:solidFill>
              <a:ln cmpd="sng">
                <a:solidFill>
                  <a:srgbClr val="000000"/>
                </a:solidFill>
              </a:ln>
            </c:spPr>
          </c:dPt>
          <c:dPt>
            <c:idx val="321"/>
            <c:invertIfNegative val="1"/>
            <c:bubble3D val="0"/>
            <c:spPr>
              <a:solidFill>
                <a:srgbClr val="4285F4"/>
              </a:solidFill>
              <a:ln cmpd="sng">
                <a:solidFill>
                  <a:srgbClr val="000000"/>
                </a:solidFill>
              </a:ln>
            </c:spPr>
          </c:dPt>
          <c:dPt>
            <c:idx val="322"/>
            <c:invertIfNegative val="1"/>
            <c:bubble3D val="0"/>
            <c:spPr>
              <a:solidFill>
                <a:srgbClr val="4285F4"/>
              </a:solidFill>
              <a:ln cmpd="sng">
                <a:solidFill>
                  <a:srgbClr val="000000"/>
                </a:solidFill>
              </a:ln>
            </c:spPr>
          </c:dPt>
          <c:dPt>
            <c:idx val="323"/>
            <c:invertIfNegative val="1"/>
            <c:bubble3D val="0"/>
            <c:spPr>
              <a:solidFill>
                <a:srgbClr val="4285F4"/>
              </a:solidFill>
              <a:ln cmpd="sng">
                <a:solidFill>
                  <a:srgbClr val="000000"/>
                </a:solidFill>
              </a:ln>
            </c:spPr>
          </c:dPt>
          <c:dPt>
            <c:idx val="324"/>
            <c:invertIfNegative val="1"/>
            <c:bubble3D val="0"/>
            <c:spPr>
              <a:solidFill>
                <a:srgbClr val="4285F4"/>
              </a:solidFill>
              <a:ln cmpd="sng">
                <a:solidFill>
                  <a:srgbClr val="000000"/>
                </a:solidFill>
              </a:ln>
            </c:spPr>
          </c:dPt>
          <c:dPt>
            <c:idx val="325"/>
            <c:invertIfNegative val="1"/>
            <c:bubble3D val="0"/>
            <c:spPr>
              <a:solidFill>
                <a:srgbClr val="4285F4"/>
              </a:solidFill>
              <a:ln cmpd="sng">
                <a:solidFill>
                  <a:srgbClr val="000000"/>
                </a:solidFill>
              </a:ln>
            </c:spPr>
          </c:dPt>
          <c:dPt>
            <c:idx val="326"/>
            <c:invertIfNegative val="1"/>
            <c:bubble3D val="0"/>
            <c:spPr>
              <a:solidFill>
                <a:srgbClr val="4285F4"/>
              </a:solidFill>
              <a:ln cmpd="sng">
                <a:solidFill>
                  <a:srgbClr val="000000"/>
                </a:solidFill>
              </a:ln>
            </c:spPr>
          </c:dPt>
          <c:dPt>
            <c:idx val="327"/>
            <c:invertIfNegative val="1"/>
            <c:bubble3D val="0"/>
            <c:spPr>
              <a:solidFill>
                <a:srgbClr val="4285F4"/>
              </a:solidFill>
              <a:ln cmpd="sng">
                <a:solidFill>
                  <a:srgbClr val="000000"/>
                </a:solidFill>
              </a:ln>
            </c:spPr>
          </c:dPt>
          <c:dPt>
            <c:idx val="328"/>
            <c:invertIfNegative val="1"/>
            <c:bubble3D val="0"/>
            <c:spPr>
              <a:solidFill>
                <a:srgbClr val="4285F4"/>
              </a:solidFill>
              <a:ln cmpd="sng">
                <a:solidFill>
                  <a:srgbClr val="000000"/>
                </a:solidFill>
              </a:ln>
            </c:spPr>
          </c:dPt>
          <c:dPt>
            <c:idx val="329"/>
            <c:invertIfNegative val="1"/>
            <c:bubble3D val="0"/>
            <c:spPr>
              <a:solidFill>
                <a:srgbClr val="4285F4"/>
              </a:solidFill>
              <a:ln cmpd="sng">
                <a:solidFill>
                  <a:srgbClr val="000000"/>
                </a:solidFill>
              </a:ln>
            </c:spPr>
          </c:dPt>
          <c:dPt>
            <c:idx val="330"/>
            <c:invertIfNegative val="1"/>
            <c:bubble3D val="0"/>
            <c:spPr>
              <a:solidFill>
                <a:srgbClr val="4285F4"/>
              </a:solidFill>
              <a:ln cmpd="sng">
                <a:solidFill>
                  <a:srgbClr val="000000"/>
                </a:solidFill>
              </a:ln>
            </c:spPr>
          </c:dPt>
          <c:dPt>
            <c:idx val="331"/>
            <c:invertIfNegative val="1"/>
            <c:bubble3D val="0"/>
            <c:spPr>
              <a:solidFill>
                <a:srgbClr val="4285F4"/>
              </a:solidFill>
              <a:ln cmpd="sng">
                <a:solidFill>
                  <a:srgbClr val="000000"/>
                </a:solidFill>
              </a:ln>
            </c:spPr>
          </c:dPt>
          <c:dPt>
            <c:idx val="332"/>
            <c:invertIfNegative val="1"/>
            <c:bubble3D val="0"/>
            <c:spPr>
              <a:solidFill>
                <a:srgbClr val="4285F4"/>
              </a:solidFill>
              <a:ln cmpd="sng">
                <a:solidFill>
                  <a:srgbClr val="000000"/>
                </a:solidFill>
              </a:ln>
            </c:spPr>
          </c:dPt>
          <c:dPt>
            <c:idx val="333"/>
            <c:invertIfNegative val="1"/>
            <c:bubble3D val="0"/>
            <c:spPr>
              <a:solidFill>
                <a:srgbClr val="4285F4"/>
              </a:solidFill>
              <a:ln cmpd="sng">
                <a:solidFill>
                  <a:srgbClr val="000000"/>
                </a:solidFill>
              </a:ln>
            </c:spPr>
          </c:dPt>
          <c:dPt>
            <c:idx val="334"/>
            <c:invertIfNegative val="1"/>
            <c:bubble3D val="0"/>
            <c:spPr>
              <a:solidFill>
                <a:srgbClr val="4285F4"/>
              </a:solidFill>
              <a:ln cmpd="sng">
                <a:solidFill>
                  <a:srgbClr val="000000"/>
                </a:solidFill>
              </a:ln>
            </c:spPr>
          </c:dPt>
          <c:dPt>
            <c:idx val="335"/>
            <c:invertIfNegative val="1"/>
            <c:bubble3D val="0"/>
            <c:spPr>
              <a:solidFill>
                <a:srgbClr val="4285F4"/>
              </a:solidFill>
              <a:ln cmpd="sng">
                <a:solidFill>
                  <a:srgbClr val="000000"/>
                </a:solidFill>
              </a:ln>
            </c:spPr>
          </c:dPt>
          <c:dPt>
            <c:idx val="336"/>
            <c:invertIfNegative val="1"/>
            <c:bubble3D val="0"/>
            <c:spPr>
              <a:solidFill>
                <a:srgbClr val="4285F4"/>
              </a:solidFill>
              <a:ln cmpd="sng">
                <a:solidFill>
                  <a:srgbClr val="000000"/>
                </a:solidFill>
              </a:ln>
            </c:spPr>
          </c:dPt>
          <c:dPt>
            <c:idx val="337"/>
            <c:invertIfNegative val="1"/>
            <c:bubble3D val="0"/>
            <c:spPr>
              <a:solidFill>
                <a:srgbClr val="4285F4"/>
              </a:solidFill>
              <a:ln cmpd="sng">
                <a:solidFill>
                  <a:srgbClr val="000000"/>
                </a:solidFill>
              </a:ln>
            </c:spPr>
          </c:dPt>
          <c:dPt>
            <c:idx val="338"/>
            <c:invertIfNegative val="1"/>
            <c:bubble3D val="0"/>
            <c:spPr>
              <a:solidFill>
                <a:srgbClr val="4285F4"/>
              </a:solidFill>
              <a:ln cmpd="sng">
                <a:solidFill>
                  <a:srgbClr val="000000"/>
                </a:solidFill>
              </a:ln>
            </c:spPr>
          </c:dPt>
          <c:dPt>
            <c:idx val="339"/>
            <c:invertIfNegative val="1"/>
            <c:bubble3D val="0"/>
            <c:spPr>
              <a:solidFill>
                <a:srgbClr val="4285F4"/>
              </a:solidFill>
              <a:ln cmpd="sng">
                <a:solidFill>
                  <a:srgbClr val="000000"/>
                </a:solidFill>
              </a:ln>
            </c:spPr>
          </c:dPt>
          <c:dPt>
            <c:idx val="340"/>
            <c:invertIfNegative val="1"/>
            <c:bubble3D val="0"/>
            <c:spPr>
              <a:solidFill>
                <a:srgbClr val="4285F4"/>
              </a:solidFill>
              <a:ln cmpd="sng">
                <a:solidFill>
                  <a:srgbClr val="000000"/>
                </a:solidFill>
              </a:ln>
            </c:spPr>
          </c:dPt>
          <c:dPt>
            <c:idx val="341"/>
            <c:invertIfNegative val="1"/>
            <c:bubble3D val="0"/>
            <c:spPr>
              <a:solidFill>
                <a:srgbClr val="4285F4"/>
              </a:solidFill>
              <a:ln cmpd="sng">
                <a:solidFill>
                  <a:srgbClr val="000000"/>
                </a:solidFill>
              </a:ln>
            </c:spPr>
          </c:dPt>
          <c:dPt>
            <c:idx val="342"/>
            <c:invertIfNegative val="1"/>
            <c:bubble3D val="0"/>
            <c:spPr>
              <a:solidFill>
                <a:srgbClr val="4285F4"/>
              </a:solidFill>
              <a:ln cmpd="sng">
                <a:solidFill>
                  <a:srgbClr val="000000"/>
                </a:solidFill>
              </a:ln>
            </c:spPr>
          </c:dPt>
          <c:dPt>
            <c:idx val="343"/>
            <c:invertIfNegative val="1"/>
            <c:bubble3D val="0"/>
            <c:spPr>
              <a:solidFill>
                <a:srgbClr val="4285F4"/>
              </a:solidFill>
              <a:ln cmpd="sng">
                <a:solidFill>
                  <a:srgbClr val="000000"/>
                </a:solidFill>
              </a:ln>
            </c:spPr>
          </c:dPt>
          <c:dPt>
            <c:idx val="344"/>
            <c:invertIfNegative val="1"/>
            <c:bubble3D val="0"/>
            <c:spPr>
              <a:solidFill>
                <a:srgbClr val="4285F4"/>
              </a:solidFill>
              <a:ln cmpd="sng">
                <a:solidFill>
                  <a:srgbClr val="000000"/>
                </a:solidFill>
              </a:ln>
            </c:spPr>
          </c:dPt>
          <c:dPt>
            <c:idx val="345"/>
            <c:invertIfNegative val="1"/>
            <c:bubble3D val="0"/>
            <c:spPr>
              <a:solidFill>
                <a:srgbClr val="4285F4"/>
              </a:solidFill>
              <a:ln cmpd="sng">
                <a:solidFill>
                  <a:srgbClr val="000000"/>
                </a:solidFill>
              </a:ln>
            </c:spPr>
          </c:dPt>
          <c:dPt>
            <c:idx val="346"/>
            <c:invertIfNegative val="1"/>
            <c:bubble3D val="0"/>
            <c:spPr>
              <a:solidFill>
                <a:srgbClr val="4285F4"/>
              </a:solidFill>
              <a:ln cmpd="sng">
                <a:solidFill>
                  <a:srgbClr val="000000"/>
                </a:solidFill>
              </a:ln>
            </c:spPr>
          </c:dPt>
          <c:dPt>
            <c:idx val="347"/>
            <c:invertIfNegative val="1"/>
            <c:bubble3D val="0"/>
            <c:spPr>
              <a:solidFill>
                <a:srgbClr val="4285F4"/>
              </a:solidFill>
              <a:ln cmpd="sng">
                <a:solidFill>
                  <a:srgbClr val="000000"/>
                </a:solidFill>
              </a:ln>
            </c:spPr>
          </c:dPt>
          <c:dPt>
            <c:idx val="348"/>
            <c:invertIfNegative val="1"/>
            <c:bubble3D val="0"/>
            <c:spPr>
              <a:solidFill>
                <a:srgbClr val="4285F4"/>
              </a:solidFill>
              <a:ln cmpd="sng">
                <a:solidFill>
                  <a:srgbClr val="000000"/>
                </a:solidFill>
              </a:ln>
            </c:spPr>
          </c:dPt>
          <c:dPt>
            <c:idx val="349"/>
            <c:invertIfNegative val="1"/>
            <c:bubble3D val="0"/>
            <c:spPr>
              <a:solidFill>
                <a:srgbClr val="4285F4"/>
              </a:solidFill>
              <a:ln cmpd="sng">
                <a:solidFill>
                  <a:srgbClr val="000000"/>
                </a:solidFill>
              </a:ln>
            </c:spPr>
          </c:dPt>
          <c:dPt>
            <c:idx val="350"/>
            <c:invertIfNegative val="1"/>
            <c:bubble3D val="0"/>
            <c:spPr>
              <a:solidFill>
                <a:srgbClr val="4285F4"/>
              </a:solidFill>
              <a:ln cmpd="sng">
                <a:solidFill>
                  <a:srgbClr val="000000"/>
                </a:solidFill>
              </a:ln>
            </c:spPr>
          </c:dPt>
          <c:dPt>
            <c:idx val="351"/>
            <c:invertIfNegative val="1"/>
            <c:bubble3D val="0"/>
            <c:spPr>
              <a:solidFill>
                <a:srgbClr val="4285F4"/>
              </a:solidFill>
              <a:ln cmpd="sng">
                <a:solidFill>
                  <a:srgbClr val="000000"/>
                </a:solidFill>
              </a:ln>
            </c:spPr>
          </c:dPt>
          <c:dPt>
            <c:idx val="352"/>
            <c:invertIfNegative val="1"/>
            <c:bubble3D val="0"/>
            <c:spPr>
              <a:solidFill>
                <a:srgbClr val="4285F4"/>
              </a:solidFill>
              <a:ln cmpd="sng">
                <a:solidFill>
                  <a:srgbClr val="000000"/>
                </a:solidFill>
              </a:ln>
            </c:spPr>
          </c:dPt>
          <c:dPt>
            <c:idx val="353"/>
            <c:invertIfNegative val="1"/>
            <c:bubble3D val="0"/>
            <c:spPr>
              <a:solidFill>
                <a:srgbClr val="4285F4"/>
              </a:solidFill>
              <a:ln cmpd="sng">
                <a:solidFill>
                  <a:srgbClr val="000000"/>
                </a:solidFill>
              </a:ln>
            </c:spPr>
          </c:dPt>
          <c:dPt>
            <c:idx val="354"/>
            <c:invertIfNegative val="1"/>
            <c:bubble3D val="0"/>
            <c:spPr>
              <a:solidFill>
                <a:srgbClr val="4285F4"/>
              </a:solidFill>
              <a:ln cmpd="sng">
                <a:solidFill>
                  <a:srgbClr val="000000"/>
                </a:solidFill>
              </a:ln>
            </c:spPr>
          </c:dPt>
          <c:dPt>
            <c:idx val="355"/>
            <c:invertIfNegative val="1"/>
            <c:bubble3D val="0"/>
            <c:spPr>
              <a:solidFill>
                <a:srgbClr val="4285F4"/>
              </a:solidFill>
              <a:ln cmpd="sng">
                <a:solidFill>
                  <a:srgbClr val="000000"/>
                </a:solidFill>
              </a:ln>
            </c:spPr>
          </c:dPt>
          <c:dPt>
            <c:idx val="356"/>
            <c:invertIfNegative val="1"/>
            <c:bubble3D val="0"/>
            <c:spPr>
              <a:solidFill>
                <a:srgbClr val="4285F4"/>
              </a:solidFill>
              <a:ln cmpd="sng">
                <a:solidFill>
                  <a:srgbClr val="000000"/>
                </a:solidFill>
              </a:ln>
            </c:spPr>
          </c:dPt>
          <c:dPt>
            <c:idx val="357"/>
            <c:invertIfNegative val="1"/>
            <c:bubble3D val="0"/>
            <c:spPr>
              <a:solidFill>
                <a:srgbClr val="4285F4"/>
              </a:solidFill>
              <a:ln cmpd="sng">
                <a:solidFill>
                  <a:srgbClr val="000000"/>
                </a:solidFill>
              </a:ln>
            </c:spPr>
          </c:dPt>
          <c:dPt>
            <c:idx val="358"/>
            <c:invertIfNegative val="1"/>
            <c:bubble3D val="0"/>
            <c:spPr>
              <a:solidFill>
                <a:srgbClr val="4285F4"/>
              </a:solidFill>
              <a:ln cmpd="sng">
                <a:solidFill>
                  <a:srgbClr val="000000"/>
                </a:solidFill>
              </a:ln>
            </c:spPr>
          </c:dPt>
          <c:dPt>
            <c:idx val="359"/>
            <c:invertIfNegative val="1"/>
            <c:bubble3D val="0"/>
            <c:spPr>
              <a:solidFill>
                <a:srgbClr val="4285F4"/>
              </a:solidFill>
              <a:ln cmpd="sng">
                <a:solidFill>
                  <a:srgbClr val="000000"/>
                </a:solidFill>
              </a:ln>
            </c:spPr>
          </c:dPt>
          <c:dPt>
            <c:idx val="360"/>
            <c:invertIfNegative val="1"/>
            <c:bubble3D val="0"/>
            <c:spPr>
              <a:solidFill>
                <a:srgbClr val="4285F4"/>
              </a:solidFill>
              <a:ln cmpd="sng">
                <a:solidFill>
                  <a:srgbClr val="000000"/>
                </a:solidFill>
              </a:ln>
            </c:spPr>
          </c:dPt>
          <c:dPt>
            <c:idx val="361"/>
            <c:invertIfNegative val="1"/>
            <c:bubble3D val="0"/>
            <c:spPr>
              <a:solidFill>
                <a:srgbClr val="4285F4"/>
              </a:solidFill>
              <a:ln cmpd="sng">
                <a:solidFill>
                  <a:srgbClr val="000000"/>
                </a:solidFill>
              </a:ln>
            </c:spPr>
          </c:dPt>
          <c:dPt>
            <c:idx val="362"/>
            <c:invertIfNegative val="1"/>
            <c:bubble3D val="0"/>
            <c:spPr>
              <a:solidFill>
                <a:srgbClr val="4285F4"/>
              </a:solidFill>
              <a:ln cmpd="sng">
                <a:solidFill>
                  <a:srgbClr val="000000"/>
                </a:solidFill>
              </a:ln>
            </c:spPr>
          </c:dPt>
          <c:dPt>
            <c:idx val="363"/>
            <c:invertIfNegative val="1"/>
            <c:bubble3D val="0"/>
            <c:spPr>
              <a:solidFill>
                <a:srgbClr val="4285F4"/>
              </a:solidFill>
              <a:ln cmpd="sng">
                <a:solidFill>
                  <a:srgbClr val="000000"/>
                </a:solidFill>
              </a:ln>
            </c:spPr>
          </c:dPt>
          <c:dPt>
            <c:idx val="364"/>
            <c:invertIfNegative val="1"/>
            <c:bubble3D val="0"/>
            <c:spPr>
              <a:solidFill>
                <a:srgbClr val="4285F4"/>
              </a:solidFill>
              <a:ln cmpd="sng">
                <a:solidFill>
                  <a:srgbClr val="000000"/>
                </a:solidFill>
              </a:ln>
            </c:spPr>
          </c:dPt>
          <c:dPt>
            <c:idx val="365"/>
            <c:invertIfNegative val="1"/>
            <c:bubble3D val="0"/>
            <c:spPr>
              <a:solidFill>
                <a:srgbClr val="4285F4"/>
              </a:solidFill>
              <a:ln cmpd="sng">
                <a:solidFill>
                  <a:srgbClr val="000000"/>
                </a:solidFill>
              </a:ln>
            </c:spPr>
          </c:dPt>
          <c:dPt>
            <c:idx val="366"/>
            <c:invertIfNegative val="1"/>
            <c:bubble3D val="0"/>
            <c:spPr>
              <a:solidFill>
                <a:srgbClr val="4285F4"/>
              </a:solidFill>
              <a:ln cmpd="sng">
                <a:solidFill>
                  <a:srgbClr val="000000"/>
                </a:solidFill>
              </a:ln>
            </c:spPr>
          </c:dPt>
          <c:dPt>
            <c:idx val="367"/>
            <c:invertIfNegative val="1"/>
            <c:bubble3D val="0"/>
            <c:spPr>
              <a:solidFill>
                <a:srgbClr val="4285F4"/>
              </a:solidFill>
              <a:ln cmpd="sng">
                <a:solidFill>
                  <a:srgbClr val="000000"/>
                </a:solidFill>
              </a:ln>
            </c:spPr>
          </c:dPt>
          <c:dPt>
            <c:idx val="368"/>
            <c:invertIfNegative val="1"/>
            <c:bubble3D val="0"/>
            <c:spPr>
              <a:solidFill>
                <a:srgbClr val="4285F4"/>
              </a:solidFill>
              <a:ln cmpd="sng">
                <a:solidFill>
                  <a:srgbClr val="000000"/>
                </a:solidFill>
              </a:ln>
            </c:spPr>
          </c:dPt>
          <c:dPt>
            <c:idx val="369"/>
            <c:invertIfNegative val="1"/>
            <c:bubble3D val="0"/>
            <c:spPr>
              <a:solidFill>
                <a:srgbClr val="4285F4"/>
              </a:solidFill>
              <a:ln cmpd="sng">
                <a:solidFill>
                  <a:srgbClr val="000000"/>
                </a:solidFill>
              </a:ln>
            </c:spPr>
          </c:dPt>
          <c:dPt>
            <c:idx val="370"/>
            <c:invertIfNegative val="1"/>
            <c:bubble3D val="0"/>
            <c:spPr>
              <a:solidFill>
                <a:srgbClr val="4285F4"/>
              </a:solidFill>
              <a:ln cmpd="sng">
                <a:solidFill>
                  <a:srgbClr val="000000"/>
                </a:solidFill>
              </a:ln>
            </c:spPr>
          </c:dPt>
          <c:dPt>
            <c:idx val="371"/>
            <c:invertIfNegative val="1"/>
            <c:bubble3D val="0"/>
            <c:spPr>
              <a:solidFill>
                <a:srgbClr val="4285F4"/>
              </a:solidFill>
              <a:ln cmpd="sng">
                <a:solidFill>
                  <a:srgbClr val="000000"/>
                </a:solidFill>
              </a:ln>
            </c:spPr>
          </c:dPt>
          <c:dPt>
            <c:idx val="372"/>
            <c:invertIfNegative val="1"/>
            <c:bubble3D val="0"/>
            <c:spPr>
              <a:solidFill>
                <a:srgbClr val="4285F4"/>
              </a:solidFill>
              <a:ln cmpd="sng">
                <a:solidFill>
                  <a:srgbClr val="000000"/>
                </a:solidFill>
              </a:ln>
            </c:spPr>
          </c:dPt>
          <c:dPt>
            <c:idx val="373"/>
            <c:invertIfNegative val="1"/>
            <c:bubble3D val="0"/>
            <c:spPr>
              <a:solidFill>
                <a:srgbClr val="4285F4"/>
              </a:solidFill>
              <a:ln cmpd="sng">
                <a:solidFill>
                  <a:srgbClr val="000000"/>
                </a:solidFill>
              </a:ln>
            </c:spPr>
          </c:dPt>
          <c:dPt>
            <c:idx val="374"/>
            <c:invertIfNegative val="1"/>
            <c:bubble3D val="0"/>
            <c:spPr>
              <a:solidFill>
                <a:srgbClr val="4285F4"/>
              </a:solidFill>
              <a:ln cmpd="sng">
                <a:solidFill>
                  <a:srgbClr val="000000"/>
                </a:solidFill>
              </a:ln>
            </c:spPr>
          </c:dPt>
          <c:dPt>
            <c:idx val="375"/>
            <c:invertIfNegative val="1"/>
            <c:bubble3D val="0"/>
            <c:spPr>
              <a:solidFill>
                <a:srgbClr val="4285F4"/>
              </a:solidFill>
              <a:ln cmpd="sng">
                <a:solidFill>
                  <a:srgbClr val="000000"/>
                </a:solidFill>
              </a:ln>
            </c:spPr>
          </c:dPt>
          <c:dPt>
            <c:idx val="376"/>
            <c:invertIfNegative val="1"/>
            <c:bubble3D val="0"/>
            <c:spPr>
              <a:solidFill>
                <a:srgbClr val="4285F4"/>
              </a:solidFill>
              <a:ln cmpd="sng">
                <a:solidFill>
                  <a:srgbClr val="000000"/>
                </a:solidFill>
              </a:ln>
            </c:spPr>
          </c:dPt>
          <c:dPt>
            <c:idx val="377"/>
            <c:invertIfNegative val="1"/>
            <c:bubble3D val="0"/>
            <c:spPr>
              <a:solidFill>
                <a:srgbClr val="4285F4"/>
              </a:solidFill>
              <a:ln cmpd="sng">
                <a:solidFill>
                  <a:srgbClr val="000000"/>
                </a:solidFill>
              </a:ln>
            </c:spPr>
          </c:dPt>
          <c:dPt>
            <c:idx val="378"/>
            <c:invertIfNegative val="1"/>
            <c:bubble3D val="0"/>
            <c:spPr>
              <a:solidFill>
                <a:srgbClr val="4285F4"/>
              </a:solidFill>
              <a:ln cmpd="sng">
                <a:solidFill>
                  <a:srgbClr val="000000"/>
                </a:solidFill>
              </a:ln>
            </c:spPr>
          </c:dPt>
          <c:dPt>
            <c:idx val="379"/>
            <c:invertIfNegative val="1"/>
            <c:bubble3D val="0"/>
            <c:spPr>
              <a:solidFill>
                <a:srgbClr val="4285F4"/>
              </a:solidFill>
              <a:ln cmpd="sng">
                <a:solidFill>
                  <a:srgbClr val="000000"/>
                </a:solidFill>
              </a:ln>
            </c:spPr>
          </c:dPt>
          <c:dPt>
            <c:idx val="380"/>
            <c:invertIfNegative val="1"/>
            <c:bubble3D val="0"/>
            <c:spPr>
              <a:solidFill>
                <a:srgbClr val="4285F4"/>
              </a:solidFill>
              <a:ln cmpd="sng">
                <a:solidFill>
                  <a:srgbClr val="000000"/>
                </a:solidFill>
              </a:ln>
            </c:spPr>
          </c:dPt>
          <c:dPt>
            <c:idx val="381"/>
            <c:invertIfNegative val="1"/>
            <c:bubble3D val="0"/>
            <c:spPr>
              <a:solidFill>
                <a:srgbClr val="4285F4"/>
              </a:solidFill>
              <a:ln cmpd="sng">
                <a:solidFill>
                  <a:srgbClr val="000000"/>
                </a:solidFill>
              </a:ln>
            </c:spPr>
          </c:dPt>
          <c:dPt>
            <c:idx val="382"/>
            <c:invertIfNegative val="1"/>
            <c:bubble3D val="0"/>
            <c:spPr>
              <a:solidFill>
                <a:srgbClr val="4285F4"/>
              </a:solidFill>
              <a:ln cmpd="sng">
                <a:solidFill>
                  <a:srgbClr val="000000"/>
                </a:solidFill>
              </a:ln>
            </c:spPr>
          </c:dPt>
          <c:dPt>
            <c:idx val="383"/>
            <c:invertIfNegative val="1"/>
            <c:bubble3D val="0"/>
            <c:spPr>
              <a:solidFill>
                <a:srgbClr val="4285F4"/>
              </a:solidFill>
              <a:ln cmpd="sng">
                <a:solidFill>
                  <a:srgbClr val="000000"/>
                </a:solidFill>
              </a:ln>
            </c:spPr>
          </c:dPt>
          <c:dPt>
            <c:idx val="384"/>
            <c:invertIfNegative val="1"/>
            <c:bubble3D val="0"/>
            <c:spPr>
              <a:solidFill>
                <a:srgbClr val="4285F4"/>
              </a:solidFill>
              <a:ln cmpd="sng">
                <a:solidFill>
                  <a:srgbClr val="000000"/>
                </a:solidFill>
              </a:ln>
            </c:spPr>
          </c:dPt>
          <c:dPt>
            <c:idx val="385"/>
            <c:invertIfNegative val="1"/>
            <c:bubble3D val="0"/>
            <c:spPr>
              <a:solidFill>
                <a:srgbClr val="4285F4"/>
              </a:solidFill>
              <a:ln cmpd="sng">
                <a:solidFill>
                  <a:srgbClr val="000000"/>
                </a:solidFill>
              </a:ln>
            </c:spPr>
          </c:dPt>
          <c:dPt>
            <c:idx val="386"/>
            <c:invertIfNegative val="1"/>
            <c:bubble3D val="0"/>
            <c:spPr>
              <a:solidFill>
                <a:srgbClr val="4285F4"/>
              </a:solidFill>
              <a:ln cmpd="sng">
                <a:solidFill>
                  <a:srgbClr val="000000"/>
                </a:solidFill>
              </a:ln>
            </c:spPr>
          </c:dPt>
          <c:dPt>
            <c:idx val="387"/>
            <c:invertIfNegative val="1"/>
            <c:bubble3D val="0"/>
            <c:spPr>
              <a:solidFill>
                <a:srgbClr val="4285F4"/>
              </a:solidFill>
              <a:ln cmpd="sng">
                <a:solidFill>
                  <a:srgbClr val="000000"/>
                </a:solidFill>
              </a:ln>
            </c:spPr>
          </c:dPt>
          <c:dPt>
            <c:idx val="388"/>
            <c:invertIfNegative val="1"/>
            <c:bubble3D val="0"/>
            <c:spPr>
              <a:solidFill>
                <a:srgbClr val="4285F4"/>
              </a:solidFill>
              <a:ln cmpd="sng">
                <a:solidFill>
                  <a:srgbClr val="000000"/>
                </a:solidFill>
              </a:ln>
            </c:spPr>
          </c:dPt>
          <c:dPt>
            <c:idx val="389"/>
            <c:invertIfNegative val="1"/>
            <c:bubble3D val="0"/>
            <c:spPr>
              <a:solidFill>
                <a:srgbClr val="4285F4"/>
              </a:solidFill>
              <a:ln cmpd="sng">
                <a:solidFill>
                  <a:srgbClr val="000000"/>
                </a:solidFill>
              </a:ln>
            </c:spPr>
          </c:dPt>
          <c:dPt>
            <c:idx val="390"/>
            <c:invertIfNegative val="1"/>
            <c:bubble3D val="0"/>
            <c:spPr>
              <a:solidFill>
                <a:srgbClr val="4285F4"/>
              </a:solidFill>
              <a:ln cmpd="sng">
                <a:solidFill>
                  <a:srgbClr val="000000"/>
                </a:solidFill>
              </a:ln>
            </c:spPr>
          </c:dPt>
          <c:dPt>
            <c:idx val="391"/>
            <c:invertIfNegative val="1"/>
            <c:bubble3D val="0"/>
            <c:spPr>
              <a:solidFill>
                <a:srgbClr val="4285F4"/>
              </a:solidFill>
              <a:ln cmpd="sng">
                <a:solidFill>
                  <a:srgbClr val="000000"/>
                </a:solidFill>
              </a:ln>
            </c:spPr>
          </c:dPt>
          <c:dPt>
            <c:idx val="392"/>
            <c:invertIfNegative val="1"/>
            <c:bubble3D val="0"/>
            <c:spPr>
              <a:solidFill>
                <a:srgbClr val="4285F4"/>
              </a:solidFill>
              <a:ln cmpd="sng">
                <a:solidFill>
                  <a:srgbClr val="000000"/>
                </a:solidFill>
              </a:ln>
            </c:spPr>
          </c:dPt>
          <c:dPt>
            <c:idx val="393"/>
            <c:invertIfNegative val="1"/>
            <c:bubble3D val="0"/>
            <c:spPr>
              <a:solidFill>
                <a:srgbClr val="4285F4"/>
              </a:solidFill>
              <a:ln cmpd="sng">
                <a:solidFill>
                  <a:srgbClr val="000000"/>
                </a:solidFill>
              </a:ln>
            </c:spPr>
          </c:dPt>
          <c:dPt>
            <c:idx val="394"/>
            <c:invertIfNegative val="1"/>
            <c:bubble3D val="0"/>
            <c:spPr>
              <a:solidFill>
                <a:srgbClr val="4285F4"/>
              </a:solidFill>
              <a:ln cmpd="sng">
                <a:solidFill>
                  <a:srgbClr val="000000"/>
                </a:solidFill>
              </a:ln>
            </c:spPr>
          </c:dPt>
          <c:dPt>
            <c:idx val="395"/>
            <c:invertIfNegative val="1"/>
            <c:bubble3D val="0"/>
            <c:spPr>
              <a:solidFill>
                <a:srgbClr val="4285F4"/>
              </a:solidFill>
              <a:ln cmpd="sng">
                <a:solidFill>
                  <a:srgbClr val="000000"/>
                </a:solidFill>
              </a:ln>
            </c:spPr>
          </c:dPt>
          <c:dPt>
            <c:idx val="396"/>
            <c:invertIfNegative val="1"/>
            <c:bubble3D val="0"/>
            <c:spPr>
              <a:solidFill>
                <a:srgbClr val="4285F4"/>
              </a:solidFill>
              <a:ln cmpd="sng">
                <a:solidFill>
                  <a:srgbClr val="000000"/>
                </a:solidFill>
              </a:ln>
            </c:spPr>
          </c:dPt>
          <c:dPt>
            <c:idx val="397"/>
            <c:invertIfNegative val="1"/>
            <c:bubble3D val="0"/>
            <c:spPr>
              <a:solidFill>
                <a:srgbClr val="4285F4"/>
              </a:solidFill>
              <a:ln cmpd="sng">
                <a:solidFill>
                  <a:srgbClr val="000000"/>
                </a:solidFill>
              </a:ln>
            </c:spPr>
          </c:dPt>
          <c:dPt>
            <c:idx val="398"/>
            <c:invertIfNegative val="1"/>
            <c:bubble3D val="0"/>
            <c:spPr>
              <a:solidFill>
                <a:srgbClr val="4285F4"/>
              </a:solidFill>
              <a:ln cmpd="sng">
                <a:solidFill>
                  <a:srgbClr val="000000"/>
                </a:solidFill>
              </a:ln>
            </c:spPr>
          </c:dPt>
          <c:dPt>
            <c:idx val="399"/>
            <c:invertIfNegative val="1"/>
            <c:bubble3D val="0"/>
            <c:spPr>
              <a:solidFill>
                <a:srgbClr val="4285F4"/>
              </a:solidFill>
              <a:ln cmpd="sng">
                <a:solidFill>
                  <a:srgbClr val="000000"/>
                </a:solidFill>
              </a:ln>
            </c:spPr>
          </c:dPt>
          <c:dPt>
            <c:idx val="400"/>
            <c:invertIfNegative val="1"/>
            <c:bubble3D val="0"/>
            <c:spPr>
              <a:solidFill>
                <a:srgbClr val="4285F4"/>
              </a:solidFill>
              <a:ln cmpd="sng">
                <a:solidFill>
                  <a:srgbClr val="000000"/>
                </a:solidFill>
              </a:ln>
            </c:spPr>
          </c:dPt>
          <c:dPt>
            <c:idx val="401"/>
            <c:invertIfNegative val="1"/>
            <c:bubble3D val="0"/>
            <c:spPr>
              <a:solidFill>
                <a:srgbClr val="4285F4"/>
              </a:solidFill>
              <a:ln cmpd="sng">
                <a:solidFill>
                  <a:srgbClr val="000000"/>
                </a:solidFill>
              </a:ln>
            </c:spPr>
          </c:dPt>
          <c:dPt>
            <c:idx val="402"/>
            <c:invertIfNegative val="1"/>
            <c:bubble3D val="0"/>
            <c:spPr>
              <a:solidFill>
                <a:srgbClr val="4285F4"/>
              </a:solidFill>
              <a:ln cmpd="sng">
                <a:solidFill>
                  <a:srgbClr val="000000"/>
                </a:solidFill>
              </a:ln>
            </c:spPr>
          </c:dPt>
          <c:dPt>
            <c:idx val="403"/>
            <c:invertIfNegative val="1"/>
            <c:bubble3D val="0"/>
            <c:spPr>
              <a:solidFill>
                <a:srgbClr val="4285F4"/>
              </a:solidFill>
              <a:ln cmpd="sng">
                <a:solidFill>
                  <a:srgbClr val="000000"/>
                </a:solidFill>
              </a:ln>
            </c:spPr>
          </c:dPt>
          <c:dPt>
            <c:idx val="404"/>
            <c:invertIfNegative val="1"/>
            <c:bubble3D val="0"/>
            <c:spPr>
              <a:solidFill>
                <a:srgbClr val="4285F4"/>
              </a:solidFill>
              <a:ln cmpd="sng">
                <a:solidFill>
                  <a:srgbClr val="000000"/>
                </a:solidFill>
              </a:ln>
            </c:spPr>
          </c:dPt>
          <c:dPt>
            <c:idx val="405"/>
            <c:invertIfNegative val="1"/>
            <c:bubble3D val="0"/>
            <c:spPr>
              <a:solidFill>
                <a:srgbClr val="4285F4"/>
              </a:solidFill>
              <a:ln cmpd="sng">
                <a:solidFill>
                  <a:srgbClr val="000000"/>
                </a:solidFill>
              </a:ln>
            </c:spPr>
          </c:dPt>
          <c:dPt>
            <c:idx val="406"/>
            <c:invertIfNegative val="1"/>
            <c:bubble3D val="0"/>
            <c:spPr>
              <a:solidFill>
                <a:srgbClr val="4285F4"/>
              </a:solidFill>
              <a:ln cmpd="sng">
                <a:solidFill>
                  <a:srgbClr val="000000"/>
                </a:solidFill>
              </a:ln>
            </c:spPr>
          </c:dPt>
          <c:dPt>
            <c:idx val="407"/>
            <c:invertIfNegative val="1"/>
            <c:bubble3D val="0"/>
            <c:spPr>
              <a:solidFill>
                <a:srgbClr val="4285F4"/>
              </a:solidFill>
              <a:ln cmpd="sng">
                <a:solidFill>
                  <a:srgbClr val="000000"/>
                </a:solidFill>
              </a:ln>
            </c:spPr>
          </c:dPt>
          <c:dPt>
            <c:idx val="408"/>
            <c:invertIfNegative val="1"/>
            <c:bubble3D val="0"/>
            <c:spPr>
              <a:solidFill>
                <a:srgbClr val="4285F4"/>
              </a:solidFill>
              <a:ln cmpd="sng">
                <a:solidFill>
                  <a:srgbClr val="000000"/>
                </a:solidFill>
              </a:ln>
            </c:spPr>
          </c:dPt>
          <c:dPt>
            <c:idx val="409"/>
            <c:invertIfNegative val="1"/>
            <c:bubble3D val="0"/>
            <c:spPr>
              <a:solidFill>
                <a:srgbClr val="4285F4"/>
              </a:solidFill>
              <a:ln cmpd="sng">
                <a:solidFill>
                  <a:srgbClr val="000000"/>
                </a:solidFill>
              </a:ln>
            </c:spPr>
          </c:dPt>
          <c:dPt>
            <c:idx val="410"/>
            <c:invertIfNegative val="1"/>
            <c:bubble3D val="0"/>
            <c:spPr>
              <a:solidFill>
                <a:srgbClr val="4285F4"/>
              </a:solidFill>
              <a:ln cmpd="sng">
                <a:solidFill>
                  <a:srgbClr val="000000"/>
                </a:solidFill>
              </a:ln>
            </c:spPr>
          </c:dPt>
          <c:dPt>
            <c:idx val="411"/>
            <c:invertIfNegative val="1"/>
            <c:bubble3D val="0"/>
            <c:spPr>
              <a:solidFill>
                <a:srgbClr val="4285F4"/>
              </a:solidFill>
              <a:ln cmpd="sng">
                <a:solidFill>
                  <a:srgbClr val="000000"/>
                </a:solidFill>
              </a:ln>
            </c:spPr>
          </c:dPt>
          <c:dPt>
            <c:idx val="412"/>
            <c:invertIfNegative val="1"/>
            <c:bubble3D val="0"/>
            <c:spPr>
              <a:solidFill>
                <a:srgbClr val="4285F4"/>
              </a:solidFill>
              <a:ln cmpd="sng">
                <a:solidFill>
                  <a:srgbClr val="000000"/>
                </a:solidFill>
              </a:ln>
            </c:spPr>
          </c:dPt>
          <c:dPt>
            <c:idx val="413"/>
            <c:invertIfNegative val="1"/>
            <c:bubble3D val="0"/>
            <c:spPr>
              <a:solidFill>
                <a:srgbClr val="4285F4"/>
              </a:solidFill>
              <a:ln cmpd="sng">
                <a:solidFill>
                  <a:srgbClr val="000000"/>
                </a:solidFill>
              </a:ln>
            </c:spPr>
          </c:dPt>
          <c:dPt>
            <c:idx val="414"/>
            <c:invertIfNegative val="1"/>
            <c:bubble3D val="0"/>
            <c:spPr>
              <a:solidFill>
                <a:srgbClr val="4285F4"/>
              </a:solidFill>
              <a:ln cmpd="sng">
                <a:solidFill>
                  <a:srgbClr val="000000"/>
                </a:solidFill>
              </a:ln>
            </c:spPr>
          </c:dPt>
          <c:dPt>
            <c:idx val="415"/>
            <c:invertIfNegative val="1"/>
            <c:bubble3D val="0"/>
            <c:spPr>
              <a:solidFill>
                <a:srgbClr val="4285F4"/>
              </a:solidFill>
              <a:ln cmpd="sng">
                <a:solidFill>
                  <a:srgbClr val="000000"/>
                </a:solidFill>
              </a:ln>
            </c:spPr>
          </c:dPt>
          <c:dPt>
            <c:idx val="416"/>
            <c:invertIfNegative val="1"/>
            <c:bubble3D val="0"/>
            <c:spPr>
              <a:solidFill>
                <a:srgbClr val="4285F4"/>
              </a:solidFill>
              <a:ln cmpd="sng">
                <a:solidFill>
                  <a:srgbClr val="000000"/>
                </a:solidFill>
              </a:ln>
            </c:spPr>
          </c:dPt>
          <c:dPt>
            <c:idx val="417"/>
            <c:invertIfNegative val="1"/>
            <c:bubble3D val="0"/>
            <c:spPr>
              <a:solidFill>
                <a:srgbClr val="4285F4"/>
              </a:solidFill>
              <a:ln cmpd="sng">
                <a:solidFill>
                  <a:srgbClr val="000000"/>
                </a:solidFill>
              </a:ln>
            </c:spPr>
          </c:dPt>
          <c:dPt>
            <c:idx val="418"/>
            <c:invertIfNegative val="1"/>
            <c:bubble3D val="0"/>
            <c:spPr>
              <a:solidFill>
                <a:srgbClr val="4285F4"/>
              </a:solidFill>
              <a:ln cmpd="sng">
                <a:solidFill>
                  <a:srgbClr val="000000"/>
                </a:solidFill>
              </a:ln>
            </c:spPr>
          </c:dPt>
          <c:dPt>
            <c:idx val="419"/>
            <c:invertIfNegative val="1"/>
            <c:bubble3D val="0"/>
            <c:spPr>
              <a:solidFill>
                <a:srgbClr val="4285F4"/>
              </a:solidFill>
              <a:ln cmpd="sng">
                <a:solidFill>
                  <a:srgbClr val="000000"/>
                </a:solidFill>
              </a:ln>
            </c:spPr>
          </c:dPt>
          <c:dPt>
            <c:idx val="420"/>
            <c:invertIfNegative val="1"/>
            <c:bubble3D val="0"/>
            <c:spPr>
              <a:solidFill>
                <a:srgbClr val="4285F4"/>
              </a:solidFill>
              <a:ln cmpd="sng">
                <a:solidFill>
                  <a:srgbClr val="000000"/>
                </a:solidFill>
              </a:ln>
            </c:spPr>
          </c:dPt>
          <c:dPt>
            <c:idx val="421"/>
            <c:invertIfNegative val="1"/>
            <c:bubble3D val="0"/>
            <c:spPr>
              <a:solidFill>
                <a:srgbClr val="4285F4"/>
              </a:solidFill>
              <a:ln cmpd="sng">
                <a:solidFill>
                  <a:srgbClr val="000000"/>
                </a:solidFill>
              </a:ln>
            </c:spPr>
          </c:dPt>
          <c:dPt>
            <c:idx val="422"/>
            <c:invertIfNegative val="1"/>
            <c:bubble3D val="0"/>
            <c:spPr>
              <a:solidFill>
                <a:srgbClr val="4285F4"/>
              </a:solidFill>
              <a:ln cmpd="sng">
                <a:solidFill>
                  <a:srgbClr val="000000"/>
                </a:solidFill>
              </a:ln>
            </c:spPr>
          </c:dPt>
          <c:dPt>
            <c:idx val="423"/>
            <c:invertIfNegative val="1"/>
            <c:bubble3D val="0"/>
            <c:spPr>
              <a:solidFill>
                <a:srgbClr val="4285F4"/>
              </a:solidFill>
              <a:ln cmpd="sng">
                <a:solidFill>
                  <a:srgbClr val="000000"/>
                </a:solidFill>
              </a:ln>
            </c:spPr>
          </c:dPt>
          <c:dPt>
            <c:idx val="424"/>
            <c:invertIfNegative val="1"/>
            <c:bubble3D val="0"/>
            <c:spPr>
              <a:solidFill>
                <a:srgbClr val="4285F4"/>
              </a:solidFill>
              <a:ln cmpd="sng">
                <a:solidFill>
                  <a:srgbClr val="000000"/>
                </a:solidFill>
              </a:ln>
            </c:spPr>
          </c:dPt>
          <c:dPt>
            <c:idx val="425"/>
            <c:invertIfNegative val="1"/>
            <c:bubble3D val="0"/>
            <c:spPr>
              <a:solidFill>
                <a:srgbClr val="4285F4"/>
              </a:solidFill>
              <a:ln cmpd="sng">
                <a:solidFill>
                  <a:srgbClr val="000000"/>
                </a:solidFill>
              </a:ln>
            </c:spPr>
          </c:dPt>
          <c:dPt>
            <c:idx val="426"/>
            <c:invertIfNegative val="1"/>
            <c:bubble3D val="0"/>
            <c:spPr>
              <a:solidFill>
                <a:srgbClr val="4285F4"/>
              </a:solidFill>
              <a:ln cmpd="sng">
                <a:solidFill>
                  <a:srgbClr val="000000"/>
                </a:solidFill>
              </a:ln>
            </c:spPr>
          </c:dPt>
          <c:dPt>
            <c:idx val="427"/>
            <c:invertIfNegative val="1"/>
            <c:bubble3D val="0"/>
            <c:spPr>
              <a:solidFill>
                <a:srgbClr val="4285F4"/>
              </a:solidFill>
              <a:ln cmpd="sng">
                <a:solidFill>
                  <a:srgbClr val="000000"/>
                </a:solidFill>
              </a:ln>
            </c:spPr>
          </c:dPt>
          <c:dPt>
            <c:idx val="428"/>
            <c:invertIfNegative val="1"/>
            <c:bubble3D val="0"/>
            <c:spPr>
              <a:solidFill>
                <a:srgbClr val="4285F4"/>
              </a:solidFill>
              <a:ln cmpd="sng">
                <a:solidFill>
                  <a:srgbClr val="000000"/>
                </a:solidFill>
              </a:ln>
            </c:spPr>
          </c:dPt>
          <c:dPt>
            <c:idx val="429"/>
            <c:invertIfNegative val="1"/>
            <c:bubble3D val="0"/>
            <c:spPr>
              <a:solidFill>
                <a:srgbClr val="4285F4"/>
              </a:solidFill>
              <a:ln cmpd="sng">
                <a:solidFill>
                  <a:srgbClr val="000000"/>
                </a:solidFill>
              </a:ln>
            </c:spPr>
          </c:dPt>
          <c:dPt>
            <c:idx val="430"/>
            <c:invertIfNegative val="1"/>
            <c:bubble3D val="0"/>
            <c:spPr>
              <a:solidFill>
                <a:srgbClr val="4285F4"/>
              </a:solidFill>
              <a:ln cmpd="sng">
                <a:solidFill>
                  <a:srgbClr val="000000"/>
                </a:solidFill>
              </a:ln>
            </c:spPr>
          </c:dPt>
          <c:dPt>
            <c:idx val="431"/>
            <c:invertIfNegative val="1"/>
            <c:bubble3D val="0"/>
            <c:spPr>
              <a:solidFill>
                <a:srgbClr val="4285F4"/>
              </a:solidFill>
              <a:ln cmpd="sng">
                <a:solidFill>
                  <a:srgbClr val="000000"/>
                </a:solidFill>
              </a:ln>
            </c:spPr>
          </c:dPt>
          <c:dPt>
            <c:idx val="432"/>
            <c:invertIfNegative val="1"/>
            <c:bubble3D val="0"/>
            <c:spPr>
              <a:solidFill>
                <a:srgbClr val="4285F4"/>
              </a:solidFill>
              <a:ln cmpd="sng">
                <a:solidFill>
                  <a:srgbClr val="000000"/>
                </a:solidFill>
              </a:ln>
            </c:spPr>
          </c:dPt>
          <c:dPt>
            <c:idx val="433"/>
            <c:invertIfNegative val="1"/>
            <c:bubble3D val="0"/>
            <c:spPr>
              <a:solidFill>
                <a:srgbClr val="4285F4"/>
              </a:solidFill>
              <a:ln cmpd="sng">
                <a:solidFill>
                  <a:srgbClr val="000000"/>
                </a:solidFill>
              </a:ln>
            </c:spPr>
          </c:dPt>
          <c:dPt>
            <c:idx val="434"/>
            <c:invertIfNegative val="1"/>
            <c:bubble3D val="0"/>
            <c:spPr>
              <a:solidFill>
                <a:srgbClr val="4285F4"/>
              </a:solidFill>
              <a:ln cmpd="sng">
                <a:solidFill>
                  <a:srgbClr val="000000"/>
                </a:solidFill>
              </a:ln>
            </c:spPr>
          </c:dPt>
          <c:dPt>
            <c:idx val="435"/>
            <c:invertIfNegative val="1"/>
            <c:bubble3D val="0"/>
            <c:spPr>
              <a:solidFill>
                <a:srgbClr val="4285F4"/>
              </a:solidFill>
              <a:ln cmpd="sng">
                <a:solidFill>
                  <a:srgbClr val="000000"/>
                </a:solidFill>
              </a:ln>
            </c:spPr>
          </c:dPt>
          <c:dPt>
            <c:idx val="436"/>
            <c:invertIfNegative val="1"/>
            <c:bubble3D val="0"/>
            <c:spPr>
              <a:solidFill>
                <a:srgbClr val="4285F4"/>
              </a:solidFill>
              <a:ln cmpd="sng">
                <a:solidFill>
                  <a:srgbClr val="000000"/>
                </a:solidFill>
              </a:ln>
            </c:spPr>
          </c:dPt>
          <c:dPt>
            <c:idx val="437"/>
            <c:invertIfNegative val="1"/>
            <c:bubble3D val="0"/>
            <c:spPr>
              <a:solidFill>
                <a:srgbClr val="4285F4"/>
              </a:solidFill>
              <a:ln cmpd="sng">
                <a:solidFill>
                  <a:srgbClr val="000000"/>
                </a:solidFill>
              </a:ln>
            </c:spPr>
          </c:dPt>
          <c:dPt>
            <c:idx val="438"/>
            <c:invertIfNegative val="1"/>
            <c:bubble3D val="0"/>
            <c:spPr>
              <a:solidFill>
                <a:srgbClr val="4285F4"/>
              </a:solidFill>
              <a:ln cmpd="sng">
                <a:solidFill>
                  <a:srgbClr val="000000"/>
                </a:solidFill>
              </a:ln>
            </c:spPr>
          </c:dPt>
          <c:dPt>
            <c:idx val="439"/>
            <c:invertIfNegative val="1"/>
            <c:bubble3D val="0"/>
            <c:spPr>
              <a:solidFill>
                <a:srgbClr val="4285F4"/>
              </a:solidFill>
              <a:ln cmpd="sng">
                <a:solidFill>
                  <a:srgbClr val="000000"/>
                </a:solidFill>
              </a:ln>
            </c:spPr>
          </c:dPt>
          <c:dPt>
            <c:idx val="440"/>
            <c:invertIfNegative val="1"/>
            <c:bubble3D val="0"/>
            <c:spPr>
              <a:solidFill>
                <a:srgbClr val="4285F4"/>
              </a:solidFill>
              <a:ln cmpd="sng">
                <a:solidFill>
                  <a:srgbClr val="000000"/>
                </a:solidFill>
              </a:ln>
            </c:spPr>
          </c:dPt>
          <c:dPt>
            <c:idx val="441"/>
            <c:invertIfNegative val="1"/>
            <c:bubble3D val="0"/>
            <c:spPr>
              <a:solidFill>
                <a:srgbClr val="4285F4"/>
              </a:solidFill>
              <a:ln cmpd="sng">
                <a:solidFill>
                  <a:srgbClr val="000000"/>
                </a:solidFill>
              </a:ln>
            </c:spPr>
          </c:dPt>
          <c:dPt>
            <c:idx val="442"/>
            <c:invertIfNegative val="1"/>
            <c:bubble3D val="0"/>
            <c:spPr>
              <a:solidFill>
                <a:srgbClr val="4285F4"/>
              </a:solidFill>
              <a:ln cmpd="sng">
                <a:solidFill>
                  <a:srgbClr val="000000"/>
                </a:solidFill>
              </a:ln>
            </c:spPr>
          </c:dPt>
          <c:dPt>
            <c:idx val="443"/>
            <c:invertIfNegative val="1"/>
            <c:bubble3D val="0"/>
            <c:spPr>
              <a:solidFill>
                <a:srgbClr val="4285F4"/>
              </a:solidFill>
              <a:ln cmpd="sng">
                <a:solidFill>
                  <a:srgbClr val="000000"/>
                </a:solidFill>
              </a:ln>
            </c:spPr>
          </c:dPt>
          <c:dPt>
            <c:idx val="444"/>
            <c:invertIfNegative val="1"/>
            <c:bubble3D val="0"/>
            <c:spPr>
              <a:solidFill>
                <a:srgbClr val="4285F4"/>
              </a:solidFill>
              <a:ln cmpd="sng">
                <a:solidFill>
                  <a:srgbClr val="000000"/>
                </a:solidFill>
              </a:ln>
            </c:spPr>
          </c:dPt>
          <c:dPt>
            <c:idx val="445"/>
            <c:invertIfNegative val="1"/>
            <c:bubble3D val="0"/>
            <c:spPr>
              <a:solidFill>
                <a:srgbClr val="4285F4"/>
              </a:solidFill>
              <a:ln cmpd="sng">
                <a:solidFill>
                  <a:srgbClr val="000000"/>
                </a:solidFill>
              </a:ln>
            </c:spPr>
          </c:dPt>
          <c:dPt>
            <c:idx val="446"/>
            <c:invertIfNegative val="1"/>
            <c:bubble3D val="0"/>
            <c:spPr>
              <a:solidFill>
                <a:srgbClr val="4285F4"/>
              </a:solidFill>
              <a:ln cmpd="sng">
                <a:solidFill>
                  <a:srgbClr val="000000"/>
                </a:solidFill>
              </a:ln>
            </c:spPr>
          </c:dPt>
          <c:dPt>
            <c:idx val="447"/>
            <c:invertIfNegative val="1"/>
            <c:bubble3D val="0"/>
            <c:spPr>
              <a:solidFill>
                <a:srgbClr val="4285F4"/>
              </a:solidFill>
              <a:ln cmpd="sng">
                <a:solidFill>
                  <a:srgbClr val="000000"/>
                </a:solidFill>
              </a:ln>
            </c:spPr>
          </c:dPt>
          <c:dPt>
            <c:idx val="448"/>
            <c:invertIfNegative val="1"/>
            <c:bubble3D val="0"/>
            <c:spPr>
              <a:solidFill>
                <a:srgbClr val="4285F4"/>
              </a:solidFill>
              <a:ln cmpd="sng">
                <a:solidFill>
                  <a:srgbClr val="000000"/>
                </a:solidFill>
              </a:ln>
            </c:spPr>
          </c:dPt>
          <c:dPt>
            <c:idx val="449"/>
            <c:invertIfNegative val="1"/>
            <c:bubble3D val="0"/>
            <c:spPr>
              <a:solidFill>
                <a:srgbClr val="4285F4"/>
              </a:solidFill>
              <a:ln cmpd="sng">
                <a:solidFill>
                  <a:srgbClr val="000000"/>
                </a:solidFill>
              </a:ln>
            </c:spPr>
          </c:dPt>
          <c:dPt>
            <c:idx val="450"/>
            <c:invertIfNegative val="1"/>
            <c:bubble3D val="0"/>
            <c:spPr>
              <a:solidFill>
                <a:srgbClr val="4285F4"/>
              </a:solidFill>
              <a:ln cmpd="sng">
                <a:solidFill>
                  <a:srgbClr val="000000"/>
                </a:solidFill>
              </a:ln>
            </c:spPr>
          </c:dPt>
          <c:dPt>
            <c:idx val="451"/>
            <c:invertIfNegative val="1"/>
            <c:bubble3D val="0"/>
            <c:spPr>
              <a:solidFill>
                <a:srgbClr val="4285F4"/>
              </a:solidFill>
              <a:ln cmpd="sng">
                <a:solidFill>
                  <a:srgbClr val="000000"/>
                </a:solidFill>
              </a:ln>
            </c:spPr>
          </c:dPt>
          <c:dPt>
            <c:idx val="452"/>
            <c:invertIfNegative val="1"/>
            <c:bubble3D val="0"/>
            <c:spPr>
              <a:solidFill>
                <a:srgbClr val="4285F4"/>
              </a:solidFill>
              <a:ln cmpd="sng">
                <a:solidFill>
                  <a:srgbClr val="000000"/>
                </a:solidFill>
              </a:ln>
            </c:spPr>
          </c:dPt>
          <c:dPt>
            <c:idx val="453"/>
            <c:invertIfNegative val="1"/>
            <c:bubble3D val="0"/>
            <c:spPr>
              <a:solidFill>
                <a:srgbClr val="4285F4"/>
              </a:solidFill>
              <a:ln cmpd="sng">
                <a:solidFill>
                  <a:srgbClr val="000000"/>
                </a:solidFill>
              </a:ln>
            </c:spPr>
          </c:dPt>
          <c:dPt>
            <c:idx val="454"/>
            <c:invertIfNegative val="1"/>
            <c:bubble3D val="0"/>
            <c:spPr>
              <a:solidFill>
                <a:srgbClr val="4285F4"/>
              </a:solidFill>
              <a:ln cmpd="sng">
                <a:solidFill>
                  <a:srgbClr val="000000"/>
                </a:solidFill>
              </a:ln>
            </c:spPr>
          </c:dPt>
          <c:dPt>
            <c:idx val="455"/>
            <c:invertIfNegative val="1"/>
            <c:bubble3D val="0"/>
            <c:spPr>
              <a:solidFill>
                <a:srgbClr val="4285F4"/>
              </a:solidFill>
              <a:ln cmpd="sng">
                <a:solidFill>
                  <a:srgbClr val="000000"/>
                </a:solidFill>
              </a:ln>
            </c:spPr>
          </c:dPt>
          <c:dPt>
            <c:idx val="456"/>
            <c:invertIfNegative val="1"/>
            <c:bubble3D val="0"/>
            <c:spPr>
              <a:solidFill>
                <a:srgbClr val="4285F4"/>
              </a:solidFill>
              <a:ln cmpd="sng">
                <a:solidFill>
                  <a:srgbClr val="000000"/>
                </a:solidFill>
              </a:ln>
            </c:spPr>
          </c:dPt>
          <c:dPt>
            <c:idx val="457"/>
            <c:invertIfNegative val="1"/>
            <c:bubble3D val="0"/>
            <c:spPr>
              <a:solidFill>
                <a:srgbClr val="4285F4"/>
              </a:solidFill>
              <a:ln cmpd="sng">
                <a:solidFill>
                  <a:srgbClr val="000000"/>
                </a:solidFill>
              </a:ln>
            </c:spPr>
          </c:dPt>
          <c:dPt>
            <c:idx val="458"/>
            <c:invertIfNegative val="1"/>
            <c:bubble3D val="0"/>
            <c:spPr>
              <a:solidFill>
                <a:srgbClr val="4285F4"/>
              </a:solidFill>
              <a:ln cmpd="sng">
                <a:solidFill>
                  <a:srgbClr val="000000"/>
                </a:solidFill>
              </a:ln>
            </c:spPr>
          </c:dPt>
          <c:dPt>
            <c:idx val="459"/>
            <c:invertIfNegative val="1"/>
            <c:bubble3D val="0"/>
            <c:spPr>
              <a:solidFill>
                <a:srgbClr val="4285F4"/>
              </a:solidFill>
              <a:ln cmpd="sng">
                <a:solidFill>
                  <a:srgbClr val="000000"/>
                </a:solidFill>
              </a:ln>
            </c:spPr>
          </c:dPt>
          <c:dPt>
            <c:idx val="460"/>
            <c:invertIfNegative val="1"/>
            <c:bubble3D val="0"/>
            <c:spPr>
              <a:solidFill>
                <a:srgbClr val="4285F4"/>
              </a:solidFill>
              <a:ln cmpd="sng">
                <a:solidFill>
                  <a:srgbClr val="000000"/>
                </a:solidFill>
              </a:ln>
            </c:spPr>
          </c:dPt>
          <c:dPt>
            <c:idx val="461"/>
            <c:invertIfNegative val="1"/>
            <c:bubble3D val="0"/>
            <c:spPr>
              <a:solidFill>
                <a:srgbClr val="4285F4"/>
              </a:solidFill>
              <a:ln cmpd="sng">
                <a:solidFill>
                  <a:srgbClr val="000000"/>
                </a:solidFill>
              </a:ln>
            </c:spPr>
          </c:dPt>
          <c:dPt>
            <c:idx val="462"/>
            <c:invertIfNegative val="1"/>
            <c:bubble3D val="0"/>
            <c:spPr>
              <a:solidFill>
                <a:srgbClr val="4285F4"/>
              </a:solidFill>
              <a:ln cmpd="sng">
                <a:solidFill>
                  <a:srgbClr val="000000"/>
                </a:solidFill>
              </a:ln>
            </c:spPr>
          </c:dPt>
          <c:dPt>
            <c:idx val="463"/>
            <c:invertIfNegative val="1"/>
            <c:bubble3D val="0"/>
            <c:spPr>
              <a:solidFill>
                <a:srgbClr val="4285F4"/>
              </a:solidFill>
              <a:ln cmpd="sng">
                <a:solidFill>
                  <a:srgbClr val="000000"/>
                </a:solidFill>
              </a:ln>
            </c:spPr>
          </c:dPt>
          <c:dPt>
            <c:idx val="464"/>
            <c:invertIfNegative val="1"/>
            <c:bubble3D val="0"/>
            <c:spPr>
              <a:solidFill>
                <a:srgbClr val="4285F4"/>
              </a:solidFill>
              <a:ln cmpd="sng">
                <a:solidFill>
                  <a:srgbClr val="000000"/>
                </a:solidFill>
              </a:ln>
            </c:spPr>
          </c:dPt>
          <c:dPt>
            <c:idx val="465"/>
            <c:invertIfNegative val="1"/>
            <c:bubble3D val="0"/>
            <c:spPr>
              <a:solidFill>
                <a:srgbClr val="4285F4"/>
              </a:solidFill>
              <a:ln cmpd="sng">
                <a:solidFill>
                  <a:srgbClr val="000000"/>
                </a:solidFill>
              </a:ln>
            </c:spPr>
          </c:dPt>
          <c:dPt>
            <c:idx val="466"/>
            <c:invertIfNegative val="1"/>
            <c:bubble3D val="0"/>
            <c:spPr>
              <a:solidFill>
                <a:srgbClr val="4285F4"/>
              </a:solidFill>
              <a:ln cmpd="sng">
                <a:solidFill>
                  <a:srgbClr val="000000"/>
                </a:solidFill>
              </a:ln>
            </c:spPr>
          </c:dPt>
          <c:dPt>
            <c:idx val="467"/>
            <c:invertIfNegative val="1"/>
            <c:bubble3D val="0"/>
            <c:spPr>
              <a:solidFill>
                <a:srgbClr val="4285F4"/>
              </a:solidFill>
              <a:ln cmpd="sng">
                <a:solidFill>
                  <a:srgbClr val="000000"/>
                </a:solidFill>
              </a:ln>
            </c:spPr>
          </c:dPt>
          <c:dPt>
            <c:idx val="468"/>
            <c:invertIfNegative val="1"/>
            <c:bubble3D val="0"/>
            <c:spPr>
              <a:solidFill>
                <a:srgbClr val="4285F4"/>
              </a:solidFill>
              <a:ln cmpd="sng">
                <a:solidFill>
                  <a:srgbClr val="000000"/>
                </a:solidFill>
              </a:ln>
            </c:spPr>
          </c:dPt>
          <c:dPt>
            <c:idx val="469"/>
            <c:invertIfNegative val="1"/>
            <c:bubble3D val="0"/>
            <c:spPr>
              <a:solidFill>
                <a:srgbClr val="4285F4"/>
              </a:solidFill>
              <a:ln cmpd="sng">
                <a:solidFill>
                  <a:srgbClr val="000000"/>
                </a:solidFill>
              </a:ln>
            </c:spPr>
          </c:dPt>
          <c:dPt>
            <c:idx val="470"/>
            <c:invertIfNegative val="1"/>
            <c:bubble3D val="0"/>
            <c:spPr>
              <a:solidFill>
                <a:srgbClr val="4285F4"/>
              </a:solidFill>
              <a:ln cmpd="sng">
                <a:solidFill>
                  <a:srgbClr val="000000"/>
                </a:solidFill>
              </a:ln>
            </c:spPr>
          </c:dPt>
          <c:dPt>
            <c:idx val="471"/>
            <c:invertIfNegative val="1"/>
            <c:bubble3D val="0"/>
            <c:spPr>
              <a:solidFill>
                <a:srgbClr val="4285F4"/>
              </a:solidFill>
              <a:ln cmpd="sng">
                <a:solidFill>
                  <a:srgbClr val="000000"/>
                </a:solidFill>
              </a:ln>
            </c:spPr>
          </c:dPt>
          <c:dPt>
            <c:idx val="472"/>
            <c:invertIfNegative val="1"/>
            <c:bubble3D val="0"/>
            <c:spPr>
              <a:solidFill>
                <a:srgbClr val="4285F4"/>
              </a:solidFill>
              <a:ln cmpd="sng">
                <a:solidFill>
                  <a:srgbClr val="000000"/>
                </a:solidFill>
              </a:ln>
            </c:spPr>
          </c:dPt>
          <c:dPt>
            <c:idx val="473"/>
            <c:invertIfNegative val="1"/>
            <c:bubble3D val="0"/>
            <c:spPr>
              <a:solidFill>
                <a:srgbClr val="4285F4"/>
              </a:solidFill>
              <a:ln cmpd="sng">
                <a:solidFill>
                  <a:srgbClr val="000000"/>
                </a:solidFill>
              </a:ln>
            </c:spPr>
          </c:dPt>
          <c:dPt>
            <c:idx val="474"/>
            <c:invertIfNegative val="1"/>
            <c:bubble3D val="0"/>
            <c:spPr>
              <a:solidFill>
                <a:srgbClr val="4285F4"/>
              </a:solidFill>
              <a:ln cmpd="sng">
                <a:solidFill>
                  <a:srgbClr val="000000"/>
                </a:solidFill>
              </a:ln>
            </c:spPr>
          </c:dPt>
          <c:dPt>
            <c:idx val="475"/>
            <c:invertIfNegative val="1"/>
            <c:bubble3D val="0"/>
            <c:spPr>
              <a:solidFill>
                <a:srgbClr val="4285F4"/>
              </a:solidFill>
              <a:ln cmpd="sng">
                <a:solidFill>
                  <a:srgbClr val="000000"/>
                </a:solidFill>
              </a:ln>
            </c:spPr>
          </c:dPt>
          <c:dPt>
            <c:idx val="476"/>
            <c:invertIfNegative val="1"/>
            <c:bubble3D val="0"/>
            <c:spPr>
              <a:solidFill>
                <a:srgbClr val="4285F4"/>
              </a:solidFill>
              <a:ln cmpd="sng">
                <a:solidFill>
                  <a:srgbClr val="000000"/>
                </a:solidFill>
              </a:ln>
            </c:spPr>
          </c:dPt>
          <c:dPt>
            <c:idx val="477"/>
            <c:invertIfNegative val="1"/>
            <c:bubble3D val="0"/>
            <c:spPr>
              <a:solidFill>
                <a:srgbClr val="4285F4"/>
              </a:solidFill>
              <a:ln cmpd="sng">
                <a:solidFill>
                  <a:srgbClr val="000000"/>
                </a:solidFill>
              </a:ln>
            </c:spPr>
          </c:dPt>
          <c:dPt>
            <c:idx val="478"/>
            <c:invertIfNegative val="1"/>
            <c:bubble3D val="0"/>
            <c:spPr>
              <a:solidFill>
                <a:srgbClr val="4285F4"/>
              </a:solidFill>
              <a:ln cmpd="sng">
                <a:solidFill>
                  <a:srgbClr val="000000"/>
                </a:solidFill>
              </a:ln>
            </c:spPr>
          </c:dPt>
          <c:dPt>
            <c:idx val="479"/>
            <c:invertIfNegative val="1"/>
            <c:bubble3D val="0"/>
            <c:spPr>
              <a:solidFill>
                <a:srgbClr val="4285F4"/>
              </a:solidFill>
              <a:ln cmpd="sng">
                <a:solidFill>
                  <a:srgbClr val="000000"/>
                </a:solidFill>
              </a:ln>
            </c:spPr>
          </c:dPt>
          <c:dPt>
            <c:idx val="480"/>
            <c:invertIfNegative val="1"/>
            <c:bubble3D val="0"/>
            <c:spPr>
              <a:solidFill>
                <a:srgbClr val="4285F4"/>
              </a:solidFill>
              <a:ln cmpd="sng">
                <a:solidFill>
                  <a:srgbClr val="000000"/>
                </a:solidFill>
              </a:ln>
            </c:spPr>
          </c:dPt>
          <c:dPt>
            <c:idx val="481"/>
            <c:invertIfNegative val="1"/>
            <c:bubble3D val="0"/>
            <c:spPr>
              <a:solidFill>
                <a:srgbClr val="4285F4"/>
              </a:solidFill>
              <a:ln cmpd="sng">
                <a:solidFill>
                  <a:srgbClr val="000000"/>
                </a:solidFill>
              </a:ln>
            </c:spPr>
          </c:dPt>
          <c:dPt>
            <c:idx val="482"/>
            <c:invertIfNegative val="1"/>
            <c:bubble3D val="0"/>
            <c:spPr>
              <a:solidFill>
                <a:srgbClr val="4285F4"/>
              </a:solidFill>
              <a:ln cmpd="sng">
                <a:solidFill>
                  <a:srgbClr val="000000"/>
                </a:solidFill>
              </a:ln>
            </c:spPr>
          </c:dPt>
          <c:dPt>
            <c:idx val="483"/>
            <c:invertIfNegative val="1"/>
            <c:bubble3D val="0"/>
            <c:spPr>
              <a:solidFill>
                <a:srgbClr val="4285F4"/>
              </a:solidFill>
              <a:ln cmpd="sng">
                <a:solidFill>
                  <a:srgbClr val="000000"/>
                </a:solidFill>
              </a:ln>
            </c:spPr>
          </c:dPt>
          <c:dPt>
            <c:idx val="484"/>
            <c:invertIfNegative val="1"/>
            <c:bubble3D val="0"/>
            <c:spPr>
              <a:solidFill>
                <a:srgbClr val="4285F4"/>
              </a:solidFill>
              <a:ln cmpd="sng">
                <a:solidFill>
                  <a:srgbClr val="000000"/>
                </a:solidFill>
              </a:ln>
            </c:spPr>
          </c:dPt>
          <c:dPt>
            <c:idx val="485"/>
            <c:invertIfNegative val="1"/>
            <c:bubble3D val="0"/>
            <c:spPr>
              <a:solidFill>
                <a:srgbClr val="4285F4"/>
              </a:solidFill>
              <a:ln cmpd="sng">
                <a:solidFill>
                  <a:srgbClr val="000000"/>
                </a:solidFill>
              </a:ln>
            </c:spPr>
          </c:dPt>
          <c:dPt>
            <c:idx val="486"/>
            <c:invertIfNegative val="1"/>
            <c:bubble3D val="0"/>
            <c:spPr>
              <a:solidFill>
                <a:srgbClr val="4285F4"/>
              </a:solidFill>
              <a:ln cmpd="sng">
                <a:solidFill>
                  <a:srgbClr val="000000"/>
                </a:solidFill>
              </a:ln>
            </c:spPr>
          </c:dPt>
          <c:dPt>
            <c:idx val="487"/>
            <c:invertIfNegative val="1"/>
            <c:bubble3D val="0"/>
            <c:spPr>
              <a:solidFill>
                <a:srgbClr val="4285F4"/>
              </a:solidFill>
              <a:ln cmpd="sng">
                <a:solidFill>
                  <a:srgbClr val="000000"/>
                </a:solidFill>
              </a:ln>
            </c:spPr>
          </c:dPt>
          <c:dLbls>
            <c:delete val="1"/>
          </c:dLbls>
          <c:cat>
            <c:numRef>
              <c:f>'Dashboard DN'!$J$13:$J$500</c:f>
              <c:numCache>
                <c:formatCode>dd/mm/yyyy</c:formatCode>
                <c:ptCount val="488"/>
                <c:pt idx="0" c:formatCode="dd/mm/yyyy">
                  <c:v>45085</c:v>
                </c:pt>
                <c:pt idx="1" c:formatCode="dd/mm/yyyy">
                  <c:v>45087</c:v>
                </c:pt>
                <c:pt idx="2" c:formatCode="dd/mm/yyyy">
                  <c:v>45089</c:v>
                </c:pt>
                <c:pt idx="3" c:formatCode="dd/mm/yyyy">
                  <c:v>45092</c:v>
                </c:pt>
                <c:pt idx="4" c:formatCode="dd/mm/yyyy">
                  <c:v>45108</c:v>
                </c:pt>
                <c:pt idx="5" c:formatCode="dd/mm/yyyy">
                  <c:v>45109</c:v>
                </c:pt>
                <c:pt idx="6" c:formatCode="dd/mm/yyyy">
                  <c:v>45110</c:v>
                </c:pt>
                <c:pt idx="7" c:formatCode="dd/mm/yyyy">
                  <c:v>45143</c:v>
                </c:pt>
                <c:pt idx="8" c:formatCode="dd/mm/yyyy">
                  <c:v>45147</c:v>
                </c:pt>
                <c:pt idx="9" c:formatCode="dd/mm/yyyy">
                  <c:v>45156</c:v>
                </c:pt>
                <c:pt idx="10" c:formatCode="dd/mm/yyyy">
                  <c:v>45157</c:v>
                </c:pt>
                <c:pt idx="11" c:formatCode="dd/mm/yyyy">
                  <c:v>45159</c:v>
                </c:pt>
                <c:pt idx="12" c:formatCode="dd/mm/yyyy">
                  <c:v>45160</c:v>
                </c:pt>
                <c:pt idx="13" c:formatCode="dd/mm/yyyy">
                  <c:v>45161</c:v>
                </c:pt>
                <c:pt idx="14" c:formatCode="dd/mm/yyyy">
                  <c:v>45169</c:v>
                </c:pt>
                <c:pt idx="15" c:formatCode="dd/mm/yyyy">
                  <c:v>45170</c:v>
                </c:pt>
                <c:pt idx="16" c:formatCode="dd/mm/yyyy">
                  <c:v>45171</c:v>
                </c:pt>
                <c:pt idx="17" c:formatCode="dd/mm/yyyy">
                  <c:v>45177</c:v>
                </c:pt>
                <c:pt idx="18" c:formatCode="dd/mm/yyyy">
                  <c:v>45178</c:v>
                </c:pt>
                <c:pt idx="19" c:formatCode="d/m/yyyy">
                  <c:v>45216</c:v>
                </c:pt>
                <c:pt idx="20" c:formatCode="d/m/yyyy">
                  <c:v>45220</c:v>
                </c:pt>
                <c:pt idx="21" c:formatCode="d/m/yyyy">
                  <c:v>45225</c:v>
                </c:pt>
              </c:numCache>
            </c:numRef>
          </c:cat>
          <c:val>
            <c:numRef>
              <c:f>'Dashboard DN'!$K$13:$K$500</c:f>
              <c:numCache>
                <c:formatCode>General</c:formatCode>
                <c:ptCount val="488"/>
                <c:pt idx="0">
                  <c:v>1</c:v>
                </c:pt>
                <c:pt idx="1">
                  <c:v>2</c:v>
                </c:pt>
                <c:pt idx="2">
                  <c:v>1</c:v>
                </c:pt>
                <c:pt idx="3">
                  <c:v>1</c:v>
                </c:pt>
                <c:pt idx="4">
                  <c:v>1</c:v>
                </c:pt>
                <c:pt idx="5">
                  <c:v>1</c:v>
                </c:pt>
                <c:pt idx="6">
                  <c:v>1</c:v>
                </c:pt>
                <c:pt idx="7">
                  <c:v>1</c:v>
                </c:pt>
                <c:pt idx="8">
                  <c:v>1</c:v>
                </c:pt>
                <c:pt idx="9">
                  <c:v>1</c:v>
                </c:pt>
                <c:pt idx="10">
                  <c:v>2</c:v>
                </c:pt>
                <c:pt idx="11">
                  <c:v>1</c:v>
                </c:pt>
                <c:pt idx="12">
                  <c:v>2</c:v>
                </c:pt>
                <c:pt idx="13">
                  <c:v>2</c:v>
                </c:pt>
                <c:pt idx="14">
                  <c:v>1</c:v>
                </c:pt>
                <c:pt idx="15">
                  <c:v>1</c:v>
                </c:pt>
                <c:pt idx="16">
                  <c:v>1</c:v>
                </c:pt>
                <c:pt idx="17">
                  <c:v>1</c:v>
                </c:pt>
                <c:pt idx="18">
                  <c:v>1</c:v>
                </c:pt>
                <c:pt idx="19">
                  <c:v>1</c:v>
                </c:pt>
                <c:pt idx="20">
                  <c:v>1</c:v>
                </c:pt>
                <c:pt idx="21">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683055122"/>
        <c:axId val="641223599"/>
      </c:barChart>
      <c:dateAx>
        <c:axId val="683055122"/>
        <c:scaling>
          <c:orientation val="minMax"/>
        </c:scaling>
        <c:delete val="0"/>
        <c:axPos val="b"/>
        <c:title>
          <c:layout/>
          <c:overlay val="0"/>
          <c:tx>
            <c:rich>
              <a:bodyPr/>
              <a:lstStyle/>
              <a:p>
                <a:pPr>
                  <a:defRPr/>
                </a:pPr>
              </a:p>
            </c:rich>
          </c:tx>
        </c:title>
        <c:numFmt formatCode="m/d/yyyy" sourceLinked="1"/>
        <c:majorTickMark val="none"/>
        <c:minorTickMark val="none"/>
        <c:tickLblPos val="nextTo"/>
        <c:txPr>
          <a:bodyPr rot="-60000000" spcFirstLastPara="0" vertOverflow="ellipsis" vert="horz" wrap="square" anchor="ctr" anchorCtr="1"/>
          <a:lstStyle/>
          <a:p>
            <a:pPr>
              <a:defRPr lang="pt-BR" sz="1000" b="0" i="0" u="none" strike="noStrike" kern="1200" baseline="0">
                <a:solidFill>
                  <a:srgbClr val="000000"/>
                </a:solidFill>
                <a:latin typeface="+mn-lt"/>
                <a:ea typeface="+mn-ea"/>
                <a:cs typeface="+mn-cs"/>
              </a:defRPr>
            </a:pPr>
          </a:p>
        </c:txPr>
        <c:crossAx val="641223599"/>
        <c:crosses val="autoZero"/>
        <c:auto val="1"/>
        <c:lblOffset val="100"/>
        <c:baseTimeUnit val="days"/>
      </c:dateAx>
      <c:valAx>
        <c:axId val="641223599"/>
        <c:scaling>
          <c:orientation val="minMax"/>
        </c:scaling>
        <c:delete val="0"/>
        <c:axPos val="l"/>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pt-BR" sz="1000" b="0" i="0" u="none" strike="noStrike" kern="1200" baseline="0">
                <a:solidFill>
                  <a:srgbClr val="000000"/>
                </a:solidFill>
                <a:latin typeface="+mn-lt"/>
                <a:ea typeface="+mn-ea"/>
                <a:cs typeface="+mn-cs"/>
              </a:defRPr>
            </a:pPr>
          </a:p>
        </c:txPr>
        <c:crossAx val="683055122"/>
        <c:crosses val="autoZero"/>
        <c:crossBetween val="between"/>
      </c:valAx>
    </c:plotArea>
    <c:legend>
      <c:legendPos val="r"/>
      <c:layout/>
      <c:overlay val="0"/>
      <c:txPr>
        <a:bodyPr rot="0" spcFirstLastPara="0" vertOverflow="ellipsis" vert="horz" wrap="square" anchor="ctr" anchorCtr="1"/>
        <a:lstStyle/>
        <a:p>
          <a:pPr>
            <a:defRPr lang="pt-BR" sz="1000" b="0" i="0" u="none" strike="noStrike" kern="1200" baseline="0">
              <a:solidFill>
                <a:srgbClr val="1A1A1A"/>
              </a:solidFill>
              <a:latin typeface="+mn-lt"/>
              <a:ea typeface="+mn-ea"/>
              <a:cs typeface="+mn-cs"/>
            </a:defRPr>
          </a:pPr>
        </a:p>
      </c:txPr>
    </c:legend>
    <c:plotVisOnly val="1"/>
    <c:dispBlanksAs val="zero"/>
    <c:showDLblsOverMax val="1"/>
  </c:chart>
  <c:txPr>
    <a:bodyPr/>
    <a:lstStyle/>
    <a:p>
      <a:pPr>
        <a:defRPr lang="pt-B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pt-BR" sz="1800" b="0" i="0" u="none" strike="noStrike" kern="1200" baseline="0">
                <a:solidFill>
                  <a:srgbClr val="757575"/>
                </a:solidFill>
                <a:latin typeface="+mn-lt"/>
                <a:ea typeface="+mn-ea"/>
                <a:cs typeface="+mn-cs"/>
              </a:defRPr>
            </a:pPr>
            <a:r>
              <a:rPr b="0">
                <a:solidFill>
                  <a:srgbClr val="757575"/>
                </a:solidFill>
                <a:latin typeface="+mn-lt"/>
              </a:rPr>
              <a:t>Demanda relacionada ao puerpério no Atende Gestante</a:t>
            </a:r>
            <a:endParaRPr b="0">
              <a:solidFill>
                <a:srgbClr val="757575"/>
              </a:solidFill>
              <a:latin typeface="+mn-lt"/>
            </a:endParaRPr>
          </a:p>
        </c:rich>
      </c:tx>
      <c:layout/>
      <c:overlay val="0"/>
    </c:title>
    <c:autoTitleDeleted val="0"/>
    <c:plotArea>
      <c:layout/>
      <c:barChart>
        <c:barDir val="col"/>
        <c:grouping val="clustered"/>
        <c:varyColors val="1"/>
        <c:ser>
          <c:idx val="0"/>
          <c:order val="0"/>
          <c:spPr>
            <a:solidFill>
              <a:srgbClr val="4285F4"/>
            </a:solidFill>
            <a:ln cmpd="sng">
              <a:solidFill>
                <a:srgbClr val="000000"/>
              </a:solidFill>
            </a:ln>
          </c:spPr>
          <c:invertIfNegative val="1"/>
          <c:dPt>
            <c:idx val="0"/>
            <c:invertIfNegative val="1"/>
            <c:bubble3D val="0"/>
            <c:spPr>
              <a:solidFill>
                <a:srgbClr val="4285F4"/>
              </a:solidFill>
              <a:ln cmpd="sng">
                <a:solidFill>
                  <a:srgbClr val="000000"/>
                </a:solidFill>
              </a:ln>
            </c:spPr>
          </c:dPt>
          <c:dPt>
            <c:idx val="1"/>
            <c:invertIfNegative val="1"/>
            <c:bubble3D val="0"/>
            <c:spPr>
              <a:solidFill>
                <a:srgbClr val="4285F4"/>
              </a:solidFill>
              <a:ln cmpd="sng">
                <a:solidFill>
                  <a:srgbClr val="000000"/>
                </a:solidFill>
              </a:ln>
            </c:spPr>
          </c:dPt>
          <c:dPt>
            <c:idx val="2"/>
            <c:invertIfNegative val="1"/>
            <c:bubble3D val="0"/>
            <c:spPr>
              <a:solidFill>
                <a:srgbClr val="4285F4"/>
              </a:solidFill>
              <a:ln cmpd="sng">
                <a:solidFill>
                  <a:srgbClr val="000000"/>
                </a:solidFill>
              </a:ln>
            </c:spPr>
          </c:dPt>
          <c:dPt>
            <c:idx val="3"/>
            <c:invertIfNegative val="1"/>
            <c:bubble3D val="0"/>
            <c:spPr>
              <a:solidFill>
                <a:srgbClr val="4285F4"/>
              </a:solidFill>
              <a:ln cmpd="sng">
                <a:solidFill>
                  <a:srgbClr val="000000"/>
                </a:solidFill>
              </a:ln>
            </c:spPr>
          </c:dPt>
          <c:dPt>
            <c:idx val="4"/>
            <c:invertIfNegative val="1"/>
            <c:bubble3D val="0"/>
            <c:spPr>
              <a:solidFill>
                <a:srgbClr val="4285F4"/>
              </a:solidFill>
              <a:ln cmpd="sng">
                <a:solidFill>
                  <a:srgbClr val="000000"/>
                </a:solidFill>
              </a:ln>
            </c:spPr>
          </c:dPt>
          <c:dPt>
            <c:idx val="5"/>
            <c:invertIfNegative val="1"/>
            <c:bubble3D val="0"/>
            <c:spPr>
              <a:solidFill>
                <a:srgbClr val="4285F4"/>
              </a:solidFill>
              <a:ln cmpd="sng">
                <a:solidFill>
                  <a:srgbClr val="000000"/>
                </a:solidFill>
              </a:ln>
            </c:spPr>
          </c:dPt>
          <c:dPt>
            <c:idx val="6"/>
            <c:invertIfNegative val="1"/>
            <c:bubble3D val="0"/>
            <c:spPr>
              <a:solidFill>
                <a:srgbClr val="4285F4"/>
              </a:solidFill>
              <a:ln cmpd="sng">
                <a:solidFill>
                  <a:srgbClr val="000000"/>
                </a:solidFill>
              </a:ln>
            </c:spPr>
          </c:dPt>
          <c:dPt>
            <c:idx val="7"/>
            <c:invertIfNegative val="1"/>
            <c:bubble3D val="0"/>
            <c:spPr>
              <a:solidFill>
                <a:srgbClr val="4285F4"/>
              </a:solidFill>
              <a:ln cmpd="sng">
                <a:solidFill>
                  <a:srgbClr val="000000"/>
                </a:solidFill>
              </a:ln>
            </c:spPr>
          </c:dPt>
          <c:dPt>
            <c:idx val="8"/>
            <c:invertIfNegative val="1"/>
            <c:bubble3D val="0"/>
            <c:spPr>
              <a:solidFill>
                <a:srgbClr val="4285F4"/>
              </a:solidFill>
              <a:ln cmpd="sng">
                <a:solidFill>
                  <a:srgbClr val="000000"/>
                </a:solidFill>
              </a:ln>
            </c:spPr>
          </c:dPt>
          <c:dPt>
            <c:idx val="9"/>
            <c:invertIfNegative val="1"/>
            <c:bubble3D val="0"/>
            <c:spPr>
              <a:solidFill>
                <a:srgbClr val="4285F4"/>
              </a:solidFill>
              <a:ln cmpd="sng">
                <a:solidFill>
                  <a:srgbClr val="000000"/>
                </a:solidFill>
              </a:ln>
            </c:spPr>
          </c:dPt>
          <c:dPt>
            <c:idx val="10"/>
            <c:invertIfNegative val="1"/>
            <c:bubble3D val="0"/>
            <c:spPr>
              <a:solidFill>
                <a:srgbClr val="4285F4"/>
              </a:solidFill>
              <a:ln cmpd="sng">
                <a:solidFill>
                  <a:srgbClr val="000000"/>
                </a:solidFill>
              </a:ln>
            </c:spPr>
          </c:dPt>
          <c:dPt>
            <c:idx val="11"/>
            <c:invertIfNegative val="1"/>
            <c:bubble3D val="0"/>
            <c:spPr>
              <a:solidFill>
                <a:srgbClr val="4285F4"/>
              </a:solidFill>
              <a:ln cmpd="sng">
                <a:solidFill>
                  <a:srgbClr val="000000"/>
                </a:solidFill>
              </a:ln>
            </c:spPr>
          </c:dPt>
          <c:dPt>
            <c:idx val="12"/>
            <c:invertIfNegative val="1"/>
            <c:bubble3D val="0"/>
            <c:spPr>
              <a:solidFill>
                <a:srgbClr val="4285F4"/>
              </a:solidFill>
              <a:ln cmpd="sng">
                <a:solidFill>
                  <a:srgbClr val="000000"/>
                </a:solidFill>
              </a:ln>
            </c:spPr>
          </c:dPt>
          <c:dPt>
            <c:idx val="13"/>
            <c:invertIfNegative val="1"/>
            <c:bubble3D val="0"/>
            <c:spPr>
              <a:solidFill>
                <a:srgbClr val="4285F4"/>
              </a:solidFill>
              <a:ln cmpd="sng">
                <a:solidFill>
                  <a:srgbClr val="000000"/>
                </a:solidFill>
              </a:ln>
            </c:spPr>
          </c:dPt>
          <c:dPt>
            <c:idx val="14"/>
            <c:invertIfNegative val="1"/>
            <c:bubble3D val="0"/>
            <c:spPr>
              <a:solidFill>
                <a:srgbClr val="4285F4"/>
              </a:solidFill>
              <a:ln cmpd="sng">
                <a:solidFill>
                  <a:srgbClr val="000000"/>
                </a:solidFill>
              </a:ln>
            </c:spPr>
          </c:dPt>
          <c:dPt>
            <c:idx val="15"/>
            <c:invertIfNegative val="1"/>
            <c:bubble3D val="0"/>
            <c:spPr>
              <a:solidFill>
                <a:srgbClr val="4285F4"/>
              </a:solidFill>
              <a:ln cmpd="sng">
                <a:solidFill>
                  <a:srgbClr val="000000"/>
                </a:solidFill>
              </a:ln>
            </c:spPr>
          </c:dPt>
          <c:dPt>
            <c:idx val="16"/>
            <c:invertIfNegative val="1"/>
            <c:bubble3D val="0"/>
            <c:spPr>
              <a:solidFill>
                <a:srgbClr val="4285F4"/>
              </a:solidFill>
              <a:ln cmpd="sng">
                <a:solidFill>
                  <a:srgbClr val="000000"/>
                </a:solidFill>
              </a:ln>
            </c:spPr>
          </c:dPt>
          <c:dPt>
            <c:idx val="17"/>
            <c:invertIfNegative val="1"/>
            <c:bubble3D val="0"/>
            <c:spPr>
              <a:solidFill>
                <a:srgbClr val="4285F4"/>
              </a:solidFill>
              <a:ln cmpd="sng">
                <a:solidFill>
                  <a:srgbClr val="000000"/>
                </a:solidFill>
              </a:ln>
            </c:spPr>
          </c:dPt>
          <c:dPt>
            <c:idx val="18"/>
            <c:invertIfNegative val="1"/>
            <c:bubble3D val="0"/>
            <c:spPr>
              <a:solidFill>
                <a:srgbClr val="4285F4"/>
              </a:solidFill>
              <a:ln cmpd="sng">
                <a:solidFill>
                  <a:srgbClr val="000000"/>
                </a:solidFill>
              </a:ln>
            </c:spPr>
          </c:dPt>
          <c:dPt>
            <c:idx val="19"/>
            <c:invertIfNegative val="1"/>
            <c:bubble3D val="0"/>
            <c:spPr>
              <a:solidFill>
                <a:srgbClr val="4285F4"/>
              </a:solidFill>
              <a:ln cmpd="sng">
                <a:solidFill>
                  <a:srgbClr val="000000"/>
                </a:solidFill>
              </a:ln>
            </c:spPr>
          </c:dPt>
          <c:dPt>
            <c:idx val="20"/>
            <c:invertIfNegative val="1"/>
            <c:bubble3D val="0"/>
            <c:spPr>
              <a:solidFill>
                <a:srgbClr val="4285F4"/>
              </a:solidFill>
              <a:ln cmpd="sng">
                <a:solidFill>
                  <a:srgbClr val="000000"/>
                </a:solidFill>
              </a:ln>
            </c:spPr>
          </c:dPt>
          <c:dPt>
            <c:idx val="21"/>
            <c:invertIfNegative val="1"/>
            <c:bubble3D val="0"/>
            <c:spPr>
              <a:solidFill>
                <a:srgbClr val="4285F4"/>
              </a:solidFill>
              <a:ln cmpd="sng">
                <a:solidFill>
                  <a:srgbClr val="000000"/>
                </a:solidFill>
              </a:ln>
            </c:spPr>
          </c:dPt>
          <c:dPt>
            <c:idx val="22"/>
            <c:invertIfNegative val="1"/>
            <c:bubble3D val="0"/>
            <c:spPr>
              <a:solidFill>
                <a:srgbClr val="4285F4"/>
              </a:solidFill>
              <a:ln cmpd="sng">
                <a:solidFill>
                  <a:srgbClr val="000000"/>
                </a:solidFill>
              </a:ln>
            </c:spPr>
          </c:dPt>
          <c:dPt>
            <c:idx val="23"/>
            <c:invertIfNegative val="1"/>
            <c:bubble3D val="0"/>
            <c:spPr>
              <a:solidFill>
                <a:srgbClr val="4285F4"/>
              </a:solidFill>
              <a:ln cmpd="sng">
                <a:solidFill>
                  <a:srgbClr val="000000"/>
                </a:solidFill>
              </a:ln>
            </c:spPr>
          </c:dPt>
          <c:dPt>
            <c:idx val="24"/>
            <c:invertIfNegative val="1"/>
            <c:bubble3D val="0"/>
            <c:spPr>
              <a:solidFill>
                <a:srgbClr val="4285F4"/>
              </a:solidFill>
              <a:ln cmpd="sng">
                <a:solidFill>
                  <a:srgbClr val="000000"/>
                </a:solidFill>
              </a:ln>
            </c:spPr>
          </c:dPt>
          <c:dPt>
            <c:idx val="25"/>
            <c:invertIfNegative val="1"/>
            <c:bubble3D val="0"/>
            <c:spPr>
              <a:solidFill>
                <a:srgbClr val="4285F4"/>
              </a:solidFill>
              <a:ln cmpd="sng">
                <a:solidFill>
                  <a:srgbClr val="000000"/>
                </a:solidFill>
              </a:ln>
            </c:spPr>
          </c:dPt>
          <c:dPt>
            <c:idx val="26"/>
            <c:invertIfNegative val="1"/>
            <c:bubble3D val="0"/>
            <c:spPr>
              <a:solidFill>
                <a:srgbClr val="4285F4"/>
              </a:solidFill>
              <a:ln cmpd="sng">
                <a:solidFill>
                  <a:srgbClr val="000000"/>
                </a:solidFill>
              </a:ln>
            </c:spPr>
          </c:dPt>
          <c:dPt>
            <c:idx val="27"/>
            <c:invertIfNegative val="1"/>
            <c:bubble3D val="0"/>
            <c:spPr>
              <a:solidFill>
                <a:srgbClr val="4285F4"/>
              </a:solidFill>
              <a:ln cmpd="sng">
                <a:solidFill>
                  <a:srgbClr val="000000"/>
                </a:solidFill>
              </a:ln>
            </c:spPr>
          </c:dPt>
          <c:dPt>
            <c:idx val="28"/>
            <c:invertIfNegative val="1"/>
            <c:bubble3D val="0"/>
            <c:spPr>
              <a:solidFill>
                <a:srgbClr val="4285F4"/>
              </a:solidFill>
              <a:ln cmpd="sng">
                <a:solidFill>
                  <a:srgbClr val="000000"/>
                </a:solidFill>
              </a:ln>
            </c:spPr>
          </c:dPt>
          <c:dPt>
            <c:idx val="29"/>
            <c:invertIfNegative val="1"/>
            <c:bubble3D val="0"/>
            <c:spPr>
              <a:solidFill>
                <a:srgbClr val="4285F4"/>
              </a:solidFill>
              <a:ln cmpd="sng">
                <a:solidFill>
                  <a:srgbClr val="000000"/>
                </a:solidFill>
              </a:ln>
            </c:spPr>
          </c:dPt>
          <c:dPt>
            <c:idx val="30"/>
            <c:invertIfNegative val="1"/>
            <c:bubble3D val="0"/>
            <c:spPr>
              <a:solidFill>
                <a:srgbClr val="4285F4"/>
              </a:solidFill>
              <a:ln cmpd="sng">
                <a:solidFill>
                  <a:srgbClr val="000000"/>
                </a:solidFill>
              </a:ln>
            </c:spPr>
          </c:dPt>
          <c:dPt>
            <c:idx val="31"/>
            <c:invertIfNegative val="1"/>
            <c:bubble3D val="0"/>
            <c:spPr>
              <a:solidFill>
                <a:srgbClr val="4285F4"/>
              </a:solidFill>
              <a:ln cmpd="sng">
                <a:solidFill>
                  <a:srgbClr val="000000"/>
                </a:solidFill>
              </a:ln>
            </c:spPr>
          </c:dPt>
          <c:dPt>
            <c:idx val="32"/>
            <c:invertIfNegative val="1"/>
            <c:bubble3D val="0"/>
            <c:spPr>
              <a:solidFill>
                <a:srgbClr val="4285F4"/>
              </a:solidFill>
              <a:ln cmpd="sng">
                <a:solidFill>
                  <a:srgbClr val="000000"/>
                </a:solidFill>
              </a:ln>
            </c:spPr>
          </c:dPt>
          <c:dPt>
            <c:idx val="33"/>
            <c:invertIfNegative val="1"/>
            <c:bubble3D val="0"/>
            <c:spPr>
              <a:solidFill>
                <a:srgbClr val="4285F4"/>
              </a:solidFill>
              <a:ln cmpd="sng">
                <a:solidFill>
                  <a:srgbClr val="000000"/>
                </a:solidFill>
              </a:ln>
            </c:spPr>
          </c:dPt>
          <c:dPt>
            <c:idx val="34"/>
            <c:invertIfNegative val="1"/>
            <c:bubble3D val="0"/>
            <c:spPr>
              <a:solidFill>
                <a:srgbClr val="4285F4"/>
              </a:solidFill>
              <a:ln cmpd="sng">
                <a:solidFill>
                  <a:srgbClr val="000000"/>
                </a:solidFill>
              </a:ln>
            </c:spPr>
          </c:dPt>
          <c:dPt>
            <c:idx val="35"/>
            <c:invertIfNegative val="1"/>
            <c:bubble3D val="0"/>
            <c:spPr>
              <a:solidFill>
                <a:srgbClr val="4285F4"/>
              </a:solidFill>
              <a:ln cmpd="sng">
                <a:solidFill>
                  <a:srgbClr val="000000"/>
                </a:solidFill>
              </a:ln>
            </c:spPr>
          </c:dPt>
          <c:dPt>
            <c:idx val="36"/>
            <c:invertIfNegative val="1"/>
            <c:bubble3D val="0"/>
            <c:spPr>
              <a:solidFill>
                <a:srgbClr val="4285F4"/>
              </a:solidFill>
              <a:ln cmpd="sng">
                <a:solidFill>
                  <a:srgbClr val="000000"/>
                </a:solidFill>
              </a:ln>
            </c:spPr>
          </c:dPt>
          <c:dPt>
            <c:idx val="37"/>
            <c:invertIfNegative val="1"/>
            <c:bubble3D val="0"/>
            <c:spPr>
              <a:solidFill>
                <a:srgbClr val="4285F4"/>
              </a:solidFill>
              <a:ln cmpd="sng">
                <a:solidFill>
                  <a:srgbClr val="000000"/>
                </a:solidFill>
              </a:ln>
            </c:spPr>
          </c:dPt>
          <c:dPt>
            <c:idx val="38"/>
            <c:invertIfNegative val="1"/>
            <c:bubble3D val="0"/>
            <c:spPr>
              <a:solidFill>
                <a:srgbClr val="4285F4"/>
              </a:solidFill>
              <a:ln cmpd="sng">
                <a:solidFill>
                  <a:srgbClr val="000000"/>
                </a:solidFill>
              </a:ln>
            </c:spPr>
          </c:dPt>
          <c:dPt>
            <c:idx val="39"/>
            <c:invertIfNegative val="1"/>
            <c:bubble3D val="0"/>
            <c:spPr>
              <a:solidFill>
                <a:srgbClr val="4285F4"/>
              </a:solidFill>
              <a:ln cmpd="sng">
                <a:solidFill>
                  <a:srgbClr val="000000"/>
                </a:solidFill>
              </a:ln>
            </c:spPr>
          </c:dPt>
          <c:dPt>
            <c:idx val="40"/>
            <c:invertIfNegative val="1"/>
            <c:bubble3D val="0"/>
            <c:spPr>
              <a:solidFill>
                <a:srgbClr val="4285F4"/>
              </a:solidFill>
              <a:ln cmpd="sng">
                <a:solidFill>
                  <a:srgbClr val="000000"/>
                </a:solidFill>
              </a:ln>
            </c:spPr>
          </c:dPt>
          <c:dPt>
            <c:idx val="41"/>
            <c:invertIfNegative val="1"/>
            <c:bubble3D val="0"/>
            <c:spPr>
              <a:solidFill>
                <a:srgbClr val="4285F4"/>
              </a:solidFill>
              <a:ln cmpd="sng">
                <a:solidFill>
                  <a:srgbClr val="000000"/>
                </a:solidFill>
              </a:ln>
            </c:spPr>
          </c:dPt>
          <c:dPt>
            <c:idx val="42"/>
            <c:invertIfNegative val="1"/>
            <c:bubble3D val="0"/>
            <c:spPr>
              <a:solidFill>
                <a:srgbClr val="4285F4"/>
              </a:solidFill>
              <a:ln cmpd="sng">
                <a:solidFill>
                  <a:srgbClr val="000000"/>
                </a:solidFill>
              </a:ln>
            </c:spPr>
          </c:dPt>
          <c:dPt>
            <c:idx val="43"/>
            <c:invertIfNegative val="1"/>
            <c:bubble3D val="0"/>
            <c:spPr>
              <a:solidFill>
                <a:srgbClr val="4285F4"/>
              </a:solidFill>
              <a:ln cmpd="sng">
                <a:solidFill>
                  <a:srgbClr val="000000"/>
                </a:solidFill>
              </a:ln>
            </c:spPr>
          </c:dPt>
          <c:dPt>
            <c:idx val="44"/>
            <c:invertIfNegative val="1"/>
            <c:bubble3D val="0"/>
            <c:spPr>
              <a:solidFill>
                <a:srgbClr val="4285F4"/>
              </a:solidFill>
              <a:ln cmpd="sng">
                <a:solidFill>
                  <a:srgbClr val="000000"/>
                </a:solidFill>
              </a:ln>
            </c:spPr>
          </c:dPt>
          <c:dPt>
            <c:idx val="45"/>
            <c:invertIfNegative val="1"/>
            <c:bubble3D val="0"/>
            <c:spPr>
              <a:solidFill>
                <a:srgbClr val="4285F4"/>
              </a:solidFill>
              <a:ln cmpd="sng">
                <a:solidFill>
                  <a:srgbClr val="000000"/>
                </a:solidFill>
              </a:ln>
            </c:spPr>
          </c:dPt>
          <c:dPt>
            <c:idx val="46"/>
            <c:invertIfNegative val="1"/>
            <c:bubble3D val="0"/>
            <c:spPr>
              <a:solidFill>
                <a:srgbClr val="4285F4"/>
              </a:solidFill>
              <a:ln cmpd="sng">
                <a:solidFill>
                  <a:srgbClr val="000000"/>
                </a:solidFill>
              </a:ln>
            </c:spPr>
          </c:dPt>
          <c:dPt>
            <c:idx val="47"/>
            <c:invertIfNegative val="1"/>
            <c:bubble3D val="0"/>
            <c:spPr>
              <a:solidFill>
                <a:srgbClr val="4285F4"/>
              </a:solidFill>
              <a:ln cmpd="sng">
                <a:solidFill>
                  <a:srgbClr val="000000"/>
                </a:solidFill>
              </a:ln>
            </c:spPr>
          </c:dPt>
          <c:dPt>
            <c:idx val="48"/>
            <c:invertIfNegative val="1"/>
            <c:bubble3D val="0"/>
            <c:spPr>
              <a:solidFill>
                <a:srgbClr val="4285F4"/>
              </a:solidFill>
              <a:ln cmpd="sng">
                <a:solidFill>
                  <a:srgbClr val="000000"/>
                </a:solidFill>
              </a:ln>
            </c:spPr>
          </c:dPt>
          <c:dPt>
            <c:idx val="49"/>
            <c:invertIfNegative val="1"/>
            <c:bubble3D val="0"/>
            <c:spPr>
              <a:solidFill>
                <a:srgbClr val="4285F4"/>
              </a:solidFill>
              <a:ln cmpd="sng">
                <a:solidFill>
                  <a:srgbClr val="000000"/>
                </a:solidFill>
              </a:ln>
            </c:spPr>
          </c:dPt>
          <c:dPt>
            <c:idx val="50"/>
            <c:invertIfNegative val="1"/>
            <c:bubble3D val="0"/>
            <c:spPr>
              <a:solidFill>
                <a:srgbClr val="4285F4"/>
              </a:solidFill>
              <a:ln cmpd="sng">
                <a:solidFill>
                  <a:srgbClr val="000000"/>
                </a:solidFill>
              </a:ln>
            </c:spPr>
          </c:dPt>
          <c:dPt>
            <c:idx val="51"/>
            <c:invertIfNegative val="1"/>
            <c:bubble3D val="0"/>
            <c:spPr>
              <a:solidFill>
                <a:srgbClr val="4285F4"/>
              </a:solidFill>
              <a:ln cmpd="sng">
                <a:solidFill>
                  <a:srgbClr val="000000"/>
                </a:solidFill>
              </a:ln>
            </c:spPr>
          </c:dPt>
          <c:dPt>
            <c:idx val="52"/>
            <c:invertIfNegative val="1"/>
            <c:bubble3D val="0"/>
            <c:spPr>
              <a:solidFill>
                <a:srgbClr val="4285F4"/>
              </a:solidFill>
              <a:ln cmpd="sng">
                <a:solidFill>
                  <a:srgbClr val="000000"/>
                </a:solidFill>
              </a:ln>
            </c:spPr>
          </c:dPt>
          <c:dPt>
            <c:idx val="53"/>
            <c:invertIfNegative val="1"/>
            <c:bubble3D val="0"/>
            <c:spPr>
              <a:solidFill>
                <a:srgbClr val="4285F4"/>
              </a:solidFill>
              <a:ln cmpd="sng">
                <a:solidFill>
                  <a:srgbClr val="000000"/>
                </a:solidFill>
              </a:ln>
            </c:spPr>
          </c:dPt>
          <c:dPt>
            <c:idx val="54"/>
            <c:invertIfNegative val="1"/>
            <c:bubble3D val="0"/>
            <c:spPr>
              <a:solidFill>
                <a:srgbClr val="4285F4"/>
              </a:solidFill>
              <a:ln cmpd="sng">
                <a:solidFill>
                  <a:srgbClr val="000000"/>
                </a:solidFill>
              </a:ln>
            </c:spPr>
          </c:dPt>
          <c:dPt>
            <c:idx val="55"/>
            <c:invertIfNegative val="1"/>
            <c:bubble3D val="0"/>
            <c:spPr>
              <a:solidFill>
                <a:srgbClr val="4285F4"/>
              </a:solidFill>
              <a:ln cmpd="sng">
                <a:solidFill>
                  <a:srgbClr val="000000"/>
                </a:solidFill>
              </a:ln>
            </c:spPr>
          </c:dPt>
          <c:dPt>
            <c:idx val="56"/>
            <c:invertIfNegative val="1"/>
            <c:bubble3D val="0"/>
            <c:spPr>
              <a:solidFill>
                <a:srgbClr val="4285F4"/>
              </a:solidFill>
              <a:ln cmpd="sng">
                <a:solidFill>
                  <a:srgbClr val="000000"/>
                </a:solidFill>
              </a:ln>
            </c:spPr>
          </c:dPt>
          <c:dPt>
            <c:idx val="57"/>
            <c:invertIfNegative val="1"/>
            <c:bubble3D val="0"/>
            <c:spPr>
              <a:solidFill>
                <a:srgbClr val="4285F4"/>
              </a:solidFill>
              <a:ln cmpd="sng">
                <a:solidFill>
                  <a:srgbClr val="000000"/>
                </a:solidFill>
              </a:ln>
            </c:spPr>
          </c:dPt>
          <c:dPt>
            <c:idx val="58"/>
            <c:invertIfNegative val="1"/>
            <c:bubble3D val="0"/>
            <c:spPr>
              <a:solidFill>
                <a:srgbClr val="4285F4"/>
              </a:solidFill>
              <a:ln cmpd="sng">
                <a:solidFill>
                  <a:srgbClr val="000000"/>
                </a:solidFill>
              </a:ln>
            </c:spPr>
          </c:dPt>
          <c:dPt>
            <c:idx val="59"/>
            <c:invertIfNegative val="1"/>
            <c:bubble3D val="0"/>
            <c:spPr>
              <a:solidFill>
                <a:srgbClr val="4285F4"/>
              </a:solidFill>
              <a:ln cmpd="sng">
                <a:solidFill>
                  <a:srgbClr val="000000"/>
                </a:solidFill>
              </a:ln>
            </c:spPr>
          </c:dPt>
          <c:dPt>
            <c:idx val="60"/>
            <c:invertIfNegative val="1"/>
            <c:bubble3D val="0"/>
            <c:spPr>
              <a:solidFill>
                <a:srgbClr val="4285F4"/>
              </a:solidFill>
              <a:ln cmpd="sng">
                <a:solidFill>
                  <a:srgbClr val="000000"/>
                </a:solidFill>
              </a:ln>
            </c:spPr>
          </c:dPt>
          <c:dPt>
            <c:idx val="61"/>
            <c:invertIfNegative val="1"/>
            <c:bubble3D val="0"/>
            <c:spPr>
              <a:solidFill>
                <a:srgbClr val="4285F4"/>
              </a:solidFill>
              <a:ln cmpd="sng">
                <a:solidFill>
                  <a:srgbClr val="000000"/>
                </a:solidFill>
              </a:ln>
            </c:spPr>
          </c:dPt>
          <c:dPt>
            <c:idx val="62"/>
            <c:invertIfNegative val="1"/>
            <c:bubble3D val="0"/>
            <c:spPr>
              <a:solidFill>
                <a:srgbClr val="4285F4"/>
              </a:solidFill>
              <a:ln cmpd="sng">
                <a:solidFill>
                  <a:srgbClr val="000000"/>
                </a:solidFill>
              </a:ln>
            </c:spPr>
          </c:dPt>
          <c:dPt>
            <c:idx val="63"/>
            <c:invertIfNegative val="1"/>
            <c:bubble3D val="0"/>
            <c:spPr>
              <a:solidFill>
                <a:srgbClr val="4285F4"/>
              </a:solidFill>
              <a:ln cmpd="sng">
                <a:solidFill>
                  <a:srgbClr val="000000"/>
                </a:solidFill>
              </a:ln>
            </c:spPr>
          </c:dPt>
          <c:dPt>
            <c:idx val="64"/>
            <c:invertIfNegative val="1"/>
            <c:bubble3D val="0"/>
            <c:spPr>
              <a:solidFill>
                <a:srgbClr val="4285F4"/>
              </a:solidFill>
              <a:ln cmpd="sng">
                <a:solidFill>
                  <a:srgbClr val="000000"/>
                </a:solidFill>
              </a:ln>
            </c:spPr>
          </c:dPt>
          <c:dPt>
            <c:idx val="65"/>
            <c:invertIfNegative val="1"/>
            <c:bubble3D val="0"/>
            <c:spPr>
              <a:solidFill>
                <a:srgbClr val="4285F4"/>
              </a:solidFill>
              <a:ln cmpd="sng">
                <a:solidFill>
                  <a:srgbClr val="000000"/>
                </a:solidFill>
              </a:ln>
            </c:spPr>
          </c:dPt>
          <c:dPt>
            <c:idx val="66"/>
            <c:invertIfNegative val="1"/>
            <c:bubble3D val="0"/>
            <c:spPr>
              <a:solidFill>
                <a:srgbClr val="4285F4"/>
              </a:solidFill>
              <a:ln cmpd="sng">
                <a:solidFill>
                  <a:srgbClr val="000000"/>
                </a:solidFill>
              </a:ln>
            </c:spPr>
          </c:dPt>
          <c:dPt>
            <c:idx val="67"/>
            <c:invertIfNegative val="1"/>
            <c:bubble3D val="0"/>
            <c:spPr>
              <a:solidFill>
                <a:srgbClr val="4285F4"/>
              </a:solidFill>
              <a:ln cmpd="sng">
                <a:solidFill>
                  <a:srgbClr val="000000"/>
                </a:solidFill>
              </a:ln>
            </c:spPr>
          </c:dPt>
          <c:dPt>
            <c:idx val="68"/>
            <c:invertIfNegative val="1"/>
            <c:bubble3D val="0"/>
            <c:spPr>
              <a:solidFill>
                <a:srgbClr val="4285F4"/>
              </a:solidFill>
              <a:ln cmpd="sng">
                <a:solidFill>
                  <a:srgbClr val="000000"/>
                </a:solidFill>
              </a:ln>
            </c:spPr>
          </c:dPt>
          <c:dPt>
            <c:idx val="69"/>
            <c:invertIfNegative val="1"/>
            <c:bubble3D val="0"/>
            <c:spPr>
              <a:solidFill>
                <a:srgbClr val="4285F4"/>
              </a:solidFill>
              <a:ln cmpd="sng">
                <a:solidFill>
                  <a:srgbClr val="000000"/>
                </a:solidFill>
              </a:ln>
            </c:spPr>
          </c:dPt>
          <c:dPt>
            <c:idx val="70"/>
            <c:invertIfNegative val="1"/>
            <c:bubble3D val="0"/>
            <c:spPr>
              <a:solidFill>
                <a:srgbClr val="4285F4"/>
              </a:solidFill>
              <a:ln cmpd="sng">
                <a:solidFill>
                  <a:srgbClr val="000000"/>
                </a:solidFill>
              </a:ln>
            </c:spPr>
          </c:dPt>
          <c:dPt>
            <c:idx val="71"/>
            <c:invertIfNegative val="1"/>
            <c:bubble3D val="0"/>
            <c:spPr>
              <a:solidFill>
                <a:srgbClr val="4285F4"/>
              </a:solidFill>
              <a:ln cmpd="sng">
                <a:solidFill>
                  <a:srgbClr val="000000"/>
                </a:solidFill>
              </a:ln>
            </c:spPr>
          </c:dPt>
          <c:dPt>
            <c:idx val="72"/>
            <c:invertIfNegative val="1"/>
            <c:bubble3D val="0"/>
            <c:spPr>
              <a:solidFill>
                <a:srgbClr val="4285F4"/>
              </a:solidFill>
              <a:ln cmpd="sng">
                <a:solidFill>
                  <a:srgbClr val="000000"/>
                </a:solidFill>
              </a:ln>
            </c:spPr>
          </c:dPt>
          <c:dPt>
            <c:idx val="73"/>
            <c:invertIfNegative val="1"/>
            <c:bubble3D val="0"/>
            <c:spPr>
              <a:solidFill>
                <a:srgbClr val="4285F4"/>
              </a:solidFill>
              <a:ln cmpd="sng">
                <a:solidFill>
                  <a:srgbClr val="000000"/>
                </a:solidFill>
              </a:ln>
            </c:spPr>
          </c:dPt>
          <c:dPt>
            <c:idx val="74"/>
            <c:invertIfNegative val="1"/>
            <c:bubble3D val="0"/>
            <c:spPr>
              <a:solidFill>
                <a:srgbClr val="4285F4"/>
              </a:solidFill>
              <a:ln cmpd="sng">
                <a:solidFill>
                  <a:srgbClr val="000000"/>
                </a:solidFill>
              </a:ln>
            </c:spPr>
          </c:dPt>
          <c:dPt>
            <c:idx val="75"/>
            <c:invertIfNegative val="1"/>
            <c:bubble3D val="0"/>
            <c:spPr>
              <a:solidFill>
                <a:srgbClr val="4285F4"/>
              </a:solidFill>
              <a:ln cmpd="sng">
                <a:solidFill>
                  <a:srgbClr val="000000"/>
                </a:solidFill>
              </a:ln>
            </c:spPr>
          </c:dPt>
          <c:dPt>
            <c:idx val="76"/>
            <c:invertIfNegative val="1"/>
            <c:bubble3D val="0"/>
            <c:spPr>
              <a:solidFill>
                <a:srgbClr val="4285F4"/>
              </a:solidFill>
              <a:ln cmpd="sng">
                <a:solidFill>
                  <a:srgbClr val="000000"/>
                </a:solidFill>
              </a:ln>
            </c:spPr>
          </c:dPt>
          <c:dPt>
            <c:idx val="77"/>
            <c:invertIfNegative val="1"/>
            <c:bubble3D val="0"/>
            <c:spPr>
              <a:solidFill>
                <a:srgbClr val="4285F4"/>
              </a:solidFill>
              <a:ln cmpd="sng">
                <a:solidFill>
                  <a:srgbClr val="000000"/>
                </a:solidFill>
              </a:ln>
            </c:spPr>
          </c:dPt>
          <c:dPt>
            <c:idx val="78"/>
            <c:invertIfNegative val="1"/>
            <c:bubble3D val="0"/>
            <c:spPr>
              <a:solidFill>
                <a:srgbClr val="4285F4"/>
              </a:solidFill>
              <a:ln cmpd="sng">
                <a:solidFill>
                  <a:srgbClr val="000000"/>
                </a:solidFill>
              </a:ln>
            </c:spPr>
          </c:dPt>
          <c:dPt>
            <c:idx val="79"/>
            <c:invertIfNegative val="1"/>
            <c:bubble3D val="0"/>
            <c:spPr>
              <a:solidFill>
                <a:srgbClr val="4285F4"/>
              </a:solidFill>
              <a:ln cmpd="sng">
                <a:solidFill>
                  <a:srgbClr val="000000"/>
                </a:solidFill>
              </a:ln>
            </c:spPr>
          </c:dPt>
          <c:dPt>
            <c:idx val="80"/>
            <c:invertIfNegative val="1"/>
            <c:bubble3D val="0"/>
            <c:spPr>
              <a:solidFill>
                <a:srgbClr val="4285F4"/>
              </a:solidFill>
              <a:ln cmpd="sng">
                <a:solidFill>
                  <a:srgbClr val="000000"/>
                </a:solidFill>
              </a:ln>
            </c:spPr>
          </c:dPt>
          <c:dPt>
            <c:idx val="81"/>
            <c:invertIfNegative val="1"/>
            <c:bubble3D val="0"/>
            <c:spPr>
              <a:solidFill>
                <a:srgbClr val="4285F4"/>
              </a:solidFill>
              <a:ln cmpd="sng">
                <a:solidFill>
                  <a:srgbClr val="000000"/>
                </a:solidFill>
              </a:ln>
            </c:spPr>
          </c:dPt>
          <c:dPt>
            <c:idx val="82"/>
            <c:invertIfNegative val="1"/>
            <c:bubble3D val="0"/>
            <c:spPr>
              <a:solidFill>
                <a:srgbClr val="4285F4"/>
              </a:solidFill>
              <a:ln cmpd="sng">
                <a:solidFill>
                  <a:srgbClr val="000000"/>
                </a:solidFill>
              </a:ln>
            </c:spPr>
          </c:dPt>
          <c:dPt>
            <c:idx val="83"/>
            <c:invertIfNegative val="1"/>
            <c:bubble3D val="0"/>
            <c:spPr>
              <a:solidFill>
                <a:srgbClr val="4285F4"/>
              </a:solidFill>
              <a:ln cmpd="sng">
                <a:solidFill>
                  <a:srgbClr val="000000"/>
                </a:solidFill>
              </a:ln>
            </c:spPr>
          </c:dPt>
          <c:dPt>
            <c:idx val="84"/>
            <c:invertIfNegative val="1"/>
            <c:bubble3D val="0"/>
            <c:spPr>
              <a:solidFill>
                <a:srgbClr val="4285F4"/>
              </a:solidFill>
              <a:ln cmpd="sng">
                <a:solidFill>
                  <a:srgbClr val="000000"/>
                </a:solidFill>
              </a:ln>
            </c:spPr>
          </c:dPt>
          <c:dPt>
            <c:idx val="85"/>
            <c:invertIfNegative val="1"/>
            <c:bubble3D val="0"/>
            <c:spPr>
              <a:solidFill>
                <a:srgbClr val="4285F4"/>
              </a:solidFill>
              <a:ln cmpd="sng">
                <a:solidFill>
                  <a:srgbClr val="000000"/>
                </a:solidFill>
              </a:ln>
            </c:spPr>
          </c:dPt>
          <c:dPt>
            <c:idx val="86"/>
            <c:invertIfNegative val="1"/>
            <c:bubble3D val="0"/>
            <c:spPr>
              <a:solidFill>
                <a:srgbClr val="4285F4"/>
              </a:solidFill>
              <a:ln cmpd="sng">
                <a:solidFill>
                  <a:srgbClr val="000000"/>
                </a:solidFill>
              </a:ln>
            </c:spPr>
          </c:dPt>
          <c:dPt>
            <c:idx val="87"/>
            <c:invertIfNegative val="1"/>
            <c:bubble3D val="0"/>
            <c:spPr>
              <a:solidFill>
                <a:srgbClr val="4285F4"/>
              </a:solidFill>
              <a:ln cmpd="sng">
                <a:solidFill>
                  <a:srgbClr val="000000"/>
                </a:solidFill>
              </a:ln>
            </c:spPr>
          </c:dPt>
          <c:dPt>
            <c:idx val="88"/>
            <c:invertIfNegative val="1"/>
            <c:bubble3D val="0"/>
            <c:spPr>
              <a:solidFill>
                <a:srgbClr val="4285F4"/>
              </a:solidFill>
              <a:ln cmpd="sng">
                <a:solidFill>
                  <a:srgbClr val="000000"/>
                </a:solidFill>
              </a:ln>
            </c:spPr>
          </c:dPt>
          <c:dPt>
            <c:idx val="89"/>
            <c:invertIfNegative val="1"/>
            <c:bubble3D val="0"/>
            <c:spPr>
              <a:solidFill>
                <a:srgbClr val="4285F4"/>
              </a:solidFill>
              <a:ln cmpd="sng">
                <a:solidFill>
                  <a:srgbClr val="000000"/>
                </a:solidFill>
              </a:ln>
            </c:spPr>
          </c:dPt>
          <c:dPt>
            <c:idx val="90"/>
            <c:invertIfNegative val="1"/>
            <c:bubble3D val="0"/>
            <c:spPr>
              <a:solidFill>
                <a:srgbClr val="4285F4"/>
              </a:solidFill>
              <a:ln cmpd="sng">
                <a:solidFill>
                  <a:srgbClr val="000000"/>
                </a:solidFill>
              </a:ln>
            </c:spPr>
          </c:dPt>
          <c:dPt>
            <c:idx val="91"/>
            <c:invertIfNegative val="1"/>
            <c:bubble3D val="0"/>
            <c:spPr>
              <a:solidFill>
                <a:srgbClr val="4285F4"/>
              </a:solidFill>
              <a:ln cmpd="sng">
                <a:solidFill>
                  <a:srgbClr val="000000"/>
                </a:solidFill>
              </a:ln>
            </c:spPr>
          </c:dPt>
          <c:dPt>
            <c:idx val="92"/>
            <c:invertIfNegative val="1"/>
            <c:bubble3D val="0"/>
            <c:spPr>
              <a:solidFill>
                <a:srgbClr val="4285F4"/>
              </a:solidFill>
              <a:ln cmpd="sng">
                <a:solidFill>
                  <a:srgbClr val="000000"/>
                </a:solidFill>
              </a:ln>
            </c:spPr>
          </c:dPt>
          <c:dPt>
            <c:idx val="93"/>
            <c:invertIfNegative val="1"/>
            <c:bubble3D val="0"/>
            <c:spPr>
              <a:solidFill>
                <a:srgbClr val="4285F4"/>
              </a:solidFill>
              <a:ln cmpd="sng">
                <a:solidFill>
                  <a:srgbClr val="000000"/>
                </a:solidFill>
              </a:ln>
            </c:spPr>
          </c:dPt>
          <c:dPt>
            <c:idx val="94"/>
            <c:invertIfNegative val="1"/>
            <c:bubble3D val="0"/>
            <c:spPr>
              <a:solidFill>
                <a:srgbClr val="4285F4"/>
              </a:solidFill>
              <a:ln cmpd="sng">
                <a:solidFill>
                  <a:srgbClr val="000000"/>
                </a:solidFill>
              </a:ln>
            </c:spPr>
          </c:dPt>
          <c:dPt>
            <c:idx val="95"/>
            <c:invertIfNegative val="1"/>
            <c:bubble3D val="0"/>
            <c:spPr>
              <a:solidFill>
                <a:srgbClr val="4285F4"/>
              </a:solidFill>
              <a:ln cmpd="sng">
                <a:solidFill>
                  <a:srgbClr val="000000"/>
                </a:solidFill>
              </a:ln>
            </c:spPr>
          </c:dPt>
          <c:dPt>
            <c:idx val="96"/>
            <c:invertIfNegative val="1"/>
            <c:bubble3D val="0"/>
            <c:spPr>
              <a:solidFill>
                <a:srgbClr val="4285F4"/>
              </a:solidFill>
              <a:ln cmpd="sng">
                <a:solidFill>
                  <a:srgbClr val="000000"/>
                </a:solidFill>
              </a:ln>
            </c:spPr>
          </c:dPt>
          <c:dPt>
            <c:idx val="97"/>
            <c:invertIfNegative val="1"/>
            <c:bubble3D val="0"/>
            <c:spPr>
              <a:solidFill>
                <a:srgbClr val="4285F4"/>
              </a:solidFill>
              <a:ln cmpd="sng">
                <a:solidFill>
                  <a:srgbClr val="000000"/>
                </a:solidFill>
              </a:ln>
            </c:spPr>
          </c:dPt>
          <c:dPt>
            <c:idx val="98"/>
            <c:invertIfNegative val="1"/>
            <c:bubble3D val="0"/>
            <c:spPr>
              <a:solidFill>
                <a:srgbClr val="4285F4"/>
              </a:solidFill>
              <a:ln cmpd="sng">
                <a:solidFill>
                  <a:srgbClr val="000000"/>
                </a:solidFill>
              </a:ln>
            </c:spPr>
          </c:dPt>
          <c:dPt>
            <c:idx val="99"/>
            <c:invertIfNegative val="1"/>
            <c:bubble3D val="0"/>
            <c:spPr>
              <a:solidFill>
                <a:srgbClr val="4285F4"/>
              </a:solidFill>
              <a:ln cmpd="sng">
                <a:solidFill>
                  <a:srgbClr val="000000"/>
                </a:solidFill>
              </a:ln>
            </c:spPr>
          </c:dPt>
          <c:dPt>
            <c:idx val="100"/>
            <c:invertIfNegative val="1"/>
            <c:bubble3D val="0"/>
            <c:spPr>
              <a:solidFill>
                <a:srgbClr val="4285F4"/>
              </a:solidFill>
              <a:ln cmpd="sng">
                <a:solidFill>
                  <a:srgbClr val="000000"/>
                </a:solidFill>
              </a:ln>
            </c:spPr>
          </c:dPt>
          <c:dPt>
            <c:idx val="101"/>
            <c:invertIfNegative val="1"/>
            <c:bubble3D val="0"/>
            <c:spPr>
              <a:solidFill>
                <a:srgbClr val="4285F4"/>
              </a:solidFill>
              <a:ln cmpd="sng">
                <a:solidFill>
                  <a:srgbClr val="000000"/>
                </a:solidFill>
              </a:ln>
            </c:spPr>
          </c:dPt>
          <c:dPt>
            <c:idx val="102"/>
            <c:invertIfNegative val="1"/>
            <c:bubble3D val="0"/>
            <c:spPr>
              <a:solidFill>
                <a:srgbClr val="4285F4"/>
              </a:solidFill>
              <a:ln cmpd="sng">
                <a:solidFill>
                  <a:srgbClr val="000000"/>
                </a:solidFill>
              </a:ln>
            </c:spPr>
          </c:dPt>
          <c:dPt>
            <c:idx val="103"/>
            <c:invertIfNegative val="1"/>
            <c:bubble3D val="0"/>
            <c:spPr>
              <a:solidFill>
                <a:srgbClr val="4285F4"/>
              </a:solidFill>
              <a:ln cmpd="sng">
                <a:solidFill>
                  <a:srgbClr val="000000"/>
                </a:solidFill>
              </a:ln>
            </c:spPr>
          </c:dPt>
          <c:dPt>
            <c:idx val="104"/>
            <c:invertIfNegative val="1"/>
            <c:bubble3D val="0"/>
            <c:spPr>
              <a:solidFill>
                <a:srgbClr val="4285F4"/>
              </a:solidFill>
              <a:ln cmpd="sng">
                <a:solidFill>
                  <a:srgbClr val="000000"/>
                </a:solidFill>
              </a:ln>
            </c:spPr>
          </c:dPt>
          <c:dPt>
            <c:idx val="105"/>
            <c:invertIfNegative val="1"/>
            <c:bubble3D val="0"/>
            <c:spPr>
              <a:solidFill>
                <a:srgbClr val="4285F4"/>
              </a:solidFill>
              <a:ln cmpd="sng">
                <a:solidFill>
                  <a:srgbClr val="000000"/>
                </a:solidFill>
              </a:ln>
            </c:spPr>
          </c:dPt>
          <c:dPt>
            <c:idx val="106"/>
            <c:invertIfNegative val="1"/>
            <c:bubble3D val="0"/>
            <c:spPr>
              <a:solidFill>
                <a:srgbClr val="4285F4"/>
              </a:solidFill>
              <a:ln cmpd="sng">
                <a:solidFill>
                  <a:srgbClr val="000000"/>
                </a:solidFill>
              </a:ln>
            </c:spPr>
          </c:dPt>
          <c:dPt>
            <c:idx val="107"/>
            <c:invertIfNegative val="1"/>
            <c:bubble3D val="0"/>
            <c:spPr>
              <a:solidFill>
                <a:srgbClr val="4285F4"/>
              </a:solidFill>
              <a:ln cmpd="sng">
                <a:solidFill>
                  <a:srgbClr val="000000"/>
                </a:solidFill>
              </a:ln>
            </c:spPr>
          </c:dPt>
          <c:dPt>
            <c:idx val="108"/>
            <c:invertIfNegative val="1"/>
            <c:bubble3D val="0"/>
            <c:spPr>
              <a:solidFill>
                <a:srgbClr val="4285F4"/>
              </a:solidFill>
              <a:ln cmpd="sng">
                <a:solidFill>
                  <a:srgbClr val="000000"/>
                </a:solidFill>
              </a:ln>
            </c:spPr>
          </c:dPt>
          <c:dPt>
            <c:idx val="109"/>
            <c:invertIfNegative val="1"/>
            <c:bubble3D val="0"/>
            <c:spPr>
              <a:solidFill>
                <a:srgbClr val="4285F4"/>
              </a:solidFill>
              <a:ln cmpd="sng">
                <a:solidFill>
                  <a:srgbClr val="000000"/>
                </a:solidFill>
              </a:ln>
            </c:spPr>
          </c:dPt>
          <c:dPt>
            <c:idx val="110"/>
            <c:invertIfNegative val="1"/>
            <c:bubble3D val="0"/>
            <c:spPr>
              <a:solidFill>
                <a:srgbClr val="4285F4"/>
              </a:solidFill>
              <a:ln cmpd="sng">
                <a:solidFill>
                  <a:srgbClr val="000000"/>
                </a:solidFill>
              </a:ln>
            </c:spPr>
          </c:dPt>
          <c:dPt>
            <c:idx val="111"/>
            <c:invertIfNegative val="1"/>
            <c:bubble3D val="0"/>
            <c:spPr>
              <a:solidFill>
                <a:srgbClr val="4285F4"/>
              </a:solidFill>
              <a:ln cmpd="sng">
                <a:solidFill>
                  <a:srgbClr val="000000"/>
                </a:solidFill>
              </a:ln>
            </c:spPr>
          </c:dPt>
          <c:dPt>
            <c:idx val="112"/>
            <c:invertIfNegative val="1"/>
            <c:bubble3D val="0"/>
            <c:spPr>
              <a:solidFill>
                <a:srgbClr val="4285F4"/>
              </a:solidFill>
              <a:ln cmpd="sng">
                <a:solidFill>
                  <a:srgbClr val="000000"/>
                </a:solidFill>
              </a:ln>
            </c:spPr>
          </c:dPt>
          <c:dPt>
            <c:idx val="113"/>
            <c:invertIfNegative val="1"/>
            <c:bubble3D val="0"/>
            <c:spPr>
              <a:solidFill>
                <a:srgbClr val="4285F4"/>
              </a:solidFill>
              <a:ln cmpd="sng">
                <a:solidFill>
                  <a:srgbClr val="000000"/>
                </a:solidFill>
              </a:ln>
            </c:spPr>
          </c:dPt>
          <c:dPt>
            <c:idx val="114"/>
            <c:invertIfNegative val="1"/>
            <c:bubble3D val="0"/>
            <c:spPr>
              <a:solidFill>
                <a:srgbClr val="4285F4"/>
              </a:solidFill>
              <a:ln cmpd="sng">
                <a:solidFill>
                  <a:srgbClr val="000000"/>
                </a:solidFill>
              </a:ln>
            </c:spPr>
          </c:dPt>
          <c:dPt>
            <c:idx val="115"/>
            <c:invertIfNegative val="1"/>
            <c:bubble3D val="0"/>
            <c:spPr>
              <a:solidFill>
                <a:srgbClr val="4285F4"/>
              </a:solidFill>
              <a:ln cmpd="sng">
                <a:solidFill>
                  <a:srgbClr val="000000"/>
                </a:solidFill>
              </a:ln>
            </c:spPr>
          </c:dPt>
          <c:dPt>
            <c:idx val="116"/>
            <c:invertIfNegative val="1"/>
            <c:bubble3D val="0"/>
            <c:spPr>
              <a:solidFill>
                <a:srgbClr val="4285F4"/>
              </a:solidFill>
              <a:ln cmpd="sng">
                <a:solidFill>
                  <a:srgbClr val="000000"/>
                </a:solidFill>
              </a:ln>
            </c:spPr>
          </c:dPt>
          <c:dPt>
            <c:idx val="117"/>
            <c:invertIfNegative val="1"/>
            <c:bubble3D val="0"/>
            <c:spPr>
              <a:solidFill>
                <a:srgbClr val="4285F4"/>
              </a:solidFill>
              <a:ln cmpd="sng">
                <a:solidFill>
                  <a:srgbClr val="000000"/>
                </a:solidFill>
              </a:ln>
            </c:spPr>
          </c:dPt>
          <c:dPt>
            <c:idx val="118"/>
            <c:invertIfNegative val="1"/>
            <c:bubble3D val="0"/>
            <c:spPr>
              <a:solidFill>
                <a:srgbClr val="4285F4"/>
              </a:solidFill>
              <a:ln cmpd="sng">
                <a:solidFill>
                  <a:srgbClr val="000000"/>
                </a:solidFill>
              </a:ln>
            </c:spPr>
          </c:dPt>
          <c:dPt>
            <c:idx val="119"/>
            <c:invertIfNegative val="1"/>
            <c:bubble3D val="0"/>
            <c:spPr>
              <a:solidFill>
                <a:srgbClr val="4285F4"/>
              </a:solidFill>
              <a:ln cmpd="sng">
                <a:solidFill>
                  <a:srgbClr val="000000"/>
                </a:solidFill>
              </a:ln>
            </c:spPr>
          </c:dPt>
          <c:dPt>
            <c:idx val="120"/>
            <c:invertIfNegative val="1"/>
            <c:bubble3D val="0"/>
            <c:spPr>
              <a:solidFill>
                <a:srgbClr val="4285F4"/>
              </a:solidFill>
              <a:ln cmpd="sng">
                <a:solidFill>
                  <a:srgbClr val="000000"/>
                </a:solidFill>
              </a:ln>
            </c:spPr>
          </c:dPt>
          <c:dPt>
            <c:idx val="121"/>
            <c:invertIfNegative val="1"/>
            <c:bubble3D val="0"/>
            <c:spPr>
              <a:solidFill>
                <a:srgbClr val="4285F4"/>
              </a:solidFill>
              <a:ln cmpd="sng">
                <a:solidFill>
                  <a:srgbClr val="000000"/>
                </a:solidFill>
              </a:ln>
            </c:spPr>
          </c:dPt>
          <c:dPt>
            <c:idx val="122"/>
            <c:invertIfNegative val="1"/>
            <c:bubble3D val="0"/>
            <c:spPr>
              <a:solidFill>
                <a:srgbClr val="4285F4"/>
              </a:solidFill>
              <a:ln cmpd="sng">
                <a:solidFill>
                  <a:srgbClr val="000000"/>
                </a:solidFill>
              </a:ln>
            </c:spPr>
          </c:dPt>
          <c:dPt>
            <c:idx val="123"/>
            <c:invertIfNegative val="1"/>
            <c:bubble3D val="0"/>
            <c:spPr>
              <a:solidFill>
                <a:srgbClr val="4285F4"/>
              </a:solidFill>
              <a:ln cmpd="sng">
                <a:solidFill>
                  <a:srgbClr val="000000"/>
                </a:solidFill>
              </a:ln>
            </c:spPr>
          </c:dPt>
          <c:dPt>
            <c:idx val="124"/>
            <c:invertIfNegative val="1"/>
            <c:bubble3D val="0"/>
            <c:spPr>
              <a:solidFill>
                <a:srgbClr val="4285F4"/>
              </a:solidFill>
              <a:ln cmpd="sng">
                <a:solidFill>
                  <a:srgbClr val="000000"/>
                </a:solidFill>
              </a:ln>
            </c:spPr>
          </c:dPt>
          <c:dPt>
            <c:idx val="125"/>
            <c:invertIfNegative val="1"/>
            <c:bubble3D val="0"/>
            <c:spPr>
              <a:solidFill>
                <a:srgbClr val="4285F4"/>
              </a:solidFill>
              <a:ln cmpd="sng">
                <a:solidFill>
                  <a:srgbClr val="000000"/>
                </a:solidFill>
              </a:ln>
            </c:spPr>
          </c:dPt>
          <c:dPt>
            <c:idx val="126"/>
            <c:invertIfNegative val="1"/>
            <c:bubble3D val="0"/>
            <c:spPr>
              <a:solidFill>
                <a:srgbClr val="4285F4"/>
              </a:solidFill>
              <a:ln cmpd="sng">
                <a:solidFill>
                  <a:srgbClr val="000000"/>
                </a:solidFill>
              </a:ln>
            </c:spPr>
          </c:dPt>
          <c:dPt>
            <c:idx val="127"/>
            <c:invertIfNegative val="1"/>
            <c:bubble3D val="0"/>
            <c:spPr>
              <a:solidFill>
                <a:srgbClr val="4285F4"/>
              </a:solidFill>
              <a:ln cmpd="sng">
                <a:solidFill>
                  <a:srgbClr val="000000"/>
                </a:solidFill>
              </a:ln>
            </c:spPr>
          </c:dPt>
          <c:dPt>
            <c:idx val="128"/>
            <c:invertIfNegative val="1"/>
            <c:bubble3D val="0"/>
            <c:spPr>
              <a:solidFill>
                <a:srgbClr val="4285F4"/>
              </a:solidFill>
              <a:ln cmpd="sng">
                <a:solidFill>
                  <a:srgbClr val="000000"/>
                </a:solidFill>
              </a:ln>
            </c:spPr>
          </c:dPt>
          <c:dPt>
            <c:idx val="129"/>
            <c:invertIfNegative val="1"/>
            <c:bubble3D val="0"/>
            <c:spPr>
              <a:solidFill>
                <a:srgbClr val="4285F4"/>
              </a:solidFill>
              <a:ln cmpd="sng">
                <a:solidFill>
                  <a:srgbClr val="000000"/>
                </a:solidFill>
              </a:ln>
            </c:spPr>
          </c:dPt>
          <c:dPt>
            <c:idx val="130"/>
            <c:invertIfNegative val="1"/>
            <c:bubble3D val="0"/>
            <c:spPr>
              <a:solidFill>
                <a:srgbClr val="4285F4"/>
              </a:solidFill>
              <a:ln cmpd="sng">
                <a:solidFill>
                  <a:srgbClr val="000000"/>
                </a:solidFill>
              </a:ln>
            </c:spPr>
          </c:dPt>
          <c:dPt>
            <c:idx val="131"/>
            <c:invertIfNegative val="1"/>
            <c:bubble3D val="0"/>
            <c:spPr>
              <a:solidFill>
                <a:srgbClr val="4285F4"/>
              </a:solidFill>
              <a:ln cmpd="sng">
                <a:solidFill>
                  <a:srgbClr val="000000"/>
                </a:solidFill>
              </a:ln>
            </c:spPr>
          </c:dPt>
          <c:dPt>
            <c:idx val="132"/>
            <c:invertIfNegative val="1"/>
            <c:bubble3D val="0"/>
            <c:spPr>
              <a:solidFill>
                <a:srgbClr val="4285F4"/>
              </a:solidFill>
              <a:ln cmpd="sng">
                <a:solidFill>
                  <a:srgbClr val="000000"/>
                </a:solidFill>
              </a:ln>
            </c:spPr>
          </c:dPt>
          <c:dPt>
            <c:idx val="133"/>
            <c:invertIfNegative val="1"/>
            <c:bubble3D val="0"/>
            <c:spPr>
              <a:solidFill>
                <a:srgbClr val="4285F4"/>
              </a:solidFill>
              <a:ln cmpd="sng">
                <a:solidFill>
                  <a:srgbClr val="000000"/>
                </a:solidFill>
              </a:ln>
            </c:spPr>
          </c:dPt>
          <c:dPt>
            <c:idx val="134"/>
            <c:invertIfNegative val="1"/>
            <c:bubble3D val="0"/>
            <c:spPr>
              <a:solidFill>
                <a:srgbClr val="4285F4"/>
              </a:solidFill>
              <a:ln cmpd="sng">
                <a:solidFill>
                  <a:srgbClr val="000000"/>
                </a:solidFill>
              </a:ln>
            </c:spPr>
          </c:dPt>
          <c:dPt>
            <c:idx val="135"/>
            <c:invertIfNegative val="1"/>
            <c:bubble3D val="0"/>
            <c:spPr>
              <a:solidFill>
                <a:srgbClr val="4285F4"/>
              </a:solidFill>
              <a:ln cmpd="sng">
                <a:solidFill>
                  <a:srgbClr val="000000"/>
                </a:solidFill>
              </a:ln>
            </c:spPr>
          </c:dPt>
          <c:dPt>
            <c:idx val="136"/>
            <c:invertIfNegative val="1"/>
            <c:bubble3D val="0"/>
            <c:spPr>
              <a:solidFill>
                <a:srgbClr val="4285F4"/>
              </a:solidFill>
              <a:ln cmpd="sng">
                <a:solidFill>
                  <a:srgbClr val="000000"/>
                </a:solidFill>
              </a:ln>
            </c:spPr>
          </c:dPt>
          <c:dPt>
            <c:idx val="137"/>
            <c:invertIfNegative val="1"/>
            <c:bubble3D val="0"/>
            <c:spPr>
              <a:solidFill>
                <a:srgbClr val="4285F4"/>
              </a:solidFill>
              <a:ln cmpd="sng">
                <a:solidFill>
                  <a:srgbClr val="000000"/>
                </a:solidFill>
              </a:ln>
            </c:spPr>
          </c:dPt>
          <c:dPt>
            <c:idx val="138"/>
            <c:invertIfNegative val="1"/>
            <c:bubble3D val="0"/>
            <c:spPr>
              <a:solidFill>
                <a:srgbClr val="4285F4"/>
              </a:solidFill>
              <a:ln cmpd="sng">
                <a:solidFill>
                  <a:srgbClr val="000000"/>
                </a:solidFill>
              </a:ln>
            </c:spPr>
          </c:dPt>
          <c:dPt>
            <c:idx val="139"/>
            <c:invertIfNegative val="1"/>
            <c:bubble3D val="0"/>
            <c:spPr>
              <a:solidFill>
                <a:srgbClr val="4285F4"/>
              </a:solidFill>
              <a:ln cmpd="sng">
                <a:solidFill>
                  <a:srgbClr val="000000"/>
                </a:solidFill>
              </a:ln>
            </c:spPr>
          </c:dPt>
          <c:dPt>
            <c:idx val="140"/>
            <c:invertIfNegative val="1"/>
            <c:bubble3D val="0"/>
            <c:spPr>
              <a:solidFill>
                <a:srgbClr val="4285F4"/>
              </a:solidFill>
              <a:ln cmpd="sng">
                <a:solidFill>
                  <a:srgbClr val="000000"/>
                </a:solidFill>
              </a:ln>
            </c:spPr>
          </c:dPt>
          <c:dPt>
            <c:idx val="141"/>
            <c:invertIfNegative val="1"/>
            <c:bubble3D val="0"/>
            <c:spPr>
              <a:solidFill>
                <a:srgbClr val="4285F4"/>
              </a:solidFill>
              <a:ln cmpd="sng">
                <a:solidFill>
                  <a:srgbClr val="000000"/>
                </a:solidFill>
              </a:ln>
            </c:spPr>
          </c:dPt>
          <c:dPt>
            <c:idx val="142"/>
            <c:invertIfNegative val="1"/>
            <c:bubble3D val="0"/>
            <c:spPr>
              <a:solidFill>
                <a:srgbClr val="4285F4"/>
              </a:solidFill>
              <a:ln cmpd="sng">
                <a:solidFill>
                  <a:srgbClr val="000000"/>
                </a:solidFill>
              </a:ln>
            </c:spPr>
          </c:dPt>
          <c:dPt>
            <c:idx val="143"/>
            <c:invertIfNegative val="1"/>
            <c:bubble3D val="0"/>
            <c:spPr>
              <a:solidFill>
                <a:srgbClr val="4285F4"/>
              </a:solidFill>
              <a:ln cmpd="sng">
                <a:solidFill>
                  <a:srgbClr val="000000"/>
                </a:solidFill>
              </a:ln>
            </c:spPr>
          </c:dPt>
          <c:dPt>
            <c:idx val="144"/>
            <c:invertIfNegative val="1"/>
            <c:bubble3D val="0"/>
            <c:spPr>
              <a:solidFill>
                <a:srgbClr val="4285F4"/>
              </a:solidFill>
              <a:ln cmpd="sng">
                <a:solidFill>
                  <a:srgbClr val="000000"/>
                </a:solidFill>
              </a:ln>
            </c:spPr>
          </c:dPt>
          <c:dPt>
            <c:idx val="145"/>
            <c:invertIfNegative val="1"/>
            <c:bubble3D val="0"/>
            <c:spPr>
              <a:solidFill>
                <a:srgbClr val="4285F4"/>
              </a:solidFill>
              <a:ln cmpd="sng">
                <a:solidFill>
                  <a:srgbClr val="000000"/>
                </a:solidFill>
              </a:ln>
            </c:spPr>
          </c:dPt>
          <c:dPt>
            <c:idx val="146"/>
            <c:invertIfNegative val="1"/>
            <c:bubble3D val="0"/>
            <c:spPr>
              <a:solidFill>
                <a:srgbClr val="4285F4"/>
              </a:solidFill>
              <a:ln cmpd="sng">
                <a:solidFill>
                  <a:srgbClr val="000000"/>
                </a:solidFill>
              </a:ln>
            </c:spPr>
          </c:dPt>
          <c:dPt>
            <c:idx val="147"/>
            <c:invertIfNegative val="1"/>
            <c:bubble3D val="0"/>
            <c:spPr>
              <a:solidFill>
                <a:srgbClr val="4285F4"/>
              </a:solidFill>
              <a:ln cmpd="sng">
                <a:solidFill>
                  <a:srgbClr val="000000"/>
                </a:solidFill>
              </a:ln>
            </c:spPr>
          </c:dPt>
          <c:dPt>
            <c:idx val="148"/>
            <c:invertIfNegative val="1"/>
            <c:bubble3D val="0"/>
            <c:spPr>
              <a:solidFill>
                <a:srgbClr val="4285F4"/>
              </a:solidFill>
              <a:ln cmpd="sng">
                <a:solidFill>
                  <a:srgbClr val="000000"/>
                </a:solidFill>
              </a:ln>
            </c:spPr>
          </c:dPt>
          <c:dPt>
            <c:idx val="149"/>
            <c:invertIfNegative val="1"/>
            <c:bubble3D val="0"/>
            <c:spPr>
              <a:solidFill>
                <a:srgbClr val="4285F4"/>
              </a:solidFill>
              <a:ln cmpd="sng">
                <a:solidFill>
                  <a:srgbClr val="000000"/>
                </a:solidFill>
              </a:ln>
            </c:spPr>
          </c:dPt>
          <c:dPt>
            <c:idx val="150"/>
            <c:invertIfNegative val="1"/>
            <c:bubble3D val="0"/>
            <c:spPr>
              <a:solidFill>
                <a:srgbClr val="4285F4"/>
              </a:solidFill>
              <a:ln cmpd="sng">
                <a:solidFill>
                  <a:srgbClr val="000000"/>
                </a:solidFill>
              </a:ln>
            </c:spPr>
          </c:dPt>
          <c:dPt>
            <c:idx val="151"/>
            <c:invertIfNegative val="1"/>
            <c:bubble3D val="0"/>
            <c:spPr>
              <a:solidFill>
                <a:srgbClr val="4285F4"/>
              </a:solidFill>
              <a:ln cmpd="sng">
                <a:solidFill>
                  <a:srgbClr val="000000"/>
                </a:solidFill>
              </a:ln>
            </c:spPr>
          </c:dPt>
          <c:dPt>
            <c:idx val="152"/>
            <c:invertIfNegative val="1"/>
            <c:bubble3D val="0"/>
            <c:spPr>
              <a:solidFill>
                <a:srgbClr val="4285F4"/>
              </a:solidFill>
              <a:ln cmpd="sng">
                <a:solidFill>
                  <a:srgbClr val="000000"/>
                </a:solidFill>
              </a:ln>
            </c:spPr>
          </c:dPt>
          <c:dPt>
            <c:idx val="153"/>
            <c:invertIfNegative val="1"/>
            <c:bubble3D val="0"/>
            <c:spPr>
              <a:solidFill>
                <a:srgbClr val="4285F4"/>
              </a:solidFill>
              <a:ln cmpd="sng">
                <a:solidFill>
                  <a:srgbClr val="000000"/>
                </a:solidFill>
              </a:ln>
            </c:spPr>
          </c:dPt>
          <c:dPt>
            <c:idx val="154"/>
            <c:invertIfNegative val="1"/>
            <c:bubble3D val="0"/>
            <c:spPr>
              <a:solidFill>
                <a:srgbClr val="4285F4"/>
              </a:solidFill>
              <a:ln cmpd="sng">
                <a:solidFill>
                  <a:srgbClr val="000000"/>
                </a:solidFill>
              </a:ln>
            </c:spPr>
          </c:dPt>
          <c:dPt>
            <c:idx val="155"/>
            <c:invertIfNegative val="1"/>
            <c:bubble3D val="0"/>
            <c:spPr>
              <a:solidFill>
                <a:srgbClr val="4285F4"/>
              </a:solidFill>
              <a:ln cmpd="sng">
                <a:solidFill>
                  <a:srgbClr val="000000"/>
                </a:solidFill>
              </a:ln>
            </c:spPr>
          </c:dPt>
          <c:dPt>
            <c:idx val="156"/>
            <c:invertIfNegative val="1"/>
            <c:bubble3D val="0"/>
            <c:spPr>
              <a:solidFill>
                <a:srgbClr val="4285F4"/>
              </a:solidFill>
              <a:ln cmpd="sng">
                <a:solidFill>
                  <a:srgbClr val="000000"/>
                </a:solidFill>
              </a:ln>
            </c:spPr>
          </c:dPt>
          <c:dPt>
            <c:idx val="157"/>
            <c:invertIfNegative val="1"/>
            <c:bubble3D val="0"/>
            <c:spPr>
              <a:solidFill>
                <a:srgbClr val="4285F4"/>
              </a:solidFill>
              <a:ln cmpd="sng">
                <a:solidFill>
                  <a:srgbClr val="000000"/>
                </a:solidFill>
              </a:ln>
            </c:spPr>
          </c:dPt>
          <c:dPt>
            <c:idx val="158"/>
            <c:invertIfNegative val="1"/>
            <c:bubble3D val="0"/>
            <c:spPr>
              <a:solidFill>
                <a:srgbClr val="4285F4"/>
              </a:solidFill>
              <a:ln cmpd="sng">
                <a:solidFill>
                  <a:srgbClr val="000000"/>
                </a:solidFill>
              </a:ln>
            </c:spPr>
          </c:dPt>
          <c:dPt>
            <c:idx val="159"/>
            <c:invertIfNegative val="1"/>
            <c:bubble3D val="0"/>
            <c:spPr>
              <a:solidFill>
                <a:srgbClr val="4285F4"/>
              </a:solidFill>
              <a:ln cmpd="sng">
                <a:solidFill>
                  <a:srgbClr val="000000"/>
                </a:solidFill>
              </a:ln>
            </c:spPr>
          </c:dPt>
          <c:dPt>
            <c:idx val="160"/>
            <c:invertIfNegative val="1"/>
            <c:bubble3D val="0"/>
            <c:spPr>
              <a:solidFill>
                <a:srgbClr val="4285F4"/>
              </a:solidFill>
              <a:ln cmpd="sng">
                <a:solidFill>
                  <a:srgbClr val="000000"/>
                </a:solidFill>
              </a:ln>
            </c:spPr>
          </c:dPt>
          <c:dPt>
            <c:idx val="161"/>
            <c:invertIfNegative val="1"/>
            <c:bubble3D val="0"/>
            <c:spPr>
              <a:solidFill>
                <a:srgbClr val="4285F4"/>
              </a:solidFill>
              <a:ln cmpd="sng">
                <a:solidFill>
                  <a:srgbClr val="000000"/>
                </a:solidFill>
              </a:ln>
            </c:spPr>
          </c:dPt>
          <c:dPt>
            <c:idx val="162"/>
            <c:invertIfNegative val="1"/>
            <c:bubble3D val="0"/>
            <c:spPr>
              <a:solidFill>
                <a:srgbClr val="4285F4"/>
              </a:solidFill>
              <a:ln cmpd="sng">
                <a:solidFill>
                  <a:srgbClr val="000000"/>
                </a:solidFill>
              </a:ln>
            </c:spPr>
          </c:dPt>
          <c:dPt>
            <c:idx val="163"/>
            <c:invertIfNegative val="1"/>
            <c:bubble3D val="0"/>
            <c:spPr>
              <a:solidFill>
                <a:srgbClr val="4285F4"/>
              </a:solidFill>
              <a:ln cmpd="sng">
                <a:solidFill>
                  <a:srgbClr val="000000"/>
                </a:solidFill>
              </a:ln>
            </c:spPr>
          </c:dPt>
          <c:dPt>
            <c:idx val="164"/>
            <c:invertIfNegative val="1"/>
            <c:bubble3D val="0"/>
            <c:spPr>
              <a:solidFill>
                <a:srgbClr val="4285F4"/>
              </a:solidFill>
              <a:ln cmpd="sng">
                <a:solidFill>
                  <a:srgbClr val="000000"/>
                </a:solidFill>
              </a:ln>
            </c:spPr>
          </c:dPt>
          <c:dPt>
            <c:idx val="165"/>
            <c:invertIfNegative val="1"/>
            <c:bubble3D val="0"/>
            <c:spPr>
              <a:solidFill>
                <a:srgbClr val="4285F4"/>
              </a:solidFill>
              <a:ln cmpd="sng">
                <a:solidFill>
                  <a:srgbClr val="000000"/>
                </a:solidFill>
              </a:ln>
            </c:spPr>
          </c:dPt>
          <c:dPt>
            <c:idx val="166"/>
            <c:invertIfNegative val="1"/>
            <c:bubble3D val="0"/>
            <c:spPr>
              <a:solidFill>
                <a:srgbClr val="4285F4"/>
              </a:solidFill>
              <a:ln cmpd="sng">
                <a:solidFill>
                  <a:srgbClr val="000000"/>
                </a:solidFill>
              </a:ln>
            </c:spPr>
          </c:dPt>
          <c:dPt>
            <c:idx val="167"/>
            <c:invertIfNegative val="1"/>
            <c:bubble3D val="0"/>
            <c:spPr>
              <a:solidFill>
                <a:srgbClr val="4285F4"/>
              </a:solidFill>
              <a:ln cmpd="sng">
                <a:solidFill>
                  <a:srgbClr val="000000"/>
                </a:solidFill>
              </a:ln>
            </c:spPr>
          </c:dPt>
          <c:dPt>
            <c:idx val="168"/>
            <c:invertIfNegative val="1"/>
            <c:bubble3D val="0"/>
            <c:spPr>
              <a:solidFill>
                <a:srgbClr val="4285F4"/>
              </a:solidFill>
              <a:ln cmpd="sng">
                <a:solidFill>
                  <a:srgbClr val="000000"/>
                </a:solidFill>
              </a:ln>
            </c:spPr>
          </c:dPt>
          <c:dPt>
            <c:idx val="169"/>
            <c:invertIfNegative val="1"/>
            <c:bubble3D val="0"/>
            <c:spPr>
              <a:solidFill>
                <a:srgbClr val="4285F4"/>
              </a:solidFill>
              <a:ln cmpd="sng">
                <a:solidFill>
                  <a:srgbClr val="000000"/>
                </a:solidFill>
              </a:ln>
            </c:spPr>
          </c:dPt>
          <c:dPt>
            <c:idx val="170"/>
            <c:invertIfNegative val="1"/>
            <c:bubble3D val="0"/>
            <c:spPr>
              <a:solidFill>
                <a:srgbClr val="4285F4"/>
              </a:solidFill>
              <a:ln cmpd="sng">
                <a:solidFill>
                  <a:srgbClr val="000000"/>
                </a:solidFill>
              </a:ln>
            </c:spPr>
          </c:dPt>
          <c:dPt>
            <c:idx val="171"/>
            <c:invertIfNegative val="1"/>
            <c:bubble3D val="0"/>
            <c:spPr>
              <a:solidFill>
                <a:srgbClr val="4285F4"/>
              </a:solidFill>
              <a:ln cmpd="sng">
                <a:solidFill>
                  <a:srgbClr val="000000"/>
                </a:solidFill>
              </a:ln>
            </c:spPr>
          </c:dPt>
          <c:dPt>
            <c:idx val="172"/>
            <c:invertIfNegative val="1"/>
            <c:bubble3D val="0"/>
            <c:spPr>
              <a:solidFill>
                <a:srgbClr val="4285F4"/>
              </a:solidFill>
              <a:ln cmpd="sng">
                <a:solidFill>
                  <a:srgbClr val="000000"/>
                </a:solidFill>
              </a:ln>
            </c:spPr>
          </c:dPt>
          <c:dPt>
            <c:idx val="173"/>
            <c:invertIfNegative val="1"/>
            <c:bubble3D val="0"/>
            <c:spPr>
              <a:solidFill>
                <a:srgbClr val="4285F4"/>
              </a:solidFill>
              <a:ln cmpd="sng">
                <a:solidFill>
                  <a:srgbClr val="000000"/>
                </a:solidFill>
              </a:ln>
            </c:spPr>
          </c:dPt>
          <c:dPt>
            <c:idx val="174"/>
            <c:invertIfNegative val="1"/>
            <c:bubble3D val="0"/>
            <c:spPr>
              <a:solidFill>
                <a:srgbClr val="4285F4"/>
              </a:solidFill>
              <a:ln cmpd="sng">
                <a:solidFill>
                  <a:srgbClr val="000000"/>
                </a:solidFill>
              </a:ln>
            </c:spPr>
          </c:dPt>
          <c:dPt>
            <c:idx val="175"/>
            <c:invertIfNegative val="1"/>
            <c:bubble3D val="0"/>
            <c:spPr>
              <a:solidFill>
                <a:srgbClr val="4285F4"/>
              </a:solidFill>
              <a:ln cmpd="sng">
                <a:solidFill>
                  <a:srgbClr val="000000"/>
                </a:solidFill>
              </a:ln>
            </c:spPr>
          </c:dPt>
          <c:dPt>
            <c:idx val="176"/>
            <c:invertIfNegative val="1"/>
            <c:bubble3D val="0"/>
            <c:spPr>
              <a:solidFill>
                <a:srgbClr val="4285F4"/>
              </a:solidFill>
              <a:ln cmpd="sng">
                <a:solidFill>
                  <a:srgbClr val="000000"/>
                </a:solidFill>
              </a:ln>
            </c:spPr>
          </c:dPt>
          <c:dPt>
            <c:idx val="177"/>
            <c:invertIfNegative val="1"/>
            <c:bubble3D val="0"/>
            <c:spPr>
              <a:solidFill>
                <a:srgbClr val="4285F4"/>
              </a:solidFill>
              <a:ln cmpd="sng">
                <a:solidFill>
                  <a:srgbClr val="000000"/>
                </a:solidFill>
              </a:ln>
            </c:spPr>
          </c:dPt>
          <c:dPt>
            <c:idx val="178"/>
            <c:invertIfNegative val="1"/>
            <c:bubble3D val="0"/>
            <c:spPr>
              <a:solidFill>
                <a:srgbClr val="4285F4"/>
              </a:solidFill>
              <a:ln cmpd="sng">
                <a:solidFill>
                  <a:srgbClr val="000000"/>
                </a:solidFill>
              </a:ln>
            </c:spPr>
          </c:dPt>
          <c:dPt>
            <c:idx val="179"/>
            <c:invertIfNegative val="1"/>
            <c:bubble3D val="0"/>
            <c:spPr>
              <a:solidFill>
                <a:srgbClr val="4285F4"/>
              </a:solidFill>
              <a:ln cmpd="sng">
                <a:solidFill>
                  <a:srgbClr val="000000"/>
                </a:solidFill>
              </a:ln>
            </c:spPr>
          </c:dPt>
          <c:dPt>
            <c:idx val="180"/>
            <c:invertIfNegative val="1"/>
            <c:bubble3D val="0"/>
            <c:spPr>
              <a:solidFill>
                <a:srgbClr val="4285F4"/>
              </a:solidFill>
              <a:ln cmpd="sng">
                <a:solidFill>
                  <a:srgbClr val="000000"/>
                </a:solidFill>
              </a:ln>
            </c:spPr>
          </c:dPt>
          <c:dPt>
            <c:idx val="181"/>
            <c:invertIfNegative val="1"/>
            <c:bubble3D val="0"/>
            <c:spPr>
              <a:solidFill>
                <a:srgbClr val="4285F4"/>
              </a:solidFill>
              <a:ln cmpd="sng">
                <a:solidFill>
                  <a:srgbClr val="000000"/>
                </a:solidFill>
              </a:ln>
            </c:spPr>
          </c:dPt>
          <c:dPt>
            <c:idx val="182"/>
            <c:invertIfNegative val="1"/>
            <c:bubble3D val="0"/>
            <c:spPr>
              <a:solidFill>
                <a:srgbClr val="4285F4"/>
              </a:solidFill>
              <a:ln cmpd="sng">
                <a:solidFill>
                  <a:srgbClr val="000000"/>
                </a:solidFill>
              </a:ln>
            </c:spPr>
          </c:dPt>
          <c:dPt>
            <c:idx val="183"/>
            <c:invertIfNegative val="1"/>
            <c:bubble3D val="0"/>
            <c:spPr>
              <a:solidFill>
                <a:srgbClr val="4285F4"/>
              </a:solidFill>
              <a:ln cmpd="sng">
                <a:solidFill>
                  <a:srgbClr val="000000"/>
                </a:solidFill>
              </a:ln>
            </c:spPr>
          </c:dPt>
          <c:dPt>
            <c:idx val="184"/>
            <c:invertIfNegative val="1"/>
            <c:bubble3D val="0"/>
            <c:spPr>
              <a:solidFill>
                <a:srgbClr val="4285F4"/>
              </a:solidFill>
              <a:ln cmpd="sng">
                <a:solidFill>
                  <a:srgbClr val="000000"/>
                </a:solidFill>
              </a:ln>
            </c:spPr>
          </c:dPt>
          <c:dPt>
            <c:idx val="185"/>
            <c:invertIfNegative val="1"/>
            <c:bubble3D val="0"/>
            <c:spPr>
              <a:solidFill>
                <a:srgbClr val="4285F4"/>
              </a:solidFill>
              <a:ln cmpd="sng">
                <a:solidFill>
                  <a:srgbClr val="000000"/>
                </a:solidFill>
              </a:ln>
            </c:spPr>
          </c:dPt>
          <c:dPt>
            <c:idx val="186"/>
            <c:invertIfNegative val="1"/>
            <c:bubble3D val="0"/>
            <c:spPr>
              <a:solidFill>
                <a:srgbClr val="4285F4"/>
              </a:solidFill>
              <a:ln cmpd="sng">
                <a:solidFill>
                  <a:srgbClr val="000000"/>
                </a:solidFill>
              </a:ln>
            </c:spPr>
          </c:dPt>
          <c:dPt>
            <c:idx val="187"/>
            <c:invertIfNegative val="1"/>
            <c:bubble3D val="0"/>
            <c:spPr>
              <a:solidFill>
                <a:srgbClr val="4285F4"/>
              </a:solidFill>
              <a:ln cmpd="sng">
                <a:solidFill>
                  <a:srgbClr val="000000"/>
                </a:solidFill>
              </a:ln>
            </c:spPr>
          </c:dPt>
          <c:dPt>
            <c:idx val="188"/>
            <c:invertIfNegative val="1"/>
            <c:bubble3D val="0"/>
            <c:spPr>
              <a:solidFill>
                <a:srgbClr val="4285F4"/>
              </a:solidFill>
              <a:ln cmpd="sng">
                <a:solidFill>
                  <a:srgbClr val="000000"/>
                </a:solidFill>
              </a:ln>
            </c:spPr>
          </c:dPt>
          <c:dPt>
            <c:idx val="189"/>
            <c:invertIfNegative val="1"/>
            <c:bubble3D val="0"/>
            <c:spPr>
              <a:solidFill>
                <a:srgbClr val="4285F4"/>
              </a:solidFill>
              <a:ln cmpd="sng">
                <a:solidFill>
                  <a:srgbClr val="000000"/>
                </a:solidFill>
              </a:ln>
            </c:spPr>
          </c:dPt>
          <c:dPt>
            <c:idx val="190"/>
            <c:invertIfNegative val="1"/>
            <c:bubble3D val="0"/>
            <c:spPr>
              <a:solidFill>
                <a:srgbClr val="4285F4"/>
              </a:solidFill>
              <a:ln cmpd="sng">
                <a:solidFill>
                  <a:srgbClr val="000000"/>
                </a:solidFill>
              </a:ln>
            </c:spPr>
          </c:dPt>
          <c:dPt>
            <c:idx val="191"/>
            <c:invertIfNegative val="1"/>
            <c:bubble3D val="0"/>
            <c:spPr>
              <a:solidFill>
                <a:srgbClr val="4285F4"/>
              </a:solidFill>
              <a:ln cmpd="sng">
                <a:solidFill>
                  <a:srgbClr val="000000"/>
                </a:solidFill>
              </a:ln>
            </c:spPr>
          </c:dPt>
          <c:dPt>
            <c:idx val="192"/>
            <c:invertIfNegative val="1"/>
            <c:bubble3D val="0"/>
            <c:spPr>
              <a:solidFill>
                <a:srgbClr val="4285F4"/>
              </a:solidFill>
              <a:ln cmpd="sng">
                <a:solidFill>
                  <a:srgbClr val="000000"/>
                </a:solidFill>
              </a:ln>
            </c:spPr>
          </c:dPt>
          <c:dPt>
            <c:idx val="193"/>
            <c:invertIfNegative val="1"/>
            <c:bubble3D val="0"/>
            <c:spPr>
              <a:solidFill>
                <a:srgbClr val="4285F4"/>
              </a:solidFill>
              <a:ln cmpd="sng">
                <a:solidFill>
                  <a:srgbClr val="000000"/>
                </a:solidFill>
              </a:ln>
            </c:spPr>
          </c:dPt>
          <c:dPt>
            <c:idx val="194"/>
            <c:invertIfNegative val="1"/>
            <c:bubble3D val="0"/>
            <c:spPr>
              <a:solidFill>
                <a:srgbClr val="4285F4"/>
              </a:solidFill>
              <a:ln cmpd="sng">
                <a:solidFill>
                  <a:srgbClr val="000000"/>
                </a:solidFill>
              </a:ln>
            </c:spPr>
          </c:dPt>
          <c:dPt>
            <c:idx val="195"/>
            <c:invertIfNegative val="1"/>
            <c:bubble3D val="0"/>
            <c:spPr>
              <a:solidFill>
                <a:srgbClr val="4285F4"/>
              </a:solidFill>
              <a:ln cmpd="sng">
                <a:solidFill>
                  <a:srgbClr val="000000"/>
                </a:solidFill>
              </a:ln>
            </c:spPr>
          </c:dPt>
          <c:dPt>
            <c:idx val="196"/>
            <c:invertIfNegative val="1"/>
            <c:bubble3D val="0"/>
            <c:spPr>
              <a:solidFill>
                <a:srgbClr val="4285F4"/>
              </a:solidFill>
              <a:ln cmpd="sng">
                <a:solidFill>
                  <a:srgbClr val="000000"/>
                </a:solidFill>
              </a:ln>
            </c:spPr>
          </c:dPt>
          <c:dPt>
            <c:idx val="197"/>
            <c:invertIfNegative val="1"/>
            <c:bubble3D val="0"/>
            <c:spPr>
              <a:solidFill>
                <a:srgbClr val="4285F4"/>
              </a:solidFill>
              <a:ln cmpd="sng">
                <a:solidFill>
                  <a:srgbClr val="000000"/>
                </a:solidFill>
              </a:ln>
            </c:spPr>
          </c:dPt>
          <c:dPt>
            <c:idx val="198"/>
            <c:invertIfNegative val="1"/>
            <c:bubble3D val="0"/>
            <c:spPr>
              <a:solidFill>
                <a:srgbClr val="4285F4"/>
              </a:solidFill>
              <a:ln cmpd="sng">
                <a:solidFill>
                  <a:srgbClr val="000000"/>
                </a:solidFill>
              </a:ln>
            </c:spPr>
          </c:dPt>
          <c:dPt>
            <c:idx val="199"/>
            <c:invertIfNegative val="1"/>
            <c:bubble3D val="0"/>
            <c:spPr>
              <a:solidFill>
                <a:srgbClr val="4285F4"/>
              </a:solidFill>
              <a:ln cmpd="sng">
                <a:solidFill>
                  <a:srgbClr val="000000"/>
                </a:solidFill>
              </a:ln>
            </c:spPr>
          </c:dPt>
          <c:dPt>
            <c:idx val="200"/>
            <c:invertIfNegative val="1"/>
            <c:bubble3D val="0"/>
            <c:spPr>
              <a:solidFill>
                <a:srgbClr val="4285F4"/>
              </a:solidFill>
              <a:ln cmpd="sng">
                <a:solidFill>
                  <a:srgbClr val="000000"/>
                </a:solidFill>
              </a:ln>
            </c:spPr>
          </c:dPt>
          <c:dPt>
            <c:idx val="201"/>
            <c:invertIfNegative val="1"/>
            <c:bubble3D val="0"/>
            <c:spPr>
              <a:solidFill>
                <a:srgbClr val="4285F4"/>
              </a:solidFill>
              <a:ln cmpd="sng">
                <a:solidFill>
                  <a:srgbClr val="000000"/>
                </a:solidFill>
              </a:ln>
            </c:spPr>
          </c:dPt>
          <c:dPt>
            <c:idx val="202"/>
            <c:invertIfNegative val="1"/>
            <c:bubble3D val="0"/>
            <c:spPr>
              <a:solidFill>
                <a:srgbClr val="4285F4"/>
              </a:solidFill>
              <a:ln cmpd="sng">
                <a:solidFill>
                  <a:srgbClr val="000000"/>
                </a:solidFill>
              </a:ln>
            </c:spPr>
          </c:dPt>
          <c:dPt>
            <c:idx val="203"/>
            <c:invertIfNegative val="1"/>
            <c:bubble3D val="0"/>
            <c:spPr>
              <a:solidFill>
                <a:srgbClr val="4285F4"/>
              </a:solidFill>
              <a:ln cmpd="sng">
                <a:solidFill>
                  <a:srgbClr val="000000"/>
                </a:solidFill>
              </a:ln>
            </c:spPr>
          </c:dPt>
          <c:dPt>
            <c:idx val="204"/>
            <c:invertIfNegative val="1"/>
            <c:bubble3D val="0"/>
            <c:spPr>
              <a:solidFill>
                <a:srgbClr val="4285F4"/>
              </a:solidFill>
              <a:ln cmpd="sng">
                <a:solidFill>
                  <a:srgbClr val="000000"/>
                </a:solidFill>
              </a:ln>
            </c:spPr>
          </c:dPt>
          <c:dPt>
            <c:idx val="205"/>
            <c:invertIfNegative val="1"/>
            <c:bubble3D val="0"/>
            <c:spPr>
              <a:solidFill>
                <a:srgbClr val="4285F4"/>
              </a:solidFill>
              <a:ln cmpd="sng">
                <a:solidFill>
                  <a:srgbClr val="000000"/>
                </a:solidFill>
              </a:ln>
            </c:spPr>
          </c:dPt>
          <c:dPt>
            <c:idx val="206"/>
            <c:invertIfNegative val="1"/>
            <c:bubble3D val="0"/>
            <c:spPr>
              <a:solidFill>
                <a:srgbClr val="4285F4"/>
              </a:solidFill>
              <a:ln cmpd="sng">
                <a:solidFill>
                  <a:srgbClr val="000000"/>
                </a:solidFill>
              </a:ln>
            </c:spPr>
          </c:dPt>
          <c:dPt>
            <c:idx val="207"/>
            <c:invertIfNegative val="1"/>
            <c:bubble3D val="0"/>
            <c:spPr>
              <a:solidFill>
                <a:srgbClr val="4285F4"/>
              </a:solidFill>
              <a:ln cmpd="sng">
                <a:solidFill>
                  <a:srgbClr val="000000"/>
                </a:solidFill>
              </a:ln>
            </c:spPr>
          </c:dPt>
          <c:dPt>
            <c:idx val="208"/>
            <c:invertIfNegative val="1"/>
            <c:bubble3D val="0"/>
            <c:spPr>
              <a:solidFill>
                <a:srgbClr val="4285F4"/>
              </a:solidFill>
              <a:ln cmpd="sng">
                <a:solidFill>
                  <a:srgbClr val="000000"/>
                </a:solidFill>
              </a:ln>
            </c:spPr>
          </c:dPt>
          <c:dPt>
            <c:idx val="209"/>
            <c:invertIfNegative val="1"/>
            <c:bubble3D val="0"/>
            <c:spPr>
              <a:solidFill>
                <a:srgbClr val="4285F4"/>
              </a:solidFill>
              <a:ln cmpd="sng">
                <a:solidFill>
                  <a:srgbClr val="000000"/>
                </a:solidFill>
              </a:ln>
            </c:spPr>
          </c:dPt>
          <c:dPt>
            <c:idx val="210"/>
            <c:invertIfNegative val="1"/>
            <c:bubble3D val="0"/>
            <c:spPr>
              <a:solidFill>
                <a:srgbClr val="4285F4"/>
              </a:solidFill>
              <a:ln cmpd="sng">
                <a:solidFill>
                  <a:srgbClr val="000000"/>
                </a:solidFill>
              </a:ln>
            </c:spPr>
          </c:dPt>
          <c:dPt>
            <c:idx val="211"/>
            <c:invertIfNegative val="1"/>
            <c:bubble3D val="0"/>
            <c:spPr>
              <a:solidFill>
                <a:srgbClr val="4285F4"/>
              </a:solidFill>
              <a:ln cmpd="sng">
                <a:solidFill>
                  <a:srgbClr val="000000"/>
                </a:solidFill>
              </a:ln>
            </c:spPr>
          </c:dPt>
          <c:dPt>
            <c:idx val="212"/>
            <c:invertIfNegative val="1"/>
            <c:bubble3D val="0"/>
            <c:spPr>
              <a:solidFill>
                <a:srgbClr val="4285F4"/>
              </a:solidFill>
              <a:ln cmpd="sng">
                <a:solidFill>
                  <a:srgbClr val="000000"/>
                </a:solidFill>
              </a:ln>
            </c:spPr>
          </c:dPt>
          <c:dPt>
            <c:idx val="213"/>
            <c:invertIfNegative val="1"/>
            <c:bubble3D val="0"/>
            <c:spPr>
              <a:solidFill>
                <a:srgbClr val="4285F4"/>
              </a:solidFill>
              <a:ln cmpd="sng">
                <a:solidFill>
                  <a:srgbClr val="000000"/>
                </a:solidFill>
              </a:ln>
            </c:spPr>
          </c:dPt>
          <c:dPt>
            <c:idx val="214"/>
            <c:invertIfNegative val="1"/>
            <c:bubble3D val="0"/>
            <c:spPr>
              <a:solidFill>
                <a:srgbClr val="4285F4"/>
              </a:solidFill>
              <a:ln cmpd="sng">
                <a:solidFill>
                  <a:srgbClr val="000000"/>
                </a:solidFill>
              </a:ln>
            </c:spPr>
          </c:dPt>
          <c:dPt>
            <c:idx val="215"/>
            <c:invertIfNegative val="1"/>
            <c:bubble3D val="0"/>
            <c:spPr>
              <a:solidFill>
                <a:srgbClr val="4285F4"/>
              </a:solidFill>
              <a:ln cmpd="sng">
                <a:solidFill>
                  <a:srgbClr val="000000"/>
                </a:solidFill>
              </a:ln>
            </c:spPr>
          </c:dPt>
          <c:dPt>
            <c:idx val="216"/>
            <c:invertIfNegative val="1"/>
            <c:bubble3D val="0"/>
            <c:spPr>
              <a:solidFill>
                <a:srgbClr val="4285F4"/>
              </a:solidFill>
              <a:ln cmpd="sng">
                <a:solidFill>
                  <a:srgbClr val="000000"/>
                </a:solidFill>
              </a:ln>
            </c:spPr>
          </c:dPt>
          <c:dPt>
            <c:idx val="217"/>
            <c:invertIfNegative val="1"/>
            <c:bubble3D val="0"/>
            <c:spPr>
              <a:solidFill>
                <a:srgbClr val="4285F4"/>
              </a:solidFill>
              <a:ln cmpd="sng">
                <a:solidFill>
                  <a:srgbClr val="000000"/>
                </a:solidFill>
              </a:ln>
            </c:spPr>
          </c:dPt>
          <c:dPt>
            <c:idx val="218"/>
            <c:invertIfNegative val="1"/>
            <c:bubble3D val="0"/>
            <c:spPr>
              <a:solidFill>
                <a:srgbClr val="4285F4"/>
              </a:solidFill>
              <a:ln cmpd="sng">
                <a:solidFill>
                  <a:srgbClr val="000000"/>
                </a:solidFill>
              </a:ln>
            </c:spPr>
          </c:dPt>
          <c:dPt>
            <c:idx val="219"/>
            <c:invertIfNegative val="1"/>
            <c:bubble3D val="0"/>
            <c:spPr>
              <a:solidFill>
                <a:srgbClr val="4285F4"/>
              </a:solidFill>
              <a:ln cmpd="sng">
                <a:solidFill>
                  <a:srgbClr val="000000"/>
                </a:solidFill>
              </a:ln>
            </c:spPr>
          </c:dPt>
          <c:dPt>
            <c:idx val="220"/>
            <c:invertIfNegative val="1"/>
            <c:bubble3D val="0"/>
            <c:spPr>
              <a:solidFill>
                <a:srgbClr val="4285F4"/>
              </a:solidFill>
              <a:ln cmpd="sng">
                <a:solidFill>
                  <a:srgbClr val="000000"/>
                </a:solidFill>
              </a:ln>
            </c:spPr>
          </c:dPt>
          <c:dPt>
            <c:idx val="221"/>
            <c:invertIfNegative val="1"/>
            <c:bubble3D val="0"/>
            <c:spPr>
              <a:solidFill>
                <a:srgbClr val="4285F4"/>
              </a:solidFill>
              <a:ln cmpd="sng">
                <a:solidFill>
                  <a:srgbClr val="000000"/>
                </a:solidFill>
              </a:ln>
            </c:spPr>
          </c:dPt>
          <c:dPt>
            <c:idx val="222"/>
            <c:invertIfNegative val="1"/>
            <c:bubble3D val="0"/>
            <c:spPr>
              <a:solidFill>
                <a:srgbClr val="4285F4"/>
              </a:solidFill>
              <a:ln cmpd="sng">
                <a:solidFill>
                  <a:srgbClr val="000000"/>
                </a:solidFill>
              </a:ln>
            </c:spPr>
          </c:dPt>
          <c:dPt>
            <c:idx val="223"/>
            <c:invertIfNegative val="1"/>
            <c:bubble3D val="0"/>
            <c:spPr>
              <a:solidFill>
                <a:srgbClr val="4285F4"/>
              </a:solidFill>
              <a:ln cmpd="sng">
                <a:solidFill>
                  <a:srgbClr val="000000"/>
                </a:solidFill>
              </a:ln>
            </c:spPr>
          </c:dPt>
          <c:dPt>
            <c:idx val="224"/>
            <c:invertIfNegative val="1"/>
            <c:bubble3D val="0"/>
            <c:spPr>
              <a:solidFill>
                <a:srgbClr val="4285F4"/>
              </a:solidFill>
              <a:ln cmpd="sng">
                <a:solidFill>
                  <a:srgbClr val="000000"/>
                </a:solidFill>
              </a:ln>
            </c:spPr>
          </c:dPt>
          <c:dPt>
            <c:idx val="225"/>
            <c:invertIfNegative val="1"/>
            <c:bubble3D val="0"/>
            <c:spPr>
              <a:solidFill>
                <a:srgbClr val="4285F4"/>
              </a:solidFill>
              <a:ln cmpd="sng">
                <a:solidFill>
                  <a:srgbClr val="000000"/>
                </a:solidFill>
              </a:ln>
            </c:spPr>
          </c:dPt>
          <c:dPt>
            <c:idx val="226"/>
            <c:invertIfNegative val="1"/>
            <c:bubble3D val="0"/>
            <c:spPr>
              <a:solidFill>
                <a:srgbClr val="4285F4"/>
              </a:solidFill>
              <a:ln cmpd="sng">
                <a:solidFill>
                  <a:srgbClr val="000000"/>
                </a:solidFill>
              </a:ln>
            </c:spPr>
          </c:dPt>
          <c:dPt>
            <c:idx val="227"/>
            <c:invertIfNegative val="1"/>
            <c:bubble3D val="0"/>
            <c:spPr>
              <a:solidFill>
                <a:srgbClr val="4285F4"/>
              </a:solidFill>
              <a:ln cmpd="sng">
                <a:solidFill>
                  <a:srgbClr val="000000"/>
                </a:solidFill>
              </a:ln>
            </c:spPr>
          </c:dPt>
          <c:dPt>
            <c:idx val="228"/>
            <c:invertIfNegative val="1"/>
            <c:bubble3D val="0"/>
            <c:spPr>
              <a:solidFill>
                <a:srgbClr val="4285F4"/>
              </a:solidFill>
              <a:ln cmpd="sng">
                <a:solidFill>
                  <a:srgbClr val="000000"/>
                </a:solidFill>
              </a:ln>
            </c:spPr>
          </c:dPt>
          <c:dPt>
            <c:idx val="229"/>
            <c:invertIfNegative val="1"/>
            <c:bubble3D val="0"/>
            <c:spPr>
              <a:solidFill>
                <a:srgbClr val="4285F4"/>
              </a:solidFill>
              <a:ln cmpd="sng">
                <a:solidFill>
                  <a:srgbClr val="000000"/>
                </a:solidFill>
              </a:ln>
            </c:spPr>
          </c:dPt>
          <c:dPt>
            <c:idx val="230"/>
            <c:invertIfNegative val="1"/>
            <c:bubble3D val="0"/>
            <c:spPr>
              <a:solidFill>
                <a:srgbClr val="4285F4"/>
              </a:solidFill>
              <a:ln cmpd="sng">
                <a:solidFill>
                  <a:srgbClr val="000000"/>
                </a:solidFill>
              </a:ln>
            </c:spPr>
          </c:dPt>
          <c:dPt>
            <c:idx val="231"/>
            <c:invertIfNegative val="1"/>
            <c:bubble3D val="0"/>
            <c:spPr>
              <a:solidFill>
                <a:srgbClr val="4285F4"/>
              </a:solidFill>
              <a:ln cmpd="sng">
                <a:solidFill>
                  <a:srgbClr val="000000"/>
                </a:solidFill>
              </a:ln>
            </c:spPr>
          </c:dPt>
          <c:dPt>
            <c:idx val="232"/>
            <c:invertIfNegative val="1"/>
            <c:bubble3D val="0"/>
            <c:spPr>
              <a:solidFill>
                <a:srgbClr val="4285F4"/>
              </a:solidFill>
              <a:ln cmpd="sng">
                <a:solidFill>
                  <a:srgbClr val="000000"/>
                </a:solidFill>
              </a:ln>
            </c:spPr>
          </c:dPt>
          <c:dPt>
            <c:idx val="233"/>
            <c:invertIfNegative val="1"/>
            <c:bubble3D val="0"/>
            <c:spPr>
              <a:solidFill>
                <a:srgbClr val="4285F4"/>
              </a:solidFill>
              <a:ln cmpd="sng">
                <a:solidFill>
                  <a:srgbClr val="000000"/>
                </a:solidFill>
              </a:ln>
            </c:spPr>
          </c:dPt>
          <c:dPt>
            <c:idx val="234"/>
            <c:invertIfNegative val="1"/>
            <c:bubble3D val="0"/>
            <c:spPr>
              <a:solidFill>
                <a:srgbClr val="4285F4"/>
              </a:solidFill>
              <a:ln cmpd="sng">
                <a:solidFill>
                  <a:srgbClr val="000000"/>
                </a:solidFill>
              </a:ln>
            </c:spPr>
          </c:dPt>
          <c:dPt>
            <c:idx val="235"/>
            <c:invertIfNegative val="1"/>
            <c:bubble3D val="0"/>
            <c:spPr>
              <a:solidFill>
                <a:srgbClr val="4285F4"/>
              </a:solidFill>
              <a:ln cmpd="sng">
                <a:solidFill>
                  <a:srgbClr val="000000"/>
                </a:solidFill>
              </a:ln>
            </c:spPr>
          </c:dPt>
          <c:dPt>
            <c:idx val="236"/>
            <c:invertIfNegative val="1"/>
            <c:bubble3D val="0"/>
            <c:spPr>
              <a:solidFill>
                <a:srgbClr val="4285F4"/>
              </a:solidFill>
              <a:ln cmpd="sng">
                <a:solidFill>
                  <a:srgbClr val="000000"/>
                </a:solidFill>
              </a:ln>
            </c:spPr>
          </c:dPt>
          <c:dPt>
            <c:idx val="237"/>
            <c:invertIfNegative val="1"/>
            <c:bubble3D val="0"/>
            <c:spPr>
              <a:solidFill>
                <a:srgbClr val="4285F4"/>
              </a:solidFill>
              <a:ln cmpd="sng">
                <a:solidFill>
                  <a:srgbClr val="000000"/>
                </a:solidFill>
              </a:ln>
            </c:spPr>
          </c:dPt>
          <c:dPt>
            <c:idx val="238"/>
            <c:invertIfNegative val="1"/>
            <c:bubble3D val="0"/>
            <c:spPr>
              <a:solidFill>
                <a:srgbClr val="4285F4"/>
              </a:solidFill>
              <a:ln cmpd="sng">
                <a:solidFill>
                  <a:srgbClr val="000000"/>
                </a:solidFill>
              </a:ln>
            </c:spPr>
          </c:dPt>
          <c:dPt>
            <c:idx val="239"/>
            <c:invertIfNegative val="1"/>
            <c:bubble3D val="0"/>
            <c:spPr>
              <a:solidFill>
                <a:srgbClr val="4285F4"/>
              </a:solidFill>
              <a:ln cmpd="sng">
                <a:solidFill>
                  <a:srgbClr val="000000"/>
                </a:solidFill>
              </a:ln>
            </c:spPr>
          </c:dPt>
          <c:dPt>
            <c:idx val="240"/>
            <c:invertIfNegative val="1"/>
            <c:bubble3D val="0"/>
            <c:spPr>
              <a:solidFill>
                <a:srgbClr val="4285F4"/>
              </a:solidFill>
              <a:ln cmpd="sng">
                <a:solidFill>
                  <a:srgbClr val="000000"/>
                </a:solidFill>
              </a:ln>
            </c:spPr>
          </c:dPt>
          <c:dPt>
            <c:idx val="241"/>
            <c:invertIfNegative val="1"/>
            <c:bubble3D val="0"/>
            <c:spPr>
              <a:solidFill>
                <a:srgbClr val="4285F4"/>
              </a:solidFill>
              <a:ln cmpd="sng">
                <a:solidFill>
                  <a:srgbClr val="000000"/>
                </a:solidFill>
              </a:ln>
            </c:spPr>
          </c:dPt>
          <c:dPt>
            <c:idx val="242"/>
            <c:invertIfNegative val="1"/>
            <c:bubble3D val="0"/>
            <c:spPr>
              <a:solidFill>
                <a:srgbClr val="4285F4"/>
              </a:solidFill>
              <a:ln cmpd="sng">
                <a:solidFill>
                  <a:srgbClr val="000000"/>
                </a:solidFill>
              </a:ln>
            </c:spPr>
          </c:dPt>
          <c:dPt>
            <c:idx val="243"/>
            <c:invertIfNegative val="1"/>
            <c:bubble3D val="0"/>
            <c:spPr>
              <a:solidFill>
                <a:srgbClr val="4285F4"/>
              </a:solidFill>
              <a:ln cmpd="sng">
                <a:solidFill>
                  <a:srgbClr val="000000"/>
                </a:solidFill>
              </a:ln>
            </c:spPr>
          </c:dPt>
          <c:dPt>
            <c:idx val="244"/>
            <c:invertIfNegative val="1"/>
            <c:bubble3D val="0"/>
            <c:spPr>
              <a:solidFill>
                <a:srgbClr val="4285F4"/>
              </a:solidFill>
              <a:ln cmpd="sng">
                <a:solidFill>
                  <a:srgbClr val="000000"/>
                </a:solidFill>
              </a:ln>
            </c:spPr>
          </c:dPt>
          <c:dPt>
            <c:idx val="245"/>
            <c:invertIfNegative val="1"/>
            <c:bubble3D val="0"/>
            <c:spPr>
              <a:solidFill>
                <a:srgbClr val="4285F4"/>
              </a:solidFill>
              <a:ln cmpd="sng">
                <a:solidFill>
                  <a:srgbClr val="000000"/>
                </a:solidFill>
              </a:ln>
            </c:spPr>
          </c:dPt>
          <c:dPt>
            <c:idx val="246"/>
            <c:invertIfNegative val="1"/>
            <c:bubble3D val="0"/>
            <c:spPr>
              <a:solidFill>
                <a:srgbClr val="4285F4"/>
              </a:solidFill>
              <a:ln cmpd="sng">
                <a:solidFill>
                  <a:srgbClr val="000000"/>
                </a:solidFill>
              </a:ln>
            </c:spPr>
          </c:dPt>
          <c:dPt>
            <c:idx val="247"/>
            <c:invertIfNegative val="1"/>
            <c:bubble3D val="0"/>
            <c:spPr>
              <a:solidFill>
                <a:srgbClr val="4285F4"/>
              </a:solidFill>
              <a:ln cmpd="sng">
                <a:solidFill>
                  <a:srgbClr val="000000"/>
                </a:solidFill>
              </a:ln>
            </c:spPr>
          </c:dPt>
          <c:dPt>
            <c:idx val="248"/>
            <c:invertIfNegative val="1"/>
            <c:bubble3D val="0"/>
            <c:spPr>
              <a:solidFill>
                <a:srgbClr val="4285F4"/>
              </a:solidFill>
              <a:ln cmpd="sng">
                <a:solidFill>
                  <a:srgbClr val="000000"/>
                </a:solidFill>
              </a:ln>
            </c:spPr>
          </c:dPt>
          <c:dPt>
            <c:idx val="249"/>
            <c:invertIfNegative val="1"/>
            <c:bubble3D val="0"/>
            <c:spPr>
              <a:solidFill>
                <a:srgbClr val="4285F4"/>
              </a:solidFill>
              <a:ln cmpd="sng">
                <a:solidFill>
                  <a:srgbClr val="000000"/>
                </a:solidFill>
              </a:ln>
            </c:spPr>
          </c:dPt>
          <c:dPt>
            <c:idx val="250"/>
            <c:invertIfNegative val="1"/>
            <c:bubble3D val="0"/>
            <c:spPr>
              <a:solidFill>
                <a:srgbClr val="4285F4"/>
              </a:solidFill>
              <a:ln cmpd="sng">
                <a:solidFill>
                  <a:srgbClr val="000000"/>
                </a:solidFill>
              </a:ln>
            </c:spPr>
          </c:dPt>
          <c:dPt>
            <c:idx val="251"/>
            <c:invertIfNegative val="1"/>
            <c:bubble3D val="0"/>
            <c:spPr>
              <a:solidFill>
                <a:srgbClr val="4285F4"/>
              </a:solidFill>
              <a:ln cmpd="sng">
                <a:solidFill>
                  <a:srgbClr val="000000"/>
                </a:solidFill>
              </a:ln>
            </c:spPr>
          </c:dPt>
          <c:dPt>
            <c:idx val="252"/>
            <c:invertIfNegative val="1"/>
            <c:bubble3D val="0"/>
            <c:spPr>
              <a:solidFill>
                <a:srgbClr val="4285F4"/>
              </a:solidFill>
              <a:ln cmpd="sng">
                <a:solidFill>
                  <a:srgbClr val="000000"/>
                </a:solidFill>
              </a:ln>
            </c:spPr>
          </c:dPt>
          <c:dPt>
            <c:idx val="253"/>
            <c:invertIfNegative val="1"/>
            <c:bubble3D val="0"/>
            <c:spPr>
              <a:solidFill>
                <a:srgbClr val="4285F4"/>
              </a:solidFill>
              <a:ln cmpd="sng">
                <a:solidFill>
                  <a:srgbClr val="000000"/>
                </a:solidFill>
              </a:ln>
            </c:spPr>
          </c:dPt>
          <c:dPt>
            <c:idx val="254"/>
            <c:invertIfNegative val="1"/>
            <c:bubble3D val="0"/>
            <c:spPr>
              <a:solidFill>
                <a:srgbClr val="4285F4"/>
              </a:solidFill>
              <a:ln cmpd="sng">
                <a:solidFill>
                  <a:srgbClr val="000000"/>
                </a:solidFill>
              </a:ln>
            </c:spPr>
          </c:dPt>
          <c:dPt>
            <c:idx val="255"/>
            <c:invertIfNegative val="1"/>
            <c:bubble3D val="0"/>
            <c:spPr>
              <a:solidFill>
                <a:srgbClr val="4285F4"/>
              </a:solidFill>
              <a:ln cmpd="sng">
                <a:solidFill>
                  <a:srgbClr val="000000"/>
                </a:solidFill>
              </a:ln>
            </c:spPr>
          </c:dPt>
          <c:dPt>
            <c:idx val="256"/>
            <c:invertIfNegative val="1"/>
            <c:bubble3D val="0"/>
            <c:spPr>
              <a:solidFill>
                <a:srgbClr val="4285F4"/>
              </a:solidFill>
              <a:ln cmpd="sng">
                <a:solidFill>
                  <a:srgbClr val="000000"/>
                </a:solidFill>
              </a:ln>
            </c:spPr>
          </c:dPt>
          <c:dPt>
            <c:idx val="257"/>
            <c:invertIfNegative val="1"/>
            <c:bubble3D val="0"/>
            <c:spPr>
              <a:solidFill>
                <a:srgbClr val="4285F4"/>
              </a:solidFill>
              <a:ln cmpd="sng">
                <a:solidFill>
                  <a:srgbClr val="000000"/>
                </a:solidFill>
              </a:ln>
            </c:spPr>
          </c:dPt>
          <c:dPt>
            <c:idx val="258"/>
            <c:invertIfNegative val="1"/>
            <c:bubble3D val="0"/>
            <c:spPr>
              <a:solidFill>
                <a:srgbClr val="4285F4"/>
              </a:solidFill>
              <a:ln cmpd="sng">
                <a:solidFill>
                  <a:srgbClr val="000000"/>
                </a:solidFill>
              </a:ln>
            </c:spPr>
          </c:dPt>
          <c:dPt>
            <c:idx val="259"/>
            <c:invertIfNegative val="1"/>
            <c:bubble3D val="0"/>
            <c:spPr>
              <a:solidFill>
                <a:srgbClr val="4285F4"/>
              </a:solidFill>
              <a:ln cmpd="sng">
                <a:solidFill>
                  <a:srgbClr val="000000"/>
                </a:solidFill>
              </a:ln>
            </c:spPr>
          </c:dPt>
          <c:dPt>
            <c:idx val="260"/>
            <c:invertIfNegative val="1"/>
            <c:bubble3D val="0"/>
            <c:spPr>
              <a:solidFill>
                <a:srgbClr val="4285F4"/>
              </a:solidFill>
              <a:ln cmpd="sng">
                <a:solidFill>
                  <a:srgbClr val="000000"/>
                </a:solidFill>
              </a:ln>
            </c:spPr>
          </c:dPt>
          <c:dPt>
            <c:idx val="261"/>
            <c:invertIfNegative val="1"/>
            <c:bubble3D val="0"/>
            <c:spPr>
              <a:solidFill>
                <a:srgbClr val="4285F4"/>
              </a:solidFill>
              <a:ln cmpd="sng">
                <a:solidFill>
                  <a:srgbClr val="000000"/>
                </a:solidFill>
              </a:ln>
            </c:spPr>
          </c:dPt>
          <c:dPt>
            <c:idx val="262"/>
            <c:invertIfNegative val="1"/>
            <c:bubble3D val="0"/>
            <c:spPr>
              <a:solidFill>
                <a:srgbClr val="4285F4"/>
              </a:solidFill>
              <a:ln cmpd="sng">
                <a:solidFill>
                  <a:srgbClr val="000000"/>
                </a:solidFill>
              </a:ln>
            </c:spPr>
          </c:dPt>
          <c:dPt>
            <c:idx val="263"/>
            <c:invertIfNegative val="1"/>
            <c:bubble3D val="0"/>
            <c:spPr>
              <a:solidFill>
                <a:srgbClr val="4285F4"/>
              </a:solidFill>
              <a:ln cmpd="sng">
                <a:solidFill>
                  <a:srgbClr val="000000"/>
                </a:solidFill>
              </a:ln>
            </c:spPr>
          </c:dPt>
          <c:dPt>
            <c:idx val="264"/>
            <c:invertIfNegative val="1"/>
            <c:bubble3D val="0"/>
            <c:spPr>
              <a:solidFill>
                <a:srgbClr val="4285F4"/>
              </a:solidFill>
              <a:ln cmpd="sng">
                <a:solidFill>
                  <a:srgbClr val="000000"/>
                </a:solidFill>
              </a:ln>
            </c:spPr>
          </c:dPt>
          <c:dPt>
            <c:idx val="265"/>
            <c:invertIfNegative val="1"/>
            <c:bubble3D val="0"/>
            <c:spPr>
              <a:solidFill>
                <a:srgbClr val="4285F4"/>
              </a:solidFill>
              <a:ln cmpd="sng">
                <a:solidFill>
                  <a:srgbClr val="000000"/>
                </a:solidFill>
              </a:ln>
            </c:spPr>
          </c:dPt>
          <c:dPt>
            <c:idx val="266"/>
            <c:invertIfNegative val="1"/>
            <c:bubble3D val="0"/>
            <c:spPr>
              <a:solidFill>
                <a:srgbClr val="4285F4"/>
              </a:solidFill>
              <a:ln cmpd="sng">
                <a:solidFill>
                  <a:srgbClr val="000000"/>
                </a:solidFill>
              </a:ln>
            </c:spPr>
          </c:dPt>
          <c:dPt>
            <c:idx val="267"/>
            <c:invertIfNegative val="1"/>
            <c:bubble3D val="0"/>
            <c:spPr>
              <a:solidFill>
                <a:srgbClr val="4285F4"/>
              </a:solidFill>
              <a:ln cmpd="sng">
                <a:solidFill>
                  <a:srgbClr val="000000"/>
                </a:solidFill>
              </a:ln>
            </c:spPr>
          </c:dPt>
          <c:dPt>
            <c:idx val="268"/>
            <c:invertIfNegative val="1"/>
            <c:bubble3D val="0"/>
            <c:spPr>
              <a:solidFill>
                <a:srgbClr val="4285F4"/>
              </a:solidFill>
              <a:ln cmpd="sng">
                <a:solidFill>
                  <a:srgbClr val="000000"/>
                </a:solidFill>
              </a:ln>
            </c:spPr>
          </c:dPt>
          <c:dPt>
            <c:idx val="269"/>
            <c:invertIfNegative val="1"/>
            <c:bubble3D val="0"/>
            <c:spPr>
              <a:solidFill>
                <a:srgbClr val="4285F4"/>
              </a:solidFill>
              <a:ln cmpd="sng">
                <a:solidFill>
                  <a:srgbClr val="000000"/>
                </a:solidFill>
              </a:ln>
            </c:spPr>
          </c:dPt>
          <c:dPt>
            <c:idx val="270"/>
            <c:invertIfNegative val="1"/>
            <c:bubble3D val="0"/>
            <c:spPr>
              <a:solidFill>
                <a:srgbClr val="4285F4"/>
              </a:solidFill>
              <a:ln cmpd="sng">
                <a:solidFill>
                  <a:srgbClr val="000000"/>
                </a:solidFill>
              </a:ln>
            </c:spPr>
          </c:dPt>
          <c:dPt>
            <c:idx val="271"/>
            <c:invertIfNegative val="1"/>
            <c:bubble3D val="0"/>
            <c:spPr>
              <a:solidFill>
                <a:srgbClr val="4285F4"/>
              </a:solidFill>
              <a:ln cmpd="sng">
                <a:solidFill>
                  <a:srgbClr val="000000"/>
                </a:solidFill>
              </a:ln>
            </c:spPr>
          </c:dPt>
          <c:dPt>
            <c:idx val="272"/>
            <c:invertIfNegative val="1"/>
            <c:bubble3D val="0"/>
            <c:spPr>
              <a:solidFill>
                <a:srgbClr val="4285F4"/>
              </a:solidFill>
              <a:ln cmpd="sng">
                <a:solidFill>
                  <a:srgbClr val="000000"/>
                </a:solidFill>
              </a:ln>
            </c:spPr>
          </c:dPt>
          <c:dPt>
            <c:idx val="273"/>
            <c:invertIfNegative val="1"/>
            <c:bubble3D val="0"/>
            <c:spPr>
              <a:solidFill>
                <a:srgbClr val="4285F4"/>
              </a:solidFill>
              <a:ln cmpd="sng">
                <a:solidFill>
                  <a:srgbClr val="000000"/>
                </a:solidFill>
              </a:ln>
            </c:spPr>
          </c:dPt>
          <c:dPt>
            <c:idx val="274"/>
            <c:invertIfNegative val="1"/>
            <c:bubble3D val="0"/>
            <c:spPr>
              <a:solidFill>
                <a:srgbClr val="4285F4"/>
              </a:solidFill>
              <a:ln cmpd="sng">
                <a:solidFill>
                  <a:srgbClr val="000000"/>
                </a:solidFill>
              </a:ln>
            </c:spPr>
          </c:dPt>
          <c:dPt>
            <c:idx val="275"/>
            <c:invertIfNegative val="1"/>
            <c:bubble3D val="0"/>
            <c:spPr>
              <a:solidFill>
                <a:srgbClr val="4285F4"/>
              </a:solidFill>
              <a:ln cmpd="sng">
                <a:solidFill>
                  <a:srgbClr val="000000"/>
                </a:solidFill>
              </a:ln>
            </c:spPr>
          </c:dPt>
          <c:dPt>
            <c:idx val="276"/>
            <c:invertIfNegative val="1"/>
            <c:bubble3D val="0"/>
            <c:spPr>
              <a:solidFill>
                <a:srgbClr val="4285F4"/>
              </a:solidFill>
              <a:ln cmpd="sng">
                <a:solidFill>
                  <a:srgbClr val="000000"/>
                </a:solidFill>
              </a:ln>
            </c:spPr>
          </c:dPt>
          <c:dPt>
            <c:idx val="277"/>
            <c:invertIfNegative val="1"/>
            <c:bubble3D val="0"/>
            <c:spPr>
              <a:solidFill>
                <a:srgbClr val="4285F4"/>
              </a:solidFill>
              <a:ln cmpd="sng">
                <a:solidFill>
                  <a:srgbClr val="000000"/>
                </a:solidFill>
              </a:ln>
            </c:spPr>
          </c:dPt>
          <c:dPt>
            <c:idx val="278"/>
            <c:invertIfNegative val="1"/>
            <c:bubble3D val="0"/>
            <c:spPr>
              <a:solidFill>
                <a:srgbClr val="4285F4"/>
              </a:solidFill>
              <a:ln cmpd="sng">
                <a:solidFill>
                  <a:srgbClr val="000000"/>
                </a:solidFill>
              </a:ln>
            </c:spPr>
          </c:dPt>
          <c:dPt>
            <c:idx val="279"/>
            <c:invertIfNegative val="1"/>
            <c:bubble3D val="0"/>
            <c:spPr>
              <a:solidFill>
                <a:srgbClr val="4285F4"/>
              </a:solidFill>
              <a:ln cmpd="sng">
                <a:solidFill>
                  <a:srgbClr val="000000"/>
                </a:solidFill>
              </a:ln>
            </c:spPr>
          </c:dPt>
          <c:dPt>
            <c:idx val="280"/>
            <c:invertIfNegative val="1"/>
            <c:bubble3D val="0"/>
            <c:spPr>
              <a:solidFill>
                <a:srgbClr val="4285F4"/>
              </a:solidFill>
              <a:ln cmpd="sng">
                <a:solidFill>
                  <a:srgbClr val="000000"/>
                </a:solidFill>
              </a:ln>
            </c:spPr>
          </c:dPt>
          <c:dPt>
            <c:idx val="281"/>
            <c:invertIfNegative val="1"/>
            <c:bubble3D val="0"/>
            <c:spPr>
              <a:solidFill>
                <a:srgbClr val="4285F4"/>
              </a:solidFill>
              <a:ln cmpd="sng">
                <a:solidFill>
                  <a:srgbClr val="000000"/>
                </a:solidFill>
              </a:ln>
            </c:spPr>
          </c:dPt>
          <c:dPt>
            <c:idx val="282"/>
            <c:invertIfNegative val="1"/>
            <c:bubble3D val="0"/>
            <c:spPr>
              <a:solidFill>
                <a:srgbClr val="4285F4"/>
              </a:solidFill>
              <a:ln cmpd="sng">
                <a:solidFill>
                  <a:srgbClr val="000000"/>
                </a:solidFill>
              </a:ln>
            </c:spPr>
          </c:dPt>
          <c:dPt>
            <c:idx val="283"/>
            <c:invertIfNegative val="1"/>
            <c:bubble3D val="0"/>
            <c:spPr>
              <a:solidFill>
                <a:srgbClr val="4285F4"/>
              </a:solidFill>
              <a:ln cmpd="sng">
                <a:solidFill>
                  <a:srgbClr val="000000"/>
                </a:solidFill>
              </a:ln>
            </c:spPr>
          </c:dPt>
          <c:dPt>
            <c:idx val="284"/>
            <c:invertIfNegative val="1"/>
            <c:bubble3D val="0"/>
            <c:spPr>
              <a:solidFill>
                <a:srgbClr val="4285F4"/>
              </a:solidFill>
              <a:ln cmpd="sng">
                <a:solidFill>
                  <a:srgbClr val="000000"/>
                </a:solidFill>
              </a:ln>
            </c:spPr>
          </c:dPt>
          <c:dPt>
            <c:idx val="285"/>
            <c:invertIfNegative val="1"/>
            <c:bubble3D val="0"/>
            <c:spPr>
              <a:solidFill>
                <a:srgbClr val="4285F4"/>
              </a:solidFill>
              <a:ln cmpd="sng">
                <a:solidFill>
                  <a:srgbClr val="000000"/>
                </a:solidFill>
              </a:ln>
            </c:spPr>
          </c:dPt>
          <c:dPt>
            <c:idx val="286"/>
            <c:invertIfNegative val="1"/>
            <c:bubble3D val="0"/>
            <c:spPr>
              <a:solidFill>
                <a:srgbClr val="4285F4"/>
              </a:solidFill>
              <a:ln cmpd="sng">
                <a:solidFill>
                  <a:srgbClr val="000000"/>
                </a:solidFill>
              </a:ln>
            </c:spPr>
          </c:dPt>
          <c:dPt>
            <c:idx val="287"/>
            <c:invertIfNegative val="1"/>
            <c:bubble3D val="0"/>
            <c:spPr>
              <a:solidFill>
                <a:srgbClr val="4285F4"/>
              </a:solidFill>
              <a:ln cmpd="sng">
                <a:solidFill>
                  <a:srgbClr val="000000"/>
                </a:solidFill>
              </a:ln>
            </c:spPr>
          </c:dPt>
          <c:dPt>
            <c:idx val="288"/>
            <c:invertIfNegative val="1"/>
            <c:bubble3D val="0"/>
            <c:spPr>
              <a:solidFill>
                <a:srgbClr val="4285F4"/>
              </a:solidFill>
              <a:ln cmpd="sng">
                <a:solidFill>
                  <a:srgbClr val="000000"/>
                </a:solidFill>
              </a:ln>
            </c:spPr>
          </c:dPt>
          <c:dPt>
            <c:idx val="289"/>
            <c:invertIfNegative val="1"/>
            <c:bubble3D val="0"/>
            <c:spPr>
              <a:solidFill>
                <a:srgbClr val="4285F4"/>
              </a:solidFill>
              <a:ln cmpd="sng">
                <a:solidFill>
                  <a:srgbClr val="000000"/>
                </a:solidFill>
              </a:ln>
            </c:spPr>
          </c:dPt>
          <c:dPt>
            <c:idx val="290"/>
            <c:invertIfNegative val="1"/>
            <c:bubble3D val="0"/>
            <c:spPr>
              <a:solidFill>
                <a:srgbClr val="4285F4"/>
              </a:solidFill>
              <a:ln cmpd="sng">
                <a:solidFill>
                  <a:srgbClr val="000000"/>
                </a:solidFill>
              </a:ln>
            </c:spPr>
          </c:dPt>
          <c:dPt>
            <c:idx val="291"/>
            <c:invertIfNegative val="1"/>
            <c:bubble3D val="0"/>
            <c:spPr>
              <a:solidFill>
                <a:srgbClr val="4285F4"/>
              </a:solidFill>
              <a:ln cmpd="sng">
                <a:solidFill>
                  <a:srgbClr val="000000"/>
                </a:solidFill>
              </a:ln>
            </c:spPr>
          </c:dPt>
          <c:dPt>
            <c:idx val="292"/>
            <c:invertIfNegative val="1"/>
            <c:bubble3D val="0"/>
            <c:spPr>
              <a:solidFill>
                <a:srgbClr val="4285F4"/>
              </a:solidFill>
              <a:ln cmpd="sng">
                <a:solidFill>
                  <a:srgbClr val="000000"/>
                </a:solidFill>
              </a:ln>
            </c:spPr>
          </c:dPt>
          <c:dPt>
            <c:idx val="293"/>
            <c:invertIfNegative val="1"/>
            <c:bubble3D val="0"/>
            <c:spPr>
              <a:solidFill>
                <a:srgbClr val="4285F4"/>
              </a:solidFill>
              <a:ln cmpd="sng">
                <a:solidFill>
                  <a:srgbClr val="000000"/>
                </a:solidFill>
              </a:ln>
            </c:spPr>
          </c:dPt>
          <c:dPt>
            <c:idx val="294"/>
            <c:invertIfNegative val="1"/>
            <c:bubble3D val="0"/>
            <c:spPr>
              <a:solidFill>
                <a:srgbClr val="4285F4"/>
              </a:solidFill>
              <a:ln cmpd="sng">
                <a:solidFill>
                  <a:srgbClr val="000000"/>
                </a:solidFill>
              </a:ln>
            </c:spPr>
          </c:dPt>
          <c:dPt>
            <c:idx val="295"/>
            <c:invertIfNegative val="1"/>
            <c:bubble3D val="0"/>
            <c:spPr>
              <a:solidFill>
                <a:srgbClr val="4285F4"/>
              </a:solidFill>
              <a:ln cmpd="sng">
                <a:solidFill>
                  <a:srgbClr val="000000"/>
                </a:solidFill>
              </a:ln>
            </c:spPr>
          </c:dPt>
          <c:dPt>
            <c:idx val="296"/>
            <c:invertIfNegative val="1"/>
            <c:bubble3D val="0"/>
            <c:spPr>
              <a:solidFill>
                <a:srgbClr val="4285F4"/>
              </a:solidFill>
              <a:ln cmpd="sng">
                <a:solidFill>
                  <a:srgbClr val="000000"/>
                </a:solidFill>
              </a:ln>
            </c:spPr>
          </c:dPt>
          <c:dPt>
            <c:idx val="297"/>
            <c:invertIfNegative val="1"/>
            <c:bubble3D val="0"/>
            <c:spPr>
              <a:solidFill>
                <a:srgbClr val="4285F4"/>
              </a:solidFill>
              <a:ln cmpd="sng">
                <a:solidFill>
                  <a:srgbClr val="000000"/>
                </a:solidFill>
              </a:ln>
            </c:spPr>
          </c:dPt>
          <c:dPt>
            <c:idx val="298"/>
            <c:invertIfNegative val="1"/>
            <c:bubble3D val="0"/>
            <c:spPr>
              <a:solidFill>
                <a:srgbClr val="4285F4"/>
              </a:solidFill>
              <a:ln cmpd="sng">
                <a:solidFill>
                  <a:srgbClr val="000000"/>
                </a:solidFill>
              </a:ln>
            </c:spPr>
          </c:dPt>
          <c:dPt>
            <c:idx val="299"/>
            <c:invertIfNegative val="1"/>
            <c:bubble3D val="0"/>
            <c:spPr>
              <a:solidFill>
                <a:srgbClr val="4285F4"/>
              </a:solidFill>
              <a:ln cmpd="sng">
                <a:solidFill>
                  <a:srgbClr val="000000"/>
                </a:solidFill>
              </a:ln>
            </c:spPr>
          </c:dPt>
          <c:dPt>
            <c:idx val="300"/>
            <c:invertIfNegative val="1"/>
            <c:bubble3D val="0"/>
            <c:spPr>
              <a:solidFill>
                <a:srgbClr val="4285F4"/>
              </a:solidFill>
              <a:ln cmpd="sng">
                <a:solidFill>
                  <a:srgbClr val="000000"/>
                </a:solidFill>
              </a:ln>
            </c:spPr>
          </c:dPt>
          <c:dPt>
            <c:idx val="301"/>
            <c:invertIfNegative val="1"/>
            <c:bubble3D val="0"/>
            <c:spPr>
              <a:solidFill>
                <a:srgbClr val="4285F4"/>
              </a:solidFill>
              <a:ln cmpd="sng">
                <a:solidFill>
                  <a:srgbClr val="000000"/>
                </a:solidFill>
              </a:ln>
            </c:spPr>
          </c:dPt>
          <c:dPt>
            <c:idx val="302"/>
            <c:invertIfNegative val="1"/>
            <c:bubble3D val="0"/>
            <c:spPr>
              <a:solidFill>
                <a:srgbClr val="4285F4"/>
              </a:solidFill>
              <a:ln cmpd="sng">
                <a:solidFill>
                  <a:srgbClr val="000000"/>
                </a:solidFill>
              </a:ln>
            </c:spPr>
          </c:dPt>
          <c:dPt>
            <c:idx val="303"/>
            <c:invertIfNegative val="1"/>
            <c:bubble3D val="0"/>
            <c:spPr>
              <a:solidFill>
                <a:srgbClr val="4285F4"/>
              </a:solidFill>
              <a:ln cmpd="sng">
                <a:solidFill>
                  <a:srgbClr val="000000"/>
                </a:solidFill>
              </a:ln>
            </c:spPr>
          </c:dPt>
          <c:dPt>
            <c:idx val="304"/>
            <c:invertIfNegative val="1"/>
            <c:bubble3D val="0"/>
            <c:spPr>
              <a:solidFill>
                <a:srgbClr val="4285F4"/>
              </a:solidFill>
              <a:ln cmpd="sng">
                <a:solidFill>
                  <a:srgbClr val="000000"/>
                </a:solidFill>
              </a:ln>
            </c:spPr>
          </c:dPt>
          <c:dPt>
            <c:idx val="305"/>
            <c:invertIfNegative val="1"/>
            <c:bubble3D val="0"/>
            <c:spPr>
              <a:solidFill>
                <a:srgbClr val="4285F4"/>
              </a:solidFill>
              <a:ln cmpd="sng">
                <a:solidFill>
                  <a:srgbClr val="000000"/>
                </a:solidFill>
              </a:ln>
            </c:spPr>
          </c:dPt>
          <c:dPt>
            <c:idx val="306"/>
            <c:invertIfNegative val="1"/>
            <c:bubble3D val="0"/>
            <c:spPr>
              <a:solidFill>
                <a:srgbClr val="4285F4"/>
              </a:solidFill>
              <a:ln cmpd="sng">
                <a:solidFill>
                  <a:srgbClr val="000000"/>
                </a:solidFill>
              </a:ln>
            </c:spPr>
          </c:dPt>
          <c:dPt>
            <c:idx val="307"/>
            <c:invertIfNegative val="1"/>
            <c:bubble3D val="0"/>
            <c:spPr>
              <a:solidFill>
                <a:srgbClr val="4285F4"/>
              </a:solidFill>
              <a:ln cmpd="sng">
                <a:solidFill>
                  <a:srgbClr val="000000"/>
                </a:solidFill>
              </a:ln>
            </c:spPr>
          </c:dPt>
          <c:dPt>
            <c:idx val="308"/>
            <c:invertIfNegative val="1"/>
            <c:bubble3D val="0"/>
            <c:spPr>
              <a:solidFill>
                <a:srgbClr val="4285F4"/>
              </a:solidFill>
              <a:ln cmpd="sng">
                <a:solidFill>
                  <a:srgbClr val="000000"/>
                </a:solidFill>
              </a:ln>
            </c:spPr>
          </c:dPt>
          <c:dPt>
            <c:idx val="309"/>
            <c:invertIfNegative val="1"/>
            <c:bubble3D val="0"/>
            <c:spPr>
              <a:solidFill>
                <a:srgbClr val="4285F4"/>
              </a:solidFill>
              <a:ln cmpd="sng">
                <a:solidFill>
                  <a:srgbClr val="000000"/>
                </a:solidFill>
              </a:ln>
            </c:spPr>
          </c:dPt>
          <c:dPt>
            <c:idx val="310"/>
            <c:invertIfNegative val="1"/>
            <c:bubble3D val="0"/>
            <c:spPr>
              <a:solidFill>
                <a:srgbClr val="4285F4"/>
              </a:solidFill>
              <a:ln cmpd="sng">
                <a:solidFill>
                  <a:srgbClr val="000000"/>
                </a:solidFill>
              </a:ln>
            </c:spPr>
          </c:dPt>
          <c:dPt>
            <c:idx val="311"/>
            <c:invertIfNegative val="1"/>
            <c:bubble3D val="0"/>
            <c:spPr>
              <a:solidFill>
                <a:srgbClr val="4285F4"/>
              </a:solidFill>
              <a:ln cmpd="sng">
                <a:solidFill>
                  <a:srgbClr val="000000"/>
                </a:solidFill>
              </a:ln>
            </c:spPr>
          </c:dPt>
          <c:dPt>
            <c:idx val="312"/>
            <c:invertIfNegative val="1"/>
            <c:bubble3D val="0"/>
            <c:spPr>
              <a:solidFill>
                <a:srgbClr val="4285F4"/>
              </a:solidFill>
              <a:ln cmpd="sng">
                <a:solidFill>
                  <a:srgbClr val="000000"/>
                </a:solidFill>
              </a:ln>
            </c:spPr>
          </c:dPt>
          <c:dPt>
            <c:idx val="313"/>
            <c:invertIfNegative val="1"/>
            <c:bubble3D val="0"/>
            <c:spPr>
              <a:solidFill>
                <a:srgbClr val="4285F4"/>
              </a:solidFill>
              <a:ln cmpd="sng">
                <a:solidFill>
                  <a:srgbClr val="000000"/>
                </a:solidFill>
              </a:ln>
            </c:spPr>
          </c:dPt>
          <c:dPt>
            <c:idx val="314"/>
            <c:invertIfNegative val="1"/>
            <c:bubble3D val="0"/>
            <c:spPr>
              <a:solidFill>
                <a:srgbClr val="4285F4"/>
              </a:solidFill>
              <a:ln cmpd="sng">
                <a:solidFill>
                  <a:srgbClr val="000000"/>
                </a:solidFill>
              </a:ln>
            </c:spPr>
          </c:dPt>
          <c:dPt>
            <c:idx val="315"/>
            <c:invertIfNegative val="1"/>
            <c:bubble3D val="0"/>
            <c:spPr>
              <a:solidFill>
                <a:srgbClr val="4285F4"/>
              </a:solidFill>
              <a:ln cmpd="sng">
                <a:solidFill>
                  <a:srgbClr val="000000"/>
                </a:solidFill>
              </a:ln>
            </c:spPr>
          </c:dPt>
          <c:dPt>
            <c:idx val="316"/>
            <c:invertIfNegative val="1"/>
            <c:bubble3D val="0"/>
            <c:spPr>
              <a:solidFill>
                <a:srgbClr val="4285F4"/>
              </a:solidFill>
              <a:ln cmpd="sng">
                <a:solidFill>
                  <a:srgbClr val="000000"/>
                </a:solidFill>
              </a:ln>
            </c:spPr>
          </c:dPt>
          <c:dPt>
            <c:idx val="317"/>
            <c:invertIfNegative val="1"/>
            <c:bubble3D val="0"/>
            <c:spPr>
              <a:solidFill>
                <a:srgbClr val="4285F4"/>
              </a:solidFill>
              <a:ln cmpd="sng">
                <a:solidFill>
                  <a:srgbClr val="000000"/>
                </a:solidFill>
              </a:ln>
            </c:spPr>
          </c:dPt>
          <c:dPt>
            <c:idx val="318"/>
            <c:invertIfNegative val="1"/>
            <c:bubble3D val="0"/>
            <c:spPr>
              <a:solidFill>
                <a:srgbClr val="4285F4"/>
              </a:solidFill>
              <a:ln cmpd="sng">
                <a:solidFill>
                  <a:srgbClr val="000000"/>
                </a:solidFill>
              </a:ln>
            </c:spPr>
          </c:dPt>
          <c:dPt>
            <c:idx val="319"/>
            <c:invertIfNegative val="1"/>
            <c:bubble3D val="0"/>
            <c:spPr>
              <a:solidFill>
                <a:srgbClr val="4285F4"/>
              </a:solidFill>
              <a:ln cmpd="sng">
                <a:solidFill>
                  <a:srgbClr val="000000"/>
                </a:solidFill>
              </a:ln>
            </c:spPr>
          </c:dPt>
          <c:dPt>
            <c:idx val="320"/>
            <c:invertIfNegative val="1"/>
            <c:bubble3D val="0"/>
            <c:spPr>
              <a:solidFill>
                <a:srgbClr val="4285F4"/>
              </a:solidFill>
              <a:ln cmpd="sng">
                <a:solidFill>
                  <a:srgbClr val="000000"/>
                </a:solidFill>
              </a:ln>
            </c:spPr>
          </c:dPt>
          <c:dPt>
            <c:idx val="321"/>
            <c:invertIfNegative val="1"/>
            <c:bubble3D val="0"/>
            <c:spPr>
              <a:solidFill>
                <a:srgbClr val="4285F4"/>
              </a:solidFill>
              <a:ln cmpd="sng">
                <a:solidFill>
                  <a:srgbClr val="000000"/>
                </a:solidFill>
              </a:ln>
            </c:spPr>
          </c:dPt>
          <c:dPt>
            <c:idx val="322"/>
            <c:invertIfNegative val="1"/>
            <c:bubble3D val="0"/>
            <c:spPr>
              <a:solidFill>
                <a:srgbClr val="4285F4"/>
              </a:solidFill>
              <a:ln cmpd="sng">
                <a:solidFill>
                  <a:srgbClr val="000000"/>
                </a:solidFill>
              </a:ln>
            </c:spPr>
          </c:dPt>
          <c:dPt>
            <c:idx val="323"/>
            <c:invertIfNegative val="1"/>
            <c:bubble3D val="0"/>
            <c:spPr>
              <a:solidFill>
                <a:srgbClr val="4285F4"/>
              </a:solidFill>
              <a:ln cmpd="sng">
                <a:solidFill>
                  <a:srgbClr val="000000"/>
                </a:solidFill>
              </a:ln>
            </c:spPr>
          </c:dPt>
          <c:dPt>
            <c:idx val="324"/>
            <c:invertIfNegative val="1"/>
            <c:bubble3D val="0"/>
            <c:spPr>
              <a:solidFill>
                <a:srgbClr val="4285F4"/>
              </a:solidFill>
              <a:ln cmpd="sng">
                <a:solidFill>
                  <a:srgbClr val="000000"/>
                </a:solidFill>
              </a:ln>
            </c:spPr>
          </c:dPt>
          <c:dPt>
            <c:idx val="325"/>
            <c:invertIfNegative val="1"/>
            <c:bubble3D val="0"/>
            <c:spPr>
              <a:solidFill>
                <a:srgbClr val="4285F4"/>
              </a:solidFill>
              <a:ln cmpd="sng">
                <a:solidFill>
                  <a:srgbClr val="000000"/>
                </a:solidFill>
              </a:ln>
            </c:spPr>
          </c:dPt>
          <c:dPt>
            <c:idx val="326"/>
            <c:invertIfNegative val="1"/>
            <c:bubble3D val="0"/>
            <c:spPr>
              <a:solidFill>
                <a:srgbClr val="4285F4"/>
              </a:solidFill>
              <a:ln cmpd="sng">
                <a:solidFill>
                  <a:srgbClr val="000000"/>
                </a:solidFill>
              </a:ln>
            </c:spPr>
          </c:dPt>
          <c:dPt>
            <c:idx val="327"/>
            <c:invertIfNegative val="1"/>
            <c:bubble3D val="0"/>
            <c:spPr>
              <a:solidFill>
                <a:srgbClr val="4285F4"/>
              </a:solidFill>
              <a:ln cmpd="sng">
                <a:solidFill>
                  <a:srgbClr val="000000"/>
                </a:solidFill>
              </a:ln>
            </c:spPr>
          </c:dPt>
          <c:dPt>
            <c:idx val="328"/>
            <c:invertIfNegative val="1"/>
            <c:bubble3D val="0"/>
            <c:spPr>
              <a:solidFill>
                <a:srgbClr val="4285F4"/>
              </a:solidFill>
              <a:ln cmpd="sng">
                <a:solidFill>
                  <a:srgbClr val="000000"/>
                </a:solidFill>
              </a:ln>
            </c:spPr>
          </c:dPt>
          <c:dPt>
            <c:idx val="329"/>
            <c:invertIfNegative val="1"/>
            <c:bubble3D val="0"/>
            <c:spPr>
              <a:solidFill>
                <a:srgbClr val="4285F4"/>
              </a:solidFill>
              <a:ln cmpd="sng">
                <a:solidFill>
                  <a:srgbClr val="000000"/>
                </a:solidFill>
              </a:ln>
            </c:spPr>
          </c:dPt>
          <c:dPt>
            <c:idx val="330"/>
            <c:invertIfNegative val="1"/>
            <c:bubble3D val="0"/>
            <c:spPr>
              <a:solidFill>
                <a:srgbClr val="4285F4"/>
              </a:solidFill>
              <a:ln cmpd="sng">
                <a:solidFill>
                  <a:srgbClr val="000000"/>
                </a:solidFill>
              </a:ln>
            </c:spPr>
          </c:dPt>
          <c:dPt>
            <c:idx val="331"/>
            <c:invertIfNegative val="1"/>
            <c:bubble3D val="0"/>
            <c:spPr>
              <a:solidFill>
                <a:srgbClr val="4285F4"/>
              </a:solidFill>
              <a:ln cmpd="sng">
                <a:solidFill>
                  <a:srgbClr val="000000"/>
                </a:solidFill>
              </a:ln>
            </c:spPr>
          </c:dPt>
          <c:dPt>
            <c:idx val="332"/>
            <c:invertIfNegative val="1"/>
            <c:bubble3D val="0"/>
            <c:spPr>
              <a:solidFill>
                <a:srgbClr val="4285F4"/>
              </a:solidFill>
              <a:ln cmpd="sng">
                <a:solidFill>
                  <a:srgbClr val="000000"/>
                </a:solidFill>
              </a:ln>
            </c:spPr>
          </c:dPt>
          <c:dPt>
            <c:idx val="333"/>
            <c:invertIfNegative val="1"/>
            <c:bubble3D val="0"/>
            <c:spPr>
              <a:solidFill>
                <a:srgbClr val="4285F4"/>
              </a:solidFill>
              <a:ln cmpd="sng">
                <a:solidFill>
                  <a:srgbClr val="000000"/>
                </a:solidFill>
              </a:ln>
            </c:spPr>
          </c:dPt>
          <c:dPt>
            <c:idx val="334"/>
            <c:invertIfNegative val="1"/>
            <c:bubble3D val="0"/>
            <c:spPr>
              <a:solidFill>
                <a:srgbClr val="4285F4"/>
              </a:solidFill>
              <a:ln cmpd="sng">
                <a:solidFill>
                  <a:srgbClr val="000000"/>
                </a:solidFill>
              </a:ln>
            </c:spPr>
          </c:dPt>
          <c:dPt>
            <c:idx val="335"/>
            <c:invertIfNegative val="1"/>
            <c:bubble3D val="0"/>
            <c:spPr>
              <a:solidFill>
                <a:srgbClr val="4285F4"/>
              </a:solidFill>
              <a:ln cmpd="sng">
                <a:solidFill>
                  <a:srgbClr val="000000"/>
                </a:solidFill>
              </a:ln>
            </c:spPr>
          </c:dPt>
          <c:dPt>
            <c:idx val="336"/>
            <c:invertIfNegative val="1"/>
            <c:bubble3D val="0"/>
            <c:spPr>
              <a:solidFill>
                <a:srgbClr val="4285F4"/>
              </a:solidFill>
              <a:ln cmpd="sng">
                <a:solidFill>
                  <a:srgbClr val="000000"/>
                </a:solidFill>
              </a:ln>
            </c:spPr>
          </c:dPt>
          <c:dPt>
            <c:idx val="337"/>
            <c:invertIfNegative val="1"/>
            <c:bubble3D val="0"/>
            <c:spPr>
              <a:solidFill>
                <a:srgbClr val="4285F4"/>
              </a:solidFill>
              <a:ln cmpd="sng">
                <a:solidFill>
                  <a:srgbClr val="000000"/>
                </a:solidFill>
              </a:ln>
            </c:spPr>
          </c:dPt>
          <c:dPt>
            <c:idx val="338"/>
            <c:invertIfNegative val="1"/>
            <c:bubble3D val="0"/>
            <c:spPr>
              <a:solidFill>
                <a:srgbClr val="4285F4"/>
              </a:solidFill>
              <a:ln cmpd="sng">
                <a:solidFill>
                  <a:srgbClr val="000000"/>
                </a:solidFill>
              </a:ln>
            </c:spPr>
          </c:dPt>
          <c:dPt>
            <c:idx val="339"/>
            <c:invertIfNegative val="1"/>
            <c:bubble3D val="0"/>
            <c:spPr>
              <a:solidFill>
                <a:srgbClr val="4285F4"/>
              </a:solidFill>
              <a:ln cmpd="sng">
                <a:solidFill>
                  <a:srgbClr val="000000"/>
                </a:solidFill>
              </a:ln>
            </c:spPr>
          </c:dPt>
          <c:dPt>
            <c:idx val="340"/>
            <c:invertIfNegative val="1"/>
            <c:bubble3D val="0"/>
            <c:spPr>
              <a:solidFill>
                <a:srgbClr val="4285F4"/>
              </a:solidFill>
              <a:ln cmpd="sng">
                <a:solidFill>
                  <a:srgbClr val="000000"/>
                </a:solidFill>
              </a:ln>
            </c:spPr>
          </c:dPt>
          <c:dPt>
            <c:idx val="341"/>
            <c:invertIfNegative val="1"/>
            <c:bubble3D val="0"/>
            <c:spPr>
              <a:solidFill>
                <a:srgbClr val="4285F4"/>
              </a:solidFill>
              <a:ln cmpd="sng">
                <a:solidFill>
                  <a:srgbClr val="000000"/>
                </a:solidFill>
              </a:ln>
            </c:spPr>
          </c:dPt>
          <c:dPt>
            <c:idx val="342"/>
            <c:invertIfNegative val="1"/>
            <c:bubble3D val="0"/>
            <c:spPr>
              <a:solidFill>
                <a:srgbClr val="4285F4"/>
              </a:solidFill>
              <a:ln cmpd="sng">
                <a:solidFill>
                  <a:srgbClr val="000000"/>
                </a:solidFill>
              </a:ln>
            </c:spPr>
          </c:dPt>
          <c:dPt>
            <c:idx val="343"/>
            <c:invertIfNegative val="1"/>
            <c:bubble3D val="0"/>
            <c:spPr>
              <a:solidFill>
                <a:srgbClr val="4285F4"/>
              </a:solidFill>
              <a:ln cmpd="sng">
                <a:solidFill>
                  <a:srgbClr val="000000"/>
                </a:solidFill>
              </a:ln>
            </c:spPr>
          </c:dPt>
          <c:dPt>
            <c:idx val="344"/>
            <c:invertIfNegative val="1"/>
            <c:bubble3D val="0"/>
            <c:spPr>
              <a:solidFill>
                <a:srgbClr val="4285F4"/>
              </a:solidFill>
              <a:ln cmpd="sng">
                <a:solidFill>
                  <a:srgbClr val="000000"/>
                </a:solidFill>
              </a:ln>
            </c:spPr>
          </c:dPt>
          <c:dPt>
            <c:idx val="345"/>
            <c:invertIfNegative val="1"/>
            <c:bubble3D val="0"/>
            <c:spPr>
              <a:solidFill>
                <a:srgbClr val="4285F4"/>
              </a:solidFill>
              <a:ln cmpd="sng">
                <a:solidFill>
                  <a:srgbClr val="000000"/>
                </a:solidFill>
              </a:ln>
            </c:spPr>
          </c:dPt>
          <c:dPt>
            <c:idx val="346"/>
            <c:invertIfNegative val="1"/>
            <c:bubble3D val="0"/>
            <c:spPr>
              <a:solidFill>
                <a:srgbClr val="4285F4"/>
              </a:solidFill>
              <a:ln cmpd="sng">
                <a:solidFill>
                  <a:srgbClr val="000000"/>
                </a:solidFill>
              </a:ln>
            </c:spPr>
          </c:dPt>
          <c:dPt>
            <c:idx val="347"/>
            <c:invertIfNegative val="1"/>
            <c:bubble3D val="0"/>
            <c:spPr>
              <a:solidFill>
                <a:srgbClr val="4285F4"/>
              </a:solidFill>
              <a:ln cmpd="sng">
                <a:solidFill>
                  <a:srgbClr val="000000"/>
                </a:solidFill>
              </a:ln>
            </c:spPr>
          </c:dPt>
          <c:dPt>
            <c:idx val="348"/>
            <c:invertIfNegative val="1"/>
            <c:bubble3D val="0"/>
            <c:spPr>
              <a:solidFill>
                <a:srgbClr val="4285F4"/>
              </a:solidFill>
              <a:ln cmpd="sng">
                <a:solidFill>
                  <a:srgbClr val="000000"/>
                </a:solidFill>
              </a:ln>
            </c:spPr>
          </c:dPt>
          <c:dPt>
            <c:idx val="349"/>
            <c:invertIfNegative val="1"/>
            <c:bubble3D val="0"/>
            <c:spPr>
              <a:solidFill>
                <a:srgbClr val="4285F4"/>
              </a:solidFill>
              <a:ln cmpd="sng">
                <a:solidFill>
                  <a:srgbClr val="000000"/>
                </a:solidFill>
              </a:ln>
            </c:spPr>
          </c:dPt>
          <c:dPt>
            <c:idx val="350"/>
            <c:invertIfNegative val="1"/>
            <c:bubble3D val="0"/>
            <c:spPr>
              <a:solidFill>
                <a:srgbClr val="4285F4"/>
              </a:solidFill>
              <a:ln cmpd="sng">
                <a:solidFill>
                  <a:srgbClr val="000000"/>
                </a:solidFill>
              </a:ln>
            </c:spPr>
          </c:dPt>
          <c:dPt>
            <c:idx val="351"/>
            <c:invertIfNegative val="1"/>
            <c:bubble3D val="0"/>
            <c:spPr>
              <a:solidFill>
                <a:srgbClr val="4285F4"/>
              </a:solidFill>
              <a:ln cmpd="sng">
                <a:solidFill>
                  <a:srgbClr val="000000"/>
                </a:solidFill>
              </a:ln>
            </c:spPr>
          </c:dPt>
          <c:dPt>
            <c:idx val="352"/>
            <c:invertIfNegative val="1"/>
            <c:bubble3D val="0"/>
            <c:spPr>
              <a:solidFill>
                <a:srgbClr val="4285F4"/>
              </a:solidFill>
              <a:ln cmpd="sng">
                <a:solidFill>
                  <a:srgbClr val="000000"/>
                </a:solidFill>
              </a:ln>
            </c:spPr>
          </c:dPt>
          <c:dPt>
            <c:idx val="353"/>
            <c:invertIfNegative val="1"/>
            <c:bubble3D val="0"/>
            <c:spPr>
              <a:solidFill>
                <a:srgbClr val="4285F4"/>
              </a:solidFill>
              <a:ln cmpd="sng">
                <a:solidFill>
                  <a:srgbClr val="000000"/>
                </a:solidFill>
              </a:ln>
            </c:spPr>
          </c:dPt>
          <c:dPt>
            <c:idx val="354"/>
            <c:invertIfNegative val="1"/>
            <c:bubble3D val="0"/>
            <c:spPr>
              <a:solidFill>
                <a:srgbClr val="4285F4"/>
              </a:solidFill>
              <a:ln cmpd="sng">
                <a:solidFill>
                  <a:srgbClr val="000000"/>
                </a:solidFill>
              </a:ln>
            </c:spPr>
          </c:dPt>
          <c:dPt>
            <c:idx val="355"/>
            <c:invertIfNegative val="1"/>
            <c:bubble3D val="0"/>
            <c:spPr>
              <a:solidFill>
                <a:srgbClr val="4285F4"/>
              </a:solidFill>
              <a:ln cmpd="sng">
                <a:solidFill>
                  <a:srgbClr val="000000"/>
                </a:solidFill>
              </a:ln>
            </c:spPr>
          </c:dPt>
          <c:dPt>
            <c:idx val="356"/>
            <c:invertIfNegative val="1"/>
            <c:bubble3D val="0"/>
            <c:spPr>
              <a:solidFill>
                <a:srgbClr val="4285F4"/>
              </a:solidFill>
              <a:ln cmpd="sng">
                <a:solidFill>
                  <a:srgbClr val="000000"/>
                </a:solidFill>
              </a:ln>
            </c:spPr>
          </c:dPt>
          <c:dPt>
            <c:idx val="357"/>
            <c:invertIfNegative val="1"/>
            <c:bubble3D val="0"/>
            <c:spPr>
              <a:solidFill>
                <a:srgbClr val="4285F4"/>
              </a:solidFill>
              <a:ln cmpd="sng">
                <a:solidFill>
                  <a:srgbClr val="000000"/>
                </a:solidFill>
              </a:ln>
            </c:spPr>
          </c:dPt>
          <c:dPt>
            <c:idx val="358"/>
            <c:invertIfNegative val="1"/>
            <c:bubble3D val="0"/>
            <c:spPr>
              <a:solidFill>
                <a:srgbClr val="4285F4"/>
              </a:solidFill>
              <a:ln cmpd="sng">
                <a:solidFill>
                  <a:srgbClr val="000000"/>
                </a:solidFill>
              </a:ln>
            </c:spPr>
          </c:dPt>
          <c:dPt>
            <c:idx val="359"/>
            <c:invertIfNegative val="1"/>
            <c:bubble3D val="0"/>
            <c:spPr>
              <a:solidFill>
                <a:srgbClr val="4285F4"/>
              </a:solidFill>
              <a:ln cmpd="sng">
                <a:solidFill>
                  <a:srgbClr val="000000"/>
                </a:solidFill>
              </a:ln>
            </c:spPr>
          </c:dPt>
          <c:dPt>
            <c:idx val="360"/>
            <c:invertIfNegative val="1"/>
            <c:bubble3D val="0"/>
            <c:spPr>
              <a:solidFill>
                <a:srgbClr val="4285F4"/>
              </a:solidFill>
              <a:ln cmpd="sng">
                <a:solidFill>
                  <a:srgbClr val="000000"/>
                </a:solidFill>
              </a:ln>
            </c:spPr>
          </c:dPt>
          <c:dPt>
            <c:idx val="361"/>
            <c:invertIfNegative val="1"/>
            <c:bubble3D val="0"/>
            <c:spPr>
              <a:solidFill>
                <a:srgbClr val="4285F4"/>
              </a:solidFill>
              <a:ln cmpd="sng">
                <a:solidFill>
                  <a:srgbClr val="000000"/>
                </a:solidFill>
              </a:ln>
            </c:spPr>
          </c:dPt>
          <c:dPt>
            <c:idx val="362"/>
            <c:invertIfNegative val="1"/>
            <c:bubble3D val="0"/>
            <c:spPr>
              <a:solidFill>
                <a:srgbClr val="4285F4"/>
              </a:solidFill>
              <a:ln cmpd="sng">
                <a:solidFill>
                  <a:srgbClr val="000000"/>
                </a:solidFill>
              </a:ln>
            </c:spPr>
          </c:dPt>
          <c:dPt>
            <c:idx val="363"/>
            <c:invertIfNegative val="1"/>
            <c:bubble3D val="0"/>
            <c:spPr>
              <a:solidFill>
                <a:srgbClr val="4285F4"/>
              </a:solidFill>
              <a:ln cmpd="sng">
                <a:solidFill>
                  <a:srgbClr val="000000"/>
                </a:solidFill>
              </a:ln>
            </c:spPr>
          </c:dPt>
          <c:dPt>
            <c:idx val="364"/>
            <c:invertIfNegative val="1"/>
            <c:bubble3D val="0"/>
            <c:spPr>
              <a:solidFill>
                <a:srgbClr val="4285F4"/>
              </a:solidFill>
              <a:ln cmpd="sng">
                <a:solidFill>
                  <a:srgbClr val="000000"/>
                </a:solidFill>
              </a:ln>
            </c:spPr>
          </c:dPt>
          <c:dPt>
            <c:idx val="365"/>
            <c:invertIfNegative val="1"/>
            <c:bubble3D val="0"/>
            <c:spPr>
              <a:solidFill>
                <a:srgbClr val="4285F4"/>
              </a:solidFill>
              <a:ln cmpd="sng">
                <a:solidFill>
                  <a:srgbClr val="000000"/>
                </a:solidFill>
              </a:ln>
            </c:spPr>
          </c:dPt>
          <c:dPt>
            <c:idx val="366"/>
            <c:invertIfNegative val="1"/>
            <c:bubble3D val="0"/>
            <c:spPr>
              <a:solidFill>
                <a:srgbClr val="4285F4"/>
              </a:solidFill>
              <a:ln cmpd="sng">
                <a:solidFill>
                  <a:srgbClr val="000000"/>
                </a:solidFill>
              </a:ln>
            </c:spPr>
          </c:dPt>
          <c:dPt>
            <c:idx val="367"/>
            <c:invertIfNegative val="1"/>
            <c:bubble3D val="0"/>
            <c:spPr>
              <a:solidFill>
                <a:srgbClr val="4285F4"/>
              </a:solidFill>
              <a:ln cmpd="sng">
                <a:solidFill>
                  <a:srgbClr val="000000"/>
                </a:solidFill>
              </a:ln>
            </c:spPr>
          </c:dPt>
          <c:dPt>
            <c:idx val="368"/>
            <c:invertIfNegative val="1"/>
            <c:bubble3D val="0"/>
            <c:spPr>
              <a:solidFill>
                <a:srgbClr val="4285F4"/>
              </a:solidFill>
              <a:ln cmpd="sng">
                <a:solidFill>
                  <a:srgbClr val="000000"/>
                </a:solidFill>
              </a:ln>
            </c:spPr>
          </c:dPt>
          <c:dPt>
            <c:idx val="369"/>
            <c:invertIfNegative val="1"/>
            <c:bubble3D val="0"/>
            <c:spPr>
              <a:solidFill>
                <a:srgbClr val="4285F4"/>
              </a:solidFill>
              <a:ln cmpd="sng">
                <a:solidFill>
                  <a:srgbClr val="000000"/>
                </a:solidFill>
              </a:ln>
            </c:spPr>
          </c:dPt>
          <c:dPt>
            <c:idx val="370"/>
            <c:invertIfNegative val="1"/>
            <c:bubble3D val="0"/>
            <c:spPr>
              <a:solidFill>
                <a:srgbClr val="4285F4"/>
              </a:solidFill>
              <a:ln cmpd="sng">
                <a:solidFill>
                  <a:srgbClr val="000000"/>
                </a:solidFill>
              </a:ln>
            </c:spPr>
          </c:dPt>
          <c:dPt>
            <c:idx val="371"/>
            <c:invertIfNegative val="1"/>
            <c:bubble3D val="0"/>
            <c:spPr>
              <a:solidFill>
                <a:srgbClr val="4285F4"/>
              </a:solidFill>
              <a:ln cmpd="sng">
                <a:solidFill>
                  <a:srgbClr val="000000"/>
                </a:solidFill>
              </a:ln>
            </c:spPr>
          </c:dPt>
          <c:dPt>
            <c:idx val="372"/>
            <c:invertIfNegative val="1"/>
            <c:bubble3D val="0"/>
            <c:spPr>
              <a:solidFill>
                <a:srgbClr val="4285F4"/>
              </a:solidFill>
              <a:ln cmpd="sng">
                <a:solidFill>
                  <a:srgbClr val="000000"/>
                </a:solidFill>
              </a:ln>
            </c:spPr>
          </c:dPt>
          <c:dPt>
            <c:idx val="373"/>
            <c:invertIfNegative val="1"/>
            <c:bubble3D val="0"/>
            <c:spPr>
              <a:solidFill>
                <a:srgbClr val="4285F4"/>
              </a:solidFill>
              <a:ln cmpd="sng">
                <a:solidFill>
                  <a:srgbClr val="000000"/>
                </a:solidFill>
              </a:ln>
            </c:spPr>
          </c:dPt>
          <c:dPt>
            <c:idx val="374"/>
            <c:invertIfNegative val="1"/>
            <c:bubble3D val="0"/>
            <c:spPr>
              <a:solidFill>
                <a:srgbClr val="4285F4"/>
              </a:solidFill>
              <a:ln cmpd="sng">
                <a:solidFill>
                  <a:srgbClr val="000000"/>
                </a:solidFill>
              </a:ln>
            </c:spPr>
          </c:dPt>
          <c:dPt>
            <c:idx val="375"/>
            <c:invertIfNegative val="1"/>
            <c:bubble3D val="0"/>
            <c:spPr>
              <a:solidFill>
                <a:srgbClr val="4285F4"/>
              </a:solidFill>
              <a:ln cmpd="sng">
                <a:solidFill>
                  <a:srgbClr val="000000"/>
                </a:solidFill>
              </a:ln>
            </c:spPr>
          </c:dPt>
          <c:dPt>
            <c:idx val="376"/>
            <c:invertIfNegative val="1"/>
            <c:bubble3D val="0"/>
            <c:spPr>
              <a:solidFill>
                <a:srgbClr val="4285F4"/>
              </a:solidFill>
              <a:ln cmpd="sng">
                <a:solidFill>
                  <a:srgbClr val="000000"/>
                </a:solidFill>
              </a:ln>
            </c:spPr>
          </c:dPt>
          <c:dPt>
            <c:idx val="377"/>
            <c:invertIfNegative val="1"/>
            <c:bubble3D val="0"/>
            <c:spPr>
              <a:solidFill>
                <a:srgbClr val="4285F4"/>
              </a:solidFill>
              <a:ln cmpd="sng">
                <a:solidFill>
                  <a:srgbClr val="000000"/>
                </a:solidFill>
              </a:ln>
            </c:spPr>
          </c:dPt>
          <c:dPt>
            <c:idx val="378"/>
            <c:invertIfNegative val="1"/>
            <c:bubble3D val="0"/>
            <c:spPr>
              <a:solidFill>
                <a:srgbClr val="4285F4"/>
              </a:solidFill>
              <a:ln cmpd="sng">
                <a:solidFill>
                  <a:srgbClr val="000000"/>
                </a:solidFill>
              </a:ln>
            </c:spPr>
          </c:dPt>
          <c:dPt>
            <c:idx val="379"/>
            <c:invertIfNegative val="1"/>
            <c:bubble3D val="0"/>
            <c:spPr>
              <a:solidFill>
                <a:srgbClr val="4285F4"/>
              </a:solidFill>
              <a:ln cmpd="sng">
                <a:solidFill>
                  <a:srgbClr val="000000"/>
                </a:solidFill>
              </a:ln>
            </c:spPr>
          </c:dPt>
          <c:dPt>
            <c:idx val="380"/>
            <c:invertIfNegative val="1"/>
            <c:bubble3D val="0"/>
            <c:spPr>
              <a:solidFill>
                <a:srgbClr val="4285F4"/>
              </a:solidFill>
              <a:ln cmpd="sng">
                <a:solidFill>
                  <a:srgbClr val="000000"/>
                </a:solidFill>
              </a:ln>
            </c:spPr>
          </c:dPt>
          <c:dPt>
            <c:idx val="381"/>
            <c:invertIfNegative val="1"/>
            <c:bubble3D val="0"/>
            <c:spPr>
              <a:solidFill>
                <a:srgbClr val="4285F4"/>
              </a:solidFill>
              <a:ln cmpd="sng">
                <a:solidFill>
                  <a:srgbClr val="000000"/>
                </a:solidFill>
              </a:ln>
            </c:spPr>
          </c:dPt>
          <c:dPt>
            <c:idx val="382"/>
            <c:invertIfNegative val="1"/>
            <c:bubble3D val="0"/>
            <c:spPr>
              <a:solidFill>
                <a:srgbClr val="4285F4"/>
              </a:solidFill>
              <a:ln cmpd="sng">
                <a:solidFill>
                  <a:srgbClr val="000000"/>
                </a:solidFill>
              </a:ln>
            </c:spPr>
          </c:dPt>
          <c:dPt>
            <c:idx val="383"/>
            <c:invertIfNegative val="1"/>
            <c:bubble3D val="0"/>
            <c:spPr>
              <a:solidFill>
                <a:srgbClr val="4285F4"/>
              </a:solidFill>
              <a:ln cmpd="sng">
                <a:solidFill>
                  <a:srgbClr val="000000"/>
                </a:solidFill>
              </a:ln>
            </c:spPr>
          </c:dPt>
          <c:dPt>
            <c:idx val="384"/>
            <c:invertIfNegative val="1"/>
            <c:bubble3D val="0"/>
            <c:spPr>
              <a:solidFill>
                <a:srgbClr val="4285F4"/>
              </a:solidFill>
              <a:ln cmpd="sng">
                <a:solidFill>
                  <a:srgbClr val="000000"/>
                </a:solidFill>
              </a:ln>
            </c:spPr>
          </c:dPt>
          <c:dPt>
            <c:idx val="385"/>
            <c:invertIfNegative val="1"/>
            <c:bubble3D val="0"/>
            <c:spPr>
              <a:solidFill>
                <a:srgbClr val="4285F4"/>
              </a:solidFill>
              <a:ln cmpd="sng">
                <a:solidFill>
                  <a:srgbClr val="000000"/>
                </a:solidFill>
              </a:ln>
            </c:spPr>
          </c:dPt>
          <c:dPt>
            <c:idx val="386"/>
            <c:invertIfNegative val="1"/>
            <c:bubble3D val="0"/>
            <c:spPr>
              <a:solidFill>
                <a:srgbClr val="4285F4"/>
              </a:solidFill>
              <a:ln cmpd="sng">
                <a:solidFill>
                  <a:srgbClr val="000000"/>
                </a:solidFill>
              </a:ln>
            </c:spPr>
          </c:dPt>
          <c:dPt>
            <c:idx val="387"/>
            <c:invertIfNegative val="1"/>
            <c:bubble3D val="0"/>
            <c:spPr>
              <a:solidFill>
                <a:srgbClr val="4285F4"/>
              </a:solidFill>
              <a:ln cmpd="sng">
                <a:solidFill>
                  <a:srgbClr val="000000"/>
                </a:solidFill>
              </a:ln>
            </c:spPr>
          </c:dPt>
          <c:dPt>
            <c:idx val="388"/>
            <c:invertIfNegative val="1"/>
            <c:bubble3D val="0"/>
            <c:spPr>
              <a:solidFill>
                <a:srgbClr val="4285F4"/>
              </a:solidFill>
              <a:ln cmpd="sng">
                <a:solidFill>
                  <a:srgbClr val="000000"/>
                </a:solidFill>
              </a:ln>
            </c:spPr>
          </c:dPt>
          <c:dPt>
            <c:idx val="389"/>
            <c:invertIfNegative val="1"/>
            <c:bubble3D val="0"/>
            <c:spPr>
              <a:solidFill>
                <a:srgbClr val="4285F4"/>
              </a:solidFill>
              <a:ln cmpd="sng">
                <a:solidFill>
                  <a:srgbClr val="000000"/>
                </a:solidFill>
              </a:ln>
            </c:spPr>
          </c:dPt>
          <c:dPt>
            <c:idx val="390"/>
            <c:invertIfNegative val="1"/>
            <c:bubble3D val="0"/>
            <c:spPr>
              <a:solidFill>
                <a:srgbClr val="4285F4"/>
              </a:solidFill>
              <a:ln cmpd="sng">
                <a:solidFill>
                  <a:srgbClr val="000000"/>
                </a:solidFill>
              </a:ln>
            </c:spPr>
          </c:dPt>
          <c:dPt>
            <c:idx val="391"/>
            <c:invertIfNegative val="1"/>
            <c:bubble3D val="0"/>
            <c:spPr>
              <a:solidFill>
                <a:srgbClr val="4285F4"/>
              </a:solidFill>
              <a:ln cmpd="sng">
                <a:solidFill>
                  <a:srgbClr val="000000"/>
                </a:solidFill>
              </a:ln>
            </c:spPr>
          </c:dPt>
          <c:dPt>
            <c:idx val="392"/>
            <c:invertIfNegative val="1"/>
            <c:bubble3D val="0"/>
            <c:spPr>
              <a:solidFill>
                <a:srgbClr val="4285F4"/>
              </a:solidFill>
              <a:ln cmpd="sng">
                <a:solidFill>
                  <a:srgbClr val="000000"/>
                </a:solidFill>
              </a:ln>
            </c:spPr>
          </c:dPt>
          <c:dPt>
            <c:idx val="393"/>
            <c:invertIfNegative val="1"/>
            <c:bubble3D val="0"/>
            <c:spPr>
              <a:solidFill>
                <a:srgbClr val="4285F4"/>
              </a:solidFill>
              <a:ln cmpd="sng">
                <a:solidFill>
                  <a:srgbClr val="000000"/>
                </a:solidFill>
              </a:ln>
            </c:spPr>
          </c:dPt>
          <c:dPt>
            <c:idx val="394"/>
            <c:invertIfNegative val="1"/>
            <c:bubble3D val="0"/>
            <c:spPr>
              <a:solidFill>
                <a:srgbClr val="4285F4"/>
              </a:solidFill>
              <a:ln cmpd="sng">
                <a:solidFill>
                  <a:srgbClr val="000000"/>
                </a:solidFill>
              </a:ln>
            </c:spPr>
          </c:dPt>
          <c:dPt>
            <c:idx val="395"/>
            <c:invertIfNegative val="1"/>
            <c:bubble3D val="0"/>
            <c:spPr>
              <a:solidFill>
                <a:srgbClr val="4285F4"/>
              </a:solidFill>
              <a:ln cmpd="sng">
                <a:solidFill>
                  <a:srgbClr val="000000"/>
                </a:solidFill>
              </a:ln>
            </c:spPr>
          </c:dPt>
          <c:dPt>
            <c:idx val="396"/>
            <c:invertIfNegative val="1"/>
            <c:bubble3D val="0"/>
            <c:spPr>
              <a:solidFill>
                <a:srgbClr val="4285F4"/>
              </a:solidFill>
              <a:ln cmpd="sng">
                <a:solidFill>
                  <a:srgbClr val="000000"/>
                </a:solidFill>
              </a:ln>
            </c:spPr>
          </c:dPt>
          <c:dPt>
            <c:idx val="397"/>
            <c:invertIfNegative val="1"/>
            <c:bubble3D val="0"/>
            <c:spPr>
              <a:solidFill>
                <a:srgbClr val="4285F4"/>
              </a:solidFill>
              <a:ln cmpd="sng">
                <a:solidFill>
                  <a:srgbClr val="000000"/>
                </a:solidFill>
              </a:ln>
            </c:spPr>
          </c:dPt>
          <c:dPt>
            <c:idx val="398"/>
            <c:invertIfNegative val="1"/>
            <c:bubble3D val="0"/>
            <c:spPr>
              <a:solidFill>
                <a:srgbClr val="4285F4"/>
              </a:solidFill>
              <a:ln cmpd="sng">
                <a:solidFill>
                  <a:srgbClr val="000000"/>
                </a:solidFill>
              </a:ln>
            </c:spPr>
          </c:dPt>
          <c:dPt>
            <c:idx val="399"/>
            <c:invertIfNegative val="1"/>
            <c:bubble3D val="0"/>
            <c:spPr>
              <a:solidFill>
                <a:srgbClr val="4285F4"/>
              </a:solidFill>
              <a:ln cmpd="sng">
                <a:solidFill>
                  <a:srgbClr val="000000"/>
                </a:solidFill>
              </a:ln>
            </c:spPr>
          </c:dPt>
          <c:dPt>
            <c:idx val="400"/>
            <c:invertIfNegative val="1"/>
            <c:bubble3D val="0"/>
            <c:spPr>
              <a:solidFill>
                <a:srgbClr val="4285F4"/>
              </a:solidFill>
              <a:ln cmpd="sng">
                <a:solidFill>
                  <a:srgbClr val="000000"/>
                </a:solidFill>
              </a:ln>
            </c:spPr>
          </c:dPt>
          <c:dPt>
            <c:idx val="401"/>
            <c:invertIfNegative val="1"/>
            <c:bubble3D val="0"/>
            <c:spPr>
              <a:solidFill>
                <a:srgbClr val="4285F4"/>
              </a:solidFill>
              <a:ln cmpd="sng">
                <a:solidFill>
                  <a:srgbClr val="000000"/>
                </a:solidFill>
              </a:ln>
            </c:spPr>
          </c:dPt>
          <c:dPt>
            <c:idx val="402"/>
            <c:invertIfNegative val="1"/>
            <c:bubble3D val="0"/>
            <c:spPr>
              <a:solidFill>
                <a:srgbClr val="4285F4"/>
              </a:solidFill>
              <a:ln cmpd="sng">
                <a:solidFill>
                  <a:srgbClr val="000000"/>
                </a:solidFill>
              </a:ln>
            </c:spPr>
          </c:dPt>
          <c:dPt>
            <c:idx val="403"/>
            <c:invertIfNegative val="1"/>
            <c:bubble3D val="0"/>
            <c:spPr>
              <a:solidFill>
                <a:srgbClr val="4285F4"/>
              </a:solidFill>
              <a:ln cmpd="sng">
                <a:solidFill>
                  <a:srgbClr val="000000"/>
                </a:solidFill>
              </a:ln>
            </c:spPr>
          </c:dPt>
          <c:dPt>
            <c:idx val="404"/>
            <c:invertIfNegative val="1"/>
            <c:bubble3D val="0"/>
            <c:spPr>
              <a:solidFill>
                <a:srgbClr val="4285F4"/>
              </a:solidFill>
              <a:ln cmpd="sng">
                <a:solidFill>
                  <a:srgbClr val="000000"/>
                </a:solidFill>
              </a:ln>
            </c:spPr>
          </c:dPt>
          <c:dPt>
            <c:idx val="405"/>
            <c:invertIfNegative val="1"/>
            <c:bubble3D val="0"/>
            <c:spPr>
              <a:solidFill>
                <a:srgbClr val="4285F4"/>
              </a:solidFill>
              <a:ln cmpd="sng">
                <a:solidFill>
                  <a:srgbClr val="000000"/>
                </a:solidFill>
              </a:ln>
            </c:spPr>
          </c:dPt>
          <c:dPt>
            <c:idx val="406"/>
            <c:invertIfNegative val="1"/>
            <c:bubble3D val="0"/>
            <c:spPr>
              <a:solidFill>
                <a:srgbClr val="4285F4"/>
              </a:solidFill>
              <a:ln cmpd="sng">
                <a:solidFill>
                  <a:srgbClr val="000000"/>
                </a:solidFill>
              </a:ln>
            </c:spPr>
          </c:dPt>
          <c:dPt>
            <c:idx val="407"/>
            <c:invertIfNegative val="1"/>
            <c:bubble3D val="0"/>
            <c:spPr>
              <a:solidFill>
                <a:srgbClr val="4285F4"/>
              </a:solidFill>
              <a:ln cmpd="sng">
                <a:solidFill>
                  <a:srgbClr val="000000"/>
                </a:solidFill>
              </a:ln>
            </c:spPr>
          </c:dPt>
          <c:dPt>
            <c:idx val="408"/>
            <c:invertIfNegative val="1"/>
            <c:bubble3D val="0"/>
            <c:spPr>
              <a:solidFill>
                <a:srgbClr val="4285F4"/>
              </a:solidFill>
              <a:ln cmpd="sng">
                <a:solidFill>
                  <a:srgbClr val="000000"/>
                </a:solidFill>
              </a:ln>
            </c:spPr>
          </c:dPt>
          <c:dPt>
            <c:idx val="409"/>
            <c:invertIfNegative val="1"/>
            <c:bubble3D val="0"/>
            <c:spPr>
              <a:solidFill>
                <a:srgbClr val="4285F4"/>
              </a:solidFill>
              <a:ln cmpd="sng">
                <a:solidFill>
                  <a:srgbClr val="000000"/>
                </a:solidFill>
              </a:ln>
            </c:spPr>
          </c:dPt>
          <c:dPt>
            <c:idx val="410"/>
            <c:invertIfNegative val="1"/>
            <c:bubble3D val="0"/>
            <c:spPr>
              <a:solidFill>
                <a:srgbClr val="4285F4"/>
              </a:solidFill>
              <a:ln cmpd="sng">
                <a:solidFill>
                  <a:srgbClr val="000000"/>
                </a:solidFill>
              </a:ln>
            </c:spPr>
          </c:dPt>
          <c:dPt>
            <c:idx val="411"/>
            <c:invertIfNegative val="1"/>
            <c:bubble3D val="0"/>
            <c:spPr>
              <a:solidFill>
                <a:srgbClr val="4285F4"/>
              </a:solidFill>
              <a:ln cmpd="sng">
                <a:solidFill>
                  <a:srgbClr val="000000"/>
                </a:solidFill>
              </a:ln>
            </c:spPr>
          </c:dPt>
          <c:dPt>
            <c:idx val="412"/>
            <c:invertIfNegative val="1"/>
            <c:bubble3D val="0"/>
            <c:spPr>
              <a:solidFill>
                <a:srgbClr val="4285F4"/>
              </a:solidFill>
              <a:ln cmpd="sng">
                <a:solidFill>
                  <a:srgbClr val="000000"/>
                </a:solidFill>
              </a:ln>
            </c:spPr>
          </c:dPt>
          <c:dPt>
            <c:idx val="413"/>
            <c:invertIfNegative val="1"/>
            <c:bubble3D val="0"/>
            <c:spPr>
              <a:solidFill>
                <a:srgbClr val="4285F4"/>
              </a:solidFill>
              <a:ln cmpd="sng">
                <a:solidFill>
                  <a:srgbClr val="000000"/>
                </a:solidFill>
              </a:ln>
            </c:spPr>
          </c:dPt>
          <c:dPt>
            <c:idx val="414"/>
            <c:invertIfNegative val="1"/>
            <c:bubble3D val="0"/>
            <c:spPr>
              <a:solidFill>
                <a:srgbClr val="4285F4"/>
              </a:solidFill>
              <a:ln cmpd="sng">
                <a:solidFill>
                  <a:srgbClr val="000000"/>
                </a:solidFill>
              </a:ln>
            </c:spPr>
          </c:dPt>
          <c:dPt>
            <c:idx val="415"/>
            <c:invertIfNegative val="1"/>
            <c:bubble3D val="0"/>
            <c:spPr>
              <a:solidFill>
                <a:srgbClr val="4285F4"/>
              </a:solidFill>
              <a:ln cmpd="sng">
                <a:solidFill>
                  <a:srgbClr val="000000"/>
                </a:solidFill>
              </a:ln>
            </c:spPr>
          </c:dPt>
          <c:dPt>
            <c:idx val="416"/>
            <c:invertIfNegative val="1"/>
            <c:bubble3D val="0"/>
            <c:spPr>
              <a:solidFill>
                <a:srgbClr val="4285F4"/>
              </a:solidFill>
              <a:ln cmpd="sng">
                <a:solidFill>
                  <a:srgbClr val="000000"/>
                </a:solidFill>
              </a:ln>
            </c:spPr>
          </c:dPt>
          <c:dPt>
            <c:idx val="417"/>
            <c:invertIfNegative val="1"/>
            <c:bubble3D val="0"/>
            <c:spPr>
              <a:solidFill>
                <a:srgbClr val="4285F4"/>
              </a:solidFill>
              <a:ln cmpd="sng">
                <a:solidFill>
                  <a:srgbClr val="000000"/>
                </a:solidFill>
              </a:ln>
            </c:spPr>
          </c:dPt>
          <c:dPt>
            <c:idx val="418"/>
            <c:invertIfNegative val="1"/>
            <c:bubble3D val="0"/>
            <c:spPr>
              <a:solidFill>
                <a:srgbClr val="4285F4"/>
              </a:solidFill>
              <a:ln cmpd="sng">
                <a:solidFill>
                  <a:srgbClr val="000000"/>
                </a:solidFill>
              </a:ln>
            </c:spPr>
          </c:dPt>
          <c:dPt>
            <c:idx val="419"/>
            <c:invertIfNegative val="1"/>
            <c:bubble3D val="0"/>
            <c:spPr>
              <a:solidFill>
                <a:srgbClr val="4285F4"/>
              </a:solidFill>
              <a:ln cmpd="sng">
                <a:solidFill>
                  <a:srgbClr val="000000"/>
                </a:solidFill>
              </a:ln>
            </c:spPr>
          </c:dPt>
          <c:dPt>
            <c:idx val="420"/>
            <c:invertIfNegative val="1"/>
            <c:bubble3D val="0"/>
            <c:spPr>
              <a:solidFill>
                <a:srgbClr val="4285F4"/>
              </a:solidFill>
              <a:ln cmpd="sng">
                <a:solidFill>
                  <a:srgbClr val="000000"/>
                </a:solidFill>
              </a:ln>
            </c:spPr>
          </c:dPt>
          <c:dPt>
            <c:idx val="421"/>
            <c:invertIfNegative val="1"/>
            <c:bubble3D val="0"/>
            <c:spPr>
              <a:solidFill>
                <a:srgbClr val="4285F4"/>
              </a:solidFill>
              <a:ln cmpd="sng">
                <a:solidFill>
                  <a:srgbClr val="000000"/>
                </a:solidFill>
              </a:ln>
            </c:spPr>
          </c:dPt>
          <c:dPt>
            <c:idx val="422"/>
            <c:invertIfNegative val="1"/>
            <c:bubble3D val="0"/>
            <c:spPr>
              <a:solidFill>
                <a:srgbClr val="4285F4"/>
              </a:solidFill>
              <a:ln cmpd="sng">
                <a:solidFill>
                  <a:srgbClr val="000000"/>
                </a:solidFill>
              </a:ln>
            </c:spPr>
          </c:dPt>
          <c:dPt>
            <c:idx val="423"/>
            <c:invertIfNegative val="1"/>
            <c:bubble3D val="0"/>
            <c:spPr>
              <a:solidFill>
                <a:srgbClr val="4285F4"/>
              </a:solidFill>
              <a:ln cmpd="sng">
                <a:solidFill>
                  <a:srgbClr val="000000"/>
                </a:solidFill>
              </a:ln>
            </c:spPr>
          </c:dPt>
          <c:dPt>
            <c:idx val="424"/>
            <c:invertIfNegative val="1"/>
            <c:bubble3D val="0"/>
            <c:spPr>
              <a:solidFill>
                <a:srgbClr val="4285F4"/>
              </a:solidFill>
              <a:ln cmpd="sng">
                <a:solidFill>
                  <a:srgbClr val="000000"/>
                </a:solidFill>
              </a:ln>
            </c:spPr>
          </c:dPt>
          <c:dPt>
            <c:idx val="425"/>
            <c:invertIfNegative val="1"/>
            <c:bubble3D val="0"/>
            <c:spPr>
              <a:solidFill>
                <a:srgbClr val="4285F4"/>
              </a:solidFill>
              <a:ln cmpd="sng">
                <a:solidFill>
                  <a:srgbClr val="000000"/>
                </a:solidFill>
              </a:ln>
            </c:spPr>
          </c:dPt>
          <c:dPt>
            <c:idx val="426"/>
            <c:invertIfNegative val="1"/>
            <c:bubble3D val="0"/>
            <c:spPr>
              <a:solidFill>
                <a:srgbClr val="4285F4"/>
              </a:solidFill>
              <a:ln cmpd="sng">
                <a:solidFill>
                  <a:srgbClr val="000000"/>
                </a:solidFill>
              </a:ln>
            </c:spPr>
          </c:dPt>
          <c:dPt>
            <c:idx val="427"/>
            <c:invertIfNegative val="1"/>
            <c:bubble3D val="0"/>
            <c:spPr>
              <a:solidFill>
                <a:srgbClr val="4285F4"/>
              </a:solidFill>
              <a:ln cmpd="sng">
                <a:solidFill>
                  <a:srgbClr val="000000"/>
                </a:solidFill>
              </a:ln>
            </c:spPr>
          </c:dPt>
          <c:dPt>
            <c:idx val="428"/>
            <c:invertIfNegative val="1"/>
            <c:bubble3D val="0"/>
            <c:spPr>
              <a:solidFill>
                <a:srgbClr val="4285F4"/>
              </a:solidFill>
              <a:ln cmpd="sng">
                <a:solidFill>
                  <a:srgbClr val="000000"/>
                </a:solidFill>
              </a:ln>
            </c:spPr>
          </c:dPt>
          <c:dPt>
            <c:idx val="429"/>
            <c:invertIfNegative val="1"/>
            <c:bubble3D val="0"/>
            <c:spPr>
              <a:solidFill>
                <a:srgbClr val="4285F4"/>
              </a:solidFill>
              <a:ln cmpd="sng">
                <a:solidFill>
                  <a:srgbClr val="000000"/>
                </a:solidFill>
              </a:ln>
            </c:spPr>
          </c:dPt>
          <c:dPt>
            <c:idx val="430"/>
            <c:invertIfNegative val="1"/>
            <c:bubble3D val="0"/>
            <c:spPr>
              <a:solidFill>
                <a:srgbClr val="4285F4"/>
              </a:solidFill>
              <a:ln cmpd="sng">
                <a:solidFill>
                  <a:srgbClr val="000000"/>
                </a:solidFill>
              </a:ln>
            </c:spPr>
          </c:dPt>
          <c:dPt>
            <c:idx val="431"/>
            <c:invertIfNegative val="1"/>
            <c:bubble3D val="0"/>
            <c:spPr>
              <a:solidFill>
                <a:srgbClr val="4285F4"/>
              </a:solidFill>
              <a:ln cmpd="sng">
                <a:solidFill>
                  <a:srgbClr val="000000"/>
                </a:solidFill>
              </a:ln>
            </c:spPr>
          </c:dPt>
          <c:dPt>
            <c:idx val="432"/>
            <c:invertIfNegative val="1"/>
            <c:bubble3D val="0"/>
            <c:spPr>
              <a:solidFill>
                <a:srgbClr val="4285F4"/>
              </a:solidFill>
              <a:ln cmpd="sng">
                <a:solidFill>
                  <a:srgbClr val="000000"/>
                </a:solidFill>
              </a:ln>
            </c:spPr>
          </c:dPt>
          <c:dPt>
            <c:idx val="433"/>
            <c:invertIfNegative val="1"/>
            <c:bubble3D val="0"/>
            <c:spPr>
              <a:solidFill>
                <a:srgbClr val="4285F4"/>
              </a:solidFill>
              <a:ln cmpd="sng">
                <a:solidFill>
                  <a:srgbClr val="000000"/>
                </a:solidFill>
              </a:ln>
            </c:spPr>
          </c:dPt>
          <c:dPt>
            <c:idx val="434"/>
            <c:invertIfNegative val="1"/>
            <c:bubble3D val="0"/>
            <c:spPr>
              <a:solidFill>
                <a:srgbClr val="4285F4"/>
              </a:solidFill>
              <a:ln cmpd="sng">
                <a:solidFill>
                  <a:srgbClr val="000000"/>
                </a:solidFill>
              </a:ln>
            </c:spPr>
          </c:dPt>
          <c:dPt>
            <c:idx val="435"/>
            <c:invertIfNegative val="1"/>
            <c:bubble3D val="0"/>
            <c:spPr>
              <a:solidFill>
                <a:srgbClr val="4285F4"/>
              </a:solidFill>
              <a:ln cmpd="sng">
                <a:solidFill>
                  <a:srgbClr val="000000"/>
                </a:solidFill>
              </a:ln>
            </c:spPr>
          </c:dPt>
          <c:dPt>
            <c:idx val="436"/>
            <c:invertIfNegative val="1"/>
            <c:bubble3D val="0"/>
            <c:spPr>
              <a:solidFill>
                <a:srgbClr val="4285F4"/>
              </a:solidFill>
              <a:ln cmpd="sng">
                <a:solidFill>
                  <a:srgbClr val="000000"/>
                </a:solidFill>
              </a:ln>
            </c:spPr>
          </c:dPt>
          <c:dPt>
            <c:idx val="437"/>
            <c:invertIfNegative val="1"/>
            <c:bubble3D val="0"/>
            <c:spPr>
              <a:solidFill>
                <a:srgbClr val="4285F4"/>
              </a:solidFill>
              <a:ln cmpd="sng">
                <a:solidFill>
                  <a:srgbClr val="000000"/>
                </a:solidFill>
              </a:ln>
            </c:spPr>
          </c:dPt>
          <c:dPt>
            <c:idx val="438"/>
            <c:invertIfNegative val="1"/>
            <c:bubble3D val="0"/>
            <c:spPr>
              <a:solidFill>
                <a:srgbClr val="4285F4"/>
              </a:solidFill>
              <a:ln cmpd="sng">
                <a:solidFill>
                  <a:srgbClr val="000000"/>
                </a:solidFill>
              </a:ln>
            </c:spPr>
          </c:dPt>
          <c:dPt>
            <c:idx val="439"/>
            <c:invertIfNegative val="1"/>
            <c:bubble3D val="0"/>
            <c:spPr>
              <a:solidFill>
                <a:srgbClr val="4285F4"/>
              </a:solidFill>
              <a:ln cmpd="sng">
                <a:solidFill>
                  <a:srgbClr val="000000"/>
                </a:solidFill>
              </a:ln>
            </c:spPr>
          </c:dPt>
          <c:dPt>
            <c:idx val="440"/>
            <c:invertIfNegative val="1"/>
            <c:bubble3D val="0"/>
            <c:spPr>
              <a:solidFill>
                <a:srgbClr val="4285F4"/>
              </a:solidFill>
              <a:ln cmpd="sng">
                <a:solidFill>
                  <a:srgbClr val="000000"/>
                </a:solidFill>
              </a:ln>
            </c:spPr>
          </c:dPt>
          <c:dPt>
            <c:idx val="441"/>
            <c:invertIfNegative val="1"/>
            <c:bubble3D val="0"/>
            <c:spPr>
              <a:solidFill>
                <a:srgbClr val="4285F4"/>
              </a:solidFill>
              <a:ln cmpd="sng">
                <a:solidFill>
                  <a:srgbClr val="000000"/>
                </a:solidFill>
              </a:ln>
            </c:spPr>
          </c:dPt>
          <c:dPt>
            <c:idx val="442"/>
            <c:invertIfNegative val="1"/>
            <c:bubble3D val="0"/>
            <c:spPr>
              <a:solidFill>
                <a:srgbClr val="4285F4"/>
              </a:solidFill>
              <a:ln cmpd="sng">
                <a:solidFill>
                  <a:srgbClr val="000000"/>
                </a:solidFill>
              </a:ln>
            </c:spPr>
          </c:dPt>
          <c:dPt>
            <c:idx val="443"/>
            <c:invertIfNegative val="1"/>
            <c:bubble3D val="0"/>
            <c:spPr>
              <a:solidFill>
                <a:srgbClr val="4285F4"/>
              </a:solidFill>
              <a:ln cmpd="sng">
                <a:solidFill>
                  <a:srgbClr val="000000"/>
                </a:solidFill>
              </a:ln>
            </c:spPr>
          </c:dPt>
          <c:dPt>
            <c:idx val="444"/>
            <c:invertIfNegative val="1"/>
            <c:bubble3D val="0"/>
            <c:spPr>
              <a:solidFill>
                <a:srgbClr val="4285F4"/>
              </a:solidFill>
              <a:ln cmpd="sng">
                <a:solidFill>
                  <a:srgbClr val="000000"/>
                </a:solidFill>
              </a:ln>
            </c:spPr>
          </c:dPt>
          <c:dPt>
            <c:idx val="445"/>
            <c:invertIfNegative val="1"/>
            <c:bubble3D val="0"/>
            <c:spPr>
              <a:solidFill>
                <a:srgbClr val="4285F4"/>
              </a:solidFill>
              <a:ln cmpd="sng">
                <a:solidFill>
                  <a:srgbClr val="000000"/>
                </a:solidFill>
              </a:ln>
            </c:spPr>
          </c:dPt>
          <c:dPt>
            <c:idx val="446"/>
            <c:invertIfNegative val="1"/>
            <c:bubble3D val="0"/>
            <c:spPr>
              <a:solidFill>
                <a:srgbClr val="4285F4"/>
              </a:solidFill>
              <a:ln cmpd="sng">
                <a:solidFill>
                  <a:srgbClr val="000000"/>
                </a:solidFill>
              </a:ln>
            </c:spPr>
          </c:dPt>
          <c:dPt>
            <c:idx val="447"/>
            <c:invertIfNegative val="1"/>
            <c:bubble3D val="0"/>
            <c:spPr>
              <a:solidFill>
                <a:srgbClr val="4285F4"/>
              </a:solidFill>
              <a:ln cmpd="sng">
                <a:solidFill>
                  <a:srgbClr val="000000"/>
                </a:solidFill>
              </a:ln>
            </c:spPr>
          </c:dPt>
          <c:dPt>
            <c:idx val="448"/>
            <c:invertIfNegative val="1"/>
            <c:bubble3D val="0"/>
            <c:spPr>
              <a:solidFill>
                <a:srgbClr val="4285F4"/>
              </a:solidFill>
              <a:ln cmpd="sng">
                <a:solidFill>
                  <a:srgbClr val="000000"/>
                </a:solidFill>
              </a:ln>
            </c:spPr>
          </c:dPt>
          <c:dPt>
            <c:idx val="449"/>
            <c:invertIfNegative val="1"/>
            <c:bubble3D val="0"/>
            <c:spPr>
              <a:solidFill>
                <a:srgbClr val="4285F4"/>
              </a:solidFill>
              <a:ln cmpd="sng">
                <a:solidFill>
                  <a:srgbClr val="000000"/>
                </a:solidFill>
              </a:ln>
            </c:spPr>
          </c:dPt>
          <c:dPt>
            <c:idx val="450"/>
            <c:invertIfNegative val="1"/>
            <c:bubble3D val="0"/>
            <c:spPr>
              <a:solidFill>
                <a:srgbClr val="4285F4"/>
              </a:solidFill>
              <a:ln cmpd="sng">
                <a:solidFill>
                  <a:srgbClr val="000000"/>
                </a:solidFill>
              </a:ln>
            </c:spPr>
          </c:dPt>
          <c:dPt>
            <c:idx val="451"/>
            <c:invertIfNegative val="1"/>
            <c:bubble3D val="0"/>
            <c:spPr>
              <a:solidFill>
                <a:srgbClr val="4285F4"/>
              </a:solidFill>
              <a:ln cmpd="sng">
                <a:solidFill>
                  <a:srgbClr val="000000"/>
                </a:solidFill>
              </a:ln>
            </c:spPr>
          </c:dPt>
          <c:dPt>
            <c:idx val="452"/>
            <c:invertIfNegative val="1"/>
            <c:bubble3D val="0"/>
            <c:spPr>
              <a:solidFill>
                <a:srgbClr val="4285F4"/>
              </a:solidFill>
              <a:ln cmpd="sng">
                <a:solidFill>
                  <a:srgbClr val="000000"/>
                </a:solidFill>
              </a:ln>
            </c:spPr>
          </c:dPt>
          <c:dPt>
            <c:idx val="453"/>
            <c:invertIfNegative val="1"/>
            <c:bubble3D val="0"/>
            <c:spPr>
              <a:solidFill>
                <a:srgbClr val="4285F4"/>
              </a:solidFill>
              <a:ln cmpd="sng">
                <a:solidFill>
                  <a:srgbClr val="000000"/>
                </a:solidFill>
              </a:ln>
            </c:spPr>
          </c:dPt>
          <c:dPt>
            <c:idx val="454"/>
            <c:invertIfNegative val="1"/>
            <c:bubble3D val="0"/>
            <c:spPr>
              <a:solidFill>
                <a:srgbClr val="4285F4"/>
              </a:solidFill>
              <a:ln cmpd="sng">
                <a:solidFill>
                  <a:srgbClr val="000000"/>
                </a:solidFill>
              </a:ln>
            </c:spPr>
          </c:dPt>
          <c:dPt>
            <c:idx val="455"/>
            <c:invertIfNegative val="1"/>
            <c:bubble3D val="0"/>
            <c:spPr>
              <a:solidFill>
                <a:srgbClr val="4285F4"/>
              </a:solidFill>
              <a:ln cmpd="sng">
                <a:solidFill>
                  <a:srgbClr val="000000"/>
                </a:solidFill>
              </a:ln>
            </c:spPr>
          </c:dPt>
          <c:dPt>
            <c:idx val="456"/>
            <c:invertIfNegative val="1"/>
            <c:bubble3D val="0"/>
            <c:spPr>
              <a:solidFill>
                <a:srgbClr val="4285F4"/>
              </a:solidFill>
              <a:ln cmpd="sng">
                <a:solidFill>
                  <a:srgbClr val="000000"/>
                </a:solidFill>
              </a:ln>
            </c:spPr>
          </c:dPt>
          <c:dPt>
            <c:idx val="457"/>
            <c:invertIfNegative val="1"/>
            <c:bubble3D val="0"/>
            <c:spPr>
              <a:solidFill>
                <a:srgbClr val="4285F4"/>
              </a:solidFill>
              <a:ln cmpd="sng">
                <a:solidFill>
                  <a:srgbClr val="000000"/>
                </a:solidFill>
              </a:ln>
            </c:spPr>
          </c:dPt>
          <c:dPt>
            <c:idx val="458"/>
            <c:invertIfNegative val="1"/>
            <c:bubble3D val="0"/>
            <c:spPr>
              <a:solidFill>
                <a:srgbClr val="4285F4"/>
              </a:solidFill>
              <a:ln cmpd="sng">
                <a:solidFill>
                  <a:srgbClr val="000000"/>
                </a:solidFill>
              </a:ln>
            </c:spPr>
          </c:dPt>
          <c:dPt>
            <c:idx val="459"/>
            <c:invertIfNegative val="1"/>
            <c:bubble3D val="0"/>
            <c:spPr>
              <a:solidFill>
                <a:srgbClr val="4285F4"/>
              </a:solidFill>
              <a:ln cmpd="sng">
                <a:solidFill>
                  <a:srgbClr val="000000"/>
                </a:solidFill>
              </a:ln>
            </c:spPr>
          </c:dPt>
          <c:dPt>
            <c:idx val="460"/>
            <c:invertIfNegative val="1"/>
            <c:bubble3D val="0"/>
            <c:spPr>
              <a:solidFill>
                <a:srgbClr val="4285F4"/>
              </a:solidFill>
              <a:ln cmpd="sng">
                <a:solidFill>
                  <a:srgbClr val="000000"/>
                </a:solidFill>
              </a:ln>
            </c:spPr>
          </c:dPt>
          <c:dPt>
            <c:idx val="461"/>
            <c:invertIfNegative val="1"/>
            <c:bubble3D val="0"/>
            <c:spPr>
              <a:solidFill>
                <a:srgbClr val="4285F4"/>
              </a:solidFill>
              <a:ln cmpd="sng">
                <a:solidFill>
                  <a:srgbClr val="000000"/>
                </a:solidFill>
              </a:ln>
            </c:spPr>
          </c:dPt>
          <c:dPt>
            <c:idx val="462"/>
            <c:invertIfNegative val="1"/>
            <c:bubble3D val="0"/>
            <c:spPr>
              <a:solidFill>
                <a:srgbClr val="4285F4"/>
              </a:solidFill>
              <a:ln cmpd="sng">
                <a:solidFill>
                  <a:srgbClr val="000000"/>
                </a:solidFill>
              </a:ln>
            </c:spPr>
          </c:dPt>
          <c:dPt>
            <c:idx val="463"/>
            <c:invertIfNegative val="1"/>
            <c:bubble3D val="0"/>
            <c:spPr>
              <a:solidFill>
                <a:srgbClr val="4285F4"/>
              </a:solidFill>
              <a:ln cmpd="sng">
                <a:solidFill>
                  <a:srgbClr val="000000"/>
                </a:solidFill>
              </a:ln>
            </c:spPr>
          </c:dPt>
          <c:dPt>
            <c:idx val="464"/>
            <c:invertIfNegative val="1"/>
            <c:bubble3D val="0"/>
            <c:spPr>
              <a:solidFill>
                <a:srgbClr val="4285F4"/>
              </a:solidFill>
              <a:ln cmpd="sng">
                <a:solidFill>
                  <a:srgbClr val="000000"/>
                </a:solidFill>
              </a:ln>
            </c:spPr>
          </c:dPt>
          <c:dPt>
            <c:idx val="465"/>
            <c:invertIfNegative val="1"/>
            <c:bubble3D val="0"/>
            <c:spPr>
              <a:solidFill>
                <a:srgbClr val="4285F4"/>
              </a:solidFill>
              <a:ln cmpd="sng">
                <a:solidFill>
                  <a:srgbClr val="000000"/>
                </a:solidFill>
              </a:ln>
            </c:spPr>
          </c:dPt>
          <c:dPt>
            <c:idx val="466"/>
            <c:invertIfNegative val="1"/>
            <c:bubble3D val="0"/>
            <c:spPr>
              <a:solidFill>
                <a:srgbClr val="4285F4"/>
              </a:solidFill>
              <a:ln cmpd="sng">
                <a:solidFill>
                  <a:srgbClr val="000000"/>
                </a:solidFill>
              </a:ln>
            </c:spPr>
          </c:dPt>
          <c:dPt>
            <c:idx val="467"/>
            <c:invertIfNegative val="1"/>
            <c:bubble3D val="0"/>
            <c:spPr>
              <a:solidFill>
                <a:srgbClr val="4285F4"/>
              </a:solidFill>
              <a:ln cmpd="sng">
                <a:solidFill>
                  <a:srgbClr val="000000"/>
                </a:solidFill>
              </a:ln>
            </c:spPr>
          </c:dPt>
          <c:dPt>
            <c:idx val="468"/>
            <c:invertIfNegative val="1"/>
            <c:bubble3D val="0"/>
            <c:spPr>
              <a:solidFill>
                <a:srgbClr val="4285F4"/>
              </a:solidFill>
              <a:ln cmpd="sng">
                <a:solidFill>
                  <a:srgbClr val="000000"/>
                </a:solidFill>
              </a:ln>
            </c:spPr>
          </c:dPt>
          <c:dPt>
            <c:idx val="469"/>
            <c:invertIfNegative val="1"/>
            <c:bubble3D val="0"/>
            <c:spPr>
              <a:solidFill>
                <a:srgbClr val="4285F4"/>
              </a:solidFill>
              <a:ln cmpd="sng">
                <a:solidFill>
                  <a:srgbClr val="000000"/>
                </a:solidFill>
              </a:ln>
            </c:spPr>
          </c:dPt>
          <c:dPt>
            <c:idx val="470"/>
            <c:invertIfNegative val="1"/>
            <c:bubble3D val="0"/>
            <c:spPr>
              <a:solidFill>
                <a:srgbClr val="4285F4"/>
              </a:solidFill>
              <a:ln cmpd="sng">
                <a:solidFill>
                  <a:srgbClr val="000000"/>
                </a:solidFill>
              </a:ln>
            </c:spPr>
          </c:dPt>
          <c:dPt>
            <c:idx val="471"/>
            <c:invertIfNegative val="1"/>
            <c:bubble3D val="0"/>
            <c:spPr>
              <a:solidFill>
                <a:srgbClr val="4285F4"/>
              </a:solidFill>
              <a:ln cmpd="sng">
                <a:solidFill>
                  <a:srgbClr val="000000"/>
                </a:solidFill>
              </a:ln>
            </c:spPr>
          </c:dPt>
          <c:dPt>
            <c:idx val="472"/>
            <c:invertIfNegative val="1"/>
            <c:bubble3D val="0"/>
            <c:spPr>
              <a:solidFill>
                <a:srgbClr val="4285F4"/>
              </a:solidFill>
              <a:ln cmpd="sng">
                <a:solidFill>
                  <a:srgbClr val="000000"/>
                </a:solidFill>
              </a:ln>
            </c:spPr>
          </c:dPt>
          <c:dPt>
            <c:idx val="473"/>
            <c:invertIfNegative val="1"/>
            <c:bubble3D val="0"/>
            <c:spPr>
              <a:solidFill>
                <a:srgbClr val="4285F4"/>
              </a:solidFill>
              <a:ln cmpd="sng">
                <a:solidFill>
                  <a:srgbClr val="000000"/>
                </a:solidFill>
              </a:ln>
            </c:spPr>
          </c:dPt>
          <c:dPt>
            <c:idx val="474"/>
            <c:invertIfNegative val="1"/>
            <c:bubble3D val="0"/>
            <c:spPr>
              <a:solidFill>
                <a:srgbClr val="4285F4"/>
              </a:solidFill>
              <a:ln cmpd="sng">
                <a:solidFill>
                  <a:srgbClr val="000000"/>
                </a:solidFill>
              </a:ln>
            </c:spPr>
          </c:dPt>
          <c:dPt>
            <c:idx val="475"/>
            <c:invertIfNegative val="1"/>
            <c:bubble3D val="0"/>
            <c:spPr>
              <a:solidFill>
                <a:srgbClr val="4285F4"/>
              </a:solidFill>
              <a:ln cmpd="sng">
                <a:solidFill>
                  <a:srgbClr val="000000"/>
                </a:solidFill>
              </a:ln>
            </c:spPr>
          </c:dPt>
          <c:dPt>
            <c:idx val="476"/>
            <c:invertIfNegative val="1"/>
            <c:bubble3D val="0"/>
            <c:spPr>
              <a:solidFill>
                <a:srgbClr val="4285F4"/>
              </a:solidFill>
              <a:ln cmpd="sng">
                <a:solidFill>
                  <a:srgbClr val="000000"/>
                </a:solidFill>
              </a:ln>
            </c:spPr>
          </c:dPt>
          <c:dPt>
            <c:idx val="477"/>
            <c:invertIfNegative val="1"/>
            <c:bubble3D val="0"/>
            <c:spPr>
              <a:solidFill>
                <a:srgbClr val="4285F4"/>
              </a:solidFill>
              <a:ln cmpd="sng">
                <a:solidFill>
                  <a:srgbClr val="000000"/>
                </a:solidFill>
              </a:ln>
            </c:spPr>
          </c:dPt>
          <c:dPt>
            <c:idx val="478"/>
            <c:invertIfNegative val="1"/>
            <c:bubble3D val="0"/>
            <c:spPr>
              <a:solidFill>
                <a:srgbClr val="4285F4"/>
              </a:solidFill>
              <a:ln cmpd="sng">
                <a:solidFill>
                  <a:srgbClr val="000000"/>
                </a:solidFill>
              </a:ln>
            </c:spPr>
          </c:dPt>
          <c:dPt>
            <c:idx val="479"/>
            <c:invertIfNegative val="1"/>
            <c:bubble3D val="0"/>
            <c:spPr>
              <a:solidFill>
                <a:srgbClr val="4285F4"/>
              </a:solidFill>
              <a:ln cmpd="sng">
                <a:solidFill>
                  <a:srgbClr val="000000"/>
                </a:solidFill>
              </a:ln>
            </c:spPr>
          </c:dPt>
          <c:dPt>
            <c:idx val="480"/>
            <c:invertIfNegative val="1"/>
            <c:bubble3D val="0"/>
            <c:spPr>
              <a:solidFill>
                <a:srgbClr val="4285F4"/>
              </a:solidFill>
              <a:ln cmpd="sng">
                <a:solidFill>
                  <a:srgbClr val="000000"/>
                </a:solidFill>
              </a:ln>
            </c:spPr>
          </c:dPt>
          <c:dPt>
            <c:idx val="481"/>
            <c:invertIfNegative val="1"/>
            <c:bubble3D val="0"/>
            <c:spPr>
              <a:solidFill>
                <a:srgbClr val="4285F4"/>
              </a:solidFill>
              <a:ln cmpd="sng">
                <a:solidFill>
                  <a:srgbClr val="000000"/>
                </a:solidFill>
              </a:ln>
            </c:spPr>
          </c:dPt>
          <c:dPt>
            <c:idx val="482"/>
            <c:invertIfNegative val="1"/>
            <c:bubble3D val="0"/>
            <c:spPr>
              <a:solidFill>
                <a:srgbClr val="4285F4"/>
              </a:solidFill>
              <a:ln cmpd="sng">
                <a:solidFill>
                  <a:srgbClr val="000000"/>
                </a:solidFill>
              </a:ln>
            </c:spPr>
          </c:dPt>
          <c:dPt>
            <c:idx val="483"/>
            <c:invertIfNegative val="1"/>
            <c:bubble3D val="0"/>
            <c:spPr>
              <a:solidFill>
                <a:srgbClr val="4285F4"/>
              </a:solidFill>
              <a:ln cmpd="sng">
                <a:solidFill>
                  <a:srgbClr val="000000"/>
                </a:solidFill>
              </a:ln>
            </c:spPr>
          </c:dPt>
          <c:dPt>
            <c:idx val="484"/>
            <c:invertIfNegative val="1"/>
            <c:bubble3D val="0"/>
            <c:spPr>
              <a:solidFill>
                <a:srgbClr val="4285F4"/>
              </a:solidFill>
              <a:ln cmpd="sng">
                <a:solidFill>
                  <a:srgbClr val="000000"/>
                </a:solidFill>
              </a:ln>
            </c:spPr>
          </c:dPt>
          <c:dPt>
            <c:idx val="485"/>
            <c:invertIfNegative val="1"/>
            <c:bubble3D val="0"/>
            <c:spPr>
              <a:solidFill>
                <a:srgbClr val="4285F4"/>
              </a:solidFill>
              <a:ln cmpd="sng">
                <a:solidFill>
                  <a:srgbClr val="000000"/>
                </a:solidFill>
              </a:ln>
            </c:spPr>
          </c:dPt>
          <c:dPt>
            <c:idx val="486"/>
            <c:invertIfNegative val="1"/>
            <c:bubble3D val="0"/>
            <c:spPr>
              <a:solidFill>
                <a:srgbClr val="4285F4"/>
              </a:solidFill>
              <a:ln cmpd="sng">
                <a:solidFill>
                  <a:srgbClr val="000000"/>
                </a:solidFill>
              </a:ln>
            </c:spPr>
          </c:dPt>
          <c:dPt>
            <c:idx val="487"/>
            <c:invertIfNegative val="1"/>
            <c:bubble3D val="0"/>
            <c:spPr>
              <a:solidFill>
                <a:srgbClr val="4285F4"/>
              </a:solidFill>
              <a:ln cmpd="sng">
                <a:solidFill>
                  <a:srgbClr val="000000"/>
                </a:solidFill>
              </a:ln>
            </c:spPr>
          </c:dPt>
          <c:dPt>
            <c:idx val="488"/>
            <c:invertIfNegative val="1"/>
            <c:bubble3D val="0"/>
            <c:spPr>
              <a:solidFill>
                <a:srgbClr val="4285F4"/>
              </a:solidFill>
              <a:ln cmpd="sng">
                <a:solidFill>
                  <a:srgbClr val="000000"/>
                </a:solidFill>
              </a:ln>
            </c:spPr>
          </c:dPt>
          <c:dPt>
            <c:idx val="489"/>
            <c:invertIfNegative val="1"/>
            <c:bubble3D val="0"/>
            <c:spPr>
              <a:solidFill>
                <a:srgbClr val="4285F4"/>
              </a:solidFill>
              <a:ln cmpd="sng">
                <a:solidFill>
                  <a:srgbClr val="000000"/>
                </a:solidFill>
              </a:ln>
            </c:spPr>
          </c:dPt>
          <c:dPt>
            <c:idx val="490"/>
            <c:invertIfNegative val="1"/>
            <c:bubble3D val="0"/>
            <c:spPr>
              <a:solidFill>
                <a:srgbClr val="4285F4"/>
              </a:solidFill>
              <a:ln cmpd="sng">
                <a:solidFill>
                  <a:srgbClr val="000000"/>
                </a:solidFill>
              </a:ln>
            </c:spPr>
          </c:dPt>
          <c:dPt>
            <c:idx val="491"/>
            <c:invertIfNegative val="1"/>
            <c:bubble3D val="0"/>
            <c:spPr>
              <a:solidFill>
                <a:srgbClr val="4285F4"/>
              </a:solidFill>
              <a:ln cmpd="sng">
                <a:solidFill>
                  <a:srgbClr val="000000"/>
                </a:solidFill>
              </a:ln>
            </c:spPr>
          </c:dPt>
          <c:dPt>
            <c:idx val="492"/>
            <c:invertIfNegative val="1"/>
            <c:bubble3D val="0"/>
            <c:spPr>
              <a:solidFill>
                <a:srgbClr val="4285F4"/>
              </a:solidFill>
              <a:ln cmpd="sng">
                <a:solidFill>
                  <a:srgbClr val="000000"/>
                </a:solidFill>
              </a:ln>
            </c:spPr>
          </c:dPt>
          <c:dPt>
            <c:idx val="493"/>
            <c:invertIfNegative val="1"/>
            <c:bubble3D val="0"/>
            <c:spPr>
              <a:solidFill>
                <a:srgbClr val="4285F4"/>
              </a:solidFill>
              <a:ln cmpd="sng">
                <a:solidFill>
                  <a:srgbClr val="000000"/>
                </a:solidFill>
              </a:ln>
            </c:spPr>
          </c:dPt>
          <c:dPt>
            <c:idx val="494"/>
            <c:invertIfNegative val="1"/>
            <c:bubble3D val="0"/>
            <c:spPr>
              <a:solidFill>
                <a:srgbClr val="4285F4"/>
              </a:solidFill>
              <a:ln cmpd="sng">
                <a:solidFill>
                  <a:srgbClr val="000000"/>
                </a:solidFill>
              </a:ln>
            </c:spPr>
          </c:dPt>
          <c:dPt>
            <c:idx val="495"/>
            <c:invertIfNegative val="1"/>
            <c:bubble3D val="0"/>
            <c:spPr>
              <a:solidFill>
                <a:srgbClr val="4285F4"/>
              </a:solidFill>
              <a:ln cmpd="sng">
                <a:solidFill>
                  <a:srgbClr val="000000"/>
                </a:solidFill>
              </a:ln>
            </c:spPr>
          </c:dPt>
          <c:dPt>
            <c:idx val="496"/>
            <c:invertIfNegative val="1"/>
            <c:bubble3D val="0"/>
            <c:spPr>
              <a:solidFill>
                <a:srgbClr val="4285F4"/>
              </a:solidFill>
              <a:ln cmpd="sng">
                <a:solidFill>
                  <a:srgbClr val="000000"/>
                </a:solidFill>
              </a:ln>
            </c:spPr>
          </c:dPt>
          <c:dPt>
            <c:idx val="497"/>
            <c:invertIfNegative val="1"/>
            <c:bubble3D val="0"/>
            <c:spPr>
              <a:solidFill>
                <a:srgbClr val="4285F4"/>
              </a:solidFill>
              <a:ln cmpd="sng">
                <a:solidFill>
                  <a:srgbClr val="000000"/>
                </a:solidFill>
              </a:ln>
            </c:spPr>
          </c:dPt>
          <c:dPt>
            <c:idx val="498"/>
            <c:invertIfNegative val="1"/>
            <c:bubble3D val="0"/>
            <c:spPr>
              <a:solidFill>
                <a:srgbClr val="4285F4"/>
              </a:solidFill>
              <a:ln cmpd="sng">
                <a:solidFill>
                  <a:srgbClr val="000000"/>
                </a:solidFill>
              </a:ln>
            </c:spPr>
          </c:dPt>
          <c:dPt>
            <c:idx val="499"/>
            <c:invertIfNegative val="1"/>
            <c:bubble3D val="0"/>
            <c:spPr>
              <a:solidFill>
                <a:srgbClr val="4285F4"/>
              </a:solidFill>
              <a:ln cmpd="sng">
                <a:solidFill>
                  <a:srgbClr val="000000"/>
                </a:solidFill>
              </a:ln>
            </c:spPr>
          </c:dPt>
          <c:dLbls>
            <c:delete val="1"/>
          </c:dLbls>
          <c:trendline>
            <c:spPr>
              <a:ln w="19050" cap="rnd" cmpd="sng" algn="ctr">
                <a:solidFill>
                  <a:srgbClr val="000000"/>
                </a:solidFill>
                <a:prstDash val="solid"/>
                <a:round/>
              </a:ln>
            </c:spPr>
            <c:trendlineType val="linear"/>
            <c:dispRSqr val="0"/>
            <c:dispEq val="0"/>
          </c:trendline>
          <c:cat>
            <c:numRef>
              <c:f>'Dashboard DN'!$J$1:$J$500</c:f>
              <c:numCache>
                <c:formatCode>dd/mm/yyyy</c:formatCode>
                <c:ptCount val="500"/>
                <c:pt idx="4" c:formatCode="dd/mm/yyyy">
                  <c:v>45076</c:v>
                </c:pt>
                <c:pt idx="5" c:formatCode="dd/mm/yyyy">
                  <c:v>45078</c:v>
                </c:pt>
                <c:pt idx="6" c:formatCode="dd/mm/yyyy">
                  <c:v>45079</c:v>
                </c:pt>
                <c:pt idx="7" c:formatCode="dd/mm/yyyy">
                  <c:v>45080</c:v>
                </c:pt>
                <c:pt idx="8" c:formatCode="dd/mm/yyyy">
                  <c:v>45081</c:v>
                </c:pt>
                <c:pt idx="9" c:formatCode="dd/mm/yyyy">
                  <c:v>45082</c:v>
                </c:pt>
                <c:pt idx="10" c:formatCode="dd/mm/yyyy">
                  <c:v>45083</c:v>
                </c:pt>
                <c:pt idx="11" c:formatCode="dd/mm/yyyy">
                  <c:v>45084</c:v>
                </c:pt>
                <c:pt idx="12" c:formatCode="dd/mm/yyyy">
                  <c:v>45085</c:v>
                </c:pt>
                <c:pt idx="13" c:formatCode="dd/mm/yyyy">
                  <c:v>45087</c:v>
                </c:pt>
                <c:pt idx="14" c:formatCode="dd/mm/yyyy">
                  <c:v>45089</c:v>
                </c:pt>
                <c:pt idx="15" c:formatCode="dd/mm/yyyy">
                  <c:v>45092</c:v>
                </c:pt>
                <c:pt idx="16" c:formatCode="dd/mm/yyyy">
                  <c:v>45108</c:v>
                </c:pt>
                <c:pt idx="17" c:formatCode="dd/mm/yyyy">
                  <c:v>45109</c:v>
                </c:pt>
                <c:pt idx="18" c:formatCode="dd/mm/yyyy">
                  <c:v>45110</c:v>
                </c:pt>
                <c:pt idx="19" c:formatCode="dd/mm/yyyy">
                  <c:v>45143</c:v>
                </c:pt>
                <c:pt idx="20" c:formatCode="dd/mm/yyyy">
                  <c:v>45147</c:v>
                </c:pt>
                <c:pt idx="21" c:formatCode="dd/mm/yyyy">
                  <c:v>45156</c:v>
                </c:pt>
                <c:pt idx="22" c:formatCode="dd/mm/yyyy">
                  <c:v>45157</c:v>
                </c:pt>
                <c:pt idx="23" c:formatCode="dd/mm/yyyy">
                  <c:v>45159</c:v>
                </c:pt>
                <c:pt idx="24" c:formatCode="dd/mm/yyyy">
                  <c:v>45160</c:v>
                </c:pt>
                <c:pt idx="25" c:formatCode="dd/mm/yyyy">
                  <c:v>45161</c:v>
                </c:pt>
                <c:pt idx="26" c:formatCode="dd/mm/yyyy">
                  <c:v>45169</c:v>
                </c:pt>
                <c:pt idx="27" c:formatCode="dd/mm/yyyy">
                  <c:v>45170</c:v>
                </c:pt>
                <c:pt idx="28" c:formatCode="dd/mm/yyyy">
                  <c:v>45171</c:v>
                </c:pt>
                <c:pt idx="29" c:formatCode="dd/mm/yyyy">
                  <c:v>45177</c:v>
                </c:pt>
                <c:pt idx="30" c:formatCode="dd/mm/yyyy">
                  <c:v>45178</c:v>
                </c:pt>
                <c:pt idx="31" c:formatCode="d/m/yyyy">
                  <c:v>45216</c:v>
                </c:pt>
                <c:pt idx="32" c:formatCode="d/m/yyyy">
                  <c:v>45220</c:v>
                </c:pt>
                <c:pt idx="33" c:formatCode="d/m/yyyy">
                  <c:v>45225</c:v>
                </c:pt>
              </c:numCache>
            </c:numRef>
          </c:cat>
          <c:val>
            <c:numRef>
              <c:f>'Dashboard DN'!$K$1:$K$500</c:f>
              <c:numCache>
                <c:formatCode>General</c:formatCode>
                <c:ptCount val="500"/>
                <c:pt idx="2">
                  <c:v>0</c:v>
                </c:pt>
                <c:pt idx="4">
                  <c:v>0</c:v>
                </c:pt>
                <c:pt idx="5">
                  <c:v>0</c:v>
                </c:pt>
                <c:pt idx="6">
                  <c:v>0</c:v>
                </c:pt>
                <c:pt idx="7">
                  <c:v>0</c:v>
                </c:pt>
                <c:pt idx="8">
                  <c:v>0</c:v>
                </c:pt>
                <c:pt idx="9">
                  <c:v>0</c:v>
                </c:pt>
                <c:pt idx="10">
                  <c:v>0</c:v>
                </c:pt>
                <c:pt idx="11">
                  <c:v>0</c:v>
                </c:pt>
                <c:pt idx="12">
                  <c:v>1</c:v>
                </c:pt>
                <c:pt idx="13">
                  <c:v>2</c:v>
                </c:pt>
                <c:pt idx="14">
                  <c:v>1</c:v>
                </c:pt>
                <c:pt idx="15">
                  <c:v>1</c:v>
                </c:pt>
                <c:pt idx="16">
                  <c:v>1</c:v>
                </c:pt>
                <c:pt idx="17">
                  <c:v>1</c:v>
                </c:pt>
                <c:pt idx="18">
                  <c:v>1</c:v>
                </c:pt>
                <c:pt idx="19">
                  <c:v>1</c:v>
                </c:pt>
                <c:pt idx="20">
                  <c:v>1</c:v>
                </c:pt>
                <c:pt idx="21">
                  <c:v>1</c:v>
                </c:pt>
                <c:pt idx="22">
                  <c:v>2</c:v>
                </c:pt>
                <c:pt idx="23">
                  <c:v>1</c:v>
                </c:pt>
                <c:pt idx="24">
                  <c:v>2</c:v>
                </c:pt>
                <c:pt idx="25">
                  <c:v>2</c:v>
                </c:pt>
                <c:pt idx="26">
                  <c:v>1</c:v>
                </c:pt>
                <c:pt idx="27">
                  <c:v>1</c:v>
                </c:pt>
                <c:pt idx="28">
                  <c:v>1</c:v>
                </c:pt>
                <c:pt idx="29">
                  <c:v>1</c:v>
                </c:pt>
                <c:pt idx="30">
                  <c:v>1</c:v>
                </c:pt>
                <c:pt idx="31">
                  <c:v>1</c:v>
                </c:pt>
                <c:pt idx="32">
                  <c:v>1</c:v>
                </c:pt>
                <c:pt idx="33">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axId val="1071888883"/>
        <c:axId val="1840309684"/>
      </c:barChart>
      <c:dateAx>
        <c:axId val="1071888883"/>
        <c:scaling>
          <c:orientation val="minMax"/>
        </c:scaling>
        <c:delete val="0"/>
        <c:axPos val="b"/>
        <c:title>
          <c:layout/>
          <c:overlay val="0"/>
          <c:tx>
            <c:rich>
              <a:bodyPr/>
              <a:lstStyle/>
              <a:p>
                <a:pPr>
                  <a:defRPr/>
                </a:pPr>
              </a:p>
            </c:rich>
          </c:tx>
        </c:title>
        <c:numFmt formatCode="m/d/yyyy" sourceLinked="1"/>
        <c:majorTickMark val="none"/>
        <c:minorTickMark val="none"/>
        <c:tickLblPos val="nextTo"/>
        <c:txPr>
          <a:bodyPr rot="-60000000" spcFirstLastPara="0" vertOverflow="ellipsis" vert="horz" wrap="square" anchor="ctr" anchorCtr="1"/>
          <a:lstStyle/>
          <a:p>
            <a:pPr>
              <a:defRPr lang="pt-BR" sz="1000" b="0" i="0" u="none" strike="noStrike" kern="1200" baseline="0">
                <a:solidFill>
                  <a:srgbClr val="000000"/>
                </a:solidFill>
                <a:latin typeface="+mn-lt"/>
                <a:ea typeface="+mn-ea"/>
                <a:cs typeface="+mn-cs"/>
              </a:defRPr>
            </a:pPr>
          </a:p>
        </c:txPr>
        <c:crossAx val="1840309684"/>
        <c:crosses val="autoZero"/>
        <c:auto val="1"/>
        <c:lblOffset val="100"/>
        <c:baseTimeUnit val="days"/>
      </c:dateAx>
      <c:valAx>
        <c:axId val="1840309684"/>
        <c:scaling>
          <c:orientation val="minMax"/>
        </c:scaling>
        <c:delete val="0"/>
        <c:axPos val="l"/>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pt-BR" sz="1000" b="0" i="0" u="none" strike="noStrike" kern="1200" baseline="0">
                <a:solidFill>
                  <a:srgbClr val="000000"/>
                </a:solidFill>
                <a:latin typeface="+mn-lt"/>
                <a:ea typeface="+mn-ea"/>
                <a:cs typeface="+mn-cs"/>
              </a:defRPr>
            </a:pPr>
          </a:p>
        </c:txPr>
        <c:crossAx val="1071888883"/>
        <c:crosses val="autoZero"/>
        <c:crossBetween val="between"/>
      </c:valAx>
    </c:plotArea>
    <c:legend>
      <c:legendPos val="r"/>
      <c:layout/>
      <c:overlay val="0"/>
      <c:txPr>
        <a:bodyPr rot="0" spcFirstLastPara="0" vertOverflow="ellipsis" vert="horz" wrap="square" anchor="ctr" anchorCtr="1"/>
        <a:lstStyle/>
        <a:p>
          <a:pPr>
            <a:defRPr lang="pt-BR" sz="1000" b="0" i="0" u="none" strike="noStrike" kern="1200" baseline="0">
              <a:solidFill>
                <a:srgbClr val="1A1A1A"/>
              </a:solidFill>
              <a:latin typeface="+mn-lt"/>
              <a:ea typeface="+mn-ea"/>
              <a:cs typeface="+mn-cs"/>
            </a:defRPr>
          </a:pPr>
        </a:p>
      </c:txPr>
    </c:legend>
    <c:plotVisOnly val="1"/>
    <c:dispBlanksAs val="zero"/>
    <c:showDLblsOverMax val="1"/>
  </c:chart>
  <c:txPr>
    <a:bodyPr/>
    <a:lstStyle/>
    <a:p>
      <a:pPr>
        <a:defRPr lang="pt-BR"/>
      </a:pPr>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22</xdr:col>
      <xdr:colOff>38100</xdr:colOff>
      <xdr:row>3</xdr:row>
      <xdr:rowOff>114300</xdr:rowOff>
    </xdr:from>
    <xdr:ext cx="6486525" cy="3463925"/>
    <xdr:graphicFrame>
      <xdr:nvGraphicFramePr>
        <xdr:cNvPr id="2" name="Chart 1" title="Gráfico"/>
        <xdr:cNvGraphicFramePr/>
      </xdr:nvGraphicFramePr>
      <xdr:xfrm>
        <a:off x="23576915" y="1041400"/>
        <a:ext cx="6486525" cy="3463925"/>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12</xdr:col>
      <xdr:colOff>800100</xdr:colOff>
      <xdr:row>4</xdr:row>
      <xdr:rowOff>57150</xdr:rowOff>
    </xdr:from>
    <xdr:ext cx="8791575" cy="5314950"/>
    <xdr:graphicFrame>
      <xdr:nvGraphicFramePr>
        <xdr:cNvPr id="3" name="Chart 2" descr="Atende Gestante: Atendimento de gestante ou puérperas realizados após lançamento do serviço" title="Gráfico"/>
        <xdr:cNvGraphicFramePr/>
      </xdr:nvGraphicFramePr>
      <xdr:xfrm>
        <a:off x="15556865" y="1143000"/>
        <a:ext cx="8791575" cy="531495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1</xdr:col>
      <xdr:colOff>809625</xdr:colOff>
      <xdr:row>0</xdr:row>
      <xdr:rowOff>200025</xdr:rowOff>
    </xdr:from>
    <xdr:ext cx="2857500" cy="2828925"/>
    <mc:AlternateContent xmlns:mc="http://schemas.openxmlformats.org/markup-compatibility/2006">
      <mc:Choice xmlns:sle15="http://schemas.microsoft.com/office/drawing/2012/slicer" Requires="sle15">
        <xdr:graphicFrame>
          <xdr:nvGraphicFramePr>
            <xdr:cNvPr id="2" name="Fase do ciclo gravídico_1"/>
            <xdr:cNvGraphicFramePr/>
          </xdr:nvGraphicFramePr>
          <xdr:xfrm>
            <a:off x="0" y="0"/>
            <a:ext cx="0" cy="0"/>
          </xdr:xfrm>
          <a:graphic>
            <a:graphicData uri="http://schemas.microsoft.com/office/drawing/2010/slicer">
              <sle:slicer xmlns:sle="http://schemas.microsoft.com/office/drawing/2010/slicer" name="Fase do ciclo gravídico_1"/>
            </a:graphicData>
          </a:graphic>
        </xdr:graphicFrame>
      </mc:Choice>
      <mc:Fallback xmlns="">
        <xdr:sp macro="" textlink="">
          <xdr:nvSpPr>
            <xdr:cNvPr id="0" name=""/>
            <xdr:cNvSpPr>
              <a:spLocks noTextEdit="1"/>
            </xdr:cNvSpPr>
          </xdr:nvSpPr>
          <xdr:spPr>
            <a:xfrm>
              <a:off x="3312795" y="165100"/>
              <a:ext cx="2857500" cy="2828925"/>
            </a:xfrm>
            <a:prstGeom prst="rect">
              <a:avLst/>
            </a:prstGeom>
            <a:solidFill>
              <a:prstClr val="white"/>
            </a:solidFill>
            <a:ln w="1">
              <a:solidFill>
                <a:prstClr val="green"/>
              </a:solidFill>
            </a:ln>
          </xdr:spPr>
          <xdr:txBody>
            <a:bodyPr vertOverflow="clip" horzOverflow="clip"/>
            <a:lstStyle/>
            <a:p>
              <a:r>
                <a:rPr sz="1100"/>
                <a:t>Esta forma representa um Slicer.
Os Slicers não podem ser usados nesta versão, atualize para a versão mais recente do WPS Office.</a:t>
              </a:r>
            </a:p>
          </xdr:txBody>
        </xdr:sp>
      </mc:Fallback>
    </mc:AlternateContent>
    <xdr:clientData fLocksWithSheet="0"/>
  </xdr:oneCellAnchor>
  <xdr:oneCellAnchor>
    <xdr:from>
      <xdr:col>5</xdr:col>
      <xdr:colOff>552450</xdr:colOff>
      <xdr:row>0</xdr:row>
      <xdr:rowOff>200025</xdr:rowOff>
    </xdr:from>
    <xdr:ext cx="2857500" cy="2828925"/>
    <mc:AlternateContent xmlns:mc="http://schemas.openxmlformats.org/markup-compatibility/2006">
      <mc:Choice xmlns:sle15="http://schemas.microsoft.com/office/drawing/2012/slicer" Requires="sle15">
        <xdr:graphicFrame>
          <xdr:nvGraphicFramePr>
            <xdr:cNvPr id="3" name="Realizar telemonitoramento?_2"/>
            <xdr:cNvGraphicFramePr/>
          </xdr:nvGraphicFramePr>
          <xdr:xfrm>
            <a:off x="0" y="0"/>
            <a:ext cx="0" cy="0"/>
          </xdr:xfrm>
          <a:graphic>
            <a:graphicData uri="http://schemas.microsoft.com/office/drawing/2010/slicer">
              <sle:slicer xmlns:sle="http://schemas.microsoft.com/office/drawing/2010/slicer" name="Realizar telemonitoramento?_2"/>
            </a:graphicData>
          </a:graphic>
        </xdr:graphicFrame>
      </mc:Choice>
      <mc:Fallback xmlns="">
        <xdr:sp macro="" textlink="">
          <xdr:nvSpPr>
            <xdr:cNvPr id="0" name=""/>
            <xdr:cNvSpPr>
              <a:spLocks noTextEdit="1"/>
            </xdr:cNvSpPr>
          </xdr:nvSpPr>
          <xdr:spPr>
            <a:xfrm>
              <a:off x="7487285" y="165100"/>
              <a:ext cx="2857500" cy="2828925"/>
            </a:xfrm>
            <a:prstGeom prst="rect">
              <a:avLst/>
            </a:prstGeom>
            <a:solidFill>
              <a:prstClr val="white"/>
            </a:solidFill>
            <a:ln w="1">
              <a:solidFill>
                <a:prstClr val="green"/>
              </a:solidFill>
            </a:ln>
          </xdr:spPr>
          <xdr:txBody>
            <a:bodyPr vertOverflow="clip" horzOverflow="clip"/>
            <a:lstStyle/>
            <a:p>
              <a:r>
                <a:rPr sz="1100"/>
                <a:t>Esta forma representa um Slicer.
Os Slicers não podem ser usados nesta versão, atualize para a versão mais recente do WPS Office.</a:t>
              </a:r>
            </a:p>
          </xdr:txBody>
        </xdr:sp>
      </mc:Fallback>
    </mc:AlternateContent>
    <xdr:clientData fLocksWithSheet="0"/>
  </xdr:oneCellAnchor>
  <xdr:oneCellAnchor>
    <xdr:from>
      <xdr:col>8</xdr:col>
      <xdr:colOff>590550</xdr:colOff>
      <xdr:row>0</xdr:row>
      <xdr:rowOff>200025</xdr:rowOff>
    </xdr:from>
    <xdr:ext cx="2857500" cy="2828925"/>
    <mc:AlternateContent xmlns:mc="http://schemas.openxmlformats.org/markup-compatibility/2006">
      <mc:Choice xmlns:sle15="http://schemas.microsoft.com/office/drawing/2012/slicer" Requires="sle15">
        <xdr:graphicFrame>
          <xdr:nvGraphicFramePr>
            <xdr:cNvPr id="4" name="Tipo de atendimento realizado_3"/>
            <xdr:cNvGraphicFramePr/>
          </xdr:nvGraphicFramePr>
          <xdr:xfrm>
            <a:off x="0" y="0"/>
            <a:ext cx="0" cy="0"/>
          </xdr:xfrm>
          <a:graphic>
            <a:graphicData uri="http://schemas.microsoft.com/office/drawing/2010/slicer">
              <sle:slicer xmlns:sle="http://schemas.microsoft.com/office/drawing/2010/slicer" name="Tipo de atendimento realizado_3"/>
            </a:graphicData>
          </a:graphic>
        </xdr:graphicFrame>
      </mc:Choice>
      <mc:Fallback xmlns="">
        <xdr:sp macro="" textlink="">
          <xdr:nvSpPr>
            <xdr:cNvPr id="0" name=""/>
            <xdr:cNvSpPr>
              <a:spLocks noTextEdit="1"/>
            </xdr:cNvSpPr>
          </xdr:nvSpPr>
          <xdr:spPr>
            <a:xfrm>
              <a:off x="10998200" y="165100"/>
              <a:ext cx="2857500" cy="2828925"/>
            </a:xfrm>
            <a:prstGeom prst="rect">
              <a:avLst/>
            </a:prstGeom>
            <a:solidFill>
              <a:prstClr val="white"/>
            </a:solidFill>
            <a:ln w="1">
              <a:solidFill>
                <a:prstClr val="green"/>
              </a:solidFill>
            </a:ln>
          </xdr:spPr>
          <xdr:txBody>
            <a:bodyPr vertOverflow="clip" horzOverflow="clip"/>
            <a:lstStyle/>
            <a:p>
              <a:r>
                <a:rPr sz="1100"/>
                <a:t>Esta forma representa um Slicer.
Os Slicers não podem ser usados nesta versão, atualize para a versão mais recente do WPS Office.</a:t>
              </a:r>
            </a:p>
          </xdr:txBody>
        </xdr:sp>
      </mc:Fallback>
    </mc:AlternateContent>
    <xdr:clientData fLocksWithSheet="0"/>
  </xdr:oneCellAnchor>
  <xdr:oneCellAnchor>
    <xdr:from>
      <xdr:col>11</xdr:col>
      <xdr:colOff>647700</xdr:colOff>
      <xdr:row>0</xdr:row>
      <xdr:rowOff>200025</xdr:rowOff>
    </xdr:from>
    <xdr:ext cx="2857500" cy="2828925"/>
    <mc:AlternateContent xmlns:mc="http://schemas.openxmlformats.org/markup-compatibility/2006">
      <mc:Choice xmlns:sle15="http://schemas.microsoft.com/office/drawing/2012/slicer" Requires="sle15">
        <xdr:graphicFrame>
          <xdr:nvGraphicFramePr>
            <xdr:cNvPr id="5" name="Selecione o tipo de demanda_4"/>
            <xdr:cNvGraphicFramePr/>
          </xdr:nvGraphicFramePr>
          <xdr:xfrm>
            <a:off x="0" y="0"/>
            <a:ext cx="0" cy="0"/>
          </xdr:xfrm>
          <a:graphic>
            <a:graphicData uri="http://schemas.microsoft.com/office/drawing/2010/slicer">
              <sle:slicer xmlns:sle="http://schemas.microsoft.com/office/drawing/2010/slicer" name="Selecione o tipo de demanda_4"/>
            </a:graphicData>
          </a:graphic>
        </xdr:graphicFrame>
      </mc:Choice>
      <mc:Fallback xmlns="">
        <xdr:sp macro="" textlink="">
          <xdr:nvSpPr>
            <xdr:cNvPr id="0" name=""/>
            <xdr:cNvSpPr>
              <a:spLocks noTextEdit="1"/>
            </xdr:cNvSpPr>
          </xdr:nvSpPr>
          <xdr:spPr>
            <a:xfrm>
              <a:off x="14378305" y="165100"/>
              <a:ext cx="2857500" cy="2828925"/>
            </a:xfrm>
            <a:prstGeom prst="rect">
              <a:avLst/>
            </a:prstGeom>
            <a:solidFill>
              <a:prstClr val="white"/>
            </a:solidFill>
            <a:ln w="1">
              <a:solidFill>
                <a:prstClr val="green"/>
              </a:solidFill>
            </a:ln>
          </xdr:spPr>
          <xdr:txBody>
            <a:bodyPr vertOverflow="clip" horzOverflow="clip"/>
            <a:lstStyle/>
            <a:p>
              <a:r>
                <a:rPr sz="1100"/>
                <a:t>Esta forma representa um Slicer.
Os Slicers não podem ser usados nesta versão, atualize para a versão mais recente do WPS Office.</a:t>
              </a:r>
            </a:p>
          </xdr:txBody>
        </xdr:sp>
      </mc:Fallback>
    </mc:AlternateContent>
    <xdr:clientData fLocksWithSheet="0"/>
  </xdr:oneCellAnchor>
</xdr:wsDr>
</file>

<file path=xl/drawings/drawing3.xml><?xml version="1.0" encoding="utf-8"?>
<xdr:wsDr xmlns:xdr="http://schemas.openxmlformats.org/drawingml/2006/spreadsheetDrawing" xmlns:r="http://schemas.openxmlformats.org/officeDocument/2006/relationships" xmlns:a="http://schemas.openxmlformats.org/drawingml/2006/main">
  <xdr:oneCellAnchor>
    <xdr:from>
      <xdr:col>0</xdr:col>
      <xdr:colOff>3076575</xdr:colOff>
      <xdr:row>15</xdr:row>
      <xdr:rowOff>9525</xdr:rowOff>
    </xdr:from>
    <xdr:ext cx="5715000" cy="2832100"/>
    <xdr:graphicFrame>
      <xdr:nvGraphicFramePr>
        <xdr:cNvPr id="3" name="Chart 3" title="Gráfico"/>
        <xdr:cNvGraphicFramePr/>
      </xdr:nvGraphicFramePr>
      <xdr:xfrm>
        <a:off x="3076575" y="2803525"/>
        <a:ext cx="5715000" cy="283210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11</xdr:col>
      <xdr:colOff>228600</xdr:colOff>
      <xdr:row>20</xdr:row>
      <xdr:rowOff>161925</xdr:rowOff>
    </xdr:from>
    <xdr:ext cx="5715000" cy="3035300"/>
    <xdr:graphicFrame>
      <xdr:nvGraphicFramePr>
        <xdr:cNvPr id="4" name="Chart 4" title="Gráfico"/>
        <xdr:cNvGraphicFramePr/>
      </xdr:nvGraphicFramePr>
      <xdr:xfrm>
        <a:off x="13331190" y="3746500"/>
        <a:ext cx="5715000" cy="303530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r:id="rId1" refreshOnLoad="1" refreshedVersion="5" refreshedDate="45457.3887384259" refreshedBy="USUARIO" recordCount="1707">
  <cacheSource type="worksheet">
    <worksheetSource ref="A1:AH1708" sheet="Registro de teleatendimento"/>
  </cacheSource>
  <cacheFields count="34">
    <cacheField name="Carimbo de data/hora" numFmtId="0">
      <sharedItems containsBlank="1" containsDate="1" containsMixedTypes="1" count="1605">
        <s v="Teleconsulta pós lançamento"/>
        <s v="Telemonitoramento efetivados pós lançamento"/>
        <s v="Teletriagem pós lançamento"/>
        <d v="2022-11-10T13:55:00"/>
        <d v="2022-11-30T11:13:08"/>
        <d v="2022-12-15T09:07:30"/>
        <d v="2023-01-02T08:53:17"/>
        <d v="2023-01-02T15:41:34"/>
        <d v="2023-01-11T11:39:43"/>
        <d v="2023-01-11T14:48:46"/>
        <d v="2023-01-18T11:13:34"/>
        <d v="2023-01-24T15:41:03"/>
        <d v="2022-12-01T14:36:17"/>
        <d v="2023-01-03T15:12:15"/>
        <d v="2023-01-03T15:16:25"/>
        <d v="2023-01-25T15:25:17"/>
        <d v="2023-01-26T15:07:01"/>
        <d v="2023-01-27T08:57:14"/>
        <d v="2023-03-02T13:48:49"/>
        <d v="2023-03-17T12:06:18"/>
        <d v="2023-03-17T17:28:25"/>
        <d v="2023-03-20T10:13:23"/>
        <d v="2023-03-21T15:52:42"/>
        <d v="2023-04-05T12:10:56"/>
        <d v="2023-04-07T10:17:58"/>
        <d v="2023-04-18T17:02:41"/>
        <d v="2023-04-19T14:42:54"/>
        <d v="2023-04-20T09:23:42"/>
        <d v="2023-04-21T09:01:20"/>
        <d v="2023-04-24T16:16:17"/>
        <d v="2023-05-02T15:09:58"/>
        <d v="2023-05-03T11:49:19"/>
        <d v="2023-05-04T15:48:48"/>
        <d v="2023-05-05T16:36:13"/>
        <d v="2023-05-08T10:53:41"/>
        <d v="2023-05-08T14:58:33"/>
        <d v="2023-05-08T17:46:53"/>
        <d v="2023-05-10T12:38:45"/>
        <d v="2023-05-16T18:02:47"/>
        <d v="2023-05-30T11:46:12"/>
        <d v="2023-05-30T18:31:39"/>
        <d v="2023-05-30T19:24:48"/>
        <d v="2023-05-31T10:18:44"/>
        <d v="2023-05-31T15:07:02"/>
        <d v="2023-05-31T16:02:07"/>
        <d v="2023-05-31T16:34:29"/>
        <d v="2023-05-31T16:36:02"/>
        <d v="2023-06-01T08:23:47"/>
        <d v="2023-06-01T08:50:44"/>
        <d v="2023-06-01T10:57:45"/>
        <d v="2023-06-01T12:04:31"/>
        <d v="2023-06-01T12:41:47"/>
        <d v="2023-06-01T18:30:04"/>
        <d v="2023-06-02T10:18:00"/>
        <d v="2023-06-02T11:30:41"/>
        <d v="2023-06-02T11:30:50"/>
        <d v="2023-06-02T12:46:26"/>
        <d v="2023-06-02T17:51:41"/>
        <d v="2023-06-03T08:57:21"/>
        <d v="2023-06-03T10:17:42"/>
        <d v="2023-06-03T16:26:43"/>
        <d v="2023-06-03T18:49:37"/>
        <d v="2023-06-04T10:00:47"/>
        <d v="2023-06-04T12:07:39"/>
        <d v="2023-06-04T16:10:50"/>
        <d v="2023-06-05T10:32:25"/>
        <d v="2023-06-05T11:24:21"/>
        <d v="2023-06-05T18:06:50"/>
        <d v="2023-06-05T18:24:06"/>
        <d v="2023-06-05T19:06:02"/>
        <d v="2023-06-05T19:06:28"/>
        <d v="2023-06-06T09:18:34"/>
        <d v="2023-06-06T09:27:46"/>
        <d v="2023-06-06T10:12:39"/>
        <d v="2023-06-06T10:54:43"/>
        <d v="2023-06-06T12:00:05"/>
        <d v="2023-06-06T12:07:29"/>
        <d v="2023-06-06T12:55:02"/>
        <d v="2023-06-06T13:00:45"/>
        <d v="2023-06-06T15:21:59"/>
        <d v="2023-06-06T15:36:00"/>
        <d v="2023-06-06T17:34:02"/>
        <d v="2023-06-06T18:46:07"/>
        <d v="2023-06-07T09:28:59"/>
        <d v="2023-06-07T09:30:52"/>
        <d v="2023-06-07T10:04:40"/>
        <d v="2023-06-07T10:11:00"/>
        <d v="2023-06-07T12:32:00"/>
        <d v="2023-06-07T12:37:44"/>
        <d v="2023-06-07T14:18:31"/>
        <d v="2023-06-07T14:49:21"/>
        <d v="2023-06-07T15:10:24"/>
        <d v="2023-06-07T15:47:39"/>
        <d v="2023-06-07T16:56:31"/>
        <d v="2023-06-07T18:51:35"/>
        <d v="2023-06-07T19:33:52"/>
        <d v="2023-06-08T07:35:57"/>
        <d v="2023-06-08T08:22:37"/>
        <d v="2023-06-08T09:18:12"/>
        <d v="2023-06-08T10:23:11"/>
        <d v="2023-06-08T12:26:16"/>
        <d v="2023-06-08T14:07:46"/>
        <d v="2023-06-08T14:34:50"/>
        <d v="2023-06-08T15:13:52"/>
        <d v="2023-06-08T17:09:57"/>
        <d v="2023-06-08T17:55:04"/>
        <d v="2023-06-08T18:49:15"/>
        <d v="2023-06-09T08:48:58"/>
        <d v="2023-06-09T09:06:52"/>
        <d v="2023-06-09T09:44:17"/>
        <d v="2023-06-09T11:23:34"/>
        <d v="2023-06-09T12:01:22"/>
        <d v="2023-06-09T12:14:51"/>
        <d v="2023-06-09T12:31:24"/>
        <d v="2023-06-09T13:38:17"/>
        <d v="2023-06-09T13:48:28"/>
        <d v="2023-06-09T13:55:12"/>
        <d v="2023-06-09T14:45:32"/>
        <d v="2023-06-09T16:36:13"/>
        <d v="2023-06-09T19:23:34"/>
        <d v="2023-06-10T08:06:27"/>
        <d v="2023-06-10T08:53:03"/>
        <d v="2023-06-10T09:18:27"/>
        <d v="2023-06-10T09:26:25"/>
        <d v="2023-06-10T09:38:10"/>
        <d v="2023-06-10T10:15:49"/>
        <d v="2023-06-10T10:23:08"/>
        <d v="2023-06-10T11:04:41"/>
        <d v="2023-06-10T11:55:09"/>
        <d v="2023-06-10T11:55:58"/>
        <d v="2023-06-10T12:57:35"/>
        <d v="2023-06-10T13:29:37"/>
        <d v="2023-06-10T14:11:15"/>
        <d v="2023-06-10T17:00:13"/>
        <d v="2023-06-10T17:18:19"/>
        <d v="2023-06-10T17:26:22"/>
        <d v="2023-06-10T17:40:50"/>
        <d v="2023-06-10T18:02:02"/>
        <d v="2023-06-10T19:01:46"/>
        <d v="2023-06-11T08:35:41"/>
        <d v="2023-06-11T09:43:42"/>
        <d v="2023-06-11T10:04:58"/>
        <d v="2023-06-11T11:45:57"/>
        <d v="2023-06-11T12:34:00"/>
        <d v="2023-06-11T12:50:10"/>
        <d v="2023-06-11T14:29:59"/>
        <d v="2023-06-11T17:29:06"/>
        <d v="2023-06-11T18:58:34"/>
        <d v="2023-06-12T09:24:07"/>
        <d v="2023-06-12T10:08:06"/>
        <d v="2023-06-12T10:34:39"/>
        <d v="2023-06-12T10:43:50"/>
        <d v="2023-06-12T11:39:03"/>
        <d v="2023-06-12T11:57:29"/>
        <d v="2023-06-12T13:42:02"/>
        <d v="2023-06-12T13:51:55"/>
        <d v="2023-06-12T15:28:38"/>
        <d v="2023-06-13T09:40:06"/>
        <d v="2023-06-13T09:58:14"/>
        <d v="2023-06-13T10:50:13"/>
        <d v="2023-06-13T11:56:45"/>
        <d v="2023-06-13T13:24:53"/>
        <d v="2023-06-13T13:49:09"/>
        <d v="2023-06-13T14:07:46"/>
        <d v="2023-06-13T16:07:49"/>
        <d v="2023-06-13T16:42:57"/>
        <d v="2023-06-13T17:17:58"/>
        <d v="2023-06-13T18:33:18"/>
        <d v="2023-06-14T08:51:18"/>
        <d v="2023-06-14T09:59:05"/>
        <d v="2023-06-14T11:04:13"/>
        <d v="2023-06-14T11:26:08"/>
        <d v="2023-06-14T11:32:06"/>
        <d v="2023-06-14T13:07:22"/>
        <d v="2023-06-14T14:54:20"/>
        <d v="2023-06-14T15:14:50"/>
        <d v="2023-06-14T15:36:46"/>
        <d v="2023-06-14T17:38:16"/>
        <d v="2023-06-14T18:50:54"/>
        <d v="2023-06-15T09:30:28"/>
        <d v="2023-06-15T13:55:40"/>
        <d v="2023-06-15T15:26:29"/>
        <d v="2023-06-15T17:27:42"/>
        <d v="2023-06-15T19:58:54"/>
        <d v="2023-06-16T08:43:49"/>
        <d v="2023-06-16T10:00:28"/>
        <d v="2023-06-16T12:23:56"/>
        <d v="2023-06-16T13:16:58"/>
        <d v="2023-06-16T14:54:14"/>
        <d v="2023-06-16T17:01:54"/>
        <d v="2023-06-16T17:37:23"/>
        <d v="2023-06-16T18:26:18"/>
        <d v="2023-06-17T09:35:40"/>
        <d v="2023-06-17T10:16:41"/>
        <d v="2023-06-17T17:17:24"/>
        <d v="2023-06-18T12:51:56"/>
        <d v="2023-06-18T14:56:03"/>
        <d v="2023-06-19T08:16:43"/>
        <d v="2023-06-19T11:57:26"/>
        <d v="2023-06-19T13:10:51"/>
        <d v="2023-06-19T13:16:54"/>
        <d v="2023-06-19T14:19:02"/>
        <d v="2023-06-19T15:15:43"/>
        <d v="2023-06-19T16:33:44"/>
        <d v="2023-06-19T16:37:32"/>
        <d v="2023-06-19T16:51:20"/>
        <d v="2023-06-19T16:54:46"/>
        <d v="2023-06-19T17:05:04"/>
        <d v="2023-06-19T17:30:27"/>
        <d v="2023-06-19T18:47:54"/>
        <d v="2023-06-20T11:47:30"/>
        <d v="2023-06-20T14:16:11"/>
        <d v="2023-06-20T14:31:11"/>
        <d v="2023-06-20T16:25:08"/>
        <d v="2023-06-20T16:30:20"/>
        <d v="2023-06-20T19:36:35"/>
        <d v="2023-06-21T08:20:39"/>
        <d v="2023-06-21T08:45:53"/>
        <d v="2023-06-21T10:34:48"/>
        <d v="2023-06-21T12:04:12"/>
        <d v="2023-06-21T16:23:53"/>
        <d v="2023-06-22T08:20:38"/>
        <d v="2023-06-22T08:52:38"/>
        <d v="2023-06-22T09:00:56"/>
        <d v="2023-06-22T12:26:05"/>
        <d v="2023-06-22T12:55:57"/>
        <d v="2023-06-22T13:23:50"/>
        <d v="2023-06-22T14:30:39"/>
        <d v="2023-06-22T14:54:47"/>
        <d v="2023-06-22T16:16:38"/>
        <d v="2023-06-23T08:46:19"/>
        <d v="2023-06-23T08:47:30"/>
        <d v="2023-06-23T10:42:36"/>
        <d v="2023-06-24T14:41:51"/>
        <d v="2023-06-24T18:46:10"/>
        <d v="2023-06-25T08:31:20"/>
        <d v="2023-06-25T08:58:40"/>
        <d v="2023-06-25T16:17:04"/>
        <d v="2023-06-26T09:20:22"/>
        <d v="2023-06-26T15:25:04"/>
        <d v="2023-06-26T15:38:39"/>
        <d v="2023-06-26T17:21:21"/>
        <d v="2023-06-27T08:20:30"/>
        <d v="2023-06-27T13:13:11"/>
        <d v="2023-06-27T15:10:24"/>
        <d v="2023-06-27T17:55:44"/>
        <d v="2023-06-27T19:37:07"/>
        <d v="2023-06-28T12:23:42"/>
        <d v="2023-06-28T16:26:26"/>
        <d v="2023-06-28T16:48:40"/>
        <d v="2023-06-28T18:13:16"/>
        <d v="2023-06-29T09:24:22"/>
        <d v="2023-06-29T11:46:14"/>
        <d v="2023-06-29T14:49:39"/>
        <d v="2023-06-29T14:54:08"/>
        <d v="2023-06-29T17:38:08"/>
        <d v="2023-06-29T18:31:46"/>
        <d v="2023-06-29T19:07:07"/>
        <d v="2023-06-30T10:49:02"/>
        <d v="2023-06-30T11:40:27"/>
        <d v="2023-06-30T14:00:47"/>
        <d v="2023-06-30T15:40:02"/>
        <d v="2023-06-30T17:45:07"/>
        <d v="2023-07-01T08:56:58"/>
        <d v="2023-07-01T10:44:56"/>
        <d v="2023-07-01T11:58:27"/>
        <d v="2023-07-01T16:33:48"/>
        <d v="2023-07-01T16:59:52"/>
        <d v="2023-07-02T09:37:39"/>
        <d v="2023-07-02T09:41:03"/>
        <d v="2023-07-02T14:22:49"/>
        <d v="2023-07-03T10:03:25"/>
        <d v="2023-07-03T11:01:35"/>
        <d v="2023-07-03T19:43:54"/>
        <d v="2023-07-04T08:58:11"/>
        <d v="2023-07-04T09:46:03"/>
        <d v="2023-07-04T10:39:32"/>
        <d v="2023-07-04T15:34:50"/>
        <d v="2023-07-04T16:48:35"/>
        <d v="2023-07-05T08:24:49"/>
        <d v="2023-07-05T08:41:16"/>
        <d v="2023-07-05T08:42:21"/>
        <d v="2023-07-05T09:10:11"/>
        <d v="2023-07-05T10:08:51"/>
        <d v="2023-07-05T13:15:56"/>
        <d v="2023-07-05T13:50:26"/>
        <d v="2023-07-05T15:32:44"/>
        <d v="2023-07-05T16:55:58"/>
        <d v="2023-07-05T19:21:21"/>
        <d v="2023-07-06T09:04:25"/>
        <d v="2023-07-06T10:58:42"/>
        <d v="2023-07-06T12:12:24"/>
        <d v="2023-07-06T14:05:00"/>
        <d v="2023-07-06T14:52:44"/>
        <d v="2023-07-06T18:09:55"/>
        <d v="2023-07-07T15:19:02"/>
        <d v="2023-07-07T17:07:21"/>
        <d v="2023-07-07T17:45:43"/>
        <d v="2023-07-08T09:58:50"/>
        <d v="2023-07-08T13:39:30"/>
        <d v="2023-07-08T16:55:19"/>
        <d v="2023-07-08T19:11:50"/>
        <d v="2023-07-09T14:10:33"/>
        <d v="2023-07-10T09:34:44"/>
        <d v="2023-07-10T10:46:31"/>
        <d v="2023-07-10T12:02:18"/>
        <d v="2023-07-10T12:33:55"/>
        <d v="2023-07-10T12:59:32"/>
        <d v="2023-07-11T09:56:21"/>
        <d v="2023-07-11T13:06:22"/>
        <d v="2023-07-11T13:41:21"/>
        <d v="2023-07-10T12:15:03"/>
        <d v="2023-07-11T15:10:56"/>
        <d v="2023-07-11T15:54:30"/>
        <d v="2023-07-11T15:57:55"/>
        <d v="2023-07-11T17:36:05"/>
        <d v="2023-07-11T17:47:14"/>
        <d v="2023-07-12T11:20:16"/>
        <d v="2023-07-12T12:24:27"/>
        <d v="2023-07-12T14:48:57"/>
        <d v="2023-07-12T15:17:50"/>
        <d v="2023-07-12T18:00:03"/>
        <d v="2023-07-13T08:09:32"/>
        <d v="2023-07-13T08:57:02"/>
        <d v="2023-07-13T10:56:01"/>
        <d v="2023-07-13T12:15:32"/>
        <d v="2023-07-13T12:45:01"/>
        <d v="2023-07-13T14:40:27"/>
        <d v="2023-07-13T16:10:38"/>
        <d v="2023-07-13T17:55:17"/>
        <d v="2023-07-13T18:52:17"/>
        <d v="2023-07-14T09:16:57"/>
        <d v="2023-07-14T10:28:04"/>
        <d v="2023-07-14T12:29:42"/>
        <d v="2023-07-14T17:38:39"/>
        <d v="2023-07-15T09:27:34"/>
        <d v="2023-07-15T14:03:54"/>
        <d v="2023-07-15T14:09:58"/>
        <d v="2023-07-15T18:47:16"/>
        <d v="2023-07-16T10:25:45"/>
        <d v="2023-07-16T13:16:46"/>
        <d v="2023-07-16T15:10:02"/>
        <d v="2023-07-16T17:10:19"/>
        <d v="2023-07-17T09:48:23"/>
        <d v="2023-07-17T10:34:10"/>
        <d v="2023-07-17T11:17:01"/>
        <d v="2023-07-17T14:26:49"/>
        <d v="2023-07-18T11:12:14"/>
        <d v="2023-07-18T11:41:35"/>
        <d v="2023-07-18T16:50:29"/>
        <d v="2023-07-18T17:56:56"/>
        <d v="2023-07-19T08:10:48"/>
        <d v="2023-07-19T09:38:58"/>
        <d v="2023-07-19T12:18:38"/>
        <d v="2023-07-19T14:26:01"/>
        <d v="2023-07-19T15:32:25"/>
        <d v="2023-07-19T16:34:56"/>
        <d v="2023-07-20T17:23:53"/>
        <d v="2023-07-20T18:35:38"/>
        <d v="2023-07-21T10:50:20"/>
        <d v="2023-07-21T13:28:48"/>
        <d v="2023-07-22T09:09:38"/>
        <d v="2023-07-22T10:09:37"/>
        <d v="2023-07-22T10:21:36"/>
        <d v="2023-07-22T17:13:05"/>
        <d v="2023-07-22T18:32:04"/>
        <d v="2023-07-23T09:41:51"/>
        <d v="2023-07-23T11:52:07"/>
        <d v="2023-07-24T13:34:59"/>
        <d v="2023-07-25T09:20:29"/>
        <d v="2023-07-25T11:09:47"/>
        <d v="2023-07-25T16:48:14"/>
        <d v="2023-07-26T10:00:08"/>
        <d v="2023-07-26T10:28:32"/>
        <d v="2023-07-26T11:10:42"/>
        <d v="2023-07-26T18:07:04"/>
        <d v="2023-07-27T08:50:53"/>
        <d v="2023-07-27T09:07:32"/>
        <d v="2023-07-27T14:45:43"/>
        <d v="2023-07-27T15:02:10"/>
        <d v="2023-07-28T10:22:14"/>
        <d v="2023-07-28T19:24:35"/>
        <d v="2023-07-29T09:45:57"/>
        <d v="2023-07-29T11:31:02"/>
        <d v="2023-07-29T12:19:41"/>
        <d v="2023-07-29T15:29:27"/>
        <d v="2023-07-29T18:56:32"/>
        <d v="2023-07-31T16:24:40"/>
        <d v="2023-07-31T17:08:22"/>
        <d v="2023-07-31T17:43:50"/>
        <d v="2023-08-01T15:09:47"/>
        <d v="2023-08-01T16:27:12"/>
        <d v="2023-08-02T16:29:26"/>
        <d v="2023-08-03T09:08:28"/>
        <d v="2023-08-03T09:18:54"/>
        <d v="2023-08-03T13:47:27"/>
        <d v="2023-08-03T15:51:42"/>
        <d v="2023-08-03T17:46:31"/>
        <d v="2023-08-04T09:16:45"/>
        <d v="2023-08-04T11:57:22"/>
        <d v="2023-08-04T14:41:20"/>
        <d v="2023-08-04T15:21:49"/>
        <d v="2023-08-04T16:21:29"/>
        <d v="2023-08-04T20:03:12"/>
        <d v="2023-08-05T09:45:49"/>
        <d v="2023-08-05T12:16:26"/>
        <d v="2023-08-05T12:27:03"/>
        <d v="2023-08-05T13:08:05"/>
        <d v="2023-08-05T13:51:06"/>
        <d v="2023-08-05T14:24:09"/>
        <d v="2023-08-05T18:43:53"/>
        <d v="2023-08-06T09:47:43"/>
        <d v="2023-08-07T10:23:10"/>
        <d v="2023-08-07T11:10:22"/>
        <d v="2023-08-07T12:52:11"/>
        <d v="2023-08-07T18:01:28"/>
        <d v="2023-08-07T18:56:04"/>
        <d v="2023-08-08T09:08:59"/>
        <d v="2023-08-08T09:20:55"/>
        <d v="2023-08-09T08:40:57"/>
        <d v="2023-08-09T08:50:00"/>
        <d v="2023-08-09T09:21:07"/>
        <d v="2023-08-09T11:57:53"/>
        <d v="2023-08-09T18:16:34"/>
        <d v="2023-08-10T08:11:35"/>
        <d v="2023-08-10T10:46:14"/>
        <d v="2023-08-10T11:19:18"/>
        <d v="2023-08-10T14:10:30"/>
        <d v="2023-08-10T15:58:06"/>
        <d v="2023-08-10T16:24:59"/>
        <d v="2023-08-10T19:38:16"/>
        <d v="2023-08-11T08:56:17"/>
        <d v="2023-08-11T09:12:40"/>
        <d v="2023-08-11T13:19:30"/>
        <d v="2023-08-11T17:54:48"/>
        <d v="2023-08-12T14:20:41"/>
        <d v="2023-08-12T15:59:25"/>
        <d v="2023-08-12T18:27:40"/>
        <d v="2023-08-14T09:28:06"/>
        <d v="2023-08-14T11:14:55"/>
        <d v="2023-08-14T16:02:52"/>
        <d v="2023-08-15T07:26:03"/>
        <d v="2023-08-15T18:38:11"/>
        <d v="2023-08-15T19:22:34"/>
        <d v="2023-08-16T12:28:38"/>
        <d v="2023-08-16T13:48:57"/>
        <d v="2023-08-16T16:49:54"/>
        <d v="2023-08-17T09:12:34"/>
        <d v="2023-08-17T11:54:41"/>
        <d v="2023-08-17T15:21:36"/>
        <d v="2023-08-17T15:56:25"/>
        <d v="2023-08-17T15:56:30"/>
        <d v="2023-08-17T17:15:47"/>
        <d v="2023-08-17T17:15:54"/>
        <d v="2023-08-17T18:12:12"/>
        <d v="2023-08-17T20:00:51"/>
        <d v="2023-08-18T09:47:15"/>
        <d v="2023-08-18T10:01:30"/>
        <d v="2023-08-18T11:30:10"/>
        <d v="2023-08-18T12:29:07"/>
        <d v="2023-08-18T15:12:59"/>
        <d v="2023-08-18T15:28:41"/>
        <d v="2023-08-19T11:30:40"/>
        <d v="2023-08-19T11:37:28"/>
        <d v="2023-08-19T14:57:29"/>
        <d v="2023-08-19T15:07:10"/>
        <d v="2023-08-19T16:29:55"/>
        <d v="2023-08-20T09:01:47"/>
        <d v="2023-08-20T09:50:00"/>
        <d v="2023-08-20T16:27:11"/>
        <d v="2023-08-21T09:39:01"/>
        <d v="2023-08-21T12:40:28"/>
        <d v="2023-08-21T13:46:31"/>
        <d v="2023-08-21T14:34:10"/>
        <d v="2023-08-21T16:13:32"/>
        <d v="2023-08-22T09:18:59"/>
        <d v="2023-08-22T12:35:07"/>
        <d v="2023-08-22T13:40:46"/>
        <d v="2023-08-22T15:02:24"/>
        <d v="2023-08-22T16:29:06"/>
        <d v="2023-08-22T16:46:16"/>
        <d v="2023-08-23T09:28:43"/>
        <d v="2023-08-23T09:36:32"/>
        <d v="2023-08-23T09:53:16"/>
        <d v="2023-08-23T11:24:56"/>
        <d v="2023-08-23T15:12:58"/>
        <d v="2023-08-23T16:02:07"/>
        <d v="2023-08-23T16:31:13"/>
        <d v="2023-08-24T08:47:25"/>
        <d v="2023-08-24T08:56:17"/>
        <d v="2023-08-25T12:46:52"/>
        <d v="2023-08-25T16:11:27"/>
        <d v="2023-08-25T16:17:13"/>
        <d v="2023-08-26T11:35:28"/>
        <d v="2023-08-26T14:11:20"/>
        <d v="2023-08-26T15:00:36"/>
        <d v="2023-08-28T13:06:52"/>
        <d v="2023-08-28T15:01:34"/>
        <d v="2023-08-28T18:59:58"/>
        <d v="2023-08-29T12:01:52"/>
        <d v="2023-08-29T14:55:06"/>
        <d v="2023-08-29T17:04:15"/>
        <d v="2023-08-30T08:56:16"/>
        <d v="2023-08-30T09:09:56"/>
        <d v="2023-08-30T14:15:16"/>
        <d v="2023-08-31T08:39:11"/>
        <d v="2023-08-31T10:22:28"/>
        <d v="2023-08-31T10:48:47"/>
        <d v="2023-08-31T18:38:07"/>
        <d v="2023-09-01T09:28:00"/>
        <d v="2023-09-01T09:31:39"/>
        <d v="2023-09-01T15:06:42"/>
        <d v="2023-09-01T18:04:45"/>
        <d v="2023-09-01T18:20:53"/>
        <d v="2023-09-02T08:32:43"/>
        <d v="2023-09-02T13:20:05"/>
        <d v="2023-09-02T17:32:50"/>
        <d v="2023-09-02T17:43:54"/>
        <d v="2023-09-03T16:18:18"/>
        <d v="2023-09-04T10:40:54"/>
        <d v="2023-09-04T17:13:16"/>
        <d v="2023-09-06T08:52:02"/>
        <d v="2023-09-06T11:47:19"/>
        <d v="2023-09-07T19:26:12"/>
        <d v="2023-09-08T09:52:05"/>
        <d v="2023-09-08T11:13:54"/>
        <d v="2023-09-08T12:03:55"/>
        <d v="2023-09-08T15:46:44"/>
        <d v="2023-09-09T09:40:43"/>
        <d v="2023-09-09T14:40:45"/>
        <d v="2023-09-09T17:12:45"/>
        <d v="2023-09-09T18:12:00"/>
        <d v="2023-09-09T19:05:00"/>
        <d v="2023-09-10T10:19:34"/>
        <d v="2023-09-10T12:15:50"/>
        <d v="2023-09-10T14:18:43"/>
        <d v="2023-09-10T17:17:31"/>
        <d v="2023-09-10T17:58:15"/>
        <d v="2023-09-11T07:58:25"/>
        <d v="2023-09-11T08:56:43"/>
        <d v="2023-09-11T12:26:34"/>
        <d v="2023-09-11T12:38:15"/>
        <d v="2023-09-11T14:57:38"/>
        <d v="2023-09-12T14:54:47"/>
        <d v="2023-09-12T15:36:46"/>
        <d v="2023-09-13T10:56:14"/>
        <d v="2023-09-13T11:25:57"/>
        <d v="2023-09-13T13:09:11"/>
        <d v="2023-09-13T14:29:32"/>
        <d v="2023-09-13T17:00:14"/>
        <d v="2023-09-14T08:45:07"/>
        <d v="2023-09-14T09:04:11"/>
        <d v="2023-09-14T11:17:17"/>
        <d v="2023-09-14T16:43:44"/>
        <d v="2023-09-14T17:25:39"/>
        <d v="2023-09-16T14:50:03"/>
        <d v="2023-09-16T15:38:30"/>
        <d v="2023-09-16T17:49:44"/>
        <d v="2023-09-16T18:37:13"/>
        <d v="2023-09-18T09:14:56"/>
        <d v="2023-09-18T09:45:05"/>
        <d v="2023-09-18T10:28:36"/>
        <d v="2023-09-18T14:17:37"/>
        <d v="2023-09-18T19:06:34"/>
        <d v="2023-09-19T10:41:41"/>
        <d v="2023-09-19T11:33:28"/>
        <d v="2023-09-19T14:19:43"/>
        <d v="2023-09-20T15:10:41"/>
        <d v="2023-09-21T10:38:33"/>
        <d v="2023-09-21T11:59:55"/>
        <d v="2023-09-21T12:25:27"/>
        <d v="2023-09-21T16:38:12"/>
        <d v="2023-09-21T16:43:24"/>
        <d v="2023-09-21T17:49:34"/>
        <d v="2023-09-21T18:45:41"/>
        <d v="2023-09-22T08:30:30"/>
        <d v="2023-09-22T10:31:15"/>
        <d v="2023-09-22T15:35:49"/>
        <d v="2023-09-22T16:00:27"/>
        <d v="2023-09-22T17:20:01"/>
        <d v="2023-09-23T11:56:15"/>
        <d v="2023-09-23T12:41:55"/>
        <d v="2023-09-24T11:29:22"/>
        <d v="2023-09-24T17:26:58"/>
        <d v="2023-09-24T19:36:18"/>
        <d v="2023-09-25T09:43:53"/>
        <d v="2023-09-25T11:55:52"/>
        <d v="2023-09-25T12:56:50"/>
        <d v="2023-09-25T19:17:07"/>
        <d v="2023-09-26T15:03:05"/>
        <d v="2023-09-26T16:16:36"/>
        <d v="2023-09-27T15:47:19"/>
        <d v="2023-09-27T17:52:15"/>
        <d v="2023-09-28T09:21:25"/>
        <d v="2023-09-29T08:32:57"/>
        <d v="2023-09-29T12:01:52"/>
        <d v="2023-09-29T15:32:50"/>
        <d v="2023-09-30T08:42:30"/>
        <d v="2023-10-01T17:33:34"/>
        <d v="2023-10-02T08:49:04"/>
        <d v="2023-10-03T09:06:51"/>
        <d v="2023-10-03T11:13:47"/>
        <d v="2023-10-03T12:02:07"/>
        <d v="2023-10-03T16:46:44"/>
        <d v="2023-10-04T09:34:51"/>
        <d v="2023-10-04T10:39:37"/>
        <d v="2023-10-04T11:17:27"/>
        <d v="2023-10-04T12:21:17"/>
        <d v="2023-10-04T14:02:04"/>
        <d v="2023-10-04T14:51:30"/>
        <d v="2023-10-04T16:24:05"/>
        <d v="2023-10-04T16:27:36"/>
        <d v="2023-10-05T08:53:14"/>
        <d v="2023-10-05T09:35:57"/>
        <d v="2023-10-05T11:48:21"/>
        <d v="2023-10-05T13:37:28"/>
        <d v="2023-10-05T14:07:50"/>
        <d v="2023-10-05T17:20:48"/>
        <d v="2023-10-05T18:32:13"/>
        <d v="2023-10-06T08:52:46"/>
        <d v="2023-10-06T10:35:20"/>
        <d v="2023-10-06T13:51:50"/>
        <d v="2023-10-06T14:07:53"/>
        <d v="2023-10-07T08:15:57"/>
        <d v="2023-10-07T14:48:24"/>
        <d v="2023-10-07T16:29:39"/>
        <d v="2023-10-08T09:12:49"/>
        <d v="2023-10-09T11:33:16"/>
        <d v="2023-10-09T12:03:57"/>
        <d v="2023-10-09T15:29:36"/>
        <d v="2023-10-09T15:35:50"/>
        <d v="2023-10-10T09:38:15"/>
        <d v="2023-10-10T09:41:41"/>
        <d v="2023-10-10T10:32:56"/>
        <d v="2023-10-10T10:41:49"/>
        <d v="2023-10-10T13:42:50"/>
        <d v="2023-10-10T16:15:07"/>
        <d v="2023-10-11T10:06:47"/>
        <d v="2023-10-12T16:08:41"/>
        <d v="2023-10-12T19:25:32"/>
        <d v="2023-10-13T11:25:04"/>
        <d v="2023-10-13T18:27:12"/>
        <d v="2023-10-14T11:04:59"/>
        <d v="2023-10-14T12:34:41"/>
        <d v="2023-10-14T13:54:08"/>
        <d v="2023-10-15T08:24:11"/>
        <d v="2023-10-15T10:58:48"/>
        <d v="2023-10-16T08:41:10"/>
        <d v="2023-10-16T13:15:01"/>
        <d v="2023-10-16T17:23:13"/>
        <d v="2023-10-16T17:49:19"/>
        <d v="2023-10-17T09:32:53"/>
        <d v="2023-10-17T12:42:36"/>
        <d v="2023-10-17T12:46:51"/>
        <d v="2023-10-17T13:53:33"/>
        <d v="2023-10-17T14:24:09"/>
        <d v="2023-10-17T15:53:47"/>
        <d v="2023-10-17T16:45:19"/>
        <d v="2023-10-17T17:22:40"/>
        <d v="2023-10-17T17:51:50"/>
        <d v="2023-10-18T11:53:23"/>
        <d v="2023-10-18T15:34:22"/>
        <d v="2023-10-18T18:18:38"/>
        <d v="2023-10-18T18:58:01"/>
        <d v="2023-10-19T10:04:50"/>
        <d v="2023-10-19T15:39:16"/>
        <d v="2023-10-20T08:03:37"/>
        <d v="2023-10-20T08:56:25"/>
        <d v="2023-10-20T09:12:39"/>
        <d v="2023-10-20T09:34:07"/>
        <d v="2023-10-21T09:50:20"/>
        <d v="2023-10-21T13:14:20"/>
        <d v="2023-10-21T13:44:16"/>
        <d v="2023-10-21T16:11:41"/>
        <d v="2023-10-21T16:27:55"/>
        <d v="2023-10-21T19:13:38"/>
        <d v="2023-10-22T09:13:55"/>
        <d v="2023-10-22T09:16:11"/>
        <d v="2023-10-22T13:53:57"/>
        <d v="2023-10-22T19:17:47"/>
        <d v="2023-10-23T08:29:13"/>
        <d v="2023-10-23T15:47:29"/>
        <d v="2023-10-23T17:46:12"/>
        <d v="2023-10-24T11:00:47"/>
        <d v="2023-10-24T09:38:13"/>
        <d v="2023-10-24T10:01:36"/>
        <d v="2023-10-24T11:16:06"/>
        <d v="2023-10-24T13:30:19"/>
        <d v="2023-10-25T08:31:38"/>
        <d v="2023-10-25T09:01:20"/>
        <d v="2023-10-25T09:02:01"/>
        <d v="2023-10-25T15:58:05"/>
        <d v="2023-10-26T08:27:41"/>
        <d v="2023-10-26T10:35:37"/>
        <d v="2023-10-26T14:10:41"/>
        <d v="2023-10-27T08:45:35"/>
        <d v="2023-10-27T11:49:19"/>
        <d v="2023-10-27T17:02:21"/>
        <d v="2023-10-27T19:37:54"/>
        <d v="2023-10-28T08:40:27"/>
        <d v="2023-10-29T18:25:25"/>
        <d v="2023-10-29T19:42:34"/>
        <d v="2023-10-30T11:52:42"/>
        <d v="2023-10-30T15:27:29"/>
        <d v="2023-10-30T16:18:57"/>
        <d v="2023-10-30T16:37:52"/>
        <d v="2023-10-30T18:39:34"/>
        <d v="2023-10-31T10:18:02"/>
        <d v="2023-10-31T12:50:56"/>
        <d v="2023-11-01T10:15:39"/>
        <d v="2023-11-01T14:41:39"/>
        <d v="2023-11-02T11:28:34"/>
        <d v="2023-11-02T11:51:00"/>
        <d v="2023-11-02T14:02:26"/>
        <d v="2023-11-03T09:01:18"/>
        <d v="2023-11-03T10:43:42"/>
        <d v="2023-11-03T17:59:36"/>
        <d v="2023-11-03T18:57:41"/>
        <d v="2023-11-04T09:49:23"/>
        <d v="2023-11-04T13:31:14"/>
        <d v="2023-11-05T14:12:41"/>
        <d v="2023-11-06T09:01:04"/>
        <d v="2023-11-06T10:56:31"/>
        <d v="2023-11-06T13:21:53"/>
        <d v="2023-11-06T19:21:55"/>
        <d v="2023-11-07T09:38:53"/>
        <d v="2023-11-07T09:40:36"/>
        <d v="2023-11-08T12:30:09"/>
        <d v="2023-11-09T09:07:30"/>
        <d v="2023-11-09T09:58:09"/>
        <d v="2023-11-11T13:14:20"/>
        <d v="2023-11-12T10:25:50"/>
        <d v="2023-11-13T13:13:35"/>
        <d v="2023-11-13T19:56:11"/>
        <d v="2023-11-13T20:13:22"/>
        <d v="2023-11-14T10:06:19"/>
        <d v="2023-11-14T10:36:03"/>
        <d v="2023-11-14T13:26:50"/>
        <d v="2023-11-14T14:39:18"/>
        <d v="2023-11-14T17:02:07"/>
        <d v="2023-11-15T09:28:18"/>
        <d v="2023-11-15T13:35:15"/>
        <d v="2023-11-15T18:14:32"/>
        <d v="2023-11-16T10:45:16"/>
        <d v="2023-11-16T18:33:23"/>
        <d v="2023-11-17T12:20:26"/>
        <d v="2023-11-18T09:07:17"/>
        <d v="2023-11-18T17:13:27"/>
        <d v="2023-11-18T18:30:03"/>
        <d v="2023-11-19T08:34:47"/>
        <d v="2023-11-19T10:18:31"/>
        <d v="2023-11-19T13:26:04"/>
        <d v="2023-11-19T15:29:16"/>
        <d v="2023-11-20T10:21:12"/>
        <d v="2023-11-20T15:14:53"/>
        <d v="2023-11-20T15:46:40"/>
        <d v="2023-11-20T16:18:19"/>
        <d v="2023-11-21T08:53:26"/>
        <d v="2023-11-21T09:02:15"/>
        <d v="2023-11-21T09:23:57"/>
        <d v="2023-11-21T11:12:34"/>
        <d v="2023-11-21T12:00:57"/>
        <d v="2023-11-21T12:31:23"/>
        <d v="2023-11-21T15:23:39"/>
        <d v="2023-11-21T15:24:43"/>
        <d v="2023-11-21T17:07:25"/>
        <d v="2023-11-22T08:34:58"/>
        <d v="2023-11-22T10:44:42"/>
        <d v="2023-11-22T11:40:07"/>
        <d v="2023-11-22T12:10:23"/>
        <d v="2023-11-22T13:26:00"/>
        <d v="2023-11-23T08:56:30"/>
        <d v="2023-11-23T09:34:31"/>
        <d v="2023-11-23T11:20:15"/>
        <d v="2023-11-23T18:08:14"/>
        <d v="2023-11-23T18:28:57"/>
        <d v="2023-11-23T18:36:46"/>
        <d v="2023-11-24T08:27:06"/>
        <d v="2023-11-24T11:28:24"/>
        <d v="2023-11-24T19:12:33"/>
        <d v="2023-11-25T12:39:45"/>
        <d v="2023-11-25T14:08:32"/>
        <d v="2023-11-25T14:49:40"/>
        <d v="2023-11-25T15:38:39"/>
        <d v="2023-11-26T11:07:27"/>
        <d v="2023-11-26T11:44:50"/>
        <d v="2023-11-26T12:36:41"/>
        <d v="2023-11-26T13:56:05"/>
        <d v="2023-11-28T07:46:04"/>
        <d v="2023-11-28T08:58:24"/>
        <d v="2023-11-28T10:21:53"/>
        <d v="2023-11-28T10:29:40"/>
        <d v="2023-11-28T16:48:41"/>
        <d v="2023-11-28T17:15:01"/>
        <d v="2023-11-28T17:32:54"/>
        <d v="2023-11-28T18:45:00"/>
        <d v="2023-11-29T08:47:10"/>
        <d v="2023-11-29T13:07:48"/>
        <d v="2023-11-29T17:27:02"/>
        <d v="2023-11-29T17:58:18"/>
        <d v="2023-11-30T13:24:45"/>
        <d v="2023-11-30T15:22:32"/>
        <d v="2023-12-01T09:15:48"/>
        <d v="2023-12-01T17:27:29"/>
        <d v="2023-12-02T08:07:58"/>
        <d v="2023-12-02T12:55:51"/>
        <d v="2023-12-03T08:58:30"/>
        <d v="2023-12-03T17:13:40"/>
        <d v="2023-12-04T08:43:43"/>
        <d v="2023-12-04T09:23:49"/>
        <d v="2023-12-04T10:35:31"/>
        <d v="2023-12-04T10:39:29"/>
        <d v="2023-12-04T11:34:30"/>
        <d v="2023-12-04T12:51:57"/>
        <d v="2023-12-04T15:29:11"/>
        <d v="2023-12-05T08:26:40"/>
        <d v="2023-12-05T08:39:48"/>
        <d v="2023-12-05T08:57:47"/>
        <d v="2023-12-05T13:34:21"/>
        <d v="2023-12-05T16:36:12"/>
        <d v="2023-12-06T08:49:03"/>
        <d v="2023-12-06T11:06:50"/>
        <d v="2023-12-06T11:55:44"/>
        <d v="2023-12-06T14:49:19"/>
        <d v="2023-12-06T15:41:12"/>
        <d v="2023-12-06T19:18:02"/>
        <d v="2023-12-07T11:05:27"/>
        <d v="2023-12-07T11:48:50"/>
        <d v="2023-12-07T15:22:14"/>
        <d v="2023-12-07T17:19:37"/>
        <d v="2023-12-07T17:38:51"/>
        <d v="2023-12-07T18:25:21"/>
        <d v="2023-12-08T09:49:04"/>
        <d v="2023-12-08T13:22:47"/>
        <d v="2023-12-08T13:44:51"/>
        <d v="2023-12-08T14:02:17"/>
        <d v="2023-12-08T16:30:38"/>
        <d v="2023-12-09T11:11:05"/>
        <d v="2023-12-09T17:49:38"/>
        <d v="2023-12-10T10:46:17"/>
        <d v="2023-12-10T15:00:09"/>
        <d v="2023-12-10T16:16:01"/>
        <d v="2023-12-11T11:18:51"/>
        <d v="2023-12-11T11:20:35"/>
        <d v="2023-12-11T12:09:23"/>
        <d v="2023-12-11T13:33:27"/>
        <d v="2023-12-11T14:21:06"/>
        <d v="2023-12-11T15:10:19"/>
        <d v="2023-12-11T15:42:59"/>
        <d v="2023-12-11T15:44:11"/>
        <d v="2023-12-11T21:42:36"/>
        <d v="2023-12-12T12:37:14"/>
        <d v="2023-12-12T13:43:45"/>
        <d v="2023-12-12T17:56:16"/>
        <d v="2023-12-13T08:43:47"/>
        <d v="2023-12-13T10:27:30"/>
        <d v="2023-12-13T11:20:26"/>
        <d v="2023-12-13T11:30:08"/>
        <d v="2023-12-13T15:09:47"/>
        <d v="2023-12-13T15:30:48"/>
        <d v="2023-12-14T09:17:38"/>
        <d v="2023-12-14T11:40:26"/>
        <d v="2023-12-14T13:22:09"/>
        <d v="2023-12-14T14:06:37"/>
        <d v="2023-12-14T16:10:23"/>
        <d v="2023-12-14T16:19:10"/>
        <d v="2023-12-14T17:48:03"/>
        <d v="2023-12-15T09:23:33"/>
        <d v="2023-12-15T10:18:18"/>
        <d v="2023-12-15T16:33:42"/>
        <d v="2023-12-16T10:31:11"/>
        <d v="2023-12-16T11:13:35"/>
        <d v="2023-12-16T11:23:09"/>
        <d v="2023-12-16T11:35:51"/>
        <d v="2023-12-16T12:38:58"/>
        <d v="2023-12-17T08:42:53"/>
        <d v="2023-12-15T19:30:00"/>
        <d v="2023-12-17T11:46:55"/>
        <d v="2023-12-17T12:31:28"/>
        <d v="2023-12-17T15:52:53"/>
        <d v="2023-12-18T09:18:18"/>
        <d v="2023-12-18T11:59:11"/>
        <d v="2023-12-18T12:43:15"/>
        <d v="2023-12-18T14:53:43"/>
        <d v="2023-12-18T14:55:24"/>
        <d v="2023-12-18T15:43:16"/>
        <d v="2023-12-18T17:19:14"/>
        <d v="2023-12-18T17:58:32"/>
        <d v="2023-12-18T18:36:46"/>
        <d v="2023-12-19T11:31:39"/>
        <d v="2023-12-19T11:39:30"/>
        <d v="2023-12-19T13:37:08"/>
        <d v="2023-12-19T15:04:12"/>
        <d v="2023-12-19T15:34:28"/>
        <d v="2023-12-19T17:24:27"/>
        <d v="2023-12-19T18:34:56"/>
        <d v="2023-12-19T19:18:12"/>
        <d v="2023-12-20T09:05:56"/>
        <d v="2023-12-20T09:25:49"/>
        <d v="2023-12-20T10:38:23"/>
        <d v="2023-12-20T12:34:48"/>
        <d v="2023-12-20T14:15:46"/>
        <d v="2023-12-20T14:43:29"/>
        <d v="2023-12-20T20:13:39"/>
        <d v="2023-12-21T09:27:04"/>
        <d v="2023-12-21T10:05:19"/>
        <d v="2023-12-21T11:52:18"/>
        <d v="2023-12-21T14:33:41"/>
        <d v="2023-12-21T16:37:43"/>
        <d v="2023-12-21T17:45:53"/>
        <d v="2023-12-22T10:29:29"/>
        <d v="2023-12-22T10:55:45"/>
        <d v="2023-12-22T10:57:37"/>
        <d v="2023-12-22T15:03:12"/>
        <d v="2023-12-22T15:42:00"/>
        <d v="2023-12-22T16:32:00"/>
        <d v="2023-12-23T10:33:04"/>
        <d v="2023-12-23T14:38:01"/>
        <d v="2023-12-25T16:00:41"/>
        <d v="2023-12-25T18:28:38"/>
        <d v="2023-12-26T09:23:07"/>
        <d v="2023-12-26T09:29:03"/>
        <d v="2023-12-26T17:04:44"/>
        <d v="2023-12-27T09:55:17"/>
        <d v="2023-12-27T10:22:52"/>
        <d v="2023-12-27T16:13:43"/>
        <d v="2023-12-27T16:56:43"/>
        <d v="2023-12-28T12:48:22"/>
        <d v="2023-12-28T13:12:18"/>
        <d v="2023-12-28T16:47:07"/>
        <d v="2023-12-28T17:54:15"/>
        <d v="2023-12-28T18:12:32"/>
        <d v="2023-12-29T10:58:40"/>
        <d v="2023-12-29T11:49:10"/>
        <d v="2023-12-29T19:20:56"/>
        <d v="2023-12-30T08:10:44"/>
        <d v="2023-12-30T08:49:22"/>
        <d v="2023-12-30T17:30:36"/>
        <d v="2023-12-30T19:40:47"/>
        <d v="2024-01-01T10:44:29"/>
        <d v="2024-01-01T11:46:23"/>
        <d v="2024-01-02T08:49:56"/>
        <d v="2024-01-02T10:30:30"/>
        <d v="2024-01-02T13:55:41"/>
        <d v="2024-01-02T14:41:23"/>
        <d v="2024-01-02T14:56:21"/>
        <d v="2024-01-02T16:14:16"/>
        <d v="2024-01-02T19:08:40"/>
        <d v="2024-01-03T08:33:46"/>
        <d v="2024-01-03T10:15:53"/>
        <d v="2024-01-03T11:01:01"/>
        <d v="2024-01-03T11:23:10"/>
        <d v="2024-01-03T12:09:39"/>
        <d v="2024-01-03T14:04:42"/>
        <d v="2024-01-03T14:07:51"/>
        <d v="2024-01-03T15:08:58"/>
        <d v="2024-01-03T15:39:51"/>
        <d v="2024-01-03T17:06:43"/>
        <d v="2024-01-03T17:47:39"/>
        <d v="2024-01-03T18:40:49"/>
        <d v="2024-01-04T08:30:34"/>
        <d v="2024-01-04T10:40:46"/>
        <d v="2024-01-04T10:56:02"/>
        <d v="2024-01-04T11:32:09"/>
        <d v="2024-01-04T11:44:56"/>
        <d v="2024-01-04T14:11:17"/>
        <d v="2024-01-04T14:32:46"/>
        <d v="2024-01-04T14:36:19"/>
        <d v="2024-01-04T16:24:43"/>
        <d v="2024-01-04T16:43:22"/>
        <d v="2024-01-04T17:08:16"/>
        <d v="2024-01-05T08:44:30"/>
        <d v="2024-01-05T09:11:17"/>
        <d v="2024-01-05T09:51:47"/>
        <d v="2024-01-05T11:32:01"/>
        <d v="2024-01-05T13:42:26"/>
        <d v="2024-01-05T16:57:53"/>
        <d v="2024-01-06T12:35:08"/>
        <d v="2024-01-06T15:51:37"/>
        <d v="2024-01-06T16:45:45"/>
        <d v="2024-01-06T17:29:41"/>
        <d v="2024-01-06T18:21:51"/>
        <d v="2024-01-08T09:24:16"/>
        <d v="2024-01-08T10:58:52"/>
        <d v="2024-01-09T11:01:22"/>
        <d v="2024-01-09T12:15:28"/>
        <d v="2024-01-09T12:21:44"/>
        <d v="2024-01-09T12:53:11"/>
        <d v="2024-01-09T14:46:29"/>
        <d v="2024-01-09T16:44:43"/>
        <d v="2024-01-10T09:52:08"/>
        <d v="2024-01-10T10:46:41"/>
        <d v="2024-01-10T11:09:30"/>
        <d v="2024-01-10T12:14:29"/>
        <d v="2024-01-10T14:16:34"/>
        <d v="2024-01-10T15:54:06"/>
        <d v="2024-01-10T17:05:31"/>
        <d v="2024-01-10T18:18:30"/>
        <d v="2024-01-10T19:00:00"/>
        <d v="2024-01-11T09:59:35"/>
        <d v="2024-01-11T10:48:40"/>
        <d v="2024-01-11T11:56:49"/>
        <d v="2024-01-11T12:50:46"/>
        <d v="2024-01-11T13:11:18"/>
        <d v="2024-01-11T13:28:33"/>
        <d v="2024-01-11T14:57:37"/>
        <d v="2024-01-12T11:35:45"/>
        <d v="2024-01-12T13:28:40"/>
        <d v="2024-01-12T13:49:39"/>
        <d v="2024-01-12T15:26:53"/>
        <d v="2024-01-13T09:17:04"/>
        <d v="2024-01-13T09:31:15"/>
        <d v="2024-01-14T13:21:07"/>
        <d v="2024-01-14T14:30:03"/>
        <d v="2024-01-14T18:38:37"/>
        <d v="2024-01-15T09:50:23"/>
        <d v="2024-01-15T10:00:09"/>
        <d v="2024-01-15T16:14:12"/>
        <d v="2024-01-15T16:40:40"/>
        <d v="2024-01-15T20:06:10"/>
        <d v="2024-01-16T09:47:32"/>
        <d v="2024-01-16T15:39:01"/>
        <d v="2024-01-17T08:26:49"/>
        <d v="2024-01-17T09:24:41"/>
        <d v="2024-01-17T09:36:33"/>
        <d v="2024-01-17T12:17:24"/>
        <d v="2024-01-17T14:35:57"/>
        <d v="2024-01-17T16:39:54"/>
        <d v="2024-01-18T10:43:35"/>
        <d v="2024-01-18T12:21:09"/>
        <d v="2024-01-18T12:36:59"/>
        <d v="2024-01-18T14:15:48"/>
        <d v="2024-01-19T12:22:52"/>
        <d v="2024-01-19T12:42:47"/>
        <d v="2024-01-19T12:58:24"/>
        <d v="2024-01-19T16:42:00"/>
        <d v="2024-01-19T17:39:45"/>
        <d v="2024-01-20T09:44:26"/>
        <d v="2024-01-20T10:57:51"/>
        <d v="2024-01-20T16:04:51"/>
        <d v="2024-01-20T16:15:16"/>
        <d v="2024-01-21T13:20:32"/>
        <d v="2024-01-21T15:13:39"/>
        <d v="2024-01-22T11:25:56"/>
        <d v="2024-01-22T14:23:35"/>
        <d v="2024-01-23T11:05:28"/>
        <d v="2024-01-23T11:56:30"/>
        <d v="2024-01-23T14:56:40"/>
        <d v="2024-01-23T16:28:06"/>
        <d v="2024-01-23T17:49:31"/>
        <d v="2024-01-23T18:36:25"/>
        <d v="2024-01-24T08:12:20"/>
        <d v="2024-01-24T10:23:05"/>
        <d v="2024-01-24T10:36:43"/>
        <d v="2024-01-25T10:11:54"/>
        <d v="2024-01-26T08:42:03"/>
        <d v="2024-01-26T10:26:08"/>
        <d v="2024-01-26T14:27:49"/>
        <d v="2024-01-26T15:46:20"/>
        <d v="2024-01-26T17:58:34"/>
        <d v="2024-01-26T18:53:57"/>
        <d v="2024-01-27T14:09:10"/>
        <d v="2024-01-27T16:16:24"/>
        <d v="2024-01-29T09:44:12"/>
        <d v="2024-01-29T14:44:53"/>
        <d v="2024-01-29T15:34:07"/>
        <d v="2024-01-30T09:42:25"/>
        <d v="2024-01-30T09:50:41"/>
        <d v="2024-01-30T11:19:18"/>
        <d v="2024-01-30T16:14:11"/>
        <d v="2024-01-30T18:18:19"/>
        <d v="2024-01-31T08:56:31"/>
        <d v="2024-01-31T11:22:23"/>
        <d v="2024-01-31T11:57:42"/>
        <d v="2024-01-31T12:56:51"/>
        <d v="2024-01-31T15:26:32"/>
        <d v="2024-01-31T16:42:24"/>
        <d v="2024-01-31T17:25:37"/>
        <d v="2024-02-01T07:51:24"/>
        <d v="2024-02-01T11:36:24"/>
        <d v="2024-02-01T13:43:54"/>
        <d v="2024-02-01T14:28:52"/>
        <d v="2024-02-01T15:03:22"/>
        <d v="2024-02-02T09:15:58"/>
        <d v="2024-02-02T14:18:25"/>
        <d v="2024-02-02T14:28:17"/>
        <d v="2024-02-03T08:32:35"/>
        <d v="2024-02-03T10:01:59"/>
        <d v="2024-02-03T12:28:26"/>
        <d v="2024-02-03T14:19:52"/>
        <d v="2024-02-04T16:22:22"/>
        <d v="2024-02-05T09:08:10"/>
        <d v="2024-02-05T12:32:56"/>
        <d v="2024-02-05T12:38:14"/>
        <d v="2024-02-05T15:57:41"/>
        <d v="2024-02-05T16:54:16"/>
        <d v="2024-02-05T16:56:58"/>
        <d v="2024-02-05T17:20:55"/>
        <d v="2024-02-06T18:48:28"/>
        <d v="2024-02-06T19:22:24"/>
        <d v="2024-02-07T08:59:11"/>
        <d v="2024-02-07T09:53:10"/>
        <d v="2024-02-07T11:05:03"/>
        <d v="2024-02-07T11:08:52"/>
        <d v="2024-02-07T18:06:10"/>
        <d v="2024-02-08T11:20:03"/>
        <d v="2024-02-08T16:39:11"/>
        <d v="2024-02-08T18:13:02"/>
        <d v="2024-02-09T10:51:55"/>
        <d v="2024-02-09T16:01:46"/>
        <d v="2024-02-09T16:37:18"/>
        <d v="2024-02-10T09:25:53"/>
        <d v="2024-02-10T11:31:12"/>
        <d v="2024-02-10T12:22:23"/>
        <d v="2024-02-10T19:31:37"/>
        <d v="2024-02-10T20:00:11"/>
        <d v="2024-02-11T11:33:45"/>
        <d v="2024-02-11T12:05:14"/>
        <d v="2024-02-11T13:31:08"/>
        <d v="2024-02-11T14:24:50"/>
        <d v="2024-02-11T15:15:51"/>
        <d v="2024-02-11T17:33:21"/>
        <d v="2024-02-11T18:02:43"/>
        <d v="2024-02-12T11:39:54"/>
        <d v="2024-02-12T13:39:44"/>
        <d v="2024-02-13T09:33:33"/>
        <d v="2024-02-13T11:30:19"/>
        <d v="2024-02-13T14:03:26"/>
        <d v="2024-02-13T16:30:16"/>
        <d v="2024-02-14T16:24:26"/>
        <d v="2024-02-15T09:00:58"/>
        <d v="2024-02-15T09:20:28"/>
        <d v="2024-02-15T19:33:33"/>
        <d v="2024-02-16T09:20:36"/>
        <d v="2024-02-16T09:32:52"/>
        <d v="2024-02-16T13:28:15"/>
        <d v="2024-02-16T13:32:09"/>
        <d v="2024-02-17T16:12:53"/>
        <d v="2024-02-17T17:32:20"/>
        <d v="2024-02-18T12:55:30"/>
        <d v="2024-02-18T17:55:29"/>
        <d v="2024-02-19T11:26:56"/>
        <d v="2024-02-19T11:44:55"/>
        <d v="2024-02-19T14:19:46"/>
        <d v="2024-02-19T14:50:56"/>
        <d v="2024-02-19T18:57:19"/>
        <d v="2024-02-20T11:15:00"/>
        <d v="2024-02-20T11:37:08"/>
        <d v="2024-02-20T13:30:06"/>
        <d v="2024-02-20T16:55:16"/>
        <d v="2024-02-21T10:06:36"/>
        <d v="2024-02-21T11:34:43"/>
        <d v="2024-02-21T14:18:31"/>
        <d v="2024-02-21T16:18:16"/>
        <d v="2024-02-22T09:00:02"/>
        <d v="2024-02-22T09:54:17"/>
        <d v="2024-02-22T10:20:38"/>
        <d v="2024-02-22T17:41:27"/>
        <d v="2024-02-23T09:22:32"/>
        <d v="2024-02-23T10:29:01"/>
        <d v="2024-02-23T10:34:08"/>
        <d v="2024-02-23T15:06:41"/>
        <d v="2024-02-24T16:10:16"/>
        <d v="2024-02-24T17:49:55"/>
        <d v="2024-02-25T08:41:31"/>
        <d v="2024-02-25T09:10:19"/>
        <d v="2024-02-25T11:44:36"/>
        <d v="2024-02-25T12:39:55"/>
        <d v="2024-02-26T11:27:58"/>
        <d v="2024-02-26T12:32:47"/>
        <d v="2024-02-26T16:14:08"/>
        <d v="2024-02-26T16:32:20"/>
        <d v="2024-02-26T17:06:34"/>
        <d v="2024-02-27T08:32:38"/>
        <d v="2024-02-27T10:04:19"/>
        <d v="2024-02-27T10:28:13"/>
        <d v="2024-02-27T14:00:35"/>
        <d v="2024-02-28T12:12:43"/>
        <d v="2024-02-28T13:32:42"/>
        <d v="2024-02-29T11:47:27"/>
        <d v="2024-02-29T11:51:55"/>
        <d v="2024-02-29T12:14:00"/>
        <d v="2024-02-29T13:11:34"/>
        <d v="2024-02-29T16:48:01"/>
        <d v="2024-03-01T08:43:12"/>
        <d v="2024-03-01T08:43:17"/>
        <d v="2024-03-01T08:58:44"/>
        <d v="2024-03-01T10:30:43"/>
        <d v="2024-03-01T16:21:12"/>
        <d v="2024-03-01T16:45:05"/>
        <d v="2024-03-01T18:13:28"/>
        <d v="2024-03-02T08:55:36"/>
        <d v="2024-03-02T09:34:07"/>
        <d v="2024-03-02T11:56:46"/>
        <d v="2024-03-02T14:27:36"/>
        <d v="2024-03-02T15:10:34"/>
        <d v="2024-03-02T18:15:26"/>
        <d v="2024-03-03T09:26:21"/>
        <d v="2024-03-03T15:34:10"/>
        <d v="2024-03-04T08:42:01"/>
        <d v="2024-03-04T09:07:16"/>
        <d v="2024-03-04T09:51:36"/>
        <d v="2024-03-04T10:49:08"/>
        <d v="2024-03-04T11:42:18"/>
        <d v="2024-03-04T14:43:24"/>
        <d v="2024-03-05T08:21:19"/>
        <d v="2024-03-05T09:33:10"/>
        <d v="2024-03-05T10:06:44"/>
        <d v="2024-03-05T10:41:02"/>
        <d v="2024-03-05T12:19:30"/>
        <d v="2024-03-05T14:23:07"/>
        <d v="2024-03-06T08:29:44"/>
        <d v="2024-03-06T11:21:35"/>
        <d v="2024-03-06T12:23:32"/>
        <d v="2024-03-06T14:38:27"/>
        <d v="2024-03-07T09:15:58"/>
        <d v="2024-03-07T09:46:42"/>
        <d v="2024-03-07T13:50:08"/>
        <d v="2024-03-07T17:36:14"/>
        <d v="2024-03-07T17:47:03"/>
        <d v="2024-03-08T10:59:28"/>
        <d v="2024-03-08T12:24:52"/>
        <d v="2024-03-08T15:37:08"/>
        <d v="2024-03-08T18:15:58"/>
        <d v="2024-03-09T10:46:51"/>
        <d v="2024-03-09T11:24:18"/>
        <d v="2024-03-09T11:32:29"/>
        <d v="2024-03-09T16:09:03"/>
        <d v="2024-03-10T17:53:46"/>
        <d v="2024-03-11T13:46:56"/>
        <d v="2024-03-11T14:24:55"/>
        <d v="2024-03-11T15:39:26"/>
        <d v="2024-03-12T08:33:08"/>
        <d v="2024-03-12T14:14:17"/>
        <d v="2024-03-13T10:38:17"/>
        <d v="2024-03-13T13:50:22"/>
        <d v="2024-03-13T15:03:35"/>
        <d v="2024-03-13T15:31:17"/>
        <d v="2024-03-13T16:46:33"/>
        <d v="2024-03-14T08:37:24"/>
        <d v="2024-03-14T09:52:11"/>
        <d v="2024-03-14T10:42:23"/>
        <d v="2024-03-14T10:56:39"/>
        <d v="2024-03-14T16:15:10"/>
        <d v="2024-03-14T19:12:11"/>
        <d v="2024-03-15T08:48:33"/>
        <d v="2024-03-15T14:08:40"/>
        <d v="2024-03-15T14:28:44"/>
        <d v="2024-03-15T15:26:36"/>
        <d v="2024-03-15T15:56:49"/>
        <d v="2024-03-16T14:49:43"/>
        <d v="2024-03-16T16:47:24"/>
        <d v="2024-03-16T16:56:37"/>
        <d v="2024-03-16T19:21:44"/>
        <d v="2024-03-18T08:49:59"/>
        <d v="2024-03-18T18:32:20"/>
        <d v="2024-03-19T08:41:50"/>
        <d v="2024-03-19T09:07:54"/>
        <d v="2024-03-20T09:33:19"/>
        <d v="2024-03-20T10:31:35"/>
        <d v="2024-03-20T16:08:28"/>
        <d v="2024-03-20T18:05:36"/>
        <d v="2024-03-21T08:22:50"/>
        <d v="2024-03-21T09:50:58"/>
        <d v="2024-03-21T11:52:04"/>
        <d v="2024-03-21T16:01:26"/>
        <d v="2024-03-21T16:03:56"/>
        <d v="2024-03-21T17:13:54"/>
        <d v="2024-03-21T20:32:33"/>
        <d v="2024-03-22T10:44:45"/>
        <d v="2024-03-22T16:17:08"/>
        <d v="2024-03-22T18:00:26"/>
        <d v="2024-03-22T18:45:07"/>
        <d v="2024-03-23T13:27:00"/>
        <d v="2024-03-23T13:36:51"/>
        <d v="2024-03-23T16:53:02"/>
        <d v="2024-03-24T12:03:17"/>
        <d v="2024-03-24T17:34:36"/>
        <d v="2024-03-25T08:41:54"/>
        <d v="2024-03-25T12:05:10"/>
        <d v="2024-03-25T15:20:34"/>
        <d v="2024-03-25T15:46:27"/>
        <d v="2024-03-26T11:14:04"/>
        <d v="2024-03-26T11:17:48"/>
        <d v="2024-03-26T11:22:32"/>
        <d v="2024-03-26T16:38:36"/>
        <d v="2024-03-26T16:52:57"/>
        <d v="2024-03-26T18:20:19"/>
        <d v="2024-03-27T11:02:41"/>
        <d v="2024-03-27T11:57:17"/>
        <d v="2024-03-27T12:14:07"/>
        <d v="2024-03-27T13:22:47"/>
        <d v="2024-03-27T14:25:25"/>
        <d v="2024-03-27T15:24:02"/>
        <d v="2024-03-27T15:54:34"/>
        <d v="2024-03-27T16:10:29"/>
        <d v="2024-03-27T16:41:49"/>
        <d v="2024-03-27T16:42:27"/>
        <d v="2024-03-27T17:07:04"/>
        <d v="2024-03-27T17:45:34"/>
        <d v="2024-03-27T18:33:24"/>
        <d v="2024-03-27T19:27:21"/>
        <d v="2024-03-27T19:28:38"/>
        <d v="2024-03-28T09:03:20"/>
        <d v="2024-03-28T11:52:26"/>
        <d v="2024-03-28T16:40:27"/>
        <d v="2024-03-28T16:54:04"/>
        <d v="2024-03-29T08:59:51"/>
        <d v="2024-03-29T09:05:35"/>
        <d v="2024-03-29T09:27:53"/>
        <d v="2024-03-29T09:55:42"/>
        <d v="2024-03-29T16:19:42"/>
        <d v="2024-03-29T18:50:01"/>
        <d v="2024-03-30T08:09:16"/>
        <d v="2024-03-30T10:33:11"/>
        <d v="2024-03-30T17:55:01"/>
        <d v="2024-03-31T11:36:20"/>
        <d v="2024-03-31T12:22:31"/>
        <d v="2024-04-01T10:29:22"/>
        <d v="2024-04-01T12:33:11"/>
        <d v="2024-04-01T13:07:43"/>
        <d v="2024-04-01T14:30:26"/>
        <d v="2024-04-01T14:32:53"/>
        <d v="2024-04-01T15:17:50"/>
        <d v="2024-04-01T15:40:26"/>
        <d v="2024-04-01T17:13:38"/>
        <d v="2024-04-01T17:54:09"/>
        <d v="2024-04-02T09:26:28"/>
        <d v="2024-04-02T11:10:50"/>
        <d v="2024-04-02T17:04:12"/>
        <d v="2024-04-03T07:43:30"/>
        <d v="2024-04-03T08:19:43"/>
        <d v="2024-04-03T08:52:49"/>
        <d v="2024-04-04T10:11:53"/>
        <d v="2024-04-04T10:37:43"/>
        <d v="2024-04-04T12:34:58"/>
        <d v="2024-04-04T13:09:00"/>
        <d v="2024-04-04T17:31:31"/>
        <d v="2024-04-04T19:41:00"/>
        <d v="2024-04-05T08:29:31"/>
        <d v="2024-04-05T08:59:08"/>
        <d v="2024-04-06T16:07:54"/>
        <d v="2024-04-07T08:53:17"/>
        <d v="2024-04-07T10:17:48"/>
        <d v="2024-04-07T10:54:22"/>
        <d v="2024-04-07T12:26:38"/>
        <d v="2024-04-08T09:55:18"/>
        <d v="2024-04-08T10:52:18"/>
        <d v="2024-04-08T15:35:38"/>
        <d v="2024-04-08T16:16:20"/>
        <d v="2024-04-08T20:47:27"/>
        <d v="2024-04-09T08:04:57"/>
        <d v="2024-04-09T09:47:34"/>
        <d v="2024-04-09T19:40:10"/>
        <d v="2024-04-09T20:01:04"/>
        <d v="2024-04-10T10:53:10"/>
        <d v="2024-04-10T15:16:41"/>
        <d v="2024-04-10T15:41:12"/>
        <d v="2024-04-11T10:20:36"/>
        <d v="2024-04-11T12:48:10"/>
        <d v="2024-04-12T08:00:53"/>
        <d v="2024-04-12T08:37:17"/>
        <d v="2024-04-12T15:58:20"/>
        <d v="2024-04-12T18:06:48"/>
        <d v="2024-04-13T11:20:40"/>
        <d v="2024-04-13T12:04:21"/>
        <d v="2024-04-13T15:54:03"/>
        <d v="2024-04-15T08:16:16"/>
        <d v="2024-04-15T10:29:41"/>
        <d v="2024-04-15T10:35:03"/>
        <d v="2024-04-15T11:45:17"/>
        <d v="2024-04-15T15:44:16"/>
        <d v="2024-04-16T14:10:26"/>
        <d v="2024-04-17T09:10:53"/>
        <d v="2024-04-17T09:19:56"/>
        <d v="2024-04-17T13:25:45"/>
        <d v="2024-04-17T14:17:55"/>
        <d v="2024-04-17T14:26:39"/>
        <d v="2024-04-18T08:20:19"/>
        <d v="2024-04-18T11:57:09"/>
        <d v="2024-04-18T18:34:01"/>
        <d v="2024-04-18T19:25:18"/>
        <d v="2024-04-19T10:21:42"/>
        <d v="2024-04-19T11:21:37"/>
        <d v="2024-04-19T11:25:43"/>
        <d v="2024-04-19T19:09:18"/>
        <d v="2024-04-20T09:12:25"/>
        <d v="2024-04-20T09:52:02"/>
        <d v="2024-04-20T17:27:08"/>
        <d v="2024-04-20T17:37:49"/>
        <d v="2024-04-21T11:12:33"/>
        <d v="2024-04-21T12:20:06"/>
        <d v="2024-04-22T08:29:35"/>
        <d v="2024-04-22T09:08:26"/>
        <d v="2024-04-22T09:51:06"/>
        <d v="2024-04-22T10:16:51"/>
        <d v="2024-04-22T11:13:18"/>
        <d v="2024-04-22T11:41:29"/>
        <d v="2024-04-22T16:40:46"/>
        <d v="2024-04-22T17:03:01"/>
        <d v="2024-04-22T18:00:07"/>
        <d v="2024-04-23T08:58:36"/>
        <d v="2024-04-23T09:57:47"/>
        <d v="2024-04-23T11:19:44"/>
        <d v="2024-04-23T12:26:36"/>
        <d v="2024-04-24T09:45:33"/>
        <d v="2024-04-24T10:51:08"/>
        <d v="2024-04-24T12:47:32"/>
        <d v="2024-04-24T14:21:11"/>
        <d v="2024-04-25T09:00:32"/>
        <d v="2024-04-25T09:54:39"/>
        <d v="2024-04-25T15:54:48"/>
        <d v="2024-04-25T16:21:43"/>
        <d v="2024-04-25T19:04:06"/>
        <d v="2024-04-26T09:48:46"/>
        <d v="2024-04-26T10:00:07"/>
        <d v="2024-04-26T13:52:35"/>
        <d v="2024-04-26T17:00:10"/>
        <d v="2024-04-27T09:22:56"/>
        <d v="2024-04-27T09:42:47"/>
        <d v="2024-04-27T19:14:03"/>
        <d v="2024-04-28T16:01:56"/>
        <d v="2024-04-28T16:22:09"/>
        <d v="2024-04-28T17:39:10"/>
        <d v="2024-04-29T08:48:57"/>
        <d v="2024-04-29T11:01:23"/>
        <d v="2024-04-30T17:47:47"/>
        <d v="2024-05-01T09:13:04"/>
        <d v="2024-05-02T09:46:48"/>
        <d v="2024-05-02T10:26:46"/>
        <d v="2024-05-02T11:51:19"/>
        <d v="2024-05-02T16:26:58"/>
        <d v="2024-05-02T17:14:39"/>
        <d v="2024-05-02T17:25:23"/>
        <d v="2024-05-02T18:13:56"/>
        <d v="2024-05-03T10:35:05"/>
        <d v="2024-05-03T11:51:00"/>
        <d v="2024-05-03T13:11:36"/>
        <d v="2024-05-03T14:33:27"/>
        <d v="2024-05-03T16:26:57"/>
        <d v="2024-05-03T16:39:43"/>
        <d v="2024-05-04T09:42:56"/>
        <d v="2024-05-04T10:33:54"/>
        <d v="2024-05-05T10:20:16"/>
        <d v="2024-05-05T11:51:29"/>
        <d v="2024-05-06T16:13:49"/>
        <d v="2024-05-06T16:31:00"/>
        <d v="2024-05-07T09:59:30"/>
        <d v="2024-05-07T11:15:01"/>
        <d v="2024-05-07T16:17:45"/>
        <d v="2024-05-07T17:00:40"/>
        <d v="2024-05-08T09:33:40"/>
        <d v="2024-05-08T10:44:18"/>
        <d v="2024-05-08T14:29:44"/>
        <d v="2024-05-08T17:04:37"/>
        <d v="2024-05-08T18:34:09"/>
        <d v="2024-05-08T18:55:19"/>
        <d v="2024-05-08T19:18:52"/>
        <d v="2024-05-08T22:32:45"/>
        <d v="2024-05-09T08:19:32"/>
        <d v="2024-05-09T08:46:43"/>
        <d v="2024-05-09T10:37:28"/>
        <d v="2024-05-09T11:11:33"/>
        <d v="2024-05-09T11:20:39"/>
        <d v="2024-05-09T14:41:58"/>
        <d v="2024-05-09T16:52:18"/>
        <d v="2024-05-09T17:01:00"/>
        <d v="2024-05-10T09:22:53"/>
        <d v="2024-05-10T12:26:41"/>
        <d v="2024-05-10T13:45:24"/>
        <d v="2024-05-10T18:41:45"/>
        <d v="2024-05-11T12:41:46"/>
        <d v="2024-05-11T12:51:20"/>
        <d v="2024-05-11T14:37:03"/>
        <d v="2024-05-12T09:33:52"/>
        <d v="2024-05-10T19:00:00"/>
        <d v="2024-05-13T09:25:39"/>
        <d v="2024-05-13T09:46:34"/>
        <d v="2024-05-13T11:44:02"/>
        <d v="2024-05-13T12:35:15"/>
        <d v="2024-05-13T15:55:30"/>
        <d v="2024-05-13T16:05:24"/>
        <d v="2024-05-13T17:42:35"/>
        <d v="2024-05-13T18:26:28"/>
        <d v="2024-05-14T08:30:03"/>
        <d v="2024-05-14T08:47:30"/>
        <d v="2024-05-14T08:49:08"/>
        <d v="2024-05-14T10:09:19"/>
        <d v="2024-05-14T11:18:45"/>
        <d v="2024-05-14T12:18:42"/>
        <d v="2024-05-14T12:30:29"/>
        <d v="2024-05-14T12:39:28"/>
        <d v="2024-05-14T14:26:15"/>
        <d v="2024-05-14T15:10:07"/>
        <d v="2024-05-14T15:49:16"/>
        <d v="2024-05-14T16:18:08"/>
        <d v="2024-05-14T17:43:20"/>
        <d v="2024-05-14T18:32:41"/>
        <d v="2024-05-14T18:33:30"/>
        <d v="2024-05-15T09:04:22"/>
        <d v="2024-05-15T09:38:53"/>
        <d v="2024-05-15T09:51:21"/>
        <d v="2024-05-15T10:22:34"/>
        <d v="2024-05-15T10:25:01"/>
        <d v="2024-05-15T10:59:13"/>
        <d v="2024-05-15T11:11:11"/>
        <d v="2024-05-16T08:43:55"/>
        <d v="2024-05-16T09:01:17"/>
        <d v="2024-05-16T09:50:13"/>
        <d v="2024-05-16T11:19:09"/>
        <d v="2024-05-16T17:05:43"/>
        <d v="2024-05-16T18:50:48"/>
        <d v="2024-05-17T09:15:09"/>
        <d v="2024-05-17T09:32:14"/>
        <d v="2024-05-17T09:59:06"/>
        <d v="2024-05-17T11:50:00"/>
        <d v="2024-05-17T13:41:33"/>
        <d v="2024-05-17T15:53:53"/>
        <d v="2024-05-17T16:34:33"/>
        <d v="2024-05-17T18:09:06"/>
        <d v="2024-05-18T11:19:30"/>
        <d v="2024-05-18T12:04:22"/>
        <d v="2024-05-18T12:52:58"/>
        <d v="2024-05-18T13:22:12"/>
        <d v="2024-05-18T13:53:16"/>
        <d v="2024-05-20T09:32:16"/>
        <d v="2024-05-20T09:56:46"/>
        <d v="2024-05-20T10:58:33"/>
        <d v="2024-05-20T12:54:52"/>
        <d v="2024-05-20T17:21:37"/>
        <d v="2024-05-21T09:09:20"/>
        <d v="2024-05-21T12:39:04"/>
        <d v="2024-05-21T12:50:17"/>
        <d v="2024-05-21T19:31:43"/>
        <d v="2024-05-22T08:45:20"/>
        <d v="2024-05-22T09:21:20"/>
        <d v="2024-05-22T09:47:17"/>
        <d v="2024-05-22T15:18:39"/>
        <d v="2024-05-23T07:40:59"/>
        <d v="2024-05-23T10:49:43"/>
        <d v="2024-05-23T11:43:20"/>
        <d v="2024-05-23T13:52:35"/>
        <d v="2024-05-23T13:53:17"/>
        <d v="2024-05-23T14:36:57"/>
        <d v="2024-05-23T15:44:16"/>
        <d v="2024-05-24T08:53:34"/>
        <d v="2024-05-24T10:37:22"/>
        <d v="2024-05-24T10:55:28"/>
        <d v="2024-05-24T11:14:10"/>
        <d v="2024-05-24T11:30:36"/>
        <d v="2024-05-24T11:43:44"/>
        <d v="2024-05-24T21:14:31"/>
        <d v="2024-05-25T09:04:09"/>
        <d v="2024-05-25T09:28:43"/>
        <d v="2024-05-25T09:54:20"/>
        <d v="2024-05-25T10:05:04"/>
        <d v="2024-05-25T12:28:05"/>
        <d v="2024-05-25T13:00:00"/>
        <d v="2024-05-25T18:45:38"/>
        <d v="2024-05-26T11:30:28"/>
        <d v="2024-05-26T14:05:56"/>
        <d v="2024-05-26T16:47:27"/>
        <d v="2024-05-26T17:02:16"/>
        <d v="2024-05-27T12:05:17"/>
        <d v="2024-05-27T15:19:00"/>
        <d v="2024-05-27T16:14:00"/>
        <d v="2024-05-27T17:51:07"/>
        <d v="2024-05-27T18:09:08"/>
        <d v="2024-05-28T09:55:40"/>
        <d v="2024-05-28T11:44:53"/>
        <d v="2024-05-28T13:53:50"/>
        <d v="2024-05-28T17:01:06"/>
        <d v="2024-05-28T18:13:43"/>
        <d v="2024-05-28T18:15:43"/>
        <d v="2024-05-29T09:52:49"/>
        <d v="2024-05-29T11:10:13"/>
        <d v="2024-05-29T13:10:15"/>
        <d v="2024-05-29T14:34:41"/>
        <d v="2024-05-30T09:17:17"/>
        <d v="2024-05-30T13:47:18"/>
        <d v="2024-05-30T13:50:43"/>
        <d v="2024-05-30T16:29:14"/>
        <d v="2024-05-30T17:53:52"/>
        <d v="2024-05-30T18:04:18"/>
        <d v="2024-05-30T19:15:32"/>
        <d v="2024-05-31T10:29:58"/>
        <d v="2024-06-01T11:52:41"/>
        <d v="2024-06-01T14:49:16"/>
        <d v="2024-06-02T10:11:04"/>
        <d v="2024-06-02T17:01:52"/>
        <d v="2024-06-03T08:29:40"/>
        <d v="2024-06-03T09:23:50"/>
        <d v="2024-06-03T13:45:48"/>
        <d v="2024-06-03T14:50:42"/>
        <d v="2024-06-03T17:32:52"/>
        <d v="2024-06-04T07:41:55"/>
        <d v="2024-06-04T09:49:17"/>
        <d v="2024-06-04T17:22:42"/>
        <d v="2024-06-05T08:36:26"/>
        <d v="2024-06-05T08:52:00"/>
        <d v="2024-06-05T10:35:11"/>
        <d v="2024-06-05T11:55:17"/>
        <d v="2024-06-05T14:17:54"/>
        <m/>
        <s v=" "/>
      </sharedItems>
    </cacheField>
    <cacheField name="Nome" numFmtId="0">
      <sharedItems containsBlank="1" count="754">
        <m/>
        <s v="Manuela Souza do Nascimento"/>
        <s v="Ana Carolina Quirino da Silva"/>
        <s v="Talita Silva de Lima"/>
        <s v="Monique Silva de Amorim"/>
        <s v="Larissa Rayane de Santana Leite"/>
        <s v="Raissa Dayana Barbosa Santos"/>
        <s v="Raissa Oliveira Silva"/>
        <s v="Juliana dos Santos"/>
        <s v="Gabriela Nunes Xavier"/>
        <s v="Chrysline Pereira da Silva"/>
        <s v="Naiara Beatriz Pereira Rodrigues"/>
        <s v="Marcela Lima dos Santos"/>
        <s v="Kalyane Oliveira da Silva"/>
        <s v="Vitoria Conceicao Ferreira Bruno"/>
        <s v="Ana Alice dos Santos"/>
        <s v="Mayara Jacinto de Araujo"/>
        <s v="Vanessa Milena Maria da Silva"/>
        <s v="Amizaday da Silva Leite"/>
        <s v="Maria de Fatima da Silva"/>
        <s v="Yane Pereira dos Santos"/>
        <s v="Ilana de Almeida Albuquerque "/>
        <s v="Deysiane Kiurenia dos Santos"/>
        <s v="Leticia de Oliveira"/>
        <s v="Viviane de Almeida Costa"/>
        <s v="Walenia Gabriele Neves de Melo "/>
        <s v="Debora Dayane da Costa Marques"/>
        <s v="Georgia Gomes da Cruz"/>
        <s v="Walenia Gabriele Neves de Melo"/>
        <s v="Chirle da Silva Osorio"/>
        <s v="Luana Pereira da Silva"/>
        <s v="Fernanda Bezerra da Silva Gabú"/>
        <s v="Rayssa Luanna da Silva Costa"/>
        <s v="Ruth Crislayne Araujo dos Santos"/>
        <s v="Betania Maria dos Santos de Freitas"/>
        <s v="LIDIA TARCIANA SANTOS DA PAZ"/>
        <s v="CAMILA MARIA DE LIMA"/>
        <s v="Veronica Thais Goncalves Pereira dos Santos"/>
        <s v="Amanda Mayara dos Santos "/>
        <s v="Andreza Maria da Silva"/>
        <s v="Estephanne Vitoria da Silva"/>
        <s v="Ana Clecia de Lima Feitosa"/>
        <s v="Jeanine Nathalia Leopoldo da Silva"/>
        <s v="Maria Claudineide Barros de Albuquerque"/>
        <s v="Isabella Albuquerque Jardim"/>
        <s v="Aline Rafaela Andrade da Silva"/>
        <s v="Mycherlane Melquiades da Silva"/>
        <s v="Rosangela Jose de Franca"/>
        <s v="Amanda Mayara dos Santos"/>
        <s v="Magda Laiz de Oliveira Silva"/>
        <s v="Sarah Vitoria Cosme da Rocha"/>
        <s v="Danielly Ingrid Bione de Lima"/>
        <s v="Leticia Luany de Carvalho da Silva"/>
        <s v="Maria Alice de Oliveira Barbosa Leal"/>
        <s v="Alyne Souza dos Santos"/>
        <s v="Natacha Rodrigues de Farias"/>
        <s v="Riromia Pereira Juvenal"/>
        <s v="Ana Gabriela Antonio do Nascimento"/>
        <s v="Laís Viana Dias"/>
        <s v="Thatyana Karla Nascimento Tenorio"/>
        <s v="Janicleide Barbosa Cavalcanti"/>
        <s v="Vitoria Caroline Soares da Silva"/>
        <s v="Brenda Melo de Araujo"/>
        <s v="Janaina de Assis da Silva"/>
        <s v="Camila Costa de Jesus"/>
        <s v="Carina Jesus de Lima"/>
        <s v="Claudia Raiane Oliveira Dionizio"/>
        <s v="Maria Vitoria dos Santos Castro"/>
        <s v="JUSSARA LORENA MARTINS DA SILVA"/>
        <s v="Mayara Rayane Soares da Silva"/>
        <s v="Mariana Almeida da Silva"/>
        <s v="Maria Luziaria Virbergue da Silva"/>
        <s v="REBECA VITORIA ARRUDA DA SILVA"/>
        <s v="Laissa Gabriela Penalva da Rocha"/>
        <s v="Ana Patricia dos Santos Nascimento"/>
        <s v="Dandara Maria do Nascimento Ferreira Santos"/>
        <s v="Dauany Nunes de Lima"/>
        <s v="Marcela Maria da Silva"/>
        <s v="Maria Danielle Miguel Bezerra"/>
        <s v="Edicleide Gomes de Almeida"/>
        <s v="Tatiana Thalia Ramalho de Lima"/>
        <s v="Joelma Ferreira da Silva"/>
        <s v="Monallyza Iasmin Duarte da Silva"/>
        <s v="Naiara Herculano da Silva"/>
        <s v="Maria Gabriela Campos de Lima"/>
        <s v="Rosangela Pereira de Souza"/>
        <s v="Ayrine Ramonna Batista"/>
        <s v="Maria Eduarda Silva de Oliveira Cavalcanti"/>
        <s v="Kaline Thalia Leopoldina Silva de Lima"/>
        <s v="Rosangela Lira de Paiva"/>
        <s v="Gleiciane Correia de Melo Morais"/>
        <s v="Marina Byatriz Bento Arcelino"/>
        <s v="Paula Eduarda dos Santos de Andrade"/>
        <s v="Gleica Mirela Ribeiro de Lima"/>
        <s v="Aurea Claucia Rangel Carneiro"/>
        <s v="Erica Priscila Gomes dos Santos Silva"/>
        <s v="Millena Lima da Silva"/>
        <s v="Bruna Patricia Ferreira da Silva"/>
        <s v="Maria Aparecida Alves da Silva Santos"/>
        <s v="CLARA FERNANDA DOS SANTOS SILVA"/>
        <s v="Luanda de Oliveira da Silva"/>
        <s v="Karla Eduarda de Franca Oliveira"/>
        <s v="Raiza Carla da Silva"/>
        <s v="Leticia Maria Carneiro Magalhaes"/>
        <s v="Stephany Layne Pereira dos Santos"/>
        <s v="Josefa Veronica da Silva"/>
        <s v="Evelyn Karine Macedo Vasconcelos"/>
        <s v="Raquel Neidisson de Alququerque"/>
        <s v="Jessica da Silva Felix"/>
        <s v="Ana Carolina dos Anjos Araujo"/>
        <s v="Aldinez do Carmo Soares"/>
        <s v="Thamiris dos Santos Vieira"/>
        <s v="Flavia Soares da Silva"/>
        <s v="Karolayne Marlene Santos de Souza"/>
        <s v="Renata Joaquim do Nascimento"/>
        <s v="Maria Tatiane Silva de Oliveira"/>
        <s v="Sibele Alexandre dos Santos"/>
        <s v="Cinthia Gabriela Messias"/>
        <s v="Mayra Kelner Francisca Maciel"/>
        <s v="Mayara Cristina Gonzaga da Silva"/>
        <s v="Daniele das Neves Ferreira"/>
        <s v="Mirelly Steffany da Silva Sousa"/>
        <s v="Rafaela de Araujo Marinho"/>
        <s v="Aline Alves dos Santos"/>
        <s v="Vanessa Hingrid Marinho de Moura Monteiro"/>
        <s v="Enia Ingrid de Araujo"/>
        <s v="Camilla Vitoria da Silva Gomes"/>
        <s v="Graziela Silva de Aguiar"/>
        <s v="Thatiany da Silva Barbosa"/>
        <s v="KARINA SILVA DE AMORIM"/>
        <s v="Rafaela Benedita da Silva Pereira"/>
        <s v="Rute Claudia da Silva"/>
        <s v="Viviane Barbosa de Lima"/>
        <s v="Julia Mariaano de Andrade Santana"/>
        <s v="Marta Naite Maria da Silva"/>
        <s v="Aline Maria da Silva Miquiles"/>
        <s v="Barbara Ferreira da Silva"/>
        <s v="Morgana Marcelino dos Santos"/>
        <s v="Maria Fernanda Almeida da Silva"/>
        <s v="Marcela Ferreira dos Santos"/>
        <s v="Jessica Maria da Silva"/>
        <s v="Fernanda de Oliveira Silva"/>
        <s v="Eduarda Souza Soares"/>
        <s v="Manoela Justino Alexandre Silva"/>
        <s v="Mirella Kerolaine Goncalves da Silva Soares"/>
        <s v="Cilene Soares da Silva"/>
        <s v="Gisele Maria da Silva Santos"/>
        <s v="Renata Andreza Marinho da Paixao"/>
        <s v="Ingrid Gleyce Miranda dos Santos"/>
        <s v="Shirlaine de Oliveira Ferreira"/>
        <s v="Kalidiane Caroline Melo"/>
        <s v="Maria Vitória Moura de Lima"/>
        <s v="Ana Karolina Chagas Serpa Matos"/>
        <s v="Geovana Micaelle Nascimento da Silva"/>
        <s v="Maria Clara Jacinto de Oliveira"/>
        <s v="Analice Maria Cesar Barros"/>
        <s v="Larhana Cristina dos Santos Silva"/>
        <s v="Emanuela da Silva Souza"/>
        <s v="Ellida Tenuzia da Silva"/>
        <s v="Beatriz Carla Silvestre Ferreira Cabral"/>
        <s v="Gleicy Kitéria Gomes de Lima"/>
        <s v="Rebeka Vitoria Porfirio de Souza"/>
        <s v="Maria Paula Gomes da Silva"/>
        <s v="Keila Vitoria da Silva Araujo"/>
        <s v="Bianca de Oliveira Correia de Lima"/>
        <s v="Alice Maria Oliveira de Lucena"/>
        <s v="Gabriela Oliveira dos Santos Soares"/>
        <s v="Ruth Luiza Rodrigues"/>
        <s v="Camila Almeida da Fonseca"/>
        <s v="Eliana Maria da Conceicao Silva "/>
        <s v="Beatriz Fabiana da Silva"/>
        <s v="Juliely Carolayne Rodrigues da Silva"/>
        <s v="Flaviana Revoredo de Oliveira Nunes"/>
        <s v="Ana Gabriela Antonio do Nascimento "/>
        <s v="Natalia Bordalo"/>
        <s v="Katia Cristina Lopes do Rego"/>
        <s v="Debora Farias de Lima"/>
        <s v="Gleicy Kitéria Gomes de Lima "/>
        <s v="Millena Pereira da Silva"/>
        <s v="Mariana Rikaelly dos Santos"/>
        <s v="Geovana Monique da Silva Trajino"/>
        <s v="Ana Karolina de Franca Jeronimo"/>
        <s v="Cassiane Kethyle da Silva Ferreira"/>
        <s v="Raynara Thaina da Silva Lima"/>
        <s v="Niedja Maria do Nascimento"/>
        <s v="Emily Andreinna Silva de Arruda"/>
        <s v="Mirella Roberto Alves da Cruz"/>
        <s v="Fabiola Estevao do Carmo"/>
        <s v="Claudia Rebeca da Silva"/>
        <s v="Joyce Silva Bezerra"/>
        <s v="Deisiane da Silva Santana"/>
        <s v="Camila Zoppi"/>
        <s v="Maria Eduarda de Lira"/>
        <s v="Grazielly Kelly Silva dos Santos"/>
        <s v="Emillayne Adriana da Silva"/>
        <s v="Renata Maria da Conceicao"/>
        <s v="Ketheury Andrade dos Santos "/>
        <s v="Cleyce da Silva Borgues"/>
        <s v="Suelen Izabel Santos da Silva"/>
        <s v="Carla Alves de Oliveira Santos"/>
        <s v="Maria Eduarda Santana dos Santos"/>
        <s v="Tais Makishi da Silva"/>
        <s v="Macilene Santos Barros"/>
        <s v="Amanda Vitoria da Silva"/>
        <s v="Tamires Pereira Goncalves"/>
        <s v="Bianca de Carvalho Lemos Cunha"/>
        <s v="Denise Bezerra da Silva"/>
        <s v="Thayza Vitoria Ramos de Lima"/>
        <s v="Tainara Maria Oliveira"/>
        <s v="Bruna Eugenia de Melo Vicente"/>
        <s v="Debora Jeronimo da Silva"/>
        <s v="Kamily Maria Peres da Hora"/>
        <s v="Maria Vitoria do Carmo Bento Bezerra Lola"/>
        <s v="Isabela Alves Ribeiro"/>
        <s v="Ana Karolayne Santos Silva"/>
        <s v="Natalia Ferreira de Sales "/>
        <s v="Samara Sandra Santana Silva"/>
        <s v="Michelle Caroline Barbosa"/>
        <s v="Rebeca Raysa Correia da Silva"/>
        <s v="Emanuele Maria Coelho dos Prazeres"/>
        <s v="Rafaely Domingos dos Santos"/>
        <s v="Eloiza Oliveira Barros Silva"/>
        <s v="Mariana Guedes Neves de Oliveira"/>
        <s v="Esther Tacianne Paz Araujo Santos"/>
        <s v="Natalia Oliveira Silva"/>
        <s v="Lucilene Ferreira da Silva"/>
        <s v="Stefane Alves Brasil"/>
        <s v="Maria Eduarda da Silva Farias"/>
        <s v="Evellyn Nicoly Oliveira da Silva"/>
        <s v="Mirele dos Santos Freires"/>
        <s v="Talita de Oliveira Noronha"/>
        <s v="Adrielle Albuquerque Jeremias Souto da Silva"/>
        <s v="Mariana Barboza Lopes"/>
        <s v="Lilian Vitoria de Souza Santana"/>
        <s v="Shirley Soares Lopes"/>
        <s v="Rafaella Patrícia Francisca de Lima"/>
        <s v="Risomar Almeida de Moraes"/>
        <s v="Mabia Barbara Mendes"/>
        <s v="Talita Patrício Cavalcanti da Silva"/>
        <s v="Ilana Carla Bento Pereira"/>
        <s v="Rita de Cassia Pereira de Menezes"/>
        <s v="Rosa Maria da Silva Pontes"/>
        <s v="Janderlane Maria da Silva"/>
        <s v="Vanessa Claudino Gomes"/>
        <s v="Luana de Souza Diehl"/>
        <s v="Rayssa Rane Santos do Nascimento da Silva"/>
        <s v="Karen Cecilia da Silva"/>
        <s v="Rayany Souza Gomes"/>
        <s v="Taise Maria Lima Silva"/>
        <s v="Vanessa da Silva Pessoa"/>
        <s v="Kaylane Carine Dias Pereira"/>
        <s v="Jessica Maria Ferreira de Matos"/>
        <s v="Marina Gabriele Pires da Silva |"/>
        <s v="Crislayne Nascimento da Silva"/>
        <s v="Danielly Mayra Batista dos Santos"/>
        <s v="Gisele Thais da Conceicao Ferreira"/>
        <s v="Ana Carolina Timoteo da Silva"/>
        <s v="Joana Darc Pergentino de Barros "/>
        <s v="Mariane da Silva"/>
        <s v="Letícia Victoria Cruz Nascimento"/>
        <s v="Karoline Mayara Mendes da Silva"/>
        <s v="Luzia Dias Valdevino"/>
        <s v="Cristiane Pereira Nunes"/>
        <s v="Jamilly Soares de Barros"/>
        <s v="Taina Gomes da Silva"/>
        <s v="Maria Karolayne Nascimento Lima"/>
        <s v="Rayane Kelly do Nascimento"/>
        <s v="Ayani de Souza Monteiro"/>
        <s v="Fernanda Carla Mendes da Silva"/>
        <s v="Ana Karla da Fonseca Pereira"/>
        <s v="Mariana Azevedo de Freitas"/>
        <s v="Maria Claudia de Oliveira"/>
        <s v="Jeane dos Santos Santana"/>
        <s v="Valeria Jose de Souza Costa"/>
        <s v="Joice Miranda dos Santos"/>
        <s v="Aline Laysa da Silva"/>
        <s v="Mariana Barreto do Nascimento"/>
        <s v="Ana Graziela Augusta do Nascimento"/>
        <s v="Nathalia Gomes de Freitas"/>
        <s v="Elaine Gutemberg dos Santos"/>
        <s v="Vitoria Beatriz Cruz da Silva"/>
        <s v="Geisakel Melo da Conceicao"/>
        <s v="Rayane Kelly Ferreira da Silva"/>
        <s v="Janaina Silva dos Santos"/>
        <s v="Gabriela Evelin Fernandes da Silva"/>
        <s v="Lucimar Maria do Nascimento"/>
        <s v="Marcia Santana Bispo da Silva"/>
        <s v="Maria Eduarda Cunha de Lima"/>
        <s v="Tainara Silva Moura de Melo"/>
        <s v="Adriele Cristina do Amaral"/>
        <s v="Jessica Gomes da Silva"/>
        <s v="Jacidaria Gomes da Silva"/>
        <s v="Andressa Caroline Silva"/>
        <s v="Daniele Quiteria Araújo Ferreira"/>
        <s v="Leticia Bezerra da Silva"/>
        <s v="Jadilene da Silva Albuquerque"/>
        <s v="Julia Vicente de Souza"/>
        <s v="Jaqueline Barbosa da Silva"/>
        <s v="Amanda Cristina Bastos"/>
        <s v="Rayanne Priscylla da Silva Ubirata Braga"/>
        <s v="Maria Valeria dos Santos"/>
        <s v="Maria Nathalia da Silva Vasconcelos"/>
        <s v="Amanda Ramos de Lira"/>
        <s v="Raquel Vitoria Rodrigues Gomes"/>
        <s v="Gilvania da Silva Gomes"/>
        <s v="Angelica Maria dos Santos Silva"/>
        <s v="Alice Cristina do Sacramento Felix"/>
        <s v="Maria Eduarda da Silva Simplicio"/>
        <s v="Edercarla Angela da Silva"/>
        <s v="Laureli Henrique de Oliveira"/>
        <s v="Kaillany Vitoria Sales da Siva"/>
        <s v="Samara Aretha Queiroz do Nascimento Neves"/>
        <s v="Valquiria Santos Fernandes Vieira"/>
        <s v="Jhennyfer Flavia Barbosa de Andrade Cavalcante"/>
        <s v="Sara Maria da Silva"/>
        <s v="Caelene Goncalves da Silva"/>
        <s v="Jaqueline da Silva Moreira"/>
        <s v="Caelene Goncalves da Silva "/>
        <s v="Caroline Maria de Santana"/>
        <s v="Maria Taynara Macena de Souza Santos"/>
        <s v="Mayara Oliveira de Sena"/>
        <s v="Beatriz Carla Araujo Nascimento"/>
        <s v="Werica Souza de Azevedo"/>
        <s v="Mariana Stefany Praxedes de Santana"/>
        <s v="Natalia Maria Andrade da Silva "/>
        <s v="Anna Karolina de Santana Campos"/>
        <s v="Amanda Rafaely Vieira da Fonseca"/>
        <s v="Claudia Adriana da Silva"/>
        <s v="Maria Eduarda dos Santos Pereira"/>
        <s v="Juliana Paula Alexandrino de Santana"/>
        <s v="Maria Cristina Tributino de Oliveira"/>
        <s v="Shirley da Hora de Oliveira"/>
        <s v="Maria Jose Vieira da Silva"/>
        <s v="Lidia de Moraes Santo"/>
        <s v="Sabrina Lira de Tavares"/>
        <s v="Thaynara Nunes de Santana"/>
        <s v="Rafaela Bezerra da Silva"/>
        <s v="Joseilda Maria da Silva"/>
        <s v="Karine Virgnia Faierstein de Barros"/>
        <s v="Thaline Tenório de Assis"/>
        <s v="Ketlen Milene de Araujo Barbosa"/>
        <s v="Milena Pereira da Silva"/>
        <s v="Maria Rayanne Lima de Moraes"/>
        <s v="Marilia Conceicao Dias Veiga"/>
        <s v="Rosileide Marques Alves do Nascimento"/>
        <s v="Karolaine da Silva Santos"/>
        <s v="Sabrina Leticia Ferreira de Lima Avelino"/>
        <s v="Isabela Souza de Oliveira"/>
        <s v="Kettly Alves de Mendonça"/>
        <s v="Thais Andrea Oliveira do Nascimento"/>
        <s v="Juliana Karla Negreiros do Nascimento"/>
        <s v="Anna Julia Cavalcanti dos Santos"/>
        <s v="Emilayne Barbosa da Silva"/>
        <s v="Keila Mislene da Silva"/>
        <s v="Letycia Carolane Marques da Silva"/>
        <s v="Poliana das Neves Silva"/>
        <s v="Caroline Cristina da Silva"/>
        <s v="Adna Djully Vieira Y Cunha"/>
        <s v="Grace Kelly da Silva Santana "/>
        <s v="Soleane dos Santos Paiva"/>
        <s v="Elaine Flavia dos Santos Manoel"/>
        <s v="Ana Beatriz Augusto de Lima"/>
        <s v="Jessika Carla da Silva"/>
        <s v="Paula Maria de Sena"/>
        <s v="Natalia Luiza do Nascimento Silva"/>
        <s v="Iris dos Santos Silva"/>
        <s v="Eduarda Suzani dos Santos Rolim"/>
        <s v="Vanessa Fabia Gomes da Silva"/>
        <s v="Mikelle Maria da Silva Santos"/>
        <s v="Joyce Marinho da Silva"/>
        <s v="Fabiana Andreza das Neves"/>
        <s v="Isabelle Joyce de França da Silva"/>
        <s v="Jessica Rayanne da Silva"/>
        <s v="Bruna Beatriz de Sena da Silva"/>
        <s v="Stefany Katarina da Silva Oliveira"/>
        <s v="Michelle Rodrigues da Silva"/>
        <s v="Maria Eduarda dos Santos Barboza"/>
        <s v="Danielle Janaina da Silva "/>
        <s v="Samara Albuquerque Alves"/>
        <s v="Macione Maria Eduardo D Souza"/>
        <s v="Jeyne Ariel Araujo da Costa"/>
        <s v="Poliana Soares Basilio do Carmo"/>
        <s v="Isa Rayanne de Moura Costa"/>
        <s v="Amanda Firmino da Paz"/>
        <s v="Maria Isabel da Silva"/>
        <s v="Maria Rita Caetana dos Santos"/>
        <s v="Micheline da Costa Silva"/>
        <s v="Vitoria Kelly Barbosa Bezerra"/>
        <s v="Tercia Innarah de Lucena Pereira"/>
        <s v="Mayara Jeniffer Oliveira do Nascimento"/>
        <s v="Ellen Victoria Claudino Oliveira"/>
        <s v="Lidia Vitória Anacleto"/>
        <s v="Natalia dos Santos Ferreira"/>
        <s v="Aline Alexsandra Mendes dos Santos"/>
        <s v="Ritshelly Cassia da Silva"/>
        <s v="Sthefany Kelly Ferreira Rios"/>
        <s v="Rosangela Patricia Vania de Oliveira"/>
        <s v="Roseanne Santana Ribeiro"/>
        <s v="Kauanny Emanuelly do Nascimento"/>
        <s v="Grace Kelly da Silva Santana"/>
        <s v="Karla Cristina dos Santos Silva"/>
        <s v="Tayane dos Santos Meira"/>
        <s v="Maria Eduarda de Miranda Cavalcanti"/>
        <s v="Aline Mauricio dos Santos"/>
        <s v="Vanessa Nascimento de Araujo"/>
        <s v="Heloisa Marques Bezerra"/>
        <s v="Joelma Carla da Silva Araujo"/>
        <s v="Claudia Silva de Souza"/>
        <s v="ANNY CAROLYNNE FERREIRA DA SILVA"/>
        <s v="Aline Mauricio dos Santos "/>
        <s v="Thallyne Maria Silva dos Santos"/>
        <s v="Renata Maria da Conceição"/>
        <s v="Fabiana Maria da Silva"/>
        <s v="Maria Betania Alves Vieira"/>
        <s v="Rayane Carla Carneiro"/>
        <s v="Hellen Cristina da Silva Cruz"/>
        <s v="Pamella Roberta de Sousa da Silva"/>
        <s v="Bianca Nathalia Andrade de Souza"/>
        <s v="Maria Eduarda Alves Santana"/>
        <s v="Ana Julia Trajano Lima"/>
        <s v="Maria Cristiane de Oliveira"/>
        <s v="Steffane Kelly da Silva"/>
        <s v="Maria Eduarda Cruz Fonseca"/>
        <s v="Pollyana Nery Flor"/>
        <s v="Mikaelle Rodrigues Ramos de Souza"/>
        <s v="Williane da Silva Cardoso"/>
        <s v="Carolina de Vasconcelos Soares"/>
        <s v="Erica Maria de Araujo Gomes"/>
        <s v="Raiane Carine de Souza Silva"/>
        <s v="Maira Gila de Oliveira Silva"/>
        <s v="Maria Aparecida de Jesus Dias"/>
        <s v="Poliana Silva da Cunha"/>
        <s v="Juliana Emilly Cavalcanti dos Santos"/>
        <s v="Priscila Matos do Nascimento"/>
        <s v="Bianca Carina Silva Lucena"/>
        <s v="Luenia Maria Andrade das Neves"/>
        <s v="Maria Betania Alves Vieira "/>
        <s v="Jaqueline da Silva Meneses"/>
        <s v="Sheila Cruz de Lemos"/>
        <s v="Anne Karenina Marques da Silva"/>
        <s v="Luciana Rodrigues dos Santos"/>
        <s v="Cristiane da Silva Tavares"/>
        <s v="Kilzy da Silva Cordeiro Albuquerque"/>
        <s v="Maria Vitoria Barbosa Ramos"/>
        <s v="Simone Valentim Vieira"/>
        <s v="Argentina Candida do Nascimento"/>
        <s v="Luana Vasconcelos Ferreira da Silva"/>
        <s v="Jacilene Serra Cruz"/>
        <s v="Stella Vitoria Dias do Nascimento"/>
        <s v="Amanda Santiago dos Santos"/>
        <s v="Paola Tamares Herculano Silva"/>
        <s v="Fernanda Maria Brito de Arruda"/>
        <s v="Rosangela Rodrigues de Almeida"/>
        <s v="Ana Lucia da Costa Oliveira"/>
        <s v="Luana Conceicao Araujo"/>
        <s v="Flaviana Mirelle Torquato da Silva"/>
        <s v="Lis Helena de Carvalho Nogueira"/>
        <s v="Luana Conceicaõ Araujo"/>
        <s v="Ana Carla Xavier Cordeiro"/>
        <s v="Andrielly Silva de Lima"/>
        <s v="Tatiana Sumaya Barbosa da Silva"/>
        <s v="Niedja de Oliveira Barbosa"/>
        <s v="Yara Beatriz Pereira da Silva"/>
        <s v="Yasmim Ellen de Oliveira Andrade"/>
        <s v="Tharcila Kauanny Silva de Souza"/>
        <s v="Vanessa Conceicao Ferreira dos Santos"/>
        <s v="Ariana Roberta Ferreira da Silva"/>
        <s v="Erica Larissa Rigueira de Lima"/>
        <s v="Vanessa Conceição Ferreira dos Santos"/>
        <s v="Larissa Torres Sampaio"/>
        <s v="Kayllane Kamilly Feitoza Marinho"/>
        <s v="Danielle Mariane da Silva"/>
        <s v="Marcela Manuele de Souza Barros"/>
        <s v="Alessandra Maria do Nascimento"/>
        <s v="Larissa Silva de Souza"/>
        <s v="Leticia da Silva Chagas"/>
        <s v="Maria Milena Bispo"/>
        <s v="Maria Eduarda Santana dos Santos "/>
        <s v="Iracelly Silvestre Silva"/>
        <s v="Indrid Ferreira da Silva"/>
        <s v="Marluce Cintia Oliveira dos Santos"/>
        <s v="Girleide Silva das Merces Barbosa"/>
        <s v="Lucineia Gomes da Silva"/>
        <s v="Yasmim Thais Ferreira da Silva"/>
        <s v="Milleny Eduarda Vital da Silva"/>
        <s v="Camila Pereira Ferreira"/>
        <s v="Debora Dayane da Costa Marques "/>
        <s v="Talita Karla Lima da Silva"/>
        <s v="Rayla Thune Dovale Bizarria"/>
        <s v="Tamires Maria Brito"/>
        <s v="Maria Daniela Santos de Araujo"/>
        <s v="Saiuri Vieira da Cunha"/>
        <s v="Aline Maria Rodrigues"/>
        <s v="Maria Gabriela Goncalves da Silva "/>
        <s v="Ester Monte dos Santos"/>
        <s v="Aline Rodrigues Mathias da Silva"/>
        <s v="Maria Gabriela Goncalves da Silva"/>
        <s v="Eliane Borges da Silva"/>
        <s v="Tayana Sumaya Barbosa da Silva"/>
        <s v="Rayssa Carolinna Fereira dos Santos"/>
        <s v="Rosangela Maria de Albuquerque Nascimento"/>
        <s v="Rosicleide Lopes da Silva "/>
        <s v="Pamela Filgueira Barros"/>
        <s v="Ana Carolina da Silva"/>
        <s v="Paula Roberta Oliveira da Silva"/>
        <s v="Juliana de Almeida Rocha"/>
        <s v="Rita de Cássia Pereira de Menezes"/>
        <s v="Maria Cecilia Queiroga dos Santos"/>
        <s v="Mayara Camila Candida de Almeida"/>
        <s v="Iasmim Sales de Santana Silva"/>
        <s v="Joyce Martins dos Santos"/>
        <s v="Debora Joelly da Silva Costa"/>
        <s v="Raphaela Nascimento da Silva"/>
        <s v="Leticia Gabriela Queiroz de Souza"/>
        <s v="Katllyn Laryssa de Souza Bezerra"/>
        <s v="Ana Beatriz Pereira da Silva"/>
        <s v="Raiane Dias Nascimento"/>
        <s v="Emelly Lays Izidio das Chagas"/>
        <s v="Eduarda Cecilia da Silva"/>
        <s v="Jessika Belo da Silva"/>
        <s v="Débora Domingos da Silva Amorim"/>
        <s v="Fabia Maria de Santana"/>
        <s v="Sabrina Mikaele da Silva Sa"/>
        <s v="Andreza Ferreira de Almeida"/>
        <s v="Rosimere Barbosa Santana"/>
        <s v="Emylly Novaes Gomes de Lima"/>
        <s v="Isabele Carla da Silva Dantas"/>
        <s v="Jessika Suzy Bernardo Lopes"/>
        <s v="Gabriela Nascimento da Silva"/>
        <s v="Elizabeth Antonia Menezes Pinheiro"/>
        <s v="Karolayne Maria Costa dos Santosa"/>
        <s v="Eduarda Cristina Silva da Hora"/>
        <s v="Karolina Driele Amorim da Rocha"/>
        <s v="Maria Brigida Chaprao da Silva"/>
        <s v="Josicleide Barbosa Silva"/>
        <s v="Ewelin Maria da Silva"/>
        <s v="Ynara Lays da Silva Lins"/>
        <s v="Karollyne Vanessa da Silva Soares"/>
        <s v="Poliana Barbosa dos Santos"/>
        <s v="Isabele Patricia da Silva Mendes"/>
        <s v="Bianca Stephane Lima da Silva"/>
        <s v="Rayanne Gleice da Silva Reis"/>
        <s v="Juliana Rodrigues de Oliveira"/>
        <s v="Suelayne Fagundes Falcão"/>
        <s v="Rute Arruda Rodrigues"/>
        <s v="Iasmim Alves Gomes da Silva"/>
        <s v="Jenyffer Moraes Tavares"/>
        <s v="Carla Daniele Pereira da Silva"/>
        <s v="Jaciane Maria de Araujo"/>
        <s v="Analice Ferreira da Silva"/>
        <s v="Raissa Kauany Alecrim da Fonseca"/>
        <s v="Gerlane Cabral da Silva"/>
        <s v="Karoline Cavalcanti da Silva"/>
        <s v="Marilia Machado da Silva"/>
        <s v="Rayzza Marques Salgado da Silva"/>
        <s v="Maria Nivaneide de Abreu Lima"/>
        <s v="Jéssica Fernanda Martins de Oliveira"/>
        <s v="Emilly Vitoria da Silva Oliveira"/>
        <s v="Alicia Ohana Gomes Damasceno"/>
        <s v="Gleice Kelly Barboza de Lima"/>
        <s v="Amanda Dayane da Silva"/>
        <s v="Natalia Aparecida da Silva"/>
        <s v="Rayssa Carolinna Ferreira dos Santos"/>
        <s v="Amanda Costa Silva"/>
        <s v="Ana Caroline Maria da Silva"/>
        <s v="Maria Luiza Wanderley Santos"/>
        <s v="Adriele Herculano da Silva"/>
        <s v="Vitoria Lima dos Santos"/>
        <s v="Myllena Batista Barros"/>
        <s v="Valquiria Conceição Alves de Barros"/>
        <s v="Bruna Talita Placido da Silva"/>
        <s v="Patricia Antonio Rozario Sampaio de Brito"/>
        <s v="Ketheury Andrade dos Santos"/>
        <s v="Ana Flavia Monte dos Santos "/>
        <s v="Maria Thayna Santos Lima"/>
        <s v="Ana Flavia Monte dos Santos"/>
        <s v="Maria Eduarda da Silva Seabra"/>
        <s v="Isabelle Thamires da Silva Dias "/>
        <s v="Vanessa Maria dos Santos"/>
        <s v="Vitoria Alves de Oliveira Cavalcanti "/>
        <s v="Janifer Lopes dos Santos"/>
        <s v="Adrielly Alves da Silva"/>
        <s v="Wendy Oliveira Duarte"/>
        <s v="Dayse da Silva de França"/>
        <s v="Barbara Stela Bastos do Nascimento Guedes"/>
        <s v="Ana Karolynne da Silva"/>
        <s v="Nicole Helen da Silva"/>
        <s v=" Luana da Silva Santos"/>
        <s v="Dyana Vitoria Ferreira dos Santos"/>
        <s v="Luana da Silva Santos"/>
        <s v="Ketiny Magna Vasconcelos Santos"/>
        <s v="Lais Carine Guimaraes Viana Cancio"/>
        <s v="Maria Mycaela Barbosa Teixeira"/>
        <s v="Nathalia Pereira Torres da Silva"/>
        <s v="VivianViviane Rodrigues Correia de Santana"/>
        <s v="Haymé Alcazar da Conceição do Nascimento"/>
        <s v="Viviane Rodrigues Correia de Santana"/>
        <s v="Ana Carla Severo da Silva"/>
        <s v="Roseana da Silva Ribeiro"/>
        <s v="Angelina Silva de Santana"/>
        <s v="Silvia Almeida Simoes Ferreira"/>
        <s v="Joana Darc Barbosa Santos Torres"/>
        <s v="Pricila Celice Lima dos Santos"/>
        <s v="Rafaela Francisca de Lima"/>
        <s v="Kaylane Danielle Barros Alves"/>
        <s v="Thayna Cristina de Moura Andrade"/>
        <s v="Sthefany Kelly Ferreira Rios "/>
        <s v="Thais Lima Gomes da Silva"/>
        <s v="Maria Eduada Seabra"/>
        <s v="Rosineide Martins Rodrigues"/>
        <s v="Karina dos Santos Oliveira"/>
        <s v="Emile Carolyne Paula da Silva "/>
        <s v="Julia Gabriela Barbosa da Silva"/>
        <s v="Maria Eduarda Seabra"/>
        <s v="Bruna Felipe da Silva"/>
        <s v="Nielly Vitoria Cabral de Lima"/>
        <s v="Jessica Maria Gomes dos Santos"/>
        <s v="Diana Karolainy Rodrigues dos Santos"/>
        <s v="Micaela Caroline de Franca Santos"/>
        <s v="Bruna Vitoria Ferreira da Silva Leao"/>
        <s v="Andreyce Ritchelly Gomes Rocha"/>
        <s v="Vitoria da Silva Gomes"/>
        <s v="Thaylania Virginia Machado de Holanda Andrade"/>
        <s v="Elizangela Maria da Silva"/>
        <s v="Jeynielle Alcantara Lima Fortunato"/>
        <s v="Jaynne de França Brito"/>
        <s v="Paloma Milena de Menezes Santos"/>
        <s v="Maria Flabyan Cricya Ventura Xavier"/>
        <s v="Dara Daiane Silva de Andrade"/>
        <s v="Luane Campelo de Oliveira"/>
        <s v="Larissa Jussiely Nascimento de Souza"/>
        <s v="Adrielle Vitoria da Silva Ferreira"/>
        <s v="Rayelle Roberta Barbosa do Espirito Santo"/>
        <s v="Marcia Caetano Barbosa"/>
        <s v="Elizia Keisy Gomes da Silva"/>
        <s v="Thaisa Maria Rocha Lima"/>
        <s v="Fernanda de Araujo Silva"/>
        <s v="Maryanna Chistine dos Santos e Silva"/>
        <s v="Vanusa Alves da Silva"/>
        <s v="Rosilene Rodrigues Pereira da Silva"/>
        <s v="Danille Clemente Prazo"/>
        <s v="Jhoyce de Arruda e Silva"/>
        <s v="Adrielly Negreiros da Silva Fidelis"/>
        <s v="Mayara de Sa Borba Pinto Pereira"/>
        <s v="Andrea dos Santos Andrade"/>
        <s v="Alexsandra Nascimento de Barros"/>
        <s v="Alania Gomes da Silva"/>
        <s v="Maria Eduarda França da Silva"/>
        <s v="Adriele Emyly de Lima"/>
        <s v="Amanda Ines da Silva "/>
        <s v="Mykaelle Rebeca do Nascimento Lima"/>
        <s v="Cristina Rodrigues da Silva"/>
        <s v="Annyeli Santos Rodrigues"/>
        <s v="Isabelle Thamyres de Silva Dias"/>
        <s v="Ruama Gabriela Nascimento"/>
        <s v="Andrea Silva Andrade Bandeira"/>
        <s v="Lorena Ribeiro de Carvalho"/>
        <s v="Nataly Lucinda Ferreira"/>
        <s v="Ana Caroline Bezerra da Silva"/>
        <s v="Saira Esperanza Vargas Sanchez"/>
        <s v="Crislayne Silva Cavalcanti"/>
        <s v="Isabele da Silva Barbosa"/>
        <s v="Michaelly Rhuanna Dias Soares"/>
        <s v="Taciana Barbosa da Silva"/>
        <s v="Jullyanna Cristina Albuquerque Sousa Macêdo"/>
        <s v="Edilaine Maria Anunciado"/>
        <s v="Annyeli Santos Rodrigues "/>
        <s v="Ana Lucia de Santana Silva"/>
        <s v="Edneide Silva da Cruz"/>
        <s v="Alice Cabral Delgado Falcao"/>
        <s v="Isabele Mikelle Oliveira dos Santos"/>
        <s v="Ana Alice dos Santos Alves"/>
        <s v="Valeska Dayse Morais dos Santos"/>
        <s v="Kessiane Cristina Bernadina da Silva"/>
        <s v="Veronica Epifanio Sales Sauza"/>
        <s v="Evylen Eduarda do Nascimento Oliveira "/>
        <s v="Kauana Gabryella de Oliveira Goncalves"/>
        <s v="Evylen Eduarda do Nascimento Oliveira"/>
        <s v="Vanessa de Araujo Amorim"/>
        <s v="Taynam Ramos Ferreira da Silva"/>
        <s v="Renata Maria da Silva Santos"/>
        <s v="Marilia Soares de Oliveira"/>
        <s v="Valeria Conceição da Silva Santos"/>
        <s v="Jayane Cristianelle da Silva"/>
        <s v="Eduarda Estefane Siqueira de Souza"/>
        <s v="Roseane Silva Otaviano"/>
        <s v="Maria Eduarda da Silva"/>
        <s v="Ghefylle Carvalho da Trindade"/>
        <s v="Ester Hadassa Silva de Lima"/>
        <s v="Lethycia Karolayne Neres de Lima"/>
        <s v="Aynoa Izabel de Lima Correia"/>
        <s v="Beatriz Maria da Silva"/>
        <s v="Rafaela Chagas da Silva"/>
        <s v="Mirella Alexandra Queiroz Silva"/>
        <s v="Itamara Karoline Maria Odilon da Silva"/>
        <s v="Kassandra Maria da Silva"/>
        <s v="Alice Leticia Alves do Nascimento"/>
        <s v="Geysiane Goncalves Anastacio"/>
        <s v="Allana Berenice da Silva"/>
        <s v="Adriely Emille Gonçalves de Lima"/>
        <s v="Elizangela Pereira de Oliveira Silva"/>
        <s v="Rafaela Santana da Silva"/>
        <s v="Gleyce Kelly Borges de França"/>
        <s v="Geane Correia de Araujo"/>
        <s v="Warla Kelle da Silva"/>
        <s v="Maria Luiza Sales Pessoa de Meireles"/>
        <s v="Hellen Sulyva Pereira da Silva"/>
        <s v="Pryscilla Matos do Nascimento"/>
        <s v="Leinadh Maria da Silva Martins"/>
        <s v="Fernanda Bezerra da Silva"/>
        <s v="Crislaine Estima da Silva"/>
        <s v="Ladijane Miranda de Siqueira"/>
        <s v="Debora Amanda da Silva"/>
        <s v="Leila Flavia Nascimento da Silva"/>
        <s v="Anna Regina Guedes de Souza"/>
        <s v="Isabela Patricia da Silva Mendes"/>
        <s v="Jania Alexandre Ricardo Freitas"/>
        <s v="Larisse Crispiniano da Silva"/>
        <s v="Patricia da Silva Nascimento"/>
        <s v="Gleyciane Maria da Silva Sales"/>
        <s v="Caroline Eugenia Araújo da Silva Oliveira"/>
        <s v="Juliana Maria da Silva de Araujo"/>
        <s v="Lucelia Maria Vitor do Nascimento"/>
        <s v="Tainan da Silva Lima"/>
        <s v="Maria Jose Elias de Araujo"/>
        <s v="Silvana Kimberlly Libanio Soares Silva"/>
        <s v="Bruna Rita Oliveira de Albuquerque"/>
        <s v="Helen Jayane da Silva Martiniano"/>
        <s v="Emanuela Danielle Silva de Moura"/>
        <s v="Jessica Pinheiro da Silva"/>
        <s v="Gleice Correia de Oliveira "/>
        <s v="Jessica Priscila da Silva Gomes"/>
        <s v="Karina Bezerra dos Santos"/>
        <s v="Rayane Milena da Silva"/>
        <s v="Bruna Rafaela Rodrigues da Silva"/>
        <s v="Thayna Elias Braz Pereira"/>
        <s v="Maria Angelica Gonçalves da Silva"/>
        <s v="Joyce Silva Prazeres"/>
        <s v="Wanessa Daphine de Araujo"/>
        <s v="Laís Marta Pereira"/>
        <s v="Ellen Mayra da Silva Ferreira"/>
        <s v="Stefany Souza Silva"/>
        <s v="Andreza Goncalves do Nascimento"/>
        <s v="Adrielly Emille Goncalves de Lima"/>
        <s v="Layla Beatriz Xavier Correia"/>
        <s v="Fabiana da Silva Alexandre"/>
        <s v="Bianca Xaiane Marques Lira Paz"/>
        <s v="Josilene de Oliveira Nunes"/>
        <s v="Havane Sumaya da Silva"/>
        <s v="Jessica Regina da Silva Brasileiro"/>
        <s v="Pamela Vitoria da Silva Santos"/>
        <s v="Carolayne Lins Ferreira"/>
        <s v="Gleice Kelly Felix da Silva"/>
        <s v="                                                                                                                                                                                                                                                               "/>
      </sharedItems>
    </cacheField>
    <cacheField name="CPF" numFmtId="0">
      <sharedItems containsBlank="1" containsNumber="1" containsInteger="1" containsMixedTypes="1" count="731">
        <m/>
        <n v="11298976480"/>
        <n v="14037728435"/>
        <n v="70244496404"/>
        <s v="09950658454"/>
        <n v="71158194404"/>
        <n v="11442698497"/>
        <n v="12075004455"/>
        <n v="4882140411"/>
        <s v="05900599477"/>
        <n v="70895876493"/>
        <n v="71176140485"/>
        <n v="10768708486"/>
        <n v="70467347476"/>
        <n v="71724929437"/>
        <n v="13393664441"/>
        <n v="11784645478"/>
        <n v="70673369455"/>
        <n v="70398985430"/>
        <n v="11046557483"/>
        <n v="5141053482"/>
        <n v="70823253473"/>
        <n v="6615987481"/>
        <n v="11260421457"/>
        <s v="05341859405"/>
        <n v="17838599466"/>
        <n v="70494219440"/>
        <s v="04802254431"/>
        <s v="04987045486"/>
        <s v="07063328492"/>
        <n v="10886615488"/>
        <n v="70989029425"/>
        <n v="13102393470"/>
        <s v="04393038428"/>
        <s v="09344287430"/>
        <s v="08010319406"/>
        <n v="70672195402"/>
        <n v="13188065426"/>
        <n v="9800656405"/>
        <n v="71052522432"/>
        <n v="13025935448"/>
        <n v="9778988498"/>
        <s v="07907825458"/>
        <s v="09744242426"/>
        <n v="10989907490"/>
        <n v="70816320411"/>
        <s v="09778988498"/>
        <s v="05141053482"/>
        <s v="09359835463"/>
        <n v="16271078435"/>
        <n v="70492275440"/>
        <n v="11505533406"/>
        <s v="08608151456"/>
        <n v="16983892488"/>
        <n v="70759953406"/>
        <s v="06810407421"/>
        <n v="11202951490"/>
        <n v="4182489314"/>
        <s v="09147189401"/>
        <s v="01485735416"/>
        <n v="70663872448"/>
        <n v="70750015403"/>
        <n v="7018160405"/>
        <n v="11477468420"/>
        <n v="11672152496"/>
        <n v="10254647456"/>
        <s v="08019242430"/>
        <n v="11686962401"/>
        <n v="10134721446"/>
        <n v="10683896482"/>
        <n v="13705305441"/>
        <n v="71149073462"/>
        <s v="08732975473"/>
        <n v="9307215430"/>
        <n v="11070665495"/>
        <n v="13333687470"/>
        <s v="05506462484"/>
        <s v="08887603456"/>
        <s v="09890454475"/>
        <n v="70266535470"/>
        <n v="12681650429"/>
        <n v="12312110407"/>
        <s v="01784036447"/>
        <s v="09955568496"/>
        <s v="03787319476"/>
        <n v="10871836424"/>
        <n v="70174742444"/>
        <s v="09566394454"/>
        <n v="9840507443"/>
        <n v="12618533429"/>
        <n v="70332071405"/>
        <n v="15354635462"/>
        <s v="09504531458"/>
        <s v="06443929403"/>
        <n v="8886917422"/>
        <n v="71003727476"/>
        <s v="09383941421"/>
        <n v="71212578406"/>
        <n v="11633312445"/>
        <n v="14118111438"/>
        <n v="14549161418"/>
        <n v="11635639433"/>
        <s v="06569084402"/>
        <n v="70161894496"/>
        <s v="06713356427"/>
        <n v="70254002463"/>
        <n v="71232849413"/>
        <s v="09255445405"/>
        <s v="06929822485"/>
        <s v="08237090438"/>
        <s v="07992425430"/>
        <n v="7865414480"/>
        <n v="15164122499"/>
        <n v="70628172443"/>
        <n v="70806053429"/>
        <n v="13689158419"/>
        <n v="70489527418"/>
        <n v="10848694465"/>
        <n v="7865411480"/>
        <n v="11296639495"/>
        <n v="8867737414"/>
        <s v="05508503412"/>
        <s v="09971354411"/>
        <s v="09225710402"/>
        <s v="09141821459"/>
        <n v="12379186421"/>
        <n v="13960082410"/>
        <n v="13964557447"/>
        <s v="08357295401"/>
        <s v="06785683408"/>
        <n v="71168341418"/>
        <s v="06530344403"/>
        <s v="01727295480"/>
        <n v="70981155413"/>
        <n v="15111735488"/>
        <s v="07857213470"/>
        <s v="09007371401"/>
        <s v="07716126482"/>
        <n v="71199151424"/>
        <n v="70053271440"/>
        <n v="10347149456"/>
        <n v="14500412484"/>
        <n v="14389171470"/>
        <n v="10977407497"/>
        <n v="70209688483"/>
        <s v="07331511408"/>
        <s v="07864208479"/>
        <n v="70169058450"/>
        <n v="10807429481"/>
        <n v="10746529406"/>
        <n v="10859410439"/>
        <n v="14671356406"/>
        <s v="06529668454"/>
        <n v="13484506490"/>
        <n v="71331323460"/>
        <s v="01446203409"/>
        <n v="11915750474"/>
        <s v="01368258425"/>
        <s v="01450922406"/>
        <n v="71214897401"/>
        <n v="70642278431"/>
        <n v="71772736465"/>
        <n v="11275270450"/>
        <n v="70833388410"/>
        <n v="11152651480"/>
        <n v="10316599433"/>
        <s v="08103033456"/>
        <n v="11004310471"/>
        <s v="08885743471"/>
        <s v="09397155466"/>
        <n v="71206260432"/>
        <n v="71188041428"/>
        <n v="10258675489"/>
        <s v="05717648430"/>
        <s v="09815364413"/>
        <n v="12410257461"/>
        <n v="70922340420"/>
        <n v="11539536416"/>
        <n v="12393596402"/>
        <n v="10709582471"/>
        <n v="70815266405"/>
        <n v="71140511408"/>
        <s v="06992220446"/>
        <n v="71345615426"/>
        <s v="09713035410"/>
        <n v="12867231400"/>
        <s v="07002578456"/>
        <n v="70596684460"/>
        <n v="12143833431"/>
        <s v="03923058950"/>
        <n v="13715554436"/>
        <n v="10966441427"/>
        <n v="11136345450"/>
        <n v="12417806410"/>
        <n v="70713534419"/>
        <s v="07615206430"/>
        <n v="17002859471"/>
        <n v="10232065446"/>
        <n v="14825985408"/>
        <n v="37407870829"/>
        <n v="17143084484"/>
        <n v="71580630464"/>
        <s v="08921673431"/>
        <n v="13387549474"/>
        <n v="10509610480"/>
        <n v="71177047489"/>
        <n v="16111740407"/>
        <s v="08568515401"/>
        <s v="06646982473"/>
        <n v="13439690423"/>
        <n v="11350403466"/>
        <n v="12902294492"/>
        <n v="12871055483"/>
        <s v="05166807499"/>
        <s v="09343711484"/>
        <s v="08886917422"/>
        <s v="01352820471"/>
        <n v="17810560484"/>
        <n v="70191449423"/>
        <s v="09638619481"/>
        <n v="71252858485"/>
        <n v="11277531420"/>
        <n v="71567974414"/>
        <s v="08477858403"/>
        <s v="07912410414"/>
        <n v="10502529423"/>
        <n v="71189011484"/>
        <n v="71677469404"/>
        <n v="13785512490"/>
        <s v="09194447411"/>
        <n v="10516087401"/>
        <n v="70761378448"/>
        <n v="70557677416"/>
        <s v="01829481452"/>
        <s v="09077054480"/>
        <s v="05428508426"/>
        <s v="07162770428"/>
        <n v="10358856469"/>
        <s v="08594293429"/>
        <n v="7092486440"/>
        <s v="09242838403"/>
        <n v="11802983490"/>
        <s v="08724492469"/>
        <s v="07092486440"/>
        <s v="09048100461"/>
        <n v="10094451460"/>
        <n v="13470321426"/>
        <n v="70754885461"/>
        <n v="12180538448"/>
        <n v="70512638462"/>
        <n v="17329918474"/>
        <s v="09926155421"/>
        <n v="71581178476"/>
        <s v="08897467458"/>
        <s v="09725947444"/>
        <n v="10804409412"/>
        <s v="08970731423"/>
        <s v="06468732450"/>
        <n v="10323624480"/>
        <n v="70301390460"/>
        <s v="09181379420"/>
        <s v="07859294443"/>
        <n v="10640834477"/>
        <n v="71688931490"/>
        <n v="70195446496"/>
        <n v="70793267455"/>
        <n v="16629595408"/>
        <n v="11267816490"/>
        <s v="06556220477"/>
        <s v="05029110429"/>
        <n v="70164641483"/>
        <n v="10704925400"/>
        <n v="6780936448"/>
        <s v="06780936448"/>
        <s v="03952601403"/>
        <n v="12856949452"/>
        <n v="70242221408"/>
        <n v="70373464460"/>
        <n v="70626108446"/>
        <s v="09624709459"/>
        <s v="05409576403"/>
        <n v="71015297471"/>
        <s v="09236557430"/>
        <n v="10056064470"/>
        <s v="08925830450"/>
        <n v="11541099419"/>
        <s v="04561634410"/>
        <s v="07319672405"/>
        <n v="10113198450"/>
        <n v="17756289498"/>
        <s v="05237532411"/>
        <s v="09813863420"/>
        <s v="06775536410"/>
        <s v="07837957423"/>
        <n v="10433701455"/>
        <s v="04100092458"/>
        <n v="70289116406"/>
        <n v="70551431440"/>
        <n v="71152234404"/>
        <n v="12617371484"/>
        <n v="4854471425"/>
        <s v="07473098411"/>
        <n v="14640046413"/>
        <n v="11412482470"/>
        <n v="12993275402"/>
        <n v="12169521402"/>
        <n v="10088703401"/>
        <s v="07394169448"/>
        <n v="71521746443"/>
        <n v="70161958486"/>
        <s v="08176436488"/>
        <n v="13184626490"/>
        <n v="70991800451"/>
        <n v="70397467435"/>
        <n v="71484091442"/>
        <n v="70770332447"/>
        <s v="08844414406"/>
        <s v="09932432407"/>
        <n v="70961475439"/>
        <n v="11538332477"/>
        <s v="09546579424"/>
        <s v="07962986450"/>
        <s v="06270918499"/>
        <n v="70879519479"/>
        <n v="10750085495"/>
        <n v="12329685440"/>
        <s v="08354118428"/>
        <s v="06588117469"/>
        <n v="11760505404"/>
        <s v="06245697484"/>
        <s v="06211091427"/>
        <n v="11053974400"/>
        <n v="71776241479"/>
        <s v="08722535462"/>
        <n v="71334389411"/>
        <n v="71093916478"/>
        <n v="10499567455"/>
        <n v="11585400432"/>
        <s v="06755866407"/>
        <n v="70577554492"/>
        <n v="70584483457"/>
        <n v="70840198477"/>
        <n v="10039731405"/>
        <s v="06165781489"/>
        <n v="14024568400"/>
        <n v="10903890437"/>
        <s v="09023361423"/>
        <s v="07260242442"/>
        <n v="12266138456"/>
        <n v="10581440498"/>
        <n v="70550585460"/>
        <n v="16762881475"/>
        <n v="13034821425"/>
        <n v="13172784452"/>
        <n v="71484595408"/>
        <n v="14045185410"/>
        <n v="12049566425"/>
        <n v="23273886862"/>
        <n v="10704405407"/>
        <s v="06615610469"/>
        <s v="08757158428"/>
        <n v="71714309444"/>
        <s v="09272101425"/>
        <s v="06075278460"/>
        <n v="14320726766"/>
        <n v="15819343433"/>
        <n v="15953902433"/>
        <n v="11237571430"/>
        <n v="71136052496"/>
        <n v="11034320440"/>
        <n v="70294687408"/>
        <n v="70534816460"/>
        <n v="70837351405"/>
        <n v="10816028486"/>
        <s v="05213591477"/>
        <n v="10501742409"/>
        <n v="71376795442"/>
        <s v="06852178412"/>
        <n v="71377648435"/>
        <s v="09270912400"/>
        <n v="70968471463"/>
        <s v="08844438410"/>
        <s v="08332796458"/>
        <n v="11378137418"/>
        <n v="10811398463"/>
        <n v="70946113408"/>
        <s v="08479536454"/>
        <n v="71396500460"/>
        <n v="13211084436"/>
        <n v="11520185405"/>
        <n v="71181541484"/>
        <n v="13114627404"/>
        <n v="70910159408"/>
        <s v="01589956435"/>
        <s v="09817940411"/>
        <n v="71235645452"/>
        <s v="09000840490"/>
        <s v="07111563441"/>
        <n v="16330430454"/>
        <n v="10290032466"/>
        <n v="11584236400"/>
        <s v="09896030405"/>
        <n v="10436365448"/>
        <s v="09569874430"/>
        <n v="12153382440"/>
        <n v="10628668430"/>
        <n v="8147055455"/>
        <n v="71848583443"/>
        <n v="70766391493"/>
        <n v="11540327442"/>
        <s v="05778167482"/>
        <s v="09024504414"/>
        <n v="13380297461"/>
        <n v="71281728403"/>
        <n v="10760602425"/>
        <n v="16861664430"/>
        <n v="10922880409"/>
        <s v="05071789477"/>
        <n v="11959329448"/>
        <s v="08467540451"/>
        <n v="14039865413"/>
        <s v="08526174452"/>
        <n v="14092906463"/>
        <n v="6462481463"/>
        <n v="10219392420"/>
        <n v="70561899460"/>
        <s v="01732223408"/>
        <s v="08933368400"/>
        <n v="70611531488"/>
        <n v="13497029432"/>
        <n v="9099317476"/>
        <n v="70237674440"/>
        <n v="71369959494"/>
        <s v="09761815412"/>
        <n v="70797418407"/>
        <s v="08386312408"/>
        <n v="70482917458"/>
        <n v="10153924403"/>
        <s v="07302189455"/>
        <n v="71429101431"/>
        <n v="37157378833"/>
        <s v="01632837455"/>
        <n v="70808893408"/>
        <s v="06936977413"/>
        <n v="11904965423"/>
        <n v="71631042432"/>
        <n v="1065749431"/>
        <n v="11984497480"/>
        <n v="10657449431"/>
        <s v="09117402441"/>
        <n v="11066349428"/>
        <s v="09231059483"/>
        <n v="10909927421"/>
        <n v="70425234401"/>
        <n v="71346312494"/>
        <n v="10517656418"/>
        <s v="09753564457"/>
        <s v="09080588458"/>
        <n v="14461093484"/>
        <n v="10687511429"/>
        <n v="71053651457"/>
        <s v="09454086413"/>
        <n v="70198196482"/>
        <s v="06057290429"/>
        <n v="12472908407"/>
        <n v="71430049448"/>
        <n v="12226276475"/>
        <n v="10160330440"/>
        <s v="09628716484"/>
        <s v="09842512436"/>
        <n v="12247533485"/>
        <n v="71450636462"/>
        <n v="70500049440"/>
        <n v="16484138460"/>
        <n v="11480668451"/>
        <s v="03368101480"/>
        <s v="09357792481"/>
        <n v="72068534479"/>
        <n v="13951086416"/>
        <n v="10752547445"/>
        <n v="22784714810"/>
        <n v="70261856405"/>
        <s v="08351582417"/>
        <n v="71258001497"/>
        <n v="39403127899"/>
        <s v="01391594444"/>
        <s v="06554886427"/>
        <n v="16009723493"/>
        <n v="71266803416"/>
        <n v="11012606457"/>
        <n v="9753564457"/>
        <n v="11229954406"/>
        <s v="06571354454"/>
        <s v="09092644498"/>
        <s v="04671793440"/>
        <n v="71681386429"/>
        <n v="15842009447"/>
        <s v="08220304464"/>
        <n v="70085444480"/>
        <s v="14825985408"/>
        <n v="11274887402"/>
        <n v="12912334403"/>
        <s v="08971497424"/>
        <n v="70505915480"/>
        <s v="04876514488"/>
        <n v="13393293443"/>
        <n v="11257950428"/>
        <n v="12265832456"/>
        <n v="12932162403"/>
        <n v="12627302442"/>
        <s v="09778501459"/>
        <n v="10979586470"/>
        <n v="70191405485"/>
        <s v="04939304426"/>
        <s v="09404433411"/>
        <s v="08842150401"/>
        <s v="09224274455"/>
        <n v="12256305414"/>
        <n v="70937498440"/>
        <s v="09900961498"/>
        <n v="71144197406"/>
        <n v="12102109402"/>
        <n v="70493080481"/>
        <n v="71998664457"/>
        <n v="70981237495"/>
        <n v="70443909431"/>
        <n v="70942859499"/>
        <n v="10991103432"/>
        <n v="14567730461"/>
        <n v="13645225439"/>
        <s v="08813404484"/>
        <n v="12479929426"/>
        <n v="14039334485"/>
        <n v="11123861498"/>
        <n v="70410093432"/>
        <s v="08052436400"/>
        <n v="10717354466"/>
        <n v="71466211466"/>
        <s v="05497260470"/>
        <s v="09589544452"/>
        <s v="07969064400"/>
        <n v="71557419493"/>
        <n v="10930499441"/>
        <s v="07453742471"/>
        <n v="71818397480"/>
        <n v="70632914408"/>
        <s v="09540280400"/>
        <s v="00059759305"/>
        <n v="10499514416"/>
        <n v="16751619413"/>
        <s v="07181969455"/>
        <n v="12362817482"/>
        <s v="09245048462"/>
        <n v="12935047427"/>
        <n v="70428539467"/>
        <s v="08873260489"/>
        <n v="15871498426"/>
        <s v="07339708421"/>
        <n v="12513606450"/>
        <n v="71415495440"/>
        <n v="10793952450"/>
        <n v="10340541474"/>
        <s v="08170030455"/>
        <n v="71492471488"/>
        <n v="71662525451"/>
        <n v="70528685473"/>
        <n v="12351052455"/>
        <s v="07262847422"/>
        <n v="71219042412"/>
        <n v="70758250460"/>
        <n v="11786881438"/>
        <n v="12494781469"/>
        <n v="10956410421"/>
        <n v="10813817447"/>
        <n v="11608060470"/>
        <n v="11098787455"/>
        <s v="07202895480"/>
        <n v="13973758417"/>
        <n v="11267539470"/>
        <s v="09810823436"/>
        <n v="11754544436"/>
        <n v="71228826404"/>
        <n v="70292521448"/>
        <n v="71171552483"/>
        <n v="13320250485"/>
        <n v="10566423430"/>
        <n v="71130378446"/>
        <n v="13465265408"/>
        <n v="11441339477"/>
        <s v="06466604462"/>
        <n v="51035953897"/>
        <n v="71533059470"/>
        <s v="09345624406"/>
        <s v="09413612412"/>
        <n v="13010353430"/>
        <n v="10630912416"/>
        <s v="03437474480"/>
        <n v="15493280426"/>
        <n v="71284004430"/>
        <n v="12567294422"/>
        <n v="13200818433"/>
        <n v="11289973474"/>
        <n v="12002249490"/>
        <n v="70421798467"/>
        <n v="71144539498"/>
        <n v="12864877490"/>
        <n v="17785739404"/>
        <s v="01798823411"/>
        <n v="12839471450"/>
        <n v="13115492421"/>
        <n v="11239307403"/>
        <s v="09421353420"/>
        <n v="13775678425"/>
        <s v="01798674408"/>
        <n v="70896728404"/>
        <n v="10888762429"/>
        <n v="13180404426"/>
        <n v="11542933439"/>
        <s v="05982559407"/>
        <n v="70620658460"/>
        <s v="06036013400"/>
        <n v="11088441467"/>
        <n v="10733452469"/>
        <s v="08010651435"/>
        <n v="16611354476"/>
        <s v="06110013498"/>
        <n v="12109949414"/>
        <s v="06093734471"/>
        <n v="10303523484"/>
        <n v="16086979405"/>
        <n v="70477443478"/>
        <n v="10300749414"/>
        <n v="11983677418"/>
        <n v="70407529489"/>
        <n v="70048226483"/>
        <n v="71436568447"/>
        <s v="05186380571"/>
        <n v="12936692458"/>
        <n v="11486071457"/>
        <n v="12328336493"/>
        <n v="70568093402"/>
        <s v="06011565441"/>
        <n v="70541703420"/>
        <n v="70447520474"/>
        <n v="16111438450"/>
        <n v="17100735432"/>
        <n v="71099512433"/>
        <s v="05903519407"/>
        <n v="11231776439"/>
        <s v="03886783480"/>
        <s v="09772012448"/>
        <s v="09186594427"/>
        <n v="12310877492"/>
        <n v="12327939496"/>
        <s v="08002192443"/>
        <n v="70280817452"/>
        <n v="16530557741"/>
        <n v="17517363425"/>
        <n v="71056621400"/>
        <n v="11170401430"/>
        <n v="71590593448"/>
        <s v="08773764418"/>
        <n v="71578122406"/>
        <s v="08038192427"/>
        <s v="06529921451"/>
        <n v="11332924450"/>
        <n v="11067662456"/>
        <n v="10919300405"/>
        <n v="10657267406"/>
        <n v="13483484450"/>
        <n v="15877271458"/>
        <n v="10622975471"/>
        <n v="11772993484"/>
        <s v="07953985497"/>
        <n v="11257485407"/>
        <n v="14208382708"/>
        <n v="70915413400"/>
        <n v="71353539431"/>
        <n v="10314889442"/>
        <n v="12895912459"/>
        <s v="07881299452"/>
        <n v="11838694447"/>
        <n v="11839451408"/>
        <n v="71305949420"/>
        <s v="09112033464"/>
        <n v="11756692459"/>
        <s v="09649602496"/>
        <s v="09190352483"/>
        <n v="11846531438"/>
        <n v="15905956456"/>
        <s v="06040753404"/>
        <n v="71188326422"/>
        <n v="11317277465"/>
        <s v="09075251483"/>
        <s v="08579549469"/>
        <n v="70265875447"/>
        <s v="09061804493"/>
        <n v="13573595430"/>
        <n v="11189101416"/>
        <s v="07237724444"/>
        <s v="05365206401"/>
        <n v="70294475494"/>
        <s v="03345996448"/>
        <n v="14282695412"/>
        <s v="06366530483"/>
        <n v="11414319479"/>
        <n v="10940084430"/>
        <n v="70341962490"/>
        <n v="70313602425"/>
        <n v="71871129478"/>
        <s v="09085672430"/>
        <n v="70287998401"/>
        <s v="08283085433"/>
        <n v="16319449403"/>
        <n v="11873320469"/>
        <n v="70614439442"/>
        <n v="17430102492"/>
        <s v="09327901436"/>
        <n v="10024550493"/>
        <n v="1440046413"/>
        <n v="12996355474"/>
        <s v="08920287422"/>
        <n v="70675118441"/>
        <s v="06620762492"/>
        <n v="71331374456"/>
        <s v="07801832400"/>
        <n v="13611584410"/>
        <n v="10664578403"/>
        <n v="11471732495"/>
        <n v="72016087463"/>
        <n v="11746594403"/>
      </sharedItems>
    </cacheField>
    <cacheField name="CNS" numFmtId="0">
      <sharedItems containsString="0" containsBlank="1" containsNumber="1" containsInteger="1" minValue="70120702918371" maxValue="898050095465067" count="725">
        <m/>
        <n v="702309124420318"/>
        <n v="703102331235560"/>
        <n v="705703432034430"/>
        <n v="705005817013652"/>
        <n v="708407796973663"/>
        <n v="702105777657950"/>
        <n v="702403017460123"/>
        <n v="702301136510514"/>
        <n v="700902926629091"/>
        <n v="700002751960906"/>
        <n v="700002248469009"/>
        <n v="704306570802490"/>
        <n v="700003309452306"/>
        <n v="700201400050122"/>
        <n v="700002665283209"/>
        <n v="701207029183712"/>
        <n v="700005875085902"/>
        <n v="700005882298401"/>
        <n v="708702189579698"/>
        <n v="700506170046856"/>
        <n v="704705577244340"/>
        <n v="700704978103876"/>
        <n v="702403012834025"/>
        <n v="705702437682030"/>
        <n v="706405177561283"/>
        <n v="700006505018403"/>
        <n v="709205207587931"/>
        <n v="708704177030094"/>
        <n v="708105560163634"/>
        <n v="701409644710532"/>
        <n v="700004101187503"/>
        <n v="209052022490009"/>
        <n v="700005112908305"/>
        <n v="704102770029580"/>
        <n v="708602069041586"/>
        <n v="707405032215277"/>
        <n v="708207113732745"/>
        <n v="709206262169233"/>
        <n v="700903912525192"/>
        <n v="702409551791425"/>
        <n v="701204072769313"/>
        <n v="705301484050390"/>
        <n v="700504938219751"/>
        <n v="701009899857591"/>
        <n v="706306617689780"/>
        <n v="209051471750007"/>
        <n v="708000898780624"/>
        <n v="706005856689244"/>
        <n v="708500376279279"/>
        <n v="700002491205909"/>
        <n v="709601664711271"/>
        <n v="898000652731327"/>
        <n v="700000775385705"/>
        <n v="705603421725012"/>
        <n v="702104750775290"/>
        <n v="701806212560272"/>
        <n v="700503541527951"/>
        <n v="700000822013309"/>
        <n v="700208434012424"/>
        <n v="708708109195192"/>
        <n v="706806240579420"/>
        <n v="704804584865841"/>
        <n v="705600424812517"/>
        <n v="708403791520268"/>
        <n v="701800299538570"/>
        <n v="708201136381242"/>
        <n v="700508790071751"/>
        <n v="704300580759797"/>
        <n v="206045717250004"/>
        <n v="700004086227201"/>
        <n v="706003892594248"/>
        <n v="700008726340202"/>
        <n v="708707109614690"/>
        <n v="700001403748904"/>
        <n v="705009821852659"/>
        <n v="706809221854422"/>
        <n v="700008372208705"/>
        <n v="704803055421841"/>
        <n v="700004797843807"/>
        <n v="706401675238685"/>
        <n v="708603077751784"/>
        <n v="706703518432319"/>
        <n v="701408677522831"/>
        <n v="706200093511568"/>
        <n v="704001849620064"/>
        <n v="704600736177630"/>
        <n v="701003827009297"/>
        <n v="704201206184189"/>
        <n v="700208426691628"/>
        <n v="700006684597306"/>
        <n v="706505322497098"/>
        <n v="702000338875485"/>
        <n v="707609216180397"/>
        <n v="70120702918371"/>
        <n v="707808603525913"/>
        <n v="703401295219315"/>
        <n v="708004843352020"/>
        <n v="703403421894200"/>
        <n v="704007160101070"/>
        <n v="701805288964276"/>
        <n v="706401602918082"/>
        <n v="700801977487189"/>
        <n v="704805587922146"/>
        <n v="706801210740520"/>
        <n v="700509773550753"/>
        <n v="703404238473014"/>
        <n v="700504929873355"/>
        <n v="700204926989428"/>
        <n v="700009740270705"/>
        <n v="705002239945457"/>
        <n v="700005241485109"/>
        <n v="700008035815606"/>
        <n v="206053458500008"/>
        <n v="708400717008467"/>
        <n v="702401043319228"/>
        <n v="703408046224400"/>
        <n v="700209466716525"/>
        <n v="706206004686362"/>
        <n v="700507529572253"/>
        <n v="701109380079380"/>
        <n v="707007847940738"/>
        <n v="702805126780461"/>
        <n v="706403154387587"/>
        <n v="700902975908497"/>
        <n v="704001886504668"/>
        <n v="702508373337330"/>
        <n v="702303171179812"/>
        <n v="702500371187237"/>
        <n v="708501389703679"/>
        <n v="705009899325355"/>
        <n v="700007525040502"/>
        <n v="702506385881039"/>
        <n v="708209134201740"/>
        <n v="701103334115080"/>
        <n v="707106366986720"/>
        <n v="704606180252124"/>
        <n v="708606097669989"/>
        <n v="706801783269029"/>
        <n v="898005174693865"/>
        <n v="706407666228082"/>
        <n v="702500368297132"/>
        <n v="708104596853338"/>
        <n v="209053623510005"/>
        <n v="704300517263690"/>
        <n v="701804291442578"/>
        <n v="700306966503330"/>
        <n v="706709750051820"/>
        <n v="707802698820718"/>
        <n v="898003426867976"/>
        <n v="706001315807649"/>
        <n v="700007196049009"/>
        <n v="702009312004981"/>
        <n v="700402953155350"/>
        <n v="706703501709118"/>
        <n v="700800924380087"/>
        <n v="705206468768679"/>
        <n v="701807289837679"/>
        <n v="705006843837757"/>
        <n v="701804284088071"/>
        <n v="704105229464050"/>
        <n v="702805692567664"/>
        <n v="708704199993898"/>
        <n v="709206255090333"/>
        <n v="702808151424560"/>
        <n v="706808763613626"/>
        <n v="704207569648590"/>
        <n v="700009756810909"/>
        <n v="898004112430525"/>
        <n v="702609237165647"/>
        <n v="704706718467333"/>
        <n v="701004869342599"/>
        <n v="702005360528088"/>
        <n v="707608210613398"/>
        <n v="708004326100028"/>
        <n v="707603234727798"/>
        <n v="704208796499384"/>
        <n v="703106886252060"/>
        <n v="700608492019165"/>
        <n v="700001559799204"/>
        <n v="706605501971710"/>
        <n v="701803216936576"/>
        <n v="708603017484089"/>
        <n v="700009213912107"/>
        <n v="706403175801781"/>
        <n v="702407068460825"/>
        <n v="702908566058871"/>
        <n v="700800977538181"/>
        <n v="206044337050002"/>
        <n v="709604646515272"/>
        <n v="700003714309300"/>
        <n v="706200587848067"/>
        <n v="702507371552632"/>
        <n v="706906145621538"/>
        <n v="898005980124766"/>
        <n v="703402288081800"/>
        <n v="703008821547875"/>
        <n v="705402440429297"/>
        <n v="898003740931665"/>
        <n v="706401158848587"/>
        <n v="700708434557280"/>
        <n v="708107808885710"/>
        <n v="707806698403118"/>
        <n v="898003033926454"/>
        <n v="700400926071042"/>
        <n v="700007375574701"/>
        <n v="700000449927606"/>
        <n v="705804437129030"/>
        <n v="700709964698079"/>
        <n v="702809136602667"/>
        <n v="898003295517772"/>
        <n v="706508365166797"/>
        <n v="708601027397586"/>
        <n v="706400343153890"/>
        <n v="707607284854193"/>
        <n v="702005325092082"/>
        <n v="705803458151638"/>
        <n v="705008421417954"/>
        <n v="700300942296534"/>
        <n v="700001451759201"/>
        <n v="700009626475204"/>
        <n v="704101120189175"/>
        <n v="702603781836245"/>
        <n v="700504398814051"/>
        <n v="700604928707167"/>
        <n v="705609497195117"/>
        <n v="706809788150825"/>
        <n v="708002323626329"/>
        <n v="700007773792504"/>
        <n v="706403690402883"/>
        <n v="702305004241420"/>
        <n v="700205940755030"/>
        <n v="700808942449686"/>
        <n v="704001819954762"/>
        <n v="705008653771250"/>
        <n v="700303489595140"/>
        <n v="704607149910620"/>
        <n v="700802950647186"/>
        <n v="708005873205221"/>
        <n v="705200406232877"/>
        <n v="705607447469815"/>
        <n v="898002391102498"/>
        <n v="709602647540376"/>
        <n v="700802413288187"/>
        <n v="700305900737537"/>
        <n v="702802502919170"/>
        <n v="709804075482392"/>
        <n v="700503113295351"/>
        <n v="705009691293051"/>
        <n v="700001162973506"/>
        <n v="700400558690050"/>
        <n v="709201282056537"/>
        <n v="704703754695933"/>
        <n v="702805654905760"/>
        <n v="708005352616827"/>
        <n v="706800705282925"/>
        <n v="708408253345263"/>
        <n v="703002893021874"/>
        <n v="702808142394360"/>
        <n v="700801400566786"/>
        <n v="700107839299990"/>
        <n v="705604474294912"/>
        <n v="704007382536065"/>
        <n v="706804729437825"/>
        <n v="704006815939364"/>
        <n v="705401411478497"/>
        <n v="706702508531615"/>
        <n v="704002825635968"/>
        <n v="700803490012388"/>
        <n v="700805993599089"/>
        <n v="707601278100691"/>
        <n v="705406415504896"/>
        <n v="700208977258122"/>
        <n v="704606634032426"/>
        <n v="702406072275122"/>
        <n v="704203294432785"/>
        <n v="704704755758735"/>
        <n v="701807287448470"/>
        <n v="702505316635031"/>
        <n v="702107726825391"/>
        <n v="700208934984522"/>
        <n v="706403183087685"/>
        <n v="700109984959620"/>
        <n v="705006858038952"/>
        <n v="898004541923736"/>
        <n v="704005380561265"/>
        <n v="704505318793811"/>
        <n v="709805009296498"/>
        <n v="706805268866024"/>
        <n v="701102044255210"/>
        <n v="700902904075395"/>
        <n v="700507946339054"/>
        <n v="701707284385770"/>
        <n v="702504395276837"/>
        <n v="700000331008003"/>
        <n v="706409146148787"/>
        <n v="700503392857351"/>
        <n v="898006177047124"/>
        <n v="200329141690001"/>
        <n v="898004847610948"/>
        <n v="708606000411280"/>
        <n v="700204487588122"/>
        <n v="700608461938568"/>
        <n v="700001066797603"/>
        <n v="708602561840888"/>
        <n v="706809158603030"/>
        <n v="702803607991069"/>
        <n v="702608728208647"/>
        <n v="705005422471356"/>
        <n v="704806523960048"/>
        <n v="705005617278156"/>
        <n v="700006358142601"/>
        <n v="704706748082936"/>
        <n v="700204427919629"/>
        <n v="700606470263967"/>
        <n v="700904910650594"/>
        <n v="706205719106970"/>
        <n v="708209198296742"/>
        <n v="700006916653005"/>
        <n v="703405401695700"/>
        <n v="706808268468226"/>
        <n v="704604695814821"/>
        <n v="700801410371082"/>
        <n v="700801935528685"/>
        <n v="705600430738218"/>
        <n v="707606278263595"/>
        <n v="703403585430800"/>
        <n v="700503166072055"/>
        <n v="700600475815563"/>
        <n v="700503923254059"/>
        <n v="708206629187642"/>
        <n v="700003730687608"/>
        <n v="898004515051239"/>
        <n v="700805405532786"/>
        <n v="707809636197614"/>
        <n v="703400956786400"/>
        <n v="707602265290390"/>
        <n v="705000630829352"/>
        <n v="700406468974640"/>
        <n v="700005003646709"/>
        <n v="705205410973570"/>
        <n v="706206023630466"/>
        <n v="709008832920318"/>
        <n v="706803700987028"/>
        <n v="705009243104050"/>
        <n v="898003279196983"/>
        <n v="702007717649390"/>
        <n v="700006996160604"/>
        <n v="707400095300870"/>
        <n v="704507398766818"/>
        <n v="702604210262744"/>
        <n v="706808715942623"/>
        <n v="700002178721200"/>
        <n v="707002893267434"/>
        <n v="700704905278072"/>
        <n v="706502381193293"/>
        <n v="898003292542652"/>
        <n v="706900193331433"/>
        <n v="703008898676378"/>
        <n v="700804961486083"/>
        <n v="702408513624427"/>
        <n v="706505362955291"/>
        <n v="700607443905067"/>
        <n v="898002058966432"/>
        <n v="707600208687994"/>
        <n v="706601511240510"/>
        <n v="701808284741275"/>
        <n v="704204284423989"/>
        <n v="700502539523455"/>
        <n v="200344031610009"/>
        <n v="704203767834281"/>
        <n v="709203216580438"/>
        <n v="898001088704583"/>
        <n v="898003026839444"/>
        <n v="708700190774790"/>
        <n v="700601419972161"/>
        <n v="706006347560740"/>
        <n v="706801746390324"/>
        <n v="200336850740008"/>
        <n v="701301617122130"/>
        <n v="700707925864875"/>
        <n v="706206062450465"/>
        <n v="209047280690005"/>
        <n v="898004654931653"/>
        <n v="700503741989150"/>
        <n v="706500337525497"/>
        <n v="209964255210002"/>
        <n v="702608761483341"/>
        <n v="702300129263816"/>
        <n v="705003083480658"/>
        <n v="702005810307087"/>
        <n v="709206248183631"/>
        <n v="700003377103400"/>
        <n v="708100531892831"/>
        <n v="700604473930660"/>
        <n v="702009388657587"/>
        <n v="700006014004909"/>
        <n v="700004274892705"/>
        <n v="700206468913724"/>
        <n v="700009583339207"/>
        <n v="701103348258180"/>
        <n v="700407937351846"/>
        <n v="898005949436026"/>
        <n v="705008613920859"/>
        <n v="709203201351233"/>
        <n v="701308698720730"/>
        <n v="898000651859796"/>
        <n v="703408691844200"/>
        <n v="708100564765235"/>
        <n v="703108860418060"/>
        <n v="704303576561298"/>
        <n v="700305988617540"/>
        <n v="700304967450840"/>
        <n v="700000267360805"/>
        <n v="898004089980765"/>
        <n v="898005182839644"/>
        <n v="700003623132602"/>
        <n v="706803713587228"/>
        <n v="709200207002734"/>
        <n v="702608252042142"/>
        <n v="702309116567518"/>
        <n v="700605925532170"/>
        <n v="705603432558317"/>
        <n v="706300725356872"/>
        <n v="707803652437114"/>
        <n v="702603216645547"/>
        <n v="708405226095569"/>
        <n v="702600251436948"/>
        <n v="704704091932240"/>
        <n v="702401092249521"/>
        <n v="709204257043837"/>
        <n v="708700168884694"/>
        <n v="706703534950019"/>
        <n v="700402456980442"/>
        <n v="701805248891170"/>
        <n v="705001805425558"/>
        <n v="706208590259767"/>
        <n v="705006070731455"/>
        <n v="700503438361760"/>
        <n v="705201424814778"/>
        <n v="705404474201797"/>
        <n v="703202606885594"/>
        <n v="703403268268213"/>
        <n v="702601274645447"/>
        <n v="707803605040017"/>
        <n v="704305563905890"/>
        <n v="704000838863067"/>
        <n v="708601566411089"/>
        <n v="700908942014999"/>
        <n v="702502399664139"/>
        <n v="708700165310395"/>
        <n v="704605631258422"/>
        <n v="700203928579021"/>
        <n v="700400590955250"/>
        <n v="706700704298020"/>
        <n v="707502276153390"/>
        <n v="705608478820418"/>
        <n v="700605425008863"/>
        <n v="701802207308575"/>
        <n v="700006792641809"/>
        <n v="702403520927427"/>
        <n v="700005247862109"/>
        <n v="704107738689680"/>
        <n v="704301569733796"/>
        <n v="700402954359847"/>
        <n v="704102152406970"/>
        <n v="700307924703340"/>
        <n v="898003065205434"/>
        <n v="706002865429044"/>
        <n v="702302192126016"/>
        <n v="701000843555192"/>
        <n v="898006294626805"/>
        <n v="706301747155471"/>
        <n v="705005428340253"/>
        <n v="704607655945022"/>
        <n v="706902172422830"/>
        <n v="700204950900830"/>
        <n v="703407527388000"/>
        <n v="701006878226794"/>
        <n v="701005891945099"/>
        <n v="708006803184625"/>
        <n v="709201209698230"/>
        <n v="706408648170389"/>
        <n v="700907904325795"/>
        <n v="700404429566845"/>
        <n v="701205029878719"/>
        <n v="700003859109000"/>
        <n v="708101541341936"/>
        <n v="898001087401617"/>
        <n v="898003064619731"/>
        <n v="700809484779783"/>
        <n v="708907785709116"/>
        <n v="705005202258750"/>
        <n v="707105809407820"/>
        <n v="704703781901239"/>
        <n v="700500121853551"/>
        <n v="704205713036486"/>
        <n v="206049713590009"/>
        <n v="700505366831350"/>
        <n v="706803732958228"/>
        <n v="700306906631332"/>
        <n v="700407938011445"/>
        <n v="898001085848827"/>
        <n v="706000304788442"/>
        <n v="700505399532654"/>
        <n v="700009010750307"/>
        <n v="708605175423090"/>
        <n v="700006321187806"/>
        <n v="702403509228925"/>
        <n v="706406613229288"/>
        <n v="702808108979661"/>
        <n v="700601478937660"/>
        <n v="700605968716869"/>
        <n v="702609215868645"/>
        <n v="700506558264153"/>
        <n v="701403685953337"/>
        <n v="708405244029769"/>
        <n v="702304159779113"/>
        <n v="700006238173704"/>
        <n v="706809705489420"/>
        <n v="898005185455359"/>
        <n v="898050095465067"/>
        <n v="708409268304569"/>
        <n v="704209289839282"/>
        <n v="706303740457075"/>
        <n v="700504323315155"/>
        <n v="706406390910290"/>
        <n v="705603430524911"/>
        <n v="703004884010476"/>
        <n v="705008073985751"/>
        <n v="700608427804260"/>
        <n v="707600256228694"/>
        <n v="705009823463358"/>
        <n v="702801187246062"/>
        <n v="706200504791062"/>
        <n v="708205636294946"/>
        <n v="704004819053865"/>
        <n v="708107140970040"/>
        <n v="703200612913497"/>
        <n v="703409215242819"/>
        <n v="700009022856504"/>
        <n v="702603799229847"/>
        <n v="898006193597036"/>
        <n v="898004913866631"/>
        <n v="898003946734946"/>
        <n v="707004810892931"/>
        <n v="706706562283717"/>
        <n v="707607211389792"/>
        <n v="706403116869782"/>
        <n v="702309180867918"/>
        <n v="700600901502064"/>
        <n v="704005827730561"/>
        <n v="898005133793156"/>
        <n v="707701685156210"/>
        <n v="709608657226378"/>
        <n v="700503768967050"/>
        <n v="898003275844239"/>
        <n v="700400904372244"/>
        <n v="706705540068510"/>
        <n v="700002676161908"/>
        <n v="707008845418334"/>
        <n v="209056779050004"/>
        <n v="705409414644999"/>
        <n v="703406342965000"/>
        <n v="704107116893373"/>
        <n v="700606459947766"/>
        <n v="701004837238699"/>
        <n v="708004814765525"/>
        <n v="705000834244751"/>
        <n v="708204603766643"/>
        <n v="702803109430863"/>
        <n v="702104741250695"/>
        <n v="708201632190743"/>
        <n v="709200279783635"/>
        <n v="898003836744750"/>
        <n v="700301934830331"/>
        <n v="702400036521121"/>
        <n v="704202542975790"/>
        <n v="704007823903560"/>
        <n v="707109303720920"/>
        <n v="702403542804824"/>
        <n v="704205751140481"/>
        <n v="700905995764191"/>
        <n v="700001740952906"/>
        <n v="706309795634071"/>
        <n v="702102783439697"/>
        <n v="700805988142483"/>
        <n v="701407682433336"/>
        <n v="702401024102529"/>
        <n v="702303148692312"/>
        <n v="700309983361339"/>
        <n v="898004986881584"/>
        <n v="703000803629779"/>
        <n v="700404905544050"/>
        <n v="702501342525732"/>
        <n v="700002442144101"/>
        <n v="705006427006555"/>
        <n v="708601549792983"/>
        <n v="700003787331608"/>
        <n v="700701979525674"/>
        <n v="898006252474861"/>
        <n v="701401691934339"/>
        <n v="700209919843124"/>
        <n v="705106307521540"/>
        <n v="700407440739044"/>
        <n v="700009363682808"/>
        <n v="700709444210780"/>
        <n v="704601654770126"/>
        <n v="700306991570631"/>
        <n v="700501737690853"/>
        <n v="702707606116460"/>
        <n v="700908992000398"/>
        <n v="702004331949681"/>
        <n v="704509368524613"/>
        <n v="708207643005344"/>
        <n v="706204598670268"/>
        <n v="706403650143380"/>
        <n v="700009780363305"/>
        <n v="709201274976134"/>
        <n v="701809220718672"/>
        <n v="708601593540986"/>
        <n v="700503594407756"/>
        <n v="708008375922927"/>
        <n v="898005944310342"/>
        <n v="705007699222453"/>
        <n v="701404634334932"/>
        <n v="702300180822916"/>
        <n v="708508517123080"/>
        <n v="898002264795109"/>
        <n v="700508714573156"/>
        <n v="898003024599446"/>
        <n v="702903507965774"/>
        <n v="700002198921507"/>
        <n v="702602297172546"/>
        <n v="706500311039498"/>
        <n v="709601686997275"/>
        <n v="700007158565208"/>
        <n v="700004688616605"/>
        <n v="700006909687501"/>
        <n v="702803137555969"/>
        <n v="705001079158354"/>
        <n v="898004836101605"/>
        <n v="700802998286086"/>
        <n v="705304457650490"/>
        <n v="700001137575802"/>
        <n v="708201171128140"/>
        <n v="702803685947161"/>
        <n v="704603187289721"/>
        <n v="703608024227030"/>
        <n v="703401251990911"/>
        <n v="700409923504043"/>
        <n v="700401493992148"/>
        <n v="706902134978738"/>
        <n v="700001899481804"/>
        <n v="707609219415093"/>
        <n v="706804286131323"/>
        <n v="702106712699096"/>
        <n v="700908946200096"/>
        <n v="702804665755861"/>
        <n v="704001314656365"/>
        <n v="708102586377337"/>
        <n v="700601999498266"/>
        <n v="708400273864269"/>
        <n v="701402691924237"/>
        <n v="704205746556985"/>
        <n v="703206662088894"/>
        <n v="702804142472767"/>
        <n v="702505722923040"/>
        <n v="708601053636584"/>
        <n v="701105390920580"/>
        <n v="705107825176140"/>
        <n v="700003339878808"/>
        <n v="700504753126951"/>
        <n v="700004526831802"/>
        <n v="709606643280470"/>
        <n v="700503384836758"/>
        <n v="706405158579989"/>
        <n v="700405154886950"/>
        <n v="705401487977990"/>
        <n v="700001832228406"/>
        <n v="704003128044470"/>
        <n v="704106847372350"/>
        <n v="703608091797331"/>
        <n v="700009110525402"/>
        <n v="898005802359767"/>
        <n v="702501342073335"/>
        <n v="706205536217560"/>
        <n v="708400798413766"/>
        <n v="700505976434150"/>
        <n v="706306794286271"/>
        <n v="703603092777933"/>
        <n v="700000824554102"/>
        <n v="708401256257261"/>
        <n v="704604138571428"/>
        <n v="700000365384407"/>
        <n v="703006808782775"/>
        <n v="704701561064840"/>
        <n v="704608132038624"/>
        <n v="898003299705492"/>
        <n v="700501149772050"/>
        <n v="700000069671707"/>
        <n v="700604968715969"/>
        <n v="700007989953107"/>
        <n v="703402229345414"/>
        <n v="704008378418763"/>
        <n v="704204774765681"/>
        <n v="705409461268299"/>
        <n v="702600229007746"/>
        <n v="705800422211433"/>
        <n v="700500326666257"/>
        <n v="704607721393630"/>
        <n v="709003826558411"/>
        <n v="709804080626291"/>
        <n v="708704169647495"/>
        <n v="700900983777493"/>
        <n v="707306000757270"/>
        <n v="706303762885274"/>
        <n v="708205632095841"/>
        <n v="703101891132960"/>
        <n v="700506311443651"/>
        <n v="706404117661884"/>
        <n v="704705703665532"/>
        <n v="700006866310304"/>
        <n v="703209625276995"/>
        <n v="706000327149543"/>
      </sharedItems>
    </cacheField>
    <cacheField name="Link do atendimento no HopChat" numFmtId="0">
      <sharedItems containsBlank="1" count="1273">
        <m/>
        <s v="https://chat.brainyresolution.com/live/oSaHuaaqWPCwu9XH6"/>
        <s v="https://chat.brainyresolution.com/omnichannel-directory/chats/info/kawrWMHt9gdgnMpc8"/>
        <s v="https://chat.brainyresolution.com/live/eMevErRXvJJBeEN7H/room-info"/>
        <s v="https://chat.brainyresolution.com/live/RHHQobYjnMYfZsnSh"/>
        <s v="https://chat.brainyresolution.com/live/R4EejqGt6QdCLvade/user-info"/>
        <s v="https://chat.brainyresolution.com/live/sg2dcgrXH7yS9sL2a/room-info"/>
        <s v="https://chat.brainyresolution.com/live/hQujBEk7zZsnQY6M8/user-info"/>
        <s v="https://chat.brainyresolution.com/omnichannel-directory/chats/view/hGDZw5oKshnBhj9uN/room-info"/>
        <s v="https://chat.brainyresolution.com/live/3x4FdDqutXMZ3mzLX"/>
        <s v="https://chat.brainyresolution.com/live/BZuS5rFFnzPGWhJtv/room-info"/>
        <s v="https://chat.brainyresolution.com/live/SzRui2rJbkkG4qYcP/room-info"/>
        <s v="https://meet.google.com/gsv-aoua-eyw"/>
        <s v="https://chat.brainyresolution.com/live/ZwvRgQfTJNn8GmhwN/room-info"/>
        <s v="https://chat.brainyresolution.com/live/2rjPWWhBiQ2LyudK5/room-info"/>
        <s v="https://chat.brainyresolution.com/live/fNXmckNHagPq5LMA8/room-info"/>
        <s v="https://chat.brainyresolution.com/omnichannel-directory/chats/view/toynxpAG5WS8kcDLn/room-info"/>
        <s v="https://chat.brainyresolution.com/live/tdqAkE6RRNay882hB/room-info"/>
        <s v="https://chat.brainyresolution.com/live/9AP66FYnCtfQm8wYN/room-info"/>
        <s v="https://chat.brainyresolution.com/live/TR2pg3Fg2SWuDj2Ha/room-info"/>
        <s v="https://chat.brainyresolution.com/direct/NcmyoDSPPFwkbXMjAi2c2jSHZXRKjv2wQH"/>
        <s v="https://chat.brainyresolution.com/live/WZRRFcD538k9WGKko/room-info"/>
        <s v="https://chat.brainyresolution.com/live/yJE3KBpPFuWoK5Jqq/user-info"/>
        <s v="https://chat.brainyresolution.com/live/zg7BGnnX9biG4eXHg/room-info"/>
        <s v="https://chat.brainyresolution.com/live/gSjeKvzfTmmpKo4iE"/>
        <s v="https://chat.brainyresolution.com/live/XF24tizPDv6cjkBwy/room-info"/>
        <s v="https://chat.brainyresolution.com/live/4eTxKvQrKCaRwyxdv/user-info"/>
        <s v="https://chat.brainyresolution.com/live/wonJaXmXRfgsP7vsh/user-info"/>
        <s v="https://chat-conecta.recife.pe.gov.br/live/tc7yhyRfyPSpifvdL/room-info"/>
        <s v="https://chat-conecta.recife.pe.gov.br/live/K9x8cfu5YLXkeh6Pg/room-info"/>
        <s v="https://chat-conecta.recife.pe.gov.br/live/nJ4jdQ7qATeuSWxdh"/>
        <s v="https://chat-conecta.recife.pe.gov.br/live/XvxPADcFyL7YaArGz/user-info"/>
        <s v="https://chat-conecta.recife.pe.gov.br/omnichannel-directory/chats/view/H2DKwQFYFdr4FJSJu/room-info"/>
        <s v="https://chat-conecta.recife.pe.gov.br/live/r8GYqAr5E6vgwGWPT/room-info"/>
        <s v="https://chat-conecta.recife.pe.gov.br/live/FbCjkvxHiN6u2HXZ9"/>
        <s v="https://chat-conecta.recife.pe.gov.br/live/GExhGdmArLMGz4T4s/user-info"/>
        <s v="https://chat-conecta.recife.pe.gov.br/omnichannel-directory/chats/view/7yudWDbkYwvLd3aDM/room-info"/>
        <s v="https://chat-conecta.recife.pe.gov.br/live/vCxRg8QAX4EuT3Pzp/room-info"/>
        <s v="https://chat-conecta.recife.pe.gov.br/live/AZFq3X5YQxP6nJjR4/user-info"/>
        <s v="https://chat-conecta.recife.pe.gov.br/live/oJmefQpZ72YGkLRno/user-info"/>
        <s v="https://chat-conecta.recife.pe.gov.br/live/m7tTT344KD5QpMsFT"/>
        <s v="https://chat-conecta.recife.pe.gov.br/omnichannel-directory/chats/view/xQwY8BrgnREaYNKnH/room-info"/>
        <s v="https://chat-conecta.recife.pe.gov.br/omnichannel-directory/chats/view/DLdEmDNTaYZwdNeMq/room-info"/>
        <s v="https://chat-conecta.recife.pe.gov.br/live/NQbfS6WNadhMv7Lvi"/>
        <s v="https://chat-conecta.recife.pe.gov.br/live/FYNZ8GxosgEY7h7gr/room-info"/>
        <s v="https://chat-conecta.recife.pe.gov.br/live/ex4f6BrKHj6AMiKL6"/>
        <s v="https://chat-conecta.recife.pe.gov.br/live/oZD3tEm2dewzRYo5b/room-info"/>
        <s v="https://chat-conecta.recife.pe.gov.br/live/TfEbcpRTPmbmye8Yy/room-info"/>
        <s v="https://chat-conecta.recife.pe.gov.br/live/cpKGT2actWvgBvvby"/>
        <s v="https://chat-conecta.recife.pe.gov.br/live/Y77u9kyncEyGyLtry/user-info"/>
        <s v="https://chat-conecta.recife.pe.gov.br/live/CsjDjX9HzaXgxEpKB/user-info"/>
        <s v="https://chat-conecta.recife.pe.gov.br/omnichannel-directory/chats/view/yhBwZiHX4cGdiZMvb/room-info"/>
        <s v="https://chat-conecta.recife.pe.gov.br/omnichannel-directory/chats/view/eaPcuyrRqaprkDNxm/room-info"/>
        <s v="https://chat-conecta.recife.pe.gov.br/live/zDPkLKrhgKt7S55iC/room-info"/>
        <s v="https://chat-conecta.recife.pe.gov.br/live/x28P4PWmRojNQikS6/user-info"/>
        <s v="https://chat-conecta.recife.pe.gov.br/live/wkcmmXdmRLXWGugZb"/>
        <s v="https://chat-conecta.recife.pe.gov.br/live/finCCwKsqZPbmJ2bQ/room-info"/>
        <s v="https://chat-conecta.recife.pe.gov.br/live/2uiSoMF78jfAGTzEa/room-info"/>
        <s v="https://chat-conecta.recife.pe.gov.br/omnichannel-directory/chats/view/8eDptj7MtWfwXnktN/room-info"/>
        <s v="https://chat-conecta.recife.pe.gov.br/live/GC2A2Bx63DWyKBpPT/room-info"/>
        <s v="https://chat-conecta.recife.pe.gov.br/live/kuAHAa6sTDqf6Hjv9/user-info"/>
        <s v="https://chat-conecta.recife.pe.gov.br/live/Z5RvYzE5TqtoAFJYq/room-info"/>
        <s v="https://chat-conecta.recife.pe.gov.br/live/frntm4cDAYoff8Dq5/room-info"/>
        <s v="https://chat-conecta.recife.pe.gov.br/live/EpkudacecCCWuf57s"/>
        <s v="https://chat-conecta.recife.pe.gov.br/live/BfweEdCAe3zZDSLdw/room-info"/>
        <s v="https://chat-conecta.recife.pe.gov.br/live/8HPGWLKvp9rrRYk9j/room-info"/>
        <s v="https://chat-conecta.recife.pe.gov.br/live/5XL97kRchTiKAJgT7/room-info"/>
        <s v="https://chat-conecta.recife.pe.gov.br/live/gRA7GCfTniLJPQuxc/user-info"/>
        <s v="https://chat-conecta.recife.pe.gov.br/live/uQARBG4WKpjsLCPtj/user-info"/>
        <s v="https://chat-conecta.recife.pe.gov.br/live/rEYfbGbTCzgRRy447"/>
        <s v="https://chat-conecta.recife.pe.gov.br/live/exuY3k2bd2X29YmQE/room-info"/>
        <s v="https://chat-conecta.recife.pe.gov.br/live/2NQsqaEW9EeFvpeGm/room-info"/>
        <s v="https://chat-conecta.recife.pe.gov.br/live/8cKNa3qZTWKCPSnuE/room-info"/>
        <s v="https://chat-conecta.recife.pe.gov.br/live/ZeKBknwMJAZ4ZQEFX/room-info"/>
        <s v="https://chat-conecta.recife.pe.gov.br/live/kjRApqcgvdfwuZWHY"/>
        <s v="https://chat-conecta.recife.pe.gov.br/live/EQFM9hG6ak3RjCs7c/room-info"/>
        <s v="https://chat-conecta.recife.pe.gov.br/omnichannel-directory/chats/view/hZnXy5uvovXEvM6GZ/room-info"/>
        <s v="https://chat-conecta.recife.pe.gov.br/live/SnDn2iBGkS77jCQSs"/>
        <s v="https://chat-conecta.recife.pe.gov.br/live/j2MSBLTnhCSXXAqr7/room-info"/>
        <s v="https://chat-conecta.recife.pe.gov.br/live/X6i49KmzJFA6zm4A3#&amp;gid=1&amp;pid=3"/>
        <s v="https://chat-conecta.recife.pe.gov.br/live/JaNrq26cFqnvbdMaf"/>
        <s v="https://chat-conecta.recife.pe.gov.br/live/dbhGwsB2YHa7FriBF/room-info"/>
        <s v="https://chat-conecta.recife.pe.gov.br/live/fqEQpBr2mgCg55drN"/>
        <s v="https://chat-conecta.recife.pe.gov.br/live/Bbz3pxezvt7fXZYWY/user-info"/>
        <s v="https://chat-conecta.recife.pe.gov.br/live/zt6GAgMALLX4z52k4/room-info"/>
        <s v="https://chat-conecta.recife.pe.gov.br/live/KyHtGEvjrRqYzpeWz/room-info"/>
        <s v="https://chat-conecta.recife.pe.gov.br/live/bFCQnffiZsDhmdFGj/room-info"/>
        <s v="https://chat-conecta.recife.pe.gov.br/live/gYTpAANLe3R39vSuY"/>
        <s v="https://chat-conecta.recife.pe.gov.br/live/bMRejBNrDsw2hvai6/room-info"/>
        <s v="https://chat-conecta.recife.pe.gov.br/live/bRoahqMPdbr9wfGZd/room-info"/>
        <s v="https://chat-conecta.recife.pe.gov.br/live/NgFs7KLHbEWyhPPzC/room-info"/>
        <s v="https://chat-conecta.recife.pe.gov.br/live/gGXtaheXkC7LdoPLF/room-info"/>
        <s v="https://chat-conecta.recife.pe.gov.br/live/PcJq6nGyeyedspFzy/contact-chat-history"/>
        <s v="https://chat-conecta.recife.pe.gov.br/live/MJrTry66k7RJgrsH9"/>
        <s v="https://chat-conecta.recife.pe.gov.br/live/jHboZknEMDR8nDt4o/room-info"/>
        <s v="https://chat-conecta.recife.pe.gov.br/omnichannel-directory/chats/view/ww5FceGaQS99HtWSf/room-info"/>
        <s v="https://chat-conecta.recife.pe.gov.br/omnichannel-directory/chats/view/Q4M6jFcKDHc4NGKQn"/>
        <s v="https://chat-conecta.recife.pe.gov.br/live/AZcbFQYKnDof79GRa/room-info"/>
        <s v="https://chat-conecta.recife.pe.gov.br/live/4d6ibWsqMeHBF7dmL/room-info"/>
        <s v="https://chat-conecta.recife.pe.gov.br/live/2ABTu5i6nRFPimCFW"/>
        <s v="https://chat-conecta.recife.pe.gov.br/live/Pw9Y3YCoTXgaYDyfS"/>
        <s v="https://chat-conecta.recife.pe.gov.br/live/FtCceFRSz3tzissd4"/>
        <s v="https://chat-conecta.recife.pe.gov.br/live/z858ReWchEuGC5ErF"/>
        <s v="https://chat-conecta.recife.pe.gov.br/live/e93DRWNCn84Ar5bNe"/>
        <s v="https://chat-conecta.recife.pe.gov.br/live/WpEGYwLDi7pyekBCQ"/>
        <s v="https://chat-conecta.recife.pe.gov.br/live/mYe7Qx4Mdd3dSEWtf"/>
        <s v="https://chat-conecta.recife.pe.gov.br/live/ZYqWnovHbh6gtNrmd"/>
        <s v="https://chat-conecta.recife.pe.gov.br/live/xSo5hgWJDXWBu8BoL"/>
        <s v="https://chat-conecta.recife.pe.gov.br/live/QFHhax7kvP6esqy2k"/>
        <s v="https://chat-conecta.recife.pe.gov.br/live/rqgDAaFrCrYt5FNzk"/>
        <s v="https://chat-conecta.recife.pe.gov.br/live/dYAjoZxLRM8zhpeHG"/>
        <s v="https://chat-conecta.recife.pe.gov.br/live/yekGDJhuioPkArGPc"/>
        <s v="https://chat-conecta.recife.pe.gov.br/live/ihYGpeMSsyQJRS9Be"/>
        <s v="https://chat-conecta.recife.pe.gov.br/live/pPjjqnn2qKo9Y7RWJ"/>
        <s v="https://chat-conecta.recife.pe.gov.br/live/jFeyWCaHCNj9FEcL5/members-list"/>
        <s v="https://chat-conecta.recife.pe.gov.br/live/CjW2PfaDQcXdaLfs7/room-info"/>
        <s v="https://chat-conecta.recife.pe.gov.br/live/ts5MBWjR9HouRWeE3"/>
        <s v="https://chat-conecta.recife.pe.gov.br/live/rebZWuF8Zg7kfNcrG/room-info"/>
        <s v="https://chat-conecta.recife.pe.gov.br/omnichannel-directory/chats/view/4QfHD37tXnfrLz5o8/room-info"/>
        <s v="https://chat-conecta.recife.pe.gov.br/live/5ByRo2hakPCfn4bK6/room-info"/>
        <s v="https://chat-conecta.recife.pe.gov.br/live/uqbcWz6GvP2cBHMG4/user-info"/>
        <s v="https://chat-conecta.recife.pe.gov.br/live/aheCmggLo9Kx8b8Ej/room-info"/>
        <s v="https://chat-conecta.recife.pe.gov.br/live/c3uCrNvkmypJyWct5/members-list"/>
        <s v="https://chat-conecta.recife.pe.gov.br/live/W4yrDwfKq67FXMPTY/room-info"/>
        <s v="https://chat-conecta.recife.pe.gov.br/live/fkk5CmPyRG8cR4hnJ/room-info"/>
        <s v="https://chat-conecta.recife.pe.gov.br/omnichannel-directory/chats/view/CDEMcLLNJrpxhgYzK/room-info"/>
        <s v="https://chat-conecta.recife.pe.gov.br/live/JTLJ9FqGtBM3QeykR/user-info"/>
        <s v="https://chat-conecta.recife.pe.gov.br/live/zWtziWfM7X7uNAB5T/room-info"/>
        <s v="https://chat-conecta.recife.pe.gov.br/live/Svr8YYbXRPsnuc2kZ/room-info"/>
        <s v="https://chat-conecta.recife.pe.gov.br/live/2Mjmo7HXYgW7f89Rv/room-inf"/>
        <s v="https://chat-conecta.recife.pe.gov.br/live/yHrCkk86mDojNK4oK/room-info"/>
        <s v="https://chat-conecta.recife.pe.gov.br/live/RxZ62KH4ix3J6R2ip/room-info"/>
        <s v="https://chat-conecta.recife.pe.gov.br/live/PS6nnhHppj6GzexXv/contact-chat-history"/>
        <s v="https://chat-conecta.recife.pe.gov.br/live/RcpDGPkczT6G4ZoN2/room-info"/>
        <s v="https://chat-conecta.recife.pe.gov.br/live/WifnQdeQYhXRKPtEn/room-info"/>
        <s v="https://chat-conecta.recife.pe.gov.br/live/JBbpzqXWZFwJzjTwd/members-list"/>
        <s v="https://chat-conecta.recife.pe.gov.br/live/8E7gcehTH3G6Lp7gA/user-info"/>
        <s v="https://chat-conecta.recife.pe.gov.br/live/ouvbQ6upgcmS3KY3K"/>
        <s v="https://chat-conecta.recife.pe.gov.br/live/C5yodAGnzKxDLLKok/room-info"/>
        <s v="https://chat-conecta.recife.pe.gov.br/live/gw3DmAa8vvBQg5byY/room-info"/>
        <s v="https://chat-conecta.recife.pe.gov.br/live/nYxiP8e64mwc4yqWR/room-info"/>
        <s v="https://chat-conecta.recife.pe.gov.br/live/PzAMA5NpTBCFQqyGd"/>
        <s v="https://chat-conecta.recife.pe.gov.br/live/pXjaTQk8of24D556Z"/>
        <s v="https://chat-conecta.recife.pe.gov.br/live/psEWX6uPybPGmShHw/user-info"/>
        <s v="https://chat-conecta.recife.pe.gov.br/live/nkiWYsgrf4a6s3unA"/>
        <s v="https://chat-conecta.recife.pe.gov.br/live/tmDhrTaSHvDzx7NKM/members-list"/>
        <s v="https://chat-conecta.recife.pe.gov.br/live/bu6MtwcioADXp2wCh"/>
        <s v="https://chat-conecta.recife.pe.gov.br/live/Xgw3dkbdfwu8KZBQk/room-info"/>
        <s v="https://chat-conecta.recife.pe.gov.br/live/Cf2w3YAScmrEJcggJ#&amp;gid=1&amp;pid=5"/>
        <s v="https://chat-conecta.recife.pe.gov.br/live/DTg8k4WDhqW4XwrMp/room-info"/>
        <s v="https://chat-conecta.recife.pe.gov.br/live/FJG3JspZgcy6TGkEm"/>
        <s v="https://chat-conecta.recife.pe.gov.br/live/egvzzP283RvEfgG32"/>
        <s v="https://chat-conecta.recife.pe.gov.br/live/26Ben5qB8xdYiA8RX"/>
        <s v="https://chat-conecta.recife.pe.gov.br/live/jQ7FLCcjqRWpYYQNM/members-list"/>
        <s v="https://chat-conecta.recife.pe.gov.br/live/reEuZnpvzMBZkJDfN/room-info"/>
        <s v="https://chat-conecta.recife.pe.gov.br/live/ngoFinHDN8kSCBuYR/room-info"/>
        <s v="https://chat-conecta.recife.pe.gov.br/live/XN4BE566Ctz8HBFuT/room-info#&amp;gid=1&amp;pid=4"/>
        <s v="https://chat-conecta.recife.pe.gov.br/live/FqD6ho6JG6uyeatvy"/>
        <s v="https://chat-conecta.recife.pe.gov.br/live/Ji9BGftkSTxW3jYmP/room-info"/>
        <s v="https://chat-conecta.recife.pe.gov.br/live/f4qAQYMYfvWsLvGEs/room-info#&amp;gid=1&amp;pid=7"/>
        <s v="https://chat-conecta.recife.pe.gov.br/live/HJn5SNbbmmxqAxWWL/contact-chat-history"/>
        <s v="https://chat-conecta.recife.pe.gov.br/live/uJX7r34WhoQwcvWWc"/>
        <s v="https://chat-conecta.recife.pe.gov.br/live/C7CnTzrkHXPgYokmZ"/>
        <s v="https://chat-conecta.recife.pe.gov.br/live/XQsfZQumE42ZtL78W/user-info"/>
        <s v="https://chat-conecta.recife.pe.gov.br/live/mKErvR6p2CdyNNP4z"/>
        <s v="https://chat-conecta.recife.pe.gov.br/live/dHF8NTjG5PwRXhjz9"/>
        <s v="https://chat-conecta.recife.pe.gov.br/live/s7SGNTMBTKYKzroSR/room-info"/>
        <s v="https://chat-conecta.recife.pe.gov.br/live/qAWzX3kxtRNv3y3Ah/room-info"/>
        <s v="https://chat-conecta.recife.pe.gov.br/live/JCL7MfqdBHzotCRfT"/>
        <s v="https://chat-conecta.recife.pe.gov.br/live/6M4dZyi3zNRp293Ny"/>
        <s v="https://chat-conecta.recife.pe.gov.br/live/5xNcAwudCi6ufEF8F"/>
        <s v="https://chat-conecta.recife.pe.gov.br/live/4d6h8L9qL6WB6Ngfo"/>
        <s v="https://chat-conecta.recife.pe.gov.br/live/R38MCTwrzu3CT499M/room-info"/>
        <s v="https://chat-conecta.recife.pe.gov.br/live/d9hdoq8cnvWfckEZb"/>
        <s v="https://chat-conecta.recife.pe.gov.br/live/MyYpWGeZCzNqPRCDT"/>
        <s v="https://chat-conecta.recife.pe.gov.br/live/ajDiNA5DvmXzeWyTw"/>
        <s v="https://chat-conecta.recife.pe.gov.br/live/zrAmbggNHgzxPbvjp/room-info"/>
        <s v="https://chat-conecta.recife.pe.gov.br/live/KTdp7TJzfqp83g8rk"/>
        <s v="https://chat-conecta.recife.pe.gov.br/live/5sZJex4zqaHvyTXRr/room-info"/>
        <s v="https://chat-conecta.recife.pe.gov.br/live/y44RafAdptzXoA6sc/room-info"/>
        <s v="https://chat-conecta.recife.pe.gov.br/live/K87C63G57tBP9Pura"/>
        <s v="https://chat-conecta.recife.pe.gov.br/live/qgu6xKK6DLc2ZXEKc/room-info"/>
        <s v="https://chat-conecta.recife.pe.gov.br/live/FsrKrBH3FMueHdbGe"/>
        <s v="https://chat-conecta.recife.pe.gov.br/live/tRXLLw35arhbfy6f8"/>
        <s v="https://chat-conecta.recife.pe.gov.br/live/7Bj2BMaF3pomKH3c8/room-info"/>
        <s v="https://chat-conecta.recife.pe.gov.br/live/8eAqqFcqkD8EfKvr6"/>
        <s v="https://chat-conecta.recife.pe.gov.br/live/fD4keojixPDeemMak"/>
        <s v="https://chat-conecta.recife.pe.gov.br/live/ALRaCiMckCoRSHpfz"/>
        <s v="https://chat-conecta.recife.pe.gov.br/live/73aeAxSh4433vx5nT"/>
        <s v="https://chat-conecta.recife.pe.gov.br/live/9GpLwM6PoGuB5zxwj/room-info"/>
        <s v="https://chat-conecta.recife.pe.gov.br/live/wLHgaQtZvBHJaKjaP/user-info"/>
        <s v="https://chat-conecta.recife.pe.gov.br/live/3FyCo8kFLnLuuvLo9/members-list"/>
        <s v="https://chat-conecta.recife.pe.gov.br/live/86B4Pxcodyjo9Xuza/room-info"/>
        <s v="https://chat-conecta.recife.pe.gov.br/live/H9SjNJJDYWiCmcYzP"/>
        <s v="https://chat-conecta.recife.pe.gov.br/live/ykcb3iTQiRcH5i6z6"/>
        <s v="https://chat-conecta.recife.pe.gov.br/live/CJGyKfZaJq3DkNh22"/>
        <s v="https://chat-conecta.recife.pe.gov.br/live/KhtZvPxw9BWSzqiX9/room-info"/>
        <s v="https://chat-conecta.recife.pe.gov.br/live/QigL6yYCPhvLaNctk/room-info"/>
        <s v="https://chat-conecta.recife.pe.gov.br/live/GJ6ojea7Fn6faTMRL/room-info"/>
        <s v="https://chat-conecta.recife.pe.gov.br/live/JYmwwNSpWRtxcSpFq"/>
        <s v="https://chat-conecta.recife.pe.gov.br/live/tPZsX7YyXz3FHkHPt"/>
        <s v="https://chat-conecta.recife.pe.gov.br/live/f9RnuSPKJryNLocDn/room-info"/>
        <s v="https://chat-conecta.recife.pe.gov.br/live/2G8m5NqkHEg9CARs2"/>
        <s v="https://chat-conecta.recife.pe.gov.br/live/hFNFA9S3J63kzmvTx"/>
        <s v="https://chat-conecta.recife.pe.gov.br/live/k6idPn29ShxrhceJE"/>
        <s v="https://chat-conecta.recife.pe.gov.br/live/QKpizpY9bFdFvWhsC"/>
        <s v="https://chat-conecta.recife.pe.gov.br/live/4sK8cgSQo28JKXvj5"/>
        <s v="https://chat-conecta.recife.pe.gov.br/live/MeqRAbzJ8zLfgBQyQ"/>
        <s v="https://chat-conecta.recife.pe.gov.br/live/cRsSquWYNKLkeHvPb"/>
        <s v="https://chat-conecta.recife.pe.gov.br/live/GYC3QR6iYn8e6GEM2/room-info"/>
        <s v="https://chat-conecta.recife.pe.gov.br/live/QJB57eeau4nDJQ4D6"/>
        <s v="https://chat-conecta.recife.pe.gov.br/live/5oYySd2tB7vu7SBz2"/>
        <s v="https://chat-conecta.recife.pe.gov.br/live/WQBx7HhJJ8xWEeY7G"/>
        <s v="https://chat-conecta.recife.pe.gov.br/live/nLu6osSqEuMqN4ogZ"/>
        <s v="https://chat-conecta.recife.pe.gov.br/live/RnRsSvwLepg5xQYMK/user-info"/>
        <s v="https://chat-conecta.recife.pe.gov.br/live/J6CnHwNK2TYn4CoxG"/>
        <s v="https://chat-conecta.recife.pe.gov.br/live/jiALQqAWX2ut6Kf87"/>
        <s v="https://chat-conecta.recife.pe.gov.br/live/3dDmB5LEPoZwvzfyC"/>
        <s v="https://chat-conecta.recife.pe.gov.br/live/wjknzXc5SdJJ8p9pF/user-info"/>
        <s v="https://chat-conecta.recife.pe.gov.br/live/C4ovtkGsaDefWx6Q3"/>
        <s v="https://chat-conecta.recife.pe.gov.br/live/MDMX4sBnk4BuytErv/user-info"/>
        <s v="https://chat-conecta.recife.pe.gov.br/live/tX3KMbRzZvHb44gWG"/>
        <s v="https://chat-conecta.recife.pe.gov.br/live/cZ5afA9aswQQHGHGL/user-info"/>
        <s v="https://chat-conecta.recife.pe.gov.br/live/4YJXiE6tWzbXsPnmN"/>
        <s v="https://chat-conecta.recife.pe.gov.br/live/hv8ozhsrCefAYf224"/>
        <s v="https://chat-conecta.recife.pe.gov.br/live/AiZtk26aQmuGTfyCM/user-info"/>
        <s v="https://chat-conecta.recife.pe.gov.br/live/EN6zx9cmkDyEZwyXq"/>
        <s v="https://chat-conecta.recife.pe.gov.br/live/RMRKdc4C5BsLFd9XA/user-info"/>
        <s v="https://chat-conecta.recife.pe.gov.br/live/WZZJ47igGCEqbmrMx"/>
        <s v="https://chat-conecta.recife.pe.gov.br/live/793BsmqTmLxvhLdDB"/>
        <s v="https://chat-conecta.recife.pe.gov.br/live/MLkrhpE2mo3Zf6qAY"/>
        <s v="https://chat-conecta.recife.pe.gov.br/live/T2DzJZDb5uzmiSFC3"/>
        <s v="https://chat-conecta.recife.pe.gov.br/live/wBZWCZRSTSpsGfPbo/user-info"/>
        <s v="https://chat-conecta.recife.pe.gov.br/live/pfG85bswFWC6Xfu2B/room-info"/>
        <s v="https://chat-conecta.recife.pe.gov.br/live/R2vmaEuesnimaSx5P"/>
        <s v="https://chat-conecta.recife.pe.gov.br/live/cjb5cZm3iZaDFNnWc/user-info"/>
        <s v="https://chat-conecta.recife.pe.gov.br/live/aKoMMN3SX3cENnqus"/>
        <s v="https://chat-conecta.recife.pe.gov.br/live/7hbCfBbtKAiNoN9KZ"/>
        <s v="https://chat-conecta.recife.pe.gov.br/live/fcumqhPDfBKyBKQvP/room-info"/>
        <s v="https://chat-conecta.recife.pe.gov.br/live/d3KsZeJWmPzj8y3rt/user-info"/>
        <s v="https://chat-conecta.recife.pe.gov.br/live/4XJ3zuEtFogaaGhyY/room-info"/>
        <s v="https://chat-conecta.recife.pe.gov.br/live/qBs9n2Qjv72FBxKDm"/>
        <s v="https://chat-conecta.recife.pe.gov.br/omnichannel-directory/chats/view/8SNs3dsnLs8wrRHQn"/>
        <s v="https://chat-conecta.recife.pe.gov.br/live/pLyELzcJPqGReDKHZ/user-info"/>
        <s v="https://chat-conecta.recife.pe.gov.br/live/5z8xo8AeQhuMfiGwm/user-info"/>
        <s v="https://chat-conecta.recife.pe.gov.br/live/ubGQFaxwmhxKcQM4J/room-info"/>
        <s v="https://chat-conecta.recife.pe.gov.br/live/q9Bm9QzPFraHXDxkZ/members-list"/>
        <s v="https://chat-conecta.recife.pe.gov.br/live/xRxPMbf6opH5XELwc"/>
        <s v="https://chat-conecta.recife.pe.gov.br/live/HvFduHPF7oB5RSXLu"/>
        <s v="https://chat-conecta.recife.pe.gov.br/live/Pnsb2TosFh7RxtDcN"/>
        <s v="https://chat-conecta.recife.pe.gov.br/live/mJfGf5cPBf3FCbWfa/room-info"/>
        <s v="https://chat-conecta.recife.pe.gov.br/live/p7agoBdgGSNWDgext"/>
        <s v="https://chat-conecta.recife.pe.gov.br/live/N48iPCZ2xcbsycWB3/room-info"/>
        <s v="https://chat-conecta.recife.pe.gov.br/live/s6o4KCSvKSMnH9gWS/user-info"/>
        <s v="https://chat-conecta.recife.pe.gov.br/live/wvcBuPawFZnmkeiKz/room-info"/>
        <s v="https://chat-conecta.recife.pe.gov.br/omnichannel-directory/chats/view/mGXJWwKQJv4M46wjq/room-info"/>
        <s v="https://chat-conecta.recife.pe.gov.br/live/FEbFqzuu6snQNTkSE/room-info"/>
        <s v="https://chat-conecta.recife.pe.gov.br/live/qoSNQuAyu65dzfS6D/room-info"/>
        <s v="https://chat-conecta.recife.pe.gov.br/live/DxajKj5irifgwCyDs/room-info"/>
        <s v="https://chat-conecta.recife.pe.gov.br/live/rzRrKzgEYfT3saxCJ/user-info"/>
        <s v="https://chat-conecta.recife.pe.gov.br/live/hisCgH4aPCMvvTMN2/room-info"/>
        <s v="https://chat-conecta.recife.pe.gov.br/live/XdetrSSMRryzADLzP/room-info"/>
        <s v="https://chat-conecta.recife.pe.gov.br/live/pvvshwnvAfuj2gsMe/user-info"/>
        <s v="https://chat-conecta.recife.pe.gov.br/live/pHvTLiY3YJBPZSEeT"/>
        <s v="https://chat-conecta.recife.pe.gov.br/live/kzhpu6ExXb8yjWWxs"/>
        <s v="https://chat-conecta.recife.pe.gov.br/live/jNfmWqDWsLwmqP8io/room-info"/>
        <s v="https://chat-conecta.recife.pe.gov.br/live/L643Fb93Kij2kX5Eb/user-info"/>
        <s v="https://chat-conecta.recife.pe.gov.br/live/GpaYYmnupDTZznWcG"/>
        <s v="https://chat-conecta.recife.pe.gov.br/live/BuCz7Xed8HLuMgr7H/room-info"/>
        <s v="https://chat-conecta.recife.pe.gov.br/live/fsP6CrxEu5mJ3rrMv"/>
        <s v="https://chat-conecta.recife.pe.gov.br/live/ZurN4hzh97k2fxL4m/user-info"/>
        <s v="https://chat-conecta.recife.pe.gov.br/live/5B93yNxNMkzdLt5Y4"/>
        <s v="https://chat-conecta.recife.pe.gov.br/live/5g9hf3Btciz6RKSro"/>
        <s v="https://chat-conecta.recife.pe.gov.br/live/m9eH8esjhZzgB2Dyt"/>
        <s v="https://chat-conecta.recife.pe.gov.br/live/X4XheMmbxzud2SvZJ"/>
        <s v="https://chat-conecta.recife.pe.gov.br/live/77GHgzgMdRFbPvHiq#&amp;gid=1&amp;pid=3"/>
        <s v="https://chat-conecta.recife.pe.gov.br/live/Cpkxo5qFB8QkFMK4P/user-info"/>
        <s v="https://chat-conecta.recife.pe.gov.br/live/qpLDn9EKzdv5uqGoZ/room-info"/>
        <s v="https://chat-conecta.recife.pe.gov.br/live/YGzKJaSWehkx9uWpj/room-info"/>
        <s v="https://chat-conecta.recife.pe.gov.br/live/bEpTmdRdsGuNJJfEd/room-info"/>
        <s v="https://chat-conecta.recife.pe.gov.br/live/ucLzv2vDnYWrQrLLw/room-info"/>
        <s v="https://chat-conecta.recife.pe.gov.br/omnichannel-directory/chats/view/T8gESdjdNeD4KHbkE"/>
        <s v="https://chat-conecta.recife.pe.gov.br/live/LnNf2jJC4eWqdJCbi/members-list"/>
        <s v="https://chat-conecta.recife.pe.gov.br/live/R6ZChdpQzG4ewFYAB/room-info"/>
        <s v="https://chat-conecta.recife.pe.gov.br/live/hKkTX5kstAmHXbS5p/room-info"/>
        <s v="https://chat-conecta.recife.pe.gov.br/live/uJKDTh2hsrvjJNiwZ/room-info"/>
        <s v="https://chat-conecta.recife.pe.gov.br/live/eQbtZZhzkLJELB5mC"/>
        <s v="https://chat-conecta.recife.pe.gov.br/live/EThC4wQChFHJycp4Y/user-info"/>
        <s v="https://chat-conecta.recife.pe.gov.br/live/KKwY6tjiRf7nXo4Lm/user-info"/>
        <s v="https://chat-conecta.recife.pe.gov.br/live/EWYeSfFGgaW4f9Qgm"/>
        <s v="https://chat-conecta.recife.pe.gov.br/live/nTZCvJWe3BNEYYmBu"/>
        <s v="https://chat-conecta.recife.pe.gov.br/live/nwx4J5XacJQDZL8h9"/>
        <s v="https://chat-conecta.recife.pe.gov.br/live/hEuxna8bHfKjWDk6p/room-info"/>
        <s v="https://chat-conecta.recife.pe.gov.br/live/tNhKPRpuicHkeJ46S/room-info"/>
        <s v="https://chat-conecta.recife.pe.gov.br/live/9sD9mrSx9ZgkwWnG4"/>
        <s v="https://chat-conecta.recife.pe.gov.br/live/5WS5qjTe5WecM8rez/user-info"/>
        <s v="https://chat-conecta.recife.pe.gov.br/live/TMRnqErcwEsjsGDMv"/>
        <s v="https://chat-conecta.recife.pe.gov.br/live/wyxToaeYRS4RDSseP/user-info"/>
        <s v="https://chat-conecta.recife.pe.gov.br/live/h3ggcuHQz2AHchky5"/>
        <s v="https://chat-conecta.recife.pe.gov.br/live/WL7wiYM5ft"/>
        <s v="https://chat-conecta.recife.pe.gov.br/live/WywfPYywXSZmq7Bha"/>
        <s v="https://chat-conecta.recife.pe.gov.br/live/TABf6vNCQKJQij4C5"/>
        <s v="https://chat-conecta.recife.pe.gov.br/live/9pEbyuxrv7vfAB9JC/user-info"/>
        <s v="https://chat-conecta.recife.pe.gov.br/live/E9MnafrXRHXgwhQg9"/>
        <s v="https://chat-conecta.recife.pe.gov.br/live/HgtZ6fTkGDkMyraJ4#&amp;gid=1&amp;pid=4"/>
        <s v="https://chat-conecta.recife.pe.gov.br/live/miifKxkgztCgdgBc6"/>
        <s v="https://chat-conecta.recife.pe.gov.br/live/qF2xWyZQTwvikZqum/room-info"/>
        <s v="https://chat-conecta.recife.pe.gov.br/live/TfxzphDR2C948mnk8"/>
        <s v="https://chat-conecta.recife.pe.gov.br/live/K3bY7GwqA2YG2etio/user-info"/>
        <s v="https://chat-conecta.recife.pe.gov.br/live/4Wd5hihZNxJL3fZzT"/>
        <s v="https://chat-conecta.recife.pe.gov.br/live/u84QCyJBEQHWaSqsc"/>
        <s v="https://chat-conecta.recife.pe.gov.br/live/u2RNWNjg4S49vLrnP/user-info"/>
        <s v="https://chat-conecta.recife.pe.gov.br/live/34jDtqtrDAiBv3bCM"/>
        <s v="https://chat-conecta.recife.pe.gov.br/live/3vnpKaTnjrd6vsdJe/user-info"/>
        <s v="https://chat-conecta.recife.pe.gov.br/live/R9ffWzkfZpvvQq7p6/user-info"/>
        <s v="https://chat-conecta.recife.pe.gov.br/live/nbE6NYQuxEkwsfDBP/user-info"/>
        <s v="https://chat-conecta.recife.pe.gov.br/live/cQLvW7NwNeFRZdSK7/user-info"/>
        <s v="https://chat-conecta.recife.pe.gov.br/live/jgSGX9bpP7RpC8GBR"/>
        <s v="https://chat-conecta.recife.pe.gov.br/live/ybSxw6NBZFzhFpaPm/room-info"/>
        <s v="https://chat-conecta.recife.pe.gov.br/omnichannel-directory/chats/view/ShD3RJjwiGo2pocKu/room-info"/>
        <s v="https://chat-conecta.recife.pe.gov.br/live/SaQ9gY92RWAhxRd7n/user-info"/>
        <s v="https://chat-conecta.recife.pe.gov.br/live/9ym8LveJLBfvE3qYR/user-info"/>
        <s v="https://chat-conecta.recife.pe.gov.br/live/kgtD9X4m7A8v9QjpS"/>
        <s v="https://chat-conecta.recife.pe.gov.br/live/tbpKedXxbo5W8AFha/members-list"/>
        <s v="https://chat-conecta.recife.pe.gov.br/omnichannel-directory/chats/view/AxBQfb53bMLDaJDTZ/room-info"/>
        <s v="https://chat-conecta.recife.pe.gov.br/live/MRJjCwZTsTddX2hCJ/user-info"/>
        <s v="https://chat-conecta.recife.pe.gov.br/live/4f8XjkgJ3fpFc6h6e/room-info"/>
        <s v="https://chat-conecta.recife.pe.gov.br/live/3cN2HBJf7TATwtF83/room-info"/>
        <s v="https://chat-conecta.recife.pe.gov.br/live/dxTnpesE2DueBRyTT/members-list"/>
        <s v="https://chat-conecta.recife.pe.gov.br/live/zL9CDX4TmiGL7RZa8"/>
        <s v="https://chat-conecta.recife.pe.gov.br/live/x7D7yzm6tGatdjy8n/room-info"/>
        <s v="https://chat-conecta.recife.pe.gov.br/omnichannel-directory/chats/view/RNkN2GdyEpNmGTEqj/room-info"/>
        <s v="https://chat-conecta.recife.pe.gov.br/direct/9DDXcgmpmFt3JMM58TQcuSEArNi4YqW2MZ"/>
        <s v="https://chat-conecta.recife.pe.gov.br/live/dSX7enYC9jgK6j7cq"/>
        <s v="https://chat-conecta.recife.pe.gov.br/live/7ik7WiwjkTdC2BS6X"/>
        <s v="https://chat-conecta.recife.pe.gov.br/live/AJ49EijrDZX5G2DFC"/>
        <s v="https://chat-conecta.recife.pe.gov.br/live/2XeuA4jDKvc2NSikT/room-info"/>
        <s v="https://chat-conecta.recife.pe.gov.br/live/vJtYN95y7h3GwYCtj/user-info"/>
        <s v="https://chat-conecta.recife.pe.gov.br/live/Nuownrgf5oF776qiZ"/>
        <s v="https://chat-conecta.recife.pe.gov.br/live/mekEqDjc6wbnzdj7k/user-info#&amp;gid=1&amp;pid=4"/>
        <s v="https://chat-conecta.recife.pe.gov.br/live/6n9ftZLqquKcpbQu9/user-info"/>
        <s v="https://chat-conecta.recife.pe.gov.br/omnichannel-directory/chats/view/HjP4rCbhZvBEGFrSC"/>
        <s v="https://chat-conecta.recife.pe.gov.br/live/D5WjvZume8NsboLoa/user-info"/>
        <s v="https://chat-conecta.recife.pe.gov.br/live/nAhSynitkBekefoAq/user-info"/>
        <s v="https://chat-conecta.recife.pe.gov.br/live/EaKQZtuifFYMa8QDg/user-info"/>
        <s v="https://chat-conecta.recife.pe.gov.br/live/uFtpWgcC3QiGaaZ3h"/>
        <s v="https://chat-conecta.recife.pe.gov.br/live/XewiedrmYo3NKhRBF"/>
        <s v="https://chat-conecta.recife.pe.gov.br/live/4e7pWqi78u36zfWMf/user-info#&amp;gid=1&amp;pid=4"/>
        <s v="https://chat-conecta.recife.pe.gov.br/live/uw3NHHSnpKsJ7S7Ps/user-info"/>
        <s v="https://chat-conecta.recife.pe.gov.br/live/zyzDnbev5qiQ6NkaK"/>
        <s v="https://chat-conecta.recife.pe.gov.br/omnichannel-directory/chats/view/iJgJQFXgXWF5vBCD5"/>
        <s v="https://chat-conecta.recife.pe.gov.br/live/DuaSxpoc2PTCTf95k/room-info"/>
        <s v="https://chat-conecta.recife.pe.gov.br/live/SCwZB43bs3vzy5gTf/room-info"/>
        <s v="https://chat-conecta.recife.pe.gov.br/live/oHZJjZvruALqsntDg"/>
        <s v="https://chat-conecta.recife.pe.gov.br/live/KEGnCFoh2ujrzkwfT"/>
        <s v="https://chat-conecta.recife.pe.gov.br/live/hftbkgDbwpg6GaSzi/user-info"/>
        <s v="https://chat-conecta.recife.pe.gov.br/live/CxmEHvLrRAmj2Kgzk/user-info"/>
        <s v="https://chat-conecta.recife.pe.gov.br/live/eHcsJ6ig4jmhfts34"/>
        <s v="https://chat-conecta.recife.pe.gov.br/omnichannel-directory/chats/view/6WDXR7o8x8mfv2o4Q"/>
        <s v="https://chat-conecta.recife.pe.gov.br/live/WxHKLMNdCnL68dSpt/room-info"/>
        <s v="https://chat-conecta.recife.pe.gov.br/live/3xiPPRLE3gx8Yv53w"/>
        <s v="https://chat-conecta.recife.pe.gov.br/live/H6q3nfX9MWhywQM4f/user-info"/>
        <s v="https://chat-conecta.recife.pe.gov.br/direct/9DDXcgmpmFt3JMM58NcmyoDSPPFwkbXMjA"/>
        <s v="https://chat-conecta.recife.pe.gov.br/live/aZhxETHA4qdwDmdop/user-info"/>
        <s v="https://chat-conecta.recife.pe.gov.br/live/SAt5rm4fgfKbZkhkL"/>
        <s v="https://chat-conecta.recife.pe.gov.br/live/hqESioDsgkC7tG4dd/room-info"/>
        <s v="https://chat-conecta.recife.pe.gov.br/live/bf5LQHyprZ2cTZySX"/>
        <s v="https://chat-conecta.recife.pe.gov.br/omnichannel-directory/chats/view/5WhmNNhw275RxACZs/room-info"/>
        <s v="https://chat-conecta.recife.pe.gov.br/live/jtjSmJHNP5kvBXqFC/room-info"/>
        <s v="https://chat-conecta.recife.pe.gov.br/live/bT23zKeSWL4CxpKjb/room-info"/>
        <s v="https://chat-conecta.recife.pe.gov.br/live/J4C3kmHHkZCzY2suq/room-info"/>
        <s v="https://chat-conecta.recife.pe.gov.br/live/MdHoASDQqS5nDcDgq"/>
        <s v="https://chat-conecta.recife.pe.gov.br/live/7oxQJtA8bZxHM5pTY/members-list"/>
        <s v="https://chat-conecta.recife.pe.gov.br/live/jfYRaadEZyExva5di/room-info"/>
        <s v="https://chat-conecta.recife.pe.gov.br/live/SZ7bLje7RiY2q4bBi/room-info"/>
        <s v="https://chat-conecta.recife.pe.gov.br/live/CKEQ67Y4RKTNttNzq"/>
        <s v="https://chat-conecta.recife.pe.gov.br/live/evDroRMP7ADwt4iMn"/>
        <s v="https://chat-conecta.recife.pe.gov.br/live/PXsxvdmW6PyCdjzcn"/>
        <s v="https://chat-conecta.recife.pe.gov.br/live/Rp2uAtgqWRdLfoyGk/room-info"/>
        <s v="https://chat-conecta.recife.pe.gov.br/live/jLATi78fRSpFX4s7W"/>
        <s v="https://chat-conecta.recife.pe.gov.br/live/2Hwdrk5nZhyAcHr3j"/>
        <s v="https://chat-conecta.recife.pe.gov.br/live/ytbQNpFFpfAjec9TY/members-list"/>
        <s v="https://chat-conecta.recife.pe.gov.br/live/KWRrFujNCZRsLaCFC"/>
        <s v="https://chat-conecta.recife.pe.gov.br/live/6XPQQHbRCfs4Rq3aZ"/>
        <s v="https://chat-conecta.recife.pe.gov.br/live/dTQ3qE7oukKNpo72D"/>
        <s v="https://chat-conecta.recife.pe.gov.br/omnichannel-directory/chats/view/HtkoLhL5nfdrMvdKJ/room-info"/>
        <s v="https://chat-conecta.recife.pe.gov.br/live/zGe8KhrzFAbn2EjxR/room-info"/>
        <s v="https://chat-conecta.recife.pe.gov.br/live/heYXCgpSowCDsTQD2/room-info"/>
        <s v="https://chat-conecta.recife.pe.gov.br/live/evTiafidrQAAFpHms"/>
        <s v="https://chat-conecta.recife.pe.gov.br/live/RmWckvWoYF8A3wp59"/>
        <s v="https://chat-conecta.recife.pe.gov.br/live/wqmFQN84wTQsAeiaF/room-info"/>
        <s v="https://chat-conecta.recife.pe.gov.br/live/uxqtezwCGC37f4ju3/user-info"/>
        <s v="https://chat-conecta.recife.pe.gov.br/live/GYq2nZoGxHaNNfabY/room-info"/>
        <s v="https://chat-conecta.recife.pe.gov.br/live/npiPb4KkctNMfYHr7/room-info"/>
        <s v="https://chat-conecta.recife.pe.gov.br/omnichannel-directory/chats/view/qsEwSyN3Xi4F5BNfk#&amp;gid=1&amp;pid=1"/>
        <s v="https://chat-conecta.recife.pe.gov.br/live/PtFArmYXsqJDAxpEu"/>
        <s v="https://chat-conecta.recife.pe.gov.br/live/NjQyPJfX33Fox9MF5/members-list"/>
        <s v="https://chat-conecta.recife.pe.gov.br/live/AHdLbJKSsWKkznkEf/user-info"/>
        <s v="https://chat-conecta.recife.pe.gov.br/live/dtYC7zpeR7jvcxs5s"/>
        <s v="https://chat-conecta.recife.pe.gov.br/live/NWy8fvQ3RKnEt4oNH#&amp;gid=1&amp;pid=9"/>
        <s v="https://chat-conecta.recife.pe.gov.br/live/CsbhzhYgS3G9h5MGC/room-info"/>
        <s v="https://chat-conecta.recife.pe.gov.br/live/HeNbNXRRQAsjeYdNu/members-list"/>
        <s v="https://chat-conecta.recife.pe.gov.br/live/nREB6dRLKiM4zrHjr/room-info"/>
        <s v="https://chat-conecta.recife.pe.gov.br/live/9x2Zj6bi7Pp7EDHSe"/>
        <s v="https://chat-conecta.recife.pe.gov.br/live/NHLvgyBvFhw5tJwsT#&amp;gid=1&amp;pid=1"/>
        <s v="https://chat-conecta.recife.pe.gov.br/live/73fhEmNukJSdeSAps/room-info"/>
        <s v="https://chat-conecta.recife.pe.gov.br/live/5JfR9KNn6cHHtHty3"/>
        <s v="https://chat-conecta.recife.pe.gov.br/omnichannel-directory/chats/view/FnBLQrGGAPBSRo9hZ/room-info"/>
        <s v="https://chat-conecta.recife.pe.gov.br/live/JigFnCfTnGBGKj7Pr/room-info"/>
        <s v="https://chat-conecta.recife.pe.gov.br/live/dfx8bq8MZDHthAhhy"/>
        <s v="https://chat-conecta.recife.pe.gov.br/live/ckE7dHvTTmZLwqrZF"/>
        <s v="https://chat-conecta.recife.pe.gov.br/live/5WBawtTGCAM2PuE2Z/user-info"/>
        <s v="https://chat-conecta.recife.pe.gov.br/live/pMrmBfeH7he9QtY9v/user-info"/>
        <s v="https://chat-conecta.recife.pe.gov.br/live/SLpgNM8Qaa7Szv269"/>
        <s v="https://chat-conecta.recife.pe.gov.br/live/D4gxswpCPMrwehrgc/members-list"/>
        <s v="https://chat-conecta.recife.pe.gov.br/live/w6ZaKPeYQD6u7tknT"/>
        <s v="https://chat-conecta.recife.pe.gov.br/live/YDC56o6orpYBudab7"/>
        <s v="https://chat-conecta.recife.pe.gov.br/live/DqyYkTKvssfjKzYt6"/>
        <s v="https://chat-conecta.recife.pe.gov.br/live/gpbx3fK755rmnQvNo/user-info"/>
        <s v="https://chat-conecta.recife.pe.gov.br/live/Zfew6L6nAsNicsWZK"/>
        <s v="https://chat-conecta.recife.pe.gov.br/live/PiNBwe6v3WheJ7a4p"/>
        <s v="https://chat-conecta.recife.pe.gov.br/live/X7xa5JLL2T5DE9KRp"/>
        <s v="https://chat-conecta.recife.pe.gov.br/live/Z9zKiTZ7gZRiEqjZ7/members-list"/>
        <s v="https://chat-conecta.recife.pe.gov.br/live/8K7mM5Ku2TrH69X23"/>
        <s v="https://chat-conecta.recife.pe.gov.br/live/XPCkqvFBtwPBJwfwR"/>
        <s v="https://chat-conecta.recife.pe.gov.br/live/Lpnh4LDx5dimZk99F"/>
        <s v="https://chat-conecta.recife.pe.gov.br/live/B3mNBycZyHFa9r6py"/>
        <s v="https://chat-conecta.recife.pe.gov.br/live/dwRWD6srjTzWsD9Cz"/>
        <s v="https://chat-conecta.recife.pe.gov.br/live/LtcfxNSaFj2cSBW9H"/>
        <s v="https://chat-conecta.recife.pe.gov.br/live/SFxdwa79sJ8py2cPc"/>
        <s v="https://chat-conecta.recife.pe.gov.br/live/jABwMLkvnRFDbFFTG/user-info"/>
        <s v="https://chat-conecta.recife.pe.gov.br/live/4o7BYXMBosKBBrqBv"/>
        <s v="https://chat-conecta.recife.pe.gov.br/live/K82TjozBXLwFcdeP7/user-info"/>
        <s v="https://chat-conecta.recife.pe.gov.br/live/gM73uqmL2T5CNvawe"/>
        <s v="https://chat-conecta.recife.pe.gov.br/live/P7x4nyBLpRG7Lrsvf"/>
        <s v="https://chat-conecta.recife.pe.gov.br/live/QNdahEsWgXtW8wyni/uploaded-files-list"/>
        <s v="https://chat-conecta.recife.pe.gov.br/live/b57vCox8kXS8mE6Bp/room-info"/>
        <s v="https://chat-conecta.recife.pe.gov.br/live/9AeaRH9NC6zTGwnxs/user-info"/>
        <s v="https://chat-conecta.recife.pe.gov.br/live/RYqP6JcixphEtMmtK"/>
        <s v="https://chat-conecta.recife.pe.gov.br/live/vMrygR4Sroq57B634/user-info"/>
        <s v="https://chat-conecta.recife.pe.gov.br/live/QjjSbvJE2AwxhNEXz/user-info"/>
        <s v="https://chat-conecta.recife.pe.gov.br/live/qiHi6PS2gE8jozMfQ"/>
        <s v="https://chat-conecta.recife.pe.gov.br/live/fiX4FnZoyN5ubW7m3/room-info"/>
        <s v="https://chat-conecta.recife.pe.gov.br/live/uYDghbmpAWJpj7vWG/room-info"/>
        <s v="https://chat-conecta.recife.pe.gov.br/live/dTKbwuTrwPZwkyQNr"/>
        <s v="https://chat-conecta.recife.pe.gov.br/omnichannel-directory/chats/view/nJS8tA8f6pNgMWw7f"/>
        <s v="https://chat-conecta.recife.pe.gov.br/live/KstsxzZsf9WyJbs6M/user-info"/>
        <s v="https://chat-conecta.recife.pe.gov.br/live/SLKTqp3Zo75Qbk89E"/>
        <s v="https://chat-conecta.recife.pe.gov.br/live/So5JNiP7RbYv5m7EB#&amp;gid=1&amp;pid=5"/>
        <s v="https://chat-conecta.recife.pe.gov.br/live/EDCrZJap6jzFXHRkT"/>
        <s v="https://chat-conecta.recife.pe.gov.br/live/3PzfmBRBamdw5n99q"/>
        <s v="https://chat-conecta.recife.pe.gov.br/live/xvg2y92NSfJaaxxw7"/>
        <s v="https://chat-conecta.recife.pe.gov.br/live/FadL7mshHaoH87y32"/>
        <s v="https://chat-conecta.recife.pe.gov.br/live/fq5LBuFhL5t9YFEph/room-info"/>
        <s v="https://chat-conecta.recife.pe.gov.br/live/ENmKgnAPNGNtK5hJm"/>
        <s v="https://chat-conecta.recife.pe.gov.br/live/Q6KQjETvm7ZakLnMM/room-info"/>
        <s v="https://chat-conecta.recife.pe.gov.br/live/QPoSD83YzTNSBYn8r/room-info"/>
        <s v="https://chat-conecta.recife.pe.gov.br/live/J5yApicjQ25ZpDpvZ"/>
        <s v="https://chat-conecta.recife.pe.gov.br/live/8RmemxfPoEwQKXs26"/>
        <s v="https://chat-conecta.recife.pe.gov.br/live/S9pKRag9nTD8HjaHp"/>
        <s v="https://chat-conecta.recife.pe.gov.br/live/JE2g3BZhwo27gqKLb/room-info"/>
        <s v="https://chat-conecta.recife.pe.gov.br/live/a925A58hfDuHJ6tsK/room-info"/>
        <s v="https://chat-conecta.recife.pe.gov.br/live/ZYC252AbpF7pt4si2/room-info"/>
        <s v="https://chat-conecta.recife.pe.gov.br/live/BsWoAdmrXbLeG6A3L/user-info"/>
        <s v="https://chat-conecta.recife.pe.gov.br/omnichannel-directory/chats/view/gtnLac2AurtuGrXMJ"/>
        <s v="https://chat-conecta.recife.pe.gov.br/live/SRDBYEHvqpK6f9gvJ/room-info"/>
        <s v="https://chat-conecta.recife.pe.gov.br/live/cMosTbf53EvohL4By/room-info"/>
        <s v="https://chat-conecta.recife.pe.gov.br/live/STvdZKNqHi89vhvLu"/>
        <s v="https://chat-conecta.recife.pe.gov.br/live/8FsATpXxfWsmQn5xR"/>
        <s v="https://chat-conecta.recife.pe.gov.br/live/qeAceoXxrf9gm8g82/room-info"/>
        <s v="https://chat-conecta.recife.pe.gov.br/live/jXu7Lnx5YxBdEtQst"/>
        <s v="https://chat-conecta.recife.pe.gov.br/live/ydQrgKMuzDrnSrNgW"/>
        <s v="https://chat-conecta.recife.pe.gov.br/live/83GyxDDbpfFRSTYtW"/>
        <s v="https://chat-conecta.recife.pe.gov.br/live/Di65GgNX24XusZbuZ/user-info"/>
        <s v="https://chat-conecta.recife.pe.gov.br/live/r9o3ZqHaFjKzzzFLg/room-info"/>
        <s v="https://chat-conecta.recife.pe.gov.br/live/5nzaJ9pj7bcPwYniD/room-info"/>
        <s v="https://chat-conecta.recife.pe.gov.br/live/8CvfSqgnXwnvqYXiT/room-info"/>
        <s v="https://chat-conecta.recife.pe.gov.br/live/zqdhp6ivb4h98eBRA"/>
        <s v="https://chat-conecta.recife.pe.gov.br/live/KP32Y5Ge6hq3PoptS/room-info"/>
        <s v="https://chat-conecta.recife.pe.gov.br/live/dae8hijHZkqyLhmuH"/>
        <s v="https://chat-conecta.recife.pe.gov.br/live/zGmFMWeNANbgXNHxZ"/>
        <s v="https://chat-conecta.recife.pe.gov.br/omnichannel-directory/chats/view/2NQMKPvGgmkNLFPyi/room-info"/>
        <s v="https://chat-conecta.recife.pe.gov.br/live/CyTqEr6DxdcxYY42h/room-info"/>
        <s v="https://chat-conecta.recife.pe.gov.br/live/d8D9JRmvMJptXuXwd/room-info"/>
        <s v="https://chat-conecta.recife.pe.gov.br/live/aiitppiyockKxJmKB"/>
        <s v="https://chat-conecta.recife.pe.gov.br/live/NNKR3geYk5siGhvE6"/>
        <s v="https://chat-conecta.recife.pe.gov.br/live/3s85yrRGRagwgtCDk"/>
        <s v="https://chat-conecta.recife.pe.gov.br/live/H4jKhPT3JY9LdLksL/user-info"/>
        <s v="https://chat-conecta.recife.pe.gov.br/live/qRmuM7qRcfFuoLj2F/user-info"/>
        <s v="https://chat-conecta.recife.pe.gov.br/live/FtfENriPYBYyomCog"/>
        <s v="https://chat-conecta.recife.pe.gov.br/live/XHh56qkWQoTdcSSGh"/>
        <s v="https://chat-conecta.recife.pe.gov.br/live/kMu6oKi5Gr6a39i4B/room-info"/>
        <s v="https://chat-conecta.recife.pe.gov.br/live/JDCtyJQNjXWpnFz4Y"/>
        <s v="https://chat-conecta.recife.pe.gov.br/live/hcAAhWuafwdTxYMoG"/>
        <s v="https://chat-conecta.recife.pe.gov.br/live/meHsTPnCMaruPJ2YN/members-list"/>
        <s v="https://chat-conecta.recife.pe.gov.br/live/v2a5dM6YyhTMwp3oX"/>
        <s v="https://chat-conecta.recife.pe.gov.br/live/FJBrLR8pKZEfGPZ5v/room-info"/>
        <s v="https://chat-conecta.recife.pe.gov.br/live/NbTuF9Tdvh5myMXW5/room-info"/>
        <s v="https://chat-conecta.recife.pe.gov.br/live/R4scd6XHagQjF9jL8/user-info"/>
        <s v="https://chat-conecta.recife.pe.gov.br/omnichannel-directory/chats/view/FJBrLR8pKZEfGPZ5v/room-info"/>
        <s v="https://chat-conecta.recife.pe.gov.br/live/Tax38sYXfjzPHKsGh/members-list"/>
        <s v="https://chat-conecta.recife.pe.gov.br/live/CfsCYMDZvMa5yNRJK/room-info"/>
        <s v="https://chat-conecta.recife.pe.gov.br/live/ess787q7AicDeYem9/room-info#&amp;gid=1&amp;pid=2"/>
        <s v="https://chat-conecta.recife.pe.gov.br/live/ro7zs33f3idwZj3Mq/room-info"/>
        <s v="https://chat-conecta.recife.pe.gov.br/live/MuYP9bmze5HmmiK3q/room-info"/>
        <s v="https://chat-conecta.recife.pe.gov.br/live/Ldtu4SBHn2f4rxcGt/user-info"/>
        <s v="https://chat-conecta.recife.pe.gov.br/live/BtXQyXXk9cQZ4cxjA/room-info"/>
        <s v="https://chat-conecta.recife.pe.gov.br/live/8y3TR8ohzJJeHXZqC/user-info#&amp;gid=1&amp;pid=4"/>
        <s v="https://chat-conecta.recife.pe.gov.br/live/D3ZfQK3vwPW99fXWc/user-info"/>
        <s v="https://chat-conecta.recife.pe.gov.br/live/eDmYZnKGXh2Jg4uGM"/>
        <s v="https://chat-conecta.recife.pe.gov.br/live/8oKuW2s6JBPumwjBF"/>
        <s v="https://chat-conecta.recife.pe.gov.br/live/DkxpyrNoojFFi4q4C/members-list"/>
        <s v="https://chat-conecta.recife.pe.gov.br/live/buamMAmC8wXGoMYJW"/>
        <s v="https://chat-conecta.recife.pe.gov.br/live/avS9ggNjm6ZF6HKbR/user-info"/>
        <s v="https://chat-conecta.recife.pe.gov.br/live/jKG7GZ7WS3ECmXzhY/room-info"/>
        <s v="https://chat-conecta.recife.pe.gov.br/live/RQvYAYLFuYs5BXXJE/room-info"/>
        <s v="https://chat-conecta.recife.pe.gov.br/live/pmgLkXYi6xpm33kna/room-info"/>
        <s v="https://chat-conecta.recife.pe.gov.br/live/zfqcjiQXaotabHKCF/room-info"/>
        <s v="https://chat-conecta.recife.pe.gov.br/live/fuDM2m6zX23HmRzyM#&amp;gid=1&amp;pid=2"/>
        <s v="https://chat-conecta.recife.pe.gov.br/live/S2reuqgRCntcmdzG5/room-info"/>
        <s v="https://chat-conecta.recife.pe.gov.br/live/KfvYAw7jZJX8Cb8nz/room-info"/>
        <s v="https://chat-conecta.recife.pe.gov.br/live/voYjixJuRCRwZhymX/room-info"/>
        <s v="https://chat-conecta.recife.pe.gov.br/live/4pw4eGNarrsBimgWx/room-info"/>
        <s v="https://chat-conecta.recife.pe.gov.br/live/sfdFJbzPBXWsdL4Hz"/>
        <s v="https://chat-conecta.recife.pe.gov.br/live/tm6mREfidRYBYC2tt"/>
        <s v="https://chat-conecta.recife.pe.gov.br/live/bWKcRpdasTR4eYWE9/room-info"/>
        <s v="https://chat-conecta.recife.pe.gov.br/live/McrLSkMYE3xuKtsSS/room-info"/>
        <s v="https://chat-conecta.recife.pe.gov.br/live/dKmTM4Xi2sf4EHJnm/members-list"/>
        <s v="https://chat-conecta.recife.pe.gov.br/live/XF9qmAuTB9Gek27EH/members-list"/>
        <s v="https://chat-conecta.recife.pe.gov.br/live/RfFjHHssLjvexk2fp"/>
        <s v="https://chat-conecta.recife.pe.gov.br/live/nCaCC8xSQC8JKJtFG"/>
        <s v="https://chat-conecta.recife.pe.gov.br/live/RxLQhZtQL6Kkr4YCY"/>
        <s v="https://chat-conecta.recife.pe.gov.br/live/ZpahxkXRKchyJjA3L"/>
        <s v="https://chat-conecta.recife.pe.gov.br/live/5rhuiqoJB9Zrgxymh"/>
        <s v="https://chat-conecta.recife.pe.gov.br/live/aZdmyAiNBxWBuPF68"/>
        <s v="https://chat-conecta.recife.pe.gov.br/live/T9wF6zPn6PJD4j6MW"/>
        <s v="https://chat-conecta.recife.pe.gov.br/live/GAnXdvJTu48J2uHyR/room-info"/>
        <s v="https://chat-conecta.recife.pe.gov.br/live/PD5xtw3eK4QtQy5MA"/>
        <s v="https://chat-conecta.recife.pe.gov.br/live/4sz8CyRMPM7gpHxxy/room-info"/>
        <s v="https://chat-conecta.recife.pe.gov.br/live/ZM92pnghF9yTnzrJz"/>
        <s v="https://chat-conecta.recife.pe.gov.br/live/s5yGXGRxCdi3kKz5e#&amp;gid=1&amp;pid=4"/>
        <s v="https://chat-conecta.recife.pe.gov.br/omnichannel-directory/chats/view/rxsnhicykwTNSMuP9"/>
        <s v="https://chat-conecta.recife.pe.gov.br/live/HRw3JfQgkPaDtz85q/room-info"/>
        <s v="https://chat-conecta.recife.pe.gov.br/live/CdpKsRdbqhoXtXjwk"/>
        <s v="https://chat-conecta.recife.pe.gov.br/live/n7oX7FgRtPjXMp4ub/room-info"/>
        <s v="https://chat-conecta.recife.pe.gov.br/live/QyJ9obB2noDM35TkA"/>
        <s v="https://chat-conecta.recife.pe.gov.br/live/Y6E2niZZjKiWChvrQ/room-info"/>
        <s v="https://chat-conecta.recife.pe.gov.br/omnichannel-directory/chats/view/nfHomGGPMfaRSP6SY/room-info"/>
        <s v="https://chat-conecta.recife.pe.gov.br/live/7pmFhfKruBwAEfhAh/room-info"/>
        <s v="https://chat-conecta.recife.pe.gov.br/live/H3FDF6PjP6jSM2tTQ"/>
        <s v="https://chat-conecta.recife.pe.gov.br/live/z45Lfm3XniN8SMqdt"/>
        <s v="https://chat-conecta.recife.pe.gov.br/live/tdPRYgYfhJSQ2wYsa/room-info"/>
        <s v="https://chat-conecta.recife.pe.gov.br/live/o2RNLNNcuiDva9rCe/room-info"/>
        <s v="https://chat-conecta.recife.pe.gov.br/live/Pud2sjZ3id3JsemYY/room-info"/>
        <s v="https://chat-conecta.recife.pe.gov.br/direct/NcmyoDSPPFwkbXMjAi2c2jSHZXRKjv2wQH"/>
        <s v="https://chat-conecta.recife.pe.gov.br/live/QCbG3kpgSGTGz7wdG/room-info"/>
        <s v="https://chat-conecta.recife.pe.gov.br/live/fMs2MgZJdDz3zpL3B/members-list"/>
        <s v="https://chat-conecta.recife.pe.gov.br/omnichannel-directory/chats/view/mdu5BX57Aayhwss3g/room-info"/>
        <s v="https://chat-conecta.recife.pe.gov.br/live/ZEdCrmCQeB2BiEdyu/room-info"/>
        <s v="https://chat-conecta.recife.pe.gov.br/live/eJSP9vgscyetfgQM8/user-info"/>
        <s v="https://chat-conecta.recife.pe.gov.br/live/bxTD23RzEJthzGgSo#&amp;gid=1&amp;pid=6"/>
        <s v="https://chat-conecta.recife.pe.gov.br/live/rXdsKbA7MrTTYrC7c"/>
        <s v="https://chat-conecta.recife.pe.gov.br/live/yjaYZvXF3Xz8gFupv"/>
        <s v="https://chat-conecta.recife.pe.gov.br/live/9oerbMaGKGQpsKvof"/>
        <s v="https://chat-conecta.recife.pe.gov.br/live/s9ssMzN9q2CqpNWFA"/>
        <s v="https://chat-conecta.recife.pe.gov.br/live/jSWoe2nasPCBFiPdm/room-info"/>
        <s v="https://chat-conecta.recife.pe.gov.br/live/vdpfFgmshefC3gxdn"/>
        <s v="https://chat-conecta.recife.pe.gov.br/live/xrbLQr7oQM9XNGyLv"/>
        <s v="https://chat-conecta.recife.pe.gov.br/live/5gxvRaoT8frwEqTiM/user-info"/>
        <s v="https://chat-conecta.recife.pe.gov.br/live/tmbFYxEgcNTtdcyii/room-info"/>
        <s v="https://chat-conecta.recife.pe.gov.br/live/r2i4gahHaC7vNLEEK"/>
        <s v="https://chat-conecta.recife.pe.gov.br/live/AQfxjoyngDk8TndQB/room-info"/>
        <s v="https://chat-conecta.recife.pe.gov.br/live/P4Z55NZW5sKpbGBRY/user-info"/>
        <s v="https://chat-conecta.recife.pe.gov.br/live/AnHbN3eWMDHyNJkrt/members-list"/>
        <s v="https://chat-conecta.recife.pe.gov.br/live/KMwioqTKMqMhoy3jY/user-info"/>
        <s v="https://chat-conecta.recife.pe.gov.br/live/KMwioqTKMqMhoy3jY/room-info"/>
        <s v="https://chat-conecta.recife.pe.gov.br/live/Rza7bpfB7NfqpmdBM/room-info"/>
        <s v="https://chat-conecta.recife.pe.gov.br/live/tE5Y8cZGLCpRTLWDo/user-info"/>
        <s v="https://chat-conecta.recife.pe.gov.br/live/AHsdXLhoywRd7sWRb/user-info"/>
        <s v="https://chat-conecta.recife.pe.gov.br/live/FE4HZoYBBxfZtD4kE"/>
        <s v="https://chat-conecta.recife.pe.gov.br/live/nAFoFx7LCa7jLcwNw/room-info"/>
        <s v="https://chat-conecta.recife.pe.gov.br/live/dDYTdcYQTz8p929tz"/>
        <s v="https://chat-conecta.recife.pe.gov.br/live/vj2Ee9qtE74H5qJHm/room-info"/>
        <s v="https://chat-conecta.recife.pe.gov.br/live/rHrMX6jFvrRD8Fy83/room-info"/>
        <s v="https://chat-conecta.recife.pe.gov.br/live/yddLtRCcseMJqBGJc#&amp;gid=1&amp;pid=8"/>
        <s v="https://chat-conecta.recife.pe.gov.br/live/CJCWWq4JbYsdotwXY/members-list"/>
        <s v="https://chat-conecta.recife.pe.gov.br/live/LNPG6DGuWT2h883BS"/>
        <s v="https://chat-conecta.recife.pe.gov.br/live/9h3sgK5qiaGkeQKc7/room-info"/>
        <s v="https://chat-conecta.recife.pe.gov.br/live/mYoiBcMRb5sW8zxnF/user-info"/>
        <s v="https://chat-conecta.recife.pe.gov.br/live/We3zfcTLx5g9tc9Aq"/>
        <s v="https://chat-conecta.recife.pe.gov.br/live/MhXLwSHKAfsxt9pTy"/>
        <s v="https://chat-conecta.recife.pe.gov.br/omnichannel-directory/chats/view/9h3sgK5qiaGkeQKc7/room-info"/>
        <s v="https://chat-conecta.recife.pe.gov.br/live/8v8Mhw59E3o3Agxah/room-info"/>
        <s v="https://chat-conecta.recife.pe.gov.br/live/4sGkT3uJnLEuB5nrH"/>
        <s v="https://chat-conecta.recife.pe.gov.br/live/piKXRSNQ5qg3MRub9/room-info"/>
        <s v="https://chat-conecta.recife.pe.gov.br/live/5nWMx4ytDEvxkzXpq"/>
        <s v="https://chat-conecta.recife.pe.gov.br/live/c57mqrxf6oucFNPii"/>
        <s v="https://chat-conecta.recife.pe.gov.br/live/Ltwmmk5sRnyaJtMmd/room-info"/>
        <s v="https://chat-conecta.recife.pe.gov.br/live/C9D6ytyB7zXR5ssru"/>
        <s v="https://chat-conecta.recife.pe.gov.br/live/av3ZiF2rHiAzeyg39"/>
        <s v="https://chat-conecta.recife.pe.gov.br/live/2jSdW8kWSMKLi2A4S/user-info"/>
        <s v="https://chat-conecta.recife.pe.gov.br/live/HiMnirG6ozF8HwNWz"/>
        <s v="https://chat-conecta.recife.pe.gov.br/live/f3FZGXoFyKfZLHJdL/members-list"/>
        <s v="https://chat-conecta.recife.pe.gov.br/live/TwMADgQqhGRs6ihGy"/>
        <s v="https://chat-conecta.recife.pe.gov.br/live/LNcY2JYXqbJhvKGoc#&amp;gid=1&amp;pid=4"/>
        <s v="https://chat-conecta.recife.pe.gov.br/live/YrmK4d8nbnTK2bPCS"/>
        <s v="https://chat-conecta.recife.pe.gov.br/live/B4Hnt7Yhwor34pEEu/uploaded-files-list"/>
        <s v="https://chat-conecta.recife.pe.gov.br/omnichannel-directory/chats/view/TipfusqGDBhNmbHfn"/>
        <s v="https://chat-conecta.recife.pe.gov.br/live/WGm8jy85oco7vWuQn/user-info"/>
        <s v="https://chat-conecta.recife.pe.gov.br/live/jqApCsg9G6N6bddA5/room-info"/>
        <s v="https://chat-conecta.recife.pe.gov.br/live/ToeTmfK4QHYwHpYba"/>
        <s v="https://chat-conecta.recife.pe.gov.br/live/LSwnF6zsHeuna6t5g/user-info"/>
        <s v="https://chat-conecta.recife.pe.gov.br/live/PBopX9SHBgDuA2RAs/room-info"/>
        <s v="https://chat-conecta.recife.pe.gov.br/live/YaPoRLRrozedndcwy"/>
        <s v="https://chat-conecta.recife.pe.gov.br/live/wb4y3XeWoum4usnJZ/room-info"/>
        <s v="https://chat-conecta.recife.pe.gov.br/live/nJwhdHyfYxibDJQ4Y"/>
        <s v="https://chat-conecta.recife.pe.gov.br/live/EptoLGdPfW8sCx8G7"/>
        <s v="https://chat-conecta.recife.pe.gov.br/live/MCMvXyDPKmPBNy27S/members-list"/>
        <s v="https://chat-conecta.recife.pe.gov.br/live/uFnCh7mBMFBCWBE2X/room-info"/>
        <s v="https://chat-conecta.recife.pe.gov.br/live/XTh6tMgCDSD4zwfDh"/>
        <s v="https://chat-conecta.recife.pe.gov.br/live/zGnGLFmbPuA4GCJRZ/room-info"/>
        <s v="https://chat-conecta.recife.pe.gov.br/live/zk6hvdQ2DsaEiECXw/room-info"/>
        <s v="https://chat-conecta.recife.pe.gov.br/live/TGzvEeF8cuRGHPPLR/user-info"/>
        <s v="https://chat-conecta.recife.pe.gov.br/live/wdfKRtWpPAJBRdGp6/room-info"/>
        <s v="https://chat-conecta.recife.pe.gov.br/live/nPjhPu6kieccuo72K/room-info"/>
        <s v="https://chat-conecta.recife.pe.gov.br/live/9wsNjYi8TBdfAneLt/user-info"/>
        <s v="https://chat-conecta.recife.pe.gov.br/live/47ZoZZroPeSiJFPYZ/user-info"/>
        <s v="https://chat-conecta.recife.pe.gov.br/live/f79GJPct9gYx9WmoJ/user-info#&amp;gid=1&amp;pid=5"/>
        <s v="https://chat-conecta.recife.pe.gov.br/live/z4h7ZpdSEq8oXc8L2/user-info"/>
        <s v="https://chat-conecta.recife.pe.gov.br/live/oFn54msvsGSozPPZJ"/>
        <s v="https://chat-conecta.recife.pe.gov.br/live/tPvLXrfSqgtcnywMi/user-info"/>
        <s v="https://chat-conecta.recife.pe.gov.br/live/vtmNXeGR4y3fLiocH"/>
        <s v="https://chat-conecta.recife.pe.gov.br/live/s2iHsveqyCgtgDdSr"/>
        <s v="https://chat-conecta.recife.pe.gov.br/live/9F4uSSvb2RYbHXo3b/uploaded-files-list"/>
        <s v="https://chat-conecta.recife.pe.gov.br/live/bGCbT2d9dQkCyhkj4"/>
        <s v="https://chat-conecta.recife.pe.gov.br/live/At5J4ZbgemTiaJ9Fr/room-info"/>
        <s v="https://chat-conecta.recife.pe.gov.br/live/TEofGvc2fYQsMgQmy"/>
        <s v="https://chat-conecta.recife.pe.gov.br/live/3SWwdFoWRFuq9jGGi/user-info"/>
        <s v="https://chat-conecta.recife.pe.gov.br/live/84kZepyKnNT9kBcqy"/>
        <s v="https://chat-conecta.recife.pe.gov.br/live/PZnr4tW6szgRaBtBQ/room-info"/>
        <s v="https://chat-conecta.recife.pe.gov.br/live/jamTQqREGtnZSsECP"/>
        <s v="https://chat-conecta.recife.pe.gov.br/live/Xf8iPzZTiq6R8LQee/room-info"/>
        <s v="https://chat-conecta.recife.pe.gov.br/live/LpdNGatAexmtLMwZK"/>
        <s v="https://chat-conecta.recife.pe.gov.br/live/3q7yt5WKx7NxZa4mP"/>
        <s v="https://chat-conecta.recife.pe.gov.br/live/CNtjmr9Jt6DHa6ftr/room-info"/>
        <s v="https://chat-conecta.recife.pe.gov.br/live/7sL4pESJCqGuS6Nw7"/>
        <s v="https://chat-conecta.recife.pe.gov.br/live/XqQca92b9rgdRgpmB"/>
        <s v="https://chat-conecta.recife.pe.gov.br/live/pAhjLDQiZhrwtFk8D"/>
        <s v="https://chat-conecta.recife.pe.gov.br/live/GGZhQ75mX6jHpiHYD/members-list"/>
        <s v="https://chat-conecta.recife.pe.gov.br/live/8ujind6kKqd78w4oP"/>
        <s v="https://chat-conecta.recife.pe.gov.br/live/TpLbFfJndDLC4k7CZ"/>
        <s v="https://chat-conecta.recife.pe.gov.br/live/Ewcs7ZtEGacEXcWTk"/>
        <s v="https://chat-conecta.recife.pe.gov.br/live/Xtn8xzM9wrHdqW85z/room-info"/>
        <s v="https://chat-conecta.recife.pe.gov.br/live/mt59LtTYgFaedaLGa"/>
        <s v="https://chat-conecta.recife.pe.gov.br/live/SWpnNq59vRSzv7APF"/>
        <s v="https://chat-conecta.recife.pe.gov.br/live/cDXhcWZkS5dpB4DPC"/>
        <s v="https://chat-conecta.recife.pe.gov.br/live/eN8NNFPhgkanD94ct/room-info"/>
        <s v="https://chat-conecta.recife.pe.gov.br/live/EPoqqpCatZkGZKHNo/room-info"/>
        <s v="https://chat-conecta.recife.pe.gov.br/live/WPQvNEK2d4gZ8Mow6"/>
        <s v="https://chat-conecta.recife.pe.gov.br/live/mjspR7BKruMbzfrmS/room-info"/>
        <s v="https://chat-conecta.recife.pe.gov.br/live/2MazhZKwiwsK53iH7"/>
        <s v="https://chat-conecta.recife.pe.gov.br/live/Jz7KP6qetfsivQbaq"/>
        <s v="https://chat-conecta.recife.pe.gov.br/live/WQf6RYEhThyNGrQ7J/room-info"/>
        <s v="https://chat-conecta.recife.pe.gov.br/live/n8G9hupd2FQoyKw3h/room-info"/>
        <s v="https://chat-conecta.recife.pe.gov.br/live/5EPSr9bTFjfEw7pxA/room-info"/>
        <s v="https://chat-conecta.recife.pe.gov.br/live/e96R3EJ4kiEFeSkxE/room-info"/>
        <s v="https://chat-conecta.recife.pe.gov.br/live/suetuRC4ydfLBjDiJ/room-info"/>
        <s v="https://chat-conecta.recife.pe.gov.br/live/9WZ3ziDLAgvDzpaf7/user-info"/>
        <s v="https://chat-conecta.recife.pe.gov.br/live/jLmq7nqMNASP3wNhq/room-info"/>
        <s v="https://chat-conecta.recife.pe.gov.br/live/XNkHTxuGqLiMHW367"/>
        <s v="https://chat-conecta.recife.pe.gov.br/live/mTjGX7xp2go6KWdhT#&amp;gid=1&amp;pid=6"/>
        <s v="https://chat-conecta.recife.pe.gov.br/live/hrLz382WiQGmE5NNv/room-info"/>
        <s v="https://chat-conecta.recife.pe.gov.br/live/KfhRPN5WQNXrfsGXa/user-info"/>
        <s v="https://chat-conecta.recife.pe.gov.br/live/3CLnpsujeK6KfSNgy/room-info"/>
        <s v="https://chat-conecta.recife.pe.gov.br/live/kDF4XXNqNxZETDPwJ"/>
        <s v="https://chat-conecta.recife.pe.gov.br/live/TEYqdTArcZnMXx6fc"/>
        <s v="https://chat-conecta.recife.pe.gov.br/live/kh3shwjfABzKaeF8Y/room-info"/>
        <s v="https://chat-conecta.recife.pe.gov.br/live/yfAqfskTwQizj7wzf/user-info"/>
        <s v="https://chat-conecta.recife.pe.gov.br/live/LQqBxxnqBFPDpMeRS"/>
        <s v="https://chat-conecta.recife.pe.gov.br/live/SDQDBYkgbRyD7tsDw/user-info"/>
        <s v="https://chat-conecta.recife.pe.gov.br/live/qANtvMXKJo8ysphNS"/>
        <s v="https://chat-conecta.recife.pe.gov.br/live/8HRxCuDkNtWG4t2oY"/>
        <s v="https://chat-conecta.recife.pe.gov.br/live/WvpZswjNovxTzL6T7/room-info"/>
        <s v="https://chat-conecta.recife.pe.gov.br/live/xwejZoBSFwvgT2RQa/user-info"/>
        <s v="https://chat-conecta.recife.pe.gov.br/live/LvsE69AD54rx2eZJJ"/>
        <s v="https://chat-conecta.recife.pe.gov.br/live/JuZ2HW8CadSHTJWic/room-info"/>
        <s v="https://chat-conecta.recife.pe.gov.br/live/Z6QAd7AwEbPK8F76p/room-info"/>
        <s v="https://chat-conecta.recife.pe.gov.br/live/jSESwdMALKb5seoSK"/>
        <s v="https://chat-conecta.recife.pe.gov.br/live/LPodvTkfdriCKeLYF"/>
        <s v="https://chat-conecta.recife.pe.gov.br/live/dfpjzxaRcYyKDe6H2/user-info"/>
        <s v="https://chat-conecta.recife.pe.gov.br/live/wFE929JxDQXaQNKbp/user-info#&amp;gid=1&amp;pid=4"/>
        <s v="https://chat-conecta.recife.pe.gov.br/live/YvhtDuqvs7H7LrD88/room-info"/>
        <s v="https://chat-conecta.recife.pe.gov.br/omnichannel-directory/chats/view/g3kbApt67hmcEdEQj/room-info"/>
        <s v="https://chat-conecta.recife.pe.gov.br/live/DsZwim3tMQ5WzZS5w/members-list"/>
        <s v="https://chat-conecta.recife.pe.gov.br/live/AwXrj6Xr9T3nacPuH"/>
        <s v="https://chat-conecta.recife.pe.gov.br/live/wNc8LSiq63vp5xY3G/user-info"/>
        <s v="https://chat-conecta.recife.pe.gov.br/live/955u4rx7HG9Mpy2nM/members-list"/>
        <s v="https://chat-conecta.recife.pe.gov.br/live/6erw5JMxxjkeq6KHR/user-info"/>
        <s v="https://chat-conecta.recife.pe.gov.br/live/FqRRk8vaZt8gGp9pG"/>
        <s v="https://chat-conecta.recife.pe.gov.br/live/j9DNDTRrq9ySBDLy4/members-list"/>
        <s v="https://chat-conecta.recife.pe.gov.br/live/gkiG9W86RTYhLJNeT/room-info"/>
        <s v="https://chat-conecta.recife.pe.gov.br/live/LnNkyRMuYRcrKSjcm"/>
        <s v="https://chat-conecta.recife.pe.gov.br/live/YKcfCgt7msAin5DZf"/>
        <s v="https://chat-conecta.recife.pe.gov.br/live/gSAHbAcMvjDuKXpc7"/>
        <s v="https://chat-conecta.recife.pe.gov.br/live/ewQu7KPo2L3p3j4C4/room-info"/>
        <s v="https://chat-conecta.recife.pe.gov.br/live/RJqTFJ3wGHYt53RNE/room-info"/>
        <s v="https://chat-conecta.recife.pe.gov.br/live/CxPnSzXnQtoqkSM5Y/room-info"/>
        <s v="https://chat-conecta.recife.pe.gov.br/live/ATbzSz4oNwiQsRGsn"/>
        <s v="https://chat-conecta.recife.pe.gov.br/live/WhduJ3KxEETHGNW4J"/>
        <s v="https://chat-conecta.recife.pe.gov.br/omnichannel-directory/chats/view/pJhp6GSZu6WfKsL98/room-info"/>
        <s v="https://chat-conecta.recife.pe.gov.br/live/jkSXWeBmc4rMqKBQt"/>
        <s v="https://chat-conecta.recife.pe.gov.br/live/Bgfzh5Xz2Ye3vRTzw"/>
        <s v="https://chat-conecta.recife.pe.gov.br/live/ws9qFWHpavvohcaYp"/>
        <s v="https://chat-conecta.recife.pe.gov.br/live/xkf9eh94fsQBW7ynj/room-info"/>
        <s v="https://chat-conecta.recife.pe.gov.br/live/fowZKxsWwHwttQkKC"/>
        <s v="https://chat-conecta.recife.pe.gov.br/live/WYDP8X9h7feWj2d6R"/>
        <s v="https://chat-conecta.recife.pe.gov.br/omnichannel-directory/chats/view/BbWbp7HdyHrP3hKSh/room-info"/>
        <s v="https://chat-conecta.recife.pe.gov.br/live/z7mn3KFCtXgEaZdnt"/>
        <s v="https://chat-conecta.recife.pe.gov.br/live/8KnronK29MgMn3SED"/>
        <s v="https://chat-conecta.recife.pe.gov.br/live/dkffgkKNnzdT8RRDs/room-info"/>
        <s v="https://chat-conecta.recife.pe.gov.br/live/cEtMGgQ5yA5Dfa9D6/room-info"/>
        <s v="https://chat-conecta.recife.pe.gov.br/live/RGP5BjyP5HtnvP7kJ"/>
        <s v="https://chat-conecta.recife.pe.gov.br/live/wqToPvGTH9hewLjMm/room-info"/>
        <s v="https://chat-conecta.recife.pe.gov.br/live/KshqGSPTJWwMt7h3T/user-info"/>
        <s v="https://chat-conecta.recife.pe.gov.br/live/GSJeK8m57p4NCbTpf/room-info"/>
        <s v="https://chat-conecta.recife.pe.gov.br/live/ARh9W73ruWnzzbnYu/room-info"/>
        <s v="https://chat-conecta.recife.pe.gov.br/live/ERLWMhL4B7dF5Dxq5/room-info"/>
        <s v="https://chat-conecta.recife.pe.gov.br/omnichannel-directory/chats/view/YpRs4mMxLcHaxz9uB"/>
        <s v="https://chat-conecta.recife.pe.gov.br/live/33ywnpsgGGyFDfriZ"/>
        <s v="https://chat-conecta.recife.pe.gov.br/live/4KEcGWff8wwbgCdye/user-info"/>
        <s v="https://chat-conecta.recife.pe.gov.br/live/apTEpHkRnvWZu9wTR/room-info"/>
        <s v="https://chat-conecta.recife.pe.gov.br/live/3uRXmFXo2muwHfbRZ/room-info"/>
        <s v="https://chat-conecta.recife.pe.gov.br/live/2QaKw4am8xWs2h2J9/room-info"/>
        <s v="https://chat-conecta.recife.pe.gov.br/live/PGB8NL8ChRdjeme57"/>
        <s v="https://chat-conecta.recife.pe.gov.br/live/WDSeCFBfRPY8Hkcsd"/>
        <s v="https://chat-conecta.recife.pe.gov.br/live/eEqz97ddknidsNAk5"/>
        <s v="https://chat-conecta.recife.pe.gov.br/live/2gqxNPEL7qtFhmeea"/>
        <s v="https://chat-conecta.recife.pe.gov.br/live/QWBLAYT2XyznCgdzw/user-info"/>
        <s v="https://chat-conecta.recife.pe.gov.br/live/BiGxr7NEo3SvTxWTX"/>
        <s v="https://chat-conecta.recife.pe.gov.br/live/BLWcxLAZed9JZ2D2s"/>
        <s v="https://chat-conecta.recife.pe.gov.br/live/LuMbhG6L5bC6Lotbb/user-info"/>
        <s v="https://chat-conecta.recife.pe.gov.br/live/ZNj4spu5dj5J7aGEu"/>
        <s v="https://chat-conecta.recife.pe.gov.br/live/Gvepwa2Q2yBt3aKtv"/>
        <s v="https://chat-conecta.recife.pe.gov.br/live/ca2qW8rrF3LQvrwGS"/>
        <s v="https://chat-conecta.recife.pe.gov.br/live/kAsGAAjwtEN3sDxLC"/>
        <s v="https://chat-conecta.recife.pe.gov.br/live/6xgKDN4SLBHoNspJz"/>
        <s v="https://chat-conecta.recife.pe.gov.br/live/zSZZsXDhzoCeeFZNm"/>
        <s v="https://chat-conecta.recife.pe.gov.br/live/h5hk2N97AL5uNLRss"/>
        <s v="https://chat-conecta.recife.pe.gov.br/live/EDky2Zxdw68RNWLJz"/>
        <s v="https://chat-conecta.recife.pe.gov.br/live/bYkGnj6w7jHQZwtFG"/>
        <s v="https://chat-conecta.recife.pe.gov.br/live/TznuvBzFW2BkocC53/user-info"/>
        <s v="https://chat-conecta.recife.pe.gov.br/live/ciCaauKDvdB9d5Dun"/>
        <s v="https://chat-conecta.recife.pe.gov.br/live/tfnuQBZJrkE3GDsxg/room-info"/>
        <s v="https://chat-conecta.recife.pe.gov.br/live/dNr8hZzLLK7s6Kevo"/>
        <s v="https://chat-conecta.recife.pe.gov.br/live/wAX8gRMG9NSMZsLFg"/>
        <s v="https://chat-conecta.recife.pe.gov.br/live/Yk6c3wn5jSomzWvfN/room-info"/>
        <s v="https://chat-conecta.recife.pe.gov.br/live/FgXhPX8F2DEKf9R5p"/>
        <s v="https://chat-conecta.recife.pe.gov.br/live/AfcwB5M38f2rdWfDk#&amp;gid=1&amp;pid=4"/>
        <s v="https://chat-conecta.recife.pe.gov.br/live/o3DPeoNeH4pZ4jy7v/user-info"/>
        <s v="https://chat-conecta.recife.pe.gov.br/live/MfHSfwiSnkGfu7Rd3/room-info"/>
        <s v="https://chat-conecta.recife.pe.gov.br/live/59C96ZTrCxAR55yCi"/>
        <s v="https://chat-conecta.recife.pe.gov.br/live/SL9riEbnBGcKReMbT"/>
        <s v="https://chat-conecta.recife.pe.gov.br/live/o3DPeoNeH4pZ4jy7v/room-info"/>
        <s v="https://chat-conecta.recife.pe.gov.br/live/zBqAxAMv6SuenDXEL/room-info"/>
        <s v="https://chat-conecta.recife.pe.gov.br/live/BY9kJ3miGsNu25A9h#&amp;gid=1&amp;pid=4"/>
        <s v="https://chat-conecta.recife.pe.gov.br/live/GrjnsiGh3NdbGZaZc"/>
        <s v="https://chat-conecta.recife.pe.gov.br/live/3aBxvntNHhLTZwzh4/room-info"/>
        <s v="https://chat-conecta.recife.pe.gov.br/live/nqANNA4d5RxiZzyj7/user-info"/>
        <s v="https://chat-conecta.recife.pe.gov.br/live/58TLkkNSEx8R6Ddqw/room-info"/>
        <s v="https://chat-conecta.recife.pe.gov.br/live/SWTqdE8RKerngWBmE"/>
        <s v="hat-conecta.recife.pe.gov.br/live/4dPpe3RPqYZRbiwdX/room-info"/>
        <s v="https://chat-conecta.recife.pe.gov.br/live/3sx3zdNMQrKqGJjsc"/>
        <s v="https://chat-conecta.recife.pe.gov.br/live/9ZgdvyHfgxo5gnQEL/room-info"/>
        <s v="https://chat-conecta.recife.pe.gov.br/live/EpLkkvm6M7MoMi87T/user-info#&amp;gid=1&amp;pid=3"/>
        <s v="https://chat-conecta.recife.pe.gov.br/live/X3WcpvYGtPY2ct9w3"/>
        <s v="https://chat-conecta.recife.pe.gov.br/omnichannel-directory/chats/view/Dr9HaSN5Yh9zLiGzA"/>
        <s v="https://chat-conecta.recife.pe.gov.br/live/KYzKi399w4cd68D3p/user-info"/>
        <s v="https://chat-conecta.recife.pe.gov.br/live/sChGG49tFTzEKRJHs"/>
        <s v="https://chat-conecta.recife.pe.gov.br/live/Z3KhGRwWoRMtMM7MK/room-info"/>
        <s v="https://chat-conecta.recife.pe.gov.br/live/AEwhTQXziYyiZ7t9Z"/>
        <s v="https://chat-conecta.recife.pe.gov.br/live/XRinCWNj7TgMMaqxa"/>
        <s v="https://chat-conecta.recife.pe.gov.br/live/5kPLmwG5uRbMN57Q5/room-info#&amp;gid=1&amp;pid=7"/>
        <s v="https://chat-conecta.recife.pe.gov.br/live/f6zLaoTdW7pjnGL7x/user-info"/>
        <s v="https://chat-conecta.recife.pe.gov.br/live/iveiJNpSfCJ4FKpqX/room-info"/>
        <s v="https://chat-conecta.recife.pe.gov.br/live/uwRdow5hqxMk5cq3x/room-info"/>
        <s v="https://chat-conecta.recife.pe.gov.br/live/pypHsARJ4tPx6ss2P/room-info"/>
        <s v="https://chat-conecta.recife.pe.gov.br/live/2L5CkCAJcEmZkbfxv/room-info"/>
        <s v="https://chat-conecta.recife.pe.gov.br/live/dcdhGCZmJRL8E7bDJ/room-info#&amp;gid=1&amp;pid=7"/>
        <s v="https://chat-conecta.recife.pe.gov.br/live/2xLRfnHecHodLo474/room-info"/>
        <s v="https://chat-conecta.recife.pe.gov.br/live/ZXJCq4zn6W82HMZqL"/>
        <s v="https://chat-conecta.recife.pe.gov.br/live/YHghXmbc8a3s4TKtB/room-info"/>
        <s v="https://chat-conecta.recife.pe.gov.br/omnichannel-directory/chats/view/tcxMXqe3kCPoPDW2s"/>
        <s v="https://chat-conecta.recife.pe.gov.br/live/CWtpRo8syTNq7mEsk/room-info"/>
        <s v="https://chat-conecta.recife.pe.gov.br/live/c35qEHzyYqko6i3Zj#&amp;gid=1&amp;pid=7"/>
        <s v="https://chat-conecta.recife.pe.gov.br/live/7Pk53XcPNMaAsfh3r/room-info"/>
        <s v="https://chat-conecta.recife.pe.gov.br/live/Mx4x2SXKHCFuQKkE5/room-info"/>
        <s v="https://chat-conecta.recife.pe.gov.br/live/vMmm8MwsS4BnaWxCM"/>
        <s v="https://chat-conecta.recife.pe.gov.br/live/KgbiMkC4BfuTweWfc/user-info"/>
        <s v="https://chat-conecta.recife.pe.gov.br/live/LHvxffLJFMJWP2XEZ"/>
        <s v="https://chat-conecta.recife.pe.gov.br/live/acM"/>
        <s v="https://chat-conecta.recife.pe.gov.br/omnichannel-directory/chats/view/NC59HJJCywPTfzzL8"/>
        <s v="https://chat-conecta.recife.pe.gov.br/live/3NdEwNDHJZxEJH955/room-info"/>
        <s v="https://chat-conecta.recife.pe.gov.br/live/SerXf8CDdYNuvYg33/room-info"/>
        <s v="https://chat-conecta.recife.pe.gov.br/live/AyC7G2u8HwRki9Zp6/members-list"/>
        <s v="https://chat-conecta.recife.pe.gov.br/live/zApHgJFLkuyaN9NTQ/room-info"/>
        <s v="https://chat-conecta.recife.pe.gov.br/live/HAMEsiuZtqaNo2GKR"/>
        <s v="https://chat-conecta.recife.pe.gov.br/live/4DkKhhja6kDaKJgnn"/>
        <s v="https://chat-conecta.recife.pe.gov.br/live/HKec4FjhwesB5Yo9h"/>
        <s v="https://chat-conecta.recife.pe.gov.br/live/6gsboQzBgmoY5pZCB/room-info"/>
        <s v="https://chat-conecta.recife.pe.gov.br/live/rTtgfsrggPoHiQ7ne"/>
        <s v="https://chat-conecta.recife.pe.gov.br/live/Fsvo3CWGyXz6N6cfo/room-info"/>
        <s v="https://chat-conecta.recife.pe.gov.br/live/5uHojBWN8iXdsh9vT/room-info"/>
        <s v="https://chat-conecta.recife.pe.gov.br/live/hz96xNiGGKnaKKrmA/room-info#&amp;gid=1&amp;pid=1"/>
        <s v="https://chat-conecta.recife.pe.gov.br/live/nrKoMsP3ZLmNr6cpQ/room-info"/>
        <s v="https://chat-conecta.recife.pe.gov.br/live/3nLzhoZNJFRaFdAe6/user-info"/>
        <s v="https://chat-conecta.recife.pe.gov.br/live/Hn8etzp7wuzn6Gq7W/user-info#&amp;gid=1&amp;pid=6"/>
        <s v="https://chat-conecta.recife.pe.gov.br/live/ZBbou7YupbZxyArLE"/>
        <s v="https://chat-conecta.recife.pe.gov.br/live/cs2MrjrBy8vZunfKh"/>
        <s v="https://chat-conecta.recife.pe.gov.br/live/AyLRnE89AkiQQzsLZ"/>
        <s v="https://chat-conecta.recife.pe.gov.br/live/iQSEHNW6crqvM4Mnj/room-info"/>
        <s v="https://chat-conecta.recife.pe.gov.br/live/6xwHoFqqeZwSNTdHN"/>
        <s v="https://chat-conecta.recife.pe.gov.br/live/wDYeBJpn8RrhjxpDn"/>
        <s v="https://chat-conecta.recife.pe.gov.br/live/GYNAPA5JtMhoFEyLp"/>
        <s v="https://chat-conecta.recife.pe.gov.br/live/KXDTHrk6hFwEJo6p9/members-list"/>
        <s v="https://chat-conecta.recife.pe.gov.br/live/Hftgsg8KRn8f7ZTTm"/>
        <s v="https://chat-conecta.recife.pe.gov.br/live/6uGnYZKe7dPCBfcda/room-info"/>
        <s v="https://chat-conecta.recife.pe.gov.br/live/MHHXCFcFC6TgKTm7B/members-list"/>
        <s v="https://chat-conecta.recife.pe.gov.br/live/nGahoHcB42nbpsGku/room-info"/>
        <s v="https://chat-conecta.recife.pe.gov.br/live/z8aYeTETgHR4DvXg7/members-list"/>
        <s v="https://chat-conecta.recife.pe.gov.br/live/Pa3tYyzWztXyKvCTB/user-info"/>
        <s v="https://chat-conecta.recife.pe.gov.br/live/eJcHbLnYHDocKBiSR/user-info"/>
        <s v="https://chat-conecta.recife.pe.gov.br/live/paZzmKEpLZFfiGpfu/room-info"/>
        <s v="https://chat-conecta.recife.pe.gov.br/live/Z7PqSB2psij7TCjuH/room-info"/>
        <s v="https://chat-conecta.recife.pe.gov.br/live/LKz9xSbMxFQ7xkwAo/user-info"/>
        <s v="https://chat-conecta.recife.pe.gov.br/live/iwAHdtfRmH9TTzmAw/room-info"/>
        <s v="https://chat-conecta.recife.pe.gov.br/live/hZzKY6jrRgThPXY8u"/>
        <s v="https://chat-conecta.recife.pe.gov.br/live/Hs5FfrFKw6yLukDWW"/>
        <s v="https://chat-conecta.recife.pe.gov.br/live/7YE9ueuABrCGehJfW/room-info"/>
        <s v="https://chat-conecta.recife.pe.gov.br/live/J9WdxttabqHSfKnkX"/>
        <s v="https://chat-conecta.recife.pe.gov.br/live/4svW7AAi2SvHBj9cv/members-list"/>
        <s v="https://chat-conecta.recife.pe.gov.br/live/apY8f73WDZ59ebcbd"/>
        <s v="https://chat-conecta.recife.pe.gov.br/live/weovKF9fJw8doQZav"/>
        <s v="https://chat-conecta.recife.pe.gov.br/live/xs663rB3w2XeTNiHr"/>
        <s v="https://chat-conecta.recife.pe.gov.br/live/pv9D5xWEavr4vBWPv"/>
        <s v="https://chat-conecta.recife.pe.gov.br/live/Z5Hf9iwR47RpxGMHn"/>
        <s v="https://chat-conecta.recife.pe.gov.br/live/5z7raoReSmZx4LpxT/room-info"/>
        <s v="https://chat-conecta.recife.pe.gov.br/live/CL8SCGdZPgfrTmeRY/room-info"/>
        <s v="https://chat-conecta.recife.pe.gov.br/live/Yig99BGWaKFcbhwAy"/>
        <s v="https://chat-conecta.recife.pe.gov.br/live/Tsu8ww9CmQfp8AwvY/room-info"/>
        <s v="https://chat-conecta.recife.pe.gov.br/live/i6K4D2gJxgSuqCspJ/room-info"/>
        <s v="https://chat-conecta.recife.pe.gov.br/live/6P33av7zHrKkmSAWA/room-info"/>
        <s v="https://chat-conecta.recife.pe.gov.br/live/ge3aiXhBuEdPXR3py/room-info"/>
        <s v="https://chat-conecta.recife.pe.gov.br/live/EWYva57EZJYEyAtaA/room-info"/>
        <s v="https://chat-conecta.recife.pe.gov.br/live/jjzJFHu5HKWSenYvB/room-info"/>
        <s v="https://chat-conecta.recife.pe.gov.br/live/mnm2CSQjZkAaKgowq"/>
        <s v="https://chat-conecta.recife.pe.gov.br/omnichannel-directory/chats/view/uAHg4sGcfTzmgyrsg"/>
        <s v="https://chat-conecta.recife.pe.gov.br/live/fe4LEnhvG7CjuwCAx"/>
        <s v="https://chat-conecta.recife.pe.gov.br/live/cudQseAHtdwBdScK8"/>
        <s v="https://chat-conecta.recife.pe.gov.br/live/AMyjBmtLPx4wZNWgD"/>
        <s v="https://chat-conecta.recife.pe.gov.br/live/KpxNL5ZHLjrBsa6AQ/user-info"/>
        <s v="https://chat-conecta.recife.pe.gov.br/live/erEbmKvMHiuJRuinA/room-info"/>
        <s v="https://chat-conecta.recife.pe.gov.br/live/erEbmKvMHiuJRuinA"/>
        <s v="https://chat-conecta.recife.pe.gov.br/live/aEXdfrgmC2w9HzWA3"/>
        <s v="https://chat-conecta.recife.pe.gov.br/live/tNfBKNMRN3Jj5Pcxu"/>
        <s v="https://chat-conecta.recife.pe.gov.br/live/aFXym8yzoM6Leevpd"/>
        <s v="https://chat-conecta.recife.pe.gov.br/live/8hAzthKS4t7FZafmp/members-list"/>
        <s v="https://chat-conecta.recife.pe.gov.br/live/SkRxmBDAhsNrp2P6w/room-info"/>
        <s v="https://chat-conecta.recife.pe.gov.br/live/SET4kirFrQQtntR9e"/>
        <s v="https://chat-conecta.recife.pe.gov.br/live/SET4kirFrQQtntR9e#&amp;gid=1&amp;pid=5"/>
        <s v="https://chat-conecta.recife.pe.gov.br/omnichannel-directory/chats/view/9ujTgc6JeaMJ9Ap6x"/>
        <s v="https://chat-conecta.recife.pe.gov.br/live/2PskQeJpo9TayW7bF/room-info"/>
        <s v="https://chat-conecta.recife.pe.gov.br/live/m6GEWExf2pFJZ3yYt"/>
        <s v="https://chat-conecta.recife.pe.gov.br/live/afuCLgXPJbu8sHABs"/>
        <s v="https://chat-conecta.recife.pe.gov.br/live/3R6nqANmqGxuaR336/user-info"/>
        <s v="https://chat-conecta.recife.pe.gov.br/live/Hx6uP5mHsMwoXDv48/room-info"/>
        <s v="https://chat-conecta.recife.pe.gov.br/live/5pi8XGggr3g7Ajoup/room-info"/>
        <s v="https://chat-conecta.recife.pe.gov.br/live/AHqMmspyxhpoesz7L"/>
        <s v="https://chat-conecta.recife.pe.gov.br/live/i2Rpkhm4e4cBbgqcQ/room-info"/>
        <s v="https://chat-conecta.recife.pe.gov.br/live/cKtdvZkhdC9SkACuF"/>
        <s v="https://chat-conecta.recife.pe.gov.br/live/rYYCoiFJkfYvtP3n5"/>
        <s v="https://chat-conecta.recife.pe.gov.br/live/3iY49JNegrjd6f4Za/user-info"/>
        <s v="https://chat-conecta.recife.pe.gov.br/live/DTuYC3s43M8x4T9nB/user-info"/>
        <s v="https://chat-conecta.recife.pe.gov.br/live/fSEnYLrKfrLNpQmnD/user-info"/>
        <s v="https://chat-conecta.recife.pe.gov.br/omnichannel-directory/chats/view/YRnqp7b9NEDBFJF2K"/>
        <s v="https://chat-conecta.recife.pe.gov.br/live/iFLjw8gboMxn9e7Dh#&amp;gid=1&amp;pid=3"/>
        <s v="https://chat-conecta.recife.pe.gov.br/live/fYKuHitqwFz4LghZz"/>
        <s v="https://chat-conecta.recife.pe.gov.br/live/Br5feW9vLbFSrDpGz"/>
        <s v="https://chat-conecta.recife.pe.gov.br/live/raDcP5gDyeD2TLk46"/>
        <s v="https://chat-conecta.recife.pe.gov.br/live/KxZK9qYrXzSafrJDe"/>
        <s v="https://chat-conecta.recife.pe.gov.br/live/tqt6dLp5FPvWf89Do"/>
        <s v="https://chat-conecta.recife.pe.gov.br/live/TcEMhs2iSYwvb44d3"/>
        <s v="https://chat-conecta.recife.pe.gov.br/live/qkAfNa4cTjo3P2n64"/>
        <s v="https://chat-conecta.recife.pe.gov.br/live/vXNCAe4wGm63hK4af"/>
        <s v="https://chat-conecta.recife.pe.gov.br/live/ehakjbjYg24RLyewm/user-info"/>
        <s v="https://chat-conecta.recife.pe.gov.br/home"/>
        <s v="https://chat-conecta.recife.pe.gov.br/live/S4bGfzQ2LufShqLqx"/>
        <s v="https://chat-conecta.recife.pe.gov.br/live/z4qadkRZcAaQY4YAp"/>
        <s v="https://chat-conecta.recife.pe.gov.br/live/TdunvEfpeKkuzNPaK/user-info"/>
        <s v="https://chat-conecta.recife.pe.gov.br/live/rc9DL2zSu7KgxgCJm"/>
        <s v="https://chat-conecta.recife.pe.gov.br/live/TdunvEfpeKkuzNPaK/room-info"/>
        <s v="https://chat-conecta.recife.pe.gov.br/live/WBieDPRdu69bTcJGM"/>
        <s v="https://chat-conecta.recife.pe.gov.br/live/mz8jxQa3fPJ6EgrnC"/>
        <s v="https://chat-conecta.recife.pe.gov.br/live/eEWau4MkfXtySRHdJ"/>
        <s v="https://chat-conecta.recife.pe.gov.br/live/XYBYaNsDvPth5EqjF/members-list"/>
        <s v="https://chat-conecta.recife.pe.gov.br/live/dHQF27r4Sw3ogbpP4/members-list"/>
        <s v="https://chat-conecta.recife.pe.gov.br/live/eCFzYihnWbjimYNA6"/>
        <s v="https://chat-conecta.recife.pe.gov.br/live/n5sTMpgL8Wg6ZF7ux/members-list"/>
        <s v="https://chat-conecta.recife.pe.gov.br/live/kvK4A7TfXKoRgbKp3"/>
        <s v="https://chat-conecta.recife.pe.gov.br/live/LTE8hYQNhXNShsrBD"/>
        <s v="https://chat-conecta.recife.pe.gov.br/live/GE3JpPzWDA2rKN58f/user-info"/>
        <s v="https://chat-conecta.recife.pe.gov.br/live/bbYcMRchGBaHdckDW"/>
        <s v="https://chat-conecta.recife.pe.gov.br/live/FJga4BrjgWwYfhrYA/room-info"/>
        <s v="https://chat-conecta.recife.pe.gov.br/live/FJga4BrjgWwYfhrYA/user-info"/>
        <s v="https://chat-conecta.recife.pe.gov.br/live/vsovcZFSBYmZjgTbZ/room-info"/>
        <s v="https://chat-conecta.recife.pe.gov.br/live/XNfDZK7XPL493ZAoa/room-info"/>
        <s v="https://chat-conecta.recife.pe.gov.br/live/2ZkFpYCRXKYzFaKME/user-info"/>
        <s v="https://chat-conecta.recife.pe.gov.br/live/2LaTqvuDXcAMxB88S/uploaded-files-list"/>
        <s v="https://chat-conecta.recife.pe.gov.br/live/ntTcP8qgcyv2xruan/user-info"/>
        <s v="https://chat-conecta.recife.pe.gov.br/live/w58JiJcbzk3muumdf/room-info"/>
        <s v="https://chat-conecta.recife.pe.gov.br/live/3nxL8LMwogha6y39P/user-info"/>
        <s v="https://chat-conecta.recife.pe.gov.br/live/nCEjwZYLDHcf45QXQ"/>
        <s v="https://chat-conecta.recife.pe.gov.br/live/6jBoww5kEg68LSPEa"/>
        <s v="https://chat-conecta.recife.pe.gov.br/live/yxZidqQXA6pLY7wno/room-info"/>
        <s v="https://chat-conecta.recife.pe.gov.br/live/p6GkZfRrSaEbFLwnJ/room-info"/>
        <s v="https://chat-conecta.recife.pe.gov.br/live/4uZpnJQ4H8EaHxf9v"/>
        <s v="https://chat-conecta.recife.pe.gov.br/live/pp2q8B6LDT2F47iGP/user-info"/>
        <s v="https://chat-conecta.recife.pe.gov.br/live/ZP3qke22fp9uQCsnc"/>
        <s v="https://chat-conecta.recife.pe.gov.br/live/y2KcN2MFrpsFpxBQu/user-info"/>
        <s v="https://chat-conecta.recife.pe.gov.br/live/QDjZuqS2qdNawah3N/user-info#&amp;gid=1&amp;pid=4"/>
        <s v="https://chat-conecta.recife.pe.gov.br/live/QMghrD6bDMZxTdFMi"/>
        <s v="https://chat-conecta.recife.pe.gov.br/live/SahDMccdbbaFYPnkP/members-list"/>
        <s v="https://chat-conecta.recife.pe.gov.br/live/3KgouvFrQ2ngeGhMm"/>
        <s v="https://chat-conecta.recife.pe.gov.br/live/4ifBMoYDYoAF3NoSm/members-list"/>
        <s v="https://chat-conecta.recife.pe.gov.br/live/fPwu5JZDC7waqsj9N"/>
        <s v="https://chat-conecta.recife.pe.gov.br/live/KwktoySQ2ofGftWAp/room-info"/>
        <s v="https://meet.google.com/zkn-skpm-kga"/>
        <s v="https://chat-conecta.recife.pe.gov.br/live/sFwkhjEFgTgLH2x8t"/>
        <s v="https://chat-conecta.recife.pe.gov.br/live/2b83aju9vYj8mY3q5/members-list"/>
        <s v="https://chat-conecta.recife.pe.gov.br/live/gFfnbRgNNBehpn8Ay/room-info"/>
        <s v="https://chat-conecta.recife.pe.gov.br/live/TBHDHxkwSdaGByiSL"/>
        <s v="https://chat-conecta.recife.pe.gov.br/live/QtGb9gii4sX393Bkd"/>
        <s v="https://chat-conecta.recife.pe.gov.br/live/JzGsxn9PgqTibdDsq/room-info"/>
        <s v="https://chat-conecta.recife.pe.gov.br/live/pC8H7M5LADJw36FnT"/>
        <s v="https://chat-conecta.recife.pe.gov.br/live/Zbgwpgqm4eorLbgaG/room-info"/>
        <s v="https://chat-conecta.recife.pe.gov.br/live/4FND74xdcyvesPnxC/user-info"/>
        <s v="https://chat-conecta.recife.pe.gov.br/live/gbk46mwGmZkBp5Kb4"/>
        <s v="https://chat-conecta.recife.pe.gov.br/live/WnX9coRh3pY62bxQC/contact-profile"/>
        <s v="https://chat-conecta.recife.pe.gov.br/live/riYrEZdu6iJH2GYFp"/>
        <s v="https://chat-conecta.recife.pe.gov.br/live/SYQSsPFz88DojgDkr"/>
        <s v="https://chat-conecta.recife.pe.gov.br/live/QQHB76xp4snCprhQe"/>
        <s v="https://chat-conecta.recife.pe.gov.br/live/RHdf6zARviW3RTZs7/room-info"/>
        <s v="https://chat-conecta.recife.pe.gov.br/live/sjp4fHCpZN2EdD6TF"/>
        <s v="https://chat-conecta.recife.pe.gov.br/live/p2vBwFrHyey6KJ8QS"/>
        <s v="https://chat-conecta.recife.pe.gov.br/live/z5uQiZpT6euzZFBE8"/>
        <s v="https://chat-conecta.recife.pe.gov.br/live/h3tcthEo7mP3uEaEP"/>
        <s v="https://chat-conecta.recife.pe.gov.br/live/NADNosEkTjceY7Haw"/>
        <s v="https://chat-conecta.recife.pe.gov.br/live/wfa9GqJJdGjRiWgMQ"/>
        <s v="https://chat-conecta.recife.pe.gov.br/live/px9DHTxRrRPFJmp7S/user-info"/>
        <s v="https://chat-conecta.recife.pe.gov.br/live/EMcanWTfPr6Ng4jXT/room-info"/>
        <s v="https://chat-conecta.recife.pe.gov.br/live/Sy46W4jsemsCMYgtx"/>
        <s v="https://chat-conecta.recife.pe.gov.br/live/LRsh5bpfvmMQFkw28/room-info"/>
        <s v="https://chat-conecta.recife.pe.gov.br/live/zYNniGJ7Yie65RXsD"/>
        <s v="https://chat-conecta.recife.pe.gov.br/live/dM2kPndQJAA5unEEG"/>
        <s v="https://chat-conecta.recife.pe.gov.br/live/n6W7QqcXPD3vFARLx"/>
        <s v="https://chat-conecta.recife.pe.gov.br/live/evxhWYwv3tS6Su4ng/room-info"/>
        <s v="https://chat-conecta.recife.pe.gov.br/live/2P2GffpuGdTo8fPuZ/user-info"/>
        <s v="https://chat-conecta.recife.pe.gov.br/live/cdezKR43nd7qaKTLR/room-info"/>
        <s v="https://chat-conecta.recife.pe.gov.br/live/vEmJokMMcRCuZcpJe"/>
        <s v="https://chat-conecta.recife.pe.gov.br/live/TmPirrjLAuzkkNfAd"/>
        <s v="https://chat-conecta.recife.pe.gov.br/live/ENfvChr3AFyNfFTF5"/>
        <s v="https://chat-conecta.recife.pe.gov.br/live/HzXvKzPZYoeLgwCNQ/user-info#&amp;gid=1&amp;pid=7"/>
        <s v="https://chat-conecta.recife.pe.gov.br/live/WTvhEhcSBfZmvMapq"/>
        <s v="https://chat-conecta.recife.pe.gov.br/live/WQjsu2vAdJxxMYepc"/>
        <s v="https://chat-conecta.recife.pe.gov.br/live/YGzHPYudmJwTFbPKc/room-info"/>
        <s v="https://chat-conecta.recife.pe.gov.br/live/6rQTMJBz8QNXJ2dWM/user-info"/>
        <s v="https://chat-conecta.recife.pe.gov.br/live/CQgs3L2stMHpDg2f5/user-info"/>
        <s v="https://chat-conecta.recife.pe.gov.br/live/vPCgH7z5oEurBMoR9"/>
        <s v="https://chat-conecta.recife.pe.gov.br/live/AtpMmBNsSsd5enMtp"/>
        <s v="https://chat-conecta.recife.pe.gov.br/live/tPQfXcGR3cW8DgN3x/user-info"/>
        <s v="https://chat-conecta.recife.pe.gov.br/live/hMFpmpb4XmmzZijYj"/>
        <s v="https://chat-conecta.recife.pe.gov.br/live/PS9ohphYmJs7ekBQC"/>
        <s v="https://chat-conecta.recife.pe.gov.br/live/Hukg4WMttHjaQfmua"/>
        <s v="https://chat-conecta.recife.pe.gov.br/live/NinevsZWkd7v7tjwM"/>
        <s v="https://chat-conecta.recife.pe.gov.br/live/Ak8ACWN7eEyjReRFB"/>
        <s v="https://chat-conecta.recife.pe.gov.br/live/Cvw4vTTyYDmSHdWDh/room-info"/>
        <s v="https://chat-conecta.recife.pe.gov.br/live/mGgiXxJAyqQtgm4uK/room-info"/>
        <s v="https://chat-conecta.recife.pe.gov.br/live/kptrbhaTzrK2ktr8A"/>
        <s v="https://chat-conecta.recife.pe.gov.br/live/7JTzz8yk2jZDFyJax"/>
        <s v="https://chat-conecta.recife.pe.gov.br/live/Pb5TZurtYb5jQtBtZ"/>
        <s v="https://chat-conecta.recife.pe.gov.br/live/N2Ph4b9paYK9MTEaN/uploaded-files-list"/>
        <s v="https://chat-conecta.recife.pe.gov.br/live/9eKDYs2n3T9BkNyqm/room-info"/>
        <s v="https://chat-conecta.recife.pe.gov.br/live/6GHMrL8i9sSiG3vea"/>
        <s v="https://chat-conecta.recife.pe.gov.br/live/DnzFR8wLjocHu8g8S/user-info"/>
        <s v="https://chat-conecta.recife.pe.gov.br/live/QMZMLNgNogRCAjf9z/room-info"/>
        <s v="https://chat-conecta.recife.pe.gov.br/live/q4Lqh5k3twcoQkHzd/user-info"/>
        <s v="https://chat-conecta.recife.pe.gov.br/live/7abZaadnTfuFeqXPE"/>
        <s v="https://chat-conecta.recife.pe.gov.br/live/W5JpNfn3g4cCTXGqy"/>
        <s v="https://chat-conecta.recife.pe.gov.br/live/MRFPaXmqffehdBh6a"/>
        <s v="https://chat-conecta.recife.pe.gov.br/live/5pD4oeWYp9P9SBztp"/>
        <s v="https://chat-conecta.recife.pe.gov.br/live/gAAN4dZFDbEejhCAx/user-info"/>
        <s v="https://chat-conecta.recife.pe.gov.br/live/kAvqhexneJWkGC9TD/user-info"/>
        <s v="https://chat-conecta.recife.pe.gov.br/live/ai3gqa3TxSHDrtEFS/user-info"/>
        <s v="https://chat-conecta.recife.pe.gov.br/live/s9iwo5z9PmJG9m8aP/user-info"/>
        <s v="https://chat-conecta.recife.pe.gov.br/live/3EXzH8GWoH3xqdZYt/room-info"/>
        <s v="https://chat-conecta.recife.pe.gov.br/live/kEKTHd5prXyRK3S5G/user-info"/>
        <s v="https://chat-conecta.recife.pe.gov.br/live/ikYgnHT7sy9wyw7ey/uploaded-files-list"/>
        <s v="https://chat-conecta.recife.pe.gov.br/live/asyNQWaZd4JqqPrdq"/>
        <s v="https://chat-conecta.recife.pe.gov.br/live/25jhQpavZtEnGo5aF/user-info"/>
        <s v="https://chat-conecta.recife.pe.gov.br/live/j4im6HCvysDEtbkmD/user-info"/>
        <s v="https://chat-conecta.recife.pe.gov.br/live/NEkvcPtG5wsDcJMSs"/>
        <s v="https://chat-conecta.recife.pe.gov.br/live/Zxu52bnSXjvwrH5uq/user-info"/>
        <s v="https://chat-conecta.recife.pe.gov.br/live/Bm4oDB4XkNbswdswE/user-info"/>
        <s v="https://chat-conecta.recife.pe.gov.br/live/XoAFTDcAwgYpiQYG8/contact-profile"/>
        <s v="https://chat-conecta.recife.pe.gov.br/live/KrgmYWN9T5MWHoe6i/user-info"/>
        <s v="https://chat-conecta.recife.pe.gov.br/live/YA7PGXog8CQx3cMbP/user-info"/>
        <s v="https://chat-conecta.recife.pe.gov.br/live/od6bjHeqe6hrumXao/room-info"/>
        <s v="https://chat-conecta.recife.pe.gov.br/live/gZQyeGQWkHrN4v3y8"/>
        <s v="https://chat-conecta.recife.pe.gov.br/live/2qcsxzkmHud6yC6xS"/>
        <s v="https://chat-conecta.recife.pe.gov.br/live/Nf58wxS2ZqosHdQKv"/>
        <s v="https://chat-conecta.recife.pe.gov.br/live/4753F3KtSvfevPb2A/user-info"/>
        <s v="https://chat-conecta.recife.pe.gov.br/live/9auyC4igp6ranYjno"/>
        <s v="https://chat-conecta.recife.pe.gov.br/live/8QZHNfWYfYBY5d3WN/user-info"/>
        <s v="https://chat-conecta.recife.pe.gov.br/live/EHtnE6sbcNpQyzBaC"/>
        <s v="https://chat-conecta.recife.pe.gov.br/live/ay7LhoFE426QwSKss"/>
        <s v="https://chat-conecta.recife.pe.gov.br/live/NhYQ4h4Dx4rAkJ4Qf/user-info"/>
        <s v="https://chat-conecta.recife.pe.gov.br/live/i3uhSft4dYh92Me9D/user-info"/>
        <s v="https://chat-conecta.recife.pe.gov.br/live/moBnukvQALRWdciJQ"/>
        <s v="https://chat-conecta.recife.pe.gov.br/live/R6Quiuv9X9TZet43i/room-info"/>
        <s v="https://chat-conecta.recife.pe.gov.br/live/GmpHMrNpYPAhk5Xwk/room-info"/>
        <s v="https://chat-conecta.recife.pe.gov.br/live/GeD6XYqdWxves5SmY/room-info"/>
        <s v="https://chat-conecta.recife.pe.gov.br/live/Muzwt7rfvePosaEDc/user-info"/>
        <s v="https://chat-conecta.recife.pe.gov.br/live/MHh2vSgFYtWZLYY8z/room-info"/>
        <s v="https://chat-conecta.recife.pe.gov.br/live/ggCbwmwJFmL9WkFAk"/>
        <s v="https://chat-conecta.recife.pe.gov.br/live/KuuEkXbvHqdxsyCXF/members-list"/>
        <s v="https://chat-conecta.recife.pe.gov.br/live/xpXmhirL8io26rffv/room-info#&amp;gid=1&amp;pid=5"/>
        <s v="https://chat-conecta.recife.pe.gov.br/live/nZ8xf4m7NG7pZxxDr/room-info"/>
        <s v="https://chat-conecta.recife.pe.gov.br/live/HrqqpdChi9dX3Ltcb/room-info"/>
        <s v="https://chat-conecta.recife.pe.gov.br/live/uHe4mKBqRAeWfA4wP/room-info"/>
        <s v="https://chat-conecta.recife.pe.gov.br/live/YDoPoFdKGedhJXJPi"/>
        <s v="https://chat-conecta.recife.pe.gov.br/live/Lxn8JgfrCpJPDJhxc"/>
        <s v="https://chat-conecta.recife.pe.gov.br/live/HQ6fdo5JeP47w4vod/room-info"/>
        <s v="https://chat-conecta.recife.pe.gov.br/live/yjtriDpr2RMjeoC9b/room-info"/>
        <s v="https://chat-conecta.recife.pe.gov.br/live/oG2z9vM5QSw6zrRAS/members-list"/>
        <s v="https://chat-conecta.recife.pe.gov.br/live/nDYcwrSgZvQiTHymH/room-info#&amp;gid=1&amp;pid=3"/>
        <s v="https://chat-conecta.recife.pe.gov.br/live/kq7N7Q8tk6tTJ4CKL"/>
        <s v="https://chat-conecta.recife.pe.gov.br/live/yLuFbzRfShcepYTrr"/>
        <s v="https://chat-conecta.recife.pe.gov.br/live/R5njmNWXy5JEp8tJN"/>
        <s v="https://chat-conecta.recife.pe.gov.br/live/B4GQcxZc6ibuhGshW/user-info"/>
        <s v="https://chat-conecta.recife.pe.gov.br/live/6xfmkWKrzGJh8rWaw"/>
        <s v="https://chat-conecta.recife.pe.gov.br/live/ix7ZKELXkkk5xSxiM"/>
        <s v="https://chat-conecta.recife.pe.gov.br/live/Qq6PCyv6qfSF2Fnz9/room-info"/>
        <s v="https://chat-conecta.recife.pe.gov.br/live/h75KyQ2xMyFt7JW8e/room-info"/>
        <s v="https://chat-conecta.recife.pe.gov.br/live/WKtEkDzzyAALsJ7wG/user-info"/>
        <s v="https://chat-conecta.recife.pe.gov.br/live/nmndfFBEZbChWqFfs"/>
        <s v="https://chat-conecta.recife.pe.gov.br/live/Gk9zyRGqPAcBuR34g/room-info"/>
        <s v="https://chat-conecta.recife.pe.gov.br/live/9kBiBZ93vnRuMbfbo/room-info"/>
        <s v="https://chat-conecta.recife.pe.gov.br/live/6raoowi89PgCn9Wi6/user-info"/>
        <s v="https://chat-conecta.recife.pe.gov.br/live/gAkvXg8mJAKtrQx8R/room-info#&amp;gid=1&amp;pid=2"/>
        <s v="https://chat-conecta.recife.pe.gov.br/live/gu2QSnrH47D55vCnG"/>
        <s v="https://chat-conecta.recife.pe.gov.br/live/zq5fqKf2RpbyXkerK/room-info"/>
        <s v="https://chat-conecta.recife.pe.gov.br/live/5HynbX9SdHkiJYXiA/room-info"/>
        <s v="https://chat-conecta.recife.pe.gov.br/live/ae7etZMMJ6XtuTYcP"/>
        <s v="https://chat-conecta.recife.pe.gov.br/live/9GxprWMrsBbcmjRhC"/>
        <s v="https://chat-conecta.recife.pe.gov.br/live/RGaWmd7GJBjj4oGJk/user-info"/>
        <s v="https://chat-conecta.recife.pe.gov.br/omnichannel-directory/chats/view/f45aSh8RtYx7FxwXw"/>
        <s v="https://chat-conecta.recife.pe.gov.br/live/J8ttWX3qJgnKGdiC5"/>
        <s v="https://chat-conecta.recife.pe.gov.br/live/y3AQ6JiMfT5fvpXb7"/>
        <s v="https://chat-conecta.recife.pe.gov.br/live/88XG4JuNvu3ZukgTQ"/>
        <s v="https://chat-conecta.recife.pe.gov.br/live/9SKGxq5TQMbGT5T56"/>
        <s v="https://chat-conecta.recife.pe.gov.br/live/3AePyaDTPgwXjSFay/user-info"/>
        <s v="https://chat-conecta.recife.pe.gov.br/live/MTGFFfBuwQMXCJPaE"/>
        <s v="https://chat-conecta.recife.pe.gov.br/live/tJTBYvJ5HMiGecifh"/>
        <s v="https://chat-conecta.recife.pe.gov.br/live/HGZ3DQBgBnRdWDc5C"/>
        <s v="https://chat-conecta.recife.pe.gov.br/live/Zb2cjYzfCsb4wLB5F"/>
        <s v="https://chat-conecta.recife.pe.gov.br/live/4gMyuFaa7aSYhj6eF/user-info"/>
        <s v="https://chat-conecta.recife.pe.gov.br/live/hqiLiw458hC7NJJm4"/>
        <s v="https://chat-conecta.recife.pe.gov.br/live/2j57WkKhuudQcc7ab/user-info"/>
        <s v="https://chat-conecta.recife.pe.gov.br/live/FcXJqZXruSJgkWMBS/room-info"/>
        <s v="https://chat-conecta.recife.pe.gov.br/live/EE5LNassRTcR2pHgL"/>
        <s v="https://chat-conecta.recife.pe.gov.br/live/tvTDmobXyKjnGFwd5"/>
        <s v="https://chat-conecta.recife.pe.gov.br/live/qX85kciwKt9H5moLp"/>
        <s v="https://chat-conecta.recife.pe.gov.br/live/a4ww4m4HSfQW73T8u/room-info"/>
        <s v="https://chat-conecta.recife.pe.gov.br/live/voWj38eRFWBtmJxiA"/>
        <s v="https://chat-conecta.recife.pe.gov.br/live/9uvebE7k2Adfs9LQx/user-info#&amp;gid=1&amp;pid=2"/>
        <s v="https://chat-conecta.recife.pe.gov.br/live/M8DHagAESdmdGnqxt"/>
        <s v="https://chat-conecta.recife.pe.gov.br/live/uzFZx8uLgRQzEA2QM/user-info"/>
        <s v="https://chat-conecta.recife.pe.gov.br/live/EQY5Kp3mgLJkycH2C/members-list"/>
        <s v="https://chat-conecta.recife.pe.gov.br/live/4QtagmZbiS5FCMijX/room-info"/>
        <s v="https://chat-conecta.recife.pe.gov.br/live/odPtAEvpaxnNQ2w8i/room-info"/>
        <s v="https://chat-conecta.recife.pe.gov.br/live/3ksJ3mqXxYfvbRNbB/room-info"/>
        <s v="https://chat-conecta.recife.pe.gov.br/live/swyw2a96qRenApvdF"/>
        <s v="https://chat-conecta.recife.pe.gov.br/live/NBp3nmmdBeYYmmbbs/members-list"/>
        <s v="https://chat-conecta.recife.pe.gov.br/live/ndzjiW2RYtRmpozs8"/>
        <s v="https://chat-conecta.recife.pe.gov.br/live/XXCeBddGZWt5RzRNr"/>
        <s v="https://chat-conecta.recife.pe.gov.br/live/yaS3N3sFak2ZLyCGW"/>
        <s v="https://chat-conecta.recife.pe.gov.br/live/XXCeBddGZWt5RzRNr/room-info"/>
        <s v="https://chat-conecta.recife.pe.gov.br/live/xJtJMAqW2tzACRjqG/room-info"/>
        <s v="https://chat-conecta.recife.pe.gov.br/live/tNt8TfGyEmano7FLq"/>
        <s v="https://chat-conecta.recife.pe.gov.br/live/Z237t8NQozaYLmADw"/>
        <s v="https://chat-conecta.recife.pe.gov.br/live/4KGrqAypaKgHiXCYj"/>
        <s v="https://chat-conecta.recife.pe.gov.br/live/pQEzNrwBbi2CCWaxu/user-info"/>
        <s v="https://chat-conecta.recife.pe.gov.br/live/LwSC57fks9qxDYkoM"/>
        <s v="https://chat-conecta.recife.pe.gov.br/live/8NZAynBdhZkSBpoDX/room-info"/>
        <s v="https://chat-conecta.recife.pe.gov.br/live/36HhPcAb5oNefXaKW/room-info"/>
        <s v="https://chat-conecta.recife.pe.gov.br/live/zgRNdosRghT9zjAzK/room-info"/>
        <s v="https://chat-conecta.recife.pe.gov.br/live/9BaK85dFZHeruKhvM/user-info"/>
        <s v="https://chat-conecta.recife.pe.gov.br/live/aB6Bc2BuRbP385Hrj/members-list"/>
        <s v="https://chat-conecta.recife.pe.gov.br/live/NH47SRKWMjAAXsuJr/user-info"/>
        <s v="https://chat-conecta.recife.pe.gov.br/live/BFAvRxBRfPHLX7hHr"/>
        <s v="https://chat-conecta.recife.pe.gov.br/live/n9ABbnNYdbt4p42vz/room-info"/>
        <s v="https://chat-conecta.recife.pe.gov.br/live/ThTFqPxtDCEYGD8t4"/>
        <s v="https://chat-conecta.recife.pe.gov.br/live/ThTFqPxtDCEYGD8t4/room-info"/>
        <s v="https://chat-conecta.recife.pe.gov.br/live/vZk9AxnuiFtsuMBMZ/room-info"/>
        <s v="https://chat-conecta.recife.pe.gov.br/live/CXL24YQuscqSFgfkX"/>
        <s v="https://chat-conecta.recife.pe.gov.br/live/MS26ufXrEAA7AszpS"/>
        <s v="https://chat-conecta.recife.pe.gov.br/live/GgCYzpBQnPCKfsExM"/>
        <s v="https://chat-conecta.recife.pe.gov.br/live/G7TdNyTgvuvPYupGv/room-info"/>
        <s v="https://chat-conecta.recife.pe.gov.br/live/hHzCQk6747Nio5r28/room-info"/>
        <s v="https://chat-conecta.recife.pe.gov.br/live/6BhhebnXknFpimzM5"/>
        <s v="https://chat-conecta.recife.pe.gov.br/live/iMbRMgaYi57tfyLMe/room-info"/>
        <s v="https://chat-conecta.recife.pe.gov.br/live/XECA87aSgNfGBsPzr"/>
        <s v="https://chat-conecta.recife.pe.gov.br/live/jaWmSM8YGBE5bwnEL"/>
        <s v="https://chat-conecta.recife.pe.gov.br/live/f8RiEH3LP5b6hCu7f/user-info"/>
        <s v="https://chat-conecta.recife.pe.gov.br/live/c7igo4j4vdqWc2WHj/user-info"/>
        <s v="https://chat-conecta.recife.pe.gov.br/live/P5JEvc39PsTFP6dRy/user-info"/>
        <s v="https://chat-conecta.recife.pe.gov.br/live/irzdipYdciuzFkvoJ"/>
        <s v="https://chat-conecta.recife.pe.gov.br/live/EfwFjDrh8mbyqLxsp/room-info"/>
        <s v="https://chat-conecta.recife.pe.gov.br/live/4JD82cTjkLvB3Jj9Y/room-info"/>
        <s v="https://chat-conecta.recife.pe.gov.br/live/bpixz7bWhnQuxmQNN"/>
        <s v="https://chat-conecta.recife.pe.gov.br/live/Zt3rrbFKSBdxzRXZ8"/>
        <s v="https://chat-conecta.recife.pe.gov.br/live/szsD6iQ8WF6uKhHn2/room-info"/>
        <s v="https://chat-conecta.recife.pe.gov.br/live/Gmiz7uGtbh9ZL865d/room-info"/>
        <s v="https://chat-conecta.recife.pe.gov.br/live/Nm3vDZ5xGCvujHKoS/user-info"/>
        <s v="https://chat-conecta.recife.pe.gov.br/live/SCJ5L23fou3xmRi7x"/>
        <s v="https://chat-conecta.recife.pe.gov.br/live/9ntRneC5QPRWSPfJx/room-info"/>
        <s v="https://chat-conecta.recife.pe.gov.br/live/gu8TxfguPGrWHewqo"/>
        <s v="https://chat-conecta.recife.pe.gov.br/live/SiRKmmdwdiDBsqoKa/user-info"/>
        <s v="https://chat-conecta.recife.pe.gov.br/live/n9vFtbtZye6oWQbns/room-info"/>
        <s v="https://chat-conecta.recife.pe.gov.br/live/MjMHvvSzb5d99Eu9y"/>
        <s v="https://chat-conecta.recife.pe.gov.br/live/aSvJDCgm3ryeQ847n"/>
        <s v="https://chat-conecta.recife.pe.gov.br/live/SWj69vmkjrSCFTjgx"/>
        <s v="https://chat-conecta.recife.pe.gov.br/live/oWbd3xLrEzRycFbxt"/>
        <s v="https://chat-conecta.recife.pe.gov.br/live/dSHFc5ah9SQ7FCCRz/user-info"/>
        <s v="https://chat-conecta.recife.pe.gov.br/live/wKHtBzpehps2Rpshe"/>
        <s v="https://chat-conecta.recife.pe.gov.br/live/TDxrAmsnn7nJGGvtP"/>
        <s v="https://chat-conecta.recife.pe.gov.br/live/tLboSd8oieAL4vaD3/room-info"/>
        <s v="https://chat-conecta.recife.pe.gov.br/live/SKbFyD84FFG2az7x8/user-info"/>
        <s v="https://chat-conecta.recife.pe.gov.br/live/pDc5fenzyGNH3uHNg/room-info"/>
        <s v="https://chat-conecta.recife.pe.gov.br/live/mAT86vz7XtS3rYJR2/room-info"/>
        <s v="https://chat-conecta.recife.pe.gov.br/live/qt5H6oQ82ACSYmC2G"/>
        <s v="https://chat-conecta.recife.pe.gov.br/live/qt5H6oQ82ACSYmC2G/contact-profile"/>
        <s v="https://chat-conecta.recife.pe.gov.br/live/pAAr9hk3Sih9wAgni"/>
        <s v="https://chat-conecta.recife.pe.gov.br/live/a9583jGBHLfn8HEQg/room-info"/>
        <s v="https://chat-conecta.recife.pe.gov.br/live/cy8YAqeoSBaTMNPfz"/>
        <s v="https://chat-conecta.recife.pe.gov.br/live/iRfCAPrFxs4itj35N"/>
        <s v="https://chat-conecta.recife.pe.gov.br/live/zDyKBTKQQQEiP8YBc"/>
        <s v="https://chat-conecta.recife.pe.gov.br/live/w3GekCtqXHGEroEvA/user-info"/>
        <s v="https://chat-conecta.recife.pe.gov.br/live/kdovYu9zKiR78hpiN"/>
        <s v="https://chat-conecta.recife.pe.gov.br/live/N8ohjRZ5iHoMF9qgF/user-info"/>
        <s v="https://chat-conecta.recife.pe.gov.br/live/BeJK4HzjJbJQMC74Q/room-info"/>
        <s v="https://chat-conecta.recife.pe.gov.br/live/Zw7iqr7gyxX3nMhfJ"/>
        <s v="https://chat-conecta.recife.pe.gov.br/live/LFMopf5EWNkZGqrir/user-info"/>
        <s v="https://chat-conecta.recife.pe.gov.br/live/nqpyCQ3YkJafAWX2W/members-list"/>
        <s v="https://chat-conecta.recife.pe.gov.br/live/8Q9kXLjfzaoTBbLjv/user-info"/>
        <s v="https://chat-conecta.recife.pe.gov.br/live/iwkhY4WqcFZBRwx4e"/>
        <s v="https://chat-conecta.recife.pe.gov.br/live/Rep4Gfxh3bGMunJ3T/room-info"/>
        <s v="https://chat-conecta.recife.pe.gov.br/live/ioeSwQsHx96AsjnZZ/room-info"/>
        <s v="https://chat-conecta.recife.pe.gov.br/live/dahYTy8fMpsFfW9DB/room-info"/>
        <s v="https://chat-conecta.recife.pe.gov.br/live/C8Yhcsh7NCMhNpLSW/user-info"/>
        <s v="https://chat-conecta.recife.pe.gov.br/live/suAdkvhHvWkCZSWZQ/user-info"/>
        <s v="https://chat-conecta.recife.pe.gov.br/live/RGwLiA5B6WrmvMmfm/user-info"/>
        <s v="https://chat-conecta.recife.pe.gov.br/live/n4BKe9GfBkeNqK3iw"/>
        <s v="https://chat-conecta.recife.pe.gov.br/live/qjgRwZzCJm7NpokvD"/>
        <s v="https://chat-conecta.recife.pe.gov.br/live/M38yM7RzhPBcnhTYa/user-info"/>
        <s v="https://chat-conecta.recife.pe.gov.br/live/p9CNhgAmskxkjqebY/user-info"/>
        <s v="https://chat-conecta.recife.pe.gov.br/live/dDq7dEaCqFipf9vmG"/>
        <s v="https://chat-conecta.recife.pe.gov.br/live/WDT2Fc683wyNam8nS/room-info#&amp;gid=1&amp;pid=3"/>
        <s v="https://chat-conecta.recife.pe.gov.br/live/LZTFc7E5vJQKjwPfi/user-info"/>
        <s v="https://chat-conecta.recife.pe.gov.br/live/86R4KShPN3G5hfBAy"/>
        <s v="https://chat-conecta.recife.pe.gov.br/live/yiY3ZpiSMBcDZiNht/members-list"/>
        <s v="https://chat-conecta.recife.pe.gov.br/live/zPW7S5a9bKyQFSxF6/room-info"/>
        <s v="https://chat-conecta.recife.pe.gov.br/live/NPfqCSuNt2DDzNgLn"/>
        <s v="https://chat-conecta.recife.pe.gov.br/live/oGH94CCqu6nP3SYwQ/room-info"/>
        <s v="https://chat-conecta.recife.pe.gov.br/live/jDudnREXvvCbrcKxS/user-info"/>
        <s v="https://chat-conecta.recife.pe.gov.br/direct/JqDiChnx3q5b6JYt5TQcuSEArNi4YqW2MZ"/>
        <s v="https://chat-conecta.recife.pe.gov.br/live/SiBvyBMwEDJe5Awgv/user-info"/>
        <s v="https://chat-conecta.recife.pe.gov.br/live/BQrofuawLzq9hSffu/room-info"/>
        <s v="https://chat-conecta.recife.pe.gov.br/live/9G2xJLjeMHJhAAKMm/user-info"/>
        <s v="https://chat-conecta.recife.pe.gov.br/live/rn4GpN6FoSbspp6Fz"/>
        <s v="https://chat-conecta.recife.pe.gov.br/live/2bL3fx6mPZnxyd6na/room-info"/>
        <s v="https://chat-conecta.recife.pe.gov.br/live/WApNrz3K6aa8cXpC3"/>
        <s v="https://chat-conecta.recife.pe.gov.br/live/8tzamN7wbdQPpzDHd/room-info"/>
        <s v="https://chat-conecta.recife.pe.gov.br/live/FELS5sdARpBuD8jyn"/>
        <s v="https://chat-conecta.recife.pe.gov.br/live/q8oEvo9QQsy76MeEc/user-info"/>
        <s v="https://chat-conecta.recife.pe.gov.br/live/RdasYAmKuFQQnL7cu/room-info"/>
        <s v="https://chat-conecta.recife.pe.gov.br/live/TE2qhzyKvuX8jjxwn/room-info"/>
        <s v="https://chat-conecta.recife.pe.gov.br/live/TE2qhzyKvuX8jjxwn/user-info"/>
        <s v="https://chat-conecta.recife.pe.gov.br/live/RdasYAmKuFQQnL7cu/members-list"/>
        <s v="https://chat-conecta.recife.pe.gov.br/live/GHvrDD4ZBXdyy8mR7/user-info"/>
        <s v="https://chat-conecta.recife.pe.gov.br/live/EjM4ydqyTRrgu7QgL/room-info"/>
        <s v="https://chat-conecta.recife.pe.gov.br/live/bDpZL6bxbZLvqjpbv/user-info"/>
        <s v="https://chat-conecta.recife.pe.gov.br/live/LJQ68yNxuZKQFhqNa"/>
        <s v="https://chat-conecta.recife.pe.gov.br/live/esjcEcd8NsSvmfDTx"/>
        <s v="https://chat-conecta.recife.pe.gov.br/live/3i8GDcP74euvyRq4y/user-info"/>
        <s v="https://chat-conecta.recife.pe.gov.br/live/YPTtEWNCoR3MAMJnK/user-info"/>
        <s v="https://chat-conecta.recife.pe.gov.br/live/6oRFbYZ982SuGG7y5/user-info"/>
        <s v="https://chat-conecta.recife.pe.gov.br/live/3KGQ6uXXWrcejMkcx"/>
        <s v="https://chat-conecta.recife.pe.gov.br/live/bDTy44WhXchXergXn"/>
        <s v="https://chat-conecta.recife.pe.gov.br/live/tJpBn7MqFqbp2e3kS"/>
        <s v="https://chat-conecta.recife.pe.gov.br/live/C7oqL2ud3MZt2u3hn/user-info"/>
        <s v="https://chat-conecta.recife.pe.gov.br/live/RyFSFhNSGGHNRf7sv"/>
        <s v="https://chat-conecta.recife.pe.gov.br/live/W7DrXGZKt43eWc7iR/user-info"/>
        <s v="https://chat-conecta.recife.pe.gov.br/live/nNTApPW98vGd25PDa/room-info"/>
        <s v="https://chat-conecta.recife.pe.gov.br/live/L2BfMcxxapK6jv2vj/user-info"/>
        <s v="https://chat-conecta.recife.pe.gov.br/live/TXrK4iYuBpRsCvb3S/user-info"/>
        <s v="https://chat-conecta.recife.pe.gov.br/live/f9CJ9fpwKdydNazEG/room-info"/>
        <s v="https://chat-conecta.recife.pe.gov.br/live/SiXEkNyhYPexDRTYB/room-info"/>
        <s v="https://chat-conecta.recife.pe.gov.br/live/REAFdqte2DKN4QpLP/room-info"/>
        <s v="https://chat-conecta.recife.pe.gov.br/live/zYgtdJFJ3rJJACTvY/user-info"/>
        <s v="https://chat-conecta.recife.pe.gov.br/live/rkDpTrAb2zbsZZtEn/room-info"/>
        <s v="https://chat-conecta.recife.pe.gov.br/live/HC8js47RFGjMnqrgo/room-info"/>
        <s v="https://chat-conecta.recife.pe.gov.br/live/eN55dtLrcue6ioXq6/room-info"/>
        <s v="https://chat-conecta.recife.pe.gov.br/live/uRmrzRFMFLpwi627A/room-info"/>
        <s v="https://chat-conecta.recife.pe.gov.br/live/irRDQxrq8Wt5xQkxs/room-info"/>
        <s v="https://chat-conecta.recife.pe.gov.br/live/QgyfPRR29Fw4fxpBr"/>
        <s v="https://chat-conecta.recife.pe.gov.br/live/TSDPJpdEARmRSkntZ/room-info"/>
        <s v="https://chat-conecta.recife.pe.gov.br/live/o4i274noExP4KFtZD#&amp;gid=1&amp;pid=4"/>
        <s v="https://chat-conecta.recife.pe.gov.br/live/M5AJwqY9hTP9hsbzn/room-info"/>
        <s v="https://chat-conecta.recife.pe.gov.br/live/wKzKnY2JEsvez7qTe/room-info"/>
        <s v="https://chat-conecta.recife.pe.gov.br/live/mDSscMFhtKxSRk8wM/room-info"/>
        <s v="https://chat-conecta.recife.pe.gov.br/live/HvG3Hf6MtQt96AqC5"/>
        <s v="https://chat-conecta.recife.pe.gov.br/live/Wv4wZsCDqMyrkzAHt/room-info"/>
        <s v="https://chat-conecta.recife.pe.gov.br/live/dmHQswBy5gDbErr3h/room-info"/>
        <s v="https://chat-conecta.recife.pe.gov.br/direct/TQcuSEArNi4YqW2MZrD7nzdMcrwARnnswP"/>
        <s v="https://chat-conecta.recife.pe.gov.br/live/GczgX5YLhyZj3MdrT/room-info"/>
        <s v="https://chat-conecta.recife.pe.gov.br/live/gw8z9yc5S5BxidyoK"/>
        <s v="https://chat-conecta.recife.pe.gov.br/omnichannel-directory/chats/view/XtDv9XtgshTPFwR5i"/>
        <s v="https://chat-conecta.recife.pe.gov.br/live/wzbTkDnqRDE3x5qfA"/>
        <s v="https://chat-conecta.recife.pe.gov.br/live/r5niX7Txd6au46Djc"/>
        <s v="https://chat-conecta.recife.pe.gov.br/live/GK3DuFZokjHkRm9PR"/>
        <s v="https://chat-conecta.recife.pe.gov.br/live/4K83cYoqZJMWkoopL/room-info"/>
        <s v="https://chat-conecta.recife.pe.gov.br/live/Egynxpvsz5BiZmNte"/>
        <s v="https://chat-conecta.recife.pe.gov.br/omnichannel-directory/chats/view/eZNCqLDwhnaSogywR/room-info"/>
        <s v="https://chat-conecta.recife.pe.gov.br/live/SpYsRE7QmAuqDZinD/contact-chat-history"/>
        <s v="https://chat-conecta.recife.pe.gov.br/live/59rCpymG9MbtoYKFp/room-info"/>
        <s v="https://chat-conecta.recife.pe.gov.br/live/aWL3dzB4mDB6cLWQk/room-info"/>
        <s v="https://chat-conecta.recife.pe.gov.br/live/HE9wg335DEGEnuXK9/user-info"/>
        <s v="https://chat-conecta.recife.pe.gov.br/live/kbEASpjrpZ9fd5iNP/user-info"/>
        <s v="https://chat-conecta.recife.pe.gov.br/live/H47ENv8Tx2LEoGPjL/room-info"/>
        <s v="https://chat-conecta.recife.pe.gov.br/live/9WvickZjiJEQELaF2/members-list"/>
        <s v="https://chat-conecta.recife.pe.gov.br/live/yxCf8Ao3nfiWcZMvT"/>
        <s v="https://chat-conecta.recife.pe.gov.br/live/W7Jw76qsWbDu7j4RB"/>
        <s v="https://chat-conecta.recife.pe.gov.br/live/5XPj5pAaCE7Zx7NLg/user-info"/>
        <s v="https://chat-conecta.recife.pe.gov.br/live/D8RLp69xF28EwFneB/user-info"/>
        <s v="https://chat-conecta.recife.pe.gov.br/live/KLTjRkqg2xoM6TZut"/>
        <s v="https://chat-conecta.recife.pe.gov.br/live/7fEWjjB9PTSzaizwQ"/>
        <s v="https://chat-conecta.recife.pe.gov.br/live/mLGoK8riyYGXLS6Bw/room-info"/>
        <s v="https://chat-conecta.recife.pe.gov.br/live/7v873YBzShCTMkQLW"/>
        <s v="https://chat-conecta.recife.pe.gov.br/live/t9hA4JHWvY2MsFqt3/user-info"/>
        <s v="https://chat-conecta.recife.pe.gov.br/live/EYi5wMbSFtekfQLeW/room-info"/>
        <s v="https://chat-conecta.recife.pe.gov.br/live/NzuAX2fuDvLNid6Pm"/>
        <s v="https://chat-conecta.recife.pe.gov.br/live/wYhjtz5PLqkCoEeve"/>
        <s v="https://chat-conecta.recife.pe.gov.br/live/4nLmynik4jnDFXCHS"/>
        <s v="https://chat-conecta.recife.pe.gov.br/live/RQhZJYSuCyt8TK4KW/room-info"/>
        <s v="https://chat-conecta.recife.pe.gov.br/live/hbKHmedcAsJqBWZjw/user-info"/>
        <s v="https://chat-conecta.recife.pe.gov.br/live/bgDhgvtu4L7BYDax3/room-info"/>
        <s v="https://chat-conecta.recife.pe.gov.br/live/fJLEc8JKRAvGSRiT7"/>
        <s v="https://chat-conecta.recife.pe.gov.br/live/ugo5ocfiD2PFjBbTn/members-list"/>
        <s v="https://chat-conecta.recife.pe.gov.br/live/SktjE7pqwaEK5btiG/room-info"/>
        <s v="https://chat-conecta.recife.pe.gov.br/live/mLpGEgPv4gYrGFA27/user-info"/>
        <s v="https://chat-conecta.recife.pe.gov.br/live/xMXigdLeLCZeaCRFA/user-info"/>
        <s v="https://chat-conecta.recife.pe.gov.br/live/jiCMh3NCYdMzxQkwr/room-info"/>
        <s v="https://chat-conecta.recife.pe.gov.br/live/HDPy7hR8Rn4FKRLzR/uploaded-files-list"/>
      </sharedItems>
    </cacheField>
    <cacheField name="Mora em área de cobertura da ESF?" numFmtId="0">
      <sharedItems containsBlank="1" count="4">
        <m/>
        <s v="Sim"/>
        <s v="Não"/>
        <s v="Sim, ESF Incompleta (PACs/EACs)"/>
      </sharedItems>
    </cacheField>
    <cacheField name="Raça/cor" numFmtId="0">
      <sharedItems containsBlank="1" count="7">
        <m/>
        <s v="Branca"/>
        <s v="Parda"/>
        <s v="Preta"/>
        <s v="Amarela"/>
        <s v="Ignorado"/>
        <s v="Não questionado"/>
      </sharedItems>
    </cacheField>
    <cacheField name="Data de nascimento" numFmtId="0">
      <sharedItems containsBlank="1" containsDate="1" containsMixedTypes="1" count="722">
        <m/>
        <d v="1987-01-22T00:00:00"/>
        <d v="1998-01-08T00:00:00"/>
        <d v="1995-08-08T00:00:00"/>
        <d v="1993-03-01T00:00:00"/>
        <d v="2003-07-17T00:00:00"/>
        <d v="1995-08-17T00:00:00"/>
        <d v="2004-12-26T00:00:00"/>
        <d v="2004-10-26T00:00:00"/>
        <d v="1983-03-19T00:00:00"/>
        <d v="1985-10-16T00:00:00"/>
        <d v="1997-02-01T00:00:00"/>
        <s v="2/1/0997"/>
        <d v="2000-02-07T00:00:00"/>
        <d v="1991-10-14T00:00:00"/>
        <d v="1997-06-07T00:00:00"/>
        <d v="2000-12-08T00:00:00"/>
        <d v="2002-08-06T00:00:00"/>
        <d v="1997-01-15T00:00:00"/>
        <d v="1998-04-27T00:00:00"/>
        <d v="1997-06-21T00:00:00"/>
        <d v="1994-09-07T00:00:00"/>
        <d v="1997-02-24T00:00:00"/>
        <d v="1995-05-11T00:00:00"/>
        <d v="1990-06-22T00:00:00"/>
        <d v="1997-04-10T00:00:00"/>
        <d v="1998-01-18T00:00:00"/>
        <d v="2001-10-28T00:00:00"/>
        <d v="1997-07-18T00:00:00"/>
        <d v="1994-07-09T00:00:00"/>
        <d v="1985-05-18T00:00:00"/>
        <d v="1988-10-02T00:00:00"/>
        <d v="1994-11-25T00:00:00"/>
        <d v="1999-11-12T00:00:00"/>
        <d v="1994-07-06T00:00:00"/>
        <d v="2000-07-12T00:00:00"/>
        <d v="1981-04-14T00:00:00"/>
        <d v="1992-01-26T00:00:00"/>
        <d v="1994-06-23T00:00:00"/>
        <d v="1996-01-25T00:00:00"/>
        <d v="1997-10-13T00:00:00"/>
        <d v="1993-12-02T00:00:00"/>
        <d v="2003-06-30T00:00:00"/>
        <d v="1999-02-07T00:00:00"/>
        <d v="1993-12-16T00:00:00"/>
        <d v="1989-04-23T00:00:00"/>
        <d v="1995-03-17T00:00:00"/>
        <d v="1991-10-03T00:00:00"/>
        <d v="1996-07-06T00:00:00"/>
        <d v="1991-10-08T00:00:00"/>
        <d v="1993-12-19T00:00:00"/>
        <d v="1995-05-25T00:00:00"/>
        <d v="2000-10-07T00:00:00"/>
        <d v="2023-03-30T00:00:00"/>
        <d v="1998-11-10T00:00:00"/>
        <d v="2000-09-18T00:00:00"/>
        <d v="2003-06-01T00:00:00"/>
        <d v="1996-06-08T00:00:00"/>
        <d v="1985-09-26T00:00:00"/>
        <s v="3/17/1195"/>
        <d v="1997-09-21T00:00:00"/>
        <d v="1992-12-29T00:00:00"/>
        <d v="1989-06-15T00:00:00"/>
        <d v="1985-08-07T00:00:00"/>
        <d v="2002-07-03T00:00:00"/>
        <d v="2000-07-18T00:00:00"/>
        <d v="1984-01-16T00:00:00"/>
        <d v="1997-06-04T00:00:00"/>
        <d v="1994-02-01T00:00:00"/>
        <d v="1999-02-02T00:00:00"/>
        <d v="2002-04-18T00:00:00"/>
        <d v="1992-05-17T00:00:00"/>
        <d v="1999-03-27T00:00:00"/>
        <d v="1995-05-06T00:00:00"/>
        <d v="1993-12-23T00:00:00"/>
        <d v="2002-12-19T00:00:00"/>
        <d v="1990-06-06T00:00:00"/>
        <d v="1991-12-14T00:00:00"/>
        <d v="1996-06-04T00:00:00"/>
        <d v="2000-06-22T00:00:00"/>
        <d v="1983-05-02T00:00:00"/>
        <d v="1990-05-01T00:00:00"/>
        <d v="1990-08-06T00:00:00"/>
        <d v="1997-09-17T00:00:00"/>
        <d v="2000-08-06T00:00:00"/>
        <d v="1995-07-01T00:00:00"/>
        <d v="1998-02-25T00:00:00"/>
        <d v="1998-02-14T00:00:00"/>
        <d v="1997-07-21T00:00:00"/>
        <d v="1980-09-05T00:00:00"/>
        <d v="1995-01-03T00:00:00"/>
        <d v="1999-06-05T00:00:00"/>
        <d v="1992-09-10T00:00:00"/>
        <d v="1989-04-24T00:00:00"/>
        <d v="1997-12-18T00:00:00"/>
        <d v="1980-09-04T00:00:00"/>
        <d v="1999-11-15T00:00:00"/>
        <d v="2003-11-17T00:00:00"/>
        <d v="1991-04-25T00:00:00"/>
        <d v="1985-07-04T00:00:00"/>
        <d v="1991-05-11T00:00:00"/>
        <d v="1998-03-12T00:00:00"/>
        <d v="1992-09-30T00:00:00"/>
        <d v="2000-10-14T00:00:00"/>
        <d v="2002-11-16T00:00:00"/>
        <d v="2003-09-14T00:00:00"/>
        <d v="2002-06-24T00:00:00"/>
        <d v="1996-10-08T00:00:00"/>
        <d v="2003-10-29T00:00:00"/>
        <d v="1999-05-01T00:00:00"/>
        <d v="1987-04-09T00:00:00"/>
        <d v="1999-04-08T00:00:00"/>
        <d v="2024-05-13T00:00:00"/>
        <d v="1991-06-10T00:00:00"/>
        <d v="1994-08-09T00:00:00"/>
        <d v="1984-09-29T00:00:00"/>
        <d v="1990-08-30T00:00:00"/>
        <d v="1987-05-05T00:00:00"/>
        <d v="2006-02-08T00:00:00"/>
        <d v="1999-05-22T00:00:00"/>
        <d v="1994-08-13T00:00:00"/>
        <d v="2000-10-08T00:00:00"/>
        <d v="1997-04-06T00:00:00"/>
        <d v="1996-05-07T00:00:00"/>
        <d v="1996-05-21T00:00:00"/>
        <d v="1991-07-12T00:00:00"/>
        <d v="1998-05-10T00:00:00"/>
        <d v="1991-05-26T00:00:00"/>
        <d v="1996-12-20T00:00:00"/>
        <d v="1989-09-30T00:00:00"/>
        <d v="1998-12-03T00:00:00"/>
        <d v="2006-03-18T00:00:00"/>
        <d v="2001-01-17T00:00:00"/>
        <d v="1986-12-05T00:00:00"/>
        <d v="2021-07-19T00:00:00"/>
        <d v="1988-12-27T00:00:00"/>
        <d v="1984-10-29T00:00:00"/>
        <d v="1997-09-08T00:00:00"/>
        <d v="2002-07-30T00:00:00"/>
        <d v="1988-07-11T00:00:00"/>
        <d v="1988-11-27T00:00:00"/>
        <d v="1987-03-29T00:00:00"/>
        <d v="2001-03-20T00:00:00"/>
        <d v="1998-01-23T00:00:00"/>
        <d v="1992-02-19T00:00:00"/>
        <d v="2001-10-15T00:00:00"/>
        <d v="2000-02-19T00:00:00"/>
        <d v="2001-02-15T00:00:00"/>
        <d v="1996-05-14T00:00:00"/>
        <d v="2023-06-29T00:00:00"/>
        <d v="1986-06-02T00:00:00"/>
        <d v="1983-01-14T00:00:00"/>
        <d v="1996-02-14T00:00:00"/>
        <d v="1994-08-16T00:00:00"/>
        <d v="1991-10-24T00:00:00"/>
        <d v="1993-08-26T00:00:00"/>
        <d v="2002-01-12T00:00:00"/>
        <d v="1984-07-28T00:00:00"/>
        <d v="1994-04-16T00:00:00"/>
        <d v="2001-11-02T00:00:00"/>
        <d v="2003-07-24T00:00:00"/>
        <d v="2000-06-17T00:00:00"/>
        <d v="1996-07-04T00:00:00"/>
        <d v="1986-09-20T00:00:00"/>
        <d v="1989-09-09T00:00:00"/>
        <d v="2002-09-30T00:00:00"/>
        <d v="1999-05-29T00:00:00"/>
        <d v="2003-08-14T00:00:00"/>
        <d v="1997-10-28T00:00:00"/>
        <d v="1999-07-22T00:00:00"/>
        <d v="1985-01-21T00:00:00"/>
        <d v="1997-08-29T00:00:00"/>
        <d v="1994-01-17T00:00:00"/>
        <d v="1985-02-21T00:00:00"/>
        <d v="1992-12-21T00:00:00"/>
        <d v="1996-11-08T00:00:00"/>
        <d v="1996-12-27T00:00:00"/>
        <d v="1987-12-17T00:00:00"/>
        <d v="2022-12-29T00:00:00"/>
        <d v="1998-09-27T00:00:00"/>
        <d v="2001-06-01T00:00:00"/>
        <d v="1993-07-27T00:00:00"/>
        <d v="1997-07-27T00:00:00"/>
        <d v="1984-09-22T00:00:00"/>
        <d v="1994-04-18T00:00:00"/>
        <d v="1998-02-10T00:00:00"/>
        <d v="1998-09-28T00:00:00"/>
        <d v="1995-12-02T00:00:00"/>
        <d v="1998-12-12T00:00:00"/>
        <d v="1995-06-20T00:00:00"/>
        <d v="2001-08-23T00:00:00"/>
        <d v="2003-12-02T00:00:00"/>
        <d v="1993-08-09T00:00:00"/>
        <d v="2001-02-05T00:00:00"/>
        <d v="1992-01-06T00:00:00"/>
        <d v="2001-11-27T00:00:00"/>
        <d v="1987-02-22T00:00:00"/>
        <d v="1997-11-23T00:00:00"/>
        <d v="1990-09-15T00:00:00"/>
        <d v="1982-04-08T00:00:00"/>
        <d v="1999-05-07T00:00:00"/>
        <d v="1999-07-29T00:00:00"/>
        <d v="1999-05-30T00:00:00"/>
        <d v="1996-08-26T00:00:00"/>
        <d v="1994-08-11T00:00:00"/>
        <d v="1996-06-02T00:00:00"/>
        <d v="1993-03-16T00:00:00"/>
        <d v="2005-01-01T00:00:00"/>
        <d v="1999-08-04T00:00:00"/>
        <d v="2004-04-29T00:00:00"/>
        <d v="1999-05-15T00:00:00"/>
        <d v="2002-07-29T00:00:00"/>
        <d v="2000-03-11T00:00:00"/>
        <d v="1989-08-21T00:00:00"/>
        <d v="2002-01-11T00:00:00"/>
        <d v="1995-05-23T00:00:00"/>
        <d v="2001-09-20T00:00:00"/>
        <d v="2002-11-06T00:00:00"/>
        <d v="1992-02-18T00:00:00"/>
        <d v="1986-05-08T00:00:00"/>
        <d v="2003-12-11T00:00:00"/>
        <d v="2021-02-05T00:00:00"/>
        <d v="1996-11-11T00:00:00"/>
        <d v="2004-09-03T00:00:00"/>
        <d v="2001-09-12T00:00:00"/>
        <d v="1984-07-21T00:00:00"/>
        <d v="1994-03-16T00:00:00"/>
        <d v="1991-06-16T00:00:00"/>
        <d v="2003-02-11T00:00:00"/>
        <d v="1997-11-03T00:00:00"/>
        <d v="2022-11-18T00:00:00"/>
        <d v="2001-09-30T00:00:00"/>
        <d v="1996-05-01T00:00:00"/>
        <d v="2001-03-07T00:00:00"/>
        <d v="1987-07-13T00:00:00"/>
        <d v="1990-09-13T00:00:00"/>
        <d v="1992-07-09T00:00:00"/>
        <d v="2001-09-16T00:00:00"/>
        <d v="2006-09-23T00:00:00"/>
        <d v="2002-10-19T00:00:00"/>
        <d v="1989-04-28T00:00:00"/>
        <d v="1995-10-27T00:00:00"/>
        <d v="2001-09-02T00:00:00"/>
        <d v="1999-08-18T00:00:00"/>
        <d v="1992-07-12T00:00:00"/>
        <d v="1993-07-22T00:00:00"/>
        <d v="1984-02-07T00:00:00"/>
        <d v="1988-12-05T00:00:00"/>
        <d v="1994-12-03T00:00:00"/>
        <d v="1994-05-08T00:00:00"/>
        <d v="1989-12-09T00:00:00"/>
        <d v="1991-08-18T00:00:00"/>
        <d v="1990-07-20T00:00:00"/>
        <d v="1989-06-21T00:00:00"/>
        <d v="1987-12-09T00:00:00"/>
        <d v="1991-06-30T00:00:00"/>
        <d v="1986-12-09T00:00:00"/>
        <d v="2003-04-15T00:00:00"/>
        <d v="1999-10-30T00:00:00"/>
        <d v="2000-05-15T00:00:00"/>
        <d v="1998-08-08T00:00:00"/>
        <d v="2004-10-04T00:00:00"/>
        <d v="1995-10-19T00:00:00"/>
        <d v="2003-11-10T00:00:00"/>
        <d v="1992-04-28T00:00:00"/>
        <d v="1990-10-07T00:00:00"/>
        <d v="1994-06-11T00:00:00"/>
        <d v="1990-01-28T00:00:00"/>
        <d v="1987-01-30T00:00:00"/>
        <d v="1994-10-24T00:00:00"/>
        <d v="1996-11-19T00:00:00"/>
        <d v="1992-02-21T00:00:00"/>
        <d v="1983-12-13T00:00:00"/>
        <d v="1994-11-04T00:00:00"/>
        <d v="2003-02-15T00:00:00"/>
        <d v="1995-04-13T00:00:00"/>
        <d v="1999-10-03T00:00:00"/>
        <d v="2005-03-19T00:00:00"/>
        <d v="1995-05-19T00:00:00"/>
        <d v="1987-10-22T00:00:00"/>
        <d v="1984-05-15T00:00:00"/>
        <d v="1999-06-22T00:00:00"/>
        <d v="1991-12-19T00:00:00"/>
        <d v="1989-05-12T00:00:00"/>
        <d v="1981-06-22T00:00:00"/>
        <d v="2003-03-07T00:00:00"/>
        <d v="1997-01-19T00:00:00"/>
        <s v="6/22/0081"/>
        <d v="1998-08-28T00:00:00"/>
        <d v="2001-03-28T00:00:00"/>
        <d v="1992-07-15T00:00:00"/>
        <d v="2005-05-19T00:00:00"/>
        <d v="1983-06-28T00:00:00"/>
        <d v="2000-01-09T00:00:00"/>
        <d v="1989-05-18T00:00:00"/>
        <d v="1998-07-11T00:00:00"/>
        <d v="1993-11-16T00:00:00"/>
        <d v="1987-09-25T00:00:00"/>
        <d v="1995-07-20T00:00:00"/>
        <d v="1981-06-02T00:00:00"/>
        <d v="1989-05-11T00:00:00"/>
        <d v="1997-06-15T00:00:00"/>
        <d v="2004-02-16T00:00:00"/>
        <s v="4/18/0001"/>
        <d v="1995-04-23T00:00:00"/>
        <d v="1995-05-02T00:00:00"/>
        <d v="1987-06-17T00:00:00"/>
        <d v="1987-03-10T00:00:00"/>
        <d v="1995-04-04T00:00:00"/>
        <d v="1983-04-20T00:00:00"/>
        <d v="1999-08-27T00:00:00"/>
        <d v="2000-10-18T00:00:00"/>
        <d v="2000-06-13T00:00:00"/>
        <d v="2001-11-22T00:00:00"/>
        <d v="1992-02-04T00:00:00"/>
        <d v="2001-04-23T00:00:00"/>
        <d v="1996-12-30T00:00:00"/>
        <d v="2000-07-04T00:00:00"/>
        <d v="1996-01-21T00:00:00"/>
        <d v="1991-04-16T00:00:00"/>
        <d v="1989-10-26T00:00:00"/>
        <d v="2007-02-07T00:00:00"/>
        <d v="1995-07-02T00:00:00"/>
        <d v="1990-02-09T00:00:00"/>
        <d v="2002-12-09T00:00:00"/>
        <d v="2000-06-08T00:00:00"/>
        <d v="2002-01-02T00:00:00"/>
        <d v="2005-04-11T00:00:00"/>
        <d v="2003-03-11T00:00:00"/>
        <d v="1992-05-14T00:00:00"/>
        <d v="1990-03-11T00:00:00"/>
        <d v="1992-05-04T00:00:00"/>
        <s v="10/20/0002"/>
        <d v="1996-10-11T00:00:00"/>
        <d v="1989-08-19T00:00:00"/>
        <d v="1993-01-10T00:00:00"/>
        <d v="1985-09-29T00:00:00"/>
        <d v="2002-10-20T00:00:00"/>
        <d v="1996-07-05T00:00:00"/>
        <d v="1999-04-24T00:00:00"/>
        <d v="1985-08-30T00:00:00"/>
        <d v="1987-09-21T00:00:00"/>
        <d v="1998-06-01T00:00:00"/>
        <d v="1987-09-04T00:00:00"/>
        <d v="1985-09-06T00:00:00"/>
        <d v="1994-12-11T00:00:00"/>
        <d v="1994-02-11T00:00:00"/>
        <d v="2001-02-27T00:00:00"/>
        <d v="1990-12-13T00:00:00"/>
        <d v="2000-11-02T00:00:00"/>
        <d v="2002-11-07T00:00:00"/>
        <d v="1993-02-27T00:00:00"/>
        <d v="1996-07-02T00:00:00"/>
        <d v="1988-04-07T00:00:00"/>
        <d v="1997-03-05T00:00:00"/>
        <d v="2000-10-02T00:00:00"/>
        <d v="1999-05-24T00:00:00"/>
        <d v="1993-04-02T00:00:00"/>
        <d v="1984-09-20T00:00:00"/>
        <s v="9/4/0205"/>
        <d v="1997-04-25T00:00:00"/>
        <d v="1988-12-11T00:00:00"/>
        <d v="1999-03-15T00:00:00"/>
        <d v="1993-03-12T00:00:00"/>
        <d v="1994-03-04T00:00:00"/>
        <d v="2007-07-16T00:00:00"/>
        <d v="1998-10-26T00:00:00"/>
        <d v="1999-12-17T00:00:00"/>
        <d v="2005-05-27T00:00:00"/>
        <d v="2001-12-27T00:00:00"/>
        <d v="1998-01-07T00:00:00"/>
        <d v="1992-05-05T00:00:00"/>
        <d v="2000-05-03T00:00:00"/>
        <d v="1989-02-04T00:00:00"/>
        <d v="1992-01-22T00:00:00"/>
        <d v="2003-08-18T00:00:00"/>
        <d v="2023-07-08T00:00:00"/>
        <d v="1986-01-26T00:00:00"/>
        <d v="1997-03-14T00:00:00"/>
        <d v="2003-01-16T00:00:00"/>
        <d v="2001-07-04T00:00:00"/>
        <d v="1991-07-08T00:00:00"/>
        <d v="1998-04-01T00:00:00"/>
        <d v="2000-03-17T00:00:00"/>
        <d v="1991-10-05T00:00:00"/>
        <d v="1995-04-27T00:00:00"/>
        <d v="1998-08-24T00:00:00"/>
        <d v="1997-08-17T00:00:00"/>
        <d v="1994-05-23T00:00:00"/>
        <d v="1997-05-27T00:00:00"/>
        <d v="1994-02-21T00:00:00"/>
        <d v="2003-05-14T00:00:00"/>
        <d v="1985-12-01T00:00:00"/>
        <d v="1989-09-24T00:00:00"/>
        <d v="1999-04-25T00:00:00"/>
        <d v="1990-09-20T00:00:00"/>
        <d v="1990-01-29T00:00:00"/>
        <d v="1990-09-29T00:00:00"/>
        <d v="1995-10-08T00:00:00"/>
        <d v="1993-06-11T00:00:00"/>
        <d v="2002-01-26T00:00:00"/>
        <d v="1990-05-17T00:00:00"/>
        <d v="1998-11-26T00:00:00"/>
        <d v="1999-05-05T00:00:00"/>
        <d v="1995-02-10T00:00:00"/>
        <d v="2023-08-07T00:00:00"/>
        <d v="1998-11-21T00:00:00"/>
        <d v="1999-01-29T00:00:00"/>
        <d v="1999-05-13T00:00:00"/>
        <d v="1994-07-30T00:00:00"/>
        <d v="1989-06-16T00:00:00"/>
        <d v="1981-06-08T00:00:00"/>
        <d v="2008-05-08T00:00:00"/>
        <d v="1997-03-27T00:00:00"/>
        <d v="1991-06-02T00:00:00"/>
        <d v="1992-08-14T00:00:00"/>
        <d v="1991-10-04T00:00:00"/>
        <d v="1996-11-27T00:00:00"/>
        <d v="1994-03-17T00:00:00"/>
        <d v="1987-07-10T00:00:00"/>
        <d v="2003-09-21T00:00:00"/>
        <d v="1998-09-09T00:00:00"/>
        <d v="1997-08-08T00:00:00"/>
        <d v="1984-01-02T00:00:00"/>
        <d v="2003-11-13T00:00:00"/>
        <d v="2005-03-14T00:00:00"/>
        <d v="1996-01-28T00:00:00"/>
        <d v="2004-06-01T00:00:00"/>
        <d v="1996-10-26T00:00:00"/>
        <d v="1983-02-16T00:00:00"/>
        <d v="1997-10-01T00:00:00"/>
        <d v="2005-01-19T00:00:00"/>
        <d v="2002-04-15T00:00:00"/>
        <d v="1996-04-01T00:00:00"/>
        <d v="2002-12-03T00:00:00"/>
        <d v="1987-02-25T00:00:00"/>
        <d v="1991-10-30T00:00:00"/>
        <d v="1996-08-06T00:00:00"/>
        <d v="1996-11-29T00:00:00"/>
        <d v="2003-07-28T00:00:00"/>
        <d v="1991-09-06T00:00:00"/>
        <d v="1992-12-11T00:00:00"/>
        <d v="2000-12-07T00:00:00"/>
        <d v="1993-01-21T00:00:00"/>
        <d v="1999-02-08T00:00:00"/>
        <d v="1989-02-09T00:00:00"/>
        <d v="1998-09-02T00:00:00"/>
        <d v="1993-06-15T00:00:00"/>
        <d v="1988-03-29T00:00:00"/>
        <d v="2002-04-09T00:00:00"/>
        <d v="1988-03-02T00:00:00"/>
        <d v="1991-05-05T00:00:00"/>
        <d v="1997-05-14T00:00:00"/>
        <d v="1981-03-15T00:00:00"/>
        <d v="1998-10-19T00:00:00"/>
        <d v="1999-05-20T00:00:00"/>
        <d v="1999-10-10T00:00:00"/>
        <d v="1999-11-14T00:00:00"/>
        <d v="1991-03-09T00:00:00"/>
        <d v="1996-02-20T00:00:00"/>
        <d v="1992-12-17T00:00:00"/>
        <d v="2003-03-18T00:00:00"/>
        <d v="1999-12-25T00:00:00"/>
        <d v="2000-10-24T00:00:00"/>
        <d v="1993-04-19T00:00:00"/>
        <d v="1992-08-25T00:00:00"/>
        <d v="1991-09-20T00:00:00"/>
        <d v="2005-05-26T00:00:00"/>
        <d v="1997-01-17T00:00:00"/>
        <d v="2004-03-19T00:00:00"/>
        <d v="1992-05-08T00:00:00"/>
        <d v="1994-07-27T00:00:00"/>
        <d v="1999-12-15T00:00:00"/>
        <d v="1992-08-05T00:00:00"/>
        <d v="1999-10-22T00:00:00"/>
        <d v="2002-12-08T00:00:00"/>
        <d v="1998-07-10T00:00:00"/>
        <d v="1993-06-01T00:00:00"/>
        <d v="1992-03-08T00:00:00"/>
        <d v="1992-10-08T00:00:00"/>
        <d v="1991-10-28T00:00:00"/>
        <d v="1996-05-02T00:00:00"/>
        <d v="2006-06-26T00:00:00"/>
        <d v="1996-04-06T00:00:00"/>
        <d v="1981-10-31T00:00:00"/>
        <d v="1990-04-30T00:00:00"/>
        <d v="2001-01-25T00:00:00"/>
        <d v="2002-07-06T00:00:00"/>
        <d v="1995-04-09T00:00:00"/>
        <d v="1985-09-16T00:00:00"/>
        <d v="1997-03-21T00:00:00"/>
        <d v="1991-02-15T00:00:00"/>
        <d v="1999-08-06T00:00:00"/>
        <d v="2022-05-11T00:00:00"/>
        <d v="1987-08-24T00:00:00"/>
        <d v="2001-04-13T00:00:00"/>
        <d v="2005-01-23T00:00:00"/>
        <d v="2005-03-17T00:00:00"/>
        <d v="1993-09-01T00:00:00"/>
        <d v="2002-05-11T00:00:00"/>
        <d v="1995-01-30T00:00:00"/>
        <d v="1982-01-15T00:00:00"/>
        <d v="1987-10-17T00:00:00"/>
        <d v="1983-12-12T00:00:00"/>
        <d v="2001-03-15T00:00:00"/>
        <d v="2004-09-04T00:00:00"/>
        <d v="2024-01-15T00:00:00"/>
        <d v="1988-09-15T00:00:00"/>
        <d v="1995-09-27T00:00:00"/>
        <d v="1998-05-11T00:00:00"/>
        <d v="1989-08-01T00:00:00"/>
        <d v="1999-03-23T00:00:00"/>
        <d v="1984-08-24T00:00:00"/>
        <d v="1998-09-15T00:00:00"/>
        <d v="2000-05-11T00:00:00"/>
        <d v="2023-12-20T00:00:00"/>
        <d v="1999-06-14T00:00:00"/>
        <d v="1992-02-11T00:00:00"/>
        <d v="1998-04-06T00:00:00"/>
        <d v="1993-10-07T00:00:00"/>
        <d v="1999-12-12T00:00:00"/>
        <d v="1991-09-30T00:00:00"/>
        <d v="2000-10-29T00:00:00"/>
        <d v="1996-02-10T00:00:00"/>
        <d v="1995-07-06T00:00:00"/>
        <d v="1990-06-30T00:00:00"/>
        <d v="1990-01-24T00:00:00"/>
        <d v="1999-12-30T00:00:00"/>
        <d v="2001-01-11T00:00:00"/>
        <d v="1991-07-17T00:00:00"/>
        <d v="1998-09-01T00:00:00"/>
        <d v="1999-01-06T00:00:00"/>
        <d v="1998-01-29T00:00:00"/>
        <d v="2002-08-04T00:00:00"/>
        <d v="1994-01-25T00:00:00"/>
        <d v="1998-08-13T00:00:00"/>
        <d v="1994-06-13T00:00:00"/>
        <d v="2023-01-29T00:00:00"/>
        <d v="2001-10-02T00:00:00"/>
        <d v="2000-12-28T00:00:00"/>
        <d v="1991-02-13T00:00:00"/>
        <d v="1999-03-03T00:00:00"/>
        <d v="1997-02-13T00:00:00"/>
        <d v="2006-02-25T00:00:00"/>
        <d v="1999-07-11T00:00:00"/>
        <d v="1987-10-15T00:00:00"/>
        <d v="2005-11-16T00:00:00"/>
        <d v="1987-03-01T00:00:00"/>
        <d v="1993-08-17T00:00:00"/>
        <d v="1994-05-20T00:00:00"/>
        <d v="2003-05-21T00:00:00"/>
        <d v="2006-09-29T00:00:00"/>
        <d v="1986-12-08T00:00:00"/>
        <d v="2007-12-24T00:00:00"/>
        <d v="1985-04-13T00:00:00"/>
        <d v="1989-11-08T00:00:00"/>
        <d v="1984-08-06T00:00:00"/>
        <d v="2003-10-21T00:00:00"/>
        <d v="1996-09-16T00:00:00"/>
        <d v="1998-07-28T00:00:00"/>
        <d v="1993-07-02T00:00:00"/>
        <d v="1998-12-22T00:00:00"/>
        <d v="2000-05-25T00:00:00"/>
        <d v="1991-03-26T00:00:00"/>
        <d v="2009-07-15T00:00:00"/>
        <d v="1988-09-24T00:00:00"/>
        <d v="2000-03-13T00:00:00"/>
        <d v="2002-06-23T00:00:00"/>
        <d v="1995-07-22T00:00:00"/>
        <d v="1994-07-17T00:00:00"/>
        <d v="1988-08-13T00:00:00"/>
        <d v="2004-09-12T00:00:00"/>
        <d v="1998-06-05T00:00:00"/>
        <d v="2001-10-17T00:00:00"/>
        <d v="1989-04-06T00:00:00"/>
        <d v="1999-12-10T00:00:00"/>
        <d v="1997-05-17T00:00:00"/>
        <d v="1999-07-04T00:00:00"/>
        <d v="1999-03-20T00:00:00"/>
        <d v="1995-10-05T00:00:00"/>
        <d v="1997-01-06T00:00:00"/>
        <d v="1987-02-23T00:00:00"/>
        <d v="2000-12-01T00:00:00"/>
        <d v="1995-07-19T00:00:00"/>
        <d v="1994-04-22T00:00:00"/>
        <d v="1995-08-23T00:00:00"/>
        <d v="2000-03-03T00:00:00"/>
        <d v="2001-12-10T00:00:00"/>
        <d v="2003-02-27T00:00:00"/>
        <d v="2006-06-22T00:00:00"/>
        <d v="1998-02-09T00:00:00"/>
        <d v="2002-08-21T00:00:00"/>
        <d v="1993-10-14T00:00:00"/>
        <d v="1988-07-27T00:00:00"/>
        <d v="1997-11-30T00:00:00"/>
        <d v="2004-04-16T00:00:00"/>
        <d v="1992-06-06T00:00:00"/>
        <d v="1999-07-27T00:00:00"/>
        <d v="1992-01-15T00:00:00"/>
        <d v="1981-02-24T00:00:00"/>
        <d v="2002-03-04T00:00:00"/>
        <d v="2001-03-18T00:00:00"/>
        <d v="2005-02-13T00:00:00"/>
        <d v="2000-01-29T00:00:00"/>
        <d v="1998-03-04T00:00:00"/>
        <d v="2002-09-20T00:00:00"/>
        <d v="1992-07-02T00:00:00"/>
        <d v="2000-10-12T00:00:00"/>
        <d v="2007-02-14T00:00:00"/>
        <d v="1992-06-15T00:00:00"/>
        <d v="1993-11-25T00:00:00"/>
        <d v="1999-01-14T00:00:00"/>
        <d v="1998-03-26T00:00:00"/>
        <d v="1991-03-15T00:00:00"/>
        <d v="2002-08-16T00:00:00"/>
        <d v="1996-02-16T00:00:00"/>
        <d v="2001-02-12T00:00:00"/>
        <d v="2006-12-22T00:00:00"/>
        <d v="1983-03-17T00:00:00"/>
        <d v="1986-11-12T00:00:00"/>
        <d v="1994-09-26T00:00:00"/>
        <d v="1995-10-13T00:00:00"/>
        <d v="2004-03-21T00:00:00"/>
        <d v="1986-11-27T00:00:00"/>
        <d v="1997-04-11T00:00:00"/>
        <d v="1986-11-20T00:00:00"/>
        <d v="2024-04-10T00:00:00"/>
        <d v="1994-12-10T00:00:00"/>
        <d v="2008-11-18T00:00:00"/>
        <d v="1994-10-09T00:00:00"/>
        <d v="2000-03-21T00:00:00"/>
        <d v="1998-12-06T00:00:00"/>
        <d v="1999-03-02T00:00:00"/>
        <d v="2004-05-25T00:00:00"/>
        <d v="1991-07-04T00:00:00"/>
        <d v="2001-08-27T00:00:00"/>
        <d v="1998-10-11T00:00:00"/>
        <d v="1984-12-24T00:00:00"/>
        <d v="1996-04-08T00:00:00"/>
        <d v="1991-05-02T00:00:00"/>
        <d v="2003-09-07T00:00:00"/>
        <d v="2006-12-30T00:00:00"/>
        <d v="2000-11-07T00:00:00"/>
        <d v="1992-05-15T00:00:00"/>
        <d v="1986-09-07T00:00:00"/>
        <d v="2024-04-26T00:00:00"/>
        <d v="1998-09-17T00:00:00"/>
        <d v="1982-07-20T00:00:00"/>
        <d v="1987-08-03T00:00:00"/>
        <d v="1989-02-02T00:00:00"/>
        <d v="2024-03-21T00:00:00"/>
        <d v="1999-03-31T00:00:00"/>
        <d v="2000-07-14T00:00:00"/>
        <d v="1989-11-22T00:00:00"/>
        <d v="1997-04-04T00:00:00"/>
        <d v="2005-07-04T00:00:00"/>
        <d v="1999-05-12T00:00:00"/>
        <d v="1992-06-09T00:00:00"/>
        <d v="2003-09-17T00:00:00"/>
        <d v="1994-09-15T00:00:00"/>
        <d v="2001-08-03T00:00:00"/>
        <d v="1988-08-21T00:00:00"/>
        <d v="1994-07-13T00:00:00"/>
        <d v="1994-03-27T00:00:00"/>
        <d v="2004-03-29T00:00:00"/>
        <d v="1996-06-03T00:00:00"/>
        <d v="2002-03-15T00:00:00"/>
        <d v="2005-12-25T00:00:00"/>
        <d v="1995-06-14T00:00:00"/>
        <d v="1989-04-27T00:00:00"/>
        <d v="1996-05-26T00:00:00"/>
        <d v="1992-09-19T00:00:00"/>
        <d v="2001-04-11T00:00:00"/>
        <d v="2001-12-21T00:00:00"/>
        <d v="1993-12-01T00:00:00"/>
        <d v="1997-08-12T00:00:00"/>
        <d v="1982-09-22T00:00:00"/>
        <d v="2005-07-20T00:00:00"/>
        <d v="1997-07-23T00:00:00"/>
        <d v="2001-05-15T00:00:00"/>
        <d v="1990-03-17T00:00:00"/>
        <d v="1997-01-21T00:00:00"/>
        <d v="1993-12-04T00:00:00"/>
        <d v="1992-01-14T00:00:00"/>
        <d v="1997-06-02T00:00:00"/>
        <d v="1981-03-18T00:00:00"/>
        <d v="1999-03-17T00:00:00"/>
        <d v="1988-11-11T00:00:00"/>
        <d v="2024-12-21T00:00:00"/>
        <d v="1990-10-04T00:00:00"/>
        <d v="1995-08-26T00:00:00"/>
        <d v="1981-07-26T00:00:00"/>
        <d v="2003-01-23T00:00:00"/>
        <d v="1995-07-03T00:00:00"/>
        <d v="1993-11-02T00:00:00"/>
        <d v="1984-03-22T00:00:00"/>
        <d v="2000-05-19T00:00:00"/>
        <d v="1979-06-02T00:00:00"/>
        <d v="1986-06-20T00:00:00"/>
        <d v="2004-08-26T00:00:00"/>
        <d v="1994-01-14T00:00:00"/>
        <d v="1996-09-10T00:00:00"/>
        <d v="1995-04-11T00:00:00"/>
        <d v="1999-01-08T00:00:00"/>
        <d v="1996-08-24T00:00:00"/>
        <d v="1991-01-15T00:00:00"/>
        <d v="2006-08-19T00:00:00"/>
        <d v="2000-04-13T00:00:00"/>
        <d v="1998-06-18T00:00:00"/>
        <d v="2003-06-08T00:00:00"/>
        <d v="2003-10-01T00:00:00"/>
        <d v="1999-07-14T00:00:00"/>
        <d v="1992-11-16T00:00:00"/>
        <d v="1998-03-14T00:00:00"/>
        <d v="1984-01-19T00:00:00"/>
        <d v="2002-06-01T00:00:00"/>
        <d v="1989-10-27T00:00:00"/>
        <d v="2000-06-29T00:00:00"/>
        <d v="1995-06-17T00:00:00"/>
        <d v="2002-05-02T00:00:00"/>
        <d v="1997-10-02T00:00:00"/>
        <d v="1988-09-07T00:00:00"/>
      </sharedItems>
    </cacheField>
    <cacheField name="DUM" numFmtId="0">
      <sharedItems containsBlank="1" containsDate="1" containsMixedTypes="1" count="548">
        <m/>
        <d v="2022-03-19T00:00:00"/>
        <d v="2022-04-23T00:00:00"/>
        <s v="23/07/2022"/>
        <s v="23/07/2023"/>
        <s v="13/05/2022"/>
        <s v="31/05/2022"/>
        <s v="15/07/2022"/>
        <d v="2022-07-15T00:00:00"/>
        <s v="15/07/22"/>
        <s v="desconhecida"/>
        <s v="16/08/2022"/>
        <s v="08/08/2022"/>
        <s v="26/01/2023"/>
        <n v="26012023"/>
        <s v="30/09/2022"/>
        <s v="04/10/2022"/>
        <s v="02/09/2022"/>
        <s v="02/09/2023"/>
        <s v="16/09/2022"/>
        <s v="04/09/2022"/>
        <s v="28/08/2022"/>
        <s v="25/08/2022"/>
        <s v="17/11/22"/>
        <s v="17/03/2023"/>
        <s v="01/02/2023"/>
        <n v="25082022"/>
        <s v="01/05/2023"/>
        <s v="17/11/2022"/>
        <s v="10/04/2023"/>
        <s v="15/03/2023"/>
        <s v="19/10/2022"/>
        <s v=" 07/10/2022"/>
        <s v="19/12/2022"/>
        <s v=" 01/02/2023"/>
        <s v="07/10/2022"/>
        <s v="04/02/2023"/>
        <s v="28/03/2023"/>
        <s v=" 31/10/2022"/>
        <s v="02/08/2022"/>
        <s v="15/11/2022"/>
        <s v="10/01/2023"/>
        <s v="08/02/2023"/>
        <s v="28/12/2022"/>
        <s v="18/12/2022"/>
        <s v="05/09/2022"/>
        <s v="05/10/2022"/>
        <s v="28/01/2023"/>
        <s v="16/02/2023"/>
        <s v="15/11/2023"/>
        <s v="26/12/2022"/>
        <s v="15/02/2023"/>
        <s v="19/02/2023"/>
        <s v="31/10/2022"/>
        <s v="21/01/2023"/>
        <s v="20/04/2023"/>
        <s v="08/09/2022"/>
        <s v="02/04/2023"/>
        <s v="29/10/2022"/>
        <s v="DUM desconhecida"/>
        <s v="06/12/2022"/>
        <s v="27/10/2022"/>
        <s v="02/12/2022"/>
        <s v="30/112022"/>
        <s v="25/02/2023"/>
        <s v="24/09/2022"/>
        <s v="29/102022"/>
        <s v="17/08/2022"/>
        <s v="21/09/2022"/>
        <s v="15/09/2022"/>
        <s v="02/10/2022"/>
        <s v="30/04/2023"/>
        <s v="16/11/2022"/>
        <s v="07/09/2022"/>
        <s v="01/03/2023"/>
        <s v="05/02/2023"/>
        <s v="07/04/2023"/>
        <s v="29/092022"/>
        <s v=" 15/03/2023"/>
        <s v="30/05/2023"/>
        <s v="02/05/2023"/>
        <s v="10/11/2022"/>
        <s v="30/11/2022"/>
        <s v="00"/>
        <s v="18/03/2023"/>
        <s v="06/09/2022"/>
        <s v="13/02/2023"/>
        <s v="25/11/2022"/>
        <s v=" 10/11/2022"/>
        <s v="22/12/22"/>
        <s v="11/11/2022"/>
        <s v="28/12/22"/>
        <s v="22/02/2023"/>
        <s v="02/09/22"/>
        <s v="12/02/2023"/>
        <s v="15/01/2023"/>
        <s v="Desconhecida IG aprox 24 semanas"/>
        <s v="02/092022"/>
        <s v="05/03/23"/>
        <s v="10/09/2022"/>
        <s v="10/10/2022"/>
        <s v="puerpera"/>
        <s v="05/11/2022"/>
        <s v="03/04/2023"/>
        <s v="11/04/2023"/>
        <s v="nao informada"/>
        <s v="27/09/23"/>
        <s v="02/01/2023"/>
        <s v="30/10/2022"/>
        <s v="02052023"/>
        <s v="22/03/2023"/>
        <s v="01/04/2023"/>
        <s v="14/10/2022"/>
        <s v="22/12/2022"/>
        <s v="06/05/2023"/>
        <s v="09/03/2023"/>
        <s v=" 12/09/2022"/>
        <s v="26/03/2023"/>
        <s v="28/11/2022"/>
        <s v="10/03/2023"/>
        <s v="31/12/2022"/>
        <s v="30/01/2023"/>
        <s v="20/09/2022"/>
        <s v="14/01/2023"/>
        <s v="21/09/2022 "/>
        <s v="13/03/2023"/>
        <s v="27/03/2023"/>
        <s v="02/10/2001"/>
        <s v="25/01/2023"/>
        <s v="14/04/2023"/>
        <s v="05/12/2022"/>
        <s v="05/04/2023"/>
        <s v="06/05/23"/>
        <s v="21/01/23"/>
        <s v="desconhece"/>
        <s v="08/10/2022"/>
        <s v="30/10/1984"/>
        <s v="19/01/2023"/>
        <s v="não sabe"/>
        <s v="21/09/22"/>
        <s v="12/12/2022"/>
        <s v=" 27/11/2022"/>
        <d v="2023-01-20T00:00:00"/>
        <s v=" 21/09/2022"/>
        <s v="20/01/2023"/>
        <s v="29/04/2023"/>
        <s v="14/11/2022"/>
        <s v="04/11/2022"/>
        <s v="05/05/23"/>
        <s v="Desconhecida."/>
        <s v="21/05/2023"/>
        <s v="05/05/2023"/>
        <s v="07/12/2022"/>
        <s v="03/01/2023"/>
        <s v="07/12/2023"/>
        <s v="10/112022"/>
        <s v="04/05/2023"/>
        <s v="15/10/2022"/>
        <s v="desconhecida "/>
        <s v="27/11/2022"/>
        <s v="05/08/2019"/>
        <s v="16/04/2023"/>
        <s v="12/10/2022"/>
        <s v="20/12/2022"/>
        <s v="02/02/2023"/>
        <s v="22/05/2023"/>
        <s v="04/11/2023"/>
        <s v="18/02/2023"/>
        <s v="30/03/2023"/>
        <s v=" 06/05/2023"/>
        <s v="26/05/2023"/>
        <s v="18/05/2023"/>
        <s v="28/10/2022"/>
        <s v=" desconhecida"/>
        <s v="23/10/2022"/>
        <s v="25/12/2022"/>
        <s v="22/04/2023"/>
        <s v="27/06/2023"/>
        <d v="2022-11-23T00:00:00"/>
        <s v="07/03/2023"/>
        <s v="23/11/2022"/>
        <s v=" 01/03/23"/>
        <s v="13/02/22"/>
        <s v="03/11/2022"/>
        <s v="10/12/2022"/>
        <s v=" 10/01/2023"/>
        <s v="02/04/2023 "/>
        <s v="11/12/2022"/>
        <s v="13/07/2023"/>
        <s v="14/12/2022"/>
        <s v="18/11/2022"/>
        <s v="19/04/2023"/>
        <s v="13/01/2023"/>
        <s v="21/02/2023"/>
        <s v="02/03/2023"/>
        <s v="20/03/2023"/>
        <s v="não se aplica"/>
        <s v=" 13/01/2023"/>
        <s v="05/03/2023"/>
        <s v="13/06/2023"/>
        <s v="16/05/2023"/>
        <s v="14/07/23"/>
        <s v="19/06/2023"/>
        <s v="14/06/2023"/>
        <s v=" 08/05/2023"/>
        <s v="25/03/2023"/>
        <s v="08/05/2023"/>
        <s v="08/11/2022"/>
        <s v="23/06/2023"/>
        <s v=" 23/06/23"/>
        <s v="05/07/2023"/>
        <s v="31/01/2023"/>
        <s v="28/05/2023"/>
        <s v=" 12/02/2023"/>
        <s v="02/02/23"/>
        <s v="09/01/2023"/>
        <s v="12/07/2023"/>
        <s v="07/02/2023"/>
        <s v="26/06/2023"/>
        <s v="10/06/2023"/>
        <s v="14/03/2023"/>
        <s v="24/11/2022"/>
        <s v="25/04/2023"/>
        <s v=" 10/03/2023"/>
        <s v="15/12/2022"/>
        <s v=" 28/11/2022"/>
        <s v=" 15/12/2022"/>
        <s v="03/06/2023"/>
        <s v="15/012023"/>
        <s v="27/12/2022"/>
        <s v=" 23/12/22"/>
        <s v="28/02/2023"/>
        <s v="08/04/2023"/>
        <s v="14/012023"/>
        <s v=" 04/02/2023"/>
        <s v="19/05/2023"/>
        <s v="05/08/2023"/>
        <s v="18/02/23"/>
        <s v="06/07/2023"/>
        <s v="16/01/2023"/>
        <s v="19/02/23"/>
        <s v="18/08/2023"/>
        <s v="10/07/2023"/>
        <s v="16/08/2023"/>
        <s v="30/07/2023"/>
        <s v="15/04/2023"/>
        <s v="29/12/2023"/>
        <s v="29/12/22022"/>
        <s v="15/042023"/>
        <s v="24/08/2023"/>
        <s v="29/12/2022"/>
        <s v="01/01/2023"/>
        <s v=" 19/07/2023"/>
        <s v="26/12/22"/>
        <s v="21/07/2023"/>
        <s v="20/07/2023"/>
        <s v=" 06/01/2023"/>
        <s v="20/06/2023"/>
        <s v="06/01/2002"/>
        <s v=" 14/02/2023"/>
        <s v="25/07/2023"/>
        <s v="20/02/2023"/>
        <s v="05/01/2023"/>
        <s v="06/03/2023"/>
        <s v=" 08/06/2023"/>
        <s v=" 30/01/2023"/>
        <s v="09/04/2023"/>
        <s v="08/03/2023"/>
        <s v="Incerta"/>
        <s v="28/08/2023"/>
        <s v=" 10/02/2023"/>
        <s v="irregular "/>
        <s v="04/09/1987"/>
        <s v="09/02/2023"/>
        <s v=" 21/02/2023"/>
        <s v="02/06/2023"/>
        <s v="17/01/2023"/>
        <s v="28/02/23"/>
        <s v="irregular"/>
        <s v="08/07/2023"/>
        <s v="30/08/2023"/>
        <s v="25/06/2023"/>
        <s v="22/01/2023"/>
        <s v="14/09/2023"/>
        <s v="07/02/3023"/>
        <s v="12/01/2023"/>
        <s v=" 09/07/2023"/>
        <s v="12/06/2023"/>
        <s v="13/09/2023"/>
        <s v="01/06/2023"/>
        <s v=" 24/12/2022"/>
        <s v="05/10/2023"/>
        <s v="04/07/2023"/>
        <s v="13/11/2023"/>
        <s v="15/07/2023"/>
        <s v="10/06/1991"/>
        <s v="26/08/2023"/>
        <s v="27/02/2023"/>
        <s v="15/09/2023"/>
        <s v="20/09/2023"/>
        <s v=" 09/02/2023"/>
        <d v="2023-02-15T00:00:00"/>
        <s v="06/08/2023"/>
        <s v="16/07/2023"/>
        <d v="2023-02-04T00:00:00"/>
        <s v="15/04/1999"/>
        <s v="12/05/1992"/>
        <s v="23/04/2023"/>
        <s v="30/09/2023"/>
        <s v="12/05/2023"/>
        <s v="21/04/2023"/>
        <s v=" 08/07/2023"/>
        <s v="17/06/2023"/>
        <s v=" 07/03/2023"/>
        <s v="13/03/20223"/>
        <s v="14/05/2023"/>
        <s v="04/10/2023"/>
        <s v="10/08//2023"/>
        <s v="10/08/2023"/>
        <s v="25/10/2023"/>
        <s v=" 24/07/2023"/>
        <s v=" 15/08/2023"/>
        <s v="01/07/2023"/>
        <s v="15/10/2023"/>
        <s v="24/07/2023"/>
        <s v="10/05/2023"/>
        <s v="08/06/2023"/>
        <s v="17/09/2023"/>
        <s v="13/04/2023"/>
        <s v="10/06/1996"/>
        <s v="24/09/2023"/>
        <s v="06/03/23"/>
        <s v=" 21/04/2023"/>
        <s v="24/03/2023"/>
        <s v="04/03/2023"/>
        <s v="20/10/2023"/>
        <s v="11/10/2023"/>
        <s v="21/04/23"/>
        <s v="13/10/2023"/>
        <s v="03/10/2023"/>
        <s v="06/09/2023"/>
        <s v="22/09/2023"/>
        <s v=" 18/10/2023"/>
        <s v="26/07/2023"/>
        <s v="08/06/2003"/>
        <s v="23/09/2023"/>
        <s v=" 19/05/2023"/>
        <s v=" 26/07/2023"/>
        <d v="2023-09-29T00:00:00"/>
        <s v="21/10/2023"/>
        <s v="29/03/2023"/>
        <s v="29/09/2023"/>
        <s v="29/08/2023"/>
        <s v="28/09/2023"/>
        <s v=" 29/03/2023"/>
        <s v=" 29/09/2023"/>
        <s v="01/11/2023"/>
        <s v="02/08/2023"/>
        <s v="05/06/2023"/>
        <s v="08/09/2023"/>
        <s v="10/11/2023"/>
        <s v="06/05/24"/>
        <s v="18/04/2023"/>
        <s v=" 16/04/23"/>
        <s v="02/10/23"/>
        <s v=" 13/09/2023"/>
        <s v="NAO SABE"/>
        <s v="24/05/2023"/>
        <s v=" 18/04/2023"/>
        <s v="11/12/2023"/>
        <s v="23/12/2023"/>
        <s v="07/11/2023"/>
        <s v="08/052023"/>
        <s v="25/05/2023"/>
        <s v="24/06/2023"/>
        <s v="31/10/2023"/>
        <s v="26/05/23"/>
        <s v=" 19/04/2023"/>
        <s v="03/11/2023"/>
        <s v="11/11/2023"/>
        <s v="28/12/2023"/>
        <s v="05/11/2023"/>
        <s v="15/10/2024"/>
        <s v=" 07/11/2023"/>
        <s v="nao se aplica"/>
        <s v="26/10/23"/>
        <s v=" 28/12/2023"/>
        <s v=" 01/10/2023"/>
        <s v="15/08/2023"/>
        <s v="17/10/2023"/>
        <s v="16/11/2023"/>
        <d v="2023-07-26T00:00:00"/>
        <s v="26/07/23"/>
        <s v="19/12/2023"/>
        <s v="26/08/23"/>
        <s v="09/08/2023"/>
        <s v="19/07/2023"/>
        <s v="27/12/2023"/>
        <s v="04/06/2023"/>
        <s v="09/12/2023"/>
        <s v="29/04/2004"/>
        <s v="27/08/2023"/>
        <s v="09/12/2024"/>
        <s v="22/06/2023"/>
        <s v="20/05/2023"/>
        <s v="01/10/2023"/>
        <s v="30/11/2023"/>
        <s v="18/01/24"/>
        <s v="16/06/2023"/>
        <s v="06/01/2024"/>
        <s v="30/10/2023"/>
        <d v="2023-08-24T00:00:00"/>
        <s v="18/10/2023"/>
        <s v=" 22/05/2023"/>
        <s v="04/09/2023"/>
        <s v="11/06/2023"/>
        <s v="26/11/2023"/>
        <s v="26/10/2023"/>
        <s v="28/07/2023"/>
        <s v="13/12/2023"/>
        <s v=" 18/06/2023"/>
        <s v="2607/2023"/>
        <s v="16/09/2023"/>
        <s v="NÃO SE APLICA"/>
        <s v="04/01/2024"/>
        <s v="03/07/2023"/>
        <s v="17/12/2023"/>
        <s v="19.11.23"/>
        <s v="19/11/2023"/>
        <s v="09/02/2024"/>
        <s v="14/12/2023"/>
        <s v="10/01/2024"/>
        <s v="29/07/2023"/>
        <s v="26/07/1997"/>
        <s v="17/11/2023"/>
        <d v="2023-11-09T00:00:00"/>
        <s v="05/09/2023"/>
        <s v="22/08/2023"/>
        <s v="28/06/2023"/>
        <s v="15/06/2023"/>
        <d v="2023-08-08T00:00:00"/>
        <d v="2024-01-14T00:00:00"/>
        <d v="2024-01-19T00:00:00"/>
        <d v="2023-08-05T00:00:00"/>
        <d v="2023-09-24T00:00:00"/>
        <d v="2023-08-09T00:00:00"/>
        <d v="2023-09-09T00:00:00"/>
        <d v="2023-07-19T00:00:00"/>
        <d v="2023-06-27T00:00:00"/>
        <d v="2024-01-25T00:00:00"/>
        <d v="1999-08-08T00:00:00"/>
        <d v="2023-06-28T00:00:00"/>
        <d v="2023-10-07T00:00:00"/>
        <d v="2023-10-20T00:00:00"/>
        <d v="2023-06-25T00:00:00"/>
        <d v="2023-09-25T00:00:00"/>
        <d v="2024-02-10T00:00:00"/>
        <d v="2023-11-05T00:00:00"/>
        <d v="2023-10-31T00:00:00"/>
        <d v="2024-01-30T00:00:00"/>
        <d v="2023-10-03T00:00:00"/>
        <d v="2023-08-28T00:00:00"/>
        <d v="2023-07-30T00:00:00"/>
        <d v="2023-07-08T00:00:00"/>
        <d v="2024-02-16T00:00:00"/>
        <d v="2023-07-20T00:00:00"/>
        <d v="2023-11-24T00:00:00"/>
        <d v="2023-07-31T00:00:00"/>
        <d v="2023-08-11T00:00:00"/>
        <d v="2023-08-10T00:00:00"/>
        <d v="2023-11-26T00:00:00"/>
        <d v="2024-02-22T00:00:00"/>
        <d v="2023-12-05T00:00:00"/>
        <d v="2023-11-16T00:00:00"/>
        <d v="2023-09-30T00:00:00"/>
        <d v="2024-01-18T00:00:00"/>
        <d v="2023-12-27T00:00:00"/>
        <d v="2023-10-22T00:00:00"/>
        <d v="2023-09-21T00:00:00"/>
        <d v="2024-03-05T00:00:00"/>
        <d v="2023-12-28T00:00:00"/>
        <d v="2024-03-09T00:00:00"/>
        <d v="2023-09-27T00:00:00"/>
        <d v="2024-02-24T00:00:00"/>
        <d v="2024-01-10T00:00:00"/>
        <d v="2023-07-16T00:00:00"/>
        <d v="2024-01-02T00:00:00"/>
        <d v="2000-08-15T00:00:00"/>
        <d v="2024-01-09T00:00:00"/>
        <d v="2024-02-12T00:00:00"/>
        <d v="2023-11-30T00:00:00"/>
        <d v="2023-12-07T00:00:00"/>
        <d v="2023-11-01T00:00:00"/>
        <d v="2024-03-18T00:00:00"/>
        <d v="2024-01-22T00:00:00"/>
        <d v="2023-08-04T00:00:00"/>
        <d v="2023-11-17T00:00:00"/>
        <d v="2023-09-06T00:00:00"/>
        <d v="2023-08-15T00:00:00"/>
        <d v="2023-09-15T00:00:00"/>
        <d v="2023-08-31T00:00:00"/>
        <d v="2023-09-08T00:00:00"/>
        <d v="2024-03-13T00:00:00"/>
        <s v=" 13/03/2024"/>
        <s v="12/01/2024"/>
        <s v="27/09/2023"/>
        <s v="05/12/2023"/>
        <s v="25/01/2024"/>
        <s v="20/03/2024"/>
        <s v="24/11/2024"/>
        <s v="21/09/2023"/>
        <s v="28/082023"/>
        <s v="10/012/2023"/>
        <s v="24/11/2023"/>
        <s v="18/11/2023"/>
        <s v="18/03/2024"/>
        <s v="22/02/2024"/>
        <s v="10/12/2023"/>
        <s v="31/08/2024"/>
        <s v="22/01/2024"/>
        <s v="18/09/2023"/>
        <s v=" 17/01/2024"/>
        <s v="01/09/2023"/>
        <s v="17/01/2024"/>
        <s v="23/03/2024"/>
        <s v="09/11/2023"/>
        <s v="12/08/2023"/>
        <s v="25/09/2023"/>
        <s v="21/08/2024"/>
        <s v="03/11/2024"/>
        <s v="27/02/2024"/>
        <s v="13/03/2024"/>
        <s v="25/02/2024"/>
        <s v="10/03/2024"/>
        <s v="27/01/2024"/>
        <s v="16/10/2023"/>
        <s v="19/10/2023"/>
        <s v="03/2/08/2023"/>
        <s v="26/04/2024"/>
        <s v="05/10/2024"/>
        <s v="15/03/2024"/>
        <s v="01/01/2024"/>
        <s v="03/09/2023"/>
        <s v="17/08/2023"/>
        <s v="28/08/2024"/>
        <s v="07/03/2024"/>
        <s v="24/03/2024"/>
        <s v="28/11/2023"/>
      </sharedItems>
    </cacheField>
    <cacheField name="Fase do ciclo gravídico" numFmtId="0">
      <sharedItems containsBlank="1" count="13">
        <m/>
        <s v="Pré-natal"/>
        <s v="Trabalho de parto"/>
        <s v="Vinculação a maternidade"/>
        <s v="Inibição da lactação e laqueadura"/>
        <s v="gravidez não confirmada"/>
        <s v="Puerpério"/>
        <s v="Sangramento vaginal pós aborto"/>
        <s v="Aborto"/>
        <s v="Gestação a confirmar "/>
        <s v="Suspeita de gravidez"/>
        <s v="Sangramento vaginal A/E"/>
        <s v="Irregularidade menstrual"/>
      </sharedItems>
    </cacheField>
    <cacheField name="Qual das situações abaixo foi a motivo da procura da gestante " numFmtId="0">
      <sharedItems containsBlank="1" count="311">
        <m/>
        <s v="Pressão alta"/>
        <s v="Cefaléia"/>
        <s v="Corrimento vaginal"/>
        <s v="Alteração de movimentos fetais"/>
        <s v="Sintomas gripais, cefaleia, dor em BV"/>
        <s v="Síndrome gripal (odinofagia, dispneia, febre, mialgia)"/>
        <s v="Síndrome gripal, odinofagia"/>
        <s v="Diarreia"/>
        <s v="Sangramento"/>
        <s v="sintomas gripais ( tosse, coriza, cefaleia)"/>
        <s v="SINTOMAS GRIPAIS "/>
        <s v="SINTOMAS GRIPAIS"/>
        <s v="colicas"/>
        <s v="Dúvida sobre o trabalho de parto"/>
        <s v="Dor pélvica"/>
        <s v="Apresentação córmica/transversa"/>
        <s v="Dúvida sobre via de parto"/>
        <s v="beta HCG reagente "/>
        <s v=" Não tenho sintomas, mas estou com 40 semanas ou mais"/>
        <s v="Eliminação de vermes pelas fezes + sangramento anal espontâneo"/>
        <s v="betaHCG reagente"/>
        <s v="Queixas urinárias"/>
        <s v="Prurido anal, verminose"/>
        <s v="Falta de ar"/>
        <s v="síndrome gripal "/>
        <s v="Dores tipo cólica e contrações."/>
        <s v="Perda de líquido"/>
        <s v="duvidas sobre quando ir para maternidade e sobre continuidade do pré natal"/>
        <s v="cólica"/>
        <s v="Dor de gengiva/ inflamação de gengiva"/>
        <s v="Náuseas e ou vômitos"/>
        <s v="Contrações indolores"/>
        <s v="Síndrome gripal"/>
        <s v="Dor/ inflamação na gengiva"/>
        <s v="Dúvida acerca da USG morfológica"/>
        <s v="Exames laboratoriais alterados: Glicemia; TR/VDRL; Urocultura; Hb; outros)"/>
        <s v="hemorragia ocular"/>
        <s v="Dor tipo cólica e contração na noite passada."/>
        <s v="lesão única na  parte interna da coxa"/>
        <s v="Sufusão hemorrágica em conjuntiva ocular."/>
        <s v="tipagem sanguinea (B-)"/>
        <s v="Gestação prolangada"/>
        <s v="Contrações dolorosas com IG: 35s3d"/>
        <s v="Contrações"/>
        <s v="reação adversa a vacina"/>
        <s v="DESCOBERTA DE GESTAÇÃO INICIAL/ABORTO ANTERIOR"/>
        <s v="Dúvidas relacionadas a gravidez."/>
        <s v="fibroma mole"/>
        <s v="duvidas sobre quando ir para maternidade"/>
        <s v="USG"/>
        <s v="palpitação "/>
        <s v="Contrações de pródromos"/>
        <s v=" ITU + leucorreia, com queixa nova de vomito + diarreia."/>
        <s v="Dores tipo cólica com contrações"/>
        <s v="Dúvidas quanto a USG obstétrica"/>
        <s v="Tosse produtiva"/>
        <s v="Lombalgia"/>
        <s v="Paciente muito ansiosa por medo de perda gestacional"/>
        <s v="Dores em BV + contrações"/>
        <s v="Herpes labial"/>
        <s v="dor em flanco direito - estenose de JUP."/>
        <s v="Contraçoes"/>
        <s v="Epigastralgia "/>
        <s v="Mal estar / desmaio  / hipotensão"/>
        <s v="dor abdominal / epigástrica "/>
        <s v="Reação alérgica à Cefalexina"/>
        <s v="Dor tipo cólica + contrações + sangramento tipo borra"/>
        <s v="Medo de perda gestacional"/>
        <s v="Cefaléia + dor epigástrica"/>
        <s v="Tontura vertigem"/>
        <s v="Epigastralgia"/>
        <s v="Otalgia"/>
        <s v="Sem queixas - Duvidas sobre IG"/>
        <s v="Ansiedade - dúvidas sobre local do PN"/>
        <s v="USG: placenta grau III, feto grande para IG"/>
        <s v="troca de medicamento prescrito para otite (usuária não encontra medicamento para compra)"/>
        <s v="Dor pélvica + sangramento em raio de sangue (1 episódio)"/>
        <s v=" Crise de ansiedade"/>
        <s v="Dor lombar"/>
        <s v="Crise de ansiedade"/>
        <s v="Medica entrou em contato. Quadro de vomitos"/>
        <s v="Dúvida sobre componentes de produto capilar"/>
        <s v="Perda de tampão mucoso e contrações de treinamento"/>
        <s v="Hemorroida "/>
        <s v="Prurido intenso nos pés"/>
        <s v="Dúvida sobre alimentação"/>
        <s v="CONTRAÇÕES"/>
        <s v="Palpitaçao"/>
        <s v="Queda da própria altura"/>
        <s v="queda da própria altura "/>
        <s v="Lesões na pele"/>
        <s v="Não consegue marcar pré natal"/>
        <s v="monitoramento"/>
        <s v="rinite alérgica"/>
        <s v="Dor em BV + vontade de evacuar + sensação de peso na vagina"/>
        <s v="constipação + dor BV"/>
        <s v="dor abd ( regiao umbilical ),+ hiperemia de vulva "/>
        <s v="Dor e edema MIE"/>
        <s v="Dúvida quanto aos sinais do TP"/>
        <s v="Dúvidas sobre LT intraparto e parto humanizado."/>
        <s v="dor ao respirar + dificuldade para respirar"/>
        <s v="Dúvidas com resultado de USG obstétrica."/>
        <s v="Alteração dos níveis de glicemia capilar - HGT."/>
        <s v="prurido intenso no corpo"/>
        <s v="Orientações quanto ao momento para se apresentar à maternidade."/>
        <s v="Cefaleia + náuseas e vômitos"/>
        <s v="cefaleia + nauseas e vomitos"/>
        <s v="Dúvidas quanto ao momento de procurar a maternidade para o parto."/>
        <s v="Dor em BV / abdominal "/>
        <s v="dúvidas USG "/>
        <s v="Dúvida quanto ao resultado da USG obstétrica."/>
        <s v="Desconfortos referentes ao terceiro trimestre."/>
        <s v="Aumento de umidade do canal vaginal."/>
        <s v="Discreto sangramento + diminuição dos movimentos fetais."/>
        <s v="Desconforto pélvico relacionado ao 3º trimestre gestacional."/>
        <s v="duvida na IG "/>
        <s v="Tosse"/>
        <s v="Epigastralgia, azia/queimação"/>
        <s v="contração de treinamento"/>
        <s v="dor de dente"/>
        <s v="Dúvida sobre quando deveria ir à maternidade"/>
        <s v="enjoo"/>
        <s v="Sonolência"/>
        <s v="Dúvida sobre onde iniciar o PN"/>
        <s v="Agendamento de PN"/>
        <s v="Hemorroida"/>
        <s v="Dúvida sobre USG"/>
        <s v="perfil glicêmico alterado "/>
        <s v="azia e refluxo"/>
        <s v="cefaléia + turvação visual"/>
        <s v="Orientações quanto ao momento do parto."/>
        <s v="Contrações e pirose"/>
        <s v="Dor genital"/>
        <s v="Dúvida sobre via de parto (iterativa 2) e laqueadura intraparto"/>
        <s v="Dúvidas quanto aos resultados dos exames solicitados na 1ª consulta."/>
        <s v="cólicas"/>
        <s v="Cansaço físico/indisposição/náusea"/>
        <s v="Febre / Sinais de infecção"/>
        <s v="DIARREIA + MAL ESTAR"/>
        <s v="Acne"/>
        <s v="Desconforto na vagina"/>
        <s v="Mostrar exames e tirar dúvidas sobre o final da gestação"/>
        <s v="Queixas relacionadas a saúde mental"/>
        <s v="CONTRAÇÃO ? + EPIGASTRALGIA"/>
        <s v="Dor aguda em joelho direito."/>
        <s v="gestação confirmada "/>
        <s v="Máculas acastanhadas em mãos, pés e barriga"/>
        <s v="Dúvidas quanto aos sinais de alerta em crise de asma na gestação."/>
        <s v="Dúvidas quanto ao resultado da USG."/>
        <s v="Dúvidas quanto ao trabalho de parto."/>
        <s v="Assintomática // Chegou na DPP"/>
        <s v="Diarreia leve"/>
        <s v="Dúvida sobre uso de cosmético"/>
        <s v="Assintomática. Esta na DPP"/>
        <s v="Contrações de Braxton Hicks"/>
        <s v="Choque elétrico"/>
        <s v="Confirmação de acesso"/>
        <s v="duvida sobre horario da dexametasona"/>
        <s v="Dúvida sobre cosmético"/>
        <s v="Diarreia durante o tratamento para ITU"/>
        <s v="Odontalgia"/>
        <s v="Pápula eritematosa e pruriginosa no abdome"/>
        <s v="Sangramento e cólicas em baixo ventre"/>
        <s v="Via de parto"/>
        <s v="Laqueadura Tubária"/>
        <s v="Dor abdominal + diarreia com sangue"/>
        <s v="Dúvida sobre quando ir à maternidade"/>
        <s v="Chegou na DPP"/>
        <s v="Duvidas sobre quando ir a maternidade 40sem 3 dias"/>
        <s v="Iniciar o pré-natal na APS"/>
        <s v="Covid-19"/>
        <s v="Covid 19"/>
        <s v="Dúvidas quanto a Idade gestacional."/>
        <s v="Pirose"/>
        <s v="Documentação para clexane"/>
        <s v="Dor lombar e MID"/>
        <s v="Inicio do PN"/>
        <s v="Azia e queimação."/>
        <s v="Picada de inseto em MMII"/>
        <s v="Orientações quanto ao momento do parto"/>
        <s v="Diarreia + dor epigastrica + nausea"/>
        <s v="DOR EM PERNA DIREITA"/>
        <s v="Duvida sobre onde marcar ecocardio"/>
        <s v="dor em MID"/>
        <s v="lesão cutânea com prurido"/>
        <s v="Alteração em exame de  USG"/>
        <s v="Lesão em mamilo"/>
        <s v="contrações braxton hicks"/>
        <s v="Desconforto pélvico no 3º trimestre"/>
        <s v="pre natal "/>
        <s v="colicas, gestação nao confirmada "/>
        <s v="suspeita de gestação  "/>
        <s v="Perda de tampão mucoso"/>
        <s v="Perda de tampão mucoso."/>
        <s v="Dúvidas sobre exames e suplementação vitamínica"/>
        <s v="Dúvidas quanto aos sinais de trabalho de parto e parto."/>
        <s v="Desconforto abdominal e secreção vaginal"/>
        <s v="Lombalgia e dor em MMII"/>
        <s v="Prurido"/>
        <s v="Cálculo de idade gestacional"/>
        <s v="Hiperglicemia capilar"/>
        <s v="40s (sic) pela usg 38s2d"/>
        <s v="cefaleia"/>
        <s v="dor no gluteo"/>
        <s v="Duvida sobre quando internar"/>
        <s v="Cefaleia, náuseas e vômitos."/>
        <s v="Medo de complicações por ter engravidado utilizando DIU"/>
        <s v="Náuseas e ou vômitos, cafaleia"/>
        <s v="dor/desconforto gástrico"/>
        <s v="Cólicas e sangramento transvaginal"/>
        <s v="Adontalgia"/>
        <s v="Cólicas e sangramento vaginal"/>
        <s v="constipação"/>
        <s v="Atestado médico"/>
        <s v="duvidas porque perdeu tampao mucoso e nao teve PN "/>
        <s v="Artralgia e mialgia"/>
        <s v="Trabalho de parto"/>
        <s v="GECA "/>
        <s v="Dúvida sobre medicação"/>
        <s v="Odontologia"/>
        <s v="GECA"/>
        <s v="TAMPAO MUCOSO"/>
        <s v="Herpes genital"/>
        <s v="Reagendamento de consulta"/>
        <s v="Rash na barriga"/>
        <s v="duvidas sobre espera do TP"/>
        <s v="cervicalgia "/>
        <s v="Dúvidas quanto ao tempo de gestação e parto, secreção vaginal"/>
        <s v="Dúvida sobre quando deve ir à maternidade"/>
        <s v="Dor muscular"/>
        <s v="Prurido em MMII"/>
        <s v="ARBOVIROSE "/>
        <s v="ARBOVIROSE"/>
        <s v="Varicela"/>
        <s v="Dengue/Arbovirose"/>
        <s v="prurido e lesões no corpo"/>
        <s v="Apresentação pélvica"/>
        <s v="dor em dente"/>
        <s v="Prurido e manchas em pele."/>
        <s v="Dor lombar com irradiação para MMII"/>
        <s v="Planejamento familiar - laqueadura tubária"/>
        <s v="Dúvidas USG"/>
        <s v="Náuseas, Vômitos e Diarreia"/>
        <s v="Corticoterapia para gemelar"/>
        <s v="Lesão de pele"/>
        <s v="Solicitação de reagendamento do PNAR"/>
        <s v="Dúvidas sobre DMG"/>
        <s v="dor na panturrilha"/>
        <s v="Contrações de treinamento"/>
        <s v="Dor precordial"/>
        <s v="duvidas sobre pos datismo"/>
        <s v="Dor em MIE"/>
        <s v="Dúvida sobre idade gestacional"/>
        <s v="Dúvida sobre o diagnóstico de DMG"/>
        <s v="Desejo de iniciar licença maternidade"/>
        <s v="Dúvida sobre DPP e trabalho de parto"/>
        <s v="contrações "/>
        <s v="Efeito adverso à vacinas."/>
        <s v="Perda de líquido e sintomas gripais"/>
        <s v="Perda de líquido / Sintomas Gripais"/>
        <s v="IG avançada sem sinais de TP"/>
        <s v="IG avançada"/>
        <s v="Gravidez indesejada + desejo por abortamento + náuseas"/>
        <s v="contrações uterinas"/>
        <s v="Desconforto abdominal/Gases"/>
        <s v="Nódulos mamários"/>
        <s v="USG risco de pré-eclampsia"/>
        <s v="Suspeita de dengue"/>
        <s v="Diarréia + nauseas"/>
        <s v="estou com 40 semanas"/>
        <s v="Virose com quadro intestinal"/>
        <s v="Odontalgia + cefaléia + otalgia"/>
        <s v="tosse seca"/>
        <s v="Dor abdominal difusa"/>
        <s v="Discreto ardor vulvar."/>
        <s v="ITU + dúvidas quanto ao resultado de exames laboratoriais"/>
        <s v="Dúvida sobre produtos para cabelo"/>
        <s v="Gestação prolongada + HASC "/>
        <s v="Dor no abdome"/>
        <s v="Acesso à consulta de PN"/>
        <s v="Dúvidas sobre trabalho de parto"/>
        <s v="HASC + IG avançada"/>
        <s v="duvida sobre via de parto"/>
        <s v="Sono excessivo"/>
        <s v="Dor muscular em região inframamária esquerda"/>
        <s v="Dor pélvica e secreção vaginal"/>
        <s v="Pressão na pelve"/>
        <s v="Dor pélvica + secreção vaginal"/>
        <s v="cólicas gastrointestinais "/>
        <s v="Dor em flanco direito "/>
        <s v="Perda de tampão mucoso/ cerclagem"/>
        <s v="Solicitação de mediação para agendamento PNAR."/>
        <s v="Sem acompanhamento pré natal"/>
        <s v="Contações"/>
        <s v="sem acompanhamento de pré-natal"/>
        <s v="dor em flanco direito"/>
        <s v="duvidas quanto ao trabalho de parto (40s)"/>
        <s v="tampão mucoso"/>
        <s v="edema no local da injeção (benzetacil)"/>
        <s v="Ansiedade sobre momento do parto/ internamento"/>
        <s v="Solicitação de mediação PNAR / perda de líquido"/>
        <s v="Foliculite"/>
        <s v="Foliculite?"/>
        <s v="Sintomas respiratórios"/>
        <s v="Desconforto pélvico e lombar"/>
        <s v="Diarréia "/>
        <s v="USG alterada 8s4d sem AC"/>
        <s v="Pródromos de trabalho de parto"/>
        <s v="QUANDO PROCURAR A MATERNIDADE  (GUTT+ DMG)"/>
        <s v="Dúvida de quando ir para maternidade"/>
      </sharedItems>
    </cacheField>
    <cacheField name="Qual o motivo da consulta " numFmtId="0">
      <sharedItems containsBlank="1" count="15">
        <m/>
        <s v="Falso trabalho de parto/ Contraçao de treinamento"/>
        <s v="Trabalho de parto com pródromos"/>
        <s v="Dúvida acerca de quando deveria ir à maternidade"/>
        <s v="BR?"/>
        <s v="Trabalho de parto fase ativa"/>
        <s v="Trabalho de parto prematuro"/>
        <s v="41 simanas "/>
        <s v="41semanas"/>
        <s v="Contração "/>
        <s v="Pós-datismo"/>
        <s v="Contrações de Braxton Hicks "/>
        <s v="Contrações de Braxton Hicks"/>
        <s v="Indução de tp por idade gestacional"/>
        <s v="prodromos"/>
      </sharedItems>
    </cacheField>
    <cacheField name="Qual o motivo da procura pelo atende gestante? " numFmtId="0">
      <sharedItems containsBlank="1" count="35">
        <m/>
        <s v="Consulta puerperal"/>
        <s v="sindrome gripal"/>
        <s v="Secreção em ferida operatória"/>
        <s v="Cuidados/ retirada de pontos"/>
        <s v="Drenagem de secreção seropurulenta em FO"/>
        <s v="Infecção de FO"/>
        <s v="Planejamento Familiar/Cuidados pós aborto"/>
        <s v="corrimento vaginal"/>
        <s v="Doença hemorroidária no puerpério."/>
        <s v="Queixas relacionadas à amamentação"/>
        <s v="Hemorroida "/>
        <s v="cefaleia"/>
        <s v="FO com secreção serosanguinolenta"/>
        <s v="Rafia de laceração com ardência e prurido"/>
        <s v="Exsudato em FO"/>
        <s v="secreção em FO"/>
        <s v="Dor em região sacral."/>
        <s v="Dificuldade na aceitação da perda gestacional."/>
        <s v="Exames no puerpério: HAS/DHEG, DMG/DM"/>
        <s v="Sangramento vaginal persistente após um aborto espontâneo"/>
        <s v="Cuidados com a(o) bebê"/>
        <s v="Sintomas gripais"/>
        <s v="Dúvidas quanto ao seu estado de saúde."/>
        <s v="dor epigastrica"/>
        <s v="Desconforto abdominal"/>
        <s v="Dispneia, disúria"/>
        <s v="corrimento vaginal mais sangramento discreto"/>
        <s v="dor em região de FO + disúria + tristeza puerperal (sugestivo de baby blues)+ dúvidas sobre os lóquios"/>
        <s v="Dor na F.O"/>
        <s v="Cefaleia + PA = 140 x 100"/>
        <s v="cefaleia + HAS"/>
        <s v="Dor e distensão abdominal"/>
        <s v="Desconforto abdominal "/>
        <s v="dor em MMII"/>
      </sharedItems>
    </cacheField>
    <cacheField name="Tipo de atendimento realizado" numFmtId="0">
      <sharedItems containsBlank="1" count="4">
        <m/>
        <s v="Teleconsulta"/>
        <s v="Teletriagem"/>
        <s v="Telemonitoramento"/>
      </sharedItems>
    </cacheField>
    <cacheField name="Neste momento, foi necessário converter para o atendimento presencial?" numFmtId="0">
      <sharedItems containsBlank="1" count="8">
        <m/>
        <s v="NÃO"/>
        <s v="SIM: Urgência/ emergência"/>
        <s v="SIM: Inadequação do ambiente virtual (ampliação do exame físico/ anamnese)"/>
        <s v="NÃO: Já está na maternidade"/>
        <s v="NÃO: Já está na USF"/>
        <s v="SIM: Problemas de identificação"/>
        <s v="SIM: Dificuldades técnicas e/ou de comunicação"/>
      </sharedItems>
    </cacheField>
    <cacheField name="Foi necessário encaminhamento para outro serviço?" numFmtId="0">
      <sharedItems containsBlank="1" count="6">
        <m/>
        <s v="NÃO"/>
        <s v="SIM, para Atenção Primária em Saúde"/>
        <s v="SIM, para Maternidade"/>
        <s v="SIM, situação não relacionada ao período gravídico-puerperal"/>
        <s v="SIM, para o SAMU"/>
      </sharedItems>
    </cacheField>
    <cacheField name="A condição gerou oferta de teleinterconsulta?" numFmtId="0">
      <sharedItems containsBlank="1" count="4">
        <m/>
        <s v="SIM"/>
        <s v="NÃO"/>
        <s v=" "/>
      </sharedItems>
    </cacheField>
    <cacheField name="Gestante já vinculada à APS?" numFmtId="0">
      <sharedItems containsBlank="1" count="3">
        <m/>
        <s v="SIM"/>
        <s v="NÃO"/>
      </sharedItems>
    </cacheField>
    <cacheField name="Gestante já vinculada à maternidade?" numFmtId="0">
      <sharedItems containsBlank="1" count="4">
        <m/>
        <s v="NÃO"/>
        <s v="SIM"/>
        <s v="Não questionado"/>
      </sharedItems>
    </cacheField>
    <cacheField name="Encaminhado para outro profissional do Telessaúde?" numFmtId="0">
      <sharedItems containsBlank="1" count="6">
        <m/>
        <s v="NÃO"/>
        <s v="SIM"/>
        <s v="SIM, Médica ou Enfermeira"/>
        <s v="SIM, Nutricionista"/>
        <s v="SIM, Apoio Emocional"/>
      </sharedItems>
    </cacheField>
    <cacheField name="Realizar telemonitoramento?" numFmtId="0">
      <sharedItems containsBlank="1" count="3">
        <m/>
        <s v="SIM"/>
        <s v="NÃO"/>
      </sharedItems>
    </cacheField>
    <cacheField name="Qual a data para realizar o telemonitoramento?" numFmtId="0">
      <sharedItems containsString="0" containsBlank="1" containsNonDate="0" containsDate="1" minDate="2022-06-27T00:00:00" maxDate="2024-06-07T00:00:00" count="362">
        <m/>
        <d v="2022-11-10T00:00:00"/>
        <d v="2022-12-01T00:00:00"/>
        <d v="2022-12-15T00:00:00"/>
        <d v="2023-01-02T00:00:00"/>
        <d v="2023-01-03T00:00:00"/>
        <d v="2023-01-11T00:00:00"/>
        <d v="2023-01-16T00:00:00"/>
        <d v="2023-01-25T00:00:00"/>
        <d v="2023-01-26T00:00:00"/>
        <d v="2023-01-27T00:00:00"/>
        <d v="2023-03-17T00:00:00"/>
        <d v="2023-03-20T00:00:00"/>
        <d v="2023-03-21T00:00:00"/>
        <d v="2023-04-07T00:00:00"/>
        <d v="2023-04-20T00:00:00"/>
        <d v="2023-04-24T00:00:00"/>
        <d v="2023-05-03T00:00:00"/>
        <d v="2023-05-04T00:00:00"/>
        <d v="2023-05-08T00:00:00"/>
        <d v="2023-05-11T00:00:00"/>
        <d v="2023-05-09T00:00:00"/>
        <d v="2023-05-22T00:00:00"/>
        <d v="2023-05-31T00:00:00"/>
        <d v="2023-06-01T00:00:00"/>
        <d v="2023-05-01T00:00:00"/>
        <d v="2023-06-02T00:00:00"/>
        <d v="2023-06-03T00:00:00"/>
        <d v="2023-06-07T00:00:00"/>
        <d v="2023-06-04T00:00:00"/>
        <d v="2023-06-05T00:00:00"/>
        <d v="2023-06-06T00:00:00"/>
        <d v="2023-06-08T00:00:00"/>
        <d v="2023-06-09T00:00:00"/>
        <d v="2023-06-14T00:00:00"/>
        <d v="2023-06-10T00:00:00"/>
        <d v="2023-06-12T00:00:00"/>
        <d v="2023-06-11T00:00:00"/>
        <d v="2023-06-16T00:00:00"/>
        <d v="2023-06-13T00:00:00"/>
        <d v="2023-06-27T00:00:00"/>
        <d v="2023-06-15T00:00:00"/>
        <d v="2023-06-17T00:00:00"/>
        <d v="2023-06-30T00:00:00"/>
        <d v="2023-06-18T00:00:00"/>
        <d v="2023-06-19T00:00:00"/>
        <d v="2023-06-21T00:00:00"/>
        <d v="2023-06-20T00:00:00"/>
        <d v="2023-06-22T00:00:00"/>
        <d v="2023-06-23T00:00:00"/>
        <d v="2023-06-26T00:00:00"/>
        <d v="2023-06-25T00:00:00"/>
        <d v="2023-06-28T00:00:00"/>
        <d v="2022-06-27T00:00:00"/>
        <d v="2023-07-01T00:00:00"/>
        <d v="2023-06-29T00:00:00"/>
        <d v="2023-07-04T00:00:00"/>
        <d v="2023-07-02T00:00:00"/>
        <d v="2023-07-03T00:00:00"/>
        <d v="2023-07-05T00:00:00"/>
        <d v="2023-07-06T00:00:00"/>
        <d v="2023-07-07T00:00:00"/>
        <d v="2023-07-09T00:00:00"/>
        <d v="2023-07-08T00:00:00"/>
        <d v="2023-07-12T00:00:00"/>
        <d v="2023-07-11T00:00:00"/>
        <d v="2023-07-13T00:00:00"/>
        <d v="2023-07-14T00:00:00"/>
        <d v="2023-07-17T00:00:00"/>
        <d v="2023-07-15T00:00:00"/>
        <d v="2023-07-21T00:00:00"/>
        <d v="2023-07-16T00:00:00"/>
        <d v="2023-07-18T00:00:00"/>
        <d v="2023-07-19T00:00:00"/>
        <d v="2023-07-20T00:00:00"/>
        <d v="2023-07-22T00:00:00"/>
        <d v="2023-07-23T00:00:00"/>
        <d v="2023-07-26T00:00:00"/>
        <d v="2023-07-27T00:00:00"/>
        <d v="2023-08-03T00:00:00"/>
        <d v="2023-07-29T00:00:00"/>
        <d v="2023-07-30T00:00:00"/>
        <d v="2023-07-31T00:00:00"/>
        <d v="2023-08-01T00:00:00"/>
        <d v="2023-08-02T00:00:00"/>
        <d v="2023-08-04T00:00:00"/>
        <d v="2023-08-06T00:00:00"/>
        <d v="2023-08-05T00:00:00"/>
        <d v="2023-08-08T00:00:00"/>
        <d v="2023-08-07T00:00:00"/>
        <d v="2023-08-17T00:00:00"/>
        <d v="2023-08-09T00:00:00"/>
        <d v="2023-08-11T00:00:00"/>
        <d v="2023-08-12T00:00:00"/>
        <d v="2023-08-13T00:00:00"/>
        <d v="2023-08-14T00:00:00"/>
        <d v="2023-08-15T00:00:00"/>
        <d v="2023-08-18T00:00:00"/>
        <d v="2023-08-19T00:00:00"/>
        <d v="2023-08-22T00:00:00"/>
        <d v="2023-08-20T00:00:00"/>
        <d v="2023-08-21T00:00:00"/>
        <d v="2023-08-23T00:00:00"/>
        <d v="2023-08-24T00:00:00"/>
        <d v="2023-08-25T00:00:00"/>
        <d v="2023-08-26T00:00:00"/>
        <d v="2023-08-29T00:00:00"/>
        <d v="2023-08-30T00:00:00"/>
        <d v="2023-08-31T00:00:00"/>
        <d v="2023-09-01T00:00:00"/>
        <d v="2023-09-03T00:00:00"/>
        <d v="2023-09-02T00:00:00"/>
        <d v="2023-09-04T00:00:00"/>
        <d v="2023-09-05T00:00:00"/>
        <d v="2023-09-08T00:00:00"/>
        <d v="2023-09-10T00:00:00"/>
        <d v="2023-09-11T00:00:00"/>
        <d v="2023-09-13T00:00:00"/>
        <d v="2023-09-12T00:00:00"/>
        <d v="2023-09-14T00:00:00"/>
        <d v="2023-09-16T00:00:00"/>
        <d v="2023-09-15T00:00:00"/>
        <d v="2023-09-18T00:00:00"/>
        <d v="2023-09-17T00:00:00"/>
        <d v="2023-09-19T00:00:00"/>
        <d v="2023-09-21T00:00:00"/>
        <d v="2023-09-23T00:00:00"/>
        <d v="2023-09-22T00:00:00"/>
        <d v="2023-09-24T00:00:00"/>
        <d v="2023-09-25T00:00:00"/>
        <d v="2023-09-26T00:00:00"/>
        <d v="2023-09-28T00:00:00"/>
        <d v="2023-09-29T00:00:00"/>
        <d v="2023-10-01T00:00:00"/>
        <d v="2023-10-03T00:00:00"/>
        <d v="2023-03-05T00:00:00"/>
        <d v="2023-10-05T00:00:00"/>
        <d v="2023-10-04T00:00:00"/>
        <d v="2023-10-06T00:00:00"/>
        <d v="2023-10-07T00:00:00"/>
        <d v="2023-10-10T00:00:00"/>
        <d v="2023-10-09T00:00:00"/>
        <d v="2023-10-12T00:00:00"/>
        <d v="2023-10-11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8T00:00:00"/>
        <d v="2023-10-27T00:00:00"/>
        <d v="2023-10-30T00:00:00"/>
        <d v="2023-10-31T00:00:00"/>
        <d v="2023-11-01T00:00:00"/>
        <d v="2023-11-02T00:00:00"/>
        <d v="2023-11-03T00:00:00"/>
        <d v="2023-11-04T00:00:00"/>
        <d v="2023-11-05T00:00:00"/>
        <d v="2023-11-06T00:00:00"/>
        <d v="2023-11-07T00:00:00"/>
        <d v="2023-11-08T00:00:00"/>
        <d v="2023-11-09T00:00:00"/>
        <d v="2023-11-10T00:00:00"/>
        <d v="2023-11-11T00:00:00"/>
        <d v="2023-11-14T00:00:00"/>
        <d v="2023-11-15T00:00:00"/>
        <d v="2023-11-16T00:00:00"/>
        <d v="2023-11-17T00:00:00"/>
        <d v="2023-11-18T00:00:00"/>
        <d v="2023-11-19T00:00:00"/>
        <d v="2023-11-21T00:00:00"/>
        <d v="2023-11-23T00:00:00"/>
        <d v="2023-11-22T00:00:00"/>
        <d v="2023-11-24T00:00:00"/>
        <d v="2023-11-25T00:00:00"/>
        <d v="2023-11-27T00:00:00"/>
        <d v="2023-11-26T00:00:00"/>
        <d v="2023-11-28T00:00:00"/>
        <d v="2023-11-29T00:00:00"/>
        <d v="2023-11-30T00:00:00"/>
        <d v="2023-12-01T00:00:00"/>
        <d v="2023-12-02T00:00:00"/>
        <d v="2023-12-03T00:00:00"/>
        <d v="2023-12-05T00:00:00"/>
        <d v="2023-12-04T00:00:00"/>
        <d v="2023-12-06T00:00:00"/>
        <d v="2023-12-07T00:00:00"/>
        <d v="2023-12-08T00:00:00"/>
        <d v="2023-12-09T00:00:00"/>
        <d v="2023-12-10T00:00:00"/>
        <d v="2023-12-12T00:00:00"/>
        <d v="2023-12-11T00:00:00"/>
        <d v="2023-12-15T00:00:00"/>
        <d v="2023-12-13T00:00:00"/>
        <d v="2023-12-14T00:00:00"/>
        <d v="2023-12-16T00:00:00"/>
        <d v="2023-12-17T00:00:00"/>
        <d v="2023-12-18T00:00:00"/>
        <d v="2024-01-01T00:00:00"/>
        <d v="2023-12-19T00:00:00"/>
        <d v="2023-12-20T00:00:00"/>
        <d v="2023-12-22T00:00:00"/>
        <d v="2023-12-21T00:00:00"/>
        <d v="2023-12-29T00:00:00"/>
        <d v="2023-12-23T00:00:00"/>
        <d v="2023-12-26T00:00:00"/>
        <d v="2023-12-27T00:00:00"/>
        <d v="2023-12-28T00:00:00"/>
        <d v="2023-12-30T00:00:00"/>
        <d v="2023-12-31T00:00:00"/>
        <d v="2024-01-02T00:00:00"/>
        <d v="2024-01-03T00:00:00"/>
        <d v="2024-01-04T00:00:00"/>
        <d v="2024-01-05T00:00:00"/>
        <d v="2024-01-06T00:00:00"/>
        <d v="2024-01-09T00:00:00"/>
        <d v="2024-01-07T00:00:00"/>
        <d v="2024-01-10T00:00:00"/>
        <d v="2024-01-11T00:00:00"/>
        <d v="2024-01-12T00:00:00"/>
        <d v="2024-01-13T00:00:00"/>
        <d v="2024-01-14T00:00:00"/>
        <d v="2024-01-15T00:00:00"/>
        <d v="2024-01-17T00:00:00"/>
        <d v="2024-01-24T00:00:00"/>
        <d v="2024-01-31T00:00:00"/>
        <d v="2024-01-18T00:00:00"/>
        <d v="2024-01-19T00:00:00"/>
        <d v="2024-01-22T00:00:00"/>
        <d v="2024-01-20T00:00:00"/>
        <d v="2024-01-23T00:00:00"/>
        <d v="2024-01-25T00:00:00"/>
        <d v="2024-01-27T00:00:00"/>
        <d v="2024-01-28T00:00:00"/>
        <d v="2024-01-30T00:00:00"/>
        <d v="2024-02-01T00:00:00"/>
        <d v="2024-02-02T00:00:00"/>
        <d v="2024-02-03T00:00:00"/>
        <d v="2024-02-05T00:00:00"/>
        <d v="2024-02-07T00:00:00"/>
        <d v="2024-02-08T00:00:00"/>
        <d v="2024-02-10T00:00:00"/>
        <d v="2024-02-09T00:00:00"/>
        <d v="2024-02-11T00:00:00"/>
        <d v="2024-02-12T00:00:00"/>
        <d v="2024-02-13T00:00:00"/>
        <d v="2024-02-14T00:00:00"/>
        <d v="2024-02-15T00:00:00"/>
        <d v="2024-02-16T00:00:00"/>
        <d v="2024-02-17T00:00:00"/>
        <d v="2024-02-18T00:00:00"/>
        <d v="2024-02-19T00:00:00"/>
        <d v="2024-02-20T00:00:00"/>
        <d v="2024-02-21T00:00:00"/>
        <d v="2024-02-22T00:00:00"/>
        <d v="2024-03-02T00:00:00"/>
        <d v="2024-02-25T00:00:00"/>
        <d v="2024-02-23T00:00:00"/>
        <d v="2024-02-24T00:00:00"/>
        <d v="2024-02-26T00:00:00"/>
        <d v="2024-03-01T00:00:00"/>
        <d v="2024-02-27T00:00:00"/>
        <d v="2024-02-29T00:00:00"/>
        <d v="2024-03-03T00:00:00"/>
        <d v="2024-03-04T00:00:00"/>
        <d v="2024-03-05T00:00:00"/>
        <d v="2024-03-09T00:00:00"/>
        <d v="2024-03-06T00:00:00"/>
        <d v="2024-03-07T00:00:00"/>
        <d v="2024-03-10T00:00:00"/>
        <d v="2024-03-08T00:00:00"/>
        <d v="2024-03-19T00:00:00"/>
        <d v="2024-03-11T00:00:00"/>
        <d v="2024-03-13T00:00:00"/>
        <d v="2024-03-12T00:00:00"/>
        <d v="2024-03-15T00:00:00"/>
        <d v="2024-03-14T00:00:00"/>
        <d v="2024-03-16T00:00:00"/>
        <d v="2024-03-17T00:00:00"/>
        <d v="2024-03-21T00:00:00"/>
        <d v="2024-03-20T00:00:00"/>
        <d v="2024-03-27T00:00:00"/>
        <d v="2024-03-22T00:00:00"/>
        <d v="2024-03-23T00:00:00"/>
        <d v="2024-03-24T00:00:00"/>
        <d v="2024-03-25T00:00:00"/>
        <d v="2024-03-26T00:00:00"/>
        <d v="2024-03-28T00:00:00"/>
        <d v="2024-03-29T00:00:00"/>
        <d v="2024-04-01T00:00:00"/>
        <d v="2024-03-30T00:00:00"/>
        <d v="2024-03-31T00:00:00"/>
        <d v="2024-04-02T00:00:00"/>
        <d v="2024-04-04T00:00:00"/>
        <d v="2024-04-05T00:00:00"/>
        <d v="2024-04-06T00:00:00"/>
        <d v="2024-04-12T00:00:00"/>
        <d v="2024-04-08T00:00:00"/>
        <d v="2024-04-10T00:00:00"/>
        <d v="2024-04-19T00:00:00"/>
        <d v="2024-04-09T00:00:00"/>
        <d v="2024-04-11T00:00:00"/>
        <d v="2024-04-13T00:00:00"/>
        <d v="2024-04-14T00:00:00"/>
        <d v="2024-04-15T00:00:00"/>
        <d v="2024-04-16T00:00:00"/>
        <d v="2024-04-17T00:00:00"/>
        <d v="2024-04-18T00:00:00"/>
        <d v="2024-04-20T00:00:00"/>
        <d v="2024-04-22T00:00:00"/>
        <d v="2024-04-21T00:00:00"/>
        <d v="2024-04-23T00:00:00"/>
        <d v="2024-04-24T00:00:00"/>
        <d v="2024-04-25T00:00:00"/>
        <d v="2024-04-26T00:00:00"/>
        <d v="2024-04-27T00:00:00"/>
        <d v="2024-04-29T00:00:00"/>
        <d v="2024-04-28T00:00:00"/>
        <d v="2024-05-02T00:00:00"/>
        <d v="2024-05-03T00:00:00"/>
        <d v="2024-05-04T00:00:00"/>
        <d v="2024-05-05T00:00:00"/>
        <d v="2024-05-06T00:00:00"/>
        <d v="2024-05-15T00:00:00"/>
        <d v="2024-05-07T00:00:00"/>
        <d v="2024-05-16T00:00:00"/>
        <d v="2024-05-08T00:00:00"/>
        <d v="2024-05-09T00:00:00"/>
        <d v="2024-05-10T00:00:00"/>
        <d v="2024-05-13T00:00:00"/>
        <d v="2024-05-12T00:00:00"/>
        <d v="2024-05-14T00:00:00"/>
        <d v="2024-05-21T00:00:00"/>
        <d v="2024-05-17T00:00:00"/>
        <d v="2024-05-18T00:00:00"/>
        <d v="2024-05-20T00:00:00"/>
        <d v="2024-05-19T00:00:00"/>
        <d v="2024-05-22T00:00:00"/>
        <d v="2024-05-24T00:00:00"/>
        <d v="2024-05-23T00:00:00"/>
        <d v="2024-05-27T00:00:00"/>
        <d v="2024-05-25T00:00:00"/>
        <d v="2024-05-26T00:00:00"/>
        <d v="2024-05-28T00:00:00"/>
        <d v="2024-05-29T00:00:00"/>
        <d v="2024-05-31T00:00:00"/>
        <d v="2024-05-30T00:00:00"/>
        <d v="2024-06-03T00:00:00"/>
        <d v="2024-06-02T00:00:00"/>
        <d v="2024-06-05T00:00:00"/>
        <d v="2024-06-06T00:00:00"/>
        <d v="2024-06-04T00:00:00"/>
        <d v="2024-06-07T00:00:00"/>
      </sharedItems>
    </cacheField>
    <cacheField name="O atendimento foi realizado por:" numFmtId="0">
      <sharedItems containsBlank="1" count="4">
        <m/>
        <s v="Videochamada"/>
        <s v="Telefone"/>
        <s v="HopChat"/>
      </sharedItems>
    </cacheField>
    <cacheField name="Selecione o tipo de demanda" numFmtId="0">
      <sharedItems containsBlank="1" count="8">
        <m/>
        <s v="Dentro do horário da USF (segunda a sexta das 8h às 17h)"/>
        <s v="Demanda noturna durante dias de semana (das 19h às 7h)"/>
        <s v="Não se aplica"/>
        <s v="Demanda noturna em dias do final de semana ou feriado/ ponto facultativo"/>
        <s v="Fora do horário da USF mas de segunda a sexta das 7h-8h ou 17h às 19h"/>
        <s v="Fora do horário da USF (finais de semana ou feriado/ponto facultativo 07 as 19h)"/>
        <s v="Demanda Noturna (segunda a sexta das 19h às 07h)"/>
      </sharedItems>
    </cacheField>
    <cacheField name="Motivo de busca por atendimento no Atende Gestante" numFmtId="0">
      <sharedItems containsBlank="1" count="14">
        <m/>
        <s v="Ausência de profissional assistente na sua unidade de saúde"/>
        <s v="Por escolha da usuária"/>
        <s v="Fora do dia ou horário de funcionamento da sua unidade de saúde"/>
        <s v="Não se aplica"/>
        <s v="Não conseguiu atendimento na sua unidade de saúde"/>
        <s v="Profissional da unidade entrou em contato no momento da consulta de PN "/>
        <s v="Gestante iniciou PN Sanharó, depois mudou-se para Recife e continuou o acompanhamento. Há menos de 1 mês mudou-se para Olinda. Unidade realiza busca ativa dia 31/05 no endereço de Olinda e não encontra paciente."/>
        <s v="Atendida na unidade por enfermeira, mas não conseguiu tirar duvidas e resolver questoes relacionas a PA"/>
        <s v="Alta do PN"/>
        <s v="paciente estava no CAPS "/>
        <s v="Gestante atendida pelo plano de saúde SASSEPE, teve dificuldade de realizar exame de USG renal e entra em contato para pedir ajuda a rede municipal. Refere que tem estenose de JUP."/>
        <s v="Já tinha sido atendida anteriormente e orientada a retornar com resultado do exame de urina."/>
        <s v="TINC - Atendimento compartilhado"/>
      </sharedItems>
    </cacheField>
    <cacheField name="Número WhatsApp" numFmtId="0">
      <sharedItems containsBlank="1" containsNumber="1" containsInteger="1" containsMixedTypes="1" count="743">
        <m/>
        <n v="81985937671"/>
        <n v="81984696256"/>
        <n v="81996295001"/>
        <n v="81984531903"/>
        <n v="81985904153"/>
        <n v="81985880259"/>
        <n v="81999032761"/>
        <n v="81998028449"/>
        <n v="81994615795"/>
        <n v="81985708726"/>
        <n v="81996721255"/>
        <n v="81986310755"/>
        <n v="81983652242"/>
        <n v="81984558250"/>
        <n v="81992693254"/>
        <n v="81988890611"/>
        <n v="81982403574"/>
        <n v="81999760929"/>
        <n v="81988225700"/>
        <n v="81988872899"/>
        <n v="81988510579"/>
        <n v="81997477925"/>
        <n v="81999948085"/>
        <n v="81997216279"/>
        <n v="81983231984"/>
        <n v="81989143627"/>
        <n v="81985247497"/>
        <n v="81992191649"/>
        <n v="81996790643"/>
        <n v="81998415931"/>
        <n v="81986167867"/>
        <n v="81999126856"/>
        <n v="81986628161"/>
        <n v="81997646410"/>
        <n v="81985120818"/>
        <n v="81984643831"/>
        <n v="81984182678"/>
        <n v="81985052920"/>
        <n v="81983454381"/>
        <n v="87991887250"/>
        <n v="81984639958"/>
        <n v="81996713494"/>
        <n v="81982131914"/>
        <n v="81991976460"/>
        <n v="81986584843"/>
        <n v="81988985623"/>
        <n v="81985301931"/>
        <n v="81985193432"/>
        <n v="81996189614"/>
        <n v="81996333421"/>
        <n v="81999556709"/>
        <n v="81987031353"/>
        <n v="81988169461"/>
        <n v="81989075471"/>
        <n v="81987252750"/>
        <n v="81986669422"/>
        <n v="81988153975"/>
        <n v="81986207791"/>
        <n v="81987631286"/>
        <n v="81984211746"/>
        <n v="81984663804"/>
        <n v="81996444977"/>
        <n v="81985559317"/>
        <n v="81999669664"/>
        <n v="81983140313"/>
        <n v="81988117095"/>
        <n v="81996695691"/>
        <n v="81984481237"/>
        <n v="81986266856"/>
        <n v="81994040588"/>
        <n v="81987794735"/>
        <n v="81997948392"/>
        <n v="81984510881"/>
        <n v="81993362529"/>
        <n v="81995339781"/>
        <n v="81984049541"/>
        <n v="81996378666"/>
        <n v="81991724644"/>
        <n v="81983900304"/>
        <n v="81979150436"/>
        <n v="81999475931"/>
        <n v="81995176967"/>
        <n v="81999504585"/>
        <n v="81984527273"/>
        <n v="81997022233"/>
        <n v="81999540010"/>
        <n v="81986798920"/>
        <n v="81984615045"/>
        <n v="81996549887"/>
        <n v="81998770517"/>
        <n v="81996504653"/>
        <n v="81982102916"/>
        <n v="81996288296"/>
        <n v="81995179608"/>
        <n v="81994539085"/>
        <n v="81985538117"/>
        <n v="81994710465"/>
        <n v="81988553405"/>
        <n v="81999436287"/>
        <n v="81997627361"/>
        <n v="81984720957"/>
        <n v="81984833707"/>
        <n v="81985169878"/>
        <n v="81996052492"/>
        <n v="81995262490"/>
        <n v="81983970546"/>
        <n v="81986952337"/>
        <n v="81985617248"/>
        <n v="81996039055"/>
        <n v="81985425213"/>
        <n v="81985923299"/>
        <s v="8133554385"/>
        <n v="81981876632"/>
        <n v="81988435598"/>
        <n v="81991424620"/>
        <n v="81992150020"/>
        <n v="81985732569"/>
        <n v="81984462332"/>
        <n v="81996867828"/>
        <n v="81991919379"/>
        <n v="81999860751"/>
        <n v="81995318520"/>
        <n v="81986345052"/>
        <n v="81996703831"/>
        <n v="81992198298"/>
        <n v="81986721162"/>
        <n v="81985913215"/>
        <n v="81988730807"/>
        <n v="81983491216"/>
        <n v="81985309631"/>
        <n v="81999137506"/>
        <n v="81996176992"/>
        <n v="81985750512"/>
        <n v="81985451877"/>
        <n v="81993617490"/>
        <n v="81986368212"/>
        <n v="81996343446"/>
        <n v="81992444731"/>
        <n v="81996851239"/>
        <n v="81991067896"/>
        <n v="81996372273"/>
        <n v="81981490872"/>
        <n v="81993617459"/>
        <n v="81987349723"/>
        <n v="81988246857"/>
        <n v="81986896245"/>
        <n v="81988220808"/>
        <n v="81996831837"/>
        <n v="81991022399"/>
        <n v="81984367066"/>
        <n v="81998373388"/>
        <n v="81986766525"/>
        <n v="81987465625"/>
        <n v="81997727560"/>
        <n v="81996042108"/>
        <n v="81991663102"/>
        <n v="81987103480"/>
        <n v="81999943590"/>
        <n v="81988866907"/>
        <n v="81996199221"/>
        <n v="81986747671"/>
        <n v="81984526517"/>
        <n v="81983709670"/>
        <n v="81997643142"/>
        <n v="81997613230"/>
        <n v="81985969925"/>
        <n v="81997532155"/>
        <n v="81997557343"/>
        <n v="81986973090"/>
        <n v="81984460956"/>
        <n v="81986325570"/>
        <n v="81999881564"/>
        <n v="81988660392"/>
        <n v="81997301098"/>
        <n v="81985560728"/>
        <n v="81988254664"/>
        <n v="81986488134"/>
        <n v="81994314903"/>
        <n v="81991778012"/>
        <n v="81983588962"/>
        <n v="81994880109"/>
        <n v="81999835531"/>
        <n v="81998947901"/>
        <n v="81999301993"/>
        <n v="81986020267"/>
        <n v="81985753916"/>
        <n v="81983228290"/>
        <n v="81982295697"/>
        <n v="81987398270"/>
        <n v="81993878001"/>
        <n v="81998490815"/>
        <n v="81996242115"/>
        <n v="81975060868"/>
        <n v="81973386673"/>
        <n v="81999658496"/>
        <n v="81986055473"/>
        <n v="81988766963"/>
        <n v="81999798361"/>
        <n v="81995082136"/>
        <n v="81974019897"/>
        <n v="81994811870"/>
        <n v="81993804960"/>
        <n v="81997035691"/>
        <n v="81991264656"/>
        <n v="81985181388"/>
        <n v="81988242621"/>
        <n v="81985342963"/>
        <n v="81982083500"/>
        <n v="81988582823"/>
        <n v="81994743066"/>
        <n v="81983077317"/>
        <n v="81996584017"/>
        <n v="81985721704"/>
        <n v="81988560009"/>
        <n v="81999786121"/>
        <n v="81992145270"/>
        <n v="81984575102"/>
        <n v="81989194686"/>
        <n v="81988672345"/>
        <n v="81987995475"/>
        <n v="81999955454"/>
        <n v="81983559065"/>
        <n v="81996571827"/>
        <n v="81987607191"/>
        <n v="81988246464"/>
        <n v="81999941587"/>
        <n v="81983841615"/>
        <n v="81992664814"/>
        <n v="81984642088"/>
        <n v="81986970720"/>
        <n v="81996405105"/>
        <n v="81986705885"/>
        <n v="81984236474"/>
        <n v="81984521902"/>
        <n v="81983355218"/>
        <n v="81985165366"/>
        <n v="81986133597"/>
        <n v="81999117266"/>
        <n v="81991811812"/>
        <n v="81991217233"/>
        <n v="81999649609"/>
        <n v="81985342482"/>
        <n v="81973038779"/>
        <n v="81986886770"/>
        <n v="81983101483"/>
        <n v="81985020601"/>
        <n v="81973474541"/>
        <n v="81993269683"/>
        <n v="81998266252"/>
        <n v="81984141514"/>
        <n v="81987746732"/>
        <n v="81984274659"/>
        <n v="81985363028"/>
        <n v="81999243842"/>
        <n v="81985581268"/>
        <n v="81999265625"/>
        <n v="81996276565"/>
        <n v="81995236094"/>
        <n v="81979127456"/>
        <n v="81987536216"/>
        <n v="81998853817"/>
        <n v="81995693385"/>
        <n v="81984598026"/>
        <n v="81988260702"/>
        <n v="81999026819"/>
        <n v="81992204106"/>
        <n v="81999157370"/>
        <n v="81984415787"/>
        <n v="81988868881"/>
        <n v="81999378131"/>
        <n v="81984367688"/>
        <n v="81988544578"/>
        <n v="81995927325"/>
        <n v="81986675694"/>
        <n v="81996712934"/>
        <n v="81987256827"/>
        <n v="81988742971"/>
        <n v="81973464375"/>
        <n v="81985302814"/>
        <n v="81992190712"/>
        <n v="81985136319"/>
        <n v="81996982103"/>
        <n v="81987431933"/>
        <n v="81995473141"/>
        <n v="81986507692"/>
        <n v="81997441291"/>
        <n v="81994409425"/>
        <n v="81987257649"/>
        <n v="81991805871"/>
        <n v="81999462873"/>
        <n v="81983406638"/>
        <n v="81987692261"/>
        <n v="81985433775"/>
        <n v="81994266778"/>
        <n v="81997380079"/>
        <n v="81984282723"/>
        <n v="81996154820"/>
        <n v="81987563335"/>
        <n v="81973224484"/>
        <n v="81985159383"/>
        <n v="81988844325"/>
        <n v="81987938918"/>
        <n v="87999556188"/>
        <n v="81986412953"/>
        <n v="81996273745"/>
        <n v="81998119834"/>
        <n v="81983511855"/>
        <n v="81973377388"/>
        <n v="81981810115"/>
        <n v="81996395460"/>
        <n v="81985615653"/>
        <n v="81997115128"/>
        <n v="81996197690"/>
        <n v="81973325614"/>
        <n v="81994623601"/>
        <n v="81998756609"/>
        <n v="81984315301"/>
        <n v="81985512584"/>
        <n v="81996939717"/>
        <n v="81999809367"/>
        <n v="81983355478"/>
        <n v="81986340399"/>
        <n v="81992920910"/>
        <n v="81987608875"/>
        <n v="81997029440"/>
        <n v="81998327586"/>
        <n v="81996798735"/>
        <n v="81987804307"/>
        <n v="81987882133"/>
        <n v="81984096017"/>
        <n v="81997109350"/>
        <n v="81999139376"/>
        <n v="81985589495"/>
        <n v="81992950741"/>
        <n v="81985297553"/>
        <n v="81987057335"/>
        <n v="81996694014"/>
        <n v="81985445494"/>
        <n v="81993402761"/>
        <n v="81985526497"/>
        <n v="81979134906"/>
        <n v="81983151406"/>
        <n v="81991602979"/>
        <n v="83996529934"/>
        <n v="81983218317"/>
        <n v="81985585545"/>
        <n v="81983560834"/>
        <n v="81999439996"/>
        <n v="81993937356"/>
        <n v="81982436357"/>
        <n v="81994106859"/>
        <n v="81996706320"/>
        <n v="81994600307"/>
        <n v="81986662442"/>
        <n v="81971153767"/>
        <n v="81986451042"/>
        <n v="81983653106"/>
        <n v="81973173355"/>
        <n v="81989081790"/>
        <n v="81983741915"/>
        <n v="81991262140"/>
        <n v="81988592394"/>
        <n v="81999668497"/>
        <n v="81984673362"/>
        <n v="81986970750"/>
        <n v="81987944918"/>
        <n v="81981659368"/>
        <n v="81986394297"/>
        <n v="87999559848"/>
        <n v="81971065968"/>
        <n v="81991817786"/>
        <n v="81985283060"/>
        <n v="81999690193"/>
        <n v="81987133870"/>
        <n v="81985794011"/>
        <n v="81985740316"/>
        <n v="81986100124"/>
        <n v="81973430677"/>
        <n v="81996794277"/>
        <n v="81983096272"/>
        <n v="81999223285"/>
        <n v="81984044583"/>
        <n v="81973448407"/>
        <n v="81986188286"/>
        <n v="81989667779"/>
        <n v="81996254951"/>
        <n v="81984640980"/>
        <n v="81973256369"/>
        <n v="81985118857"/>
        <n v="81973234869"/>
        <n v="81996942014"/>
        <n v="81987690599"/>
        <n v="81986948863"/>
        <n v="81993635858"/>
        <n v="81992602566"/>
        <n v="81987457715"/>
        <n v="81992557501"/>
        <n v="81985102138"/>
        <n v="81997260987"/>
        <n v="81993962617"/>
        <n v="81987743516"/>
        <n v="81993828086"/>
        <n v="81988322020"/>
        <n v="81994999937"/>
        <n v="81987481419"/>
        <n v="81984950254"/>
        <n v="81984082823"/>
        <n v="81971071937"/>
        <n v="81999494735"/>
        <n v="81989796337"/>
        <n v="81988920228"/>
        <n v="81996664142"/>
        <n v="81987132722"/>
        <n v="81999116999"/>
        <n v="81998540547"/>
        <n v="81986697774"/>
        <n v="81987967686"/>
        <n v="81994064485"/>
        <n v="81999960609"/>
        <n v="81988442904"/>
        <n v="81999604732"/>
        <n v="11939424033"/>
        <n v="81997119148"/>
        <n v="81999132949"/>
        <n v="81988572654"/>
        <n v="81995215397"/>
        <n v="81995576564"/>
        <n v="81985294355"/>
        <n v="81988204940"/>
        <n v="81984981525"/>
        <n v="81996807173"/>
        <n v="81999054479"/>
        <n v="81985881505"/>
        <n v="81994002361"/>
        <n v="81999191169"/>
        <n v="81987335359"/>
        <n v="81996209137"/>
        <n v="81985958602"/>
        <n v="81988110275"/>
        <n v="81998484608"/>
        <n v="81981219447"/>
        <n v="81981323257"/>
        <n v="81995211209"/>
        <n v="81998388026"/>
        <n v="81988921498"/>
        <n v="81986701653"/>
        <n v="81985740050"/>
        <n v="81995960230"/>
        <n v="81988791348"/>
        <n v="81996320248"/>
        <n v="81992130286"/>
        <n v="81999382889"/>
        <n v="81984251260"/>
        <n v="81998641117"/>
        <n v="81991610989"/>
        <n v="81920019987"/>
        <n v="81991716417"/>
        <n v="81992042946"/>
        <n v="81998610345"/>
        <n v="81988112794"/>
        <n v="81993902315"/>
        <n v="81988623208"/>
        <n v="81985934090"/>
        <n v="81998566649"/>
        <n v="81996059971"/>
        <n v="81984043153"/>
        <n v="81985540097"/>
        <n v="81998295230"/>
        <n v="81993208596"/>
        <n v="81997054490"/>
        <n v="81997250896"/>
        <n v="81983075401"/>
        <n v="81999205254"/>
        <n v="81987484980"/>
        <n v="81999094317"/>
        <n v="81985743105"/>
        <n v="81987982284"/>
        <n v="81986285773"/>
        <n v="81982606927"/>
        <n v="81994675269"/>
        <n v="81987342247"/>
        <n v="81993658458"/>
        <n v="81989722443"/>
        <n v="81983870031"/>
        <n v="81999990960"/>
        <n v="81982233897"/>
        <n v="81996855296"/>
        <n v="81997795224"/>
        <n v="81987137943"/>
        <n v="81988596650"/>
        <n v="81985161570"/>
        <n v="81983364314"/>
        <n v="81997701407"/>
        <n v="81984881221"/>
        <n v="81983567401"/>
        <n v="81973451334"/>
        <n v="81987520952"/>
        <n v="81984835437"/>
        <n v="81995110700"/>
        <n v="81986103821"/>
        <n v="83991581234"/>
        <n v="81984021585"/>
        <n v="81989668159"/>
        <n v="81998380141"/>
        <n v="81985770668"/>
        <n v="81985681543"/>
        <n v="81986888830"/>
        <n v="81992204837"/>
        <n v="81984288154"/>
        <n v="81991625680"/>
        <n v="81996870283"/>
        <n v="81999740853"/>
        <n v="81999051600"/>
        <n v="81982740512"/>
        <n v="81992186999"/>
        <n v="81985598551"/>
        <n v="81988747018"/>
        <n v="81987240188"/>
        <n v="81998504012"/>
        <n v="81987997416"/>
        <n v="81985610818"/>
        <n v="81983704324"/>
        <n v="81999181171"/>
        <n v="81987073783"/>
        <n v="81983931851"/>
        <n v="81984540854"/>
        <n v="81999730260"/>
        <n v="81985021687"/>
        <n v="81988114569"/>
        <n v="81993803029"/>
        <n v="81996465987"/>
        <n v="81983641497"/>
        <n v="81995453063"/>
        <n v="81991216312"/>
        <n v="81985758942"/>
        <n v="81987532782"/>
        <n v="81984881246"/>
        <n v="81998109162"/>
        <n v="81973074593"/>
        <n v="81987371375"/>
        <n v="81986515879"/>
        <n v="81983419322"/>
        <n v="81987060164"/>
        <n v="81984274446"/>
        <n v="81999881737"/>
        <n v="81985236769"/>
        <n v="81983197702"/>
        <n v="81986512658"/>
        <n v="81986531979"/>
        <n v="81984452259"/>
        <n v="81991216235"/>
        <n v="81984720608"/>
        <n v="81988130942"/>
        <n v="81986961681"/>
        <n v="81996957250"/>
        <n v="81987368493"/>
        <n v="81987471315"/>
        <n v="81984318059"/>
        <n v="81997399707"/>
        <n v="83987898364"/>
        <n v="81985942821"/>
        <n v="81985794776"/>
        <n v="81986784448"/>
        <n v="81982184251"/>
        <n v="81996624832"/>
        <n v="81985701664"/>
        <n v="81985237440"/>
        <n v="81998356074"/>
        <n v="81983688294"/>
        <n v="81973172221"/>
        <n v="81983895897"/>
        <n v="81998371130"/>
        <n v="81991605647"/>
        <n v="81986928714"/>
        <n v="81992396730"/>
        <n v="81997280465"/>
        <n v="81986391614"/>
        <n v="81998030891"/>
        <n v="81996905073"/>
        <n v="81992406319"/>
        <n v="81994019557"/>
        <n v="81997157620"/>
        <n v="81985500133"/>
        <n v="81988015557"/>
        <n v="81993877340"/>
        <n v="81984467712"/>
        <n v="81988861025"/>
        <n v="81984607615"/>
        <n v="81987812320"/>
        <n v="81996224087"/>
        <n v="81986321327"/>
        <n v="81994794426"/>
        <n v="81989011281"/>
        <n v="81999843984"/>
        <n v="81994983239"/>
        <n v="87981278418"/>
        <n v="81998413517"/>
        <n v="81997324176"/>
        <n v="12991876039"/>
        <n v="81987150471"/>
        <n v="81983338379"/>
        <n v="81973155325"/>
        <n v="81985353416"/>
        <n v="81985914384"/>
        <n v="81996224664"/>
        <n v="81997507759"/>
        <n v="81986058506"/>
        <n v="81997887559"/>
        <n v="81979142738"/>
        <n v="81984841582"/>
        <n v="81997047849"/>
        <n v="81983065319"/>
        <n v="81988130508"/>
        <n v="81999133249"/>
        <n v="81985643153"/>
        <n v="81984622358"/>
        <n v="81984044057"/>
        <n v="81999335722"/>
        <n v="81996820579"/>
        <n v="81985975422"/>
        <n v="81984670109"/>
        <n v="81983148301"/>
        <n v="81981521958"/>
        <n v="81989820679"/>
        <n v="81994084776"/>
        <n v="81999243918"/>
        <n v="81998414154"/>
        <n v="81984342490"/>
        <n v="81997816176"/>
        <n v="81993805933"/>
        <n v="81988559938"/>
        <n v="81999615364"/>
        <n v="81996629612"/>
        <n v="81997987041"/>
        <n v="81992808416"/>
        <n v="81996443303"/>
        <n v="81991473240"/>
        <n v="81995151718"/>
        <n v="81996549426"/>
        <n v="81989715546"/>
        <n v="81998395631"/>
        <n v="81991211451"/>
        <n v="81999319275"/>
        <n v="81989306813"/>
        <n v="81989745875"/>
        <n v="81996787625"/>
        <n v="81993807364"/>
        <n v="81983570659"/>
        <n v="81988511057"/>
        <n v="81985712079"/>
        <n v="81988619515"/>
        <n v="81979060734"/>
        <n v="81974009779"/>
        <n v="81981215396"/>
        <n v="81989923992"/>
        <n v="81999538590"/>
        <n v="81988004358"/>
        <n v="81982850804"/>
        <n v="81982204976"/>
        <n v="81987469835"/>
        <n v="81988844350"/>
        <n v="81999619052"/>
        <n v="81971166096"/>
        <n v="81997950258"/>
        <n v="81981929106"/>
        <n v="81985803167"/>
        <n v="81994149250"/>
        <n v="81999446407"/>
        <n v="81996884713"/>
        <n v="81982653316"/>
        <n v="81992513955"/>
        <n v="81988900219"/>
        <n v="81993282644"/>
        <n v="81986591644"/>
        <n v="81986597131"/>
        <n v="81973403446"/>
        <n v="81985888198"/>
        <n v="81981883103"/>
        <n v="81996540791"/>
        <n v="81985562754"/>
        <n v="81998028777"/>
        <n v="81987726291"/>
        <n v="81983401161"/>
        <n v="81985550457"/>
        <n v="81998215338"/>
        <n v="81985218295"/>
        <n v="81971204328"/>
        <n v="81997467123"/>
        <n v="81998646305"/>
        <n v="81991428395"/>
        <n v="81998689887"/>
        <n v="81996503644"/>
        <n v="81994773016"/>
        <n v="81984494338"/>
        <n v="81996912111"/>
        <n v="81998548065"/>
        <n v="81999782600"/>
        <n v="81987240226"/>
        <n v="81999905898"/>
        <n v="81997506104"/>
        <n v="81995970031"/>
        <n v="81988384210"/>
        <n v="81995637510"/>
        <n v="81987993158"/>
        <n v="81999287662"/>
        <n v="81984587491"/>
        <n v="81983376422"/>
        <n v="81999788943"/>
        <n v="81985588016"/>
        <n v="81985232417"/>
        <n v="81985097361"/>
        <n v="81988911045"/>
        <n v="81988513685"/>
        <n v="81991396474"/>
        <n v="81998221630"/>
        <n v="81997216607"/>
        <n v="81989038065"/>
        <n v="81999364988"/>
        <n v="81991526074"/>
        <n v="81999721660"/>
        <n v="81979007469"/>
        <n v="81999945453"/>
        <n v="81984757470"/>
        <n v="81994668996"/>
        <n v="81973194873"/>
        <n v="81973176242"/>
        <n v="81996356367"/>
        <n v="81997081983"/>
        <n v="81986715318"/>
        <n v="81998520846"/>
        <n v="81999101947"/>
        <n v="81998315894"/>
        <n v="81986942653"/>
        <n v="81996565391"/>
        <n v="81988241106"/>
        <n v="81991329143"/>
        <n v="81996791034"/>
        <n v="81986541141"/>
        <n v="81998726342"/>
        <n v="81988945291"/>
        <n v="81982878306"/>
        <n v="81986664575"/>
      </sharedItems>
    </cacheField>
    <cacheField name="Endereço de e-mail" numFmtId="0">
      <sharedItems containsBlank="1" count="22">
        <m/>
        <s v="tatyana.queiroz@recife.pe.gov.br"/>
        <s v="larissa.oliveira@recife.pe.gov.br"/>
        <s v="camilla.nascimento@recife.pe.gov.br"/>
        <s v="ianne.oliveira@recife.pe.gov.br"/>
        <s v="maria.franca@recife.pe.gov.br"/>
        <s v="mariana.sodre@recife.pe.gov.br"/>
        <s v="thiagojas13@gmail.com"/>
        <s v="eo.elainecarmo@gmail.com"/>
        <s v="anamacintra@gmail.com"/>
        <s v="marciasouzagomes05@gmail.com"/>
        <s v="fabianesouza85@gmail.com"/>
        <s v="thiago.sandes@recife.pe.gov.br"/>
        <s v="fabiane.souza@recife.pe.gov.br"/>
        <s v="rhayza.jordao@recife.pe.gov.br"/>
        <s v="liliana.ufpe2015@gmail.com"/>
        <s v="marianaccsodre@gmail.com"/>
        <s v="damartine.feitosa@recife.pe.gov.br"/>
        <s v="joao.moreira@recife.pe.gov.br"/>
        <s v="nayale.andrade@recife.pe.gov.br"/>
        <s v="jessica.silva@recife.pe.gov.br"/>
        <s v="   "/>
      </sharedItems>
    </cacheField>
    <cacheField name="STATUS" numFmtId="0">
      <sharedItems containsBlank="1" count="5">
        <m/>
        <s v="Atendimento realizado"/>
        <s v="Tentativa 1 de monitoramento sem sucesso"/>
        <s v="Tentativa 2 de monitoramento sem sucesso"/>
        <s v="Em atendimento"/>
      </sharedItems>
    </cacheField>
    <cacheField name="PROFISSIONAL QUE ATENDEU" numFmtId="0">
      <sharedItems containsBlank="1" count="18">
        <m/>
        <s v="JOANNA"/>
        <s v="IANNE"/>
        <s v="CAMILLA"/>
        <s v="TATYANA"/>
        <s v="LARISSA"/>
        <s v="MARIANA"/>
        <s v="THIAGO"/>
        <s v="ELAINE"/>
        <s v="MARCIA"/>
        <s v="ANA_CINTRA"/>
        <s v=" "/>
        <s v="FABIANE"/>
        <s v="RHAYZA"/>
        <s v="LILIANA"/>
        <s v="NAYALE"/>
        <s v="DAMARTINE"/>
        <s v="JESSICA"/>
      </sharedItems>
    </cacheField>
    <cacheField name="ENVIAR WHATSAPP?" numFmtId="0">
      <sharedItems containsBlank="1" count="3">
        <m/>
        <b v="0"/>
        <b v="1"/>
      </sharedItems>
    </cacheField>
    <cacheField name="ENVIADO" numFmtId="0">
      <sharedItems containsBlank="1" count="2">
        <m/>
        <s v="sim"/>
      </sharedItems>
    </cacheField>
    <cacheField name="CONDUTA MONITORAMENTO 1" numFmtId="0">
      <sharedItems containsBlank="1" count="923">
        <m/>
        <s v="Em casos de abortamento, aguardar por 4 semanas a partir da data de realização da USG; se não houver alterações em até 4 semanas ou se apresentar sinais de alerta, ir à maternidade."/>
        <s v="Não conseguiu contato. (Ianne)"/>
        <s v="Não atendeu às 12:30 (Tatyana)"/>
        <s v="Não consegui contato (chamada desligada) "/>
        <s v="Realizado telemonitoramento de gestante, refere que apos a refeição os movimentos fetais foram bem evidenciados, sem sinais de alerta. Oriento procurar a APS em ate 48h para uma avalição do BCF e que iremos retornar o telemonitoramento na segunda 16/01/20"/>
        <s v="Paciente chorosa, com medo da dor do parto, não deseja ir para a maternidade hoje. Tentar novo contato as 10h."/>
        <s v="Paciente na maternidade no momento, referiu que vai ser atendida agora pela obstetra. Oriento que a tarde entraremos em contato novamente, caso ela precise antes entrar em contato com o Atente gestante. "/>
        <s v="Segue sob cuidados na maternidade. Genitora da paciente informa que ela foi levada para realizar USG, segue aguardando nova avaliação. Obs: encontra-se sem internet, logo não não foi possível enviar link de avaliação do atendimento."/>
        <s v="Encontra-se na Maternidade Barros Lima aguardando resultado de exames (EAS, Teste Covid, Hemograma). Refere que fez uso de Betametasona (amanhã será administrada outra dose), Buscopan e outra medicação (não sabe o nome). Apresenta melhora dos sintomas ref"/>
        <s v="Refere que após resultado dos exames (TR-Ag: negativo; EAS e hemograma: sem alterações) foi orientada a voltar para casa e retornar no sábado. No sábado recebeu a 2ª dose de Betametasona. Foi prescrito Loratadina 1x/dia e Dipirona. Refere piora do quadro "/>
        <s v="Gestante, G3 PN2 A0, 35S4D, queixando-se de odinofagia, sem febre. Contrações esporádicas a cada 2 ou 3 horas sem perdas vaginais. Compareceu à consulta do pré-natal hoje. Oriento em caso de sinais de alerta e/ou de tp busque a maternidade mais próxima. E"/>
        <s v="Informa que foi atendida na Maternidade Barros Lima (05/04), diagnosticada com candidíase, prescrito creme vaginal 1x/noite por 10 dias (não sabe o nome). Ainda não iniciou o tratamento porque o PACS está fechado devido o feriado. Refere que corrimento di"/>
        <s v="Paciente com melhora do quadro diarreeico, sem novos episodios nas ultimas 9h. "/>
        <s v="Paciente recusou a ligação 2x"/>
        <s v="Telemonitoramento realizado por videochamada, paciente com sintomas gripais ( tosse, dor incomodo na garganta e secreção esverdiada, oriento atendimento presencial e realização do teste rapido."/>
        <s v="Paciente relara que procurou atendimento presencial, porem nao realizou o TR, refere ainda melhora nos sintomas, oriento hidratação e manter o PN na APS e PNAR"/>
        <s v="Paciente nao atendeu o contato as 15:50 feito 3 tentativas "/>
        <s v="09/05: O celular da gestante está com o companheiro e ele só encontrará com ela a partir do meio dia. "/>
        <s v="11/05 telefone nao completa a ligação "/>
        <s v="22/05 (Lari) Não realizado telemoniotamento"/>
        <s v="Nega novos episódios de sangramento (último ontem pela manhã). Oriento acerca dos sinais de alerta."/>
        <s v="(Mariana) Orientado ir para Maternidade Arnaldo Marques devido cefáleia persistente, monitoramento ainda hoje"/>
        <s v="Refere que não foi à US. Mantenho conduta anterior. "/>
        <s v="Usuária entrou como demanda espontânea em 01\06"/>
        <s v="(taty), consulta esta marcada para 06/06, troco esquema de ATB para ITU, uma vez que apaciente parou  o tratamento devido queixas de evento adverso e inicio acido folico "/>
        <s v="Tentar novamente dia 02/06"/>
        <s v="(Lari) Tento contato telefônico sem sucesso."/>
        <s v="(lari) Telefone não completa ligação"/>
        <s v="Ligar às 17h"/>
        <s v="Foi à Maternidade Barros Lima, descartado TPP. Oriento acerca dos sinais de alerta. "/>
        <s v="Não podia atender no momento do contato, pediu pra retornar no turno da tarde (monitoramento realizado por Elaine Carmo)"/>
        <s v="(Taty) tento monitoramento s/sucesso as 08:36/ 11:16"/>
        <s v="(Thiago ) Tento monitoramento s/ sucesso as 08:39 "/>
        <s v="Tento contato com a paciente para realizar monitoramento e a mesma solicita novo contato contato amanhã. Está em processo de abortamento"/>
        <s v="(Thiago) Ligar mais tarde; nova tentativa às 11:15"/>
        <s v="Foi à urgência da Unimed, refere melhora progressiva, porém ainda com tosse. Oriento acerca dos sinais de alerta."/>
        <s v="Paciene avaliada ontem na maternidade, prescrito amoxicilina por sinusite. Encerro monitoramento. Seguira em PN de risco habitual."/>
        <s v="Paciente sem queixas no momento. Atendida e avaliada na Arnardo, conforme orientado, sem contrações e colo fechado."/>
        <s v="(ianne) 11h ligo 3x, não atendeu"/>
        <s v="Foi atendida na maternidade, colo fechado , conseguiu marcar consulta de PN para 15/06/2023, oriento repouso, ingesta liquida e acerca dos sinais de alerta."/>
        <s v="Foi atendida na USF (06/06). Nega sinais de alerta. Mantém sintomatologia. Oriento ID, sinais de alerta, telemonitoramento, realizar TR-Ag amanhã. "/>
        <s v="Foi atendida na Maternidade Arnaldo Marques, exames sem alterações. Oriento acerca dos sinais de alerta."/>
        <s v="(taty) paciente submetida pc, puerpera e rn se encotram bem"/>
        <s v="(ianne) Relata que foi na maternidade Arnaldo Marques ontem a noite e hoje pela manha,  liberada apos avaliaçao medica devido a &quot;inicio de trabalho de parto, ainda com 4cm. contraçoes a noite estavam mais intensas, que diminuiram mais agora pela manha. Re"/>
        <s v="Foi à US hoje, prescrito ATB (iniciou uso) e encaminhada para consulta odontológica (aguarda agendamento)."/>
        <s v="paciente nao respondeu ao comando "/>
        <s v="PN sem intercorrências na Maternidade Bandeira Filho"/>
        <s v="thiago (09:12 )  paciente melhora dos sistomas da itu e leucorreia , porem apresentou queixas de emese e diarreia nonitora a tarde . "/>
        <s v="gestante solicita ligação as 10h "/>
        <s v="Não foi à maternidade, pois refere que apresentou melhora dos sintomas. Reforço importância do atendimento presencial. Oriento buscar atendimento na maternidade (hoje) se piora ou presença de sinais de alerta. Encaminho à USF para reagendamento do PN + av"/>
        <s v="(Joanna)  Sem sucesso às 08h"/>
        <s v="(Joanna) "/>
        <s v="solicito que gestante realize teste do covid e busque atendimento presencial, como orientado no atendimento anterior, permanece coriza e tosse "/>
        <s v="(Joanna) Ligar para número da Mãe 81984896307, telefone não recebe chamda"/>
        <s v="09/06 (Taty) Paciente não atendeu às 8h"/>
        <s v="(Thiago) procurou atendimento na UPA de Lagoa Encantada e refere ter recebido alta em seguida com prescrição de um colírio lubrificante e exame clínico sem alterações. Nega queixas obstétricas e refere boa movimentação fetal."/>
        <s v="09/06 (Taty) Não consigo contato com a paciente "/>
        <s v="Refere melhora dos sintomas gripais. Queixa-se de episódio de tontura ao acordar. Nega sinais de alerta. Foi ao CS Monteiro de Morais e não conseguiu agendar PN. Oriento retornar ao CS para agendar PN; oriento sinais de alerta e medidas de alivio para ton"/>
        <s v="(Thiago) Gestante com contrações dolorosas e IG: 35s3d pela DUM, encaminhada a mat. Arnaldo Marques para atend. presencial."/>
        <s v="(taty) Realizado telemonitoramento, gestante orientada o que é fibroma mole e quando ao consultorio de pequenas cirurgia onde pode esta solicitando no posto o encaminhamento se caso seja seu desejo."/>
        <s v="(Lari) Telefone não completa as 16h"/>
        <s v="(Camilla) Não conseguiu contato - tel desligado às 10:42. (Thiago) Não conseguiu contato as 08:20."/>
        <s v="Foi à maternidade, descartou-se TP ativo. Queixa-se de ausência de MF (último às 23h30). Oriento realização do mobilograma. Realizar telemonitoramento às 10h."/>
        <s v="(Marcia) às 08h e às 18:20"/>
        <s v="Foi à maternidade, descartado TPP. Oriento MRPA."/>
        <s v="(Joanna) Ligar para: 81991724644 (número do namorado)"/>
        <s v="Ligar às 10h"/>
        <s v="11/06 ( ana) telefone desligado "/>
        <s v="(Camilla) Não consegui contato às 10:54.(Thiago) Não conseguiu contato as 08:50"/>
        <s v="(Marcia) Número deu ocupado às11:40h /17h Nova tentativa sem sucesso"/>
        <s v="11/06 (taty) Gestante encaminhada para maternidade TP?"/>
        <s v="11/06 ( ana ) orientado sinais de TP e mobilograma, monitoramento em 5dias "/>
        <s v="11/06 (taty) gestante nao atende a ligação tentativa as 10:11"/>
        <s v="Realizado telemonitoramento. Gestante sem queixas. Não fez o TR-ag, nega sintomas gripais. PN agendado para 14/06."/>
        <s v="11/06 (taty) gestante encaminhada para maternidade , referindo cefaleia intensa eregistro de pa 130x90"/>
        <s v="11/06 ( ana) telefoene desligado ( 10:39)"/>
        <s v="(Thiago) Sem sucesso às 08:20"/>
        <s v="(Thiago) Não conseguiu contato as 09:00"/>
        <s v="( taty) 09:56 gestante nao atendeu a chamada "/>
        <s v="(Thiago) Não conseguiu contato as 09:20"/>
        <s v="(Camilla) Não consegui contato às 10:43 - tel desligado. (Camilla) Não consegui contato às 08:30"/>
        <s v="11/06 (taty) nao atendeu as 15:40 tentar em 12/06"/>
        <s v="(Thiago) Sem sucesso às 08:37"/>
        <s v="11/06 ( ana) gestante internada para TPP no Barão de lucena "/>
        <s v="(Thiago) Gestante com IG: 11s5d (DUM: 15/03/2023) refere que procurou a urgência da maternidade Barros Lima ontem com as queixas de dor de cabeça + ardor ao urinar + corrimento em grumos esbranquiçado sem odor, foi examinada e liberada em seguida e no mom"/>
        <s v="Taty (08:19) paciente atendeu o telefone, porem nao entrou no hopchat e nao atende mais "/>
        <s v="(Camilla) Não consegui contato às 08:20 e nem às 10:15."/>
        <s v="(Lari) Paciente refere melhora dos sintomas. Alta do episódio."/>
        <s v="Joanna: tentativa sem sucesso - 8h."/>
        <s v="taty (10:11) Gestante com atendimento marcado, porem refere continuar com os sintomas da leucorreia"/>
        <s v="(Camilla) Realizado telemonitoramento. Gestante se encontra no HMR. Chegou às 14h, com PA 130X90MMHG, classificada como amarela, aguarda atendimento médico. "/>
        <s v="( taty) 10:13 Gestante nao atendeu a chamada "/>
        <s v="14/06 Ianne (09h15) Paciente não atende ligaçao, pelo prontuario atendida em pre natal ontem. HAS em uso de metildopa, perdeu consulta de PNAR, não encontro no sisreg solicitaçao de PNAR. "/>
        <s v="14/06 ianne (09h30) Paciente não atende, avaliar se houve atendimento presencial"/>
        <s v="Usuária de Olinda???"/>
        <s v="(taty) 09:27 gestante sem queixas, aguardando uma USG para definição de conduta "/>
        <s v="Taty (15:26) Telefone desligado. ianne (11h30) telefone desligado, tentar contato novamente a tarde. Insistir um pouco mais, paciente fazendo pico pressorico sem conseguir acesso ontem a consulta presencial"/>
        <s v="thiago(11:20) paciente nao atendeu (taty) ligar as 11h"/>
        <s v=" (ianne) 9h45 -11h30 Tentado entrar em contato diversas vezes com paciente por ligaçao e pelo whatsapp sem sucesso. tentar novamente a tarde"/>
        <s v="ianne (15/06 : 9h30) não atende"/>
        <s v="Joanna (8h): tentativa sem sucesso."/>
        <s v="taty( 10:00) gestante refere melhora dos sintomas. "/>
        <s v="Joanna: Foi à US indicada (Vila Arraes), porém foi informada que não seria a US de área de cobertura. Hoje vai ao CS Olinto Oliveira tentar agendar PN e fazer avaliação. "/>
        <s v="Joanna (9h40): não atendeu"/>
        <s v="ianne (09h44): não atendeu"/>
        <s v="(Thiago) Sem sucesso às 09:10"/>
        <s v="Foi ao CS Olinto Oliveira, porém a enfermeira não estava presente; foi orientada a retornar próxima quinta-feira e buscar atendimento na urgência. Cd: Encaminho à maternidade Bandeira Filho."/>
        <s v="Realizar monitoramento às 18h."/>
        <s v="Foi atendida na Maternidade Barros Lima, observou-se modificações do colo uterino (amolecimento, esvaecimento 50%), aumento das contrações, sendo encaminha ao Hospital das Clínicas. Segue internada no Hospital das Clínicas, feto com boa vitalidade, inicio"/>
        <s v="taty (09:05 ) telefone desligado; Joanna (13h56; 17h22): não atendeu "/>
        <s v="Thiago (8:48) Paciente não atende."/>
        <s v="taty ( 09:05) puerpera, esta na maternidade bandeira filho "/>
        <s v="Joanna (9h39; 14h; 17h23): não atendeu."/>
        <s v="Ligar às 14h (Thiago) 4 tentativas sem sucesso às 15:56 "/>
        <s v="08:40 ( taty) paciente nao atende"/>
        <s v="09:41 (taty) Ligar as 14h; 13h35 (ianne) paciente não atende"/>
        <s v="Foi ao IMIP, avaliação sem alterações (SIC). Segue sem queixas. Oriento acerca dos sinais de alerta e manutenção do PNAR (APS e PNAR)."/>
        <s v="TR-Ag: negativo; Não buscou atendimento presencial, iniciou uso do Aciclovir (oral e tópico) por conta própria, pois, refere que tem herpes labial recorrentemente. Queixa: Coriza, congestão nasal. Nega sinais de alerta. Refere melhora da lesão na boca (cr"/>
        <s v="Encontra-se no HMR, foi medicada, aguarda reavaliação. Oriento realização do MRPA e manutenção do PN."/>
        <s v="Joanna (8h25): não atendeu. 16h30: telefone indisponível."/>
        <s v="taty ( 07:50) paciente a caminho da maternidade par arealizar usg ( ligar a tarde 13:00) "/>
        <s v="ianne (8h30) desligado"/>
        <s v="taty(08:41) paciente solicitou contato a tarde (14h)"/>
        <s v="(ianne) Realizado monitoramento"/>
        <s v="Joanna: não atendeu"/>
        <s v="ianne: Paciente melhorou dos sintomas"/>
        <s v="Taty (08:34) paciente no D7 apresentando coriza e congestao nasal "/>
        <s v="Joanna (8h26, 15h15, 18h20): não atendeu; "/>
        <s v="Aguarda EAS. Mantém desconforto suprapúbico ao iniciar micção. Realizar telemonitoramento."/>
        <s v="Joanna: Foi à USF, foi agendada para o dia 26/06. Refere melhora do desconforto, segue apresentando sensação de cansaço, mal-estar. Taty (15:24) paciente mão atendeu "/>
        <s v="(ianne) 16h15 paciente não atende; Joanna (18h20): não atendeu"/>
        <s v="Thiago (8:30) Tentativa de contato sem sucesso. Thiago (13:56 ) tentativa sem sucesso "/>
        <s v="Realizar nova tentativa em 23/06. ianne (16h) paciente não atende; Joanna (18h20): não atendeu"/>
        <s v="Taty(09:07) Paciente nao atendeu Taty (13:56 ) tentativa sem sucesso "/>
        <s v="Camilla (16h) Tentativa sem sucesso. Taty (13:44) paciente nao atendeu "/>
        <s v="Gestante permanece ainda com queixas eventuais de falta de ar e coração acelerado, porém sem sintomas gripais ou outros sintomas. Como a mesma está vinculada ao pré-natal na APS, fnalizo motiromanto do AG."/>
        <s v="Thiago (09:10) paciente nao atendeu "/>
        <s v="Paciente refere melhora dos sintomas gripais, oriento quanto habitos para melhora dos enjoos"/>
        <s v="Taty (09:00) paciente  não atendeu "/>
        <s v="Paciente na maternidade, aguardando resultado USG  e Glicose, refere melhora na dor pelvica "/>
        <s v="Taty (08/54) Paciente nao atendeu "/>
        <s v="Primigesta, IG = 8s2d (DUM: 30/04/2023), foi encaminhada para avaliação presencial devido sangramento vaginal e dor em BV (tipo cólica). Foi atendida ontem no HMR, exame do colo do útero sem alterações, orientada a retornar hoje pela manhã para realização"/>
        <s v="taty (08:18; 14:6 ) telefone desligado; Joanna (18h): não atendeu"/>
        <s v="taty ( 08:45)  tentativa sem sucesso"/>
        <s v=" Thiago ( 08:40)Gestante afirma que possui 2 números, mas apenas 1 com whatsapp, não concluo atendimento devido interrupção da ligação."/>
        <s v="Mobilograma: + 15 MF."/>
        <s v="Joanna (13h23; 14h15): não atendeu. Às 16h13 atendeu e logo em seguida desligou. Nova tentativa às 17h 24 (telefone desligado)"/>
        <s v="(Lari) Feito contato com a paciente e como ela persistia com dor apesar de analgésico e repouso, encaminhada a urgência"/>
        <s v="Joanna (8h11): não atendeu"/>
        <s v="(Ianne): Realizado teleatendimento e oriento procurar a maternidade devido a sangramento genital associada a prematuridade. Entretanto paciente informa não conseguir ir agora, então oriento ir ao APS ( ja que mais proximo da sua residencia) para avaliação"/>
        <s v="Joanna (8h15; 11h24): não atendeu"/>
        <s v="Joanna (9h6; 10h57): Atendeu e desligou após identificação. Tentar novamente.taty (15:15) paciente nao atendeu; Joanna (17h7): não atendeu."/>
        <s v="Foi à US e não foi avaliada. Mantém dor em BV, sensação de esvaziamento incompleto da bexiga, gotejamento pós-micção. Nega novos episódios de sangramento, último há 2 dias (descreveu como raios de sangue). Oriento buscar atendimento na urgência, visto que"/>
        <s v="Taty (13:30) paciente procurou a APS  PA 110*80 em dois momentos destintos, continua sem conseguir marcação para consulta  e estava a caminho da maternidade por apresentar edema em um miLigar as 13h ( telefone para ligar:81987191246)"/>
        <s v="Joanna (8h42; 10h56): não atendeu. taty( 11:20) nao atendeu "/>
        <s v="Mobilograma - 9 MF. Amanhã tem consulta de PN (rede privada) agendada. "/>
        <s v="Taty (15:20; 15:30) paciente nao atendeu  + Thiago (16:30h) Paciente não atendeu"/>
        <s v="gestante com IG 38s5d pela DUM e 38s2d pela USG com 31s, a mesma refere boa movimentação fetal ao logo do dia. Nega queixas obstétricas como cólicas, contração, perdas vaginais. Nega ainda queixas urinárias. Relata não ter comparecido a última consulta de"/>
        <s v="Joanna (13h13): telefone atendido por alguém chamado Ulises, informou que a gestante não se encontra e que retornasse ligação às 16h."/>
        <s v="Joanna (13h15; 14h16; 16h11; 17h20): não atendeu. "/>
        <s v="05/07 - Refere boa movimentação fetal, foi à consulta de PN ontem - avaliação sem alterações. Sem queixas no momento, nega sinais de alerta. Cd: Oriento paciente sobre sinais de alerta e manutenção do pré-natal."/>
        <s v="Taty (08: 25) paciente iniciou tratamento para candida e continua com dor de garganta, coriza e obstrução nasal "/>
        <s v="Taty ( 10:00) telefone nao completa a ligação"/>
        <s v="Taty ( 09:55) paciente não atendeu"/>
        <s v="Taty (08:29) telefone nao completa ligação "/>
        <s v="05/07: Refere melhor dos sintomas gripais e dor em BV, segue em uso de creme vaginal (Canesten). Sem queixas no momento. Nega sinais de alerta. Cd: Oriento sinais de alerta e manutenção do PN na APS. Joanna (05/07 - 8h45): não atendeu. Joanna (8h15; 11h20"/>
        <s v="Joanna (05/07 - 8h48; 13h54; 16h30): não atendeu. Joanna (8h23; 11h21; 14h5): não atendeu"/>
        <s v="Refere que foi atendida na USF Skylab II (04/07), apresentou PA = 100 x 60, solicitado MRPA, prescrito Paracetamol, reavaliação agendada para 11/07. Não foi encaminhada ao PNAR, mesmo mostrando registro do atendimento do Atende em Casa que recomendava enc"/>
        <s v="Joanna (9h29; 13h37): não atendeu."/>
        <s v="Gestante com 28s2d (DUM e USG) ainda não iniciou tratamento com miconazol, irá recebera medicação na UBS amanhã. "/>
        <s v="Joanna (8h09; 11h16; 14h7; 16h13; 17h20): não atendeu."/>
        <s v="Ligar apos 11h - paciente foi para maternidade (internar); 07/07 (Thiago) Às 11:15h, usuária não atendeu."/>
        <s v="Está internada no CISAM (HAS + DMG)."/>
        <s v="(Thiago) Às 14:30 usuária se encontrava em atendimento no HMR."/>
        <s v="07/07 (taty as 11:32) nao atendeu "/>
        <s v="07/07 (Lari) tentativa às 08:30h; (Thiago) 12:00 usuária não atende"/>
        <s v="Refere que mantém dor em BV tipo cólica, moderada e intermitente há mais de uma semana, porém mais frequente; não observa melhora considerável, apenas alívio momentâneo quando fica em repouso. Oriento atendimento presencial. "/>
        <s v="Gestante EGBom, Glasgow 15, colaborativa, refere não ter tido náuseas e vômitos hoje. Por volta das 11h a PA foi 110x70mmHg, achou por bem fracionar a alimentação para reduzir a possibilidade de enjoo. Está esclarecida quantos aos sinais de alerta para pr"/>
        <s v="Taty (13:38 telefone desligado 10/07 ( taty) nao atendeu as 08:25"/>
        <s v="Refere que ontem apresentou vários episódios de vômito e não conseguiu se alimentar ou ingerir líquido. Hoje apresentou melhora, porém ainda vomitou 5x, está com dor no peito ao respirar devido esforço para vomitar, conseguiu ingerir líquidos e se aliment"/>
        <s v=" TATY (12:40)Paciente  41s encontra-se internada em TP ( perda de tampao mucoso e contraçoes ritmicas e intensa )"/>
        <s v="Taty ( 13;51) paciente refere melhora nos sintomas e nao realizou a urocultura como solicitado )"/>
        <s v="(10:10 - Camilla) Falo com gestante pelo celular e ela informa que está a caminho &quot;da consulta com a médica&quot;. Combino de ligar à tarde. "/>
        <s v="Gestante refere que dor melhorou. Oriento que observe e se piorar, busque a unidade de saúde. Reforço a importância do PN na próxima semana"/>
        <s v="Taty ( 08::20)paciente nao atendeu "/>
        <s v="Foi avaliada na Maternidade Barros Lima, prescrito Buscopan, realizará USG hoje. ianne (08h10): Usuaria não atende ligaçao"/>
        <s v="TATY (15:00) Paciente nao procurou atendimento presencial como orientado , porem hoje refere melhora dos sintomas. seguindo o protocolo para sintomais gripais. encaminho paciente para atendimento presencial e tr para COVID "/>
        <s v="taty(08:24 ) telefone nao esta disponivel no momento"/>
        <s v="Foi à USF Coque (12/07), porém foi informada na recepção que não tinha profissional disponível na USF para realizar o atendimento. Orientada a retornar na segunda-feira. Também não conseguiu agendar exames porque a técnica está de licença. Não buscou aten"/>
        <s v="Joanna (14h35; 15h; 18h): não atendeu."/>
        <s v="14/07, ás 10:00h, usuária refere melhora dos sintomas, iniciou acompanhamento com psiquiatra e aguarda resultado de exames para iniciar o pré-natal. Encerro ciclo de monitoramento do AG."/>
        <s v="Ianne&gt; Solicitado uroc// encaminhada para marcar consulta pre natal em UBS. Monitoramento segunda para checar acessoa ao pre natal e exame."/>
        <s v="Camilla (09:08) "/>
        <s v="Joanna (8h57; 14h13;16h17; 17h11): não atendeu"/>
        <s v="(Thiago) Às 08:35h, 09:43h, paciente não atende à ligação."/>
        <s v="Joanna (8h59; 14h15; 16h18; 17h13): não atendeu"/>
        <s v="A paciente entrou via demanda espontânea após tentativas sem sucesso de telemonitoramento."/>
        <s v="14/07 (09:05)Paciente informa  que ontem apresentou piora dos sintomas cefaleia e êmese, procurando a emergência  da Maternidade Arnaldo Marques, avaliada PA 100*80, medicada e liberada, hoje refere melhora dos sintomas, nega sinais de alerta, distúrbios "/>
        <s v="Foi ao HMR, confirmou-se ITU (EAS com alteração, resultado da urocultura estará disponível dia 19/07), prescrito Nitrofurantoína 100mg 6/6h, retornará para reavaliação no HMR dia 19/07."/>
        <s v="Joanna (9h30; 14h16): não atendeu; 16h18; 17h13 - desligado"/>
        <s v="Ligar às 13h - Thiago, em 16/07/23 às 13:40h, paciente se encontrava na Maternidade Arnaldo Marques para atendimento."/>
        <s v="16/07 Ana Cintra (10:00), paciente não atende à ligação."/>
        <s v="Taty (09:20) paciente refere melhora dos sintomas ( diarreia e emese )"/>
        <s v="16/07 Ana Cintra (17:30) (18:00), paciente não atende à ligação."/>
        <s v="Taty( 08:50) telefone desligado "/>
        <s v="camilla (10:30) taty ( 07:50) telefone oculpado "/>
        <s v="Taty (15:37) gestante com mobilograma normal, porem refere disuria ( ardencia em uretra e dor ao final da micção) , e dor em BV "/>
        <s v="Taty ( 08:11) telefone oculpado; Joanna (14h; 17h): telefone desligado"/>
        <s v="Não realizou EAS + urocultura. Mantém queixa. Joanna (8h16): não atendeu. "/>
        <s v="(Fabiane) Às 08:50h, paciente não atende à ligação. 10:00h, Paciente colheu urocultura hoje, consulta PN na APS 25/07, sem queixas no momento, alta do monitoramento."/>
        <s v="ligar as 13h (Taty) Telefone não completa chamada"/>
        <s v="Refere que foi ao CS Prof Joaquim Cavalcante para agendar PN em 20/07, foi orientada a aguardar visita do ACS com programação da consulta de PN. PN na rede privada está agendado para o dia 01/08."/>
        <s v="Gestante refere que foi atendida na USF Brasilit e que foi informada sobre a possibilidade de reação alérgica, sem outras alterações identificadas. Durante telemonitoramento a ligação caiu e não foi possível estabelecer novo contato. Encerro telemonitoram"/>
        <s v="Foi à Maternidade Prof. Bandeira Filho, porém não aguardou atendimento. Refere melhora da disúria e cólica. Mantém pirose e desconforto gástrico leve (flatulência). Nega queixas obstétricas e sinais de alerta."/>
        <s v="(THIAGO) Às 09:00h, usuária não atende à chamada."/>
        <s v="(THIAGO) Às 09:05h, usuária compareceu em 22/07/23 à maternidade Arnaldo Marques, foi avaliada, medicada e liberada em seguida com melhora importante do quadro de dor em baixo ventre e contrações. Encerro monitoramento."/>
        <s v="(THIAGO) Às 09:50h, 10:20h, usuária não atende à chamada."/>
        <s v="(ianne) 03h35: paciente não atendeu. Joanna (15h7; 17h): não atendeu"/>
        <s v="(ianne) Orientaçoes de manter PNAR"/>
        <s v="Ligar a tarde, está indo fazer USG"/>
        <s v="(ianne) Paciente internada no HMR para controle pressorico"/>
        <s v="Joanna  (15h; 15h30; 17h): telefone indisponível"/>
        <s v="(taty) Paciente encontr-se internada no Hospital Barão de Lucena, desde do dia 27/07/2023,  para controle pressórico. prescrito MgSO4 e hoje em uso de metildopa., oligodramnio? Devido paciente ja internada no hospital Barão de Lucena  com assistência gara"/>
        <s v="Refere melhora da lombalgia, mantém contrações indolores. Oriento acerca dos sinais de alerta e TP, manutenção do PN na APS."/>
        <s v="Ligar às 9h (Ana Cintra) Às 09:15h, usuária não atende à chamada."/>
        <s v="Paciente refere que caiu da própria altura no dia 29/07/23  devido o chão esta molhado, no momento sem queixas ,refere melhora da cólica e nega sinais de alerta."/>
        <s v="PACIENTE NAO ATENDEU (16:30); Joanna (17h05): não atendeu"/>
        <s v="Ligar às 13h  *Joanna (13h24; 17h): não atendeu."/>
        <s v="Taty (09:06 ) Telefone nao completa a ligação "/>
        <s v="(Marta) Ligar a tarde, DS informa ES que usuária será atendida hoje na USF"/>
        <s v="Ligar para esse numero 81993804960. (Thiago) Às 14:48h, 17:09h, usuária não atande à chamada."/>
        <s v="(Thiago) Às 15:45, usuária não atende à chamada."/>
        <s v="Taty (16:19) telefone desligado ligar apos 16h - paciente encaminhada para urgencia"/>
        <s v="(Thiago) Às 15:47h, paciente refere que procurou o posto de saúde hoje pela manhã, onde foi afrida PA e glicemia capilar, estando ambos normais. Nega outras quaixas. Encerro monitoramento."/>
        <s v="Taty (09:15) ligar a tarde 14h, paciente na policlinica para realizar USG "/>
        <s v="Joanna (9h19): telefone indisponível. 12h52: Encontra-se na Maternidade Bandeira Filho, pariu hoje, segue sem queixas."/>
        <s v="Taty ( 09:25) ligar as 17h telefone do esposo, ele nao estava em casa ( 11:30) monitoramento realizado, gestante nao procurou o serviço como orientado, relata que ira hoje , mantem queixas, porem durante o atendimento nao foi relatado contrações "/>
        <s v="(Thiago) Às 10:22h, usuária não atende à chamada. (Thiago) Às 15:48h, usuária não atende à chamada."/>
        <s v="(Ana Cintra) Às 8:40h usuária não atende à chamada."/>
        <s v="08/08 (Lari) Paciente bastante ansiosa, refere sincope e persistencia da cefaleia. Encaminho a emergencia."/>
        <s v="(Ana Cintra) Às 8:50h usuária não atende à chamada."/>
        <s v="(Thiago) Às 15:00h, usuária não atende à chamada."/>
        <s v="(Thiago) Às 09:47h, usuária não atende à chamada."/>
        <s v="(Camilla) Às 16:10, celular da paciente desligado"/>
        <s v="taty(09:09 ) Paciente refere melhora do sangramento feito orientação "/>
        <s v="TATY (09:31)  Tentativa sem sucesso "/>
        <s v="Joanna (8h55): solicitou que ligasse às 14h. Joanna (14h10; 16h39): não atendeu"/>
        <s v="11/08 (Lari) Realizado monitoramento. Prescrito antibiotico para sludge. Paciente sem sangramento. PN agendado."/>
        <s v="ligar as 10h, avaliação do mobilograma - (Marta) Entrou novamente como demanda espontânea, colocado monitoramento para amanhã devido encaminhamento à maternidade"/>
        <s v="11/08 (Lari) Paciente não atendeu. Taty ( 08:27) Paciente nao atendeu "/>
        <s v="(Thiago) Às 09:23h, telefone da usuária não recebe a chamada."/>
        <s v="Elaine (9h; 11h15): não atendeu."/>
        <s v="Taty ( 08:52) Telefone desligado (10:24) Telefone desligado (12:26 ) telefone desligado "/>
        <s v="( ianne) 13h30 gestante não atende ligaçao"/>
        <s v="Taty (08:42) Paciente nao atendeu (10:23) Paciente nao atendeu ( 12:20) nao atendeu "/>
        <s v="(Thiago) Às 11:15h, gestante com quadro inalterado de pródromos de TP, contactar às 15h para nova reavaliação."/>
        <s v="(Thiago) Às 16:00h, usuária encaminhada à Barros Lima, IG 41s."/>
        <s v="Taty ( 08:37) Telefone desligado ( "/>
        <s v="Taty (14:51 ) telefone desligado "/>
        <s v="Taty( 08:15) Telefone não nao existe "/>
        <s v="Taty ( 08:10) paciente não atendeu "/>
        <s v="(Thiago) paciente fora da residência, pede para retomar a ligação às 9:00h."/>
        <s v="Taty ( 09:06 ) telefone desligado "/>
        <s v="(Thiago) Às 18:10h, paciente encaminhada a Barros Lima para avaliação presencial por sangramento transvaginal e pródromos."/>
        <s v="Taty ( 09:13) telefone desligado "/>
        <s v="Fabiane (14:50) Paciente não realizou o teste para covid 19, D5 do inicio dos sintomas"/>
        <s v="TATY (09:20) Paciente encontra -se internada na barro Lima em trabalho de parto. , "/>
        <s v="(Thiago) Às 08:00h, usuária não atende à chamada."/>
        <s v="Faltou colocar resumo do monitoramento"/>
        <s v="11:40 ( taty) Paciente nao atendeu "/>
        <s v="(Thiago) Às 08:30h, usuária realizou teste para covid19 - negativo."/>
        <s v="Gestante sem queixas no momento. Oriento manutenção do PN e urocultura de controle após tto de ITU."/>
        <s v="taty ( 12:35 Paciente refere diminuição da dor, porem ainda exteriorizada  , ausência de evacuações hoje , continua com os cuidados orientados "/>
        <s v="(Camilla) Tento contato às 08:18, sem sucesso (telefone fora de área ou desligado)"/>
        <s v="(Fabiane) tento contato as 14:00 sem sucesso "/>
        <s v="Às 09:12 não atendeu."/>
        <s v="taty ( 09:19) paciente refere melhora da falta de ar, porem relata vertigem / tontura, refoço a importancia da avaliação na APS"/>
        <s v="Taty( 09:58) telefone desligado "/>
        <s v="TATY (08:16) Paciente nao atendeu "/>
        <s v="Taty ( 10:04) Paciente nao atendeu "/>
        <s v="Taty( 09:49) Paciente nao atendeu "/>
        <s v="Taty (09:46) Paciente nao atendeu"/>
        <s v="ianne: Ajustado metildopa. Ofertado TINC"/>
        <s v="ianne (08h30) telefone desligado"/>
        <s v="23/08 15h (Lari) Realizado monitoramento. Paciente assintomática, procurou atendimento com PA normal. R// AAS + Cálcio"/>
        <s v="Taty (15:21) Não completa ligaçãi pelo fixo  "/>
        <s v="ianne: orientaçoes sobre puerperio/ rede de apoio/ descanso"/>
        <s v="ianne: paciente com melhora dos sintomas. solicito urocultura pós tratamento p ITU"/>
        <s v="(Thiago) Às 08:22h, usuária não atende à chamada."/>
        <s v="(Thiago) ÀS 08:34h, telefone da usuária desligado."/>
        <s v="taty( 10:54) telefone desligado "/>
        <s v="Taty( 11:20) paciente procurou atendimento presencial, sem queixas e refere melhora do sangramneto "/>
        <s v="08:34 (taty) paciente nao atendeu "/>
        <s v="8h25 (Lari) Não atedeu"/>
        <s v="Entrou como demanda diura hoje - registrado como teleconsulta (Marta). (Taty) Paciente informou que procurou atendimento presencial , onde realizou uma nova USG transvaginal , medicada e recebeu alta, hoje sem queixas "/>
        <s v="(Thiago) Às 13:20h, usuária não atende à chamada."/>
        <s v="09:07( taty) telefone sesligado "/>
        <s v="09:39 (Taty) Não atendeu a chamada "/>
        <s v="( Thiago) Às 15:35h, o telefone da usuária não está disponível."/>
        <s v="08:22 (Taty) paciente nao atendeu"/>
        <s v="Ajuste de drogas para crise de asma. Reavaliação com 48h."/>
        <s v="(Thiago) Às 08:57h, usuária não atende à chamada."/>
        <s v="08h30 Paciente não atende. Entretanto pelo PEC foi atendida pela unidade de saude e agendado coleta deo teste do covid"/>
        <s v="08h40 Paciente não atende. Checar se melhora de nauseas e vomitos, oferecer tinc e sinalizar criterio de PNAR para equipe assistente (obesidade)"/>
        <s v="09h Paciente não atende. Avaliada por tele atendimento por enfermeira da unidade ontem. Atenção para não termos atrasos no inicio de antibioticoterapia"/>
        <s v="(Thiago) Às 09:01h, usuária não atende à chamada."/>
        <s v="(Thiago) Às 09:05h, usuária não atende à chamada."/>
        <s v="(Thiago) Às 09:09h, usuária não atende à chamada."/>
        <s v="09:04 (taty) no momento da ligação paciente esta no posto para consulta "/>
        <s v="09:12 (taty) telefone desligado; 16:34 chama e não atende."/>
        <s v="(Thiago) Às 09:50h, familiar informa que a usuária encontra-se internada na maternidade Arnaldo Marques, realizou PC em 07/09, por apresentação pélvica, sem intercorrências. Como não realizei valiação da paciente, não efetuo registro no PEC."/>
        <s v="(Thiago) Às 11:00h, paciente refere melhoras das dores e do sangramento. Encerro monitoramento."/>
        <s v="(Thiago) Às 15:48h, usuária refere melhora da cefaleia e da náusea. Encerro monitoramento."/>
        <s v="(Thiago) Às 09:16h, a usuária não atende à chamada."/>
        <s v="Ligar após 17h (Thiago) Às 17:25h, usuária não atende à chamada."/>
        <s v="(Thiago) Às 09:18h, a usuária não atende à chamada."/>
        <s v="(Thiago) Às 11:00h, gestante encaminhada à Barros Lima para avaliação obstétrica por diminuição dos movimentos fetais."/>
        <s v="(Thiago) Às 12:27h, usuária informa que está a caminho de sua consulta no PNAR do HMR, mas não conseguiu comparecer à maternidade para avaliação presencial ontem. Confirmar acesso à consulta de hoje no final da tarde."/>
        <s v="(Thiago) Às 17:58h, gestante mantendo sinais e sintomas leves de pórdromos do TP. Encerro monitoramento do AG."/>
        <s v="taty ( 08:26 ) paciente nao atendeu)"/>
        <s v="taty ( 13:30) paciente nao procurou o serviço como orientado anteriomente, paciente com queixas de cefaleia e diminuição dos MF, no momento do telemonitoramento PA 114x78, auto aferiçao supervisionada"/>
        <s v="TATY ( 09:03) telefone oculpado "/>
        <s v="(Thiago) Às 16:26h, o número da usuária não está recebendo ligação."/>
        <s v="(taty) Paciente buscou atendimento presencial, realizou USG, cardiotoco, rotina de PE, iniciou metildopa. hoje refere cefaleia "/>
        <s v="Taty ( 11:00) Paciente  procurou o ambulatorio do ham e marcou PNAR para  20/09, no  momento da teleconsulta referiu melhora da cefaleia e negou qualquer sinal de eminincia ou outra queixa. "/>
        <s v="ianne (8h35) telefone desligado"/>
        <s v="Lari (14h) Encaminho a Maternidade 36s3d com dor a cada 1h"/>
        <s v="Taty ( 08:05) Microcip sem funcionar "/>
        <s v="ianne (8h45) telefone desligado"/>
        <s v="Não foi à USF, irá buscar atendimento segunda-feira. Refere melhora do corrimento, mantém prurido discreto. Nega sinais de alerta e outras queixas."/>
        <s v="(Thiago) Às 14:48h, usuária não atende à chamada."/>
        <s v="19/09 10h (Lari) Paciente não atendeu"/>
        <s v="17 /09 (taty) MicroSip sem funcionar as 10:40  as 13:17, as 14:11"/>
        <s v="taty ( 13:08) Paciente nao atendeu (Thiago) Às 15:33h, usuária não atende à chamada."/>
        <s v="ianne (15:17) Atende e desliga em seguida"/>
        <s v="(Thiago) Às 13:00h, gestante não compareceu à maternidade Bandeira Filho, refere melhora da dor lombar e que realizará consulta marcada em seu pré-natal em 48h."/>
        <s v="Joanna (9h10): não atendeu"/>
        <s v="Joanna (9h; 17h48): não atendeu"/>
        <s v="Refere melhora da cefaleia. Informo acerca da consulta agendada na USF (22/09 às 8h)."/>
        <s v="ianne (16h45) telefone desligado"/>
        <s v="Gestante nega perda de líquido há 24h e refere movimentos fetais normais."/>
        <s v="(Thiago) Às 15:30h, gestante refere melhora do quadro. Encerro monitoramento."/>
        <s v="Taty ( 10:56) paciente procurou atendimento presencial, a causa do sangramento seria hemorroida, PA normal e no momento sem queixas "/>
        <s v="(Thiago) Às 10:22h, usuária não atende à ligação. taty (12:48) paciente nao atendeu"/>
        <s v="(Thiago) Às 08:00h, usuária não atende à chamada.(Thiago) Às 14:23h, usuária não atende à chamada."/>
        <s v="(iann) 13h55 paciente não atende ligação"/>
        <s v="15h30 chama 1x e cai."/>
        <s v="Ligar as 14h30, pela manha paciente no PN "/>
        <s v="Paciente não foi para atendimento presencial, refere que as contrações cessaram."/>
        <s v="Joanna (8h38): não atendeu / Fabiane (15:10) Número ocupado"/>
        <s v="DU 3/45&quot;60&quot;40&quot;/10'. Encaminho à maternidade (HMR)."/>
        <s v="08h20 (Lari) Paciente sem queixas, vai agendar PN hoje."/>
        <s v="Joanna (17h; 17h30): Não atendeu"/>
        <s v="Encontra-se na MBF, parto cesareo (28/09 às 20h32), sem queixas. "/>
        <s v="(Thiago) Às 08:25h, usuária não atende à chamada."/>
        <s v="Taty (08:41) pacente encontra-se na maternidade foi avaliada ontem como orientado e hoje aguardando para USG liga para 07h 83996325965 (esposo ) seu numero é so whatsapp "/>
        <s v="Não atende (16h)"/>
        <s v="(Ianne) paciente com melhora do quadro respiratorio. Apresenta desejo de LTB, em SISREG solicitação de planejamento familiar desde maio, permanece em fila. Martinha informa que já foi realizado evento sentinela desta situação"/>
        <s v="taty ( 16:00) monitoramento realizado, paciente sem sangramento, contração de treinamento"/>
        <s v="Fabiane (08:50) telefone na caixa postal. Joanna (13h16): não atendeu"/>
        <s v="Taty ( 14:51) encaminho paciente a materniddae contraçoes ritimadas, dolorosa (4 em 10mim)"/>
        <s v="taty (08:57) nao atendeu"/>
        <s v="Taty (08:44) paciente refere esta sem queixas, continua com presença de secreçao descreta, sem prurido e odor "/>
        <s v="Não foi à US porque o ACS informou que o atendimento deveria ser urgência obstétrica. Encaminho novamente à APS."/>
        <s v="(Thiago) Às 13:40h, usuária não atende à chamada."/>
        <s v="Mobilograma sem alteração. Oriento manutenção do PN (agendar consulta), oriento acerca dos sinais de alerta e trabalho de parto."/>
        <s v="Joanna (8h25): não atendeu"/>
        <s v="Encaminhada a maternidade para avaliação do bem-estar fetal por idade gestacional e pródromos de trabalho de parto."/>
        <s v="Taty (10/10) realizo monitoramento, paciente nega queixas, porem perfil glicemico alterado, encaminho a mesma a APS apos realização TINC com dra Jessica. "/>
        <s v="Gestante encontra-se na Maternidade Professor Arnaldo Marques com indução de trabalho de parto iniciada por idade gestacional."/>
        <s v="(Thiago) Às 08:20h, paciente não atende à chamada."/>
        <s v="Ligar 11/10 - usuária estava na maternidade aguardando atendimento. Se não atender nessa data, colocar falta"/>
        <s v="(Camilla) Gestante encaminhada para atendimento médico para atestado médico."/>
        <s v="Encerramento do monitoramento."/>
        <s v="ianne (15h30) ligação cai"/>
        <s v="Joanna (13h; 15h30; 17h30): não atendeu"/>
        <s v="Encaminhada para maternidade. "/>
        <s v="Parto cesáreo realizado hoje (IMIP)."/>
        <s v="(Thiago) Às 08:30h, 10:30h, usuária não atende à chamada. (Thiago) Às 13:30h, 16:00h, usuária não atende à chamada."/>
        <s v="Foi à Maternidade Barros Lima em 13/10. Refere que não apresentava alterações ao exame físico. Orientada a retornar caso entre em TP ou apresente queixas. No momento, segue sem queixas ginecológicas e sinais de alerta, com melhora do quadro de cefaleia. M"/>
        <s v="(Thiago) Às 09:50h, 11:18h, usuária não atende à chamada."/>
        <s v="Informa que não foi à US, pois apresenta redução do corrimento vaginal. No momento, o corrimento está em menor quantidade, porém, mantém as características iniciais. Informa que buscará atendimento amanhã. Cd: Enc para atendimento presencial; reforço impo"/>
        <s v="Nega novo episódio de sangramento e outras queixas obstétricas. Cd: Oriento acerca dos sinais de alerta, manutenção do PN, finalizo telemonotoramento."/>
        <s v="Foi à urgência obstétrica do Hospital Barão de Lucena em 16/10. Recebeu diagnóstico de candidíase vaginal, prescrito Nitrato de Miconazol (1x/noite por 7 dias), realizou USG TV. Refere que foi informada acerca da possibilidade de aborto, visto que a USG e"/>
        <s v="10h Pct sem novas queixas. Oriento sinais de alerta. Alta do episódio."/>
        <s v="(Camilla) 08h12 - Falo com gestante pelo telefone, ela pede para ligar às 16h, quando estiver em casa de volta do trabalho."/>
        <s v="(Thiago) Às 08:08h, usuária não atende à chamada."/>
        <s v="(Thiago) Às 08:12h, 11:20h, usuária não atende à chamada."/>
        <s v="(Thiago) Às 08:35h, paciente encerrou a chamada antes do término do atendimento. Tentar novamente contato. Às 11:20h, usuária não atende à chamada."/>
        <s v="(Thiago) Às 08:45h, 11:25h, usuária não atende à chamada."/>
        <s v="Fabiane (08:55) telefone na caixa postal"/>
        <s v="(Thiago) Às 14:21h, usuária não atende à chamada."/>
        <s v="Taty ( 08:34) nao atendeu; Joanna (10h30): não atendeu"/>
        <s v="Taty ( 09:23) Paciente nao atendeu "/>
        <s v="taty (18:16) paciente encaminhada a emergencia TPP?"/>
        <s v="Taty (09:11) Paciente procurou atendimento presencial, avaliada e liberada , oriento paciente "/>
        <s v="Às 14:24, gestante atende e quando me identifico, ligação cai. Ligo novamente e não atende."/>
        <s v="Não atendeu"/>
        <s v="(Lari) Alta do monitoramento. Não está em fase ativa"/>
        <s v="Taty (08:50)  no momento do teleatendimento estava  internada na HBL, após transferência da Maternidade bandeira filho, onde procurou atendimento presencial; no memento refere dor lombar e em MIE, em tratamento para ITU e foi interrogado TVP em MIE , agua"/>
        <s v="Refere que continua com tosse, nega presença de novos sintomas, queixas obstétricas e sinais de alerta. Em uso: Predsim + Arlivry. TR-Covid (23/10): negativo. Próxima consulta de PN: 30/10."/>
        <s v="(30/10 Taty - 08:19) paciente nao atendeu"/>
        <s v="Taty (08:42) paciente nao atendeu"/>
        <s v="(30/10 taty - 08:22)  Paciente estava no USF para PN, Tentar a tarde"/>
        <s v="Joanna (12h; 14h; 16h20): não atendeu"/>
        <s v="(Thiago) Às 11:15h, usuária não atende à chamada."/>
        <s v="(Thiago) Às 17:10h, usuária não atende à chamada."/>
        <s v="Joanna (17h30): não atendeu"/>
        <s v="Joanna (17h35): não atendeu"/>
        <s v="Joanna (17h45): não atendeu"/>
        <s v="taty (09:08) paciente nao atendeu. (Thiago) Às 17:05h, usuária não atende à chamada."/>
        <s v="(Lari) 08h30 Paciente não atendeu"/>
        <s v="(Thiago) Às 17:12h, usuária não atende à chamada."/>
        <s v="(Lari) 08h35 Paciente não atendeu. "/>
        <s v="9h(ianne) atende e desliga// depois não atende mais"/>
        <s v="(Lari) 08h40 Paciente não atendeu. "/>
        <s v="Joanna (9h22; 12h; 14h; 17h26): não atendeu"/>
        <s v="08h40 (ianne) Não atende)"/>
        <s v="08:36 (Camilla) Gestante refere melhora do quadro gripal (D8 hoje) e confirma que compareceu a sua 1ª consulta de PN no dia 31/10. Alta do episódio."/>
        <s v="Joanna (15h; 17h20): telefone indisponível."/>
        <s v="09:45 (Camilla) Usuária refere ausência de sangramento e outros sintomas. Dou alta do episódio."/>
        <s v="Refere que realizou o mobilograma novamente e constatou 10 movimentos fetais. Nega queixas obstétricas no momento. Finalizo telemonitoramento."/>
        <s v="Joanna (11h): atendeu e desligou. 14h20 - não atendeu."/>
        <s v="(Thiago) Gestante compareceu para atendimento presencial na Arnaldo Marques ontem, foi medicada, refere melhora da dor em região dorsal e iniciará tratamento para ITU com cefalexina hoje, conforme prescrito durante atendimento."/>
        <s v="Taty (11H) Paciente esqueceu o celular na casa da mae, ligar as 15:30"/>
        <s v="Às 10h, telefone fora de área ou desligado."/>
        <s v="Joanna (15h; 17h; 18h): não atendeu"/>
        <s v="Às 15h15, ligo, mas gestante não atende. (ligar as 15h para reavaliar perda de liquido? )"/>
        <s v="Fabiane (08:40) paciente não atende."/>
        <s v="(Thiago) Às 8:07h, usuária não atende à chamada."/>
        <s v="(Lari) 08h Paciente não atende"/>
        <s v="Taty (17h) paciente nao atendeu"/>
        <s v="Taty ( 09:44) ITU , 28/"/>
        <s v="taty(09:11) Paciente estava no posto, aguardando confirmação de atendimento "/>
        <s v="Gestante foi para avaliação presencial no hospital da mulher. Refere melhora da cólica. Encerro monitoramento. "/>
        <s v="Encaminhada para Ianne -  discussão de ITU"/>
        <s v="Joanna (13h30; 18h): não atendeu"/>
        <s v="Refere que não buscou atendimento presencial e que irá na próxima sexta. Mantém coriza, mas apresenta melhora considerável. Nega sinais de alerta e queixas obstétricas. Cd: Reforço importância da avaliação presencial e realização do TR Covid; Oriento paci"/>
        <s v="(Thiago) Às 08:20h, usuária não atende à chamada."/>
        <s v="USG evidenciando istmocele e possível adenomiose; Gravidez não confirmada. Cd: Recomendo que busque atendimento na US de referência para seguimento do caso. Finalizo telemonitoramento. "/>
        <s v="(Thiago) Às 15:05h, usuária não atende à chamada."/>
        <s v="(Thiago) Às 08:50h, 10:20h, usuária não atende à chamada."/>
        <s v="(Lari) Paciente informa que conseguiu agendar PN para amanha"/>
        <s v="Fabiane (08:35). Gestante refere que a diarreia já cessou. Encerro monitoramento."/>
        <s v="(Lari) Realizo monitoramento, ainda não foi avaliada pela suspeita de TVP. Vai para o HMR."/>
        <s v="Gestante conseguiu acesso ao pré-natal ontem. De acordo com seu relato, tudo está transcorrendo bem na gestação. Foi orientada a buscar a urgência em caso de sinais de TP e/ou sinais de alerta e/ou com 41s (dia 25/11) para avaliação obstétrica. Encerro o "/>
        <s v="(Thiago) Usuária realizou novo atendimento e foi encaminhada para Bandeira Filho com BR."/>
        <s v="Fabiane (15:00) Gestante foi para avalição presencial. Foi descatado TPP, foi medicada e liberada."/>
        <s v="Joanna (8h; 9h): não atendeu."/>
        <s v="Gestante com quadro sugestivo de franco TPP, aciono SAMU para remoção para maternidade mais próxima - Arnaldo Marques."/>
        <s v="Fabiane (08:40) telenofe na caixa postal."/>
        <s v="taty (08:30) paciente se encontra na maternidade  bandeira filho, pariu 22/11 as 19:48, puerpera e RN estao bem "/>
        <s v="Gestante informa que sangramento cessou. Nega outros sintomas. Encerro o caso"/>
        <s v="ligar a tarde, paciente sem poder falar;   Taty ( 13:51) nao atendeu"/>
        <s v="taty (09:13) paciente nao atendeu ( nao atendeu 13:50 )"/>
        <s v="(Lari) Paciente refere que procurou a maternidade, foi avaliada, afastado TPP e foi liberada."/>
        <s v="(Thiago) Às 08:25h, 09:25h, usuária não atende à chamada."/>
        <s v="Usuária compareceu a UPA, foi prescrito dipirona e repouso. Refere melhora dos sintomas."/>
        <s v="28/11: Assintomática no momento, não foi à USF, irá próxima sexta, enfermeira ciente do caso."/>
        <s v="Joanna (8h6; 10h58; 12h45; 15h42; 17h21): não atendeu"/>
        <s v="Fabiane (15:00) telefone na caixa postal."/>
        <s v="Fabiane (15:15) telefone na caixa postal."/>
        <s v="Mobilograma - 5MF/1h, dor élvica associada a micção"/>
        <s v="Entrou como demanda noturna. DU: 3/50&quot;90&quot;53&quot;/10'. Cd: Encaminho à maternidade."/>
        <s v="Joanna (17h30): número indisponível"/>
        <s v="Refere que foi atendida na Maternidade Bandeira Filho, ficou em observação devido dilatação do colo uterino = 3cm e contrações, porém, após as 12h as contrações diminuíram. Sendo assim, foi orientada a retornar para nova avaliação se as contrações retorna"/>
        <s v="Joanna (8h30; 14h15; 16h35; 17h15): não atendeu"/>
        <s v="taty (08:47) paciente nao atendeu (12:30) Não atendeu"/>
        <s v="Joanna (8h36; 13h55; 17h29): não atendeu"/>
        <s v="informa melhora da cefaleia após uso do Paracetamol. Segue sem outras queixas ou sinais de alerta."/>
        <s v="Joanna (15h; 15h30; 16h25; 17h20): telefone desligado"/>
        <s v="(Thiago) Às 09:30h, 10:30h, 11:30h, telefone indisponível."/>
        <s v="Gestante refere que &quot;a dor de dente passou&quot; e que tomou dipirona apenas no domingo. Tem consulta de PN e odontológica dia 20/12. Dou alta do evento e finalizo atendimento."/>
        <s v="(Lari) Paciente internada no IMIP por TPP + iteratividade "/>
        <s v="Ligar às 15h (Thiago) Às 15:20h, o telefone da usuária não está disponível. "/>
        <s v="(Thiago) Às 17:25h , não consigo contato com usuária por nenhum número cadastrado."/>
        <s v="Gestante informa que sangramento cessou e que não está mais sentindo cólicas. Foi examinada na Barros Lima, com colo fechado ao toque vaginal. Hoje decidiu fazer uma USG particular que está agendada para as 17h. Como sintomas cessaram, oriento que agende "/>
        <s v="Fabiane (08:30) Paciente refere que foi para atendimento presencial. Relata melhora dos sintomas. Encerro monitoramento."/>
        <s v="Gestante procurou a Bandeira Filho e foi transferida para o HBL, onde se encontra internada para tratamento clínico."/>
        <s v="Fabiane (09:30) Paciente não atendeu. (15:30) Telefone não chama."/>
        <s v="Gestante refere que foi atendida na Bandeira Filho ontem, conforme orientada pela equipe do Atende. Hoje, nega queixas. Dou alta do episódio e encerro caso."/>
        <s v="Fabiane (11:10) Paciente não atendeu. (15:40) Telefone na caixa postal."/>
        <s v="Joanna (10h; 14h; 15h; 16h33; 17h37): não atendeu"/>
        <s v="Joanna (10h): não atendeu"/>
        <s v="Joanna (9h6): telefone desligado"/>
        <s v="Joanna (9h6; 11h11; 14h30; 17h08; 17h50): telefone desligado; Registro falta no PEC."/>
        <s v="Refere que mantém contrações irregulares de intensidade variável (registro do horário das últimas contrações: 13h40; 14h15). Nega perdas vaginais, cefaleia e outros sinais de de alerta. Refere que mantém o mesmo padrão de movimentação fetal. Cd: Ir a mate"/>
        <s v="Refere melhora da dor de cabeça após uso do Paracetamol 500 mg. Nega outras queixas."/>
        <s v="Fabiane (09:30) Telefono na caixa postal."/>
        <s v="Gestante sem perda de LA. Normotensa, sem contrações. Oriento observar sinais de alerta e ou trabalho de parto e comparecer ao PN dia 13/12."/>
        <s v="(Lari) Realizo telemonitoramento. Pct sem queixas"/>
        <s v="Foi atendida na APS, PA normal. Pródromos de trabalho de parto."/>
        <s v="Gestante foi para atendimento presencial na Barros Lima foi avaliada, medicada e liberada. Estava em falso trabalho de parto. Encerro monitoramento."/>
        <s v="Ligar as 15h Confirmar acesso"/>
        <s v="(Thiago) Às 10:26h, usuária não atende à chamada"/>
        <s v="Joanna (13h; 15h37): não atendeu"/>
        <s v="telefone do marido - ligar as 16h30. Tentamos contato, mas não atende. Telefone da filha cauane: 992627834"/>
        <s v="Ligar às 13h"/>
        <s v="(Thiago) Às 10:32h, usuária não atende à chamada."/>
        <s v="Joanna (11h46): telefone ocupado"/>
        <s v="(Thiago) Às 11:49h, gestante clinicamente bem, encerro monitorameto."/>
        <s v="Ligar para 8618-1502 (Thiago) Às 10:00h,12:00h, usuária não atende à chamada."/>
        <s v="(Thiago) Às 12:10h, gestante clinicamente bem, encerro monitorameto."/>
        <s v="Às 08:44, tento contato 2 vezes, mas sem sucesso."/>
        <s v="(Lari) 9h telefone desligado"/>
        <s v="(Thiago) Às 11:00h, 13:00h, gestante não atende à ligação."/>
        <s v="Joanna (8h30; 11h20; 15h7): não atendeu"/>
        <s v="Joanna (8h35; 11h20): não atendeu"/>
        <s v="(Thiago) Às 08:00h, 09:00h, usuária não atende à ligação."/>
        <s v="16h30 (Camilla) Aterndo e encaminho à urgencia para analgesia, avaliação e coleta de exames"/>
        <s v="Ligar as 18h ( avaliar contraçoes e desconforto pelvico)"/>
        <s v="(Thiago) Às 08:10h, 09:10h, usuária não atende à ligação."/>
        <s v="Gestante realizou atendimento na Bandeira Filho, afastado ITU, liberada para casa."/>
        <s v="Joanna (8h36; 11h20; 15h35; 17h28): não atendeu (registro falta no PEC)"/>
        <s v="Gestante entrou em contato novamente para informar resultado positivo para teste de covid19. Confirmar acesso à USF ou maternidade."/>
        <s v="Orientado paciente sobre sinais de alerta, monitoramento com 48 h"/>
        <s v="(Thiago) Gestante se encontra em sua USF de referência para realçização de consulta pré-natal."/>
        <s v="20/12 (ianne) não atende telefone"/>
        <s v="20/12 (ianne) Paciente recusa chamada ( encaminhada em TP, tentar contato novamente a tarde)"/>
        <s v="(Thiago) Às 09:40h, suária não atende à chamada."/>
        <s v="21/12 (ianne 15h10) desligado// 21/12 (ianne) 8h45  paciente não atende. Registrado em PEC atendimento de urgencia, teste covid +, hb 9.2. Caso consiga entrar em contato mais tarde, recomendar o sulfato ferroso 3x ao dia "/>
        <s v="21/12 (ianne) Realizado atendimento, solicitado exames lab, marcado PNAR devido IG  e sem contato com enf ou medico. "/>
        <s v="21/12 (ianne) 15h15 não atende// 21/12 (ianne) 09h não atende. Sind gripal já monitorada ontem"/>
        <s v="(Lari) Paciente evoluiu para abortamento completo. Acolho paciente."/>
        <s v="(Thiago) Às 10:20h, suária não atende à chamada."/>
        <s v="(Thiago) Usuária encontra-se internada na Maternidade Barros Lima."/>
        <s v="ianne - monitoramento realizado dia 02/01. Paciente foi a consulta 29/12. Encerro telemonitoramento"/>
        <s v="(Thiago) Usuária apresenta melhora dos sintomas, D3 dos sintomas hoje."/>
        <s v="Ianne (9h40): paciente não atende"/>
        <s v="(Thiago) Gestante refere melhoras dos sintomas, realizou atendimento na Bandeira Filho e foi liberada em seguida."/>
        <s v="ianne (9h55) monitoramento realizado"/>
        <s v="Joanna (9h40; 15h; 17h42): não atendeu (Falta registrada no PEC)"/>
        <s v="(Lari) Paciente foi avaliada no HMR e liberada. Finalizo monitoramento"/>
        <s v="10h (ianne) telefone desligado"/>
        <s v="(ianne) 13h paciente não atende"/>
        <s v="(Thiago) Às 09:17h, 10:30h, usuária não atende à chamada."/>
        <s v="(Thiago) Às 09:25h, usuária não atende à chamada."/>
        <s v="(Thiago) Às 11:00h, gestante realizou atendimento na Bandeira Filho, foi liberada em seguida."/>
        <s v="Joanna (11h): não atendeu"/>
        <s v="Joanna (17h30; 18h): não atendeu"/>
        <s v="(Thiago) Às 11:15h, gestante testou positivo para covid19, D3 hoje, sem sinais de gravidade."/>
        <s v="(Thiago) Às 11:55h, 14:00h, gestante não atende à ligação."/>
        <s v="02/01 - Joanna (7h40; 9h20; 11h25): não atendeu"/>
        <s v="ianne 9h07 - caixa postal"/>
        <s v="ianne 9h10 - paciente não atende a chamada"/>
        <s v="Joanna (17h; 17h25): não atendeu (Falta registrada no PEC)"/>
        <s v="Joanna (8h8): não atendeu"/>
        <s v="Joanna (8h10): não atendeu"/>
        <s v="Gestante no 6º dia do início dos sintomas, assintomática há 3 dias. Nega sinais de alerta e queixas obstétricas. Encontra-se na USF para consulta de PN."/>
        <s v="Refere que foi à Maternidade Memorial Guararapes, apresentava 3cm de dilatação, BCF = 132bpm, orientada a retornar se entrar em trabalho de parto ou com IG = 41s. Segue sem queixas no momento. MF +. Mantém contrações irregulares."/>
        <s v="Refere presença de 4 movimentos fetais em 1h. Encaminho para avaliação na maternidade."/>
        <s v="Joanna (16h15; 17h): não atendeu (registro falta no PEC)"/>
        <s v="(Thiago) Às 09:00h, usuária não atende à ligação.(taty) as 11h paciente nao atendeu"/>
        <s v="Joanna (8h10; 11h): não atendeu"/>
        <s v="Joanna (9h; 11h; 16h17; 17h): não atendeu"/>
        <s v="Taty (08:33; 15:56) paciente nao atendeu"/>
        <s v="Refere que não foi à urgência porque não tinha com quem deixar a filha, mas está se organizando para ir à USF. Mantém os mesmos sintomas. Sem PA aferida. Reforço a necessidade de atendimento na urgência obstétrica (recomendo HMR); Explico os riscos de não"/>
        <s v="Ianne (15h30/16h11) não atendeu"/>
        <s v="Joanna (17h14; 17h30): não atendeu (falta registrada no PEC)"/>
        <s v="Taty (08:25) paciente refere sangramento em pequena quantidade, atendida na arnaldo marque, HD ameaça de aborto, aguarda usg."/>
        <s v="Paciente refere melhora da dor bv( 2 contraçoes moderada em 4h) sem perdas vaginais, refere cefaleia que melhorou com uso de dipirona, oriento quanto sinais de alerta e trabalho de parto"/>
        <s v="taty ( 09:11) Paciente refere melhora da dor, contraçoes irregulares, foi a consulta do PN feto com boa vitalidade"/>
        <s v="ianne - paciente foi a emergencia do hapvida por conta propria. Vamos monitorar amanha para avaliação após ace"/>
        <s v="Taty(09:50) paciente refere inicio de tratamento para ITU, dor pelvica continua "/>
        <s v="(Thiago) Às 10:00h, 11:30h, o telefone da usuária não está recebendo ligação."/>
        <s v="(Thiago) Usuária após o atendimento no AG, procurou sua USF, foi avaliada e liberada em seguida, segue sem queixas."/>
        <s v="Joanna (8h32; 10h40): não atendeu"/>
        <s v="Taty (09:20) paciente refere melhora da sintomatologia, reforço a importancia de manter o PN, paciente nao esta comparecendo as consultas"/>
        <s v="Joanna (9h; 10h40; 15h; 16h22): caixa postal (falta registrada no PEC)"/>
        <s v="Refere melhora da diarreia, nega novas queixas. "/>
        <s v="10:50 ( taty) Paciente refere melhora do quadro de diarreia e vomitos "/>
        <s v="11:20(taty) paciente nao atendeu a ligação "/>
        <s v="11:30( taty) paciente procurou atendimento presencial , avaliada e liberada, refere melhora da queixa "/>
        <s v="Refere melhora dador pélvica após uso do Buscopan, ao longo do dia 2 evacuações, dor de cabeça leve, fez uso de Paracetamol por volta das 15h30. Nega presença de sinais de alerta e outras queixas. "/>
        <s v="Joanna (16h; 17h30): telefone indisponível (falta registrada no PEC)"/>
        <s v="Joanna (8h26): não atendeu"/>
        <s v="taty (09:30) paciente nao atendeu (12:50) nao atendeu"/>
        <s v="Joanna (8h24): não atendeu (13:14 ) Paciente não atendeu"/>
        <s v="Refere que apresentou sangramento vaginal e foi à Maternidade Barros Lima. Foi informada que o colo uterino estava fechado, administrado Buscopan, USG obst. agendada para o dia 12/01. Mantém cólica de baixa intensidade, nega novo episódio de sangramento e"/>
        <s v="taty (09:50) Paciente nao atendeu (12:15) nao atendeu"/>
        <s v="taty (16:11) paciente não atendeu "/>
        <s v="taty(09:12) paciente não atendeu (Falta registrada no PEC dia 13/01)"/>
        <s v="13/01 (Joanna): Foi à USF Josué de Castro (11/01), PA 120/60 mmHg. Refere melhora da dor em BV e cefaleia. Nega novas queixas obstétricas e sinais de alerta."/>
        <s v="taty ( 09:50) paciente nega queixa no momento, em repouso e em uso de ultragesta, "/>
        <s v="taty (11:36)Paciente atende e nao responde no hopchat"/>
        <s v="taty (09:09) telefone desligado"/>
        <s v="Taty (15:40) paciente procurou a unidade e nao conseguiu realizar o teste , remarcado para dia 22/01, a mesme refere que ira tentar realizar particular. HAS e DM, em uso de glifage, losartana e hidrocloritiazida, MF presente."/>
        <s v="taty (16:00) Paciente nao atendeu "/>
        <s v="Taty (16:45) nao completou a ligação "/>
        <s v="(Thiago) Às 14:30h, gestante não se encontrava disponível para contato no referido número."/>
        <s v="Joanna: Refere que foi à USF ontem e foi informada que a enfermeira está de férias. Não fez o BHCG na rede particular, agendou exame para o dia 22/01. Sem queixas no momento. "/>
        <s v="Joanna: Refere melhora da disúria. Nega novas queixas."/>
        <s v="Taty: paciente refere que buscou atendimento na HMR, onde foi avaliada;  melhora na sintomatologia e nega novas queixas , "/>
        <s v="Joanna: Foi atendida na USF hoje. Sem queixas no momento. "/>
        <s v="Aborto espontâneo"/>
        <s v="Gestante concluiu tratamento para ITU, econtra-se assintomática, colherá urocultura. Receberá resulatdo de exames em 22/02/24."/>
        <s v="Joanna (8h; 8h30): não atendeu"/>
        <s v="(Thiago) Às 08:30h, usuária não atende a chamada."/>
        <s v="(Thiago) Às 08:45h, usuária não atende a chamada."/>
        <s v="Taty (10:24)Usuaria sem queixas no momento, procurou a unidade porem sem data da consulta , profissionais de ferias"/>
        <s v="Taty (09:16) usuaria não atendeu "/>
        <s v="Joanna (10h37; 15h37): não atendeu (Falta registrada no PEC)"/>
        <s v="Taty (09:22) refere que foi ontem na USF, porem nao teria profissional disponivel para atendela, ainda com cefaleia, porem leve, PA 130*80,oriento uso de analgesico e monitoramento a tarde"/>
        <s v="Joanna (15h56): não atendeu"/>
        <s v="Joanna (10h28; 14h10; 17h21): não atendeu"/>
        <s v="Joanna (14h10): refere melhora da cefaleia e náusea. Sem queixas no momento."/>
        <s v="taty (15:40) Mobilograma com 13 movimentações fetais em 6 momentos, lombalgia e contraçoes indolores frequentes "/>
        <s v="Taty ( 08:59) telefone desligado"/>
        <s v="Joanna (8h13; 12h; 14h45): não atendeu"/>
        <s v="(Thiago) Às 8:26h, usuária não atende à chamada."/>
        <s v="(Thiago) Gestante realizou atendimento em sua USF, PNAR marcado para dia 07/02/24 na MBR."/>
        <s v="Gestante com dificuldade para marcar a primeira consulta de PN por não está vinculada à APS, ACS afastada."/>
        <s v="Realizado por Elaine"/>
        <s v="Gestante encontra-se internada no Hospital da Mulher para controle de PA e glicemia."/>
        <s v="Gestante está indo à maternidade agora pela manhã. Refere que hoje se alimentou e não vomitou, está apenas com salivação excessiva."/>
        <s v="taty (10:30)Paciente procurou a barro lima "/>
        <s v="Chama 2 vezes e a ligação cai. Não consigo contato."/>
        <s v="(Thiago) Gestante se encontra na triagem do HMR para avaliação. ligar a tarde (15h) "/>
        <s v="taty (09:33) paciente não atendeu taty (13:19) nao atendeu "/>
        <s v="Taty (11:25) paciente nao atendeu"/>
        <s v="(Thiago) Gestante informa que não conseguiu ir à Barros Lima, informa que irá hoje. Ligar amanhã para confirmar acesso."/>
        <s v="taty (08:45) paciente nao atendeu (11:03) paciente nao atendeu"/>
        <s v="taty (11:30) paciente refere cefaleia leve , PA 100X60, reavaliar contração"/>
        <s v="Gestante ainda está com desconfortos, especialmente pélvicos. Oriento que busque a maternidade para um avaliação presencial. "/>
        <s v="Mari (17:00) Gestante não atendeu."/>
        <s v="Lari (8h50) Paciente não atendeu. (14h) Paciente refere que não foi para a materninade pois não tinha quem ficasse com os filhos. Refere melhora da cefaleia e da dor em BV. Refere boa MF. Oriento sobre sinais de TP."/>
        <s v="(Thiago) Às 12:10h, gestante compareceu à Barros Lima, foi avaliada, recebeu prescrição medicamentosa e em seguida foi liberda."/>
        <s v="(Thiago) Às 08:15h, gestante se dirigindo neste momento à maternidade para realizar atendimento. Ligar à terde para checar acesso."/>
        <s v="(Camilla) às 11h, telefone desligado ou fora de área"/>
        <s v="Taty (16:54) paciente refere melhora da sintomatoligia e nao apresentou mais colicas / contração, nega qualquer queixa obstetrica e urinaria "/>
        <s v="(Camilla) 17h30 Realizado monitoramento, gestante refere alívio da dor após uso de buscopam. Alta do episódio."/>
        <s v="(Thiago) Às 08:53h, gestante informa que o incômodo pélvico pouco aliviou com as medicações. Oriento quanto sinais de alerta e TP."/>
        <s v="Joanna (8h14): não atendeu"/>
        <s v="Realizado telemonitoramento"/>
        <s v="Joanna (10h18; 14h7; 17h38): não atendeu"/>
        <s v="(Thiago) Às 16:00h, gestante refere melhora dos sintomas hoje."/>
        <s v="Mobilograma = 2 MF"/>
        <s v="(Thiago) Às 10:00h, usuária não atende à chamada."/>
        <s v="(Thiago) Às 10:05h, usuária não atende à chamada."/>
        <s v="(Thiago) Às 11:30h, gestante melhorou dos sintomas."/>
        <s v="(Thiago) Às 17:30h, gestante realizou atendimento na Bandeira Filho e liberada em seguida para casa. Refere boa movimentação fetal."/>
        <s v="Joanna (10h; 12h; 14h50; 17h): não atendeu"/>
        <s v="Joanna: foi atendida na Maternidade Bandeira filho, diagnosticada com ITU, prescrito Cefalexiana 6/6h por 7 dias e Buscopan. Assintomática no momento."/>
        <s v="Joanna (14h49;17h): não atendeu"/>
        <s v="Joanna: Está internada no HMR."/>
        <s v="Joanna: Nega novo episódio de sangramento e outras queixas."/>
        <s v="Joanna (14h30; 16h30; 18h30): não atendeu"/>
        <s v="08h45 atendimento realizado - pcte sem sintomas"/>
        <s v="(Thiago) Às 11:26h, o telefone da usuária não está disponível para receber chamadas. 8h20 (Lari) Paciente não atendeu."/>
        <s v="(Thiago) Às 11:00h, o telefone da usuária não está disponível para receber chamadas."/>
        <s v="Joanna (11h; 14h35/ 17h40): não atendeu"/>
        <s v="Às 08:06, tento contato, mas gestante não atende. "/>
        <s v="taty( 08:40) paciente nao atendeu"/>
        <s v="Às 12h:00, tento contato, mas a agestante não atende."/>
        <s v="taty( 11:14) paciente não atendeu"/>
        <s v="taty ( 08:24) paciente não atendeu"/>
        <s v="ianne (14:05) paciente não atendeu"/>
        <s v="ianne (11h20) paciente não atende"/>
        <s v="ianne (11h25) paciente não atende - ancaminhada ontem p maternidade - aborto completo?"/>
        <s v="taty (08:56) paciente refere diminuição das contração , iniciou tratamento para ITU "/>
        <s v="Joanna (10h30; 14h; 17h): não atendeu"/>
        <s v="Taty( 09:10) paciente no 4 de tratamento para ITU, refere contração esporadica e de menor intensidade, dor lombar leve  e dificuldades para dormir. "/>
        <s v="Taty (09:20) Paciente foi avaliada na bandeira filho, referindo melhora no quadro,no momento nega febre, emese e nausea, tendo 1 epsodio diarreico ate o momento. "/>
        <s v="Registro tardio do telemonitoramento realizado dia 19/02/24 - Marta"/>
        <s v="(Thiago) Gestante apresenta melhora dos sintomas."/>
        <s v="Joanna (10h; 15h; 17h): não atendeu"/>
        <s v="(Thiago) Às 17:00h, não consigo contato com a usuária."/>
        <s v="Taty (09:55) paciente não atendeu "/>
        <s v="Lari (8h40) Não atendeu."/>
        <s v="taty (08:16) paciente refere  presença de contração esporadica, lombalgia leve, refere presença de colostro e prurido leve em vagina; ontem foi a consulta do PN, marcado urocultura"/>
        <s v="Mariana (17:35) Telefone ocupado"/>
        <s v="Taty ( 10:04) paciente atendida no HMR, prescrito betametasona, referindo melhoras dos sintomas, hoje 1 epsodio de contração indolor, lombalgia leve.em tratamento para ITU ( 6/7)"/>
        <s v="Taty ( 08:54) não atendeu (13:30) não atendeu"/>
        <s v="ianne (15h20) paciente não atende"/>
        <s v="Taty ( 08:54) não atendeu"/>
        <s v="Joanna (16h13; 16h40): não atendeu"/>
        <s v="Lari (16h30) Paciente atendida na Barros. Recebeu atestado médico de 5 dias."/>
        <s v="Joanna (10h30): não atendeu"/>
        <s v="(08h15) Gestante atendida na urgência, onde foi prescrito ATB para ITU. Monitorar para relembrar da coleta da urocultura de controle"/>
        <s v="Mobilograma alterado, encaminhada à urgência."/>
        <s v="09h Realizado monitoramento. Paciente em curva de melhora. Sem novos sintomas"/>
        <s v="Joanna (10h; 15h30; 16h30): não atendeu"/>
        <s v="Às 15h25, não atendeu a ligação."/>
        <s v="Taty (11:32) chama 2x e da oculpado"/>
        <s v="Taty(08:17) Paciente não atendeu (10:10) não atendeu "/>
        <s v="Rhayza (10:40) paciente relata melhora dos sintomais, nao relata queixas no momento, refere termino do tratamento em 12/03/24"/>
        <s v="Lari (8h50) Pct refere persistência de tosse e secreção amarelada. Vai iniciar ATB hoje"/>
        <s v="Camilla (8h:30) Gestante atendeu o telefone, mas não entrou no Hopchat. Quando ligo novamente, não atende."/>
        <s v="Joanna (12h30; 14h30; 17h20): não atendeu"/>
        <s v="Taty ( 08:34) paciente refere melhora de forma geral do quadro, porem ainda com tosse produtiva e coriza, nega febre e outro sinais de alerta. "/>
        <s v="Rhayza: Conduta: Procurar APS e uso de dipirona S/N - Observação: averiguar se conseguiu acesso A APS"/>
        <s v="Joanna (12h30): não atendeu"/>
        <s v="ianne (15h20) paciente não atende, mas pelo PEC foi atendida em APS e iniciado tratamento"/>
        <s v="Joanna (14h; 14h40; 17h20; 18h30): não atendeu"/>
        <s v="Joanna (11h; 13h40; 17h50): não atendeu"/>
        <s v="(Thiago) Às 13:44h, usuária não atendeu à chamada."/>
        <s v="Foi à Maternidade Bandeira Filho, realizou EAS e hemograma, descartou-se arbovirose, fez hidratação EV. Prescrito Buscopan, Dramin e Vit C.  Apresentou novos episódios de vômito quando chegou em casa. Mantém mialgia. Ainda não fez uso do Dramin."/>
        <s v="(Thiago) Usuária não atende à chamada."/>
        <s v="(Thiago) Gestante no D6 dos sintomas, sem novas queixas, com melhora do quadro."/>
        <s v="Taty ( 11:32) paciente Hoje, D7 do curso dos sintomas, refere melhora dos sintomas, sem surgimento de novas queixas, nega sinais de alerta "/>
        <s v="08:37 (Taty) Gestante refere ausência de qualquer sintoma urinário e/ou de outra ordem no momento. conclusão do tratamento para ITU em 12/03/2024, URO marcada para 21/03/2024"/>
        <s v="(Thiago) Às 13:51h, usuária não atendeu à chamada."/>
        <s v="(Thiago) Às 14:06h, usuária não atendeu à chamada."/>
        <s v="13:12 (taty) não procurou a unidade hoje, porem  ACS consulta para amanha 12/03/24, refere permanecer com os mesmos sintomas"/>
        <s v="13:50 (taty)  Gestante informa que procurou atendimento na APS, fez restauração e limpeza dentaria , refere melhora dos sintomas e nega qualquer queixa obstetrica  e urinaria."/>
        <s v="Joanna (9h26; 13h30): não atendeu"/>
        <s v="08:35 (Camilla) Gestante não atendeu."/>
        <s v="Joanna (9h27; 13h30; 16h50): indisponível"/>
        <s v="Joanna (9h28): não atendeu"/>
        <s v="(Thiago) Às 08:27h, gestante refere melhora dos sintomas, sem novas queixas."/>
        <s v="Foi ontem à Maternidade Barros Lima, prescrito Maleato de dexclorfeniramina + betametasona (ainda não iniciou uso), orientada a retornar hoje para realizar USG obstétrica e reavaliação. No momento, encontra-se na Maternidade aguardando realizar USG. Refer"/>
        <s v="(Thiago) Às 09:02h, gestante não atende à ligação."/>
        <s v="09:51 ( rhayza) Paciente não atenteu "/>
        <s v="09:03 ( taty) Paciente nao atendeu "/>
        <s v="14:09 ( taty) gestante procurou atendimento na Policlinica Arnaldo Marques, onde foi avaliada, medicada e recebeu alta; hoje refere cefaleia, tosse , sem febre, refere boa vitalidade do feto, nega sinais de gravidade, sangramento, queixas urinarias e outr"/>
        <s v="09:17 (taty) Paciente não atendeu (13:22) paciente nao atendeu "/>
        <s v="Nayale (11h30): Não atendeu à chamada (tentado 2x)"/>
        <s v="09:53 (taty)Paciente nao procurou atendimento, refere melhora da Odontalgia, desde de ontem sem uso de analgesico, relata que esta a caminho da maternidade pois medica do PN encaminhou, refere boa vitalidade do feto, sem queixas obstetricas e urinarias "/>
        <s v="Nayale (11h32): Não atendeu à chamada (tentado 2x)"/>
        <s v="Nayale (11h35):Puérpera solicita ligação a partir das 14h"/>
        <s v="Joanna (8h27; 15h11): não atendeu"/>
        <s v="15:53 (Nayale) Marido atende ligação e esposa não pode atender no momento. Estão indo para a maternidade Cisam. Retornarei ligação após as 17h."/>
        <s v="Internada no HAM."/>
        <s v="Rhayza (10:05; 13:33h): nao atendeu"/>
        <s v="Rhayza (13:00) atendeu . Retornar às 16 h."/>
        <s v="Refere melhora da cefaleia após uso de Dipirona. Não foi à USF devido estar no tramalho, mas vai amanhã. Nega surgimento de novos sintomas e sinais de alerta. Mantém odinofagia e congestão nasal."/>
        <s v="Internada na Barros lima"/>
        <s v="(Camilla) Às 09h50, gestante informa que está aguardando a consulta pré-natal na unidade de saúde. Ligar novamente à tarde"/>
        <s v="22/03 (Lari) Paciente não atendeu as 13h40"/>
        <s v="Não foi à USF. Mantém queixa. Cd: Reforço importância do atendimento presencial."/>
        <s v="Questionar vacinação para covid. (Lari)  Não atendeu Rhayza (11:00)"/>
        <s v="(Camilla) Gestante está na unidade de saúde, acabou de ser atandida no pré-natal. Foi prescrito tratamento para corrimento. Dou alta do episódio."/>
        <s v="Atendeu mas não respondeu no hopchat "/>
        <s v="Joanna (8h49): não atendeu"/>
        <s v="Joanna (8h51): não atendeu"/>
        <s v="Gestante queixa-se ainda dos sintomas. Encaminho à maternidade; Novo monitoramento amanhã"/>
        <s v="(Lari) 8h30 Paciente não atendeu"/>
        <s v="Ligar às 15h (Nayale 15:00) realizado telemonitoramento. Manter telemonitoramento amanhã. Ligar após as 15h."/>
        <s v="(Camilla) Gestante refere que foi à urgencia ontem e foi prescrito tratamento para corrimento. Encerro caso e sugiro  TINC psiquiatria"/>
        <s v="(Dama - Gestante em curso de 14s3d pela DUM e 19s5d pela USG, com remissão dos sintomas gripais. Queixa hoje de corrimento  leitoso com grumos e prurido discreto, nega odor fétido e dispareunia. Oriento ir à urgência, atendimento realizado fora do horário"/>
        <s v="Lili- Puérpera refere vermelhidão, dormência e saída de secreção amarelada em pequena quantidade da F.O. Nega febre, nega outras queixas. Relata que foi na urgência obstétrica hoje pela manhã, onde foi avaliada por profissional da saúde, o qual orientou q"/>
        <s v="Atendeu mas não respondeu ao hopchat (10:46)"/>
        <s v="Atendeu mas não respondeu ao hopchat (12:05); às 12:19 informou que o link não estava funcionando."/>
        <s v="Lari ( 8h30) não atendeu"/>
        <s v="Joanna (8h33; 16h26): não atendeu (falta registrada no PEC)"/>
        <s v="Joanna (8h34; 16h27): não atendeu (falta registrada no PEC)"/>
        <s v="Refere melhora da dor na panturrilha. Queixa-se de disúria há 4 dias. Encaminhada para avaliação presencial."/>
        <s v="ligar as 10h"/>
        <s v="Rhayza não atendeu (15:07)"/>
        <s v="Joanna (9h08; 16h28): não atendeu (falta registrada no PEC)"/>
        <s v="Refere que não foi ao atendimento presencial, pois a PA estava normal (110 x 80) e melhorou após tomar dipirona novamente."/>
        <s v="08:19 ( taty) Paciente não entendeu 14:54 "/>
        <s v="Rhayza (09:57) não atendeu"/>
        <s v="Nayale (12:10) Gestante ainda não foi ao serviço de saúde. Reforço necessidade de ir ao serviço e informo que amanhã haverá novo telemonitoramento."/>
        <s v="13:37 (taty) refere dor na lombar e promodomos inicio 23/03/24. nega perdas vaginais, queixas urinarias. movimentos fetais presente consulta de PN amanha (02/04/2024)"/>
        <s v="8h30 paciente não foi na APS, vai agora de manha. Ligar a tarde"/>
        <s v="08:35 ( taty) Paciente não entendeu "/>
        <s v="17:00 Não atendeu"/>
        <s v="08:44 ( taty) gestante procurou atendimento no Barão de lucena,pois na APS nao conseguiu,  realizou teste para covid 19 com resultado negativo, referHD dengue. hoje relata melhora da nausea, fadiga, sem febre, em uso de 1g de dipirona 8/8h, nega queixas u"/>
        <s v="17:00 Não "/>
        <s v="16h40 (Camilla) Gestante nega queixas. Pede para prescrever antibiótico dose unica para ITU. Compartilho atendimento com Damartine. Agendo monitoramento para dia 0/04"/>
        <s v="10:00 (Camilla) tentativa de contato sem sucesso. Porém, visualizo no PEC que a gestante compareceu ao PN hoje e tem uma reavaliação na APS agendada para amanhã. Encerro o caso, considerando que houve a devida apropriação do cuidado pela APS."/>
        <s v="09:27 ( taty) Paciente não atendeu "/>
        <s v="08h10 (Lari) Pacinte não atendeu"/>
        <s v="Realizar novo monitoramento (15 h) para saber se acessou o PN e se diminuiu o sangramento. "/>
        <s v="17h20 - Foi atendida no Hospital da Mulher do Recife, realizou exames laboratoriais (sem alterações), prescrito Metildopa 250mg 8/8h (vai iniciar uso hoje). Nega queixas e sinais de alerta."/>
        <s v="8h30 (Lari) Paciente refere que a consulta de hoje na APS foi cancelada (sistema fora do ar, SIC). Oriento avaliação na maternidade mais próxima a sua casa, pois paciente permanece sangrando."/>
        <s v="(Thiago) Às 08:38h, gestante refere melhoras dos sintomas e econtra-se em sua USF para realização de consulta Pré-natal."/>
        <s v="08:26 (taty) telefone desligado "/>
        <s v="Joanna (06/04): não disponível"/>
        <s v="Rhayza (15:08) ocupado "/>
        <s v="(Thiago) Às 15:27h, paciente não atende."/>
        <s v="(Thiago) Às 15:18h, telefone indisponível."/>
        <s v="08:30 (taty) "/>
        <s v="Gestante compareceu à unidade. Iniciou tto de ITU. PN agendado para amanhã."/>
        <s v="Joanna (8h20): não atendeu"/>
        <s v="(Lari) não atendeu"/>
        <s v="(Thiago - 08:48h) Usuária não atende à chamada."/>
        <s v="Gestante refere melhora dos sintomas. Agendo montioramento em 48 horas"/>
        <s v="(Thiago - 09:34h) Gestante apresenta piora dos sintomas gripais iniciados dia 09/04, encaminho para avliação presencial na APS."/>
        <s v="8h (Lari) Paciente não atendeu"/>
        <s v="8h (Lari) sem telefone"/>
        <s v="Joanna (16h; 17h): não atendeu (falta registrada no PEC)"/>
        <s v="Rhayza (08:16) nao atendeu "/>
        <s v="Rhayza (08: 22) ocupado "/>
        <s v="Rhayza (16: 21) nao atendeu "/>
        <s v="Realizar monitoramento amanha 14/04"/>
        <s v="Gestante internada na maternidade"/>
        <s v="Lari (8h) não atendeu"/>
        <s v=" Refere melhora da cefaleia e movimentação fetal sem alterações. Nega contrações uterinas e perdas vaginais. Queixa-se de diarreia sem associação com outros sintomas e sinais de alerta (2 evacuações hoje). PA = 123 x 76. Cd: Orientações gerais. Monitorira"/>
        <s v="melhora da náusea e vômito; refere estar com raiva devido parceiro negar a paternidade e expressa desejo de abortar."/>
        <s v="Joanna (12h; 12h30; 17h47): não atendeu (falta registrada no PEC)"/>
        <s v="8h30 (Lari) não atende"/>
        <s v="(Marta) Jessica articulou com a paciente fazer o atendimento amanhã-devido impossibilidade da usuária no momento."/>
        <s v="Encaminhado para urgência por dor em baixo ventre "/>
        <s v="Mantém perda de líquido sem sinais de alerta e trabalho de parto; dor em BV do tipo cólica iniciada por volta das 12h. Mobilograma: 16 MF, afebril e normotensa"/>
        <s v="Rhayza  (8:09): ligação caindo/não atendeu"/>
        <s v="Joanna (8h8; 14h26): não atendeu"/>
        <s v="Rhayza  (8:12): não atendeu"/>
        <s v="(Thiago - 09:19h) Usuária não atende à chamada."/>
        <s v="Gestante apresenta melhora dos sintomas."/>
        <s v="(Jessi - 19/04): Paciente relatou muito sono com o uso de Dramin. Oriento substituir pela Metoclopramida. Pactuamos teleconsulta compartilhada com enfermeira do pré natal a ser agendada e informada através do ACS "/>
        <s v="Rhayza (11:00)"/>
        <s v="17:15 Não procurou Maternidade. Novo monitoramento 21/04"/>
        <s v="(Lari) Foi encaminhada para avaliação presencial na APS"/>
        <s v="Refere que as contrações estão mais intensas e em intervalo mais curto (não está fazendo o registro), não foi ao atendimento presencial. Além disso, apresentada cefaleia, náusea, ardência ao urinar, eliminação de volume urinários menor que o habitual. Ref"/>
        <s v="(Lari) ITU + febre, foi encaminhada para Barros. Ligar as 10h30"/>
        <s v="(Lari) DM1 + TPP, foi encaminhada para o HMR. Não atendeu as 8h"/>
        <s v="(taty) paciente nao procurou atendimento presencial, refere dor em bv e lombar intensa e melhora da febre, oriente buncar atendimento presencial "/>
        <s v="08:16 (Taty) Paciente não atendeu (12:44 ) paciente nao atendeu"/>
        <s v="Rhayza (08:09) telefone ocupado"/>
        <s v="Taty (08:38) não completa a chamada "/>
        <s v="Taty (08:38) Paciente nao atendeu"/>
        <s v="Taty (09:40)  Paciente no D4 dos sintomas, nao buscou atendimento presecial, como orientado; Refere dispneia ao esforço que melhora ao repouso, coriza leve  e a noite apresenta congestao nasal, nega febre, queixas urinarias outra queixas obstetricas; refe"/>
        <s v="Está na consulta pré-natal. Ligar 16 h"/>
        <s v="08:25 Não atendeu (Rhayza)"/>
        <s v="(Thiago) Às 11:04h, paciente não atendeu à chamada"/>
        <s v="10h30 (Lari) Paciente não atendeu."/>
        <s v="26/04 (Lari) Pct sem queixas. Oriento seguimento de PN em APS."/>
        <s v="Rhayza (09:24) nao atendeu"/>
        <s v="Melhora dos sintomas "/>
        <s v="Rhayza (09:32) nao atendeu"/>
        <s v="Rhayza (16:16) nao atendeu"/>
        <s v="Gestante refere melhora dos sintomas de nauseas e vômitos e tosse. Alta do episódio, encerro caso."/>
        <s v="Puérpera se encontra na maternidade, após cesariana de urgência ontem às 23h."/>
        <s v="(Thiago) Às 17:35h, usuária apresenta melhoras do quadro de dor e níveis normais de PA."/>
        <s v="Realizar novo monitoramento 03/05"/>
        <s v="Joanna (17h; 18h16): não atendeu"/>
        <s v="9h50 (Lari) Paciente informa melhora da cefaleia. Está aguardando agendamento de PNAR DMG"/>
        <s v="Rhayza (16:31) não atendeu "/>
        <s v="08h20 (Lari) Não atende; 10:21h (Thiago), não atende."/>
        <s v="08:23 ( Taty) Paciente não atendeu; 10:35h (Thiago) não atende."/>
        <s v="08:17 ( Taty) Paciente não atendeu; 10:46h (Thiago), esposo solicita que entremos em contato mais tarde."/>
        <s v="09h50 (Lari) Não atende; 15:29h (Lili) Não atende"/>
        <s v="Foi atendida na USF, mas devido sintomas apresentados e PA = 140 x 90, foi encaminhada à maternidade. Na Maternidade Bandeira Filho realizou rotina de PE. Alterações não foram identificadas, foi medicada e recebeu alta. No momento, nega queixas. Refere bo"/>
        <s v="Refere que foi ao Hospital da Mulher do Recife, aguardou por 6 horas e não foi atendida. Último episódio de sangramento ontem, mantém disúria. Nega sinais de alerta. Cd: Encaminho para avaliação na Mat Bandeira Filho."/>
        <s v="Joanna (10h50; 15h): não atendeu"/>
        <s v="Rhayza (08:50) nao atendeu "/>
        <s v="Mobilograma +/- 3 movimentos em 1 hora. Encaminho para maternidade"/>
        <s v="(Thiago) Às 08:33h, usuária não atende à ligação 09:00 (taty) paciente não atendeu. 14:00 (Lili): Paciente não atendeu"/>
        <s v="10:00 (Lili): Paciente refere melhora dos sintomas. Em término do tratamento (D10). Reforço importância da realização de urocultura. "/>
        <s v="Lili (16:10) Gestante refere melhora da dor, iniciou tratamento para ITU. "/>
        <s v="08:10 (taty) Paciente não atendeu "/>
        <s v="Foi atendida na APS; encaminhamento está no SISREG."/>
        <s v="Pct internada no CISAM"/>
        <s v="08:13 ( taty) Paciente não atendeu 12:07 ( taty) Paciente não atendeu"/>
        <s v="USG (14/05): peso fetal adequado para IG. Finalizo telemonitoramento"/>
        <s v="08:22 ( taty) Paciente não atendeu (81991300852) 12:05 ( taty) Paciente não atendeu"/>
        <s v="11:11 ( taty) Procurou atendimento na Barro Lima, onde foi examinada,  realizou exames laboratoriais, medicada e foi liberada, hoje nega cefaleia, nega sinais flogistico em FO e outras queixas 08:47( taty) Paciente dormindo(ligar as 10:30) "/>
        <s v="Refere melhora. Foi à consulta de PN. "/>
        <s v="Foi atendida na USF Três Carneiros, PA = 130 x 80. Refere melhora da cefaleia após uso de Dipirona. Segue sem novas queixas. Orientada a realizar MRPA."/>
        <s v="8h (Lari) paciente está se deslocando para realizar exames. Solicita contato as 10h. 10:10 (Lili): Paciente não atendeu"/>
        <s v="9h (Thiago) paciente refere melhora das cólicas."/>
        <s v="08:20 ( Taty) Paciente não atendeu. 16:00 (Lili): Paciente refere que não foi a APS e que irá realizar exame laboratorial por conta própria. "/>
        <s v="09:10 ( taty) Paciente internada no HMR . Aguarda USG e conduta ( provavel cerlagem), nega hoje dor ou sangramento, refere repouso absoluto "/>
        <s v="09:35 ( Taty) Paciente não atendeu;  11:22 (taty) paciente nao atendeu"/>
        <s v="16:28 (taty) !7:38h (Thiago) Não completa a chamada."/>
        <s v="Feito registro e encaminhado presscrição de sintomáticos."/>
        <s v="08:27 (taty)Gestante internada no IMIP, por ameaça de trabalho de parto prematuro,refere contrações irregulares, porem ao exame esta com dilatação de 4cm, em repouso ,  Nega perdas vaginais ou outras queixas.   "/>
        <s v="08:17 (Taty) Paciente não atendeu 10:14 ( taty) paciente nao atendeu"/>
        <s v="16:00 (Lili): Paciente refere que foi diagnosticada com ITU e prescrito antibiótico."/>
        <s v="08:29 (taty) Paciente refere melhora da dor em flanco direito, nega queixas obstétricas e urinarias."/>
        <s v="09:06 (taty) Paciente procurou atendimento no HC, hoje nega presença de sangramento, nega perdas vaginais, queixas urinarias e colicas, Refere MF presente "/>
        <s v="Joanna (9h30; 14h26): não atendeu"/>
        <s v="09:05 (Lili): Paciente não atendeu 10:30 Paciente refere que foi atendida na Maternidade Bandeira Filho, que o BCF estava normal e que sentiu o bebê se movimentar normalmente hoje. "/>
        <s v="18:00 (Damartine) Retorno para a gestante, orientando que compareça nesta quinta-feira ao PN com médica da unidade."/>
        <s v="10:24 (taty) paciente nao atendeu ; 12:13 (taty) microcip com instabilidade"/>
        <s v="08:30 (taty) puerpera levou filho a pediatra peso atual 3100 e 51cm, refere diurese e evacuaçoes presentes, colicas noturanas, oriento e encaminho gestante a nutrição"/>
        <s v="08:20/ 11:10 (Lili): Paciente não atendeu "/>
        <s v="08:27 (Rhayza): nao atendeu"/>
        <s v="(Lili): Paciente refere perda de líquido, encaminho para urgência obstétrica. Também refere que iniciou pré-natal em outra USF e será encaminhada ao PNAR. "/>
        <s v="09:47 ( taty) Paciente relata dor leve &quot; virilha &quot; refere contrações de treinamentos com colicas discreta, Nega sangramento, queixas urinarias, dor lombar ou outros sinais de alerta."/>
        <s v="Joanna (11h20; 13h58; 17h40): não atendeu"/>
        <s v="14:00h (Thiago) Paciente apresenta melhora das cólicas."/>
        <s v="09:42 ( taty) paciente não atendeu"/>
        <s v="mantém dor em baixo ventre de intensidade leve, mais localizada no lado esquerdo. No geral, refere que apresenta melhora considerável. Nega perdas vaginais e outras queixas. Mantém boa movimentação fetal. Glicemia e PA sem alterações."/>
        <s v="Após o atendimento realizado ontem, fez uso do sintomático, porém, não apresentou melhora e a dor ficou mais intensa. Conforme orientação que recebeu na teleconsulta, foi à urgência do IMIP. Contatou-se trabalho de parto prematuro. RN nasceu no IMIP, dia "/>
        <s v="Mobilograma = 1 MF em 1h. Encaminho para avaliação na urgência obstétrica"/>
        <s v="(Lari) Realizo monitoramento. Oriento nitrofurantoina profilático, MAPA e perfil de HGT"/>
        <s v="09:00h (Thiago) Usuária não atende a chamada."/>
        <s v="09:10h (Thiago) Usuária não atende a chamada."/>
        <s v="16:00h (Thiago) Gestante encontrava-se em atendimento na Bandeira Filho."/>
        <s v="16:48 (Lili) Paciente não atendeu. ligar as 16h para avaliar melhora da cefaleia"/>
        <s v="Pct foi ao HMR (22/05) e constatou que nao há perda de LA. Retornará ao PN amanhã. "/>
        <s v="Rhayza (16:00) nao atendeu"/>
        <s v="10:50h Paciente sem queixas, refere que foi para PN ontem na nova USF, sendo ecaminhada para o PNAR, e prescrito carbonato de cálcio para prevenção de PE. "/>
        <s v="Rhayza (08:04) Não atendeu "/>
        <s v="Camilla (13h50) Gestante informa que estava dormindo, mas que o sangramento cessou.  Encerro o caso."/>
        <s v="Rhayza (16:18) Não atendeu "/>
        <s v="11:40 Paciente no IMIP aguardando atendimento. Relata peristência do sangramento"/>
        <s v="8h12 (Camilla) Não atendeu. 12h19 Não atendeu."/>
        <s v="(Thiago) 8:30h Telefone ocupado, paciente não atende a chamada."/>
        <s v="(Rhayza) 09:38 Atendeu e desligou"/>
        <s v="(Rhayza) 09:41 Nao atendeu"/>
        <s v="(Rhayza) 09:43 Nao atendeu"/>
        <s v="Gestante procurou o IMIP ontem, realizar novo monitoramento amanha "/>
        <s v="Gestante não tomou medicação para dor e nao procurou hospital, pediu para retornar a tarde "/>
        <s v="11:00h (Thiago) Nao atendeu a chamada."/>
        <s v="08:15h (Lili): Ligar a tarde"/>
        <s v="8h15 (Camilla) Não atendeu. 12h22 Não atendeu."/>
        <s v="09:10 (taty) Paciente não atendeu 12h28 (camilla) Ligação atende, mas sinal ruim, não consigo comunicação."/>
        <s v="09:40 (Lili) Paciente não atendeu "/>
        <s v="08h20 Paciente não atendeu / 13:10h (Lili): Paciente não atendeu "/>
        <s v="09h35 (Camilla) Gestante internada no HAM. Encerro caso e dou alta do episódio."/>
        <s v="Rhayza (08:37) Não atendeu 11:02 (taty) ligar as 12h estava em consulta "/>
        <s v="ligar as 16:30"/>
        <s v="(Camilla) 08h12 não atendeu."/>
        <s v="Rhayza (08:40) Não atendeu "/>
        <s v="Joanna (7h58; 13h24; 18h): não atendeu"/>
        <s v="08:01 (taty) paciente não atendeu"/>
        <s v="08:50 (taty) Paciente refere melhora do quadro apos uso de analgesico, nega queixas obstetricas, urinaria e sinais de eminência "/>
        <s v="Joanna (08h8): não atendeu 12:42 (taty) não completou a chamada"/>
        <s v="(Camilla) 08h20 não atendeu."/>
        <s v="(Camilla)  Às 14h não completa a ligação"/>
        <s v="Mobilograma = 20 MF"/>
        <s v="(Camilla) 16h Gestante refere que as contrações não aumentaram. Continua em pródromos. Oriento e encerro caso."/>
        <s v="10:00h (Thiago) Usuária não atende a ligação."/>
        <s v="Refere melhora considerável após iniciar uso de Cefalexina no dia 01/06; nega novos sintomas e sinais de alerta. Optou por aguardar a consulta de pré-natal que está agendada para o dia 06/06, portanto, não buscará atendimento hoje na USF, conforme orienta"/>
        <s v="Puérpera refere melhora da amamentação. Nega queixas. Disse que amanh~ã tem consulta no posto de saúde."/>
        <s v="Falar com Lili"/>
        <s v="08h05 (Lari) Telefone não atende"/>
        <s v="08:29h (Lili): Paciente internada no HMR. "/>
      </sharedItems>
    </cacheField>
    <cacheField name="CONDUTA MONITORAMENTO 2" numFmtId="0">
      <sharedItems containsBlank="1" count="459">
        <m/>
        <s v="Foi atendida no PN da APS hoje, sem alterações de PA e sinais de premonitórios de PE. Próxima consulta agendada 07/12. IG=36s. Oriento acerca dos sinais de alerta/ir à urgência. (Joanna)"/>
        <s v="ianne: Tentando ligar novamente 03/01 - desliga ligação"/>
        <s v="(CAMILLA) Realizado telemonitoramento de gestante. Refere contrações irregulares no mesmo padrão que ontem, sem sinais de alerta. CD: oriento que busque unidade de saúde na presença de sinais de TP e/ou alerta; encorajo que compareça a consulta de pré-nat"/>
        <s v="Realizado novo contato, paciente refere persistência da diminuição dos MF. Oriento ir para atendimento presencial imediatamente. Acolho queixa de medo da dor do TP e oriento sobre importância e ressignificação da dor no processo do nascimento. Explico sob"/>
        <s v="14h paciente refere que esta aguardando internamento na maternidade Barros Lima. Nega queixas no momento e refere que medica do CISAM (atendimento realizado pela manha) informou que ela estava com 3cm. Informa que internamento na Barros Lima será devido i"/>
        <s v="Puérpera, no 3º DPO de cesariana, de alta há 24h. Bebê nasceu bem, dia 21/04 às 14:45, via cesariana devido a AP pélvica. "/>
        <s v="Gestante atendeu a ligação às 17:15, mas disse que não foi à maternidade e que as cólicas cessaram, mas que a cefaleia forte permanece, mesmo após uso de diprona. Reforço a importância de buscar a emergência obstétrica hoje ou amanhã. Ciente do telemonito"/>
        <s v="11/05 telefone nao completa a ligação "/>
        <s v="31/05 (Taty): Tentativa de monitoramento sem sucesso, paciente nao se encontrava, quem atendeu solicitou ligar mais tarde. Joanna: Realizo nova tentativa de contato, porém sem sucesso (17h51)"/>
        <s v="Refere que foi à urgência ontem devido aumento do sangramento. Prescrito Utrogestan. "/>
        <s v="Queixas: Prurido anal a noite, presença de vermes pequenos e de cor branca em região anal e peças íntimas. _x000a_História da doença atual: Gestante refere ter realizado tratamento para verminose com albendazol 400mg, dose única, em março/2023. Apresentou melho"/>
        <s v="(Thiago) tentativa às 16:20"/>
        <s v="(Taty) Monitoramento realizado, paciente ainda permanece com sintomatologia, TR negativo , conforme o protocolo mantenho o monitoramento"/>
        <s v="(Ianne)Realizo teleinterconsulta com enf Rose martins, orientado sobre tratamento adequado com albendazol para paciente e familiares (que moram na mesma casa). Consulta de pre natal amanha."/>
        <s v="(Thiago) Refere melhora do quadro viral; informa que foi para atendimento; oriento realização do teste covid-19. Mantenho monitoramento com 48h seguindo protocolo de sindrome gripal"/>
        <s v="(taty) tentativa de monitoramento sem sucesso as 16:30)"/>
        <s v="(taty) tentativa de monitoramento sem sucesso as 16:50)"/>
        <s v="Gestante nega queixas no momento. Segue aguardando agendamento de exames laboratoriais para investigação de trombofilia. "/>
        <s v="(taty) paciente refere diminuição nos MF, apos mobilogarma (2 em 1h), com perca de muco e dor lombar; encaminho para atendimento presencial na maternidade bandeira filho "/>
        <s v="09/06 (Lari) Paciente não atendeu as 16h"/>
        <s v="09/06 (Lari) Paciente não atendeu as 16h30"/>
        <s v="Refere melhora do edema e secreção na gengiva. Está no 3º dia de tto com Amoxicilina."/>
        <s v="(Marcia) Sem sucesso às 17:36"/>
        <s v="(Joanna) Não foi ao atendimento presencial. Mantém coriza; não realizou TR-Ag; Oriento ir ao CS para agendar PNAR, fazer avaliação e rrealizar TR-Ag, se dispoível no serviço."/>
        <s v="(Marcia) Orienta buscar a unidade de saúde para avaliação/realizar telemonitoramento dia 13/06"/>
        <s v="(Joanna) Tentativa às 14h / Aguarda lab 3º trimestre "/>
        <s v="09/06 (Lari) Paciente não atendeu 16h30"/>
        <s v="09/06 (Lari) Paciente não atendeu 17h"/>
        <s v="(Ianne) Tentativa as 14h e 14:30h"/>
        <s v="(Joanna) Tentativa às 14h"/>
        <s v="(Joanna) Tentativa às 14h / (Marcia) às 17h: Foi à maternidade como orientada na teleconsulta, oriento seguir medicações prescritas e agendo monitoramento para dia 16/06 quando finaliza as medicações. Oriento sinais de alerta e se piora buscar atendimento"/>
        <s v="(Marcia) Encaminho paciente para avaliação presencial na emergência obstétrica de preferência em até 2 horas devido diminuição dos movimentos fetais. Informo monitoramento pela equipe do Atende Gestante em 24 horas."/>
        <s v="11/06 ( taty) Monitoramento realizado gestante sem queixas oriento importancia e manutençao do PN tanto na APS E PNAR "/>
        <s v="(Camilla) Tentativa às 14:23 sem sucesso"/>
        <s v="11/06 (taty) gestante nao atende a ligação tentativa as 10:11"/>
        <s v="11/06 ( ana) telefone desligado 13:55"/>
        <s v="(Thiago) Sem sucesso às 15:25 (nao atendeu )"/>
        <s v="(Thiago) Tentativa às 14:24"/>
        <s v="(ianne) 14h42 telefone desligado"/>
        <s v="(Thiago) 15h Foi para atendimento na Barros Lima, recebeu prescrição de Fentizol óvulo + Miconazol creme vaginal."/>
        <s v="(Camilla) 14:10 - Atendeu, mas refere que não tinha disponibilidade de falar"/>
        <s v="11/06  (taty) gestante na maternidade bolsa integra e sera reavaliada em 4h, monitoramento em 12/06 "/>
        <s v="(Thiago) Sem sucesso às 15:45 (nao atendeu )"/>
        <s v="Taty (14:04 ) Paciente atendeu e deslisgou apos indentificação "/>
        <s v="(Camilla) 14:30 - Tentativa sem sucesso."/>
        <s v="TATY(14:30) Puerpera  refere melhora na queixas. mantenho conduta de orientaçoes "/>
        <s v="(Camila)"/>
        <s v="Joanna (15/06 - 13h20): Foi à Maternidade Barros Lima, diagnosticada com ITU, em uso de ATB (não lembra o nome). Sem queixas no momento. Oriento repetir urocultura após 10 dias do término do tto. "/>
        <s v="Joanna (15/06): não atendeu (8h50; 13h58; 16h24). Taty (14/06 - 15:28 )ligar as 17:00"/>
        <s v="Ianne: 13h55: tentativa sem sucesso"/>
        <s v="Joanna (15/06 - 13h59; 16h26): não atendeu."/>
        <s v="taty (14:15 ) paciente nao interagiu na sala e telefone esta agora desligado "/>
        <s v="taty (14:15 ) gestante na maternidade, refere que esta com 4cm de dilatação, sem perdas vaginais. "/>
        <s v="ianne (13h40) não atende; Joanna (16h28): não atende."/>
        <s v="Taty(13:35 telefone desligado; Joanna (16h29): não atendeu"/>
        <s v="Taty(13:55) Paciente nao atendeu; Joanna (16h30): não atendeu"/>
        <s v="ianne (13h38) telefone desligado; Joanna (16h31): telefone desligado"/>
        <s v="(Thiago) Gestante com IG 21s3d, compareceu a Bandeira Filho hoje e refere que no atendimento foi informada que o corrimento se tratava de candidíase vaginal e que realizou  sumário de urina com resultado normal. Nega queixas obstétricas como sangramento, "/>
        <s v="Gestante com IG 11s6d pela DUM; G1 P1 (PN de prematuro extremo que foi a óbito) A0, a mesma informa que já deu início ao pré-natal em UBS de referência em seu território, já realizou consulta odontológica e está com consulta de volta marcada, assim como e"/>
        <s v="(Thiago) Tentativas sem sucesso às 16:56"/>
        <s v="13h30 (ianne) telefone desligado. "/>
        <s v="Joanna (15h6): permanece com a mesma queixa, no momento está se deslocando para atendimento na Barros Lima. Não foi possível encaminhar registro de atendimento porque a teleconsulta foi por chamada telefônica."/>
        <s v=" (Taty) Paciente encontra-se na maternidade, aguarda USG para definir conduta "/>
        <s v="ianne (14h) Paciente não atende. Enviado whasapp por link, mas sem retorno"/>
        <s v="ianne (15h05) Paciente não atende"/>
        <s v="(Marta) Não consegue contato após às 07:30h porque usuária não tem celular"/>
        <s v="Registrado Evento Sentinela - Encaminhamento via USF - agendamento regulação (Bel)"/>
        <s v="taty (09:19 ) paciente nao atendeu  (taty:13:50) paciente nao atendeu  Taty(15:54) paciente nao atende u"/>
        <s v="Ianne (14h50): paciente não atende. è enferemeira e tinha ficado de entrar em contato com resultado de uroc. "/>
        <s v="ianne (16h): Paciente não atende"/>
        <s v="ianne (16h10) paciente não atende"/>
        <s v="Taty("/>
        <s v="Taty ( 16:27) tentativa sem sucesso "/>
        <s v="14:20 (taty) realizo telemonitoramento, paciente refere cefaleia e nega outras queixas, como ontem apresentou na maternidade 140*90, solicito ida ao posto para hoje e amanha para aferir a PA "/>
        <s v="(ianne) realizar monitoramento amanha. Paciente ainda não foi na maternidade"/>
        <s v="01/07 (Joanna): Refere foi dia 29/06 ao CS Vereador Romildo Gomes, realizou 1ª consulta de PN, foi orientada quanto a normalidade do sangramento e corrimento vaginal. Nega novos episódios de sangramento. Prescrito Ácido fólico 1x/dia. Aguarda agendamento "/>
        <s v="Taty (15:27/ 16:49 ) paciente nao atendeu "/>
        <s v="01/07 (Joanna): Foi atendida na UPA dos Torrões, foi orientada que a reação apresentada à Cefalexina era normal e que poderia continuar uso. Encontra-se no 3º dia de tratamento, alega melhora do quadro apresentado, nega surgimento de novos efeitos colater"/>
        <s v="Joanna (16h12; 17h23): não atendeu"/>
        <s v="Taty ( 13:55) Thiago (15:10h) paciente não atende Taty ( 18:32  ) apos indentificação paciente desliga "/>
        <s v="Taty ( 13:55) paciente encontra-se no HBL, iniciou ATB e ira realizar uma lavagem cavitaria , o pec nao foi preenchido pois a paciente nao estava podendo falar ( preparo para o BC) falo com esposo "/>
        <s v="Thiago (12:00) Paciente não atende à ligação. (Fabiane) tentativa às 16:10"/>
        <s v="Telefone fixo e microsipp sem funcionar - tentar monitoramento 05/07"/>
        <s v="Refere que foi atendida na policlinica Bandeira filho , medicada e teve melhora da queixa "/>
        <s v="07/07 (Thiago) Às 15:35, usuária não atendeu.16:33 (taty) tentativa sem sucesso"/>
        <s v="Apoio Emocional"/>
        <s v="TATY(14:12) Paciente refere melhora dos sintomas;  prurido, hiperemia vulvar, edema, corrimento ; Iniciou creme vaginal dia 07/07/2023 após ser liberado pela APS e higiene pessoal como orientado em consulta anterior "/>
        <s v="07/07 (Thiago) Às 15:20, usuária não atendeu 16:33 (taty) telefone desligado"/>
        <s v="(taty) Paciente refere que buscou atendimento em uma upa, onde foi medicada e iniciou o atb, refere ainda melhora dos sintomas da otalgia"/>
        <s v="(Taty-15:20) paciente refere que procurou atendimento presenciau na maternidade barro lima, medicada e liberada, hoje refere melhora dos sintomas."/>
        <s v="Taty(12;31) Paciente refere melhora, realizou coleta de URO hoje, oriento como melhora dos sintomas, mostra no PN "/>
        <s v="14/17 Fabiane (15:28), usuária não atendeu à ligação."/>
        <s v="taty (16:05) paciente não atendeuIanne (14:12) paciente não atende "/>
        <s v="(Thiago) Às 13:30h, 17:24h, usuária não atende à ligação."/>
        <s v="16/07 Ana Cintra (15:20), paciente não atende à ligação."/>
        <s v=" 16/07 Ana Cintra (18:30), paciente não atende à ligação."/>
        <s v="taty (16:07 telefone desligado (Fabi - 14:40) desligado"/>
        <s v="Taty ( 16:56 ) telefone oculpado "/>
        <s v="(Thiago) Às 12:00h, usuária refere melhora do sangramento (01 episódio ontem), nega qualquer tipo de perda vaginal no momento; nega também outras queixas como dor em baixo ventre tipo cólica, contrações ou queixas urinárias. Finalizo monitoramento pelo AG"/>
        <s v="Às 15:00h, telefone indisponível."/>
        <s v="29/07 (Joanna): Refere que não apresentou novo episódio de sangramento. Segue sem queixas no momento. "/>
        <s v="Realizado."/>
        <s v="29/07: Refere que apresenta contrações dolorosas esporádicas ao longo dia, hoje apenas 1 episódio. Mobilograma realizado dia 26/07 = 10 MF. Fez teleinterconsulta com médica do plano de saúde, foi descartado TP e outras intercorrências. Nega sangramento, p"/>
        <s v="(Thiago) Às 16:15h, usuária não atende à chamada."/>
        <s v="05/08 (Joanna): Foi atendida dia 01/08 na USF Tia Regina, encontra-se no D8 (D0: 29/07), mantém coriza, nega sinais de alerta e queixas obstétricas."/>
        <s v="ianne (15h17) Paciente não atendeu, mas pelo PEC foi atendida na UBS e inicado metronidazol"/>
        <s v="Taty (16:42 ) Telefone nao completa a ligação "/>
        <s v="Gestante refere que que melhorou dos sintomas, porém, ainda não conseguiu inciar o PN. Na unidade de saúde, orientada que retornasse na semana seguinte."/>
        <s v="05/08: Refere que não conseguiu realizar a remarcação da consulta de PN no CS Prof Fernandes Figueira. Mantém cefaleia leve, sem sinais de alerta. Parou uso do Metildopa por conta própria, pois relata que após uso sente muito mal-estar, inclusive desmaiou"/>
        <s v="(Thiago) Às 18:00h, usuária não atende à chamada."/>
        <s v="// 04/08 (Lari) Telefone desligado"/>
        <s v="taty (14:00) paciente procurou atendimento, e realizou  USG trasvaginal, como apresentou queixa de disuria + corrimento vaginal, com antecedentes de ITU recorrentes em gestação anterior, encaminho novamente a urgencia, para realizçao do su "/>
        <s v="Joanna (09/08): Foi atendida na USF Coqueiral dia 07/08, orientada quanto as alterações fisiológicas da gravidez. Consulta de PN agendada para dia 10/08. Mantém dor lombar. Nega leucorreia, sintomas urinários e sinais de alerta. Oriento paciente sobre sin"/>
        <s v="(Thiago) Às 15:59h, usuária com telefone desligado."/>
        <s v="(Thiago) Às 16:09h, usuária não atende à chamada."/>
        <s v="(Thiago) Às 11:24h, usuária informa que compareceu hoje pela manhâ a 1ª consulta de PNRH em Us 373 Usf Cidade Operaria."/>
        <s v="Paciente atendeu e estava no CISAM, em processo de internamento, em virtude de PA alterada."/>
        <s v="(Camilla)"/>
        <s v="Foi à consulta de PNAR no IMIP hoje. Prescrito AAS 100 mg 1x/dia, Metildopa 250 mg 8/8h. Retorno programada para dia 23/08. Sem queixas no momento. Cd: Oriento manutenção do PNAR no IMIP e inicio do PN na APS; Informo que a consulta de PN na APS está agen"/>
        <s v="(Thiago) Às 18:02h, telefone da usuária não recebe a chamada."/>
        <s v="Agendada visita a maternidade Barros Lima para o dia 31/08. Oriento sinais de alerta e trabalho de parto ativo."/>
        <s v="(Thiago) Às 13:56h, 17:40h, usuária não atende à chamada. Taty(14/08 as 08:47) paciente nao atende a chamada "/>
        <s v="(ianne) 15h40 gestante não atende ligaçao"/>
        <s v="(Thiago) Às 14:04h, 17:42h, usuária não atende à chamada. Taty (14/08 as 08:56) paciente não atendeu "/>
        <s v="taty (18:11)Paciente se encontra na baarro Lima, PC as 11:41, rn apresentou desconforto respiratorio, esta em obs e puerpera em enfermaria  ; ianne (14h42) não atende"/>
        <s v="Taty( 16:14) Telefone não nao existe (18/08 Thiago) Telefone ocupado"/>
        <s v="Taty (17:11) paciente buscou atendimento presencial, continua com sintomatoligia, oriento realizar exame para COVID "/>
        <s v="18/08(Thiago) Às 11:40h, gestante apresenta melhora dos níveis glicêmicos. Trasnfiro cuidado para APS, ofereço TINC."/>
        <s v="(Thiago) Às 13:55h, telefone da usuária desligado/ocupado."/>
        <s v="(Thiago) Às 13:45h, paciente não atende à chamada telefônica."/>
        <s v="(Thiago) Às 11:48h, gestante comfirma boa movimentação fetal de ontem para hoje. Cofirmar acesso à APS em 22/08/23."/>
        <s v="ianne (14h) paciente não atende  taty ( 15:33)  Paciente nao atendeu "/>
        <s v="(Camilla) Tento contato às 14:22 sem sucesso (telefone fora de área ou desligado), (Thiago) Às 17:38h, usuária não atente à chamada."/>
        <s v="15:50 ( taty) tentativa sem sucesso, numero indisponivel. (Thiago) Às 17:40h, número indisponível."/>
        <s v="Realizado o telemonitoramento. Gestante sem queixas hoje. Foi a maternidade hoje, onde foi orientada manter medicação de asma. Oriento que siga o PN e que apenas em caso de asma de difícil controle é que deveria ser encaminhada ao PNAR."/>
        <s v="ianne (13h50) dando erro pelo microsip (numero bloqueado?) taty (16:50) paciente nao atendeu "/>
        <s v="Taty (15:28) gestante no curso da 8 semanas, nao procurou atendimento  , IMC 42, sintomas, congestao nasal supervisora "/>
        <s v="ianne (16h50) monitorar quinta"/>
        <s v="Ianne (13h45) paciente submetida a cesariana, internada na maternidade"/>
        <s v="Taty (15:28) Paciente nao atendeu "/>
        <s v="ianne (15h35) paciente não atende"/>
        <s v="(Thiago) Às 17:40h, Telefone não recebe chamada pelo fixo."/>
        <s v="(Thiago) Às 17:30h, usuária nã atende à ligação."/>
        <s v="(Thiago) ÀS 17:30h, telefone da usuária desligado."/>
        <s v="Taty ( 14:21) paciente procurou atendimento, foi avaliada e retonara dia 28/08/23 para realizar USG, no momento refere colicas, contração indolores "/>
        <s v="15h13 (ianne) Paciente não atende telefone. IG 40sem 6 + HASG. internada?"/>
        <s v="15:20 ( telefone desligado"/>
        <s v="(Thiago) Às 13:17h, usuária não atende à chamada."/>
        <s v="14H ( Taty)  paciente nao atendeu "/>
        <s v="(Thiago) Às 18:10h, usuária não recebeu visita da equipe ainda, FO ainda secretiva. Monitorar e avliar estado de FO amanhã."/>
        <s v="13:10 (taty) nao atendeu "/>
        <s v="(Thiago) Às 15:55h, usuária não atende à chamada."/>
        <s v="16h00 paciente não atende"/>
        <s v="16h05 paciente não atende. 09/09 (Joanna): Não fez uso do plasil. Mantém queixa de náusea, cefaleia discreta, fraqueza, alteração no padrão do sono, desconforto na garganta de inicio hoje. Cd: Oriento acerca dos sinais de alerta, uso de analgesico e antie"/>
        <s v="17h monitoramento realizado por telefone, devido dificuldade tecnica da paciente. Não conseguiu ser encaminhada para o hopchat. "/>
        <s v="(Thiago) Às 16:00h, usuária refere melhora e ausência de vômitos e diarreia."/>
        <s v="(Thiago) Às 16:20h, usuária não atende à chamada."/>
        <s v="(Thiago) Às 16:25h, o telefone da usuária não está recebendo chamada."/>
        <s v="(Thiago) Às 16:00h, telefone da usuária não recebe a chamada. 09/09 (Joanna): foi à USF dia 04/09, constatou-se FO sem alterações. Cd: Oriento paciente sobre sinais de alerta e cuidados gerais."/>
        <s v="(Thiago - monitoramento 06/09) Às 08:52h, gestante foi avaliada na Arnaldo Marques e orientada a retornar em 07/09 para internamento, caso não entre em trabalho de parto esponteneamente."/>
        <s v="(Thiago) Às 17:27h, o número da usuária encontra-se indisponível."/>
        <s v="(Thiago) Às 17:32h, a usuária não atende à chamada."/>
        <s v="(Thiago) Às 16:22h, o número da usuária não está recebendo ligação."/>
        <s v="Taty (18:30) nao consegui contato, porem nao sei se devido instabilidade do  microcip "/>
        <s v="(Thiago) Às 17:50h, o número da usuária não está recebendo ligação."/>
        <s v="ianne (16h) mudança de padrao do corrimento - ir na aps/maternidade amanha"/>
        <s v="ianne (9h) paciente na maternidade, puerpera"/>
        <s v="Gestante participou de TINC sobre sua quadro de saúde, no momento sem queixas e assintomática."/>
        <s v="(Thiago) Às 16:49h, usuária não atende à chamada."/>
        <s v="taty ( 13:50) realizado monitoramento, paciente refere corrimento e prurido descreto, nao procurou a APS, relata que ontem e hoje a tarde nao teve atendimento, mas esta marcado para amanha, "/>
        <s v="taty ( 18/09) Monitoramento realizado durante TINC com a profissional, Paciente com queixas de dor em BV e diminuição MF, paciente encaminhada para avaliação presencial, monitorar acesso a tarde "/>
        <s v="taty(15:49) telefone oculpado "/>
        <s v="19/09 (10h30) Larissa - Paciente internada na Bandeira"/>
        <s v="Taty (09:58) Paciente no momento da teleconsulta se encontrava na maternidade bandeira filho, onde foi avaliada e realizado uma USG com doppler  ( resultado relatado, diminuição do liquido amniótico, não foi possível medir o maior bolsão,   e  diminuição "/>
        <s v="ianne (16h20) Confirmado acesso/ orientação"/>
        <s v="22/09 (taty) paciente procurou atendimento e foi orientado repouso e buscopam"/>
        <s v="(Thiago) Às 15:45h, usuária não atende à ligação. taty (17:44) paciente nao atende"/>
        <s v="27/09 (Joanna): Foi ao CISAM (24/09), constatou-se PA = 140/90, prescrito Dipirona, orientada a buscar atendimento no posto de saúde. Refere mantém dor de cabeça, porém menos intensa. Não buscou atendimento na APS porque foi orientada a permanecer apenas "/>
        <s v="(Thiago) Às 17:24h, paciente não atende à chamada."/>
        <s v="17h Não completa a ligação."/>
        <s v="15h20 paciente não atendeu. ligamos 2x. "/>
        <s v="(ianne -02/10 as 13h35) paciente não atendeu"/>
        <s v="Não atende (18h)"/>
        <s v="Taty (13:38)Paciente na maternidade, pariu ontem as 21:35, puerpera e RN encontram-se no aalojamento "/>
        <s v="(Thiago) Às 15:56h, usuária não atende à chamada."/>
        <s v="Não conseguiu atendimento no CS Olinto de Oliveira. Segue com sintomas gripais. Demais informações sobre o caso no PEC."/>
        <s v="taty (10/10) paciente refere melhora nos sintomas, porem ainda com coriza, tosse esporadica, oriento realizar o teste para covid, pois durante o fds perdeu olfato e paladar"/>
        <s v="taty (18:23) nao completa ligação ( dada falta)"/>
        <s v="Joanna (14/10): Gestante refere que está bem. Nega queixas obstétricas e sinais de alerta. "/>
        <s v="(Thiago) Às 14:00h, 16:00h, usuária não atende à chamada."/>
        <s v="Foi à Arnaldo Marques (16/10); TPP descartado, fez uso de SF devido desidratação e Buscopan, orientada a manter uso do Pantoprazol 1x/dia. Refere melhora do quadro clínico, nega queixas obstétricas e sinais de alerta."/>
        <s v="(Thiago) Às 11:32h, gestante se encontrava em atendimento no Hospital Agamenon Magalhães."/>
        <s v="(Thiago) Às 14:40h, usuária não atende à chamada."/>
        <s v="(Thiago) Às 14:45h, usuária não atende à chamada."/>
        <s v="(Thiago) Às 17:53h, usuária não atende à chamada."/>
        <s v="Joanna (15h): não atendeu"/>
        <s v="taty ( 08:36 ) paciente atendida na urgencia do HBL, hoje com queixas leves, repetirar USG com uma semana, possibilidade de aborto retido."/>
        <s v="Foi ontem à Policlínica e Maternidade Barros Lima, realizou USG que evidenciou descolamento/hematoma; orientada a permanecer em repouso absoluto e retornar para reavaliação em 10 dias. Prescrito Utrogestan 2x/dia."/>
        <s v="(Thiago) Às 15:50h, usuária não atendeu à chamada. Taty (18:50) nao atenddeu a chamada, dado falta "/>
        <s v="(Thiago) Às 15:10h, usuária não atende à chamada."/>
        <s v="(Thiago) Às 15:14h, usuária não atende à chamada."/>
        <s v="Taty ( 30/10 as 15:44) usuaria nao atendeu "/>
        <s v="Joanna (14h; 16h20): não atendeu"/>
        <s v="taty (16:20) monitoramentp realizado, paciente refere secreção e obstrução nasal, nega outras queixas "/>
        <s v="Taty ( 16:30) paciente nao atendeu"/>
        <s v="(Thiago) Às 18:20h, usuária não atende à chamada."/>
        <s v="Taty (30/10 as08:40) paciente nao atendeu "/>
        <s v="Taty (30/10 as08:43) paciente nao atendeu "/>
        <s v="Taty (30/10 as08:49) paciente nao atendeu "/>
        <s v="01/11: foi avaliada no CS Gaspar Regueira Costa dia 31/10 (1ª consulta de PN). Refere que não apresentava alteração dos sinais vitais, orientada acerca dos sinais de alerta e uso de sintomático. Nega sinais de alerta no momento e queixas obstétricas. Mant"/>
        <s v="Joanna (17h): não atendeu."/>
        <s v="31/10 - Joanna (8h30):  Não foi ao atendimento presencial. Refere melhora da cólica e mantém queixa de disúria. Encaminho para avaliação na APS."/>
        <s v="Joanna (10h20; 14h10; 17h): não atendeu"/>
        <s v="Usuária refere melhora dos sintomas, nega queixas obstétricas."/>
        <s v="Joanna (10h20; 16h11; 17h05): não atendeu"/>
        <s v="Joanna (14h30; 16h15; 16h43; 17h6): não atendeu"/>
        <s v="Joanna (17h): Alguém que não se identificou atendeu (parecia uma criança) e informou que ela estava no médico. Logo em seguida desligou e não atendeu mais."/>
        <s v="``As 18h15 Não atende."/>
        <s v="Às 14:40, telefone desligado ou fora de área."/>
        <s v="Às 17h50 não atende."/>
        <s v="Fabiane (10:00) Gestante refere que não conseguiu ir para a avaliação presencial ontem. Matenho orientação de ir para o presencial."/>
        <s v="10/11/23, definido junto à coordenação não realizar monitoramento dos casos fora do ciclo grávido puerperal."/>
        <s v="TATY (16H) Paciente nao atendeu ( Dada falta em 11/11/023, apos 1 tentativa) "/>
        <s v="taty (18:32) Paciente nao atendeu (Falta dada)"/>
        <s v="Atendimento medico realizado ( ianne)"/>
        <s v="15/11 (Joanna): realizou TR gravidez (14/11) com resultado positivo; foi à USF em busca de atendimento (14/11), porém, refere que não foi bem acolhida, o atendimento foi realizado fora da sala de atendimento, informada que poderia realizar uma USG no part"/>
        <s v="(Thiago) Às 15:00h, usuária não atende à chamada."/>
        <s v="(Thiago) Às 17:00h, usuária não atende à chamada."/>
        <s v="(Thiago) Às 17:20h, usuária não atende à chamada."/>
        <s v="Usuária encontrou para teleconsulta na demana noturna"/>
        <s v="22/11 (taty) monitoramento realizado, paciente nao procurou atendimento na emergencia, permanece com sintomatologia "/>
        <s v=":taty (17:50) paciente nao atendeu"/>
        <s v="taty (17:54) paciente nao atendeu"/>
        <s v="(Thiago) Às 17:25h, usuária não atende à chamada."/>
        <s v="(Thiago) Às 14:50h, 17:30h, usuária não atende à chamada."/>
        <s v="Joanna (17h22): não atendeu"/>
        <s v="Joanna (17h25): parto cesáreo no HBL. Ambos seguem com BEG."/>
        <s v="Joanna (14h13; 16h3517h13): não atendeu"/>
        <s v="(Thiago) Às 13:30h, 15:00h, 16:30h, telefone indisponível."/>
        <s v="Joanna (17h; 18h10): não disponível"/>
        <s v="Joanna (18h12): indisponível"/>
        <s v="Foi à Upinha Eduardo Campos (local de funcionamento provisório da USF Ponto de Parada), recebeu 1ª dose de Penicilina benzatina (07/12) e foi orientada a retornar próxima terça-feira para agendar consulta de pré-natal. "/>
        <s v="Entrou por demanda espontânea. Dinâmica uterina: 4/40&quot;34&quot;60&quot;59&quot;/10'; MF reduzida. Foto do absorvente com líquido de aspecto acastanhado."/>
        <s v="Foi ao Hospital Guararapes em Prazeres, constatou-se presença de sangue nas fezes, prescrito Azitromicina 500 mg 1x/dia por 5 dias, Floratil 2x/dia por 3 dias. Refere que apresenta melhora do quadro clínico, nega presença de evacuações aquosas desde ontem"/>
        <s v="Gestante atende a ligação, mas diz que está sem internet, por isso faço o monitoramento por ligação telefônica. Confirma que foi atendida na APS ontem, conforme orientação de Thiago. Iniciou o tto para o corrimento ontem. Ainda está com os mesmo sintomas,"/>
        <s v="Telemonitamento realizado, consulta presencial amanha pela manha"/>
        <s v="16/12 - refere melhora considerável dos sintomas, mantém um pouco de coriza e apresentou episódio de tontura após jejum prolongado. Informo realização de novo monitoramento em 17/12 (7º dia de inicio dos sintomas)."/>
        <s v="Refere que foi atendida hoje na USF Chão de Estrelas, prescrito Amoxicilina e Dipirona. Sem novas queixas no momento."/>
        <s v="Encontra-se internada no Hospital da Mulher do Recife. Informação fornecida pelo esposo Edimilson."/>
        <s v="16/12 - Refere que foi à USF Sítio Cardoso, porém, não tinha nenhum profissional disponível para atendimento (estavam em um curso). Foi atendida no dia seguinte (15/12) na Policlínica Lessa de Andrade. No momento não apresenta queixas."/>
        <s v="16/12 - Foi atendida no IMIP (14/12), fez uso de Tramal e Dipirona. Refere que está sem queixas no momento. "/>
        <s v="Foi atendida na USF Rosa Selvagem, fornecido atestado médico de 5 dias. Mantém coriza, nega outras queixas e sinais de alerta. Encontra-se no 5º dia do início dos sintomas (D0 - 11/12)._x000a_"/>
        <s v="(Thiago) Às 16:00h,18:00h, usuária não atende à chamada."/>
        <s v="Às 16h25, telefone dá sinal de ocupado."/>
        <s v="(Camilla) 15h11 Gestante foi atendida na Bandeira Filho e testada para COVID, com resultado negativo. Hemograma também coletado sem alterações. Agendo monitoramento em 48h para avaliar evolução do quadro."/>
        <s v="(Thiago) Às 15:00h, 16:00h, gestante não atende à ligação."/>
        <s v="Refere parto vaginal sem intercorrência na Maternidade Arnaldo Marques, sem queixas no momento. RN em bom estado geral e em AME."/>
        <s v="Refere parto vaginal, sem intercorrências, RN do sexo masculino, nega queixas no momento. "/>
        <s v="(Thiago) Às 13:44h, 16:10usuária não atende à ligação."/>
        <s v="Gestante mantém quadro de pródromos, oriento quanto TP e sinais de alerta."/>
        <s v="(Thiago) Às 13:50h,16:00h usuária não atende à ligação."/>
        <s v="(Thiago) Gestante refere melhora dos sintomas, realizou avaliação em sua USF."/>
        <s v="(Thiago) Às 14:53h, 16:50h, gestante não atende à ligação."/>
        <s v="(Thiago) Às 17:00h, suária não atende à chamada."/>
        <s v="(Thiago) Às 17:08h, suária não atende à chamada."/>
        <s v="Joanna (17h41): não atendeu (Falta registrada no PEC)"/>
        <s v="(Thiago) Às 15:00h, 17:10h, não consigo contato com a usuária."/>
        <s v="(ianne) 13h paciente não atende"/>
        <s v="(Thiago) Às 14:40h, 16:00h, usuária não atende à chamada."/>
        <s v="Permanece com tosse, nega sinais de alerta e queixas obstétricas"/>
        <s v="02/01 - foi ao HMR. Mantém sangramento discreto, realizará USG hoje."/>
        <s v="Joanna (14h42; 17h4): não atendeu"/>
        <s v="Joanna: Assintomática, D4 hoje. "/>
        <s v="Paciente procurou atendimento, descartado TVP. Nervo ciático? Apresenta melhora da dor. "/>
        <s v="Refere que USG realizada em 02/12 evidenciou gravidez ectópica. Encontra-se no Hospital da Mulher do Recife."/>
        <s v="Taty(16:22) nao atendeu a ligação"/>
        <s v="Parto vaginal dia 03/01 na Maternidade Barros Lima. "/>
        <s v="Foi ao Hospital Barão de Lucena, nenhuma anormalidade foi identificada. Hoje fez consulta de PN na APS. Nega queixas obstétricas e sinais de alerta."/>
        <s v="Joanna (17h10): não atendeu (registro falta no PEC)"/>
        <s v="Joanna (17h12): não atendeu (registro falta no PEC)."/>
        <s v="(Thiago) Às 14:00h, 16:00h, o telefone da usuária não está recebendo ligação."/>
        <s v="Refere melhora do corrimento vaginal, não foi à USF, aguardará consulta de PNAR (11/01)."/>
        <s v="Joanna (17h30): telefone indisponível (falta registrada no PEC)"/>
        <s v="Taty (12:40) paciente refere melhora da sintomatologia,"/>
        <s v="Joanna (15h): não atendeu (Falta registrada no PEC dia 13/01)"/>
        <s v="(Thiago) Às 16:00h, 17:00h, usuária não atende à chamada."/>
        <s v="12/01 :taty (13:17) paciente nao atendeu (Falta registrada no PEC dia 13/01)"/>
        <s v="taty (16:09) paciente nao atende "/>
        <s v="Joanna (14h; 15h16): não atendeu (Falta registrada no PEC)"/>
        <s v="(Thiago) Às 17:30h, o telefone da usuária não está recebendo ligação."/>
        <s v="Joanna: Refere que foi ao HMR, foi diagnosticada com ITU, prescrito Cefalexina 500mg de 6/6h por 7 dias (iniciou tratamento)+ Buscopan. Relata que na triagem foi informada de PA 140 x 80 (não tem registro para comprovar). Nega que tenha sido realizada alg"/>
        <s v="taty (16:04) usuaria não atendeu (Thiago) Às 17:44h, usuária não atendeu."/>
        <s v="taty (16:07)paciente refere melhora dos sintomas, porem nao procurou a aps para aferir a pressão "/>
        <s v="Taty (15:39) usuaria nao atende (Falta registrada no PEC)"/>
        <s v="Encontra-se internada no Hospital das Clínicas para indução do parto."/>
        <s v=" "/>
        <s v="Joanna (14h46; 17h): não atendeu (falta registrada no PEC)"/>
        <s v="Joanna (17h): não atendeu (falta registrada no PEC)"/>
        <s v="(Thiago) Às 13:34h, usuária não atende à ligação."/>
        <s v="17h Camilla Gestante não atendeu. "/>
        <s v="Camilla (17h) Não atendeu"/>
        <s v="Taty( 13:44) paciente procurou atendimento como orientado, inicio de atb e melhora da febre e cefaleia, permanece com obstrução e seceção. "/>
        <s v="(Thiago) Às 17:00h, telefone encontra-se indisponível."/>
        <s v="Camilla (18:00) Gestante não atendeu."/>
        <s v="(Thiago) Às 16:42h, gestante foi atendida na Bandeira Filho, avaliada e liberada para casa em seguida."/>
        <s v="(Camilla) Gestante foi ao Hospital das Clínicas, foi avaliada e liberada (trabalho de parto inicial)."/>
        <s v=" Foi atendida na Policlínica e Maternidade Barros Lima, apresentou PA normal (não lembra o valor), orientada quanto ao uso do Paracetamol, não realizou exames. Sente-se cansada e sonolenta, refere melhora da cefaleia, nega sinais de alerta. Hoje PA = 143 "/>
        <s v="(Thiago) Às 17:38h, não consigo contato com a usuária."/>
        <s v="(Thiago) Às 18:00h, usuária realizou atendimento no HMR, sendo liberada em seguida. No momento, assintomática."/>
        <s v="(Thiago) Às 15:52h, o telefone da usuária não está disponível para receber chamadas."/>
        <s v="(Thiago) Às 15:55h, o telefone da usuária não está disponível para receber chamadas."/>
        <s v="(Thiago) Às 17:30h, usuária realizou atendimento na Bandeira Filho, foi liberada em seguida, sagramento ainda persiste."/>
        <s v="(Thiago) Às 15:15h, usuária não atende à chamada."/>
        <s v="Gestante atende e informa que foi avaliada ontem na Maternidade, onde foi vista dilatação de 4-5cm e liberada. Hoje as contrações estão menos frequentes. Nega outras queixas e aguarda o desencadeamento do TP ativo em casa. Encerro o caso."/>
        <s v="taty (13:30) paciente apresentando sangramento e presença de coagulos ,provavel aborto "/>
        <s v="Gestante refere que durante o mobilograma, identificou 5 movimentos fetais. Encaminho para avaliação presencial na maternidade e agendo monitoramento para amanhã."/>
        <s v="Taty ( 16:29) paciente atendida no HMR, dor pelvica, medicada e orientada repouso."/>
        <s v="ianne (14h10) paciente não atende.  Mas PEC ela foi acolhida e avaliada hoje pelo APS."/>
        <s v="Gestante refere alívio da cefaleia. Alta do episódio. "/>
        <s v="Joanna (14h) paciente não atendeu Taty ( 15:35) iniciou tratamento para ITU, refere cefaleia leve "/>
        <s v="Aborto confirmado na Maternidade Bandeira Filho (20/02)."/>
        <s v="(Thiago) Às 17:30h, não consigo contato com a usuária."/>
        <s v="Taty (12:40)Paciente refere melhora dos sintomas, hoje apresentou 2, nega nausea e vômitos, tontura, cefaleia, febre, sangue nas fezes e outros sintomas/sinais de alerta. nega perdas vaginas e queixas urinarias; Refere boa movimentação fetal e boa aceitaç"/>
        <s v="(Thiago) Gestante realizou atendimento presencial como orientado pelo AG, testou negativo para covid19. Refere lehoras dos sintomas."/>
        <s v="Camilla (27/02 - 08h37) Telefone ocupado (taty-16:48) sem sucesso-chama e cai nao recebe ligação? "/>
        <s v="taty (15:32) paciente não atendeu, (Thiago) Às 16:36h, paciente não atendeu."/>
        <s v="ianne (15h40) paciente não atende"/>
        <s v="(Thiago) Gestante refere melhora das dores."/>
        <s v="Joanna: Refere melhora da cefaleia. PA 110 x 80."/>
        <s v="Apresentou febre ontem, foi à Policlínica e Maternidade Arnaldo Marques, prescrito Dipirona e Histamin. Refere melhora da tosse e febre. Mantém coriza e congestão nasal. Nega sinais de alerta e outras queixas obstétricas. Cd: Oriento paciente sobre sinais"/>
        <s v="Encontra-se no 3º dia de inícios dos sintomas, mantém tosse, nega sinais de alerta e queixas obstétricas. Cd: Oriento sinais de alerta; realizar TR Covid."/>
        <s v="taty (16:40) paciente nao atendeu "/>
        <s v="Taty (16:38) paciente nao atendeu "/>
        <s v="Joanna (16h): não atendeu"/>
        <s v="Monitoramento realizado. Refere melhora dos sintomas da mastite. Novo monitoramento amanhã E AGENDADA TINC com médico da equipe para passar o caso. Consulta puerperal domiciliar à ser realizada pela equipe da APS em breve."/>
        <s v="Refere mamas flácidas, macias e sem eritema. Sem novas queixas."/>
        <s v="Foi à consulta de PN no CS Prof Joaquim Cavalcante; prescrito Metronidazol. Já iniciou tratamento. Nega novas queixas."/>
        <s v="(Thiago) Às 17:00h, usuária não atendeu à chamada."/>
        <s v="(Thiago) Gestante refere melhora dos sintomas."/>
        <s v="(Thiago) Às 17:30h, paciente informa que não melhorou da odontalgia, procurará a urgência amanhã pela manhã."/>
        <s v="(Thiago) Às 18:00h, usuária não atendeu à chamada."/>
        <s v="Foi atendida na USF Três Carneiros de Baixo Zumbi do Pacheco (12/03), prescrito Nitrato de Miconazol (iniciará uso hoje). Nega novas queixas e sinais de alerta."/>
        <s v="14:25 (Camilla) Gestante não atendeu"/>
        <s v="Encontra-se no 2º dia de uso da Loratadina, refere melhora do prurido e nega aparecimento de novas lesões. Observa que as lesões estão mais claras. Nega novas queixas e sinais de alerta."/>
        <s v="15:43 (taty) Paciente nao atendeu"/>
        <s v="16:45 (taty) Foi à Maternidade Barros Lima, realizou USG obstétrica (bolsa integra) e reavaliação. relata que melhorou dos sintomas gripais, porem esta de repouso, pois colo fino (SIC). nega queixas obstetricas e urinarias "/>
        <s v="15:45 (taty) Paciente internada na Maternidade Bandeira Filho, devido a mastite, refere esta em uso de dois antibioticos venosos, aguardando USG para definição de conduta, RN com a paciente"/>
        <s v="14:56 ( taty) Paciente nao procurou atendimento, refere melhora na Odontalgia, relatando  contrações irregulares (4 contrações hoje) boa vitalidade do feto, sem queixas obstetricas e urinarias "/>
        <s v="Nayale (17h00): Não atendeu à chamada (tentado 2x)"/>
        <s v="Nayale (17h06): Não atendeu à chamada (tentado 2x)"/>
        <s v="Nayale (14:32 e 17:08):Puérpera não atendeu à chamada (tentado 3x)"/>
        <s v="Foi à USF ontem, porém, não aguardou atendimento devido superlotação. Retornará amanhã (22/03) para nova tentativa. Refere melhora do corrimento vaginal, mas mantém prurido. Nega aparecimento de sintomas e sinais de alerta."/>
        <s v="17:25 (Nayale) Retorno ligação, mas gestante não atende às chamadas (tentado 3x)."/>
        <s v="Joanna (16h; 17h15): não atendeu"/>
        <s v="Rhayza (16:28) : nao atendeu. Joanna (17h16): não atendeu"/>
        <s v="(Lili) 14:28 Gestante não atendeu. "/>
        <s v="16h Paciente sem queixas. Avaliada hoje na unidade. Monitoramento em 2h"/>
        <s v="Joanna (23/03 - 11h; 16h30): não atendeu (falta registrada no PEC)"/>
        <s v="Nao atendeu/Ocupado (15:30) Rhayza"/>
        <s v="Não atendeu (15:32)"/>
        <s v="Em 24/03 foi à UPA de Torrões devido falta de ar. Foi avaliada e orientada quanto os sinais de alerta, recomendado uso de sintomáticos. Refere que se sente melhor. Mantém tosse produtiva, congestão nasal. Nega dispneia, febre e outros sinais de alerta. Se"/>
        <s v="Lili (15:13): Paciente refere "/>
        <s v="Puérpera tirou os pontos em casa, com a irmã que é técnica de enfermagem. FO com bordas coaptadas, porém, drenando secreção seropurulenta em pouca quantidade. Nega dor local, nega febre. Encaminho à urgência."/>
        <s v="Rhayza (14:07) não atendeu"/>
        <s v="Rhayza (14:03) não atendeu "/>
        <s v="8h40 (Lari) FO com bom aspecto. Oriento seguimento puerperal. Ag avaliação da FO pelo posto. No momento, sem sinais de infecção."/>
        <s v="A gestante entrou em contato via demanda espontânea após ser realizado o registro de falta. informa que não foi ao serviço de saúde e que irá amanhã na Maternidade Prof. Bandeira Filho. Refere aumento da quantidade corrimento vaginal de aspecto leitoso e "/>
        <s v="Às 15h, telefone não completa a ligação"/>
        <s v="15:19 ( taty) FO sem sinais Flogidtico, dada orientaçoes quanto a assepsia de FO"/>
        <s v="Rhayza (17:20) nao atendeu"/>
        <s v="15h10 (Camilla) telefone não completa a ligação (tento do fixo e do microsip)"/>
        <s v="12:30( taty)  hoje no d8, nega febre, cefaleia , fadiga,  relata melhora da tosse e secreção ,nega queixas urinarias e obstétricas  e refere que esta há 2 dia sem usar a dipirona e seu esposo realizou teste para o covid com resultado negativo"/>
        <s v="(Thiago) Às 14:40h, paciente não atendeu."/>
        <s v="(Thiago) Às 14:50h, telefone desligado/indisponível."/>
        <s v="Realizar novo monitoramento em 12/04"/>
        <s v="Rhayza (16:15) não atendeu"/>
        <s v="Rhayza (16:24) ocupado "/>
        <s v="(Thiago) Às 17:30h, paciente não atende."/>
        <s v="(Thiago) Às 17:40h, paciente não atende."/>
        <s v="17h (Camilla) Ligação não completa. "/>
        <s v="Refere melhora dos sinatomas. Sem novas queixas e sinais de alerta."/>
        <s v="Rhayza (16:25) nao atendeu "/>
        <s v="(Thiago - 14:00h, 16:50h) Usuária não atende à chamada."/>
        <s v="Joanna (14h09; 16h53): não atendeu"/>
        <s v="Mantém coriza, tosse, congestão nasal, dor de garganta. Descartado perda de LA (atendida na Maternidade). Esqueceu de pedir atestado médico. Nega sinais de alerta. Encaminho para teleconsulta com Damartine. "/>
        <s v="Realizar novo monitoramento em 24 h"/>
        <s v="Rhayza (16:18) ocupado "/>
        <s v="18:07 Encontra-se internada no HBL. Encerro monitoramento. "/>
        <s v="Registro feito no dia 18/04"/>
        <s v="Hoje, D8 de início dos sintomas gripais, refere que mantém tosse esporádica. Nega queixas obstétricas e sinais de alerta. Finalizo telemonitoramento"/>
        <s v="15:35 (taty) paciente nao atendeu e nao interagiu pelo hopchat; Joanna (16h50): não atendeu"/>
        <s v="Não foi à avaliação presencial devido melhora da dor em baixo. Refere discreta dor ao urinar, dor em loja renal há 1 dia, cefaleia e dois episódios de vômito. Cd: Encaminho à maternidade."/>
        <s v="Taty (15:32; 17h08) paciente não atendeu ---&gt; falta registrada no PEC"/>
        <s v="Taty (15:34) paciente não atendeu; Joanna (17h10): não atendeu ---&gt; Falta registrada no PEC"/>
        <s v="(Thiago - 14:10h, 16:55h) Usuária não atende à chamada."/>
        <s v="Rhayza (17:06) Internada no HMR devido PA."/>
        <s v="Não atendeu."/>
        <s v="10h30 Paciente refere dor lombar importante associada a febre não aferida. Opto por encaminhar a avaliação presencial"/>
        <s v=" 16:50 ( taty) Paciente no momento do monitoramento se encontrava em atendimento no CISAN . Companheiro refere perda de tampao mucoso e contraçoes ritimadas e dolorosa "/>
        <s v="15:42 (Taty) Paciente não atendeu "/>
        <s v="Não atendeu"/>
        <s v="Lari (14h) não completa chamada"/>
        <s v="Taty ( 14:21) Paciente Procurou a APS, hoje apresentou 1 epsodio de diarreia, refere melhora da nausea e colicas, nega febre  e queixas obstetricas   "/>
        <s v="16:14 (taty) refere que procurou atendimento presencial e melhoras do sintomas "/>
        <s v="13:48 Não atendeu (Camilla)"/>
        <s v="(Thiago) Às 15:20h, paciente não atendeu à chamada."/>
        <s v="(Thiago) Às 15:23h, paciente não atendeu à chamada."/>
        <s v="Rhayza (16:11) nao atendeu"/>
        <s v="Rhayza (16:15) nao atendeu"/>
        <s v="Rhayza (17:25) nao atendeu"/>
        <s v="Encontra-se aguardando resultado de exames laboratoriais na Maternidade Arnaldo Marques. Refere melhora dos sintomas após administração de medicações (não sabe quais medicações foram administradas) e desaparecimento das manchas no abdome."/>
        <s v="17:00h (Thiago) Não atende à chamada"/>
        <s v="14:27 (Taty) Refere que foi descartado dengue, na Maternidade Arnaldo Marques, onde  ealizou hemograma e SU. hoje nega febre, manchas pelo corpo, nausea e vômitos,  nega  queixas obstetricas e urinaria "/>
        <s v="16:50 ( Taty)  Paciente não atendeu "/>
        <s v="Rhayza (15:57) nao atendeu"/>
        <s v="16:08 ( taty)  paciente procurou atendimento presencial , onde foi avaliada e liberada, nega queixas urinaria, sangramento e perda de liquido, refere MF presente"/>
        <s v="Joanna (13h25; 17h06): não atendeu"/>
        <s v="Joanna (14h40): não atendeu; 16:34 (Taty) Paciente não atendeu"/>
        <s v="14:43(taty) Paciente não atendeu 16:55 ( Taty) Paciente mão atendeu "/>
        <s v="14:33h (Thiago) Telefone fora de área."/>
        <s v="16:43 (taty)Contração + lombalgia , sem perda de liquido ou sangramento, sem queixas urinarioas  e  MF presente, encaminho a maternidade "/>
        <s v="18:27h (Thiago) Não completa a chamada"/>
        <s v="16:00 (taty) paciente não atendeu"/>
        <s v="17:07 (taty) paciente sem queixas, porem angustiada"/>
        <s v="Joanna (16h): indisponível"/>
        <s v="Joanna (14h27; 17h08): não atendeu"/>
        <s v="Joanna (14h30; 17h09): não atendeu"/>
        <s v="16:27 (Taty) paciente não atendeu"/>
        <s v="14:00h (Thiago) Usuária não atende a chamada."/>
        <s v="14:10h (Thiago) Usuária não atende a chamada."/>
        <s v="18:00 (Camilla) Não atendeu"/>
        <s v="Rhayza (17:15) nao atendeu"/>
        <s v="Rhayza (16:16) não atendeu "/>
        <s v="Rhayza (17:46)"/>
        <s v="16:11h (Thiago) Não atende a ligação."/>
        <s v="(Thiago) 13:30h Telefone ocupado, paciente não atende a chamada."/>
        <s v="(Rhayza) 16:45 Não atendeu"/>
        <s v="Monitoramento realizado. Realizar novo monitoramento 27/05"/>
        <s v="(Rhayza) 16:49"/>
        <s v="17:00h (Thiago) Nao atendeu a chamada."/>
        <s v="16:10h (Thiago) Não atende a ligação."/>
        <s v="11:00h (Thiago) Nao atendeu a chamada."/>
        <s v="16:50h (Thiago) Não completa a ligação."/>
        <s v="17:00h (Thiago) Gestante compareceu à sua unidade e foi orientada a retornar amanhã."/>
        <s v="15:40 (Thiago) Paciente não atendeu."/>
        <s v="Joanna (17h): não atendeu"/>
        <s v="Rhayza (14: 54) Não atendeu"/>
        <s v="(Thiago) 14:50h, não atendeu."/>
        <s v="Rhayza (14:57) Nao atendeu  "/>
        <s v="Foi atendida na USF. Refere melhora considerável. "/>
        <s v="Rhayza (17:15) sem conseguir contato telefonico"/>
        <s v="14:19 ( taty) paciente não atendeu "/>
        <s v="(Thiago) Não completa a ligação."/>
        <s v="(Camilla) Às 16h. não completa a ligação."/>
        <s v="17:00h (Thiago) Não completa a ligação."/>
        <s v="18h (Camilla) Chama duas vezes e cai ligação."/>
        <s v=","/>
        <s v="                                 "/>
      </sharedItems>
    </cacheField>
    <cacheField name="OBS" numFmtId="0">
      <sharedItems containsBlank="1" containsNumber="1" containsInteger="1" containsMixedTypes="1" count="409">
        <m/>
        <s v="Realizado telemonitoramento 03/01 as 15h. Encerrado do telemonitoramento"/>
        <s v="Enfermeira da Unidade"/>
        <s v="Agente de saúde; o PEC foi registrado pelo login do telessaude. "/>
        <s v="Foi ofertado TINC, porém não foi enviado a notificação de atendimento para o profissional (DS VII) visto que estamos aguardando confirmação de como será a notificação para os profissionais dos demais DS"/>
        <s v="LANÇAMENTO"/>
        <s v="ficou sabendo pela propaganda"/>
        <s v="Gestante de rede privada - Hapvida"/>
        <s v="Faz PN CS Olinto - Lessa de Andrade"/>
        <s v="Gestante de rede privada. Sobre monitoramento, quando for identificado indicação de monitoramento que não esteja enquadrado dentro do fluxo, deixar registrado o motivo do monitoramento."/>
        <s v="- Oriento repetir TR-gravidez, se positivo agendar consulta de pré-natal na US de referência ( US 108 CS Boa Vista); _x000a_- Informo que após parar o uso do anticoncepcional, bem como após uso da anticoncepção de emergência, pode acontecer irregularidade menst"/>
        <s v="Não foi enviado notificação para o profissional de referência porque na planilha de cadastro não tem contato"/>
        <s v="Paciente teve consulta em prenatal e realizado prescriçao de albendazol dia 06/06 por enf rose (PEC)"/>
        <s v="( ianne) 10h50 Ligo 3 x, nao atendeu"/>
        <s v="Rede Privada"/>
        <s v="Apoio emocional: refere muito medo de uma nova perda gestacional, considerando que teve 3 perdas anteriores a esta gestação."/>
        <s v="Monitorar final da tarde, tem consulta no pre natal as 13h- para checar se teve consulta. Paciente necessita de apoiio emocional ( historia traumatica em parto anterior"/>
        <s v="Apoio Emocional"/>
        <s v="Joanna: Registro atendimento realizado por Eliane, visto que ela não consegue editar a planilha. "/>
        <s v="Foi encaminhada ao SPA da Barros Lima (Marta 10/06 - faz PN no Hapvida)"/>
        <s v="(MARCIA) Entra em contato com o número disponibilizado, pessoa (Andrea) informa que ela saiu e não consegue atender hoje. Oriento que caso necessite de atendimento novamante ela entra em contato pelo Atende Gestante. "/>
        <s v="Encaminhada à UPA Lagoa Encantada"/>
        <s v="Gestante reside em Jaboatão. Repassou endereço de Recife à recepção digital; durante anamnese informou endereço atual. Caso não registrado no PEC. "/>
        <s v="Faz PN no Hapvida"/>
        <s v="TINC realizada com monique, lesao Fibroma Mole, que geralmente aparece na vida adulta, que pode modoficar na gestação, se for desejo pode ser realizado pela prefeitura a retirada no ambulatorio de pequenas cirurgias. enf e medica do posto pode solicitar "/>
        <s v="Realizado TINC no mesmo momento do atendimento com a enfa Arianny"/>
        <s v="Reavaliar fluxo de corrimento* (Marta lembrete) "/>
        <s v="Atendimento feito por Lari e Registrado por Thiago (após às 19h)"/>
        <s v="Puerpéra (bebê com 38 dias)"/>
        <s v="Avaliar novos sintomas/solicitar códido e senha do exame para verificar no site do lab"/>
        <s v="Apoio Emocional - ansiedade relacionada ao TP, sofreu violência obstétrica, sofrimento no parto anterior"/>
        <s v="Apoio emocional - tristeza/ luto - natimorto"/>
        <s v="Ligar para: 81991724644 (número do namorado)"/>
        <s v="Não foi feito registro do telemonitoramento"/>
        <s v="Dandara estava dormindo na hora que liguei (08:20) e Neto pediu que ligasse às 10:00. "/>
        <s v="Tentar monitoramento 15/06"/>
        <s v="Sem registro das telecosnulta do dia 14/06 no pec"/>
        <s v="Tentar monitoramento 15/06 / PEC INSTAVEL SEM REGISTRO da cosulta anterior 14/06"/>
        <s v="PEC sem registro da consulta anterior"/>
        <s v="(Marta) Não consigo identifiquei equipe responsável pela usuária"/>
        <s v="Sem registro no PEC da teleconsulta realizada no dia 14/06. (MARTA) Usuária não é mais acompanhada pela USF Amaury de medeiros, se mudou, não enviado notificação."/>
        <s v="(ianne): paciente com 2 prontuarios, usar o do CNS. Não encontro registro de atendimento de ontem(Marta) Não consigo identifiquei equipe responsável pela usuária"/>
        <s v="(ianne) não encontro registro atendimento de eontem no pec"/>
        <s v="Rede privada (Marta) Sem registro do atendimento no PEC e não consigo identificar equipe para envio de notificação / Serviço privado HAPVIDA"/>
        <s v="Telemonitoramento do dia 14/06"/>
        <s v="(Marta) No momento o PEC não estava funcionando, oriento fazer o registro no dia 18/06 - dia do plantão."/>
        <s v="Usuária de PACS - ainda não iniciou o PN, no monitoramento verificar se usuária já sabe o profissional responsável para enviar notificação e realizar acompanhamento. Às 15:00h usuária informa que conseguiu falar com ACS e irá marcar consulta para semana d"/>
        <s v="Atendimento realizado dia 16/06 por Larissa sem PEC. Paciente G1, 37s6d por USG do cartao de PN com 10s4d, refere dor em BV, perda de TM, diarreia sem sangue ou muco e febre 38.9º (SIC). Refere boa MF. Oriento atendimento presencial. Informado monitoramen"/>
        <s v="Usuária ainda não iniciou o PN na USF de referência em Recife. Era moradora de Olinda e deu continuidade ao PN lá. "/>
        <s v="Usuária fazendo atendimento em clínica particular "/>
        <s v="Reside em Recife, mas está no Paraná a trabalho (retornará dia 13/07)."/>
        <s v="TINC realizada com o profissional."/>
        <s v="Paciente entra em contato pelo hopchat as 14h20, realizado telemonitoramento."/>
        <s v="ligar as 07:30 telefone da filha yasmin, paciente nao tem telefone, se passar do hoario o CAPS entrar em contato, para realizar o telemonitoramento "/>
        <s v="Ligar à tarde."/>
        <s v="Paciente deseja saber onde consegue fazer uma USG renal na rede. Acompanhada pelo SASSEPE e exame não estava disponível hoje. Ela tem estenose de JUP esquerda e apresentou dor em flanco direito hoje. "/>
        <s v="PEC sem funcionar a partir das 17h, não foi possivel colocar falta"/>
        <s v="Apoio Emocional. Pouco comunicativa, aparenta tristeza. Thiago (26/06/23); gestante relata que mãe e irmão apresentam os mesmos sintomas. "/>
        <s v="Preenchimento do nome da usuária"/>
        <s v="Gestante, IG = 30s6d (USG), residente no municipio de Jaboatão (informação confirmada durante videochamada e registro no cartão de PN), queixa-se de dor em BV esporádica, corrimento vaginal amarelado associado a prurido vaginal, congestão nasal e falta de"/>
        <s v="Sangramento (usuária ainda não iniciou o PN - foi hoje a unidade para realizar cadastro e agendar consulta)"/>
        <s v="Gestante com dificuldade de conexão para vídeo chamada. Conseguiu contato com celular de terceiros. É de área coberta, mas não iniciou pré-natal, IG 15s1d pela USG em 03/05/2023com 7s3d, queixa de náuseas e cefaleia, internamento em gestação anterior com "/>
        <s v="O telefone não é da gestante (não enviar link) Cel: 81996343446"/>
        <s v="Ligar para 997023914"/>
        <s v="(Marta) Gestante entrou como novo atendimento após 2 tentativas de contato/registrado como telemonitoramento."/>
        <s v="(Marta) Orientar que usuaria entre em contato com ACS ou vá a unidade tentar marcação de consulta com a outra enfermeira (Andrea está de férias mas informa que deixou tudo articulado com a colega da outa equipe)"/>
        <s v="No inicio do mês não conseguiu agendar PN devido indisponibilidade de profissional. Encaminhada ao CS para agendar PN e avaliação clínica."/>
        <s v="#TELEMONITORAMENTO ATENDE GESTANTE# Registro que paciente forneceu o consentimento verbal livre e esclarecido para a realização da modalidade de teleconsulta. Impossibilidade de  videochamada, realizado atendeimento por ligaçao. Idade Gestacional (23sem 5"/>
        <s v="paciente refere cefaleia e nega outras queixas, como ontem apresentou na maternidade 140*90, solicito ida ao posto para hoje e amanha para aferir a PA "/>
        <s v="Gestante com IG 15s3d pela DUM e 13s5d pela USG com 5s4d, G4 P2 (2PC) A1 (2022), Gravidez não planejada, usava ciclo 21, relata uso correto. Paciente atendida ontem e orientada ir na maternidade , mas nao foi por não ter quem ficque com filhos. Realata qu"/>
        <s v="Reação alérgica à Cefalexina."/>
        <s v="Ligar às 17h em 04/07/2023"/>
        <s v="Telemonitoramento (30/06): Foi à US e não foi avaliada. Mantém dor lombar que irradia para o BV, sensação de esvaziamento incompleto da bexiga, gotejamento pós-micção. Nega novos episódios de sangramento, último há 2 dias (descreveu como raios de sangue)."/>
        <s v="Telefone fixo e microsipp sem funcionar - tentar monitoramento 05/07"/>
        <s v="Gravides de risco habitual. Queixa: dor em BV intermitente e de forte intensidade há 1 dia + sintomas gripais iniciados em 26/06: dor de ouvido, desconforto na garganta, coriza. Nega sinais de alerta. Nega sintomas urinários, perdas vaginais, leucorreia, "/>
        <s v="Queixa: disúria, leucorreia. Nega perdas vaginais nos últimos 30 dias. USG (05/06) sugestiva de gravidez anembrionada (IG = 8s); USG (21/06): imagem sugestiva de embrião sem batimentos cardíacos (Ig = 6s6d). Cd: Encaminho à maternidade Barros Lima. Obs: E"/>
        <s v="6º dia pós-cesariana. Drenagem de secreção seropurulenta em FO. Encaminhada ao HBL. "/>
        <s v="(Marta) Telemonitoramento do dia 30/06 realizado 01/07 após novas tentativas. Colocado desfecho na conduta do monitoramento do dia 30/06"/>
        <s v="Gestante com 40s1d pela DUM (24/09/22) e USG 39s5d pela USG com 9s, procura o serviço com queixa de perda de líquido e tampão mucoso iniciada às 6h de hoje, juntamente a contrações dolorosas esporádicas. Nega sangramento, corrimento, queixas urinárias ou "/>
        <s v="Gravides de risco habitual. Queixa:dor de garganta, coriza, obstrução nasal. refere melhora da dor em BV . Cd: Da preferencia a calcinha de algodão,; não utilizar/ evitar  protetores diário, procurar dormir sem calcinha, Aplica creme vaginal antes de dorm"/>
        <s v="(Marta) O atendimento não ficou salvo no PEC, porém Thiago encaminhou o arquivo para usuária."/>
        <s v="Refere que em sua unidade é necessário marcar uma data para receber a medicação - registrado evento sentinela."/>
        <s v="Caso do Evento Sentinela - DSVII (paciente não é da área, deu endereo da mãe)"/>
        <s v="IG (DUM/USG): 8s4d/8s3d, G2 P0 A1 (aborto em fevereiro/2023); Condições de risco: nega. Intercorrências durante a gestação: nega. Em uso: Ácido fólico + Sulfato ferroso. Alergias: nega. Acompanhamento Pré-Natal:  USF Prof Antônio Francisco Areias (1ª cons"/>
        <s v="Acompanhamento PN: Não iniciou PN. Refere que conforme orientação recebida ontem, foi à Upinha Dia Jardim São Paulo para agendar 1ª consulta de PN, sendo informada que não havia disponibilidade para atendimento. Em razão disso, entrou em contato com o Ate"/>
        <s v="Gestante com IG 28s2d pela DUM e pela USG, G3 P2(2PN) A0, refere discreto alívio dos sinais e sintomas de candidíase genital por ter iniciado medidas de higiene e cuidados íntimos, porém não iniciou ainda tratamento medicamentoso por não ter adquirido cre"/>
        <s v="Oriento gestante com IG 23s5d pela DUM, G2 P0 A1, a se dirigir à Policlínica e Maternidade Arnaldo Marques, ou outro serviço de sua preferência para nova avaliação e substituição da referida prescrição para tratamento da otite, a mesma não encontra a medi"/>
        <s v="Gestante com 16s2d pela DUM e pela USG com 15s3d, G4 P3 (2PN 1PC) A0, procura o serviço com queixa de dor em baixo ventre tipo cólica de relacionada aos esforços. Nega queixas obstétricas como sangramento, perda de líquido ou corrimentos. Nega também febr"/>
        <s v="Apoio emocional."/>
        <s v="Gestante nega queixas obstétricas e gerais. Buscou o serviço para entender sobre grau de maturação da placenta e Golf Ball."/>
        <s v="TINC - Contato da paciente por PEC. Monitoramento para avaliar se melhora de emese. TINC com Clarice marcada para dia 13/07. Enf andrea 81992751576"/>
        <s v="Fazer a tarde. Pela amnha paciente vai para maternidade"/>
        <s v="Checar se realizaçao de Exame (uroc) e sintomas. Se iniciado disuria, passar ela para rose ou mari fazer ATB"/>
        <s v="Fazer às tarde"/>
        <s v="Às 14h - Resumo atendimento: Gestante G1 P0 A0 24s, com dor lombar, sem outras queixas associadas. Oriento tomar 1g de dipirona e repouso. Às 14h reavaliar. PNAR NA BARRO LIMA DEVIDO HAS E OBSESIDADE."/>
        <s v="Paciente refere melhora nos sintomas e nao realizou a urocultura como solicitado. Oriento quanto a importancia da realização do exame e informo monitoramento ."/>
        <s v="Fez o primeiro atendimento e encaminhou para Ianne"/>
        <s v="Usuária do CS José Dustan - "/>
        <s v="Ligar as 15h. Paciente procurou o atende gestante com queixas de cefaleia intensa há 3dias, otalgia E, dor nos seios da face, apresentou 1 episódio de vertigem nega febre, falta de ar.Encaminho paciente para avaliação presencial, devido a cefaleia intensa"/>
        <s v="Paciente nao procurou atendimento presencial como orientado , porem hoje refere melhora dos sintomas. seguindo o protocolo para sintomais gripais. encaminho paciente para atendimento presencial e tr para COVID "/>
        <s v="paciente procura o Atende gestante com queixa de prurido (nao sabe se por conta da tricotomia) e corrimento tipo nata ( oriento procurar APS para exame especular como no fluxo  e necessidade de tratamento"/>
        <s v="Profissional assistente ciente do caso pois recebeu notificação, realizado discursão do caso"/>
        <s v="Aguardo resposta do evento sentinela."/>
        <s v="17/07 - Taty relizou monitoramento e usuária estava sendo atendida no IMIP"/>
        <s v="Joanna fez novamente em 19/07"/>
        <s v="Paciente reside em agua fria, mas optou por continuar PN paulista"/>
        <s v="Atendimento estava registrado como monitoramento."/>
        <s v="Apoio Emocional - A coordenação de saúde da mulher (DS I): já articulou agendamento da consulta de PN e consulta com psicologo. Paciente já está ciente."/>
        <s v="paciente com 41s ( estava com encaminhamento da aps, nega perdas vaginais, contração irregulares, indolor, porem duradoras (50´´) "/>
        <s v="Teleconsulta x teletriagem (Marta lembrar/Alany/Kleber)"/>
        <s v="Aguardo retorno sobre evento sentinela. Inclusive pelo histórico já foi realizado um evento sobre esse caso. "/>
        <s v="Foi atendida dia 27 via demanda espontânea"/>
        <s v="Vamos monitorar com 1 semna devido paciente internada com 31semanas para ontrole pressorico. Escolhemos 1 semanas devido ao internamento provavevlmente ser mais prolongado. Se tiver alta dar apoio em relaçao ao controle pressorico, se tiver bebe vamos ofe"/>
        <s v="Marta -  Reportado evento sentinela DSVI - USF Pina"/>
        <s v="Usuária impossibilitada de atender à vídeo chamada, solicita que retornemos a ligação às 14h."/>
        <s v="Usuária solicita contato às 14:30h."/>
        <s v="Marta - para identificar até onde fiz a atualização dos dados de: &quot;Mora em área de ESF&quot; // 04/08 (Lari) Telefone desligado"/>
        <s v="Marta - para identificar até onde fiz a atualização dos dados de: &quot;Mora em área de ESF&quot; "/>
        <s v="telefone da mae da paciente "/>
        <s v="Secreção leitosa em pouca quantidade, sem prurido ou edema de genitália externa."/>
        <s v="Telefone so para ligação  (81994811870- TELEFONE DO ESPOSO QUE SE ESTIVER EM CASA RECEBE WHATZAPP) "/>
        <s v="Ligar às 15h para confirmação de acesso à UBS."/>
        <s v="Monitoramento em 17/08 para confirmação de acesso ao pré-natal em USF."/>
        <s v="Em 08/08/23 - Confirmar acesso a unidade de referência na APS; e em 10/08/23 - confirmar acesso a Arnaldo Marques em virtude da IG corresponder a 41s."/>
        <s v="Parto realizado há 9 meses"/>
        <s v="O número de telefone deste atendimento é da enfermeira da USF Adriana."/>
        <s v="Queixa: Presença de secreção com descrição compatível com tampão mucoso."/>
        <s v="Tentar monitoramento em 18/08/2023 para confirmar acesso ao PNRH em APS."/>
        <s v="Realizar telemonitoramento visto que perdeu seguimento no PN da APS e PNAR."/>
        <s v="Gestante iniciando pródromos do TP, ligar às 11h de hoje para avaliação do quadro."/>
        <s v="Usuária encaminhada à maternidade barros Lima por IG avançada 41s, confirmar acesso à maternidade."/>
        <s v="Sem vinculação a APS - registrado evento sentinela "/>
        <s v="CS Ivo Rabelo "/>
        <s v="Ligar às 15h, checar com a gestante os valores da curva glicêmica de hoja e amanhã e ver possibilidade de antecipação da consulta de PNAR."/>
        <s v="Ligar as 18h"/>
        <s v="ligar a tarde ( orientei realizar teste para COVID )"/>
        <s v="Ligar para confirmar acesso à maternidade Barros Lima."/>
        <s v="Ligar pela manhã para avaliar movimentação fetal. (Marta - gestante de área do Cs Pam Ceasa, porém faz PN particular)"/>
        <s v="Avaliar desconforto e dor por doença hemorroidária."/>
        <s v="(Marta - monitoramento era do dia 17/08)"/>
        <s v="Confirmar a realização do teste para covid 19. (Thiago) usuária fornece celular do companheiro para contato para vídeochamada - 81987066010."/>
        <s v="Gestante completa 41s em 22/08, feto pélvico, ligar para confirmar acesso à Maternidade Barros Lima."/>
        <s v="paciente nao procurou atendimento como orientado e apresentou queixas de tontura e vertigem aos esforços, referindo melhora na falta de ar "/>
        <s v="Fazer comparativo de FO e abdome. "/>
        <s v="Ligar às 15h. Gestante portadora de HASC, em uso de metildopoa 500mg/dia, apresentando cefaléia intensa. Ligar para confirmar acesso à Barros Lima - faltou 1ª consulta do PNAR no HMR."/>
        <s v="Ligar em 24/08/2023 "/>
        <s v="Ligar as 11h30"/>
        <s v="Reavaliar sinais e sintomas de gastroenterite."/>
        <s v="Confirmar acesso à Barros Lima - Pródromos de TP."/>
        <s v="Confirmar acesso à maternidade Arnaldo Marques - gestante com 40s5d, HASG e obesidade ( paciente com dois registros no PEC) ."/>
        <s v="Gestante em pródromos, confirmar se a paciente deflagrou o TP."/>
        <s v="monitoramento para observar aspecto da secreção ( referiu perda com presença de sangramento, porem na imagem encaminhada secreção Mucoide); "/>
        <s v="(Marta - Registro do dia 01/09 não foi realizado no PEC porque o mesmo estava fora do ar, Thiago não conseguiu realizar o registro tardio, informado 04/09). Monitorar acesso à APS, puérpera 16 dias pós PC aguarda visita da equipe da USF."/>
        <s v="Monitorar acesso à mat.Bandeira Filho, gestante 30sem com falta de ar; em PNAR, obesidade, HASG, Asma em tratamento."/>
        <s v="Realizado ajuste de medicações para crise de asma dia 01/09/23. Fazer contato com 48h para avaliar se precisa prolongar o tratamento/nova avaliação presencial. "/>
        <s v="Confirmar acesso a APS "/>
        <s v="Avaliar melhora das náusea e vômitos, em uso de plasil."/>
        <s v="Puérpera no 17º dia aguardando avaliação pós parto pela equipe na APS, FO secretiva, avliar em próximo monitoramento."/>
        <s v="09/09 (Joanna): Nega novos episódios de sangramento após o dia 02. Sem queixas. Oriento paciente sobre sinais de alerta;Oriento manutenção do PN na APS e no HMR"/>
        <s v="Realizo telemonitoramento em 09/09."/>
        <s v="O número na planilha é da familiar Adriana, pelo qual foi realizado o atendimento. Confirmar acesso à maternidade Arnaldo Marques."/>
        <s v="Gestante completa hoje 41s1d, confirmar acesso à maternidade Arnaldo Marques."/>
        <s v="Concluído monitoramento."/>
        <s v="Monitorar com 2 a 3 horas para reavaliar sinais e sintomas."/>
        <s v="O telefone que consta na planilha é de uma amiga do trabalho, Micheli, por onde foi efetuado todo atendimento por vídeo chamada. "/>
        <s v="Telemonitoramento do dia 04/09"/>
        <s v="Telemonitoramento do dia 03/09"/>
        <s v="Telemonitoramento do dia 02/09"/>
        <s v="Confirmar acesso à Barros Lima."/>
        <s v="Ligar às 18h para avaliar os pródromos."/>
        <s v="Ligar ao final da manhã, confirmar acesso à Maternidade Bandeira Filho, prodromos de TP e IG 41s ."/>
        <s v="Gestante na 32ª semana, com elevação dos níveis pressóricos. Ligar à tarde para confirmar acesso à maternidade."/>
        <s v="Ligar ao final da tarde para confirmar acesso ao PNAR."/>
        <s v="Encaminhada à Maternidade 36s3d com dor a cada 1h"/>
        <s v="Monitoramento realizado durante a TINC com profissional"/>
        <s v="Confirmar se a usuária conseguiu acesso à sua USF parta avaliação presencial."/>
        <s v="Ligar a tarde - checar atendimento em aps"/>
        <s v="Gestante participou de TINC sobre sua quadro de saúde, no momento sem queixas e assintomática."/>
        <s v="Realizado em 19/09"/>
        <s v="Monitoramento realizado durante TINC com a profissional"/>
        <s v="Não realizada em 18/09."/>
        <s v="Ligar dia 20/09 às 13h, por hoje (19/09) paciente estava no trabalho e não podia falar. Ligar para confirmar acesso à Bandeira Filho."/>
        <s v="Usuária informa que realizará consulta em sua USF de referência em 48h."/>
        <s v="Ligar às 9h (nº do telefone 99649-1398)"/>
        <s v="Monitoramento realizado dia 22/09"/>
        <s v="Ligar às 15h"/>
        <s v="Monitoramento realizado dia 24/09"/>
        <s v="Obs: a teleconsulta não foi finalizada, pois, usuário saiu do consultório digital e não consegui estabelecer nova comunicação, inclusive por telefone. Sendo assim, não foi possível informar acerca do telemonitoramento pela equipe do Atende Gestante em 24/"/>
        <s v="Monitoramento realizado dia 27/09"/>
        <s v="Gestante com sangramento ao evacuar. Encaminhada ao CISAM, devido a limitação de transporte."/>
        <s v="Gestante em fase inicial de TP. Confirmar acesso à Arnaldo Marques. "/>
        <s v="Ligar as 14 horas para confimar acesso na consulta da APS."/>
        <s v="Tentar em 02/10"/>
        <s v="Ligar às 12h, confirmar acesso à sua USF portando USG Endovaginal para reavaliação do quadro. "/>
        <s v="Ligar às 16h"/>
        <s v="Fabiane (11:50) Paciente estava no trabalho e refereiu que não podia atender a video chamada e que a equipe do atende gestante não precisava ligar em outro momento pois seu sangramenta já havia parado e ela já estava tentando agendar uma consulta presenci"/>
        <s v="Ligar para 99380-4960"/>
        <s v="Telemonitoramento realizado dia 05/10"/>
        <s v="Ligar às 14h"/>
        <s v="Gestante com IG 11s3d com 01 episódio de perda vaginal em &quot;borra de café&quot; extrememente discreta."/>
        <s v="Realizado em 10/10"/>
        <s v="Liguei pela manhã e a tarde, porém gestante estava aguardando atendimento na emergência."/>
        <s v="Ligar às 15h para reavaliar."/>
        <s v="Ligar às 15h para confirmar acesso. RPMO?"/>
        <s v="Nao foi gerado telemonitoramento, pois foi gerado tinc, e confirmado acesso "/>
        <s v="Confirmar acesso na APS para iniciar o pré-natal."/>
        <s v="ligar 11h para confirmar acesso"/>
        <s v="Ligar para confirmar acesso a Matrenidade + avaliar se melhora de sintomas (azia / refluxo). Caso não visualize prontuario pelo PEC, consegue ver pelo Hopchat."/>
        <s v="Telemonitoramento realizado em 14/10."/>
        <s v="Ligar após às 13:00h."/>
        <s v="Confirmar se o TP foi deflagrado."/>
        <s v="ligar às 13h"/>
        <s v="ligar para esse contato 81987608875"/>
        <s v="Paciente encerrou a chamada antes da colclusão do atendimento."/>
        <s v="Telemonitoramento realizado dia 21/10 por Tatyana"/>
        <s v="Telemonirotamento do dia 20/10"/>
        <s v="Ligar a partir das 14:00h, confirmar acesso à USF (realizar SU)."/>
        <s v="Ligar as 17h para 81996334713 ( o telefone cadastrado nao recebe ligação )"/>
        <s v="8h Telefone desligado"/>
        <s v="Ligar para 984411270."/>
        <s v="Monitoramento realizado dia 30/10"/>
        <s v="Ligar para 997106216; Telemonitoramento às 12h. Orientar a atualizar cadastro"/>
        <s v="11h"/>
        <s v="Gestante em TP, ligar por volta das 15h, para confirmar acesso a Barros Lima."/>
        <s v="(Thiago; 30/10/23) Às 11:20h, usuária não atende à ligação."/>
        <s v="(Thiago; 30/10/23) Às 11:38h, usuária não atende à ligação. Também foi realizado TINC com a médica Carolina Larré (Usuária é ACS e estava na USF."/>
        <s v="(Thiago; 30/10/23) Às 11:41h, usuária não atende à ligação."/>
        <s v="Monitorametno realizado dia 01/11"/>
        <s v="Monitoramento realizado 31/10"/>
        <s v="Gestante com DG, 40s2d, encaminhada ao HMR, ao término da TINC compartilhada, para avaliação obstétrica. Confirmar acesso."/>
        <s v="Monitoramento do dia 28/10"/>
        <s v="Não foi gerado monitoramento pela paciente não possuir número telefônico que receba ligação. Oriento que se caso precise, entre em contato novamente com o serviço."/>
        <s v="Monitoramento do dia 30/10"/>
        <s v="Mobilograma após refeição: 7 movimentos em 35 min. Diante do resultado do mobilograma, oriento que gestante siga observando a movimentação fetal e que se perceber novamente a diminuição busque atendimento presencial na Arnaldo Marques. - Mantenho 1 monito"/>
        <s v="06/11 (Lari) Paciente não atende"/>
        <s v="IG 22s3d, queixa de dor intensa em região dorsal direita, inclusive à palpação, área próxima ao ângulo costovertebral. Além disso, refere corrimento acastanhado observado hoje, ardência ao urinar há 2 dias, principalmente no final da micção. Cd: Enc à Pol"/>
        <s v="Confirmar aceso à USF de referência, usuária ainda sem consulta puerperal."/>
        <s v="Ligar só as 14h para confirmar acesso à USF de referência."/>
        <s v="Usuária encaminhada para UPA da Caxangá."/>
        <s v="Usuária encaminhada à sua USF para acolhimento pós abortamento de gestação desejada. Checar acesso."/>
        <s v="Gestante com IG 26s5d pela USG, com dores em BV- ameaça de TPP? Encaminhada à Bandeira Filho, checar acesso."/>
        <s v="Ligar às 17h"/>
        <s v="Atendimento realizado no dia 14/11 "/>
        <s v="Não é mais da área da USF Cosme e DAmião"/>
        <s v="Checar melhora do quadro de diarreia leve."/>
        <s v=" Ligar as 15 horas para checar acesso a maternidade. TPP? Ligar para o número 98966-7779"/>
        <s v="Ligar para o n° 98966-7779, reavaliar quadro clinico de dor pelvica."/>
        <s v="Gestante em fase latente do TP, BR, ancaminhada à Bandeira filho, checar acesso."/>
        <s v="Ligar à tarde para checar acesso."/>
        <s v="Ligar às 14h. Monitoramento não realizado, em virtude da indisponibilidade do microsip e dos telefones da EMPREL"/>
        <s v=" "/>
        <s v="Às 09:00h, 10:30h, 12:50h, 14:00h, 16:00h, Microsip sem funcionar."/>
        <s v="Monitoramento não realizado, em virtude da indisponibilidade do microsip e dos telefones da EMPREL"/>
        <s v="Ligar à tarde, checar acesso à APS."/>
        <s v="Ligar às 15h - avaliar mobilograma"/>
        <s v="De acordo com o ARCGIS a US de referência é a Policlínica Albert Sabin e acordo com o mapa de vinculação é o CS Prof Mário Ramos/CS Francisco Pignatari/EACS 5; 5.1; 5.2 - faço registro na planilha de pendência."/>
        <s v="Ligar entre 13h e 15h, gestante IG 18s6d, com odontalgia importante, encaminhada para tentar acessom em sua USF em 04/12, checar acesso."/>
        <s v="Gestante IG 36s4d, em TPP?, chacar acessoa à Bandeira Filho."/>
        <s v="Outro contato: 986887725. "/>
        <s v="Outro contato: 992521738 (marido - Leandro). Falta colocar falta no PEC"/>
        <s v="Ligar para  992062057 "/>
        <s v="Ligar pela manhã a partir das 8h, gestante com 31s3d, com cólicas, contrações, vômito e diarreia. Confirmar acesso à Bandeira Filho."/>
        <s v="Ligar qualquer horário, gestante IG 25s6d, TPP? diagnóstico de CA de colo uterino e endometriose (SIC). Confirmar acesso ao HMR."/>
        <s v="Contrações de Braxton-Hicks? / Início do trabalho de parto? Confirma acesso na Barros Lima."/>
        <s v="Telemonitoramento para: Confirmar o acesso à APS. Unidade da gestante é a Ponto de Parada que, em virtude da requalificação está funcionando provisoriamente na Upinha Eduardo Campos. Oriento que busque a Upinha para iniciar PN, tramento de sífilis e testa"/>
        <s v="Telemonitoramento para: avaliar sinais de trabalho de parto e/ou de alerta e necessidade de encaminhar a gestante para avaliação presencial. HD: GUTT + PROVÁVEL RPMO."/>
        <s v="Ligar a partir das 15h, gestante com IG 32s4d, com corrimento vaginal, checar acesso à sua USF."/>
        <n v="-999273159"/>
        <s v="Ligar as 11h para confirmar acesso"/>
        <s v="Checar acesso na Bandeira Filho."/>
        <s v="Checar acesso à Bandeira Filho."/>
        <s v="Verificar se houve substituição da Losartana pelo metildopa. Caso não atenha acontecido, reforçar recomendação de ir à USF na segunda. "/>
        <s v="Reavaliação - 7º dia de inicio dos sintomas."/>
        <s v="Confirmar se gestante conseguiu retomar o atendeimento no PNAR da policlínica do Pina. Concluído os registros no dia seguinte ao atendimento."/>
        <s v="https://prescricao.cfm.org.br/api/consulta-documento?sw=CFMftU8q5p"/>
        <s v="Ligar para 984388989. Checar acesso na APS."/>
        <s v="Checar acesso na APS. Tem consulta agendada na USF amanhã."/>
        <s v="Avaliar evolução do sangramento."/>
        <s v="Ligar às 14:30h"/>
        <s v="Paciente em TP encaminhada à Maternidade Arnaldo Marques, checar acesso."/>
        <s v="Avaliar quadro clínico"/>
        <s v="Ligar após as 11h - paciente vai colher teste de covid"/>
        <s v="Gestante com sinais de ITU, febre há dois dias. Checar acesso à Bandeira Filho."/>
        <s v="Gestante com sindrome gripal, covid19 positivo. Checar acesso à Bandeira Filho."/>
        <s v="Monitorar sintomas, covid19 positivo, D4 hoje."/>
        <s v="Falta registrada no PEC."/>
        <s v="Falta registrada no PEC"/>
        <s v="monitoramento a tarde - checar se melhorou dos episodios diarreicos e da dor. "/>
        <s v="Avaliar USG"/>
        <s v="Ligar para 99196186; encaminhada devido ausência de movimentos fetais a mais de 12h."/>
        <s v="Avaliar mobilograma"/>
        <s v="Ligar às 16h. Reavaliar se mantém cefaleia."/>
        <s v="Confirmar acesso (encaminha devido 4 MF em 1h)"/>
        <s v="Ligar para 98783-8957"/>
        <s v="Checar acesso à Bandeira Filho, ausência de MF."/>
        <s v="checar acesso; queda de altura, ausencia de MF e dor pelvica "/>
        <s v="Gestante em tratamento para ITU com nitrofurantoína, permenece com leve disúria, avaliar melhora dos sintomas."/>
        <s v="Monnitoramento do dia 07/01"/>
        <s v="ligar para esse contato 81987772073"/>
        <s v="ligar as 13- avaliar se melhora de dore/ diarreia e hidratacao. fiz o atestado de hj. Vai precisa fazeruroc daqui uma semana, nao solicitei pq ela tem consulta dia 16. "/>
        <s v="Ligar às 17h (confirmar acesso)"/>
        <s v="Telemonitoramento do dia 11/01 (não tinha registro de nenhuma tentativa e não tinha falta registrada no PEC)."/>
        <s v="Atendimento acordado com alany, paciente sem queixas, porem refer que esta gravida , descobriu a 2 meses, sem inicio de PN , has e DM , SIC enfermeira de ferias e sem exame de comprovação (perdeu o beta) "/>
        <s v="ligar a tarde para (81999474550)  confirmar acesso e gravidez"/>
        <s v="(Thiago) Às 16:45h, gestante não atende à chamada."/>
        <s v="Ligar à tarde para confirmar acesso a USF para ajuste da prescrição do Noripurum."/>
        <s v="Usuária com HAS, DM, obesidade; aguarda BHCG."/>
        <s v="Ligar para 98783-8957 (lembrar de fazer registro acerca do PNAR)"/>
        <s v="Ligar a tarde"/>
        <s v="Checar acesso à maternidade."/>
        <s v="esposo 81984353919 caso nao pegue o outro (para esse ligar apos as 17h)"/>
        <s v="ligar as 14h para 81994288154"/>
        <s v="Ligar às 17h para avaliar queixa e confirmar acesso a APS"/>
        <s v="Ligar às 17h para revaliar hiperemia e outros sinais flogísticos da mama direita. Avaliar a necessidade de avaliação presencial na UBS ou bando de leite."/>
        <s v="Ligar para o contato da irmã - Fabiana 999193216"/>
        <s v="Monitoramento a fazer em 09/02 Confirmar início do tratamento de ITU; lembrar de agendar um novo monitoramento para dia 09/02 para reforçar a coletar de urocultura."/>
        <s v="Ligar às 9h30, para confirmar o valor da PA que ela irá aferir na farmácia, além do alívio da cefaléia, após uso de dipirona agora."/>
        <s v="confirmar acesso á maternidade para avaliação presencial por inadequação do método"/>
        <s v="Ligar às 11h para avaliar sinais de TP e/ ou de alerta"/>
        <s v="ligar as 16:20 reavaliar,"/>
        <s v="Ligar às 17h, reavaliar melhora das cólicas."/>
        <s v="Ligar pela manhã, checar aceeso à Bandeira Filho."/>
        <s v="Ligar à tarde, checar acesso à Bandeira Filho."/>
        <s v="Ligar à tarde, checar acesso à urgência odontológica."/>
        <s v="Ligar as 10h Falar cm Marta primeiro - Preciso discutir o caso com quem for fazer o telemonitoramento"/>
        <s v="Ver vinculação à APS"/>
        <s v="Ligar para 99591-0580"/>
        <s v="Confirmar acesso ao PN da Bandeira Filho."/>
        <s v="Ligar às 12h"/>
        <s v="(Marta) Não realizado registro de formulário; não encontro registro de monitoramento no PEC, apenas de TINC. Foi realizado o monitoramento??"/>
        <s v="Reavaliar às 17h"/>
        <s v="Monitorar D4 de sintomas gripais, covig19 negativo."/>
        <s v="Ligar dia 27/02 para checar acesso"/>
        <s v="Gestante encaminhada para MBF, checar acesso."/>
        <s v="Monitoramento as 15h30"/>
        <s v="Ligar para 81998898692"/>
        <s v="Ligar para 994288154 -(Marta - ainda não iniciado PN pra enviar notificação)"/>
        <s v="Averiguar se conseguiu agendar consulta de PN na USF Macaxeira"/>
        <s v="Ligar para relembrar coleta de urocultura de controle"/>
        <s v="ligar as 11h, avaliar PA "/>
        <s v="Ligar para 81 996713494"/>
        <s v="Ligar às 11h --&gt; 81997635371"/>
        <s v="Monitorar até o D8 diariamente, hoje D5"/>
        <s v="Ligar para relembrar coleta de urocultura de controle, agendada para 20/03"/>
        <s v="Ligar a partir das 14h."/>
        <s v="(Thiago) A gestante foi encaminhada para APS, sugiro ligar à tarde."/>
        <s v="Checar acesso à urgência odontológica, ligar após as 14h."/>
        <s v="Não consegui inserir a falta da gestante na agenda por falta de acesso. Registro aqui."/>
        <s v="Gestante aguardando a vez na consulta*"/>
        <n v="81997324176"/>
        <s v="Atendimento compartilhado (Obstetra + MFC + enfer. da USF)"/>
        <s v="Paciente com 2 PEC - Verificar pelo SUS"/>
        <s v="2a opção de telefone 81996823412"/>
        <s v="Na segunda tentativa de monitoriamento recusou videochamada; monitoramento feito por telefone."/>
        <s v="Monitormanto realizado por contato telefonico pois pct estava internada na maternidade (Bandeira Filho)"/>
        <s v="Saber se buscou a APS ou se entrou em TP   "/>
        <s v="Ligar à tarde"/>
        <s v="Feito por contato telefonico."/>
        <s v="Paciente orientada a procurar o posto hoje pela manha, ligar a tarde"/>
        <s v="Gestante ainda não buscou unidade de saúde, como orientado. Ligar à tarde para confirmar."/>
        <s v="Gestante encaminhada para avaliação na APS, ligar à tarde."/>
        <s v="Ligar à tarde para confirma acesso "/>
        <s v="Checar melhora do quadro de dor intensa no corpo, reação vacinal."/>
        <s v="(Thiago - 0818h) Gestante pede para retomar a ligação às 09:00h."/>
        <s v="Ligar após 9h, checar acesso à APS, início de sintomas gripais após reação adversa às vacinas."/>
        <s v="ligar as 15h telefone 81991473240 (ligação) 12991876039 (zap)"/>
        <s v="Ligar as 15h "/>
        <s v="Ligar à tarde para avaliar melhora dos sintomas."/>
        <s v="Monitoramento realizado em 13/04/2024."/>
        <s v="Atendimento realizado em 18/04. Gestante não é munícipe, oriento procurar APS de sua área. "/>
        <s v="Confirmar acesso à maternidade Arnaldo Marques."/>
        <s v="Confirmar acesso ao HMR 16h "/>
        <s v="Enviei comandado para iniciar atendimento, recebeu a mensagem, clicou em inicar atendimento, porém, não a visulizei no HopChat."/>
        <s v="Ligar para 982850804"/>
        <s v="Ligar para 982850804 às 15h para checar acesso à urgência e/ou alívio das queixas"/>
        <s v="(Marta) informar sobre o agendamento de USG no dia 07/05 as 14h no HMR"/>
        <s v="Monitoramento feito por telefone pois paciente estava no trabalho"/>
        <s v="Ligar 16 h"/>
        <s v="Monitoramento realizado por telefone - solicitaçao da gestante "/>
        <s v="Encontra-se na urgencia do HAM "/>
        <s v="Ligar às 9 horas "/>
        <s v="Ligar as 16 horas"/>
        <s v="Registro evento sentinela."/>
        <s v="Reforçar realização de urocultura de controle."/>
        <s v="Ligar para 81991300852"/>
        <s v="Ligar a tarde (foi encaminhada para avaliação presencial hoje na APS)"/>
        <s v="PEC com instabilidade - registro feito 13/05 (Marta)"/>
        <s v="Ligar a tarde (Paciente encaminhada à urgência obstétrica)"/>
        <s v="Monitoramento para informar sobre agendamento de PNAR, após realizar TINC com médico Giovani"/>
        <s v="Não foi encaminhada à APS porque enfermeira está de férias e não tem médico. SG sem sinais de alerta. "/>
        <s v="Ligar entre 14h - 15h para reavaliar a cólica."/>
        <s v="Agendar monitoramento para 20/05/24, considerar TINC para avliar quadro geral da gestante."/>
        <s v="Ligar às 16h para checar acesso à MBF."/>
        <s v="Informou que nao poderia entrar em contato por videochamada. Monitoramento feito por telefone."/>
        <s v="Saber se conseguiu encaminhamento para PNAR"/>
        <s v="Ligar às 14h - A conversa do Hopchat está em aberto no usuário de Camilla"/>
        <s v="Ligar às 16h - Reavaliar nauseas e vomitos e presença de sinais de TP"/>
        <s v="Avaliar evolução do sangramento transvaginal e acesso a APS"/>
        <s v="Checar acesso ao CISAM à tarde, gestante diz que não conseguirá ir à Barros Lima."/>
        <s v="Telefone do esposo."/>
        <s v="Avaliar perfil glicêmico nas últimas 24h."/>
        <s v="Ligar as 17 horas - telemonitoramento realizado dia 30/05"/>
        <s v="Confirmar acesso à maternidade e reavaliar sintomas"/>
        <s v="Ligar à tarde. Encaminhada ao banco de leite.Ligação chama duas vezes no Microsip e cai."/>
        <s v="Ligar às 16h. Reavaliar TP - Formulario de monitoramento preenchido dia 04/06"/>
        <s v="Checar vinculação à USF Alto do Maracanã, puérpera mudou-se recentemente para o território, ainda sem visita puerperal da equipe."/>
        <s v="Realizado teleatendimento e durante teleconsulta perco contato telefônico com a paciente. Faço 3 tentativas de contato por telefone porém gestante não atende. Informaria que como há incongruência entre queixas e exame físico realizado hoje pela manha na ú"/>
        <s v="Monitorar dia 05/06 para checar acesso à maternidade (DMG)."/>
        <s v="  "/>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refreshOnLoad="1" refreshedVersion="5" refreshedDate="45457.3887384259" refreshedBy="USUARIO" recordCount="1613">
  <cacheSource type="worksheet">
    <worksheetSource ref="A1:AH1614" sheet="Registro de teleatendimento"/>
  </cacheSource>
  <cacheFields count="34">
    <cacheField name="Carimbo de data/hora" numFmtId="0">
      <sharedItems containsBlank="1" containsDate="1" containsMixedTypes="1" count="1605">
        <s v="Teleconsulta pós lançamento"/>
        <s v="Telemonitoramento efetivados pós lançamento"/>
        <s v="Teletriagem pós lançamento"/>
        <d v="2022-11-10T13:55:00"/>
        <d v="2022-11-30T11:13:08"/>
        <d v="2022-12-15T09:07:30"/>
        <d v="2023-01-02T08:53:17"/>
        <d v="2023-01-02T15:41:34"/>
        <d v="2023-01-11T11:39:43"/>
        <d v="2023-01-11T14:48:46"/>
        <d v="2023-01-18T11:13:34"/>
        <d v="2023-01-24T15:41:03"/>
        <d v="2022-12-01T14:36:17"/>
        <d v="2023-01-03T15:12:15"/>
        <d v="2023-01-03T15:16:25"/>
        <d v="2023-01-25T15:25:17"/>
        <d v="2023-01-26T15:07:01"/>
        <d v="2023-01-27T08:57:14"/>
        <d v="2023-03-02T13:48:49"/>
        <d v="2023-03-17T12:06:18"/>
        <d v="2023-03-17T17:28:25"/>
        <d v="2023-03-20T10:13:23"/>
        <d v="2023-03-21T15:52:42"/>
        <d v="2023-04-05T12:10:56"/>
        <d v="2023-04-07T10:17:58"/>
        <d v="2023-04-18T17:02:41"/>
        <d v="2023-04-19T14:42:54"/>
        <d v="2023-04-20T09:23:42"/>
        <d v="2023-04-21T09:01:20"/>
        <d v="2023-04-24T16:16:17"/>
        <d v="2023-05-02T15:09:58"/>
        <d v="2023-05-03T11:49:19"/>
        <d v="2023-05-04T15:48:48"/>
        <d v="2023-05-05T16:36:13"/>
        <d v="2023-05-08T10:53:41"/>
        <d v="2023-05-08T14:58:33"/>
        <d v="2023-05-08T17:46:53"/>
        <d v="2023-05-10T12:38:45"/>
        <d v="2023-05-16T18:02:47"/>
        <d v="2023-05-30T11:46:12"/>
        <d v="2023-05-30T18:31:39"/>
        <d v="2023-05-30T19:24:48"/>
        <d v="2023-05-31T10:18:44"/>
        <d v="2023-05-31T15:07:02"/>
        <d v="2023-05-31T16:02:07"/>
        <d v="2023-05-31T16:34:29"/>
        <d v="2023-05-31T16:36:02"/>
        <d v="2023-06-01T08:23:47"/>
        <d v="2023-06-01T08:50:44"/>
        <d v="2023-06-01T10:57:45"/>
        <d v="2023-06-01T12:04:31"/>
        <d v="2023-06-01T12:41:47"/>
        <d v="2023-06-01T18:30:04"/>
        <d v="2023-06-02T10:18:00"/>
        <d v="2023-06-02T11:30:41"/>
        <d v="2023-06-02T11:30:50"/>
        <d v="2023-06-02T12:46:26"/>
        <d v="2023-06-02T17:51:41"/>
        <d v="2023-06-03T08:57:21"/>
        <d v="2023-06-03T10:17:42"/>
        <d v="2023-06-03T16:26:43"/>
        <d v="2023-06-03T18:49:37"/>
        <d v="2023-06-04T10:00:47"/>
        <d v="2023-06-04T12:07:39"/>
        <d v="2023-06-04T16:10:50"/>
        <d v="2023-06-05T10:32:25"/>
        <d v="2023-06-05T11:24:21"/>
        <d v="2023-06-05T18:06:50"/>
        <d v="2023-06-05T18:24:06"/>
        <d v="2023-06-05T19:06:02"/>
        <d v="2023-06-05T19:06:28"/>
        <d v="2023-06-06T09:18:34"/>
        <d v="2023-06-06T09:27:46"/>
        <d v="2023-06-06T10:12:39"/>
        <d v="2023-06-06T10:54:43"/>
        <d v="2023-06-06T12:00:05"/>
        <d v="2023-06-06T12:07:29"/>
        <d v="2023-06-06T12:55:02"/>
        <d v="2023-06-06T13:00:45"/>
        <d v="2023-06-06T15:21:59"/>
        <d v="2023-06-06T15:36:00"/>
        <d v="2023-06-06T17:34:02"/>
        <d v="2023-06-06T18:46:07"/>
        <d v="2023-06-07T09:28:59"/>
        <d v="2023-06-07T09:30:52"/>
        <d v="2023-06-07T10:04:40"/>
        <d v="2023-06-07T10:11:00"/>
        <d v="2023-06-07T12:32:00"/>
        <d v="2023-06-07T12:37:44"/>
        <d v="2023-06-07T14:18:31"/>
        <d v="2023-06-07T14:49:21"/>
        <d v="2023-06-07T15:10:24"/>
        <d v="2023-06-07T15:47:39"/>
        <d v="2023-06-07T16:56:31"/>
        <d v="2023-06-07T18:51:35"/>
        <d v="2023-06-07T19:33:52"/>
        <d v="2023-06-08T07:35:57"/>
        <d v="2023-06-08T08:22:37"/>
        <d v="2023-06-08T09:18:12"/>
        <d v="2023-06-08T10:23:11"/>
        <d v="2023-06-08T12:26:16"/>
        <d v="2023-06-08T14:07:46"/>
        <d v="2023-06-08T14:34:50"/>
        <d v="2023-06-08T15:13:52"/>
        <d v="2023-06-08T17:09:57"/>
        <d v="2023-06-08T17:55:04"/>
        <d v="2023-06-08T18:49:15"/>
        <d v="2023-06-09T08:48:58"/>
        <d v="2023-06-09T09:06:52"/>
        <d v="2023-06-09T09:44:17"/>
        <d v="2023-06-09T11:23:34"/>
        <d v="2023-06-09T12:01:22"/>
        <d v="2023-06-09T12:14:51"/>
        <d v="2023-06-09T12:31:24"/>
        <d v="2023-06-09T13:38:17"/>
        <d v="2023-06-09T13:48:28"/>
        <d v="2023-06-09T13:55:12"/>
        <d v="2023-06-09T14:45:32"/>
        <d v="2023-06-09T16:36:13"/>
        <d v="2023-06-09T19:23:34"/>
        <d v="2023-06-10T08:06:27"/>
        <d v="2023-06-10T08:53:03"/>
        <d v="2023-06-10T09:18:27"/>
        <d v="2023-06-10T09:26:25"/>
        <d v="2023-06-10T09:38:10"/>
        <d v="2023-06-10T10:15:49"/>
        <d v="2023-06-10T10:23:08"/>
        <d v="2023-06-10T11:04:41"/>
        <d v="2023-06-10T11:55:09"/>
        <d v="2023-06-10T11:55:58"/>
        <d v="2023-06-10T12:57:35"/>
        <d v="2023-06-10T13:29:37"/>
        <d v="2023-06-10T14:11:15"/>
        <d v="2023-06-10T17:00:13"/>
        <d v="2023-06-10T17:18:19"/>
        <d v="2023-06-10T17:26:22"/>
        <d v="2023-06-10T17:40:50"/>
        <d v="2023-06-10T18:02:02"/>
        <d v="2023-06-10T19:01:46"/>
        <d v="2023-06-11T08:35:41"/>
        <d v="2023-06-11T09:43:42"/>
        <d v="2023-06-11T10:04:58"/>
        <d v="2023-06-11T11:45:57"/>
        <d v="2023-06-11T12:34:00"/>
        <d v="2023-06-11T12:50:10"/>
        <d v="2023-06-11T14:29:59"/>
        <d v="2023-06-11T17:29:06"/>
        <d v="2023-06-11T18:58:34"/>
        <d v="2023-06-12T09:24:07"/>
        <d v="2023-06-12T10:08:06"/>
        <d v="2023-06-12T10:34:39"/>
        <d v="2023-06-12T10:43:50"/>
        <d v="2023-06-12T11:39:03"/>
        <d v="2023-06-12T11:57:29"/>
        <d v="2023-06-12T13:42:02"/>
        <d v="2023-06-12T13:51:55"/>
        <d v="2023-06-12T15:28:38"/>
        <d v="2023-06-13T09:40:06"/>
        <d v="2023-06-13T09:58:14"/>
        <d v="2023-06-13T10:50:13"/>
        <d v="2023-06-13T11:56:45"/>
        <d v="2023-06-13T13:24:53"/>
        <d v="2023-06-13T13:49:09"/>
        <d v="2023-06-13T14:07:46"/>
        <d v="2023-06-13T16:07:49"/>
        <d v="2023-06-13T16:42:57"/>
        <d v="2023-06-13T17:17:58"/>
        <d v="2023-06-13T18:33:18"/>
        <d v="2023-06-14T08:51:18"/>
        <d v="2023-06-14T09:59:05"/>
        <d v="2023-06-14T11:04:13"/>
        <d v="2023-06-14T11:26:08"/>
        <d v="2023-06-14T11:32:06"/>
        <d v="2023-06-14T13:07:22"/>
        <d v="2023-06-14T14:54:20"/>
        <d v="2023-06-14T15:14:50"/>
        <d v="2023-06-14T15:36:46"/>
        <d v="2023-06-14T17:38:16"/>
        <d v="2023-06-14T18:50:54"/>
        <d v="2023-06-15T09:30:28"/>
        <d v="2023-06-15T13:55:40"/>
        <d v="2023-06-15T15:26:29"/>
        <d v="2023-06-15T17:27:42"/>
        <d v="2023-06-15T19:58:54"/>
        <d v="2023-06-16T08:43:49"/>
        <d v="2023-06-16T10:00:28"/>
        <d v="2023-06-16T12:23:56"/>
        <d v="2023-06-16T13:16:58"/>
        <d v="2023-06-16T14:54:14"/>
        <d v="2023-06-16T17:01:54"/>
        <d v="2023-06-16T17:37:23"/>
        <d v="2023-06-16T18:26:18"/>
        <d v="2023-06-17T09:35:40"/>
        <d v="2023-06-17T10:16:41"/>
        <d v="2023-06-17T17:17:24"/>
        <d v="2023-06-18T12:51:56"/>
        <d v="2023-06-18T14:56:03"/>
        <d v="2023-06-19T08:16:43"/>
        <d v="2023-06-19T11:57:26"/>
        <d v="2023-06-19T13:10:51"/>
        <d v="2023-06-19T13:16:54"/>
        <d v="2023-06-19T14:19:02"/>
        <d v="2023-06-19T15:15:43"/>
        <d v="2023-06-19T16:33:44"/>
        <d v="2023-06-19T16:37:32"/>
        <d v="2023-06-19T16:51:20"/>
        <d v="2023-06-19T16:54:46"/>
        <d v="2023-06-19T17:05:04"/>
        <d v="2023-06-19T17:30:27"/>
        <d v="2023-06-19T18:47:54"/>
        <d v="2023-06-20T11:47:30"/>
        <d v="2023-06-20T14:16:11"/>
        <d v="2023-06-20T14:31:11"/>
        <d v="2023-06-20T16:25:08"/>
        <d v="2023-06-20T16:30:20"/>
        <d v="2023-06-20T19:36:35"/>
        <d v="2023-06-21T08:20:39"/>
        <d v="2023-06-21T08:45:53"/>
        <d v="2023-06-21T10:34:48"/>
        <d v="2023-06-21T12:04:12"/>
        <d v="2023-06-21T16:23:53"/>
        <d v="2023-06-22T08:20:38"/>
        <d v="2023-06-22T08:52:38"/>
        <d v="2023-06-22T09:00:56"/>
        <d v="2023-06-22T12:26:05"/>
        <d v="2023-06-22T12:55:57"/>
        <d v="2023-06-22T13:23:50"/>
        <d v="2023-06-22T14:30:39"/>
        <d v="2023-06-22T14:54:47"/>
        <d v="2023-06-22T16:16:38"/>
        <d v="2023-06-23T08:46:19"/>
        <d v="2023-06-23T08:47:30"/>
        <d v="2023-06-23T10:42:36"/>
        <d v="2023-06-24T14:41:51"/>
        <d v="2023-06-24T18:46:10"/>
        <d v="2023-06-25T08:31:20"/>
        <d v="2023-06-25T08:58:40"/>
        <d v="2023-06-25T16:17:04"/>
        <d v="2023-06-26T09:20:22"/>
        <d v="2023-06-26T15:25:04"/>
        <d v="2023-06-26T15:38:39"/>
        <d v="2023-06-26T17:21:21"/>
        <d v="2023-06-27T08:20:30"/>
        <d v="2023-06-27T13:13:11"/>
        <d v="2023-06-27T15:10:24"/>
        <d v="2023-06-27T17:55:44"/>
        <d v="2023-06-27T19:37:07"/>
        <d v="2023-06-28T12:23:42"/>
        <d v="2023-06-28T16:26:26"/>
        <d v="2023-06-28T16:48:40"/>
        <d v="2023-06-28T18:13:16"/>
        <d v="2023-06-29T09:24:22"/>
        <d v="2023-06-29T11:46:14"/>
        <d v="2023-06-29T14:49:39"/>
        <d v="2023-06-29T14:54:08"/>
        <d v="2023-06-29T17:38:08"/>
        <d v="2023-06-29T18:31:46"/>
        <d v="2023-06-29T19:07:07"/>
        <d v="2023-06-30T10:49:02"/>
        <d v="2023-06-30T11:40:27"/>
        <d v="2023-06-30T14:00:47"/>
        <d v="2023-06-30T15:40:02"/>
        <d v="2023-06-30T17:45:07"/>
        <d v="2023-07-01T08:56:58"/>
        <d v="2023-07-01T10:44:56"/>
        <d v="2023-07-01T11:58:27"/>
        <d v="2023-07-01T16:33:48"/>
        <d v="2023-07-01T16:59:52"/>
        <d v="2023-07-02T09:37:39"/>
        <d v="2023-07-02T09:41:03"/>
        <d v="2023-07-02T14:22:49"/>
        <d v="2023-07-03T10:03:25"/>
        <d v="2023-07-03T11:01:35"/>
        <d v="2023-07-03T19:43:54"/>
        <d v="2023-07-04T08:58:11"/>
        <d v="2023-07-04T09:46:03"/>
        <d v="2023-07-04T10:39:32"/>
        <d v="2023-07-04T15:34:50"/>
        <d v="2023-07-04T16:48:35"/>
        <d v="2023-07-05T08:24:49"/>
        <d v="2023-07-05T08:41:16"/>
        <d v="2023-07-05T08:42:21"/>
        <d v="2023-07-05T09:10:11"/>
        <d v="2023-07-05T10:08:51"/>
        <d v="2023-07-05T13:15:56"/>
        <d v="2023-07-05T13:50:26"/>
        <d v="2023-07-05T15:32:44"/>
        <d v="2023-07-05T16:55:58"/>
        <d v="2023-07-05T19:21:21"/>
        <d v="2023-07-06T09:04:25"/>
        <d v="2023-07-06T10:58:42"/>
        <d v="2023-07-06T12:12:24"/>
        <d v="2023-07-06T14:05:00"/>
        <d v="2023-07-06T14:52:44"/>
        <d v="2023-07-06T18:09:55"/>
        <d v="2023-07-07T15:19:02"/>
        <d v="2023-07-07T17:07:21"/>
        <d v="2023-07-07T17:45:43"/>
        <d v="2023-07-08T09:58:50"/>
        <d v="2023-07-08T13:39:30"/>
        <d v="2023-07-08T16:55:19"/>
        <d v="2023-07-08T19:11:50"/>
        <d v="2023-07-09T14:10:33"/>
        <d v="2023-07-10T09:34:44"/>
        <d v="2023-07-10T10:46:31"/>
        <d v="2023-07-10T12:02:18"/>
        <d v="2023-07-10T12:33:55"/>
        <d v="2023-07-10T12:59:32"/>
        <d v="2023-07-11T09:56:21"/>
        <d v="2023-07-11T13:06:22"/>
        <d v="2023-07-11T13:41:21"/>
        <d v="2023-07-10T12:15:03"/>
        <d v="2023-07-11T15:10:56"/>
        <d v="2023-07-11T15:54:30"/>
        <d v="2023-07-11T15:57:55"/>
        <d v="2023-07-11T17:36:05"/>
        <d v="2023-07-11T17:47:14"/>
        <d v="2023-07-12T11:20:16"/>
        <d v="2023-07-12T12:24:27"/>
        <d v="2023-07-12T14:48:57"/>
        <d v="2023-07-12T15:17:50"/>
        <d v="2023-07-12T18:00:03"/>
        <d v="2023-07-13T08:09:32"/>
        <d v="2023-07-13T08:57:02"/>
        <d v="2023-07-13T10:56:01"/>
        <d v="2023-07-13T12:15:32"/>
        <d v="2023-07-13T12:45:01"/>
        <d v="2023-07-13T14:40:27"/>
        <d v="2023-07-13T16:10:38"/>
        <d v="2023-07-13T17:55:17"/>
        <d v="2023-07-13T18:52:17"/>
        <d v="2023-07-14T09:16:57"/>
        <d v="2023-07-14T10:28:04"/>
        <d v="2023-07-14T12:29:42"/>
        <d v="2023-07-14T17:38:39"/>
        <d v="2023-07-15T09:27:34"/>
        <d v="2023-07-15T14:03:54"/>
        <d v="2023-07-15T14:09:58"/>
        <d v="2023-07-15T18:47:16"/>
        <d v="2023-07-16T10:25:45"/>
        <d v="2023-07-16T13:16:46"/>
        <d v="2023-07-16T15:10:02"/>
        <d v="2023-07-16T17:10:19"/>
        <d v="2023-07-17T09:48:23"/>
        <d v="2023-07-17T10:34:10"/>
        <d v="2023-07-17T11:17:01"/>
        <d v="2023-07-17T14:26:49"/>
        <d v="2023-07-18T11:12:14"/>
        <d v="2023-07-18T11:41:35"/>
        <d v="2023-07-18T16:50:29"/>
        <d v="2023-07-18T17:56:56"/>
        <d v="2023-07-19T08:10:48"/>
        <d v="2023-07-19T09:38:58"/>
        <d v="2023-07-19T12:18:38"/>
        <d v="2023-07-19T14:26:01"/>
        <d v="2023-07-19T15:32:25"/>
        <d v="2023-07-19T16:34:56"/>
        <d v="2023-07-20T17:23:53"/>
        <d v="2023-07-20T18:35:38"/>
        <d v="2023-07-21T10:50:20"/>
        <d v="2023-07-21T13:28:48"/>
        <d v="2023-07-22T09:09:38"/>
        <d v="2023-07-22T10:09:37"/>
        <d v="2023-07-22T10:21:36"/>
        <d v="2023-07-22T17:13:05"/>
        <d v="2023-07-22T18:32:04"/>
        <d v="2023-07-23T09:41:51"/>
        <d v="2023-07-23T11:52:07"/>
        <d v="2023-07-24T13:34:59"/>
        <d v="2023-07-25T09:20:29"/>
        <d v="2023-07-25T11:09:47"/>
        <d v="2023-07-25T16:48:14"/>
        <d v="2023-07-26T10:00:08"/>
        <d v="2023-07-26T10:28:32"/>
        <d v="2023-07-26T11:10:42"/>
        <d v="2023-07-26T18:07:04"/>
        <d v="2023-07-27T08:50:53"/>
        <d v="2023-07-27T09:07:32"/>
        <d v="2023-07-27T14:45:43"/>
        <d v="2023-07-27T15:02:10"/>
        <d v="2023-07-28T10:22:14"/>
        <d v="2023-07-28T19:24:35"/>
        <d v="2023-07-29T09:45:57"/>
        <d v="2023-07-29T11:31:02"/>
        <d v="2023-07-29T12:19:41"/>
        <d v="2023-07-29T15:29:27"/>
        <d v="2023-07-29T18:56:32"/>
        <d v="2023-07-31T16:24:40"/>
        <d v="2023-07-31T17:08:22"/>
        <d v="2023-07-31T17:43:50"/>
        <d v="2023-08-01T15:09:47"/>
        <d v="2023-08-01T16:27:12"/>
        <d v="2023-08-02T16:29:26"/>
        <d v="2023-08-03T09:08:28"/>
        <d v="2023-08-03T09:18:54"/>
        <d v="2023-08-03T13:47:27"/>
        <d v="2023-08-03T15:51:42"/>
        <d v="2023-08-03T17:46:31"/>
        <d v="2023-08-04T09:16:45"/>
        <d v="2023-08-04T11:57:22"/>
        <d v="2023-08-04T14:41:20"/>
        <d v="2023-08-04T15:21:49"/>
        <d v="2023-08-04T16:21:29"/>
        <d v="2023-08-04T20:03:12"/>
        <d v="2023-08-05T09:45:49"/>
        <d v="2023-08-05T12:16:26"/>
        <d v="2023-08-05T12:27:03"/>
        <d v="2023-08-05T13:08:05"/>
        <d v="2023-08-05T13:51:06"/>
        <d v="2023-08-05T14:24:09"/>
        <d v="2023-08-05T18:43:53"/>
        <d v="2023-08-06T09:47:43"/>
        <d v="2023-08-07T10:23:10"/>
        <d v="2023-08-07T11:10:22"/>
        <d v="2023-08-07T12:52:11"/>
        <d v="2023-08-07T18:01:28"/>
        <d v="2023-08-07T18:56:04"/>
        <d v="2023-08-08T09:08:59"/>
        <d v="2023-08-08T09:20:55"/>
        <d v="2023-08-09T08:40:57"/>
        <d v="2023-08-09T08:50:00"/>
        <d v="2023-08-09T09:21:07"/>
        <d v="2023-08-09T11:57:53"/>
        <d v="2023-08-09T18:16:34"/>
        <d v="2023-08-10T08:11:35"/>
        <d v="2023-08-10T10:46:14"/>
        <d v="2023-08-10T11:19:18"/>
        <d v="2023-08-10T14:10:30"/>
        <d v="2023-08-10T15:58:06"/>
        <d v="2023-08-10T16:24:59"/>
        <d v="2023-08-10T19:38:16"/>
        <d v="2023-08-11T08:56:17"/>
        <d v="2023-08-11T09:12:40"/>
        <d v="2023-08-11T13:19:30"/>
        <d v="2023-08-11T17:54:48"/>
        <d v="2023-08-12T14:20:41"/>
        <d v="2023-08-12T15:59:25"/>
        <d v="2023-08-12T18:27:40"/>
        <d v="2023-08-14T09:28:06"/>
        <d v="2023-08-14T11:14:55"/>
        <d v="2023-08-14T16:02:52"/>
        <d v="2023-08-15T07:26:03"/>
        <d v="2023-08-15T18:38:11"/>
        <d v="2023-08-15T19:22:34"/>
        <d v="2023-08-16T12:28:38"/>
        <d v="2023-08-16T13:48:57"/>
        <d v="2023-08-16T16:49:54"/>
        <d v="2023-08-17T09:12:34"/>
        <d v="2023-08-17T11:54:41"/>
        <d v="2023-08-17T15:21:36"/>
        <d v="2023-08-17T15:56:25"/>
        <d v="2023-08-17T15:56:30"/>
        <d v="2023-08-17T17:15:47"/>
        <d v="2023-08-17T17:15:54"/>
        <d v="2023-08-17T18:12:12"/>
        <d v="2023-08-17T20:00:51"/>
        <d v="2023-08-18T09:47:15"/>
        <d v="2023-08-18T10:01:30"/>
        <d v="2023-08-18T11:30:10"/>
        <d v="2023-08-18T12:29:07"/>
        <d v="2023-08-18T15:12:59"/>
        <d v="2023-08-18T15:28:41"/>
        <d v="2023-08-19T11:30:40"/>
        <d v="2023-08-19T11:37:28"/>
        <d v="2023-08-19T14:57:29"/>
        <d v="2023-08-19T15:07:10"/>
        <d v="2023-08-19T16:29:55"/>
        <d v="2023-08-20T09:01:47"/>
        <d v="2023-08-20T09:50:00"/>
        <d v="2023-08-20T16:27:11"/>
        <d v="2023-08-21T09:39:01"/>
        <d v="2023-08-21T12:40:28"/>
        <d v="2023-08-21T13:46:31"/>
        <d v="2023-08-21T14:34:10"/>
        <d v="2023-08-21T16:13:32"/>
        <d v="2023-08-22T09:18:59"/>
        <d v="2023-08-22T12:35:07"/>
        <d v="2023-08-22T13:40:46"/>
        <d v="2023-08-22T15:02:24"/>
        <d v="2023-08-22T16:29:06"/>
        <d v="2023-08-22T16:46:16"/>
        <d v="2023-08-23T09:28:43"/>
        <d v="2023-08-23T09:36:32"/>
        <d v="2023-08-23T09:53:16"/>
        <d v="2023-08-23T11:24:56"/>
        <d v="2023-08-23T15:12:58"/>
        <d v="2023-08-23T16:02:07"/>
        <d v="2023-08-23T16:31:13"/>
        <d v="2023-08-24T08:47:25"/>
        <d v="2023-08-24T08:56:17"/>
        <d v="2023-08-25T12:46:52"/>
        <d v="2023-08-25T16:11:27"/>
        <d v="2023-08-25T16:17:13"/>
        <d v="2023-08-26T11:35:28"/>
        <d v="2023-08-26T14:11:20"/>
        <d v="2023-08-26T15:00:36"/>
        <d v="2023-08-28T13:06:52"/>
        <d v="2023-08-28T15:01:34"/>
        <d v="2023-08-28T18:59:58"/>
        <d v="2023-08-29T12:01:52"/>
        <d v="2023-08-29T14:55:06"/>
        <d v="2023-08-29T17:04:15"/>
        <d v="2023-08-30T08:56:16"/>
        <d v="2023-08-30T09:09:56"/>
        <d v="2023-08-30T14:15:16"/>
        <d v="2023-08-31T08:39:11"/>
        <d v="2023-08-31T10:22:28"/>
        <d v="2023-08-31T10:48:47"/>
        <d v="2023-08-31T18:38:07"/>
        <d v="2023-09-01T09:28:00"/>
        <d v="2023-09-01T09:31:39"/>
        <d v="2023-09-01T15:06:42"/>
        <d v="2023-09-01T18:04:45"/>
        <d v="2023-09-01T18:20:53"/>
        <d v="2023-09-02T08:32:43"/>
        <d v="2023-09-02T13:20:05"/>
        <d v="2023-09-02T17:32:50"/>
        <d v="2023-09-02T17:43:54"/>
        <d v="2023-09-03T16:18:18"/>
        <d v="2023-09-04T10:40:54"/>
        <d v="2023-09-04T17:13:16"/>
        <d v="2023-09-06T08:52:02"/>
        <d v="2023-09-06T11:47:19"/>
        <d v="2023-09-07T19:26:12"/>
        <d v="2023-09-08T09:52:05"/>
        <d v="2023-09-08T11:13:54"/>
        <d v="2023-09-08T12:03:55"/>
        <d v="2023-09-08T15:46:44"/>
        <d v="2023-09-09T09:40:43"/>
        <d v="2023-09-09T14:40:45"/>
        <d v="2023-09-09T17:12:45"/>
        <d v="2023-09-09T18:12:00"/>
        <d v="2023-09-09T19:05:00"/>
        <d v="2023-09-10T10:19:34"/>
        <d v="2023-09-10T12:15:50"/>
        <d v="2023-09-10T14:18:43"/>
        <d v="2023-09-10T17:17:31"/>
        <d v="2023-09-10T17:58:15"/>
        <d v="2023-09-11T07:58:25"/>
        <d v="2023-09-11T08:56:43"/>
        <d v="2023-09-11T12:26:34"/>
        <d v="2023-09-11T12:38:15"/>
        <d v="2023-09-11T14:57:38"/>
        <d v="2023-09-12T14:54:47"/>
        <d v="2023-09-12T15:36:46"/>
        <d v="2023-09-13T10:56:14"/>
        <d v="2023-09-13T11:25:57"/>
        <d v="2023-09-13T13:09:11"/>
        <d v="2023-09-13T14:29:32"/>
        <d v="2023-09-13T17:00:14"/>
        <d v="2023-09-14T08:45:07"/>
        <d v="2023-09-14T09:04:11"/>
        <d v="2023-09-14T11:17:17"/>
        <d v="2023-09-14T16:43:44"/>
        <d v="2023-09-14T17:25:39"/>
        <d v="2023-09-16T14:50:03"/>
        <d v="2023-09-16T15:38:30"/>
        <d v="2023-09-16T17:49:44"/>
        <d v="2023-09-16T18:37:13"/>
        <d v="2023-09-18T09:14:56"/>
        <d v="2023-09-18T09:45:05"/>
        <d v="2023-09-18T10:28:36"/>
        <d v="2023-09-18T14:17:37"/>
        <d v="2023-09-18T19:06:34"/>
        <d v="2023-09-19T10:41:41"/>
        <d v="2023-09-19T11:33:28"/>
        <d v="2023-09-19T14:19:43"/>
        <d v="2023-09-20T15:10:41"/>
        <d v="2023-09-21T10:38:33"/>
        <d v="2023-09-21T11:59:55"/>
        <d v="2023-09-21T12:25:27"/>
        <d v="2023-09-21T16:38:12"/>
        <d v="2023-09-21T16:43:24"/>
        <d v="2023-09-21T17:49:34"/>
        <d v="2023-09-21T18:45:41"/>
        <d v="2023-09-22T08:30:30"/>
        <d v="2023-09-22T10:31:15"/>
        <d v="2023-09-22T15:35:49"/>
        <d v="2023-09-22T16:00:27"/>
        <d v="2023-09-22T17:20:01"/>
        <d v="2023-09-23T11:56:15"/>
        <d v="2023-09-23T12:41:55"/>
        <d v="2023-09-24T11:29:22"/>
        <d v="2023-09-24T17:26:58"/>
        <d v="2023-09-24T19:36:18"/>
        <d v="2023-09-25T09:43:53"/>
        <d v="2023-09-25T11:55:52"/>
        <d v="2023-09-25T12:56:50"/>
        <d v="2023-09-25T19:17:07"/>
        <d v="2023-09-26T15:03:05"/>
        <d v="2023-09-26T16:16:36"/>
        <d v="2023-09-27T15:47:19"/>
        <d v="2023-09-27T17:52:15"/>
        <d v="2023-09-28T09:21:25"/>
        <d v="2023-09-29T08:32:57"/>
        <d v="2023-09-29T12:01:52"/>
        <d v="2023-09-29T15:32:50"/>
        <d v="2023-09-30T08:42:30"/>
        <d v="2023-10-01T17:33:34"/>
        <d v="2023-10-02T08:49:04"/>
        <d v="2023-10-03T09:06:51"/>
        <d v="2023-10-03T11:13:47"/>
        <d v="2023-10-03T12:02:07"/>
        <d v="2023-10-03T16:46:44"/>
        <d v="2023-10-04T09:34:51"/>
        <d v="2023-10-04T10:39:37"/>
        <d v="2023-10-04T11:17:27"/>
        <d v="2023-10-04T12:21:17"/>
        <d v="2023-10-04T14:02:04"/>
        <d v="2023-10-04T14:51:30"/>
        <d v="2023-10-04T16:24:05"/>
        <d v="2023-10-04T16:27:36"/>
        <d v="2023-10-05T08:53:14"/>
        <d v="2023-10-05T09:35:57"/>
        <d v="2023-10-05T11:48:21"/>
        <d v="2023-10-05T13:37:28"/>
        <d v="2023-10-05T14:07:50"/>
        <d v="2023-10-05T17:20:48"/>
        <d v="2023-10-05T18:32:13"/>
        <d v="2023-10-06T08:52:46"/>
        <d v="2023-10-06T10:35:20"/>
        <d v="2023-10-06T13:51:50"/>
        <d v="2023-10-06T14:07:53"/>
        <d v="2023-10-07T08:15:57"/>
        <d v="2023-10-07T14:48:24"/>
        <d v="2023-10-07T16:29:39"/>
        <d v="2023-10-08T09:12:49"/>
        <d v="2023-10-09T11:33:16"/>
        <d v="2023-10-09T12:03:57"/>
        <d v="2023-10-09T15:29:36"/>
        <d v="2023-10-09T15:35:50"/>
        <d v="2023-10-10T09:38:15"/>
        <d v="2023-10-10T09:41:41"/>
        <d v="2023-10-10T10:32:56"/>
        <d v="2023-10-10T10:41:49"/>
        <d v="2023-10-10T13:42:50"/>
        <d v="2023-10-10T16:15:07"/>
        <d v="2023-10-11T10:06:47"/>
        <d v="2023-10-12T16:08:41"/>
        <d v="2023-10-12T19:25:32"/>
        <d v="2023-10-13T11:25:04"/>
        <d v="2023-10-13T18:27:12"/>
        <d v="2023-10-14T11:04:59"/>
        <d v="2023-10-14T12:34:41"/>
        <d v="2023-10-14T13:54:08"/>
        <d v="2023-10-15T08:24:11"/>
        <d v="2023-10-15T10:58:48"/>
        <d v="2023-10-16T08:41:10"/>
        <d v="2023-10-16T13:15:01"/>
        <d v="2023-10-16T17:23:13"/>
        <d v="2023-10-16T17:49:19"/>
        <d v="2023-10-17T09:32:53"/>
        <d v="2023-10-17T12:42:36"/>
        <d v="2023-10-17T12:46:51"/>
        <d v="2023-10-17T13:53:33"/>
        <d v="2023-10-17T14:24:09"/>
        <d v="2023-10-17T15:53:47"/>
        <d v="2023-10-17T16:45:19"/>
        <d v="2023-10-17T17:22:40"/>
        <d v="2023-10-17T17:51:50"/>
        <d v="2023-10-18T11:53:23"/>
        <d v="2023-10-18T15:34:22"/>
        <d v="2023-10-18T18:18:38"/>
        <d v="2023-10-18T18:58:01"/>
        <d v="2023-10-19T10:04:50"/>
        <d v="2023-10-19T15:39:16"/>
        <d v="2023-10-20T08:03:37"/>
        <d v="2023-10-20T08:56:25"/>
        <d v="2023-10-20T09:12:39"/>
        <d v="2023-10-20T09:34:07"/>
        <d v="2023-10-21T09:50:20"/>
        <d v="2023-10-21T13:14:20"/>
        <d v="2023-10-21T13:44:16"/>
        <d v="2023-10-21T16:11:41"/>
        <d v="2023-10-21T16:27:55"/>
        <d v="2023-10-21T19:13:38"/>
        <d v="2023-10-22T09:13:55"/>
        <d v="2023-10-22T09:16:11"/>
        <d v="2023-10-22T13:53:57"/>
        <d v="2023-10-22T19:17:47"/>
        <d v="2023-10-23T08:29:13"/>
        <d v="2023-10-23T15:47:29"/>
        <d v="2023-10-23T17:46:12"/>
        <d v="2023-10-24T11:00:47"/>
        <d v="2023-10-24T09:38:13"/>
        <d v="2023-10-24T10:01:36"/>
        <d v="2023-10-24T11:16:06"/>
        <d v="2023-10-24T13:30:19"/>
        <d v="2023-10-25T08:31:38"/>
        <d v="2023-10-25T09:01:20"/>
        <d v="2023-10-25T09:02:01"/>
        <d v="2023-10-25T15:58:05"/>
        <d v="2023-10-26T08:27:41"/>
        <d v="2023-10-26T10:35:37"/>
        <d v="2023-10-26T14:10:41"/>
        <d v="2023-10-27T08:45:35"/>
        <d v="2023-10-27T11:49:19"/>
        <d v="2023-10-27T17:02:21"/>
        <d v="2023-10-27T19:37:54"/>
        <d v="2023-10-28T08:40:27"/>
        <d v="2023-10-29T18:25:25"/>
        <d v="2023-10-29T19:42:34"/>
        <d v="2023-10-30T11:52:42"/>
        <d v="2023-10-30T15:27:29"/>
        <d v="2023-10-30T16:18:57"/>
        <d v="2023-10-30T16:37:52"/>
        <d v="2023-10-30T18:39:34"/>
        <d v="2023-10-31T10:18:02"/>
        <d v="2023-10-31T12:50:56"/>
        <d v="2023-11-01T10:15:39"/>
        <d v="2023-11-01T14:41:39"/>
        <d v="2023-11-02T11:28:34"/>
        <d v="2023-11-02T11:51:00"/>
        <d v="2023-11-02T14:02:26"/>
        <d v="2023-11-03T09:01:18"/>
        <d v="2023-11-03T10:43:42"/>
        <d v="2023-11-03T17:59:36"/>
        <d v="2023-11-03T18:57:41"/>
        <d v="2023-11-04T09:49:23"/>
        <d v="2023-11-04T13:31:14"/>
        <d v="2023-11-05T14:12:41"/>
        <d v="2023-11-06T09:01:04"/>
        <d v="2023-11-06T10:56:31"/>
        <d v="2023-11-06T13:21:53"/>
        <d v="2023-11-06T19:21:55"/>
        <d v="2023-11-07T09:38:53"/>
        <d v="2023-11-07T09:40:36"/>
        <d v="2023-11-08T12:30:09"/>
        <d v="2023-11-09T09:07:30"/>
        <d v="2023-11-09T09:58:09"/>
        <d v="2023-11-11T13:14:20"/>
        <d v="2023-11-12T10:25:50"/>
        <d v="2023-11-13T13:13:35"/>
        <d v="2023-11-13T19:56:11"/>
        <d v="2023-11-13T20:13:22"/>
        <d v="2023-11-14T10:06:19"/>
        <d v="2023-11-14T10:36:03"/>
        <d v="2023-11-14T13:26:50"/>
        <d v="2023-11-14T14:39:18"/>
        <d v="2023-11-14T17:02:07"/>
        <d v="2023-11-15T09:28:18"/>
        <d v="2023-11-15T13:35:15"/>
        <d v="2023-11-15T18:14:32"/>
        <d v="2023-11-16T10:45:16"/>
        <d v="2023-11-16T18:33:23"/>
        <d v="2023-11-17T12:20:26"/>
        <d v="2023-11-18T09:07:17"/>
        <d v="2023-11-18T17:13:27"/>
        <d v="2023-11-18T18:30:03"/>
        <d v="2023-11-19T08:34:47"/>
        <d v="2023-11-19T10:18:31"/>
        <d v="2023-11-19T13:26:04"/>
        <d v="2023-11-19T15:29:16"/>
        <d v="2023-11-20T10:21:12"/>
        <d v="2023-11-20T15:14:53"/>
        <d v="2023-11-20T15:46:40"/>
        <d v="2023-11-20T16:18:19"/>
        <d v="2023-11-21T08:53:26"/>
        <d v="2023-11-21T09:02:15"/>
        <d v="2023-11-21T09:23:57"/>
        <d v="2023-11-21T11:12:34"/>
        <d v="2023-11-21T12:00:57"/>
        <d v="2023-11-21T12:31:23"/>
        <d v="2023-11-21T15:23:39"/>
        <d v="2023-11-21T15:24:43"/>
        <d v="2023-11-21T17:07:25"/>
        <d v="2023-11-22T08:34:58"/>
        <d v="2023-11-22T10:44:42"/>
        <d v="2023-11-22T11:40:07"/>
        <d v="2023-11-22T12:10:23"/>
        <d v="2023-11-22T13:26:00"/>
        <d v="2023-11-23T08:56:30"/>
        <d v="2023-11-23T09:34:31"/>
        <d v="2023-11-23T11:20:15"/>
        <d v="2023-11-23T18:08:14"/>
        <d v="2023-11-23T18:28:57"/>
        <d v="2023-11-23T18:36:46"/>
        <d v="2023-11-24T08:27:06"/>
        <d v="2023-11-24T11:28:24"/>
        <d v="2023-11-24T19:12:33"/>
        <d v="2023-11-25T12:39:45"/>
        <d v="2023-11-25T14:08:32"/>
        <d v="2023-11-25T14:49:40"/>
        <d v="2023-11-25T15:38:39"/>
        <d v="2023-11-26T11:07:27"/>
        <d v="2023-11-26T11:44:50"/>
        <d v="2023-11-26T12:36:41"/>
        <d v="2023-11-26T13:56:05"/>
        <d v="2023-11-28T07:46:04"/>
        <d v="2023-11-28T08:58:24"/>
        <d v="2023-11-28T10:21:53"/>
        <d v="2023-11-28T10:29:40"/>
        <d v="2023-11-28T16:48:41"/>
        <d v="2023-11-28T17:15:01"/>
        <d v="2023-11-28T17:32:54"/>
        <d v="2023-11-28T18:45:00"/>
        <d v="2023-11-29T08:47:10"/>
        <d v="2023-11-29T13:07:48"/>
        <d v="2023-11-29T17:27:02"/>
        <d v="2023-11-29T17:58:18"/>
        <d v="2023-11-30T13:24:45"/>
        <d v="2023-11-30T15:22:32"/>
        <d v="2023-12-01T09:15:48"/>
        <d v="2023-12-01T17:27:29"/>
        <d v="2023-12-02T08:07:58"/>
        <d v="2023-12-02T12:55:51"/>
        <d v="2023-12-03T08:58:30"/>
        <d v="2023-12-03T17:13:40"/>
        <d v="2023-12-04T08:43:43"/>
        <d v="2023-12-04T09:23:49"/>
        <d v="2023-12-04T10:35:31"/>
        <d v="2023-12-04T10:39:29"/>
        <d v="2023-12-04T11:34:30"/>
        <d v="2023-12-04T12:51:57"/>
        <d v="2023-12-04T15:29:11"/>
        <d v="2023-12-05T08:26:40"/>
        <d v="2023-12-05T08:39:48"/>
        <d v="2023-12-05T08:57:47"/>
        <d v="2023-12-05T13:34:21"/>
        <d v="2023-12-05T16:36:12"/>
        <d v="2023-12-06T08:49:03"/>
        <d v="2023-12-06T11:06:50"/>
        <d v="2023-12-06T11:55:44"/>
        <d v="2023-12-06T14:49:19"/>
        <d v="2023-12-06T15:41:12"/>
        <d v="2023-12-06T19:18:02"/>
        <d v="2023-12-07T11:05:27"/>
        <d v="2023-12-07T11:48:50"/>
        <d v="2023-12-07T15:22:14"/>
        <d v="2023-12-07T17:19:37"/>
        <d v="2023-12-07T17:38:51"/>
        <d v="2023-12-07T18:25:21"/>
        <d v="2023-12-08T09:49:04"/>
        <d v="2023-12-08T13:22:47"/>
        <d v="2023-12-08T13:44:51"/>
        <d v="2023-12-08T14:02:17"/>
        <d v="2023-12-08T16:30:38"/>
        <d v="2023-12-09T11:11:05"/>
        <d v="2023-12-09T17:49:38"/>
        <d v="2023-12-10T10:46:17"/>
        <d v="2023-12-10T15:00:09"/>
        <d v="2023-12-10T16:16:01"/>
        <d v="2023-12-11T11:18:51"/>
        <d v="2023-12-11T11:20:35"/>
        <d v="2023-12-11T12:09:23"/>
        <d v="2023-12-11T13:33:27"/>
        <d v="2023-12-11T14:21:06"/>
        <d v="2023-12-11T15:10:19"/>
        <d v="2023-12-11T15:42:59"/>
        <d v="2023-12-11T15:44:11"/>
        <d v="2023-12-11T21:42:36"/>
        <d v="2023-12-12T12:37:14"/>
        <d v="2023-12-12T13:43:45"/>
        <d v="2023-12-12T17:56:16"/>
        <d v="2023-12-13T08:43:47"/>
        <d v="2023-12-13T10:27:30"/>
        <d v="2023-12-13T11:20:26"/>
        <d v="2023-12-13T11:30:08"/>
        <d v="2023-12-13T15:09:47"/>
        <d v="2023-12-13T15:30:48"/>
        <d v="2023-12-14T09:17:38"/>
        <d v="2023-12-14T11:40:26"/>
        <d v="2023-12-14T13:22:09"/>
        <d v="2023-12-14T14:06:37"/>
        <d v="2023-12-14T16:10:23"/>
        <d v="2023-12-14T16:19:10"/>
        <d v="2023-12-14T17:48:03"/>
        <d v="2023-12-15T09:23:33"/>
        <d v="2023-12-15T10:18:18"/>
        <d v="2023-12-15T16:33:42"/>
        <d v="2023-12-16T10:31:11"/>
        <d v="2023-12-16T11:13:35"/>
        <d v="2023-12-16T11:23:09"/>
        <d v="2023-12-16T11:35:51"/>
        <d v="2023-12-16T12:38:58"/>
        <d v="2023-12-17T08:42:53"/>
        <d v="2023-12-15T19:30:00"/>
        <d v="2023-12-17T11:46:55"/>
        <d v="2023-12-17T12:31:28"/>
        <d v="2023-12-17T15:52:53"/>
        <d v="2023-12-18T09:18:18"/>
        <d v="2023-12-18T11:59:11"/>
        <d v="2023-12-18T12:43:15"/>
        <d v="2023-12-18T14:53:43"/>
        <d v="2023-12-18T14:55:24"/>
        <d v="2023-12-18T15:43:16"/>
        <d v="2023-12-18T17:19:14"/>
        <d v="2023-12-18T17:58:32"/>
        <d v="2023-12-18T18:36:46"/>
        <d v="2023-12-19T11:31:39"/>
        <d v="2023-12-19T11:39:30"/>
        <d v="2023-12-19T13:37:08"/>
        <d v="2023-12-19T15:04:12"/>
        <d v="2023-12-19T15:34:28"/>
        <d v="2023-12-19T17:24:27"/>
        <d v="2023-12-19T18:34:56"/>
        <d v="2023-12-19T19:18:12"/>
        <d v="2023-12-20T09:05:56"/>
        <d v="2023-12-20T09:25:49"/>
        <d v="2023-12-20T10:38:23"/>
        <d v="2023-12-20T12:34:48"/>
        <d v="2023-12-20T14:15:46"/>
        <d v="2023-12-20T14:43:29"/>
        <d v="2023-12-20T20:13:39"/>
        <d v="2023-12-21T09:27:04"/>
        <d v="2023-12-21T10:05:19"/>
        <d v="2023-12-21T11:52:18"/>
        <d v="2023-12-21T14:33:41"/>
        <d v="2023-12-21T16:37:43"/>
        <d v="2023-12-21T17:45:53"/>
        <d v="2023-12-22T10:29:29"/>
        <d v="2023-12-22T10:55:45"/>
        <d v="2023-12-22T10:57:37"/>
        <d v="2023-12-22T15:03:12"/>
        <d v="2023-12-22T15:42:00"/>
        <d v="2023-12-22T16:32:00"/>
        <d v="2023-12-23T10:33:04"/>
        <d v="2023-12-23T14:38:01"/>
        <d v="2023-12-25T16:00:41"/>
        <d v="2023-12-25T18:28:38"/>
        <d v="2023-12-26T09:23:07"/>
        <d v="2023-12-26T09:29:03"/>
        <d v="2023-12-26T17:04:44"/>
        <d v="2023-12-27T09:55:17"/>
        <d v="2023-12-27T10:22:52"/>
        <d v="2023-12-27T16:13:43"/>
        <d v="2023-12-27T16:56:43"/>
        <d v="2023-12-28T12:48:22"/>
        <d v="2023-12-28T13:12:18"/>
        <d v="2023-12-28T16:47:07"/>
        <d v="2023-12-28T17:54:15"/>
        <d v="2023-12-28T18:12:32"/>
        <d v="2023-12-29T10:58:40"/>
        <d v="2023-12-29T11:49:10"/>
        <d v="2023-12-29T19:20:56"/>
        <d v="2023-12-30T08:10:44"/>
        <d v="2023-12-30T08:49:22"/>
        <d v="2023-12-30T17:30:36"/>
        <d v="2023-12-30T19:40:47"/>
        <d v="2024-01-01T10:44:29"/>
        <d v="2024-01-01T11:46:23"/>
        <d v="2024-01-02T08:49:56"/>
        <d v="2024-01-02T10:30:30"/>
        <d v="2024-01-02T13:55:41"/>
        <d v="2024-01-02T14:41:23"/>
        <d v="2024-01-02T14:56:21"/>
        <d v="2024-01-02T16:14:16"/>
        <d v="2024-01-02T19:08:40"/>
        <d v="2024-01-03T08:33:46"/>
        <d v="2024-01-03T10:15:53"/>
        <d v="2024-01-03T11:01:01"/>
        <d v="2024-01-03T11:23:10"/>
        <d v="2024-01-03T12:09:39"/>
        <d v="2024-01-03T14:04:42"/>
        <d v="2024-01-03T14:07:51"/>
        <d v="2024-01-03T15:08:58"/>
        <d v="2024-01-03T15:39:51"/>
        <d v="2024-01-03T17:06:43"/>
        <d v="2024-01-03T17:47:39"/>
        <d v="2024-01-03T18:40:49"/>
        <d v="2024-01-04T08:30:34"/>
        <d v="2024-01-04T10:40:46"/>
        <d v="2024-01-04T10:56:02"/>
        <d v="2024-01-04T11:32:09"/>
        <d v="2024-01-04T11:44:56"/>
        <d v="2024-01-04T14:11:17"/>
        <d v="2024-01-04T14:32:46"/>
        <d v="2024-01-04T14:36:19"/>
        <d v="2024-01-04T16:24:43"/>
        <d v="2024-01-04T16:43:22"/>
        <d v="2024-01-04T17:08:16"/>
        <d v="2024-01-05T08:44:30"/>
        <d v="2024-01-05T09:11:17"/>
        <d v="2024-01-05T09:51:47"/>
        <d v="2024-01-05T11:32:01"/>
        <d v="2024-01-05T13:42:26"/>
        <d v="2024-01-05T16:57:53"/>
        <d v="2024-01-06T12:35:08"/>
        <d v="2024-01-06T15:51:37"/>
        <d v="2024-01-06T16:45:45"/>
        <d v="2024-01-06T17:29:41"/>
        <d v="2024-01-06T18:21:51"/>
        <d v="2024-01-08T09:24:16"/>
        <d v="2024-01-08T10:58:52"/>
        <d v="2024-01-09T11:01:22"/>
        <d v="2024-01-09T12:15:28"/>
        <d v="2024-01-09T12:21:44"/>
        <d v="2024-01-09T12:53:11"/>
        <d v="2024-01-09T14:46:29"/>
        <d v="2024-01-09T16:44:43"/>
        <d v="2024-01-10T09:52:08"/>
        <d v="2024-01-10T10:46:41"/>
        <d v="2024-01-10T11:09:30"/>
        <d v="2024-01-10T12:14:29"/>
        <d v="2024-01-10T14:16:34"/>
        <d v="2024-01-10T15:54:06"/>
        <d v="2024-01-10T17:05:31"/>
        <d v="2024-01-10T18:18:30"/>
        <d v="2024-01-10T19:00:00"/>
        <d v="2024-01-11T09:59:35"/>
        <d v="2024-01-11T10:48:40"/>
        <d v="2024-01-11T11:56:49"/>
        <d v="2024-01-11T12:50:46"/>
        <d v="2024-01-11T13:11:18"/>
        <d v="2024-01-11T13:28:33"/>
        <d v="2024-01-11T14:57:37"/>
        <d v="2024-01-12T11:35:45"/>
        <d v="2024-01-12T13:28:40"/>
        <d v="2024-01-12T13:49:39"/>
        <d v="2024-01-12T15:26:53"/>
        <d v="2024-01-13T09:17:04"/>
        <d v="2024-01-13T09:31:15"/>
        <d v="2024-01-14T13:21:07"/>
        <d v="2024-01-14T14:30:03"/>
        <d v="2024-01-14T18:38:37"/>
        <d v="2024-01-15T09:50:23"/>
        <d v="2024-01-15T10:00:09"/>
        <d v="2024-01-15T16:14:12"/>
        <d v="2024-01-15T16:40:40"/>
        <d v="2024-01-15T20:06:10"/>
        <d v="2024-01-16T09:47:32"/>
        <d v="2024-01-16T15:39:01"/>
        <d v="2024-01-17T08:26:49"/>
        <d v="2024-01-17T09:24:41"/>
        <d v="2024-01-17T09:36:33"/>
        <d v="2024-01-17T12:17:24"/>
        <d v="2024-01-17T14:35:57"/>
        <d v="2024-01-17T16:39:54"/>
        <d v="2024-01-18T10:43:35"/>
        <d v="2024-01-18T12:21:09"/>
        <d v="2024-01-18T12:36:59"/>
        <d v="2024-01-18T14:15:48"/>
        <d v="2024-01-19T12:22:52"/>
        <d v="2024-01-19T12:42:47"/>
        <d v="2024-01-19T12:58:24"/>
        <d v="2024-01-19T16:42:00"/>
        <d v="2024-01-19T17:39:45"/>
        <d v="2024-01-20T09:44:26"/>
        <d v="2024-01-20T10:57:51"/>
        <d v="2024-01-20T16:04:51"/>
        <d v="2024-01-20T16:15:16"/>
        <d v="2024-01-21T13:20:32"/>
        <d v="2024-01-21T15:13:39"/>
        <d v="2024-01-22T11:25:56"/>
        <d v="2024-01-22T14:23:35"/>
        <d v="2024-01-23T11:05:28"/>
        <d v="2024-01-23T11:56:30"/>
        <d v="2024-01-23T14:56:40"/>
        <d v="2024-01-23T16:28:06"/>
        <d v="2024-01-23T17:49:31"/>
        <d v="2024-01-23T18:36:25"/>
        <d v="2024-01-24T08:12:20"/>
        <d v="2024-01-24T10:23:05"/>
        <d v="2024-01-24T10:36:43"/>
        <d v="2024-01-25T10:11:54"/>
        <d v="2024-01-26T08:42:03"/>
        <d v="2024-01-26T10:26:08"/>
        <d v="2024-01-26T14:27:49"/>
        <d v="2024-01-26T15:46:20"/>
        <d v="2024-01-26T17:58:34"/>
        <d v="2024-01-26T18:53:57"/>
        <d v="2024-01-27T14:09:10"/>
        <d v="2024-01-27T16:16:24"/>
        <d v="2024-01-29T09:44:12"/>
        <d v="2024-01-29T14:44:53"/>
        <d v="2024-01-29T15:34:07"/>
        <d v="2024-01-30T09:42:25"/>
        <d v="2024-01-30T09:50:41"/>
        <d v="2024-01-30T11:19:18"/>
        <d v="2024-01-30T16:14:11"/>
        <d v="2024-01-30T18:18:19"/>
        <d v="2024-01-31T08:56:31"/>
        <d v="2024-01-31T11:22:23"/>
        <d v="2024-01-31T11:57:42"/>
        <d v="2024-01-31T12:56:51"/>
        <d v="2024-01-31T15:26:32"/>
        <d v="2024-01-31T16:42:24"/>
        <d v="2024-01-31T17:25:37"/>
        <d v="2024-02-01T07:51:24"/>
        <d v="2024-02-01T11:36:24"/>
        <d v="2024-02-01T13:43:54"/>
        <d v="2024-02-01T14:28:52"/>
        <d v="2024-02-01T15:03:22"/>
        <d v="2024-02-02T09:15:58"/>
        <d v="2024-02-02T14:18:25"/>
        <d v="2024-02-02T14:28:17"/>
        <d v="2024-02-03T08:32:35"/>
        <d v="2024-02-03T10:01:59"/>
        <d v="2024-02-03T12:28:26"/>
        <d v="2024-02-03T14:19:52"/>
        <d v="2024-02-04T16:22:22"/>
        <d v="2024-02-05T09:08:10"/>
        <d v="2024-02-05T12:32:56"/>
        <d v="2024-02-05T12:38:14"/>
        <d v="2024-02-05T15:57:41"/>
        <d v="2024-02-05T16:54:16"/>
        <d v="2024-02-05T16:56:58"/>
        <d v="2024-02-05T17:20:55"/>
        <d v="2024-02-06T18:48:28"/>
        <d v="2024-02-06T19:22:24"/>
        <d v="2024-02-07T08:59:11"/>
        <d v="2024-02-07T09:53:10"/>
        <d v="2024-02-07T11:05:03"/>
        <d v="2024-02-07T11:08:52"/>
        <d v="2024-02-07T18:06:10"/>
        <d v="2024-02-08T11:20:03"/>
        <d v="2024-02-08T16:39:11"/>
        <d v="2024-02-08T18:13:02"/>
        <d v="2024-02-09T10:51:55"/>
        <d v="2024-02-09T16:01:46"/>
        <d v="2024-02-09T16:37:18"/>
        <d v="2024-02-10T09:25:53"/>
        <d v="2024-02-10T11:31:12"/>
        <d v="2024-02-10T12:22:23"/>
        <d v="2024-02-10T19:31:37"/>
        <d v="2024-02-10T20:00:11"/>
        <d v="2024-02-11T11:33:45"/>
        <d v="2024-02-11T12:05:14"/>
        <d v="2024-02-11T13:31:08"/>
        <d v="2024-02-11T14:24:50"/>
        <d v="2024-02-11T15:15:51"/>
        <d v="2024-02-11T17:33:21"/>
        <d v="2024-02-11T18:02:43"/>
        <d v="2024-02-12T11:39:54"/>
        <d v="2024-02-12T13:39:44"/>
        <d v="2024-02-13T09:33:33"/>
        <d v="2024-02-13T11:30:19"/>
        <d v="2024-02-13T14:03:26"/>
        <d v="2024-02-13T16:30:16"/>
        <d v="2024-02-14T16:24:26"/>
        <d v="2024-02-15T09:00:58"/>
        <d v="2024-02-15T09:20:28"/>
        <d v="2024-02-15T19:33:33"/>
        <d v="2024-02-16T09:20:36"/>
        <d v="2024-02-16T09:32:52"/>
        <d v="2024-02-16T13:28:15"/>
        <d v="2024-02-16T13:32:09"/>
        <d v="2024-02-17T16:12:53"/>
        <d v="2024-02-17T17:32:20"/>
        <d v="2024-02-18T12:55:30"/>
        <d v="2024-02-18T17:55:29"/>
        <d v="2024-02-19T11:26:56"/>
        <d v="2024-02-19T11:44:55"/>
        <d v="2024-02-19T14:19:46"/>
        <d v="2024-02-19T14:50:56"/>
        <d v="2024-02-19T18:57:19"/>
        <d v="2024-02-20T11:15:00"/>
        <d v="2024-02-20T11:37:08"/>
        <d v="2024-02-20T13:30:06"/>
        <d v="2024-02-20T16:55:16"/>
        <d v="2024-02-21T10:06:36"/>
        <d v="2024-02-21T11:34:43"/>
        <d v="2024-02-21T14:18:31"/>
        <d v="2024-02-21T16:18:16"/>
        <d v="2024-02-22T09:00:02"/>
        <d v="2024-02-22T09:54:17"/>
        <d v="2024-02-22T10:20:38"/>
        <d v="2024-02-22T17:41:27"/>
        <d v="2024-02-23T09:22:32"/>
        <d v="2024-02-23T10:29:01"/>
        <d v="2024-02-23T10:34:08"/>
        <d v="2024-02-23T15:06:41"/>
        <d v="2024-02-24T16:10:16"/>
        <d v="2024-02-24T17:49:55"/>
        <d v="2024-02-25T08:41:31"/>
        <d v="2024-02-25T09:10:19"/>
        <d v="2024-02-25T11:44:36"/>
        <d v="2024-02-25T12:39:55"/>
        <d v="2024-02-26T11:27:58"/>
        <d v="2024-02-26T12:32:47"/>
        <d v="2024-02-26T16:14:08"/>
        <d v="2024-02-26T16:32:20"/>
        <d v="2024-02-26T17:06:34"/>
        <d v="2024-02-27T08:32:38"/>
        <d v="2024-02-27T10:04:19"/>
        <d v="2024-02-27T10:28:13"/>
        <d v="2024-02-27T14:00:35"/>
        <d v="2024-02-28T12:12:43"/>
        <d v="2024-02-28T13:32:42"/>
        <d v="2024-02-29T11:47:27"/>
        <d v="2024-02-29T11:51:55"/>
        <d v="2024-02-29T12:14:00"/>
        <d v="2024-02-29T13:11:34"/>
        <d v="2024-02-29T16:48:01"/>
        <d v="2024-03-01T08:43:12"/>
        <d v="2024-03-01T08:43:17"/>
        <d v="2024-03-01T08:58:44"/>
        <d v="2024-03-01T10:30:43"/>
        <d v="2024-03-01T16:21:12"/>
        <d v="2024-03-01T16:45:05"/>
        <d v="2024-03-01T18:13:28"/>
        <d v="2024-03-02T08:55:36"/>
        <d v="2024-03-02T09:34:07"/>
        <d v="2024-03-02T11:56:46"/>
        <d v="2024-03-02T14:27:36"/>
        <d v="2024-03-02T15:10:34"/>
        <d v="2024-03-02T18:15:26"/>
        <d v="2024-03-03T09:26:21"/>
        <d v="2024-03-03T15:34:10"/>
        <d v="2024-03-04T08:42:01"/>
        <d v="2024-03-04T09:07:16"/>
        <d v="2024-03-04T09:51:36"/>
        <d v="2024-03-04T10:49:08"/>
        <d v="2024-03-04T11:42:18"/>
        <d v="2024-03-04T14:43:24"/>
        <d v="2024-03-05T08:21:19"/>
        <d v="2024-03-05T09:33:10"/>
        <d v="2024-03-05T10:06:44"/>
        <d v="2024-03-05T10:41:02"/>
        <d v="2024-03-05T12:19:30"/>
        <d v="2024-03-05T14:23:07"/>
        <d v="2024-03-06T08:29:44"/>
        <d v="2024-03-06T11:21:35"/>
        <d v="2024-03-06T12:23:32"/>
        <d v="2024-03-06T14:38:27"/>
        <d v="2024-03-07T09:15:58"/>
        <d v="2024-03-07T09:46:42"/>
        <d v="2024-03-07T13:50:08"/>
        <d v="2024-03-07T17:36:14"/>
        <d v="2024-03-07T17:47:03"/>
        <d v="2024-03-08T10:59:28"/>
        <d v="2024-03-08T12:24:52"/>
        <d v="2024-03-08T15:37:08"/>
        <d v="2024-03-08T18:15:58"/>
        <d v="2024-03-09T10:46:51"/>
        <d v="2024-03-09T11:24:18"/>
        <d v="2024-03-09T11:32:29"/>
        <d v="2024-03-09T16:09:03"/>
        <d v="2024-03-10T17:53:46"/>
        <d v="2024-03-11T13:46:56"/>
        <d v="2024-03-11T14:24:55"/>
        <d v="2024-03-11T15:39:26"/>
        <d v="2024-03-12T08:33:08"/>
        <d v="2024-03-12T14:14:17"/>
        <d v="2024-03-13T10:38:17"/>
        <d v="2024-03-13T13:50:22"/>
        <d v="2024-03-13T15:03:35"/>
        <d v="2024-03-13T15:31:17"/>
        <d v="2024-03-13T16:46:33"/>
        <d v="2024-03-14T08:37:24"/>
        <d v="2024-03-14T09:52:11"/>
        <d v="2024-03-14T10:42:23"/>
        <d v="2024-03-14T10:56:39"/>
        <d v="2024-03-14T16:15:10"/>
        <d v="2024-03-14T19:12:11"/>
        <d v="2024-03-15T08:48:33"/>
        <d v="2024-03-15T14:08:40"/>
        <d v="2024-03-15T14:28:44"/>
        <d v="2024-03-15T15:26:36"/>
        <d v="2024-03-15T15:56:49"/>
        <d v="2024-03-16T14:49:43"/>
        <d v="2024-03-16T16:47:24"/>
        <d v="2024-03-16T16:56:37"/>
        <d v="2024-03-16T19:21:44"/>
        <d v="2024-03-18T08:49:59"/>
        <d v="2024-03-18T18:32:20"/>
        <d v="2024-03-19T08:41:50"/>
        <d v="2024-03-19T09:07:54"/>
        <d v="2024-03-20T09:33:19"/>
        <d v="2024-03-20T10:31:35"/>
        <d v="2024-03-20T16:08:28"/>
        <d v="2024-03-20T18:05:36"/>
        <d v="2024-03-21T08:22:50"/>
        <d v="2024-03-21T09:50:58"/>
        <d v="2024-03-21T11:52:04"/>
        <d v="2024-03-21T16:01:26"/>
        <d v="2024-03-21T16:03:56"/>
        <d v="2024-03-21T17:13:54"/>
        <d v="2024-03-21T20:32:33"/>
        <d v="2024-03-22T10:44:45"/>
        <d v="2024-03-22T16:17:08"/>
        <d v="2024-03-22T18:00:26"/>
        <d v="2024-03-22T18:45:07"/>
        <d v="2024-03-23T13:27:00"/>
        <d v="2024-03-23T13:36:51"/>
        <d v="2024-03-23T16:53:02"/>
        <d v="2024-03-24T12:03:17"/>
        <d v="2024-03-24T17:34:36"/>
        <d v="2024-03-25T08:41:54"/>
        <d v="2024-03-25T12:05:10"/>
        <d v="2024-03-25T15:20:34"/>
        <d v="2024-03-25T15:46:27"/>
        <d v="2024-03-26T11:14:04"/>
        <d v="2024-03-26T11:17:48"/>
        <d v="2024-03-26T11:22:32"/>
        <d v="2024-03-26T16:38:36"/>
        <d v="2024-03-26T16:52:57"/>
        <d v="2024-03-26T18:20:19"/>
        <d v="2024-03-27T11:02:41"/>
        <d v="2024-03-27T11:57:17"/>
        <d v="2024-03-27T12:14:07"/>
        <d v="2024-03-27T13:22:47"/>
        <d v="2024-03-27T14:25:25"/>
        <d v="2024-03-27T15:24:02"/>
        <d v="2024-03-27T15:54:34"/>
        <d v="2024-03-27T16:10:29"/>
        <d v="2024-03-27T16:41:49"/>
        <d v="2024-03-27T16:42:27"/>
        <d v="2024-03-27T17:07:04"/>
        <d v="2024-03-27T17:45:34"/>
        <d v="2024-03-27T18:33:24"/>
        <d v="2024-03-27T19:27:21"/>
        <d v="2024-03-27T19:28:38"/>
        <d v="2024-03-28T09:03:20"/>
        <d v="2024-03-28T11:52:26"/>
        <d v="2024-03-28T16:40:27"/>
        <d v="2024-03-28T16:54:04"/>
        <d v="2024-03-29T08:59:51"/>
        <d v="2024-03-29T09:05:35"/>
        <d v="2024-03-29T09:27:53"/>
        <d v="2024-03-29T09:55:42"/>
        <d v="2024-03-29T16:19:42"/>
        <d v="2024-03-29T18:50:01"/>
        <d v="2024-03-30T08:09:16"/>
        <d v="2024-03-30T10:33:11"/>
        <d v="2024-03-30T17:55:01"/>
        <d v="2024-03-31T11:36:20"/>
        <d v="2024-03-31T12:22:31"/>
        <d v="2024-04-01T10:29:22"/>
        <d v="2024-04-01T12:33:11"/>
        <d v="2024-04-01T13:07:43"/>
        <d v="2024-04-01T14:30:26"/>
        <d v="2024-04-01T14:32:53"/>
        <d v="2024-04-01T15:17:50"/>
        <d v="2024-04-01T15:40:26"/>
        <d v="2024-04-01T17:13:38"/>
        <d v="2024-04-01T17:54:09"/>
        <d v="2024-04-02T09:26:28"/>
        <d v="2024-04-02T11:10:50"/>
        <d v="2024-04-02T17:04:12"/>
        <d v="2024-04-03T07:43:30"/>
        <d v="2024-04-03T08:19:43"/>
        <d v="2024-04-03T08:52:49"/>
        <d v="2024-04-04T10:11:53"/>
        <d v="2024-04-04T10:37:43"/>
        <d v="2024-04-04T12:34:58"/>
        <d v="2024-04-04T13:09:00"/>
        <d v="2024-04-04T17:31:31"/>
        <d v="2024-04-04T19:41:00"/>
        <d v="2024-04-05T08:29:31"/>
        <d v="2024-04-05T08:59:08"/>
        <d v="2024-04-06T16:07:54"/>
        <d v="2024-04-07T08:53:17"/>
        <d v="2024-04-07T10:17:48"/>
        <d v="2024-04-07T10:54:22"/>
        <d v="2024-04-07T12:26:38"/>
        <d v="2024-04-08T09:55:18"/>
        <d v="2024-04-08T10:52:18"/>
        <d v="2024-04-08T15:35:38"/>
        <d v="2024-04-08T16:16:20"/>
        <d v="2024-04-08T20:47:27"/>
        <d v="2024-04-09T08:04:57"/>
        <d v="2024-04-09T09:47:34"/>
        <d v="2024-04-09T19:40:10"/>
        <d v="2024-04-09T20:01:04"/>
        <d v="2024-04-10T10:53:10"/>
        <d v="2024-04-10T15:16:41"/>
        <d v="2024-04-10T15:41:12"/>
        <d v="2024-04-11T10:20:36"/>
        <d v="2024-04-11T12:48:10"/>
        <d v="2024-04-12T08:00:53"/>
        <d v="2024-04-12T08:37:17"/>
        <d v="2024-04-12T15:58:20"/>
        <d v="2024-04-12T18:06:48"/>
        <d v="2024-04-13T11:20:40"/>
        <d v="2024-04-13T12:04:21"/>
        <d v="2024-04-13T15:54:03"/>
        <d v="2024-04-15T08:16:16"/>
        <d v="2024-04-15T10:29:41"/>
        <d v="2024-04-15T10:35:03"/>
        <d v="2024-04-15T11:45:17"/>
        <d v="2024-04-15T15:44:16"/>
        <d v="2024-04-16T14:10:26"/>
        <d v="2024-04-17T09:10:53"/>
        <d v="2024-04-17T09:19:56"/>
        <d v="2024-04-17T13:25:45"/>
        <d v="2024-04-17T14:17:55"/>
        <d v="2024-04-17T14:26:39"/>
        <d v="2024-04-18T08:20:19"/>
        <d v="2024-04-18T11:57:09"/>
        <d v="2024-04-18T18:34:01"/>
        <d v="2024-04-18T19:25:18"/>
        <d v="2024-04-19T10:21:42"/>
        <d v="2024-04-19T11:21:37"/>
        <d v="2024-04-19T11:25:43"/>
        <d v="2024-04-19T19:09:18"/>
        <d v="2024-04-20T09:12:25"/>
        <d v="2024-04-20T09:52:02"/>
        <d v="2024-04-20T17:27:08"/>
        <d v="2024-04-20T17:37:49"/>
        <d v="2024-04-21T11:12:33"/>
        <d v="2024-04-21T12:20:06"/>
        <d v="2024-04-22T08:29:35"/>
        <d v="2024-04-22T09:08:26"/>
        <d v="2024-04-22T09:51:06"/>
        <d v="2024-04-22T10:16:51"/>
        <d v="2024-04-22T11:13:18"/>
        <d v="2024-04-22T11:41:29"/>
        <d v="2024-04-22T16:40:46"/>
        <d v="2024-04-22T17:03:01"/>
        <d v="2024-04-22T18:00:07"/>
        <d v="2024-04-23T08:58:36"/>
        <d v="2024-04-23T09:57:47"/>
        <d v="2024-04-23T11:19:44"/>
        <d v="2024-04-23T12:26:36"/>
        <d v="2024-04-24T09:45:33"/>
        <d v="2024-04-24T10:51:08"/>
        <d v="2024-04-24T12:47:32"/>
        <d v="2024-04-24T14:21:11"/>
        <d v="2024-04-25T09:00:32"/>
        <d v="2024-04-25T09:54:39"/>
        <d v="2024-04-25T15:54:48"/>
        <d v="2024-04-25T16:21:43"/>
        <d v="2024-04-25T19:04:06"/>
        <d v="2024-04-26T09:48:46"/>
        <d v="2024-04-26T10:00:07"/>
        <d v="2024-04-26T13:52:35"/>
        <d v="2024-04-26T17:00:10"/>
        <d v="2024-04-27T09:22:56"/>
        <d v="2024-04-27T09:42:47"/>
        <d v="2024-04-27T19:14:03"/>
        <d v="2024-04-28T16:01:56"/>
        <d v="2024-04-28T16:22:09"/>
        <d v="2024-04-28T17:39:10"/>
        <d v="2024-04-29T08:48:57"/>
        <d v="2024-04-29T11:01:23"/>
        <d v="2024-04-30T17:47:47"/>
        <d v="2024-05-01T09:13:04"/>
        <d v="2024-05-02T09:46:48"/>
        <d v="2024-05-02T10:26:46"/>
        <d v="2024-05-02T11:51:19"/>
        <d v="2024-05-02T16:26:58"/>
        <d v="2024-05-02T17:14:39"/>
        <d v="2024-05-02T17:25:23"/>
        <d v="2024-05-02T18:13:56"/>
        <d v="2024-05-03T10:35:05"/>
        <d v="2024-05-03T11:51:00"/>
        <d v="2024-05-03T13:11:36"/>
        <d v="2024-05-03T14:33:27"/>
        <d v="2024-05-03T16:26:57"/>
        <d v="2024-05-03T16:39:43"/>
        <d v="2024-05-04T09:42:56"/>
        <d v="2024-05-04T10:33:54"/>
        <d v="2024-05-05T10:20:16"/>
        <d v="2024-05-05T11:51:29"/>
        <d v="2024-05-06T16:13:49"/>
        <d v="2024-05-06T16:31:00"/>
        <d v="2024-05-07T09:59:30"/>
        <d v="2024-05-07T11:15:01"/>
        <d v="2024-05-07T16:17:45"/>
        <d v="2024-05-07T17:00:40"/>
        <d v="2024-05-08T09:33:40"/>
        <d v="2024-05-08T10:44:18"/>
        <d v="2024-05-08T14:29:44"/>
        <d v="2024-05-08T17:04:37"/>
        <d v="2024-05-08T18:34:09"/>
        <d v="2024-05-08T18:55:19"/>
        <d v="2024-05-08T19:18:52"/>
        <d v="2024-05-08T22:32:45"/>
        <d v="2024-05-09T08:19:32"/>
        <d v="2024-05-09T08:46:43"/>
        <d v="2024-05-09T10:37:28"/>
        <d v="2024-05-09T11:11:33"/>
        <d v="2024-05-09T11:20:39"/>
        <d v="2024-05-09T14:41:58"/>
        <d v="2024-05-09T16:52:18"/>
        <d v="2024-05-09T17:01:00"/>
        <d v="2024-05-10T09:22:53"/>
        <d v="2024-05-10T12:26:41"/>
        <d v="2024-05-10T13:45:24"/>
        <d v="2024-05-10T18:41:45"/>
        <d v="2024-05-11T12:41:46"/>
        <d v="2024-05-11T12:51:20"/>
        <d v="2024-05-11T14:37:03"/>
        <d v="2024-05-12T09:33:52"/>
        <d v="2024-05-10T19:00:00"/>
        <d v="2024-05-13T09:25:39"/>
        <d v="2024-05-13T09:46:34"/>
        <d v="2024-05-13T11:44:02"/>
        <d v="2024-05-13T12:35:15"/>
        <d v="2024-05-13T15:55:30"/>
        <d v="2024-05-13T16:05:24"/>
        <d v="2024-05-13T17:42:35"/>
        <d v="2024-05-13T18:26:28"/>
        <d v="2024-05-14T08:30:03"/>
        <d v="2024-05-14T08:47:30"/>
        <d v="2024-05-14T08:49:08"/>
        <d v="2024-05-14T10:09:19"/>
        <d v="2024-05-14T11:18:45"/>
        <d v="2024-05-14T12:18:42"/>
        <d v="2024-05-14T12:30:29"/>
        <d v="2024-05-14T12:39:28"/>
        <d v="2024-05-14T14:26:15"/>
        <d v="2024-05-14T15:10:07"/>
        <d v="2024-05-14T15:49:16"/>
        <d v="2024-05-14T16:18:08"/>
        <d v="2024-05-14T17:43:20"/>
        <d v="2024-05-14T18:32:41"/>
        <d v="2024-05-14T18:33:30"/>
        <d v="2024-05-15T09:04:22"/>
        <d v="2024-05-15T09:38:53"/>
        <d v="2024-05-15T09:51:21"/>
        <d v="2024-05-15T10:22:34"/>
        <d v="2024-05-15T10:25:01"/>
        <d v="2024-05-15T10:59:13"/>
        <d v="2024-05-15T11:11:11"/>
        <d v="2024-05-16T08:43:55"/>
        <d v="2024-05-16T09:01:17"/>
        <d v="2024-05-16T09:50:13"/>
        <d v="2024-05-16T11:19:09"/>
        <d v="2024-05-16T17:05:43"/>
        <d v="2024-05-16T18:50:48"/>
        <d v="2024-05-17T09:15:09"/>
        <d v="2024-05-17T09:32:14"/>
        <d v="2024-05-17T09:59:06"/>
        <d v="2024-05-17T11:50:00"/>
        <d v="2024-05-17T13:41:33"/>
        <d v="2024-05-17T15:53:53"/>
        <d v="2024-05-17T16:34:33"/>
        <d v="2024-05-17T18:09:06"/>
        <d v="2024-05-18T11:19:30"/>
        <d v="2024-05-18T12:04:22"/>
        <d v="2024-05-18T12:52:58"/>
        <d v="2024-05-18T13:22:12"/>
        <d v="2024-05-18T13:53:16"/>
        <d v="2024-05-20T09:32:16"/>
        <d v="2024-05-20T09:56:46"/>
        <d v="2024-05-20T10:58:33"/>
        <d v="2024-05-20T12:54:52"/>
        <d v="2024-05-20T17:21:37"/>
        <d v="2024-05-21T09:09:20"/>
        <d v="2024-05-21T12:39:04"/>
        <d v="2024-05-21T12:50:17"/>
        <d v="2024-05-21T19:31:43"/>
        <d v="2024-05-22T08:45:20"/>
        <d v="2024-05-22T09:21:20"/>
        <d v="2024-05-22T09:47:17"/>
        <d v="2024-05-22T15:18:39"/>
        <d v="2024-05-23T07:40:59"/>
        <d v="2024-05-23T10:49:43"/>
        <d v="2024-05-23T11:43:20"/>
        <d v="2024-05-23T13:52:35"/>
        <d v="2024-05-23T13:53:17"/>
        <d v="2024-05-23T14:36:57"/>
        <d v="2024-05-23T15:44:16"/>
        <d v="2024-05-24T08:53:34"/>
        <d v="2024-05-24T10:37:22"/>
        <d v="2024-05-24T10:55:28"/>
        <d v="2024-05-24T11:14:10"/>
        <d v="2024-05-24T11:30:36"/>
        <d v="2024-05-24T11:43:44"/>
        <d v="2024-05-24T21:14:31"/>
        <d v="2024-05-25T09:04:09"/>
        <d v="2024-05-25T09:28:43"/>
        <d v="2024-05-25T09:54:20"/>
        <d v="2024-05-25T10:05:04"/>
        <d v="2024-05-25T12:28:05"/>
        <d v="2024-05-25T13:00:00"/>
        <d v="2024-05-25T18:45:38"/>
        <d v="2024-05-26T11:30:28"/>
        <d v="2024-05-26T14:05:56"/>
        <d v="2024-05-26T16:47:27"/>
        <d v="2024-05-26T17:02:16"/>
        <d v="2024-05-27T12:05:17"/>
        <d v="2024-05-27T15:19:00"/>
        <d v="2024-05-27T16:14:00"/>
        <d v="2024-05-27T17:51:07"/>
        <d v="2024-05-27T18:09:08"/>
        <d v="2024-05-28T09:55:40"/>
        <d v="2024-05-28T11:44:53"/>
        <d v="2024-05-28T13:53:50"/>
        <d v="2024-05-28T17:01:06"/>
        <d v="2024-05-28T18:13:43"/>
        <d v="2024-05-28T18:15:43"/>
        <d v="2024-05-29T09:52:49"/>
        <d v="2024-05-29T11:10:13"/>
        <d v="2024-05-29T13:10:15"/>
        <d v="2024-05-29T14:34:41"/>
        <d v="2024-05-30T09:17:17"/>
        <d v="2024-05-30T13:47:18"/>
        <d v="2024-05-30T13:50:43"/>
        <d v="2024-05-30T16:29:14"/>
        <d v="2024-05-30T17:53:52"/>
        <d v="2024-05-30T18:04:18"/>
        <d v="2024-05-30T19:15:32"/>
        <d v="2024-05-31T10:29:58"/>
        <d v="2024-06-01T11:52:41"/>
        <d v="2024-06-01T14:49:16"/>
        <d v="2024-06-02T10:11:04"/>
        <d v="2024-06-02T17:01:52"/>
        <d v="2024-06-03T08:29:40"/>
        <d v="2024-06-03T09:23:50"/>
        <d v="2024-06-03T13:45:48"/>
        <d v="2024-06-03T14:50:42"/>
        <d v="2024-06-03T17:32:52"/>
        <d v="2024-06-04T07:41:55"/>
        <d v="2024-06-04T09:49:17"/>
        <d v="2024-06-04T17:22:42"/>
        <d v="2024-06-05T08:36:26"/>
        <d v="2024-06-05T08:52:00"/>
        <d v="2024-06-05T10:35:11"/>
        <d v="2024-06-05T11:55:17"/>
        <d v="2024-06-05T14:17:54"/>
        <m/>
        <s v=" "/>
      </sharedItems>
    </cacheField>
    <cacheField name="Nome" numFmtId="0">
      <sharedItems containsBlank="1" count="754">
        <m/>
        <s v="Manuela Souza do Nascimento"/>
        <s v="Ana Carolina Quirino da Silva"/>
        <s v="Talita Silva de Lima"/>
        <s v="Monique Silva de Amorim"/>
        <s v="Larissa Rayane de Santana Leite"/>
        <s v="Raissa Dayana Barbosa Santos"/>
        <s v="Raissa Oliveira Silva"/>
        <s v="Juliana dos Santos"/>
        <s v="Gabriela Nunes Xavier"/>
        <s v="Chrysline Pereira da Silva"/>
        <s v="Naiara Beatriz Pereira Rodrigues"/>
        <s v="Marcela Lima dos Santos"/>
        <s v="Kalyane Oliveira da Silva"/>
        <s v="Vitoria Conceicao Ferreira Bruno"/>
        <s v="Ana Alice dos Santos"/>
        <s v="Mayara Jacinto de Araujo"/>
        <s v="Vanessa Milena Maria da Silva"/>
        <s v="Amizaday da Silva Leite"/>
        <s v="Maria de Fatima da Silva"/>
        <s v="Yane Pereira dos Santos"/>
        <s v="Ilana de Almeida Albuquerque "/>
        <s v="Deysiane Kiurenia dos Santos"/>
        <s v="Leticia de Oliveira"/>
        <s v="Viviane de Almeida Costa"/>
        <s v="Walenia Gabriele Neves de Melo "/>
        <s v="Debora Dayane da Costa Marques"/>
        <s v="Georgia Gomes da Cruz"/>
        <s v="Walenia Gabriele Neves de Melo"/>
        <s v="Chirle da Silva Osorio"/>
        <s v="Luana Pereira da Silva"/>
        <s v="Fernanda Bezerra da Silva Gabú"/>
        <s v="Rayssa Luanna da Silva Costa"/>
        <s v="Ruth Crislayne Araujo dos Santos"/>
        <s v="Betania Maria dos Santos de Freitas"/>
        <s v="LIDIA TARCIANA SANTOS DA PAZ"/>
        <s v="CAMILA MARIA DE LIMA"/>
        <s v="Veronica Thais Goncalves Pereira dos Santos"/>
        <s v="Amanda Mayara dos Santos "/>
        <s v="Andreza Maria da Silva"/>
        <s v="Estephanne Vitoria da Silva"/>
        <s v="Ana Clecia de Lima Feitosa"/>
        <s v="Jeanine Nathalia Leopoldo da Silva"/>
        <s v="Maria Claudineide Barros de Albuquerque"/>
        <s v="Isabella Albuquerque Jardim"/>
        <s v="Aline Rafaela Andrade da Silva"/>
        <s v="Mycherlane Melquiades da Silva"/>
        <s v="Rosangela Jose de Franca"/>
        <s v="Amanda Mayara dos Santos"/>
        <s v="Magda Laiz de Oliveira Silva"/>
        <s v="Sarah Vitoria Cosme da Rocha"/>
        <s v="Danielly Ingrid Bione de Lima"/>
        <s v="Leticia Luany de Carvalho da Silva"/>
        <s v="Maria Alice de Oliveira Barbosa Leal"/>
        <s v="Alyne Souza dos Santos"/>
        <s v="Natacha Rodrigues de Farias"/>
        <s v="Riromia Pereira Juvenal"/>
        <s v="Ana Gabriela Antonio do Nascimento"/>
        <s v="Laís Viana Dias"/>
        <s v="Thatyana Karla Nascimento Tenorio"/>
        <s v="Janicleide Barbosa Cavalcanti"/>
        <s v="Vitoria Caroline Soares da Silva"/>
        <s v="Brenda Melo de Araujo"/>
        <s v="Janaina de Assis da Silva"/>
        <s v="Camila Costa de Jesus"/>
        <s v="Carina Jesus de Lima"/>
        <s v="Claudia Raiane Oliveira Dionizio"/>
        <s v="Maria Vitoria dos Santos Castro"/>
        <s v="JUSSARA LORENA MARTINS DA SILVA"/>
        <s v="Mayara Rayane Soares da Silva"/>
        <s v="Mariana Almeida da Silva"/>
        <s v="Maria Luziaria Virbergue da Silva"/>
        <s v="REBECA VITORIA ARRUDA DA SILVA"/>
        <s v="Laissa Gabriela Penalva da Rocha"/>
        <s v="Ana Patricia dos Santos Nascimento"/>
        <s v="Dandara Maria do Nascimento Ferreira Santos"/>
        <s v="Dauany Nunes de Lima"/>
        <s v="Marcela Maria da Silva"/>
        <s v="Maria Danielle Miguel Bezerra"/>
        <s v="Edicleide Gomes de Almeida"/>
        <s v="Tatiana Thalia Ramalho de Lima"/>
        <s v="Joelma Ferreira da Silva"/>
        <s v="Monallyza Iasmin Duarte da Silva"/>
        <s v="Naiara Herculano da Silva"/>
        <s v="Maria Gabriela Campos de Lima"/>
        <s v="Rosangela Pereira de Souza"/>
        <s v="Ayrine Ramonna Batista"/>
        <s v="Maria Eduarda Silva de Oliveira Cavalcanti"/>
        <s v="Kaline Thalia Leopoldina Silva de Lima"/>
        <s v="Rosangela Lira de Paiva"/>
        <s v="Gleiciane Correia de Melo Morais"/>
        <s v="Marina Byatriz Bento Arcelino"/>
        <s v="Paula Eduarda dos Santos de Andrade"/>
        <s v="Gleica Mirela Ribeiro de Lima"/>
        <s v="Aurea Claucia Rangel Carneiro"/>
        <s v="Erica Priscila Gomes dos Santos Silva"/>
        <s v="Millena Lima da Silva"/>
        <s v="Bruna Patricia Ferreira da Silva"/>
        <s v="Maria Aparecida Alves da Silva Santos"/>
        <s v="CLARA FERNANDA DOS SANTOS SILVA"/>
        <s v="Luanda de Oliveira da Silva"/>
        <s v="Karla Eduarda de Franca Oliveira"/>
        <s v="Raiza Carla da Silva"/>
        <s v="Leticia Maria Carneiro Magalhaes"/>
        <s v="Stephany Layne Pereira dos Santos"/>
        <s v="Josefa Veronica da Silva"/>
        <s v="Evelyn Karine Macedo Vasconcelos"/>
        <s v="Raquel Neidisson de Alququerque"/>
        <s v="Jessica da Silva Felix"/>
        <s v="Ana Carolina dos Anjos Araujo"/>
        <s v="Aldinez do Carmo Soares"/>
        <s v="Thamiris dos Santos Vieira"/>
        <s v="Flavia Soares da Silva"/>
        <s v="Karolayne Marlene Santos de Souza"/>
        <s v="Renata Joaquim do Nascimento"/>
        <s v="Maria Tatiane Silva de Oliveira"/>
        <s v="Sibele Alexandre dos Santos"/>
        <s v="Cinthia Gabriela Messias"/>
        <s v="Mayra Kelner Francisca Maciel"/>
        <s v="Mayara Cristina Gonzaga da Silva"/>
        <s v="Daniele das Neves Ferreira"/>
        <s v="Mirelly Steffany da Silva Sousa"/>
        <s v="Rafaela de Araujo Marinho"/>
        <s v="Aline Alves dos Santos"/>
        <s v="Vanessa Hingrid Marinho de Moura Monteiro"/>
        <s v="Enia Ingrid de Araujo"/>
        <s v="Camilla Vitoria da Silva Gomes"/>
        <s v="Graziela Silva de Aguiar"/>
        <s v="Thatiany da Silva Barbosa"/>
        <s v="KARINA SILVA DE AMORIM"/>
        <s v="Rafaela Benedita da Silva Pereira"/>
        <s v="Rute Claudia da Silva"/>
        <s v="Viviane Barbosa de Lima"/>
        <s v="Julia Mariaano de Andrade Santana"/>
        <s v="Marta Naite Maria da Silva"/>
        <s v="Aline Maria da Silva Miquiles"/>
        <s v="Barbara Ferreira da Silva"/>
        <s v="Morgana Marcelino dos Santos"/>
        <s v="Maria Fernanda Almeida da Silva"/>
        <s v="Marcela Ferreira dos Santos"/>
        <s v="Jessica Maria da Silva"/>
        <s v="Fernanda de Oliveira Silva"/>
        <s v="Eduarda Souza Soares"/>
        <s v="Manoela Justino Alexandre Silva"/>
        <s v="Mirella Kerolaine Goncalves da Silva Soares"/>
        <s v="Cilene Soares da Silva"/>
        <s v="Gisele Maria da Silva Santos"/>
        <s v="Renata Andreza Marinho da Paixao"/>
        <s v="Ingrid Gleyce Miranda dos Santos"/>
        <s v="Shirlaine de Oliveira Ferreira"/>
        <s v="Kalidiane Caroline Melo"/>
        <s v="Maria Vitória Moura de Lima"/>
        <s v="Ana Karolina Chagas Serpa Matos"/>
        <s v="Geovana Micaelle Nascimento da Silva"/>
        <s v="Maria Clara Jacinto de Oliveira"/>
        <s v="Analice Maria Cesar Barros"/>
        <s v="Larhana Cristina dos Santos Silva"/>
        <s v="Emanuela da Silva Souza"/>
        <s v="Ellida Tenuzia da Silva"/>
        <s v="Beatriz Carla Silvestre Ferreira Cabral"/>
        <s v="Gleicy Kitéria Gomes de Lima"/>
        <s v="Rebeka Vitoria Porfirio de Souza"/>
        <s v="Maria Paula Gomes da Silva"/>
        <s v="Keila Vitoria da Silva Araujo"/>
        <s v="Bianca de Oliveira Correia de Lima"/>
        <s v="Alice Maria Oliveira de Lucena"/>
        <s v="Gabriela Oliveira dos Santos Soares"/>
        <s v="Ruth Luiza Rodrigues"/>
        <s v="Camila Almeida da Fonseca"/>
        <s v="Eliana Maria da Conceicao Silva "/>
        <s v="Beatriz Fabiana da Silva"/>
        <s v="Juliely Carolayne Rodrigues da Silva"/>
        <s v="Flaviana Revoredo de Oliveira Nunes"/>
        <s v="Ana Gabriela Antonio do Nascimento "/>
        <s v="Natalia Bordalo"/>
        <s v="Katia Cristina Lopes do Rego"/>
        <s v="Debora Farias de Lima"/>
        <s v="Gleicy Kitéria Gomes de Lima "/>
        <s v="Millena Pereira da Silva"/>
        <s v="Mariana Rikaelly dos Santos"/>
        <s v="Geovana Monique da Silva Trajino"/>
        <s v="Ana Karolina de Franca Jeronimo"/>
        <s v="Cassiane Kethyle da Silva Ferreira"/>
        <s v="Raynara Thaina da Silva Lima"/>
        <s v="Niedja Maria do Nascimento"/>
        <s v="Emily Andreinna Silva de Arruda"/>
        <s v="Mirella Roberto Alves da Cruz"/>
        <s v="Fabiola Estevao do Carmo"/>
        <s v="Claudia Rebeca da Silva"/>
        <s v="Joyce Silva Bezerra"/>
        <s v="Deisiane da Silva Santana"/>
        <s v="Camila Zoppi"/>
        <s v="Maria Eduarda de Lira"/>
        <s v="Grazielly Kelly Silva dos Santos"/>
        <s v="Emillayne Adriana da Silva"/>
        <s v="Renata Maria da Conceicao"/>
        <s v="Ketheury Andrade dos Santos "/>
        <s v="Cleyce da Silva Borgues"/>
        <s v="Suelen Izabel Santos da Silva"/>
        <s v="Carla Alves de Oliveira Santos"/>
        <s v="Maria Eduarda Santana dos Santos"/>
        <s v="Tais Makishi da Silva"/>
        <s v="Macilene Santos Barros"/>
        <s v="Amanda Vitoria da Silva"/>
        <s v="Tamires Pereira Goncalves"/>
        <s v="Bianca de Carvalho Lemos Cunha"/>
        <s v="Denise Bezerra da Silva"/>
        <s v="Thayza Vitoria Ramos de Lima"/>
        <s v="Tainara Maria Oliveira"/>
        <s v="Bruna Eugenia de Melo Vicente"/>
        <s v="Debora Jeronimo da Silva"/>
        <s v="Kamily Maria Peres da Hora"/>
        <s v="Maria Vitoria do Carmo Bento Bezerra Lola"/>
        <s v="Isabela Alves Ribeiro"/>
        <s v="Ana Karolayne Santos Silva"/>
        <s v="Natalia Ferreira de Sales "/>
        <s v="Samara Sandra Santana Silva"/>
        <s v="Michelle Caroline Barbosa"/>
        <s v="Rebeca Raysa Correia da Silva"/>
        <s v="Emanuele Maria Coelho dos Prazeres"/>
        <s v="Rafaely Domingos dos Santos"/>
        <s v="Eloiza Oliveira Barros Silva"/>
        <s v="Mariana Guedes Neves de Oliveira"/>
        <s v="Esther Tacianne Paz Araujo Santos"/>
        <s v="Natalia Oliveira Silva"/>
        <s v="Lucilene Ferreira da Silva"/>
        <s v="Stefane Alves Brasil"/>
        <s v="Maria Eduarda da Silva Farias"/>
        <s v="Evellyn Nicoly Oliveira da Silva"/>
        <s v="Mirele dos Santos Freires"/>
        <s v="Talita de Oliveira Noronha"/>
        <s v="Adrielle Albuquerque Jeremias Souto da Silva"/>
        <s v="Mariana Barboza Lopes"/>
        <s v="Lilian Vitoria de Souza Santana"/>
        <s v="Shirley Soares Lopes"/>
        <s v="Rafaella Patrícia Francisca de Lima"/>
        <s v="Risomar Almeida de Moraes"/>
        <s v="Mabia Barbara Mendes"/>
        <s v="Talita Patrício Cavalcanti da Silva"/>
        <s v="Ilana Carla Bento Pereira"/>
        <s v="Rita de Cassia Pereira de Menezes"/>
        <s v="Rosa Maria da Silva Pontes"/>
        <s v="Janderlane Maria da Silva"/>
        <s v="Vanessa Claudino Gomes"/>
        <s v="Luana de Souza Diehl"/>
        <s v="Rayssa Rane Santos do Nascimento da Silva"/>
        <s v="Karen Cecilia da Silva"/>
        <s v="Rayany Souza Gomes"/>
        <s v="Taise Maria Lima Silva"/>
        <s v="Vanessa da Silva Pessoa"/>
        <s v="Kaylane Carine Dias Pereira"/>
        <s v="Jessica Maria Ferreira de Matos"/>
        <s v="Marina Gabriele Pires da Silva |"/>
        <s v="Crislayne Nascimento da Silva"/>
        <s v="Danielly Mayra Batista dos Santos"/>
        <s v="Gisele Thais da Conceicao Ferreira"/>
        <s v="Ana Carolina Timoteo da Silva"/>
        <s v="Joana Darc Pergentino de Barros "/>
        <s v="Mariane da Silva"/>
        <s v="Letícia Victoria Cruz Nascimento"/>
        <s v="Karoline Mayara Mendes da Silva"/>
        <s v="Luzia Dias Valdevino"/>
        <s v="Cristiane Pereira Nunes"/>
        <s v="Jamilly Soares de Barros"/>
        <s v="Taina Gomes da Silva"/>
        <s v="Maria Karolayne Nascimento Lima"/>
        <s v="Rayane Kelly do Nascimento"/>
        <s v="Ayani de Souza Monteiro"/>
        <s v="Fernanda Carla Mendes da Silva"/>
        <s v="Ana Karla da Fonseca Pereira"/>
        <s v="Mariana Azevedo de Freitas"/>
        <s v="Maria Claudia de Oliveira"/>
        <s v="Jeane dos Santos Santana"/>
        <s v="Valeria Jose de Souza Costa"/>
        <s v="Joice Miranda dos Santos"/>
        <s v="Aline Laysa da Silva"/>
        <s v="Mariana Barreto do Nascimento"/>
        <s v="Ana Graziela Augusta do Nascimento"/>
        <s v="Nathalia Gomes de Freitas"/>
        <s v="Elaine Gutemberg dos Santos"/>
        <s v="Vitoria Beatriz Cruz da Silva"/>
        <s v="Geisakel Melo da Conceicao"/>
        <s v="Rayane Kelly Ferreira da Silva"/>
        <s v="Janaina Silva dos Santos"/>
        <s v="Gabriela Evelin Fernandes da Silva"/>
        <s v="Lucimar Maria do Nascimento"/>
        <s v="Marcia Santana Bispo da Silva"/>
        <s v="Maria Eduarda Cunha de Lima"/>
        <s v="Tainara Silva Moura de Melo"/>
        <s v="Adriele Cristina do Amaral"/>
        <s v="Jessica Gomes da Silva"/>
        <s v="Jacidaria Gomes da Silva"/>
        <s v="Andressa Caroline Silva"/>
        <s v="Daniele Quiteria Araújo Ferreira"/>
        <s v="Leticia Bezerra da Silva"/>
        <s v="Jadilene da Silva Albuquerque"/>
        <s v="Julia Vicente de Souza"/>
        <s v="Jaqueline Barbosa da Silva"/>
        <s v="Amanda Cristina Bastos"/>
        <s v="Rayanne Priscylla da Silva Ubirata Braga"/>
        <s v="Maria Valeria dos Santos"/>
        <s v="Maria Nathalia da Silva Vasconcelos"/>
        <s v="Amanda Ramos de Lira"/>
        <s v="Raquel Vitoria Rodrigues Gomes"/>
        <s v="Gilvania da Silva Gomes"/>
        <s v="Angelica Maria dos Santos Silva"/>
        <s v="Alice Cristina do Sacramento Felix"/>
        <s v="Maria Eduarda da Silva Simplicio"/>
        <s v="Edercarla Angela da Silva"/>
        <s v="Laureli Henrique de Oliveira"/>
        <s v="Kaillany Vitoria Sales da Siva"/>
        <s v="Samara Aretha Queiroz do Nascimento Neves"/>
        <s v="Valquiria Santos Fernandes Vieira"/>
        <s v="Jhennyfer Flavia Barbosa de Andrade Cavalcante"/>
        <s v="Sara Maria da Silva"/>
        <s v="Caelene Goncalves da Silva"/>
        <s v="Jaqueline da Silva Moreira"/>
        <s v="Caelene Goncalves da Silva "/>
        <s v="Caroline Maria de Santana"/>
        <s v="Maria Taynara Macena de Souza Santos"/>
        <s v="Mayara Oliveira de Sena"/>
        <s v="Beatriz Carla Araujo Nascimento"/>
        <s v="Werica Souza de Azevedo"/>
        <s v="Mariana Stefany Praxedes de Santana"/>
        <s v="Natalia Maria Andrade da Silva "/>
        <s v="Anna Karolina de Santana Campos"/>
        <s v="Amanda Rafaely Vieira da Fonseca"/>
        <s v="Claudia Adriana da Silva"/>
        <s v="Maria Eduarda dos Santos Pereira"/>
        <s v="Juliana Paula Alexandrino de Santana"/>
        <s v="Maria Cristina Tributino de Oliveira"/>
        <s v="Shirley da Hora de Oliveira"/>
        <s v="Maria Jose Vieira da Silva"/>
        <s v="Lidia de Moraes Santo"/>
        <s v="Sabrina Lira de Tavares"/>
        <s v="Thaynara Nunes de Santana"/>
        <s v="Rafaela Bezerra da Silva"/>
        <s v="Joseilda Maria da Silva"/>
        <s v="Karine Virgnia Faierstein de Barros"/>
        <s v="Thaline Tenório de Assis"/>
        <s v="Ketlen Milene de Araujo Barbosa"/>
        <s v="Milena Pereira da Silva"/>
        <s v="Maria Rayanne Lima de Moraes"/>
        <s v="Marilia Conceicao Dias Veiga"/>
        <s v="Rosileide Marques Alves do Nascimento"/>
        <s v="Karolaine da Silva Santos"/>
        <s v="Sabrina Leticia Ferreira de Lima Avelino"/>
        <s v="Isabela Souza de Oliveira"/>
        <s v="Kettly Alves de Mendonça"/>
        <s v="Thais Andrea Oliveira do Nascimento"/>
        <s v="Juliana Karla Negreiros do Nascimento"/>
        <s v="Anna Julia Cavalcanti dos Santos"/>
        <s v="Emilayne Barbosa da Silva"/>
        <s v="Keila Mislene da Silva"/>
        <s v="Letycia Carolane Marques da Silva"/>
        <s v="Poliana das Neves Silva"/>
        <s v="Caroline Cristina da Silva"/>
        <s v="Adna Djully Vieira Y Cunha"/>
        <s v="Grace Kelly da Silva Santana "/>
        <s v="Soleane dos Santos Paiva"/>
        <s v="Elaine Flavia dos Santos Manoel"/>
        <s v="Ana Beatriz Augusto de Lima"/>
        <s v="Jessika Carla da Silva"/>
        <s v="Paula Maria de Sena"/>
        <s v="Natalia Luiza do Nascimento Silva"/>
        <s v="Iris dos Santos Silva"/>
        <s v="Eduarda Suzani dos Santos Rolim"/>
        <s v="Vanessa Fabia Gomes da Silva"/>
        <s v="Mikelle Maria da Silva Santos"/>
        <s v="Joyce Marinho da Silva"/>
        <s v="Fabiana Andreza das Neves"/>
        <s v="Isabelle Joyce de França da Silva"/>
        <s v="Jessica Rayanne da Silva"/>
        <s v="Bruna Beatriz de Sena da Silva"/>
        <s v="Stefany Katarina da Silva Oliveira"/>
        <s v="Michelle Rodrigues da Silva"/>
        <s v="Maria Eduarda dos Santos Barboza"/>
        <s v="Danielle Janaina da Silva "/>
        <s v="Samara Albuquerque Alves"/>
        <s v="Macione Maria Eduardo D Souza"/>
        <s v="Jeyne Ariel Araujo da Costa"/>
        <s v="Poliana Soares Basilio do Carmo"/>
        <s v="Isa Rayanne de Moura Costa"/>
        <s v="Amanda Firmino da Paz"/>
        <s v="Maria Isabel da Silva"/>
        <s v="Maria Rita Caetana dos Santos"/>
        <s v="Micheline da Costa Silva"/>
        <s v="Vitoria Kelly Barbosa Bezerra"/>
        <s v="Tercia Innarah de Lucena Pereira"/>
        <s v="Mayara Jeniffer Oliveira do Nascimento"/>
        <s v="Ellen Victoria Claudino Oliveira"/>
        <s v="Lidia Vitória Anacleto"/>
        <s v="Natalia dos Santos Ferreira"/>
        <s v="Aline Alexsandra Mendes dos Santos"/>
        <s v="Ritshelly Cassia da Silva"/>
        <s v="Sthefany Kelly Ferreira Rios"/>
        <s v="Rosangela Patricia Vania de Oliveira"/>
        <s v="Roseanne Santana Ribeiro"/>
        <s v="Kauanny Emanuelly do Nascimento"/>
        <s v="Grace Kelly da Silva Santana"/>
        <s v="Karla Cristina dos Santos Silva"/>
        <s v="Tayane dos Santos Meira"/>
        <s v="Maria Eduarda de Miranda Cavalcanti"/>
        <s v="Aline Mauricio dos Santos"/>
        <s v="Vanessa Nascimento de Araujo"/>
        <s v="Heloisa Marques Bezerra"/>
        <s v="Joelma Carla da Silva Araujo"/>
        <s v="Claudia Silva de Souza"/>
        <s v="ANNY CAROLYNNE FERREIRA DA SILVA"/>
        <s v="Aline Mauricio dos Santos "/>
        <s v="Thallyne Maria Silva dos Santos"/>
        <s v="Renata Maria da Conceição"/>
        <s v="Fabiana Maria da Silva"/>
        <s v="Maria Betania Alves Vieira"/>
        <s v="Rayane Carla Carneiro"/>
        <s v="Hellen Cristina da Silva Cruz"/>
        <s v="Pamella Roberta de Sousa da Silva"/>
        <s v="Bianca Nathalia Andrade de Souza"/>
        <s v="Maria Eduarda Alves Santana"/>
        <s v="Ana Julia Trajano Lima"/>
        <s v="Maria Cristiane de Oliveira"/>
        <s v="Steffane Kelly da Silva"/>
        <s v="Maria Eduarda Cruz Fonseca"/>
        <s v="Pollyana Nery Flor"/>
        <s v="Mikaelle Rodrigues Ramos de Souza"/>
        <s v="Williane da Silva Cardoso"/>
        <s v="Carolina de Vasconcelos Soares"/>
        <s v="Erica Maria de Araujo Gomes"/>
        <s v="Raiane Carine de Souza Silva"/>
        <s v="Maira Gila de Oliveira Silva"/>
        <s v="Maria Aparecida de Jesus Dias"/>
        <s v="Poliana Silva da Cunha"/>
        <s v="Juliana Emilly Cavalcanti dos Santos"/>
        <s v="Priscila Matos do Nascimento"/>
        <s v="Bianca Carina Silva Lucena"/>
        <s v="Luenia Maria Andrade das Neves"/>
        <s v="Maria Betania Alves Vieira "/>
        <s v="Jaqueline da Silva Meneses"/>
        <s v="Sheila Cruz de Lemos"/>
        <s v="Anne Karenina Marques da Silva"/>
        <s v="Luciana Rodrigues dos Santos"/>
        <s v="Cristiane da Silva Tavares"/>
        <s v="Kilzy da Silva Cordeiro Albuquerque"/>
        <s v="Maria Vitoria Barbosa Ramos"/>
        <s v="Simone Valentim Vieira"/>
        <s v="Argentina Candida do Nascimento"/>
        <s v="Luana Vasconcelos Ferreira da Silva"/>
        <s v="Jacilene Serra Cruz"/>
        <s v="Stella Vitoria Dias do Nascimento"/>
        <s v="Amanda Santiago dos Santos"/>
        <s v="Paola Tamares Herculano Silva"/>
        <s v="Fernanda Maria Brito de Arruda"/>
        <s v="Rosangela Rodrigues de Almeida"/>
        <s v="Ana Lucia da Costa Oliveira"/>
        <s v="Luana Conceicao Araujo"/>
        <s v="Flaviana Mirelle Torquato da Silva"/>
        <s v="Lis Helena de Carvalho Nogueira"/>
        <s v="Luana Conceicaõ Araujo"/>
        <s v="Ana Carla Xavier Cordeiro"/>
        <s v="Andrielly Silva de Lima"/>
        <s v="Tatiana Sumaya Barbosa da Silva"/>
        <s v="Niedja de Oliveira Barbosa"/>
        <s v="Yara Beatriz Pereira da Silva"/>
        <s v="Yasmim Ellen de Oliveira Andrade"/>
        <s v="Tharcila Kauanny Silva de Souza"/>
        <s v="Vanessa Conceicao Ferreira dos Santos"/>
        <s v="Ariana Roberta Ferreira da Silva"/>
        <s v="Erica Larissa Rigueira de Lima"/>
        <s v="Vanessa Conceição Ferreira dos Santos"/>
        <s v="Larissa Torres Sampaio"/>
        <s v="Kayllane Kamilly Feitoza Marinho"/>
        <s v="Danielle Mariane da Silva"/>
        <s v="Marcela Manuele de Souza Barros"/>
        <s v="Alessandra Maria do Nascimento"/>
        <s v="Larissa Silva de Souza"/>
        <s v="Leticia da Silva Chagas"/>
        <s v="Maria Milena Bispo"/>
        <s v="Maria Eduarda Santana dos Santos "/>
        <s v="Iracelly Silvestre Silva"/>
        <s v="Indrid Ferreira da Silva"/>
        <s v="Marluce Cintia Oliveira dos Santos"/>
        <s v="Girleide Silva das Merces Barbosa"/>
        <s v="Lucineia Gomes da Silva"/>
        <s v="Yasmim Thais Ferreira da Silva"/>
        <s v="Milleny Eduarda Vital da Silva"/>
        <s v="Camila Pereira Ferreira"/>
        <s v="Debora Dayane da Costa Marques "/>
        <s v="Talita Karla Lima da Silva"/>
        <s v="Rayla Thune Dovale Bizarria"/>
        <s v="Tamires Maria Brito"/>
        <s v="Maria Daniela Santos de Araujo"/>
        <s v="Saiuri Vieira da Cunha"/>
        <s v="Aline Maria Rodrigues"/>
        <s v="Maria Gabriela Goncalves da Silva "/>
        <s v="Ester Monte dos Santos"/>
        <s v="Aline Rodrigues Mathias da Silva"/>
        <s v="Maria Gabriela Goncalves da Silva"/>
        <s v="Eliane Borges da Silva"/>
        <s v="Tayana Sumaya Barbosa da Silva"/>
        <s v="Rayssa Carolinna Fereira dos Santos"/>
        <s v="Rosangela Maria de Albuquerque Nascimento"/>
        <s v="Rosicleide Lopes da Silva "/>
        <s v="Pamela Filgueira Barros"/>
        <s v="Ana Carolina da Silva"/>
        <s v="Paula Roberta Oliveira da Silva"/>
        <s v="Juliana de Almeida Rocha"/>
        <s v="Rita de Cássia Pereira de Menezes"/>
        <s v="Maria Cecilia Queiroga dos Santos"/>
        <s v="Mayara Camila Candida de Almeida"/>
        <s v="Iasmim Sales de Santana Silva"/>
        <s v="Joyce Martins dos Santos"/>
        <s v="Debora Joelly da Silva Costa"/>
        <s v="Raphaela Nascimento da Silva"/>
        <s v="Leticia Gabriela Queiroz de Souza"/>
        <s v="Katllyn Laryssa de Souza Bezerra"/>
        <s v="Ana Beatriz Pereira da Silva"/>
        <s v="Raiane Dias Nascimento"/>
        <s v="Emelly Lays Izidio das Chagas"/>
        <s v="Eduarda Cecilia da Silva"/>
        <s v="Jessika Belo da Silva"/>
        <s v="Débora Domingos da Silva Amorim"/>
        <s v="Fabia Maria de Santana"/>
        <s v="Sabrina Mikaele da Silva Sa"/>
        <s v="Andreza Ferreira de Almeida"/>
        <s v="Rosimere Barbosa Santana"/>
        <s v="Emylly Novaes Gomes de Lima"/>
        <s v="Isabele Carla da Silva Dantas"/>
        <s v="Jessika Suzy Bernardo Lopes"/>
        <s v="Gabriela Nascimento da Silva"/>
        <s v="Elizabeth Antonia Menezes Pinheiro"/>
        <s v="Karolayne Maria Costa dos Santosa"/>
        <s v="Eduarda Cristina Silva da Hora"/>
        <s v="Karolina Driele Amorim da Rocha"/>
        <s v="Maria Brigida Chaprao da Silva"/>
        <s v="Josicleide Barbosa Silva"/>
        <s v="Ewelin Maria da Silva"/>
        <s v="Ynara Lays da Silva Lins"/>
        <s v="Karollyne Vanessa da Silva Soares"/>
        <s v="Poliana Barbosa dos Santos"/>
        <s v="Isabele Patricia da Silva Mendes"/>
        <s v="Bianca Stephane Lima da Silva"/>
        <s v="Rayanne Gleice da Silva Reis"/>
        <s v="Juliana Rodrigues de Oliveira"/>
        <s v="Suelayne Fagundes Falcão"/>
        <s v="Rute Arruda Rodrigues"/>
        <s v="Iasmim Alves Gomes da Silva"/>
        <s v="Jenyffer Moraes Tavares"/>
        <s v="Carla Daniele Pereira da Silva"/>
        <s v="Jaciane Maria de Araujo"/>
        <s v="Analice Ferreira da Silva"/>
        <s v="Raissa Kauany Alecrim da Fonseca"/>
        <s v="Gerlane Cabral da Silva"/>
        <s v="Karoline Cavalcanti da Silva"/>
        <s v="Marilia Machado da Silva"/>
        <s v="Rayzza Marques Salgado da Silva"/>
        <s v="Maria Nivaneide de Abreu Lima"/>
        <s v="Jéssica Fernanda Martins de Oliveira"/>
        <s v="Emilly Vitoria da Silva Oliveira"/>
        <s v="Alicia Ohana Gomes Damasceno"/>
        <s v="Gleice Kelly Barboza de Lima"/>
        <s v="Amanda Dayane da Silva"/>
        <s v="Natalia Aparecida da Silva"/>
        <s v="Rayssa Carolinna Ferreira dos Santos"/>
        <s v="Amanda Costa Silva"/>
        <s v="Ana Caroline Maria da Silva"/>
        <s v="Maria Luiza Wanderley Santos"/>
        <s v="Adriele Herculano da Silva"/>
        <s v="Vitoria Lima dos Santos"/>
        <s v="Myllena Batista Barros"/>
        <s v="Valquiria Conceição Alves de Barros"/>
        <s v="Bruna Talita Placido da Silva"/>
        <s v="Patricia Antonio Rozario Sampaio de Brito"/>
        <s v="Ketheury Andrade dos Santos"/>
        <s v="Ana Flavia Monte dos Santos "/>
        <s v="Maria Thayna Santos Lima"/>
        <s v="Ana Flavia Monte dos Santos"/>
        <s v="Maria Eduarda da Silva Seabra"/>
        <s v="Isabelle Thamires da Silva Dias "/>
        <s v="Vanessa Maria dos Santos"/>
        <s v="Vitoria Alves de Oliveira Cavalcanti "/>
        <s v="Janifer Lopes dos Santos"/>
        <s v="Adrielly Alves da Silva"/>
        <s v="Wendy Oliveira Duarte"/>
        <s v="Dayse da Silva de França"/>
        <s v="Barbara Stela Bastos do Nascimento Guedes"/>
        <s v="Ana Karolynne da Silva"/>
        <s v="Nicole Helen da Silva"/>
        <s v=" Luana da Silva Santos"/>
        <s v="Dyana Vitoria Ferreira dos Santos"/>
        <s v="Luana da Silva Santos"/>
        <s v="Ketiny Magna Vasconcelos Santos"/>
        <s v="Lais Carine Guimaraes Viana Cancio"/>
        <s v="Maria Mycaela Barbosa Teixeira"/>
        <s v="Nathalia Pereira Torres da Silva"/>
        <s v="VivianViviane Rodrigues Correia de Santana"/>
        <s v="Haymé Alcazar da Conceição do Nascimento"/>
        <s v="Viviane Rodrigues Correia de Santana"/>
        <s v="Ana Carla Severo da Silva"/>
        <s v="Roseana da Silva Ribeiro"/>
        <s v="Angelina Silva de Santana"/>
        <s v="Silvia Almeida Simoes Ferreira"/>
        <s v="Joana Darc Barbosa Santos Torres"/>
        <s v="Pricila Celice Lima dos Santos"/>
        <s v="Rafaela Francisca de Lima"/>
        <s v="Kaylane Danielle Barros Alves"/>
        <s v="Thayna Cristina de Moura Andrade"/>
        <s v="Sthefany Kelly Ferreira Rios "/>
        <s v="Thais Lima Gomes da Silva"/>
        <s v="Maria Eduada Seabra"/>
        <s v="Rosineide Martins Rodrigues"/>
        <s v="Karina dos Santos Oliveira"/>
        <s v="Emile Carolyne Paula da Silva "/>
        <s v="Julia Gabriela Barbosa da Silva"/>
        <s v="Maria Eduarda Seabra"/>
        <s v="Bruna Felipe da Silva"/>
        <s v="Nielly Vitoria Cabral de Lima"/>
        <s v="Jessica Maria Gomes dos Santos"/>
        <s v="Diana Karolainy Rodrigues dos Santos"/>
        <s v="Micaela Caroline de Franca Santos"/>
        <s v="Bruna Vitoria Ferreira da Silva Leao"/>
        <s v="Andreyce Ritchelly Gomes Rocha"/>
        <s v="Vitoria da Silva Gomes"/>
        <s v="Thaylania Virginia Machado de Holanda Andrade"/>
        <s v="Elizangela Maria da Silva"/>
        <s v="Jeynielle Alcantara Lima Fortunato"/>
        <s v="Jaynne de França Brito"/>
        <s v="Paloma Milena de Menezes Santos"/>
        <s v="Maria Flabyan Cricya Ventura Xavier"/>
        <s v="Dara Daiane Silva de Andrade"/>
        <s v="Luane Campelo de Oliveira"/>
        <s v="Larissa Jussiely Nascimento de Souza"/>
        <s v="Adrielle Vitoria da Silva Ferreira"/>
        <s v="Rayelle Roberta Barbosa do Espirito Santo"/>
        <s v="Marcia Caetano Barbosa"/>
        <s v="Elizia Keisy Gomes da Silva"/>
        <s v="Thaisa Maria Rocha Lima"/>
        <s v="Fernanda de Araujo Silva"/>
        <s v="Maryanna Chistine dos Santos e Silva"/>
        <s v="Vanusa Alves da Silva"/>
        <s v="Rosilene Rodrigues Pereira da Silva"/>
        <s v="Danille Clemente Prazo"/>
        <s v="Jhoyce de Arruda e Silva"/>
        <s v="Adrielly Negreiros da Silva Fidelis"/>
        <s v="Mayara de Sa Borba Pinto Pereira"/>
        <s v="Andrea dos Santos Andrade"/>
        <s v="Alexsandra Nascimento de Barros"/>
        <s v="Alania Gomes da Silva"/>
        <s v="Maria Eduarda França da Silva"/>
        <s v="Adriele Emyly de Lima"/>
        <s v="Amanda Ines da Silva "/>
        <s v="Mykaelle Rebeca do Nascimento Lima"/>
        <s v="Cristina Rodrigues da Silva"/>
        <s v="Annyeli Santos Rodrigues"/>
        <s v="Isabelle Thamyres de Silva Dias"/>
        <s v="Ruama Gabriela Nascimento"/>
        <s v="Andrea Silva Andrade Bandeira"/>
        <s v="Lorena Ribeiro de Carvalho"/>
        <s v="Nataly Lucinda Ferreira"/>
        <s v="Ana Caroline Bezerra da Silva"/>
        <s v="Saira Esperanza Vargas Sanchez"/>
        <s v="Crislayne Silva Cavalcanti"/>
        <s v="Isabele da Silva Barbosa"/>
        <s v="Michaelly Rhuanna Dias Soares"/>
        <s v="Taciana Barbosa da Silva"/>
        <s v="Jullyanna Cristina Albuquerque Sousa Macêdo"/>
        <s v="Edilaine Maria Anunciado"/>
        <s v="Annyeli Santos Rodrigues "/>
        <s v="Ana Lucia de Santana Silva"/>
        <s v="Edneide Silva da Cruz"/>
        <s v="Alice Cabral Delgado Falcao"/>
        <s v="Isabele Mikelle Oliveira dos Santos"/>
        <s v="Ana Alice dos Santos Alves"/>
        <s v="Valeska Dayse Morais dos Santos"/>
        <s v="Kessiane Cristina Bernadina da Silva"/>
        <s v="Veronica Epifanio Sales Sauza"/>
        <s v="Evylen Eduarda do Nascimento Oliveira "/>
        <s v="Kauana Gabryella de Oliveira Goncalves"/>
        <s v="Evylen Eduarda do Nascimento Oliveira"/>
        <s v="Vanessa de Araujo Amorim"/>
        <s v="Taynam Ramos Ferreira da Silva"/>
        <s v="Renata Maria da Silva Santos"/>
        <s v="Marilia Soares de Oliveira"/>
        <s v="Valeria Conceição da Silva Santos"/>
        <s v="Jayane Cristianelle da Silva"/>
        <s v="Eduarda Estefane Siqueira de Souza"/>
        <s v="Roseane Silva Otaviano"/>
        <s v="Maria Eduarda da Silva"/>
        <s v="Ghefylle Carvalho da Trindade"/>
        <s v="Ester Hadassa Silva de Lima"/>
        <s v="Lethycia Karolayne Neres de Lima"/>
        <s v="Aynoa Izabel de Lima Correia"/>
        <s v="Beatriz Maria da Silva"/>
        <s v="Rafaela Chagas da Silva"/>
        <s v="Mirella Alexandra Queiroz Silva"/>
        <s v="Itamara Karoline Maria Odilon da Silva"/>
        <s v="Kassandra Maria da Silva"/>
        <s v="Alice Leticia Alves do Nascimento"/>
        <s v="Geysiane Goncalves Anastacio"/>
        <s v="Allana Berenice da Silva"/>
        <s v="Adriely Emille Gonçalves de Lima"/>
        <s v="Elizangela Pereira de Oliveira Silva"/>
        <s v="Rafaela Santana da Silva"/>
        <s v="Gleyce Kelly Borges de França"/>
        <s v="Geane Correia de Araujo"/>
        <s v="Warla Kelle da Silva"/>
        <s v="Maria Luiza Sales Pessoa de Meireles"/>
        <s v="Hellen Sulyva Pereira da Silva"/>
        <s v="Pryscilla Matos do Nascimento"/>
        <s v="Leinadh Maria da Silva Martins"/>
        <s v="Fernanda Bezerra da Silva"/>
        <s v="Crislaine Estima da Silva"/>
        <s v="Ladijane Miranda de Siqueira"/>
        <s v="Debora Amanda da Silva"/>
        <s v="Leila Flavia Nascimento da Silva"/>
        <s v="Anna Regina Guedes de Souza"/>
        <s v="Isabela Patricia da Silva Mendes"/>
        <s v="Jania Alexandre Ricardo Freitas"/>
        <s v="Larisse Crispiniano da Silva"/>
        <s v="Patricia da Silva Nascimento"/>
        <s v="Gleyciane Maria da Silva Sales"/>
        <s v="Caroline Eugenia Araújo da Silva Oliveira"/>
        <s v="Juliana Maria da Silva de Araujo"/>
        <s v="Lucelia Maria Vitor do Nascimento"/>
        <s v="Tainan da Silva Lima"/>
        <s v="Maria Jose Elias de Araujo"/>
        <s v="Silvana Kimberlly Libanio Soares Silva"/>
        <s v="Bruna Rita Oliveira de Albuquerque"/>
        <s v="Helen Jayane da Silva Martiniano"/>
        <s v="Emanuela Danielle Silva de Moura"/>
        <s v="Jessica Pinheiro da Silva"/>
        <s v="Gleice Correia de Oliveira "/>
        <s v="Jessica Priscila da Silva Gomes"/>
        <s v="Karina Bezerra dos Santos"/>
        <s v="Rayane Milena da Silva"/>
        <s v="Bruna Rafaela Rodrigues da Silva"/>
        <s v="Thayna Elias Braz Pereira"/>
        <s v="Maria Angelica Gonçalves da Silva"/>
        <s v="Joyce Silva Prazeres"/>
        <s v="Wanessa Daphine de Araujo"/>
        <s v="Laís Marta Pereira"/>
        <s v="Ellen Mayra da Silva Ferreira"/>
        <s v="Stefany Souza Silva"/>
        <s v="Andreza Goncalves do Nascimento"/>
        <s v="Adrielly Emille Goncalves de Lima"/>
        <s v="Layla Beatriz Xavier Correia"/>
        <s v="Fabiana da Silva Alexandre"/>
        <s v="Bianca Xaiane Marques Lira Paz"/>
        <s v="Josilene de Oliveira Nunes"/>
        <s v="Havane Sumaya da Silva"/>
        <s v="Jessica Regina da Silva Brasileiro"/>
        <s v="Pamela Vitoria da Silva Santos"/>
        <s v="Carolayne Lins Ferreira"/>
        <s v="Gleice Kelly Felix da Silva"/>
        <s v="                                                                                                                                                                                                                                                               "/>
      </sharedItems>
    </cacheField>
    <cacheField name="CPF" numFmtId="0">
      <sharedItems containsBlank="1" containsNumber="1" containsInteger="1" containsMixedTypes="1" count="731">
        <m/>
        <n v="11298976480"/>
        <n v="14037728435"/>
        <n v="70244496404"/>
        <s v="09950658454"/>
        <n v="71158194404"/>
        <n v="11442698497"/>
        <n v="12075004455"/>
        <n v="4882140411"/>
        <s v="05900599477"/>
        <n v="70895876493"/>
        <n v="71176140485"/>
        <n v="10768708486"/>
        <n v="70467347476"/>
        <n v="71724929437"/>
        <n v="13393664441"/>
        <n v="11784645478"/>
        <n v="70673369455"/>
        <n v="70398985430"/>
        <n v="11046557483"/>
        <n v="5141053482"/>
        <n v="70823253473"/>
        <n v="6615987481"/>
        <n v="11260421457"/>
        <s v="05341859405"/>
        <n v="17838599466"/>
        <n v="70494219440"/>
        <s v="04802254431"/>
        <s v="04987045486"/>
        <s v="07063328492"/>
        <n v="10886615488"/>
        <n v="70989029425"/>
        <n v="13102393470"/>
        <s v="04393038428"/>
        <s v="09344287430"/>
        <s v="08010319406"/>
        <n v="70672195402"/>
        <n v="13188065426"/>
        <n v="9800656405"/>
        <n v="71052522432"/>
        <n v="13025935448"/>
        <n v="9778988498"/>
        <s v="07907825458"/>
        <s v="09744242426"/>
        <n v="10989907490"/>
        <n v="70816320411"/>
        <s v="09778988498"/>
        <s v="05141053482"/>
        <s v="09359835463"/>
        <n v="16271078435"/>
        <n v="70492275440"/>
        <n v="11505533406"/>
        <s v="08608151456"/>
        <n v="16983892488"/>
        <n v="70759953406"/>
        <s v="06810407421"/>
        <n v="11202951490"/>
        <n v="4182489314"/>
        <s v="09147189401"/>
        <s v="01485735416"/>
        <n v="70663872448"/>
        <n v="70750015403"/>
        <n v="7018160405"/>
        <n v="11477468420"/>
        <n v="11672152496"/>
        <n v="10254647456"/>
        <s v="08019242430"/>
        <n v="11686962401"/>
        <n v="10134721446"/>
        <n v="10683896482"/>
        <n v="13705305441"/>
        <n v="71149073462"/>
        <s v="08732975473"/>
        <n v="9307215430"/>
        <n v="11070665495"/>
        <n v="13333687470"/>
        <s v="05506462484"/>
        <s v="08887603456"/>
        <s v="09890454475"/>
        <n v="70266535470"/>
        <n v="12681650429"/>
        <n v="12312110407"/>
        <s v="01784036447"/>
        <s v="09955568496"/>
        <s v="03787319476"/>
        <n v="10871836424"/>
        <n v="70174742444"/>
        <s v="09566394454"/>
        <n v="9840507443"/>
        <n v="12618533429"/>
        <n v="70332071405"/>
        <n v="15354635462"/>
        <s v="09504531458"/>
        <s v="06443929403"/>
        <n v="8886917422"/>
        <n v="71003727476"/>
        <s v="09383941421"/>
        <n v="71212578406"/>
        <n v="11633312445"/>
        <n v="14118111438"/>
        <n v="14549161418"/>
        <n v="11635639433"/>
        <s v="06569084402"/>
        <n v="70161894496"/>
        <s v="06713356427"/>
        <n v="70254002463"/>
        <n v="71232849413"/>
        <s v="09255445405"/>
        <s v="06929822485"/>
        <s v="08237090438"/>
        <s v="07992425430"/>
        <n v="7865414480"/>
        <n v="15164122499"/>
        <n v="70628172443"/>
        <n v="70806053429"/>
        <n v="13689158419"/>
        <n v="70489527418"/>
        <n v="10848694465"/>
        <n v="7865411480"/>
        <n v="11296639495"/>
        <n v="8867737414"/>
        <s v="05508503412"/>
        <s v="09971354411"/>
        <s v="09225710402"/>
        <s v="09141821459"/>
        <n v="12379186421"/>
        <n v="13960082410"/>
        <n v="13964557447"/>
        <s v="08357295401"/>
        <s v="06785683408"/>
        <n v="71168341418"/>
        <s v="06530344403"/>
        <s v="01727295480"/>
        <n v="70981155413"/>
        <n v="15111735488"/>
        <s v="07857213470"/>
        <s v="09007371401"/>
        <s v="07716126482"/>
        <n v="71199151424"/>
        <n v="70053271440"/>
        <n v="10347149456"/>
        <n v="14500412484"/>
        <n v="14389171470"/>
        <n v="10977407497"/>
        <n v="70209688483"/>
        <s v="07331511408"/>
        <s v="07864208479"/>
        <n v="70169058450"/>
        <n v="10807429481"/>
        <n v="10746529406"/>
        <n v="10859410439"/>
        <n v="14671356406"/>
        <s v="06529668454"/>
        <n v="13484506490"/>
        <n v="71331323460"/>
        <s v="01446203409"/>
        <n v="11915750474"/>
        <s v="01368258425"/>
        <s v="01450922406"/>
        <n v="71214897401"/>
        <n v="70642278431"/>
        <n v="71772736465"/>
        <n v="11275270450"/>
        <n v="70833388410"/>
        <n v="11152651480"/>
        <n v="10316599433"/>
        <s v="08103033456"/>
        <n v="11004310471"/>
        <s v="08885743471"/>
        <s v="09397155466"/>
        <n v="71206260432"/>
        <n v="71188041428"/>
        <n v="10258675489"/>
        <s v="05717648430"/>
        <s v="09815364413"/>
        <n v="12410257461"/>
        <n v="70922340420"/>
        <n v="11539536416"/>
        <n v="12393596402"/>
        <n v="10709582471"/>
        <n v="70815266405"/>
        <n v="71140511408"/>
        <s v="06992220446"/>
        <n v="71345615426"/>
        <s v="09713035410"/>
        <n v="12867231400"/>
        <s v="07002578456"/>
        <n v="70596684460"/>
        <n v="12143833431"/>
        <s v="03923058950"/>
        <n v="13715554436"/>
        <n v="10966441427"/>
        <n v="11136345450"/>
        <n v="12417806410"/>
        <n v="70713534419"/>
        <s v="07615206430"/>
        <n v="17002859471"/>
        <n v="10232065446"/>
        <n v="14825985408"/>
        <n v="37407870829"/>
        <n v="17143084484"/>
        <n v="71580630464"/>
        <s v="08921673431"/>
        <n v="13387549474"/>
        <n v="10509610480"/>
        <n v="71177047489"/>
        <n v="16111740407"/>
        <s v="08568515401"/>
        <s v="06646982473"/>
        <n v="13439690423"/>
        <n v="11350403466"/>
        <n v="12902294492"/>
        <n v="12871055483"/>
        <s v="05166807499"/>
        <s v="09343711484"/>
        <s v="08886917422"/>
        <s v="01352820471"/>
        <n v="17810560484"/>
        <n v="70191449423"/>
        <s v="09638619481"/>
        <n v="71252858485"/>
        <n v="11277531420"/>
        <n v="71567974414"/>
        <s v="08477858403"/>
        <s v="07912410414"/>
        <n v="10502529423"/>
        <n v="71189011484"/>
        <n v="71677469404"/>
        <n v="13785512490"/>
        <s v="09194447411"/>
        <n v="10516087401"/>
        <n v="70761378448"/>
        <n v="70557677416"/>
        <s v="01829481452"/>
        <s v="09077054480"/>
        <s v="05428508426"/>
        <s v="07162770428"/>
        <n v="10358856469"/>
        <s v="08594293429"/>
        <n v="7092486440"/>
        <s v="09242838403"/>
        <n v="11802983490"/>
        <s v="08724492469"/>
        <s v="07092486440"/>
        <s v="09048100461"/>
        <n v="10094451460"/>
        <n v="13470321426"/>
        <n v="70754885461"/>
        <n v="12180538448"/>
        <n v="70512638462"/>
        <n v="17329918474"/>
        <s v="09926155421"/>
        <n v="71581178476"/>
        <s v="08897467458"/>
        <s v="09725947444"/>
        <n v="10804409412"/>
        <s v="08970731423"/>
        <s v="06468732450"/>
        <n v="10323624480"/>
        <n v="70301390460"/>
        <s v="09181379420"/>
        <s v="07859294443"/>
        <n v="10640834477"/>
        <n v="71688931490"/>
        <n v="70195446496"/>
        <n v="70793267455"/>
        <n v="16629595408"/>
        <n v="11267816490"/>
        <s v="06556220477"/>
        <s v="05029110429"/>
        <n v="70164641483"/>
        <n v="10704925400"/>
        <n v="6780936448"/>
        <s v="06780936448"/>
        <s v="03952601403"/>
        <n v="12856949452"/>
        <n v="70242221408"/>
        <n v="70373464460"/>
        <n v="70626108446"/>
        <s v="09624709459"/>
        <s v="05409576403"/>
        <n v="71015297471"/>
        <s v="09236557430"/>
        <n v="10056064470"/>
        <s v="08925830450"/>
        <n v="11541099419"/>
        <s v="04561634410"/>
        <s v="07319672405"/>
        <n v="10113198450"/>
        <n v="17756289498"/>
        <s v="05237532411"/>
        <s v="09813863420"/>
        <s v="06775536410"/>
        <s v="07837957423"/>
        <n v="10433701455"/>
        <s v="04100092458"/>
        <n v="70289116406"/>
        <n v="70551431440"/>
        <n v="71152234404"/>
        <n v="12617371484"/>
        <n v="4854471425"/>
        <s v="07473098411"/>
        <n v="14640046413"/>
        <n v="11412482470"/>
        <n v="12993275402"/>
        <n v="12169521402"/>
        <n v="10088703401"/>
        <s v="07394169448"/>
        <n v="71521746443"/>
        <n v="70161958486"/>
        <s v="08176436488"/>
        <n v="13184626490"/>
        <n v="70991800451"/>
        <n v="70397467435"/>
        <n v="71484091442"/>
        <n v="70770332447"/>
        <s v="08844414406"/>
        <s v="09932432407"/>
        <n v="70961475439"/>
        <n v="11538332477"/>
        <s v="09546579424"/>
        <s v="07962986450"/>
        <s v="06270918499"/>
        <n v="70879519479"/>
        <n v="10750085495"/>
        <n v="12329685440"/>
        <s v="08354118428"/>
        <s v="06588117469"/>
        <n v="11760505404"/>
        <s v="06245697484"/>
        <s v="06211091427"/>
        <n v="11053974400"/>
        <n v="71776241479"/>
        <s v="08722535462"/>
        <n v="71334389411"/>
        <n v="71093916478"/>
        <n v="10499567455"/>
        <n v="11585400432"/>
        <s v="06755866407"/>
        <n v="70577554492"/>
        <n v="70584483457"/>
        <n v="70840198477"/>
        <n v="10039731405"/>
        <s v="06165781489"/>
        <n v="14024568400"/>
        <n v="10903890437"/>
        <s v="09023361423"/>
        <s v="07260242442"/>
        <n v="12266138456"/>
        <n v="10581440498"/>
        <n v="70550585460"/>
        <n v="16762881475"/>
        <n v="13034821425"/>
        <n v="13172784452"/>
        <n v="71484595408"/>
        <n v="14045185410"/>
        <n v="12049566425"/>
        <n v="23273886862"/>
        <n v="10704405407"/>
        <s v="06615610469"/>
        <s v="08757158428"/>
        <n v="71714309444"/>
        <s v="09272101425"/>
        <s v="06075278460"/>
        <n v="14320726766"/>
        <n v="15819343433"/>
        <n v="15953902433"/>
        <n v="11237571430"/>
        <n v="71136052496"/>
        <n v="11034320440"/>
        <n v="70294687408"/>
        <n v="70534816460"/>
        <n v="70837351405"/>
        <n v="10816028486"/>
        <s v="05213591477"/>
        <n v="10501742409"/>
        <n v="71376795442"/>
        <s v="06852178412"/>
        <n v="71377648435"/>
        <s v="09270912400"/>
        <n v="70968471463"/>
        <s v="08844438410"/>
        <s v="08332796458"/>
        <n v="11378137418"/>
        <n v="10811398463"/>
        <n v="70946113408"/>
        <s v="08479536454"/>
        <n v="71396500460"/>
        <n v="13211084436"/>
        <n v="11520185405"/>
        <n v="71181541484"/>
        <n v="13114627404"/>
        <n v="70910159408"/>
        <s v="01589956435"/>
        <s v="09817940411"/>
        <n v="71235645452"/>
        <s v="09000840490"/>
        <s v="07111563441"/>
        <n v="16330430454"/>
        <n v="10290032466"/>
        <n v="11584236400"/>
        <s v="09896030405"/>
        <n v="10436365448"/>
        <s v="09569874430"/>
        <n v="12153382440"/>
        <n v="10628668430"/>
        <n v="8147055455"/>
        <n v="71848583443"/>
        <n v="70766391493"/>
        <n v="11540327442"/>
        <s v="05778167482"/>
        <s v="09024504414"/>
        <n v="13380297461"/>
        <n v="71281728403"/>
        <n v="10760602425"/>
        <n v="16861664430"/>
        <n v="10922880409"/>
        <s v="05071789477"/>
        <n v="11959329448"/>
        <s v="08467540451"/>
        <n v="14039865413"/>
        <s v="08526174452"/>
        <n v="14092906463"/>
        <n v="6462481463"/>
        <n v="10219392420"/>
        <n v="70561899460"/>
        <s v="01732223408"/>
        <s v="08933368400"/>
        <n v="70611531488"/>
        <n v="13497029432"/>
        <n v="9099317476"/>
        <n v="70237674440"/>
        <n v="71369959494"/>
        <s v="09761815412"/>
        <n v="70797418407"/>
        <s v="08386312408"/>
        <n v="70482917458"/>
        <n v="10153924403"/>
        <s v="07302189455"/>
        <n v="71429101431"/>
        <n v="37157378833"/>
        <s v="01632837455"/>
        <n v="70808893408"/>
        <s v="06936977413"/>
        <n v="11904965423"/>
        <n v="71631042432"/>
        <n v="1065749431"/>
        <n v="11984497480"/>
        <n v="10657449431"/>
        <s v="09117402441"/>
        <n v="11066349428"/>
        <s v="09231059483"/>
        <n v="10909927421"/>
        <n v="70425234401"/>
        <n v="71346312494"/>
        <n v="10517656418"/>
        <s v="09753564457"/>
        <s v="09080588458"/>
        <n v="14461093484"/>
        <n v="10687511429"/>
        <n v="71053651457"/>
        <s v="09454086413"/>
        <n v="70198196482"/>
        <s v="06057290429"/>
        <n v="12472908407"/>
        <n v="71430049448"/>
        <n v="12226276475"/>
        <n v="10160330440"/>
        <s v="09628716484"/>
        <s v="09842512436"/>
        <n v="12247533485"/>
        <n v="71450636462"/>
        <n v="70500049440"/>
        <n v="16484138460"/>
        <n v="11480668451"/>
        <s v="03368101480"/>
        <s v="09357792481"/>
        <n v="72068534479"/>
        <n v="13951086416"/>
        <n v="10752547445"/>
        <n v="22784714810"/>
        <n v="70261856405"/>
        <s v="08351582417"/>
        <n v="71258001497"/>
        <n v="39403127899"/>
        <s v="01391594444"/>
        <s v="06554886427"/>
        <n v="16009723493"/>
        <n v="71266803416"/>
        <n v="11012606457"/>
        <n v="9753564457"/>
        <n v="11229954406"/>
        <s v="06571354454"/>
        <s v="09092644498"/>
        <s v="04671793440"/>
        <n v="71681386429"/>
        <n v="15842009447"/>
        <s v="08220304464"/>
        <n v="70085444480"/>
        <s v="14825985408"/>
        <n v="11274887402"/>
        <n v="12912334403"/>
        <s v="08971497424"/>
        <n v="70505915480"/>
        <s v="04876514488"/>
        <n v="13393293443"/>
        <n v="11257950428"/>
        <n v="12265832456"/>
        <n v="12932162403"/>
        <n v="12627302442"/>
        <s v="09778501459"/>
        <n v="10979586470"/>
        <n v="70191405485"/>
        <s v="04939304426"/>
        <s v="09404433411"/>
        <s v="08842150401"/>
        <s v="09224274455"/>
        <n v="12256305414"/>
        <n v="70937498440"/>
        <s v="09900961498"/>
        <n v="71144197406"/>
        <n v="12102109402"/>
        <n v="70493080481"/>
        <n v="71998664457"/>
        <n v="70981237495"/>
        <n v="70443909431"/>
        <n v="70942859499"/>
        <n v="10991103432"/>
        <n v="14567730461"/>
        <n v="13645225439"/>
        <s v="08813404484"/>
        <n v="12479929426"/>
        <n v="14039334485"/>
        <n v="11123861498"/>
        <n v="70410093432"/>
        <s v="08052436400"/>
        <n v="10717354466"/>
        <n v="71466211466"/>
        <s v="05497260470"/>
        <s v="09589544452"/>
        <s v="07969064400"/>
        <n v="71557419493"/>
        <n v="10930499441"/>
        <s v="07453742471"/>
        <n v="71818397480"/>
        <n v="70632914408"/>
        <s v="09540280400"/>
        <s v="00059759305"/>
        <n v="10499514416"/>
        <n v="16751619413"/>
        <s v="07181969455"/>
        <n v="12362817482"/>
        <s v="09245048462"/>
        <n v="12935047427"/>
        <n v="70428539467"/>
        <s v="08873260489"/>
        <n v="15871498426"/>
        <s v="07339708421"/>
        <n v="12513606450"/>
        <n v="71415495440"/>
        <n v="10793952450"/>
        <n v="10340541474"/>
        <s v="08170030455"/>
        <n v="71492471488"/>
        <n v="71662525451"/>
        <n v="70528685473"/>
        <n v="12351052455"/>
        <s v="07262847422"/>
        <n v="71219042412"/>
        <n v="70758250460"/>
        <n v="11786881438"/>
        <n v="12494781469"/>
        <n v="10956410421"/>
        <n v="10813817447"/>
        <n v="11608060470"/>
        <n v="11098787455"/>
        <s v="07202895480"/>
        <n v="13973758417"/>
        <n v="11267539470"/>
        <s v="09810823436"/>
        <n v="11754544436"/>
        <n v="71228826404"/>
        <n v="70292521448"/>
        <n v="71171552483"/>
        <n v="13320250485"/>
        <n v="10566423430"/>
        <n v="71130378446"/>
        <n v="13465265408"/>
        <n v="11441339477"/>
        <s v="06466604462"/>
        <n v="51035953897"/>
        <n v="71533059470"/>
        <s v="09345624406"/>
        <s v="09413612412"/>
        <n v="13010353430"/>
        <n v="10630912416"/>
        <s v="03437474480"/>
        <n v="15493280426"/>
        <n v="71284004430"/>
        <n v="12567294422"/>
        <n v="13200818433"/>
        <n v="11289973474"/>
        <n v="12002249490"/>
        <n v="70421798467"/>
        <n v="71144539498"/>
        <n v="12864877490"/>
        <n v="17785739404"/>
        <s v="01798823411"/>
        <n v="12839471450"/>
        <n v="13115492421"/>
        <n v="11239307403"/>
        <s v="09421353420"/>
        <n v="13775678425"/>
        <s v="01798674408"/>
        <n v="70896728404"/>
        <n v="10888762429"/>
        <n v="13180404426"/>
        <n v="11542933439"/>
        <s v="05982559407"/>
        <n v="70620658460"/>
        <s v="06036013400"/>
        <n v="11088441467"/>
        <n v="10733452469"/>
        <s v="08010651435"/>
        <n v="16611354476"/>
        <s v="06110013498"/>
        <n v="12109949414"/>
        <s v="06093734471"/>
        <n v="10303523484"/>
        <n v="16086979405"/>
        <n v="70477443478"/>
        <n v="10300749414"/>
        <n v="11983677418"/>
        <n v="70407529489"/>
        <n v="70048226483"/>
        <n v="71436568447"/>
        <s v="05186380571"/>
        <n v="12936692458"/>
        <n v="11486071457"/>
        <n v="12328336493"/>
        <n v="70568093402"/>
        <s v="06011565441"/>
        <n v="70541703420"/>
        <n v="70447520474"/>
        <n v="16111438450"/>
        <n v="17100735432"/>
        <n v="71099512433"/>
        <s v="05903519407"/>
        <n v="11231776439"/>
        <s v="03886783480"/>
        <s v="09772012448"/>
        <s v="09186594427"/>
        <n v="12310877492"/>
        <n v="12327939496"/>
        <s v="08002192443"/>
        <n v="70280817452"/>
        <n v="16530557741"/>
        <n v="17517363425"/>
        <n v="71056621400"/>
        <n v="11170401430"/>
        <n v="71590593448"/>
        <s v="08773764418"/>
        <n v="71578122406"/>
        <s v="08038192427"/>
        <s v="06529921451"/>
        <n v="11332924450"/>
        <n v="11067662456"/>
        <n v="10919300405"/>
        <n v="10657267406"/>
        <n v="13483484450"/>
        <n v="15877271458"/>
        <n v="10622975471"/>
        <n v="11772993484"/>
        <s v="07953985497"/>
        <n v="11257485407"/>
        <n v="14208382708"/>
        <n v="70915413400"/>
        <n v="71353539431"/>
        <n v="10314889442"/>
        <n v="12895912459"/>
        <s v="07881299452"/>
        <n v="11838694447"/>
        <n v="11839451408"/>
        <n v="71305949420"/>
        <s v="09112033464"/>
        <n v="11756692459"/>
        <s v="09649602496"/>
        <s v="09190352483"/>
        <n v="11846531438"/>
        <n v="15905956456"/>
        <s v="06040753404"/>
        <n v="71188326422"/>
        <n v="11317277465"/>
        <s v="09075251483"/>
        <s v="08579549469"/>
        <n v="70265875447"/>
        <s v="09061804493"/>
        <n v="13573595430"/>
        <n v="11189101416"/>
        <s v="07237724444"/>
        <s v="05365206401"/>
        <n v="70294475494"/>
        <s v="03345996448"/>
        <n v="14282695412"/>
        <s v="06366530483"/>
        <n v="11414319479"/>
        <n v="10940084430"/>
        <n v="70341962490"/>
        <n v="70313602425"/>
        <n v="71871129478"/>
        <s v="09085672430"/>
        <n v="70287998401"/>
        <s v="08283085433"/>
        <n v="16319449403"/>
        <n v="11873320469"/>
        <n v="70614439442"/>
        <n v="17430102492"/>
        <s v="09327901436"/>
        <n v="10024550493"/>
        <n v="1440046413"/>
        <n v="12996355474"/>
        <s v="08920287422"/>
        <n v="70675118441"/>
        <s v="06620762492"/>
        <n v="71331374456"/>
        <s v="07801832400"/>
        <n v="13611584410"/>
        <n v="10664578403"/>
        <n v="11471732495"/>
        <n v="72016087463"/>
        <n v="11746594403"/>
      </sharedItems>
    </cacheField>
    <cacheField name="CNS" numFmtId="0">
      <sharedItems containsString="0" containsBlank="1" containsNumber="1" containsInteger="1" minValue="70120702918371" maxValue="898050095465067" count="725">
        <m/>
        <n v="702309124420318"/>
        <n v="703102331235560"/>
        <n v="705703432034430"/>
        <n v="705005817013652"/>
        <n v="708407796973663"/>
        <n v="702105777657950"/>
        <n v="702403017460123"/>
        <n v="702301136510514"/>
        <n v="700902926629091"/>
        <n v="700002751960906"/>
        <n v="700002248469009"/>
        <n v="704306570802490"/>
        <n v="700003309452306"/>
        <n v="700201400050122"/>
        <n v="700002665283209"/>
        <n v="701207029183712"/>
        <n v="700005875085902"/>
        <n v="700005882298401"/>
        <n v="708702189579698"/>
        <n v="700506170046856"/>
        <n v="704705577244340"/>
        <n v="700704978103876"/>
        <n v="702403012834025"/>
        <n v="705702437682030"/>
        <n v="706405177561283"/>
        <n v="700006505018403"/>
        <n v="709205207587931"/>
        <n v="708704177030094"/>
        <n v="708105560163634"/>
        <n v="701409644710532"/>
        <n v="700004101187503"/>
        <n v="209052022490009"/>
        <n v="700005112908305"/>
        <n v="704102770029580"/>
        <n v="708602069041586"/>
        <n v="707405032215277"/>
        <n v="708207113732745"/>
        <n v="709206262169233"/>
        <n v="700903912525192"/>
        <n v="702409551791425"/>
        <n v="701204072769313"/>
        <n v="705301484050390"/>
        <n v="700504938219751"/>
        <n v="701009899857591"/>
        <n v="706306617689780"/>
        <n v="209051471750007"/>
        <n v="708000898780624"/>
        <n v="706005856689244"/>
        <n v="708500376279279"/>
        <n v="700002491205909"/>
        <n v="709601664711271"/>
        <n v="898000652731327"/>
        <n v="700000775385705"/>
        <n v="705603421725012"/>
        <n v="702104750775290"/>
        <n v="701806212560272"/>
        <n v="700503541527951"/>
        <n v="700000822013309"/>
        <n v="700208434012424"/>
        <n v="708708109195192"/>
        <n v="706806240579420"/>
        <n v="704804584865841"/>
        <n v="705600424812517"/>
        <n v="708403791520268"/>
        <n v="701800299538570"/>
        <n v="708201136381242"/>
        <n v="700508790071751"/>
        <n v="704300580759797"/>
        <n v="206045717250004"/>
        <n v="700004086227201"/>
        <n v="706003892594248"/>
        <n v="700008726340202"/>
        <n v="708707109614690"/>
        <n v="700001403748904"/>
        <n v="705009821852659"/>
        <n v="706809221854422"/>
        <n v="700008372208705"/>
        <n v="704803055421841"/>
        <n v="700004797843807"/>
        <n v="706401675238685"/>
        <n v="708603077751784"/>
        <n v="706703518432319"/>
        <n v="701408677522831"/>
        <n v="706200093511568"/>
        <n v="704001849620064"/>
        <n v="704600736177630"/>
        <n v="701003827009297"/>
        <n v="704201206184189"/>
        <n v="700208426691628"/>
        <n v="700006684597306"/>
        <n v="706505322497098"/>
        <n v="702000338875485"/>
        <n v="707609216180397"/>
        <n v="70120702918371"/>
        <n v="707808603525913"/>
        <n v="703401295219315"/>
        <n v="708004843352020"/>
        <n v="703403421894200"/>
        <n v="704007160101070"/>
        <n v="701805288964276"/>
        <n v="706401602918082"/>
        <n v="700801977487189"/>
        <n v="704805587922146"/>
        <n v="706801210740520"/>
        <n v="700509773550753"/>
        <n v="703404238473014"/>
        <n v="700504929873355"/>
        <n v="700204926989428"/>
        <n v="700009740270705"/>
        <n v="705002239945457"/>
        <n v="700005241485109"/>
        <n v="700008035815606"/>
        <n v="206053458500008"/>
        <n v="708400717008467"/>
        <n v="702401043319228"/>
        <n v="703408046224400"/>
        <n v="700209466716525"/>
        <n v="706206004686362"/>
        <n v="700507529572253"/>
        <n v="701109380079380"/>
        <n v="707007847940738"/>
        <n v="702805126780461"/>
        <n v="706403154387587"/>
        <n v="700902975908497"/>
        <n v="704001886504668"/>
        <n v="702508373337330"/>
        <n v="702303171179812"/>
        <n v="702500371187237"/>
        <n v="708501389703679"/>
        <n v="705009899325355"/>
        <n v="700007525040502"/>
        <n v="702506385881039"/>
        <n v="708209134201740"/>
        <n v="701103334115080"/>
        <n v="707106366986720"/>
        <n v="704606180252124"/>
        <n v="708606097669989"/>
        <n v="706801783269029"/>
        <n v="898005174693865"/>
        <n v="706407666228082"/>
        <n v="702500368297132"/>
        <n v="708104596853338"/>
        <n v="209053623510005"/>
        <n v="704300517263690"/>
        <n v="701804291442578"/>
        <n v="700306966503330"/>
        <n v="706709750051820"/>
        <n v="707802698820718"/>
        <n v="898003426867976"/>
        <n v="706001315807649"/>
        <n v="700007196049009"/>
        <n v="702009312004981"/>
        <n v="700402953155350"/>
        <n v="706703501709118"/>
        <n v="700800924380087"/>
        <n v="705206468768679"/>
        <n v="701807289837679"/>
        <n v="705006843837757"/>
        <n v="701804284088071"/>
        <n v="704105229464050"/>
        <n v="702805692567664"/>
        <n v="708704199993898"/>
        <n v="709206255090333"/>
        <n v="702808151424560"/>
        <n v="706808763613626"/>
        <n v="704207569648590"/>
        <n v="700009756810909"/>
        <n v="898004112430525"/>
        <n v="702609237165647"/>
        <n v="704706718467333"/>
        <n v="701004869342599"/>
        <n v="702005360528088"/>
        <n v="707608210613398"/>
        <n v="708004326100028"/>
        <n v="707603234727798"/>
        <n v="704208796499384"/>
        <n v="703106886252060"/>
        <n v="700608492019165"/>
        <n v="700001559799204"/>
        <n v="706605501971710"/>
        <n v="701803216936576"/>
        <n v="708603017484089"/>
        <n v="700009213912107"/>
        <n v="706403175801781"/>
        <n v="702407068460825"/>
        <n v="702908566058871"/>
        <n v="700800977538181"/>
        <n v="206044337050002"/>
        <n v="709604646515272"/>
        <n v="700003714309300"/>
        <n v="706200587848067"/>
        <n v="702507371552632"/>
        <n v="706906145621538"/>
        <n v="898005980124766"/>
        <n v="703402288081800"/>
        <n v="703008821547875"/>
        <n v="705402440429297"/>
        <n v="898003740931665"/>
        <n v="706401158848587"/>
        <n v="700708434557280"/>
        <n v="708107808885710"/>
        <n v="707806698403118"/>
        <n v="898003033926454"/>
        <n v="700400926071042"/>
        <n v="700007375574701"/>
        <n v="700000449927606"/>
        <n v="705804437129030"/>
        <n v="700709964698079"/>
        <n v="702809136602667"/>
        <n v="898003295517772"/>
        <n v="706508365166797"/>
        <n v="708601027397586"/>
        <n v="706400343153890"/>
        <n v="707607284854193"/>
        <n v="702005325092082"/>
        <n v="705803458151638"/>
        <n v="705008421417954"/>
        <n v="700300942296534"/>
        <n v="700001451759201"/>
        <n v="700009626475204"/>
        <n v="704101120189175"/>
        <n v="702603781836245"/>
        <n v="700504398814051"/>
        <n v="700604928707167"/>
        <n v="705609497195117"/>
        <n v="706809788150825"/>
        <n v="708002323626329"/>
        <n v="700007773792504"/>
        <n v="706403690402883"/>
        <n v="702305004241420"/>
        <n v="700205940755030"/>
        <n v="700808942449686"/>
        <n v="704001819954762"/>
        <n v="705008653771250"/>
        <n v="700303489595140"/>
        <n v="704607149910620"/>
        <n v="700802950647186"/>
        <n v="708005873205221"/>
        <n v="705200406232877"/>
        <n v="705607447469815"/>
        <n v="898002391102498"/>
        <n v="709602647540376"/>
        <n v="700802413288187"/>
        <n v="700305900737537"/>
        <n v="702802502919170"/>
        <n v="709804075482392"/>
        <n v="700503113295351"/>
        <n v="705009691293051"/>
        <n v="700001162973506"/>
        <n v="700400558690050"/>
        <n v="709201282056537"/>
        <n v="704703754695933"/>
        <n v="702805654905760"/>
        <n v="708005352616827"/>
        <n v="706800705282925"/>
        <n v="708408253345263"/>
        <n v="703002893021874"/>
        <n v="702808142394360"/>
        <n v="700801400566786"/>
        <n v="700107839299990"/>
        <n v="705604474294912"/>
        <n v="704007382536065"/>
        <n v="706804729437825"/>
        <n v="704006815939364"/>
        <n v="705401411478497"/>
        <n v="706702508531615"/>
        <n v="704002825635968"/>
        <n v="700803490012388"/>
        <n v="700805993599089"/>
        <n v="707601278100691"/>
        <n v="705406415504896"/>
        <n v="700208977258122"/>
        <n v="704606634032426"/>
        <n v="702406072275122"/>
        <n v="704203294432785"/>
        <n v="704704755758735"/>
        <n v="701807287448470"/>
        <n v="702505316635031"/>
        <n v="702107726825391"/>
        <n v="700208934984522"/>
        <n v="706403183087685"/>
        <n v="700109984959620"/>
        <n v="705006858038952"/>
        <n v="898004541923736"/>
        <n v="704005380561265"/>
        <n v="704505318793811"/>
        <n v="709805009296498"/>
        <n v="706805268866024"/>
        <n v="701102044255210"/>
        <n v="700902904075395"/>
        <n v="700507946339054"/>
        <n v="701707284385770"/>
        <n v="702504395276837"/>
        <n v="700000331008003"/>
        <n v="706409146148787"/>
        <n v="700503392857351"/>
        <n v="898006177047124"/>
        <n v="200329141690001"/>
        <n v="898004847610948"/>
        <n v="708606000411280"/>
        <n v="700204487588122"/>
        <n v="700608461938568"/>
        <n v="700001066797603"/>
        <n v="708602561840888"/>
        <n v="706809158603030"/>
        <n v="702803607991069"/>
        <n v="702608728208647"/>
        <n v="705005422471356"/>
        <n v="704806523960048"/>
        <n v="705005617278156"/>
        <n v="700006358142601"/>
        <n v="704706748082936"/>
        <n v="700204427919629"/>
        <n v="700606470263967"/>
        <n v="700904910650594"/>
        <n v="706205719106970"/>
        <n v="708209198296742"/>
        <n v="700006916653005"/>
        <n v="703405401695700"/>
        <n v="706808268468226"/>
        <n v="704604695814821"/>
        <n v="700801410371082"/>
        <n v="700801935528685"/>
        <n v="705600430738218"/>
        <n v="707606278263595"/>
        <n v="703403585430800"/>
        <n v="700503166072055"/>
        <n v="700600475815563"/>
        <n v="700503923254059"/>
        <n v="708206629187642"/>
        <n v="700003730687608"/>
        <n v="898004515051239"/>
        <n v="700805405532786"/>
        <n v="707809636197614"/>
        <n v="703400956786400"/>
        <n v="707602265290390"/>
        <n v="705000630829352"/>
        <n v="700406468974640"/>
        <n v="700005003646709"/>
        <n v="705205410973570"/>
        <n v="706206023630466"/>
        <n v="709008832920318"/>
        <n v="706803700987028"/>
        <n v="705009243104050"/>
        <n v="898003279196983"/>
        <n v="702007717649390"/>
        <n v="700006996160604"/>
        <n v="707400095300870"/>
        <n v="704507398766818"/>
        <n v="702604210262744"/>
        <n v="706808715942623"/>
        <n v="700002178721200"/>
        <n v="707002893267434"/>
        <n v="700704905278072"/>
        <n v="706502381193293"/>
        <n v="898003292542652"/>
        <n v="706900193331433"/>
        <n v="703008898676378"/>
        <n v="700804961486083"/>
        <n v="702408513624427"/>
        <n v="706505362955291"/>
        <n v="700607443905067"/>
        <n v="898002058966432"/>
        <n v="707600208687994"/>
        <n v="706601511240510"/>
        <n v="701808284741275"/>
        <n v="704204284423989"/>
        <n v="700502539523455"/>
        <n v="200344031610009"/>
        <n v="704203767834281"/>
        <n v="709203216580438"/>
        <n v="898001088704583"/>
        <n v="898003026839444"/>
        <n v="708700190774790"/>
        <n v="700601419972161"/>
        <n v="706006347560740"/>
        <n v="706801746390324"/>
        <n v="200336850740008"/>
        <n v="701301617122130"/>
        <n v="700707925864875"/>
        <n v="706206062450465"/>
        <n v="209047280690005"/>
        <n v="898004654931653"/>
        <n v="700503741989150"/>
        <n v="706500337525497"/>
        <n v="209964255210002"/>
        <n v="702608761483341"/>
        <n v="702300129263816"/>
        <n v="705003083480658"/>
        <n v="702005810307087"/>
        <n v="709206248183631"/>
        <n v="700003377103400"/>
        <n v="708100531892831"/>
        <n v="700604473930660"/>
        <n v="702009388657587"/>
        <n v="700006014004909"/>
        <n v="700004274892705"/>
        <n v="700206468913724"/>
        <n v="700009583339207"/>
        <n v="701103348258180"/>
        <n v="700407937351846"/>
        <n v="898005949436026"/>
        <n v="705008613920859"/>
        <n v="709203201351233"/>
        <n v="701308698720730"/>
        <n v="898000651859796"/>
        <n v="703408691844200"/>
        <n v="708100564765235"/>
        <n v="703108860418060"/>
        <n v="704303576561298"/>
        <n v="700305988617540"/>
        <n v="700304967450840"/>
        <n v="700000267360805"/>
        <n v="898004089980765"/>
        <n v="898005182839644"/>
        <n v="700003623132602"/>
        <n v="706803713587228"/>
        <n v="709200207002734"/>
        <n v="702608252042142"/>
        <n v="702309116567518"/>
        <n v="700605925532170"/>
        <n v="705603432558317"/>
        <n v="706300725356872"/>
        <n v="707803652437114"/>
        <n v="702603216645547"/>
        <n v="708405226095569"/>
        <n v="702600251436948"/>
        <n v="704704091932240"/>
        <n v="702401092249521"/>
        <n v="709204257043837"/>
        <n v="708700168884694"/>
        <n v="706703534950019"/>
        <n v="700402456980442"/>
        <n v="701805248891170"/>
        <n v="705001805425558"/>
        <n v="706208590259767"/>
        <n v="705006070731455"/>
        <n v="700503438361760"/>
        <n v="705201424814778"/>
        <n v="705404474201797"/>
        <n v="703202606885594"/>
        <n v="703403268268213"/>
        <n v="702601274645447"/>
        <n v="707803605040017"/>
        <n v="704305563905890"/>
        <n v="704000838863067"/>
        <n v="708601566411089"/>
        <n v="700908942014999"/>
        <n v="702502399664139"/>
        <n v="708700165310395"/>
        <n v="704605631258422"/>
        <n v="700203928579021"/>
        <n v="700400590955250"/>
        <n v="706700704298020"/>
        <n v="707502276153390"/>
        <n v="705608478820418"/>
        <n v="700605425008863"/>
        <n v="701802207308575"/>
        <n v="700006792641809"/>
        <n v="702403520927427"/>
        <n v="700005247862109"/>
        <n v="704107738689680"/>
        <n v="704301569733796"/>
        <n v="700402954359847"/>
        <n v="704102152406970"/>
        <n v="700307924703340"/>
        <n v="898003065205434"/>
        <n v="706002865429044"/>
        <n v="702302192126016"/>
        <n v="701000843555192"/>
        <n v="898006294626805"/>
        <n v="706301747155471"/>
        <n v="705005428340253"/>
        <n v="704607655945022"/>
        <n v="706902172422830"/>
        <n v="700204950900830"/>
        <n v="703407527388000"/>
        <n v="701006878226794"/>
        <n v="701005891945099"/>
        <n v="708006803184625"/>
        <n v="709201209698230"/>
        <n v="706408648170389"/>
        <n v="700907904325795"/>
        <n v="700404429566845"/>
        <n v="701205029878719"/>
        <n v="700003859109000"/>
        <n v="708101541341936"/>
        <n v="898001087401617"/>
        <n v="898003064619731"/>
        <n v="700809484779783"/>
        <n v="708907785709116"/>
        <n v="705005202258750"/>
        <n v="707105809407820"/>
        <n v="704703781901239"/>
        <n v="700500121853551"/>
        <n v="704205713036486"/>
        <n v="206049713590009"/>
        <n v="700505366831350"/>
        <n v="706803732958228"/>
        <n v="700306906631332"/>
        <n v="700407938011445"/>
        <n v="898001085848827"/>
        <n v="706000304788442"/>
        <n v="700505399532654"/>
        <n v="700009010750307"/>
        <n v="708605175423090"/>
        <n v="700006321187806"/>
        <n v="702403509228925"/>
        <n v="706406613229288"/>
        <n v="702808108979661"/>
        <n v="700601478937660"/>
        <n v="700605968716869"/>
        <n v="702609215868645"/>
        <n v="700506558264153"/>
        <n v="701403685953337"/>
        <n v="708405244029769"/>
        <n v="702304159779113"/>
        <n v="700006238173704"/>
        <n v="706809705489420"/>
        <n v="898005185455359"/>
        <n v="898050095465067"/>
        <n v="708409268304569"/>
        <n v="704209289839282"/>
        <n v="706303740457075"/>
        <n v="700504323315155"/>
        <n v="706406390910290"/>
        <n v="705603430524911"/>
        <n v="703004884010476"/>
        <n v="705008073985751"/>
        <n v="700608427804260"/>
        <n v="707600256228694"/>
        <n v="705009823463358"/>
        <n v="702801187246062"/>
        <n v="706200504791062"/>
        <n v="708205636294946"/>
        <n v="704004819053865"/>
        <n v="708107140970040"/>
        <n v="703200612913497"/>
        <n v="703409215242819"/>
        <n v="700009022856504"/>
        <n v="702603799229847"/>
        <n v="898006193597036"/>
        <n v="898004913866631"/>
        <n v="898003946734946"/>
        <n v="707004810892931"/>
        <n v="706706562283717"/>
        <n v="707607211389792"/>
        <n v="706403116869782"/>
        <n v="702309180867918"/>
        <n v="700600901502064"/>
        <n v="704005827730561"/>
        <n v="898005133793156"/>
        <n v="707701685156210"/>
        <n v="709608657226378"/>
        <n v="700503768967050"/>
        <n v="898003275844239"/>
        <n v="700400904372244"/>
        <n v="706705540068510"/>
        <n v="700002676161908"/>
        <n v="707008845418334"/>
        <n v="209056779050004"/>
        <n v="705409414644999"/>
        <n v="703406342965000"/>
        <n v="704107116893373"/>
        <n v="700606459947766"/>
        <n v="701004837238699"/>
        <n v="708004814765525"/>
        <n v="705000834244751"/>
        <n v="708204603766643"/>
        <n v="702803109430863"/>
        <n v="702104741250695"/>
        <n v="708201632190743"/>
        <n v="709200279783635"/>
        <n v="898003836744750"/>
        <n v="700301934830331"/>
        <n v="702400036521121"/>
        <n v="704202542975790"/>
        <n v="704007823903560"/>
        <n v="707109303720920"/>
        <n v="702403542804824"/>
        <n v="704205751140481"/>
        <n v="700905995764191"/>
        <n v="700001740952906"/>
        <n v="706309795634071"/>
        <n v="702102783439697"/>
        <n v="700805988142483"/>
        <n v="701407682433336"/>
        <n v="702401024102529"/>
        <n v="702303148692312"/>
        <n v="700309983361339"/>
        <n v="898004986881584"/>
        <n v="703000803629779"/>
        <n v="700404905544050"/>
        <n v="702501342525732"/>
        <n v="700002442144101"/>
        <n v="705006427006555"/>
        <n v="708601549792983"/>
        <n v="700003787331608"/>
        <n v="700701979525674"/>
        <n v="898006252474861"/>
        <n v="701401691934339"/>
        <n v="700209919843124"/>
        <n v="705106307521540"/>
        <n v="700407440739044"/>
        <n v="700009363682808"/>
        <n v="700709444210780"/>
        <n v="704601654770126"/>
        <n v="700306991570631"/>
        <n v="700501737690853"/>
        <n v="702707606116460"/>
        <n v="700908992000398"/>
        <n v="702004331949681"/>
        <n v="704509368524613"/>
        <n v="708207643005344"/>
        <n v="706204598670268"/>
        <n v="706403650143380"/>
        <n v="700009780363305"/>
        <n v="709201274976134"/>
        <n v="701809220718672"/>
        <n v="708601593540986"/>
        <n v="700503594407756"/>
        <n v="708008375922927"/>
        <n v="898005944310342"/>
        <n v="705007699222453"/>
        <n v="701404634334932"/>
        <n v="702300180822916"/>
        <n v="708508517123080"/>
        <n v="898002264795109"/>
        <n v="700508714573156"/>
        <n v="898003024599446"/>
        <n v="702903507965774"/>
        <n v="700002198921507"/>
        <n v="702602297172546"/>
        <n v="706500311039498"/>
        <n v="709601686997275"/>
        <n v="700007158565208"/>
        <n v="700004688616605"/>
        <n v="700006909687501"/>
        <n v="702803137555969"/>
        <n v="705001079158354"/>
        <n v="898004836101605"/>
        <n v="700802998286086"/>
        <n v="705304457650490"/>
        <n v="700001137575802"/>
        <n v="708201171128140"/>
        <n v="702803685947161"/>
        <n v="704603187289721"/>
        <n v="703608024227030"/>
        <n v="703401251990911"/>
        <n v="700409923504043"/>
        <n v="700401493992148"/>
        <n v="706902134978738"/>
        <n v="700001899481804"/>
        <n v="707609219415093"/>
        <n v="706804286131323"/>
        <n v="702106712699096"/>
        <n v="700908946200096"/>
        <n v="702804665755861"/>
        <n v="704001314656365"/>
        <n v="708102586377337"/>
        <n v="700601999498266"/>
        <n v="708400273864269"/>
        <n v="701402691924237"/>
        <n v="704205746556985"/>
        <n v="703206662088894"/>
        <n v="702804142472767"/>
        <n v="702505722923040"/>
        <n v="708601053636584"/>
        <n v="701105390920580"/>
        <n v="705107825176140"/>
        <n v="700003339878808"/>
        <n v="700504753126951"/>
        <n v="700004526831802"/>
        <n v="709606643280470"/>
        <n v="700503384836758"/>
        <n v="706405158579989"/>
        <n v="700405154886950"/>
        <n v="705401487977990"/>
        <n v="700001832228406"/>
        <n v="704003128044470"/>
        <n v="704106847372350"/>
        <n v="703608091797331"/>
        <n v="700009110525402"/>
        <n v="898005802359767"/>
        <n v="702501342073335"/>
        <n v="706205536217560"/>
        <n v="708400798413766"/>
        <n v="700505976434150"/>
        <n v="706306794286271"/>
        <n v="703603092777933"/>
        <n v="700000824554102"/>
        <n v="708401256257261"/>
        <n v="704604138571428"/>
        <n v="700000365384407"/>
        <n v="703006808782775"/>
        <n v="704701561064840"/>
        <n v="704608132038624"/>
        <n v="898003299705492"/>
        <n v="700501149772050"/>
        <n v="700000069671707"/>
        <n v="700604968715969"/>
        <n v="700007989953107"/>
        <n v="703402229345414"/>
        <n v="704008378418763"/>
        <n v="704204774765681"/>
        <n v="705409461268299"/>
        <n v="702600229007746"/>
        <n v="705800422211433"/>
        <n v="700500326666257"/>
        <n v="704607721393630"/>
        <n v="709003826558411"/>
        <n v="709804080626291"/>
        <n v="708704169647495"/>
        <n v="700900983777493"/>
        <n v="707306000757270"/>
        <n v="706303762885274"/>
        <n v="708205632095841"/>
        <n v="703101891132960"/>
        <n v="700506311443651"/>
        <n v="706404117661884"/>
        <n v="704705703665532"/>
        <n v="700006866310304"/>
        <n v="703209625276995"/>
        <n v="706000327149543"/>
      </sharedItems>
    </cacheField>
    <cacheField name="Link do atendimento no HopChat" numFmtId="0">
      <sharedItems containsBlank="1" count="1273">
        <m/>
        <s v="https://chat.brainyresolution.com/live/oSaHuaaqWPCwu9XH6"/>
        <s v="https://chat.brainyresolution.com/omnichannel-directory/chats/info/kawrWMHt9gdgnMpc8"/>
        <s v="https://chat.brainyresolution.com/live/eMevErRXvJJBeEN7H/room-info"/>
        <s v="https://chat.brainyresolution.com/live/RHHQobYjnMYfZsnSh"/>
        <s v="https://chat.brainyresolution.com/live/R4EejqGt6QdCLvade/user-info"/>
        <s v="https://chat.brainyresolution.com/live/sg2dcgrXH7yS9sL2a/room-info"/>
        <s v="https://chat.brainyresolution.com/live/hQujBEk7zZsnQY6M8/user-info"/>
        <s v="https://chat.brainyresolution.com/omnichannel-directory/chats/view/hGDZw5oKshnBhj9uN/room-info"/>
        <s v="https://chat.brainyresolution.com/live/3x4FdDqutXMZ3mzLX"/>
        <s v="https://chat.brainyresolution.com/live/BZuS5rFFnzPGWhJtv/room-info"/>
        <s v="https://chat.brainyresolution.com/live/SzRui2rJbkkG4qYcP/room-info"/>
        <s v="https://meet.google.com/gsv-aoua-eyw"/>
        <s v="https://chat.brainyresolution.com/live/ZwvRgQfTJNn8GmhwN/room-info"/>
        <s v="https://chat.brainyresolution.com/live/2rjPWWhBiQ2LyudK5/room-info"/>
        <s v="https://chat.brainyresolution.com/live/fNXmckNHagPq5LMA8/room-info"/>
        <s v="https://chat.brainyresolution.com/omnichannel-directory/chats/view/toynxpAG5WS8kcDLn/room-info"/>
        <s v="https://chat.brainyresolution.com/live/tdqAkE6RRNay882hB/room-info"/>
        <s v="https://chat.brainyresolution.com/live/9AP66FYnCtfQm8wYN/room-info"/>
        <s v="https://chat.brainyresolution.com/live/TR2pg3Fg2SWuDj2Ha/room-info"/>
        <s v="https://chat.brainyresolution.com/direct/NcmyoDSPPFwkbXMjAi2c2jSHZXRKjv2wQH"/>
        <s v="https://chat.brainyresolution.com/live/WZRRFcD538k9WGKko/room-info"/>
        <s v="https://chat.brainyresolution.com/live/yJE3KBpPFuWoK5Jqq/user-info"/>
        <s v="https://chat.brainyresolution.com/live/zg7BGnnX9biG4eXHg/room-info"/>
        <s v="https://chat.brainyresolution.com/live/gSjeKvzfTmmpKo4iE"/>
        <s v="https://chat.brainyresolution.com/live/XF24tizPDv6cjkBwy/room-info"/>
        <s v="https://chat.brainyresolution.com/live/4eTxKvQrKCaRwyxdv/user-info"/>
        <s v="https://chat.brainyresolution.com/live/wonJaXmXRfgsP7vsh/user-info"/>
        <s v="https://chat-conecta.recife.pe.gov.br/live/tc7yhyRfyPSpifvdL/room-info"/>
        <s v="https://chat-conecta.recife.pe.gov.br/live/K9x8cfu5YLXkeh6Pg/room-info"/>
        <s v="https://chat-conecta.recife.pe.gov.br/live/nJ4jdQ7qATeuSWxdh"/>
        <s v="https://chat-conecta.recife.pe.gov.br/live/XvxPADcFyL7YaArGz/user-info"/>
        <s v="https://chat-conecta.recife.pe.gov.br/omnichannel-directory/chats/view/H2DKwQFYFdr4FJSJu/room-info"/>
        <s v="https://chat-conecta.recife.pe.gov.br/live/r8GYqAr5E6vgwGWPT/room-info"/>
        <s v="https://chat-conecta.recife.pe.gov.br/live/FbCjkvxHiN6u2HXZ9"/>
        <s v="https://chat-conecta.recife.pe.gov.br/live/GExhGdmArLMGz4T4s/user-info"/>
        <s v="https://chat-conecta.recife.pe.gov.br/omnichannel-directory/chats/view/7yudWDbkYwvLd3aDM/room-info"/>
        <s v="https://chat-conecta.recife.pe.gov.br/live/vCxRg8QAX4EuT3Pzp/room-info"/>
        <s v="https://chat-conecta.recife.pe.gov.br/live/AZFq3X5YQxP6nJjR4/user-info"/>
        <s v="https://chat-conecta.recife.pe.gov.br/live/oJmefQpZ72YGkLRno/user-info"/>
        <s v="https://chat-conecta.recife.pe.gov.br/live/m7tTT344KD5QpMsFT"/>
        <s v="https://chat-conecta.recife.pe.gov.br/omnichannel-directory/chats/view/xQwY8BrgnREaYNKnH/room-info"/>
        <s v="https://chat-conecta.recife.pe.gov.br/omnichannel-directory/chats/view/DLdEmDNTaYZwdNeMq/room-info"/>
        <s v="https://chat-conecta.recife.pe.gov.br/live/NQbfS6WNadhMv7Lvi"/>
        <s v="https://chat-conecta.recife.pe.gov.br/live/FYNZ8GxosgEY7h7gr/room-info"/>
        <s v="https://chat-conecta.recife.pe.gov.br/live/ex4f6BrKHj6AMiKL6"/>
        <s v="https://chat-conecta.recife.pe.gov.br/live/oZD3tEm2dewzRYo5b/room-info"/>
        <s v="https://chat-conecta.recife.pe.gov.br/live/TfEbcpRTPmbmye8Yy/room-info"/>
        <s v="https://chat-conecta.recife.pe.gov.br/live/cpKGT2actWvgBvvby"/>
        <s v="https://chat-conecta.recife.pe.gov.br/live/Y77u9kyncEyGyLtry/user-info"/>
        <s v="https://chat-conecta.recife.pe.gov.br/live/CsjDjX9HzaXgxEpKB/user-info"/>
        <s v="https://chat-conecta.recife.pe.gov.br/omnichannel-directory/chats/view/yhBwZiHX4cGdiZMvb/room-info"/>
        <s v="https://chat-conecta.recife.pe.gov.br/omnichannel-directory/chats/view/eaPcuyrRqaprkDNxm/room-info"/>
        <s v="https://chat-conecta.recife.pe.gov.br/live/zDPkLKrhgKt7S55iC/room-info"/>
        <s v="https://chat-conecta.recife.pe.gov.br/live/x28P4PWmRojNQikS6/user-info"/>
        <s v="https://chat-conecta.recife.pe.gov.br/live/wkcmmXdmRLXWGugZb"/>
        <s v="https://chat-conecta.recife.pe.gov.br/live/finCCwKsqZPbmJ2bQ/room-info"/>
        <s v="https://chat-conecta.recife.pe.gov.br/live/2uiSoMF78jfAGTzEa/room-info"/>
        <s v="https://chat-conecta.recife.pe.gov.br/omnichannel-directory/chats/view/8eDptj7MtWfwXnktN/room-info"/>
        <s v="https://chat-conecta.recife.pe.gov.br/live/GC2A2Bx63DWyKBpPT/room-info"/>
        <s v="https://chat-conecta.recife.pe.gov.br/live/kuAHAa6sTDqf6Hjv9/user-info"/>
        <s v="https://chat-conecta.recife.pe.gov.br/live/Z5RvYzE5TqtoAFJYq/room-info"/>
        <s v="https://chat-conecta.recife.pe.gov.br/live/frntm4cDAYoff8Dq5/room-info"/>
        <s v="https://chat-conecta.recife.pe.gov.br/live/EpkudacecCCWuf57s"/>
        <s v="https://chat-conecta.recife.pe.gov.br/live/BfweEdCAe3zZDSLdw/room-info"/>
        <s v="https://chat-conecta.recife.pe.gov.br/live/8HPGWLKvp9rrRYk9j/room-info"/>
        <s v="https://chat-conecta.recife.pe.gov.br/live/5XL97kRchTiKAJgT7/room-info"/>
        <s v="https://chat-conecta.recife.pe.gov.br/live/gRA7GCfTniLJPQuxc/user-info"/>
        <s v="https://chat-conecta.recife.pe.gov.br/live/uQARBG4WKpjsLCPtj/user-info"/>
        <s v="https://chat-conecta.recife.pe.gov.br/live/rEYfbGbTCzgRRy447"/>
        <s v="https://chat-conecta.recife.pe.gov.br/live/exuY3k2bd2X29YmQE/room-info"/>
        <s v="https://chat-conecta.recife.pe.gov.br/live/2NQsqaEW9EeFvpeGm/room-info"/>
        <s v="https://chat-conecta.recife.pe.gov.br/live/8cKNa3qZTWKCPSnuE/room-info"/>
        <s v="https://chat-conecta.recife.pe.gov.br/live/ZeKBknwMJAZ4ZQEFX/room-info"/>
        <s v="https://chat-conecta.recife.pe.gov.br/live/kjRApqcgvdfwuZWHY"/>
        <s v="https://chat-conecta.recife.pe.gov.br/live/EQFM9hG6ak3RjCs7c/room-info"/>
        <s v="https://chat-conecta.recife.pe.gov.br/omnichannel-directory/chats/view/hZnXy5uvovXEvM6GZ/room-info"/>
        <s v="https://chat-conecta.recife.pe.gov.br/live/SnDn2iBGkS77jCQSs"/>
        <s v="https://chat-conecta.recife.pe.gov.br/live/j2MSBLTnhCSXXAqr7/room-info"/>
        <s v="https://chat-conecta.recife.pe.gov.br/live/X6i49KmzJFA6zm4A3#&amp;gid=1&amp;pid=3"/>
        <s v="https://chat-conecta.recife.pe.gov.br/live/JaNrq26cFqnvbdMaf"/>
        <s v="https://chat-conecta.recife.pe.gov.br/live/dbhGwsB2YHa7FriBF/room-info"/>
        <s v="https://chat-conecta.recife.pe.gov.br/live/fqEQpBr2mgCg55drN"/>
        <s v="https://chat-conecta.recife.pe.gov.br/live/Bbz3pxezvt7fXZYWY/user-info"/>
        <s v="https://chat-conecta.recife.pe.gov.br/live/zt6GAgMALLX4z52k4/room-info"/>
        <s v="https://chat-conecta.recife.pe.gov.br/live/KyHtGEvjrRqYzpeWz/room-info"/>
        <s v="https://chat-conecta.recife.pe.gov.br/live/bFCQnffiZsDhmdFGj/room-info"/>
        <s v="https://chat-conecta.recife.pe.gov.br/live/gYTpAANLe3R39vSuY"/>
        <s v="https://chat-conecta.recife.pe.gov.br/live/bMRejBNrDsw2hvai6/room-info"/>
        <s v="https://chat-conecta.recife.pe.gov.br/live/bRoahqMPdbr9wfGZd/room-info"/>
        <s v="https://chat-conecta.recife.pe.gov.br/live/NgFs7KLHbEWyhPPzC/room-info"/>
        <s v="https://chat-conecta.recife.pe.gov.br/live/gGXtaheXkC7LdoPLF/room-info"/>
        <s v="https://chat-conecta.recife.pe.gov.br/live/PcJq6nGyeyedspFzy/contact-chat-history"/>
        <s v="https://chat-conecta.recife.pe.gov.br/live/MJrTry66k7RJgrsH9"/>
        <s v="https://chat-conecta.recife.pe.gov.br/live/jHboZknEMDR8nDt4o/room-info"/>
        <s v="https://chat-conecta.recife.pe.gov.br/omnichannel-directory/chats/view/ww5FceGaQS99HtWSf/room-info"/>
        <s v="https://chat-conecta.recife.pe.gov.br/omnichannel-directory/chats/view/Q4M6jFcKDHc4NGKQn"/>
        <s v="https://chat-conecta.recife.pe.gov.br/live/AZcbFQYKnDof79GRa/room-info"/>
        <s v="https://chat-conecta.recife.pe.gov.br/live/4d6ibWsqMeHBF7dmL/room-info"/>
        <s v="https://chat-conecta.recife.pe.gov.br/live/2ABTu5i6nRFPimCFW"/>
        <s v="https://chat-conecta.recife.pe.gov.br/live/Pw9Y3YCoTXgaYDyfS"/>
        <s v="https://chat-conecta.recife.pe.gov.br/live/FtCceFRSz3tzissd4"/>
        <s v="https://chat-conecta.recife.pe.gov.br/live/z858ReWchEuGC5ErF"/>
        <s v="https://chat-conecta.recife.pe.gov.br/live/e93DRWNCn84Ar5bNe"/>
        <s v="https://chat-conecta.recife.pe.gov.br/live/WpEGYwLDi7pyekBCQ"/>
        <s v="https://chat-conecta.recife.pe.gov.br/live/mYe7Qx4Mdd3dSEWtf"/>
        <s v="https://chat-conecta.recife.pe.gov.br/live/ZYqWnovHbh6gtNrmd"/>
        <s v="https://chat-conecta.recife.pe.gov.br/live/xSo5hgWJDXWBu8BoL"/>
        <s v="https://chat-conecta.recife.pe.gov.br/live/QFHhax7kvP6esqy2k"/>
        <s v="https://chat-conecta.recife.pe.gov.br/live/rqgDAaFrCrYt5FNzk"/>
        <s v="https://chat-conecta.recife.pe.gov.br/live/dYAjoZxLRM8zhpeHG"/>
        <s v="https://chat-conecta.recife.pe.gov.br/live/yekGDJhuioPkArGPc"/>
        <s v="https://chat-conecta.recife.pe.gov.br/live/ihYGpeMSsyQJRS9Be"/>
        <s v="https://chat-conecta.recife.pe.gov.br/live/pPjjqnn2qKo9Y7RWJ"/>
        <s v="https://chat-conecta.recife.pe.gov.br/live/jFeyWCaHCNj9FEcL5/members-list"/>
        <s v="https://chat-conecta.recife.pe.gov.br/live/CjW2PfaDQcXdaLfs7/room-info"/>
        <s v="https://chat-conecta.recife.pe.gov.br/live/ts5MBWjR9HouRWeE3"/>
        <s v="https://chat-conecta.recife.pe.gov.br/live/rebZWuF8Zg7kfNcrG/room-info"/>
        <s v="https://chat-conecta.recife.pe.gov.br/omnichannel-directory/chats/view/4QfHD37tXnfrLz5o8/room-info"/>
        <s v="https://chat-conecta.recife.pe.gov.br/live/5ByRo2hakPCfn4bK6/room-info"/>
        <s v="https://chat-conecta.recife.pe.gov.br/live/uqbcWz6GvP2cBHMG4/user-info"/>
        <s v="https://chat-conecta.recife.pe.gov.br/live/aheCmggLo9Kx8b8Ej/room-info"/>
        <s v="https://chat-conecta.recife.pe.gov.br/live/c3uCrNvkmypJyWct5/members-list"/>
        <s v="https://chat-conecta.recife.pe.gov.br/live/W4yrDwfKq67FXMPTY/room-info"/>
        <s v="https://chat-conecta.recife.pe.gov.br/live/fkk5CmPyRG8cR4hnJ/room-info"/>
        <s v="https://chat-conecta.recife.pe.gov.br/omnichannel-directory/chats/view/CDEMcLLNJrpxhgYzK/room-info"/>
        <s v="https://chat-conecta.recife.pe.gov.br/live/JTLJ9FqGtBM3QeykR/user-info"/>
        <s v="https://chat-conecta.recife.pe.gov.br/live/zWtziWfM7X7uNAB5T/room-info"/>
        <s v="https://chat-conecta.recife.pe.gov.br/live/Svr8YYbXRPsnuc2kZ/room-info"/>
        <s v="https://chat-conecta.recife.pe.gov.br/live/2Mjmo7HXYgW7f89Rv/room-inf"/>
        <s v="https://chat-conecta.recife.pe.gov.br/live/yHrCkk86mDojNK4oK/room-info"/>
        <s v="https://chat-conecta.recife.pe.gov.br/live/RxZ62KH4ix3J6R2ip/room-info"/>
        <s v="https://chat-conecta.recife.pe.gov.br/live/PS6nnhHppj6GzexXv/contact-chat-history"/>
        <s v="https://chat-conecta.recife.pe.gov.br/live/RcpDGPkczT6G4ZoN2/room-info"/>
        <s v="https://chat-conecta.recife.pe.gov.br/live/WifnQdeQYhXRKPtEn/room-info"/>
        <s v="https://chat-conecta.recife.pe.gov.br/live/JBbpzqXWZFwJzjTwd/members-list"/>
        <s v="https://chat-conecta.recife.pe.gov.br/live/8E7gcehTH3G6Lp7gA/user-info"/>
        <s v="https://chat-conecta.recife.pe.gov.br/live/ouvbQ6upgcmS3KY3K"/>
        <s v="https://chat-conecta.recife.pe.gov.br/live/C5yodAGnzKxDLLKok/room-info"/>
        <s v="https://chat-conecta.recife.pe.gov.br/live/gw3DmAa8vvBQg5byY/room-info"/>
        <s v="https://chat-conecta.recife.pe.gov.br/live/nYxiP8e64mwc4yqWR/room-info"/>
        <s v="https://chat-conecta.recife.pe.gov.br/live/PzAMA5NpTBCFQqyGd"/>
        <s v="https://chat-conecta.recife.pe.gov.br/live/pXjaTQk8of24D556Z"/>
        <s v="https://chat-conecta.recife.pe.gov.br/live/psEWX6uPybPGmShHw/user-info"/>
        <s v="https://chat-conecta.recife.pe.gov.br/live/nkiWYsgrf4a6s3unA"/>
        <s v="https://chat-conecta.recife.pe.gov.br/live/tmDhrTaSHvDzx7NKM/members-list"/>
        <s v="https://chat-conecta.recife.pe.gov.br/live/bu6MtwcioADXp2wCh"/>
        <s v="https://chat-conecta.recife.pe.gov.br/live/Xgw3dkbdfwu8KZBQk/room-info"/>
        <s v="https://chat-conecta.recife.pe.gov.br/live/Cf2w3YAScmrEJcggJ#&amp;gid=1&amp;pid=5"/>
        <s v="https://chat-conecta.recife.pe.gov.br/live/DTg8k4WDhqW4XwrMp/room-info"/>
        <s v="https://chat-conecta.recife.pe.gov.br/live/FJG3JspZgcy6TGkEm"/>
        <s v="https://chat-conecta.recife.pe.gov.br/live/egvzzP283RvEfgG32"/>
        <s v="https://chat-conecta.recife.pe.gov.br/live/26Ben5qB8xdYiA8RX"/>
        <s v="https://chat-conecta.recife.pe.gov.br/live/jQ7FLCcjqRWpYYQNM/members-list"/>
        <s v="https://chat-conecta.recife.pe.gov.br/live/reEuZnpvzMBZkJDfN/room-info"/>
        <s v="https://chat-conecta.recife.pe.gov.br/live/ngoFinHDN8kSCBuYR/room-info"/>
        <s v="https://chat-conecta.recife.pe.gov.br/live/XN4BE566Ctz8HBFuT/room-info#&amp;gid=1&amp;pid=4"/>
        <s v="https://chat-conecta.recife.pe.gov.br/live/FqD6ho6JG6uyeatvy"/>
        <s v="https://chat-conecta.recife.pe.gov.br/live/Ji9BGftkSTxW3jYmP/room-info"/>
        <s v="https://chat-conecta.recife.pe.gov.br/live/f4qAQYMYfvWsLvGEs/room-info#&amp;gid=1&amp;pid=7"/>
        <s v="https://chat-conecta.recife.pe.gov.br/live/HJn5SNbbmmxqAxWWL/contact-chat-history"/>
        <s v="https://chat-conecta.recife.pe.gov.br/live/uJX7r34WhoQwcvWWc"/>
        <s v="https://chat-conecta.recife.pe.gov.br/live/C7CnTzrkHXPgYokmZ"/>
        <s v="https://chat-conecta.recife.pe.gov.br/live/XQsfZQumE42ZtL78W/user-info"/>
        <s v="https://chat-conecta.recife.pe.gov.br/live/mKErvR6p2CdyNNP4z"/>
        <s v="https://chat-conecta.recife.pe.gov.br/live/dHF8NTjG5PwRXhjz9"/>
        <s v="https://chat-conecta.recife.pe.gov.br/live/s7SGNTMBTKYKzroSR/room-info"/>
        <s v="https://chat-conecta.recife.pe.gov.br/live/qAWzX3kxtRNv3y3Ah/room-info"/>
        <s v="https://chat-conecta.recife.pe.gov.br/live/JCL7MfqdBHzotCRfT"/>
        <s v="https://chat-conecta.recife.pe.gov.br/live/6M4dZyi3zNRp293Ny"/>
        <s v="https://chat-conecta.recife.pe.gov.br/live/5xNcAwudCi6ufEF8F"/>
        <s v="https://chat-conecta.recife.pe.gov.br/live/4d6h8L9qL6WB6Ngfo"/>
        <s v="https://chat-conecta.recife.pe.gov.br/live/R38MCTwrzu3CT499M/room-info"/>
        <s v="https://chat-conecta.recife.pe.gov.br/live/d9hdoq8cnvWfckEZb"/>
        <s v="https://chat-conecta.recife.pe.gov.br/live/MyYpWGeZCzNqPRCDT"/>
        <s v="https://chat-conecta.recife.pe.gov.br/live/ajDiNA5DvmXzeWyTw"/>
        <s v="https://chat-conecta.recife.pe.gov.br/live/zrAmbggNHgzxPbvjp/room-info"/>
        <s v="https://chat-conecta.recife.pe.gov.br/live/KTdp7TJzfqp83g8rk"/>
        <s v="https://chat-conecta.recife.pe.gov.br/live/5sZJex4zqaHvyTXRr/room-info"/>
        <s v="https://chat-conecta.recife.pe.gov.br/live/y44RafAdptzXoA6sc/room-info"/>
        <s v="https://chat-conecta.recife.pe.gov.br/live/K87C63G57tBP9Pura"/>
        <s v="https://chat-conecta.recife.pe.gov.br/live/qgu6xKK6DLc2ZXEKc/room-info"/>
        <s v="https://chat-conecta.recife.pe.gov.br/live/FsrKrBH3FMueHdbGe"/>
        <s v="https://chat-conecta.recife.pe.gov.br/live/tRXLLw35arhbfy6f8"/>
        <s v="https://chat-conecta.recife.pe.gov.br/live/7Bj2BMaF3pomKH3c8/room-info"/>
        <s v="https://chat-conecta.recife.pe.gov.br/live/8eAqqFcqkD8EfKvr6"/>
        <s v="https://chat-conecta.recife.pe.gov.br/live/fD4keojixPDeemMak"/>
        <s v="https://chat-conecta.recife.pe.gov.br/live/ALRaCiMckCoRSHpfz"/>
        <s v="https://chat-conecta.recife.pe.gov.br/live/73aeAxSh4433vx5nT"/>
        <s v="https://chat-conecta.recife.pe.gov.br/live/9GpLwM6PoGuB5zxwj/room-info"/>
        <s v="https://chat-conecta.recife.pe.gov.br/live/wLHgaQtZvBHJaKjaP/user-info"/>
        <s v="https://chat-conecta.recife.pe.gov.br/live/3FyCo8kFLnLuuvLo9/members-list"/>
        <s v="https://chat-conecta.recife.pe.gov.br/live/86B4Pxcodyjo9Xuza/room-info"/>
        <s v="https://chat-conecta.recife.pe.gov.br/live/H9SjNJJDYWiCmcYzP"/>
        <s v="https://chat-conecta.recife.pe.gov.br/live/ykcb3iTQiRcH5i6z6"/>
        <s v="https://chat-conecta.recife.pe.gov.br/live/CJGyKfZaJq3DkNh22"/>
        <s v="https://chat-conecta.recife.pe.gov.br/live/KhtZvPxw9BWSzqiX9/room-info"/>
        <s v="https://chat-conecta.recife.pe.gov.br/live/QigL6yYCPhvLaNctk/room-info"/>
        <s v="https://chat-conecta.recife.pe.gov.br/live/GJ6ojea7Fn6faTMRL/room-info"/>
        <s v="https://chat-conecta.recife.pe.gov.br/live/JYmwwNSpWRtxcSpFq"/>
        <s v="https://chat-conecta.recife.pe.gov.br/live/tPZsX7YyXz3FHkHPt"/>
        <s v="https://chat-conecta.recife.pe.gov.br/live/f9RnuSPKJryNLocDn/room-info"/>
        <s v="https://chat-conecta.recife.pe.gov.br/live/2G8m5NqkHEg9CARs2"/>
        <s v="https://chat-conecta.recife.pe.gov.br/live/hFNFA9S3J63kzmvTx"/>
        <s v="https://chat-conecta.recife.pe.gov.br/live/k6idPn29ShxrhceJE"/>
        <s v="https://chat-conecta.recife.pe.gov.br/live/QKpizpY9bFdFvWhsC"/>
        <s v="https://chat-conecta.recife.pe.gov.br/live/4sK8cgSQo28JKXvj5"/>
        <s v="https://chat-conecta.recife.pe.gov.br/live/MeqRAbzJ8zLfgBQyQ"/>
        <s v="https://chat-conecta.recife.pe.gov.br/live/cRsSquWYNKLkeHvPb"/>
        <s v="https://chat-conecta.recife.pe.gov.br/live/GYC3QR6iYn8e6GEM2/room-info"/>
        <s v="https://chat-conecta.recife.pe.gov.br/live/QJB57eeau4nDJQ4D6"/>
        <s v="https://chat-conecta.recife.pe.gov.br/live/5oYySd2tB7vu7SBz2"/>
        <s v="https://chat-conecta.recife.pe.gov.br/live/WQBx7HhJJ8xWEeY7G"/>
        <s v="https://chat-conecta.recife.pe.gov.br/live/nLu6osSqEuMqN4ogZ"/>
        <s v="https://chat-conecta.recife.pe.gov.br/live/RnRsSvwLepg5xQYMK/user-info"/>
        <s v="https://chat-conecta.recife.pe.gov.br/live/J6CnHwNK2TYn4CoxG"/>
        <s v="https://chat-conecta.recife.pe.gov.br/live/jiALQqAWX2ut6Kf87"/>
        <s v="https://chat-conecta.recife.pe.gov.br/live/3dDmB5LEPoZwvzfyC"/>
        <s v="https://chat-conecta.recife.pe.gov.br/live/wjknzXc5SdJJ8p9pF/user-info"/>
        <s v="https://chat-conecta.recife.pe.gov.br/live/C4ovtkGsaDefWx6Q3"/>
        <s v="https://chat-conecta.recife.pe.gov.br/live/MDMX4sBnk4BuytErv/user-info"/>
        <s v="https://chat-conecta.recife.pe.gov.br/live/tX3KMbRzZvHb44gWG"/>
        <s v="https://chat-conecta.recife.pe.gov.br/live/cZ5afA9aswQQHGHGL/user-info"/>
        <s v="https://chat-conecta.recife.pe.gov.br/live/4YJXiE6tWzbXsPnmN"/>
        <s v="https://chat-conecta.recife.pe.gov.br/live/hv8ozhsrCefAYf224"/>
        <s v="https://chat-conecta.recife.pe.gov.br/live/AiZtk26aQmuGTfyCM/user-info"/>
        <s v="https://chat-conecta.recife.pe.gov.br/live/EN6zx9cmkDyEZwyXq"/>
        <s v="https://chat-conecta.recife.pe.gov.br/live/RMRKdc4C5BsLFd9XA/user-info"/>
        <s v="https://chat-conecta.recife.pe.gov.br/live/WZZJ47igGCEqbmrMx"/>
        <s v="https://chat-conecta.recife.pe.gov.br/live/793BsmqTmLxvhLdDB"/>
        <s v="https://chat-conecta.recife.pe.gov.br/live/MLkrhpE2mo3Zf6qAY"/>
        <s v="https://chat-conecta.recife.pe.gov.br/live/T2DzJZDb5uzmiSFC3"/>
        <s v="https://chat-conecta.recife.pe.gov.br/live/wBZWCZRSTSpsGfPbo/user-info"/>
        <s v="https://chat-conecta.recife.pe.gov.br/live/pfG85bswFWC6Xfu2B/room-info"/>
        <s v="https://chat-conecta.recife.pe.gov.br/live/R2vmaEuesnimaSx5P"/>
        <s v="https://chat-conecta.recife.pe.gov.br/live/cjb5cZm3iZaDFNnWc/user-info"/>
        <s v="https://chat-conecta.recife.pe.gov.br/live/aKoMMN3SX3cENnqus"/>
        <s v="https://chat-conecta.recife.pe.gov.br/live/7hbCfBbtKAiNoN9KZ"/>
        <s v="https://chat-conecta.recife.pe.gov.br/live/fcumqhPDfBKyBKQvP/room-info"/>
        <s v="https://chat-conecta.recife.pe.gov.br/live/d3KsZeJWmPzj8y3rt/user-info"/>
        <s v="https://chat-conecta.recife.pe.gov.br/live/4XJ3zuEtFogaaGhyY/room-info"/>
        <s v="https://chat-conecta.recife.pe.gov.br/live/qBs9n2Qjv72FBxKDm"/>
        <s v="https://chat-conecta.recife.pe.gov.br/omnichannel-directory/chats/view/8SNs3dsnLs8wrRHQn"/>
        <s v="https://chat-conecta.recife.pe.gov.br/live/pLyELzcJPqGReDKHZ/user-info"/>
        <s v="https://chat-conecta.recife.pe.gov.br/live/5z8xo8AeQhuMfiGwm/user-info"/>
        <s v="https://chat-conecta.recife.pe.gov.br/live/ubGQFaxwmhxKcQM4J/room-info"/>
        <s v="https://chat-conecta.recife.pe.gov.br/live/q9Bm9QzPFraHXDxkZ/members-list"/>
        <s v="https://chat-conecta.recife.pe.gov.br/live/xRxPMbf6opH5XELwc"/>
        <s v="https://chat-conecta.recife.pe.gov.br/live/HvFduHPF7oB5RSXLu"/>
        <s v="https://chat-conecta.recife.pe.gov.br/live/Pnsb2TosFh7RxtDcN"/>
        <s v="https://chat-conecta.recife.pe.gov.br/live/mJfGf5cPBf3FCbWfa/room-info"/>
        <s v="https://chat-conecta.recife.pe.gov.br/live/p7agoBdgGSNWDgext"/>
        <s v="https://chat-conecta.recife.pe.gov.br/live/N48iPCZ2xcbsycWB3/room-info"/>
        <s v="https://chat-conecta.recife.pe.gov.br/live/s6o4KCSvKSMnH9gWS/user-info"/>
        <s v="https://chat-conecta.recife.pe.gov.br/live/wvcBuPawFZnmkeiKz/room-info"/>
        <s v="https://chat-conecta.recife.pe.gov.br/omnichannel-directory/chats/view/mGXJWwKQJv4M46wjq/room-info"/>
        <s v="https://chat-conecta.recife.pe.gov.br/live/FEbFqzuu6snQNTkSE/room-info"/>
        <s v="https://chat-conecta.recife.pe.gov.br/live/qoSNQuAyu65dzfS6D/room-info"/>
        <s v="https://chat-conecta.recife.pe.gov.br/live/DxajKj5irifgwCyDs/room-info"/>
        <s v="https://chat-conecta.recife.pe.gov.br/live/rzRrKzgEYfT3saxCJ/user-info"/>
        <s v="https://chat-conecta.recife.pe.gov.br/live/hisCgH4aPCMvvTMN2/room-info"/>
        <s v="https://chat-conecta.recife.pe.gov.br/live/XdetrSSMRryzADLzP/room-info"/>
        <s v="https://chat-conecta.recife.pe.gov.br/live/pvvshwnvAfuj2gsMe/user-info"/>
        <s v="https://chat-conecta.recife.pe.gov.br/live/pHvTLiY3YJBPZSEeT"/>
        <s v="https://chat-conecta.recife.pe.gov.br/live/kzhpu6ExXb8yjWWxs"/>
        <s v="https://chat-conecta.recife.pe.gov.br/live/jNfmWqDWsLwmqP8io/room-info"/>
        <s v="https://chat-conecta.recife.pe.gov.br/live/L643Fb93Kij2kX5Eb/user-info"/>
        <s v="https://chat-conecta.recife.pe.gov.br/live/GpaYYmnupDTZznWcG"/>
        <s v="https://chat-conecta.recife.pe.gov.br/live/BuCz7Xed8HLuMgr7H/room-info"/>
        <s v="https://chat-conecta.recife.pe.gov.br/live/fsP6CrxEu5mJ3rrMv"/>
        <s v="https://chat-conecta.recife.pe.gov.br/live/ZurN4hzh97k2fxL4m/user-info"/>
        <s v="https://chat-conecta.recife.pe.gov.br/live/5B93yNxNMkzdLt5Y4"/>
        <s v="https://chat-conecta.recife.pe.gov.br/live/5g9hf3Btciz6RKSro"/>
        <s v="https://chat-conecta.recife.pe.gov.br/live/m9eH8esjhZzgB2Dyt"/>
        <s v="https://chat-conecta.recife.pe.gov.br/live/X4XheMmbxzud2SvZJ"/>
        <s v="https://chat-conecta.recife.pe.gov.br/live/77GHgzgMdRFbPvHiq#&amp;gid=1&amp;pid=3"/>
        <s v="https://chat-conecta.recife.pe.gov.br/live/Cpkxo5qFB8QkFMK4P/user-info"/>
        <s v="https://chat-conecta.recife.pe.gov.br/live/qpLDn9EKzdv5uqGoZ/room-info"/>
        <s v="https://chat-conecta.recife.pe.gov.br/live/YGzKJaSWehkx9uWpj/room-info"/>
        <s v="https://chat-conecta.recife.pe.gov.br/live/bEpTmdRdsGuNJJfEd/room-info"/>
        <s v="https://chat-conecta.recife.pe.gov.br/live/ucLzv2vDnYWrQrLLw/room-info"/>
        <s v="https://chat-conecta.recife.pe.gov.br/omnichannel-directory/chats/view/T8gESdjdNeD4KHbkE"/>
        <s v="https://chat-conecta.recife.pe.gov.br/live/LnNf2jJC4eWqdJCbi/members-list"/>
        <s v="https://chat-conecta.recife.pe.gov.br/live/R6ZChdpQzG4ewFYAB/room-info"/>
        <s v="https://chat-conecta.recife.pe.gov.br/live/hKkTX5kstAmHXbS5p/room-info"/>
        <s v="https://chat-conecta.recife.pe.gov.br/live/uJKDTh2hsrvjJNiwZ/room-info"/>
        <s v="https://chat-conecta.recife.pe.gov.br/live/eQbtZZhzkLJELB5mC"/>
        <s v="https://chat-conecta.recife.pe.gov.br/live/EThC4wQChFHJycp4Y/user-info"/>
        <s v="https://chat-conecta.recife.pe.gov.br/live/KKwY6tjiRf7nXo4Lm/user-info"/>
        <s v="https://chat-conecta.recife.pe.gov.br/live/EWYeSfFGgaW4f9Qgm"/>
        <s v="https://chat-conecta.recife.pe.gov.br/live/nTZCvJWe3BNEYYmBu"/>
        <s v="https://chat-conecta.recife.pe.gov.br/live/nwx4J5XacJQDZL8h9"/>
        <s v="https://chat-conecta.recife.pe.gov.br/live/hEuxna8bHfKjWDk6p/room-info"/>
        <s v="https://chat-conecta.recife.pe.gov.br/live/tNhKPRpuicHkeJ46S/room-info"/>
        <s v="https://chat-conecta.recife.pe.gov.br/live/9sD9mrSx9ZgkwWnG4"/>
        <s v="https://chat-conecta.recife.pe.gov.br/live/5WS5qjTe5WecM8rez/user-info"/>
        <s v="https://chat-conecta.recife.pe.gov.br/live/TMRnqErcwEsjsGDMv"/>
        <s v="https://chat-conecta.recife.pe.gov.br/live/wyxToaeYRS4RDSseP/user-info"/>
        <s v="https://chat-conecta.recife.pe.gov.br/live/h3ggcuHQz2AHchky5"/>
        <s v="https://chat-conecta.recife.pe.gov.br/live/WL7wiYM5ft"/>
        <s v="https://chat-conecta.recife.pe.gov.br/live/WywfPYywXSZmq7Bha"/>
        <s v="https://chat-conecta.recife.pe.gov.br/live/TABf6vNCQKJQij4C5"/>
        <s v="https://chat-conecta.recife.pe.gov.br/live/9pEbyuxrv7vfAB9JC/user-info"/>
        <s v="https://chat-conecta.recife.pe.gov.br/live/E9MnafrXRHXgwhQg9"/>
        <s v="https://chat-conecta.recife.pe.gov.br/live/HgtZ6fTkGDkMyraJ4#&amp;gid=1&amp;pid=4"/>
        <s v="https://chat-conecta.recife.pe.gov.br/live/miifKxkgztCgdgBc6"/>
        <s v="https://chat-conecta.recife.pe.gov.br/live/qF2xWyZQTwvikZqum/room-info"/>
        <s v="https://chat-conecta.recife.pe.gov.br/live/TfxzphDR2C948mnk8"/>
        <s v="https://chat-conecta.recife.pe.gov.br/live/K3bY7GwqA2YG2etio/user-info"/>
        <s v="https://chat-conecta.recife.pe.gov.br/live/4Wd5hihZNxJL3fZzT"/>
        <s v="https://chat-conecta.recife.pe.gov.br/live/u84QCyJBEQHWaSqsc"/>
        <s v="https://chat-conecta.recife.pe.gov.br/live/u2RNWNjg4S49vLrnP/user-info"/>
        <s v="https://chat-conecta.recife.pe.gov.br/live/34jDtqtrDAiBv3bCM"/>
        <s v="https://chat-conecta.recife.pe.gov.br/live/3vnpKaTnjrd6vsdJe/user-info"/>
        <s v="https://chat-conecta.recife.pe.gov.br/live/R9ffWzkfZpvvQq7p6/user-info"/>
        <s v="https://chat-conecta.recife.pe.gov.br/live/nbE6NYQuxEkwsfDBP/user-info"/>
        <s v="https://chat-conecta.recife.pe.gov.br/live/cQLvW7NwNeFRZdSK7/user-info"/>
        <s v="https://chat-conecta.recife.pe.gov.br/live/jgSGX9bpP7RpC8GBR"/>
        <s v="https://chat-conecta.recife.pe.gov.br/live/ybSxw6NBZFzhFpaPm/room-info"/>
        <s v="https://chat-conecta.recife.pe.gov.br/omnichannel-directory/chats/view/ShD3RJjwiGo2pocKu/room-info"/>
        <s v="https://chat-conecta.recife.pe.gov.br/live/SaQ9gY92RWAhxRd7n/user-info"/>
        <s v="https://chat-conecta.recife.pe.gov.br/live/9ym8LveJLBfvE3qYR/user-info"/>
        <s v="https://chat-conecta.recife.pe.gov.br/live/kgtD9X4m7A8v9QjpS"/>
        <s v="https://chat-conecta.recife.pe.gov.br/live/tbpKedXxbo5W8AFha/members-list"/>
        <s v="https://chat-conecta.recife.pe.gov.br/omnichannel-directory/chats/view/AxBQfb53bMLDaJDTZ/room-info"/>
        <s v="https://chat-conecta.recife.pe.gov.br/live/MRJjCwZTsTddX2hCJ/user-info"/>
        <s v="https://chat-conecta.recife.pe.gov.br/live/4f8XjkgJ3fpFc6h6e/room-info"/>
        <s v="https://chat-conecta.recife.pe.gov.br/live/3cN2HBJf7TATwtF83/room-info"/>
        <s v="https://chat-conecta.recife.pe.gov.br/live/dxTnpesE2DueBRyTT/members-list"/>
        <s v="https://chat-conecta.recife.pe.gov.br/live/zL9CDX4TmiGL7RZa8"/>
        <s v="https://chat-conecta.recife.pe.gov.br/live/x7D7yzm6tGatdjy8n/room-info"/>
        <s v="https://chat-conecta.recife.pe.gov.br/omnichannel-directory/chats/view/RNkN2GdyEpNmGTEqj/room-info"/>
        <s v="https://chat-conecta.recife.pe.gov.br/direct/9DDXcgmpmFt3JMM58TQcuSEArNi4YqW2MZ"/>
        <s v="https://chat-conecta.recife.pe.gov.br/live/dSX7enYC9jgK6j7cq"/>
        <s v="https://chat-conecta.recife.pe.gov.br/live/7ik7WiwjkTdC2BS6X"/>
        <s v="https://chat-conecta.recife.pe.gov.br/live/AJ49EijrDZX5G2DFC"/>
        <s v="https://chat-conecta.recife.pe.gov.br/live/2XeuA4jDKvc2NSikT/room-info"/>
        <s v="https://chat-conecta.recife.pe.gov.br/live/vJtYN95y7h3GwYCtj/user-info"/>
        <s v="https://chat-conecta.recife.pe.gov.br/live/Nuownrgf5oF776qiZ"/>
        <s v="https://chat-conecta.recife.pe.gov.br/live/mekEqDjc6wbnzdj7k/user-info#&amp;gid=1&amp;pid=4"/>
        <s v="https://chat-conecta.recife.pe.gov.br/live/6n9ftZLqquKcpbQu9/user-info"/>
        <s v="https://chat-conecta.recife.pe.gov.br/omnichannel-directory/chats/view/HjP4rCbhZvBEGFrSC"/>
        <s v="https://chat-conecta.recife.pe.gov.br/live/D5WjvZume8NsboLoa/user-info"/>
        <s v="https://chat-conecta.recife.pe.gov.br/live/nAhSynitkBekefoAq/user-info"/>
        <s v="https://chat-conecta.recife.pe.gov.br/live/EaKQZtuifFYMa8QDg/user-info"/>
        <s v="https://chat-conecta.recife.pe.gov.br/live/uFtpWgcC3QiGaaZ3h"/>
        <s v="https://chat-conecta.recife.pe.gov.br/live/XewiedrmYo3NKhRBF"/>
        <s v="https://chat-conecta.recife.pe.gov.br/live/4e7pWqi78u36zfWMf/user-info#&amp;gid=1&amp;pid=4"/>
        <s v="https://chat-conecta.recife.pe.gov.br/live/uw3NHHSnpKsJ7S7Ps/user-info"/>
        <s v="https://chat-conecta.recife.pe.gov.br/live/zyzDnbev5qiQ6NkaK"/>
        <s v="https://chat-conecta.recife.pe.gov.br/omnichannel-directory/chats/view/iJgJQFXgXWF5vBCD5"/>
        <s v="https://chat-conecta.recife.pe.gov.br/live/DuaSxpoc2PTCTf95k/room-info"/>
        <s v="https://chat-conecta.recife.pe.gov.br/live/SCwZB43bs3vzy5gTf/room-info"/>
        <s v="https://chat-conecta.recife.pe.gov.br/live/oHZJjZvruALqsntDg"/>
        <s v="https://chat-conecta.recife.pe.gov.br/live/KEGnCFoh2ujrzkwfT"/>
        <s v="https://chat-conecta.recife.pe.gov.br/live/hftbkgDbwpg6GaSzi/user-info"/>
        <s v="https://chat-conecta.recife.pe.gov.br/live/CxmEHvLrRAmj2Kgzk/user-info"/>
        <s v="https://chat-conecta.recife.pe.gov.br/live/eHcsJ6ig4jmhfts34"/>
        <s v="https://chat-conecta.recife.pe.gov.br/omnichannel-directory/chats/view/6WDXR7o8x8mfv2o4Q"/>
        <s v="https://chat-conecta.recife.pe.gov.br/live/WxHKLMNdCnL68dSpt/room-info"/>
        <s v="https://chat-conecta.recife.pe.gov.br/live/3xiPPRLE3gx8Yv53w"/>
        <s v="https://chat-conecta.recife.pe.gov.br/live/H6q3nfX9MWhywQM4f/user-info"/>
        <s v="https://chat-conecta.recife.pe.gov.br/direct/9DDXcgmpmFt3JMM58NcmyoDSPPFwkbXMjA"/>
        <s v="https://chat-conecta.recife.pe.gov.br/live/aZhxETHA4qdwDmdop/user-info"/>
        <s v="https://chat-conecta.recife.pe.gov.br/live/SAt5rm4fgfKbZkhkL"/>
        <s v="https://chat-conecta.recife.pe.gov.br/live/hqESioDsgkC7tG4dd/room-info"/>
        <s v="https://chat-conecta.recife.pe.gov.br/live/bf5LQHyprZ2cTZySX"/>
        <s v="https://chat-conecta.recife.pe.gov.br/omnichannel-directory/chats/view/5WhmNNhw275RxACZs/room-info"/>
        <s v="https://chat-conecta.recife.pe.gov.br/live/jtjSmJHNP5kvBXqFC/room-info"/>
        <s v="https://chat-conecta.recife.pe.gov.br/live/bT23zKeSWL4CxpKjb/room-info"/>
        <s v="https://chat-conecta.recife.pe.gov.br/live/J4C3kmHHkZCzY2suq/room-info"/>
        <s v="https://chat-conecta.recife.pe.gov.br/live/MdHoASDQqS5nDcDgq"/>
        <s v="https://chat-conecta.recife.pe.gov.br/live/7oxQJtA8bZxHM5pTY/members-list"/>
        <s v="https://chat-conecta.recife.pe.gov.br/live/jfYRaadEZyExva5di/room-info"/>
        <s v="https://chat-conecta.recife.pe.gov.br/live/SZ7bLje7RiY2q4bBi/room-info"/>
        <s v="https://chat-conecta.recife.pe.gov.br/live/CKEQ67Y4RKTNttNzq"/>
        <s v="https://chat-conecta.recife.pe.gov.br/live/evDroRMP7ADwt4iMn"/>
        <s v="https://chat-conecta.recife.pe.gov.br/live/PXsxvdmW6PyCdjzcn"/>
        <s v="https://chat-conecta.recife.pe.gov.br/live/Rp2uAtgqWRdLfoyGk/room-info"/>
        <s v="https://chat-conecta.recife.pe.gov.br/live/jLATi78fRSpFX4s7W"/>
        <s v="https://chat-conecta.recife.pe.gov.br/live/2Hwdrk5nZhyAcHr3j"/>
        <s v="https://chat-conecta.recife.pe.gov.br/live/ytbQNpFFpfAjec9TY/members-list"/>
        <s v="https://chat-conecta.recife.pe.gov.br/live/KWRrFujNCZRsLaCFC"/>
        <s v="https://chat-conecta.recife.pe.gov.br/live/6XPQQHbRCfs4Rq3aZ"/>
        <s v="https://chat-conecta.recife.pe.gov.br/live/dTQ3qE7oukKNpo72D"/>
        <s v="https://chat-conecta.recife.pe.gov.br/omnichannel-directory/chats/view/HtkoLhL5nfdrMvdKJ/room-info"/>
        <s v="https://chat-conecta.recife.pe.gov.br/live/zGe8KhrzFAbn2EjxR/room-info"/>
        <s v="https://chat-conecta.recife.pe.gov.br/live/heYXCgpSowCDsTQD2/room-info"/>
        <s v="https://chat-conecta.recife.pe.gov.br/live/evTiafidrQAAFpHms"/>
        <s v="https://chat-conecta.recife.pe.gov.br/live/RmWckvWoYF8A3wp59"/>
        <s v="https://chat-conecta.recife.pe.gov.br/live/wqmFQN84wTQsAeiaF/room-info"/>
        <s v="https://chat-conecta.recife.pe.gov.br/live/uxqtezwCGC37f4ju3/user-info"/>
        <s v="https://chat-conecta.recife.pe.gov.br/live/GYq2nZoGxHaNNfabY/room-info"/>
        <s v="https://chat-conecta.recife.pe.gov.br/live/npiPb4KkctNMfYHr7/room-info"/>
        <s v="https://chat-conecta.recife.pe.gov.br/omnichannel-directory/chats/view/qsEwSyN3Xi4F5BNfk#&amp;gid=1&amp;pid=1"/>
        <s v="https://chat-conecta.recife.pe.gov.br/live/PtFArmYXsqJDAxpEu"/>
        <s v="https://chat-conecta.recife.pe.gov.br/live/NjQyPJfX33Fox9MF5/members-list"/>
        <s v="https://chat-conecta.recife.pe.gov.br/live/AHdLbJKSsWKkznkEf/user-info"/>
        <s v="https://chat-conecta.recife.pe.gov.br/live/dtYC7zpeR7jvcxs5s"/>
        <s v="https://chat-conecta.recife.pe.gov.br/live/NWy8fvQ3RKnEt4oNH#&amp;gid=1&amp;pid=9"/>
        <s v="https://chat-conecta.recife.pe.gov.br/live/CsbhzhYgS3G9h5MGC/room-info"/>
        <s v="https://chat-conecta.recife.pe.gov.br/live/HeNbNXRRQAsjeYdNu/members-list"/>
        <s v="https://chat-conecta.recife.pe.gov.br/live/nREB6dRLKiM4zrHjr/room-info"/>
        <s v="https://chat-conecta.recife.pe.gov.br/live/9x2Zj6bi7Pp7EDHSe"/>
        <s v="https://chat-conecta.recife.pe.gov.br/live/NHLvgyBvFhw5tJwsT#&amp;gid=1&amp;pid=1"/>
        <s v="https://chat-conecta.recife.pe.gov.br/live/73fhEmNukJSdeSAps/room-info"/>
        <s v="https://chat-conecta.recife.pe.gov.br/live/5JfR9KNn6cHHtHty3"/>
        <s v="https://chat-conecta.recife.pe.gov.br/omnichannel-directory/chats/view/FnBLQrGGAPBSRo9hZ/room-info"/>
        <s v="https://chat-conecta.recife.pe.gov.br/live/JigFnCfTnGBGKj7Pr/room-info"/>
        <s v="https://chat-conecta.recife.pe.gov.br/live/dfx8bq8MZDHthAhhy"/>
        <s v="https://chat-conecta.recife.pe.gov.br/live/ckE7dHvTTmZLwqrZF"/>
        <s v="https://chat-conecta.recife.pe.gov.br/live/5WBawtTGCAM2PuE2Z/user-info"/>
        <s v="https://chat-conecta.recife.pe.gov.br/live/pMrmBfeH7he9QtY9v/user-info"/>
        <s v="https://chat-conecta.recife.pe.gov.br/live/SLpgNM8Qaa7Szv269"/>
        <s v="https://chat-conecta.recife.pe.gov.br/live/D4gxswpCPMrwehrgc/members-list"/>
        <s v="https://chat-conecta.recife.pe.gov.br/live/w6ZaKPeYQD6u7tknT"/>
        <s v="https://chat-conecta.recife.pe.gov.br/live/YDC56o6orpYBudab7"/>
        <s v="https://chat-conecta.recife.pe.gov.br/live/DqyYkTKvssfjKzYt6"/>
        <s v="https://chat-conecta.recife.pe.gov.br/live/gpbx3fK755rmnQvNo/user-info"/>
        <s v="https://chat-conecta.recife.pe.gov.br/live/Zfew6L6nAsNicsWZK"/>
        <s v="https://chat-conecta.recife.pe.gov.br/live/PiNBwe6v3WheJ7a4p"/>
        <s v="https://chat-conecta.recife.pe.gov.br/live/X7xa5JLL2T5DE9KRp"/>
        <s v="https://chat-conecta.recife.pe.gov.br/live/Z9zKiTZ7gZRiEqjZ7/members-list"/>
        <s v="https://chat-conecta.recife.pe.gov.br/live/8K7mM5Ku2TrH69X23"/>
        <s v="https://chat-conecta.recife.pe.gov.br/live/XPCkqvFBtwPBJwfwR"/>
        <s v="https://chat-conecta.recife.pe.gov.br/live/Lpnh4LDx5dimZk99F"/>
        <s v="https://chat-conecta.recife.pe.gov.br/live/B3mNBycZyHFa9r6py"/>
        <s v="https://chat-conecta.recife.pe.gov.br/live/dwRWD6srjTzWsD9Cz"/>
        <s v="https://chat-conecta.recife.pe.gov.br/live/LtcfxNSaFj2cSBW9H"/>
        <s v="https://chat-conecta.recife.pe.gov.br/live/SFxdwa79sJ8py2cPc"/>
        <s v="https://chat-conecta.recife.pe.gov.br/live/jABwMLkvnRFDbFFTG/user-info"/>
        <s v="https://chat-conecta.recife.pe.gov.br/live/4o7BYXMBosKBBrqBv"/>
        <s v="https://chat-conecta.recife.pe.gov.br/live/K82TjozBXLwFcdeP7/user-info"/>
        <s v="https://chat-conecta.recife.pe.gov.br/live/gM73uqmL2T5CNvawe"/>
        <s v="https://chat-conecta.recife.pe.gov.br/live/P7x4nyBLpRG7Lrsvf"/>
        <s v="https://chat-conecta.recife.pe.gov.br/live/QNdahEsWgXtW8wyni/uploaded-files-list"/>
        <s v="https://chat-conecta.recife.pe.gov.br/live/b57vCox8kXS8mE6Bp/room-info"/>
        <s v="https://chat-conecta.recife.pe.gov.br/live/9AeaRH9NC6zTGwnxs/user-info"/>
        <s v="https://chat-conecta.recife.pe.gov.br/live/RYqP6JcixphEtMmtK"/>
        <s v="https://chat-conecta.recife.pe.gov.br/live/vMrygR4Sroq57B634/user-info"/>
        <s v="https://chat-conecta.recife.pe.gov.br/live/QjjSbvJE2AwxhNEXz/user-info"/>
        <s v="https://chat-conecta.recife.pe.gov.br/live/qiHi6PS2gE8jozMfQ"/>
        <s v="https://chat-conecta.recife.pe.gov.br/live/fiX4FnZoyN5ubW7m3/room-info"/>
        <s v="https://chat-conecta.recife.pe.gov.br/live/uYDghbmpAWJpj7vWG/room-info"/>
        <s v="https://chat-conecta.recife.pe.gov.br/live/dTKbwuTrwPZwkyQNr"/>
        <s v="https://chat-conecta.recife.pe.gov.br/omnichannel-directory/chats/view/nJS8tA8f6pNgMWw7f"/>
        <s v="https://chat-conecta.recife.pe.gov.br/live/KstsxzZsf9WyJbs6M/user-info"/>
        <s v="https://chat-conecta.recife.pe.gov.br/live/SLKTqp3Zo75Qbk89E"/>
        <s v="https://chat-conecta.recife.pe.gov.br/live/So5JNiP7RbYv5m7EB#&amp;gid=1&amp;pid=5"/>
        <s v="https://chat-conecta.recife.pe.gov.br/live/EDCrZJap6jzFXHRkT"/>
        <s v="https://chat-conecta.recife.pe.gov.br/live/3PzfmBRBamdw5n99q"/>
        <s v="https://chat-conecta.recife.pe.gov.br/live/xvg2y92NSfJaaxxw7"/>
        <s v="https://chat-conecta.recife.pe.gov.br/live/FadL7mshHaoH87y32"/>
        <s v="https://chat-conecta.recife.pe.gov.br/live/fq5LBuFhL5t9YFEph/room-info"/>
        <s v="https://chat-conecta.recife.pe.gov.br/live/ENmKgnAPNGNtK5hJm"/>
        <s v="https://chat-conecta.recife.pe.gov.br/live/Q6KQjETvm7ZakLnMM/room-info"/>
        <s v="https://chat-conecta.recife.pe.gov.br/live/QPoSD83YzTNSBYn8r/room-info"/>
        <s v="https://chat-conecta.recife.pe.gov.br/live/J5yApicjQ25ZpDpvZ"/>
        <s v="https://chat-conecta.recife.pe.gov.br/live/8RmemxfPoEwQKXs26"/>
        <s v="https://chat-conecta.recife.pe.gov.br/live/S9pKRag9nTD8HjaHp"/>
        <s v="https://chat-conecta.recife.pe.gov.br/live/JE2g3BZhwo27gqKLb/room-info"/>
        <s v="https://chat-conecta.recife.pe.gov.br/live/a925A58hfDuHJ6tsK/room-info"/>
        <s v="https://chat-conecta.recife.pe.gov.br/live/ZYC252AbpF7pt4si2/room-info"/>
        <s v="https://chat-conecta.recife.pe.gov.br/live/BsWoAdmrXbLeG6A3L/user-info"/>
        <s v="https://chat-conecta.recife.pe.gov.br/omnichannel-directory/chats/view/gtnLac2AurtuGrXMJ"/>
        <s v="https://chat-conecta.recife.pe.gov.br/live/SRDBYEHvqpK6f9gvJ/room-info"/>
        <s v="https://chat-conecta.recife.pe.gov.br/live/cMosTbf53EvohL4By/room-info"/>
        <s v="https://chat-conecta.recife.pe.gov.br/live/STvdZKNqHi89vhvLu"/>
        <s v="https://chat-conecta.recife.pe.gov.br/live/8FsATpXxfWsmQn5xR"/>
        <s v="https://chat-conecta.recife.pe.gov.br/live/qeAceoXxrf9gm8g82/room-info"/>
        <s v="https://chat-conecta.recife.pe.gov.br/live/jXu7Lnx5YxBdEtQst"/>
        <s v="https://chat-conecta.recife.pe.gov.br/live/ydQrgKMuzDrnSrNgW"/>
        <s v="https://chat-conecta.recife.pe.gov.br/live/83GyxDDbpfFRSTYtW"/>
        <s v="https://chat-conecta.recife.pe.gov.br/live/Di65GgNX24XusZbuZ/user-info"/>
        <s v="https://chat-conecta.recife.pe.gov.br/live/r9o3ZqHaFjKzzzFLg/room-info"/>
        <s v="https://chat-conecta.recife.pe.gov.br/live/5nzaJ9pj7bcPwYniD/room-info"/>
        <s v="https://chat-conecta.recife.pe.gov.br/live/8CvfSqgnXwnvqYXiT/room-info"/>
        <s v="https://chat-conecta.recife.pe.gov.br/live/zqdhp6ivb4h98eBRA"/>
        <s v="https://chat-conecta.recife.pe.gov.br/live/KP32Y5Ge6hq3PoptS/room-info"/>
        <s v="https://chat-conecta.recife.pe.gov.br/live/dae8hijHZkqyLhmuH"/>
        <s v="https://chat-conecta.recife.pe.gov.br/live/zGmFMWeNANbgXNHxZ"/>
        <s v="https://chat-conecta.recife.pe.gov.br/omnichannel-directory/chats/view/2NQMKPvGgmkNLFPyi/room-info"/>
        <s v="https://chat-conecta.recife.pe.gov.br/live/CyTqEr6DxdcxYY42h/room-info"/>
        <s v="https://chat-conecta.recife.pe.gov.br/live/d8D9JRmvMJptXuXwd/room-info"/>
        <s v="https://chat-conecta.recife.pe.gov.br/live/aiitppiyockKxJmKB"/>
        <s v="https://chat-conecta.recife.pe.gov.br/live/NNKR3geYk5siGhvE6"/>
        <s v="https://chat-conecta.recife.pe.gov.br/live/3s85yrRGRagwgtCDk"/>
        <s v="https://chat-conecta.recife.pe.gov.br/live/H4jKhPT3JY9LdLksL/user-info"/>
        <s v="https://chat-conecta.recife.pe.gov.br/live/qRmuM7qRcfFuoLj2F/user-info"/>
        <s v="https://chat-conecta.recife.pe.gov.br/live/FtfENriPYBYyomCog"/>
        <s v="https://chat-conecta.recife.pe.gov.br/live/XHh56qkWQoTdcSSGh"/>
        <s v="https://chat-conecta.recife.pe.gov.br/live/kMu6oKi5Gr6a39i4B/room-info"/>
        <s v="https://chat-conecta.recife.pe.gov.br/live/JDCtyJQNjXWpnFz4Y"/>
        <s v="https://chat-conecta.recife.pe.gov.br/live/hcAAhWuafwdTxYMoG"/>
        <s v="https://chat-conecta.recife.pe.gov.br/live/meHsTPnCMaruPJ2YN/members-list"/>
        <s v="https://chat-conecta.recife.pe.gov.br/live/v2a5dM6YyhTMwp3oX"/>
        <s v="https://chat-conecta.recife.pe.gov.br/live/FJBrLR8pKZEfGPZ5v/room-info"/>
        <s v="https://chat-conecta.recife.pe.gov.br/live/NbTuF9Tdvh5myMXW5/room-info"/>
        <s v="https://chat-conecta.recife.pe.gov.br/live/R4scd6XHagQjF9jL8/user-info"/>
        <s v="https://chat-conecta.recife.pe.gov.br/omnichannel-directory/chats/view/FJBrLR8pKZEfGPZ5v/room-info"/>
        <s v="https://chat-conecta.recife.pe.gov.br/live/Tax38sYXfjzPHKsGh/members-list"/>
        <s v="https://chat-conecta.recife.pe.gov.br/live/CfsCYMDZvMa5yNRJK/room-info"/>
        <s v="https://chat-conecta.recife.pe.gov.br/live/ess787q7AicDeYem9/room-info#&amp;gid=1&amp;pid=2"/>
        <s v="https://chat-conecta.recife.pe.gov.br/live/ro7zs33f3idwZj3Mq/room-info"/>
        <s v="https://chat-conecta.recife.pe.gov.br/live/MuYP9bmze5HmmiK3q/room-info"/>
        <s v="https://chat-conecta.recife.pe.gov.br/live/Ldtu4SBHn2f4rxcGt/user-info"/>
        <s v="https://chat-conecta.recife.pe.gov.br/live/BtXQyXXk9cQZ4cxjA/room-info"/>
        <s v="https://chat-conecta.recife.pe.gov.br/live/8y3TR8ohzJJeHXZqC/user-info#&amp;gid=1&amp;pid=4"/>
        <s v="https://chat-conecta.recife.pe.gov.br/live/D3ZfQK3vwPW99fXWc/user-info"/>
        <s v="https://chat-conecta.recife.pe.gov.br/live/eDmYZnKGXh2Jg4uGM"/>
        <s v="https://chat-conecta.recife.pe.gov.br/live/8oKuW2s6JBPumwjBF"/>
        <s v="https://chat-conecta.recife.pe.gov.br/live/DkxpyrNoojFFi4q4C/members-list"/>
        <s v="https://chat-conecta.recife.pe.gov.br/live/buamMAmC8wXGoMYJW"/>
        <s v="https://chat-conecta.recife.pe.gov.br/live/avS9ggNjm6ZF6HKbR/user-info"/>
        <s v="https://chat-conecta.recife.pe.gov.br/live/jKG7GZ7WS3ECmXzhY/room-info"/>
        <s v="https://chat-conecta.recife.pe.gov.br/live/RQvYAYLFuYs5BXXJE/room-info"/>
        <s v="https://chat-conecta.recife.pe.gov.br/live/pmgLkXYi6xpm33kna/room-info"/>
        <s v="https://chat-conecta.recife.pe.gov.br/live/zfqcjiQXaotabHKCF/room-info"/>
        <s v="https://chat-conecta.recife.pe.gov.br/live/fuDM2m6zX23HmRzyM#&amp;gid=1&amp;pid=2"/>
        <s v="https://chat-conecta.recife.pe.gov.br/live/S2reuqgRCntcmdzG5/room-info"/>
        <s v="https://chat-conecta.recife.pe.gov.br/live/KfvYAw7jZJX8Cb8nz/room-info"/>
        <s v="https://chat-conecta.recife.pe.gov.br/live/voYjixJuRCRwZhymX/room-info"/>
        <s v="https://chat-conecta.recife.pe.gov.br/live/4pw4eGNarrsBimgWx/room-info"/>
        <s v="https://chat-conecta.recife.pe.gov.br/live/sfdFJbzPBXWsdL4Hz"/>
        <s v="https://chat-conecta.recife.pe.gov.br/live/tm6mREfidRYBYC2tt"/>
        <s v="https://chat-conecta.recife.pe.gov.br/live/bWKcRpdasTR4eYWE9/room-info"/>
        <s v="https://chat-conecta.recife.pe.gov.br/live/McrLSkMYE3xuKtsSS/room-info"/>
        <s v="https://chat-conecta.recife.pe.gov.br/live/dKmTM4Xi2sf4EHJnm/members-list"/>
        <s v="https://chat-conecta.recife.pe.gov.br/live/XF9qmAuTB9Gek27EH/members-list"/>
        <s v="https://chat-conecta.recife.pe.gov.br/live/RfFjHHssLjvexk2fp"/>
        <s v="https://chat-conecta.recife.pe.gov.br/live/nCaCC8xSQC8JKJtFG"/>
        <s v="https://chat-conecta.recife.pe.gov.br/live/RxLQhZtQL6Kkr4YCY"/>
        <s v="https://chat-conecta.recife.pe.gov.br/live/ZpahxkXRKchyJjA3L"/>
        <s v="https://chat-conecta.recife.pe.gov.br/live/5rhuiqoJB9Zrgxymh"/>
        <s v="https://chat-conecta.recife.pe.gov.br/live/aZdmyAiNBxWBuPF68"/>
        <s v="https://chat-conecta.recife.pe.gov.br/live/T9wF6zPn6PJD4j6MW"/>
        <s v="https://chat-conecta.recife.pe.gov.br/live/GAnXdvJTu48J2uHyR/room-info"/>
        <s v="https://chat-conecta.recife.pe.gov.br/live/PD5xtw3eK4QtQy5MA"/>
        <s v="https://chat-conecta.recife.pe.gov.br/live/4sz8CyRMPM7gpHxxy/room-info"/>
        <s v="https://chat-conecta.recife.pe.gov.br/live/ZM92pnghF9yTnzrJz"/>
        <s v="https://chat-conecta.recife.pe.gov.br/live/s5yGXGRxCdi3kKz5e#&amp;gid=1&amp;pid=4"/>
        <s v="https://chat-conecta.recife.pe.gov.br/omnichannel-directory/chats/view/rxsnhicykwTNSMuP9"/>
        <s v="https://chat-conecta.recife.pe.gov.br/live/HRw3JfQgkPaDtz85q/room-info"/>
        <s v="https://chat-conecta.recife.pe.gov.br/live/CdpKsRdbqhoXtXjwk"/>
        <s v="https://chat-conecta.recife.pe.gov.br/live/n7oX7FgRtPjXMp4ub/room-info"/>
        <s v="https://chat-conecta.recife.pe.gov.br/live/QyJ9obB2noDM35TkA"/>
        <s v="https://chat-conecta.recife.pe.gov.br/live/Y6E2niZZjKiWChvrQ/room-info"/>
        <s v="https://chat-conecta.recife.pe.gov.br/omnichannel-directory/chats/view/nfHomGGPMfaRSP6SY/room-info"/>
        <s v="https://chat-conecta.recife.pe.gov.br/live/7pmFhfKruBwAEfhAh/room-info"/>
        <s v="https://chat-conecta.recife.pe.gov.br/live/H3FDF6PjP6jSM2tTQ"/>
        <s v="https://chat-conecta.recife.pe.gov.br/live/z45Lfm3XniN8SMqdt"/>
        <s v="https://chat-conecta.recife.pe.gov.br/live/tdPRYgYfhJSQ2wYsa/room-info"/>
        <s v="https://chat-conecta.recife.pe.gov.br/live/o2RNLNNcuiDva9rCe/room-info"/>
        <s v="https://chat-conecta.recife.pe.gov.br/live/Pud2sjZ3id3JsemYY/room-info"/>
        <s v="https://chat-conecta.recife.pe.gov.br/direct/NcmyoDSPPFwkbXMjAi2c2jSHZXRKjv2wQH"/>
        <s v="https://chat-conecta.recife.pe.gov.br/live/QCbG3kpgSGTGz7wdG/room-info"/>
        <s v="https://chat-conecta.recife.pe.gov.br/live/fMs2MgZJdDz3zpL3B/members-list"/>
        <s v="https://chat-conecta.recife.pe.gov.br/omnichannel-directory/chats/view/mdu5BX57Aayhwss3g/room-info"/>
        <s v="https://chat-conecta.recife.pe.gov.br/live/ZEdCrmCQeB2BiEdyu/room-info"/>
        <s v="https://chat-conecta.recife.pe.gov.br/live/eJSP9vgscyetfgQM8/user-info"/>
        <s v="https://chat-conecta.recife.pe.gov.br/live/bxTD23RzEJthzGgSo#&amp;gid=1&amp;pid=6"/>
        <s v="https://chat-conecta.recife.pe.gov.br/live/rXdsKbA7MrTTYrC7c"/>
        <s v="https://chat-conecta.recife.pe.gov.br/live/yjaYZvXF3Xz8gFupv"/>
        <s v="https://chat-conecta.recife.pe.gov.br/live/9oerbMaGKGQpsKvof"/>
        <s v="https://chat-conecta.recife.pe.gov.br/live/s9ssMzN9q2CqpNWFA"/>
        <s v="https://chat-conecta.recife.pe.gov.br/live/jSWoe2nasPCBFiPdm/room-info"/>
        <s v="https://chat-conecta.recife.pe.gov.br/live/vdpfFgmshefC3gxdn"/>
        <s v="https://chat-conecta.recife.pe.gov.br/live/xrbLQr7oQM9XNGyLv"/>
        <s v="https://chat-conecta.recife.pe.gov.br/live/5gxvRaoT8frwEqTiM/user-info"/>
        <s v="https://chat-conecta.recife.pe.gov.br/live/tmbFYxEgcNTtdcyii/room-info"/>
        <s v="https://chat-conecta.recife.pe.gov.br/live/r2i4gahHaC7vNLEEK"/>
        <s v="https://chat-conecta.recife.pe.gov.br/live/AQfxjoyngDk8TndQB/room-info"/>
        <s v="https://chat-conecta.recife.pe.gov.br/live/P4Z55NZW5sKpbGBRY/user-info"/>
        <s v="https://chat-conecta.recife.pe.gov.br/live/AnHbN3eWMDHyNJkrt/members-list"/>
        <s v="https://chat-conecta.recife.pe.gov.br/live/KMwioqTKMqMhoy3jY/user-info"/>
        <s v="https://chat-conecta.recife.pe.gov.br/live/KMwioqTKMqMhoy3jY/room-info"/>
        <s v="https://chat-conecta.recife.pe.gov.br/live/Rza7bpfB7NfqpmdBM/room-info"/>
        <s v="https://chat-conecta.recife.pe.gov.br/live/tE5Y8cZGLCpRTLWDo/user-info"/>
        <s v="https://chat-conecta.recife.pe.gov.br/live/AHsdXLhoywRd7sWRb/user-info"/>
        <s v="https://chat-conecta.recife.pe.gov.br/live/FE4HZoYBBxfZtD4kE"/>
        <s v="https://chat-conecta.recife.pe.gov.br/live/nAFoFx7LCa7jLcwNw/room-info"/>
        <s v="https://chat-conecta.recife.pe.gov.br/live/dDYTdcYQTz8p929tz"/>
        <s v="https://chat-conecta.recife.pe.gov.br/live/vj2Ee9qtE74H5qJHm/room-info"/>
        <s v="https://chat-conecta.recife.pe.gov.br/live/rHrMX6jFvrRD8Fy83/room-info"/>
        <s v="https://chat-conecta.recife.pe.gov.br/live/yddLtRCcseMJqBGJc#&amp;gid=1&amp;pid=8"/>
        <s v="https://chat-conecta.recife.pe.gov.br/live/CJCWWq4JbYsdotwXY/members-list"/>
        <s v="https://chat-conecta.recife.pe.gov.br/live/LNPG6DGuWT2h883BS"/>
        <s v="https://chat-conecta.recife.pe.gov.br/live/9h3sgK5qiaGkeQKc7/room-info"/>
        <s v="https://chat-conecta.recife.pe.gov.br/live/mYoiBcMRb5sW8zxnF/user-info"/>
        <s v="https://chat-conecta.recife.pe.gov.br/live/We3zfcTLx5g9tc9Aq"/>
        <s v="https://chat-conecta.recife.pe.gov.br/live/MhXLwSHKAfsxt9pTy"/>
        <s v="https://chat-conecta.recife.pe.gov.br/omnichannel-directory/chats/view/9h3sgK5qiaGkeQKc7/room-info"/>
        <s v="https://chat-conecta.recife.pe.gov.br/live/8v8Mhw59E3o3Agxah/room-info"/>
        <s v="https://chat-conecta.recife.pe.gov.br/live/4sGkT3uJnLEuB5nrH"/>
        <s v="https://chat-conecta.recife.pe.gov.br/live/piKXRSNQ5qg3MRub9/room-info"/>
        <s v="https://chat-conecta.recife.pe.gov.br/live/5nWMx4ytDEvxkzXpq"/>
        <s v="https://chat-conecta.recife.pe.gov.br/live/c57mqrxf6oucFNPii"/>
        <s v="https://chat-conecta.recife.pe.gov.br/live/Ltwmmk5sRnyaJtMmd/room-info"/>
        <s v="https://chat-conecta.recife.pe.gov.br/live/C9D6ytyB7zXR5ssru"/>
        <s v="https://chat-conecta.recife.pe.gov.br/live/av3ZiF2rHiAzeyg39"/>
        <s v="https://chat-conecta.recife.pe.gov.br/live/2jSdW8kWSMKLi2A4S/user-info"/>
        <s v="https://chat-conecta.recife.pe.gov.br/live/HiMnirG6ozF8HwNWz"/>
        <s v="https://chat-conecta.recife.pe.gov.br/live/f3FZGXoFyKfZLHJdL/members-list"/>
        <s v="https://chat-conecta.recife.pe.gov.br/live/TwMADgQqhGRs6ihGy"/>
        <s v="https://chat-conecta.recife.pe.gov.br/live/LNcY2JYXqbJhvKGoc#&amp;gid=1&amp;pid=4"/>
        <s v="https://chat-conecta.recife.pe.gov.br/live/YrmK4d8nbnTK2bPCS"/>
        <s v="https://chat-conecta.recife.pe.gov.br/live/B4Hnt7Yhwor34pEEu/uploaded-files-list"/>
        <s v="https://chat-conecta.recife.pe.gov.br/omnichannel-directory/chats/view/TipfusqGDBhNmbHfn"/>
        <s v="https://chat-conecta.recife.pe.gov.br/live/WGm8jy85oco7vWuQn/user-info"/>
        <s v="https://chat-conecta.recife.pe.gov.br/live/jqApCsg9G6N6bddA5/room-info"/>
        <s v="https://chat-conecta.recife.pe.gov.br/live/ToeTmfK4QHYwHpYba"/>
        <s v="https://chat-conecta.recife.pe.gov.br/live/LSwnF6zsHeuna6t5g/user-info"/>
        <s v="https://chat-conecta.recife.pe.gov.br/live/PBopX9SHBgDuA2RAs/room-info"/>
        <s v="https://chat-conecta.recife.pe.gov.br/live/YaPoRLRrozedndcwy"/>
        <s v="https://chat-conecta.recife.pe.gov.br/live/wb4y3XeWoum4usnJZ/room-info"/>
        <s v="https://chat-conecta.recife.pe.gov.br/live/nJwhdHyfYxibDJQ4Y"/>
        <s v="https://chat-conecta.recife.pe.gov.br/live/EptoLGdPfW8sCx8G7"/>
        <s v="https://chat-conecta.recife.pe.gov.br/live/MCMvXyDPKmPBNy27S/members-list"/>
        <s v="https://chat-conecta.recife.pe.gov.br/live/uFnCh7mBMFBCWBE2X/room-info"/>
        <s v="https://chat-conecta.recife.pe.gov.br/live/XTh6tMgCDSD4zwfDh"/>
        <s v="https://chat-conecta.recife.pe.gov.br/live/zGnGLFmbPuA4GCJRZ/room-info"/>
        <s v="https://chat-conecta.recife.pe.gov.br/live/zk6hvdQ2DsaEiECXw/room-info"/>
        <s v="https://chat-conecta.recife.pe.gov.br/live/TGzvEeF8cuRGHPPLR/user-info"/>
        <s v="https://chat-conecta.recife.pe.gov.br/live/wdfKRtWpPAJBRdGp6/room-info"/>
        <s v="https://chat-conecta.recife.pe.gov.br/live/nPjhPu6kieccuo72K/room-info"/>
        <s v="https://chat-conecta.recife.pe.gov.br/live/9wsNjYi8TBdfAneLt/user-info"/>
        <s v="https://chat-conecta.recife.pe.gov.br/live/47ZoZZroPeSiJFPYZ/user-info"/>
        <s v="https://chat-conecta.recife.pe.gov.br/live/f79GJPct9gYx9WmoJ/user-info#&amp;gid=1&amp;pid=5"/>
        <s v="https://chat-conecta.recife.pe.gov.br/live/z4h7ZpdSEq8oXc8L2/user-info"/>
        <s v="https://chat-conecta.recife.pe.gov.br/live/oFn54msvsGSozPPZJ"/>
        <s v="https://chat-conecta.recife.pe.gov.br/live/tPvLXrfSqgtcnywMi/user-info"/>
        <s v="https://chat-conecta.recife.pe.gov.br/live/vtmNXeGR4y3fLiocH"/>
        <s v="https://chat-conecta.recife.pe.gov.br/live/s2iHsveqyCgtgDdSr"/>
        <s v="https://chat-conecta.recife.pe.gov.br/live/9F4uSSvb2RYbHXo3b/uploaded-files-list"/>
        <s v="https://chat-conecta.recife.pe.gov.br/live/bGCbT2d9dQkCyhkj4"/>
        <s v="https://chat-conecta.recife.pe.gov.br/live/At5J4ZbgemTiaJ9Fr/room-info"/>
        <s v="https://chat-conecta.recife.pe.gov.br/live/TEofGvc2fYQsMgQmy"/>
        <s v="https://chat-conecta.recife.pe.gov.br/live/3SWwdFoWRFuq9jGGi/user-info"/>
        <s v="https://chat-conecta.recife.pe.gov.br/live/84kZepyKnNT9kBcqy"/>
        <s v="https://chat-conecta.recife.pe.gov.br/live/PZnr4tW6szgRaBtBQ/room-info"/>
        <s v="https://chat-conecta.recife.pe.gov.br/live/jamTQqREGtnZSsECP"/>
        <s v="https://chat-conecta.recife.pe.gov.br/live/Xf8iPzZTiq6R8LQee/room-info"/>
        <s v="https://chat-conecta.recife.pe.gov.br/live/LpdNGatAexmtLMwZK"/>
        <s v="https://chat-conecta.recife.pe.gov.br/live/3q7yt5WKx7NxZa4mP"/>
        <s v="https://chat-conecta.recife.pe.gov.br/live/CNtjmr9Jt6DHa6ftr/room-info"/>
        <s v="https://chat-conecta.recife.pe.gov.br/live/7sL4pESJCqGuS6Nw7"/>
        <s v="https://chat-conecta.recife.pe.gov.br/live/XqQca92b9rgdRgpmB"/>
        <s v="https://chat-conecta.recife.pe.gov.br/live/pAhjLDQiZhrwtFk8D"/>
        <s v="https://chat-conecta.recife.pe.gov.br/live/GGZhQ75mX6jHpiHYD/members-list"/>
        <s v="https://chat-conecta.recife.pe.gov.br/live/8ujind6kKqd78w4oP"/>
        <s v="https://chat-conecta.recife.pe.gov.br/live/TpLbFfJndDLC4k7CZ"/>
        <s v="https://chat-conecta.recife.pe.gov.br/live/Ewcs7ZtEGacEXcWTk"/>
        <s v="https://chat-conecta.recife.pe.gov.br/live/Xtn8xzM9wrHdqW85z/room-info"/>
        <s v="https://chat-conecta.recife.pe.gov.br/live/mt59LtTYgFaedaLGa"/>
        <s v="https://chat-conecta.recife.pe.gov.br/live/SWpnNq59vRSzv7APF"/>
        <s v="https://chat-conecta.recife.pe.gov.br/live/cDXhcWZkS5dpB4DPC"/>
        <s v="https://chat-conecta.recife.pe.gov.br/live/eN8NNFPhgkanD94ct/room-info"/>
        <s v="https://chat-conecta.recife.pe.gov.br/live/EPoqqpCatZkGZKHNo/room-info"/>
        <s v="https://chat-conecta.recife.pe.gov.br/live/WPQvNEK2d4gZ8Mow6"/>
        <s v="https://chat-conecta.recife.pe.gov.br/live/mjspR7BKruMbzfrmS/room-info"/>
        <s v="https://chat-conecta.recife.pe.gov.br/live/2MazhZKwiwsK53iH7"/>
        <s v="https://chat-conecta.recife.pe.gov.br/live/Jz7KP6qetfsivQbaq"/>
        <s v="https://chat-conecta.recife.pe.gov.br/live/WQf6RYEhThyNGrQ7J/room-info"/>
        <s v="https://chat-conecta.recife.pe.gov.br/live/n8G9hupd2FQoyKw3h/room-info"/>
        <s v="https://chat-conecta.recife.pe.gov.br/live/5EPSr9bTFjfEw7pxA/room-info"/>
        <s v="https://chat-conecta.recife.pe.gov.br/live/e96R3EJ4kiEFeSkxE/room-info"/>
        <s v="https://chat-conecta.recife.pe.gov.br/live/suetuRC4ydfLBjDiJ/room-info"/>
        <s v="https://chat-conecta.recife.pe.gov.br/live/9WZ3ziDLAgvDzpaf7/user-info"/>
        <s v="https://chat-conecta.recife.pe.gov.br/live/jLmq7nqMNASP3wNhq/room-info"/>
        <s v="https://chat-conecta.recife.pe.gov.br/live/XNkHTxuGqLiMHW367"/>
        <s v="https://chat-conecta.recife.pe.gov.br/live/mTjGX7xp2go6KWdhT#&amp;gid=1&amp;pid=6"/>
        <s v="https://chat-conecta.recife.pe.gov.br/live/hrLz382WiQGmE5NNv/room-info"/>
        <s v="https://chat-conecta.recife.pe.gov.br/live/KfhRPN5WQNXrfsGXa/user-info"/>
        <s v="https://chat-conecta.recife.pe.gov.br/live/3CLnpsujeK6KfSNgy/room-info"/>
        <s v="https://chat-conecta.recife.pe.gov.br/live/kDF4XXNqNxZETDPwJ"/>
        <s v="https://chat-conecta.recife.pe.gov.br/live/TEYqdTArcZnMXx6fc"/>
        <s v="https://chat-conecta.recife.pe.gov.br/live/kh3shwjfABzKaeF8Y/room-info"/>
        <s v="https://chat-conecta.recife.pe.gov.br/live/yfAqfskTwQizj7wzf/user-info"/>
        <s v="https://chat-conecta.recife.pe.gov.br/live/LQqBxxnqBFPDpMeRS"/>
        <s v="https://chat-conecta.recife.pe.gov.br/live/SDQDBYkgbRyD7tsDw/user-info"/>
        <s v="https://chat-conecta.recife.pe.gov.br/live/qANtvMXKJo8ysphNS"/>
        <s v="https://chat-conecta.recife.pe.gov.br/live/8HRxCuDkNtWG4t2oY"/>
        <s v="https://chat-conecta.recife.pe.gov.br/live/WvpZswjNovxTzL6T7/room-info"/>
        <s v="https://chat-conecta.recife.pe.gov.br/live/xwejZoBSFwvgT2RQa/user-info"/>
        <s v="https://chat-conecta.recife.pe.gov.br/live/LvsE69AD54rx2eZJJ"/>
        <s v="https://chat-conecta.recife.pe.gov.br/live/JuZ2HW8CadSHTJWic/room-info"/>
        <s v="https://chat-conecta.recife.pe.gov.br/live/Z6QAd7AwEbPK8F76p/room-info"/>
        <s v="https://chat-conecta.recife.pe.gov.br/live/jSESwdMALKb5seoSK"/>
        <s v="https://chat-conecta.recife.pe.gov.br/live/LPodvTkfdriCKeLYF"/>
        <s v="https://chat-conecta.recife.pe.gov.br/live/dfpjzxaRcYyKDe6H2/user-info"/>
        <s v="https://chat-conecta.recife.pe.gov.br/live/wFE929JxDQXaQNKbp/user-info#&amp;gid=1&amp;pid=4"/>
        <s v="https://chat-conecta.recife.pe.gov.br/live/YvhtDuqvs7H7LrD88/room-info"/>
        <s v="https://chat-conecta.recife.pe.gov.br/omnichannel-directory/chats/view/g3kbApt67hmcEdEQj/room-info"/>
        <s v="https://chat-conecta.recife.pe.gov.br/live/DsZwim3tMQ5WzZS5w/members-list"/>
        <s v="https://chat-conecta.recife.pe.gov.br/live/AwXrj6Xr9T3nacPuH"/>
        <s v="https://chat-conecta.recife.pe.gov.br/live/wNc8LSiq63vp5xY3G/user-info"/>
        <s v="https://chat-conecta.recife.pe.gov.br/live/955u4rx7HG9Mpy2nM/members-list"/>
        <s v="https://chat-conecta.recife.pe.gov.br/live/6erw5JMxxjkeq6KHR/user-info"/>
        <s v="https://chat-conecta.recife.pe.gov.br/live/FqRRk8vaZt8gGp9pG"/>
        <s v="https://chat-conecta.recife.pe.gov.br/live/j9DNDTRrq9ySBDLy4/members-list"/>
        <s v="https://chat-conecta.recife.pe.gov.br/live/gkiG9W86RTYhLJNeT/room-info"/>
        <s v="https://chat-conecta.recife.pe.gov.br/live/LnNkyRMuYRcrKSjcm"/>
        <s v="https://chat-conecta.recife.pe.gov.br/live/YKcfCgt7msAin5DZf"/>
        <s v="https://chat-conecta.recife.pe.gov.br/live/gSAHbAcMvjDuKXpc7"/>
        <s v="https://chat-conecta.recife.pe.gov.br/live/ewQu7KPo2L3p3j4C4/room-info"/>
        <s v="https://chat-conecta.recife.pe.gov.br/live/RJqTFJ3wGHYt53RNE/room-info"/>
        <s v="https://chat-conecta.recife.pe.gov.br/live/CxPnSzXnQtoqkSM5Y/room-info"/>
        <s v="https://chat-conecta.recife.pe.gov.br/live/ATbzSz4oNwiQsRGsn"/>
        <s v="https://chat-conecta.recife.pe.gov.br/live/WhduJ3KxEETHGNW4J"/>
        <s v="https://chat-conecta.recife.pe.gov.br/omnichannel-directory/chats/view/pJhp6GSZu6WfKsL98/room-info"/>
        <s v="https://chat-conecta.recife.pe.gov.br/live/jkSXWeBmc4rMqKBQt"/>
        <s v="https://chat-conecta.recife.pe.gov.br/live/Bgfzh5Xz2Ye3vRTzw"/>
        <s v="https://chat-conecta.recife.pe.gov.br/live/ws9qFWHpavvohcaYp"/>
        <s v="https://chat-conecta.recife.pe.gov.br/live/xkf9eh94fsQBW7ynj/room-info"/>
        <s v="https://chat-conecta.recife.pe.gov.br/live/fowZKxsWwHwttQkKC"/>
        <s v="https://chat-conecta.recife.pe.gov.br/live/WYDP8X9h7feWj2d6R"/>
        <s v="https://chat-conecta.recife.pe.gov.br/omnichannel-directory/chats/view/BbWbp7HdyHrP3hKSh/room-info"/>
        <s v="https://chat-conecta.recife.pe.gov.br/live/z7mn3KFCtXgEaZdnt"/>
        <s v="https://chat-conecta.recife.pe.gov.br/live/8KnronK29MgMn3SED"/>
        <s v="https://chat-conecta.recife.pe.gov.br/live/dkffgkKNnzdT8RRDs/room-info"/>
        <s v="https://chat-conecta.recife.pe.gov.br/live/cEtMGgQ5yA5Dfa9D6/room-info"/>
        <s v="https://chat-conecta.recife.pe.gov.br/live/RGP5BjyP5HtnvP7kJ"/>
        <s v="https://chat-conecta.recife.pe.gov.br/live/wqToPvGTH9hewLjMm/room-info"/>
        <s v="https://chat-conecta.recife.pe.gov.br/live/KshqGSPTJWwMt7h3T/user-info"/>
        <s v="https://chat-conecta.recife.pe.gov.br/live/GSJeK8m57p4NCbTpf/room-info"/>
        <s v="https://chat-conecta.recife.pe.gov.br/live/ARh9W73ruWnzzbnYu/room-info"/>
        <s v="https://chat-conecta.recife.pe.gov.br/live/ERLWMhL4B7dF5Dxq5/room-info"/>
        <s v="https://chat-conecta.recife.pe.gov.br/omnichannel-directory/chats/view/YpRs4mMxLcHaxz9uB"/>
        <s v="https://chat-conecta.recife.pe.gov.br/live/33ywnpsgGGyFDfriZ"/>
        <s v="https://chat-conecta.recife.pe.gov.br/live/4KEcGWff8wwbgCdye/user-info"/>
        <s v="https://chat-conecta.recife.pe.gov.br/live/apTEpHkRnvWZu9wTR/room-info"/>
        <s v="https://chat-conecta.recife.pe.gov.br/live/3uRXmFXo2muwHfbRZ/room-info"/>
        <s v="https://chat-conecta.recife.pe.gov.br/live/2QaKw4am8xWs2h2J9/room-info"/>
        <s v="https://chat-conecta.recife.pe.gov.br/live/PGB8NL8ChRdjeme57"/>
        <s v="https://chat-conecta.recife.pe.gov.br/live/WDSeCFBfRPY8Hkcsd"/>
        <s v="https://chat-conecta.recife.pe.gov.br/live/eEqz97ddknidsNAk5"/>
        <s v="https://chat-conecta.recife.pe.gov.br/live/2gqxNPEL7qtFhmeea"/>
        <s v="https://chat-conecta.recife.pe.gov.br/live/QWBLAYT2XyznCgdzw/user-info"/>
        <s v="https://chat-conecta.recife.pe.gov.br/live/BiGxr7NEo3SvTxWTX"/>
        <s v="https://chat-conecta.recife.pe.gov.br/live/BLWcxLAZed9JZ2D2s"/>
        <s v="https://chat-conecta.recife.pe.gov.br/live/LuMbhG6L5bC6Lotbb/user-info"/>
        <s v="https://chat-conecta.recife.pe.gov.br/live/ZNj4spu5dj5J7aGEu"/>
        <s v="https://chat-conecta.recife.pe.gov.br/live/Gvepwa2Q2yBt3aKtv"/>
        <s v="https://chat-conecta.recife.pe.gov.br/live/ca2qW8rrF3LQvrwGS"/>
        <s v="https://chat-conecta.recife.pe.gov.br/live/kAsGAAjwtEN3sDxLC"/>
        <s v="https://chat-conecta.recife.pe.gov.br/live/6xgKDN4SLBHoNspJz"/>
        <s v="https://chat-conecta.recife.pe.gov.br/live/zSZZsXDhzoCeeFZNm"/>
        <s v="https://chat-conecta.recife.pe.gov.br/live/h5hk2N97AL5uNLRss"/>
        <s v="https://chat-conecta.recife.pe.gov.br/live/EDky2Zxdw68RNWLJz"/>
        <s v="https://chat-conecta.recife.pe.gov.br/live/bYkGnj6w7jHQZwtFG"/>
        <s v="https://chat-conecta.recife.pe.gov.br/live/TznuvBzFW2BkocC53/user-info"/>
        <s v="https://chat-conecta.recife.pe.gov.br/live/ciCaauKDvdB9d5Dun"/>
        <s v="https://chat-conecta.recife.pe.gov.br/live/tfnuQBZJrkE3GDsxg/room-info"/>
        <s v="https://chat-conecta.recife.pe.gov.br/live/dNr8hZzLLK7s6Kevo"/>
        <s v="https://chat-conecta.recife.pe.gov.br/live/wAX8gRMG9NSMZsLFg"/>
        <s v="https://chat-conecta.recife.pe.gov.br/live/Yk6c3wn5jSomzWvfN/room-info"/>
        <s v="https://chat-conecta.recife.pe.gov.br/live/FgXhPX8F2DEKf9R5p"/>
        <s v="https://chat-conecta.recife.pe.gov.br/live/AfcwB5M38f2rdWfDk#&amp;gid=1&amp;pid=4"/>
        <s v="https://chat-conecta.recife.pe.gov.br/live/o3DPeoNeH4pZ4jy7v/user-info"/>
        <s v="https://chat-conecta.recife.pe.gov.br/live/MfHSfwiSnkGfu7Rd3/room-info"/>
        <s v="https://chat-conecta.recife.pe.gov.br/live/59C96ZTrCxAR55yCi"/>
        <s v="https://chat-conecta.recife.pe.gov.br/live/SL9riEbnBGcKReMbT"/>
        <s v="https://chat-conecta.recife.pe.gov.br/live/o3DPeoNeH4pZ4jy7v/room-info"/>
        <s v="https://chat-conecta.recife.pe.gov.br/live/zBqAxAMv6SuenDXEL/room-info"/>
        <s v="https://chat-conecta.recife.pe.gov.br/live/BY9kJ3miGsNu25A9h#&amp;gid=1&amp;pid=4"/>
        <s v="https://chat-conecta.recife.pe.gov.br/live/GrjnsiGh3NdbGZaZc"/>
        <s v="https://chat-conecta.recife.pe.gov.br/live/3aBxvntNHhLTZwzh4/room-info"/>
        <s v="https://chat-conecta.recife.pe.gov.br/live/nqANNA4d5RxiZzyj7/user-info"/>
        <s v="https://chat-conecta.recife.pe.gov.br/live/58TLkkNSEx8R6Ddqw/room-info"/>
        <s v="https://chat-conecta.recife.pe.gov.br/live/SWTqdE8RKerngWBmE"/>
        <s v="hat-conecta.recife.pe.gov.br/live/4dPpe3RPqYZRbiwdX/room-info"/>
        <s v="https://chat-conecta.recife.pe.gov.br/live/3sx3zdNMQrKqGJjsc"/>
        <s v="https://chat-conecta.recife.pe.gov.br/live/9ZgdvyHfgxo5gnQEL/room-info"/>
        <s v="https://chat-conecta.recife.pe.gov.br/live/EpLkkvm6M7MoMi87T/user-info#&amp;gid=1&amp;pid=3"/>
        <s v="https://chat-conecta.recife.pe.gov.br/live/X3WcpvYGtPY2ct9w3"/>
        <s v="https://chat-conecta.recife.pe.gov.br/omnichannel-directory/chats/view/Dr9HaSN5Yh9zLiGzA"/>
        <s v="https://chat-conecta.recife.pe.gov.br/live/KYzKi399w4cd68D3p/user-info"/>
        <s v="https://chat-conecta.recife.pe.gov.br/live/sChGG49tFTzEKRJHs"/>
        <s v="https://chat-conecta.recife.pe.gov.br/live/Z3KhGRwWoRMtMM7MK/room-info"/>
        <s v="https://chat-conecta.recife.pe.gov.br/live/AEwhTQXziYyiZ7t9Z"/>
        <s v="https://chat-conecta.recife.pe.gov.br/live/XRinCWNj7TgMMaqxa"/>
        <s v="https://chat-conecta.recife.pe.gov.br/live/5kPLmwG5uRbMN57Q5/room-info#&amp;gid=1&amp;pid=7"/>
        <s v="https://chat-conecta.recife.pe.gov.br/live/f6zLaoTdW7pjnGL7x/user-info"/>
        <s v="https://chat-conecta.recife.pe.gov.br/live/iveiJNpSfCJ4FKpqX/room-info"/>
        <s v="https://chat-conecta.recife.pe.gov.br/live/uwRdow5hqxMk5cq3x/room-info"/>
        <s v="https://chat-conecta.recife.pe.gov.br/live/pypHsARJ4tPx6ss2P/room-info"/>
        <s v="https://chat-conecta.recife.pe.gov.br/live/2L5CkCAJcEmZkbfxv/room-info"/>
        <s v="https://chat-conecta.recife.pe.gov.br/live/dcdhGCZmJRL8E7bDJ/room-info#&amp;gid=1&amp;pid=7"/>
        <s v="https://chat-conecta.recife.pe.gov.br/live/2xLRfnHecHodLo474/room-info"/>
        <s v="https://chat-conecta.recife.pe.gov.br/live/ZXJCq4zn6W82HMZqL"/>
        <s v="https://chat-conecta.recife.pe.gov.br/live/YHghXmbc8a3s4TKtB/room-info"/>
        <s v="https://chat-conecta.recife.pe.gov.br/omnichannel-directory/chats/view/tcxMXqe3kCPoPDW2s"/>
        <s v="https://chat-conecta.recife.pe.gov.br/live/CWtpRo8syTNq7mEsk/room-info"/>
        <s v="https://chat-conecta.recife.pe.gov.br/live/c35qEHzyYqko6i3Zj#&amp;gid=1&amp;pid=7"/>
        <s v="https://chat-conecta.recife.pe.gov.br/live/7Pk53XcPNMaAsfh3r/room-info"/>
        <s v="https://chat-conecta.recife.pe.gov.br/live/Mx4x2SXKHCFuQKkE5/room-info"/>
        <s v="https://chat-conecta.recife.pe.gov.br/live/vMmm8MwsS4BnaWxCM"/>
        <s v="https://chat-conecta.recife.pe.gov.br/live/KgbiMkC4BfuTweWfc/user-info"/>
        <s v="https://chat-conecta.recife.pe.gov.br/live/LHvxffLJFMJWP2XEZ"/>
        <s v="https://chat-conecta.recife.pe.gov.br/live/acM"/>
        <s v="https://chat-conecta.recife.pe.gov.br/omnichannel-directory/chats/view/NC59HJJCywPTfzzL8"/>
        <s v="https://chat-conecta.recife.pe.gov.br/live/3NdEwNDHJZxEJH955/room-info"/>
        <s v="https://chat-conecta.recife.pe.gov.br/live/SerXf8CDdYNuvYg33/room-info"/>
        <s v="https://chat-conecta.recife.pe.gov.br/live/AyC7G2u8HwRki9Zp6/members-list"/>
        <s v="https://chat-conecta.recife.pe.gov.br/live/zApHgJFLkuyaN9NTQ/room-info"/>
        <s v="https://chat-conecta.recife.pe.gov.br/live/HAMEsiuZtqaNo2GKR"/>
        <s v="https://chat-conecta.recife.pe.gov.br/live/4DkKhhja6kDaKJgnn"/>
        <s v="https://chat-conecta.recife.pe.gov.br/live/HKec4FjhwesB5Yo9h"/>
        <s v="https://chat-conecta.recife.pe.gov.br/live/6gsboQzBgmoY5pZCB/room-info"/>
        <s v="https://chat-conecta.recife.pe.gov.br/live/rTtgfsrggPoHiQ7ne"/>
        <s v="https://chat-conecta.recife.pe.gov.br/live/Fsvo3CWGyXz6N6cfo/room-info"/>
        <s v="https://chat-conecta.recife.pe.gov.br/live/5uHojBWN8iXdsh9vT/room-info"/>
        <s v="https://chat-conecta.recife.pe.gov.br/live/hz96xNiGGKnaKKrmA/room-info#&amp;gid=1&amp;pid=1"/>
        <s v="https://chat-conecta.recife.pe.gov.br/live/nrKoMsP3ZLmNr6cpQ/room-info"/>
        <s v="https://chat-conecta.recife.pe.gov.br/live/3nLzhoZNJFRaFdAe6/user-info"/>
        <s v="https://chat-conecta.recife.pe.gov.br/live/Hn8etzp7wuzn6Gq7W/user-info#&amp;gid=1&amp;pid=6"/>
        <s v="https://chat-conecta.recife.pe.gov.br/live/ZBbou7YupbZxyArLE"/>
        <s v="https://chat-conecta.recife.pe.gov.br/live/cs2MrjrBy8vZunfKh"/>
        <s v="https://chat-conecta.recife.pe.gov.br/live/AyLRnE89AkiQQzsLZ"/>
        <s v="https://chat-conecta.recife.pe.gov.br/live/iQSEHNW6crqvM4Mnj/room-info"/>
        <s v="https://chat-conecta.recife.pe.gov.br/live/6xwHoFqqeZwSNTdHN"/>
        <s v="https://chat-conecta.recife.pe.gov.br/live/wDYeBJpn8RrhjxpDn"/>
        <s v="https://chat-conecta.recife.pe.gov.br/live/GYNAPA5JtMhoFEyLp"/>
        <s v="https://chat-conecta.recife.pe.gov.br/live/KXDTHrk6hFwEJo6p9/members-list"/>
        <s v="https://chat-conecta.recife.pe.gov.br/live/Hftgsg8KRn8f7ZTTm"/>
        <s v="https://chat-conecta.recife.pe.gov.br/live/6uGnYZKe7dPCBfcda/room-info"/>
        <s v="https://chat-conecta.recife.pe.gov.br/live/MHHXCFcFC6TgKTm7B/members-list"/>
        <s v="https://chat-conecta.recife.pe.gov.br/live/nGahoHcB42nbpsGku/room-info"/>
        <s v="https://chat-conecta.recife.pe.gov.br/live/z8aYeTETgHR4DvXg7/members-list"/>
        <s v="https://chat-conecta.recife.pe.gov.br/live/Pa3tYyzWztXyKvCTB/user-info"/>
        <s v="https://chat-conecta.recife.pe.gov.br/live/eJcHbLnYHDocKBiSR/user-info"/>
        <s v="https://chat-conecta.recife.pe.gov.br/live/paZzmKEpLZFfiGpfu/room-info"/>
        <s v="https://chat-conecta.recife.pe.gov.br/live/Z7PqSB2psij7TCjuH/room-info"/>
        <s v="https://chat-conecta.recife.pe.gov.br/live/LKz9xSbMxFQ7xkwAo/user-info"/>
        <s v="https://chat-conecta.recife.pe.gov.br/live/iwAHdtfRmH9TTzmAw/room-info"/>
        <s v="https://chat-conecta.recife.pe.gov.br/live/hZzKY6jrRgThPXY8u"/>
        <s v="https://chat-conecta.recife.pe.gov.br/live/Hs5FfrFKw6yLukDWW"/>
        <s v="https://chat-conecta.recife.pe.gov.br/live/7YE9ueuABrCGehJfW/room-info"/>
        <s v="https://chat-conecta.recife.pe.gov.br/live/J9WdxttabqHSfKnkX"/>
        <s v="https://chat-conecta.recife.pe.gov.br/live/4svW7AAi2SvHBj9cv/members-list"/>
        <s v="https://chat-conecta.recife.pe.gov.br/live/apY8f73WDZ59ebcbd"/>
        <s v="https://chat-conecta.recife.pe.gov.br/live/weovKF9fJw8doQZav"/>
        <s v="https://chat-conecta.recife.pe.gov.br/live/xs663rB3w2XeTNiHr"/>
        <s v="https://chat-conecta.recife.pe.gov.br/live/pv9D5xWEavr4vBWPv"/>
        <s v="https://chat-conecta.recife.pe.gov.br/live/Z5Hf9iwR47RpxGMHn"/>
        <s v="https://chat-conecta.recife.pe.gov.br/live/5z7raoReSmZx4LpxT/room-info"/>
        <s v="https://chat-conecta.recife.pe.gov.br/live/CL8SCGdZPgfrTmeRY/room-info"/>
        <s v="https://chat-conecta.recife.pe.gov.br/live/Yig99BGWaKFcbhwAy"/>
        <s v="https://chat-conecta.recife.pe.gov.br/live/Tsu8ww9CmQfp8AwvY/room-info"/>
        <s v="https://chat-conecta.recife.pe.gov.br/live/i6K4D2gJxgSuqCspJ/room-info"/>
        <s v="https://chat-conecta.recife.pe.gov.br/live/6P33av7zHrKkmSAWA/room-info"/>
        <s v="https://chat-conecta.recife.pe.gov.br/live/ge3aiXhBuEdPXR3py/room-info"/>
        <s v="https://chat-conecta.recife.pe.gov.br/live/EWYva57EZJYEyAtaA/room-info"/>
        <s v="https://chat-conecta.recife.pe.gov.br/live/jjzJFHu5HKWSenYvB/room-info"/>
        <s v="https://chat-conecta.recife.pe.gov.br/live/mnm2CSQjZkAaKgowq"/>
        <s v="https://chat-conecta.recife.pe.gov.br/omnichannel-directory/chats/view/uAHg4sGcfTzmgyrsg"/>
        <s v="https://chat-conecta.recife.pe.gov.br/live/fe4LEnhvG7CjuwCAx"/>
        <s v="https://chat-conecta.recife.pe.gov.br/live/cudQseAHtdwBdScK8"/>
        <s v="https://chat-conecta.recife.pe.gov.br/live/AMyjBmtLPx4wZNWgD"/>
        <s v="https://chat-conecta.recife.pe.gov.br/live/KpxNL5ZHLjrBsa6AQ/user-info"/>
        <s v="https://chat-conecta.recife.pe.gov.br/live/erEbmKvMHiuJRuinA/room-info"/>
        <s v="https://chat-conecta.recife.pe.gov.br/live/erEbmKvMHiuJRuinA"/>
        <s v="https://chat-conecta.recife.pe.gov.br/live/aEXdfrgmC2w9HzWA3"/>
        <s v="https://chat-conecta.recife.pe.gov.br/live/tNfBKNMRN3Jj5Pcxu"/>
        <s v="https://chat-conecta.recife.pe.gov.br/live/aFXym8yzoM6Leevpd"/>
        <s v="https://chat-conecta.recife.pe.gov.br/live/8hAzthKS4t7FZafmp/members-list"/>
        <s v="https://chat-conecta.recife.pe.gov.br/live/SkRxmBDAhsNrp2P6w/room-info"/>
        <s v="https://chat-conecta.recife.pe.gov.br/live/SET4kirFrQQtntR9e"/>
        <s v="https://chat-conecta.recife.pe.gov.br/live/SET4kirFrQQtntR9e#&amp;gid=1&amp;pid=5"/>
        <s v="https://chat-conecta.recife.pe.gov.br/omnichannel-directory/chats/view/9ujTgc6JeaMJ9Ap6x"/>
        <s v="https://chat-conecta.recife.pe.gov.br/live/2PskQeJpo9TayW7bF/room-info"/>
        <s v="https://chat-conecta.recife.pe.gov.br/live/m6GEWExf2pFJZ3yYt"/>
        <s v="https://chat-conecta.recife.pe.gov.br/live/afuCLgXPJbu8sHABs"/>
        <s v="https://chat-conecta.recife.pe.gov.br/live/3R6nqANmqGxuaR336/user-info"/>
        <s v="https://chat-conecta.recife.pe.gov.br/live/Hx6uP5mHsMwoXDv48/room-info"/>
        <s v="https://chat-conecta.recife.pe.gov.br/live/5pi8XGggr3g7Ajoup/room-info"/>
        <s v="https://chat-conecta.recife.pe.gov.br/live/AHqMmspyxhpoesz7L"/>
        <s v="https://chat-conecta.recife.pe.gov.br/live/i2Rpkhm4e4cBbgqcQ/room-info"/>
        <s v="https://chat-conecta.recife.pe.gov.br/live/cKtdvZkhdC9SkACuF"/>
        <s v="https://chat-conecta.recife.pe.gov.br/live/rYYCoiFJkfYvtP3n5"/>
        <s v="https://chat-conecta.recife.pe.gov.br/live/3iY49JNegrjd6f4Za/user-info"/>
        <s v="https://chat-conecta.recife.pe.gov.br/live/DTuYC3s43M8x4T9nB/user-info"/>
        <s v="https://chat-conecta.recife.pe.gov.br/live/fSEnYLrKfrLNpQmnD/user-info"/>
        <s v="https://chat-conecta.recife.pe.gov.br/omnichannel-directory/chats/view/YRnqp7b9NEDBFJF2K"/>
        <s v="https://chat-conecta.recife.pe.gov.br/live/iFLjw8gboMxn9e7Dh#&amp;gid=1&amp;pid=3"/>
        <s v="https://chat-conecta.recife.pe.gov.br/live/fYKuHitqwFz4LghZz"/>
        <s v="https://chat-conecta.recife.pe.gov.br/live/Br5feW9vLbFSrDpGz"/>
        <s v="https://chat-conecta.recife.pe.gov.br/live/raDcP5gDyeD2TLk46"/>
        <s v="https://chat-conecta.recife.pe.gov.br/live/KxZK9qYrXzSafrJDe"/>
        <s v="https://chat-conecta.recife.pe.gov.br/live/tqt6dLp5FPvWf89Do"/>
        <s v="https://chat-conecta.recife.pe.gov.br/live/TcEMhs2iSYwvb44d3"/>
        <s v="https://chat-conecta.recife.pe.gov.br/live/qkAfNa4cTjo3P2n64"/>
        <s v="https://chat-conecta.recife.pe.gov.br/live/vXNCAe4wGm63hK4af"/>
        <s v="https://chat-conecta.recife.pe.gov.br/live/ehakjbjYg24RLyewm/user-info"/>
        <s v="https://chat-conecta.recife.pe.gov.br/home"/>
        <s v="https://chat-conecta.recife.pe.gov.br/live/S4bGfzQ2LufShqLqx"/>
        <s v="https://chat-conecta.recife.pe.gov.br/live/z4qadkRZcAaQY4YAp"/>
        <s v="https://chat-conecta.recife.pe.gov.br/live/TdunvEfpeKkuzNPaK/user-info"/>
        <s v="https://chat-conecta.recife.pe.gov.br/live/rc9DL2zSu7KgxgCJm"/>
        <s v="https://chat-conecta.recife.pe.gov.br/live/TdunvEfpeKkuzNPaK/room-info"/>
        <s v="https://chat-conecta.recife.pe.gov.br/live/WBieDPRdu69bTcJGM"/>
        <s v="https://chat-conecta.recife.pe.gov.br/live/mz8jxQa3fPJ6EgrnC"/>
        <s v="https://chat-conecta.recife.pe.gov.br/live/eEWau4MkfXtySRHdJ"/>
        <s v="https://chat-conecta.recife.pe.gov.br/live/XYBYaNsDvPth5EqjF/members-list"/>
        <s v="https://chat-conecta.recife.pe.gov.br/live/dHQF27r4Sw3ogbpP4/members-list"/>
        <s v="https://chat-conecta.recife.pe.gov.br/live/eCFzYihnWbjimYNA6"/>
        <s v="https://chat-conecta.recife.pe.gov.br/live/n5sTMpgL8Wg6ZF7ux/members-list"/>
        <s v="https://chat-conecta.recife.pe.gov.br/live/kvK4A7TfXKoRgbKp3"/>
        <s v="https://chat-conecta.recife.pe.gov.br/live/LTE8hYQNhXNShsrBD"/>
        <s v="https://chat-conecta.recife.pe.gov.br/live/GE3JpPzWDA2rKN58f/user-info"/>
        <s v="https://chat-conecta.recife.pe.gov.br/live/bbYcMRchGBaHdckDW"/>
        <s v="https://chat-conecta.recife.pe.gov.br/live/FJga4BrjgWwYfhrYA/room-info"/>
        <s v="https://chat-conecta.recife.pe.gov.br/live/FJga4BrjgWwYfhrYA/user-info"/>
        <s v="https://chat-conecta.recife.pe.gov.br/live/vsovcZFSBYmZjgTbZ/room-info"/>
        <s v="https://chat-conecta.recife.pe.gov.br/live/XNfDZK7XPL493ZAoa/room-info"/>
        <s v="https://chat-conecta.recife.pe.gov.br/live/2ZkFpYCRXKYzFaKME/user-info"/>
        <s v="https://chat-conecta.recife.pe.gov.br/live/2LaTqvuDXcAMxB88S/uploaded-files-list"/>
        <s v="https://chat-conecta.recife.pe.gov.br/live/ntTcP8qgcyv2xruan/user-info"/>
        <s v="https://chat-conecta.recife.pe.gov.br/live/w58JiJcbzk3muumdf/room-info"/>
        <s v="https://chat-conecta.recife.pe.gov.br/live/3nxL8LMwogha6y39P/user-info"/>
        <s v="https://chat-conecta.recife.pe.gov.br/live/nCEjwZYLDHcf45QXQ"/>
        <s v="https://chat-conecta.recife.pe.gov.br/live/6jBoww5kEg68LSPEa"/>
        <s v="https://chat-conecta.recife.pe.gov.br/live/yxZidqQXA6pLY7wno/room-info"/>
        <s v="https://chat-conecta.recife.pe.gov.br/live/p6GkZfRrSaEbFLwnJ/room-info"/>
        <s v="https://chat-conecta.recife.pe.gov.br/live/4uZpnJQ4H8EaHxf9v"/>
        <s v="https://chat-conecta.recife.pe.gov.br/live/pp2q8B6LDT2F47iGP/user-info"/>
        <s v="https://chat-conecta.recife.pe.gov.br/live/ZP3qke22fp9uQCsnc"/>
        <s v="https://chat-conecta.recife.pe.gov.br/live/y2KcN2MFrpsFpxBQu/user-info"/>
        <s v="https://chat-conecta.recife.pe.gov.br/live/QDjZuqS2qdNawah3N/user-info#&amp;gid=1&amp;pid=4"/>
        <s v="https://chat-conecta.recife.pe.gov.br/live/QMghrD6bDMZxTdFMi"/>
        <s v="https://chat-conecta.recife.pe.gov.br/live/SahDMccdbbaFYPnkP/members-list"/>
        <s v="https://chat-conecta.recife.pe.gov.br/live/3KgouvFrQ2ngeGhMm"/>
        <s v="https://chat-conecta.recife.pe.gov.br/live/4ifBMoYDYoAF3NoSm/members-list"/>
        <s v="https://chat-conecta.recife.pe.gov.br/live/fPwu5JZDC7waqsj9N"/>
        <s v="https://chat-conecta.recife.pe.gov.br/live/KwktoySQ2ofGftWAp/room-info"/>
        <s v="https://meet.google.com/zkn-skpm-kga"/>
        <s v="https://chat-conecta.recife.pe.gov.br/live/sFwkhjEFgTgLH2x8t"/>
        <s v="https://chat-conecta.recife.pe.gov.br/live/2b83aju9vYj8mY3q5/members-list"/>
        <s v="https://chat-conecta.recife.pe.gov.br/live/gFfnbRgNNBehpn8Ay/room-info"/>
        <s v="https://chat-conecta.recife.pe.gov.br/live/TBHDHxkwSdaGByiSL"/>
        <s v="https://chat-conecta.recife.pe.gov.br/live/QtGb9gii4sX393Bkd"/>
        <s v="https://chat-conecta.recife.pe.gov.br/live/JzGsxn9PgqTibdDsq/room-info"/>
        <s v="https://chat-conecta.recife.pe.gov.br/live/pC8H7M5LADJw36FnT"/>
        <s v="https://chat-conecta.recife.pe.gov.br/live/Zbgwpgqm4eorLbgaG/room-info"/>
        <s v="https://chat-conecta.recife.pe.gov.br/live/4FND74xdcyvesPnxC/user-info"/>
        <s v="https://chat-conecta.recife.pe.gov.br/live/gbk46mwGmZkBp5Kb4"/>
        <s v="https://chat-conecta.recife.pe.gov.br/live/WnX9coRh3pY62bxQC/contact-profile"/>
        <s v="https://chat-conecta.recife.pe.gov.br/live/riYrEZdu6iJH2GYFp"/>
        <s v="https://chat-conecta.recife.pe.gov.br/live/SYQSsPFz88DojgDkr"/>
        <s v="https://chat-conecta.recife.pe.gov.br/live/QQHB76xp4snCprhQe"/>
        <s v="https://chat-conecta.recife.pe.gov.br/live/RHdf6zARviW3RTZs7/room-info"/>
        <s v="https://chat-conecta.recife.pe.gov.br/live/sjp4fHCpZN2EdD6TF"/>
        <s v="https://chat-conecta.recife.pe.gov.br/live/p2vBwFrHyey6KJ8QS"/>
        <s v="https://chat-conecta.recife.pe.gov.br/live/z5uQiZpT6euzZFBE8"/>
        <s v="https://chat-conecta.recife.pe.gov.br/live/h3tcthEo7mP3uEaEP"/>
        <s v="https://chat-conecta.recife.pe.gov.br/live/NADNosEkTjceY7Haw"/>
        <s v="https://chat-conecta.recife.pe.gov.br/live/wfa9GqJJdGjRiWgMQ"/>
        <s v="https://chat-conecta.recife.pe.gov.br/live/px9DHTxRrRPFJmp7S/user-info"/>
        <s v="https://chat-conecta.recife.pe.gov.br/live/EMcanWTfPr6Ng4jXT/room-info"/>
        <s v="https://chat-conecta.recife.pe.gov.br/live/Sy46W4jsemsCMYgtx"/>
        <s v="https://chat-conecta.recife.pe.gov.br/live/LRsh5bpfvmMQFkw28/room-info"/>
        <s v="https://chat-conecta.recife.pe.gov.br/live/zYNniGJ7Yie65RXsD"/>
        <s v="https://chat-conecta.recife.pe.gov.br/live/dM2kPndQJAA5unEEG"/>
        <s v="https://chat-conecta.recife.pe.gov.br/live/n6W7QqcXPD3vFARLx"/>
        <s v="https://chat-conecta.recife.pe.gov.br/live/evxhWYwv3tS6Su4ng/room-info"/>
        <s v="https://chat-conecta.recife.pe.gov.br/live/2P2GffpuGdTo8fPuZ/user-info"/>
        <s v="https://chat-conecta.recife.pe.gov.br/live/cdezKR43nd7qaKTLR/room-info"/>
        <s v="https://chat-conecta.recife.pe.gov.br/live/vEmJokMMcRCuZcpJe"/>
        <s v="https://chat-conecta.recife.pe.gov.br/live/TmPirrjLAuzkkNfAd"/>
        <s v="https://chat-conecta.recife.pe.gov.br/live/ENfvChr3AFyNfFTF5"/>
        <s v="https://chat-conecta.recife.pe.gov.br/live/HzXvKzPZYoeLgwCNQ/user-info#&amp;gid=1&amp;pid=7"/>
        <s v="https://chat-conecta.recife.pe.gov.br/live/WTvhEhcSBfZmvMapq"/>
        <s v="https://chat-conecta.recife.pe.gov.br/live/WQjsu2vAdJxxMYepc"/>
        <s v="https://chat-conecta.recife.pe.gov.br/live/YGzHPYudmJwTFbPKc/room-info"/>
        <s v="https://chat-conecta.recife.pe.gov.br/live/6rQTMJBz8QNXJ2dWM/user-info"/>
        <s v="https://chat-conecta.recife.pe.gov.br/live/CQgs3L2stMHpDg2f5/user-info"/>
        <s v="https://chat-conecta.recife.pe.gov.br/live/vPCgH7z5oEurBMoR9"/>
        <s v="https://chat-conecta.recife.pe.gov.br/live/AtpMmBNsSsd5enMtp"/>
        <s v="https://chat-conecta.recife.pe.gov.br/live/tPQfXcGR3cW8DgN3x/user-info"/>
        <s v="https://chat-conecta.recife.pe.gov.br/live/hMFpmpb4XmmzZijYj"/>
        <s v="https://chat-conecta.recife.pe.gov.br/live/PS9ohphYmJs7ekBQC"/>
        <s v="https://chat-conecta.recife.pe.gov.br/live/Hukg4WMttHjaQfmua"/>
        <s v="https://chat-conecta.recife.pe.gov.br/live/NinevsZWkd7v7tjwM"/>
        <s v="https://chat-conecta.recife.pe.gov.br/live/Ak8ACWN7eEyjReRFB"/>
        <s v="https://chat-conecta.recife.pe.gov.br/live/Cvw4vTTyYDmSHdWDh/room-info"/>
        <s v="https://chat-conecta.recife.pe.gov.br/live/mGgiXxJAyqQtgm4uK/room-info"/>
        <s v="https://chat-conecta.recife.pe.gov.br/live/kptrbhaTzrK2ktr8A"/>
        <s v="https://chat-conecta.recife.pe.gov.br/live/7JTzz8yk2jZDFyJax"/>
        <s v="https://chat-conecta.recife.pe.gov.br/live/Pb5TZurtYb5jQtBtZ"/>
        <s v="https://chat-conecta.recife.pe.gov.br/live/N2Ph4b9paYK9MTEaN/uploaded-files-list"/>
        <s v="https://chat-conecta.recife.pe.gov.br/live/9eKDYs2n3T9BkNyqm/room-info"/>
        <s v="https://chat-conecta.recife.pe.gov.br/live/6GHMrL8i9sSiG3vea"/>
        <s v="https://chat-conecta.recife.pe.gov.br/live/DnzFR8wLjocHu8g8S/user-info"/>
        <s v="https://chat-conecta.recife.pe.gov.br/live/QMZMLNgNogRCAjf9z/room-info"/>
        <s v="https://chat-conecta.recife.pe.gov.br/live/q4Lqh5k3twcoQkHzd/user-info"/>
        <s v="https://chat-conecta.recife.pe.gov.br/live/7abZaadnTfuFeqXPE"/>
        <s v="https://chat-conecta.recife.pe.gov.br/live/W5JpNfn3g4cCTXGqy"/>
        <s v="https://chat-conecta.recife.pe.gov.br/live/MRFPaXmqffehdBh6a"/>
        <s v="https://chat-conecta.recife.pe.gov.br/live/5pD4oeWYp9P9SBztp"/>
        <s v="https://chat-conecta.recife.pe.gov.br/live/gAAN4dZFDbEejhCAx/user-info"/>
        <s v="https://chat-conecta.recife.pe.gov.br/live/kAvqhexneJWkGC9TD/user-info"/>
        <s v="https://chat-conecta.recife.pe.gov.br/live/ai3gqa3TxSHDrtEFS/user-info"/>
        <s v="https://chat-conecta.recife.pe.gov.br/live/s9iwo5z9PmJG9m8aP/user-info"/>
        <s v="https://chat-conecta.recife.pe.gov.br/live/3EXzH8GWoH3xqdZYt/room-info"/>
        <s v="https://chat-conecta.recife.pe.gov.br/live/kEKTHd5prXyRK3S5G/user-info"/>
        <s v="https://chat-conecta.recife.pe.gov.br/live/ikYgnHT7sy9wyw7ey/uploaded-files-list"/>
        <s v="https://chat-conecta.recife.pe.gov.br/live/asyNQWaZd4JqqPrdq"/>
        <s v="https://chat-conecta.recife.pe.gov.br/live/25jhQpavZtEnGo5aF/user-info"/>
        <s v="https://chat-conecta.recife.pe.gov.br/live/j4im6HCvysDEtbkmD/user-info"/>
        <s v="https://chat-conecta.recife.pe.gov.br/live/NEkvcPtG5wsDcJMSs"/>
        <s v="https://chat-conecta.recife.pe.gov.br/live/Zxu52bnSXjvwrH5uq/user-info"/>
        <s v="https://chat-conecta.recife.pe.gov.br/live/Bm4oDB4XkNbswdswE/user-info"/>
        <s v="https://chat-conecta.recife.pe.gov.br/live/XoAFTDcAwgYpiQYG8/contact-profile"/>
        <s v="https://chat-conecta.recife.pe.gov.br/live/KrgmYWN9T5MWHoe6i/user-info"/>
        <s v="https://chat-conecta.recife.pe.gov.br/live/YA7PGXog8CQx3cMbP/user-info"/>
        <s v="https://chat-conecta.recife.pe.gov.br/live/od6bjHeqe6hrumXao/room-info"/>
        <s v="https://chat-conecta.recife.pe.gov.br/live/gZQyeGQWkHrN4v3y8"/>
        <s v="https://chat-conecta.recife.pe.gov.br/live/2qcsxzkmHud6yC6xS"/>
        <s v="https://chat-conecta.recife.pe.gov.br/live/Nf58wxS2ZqosHdQKv"/>
        <s v="https://chat-conecta.recife.pe.gov.br/live/4753F3KtSvfevPb2A/user-info"/>
        <s v="https://chat-conecta.recife.pe.gov.br/live/9auyC4igp6ranYjno"/>
        <s v="https://chat-conecta.recife.pe.gov.br/live/8QZHNfWYfYBY5d3WN/user-info"/>
        <s v="https://chat-conecta.recife.pe.gov.br/live/EHtnE6sbcNpQyzBaC"/>
        <s v="https://chat-conecta.recife.pe.gov.br/live/ay7LhoFE426QwSKss"/>
        <s v="https://chat-conecta.recife.pe.gov.br/live/NhYQ4h4Dx4rAkJ4Qf/user-info"/>
        <s v="https://chat-conecta.recife.pe.gov.br/live/i3uhSft4dYh92Me9D/user-info"/>
        <s v="https://chat-conecta.recife.pe.gov.br/live/moBnukvQALRWdciJQ"/>
        <s v="https://chat-conecta.recife.pe.gov.br/live/R6Quiuv9X9TZet43i/room-info"/>
        <s v="https://chat-conecta.recife.pe.gov.br/live/GmpHMrNpYPAhk5Xwk/room-info"/>
        <s v="https://chat-conecta.recife.pe.gov.br/live/GeD6XYqdWxves5SmY/room-info"/>
        <s v="https://chat-conecta.recife.pe.gov.br/live/Muzwt7rfvePosaEDc/user-info"/>
        <s v="https://chat-conecta.recife.pe.gov.br/live/MHh2vSgFYtWZLYY8z/room-info"/>
        <s v="https://chat-conecta.recife.pe.gov.br/live/ggCbwmwJFmL9WkFAk"/>
        <s v="https://chat-conecta.recife.pe.gov.br/live/KuuEkXbvHqdxsyCXF/members-list"/>
        <s v="https://chat-conecta.recife.pe.gov.br/live/xpXmhirL8io26rffv/room-info#&amp;gid=1&amp;pid=5"/>
        <s v="https://chat-conecta.recife.pe.gov.br/live/nZ8xf4m7NG7pZxxDr/room-info"/>
        <s v="https://chat-conecta.recife.pe.gov.br/live/HrqqpdChi9dX3Ltcb/room-info"/>
        <s v="https://chat-conecta.recife.pe.gov.br/live/uHe4mKBqRAeWfA4wP/room-info"/>
        <s v="https://chat-conecta.recife.pe.gov.br/live/YDoPoFdKGedhJXJPi"/>
        <s v="https://chat-conecta.recife.pe.gov.br/live/Lxn8JgfrCpJPDJhxc"/>
        <s v="https://chat-conecta.recife.pe.gov.br/live/HQ6fdo5JeP47w4vod/room-info"/>
        <s v="https://chat-conecta.recife.pe.gov.br/live/yjtriDpr2RMjeoC9b/room-info"/>
        <s v="https://chat-conecta.recife.pe.gov.br/live/oG2z9vM5QSw6zrRAS/members-list"/>
        <s v="https://chat-conecta.recife.pe.gov.br/live/nDYcwrSgZvQiTHymH/room-info#&amp;gid=1&amp;pid=3"/>
        <s v="https://chat-conecta.recife.pe.gov.br/live/kq7N7Q8tk6tTJ4CKL"/>
        <s v="https://chat-conecta.recife.pe.gov.br/live/yLuFbzRfShcepYTrr"/>
        <s v="https://chat-conecta.recife.pe.gov.br/live/R5njmNWXy5JEp8tJN"/>
        <s v="https://chat-conecta.recife.pe.gov.br/live/B4GQcxZc6ibuhGshW/user-info"/>
        <s v="https://chat-conecta.recife.pe.gov.br/live/6xfmkWKrzGJh8rWaw"/>
        <s v="https://chat-conecta.recife.pe.gov.br/live/ix7ZKELXkkk5xSxiM"/>
        <s v="https://chat-conecta.recife.pe.gov.br/live/Qq6PCyv6qfSF2Fnz9/room-info"/>
        <s v="https://chat-conecta.recife.pe.gov.br/live/h75KyQ2xMyFt7JW8e/room-info"/>
        <s v="https://chat-conecta.recife.pe.gov.br/live/WKtEkDzzyAALsJ7wG/user-info"/>
        <s v="https://chat-conecta.recife.pe.gov.br/live/nmndfFBEZbChWqFfs"/>
        <s v="https://chat-conecta.recife.pe.gov.br/live/Gk9zyRGqPAcBuR34g/room-info"/>
        <s v="https://chat-conecta.recife.pe.gov.br/live/9kBiBZ93vnRuMbfbo/room-info"/>
        <s v="https://chat-conecta.recife.pe.gov.br/live/6raoowi89PgCn9Wi6/user-info"/>
        <s v="https://chat-conecta.recife.pe.gov.br/live/gAkvXg8mJAKtrQx8R/room-info#&amp;gid=1&amp;pid=2"/>
        <s v="https://chat-conecta.recife.pe.gov.br/live/gu2QSnrH47D55vCnG"/>
        <s v="https://chat-conecta.recife.pe.gov.br/live/zq5fqKf2RpbyXkerK/room-info"/>
        <s v="https://chat-conecta.recife.pe.gov.br/live/5HynbX9SdHkiJYXiA/room-info"/>
        <s v="https://chat-conecta.recife.pe.gov.br/live/ae7etZMMJ6XtuTYcP"/>
        <s v="https://chat-conecta.recife.pe.gov.br/live/9GxprWMrsBbcmjRhC"/>
        <s v="https://chat-conecta.recife.pe.gov.br/live/RGaWmd7GJBjj4oGJk/user-info"/>
        <s v="https://chat-conecta.recife.pe.gov.br/omnichannel-directory/chats/view/f45aSh8RtYx7FxwXw"/>
        <s v="https://chat-conecta.recife.pe.gov.br/live/J8ttWX3qJgnKGdiC5"/>
        <s v="https://chat-conecta.recife.pe.gov.br/live/y3AQ6JiMfT5fvpXb7"/>
        <s v="https://chat-conecta.recife.pe.gov.br/live/88XG4JuNvu3ZukgTQ"/>
        <s v="https://chat-conecta.recife.pe.gov.br/live/9SKGxq5TQMbGT5T56"/>
        <s v="https://chat-conecta.recife.pe.gov.br/live/3AePyaDTPgwXjSFay/user-info"/>
        <s v="https://chat-conecta.recife.pe.gov.br/live/MTGFFfBuwQMXCJPaE"/>
        <s v="https://chat-conecta.recife.pe.gov.br/live/tJTBYvJ5HMiGecifh"/>
        <s v="https://chat-conecta.recife.pe.gov.br/live/HGZ3DQBgBnRdWDc5C"/>
        <s v="https://chat-conecta.recife.pe.gov.br/live/Zb2cjYzfCsb4wLB5F"/>
        <s v="https://chat-conecta.recife.pe.gov.br/live/4gMyuFaa7aSYhj6eF/user-info"/>
        <s v="https://chat-conecta.recife.pe.gov.br/live/hqiLiw458hC7NJJm4"/>
        <s v="https://chat-conecta.recife.pe.gov.br/live/2j57WkKhuudQcc7ab/user-info"/>
        <s v="https://chat-conecta.recife.pe.gov.br/live/FcXJqZXruSJgkWMBS/room-info"/>
        <s v="https://chat-conecta.recife.pe.gov.br/live/EE5LNassRTcR2pHgL"/>
        <s v="https://chat-conecta.recife.pe.gov.br/live/tvTDmobXyKjnGFwd5"/>
        <s v="https://chat-conecta.recife.pe.gov.br/live/qX85kciwKt9H5moLp"/>
        <s v="https://chat-conecta.recife.pe.gov.br/live/a4ww4m4HSfQW73T8u/room-info"/>
        <s v="https://chat-conecta.recife.pe.gov.br/live/voWj38eRFWBtmJxiA"/>
        <s v="https://chat-conecta.recife.pe.gov.br/live/9uvebE7k2Adfs9LQx/user-info#&amp;gid=1&amp;pid=2"/>
        <s v="https://chat-conecta.recife.pe.gov.br/live/M8DHagAESdmdGnqxt"/>
        <s v="https://chat-conecta.recife.pe.gov.br/live/uzFZx8uLgRQzEA2QM/user-info"/>
        <s v="https://chat-conecta.recife.pe.gov.br/live/EQY5Kp3mgLJkycH2C/members-list"/>
        <s v="https://chat-conecta.recife.pe.gov.br/live/4QtagmZbiS5FCMijX/room-info"/>
        <s v="https://chat-conecta.recife.pe.gov.br/live/odPtAEvpaxnNQ2w8i/room-info"/>
        <s v="https://chat-conecta.recife.pe.gov.br/live/3ksJ3mqXxYfvbRNbB/room-info"/>
        <s v="https://chat-conecta.recife.pe.gov.br/live/swyw2a96qRenApvdF"/>
        <s v="https://chat-conecta.recife.pe.gov.br/live/NBp3nmmdBeYYmmbbs/members-list"/>
        <s v="https://chat-conecta.recife.pe.gov.br/live/ndzjiW2RYtRmpozs8"/>
        <s v="https://chat-conecta.recife.pe.gov.br/live/XXCeBddGZWt5RzRNr"/>
        <s v="https://chat-conecta.recife.pe.gov.br/live/yaS3N3sFak2ZLyCGW"/>
        <s v="https://chat-conecta.recife.pe.gov.br/live/XXCeBddGZWt5RzRNr/room-info"/>
        <s v="https://chat-conecta.recife.pe.gov.br/live/xJtJMAqW2tzACRjqG/room-info"/>
        <s v="https://chat-conecta.recife.pe.gov.br/live/tNt8TfGyEmano7FLq"/>
        <s v="https://chat-conecta.recife.pe.gov.br/live/Z237t8NQozaYLmADw"/>
        <s v="https://chat-conecta.recife.pe.gov.br/live/4KGrqAypaKgHiXCYj"/>
        <s v="https://chat-conecta.recife.pe.gov.br/live/pQEzNrwBbi2CCWaxu/user-info"/>
        <s v="https://chat-conecta.recife.pe.gov.br/live/LwSC57fks9qxDYkoM"/>
        <s v="https://chat-conecta.recife.pe.gov.br/live/8NZAynBdhZkSBpoDX/room-info"/>
        <s v="https://chat-conecta.recife.pe.gov.br/live/36HhPcAb5oNefXaKW/room-info"/>
        <s v="https://chat-conecta.recife.pe.gov.br/live/zgRNdosRghT9zjAzK/room-info"/>
        <s v="https://chat-conecta.recife.pe.gov.br/live/9BaK85dFZHeruKhvM/user-info"/>
        <s v="https://chat-conecta.recife.pe.gov.br/live/aB6Bc2BuRbP385Hrj/members-list"/>
        <s v="https://chat-conecta.recife.pe.gov.br/live/NH47SRKWMjAAXsuJr/user-info"/>
        <s v="https://chat-conecta.recife.pe.gov.br/live/BFAvRxBRfPHLX7hHr"/>
        <s v="https://chat-conecta.recife.pe.gov.br/live/n9ABbnNYdbt4p42vz/room-info"/>
        <s v="https://chat-conecta.recife.pe.gov.br/live/ThTFqPxtDCEYGD8t4"/>
        <s v="https://chat-conecta.recife.pe.gov.br/live/ThTFqPxtDCEYGD8t4/room-info"/>
        <s v="https://chat-conecta.recife.pe.gov.br/live/vZk9AxnuiFtsuMBMZ/room-info"/>
        <s v="https://chat-conecta.recife.pe.gov.br/live/CXL24YQuscqSFgfkX"/>
        <s v="https://chat-conecta.recife.pe.gov.br/live/MS26ufXrEAA7AszpS"/>
        <s v="https://chat-conecta.recife.pe.gov.br/live/GgCYzpBQnPCKfsExM"/>
        <s v="https://chat-conecta.recife.pe.gov.br/live/G7TdNyTgvuvPYupGv/room-info"/>
        <s v="https://chat-conecta.recife.pe.gov.br/live/hHzCQk6747Nio5r28/room-info"/>
        <s v="https://chat-conecta.recife.pe.gov.br/live/6BhhebnXknFpimzM5"/>
        <s v="https://chat-conecta.recife.pe.gov.br/live/iMbRMgaYi57tfyLMe/room-info"/>
        <s v="https://chat-conecta.recife.pe.gov.br/live/XECA87aSgNfGBsPzr"/>
        <s v="https://chat-conecta.recife.pe.gov.br/live/jaWmSM8YGBE5bwnEL"/>
        <s v="https://chat-conecta.recife.pe.gov.br/live/f8RiEH3LP5b6hCu7f/user-info"/>
        <s v="https://chat-conecta.recife.pe.gov.br/live/c7igo4j4vdqWc2WHj/user-info"/>
        <s v="https://chat-conecta.recife.pe.gov.br/live/P5JEvc39PsTFP6dRy/user-info"/>
        <s v="https://chat-conecta.recife.pe.gov.br/live/irzdipYdciuzFkvoJ"/>
        <s v="https://chat-conecta.recife.pe.gov.br/live/EfwFjDrh8mbyqLxsp/room-info"/>
        <s v="https://chat-conecta.recife.pe.gov.br/live/4JD82cTjkLvB3Jj9Y/room-info"/>
        <s v="https://chat-conecta.recife.pe.gov.br/live/bpixz7bWhnQuxmQNN"/>
        <s v="https://chat-conecta.recife.pe.gov.br/live/Zt3rrbFKSBdxzRXZ8"/>
        <s v="https://chat-conecta.recife.pe.gov.br/live/szsD6iQ8WF6uKhHn2/room-info"/>
        <s v="https://chat-conecta.recife.pe.gov.br/live/Gmiz7uGtbh9ZL865d/room-info"/>
        <s v="https://chat-conecta.recife.pe.gov.br/live/Nm3vDZ5xGCvujHKoS/user-info"/>
        <s v="https://chat-conecta.recife.pe.gov.br/live/SCJ5L23fou3xmRi7x"/>
        <s v="https://chat-conecta.recife.pe.gov.br/live/9ntRneC5QPRWSPfJx/room-info"/>
        <s v="https://chat-conecta.recife.pe.gov.br/live/gu8TxfguPGrWHewqo"/>
        <s v="https://chat-conecta.recife.pe.gov.br/live/SiRKmmdwdiDBsqoKa/user-info"/>
        <s v="https://chat-conecta.recife.pe.gov.br/live/n9vFtbtZye6oWQbns/room-info"/>
        <s v="https://chat-conecta.recife.pe.gov.br/live/MjMHvvSzb5d99Eu9y"/>
        <s v="https://chat-conecta.recife.pe.gov.br/live/aSvJDCgm3ryeQ847n"/>
        <s v="https://chat-conecta.recife.pe.gov.br/live/SWj69vmkjrSCFTjgx"/>
        <s v="https://chat-conecta.recife.pe.gov.br/live/oWbd3xLrEzRycFbxt"/>
        <s v="https://chat-conecta.recife.pe.gov.br/live/dSHFc5ah9SQ7FCCRz/user-info"/>
        <s v="https://chat-conecta.recife.pe.gov.br/live/wKHtBzpehps2Rpshe"/>
        <s v="https://chat-conecta.recife.pe.gov.br/live/TDxrAmsnn7nJGGvtP"/>
        <s v="https://chat-conecta.recife.pe.gov.br/live/tLboSd8oieAL4vaD3/room-info"/>
        <s v="https://chat-conecta.recife.pe.gov.br/live/SKbFyD84FFG2az7x8/user-info"/>
        <s v="https://chat-conecta.recife.pe.gov.br/live/pDc5fenzyGNH3uHNg/room-info"/>
        <s v="https://chat-conecta.recife.pe.gov.br/live/mAT86vz7XtS3rYJR2/room-info"/>
        <s v="https://chat-conecta.recife.pe.gov.br/live/qt5H6oQ82ACSYmC2G"/>
        <s v="https://chat-conecta.recife.pe.gov.br/live/qt5H6oQ82ACSYmC2G/contact-profile"/>
        <s v="https://chat-conecta.recife.pe.gov.br/live/pAAr9hk3Sih9wAgni"/>
        <s v="https://chat-conecta.recife.pe.gov.br/live/a9583jGBHLfn8HEQg/room-info"/>
        <s v="https://chat-conecta.recife.pe.gov.br/live/cy8YAqeoSBaTMNPfz"/>
        <s v="https://chat-conecta.recife.pe.gov.br/live/iRfCAPrFxs4itj35N"/>
        <s v="https://chat-conecta.recife.pe.gov.br/live/zDyKBTKQQQEiP8YBc"/>
        <s v="https://chat-conecta.recife.pe.gov.br/live/w3GekCtqXHGEroEvA/user-info"/>
        <s v="https://chat-conecta.recife.pe.gov.br/live/kdovYu9zKiR78hpiN"/>
        <s v="https://chat-conecta.recife.pe.gov.br/live/N8ohjRZ5iHoMF9qgF/user-info"/>
        <s v="https://chat-conecta.recife.pe.gov.br/live/BeJK4HzjJbJQMC74Q/room-info"/>
        <s v="https://chat-conecta.recife.pe.gov.br/live/Zw7iqr7gyxX3nMhfJ"/>
        <s v="https://chat-conecta.recife.pe.gov.br/live/LFMopf5EWNkZGqrir/user-info"/>
        <s v="https://chat-conecta.recife.pe.gov.br/live/nqpyCQ3YkJafAWX2W/members-list"/>
        <s v="https://chat-conecta.recife.pe.gov.br/live/8Q9kXLjfzaoTBbLjv/user-info"/>
        <s v="https://chat-conecta.recife.pe.gov.br/live/iwkhY4WqcFZBRwx4e"/>
        <s v="https://chat-conecta.recife.pe.gov.br/live/Rep4Gfxh3bGMunJ3T/room-info"/>
        <s v="https://chat-conecta.recife.pe.gov.br/live/ioeSwQsHx96AsjnZZ/room-info"/>
        <s v="https://chat-conecta.recife.pe.gov.br/live/dahYTy8fMpsFfW9DB/room-info"/>
        <s v="https://chat-conecta.recife.pe.gov.br/live/C8Yhcsh7NCMhNpLSW/user-info"/>
        <s v="https://chat-conecta.recife.pe.gov.br/live/suAdkvhHvWkCZSWZQ/user-info"/>
        <s v="https://chat-conecta.recife.pe.gov.br/live/RGwLiA5B6WrmvMmfm/user-info"/>
        <s v="https://chat-conecta.recife.pe.gov.br/live/n4BKe9GfBkeNqK3iw"/>
        <s v="https://chat-conecta.recife.pe.gov.br/live/qjgRwZzCJm7NpokvD"/>
        <s v="https://chat-conecta.recife.pe.gov.br/live/M38yM7RzhPBcnhTYa/user-info"/>
        <s v="https://chat-conecta.recife.pe.gov.br/live/p9CNhgAmskxkjqebY/user-info"/>
        <s v="https://chat-conecta.recife.pe.gov.br/live/dDq7dEaCqFipf9vmG"/>
        <s v="https://chat-conecta.recife.pe.gov.br/live/WDT2Fc683wyNam8nS/room-info#&amp;gid=1&amp;pid=3"/>
        <s v="https://chat-conecta.recife.pe.gov.br/live/LZTFc7E5vJQKjwPfi/user-info"/>
        <s v="https://chat-conecta.recife.pe.gov.br/live/86R4KShPN3G5hfBAy"/>
        <s v="https://chat-conecta.recife.pe.gov.br/live/yiY3ZpiSMBcDZiNht/members-list"/>
        <s v="https://chat-conecta.recife.pe.gov.br/live/zPW7S5a9bKyQFSxF6/room-info"/>
        <s v="https://chat-conecta.recife.pe.gov.br/live/NPfqCSuNt2DDzNgLn"/>
        <s v="https://chat-conecta.recife.pe.gov.br/live/oGH94CCqu6nP3SYwQ/room-info"/>
        <s v="https://chat-conecta.recife.pe.gov.br/live/jDudnREXvvCbrcKxS/user-info"/>
        <s v="https://chat-conecta.recife.pe.gov.br/direct/JqDiChnx3q5b6JYt5TQcuSEArNi4YqW2MZ"/>
        <s v="https://chat-conecta.recife.pe.gov.br/live/SiBvyBMwEDJe5Awgv/user-info"/>
        <s v="https://chat-conecta.recife.pe.gov.br/live/BQrofuawLzq9hSffu/room-info"/>
        <s v="https://chat-conecta.recife.pe.gov.br/live/9G2xJLjeMHJhAAKMm/user-info"/>
        <s v="https://chat-conecta.recife.pe.gov.br/live/rn4GpN6FoSbspp6Fz"/>
        <s v="https://chat-conecta.recife.pe.gov.br/live/2bL3fx6mPZnxyd6na/room-info"/>
        <s v="https://chat-conecta.recife.pe.gov.br/live/WApNrz3K6aa8cXpC3"/>
        <s v="https://chat-conecta.recife.pe.gov.br/live/8tzamN7wbdQPpzDHd/room-info"/>
        <s v="https://chat-conecta.recife.pe.gov.br/live/FELS5sdARpBuD8jyn"/>
        <s v="https://chat-conecta.recife.pe.gov.br/live/q8oEvo9QQsy76MeEc/user-info"/>
        <s v="https://chat-conecta.recife.pe.gov.br/live/RdasYAmKuFQQnL7cu/room-info"/>
        <s v="https://chat-conecta.recife.pe.gov.br/live/TE2qhzyKvuX8jjxwn/room-info"/>
        <s v="https://chat-conecta.recife.pe.gov.br/live/TE2qhzyKvuX8jjxwn/user-info"/>
        <s v="https://chat-conecta.recife.pe.gov.br/live/RdasYAmKuFQQnL7cu/members-list"/>
        <s v="https://chat-conecta.recife.pe.gov.br/live/GHvrDD4ZBXdyy8mR7/user-info"/>
        <s v="https://chat-conecta.recife.pe.gov.br/live/EjM4ydqyTRrgu7QgL/room-info"/>
        <s v="https://chat-conecta.recife.pe.gov.br/live/bDpZL6bxbZLvqjpbv/user-info"/>
        <s v="https://chat-conecta.recife.pe.gov.br/live/LJQ68yNxuZKQFhqNa"/>
        <s v="https://chat-conecta.recife.pe.gov.br/live/esjcEcd8NsSvmfDTx"/>
        <s v="https://chat-conecta.recife.pe.gov.br/live/3i8GDcP74euvyRq4y/user-info"/>
        <s v="https://chat-conecta.recife.pe.gov.br/live/YPTtEWNCoR3MAMJnK/user-info"/>
        <s v="https://chat-conecta.recife.pe.gov.br/live/6oRFbYZ982SuGG7y5/user-info"/>
        <s v="https://chat-conecta.recife.pe.gov.br/live/3KGQ6uXXWrcejMkcx"/>
        <s v="https://chat-conecta.recife.pe.gov.br/live/bDTy44WhXchXergXn"/>
        <s v="https://chat-conecta.recife.pe.gov.br/live/tJpBn7MqFqbp2e3kS"/>
        <s v="https://chat-conecta.recife.pe.gov.br/live/C7oqL2ud3MZt2u3hn/user-info"/>
        <s v="https://chat-conecta.recife.pe.gov.br/live/RyFSFhNSGGHNRf7sv"/>
        <s v="https://chat-conecta.recife.pe.gov.br/live/W7DrXGZKt43eWc7iR/user-info"/>
        <s v="https://chat-conecta.recife.pe.gov.br/live/nNTApPW98vGd25PDa/room-info"/>
        <s v="https://chat-conecta.recife.pe.gov.br/live/L2BfMcxxapK6jv2vj/user-info"/>
        <s v="https://chat-conecta.recife.pe.gov.br/live/TXrK4iYuBpRsCvb3S/user-info"/>
        <s v="https://chat-conecta.recife.pe.gov.br/live/f9CJ9fpwKdydNazEG/room-info"/>
        <s v="https://chat-conecta.recife.pe.gov.br/live/SiXEkNyhYPexDRTYB/room-info"/>
        <s v="https://chat-conecta.recife.pe.gov.br/live/REAFdqte2DKN4QpLP/room-info"/>
        <s v="https://chat-conecta.recife.pe.gov.br/live/zYgtdJFJ3rJJACTvY/user-info"/>
        <s v="https://chat-conecta.recife.pe.gov.br/live/rkDpTrAb2zbsZZtEn/room-info"/>
        <s v="https://chat-conecta.recife.pe.gov.br/live/HC8js47RFGjMnqrgo/room-info"/>
        <s v="https://chat-conecta.recife.pe.gov.br/live/eN55dtLrcue6ioXq6/room-info"/>
        <s v="https://chat-conecta.recife.pe.gov.br/live/uRmrzRFMFLpwi627A/room-info"/>
        <s v="https://chat-conecta.recife.pe.gov.br/live/irRDQxrq8Wt5xQkxs/room-info"/>
        <s v="https://chat-conecta.recife.pe.gov.br/live/QgyfPRR29Fw4fxpBr"/>
        <s v="https://chat-conecta.recife.pe.gov.br/live/TSDPJpdEARmRSkntZ/room-info"/>
        <s v="https://chat-conecta.recife.pe.gov.br/live/o4i274noExP4KFtZD#&amp;gid=1&amp;pid=4"/>
        <s v="https://chat-conecta.recife.pe.gov.br/live/M5AJwqY9hTP9hsbzn/room-info"/>
        <s v="https://chat-conecta.recife.pe.gov.br/live/wKzKnY2JEsvez7qTe/room-info"/>
        <s v="https://chat-conecta.recife.pe.gov.br/live/mDSscMFhtKxSRk8wM/room-info"/>
        <s v="https://chat-conecta.recife.pe.gov.br/live/HvG3Hf6MtQt96AqC5"/>
        <s v="https://chat-conecta.recife.pe.gov.br/live/Wv4wZsCDqMyrkzAHt/room-info"/>
        <s v="https://chat-conecta.recife.pe.gov.br/live/dmHQswBy5gDbErr3h/room-info"/>
        <s v="https://chat-conecta.recife.pe.gov.br/direct/TQcuSEArNi4YqW2MZrD7nzdMcrwARnnswP"/>
        <s v="https://chat-conecta.recife.pe.gov.br/live/GczgX5YLhyZj3MdrT/room-info"/>
        <s v="https://chat-conecta.recife.pe.gov.br/live/gw8z9yc5S5BxidyoK"/>
        <s v="https://chat-conecta.recife.pe.gov.br/omnichannel-directory/chats/view/XtDv9XtgshTPFwR5i"/>
        <s v="https://chat-conecta.recife.pe.gov.br/live/wzbTkDnqRDE3x5qfA"/>
        <s v="https://chat-conecta.recife.pe.gov.br/live/r5niX7Txd6au46Djc"/>
        <s v="https://chat-conecta.recife.pe.gov.br/live/GK3DuFZokjHkRm9PR"/>
        <s v="https://chat-conecta.recife.pe.gov.br/live/4K83cYoqZJMWkoopL/room-info"/>
        <s v="https://chat-conecta.recife.pe.gov.br/live/Egynxpvsz5BiZmNte"/>
        <s v="https://chat-conecta.recife.pe.gov.br/omnichannel-directory/chats/view/eZNCqLDwhnaSogywR/room-info"/>
        <s v="https://chat-conecta.recife.pe.gov.br/live/SpYsRE7QmAuqDZinD/contact-chat-history"/>
        <s v="https://chat-conecta.recife.pe.gov.br/live/59rCpymG9MbtoYKFp/room-info"/>
        <s v="https://chat-conecta.recife.pe.gov.br/live/aWL3dzB4mDB6cLWQk/room-info"/>
        <s v="https://chat-conecta.recife.pe.gov.br/live/HE9wg335DEGEnuXK9/user-info"/>
        <s v="https://chat-conecta.recife.pe.gov.br/live/kbEASpjrpZ9fd5iNP/user-info"/>
        <s v="https://chat-conecta.recife.pe.gov.br/live/H47ENv8Tx2LEoGPjL/room-info"/>
        <s v="https://chat-conecta.recife.pe.gov.br/live/9WvickZjiJEQELaF2/members-list"/>
        <s v="https://chat-conecta.recife.pe.gov.br/live/yxCf8Ao3nfiWcZMvT"/>
        <s v="https://chat-conecta.recife.pe.gov.br/live/W7Jw76qsWbDu7j4RB"/>
        <s v="https://chat-conecta.recife.pe.gov.br/live/5XPj5pAaCE7Zx7NLg/user-info"/>
        <s v="https://chat-conecta.recife.pe.gov.br/live/D8RLp69xF28EwFneB/user-info"/>
        <s v="https://chat-conecta.recife.pe.gov.br/live/KLTjRkqg2xoM6TZut"/>
        <s v="https://chat-conecta.recife.pe.gov.br/live/7fEWjjB9PTSzaizwQ"/>
        <s v="https://chat-conecta.recife.pe.gov.br/live/mLGoK8riyYGXLS6Bw/room-info"/>
        <s v="https://chat-conecta.recife.pe.gov.br/live/7v873YBzShCTMkQLW"/>
        <s v="https://chat-conecta.recife.pe.gov.br/live/t9hA4JHWvY2MsFqt3/user-info"/>
        <s v="https://chat-conecta.recife.pe.gov.br/live/EYi5wMbSFtekfQLeW/room-info"/>
        <s v="https://chat-conecta.recife.pe.gov.br/live/NzuAX2fuDvLNid6Pm"/>
        <s v="https://chat-conecta.recife.pe.gov.br/live/wYhjtz5PLqkCoEeve"/>
        <s v="https://chat-conecta.recife.pe.gov.br/live/4nLmynik4jnDFXCHS"/>
        <s v="https://chat-conecta.recife.pe.gov.br/live/RQhZJYSuCyt8TK4KW/room-info"/>
        <s v="https://chat-conecta.recife.pe.gov.br/live/hbKHmedcAsJqBWZjw/user-info"/>
        <s v="https://chat-conecta.recife.pe.gov.br/live/bgDhgvtu4L7BYDax3/room-info"/>
        <s v="https://chat-conecta.recife.pe.gov.br/live/fJLEc8JKRAvGSRiT7"/>
        <s v="https://chat-conecta.recife.pe.gov.br/live/ugo5ocfiD2PFjBbTn/members-list"/>
        <s v="https://chat-conecta.recife.pe.gov.br/live/SktjE7pqwaEK5btiG/room-info"/>
        <s v="https://chat-conecta.recife.pe.gov.br/live/mLpGEgPv4gYrGFA27/user-info"/>
        <s v="https://chat-conecta.recife.pe.gov.br/live/xMXigdLeLCZeaCRFA/user-info"/>
        <s v="https://chat-conecta.recife.pe.gov.br/live/jiCMh3NCYdMzxQkwr/room-info"/>
        <s v="https://chat-conecta.recife.pe.gov.br/live/HDPy7hR8Rn4FKRLzR/uploaded-files-list"/>
      </sharedItems>
    </cacheField>
    <cacheField name="Mora em área de cobertura da ESF?" numFmtId="0">
      <sharedItems containsBlank="1" count="4">
        <m/>
        <s v="Sim"/>
        <s v="Não"/>
        <s v="Sim, ESF Incompleta (PACs/EACs)"/>
      </sharedItems>
    </cacheField>
    <cacheField name="Raça/cor" numFmtId="0">
      <sharedItems containsBlank="1" count="7">
        <m/>
        <s v="Branca"/>
        <s v="Parda"/>
        <s v="Preta"/>
        <s v="Amarela"/>
        <s v="Ignorado"/>
        <s v="Não questionado"/>
      </sharedItems>
    </cacheField>
    <cacheField name="Data de nascimento" numFmtId="0">
      <sharedItems containsBlank="1" containsDate="1" containsMixedTypes="1" count="722">
        <m/>
        <d v="1987-01-22T00:00:00"/>
        <d v="1998-01-08T00:00:00"/>
        <d v="1995-08-08T00:00:00"/>
        <d v="1993-03-01T00:00:00"/>
        <d v="2003-07-17T00:00:00"/>
        <d v="1995-08-17T00:00:00"/>
        <d v="2004-12-26T00:00:00"/>
        <d v="2004-10-26T00:00:00"/>
        <d v="1983-03-19T00:00:00"/>
        <d v="1985-10-16T00:00:00"/>
        <d v="1997-02-01T00:00:00"/>
        <s v="2/1/0997"/>
        <d v="2000-02-07T00:00:00"/>
        <d v="1991-10-14T00:00:00"/>
        <d v="1997-06-07T00:00:00"/>
        <d v="2000-12-08T00:00:00"/>
        <d v="2002-08-06T00:00:00"/>
        <d v="1997-01-15T00:00:00"/>
        <d v="1998-04-27T00:00:00"/>
        <d v="1997-06-21T00:00:00"/>
        <d v="1994-09-07T00:00:00"/>
        <d v="1997-02-24T00:00:00"/>
        <d v="1995-05-11T00:00:00"/>
        <d v="1990-06-22T00:00:00"/>
        <d v="1997-04-10T00:00:00"/>
        <d v="1998-01-18T00:00:00"/>
        <d v="2001-10-28T00:00:00"/>
        <d v="1997-07-18T00:00:00"/>
        <d v="1994-07-09T00:00:00"/>
        <d v="1985-05-18T00:00:00"/>
        <d v="1988-10-02T00:00:00"/>
        <d v="1994-11-25T00:00:00"/>
        <d v="1999-11-12T00:00:00"/>
        <d v="1994-07-06T00:00:00"/>
        <d v="2000-07-12T00:00:00"/>
        <d v="1981-04-14T00:00:00"/>
        <d v="1992-01-26T00:00:00"/>
        <d v="1994-06-23T00:00:00"/>
        <d v="1996-01-25T00:00:00"/>
        <d v="1997-10-13T00:00:00"/>
        <d v="1993-12-02T00:00:00"/>
        <d v="2003-06-30T00:00:00"/>
        <d v="1999-02-07T00:00:00"/>
        <d v="1993-12-16T00:00:00"/>
        <d v="1989-04-23T00:00:00"/>
        <d v="1995-03-17T00:00:00"/>
        <d v="1991-10-03T00:00:00"/>
        <d v="1996-07-06T00:00:00"/>
        <d v="1991-10-08T00:00:00"/>
        <d v="1993-12-19T00:00:00"/>
        <d v="1995-05-25T00:00:00"/>
        <d v="2000-10-07T00:00:00"/>
        <d v="2023-03-30T00:00:00"/>
        <d v="1998-11-10T00:00:00"/>
        <d v="2000-09-18T00:00:00"/>
        <d v="2003-06-01T00:00:00"/>
        <d v="1996-06-08T00:00:00"/>
        <d v="1985-09-26T00:00:00"/>
        <s v="3/17/1195"/>
        <d v="1997-09-21T00:00:00"/>
        <d v="1992-12-29T00:00:00"/>
        <d v="1989-06-15T00:00:00"/>
        <d v="1985-08-07T00:00:00"/>
        <d v="2002-07-03T00:00:00"/>
        <d v="2000-07-18T00:00:00"/>
        <d v="1984-01-16T00:00:00"/>
        <d v="1997-06-04T00:00:00"/>
        <d v="1994-02-01T00:00:00"/>
        <d v="1999-02-02T00:00:00"/>
        <d v="2002-04-18T00:00:00"/>
        <d v="1992-05-17T00:00:00"/>
        <d v="1999-03-27T00:00:00"/>
        <d v="1995-05-06T00:00:00"/>
        <d v="1993-12-23T00:00:00"/>
        <d v="2002-12-19T00:00:00"/>
        <d v="1990-06-06T00:00:00"/>
        <d v="1991-12-14T00:00:00"/>
        <d v="1996-06-04T00:00:00"/>
        <d v="2000-06-22T00:00:00"/>
        <d v="1983-05-02T00:00:00"/>
        <d v="1990-05-01T00:00:00"/>
        <d v="1990-08-06T00:00:00"/>
        <d v="1997-09-17T00:00:00"/>
        <d v="2000-08-06T00:00:00"/>
        <d v="1995-07-01T00:00:00"/>
        <d v="1998-02-25T00:00:00"/>
        <d v="1998-02-14T00:00:00"/>
        <d v="1997-07-21T00:00:00"/>
        <d v="1980-09-05T00:00:00"/>
        <d v="1995-01-03T00:00:00"/>
        <d v="1999-06-05T00:00:00"/>
        <d v="1992-09-10T00:00:00"/>
        <d v="1989-04-24T00:00:00"/>
        <d v="1997-12-18T00:00:00"/>
        <d v="1980-09-04T00:00:00"/>
        <d v="1999-11-15T00:00:00"/>
        <d v="2003-11-17T00:00:00"/>
        <d v="1991-04-25T00:00:00"/>
        <d v="1985-07-04T00:00:00"/>
        <d v="1991-05-11T00:00:00"/>
        <d v="1998-03-12T00:00:00"/>
        <d v="1992-09-30T00:00:00"/>
        <d v="2000-10-14T00:00:00"/>
        <d v="2002-11-16T00:00:00"/>
        <d v="2003-09-14T00:00:00"/>
        <d v="2002-06-24T00:00:00"/>
        <d v="1996-10-08T00:00:00"/>
        <d v="2003-10-29T00:00:00"/>
        <d v="1999-05-01T00:00:00"/>
        <d v="1987-04-09T00:00:00"/>
        <d v="1999-04-08T00:00:00"/>
        <d v="2024-05-13T00:00:00"/>
        <d v="1991-06-10T00:00:00"/>
        <d v="1994-08-09T00:00:00"/>
        <d v="1984-09-29T00:00:00"/>
        <d v="1990-08-30T00:00:00"/>
        <d v="1987-05-05T00:00:00"/>
        <d v="2006-02-08T00:00:00"/>
        <d v="1999-05-22T00:00:00"/>
        <d v="1994-08-13T00:00:00"/>
        <d v="2000-10-08T00:00:00"/>
        <d v="1997-04-06T00:00:00"/>
        <d v="1996-05-07T00:00:00"/>
        <d v="1996-05-21T00:00:00"/>
        <d v="1991-07-12T00:00:00"/>
        <d v="1998-05-10T00:00:00"/>
        <d v="1991-05-26T00:00:00"/>
        <d v="1996-12-20T00:00:00"/>
        <d v="1989-09-30T00:00:00"/>
        <d v="1998-12-03T00:00:00"/>
        <d v="2006-03-18T00:00:00"/>
        <d v="2001-01-17T00:00:00"/>
        <d v="1986-12-05T00:00:00"/>
        <d v="2021-07-19T00:00:00"/>
        <d v="1988-12-27T00:00:00"/>
        <d v="1984-10-29T00:00:00"/>
        <d v="1997-09-08T00:00:00"/>
        <d v="2002-07-30T00:00:00"/>
        <d v="1988-07-11T00:00:00"/>
        <d v="1988-11-27T00:00:00"/>
        <d v="1987-03-29T00:00:00"/>
        <d v="2001-03-20T00:00:00"/>
        <d v="1998-01-23T00:00:00"/>
        <d v="1992-02-19T00:00:00"/>
        <d v="2001-10-15T00:00:00"/>
        <d v="2000-02-19T00:00:00"/>
        <d v="2001-02-15T00:00:00"/>
        <d v="1996-05-14T00:00:00"/>
        <d v="2023-06-29T00:00:00"/>
        <d v="1986-06-02T00:00:00"/>
        <d v="1983-01-14T00:00:00"/>
        <d v="1996-02-14T00:00:00"/>
        <d v="1994-08-16T00:00:00"/>
        <d v="1991-10-24T00:00:00"/>
        <d v="1993-08-26T00:00:00"/>
        <d v="2002-01-12T00:00:00"/>
        <d v="1984-07-28T00:00:00"/>
        <d v="1994-04-16T00:00:00"/>
        <d v="2001-11-02T00:00:00"/>
        <d v="2003-07-24T00:00:00"/>
        <d v="2000-06-17T00:00:00"/>
        <d v="1996-07-04T00:00:00"/>
        <d v="1986-09-20T00:00:00"/>
        <d v="1989-09-09T00:00:00"/>
        <d v="2002-09-30T00:00:00"/>
        <d v="1999-05-29T00:00:00"/>
        <d v="2003-08-14T00:00:00"/>
        <d v="1997-10-28T00:00:00"/>
        <d v="1999-07-22T00:00:00"/>
        <d v="1985-01-21T00:00:00"/>
        <d v="1997-08-29T00:00:00"/>
        <d v="1994-01-17T00:00:00"/>
        <d v="1985-02-21T00:00:00"/>
        <d v="1992-12-21T00:00:00"/>
        <d v="1996-11-08T00:00:00"/>
        <d v="1996-12-27T00:00:00"/>
        <d v="1987-12-17T00:00:00"/>
        <d v="2022-12-29T00:00:00"/>
        <d v="1998-09-27T00:00:00"/>
        <d v="2001-06-01T00:00:00"/>
        <d v="1993-07-27T00:00:00"/>
        <d v="1997-07-27T00:00:00"/>
        <d v="1984-09-22T00:00:00"/>
        <d v="1994-04-18T00:00:00"/>
        <d v="1998-02-10T00:00:00"/>
        <d v="1998-09-28T00:00:00"/>
        <d v="1995-12-02T00:00:00"/>
        <d v="1998-12-12T00:00:00"/>
        <d v="1995-06-20T00:00:00"/>
        <d v="2001-08-23T00:00:00"/>
        <d v="2003-12-02T00:00:00"/>
        <d v="1993-08-09T00:00:00"/>
        <d v="2001-02-05T00:00:00"/>
        <d v="1992-01-06T00:00:00"/>
        <d v="2001-11-27T00:00:00"/>
        <d v="1987-02-22T00:00:00"/>
        <d v="1997-11-23T00:00:00"/>
        <d v="1990-09-15T00:00:00"/>
        <d v="1982-04-08T00:00:00"/>
        <d v="1999-05-07T00:00:00"/>
        <d v="1999-07-29T00:00:00"/>
        <d v="1999-05-30T00:00:00"/>
        <d v="1996-08-26T00:00:00"/>
        <d v="1994-08-11T00:00:00"/>
        <d v="1996-06-02T00:00:00"/>
        <d v="1993-03-16T00:00:00"/>
        <d v="2005-01-01T00:00:00"/>
        <d v="1999-08-04T00:00:00"/>
        <d v="2004-04-29T00:00:00"/>
        <d v="1999-05-15T00:00:00"/>
        <d v="2002-07-29T00:00:00"/>
        <d v="2000-03-11T00:00:00"/>
        <d v="1989-08-21T00:00:00"/>
        <d v="2002-01-11T00:00:00"/>
        <d v="1995-05-23T00:00:00"/>
        <d v="2001-09-20T00:00:00"/>
        <d v="2002-11-06T00:00:00"/>
        <d v="1992-02-18T00:00:00"/>
        <d v="1986-05-08T00:00:00"/>
        <d v="2003-12-11T00:00:00"/>
        <d v="2021-02-05T00:00:00"/>
        <d v="1996-11-11T00:00:00"/>
        <d v="2004-09-03T00:00:00"/>
        <d v="2001-09-12T00:00:00"/>
        <d v="1984-07-21T00:00:00"/>
        <d v="1994-03-16T00:00:00"/>
        <d v="1991-06-16T00:00:00"/>
        <d v="2003-02-11T00:00:00"/>
        <d v="1997-11-03T00:00:00"/>
        <d v="2022-11-18T00:00:00"/>
        <d v="2001-09-30T00:00:00"/>
        <d v="1996-05-01T00:00:00"/>
        <d v="2001-03-07T00:00:00"/>
        <d v="1987-07-13T00:00:00"/>
        <d v="1990-09-13T00:00:00"/>
        <d v="1992-07-09T00:00:00"/>
        <d v="2001-09-16T00:00:00"/>
        <d v="2006-09-23T00:00:00"/>
        <d v="2002-10-19T00:00:00"/>
        <d v="1989-04-28T00:00:00"/>
        <d v="1995-10-27T00:00:00"/>
        <d v="2001-09-02T00:00:00"/>
        <d v="1999-08-18T00:00:00"/>
        <d v="1992-07-12T00:00:00"/>
        <d v="1993-07-22T00:00:00"/>
        <d v="1984-02-07T00:00:00"/>
        <d v="1988-12-05T00:00:00"/>
        <d v="1994-12-03T00:00:00"/>
        <d v="1994-05-08T00:00:00"/>
        <d v="1989-12-09T00:00:00"/>
        <d v="1991-08-18T00:00:00"/>
        <d v="1990-07-20T00:00:00"/>
        <d v="1989-06-21T00:00:00"/>
        <d v="1987-12-09T00:00:00"/>
        <d v="1991-06-30T00:00:00"/>
        <d v="1986-12-09T00:00:00"/>
        <d v="2003-04-15T00:00:00"/>
        <d v="1999-10-30T00:00:00"/>
        <d v="2000-05-15T00:00:00"/>
        <d v="1998-08-08T00:00:00"/>
        <d v="2004-10-04T00:00:00"/>
        <d v="1995-10-19T00:00:00"/>
        <d v="2003-11-10T00:00:00"/>
        <d v="1992-04-28T00:00:00"/>
        <d v="1990-10-07T00:00:00"/>
        <d v="1994-06-11T00:00:00"/>
        <d v="1990-01-28T00:00:00"/>
        <d v="1987-01-30T00:00:00"/>
        <d v="1994-10-24T00:00:00"/>
        <d v="1996-11-19T00:00:00"/>
        <d v="1992-02-21T00:00:00"/>
        <d v="1983-12-13T00:00:00"/>
        <d v="1994-11-04T00:00:00"/>
        <d v="2003-02-15T00:00:00"/>
        <d v="1995-04-13T00:00:00"/>
        <d v="1999-10-03T00:00:00"/>
        <d v="2005-03-19T00:00:00"/>
        <d v="1995-05-19T00:00:00"/>
        <d v="1987-10-22T00:00:00"/>
        <d v="1984-05-15T00:00:00"/>
        <d v="1999-06-22T00:00:00"/>
        <d v="1991-12-19T00:00:00"/>
        <d v="1989-05-12T00:00:00"/>
        <d v="1981-06-22T00:00:00"/>
        <d v="2003-03-07T00:00:00"/>
        <d v="1997-01-19T00:00:00"/>
        <s v="6/22/0081"/>
        <d v="1998-08-28T00:00:00"/>
        <d v="2001-03-28T00:00:00"/>
        <d v="1992-07-15T00:00:00"/>
        <d v="2005-05-19T00:00:00"/>
        <d v="1983-06-28T00:00:00"/>
        <d v="2000-01-09T00:00:00"/>
        <d v="1989-05-18T00:00:00"/>
        <d v="1998-07-11T00:00:00"/>
        <d v="1993-11-16T00:00:00"/>
        <d v="1987-09-25T00:00:00"/>
        <d v="1995-07-20T00:00:00"/>
        <d v="1981-06-02T00:00:00"/>
        <d v="1989-05-11T00:00:00"/>
        <d v="1997-06-15T00:00:00"/>
        <d v="2004-02-16T00:00:00"/>
        <s v="4/18/0001"/>
        <d v="1995-04-23T00:00:00"/>
        <d v="1995-05-02T00:00:00"/>
        <d v="1987-06-17T00:00:00"/>
        <d v="1987-03-10T00:00:00"/>
        <d v="1995-04-04T00:00:00"/>
        <d v="1983-04-20T00:00:00"/>
        <d v="1999-08-27T00:00:00"/>
        <d v="2000-10-18T00:00:00"/>
        <d v="2000-06-13T00:00:00"/>
        <d v="2001-11-22T00:00:00"/>
        <d v="1992-02-04T00:00:00"/>
        <d v="2001-04-23T00:00:00"/>
        <d v="1996-12-30T00:00:00"/>
        <d v="2000-07-04T00:00:00"/>
        <d v="1996-01-21T00:00:00"/>
        <d v="1991-04-16T00:00:00"/>
        <d v="1989-10-26T00:00:00"/>
        <d v="2007-02-07T00:00:00"/>
        <d v="1995-07-02T00:00:00"/>
        <d v="1990-02-09T00:00:00"/>
        <d v="2002-12-09T00:00:00"/>
        <d v="2000-06-08T00:00:00"/>
        <d v="2002-01-02T00:00:00"/>
        <d v="2005-04-11T00:00:00"/>
        <d v="2003-03-11T00:00:00"/>
        <d v="1992-05-14T00:00:00"/>
        <d v="1990-03-11T00:00:00"/>
        <d v="1992-05-04T00:00:00"/>
        <s v="10/20/0002"/>
        <d v="1996-10-11T00:00:00"/>
        <d v="1989-08-19T00:00:00"/>
        <d v="1993-01-10T00:00:00"/>
        <d v="1985-09-29T00:00:00"/>
        <d v="2002-10-20T00:00:00"/>
        <d v="1996-07-05T00:00:00"/>
        <d v="1999-04-24T00:00:00"/>
        <d v="1985-08-30T00:00:00"/>
        <d v="1987-09-21T00:00:00"/>
        <d v="1998-06-01T00:00:00"/>
        <d v="1987-09-04T00:00:00"/>
        <d v="1985-09-06T00:00:00"/>
        <d v="1994-12-11T00:00:00"/>
        <d v="1994-02-11T00:00:00"/>
        <d v="2001-02-27T00:00:00"/>
        <d v="1990-12-13T00:00:00"/>
        <d v="2000-11-02T00:00:00"/>
        <d v="2002-11-07T00:00:00"/>
        <d v="1993-02-27T00:00:00"/>
        <d v="1996-07-02T00:00:00"/>
        <d v="1988-04-07T00:00:00"/>
        <d v="1997-03-05T00:00:00"/>
        <d v="2000-10-02T00:00:00"/>
        <d v="1999-05-24T00:00:00"/>
        <d v="1993-04-02T00:00:00"/>
        <d v="1984-09-20T00:00:00"/>
        <s v="9/4/0205"/>
        <d v="1997-04-25T00:00:00"/>
        <d v="1988-12-11T00:00:00"/>
        <d v="1999-03-15T00:00:00"/>
        <d v="1993-03-12T00:00:00"/>
        <d v="1994-03-04T00:00:00"/>
        <d v="2007-07-16T00:00:00"/>
        <d v="1998-10-26T00:00:00"/>
        <d v="1999-12-17T00:00:00"/>
        <d v="2005-05-27T00:00:00"/>
        <d v="2001-12-27T00:00:00"/>
        <d v="1998-01-07T00:00:00"/>
        <d v="1992-05-05T00:00:00"/>
        <d v="2000-05-03T00:00:00"/>
        <d v="1989-02-04T00:00:00"/>
        <d v="1992-01-22T00:00:00"/>
        <d v="2003-08-18T00:00:00"/>
        <d v="2023-07-08T00:00:00"/>
        <d v="1986-01-26T00:00:00"/>
        <d v="1997-03-14T00:00:00"/>
        <d v="2003-01-16T00:00:00"/>
        <d v="2001-07-04T00:00:00"/>
        <d v="1991-07-08T00:00:00"/>
        <d v="1998-04-01T00:00:00"/>
        <d v="2000-03-17T00:00:00"/>
        <d v="1991-10-05T00:00:00"/>
        <d v="1995-04-27T00:00:00"/>
        <d v="1998-08-24T00:00:00"/>
        <d v="1997-08-17T00:00:00"/>
        <d v="1994-05-23T00:00:00"/>
        <d v="1997-05-27T00:00:00"/>
        <d v="1994-02-21T00:00:00"/>
        <d v="2003-05-14T00:00:00"/>
        <d v="1985-12-01T00:00:00"/>
        <d v="1989-09-24T00:00:00"/>
        <d v="1999-04-25T00:00:00"/>
        <d v="1990-09-20T00:00:00"/>
        <d v="1990-01-29T00:00:00"/>
        <d v="1990-09-29T00:00:00"/>
        <d v="1995-10-08T00:00:00"/>
        <d v="1993-06-11T00:00:00"/>
        <d v="2002-01-26T00:00:00"/>
        <d v="1990-05-17T00:00:00"/>
        <d v="1998-11-26T00:00:00"/>
        <d v="1999-05-05T00:00:00"/>
        <d v="1995-02-10T00:00:00"/>
        <d v="2023-08-07T00:00:00"/>
        <d v="1998-11-21T00:00:00"/>
        <d v="1999-01-29T00:00:00"/>
        <d v="1999-05-13T00:00:00"/>
        <d v="1994-07-30T00:00:00"/>
        <d v="1989-06-16T00:00:00"/>
        <d v="1981-06-08T00:00:00"/>
        <d v="2008-05-08T00:00:00"/>
        <d v="1997-03-27T00:00:00"/>
        <d v="1991-06-02T00:00:00"/>
        <d v="1992-08-14T00:00:00"/>
        <d v="1991-10-04T00:00:00"/>
        <d v="1996-11-27T00:00:00"/>
        <d v="1994-03-17T00:00:00"/>
        <d v="1987-07-10T00:00:00"/>
        <d v="2003-09-21T00:00:00"/>
        <d v="1998-09-09T00:00:00"/>
        <d v="1997-08-08T00:00:00"/>
        <d v="1984-01-02T00:00:00"/>
        <d v="2003-11-13T00:00:00"/>
        <d v="2005-03-14T00:00:00"/>
        <d v="1996-01-28T00:00:00"/>
        <d v="2004-06-01T00:00:00"/>
        <d v="1996-10-26T00:00:00"/>
        <d v="1983-02-16T00:00:00"/>
        <d v="1997-10-01T00:00:00"/>
        <d v="2005-01-19T00:00:00"/>
        <d v="2002-04-15T00:00:00"/>
        <d v="1996-04-01T00:00:00"/>
        <d v="2002-12-03T00:00:00"/>
        <d v="1987-02-25T00:00:00"/>
        <d v="1991-10-30T00:00:00"/>
        <d v="1996-08-06T00:00:00"/>
        <d v="1996-11-29T00:00:00"/>
        <d v="2003-07-28T00:00:00"/>
        <d v="1991-09-06T00:00:00"/>
        <d v="1992-12-11T00:00:00"/>
        <d v="2000-12-07T00:00:00"/>
        <d v="1993-01-21T00:00:00"/>
        <d v="1999-02-08T00:00:00"/>
        <d v="1989-02-09T00:00:00"/>
        <d v="1998-09-02T00:00:00"/>
        <d v="1993-06-15T00:00:00"/>
        <d v="1988-03-29T00:00:00"/>
        <d v="2002-04-09T00:00:00"/>
        <d v="1988-03-02T00:00:00"/>
        <d v="1991-05-05T00:00:00"/>
        <d v="1997-05-14T00:00:00"/>
        <d v="1981-03-15T00:00:00"/>
        <d v="1998-10-19T00:00:00"/>
        <d v="1999-05-20T00:00:00"/>
        <d v="1999-10-10T00:00:00"/>
        <d v="1999-11-14T00:00:00"/>
        <d v="1991-03-09T00:00:00"/>
        <d v="1996-02-20T00:00:00"/>
        <d v="1992-12-17T00:00:00"/>
        <d v="2003-03-18T00:00:00"/>
        <d v="1999-12-25T00:00:00"/>
        <d v="2000-10-24T00:00:00"/>
        <d v="1993-04-19T00:00:00"/>
        <d v="1992-08-25T00:00:00"/>
        <d v="1991-09-20T00:00:00"/>
        <d v="2005-05-26T00:00:00"/>
        <d v="1997-01-17T00:00:00"/>
        <d v="2004-03-19T00:00:00"/>
        <d v="1992-05-08T00:00:00"/>
        <d v="1994-07-27T00:00:00"/>
        <d v="1999-12-15T00:00:00"/>
        <d v="1992-08-05T00:00:00"/>
        <d v="1999-10-22T00:00:00"/>
        <d v="2002-12-08T00:00:00"/>
        <d v="1998-07-10T00:00:00"/>
        <d v="1993-06-01T00:00:00"/>
        <d v="1992-03-08T00:00:00"/>
        <d v="1992-10-08T00:00:00"/>
        <d v="1991-10-28T00:00:00"/>
        <d v="1996-05-02T00:00:00"/>
        <d v="2006-06-26T00:00:00"/>
        <d v="1996-04-06T00:00:00"/>
        <d v="1981-10-31T00:00:00"/>
        <d v="1990-04-30T00:00:00"/>
        <d v="2001-01-25T00:00:00"/>
        <d v="2002-07-06T00:00:00"/>
        <d v="1995-04-09T00:00:00"/>
        <d v="1985-09-16T00:00:00"/>
        <d v="1997-03-21T00:00:00"/>
        <d v="1991-02-15T00:00:00"/>
        <d v="1999-08-06T00:00:00"/>
        <d v="2022-05-11T00:00:00"/>
        <d v="1987-08-24T00:00:00"/>
        <d v="2001-04-13T00:00:00"/>
        <d v="2005-01-23T00:00:00"/>
        <d v="2005-03-17T00:00:00"/>
        <d v="1993-09-01T00:00:00"/>
        <d v="2002-05-11T00:00:00"/>
        <d v="1995-01-30T00:00:00"/>
        <d v="1982-01-15T00:00:00"/>
        <d v="1987-10-17T00:00:00"/>
        <d v="1983-12-12T00:00:00"/>
        <d v="2001-03-15T00:00:00"/>
        <d v="2004-09-04T00:00:00"/>
        <d v="2024-01-15T00:00:00"/>
        <d v="1988-09-15T00:00:00"/>
        <d v="1995-09-27T00:00:00"/>
        <d v="1998-05-11T00:00:00"/>
        <d v="1989-08-01T00:00:00"/>
        <d v="1999-03-23T00:00:00"/>
        <d v="1984-08-24T00:00:00"/>
        <d v="1998-09-15T00:00:00"/>
        <d v="2000-05-11T00:00:00"/>
        <d v="2023-12-20T00:00:00"/>
        <d v="1999-06-14T00:00:00"/>
        <d v="1992-02-11T00:00:00"/>
        <d v="1998-04-06T00:00:00"/>
        <d v="1993-10-07T00:00:00"/>
        <d v="1999-12-12T00:00:00"/>
        <d v="1991-09-30T00:00:00"/>
        <d v="2000-10-29T00:00:00"/>
        <d v="1996-02-10T00:00:00"/>
        <d v="1995-07-06T00:00:00"/>
        <d v="1990-06-30T00:00:00"/>
        <d v="1990-01-24T00:00:00"/>
        <d v="1999-12-30T00:00:00"/>
        <d v="2001-01-11T00:00:00"/>
        <d v="1991-07-17T00:00:00"/>
        <d v="1998-09-01T00:00:00"/>
        <d v="1999-01-06T00:00:00"/>
        <d v="1998-01-29T00:00:00"/>
        <d v="2002-08-04T00:00:00"/>
        <d v="1994-01-25T00:00:00"/>
        <d v="1998-08-13T00:00:00"/>
        <d v="1994-06-13T00:00:00"/>
        <d v="2023-01-29T00:00:00"/>
        <d v="2001-10-02T00:00:00"/>
        <d v="2000-12-28T00:00:00"/>
        <d v="1991-02-13T00:00:00"/>
        <d v="1999-03-03T00:00:00"/>
        <d v="1997-02-13T00:00:00"/>
        <d v="2006-02-25T00:00:00"/>
        <d v="1999-07-11T00:00:00"/>
        <d v="1987-10-15T00:00:00"/>
        <d v="2005-11-16T00:00:00"/>
        <d v="1987-03-01T00:00:00"/>
        <d v="1993-08-17T00:00:00"/>
        <d v="1994-05-20T00:00:00"/>
        <d v="2003-05-21T00:00:00"/>
        <d v="2006-09-29T00:00:00"/>
        <d v="1986-12-08T00:00:00"/>
        <d v="2007-12-24T00:00:00"/>
        <d v="1985-04-13T00:00:00"/>
        <d v="1989-11-08T00:00:00"/>
        <d v="1984-08-06T00:00:00"/>
        <d v="2003-10-21T00:00:00"/>
        <d v="1996-09-16T00:00:00"/>
        <d v="1998-07-28T00:00:00"/>
        <d v="1993-07-02T00:00:00"/>
        <d v="1998-12-22T00:00:00"/>
        <d v="2000-05-25T00:00:00"/>
        <d v="1991-03-26T00:00:00"/>
        <d v="2009-07-15T00:00:00"/>
        <d v="1988-09-24T00:00:00"/>
        <d v="2000-03-13T00:00:00"/>
        <d v="2002-06-23T00:00:00"/>
        <d v="1995-07-22T00:00:00"/>
        <d v="1994-07-17T00:00:00"/>
        <d v="1988-08-13T00:00:00"/>
        <d v="2004-09-12T00:00:00"/>
        <d v="1998-06-05T00:00:00"/>
        <d v="2001-10-17T00:00:00"/>
        <d v="1989-04-06T00:00:00"/>
        <d v="1999-12-10T00:00:00"/>
        <d v="1997-05-17T00:00:00"/>
        <d v="1999-07-04T00:00:00"/>
        <d v="1999-03-20T00:00:00"/>
        <d v="1995-10-05T00:00:00"/>
        <d v="1997-01-06T00:00:00"/>
        <d v="1987-02-23T00:00:00"/>
        <d v="2000-12-01T00:00:00"/>
        <d v="1995-07-19T00:00:00"/>
        <d v="1994-04-22T00:00:00"/>
        <d v="1995-08-23T00:00:00"/>
        <d v="2000-03-03T00:00:00"/>
        <d v="2001-12-10T00:00:00"/>
        <d v="2003-02-27T00:00:00"/>
        <d v="2006-06-22T00:00:00"/>
        <d v="1998-02-09T00:00:00"/>
        <d v="2002-08-21T00:00:00"/>
        <d v="1993-10-14T00:00:00"/>
        <d v="1988-07-27T00:00:00"/>
        <d v="1997-11-30T00:00:00"/>
        <d v="2004-04-16T00:00:00"/>
        <d v="1992-06-06T00:00:00"/>
        <d v="1999-07-27T00:00:00"/>
        <d v="1992-01-15T00:00:00"/>
        <d v="1981-02-24T00:00:00"/>
        <d v="2002-03-04T00:00:00"/>
        <d v="2001-03-18T00:00:00"/>
        <d v="2005-02-13T00:00:00"/>
        <d v="2000-01-29T00:00:00"/>
        <d v="1998-03-04T00:00:00"/>
        <d v="2002-09-20T00:00:00"/>
        <d v="1992-07-02T00:00:00"/>
        <d v="2000-10-12T00:00:00"/>
        <d v="2007-02-14T00:00:00"/>
        <d v="1992-06-15T00:00:00"/>
        <d v="1993-11-25T00:00:00"/>
        <d v="1999-01-14T00:00:00"/>
        <d v="1998-03-26T00:00:00"/>
        <d v="1991-03-15T00:00:00"/>
        <d v="2002-08-16T00:00:00"/>
        <d v="1996-02-16T00:00:00"/>
        <d v="2001-02-12T00:00:00"/>
        <d v="2006-12-22T00:00:00"/>
        <d v="1983-03-17T00:00:00"/>
        <d v="1986-11-12T00:00:00"/>
        <d v="1994-09-26T00:00:00"/>
        <d v="1995-10-13T00:00:00"/>
        <d v="2004-03-21T00:00:00"/>
        <d v="1986-11-27T00:00:00"/>
        <d v="1997-04-11T00:00:00"/>
        <d v="1986-11-20T00:00:00"/>
        <d v="2024-04-10T00:00:00"/>
        <d v="1994-12-10T00:00:00"/>
        <d v="2008-11-18T00:00:00"/>
        <d v="1994-10-09T00:00:00"/>
        <d v="2000-03-21T00:00:00"/>
        <d v="1998-12-06T00:00:00"/>
        <d v="1999-03-02T00:00:00"/>
        <d v="2004-05-25T00:00:00"/>
        <d v="1991-07-04T00:00:00"/>
        <d v="2001-08-27T00:00:00"/>
        <d v="1998-10-11T00:00:00"/>
        <d v="1984-12-24T00:00:00"/>
        <d v="1996-04-08T00:00:00"/>
        <d v="1991-05-02T00:00:00"/>
        <d v="2003-09-07T00:00:00"/>
        <d v="2006-12-30T00:00:00"/>
        <d v="2000-11-07T00:00:00"/>
        <d v="1992-05-15T00:00:00"/>
        <d v="1986-09-07T00:00:00"/>
        <d v="2024-04-26T00:00:00"/>
        <d v="1998-09-17T00:00:00"/>
        <d v="1982-07-20T00:00:00"/>
        <d v="1987-08-03T00:00:00"/>
        <d v="1989-02-02T00:00:00"/>
        <d v="2024-03-21T00:00:00"/>
        <d v="1999-03-31T00:00:00"/>
        <d v="2000-07-14T00:00:00"/>
        <d v="1989-11-22T00:00:00"/>
        <d v="1997-04-04T00:00:00"/>
        <d v="2005-07-04T00:00:00"/>
        <d v="1999-05-12T00:00:00"/>
        <d v="1992-06-09T00:00:00"/>
        <d v="2003-09-17T00:00:00"/>
        <d v="1994-09-15T00:00:00"/>
        <d v="2001-08-03T00:00:00"/>
        <d v="1988-08-21T00:00:00"/>
        <d v="1994-07-13T00:00:00"/>
        <d v="1994-03-27T00:00:00"/>
        <d v="2004-03-29T00:00:00"/>
        <d v="1996-06-03T00:00:00"/>
        <d v="2002-03-15T00:00:00"/>
        <d v="2005-12-25T00:00:00"/>
        <d v="1995-06-14T00:00:00"/>
        <d v="1989-04-27T00:00:00"/>
        <d v="1996-05-26T00:00:00"/>
        <d v="1992-09-19T00:00:00"/>
        <d v="2001-04-11T00:00:00"/>
        <d v="2001-12-21T00:00:00"/>
        <d v="1993-12-01T00:00:00"/>
        <d v="1997-08-12T00:00:00"/>
        <d v="1982-09-22T00:00:00"/>
        <d v="2005-07-20T00:00:00"/>
        <d v="1997-07-23T00:00:00"/>
        <d v="2001-05-15T00:00:00"/>
        <d v="1990-03-17T00:00:00"/>
        <d v="1997-01-21T00:00:00"/>
        <d v="1993-12-04T00:00:00"/>
        <d v="1992-01-14T00:00:00"/>
        <d v="1997-06-02T00:00:00"/>
        <d v="1981-03-18T00:00:00"/>
        <d v="1999-03-17T00:00:00"/>
        <d v="1988-11-11T00:00:00"/>
        <d v="2024-12-21T00:00:00"/>
        <d v="1990-10-04T00:00:00"/>
        <d v="1995-08-26T00:00:00"/>
        <d v="1981-07-26T00:00:00"/>
        <d v="2003-01-23T00:00:00"/>
        <d v="1995-07-03T00:00:00"/>
        <d v="1993-11-02T00:00:00"/>
        <d v="1984-03-22T00:00:00"/>
        <d v="2000-05-19T00:00:00"/>
        <d v="1979-06-02T00:00:00"/>
        <d v="1986-06-20T00:00:00"/>
        <d v="2004-08-26T00:00:00"/>
        <d v="1994-01-14T00:00:00"/>
        <d v="1996-09-10T00:00:00"/>
        <d v="1995-04-11T00:00:00"/>
        <d v="1999-01-08T00:00:00"/>
        <d v="1996-08-24T00:00:00"/>
        <d v="1991-01-15T00:00:00"/>
        <d v="2006-08-19T00:00:00"/>
        <d v="2000-04-13T00:00:00"/>
        <d v="1998-06-18T00:00:00"/>
        <d v="2003-06-08T00:00:00"/>
        <d v="2003-10-01T00:00:00"/>
        <d v="1999-07-14T00:00:00"/>
        <d v="1992-11-16T00:00:00"/>
        <d v="1998-03-14T00:00:00"/>
        <d v="1984-01-19T00:00:00"/>
        <d v="2002-06-01T00:00:00"/>
        <d v="1989-10-27T00:00:00"/>
        <d v="2000-06-29T00:00:00"/>
        <d v="1995-06-17T00:00:00"/>
        <d v="2002-05-02T00:00:00"/>
        <d v="1997-10-02T00:00:00"/>
        <d v="1988-09-07T00:00:00"/>
      </sharedItems>
    </cacheField>
    <cacheField name="DUM" numFmtId="0">
      <sharedItems containsBlank="1" containsDate="1" containsMixedTypes="1" count="548">
        <m/>
        <d v="2022-03-19T00:00:00"/>
        <d v="2022-04-23T00:00:00"/>
        <s v="23/07/2022"/>
        <s v="23/07/2023"/>
        <s v="13/05/2022"/>
        <s v="31/05/2022"/>
        <s v="15/07/2022"/>
        <d v="2022-07-15T00:00:00"/>
        <s v="15/07/22"/>
        <s v="desconhecida"/>
        <s v="16/08/2022"/>
        <s v="08/08/2022"/>
        <s v="26/01/2023"/>
        <n v="26012023"/>
        <s v="30/09/2022"/>
        <s v="04/10/2022"/>
        <s v="02/09/2022"/>
        <s v="02/09/2023"/>
        <s v="16/09/2022"/>
        <s v="04/09/2022"/>
        <s v="28/08/2022"/>
        <s v="25/08/2022"/>
        <s v="17/11/22"/>
        <s v="17/03/2023"/>
        <s v="01/02/2023"/>
        <n v="25082022"/>
        <s v="01/05/2023"/>
        <s v="17/11/2022"/>
        <s v="10/04/2023"/>
        <s v="15/03/2023"/>
        <s v="19/10/2022"/>
        <s v=" 07/10/2022"/>
        <s v="19/12/2022"/>
        <s v=" 01/02/2023"/>
        <s v="07/10/2022"/>
        <s v="04/02/2023"/>
        <s v="28/03/2023"/>
        <s v=" 31/10/2022"/>
        <s v="02/08/2022"/>
        <s v="15/11/2022"/>
        <s v="10/01/2023"/>
        <s v="08/02/2023"/>
        <s v="28/12/2022"/>
        <s v="18/12/2022"/>
        <s v="05/09/2022"/>
        <s v="05/10/2022"/>
        <s v="28/01/2023"/>
        <s v="16/02/2023"/>
        <s v="15/11/2023"/>
        <s v="26/12/2022"/>
        <s v="15/02/2023"/>
        <s v="19/02/2023"/>
        <s v="31/10/2022"/>
        <s v="21/01/2023"/>
        <s v="20/04/2023"/>
        <s v="08/09/2022"/>
        <s v="02/04/2023"/>
        <s v="29/10/2022"/>
        <s v="DUM desconhecida"/>
        <s v="06/12/2022"/>
        <s v="27/10/2022"/>
        <s v="02/12/2022"/>
        <s v="30/112022"/>
        <s v="25/02/2023"/>
        <s v="24/09/2022"/>
        <s v="29/102022"/>
        <s v="17/08/2022"/>
        <s v="21/09/2022"/>
        <s v="15/09/2022"/>
        <s v="02/10/2022"/>
        <s v="30/04/2023"/>
        <s v="16/11/2022"/>
        <s v="07/09/2022"/>
        <s v="01/03/2023"/>
        <s v="05/02/2023"/>
        <s v="07/04/2023"/>
        <s v="29/092022"/>
        <s v=" 15/03/2023"/>
        <s v="30/05/2023"/>
        <s v="02/05/2023"/>
        <s v="10/11/2022"/>
        <s v="30/11/2022"/>
        <s v="00"/>
        <s v="18/03/2023"/>
        <s v="06/09/2022"/>
        <s v="13/02/2023"/>
        <s v="25/11/2022"/>
        <s v=" 10/11/2022"/>
        <s v="22/12/22"/>
        <s v="11/11/2022"/>
        <s v="28/12/22"/>
        <s v="22/02/2023"/>
        <s v="02/09/22"/>
        <s v="12/02/2023"/>
        <s v="15/01/2023"/>
        <s v="Desconhecida IG aprox 24 semanas"/>
        <s v="02/092022"/>
        <s v="05/03/23"/>
        <s v="10/09/2022"/>
        <s v="10/10/2022"/>
        <s v="puerpera"/>
        <s v="05/11/2022"/>
        <s v="03/04/2023"/>
        <s v="11/04/2023"/>
        <s v="nao informada"/>
        <s v="27/09/23"/>
        <s v="02/01/2023"/>
        <s v="30/10/2022"/>
        <s v="02052023"/>
        <s v="22/03/2023"/>
        <s v="01/04/2023"/>
        <s v="14/10/2022"/>
        <s v="22/12/2022"/>
        <s v="06/05/2023"/>
        <s v="09/03/2023"/>
        <s v=" 12/09/2022"/>
        <s v="26/03/2023"/>
        <s v="28/11/2022"/>
        <s v="10/03/2023"/>
        <s v="31/12/2022"/>
        <s v="30/01/2023"/>
        <s v="20/09/2022"/>
        <s v="14/01/2023"/>
        <s v="21/09/2022 "/>
        <s v="13/03/2023"/>
        <s v="27/03/2023"/>
        <s v="02/10/2001"/>
        <s v="25/01/2023"/>
        <s v="14/04/2023"/>
        <s v="05/12/2022"/>
        <s v="05/04/2023"/>
        <s v="06/05/23"/>
        <s v="21/01/23"/>
        <s v="desconhece"/>
        <s v="08/10/2022"/>
        <s v="30/10/1984"/>
        <s v="19/01/2023"/>
        <s v="não sabe"/>
        <s v="21/09/22"/>
        <s v="12/12/2022"/>
        <s v=" 27/11/2022"/>
        <d v="2023-01-20T00:00:00"/>
        <s v=" 21/09/2022"/>
        <s v="20/01/2023"/>
        <s v="29/04/2023"/>
        <s v="14/11/2022"/>
        <s v="04/11/2022"/>
        <s v="05/05/23"/>
        <s v="Desconhecida."/>
        <s v="21/05/2023"/>
        <s v="05/05/2023"/>
        <s v="07/12/2022"/>
        <s v="03/01/2023"/>
        <s v="07/12/2023"/>
        <s v="10/112022"/>
        <s v="04/05/2023"/>
        <s v="15/10/2022"/>
        <s v="desconhecida "/>
        <s v="27/11/2022"/>
        <s v="05/08/2019"/>
        <s v="16/04/2023"/>
        <s v="12/10/2022"/>
        <s v="20/12/2022"/>
        <s v="02/02/2023"/>
        <s v="22/05/2023"/>
        <s v="04/11/2023"/>
        <s v="18/02/2023"/>
        <s v="30/03/2023"/>
        <s v=" 06/05/2023"/>
        <s v="26/05/2023"/>
        <s v="18/05/2023"/>
        <s v="28/10/2022"/>
        <s v=" desconhecida"/>
        <s v="23/10/2022"/>
        <s v="25/12/2022"/>
        <s v="22/04/2023"/>
        <s v="27/06/2023"/>
        <d v="2022-11-23T00:00:00"/>
        <s v="07/03/2023"/>
        <s v="23/11/2022"/>
        <s v=" 01/03/23"/>
        <s v="13/02/22"/>
        <s v="03/11/2022"/>
        <s v="10/12/2022"/>
        <s v=" 10/01/2023"/>
        <s v="02/04/2023 "/>
        <s v="11/12/2022"/>
        <s v="13/07/2023"/>
        <s v="14/12/2022"/>
        <s v="18/11/2022"/>
        <s v="19/04/2023"/>
        <s v="13/01/2023"/>
        <s v="21/02/2023"/>
        <s v="02/03/2023"/>
        <s v="20/03/2023"/>
        <s v="não se aplica"/>
        <s v=" 13/01/2023"/>
        <s v="05/03/2023"/>
        <s v="13/06/2023"/>
        <s v="16/05/2023"/>
        <s v="14/07/23"/>
        <s v="19/06/2023"/>
        <s v="14/06/2023"/>
        <s v=" 08/05/2023"/>
        <s v="25/03/2023"/>
        <s v="08/05/2023"/>
        <s v="08/11/2022"/>
        <s v="23/06/2023"/>
        <s v=" 23/06/23"/>
        <s v="05/07/2023"/>
        <s v="31/01/2023"/>
        <s v="28/05/2023"/>
        <s v=" 12/02/2023"/>
        <s v="02/02/23"/>
        <s v="09/01/2023"/>
        <s v="12/07/2023"/>
        <s v="07/02/2023"/>
        <s v="26/06/2023"/>
        <s v="10/06/2023"/>
        <s v="14/03/2023"/>
        <s v="24/11/2022"/>
        <s v="25/04/2023"/>
        <s v=" 10/03/2023"/>
        <s v="15/12/2022"/>
        <s v=" 28/11/2022"/>
        <s v=" 15/12/2022"/>
        <s v="03/06/2023"/>
        <s v="15/012023"/>
        <s v="27/12/2022"/>
        <s v=" 23/12/22"/>
        <s v="28/02/2023"/>
        <s v="08/04/2023"/>
        <s v="14/012023"/>
        <s v=" 04/02/2023"/>
        <s v="19/05/2023"/>
        <s v="05/08/2023"/>
        <s v="18/02/23"/>
        <s v="06/07/2023"/>
        <s v="16/01/2023"/>
        <s v="19/02/23"/>
        <s v="18/08/2023"/>
        <s v="10/07/2023"/>
        <s v="16/08/2023"/>
        <s v="30/07/2023"/>
        <s v="15/04/2023"/>
        <s v="29/12/2023"/>
        <s v="29/12/22022"/>
        <s v="15/042023"/>
        <s v="24/08/2023"/>
        <s v="29/12/2022"/>
        <s v="01/01/2023"/>
        <s v=" 19/07/2023"/>
        <s v="26/12/22"/>
        <s v="21/07/2023"/>
        <s v="20/07/2023"/>
        <s v=" 06/01/2023"/>
        <s v="20/06/2023"/>
        <s v="06/01/2002"/>
        <s v=" 14/02/2023"/>
        <s v="25/07/2023"/>
        <s v="20/02/2023"/>
        <s v="05/01/2023"/>
        <s v="06/03/2023"/>
        <s v=" 08/06/2023"/>
        <s v=" 30/01/2023"/>
        <s v="09/04/2023"/>
        <s v="08/03/2023"/>
        <s v="Incerta"/>
        <s v="28/08/2023"/>
        <s v=" 10/02/2023"/>
        <s v="irregular "/>
        <s v="04/09/1987"/>
        <s v="09/02/2023"/>
        <s v=" 21/02/2023"/>
        <s v="02/06/2023"/>
        <s v="17/01/2023"/>
        <s v="28/02/23"/>
        <s v="irregular"/>
        <s v="08/07/2023"/>
        <s v="30/08/2023"/>
        <s v="25/06/2023"/>
        <s v="22/01/2023"/>
        <s v="14/09/2023"/>
        <s v="07/02/3023"/>
        <s v="12/01/2023"/>
        <s v=" 09/07/2023"/>
        <s v="12/06/2023"/>
        <s v="13/09/2023"/>
        <s v="01/06/2023"/>
        <s v=" 24/12/2022"/>
        <s v="05/10/2023"/>
        <s v="04/07/2023"/>
        <s v="13/11/2023"/>
        <s v="15/07/2023"/>
        <s v="10/06/1991"/>
        <s v="26/08/2023"/>
        <s v="27/02/2023"/>
        <s v="15/09/2023"/>
        <s v="20/09/2023"/>
        <s v=" 09/02/2023"/>
        <d v="2023-02-15T00:00:00"/>
        <s v="06/08/2023"/>
        <s v="16/07/2023"/>
        <d v="2023-02-04T00:00:00"/>
        <s v="15/04/1999"/>
        <s v="12/05/1992"/>
        <s v="23/04/2023"/>
        <s v="30/09/2023"/>
        <s v="12/05/2023"/>
        <s v="21/04/2023"/>
        <s v=" 08/07/2023"/>
        <s v="17/06/2023"/>
        <s v=" 07/03/2023"/>
        <s v="13/03/20223"/>
        <s v="14/05/2023"/>
        <s v="04/10/2023"/>
        <s v="10/08//2023"/>
        <s v="10/08/2023"/>
        <s v="25/10/2023"/>
        <s v=" 24/07/2023"/>
        <s v=" 15/08/2023"/>
        <s v="01/07/2023"/>
        <s v="15/10/2023"/>
        <s v="24/07/2023"/>
        <s v="10/05/2023"/>
        <s v="08/06/2023"/>
        <s v="17/09/2023"/>
        <s v="13/04/2023"/>
        <s v="10/06/1996"/>
        <s v="24/09/2023"/>
        <s v="06/03/23"/>
        <s v=" 21/04/2023"/>
        <s v="24/03/2023"/>
        <s v="04/03/2023"/>
        <s v="20/10/2023"/>
        <s v="11/10/2023"/>
        <s v="21/04/23"/>
        <s v="13/10/2023"/>
        <s v="03/10/2023"/>
        <s v="06/09/2023"/>
        <s v="22/09/2023"/>
        <s v=" 18/10/2023"/>
        <s v="26/07/2023"/>
        <s v="08/06/2003"/>
        <s v="23/09/2023"/>
        <s v=" 19/05/2023"/>
        <s v=" 26/07/2023"/>
        <d v="2023-09-29T00:00:00"/>
        <s v="21/10/2023"/>
        <s v="29/03/2023"/>
        <s v="29/09/2023"/>
        <s v="29/08/2023"/>
        <s v="28/09/2023"/>
        <s v=" 29/03/2023"/>
        <s v=" 29/09/2023"/>
        <s v="01/11/2023"/>
        <s v="02/08/2023"/>
        <s v="05/06/2023"/>
        <s v="08/09/2023"/>
        <s v="10/11/2023"/>
        <s v="06/05/24"/>
        <s v="18/04/2023"/>
        <s v=" 16/04/23"/>
        <s v="02/10/23"/>
        <s v=" 13/09/2023"/>
        <s v="NAO SABE"/>
        <s v="24/05/2023"/>
        <s v=" 18/04/2023"/>
        <s v="11/12/2023"/>
        <s v="23/12/2023"/>
        <s v="07/11/2023"/>
        <s v="08/052023"/>
        <s v="25/05/2023"/>
        <s v="24/06/2023"/>
        <s v="31/10/2023"/>
        <s v="26/05/23"/>
        <s v=" 19/04/2023"/>
        <s v="03/11/2023"/>
        <s v="11/11/2023"/>
        <s v="28/12/2023"/>
        <s v="05/11/2023"/>
        <s v="15/10/2024"/>
        <s v=" 07/11/2023"/>
        <s v="nao se aplica"/>
        <s v="26/10/23"/>
        <s v=" 28/12/2023"/>
        <s v=" 01/10/2023"/>
        <s v="15/08/2023"/>
        <s v="17/10/2023"/>
        <s v="16/11/2023"/>
        <d v="2023-07-26T00:00:00"/>
        <s v="26/07/23"/>
        <s v="19/12/2023"/>
        <s v="26/08/23"/>
        <s v="09/08/2023"/>
        <s v="19/07/2023"/>
        <s v="27/12/2023"/>
        <s v="04/06/2023"/>
        <s v="09/12/2023"/>
        <s v="29/04/2004"/>
        <s v="27/08/2023"/>
        <s v="09/12/2024"/>
        <s v="22/06/2023"/>
        <s v="20/05/2023"/>
        <s v="01/10/2023"/>
        <s v="30/11/2023"/>
        <s v="18/01/24"/>
        <s v="16/06/2023"/>
        <s v="06/01/2024"/>
        <s v="30/10/2023"/>
        <d v="2023-08-24T00:00:00"/>
        <s v="18/10/2023"/>
        <s v=" 22/05/2023"/>
        <s v="04/09/2023"/>
        <s v="11/06/2023"/>
        <s v="26/11/2023"/>
        <s v="26/10/2023"/>
        <s v="28/07/2023"/>
        <s v="13/12/2023"/>
        <s v=" 18/06/2023"/>
        <s v="2607/2023"/>
        <s v="16/09/2023"/>
        <s v="NÃO SE APLICA"/>
        <s v="04/01/2024"/>
        <s v="03/07/2023"/>
        <s v="17/12/2023"/>
        <s v="19.11.23"/>
        <s v="19/11/2023"/>
        <s v="09/02/2024"/>
        <s v="14/12/2023"/>
        <s v="10/01/2024"/>
        <s v="29/07/2023"/>
        <s v="26/07/1997"/>
        <s v="17/11/2023"/>
        <d v="2023-11-09T00:00:00"/>
        <s v="05/09/2023"/>
        <s v="22/08/2023"/>
        <s v="28/06/2023"/>
        <s v="15/06/2023"/>
        <d v="2023-08-08T00:00:00"/>
        <d v="2024-01-14T00:00:00"/>
        <d v="2024-01-19T00:00:00"/>
        <d v="2023-08-05T00:00:00"/>
        <d v="2023-09-24T00:00:00"/>
        <d v="2023-08-09T00:00:00"/>
        <d v="2023-09-09T00:00:00"/>
        <d v="2023-07-19T00:00:00"/>
        <d v="2023-06-27T00:00:00"/>
        <d v="2024-01-25T00:00:00"/>
        <d v="1999-08-08T00:00:00"/>
        <d v="2023-06-28T00:00:00"/>
        <d v="2023-10-07T00:00:00"/>
        <d v="2023-10-20T00:00:00"/>
        <d v="2023-06-25T00:00:00"/>
        <d v="2023-09-25T00:00:00"/>
        <d v="2024-02-10T00:00:00"/>
        <d v="2023-11-05T00:00:00"/>
        <d v="2023-10-31T00:00:00"/>
        <d v="2024-01-30T00:00:00"/>
        <d v="2023-10-03T00:00:00"/>
        <d v="2023-08-28T00:00:00"/>
        <d v="2023-07-30T00:00:00"/>
        <d v="2023-07-08T00:00:00"/>
        <d v="2024-02-16T00:00:00"/>
        <d v="2023-07-20T00:00:00"/>
        <d v="2023-11-24T00:00:00"/>
        <d v="2023-07-31T00:00:00"/>
        <d v="2023-08-11T00:00:00"/>
        <d v="2023-08-10T00:00:00"/>
        <d v="2023-11-26T00:00:00"/>
        <d v="2024-02-22T00:00:00"/>
        <d v="2023-12-05T00:00:00"/>
        <d v="2023-11-16T00:00:00"/>
        <d v="2023-09-30T00:00:00"/>
        <d v="2024-01-18T00:00:00"/>
        <d v="2023-12-27T00:00:00"/>
        <d v="2023-10-22T00:00:00"/>
        <d v="2023-09-21T00:00:00"/>
        <d v="2024-03-05T00:00:00"/>
        <d v="2023-12-28T00:00:00"/>
        <d v="2024-03-09T00:00:00"/>
        <d v="2023-09-27T00:00:00"/>
        <d v="2024-02-24T00:00:00"/>
        <d v="2024-01-10T00:00:00"/>
        <d v="2023-07-16T00:00:00"/>
        <d v="2024-01-02T00:00:00"/>
        <d v="2000-08-15T00:00:00"/>
        <d v="2024-01-09T00:00:00"/>
        <d v="2024-02-12T00:00:00"/>
        <d v="2023-11-30T00:00:00"/>
        <d v="2023-12-07T00:00:00"/>
        <d v="2023-11-01T00:00:00"/>
        <d v="2024-03-18T00:00:00"/>
        <d v="2024-01-22T00:00:00"/>
        <d v="2023-08-04T00:00:00"/>
        <d v="2023-11-17T00:00:00"/>
        <d v="2023-09-06T00:00:00"/>
        <d v="2023-08-15T00:00:00"/>
        <d v="2023-09-15T00:00:00"/>
        <d v="2023-08-31T00:00:00"/>
        <d v="2023-09-08T00:00:00"/>
        <d v="2024-03-13T00:00:00"/>
        <s v=" 13/03/2024"/>
        <s v="12/01/2024"/>
        <s v="27/09/2023"/>
        <s v="05/12/2023"/>
        <s v="25/01/2024"/>
        <s v="20/03/2024"/>
        <s v="24/11/2024"/>
        <s v="21/09/2023"/>
        <s v="28/082023"/>
        <s v="10/012/2023"/>
        <s v="24/11/2023"/>
        <s v="18/11/2023"/>
        <s v="18/03/2024"/>
        <s v="22/02/2024"/>
        <s v="10/12/2023"/>
        <s v="31/08/2024"/>
        <s v="22/01/2024"/>
        <s v="18/09/2023"/>
        <s v=" 17/01/2024"/>
        <s v="01/09/2023"/>
        <s v="17/01/2024"/>
        <s v="23/03/2024"/>
        <s v="09/11/2023"/>
        <s v="12/08/2023"/>
        <s v="25/09/2023"/>
        <s v="21/08/2024"/>
        <s v="03/11/2024"/>
        <s v="27/02/2024"/>
        <s v="13/03/2024"/>
        <s v="25/02/2024"/>
        <s v="10/03/2024"/>
        <s v="27/01/2024"/>
        <s v="16/10/2023"/>
        <s v="19/10/2023"/>
        <s v="03/2/08/2023"/>
        <s v="26/04/2024"/>
        <s v="05/10/2024"/>
        <s v="15/03/2024"/>
        <s v="01/01/2024"/>
        <s v="03/09/2023"/>
        <s v="17/08/2023"/>
        <s v="28/08/2024"/>
        <s v="07/03/2024"/>
        <s v="24/03/2024"/>
        <s v="28/11/2023"/>
      </sharedItems>
    </cacheField>
    <cacheField name="Fase do ciclo gravídico" numFmtId="0">
      <sharedItems containsBlank="1" count="13">
        <m/>
        <s v="Pré-natal"/>
        <s v="Trabalho de parto"/>
        <s v="Vinculação a maternidade"/>
        <s v="Inibição da lactação e laqueadura"/>
        <s v="gravidez não confirmada"/>
        <s v="Puerpério"/>
        <s v="Sangramento vaginal pós aborto"/>
        <s v="Aborto"/>
        <s v="Gestação a confirmar "/>
        <s v="Suspeita de gravidez"/>
        <s v="Sangramento vaginal A/E"/>
        <s v="Irregularidade menstrual"/>
      </sharedItems>
    </cacheField>
    <cacheField name="Qual das situações abaixo foi a motivo da procura da gestante " numFmtId="0">
      <sharedItems containsBlank="1" count="311">
        <m/>
        <s v="Pressão alta"/>
        <s v="Cefaléia"/>
        <s v="Corrimento vaginal"/>
        <s v="Alteração de movimentos fetais"/>
        <s v="Sintomas gripais, cefaleia, dor em BV"/>
        <s v="Síndrome gripal (odinofagia, dispneia, febre, mialgia)"/>
        <s v="Síndrome gripal, odinofagia"/>
        <s v="Diarreia"/>
        <s v="Sangramento"/>
        <s v="sintomas gripais ( tosse, coriza, cefaleia)"/>
        <s v="SINTOMAS GRIPAIS "/>
        <s v="SINTOMAS GRIPAIS"/>
        <s v="colicas"/>
        <s v="Dúvida sobre o trabalho de parto"/>
        <s v="Dor pélvica"/>
        <s v="Apresentação córmica/transversa"/>
        <s v="Dúvida sobre via de parto"/>
        <s v="beta HCG reagente "/>
        <s v=" Não tenho sintomas, mas estou com 40 semanas ou mais"/>
        <s v="Eliminação de vermes pelas fezes + sangramento anal espontâneo"/>
        <s v="betaHCG reagente"/>
        <s v="Queixas urinárias"/>
        <s v="Prurido anal, verminose"/>
        <s v="Falta de ar"/>
        <s v="síndrome gripal "/>
        <s v="Dores tipo cólica e contrações."/>
        <s v="Perda de líquido"/>
        <s v="duvidas sobre quando ir para maternidade e sobre continuidade do pré natal"/>
        <s v="cólica"/>
        <s v="Dor de gengiva/ inflamação de gengiva"/>
        <s v="Náuseas e ou vômitos"/>
        <s v="Contrações indolores"/>
        <s v="Síndrome gripal"/>
        <s v="Dor/ inflamação na gengiva"/>
        <s v="Dúvida acerca da USG morfológica"/>
        <s v="Exames laboratoriais alterados: Glicemia; TR/VDRL; Urocultura; Hb; outros)"/>
        <s v="hemorragia ocular"/>
        <s v="Dor tipo cólica e contração na noite passada."/>
        <s v="lesão única na  parte interna da coxa"/>
        <s v="Sufusão hemorrágica em conjuntiva ocular."/>
        <s v="tipagem sanguinea (B-)"/>
        <s v="Gestação prolangada"/>
        <s v="Contrações dolorosas com IG: 35s3d"/>
        <s v="Contrações"/>
        <s v="reação adversa a vacina"/>
        <s v="DESCOBERTA DE GESTAÇÃO INICIAL/ABORTO ANTERIOR"/>
        <s v="Dúvidas relacionadas a gravidez."/>
        <s v="fibroma mole"/>
        <s v="duvidas sobre quando ir para maternidade"/>
        <s v="USG"/>
        <s v="palpitação "/>
        <s v="Contrações de pródromos"/>
        <s v=" ITU + leucorreia, com queixa nova de vomito + diarreia."/>
        <s v="Dores tipo cólica com contrações"/>
        <s v="Dúvidas quanto a USG obstétrica"/>
        <s v="Tosse produtiva"/>
        <s v="Lombalgia"/>
        <s v="Paciente muito ansiosa por medo de perda gestacional"/>
        <s v="Dores em BV + contrações"/>
        <s v="Herpes labial"/>
        <s v="dor em flanco direito - estenose de JUP."/>
        <s v="Contraçoes"/>
        <s v="Epigastralgia "/>
        <s v="Mal estar / desmaio  / hipotensão"/>
        <s v="dor abdominal / epigástrica "/>
        <s v="Reação alérgica à Cefalexina"/>
        <s v="Dor tipo cólica + contrações + sangramento tipo borra"/>
        <s v="Medo de perda gestacional"/>
        <s v="Cefaléia + dor epigástrica"/>
        <s v="Tontura vertigem"/>
        <s v="Epigastralgia"/>
        <s v="Otalgia"/>
        <s v="Sem queixas - Duvidas sobre IG"/>
        <s v="Ansiedade - dúvidas sobre local do PN"/>
        <s v="USG: placenta grau III, feto grande para IG"/>
        <s v="troca de medicamento prescrito para otite (usuária não encontra medicamento para compra)"/>
        <s v="Dor pélvica + sangramento em raio de sangue (1 episódio)"/>
        <s v=" Crise de ansiedade"/>
        <s v="Dor lombar"/>
        <s v="Crise de ansiedade"/>
        <s v="Medica entrou em contato. Quadro de vomitos"/>
        <s v="Dúvida sobre componentes de produto capilar"/>
        <s v="Perda de tampão mucoso e contrações de treinamento"/>
        <s v="Hemorroida "/>
        <s v="Prurido intenso nos pés"/>
        <s v="Dúvida sobre alimentação"/>
        <s v="CONTRAÇÕES"/>
        <s v="Palpitaçao"/>
        <s v="Queda da própria altura"/>
        <s v="queda da própria altura "/>
        <s v="Lesões na pele"/>
        <s v="Não consegue marcar pré natal"/>
        <s v="monitoramento"/>
        <s v="rinite alérgica"/>
        <s v="Dor em BV + vontade de evacuar + sensação de peso na vagina"/>
        <s v="constipação + dor BV"/>
        <s v="dor abd ( regiao umbilical ),+ hiperemia de vulva "/>
        <s v="Dor e edema MIE"/>
        <s v="Dúvida quanto aos sinais do TP"/>
        <s v="Dúvidas sobre LT intraparto e parto humanizado."/>
        <s v="dor ao respirar + dificuldade para respirar"/>
        <s v="Dúvidas com resultado de USG obstétrica."/>
        <s v="Alteração dos níveis de glicemia capilar - HGT."/>
        <s v="prurido intenso no corpo"/>
        <s v="Orientações quanto ao momento para se apresentar à maternidade."/>
        <s v="Cefaleia + náuseas e vômitos"/>
        <s v="cefaleia + nauseas e vomitos"/>
        <s v="Dúvidas quanto ao momento de procurar a maternidade para o parto."/>
        <s v="Dor em BV / abdominal "/>
        <s v="dúvidas USG "/>
        <s v="Dúvida quanto ao resultado da USG obstétrica."/>
        <s v="Desconfortos referentes ao terceiro trimestre."/>
        <s v="Aumento de umidade do canal vaginal."/>
        <s v="Discreto sangramento + diminuição dos movimentos fetais."/>
        <s v="Desconforto pélvico relacionado ao 3º trimestre gestacional."/>
        <s v="duvida na IG "/>
        <s v="Tosse"/>
        <s v="Epigastralgia, azia/queimação"/>
        <s v="contração de treinamento"/>
        <s v="dor de dente"/>
        <s v="Dúvida sobre quando deveria ir à maternidade"/>
        <s v="enjoo"/>
        <s v="Sonolência"/>
        <s v="Dúvida sobre onde iniciar o PN"/>
        <s v="Agendamento de PN"/>
        <s v="Hemorroida"/>
        <s v="Dúvida sobre USG"/>
        <s v="perfil glicêmico alterado "/>
        <s v="azia e refluxo"/>
        <s v="cefaléia + turvação visual"/>
        <s v="Orientações quanto ao momento do parto."/>
        <s v="Contrações e pirose"/>
        <s v="Dor genital"/>
        <s v="Dúvida sobre via de parto (iterativa 2) e laqueadura intraparto"/>
        <s v="Dúvidas quanto aos resultados dos exames solicitados na 1ª consulta."/>
        <s v="cólicas"/>
        <s v="Cansaço físico/indisposição/náusea"/>
        <s v="Febre / Sinais de infecção"/>
        <s v="DIARREIA + MAL ESTAR"/>
        <s v="Acne"/>
        <s v="Desconforto na vagina"/>
        <s v="Mostrar exames e tirar dúvidas sobre o final da gestação"/>
        <s v="Queixas relacionadas a saúde mental"/>
        <s v="CONTRAÇÃO ? + EPIGASTRALGIA"/>
        <s v="Dor aguda em joelho direito."/>
        <s v="gestação confirmada "/>
        <s v="Máculas acastanhadas em mãos, pés e barriga"/>
        <s v="Dúvidas quanto aos sinais de alerta em crise de asma na gestação."/>
        <s v="Dúvidas quanto ao resultado da USG."/>
        <s v="Dúvidas quanto ao trabalho de parto."/>
        <s v="Assintomática // Chegou na DPP"/>
        <s v="Diarreia leve"/>
        <s v="Dúvida sobre uso de cosmético"/>
        <s v="Assintomática. Esta na DPP"/>
        <s v="Contrações de Braxton Hicks"/>
        <s v="Choque elétrico"/>
        <s v="Confirmação de acesso"/>
        <s v="duvida sobre horario da dexametasona"/>
        <s v="Dúvida sobre cosmético"/>
        <s v="Diarreia durante o tratamento para ITU"/>
        <s v="Odontalgia"/>
        <s v="Pápula eritematosa e pruriginosa no abdome"/>
        <s v="Sangramento e cólicas em baixo ventre"/>
        <s v="Via de parto"/>
        <s v="Laqueadura Tubária"/>
        <s v="Dor abdominal + diarreia com sangue"/>
        <s v="Dúvida sobre quando ir à maternidade"/>
        <s v="Chegou na DPP"/>
        <s v="Duvidas sobre quando ir a maternidade 40sem 3 dias"/>
        <s v="Iniciar o pré-natal na APS"/>
        <s v="Covid-19"/>
        <s v="Covid 19"/>
        <s v="Dúvidas quanto a Idade gestacional."/>
        <s v="Pirose"/>
        <s v="Documentação para clexane"/>
        <s v="Dor lombar e MID"/>
        <s v="Inicio do PN"/>
        <s v="Azia e queimação."/>
        <s v="Picada de inseto em MMII"/>
        <s v="Orientações quanto ao momento do parto"/>
        <s v="Diarreia + dor epigastrica + nausea"/>
        <s v="DOR EM PERNA DIREITA"/>
        <s v="Duvida sobre onde marcar ecocardio"/>
        <s v="dor em MID"/>
        <s v="lesão cutânea com prurido"/>
        <s v="Alteração em exame de  USG"/>
        <s v="Lesão em mamilo"/>
        <s v="contrações braxton hicks"/>
        <s v="Desconforto pélvico no 3º trimestre"/>
        <s v="pre natal "/>
        <s v="colicas, gestação nao confirmada "/>
        <s v="suspeita de gestação  "/>
        <s v="Perda de tampão mucoso"/>
        <s v="Perda de tampão mucoso."/>
        <s v="Dúvidas sobre exames e suplementação vitamínica"/>
        <s v="Dúvidas quanto aos sinais de trabalho de parto e parto."/>
        <s v="Desconforto abdominal e secreção vaginal"/>
        <s v="Lombalgia e dor em MMII"/>
        <s v="Prurido"/>
        <s v="Cálculo de idade gestacional"/>
        <s v="Hiperglicemia capilar"/>
        <s v="40s (sic) pela usg 38s2d"/>
        <s v="cefaleia"/>
        <s v="dor no gluteo"/>
        <s v="Duvida sobre quando internar"/>
        <s v="Cefaleia, náuseas e vômitos."/>
        <s v="Medo de complicações por ter engravidado utilizando DIU"/>
        <s v="Náuseas e ou vômitos, cafaleia"/>
        <s v="dor/desconforto gástrico"/>
        <s v="Cólicas e sangramento transvaginal"/>
        <s v="Adontalgia"/>
        <s v="Cólicas e sangramento vaginal"/>
        <s v="constipação"/>
        <s v="Atestado médico"/>
        <s v="duvidas porque perdeu tampao mucoso e nao teve PN "/>
        <s v="Artralgia e mialgia"/>
        <s v="Trabalho de parto"/>
        <s v="GECA "/>
        <s v="Dúvida sobre medicação"/>
        <s v="Odontologia"/>
        <s v="GECA"/>
        <s v="TAMPAO MUCOSO"/>
        <s v="Herpes genital"/>
        <s v="Reagendamento de consulta"/>
        <s v="Rash na barriga"/>
        <s v="duvidas sobre espera do TP"/>
        <s v="cervicalgia "/>
        <s v="Dúvidas quanto ao tempo de gestação e parto, secreção vaginal"/>
        <s v="Dúvida sobre quando deve ir à maternidade"/>
        <s v="Dor muscular"/>
        <s v="Prurido em MMII"/>
        <s v="ARBOVIROSE "/>
        <s v="ARBOVIROSE"/>
        <s v="Varicela"/>
        <s v="Dengue/Arbovirose"/>
        <s v="prurido e lesões no corpo"/>
        <s v="Apresentação pélvica"/>
        <s v="dor em dente"/>
        <s v="Prurido e manchas em pele."/>
        <s v="Dor lombar com irradiação para MMII"/>
        <s v="Planejamento familiar - laqueadura tubária"/>
        <s v="Dúvidas USG"/>
        <s v="Náuseas, Vômitos e Diarreia"/>
        <s v="Corticoterapia para gemelar"/>
        <s v="Lesão de pele"/>
        <s v="Solicitação de reagendamento do PNAR"/>
        <s v="Dúvidas sobre DMG"/>
        <s v="dor na panturrilha"/>
        <s v="Contrações de treinamento"/>
        <s v="Dor precordial"/>
        <s v="duvidas sobre pos datismo"/>
        <s v="Dor em MIE"/>
        <s v="Dúvida sobre idade gestacional"/>
        <s v="Dúvida sobre o diagnóstico de DMG"/>
        <s v="Desejo de iniciar licença maternidade"/>
        <s v="Dúvida sobre DPP e trabalho de parto"/>
        <s v="contrações "/>
        <s v="Efeito adverso à vacinas."/>
        <s v="Perda de líquido e sintomas gripais"/>
        <s v="Perda de líquido / Sintomas Gripais"/>
        <s v="IG avançada sem sinais de TP"/>
        <s v="IG avançada"/>
        <s v="Gravidez indesejada + desejo por abortamento + náuseas"/>
        <s v="contrações uterinas"/>
        <s v="Desconforto abdominal/Gases"/>
        <s v="Nódulos mamários"/>
        <s v="USG risco de pré-eclampsia"/>
        <s v="Suspeita de dengue"/>
        <s v="Diarréia + nauseas"/>
        <s v="estou com 40 semanas"/>
        <s v="Virose com quadro intestinal"/>
        <s v="Odontalgia + cefaléia + otalgia"/>
        <s v="tosse seca"/>
        <s v="Dor abdominal difusa"/>
        <s v="Discreto ardor vulvar."/>
        <s v="ITU + dúvidas quanto ao resultado de exames laboratoriais"/>
        <s v="Dúvida sobre produtos para cabelo"/>
        <s v="Gestação prolongada + HASC "/>
        <s v="Dor no abdome"/>
        <s v="Acesso à consulta de PN"/>
        <s v="Dúvidas sobre trabalho de parto"/>
        <s v="HASC + IG avançada"/>
        <s v="duvida sobre via de parto"/>
        <s v="Sono excessivo"/>
        <s v="Dor muscular em região inframamária esquerda"/>
        <s v="Dor pélvica e secreção vaginal"/>
        <s v="Pressão na pelve"/>
        <s v="Dor pélvica + secreção vaginal"/>
        <s v="cólicas gastrointestinais "/>
        <s v="Dor em flanco direito "/>
        <s v="Perda de tampão mucoso/ cerclagem"/>
        <s v="Solicitação de mediação para agendamento PNAR."/>
        <s v="Sem acompanhamento pré natal"/>
        <s v="Contações"/>
        <s v="sem acompanhamento de pré-natal"/>
        <s v="dor em flanco direito"/>
        <s v="duvidas quanto ao trabalho de parto (40s)"/>
        <s v="tampão mucoso"/>
        <s v="edema no local da injeção (benzetacil)"/>
        <s v="Ansiedade sobre momento do parto/ internamento"/>
        <s v="Solicitação de mediação PNAR / perda de líquido"/>
        <s v="Foliculite"/>
        <s v="Foliculite?"/>
        <s v="Sintomas respiratórios"/>
        <s v="Desconforto pélvico e lombar"/>
        <s v="Diarréia "/>
        <s v="USG alterada 8s4d sem AC"/>
        <s v="Pródromos de trabalho de parto"/>
        <s v="QUANDO PROCURAR A MATERNIDADE  (GUTT+ DMG)"/>
        <s v="Dúvida de quando ir para maternidade"/>
      </sharedItems>
    </cacheField>
    <cacheField name="Qual o motivo da consulta " numFmtId="0">
      <sharedItems containsBlank="1" count="15">
        <m/>
        <s v="Falso trabalho de parto/ Contraçao de treinamento"/>
        <s v="Trabalho de parto com pródromos"/>
        <s v="Dúvida acerca de quando deveria ir à maternidade"/>
        <s v="BR?"/>
        <s v="Trabalho de parto fase ativa"/>
        <s v="Trabalho de parto prematuro"/>
        <s v="41 simanas "/>
        <s v="41semanas"/>
        <s v="Contração "/>
        <s v="Pós-datismo"/>
        <s v="Contrações de Braxton Hicks "/>
        <s v="Contrações de Braxton Hicks"/>
        <s v="Indução de tp por idade gestacional"/>
        <s v="prodromos"/>
      </sharedItems>
    </cacheField>
    <cacheField name="Qual o motivo da procura pelo atende gestante? " numFmtId="0">
      <sharedItems containsBlank="1" count="35">
        <m/>
        <s v="Consulta puerperal"/>
        <s v="sindrome gripal"/>
        <s v="Secreção em ferida operatória"/>
        <s v="Cuidados/ retirada de pontos"/>
        <s v="Drenagem de secreção seropurulenta em FO"/>
        <s v="Infecção de FO"/>
        <s v="Planejamento Familiar/Cuidados pós aborto"/>
        <s v="corrimento vaginal"/>
        <s v="Doença hemorroidária no puerpério."/>
        <s v="Queixas relacionadas à amamentação"/>
        <s v="Hemorroida "/>
        <s v="cefaleia"/>
        <s v="FO com secreção serosanguinolenta"/>
        <s v="Rafia de laceração com ardência e prurido"/>
        <s v="Exsudato em FO"/>
        <s v="secreção em FO"/>
        <s v="Dor em região sacral."/>
        <s v="Dificuldade na aceitação da perda gestacional."/>
        <s v="Exames no puerpério: HAS/DHEG, DMG/DM"/>
        <s v="Sangramento vaginal persistente após um aborto espontâneo"/>
        <s v="Cuidados com a(o) bebê"/>
        <s v="Sintomas gripais"/>
        <s v="Dúvidas quanto ao seu estado de saúde."/>
        <s v="dor epigastrica"/>
        <s v="Desconforto abdominal"/>
        <s v="Dispneia, disúria"/>
        <s v="corrimento vaginal mais sangramento discreto"/>
        <s v="dor em região de FO + disúria + tristeza puerperal (sugestivo de baby blues)+ dúvidas sobre os lóquios"/>
        <s v="Dor na F.O"/>
        <s v="Cefaleia + PA = 140 x 100"/>
        <s v="cefaleia + HAS"/>
        <s v="Dor e distensão abdominal"/>
        <s v="Desconforto abdominal "/>
        <s v="dor em MMII"/>
      </sharedItems>
    </cacheField>
    <cacheField name="Tipo de atendimento realizado" numFmtId="0">
      <sharedItems containsBlank="1" containsNumber="1" containsInteger="1" containsMixedTypes="1" count="7">
        <m/>
        <s v="Teleconsulta"/>
        <s v="Teletriagem"/>
        <s v="Telemonitoramento"/>
        <n v="989" u="1"/>
        <n v="569" u="1"/>
        <n v="6" u="1"/>
      </sharedItems>
    </cacheField>
    <cacheField name="Neste momento, foi necessário converter para o atendimento presencial?" numFmtId="0">
      <sharedItems containsBlank="1" count="8">
        <m/>
        <s v="NÃO"/>
        <s v="SIM: Urgência/ emergência"/>
        <s v="SIM: Inadequação do ambiente virtual (ampliação do exame físico/ anamnese)"/>
        <s v="NÃO: Já está na maternidade"/>
        <s v="NÃO: Já está na USF"/>
        <s v="SIM: Problemas de identificação"/>
        <s v="SIM: Dificuldades técnicas e/ou de comunicação"/>
      </sharedItems>
    </cacheField>
    <cacheField name="Foi necessário encaminhamento para outro serviço?" numFmtId="0">
      <sharedItems containsBlank="1" count="6">
        <m/>
        <s v="NÃO"/>
        <s v="SIM, para Atenção Primária em Saúde"/>
        <s v="SIM, para Maternidade"/>
        <s v="SIM, situação não relacionada ao período gravídico-puerperal"/>
        <s v="SIM, para o SAMU"/>
      </sharedItems>
    </cacheField>
    <cacheField name="A condição gerou oferta de teleinterconsulta?" numFmtId="0">
      <sharedItems containsBlank="1" count="4">
        <m/>
        <s v="SIM"/>
        <s v="NÃO"/>
        <s v=" "/>
      </sharedItems>
    </cacheField>
    <cacheField name="Gestante já vinculada à APS?" numFmtId="0">
      <sharedItems containsBlank="1" count="3">
        <m/>
        <s v="SIM"/>
        <s v="NÃO"/>
      </sharedItems>
    </cacheField>
    <cacheField name="Gestante já vinculada à maternidade?" numFmtId="0">
      <sharedItems containsBlank="1" count="4">
        <m/>
        <s v="NÃO"/>
        <s v="SIM"/>
        <s v="Não questionado"/>
      </sharedItems>
    </cacheField>
    <cacheField name="Encaminhado para outro profissional do Telessaúde?" numFmtId="0">
      <sharedItems containsBlank="1" count="6">
        <m/>
        <s v="NÃO"/>
        <s v="SIM"/>
        <s v="SIM, Médica ou Enfermeira"/>
        <s v="SIM, Nutricionista"/>
        <s v="SIM, Apoio Emocional"/>
      </sharedItems>
    </cacheField>
    <cacheField name="Realizar telemonitoramento?" numFmtId="0">
      <sharedItems containsBlank="1" count="3">
        <m/>
        <s v="SIM"/>
        <s v="NÃO"/>
      </sharedItems>
    </cacheField>
    <cacheField name="Qual a data para realizar o telemonitoramento?" numFmtId="0">
      <sharedItems containsString="0" containsBlank="1" containsNonDate="0" containsDate="1" minDate="2022-06-27T00:00:00" maxDate="2024-06-07T00:00:00" count="362">
        <m/>
        <d v="2022-11-10T00:00:00"/>
        <d v="2022-12-01T00:00:00"/>
        <d v="2022-12-15T00:00:00"/>
        <d v="2023-01-02T00:00:00"/>
        <d v="2023-01-03T00:00:00"/>
        <d v="2023-01-11T00:00:00"/>
        <d v="2023-01-16T00:00:00"/>
        <d v="2023-01-25T00:00:00"/>
        <d v="2023-01-26T00:00:00"/>
        <d v="2023-01-27T00:00:00"/>
        <d v="2023-03-17T00:00:00"/>
        <d v="2023-03-20T00:00:00"/>
        <d v="2023-03-21T00:00:00"/>
        <d v="2023-04-07T00:00:00"/>
        <d v="2023-04-20T00:00:00"/>
        <d v="2023-04-24T00:00:00"/>
        <d v="2023-05-03T00:00:00"/>
        <d v="2023-05-04T00:00:00"/>
        <d v="2023-05-08T00:00:00"/>
        <d v="2023-05-11T00:00:00"/>
        <d v="2023-05-09T00:00:00"/>
        <d v="2023-05-22T00:00:00"/>
        <d v="2023-05-31T00:00:00"/>
        <d v="2023-06-01T00:00:00"/>
        <d v="2023-05-01T00:00:00"/>
        <d v="2023-06-02T00:00:00"/>
        <d v="2023-06-03T00:00:00"/>
        <d v="2023-06-07T00:00:00"/>
        <d v="2023-06-04T00:00:00"/>
        <d v="2023-06-05T00:00:00"/>
        <d v="2023-06-06T00:00:00"/>
        <d v="2023-06-08T00:00:00"/>
        <d v="2023-06-09T00:00:00"/>
        <d v="2023-06-14T00:00:00"/>
        <d v="2023-06-10T00:00:00"/>
        <d v="2023-06-12T00:00:00"/>
        <d v="2023-06-11T00:00:00"/>
        <d v="2023-06-16T00:00:00"/>
        <d v="2023-06-13T00:00:00"/>
        <d v="2023-06-27T00:00:00"/>
        <d v="2023-06-15T00:00:00"/>
        <d v="2023-06-17T00:00:00"/>
        <d v="2023-06-30T00:00:00"/>
        <d v="2023-06-18T00:00:00"/>
        <d v="2023-06-19T00:00:00"/>
        <d v="2023-06-21T00:00:00"/>
        <d v="2023-06-20T00:00:00"/>
        <d v="2023-06-22T00:00:00"/>
        <d v="2023-06-23T00:00:00"/>
        <d v="2023-06-26T00:00:00"/>
        <d v="2023-06-25T00:00:00"/>
        <d v="2023-06-28T00:00:00"/>
        <d v="2022-06-27T00:00:00"/>
        <d v="2023-07-01T00:00:00"/>
        <d v="2023-06-29T00:00:00"/>
        <d v="2023-07-04T00:00:00"/>
        <d v="2023-07-02T00:00:00"/>
        <d v="2023-07-03T00:00:00"/>
        <d v="2023-07-05T00:00:00"/>
        <d v="2023-07-06T00:00:00"/>
        <d v="2023-07-07T00:00:00"/>
        <d v="2023-07-09T00:00:00"/>
        <d v="2023-07-08T00:00:00"/>
        <d v="2023-07-12T00:00:00"/>
        <d v="2023-07-11T00:00:00"/>
        <d v="2023-07-13T00:00:00"/>
        <d v="2023-07-14T00:00:00"/>
        <d v="2023-07-17T00:00:00"/>
        <d v="2023-07-15T00:00:00"/>
        <d v="2023-07-21T00:00:00"/>
        <d v="2023-07-16T00:00:00"/>
        <d v="2023-07-18T00:00:00"/>
        <d v="2023-07-19T00:00:00"/>
        <d v="2023-07-20T00:00:00"/>
        <d v="2023-07-22T00:00:00"/>
        <d v="2023-07-23T00:00:00"/>
        <d v="2023-07-26T00:00:00"/>
        <d v="2023-07-27T00:00:00"/>
        <d v="2023-08-03T00:00:00"/>
        <d v="2023-07-29T00:00:00"/>
        <d v="2023-07-30T00:00:00"/>
        <d v="2023-07-31T00:00:00"/>
        <d v="2023-08-01T00:00:00"/>
        <d v="2023-08-02T00:00:00"/>
        <d v="2023-08-04T00:00:00"/>
        <d v="2023-08-06T00:00:00"/>
        <d v="2023-08-05T00:00:00"/>
        <d v="2023-08-08T00:00:00"/>
        <d v="2023-08-07T00:00:00"/>
        <d v="2023-08-17T00:00:00"/>
        <d v="2023-08-09T00:00:00"/>
        <d v="2023-08-11T00:00:00"/>
        <d v="2023-08-12T00:00:00"/>
        <d v="2023-08-13T00:00:00"/>
        <d v="2023-08-14T00:00:00"/>
        <d v="2023-08-15T00:00:00"/>
        <d v="2023-08-18T00:00:00"/>
        <d v="2023-08-19T00:00:00"/>
        <d v="2023-08-22T00:00:00"/>
        <d v="2023-08-20T00:00:00"/>
        <d v="2023-08-21T00:00:00"/>
        <d v="2023-08-23T00:00:00"/>
        <d v="2023-08-24T00:00:00"/>
        <d v="2023-08-25T00:00:00"/>
        <d v="2023-08-26T00:00:00"/>
        <d v="2023-08-29T00:00:00"/>
        <d v="2023-08-30T00:00:00"/>
        <d v="2023-08-31T00:00:00"/>
        <d v="2023-09-01T00:00:00"/>
        <d v="2023-09-03T00:00:00"/>
        <d v="2023-09-02T00:00:00"/>
        <d v="2023-09-04T00:00:00"/>
        <d v="2023-09-05T00:00:00"/>
        <d v="2023-09-08T00:00:00"/>
        <d v="2023-09-10T00:00:00"/>
        <d v="2023-09-11T00:00:00"/>
        <d v="2023-09-13T00:00:00"/>
        <d v="2023-09-12T00:00:00"/>
        <d v="2023-09-14T00:00:00"/>
        <d v="2023-09-16T00:00:00"/>
        <d v="2023-09-15T00:00:00"/>
        <d v="2023-09-18T00:00:00"/>
        <d v="2023-09-17T00:00:00"/>
        <d v="2023-09-19T00:00:00"/>
        <d v="2023-09-21T00:00:00"/>
        <d v="2023-09-23T00:00:00"/>
        <d v="2023-09-22T00:00:00"/>
        <d v="2023-09-24T00:00:00"/>
        <d v="2023-09-25T00:00:00"/>
        <d v="2023-09-26T00:00:00"/>
        <d v="2023-09-28T00:00:00"/>
        <d v="2023-09-29T00:00:00"/>
        <d v="2023-10-01T00:00:00"/>
        <d v="2023-10-03T00:00:00"/>
        <d v="2023-03-05T00:00:00"/>
        <d v="2023-10-05T00:00:00"/>
        <d v="2023-10-04T00:00:00"/>
        <d v="2023-10-06T00:00:00"/>
        <d v="2023-10-07T00:00:00"/>
        <d v="2023-10-10T00:00:00"/>
        <d v="2023-10-09T00:00:00"/>
        <d v="2023-10-12T00:00:00"/>
        <d v="2023-10-11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8T00:00:00"/>
        <d v="2023-10-27T00:00:00"/>
        <d v="2023-10-30T00:00:00"/>
        <d v="2023-10-31T00:00:00"/>
        <d v="2023-11-01T00:00:00"/>
        <d v="2023-11-02T00:00:00"/>
        <d v="2023-11-03T00:00:00"/>
        <d v="2023-11-04T00:00:00"/>
        <d v="2023-11-05T00:00:00"/>
        <d v="2023-11-06T00:00:00"/>
        <d v="2023-11-07T00:00:00"/>
        <d v="2023-11-08T00:00:00"/>
        <d v="2023-11-09T00:00:00"/>
        <d v="2023-11-10T00:00:00"/>
        <d v="2023-11-11T00:00:00"/>
        <d v="2023-11-14T00:00:00"/>
        <d v="2023-11-15T00:00:00"/>
        <d v="2023-11-16T00:00:00"/>
        <d v="2023-11-17T00:00:00"/>
        <d v="2023-11-18T00:00:00"/>
        <d v="2023-11-19T00:00:00"/>
        <d v="2023-11-21T00:00:00"/>
        <d v="2023-11-23T00:00:00"/>
        <d v="2023-11-22T00:00:00"/>
        <d v="2023-11-24T00:00:00"/>
        <d v="2023-11-25T00:00:00"/>
        <d v="2023-11-27T00:00:00"/>
        <d v="2023-11-26T00:00:00"/>
        <d v="2023-11-28T00:00:00"/>
        <d v="2023-11-29T00:00:00"/>
        <d v="2023-11-30T00:00:00"/>
        <d v="2023-12-01T00:00:00"/>
        <d v="2023-12-02T00:00:00"/>
        <d v="2023-12-03T00:00:00"/>
        <d v="2023-12-05T00:00:00"/>
        <d v="2023-12-04T00:00:00"/>
        <d v="2023-12-06T00:00:00"/>
        <d v="2023-12-07T00:00:00"/>
        <d v="2023-12-08T00:00:00"/>
        <d v="2023-12-09T00:00:00"/>
        <d v="2023-12-10T00:00:00"/>
        <d v="2023-12-12T00:00:00"/>
        <d v="2023-12-11T00:00:00"/>
        <d v="2023-12-15T00:00:00"/>
        <d v="2023-12-13T00:00:00"/>
        <d v="2023-12-14T00:00:00"/>
        <d v="2023-12-16T00:00:00"/>
        <d v="2023-12-17T00:00:00"/>
        <d v="2023-12-18T00:00:00"/>
        <d v="2024-01-01T00:00:00"/>
        <d v="2023-12-19T00:00:00"/>
        <d v="2023-12-20T00:00:00"/>
        <d v="2023-12-22T00:00:00"/>
        <d v="2023-12-21T00:00:00"/>
        <d v="2023-12-29T00:00:00"/>
        <d v="2023-12-23T00:00:00"/>
        <d v="2023-12-26T00:00:00"/>
        <d v="2023-12-27T00:00:00"/>
        <d v="2023-12-28T00:00:00"/>
        <d v="2023-12-30T00:00:00"/>
        <d v="2023-12-31T00:00:00"/>
        <d v="2024-01-02T00:00:00"/>
        <d v="2024-01-03T00:00:00"/>
        <d v="2024-01-04T00:00:00"/>
        <d v="2024-01-05T00:00:00"/>
        <d v="2024-01-06T00:00:00"/>
        <d v="2024-01-09T00:00:00"/>
        <d v="2024-01-07T00:00:00"/>
        <d v="2024-01-10T00:00:00"/>
        <d v="2024-01-11T00:00:00"/>
        <d v="2024-01-12T00:00:00"/>
        <d v="2024-01-13T00:00:00"/>
        <d v="2024-01-14T00:00:00"/>
        <d v="2024-01-15T00:00:00"/>
        <d v="2024-01-17T00:00:00"/>
        <d v="2024-01-24T00:00:00"/>
        <d v="2024-01-31T00:00:00"/>
        <d v="2024-01-18T00:00:00"/>
        <d v="2024-01-19T00:00:00"/>
        <d v="2024-01-22T00:00:00"/>
        <d v="2024-01-20T00:00:00"/>
        <d v="2024-01-23T00:00:00"/>
        <d v="2024-01-25T00:00:00"/>
        <d v="2024-01-27T00:00:00"/>
        <d v="2024-01-28T00:00:00"/>
        <d v="2024-01-30T00:00:00"/>
        <d v="2024-02-01T00:00:00"/>
        <d v="2024-02-02T00:00:00"/>
        <d v="2024-02-03T00:00:00"/>
        <d v="2024-02-05T00:00:00"/>
        <d v="2024-02-07T00:00:00"/>
        <d v="2024-02-08T00:00:00"/>
        <d v="2024-02-10T00:00:00"/>
        <d v="2024-02-09T00:00:00"/>
        <d v="2024-02-11T00:00:00"/>
        <d v="2024-02-12T00:00:00"/>
        <d v="2024-02-13T00:00:00"/>
        <d v="2024-02-14T00:00:00"/>
        <d v="2024-02-15T00:00:00"/>
        <d v="2024-02-16T00:00:00"/>
        <d v="2024-02-17T00:00:00"/>
        <d v="2024-02-18T00:00:00"/>
        <d v="2024-02-19T00:00:00"/>
        <d v="2024-02-20T00:00:00"/>
        <d v="2024-02-21T00:00:00"/>
        <d v="2024-02-22T00:00:00"/>
        <d v="2024-03-02T00:00:00"/>
        <d v="2024-02-25T00:00:00"/>
        <d v="2024-02-23T00:00:00"/>
        <d v="2024-02-24T00:00:00"/>
        <d v="2024-02-26T00:00:00"/>
        <d v="2024-03-01T00:00:00"/>
        <d v="2024-02-27T00:00:00"/>
        <d v="2024-02-29T00:00:00"/>
        <d v="2024-03-03T00:00:00"/>
        <d v="2024-03-04T00:00:00"/>
        <d v="2024-03-05T00:00:00"/>
        <d v="2024-03-09T00:00:00"/>
        <d v="2024-03-06T00:00:00"/>
        <d v="2024-03-07T00:00:00"/>
        <d v="2024-03-10T00:00:00"/>
        <d v="2024-03-08T00:00:00"/>
        <d v="2024-03-19T00:00:00"/>
        <d v="2024-03-11T00:00:00"/>
        <d v="2024-03-13T00:00:00"/>
        <d v="2024-03-12T00:00:00"/>
        <d v="2024-03-15T00:00:00"/>
        <d v="2024-03-14T00:00:00"/>
        <d v="2024-03-16T00:00:00"/>
        <d v="2024-03-17T00:00:00"/>
        <d v="2024-03-21T00:00:00"/>
        <d v="2024-03-20T00:00:00"/>
        <d v="2024-03-27T00:00:00"/>
        <d v="2024-03-22T00:00:00"/>
        <d v="2024-03-23T00:00:00"/>
        <d v="2024-03-24T00:00:00"/>
        <d v="2024-03-25T00:00:00"/>
        <d v="2024-03-26T00:00:00"/>
        <d v="2024-03-28T00:00:00"/>
        <d v="2024-03-29T00:00:00"/>
        <d v="2024-04-01T00:00:00"/>
        <d v="2024-03-30T00:00:00"/>
        <d v="2024-03-31T00:00:00"/>
        <d v="2024-04-02T00:00:00"/>
        <d v="2024-04-04T00:00:00"/>
        <d v="2024-04-05T00:00:00"/>
        <d v="2024-04-06T00:00:00"/>
        <d v="2024-04-12T00:00:00"/>
        <d v="2024-04-08T00:00:00"/>
        <d v="2024-04-10T00:00:00"/>
        <d v="2024-04-19T00:00:00"/>
        <d v="2024-04-09T00:00:00"/>
        <d v="2024-04-11T00:00:00"/>
        <d v="2024-04-13T00:00:00"/>
        <d v="2024-04-14T00:00:00"/>
        <d v="2024-04-15T00:00:00"/>
        <d v="2024-04-16T00:00:00"/>
        <d v="2024-04-17T00:00:00"/>
        <d v="2024-04-18T00:00:00"/>
        <d v="2024-04-20T00:00:00"/>
        <d v="2024-04-22T00:00:00"/>
        <d v="2024-04-21T00:00:00"/>
        <d v="2024-04-23T00:00:00"/>
        <d v="2024-04-24T00:00:00"/>
        <d v="2024-04-25T00:00:00"/>
        <d v="2024-04-26T00:00:00"/>
        <d v="2024-04-27T00:00:00"/>
        <d v="2024-04-29T00:00:00"/>
        <d v="2024-04-28T00:00:00"/>
        <d v="2024-05-02T00:00:00"/>
        <d v="2024-05-03T00:00:00"/>
        <d v="2024-05-04T00:00:00"/>
        <d v="2024-05-05T00:00:00"/>
        <d v="2024-05-06T00:00:00"/>
        <d v="2024-05-15T00:00:00"/>
        <d v="2024-05-07T00:00:00"/>
        <d v="2024-05-16T00:00:00"/>
        <d v="2024-05-08T00:00:00"/>
        <d v="2024-05-09T00:00:00"/>
        <d v="2024-05-10T00:00:00"/>
        <d v="2024-05-13T00:00:00"/>
        <d v="2024-05-12T00:00:00"/>
        <d v="2024-05-14T00:00:00"/>
        <d v="2024-05-21T00:00:00"/>
        <d v="2024-05-17T00:00:00"/>
        <d v="2024-05-18T00:00:00"/>
        <d v="2024-05-20T00:00:00"/>
        <d v="2024-05-19T00:00:00"/>
        <d v="2024-05-22T00:00:00"/>
        <d v="2024-05-24T00:00:00"/>
        <d v="2024-05-23T00:00:00"/>
        <d v="2024-05-27T00:00:00"/>
        <d v="2024-05-25T00:00:00"/>
        <d v="2024-05-26T00:00:00"/>
        <d v="2024-05-28T00:00:00"/>
        <d v="2024-05-29T00:00:00"/>
        <d v="2024-05-31T00:00:00"/>
        <d v="2024-05-30T00:00:00"/>
        <d v="2024-06-03T00:00:00"/>
        <d v="2024-06-02T00:00:00"/>
        <d v="2024-06-05T00:00:00"/>
        <d v="2024-06-06T00:00:00"/>
        <d v="2024-06-04T00:00:00"/>
        <d v="2024-06-07T00:00:00"/>
      </sharedItems>
    </cacheField>
    <cacheField name="O atendimento foi realizado por:" numFmtId="0">
      <sharedItems containsBlank="1" count="4">
        <m/>
        <s v="Videochamada"/>
        <s v="Telefone"/>
        <s v="HopChat"/>
      </sharedItems>
    </cacheField>
    <cacheField name="Selecione o tipo de demanda" numFmtId="0">
      <sharedItems containsBlank="1" count="8">
        <m/>
        <s v="Dentro do horário da USF (segunda a sexta das 8h às 17h)"/>
        <s v="Demanda noturna durante dias de semana (das 19h às 7h)"/>
        <s v="Não se aplica"/>
        <s v="Demanda noturna em dias do final de semana ou feriado/ ponto facultativo"/>
        <s v="Fora do horário da USF mas de segunda a sexta das 7h-8h ou 17h às 19h"/>
        <s v="Fora do horário da USF (finais de semana ou feriado/ponto facultativo 07 as 19h)"/>
        <s v="Demanda Noturna (segunda a sexta das 19h às 07h)"/>
      </sharedItems>
    </cacheField>
    <cacheField name="Motivo de busca por atendimento no Atende Gestante" numFmtId="0">
      <sharedItems containsBlank="1" count="14">
        <m/>
        <s v="Ausência de profissional assistente na sua unidade de saúde"/>
        <s v="Por escolha da usuária"/>
        <s v="Fora do dia ou horário de funcionamento da sua unidade de saúde"/>
        <s v="Não se aplica"/>
        <s v="Não conseguiu atendimento na sua unidade de saúde"/>
        <s v="Profissional da unidade entrou em contato no momento da consulta de PN "/>
        <s v="Gestante iniciou PN Sanharó, depois mudou-se para Recife e continuou o acompanhamento. Há menos de 1 mês mudou-se para Olinda. Unidade realiza busca ativa dia 31/05 no endereço de Olinda e não encontra paciente."/>
        <s v="Atendida na unidade por enfermeira, mas não conseguiu tirar duvidas e resolver questoes relacionas a PA"/>
        <s v="Alta do PN"/>
        <s v="paciente estava no CAPS "/>
        <s v="Gestante atendida pelo plano de saúde SASSEPE, teve dificuldade de realizar exame de USG renal e entra em contato para pedir ajuda a rede municipal. Refere que tem estenose de JUP."/>
        <s v="Já tinha sido atendida anteriormente e orientada a retornar com resultado do exame de urina."/>
        <s v="TINC - Atendimento compartilhado"/>
      </sharedItems>
    </cacheField>
    <cacheField name="Número WhatsApp" numFmtId="0">
      <sharedItems containsBlank="1" containsNumber="1" containsInteger="1" containsMixedTypes="1" count="743">
        <m/>
        <n v="81985937671"/>
        <n v="81984696256"/>
        <n v="81996295001"/>
        <n v="81984531903"/>
        <n v="81985904153"/>
        <n v="81985880259"/>
        <n v="81999032761"/>
        <n v="81998028449"/>
        <n v="81994615795"/>
        <n v="81985708726"/>
        <n v="81996721255"/>
        <n v="81986310755"/>
        <n v="81983652242"/>
        <n v="81984558250"/>
        <n v="81992693254"/>
        <n v="81988890611"/>
        <n v="81982403574"/>
        <n v="81999760929"/>
        <n v="81988225700"/>
        <n v="81988872899"/>
        <n v="81988510579"/>
        <n v="81997477925"/>
        <n v="81999948085"/>
        <n v="81997216279"/>
        <n v="81983231984"/>
        <n v="81989143627"/>
        <n v="81985247497"/>
        <n v="81992191649"/>
        <n v="81996790643"/>
        <n v="81998415931"/>
        <n v="81986167867"/>
        <n v="81999126856"/>
        <n v="81986628161"/>
        <n v="81997646410"/>
        <n v="81985120818"/>
        <n v="81984643831"/>
        <n v="81984182678"/>
        <n v="81985052920"/>
        <n v="81983454381"/>
        <n v="87991887250"/>
        <n v="81984639958"/>
        <n v="81996713494"/>
        <n v="81982131914"/>
        <n v="81991976460"/>
        <n v="81986584843"/>
        <n v="81988985623"/>
        <n v="81985301931"/>
        <n v="81985193432"/>
        <n v="81996189614"/>
        <n v="81996333421"/>
        <n v="81999556709"/>
        <n v="81987031353"/>
        <n v="81988169461"/>
        <n v="81989075471"/>
        <n v="81987252750"/>
        <n v="81986669422"/>
        <n v="81988153975"/>
        <n v="81986207791"/>
        <n v="81987631286"/>
        <n v="81984211746"/>
        <n v="81984663804"/>
        <n v="81996444977"/>
        <n v="81985559317"/>
        <n v="81999669664"/>
        <n v="81983140313"/>
        <n v="81988117095"/>
        <n v="81996695691"/>
        <n v="81984481237"/>
        <n v="81986266856"/>
        <n v="81994040588"/>
        <n v="81987794735"/>
        <n v="81997948392"/>
        <n v="81984510881"/>
        <n v="81993362529"/>
        <n v="81995339781"/>
        <n v="81984049541"/>
        <n v="81996378666"/>
        <n v="81991724644"/>
        <n v="81983900304"/>
        <n v="81979150436"/>
        <n v="81999475931"/>
        <n v="81995176967"/>
        <n v="81999504585"/>
        <n v="81984527273"/>
        <n v="81997022233"/>
        <n v="81999540010"/>
        <n v="81986798920"/>
        <n v="81984615045"/>
        <n v="81996549887"/>
        <n v="81998770517"/>
        <n v="81996504653"/>
        <n v="81982102916"/>
        <n v="81996288296"/>
        <n v="81995179608"/>
        <n v="81994539085"/>
        <n v="81985538117"/>
        <n v="81994710465"/>
        <n v="81988553405"/>
        <n v="81999436287"/>
        <n v="81997627361"/>
        <n v="81984720957"/>
        <n v="81984833707"/>
        <n v="81985169878"/>
        <n v="81996052492"/>
        <n v="81995262490"/>
        <n v="81983970546"/>
        <n v="81986952337"/>
        <n v="81985617248"/>
        <n v="81996039055"/>
        <n v="81985425213"/>
        <n v="81985923299"/>
        <s v="8133554385"/>
        <n v="81981876632"/>
        <n v="81988435598"/>
        <n v="81991424620"/>
        <n v="81992150020"/>
        <n v="81985732569"/>
        <n v="81984462332"/>
        <n v="81996867828"/>
        <n v="81991919379"/>
        <n v="81999860751"/>
        <n v="81995318520"/>
        <n v="81986345052"/>
        <n v="81996703831"/>
        <n v="81992198298"/>
        <n v="81986721162"/>
        <n v="81985913215"/>
        <n v="81988730807"/>
        <n v="81983491216"/>
        <n v="81985309631"/>
        <n v="81999137506"/>
        <n v="81996176992"/>
        <n v="81985750512"/>
        <n v="81985451877"/>
        <n v="81993617490"/>
        <n v="81986368212"/>
        <n v="81996343446"/>
        <n v="81992444731"/>
        <n v="81996851239"/>
        <n v="81991067896"/>
        <n v="81996372273"/>
        <n v="81981490872"/>
        <n v="81993617459"/>
        <n v="81987349723"/>
        <n v="81988246857"/>
        <n v="81986896245"/>
        <n v="81988220808"/>
        <n v="81996831837"/>
        <n v="81991022399"/>
        <n v="81984367066"/>
        <n v="81998373388"/>
        <n v="81986766525"/>
        <n v="81987465625"/>
        <n v="81997727560"/>
        <n v="81996042108"/>
        <n v="81991663102"/>
        <n v="81987103480"/>
        <n v="81999943590"/>
        <n v="81988866907"/>
        <n v="81996199221"/>
        <n v="81986747671"/>
        <n v="81984526517"/>
        <n v="81983709670"/>
        <n v="81997643142"/>
        <n v="81997613230"/>
        <n v="81985969925"/>
        <n v="81997532155"/>
        <n v="81997557343"/>
        <n v="81986973090"/>
        <n v="81984460956"/>
        <n v="81986325570"/>
        <n v="81999881564"/>
        <n v="81988660392"/>
        <n v="81997301098"/>
        <n v="81985560728"/>
        <n v="81988254664"/>
        <n v="81986488134"/>
        <n v="81994314903"/>
        <n v="81991778012"/>
        <n v="81983588962"/>
        <n v="81994880109"/>
        <n v="81999835531"/>
        <n v="81998947901"/>
        <n v="81999301993"/>
        <n v="81986020267"/>
        <n v="81985753916"/>
        <n v="81983228290"/>
        <n v="81982295697"/>
        <n v="81987398270"/>
        <n v="81993878001"/>
        <n v="81998490815"/>
        <n v="81996242115"/>
        <n v="81975060868"/>
        <n v="81973386673"/>
        <n v="81999658496"/>
        <n v="81986055473"/>
        <n v="81988766963"/>
        <n v="81999798361"/>
        <n v="81995082136"/>
        <n v="81974019897"/>
        <n v="81994811870"/>
        <n v="81993804960"/>
        <n v="81997035691"/>
        <n v="81991264656"/>
        <n v="81985181388"/>
        <n v="81988242621"/>
        <n v="81985342963"/>
        <n v="81982083500"/>
        <n v="81988582823"/>
        <n v="81994743066"/>
        <n v="81983077317"/>
        <n v="81996584017"/>
        <n v="81985721704"/>
        <n v="81988560009"/>
        <n v="81999786121"/>
        <n v="81992145270"/>
        <n v="81984575102"/>
        <n v="81989194686"/>
        <n v="81988672345"/>
        <n v="81987995475"/>
        <n v="81999955454"/>
        <n v="81983559065"/>
        <n v="81996571827"/>
        <n v="81987607191"/>
        <n v="81988246464"/>
        <n v="81999941587"/>
        <n v="81983841615"/>
        <n v="81992664814"/>
        <n v="81984642088"/>
        <n v="81986970720"/>
        <n v="81996405105"/>
        <n v="81986705885"/>
        <n v="81984236474"/>
        <n v="81984521902"/>
        <n v="81983355218"/>
        <n v="81985165366"/>
        <n v="81986133597"/>
        <n v="81999117266"/>
        <n v="81991811812"/>
        <n v="81991217233"/>
        <n v="81999649609"/>
        <n v="81985342482"/>
        <n v="81973038779"/>
        <n v="81986886770"/>
        <n v="81983101483"/>
        <n v="81985020601"/>
        <n v="81973474541"/>
        <n v="81993269683"/>
        <n v="81998266252"/>
        <n v="81984141514"/>
        <n v="81987746732"/>
        <n v="81984274659"/>
        <n v="81985363028"/>
        <n v="81999243842"/>
        <n v="81985581268"/>
        <n v="81999265625"/>
        <n v="81996276565"/>
        <n v="81995236094"/>
        <n v="81979127456"/>
        <n v="81987536216"/>
        <n v="81998853817"/>
        <n v="81995693385"/>
        <n v="81984598026"/>
        <n v="81988260702"/>
        <n v="81999026819"/>
        <n v="81992204106"/>
        <n v="81999157370"/>
        <n v="81984415787"/>
        <n v="81988868881"/>
        <n v="81999378131"/>
        <n v="81984367688"/>
        <n v="81988544578"/>
        <n v="81995927325"/>
        <n v="81986675694"/>
        <n v="81996712934"/>
        <n v="81987256827"/>
        <n v="81988742971"/>
        <n v="81973464375"/>
        <n v="81985302814"/>
        <n v="81992190712"/>
        <n v="81985136319"/>
        <n v="81996982103"/>
        <n v="81987431933"/>
        <n v="81995473141"/>
        <n v="81986507692"/>
        <n v="81997441291"/>
        <n v="81994409425"/>
        <n v="81987257649"/>
        <n v="81991805871"/>
        <n v="81999462873"/>
        <n v="81983406638"/>
        <n v="81987692261"/>
        <n v="81985433775"/>
        <n v="81994266778"/>
        <n v="81997380079"/>
        <n v="81984282723"/>
        <n v="81996154820"/>
        <n v="81987563335"/>
        <n v="81973224484"/>
        <n v="81985159383"/>
        <n v="81988844325"/>
        <n v="81987938918"/>
        <n v="87999556188"/>
        <n v="81986412953"/>
        <n v="81996273745"/>
        <n v="81998119834"/>
        <n v="81983511855"/>
        <n v="81973377388"/>
        <n v="81981810115"/>
        <n v="81996395460"/>
        <n v="81985615653"/>
        <n v="81997115128"/>
        <n v="81996197690"/>
        <n v="81973325614"/>
        <n v="81994623601"/>
        <n v="81998756609"/>
        <n v="81984315301"/>
        <n v="81985512584"/>
        <n v="81996939717"/>
        <n v="81999809367"/>
        <n v="81983355478"/>
        <n v="81986340399"/>
        <n v="81992920910"/>
        <n v="81987608875"/>
        <n v="81997029440"/>
        <n v="81998327586"/>
        <n v="81996798735"/>
        <n v="81987804307"/>
        <n v="81987882133"/>
        <n v="81984096017"/>
        <n v="81997109350"/>
        <n v="81999139376"/>
        <n v="81985589495"/>
        <n v="81992950741"/>
        <n v="81985297553"/>
        <n v="81987057335"/>
        <n v="81996694014"/>
        <n v="81985445494"/>
        <n v="81993402761"/>
        <n v="81985526497"/>
        <n v="81979134906"/>
        <n v="81983151406"/>
        <n v="81991602979"/>
        <n v="83996529934"/>
        <n v="81983218317"/>
        <n v="81985585545"/>
        <n v="81983560834"/>
        <n v="81999439996"/>
        <n v="81993937356"/>
        <n v="81982436357"/>
        <n v="81994106859"/>
        <n v="81996706320"/>
        <n v="81994600307"/>
        <n v="81986662442"/>
        <n v="81971153767"/>
        <n v="81986451042"/>
        <n v="81983653106"/>
        <n v="81973173355"/>
        <n v="81989081790"/>
        <n v="81983741915"/>
        <n v="81991262140"/>
        <n v="81988592394"/>
        <n v="81999668497"/>
        <n v="81984673362"/>
        <n v="81986970750"/>
        <n v="81987944918"/>
        <n v="81981659368"/>
        <n v="81986394297"/>
        <n v="87999559848"/>
        <n v="81971065968"/>
        <n v="81991817786"/>
        <n v="81985283060"/>
        <n v="81999690193"/>
        <n v="81987133870"/>
        <n v="81985794011"/>
        <n v="81985740316"/>
        <n v="81986100124"/>
        <n v="81973430677"/>
        <n v="81996794277"/>
        <n v="81983096272"/>
        <n v="81999223285"/>
        <n v="81984044583"/>
        <n v="81973448407"/>
        <n v="81986188286"/>
        <n v="81989667779"/>
        <n v="81996254951"/>
        <n v="81984640980"/>
        <n v="81973256369"/>
        <n v="81985118857"/>
        <n v="81973234869"/>
        <n v="81996942014"/>
        <n v="81987690599"/>
        <n v="81986948863"/>
        <n v="81993635858"/>
        <n v="81992602566"/>
        <n v="81987457715"/>
        <n v="81992557501"/>
        <n v="81985102138"/>
        <n v="81997260987"/>
        <n v="81993962617"/>
        <n v="81987743516"/>
        <n v="81993828086"/>
        <n v="81988322020"/>
        <n v="81994999937"/>
        <n v="81987481419"/>
        <n v="81984950254"/>
        <n v="81984082823"/>
        <n v="81971071937"/>
        <n v="81999494735"/>
        <n v="81989796337"/>
        <n v="81988920228"/>
        <n v="81996664142"/>
        <n v="81987132722"/>
        <n v="81999116999"/>
        <n v="81998540547"/>
        <n v="81986697774"/>
        <n v="81987967686"/>
        <n v="81994064485"/>
        <n v="81999960609"/>
        <n v="81988442904"/>
        <n v="81999604732"/>
        <n v="11939424033"/>
        <n v="81997119148"/>
        <n v="81999132949"/>
        <n v="81988572654"/>
        <n v="81995215397"/>
        <n v="81995576564"/>
        <n v="81985294355"/>
        <n v="81988204940"/>
        <n v="81984981525"/>
        <n v="81996807173"/>
        <n v="81999054479"/>
        <n v="81985881505"/>
        <n v="81994002361"/>
        <n v="81999191169"/>
        <n v="81987335359"/>
        <n v="81996209137"/>
        <n v="81985958602"/>
        <n v="81988110275"/>
        <n v="81998484608"/>
        <n v="81981219447"/>
        <n v="81981323257"/>
        <n v="81995211209"/>
        <n v="81998388026"/>
        <n v="81988921498"/>
        <n v="81986701653"/>
        <n v="81985740050"/>
        <n v="81995960230"/>
        <n v="81988791348"/>
        <n v="81996320248"/>
        <n v="81992130286"/>
        <n v="81999382889"/>
        <n v="81984251260"/>
        <n v="81998641117"/>
        <n v="81991610989"/>
        <n v="81920019987"/>
        <n v="81991716417"/>
        <n v="81992042946"/>
        <n v="81998610345"/>
        <n v="81988112794"/>
        <n v="81993902315"/>
        <n v="81988623208"/>
        <n v="81985934090"/>
        <n v="81998566649"/>
        <n v="81996059971"/>
        <n v="81984043153"/>
        <n v="81985540097"/>
        <n v="81998295230"/>
        <n v="81993208596"/>
        <n v="81997054490"/>
        <n v="81997250896"/>
        <n v="81983075401"/>
        <n v="81999205254"/>
        <n v="81987484980"/>
        <n v="81999094317"/>
        <n v="81985743105"/>
        <n v="81987982284"/>
        <n v="81986285773"/>
        <n v="81982606927"/>
        <n v="81994675269"/>
        <n v="81987342247"/>
        <n v="81993658458"/>
        <n v="81989722443"/>
        <n v="81983870031"/>
        <n v="81999990960"/>
        <n v="81982233897"/>
        <n v="81996855296"/>
        <n v="81997795224"/>
        <n v="81987137943"/>
        <n v="81988596650"/>
        <n v="81985161570"/>
        <n v="81983364314"/>
        <n v="81997701407"/>
        <n v="81984881221"/>
        <n v="81983567401"/>
        <n v="81973451334"/>
        <n v="81987520952"/>
        <n v="81984835437"/>
        <n v="81995110700"/>
        <n v="81986103821"/>
        <n v="83991581234"/>
        <n v="81984021585"/>
        <n v="81989668159"/>
        <n v="81998380141"/>
        <n v="81985770668"/>
        <n v="81985681543"/>
        <n v="81986888830"/>
        <n v="81992204837"/>
        <n v="81984288154"/>
        <n v="81991625680"/>
        <n v="81996870283"/>
        <n v="81999740853"/>
        <n v="81999051600"/>
        <n v="81982740512"/>
        <n v="81992186999"/>
        <n v="81985598551"/>
        <n v="81988747018"/>
        <n v="81987240188"/>
        <n v="81998504012"/>
        <n v="81987997416"/>
        <n v="81985610818"/>
        <n v="81983704324"/>
        <n v="81999181171"/>
        <n v="81987073783"/>
        <n v="81983931851"/>
        <n v="81984540854"/>
        <n v="81999730260"/>
        <n v="81985021687"/>
        <n v="81988114569"/>
        <n v="81993803029"/>
        <n v="81996465987"/>
        <n v="81983641497"/>
        <n v="81995453063"/>
        <n v="81991216312"/>
        <n v="81985758942"/>
        <n v="81987532782"/>
        <n v="81984881246"/>
        <n v="81998109162"/>
        <n v="81973074593"/>
        <n v="81987371375"/>
        <n v="81986515879"/>
        <n v="81983419322"/>
        <n v="81987060164"/>
        <n v="81984274446"/>
        <n v="81999881737"/>
        <n v="81985236769"/>
        <n v="81983197702"/>
        <n v="81986512658"/>
        <n v="81986531979"/>
        <n v="81984452259"/>
        <n v="81991216235"/>
        <n v="81984720608"/>
        <n v="81988130942"/>
        <n v="81986961681"/>
        <n v="81996957250"/>
        <n v="81987368493"/>
        <n v="81987471315"/>
        <n v="81984318059"/>
        <n v="81997399707"/>
        <n v="83987898364"/>
        <n v="81985942821"/>
        <n v="81985794776"/>
        <n v="81986784448"/>
        <n v="81982184251"/>
        <n v="81996624832"/>
        <n v="81985701664"/>
        <n v="81985237440"/>
        <n v="81998356074"/>
        <n v="81983688294"/>
        <n v="81973172221"/>
        <n v="81983895897"/>
        <n v="81998371130"/>
        <n v="81991605647"/>
        <n v="81986928714"/>
        <n v="81992396730"/>
        <n v="81997280465"/>
        <n v="81986391614"/>
        <n v="81998030891"/>
        <n v="81996905073"/>
        <n v="81992406319"/>
        <n v="81994019557"/>
        <n v="81997157620"/>
        <n v="81985500133"/>
        <n v="81988015557"/>
        <n v="81993877340"/>
        <n v="81984467712"/>
        <n v="81988861025"/>
        <n v="81984607615"/>
        <n v="81987812320"/>
        <n v="81996224087"/>
        <n v="81986321327"/>
        <n v="81994794426"/>
        <n v="81989011281"/>
        <n v="81999843984"/>
        <n v="81994983239"/>
        <n v="87981278418"/>
        <n v="81998413517"/>
        <n v="81997324176"/>
        <n v="12991876039"/>
        <n v="81987150471"/>
        <n v="81983338379"/>
        <n v="81973155325"/>
        <n v="81985353416"/>
        <n v="81985914384"/>
        <n v="81996224664"/>
        <n v="81997507759"/>
        <n v="81986058506"/>
        <n v="81997887559"/>
        <n v="81979142738"/>
        <n v="81984841582"/>
        <n v="81997047849"/>
        <n v="81983065319"/>
        <n v="81988130508"/>
        <n v="81999133249"/>
        <n v="81985643153"/>
        <n v="81984622358"/>
        <n v="81984044057"/>
        <n v="81999335722"/>
        <n v="81996820579"/>
        <n v="81985975422"/>
        <n v="81984670109"/>
        <n v="81983148301"/>
        <n v="81981521958"/>
        <n v="81989820679"/>
        <n v="81994084776"/>
        <n v="81999243918"/>
        <n v="81998414154"/>
        <n v="81984342490"/>
        <n v="81997816176"/>
        <n v="81993805933"/>
        <n v="81988559938"/>
        <n v="81999615364"/>
        <n v="81996629612"/>
        <n v="81997987041"/>
        <n v="81992808416"/>
        <n v="81996443303"/>
        <n v="81991473240"/>
        <n v="81995151718"/>
        <n v="81996549426"/>
        <n v="81989715546"/>
        <n v="81998395631"/>
        <n v="81991211451"/>
        <n v="81999319275"/>
        <n v="81989306813"/>
        <n v="81989745875"/>
        <n v="81996787625"/>
        <n v="81993807364"/>
        <n v="81983570659"/>
        <n v="81988511057"/>
        <n v="81985712079"/>
        <n v="81988619515"/>
        <n v="81979060734"/>
        <n v="81974009779"/>
        <n v="81981215396"/>
        <n v="81989923992"/>
        <n v="81999538590"/>
        <n v="81988004358"/>
        <n v="81982850804"/>
        <n v="81982204976"/>
        <n v="81987469835"/>
        <n v="81988844350"/>
        <n v="81999619052"/>
        <n v="81971166096"/>
        <n v="81997950258"/>
        <n v="81981929106"/>
        <n v="81985803167"/>
        <n v="81994149250"/>
        <n v="81999446407"/>
        <n v="81996884713"/>
        <n v="81982653316"/>
        <n v="81992513955"/>
        <n v="81988900219"/>
        <n v="81993282644"/>
        <n v="81986591644"/>
        <n v="81986597131"/>
        <n v="81973403446"/>
        <n v="81985888198"/>
        <n v="81981883103"/>
        <n v="81996540791"/>
        <n v="81985562754"/>
        <n v="81998028777"/>
        <n v="81987726291"/>
        <n v="81983401161"/>
        <n v="81985550457"/>
        <n v="81998215338"/>
        <n v="81985218295"/>
        <n v="81971204328"/>
        <n v="81997467123"/>
        <n v="81998646305"/>
        <n v="81991428395"/>
        <n v="81998689887"/>
        <n v="81996503644"/>
        <n v="81994773016"/>
        <n v="81984494338"/>
        <n v="81996912111"/>
        <n v="81998548065"/>
        <n v="81999782600"/>
        <n v="81987240226"/>
        <n v="81999905898"/>
        <n v="81997506104"/>
        <n v="81995970031"/>
        <n v="81988384210"/>
        <n v="81995637510"/>
        <n v="81987993158"/>
        <n v="81999287662"/>
        <n v="81984587491"/>
        <n v="81983376422"/>
        <n v="81999788943"/>
        <n v="81985588016"/>
        <n v="81985232417"/>
        <n v="81985097361"/>
        <n v="81988911045"/>
        <n v="81988513685"/>
        <n v="81991396474"/>
        <n v="81998221630"/>
        <n v="81997216607"/>
        <n v="81989038065"/>
        <n v="81999364988"/>
        <n v="81991526074"/>
        <n v="81999721660"/>
        <n v="81979007469"/>
        <n v="81999945453"/>
        <n v="81984757470"/>
        <n v="81994668996"/>
        <n v="81973194873"/>
        <n v="81973176242"/>
        <n v="81996356367"/>
        <n v="81997081983"/>
        <n v="81986715318"/>
        <n v="81998520846"/>
        <n v="81999101947"/>
        <n v="81998315894"/>
        <n v="81986942653"/>
        <n v="81996565391"/>
        <n v="81988241106"/>
        <n v="81991329143"/>
        <n v="81996791034"/>
        <n v="81986541141"/>
        <n v="81998726342"/>
        <n v="81988945291"/>
        <n v="81982878306"/>
        <n v="81986664575"/>
      </sharedItems>
    </cacheField>
    <cacheField name="Endereço de e-mail" numFmtId="0">
      <sharedItems containsBlank="1" count="22">
        <m/>
        <s v="tatyana.queiroz@recife.pe.gov.br"/>
        <s v="larissa.oliveira@recife.pe.gov.br"/>
        <s v="camilla.nascimento@recife.pe.gov.br"/>
        <s v="ianne.oliveira@recife.pe.gov.br"/>
        <s v="maria.franca@recife.pe.gov.br"/>
        <s v="mariana.sodre@recife.pe.gov.br"/>
        <s v="thiagojas13@gmail.com"/>
        <s v="eo.elainecarmo@gmail.com"/>
        <s v="anamacintra@gmail.com"/>
        <s v="marciasouzagomes05@gmail.com"/>
        <s v="fabianesouza85@gmail.com"/>
        <s v="thiago.sandes@recife.pe.gov.br"/>
        <s v="fabiane.souza@recife.pe.gov.br"/>
        <s v="rhayza.jordao@recife.pe.gov.br"/>
        <s v="liliana.ufpe2015@gmail.com"/>
        <s v="marianaccsodre@gmail.com"/>
        <s v="damartine.feitosa@recife.pe.gov.br"/>
        <s v="joao.moreira@recife.pe.gov.br"/>
        <s v="nayale.andrade@recife.pe.gov.br"/>
        <s v="jessica.silva@recife.pe.gov.br"/>
        <s v="   "/>
      </sharedItems>
    </cacheField>
    <cacheField name="STATUS" numFmtId="0">
      <sharedItems containsBlank="1" count="5">
        <m/>
        <s v="Atendimento realizado"/>
        <s v="Tentativa 1 de monitoramento sem sucesso"/>
        <s v="Tentativa 2 de monitoramento sem sucesso"/>
        <s v="Em atendimento"/>
      </sharedItems>
    </cacheField>
    <cacheField name="PROFISSIONAL QUE ATENDEU" numFmtId="0">
      <sharedItems containsBlank="1" count="18">
        <m/>
        <s v="JOANNA"/>
        <s v="IANNE"/>
        <s v="CAMILLA"/>
        <s v="TATYANA"/>
        <s v="LARISSA"/>
        <s v="MARIANA"/>
        <s v="THIAGO"/>
        <s v="ELAINE"/>
        <s v="MARCIA"/>
        <s v="ANA_CINTRA"/>
        <s v=" "/>
        <s v="FABIANE"/>
        <s v="RHAYZA"/>
        <s v="LILIANA"/>
        <s v="NAYALE"/>
        <s v="DAMARTINE"/>
        <s v="JESSICA"/>
      </sharedItems>
    </cacheField>
    <cacheField name="ENVIAR WHATSAPP?" numFmtId="0">
      <sharedItems containsBlank="1" count="3">
        <m/>
        <b v="0"/>
        <b v="1"/>
      </sharedItems>
    </cacheField>
    <cacheField name="ENVIADO" numFmtId="0">
      <sharedItems containsBlank="1" count="2">
        <m/>
        <s v="sim"/>
      </sharedItems>
    </cacheField>
    <cacheField name="CONDUTA MONITORAMENTO 1" numFmtId="0">
      <sharedItems containsBlank="1" count="923">
        <m/>
        <s v="Em casos de abortamento, aguardar por 4 semanas a partir da data de realização da USG; se não houver alterações em até 4 semanas ou se apresentar sinais de alerta, ir à maternidade."/>
        <s v="Não conseguiu contato. (Ianne)"/>
        <s v="Não atendeu às 12:30 (Tatyana)"/>
        <s v="Não consegui contato (chamada desligada) "/>
        <s v="Realizado telemonitoramento de gestante, refere que apos a refeição os movimentos fetais foram bem evidenciados, sem sinais de alerta. Oriento procurar a APS em ate 48h para uma avalição do BCF e que iremos retornar o telemonitoramento na segunda 16/01/20"/>
        <s v="Paciente chorosa, com medo da dor do parto, não deseja ir para a maternidade hoje. Tentar novo contato as 10h."/>
        <s v="Paciente na maternidade no momento, referiu que vai ser atendida agora pela obstetra. Oriento que a tarde entraremos em contato novamente, caso ela precise antes entrar em contato com o Atente gestante. "/>
        <s v="Segue sob cuidados na maternidade. Genitora da paciente informa que ela foi levada para realizar USG, segue aguardando nova avaliação. Obs: encontra-se sem internet, logo não não foi possível enviar link de avaliação do atendimento."/>
        <s v="Encontra-se na Maternidade Barros Lima aguardando resultado de exames (EAS, Teste Covid, Hemograma). Refere que fez uso de Betametasona (amanhã será administrada outra dose), Buscopan e outra medicação (não sabe o nome). Apresenta melhora dos sintomas ref"/>
        <s v="Refere que após resultado dos exames (TR-Ag: negativo; EAS e hemograma: sem alterações) foi orientada a voltar para casa e retornar no sábado. No sábado recebeu a 2ª dose de Betametasona. Foi prescrito Loratadina 1x/dia e Dipirona. Refere piora do quadro "/>
        <s v="Gestante, G3 PN2 A0, 35S4D, queixando-se de odinofagia, sem febre. Contrações esporádicas a cada 2 ou 3 horas sem perdas vaginais. Compareceu à consulta do pré-natal hoje. Oriento em caso de sinais de alerta e/ou de tp busque a maternidade mais próxima. E"/>
        <s v="Informa que foi atendida na Maternidade Barros Lima (05/04), diagnosticada com candidíase, prescrito creme vaginal 1x/noite por 10 dias (não sabe o nome). Ainda não iniciou o tratamento porque o PACS está fechado devido o feriado. Refere que corrimento di"/>
        <s v="Paciente com melhora do quadro diarreeico, sem novos episodios nas ultimas 9h. "/>
        <s v="Paciente recusou a ligação 2x"/>
        <s v="Telemonitoramento realizado por videochamada, paciente com sintomas gripais ( tosse, dor incomodo na garganta e secreção esverdiada, oriento atendimento presencial e realização do teste rapido."/>
        <s v="Paciente relara que procurou atendimento presencial, porem nao realizou o TR, refere ainda melhora nos sintomas, oriento hidratação e manter o PN na APS e PNAR"/>
        <s v="Paciente nao atendeu o contato as 15:50 feito 3 tentativas "/>
        <s v="09/05: O celular da gestante está com o companheiro e ele só encontrará com ela a partir do meio dia. "/>
        <s v="11/05 telefone nao completa a ligação "/>
        <s v="22/05 (Lari) Não realizado telemoniotamento"/>
        <s v="Nega novos episódios de sangramento (último ontem pela manhã). Oriento acerca dos sinais de alerta."/>
        <s v="(Mariana) Orientado ir para Maternidade Arnaldo Marques devido cefáleia persistente, monitoramento ainda hoje"/>
        <s v="Refere que não foi à US. Mantenho conduta anterior. "/>
        <s v="Usuária entrou como demanda espontânea em 01\06"/>
        <s v="(taty), consulta esta marcada para 06/06, troco esquema de ATB para ITU, uma vez que apaciente parou  o tratamento devido queixas de evento adverso e inicio acido folico "/>
        <s v="Tentar novamente dia 02/06"/>
        <s v="(Lari) Tento contato telefônico sem sucesso."/>
        <s v="(lari) Telefone não completa ligação"/>
        <s v="Ligar às 17h"/>
        <s v="Foi à Maternidade Barros Lima, descartado TPP. Oriento acerca dos sinais de alerta. "/>
        <s v="Não podia atender no momento do contato, pediu pra retornar no turno da tarde (monitoramento realizado por Elaine Carmo)"/>
        <s v="(Taty) tento monitoramento s/sucesso as 08:36/ 11:16"/>
        <s v="(Thiago ) Tento monitoramento s/ sucesso as 08:39 "/>
        <s v="Tento contato com a paciente para realizar monitoramento e a mesma solicita novo contato contato amanhã. Está em processo de abortamento"/>
        <s v="(Thiago) Ligar mais tarde; nova tentativa às 11:15"/>
        <s v="Foi à urgência da Unimed, refere melhora progressiva, porém ainda com tosse. Oriento acerca dos sinais de alerta."/>
        <s v="Paciene avaliada ontem na maternidade, prescrito amoxicilina por sinusite. Encerro monitoramento. Seguira em PN de risco habitual."/>
        <s v="Paciente sem queixas no momento. Atendida e avaliada na Arnardo, conforme orientado, sem contrações e colo fechado."/>
        <s v="(ianne) 11h ligo 3x, não atendeu"/>
        <s v="Foi atendida na maternidade, colo fechado , conseguiu marcar consulta de PN para 15/06/2023, oriento repouso, ingesta liquida e acerca dos sinais de alerta."/>
        <s v="Foi atendida na USF (06/06). Nega sinais de alerta. Mantém sintomatologia. Oriento ID, sinais de alerta, telemonitoramento, realizar TR-Ag amanhã. "/>
        <s v="Foi atendida na Maternidade Arnaldo Marques, exames sem alterações. Oriento acerca dos sinais de alerta."/>
        <s v="(taty) paciente submetida pc, puerpera e rn se encotram bem"/>
        <s v="(ianne) Relata que foi na maternidade Arnaldo Marques ontem a noite e hoje pela manha,  liberada apos avaliaçao medica devido a &quot;inicio de trabalho de parto, ainda com 4cm. contraçoes a noite estavam mais intensas, que diminuiram mais agora pela manha. Re"/>
        <s v="Foi à US hoje, prescrito ATB (iniciou uso) e encaminhada para consulta odontológica (aguarda agendamento)."/>
        <s v="paciente nao respondeu ao comando "/>
        <s v="PN sem intercorrências na Maternidade Bandeira Filho"/>
        <s v="thiago (09:12 )  paciente melhora dos sistomas da itu e leucorreia , porem apresentou queixas de emese e diarreia nonitora a tarde . "/>
        <s v="gestante solicita ligação as 10h "/>
        <s v="Não foi à maternidade, pois refere que apresentou melhora dos sintomas. Reforço importância do atendimento presencial. Oriento buscar atendimento na maternidade (hoje) se piora ou presença de sinais de alerta. Encaminho à USF para reagendamento do PN + av"/>
        <s v="(Joanna)  Sem sucesso às 08h"/>
        <s v="(Joanna) "/>
        <s v="solicito que gestante realize teste do covid e busque atendimento presencial, como orientado no atendimento anterior, permanece coriza e tosse "/>
        <s v="(Joanna) Ligar para número da Mãe 81984896307, telefone não recebe chamda"/>
        <s v="09/06 (Taty) Paciente não atendeu às 8h"/>
        <s v="(Thiago) procurou atendimento na UPA de Lagoa Encantada e refere ter recebido alta em seguida com prescrição de um colírio lubrificante e exame clínico sem alterações. Nega queixas obstétricas e refere boa movimentação fetal."/>
        <s v="09/06 (Taty) Não consigo contato com a paciente "/>
        <s v="Refere melhora dos sintomas gripais. Queixa-se de episódio de tontura ao acordar. Nega sinais de alerta. Foi ao CS Monteiro de Morais e não conseguiu agendar PN. Oriento retornar ao CS para agendar PN; oriento sinais de alerta e medidas de alivio para ton"/>
        <s v="(Thiago) Gestante com contrações dolorosas e IG: 35s3d pela DUM, encaminhada a mat. Arnaldo Marques para atend. presencial."/>
        <s v="(taty) Realizado telemonitoramento, gestante orientada o que é fibroma mole e quando ao consultorio de pequenas cirurgia onde pode esta solicitando no posto o encaminhamento se caso seja seu desejo."/>
        <s v="(Lari) Telefone não completa as 16h"/>
        <s v="(Camilla) Não conseguiu contato - tel desligado às 10:42. (Thiago) Não conseguiu contato as 08:20."/>
        <s v="Foi à maternidade, descartou-se TP ativo. Queixa-se de ausência de MF (último às 23h30). Oriento realização do mobilograma. Realizar telemonitoramento às 10h."/>
        <s v="(Marcia) às 08h e às 18:20"/>
        <s v="Foi à maternidade, descartado TPP. Oriento MRPA."/>
        <s v="(Joanna) Ligar para: 81991724644 (número do namorado)"/>
        <s v="Ligar às 10h"/>
        <s v="11/06 ( ana) telefone desligado "/>
        <s v="(Camilla) Não consegui contato às 10:54.(Thiago) Não conseguiu contato as 08:50"/>
        <s v="(Marcia) Número deu ocupado às11:40h /17h Nova tentativa sem sucesso"/>
        <s v="11/06 (taty) Gestante encaminhada para maternidade TP?"/>
        <s v="11/06 ( ana ) orientado sinais de TP e mobilograma, monitoramento em 5dias "/>
        <s v="11/06 (taty) gestante nao atende a ligação tentativa as 10:11"/>
        <s v="Realizado telemonitoramento. Gestante sem queixas. Não fez o TR-ag, nega sintomas gripais. PN agendado para 14/06."/>
        <s v="11/06 (taty) gestante encaminhada para maternidade , referindo cefaleia intensa eregistro de pa 130x90"/>
        <s v="11/06 ( ana) telefoene desligado ( 10:39)"/>
        <s v="(Thiago) Sem sucesso às 08:20"/>
        <s v="(Thiago) Não conseguiu contato as 09:00"/>
        <s v="( taty) 09:56 gestante nao atendeu a chamada "/>
        <s v="(Thiago) Não conseguiu contato as 09:20"/>
        <s v="(Camilla) Não consegui contato às 10:43 - tel desligado. (Camilla) Não consegui contato às 08:30"/>
        <s v="11/06 (taty) nao atendeu as 15:40 tentar em 12/06"/>
        <s v="(Thiago) Sem sucesso às 08:37"/>
        <s v="11/06 ( ana) gestante internada para TPP no Barão de lucena "/>
        <s v="(Thiago) Gestante com IG: 11s5d (DUM: 15/03/2023) refere que procurou a urgência da maternidade Barros Lima ontem com as queixas de dor de cabeça + ardor ao urinar + corrimento em grumos esbranquiçado sem odor, foi examinada e liberada em seguida e no mom"/>
        <s v="Taty (08:19) paciente atendeu o telefone, porem nao entrou no hopchat e nao atende mais "/>
        <s v="(Camilla) Não consegui contato às 08:20 e nem às 10:15."/>
        <s v="(Lari) Paciente refere melhora dos sintomas. Alta do episódio."/>
        <s v="Joanna: tentativa sem sucesso - 8h."/>
        <s v="taty (10:11) Gestante com atendimento marcado, porem refere continuar com os sintomas da leucorreia"/>
        <s v="(Camilla) Realizado telemonitoramento. Gestante se encontra no HMR. Chegou às 14h, com PA 130X90MMHG, classificada como amarela, aguarda atendimento médico. "/>
        <s v="( taty) 10:13 Gestante nao atendeu a chamada "/>
        <s v="14/06 Ianne (09h15) Paciente não atende ligaçao, pelo prontuario atendida em pre natal ontem. HAS em uso de metildopa, perdeu consulta de PNAR, não encontro no sisreg solicitaçao de PNAR. "/>
        <s v="14/06 ianne (09h30) Paciente não atende, avaliar se houve atendimento presencial"/>
        <s v="Usuária de Olinda???"/>
        <s v="(taty) 09:27 gestante sem queixas, aguardando uma USG para definição de conduta "/>
        <s v="Taty (15:26) Telefone desligado. ianne (11h30) telefone desligado, tentar contato novamente a tarde. Insistir um pouco mais, paciente fazendo pico pressorico sem conseguir acesso ontem a consulta presencial"/>
        <s v="thiago(11:20) paciente nao atendeu (taty) ligar as 11h"/>
        <s v=" (ianne) 9h45 -11h30 Tentado entrar em contato diversas vezes com paciente por ligaçao e pelo whatsapp sem sucesso. tentar novamente a tarde"/>
        <s v="ianne (15/06 : 9h30) não atende"/>
        <s v="Joanna (8h): tentativa sem sucesso."/>
        <s v="taty( 10:00) gestante refere melhora dos sintomas. "/>
        <s v="Joanna: Foi à US indicada (Vila Arraes), porém foi informada que não seria a US de área de cobertura. Hoje vai ao CS Olinto Oliveira tentar agendar PN e fazer avaliação. "/>
        <s v="Joanna (9h40): não atendeu"/>
        <s v="ianne (09h44): não atendeu"/>
        <s v="(Thiago) Sem sucesso às 09:10"/>
        <s v="Foi ao CS Olinto Oliveira, porém a enfermeira não estava presente; foi orientada a retornar próxima quinta-feira e buscar atendimento na urgência. Cd: Encaminho à maternidade Bandeira Filho."/>
        <s v="Realizar monitoramento às 18h."/>
        <s v="Foi atendida na Maternidade Barros Lima, observou-se modificações do colo uterino (amolecimento, esvaecimento 50%), aumento das contrações, sendo encaminha ao Hospital das Clínicas. Segue internada no Hospital das Clínicas, feto com boa vitalidade, inicio"/>
        <s v="taty (09:05 ) telefone desligado; Joanna (13h56; 17h22): não atendeu "/>
        <s v="Thiago (8:48) Paciente não atende."/>
        <s v="taty ( 09:05) puerpera, esta na maternidade bandeira filho "/>
        <s v="Joanna (9h39; 14h; 17h23): não atendeu."/>
        <s v="Ligar às 14h (Thiago) 4 tentativas sem sucesso às 15:56 "/>
        <s v="08:40 ( taty) paciente nao atende"/>
        <s v="09:41 (taty) Ligar as 14h; 13h35 (ianne) paciente não atende"/>
        <s v="Foi ao IMIP, avaliação sem alterações (SIC). Segue sem queixas. Oriento acerca dos sinais de alerta e manutenção do PNAR (APS e PNAR)."/>
        <s v="TR-Ag: negativo; Não buscou atendimento presencial, iniciou uso do Aciclovir (oral e tópico) por conta própria, pois, refere que tem herpes labial recorrentemente. Queixa: Coriza, congestão nasal. Nega sinais de alerta. Refere melhora da lesão na boca (cr"/>
        <s v="Encontra-se no HMR, foi medicada, aguarda reavaliação. Oriento realização do MRPA e manutenção do PN."/>
        <s v="Joanna (8h25): não atendeu. 16h30: telefone indisponível."/>
        <s v="taty ( 07:50) paciente a caminho da maternidade par arealizar usg ( ligar a tarde 13:00) "/>
        <s v="ianne (8h30) desligado"/>
        <s v="taty(08:41) paciente solicitou contato a tarde (14h)"/>
        <s v="(ianne) Realizado monitoramento"/>
        <s v="Joanna: não atendeu"/>
        <s v="ianne: Paciente melhorou dos sintomas"/>
        <s v="Taty (08:34) paciente no D7 apresentando coriza e congestao nasal "/>
        <s v="Joanna (8h26, 15h15, 18h20): não atendeu; "/>
        <s v="Aguarda EAS. Mantém desconforto suprapúbico ao iniciar micção. Realizar telemonitoramento."/>
        <s v="Joanna: Foi à USF, foi agendada para o dia 26/06. Refere melhora do desconforto, segue apresentando sensação de cansaço, mal-estar. Taty (15:24) paciente mão atendeu "/>
        <s v="(ianne) 16h15 paciente não atende; Joanna (18h20): não atendeu"/>
        <s v="Thiago (8:30) Tentativa de contato sem sucesso. Thiago (13:56 ) tentativa sem sucesso "/>
        <s v="Realizar nova tentativa em 23/06. ianne (16h) paciente não atende; Joanna (18h20): não atendeu"/>
        <s v="Taty(09:07) Paciente nao atendeu Taty (13:56 ) tentativa sem sucesso "/>
        <s v="Camilla (16h) Tentativa sem sucesso. Taty (13:44) paciente nao atendeu "/>
        <s v="Gestante permanece ainda com queixas eventuais de falta de ar e coração acelerado, porém sem sintomas gripais ou outros sintomas. Como a mesma está vinculada ao pré-natal na APS, fnalizo motiromanto do AG."/>
        <s v="Thiago (09:10) paciente nao atendeu "/>
        <s v="Paciente refere melhora dos sintomas gripais, oriento quanto habitos para melhora dos enjoos"/>
        <s v="Taty (09:00) paciente  não atendeu "/>
        <s v="Paciente na maternidade, aguardando resultado USG  e Glicose, refere melhora na dor pelvica "/>
        <s v="Taty (08/54) Paciente nao atendeu "/>
        <s v="Primigesta, IG = 8s2d (DUM: 30/04/2023), foi encaminhada para avaliação presencial devido sangramento vaginal e dor em BV (tipo cólica). Foi atendida ontem no HMR, exame do colo do útero sem alterações, orientada a retornar hoje pela manhã para realização"/>
        <s v="taty (08:18; 14:6 ) telefone desligado; Joanna (18h): não atendeu"/>
        <s v="taty ( 08:45)  tentativa sem sucesso"/>
        <s v=" Thiago ( 08:40)Gestante afirma que possui 2 números, mas apenas 1 com whatsapp, não concluo atendimento devido interrupção da ligação."/>
        <s v="Mobilograma: + 15 MF."/>
        <s v="Joanna (13h23; 14h15): não atendeu. Às 16h13 atendeu e logo em seguida desligou. Nova tentativa às 17h 24 (telefone desligado)"/>
        <s v="(Lari) Feito contato com a paciente e como ela persistia com dor apesar de analgésico e repouso, encaminhada a urgência"/>
        <s v="Joanna (8h11): não atendeu"/>
        <s v="(Ianne): Realizado teleatendimento e oriento procurar a maternidade devido a sangramento genital associada a prematuridade. Entretanto paciente informa não conseguir ir agora, então oriento ir ao APS ( ja que mais proximo da sua residencia) para avaliação"/>
        <s v="Joanna (8h15; 11h24): não atendeu"/>
        <s v="Joanna (9h6; 10h57): Atendeu e desligou após identificação. Tentar novamente.taty (15:15) paciente nao atendeu; Joanna (17h7): não atendeu."/>
        <s v="Foi à US e não foi avaliada. Mantém dor em BV, sensação de esvaziamento incompleto da bexiga, gotejamento pós-micção. Nega novos episódios de sangramento, último há 2 dias (descreveu como raios de sangue). Oriento buscar atendimento na urgência, visto que"/>
        <s v="Taty (13:30) paciente procurou a APS  PA 110*80 em dois momentos destintos, continua sem conseguir marcação para consulta  e estava a caminho da maternidade por apresentar edema em um miLigar as 13h ( telefone para ligar:81987191246)"/>
        <s v="Joanna (8h42; 10h56): não atendeu. taty( 11:20) nao atendeu "/>
        <s v="Mobilograma - 9 MF. Amanhã tem consulta de PN (rede privada) agendada. "/>
        <s v="Taty (15:20; 15:30) paciente nao atendeu  + Thiago (16:30h) Paciente não atendeu"/>
        <s v="gestante com IG 38s5d pela DUM e 38s2d pela USG com 31s, a mesma refere boa movimentação fetal ao logo do dia. Nega queixas obstétricas como cólicas, contração, perdas vaginais. Nega ainda queixas urinárias. Relata não ter comparecido a última consulta de"/>
        <s v="Joanna (13h13): telefone atendido por alguém chamado Ulises, informou que a gestante não se encontra e que retornasse ligação às 16h."/>
        <s v="Joanna (13h15; 14h16; 16h11; 17h20): não atendeu. "/>
        <s v="05/07 - Refere boa movimentação fetal, foi à consulta de PN ontem - avaliação sem alterações. Sem queixas no momento, nega sinais de alerta. Cd: Oriento paciente sobre sinais de alerta e manutenção do pré-natal."/>
        <s v="Taty (08: 25) paciente iniciou tratamento para candida e continua com dor de garganta, coriza e obstrução nasal "/>
        <s v="Taty ( 10:00) telefone nao completa a ligação"/>
        <s v="Taty ( 09:55) paciente não atendeu"/>
        <s v="Taty (08:29) telefone nao completa ligação "/>
        <s v="05/07: Refere melhor dos sintomas gripais e dor em BV, segue em uso de creme vaginal (Canesten). Sem queixas no momento. Nega sinais de alerta. Cd: Oriento sinais de alerta e manutenção do PN na APS. Joanna (05/07 - 8h45): não atendeu. Joanna (8h15; 11h20"/>
        <s v="Joanna (05/07 - 8h48; 13h54; 16h30): não atendeu. Joanna (8h23; 11h21; 14h5): não atendeu"/>
        <s v="Refere que foi atendida na USF Skylab II (04/07), apresentou PA = 100 x 60, solicitado MRPA, prescrito Paracetamol, reavaliação agendada para 11/07. Não foi encaminhada ao PNAR, mesmo mostrando registro do atendimento do Atende em Casa que recomendava enc"/>
        <s v="Joanna (9h29; 13h37): não atendeu."/>
        <s v="Gestante com 28s2d (DUM e USG) ainda não iniciou tratamento com miconazol, irá recebera medicação na UBS amanhã. "/>
        <s v="Joanna (8h09; 11h16; 14h7; 16h13; 17h20): não atendeu."/>
        <s v="Ligar apos 11h - paciente foi para maternidade (internar); 07/07 (Thiago) Às 11:15h, usuária não atendeu."/>
        <s v="Está internada no CISAM (HAS + DMG)."/>
        <s v="(Thiago) Às 14:30 usuária se encontrava em atendimento no HMR."/>
        <s v="07/07 (taty as 11:32) nao atendeu "/>
        <s v="07/07 (Lari) tentativa às 08:30h; (Thiago) 12:00 usuária não atende"/>
        <s v="Refere que mantém dor em BV tipo cólica, moderada e intermitente há mais de uma semana, porém mais frequente; não observa melhora considerável, apenas alívio momentâneo quando fica em repouso. Oriento atendimento presencial. "/>
        <s v="Gestante EGBom, Glasgow 15, colaborativa, refere não ter tido náuseas e vômitos hoje. Por volta das 11h a PA foi 110x70mmHg, achou por bem fracionar a alimentação para reduzir a possibilidade de enjoo. Está esclarecida quantos aos sinais de alerta para pr"/>
        <s v="Taty (13:38 telefone desligado 10/07 ( taty) nao atendeu as 08:25"/>
        <s v="Refere que ontem apresentou vários episódios de vômito e não conseguiu se alimentar ou ingerir líquido. Hoje apresentou melhora, porém ainda vomitou 5x, está com dor no peito ao respirar devido esforço para vomitar, conseguiu ingerir líquidos e se aliment"/>
        <s v=" TATY (12:40)Paciente  41s encontra-se internada em TP ( perda de tampao mucoso e contraçoes ritmicas e intensa )"/>
        <s v="Taty ( 13;51) paciente refere melhora nos sintomas e nao realizou a urocultura como solicitado )"/>
        <s v="(10:10 - Camilla) Falo com gestante pelo celular e ela informa que está a caminho &quot;da consulta com a médica&quot;. Combino de ligar à tarde. "/>
        <s v="Gestante refere que dor melhorou. Oriento que observe e se piorar, busque a unidade de saúde. Reforço a importância do PN na próxima semana"/>
        <s v="Taty ( 08::20)paciente nao atendeu "/>
        <s v="Foi avaliada na Maternidade Barros Lima, prescrito Buscopan, realizará USG hoje. ianne (08h10): Usuaria não atende ligaçao"/>
        <s v="TATY (15:00) Paciente nao procurou atendimento presencial como orientado , porem hoje refere melhora dos sintomas. seguindo o protocolo para sintomais gripais. encaminho paciente para atendimento presencial e tr para COVID "/>
        <s v="taty(08:24 ) telefone nao esta disponivel no momento"/>
        <s v="Foi à USF Coque (12/07), porém foi informada na recepção que não tinha profissional disponível na USF para realizar o atendimento. Orientada a retornar na segunda-feira. Também não conseguiu agendar exames porque a técnica está de licença. Não buscou aten"/>
        <s v="Joanna (14h35; 15h; 18h): não atendeu."/>
        <s v="14/07, ás 10:00h, usuária refere melhora dos sintomas, iniciou acompanhamento com psiquiatra e aguarda resultado de exames para iniciar o pré-natal. Encerro ciclo de monitoramento do AG."/>
        <s v="Ianne&gt; Solicitado uroc// encaminhada para marcar consulta pre natal em UBS. Monitoramento segunda para checar acessoa ao pre natal e exame."/>
        <s v="Camilla (09:08) "/>
        <s v="Joanna (8h57; 14h13;16h17; 17h11): não atendeu"/>
        <s v="(Thiago) Às 08:35h, 09:43h, paciente não atende à ligação."/>
        <s v="Joanna (8h59; 14h15; 16h18; 17h13): não atendeu"/>
        <s v="A paciente entrou via demanda espontânea após tentativas sem sucesso de telemonitoramento."/>
        <s v="14/07 (09:05)Paciente informa  que ontem apresentou piora dos sintomas cefaleia e êmese, procurando a emergência  da Maternidade Arnaldo Marques, avaliada PA 100*80, medicada e liberada, hoje refere melhora dos sintomas, nega sinais de alerta, distúrbios "/>
        <s v="Foi ao HMR, confirmou-se ITU (EAS com alteração, resultado da urocultura estará disponível dia 19/07), prescrito Nitrofurantoína 100mg 6/6h, retornará para reavaliação no HMR dia 19/07."/>
        <s v="Joanna (9h30; 14h16): não atendeu; 16h18; 17h13 - desligado"/>
        <s v="Ligar às 13h - Thiago, em 16/07/23 às 13:40h, paciente se encontrava na Maternidade Arnaldo Marques para atendimento."/>
        <s v="16/07 Ana Cintra (10:00), paciente não atende à ligação."/>
        <s v="Taty (09:20) paciente refere melhora dos sintomas ( diarreia e emese )"/>
        <s v="16/07 Ana Cintra (17:30) (18:00), paciente não atende à ligação."/>
        <s v="Taty( 08:50) telefone desligado "/>
        <s v="camilla (10:30) taty ( 07:50) telefone oculpado "/>
        <s v="Taty (15:37) gestante com mobilograma normal, porem refere disuria ( ardencia em uretra e dor ao final da micção) , e dor em BV "/>
        <s v="Taty ( 08:11) telefone oculpado; Joanna (14h; 17h): telefone desligado"/>
        <s v="Não realizou EAS + urocultura. Mantém queixa. Joanna (8h16): não atendeu. "/>
        <s v="(Fabiane) Às 08:50h, paciente não atende à ligação. 10:00h, Paciente colheu urocultura hoje, consulta PN na APS 25/07, sem queixas no momento, alta do monitoramento."/>
        <s v="ligar as 13h (Taty) Telefone não completa chamada"/>
        <s v="Refere que foi ao CS Prof Joaquim Cavalcante para agendar PN em 20/07, foi orientada a aguardar visita do ACS com programação da consulta de PN. PN na rede privada está agendado para o dia 01/08."/>
        <s v="Gestante refere que foi atendida na USF Brasilit e que foi informada sobre a possibilidade de reação alérgica, sem outras alterações identificadas. Durante telemonitoramento a ligação caiu e não foi possível estabelecer novo contato. Encerro telemonitoram"/>
        <s v="Foi à Maternidade Prof. Bandeira Filho, porém não aguardou atendimento. Refere melhora da disúria e cólica. Mantém pirose e desconforto gástrico leve (flatulência). Nega queixas obstétricas e sinais de alerta."/>
        <s v="(THIAGO) Às 09:00h, usuária não atende à chamada."/>
        <s v="(THIAGO) Às 09:05h, usuária compareceu em 22/07/23 à maternidade Arnaldo Marques, foi avaliada, medicada e liberada em seguida com melhora importante do quadro de dor em baixo ventre e contrações. Encerro monitoramento."/>
        <s v="(THIAGO) Às 09:50h, 10:20h, usuária não atende à chamada."/>
        <s v="(ianne) 03h35: paciente não atendeu. Joanna (15h7; 17h): não atendeu"/>
        <s v="(ianne) Orientaçoes de manter PNAR"/>
        <s v="Ligar a tarde, está indo fazer USG"/>
        <s v="(ianne) Paciente internada no HMR para controle pressorico"/>
        <s v="Joanna  (15h; 15h30; 17h): telefone indisponível"/>
        <s v="(taty) Paciente encontr-se internada no Hospital Barão de Lucena, desde do dia 27/07/2023,  para controle pressórico. prescrito MgSO4 e hoje em uso de metildopa., oligodramnio? Devido paciente ja internada no hospital Barão de Lucena  com assistência gara"/>
        <s v="Refere melhora da lombalgia, mantém contrações indolores. Oriento acerca dos sinais de alerta e TP, manutenção do PN na APS."/>
        <s v="Ligar às 9h (Ana Cintra) Às 09:15h, usuária não atende à chamada."/>
        <s v="Paciente refere que caiu da própria altura no dia 29/07/23  devido o chão esta molhado, no momento sem queixas ,refere melhora da cólica e nega sinais de alerta."/>
        <s v="PACIENTE NAO ATENDEU (16:30); Joanna (17h05): não atendeu"/>
        <s v="Ligar às 13h  *Joanna (13h24; 17h): não atendeu."/>
        <s v="Taty (09:06 ) Telefone nao completa a ligação "/>
        <s v="(Marta) Ligar a tarde, DS informa ES que usuária será atendida hoje na USF"/>
        <s v="Ligar para esse numero 81993804960. (Thiago) Às 14:48h, 17:09h, usuária não atande à chamada."/>
        <s v="(Thiago) Às 15:45, usuária não atende à chamada."/>
        <s v="Taty (16:19) telefone desligado ligar apos 16h - paciente encaminhada para urgencia"/>
        <s v="(Thiago) Às 15:47h, paciente refere que procurou o posto de saúde hoje pela manhã, onde foi afrida PA e glicemia capilar, estando ambos normais. Nega outras quaixas. Encerro monitoramento."/>
        <s v="Taty (09:15) ligar a tarde 14h, paciente na policlinica para realizar USG "/>
        <s v="Joanna (9h19): telefone indisponível. 12h52: Encontra-se na Maternidade Bandeira Filho, pariu hoje, segue sem queixas."/>
        <s v="Taty ( 09:25) ligar as 17h telefone do esposo, ele nao estava em casa ( 11:30) monitoramento realizado, gestante nao procurou o serviço como orientado, relata que ira hoje , mantem queixas, porem durante o atendimento nao foi relatado contrações "/>
        <s v="(Thiago) Às 10:22h, usuária não atende à chamada. (Thiago) Às 15:48h, usuária não atende à chamada."/>
        <s v="(Ana Cintra) Às 8:40h usuária não atende à chamada."/>
        <s v="08/08 (Lari) Paciente bastante ansiosa, refere sincope e persistencia da cefaleia. Encaminho a emergencia."/>
        <s v="(Ana Cintra) Às 8:50h usuária não atende à chamada."/>
        <s v="(Thiago) Às 15:00h, usuária não atende à chamada."/>
        <s v="(Thiago) Às 09:47h, usuária não atende à chamada."/>
        <s v="(Camilla) Às 16:10, celular da paciente desligado"/>
        <s v="taty(09:09 ) Paciente refere melhora do sangramento feito orientação "/>
        <s v="TATY (09:31)  Tentativa sem sucesso "/>
        <s v="Joanna (8h55): solicitou que ligasse às 14h. Joanna (14h10; 16h39): não atendeu"/>
        <s v="11/08 (Lari) Realizado monitoramento. Prescrito antibiotico para sludge. Paciente sem sangramento. PN agendado."/>
        <s v="ligar as 10h, avaliação do mobilograma - (Marta) Entrou novamente como demanda espontânea, colocado monitoramento para amanhã devido encaminhamento à maternidade"/>
        <s v="11/08 (Lari) Paciente não atendeu. Taty ( 08:27) Paciente nao atendeu "/>
        <s v="(Thiago) Às 09:23h, telefone da usuária não recebe a chamada."/>
        <s v="Elaine (9h; 11h15): não atendeu."/>
        <s v="Taty ( 08:52) Telefone desligado (10:24) Telefone desligado (12:26 ) telefone desligado "/>
        <s v="( ianne) 13h30 gestante não atende ligaçao"/>
        <s v="Taty (08:42) Paciente nao atendeu (10:23) Paciente nao atendeu ( 12:20) nao atendeu "/>
        <s v="(Thiago) Às 11:15h, gestante com quadro inalterado de pródromos de TP, contactar às 15h para nova reavaliação."/>
        <s v="(Thiago) Às 16:00h, usuária encaminhada à Barros Lima, IG 41s."/>
        <s v="Taty ( 08:37) Telefone desligado ( "/>
        <s v="Taty (14:51 ) telefone desligado "/>
        <s v="Taty( 08:15) Telefone não nao existe "/>
        <s v="Taty ( 08:10) paciente não atendeu "/>
        <s v="(Thiago) paciente fora da residência, pede para retomar a ligação às 9:00h."/>
        <s v="Taty ( 09:06 ) telefone desligado "/>
        <s v="(Thiago) Às 18:10h, paciente encaminhada a Barros Lima para avaliação presencial por sangramento transvaginal e pródromos."/>
        <s v="Taty ( 09:13) telefone desligado "/>
        <s v="Fabiane (14:50) Paciente não realizou o teste para covid 19, D5 do inicio dos sintomas"/>
        <s v="TATY (09:20) Paciente encontra -se internada na barro Lima em trabalho de parto. , "/>
        <s v="(Thiago) Às 08:00h, usuária não atende à chamada."/>
        <s v="Faltou colocar resumo do monitoramento"/>
        <s v="11:40 ( taty) Paciente nao atendeu "/>
        <s v="(Thiago) Às 08:30h, usuária realizou teste para covid19 - negativo."/>
        <s v="Gestante sem queixas no momento. Oriento manutenção do PN e urocultura de controle após tto de ITU."/>
        <s v="taty ( 12:35 Paciente refere diminuição da dor, porem ainda exteriorizada  , ausência de evacuações hoje , continua com os cuidados orientados "/>
        <s v="(Camilla) Tento contato às 08:18, sem sucesso (telefone fora de área ou desligado)"/>
        <s v="(Fabiane) tento contato as 14:00 sem sucesso "/>
        <s v="Às 09:12 não atendeu."/>
        <s v="taty ( 09:19) paciente refere melhora da falta de ar, porem relata vertigem / tontura, refoço a importancia da avaliação na APS"/>
        <s v="Taty( 09:58) telefone desligado "/>
        <s v="TATY (08:16) Paciente nao atendeu "/>
        <s v="Taty ( 10:04) Paciente nao atendeu "/>
        <s v="Taty( 09:49) Paciente nao atendeu "/>
        <s v="Taty (09:46) Paciente nao atendeu"/>
        <s v="ianne: Ajustado metildopa. Ofertado TINC"/>
        <s v="ianne (08h30) telefone desligado"/>
        <s v="23/08 15h (Lari) Realizado monitoramento. Paciente assintomática, procurou atendimento com PA normal. R// AAS + Cálcio"/>
        <s v="Taty (15:21) Não completa ligaçãi pelo fixo  "/>
        <s v="ianne: orientaçoes sobre puerperio/ rede de apoio/ descanso"/>
        <s v="ianne: paciente com melhora dos sintomas. solicito urocultura pós tratamento p ITU"/>
        <s v="(Thiago) Às 08:22h, usuária não atende à chamada."/>
        <s v="(Thiago) ÀS 08:34h, telefone da usuária desligado."/>
        <s v="taty( 10:54) telefone desligado "/>
        <s v="Taty( 11:20) paciente procurou atendimento presencial, sem queixas e refere melhora do sangramneto "/>
        <s v="08:34 (taty) paciente nao atendeu "/>
        <s v="8h25 (Lari) Não atedeu"/>
        <s v="Entrou como demanda diura hoje - registrado como teleconsulta (Marta). (Taty) Paciente informou que procurou atendimento presencial , onde realizou uma nova USG transvaginal , medicada e recebeu alta, hoje sem queixas "/>
        <s v="(Thiago) Às 13:20h, usuária não atende à chamada."/>
        <s v="09:07( taty) telefone sesligado "/>
        <s v="09:39 (Taty) Não atendeu a chamada "/>
        <s v="( Thiago) Às 15:35h, o telefone da usuária não está disponível."/>
        <s v="08:22 (Taty) paciente nao atendeu"/>
        <s v="Ajuste de drogas para crise de asma. Reavaliação com 48h."/>
        <s v="(Thiago) Às 08:57h, usuária não atende à chamada."/>
        <s v="08h30 Paciente não atende. Entretanto pelo PEC foi atendida pela unidade de saude e agendado coleta deo teste do covid"/>
        <s v="08h40 Paciente não atende. Checar se melhora de nauseas e vomitos, oferecer tinc e sinalizar criterio de PNAR para equipe assistente (obesidade)"/>
        <s v="09h Paciente não atende. Avaliada por tele atendimento por enfermeira da unidade ontem. Atenção para não termos atrasos no inicio de antibioticoterapia"/>
        <s v="(Thiago) Às 09:01h, usuária não atende à chamada."/>
        <s v="(Thiago) Às 09:05h, usuária não atende à chamada."/>
        <s v="(Thiago) Às 09:09h, usuária não atende à chamada."/>
        <s v="09:04 (taty) no momento da ligação paciente esta no posto para consulta "/>
        <s v="09:12 (taty) telefone desligado; 16:34 chama e não atende."/>
        <s v="(Thiago) Às 09:50h, familiar informa que a usuária encontra-se internada na maternidade Arnaldo Marques, realizou PC em 07/09, por apresentação pélvica, sem intercorrências. Como não realizei valiação da paciente, não efetuo registro no PEC."/>
        <s v="(Thiago) Às 11:00h, paciente refere melhoras das dores e do sangramento. Encerro monitoramento."/>
        <s v="(Thiago) Às 15:48h, usuária refere melhora da cefaleia e da náusea. Encerro monitoramento."/>
        <s v="(Thiago) Às 09:16h, a usuária não atende à chamada."/>
        <s v="Ligar após 17h (Thiago) Às 17:25h, usuária não atende à chamada."/>
        <s v="(Thiago) Às 09:18h, a usuária não atende à chamada."/>
        <s v="(Thiago) Às 11:00h, gestante encaminhada à Barros Lima para avaliação obstétrica por diminuição dos movimentos fetais."/>
        <s v="(Thiago) Às 12:27h, usuária informa que está a caminho de sua consulta no PNAR do HMR, mas não conseguiu comparecer à maternidade para avaliação presencial ontem. Confirmar acesso à consulta de hoje no final da tarde."/>
        <s v="(Thiago) Às 17:58h, gestante mantendo sinais e sintomas leves de pórdromos do TP. Encerro monitoramento do AG."/>
        <s v="taty ( 08:26 ) paciente nao atendeu)"/>
        <s v="taty ( 13:30) paciente nao procurou o serviço como orientado anteriomente, paciente com queixas de cefaleia e diminuição dos MF, no momento do telemonitoramento PA 114x78, auto aferiçao supervisionada"/>
        <s v="TATY ( 09:03) telefone oculpado "/>
        <s v="(Thiago) Às 16:26h, o número da usuária não está recebendo ligação."/>
        <s v="(taty) Paciente buscou atendimento presencial, realizou USG, cardiotoco, rotina de PE, iniciou metildopa. hoje refere cefaleia "/>
        <s v="Taty ( 11:00) Paciente  procurou o ambulatorio do ham e marcou PNAR para  20/09, no  momento da teleconsulta referiu melhora da cefaleia e negou qualquer sinal de eminincia ou outra queixa. "/>
        <s v="ianne (8h35) telefone desligado"/>
        <s v="Lari (14h) Encaminho a Maternidade 36s3d com dor a cada 1h"/>
        <s v="Taty ( 08:05) Microcip sem funcionar "/>
        <s v="ianne (8h45) telefone desligado"/>
        <s v="Não foi à USF, irá buscar atendimento segunda-feira. Refere melhora do corrimento, mantém prurido discreto. Nega sinais de alerta e outras queixas."/>
        <s v="(Thiago) Às 14:48h, usuária não atende à chamada."/>
        <s v="19/09 10h (Lari) Paciente não atendeu"/>
        <s v="17 /09 (taty) MicroSip sem funcionar as 10:40  as 13:17, as 14:11"/>
        <s v="taty ( 13:08) Paciente nao atendeu (Thiago) Às 15:33h, usuária não atende à chamada."/>
        <s v="ianne (15:17) Atende e desliga em seguida"/>
        <s v="(Thiago) Às 13:00h, gestante não compareceu à maternidade Bandeira Filho, refere melhora da dor lombar e que realizará consulta marcada em seu pré-natal em 48h."/>
        <s v="Joanna (9h10): não atendeu"/>
        <s v="Joanna (9h; 17h48): não atendeu"/>
        <s v="Refere melhora da cefaleia. Informo acerca da consulta agendada na USF (22/09 às 8h)."/>
        <s v="ianne (16h45) telefone desligado"/>
        <s v="Gestante nega perda de líquido há 24h e refere movimentos fetais normais."/>
        <s v="(Thiago) Às 15:30h, gestante refere melhora do quadro. Encerro monitoramento."/>
        <s v="Taty ( 10:56) paciente procurou atendimento presencial, a causa do sangramento seria hemorroida, PA normal e no momento sem queixas "/>
        <s v="(Thiago) Às 10:22h, usuária não atende à ligação. taty (12:48) paciente nao atendeu"/>
        <s v="(Thiago) Às 08:00h, usuária não atende à chamada.(Thiago) Às 14:23h, usuária não atende à chamada."/>
        <s v="(iann) 13h55 paciente não atende ligação"/>
        <s v="15h30 chama 1x e cai."/>
        <s v="Ligar as 14h30, pela manha paciente no PN "/>
        <s v="Paciente não foi para atendimento presencial, refere que as contrações cessaram."/>
        <s v="Joanna (8h38): não atendeu / Fabiane (15:10) Número ocupado"/>
        <s v="DU 3/45&quot;60&quot;40&quot;/10'. Encaminho à maternidade (HMR)."/>
        <s v="08h20 (Lari) Paciente sem queixas, vai agendar PN hoje."/>
        <s v="Joanna (17h; 17h30): Não atendeu"/>
        <s v="Encontra-se na MBF, parto cesareo (28/09 às 20h32), sem queixas. "/>
        <s v="(Thiago) Às 08:25h, usuária não atende à chamada."/>
        <s v="Taty (08:41) pacente encontra-se na maternidade foi avaliada ontem como orientado e hoje aguardando para USG liga para 07h 83996325965 (esposo ) seu numero é so whatsapp "/>
        <s v="Não atende (16h)"/>
        <s v="(Ianne) paciente com melhora do quadro respiratorio. Apresenta desejo de LTB, em SISREG solicitação de planejamento familiar desde maio, permanece em fila. Martinha informa que já foi realizado evento sentinela desta situação"/>
        <s v="taty ( 16:00) monitoramento realizado, paciente sem sangramento, contração de treinamento"/>
        <s v="Fabiane (08:50) telefone na caixa postal. Joanna (13h16): não atendeu"/>
        <s v="Taty ( 14:51) encaminho paciente a materniddae contraçoes ritimadas, dolorosa (4 em 10mim)"/>
        <s v="taty (08:57) nao atendeu"/>
        <s v="Taty (08:44) paciente refere esta sem queixas, continua com presença de secreçao descreta, sem prurido e odor "/>
        <s v="Não foi à US porque o ACS informou que o atendimento deveria ser urgência obstétrica. Encaminho novamente à APS."/>
        <s v="(Thiago) Às 13:40h, usuária não atende à chamada."/>
        <s v="Mobilograma sem alteração. Oriento manutenção do PN (agendar consulta), oriento acerca dos sinais de alerta e trabalho de parto."/>
        <s v="Joanna (8h25): não atendeu"/>
        <s v="Encaminhada a maternidade para avaliação do bem-estar fetal por idade gestacional e pródromos de trabalho de parto."/>
        <s v="Taty (10/10) realizo monitoramento, paciente nega queixas, porem perfil glicemico alterado, encaminho a mesma a APS apos realização TINC com dra Jessica. "/>
        <s v="Gestante encontra-se na Maternidade Professor Arnaldo Marques com indução de trabalho de parto iniciada por idade gestacional."/>
        <s v="(Thiago) Às 08:20h, paciente não atende à chamada."/>
        <s v="Ligar 11/10 - usuária estava na maternidade aguardando atendimento. Se não atender nessa data, colocar falta"/>
        <s v="(Camilla) Gestante encaminhada para atendimento médico para atestado médico."/>
        <s v="Encerramento do monitoramento."/>
        <s v="ianne (15h30) ligação cai"/>
        <s v="Joanna (13h; 15h30; 17h30): não atendeu"/>
        <s v="Encaminhada para maternidade. "/>
        <s v="Parto cesáreo realizado hoje (IMIP)."/>
        <s v="(Thiago) Às 08:30h, 10:30h, usuária não atende à chamada. (Thiago) Às 13:30h, 16:00h, usuária não atende à chamada."/>
        <s v="Foi à Maternidade Barros Lima em 13/10. Refere que não apresentava alterações ao exame físico. Orientada a retornar caso entre em TP ou apresente queixas. No momento, segue sem queixas ginecológicas e sinais de alerta, com melhora do quadro de cefaleia. M"/>
        <s v="(Thiago) Às 09:50h, 11:18h, usuária não atende à chamada."/>
        <s v="Informa que não foi à US, pois apresenta redução do corrimento vaginal. No momento, o corrimento está em menor quantidade, porém, mantém as características iniciais. Informa que buscará atendimento amanhã. Cd: Enc para atendimento presencial; reforço impo"/>
        <s v="Nega novo episódio de sangramento e outras queixas obstétricas. Cd: Oriento acerca dos sinais de alerta, manutenção do PN, finalizo telemonotoramento."/>
        <s v="Foi à urgência obstétrica do Hospital Barão de Lucena em 16/10. Recebeu diagnóstico de candidíase vaginal, prescrito Nitrato de Miconazol (1x/noite por 7 dias), realizou USG TV. Refere que foi informada acerca da possibilidade de aborto, visto que a USG e"/>
        <s v="10h Pct sem novas queixas. Oriento sinais de alerta. Alta do episódio."/>
        <s v="(Camilla) 08h12 - Falo com gestante pelo telefone, ela pede para ligar às 16h, quando estiver em casa de volta do trabalho."/>
        <s v="(Thiago) Às 08:08h, usuária não atende à chamada."/>
        <s v="(Thiago) Às 08:12h, 11:20h, usuária não atende à chamada."/>
        <s v="(Thiago) Às 08:35h, paciente encerrou a chamada antes do término do atendimento. Tentar novamente contato. Às 11:20h, usuária não atende à chamada."/>
        <s v="(Thiago) Às 08:45h, 11:25h, usuária não atende à chamada."/>
        <s v="Fabiane (08:55) telefone na caixa postal"/>
        <s v="(Thiago) Às 14:21h, usuária não atende à chamada."/>
        <s v="Taty ( 08:34) nao atendeu; Joanna (10h30): não atendeu"/>
        <s v="Taty ( 09:23) Paciente nao atendeu "/>
        <s v="taty (18:16) paciente encaminhada a emergencia TPP?"/>
        <s v="Taty (09:11) Paciente procurou atendimento presencial, avaliada e liberada , oriento paciente "/>
        <s v="Às 14:24, gestante atende e quando me identifico, ligação cai. Ligo novamente e não atende."/>
        <s v="Não atendeu"/>
        <s v="(Lari) Alta do monitoramento. Não está em fase ativa"/>
        <s v="Taty (08:50)  no momento do teleatendimento estava  internada na HBL, após transferência da Maternidade bandeira filho, onde procurou atendimento presencial; no memento refere dor lombar e em MIE, em tratamento para ITU e foi interrogado TVP em MIE , agua"/>
        <s v="Refere que continua com tosse, nega presença de novos sintomas, queixas obstétricas e sinais de alerta. Em uso: Predsim + Arlivry. TR-Covid (23/10): negativo. Próxima consulta de PN: 30/10."/>
        <s v="(30/10 Taty - 08:19) paciente nao atendeu"/>
        <s v="Taty (08:42) paciente nao atendeu"/>
        <s v="(30/10 taty - 08:22)  Paciente estava no USF para PN, Tentar a tarde"/>
        <s v="Joanna (12h; 14h; 16h20): não atendeu"/>
        <s v="(Thiago) Às 11:15h, usuária não atende à chamada."/>
        <s v="(Thiago) Às 17:10h, usuária não atende à chamada."/>
        <s v="Joanna (17h30): não atendeu"/>
        <s v="Joanna (17h35): não atendeu"/>
        <s v="Joanna (17h45): não atendeu"/>
        <s v="taty (09:08) paciente nao atendeu. (Thiago) Às 17:05h, usuária não atende à chamada."/>
        <s v="(Lari) 08h30 Paciente não atendeu"/>
        <s v="(Thiago) Às 17:12h, usuária não atende à chamada."/>
        <s v="(Lari) 08h35 Paciente não atendeu. "/>
        <s v="9h(ianne) atende e desliga// depois não atende mais"/>
        <s v="(Lari) 08h40 Paciente não atendeu. "/>
        <s v="Joanna (9h22; 12h; 14h; 17h26): não atendeu"/>
        <s v="08h40 (ianne) Não atende)"/>
        <s v="08:36 (Camilla) Gestante refere melhora do quadro gripal (D8 hoje) e confirma que compareceu a sua 1ª consulta de PN no dia 31/10. Alta do episódio."/>
        <s v="Joanna (15h; 17h20): telefone indisponível."/>
        <s v="09:45 (Camilla) Usuária refere ausência de sangramento e outros sintomas. Dou alta do episódio."/>
        <s v="Refere que realizou o mobilograma novamente e constatou 10 movimentos fetais. Nega queixas obstétricas no momento. Finalizo telemonitoramento."/>
        <s v="Joanna (11h): atendeu e desligou. 14h20 - não atendeu."/>
        <s v="(Thiago) Gestante compareceu para atendimento presencial na Arnaldo Marques ontem, foi medicada, refere melhora da dor em região dorsal e iniciará tratamento para ITU com cefalexina hoje, conforme prescrito durante atendimento."/>
        <s v="Taty (11H) Paciente esqueceu o celular na casa da mae, ligar as 15:30"/>
        <s v="Às 10h, telefone fora de área ou desligado."/>
        <s v="Joanna (15h; 17h; 18h): não atendeu"/>
        <s v="Às 15h15, ligo, mas gestante não atende. (ligar as 15h para reavaliar perda de liquido? )"/>
        <s v="Fabiane (08:40) paciente não atende."/>
        <s v="(Thiago) Às 8:07h, usuária não atende à chamada."/>
        <s v="(Lari) 08h Paciente não atende"/>
        <s v="Taty (17h) paciente nao atendeu"/>
        <s v="Taty ( 09:44) ITU , 28/"/>
        <s v="taty(09:11) Paciente estava no posto, aguardando confirmação de atendimento "/>
        <s v="Gestante foi para avaliação presencial no hospital da mulher. Refere melhora da cólica. Encerro monitoramento. "/>
        <s v="Encaminhada para Ianne -  discussão de ITU"/>
        <s v="Joanna (13h30; 18h): não atendeu"/>
        <s v="Refere que não buscou atendimento presencial e que irá na próxima sexta. Mantém coriza, mas apresenta melhora considerável. Nega sinais de alerta e queixas obstétricas. Cd: Reforço importância da avaliação presencial e realização do TR Covid; Oriento paci"/>
        <s v="(Thiago) Às 08:20h, usuária não atende à chamada."/>
        <s v="USG evidenciando istmocele e possível adenomiose; Gravidez não confirmada. Cd: Recomendo que busque atendimento na US de referência para seguimento do caso. Finalizo telemonitoramento. "/>
        <s v="(Thiago) Às 15:05h, usuária não atende à chamada."/>
        <s v="(Thiago) Às 08:50h, 10:20h, usuária não atende à chamada."/>
        <s v="(Lari) Paciente informa que conseguiu agendar PN para amanha"/>
        <s v="Fabiane (08:35). Gestante refere que a diarreia já cessou. Encerro monitoramento."/>
        <s v="(Lari) Realizo monitoramento, ainda não foi avaliada pela suspeita de TVP. Vai para o HMR."/>
        <s v="Gestante conseguiu acesso ao pré-natal ontem. De acordo com seu relato, tudo está transcorrendo bem na gestação. Foi orientada a buscar a urgência em caso de sinais de TP e/ou sinais de alerta e/ou com 41s (dia 25/11) para avaliação obstétrica. Encerro o "/>
        <s v="(Thiago) Usuária realizou novo atendimento e foi encaminhada para Bandeira Filho com BR."/>
        <s v="Fabiane (15:00) Gestante foi para avalição presencial. Foi descatado TPP, foi medicada e liberada."/>
        <s v="Joanna (8h; 9h): não atendeu."/>
        <s v="Gestante com quadro sugestivo de franco TPP, aciono SAMU para remoção para maternidade mais próxima - Arnaldo Marques."/>
        <s v="Fabiane (08:40) telenofe na caixa postal."/>
        <s v="taty (08:30) paciente se encontra na maternidade  bandeira filho, pariu 22/11 as 19:48, puerpera e RN estao bem "/>
        <s v="Gestante informa que sangramento cessou. Nega outros sintomas. Encerro o caso"/>
        <s v="ligar a tarde, paciente sem poder falar;   Taty ( 13:51) nao atendeu"/>
        <s v="taty (09:13) paciente nao atendeu ( nao atendeu 13:50 )"/>
        <s v="(Lari) Paciente refere que procurou a maternidade, foi avaliada, afastado TPP e foi liberada."/>
        <s v="(Thiago) Às 08:25h, 09:25h, usuária não atende à chamada."/>
        <s v="Usuária compareceu a UPA, foi prescrito dipirona e repouso. Refere melhora dos sintomas."/>
        <s v="28/11: Assintomática no momento, não foi à USF, irá próxima sexta, enfermeira ciente do caso."/>
        <s v="Joanna (8h6; 10h58; 12h45; 15h42; 17h21): não atendeu"/>
        <s v="Fabiane (15:00) telefone na caixa postal."/>
        <s v="Fabiane (15:15) telefone na caixa postal."/>
        <s v="Mobilograma - 5MF/1h, dor élvica associada a micção"/>
        <s v="Entrou como demanda noturna. DU: 3/50&quot;90&quot;53&quot;/10'. Cd: Encaminho à maternidade."/>
        <s v="Joanna (17h30): número indisponível"/>
        <s v="Refere que foi atendida na Maternidade Bandeira Filho, ficou em observação devido dilatação do colo uterino = 3cm e contrações, porém, após as 12h as contrações diminuíram. Sendo assim, foi orientada a retornar para nova avaliação se as contrações retorna"/>
        <s v="Joanna (8h30; 14h15; 16h35; 17h15): não atendeu"/>
        <s v="taty (08:47) paciente nao atendeu (12:30) Não atendeu"/>
        <s v="Joanna (8h36; 13h55; 17h29): não atendeu"/>
        <s v="informa melhora da cefaleia após uso do Paracetamol. Segue sem outras queixas ou sinais de alerta."/>
        <s v="Joanna (15h; 15h30; 16h25; 17h20): telefone desligado"/>
        <s v="(Thiago) Às 09:30h, 10:30h, 11:30h, telefone indisponível."/>
        <s v="Gestante refere que &quot;a dor de dente passou&quot; e que tomou dipirona apenas no domingo. Tem consulta de PN e odontológica dia 20/12. Dou alta do evento e finalizo atendimento."/>
        <s v="(Lari) Paciente internada no IMIP por TPP + iteratividade "/>
        <s v="Ligar às 15h (Thiago) Às 15:20h, o telefone da usuária não está disponível. "/>
        <s v="(Thiago) Às 17:25h , não consigo contato com usuária por nenhum número cadastrado."/>
        <s v="Gestante informa que sangramento cessou e que não está mais sentindo cólicas. Foi examinada na Barros Lima, com colo fechado ao toque vaginal. Hoje decidiu fazer uma USG particular que está agendada para as 17h. Como sintomas cessaram, oriento que agende "/>
        <s v="Fabiane (08:30) Paciente refere que foi para atendimento presencial. Relata melhora dos sintomas. Encerro monitoramento."/>
        <s v="Gestante procurou a Bandeira Filho e foi transferida para o HBL, onde se encontra internada para tratamento clínico."/>
        <s v="Fabiane (09:30) Paciente não atendeu. (15:30) Telefone não chama."/>
        <s v="Gestante refere que foi atendida na Bandeira Filho ontem, conforme orientada pela equipe do Atende. Hoje, nega queixas. Dou alta do episódio e encerro caso."/>
        <s v="Fabiane (11:10) Paciente não atendeu. (15:40) Telefone na caixa postal."/>
        <s v="Joanna (10h; 14h; 15h; 16h33; 17h37): não atendeu"/>
        <s v="Joanna (10h): não atendeu"/>
        <s v="Joanna (9h6): telefone desligado"/>
        <s v="Joanna (9h6; 11h11; 14h30; 17h08; 17h50): telefone desligado; Registro falta no PEC."/>
        <s v="Refere que mantém contrações irregulares de intensidade variável (registro do horário das últimas contrações: 13h40; 14h15). Nega perdas vaginais, cefaleia e outros sinais de de alerta. Refere que mantém o mesmo padrão de movimentação fetal. Cd: Ir a mate"/>
        <s v="Refere melhora da dor de cabeça após uso do Paracetamol 500 mg. Nega outras queixas."/>
        <s v="Fabiane (09:30) Telefono na caixa postal."/>
        <s v="Gestante sem perda de LA. Normotensa, sem contrações. Oriento observar sinais de alerta e ou trabalho de parto e comparecer ao PN dia 13/12."/>
        <s v="(Lari) Realizo telemonitoramento. Pct sem queixas"/>
        <s v="Foi atendida na APS, PA normal. Pródromos de trabalho de parto."/>
        <s v="Gestante foi para atendimento presencial na Barros Lima foi avaliada, medicada e liberada. Estava em falso trabalho de parto. Encerro monitoramento."/>
        <s v="Ligar as 15h Confirmar acesso"/>
        <s v="(Thiago) Às 10:26h, usuária não atende à chamada"/>
        <s v="Joanna (13h; 15h37): não atendeu"/>
        <s v="telefone do marido - ligar as 16h30. Tentamos contato, mas não atende. Telefone da filha cauane: 992627834"/>
        <s v="Ligar às 13h"/>
        <s v="(Thiago) Às 10:32h, usuária não atende à chamada."/>
        <s v="Joanna (11h46): telefone ocupado"/>
        <s v="(Thiago) Às 11:49h, gestante clinicamente bem, encerro monitorameto."/>
        <s v="Ligar para 8618-1502 (Thiago) Às 10:00h,12:00h, usuária não atende à chamada."/>
        <s v="(Thiago) Às 12:10h, gestante clinicamente bem, encerro monitorameto."/>
        <s v="Às 08:44, tento contato 2 vezes, mas sem sucesso."/>
        <s v="(Lari) 9h telefone desligado"/>
        <s v="(Thiago) Às 11:00h, 13:00h, gestante não atende à ligação."/>
        <s v="Joanna (8h30; 11h20; 15h7): não atendeu"/>
        <s v="Joanna (8h35; 11h20): não atendeu"/>
        <s v="(Thiago) Às 08:00h, 09:00h, usuária não atende à ligação."/>
        <s v="16h30 (Camilla) Aterndo e encaminho à urgencia para analgesia, avaliação e coleta de exames"/>
        <s v="Ligar as 18h ( avaliar contraçoes e desconforto pelvico)"/>
        <s v="(Thiago) Às 08:10h, 09:10h, usuária não atende à ligação."/>
        <s v="Gestante realizou atendimento na Bandeira Filho, afastado ITU, liberada para casa."/>
        <s v="Joanna (8h36; 11h20; 15h35; 17h28): não atendeu (registro falta no PEC)"/>
        <s v="Gestante entrou em contato novamente para informar resultado positivo para teste de covid19. Confirmar acesso à USF ou maternidade."/>
        <s v="Orientado paciente sobre sinais de alerta, monitoramento com 48 h"/>
        <s v="(Thiago) Gestante se encontra em sua USF de referência para realçização de consulta pré-natal."/>
        <s v="20/12 (ianne) não atende telefone"/>
        <s v="20/12 (ianne) Paciente recusa chamada ( encaminhada em TP, tentar contato novamente a tarde)"/>
        <s v="(Thiago) Às 09:40h, suária não atende à chamada."/>
        <s v="21/12 (ianne 15h10) desligado// 21/12 (ianne) 8h45  paciente não atende. Registrado em PEC atendimento de urgencia, teste covid +, hb 9.2. Caso consiga entrar em contato mais tarde, recomendar o sulfato ferroso 3x ao dia "/>
        <s v="21/12 (ianne) Realizado atendimento, solicitado exames lab, marcado PNAR devido IG  e sem contato com enf ou medico. "/>
        <s v="21/12 (ianne) 15h15 não atende// 21/12 (ianne) 09h não atende. Sind gripal já monitorada ontem"/>
        <s v="(Lari) Paciente evoluiu para abortamento completo. Acolho paciente."/>
        <s v="(Thiago) Às 10:20h, suária não atende à chamada."/>
        <s v="(Thiago) Usuária encontra-se internada na Maternidade Barros Lima."/>
        <s v="ianne - monitoramento realizado dia 02/01. Paciente foi a consulta 29/12. Encerro telemonitoramento"/>
        <s v="(Thiago) Usuária apresenta melhora dos sintomas, D3 dos sintomas hoje."/>
        <s v="Ianne (9h40): paciente não atende"/>
        <s v="(Thiago) Gestante refere melhoras dos sintomas, realizou atendimento na Bandeira Filho e foi liberada em seguida."/>
        <s v="ianne (9h55) monitoramento realizado"/>
        <s v="Joanna (9h40; 15h; 17h42): não atendeu (Falta registrada no PEC)"/>
        <s v="(Lari) Paciente foi avaliada no HMR e liberada. Finalizo monitoramento"/>
        <s v="10h (ianne) telefone desligado"/>
        <s v="(ianne) 13h paciente não atende"/>
        <s v="(Thiago) Às 09:17h, 10:30h, usuária não atende à chamada."/>
        <s v="(Thiago) Às 09:25h, usuária não atende à chamada."/>
        <s v="(Thiago) Às 11:00h, gestante realizou atendimento na Bandeira Filho, foi liberada em seguida."/>
        <s v="Joanna (11h): não atendeu"/>
        <s v="Joanna (17h30; 18h): não atendeu"/>
        <s v="(Thiago) Às 11:15h, gestante testou positivo para covid19, D3 hoje, sem sinais de gravidade."/>
        <s v="(Thiago) Às 11:55h, 14:00h, gestante não atende à ligação."/>
        <s v="02/01 - Joanna (7h40; 9h20; 11h25): não atendeu"/>
        <s v="ianne 9h07 - caixa postal"/>
        <s v="ianne 9h10 - paciente não atende a chamada"/>
        <s v="Joanna (17h; 17h25): não atendeu (Falta registrada no PEC)"/>
        <s v="Joanna (8h8): não atendeu"/>
        <s v="Joanna (8h10): não atendeu"/>
        <s v="Gestante no 6º dia do início dos sintomas, assintomática há 3 dias. Nega sinais de alerta e queixas obstétricas. Encontra-se na USF para consulta de PN."/>
        <s v="Refere que foi à Maternidade Memorial Guararapes, apresentava 3cm de dilatação, BCF = 132bpm, orientada a retornar se entrar em trabalho de parto ou com IG = 41s. Segue sem queixas no momento. MF +. Mantém contrações irregulares."/>
        <s v="Refere presença de 4 movimentos fetais em 1h. Encaminho para avaliação na maternidade."/>
        <s v="Joanna (16h15; 17h): não atendeu (registro falta no PEC)"/>
        <s v="(Thiago) Às 09:00h, usuária não atende à ligação.(taty) as 11h paciente nao atendeu"/>
        <s v="Joanna (8h10; 11h): não atendeu"/>
        <s v="Joanna (9h; 11h; 16h17; 17h): não atendeu"/>
        <s v="Taty (08:33; 15:56) paciente nao atendeu"/>
        <s v="Refere que não foi à urgência porque não tinha com quem deixar a filha, mas está se organizando para ir à USF. Mantém os mesmos sintomas. Sem PA aferida. Reforço a necessidade de atendimento na urgência obstétrica (recomendo HMR); Explico os riscos de não"/>
        <s v="Ianne (15h30/16h11) não atendeu"/>
        <s v="Joanna (17h14; 17h30): não atendeu (falta registrada no PEC)"/>
        <s v="Taty (08:25) paciente refere sangramento em pequena quantidade, atendida na arnaldo marque, HD ameaça de aborto, aguarda usg."/>
        <s v="Paciente refere melhora da dor bv( 2 contraçoes moderada em 4h) sem perdas vaginais, refere cefaleia que melhorou com uso de dipirona, oriento quanto sinais de alerta e trabalho de parto"/>
        <s v="taty ( 09:11) Paciente refere melhora da dor, contraçoes irregulares, foi a consulta do PN feto com boa vitalidade"/>
        <s v="ianne - paciente foi a emergencia do hapvida por conta propria. Vamos monitorar amanha para avaliação após ace"/>
        <s v="Taty(09:50) paciente refere inicio de tratamento para ITU, dor pelvica continua "/>
        <s v="(Thiago) Às 10:00h, 11:30h, o telefone da usuária não está recebendo ligação."/>
        <s v="(Thiago) Usuária após o atendimento no AG, procurou sua USF, foi avaliada e liberada em seguida, segue sem queixas."/>
        <s v="Joanna (8h32; 10h40): não atendeu"/>
        <s v="Taty (09:20) paciente refere melhora da sintomatologia, reforço a importancia de manter o PN, paciente nao esta comparecendo as consultas"/>
        <s v="Joanna (9h; 10h40; 15h; 16h22): caixa postal (falta registrada no PEC)"/>
        <s v="Refere melhora da diarreia, nega novas queixas. "/>
        <s v="10:50 ( taty) Paciente refere melhora do quadro de diarreia e vomitos "/>
        <s v="11:20(taty) paciente nao atendeu a ligação "/>
        <s v="11:30( taty) paciente procurou atendimento presencial , avaliada e liberada, refere melhora da queixa "/>
        <s v="Refere melhora dador pélvica após uso do Buscopan, ao longo do dia 2 evacuações, dor de cabeça leve, fez uso de Paracetamol por volta das 15h30. Nega presença de sinais de alerta e outras queixas. "/>
        <s v="Joanna (16h; 17h30): telefone indisponível (falta registrada no PEC)"/>
        <s v="Joanna (8h26): não atendeu"/>
        <s v="taty (09:30) paciente nao atendeu (12:50) nao atendeu"/>
        <s v="Joanna (8h24): não atendeu (13:14 ) Paciente não atendeu"/>
        <s v="Refere que apresentou sangramento vaginal e foi à Maternidade Barros Lima. Foi informada que o colo uterino estava fechado, administrado Buscopan, USG obst. agendada para o dia 12/01. Mantém cólica de baixa intensidade, nega novo episódio de sangramento e"/>
        <s v="taty (09:50) Paciente nao atendeu (12:15) nao atendeu"/>
        <s v="taty (16:11) paciente não atendeu "/>
        <s v="taty(09:12) paciente não atendeu (Falta registrada no PEC dia 13/01)"/>
        <s v="13/01 (Joanna): Foi à USF Josué de Castro (11/01), PA 120/60 mmHg. Refere melhora da dor em BV e cefaleia. Nega novas queixas obstétricas e sinais de alerta."/>
        <s v="taty ( 09:50) paciente nega queixa no momento, em repouso e em uso de ultragesta, "/>
        <s v="taty (11:36)Paciente atende e nao responde no hopchat"/>
        <s v="taty (09:09) telefone desligado"/>
        <s v="Taty (15:40) paciente procurou a unidade e nao conseguiu realizar o teste , remarcado para dia 22/01, a mesme refere que ira tentar realizar particular. HAS e DM, em uso de glifage, losartana e hidrocloritiazida, MF presente."/>
        <s v="taty (16:00) Paciente nao atendeu "/>
        <s v="Taty (16:45) nao completou a ligação "/>
        <s v="(Thiago) Às 14:30h, gestante não se encontrava disponível para contato no referido número."/>
        <s v="Joanna: Refere que foi à USF ontem e foi informada que a enfermeira está de férias. Não fez o BHCG na rede particular, agendou exame para o dia 22/01. Sem queixas no momento. "/>
        <s v="Joanna: Refere melhora da disúria. Nega novas queixas."/>
        <s v="Taty: paciente refere que buscou atendimento na HMR, onde foi avaliada;  melhora na sintomatologia e nega novas queixas , "/>
        <s v="Joanna: Foi atendida na USF hoje. Sem queixas no momento. "/>
        <s v="Aborto espontâneo"/>
        <s v="Gestante concluiu tratamento para ITU, econtra-se assintomática, colherá urocultura. Receberá resulatdo de exames em 22/02/24."/>
        <s v="Joanna (8h; 8h30): não atendeu"/>
        <s v="(Thiago) Às 08:30h, usuária não atende a chamada."/>
        <s v="(Thiago) Às 08:45h, usuária não atende a chamada."/>
        <s v="Taty (10:24)Usuaria sem queixas no momento, procurou a unidade porem sem data da consulta , profissionais de ferias"/>
        <s v="Taty (09:16) usuaria não atendeu "/>
        <s v="Joanna (10h37; 15h37): não atendeu (Falta registrada no PEC)"/>
        <s v="Taty (09:22) refere que foi ontem na USF, porem nao teria profissional disponivel para atendela, ainda com cefaleia, porem leve, PA 130*80,oriento uso de analgesico e monitoramento a tarde"/>
        <s v="Joanna (15h56): não atendeu"/>
        <s v="Joanna (10h28; 14h10; 17h21): não atendeu"/>
        <s v="Joanna (14h10): refere melhora da cefaleia e náusea. Sem queixas no momento."/>
        <s v="taty (15:40) Mobilograma com 13 movimentações fetais em 6 momentos, lombalgia e contraçoes indolores frequentes "/>
        <s v="Taty ( 08:59) telefone desligado"/>
        <s v="Joanna (8h13; 12h; 14h45): não atendeu"/>
        <s v="(Thiago) Às 8:26h, usuária não atende à chamada."/>
        <s v="(Thiago) Gestante realizou atendimento em sua USF, PNAR marcado para dia 07/02/24 na MBR."/>
        <s v="Gestante com dificuldade para marcar a primeira consulta de PN por não está vinculada à APS, ACS afastada."/>
        <s v="Realizado por Elaine"/>
        <s v="Gestante encontra-se internada no Hospital da Mulher para controle de PA e glicemia."/>
        <s v="Gestante está indo à maternidade agora pela manhã. Refere que hoje se alimentou e não vomitou, está apenas com salivação excessiva."/>
        <s v="taty (10:30)Paciente procurou a barro lima "/>
        <s v="Chama 2 vezes e a ligação cai. Não consigo contato."/>
        <s v="(Thiago) Gestante se encontra na triagem do HMR para avaliação. ligar a tarde (15h) "/>
        <s v="taty (09:33) paciente não atendeu taty (13:19) nao atendeu "/>
        <s v="Taty (11:25) paciente nao atendeu"/>
        <s v="(Thiago) Gestante informa que não conseguiu ir à Barros Lima, informa que irá hoje. Ligar amanhã para confirmar acesso."/>
        <s v="taty (08:45) paciente nao atendeu (11:03) paciente nao atendeu"/>
        <s v="taty (11:30) paciente refere cefaleia leve , PA 100X60, reavaliar contração"/>
        <s v="Gestante ainda está com desconfortos, especialmente pélvicos. Oriento que busque a maternidade para um avaliação presencial. "/>
        <s v="Mari (17:00) Gestante não atendeu."/>
        <s v="Lari (8h50) Paciente não atendeu. (14h) Paciente refere que não foi para a materninade pois não tinha quem ficasse com os filhos. Refere melhora da cefaleia e da dor em BV. Refere boa MF. Oriento sobre sinais de TP."/>
        <s v="(Thiago) Às 12:10h, gestante compareceu à Barros Lima, foi avaliada, recebeu prescrição medicamentosa e em seguida foi liberda."/>
        <s v="(Thiago) Às 08:15h, gestante se dirigindo neste momento à maternidade para realizar atendimento. Ligar à terde para checar acesso."/>
        <s v="(Camilla) às 11h, telefone desligado ou fora de área"/>
        <s v="Taty (16:54) paciente refere melhora da sintomatoligia e nao apresentou mais colicas / contração, nega qualquer queixa obstetrica e urinaria "/>
        <s v="(Camilla) 17h30 Realizado monitoramento, gestante refere alívio da dor após uso de buscopam. Alta do episódio."/>
        <s v="(Thiago) Às 08:53h, gestante informa que o incômodo pélvico pouco aliviou com as medicações. Oriento quanto sinais de alerta e TP."/>
        <s v="Joanna (8h14): não atendeu"/>
        <s v="Realizado telemonitoramento"/>
        <s v="Joanna (10h18; 14h7; 17h38): não atendeu"/>
        <s v="(Thiago) Às 16:00h, gestante refere melhora dos sintomas hoje."/>
        <s v="Mobilograma = 2 MF"/>
        <s v="(Thiago) Às 10:00h, usuária não atende à chamada."/>
        <s v="(Thiago) Às 10:05h, usuária não atende à chamada."/>
        <s v="(Thiago) Às 11:30h, gestante melhorou dos sintomas."/>
        <s v="(Thiago) Às 17:30h, gestante realizou atendimento na Bandeira Filho e liberada em seguida para casa. Refere boa movimentação fetal."/>
        <s v="Joanna (10h; 12h; 14h50; 17h): não atendeu"/>
        <s v="Joanna: foi atendida na Maternidade Bandeira filho, diagnosticada com ITU, prescrito Cefalexiana 6/6h por 7 dias e Buscopan. Assintomática no momento."/>
        <s v="Joanna (14h49;17h): não atendeu"/>
        <s v="Joanna: Está internada no HMR."/>
        <s v="Joanna: Nega novo episódio de sangramento e outras queixas."/>
        <s v="Joanna (14h30; 16h30; 18h30): não atendeu"/>
        <s v="08h45 atendimento realizado - pcte sem sintomas"/>
        <s v="(Thiago) Às 11:26h, o telefone da usuária não está disponível para receber chamadas. 8h20 (Lari) Paciente não atendeu."/>
        <s v="(Thiago) Às 11:00h, o telefone da usuária não está disponível para receber chamadas."/>
        <s v="Joanna (11h; 14h35/ 17h40): não atendeu"/>
        <s v="Às 08:06, tento contato, mas gestante não atende. "/>
        <s v="taty( 08:40) paciente nao atendeu"/>
        <s v="Às 12h:00, tento contato, mas a agestante não atende."/>
        <s v="taty( 11:14) paciente não atendeu"/>
        <s v="taty ( 08:24) paciente não atendeu"/>
        <s v="ianne (14:05) paciente não atendeu"/>
        <s v="ianne (11h20) paciente não atende"/>
        <s v="ianne (11h25) paciente não atende - ancaminhada ontem p maternidade - aborto completo?"/>
        <s v="taty (08:56) paciente refere diminuição das contração , iniciou tratamento para ITU "/>
        <s v="Joanna (10h30; 14h; 17h): não atendeu"/>
        <s v="Taty( 09:10) paciente no 4 de tratamento para ITU, refere contração esporadica e de menor intensidade, dor lombar leve  e dificuldades para dormir. "/>
        <s v="Taty (09:20) Paciente foi avaliada na bandeira filho, referindo melhora no quadro,no momento nega febre, emese e nausea, tendo 1 epsodio diarreico ate o momento. "/>
        <s v="Registro tardio do telemonitoramento realizado dia 19/02/24 - Marta"/>
        <s v="(Thiago) Gestante apresenta melhora dos sintomas."/>
        <s v="Joanna (10h; 15h; 17h): não atendeu"/>
        <s v="(Thiago) Às 17:00h, não consigo contato com a usuária."/>
        <s v="Taty (09:55) paciente não atendeu "/>
        <s v="Lari (8h40) Não atendeu."/>
        <s v="taty (08:16) paciente refere  presença de contração esporadica, lombalgia leve, refere presença de colostro e prurido leve em vagina; ontem foi a consulta do PN, marcado urocultura"/>
        <s v="Mariana (17:35) Telefone ocupado"/>
        <s v="Taty ( 10:04) paciente atendida no HMR, prescrito betametasona, referindo melhoras dos sintomas, hoje 1 epsodio de contração indolor, lombalgia leve.em tratamento para ITU ( 6/7)"/>
        <s v="Taty ( 08:54) não atendeu (13:30) não atendeu"/>
        <s v="ianne (15h20) paciente não atende"/>
        <s v="Taty ( 08:54) não atendeu"/>
        <s v="Joanna (16h13; 16h40): não atendeu"/>
        <s v="Lari (16h30) Paciente atendida na Barros. Recebeu atestado médico de 5 dias."/>
        <s v="Joanna (10h30): não atendeu"/>
        <s v="(08h15) Gestante atendida na urgência, onde foi prescrito ATB para ITU. Monitorar para relembrar da coleta da urocultura de controle"/>
        <s v="Mobilograma alterado, encaminhada à urgência."/>
        <s v="09h Realizado monitoramento. Paciente em curva de melhora. Sem novos sintomas"/>
        <s v="Joanna (10h; 15h30; 16h30): não atendeu"/>
        <s v="Às 15h25, não atendeu a ligação."/>
        <s v="Taty (11:32) chama 2x e da oculpado"/>
        <s v="Taty(08:17) Paciente não atendeu (10:10) não atendeu "/>
        <s v="Rhayza (10:40) paciente relata melhora dos sintomais, nao relata queixas no momento, refere termino do tratamento em 12/03/24"/>
        <s v="Lari (8h50) Pct refere persistência de tosse e secreção amarelada. Vai iniciar ATB hoje"/>
        <s v="Camilla (8h:30) Gestante atendeu o telefone, mas não entrou no Hopchat. Quando ligo novamente, não atende."/>
        <s v="Joanna (12h30; 14h30; 17h20): não atendeu"/>
        <s v="Taty ( 08:34) paciente refere melhora de forma geral do quadro, porem ainda com tosse produtiva e coriza, nega febre e outro sinais de alerta. "/>
        <s v="Rhayza: Conduta: Procurar APS e uso de dipirona S/N - Observação: averiguar se conseguiu acesso A APS"/>
        <s v="Joanna (12h30): não atendeu"/>
        <s v="ianne (15h20) paciente não atende, mas pelo PEC foi atendida em APS e iniciado tratamento"/>
        <s v="Joanna (14h; 14h40; 17h20; 18h30): não atendeu"/>
        <s v="Joanna (11h; 13h40; 17h50): não atendeu"/>
        <s v="(Thiago) Às 13:44h, usuária não atendeu à chamada."/>
        <s v="Foi à Maternidade Bandeira Filho, realizou EAS e hemograma, descartou-se arbovirose, fez hidratação EV. Prescrito Buscopan, Dramin e Vit C.  Apresentou novos episódios de vômito quando chegou em casa. Mantém mialgia. Ainda não fez uso do Dramin."/>
        <s v="(Thiago) Usuária não atende à chamada."/>
        <s v="(Thiago) Gestante no D6 dos sintomas, sem novas queixas, com melhora do quadro."/>
        <s v="Taty ( 11:32) paciente Hoje, D7 do curso dos sintomas, refere melhora dos sintomas, sem surgimento de novas queixas, nega sinais de alerta "/>
        <s v="08:37 (Taty) Gestante refere ausência de qualquer sintoma urinário e/ou de outra ordem no momento. conclusão do tratamento para ITU em 12/03/2024, URO marcada para 21/03/2024"/>
        <s v="(Thiago) Às 13:51h, usuária não atendeu à chamada."/>
        <s v="(Thiago) Às 14:06h, usuária não atendeu à chamada."/>
        <s v="13:12 (taty) não procurou a unidade hoje, porem  ACS consulta para amanha 12/03/24, refere permanecer com os mesmos sintomas"/>
        <s v="13:50 (taty)  Gestante informa que procurou atendimento na APS, fez restauração e limpeza dentaria , refere melhora dos sintomas e nega qualquer queixa obstetrica  e urinaria."/>
        <s v="Joanna (9h26; 13h30): não atendeu"/>
        <s v="08:35 (Camilla) Gestante não atendeu."/>
        <s v="Joanna (9h27; 13h30; 16h50): indisponível"/>
        <s v="Joanna (9h28): não atendeu"/>
        <s v="(Thiago) Às 08:27h, gestante refere melhora dos sintomas, sem novas queixas."/>
        <s v="Foi ontem à Maternidade Barros Lima, prescrito Maleato de dexclorfeniramina + betametasona (ainda não iniciou uso), orientada a retornar hoje para realizar USG obstétrica e reavaliação. No momento, encontra-se na Maternidade aguardando realizar USG. Refer"/>
        <s v="(Thiago) Às 09:02h, gestante não atende à ligação."/>
        <s v="09:51 ( rhayza) Paciente não atenteu "/>
        <s v="09:03 ( taty) Paciente nao atendeu "/>
        <s v="14:09 ( taty) gestante procurou atendimento na Policlinica Arnaldo Marques, onde foi avaliada, medicada e recebeu alta; hoje refere cefaleia, tosse , sem febre, refere boa vitalidade do feto, nega sinais de gravidade, sangramento, queixas urinarias e outr"/>
        <s v="09:17 (taty) Paciente não atendeu (13:22) paciente nao atendeu "/>
        <s v="Nayale (11h30): Não atendeu à chamada (tentado 2x)"/>
        <s v="09:53 (taty)Paciente nao procurou atendimento, refere melhora da Odontalgia, desde de ontem sem uso de analgesico, relata que esta a caminho da maternidade pois medica do PN encaminhou, refere boa vitalidade do feto, sem queixas obstetricas e urinarias "/>
        <s v="Nayale (11h32): Não atendeu à chamada (tentado 2x)"/>
        <s v="Nayale (11h35):Puérpera solicita ligação a partir das 14h"/>
        <s v="Joanna (8h27; 15h11): não atendeu"/>
        <s v="15:53 (Nayale) Marido atende ligação e esposa não pode atender no momento. Estão indo para a maternidade Cisam. Retornarei ligação após as 17h."/>
        <s v="Internada no HAM."/>
        <s v="Rhayza (10:05; 13:33h): nao atendeu"/>
        <s v="Rhayza (13:00) atendeu . Retornar às 16 h."/>
        <s v="Refere melhora da cefaleia após uso de Dipirona. Não foi à USF devido estar no tramalho, mas vai amanhã. Nega surgimento de novos sintomas e sinais de alerta. Mantém odinofagia e congestão nasal."/>
        <s v="Internada na Barros lima"/>
        <s v="(Camilla) Às 09h50, gestante informa que está aguardando a consulta pré-natal na unidade de saúde. Ligar novamente à tarde"/>
        <s v="22/03 (Lari) Paciente não atendeu as 13h40"/>
        <s v="Não foi à USF. Mantém queixa. Cd: Reforço importância do atendimento presencial."/>
        <s v="Questionar vacinação para covid. (Lari)  Não atendeu Rhayza (11:00)"/>
        <s v="(Camilla) Gestante está na unidade de saúde, acabou de ser atandida no pré-natal. Foi prescrito tratamento para corrimento. Dou alta do episódio."/>
        <s v="Atendeu mas não respondeu no hopchat "/>
        <s v="Joanna (8h49): não atendeu"/>
        <s v="Joanna (8h51): não atendeu"/>
        <s v="Gestante queixa-se ainda dos sintomas. Encaminho à maternidade; Novo monitoramento amanhã"/>
        <s v="(Lari) 8h30 Paciente não atendeu"/>
        <s v="Ligar às 15h (Nayale 15:00) realizado telemonitoramento. Manter telemonitoramento amanhã. Ligar após as 15h."/>
        <s v="(Camilla) Gestante refere que foi à urgencia ontem e foi prescrito tratamento para corrimento. Encerro caso e sugiro  TINC psiquiatria"/>
        <s v="(Dama - Gestante em curso de 14s3d pela DUM e 19s5d pela USG, com remissão dos sintomas gripais. Queixa hoje de corrimento  leitoso com grumos e prurido discreto, nega odor fétido e dispareunia. Oriento ir à urgência, atendimento realizado fora do horário"/>
        <s v="Lili- Puérpera refere vermelhidão, dormência e saída de secreção amarelada em pequena quantidade da F.O. Nega febre, nega outras queixas. Relata que foi na urgência obstétrica hoje pela manhã, onde foi avaliada por profissional da saúde, o qual orientou q"/>
        <s v="Atendeu mas não respondeu ao hopchat (10:46)"/>
        <s v="Atendeu mas não respondeu ao hopchat (12:05); às 12:19 informou que o link não estava funcionando."/>
        <s v="Lari ( 8h30) não atendeu"/>
        <s v="Joanna (8h33; 16h26): não atendeu (falta registrada no PEC)"/>
        <s v="Joanna (8h34; 16h27): não atendeu (falta registrada no PEC)"/>
        <s v="Refere melhora da dor na panturrilha. Queixa-se de disúria há 4 dias. Encaminhada para avaliação presencial."/>
        <s v="ligar as 10h"/>
        <s v="Rhayza não atendeu (15:07)"/>
        <s v="Joanna (9h08; 16h28): não atendeu (falta registrada no PEC)"/>
        <s v="Refere que não foi ao atendimento presencial, pois a PA estava normal (110 x 80) e melhorou após tomar dipirona novamente."/>
        <s v="08:19 ( taty) Paciente não entendeu 14:54 "/>
        <s v="Rhayza (09:57) não atendeu"/>
        <s v="Nayale (12:10) Gestante ainda não foi ao serviço de saúde. Reforço necessidade de ir ao serviço e informo que amanhã haverá novo telemonitoramento."/>
        <s v="13:37 (taty) refere dor na lombar e promodomos inicio 23/03/24. nega perdas vaginais, queixas urinarias. movimentos fetais presente consulta de PN amanha (02/04/2024)"/>
        <s v="8h30 paciente não foi na APS, vai agora de manha. Ligar a tarde"/>
        <s v="08:35 ( taty) Paciente não entendeu "/>
        <s v="17:00 Não atendeu"/>
        <s v="08:44 ( taty) gestante procurou atendimento no Barão de lucena,pois na APS nao conseguiu,  realizou teste para covid 19 com resultado negativo, referHD dengue. hoje relata melhora da nausea, fadiga, sem febre, em uso de 1g de dipirona 8/8h, nega queixas u"/>
        <s v="17:00 Não "/>
        <s v="16h40 (Camilla) Gestante nega queixas. Pede para prescrever antibiótico dose unica para ITU. Compartilho atendimento com Damartine. Agendo monitoramento para dia 0/04"/>
        <s v="10:00 (Camilla) tentativa de contato sem sucesso. Porém, visualizo no PEC que a gestante compareceu ao PN hoje e tem uma reavaliação na APS agendada para amanhã. Encerro o caso, considerando que houve a devida apropriação do cuidado pela APS."/>
        <s v="09:27 ( taty) Paciente não atendeu "/>
        <s v="08h10 (Lari) Pacinte não atendeu"/>
        <s v="Realizar novo monitoramento (15 h) para saber se acessou o PN e se diminuiu o sangramento. "/>
        <s v="17h20 - Foi atendida no Hospital da Mulher do Recife, realizou exames laboratoriais (sem alterações), prescrito Metildopa 250mg 8/8h (vai iniciar uso hoje). Nega queixas e sinais de alerta."/>
        <s v="8h30 (Lari) Paciente refere que a consulta de hoje na APS foi cancelada (sistema fora do ar, SIC). Oriento avaliação na maternidade mais próxima a sua casa, pois paciente permanece sangrando."/>
        <s v="(Thiago) Às 08:38h, gestante refere melhoras dos sintomas e econtra-se em sua USF para realização de consulta Pré-natal."/>
        <s v="08:26 (taty) telefone desligado "/>
        <s v="Joanna (06/04): não disponível"/>
        <s v="Rhayza (15:08) ocupado "/>
        <s v="(Thiago) Às 15:27h, paciente não atende."/>
        <s v="(Thiago) Às 15:18h, telefone indisponível."/>
        <s v="08:30 (taty) "/>
        <s v="Gestante compareceu à unidade. Iniciou tto de ITU. PN agendado para amanhã."/>
        <s v="Joanna (8h20): não atendeu"/>
        <s v="(Lari) não atendeu"/>
        <s v="(Thiago - 08:48h) Usuária não atende à chamada."/>
        <s v="Gestante refere melhora dos sintomas. Agendo montioramento em 48 horas"/>
        <s v="(Thiago - 09:34h) Gestante apresenta piora dos sintomas gripais iniciados dia 09/04, encaminho para avliação presencial na APS."/>
        <s v="8h (Lari) Paciente não atendeu"/>
        <s v="8h (Lari) sem telefone"/>
        <s v="Joanna (16h; 17h): não atendeu (falta registrada no PEC)"/>
        <s v="Rhayza (08:16) nao atendeu "/>
        <s v="Rhayza (08: 22) ocupado "/>
        <s v="Rhayza (16: 21) nao atendeu "/>
        <s v="Realizar monitoramento amanha 14/04"/>
        <s v="Gestante internada na maternidade"/>
        <s v="Lari (8h) não atendeu"/>
        <s v=" Refere melhora da cefaleia e movimentação fetal sem alterações. Nega contrações uterinas e perdas vaginais. Queixa-se de diarreia sem associação com outros sintomas e sinais de alerta (2 evacuações hoje). PA = 123 x 76. Cd: Orientações gerais. Monitorira"/>
        <s v="melhora da náusea e vômito; refere estar com raiva devido parceiro negar a paternidade e expressa desejo de abortar."/>
        <s v="Joanna (12h; 12h30; 17h47): não atendeu (falta registrada no PEC)"/>
        <s v="8h30 (Lari) não atende"/>
        <s v="(Marta) Jessica articulou com a paciente fazer o atendimento amanhã-devido impossibilidade da usuária no momento."/>
        <s v="Encaminhado para urgência por dor em baixo ventre "/>
        <s v="Mantém perda de líquido sem sinais de alerta e trabalho de parto; dor em BV do tipo cólica iniciada por volta das 12h. Mobilograma: 16 MF, afebril e normotensa"/>
        <s v="Rhayza  (8:09): ligação caindo/não atendeu"/>
        <s v="Joanna (8h8; 14h26): não atendeu"/>
        <s v="Rhayza  (8:12): não atendeu"/>
        <s v="(Thiago - 09:19h) Usuária não atende à chamada."/>
        <s v="Gestante apresenta melhora dos sintomas."/>
        <s v="(Jessi - 19/04): Paciente relatou muito sono com o uso de Dramin. Oriento substituir pela Metoclopramida. Pactuamos teleconsulta compartilhada com enfermeira do pré natal a ser agendada e informada através do ACS "/>
        <s v="Rhayza (11:00)"/>
        <s v="17:15 Não procurou Maternidade. Novo monitoramento 21/04"/>
        <s v="(Lari) Foi encaminhada para avaliação presencial na APS"/>
        <s v="Refere que as contrações estão mais intensas e em intervalo mais curto (não está fazendo o registro), não foi ao atendimento presencial. Além disso, apresentada cefaleia, náusea, ardência ao urinar, eliminação de volume urinários menor que o habitual. Ref"/>
        <s v="(Lari) ITU + febre, foi encaminhada para Barros. Ligar as 10h30"/>
        <s v="(Lari) DM1 + TPP, foi encaminhada para o HMR. Não atendeu as 8h"/>
        <s v="(taty) paciente nao procurou atendimento presencial, refere dor em bv e lombar intensa e melhora da febre, oriente buncar atendimento presencial "/>
        <s v="08:16 (Taty) Paciente não atendeu (12:44 ) paciente nao atendeu"/>
        <s v="Rhayza (08:09) telefone ocupado"/>
        <s v="Taty (08:38) não completa a chamada "/>
        <s v="Taty (08:38) Paciente nao atendeu"/>
        <s v="Taty (09:40)  Paciente no D4 dos sintomas, nao buscou atendimento presecial, como orientado; Refere dispneia ao esforço que melhora ao repouso, coriza leve  e a noite apresenta congestao nasal, nega febre, queixas urinarias outra queixas obstetricas; refe"/>
        <s v="Está na consulta pré-natal. Ligar 16 h"/>
        <s v="08:25 Não atendeu (Rhayza)"/>
        <s v="(Thiago) Às 11:04h, paciente não atendeu à chamada"/>
        <s v="10h30 (Lari) Paciente não atendeu."/>
        <s v="26/04 (Lari) Pct sem queixas. Oriento seguimento de PN em APS."/>
        <s v="Rhayza (09:24) nao atendeu"/>
        <s v="Melhora dos sintomas "/>
        <s v="Rhayza (09:32) nao atendeu"/>
        <s v="Rhayza (16:16) nao atendeu"/>
        <s v="Gestante refere melhora dos sintomas de nauseas e vômitos e tosse. Alta do episódio, encerro caso."/>
        <s v="Puérpera se encontra na maternidade, após cesariana de urgência ontem às 23h."/>
        <s v="(Thiago) Às 17:35h, usuária apresenta melhoras do quadro de dor e níveis normais de PA."/>
        <s v="Realizar novo monitoramento 03/05"/>
        <s v="Joanna (17h; 18h16): não atendeu"/>
        <s v="9h50 (Lari) Paciente informa melhora da cefaleia. Está aguardando agendamento de PNAR DMG"/>
        <s v="Rhayza (16:31) não atendeu "/>
        <s v="08h20 (Lari) Não atende; 10:21h (Thiago), não atende."/>
        <s v="08:23 ( Taty) Paciente não atendeu; 10:35h (Thiago) não atende."/>
        <s v="08:17 ( Taty) Paciente não atendeu; 10:46h (Thiago), esposo solicita que entremos em contato mais tarde."/>
        <s v="09h50 (Lari) Não atende; 15:29h (Lili) Não atende"/>
        <s v="Foi atendida na USF, mas devido sintomas apresentados e PA = 140 x 90, foi encaminhada à maternidade. Na Maternidade Bandeira Filho realizou rotina de PE. Alterações não foram identificadas, foi medicada e recebeu alta. No momento, nega queixas. Refere bo"/>
        <s v="Refere que foi ao Hospital da Mulher do Recife, aguardou por 6 horas e não foi atendida. Último episódio de sangramento ontem, mantém disúria. Nega sinais de alerta. Cd: Encaminho para avaliação na Mat Bandeira Filho."/>
        <s v="Joanna (10h50; 15h): não atendeu"/>
        <s v="Rhayza (08:50) nao atendeu "/>
        <s v="Mobilograma +/- 3 movimentos em 1 hora. Encaminho para maternidade"/>
        <s v="(Thiago) Às 08:33h, usuária não atende à ligação 09:00 (taty) paciente não atendeu. 14:00 (Lili): Paciente não atendeu"/>
        <s v="10:00 (Lili): Paciente refere melhora dos sintomas. Em término do tratamento (D10). Reforço importância da realização de urocultura. "/>
        <s v="Lili (16:10) Gestante refere melhora da dor, iniciou tratamento para ITU. "/>
        <s v="08:10 (taty) Paciente não atendeu "/>
        <s v="Foi atendida na APS; encaminhamento está no SISREG."/>
        <s v="Pct internada no CISAM"/>
        <s v="08:13 ( taty) Paciente não atendeu 12:07 ( taty) Paciente não atendeu"/>
        <s v="USG (14/05): peso fetal adequado para IG. Finalizo telemonitoramento"/>
        <s v="08:22 ( taty) Paciente não atendeu (81991300852) 12:05 ( taty) Paciente não atendeu"/>
        <s v="11:11 ( taty) Procurou atendimento na Barro Lima, onde foi examinada,  realizou exames laboratoriais, medicada e foi liberada, hoje nega cefaleia, nega sinais flogistico em FO e outras queixas 08:47( taty) Paciente dormindo(ligar as 10:30) "/>
        <s v="Refere melhora. Foi à consulta de PN. "/>
        <s v="Foi atendida na USF Três Carneiros, PA = 130 x 80. Refere melhora da cefaleia após uso de Dipirona. Segue sem novas queixas. Orientada a realizar MRPA."/>
        <s v="8h (Lari) paciente está se deslocando para realizar exames. Solicita contato as 10h. 10:10 (Lili): Paciente não atendeu"/>
        <s v="9h (Thiago) paciente refere melhora das cólicas."/>
        <s v="08:20 ( Taty) Paciente não atendeu. 16:00 (Lili): Paciente refere que não foi a APS e que irá realizar exame laboratorial por conta própria. "/>
        <s v="09:10 ( taty) Paciente internada no HMR . Aguarda USG e conduta ( provavel cerlagem), nega hoje dor ou sangramento, refere repouso absoluto "/>
        <s v="09:35 ( Taty) Paciente não atendeu;  11:22 (taty) paciente nao atendeu"/>
        <s v="16:28 (taty) !7:38h (Thiago) Não completa a chamada."/>
        <s v="Feito registro e encaminhado presscrição de sintomáticos."/>
        <s v="08:27 (taty)Gestante internada no IMIP, por ameaça de trabalho de parto prematuro,refere contrações irregulares, porem ao exame esta com dilatação de 4cm, em repouso ,  Nega perdas vaginais ou outras queixas.   "/>
        <s v="08:17 (Taty) Paciente não atendeu 10:14 ( taty) paciente nao atendeu"/>
        <s v="16:00 (Lili): Paciente refere que foi diagnosticada com ITU e prescrito antibiótico."/>
        <s v="08:29 (taty) Paciente refere melhora da dor em flanco direito, nega queixas obstétricas e urinarias."/>
        <s v="09:06 (taty) Paciente procurou atendimento no HC, hoje nega presença de sangramento, nega perdas vaginais, queixas urinarias e colicas, Refere MF presente "/>
        <s v="Joanna (9h30; 14h26): não atendeu"/>
        <s v="09:05 (Lili): Paciente não atendeu 10:30 Paciente refere que foi atendida na Maternidade Bandeira Filho, que o BCF estava normal e que sentiu o bebê se movimentar normalmente hoje. "/>
        <s v="18:00 (Damartine) Retorno para a gestante, orientando que compareça nesta quinta-feira ao PN com médica da unidade."/>
        <s v="10:24 (taty) paciente nao atendeu ; 12:13 (taty) microcip com instabilidade"/>
        <s v="08:30 (taty) puerpera levou filho a pediatra peso atual 3100 e 51cm, refere diurese e evacuaçoes presentes, colicas noturanas, oriento e encaminho gestante a nutrição"/>
        <s v="08:20/ 11:10 (Lili): Paciente não atendeu "/>
        <s v="08:27 (Rhayza): nao atendeu"/>
        <s v="(Lili): Paciente refere perda de líquido, encaminho para urgência obstétrica. Também refere que iniciou pré-natal em outra USF e será encaminhada ao PNAR. "/>
        <s v="09:47 ( taty) Paciente relata dor leve &quot; virilha &quot; refere contrações de treinamentos com colicas discreta, Nega sangramento, queixas urinarias, dor lombar ou outros sinais de alerta."/>
        <s v="Joanna (11h20; 13h58; 17h40): não atendeu"/>
        <s v="14:00h (Thiago) Paciente apresenta melhora das cólicas."/>
        <s v="09:42 ( taty) paciente não atendeu"/>
        <s v="mantém dor em baixo ventre de intensidade leve, mais localizada no lado esquerdo. No geral, refere que apresenta melhora considerável. Nega perdas vaginais e outras queixas. Mantém boa movimentação fetal. Glicemia e PA sem alterações."/>
        <s v="Após o atendimento realizado ontem, fez uso do sintomático, porém, não apresentou melhora e a dor ficou mais intensa. Conforme orientação que recebeu na teleconsulta, foi à urgência do IMIP. Contatou-se trabalho de parto prematuro. RN nasceu no IMIP, dia "/>
        <s v="Mobilograma = 1 MF em 1h. Encaminho para avaliação na urgência obstétrica"/>
        <s v="(Lari) Realizo monitoramento. Oriento nitrofurantoina profilático, MAPA e perfil de HGT"/>
        <s v="09:00h (Thiago) Usuária não atende a chamada."/>
        <s v="09:10h (Thiago) Usuária não atende a chamada."/>
        <s v="16:00h (Thiago) Gestante encontrava-se em atendimento na Bandeira Filho."/>
        <s v="16:48 (Lili) Paciente não atendeu. ligar as 16h para avaliar melhora da cefaleia"/>
        <s v="Pct foi ao HMR (22/05) e constatou que nao há perda de LA. Retornará ao PN amanhã. "/>
        <s v="Rhayza (16:00) nao atendeu"/>
        <s v="10:50h Paciente sem queixas, refere que foi para PN ontem na nova USF, sendo ecaminhada para o PNAR, e prescrito carbonato de cálcio para prevenção de PE. "/>
        <s v="Rhayza (08:04) Não atendeu "/>
        <s v="Camilla (13h50) Gestante informa que estava dormindo, mas que o sangramento cessou.  Encerro o caso."/>
        <s v="Rhayza (16:18) Não atendeu "/>
        <s v="11:40 Paciente no IMIP aguardando atendimento. Relata peristência do sangramento"/>
        <s v="8h12 (Camilla) Não atendeu. 12h19 Não atendeu."/>
        <s v="(Thiago) 8:30h Telefone ocupado, paciente não atende a chamada."/>
        <s v="(Rhayza) 09:38 Atendeu e desligou"/>
        <s v="(Rhayza) 09:41 Nao atendeu"/>
        <s v="(Rhayza) 09:43 Nao atendeu"/>
        <s v="Gestante procurou o IMIP ontem, realizar novo monitoramento amanha "/>
        <s v="Gestante não tomou medicação para dor e nao procurou hospital, pediu para retornar a tarde "/>
        <s v="11:00h (Thiago) Nao atendeu a chamada."/>
        <s v="08:15h (Lili): Ligar a tarde"/>
        <s v="8h15 (Camilla) Não atendeu. 12h22 Não atendeu."/>
        <s v="09:10 (taty) Paciente não atendeu 12h28 (camilla) Ligação atende, mas sinal ruim, não consigo comunicação."/>
        <s v="09:40 (Lili) Paciente não atendeu "/>
        <s v="08h20 Paciente não atendeu / 13:10h (Lili): Paciente não atendeu "/>
        <s v="09h35 (Camilla) Gestante internada no HAM. Encerro caso e dou alta do episódio."/>
        <s v="Rhayza (08:37) Não atendeu 11:02 (taty) ligar as 12h estava em consulta "/>
        <s v="ligar as 16:30"/>
        <s v="(Camilla) 08h12 não atendeu."/>
        <s v="Rhayza (08:40) Não atendeu "/>
        <s v="Joanna (7h58; 13h24; 18h): não atendeu"/>
        <s v="08:01 (taty) paciente não atendeu"/>
        <s v="08:50 (taty) Paciente refere melhora do quadro apos uso de analgesico, nega queixas obstetricas, urinaria e sinais de eminência "/>
        <s v="Joanna (08h8): não atendeu 12:42 (taty) não completou a chamada"/>
        <s v="(Camilla) 08h20 não atendeu."/>
        <s v="(Camilla)  Às 14h não completa a ligação"/>
        <s v="Mobilograma = 20 MF"/>
        <s v="(Camilla) 16h Gestante refere que as contrações não aumentaram. Continua em pródromos. Oriento e encerro caso."/>
        <s v="10:00h (Thiago) Usuária não atende a ligação."/>
        <s v="Refere melhora considerável após iniciar uso de Cefalexina no dia 01/06; nega novos sintomas e sinais de alerta. Optou por aguardar a consulta de pré-natal que está agendada para o dia 06/06, portanto, não buscará atendimento hoje na USF, conforme orienta"/>
        <s v="Puérpera refere melhora da amamentação. Nega queixas. Disse que amanh~ã tem consulta no posto de saúde."/>
        <s v="Falar com Lili"/>
        <s v="08h05 (Lari) Telefone não atende"/>
        <s v="08:29h (Lili): Paciente internada no HMR. "/>
      </sharedItems>
    </cacheField>
    <cacheField name="CONDUTA MONITORAMENTO 2" numFmtId="0">
      <sharedItems containsBlank="1" count="458">
        <m/>
        <s v="Foi atendida no PN da APS hoje, sem alterações de PA e sinais de premonitórios de PE. Próxima consulta agendada 07/12. IG=36s. Oriento acerca dos sinais de alerta/ir à urgência. (Joanna)"/>
        <s v="ianne: Tentando ligar novamente 03/01 - desliga ligação"/>
        <s v="(CAMILLA) Realizado telemonitoramento de gestante. Refere contrações irregulares no mesmo padrão que ontem, sem sinais de alerta. CD: oriento que busque unidade de saúde na presença de sinais de TP e/ou alerta; encorajo que compareça a consulta de pré-nat"/>
        <s v="Realizado novo contato, paciente refere persistência da diminuição dos MF. Oriento ir para atendimento presencial imediatamente. Acolho queixa de medo da dor do TP e oriento sobre importância e ressignificação da dor no processo do nascimento. Explico sob"/>
        <s v="14h paciente refere que esta aguardando internamento na maternidade Barros Lima. Nega queixas no momento e refere que medica do CISAM (atendimento realizado pela manha) informou que ela estava com 3cm. Informa que internamento na Barros Lima será devido i"/>
        <s v="Puérpera, no 3º DPO de cesariana, de alta há 24h. Bebê nasceu bem, dia 21/04 às 14:45, via cesariana devido a AP pélvica. "/>
        <s v="Gestante atendeu a ligação às 17:15, mas disse que não foi à maternidade e que as cólicas cessaram, mas que a cefaleia forte permanece, mesmo após uso de diprona. Reforço a importância de buscar a emergência obstétrica hoje ou amanhã. Ciente do telemonito"/>
        <s v="11/05 telefone nao completa a ligação "/>
        <s v="31/05 (Taty): Tentativa de monitoramento sem sucesso, paciente nao se encontrava, quem atendeu solicitou ligar mais tarde. Joanna: Realizo nova tentativa de contato, porém sem sucesso (17h51)"/>
        <s v="Refere que foi à urgência ontem devido aumento do sangramento. Prescrito Utrogestan. "/>
        <s v="Queixas: Prurido anal a noite, presença de vermes pequenos e de cor branca em região anal e peças íntimas. _x000a_História da doença atual: Gestante refere ter realizado tratamento para verminose com albendazol 400mg, dose única, em março/2023. Apresentou melho"/>
        <s v="(Thiago) tentativa às 16:20"/>
        <s v="(Taty) Monitoramento realizado, paciente ainda permanece com sintomatologia, TR negativo , conforme o protocolo mantenho o monitoramento"/>
        <s v="(Ianne)Realizo teleinterconsulta com enf Rose martins, orientado sobre tratamento adequado com albendazol para paciente e familiares (que moram na mesma casa). Consulta de pre natal amanha."/>
        <s v="(Thiago) Refere melhora do quadro viral; informa que foi para atendimento; oriento realização do teste covid-19. Mantenho monitoramento com 48h seguindo protocolo de sindrome gripal"/>
        <s v="(taty) tentativa de monitoramento sem sucesso as 16:30)"/>
        <s v="(taty) tentativa de monitoramento sem sucesso as 16:50)"/>
        <s v="Gestante nega queixas no momento. Segue aguardando agendamento de exames laboratoriais para investigação de trombofilia. "/>
        <s v="(taty) paciente refere diminuição nos MF, apos mobilogarma (2 em 1h), com perca de muco e dor lombar; encaminho para atendimento presencial na maternidade bandeira filho "/>
        <s v="09/06 (Lari) Paciente não atendeu as 16h"/>
        <s v="09/06 (Lari) Paciente não atendeu as 16h30"/>
        <s v="Refere melhora do edema e secreção na gengiva. Está no 3º dia de tto com Amoxicilina."/>
        <s v="(Marcia) Sem sucesso às 17:36"/>
        <s v="(Joanna) Não foi ao atendimento presencial. Mantém coriza; não realizou TR-Ag; Oriento ir ao CS para agendar PNAR, fazer avaliação e rrealizar TR-Ag, se dispoível no serviço."/>
        <s v="(Marcia) Orienta buscar a unidade de saúde para avaliação/realizar telemonitoramento dia 13/06"/>
        <s v="(Joanna) Tentativa às 14h / Aguarda lab 3º trimestre "/>
        <s v="09/06 (Lari) Paciente não atendeu 16h30"/>
        <s v="09/06 (Lari) Paciente não atendeu 17h"/>
        <s v="(Ianne) Tentativa as 14h e 14:30h"/>
        <s v="(Joanna) Tentativa às 14h"/>
        <s v="(Joanna) Tentativa às 14h / (Marcia) às 17h: Foi à maternidade como orientada na teleconsulta, oriento seguir medicações prescritas e agendo monitoramento para dia 16/06 quando finaliza as medicações. Oriento sinais de alerta e se piora buscar atendimento"/>
        <s v="(Marcia) Encaminho paciente para avaliação presencial na emergência obstétrica de preferência em até 2 horas devido diminuição dos movimentos fetais. Informo monitoramento pela equipe do Atende Gestante em 24 horas."/>
        <s v="11/06 ( taty) Monitoramento realizado gestante sem queixas oriento importancia e manutençao do PN tanto na APS E PNAR "/>
        <s v="(Camilla) Tentativa às 14:23 sem sucesso"/>
        <s v="11/06 (taty) gestante nao atende a ligação tentativa as 10:11"/>
        <s v="11/06 ( ana) telefone desligado 13:55"/>
        <s v="(Thiago) Sem sucesso às 15:25 (nao atendeu )"/>
        <s v="(Thiago) Tentativa às 14:24"/>
        <s v="(ianne) 14h42 telefone desligado"/>
        <s v="(Thiago) 15h Foi para atendimento na Barros Lima, recebeu prescrição de Fentizol óvulo + Miconazol creme vaginal."/>
        <s v="(Camilla) 14:10 - Atendeu, mas refere que não tinha disponibilidade de falar"/>
        <s v="11/06  (taty) gestante na maternidade bolsa integra e sera reavaliada em 4h, monitoramento em 12/06 "/>
        <s v="(Thiago) Sem sucesso às 15:45 (nao atendeu )"/>
        <s v="Taty (14:04 ) Paciente atendeu e deslisgou apos indentificação "/>
        <s v="(Camilla) 14:30 - Tentativa sem sucesso."/>
        <s v="TATY(14:30) Puerpera  refere melhora na queixas. mantenho conduta de orientaçoes "/>
        <s v="(Camila)"/>
        <s v="Joanna (15/06 - 13h20): Foi à Maternidade Barros Lima, diagnosticada com ITU, em uso de ATB (não lembra o nome). Sem queixas no momento. Oriento repetir urocultura após 10 dias do término do tto. "/>
        <s v="Joanna (15/06): não atendeu (8h50; 13h58; 16h24). Taty (14/06 - 15:28 )ligar as 17:00"/>
        <s v="Ianne: 13h55: tentativa sem sucesso"/>
        <s v="Joanna (15/06 - 13h59; 16h26): não atendeu."/>
        <s v="taty (14:15 ) paciente nao interagiu na sala e telefone esta agora desligado "/>
        <s v="taty (14:15 ) gestante na maternidade, refere que esta com 4cm de dilatação, sem perdas vaginais. "/>
        <s v="ianne (13h40) não atende; Joanna (16h28): não atende."/>
        <s v="Taty(13:35 telefone desligado; Joanna (16h29): não atendeu"/>
        <s v="Taty(13:55) Paciente nao atendeu; Joanna (16h30): não atendeu"/>
        <s v="ianne (13h38) telefone desligado; Joanna (16h31): telefone desligado"/>
        <s v="(Thiago) Gestante com IG 21s3d, compareceu a Bandeira Filho hoje e refere que no atendimento foi informada que o corrimento se tratava de candidíase vaginal e que realizou  sumário de urina com resultado normal. Nega queixas obstétricas como sangramento, "/>
        <s v="Gestante com IG 11s6d pela DUM; G1 P1 (PN de prematuro extremo que foi a óbito) A0, a mesma informa que já deu início ao pré-natal em UBS de referência em seu território, já realizou consulta odontológica e está com consulta de volta marcada, assim como e"/>
        <s v="(Thiago) Tentativas sem sucesso às 16:56"/>
        <s v="13h30 (ianne) telefone desligado. "/>
        <s v="Joanna (15h6): permanece com a mesma queixa, no momento está se deslocando para atendimento na Barros Lima. Não foi possível encaminhar registro de atendimento porque a teleconsulta foi por chamada telefônica."/>
        <s v=" (Taty) Paciente encontra-se na maternidade, aguarda USG para definir conduta "/>
        <s v="ianne (14h) Paciente não atende. Enviado whasapp por link, mas sem retorno"/>
        <s v="ianne (15h05) Paciente não atende"/>
        <s v="(Marta) Não consegue contato após às 07:30h porque usuária não tem celular"/>
        <s v="Registrado Evento Sentinela - Encaminhamento via USF - agendamento regulação (Bel)"/>
        <s v="taty (09:19 ) paciente nao atendeu  (taty:13:50) paciente nao atendeu  Taty(15:54) paciente nao atende u"/>
        <s v="Ianne (14h50): paciente não atende. è enferemeira e tinha ficado de entrar em contato com resultado de uroc. "/>
        <s v="ianne (16h): Paciente não atende"/>
        <s v="ianne (16h10) paciente não atende"/>
        <s v="Taty("/>
        <s v="Taty ( 16:27) tentativa sem sucesso "/>
        <s v="14:20 (taty) realizo telemonitoramento, paciente refere cefaleia e nega outras queixas, como ontem apresentou na maternidade 140*90, solicito ida ao posto para hoje e amanha para aferir a PA "/>
        <s v="(ianne) realizar monitoramento amanha. Paciente ainda não foi na maternidade"/>
        <s v="01/07 (Joanna): Refere foi dia 29/06 ao CS Vereador Romildo Gomes, realizou 1ª consulta de PN, foi orientada quanto a normalidade do sangramento e corrimento vaginal. Nega novos episódios de sangramento. Prescrito Ácido fólico 1x/dia. Aguarda agendamento "/>
        <s v="Taty (15:27/ 16:49 ) paciente nao atendeu "/>
        <s v="01/07 (Joanna): Foi atendida na UPA dos Torrões, foi orientada que a reação apresentada à Cefalexina era normal e que poderia continuar uso. Encontra-se no 3º dia de tratamento, alega melhora do quadro apresentado, nega surgimento de novos efeitos colater"/>
        <s v="Joanna (16h12; 17h23): não atendeu"/>
        <s v="Taty ( 13:55) Thiago (15:10h) paciente não atende Taty ( 18:32  ) apos indentificação paciente desliga "/>
        <s v="Taty ( 13:55) paciente encontra-se no HBL, iniciou ATB e ira realizar uma lavagem cavitaria , o pec nao foi preenchido pois a paciente nao estava podendo falar ( preparo para o BC) falo com esposo "/>
        <s v="Thiago (12:00) Paciente não atende à ligação. (Fabiane) tentativa às 16:10"/>
        <s v="Telefone fixo e microsipp sem funcionar - tentar monitoramento 05/07"/>
        <s v="Refere que foi atendida na policlinica Bandeira filho , medicada e teve melhora da queixa "/>
        <s v="07/07 (Thiago) Às 15:35, usuária não atendeu.16:33 (taty) tentativa sem sucesso"/>
        <s v="Apoio Emocional"/>
        <s v="TATY(14:12) Paciente refere melhora dos sintomas;  prurido, hiperemia vulvar, edema, corrimento ; Iniciou creme vaginal dia 07/07/2023 após ser liberado pela APS e higiene pessoal como orientado em consulta anterior "/>
        <s v="07/07 (Thiago) Às 15:20, usuária não atendeu 16:33 (taty) telefone desligado"/>
        <s v="(taty) Paciente refere que buscou atendimento em uma upa, onde foi medicada e iniciou o atb, refere ainda melhora dos sintomas da otalgia"/>
        <s v="(Taty-15:20) paciente refere que procurou atendimento presenciau na maternidade barro lima, medicada e liberada, hoje refere melhora dos sintomas."/>
        <s v="Taty(12;31) Paciente refere melhora, realizou coleta de URO hoje, oriento como melhora dos sintomas, mostra no PN "/>
        <s v="14/17 Fabiane (15:28), usuária não atendeu à ligação."/>
        <s v="taty (16:05) paciente não atendeuIanne (14:12) paciente não atende "/>
        <s v="(Thiago) Às 13:30h, 17:24h, usuária não atende à ligação."/>
        <s v="16/07 Ana Cintra (15:20), paciente não atende à ligação."/>
        <s v=" 16/07 Ana Cintra (18:30), paciente não atende à ligação."/>
        <s v="taty (16:07 telefone desligado (Fabi - 14:40) desligado"/>
        <s v="Taty ( 16:56 ) telefone oculpado "/>
        <s v="(Thiago) Às 12:00h, usuária refere melhora do sangramento (01 episódio ontem), nega qualquer tipo de perda vaginal no momento; nega também outras queixas como dor em baixo ventre tipo cólica, contrações ou queixas urinárias. Finalizo monitoramento pelo AG"/>
        <s v="Às 15:00h, telefone indisponível."/>
        <s v="29/07 (Joanna): Refere que não apresentou novo episódio de sangramento. Segue sem queixas no momento. "/>
        <s v="Realizado."/>
        <s v="29/07: Refere que apresenta contrações dolorosas esporádicas ao longo dia, hoje apenas 1 episódio. Mobilograma realizado dia 26/07 = 10 MF. Fez teleinterconsulta com médica do plano de saúde, foi descartado TP e outras intercorrências. Nega sangramento, p"/>
        <s v="(Thiago) Às 16:15h, usuária não atende à chamada."/>
        <s v="05/08 (Joanna): Foi atendida dia 01/08 na USF Tia Regina, encontra-se no D8 (D0: 29/07), mantém coriza, nega sinais de alerta e queixas obstétricas."/>
        <s v="ianne (15h17) Paciente não atendeu, mas pelo PEC foi atendida na UBS e inicado metronidazol"/>
        <s v="Taty (16:42 ) Telefone nao completa a ligação "/>
        <s v="Gestante refere que que melhorou dos sintomas, porém, ainda não conseguiu inciar o PN. Na unidade de saúde, orientada que retornasse na semana seguinte."/>
        <s v="05/08: Refere que não conseguiu realizar a remarcação da consulta de PN no CS Prof Fernandes Figueira. Mantém cefaleia leve, sem sinais de alerta. Parou uso do Metildopa por conta própria, pois relata que após uso sente muito mal-estar, inclusive desmaiou"/>
        <s v="(Thiago) Às 18:00h, usuária não atende à chamada."/>
        <s v="// 04/08 (Lari) Telefone desligado"/>
        <s v="taty (14:00) paciente procurou atendimento, e realizou  USG trasvaginal, como apresentou queixa de disuria + corrimento vaginal, com antecedentes de ITU recorrentes em gestação anterior, encaminho novamente a urgencia, para realizçao do su "/>
        <s v="Joanna (09/08): Foi atendida na USF Coqueiral dia 07/08, orientada quanto as alterações fisiológicas da gravidez. Consulta de PN agendada para dia 10/08. Mantém dor lombar. Nega leucorreia, sintomas urinários e sinais de alerta. Oriento paciente sobre sin"/>
        <s v="(Thiago) Às 15:59h, usuária com telefone desligado."/>
        <s v="(Thiago) Às 16:09h, usuária não atende à chamada."/>
        <s v="(Thiago) Às 11:24h, usuária informa que compareceu hoje pela manhâ a 1ª consulta de PNRH em Us 373 Usf Cidade Operaria."/>
        <s v="Paciente atendeu e estava no CISAM, em processo de internamento, em virtude de PA alterada."/>
        <s v="(Camilla)"/>
        <s v="Foi à consulta de PNAR no IMIP hoje. Prescrito AAS 100 mg 1x/dia, Metildopa 250 mg 8/8h. Retorno programada para dia 23/08. Sem queixas no momento. Cd: Oriento manutenção do PNAR no IMIP e inicio do PN na APS; Informo que a consulta de PN na APS está agen"/>
        <s v="(Thiago) Às 18:02h, telefone da usuária não recebe a chamada."/>
        <s v="Agendada visita a maternidade Barros Lima para o dia 31/08. Oriento sinais de alerta e trabalho de parto ativo."/>
        <s v="(Thiago) Às 13:56h, 17:40h, usuária não atende à chamada. Taty(14/08 as 08:47) paciente nao atende a chamada "/>
        <s v="(ianne) 15h40 gestante não atende ligaçao"/>
        <s v="(Thiago) Às 14:04h, 17:42h, usuária não atende à chamada. Taty (14/08 as 08:56) paciente não atendeu "/>
        <s v="taty (18:11)Paciente se encontra na baarro Lima, PC as 11:41, rn apresentou desconforto respiratorio, esta em obs e puerpera em enfermaria  ; ianne (14h42) não atende"/>
        <s v="Taty( 16:14) Telefone não nao existe (18/08 Thiago) Telefone ocupado"/>
        <s v="Taty (17:11) paciente buscou atendimento presencial, continua com sintomatoligia, oriento realizar exame para COVID "/>
        <s v="18/08(Thiago) Às 11:40h, gestante apresenta melhora dos níveis glicêmicos. Trasnfiro cuidado para APS, ofereço TINC."/>
        <s v="(Thiago) Às 13:55h, telefone da usuária desligado/ocupado."/>
        <s v="(Thiago) Às 13:45h, paciente não atende à chamada telefônica."/>
        <s v="(Thiago) Às 11:48h, gestante comfirma boa movimentação fetal de ontem para hoje. Cofirmar acesso à APS em 22/08/23."/>
        <s v="ianne (14h) paciente não atende  taty ( 15:33)  Paciente nao atendeu "/>
        <s v="(Camilla) Tento contato às 14:22 sem sucesso (telefone fora de área ou desligado), (Thiago) Às 17:38h, usuária não atente à chamada."/>
        <s v="15:50 ( taty) tentativa sem sucesso, numero indisponivel. (Thiago) Às 17:40h, número indisponível."/>
        <s v="Realizado o telemonitoramento. Gestante sem queixas hoje. Foi a maternidade hoje, onde foi orientada manter medicação de asma. Oriento que siga o PN e que apenas em caso de asma de difícil controle é que deveria ser encaminhada ao PNAR."/>
        <s v="ianne (13h50) dando erro pelo microsip (numero bloqueado?) taty (16:50) paciente nao atendeu "/>
        <s v="Taty (15:28) gestante no curso da 8 semanas, nao procurou atendimento  , IMC 42, sintomas, congestao nasal supervisora "/>
        <s v="ianne (16h50) monitorar quinta"/>
        <s v="Ianne (13h45) paciente submetida a cesariana, internada na maternidade"/>
        <s v="Taty (15:28) Paciente nao atendeu "/>
        <s v="ianne (15h35) paciente não atende"/>
        <s v="(Thiago) Às 17:40h, Telefone não recebe chamada pelo fixo."/>
        <s v="(Thiago) Às 17:30h, usuária nã atende à ligação."/>
        <s v="(Thiago) ÀS 17:30h, telefone da usuária desligado."/>
        <s v="Taty ( 14:21) paciente procurou atendimento, foi avaliada e retonara dia 28/08/23 para realizar USG, no momento refere colicas, contração indolores "/>
        <s v="15h13 (ianne) Paciente não atende telefone. IG 40sem 6 + HASG. internada?"/>
        <s v="15:20 ( telefone desligado"/>
        <s v="(Thiago) Às 13:17h, usuária não atende à chamada."/>
        <s v="14H ( Taty)  paciente nao atendeu "/>
        <s v="(Thiago) Às 18:10h, usuária não recebeu visita da equipe ainda, FO ainda secretiva. Monitorar e avliar estado de FO amanhã."/>
        <s v="13:10 (taty) nao atendeu "/>
        <s v="(Thiago) Às 15:55h, usuária não atende à chamada."/>
        <s v="16h00 paciente não atende"/>
        <s v="16h05 paciente não atende. 09/09 (Joanna): Não fez uso do plasil. Mantém queixa de náusea, cefaleia discreta, fraqueza, alteração no padrão do sono, desconforto na garganta de inicio hoje. Cd: Oriento acerca dos sinais de alerta, uso de analgesico e antie"/>
        <s v="17h monitoramento realizado por telefone, devido dificuldade tecnica da paciente. Não conseguiu ser encaminhada para o hopchat. "/>
        <s v="(Thiago) Às 16:00h, usuária refere melhora e ausência de vômitos e diarreia."/>
        <s v="(Thiago) Às 16:20h, usuária não atende à chamada."/>
        <s v="(Thiago) Às 16:25h, o telefone da usuária não está recebendo chamada."/>
        <s v="(Thiago) Às 16:00h, telefone da usuária não recebe a chamada. 09/09 (Joanna): foi à USF dia 04/09, constatou-se FO sem alterações. Cd: Oriento paciente sobre sinais de alerta e cuidados gerais."/>
        <s v="(Thiago - monitoramento 06/09) Às 08:52h, gestante foi avaliada na Arnaldo Marques e orientada a retornar em 07/09 para internamento, caso não entre em trabalho de parto esponteneamente."/>
        <s v="(Thiago) Às 17:27h, o número da usuária encontra-se indisponível."/>
        <s v="(Thiago) Às 17:32h, a usuária não atende à chamada."/>
        <s v="(Thiago) Às 16:22h, o número da usuária não está recebendo ligação."/>
        <s v="Taty (18:30) nao consegui contato, porem nao sei se devido instabilidade do  microcip "/>
        <s v="(Thiago) Às 17:50h, o número da usuária não está recebendo ligação."/>
        <s v="ianne (16h) mudança de padrao do corrimento - ir na aps/maternidade amanha"/>
        <s v="ianne (9h) paciente na maternidade, puerpera"/>
        <s v="Gestante participou de TINC sobre sua quadro de saúde, no momento sem queixas e assintomática."/>
        <s v="(Thiago) Às 16:49h, usuária não atende à chamada."/>
        <s v="taty ( 13:50) realizado monitoramento, paciente refere corrimento e prurido descreto, nao procurou a APS, relata que ontem e hoje a tarde nao teve atendimento, mas esta marcado para amanha, "/>
        <s v="taty ( 18/09) Monitoramento realizado durante TINC com a profissional, Paciente com queixas de dor em BV e diminuição MF, paciente encaminhada para avaliação presencial, monitorar acesso a tarde "/>
        <s v="taty(15:49) telefone oculpado "/>
        <s v="19/09 (10h30) Larissa - Paciente internada na Bandeira"/>
        <s v="Taty (09:58) Paciente no momento da teleconsulta se encontrava na maternidade bandeira filho, onde foi avaliada e realizado uma USG com doppler  ( resultado relatado, diminuição do liquido amniótico, não foi possível medir o maior bolsão,   e  diminuição "/>
        <s v="ianne (16h20) Confirmado acesso/ orientação"/>
        <s v="22/09 (taty) paciente procurou atendimento e foi orientado repouso e buscopam"/>
        <s v="(Thiago) Às 15:45h, usuária não atende à ligação. taty (17:44) paciente nao atende"/>
        <s v="27/09 (Joanna): Foi ao CISAM (24/09), constatou-se PA = 140/90, prescrito Dipirona, orientada a buscar atendimento no posto de saúde. Refere mantém dor de cabeça, porém menos intensa. Não buscou atendimento na APS porque foi orientada a permanecer apenas "/>
        <s v="(Thiago) Às 17:24h, paciente não atende à chamada."/>
        <s v="17h Não completa a ligação."/>
        <s v="15h20 paciente não atendeu. ligamos 2x. "/>
        <s v="(ianne -02/10 as 13h35) paciente não atendeu"/>
        <s v="Não atende (18h)"/>
        <s v="Taty (13:38)Paciente na maternidade, pariu ontem as 21:35, puerpera e RN encontram-se no aalojamento "/>
        <s v="(Thiago) Às 15:56h, usuária não atende à chamada."/>
        <s v="Não conseguiu atendimento no CS Olinto de Oliveira. Segue com sintomas gripais. Demais informações sobre o caso no PEC."/>
        <s v="taty (10/10) paciente refere melhora nos sintomas, porem ainda com coriza, tosse esporadica, oriento realizar o teste para covid, pois durante o fds perdeu olfato e paladar"/>
        <s v="taty (18:23) nao completa ligação ( dada falta)"/>
        <s v="Joanna (14/10): Gestante refere que está bem. Nega queixas obstétricas e sinais de alerta. "/>
        <s v="(Thiago) Às 14:00h, 16:00h, usuária não atende à chamada."/>
        <s v="Foi à Arnaldo Marques (16/10); TPP descartado, fez uso de SF devido desidratação e Buscopan, orientada a manter uso do Pantoprazol 1x/dia. Refere melhora do quadro clínico, nega queixas obstétricas e sinais de alerta."/>
        <s v="(Thiago) Às 11:32h, gestante se encontrava em atendimento no Hospital Agamenon Magalhães."/>
        <s v="(Thiago) Às 14:40h, usuária não atende à chamada."/>
        <s v="(Thiago) Às 14:45h, usuária não atende à chamada."/>
        <s v="(Thiago) Às 17:53h, usuária não atende à chamada."/>
        <s v="Joanna (15h): não atendeu"/>
        <s v="taty ( 08:36 ) paciente atendida na urgencia do HBL, hoje com queixas leves, repetirar USG com uma semana, possibilidade de aborto retido."/>
        <s v="Foi ontem à Policlínica e Maternidade Barros Lima, realizou USG que evidenciou descolamento/hematoma; orientada a permanecer em repouso absoluto e retornar para reavaliação em 10 dias. Prescrito Utrogestan 2x/dia."/>
        <s v="(Thiago) Às 15:50h, usuária não atendeu à chamada. Taty (18:50) nao atenddeu a chamada, dado falta "/>
        <s v="(Thiago) Às 15:10h, usuária não atende à chamada."/>
        <s v="(Thiago) Às 15:14h, usuária não atende à chamada."/>
        <s v="Taty ( 30/10 as 15:44) usuaria nao atendeu "/>
        <s v="Joanna (14h; 16h20): não atendeu"/>
        <s v="taty (16:20) monitoramentp realizado, paciente refere secreção e obstrução nasal, nega outras queixas "/>
        <s v="Taty ( 16:30) paciente nao atendeu"/>
        <s v="(Thiago) Às 18:20h, usuária não atende à chamada."/>
        <s v="Taty (30/10 as08:40) paciente nao atendeu "/>
        <s v="Taty (30/10 as08:43) paciente nao atendeu "/>
        <s v="Taty (30/10 as08:49) paciente nao atendeu "/>
        <s v="01/11: foi avaliada no CS Gaspar Regueira Costa dia 31/10 (1ª consulta de PN). Refere que não apresentava alteração dos sinais vitais, orientada acerca dos sinais de alerta e uso de sintomático. Nega sinais de alerta no momento e queixas obstétricas. Mant"/>
        <s v="Joanna (17h): não atendeu."/>
        <s v="31/10 - Joanna (8h30):  Não foi ao atendimento presencial. Refere melhora da cólica e mantém queixa de disúria. Encaminho para avaliação na APS."/>
        <s v="Joanna (10h20; 14h10; 17h): não atendeu"/>
        <s v="Usuária refere melhora dos sintomas, nega queixas obstétricas."/>
        <s v="Joanna (10h20; 16h11; 17h05): não atendeu"/>
        <s v="Joanna (14h30; 16h15; 16h43; 17h6): não atendeu"/>
        <s v="Joanna (17h): Alguém que não se identificou atendeu (parecia uma criança) e informou que ela estava no médico. Logo em seguida desligou e não atendeu mais."/>
        <s v="``As 18h15 Não atende."/>
        <s v="Às 14:40, telefone desligado ou fora de área."/>
        <s v="Às 17h50 não atende."/>
        <s v="Fabiane (10:00) Gestante refere que não conseguiu ir para a avaliação presencial ontem. Matenho orientação de ir para o presencial."/>
        <s v="10/11/23, definido junto à coordenação não realizar monitoramento dos casos fora do ciclo grávido puerperal."/>
        <s v="TATY (16H) Paciente nao atendeu ( Dada falta em 11/11/023, apos 1 tentativa) "/>
        <s v="taty (18:32) Paciente nao atendeu (Falta dada)"/>
        <s v="Atendimento medico realizado ( ianne)"/>
        <s v="15/11 (Joanna): realizou TR gravidez (14/11) com resultado positivo; foi à USF em busca de atendimento (14/11), porém, refere que não foi bem acolhida, o atendimento foi realizado fora da sala de atendimento, informada que poderia realizar uma USG no part"/>
        <s v="(Thiago) Às 15:00h, usuária não atende à chamada."/>
        <s v="(Thiago) Às 17:00h, usuária não atende à chamada."/>
        <s v="(Thiago) Às 17:20h, usuária não atende à chamada."/>
        <s v="Usuária encontrou para teleconsulta na demana noturna"/>
        <s v="22/11 (taty) monitoramento realizado, paciente nao procurou atendimento na emergencia, permanece com sintomatologia "/>
        <s v=":taty (17:50) paciente nao atendeu"/>
        <s v="taty (17:54) paciente nao atendeu"/>
        <s v="(Thiago) Às 17:25h, usuária não atende à chamada."/>
        <s v="(Thiago) Às 14:50h, 17:30h, usuária não atende à chamada."/>
        <s v="Joanna (17h22): não atendeu"/>
        <s v="Joanna (17h25): parto cesáreo no HBL. Ambos seguem com BEG."/>
        <s v="Joanna (14h13; 16h3517h13): não atendeu"/>
        <s v="(Thiago) Às 13:30h, 15:00h, 16:30h, telefone indisponível."/>
        <s v="Joanna (17h; 18h10): não disponível"/>
        <s v="Joanna (18h12): indisponível"/>
        <s v="Foi à Upinha Eduardo Campos (local de funcionamento provisório da USF Ponto de Parada), recebeu 1ª dose de Penicilina benzatina (07/12) e foi orientada a retornar próxima terça-feira para agendar consulta de pré-natal. "/>
        <s v="Entrou por demanda espontânea. Dinâmica uterina: 4/40&quot;34&quot;60&quot;59&quot;/10'; MF reduzida. Foto do absorvente com líquido de aspecto acastanhado."/>
        <s v="Foi ao Hospital Guararapes em Prazeres, constatou-se presença de sangue nas fezes, prescrito Azitromicina 500 mg 1x/dia por 5 dias, Floratil 2x/dia por 3 dias. Refere que apresenta melhora do quadro clínico, nega presença de evacuações aquosas desde ontem"/>
        <s v="Gestante atende a ligação, mas diz que está sem internet, por isso faço o monitoramento por ligação telefônica. Confirma que foi atendida na APS ontem, conforme orientação de Thiago. Iniciou o tto para o corrimento ontem. Ainda está com os mesmo sintomas,"/>
        <s v="Telemonitamento realizado, consulta presencial amanha pela manha"/>
        <s v="16/12 - refere melhora considerável dos sintomas, mantém um pouco de coriza e apresentou episódio de tontura após jejum prolongado. Informo realização de novo monitoramento em 17/12 (7º dia de inicio dos sintomas)."/>
        <s v="Refere que foi atendida hoje na USF Chão de Estrelas, prescrito Amoxicilina e Dipirona. Sem novas queixas no momento."/>
        <s v="Encontra-se internada no Hospital da Mulher do Recife. Informação fornecida pelo esposo Edimilson."/>
        <s v="16/12 - Refere que foi à USF Sítio Cardoso, porém, não tinha nenhum profissional disponível para atendimento (estavam em um curso). Foi atendida no dia seguinte (15/12) na Policlínica Lessa de Andrade. No momento não apresenta queixas."/>
        <s v="16/12 - Foi atendida no IMIP (14/12), fez uso de Tramal e Dipirona. Refere que está sem queixas no momento. "/>
        <s v="Foi atendida na USF Rosa Selvagem, fornecido atestado médico de 5 dias. Mantém coriza, nega outras queixas e sinais de alerta. Encontra-se no 5º dia do início dos sintomas (D0 - 11/12)._x000a_"/>
        <s v="(Thiago) Às 16:00h,18:00h, usuária não atende à chamada."/>
        <s v="Às 16h25, telefone dá sinal de ocupado."/>
        <s v="(Camilla) 15h11 Gestante foi atendida na Bandeira Filho e testada para COVID, com resultado negativo. Hemograma também coletado sem alterações. Agendo monitoramento em 48h para avaliar evolução do quadro."/>
        <s v="(Thiago) Às 15:00h, 16:00h, gestante não atende à ligação."/>
        <s v="Refere parto vaginal sem intercorrência na Maternidade Arnaldo Marques, sem queixas no momento. RN em bom estado geral e em AME."/>
        <s v="Refere parto vaginal, sem intercorrências, RN do sexo masculino, nega queixas no momento. "/>
        <s v="(Thiago) Às 13:44h, 16:10usuária não atende à ligação."/>
        <s v="Gestante mantém quadro de pródromos, oriento quanto TP e sinais de alerta."/>
        <s v="(Thiago) Às 13:50h,16:00h usuária não atende à ligação."/>
        <s v="(Thiago) Gestante refere melhora dos sintomas, realizou avaliação em sua USF."/>
        <s v="(Thiago) Às 14:53h, 16:50h, gestante não atende à ligação."/>
        <s v="(Thiago) Às 17:00h, suária não atende à chamada."/>
        <s v="(Thiago) Às 17:08h, suária não atende à chamada."/>
        <s v="Joanna (17h41): não atendeu (Falta registrada no PEC)"/>
        <s v="(Thiago) Às 15:00h, 17:10h, não consigo contato com a usuária."/>
        <s v="(ianne) 13h paciente não atende"/>
        <s v="(Thiago) Às 14:40h, 16:00h, usuária não atende à chamada."/>
        <s v="Permanece com tosse, nega sinais de alerta e queixas obstétricas"/>
        <s v="02/01 - foi ao HMR. Mantém sangramento discreto, realizará USG hoje."/>
        <s v="Joanna (14h42; 17h4): não atendeu"/>
        <s v="Joanna: Assintomática, D4 hoje. "/>
        <s v="Paciente procurou atendimento, descartado TVP. Nervo ciático? Apresenta melhora da dor. "/>
        <s v="Refere que USG realizada em 02/12 evidenciou gravidez ectópica. Encontra-se no Hospital da Mulher do Recife."/>
        <s v="Taty(16:22) nao atendeu a ligação"/>
        <s v="Parto vaginal dia 03/01 na Maternidade Barros Lima. "/>
        <s v="Foi ao Hospital Barão de Lucena, nenhuma anormalidade foi identificada. Hoje fez consulta de PN na APS. Nega queixas obstétricas e sinais de alerta."/>
        <s v="Joanna (17h10): não atendeu (registro falta no PEC)"/>
        <s v="Joanna (17h12): não atendeu (registro falta no PEC)."/>
        <s v="(Thiago) Às 14:00h, 16:00h, o telefone da usuária não está recebendo ligação."/>
        <s v="Refere melhora do corrimento vaginal, não foi à USF, aguardará consulta de PNAR (11/01)."/>
        <s v="Joanna (17h30): telefone indisponível (falta registrada no PEC)"/>
        <s v="Taty (12:40) paciente refere melhora da sintomatologia,"/>
        <s v="Joanna (15h): não atendeu (Falta registrada no PEC dia 13/01)"/>
        <s v="(Thiago) Às 16:00h, 17:00h, usuária não atende à chamada."/>
        <s v="12/01 :taty (13:17) paciente nao atendeu (Falta registrada no PEC dia 13/01)"/>
        <s v="taty (16:09) paciente nao atende "/>
        <s v="Joanna (14h; 15h16): não atendeu (Falta registrada no PEC)"/>
        <s v="(Thiago) Às 17:30h, o telefone da usuária não está recebendo ligação."/>
        <s v="Joanna: Refere que foi ao HMR, foi diagnosticada com ITU, prescrito Cefalexina 500mg de 6/6h por 7 dias (iniciou tratamento)+ Buscopan. Relata que na triagem foi informada de PA 140 x 80 (não tem registro para comprovar). Nega que tenha sido realizada alg"/>
        <s v="taty (16:04) usuaria não atendeu (Thiago) Às 17:44h, usuária não atendeu."/>
        <s v="taty (16:07)paciente refere melhora dos sintomas, porem nao procurou a aps para aferir a pressão "/>
        <s v="Taty (15:39) usuaria nao atende (Falta registrada no PEC)"/>
        <s v="Encontra-se internada no Hospital das Clínicas para indução do parto."/>
        <s v=" "/>
        <s v="Joanna (14h46; 17h): não atendeu (falta registrada no PEC)"/>
        <s v="Joanna (17h): não atendeu (falta registrada no PEC)"/>
        <s v="(Thiago) Às 13:34h, usuária não atende à ligação."/>
        <s v="17h Camilla Gestante não atendeu. "/>
        <s v="Camilla (17h) Não atendeu"/>
        <s v="Taty( 13:44) paciente procurou atendimento como orientado, inicio de atb e melhora da febre e cefaleia, permanece com obstrução e seceção. "/>
        <s v="(Thiago) Às 17:00h, telefone encontra-se indisponível."/>
        <s v="Camilla (18:00) Gestante não atendeu."/>
        <s v="(Thiago) Às 16:42h, gestante foi atendida na Bandeira Filho, avaliada e liberada para casa em seguida."/>
        <s v="(Camilla) Gestante foi ao Hospital das Clínicas, foi avaliada e liberada (trabalho de parto inicial)."/>
        <s v=" Foi atendida na Policlínica e Maternidade Barros Lima, apresentou PA normal (não lembra o valor), orientada quanto ao uso do Paracetamol, não realizou exames. Sente-se cansada e sonolenta, refere melhora da cefaleia, nega sinais de alerta. Hoje PA = 143 "/>
        <s v="(Thiago) Às 17:38h, não consigo contato com a usuária."/>
        <s v="(Thiago) Às 18:00h, usuária realizou atendimento no HMR, sendo liberada em seguida. No momento, assintomática."/>
        <s v="(Thiago) Às 15:52h, o telefone da usuária não está disponível para receber chamadas."/>
        <s v="(Thiago) Às 15:55h, o telefone da usuária não está disponível para receber chamadas."/>
        <s v="(Thiago) Às 17:30h, usuária realizou atendimento na Bandeira Filho, foi liberada em seguida, sagramento ainda persiste."/>
        <s v="(Thiago) Às 15:15h, usuária não atende à chamada."/>
        <s v="Gestante atende e informa que foi avaliada ontem na Maternidade, onde foi vista dilatação de 4-5cm e liberada. Hoje as contrações estão menos frequentes. Nega outras queixas e aguarda o desencadeamento do TP ativo em casa. Encerro o caso."/>
        <s v="taty (13:30) paciente apresentando sangramento e presença de coagulos ,provavel aborto "/>
        <s v="Gestante refere que durante o mobilograma, identificou 5 movimentos fetais. Encaminho para avaliação presencial na maternidade e agendo monitoramento para amanhã."/>
        <s v="Taty ( 16:29) paciente atendida no HMR, dor pelvica, medicada e orientada repouso."/>
        <s v="ianne (14h10) paciente não atende.  Mas PEC ela foi acolhida e avaliada hoje pelo APS."/>
        <s v="Gestante refere alívio da cefaleia. Alta do episódio. "/>
        <s v="Joanna (14h) paciente não atendeu Taty ( 15:35) iniciou tratamento para ITU, refere cefaleia leve "/>
        <s v="Aborto confirmado na Maternidade Bandeira Filho (20/02)."/>
        <s v="(Thiago) Às 17:30h, não consigo contato com a usuária."/>
        <s v="Taty (12:40)Paciente refere melhora dos sintomas, hoje apresentou 2, nega nausea e vômitos, tontura, cefaleia, febre, sangue nas fezes e outros sintomas/sinais de alerta. nega perdas vaginas e queixas urinarias; Refere boa movimentação fetal e boa aceitaç"/>
        <s v="(Thiago) Gestante realizou atendimento presencial como orientado pelo AG, testou negativo para covid19. Refere lehoras dos sintomas."/>
        <s v="Camilla (27/02 - 08h37) Telefone ocupado (taty-16:48) sem sucesso-chama e cai nao recebe ligação? "/>
        <s v="taty (15:32) paciente não atendeu, (Thiago) Às 16:36h, paciente não atendeu."/>
        <s v="ianne (15h40) paciente não atende"/>
        <s v="(Thiago) Gestante refere melhora das dores."/>
        <s v="Joanna: Refere melhora da cefaleia. PA 110 x 80."/>
        <s v="Apresentou febre ontem, foi à Policlínica e Maternidade Arnaldo Marques, prescrito Dipirona e Histamin. Refere melhora da tosse e febre. Mantém coriza e congestão nasal. Nega sinais de alerta e outras queixas obstétricas. Cd: Oriento paciente sobre sinais"/>
        <s v="Encontra-se no 3º dia de inícios dos sintomas, mantém tosse, nega sinais de alerta e queixas obstétricas. Cd: Oriento sinais de alerta; realizar TR Covid."/>
        <s v="taty (16:40) paciente nao atendeu "/>
        <s v="Taty (16:38) paciente nao atendeu "/>
        <s v="Joanna (16h): não atendeu"/>
        <s v="Monitoramento realizado. Refere melhora dos sintomas da mastite. Novo monitoramento amanhã E AGENDADA TINC com médico da equipe para passar o caso. Consulta puerperal domiciliar à ser realizada pela equipe da APS em breve."/>
        <s v="Refere mamas flácidas, macias e sem eritema. Sem novas queixas."/>
        <s v="Foi à consulta de PN no CS Prof Joaquim Cavalcante; prescrito Metronidazol. Já iniciou tratamento. Nega novas queixas."/>
        <s v="(Thiago) Às 17:00h, usuária não atendeu à chamada."/>
        <s v="(Thiago) Gestante refere melhora dos sintomas."/>
        <s v="(Thiago) Às 17:30h, paciente informa que não melhorou da odontalgia, procurará a urgência amanhã pela manhã."/>
        <s v="(Thiago) Às 18:00h, usuária não atendeu à chamada."/>
        <s v="Foi atendida na USF Três Carneiros de Baixo Zumbi do Pacheco (12/03), prescrito Nitrato de Miconazol (iniciará uso hoje). Nega novas queixas e sinais de alerta."/>
        <s v="14:25 (Camilla) Gestante não atendeu"/>
        <s v="Encontra-se no 2º dia de uso da Loratadina, refere melhora do prurido e nega aparecimento de novas lesões. Observa que as lesões estão mais claras. Nega novas queixas e sinais de alerta."/>
        <s v="15:43 (taty) Paciente nao atendeu"/>
        <s v="16:45 (taty) Foi à Maternidade Barros Lima, realizou USG obstétrica (bolsa integra) e reavaliação. relata que melhorou dos sintomas gripais, porem esta de repouso, pois colo fino (SIC). nega queixas obstetricas e urinarias "/>
        <s v="15:45 (taty) Paciente internada na Maternidade Bandeira Filho, devido a mastite, refere esta em uso de dois antibioticos venosos, aguardando USG para definição de conduta, RN com a paciente"/>
        <s v="14:56 ( taty) Paciente nao procurou atendimento, refere melhora na Odontalgia, relatando  contrações irregulares (4 contrações hoje) boa vitalidade do feto, sem queixas obstetricas e urinarias "/>
        <s v="Nayale (17h00): Não atendeu à chamada (tentado 2x)"/>
        <s v="Nayale (17h06): Não atendeu à chamada (tentado 2x)"/>
        <s v="Nayale (14:32 e 17:08):Puérpera não atendeu à chamada (tentado 3x)"/>
        <s v="Foi à USF ontem, porém, não aguardou atendimento devido superlotação. Retornará amanhã (22/03) para nova tentativa. Refere melhora do corrimento vaginal, mas mantém prurido. Nega aparecimento de sintomas e sinais de alerta."/>
        <s v="17:25 (Nayale) Retorno ligação, mas gestante não atende às chamadas (tentado 3x)."/>
        <s v="Joanna (16h; 17h15): não atendeu"/>
        <s v="Rhayza (16:28) : nao atendeu. Joanna (17h16): não atendeu"/>
        <s v="(Lili) 14:28 Gestante não atendeu. "/>
        <s v="16h Paciente sem queixas. Avaliada hoje na unidade. Monitoramento em 2h"/>
        <s v="Joanna (23/03 - 11h; 16h30): não atendeu (falta registrada no PEC)"/>
        <s v="Nao atendeu/Ocupado (15:30) Rhayza"/>
        <s v="Não atendeu (15:32)"/>
        <s v="Em 24/03 foi à UPA de Torrões devido falta de ar. Foi avaliada e orientada quanto os sinais de alerta, recomendado uso de sintomáticos. Refere que se sente melhor. Mantém tosse produtiva, congestão nasal. Nega dispneia, febre e outros sinais de alerta. Se"/>
        <s v="Lili (15:13): Paciente refere "/>
        <s v="Puérpera tirou os pontos em casa, com a irmã que é técnica de enfermagem. FO com bordas coaptadas, porém, drenando secreção seropurulenta em pouca quantidade. Nega dor local, nega febre. Encaminho à urgência."/>
        <s v="Rhayza (14:07) não atendeu"/>
        <s v="Rhayza (14:03) não atendeu "/>
        <s v="8h40 (Lari) FO com bom aspecto. Oriento seguimento puerperal. Ag avaliação da FO pelo posto. No momento, sem sinais de infecção."/>
        <s v="A gestante entrou em contato via demanda espontânea após ser realizado o registro de falta. informa que não foi ao serviço de saúde e que irá amanhã na Maternidade Prof. Bandeira Filho. Refere aumento da quantidade corrimento vaginal de aspecto leitoso e "/>
        <s v="Às 15h, telefone não completa a ligação"/>
        <s v="15:19 ( taty) FO sem sinais Flogidtico, dada orientaçoes quanto a assepsia de FO"/>
        <s v="Rhayza (17:20) nao atendeu"/>
        <s v="15h10 (Camilla) telefone não completa a ligação (tento do fixo e do microsip)"/>
        <s v="12:30( taty)  hoje no d8, nega febre, cefaleia , fadiga,  relata melhora da tosse e secreção ,nega queixas urinarias e obstétricas  e refere que esta há 2 dia sem usar a dipirona e seu esposo realizou teste para o covid com resultado negativo"/>
        <s v="(Thiago) Às 14:40h, paciente não atendeu."/>
        <s v="(Thiago) Às 14:50h, telefone desligado/indisponível."/>
        <s v="Realizar novo monitoramento em 12/04"/>
        <s v="Rhayza (16:15) não atendeu"/>
        <s v="Rhayza (16:24) ocupado "/>
        <s v="(Thiago) Às 17:30h, paciente não atende."/>
        <s v="(Thiago) Às 17:40h, paciente não atende."/>
        <s v="17h (Camilla) Ligação não completa. "/>
        <s v="Refere melhora dos sinatomas. Sem novas queixas e sinais de alerta."/>
        <s v="Rhayza (16:25) nao atendeu "/>
        <s v="(Thiago - 14:00h, 16:50h) Usuária não atende à chamada."/>
        <s v="Joanna (14h09; 16h53): não atendeu"/>
        <s v="Mantém coriza, tosse, congestão nasal, dor de garganta. Descartado perda de LA (atendida na Maternidade). Esqueceu de pedir atestado médico. Nega sinais de alerta. Encaminho para teleconsulta com Damartine. "/>
        <s v="Realizar novo monitoramento em 24 h"/>
        <s v="Rhayza (16:18) ocupado "/>
        <s v="18:07 Encontra-se internada no HBL. Encerro monitoramento. "/>
        <s v="Registro feito no dia 18/04"/>
        <s v="Hoje, D8 de início dos sintomas gripais, refere que mantém tosse esporádica. Nega queixas obstétricas e sinais de alerta. Finalizo telemonitoramento"/>
        <s v="15:35 (taty) paciente nao atendeu e nao interagiu pelo hopchat; Joanna (16h50): não atendeu"/>
        <s v="Não foi à avaliação presencial devido melhora da dor em baixo. Refere discreta dor ao urinar, dor em loja renal há 1 dia, cefaleia e dois episódios de vômito. Cd: Encaminho à maternidade."/>
        <s v="Taty (15:32; 17h08) paciente não atendeu ---&gt; falta registrada no PEC"/>
        <s v="Taty (15:34) paciente não atendeu; Joanna (17h10): não atendeu ---&gt; Falta registrada no PEC"/>
        <s v="(Thiago - 14:10h, 16:55h) Usuária não atende à chamada."/>
        <s v="Rhayza (17:06) Internada no HMR devido PA."/>
        <s v="Não atendeu."/>
        <s v="10h30 Paciente refere dor lombar importante associada a febre não aferida. Opto por encaminhar a avaliação presencial"/>
        <s v=" 16:50 ( taty) Paciente no momento do monitoramento se encontrava em atendimento no CISAN . Companheiro refere perda de tampao mucoso e contraçoes ritimadas e dolorosa "/>
        <s v="15:42 (Taty) Paciente não atendeu "/>
        <s v="Não atendeu"/>
        <s v="Lari (14h) não completa chamada"/>
        <s v="Taty ( 14:21) Paciente Procurou a APS, hoje apresentou 1 epsodio de diarreia, refere melhora da nausea e colicas, nega febre  e queixas obstetricas   "/>
        <s v="16:14 (taty) refere que procurou atendimento presencial e melhoras do sintomas "/>
        <s v="13:48 Não atendeu (Camilla)"/>
        <s v="(Thiago) Às 15:20h, paciente não atendeu à chamada."/>
        <s v="(Thiago) Às 15:23h, paciente não atendeu à chamada."/>
        <s v="Rhayza (16:11) nao atendeu"/>
        <s v="Rhayza (16:15) nao atendeu"/>
        <s v="Rhayza (17:25) nao atendeu"/>
        <s v="Encontra-se aguardando resultado de exames laboratoriais na Maternidade Arnaldo Marques. Refere melhora dos sintomas após administração de medicações (não sabe quais medicações foram administradas) e desaparecimento das manchas no abdome."/>
        <s v="17:00h (Thiago) Não atende à chamada"/>
        <s v="14:27 (Taty) Refere que foi descartado dengue, na Maternidade Arnaldo Marques, onde  ealizou hemograma e SU. hoje nega febre, manchas pelo corpo, nausea e vômitos,  nega  queixas obstetricas e urinaria "/>
        <s v="16:50 ( Taty)  Paciente não atendeu "/>
        <s v="Rhayza (15:57) nao atendeu"/>
        <s v="16:08 ( taty)  paciente procurou atendimento presencial , onde foi avaliada e liberada, nega queixas urinaria, sangramento e perda de liquido, refere MF presente"/>
        <s v="Joanna (13h25; 17h06): não atendeu"/>
        <s v="Joanna (14h40): não atendeu; 16:34 (Taty) Paciente não atendeu"/>
        <s v="14:43(taty) Paciente não atendeu 16:55 ( Taty) Paciente mão atendeu "/>
        <s v="14:33h (Thiago) Telefone fora de área."/>
        <s v="16:43 (taty)Contração + lombalgia , sem perda de liquido ou sangramento, sem queixas urinarioas  e  MF presente, encaminho a maternidade "/>
        <s v="18:27h (Thiago) Não completa a chamada"/>
        <s v="16:00 (taty) paciente não atendeu"/>
        <s v="17:07 (taty) paciente sem queixas, porem angustiada"/>
        <s v="Joanna (16h): indisponível"/>
        <s v="Joanna (14h27; 17h08): não atendeu"/>
        <s v="Joanna (14h30; 17h09): não atendeu"/>
        <s v="16:27 (Taty) paciente não atendeu"/>
        <s v="14:00h (Thiago) Usuária não atende a chamada."/>
        <s v="14:10h (Thiago) Usuária não atende a chamada."/>
        <s v="18:00 (Camilla) Não atendeu"/>
        <s v="Rhayza (17:15) nao atendeu"/>
        <s v="Rhayza (16:16) não atendeu "/>
        <s v="Rhayza (17:46)"/>
        <s v="16:11h (Thiago) Não atende a ligação."/>
        <s v="(Thiago) 13:30h Telefone ocupado, paciente não atende a chamada."/>
        <s v="(Rhayza) 16:45 Não atendeu"/>
        <s v="Monitoramento realizado. Realizar novo monitoramento 27/05"/>
        <s v="(Rhayza) 16:49"/>
        <s v="17:00h (Thiago) Nao atendeu a chamada."/>
        <s v="16:10h (Thiago) Não atende a ligação."/>
        <s v="11:00h (Thiago) Nao atendeu a chamada."/>
        <s v="16:50h (Thiago) Não completa a ligação."/>
        <s v="17:00h (Thiago) Gestante compareceu à sua unidade e foi orientada a retornar amanhã."/>
        <s v="15:40 (Thiago) Paciente não atendeu."/>
        <s v="Joanna (17h): não atendeu"/>
        <s v="Rhayza (14: 54) Não atendeu"/>
        <s v="(Thiago) 14:50h, não atendeu."/>
        <s v="Rhayza (14:57) Nao atendeu  "/>
        <s v="Foi atendida na USF. Refere melhora considerável. "/>
        <s v="Rhayza (17:15) sem conseguir contato telefonico"/>
        <s v="14:19 ( taty) paciente não atendeu "/>
        <s v="(Thiago) Não completa a ligação."/>
        <s v="(Camilla) Às 16h. não completa a ligação."/>
        <s v="17:00h (Thiago) Não completa a ligação."/>
        <s v="18h (Camilla) Chama duas vezes e cai ligação."/>
        <s v=","/>
      </sharedItems>
    </cacheField>
    <cacheField name="OBS" numFmtId="0">
      <sharedItems containsBlank="1" containsNumber="1" containsInteger="1" containsMixedTypes="1" count="409">
        <m/>
        <s v="Realizado telemonitoramento 03/01 as 15h. Encerrado do telemonitoramento"/>
        <s v="Enfermeira da Unidade"/>
        <s v="Agente de saúde; o PEC foi registrado pelo login do telessaude. "/>
        <s v="Foi ofertado TINC, porém não foi enviado a notificação de atendimento para o profissional (DS VII) visto que estamos aguardando confirmação de como será a notificação para os profissionais dos demais DS"/>
        <s v="LANÇAMENTO"/>
        <s v="ficou sabendo pela propaganda"/>
        <s v="Gestante de rede privada - Hapvida"/>
        <s v="Faz PN CS Olinto - Lessa de Andrade"/>
        <s v="Gestante de rede privada. Sobre monitoramento, quando for identificado indicação de monitoramento que não esteja enquadrado dentro do fluxo, deixar registrado o motivo do monitoramento."/>
        <s v="- Oriento repetir TR-gravidez, se positivo agendar consulta de pré-natal na US de referência ( US 108 CS Boa Vista); _x000a_- Informo que após parar o uso do anticoncepcional, bem como após uso da anticoncepção de emergência, pode acontecer irregularidade menst"/>
        <s v="Não foi enviado notificação para o profissional de referência porque na planilha de cadastro não tem contato"/>
        <s v="Paciente teve consulta em prenatal e realizado prescriçao de albendazol dia 06/06 por enf rose (PEC)"/>
        <s v="( ianne) 10h50 Ligo 3 x, nao atendeu"/>
        <s v="Rede Privada"/>
        <s v="Apoio emocional: refere muito medo de uma nova perda gestacional, considerando que teve 3 perdas anteriores a esta gestação."/>
        <s v="Monitorar final da tarde, tem consulta no pre natal as 13h- para checar se teve consulta. Paciente necessita de apoiio emocional ( historia traumatica em parto anterior"/>
        <s v="Apoio Emocional"/>
        <s v="Joanna: Registro atendimento realizado por Eliane, visto que ela não consegue editar a planilha. "/>
        <s v="Foi encaminhada ao SPA da Barros Lima (Marta 10/06 - faz PN no Hapvida)"/>
        <s v="(MARCIA) Entra em contato com o número disponibilizado, pessoa (Andrea) informa que ela saiu e não consegue atender hoje. Oriento que caso necessite de atendimento novamante ela entra em contato pelo Atende Gestante. "/>
        <s v="Encaminhada à UPA Lagoa Encantada"/>
        <s v="Gestante reside em Jaboatão. Repassou endereço de Recife à recepção digital; durante anamnese informou endereço atual. Caso não registrado no PEC. "/>
        <s v="Faz PN no Hapvida"/>
        <s v="TINC realizada com monique, lesao Fibroma Mole, que geralmente aparece na vida adulta, que pode modoficar na gestação, se for desejo pode ser realizado pela prefeitura a retirada no ambulatorio de pequenas cirurgias. enf e medica do posto pode solicitar "/>
        <s v="Realizado TINC no mesmo momento do atendimento com a enfa Arianny"/>
        <s v="Reavaliar fluxo de corrimento* (Marta lembrete) "/>
        <s v="Atendimento feito por Lari e Registrado por Thiago (após às 19h)"/>
        <s v="Puerpéra (bebê com 38 dias)"/>
        <s v="Avaliar novos sintomas/solicitar códido e senha do exame para verificar no site do lab"/>
        <s v="Apoio Emocional - ansiedade relacionada ao TP, sofreu violência obstétrica, sofrimento no parto anterior"/>
        <s v="Apoio emocional - tristeza/ luto - natimorto"/>
        <s v="Ligar para: 81991724644 (número do namorado)"/>
        <s v="Não foi feito registro do telemonitoramento"/>
        <s v="Dandara estava dormindo na hora que liguei (08:20) e Neto pediu que ligasse às 10:00. "/>
        <s v="Tentar monitoramento 15/06"/>
        <s v="Sem registro das telecosnulta do dia 14/06 no pec"/>
        <s v="Tentar monitoramento 15/06 / PEC INSTAVEL SEM REGISTRO da cosulta anterior 14/06"/>
        <s v="PEC sem registro da consulta anterior"/>
        <s v="(Marta) Não consigo identifiquei equipe responsável pela usuária"/>
        <s v="Sem registro no PEC da teleconsulta realizada no dia 14/06. (MARTA) Usuária não é mais acompanhada pela USF Amaury de medeiros, se mudou, não enviado notificação."/>
        <s v="(ianne): paciente com 2 prontuarios, usar o do CNS. Não encontro registro de atendimento de ontem(Marta) Não consigo identifiquei equipe responsável pela usuária"/>
        <s v="(ianne) não encontro registro atendimento de eontem no pec"/>
        <s v="Rede privada (Marta) Sem registro do atendimento no PEC e não consigo identificar equipe para envio de notificação / Serviço privado HAPVIDA"/>
        <s v="Telemonitoramento do dia 14/06"/>
        <s v="(Marta) No momento o PEC não estava funcionando, oriento fazer o registro no dia 18/06 - dia do plantão."/>
        <s v="Usuária de PACS - ainda não iniciou o PN, no monitoramento verificar se usuária já sabe o profissional responsável para enviar notificação e realizar acompanhamento. Às 15:00h usuária informa que conseguiu falar com ACS e irá marcar consulta para semana d"/>
        <s v="Atendimento realizado dia 16/06 por Larissa sem PEC. Paciente G1, 37s6d por USG do cartao de PN com 10s4d, refere dor em BV, perda de TM, diarreia sem sangue ou muco e febre 38.9º (SIC). Refere boa MF. Oriento atendimento presencial. Informado monitoramen"/>
        <s v="Usuária ainda não iniciou o PN na USF de referência em Recife. Era moradora de Olinda e deu continuidade ao PN lá. "/>
        <s v="Usuária fazendo atendimento em clínica particular "/>
        <s v="Reside em Recife, mas está no Paraná a trabalho (retornará dia 13/07)."/>
        <s v="TINC realizada com o profissional."/>
        <s v="Paciente entra em contato pelo hopchat as 14h20, realizado telemonitoramento."/>
        <s v="ligar as 07:30 telefone da filha yasmin, paciente nao tem telefone, se passar do hoario o CAPS entrar em contato, para realizar o telemonitoramento "/>
        <s v="Ligar à tarde."/>
        <s v="Paciente deseja saber onde consegue fazer uma USG renal na rede. Acompanhada pelo SASSEPE e exame não estava disponível hoje. Ela tem estenose de JUP esquerda e apresentou dor em flanco direito hoje. "/>
        <s v="PEC sem funcionar a partir das 17h, não foi possivel colocar falta"/>
        <s v="Apoio Emocional. Pouco comunicativa, aparenta tristeza. Thiago (26/06/23); gestante relata que mãe e irmão apresentam os mesmos sintomas. "/>
        <s v="Preenchimento do nome da usuária"/>
        <s v="Gestante, IG = 30s6d (USG), residente no municipio de Jaboatão (informação confirmada durante videochamada e registro no cartão de PN), queixa-se de dor em BV esporádica, corrimento vaginal amarelado associado a prurido vaginal, congestão nasal e falta de"/>
        <s v="Sangramento (usuária ainda não iniciou o PN - foi hoje a unidade para realizar cadastro e agendar consulta)"/>
        <s v="Gestante com dificuldade de conexão para vídeo chamada. Conseguiu contato com celular de terceiros. É de área coberta, mas não iniciou pré-natal, IG 15s1d pela USG em 03/05/2023com 7s3d, queixa de náuseas e cefaleia, internamento em gestação anterior com "/>
        <s v="O telefone não é da gestante (não enviar link) Cel: 81996343446"/>
        <s v="Ligar para 997023914"/>
        <s v="(Marta) Gestante entrou como novo atendimento após 2 tentativas de contato/registrado como telemonitoramento."/>
        <s v="(Marta) Orientar que usuaria entre em contato com ACS ou vá a unidade tentar marcação de consulta com a outra enfermeira (Andrea está de férias mas informa que deixou tudo articulado com a colega da outa equipe)"/>
        <s v="No inicio do mês não conseguiu agendar PN devido indisponibilidade de profissional. Encaminhada ao CS para agendar PN e avaliação clínica."/>
        <s v="#TELEMONITORAMENTO ATENDE GESTANTE# Registro que paciente forneceu o consentimento verbal livre e esclarecido para a realização da modalidade de teleconsulta. Impossibilidade de  videochamada, realizado atendeimento por ligaçao. Idade Gestacional (23sem 5"/>
        <s v="paciente refere cefaleia e nega outras queixas, como ontem apresentou na maternidade 140*90, solicito ida ao posto para hoje e amanha para aferir a PA "/>
        <s v="Gestante com IG 15s3d pela DUM e 13s5d pela USG com 5s4d, G4 P2 (2PC) A1 (2022), Gravidez não planejada, usava ciclo 21, relata uso correto. Paciente atendida ontem e orientada ir na maternidade , mas nao foi por não ter quem ficque com filhos. Realata qu"/>
        <s v="Reação alérgica à Cefalexina."/>
        <s v="Ligar às 17h em 04/07/2023"/>
        <s v="Telemonitoramento (30/06): Foi à US e não foi avaliada. Mantém dor lombar que irradia para o BV, sensação de esvaziamento incompleto da bexiga, gotejamento pós-micção. Nega novos episódios de sangramento, último há 2 dias (descreveu como raios de sangue)."/>
        <s v="Telefone fixo e microsipp sem funcionar - tentar monitoramento 05/07"/>
        <s v="Gravides de risco habitual. Queixa: dor em BV intermitente e de forte intensidade há 1 dia + sintomas gripais iniciados em 26/06: dor de ouvido, desconforto na garganta, coriza. Nega sinais de alerta. Nega sintomas urinários, perdas vaginais, leucorreia, "/>
        <s v="Queixa: disúria, leucorreia. Nega perdas vaginais nos últimos 30 dias. USG (05/06) sugestiva de gravidez anembrionada (IG = 8s); USG (21/06): imagem sugestiva de embrião sem batimentos cardíacos (Ig = 6s6d). Cd: Encaminho à maternidade Barros Lima. Obs: E"/>
        <s v="6º dia pós-cesariana. Drenagem de secreção seropurulenta em FO. Encaminhada ao HBL. "/>
        <s v="(Marta) Telemonitoramento do dia 30/06 realizado 01/07 após novas tentativas. Colocado desfecho na conduta do monitoramento do dia 30/06"/>
        <s v="Gestante com 40s1d pela DUM (24/09/22) e USG 39s5d pela USG com 9s, procura o serviço com queixa de perda de líquido e tampão mucoso iniciada às 6h de hoje, juntamente a contrações dolorosas esporádicas. Nega sangramento, corrimento, queixas urinárias ou "/>
        <s v="Gravides de risco habitual. Queixa:dor de garganta, coriza, obstrução nasal. refere melhora da dor em BV . Cd: Da preferencia a calcinha de algodão,; não utilizar/ evitar  protetores diário, procurar dormir sem calcinha, Aplica creme vaginal antes de dorm"/>
        <s v="(Marta) O atendimento não ficou salvo no PEC, porém Thiago encaminhou o arquivo para usuária."/>
        <s v="Refere que em sua unidade é necessário marcar uma data para receber a medicação - registrado evento sentinela."/>
        <s v="Caso do Evento Sentinela - DSVII (paciente não é da área, deu endereo da mãe)"/>
        <s v="IG (DUM/USG): 8s4d/8s3d, G2 P0 A1 (aborto em fevereiro/2023); Condições de risco: nega. Intercorrências durante a gestação: nega. Em uso: Ácido fólico + Sulfato ferroso. Alergias: nega. Acompanhamento Pré-Natal:  USF Prof Antônio Francisco Areias (1ª cons"/>
        <s v="Acompanhamento PN: Não iniciou PN. Refere que conforme orientação recebida ontem, foi à Upinha Dia Jardim São Paulo para agendar 1ª consulta de PN, sendo informada que não havia disponibilidade para atendimento. Em razão disso, entrou em contato com o Ate"/>
        <s v="Gestante com IG 28s2d pela DUM e pela USG, G3 P2(2PN) A0, refere discreto alívio dos sinais e sintomas de candidíase genital por ter iniciado medidas de higiene e cuidados íntimos, porém não iniciou ainda tratamento medicamentoso por não ter adquirido cre"/>
        <s v="Oriento gestante com IG 23s5d pela DUM, G2 P0 A1, a se dirigir à Policlínica e Maternidade Arnaldo Marques, ou outro serviço de sua preferência para nova avaliação e substituição da referida prescrição para tratamento da otite, a mesma não encontra a medi"/>
        <s v="Gestante com 16s2d pela DUM e pela USG com 15s3d, G4 P3 (2PN 1PC) A0, procura o serviço com queixa de dor em baixo ventre tipo cólica de relacionada aos esforços. Nega queixas obstétricas como sangramento, perda de líquido ou corrimentos. Nega também febr"/>
        <s v="Apoio emocional."/>
        <s v="Gestante nega queixas obstétricas e gerais. Buscou o serviço para entender sobre grau de maturação da placenta e Golf Ball."/>
        <s v="TINC - Contato da paciente por PEC. Monitoramento para avaliar se melhora de emese. TINC com Clarice marcada para dia 13/07. Enf andrea 81992751576"/>
        <s v="Fazer a tarde. Pela amnha paciente vai para maternidade"/>
        <s v="Checar se realizaçao de Exame (uroc) e sintomas. Se iniciado disuria, passar ela para rose ou mari fazer ATB"/>
        <s v="Fazer às tarde"/>
        <s v="Às 14h - Resumo atendimento: Gestante G1 P0 A0 24s, com dor lombar, sem outras queixas associadas. Oriento tomar 1g de dipirona e repouso. Às 14h reavaliar. PNAR NA BARRO LIMA DEVIDO HAS E OBSESIDADE."/>
        <s v="Paciente refere melhora nos sintomas e nao realizou a urocultura como solicitado. Oriento quanto a importancia da realização do exame e informo monitoramento ."/>
        <s v="Fez o primeiro atendimento e encaminhou para Ianne"/>
        <s v="Usuária do CS José Dustan - "/>
        <s v="Ligar as 15h. Paciente procurou o atende gestante com queixas de cefaleia intensa há 3dias, otalgia E, dor nos seios da face, apresentou 1 episódio de vertigem nega febre, falta de ar.Encaminho paciente para avaliação presencial, devido a cefaleia intensa"/>
        <s v="Paciente nao procurou atendimento presencial como orientado , porem hoje refere melhora dos sintomas. seguindo o protocolo para sintomais gripais. encaminho paciente para atendimento presencial e tr para COVID "/>
        <s v="paciente procura o Atende gestante com queixa de prurido (nao sabe se por conta da tricotomia) e corrimento tipo nata ( oriento procurar APS para exame especular como no fluxo  e necessidade de tratamento"/>
        <s v="Profissional assistente ciente do caso pois recebeu notificação, realizado discursão do caso"/>
        <s v="Aguardo resposta do evento sentinela."/>
        <s v="17/07 - Taty relizou monitoramento e usuária estava sendo atendida no IMIP"/>
        <s v="Joanna fez novamente em 19/07"/>
        <s v="Paciente reside em agua fria, mas optou por continuar PN paulista"/>
        <s v="Atendimento estava registrado como monitoramento."/>
        <s v="Apoio Emocional - A coordenação de saúde da mulher (DS I): já articulou agendamento da consulta de PN e consulta com psicologo. Paciente já está ciente."/>
        <s v="paciente com 41s ( estava com encaminhamento da aps, nega perdas vaginais, contração irregulares, indolor, porem duradoras (50´´) "/>
        <s v="Teleconsulta x teletriagem (Marta lembrar/Alany/Kleber)"/>
        <s v="Aguardo retorno sobre evento sentinela. Inclusive pelo histórico já foi realizado um evento sobre esse caso. "/>
        <s v="Foi atendida dia 27 via demanda espontânea"/>
        <s v="Vamos monitorar com 1 semna devido paciente internada com 31semanas para ontrole pressorico. Escolhemos 1 semanas devido ao internamento provavevlmente ser mais prolongado. Se tiver alta dar apoio em relaçao ao controle pressorico, se tiver bebe vamos ofe"/>
        <s v="Marta -  Reportado evento sentinela DSVI - USF Pina"/>
        <s v="Usuária impossibilitada de atender à vídeo chamada, solicita que retornemos a ligação às 14h."/>
        <s v="Usuária solicita contato às 14:30h."/>
        <s v="Marta - para identificar até onde fiz a atualização dos dados de: &quot;Mora em área de ESF&quot; // 04/08 (Lari) Telefone desligado"/>
        <s v="Marta - para identificar até onde fiz a atualização dos dados de: &quot;Mora em área de ESF&quot; "/>
        <s v="telefone da mae da paciente "/>
        <s v="Secreção leitosa em pouca quantidade, sem prurido ou edema de genitália externa."/>
        <s v="Telefone so para ligação  (81994811870- TELEFONE DO ESPOSO QUE SE ESTIVER EM CASA RECEBE WHATZAPP) "/>
        <s v="Ligar às 15h para confirmação de acesso à UBS."/>
        <s v="Monitoramento em 17/08 para confirmação de acesso ao pré-natal em USF."/>
        <s v="Em 08/08/23 - Confirmar acesso a unidade de referência na APS; e em 10/08/23 - confirmar acesso a Arnaldo Marques em virtude da IG corresponder a 41s."/>
        <s v="Parto realizado há 9 meses"/>
        <s v="O número de telefone deste atendimento é da enfermeira da USF Adriana."/>
        <s v="Queixa: Presença de secreção com descrição compatível com tampão mucoso."/>
        <s v="Tentar monitoramento em 18/08/2023 para confirmar acesso ao PNRH em APS."/>
        <s v="Realizar telemonitoramento visto que perdeu seguimento no PN da APS e PNAR."/>
        <s v="Gestante iniciando pródromos do TP, ligar às 11h de hoje para avaliação do quadro."/>
        <s v="Usuária encaminhada à maternidade barros Lima por IG avançada 41s, confirmar acesso à maternidade."/>
        <s v="Sem vinculação a APS - registrado evento sentinela "/>
        <s v="CS Ivo Rabelo "/>
        <s v="Ligar às 15h, checar com a gestante os valores da curva glicêmica de hoja e amanhã e ver possibilidade de antecipação da consulta de PNAR."/>
        <s v="Ligar as 18h"/>
        <s v="ligar a tarde ( orientei realizar teste para COVID )"/>
        <s v="Ligar para confirmar acesso à maternidade Barros Lima."/>
        <s v="Ligar pela manhã para avaliar movimentação fetal. (Marta - gestante de área do Cs Pam Ceasa, porém faz PN particular)"/>
        <s v="Avaliar desconforto e dor por doença hemorroidária."/>
        <s v="(Marta - monitoramento era do dia 17/08)"/>
        <s v="Confirmar a realização do teste para covid 19. (Thiago) usuária fornece celular do companheiro para contato para vídeochamada - 81987066010."/>
        <s v="Gestante completa 41s em 22/08, feto pélvico, ligar para confirmar acesso à Maternidade Barros Lima."/>
        <s v="paciente nao procurou atendimento como orientado e apresentou queixas de tontura e vertigem aos esforços, referindo melhora na falta de ar "/>
        <s v="Fazer comparativo de FO e abdome. "/>
        <s v="Ligar às 15h. Gestante portadora de HASC, em uso de metildopoa 500mg/dia, apresentando cefaléia intensa. Ligar para confirmar acesso à Barros Lima - faltou 1ª consulta do PNAR no HMR."/>
        <s v="Ligar em 24/08/2023 "/>
        <s v="Ligar as 11h30"/>
        <s v="Reavaliar sinais e sintomas de gastroenterite."/>
        <s v="Confirmar acesso à Barros Lima - Pródromos de TP."/>
        <s v="Confirmar acesso à maternidade Arnaldo Marques - gestante com 40s5d, HASG e obesidade ( paciente com dois registros no PEC) ."/>
        <s v="Gestante em pródromos, confirmar se a paciente deflagrou o TP."/>
        <s v="monitoramento para observar aspecto da secreção ( referiu perda com presença de sangramento, porem na imagem encaminhada secreção Mucoide); "/>
        <s v="(Marta - Registro do dia 01/09 não foi realizado no PEC porque o mesmo estava fora do ar, Thiago não conseguiu realizar o registro tardio, informado 04/09). Monitorar acesso à APS, puérpera 16 dias pós PC aguarda visita da equipe da USF."/>
        <s v="Monitorar acesso à mat.Bandeira Filho, gestante 30sem com falta de ar; em PNAR, obesidade, HASG, Asma em tratamento."/>
        <s v="Realizado ajuste de medicações para crise de asma dia 01/09/23. Fazer contato com 48h para avaliar se precisa prolongar o tratamento/nova avaliação presencial. "/>
        <s v="Confirmar acesso a APS "/>
        <s v="Avaliar melhora das náusea e vômitos, em uso de plasil."/>
        <s v="Puérpera no 17º dia aguardando avaliação pós parto pela equipe na APS, FO secretiva, avliar em próximo monitoramento."/>
        <s v="09/09 (Joanna): Nega novos episódios de sangramento após o dia 02. Sem queixas. Oriento paciente sobre sinais de alerta;Oriento manutenção do PN na APS e no HMR"/>
        <s v="Realizo telemonitoramento em 09/09."/>
        <s v="O número na planilha é da familiar Adriana, pelo qual foi realizado o atendimento. Confirmar acesso à maternidade Arnaldo Marques."/>
        <s v="Gestante completa hoje 41s1d, confirmar acesso à maternidade Arnaldo Marques."/>
        <s v="Concluído monitoramento."/>
        <s v="Monitorar com 2 a 3 horas para reavaliar sinais e sintomas."/>
        <s v="O telefone que consta na planilha é de uma amiga do trabalho, Micheli, por onde foi efetuado todo atendimento por vídeo chamada. "/>
        <s v="Telemonitoramento do dia 04/09"/>
        <s v="Telemonitoramento do dia 03/09"/>
        <s v="Telemonitoramento do dia 02/09"/>
        <s v="Confirmar acesso à Barros Lima."/>
        <s v="Ligar às 18h para avaliar os pródromos."/>
        <s v="Ligar ao final da manhã, confirmar acesso à Maternidade Bandeira Filho, prodromos de TP e IG 41s ."/>
        <s v="Gestante na 32ª semana, com elevação dos níveis pressóricos. Ligar à tarde para confirmar acesso à maternidade."/>
        <s v="Ligar ao final da tarde para confirmar acesso ao PNAR."/>
        <s v="Encaminhada à Maternidade 36s3d com dor a cada 1h"/>
        <s v="Monitoramento realizado durante a TINC com profissional"/>
        <s v="Confirmar se a usuária conseguiu acesso à sua USF parta avaliação presencial."/>
        <s v="Ligar a tarde - checar atendimento em aps"/>
        <s v="Gestante participou de TINC sobre sua quadro de saúde, no momento sem queixas e assintomática."/>
        <s v="Realizado em 19/09"/>
        <s v="Monitoramento realizado durante TINC com a profissional"/>
        <s v="Não realizada em 18/09."/>
        <s v="Ligar dia 20/09 às 13h, por hoje (19/09) paciente estava no trabalho e não podia falar. Ligar para confirmar acesso à Bandeira Filho."/>
        <s v="Usuária informa que realizará consulta em sua USF de referência em 48h."/>
        <s v="Ligar às 9h (nº do telefone 99649-1398)"/>
        <s v="Monitoramento realizado dia 22/09"/>
        <s v="Ligar às 15h"/>
        <s v="Monitoramento realizado dia 24/09"/>
        <s v="Obs: a teleconsulta não foi finalizada, pois, usuário saiu do consultório digital e não consegui estabelecer nova comunicação, inclusive por telefone. Sendo assim, não foi possível informar acerca do telemonitoramento pela equipe do Atende Gestante em 24/"/>
        <s v="Monitoramento realizado dia 27/09"/>
        <s v="Gestante com sangramento ao evacuar. Encaminhada ao CISAM, devido a limitação de transporte."/>
        <s v="Gestante em fase inicial de TP. Confirmar acesso à Arnaldo Marques. "/>
        <s v="Ligar as 14 horas para confimar acesso na consulta da APS."/>
        <s v="Tentar em 02/10"/>
        <s v="Ligar às 12h, confirmar acesso à sua USF portando USG Endovaginal para reavaliação do quadro. "/>
        <s v="Ligar às 16h"/>
        <s v="Fabiane (11:50) Paciente estava no trabalho e refereiu que não podia atender a video chamada e que a equipe do atende gestante não precisava ligar em outro momento pois seu sangramenta já havia parado e ela já estava tentando agendar uma consulta presenci"/>
        <s v="Ligar para 99380-4960"/>
        <s v="Telemonitoramento realizado dia 05/10"/>
        <s v="Ligar às 14h"/>
        <s v="Gestante com IG 11s3d com 01 episódio de perda vaginal em &quot;borra de café&quot; extrememente discreta."/>
        <s v="Realizado em 10/10"/>
        <s v="Liguei pela manhã e a tarde, porém gestante estava aguardando atendimento na emergência."/>
        <s v="Ligar às 15h para reavaliar."/>
        <s v="Ligar às 15h para confirmar acesso. RPMO?"/>
        <s v="Nao foi gerado telemonitoramento, pois foi gerado tinc, e confirmado acesso "/>
        <s v="Confirmar acesso na APS para iniciar o pré-natal."/>
        <s v="ligar 11h para confirmar acesso"/>
        <s v="Ligar para confirmar acesso a Matrenidade + avaliar se melhora de sintomas (azia / refluxo). Caso não visualize prontuario pelo PEC, consegue ver pelo Hopchat."/>
        <s v="Telemonitoramento realizado em 14/10."/>
        <s v="Ligar após às 13:00h."/>
        <s v="Confirmar se o TP foi deflagrado."/>
        <s v="ligar às 13h"/>
        <s v="ligar para esse contato 81987608875"/>
        <s v="Paciente encerrou a chamada antes da colclusão do atendimento."/>
        <s v="Telemonitoramento realizado dia 21/10 por Tatyana"/>
        <s v="Telemonirotamento do dia 20/10"/>
        <s v="Ligar a partir das 14:00h, confirmar acesso à USF (realizar SU)."/>
        <s v="Ligar as 17h para 81996334713 ( o telefone cadastrado nao recebe ligação )"/>
        <s v="8h Telefone desligado"/>
        <s v="Ligar para 984411270."/>
        <s v="Monitoramento realizado dia 30/10"/>
        <s v="Ligar para 997106216; Telemonitoramento às 12h. Orientar a atualizar cadastro"/>
        <s v="11h"/>
        <s v="Gestante em TP, ligar por volta das 15h, para confirmar acesso a Barros Lima."/>
        <s v="(Thiago; 30/10/23) Às 11:20h, usuária não atende à ligação."/>
        <s v="(Thiago; 30/10/23) Às 11:38h, usuária não atende à ligação. Também foi realizado TINC com a médica Carolina Larré (Usuária é ACS e estava na USF."/>
        <s v="(Thiago; 30/10/23) Às 11:41h, usuária não atende à ligação."/>
        <s v="Monitorametno realizado dia 01/11"/>
        <s v="Monitoramento realizado 31/10"/>
        <s v="Gestante com DG, 40s2d, encaminhada ao HMR, ao término da TINC compartilhada, para avaliação obstétrica. Confirmar acesso."/>
        <s v="Monitoramento do dia 28/10"/>
        <s v="Não foi gerado monitoramento pela paciente não possuir número telefônico que receba ligação. Oriento que se caso precise, entre em contato novamente com o serviço."/>
        <s v="Monitoramento do dia 30/10"/>
        <s v="Mobilograma após refeição: 7 movimentos em 35 min. Diante do resultado do mobilograma, oriento que gestante siga observando a movimentação fetal e que se perceber novamente a diminuição busque atendimento presencial na Arnaldo Marques. - Mantenho 1 monito"/>
        <s v="06/11 (Lari) Paciente não atende"/>
        <s v="IG 22s3d, queixa de dor intensa em região dorsal direita, inclusive à palpação, área próxima ao ângulo costovertebral. Além disso, refere corrimento acastanhado observado hoje, ardência ao urinar há 2 dias, principalmente no final da micção. Cd: Enc à Pol"/>
        <s v="Confirmar aceso à USF de referência, usuária ainda sem consulta puerperal."/>
        <s v="Ligar só as 14h para confirmar acesso à USF de referência."/>
        <s v="Usuária encaminhada para UPA da Caxangá."/>
        <s v="Usuária encaminhada à sua USF para acolhimento pós abortamento de gestação desejada. Checar acesso."/>
        <s v="Gestante com IG 26s5d pela USG, com dores em BV- ameaça de TPP? Encaminhada à Bandeira Filho, checar acesso."/>
        <s v="Ligar às 17h"/>
        <s v="Atendimento realizado no dia 14/11 "/>
        <s v="Não é mais da área da USF Cosme e DAmião"/>
        <s v="Checar melhora do quadro de diarreia leve."/>
        <s v=" Ligar as 15 horas para checar acesso a maternidade. TPP? Ligar para o número 98966-7779"/>
        <s v="Ligar para o n° 98966-7779, reavaliar quadro clinico de dor pelvica."/>
        <s v="Gestante em fase latente do TP, BR, ancaminhada à Bandeira filho, checar acesso."/>
        <s v="Ligar à tarde para checar acesso."/>
        <s v="Ligar às 14h. Monitoramento não realizado, em virtude da indisponibilidade do microsip e dos telefones da EMPREL"/>
        <s v=" "/>
        <s v="Às 09:00h, 10:30h, 12:50h, 14:00h, 16:00h, Microsip sem funcionar."/>
        <s v="Monitoramento não realizado, em virtude da indisponibilidade do microsip e dos telefones da EMPREL"/>
        <s v="Ligar à tarde, checar acesso à APS."/>
        <s v="Ligar às 15h - avaliar mobilograma"/>
        <s v="De acordo com o ARCGIS a US de referência é a Policlínica Albert Sabin e acordo com o mapa de vinculação é o CS Prof Mário Ramos/CS Francisco Pignatari/EACS 5; 5.1; 5.2 - faço registro na planilha de pendência."/>
        <s v="Ligar entre 13h e 15h, gestante IG 18s6d, com odontalgia importante, encaminhada para tentar acessom em sua USF em 04/12, checar acesso."/>
        <s v="Gestante IG 36s4d, em TPP?, chacar acessoa à Bandeira Filho."/>
        <s v="Outro contato: 986887725. "/>
        <s v="Outro contato: 992521738 (marido - Leandro). Falta colocar falta no PEC"/>
        <s v="Ligar para  992062057 "/>
        <s v="Ligar pela manhã a partir das 8h, gestante com 31s3d, com cólicas, contrações, vômito e diarreia. Confirmar acesso à Bandeira Filho."/>
        <s v="Ligar qualquer horário, gestante IG 25s6d, TPP? diagnóstico de CA de colo uterino e endometriose (SIC). Confirmar acesso ao HMR."/>
        <s v="Contrações de Braxton-Hicks? / Início do trabalho de parto? Confirma acesso na Barros Lima."/>
        <s v="Telemonitoramento para: Confirmar o acesso à APS. Unidade da gestante é a Ponto de Parada que, em virtude da requalificação está funcionando provisoriamente na Upinha Eduardo Campos. Oriento que busque a Upinha para iniciar PN, tramento de sífilis e testa"/>
        <s v="Telemonitoramento para: avaliar sinais de trabalho de parto e/ou de alerta e necessidade de encaminhar a gestante para avaliação presencial. HD: GUTT + PROVÁVEL RPMO."/>
        <s v="Ligar a partir das 15h, gestante com IG 32s4d, com corrimento vaginal, checar acesso à sua USF."/>
        <n v="-999273159"/>
        <s v="Ligar as 11h para confirmar acesso"/>
        <s v="Checar acesso na Bandeira Filho."/>
        <s v="Checar acesso à Bandeira Filho."/>
        <s v="Verificar se houve substituição da Losartana pelo metildopa. Caso não atenha acontecido, reforçar recomendação de ir à USF na segunda. "/>
        <s v="Reavaliação - 7º dia de inicio dos sintomas."/>
        <s v="Confirmar se gestante conseguiu retomar o atendeimento no PNAR da policlínica do Pina. Concluído os registros no dia seguinte ao atendimento."/>
        <s v="https://prescricao.cfm.org.br/api/consulta-documento?sw=CFMftU8q5p"/>
        <s v="Ligar para 984388989. Checar acesso na APS."/>
        <s v="Checar acesso na APS. Tem consulta agendada na USF amanhã."/>
        <s v="Avaliar evolução do sangramento."/>
        <s v="Ligar às 14:30h"/>
        <s v="Paciente em TP encaminhada à Maternidade Arnaldo Marques, checar acesso."/>
        <s v="Avaliar quadro clínico"/>
        <s v="Ligar após as 11h - paciente vai colher teste de covid"/>
        <s v="Gestante com sinais de ITU, febre há dois dias. Checar acesso à Bandeira Filho."/>
        <s v="Gestante com sindrome gripal, covid19 positivo. Checar acesso à Bandeira Filho."/>
        <s v="Monitorar sintomas, covid19 positivo, D4 hoje."/>
        <s v="Falta registrada no PEC."/>
        <s v="Falta registrada no PEC"/>
        <s v="monitoramento a tarde - checar se melhorou dos episodios diarreicos e da dor. "/>
        <s v="Avaliar USG"/>
        <s v="Ligar para 99196186; encaminhada devido ausência de movimentos fetais a mais de 12h."/>
        <s v="Avaliar mobilograma"/>
        <s v="Ligar às 16h. Reavaliar se mantém cefaleia."/>
        <s v="Confirmar acesso (encaminha devido 4 MF em 1h)"/>
        <s v="Ligar para 98783-8957"/>
        <s v="Checar acesso à Bandeira Filho, ausência de MF."/>
        <s v="checar acesso; queda de altura, ausencia de MF e dor pelvica "/>
        <s v="Gestante em tratamento para ITU com nitrofurantoína, permenece com leve disúria, avaliar melhora dos sintomas."/>
        <s v="Monnitoramento do dia 07/01"/>
        <s v="ligar para esse contato 81987772073"/>
        <s v="ligar as 13- avaliar se melhora de dore/ diarreia e hidratacao. fiz o atestado de hj. Vai precisa fazeruroc daqui uma semana, nao solicitei pq ela tem consulta dia 16. "/>
        <s v="Ligar às 17h (confirmar acesso)"/>
        <s v="Telemonitoramento do dia 11/01 (não tinha registro de nenhuma tentativa e não tinha falta registrada no PEC)."/>
        <s v="Atendimento acordado com alany, paciente sem queixas, porem refer que esta gravida , descobriu a 2 meses, sem inicio de PN , has e DM , SIC enfermeira de ferias e sem exame de comprovação (perdeu o beta) "/>
        <s v="ligar a tarde para (81999474550)  confirmar acesso e gravidez"/>
        <s v="(Thiago) Às 16:45h, gestante não atende à chamada."/>
        <s v="Ligar à tarde para confirmar acesso a USF para ajuste da prescrição do Noripurum."/>
        <s v="Usuária com HAS, DM, obesidade; aguarda BHCG."/>
        <s v="Ligar para 98783-8957 (lembrar de fazer registro acerca do PNAR)"/>
        <s v="Ligar a tarde"/>
        <s v="Checar acesso à maternidade."/>
        <s v="esposo 81984353919 caso nao pegue o outro (para esse ligar apos as 17h)"/>
        <s v="ligar as 14h para 81994288154"/>
        <s v="Ligar às 17h para avaliar queixa e confirmar acesso a APS"/>
        <s v="Ligar às 17h para revaliar hiperemia e outros sinais flogísticos da mama direita. Avaliar a necessidade de avaliação presencial na UBS ou bando de leite."/>
        <s v="Ligar para o contato da irmã - Fabiana 999193216"/>
        <s v="Monitoramento a fazer em 09/02 Confirmar início do tratamento de ITU; lembrar de agendar um novo monitoramento para dia 09/02 para reforçar a coletar de urocultura."/>
        <s v="Ligar às 9h30, para confirmar o valor da PA que ela irá aferir na farmácia, além do alívio da cefaléia, após uso de dipirona agora."/>
        <s v="confirmar acesso á maternidade para avaliação presencial por inadequação do método"/>
        <s v="Ligar às 11h para avaliar sinais de TP e/ ou de alerta"/>
        <s v="ligar as 16:20 reavaliar,"/>
        <s v="Ligar às 17h, reavaliar melhora das cólicas."/>
        <s v="Ligar pela manhã, checar aceeso à Bandeira Filho."/>
        <s v="Ligar à tarde, checar acesso à Bandeira Filho."/>
        <s v="Ligar à tarde, checar acesso à urgência odontológica."/>
        <s v="Ligar as 10h Falar cm Marta primeiro - Preciso discutir o caso com quem for fazer o telemonitoramento"/>
        <s v="Ver vinculação à APS"/>
        <s v="Ligar para 99591-0580"/>
        <s v="Confirmar acesso ao PN da Bandeira Filho."/>
        <s v="Ligar às 12h"/>
        <s v="(Marta) Não realizado registro de formulário; não encontro registro de monitoramento no PEC, apenas de TINC. Foi realizado o monitoramento??"/>
        <s v="Reavaliar às 17h"/>
        <s v="Monitorar D4 de sintomas gripais, covig19 negativo."/>
        <s v="Ligar dia 27/02 para checar acesso"/>
        <s v="Gestante encaminhada para MBF, checar acesso."/>
        <s v="Monitoramento as 15h30"/>
        <s v="Ligar para 81998898692"/>
        <s v="Ligar para 994288154 -(Marta - ainda não iniciado PN pra enviar notificação)"/>
        <s v="Averiguar se conseguiu agendar consulta de PN na USF Macaxeira"/>
        <s v="Ligar para relembrar coleta de urocultura de controle"/>
        <s v="ligar as 11h, avaliar PA "/>
        <s v="Ligar para 81 996713494"/>
        <s v="Ligar às 11h --&gt; 81997635371"/>
        <s v="Monitorar até o D8 diariamente, hoje D5"/>
        <s v="Ligar para relembrar coleta de urocultura de controle, agendada para 20/03"/>
        <s v="Ligar a partir das 14h."/>
        <s v="(Thiago) A gestante foi encaminhada para APS, sugiro ligar à tarde."/>
        <s v="Checar acesso à urgência odontológica, ligar após as 14h."/>
        <s v="Não consegui inserir a falta da gestante na agenda por falta de acesso. Registro aqui."/>
        <s v="Gestante aguardando a vez na consulta*"/>
        <n v="81997324176"/>
        <s v="Atendimento compartilhado (Obstetra + MFC + enfer. da USF)"/>
        <s v="Paciente com 2 PEC - Verificar pelo SUS"/>
        <s v="2a opção de telefone 81996823412"/>
        <s v="Na segunda tentativa de monitoriamento recusou videochamada; monitoramento feito por telefone."/>
        <s v="Monitormanto realizado por contato telefonico pois pct estava internada na maternidade (Bandeira Filho)"/>
        <s v="Saber se buscou a APS ou se entrou em TP   "/>
        <s v="Ligar à tarde"/>
        <s v="Feito por contato telefonico."/>
        <s v="Paciente orientada a procurar o posto hoje pela manha, ligar a tarde"/>
        <s v="Gestante ainda não buscou unidade de saúde, como orientado. Ligar à tarde para confirmar."/>
        <s v="Gestante encaminhada para avaliação na APS, ligar à tarde."/>
        <s v="Ligar à tarde para confirma acesso "/>
        <s v="Checar melhora do quadro de dor intensa no corpo, reação vacinal."/>
        <s v="(Thiago - 0818h) Gestante pede para retomar a ligação às 09:00h."/>
        <s v="Ligar após 9h, checar acesso à APS, início de sintomas gripais após reação adversa às vacinas."/>
        <s v="ligar as 15h telefone 81991473240 (ligação) 12991876039 (zap)"/>
        <s v="Ligar as 15h "/>
        <s v="Ligar à tarde para avaliar melhora dos sintomas."/>
        <s v="Monitoramento realizado em 13/04/2024."/>
        <s v="Atendimento realizado em 18/04. Gestante não é munícipe, oriento procurar APS de sua área. "/>
        <s v="Confirmar acesso à maternidade Arnaldo Marques."/>
        <s v="Confirmar acesso ao HMR 16h "/>
        <s v="Enviei comandado para iniciar atendimento, recebeu a mensagem, clicou em inicar atendimento, porém, não a visulizei no HopChat."/>
        <s v="Ligar para 982850804"/>
        <s v="Ligar para 982850804 às 15h para checar acesso à urgência e/ou alívio das queixas"/>
        <s v="(Marta) informar sobre o agendamento de USG no dia 07/05 as 14h no HMR"/>
        <s v="Monitoramento feito por telefone pois paciente estava no trabalho"/>
        <s v="Ligar 16 h"/>
        <s v="Monitoramento realizado por telefone - solicitaçao da gestante "/>
        <s v="Encontra-se na urgencia do HAM "/>
        <s v="Ligar às 9 horas "/>
        <s v="Ligar as 16 horas"/>
        <s v="Registro evento sentinela."/>
        <s v="Reforçar realização de urocultura de controle."/>
        <s v="Ligar para 81991300852"/>
        <s v="Ligar a tarde (foi encaminhada para avaliação presencial hoje na APS)"/>
        <s v="PEC com instabilidade - registro feito 13/05 (Marta)"/>
        <s v="Ligar a tarde (Paciente encaminhada à urgência obstétrica)"/>
        <s v="Monitoramento para informar sobre agendamento de PNAR, após realizar TINC com médico Giovani"/>
        <s v="Não foi encaminhada à APS porque enfermeira está de férias e não tem médico. SG sem sinais de alerta. "/>
        <s v="Ligar entre 14h - 15h para reavaliar a cólica."/>
        <s v="Agendar monitoramento para 20/05/24, considerar TINC para avliar quadro geral da gestante."/>
        <s v="Ligar às 16h para checar acesso à MBF."/>
        <s v="Informou que nao poderia entrar em contato por videochamada. Monitoramento feito por telefone."/>
        <s v="Saber se conseguiu encaminhamento para PNAR"/>
        <s v="Ligar às 14h - A conversa do Hopchat está em aberto no usuário de Camilla"/>
        <s v="Ligar às 16h - Reavaliar nauseas e vomitos e presença de sinais de TP"/>
        <s v="Avaliar evolução do sangramento transvaginal e acesso a APS"/>
        <s v="Checar acesso ao CISAM à tarde, gestante diz que não conseguirá ir à Barros Lima."/>
        <s v="Telefone do esposo."/>
        <s v="Avaliar perfil glicêmico nas últimas 24h."/>
        <s v="Ligar as 17 horas - telemonitoramento realizado dia 30/05"/>
        <s v="Confirmar acesso à maternidade e reavaliar sintomas"/>
        <s v="Ligar à tarde. Encaminhada ao banco de leite.Ligação chama duas vezes no Microsip e cai."/>
        <s v="Ligar às 16h. Reavaliar TP - Formulario de monitoramento preenchido dia 04/06"/>
        <s v="Checar vinculação à USF Alto do Maracanã, puérpera mudou-se recentemente para o território, ainda sem visita puerperal da equipe."/>
        <s v="Realizado teleatendimento e durante teleconsulta perco contato telefônico com a paciente. Faço 3 tentativas de contato por telefone porém gestante não atende. Informaria que como há incongruência entre queixas e exame físico realizado hoje pela manha na ú"/>
        <s v="Monitorar dia 05/06 para checar acesso à maternidade (DMG)."/>
        <s v="  "/>
      </sharedItems>
    </cacheField>
  </cacheFields>
</pivotCacheDefinition>
</file>

<file path=xl/pivotCache/pivotCacheDefinition3.xml><?xml version="1.0" encoding="utf-8"?>
<pivotCacheDefinition xmlns="http://schemas.openxmlformats.org/spreadsheetml/2006/main" xmlns:r="http://schemas.openxmlformats.org/officeDocument/2006/relationships" r:id="rId1" refreshOnLoad="1" refreshedVersion="5" refreshedDate="45457.3887384259" refreshedBy="USUARIO" recordCount="1676">
  <cacheSource type="worksheet">
    <worksheetSource ref="A1:AH1677" sheet="Registro de teleatendimento"/>
  </cacheSource>
  <cacheFields count="34">
    <cacheField name="Carimbo de data/hora" numFmtId="0">
      <sharedItems containsBlank="1" containsDate="1" containsMixedTypes="1" count="1605">
        <s v="Teleconsulta pós lançamento"/>
        <s v="Telemonitoramento efetivados pós lançamento"/>
        <s v="Teletriagem pós lançamento"/>
        <d v="2022-11-10T13:55:00"/>
        <d v="2022-11-30T11:13:08"/>
        <d v="2022-12-15T09:07:30"/>
        <d v="2023-01-02T08:53:17"/>
        <d v="2023-01-02T15:41:34"/>
        <d v="2023-01-11T11:39:43"/>
        <d v="2023-01-11T14:48:46"/>
        <d v="2023-01-18T11:13:34"/>
        <d v="2023-01-24T15:41:03"/>
        <d v="2022-12-01T14:36:17"/>
        <d v="2023-01-03T15:12:15"/>
        <d v="2023-01-03T15:16:25"/>
        <d v="2023-01-25T15:25:17"/>
        <d v="2023-01-26T15:07:01"/>
        <d v="2023-01-27T08:57:14"/>
        <d v="2023-03-02T13:48:49"/>
        <d v="2023-03-17T12:06:18"/>
        <d v="2023-03-17T17:28:25"/>
        <d v="2023-03-20T10:13:23"/>
        <d v="2023-03-21T15:52:42"/>
        <d v="2023-04-05T12:10:56"/>
        <d v="2023-04-07T10:17:58"/>
        <d v="2023-04-18T17:02:41"/>
        <d v="2023-04-19T14:42:54"/>
        <d v="2023-04-20T09:23:42"/>
        <d v="2023-04-21T09:01:20"/>
        <d v="2023-04-24T16:16:17"/>
        <d v="2023-05-02T15:09:58"/>
        <d v="2023-05-03T11:49:19"/>
        <d v="2023-05-04T15:48:48"/>
        <d v="2023-05-05T16:36:13"/>
        <d v="2023-05-08T10:53:41"/>
        <d v="2023-05-08T14:58:33"/>
        <d v="2023-05-08T17:46:53"/>
        <d v="2023-05-10T12:38:45"/>
        <d v="2023-05-16T18:02:47"/>
        <d v="2023-05-30T11:46:12"/>
        <d v="2023-05-30T18:31:39"/>
        <d v="2023-05-30T19:24:48"/>
        <d v="2023-05-31T10:18:44"/>
        <d v="2023-05-31T15:07:02"/>
        <d v="2023-05-31T16:02:07"/>
        <d v="2023-05-31T16:34:29"/>
        <d v="2023-05-31T16:36:02"/>
        <d v="2023-06-01T08:23:47"/>
        <d v="2023-06-01T08:50:44"/>
        <d v="2023-06-01T10:57:45"/>
        <d v="2023-06-01T12:04:31"/>
        <d v="2023-06-01T12:41:47"/>
        <d v="2023-06-01T18:30:04"/>
        <d v="2023-06-02T10:18:00"/>
        <d v="2023-06-02T11:30:41"/>
        <d v="2023-06-02T11:30:50"/>
        <d v="2023-06-02T12:46:26"/>
        <d v="2023-06-02T17:51:41"/>
        <d v="2023-06-03T08:57:21"/>
        <d v="2023-06-03T10:17:42"/>
        <d v="2023-06-03T16:26:43"/>
        <d v="2023-06-03T18:49:37"/>
        <d v="2023-06-04T10:00:47"/>
        <d v="2023-06-04T12:07:39"/>
        <d v="2023-06-04T16:10:50"/>
        <d v="2023-06-05T10:32:25"/>
        <d v="2023-06-05T11:24:21"/>
        <d v="2023-06-05T18:06:50"/>
        <d v="2023-06-05T18:24:06"/>
        <d v="2023-06-05T19:06:02"/>
        <d v="2023-06-05T19:06:28"/>
        <d v="2023-06-06T09:18:34"/>
        <d v="2023-06-06T09:27:46"/>
        <d v="2023-06-06T10:12:39"/>
        <d v="2023-06-06T10:54:43"/>
        <d v="2023-06-06T12:00:05"/>
        <d v="2023-06-06T12:07:29"/>
        <d v="2023-06-06T12:55:02"/>
        <d v="2023-06-06T13:00:45"/>
        <d v="2023-06-06T15:21:59"/>
        <d v="2023-06-06T15:36:00"/>
        <d v="2023-06-06T17:34:02"/>
        <d v="2023-06-06T18:46:07"/>
        <d v="2023-06-07T09:28:59"/>
        <d v="2023-06-07T09:30:52"/>
        <d v="2023-06-07T10:04:40"/>
        <d v="2023-06-07T10:11:00"/>
        <d v="2023-06-07T12:32:00"/>
        <d v="2023-06-07T12:37:44"/>
        <d v="2023-06-07T14:18:31"/>
        <d v="2023-06-07T14:49:21"/>
        <d v="2023-06-07T15:10:24"/>
        <d v="2023-06-07T15:47:39"/>
        <d v="2023-06-07T16:56:31"/>
        <d v="2023-06-07T18:51:35"/>
        <d v="2023-06-07T19:33:52"/>
        <d v="2023-06-08T07:35:57"/>
        <d v="2023-06-08T08:22:37"/>
        <d v="2023-06-08T09:18:12"/>
        <d v="2023-06-08T10:23:11"/>
        <d v="2023-06-08T12:26:16"/>
        <d v="2023-06-08T14:07:46"/>
        <d v="2023-06-08T14:34:50"/>
        <d v="2023-06-08T15:13:52"/>
        <d v="2023-06-08T17:09:57"/>
        <d v="2023-06-08T17:55:04"/>
        <d v="2023-06-08T18:49:15"/>
        <d v="2023-06-09T08:48:58"/>
        <d v="2023-06-09T09:06:52"/>
        <d v="2023-06-09T09:44:17"/>
        <d v="2023-06-09T11:23:34"/>
        <d v="2023-06-09T12:01:22"/>
        <d v="2023-06-09T12:14:51"/>
        <d v="2023-06-09T12:31:24"/>
        <d v="2023-06-09T13:38:17"/>
        <d v="2023-06-09T13:48:28"/>
        <d v="2023-06-09T13:55:12"/>
        <d v="2023-06-09T14:45:32"/>
        <d v="2023-06-09T16:36:13"/>
        <d v="2023-06-09T19:23:34"/>
        <d v="2023-06-10T08:06:27"/>
        <d v="2023-06-10T08:53:03"/>
        <d v="2023-06-10T09:18:27"/>
        <d v="2023-06-10T09:26:25"/>
        <d v="2023-06-10T09:38:10"/>
        <d v="2023-06-10T10:15:49"/>
        <d v="2023-06-10T10:23:08"/>
        <d v="2023-06-10T11:04:41"/>
        <d v="2023-06-10T11:55:09"/>
        <d v="2023-06-10T11:55:58"/>
        <d v="2023-06-10T12:57:35"/>
        <d v="2023-06-10T13:29:37"/>
        <d v="2023-06-10T14:11:15"/>
        <d v="2023-06-10T17:00:13"/>
        <d v="2023-06-10T17:18:19"/>
        <d v="2023-06-10T17:26:22"/>
        <d v="2023-06-10T17:40:50"/>
        <d v="2023-06-10T18:02:02"/>
        <d v="2023-06-10T19:01:46"/>
        <d v="2023-06-11T08:35:41"/>
        <d v="2023-06-11T09:43:42"/>
        <d v="2023-06-11T10:04:58"/>
        <d v="2023-06-11T11:45:57"/>
        <d v="2023-06-11T12:34:00"/>
        <d v="2023-06-11T12:50:10"/>
        <d v="2023-06-11T14:29:59"/>
        <d v="2023-06-11T17:29:06"/>
        <d v="2023-06-11T18:58:34"/>
        <d v="2023-06-12T09:24:07"/>
        <d v="2023-06-12T10:08:06"/>
        <d v="2023-06-12T10:34:39"/>
        <d v="2023-06-12T10:43:50"/>
        <d v="2023-06-12T11:39:03"/>
        <d v="2023-06-12T11:57:29"/>
        <d v="2023-06-12T13:42:02"/>
        <d v="2023-06-12T13:51:55"/>
        <d v="2023-06-12T15:28:38"/>
        <d v="2023-06-13T09:40:06"/>
        <d v="2023-06-13T09:58:14"/>
        <d v="2023-06-13T10:50:13"/>
        <d v="2023-06-13T11:56:45"/>
        <d v="2023-06-13T13:24:53"/>
        <d v="2023-06-13T13:49:09"/>
        <d v="2023-06-13T14:07:46"/>
        <d v="2023-06-13T16:07:49"/>
        <d v="2023-06-13T16:42:57"/>
        <d v="2023-06-13T17:17:58"/>
        <d v="2023-06-13T18:33:18"/>
        <d v="2023-06-14T08:51:18"/>
        <d v="2023-06-14T09:59:05"/>
        <d v="2023-06-14T11:04:13"/>
        <d v="2023-06-14T11:26:08"/>
        <d v="2023-06-14T11:32:06"/>
        <d v="2023-06-14T13:07:22"/>
        <d v="2023-06-14T14:54:20"/>
        <d v="2023-06-14T15:14:50"/>
        <d v="2023-06-14T15:36:46"/>
        <d v="2023-06-14T17:38:16"/>
        <d v="2023-06-14T18:50:54"/>
        <d v="2023-06-15T09:30:28"/>
        <d v="2023-06-15T13:55:40"/>
        <d v="2023-06-15T15:26:29"/>
        <d v="2023-06-15T17:27:42"/>
        <d v="2023-06-15T19:58:54"/>
        <d v="2023-06-16T08:43:49"/>
        <d v="2023-06-16T10:00:28"/>
        <d v="2023-06-16T12:23:56"/>
        <d v="2023-06-16T13:16:58"/>
        <d v="2023-06-16T14:54:14"/>
        <d v="2023-06-16T17:01:54"/>
        <d v="2023-06-16T17:37:23"/>
        <d v="2023-06-16T18:26:18"/>
        <d v="2023-06-17T09:35:40"/>
        <d v="2023-06-17T10:16:41"/>
        <d v="2023-06-17T17:17:24"/>
        <d v="2023-06-18T12:51:56"/>
        <d v="2023-06-18T14:56:03"/>
        <d v="2023-06-19T08:16:43"/>
        <d v="2023-06-19T11:57:26"/>
        <d v="2023-06-19T13:10:51"/>
        <d v="2023-06-19T13:16:54"/>
        <d v="2023-06-19T14:19:02"/>
        <d v="2023-06-19T15:15:43"/>
        <d v="2023-06-19T16:33:44"/>
        <d v="2023-06-19T16:37:32"/>
        <d v="2023-06-19T16:51:20"/>
        <d v="2023-06-19T16:54:46"/>
        <d v="2023-06-19T17:05:04"/>
        <d v="2023-06-19T17:30:27"/>
        <d v="2023-06-19T18:47:54"/>
        <d v="2023-06-20T11:47:30"/>
        <d v="2023-06-20T14:16:11"/>
        <d v="2023-06-20T14:31:11"/>
        <d v="2023-06-20T16:25:08"/>
        <d v="2023-06-20T16:30:20"/>
        <d v="2023-06-20T19:36:35"/>
        <d v="2023-06-21T08:20:39"/>
        <d v="2023-06-21T08:45:53"/>
        <d v="2023-06-21T10:34:48"/>
        <d v="2023-06-21T12:04:12"/>
        <d v="2023-06-21T16:23:53"/>
        <d v="2023-06-22T08:20:38"/>
        <d v="2023-06-22T08:52:38"/>
        <d v="2023-06-22T09:00:56"/>
        <d v="2023-06-22T12:26:05"/>
        <d v="2023-06-22T12:55:57"/>
        <d v="2023-06-22T13:23:50"/>
        <d v="2023-06-22T14:30:39"/>
        <d v="2023-06-22T14:54:47"/>
        <d v="2023-06-22T16:16:38"/>
        <d v="2023-06-23T08:46:19"/>
        <d v="2023-06-23T08:47:30"/>
        <d v="2023-06-23T10:42:36"/>
        <d v="2023-06-24T14:41:51"/>
        <d v="2023-06-24T18:46:10"/>
        <d v="2023-06-25T08:31:20"/>
        <d v="2023-06-25T08:58:40"/>
        <d v="2023-06-25T16:17:04"/>
        <d v="2023-06-26T09:20:22"/>
        <d v="2023-06-26T15:25:04"/>
        <d v="2023-06-26T15:38:39"/>
        <d v="2023-06-26T17:21:21"/>
        <d v="2023-06-27T08:20:30"/>
        <d v="2023-06-27T13:13:11"/>
        <d v="2023-06-27T15:10:24"/>
        <d v="2023-06-27T17:55:44"/>
        <d v="2023-06-27T19:37:07"/>
        <d v="2023-06-28T12:23:42"/>
        <d v="2023-06-28T16:26:26"/>
        <d v="2023-06-28T16:48:40"/>
        <d v="2023-06-28T18:13:16"/>
        <d v="2023-06-29T09:24:22"/>
        <d v="2023-06-29T11:46:14"/>
        <d v="2023-06-29T14:49:39"/>
        <d v="2023-06-29T14:54:08"/>
        <d v="2023-06-29T17:38:08"/>
        <d v="2023-06-29T18:31:46"/>
        <d v="2023-06-29T19:07:07"/>
        <d v="2023-06-30T10:49:02"/>
        <d v="2023-06-30T11:40:27"/>
        <d v="2023-06-30T14:00:47"/>
        <d v="2023-06-30T15:40:02"/>
        <d v="2023-06-30T17:45:07"/>
        <d v="2023-07-01T08:56:58"/>
        <d v="2023-07-01T10:44:56"/>
        <d v="2023-07-01T11:58:27"/>
        <d v="2023-07-01T16:33:48"/>
        <d v="2023-07-01T16:59:52"/>
        <d v="2023-07-02T09:37:39"/>
        <d v="2023-07-02T09:41:03"/>
        <d v="2023-07-02T14:22:49"/>
        <d v="2023-07-03T10:03:25"/>
        <d v="2023-07-03T11:01:35"/>
        <d v="2023-07-03T19:43:54"/>
        <d v="2023-07-04T08:58:11"/>
        <d v="2023-07-04T09:46:03"/>
        <d v="2023-07-04T10:39:32"/>
        <d v="2023-07-04T15:34:50"/>
        <d v="2023-07-04T16:48:35"/>
        <d v="2023-07-05T08:24:49"/>
        <d v="2023-07-05T08:41:16"/>
        <d v="2023-07-05T08:42:21"/>
        <d v="2023-07-05T09:10:11"/>
        <d v="2023-07-05T10:08:51"/>
        <d v="2023-07-05T13:15:56"/>
        <d v="2023-07-05T13:50:26"/>
        <d v="2023-07-05T15:32:44"/>
        <d v="2023-07-05T16:55:58"/>
        <d v="2023-07-05T19:21:21"/>
        <d v="2023-07-06T09:04:25"/>
        <d v="2023-07-06T10:58:42"/>
        <d v="2023-07-06T12:12:24"/>
        <d v="2023-07-06T14:05:00"/>
        <d v="2023-07-06T14:52:44"/>
        <d v="2023-07-06T18:09:55"/>
        <d v="2023-07-07T15:19:02"/>
        <d v="2023-07-07T17:07:21"/>
        <d v="2023-07-07T17:45:43"/>
        <d v="2023-07-08T09:58:50"/>
        <d v="2023-07-08T13:39:30"/>
        <d v="2023-07-08T16:55:19"/>
        <d v="2023-07-08T19:11:50"/>
        <d v="2023-07-09T14:10:33"/>
        <d v="2023-07-10T09:34:44"/>
        <d v="2023-07-10T10:46:31"/>
        <d v="2023-07-10T12:02:18"/>
        <d v="2023-07-10T12:33:55"/>
        <d v="2023-07-10T12:59:32"/>
        <d v="2023-07-11T09:56:21"/>
        <d v="2023-07-11T13:06:22"/>
        <d v="2023-07-11T13:41:21"/>
        <d v="2023-07-10T12:15:03"/>
        <d v="2023-07-11T15:10:56"/>
        <d v="2023-07-11T15:54:30"/>
        <d v="2023-07-11T15:57:55"/>
        <d v="2023-07-11T17:36:05"/>
        <d v="2023-07-11T17:47:14"/>
        <d v="2023-07-12T11:20:16"/>
        <d v="2023-07-12T12:24:27"/>
        <d v="2023-07-12T14:48:57"/>
        <d v="2023-07-12T15:17:50"/>
        <d v="2023-07-12T18:00:03"/>
        <d v="2023-07-13T08:09:32"/>
        <d v="2023-07-13T08:57:02"/>
        <d v="2023-07-13T10:56:01"/>
        <d v="2023-07-13T12:15:32"/>
        <d v="2023-07-13T12:45:01"/>
        <d v="2023-07-13T14:40:27"/>
        <d v="2023-07-13T16:10:38"/>
        <d v="2023-07-13T17:55:17"/>
        <d v="2023-07-13T18:52:17"/>
        <d v="2023-07-14T09:16:57"/>
        <d v="2023-07-14T10:28:04"/>
        <d v="2023-07-14T12:29:42"/>
        <d v="2023-07-14T17:38:39"/>
        <d v="2023-07-15T09:27:34"/>
        <d v="2023-07-15T14:03:54"/>
        <d v="2023-07-15T14:09:58"/>
        <d v="2023-07-15T18:47:16"/>
        <d v="2023-07-16T10:25:45"/>
        <d v="2023-07-16T13:16:46"/>
        <d v="2023-07-16T15:10:02"/>
        <d v="2023-07-16T17:10:19"/>
        <d v="2023-07-17T09:48:23"/>
        <d v="2023-07-17T10:34:10"/>
        <d v="2023-07-17T11:17:01"/>
        <d v="2023-07-17T14:26:49"/>
        <d v="2023-07-18T11:12:14"/>
        <d v="2023-07-18T11:41:35"/>
        <d v="2023-07-18T16:50:29"/>
        <d v="2023-07-18T17:56:56"/>
        <d v="2023-07-19T08:10:48"/>
        <d v="2023-07-19T09:38:58"/>
        <d v="2023-07-19T12:18:38"/>
        <d v="2023-07-19T14:26:01"/>
        <d v="2023-07-19T15:32:25"/>
        <d v="2023-07-19T16:34:56"/>
        <d v="2023-07-20T17:23:53"/>
        <d v="2023-07-20T18:35:38"/>
        <d v="2023-07-21T10:50:20"/>
        <d v="2023-07-21T13:28:48"/>
        <d v="2023-07-22T09:09:38"/>
        <d v="2023-07-22T10:09:37"/>
        <d v="2023-07-22T10:21:36"/>
        <d v="2023-07-22T17:13:05"/>
        <d v="2023-07-22T18:32:04"/>
        <d v="2023-07-23T09:41:51"/>
        <d v="2023-07-23T11:52:07"/>
        <d v="2023-07-24T13:34:59"/>
        <d v="2023-07-25T09:20:29"/>
        <d v="2023-07-25T11:09:47"/>
        <d v="2023-07-25T16:48:14"/>
        <d v="2023-07-26T10:00:08"/>
        <d v="2023-07-26T10:28:32"/>
        <d v="2023-07-26T11:10:42"/>
        <d v="2023-07-26T18:07:04"/>
        <d v="2023-07-27T08:50:53"/>
        <d v="2023-07-27T09:07:32"/>
        <d v="2023-07-27T14:45:43"/>
        <d v="2023-07-27T15:02:10"/>
        <d v="2023-07-28T10:22:14"/>
        <d v="2023-07-28T19:24:35"/>
        <d v="2023-07-29T09:45:57"/>
        <d v="2023-07-29T11:31:02"/>
        <d v="2023-07-29T12:19:41"/>
        <d v="2023-07-29T15:29:27"/>
        <d v="2023-07-29T18:56:32"/>
        <d v="2023-07-31T16:24:40"/>
        <d v="2023-07-31T17:08:22"/>
        <d v="2023-07-31T17:43:50"/>
        <d v="2023-08-01T15:09:47"/>
        <d v="2023-08-01T16:27:12"/>
        <d v="2023-08-02T16:29:26"/>
        <d v="2023-08-03T09:08:28"/>
        <d v="2023-08-03T09:18:54"/>
        <d v="2023-08-03T13:47:27"/>
        <d v="2023-08-03T15:51:42"/>
        <d v="2023-08-03T17:46:31"/>
        <d v="2023-08-04T09:16:45"/>
        <d v="2023-08-04T11:57:22"/>
        <d v="2023-08-04T14:41:20"/>
        <d v="2023-08-04T15:21:49"/>
        <d v="2023-08-04T16:21:29"/>
        <d v="2023-08-04T20:03:12"/>
        <d v="2023-08-05T09:45:49"/>
        <d v="2023-08-05T12:16:26"/>
        <d v="2023-08-05T12:27:03"/>
        <d v="2023-08-05T13:08:05"/>
        <d v="2023-08-05T13:51:06"/>
        <d v="2023-08-05T14:24:09"/>
        <d v="2023-08-05T18:43:53"/>
        <d v="2023-08-06T09:47:43"/>
        <d v="2023-08-07T10:23:10"/>
        <d v="2023-08-07T11:10:22"/>
        <d v="2023-08-07T12:52:11"/>
        <d v="2023-08-07T18:01:28"/>
        <d v="2023-08-07T18:56:04"/>
        <d v="2023-08-08T09:08:59"/>
        <d v="2023-08-08T09:20:55"/>
        <d v="2023-08-09T08:40:57"/>
        <d v="2023-08-09T08:50:00"/>
        <d v="2023-08-09T09:21:07"/>
        <d v="2023-08-09T11:57:53"/>
        <d v="2023-08-09T18:16:34"/>
        <d v="2023-08-10T08:11:35"/>
        <d v="2023-08-10T10:46:14"/>
        <d v="2023-08-10T11:19:18"/>
        <d v="2023-08-10T14:10:30"/>
        <d v="2023-08-10T15:58:06"/>
        <d v="2023-08-10T16:24:59"/>
        <d v="2023-08-10T19:38:16"/>
        <d v="2023-08-11T08:56:17"/>
        <d v="2023-08-11T09:12:40"/>
        <d v="2023-08-11T13:19:30"/>
        <d v="2023-08-11T17:54:48"/>
        <d v="2023-08-12T14:20:41"/>
        <d v="2023-08-12T15:59:25"/>
        <d v="2023-08-12T18:27:40"/>
        <d v="2023-08-14T09:28:06"/>
        <d v="2023-08-14T11:14:55"/>
        <d v="2023-08-14T16:02:52"/>
        <d v="2023-08-15T07:26:03"/>
        <d v="2023-08-15T18:38:11"/>
        <d v="2023-08-15T19:22:34"/>
        <d v="2023-08-16T12:28:38"/>
        <d v="2023-08-16T13:48:57"/>
        <d v="2023-08-16T16:49:54"/>
        <d v="2023-08-17T09:12:34"/>
        <d v="2023-08-17T11:54:41"/>
        <d v="2023-08-17T15:21:36"/>
        <d v="2023-08-17T15:56:25"/>
        <d v="2023-08-17T15:56:30"/>
        <d v="2023-08-17T17:15:47"/>
        <d v="2023-08-17T17:15:54"/>
        <d v="2023-08-17T18:12:12"/>
        <d v="2023-08-17T20:00:51"/>
        <d v="2023-08-18T09:47:15"/>
        <d v="2023-08-18T10:01:30"/>
        <d v="2023-08-18T11:30:10"/>
        <d v="2023-08-18T12:29:07"/>
        <d v="2023-08-18T15:12:59"/>
        <d v="2023-08-18T15:28:41"/>
        <d v="2023-08-19T11:30:40"/>
        <d v="2023-08-19T11:37:28"/>
        <d v="2023-08-19T14:57:29"/>
        <d v="2023-08-19T15:07:10"/>
        <d v="2023-08-19T16:29:55"/>
        <d v="2023-08-20T09:01:47"/>
        <d v="2023-08-20T09:50:00"/>
        <d v="2023-08-20T16:27:11"/>
        <d v="2023-08-21T09:39:01"/>
        <d v="2023-08-21T12:40:28"/>
        <d v="2023-08-21T13:46:31"/>
        <d v="2023-08-21T14:34:10"/>
        <d v="2023-08-21T16:13:32"/>
        <d v="2023-08-22T09:18:59"/>
        <d v="2023-08-22T12:35:07"/>
        <d v="2023-08-22T13:40:46"/>
        <d v="2023-08-22T15:02:24"/>
        <d v="2023-08-22T16:29:06"/>
        <d v="2023-08-22T16:46:16"/>
        <d v="2023-08-23T09:28:43"/>
        <d v="2023-08-23T09:36:32"/>
        <d v="2023-08-23T09:53:16"/>
        <d v="2023-08-23T11:24:56"/>
        <d v="2023-08-23T15:12:58"/>
        <d v="2023-08-23T16:02:07"/>
        <d v="2023-08-23T16:31:13"/>
        <d v="2023-08-24T08:47:25"/>
        <d v="2023-08-24T08:56:17"/>
        <d v="2023-08-25T12:46:52"/>
        <d v="2023-08-25T16:11:27"/>
        <d v="2023-08-25T16:17:13"/>
        <d v="2023-08-26T11:35:28"/>
        <d v="2023-08-26T14:11:20"/>
        <d v="2023-08-26T15:00:36"/>
        <d v="2023-08-28T13:06:52"/>
        <d v="2023-08-28T15:01:34"/>
        <d v="2023-08-28T18:59:58"/>
        <d v="2023-08-29T12:01:52"/>
        <d v="2023-08-29T14:55:06"/>
        <d v="2023-08-29T17:04:15"/>
        <d v="2023-08-30T08:56:16"/>
        <d v="2023-08-30T09:09:56"/>
        <d v="2023-08-30T14:15:16"/>
        <d v="2023-08-31T08:39:11"/>
        <d v="2023-08-31T10:22:28"/>
        <d v="2023-08-31T10:48:47"/>
        <d v="2023-08-31T18:38:07"/>
        <d v="2023-09-01T09:28:00"/>
        <d v="2023-09-01T09:31:39"/>
        <d v="2023-09-01T15:06:42"/>
        <d v="2023-09-01T18:04:45"/>
        <d v="2023-09-01T18:20:53"/>
        <d v="2023-09-02T08:32:43"/>
        <d v="2023-09-02T13:20:05"/>
        <d v="2023-09-02T17:32:50"/>
        <d v="2023-09-02T17:43:54"/>
        <d v="2023-09-03T16:18:18"/>
        <d v="2023-09-04T10:40:54"/>
        <d v="2023-09-04T17:13:16"/>
        <d v="2023-09-06T08:52:02"/>
        <d v="2023-09-06T11:47:19"/>
        <d v="2023-09-07T19:26:12"/>
        <d v="2023-09-08T09:52:05"/>
        <d v="2023-09-08T11:13:54"/>
        <d v="2023-09-08T12:03:55"/>
        <d v="2023-09-08T15:46:44"/>
        <d v="2023-09-09T09:40:43"/>
        <d v="2023-09-09T14:40:45"/>
        <d v="2023-09-09T17:12:45"/>
        <d v="2023-09-09T18:12:00"/>
        <d v="2023-09-09T19:05:00"/>
        <d v="2023-09-10T10:19:34"/>
        <d v="2023-09-10T12:15:50"/>
        <d v="2023-09-10T14:18:43"/>
        <d v="2023-09-10T17:17:31"/>
        <d v="2023-09-10T17:58:15"/>
        <d v="2023-09-11T07:58:25"/>
        <d v="2023-09-11T08:56:43"/>
        <d v="2023-09-11T12:26:34"/>
        <d v="2023-09-11T12:38:15"/>
        <d v="2023-09-11T14:57:38"/>
        <d v="2023-09-12T14:54:47"/>
        <d v="2023-09-12T15:36:46"/>
        <d v="2023-09-13T10:56:14"/>
        <d v="2023-09-13T11:25:57"/>
        <d v="2023-09-13T13:09:11"/>
        <d v="2023-09-13T14:29:32"/>
        <d v="2023-09-13T17:00:14"/>
        <d v="2023-09-14T08:45:07"/>
        <d v="2023-09-14T09:04:11"/>
        <d v="2023-09-14T11:17:17"/>
        <d v="2023-09-14T16:43:44"/>
        <d v="2023-09-14T17:25:39"/>
        <d v="2023-09-16T14:50:03"/>
        <d v="2023-09-16T15:38:30"/>
        <d v="2023-09-16T17:49:44"/>
        <d v="2023-09-16T18:37:13"/>
        <d v="2023-09-18T09:14:56"/>
        <d v="2023-09-18T09:45:05"/>
        <d v="2023-09-18T10:28:36"/>
        <d v="2023-09-18T14:17:37"/>
        <d v="2023-09-18T19:06:34"/>
        <d v="2023-09-19T10:41:41"/>
        <d v="2023-09-19T11:33:28"/>
        <d v="2023-09-19T14:19:43"/>
        <d v="2023-09-20T15:10:41"/>
        <d v="2023-09-21T10:38:33"/>
        <d v="2023-09-21T11:59:55"/>
        <d v="2023-09-21T12:25:27"/>
        <d v="2023-09-21T16:38:12"/>
        <d v="2023-09-21T16:43:24"/>
        <d v="2023-09-21T17:49:34"/>
        <d v="2023-09-21T18:45:41"/>
        <d v="2023-09-22T08:30:30"/>
        <d v="2023-09-22T10:31:15"/>
        <d v="2023-09-22T15:35:49"/>
        <d v="2023-09-22T16:00:27"/>
        <d v="2023-09-22T17:20:01"/>
        <d v="2023-09-23T11:56:15"/>
        <d v="2023-09-23T12:41:55"/>
        <d v="2023-09-24T11:29:22"/>
        <d v="2023-09-24T17:26:58"/>
        <d v="2023-09-24T19:36:18"/>
        <d v="2023-09-25T09:43:53"/>
        <d v="2023-09-25T11:55:52"/>
        <d v="2023-09-25T12:56:50"/>
        <d v="2023-09-25T19:17:07"/>
        <d v="2023-09-26T15:03:05"/>
        <d v="2023-09-26T16:16:36"/>
        <d v="2023-09-27T15:47:19"/>
        <d v="2023-09-27T17:52:15"/>
        <d v="2023-09-28T09:21:25"/>
        <d v="2023-09-29T08:32:57"/>
        <d v="2023-09-29T12:01:52"/>
        <d v="2023-09-29T15:32:50"/>
        <d v="2023-09-30T08:42:30"/>
        <d v="2023-10-01T17:33:34"/>
        <d v="2023-10-02T08:49:04"/>
        <d v="2023-10-03T09:06:51"/>
        <d v="2023-10-03T11:13:47"/>
        <d v="2023-10-03T12:02:07"/>
        <d v="2023-10-03T16:46:44"/>
        <d v="2023-10-04T09:34:51"/>
        <d v="2023-10-04T10:39:37"/>
        <d v="2023-10-04T11:17:27"/>
        <d v="2023-10-04T12:21:17"/>
        <d v="2023-10-04T14:02:04"/>
        <d v="2023-10-04T14:51:30"/>
        <d v="2023-10-04T16:24:05"/>
        <d v="2023-10-04T16:27:36"/>
        <d v="2023-10-05T08:53:14"/>
        <d v="2023-10-05T09:35:57"/>
        <d v="2023-10-05T11:48:21"/>
        <d v="2023-10-05T13:37:28"/>
        <d v="2023-10-05T14:07:50"/>
        <d v="2023-10-05T17:20:48"/>
        <d v="2023-10-05T18:32:13"/>
        <d v="2023-10-06T08:52:46"/>
        <d v="2023-10-06T10:35:20"/>
        <d v="2023-10-06T13:51:50"/>
        <d v="2023-10-06T14:07:53"/>
        <d v="2023-10-07T08:15:57"/>
        <d v="2023-10-07T14:48:24"/>
        <d v="2023-10-07T16:29:39"/>
        <d v="2023-10-08T09:12:49"/>
        <d v="2023-10-09T11:33:16"/>
        <d v="2023-10-09T12:03:57"/>
        <d v="2023-10-09T15:29:36"/>
        <d v="2023-10-09T15:35:50"/>
        <d v="2023-10-10T09:38:15"/>
        <d v="2023-10-10T09:41:41"/>
        <d v="2023-10-10T10:32:56"/>
        <d v="2023-10-10T10:41:49"/>
        <d v="2023-10-10T13:42:50"/>
        <d v="2023-10-10T16:15:07"/>
        <d v="2023-10-11T10:06:47"/>
        <d v="2023-10-12T16:08:41"/>
        <d v="2023-10-12T19:25:32"/>
        <d v="2023-10-13T11:25:04"/>
        <d v="2023-10-13T18:27:12"/>
        <d v="2023-10-14T11:04:59"/>
        <d v="2023-10-14T12:34:41"/>
        <d v="2023-10-14T13:54:08"/>
        <d v="2023-10-15T08:24:11"/>
        <d v="2023-10-15T10:58:48"/>
        <d v="2023-10-16T08:41:10"/>
        <d v="2023-10-16T13:15:01"/>
        <d v="2023-10-16T17:23:13"/>
        <d v="2023-10-16T17:49:19"/>
        <d v="2023-10-17T09:32:53"/>
        <d v="2023-10-17T12:42:36"/>
        <d v="2023-10-17T12:46:51"/>
        <d v="2023-10-17T13:53:33"/>
        <d v="2023-10-17T14:24:09"/>
        <d v="2023-10-17T15:53:47"/>
        <d v="2023-10-17T16:45:19"/>
        <d v="2023-10-17T17:22:40"/>
        <d v="2023-10-17T17:51:50"/>
        <d v="2023-10-18T11:53:23"/>
        <d v="2023-10-18T15:34:22"/>
        <d v="2023-10-18T18:18:38"/>
        <d v="2023-10-18T18:58:01"/>
        <d v="2023-10-19T10:04:50"/>
        <d v="2023-10-19T15:39:16"/>
        <d v="2023-10-20T08:03:37"/>
        <d v="2023-10-20T08:56:25"/>
        <d v="2023-10-20T09:12:39"/>
        <d v="2023-10-20T09:34:07"/>
        <d v="2023-10-21T09:50:20"/>
        <d v="2023-10-21T13:14:20"/>
        <d v="2023-10-21T13:44:16"/>
        <d v="2023-10-21T16:11:41"/>
        <d v="2023-10-21T16:27:55"/>
        <d v="2023-10-21T19:13:38"/>
        <d v="2023-10-22T09:13:55"/>
        <d v="2023-10-22T09:16:11"/>
        <d v="2023-10-22T13:53:57"/>
        <d v="2023-10-22T19:17:47"/>
        <d v="2023-10-23T08:29:13"/>
        <d v="2023-10-23T15:47:29"/>
        <d v="2023-10-23T17:46:12"/>
        <d v="2023-10-24T11:00:47"/>
        <d v="2023-10-24T09:38:13"/>
        <d v="2023-10-24T10:01:36"/>
        <d v="2023-10-24T11:16:06"/>
        <d v="2023-10-24T13:30:19"/>
        <d v="2023-10-25T08:31:38"/>
        <d v="2023-10-25T09:01:20"/>
        <d v="2023-10-25T09:02:01"/>
        <d v="2023-10-25T15:58:05"/>
        <d v="2023-10-26T08:27:41"/>
        <d v="2023-10-26T10:35:37"/>
        <d v="2023-10-26T14:10:41"/>
        <d v="2023-10-27T08:45:35"/>
        <d v="2023-10-27T11:49:19"/>
        <d v="2023-10-27T17:02:21"/>
        <d v="2023-10-27T19:37:54"/>
        <d v="2023-10-28T08:40:27"/>
        <d v="2023-10-29T18:25:25"/>
        <d v="2023-10-29T19:42:34"/>
        <d v="2023-10-30T11:52:42"/>
        <d v="2023-10-30T15:27:29"/>
        <d v="2023-10-30T16:18:57"/>
        <d v="2023-10-30T16:37:52"/>
        <d v="2023-10-30T18:39:34"/>
        <d v="2023-10-31T10:18:02"/>
        <d v="2023-10-31T12:50:56"/>
        <d v="2023-11-01T10:15:39"/>
        <d v="2023-11-01T14:41:39"/>
        <d v="2023-11-02T11:28:34"/>
        <d v="2023-11-02T11:51:00"/>
        <d v="2023-11-02T14:02:26"/>
        <d v="2023-11-03T09:01:18"/>
        <d v="2023-11-03T10:43:42"/>
        <d v="2023-11-03T17:59:36"/>
        <d v="2023-11-03T18:57:41"/>
        <d v="2023-11-04T09:49:23"/>
        <d v="2023-11-04T13:31:14"/>
        <d v="2023-11-05T14:12:41"/>
        <d v="2023-11-06T09:01:04"/>
        <d v="2023-11-06T10:56:31"/>
        <d v="2023-11-06T13:21:53"/>
        <d v="2023-11-06T19:21:55"/>
        <d v="2023-11-07T09:38:53"/>
        <d v="2023-11-07T09:40:36"/>
        <d v="2023-11-08T12:30:09"/>
        <d v="2023-11-09T09:07:30"/>
        <d v="2023-11-09T09:58:09"/>
        <d v="2023-11-11T13:14:20"/>
        <d v="2023-11-12T10:25:50"/>
        <d v="2023-11-13T13:13:35"/>
        <d v="2023-11-13T19:56:11"/>
        <d v="2023-11-13T20:13:22"/>
        <d v="2023-11-14T10:06:19"/>
        <d v="2023-11-14T10:36:03"/>
        <d v="2023-11-14T13:26:50"/>
        <d v="2023-11-14T14:39:18"/>
        <d v="2023-11-14T17:02:07"/>
        <d v="2023-11-15T09:28:18"/>
        <d v="2023-11-15T13:35:15"/>
        <d v="2023-11-15T18:14:32"/>
        <d v="2023-11-16T10:45:16"/>
        <d v="2023-11-16T18:33:23"/>
        <d v="2023-11-17T12:20:26"/>
        <d v="2023-11-18T09:07:17"/>
        <d v="2023-11-18T17:13:27"/>
        <d v="2023-11-18T18:30:03"/>
        <d v="2023-11-19T08:34:47"/>
        <d v="2023-11-19T10:18:31"/>
        <d v="2023-11-19T13:26:04"/>
        <d v="2023-11-19T15:29:16"/>
        <d v="2023-11-20T10:21:12"/>
        <d v="2023-11-20T15:14:53"/>
        <d v="2023-11-20T15:46:40"/>
        <d v="2023-11-20T16:18:19"/>
        <d v="2023-11-21T08:53:26"/>
        <d v="2023-11-21T09:02:15"/>
        <d v="2023-11-21T09:23:57"/>
        <d v="2023-11-21T11:12:34"/>
        <d v="2023-11-21T12:00:57"/>
        <d v="2023-11-21T12:31:23"/>
        <d v="2023-11-21T15:23:39"/>
        <d v="2023-11-21T15:24:43"/>
        <d v="2023-11-21T17:07:25"/>
        <d v="2023-11-22T08:34:58"/>
        <d v="2023-11-22T10:44:42"/>
        <d v="2023-11-22T11:40:07"/>
        <d v="2023-11-22T12:10:23"/>
        <d v="2023-11-22T13:26:00"/>
        <d v="2023-11-23T08:56:30"/>
        <d v="2023-11-23T09:34:31"/>
        <d v="2023-11-23T11:20:15"/>
        <d v="2023-11-23T18:08:14"/>
        <d v="2023-11-23T18:28:57"/>
        <d v="2023-11-23T18:36:46"/>
        <d v="2023-11-24T08:27:06"/>
        <d v="2023-11-24T11:28:24"/>
        <d v="2023-11-24T19:12:33"/>
        <d v="2023-11-25T12:39:45"/>
        <d v="2023-11-25T14:08:32"/>
        <d v="2023-11-25T14:49:40"/>
        <d v="2023-11-25T15:38:39"/>
        <d v="2023-11-26T11:07:27"/>
        <d v="2023-11-26T11:44:50"/>
        <d v="2023-11-26T12:36:41"/>
        <d v="2023-11-26T13:56:05"/>
        <d v="2023-11-28T07:46:04"/>
        <d v="2023-11-28T08:58:24"/>
        <d v="2023-11-28T10:21:53"/>
        <d v="2023-11-28T10:29:40"/>
        <d v="2023-11-28T16:48:41"/>
        <d v="2023-11-28T17:15:01"/>
        <d v="2023-11-28T17:32:54"/>
        <d v="2023-11-28T18:45:00"/>
        <d v="2023-11-29T08:47:10"/>
        <d v="2023-11-29T13:07:48"/>
        <d v="2023-11-29T17:27:02"/>
        <d v="2023-11-29T17:58:18"/>
        <d v="2023-11-30T13:24:45"/>
        <d v="2023-11-30T15:22:32"/>
        <d v="2023-12-01T09:15:48"/>
        <d v="2023-12-01T17:27:29"/>
        <d v="2023-12-02T08:07:58"/>
        <d v="2023-12-02T12:55:51"/>
        <d v="2023-12-03T08:58:30"/>
        <d v="2023-12-03T17:13:40"/>
        <d v="2023-12-04T08:43:43"/>
        <d v="2023-12-04T09:23:49"/>
        <d v="2023-12-04T10:35:31"/>
        <d v="2023-12-04T10:39:29"/>
        <d v="2023-12-04T11:34:30"/>
        <d v="2023-12-04T12:51:57"/>
        <d v="2023-12-04T15:29:11"/>
        <d v="2023-12-05T08:26:40"/>
        <d v="2023-12-05T08:39:48"/>
        <d v="2023-12-05T08:57:47"/>
        <d v="2023-12-05T13:34:21"/>
        <d v="2023-12-05T16:36:12"/>
        <d v="2023-12-06T08:49:03"/>
        <d v="2023-12-06T11:06:50"/>
        <d v="2023-12-06T11:55:44"/>
        <d v="2023-12-06T14:49:19"/>
        <d v="2023-12-06T15:41:12"/>
        <d v="2023-12-06T19:18:02"/>
        <d v="2023-12-07T11:05:27"/>
        <d v="2023-12-07T11:48:50"/>
        <d v="2023-12-07T15:22:14"/>
        <d v="2023-12-07T17:19:37"/>
        <d v="2023-12-07T17:38:51"/>
        <d v="2023-12-07T18:25:21"/>
        <d v="2023-12-08T09:49:04"/>
        <d v="2023-12-08T13:22:47"/>
        <d v="2023-12-08T13:44:51"/>
        <d v="2023-12-08T14:02:17"/>
        <d v="2023-12-08T16:30:38"/>
        <d v="2023-12-09T11:11:05"/>
        <d v="2023-12-09T17:49:38"/>
        <d v="2023-12-10T10:46:17"/>
        <d v="2023-12-10T15:00:09"/>
        <d v="2023-12-10T16:16:01"/>
        <d v="2023-12-11T11:18:51"/>
        <d v="2023-12-11T11:20:35"/>
        <d v="2023-12-11T12:09:23"/>
        <d v="2023-12-11T13:33:27"/>
        <d v="2023-12-11T14:21:06"/>
        <d v="2023-12-11T15:10:19"/>
        <d v="2023-12-11T15:42:59"/>
        <d v="2023-12-11T15:44:11"/>
        <d v="2023-12-11T21:42:36"/>
        <d v="2023-12-12T12:37:14"/>
        <d v="2023-12-12T13:43:45"/>
        <d v="2023-12-12T17:56:16"/>
        <d v="2023-12-13T08:43:47"/>
        <d v="2023-12-13T10:27:30"/>
        <d v="2023-12-13T11:20:26"/>
        <d v="2023-12-13T11:30:08"/>
        <d v="2023-12-13T15:09:47"/>
        <d v="2023-12-13T15:30:48"/>
        <d v="2023-12-14T09:17:38"/>
        <d v="2023-12-14T11:40:26"/>
        <d v="2023-12-14T13:22:09"/>
        <d v="2023-12-14T14:06:37"/>
        <d v="2023-12-14T16:10:23"/>
        <d v="2023-12-14T16:19:10"/>
        <d v="2023-12-14T17:48:03"/>
        <d v="2023-12-15T09:23:33"/>
        <d v="2023-12-15T10:18:18"/>
        <d v="2023-12-15T16:33:42"/>
        <d v="2023-12-16T10:31:11"/>
        <d v="2023-12-16T11:13:35"/>
        <d v="2023-12-16T11:23:09"/>
        <d v="2023-12-16T11:35:51"/>
        <d v="2023-12-16T12:38:58"/>
        <d v="2023-12-17T08:42:53"/>
        <d v="2023-12-15T19:30:00"/>
        <d v="2023-12-17T11:46:55"/>
        <d v="2023-12-17T12:31:28"/>
        <d v="2023-12-17T15:52:53"/>
        <d v="2023-12-18T09:18:18"/>
        <d v="2023-12-18T11:59:11"/>
        <d v="2023-12-18T12:43:15"/>
        <d v="2023-12-18T14:53:43"/>
        <d v="2023-12-18T14:55:24"/>
        <d v="2023-12-18T15:43:16"/>
        <d v="2023-12-18T17:19:14"/>
        <d v="2023-12-18T17:58:32"/>
        <d v="2023-12-18T18:36:46"/>
        <d v="2023-12-19T11:31:39"/>
        <d v="2023-12-19T11:39:30"/>
        <d v="2023-12-19T13:37:08"/>
        <d v="2023-12-19T15:04:12"/>
        <d v="2023-12-19T15:34:28"/>
        <d v="2023-12-19T17:24:27"/>
        <d v="2023-12-19T18:34:56"/>
        <d v="2023-12-19T19:18:12"/>
        <d v="2023-12-20T09:05:56"/>
        <d v="2023-12-20T09:25:49"/>
        <d v="2023-12-20T10:38:23"/>
        <d v="2023-12-20T12:34:48"/>
        <d v="2023-12-20T14:15:46"/>
        <d v="2023-12-20T14:43:29"/>
        <d v="2023-12-20T20:13:39"/>
        <d v="2023-12-21T09:27:04"/>
        <d v="2023-12-21T10:05:19"/>
        <d v="2023-12-21T11:52:18"/>
        <d v="2023-12-21T14:33:41"/>
        <d v="2023-12-21T16:37:43"/>
        <d v="2023-12-21T17:45:53"/>
        <d v="2023-12-22T10:29:29"/>
        <d v="2023-12-22T10:55:45"/>
        <d v="2023-12-22T10:57:37"/>
        <d v="2023-12-22T15:03:12"/>
        <d v="2023-12-22T15:42:00"/>
        <d v="2023-12-22T16:32:00"/>
        <d v="2023-12-23T10:33:04"/>
        <d v="2023-12-23T14:38:01"/>
        <d v="2023-12-25T16:00:41"/>
        <d v="2023-12-25T18:28:38"/>
        <d v="2023-12-26T09:23:07"/>
        <d v="2023-12-26T09:29:03"/>
        <d v="2023-12-26T17:04:44"/>
        <d v="2023-12-27T09:55:17"/>
        <d v="2023-12-27T10:22:52"/>
        <d v="2023-12-27T16:13:43"/>
        <d v="2023-12-27T16:56:43"/>
        <d v="2023-12-28T12:48:22"/>
        <d v="2023-12-28T13:12:18"/>
        <d v="2023-12-28T16:47:07"/>
        <d v="2023-12-28T17:54:15"/>
        <d v="2023-12-28T18:12:32"/>
        <d v="2023-12-29T10:58:40"/>
        <d v="2023-12-29T11:49:10"/>
        <d v="2023-12-29T19:20:56"/>
        <d v="2023-12-30T08:10:44"/>
        <d v="2023-12-30T08:49:22"/>
        <d v="2023-12-30T17:30:36"/>
        <d v="2023-12-30T19:40:47"/>
        <d v="2024-01-01T10:44:29"/>
        <d v="2024-01-01T11:46:23"/>
        <d v="2024-01-02T08:49:56"/>
        <d v="2024-01-02T10:30:30"/>
        <d v="2024-01-02T13:55:41"/>
        <d v="2024-01-02T14:41:23"/>
        <d v="2024-01-02T14:56:21"/>
        <d v="2024-01-02T16:14:16"/>
        <d v="2024-01-02T19:08:40"/>
        <d v="2024-01-03T08:33:46"/>
        <d v="2024-01-03T10:15:53"/>
        <d v="2024-01-03T11:01:01"/>
        <d v="2024-01-03T11:23:10"/>
        <d v="2024-01-03T12:09:39"/>
        <d v="2024-01-03T14:04:42"/>
        <d v="2024-01-03T14:07:51"/>
        <d v="2024-01-03T15:08:58"/>
        <d v="2024-01-03T15:39:51"/>
        <d v="2024-01-03T17:06:43"/>
        <d v="2024-01-03T17:47:39"/>
        <d v="2024-01-03T18:40:49"/>
        <d v="2024-01-04T08:30:34"/>
        <d v="2024-01-04T10:40:46"/>
        <d v="2024-01-04T10:56:02"/>
        <d v="2024-01-04T11:32:09"/>
        <d v="2024-01-04T11:44:56"/>
        <d v="2024-01-04T14:11:17"/>
        <d v="2024-01-04T14:32:46"/>
        <d v="2024-01-04T14:36:19"/>
        <d v="2024-01-04T16:24:43"/>
        <d v="2024-01-04T16:43:22"/>
        <d v="2024-01-04T17:08:16"/>
        <d v="2024-01-05T08:44:30"/>
        <d v="2024-01-05T09:11:17"/>
        <d v="2024-01-05T09:51:47"/>
        <d v="2024-01-05T11:32:01"/>
        <d v="2024-01-05T13:42:26"/>
        <d v="2024-01-05T16:57:53"/>
        <d v="2024-01-06T12:35:08"/>
        <d v="2024-01-06T15:51:37"/>
        <d v="2024-01-06T16:45:45"/>
        <d v="2024-01-06T17:29:41"/>
        <d v="2024-01-06T18:21:51"/>
        <d v="2024-01-08T09:24:16"/>
        <d v="2024-01-08T10:58:52"/>
        <d v="2024-01-09T11:01:22"/>
        <d v="2024-01-09T12:15:28"/>
        <d v="2024-01-09T12:21:44"/>
        <d v="2024-01-09T12:53:11"/>
        <d v="2024-01-09T14:46:29"/>
        <d v="2024-01-09T16:44:43"/>
        <d v="2024-01-10T09:52:08"/>
        <d v="2024-01-10T10:46:41"/>
        <d v="2024-01-10T11:09:30"/>
        <d v="2024-01-10T12:14:29"/>
        <d v="2024-01-10T14:16:34"/>
        <d v="2024-01-10T15:54:06"/>
        <d v="2024-01-10T17:05:31"/>
        <d v="2024-01-10T18:18:30"/>
        <d v="2024-01-10T19:00:00"/>
        <d v="2024-01-11T09:59:35"/>
        <d v="2024-01-11T10:48:40"/>
        <d v="2024-01-11T11:56:49"/>
        <d v="2024-01-11T12:50:46"/>
        <d v="2024-01-11T13:11:18"/>
        <d v="2024-01-11T13:28:33"/>
        <d v="2024-01-11T14:57:37"/>
        <d v="2024-01-12T11:35:45"/>
        <d v="2024-01-12T13:28:40"/>
        <d v="2024-01-12T13:49:39"/>
        <d v="2024-01-12T15:26:53"/>
        <d v="2024-01-13T09:17:04"/>
        <d v="2024-01-13T09:31:15"/>
        <d v="2024-01-14T13:21:07"/>
        <d v="2024-01-14T14:30:03"/>
        <d v="2024-01-14T18:38:37"/>
        <d v="2024-01-15T09:50:23"/>
        <d v="2024-01-15T10:00:09"/>
        <d v="2024-01-15T16:14:12"/>
        <d v="2024-01-15T16:40:40"/>
        <d v="2024-01-15T20:06:10"/>
        <d v="2024-01-16T09:47:32"/>
        <d v="2024-01-16T15:39:01"/>
        <d v="2024-01-17T08:26:49"/>
        <d v="2024-01-17T09:24:41"/>
        <d v="2024-01-17T09:36:33"/>
        <d v="2024-01-17T12:17:24"/>
        <d v="2024-01-17T14:35:57"/>
        <d v="2024-01-17T16:39:54"/>
        <d v="2024-01-18T10:43:35"/>
        <d v="2024-01-18T12:21:09"/>
        <d v="2024-01-18T12:36:59"/>
        <d v="2024-01-18T14:15:48"/>
        <d v="2024-01-19T12:22:52"/>
        <d v="2024-01-19T12:42:47"/>
        <d v="2024-01-19T12:58:24"/>
        <d v="2024-01-19T16:42:00"/>
        <d v="2024-01-19T17:39:45"/>
        <d v="2024-01-20T09:44:26"/>
        <d v="2024-01-20T10:57:51"/>
        <d v="2024-01-20T16:04:51"/>
        <d v="2024-01-20T16:15:16"/>
        <d v="2024-01-21T13:20:32"/>
        <d v="2024-01-21T15:13:39"/>
        <d v="2024-01-22T11:25:56"/>
        <d v="2024-01-22T14:23:35"/>
        <d v="2024-01-23T11:05:28"/>
        <d v="2024-01-23T11:56:30"/>
        <d v="2024-01-23T14:56:40"/>
        <d v="2024-01-23T16:28:06"/>
        <d v="2024-01-23T17:49:31"/>
        <d v="2024-01-23T18:36:25"/>
        <d v="2024-01-24T08:12:20"/>
        <d v="2024-01-24T10:23:05"/>
        <d v="2024-01-24T10:36:43"/>
        <d v="2024-01-25T10:11:54"/>
        <d v="2024-01-26T08:42:03"/>
        <d v="2024-01-26T10:26:08"/>
        <d v="2024-01-26T14:27:49"/>
        <d v="2024-01-26T15:46:20"/>
        <d v="2024-01-26T17:58:34"/>
        <d v="2024-01-26T18:53:57"/>
        <d v="2024-01-27T14:09:10"/>
        <d v="2024-01-27T16:16:24"/>
        <d v="2024-01-29T09:44:12"/>
        <d v="2024-01-29T14:44:53"/>
        <d v="2024-01-29T15:34:07"/>
        <d v="2024-01-30T09:42:25"/>
        <d v="2024-01-30T09:50:41"/>
        <d v="2024-01-30T11:19:18"/>
        <d v="2024-01-30T16:14:11"/>
        <d v="2024-01-30T18:18:19"/>
        <d v="2024-01-31T08:56:31"/>
        <d v="2024-01-31T11:22:23"/>
        <d v="2024-01-31T11:57:42"/>
        <d v="2024-01-31T12:56:51"/>
        <d v="2024-01-31T15:26:32"/>
        <d v="2024-01-31T16:42:24"/>
        <d v="2024-01-31T17:25:37"/>
        <d v="2024-02-01T07:51:24"/>
        <d v="2024-02-01T11:36:24"/>
        <d v="2024-02-01T13:43:54"/>
        <d v="2024-02-01T14:28:52"/>
        <d v="2024-02-01T15:03:22"/>
        <d v="2024-02-02T09:15:58"/>
        <d v="2024-02-02T14:18:25"/>
        <d v="2024-02-02T14:28:17"/>
        <d v="2024-02-03T08:32:35"/>
        <d v="2024-02-03T10:01:59"/>
        <d v="2024-02-03T12:28:26"/>
        <d v="2024-02-03T14:19:52"/>
        <d v="2024-02-04T16:22:22"/>
        <d v="2024-02-05T09:08:10"/>
        <d v="2024-02-05T12:32:56"/>
        <d v="2024-02-05T12:38:14"/>
        <d v="2024-02-05T15:57:41"/>
        <d v="2024-02-05T16:54:16"/>
        <d v="2024-02-05T16:56:58"/>
        <d v="2024-02-05T17:20:55"/>
        <d v="2024-02-06T18:48:28"/>
        <d v="2024-02-06T19:22:24"/>
        <d v="2024-02-07T08:59:11"/>
        <d v="2024-02-07T09:53:10"/>
        <d v="2024-02-07T11:05:03"/>
        <d v="2024-02-07T11:08:52"/>
        <d v="2024-02-07T18:06:10"/>
        <d v="2024-02-08T11:20:03"/>
        <d v="2024-02-08T16:39:11"/>
        <d v="2024-02-08T18:13:02"/>
        <d v="2024-02-09T10:51:55"/>
        <d v="2024-02-09T16:01:46"/>
        <d v="2024-02-09T16:37:18"/>
        <d v="2024-02-10T09:25:53"/>
        <d v="2024-02-10T11:31:12"/>
        <d v="2024-02-10T12:22:23"/>
        <d v="2024-02-10T19:31:37"/>
        <d v="2024-02-10T20:00:11"/>
        <d v="2024-02-11T11:33:45"/>
        <d v="2024-02-11T12:05:14"/>
        <d v="2024-02-11T13:31:08"/>
        <d v="2024-02-11T14:24:50"/>
        <d v="2024-02-11T15:15:51"/>
        <d v="2024-02-11T17:33:21"/>
        <d v="2024-02-11T18:02:43"/>
        <d v="2024-02-12T11:39:54"/>
        <d v="2024-02-12T13:39:44"/>
        <d v="2024-02-13T09:33:33"/>
        <d v="2024-02-13T11:30:19"/>
        <d v="2024-02-13T14:03:26"/>
        <d v="2024-02-13T16:30:16"/>
        <d v="2024-02-14T16:24:26"/>
        <d v="2024-02-15T09:00:58"/>
        <d v="2024-02-15T09:20:28"/>
        <d v="2024-02-15T19:33:33"/>
        <d v="2024-02-16T09:20:36"/>
        <d v="2024-02-16T09:32:52"/>
        <d v="2024-02-16T13:28:15"/>
        <d v="2024-02-16T13:32:09"/>
        <d v="2024-02-17T16:12:53"/>
        <d v="2024-02-17T17:32:20"/>
        <d v="2024-02-18T12:55:30"/>
        <d v="2024-02-18T17:55:29"/>
        <d v="2024-02-19T11:26:56"/>
        <d v="2024-02-19T11:44:55"/>
        <d v="2024-02-19T14:19:46"/>
        <d v="2024-02-19T14:50:56"/>
        <d v="2024-02-19T18:57:19"/>
        <d v="2024-02-20T11:15:00"/>
        <d v="2024-02-20T11:37:08"/>
        <d v="2024-02-20T13:30:06"/>
        <d v="2024-02-20T16:55:16"/>
        <d v="2024-02-21T10:06:36"/>
        <d v="2024-02-21T11:34:43"/>
        <d v="2024-02-21T14:18:31"/>
        <d v="2024-02-21T16:18:16"/>
        <d v="2024-02-22T09:00:02"/>
        <d v="2024-02-22T09:54:17"/>
        <d v="2024-02-22T10:20:38"/>
        <d v="2024-02-22T17:41:27"/>
        <d v="2024-02-23T09:22:32"/>
        <d v="2024-02-23T10:29:01"/>
        <d v="2024-02-23T10:34:08"/>
        <d v="2024-02-23T15:06:41"/>
        <d v="2024-02-24T16:10:16"/>
        <d v="2024-02-24T17:49:55"/>
        <d v="2024-02-25T08:41:31"/>
        <d v="2024-02-25T09:10:19"/>
        <d v="2024-02-25T11:44:36"/>
        <d v="2024-02-25T12:39:55"/>
        <d v="2024-02-26T11:27:58"/>
        <d v="2024-02-26T12:32:47"/>
        <d v="2024-02-26T16:14:08"/>
        <d v="2024-02-26T16:32:20"/>
        <d v="2024-02-26T17:06:34"/>
        <d v="2024-02-27T08:32:38"/>
        <d v="2024-02-27T10:04:19"/>
        <d v="2024-02-27T10:28:13"/>
        <d v="2024-02-27T14:00:35"/>
        <d v="2024-02-28T12:12:43"/>
        <d v="2024-02-28T13:32:42"/>
        <d v="2024-02-29T11:47:27"/>
        <d v="2024-02-29T11:51:55"/>
        <d v="2024-02-29T12:14:00"/>
        <d v="2024-02-29T13:11:34"/>
        <d v="2024-02-29T16:48:01"/>
        <d v="2024-03-01T08:43:12"/>
        <d v="2024-03-01T08:43:17"/>
        <d v="2024-03-01T08:58:44"/>
        <d v="2024-03-01T10:30:43"/>
        <d v="2024-03-01T16:21:12"/>
        <d v="2024-03-01T16:45:05"/>
        <d v="2024-03-01T18:13:28"/>
        <d v="2024-03-02T08:55:36"/>
        <d v="2024-03-02T09:34:07"/>
        <d v="2024-03-02T11:56:46"/>
        <d v="2024-03-02T14:27:36"/>
        <d v="2024-03-02T15:10:34"/>
        <d v="2024-03-02T18:15:26"/>
        <d v="2024-03-03T09:26:21"/>
        <d v="2024-03-03T15:34:10"/>
        <d v="2024-03-04T08:42:01"/>
        <d v="2024-03-04T09:07:16"/>
        <d v="2024-03-04T09:51:36"/>
        <d v="2024-03-04T10:49:08"/>
        <d v="2024-03-04T11:42:18"/>
        <d v="2024-03-04T14:43:24"/>
        <d v="2024-03-05T08:21:19"/>
        <d v="2024-03-05T09:33:10"/>
        <d v="2024-03-05T10:06:44"/>
        <d v="2024-03-05T10:41:02"/>
        <d v="2024-03-05T12:19:30"/>
        <d v="2024-03-05T14:23:07"/>
        <d v="2024-03-06T08:29:44"/>
        <d v="2024-03-06T11:21:35"/>
        <d v="2024-03-06T12:23:32"/>
        <d v="2024-03-06T14:38:27"/>
        <d v="2024-03-07T09:15:58"/>
        <d v="2024-03-07T09:46:42"/>
        <d v="2024-03-07T13:50:08"/>
        <d v="2024-03-07T17:36:14"/>
        <d v="2024-03-07T17:47:03"/>
        <d v="2024-03-08T10:59:28"/>
        <d v="2024-03-08T12:24:52"/>
        <d v="2024-03-08T15:37:08"/>
        <d v="2024-03-08T18:15:58"/>
        <d v="2024-03-09T10:46:51"/>
        <d v="2024-03-09T11:24:18"/>
        <d v="2024-03-09T11:32:29"/>
        <d v="2024-03-09T16:09:03"/>
        <d v="2024-03-10T17:53:46"/>
        <d v="2024-03-11T13:46:56"/>
        <d v="2024-03-11T14:24:55"/>
        <d v="2024-03-11T15:39:26"/>
        <d v="2024-03-12T08:33:08"/>
        <d v="2024-03-12T14:14:17"/>
        <d v="2024-03-13T10:38:17"/>
        <d v="2024-03-13T13:50:22"/>
        <d v="2024-03-13T15:03:35"/>
        <d v="2024-03-13T15:31:17"/>
        <d v="2024-03-13T16:46:33"/>
        <d v="2024-03-14T08:37:24"/>
        <d v="2024-03-14T09:52:11"/>
        <d v="2024-03-14T10:42:23"/>
        <d v="2024-03-14T10:56:39"/>
        <d v="2024-03-14T16:15:10"/>
        <d v="2024-03-14T19:12:11"/>
        <d v="2024-03-15T08:48:33"/>
        <d v="2024-03-15T14:08:40"/>
        <d v="2024-03-15T14:28:44"/>
        <d v="2024-03-15T15:26:36"/>
        <d v="2024-03-15T15:56:49"/>
        <d v="2024-03-16T14:49:43"/>
        <d v="2024-03-16T16:47:24"/>
        <d v="2024-03-16T16:56:37"/>
        <d v="2024-03-16T19:21:44"/>
        <d v="2024-03-18T08:49:59"/>
        <d v="2024-03-18T18:32:20"/>
        <d v="2024-03-19T08:41:50"/>
        <d v="2024-03-19T09:07:54"/>
        <d v="2024-03-20T09:33:19"/>
        <d v="2024-03-20T10:31:35"/>
        <d v="2024-03-20T16:08:28"/>
        <d v="2024-03-20T18:05:36"/>
        <d v="2024-03-21T08:22:50"/>
        <d v="2024-03-21T09:50:58"/>
        <d v="2024-03-21T11:52:04"/>
        <d v="2024-03-21T16:01:26"/>
        <d v="2024-03-21T16:03:56"/>
        <d v="2024-03-21T17:13:54"/>
        <d v="2024-03-21T20:32:33"/>
        <d v="2024-03-22T10:44:45"/>
        <d v="2024-03-22T16:17:08"/>
        <d v="2024-03-22T18:00:26"/>
        <d v="2024-03-22T18:45:07"/>
        <d v="2024-03-23T13:27:00"/>
        <d v="2024-03-23T13:36:51"/>
        <d v="2024-03-23T16:53:02"/>
        <d v="2024-03-24T12:03:17"/>
        <d v="2024-03-24T17:34:36"/>
        <d v="2024-03-25T08:41:54"/>
        <d v="2024-03-25T12:05:10"/>
        <d v="2024-03-25T15:20:34"/>
        <d v="2024-03-25T15:46:27"/>
        <d v="2024-03-26T11:14:04"/>
        <d v="2024-03-26T11:17:48"/>
        <d v="2024-03-26T11:22:32"/>
        <d v="2024-03-26T16:38:36"/>
        <d v="2024-03-26T16:52:57"/>
        <d v="2024-03-26T18:20:19"/>
        <d v="2024-03-27T11:02:41"/>
        <d v="2024-03-27T11:57:17"/>
        <d v="2024-03-27T12:14:07"/>
        <d v="2024-03-27T13:22:47"/>
        <d v="2024-03-27T14:25:25"/>
        <d v="2024-03-27T15:24:02"/>
        <d v="2024-03-27T15:54:34"/>
        <d v="2024-03-27T16:10:29"/>
        <d v="2024-03-27T16:41:49"/>
        <d v="2024-03-27T16:42:27"/>
        <d v="2024-03-27T17:07:04"/>
        <d v="2024-03-27T17:45:34"/>
        <d v="2024-03-27T18:33:24"/>
        <d v="2024-03-27T19:27:21"/>
        <d v="2024-03-27T19:28:38"/>
        <d v="2024-03-28T09:03:20"/>
        <d v="2024-03-28T11:52:26"/>
        <d v="2024-03-28T16:40:27"/>
        <d v="2024-03-28T16:54:04"/>
        <d v="2024-03-29T08:59:51"/>
        <d v="2024-03-29T09:05:35"/>
        <d v="2024-03-29T09:27:53"/>
        <d v="2024-03-29T09:55:42"/>
        <d v="2024-03-29T16:19:42"/>
        <d v="2024-03-29T18:50:01"/>
        <d v="2024-03-30T08:09:16"/>
        <d v="2024-03-30T10:33:11"/>
        <d v="2024-03-30T17:55:01"/>
        <d v="2024-03-31T11:36:20"/>
        <d v="2024-03-31T12:22:31"/>
        <d v="2024-04-01T10:29:22"/>
        <d v="2024-04-01T12:33:11"/>
        <d v="2024-04-01T13:07:43"/>
        <d v="2024-04-01T14:30:26"/>
        <d v="2024-04-01T14:32:53"/>
        <d v="2024-04-01T15:17:50"/>
        <d v="2024-04-01T15:40:26"/>
        <d v="2024-04-01T17:13:38"/>
        <d v="2024-04-01T17:54:09"/>
        <d v="2024-04-02T09:26:28"/>
        <d v="2024-04-02T11:10:50"/>
        <d v="2024-04-02T17:04:12"/>
        <d v="2024-04-03T07:43:30"/>
        <d v="2024-04-03T08:19:43"/>
        <d v="2024-04-03T08:52:49"/>
        <d v="2024-04-04T10:11:53"/>
        <d v="2024-04-04T10:37:43"/>
        <d v="2024-04-04T12:34:58"/>
        <d v="2024-04-04T13:09:00"/>
        <d v="2024-04-04T17:31:31"/>
        <d v="2024-04-04T19:41:00"/>
        <d v="2024-04-05T08:29:31"/>
        <d v="2024-04-05T08:59:08"/>
        <d v="2024-04-06T16:07:54"/>
        <d v="2024-04-07T08:53:17"/>
        <d v="2024-04-07T10:17:48"/>
        <d v="2024-04-07T10:54:22"/>
        <d v="2024-04-07T12:26:38"/>
        <d v="2024-04-08T09:55:18"/>
        <d v="2024-04-08T10:52:18"/>
        <d v="2024-04-08T15:35:38"/>
        <d v="2024-04-08T16:16:20"/>
        <d v="2024-04-08T20:47:27"/>
        <d v="2024-04-09T08:04:57"/>
        <d v="2024-04-09T09:47:34"/>
        <d v="2024-04-09T19:40:10"/>
        <d v="2024-04-09T20:01:04"/>
        <d v="2024-04-10T10:53:10"/>
        <d v="2024-04-10T15:16:41"/>
        <d v="2024-04-10T15:41:12"/>
        <d v="2024-04-11T10:20:36"/>
        <d v="2024-04-11T12:48:10"/>
        <d v="2024-04-12T08:00:53"/>
        <d v="2024-04-12T08:37:17"/>
        <d v="2024-04-12T15:58:20"/>
        <d v="2024-04-12T18:06:48"/>
        <d v="2024-04-13T11:20:40"/>
        <d v="2024-04-13T12:04:21"/>
        <d v="2024-04-13T15:54:03"/>
        <d v="2024-04-15T08:16:16"/>
        <d v="2024-04-15T10:29:41"/>
        <d v="2024-04-15T10:35:03"/>
        <d v="2024-04-15T11:45:17"/>
        <d v="2024-04-15T15:44:16"/>
        <d v="2024-04-16T14:10:26"/>
        <d v="2024-04-17T09:10:53"/>
        <d v="2024-04-17T09:19:56"/>
        <d v="2024-04-17T13:25:45"/>
        <d v="2024-04-17T14:17:55"/>
        <d v="2024-04-17T14:26:39"/>
        <d v="2024-04-18T08:20:19"/>
        <d v="2024-04-18T11:57:09"/>
        <d v="2024-04-18T18:34:01"/>
        <d v="2024-04-18T19:25:18"/>
        <d v="2024-04-19T10:21:42"/>
        <d v="2024-04-19T11:21:37"/>
        <d v="2024-04-19T11:25:43"/>
        <d v="2024-04-19T19:09:18"/>
        <d v="2024-04-20T09:12:25"/>
        <d v="2024-04-20T09:52:02"/>
        <d v="2024-04-20T17:27:08"/>
        <d v="2024-04-20T17:37:49"/>
        <d v="2024-04-21T11:12:33"/>
        <d v="2024-04-21T12:20:06"/>
        <d v="2024-04-22T08:29:35"/>
        <d v="2024-04-22T09:08:26"/>
        <d v="2024-04-22T09:51:06"/>
        <d v="2024-04-22T10:16:51"/>
        <d v="2024-04-22T11:13:18"/>
        <d v="2024-04-22T11:41:29"/>
        <d v="2024-04-22T16:40:46"/>
        <d v="2024-04-22T17:03:01"/>
        <d v="2024-04-22T18:00:07"/>
        <d v="2024-04-23T08:58:36"/>
        <d v="2024-04-23T09:57:47"/>
        <d v="2024-04-23T11:19:44"/>
        <d v="2024-04-23T12:26:36"/>
        <d v="2024-04-24T09:45:33"/>
        <d v="2024-04-24T10:51:08"/>
        <d v="2024-04-24T12:47:32"/>
        <d v="2024-04-24T14:21:11"/>
        <d v="2024-04-25T09:00:32"/>
        <d v="2024-04-25T09:54:39"/>
        <d v="2024-04-25T15:54:48"/>
        <d v="2024-04-25T16:21:43"/>
        <d v="2024-04-25T19:04:06"/>
        <d v="2024-04-26T09:48:46"/>
        <d v="2024-04-26T10:00:07"/>
        <d v="2024-04-26T13:52:35"/>
        <d v="2024-04-26T17:00:10"/>
        <d v="2024-04-27T09:22:56"/>
        <d v="2024-04-27T09:42:47"/>
        <d v="2024-04-27T19:14:03"/>
        <d v="2024-04-28T16:01:56"/>
        <d v="2024-04-28T16:22:09"/>
        <d v="2024-04-28T17:39:10"/>
        <d v="2024-04-29T08:48:57"/>
        <d v="2024-04-29T11:01:23"/>
        <d v="2024-04-30T17:47:47"/>
        <d v="2024-05-01T09:13:04"/>
        <d v="2024-05-02T09:46:48"/>
        <d v="2024-05-02T10:26:46"/>
        <d v="2024-05-02T11:51:19"/>
        <d v="2024-05-02T16:26:58"/>
        <d v="2024-05-02T17:14:39"/>
        <d v="2024-05-02T17:25:23"/>
        <d v="2024-05-02T18:13:56"/>
        <d v="2024-05-03T10:35:05"/>
        <d v="2024-05-03T11:51:00"/>
        <d v="2024-05-03T13:11:36"/>
        <d v="2024-05-03T14:33:27"/>
        <d v="2024-05-03T16:26:57"/>
        <d v="2024-05-03T16:39:43"/>
        <d v="2024-05-04T09:42:56"/>
        <d v="2024-05-04T10:33:54"/>
        <d v="2024-05-05T10:20:16"/>
        <d v="2024-05-05T11:51:29"/>
        <d v="2024-05-06T16:13:49"/>
        <d v="2024-05-06T16:31:00"/>
        <d v="2024-05-07T09:59:30"/>
        <d v="2024-05-07T11:15:01"/>
        <d v="2024-05-07T16:17:45"/>
        <d v="2024-05-07T17:00:40"/>
        <d v="2024-05-08T09:33:40"/>
        <d v="2024-05-08T10:44:18"/>
        <d v="2024-05-08T14:29:44"/>
        <d v="2024-05-08T17:04:37"/>
        <d v="2024-05-08T18:34:09"/>
        <d v="2024-05-08T18:55:19"/>
        <d v="2024-05-08T19:18:52"/>
        <d v="2024-05-08T22:32:45"/>
        <d v="2024-05-09T08:19:32"/>
        <d v="2024-05-09T08:46:43"/>
        <d v="2024-05-09T10:37:28"/>
        <d v="2024-05-09T11:11:33"/>
        <d v="2024-05-09T11:20:39"/>
        <d v="2024-05-09T14:41:58"/>
        <d v="2024-05-09T16:52:18"/>
        <d v="2024-05-09T17:01:00"/>
        <d v="2024-05-10T09:22:53"/>
        <d v="2024-05-10T12:26:41"/>
        <d v="2024-05-10T13:45:24"/>
        <d v="2024-05-10T18:41:45"/>
        <d v="2024-05-11T12:41:46"/>
        <d v="2024-05-11T12:51:20"/>
        <d v="2024-05-11T14:37:03"/>
        <d v="2024-05-12T09:33:52"/>
        <d v="2024-05-10T19:00:00"/>
        <d v="2024-05-13T09:25:39"/>
        <d v="2024-05-13T09:46:34"/>
        <d v="2024-05-13T11:44:02"/>
        <d v="2024-05-13T12:35:15"/>
        <d v="2024-05-13T15:55:30"/>
        <d v="2024-05-13T16:05:24"/>
        <d v="2024-05-13T17:42:35"/>
        <d v="2024-05-13T18:26:28"/>
        <d v="2024-05-14T08:30:03"/>
        <d v="2024-05-14T08:47:30"/>
        <d v="2024-05-14T08:49:08"/>
        <d v="2024-05-14T10:09:19"/>
        <d v="2024-05-14T11:18:45"/>
        <d v="2024-05-14T12:18:42"/>
        <d v="2024-05-14T12:30:29"/>
        <d v="2024-05-14T12:39:28"/>
        <d v="2024-05-14T14:26:15"/>
        <d v="2024-05-14T15:10:07"/>
        <d v="2024-05-14T15:49:16"/>
        <d v="2024-05-14T16:18:08"/>
        <d v="2024-05-14T17:43:20"/>
        <d v="2024-05-14T18:32:41"/>
        <d v="2024-05-14T18:33:30"/>
        <d v="2024-05-15T09:04:22"/>
        <d v="2024-05-15T09:38:53"/>
        <d v="2024-05-15T09:51:21"/>
        <d v="2024-05-15T10:22:34"/>
        <d v="2024-05-15T10:25:01"/>
        <d v="2024-05-15T10:59:13"/>
        <d v="2024-05-15T11:11:11"/>
        <d v="2024-05-16T08:43:55"/>
        <d v="2024-05-16T09:01:17"/>
        <d v="2024-05-16T09:50:13"/>
        <d v="2024-05-16T11:19:09"/>
        <d v="2024-05-16T17:05:43"/>
        <d v="2024-05-16T18:50:48"/>
        <d v="2024-05-17T09:15:09"/>
        <d v="2024-05-17T09:32:14"/>
        <d v="2024-05-17T09:59:06"/>
        <d v="2024-05-17T11:50:00"/>
        <d v="2024-05-17T13:41:33"/>
        <d v="2024-05-17T15:53:53"/>
        <d v="2024-05-17T16:34:33"/>
        <d v="2024-05-17T18:09:06"/>
        <d v="2024-05-18T11:19:30"/>
        <d v="2024-05-18T12:04:22"/>
        <d v="2024-05-18T12:52:58"/>
        <d v="2024-05-18T13:22:12"/>
        <d v="2024-05-18T13:53:16"/>
        <d v="2024-05-20T09:32:16"/>
        <d v="2024-05-20T09:56:46"/>
        <d v="2024-05-20T10:58:33"/>
        <d v="2024-05-20T12:54:52"/>
        <d v="2024-05-20T17:21:37"/>
        <d v="2024-05-21T09:09:20"/>
        <d v="2024-05-21T12:39:04"/>
        <d v="2024-05-21T12:50:17"/>
        <d v="2024-05-21T19:31:43"/>
        <d v="2024-05-22T08:45:20"/>
        <d v="2024-05-22T09:21:20"/>
        <d v="2024-05-22T09:47:17"/>
        <d v="2024-05-22T15:18:39"/>
        <d v="2024-05-23T07:40:59"/>
        <d v="2024-05-23T10:49:43"/>
        <d v="2024-05-23T11:43:20"/>
        <d v="2024-05-23T13:52:35"/>
        <d v="2024-05-23T13:53:17"/>
        <d v="2024-05-23T14:36:57"/>
        <d v="2024-05-23T15:44:16"/>
        <d v="2024-05-24T08:53:34"/>
        <d v="2024-05-24T10:37:22"/>
        <d v="2024-05-24T10:55:28"/>
        <d v="2024-05-24T11:14:10"/>
        <d v="2024-05-24T11:30:36"/>
        <d v="2024-05-24T11:43:44"/>
        <d v="2024-05-24T21:14:31"/>
        <d v="2024-05-25T09:04:09"/>
        <d v="2024-05-25T09:28:43"/>
        <d v="2024-05-25T09:54:20"/>
        <d v="2024-05-25T10:05:04"/>
        <d v="2024-05-25T12:28:05"/>
        <d v="2024-05-25T13:00:00"/>
        <d v="2024-05-25T18:45:38"/>
        <d v="2024-05-26T11:30:28"/>
        <d v="2024-05-26T14:05:56"/>
        <d v="2024-05-26T16:47:27"/>
        <d v="2024-05-26T17:02:16"/>
        <d v="2024-05-27T12:05:17"/>
        <d v="2024-05-27T15:19:00"/>
        <d v="2024-05-27T16:14:00"/>
        <d v="2024-05-27T17:51:07"/>
        <d v="2024-05-27T18:09:08"/>
        <d v="2024-05-28T09:55:40"/>
        <d v="2024-05-28T11:44:53"/>
        <d v="2024-05-28T13:53:50"/>
        <d v="2024-05-28T17:01:06"/>
        <d v="2024-05-28T18:13:43"/>
        <d v="2024-05-28T18:15:43"/>
        <d v="2024-05-29T09:52:49"/>
        <d v="2024-05-29T11:10:13"/>
        <d v="2024-05-29T13:10:15"/>
        <d v="2024-05-29T14:34:41"/>
        <d v="2024-05-30T09:17:17"/>
        <d v="2024-05-30T13:47:18"/>
        <d v="2024-05-30T13:50:43"/>
        <d v="2024-05-30T16:29:14"/>
        <d v="2024-05-30T17:53:52"/>
        <d v="2024-05-30T18:04:18"/>
        <d v="2024-05-30T19:15:32"/>
        <d v="2024-05-31T10:29:58"/>
        <d v="2024-06-01T11:52:41"/>
        <d v="2024-06-01T14:49:16"/>
        <d v="2024-06-02T10:11:04"/>
        <d v="2024-06-02T17:01:52"/>
        <d v="2024-06-03T08:29:40"/>
        <d v="2024-06-03T09:23:50"/>
        <d v="2024-06-03T13:45:48"/>
        <d v="2024-06-03T14:50:42"/>
        <d v="2024-06-03T17:32:52"/>
        <d v="2024-06-04T07:41:55"/>
        <d v="2024-06-04T09:49:17"/>
        <d v="2024-06-04T17:22:42"/>
        <d v="2024-06-05T08:36:26"/>
        <d v="2024-06-05T08:52:00"/>
        <d v="2024-06-05T10:35:11"/>
        <d v="2024-06-05T11:55:17"/>
        <d v="2024-06-05T14:17:54"/>
        <m/>
        <s v=" "/>
      </sharedItems>
    </cacheField>
    <cacheField name="Nome" numFmtId="0">
      <sharedItems containsBlank="1" count="754">
        <m/>
        <s v="Manuela Souza do Nascimento"/>
        <s v="Ana Carolina Quirino da Silva"/>
        <s v="Talita Silva de Lima"/>
        <s v="Monique Silva de Amorim"/>
        <s v="Larissa Rayane de Santana Leite"/>
        <s v="Raissa Dayana Barbosa Santos"/>
        <s v="Raissa Oliveira Silva"/>
        <s v="Juliana dos Santos"/>
        <s v="Gabriela Nunes Xavier"/>
        <s v="Chrysline Pereira da Silva"/>
        <s v="Naiara Beatriz Pereira Rodrigues"/>
        <s v="Marcela Lima dos Santos"/>
        <s v="Kalyane Oliveira da Silva"/>
        <s v="Vitoria Conceicao Ferreira Bruno"/>
        <s v="Ana Alice dos Santos"/>
        <s v="Mayara Jacinto de Araujo"/>
        <s v="Vanessa Milena Maria da Silva"/>
        <s v="Amizaday da Silva Leite"/>
        <s v="Maria de Fatima da Silva"/>
        <s v="Yane Pereira dos Santos"/>
        <s v="Ilana de Almeida Albuquerque "/>
        <s v="Deysiane Kiurenia dos Santos"/>
        <s v="Leticia de Oliveira"/>
        <s v="Viviane de Almeida Costa"/>
        <s v="Walenia Gabriele Neves de Melo "/>
        <s v="Debora Dayane da Costa Marques"/>
        <s v="Georgia Gomes da Cruz"/>
        <s v="Walenia Gabriele Neves de Melo"/>
        <s v="Chirle da Silva Osorio"/>
        <s v="Luana Pereira da Silva"/>
        <s v="Fernanda Bezerra da Silva Gabú"/>
        <s v="Rayssa Luanna da Silva Costa"/>
        <s v="Ruth Crislayne Araujo dos Santos"/>
        <s v="Betania Maria dos Santos de Freitas"/>
        <s v="LIDIA TARCIANA SANTOS DA PAZ"/>
        <s v="CAMILA MARIA DE LIMA"/>
        <s v="Veronica Thais Goncalves Pereira dos Santos"/>
        <s v="Amanda Mayara dos Santos "/>
        <s v="Andreza Maria da Silva"/>
        <s v="Estephanne Vitoria da Silva"/>
        <s v="Ana Clecia de Lima Feitosa"/>
        <s v="Jeanine Nathalia Leopoldo da Silva"/>
        <s v="Maria Claudineide Barros de Albuquerque"/>
        <s v="Isabella Albuquerque Jardim"/>
        <s v="Aline Rafaela Andrade da Silva"/>
        <s v="Mycherlane Melquiades da Silva"/>
        <s v="Rosangela Jose de Franca"/>
        <s v="Amanda Mayara dos Santos"/>
        <s v="Magda Laiz de Oliveira Silva"/>
        <s v="Sarah Vitoria Cosme da Rocha"/>
        <s v="Danielly Ingrid Bione de Lima"/>
        <s v="Leticia Luany de Carvalho da Silva"/>
        <s v="Maria Alice de Oliveira Barbosa Leal"/>
        <s v="Alyne Souza dos Santos"/>
        <s v="Natacha Rodrigues de Farias"/>
        <s v="Riromia Pereira Juvenal"/>
        <s v="Ana Gabriela Antonio do Nascimento"/>
        <s v="Laís Viana Dias"/>
        <s v="Thatyana Karla Nascimento Tenorio"/>
        <s v="Janicleide Barbosa Cavalcanti"/>
        <s v="Vitoria Caroline Soares da Silva"/>
        <s v="Brenda Melo de Araujo"/>
        <s v="Janaina de Assis da Silva"/>
        <s v="Camila Costa de Jesus"/>
        <s v="Carina Jesus de Lima"/>
        <s v="Claudia Raiane Oliveira Dionizio"/>
        <s v="Maria Vitoria dos Santos Castro"/>
        <s v="JUSSARA LORENA MARTINS DA SILVA"/>
        <s v="Mayara Rayane Soares da Silva"/>
        <s v="Mariana Almeida da Silva"/>
        <s v="Maria Luziaria Virbergue da Silva"/>
        <s v="REBECA VITORIA ARRUDA DA SILVA"/>
        <s v="Laissa Gabriela Penalva da Rocha"/>
        <s v="Ana Patricia dos Santos Nascimento"/>
        <s v="Dandara Maria do Nascimento Ferreira Santos"/>
        <s v="Dauany Nunes de Lima"/>
        <s v="Marcela Maria da Silva"/>
        <s v="Maria Danielle Miguel Bezerra"/>
        <s v="Edicleide Gomes de Almeida"/>
        <s v="Tatiana Thalia Ramalho de Lima"/>
        <s v="Joelma Ferreira da Silva"/>
        <s v="Monallyza Iasmin Duarte da Silva"/>
        <s v="Naiara Herculano da Silva"/>
        <s v="Maria Gabriela Campos de Lima"/>
        <s v="Rosangela Pereira de Souza"/>
        <s v="Ayrine Ramonna Batista"/>
        <s v="Maria Eduarda Silva de Oliveira Cavalcanti"/>
        <s v="Kaline Thalia Leopoldina Silva de Lima"/>
        <s v="Rosangela Lira de Paiva"/>
        <s v="Gleiciane Correia de Melo Morais"/>
        <s v="Marina Byatriz Bento Arcelino"/>
        <s v="Paula Eduarda dos Santos de Andrade"/>
        <s v="Gleica Mirela Ribeiro de Lima"/>
        <s v="Aurea Claucia Rangel Carneiro"/>
        <s v="Erica Priscila Gomes dos Santos Silva"/>
        <s v="Millena Lima da Silva"/>
        <s v="Bruna Patricia Ferreira da Silva"/>
        <s v="Maria Aparecida Alves da Silva Santos"/>
        <s v="CLARA FERNANDA DOS SANTOS SILVA"/>
        <s v="Luanda de Oliveira da Silva"/>
        <s v="Karla Eduarda de Franca Oliveira"/>
        <s v="Raiza Carla da Silva"/>
        <s v="Leticia Maria Carneiro Magalhaes"/>
        <s v="Stephany Layne Pereira dos Santos"/>
        <s v="Josefa Veronica da Silva"/>
        <s v="Evelyn Karine Macedo Vasconcelos"/>
        <s v="Raquel Neidisson de Alququerque"/>
        <s v="Jessica da Silva Felix"/>
        <s v="Ana Carolina dos Anjos Araujo"/>
        <s v="Aldinez do Carmo Soares"/>
        <s v="Thamiris dos Santos Vieira"/>
        <s v="Flavia Soares da Silva"/>
        <s v="Karolayne Marlene Santos de Souza"/>
        <s v="Renata Joaquim do Nascimento"/>
        <s v="Maria Tatiane Silva de Oliveira"/>
        <s v="Sibele Alexandre dos Santos"/>
        <s v="Cinthia Gabriela Messias"/>
        <s v="Mayra Kelner Francisca Maciel"/>
        <s v="Mayara Cristina Gonzaga da Silva"/>
        <s v="Daniele das Neves Ferreira"/>
        <s v="Mirelly Steffany da Silva Sousa"/>
        <s v="Rafaela de Araujo Marinho"/>
        <s v="Aline Alves dos Santos"/>
        <s v="Vanessa Hingrid Marinho de Moura Monteiro"/>
        <s v="Enia Ingrid de Araujo"/>
        <s v="Camilla Vitoria da Silva Gomes"/>
        <s v="Graziela Silva de Aguiar"/>
        <s v="Thatiany da Silva Barbosa"/>
        <s v="KARINA SILVA DE AMORIM"/>
        <s v="Rafaela Benedita da Silva Pereira"/>
        <s v="Rute Claudia da Silva"/>
        <s v="Viviane Barbosa de Lima"/>
        <s v="Julia Mariaano de Andrade Santana"/>
        <s v="Marta Naite Maria da Silva"/>
        <s v="Aline Maria da Silva Miquiles"/>
        <s v="Barbara Ferreira da Silva"/>
        <s v="Morgana Marcelino dos Santos"/>
        <s v="Maria Fernanda Almeida da Silva"/>
        <s v="Marcela Ferreira dos Santos"/>
        <s v="Jessica Maria da Silva"/>
        <s v="Fernanda de Oliveira Silva"/>
        <s v="Eduarda Souza Soares"/>
        <s v="Manoela Justino Alexandre Silva"/>
        <s v="Mirella Kerolaine Goncalves da Silva Soares"/>
        <s v="Cilene Soares da Silva"/>
        <s v="Gisele Maria da Silva Santos"/>
        <s v="Renata Andreza Marinho da Paixao"/>
        <s v="Ingrid Gleyce Miranda dos Santos"/>
        <s v="Shirlaine de Oliveira Ferreira"/>
        <s v="Kalidiane Caroline Melo"/>
        <s v="Maria Vitória Moura de Lima"/>
        <s v="Ana Karolina Chagas Serpa Matos"/>
        <s v="Geovana Micaelle Nascimento da Silva"/>
        <s v="Maria Clara Jacinto de Oliveira"/>
        <s v="Analice Maria Cesar Barros"/>
        <s v="Larhana Cristina dos Santos Silva"/>
        <s v="Emanuela da Silva Souza"/>
        <s v="Ellida Tenuzia da Silva"/>
        <s v="Beatriz Carla Silvestre Ferreira Cabral"/>
        <s v="Gleicy Kitéria Gomes de Lima"/>
        <s v="Rebeka Vitoria Porfirio de Souza"/>
        <s v="Maria Paula Gomes da Silva"/>
        <s v="Keila Vitoria da Silva Araujo"/>
        <s v="Bianca de Oliveira Correia de Lima"/>
        <s v="Alice Maria Oliveira de Lucena"/>
        <s v="Gabriela Oliveira dos Santos Soares"/>
        <s v="Ruth Luiza Rodrigues"/>
        <s v="Camila Almeida da Fonseca"/>
        <s v="Eliana Maria da Conceicao Silva "/>
        <s v="Beatriz Fabiana da Silva"/>
        <s v="Juliely Carolayne Rodrigues da Silva"/>
        <s v="Flaviana Revoredo de Oliveira Nunes"/>
        <s v="Ana Gabriela Antonio do Nascimento "/>
        <s v="Natalia Bordalo"/>
        <s v="Katia Cristina Lopes do Rego"/>
        <s v="Debora Farias de Lima"/>
        <s v="Gleicy Kitéria Gomes de Lima "/>
        <s v="Millena Pereira da Silva"/>
        <s v="Mariana Rikaelly dos Santos"/>
        <s v="Geovana Monique da Silva Trajino"/>
        <s v="Ana Karolina de Franca Jeronimo"/>
        <s v="Cassiane Kethyle da Silva Ferreira"/>
        <s v="Raynara Thaina da Silva Lima"/>
        <s v="Niedja Maria do Nascimento"/>
        <s v="Emily Andreinna Silva de Arruda"/>
        <s v="Mirella Roberto Alves da Cruz"/>
        <s v="Fabiola Estevao do Carmo"/>
        <s v="Claudia Rebeca da Silva"/>
        <s v="Joyce Silva Bezerra"/>
        <s v="Deisiane da Silva Santana"/>
        <s v="Camila Zoppi"/>
        <s v="Maria Eduarda de Lira"/>
        <s v="Grazielly Kelly Silva dos Santos"/>
        <s v="Emillayne Adriana da Silva"/>
        <s v="Renata Maria da Conceicao"/>
        <s v="Ketheury Andrade dos Santos "/>
        <s v="Cleyce da Silva Borgues"/>
        <s v="Suelen Izabel Santos da Silva"/>
        <s v="Carla Alves de Oliveira Santos"/>
        <s v="Maria Eduarda Santana dos Santos"/>
        <s v="Tais Makishi da Silva"/>
        <s v="Macilene Santos Barros"/>
        <s v="Amanda Vitoria da Silva"/>
        <s v="Tamires Pereira Goncalves"/>
        <s v="Bianca de Carvalho Lemos Cunha"/>
        <s v="Denise Bezerra da Silva"/>
        <s v="Thayza Vitoria Ramos de Lima"/>
        <s v="Tainara Maria Oliveira"/>
        <s v="Bruna Eugenia de Melo Vicente"/>
        <s v="Debora Jeronimo da Silva"/>
        <s v="Kamily Maria Peres da Hora"/>
        <s v="Maria Vitoria do Carmo Bento Bezerra Lola"/>
        <s v="Isabela Alves Ribeiro"/>
        <s v="Ana Karolayne Santos Silva"/>
        <s v="Natalia Ferreira de Sales "/>
        <s v="Samara Sandra Santana Silva"/>
        <s v="Michelle Caroline Barbosa"/>
        <s v="Rebeca Raysa Correia da Silva"/>
        <s v="Emanuele Maria Coelho dos Prazeres"/>
        <s v="Rafaely Domingos dos Santos"/>
        <s v="Eloiza Oliveira Barros Silva"/>
        <s v="Mariana Guedes Neves de Oliveira"/>
        <s v="Esther Tacianne Paz Araujo Santos"/>
        <s v="Natalia Oliveira Silva"/>
        <s v="Lucilene Ferreira da Silva"/>
        <s v="Stefane Alves Brasil"/>
        <s v="Maria Eduarda da Silva Farias"/>
        <s v="Evellyn Nicoly Oliveira da Silva"/>
        <s v="Mirele dos Santos Freires"/>
        <s v="Talita de Oliveira Noronha"/>
        <s v="Adrielle Albuquerque Jeremias Souto da Silva"/>
        <s v="Mariana Barboza Lopes"/>
        <s v="Lilian Vitoria de Souza Santana"/>
        <s v="Shirley Soares Lopes"/>
        <s v="Rafaella Patrícia Francisca de Lima"/>
        <s v="Risomar Almeida de Moraes"/>
        <s v="Mabia Barbara Mendes"/>
        <s v="Talita Patrício Cavalcanti da Silva"/>
        <s v="Ilana Carla Bento Pereira"/>
        <s v="Rita de Cassia Pereira de Menezes"/>
        <s v="Rosa Maria da Silva Pontes"/>
        <s v="Janderlane Maria da Silva"/>
        <s v="Vanessa Claudino Gomes"/>
        <s v="Luana de Souza Diehl"/>
        <s v="Rayssa Rane Santos do Nascimento da Silva"/>
        <s v="Karen Cecilia da Silva"/>
        <s v="Rayany Souza Gomes"/>
        <s v="Taise Maria Lima Silva"/>
        <s v="Vanessa da Silva Pessoa"/>
        <s v="Kaylane Carine Dias Pereira"/>
        <s v="Jessica Maria Ferreira de Matos"/>
        <s v="Marina Gabriele Pires da Silva |"/>
        <s v="Crislayne Nascimento da Silva"/>
        <s v="Danielly Mayra Batista dos Santos"/>
        <s v="Gisele Thais da Conceicao Ferreira"/>
        <s v="Ana Carolina Timoteo da Silva"/>
        <s v="Joana Darc Pergentino de Barros "/>
        <s v="Mariane da Silva"/>
        <s v="Letícia Victoria Cruz Nascimento"/>
        <s v="Karoline Mayara Mendes da Silva"/>
        <s v="Luzia Dias Valdevino"/>
        <s v="Cristiane Pereira Nunes"/>
        <s v="Jamilly Soares de Barros"/>
        <s v="Taina Gomes da Silva"/>
        <s v="Maria Karolayne Nascimento Lima"/>
        <s v="Rayane Kelly do Nascimento"/>
        <s v="Ayani de Souza Monteiro"/>
        <s v="Fernanda Carla Mendes da Silva"/>
        <s v="Ana Karla da Fonseca Pereira"/>
        <s v="Mariana Azevedo de Freitas"/>
        <s v="Maria Claudia de Oliveira"/>
        <s v="Jeane dos Santos Santana"/>
        <s v="Valeria Jose de Souza Costa"/>
        <s v="Joice Miranda dos Santos"/>
        <s v="Aline Laysa da Silva"/>
        <s v="Mariana Barreto do Nascimento"/>
        <s v="Ana Graziela Augusta do Nascimento"/>
        <s v="Nathalia Gomes de Freitas"/>
        <s v="Elaine Gutemberg dos Santos"/>
        <s v="Vitoria Beatriz Cruz da Silva"/>
        <s v="Geisakel Melo da Conceicao"/>
        <s v="Rayane Kelly Ferreira da Silva"/>
        <s v="Janaina Silva dos Santos"/>
        <s v="Gabriela Evelin Fernandes da Silva"/>
        <s v="Lucimar Maria do Nascimento"/>
        <s v="Marcia Santana Bispo da Silva"/>
        <s v="Maria Eduarda Cunha de Lima"/>
        <s v="Tainara Silva Moura de Melo"/>
        <s v="Adriele Cristina do Amaral"/>
        <s v="Jessica Gomes da Silva"/>
        <s v="Jacidaria Gomes da Silva"/>
        <s v="Andressa Caroline Silva"/>
        <s v="Daniele Quiteria Araújo Ferreira"/>
        <s v="Leticia Bezerra da Silva"/>
        <s v="Jadilene da Silva Albuquerque"/>
        <s v="Julia Vicente de Souza"/>
        <s v="Jaqueline Barbosa da Silva"/>
        <s v="Amanda Cristina Bastos"/>
        <s v="Rayanne Priscylla da Silva Ubirata Braga"/>
        <s v="Maria Valeria dos Santos"/>
        <s v="Maria Nathalia da Silva Vasconcelos"/>
        <s v="Amanda Ramos de Lira"/>
        <s v="Raquel Vitoria Rodrigues Gomes"/>
        <s v="Gilvania da Silva Gomes"/>
        <s v="Angelica Maria dos Santos Silva"/>
        <s v="Alice Cristina do Sacramento Felix"/>
        <s v="Maria Eduarda da Silva Simplicio"/>
        <s v="Edercarla Angela da Silva"/>
        <s v="Laureli Henrique de Oliveira"/>
        <s v="Kaillany Vitoria Sales da Siva"/>
        <s v="Samara Aretha Queiroz do Nascimento Neves"/>
        <s v="Valquiria Santos Fernandes Vieira"/>
        <s v="Jhennyfer Flavia Barbosa de Andrade Cavalcante"/>
        <s v="Sara Maria da Silva"/>
        <s v="Caelene Goncalves da Silva"/>
        <s v="Jaqueline da Silva Moreira"/>
        <s v="Caelene Goncalves da Silva "/>
        <s v="Caroline Maria de Santana"/>
        <s v="Maria Taynara Macena de Souza Santos"/>
        <s v="Mayara Oliveira de Sena"/>
        <s v="Beatriz Carla Araujo Nascimento"/>
        <s v="Werica Souza de Azevedo"/>
        <s v="Mariana Stefany Praxedes de Santana"/>
        <s v="Natalia Maria Andrade da Silva "/>
        <s v="Anna Karolina de Santana Campos"/>
        <s v="Amanda Rafaely Vieira da Fonseca"/>
        <s v="Claudia Adriana da Silva"/>
        <s v="Maria Eduarda dos Santos Pereira"/>
        <s v="Juliana Paula Alexandrino de Santana"/>
        <s v="Maria Cristina Tributino de Oliveira"/>
        <s v="Shirley da Hora de Oliveira"/>
        <s v="Maria Jose Vieira da Silva"/>
        <s v="Lidia de Moraes Santo"/>
        <s v="Sabrina Lira de Tavares"/>
        <s v="Thaynara Nunes de Santana"/>
        <s v="Rafaela Bezerra da Silva"/>
        <s v="Joseilda Maria da Silva"/>
        <s v="Karine Virgnia Faierstein de Barros"/>
        <s v="Thaline Tenório de Assis"/>
        <s v="Ketlen Milene de Araujo Barbosa"/>
        <s v="Milena Pereira da Silva"/>
        <s v="Maria Rayanne Lima de Moraes"/>
        <s v="Marilia Conceicao Dias Veiga"/>
        <s v="Rosileide Marques Alves do Nascimento"/>
        <s v="Karolaine da Silva Santos"/>
        <s v="Sabrina Leticia Ferreira de Lima Avelino"/>
        <s v="Isabela Souza de Oliveira"/>
        <s v="Kettly Alves de Mendonça"/>
        <s v="Thais Andrea Oliveira do Nascimento"/>
        <s v="Juliana Karla Negreiros do Nascimento"/>
        <s v="Anna Julia Cavalcanti dos Santos"/>
        <s v="Emilayne Barbosa da Silva"/>
        <s v="Keila Mislene da Silva"/>
        <s v="Letycia Carolane Marques da Silva"/>
        <s v="Poliana das Neves Silva"/>
        <s v="Caroline Cristina da Silva"/>
        <s v="Adna Djully Vieira Y Cunha"/>
        <s v="Grace Kelly da Silva Santana "/>
        <s v="Soleane dos Santos Paiva"/>
        <s v="Elaine Flavia dos Santos Manoel"/>
        <s v="Ana Beatriz Augusto de Lima"/>
        <s v="Jessika Carla da Silva"/>
        <s v="Paula Maria de Sena"/>
        <s v="Natalia Luiza do Nascimento Silva"/>
        <s v="Iris dos Santos Silva"/>
        <s v="Eduarda Suzani dos Santos Rolim"/>
        <s v="Vanessa Fabia Gomes da Silva"/>
        <s v="Mikelle Maria da Silva Santos"/>
        <s v="Joyce Marinho da Silva"/>
        <s v="Fabiana Andreza das Neves"/>
        <s v="Isabelle Joyce de França da Silva"/>
        <s v="Jessica Rayanne da Silva"/>
        <s v="Bruna Beatriz de Sena da Silva"/>
        <s v="Stefany Katarina da Silva Oliveira"/>
        <s v="Michelle Rodrigues da Silva"/>
        <s v="Maria Eduarda dos Santos Barboza"/>
        <s v="Danielle Janaina da Silva "/>
        <s v="Samara Albuquerque Alves"/>
        <s v="Macione Maria Eduardo D Souza"/>
        <s v="Jeyne Ariel Araujo da Costa"/>
        <s v="Poliana Soares Basilio do Carmo"/>
        <s v="Isa Rayanne de Moura Costa"/>
        <s v="Amanda Firmino da Paz"/>
        <s v="Maria Isabel da Silva"/>
        <s v="Maria Rita Caetana dos Santos"/>
        <s v="Micheline da Costa Silva"/>
        <s v="Vitoria Kelly Barbosa Bezerra"/>
        <s v="Tercia Innarah de Lucena Pereira"/>
        <s v="Mayara Jeniffer Oliveira do Nascimento"/>
        <s v="Ellen Victoria Claudino Oliveira"/>
        <s v="Lidia Vitória Anacleto"/>
        <s v="Natalia dos Santos Ferreira"/>
        <s v="Aline Alexsandra Mendes dos Santos"/>
        <s v="Ritshelly Cassia da Silva"/>
        <s v="Sthefany Kelly Ferreira Rios"/>
        <s v="Rosangela Patricia Vania de Oliveira"/>
        <s v="Roseanne Santana Ribeiro"/>
        <s v="Kauanny Emanuelly do Nascimento"/>
        <s v="Grace Kelly da Silva Santana"/>
        <s v="Karla Cristina dos Santos Silva"/>
        <s v="Tayane dos Santos Meira"/>
        <s v="Maria Eduarda de Miranda Cavalcanti"/>
        <s v="Aline Mauricio dos Santos"/>
        <s v="Vanessa Nascimento de Araujo"/>
        <s v="Heloisa Marques Bezerra"/>
        <s v="Joelma Carla da Silva Araujo"/>
        <s v="Claudia Silva de Souza"/>
        <s v="ANNY CAROLYNNE FERREIRA DA SILVA"/>
        <s v="Aline Mauricio dos Santos "/>
        <s v="Thallyne Maria Silva dos Santos"/>
        <s v="Renata Maria da Conceição"/>
        <s v="Fabiana Maria da Silva"/>
        <s v="Maria Betania Alves Vieira"/>
        <s v="Rayane Carla Carneiro"/>
        <s v="Hellen Cristina da Silva Cruz"/>
        <s v="Pamella Roberta de Sousa da Silva"/>
        <s v="Bianca Nathalia Andrade de Souza"/>
        <s v="Maria Eduarda Alves Santana"/>
        <s v="Ana Julia Trajano Lima"/>
        <s v="Maria Cristiane de Oliveira"/>
        <s v="Steffane Kelly da Silva"/>
        <s v="Maria Eduarda Cruz Fonseca"/>
        <s v="Pollyana Nery Flor"/>
        <s v="Mikaelle Rodrigues Ramos de Souza"/>
        <s v="Williane da Silva Cardoso"/>
        <s v="Carolina de Vasconcelos Soares"/>
        <s v="Erica Maria de Araujo Gomes"/>
        <s v="Raiane Carine de Souza Silva"/>
        <s v="Maira Gila de Oliveira Silva"/>
        <s v="Maria Aparecida de Jesus Dias"/>
        <s v="Poliana Silva da Cunha"/>
        <s v="Juliana Emilly Cavalcanti dos Santos"/>
        <s v="Priscila Matos do Nascimento"/>
        <s v="Bianca Carina Silva Lucena"/>
        <s v="Luenia Maria Andrade das Neves"/>
        <s v="Maria Betania Alves Vieira "/>
        <s v="Jaqueline da Silva Meneses"/>
        <s v="Sheila Cruz de Lemos"/>
        <s v="Anne Karenina Marques da Silva"/>
        <s v="Luciana Rodrigues dos Santos"/>
        <s v="Cristiane da Silva Tavares"/>
        <s v="Kilzy da Silva Cordeiro Albuquerque"/>
        <s v="Maria Vitoria Barbosa Ramos"/>
        <s v="Simone Valentim Vieira"/>
        <s v="Argentina Candida do Nascimento"/>
        <s v="Luana Vasconcelos Ferreira da Silva"/>
        <s v="Jacilene Serra Cruz"/>
        <s v="Stella Vitoria Dias do Nascimento"/>
        <s v="Amanda Santiago dos Santos"/>
        <s v="Paola Tamares Herculano Silva"/>
        <s v="Fernanda Maria Brito de Arruda"/>
        <s v="Rosangela Rodrigues de Almeida"/>
        <s v="Ana Lucia da Costa Oliveira"/>
        <s v="Luana Conceicao Araujo"/>
        <s v="Flaviana Mirelle Torquato da Silva"/>
        <s v="Lis Helena de Carvalho Nogueira"/>
        <s v="Luana Conceicaõ Araujo"/>
        <s v="Ana Carla Xavier Cordeiro"/>
        <s v="Andrielly Silva de Lima"/>
        <s v="Tatiana Sumaya Barbosa da Silva"/>
        <s v="Niedja de Oliveira Barbosa"/>
        <s v="Yara Beatriz Pereira da Silva"/>
        <s v="Yasmim Ellen de Oliveira Andrade"/>
        <s v="Tharcila Kauanny Silva de Souza"/>
        <s v="Vanessa Conceicao Ferreira dos Santos"/>
        <s v="Ariana Roberta Ferreira da Silva"/>
        <s v="Erica Larissa Rigueira de Lima"/>
        <s v="Vanessa Conceição Ferreira dos Santos"/>
        <s v="Larissa Torres Sampaio"/>
        <s v="Kayllane Kamilly Feitoza Marinho"/>
        <s v="Danielle Mariane da Silva"/>
        <s v="Marcela Manuele de Souza Barros"/>
        <s v="Alessandra Maria do Nascimento"/>
        <s v="Larissa Silva de Souza"/>
        <s v="Leticia da Silva Chagas"/>
        <s v="Maria Milena Bispo"/>
        <s v="Maria Eduarda Santana dos Santos "/>
        <s v="Iracelly Silvestre Silva"/>
        <s v="Indrid Ferreira da Silva"/>
        <s v="Marluce Cintia Oliveira dos Santos"/>
        <s v="Girleide Silva das Merces Barbosa"/>
        <s v="Lucineia Gomes da Silva"/>
        <s v="Yasmim Thais Ferreira da Silva"/>
        <s v="Milleny Eduarda Vital da Silva"/>
        <s v="Camila Pereira Ferreira"/>
        <s v="Debora Dayane da Costa Marques "/>
        <s v="Talita Karla Lima da Silva"/>
        <s v="Rayla Thune Dovale Bizarria"/>
        <s v="Tamires Maria Brito"/>
        <s v="Maria Daniela Santos de Araujo"/>
        <s v="Saiuri Vieira da Cunha"/>
        <s v="Aline Maria Rodrigues"/>
        <s v="Maria Gabriela Goncalves da Silva "/>
        <s v="Ester Monte dos Santos"/>
        <s v="Aline Rodrigues Mathias da Silva"/>
        <s v="Maria Gabriela Goncalves da Silva"/>
        <s v="Eliane Borges da Silva"/>
        <s v="Tayana Sumaya Barbosa da Silva"/>
        <s v="Rayssa Carolinna Fereira dos Santos"/>
        <s v="Rosangela Maria de Albuquerque Nascimento"/>
        <s v="Rosicleide Lopes da Silva "/>
        <s v="Pamela Filgueira Barros"/>
        <s v="Ana Carolina da Silva"/>
        <s v="Paula Roberta Oliveira da Silva"/>
        <s v="Juliana de Almeida Rocha"/>
        <s v="Rita de Cássia Pereira de Menezes"/>
        <s v="Maria Cecilia Queiroga dos Santos"/>
        <s v="Mayara Camila Candida de Almeida"/>
        <s v="Iasmim Sales de Santana Silva"/>
        <s v="Joyce Martins dos Santos"/>
        <s v="Debora Joelly da Silva Costa"/>
        <s v="Raphaela Nascimento da Silva"/>
        <s v="Leticia Gabriela Queiroz de Souza"/>
        <s v="Katllyn Laryssa de Souza Bezerra"/>
        <s v="Ana Beatriz Pereira da Silva"/>
        <s v="Raiane Dias Nascimento"/>
        <s v="Emelly Lays Izidio das Chagas"/>
        <s v="Eduarda Cecilia da Silva"/>
        <s v="Jessika Belo da Silva"/>
        <s v="Débora Domingos da Silva Amorim"/>
        <s v="Fabia Maria de Santana"/>
        <s v="Sabrina Mikaele da Silva Sa"/>
        <s v="Andreza Ferreira de Almeida"/>
        <s v="Rosimere Barbosa Santana"/>
        <s v="Emylly Novaes Gomes de Lima"/>
        <s v="Isabele Carla da Silva Dantas"/>
        <s v="Jessika Suzy Bernardo Lopes"/>
        <s v="Gabriela Nascimento da Silva"/>
        <s v="Elizabeth Antonia Menezes Pinheiro"/>
        <s v="Karolayne Maria Costa dos Santosa"/>
        <s v="Eduarda Cristina Silva da Hora"/>
        <s v="Karolina Driele Amorim da Rocha"/>
        <s v="Maria Brigida Chaprao da Silva"/>
        <s v="Josicleide Barbosa Silva"/>
        <s v="Ewelin Maria da Silva"/>
        <s v="Ynara Lays da Silva Lins"/>
        <s v="Karollyne Vanessa da Silva Soares"/>
        <s v="Poliana Barbosa dos Santos"/>
        <s v="Isabele Patricia da Silva Mendes"/>
        <s v="Bianca Stephane Lima da Silva"/>
        <s v="Rayanne Gleice da Silva Reis"/>
        <s v="Juliana Rodrigues de Oliveira"/>
        <s v="Suelayne Fagundes Falcão"/>
        <s v="Rute Arruda Rodrigues"/>
        <s v="Iasmim Alves Gomes da Silva"/>
        <s v="Jenyffer Moraes Tavares"/>
        <s v="Carla Daniele Pereira da Silva"/>
        <s v="Jaciane Maria de Araujo"/>
        <s v="Analice Ferreira da Silva"/>
        <s v="Raissa Kauany Alecrim da Fonseca"/>
        <s v="Gerlane Cabral da Silva"/>
        <s v="Karoline Cavalcanti da Silva"/>
        <s v="Marilia Machado da Silva"/>
        <s v="Rayzza Marques Salgado da Silva"/>
        <s v="Maria Nivaneide de Abreu Lima"/>
        <s v="Jéssica Fernanda Martins de Oliveira"/>
        <s v="Emilly Vitoria da Silva Oliveira"/>
        <s v="Alicia Ohana Gomes Damasceno"/>
        <s v="Gleice Kelly Barboza de Lima"/>
        <s v="Amanda Dayane da Silva"/>
        <s v="Natalia Aparecida da Silva"/>
        <s v="Rayssa Carolinna Ferreira dos Santos"/>
        <s v="Amanda Costa Silva"/>
        <s v="Ana Caroline Maria da Silva"/>
        <s v="Maria Luiza Wanderley Santos"/>
        <s v="Adriele Herculano da Silva"/>
        <s v="Vitoria Lima dos Santos"/>
        <s v="Myllena Batista Barros"/>
        <s v="Valquiria Conceição Alves de Barros"/>
        <s v="Bruna Talita Placido da Silva"/>
        <s v="Patricia Antonio Rozario Sampaio de Brito"/>
        <s v="Ketheury Andrade dos Santos"/>
        <s v="Ana Flavia Monte dos Santos "/>
        <s v="Maria Thayna Santos Lima"/>
        <s v="Ana Flavia Monte dos Santos"/>
        <s v="Maria Eduarda da Silva Seabra"/>
        <s v="Isabelle Thamires da Silva Dias "/>
        <s v="Vanessa Maria dos Santos"/>
        <s v="Vitoria Alves de Oliveira Cavalcanti "/>
        <s v="Janifer Lopes dos Santos"/>
        <s v="Adrielly Alves da Silva"/>
        <s v="Wendy Oliveira Duarte"/>
        <s v="Dayse da Silva de França"/>
        <s v="Barbara Stela Bastos do Nascimento Guedes"/>
        <s v="Ana Karolynne da Silva"/>
        <s v="Nicole Helen da Silva"/>
        <s v=" Luana da Silva Santos"/>
        <s v="Dyana Vitoria Ferreira dos Santos"/>
        <s v="Luana da Silva Santos"/>
        <s v="Ketiny Magna Vasconcelos Santos"/>
        <s v="Lais Carine Guimaraes Viana Cancio"/>
        <s v="Maria Mycaela Barbosa Teixeira"/>
        <s v="Nathalia Pereira Torres da Silva"/>
        <s v="VivianViviane Rodrigues Correia de Santana"/>
        <s v="Haymé Alcazar da Conceição do Nascimento"/>
        <s v="Viviane Rodrigues Correia de Santana"/>
        <s v="Ana Carla Severo da Silva"/>
        <s v="Roseana da Silva Ribeiro"/>
        <s v="Angelina Silva de Santana"/>
        <s v="Silvia Almeida Simoes Ferreira"/>
        <s v="Joana Darc Barbosa Santos Torres"/>
        <s v="Pricila Celice Lima dos Santos"/>
        <s v="Rafaela Francisca de Lima"/>
        <s v="Kaylane Danielle Barros Alves"/>
        <s v="Thayna Cristina de Moura Andrade"/>
        <s v="Sthefany Kelly Ferreira Rios "/>
        <s v="Thais Lima Gomes da Silva"/>
        <s v="Maria Eduada Seabra"/>
        <s v="Rosineide Martins Rodrigues"/>
        <s v="Karina dos Santos Oliveira"/>
        <s v="Emile Carolyne Paula da Silva "/>
        <s v="Julia Gabriela Barbosa da Silva"/>
        <s v="Maria Eduarda Seabra"/>
        <s v="Bruna Felipe da Silva"/>
        <s v="Nielly Vitoria Cabral de Lima"/>
        <s v="Jessica Maria Gomes dos Santos"/>
        <s v="Diana Karolainy Rodrigues dos Santos"/>
        <s v="Micaela Caroline de Franca Santos"/>
        <s v="Bruna Vitoria Ferreira da Silva Leao"/>
        <s v="Andreyce Ritchelly Gomes Rocha"/>
        <s v="Vitoria da Silva Gomes"/>
        <s v="Thaylania Virginia Machado de Holanda Andrade"/>
        <s v="Elizangela Maria da Silva"/>
        <s v="Jeynielle Alcantara Lima Fortunato"/>
        <s v="Jaynne de França Brito"/>
        <s v="Paloma Milena de Menezes Santos"/>
        <s v="Maria Flabyan Cricya Ventura Xavier"/>
        <s v="Dara Daiane Silva de Andrade"/>
        <s v="Luane Campelo de Oliveira"/>
        <s v="Larissa Jussiely Nascimento de Souza"/>
        <s v="Adrielle Vitoria da Silva Ferreira"/>
        <s v="Rayelle Roberta Barbosa do Espirito Santo"/>
        <s v="Marcia Caetano Barbosa"/>
        <s v="Elizia Keisy Gomes da Silva"/>
        <s v="Thaisa Maria Rocha Lima"/>
        <s v="Fernanda de Araujo Silva"/>
        <s v="Maryanna Chistine dos Santos e Silva"/>
        <s v="Vanusa Alves da Silva"/>
        <s v="Rosilene Rodrigues Pereira da Silva"/>
        <s v="Danille Clemente Prazo"/>
        <s v="Jhoyce de Arruda e Silva"/>
        <s v="Adrielly Negreiros da Silva Fidelis"/>
        <s v="Mayara de Sa Borba Pinto Pereira"/>
        <s v="Andrea dos Santos Andrade"/>
        <s v="Alexsandra Nascimento de Barros"/>
        <s v="Alania Gomes da Silva"/>
        <s v="Maria Eduarda França da Silva"/>
        <s v="Adriele Emyly de Lima"/>
        <s v="Amanda Ines da Silva "/>
        <s v="Mykaelle Rebeca do Nascimento Lima"/>
        <s v="Cristina Rodrigues da Silva"/>
        <s v="Annyeli Santos Rodrigues"/>
        <s v="Isabelle Thamyres de Silva Dias"/>
        <s v="Ruama Gabriela Nascimento"/>
        <s v="Andrea Silva Andrade Bandeira"/>
        <s v="Lorena Ribeiro de Carvalho"/>
        <s v="Nataly Lucinda Ferreira"/>
        <s v="Ana Caroline Bezerra da Silva"/>
        <s v="Saira Esperanza Vargas Sanchez"/>
        <s v="Crislayne Silva Cavalcanti"/>
        <s v="Isabele da Silva Barbosa"/>
        <s v="Michaelly Rhuanna Dias Soares"/>
        <s v="Taciana Barbosa da Silva"/>
        <s v="Jullyanna Cristina Albuquerque Sousa Macêdo"/>
        <s v="Edilaine Maria Anunciado"/>
        <s v="Annyeli Santos Rodrigues "/>
        <s v="Ana Lucia de Santana Silva"/>
        <s v="Edneide Silva da Cruz"/>
        <s v="Alice Cabral Delgado Falcao"/>
        <s v="Isabele Mikelle Oliveira dos Santos"/>
        <s v="Ana Alice dos Santos Alves"/>
        <s v="Valeska Dayse Morais dos Santos"/>
        <s v="Kessiane Cristina Bernadina da Silva"/>
        <s v="Veronica Epifanio Sales Sauza"/>
        <s v="Evylen Eduarda do Nascimento Oliveira "/>
        <s v="Kauana Gabryella de Oliveira Goncalves"/>
        <s v="Evylen Eduarda do Nascimento Oliveira"/>
        <s v="Vanessa de Araujo Amorim"/>
        <s v="Taynam Ramos Ferreira da Silva"/>
        <s v="Renata Maria da Silva Santos"/>
        <s v="Marilia Soares de Oliveira"/>
        <s v="Valeria Conceição da Silva Santos"/>
        <s v="Jayane Cristianelle da Silva"/>
        <s v="Eduarda Estefane Siqueira de Souza"/>
        <s v="Roseane Silva Otaviano"/>
        <s v="Maria Eduarda da Silva"/>
        <s v="Ghefylle Carvalho da Trindade"/>
        <s v="Ester Hadassa Silva de Lima"/>
        <s v="Lethycia Karolayne Neres de Lima"/>
        <s v="Aynoa Izabel de Lima Correia"/>
        <s v="Beatriz Maria da Silva"/>
        <s v="Rafaela Chagas da Silva"/>
        <s v="Mirella Alexandra Queiroz Silva"/>
        <s v="Itamara Karoline Maria Odilon da Silva"/>
        <s v="Kassandra Maria da Silva"/>
        <s v="Alice Leticia Alves do Nascimento"/>
        <s v="Geysiane Goncalves Anastacio"/>
        <s v="Allana Berenice da Silva"/>
        <s v="Adriely Emille Gonçalves de Lima"/>
        <s v="Elizangela Pereira de Oliveira Silva"/>
        <s v="Rafaela Santana da Silva"/>
        <s v="Gleyce Kelly Borges de França"/>
        <s v="Geane Correia de Araujo"/>
        <s v="Warla Kelle da Silva"/>
        <s v="Maria Luiza Sales Pessoa de Meireles"/>
        <s v="Hellen Sulyva Pereira da Silva"/>
        <s v="Pryscilla Matos do Nascimento"/>
        <s v="Leinadh Maria da Silva Martins"/>
        <s v="Fernanda Bezerra da Silva"/>
        <s v="Crislaine Estima da Silva"/>
        <s v="Ladijane Miranda de Siqueira"/>
        <s v="Debora Amanda da Silva"/>
        <s v="Leila Flavia Nascimento da Silva"/>
        <s v="Anna Regina Guedes de Souza"/>
        <s v="Isabela Patricia da Silva Mendes"/>
        <s v="Jania Alexandre Ricardo Freitas"/>
        <s v="Larisse Crispiniano da Silva"/>
        <s v="Patricia da Silva Nascimento"/>
        <s v="Gleyciane Maria da Silva Sales"/>
        <s v="Caroline Eugenia Araújo da Silva Oliveira"/>
        <s v="Juliana Maria da Silva de Araujo"/>
        <s v="Lucelia Maria Vitor do Nascimento"/>
        <s v="Tainan da Silva Lima"/>
        <s v="Maria Jose Elias de Araujo"/>
        <s v="Silvana Kimberlly Libanio Soares Silva"/>
        <s v="Bruna Rita Oliveira de Albuquerque"/>
        <s v="Helen Jayane da Silva Martiniano"/>
        <s v="Emanuela Danielle Silva de Moura"/>
        <s v="Jessica Pinheiro da Silva"/>
        <s v="Gleice Correia de Oliveira "/>
        <s v="Jessica Priscila da Silva Gomes"/>
        <s v="Karina Bezerra dos Santos"/>
        <s v="Rayane Milena da Silva"/>
        <s v="Bruna Rafaela Rodrigues da Silva"/>
        <s v="Thayna Elias Braz Pereira"/>
        <s v="Maria Angelica Gonçalves da Silva"/>
        <s v="Joyce Silva Prazeres"/>
        <s v="Wanessa Daphine de Araujo"/>
        <s v="Laís Marta Pereira"/>
        <s v="Ellen Mayra da Silva Ferreira"/>
        <s v="Stefany Souza Silva"/>
        <s v="Andreza Goncalves do Nascimento"/>
        <s v="Adrielly Emille Goncalves de Lima"/>
        <s v="Layla Beatriz Xavier Correia"/>
        <s v="Fabiana da Silva Alexandre"/>
        <s v="Bianca Xaiane Marques Lira Paz"/>
        <s v="Josilene de Oliveira Nunes"/>
        <s v="Havane Sumaya da Silva"/>
        <s v="Jessica Regina da Silva Brasileiro"/>
        <s v="Pamela Vitoria da Silva Santos"/>
        <s v="Carolayne Lins Ferreira"/>
        <s v="Gleice Kelly Felix da Silva"/>
        <s v="                                                                                                                                                                                                                                                               "/>
      </sharedItems>
    </cacheField>
    <cacheField name="CPF" numFmtId="0">
      <sharedItems containsBlank="1" containsNumber="1" containsInteger="1" containsMixedTypes="1" count="731">
        <m/>
        <n v="11298976480"/>
        <n v="14037728435"/>
        <n v="70244496404"/>
        <s v="09950658454"/>
        <n v="71158194404"/>
        <n v="11442698497"/>
        <n v="12075004455"/>
        <n v="4882140411"/>
        <s v="05900599477"/>
        <n v="70895876493"/>
        <n v="71176140485"/>
        <n v="10768708486"/>
        <n v="70467347476"/>
        <n v="71724929437"/>
        <n v="13393664441"/>
        <n v="11784645478"/>
        <n v="70673369455"/>
        <n v="70398985430"/>
        <n v="11046557483"/>
        <n v="5141053482"/>
        <n v="70823253473"/>
        <n v="6615987481"/>
        <n v="11260421457"/>
        <s v="05341859405"/>
        <n v="17838599466"/>
        <n v="70494219440"/>
        <s v="04802254431"/>
        <s v="04987045486"/>
        <s v="07063328492"/>
        <n v="10886615488"/>
        <n v="70989029425"/>
        <n v="13102393470"/>
        <s v="04393038428"/>
        <s v="09344287430"/>
        <s v="08010319406"/>
        <n v="70672195402"/>
        <n v="13188065426"/>
        <n v="9800656405"/>
        <n v="71052522432"/>
        <n v="13025935448"/>
        <n v="9778988498"/>
        <s v="07907825458"/>
        <s v="09744242426"/>
        <n v="10989907490"/>
        <n v="70816320411"/>
        <s v="09778988498"/>
        <s v="05141053482"/>
        <s v="09359835463"/>
        <n v="16271078435"/>
        <n v="70492275440"/>
        <n v="11505533406"/>
        <s v="08608151456"/>
        <n v="16983892488"/>
        <n v="70759953406"/>
        <s v="06810407421"/>
        <n v="11202951490"/>
        <n v="4182489314"/>
        <s v="09147189401"/>
        <s v="01485735416"/>
        <n v="70663872448"/>
        <n v="70750015403"/>
        <n v="7018160405"/>
        <n v="11477468420"/>
        <n v="11672152496"/>
        <n v="10254647456"/>
        <s v="08019242430"/>
        <n v="11686962401"/>
        <n v="10134721446"/>
        <n v="10683896482"/>
        <n v="13705305441"/>
        <n v="71149073462"/>
        <s v="08732975473"/>
        <n v="9307215430"/>
        <n v="11070665495"/>
        <n v="13333687470"/>
        <s v="05506462484"/>
        <s v="08887603456"/>
        <s v="09890454475"/>
        <n v="70266535470"/>
        <n v="12681650429"/>
        <n v="12312110407"/>
        <s v="01784036447"/>
        <s v="09955568496"/>
        <s v="03787319476"/>
        <n v="10871836424"/>
        <n v="70174742444"/>
        <s v="09566394454"/>
        <n v="9840507443"/>
        <n v="12618533429"/>
        <n v="70332071405"/>
        <n v="15354635462"/>
        <s v="09504531458"/>
        <s v="06443929403"/>
        <n v="8886917422"/>
        <n v="71003727476"/>
        <s v="09383941421"/>
        <n v="71212578406"/>
        <n v="11633312445"/>
        <n v="14118111438"/>
        <n v="14549161418"/>
        <n v="11635639433"/>
        <s v="06569084402"/>
        <n v="70161894496"/>
        <s v="06713356427"/>
        <n v="70254002463"/>
        <n v="71232849413"/>
        <s v="09255445405"/>
        <s v="06929822485"/>
        <s v="08237090438"/>
        <s v="07992425430"/>
        <n v="7865414480"/>
        <n v="15164122499"/>
        <n v="70628172443"/>
        <n v="70806053429"/>
        <n v="13689158419"/>
        <n v="70489527418"/>
        <n v="10848694465"/>
        <n v="7865411480"/>
        <n v="11296639495"/>
        <n v="8867737414"/>
        <s v="05508503412"/>
        <s v="09971354411"/>
        <s v="09225710402"/>
        <s v="09141821459"/>
        <n v="12379186421"/>
        <n v="13960082410"/>
        <n v="13964557447"/>
        <s v="08357295401"/>
        <s v="06785683408"/>
        <n v="71168341418"/>
        <s v="06530344403"/>
        <s v="01727295480"/>
        <n v="70981155413"/>
        <n v="15111735488"/>
        <s v="07857213470"/>
        <s v="09007371401"/>
        <s v="07716126482"/>
        <n v="71199151424"/>
        <n v="70053271440"/>
        <n v="10347149456"/>
        <n v="14500412484"/>
        <n v="14389171470"/>
        <n v="10977407497"/>
        <n v="70209688483"/>
        <s v="07331511408"/>
        <s v="07864208479"/>
        <n v="70169058450"/>
        <n v="10807429481"/>
        <n v="10746529406"/>
        <n v="10859410439"/>
        <n v="14671356406"/>
        <s v="06529668454"/>
        <n v="13484506490"/>
        <n v="71331323460"/>
        <s v="01446203409"/>
        <n v="11915750474"/>
        <s v="01368258425"/>
        <s v="01450922406"/>
        <n v="71214897401"/>
        <n v="70642278431"/>
        <n v="71772736465"/>
        <n v="11275270450"/>
        <n v="70833388410"/>
        <n v="11152651480"/>
        <n v="10316599433"/>
        <s v="08103033456"/>
        <n v="11004310471"/>
        <s v="08885743471"/>
        <s v="09397155466"/>
        <n v="71206260432"/>
        <n v="71188041428"/>
        <n v="10258675489"/>
        <s v="05717648430"/>
        <s v="09815364413"/>
        <n v="12410257461"/>
        <n v="70922340420"/>
        <n v="11539536416"/>
        <n v="12393596402"/>
        <n v="10709582471"/>
        <n v="70815266405"/>
        <n v="71140511408"/>
        <s v="06992220446"/>
        <n v="71345615426"/>
        <s v="09713035410"/>
        <n v="12867231400"/>
        <s v="07002578456"/>
        <n v="70596684460"/>
        <n v="12143833431"/>
        <s v="03923058950"/>
        <n v="13715554436"/>
        <n v="10966441427"/>
        <n v="11136345450"/>
        <n v="12417806410"/>
        <n v="70713534419"/>
        <s v="07615206430"/>
        <n v="17002859471"/>
        <n v="10232065446"/>
        <n v="14825985408"/>
        <n v="37407870829"/>
        <n v="17143084484"/>
        <n v="71580630464"/>
        <s v="08921673431"/>
        <n v="13387549474"/>
        <n v="10509610480"/>
        <n v="71177047489"/>
        <n v="16111740407"/>
        <s v="08568515401"/>
        <s v="06646982473"/>
        <n v="13439690423"/>
        <n v="11350403466"/>
        <n v="12902294492"/>
        <n v="12871055483"/>
        <s v="05166807499"/>
        <s v="09343711484"/>
        <s v="08886917422"/>
        <s v="01352820471"/>
        <n v="17810560484"/>
        <n v="70191449423"/>
        <s v="09638619481"/>
        <n v="71252858485"/>
        <n v="11277531420"/>
        <n v="71567974414"/>
        <s v="08477858403"/>
        <s v="07912410414"/>
        <n v="10502529423"/>
        <n v="71189011484"/>
        <n v="71677469404"/>
        <n v="13785512490"/>
        <s v="09194447411"/>
        <n v="10516087401"/>
        <n v="70761378448"/>
        <n v="70557677416"/>
        <s v="01829481452"/>
        <s v="09077054480"/>
        <s v="05428508426"/>
        <s v="07162770428"/>
        <n v="10358856469"/>
        <s v="08594293429"/>
        <n v="7092486440"/>
        <s v="09242838403"/>
        <n v="11802983490"/>
        <s v="08724492469"/>
        <s v="07092486440"/>
        <s v="09048100461"/>
        <n v="10094451460"/>
        <n v="13470321426"/>
        <n v="70754885461"/>
        <n v="12180538448"/>
        <n v="70512638462"/>
        <n v="17329918474"/>
        <s v="09926155421"/>
        <n v="71581178476"/>
        <s v="08897467458"/>
        <s v="09725947444"/>
        <n v="10804409412"/>
        <s v="08970731423"/>
        <s v="06468732450"/>
        <n v="10323624480"/>
        <n v="70301390460"/>
        <s v="09181379420"/>
        <s v="07859294443"/>
        <n v="10640834477"/>
        <n v="71688931490"/>
        <n v="70195446496"/>
        <n v="70793267455"/>
        <n v="16629595408"/>
        <n v="11267816490"/>
        <s v="06556220477"/>
        <s v="05029110429"/>
        <n v="70164641483"/>
        <n v="10704925400"/>
        <n v="6780936448"/>
        <s v="06780936448"/>
        <s v="03952601403"/>
        <n v="12856949452"/>
        <n v="70242221408"/>
        <n v="70373464460"/>
        <n v="70626108446"/>
        <s v="09624709459"/>
        <s v="05409576403"/>
        <n v="71015297471"/>
        <s v="09236557430"/>
        <n v="10056064470"/>
        <s v="08925830450"/>
        <n v="11541099419"/>
        <s v="04561634410"/>
        <s v="07319672405"/>
        <n v="10113198450"/>
        <n v="17756289498"/>
        <s v="05237532411"/>
        <s v="09813863420"/>
        <s v="06775536410"/>
        <s v="07837957423"/>
        <n v="10433701455"/>
        <s v="04100092458"/>
        <n v="70289116406"/>
        <n v="70551431440"/>
        <n v="71152234404"/>
        <n v="12617371484"/>
        <n v="4854471425"/>
        <s v="07473098411"/>
        <n v="14640046413"/>
        <n v="11412482470"/>
        <n v="12993275402"/>
        <n v="12169521402"/>
        <n v="10088703401"/>
        <s v="07394169448"/>
        <n v="71521746443"/>
        <n v="70161958486"/>
        <s v="08176436488"/>
        <n v="13184626490"/>
        <n v="70991800451"/>
        <n v="70397467435"/>
        <n v="71484091442"/>
        <n v="70770332447"/>
        <s v="08844414406"/>
        <s v="09932432407"/>
        <n v="70961475439"/>
        <n v="11538332477"/>
        <s v="09546579424"/>
        <s v="07962986450"/>
        <s v="06270918499"/>
        <n v="70879519479"/>
        <n v="10750085495"/>
        <n v="12329685440"/>
        <s v="08354118428"/>
        <s v="06588117469"/>
        <n v="11760505404"/>
        <s v="06245697484"/>
        <s v="06211091427"/>
        <n v="11053974400"/>
        <n v="71776241479"/>
        <s v="08722535462"/>
        <n v="71334389411"/>
        <n v="71093916478"/>
        <n v="10499567455"/>
        <n v="11585400432"/>
        <s v="06755866407"/>
        <n v="70577554492"/>
        <n v="70584483457"/>
        <n v="70840198477"/>
        <n v="10039731405"/>
        <s v="06165781489"/>
        <n v="14024568400"/>
        <n v="10903890437"/>
        <s v="09023361423"/>
        <s v="07260242442"/>
        <n v="12266138456"/>
        <n v="10581440498"/>
        <n v="70550585460"/>
        <n v="16762881475"/>
        <n v="13034821425"/>
        <n v="13172784452"/>
        <n v="71484595408"/>
        <n v="14045185410"/>
        <n v="12049566425"/>
        <n v="23273886862"/>
        <n v="10704405407"/>
        <s v="06615610469"/>
        <s v="08757158428"/>
        <n v="71714309444"/>
        <s v="09272101425"/>
        <s v="06075278460"/>
        <n v="14320726766"/>
        <n v="15819343433"/>
        <n v="15953902433"/>
        <n v="11237571430"/>
        <n v="71136052496"/>
        <n v="11034320440"/>
        <n v="70294687408"/>
        <n v="70534816460"/>
        <n v="70837351405"/>
        <n v="10816028486"/>
        <s v="05213591477"/>
        <n v="10501742409"/>
        <n v="71376795442"/>
        <s v="06852178412"/>
        <n v="71377648435"/>
        <s v="09270912400"/>
        <n v="70968471463"/>
        <s v="08844438410"/>
        <s v="08332796458"/>
        <n v="11378137418"/>
        <n v="10811398463"/>
        <n v="70946113408"/>
        <s v="08479536454"/>
        <n v="71396500460"/>
        <n v="13211084436"/>
        <n v="11520185405"/>
        <n v="71181541484"/>
        <n v="13114627404"/>
        <n v="70910159408"/>
        <s v="01589956435"/>
        <s v="09817940411"/>
        <n v="71235645452"/>
        <s v="09000840490"/>
        <s v="07111563441"/>
        <n v="16330430454"/>
        <n v="10290032466"/>
        <n v="11584236400"/>
        <s v="09896030405"/>
        <n v="10436365448"/>
        <s v="09569874430"/>
        <n v="12153382440"/>
        <n v="10628668430"/>
        <n v="8147055455"/>
        <n v="71848583443"/>
        <n v="70766391493"/>
        <n v="11540327442"/>
        <s v="05778167482"/>
        <s v="09024504414"/>
        <n v="13380297461"/>
        <n v="71281728403"/>
        <n v="10760602425"/>
        <n v="16861664430"/>
        <n v="10922880409"/>
        <s v="05071789477"/>
        <n v="11959329448"/>
        <s v="08467540451"/>
        <n v="14039865413"/>
        <s v="08526174452"/>
        <n v="14092906463"/>
        <n v="6462481463"/>
        <n v="10219392420"/>
        <n v="70561899460"/>
        <s v="01732223408"/>
        <s v="08933368400"/>
        <n v="70611531488"/>
        <n v="13497029432"/>
        <n v="9099317476"/>
        <n v="70237674440"/>
        <n v="71369959494"/>
        <s v="09761815412"/>
        <n v="70797418407"/>
        <s v="08386312408"/>
        <n v="70482917458"/>
        <n v="10153924403"/>
        <s v="07302189455"/>
        <n v="71429101431"/>
        <n v="37157378833"/>
        <s v="01632837455"/>
        <n v="70808893408"/>
        <s v="06936977413"/>
        <n v="11904965423"/>
        <n v="71631042432"/>
        <n v="1065749431"/>
        <n v="11984497480"/>
        <n v="10657449431"/>
        <s v="09117402441"/>
        <n v="11066349428"/>
        <s v="09231059483"/>
        <n v="10909927421"/>
        <n v="70425234401"/>
        <n v="71346312494"/>
        <n v="10517656418"/>
        <s v="09753564457"/>
        <s v="09080588458"/>
        <n v="14461093484"/>
        <n v="10687511429"/>
        <n v="71053651457"/>
        <s v="09454086413"/>
        <n v="70198196482"/>
        <s v="06057290429"/>
        <n v="12472908407"/>
        <n v="71430049448"/>
        <n v="12226276475"/>
        <n v="10160330440"/>
        <s v="09628716484"/>
        <s v="09842512436"/>
        <n v="12247533485"/>
        <n v="71450636462"/>
        <n v="70500049440"/>
        <n v="16484138460"/>
        <n v="11480668451"/>
        <s v="03368101480"/>
        <s v="09357792481"/>
        <n v="72068534479"/>
        <n v="13951086416"/>
        <n v="10752547445"/>
        <n v="22784714810"/>
        <n v="70261856405"/>
        <s v="08351582417"/>
        <n v="71258001497"/>
        <n v="39403127899"/>
        <s v="01391594444"/>
        <s v="06554886427"/>
        <n v="16009723493"/>
        <n v="71266803416"/>
        <n v="11012606457"/>
        <n v="9753564457"/>
        <n v="11229954406"/>
        <s v="06571354454"/>
        <s v="09092644498"/>
        <s v="04671793440"/>
        <n v="71681386429"/>
        <n v="15842009447"/>
        <s v="08220304464"/>
        <n v="70085444480"/>
        <s v="14825985408"/>
        <n v="11274887402"/>
        <n v="12912334403"/>
        <s v="08971497424"/>
        <n v="70505915480"/>
        <s v="04876514488"/>
        <n v="13393293443"/>
        <n v="11257950428"/>
        <n v="12265832456"/>
        <n v="12932162403"/>
        <n v="12627302442"/>
        <s v="09778501459"/>
        <n v="10979586470"/>
        <n v="70191405485"/>
        <s v="04939304426"/>
        <s v="09404433411"/>
        <s v="08842150401"/>
        <s v="09224274455"/>
        <n v="12256305414"/>
        <n v="70937498440"/>
        <s v="09900961498"/>
        <n v="71144197406"/>
        <n v="12102109402"/>
        <n v="70493080481"/>
        <n v="71998664457"/>
        <n v="70981237495"/>
        <n v="70443909431"/>
        <n v="70942859499"/>
        <n v="10991103432"/>
        <n v="14567730461"/>
        <n v="13645225439"/>
        <s v="08813404484"/>
        <n v="12479929426"/>
        <n v="14039334485"/>
        <n v="11123861498"/>
        <n v="70410093432"/>
        <s v="08052436400"/>
        <n v="10717354466"/>
        <n v="71466211466"/>
        <s v="05497260470"/>
        <s v="09589544452"/>
        <s v="07969064400"/>
        <n v="71557419493"/>
        <n v="10930499441"/>
        <s v="07453742471"/>
        <n v="71818397480"/>
        <n v="70632914408"/>
        <s v="09540280400"/>
        <s v="00059759305"/>
        <n v="10499514416"/>
        <n v="16751619413"/>
        <s v="07181969455"/>
        <n v="12362817482"/>
        <s v="09245048462"/>
        <n v="12935047427"/>
        <n v="70428539467"/>
        <s v="08873260489"/>
        <n v="15871498426"/>
        <s v="07339708421"/>
        <n v="12513606450"/>
        <n v="71415495440"/>
        <n v="10793952450"/>
        <n v="10340541474"/>
        <s v="08170030455"/>
        <n v="71492471488"/>
        <n v="71662525451"/>
        <n v="70528685473"/>
        <n v="12351052455"/>
        <s v="07262847422"/>
        <n v="71219042412"/>
        <n v="70758250460"/>
        <n v="11786881438"/>
        <n v="12494781469"/>
        <n v="10956410421"/>
        <n v="10813817447"/>
        <n v="11608060470"/>
        <n v="11098787455"/>
        <s v="07202895480"/>
        <n v="13973758417"/>
        <n v="11267539470"/>
        <s v="09810823436"/>
        <n v="11754544436"/>
        <n v="71228826404"/>
        <n v="70292521448"/>
        <n v="71171552483"/>
        <n v="13320250485"/>
        <n v="10566423430"/>
        <n v="71130378446"/>
        <n v="13465265408"/>
        <n v="11441339477"/>
        <s v="06466604462"/>
        <n v="51035953897"/>
        <n v="71533059470"/>
        <s v="09345624406"/>
        <s v="09413612412"/>
        <n v="13010353430"/>
        <n v="10630912416"/>
        <s v="03437474480"/>
        <n v="15493280426"/>
        <n v="71284004430"/>
        <n v="12567294422"/>
        <n v="13200818433"/>
        <n v="11289973474"/>
        <n v="12002249490"/>
        <n v="70421798467"/>
        <n v="71144539498"/>
        <n v="12864877490"/>
        <n v="17785739404"/>
        <s v="01798823411"/>
        <n v="12839471450"/>
        <n v="13115492421"/>
        <n v="11239307403"/>
        <s v="09421353420"/>
        <n v="13775678425"/>
        <s v="01798674408"/>
        <n v="70896728404"/>
        <n v="10888762429"/>
        <n v="13180404426"/>
        <n v="11542933439"/>
        <s v="05982559407"/>
        <n v="70620658460"/>
        <s v="06036013400"/>
        <n v="11088441467"/>
        <n v="10733452469"/>
        <s v="08010651435"/>
        <n v="16611354476"/>
        <s v="06110013498"/>
        <n v="12109949414"/>
        <s v="06093734471"/>
        <n v="10303523484"/>
        <n v="16086979405"/>
        <n v="70477443478"/>
        <n v="10300749414"/>
        <n v="11983677418"/>
        <n v="70407529489"/>
        <n v="70048226483"/>
        <n v="71436568447"/>
        <s v="05186380571"/>
        <n v="12936692458"/>
        <n v="11486071457"/>
        <n v="12328336493"/>
        <n v="70568093402"/>
        <s v="06011565441"/>
        <n v="70541703420"/>
        <n v="70447520474"/>
        <n v="16111438450"/>
        <n v="17100735432"/>
        <n v="71099512433"/>
        <s v="05903519407"/>
        <n v="11231776439"/>
        <s v="03886783480"/>
        <s v="09772012448"/>
        <s v="09186594427"/>
        <n v="12310877492"/>
        <n v="12327939496"/>
        <s v="08002192443"/>
        <n v="70280817452"/>
        <n v="16530557741"/>
        <n v="17517363425"/>
        <n v="71056621400"/>
        <n v="11170401430"/>
        <n v="71590593448"/>
        <s v="08773764418"/>
        <n v="71578122406"/>
        <s v="08038192427"/>
        <s v="06529921451"/>
        <n v="11332924450"/>
        <n v="11067662456"/>
        <n v="10919300405"/>
        <n v="10657267406"/>
        <n v="13483484450"/>
        <n v="15877271458"/>
        <n v="10622975471"/>
        <n v="11772993484"/>
        <s v="07953985497"/>
        <n v="11257485407"/>
        <n v="14208382708"/>
        <n v="70915413400"/>
        <n v="71353539431"/>
        <n v="10314889442"/>
        <n v="12895912459"/>
        <s v="07881299452"/>
        <n v="11838694447"/>
        <n v="11839451408"/>
        <n v="71305949420"/>
        <s v="09112033464"/>
        <n v="11756692459"/>
        <s v="09649602496"/>
        <s v="09190352483"/>
        <n v="11846531438"/>
        <n v="15905956456"/>
        <s v="06040753404"/>
        <n v="71188326422"/>
        <n v="11317277465"/>
        <s v="09075251483"/>
        <s v="08579549469"/>
        <n v="70265875447"/>
        <s v="09061804493"/>
        <n v="13573595430"/>
        <n v="11189101416"/>
        <s v="07237724444"/>
        <s v="05365206401"/>
        <n v="70294475494"/>
        <s v="03345996448"/>
        <n v="14282695412"/>
        <s v="06366530483"/>
        <n v="11414319479"/>
        <n v="10940084430"/>
        <n v="70341962490"/>
        <n v="70313602425"/>
        <n v="71871129478"/>
        <s v="09085672430"/>
        <n v="70287998401"/>
        <s v="08283085433"/>
        <n v="16319449403"/>
        <n v="11873320469"/>
        <n v="70614439442"/>
        <n v="17430102492"/>
        <s v="09327901436"/>
        <n v="10024550493"/>
        <n v="1440046413"/>
        <n v="12996355474"/>
        <s v="08920287422"/>
        <n v="70675118441"/>
        <s v="06620762492"/>
        <n v="71331374456"/>
        <s v="07801832400"/>
        <n v="13611584410"/>
        <n v="10664578403"/>
        <n v="11471732495"/>
        <n v="72016087463"/>
        <n v="11746594403"/>
      </sharedItems>
    </cacheField>
    <cacheField name="CNS" numFmtId="0">
      <sharedItems containsString="0" containsBlank="1" containsNumber="1" containsInteger="1" minValue="70120702918371" maxValue="898050095465067" count="725">
        <m/>
        <n v="702309124420318"/>
        <n v="703102331235560"/>
        <n v="705703432034430"/>
        <n v="705005817013652"/>
        <n v="708407796973663"/>
        <n v="702105777657950"/>
        <n v="702403017460123"/>
        <n v="702301136510514"/>
        <n v="700902926629091"/>
        <n v="700002751960906"/>
        <n v="700002248469009"/>
        <n v="704306570802490"/>
        <n v="700003309452306"/>
        <n v="700201400050122"/>
        <n v="700002665283209"/>
        <n v="701207029183712"/>
        <n v="700005875085902"/>
        <n v="700005882298401"/>
        <n v="708702189579698"/>
        <n v="700506170046856"/>
        <n v="704705577244340"/>
        <n v="700704978103876"/>
        <n v="702403012834025"/>
        <n v="705702437682030"/>
        <n v="706405177561283"/>
        <n v="700006505018403"/>
        <n v="709205207587931"/>
        <n v="708704177030094"/>
        <n v="708105560163634"/>
        <n v="701409644710532"/>
        <n v="700004101187503"/>
        <n v="209052022490009"/>
        <n v="700005112908305"/>
        <n v="704102770029580"/>
        <n v="708602069041586"/>
        <n v="707405032215277"/>
        <n v="708207113732745"/>
        <n v="709206262169233"/>
        <n v="700903912525192"/>
        <n v="702409551791425"/>
        <n v="701204072769313"/>
        <n v="705301484050390"/>
        <n v="700504938219751"/>
        <n v="701009899857591"/>
        <n v="706306617689780"/>
        <n v="209051471750007"/>
        <n v="708000898780624"/>
        <n v="706005856689244"/>
        <n v="708500376279279"/>
        <n v="700002491205909"/>
        <n v="709601664711271"/>
        <n v="898000652731327"/>
        <n v="700000775385705"/>
        <n v="705603421725012"/>
        <n v="702104750775290"/>
        <n v="701806212560272"/>
        <n v="700503541527951"/>
        <n v="700000822013309"/>
        <n v="700208434012424"/>
        <n v="708708109195192"/>
        <n v="706806240579420"/>
        <n v="704804584865841"/>
        <n v="705600424812517"/>
        <n v="708403791520268"/>
        <n v="701800299538570"/>
        <n v="708201136381242"/>
        <n v="700508790071751"/>
        <n v="704300580759797"/>
        <n v="206045717250004"/>
        <n v="700004086227201"/>
        <n v="706003892594248"/>
        <n v="700008726340202"/>
        <n v="708707109614690"/>
        <n v="700001403748904"/>
        <n v="705009821852659"/>
        <n v="706809221854422"/>
        <n v="700008372208705"/>
        <n v="704803055421841"/>
        <n v="700004797843807"/>
        <n v="706401675238685"/>
        <n v="708603077751784"/>
        <n v="706703518432319"/>
        <n v="701408677522831"/>
        <n v="706200093511568"/>
        <n v="704001849620064"/>
        <n v="704600736177630"/>
        <n v="701003827009297"/>
        <n v="704201206184189"/>
        <n v="700208426691628"/>
        <n v="700006684597306"/>
        <n v="706505322497098"/>
        <n v="702000338875485"/>
        <n v="707609216180397"/>
        <n v="70120702918371"/>
        <n v="707808603525913"/>
        <n v="703401295219315"/>
        <n v="708004843352020"/>
        <n v="703403421894200"/>
        <n v="704007160101070"/>
        <n v="701805288964276"/>
        <n v="706401602918082"/>
        <n v="700801977487189"/>
        <n v="704805587922146"/>
        <n v="706801210740520"/>
        <n v="700509773550753"/>
        <n v="703404238473014"/>
        <n v="700504929873355"/>
        <n v="700204926989428"/>
        <n v="700009740270705"/>
        <n v="705002239945457"/>
        <n v="700005241485109"/>
        <n v="700008035815606"/>
        <n v="206053458500008"/>
        <n v="708400717008467"/>
        <n v="702401043319228"/>
        <n v="703408046224400"/>
        <n v="700209466716525"/>
        <n v="706206004686362"/>
        <n v="700507529572253"/>
        <n v="701109380079380"/>
        <n v="707007847940738"/>
        <n v="702805126780461"/>
        <n v="706403154387587"/>
        <n v="700902975908497"/>
        <n v="704001886504668"/>
        <n v="702508373337330"/>
        <n v="702303171179812"/>
        <n v="702500371187237"/>
        <n v="708501389703679"/>
        <n v="705009899325355"/>
        <n v="700007525040502"/>
        <n v="702506385881039"/>
        <n v="708209134201740"/>
        <n v="701103334115080"/>
        <n v="707106366986720"/>
        <n v="704606180252124"/>
        <n v="708606097669989"/>
        <n v="706801783269029"/>
        <n v="898005174693865"/>
        <n v="706407666228082"/>
        <n v="702500368297132"/>
        <n v="708104596853338"/>
        <n v="209053623510005"/>
        <n v="704300517263690"/>
        <n v="701804291442578"/>
        <n v="700306966503330"/>
        <n v="706709750051820"/>
        <n v="707802698820718"/>
        <n v="898003426867976"/>
        <n v="706001315807649"/>
        <n v="700007196049009"/>
        <n v="702009312004981"/>
        <n v="700402953155350"/>
        <n v="706703501709118"/>
        <n v="700800924380087"/>
        <n v="705206468768679"/>
        <n v="701807289837679"/>
        <n v="705006843837757"/>
        <n v="701804284088071"/>
        <n v="704105229464050"/>
        <n v="702805692567664"/>
        <n v="708704199993898"/>
        <n v="709206255090333"/>
        <n v="702808151424560"/>
        <n v="706808763613626"/>
        <n v="704207569648590"/>
        <n v="700009756810909"/>
        <n v="898004112430525"/>
        <n v="702609237165647"/>
        <n v="704706718467333"/>
        <n v="701004869342599"/>
        <n v="702005360528088"/>
        <n v="707608210613398"/>
        <n v="708004326100028"/>
        <n v="707603234727798"/>
        <n v="704208796499384"/>
        <n v="703106886252060"/>
        <n v="700608492019165"/>
        <n v="700001559799204"/>
        <n v="706605501971710"/>
        <n v="701803216936576"/>
        <n v="708603017484089"/>
        <n v="700009213912107"/>
        <n v="706403175801781"/>
        <n v="702407068460825"/>
        <n v="702908566058871"/>
        <n v="700800977538181"/>
        <n v="206044337050002"/>
        <n v="709604646515272"/>
        <n v="700003714309300"/>
        <n v="706200587848067"/>
        <n v="702507371552632"/>
        <n v="706906145621538"/>
        <n v="898005980124766"/>
        <n v="703402288081800"/>
        <n v="703008821547875"/>
        <n v="705402440429297"/>
        <n v="898003740931665"/>
        <n v="706401158848587"/>
        <n v="700708434557280"/>
        <n v="708107808885710"/>
        <n v="707806698403118"/>
        <n v="898003033926454"/>
        <n v="700400926071042"/>
        <n v="700007375574701"/>
        <n v="700000449927606"/>
        <n v="705804437129030"/>
        <n v="700709964698079"/>
        <n v="702809136602667"/>
        <n v="898003295517772"/>
        <n v="706508365166797"/>
        <n v="708601027397586"/>
        <n v="706400343153890"/>
        <n v="707607284854193"/>
        <n v="702005325092082"/>
        <n v="705803458151638"/>
        <n v="705008421417954"/>
        <n v="700300942296534"/>
        <n v="700001451759201"/>
        <n v="700009626475204"/>
        <n v="704101120189175"/>
        <n v="702603781836245"/>
        <n v="700504398814051"/>
        <n v="700604928707167"/>
        <n v="705609497195117"/>
        <n v="706809788150825"/>
        <n v="708002323626329"/>
        <n v="700007773792504"/>
        <n v="706403690402883"/>
        <n v="702305004241420"/>
        <n v="700205940755030"/>
        <n v="700808942449686"/>
        <n v="704001819954762"/>
        <n v="705008653771250"/>
        <n v="700303489595140"/>
        <n v="704607149910620"/>
        <n v="700802950647186"/>
        <n v="708005873205221"/>
        <n v="705200406232877"/>
        <n v="705607447469815"/>
        <n v="898002391102498"/>
        <n v="709602647540376"/>
        <n v="700802413288187"/>
        <n v="700305900737537"/>
        <n v="702802502919170"/>
        <n v="709804075482392"/>
        <n v="700503113295351"/>
        <n v="705009691293051"/>
        <n v="700001162973506"/>
        <n v="700400558690050"/>
        <n v="709201282056537"/>
        <n v="704703754695933"/>
        <n v="702805654905760"/>
        <n v="708005352616827"/>
        <n v="706800705282925"/>
        <n v="708408253345263"/>
        <n v="703002893021874"/>
        <n v="702808142394360"/>
        <n v="700801400566786"/>
        <n v="700107839299990"/>
        <n v="705604474294912"/>
        <n v="704007382536065"/>
        <n v="706804729437825"/>
        <n v="704006815939364"/>
        <n v="705401411478497"/>
        <n v="706702508531615"/>
        <n v="704002825635968"/>
        <n v="700803490012388"/>
        <n v="700805993599089"/>
        <n v="707601278100691"/>
        <n v="705406415504896"/>
        <n v="700208977258122"/>
        <n v="704606634032426"/>
        <n v="702406072275122"/>
        <n v="704203294432785"/>
        <n v="704704755758735"/>
        <n v="701807287448470"/>
        <n v="702505316635031"/>
        <n v="702107726825391"/>
        <n v="700208934984522"/>
        <n v="706403183087685"/>
        <n v="700109984959620"/>
        <n v="705006858038952"/>
        <n v="898004541923736"/>
        <n v="704005380561265"/>
        <n v="704505318793811"/>
        <n v="709805009296498"/>
        <n v="706805268866024"/>
        <n v="701102044255210"/>
        <n v="700902904075395"/>
        <n v="700507946339054"/>
        <n v="701707284385770"/>
        <n v="702504395276837"/>
        <n v="700000331008003"/>
        <n v="706409146148787"/>
        <n v="700503392857351"/>
        <n v="898006177047124"/>
        <n v="200329141690001"/>
        <n v="898004847610948"/>
        <n v="708606000411280"/>
        <n v="700204487588122"/>
        <n v="700608461938568"/>
        <n v="700001066797603"/>
        <n v="708602561840888"/>
        <n v="706809158603030"/>
        <n v="702803607991069"/>
        <n v="702608728208647"/>
        <n v="705005422471356"/>
        <n v="704806523960048"/>
        <n v="705005617278156"/>
        <n v="700006358142601"/>
        <n v="704706748082936"/>
        <n v="700204427919629"/>
        <n v="700606470263967"/>
        <n v="700904910650594"/>
        <n v="706205719106970"/>
        <n v="708209198296742"/>
        <n v="700006916653005"/>
        <n v="703405401695700"/>
        <n v="706808268468226"/>
        <n v="704604695814821"/>
        <n v="700801410371082"/>
        <n v="700801935528685"/>
        <n v="705600430738218"/>
        <n v="707606278263595"/>
        <n v="703403585430800"/>
        <n v="700503166072055"/>
        <n v="700600475815563"/>
        <n v="700503923254059"/>
        <n v="708206629187642"/>
        <n v="700003730687608"/>
        <n v="898004515051239"/>
        <n v="700805405532786"/>
        <n v="707809636197614"/>
        <n v="703400956786400"/>
        <n v="707602265290390"/>
        <n v="705000630829352"/>
        <n v="700406468974640"/>
        <n v="700005003646709"/>
        <n v="705205410973570"/>
        <n v="706206023630466"/>
        <n v="709008832920318"/>
        <n v="706803700987028"/>
        <n v="705009243104050"/>
        <n v="898003279196983"/>
        <n v="702007717649390"/>
        <n v="700006996160604"/>
        <n v="707400095300870"/>
        <n v="704507398766818"/>
        <n v="702604210262744"/>
        <n v="706808715942623"/>
        <n v="700002178721200"/>
        <n v="707002893267434"/>
        <n v="700704905278072"/>
        <n v="706502381193293"/>
        <n v="898003292542652"/>
        <n v="706900193331433"/>
        <n v="703008898676378"/>
        <n v="700804961486083"/>
        <n v="702408513624427"/>
        <n v="706505362955291"/>
        <n v="700607443905067"/>
        <n v="898002058966432"/>
        <n v="707600208687994"/>
        <n v="706601511240510"/>
        <n v="701808284741275"/>
        <n v="704204284423989"/>
        <n v="700502539523455"/>
        <n v="200344031610009"/>
        <n v="704203767834281"/>
        <n v="709203216580438"/>
        <n v="898001088704583"/>
        <n v="898003026839444"/>
        <n v="708700190774790"/>
        <n v="700601419972161"/>
        <n v="706006347560740"/>
        <n v="706801746390324"/>
        <n v="200336850740008"/>
        <n v="701301617122130"/>
        <n v="700707925864875"/>
        <n v="706206062450465"/>
        <n v="209047280690005"/>
        <n v="898004654931653"/>
        <n v="700503741989150"/>
        <n v="706500337525497"/>
        <n v="209964255210002"/>
        <n v="702608761483341"/>
        <n v="702300129263816"/>
        <n v="705003083480658"/>
        <n v="702005810307087"/>
        <n v="709206248183631"/>
        <n v="700003377103400"/>
        <n v="708100531892831"/>
        <n v="700604473930660"/>
        <n v="702009388657587"/>
        <n v="700006014004909"/>
        <n v="700004274892705"/>
        <n v="700206468913724"/>
        <n v="700009583339207"/>
        <n v="701103348258180"/>
        <n v="700407937351846"/>
        <n v="898005949436026"/>
        <n v="705008613920859"/>
        <n v="709203201351233"/>
        <n v="701308698720730"/>
        <n v="898000651859796"/>
        <n v="703408691844200"/>
        <n v="708100564765235"/>
        <n v="703108860418060"/>
        <n v="704303576561298"/>
        <n v="700305988617540"/>
        <n v="700304967450840"/>
        <n v="700000267360805"/>
        <n v="898004089980765"/>
        <n v="898005182839644"/>
        <n v="700003623132602"/>
        <n v="706803713587228"/>
        <n v="709200207002734"/>
        <n v="702608252042142"/>
        <n v="702309116567518"/>
        <n v="700605925532170"/>
        <n v="705603432558317"/>
        <n v="706300725356872"/>
        <n v="707803652437114"/>
        <n v="702603216645547"/>
        <n v="708405226095569"/>
        <n v="702600251436948"/>
        <n v="704704091932240"/>
        <n v="702401092249521"/>
        <n v="709204257043837"/>
        <n v="708700168884694"/>
        <n v="706703534950019"/>
        <n v="700402456980442"/>
        <n v="701805248891170"/>
        <n v="705001805425558"/>
        <n v="706208590259767"/>
        <n v="705006070731455"/>
        <n v="700503438361760"/>
        <n v="705201424814778"/>
        <n v="705404474201797"/>
        <n v="703202606885594"/>
        <n v="703403268268213"/>
        <n v="702601274645447"/>
        <n v="707803605040017"/>
        <n v="704305563905890"/>
        <n v="704000838863067"/>
        <n v="708601566411089"/>
        <n v="700908942014999"/>
        <n v="702502399664139"/>
        <n v="708700165310395"/>
        <n v="704605631258422"/>
        <n v="700203928579021"/>
        <n v="700400590955250"/>
        <n v="706700704298020"/>
        <n v="707502276153390"/>
        <n v="705608478820418"/>
        <n v="700605425008863"/>
        <n v="701802207308575"/>
        <n v="700006792641809"/>
        <n v="702403520927427"/>
        <n v="700005247862109"/>
        <n v="704107738689680"/>
        <n v="704301569733796"/>
        <n v="700402954359847"/>
        <n v="704102152406970"/>
        <n v="700307924703340"/>
        <n v="898003065205434"/>
        <n v="706002865429044"/>
        <n v="702302192126016"/>
        <n v="701000843555192"/>
        <n v="898006294626805"/>
        <n v="706301747155471"/>
        <n v="705005428340253"/>
        <n v="704607655945022"/>
        <n v="706902172422830"/>
        <n v="700204950900830"/>
        <n v="703407527388000"/>
        <n v="701006878226794"/>
        <n v="701005891945099"/>
        <n v="708006803184625"/>
        <n v="709201209698230"/>
        <n v="706408648170389"/>
        <n v="700907904325795"/>
        <n v="700404429566845"/>
        <n v="701205029878719"/>
        <n v="700003859109000"/>
        <n v="708101541341936"/>
        <n v="898001087401617"/>
        <n v="898003064619731"/>
        <n v="700809484779783"/>
        <n v="708907785709116"/>
        <n v="705005202258750"/>
        <n v="707105809407820"/>
        <n v="704703781901239"/>
        <n v="700500121853551"/>
        <n v="704205713036486"/>
        <n v="206049713590009"/>
        <n v="700505366831350"/>
        <n v="706803732958228"/>
        <n v="700306906631332"/>
        <n v="700407938011445"/>
        <n v="898001085848827"/>
        <n v="706000304788442"/>
        <n v="700505399532654"/>
        <n v="700009010750307"/>
        <n v="708605175423090"/>
        <n v="700006321187806"/>
        <n v="702403509228925"/>
        <n v="706406613229288"/>
        <n v="702808108979661"/>
        <n v="700601478937660"/>
        <n v="700605968716869"/>
        <n v="702609215868645"/>
        <n v="700506558264153"/>
        <n v="701403685953337"/>
        <n v="708405244029769"/>
        <n v="702304159779113"/>
        <n v="700006238173704"/>
        <n v="706809705489420"/>
        <n v="898005185455359"/>
        <n v="898050095465067"/>
        <n v="708409268304569"/>
        <n v="704209289839282"/>
        <n v="706303740457075"/>
        <n v="700504323315155"/>
        <n v="706406390910290"/>
        <n v="705603430524911"/>
        <n v="703004884010476"/>
        <n v="705008073985751"/>
        <n v="700608427804260"/>
        <n v="707600256228694"/>
        <n v="705009823463358"/>
        <n v="702801187246062"/>
        <n v="706200504791062"/>
        <n v="708205636294946"/>
        <n v="704004819053865"/>
        <n v="708107140970040"/>
        <n v="703200612913497"/>
        <n v="703409215242819"/>
        <n v="700009022856504"/>
        <n v="702603799229847"/>
        <n v="898006193597036"/>
        <n v="898004913866631"/>
        <n v="898003946734946"/>
        <n v="707004810892931"/>
        <n v="706706562283717"/>
        <n v="707607211389792"/>
        <n v="706403116869782"/>
        <n v="702309180867918"/>
        <n v="700600901502064"/>
        <n v="704005827730561"/>
        <n v="898005133793156"/>
        <n v="707701685156210"/>
        <n v="709608657226378"/>
        <n v="700503768967050"/>
        <n v="898003275844239"/>
        <n v="700400904372244"/>
        <n v="706705540068510"/>
        <n v="700002676161908"/>
        <n v="707008845418334"/>
        <n v="209056779050004"/>
        <n v="705409414644999"/>
        <n v="703406342965000"/>
        <n v="704107116893373"/>
        <n v="700606459947766"/>
        <n v="701004837238699"/>
        <n v="708004814765525"/>
        <n v="705000834244751"/>
        <n v="708204603766643"/>
        <n v="702803109430863"/>
        <n v="702104741250695"/>
        <n v="708201632190743"/>
        <n v="709200279783635"/>
        <n v="898003836744750"/>
        <n v="700301934830331"/>
        <n v="702400036521121"/>
        <n v="704202542975790"/>
        <n v="704007823903560"/>
        <n v="707109303720920"/>
        <n v="702403542804824"/>
        <n v="704205751140481"/>
        <n v="700905995764191"/>
        <n v="700001740952906"/>
        <n v="706309795634071"/>
        <n v="702102783439697"/>
        <n v="700805988142483"/>
        <n v="701407682433336"/>
        <n v="702401024102529"/>
        <n v="702303148692312"/>
        <n v="700309983361339"/>
        <n v="898004986881584"/>
        <n v="703000803629779"/>
        <n v="700404905544050"/>
        <n v="702501342525732"/>
        <n v="700002442144101"/>
        <n v="705006427006555"/>
        <n v="708601549792983"/>
        <n v="700003787331608"/>
        <n v="700701979525674"/>
        <n v="898006252474861"/>
        <n v="701401691934339"/>
        <n v="700209919843124"/>
        <n v="705106307521540"/>
        <n v="700407440739044"/>
        <n v="700009363682808"/>
        <n v="700709444210780"/>
        <n v="704601654770126"/>
        <n v="700306991570631"/>
        <n v="700501737690853"/>
        <n v="702707606116460"/>
        <n v="700908992000398"/>
        <n v="702004331949681"/>
        <n v="704509368524613"/>
        <n v="708207643005344"/>
        <n v="706204598670268"/>
        <n v="706403650143380"/>
        <n v="700009780363305"/>
        <n v="709201274976134"/>
        <n v="701809220718672"/>
        <n v="708601593540986"/>
        <n v="700503594407756"/>
        <n v="708008375922927"/>
        <n v="898005944310342"/>
        <n v="705007699222453"/>
        <n v="701404634334932"/>
        <n v="702300180822916"/>
        <n v="708508517123080"/>
        <n v="898002264795109"/>
        <n v="700508714573156"/>
        <n v="898003024599446"/>
        <n v="702903507965774"/>
        <n v="700002198921507"/>
        <n v="702602297172546"/>
        <n v="706500311039498"/>
        <n v="709601686997275"/>
        <n v="700007158565208"/>
        <n v="700004688616605"/>
        <n v="700006909687501"/>
        <n v="702803137555969"/>
        <n v="705001079158354"/>
        <n v="898004836101605"/>
        <n v="700802998286086"/>
        <n v="705304457650490"/>
        <n v="700001137575802"/>
        <n v="708201171128140"/>
        <n v="702803685947161"/>
        <n v="704603187289721"/>
        <n v="703608024227030"/>
        <n v="703401251990911"/>
        <n v="700409923504043"/>
        <n v="700401493992148"/>
        <n v="706902134978738"/>
        <n v="700001899481804"/>
        <n v="707609219415093"/>
        <n v="706804286131323"/>
        <n v="702106712699096"/>
        <n v="700908946200096"/>
        <n v="702804665755861"/>
        <n v="704001314656365"/>
        <n v="708102586377337"/>
        <n v="700601999498266"/>
        <n v="708400273864269"/>
        <n v="701402691924237"/>
        <n v="704205746556985"/>
        <n v="703206662088894"/>
        <n v="702804142472767"/>
        <n v="702505722923040"/>
        <n v="708601053636584"/>
        <n v="701105390920580"/>
        <n v="705107825176140"/>
        <n v="700003339878808"/>
        <n v="700504753126951"/>
        <n v="700004526831802"/>
        <n v="709606643280470"/>
        <n v="700503384836758"/>
        <n v="706405158579989"/>
        <n v="700405154886950"/>
        <n v="705401487977990"/>
        <n v="700001832228406"/>
        <n v="704003128044470"/>
        <n v="704106847372350"/>
        <n v="703608091797331"/>
        <n v="700009110525402"/>
        <n v="898005802359767"/>
        <n v="702501342073335"/>
        <n v="706205536217560"/>
        <n v="708400798413766"/>
        <n v="700505976434150"/>
        <n v="706306794286271"/>
        <n v="703603092777933"/>
        <n v="700000824554102"/>
        <n v="708401256257261"/>
        <n v="704604138571428"/>
        <n v="700000365384407"/>
        <n v="703006808782775"/>
        <n v="704701561064840"/>
        <n v="704608132038624"/>
        <n v="898003299705492"/>
        <n v="700501149772050"/>
        <n v="700000069671707"/>
        <n v="700604968715969"/>
        <n v="700007989953107"/>
        <n v="703402229345414"/>
        <n v="704008378418763"/>
        <n v="704204774765681"/>
        <n v="705409461268299"/>
        <n v="702600229007746"/>
        <n v="705800422211433"/>
        <n v="700500326666257"/>
        <n v="704607721393630"/>
        <n v="709003826558411"/>
        <n v="709804080626291"/>
        <n v="708704169647495"/>
        <n v="700900983777493"/>
        <n v="707306000757270"/>
        <n v="706303762885274"/>
        <n v="708205632095841"/>
        <n v="703101891132960"/>
        <n v="700506311443651"/>
        <n v="706404117661884"/>
        <n v="704705703665532"/>
        <n v="700006866310304"/>
        <n v="703209625276995"/>
        <n v="706000327149543"/>
      </sharedItems>
    </cacheField>
    <cacheField name="Link do atendimento no HopChat" numFmtId="0">
      <sharedItems containsBlank="1" count="1273">
        <m/>
        <s v="https://chat.brainyresolution.com/live/oSaHuaaqWPCwu9XH6"/>
        <s v="https://chat.brainyresolution.com/omnichannel-directory/chats/info/kawrWMHt9gdgnMpc8"/>
        <s v="https://chat.brainyresolution.com/live/eMevErRXvJJBeEN7H/room-info"/>
        <s v="https://chat.brainyresolution.com/live/RHHQobYjnMYfZsnSh"/>
        <s v="https://chat.brainyresolution.com/live/R4EejqGt6QdCLvade/user-info"/>
        <s v="https://chat.brainyresolution.com/live/sg2dcgrXH7yS9sL2a/room-info"/>
        <s v="https://chat.brainyresolution.com/live/hQujBEk7zZsnQY6M8/user-info"/>
        <s v="https://chat.brainyresolution.com/omnichannel-directory/chats/view/hGDZw5oKshnBhj9uN/room-info"/>
        <s v="https://chat.brainyresolution.com/live/3x4FdDqutXMZ3mzLX"/>
        <s v="https://chat.brainyresolution.com/live/BZuS5rFFnzPGWhJtv/room-info"/>
        <s v="https://chat.brainyresolution.com/live/SzRui2rJbkkG4qYcP/room-info"/>
        <s v="https://meet.google.com/gsv-aoua-eyw"/>
        <s v="https://chat.brainyresolution.com/live/ZwvRgQfTJNn8GmhwN/room-info"/>
        <s v="https://chat.brainyresolution.com/live/2rjPWWhBiQ2LyudK5/room-info"/>
        <s v="https://chat.brainyresolution.com/live/fNXmckNHagPq5LMA8/room-info"/>
        <s v="https://chat.brainyresolution.com/omnichannel-directory/chats/view/toynxpAG5WS8kcDLn/room-info"/>
        <s v="https://chat.brainyresolution.com/live/tdqAkE6RRNay882hB/room-info"/>
        <s v="https://chat.brainyresolution.com/live/9AP66FYnCtfQm8wYN/room-info"/>
        <s v="https://chat.brainyresolution.com/live/TR2pg3Fg2SWuDj2Ha/room-info"/>
        <s v="https://chat.brainyresolution.com/direct/NcmyoDSPPFwkbXMjAi2c2jSHZXRKjv2wQH"/>
        <s v="https://chat.brainyresolution.com/live/WZRRFcD538k9WGKko/room-info"/>
        <s v="https://chat.brainyresolution.com/live/yJE3KBpPFuWoK5Jqq/user-info"/>
        <s v="https://chat.brainyresolution.com/live/zg7BGnnX9biG4eXHg/room-info"/>
        <s v="https://chat.brainyresolution.com/live/gSjeKvzfTmmpKo4iE"/>
        <s v="https://chat.brainyresolution.com/live/XF24tizPDv6cjkBwy/room-info"/>
        <s v="https://chat.brainyresolution.com/live/4eTxKvQrKCaRwyxdv/user-info"/>
        <s v="https://chat.brainyresolution.com/live/wonJaXmXRfgsP7vsh/user-info"/>
        <s v="https://chat-conecta.recife.pe.gov.br/live/tc7yhyRfyPSpifvdL/room-info"/>
        <s v="https://chat-conecta.recife.pe.gov.br/live/K9x8cfu5YLXkeh6Pg/room-info"/>
        <s v="https://chat-conecta.recife.pe.gov.br/live/nJ4jdQ7qATeuSWxdh"/>
        <s v="https://chat-conecta.recife.pe.gov.br/live/XvxPADcFyL7YaArGz/user-info"/>
        <s v="https://chat-conecta.recife.pe.gov.br/omnichannel-directory/chats/view/H2DKwQFYFdr4FJSJu/room-info"/>
        <s v="https://chat-conecta.recife.pe.gov.br/live/r8GYqAr5E6vgwGWPT/room-info"/>
        <s v="https://chat-conecta.recife.pe.gov.br/live/FbCjkvxHiN6u2HXZ9"/>
        <s v="https://chat-conecta.recife.pe.gov.br/live/GExhGdmArLMGz4T4s/user-info"/>
        <s v="https://chat-conecta.recife.pe.gov.br/omnichannel-directory/chats/view/7yudWDbkYwvLd3aDM/room-info"/>
        <s v="https://chat-conecta.recife.pe.gov.br/live/vCxRg8QAX4EuT3Pzp/room-info"/>
        <s v="https://chat-conecta.recife.pe.gov.br/live/AZFq3X5YQxP6nJjR4/user-info"/>
        <s v="https://chat-conecta.recife.pe.gov.br/live/oJmefQpZ72YGkLRno/user-info"/>
        <s v="https://chat-conecta.recife.pe.gov.br/live/m7tTT344KD5QpMsFT"/>
        <s v="https://chat-conecta.recife.pe.gov.br/omnichannel-directory/chats/view/xQwY8BrgnREaYNKnH/room-info"/>
        <s v="https://chat-conecta.recife.pe.gov.br/omnichannel-directory/chats/view/DLdEmDNTaYZwdNeMq/room-info"/>
        <s v="https://chat-conecta.recife.pe.gov.br/live/NQbfS6WNadhMv7Lvi"/>
        <s v="https://chat-conecta.recife.pe.gov.br/live/FYNZ8GxosgEY7h7gr/room-info"/>
        <s v="https://chat-conecta.recife.pe.gov.br/live/ex4f6BrKHj6AMiKL6"/>
        <s v="https://chat-conecta.recife.pe.gov.br/live/oZD3tEm2dewzRYo5b/room-info"/>
        <s v="https://chat-conecta.recife.pe.gov.br/live/TfEbcpRTPmbmye8Yy/room-info"/>
        <s v="https://chat-conecta.recife.pe.gov.br/live/cpKGT2actWvgBvvby"/>
        <s v="https://chat-conecta.recife.pe.gov.br/live/Y77u9kyncEyGyLtry/user-info"/>
        <s v="https://chat-conecta.recife.pe.gov.br/live/CsjDjX9HzaXgxEpKB/user-info"/>
        <s v="https://chat-conecta.recife.pe.gov.br/omnichannel-directory/chats/view/yhBwZiHX4cGdiZMvb/room-info"/>
        <s v="https://chat-conecta.recife.pe.gov.br/omnichannel-directory/chats/view/eaPcuyrRqaprkDNxm/room-info"/>
        <s v="https://chat-conecta.recife.pe.gov.br/live/zDPkLKrhgKt7S55iC/room-info"/>
        <s v="https://chat-conecta.recife.pe.gov.br/live/x28P4PWmRojNQikS6/user-info"/>
        <s v="https://chat-conecta.recife.pe.gov.br/live/wkcmmXdmRLXWGugZb"/>
        <s v="https://chat-conecta.recife.pe.gov.br/live/finCCwKsqZPbmJ2bQ/room-info"/>
        <s v="https://chat-conecta.recife.pe.gov.br/live/2uiSoMF78jfAGTzEa/room-info"/>
        <s v="https://chat-conecta.recife.pe.gov.br/omnichannel-directory/chats/view/8eDptj7MtWfwXnktN/room-info"/>
        <s v="https://chat-conecta.recife.pe.gov.br/live/GC2A2Bx63DWyKBpPT/room-info"/>
        <s v="https://chat-conecta.recife.pe.gov.br/live/kuAHAa6sTDqf6Hjv9/user-info"/>
        <s v="https://chat-conecta.recife.pe.gov.br/live/Z5RvYzE5TqtoAFJYq/room-info"/>
        <s v="https://chat-conecta.recife.pe.gov.br/live/frntm4cDAYoff8Dq5/room-info"/>
        <s v="https://chat-conecta.recife.pe.gov.br/live/EpkudacecCCWuf57s"/>
        <s v="https://chat-conecta.recife.pe.gov.br/live/BfweEdCAe3zZDSLdw/room-info"/>
        <s v="https://chat-conecta.recife.pe.gov.br/live/8HPGWLKvp9rrRYk9j/room-info"/>
        <s v="https://chat-conecta.recife.pe.gov.br/live/5XL97kRchTiKAJgT7/room-info"/>
        <s v="https://chat-conecta.recife.pe.gov.br/live/gRA7GCfTniLJPQuxc/user-info"/>
        <s v="https://chat-conecta.recife.pe.gov.br/live/uQARBG4WKpjsLCPtj/user-info"/>
        <s v="https://chat-conecta.recife.pe.gov.br/live/rEYfbGbTCzgRRy447"/>
        <s v="https://chat-conecta.recife.pe.gov.br/live/exuY3k2bd2X29YmQE/room-info"/>
        <s v="https://chat-conecta.recife.pe.gov.br/live/2NQsqaEW9EeFvpeGm/room-info"/>
        <s v="https://chat-conecta.recife.pe.gov.br/live/8cKNa3qZTWKCPSnuE/room-info"/>
        <s v="https://chat-conecta.recife.pe.gov.br/live/ZeKBknwMJAZ4ZQEFX/room-info"/>
        <s v="https://chat-conecta.recife.pe.gov.br/live/kjRApqcgvdfwuZWHY"/>
        <s v="https://chat-conecta.recife.pe.gov.br/live/EQFM9hG6ak3RjCs7c/room-info"/>
        <s v="https://chat-conecta.recife.pe.gov.br/omnichannel-directory/chats/view/hZnXy5uvovXEvM6GZ/room-info"/>
        <s v="https://chat-conecta.recife.pe.gov.br/live/SnDn2iBGkS77jCQSs"/>
        <s v="https://chat-conecta.recife.pe.gov.br/live/j2MSBLTnhCSXXAqr7/room-info"/>
        <s v="https://chat-conecta.recife.pe.gov.br/live/X6i49KmzJFA6zm4A3#&amp;gid=1&amp;pid=3"/>
        <s v="https://chat-conecta.recife.pe.gov.br/live/JaNrq26cFqnvbdMaf"/>
        <s v="https://chat-conecta.recife.pe.gov.br/live/dbhGwsB2YHa7FriBF/room-info"/>
        <s v="https://chat-conecta.recife.pe.gov.br/live/fqEQpBr2mgCg55drN"/>
        <s v="https://chat-conecta.recife.pe.gov.br/live/Bbz3pxezvt7fXZYWY/user-info"/>
        <s v="https://chat-conecta.recife.pe.gov.br/live/zt6GAgMALLX4z52k4/room-info"/>
        <s v="https://chat-conecta.recife.pe.gov.br/live/KyHtGEvjrRqYzpeWz/room-info"/>
        <s v="https://chat-conecta.recife.pe.gov.br/live/bFCQnffiZsDhmdFGj/room-info"/>
        <s v="https://chat-conecta.recife.pe.gov.br/live/gYTpAANLe3R39vSuY"/>
        <s v="https://chat-conecta.recife.pe.gov.br/live/bMRejBNrDsw2hvai6/room-info"/>
        <s v="https://chat-conecta.recife.pe.gov.br/live/bRoahqMPdbr9wfGZd/room-info"/>
        <s v="https://chat-conecta.recife.pe.gov.br/live/NgFs7KLHbEWyhPPzC/room-info"/>
        <s v="https://chat-conecta.recife.pe.gov.br/live/gGXtaheXkC7LdoPLF/room-info"/>
        <s v="https://chat-conecta.recife.pe.gov.br/live/PcJq6nGyeyedspFzy/contact-chat-history"/>
        <s v="https://chat-conecta.recife.pe.gov.br/live/MJrTry66k7RJgrsH9"/>
        <s v="https://chat-conecta.recife.pe.gov.br/live/jHboZknEMDR8nDt4o/room-info"/>
        <s v="https://chat-conecta.recife.pe.gov.br/omnichannel-directory/chats/view/ww5FceGaQS99HtWSf/room-info"/>
        <s v="https://chat-conecta.recife.pe.gov.br/omnichannel-directory/chats/view/Q4M6jFcKDHc4NGKQn"/>
        <s v="https://chat-conecta.recife.pe.gov.br/live/AZcbFQYKnDof79GRa/room-info"/>
        <s v="https://chat-conecta.recife.pe.gov.br/live/4d6ibWsqMeHBF7dmL/room-info"/>
        <s v="https://chat-conecta.recife.pe.gov.br/live/2ABTu5i6nRFPimCFW"/>
        <s v="https://chat-conecta.recife.pe.gov.br/live/Pw9Y3YCoTXgaYDyfS"/>
        <s v="https://chat-conecta.recife.pe.gov.br/live/FtCceFRSz3tzissd4"/>
        <s v="https://chat-conecta.recife.pe.gov.br/live/z858ReWchEuGC5ErF"/>
        <s v="https://chat-conecta.recife.pe.gov.br/live/e93DRWNCn84Ar5bNe"/>
        <s v="https://chat-conecta.recife.pe.gov.br/live/WpEGYwLDi7pyekBCQ"/>
        <s v="https://chat-conecta.recife.pe.gov.br/live/mYe7Qx4Mdd3dSEWtf"/>
        <s v="https://chat-conecta.recife.pe.gov.br/live/ZYqWnovHbh6gtNrmd"/>
        <s v="https://chat-conecta.recife.pe.gov.br/live/xSo5hgWJDXWBu8BoL"/>
        <s v="https://chat-conecta.recife.pe.gov.br/live/QFHhax7kvP6esqy2k"/>
        <s v="https://chat-conecta.recife.pe.gov.br/live/rqgDAaFrCrYt5FNzk"/>
        <s v="https://chat-conecta.recife.pe.gov.br/live/dYAjoZxLRM8zhpeHG"/>
        <s v="https://chat-conecta.recife.pe.gov.br/live/yekGDJhuioPkArGPc"/>
        <s v="https://chat-conecta.recife.pe.gov.br/live/ihYGpeMSsyQJRS9Be"/>
        <s v="https://chat-conecta.recife.pe.gov.br/live/pPjjqnn2qKo9Y7RWJ"/>
        <s v="https://chat-conecta.recife.pe.gov.br/live/jFeyWCaHCNj9FEcL5/members-list"/>
        <s v="https://chat-conecta.recife.pe.gov.br/live/CjW2PfaDQcXdaLfs7/room-info"/>
        <s v="https://chat-conecta.recife.pe.gov.br/live/ts5MBWjR9HouRWeE3"/>
        <s v="https://chat-conecta.recife.pe.gov.br/live/rebZWuF8Zg7kfNcrG/room-info"/>
        <s v="https://chat-conecta.recife.pe.gov.br/omnichannel-directory/chats/view/4QfHD37tXnfrLz5o8/room-info"/>
        <s v="https://chat-conecta.recife.pe.gov.br/live/5ByRo2hakPCfn4bK6/room-info"/>
        <s v="https://chat-conecta.recife.pe.gov.br/live/uqbcWz6GvP2cBHMG4/user-info"/>
        <s v="https://chat-conecta.recife.pe.gov.br/live/aheCmggLo9Kx8b8Ej/room-info"/>
        <s v="https://chat-conecta.recife.pe.gov.br/live/c3uCrNvkmypJyWct5/members-list"/>
        <s v="https://chat-conecta.recife.pe.gov.br/live/W4yrDwfKq67FXMPTY/room-info"/>
        <s v="https://chat-conecta.recife.pe.gov.br/live/fkk5CmPyRG8cR4hnJ/room-info"/>
        <s v="https://chat-conecta.recife.pe.gov.br/omnichannel-directory/chats/view/CDEMcLLNJrpxhgYzK/room-info"/>
        <s v="https://chat-conecta.recife.pe.gov.br/live/JTLJ9FqGtBM3QeykR/user-info"/>
        <s v="https://chat-conecta.recife.pe.gov.br/live/zWtziWfM7X7uNAB5T/room-info"/>
        <s v="https://chat-conecta.recife.pe.gov.br/live/Svr8YYbXRPsnuc2kZ/room-info"/>
        <s v="https://chat-conecta.recife.pe.gov.br/live/2Mjmo7HXYgW7f89Rv/room-inf"/>
        <s v="https://chat-conecta.recife.pe.gov.br/live/yHrCkk86mDojNK4oK/room-info"/>
        <s v="https://chat-conecta.recife.pe.gov.br/live/RxZ62KH4ix3J6R2ip/room-info"/>
        <s v="https://chat-conecta.recife.pe.gov.br/live/PS6nnhHppj6GzexXv/contact-chat-history"/>
        <s v="https://chat-conecta.recife.pe.gov.br/live/RcpDGPkczT6G4ZoN2/room-info"/>
        <s v="https://chat-conecta.recife.pe.gov.br/live/WifnQdeQYhXRKPtEn/room-info"/>
        <s v="https://chat-conecta.recife.pe.gov.br/live/JBbpzqXWZFwJzjTwd/members-list"/>
        <s v="https://chat-conecta.recife.pe.gov.br/live/8E7gcehTH3G6Lp7gA/user-info"/>
        <s v="https://chat-conecta.recife.pe.gov.br/live/ouvbQ6upgcmS3KY3K"/>
        <s v="https://chat-conecta.recife.pe.gov.br/live/C5yodAGnzKxDLLKok/room-info"/>
        <s v="https://chat-conecta.recife.pe.gov.br/live/gw3DmAa8vvBQg5byY/room-info"/>
        <s v="https://chat-conecta.recife.pe.gov.br/live/nYxiP8e64mwc4yqWR/room-info"/>
        <s v="https://chat-conecta.recife.pe.gov.br/live/PzAMA5NpTBCFQqyGd"/>
        <s v="https://chat-conecta.recife.pe.gov.br/live/pXjaTQk8of24D556Z"/>
        <s v="https://chat-conecta.recife.pe.gov.br/live/psEWX6uPybPGmShHw/user-info"/>
        <s v="https://chat-conecta.recife.pe.gov.br/live/nkiWYsgrf4a6s3unA"/>
        <s v="https://chat-conecta.recife.pe.gov.br/live/tmDhrTaSHvDzx7NKM/members-list"/>
        <s v="https://chat-conecta.recife.pe.gov.br/live/bu6MtwcioADXp2wCh"/>
        <s v="https://chat-conecta.recife.pe.gov.br/live/Xgw3dkbdfwu8KZBQk/room-info"/>
        <s v="https://chat-conecta.recife.pe.gov.br/live/Cf2w3YAScmrEJcggJ#&amp;gid=1&amp;pid=5"/>
        <s v="https://chat-conecta.recife.pe.gov.br/live/DTg8k4WDhqW4XwrMp/room-info"/>
        <s v="https://chat-conecta.recife.pe.gov.br/live/FJG3JspZgcy6TGkEm"/>
        <s v="https://chat-conecta.recife.pe.gov.br/live/egvzzP283RvEfgG32"/>
        <s v="https://chat-conecta.recife.pe.gov.br/live/26Ben5qB8xdYiA8RX"/>
        <s v="https://chat-conecta.recife.pe.gov.br/live/jQ7FLCcjqRWpYYQNM/members-list"/>
        <s v="https://chat-conecta.recife.pe.gov.br/live/reEuZnpvzMBZkJDfN/room-info"/>
        <s v="https://chat-conecta.recife.pe.gov.br/live/ngoFinHDN8kSCBuYR/room-info"/>
        <s v="https://chat-conecta.recife.pe.gov.br/live/XN4BE566Ctz8HBFuT/room-info#&amp;gid=1&amp;pid=4"/>
        <s v="https://chat-conecta.recife.pe.gov.br/live/FqD6ho6JG6uyeatvy"/>
        <s v="https://chat-conecta.recife.pe.gov.br/live/Ji9BGftkSTxW3jYmP/room-info"/>
        <s v="https://chat-conecta.recife.pe.gov.br/live/f4qAQYMYfvWsLvGEs/room-info#&amp;gid=1&amp;pid=7"/>
        <s v="https://chat-conecta.recife.pe.gov.br/live/HJn5SNbbmmxqAxWWL/contact-chat-history"/>
        <s v="https://chat-conecta.recife.pe.gov.br/live/uJX7r34WhoQwcvWWc"/>
        <s v="https://chat-conecta.recife.pe.gov.br/live/C7CnTzrkHXPgYokmZ"/>
        <s v="https://chat-conecta.recife.pe.gov.br/live/XQsfZQumE42ZtL78W/user-info"/>
        <s v="https://chat-conecta.recife.pe.gov.br/live/mKErvR6p2CdyNNP4z"/>
        <s v="https://chat-conecta.recife.pe.gov.br/live/dHF8NTjG5PwRXhjz9"/>
        <s v="https://chat-conecta.recife.pe.gov.br/live/s7SGNTMBTKYKzroSR/room-info"/>
        <s v="https://chat-conecta.recife.pe.gov.br/live/qAWzX3kxtRNv3y3Ah/room-info"/>
        <s v="https://chat-conecta.recife.pe.gov.br/live/JCL7MfqdBHzotCRfT"/>
        <s v="https://chat-conecta.recife.pe.gov.br/live/6M4dZyi3zNRp293Ny"/>
        <s v="https://chat-conecta.recife.pe.gov.br/live/5xNcAwudCi6ufEF8F"/>
        <s v="https://chat-conecta.recife.pe.gov.br/live/4d6h8L9qL6WB6Ngfo"/>
        <s v="https://chat-conecta.recife.pe.gov.br/live/R38MCTwrzu3CT499M/room-info"/>
        <s v="https://chat-conecta.recife.pe.gov.br/live/d9hdoq8cnvWfckEZb"/>
        <s v="https://chat-conecta.recife.pe.gov.br/live/MyYpWGeZCzNqPRCDT"/>
        <s v="https://chat-conecta.recife.pe.gov.br/live/ajDiNA5DvmXzeWyTw"/>
        <s v="https://chat-conecta.recife.pe.gov.br/live/zrAmbggNHgzxPbvjp/room-info"/>
        <s v="https://chat-conecta.recife.pe.gov.br/live/KTdp7TJzfqp83g8rk"/>
        <s v="https://chat-conecta.recife.pe.gov.br/live/5sZJex4zqaHvyTXRr/room-info"/>
        <s v="https://chat-conecta.recife.pe.gov.br/live/y44RafAdptzXoA6sc/room-info"/>
        <s v="https://chat-conecta.recife.pe.gov.br/live/K87C63G57tBP9Pura"/>
        <s v="https://chat-conecta.recife.pe.gov.br/live/qgu6xKK6DLc2ZXEKc/room-info"/>
        <s v="https://chat-conecta.recife.pe.gov.br/live/FsrKrBH3FMueHdbGe"/>
        <s v="https://chat-conecta.recife.pe.gov.br/live/tRXLLw35arhbfy6f8"/>
        <s v="https://chat-conecta.recife.pe.gov.br/live/7Bj2BMaF3pomKH3c8/room-info"/>
        <s v="https://chat-conecta.recife.pe.gov.br/live/8eAqqFcqkD8EfKvr6"/>
        <s v="https://chat-conecta.recife.pe.gov.br/live/fD4keojixPDeemMak"/>
        <s v="https://chat-conecta.recife.pe.gov.br/live/ALRaCiMckCoRSHpfz"/>
        <s v="https://chat-conecta.recife.pe.gov.br/live/73aeAxSh4433vx5nT"/>
        <s v="https://chat-conecta.recife.pe.gov.br/live/9GpLwM6PoGuB5zxwj/room-info"/>
        <s v="https://chat-conecta.recife.pe.gov.br/live/wLHgaQtZvBHJaKjaP/user-info"/>
        <s v="https://chat-conecta.recife.pe.gov.br/live/3FyCo8kFLnLuuvLo9/members-list"/>
        <s v="https://chat-conecta.recife.pe.gov.br/live/86B4Pxcodyjo9Xuza/room-info"/>
        <s v="https://chat-conecta.recife.pe.gov.br/live/H9SjNJJDYWiCmcYzP"/>
        <s v="https://chat-conecta.recife.pe.gov.br/live/ykcb3iTQiRcH5i6z6"/>
        <s v="https://chat-conecta.recife.pe.gov.br/live/CJGyKfZaJq3DkNh22"/>
        <s v="https://chat-conecta.recife.pe.gov.br/live/KhtZvPxw9BWSzqiX9/room-info"/>
        <s v="https://chat-conecta.recife.pe.gov.br/live/QigL6yYCPhvLaNctk/room-info"/>
        <s v="https://chat-conecta.recife.pe.gov.br/live/GJ6ojea7Fn6faTMRL/room-info"/>
        <s v="https://chat-conecta.recife.pe.gov.br/live/JYmwwNSpWRtxcSpFq"/>
        <s v="https://chat-conecta.recife.pe.gov.br/live/tPZsX7YyXz3FHkHPt"/>
        <s v="https://chat-conecta.recife.pe.gov.br/live/f9RnuSPKJryNLocDn/room-info"/>
        <s v="https://chat-conecta.recife.pe.gov.br/live/2G8m5NqkHEg9CARs2"/>
        <s v="https://chat-conecta.recife.pe.gov.br/live/hFNFA9S3J63kzmvTx"/>
        <s v="https://chat-conecta.recife.pe.gov.br/live/k6idPn29ShxrhceJE"/>
        <s v="https://chat-conecta.recife.pe.gov.br/live/QKpizpY9bFdFvWhsC"/>
        <s v="https://chat-conecta.recife.pe.gov.br/live/4sK8cgSQo28JKXvj5"/>
        <s v="https://chat-conecta.recife.pe.gov.br/live/MeqRAbzJ8zLfgBQyQ"/>
        <s v="https://chat-conecta.recife.pe.gov.br/live/cRsSquWYNKLkeHvPb"/>
        <s v="https://chat-conecta.recife.pe.gov.br/live/GYC3QR6iYn8e6GEM2/room-info"/>
        <s v="https://chat-conecta.recife.pe.gov.br/live/QJB57eeau4nDJQ4D6"/>
        <s v="https://chat-conecta.recife.pe.gov.br/live/5oYySd2tB7vu7SBz2"/>
        <s v="https://chat-conecta.recife.pe.gov.br/live/WQBx7HhJJ8xWEeY7G"/>
        <s v="https://chat-conecta.recife.pe.gov.br/live/nLu6osSqEuMqN4ogZ"/>
        <s v="https://chat-conecta.recife.pe.gov.br/live/RnRsSvwLepg5xQYMK/user-info"/>
        <s v="https://chat-conecta.recife.pe.gov.br/live/J6CnHwNK2TYn4CoxG"/>
        <s v="https://chat-conecta.recife.pe.gov.br/live/jiALQqAWX2ut6Kf87"/>
        <s v="https://chat-conecta.recife.pe.gov.br/live/3dDmB5LEPoZwvzfyC"/>
        <s v="https://chat-conecta.recife.pe.gov.br/live/wjknzXc5SdJJ8p9pF/user-info"/>
        <s v="https://chat-conecta.recife.pe.gov.br/live/C4ovtkGsaDefWx6Q3"/>
        <s v="https://chat-conecta.recife.pe.gov.br/live/MDMX4sBnk4BuytErv/user-info"/>
        <s v="https://chat-conecta.recife.pe.gov.br/live/tX3KMbRzZvHb44gWG"/>
        <s v="https://chat-conecta.recife.pe.gov.br/live/cZ5afA9aswQQHGHGL/user-info"/>
        <s v="https://chat-conecta.recife.pe.gov.br/live/4YJXiE6tWzbXsPnmN"/>
        <s v="https://chat-conecta.recife.pe.gov.br/live/hv8ozhsrCefAYf224"/>
        <s v="https://chat-conecta.recife.pe.gov.br/live/AiZtk26aQmuGTfyCM/user-info"/>
        <s v="https://chat-conecta.recife.pe.gov.br/live/EN6zx9cmkDyEZwyXq"/>
        <s v="https://chat-conecta.recife.pe.gov.br/live/RMRKdc4C5BsLFd9XA/user-info"/>
        <s v="https://chat-conecta.recife.pe.gov.br/live/WZZJ47igGCEqbmrMx"/>
        <s v="https://chat-conecta.recife.pe.gov.br/live/793BsmqTmLxvhLdDB"/>
        <s v="https://chat-conecta.recife.pe.gov.br/live/MLkrhpE2mo3Zf6qAY"/>
        <s v="https://chat-conecta.recife.pe.gov.br/live/T2DzJZDb5uzmiSFC3"/>
        <s v="https://chat-conecta.recife.pe.gov.br/live/wBZWCZRSTSpsGfPbo/user-info"/>
        <s v="https://chat-conecta.recife.pe.gov.br/live/pfG85bswFWC6Xfu2B/room-info"/>
        <s v="https://chat-conecta.recife.pe.gov.br/live/R2vmaEuesnimaSx5P"/>
        <s v="https://chat-conecta.recife.pe.gov.br/live/cjb5cZm3iZaDFNnWc/user-info"/>
        <s v="https://chat-conecta.recife.pe.gov.br/live/aKoMMN3SX3cENnqus"/>
        <s v="https://chat-conecta.recife.pe.gov.br/live/7hbCfBbtKAiNoN9KZ"/>
        <s v="https://chat-conecta.recife.pe.gov.br/live/fcumqhPDfBKyBKQvP/room-info"/>
        <s v="https://chat-conecta.recife.pe.gov.br/live/d3KsZeJWmPzj8y3rt/user-info"/>
        <s v="https://chat-conecta.recife.pe.gov.br/live/4XJ3zuEtFogaaGhyY/room-info"/>
        <s v="https://chat-conecta.recife.pe.gov.br/live/qBs9n2Qjv72FBxKDm"/>
        <s v="https://chat-conecta.recife.pe.gov.br/omnichannel-directory/chats/view/8SNs3dsnLs8wrRHQn"/>
        <s v="https://chat-conecta.recife.pe.gov.br/live/pLyELzcJPqGReDKHZ/user-info"/>
        <s v="https://chat-conecta.recife.pe.gov.br/live/5z8xo8AeQhuMfiGwm/user-info"/>
        <s v="https://chat-conecta.recife.pe.gov.br/live/ubGQFaxwmhxKcQM4J/room-info"/>
        <s v="https://chat-conecta.recife.pe.gov.br/live/q9Bm9QzPFraHXDxkZ/members-list"/>
        <s v="https://chat-conecta.recife.pe.gov.br/live/xRxPMbf6opH5XELwc"/>
        <s v="https://chat-conecta.recife.pe.gov.br/live/HvFduHPF7oB5RSXLu"/>
        <s v="https://chat-conecta.recife.pe.gov.br/live/Pnsb2TosFh7RxtDcN"/>
        <s v="https://chat-conecta.recife.pe.gov.br/live/mJfGf5cPBf3FCbWfa/room-info"/>
        <s v="https://chat-conecta.recife.pe.gov.br/live/p7agoBdgGSNWDgext"/>
        <s v="https://chat-conecta.recife.pe.gov.br/live/N48iPCZ2xcbsycWB3/room-info"/>
        <s v="https://chat-conecta.recife.pe.gov.br/live/s6o4KCSvKSMnH9gWS/user-info"/>
        <s v="https://chat-conecta.recife.pe.gov.br/live/wvcBuPawFZnmkeiKz/room-info"/>
        <s v="https://chat-conecta.recife.pe.gov.br/omnichannel-directory/chats/view/mGXJWwKQJv4M46wjq/room-info"/>
        <s v="https://chat-conecta.recife.pe.gov.br/live/FEbFqzuu6snQNTkSE/room-info"/>
        <s v="https://chat-conecta.recife.pe.gov.br/live/qoSNQuAyu65dzfS6D/room-info"/>
        <s v="https://chat-conecta.recife.pe.gov.br/live/DxajKj5irifgwCyDs/room-info"/>
        <s v="https://chat-conecta.recife.pe.gov.br/live/rzRrKzgEYfT3saxCJ/user-info"/>
        <s v="https://chat-conecta.recife.pe.gov.br/live/hisCgH4aPCMvvTMN2/room-info"/>
        <s v="https://chat-conecta.recife.pe.gov.br/live/XdetrSSMRryzADLzP/room-info"/>
        <s v="https://chat-conecta.recife.pe.gov.br/live/pvvshwnvAfuj2gsMe/user-info"/>
        <s v="https://chat-conecta.recife.pe.gov.br/live/pHvTLiY3YJBPZSEeT"/>
        <s v="https://chat-conecta.recife.pe.gov.br/live/kzhpu6ExXb8yjWWxs"/>
        <s v="https://chat-conecta.recife.pe.gov.br/live/jNfmWqDWsLwmqP8io/room-info"/>
        <s v="https://chat-conecta.recife.pe.gov.br/live/L643Fb93Kij2kX5Eb/user-info"/>
        <s v="https://chat-conecta.recife.pe.gov.br/live/GpaYYmnupDTZznWcG"/>
        <s v="https://chat-conecta.recife.pe.gov.br/live/BuCz7Xed8HLuMgr7H/room-info"/>
        <s v="https://chat-conecta.recife.pe.gov.br/live/fsP6CrxEu5mJ3rrMv"/>
        <s v="https://chat-conecta.recife.pe.gov.br/live/ZurN4hzh97k2fxL4m/user-info"/>
        <s v="https://chat-conecta.recife.pe.gov.br/live/5B93yNxNMkzdLt5Y4"/>
        <s v="https://chat-conecta.recife.pe.gov.br/live/5g9hf3Btciz6RKSro"/>
        <s v="https://chat-conecta.recife.pe.gov.br/live/m9eH8esjhZzgB2Dyt"/>
        <s v="https://chat-conecta.recife.pe.gov.br/live/X4XheMmbxzud2SvZJ"/>
        <s v="https://chat-conecta.recife.pe.gov.br/live/77GHgzgMdRFbPvHiq#&amp;gid=1&amp;pid=3"/>
        <s v="https://chat-conecta.recife.pe.gov.br/live/Cpkxo5qFB8QkFMK4P/user-info"/>
        <s v="https://chat-conecta.recife.pe.gov.br/live/qpLDn9EKzdv5uqGoZ/room-info"/>
        <s v="https://chat-conecta.recife.pe.gov.br/live/YGzKJaSWehkx9uWpj/room-info"/>
        <s v="https://chat-conecta.recife.pe.gov.br/live/bEpTmdRdsGuNJJfEd/room-info"/>
        <s v="https://chat-conecta.recife.pe.gov.br/live/ucLzv2vDnYWrQrLLw/room-info"/>
        <s v="https://chat-conecta.recife.pe.gov.br/omnichannel-directory/chats/view/T8gESdjdNeD4KHbkE"/>
        <s v="https://chat-conecta.recife.pe.gov.br/live/LnNf2jJC4eWqdJCbi/members-list"/>
        <s v="https://chat-conecta.recife.pe.gov.br/live/R6ZChdpQzG4ewFYAB/room-info"/>
        <s v="https://chat-conecta.recife.pe.gov.br/live/hKkTX5kstAmHXbS5p/room-info"/>
        <s v="https://chat-conecta.recife.pe.gov.br/live/uJKDTh2hsrvjJNiwZ/room-info"/>
        <s v="https://chat-conecta.recife.pe.gov.br/live/eQbtZZhzkLJELB5mC"/>
        <s v="https://chat-conecta.recife.pe.gov.br/live/EThC4wQChFHJycp4Y/user-info"/>
        <s v="https://chat-conecta.recife.pe.gov.br/live/KKwY6tjiRf7nXo4Lm/user-info"/>
        <s v="https://chat-conecta.recife.pe.gov.br/live/EWYeSfFGgaW4f9Qgm"/>
        <s v="https://chat-conecta.recife.pe.gov.br/live/nTZCvJWe3BNEYYmBu"/>
        <s v="https://chat-conecta.recife.pe.gov.br/live/nwx4J5XacJQDZL8h9"/>
        <s v="https://chat-conecta.recife.pe.gov.br/live/hEuxna8bHfKjWDk6p/room-info"/>
        <s v="https://chat-conecta.recife.pe.gov.br/live/tNhKPRpuicHkeJ46S/room-info"/>
        <s v="https://chat-conecta.recife.pe.gov.br/live/9sD9mrSx9ZgkwWnG4"/>
        <s v="https://chat-conecta.recife.pe.gov.br/live/5WS5qjTe5WecM8rez/user-info"/>
        <s v="https://chat-conecta.recife.pe.gov.br/live/TMRnqErcwEsjsGDMv"/>
        <s v="https://chat-conecta.recife.pe.gov.br/live/wyxToaeYRS4RDSseP/user-info"/>
        <s v="https://chat-conecta.recife.pe.gov.br/live/h3ggcuHQz2AHchky5"/>
        <s v="https://chat-conecta.recife.pe.gov.br/live/WL7wiYM5ft"/>
        <s v="https://chat-conecta.recife.pe.gov.br/live/WywfPYywXSZmq7Bha"/>
        <s v="https://chat-conecta.recife.pe.gov.br/live/TABf6vNCQKJQij4C5"/>
        <s v="https://chat-conecta.recife.pe.gov.br/live/9pEbyuxrv7vfAB9JC/user-info"/>
        <s v="https://chat-conecta.recife.pe.gov.br/live/E9MnafrXRHXgwhQg9"/>
        <s v="https://chat-conecta.recife.pe.gov.br/live/HgtZ6fTkGDkMyraJ4#&amp;gid=1&amp;pid=4"/>
        <s v="https://chat-conecta.recife.pe.gov.br/live/miifKxkgztCgdgBc6"/>
        <s v="https://chat-conecta.recife.pe.gov.br/live/qF2xWyZQTwvikZqum/room-info"/>
        <s v="https://chat-conecta.recife.pe.gov.br/live/TfxzphDR2C948mnk8"/>
        <s v="https://chat-conecta.recife.pe.gov.br/live/K3bY7GwqA2YG2etio/user-info"/>
        <s v="https://chat-conecta.recife.pe.gov.br/live/4Wd5hihZNxJL3fZzT"/>
        <s v="https://chat-conecta.recife.pe.gov.br/live/u84QCyJBEQHWaSqsc"/>
        <s v="https://chat-conecta.recife.pe.gov.br/live/u2RNWNjg4S49vLrnP/user-info"/>
        <s v="https://chat-conecta.recife.pe.gov.br/live/34jDtqtrDAiBv3bCM"/>
        <s v="https://chat-conecta.recife.pe.gov.br/live/3vnpKaTnjrd6vsdJe/user-info"/>
        <s v="https://chat-conecta.recife.pe.gov.br/live/R9ffWzkfZpvvQq7p6/user-info"/>
        <s v="https://chat-conecta.recife.pe.gov.br/live/nbE6NYQuxEkwsfDBP/user-info"/>
        <s v="https://chat-conecta.recife.pe.gov.br/live/cQLvW7NwNeFRZdSK7/user-info"/>
        <s v="https://chat-conecta.recife.pe.gov.br/live/jgSGX9bpP7RpC8GBR"/>
        <s v="https://chat-conecta.recife.pe.gov.br/live/ybSxw6NBZFzhFpaPm/room-info"/>
        <s v="https://chat-conecta.recife.pe.gov.br/omnichannel-directory/chats/view/ShD3RJjwiGo2pocKu/room-info"/>
        <s v="https://chat-conecta.recife.pe.gov.br/live/SaQ9gY92RWAhxRd7n/user-info"/>
        <s v="https://chat-conecta.recife.pe.gov.br/live/9ym8LveJLBfvE3qYR/user-info"/>
        <s v="https://chat-conecta.recife.pe.gov.br/live/kgtD9X4m7A8v9QjpS"/>
        <s v="https://chat-conecta.recife.pe.gov.br/live/tbpKedXxbo5W8AFha/members-list"/>
        <s v="https://chat-conecta.recife.pe.gov.br/omnichannel-directory/chats/view/AxBQfb53bMLDaJDTZ/room-info"/>
        <s v="https://chat-conecta.recife.pe.gov.br/live/MRJjCwZTsTddX2hCJ/user-info"/>
        <s v="https://chat-conecta.recife.pe.gov.br/live/4f8XjkgJ3fpFc6h6e/room-info"/>
        <s v="https://chat-conecta.recife.pe.gov.br/live/3cN2HBJf7TATwtF83/room-info"/>
        <s v="https://chat-conecta.recife.pe.gov.br/live/dxTnpesE2DueBRyTT/members-list"/>
        <s v="https://chat-conecta.recife.pe.gov.br/live/zL9CDX4TmiGL7RZa8"/>
        <s v="https://chat-conecta.recife.pe.gov.br/live/x7D7yzm6tGatdjy8n/room-info"/>
        <s v="https://chat-conecta.recife.pe.gov.br/omnichannel-directory/chats/view/RNkN2GdyEpNmGTEqj/room-info"/>
        <s v="https://chat-conecta.recife.pe.gov.br/direct/9DDXcgmpmFt3JMM58TQcuSEArNi4YqW2MZ"/>
        <s v="https://chat-conecta.recife.pe.gov.br/live/dSX7enYC9jgK6j7cq"/>
        <s v="https://chat-conecta.recife.pe.gov.br/live/7ik7WiwjkTdC2BS6X"/>
        <s v="https://chat-conecta.recife.pe.gov.br/live/AJ49EijrDZX5G2DFC"/>
        <s v="https://chat-conecta.recife.pe.gov.br/live/2XeuA4jDKvc2NSikT/room-info"/>
        <s v="https://chat-conecta.recife.pe.gov.br/live/vJtYN95y7h3GwYCtj/user-info"/>
        <s v="https://chat-conecta.recife.pe.gov.br/live/Nuownrgf5oF776qiZ"/>
        <s v="https://chat-conecta.recife.pe.gov.br/live/mekEqDjc6wbnzdj7k/user-info#&amp;gid=1&amp;pid=4"/>
        <s v="https://chat-conecta.recife.pe.gov.br/live/6n9ftZLqquKcpbQu9/user-info"/>
        <s v="https://chat-conecta.recife.pe.gov.br/omnichannel-directory/chats/view/HjP4rCbhZvBEGFrSC"/>
        <s v="https://chat-conecta.recife.pe.gov.br/live/D5WjvZume8NsboLoa/user-info"/>
        <s v="https://chat-conecta.recife.pe.gov.br/live/nAhSynitkBekefoAq/user-info"/>
        <s v="https://chat-conecta.recife.pe.gov.br/live/EaKQZtuifFYMa8QDg/user-info"/>
        <s v="https://chat-conecta.recife.pe.gov.br/live/uFtpWgcC3QiGaaZ3h"/>
        <s v="https://chat-conecta.recife.pe.gov.br/live/XewiedrmYo3NKhRBF"/>
        <s v="https://chat-conecta.recife.pe.gov.br/live/4e7pWqi78u36zfWMf/user-info#&amp;gid=1&amp;pid=4"/>
        <s v="https://chat-conecta.recife.pe.gov.br/live/uw3NHHSnpKsJ7S7Ps/user-info"/>
        <s v="https://chat-conecta.recife.pe.gov.br/live/zyzDnbev5qiQ6NkaK"/>
        <s v="https://chat-conecta.recife.pe.gov.br/omnichannel-directory/chats/view/iJgJQFXgXWF5vBCD5"/>
        <s v="https://chat-conecta.recife.pe.gov.br/live/DuaSxpoc2PTCTf95k/room-info"/>
        <s v="https://chat-conecta.recife.pe.gov.br/live/SCwZB43bs3vzy5gTf/room-info"/>
        <s v="https://chat-conecta.recife.pe.gov.br/live/oHZJjZvruALqsntDg"/>
        <s v="https://chat-conecta.recife.pe.gov.br/live/KEGnCFoh2ujrzkwfT"/>
        <s v="https://chat-conecta.recife.pe.gov.br/live/hftbkgDbwpg6GaSzi/user-info"/>
        <s v="https://chat-conecta.recife.pe.gov.br/live/CxmEHvLrRAmj2Kgzk/user-info"/>
        <s v="https://chat-conecta.recife.pe.gov.br/live/eHcsJ6ig4jmhfts34"/>
        <s v="https://chat-conecta.recife.pe.gov.br/omnichannel-directory/chats/view/6WDXR7o8x8mfv2o4Q"/>
        <s v="https://chat-conecta.recife.pe.gov.br/live/WxHKLMNdCnL68dSpt/room-info"/>
        <s v="https://chat-conecta.recife.pe.gov.br/live/3xiPPRLE3gx8Yv53w"/>
        <s v="https://chat-conecta.recife.pe.gov.br/live/H6q3nfX9MWhywQM4f/user-info"/>
        <s v="https://chat-conecta.recife.pe.gov.br/direct/9DDXcgmpmFt3JMM58NcmyoDSPPFwkbXMjA"/>
        <s v="https://chat-conecta.recife.pe.gov.br/live/aZhxETHA4qdwDmdop/user-info"/>
        <s v="https://chat-conecta.recife.pe.gov.br/live/SAt5rm4fgfKbZkhkL"/>
        <s v="https://chat-conecta.recife.pe.gov.br/live/hqESioDsgkC7tG4dd/room-info"/>
        <s v="https://chat-conecta.recife.pe.gov.br/live/bf5LQHyprZ2cTZySX"/>
        <s v="https://chat-conecta.recife.pe.gov.br/omnichannel-directory/chats/view/5WhmNNhw275RxACZs/room-info"/>
        <s v="https://chat-conecta.recife.pe.gov.br/live/jtjSmJHNP5kvBXqFC/room-info"/>
        <s v="https://chat-conecta.recife.pe.gov.br/live/bT23zKeSWL4CxpKjb/room-info"/>
        <s v="https://chat-conecta.recife.pe.gov.br/live/J4C3kmHHkZCzY2suq/room-info"/>
        <s v="https://chat-conecta.recife.pe.gov.br/live/MdHoASDQqS5nDcDgq"/>
        <s v="https://chat-conecta.recife.pe.gov.br/live/7oxQJtA8bZxHM5pTY/members-list"/>
        <s v="https://chat-conecta.recife.pe.gov.br/live/jfYRaadEZyExva5di/room-info"/>
        <s v="https://chat-conecta.recife.pe.gov.br/live/SZ7bLje7RiY2q4bBi/room-info"/>
        <s v="https://chat-conecta.recife.pe.gov.br/live/CKEQ67Y4RKTNttNzq"/>
        <s v="https://chat-conecta.recife.pe.gov.br/live/evDroRMP7ADwt4iMn"/>
        <s v="https://chat-conecta.recife.pe.gov.br/live/PXsxvdmW6PyCdjzcn"/>
        <s v="https://chat-conecta.recife.pe.gov.br/live/Rp2uAtgqWRdLfoyGk/room-info"/>
        <s v="https://chat-conecta.recife.pe.gov.br/live/jLATi78fRSpFX4s7W"/>
        <s v="https://chat-conecta.recife.pe.gov.br/live/2Hwdrk5nZhyAcHr3j"/>
        <s v="https://chat-conecta.recife.pe.gov.br/live/ytbQNpFFpfAjec9TY/members-list"/>
        <s v="https://chat-conecta.recife.pe.gov.br/live/KWRrFujNCZRsLaCFC"/>
        <s v="https://chat-conecta.recife.pe.gov.br/live/6XPQQHbRCfs4Rq3aZ"/>
        <s v="https://chat-conecta.recife.pe.gov.br/live/dTQ3qE7oukKNpo72D"/>
        <s v="https://chat-conecta.recife.pe.gov.br/omnichannel-directory/chats/view/HtkoLhL5nfdrMvdKJ/room-info"/>
        <s v="https://chat-conecta.recife.pe.gov.br/live/zGe8KhrzFAbn2EjxR/room-info"/>
        <s v="https://chat-conecta.recife.pe.gov.br/live/heYXCgpSowCDsTQD2/room-info"/>
        <s v="https://chat-conecta.recife.pe.gov.br/live/evTiafidrQAAFpHms"/>
        <s v="https://chat-conecta.recife.pe.gov.br/live/RmWckvWoYF8A3wp59"/>
        <s v="https://chat-conecta.recife.pe.gov.br/live/wqmFQN84wTQsAeiaF/room-info"/>
        <s v="https://chat-conecta.recife.pe.gov.br/live/uxqtezwCGC37f4ju3/user-info"/>
        <s v="https://chat-conecta.recife.pe.gov.br/live/GYq2nZoGxHaNNfabY/room-info"/>
        <s v="https://chat-conecta.recife.pe.gov.br/live/npiPb4KkctNMfYHr7/room-info"/>
        <s v="https://chat-conecta.recife.pe.gov.br/omnichannel-directory/chats/view/qsEwSyN3Xi4F5BNfk#&amp;gid=1&amp;pid=1"/>
        <s v="https://chat-conecta.recife.pe.gov.br/live/PtFArmYXsqJDAxpEu"/>
        <s v="https://chat-conecta.recife.pe.gov.br/live/NjQyPJfX33Fox9MF5/members-list"/>
        <s v="https://chat-conecta.recife.pe.gov.br/live/AHdLbJKSsWKkznkEf/user-info"/>
        <s v="https://chat-conecta.recife.pe.gov.br/live/dtYC7zpeR7jvcxs5s"/>
        <s v="https://chat-conecta.recife.pe.gov.br/live/NWy8fvQ3RKnEt4oNH#&amp;gid=1&amp;pid=9"/>
        <s v="https://chat-conecta.recife.pe.gov.br/live/CsbhzhYgS3G9h5MGC/room-info"/>
        <s v="https://chat-conecta.recife.pe.gov.br/live/HeNbNXRRQAsjeYdNu/members-list"/>
        <s v="https://chat-conecta.recife.pe.gov.br/live/nREB6dRLKiM4zrHjr/room-info"/>
        <s v="https://chat-conecta.recife.pe.gov.br/live/9x2Zj6bi7Pp7EDHSe"/>
        <s v="https://chat-conecta.recife.pe.gov.br/live/NHLvgyBvFhw5tJwsT#&amp;gid=1&amp;pid=1"/>
        <s v="https://chat-conecta.recife.pe.gov.br/live/73fhEmNukJSdeSAps/room-info"/>
        <s v="https://chat-conecta.recife.pe.gov.br/live/5JfR9KNn6cHHtHty3"/>
        <s v="https://chat-conecta.recife.pe.gov.br/omnichannel-directory/chats/view/FnBLQrGGAPBSRo9hZ/room-info"/>
        <s v="https://chat-conecta.recife.pe.gov.br/live/JigFnCfTnGBGKj7Pr/room-info"/>
        <s v="https://chat-conecta.recife.pe.gov.br/live/dfx8bq8MZDHthAhhy"/>
        <s v="https://chat-conecta.recife.pe.gov.br/live/ckE7dHvTTmZLwqrZF"/>
        <s v="https://chat-conecta.recife.pe.gov.br/live/5WBawtTGCAM2PuE2Z/user-info"/>
        <s v="https://chat-conecta.recife.pe.gov.br/live/pMrmBfeH7he9QtY9v/user-info"/>
        <s v="https://chat-conecta.recife.pe.gov.br/live/SLpgNM8Qaa7Szv269"/>
        <s v="https://chat-conecta.recife.pe.gov.br/live/D4gxswpCPMrwehrgc/members-list"/>
        <s v="https://chat-conecta.recife.pe.gov.br/live/w6ZaKPeYQD6u7tknT"/>
        <s v="https://chat-conecta.recife.pe.gov.br/live/YDC56o6orpYBudab7"/>
        <s v="https://chat-conecta.recife.pe.gov.br/live/DqyYkTKvssfjKzYt6"/>
        <s v="https://chat-conecta.recife.pe.gov.br/live/gpbx3fK755rmnQvNo/user-info"/>
        <s v="https://chat-conecta.recife.pe.gov.br/live/Zfew6L6nAsNicsWZK"/>
        <s v="https://chat-conecta.recife.pe.gov.br/live/PiNBwe6v3WheJ7a4p"/>
        <s v="https://chat-conecta.recife.pe.gov.br/live/X7xa5JLL2T5DE9KRp"/>
        <s v="https://chat-conecta.recife.pe.gov.br/live/Z9zKiTZ7gZRiEqjZ7/members-list"/>
        <s v="https://chat-conecta.recife.pe.gov.br/live/8K7mM5Ku2TrH69X23"/>
        <s v="https://chat-conecta.recife.pe.gov.br/live/XPCkqvFBtwPBJwfwR"/>
        <s v="https://chat-conecta.recife.pe.gov.br/live/Lpnh4LDx5dimZk99F"/>
        <s v="https://chat-conecta.recife.pe.gov.br/live/B3mNBycZyHFa9r6py"/>
        <s v="https://chat-conecta.recife.pe.gov.br/live/dwRWD6srjTzWsD9Cz"/>
        <s v="https://chat-conecta.recife.pe.gov.br/live/LtcfxNSaFj2cSBW9H"/>
        <s v="https://chat-conecta.recife.pe.gov.br/live/SFxdwa79sJ8py2cPc"/>
        <s v="https://chat-conecta.recife.pe.gov.br/live/jABwMLkvnRFDbFFTG/user-info"/>
        <s v="https://chat-conecta.recife.pe.gov.br/live/4o7BYXMBosKBBrqBv"/>
        <s v="https://chat-conecta.recife.pe.gov.br/live/K82TjozBXLwFcdeP7/user-info"/>
        <s v="https://chat-conecta.recife.pe.gov.br/live/gM73uqmL2T5CNvawe"/>
        <s v="https://chat-conecta.recife.pe.gov.br/live/P7x4nyBLpRG7Lrsvf"/>
        <s v="https://chat-conecta.recife.pe.gov.br/live/QNdahEsWgXtW8wyni/uploaded-files-list"/>
        <s v="https://chat-conecta.recife.pe.gov.br/live/b57vCox8kXS8mE6Bp/room-info"/>
        <s v="https://chat-conecta.recife.pe.gov.br/live/9AeaRH9NC6zTGwnxs/user-info"/>
        <s v="https://chat-conecta.recife.pe.gov.br/live/RYqP6JcixphEtMmtK"/>
        <s v="https://chat-conecta.recife.pe.gov.br/live/vMrygR4Sroq57B634/user-info"/>
        <s v="https://chat-conecta.recife.pe.gov.br/live/QjjSbvJE2AwxhNEXz/user-info"/>
        <s v="https://chat-conecta.recife.pe.gov.br/live/qiHi6PS2gE8jozMfQ"/>
        <s v="https://chat-conecta.recife.pe.gov.br/live/fiX4FnZoyN5ubW7m3/room-info"/>
        <s v="https://chat-conecta.recife.pe.gov.br/live/uYDghbmpAWJpj7vWG/room-info"/>
        <s v="https://chat-conecta.recife.pe.gov.br/live/dTKbwuTrwPZwkyQNr"/>
        <s v="https://chat-conecta.recife.pe.gov.br/omnichannel-directory/chats/view/nJS8tA8f6pNgMWw7f"/>
        <s v="https://chat-conecta.recife.pe.gov.br/live/KstsxzZsf9WyJbs6M/user-info"/>
        <s v="https://chat-conecta.recife.pe.gov.br/live/SLKTqp3Zo75Qbk89E"/>
        <s v="https://chat-conecta.recife.pe.gov.br/live/So5JNiP7RbYv5m7EB#&amp;gid=1&amp;pid=5"/>
        <s v="https://chat-conecta.recife.pe.gov.br/live/EDCrZJap6jzFXHRkT"/>
        <s v="https://chat-conecta.recife.pe.gov.br/live/3PzfmBRBamdw5n99q"/>
        <s v="https://chat-conecta.recife.pe.gov.br/live/xvg2y92NSfJaaxxw7"/>
        <s v="https://chat-conecta.recife.pe.gov.br/live/FadL7mshHaoH87y32"/>
        <s v="https://chat-conecta.recife.pe.gov.br/live/fq5LBuFhL5t9YFEph/room-info"/>
        <s v="https://chat-conecta.recife.pe.gov.br/live/ENmKgnAPNGNtK5hJm"/>
        <s v="https://chat-conecta.recife.pe.gov.br/live/Q6KQjETvm7ZakLnMM/room-info"/>
        <s v="https://chat-conecta.recife.pe.gov.br/live/QPoSD83YzTNSBYn8r/room-info"/>
        <s v="https://chat-conecta.recife.pe.gov.br/live/J5yApicjQ25ZpDpvZ"/>
        <s v="https://chat-conecta.recife.pe.gov.br/live/8RmemxfPoEwQKXs26"/>
        <s v="https://chat-conecta.recife.pe.gov.br/live/S9pKRag9nTD8HjaHp"/>
        <s v="https://chat-conecta.recife.pe.gov.br/live/JE2g3BZhwo27gqKLb/room-info"/>
        <s v="https://chat-conecta.recife.pe.gov.br/live/a925A58hfDuHJ6tsK/room-info"/>
        <s v="https://chat-conecta.recife.pe.gov.br/live/ZYC252AbpF7pt4si2/room-info"/>
        <s v="https://chat-conecta.recife.pe.gov.br/live/BsWoAdmrXbLeG6A3L/user-info"/>
        <s v="https://chat-conecta.recife.pe.gov.br/omnichannel-directory/chats/view/gtnLac2AurtuGrXMJ"/>
        <s v="https://chat-conecta.recife.pe.gov.br/live/SRDBYEHvqpK6f9gvJ/room-info"/>
        <s v="https://chat-conecta.recife.pe.gov.br/live/cMosTbf53EvohL4By/room-info"/>
        <s v="https://chat-conecta.recife.pe.gov.br/live/STvdZKNqHi89vhvLu"/>
        <s v="https://chat-conecta.recife.pe.gov.br/live/8FsATpXxfWsmQn5xR"/>
        <s v="https://chat-conecta.recife.pe.gov.br/live/qeAceoXxrf9gm8g82/room-info"/>
        <s v="https://chat-conecta.recife.pe.gov.br/live/jXu7Lnx5YxBdEtQst"/>
        <s v="https://chat-conecta.recife.pe.gov.br/live/ydQrgKMuzDrnSrNgW"/>
        <s v="https://chat-conecta.recife.pe.gov.br/live/83GyxDDbpfFRSTYtW"/>
        <s v="https://chat-conecta.recife.pe.gov.br/live/Di65GgNX24XusZbuZ/user-info"/>
        <s v="https://chat-conecta.recife.pe.gov.br/live/r9o3ZqHaFjKzzzFLg/room-info"/>
        <s v="https://chat-conecta.recife.pe.gov.br/live/5nzaJ9pj7bcPwYniD/room-info"/>
        <s v="https://chat-conecta.recife.pe.gov.br/live/8CvfSqgnXwnvqYXiT/room-info"/>
        <s v="https://chat-conecta.recife.pe.gov.br/live/zqdhp6ivb4h98eBRA"/>
        <s v="https://chat-conecta.recife.pe.gov.br/live/KP32Y5Ge6hq3PoptS/room-info"/>
        <s v="https://chat-conecta.recife.pe.gov.br/live/dae8hijHZkqyLhmuH"/>
        <s v="https://chat-conecta.recife.pe.gov.br/live/zGmFMWeNANbgXNHxZ"/>
        <s v="https://chat-conecta.recife.pe.gov.br/omnichannel-directory/chats/view/2NQMKPvGgmkNLFPyi/room-info"/>
        <s v="https://chat-conecta.recife.pe.gov.br/live/CyTqEr6DxdcxYY42h/room-info"/>
        <s v="https://chat-conecta.recife.pe.gov.br/live/d8D9JRmvMJptXuXwd/room-info"/>
        <s v="https://chat-conecta.recife.pe.gov.br/live/aiitppiyockKxJmKB"/>
        <s v="https://chat-conecta.recife.pe.gov.br/live/NNKR3geYk5siGhvE6"/>
        <s v="https://chat-conecta.recife.pe.gov.br/live/3s85yrRGRagwgtCDk"/>
        <s v="https://chat-conecta.recife.pe.gov.br/live/H4jKhPT3JY9LdLksL/user-info"/>
        <s v="https://chat-conecta.recife.pe.gov.br/live/qRmuM7qRcfFuoLj2F/user-info"/>
        <s v="https://chat-conecta.recife.pe.gov.br/live/FtfENriPYBYyomCog"/>
        <s v="https://chat-conecta.recife.pe.gov.br/live/XHh56qkWQoTdcSSGh"/>
        <s v="https://chat-conecta.recife.pe.gov.br/live/kMu6oKi5Gr6a39i4B/room-info"/>
        <s v="https://chat-conecta.recife.pe.gov.br/live/JDCtyJQNjXWpnFz4Y"/>
        <s v="https://chat-conecta.recife.pe.gov.br/live/hcAAhWuafwdTxYMoG"/>
        <s v="https://chat-conecta.recife.pe.gov.br/live/meHsTPnCMaruPJ2YN/members-list"/>
        <s v="https://chat-conecta.recife.pe.gov.br/live/v2a5dM6YyhTMwp3oX"/>
        <s v="https://chat-conecta.recife.pe.gov.br/live/FJBrLR8pKZEfGPZ5v/room-info"/>
        <s v="https://chat-conecta.recife.pe.gov.br/live/NbTuF9Tdvh5myMXW5/room-info"/>
        <s v="https://chat-conecta.recife.pe.gov.br/live/R4scd6XHagQjF9jL8/user-info"/>
        <s v="https://chat-conecta.recife.pe.gov.br/omnichannel-directory/chats/view/FJBrLR8pKZEfGPZ5v/room-info"/>
        <s v="https://chat-conecta.recife.pe.gov.br/live/Tax38sYXfjzPHKsGh/members-list"/>
        <s v="https://chat-conecta.recife.pe.gov.br/live/CfsCYMDZvMa5yNRJK/room-info"/>
        <s v="https://chat-conecta.recife.pe.gov.br/live/ess787q7AicDeYem9/room-info#&amp;gid=1&amp;pid=2"/>
        <s v="https://chat-conecta.recife.pe.gov.br/live/ro7zs33f3idwZj3Mq/room-info"/>
        <s v="https://chat-conecta.recife.pe.gov.br/live/MuYP9bmze5HmmiK3q/room-info"/>
        <s v="https://chat-conecta.recife.pe.gov.br/live/Ldtu4SBHn2f4rxcGt/user-info"/>
        <s v="https://chat-conecta.recife.pe.gov.br/live/BtXQyXXk9cQZ4cxjA/room-info"/>
        <s v="https://chat-conecta.recife.pe.gov.br/live/8y3TR8ohzJJeHXZqC/user-info#&amp;gid=1&amp;pid=4"/>
        <s v="https://chat-conecta.recife.pe.gov.br/live/D3ZfQK3vwPW99fXWc/user-info"/>
        <s v="https://chat-conecta.recife.pe.gov.br/live/eDmYZnKGXh2Jg4uGM"/>
        <s v="https://chat-conecta.recife.pe.gov.br/live/8oKuW2s6JBPumwjBF"/>
        <s v="https://chat-conecta.recife.pe.gov.br/live/DkxpyrNoojFFi4q4C/members-list"/>
        <s v="https://chat-conecta.recife.pe.gov.br/live/buamMAmC8wXGoMYJW"/>
        <s v="https://chat-conecta.recife.pe.gov.br/live/avS9ggNjm6ZF6HKbR/user-info"/>
        <s v="https://chat-conecta.recife.pe.gov.br/live/jKG7GZ7WS3ECmXzhY/room-info"/>
        <s v="https://chat-conecta.recife.pe.gov.br/live/RQvYAYLFuYs5BXXJE/room-info"/>
        <s v="https://chat-conecta.recife.pe.gov.br/live/pmgLkXYi6xpm33kna/room-info"/>
        <s v="https://chat-conecta.recife.pe.gov.br/live/zfqcjiQXaotabHKCF/room-info"/>
        <s v="https://chat-conecta.recife.pe.gov.br/live/fuDM2m6zX23HmRzyM#&amp;gid=1&amp;pid=2"/>
        <s v="https://chat-conecta.recife.pe.gov.br/live/S2reuqgRCntcmdzG5/room-info"/>
        <s v="https://chat-conecta.recife.pe.gov.br/live/KfvYAw7jZJX8Cb8nz/room-info"/>
        <s v="https://chat-conecta.recife.pe.gov.br/live/voYjixJuRCRwZhymX/room-info"/>
        <s v="https://chat-conecta.recife.pe.gov.br/live/4pw4eGNarrsBimgWx/room-info"/>
        <s v="https://chat-conecta.recife.pe.gov.br/live/sfdFJbzPBXWsdL4Hz"/>
        <s v="https://chat-conecta.recife.pe.gov.br/live/tm6mREfidRYBYC2tt"/>
        <s v="https://chat-conecta.recife.pe.gov.br/live/bWKcRpdasTR4eYWE9/room-info"/>
        <s v="https://chat-conecta.recife.pe.gov.br/live/McrLSkMYE3xuKtsSS/room-info"/>
        <s v="https://chat-conecta.recife.pe.gov.br/live/dKmTM4Xi2sf4EHJnm/members-list"/>
        <s v="https://chat-conecta.recife.pe.gov.br/live/XF9qmAuTB9Gek27EH/members-list"/>
        <s v="https://chat-conecta.recife.pe.gov.br/live/RfFjHHssLjvexk2fp"/>
        <s v="https://chat-conecta.recife.pe.gov.br/live/nCaCC8xSQC8JKJtFG"/>
        <s v="https://chat-conecta.recife.pe.gov.br/live/RxLQhZtQL6Kkr4YCY"/>
        <s v="https://chat-conecta.recife.pe.gov.br/live/ZpahxkXRKchyJjA3L"/>
        <s v="https://chat-conecta.recife.pe.gov.br/live/5rhuiqoJB9Zrgxymh"/>
        <s v="https://chat-conecta.recife.pe.gov.br/live/aZdmyAiNBxWBuPF68"/>
        <s v="https://chat-conecta.recife.pe.gov.br/live/T9wF6zPn6PJD4j6MW"/>
        <s v="https://chat-conecta.recife.pe.gov.br/live/GAnXdvJTu48J2uHyR/room-info"/>
        <s v="https://chat-conecta.recife.pe.gov.br/live/PD5xtw3eK4QtQy5MA"/>
        <s v="https://chat-conecta.recife.pe.gov.br/live/4sz8CyRMPM7gpHxxy/room-info"/>
        <s v="https://chat-conecta.recife.pe.gov.br/live/ZM92pnghF9yTnzrJz"/>
        <s v="https://chat-conecta.recife.pe.gov.br/live/s5yGXGRxCdi3kKz5e#&amp;gid=1&amp;pid=4"/>
        <s v="https://chat-conecta.recife.pe.gov.br/omnichannel-directory/chats/view/rxsnhicykwTNSMuP9"/>
        <s v="https://chat-conecta.recife.pe.gov.br/live/HRw3JfQgkPaDtz85q/room-info"/>
        <s v="https://chat-conecta.recife.pe.gov.br/live/CdpKsRdbqhoXtXjwk"/>
        <s v="https://chat-conecta.recife.pe.gov.br/live/n7oX7FgRtPjXMp4ub/room-info"/>
        <s v="https://chat-conecta.recife.pe.gov.br/live/QyJ9obB2noDM35TkA"/>
        <s v="https://chat-conecta.recife.pe.gov.br/live/Y6E2niZZjKiWChvrQ/room-info"/>
        <s v="https://chat-conecta.recife.pe.gov.br/omnichannel-directory/chats/view/nfHomGGPMfaRSP6SY/room-info"/>
        <s v="https://chat-conecta.recife.pe.gov.br/live/7pmFhfKruBwAEfhAh/room-info"/>
        <s v="https://chat-conecta.recife.pe.gov.br/live/H3FDF6PjP6jSM2tTQ"/>
        <s v="https://chat-conecta.recife.pe.gov.br/live/z45Lfm3XniN8SMqdt"/>
        <s v="https://chat-conecta.recife.pe.gov.br/live/tdPRYgYfhJSQ2wYsa/room-info"/>
        <s v="https://chat-conecta.recife.pe.gov.br/live/o2RNLNNcuiDva9rCe/room-info"/>
        <s v="https://chat-conecta.recife.pe.gov.br/live/Pud2sjZ3id3JsemYY/room-info"/>
        <s v="https://chat-conecta.recife.pe.gov.br/direct/NcmyoDSPPFwkbXMjAi2c2jSHZXRKjv2wQH"/>
        <s v="https://chat-conecta.recife.pe.gov.br/live/QCbG3kpgSGTGz7wdG/room-info"/>
        <s v="https://chat-conecta.recife.pe.gov.br/live/fMs2MgZJdDz3zpL3B/members-list"/>
        <s v="https://chat-conecta.recife.pe.gov.br/omnichannel-directory/chats/view/mdu5BX57Aayhwss3g/room-info"/>
        <s v="https://chat-conecta.recife.pe.gov.br/live/ZEdCrmCQeB2BiEdyu/room-info"/>
        <s v="https://chat-conecta.recife.pe.gov.br/live/eJSP9vgscyetfgQM8/user-info"/>
        <s v="https://chat-conecta.recife.pe.gov.br/live/bxTD23RzEJthzGgSo#&amp;gid=1&amp;pid=6"/>
        <s v="https://chat-conecta.recife.pe.gov.br/live/rXdsKbA7MrTTYrC7c"/>
        <s v="https://chat-conecta.recife.pe.gov.br/live/yjaYZvXF3Xz8gFupv"/>
        <s v="https://chat-conecta.recife.pe.gov.br/live/9oerbMaGKGQpsKvof"/>
        <s v="https://chat-conecta.recife.pe.gov.br/live/s9ssMzN9q2CqpNWFA"/>
        <s v="https://chat-conecta.recife.pe.gov.br/live/jSWoe2nasPCBFiPdm/room-info"/>
        <s v="https://chat-conecta.recife.pe.gov.br/live/vdpfFgmshefC3gxdn"/>
        <s v="https://chat-conecta.recife.pe.gov.br/live/xrbLQr7oQM9XNGyLv"/>
        <s v="https://chat-conecta.recife.pe.gov.br/live/5gxvRaoT8frwEqTiM/user-info"/>
        <s v="https://chat-conecta.recife.pe.gov.br/live/tmbFYxEgcNTtdcyii/room-info"/>
        <s v="https://chat-conecta.recife.pe.gov.br/live/r2i4gahHaC7vNLEEK"/>
        <s v="https://chat-conecta.recife.pe.gov.br/live/AQfxjoyngDk8TndQB/room-info"/>
        <s v="https://chat-conecta.recife.pe.gov.br/live/P4Z55NZW5sKpbGBRY/user-info"/>
        <s v="https://chat-conecta.recife.pe.gov.br/live/AnHbN3eWMDHyNJkrt/members-list"/>
        <s v="https://chat-conecta.recife.pe.gov.br/live/KMwioqTKMqMhoy3jY/user-info"/>
        <s v="https://chat-conecta.recife.pe.gov.br/live/KMwioqTKMqMhoy3jY/room-info"/>
        <s v="https://chat-conecta.recife.pe.gov.br/live/Rza7bpfB7NfqpmdBM/room-info"/>
        <s v="https://chat-conecta.recife.pe.gov.br/live/tE5Y8cZGLCpRTLWDo/user-info"/>
        <s v="https://chat-conecta.recife.pe.gov.br/live/AHsdXLhoywRd7sWRb/user-info"/>
        <s v="https://chat-conecta.recife.pe.gov.br/live/FE4HZoYBBxfZtD4kE"/>
        <s v="https://chat-conecta.recife.pe.gov.br/live/nAFoFx7LCa7jLcwNw/room-info"/>
        <s v="https://chat-conecta.recife.pe.gov.br/live/dDYTdcYQTz8p929tz"/>
        <s v="https://chat-conecta.recife.pe.gov.br/live/vj2Ee9qtE74H5qJHm/room-info"/>
        <s v="https://chat-conecta.recife.pe.gov.br/live/rHrMX6jFvrRD8Fy83/room-info"/>
        <s v="https://chat-conecta.recife.pe.gov.br/live/yddLtRCcseMJqBGJc#&amp;gid=1&amp;pid=8"/>
        <s v="https://chat-conecta.recife.pe.gov.br/live/CJCWWq4JbYsdotwXY/members-list"/>
        <s v="https://chat-conecta.recife.pe.gov.br/live/LNPG6DGuWT2h883BS"/>
        <s v="https://chat-conecta.recife.pe.gov.br/live/9h3sgK5qiaGkeQKc7/room-info"/>
        <s v="https://chat-conecta.recife.pe.gov.br/live/mYoiBcMRb5sW8zxnF/user-info"/>
        <s v="https://chat-conecta.recife.pe.gov.br/live/We3zfcTLx5g9tc9Aq"/>
        <s v="https://chat-conecta.recife.pe.gov.br/live/MhXLwSHKAfsxt9pTy"/>
        <s v="https://chat-conecta.recife.pe.gov.br/omnichannel-directory/chats/view/9h3sgK5qiaGkeQKc7/room-info"/>
        <s v="https://chat-conecta.recife.pe.gov.br/live/8v8Mhw59E3o3Agxah/room-info"/>
        <s v="https://chat-conecta.recife.pe.gov.br/live/4sGkT3uJnLEuB5nrH"/>
        <s v="https://chat-conecta.recife.pe.gov.br/live/piKXRSNQ5qg3MRub9/room-info"/>
        <s v="https://chat-conecta.recife.pe.gov.br/live/5nWMx4ytDEvxkzXpq"/>
        <s v="https://chat-conecta.recife.pe.gov.br/live/c57mqrxf6oucFNPii"/>
        <s v="https://chat-conecta.recife.pe.gov.br/live/Ltwmmk5sRnyaJtMmd/room-info"/>
        <s v="https://chat-conecta.recife.pe.gov.br/live/C9D6ytyB7zXR5ssru"/>
        <s v="https://chat-conecta.recife.pe.gov.br/live/av3ZiF2rHiAzeyg39"/>
        <s v="https://chat-conecta.recife.pe.gov.br/live/2jSdW8kWSMKLi2A4S/user-info"/>
        <s v="https://chat-conecta.recife.pe.gov.br/live/HiMnirG6ozF8HwNWz"/>
        <s v="https://chat-conecta.recife.pe.gov.br/live/f3FZGXoFyKfZLHJdL/members-list"/>
        <s v="https://chat-conecta.recife.pe.gov.br/live/TwMADgQqhGRs6ihGy"/>
        <s v="https://chat-conecta.recife.pe.gov.br/live/LNcY2JYXqbJhvKGoc#&amp;gid=1&amp;pid=4"/>
        <s v="https://chat-conecta.recife.pe.gov.br/live/YrmK4d8nbnTK2bPCS"/>
        <s v="https://chat-conecta.recife.pe.gov.br/live/B4Hnt7Yhwor34pEEu/uploaded-files-list"/>
        <s v="https://chat-conecta.recife.pe.gov.br/omnichannel-directory/chats/view/TipfusqGDBhNmbHfn"/>
        <s v="https://chat-conecta.recife.pe.gov.br/live/WGm8jy85oco7vWuQn/user-info"/>
        <s v="https://chat-conecta.recife.pe.gov.br/live/jqApCsg9G6N6bddA5/room-info"/>
        <s v="https://chat-conecta.recife.pe.gov.br/live/ToeTmfK4QHYwHpYba"/>
        <s v="https://chat-conecta.recife.pe.gov.br/live/LSwnF6zsHeuna6t5g/user-info"/>
        <s v="https://chat-conecta.recife.pe.gov.br/live/PBopX9SHBgDuA2RAs/room-info"/>
        <s v="https://chat-conecta.recife.pe.gov.br/live/YaPoRLRrozedndcwy"/>
        <s v="https://chat-conecta.recife.pe.gov.br/live/wb4y3XeWoum4usnJZ/room-info"/>
        <s v="https://chat-conecta.recife.pe.gov.br/live/nJwhdHyfYxibDJQ4Y"/>
        <s v="https://chat-conecta.recife.pe.gov.br/live/EptoLGdPfW8sCx8G7"/>
        <s v="https://chat-conecta.recife.pe.gov.br/live/MCMvXyDPKmPBNy27S/members-list"/>
        <s v="https://chat-conecta.recife.pe.gov.br/live/uFnCh7mBMFBCWBE2X/room-info"/>
        <s v="https://chat-conecta.recife.pe.gov.br/live/XTh6tMgCDSD4zwfDh"/>
        <s v="https://chat-conecta.recife.pe.gov.br/live/zGnGLFmbPuA4GCJRZ/room-info"/>
        <s v="https://chat-conecta.recife.pe.gov.br/live/zk6hvdQ2DsaEiECXw/room-info"/>
        <s v="https://chat-conecta.recife.pe.gov.br/live/TGzvEeF8cuRGHPPLR/user-info"/>
        <s v="https://chat-conecta.recife.pe.gov.br/live/wdfKRtWpPAJBRdGp6/room-info"/>
        <s v="https://chat-conecta.recife.pe.gov.br/live/nPjhPu6kieccuo72K/room-info"/>
        <s v="https://chat-conecta.recife.pe.gov.br/live/9wsNjYi8TBdfAneLt/user-info"/>
        <s v="https://chat-conecta.recife.pe.gov.br/live/47ZoZZroPeSiJFPYZ/user-info"/>
        <s v="https://chat-conecta.recife.pe.gov.br/live/f79GJPct9gYx9WmoJ/user-info#&amp;gid=1&amp;pid=5"/>
        <s v="https://chat-conecta.recife.pe.gov.br/live/z4h7ZpdSEq8oXc8L2/user-info"/>
        <s v="https://chat-conecta.recife.pe.gov.br/live/oFn54msvsGSozPPZJ"/>
        <s v="https://chat-conecta.recife.pe.gov.br/live/tPvLXrfSqgtcnywMi/user-info"/>
        <s v="https://chat-conecta.recife.pe.gov.br/live/vtmNXeGR4y3fLiocH"/>
        <s v="https://chat-conecta.recife.pe.gov.br/live/s2iHsveqyCgtgDdSr"/>
        <s v="https://chat-conecta.recife.pe.gov.br/live/9F4uSSvb2RYbHXo3b/uploaded-files-list"/>
        <s v="https://chat-conecta.recife.pe.gov.br/live/bGCbT2d9dQkCyhkj4"/>
        <s v="https://chat-conecta.recife.pe.gov.br/live/At5J4ZbgemTiaJ9Fr/room-info"/>
        <s v="https://chat-conecta.recife.pe.gov.br/live/TEofGvc2fYQsMgQmy"/>
        <s v="https://chat-conecta.recife.pe.gov.br/live/3SWwdFoWRFuq9jGGi/user-info"/>
        <s v="https://chat-conecta.recife.pe.gov.br/live/84kZepyKnNT9kBcqy"/>
        <s v="https://chat-conecta.recife.pe.gov.br/live/PZnr4tW6szgRaBtBQ/room-info"/>
        <s v="https://chat-conecta.recife.pe.gov.br/live/jamTQqREGtnZSsECP"/>
        <s v="https://chat-conecta.recife.pe.gov.br/live/Xf8iPzZTiq6R8LQee/room-info"/>
        <s v="https://chat-conecta.recife.pe.gov.br/live/LpdNGatAexmtLMwZK"/>
        <s v="https://chat-conecta.recife.pe.gov.br/live/3q7yt5WKx7NxZa4mP"/>
        <s v="https://chat-conecta.recife.pe.gov.br/live/CNtjmr9Jt6DHa6ftr/room-info"/>
        <s v="https://chat-conecta.recife.pe.gov.br/live/7sL4pESJCqGuS6Nw7"/>
        <s v="https://chat-conecta.recife.pe.gov.br/live/XqQca92b9rgdRgpmB"/>
        <s v="https://chat-conecta.recife.pe.gov.br/live/pAhjLDQiZhrwtFk8D"/>
        <s v="https://chat-conecta.recife.pe.gov.br/live/GGZhQ75mX6jHpiHYD/members-list"/>
        <s v="https://chat-conecta.recife.pe.gov.br/live/8ujind6kKqd78w4oP"/>
        <s v="https://chat-conecta.recife.pe.gov.br/live/TpLbFfJndDLC4k7CZ"/>
        <s v="https://chat-conecta.recife.pe.gov.br/live/Ewcs7ZtEGacEXcWTk"/>
        <s v="https://chat-conecta.recife.pe.gov.br/live/Xtn8xzM9wrHdqW85z/room-info"/>
        <s v="https://chat-conecta.recife.pe.gov.br/live/mt59LtTYgFaedaLGa"/>
        <s v="https://chat-conecta.recife.pe.gov.br/live/SWpnNq59vRSzv7APF"/>
        <s v="https://chat-conecta.recife.pe.gov.br/live/cDXhcWZkS5dpB4DPC"/>
        <s v="https://chat-conecta.recife.pe.gov.br/live/eN8NNFPhgkanD94ct/room-info"/>
        <s v="https://chat-conecta.recife.pe.gov.br/live/EPoqqpCatZkGZKHNo/room-info"/>
        <s v="https://chat-conecta.recife.pe.gov.br/live/WPQvNEK2d4gZ8Mow6"/>
        <s v="https://chat-conecta.recife.pe.gov.br/live/mjspR7BKruMbzfrmS/room-info"/>
        <s v="https://chat-conecta.recife.pe.gov.br/live/2MazhZKwiwsK53iH7"/>
        <s v="https://chat-conecta.recife.pe.gov.br/live/Jz7KP6qetfsivQbaq"/>
        <s v="https://chat-conecta.recife.pe.gov.br/live/WQf6RYEhThyNGrQ7J/room-info"/>
        <s v="https://chat-conecta.recife.pe.gov.br/live/n8G9hupd2FQoyKw3h/room-info"/>
        <s v="https://chat-conecta.recife.pe.gov.br/live/5EPSr9bTFjfEw7pxA/room-info"/>
        <s v="https://chat-conecta.recife.pe.gov.br/live/e96R3EJ4kiEFeSkxE/room-info"/>
        <s v="https://chat-conecta.recife.pe.gov.br/live/suetuRC4ydfLBjDiJ/room-info"/>
        <s v="https://chat-conecta.recife.pe.gov.br/live/9WZ3ziDLAgvDzpaf7/user-info"/>
        <s v="https://chat-conecta.recife.pe.gov.br/live/jLmq7nqMNASP3wNhq/room-info"/>
        <s v="https://chat-conecta.recife.pe.gov.br/live/XNkHTxuGqLiMHW367"/>
        <s v="https://chat-conecta.recife.pe.gov.br/live/mTjGX7xp2go6KWdhT#&amp;gid=1&amp;pid=6"/>
        <s v="https://chat-conecta.recife.pe.gov.br/live/hrLz382WiQGmE5NNv/room-info"/>
        <s v="https://chat-conecta.recife.pe.gov.br/live/KfhRPN5WQNXrfsGXa/user-info"/>
        <s v="https://chat-conecta.recife.pe.gov.br/live/3CLnpsujeK6KfSNgy/room-info"/>
        <s v="https://chat-conecta.recife.pe.gov.br/live/kDF4XXNqNxZETDPwJ"/>
        <s v="https://chat-conecta.recife.pe.gov.br/live/TEYqdTArcZnMXx6fc"/>
        <s v="https://chat-conecta.recife.pe.gov.br/live/kh3shwjfABzKaeF8Y/room-info"/>
        <s v="https://chat-conecta.recife.pe.gov.br/live/yfAqfskTwQizj7wzf/user-info"/>
        <s v="https://chat-conecta.recife.pe.gov.br/live/LQqBxxnqBFPDpMeRS"/>
        <s v="https://chat-conecta.recife.pe.gov.br/live/SDQDBYkgbRyD7tsDw/user-info"/>
        <s v="https://chat-conecta.recife.pe.gov.br/live/qANtvMXKJo8ysphNS"/>
        <s v="https://chat-conecta.recife.pe.gov.br/live/8HRxCuDkNtWG4t2oY"/>
        <s v="https://chat-conecta.recife.pe.gov.br/live/WvpZswjNovxTzL6T7/room-info"/>
        <s v="https://chat-conecta.recife.pe.gov.br/live/xwejZoBSFwvgT2RQa/user-info"/>
        <s v="https://chat-conecta.recife.pe.gov.br/live/LvsE69AD54rx2eZJJ"/>
        <s v="https://chat-conecta.recife.pe.gov.br/live/JuZ2HW8CadSHTJWic/room-info"/>
        <s v="https://chat-conecta.recife.pe.gov.br/live/Z6QAd7AwEbPK8F76p/room-info"/>
        <s v="https://chat-conecta.recife.pe.gov.br/live/jSESwdMALKb5seoSK"/>
        <s v="https://chat-conecta.recife.pe.gov.br/live/LPodvTkfdriCKeLYF"/>
        <s v="https://chat-conecta.recife.pe.gov.br/live/dfpjzxaRcYyKDe6H2/user-info"/>
        <s v="https://chat-conecta.recife.pe.gov.br/live/wFE929JxDQXaQNKbp/user-info#&amp;gid=1&amp;pid=4"/>
        <s v="https://chat-conecta.recife.pe.gov.br/live/YvhtDuqvs7H7LrD88/room-info"/>
        <s v="https://chat-conecta.recife.pe.gov.br/omnichannel-directory/chats/view/g3kbApt67hmcEdEQj/room-info"/>
        <s v="https://chat-conecta.recife.pe.gov.br/live/DsZwim3tMQ5WzZS5w/members-list"/>
        <s v="https://chat-conecta.recife.pe.gov.br/live/AwXrj6Xr9T3nacPuH"/>
        <s v="https://chat-conecta.recife.pe.gov.br/live/wNc8LSiq63vp5xY3G/user-info"/>
        <s v="https://chat-conecta.recife.pe.gov.br/live/955u4rx7HG9Mpy2nM/members-list"/>
        <s v="https://chat-conecta.recife.pe.gov.br/live/6erw5JMxxjkeq6KHR/user-info"/>
        <s v="https://chat-conecta.recife.pe.gov.br/live/FqRRk8vaZt8gGp9pG"/>
        <s v="https://chat-conecta.recife.pe.gov.br/live/j9DNDTRrq9ySBDLy4/members-list"/>
        <s v="https://chat-conecta.recife.pe.gov.br/live/gkiG9W86RTYhLJNeT/room-info"/>
        <s v="https://chat-conecta.recife.pe.gov.br/live/LnNkyRMuYRcrKSjcm"/>
        <s v="https://chat-conecta.recife.pe.gov.br/live/YKcfCgt7msAin5DZf"/>
        <s v="https://chat-conecta.recife.pe.gov.br/live/gSAHbAcMvjDuKXpc7"/>
        <s v="https://chat-conecta.recife.pe.gov.br/live/ewQu7KPo2L3p3j4C4/room-info"/>
        <s v="https://chat-conecta.recife.pe.gov.br/live/RJqTFJ3wGHYt53RNE/room-info"/>
        <s v="https://chat-conecta.recife.pe.gov.br/live/CxPnSzXnQtoqkSM5Y/room-info"/>
        <s v="https://chat-conecta.recife.pe.gov.br/live/ATbzSz4oNwiQsRGsn"/>
        <s v="https://chat-conecta.recife.pe.gov.br/live/WhduJ3KxEETHGNW4J"/>
        <s v="https://chat-conecta.recife.pe.gov.br/omnichannel-directory/chats/view/pJhp6GSZu6WfKsL98/room-info"/>
        <s v="https://chat-conecta.recife.pe.gov.br/live/jkSXWeBmc4rMqKBQt"/>
        <s v="https://chat-conecta.recife.pe.gov.br/live/Bgfzh5Xz2Ye3vRTzw"/>
        <s v="https://chat-conecta.recife.pe.gov.br/live/ws9qFWHpavvohcaYp"/>
        <s v="https://chat-conecta.recife.pe.gov.br/live/xkf9eh94fsQBW7ynj/room-info"/>
        <s v="https://chat-conecta.recife.pe.gov.br/live/fowZKxsWwHwttQkKC"/>
        <s v="https://chat-conecta.recife.pe.gov.br/live/WYDP8X9h7feWj2d6R"/>
        <s v="https://chat-conecta.recife.pe.gov.br/omnichannel-directory/chats/view/BbWbp7HdyHrP3hKSh/room-info"/>
        <s v="https://chat-conecta.recife.pe.gov.br/live/z7mn3KFCtXgEaZdnt"/>
        <s v="https://chat-conecta.recife.pe.gov.br/live/8KnronK29MgMn3SED"/>
        <s v="https://chat-conecta.recife.pe.gov.br/live/dkffgkKNnzdT8RRDs/room-info"/>
        <s v="https://chat-conecta.recife.pe.gov.br/live/cEtMGgQ5yA5Dfa9D6/room-info"/>
        <s v="https://chat-conecta.recife.pe.gov.br/live/RGP5BjyP5HtnvP7kJ"/>
        <s v="https://chat-conecta.recife.pe.gov.br/live/wqToPvGTH9hewLjMm/room-info"/>
        <s v="https://chat-conecta.recife.pe.gov.br/live/KshqGSPTJWwMt7h3T/user-info"/>
        <s v="https://chat-conecta.recife.pe.gov.br/live/GSJeK8m57p4NCbTpf/room-info"/>
        <s v="https://chat-conecta.recife.pe.gov.br/live/ARh9W73ruWnzzbnYu/room-info"/>
        <s v="https://chat-conecta.recife.pe.gov.br/live/ERLWMhL4B7dF5Dxq5/room-info"/>
        <s v="https://chat-conecta.recife.pe.gov.br/omnichannel-directory/chats/view/YpRs4mMxLcHaxz9uB"/>
        <s v="https://chat-conecta.recife.pe.gov.br/live/33ywnpsgGGyFDfriZ"/>
        <s v="https://chat-conecta.recife.pe.gov.br/live/4KEcGWff8wwbgCdye/user-info"/>
        <s v="https://chat-conecta.recife.pe.gov.br/live/apTEpHkRnvWZu9wTR/room-info"/>
        <s v="https://chat-conecta.recife.pe.gov.br/live/3uRXmFXo2muwHfbRZ/room-info"/>
        <s v="https://chat-conecta.recife.pe.gov.br/live/2QaKw4am8xWs2h2J9/room-info"/>
        <s v="https://chat-conecta.recife.pe.gov.br/live/PGB8NL8ChRdjeme57"/>
        <s v="https://chat-conecta.recife.pe.gov.br/live/WDSeCFBfRPY8Hkcsd"/>
        <s v="https://chat-conecta.recife.pe.gov.br/live/eEqz97ddknidsNAk5"/>
        <s v="https://chat-conecta.recife.pe.gov.br/live/2gqxNPEL7qtFhmeea"/>
        <s v="https://chat-conecta.recife.pe.gov.br/live/QWBLAYT2XyznCgdzw/user-info"/>
        <s v="https://chat-conecta.recife.pe.gov.br/live/BiGxr7NEo3SvTxWTX"/>
        <s v="https://chat-conecta.recife.pe.gov.br/live/BLWcxLAZed9JZ2D2s"/>
        <s v="https://chat-conecta.recife.pe.gov.br/live/LuMbhG6L5bC6Lotbb/user-info"/>
        <s v="https://chat-conecta.recife.pe.gov.br/live/ZNj4spu5dj5J7aGEu"/>
        <s v="https://chat-conecta.recife.pe.gov.br/live/Gvepwa2Q2yBt3aKtv"/>
        <s v="https://chat-conecta.recife.pe.gov.br/live/ca2qW8rrF3LQvrwGS"/>
        <s v="https://chat-conecta.recife.pe.gov.br/live/kAsGAAjwtEN3sDxLC"/>
        <s v="https://chat-conecta.recife.pe.gov.br/live/6xgKDN4SLBHoNspJz"/>
        <s v="https://chat-conecta.recife.pe.gov.br/live/zSZZsXDhzoCeeFZNm"/>
        <s v="https://chat-conecta.recife.pe.gov.br/live/h5hk2N97AL5uNLRss"/>
        <s v="https://chat-conecta.recife.pe.gov.br/live/EDky2Zxdw68RNWLJz"/>
        <s v="https://chat-conecta.recife.pe.gov.br/live/bYkGnj6w7jHQZwtFG"/>
        <s v="https://chat-conecta.recife.pe.gov.br/live/TznuvBzFW2BkocC53/user-info"/>
        <s v="https://chat-conecta.recife.pe.gov.br/live/ciCaauKDvdB9d5Dun"/>
        <s v="https://chat-conecta.recife.pe.gov.br/live/tfnuQBZJrkE3GDsxg/room-info"/>
        <s v="https://chat-conecta.recife.pe.gov.br/live/dNr8hZzLLK7s6Kevo"/>
        <s v="https://chat-conecta.recife.pe.gov.br/live/wAX8gRMG9NSMZsLFg"/>
        <s v="https://chat-conecta.recife.pe.gov.br/live/Yk6c3wn5jSomzWvfN/room-info"/>
        <s v="https://chat-conecta.recife.pe.gov.br/live/FgXhPX8F2DEKf9R5p"/>
        <s v="https://chat-conecta.recife.pe.gov.br/live/AfcwB5M38f2rdWfDk#&amp;gid=1&amp;pid=4"/>
        <s v="https://chat-conecta.recife.pe.gov.br/live/o3DPeoNeH4pZ4jy7v/user-info"/>
        <s v="https://chat-conecta.recife.pe.gov.br/live/MfHSfwiSnkGfu7Rd3/room-info"/>
        <s v="https://chat-conecta.recife.pe.gov.br/live/59C96ZTrCxAR55yCi"/>
        <s v="https://chat-conecta.recife.pe.gov.br/live/SL9riEbnBGcKReMbT"/>
        <s v="https://chat-conecta.recife.pe.gov.br/live/o3DPeoNeH4pZ4jy7v/room-info"/>
        <s v="https://chat-conecta.recife.pe.gov.br/live/zBqAxAMv6SuenDXEL/room-info"/>
        <s v="https://chat-conecta.recife.pe.gov.br/live/BY9kJ3miGsNu25A9h#&amp;gid=1&amp;pid=4"/>
        <s v="https://chat-conecta.recife.pe.gov.br/live/GrjnsiGh3NdbGZaZc"/>
        <s v="https://chat-conecta.recife.pe.gov.br/live/3aBxvntNHhLTZwzh4/room-info"/>
        <s v="https://chat-conecta.recife.pe.gov.br/live/nqANNA4d5RxiZzyj7/user-info"/>
        <s v="https://chat-conecta.recife.pe.gov.br/live/58TLkkNSEx8R6Ddqw/room-info"/>
        <s v="https://chat-conecta.recife.pe.gov.br/live/SWTqdE8RKerngWBmE"/>
        <s v="hat-conecta.recife.pe.gov.br/live/4dPpe3RPqYZRbiwdX/room-info"/>
        <s v="https://chat-conecta.recife.pe.gov.br/live/3sx3zdNMQrKqGJjsc"/>
        <s v="https://chat-conecta.recife.pe.gov.br/live/9ZgdvyHfgxo5gnQEL/room-info"/>
        <s v="https://chat-conecta.recife.pe.gov.br/live/EpLkkvm6M7MoMi87T/user-info#&amp;gid=1&amp;pid=3"/>
        <s v="https://chat-conecta.recife.pe.gov.br/live/X3WcpvYGtPY2ct9w3"/>
        <s v="https://chat-conecta.recife.pe.gov.br/omnichannel-directory/chats/view/Dr9HaSN5Yh9zLiGzA"/>
        <s v="https://chat-conecta.recife.pe.gov.br/live/KYzKi399w4cd68D3p/user-info"/>
        <s v="https://chat-conecta.recife.pe.gov.br/live/sChGG49tFTzEKRJHs"/>
        <s v="https://chat-conecta.recife.pe.gov.br/live/Z3KhGRwWoRMtMM7MK/room-info"/>
        <s v="https://chat-conecta.recife.pe.gov.br/live/AEwhTQXziYyiZ7t9Z"/>
        <s v="https://chat-conecta.recife.pe.gov.br/live/XRinCWNj7TgMMaqxa"/>
        <s v="https://chat-conecta.recife.pe.gov.br/live/5kPLmwG5uRbMN57Q5/room-info#&amp;gid=1&amp;pid=7"/>
        <s v="https://chat-conecta.recife.pe.gov.br/live/f6zLaoTdW7pjnGL7x/user-info"/>
        <s v="https://chat-conecta.recife.pe.gov.br/live/iveiJNpSfCJ4FKpqX/room-info"/>
        <s v="https://chat-conecta.recife.pe.gov.br/live/uwRdow5hqxMk5cq3x/room-info"/>
        <s v="https://chat-conecta.recife.pe.gov.br/live/pypHsARJ4tPx6ss2P/room-info"/>
        <s v="https://chat-conecta.recife.pe.gov.br/live/2L5CkCAJcEmZkbfxv/room-info"/>
        <s v="https://chat-conecta.recife.pe.gov.br/live/dcdhGCZmJRL8E7bDJ/room-info#&amp;gid=1&amp;pid=7"/>
        <s v="https://chat-conecta.recife.pe.gov.br/live/2xLRfnHecHodLo474/room-info"/>
        <s v="https://chat-conecta.recife.pe.gov.br/live/ZXJCq4zn6W82HMZqL"/>
        <s v="https://chat-conecta.recife.pe.gov.br/live/YHghXmbc8a3s4TKtB/room-info"/>
        <s v="https://chat-conecta.recife.pe.gov.br/omnichannel-directory/chats/view/tcxMXqe3kCPoPDW2s"/>
        <s v="https://chat-conecta.recife.pe.gov.br/live/CWtpRo8syTNq7mEsk/room-info"/>
        <s v="https://chat-conecta.recife.pe.gov.br/live/c35qEHzyYqko6i3Zj#&amp;gid=1&amp;pid=7"/>
        <s v="https://chat-conecta.recife.pe.gov.br/live/7Pk53XcPNMaAsfh3r/room-info"/>
        <s v="https://chat-conecta.recife.pe.gov.br/live/Mx4x2SXKHCFuQKkE5/room-info"/>
        <s v="https://chat-conecta.recife.pe.gov.br/live/vMmm8MwsS4BnaWxCM"/>
        <s v="https://chat-conecta.recife.pe.gov.br/live/KgbiMkC4BfuTweWfc/user-info"/>
        <s v="https://chat-conecta.recife.pe.gov.br/live/LHvxffLJFMJWP2XEZ"/>
        <s v="https://chat-conecta.recife.pe.gov.br/live/acM"/>
        <s v="https://chat-conecta.recife.pe.gov.br/omnichannel-directory/chats/view/NC59HJJCywPTfzzL8"/>
        <s v="https://chat-conecta.recife.pe.gov.br/live/3NdEwNDHJZxEJH955/room-info"/>
        <s v="https://chat-conecta.recife.pe.gov.br/live/SerXf8CDdYNuvYg33/room-info"/>
        <s v="https://chat-conecta.recife.pe.gov.br/live/AyC7G2u8HwRki9Zp6/members-list"/>
        <s v="https://chat-conecta.recife.pe.gov.br/live/zApHgJFLkuyaN9NTQ/room-info"/>
        <s v="https://chat-conecta.recife.pe.gov.br/live/HAMEsiuZtqaNo2GKR"/>
        <s v="https://chat-conecta.recife.pe.gov.br/live/4DkKhhja6kDaKJgnn"/>
        <s v="https://chat-conecta.recife.pe.gov.br/live/HKec4FjhwesB5Yo9h"/>
        <s v="https://chat-conecta.recife.pe.gov.br/live/6gsboQzBgmoY5pZCB/room-info"/>
        <s v="https://chat-conecta.recife.pe.gov.br/live/rTtgfsrggPoHiQ7ne"/>
        <s v="https://chat-conecta.recife.pe.gov.br/live/Fsvo3CWGyXz6N6cfo/room-info"/>
        <s v="https://chat-conecta.recife.pe.gov.br/live/5uHojBWN8iXdsh9vT/room-info"/>
        <s v="https://chat-conecta.recife.pe.gov.br/live/hz96xNiGGKnaKKrmA/room-info#&amp;gid=1&amp;pid=1"/>
        <s v="https://chat-conecta.recife.pe.gov.br/live/nrKoMsP3ZLmNr6cpQ/room-info"/>
        <s v="https://chat-conecta.recife.pe.gov.br/live/3nLzhoZNJFRaFdAe6/user-info"/>
        <s v="https://chat-conecta.recife.pe.gov.br/live/Hn8etzp7wuzn6Gq7W/user-info#&amp;gid=1&amp;pid=6"/>
        <s v="https://chat-conecta.recife.pe.gov.br/live/ZBbou7YupbZxyArLE"/>
        <s v="https://chat-conecta.recife.pe.gov.br/live/cs2MrjrBy8vZunfKh"/>
        <s v="https://chat-conecta.recife.pe.gov.br/live/AyLRnE89AkiQQzsLZ"/>
        <s v="https://chat-conecta.recife.pe.gov.br/live/iQSEHNW6crqvM4Mnj/room-info"/>
        <s v="https://chat-conecta.recife.pe.gov.br/live/6xwHoFqqeZwSNTdHN"/>
        <s v="https://chat-conecta.recife.pe.gov.br/live/wDYeBJpn8RrhjxpDn"/>
        <s v="https://chat-conecta.recife.pe.gov.br/live/GYNAPA5JtMhoFEyLp"/>
        <s v="https://chat-conecta.recife.pe.gov.br/live/KXDTHrk6hFwEJo6p9/members-list"/>
        <s v="https://chat-conecta.recife.pe.gov.br/live/Hftgsg8KRn8f7ZTTm"/>
        <s v="https://chat-conecta.recife.pe.gov.br/live/6uGnYZKe7dPCBfcda/room-info"/>
        <s v="https://chat-conecta.recife.pe.gov.br/live/MHHXCFcFC6TgKTm7B/members-list"/>
        <s v="https://chat-conecta.recife.pe.gov.br/live/nGahoHcB42nbpsGku/room-info"/>
        <s v="https://chat-conecta.recife.pe.gov.br/live/z8aYeTETgHR4DvXg7/members-list"/>
        <s v="https://chat-conecta.recife.pe.gov.br/live/Pa3tYyzWztXyKvCTB/user-info"/>
        <s v="https://chat-conecta.recife.pe.gov.br/live/eJcHbLnYHDocKBiSR/user-info"/>
        <s v="https://chat-conecta.recife.pe.gov.br/live/paZzmKEpLZFfiGpfu/room-info"/>
        <s v="https://chat-conecta.recife.pe.gov.br/live/Z7PqSB2psij7TCjuH/room-info"/>
        <s v="https://chat-conecta.recife.pe.gov.br/live/LKz9xSbMxFQ7xkwAo/user-info"/>
        <s v="https://chat-conecta.recife.pe.gov.br/live/iwAHdtfRmH9TTzmAw/room-info"/>
        <s v="https://chat-conecta.recife.pe.gov.br/live/hZzKY6jrRgThPXY8u"/>
        <s v="https://chat-conecta.recife.pe.gov.br/live/Hs5FfrFKw6yLukDWW"/>
        <s v="https://chat-conecta.recife.pe.gov.br/live/7YE9ueuABrCGehJfW/room-info"/>
        <s v="https://chat-conecta.recife.pe.gov.br/live/J9WdxttabqHSfKnkX"/>
        <s v="https://chat-conecta.recife.pe.gov.br/live/4svW7AAi2SvHBj9cv/members-list"/>
        <s v="https://chat-conecta.recife.pe.gov.br/live/apY8f73WDZ59ebcbd"/>
        <s v="https://chat-conecta.recife.pe.gov.br/live/weovKF9fJw8doQZav"/>
        <s v="https://chat-conecta.recife.pe.gov.br/live/xs663rB3w2XeTNiHr"/>
        <s v="https://chat-conecta.recife.pe.gov.br/live/pv9D5xWEavr4vBWPv"/>
        <s v="https://chat-conecta.recife.pe.gov.br/live/Z5Hf9iwR47RpxGMHn"/>
        <s v="https://chat-conecta.recife.pe.gov.br/live/5z7raoReSmZx4LpxT/room-info"/>
        <s v="https://chat-conecta.recife.pe.gov.br/live/CL8SCGdZPgfrTmeRY/room-info"/>
        <s v="https://chat-conecta.recife.pe.gov.br/live/Yig99BGWaKFcbhwAy"/>
        <s v="https://chat-conecta.recife.pe.gov.br/live/Tsu8ww9CmQfp8AwvY/room-info"/>
        <s v="https://chat-conecta.recife.pe.gov.br/live/i6K4D2gJxgSuqCspJ/room-info"/>
        <s v="https://chat-conecta.recife.pe.gov.br/live/6P33av7zHrKkmSAWA/room-info"/>
        <s v="https://chat-conecta.recife.pe.gov.br/live/ge3aiXhBuEdPXR3py/room-info"/>
        <s v="https://chat-conecta.recife.pe.gov.br/live/EWYva57EZJYEyAtaA/room-info"/>
        <s v="https://chat-conecta.recife.pe.gov.br/live/jjzJFHu5HKWSenYvB/room-info"/>
        <s v="https://chat-conecta.recife.pe.gov.br/live/mnm2CSQjZkAaKgowq"/>
        <s v="https://chat-conecta.recife.pe.gov.br/omnichannel-directory/chats/view/uAHg4sGcfTzmgyrsg"/>
        <s v="https://chat-conecta.recife.pe.gov.br/live/fe4LEnhvG7CjuwCAx"/>
        <s v="https://chat-conecta.recife.pe.gov.br/live/cudQseAHtdwBdScK8"/>
        <s v="https://chat-conecta.recife.pe.gov.br/live/AMyjBmtLPx4wZNWgD"/>
        <s v="https://chat-conecta.recife.pe.gov.br/live/KpxNL5ZHLjrBsa6AQ/user-info"/>
        <s v="https://chat-conecta.recife.pe.gov.br/live/erEbmKvMHiuJRuinA/room-info"/>
        <s v="https://chat-conecta.recife.pe.gov.br/live/erEbmKvMHiuJRuinA"/>
        <s v="https://chat-conecta.recife.pe.gov.br/live/aEXdfrgmC2w9HzWA3"/>
        <s v="https://chat-conecta.recife.pe.gov.br/live/tNfBKNMRN3Jj5Pcxu"/>
        <s v="https://chat-conecta.recife.pe.gov.br/live/aFXym8yzoM6Leevpd"/>
        <s v="https://chat-conecta.recife.pe.gov.br/live/8hAzthKS4t7FZafmp/members-list"/>
        <s v="https://chat-conecta.recife.pe.gov.br/live/SkRxmBDAhsNrp2P6w/room-info"/>
        <s v="https://chat-conecta.recife.pe.gov.br/live/SET4kirFrQQtntR9e"/>
        <s v="https://chat-conecta.recife.pe.gov.br/live/SET4kirFrQQtntR9e#&amp;gid=1&amp;pid=5"/>
        <s v="https://chat-conecta.recife.pe.gov.br/omnichannel-directory/chats/view/9ujTgc6JeaMJ9Ap6x"/>
        <s v="https://chat-conecta.recife.pe.gov.br/live/2PskQeJpo9TayW7bF/room-info"/>
        <s v="https://chat-conecta.recife.pe.gov.br/live/m6GEWExf2pFJZ3yYt"/>
        <s v="https://chat-conecta.recife.pe.gov.br/live/afuCLgXPJbu8sHABs"/>
        <s v="https://chat-conecta.recife.pe.gov.br/live/3R6nqANmqGxuaR336/user-info"/>
        <s v="https://chat-conecta.recife.pe.gov.br/live/Hx6uP5mHsMwoXDv48/room-info"/>
        <s v="https://chat-conecta.recife.pe.gov.br/live/5pi8XGggr3g7Ajoup/room-info"/>
        <s v="https://chat-conecta.recife.pe.gov.br/live/AHqMmspyxhpoesz7L"/>
        <s v="https://chat-conecta.recife.pe.gov.br/live/i2Rpkhm4e4cBbgqcQ/room-info"/>
        <s v="https://chat-conecta.recife.pe.gov.br/live/cKtdvZkhdC9SkACuF"/>
        <s v="https://chat-conecta.recife.pe.gov.br/live/rYYCoiFJkfYvtP3n5"/>
        <s v="https://chat-conecta.recife.pe.gov.br/live/3iY49JNegrjd6f4Za/user-info"/>
        <s v="https://chat-conecta.recife.pe.gov.br/live/DTuYC3s43M8x4T9nB/user-info"/>
        <s v="https://chat-conecta.recife.pe.gov.br/live/fSEnYLrKfrLNpQmnD/user-info"/>
        <s v="https://chat-conecta.recife.pe.gov.br/omnichannel-directory/chats/view/YRnqp7b9NEDBFJF2K"/>
        <s v="https://chat-conecta.recife.pe.gov.br/live/iFLjw8gboMxn9e7Dh#&amp;gid=1&amp;pid=3"/>
        <s v="https://chat-conecta.recife.pe.gov.br/live/fYKuHitqwFz4LghZz"/>
        <s v="https://chat-conecta.recife.pe.gov.br/live/Br5feW9vLbFSrDpGz"/>
        <s v="https://chat-conecta.recife.pe.gov.br/live/raDcP5gDyeD2TLk46"/>
        <s v="https://chat-conecta.recife.pe.gov.br/live/KxZK9qYrXzSafrJDe"/>
        <s v="https://chat-conecta.recife.pe.gov.br/live/tqt6dLp5FPvWf89Do"/>
        <s v="https://chat-conecta.recife.pe.gov.br/live/TcEMhs2iSYwvb44d3"/>
        <s v="https://chat-conecta.recife.pe.gov.br/live/qkAfNa4cTjo3P2n64"/>
        <s v="https://chat-conecta.recife.pe.gov.br/live/vXNCAe4wGm63hK4af"/>
        <s v="https://chat-conecta.recife.pe.gov.br/live/ehakjbjYg24RLyewm/user-info"/>
        <s v="https://chat-conecta.recife.pe.gov.br/home"/>
        <s v="https://chat-conecta.recife.pe.gov.br/live/S4bGfzQ2LufShqLqx"/>
        <s v="https://chat-conecta.recife.pe.gov.br/live/z4qadkRZcAaQY4YAp"/>
        <s v="https://chat-conecta.recife.pe.gov.br/live/TdunvEfpeKkuzNPaK/user-info"/>
        <s v="https://chat-conecta.recife.pe.gov.br/live/rc9DL2zSu7KgxgCJm"/>
        <s v="https://chat-conecta.recife.pe.gov.br/live/TdunvEfpeKkuzNPaK/room-info"/>
        <s v="https://chat-conecta.recife.pe.gov.br/live/WBieDPRdu69bTcJGM"/>
        <s v="https://chat-conecta.recife.pe.gov.br/live/mz8jxQa3fPJ6EgrnC"/>
        <s v="https://chat-conecta.recife.pe.gov.br/live/eEWau4MkfXtySRHdJ"/>
        <s v="https://chat-conecta.recife.pe.gov.br/live/XYBYaNsDvPth5EqjF/members-list"/>
        <s v="https://chat-conecta.recife.pe.gov.br/live/dHQF27r4Sw3ogbpP4/members-list"/>
        <s v="https://chat-conecta.recife.pe.gov.br/live/eCFzYihnWbjimYNA6"/>
        <s v="https://chat-conecta.recife.pe.gov.br/live/n5sTMpgL8Wg6ZF7ux/members-list"/>
        <s v="https://chat-conecta.recife.pe.gov.br/live/kvK4A7TfXKoRgbKp3"/>
        <s v="https://chat-conecta.recife.pe.gov.br/live/LTE8hYQNhXNShsrBD"/>
        <s v="https://chat-conecta.recife.pe.gov.br/live/GE3JpPzWDA2rKN58f/user-info"/>
        <s v="https://chat-conecta.recife.pe.gov.br/live/bbYcMRchGBaHdckDW"/>
        <s v="https://chat-conecta.recife.pe.gov.br/live/FJga4BrjgWwYfhrYA/room-info"/>
        <s v="https://chat-conecta.recife.pe.gov.br/live/FJga4BrjgWwYfhrYA/user-info"/>
        <s v="https://chat-conecta.recife.pe.gov.br/live/vsovcZFSBYmZjgTbZ/room-info"/>
        <s v="https://chat-conecta.recife.pe.gov.br/live/XNfDZK7XPL493ZAoa/room-info"/>
        <s v="https://chat-conecta.recife.pe.gov.br/live/2ZkFpYCRXKYzFaKME/user-info"/>
        <s v="https://chat-conecta.recife.pe.gov.br/live/2LaTqvuDXcAMxB88S/uploaded-files-list"/>
        <s v="https://chat-conecta.recife.pe.gov.br/live/ntTcP8qgcyv2xruan/user-info"/>
        <s v="https://chat-conecta.recife.pe.gov.br/live/w58JiJcbzk3muumdf/room-info"/>
        <s v="https://chat-conecta.recife.pe.gov.br/live/3nxL8LMwogha6y39P/user-info"/>
        <s v="https://chat-conecta.recife.pe.gov.br/live/nCEjwZYLDHcf45QXQ"/>
        <s v="https://chat-conecta.recife.pe.gov.br/live/6jBoww5kEg68LSPEa"/>
        <s v="https://chat-conecta.recife.pe.gov.br/live/yxZidqQXA6pLY7wno/room-info"/>
        <s v="https://chat-conecta.recife.pe.gov.br/live/p6GkZfRrSaEbFLwnJ/room-info"/>
        <s v="https://chat-conecta.recife.pe.gov.br/live/4uZpnJQ4H8EaHxf9v"/>
        <s v="https://chat-conecta.recife.pe.gov.br/live/pp2q8B6LDT2F47iGP/user-info"/>
        <s v="https://chat-conecta.recife.pe.gov.br/live/ZP3qke22fp9uQCsnc"/>
        <s v="https://chat-conecta.recife.pe.gov.br/live/y2KcN2MFrpsFpxBQu/user-info"/>
        <s v="https://chat-conecta.recife.pe.gov.br/live/QDjZuqS2qdNawah3N/user-info#&amp;gid=1&amp;pid=4"/>
        <s v="https://chat-conecta.recife.pe.gov.br/live/QMghrD6bDMZxTdFMi"/>
        <s v="https://chat-conecta.recife.pe.gov.br/live/SahDMccdbbaFYPnkP/members-list"/>
        <s v="https://chat-conecta.recife.pe.gov.br/live/3KgouvFrQ2ngeGhMm"/>
        <s v="https://chat-conecta.recife.pe.gov.br/live/4ifBMoYDYoAF3NoSm/members-list"/>
        <s v="https://chat-conecta.recife.pe.gov.br/live/fPwu5JZDC7waqsj9N"/>
        <s v="https://chat-conecta.recife.pe.gov.br/live/KwktoySQ2ofGftWAp/room-info"/>
        <s v="https://meet.google.com/zkn-skpm-kga"/>
        <s v="https://chat-conecta.recife.pe.gov.br/live/sFwkhjEFgTgLH2x8t"/>
        <s v="https://chat-conecta.recife.pe.gov.br/live/2b83aju9vYj8mY3q5/members-list"/>
        <s v="https://chat-conecta.recife.pe.gov.br/live/gFfnbRgNNBehpn8Ay/room-info"/>
        <s v="https://chat-conecta.recife.pe.gov.br/live/TBHDHxkwSdaGByiSL"/>
        <s v="https://chat-conecta.recife.pe.gov.br/live/QtGb9gii4sX393Bkd"/>
        <s v="https://chat-conecta.recife.pe.gov.br/live/JzGsxn9PgqTibdDsq/room-info"/>
        <s v="https://chat-conecta.recife.pe.gov.br/live/pC8H7M5LADJw36FnT"/>
        <s v="https://chat-conecta.recife.pe.gov.br/live/Zbgwpgqm4eorLbgaG/room-info"/>
        <s v="https://chat-conecta.recife.pe.gov.br/live/4FND74xdcyvesPnxC/user-info"/>
        <s v="https://chat-conecta.recife.pe.gov.br/live/gbk46mwGmZkBp5Kb4"/>
        <s v="https://chat-conecta.recife.pe.gov.br/live/WnX9coRh3pY62bxQC/contact-profile"/>
        <s v="https://chat-conecta.recife.pe.gov.br/live/riYrEZdu6iJH2GYFp"/>
        <s v="https://chat-conecta.recife.pe.gov.br/live/SYQSsPFz88DojgDkr"/>
        <s v="https://chat-conecta.recife.pe.gov.br/live/QQHB76xp4snCprhQe"/>
        <s v="https://chat-conecta.recife.pe.gov.br/live/RHdf6zARviW3RTZs7/room-info"/>
        <s v="https://chat-conecta.recife.pe.gov.br/live/sjp4fHCpZN2EdD6TF"/>
        <s v="https://chat-conecta.recife.pe.gov.br/live/p2vBwFrHyey6KJ8QS"/>
        <s v="https://chat-conecta.recife.pe.gov.br/live/z5uQiZpT6euzZFBE8"/>
        <s v="https://chat-conecta.recife.pe.gov.br/live/h3tcthEo7mP3uEaEP"/>
        <s v="https://chat-conecta.recife.pe.gov.br/live/NADNosEkTjceY7Haw"/>
        <s v="https://chat-conecta.recife.pe.gov.br/live/wfa9GqJJdGjRiWgMQ"/>
        <s v="https://chat-conecta.recife.pe.gov.br/live/px9DHTxRrRPFJmp7S/user-info"/>
        <s v="https://chat-conecta.recife.pe.gov.br/live/EMcanWTfPr6Ng4jXT/room-info"/>
        <s v="https://chat-conecta.recife.pe.gov.br/live/Sy46W4jsemsCMYgtx"/>
        <s v="https://chat-conecta.recife.pe.gov.br/live/LRsh5bpfvmMQFkw28/room-info"/>
        <s v="https://chat-conecta.recife.pe.gov.br/live/zYNniGJ7Yie65RXsD"/>
        <s v="https://chat-conecta.recife.pe.gov.br/live/dM2kPndQJAA5unEEG"/>
        <s v="https://chat-conecta.recife.pe.gov.br/live/n6W7QqcXPD3vFARLx"/>
        <s v="https://chat-conecta.recife.pe.gov.br/live/evxhWYwv3tS6Su4ng/room-info"/>
        <s v="https://chat-conecta.recife.pe.gov.br/live/2P2GffpuGdTo8fPuZ/user-info"/>
        <s v="https://chat-conecta.recife.pe.gov.br/live/cdezKR43nd7qaKTLR/room-info"/>
        <s v="https://chat-conecta.recife.pe.gov.br/live/vEmJokMMcRCuZcpJe"/>
        <s v="https://chat-conecta.recife.pe.gov.br/live/TmPirrjLAuzkkNfAd"/>
        <s v="https://chat-conecta.recife.pe.gov.br/live/ENfvChr3AFyNfFTF5"/>
        <s v="https://chat-conecta.recife.pe.gov.br/live/HzXvKzPZYoeLgwCNQ/user-info#&amp;gid=1&amp;pid=7"/>
        <s v="https://chat-conecta.recife.pe.gov.br/live/WTvhEhcSBfZmvMapq"/>
        <s v="https://chat-conecta.recife.pe.gov.br/live/WQjsu2vAdJxxMYepc"/>
        <s v="https://chat-conecta.recife.pe.gov.br/live/YGzHPYudmJwTFbPKc/room-info"/>
        <s v="https://chat-conecta.recife.pe.gov.br/live/6rQTMJBz8QNXJ2dWM/user-info"/>
        <s v="https://chat-conecta.recife.pe.gov.br/live/CQgs3L2stMHpDg2f5/user-info"/>
        <s v="https://chat-conecta.recife.pe.gov.br/live/vPCgH7z5oEurBMoR9"/>
        <s v="https://chat-conecta.recife.pe.gov.br/live/AtpMmBNsSsd5enMtp"/>
        <s v="https://chat-conecta.recife.pe.gov.br/live/tPQfXcGR3cW8DgN3x/user-info"/>
        <s v="https://chat-conecta.recife.pe.gov.br/live/hMFpmpb4XmmzZijYj"/>
        <s v="https://chat-conecta.recife.pe.gov.br/live/PS9ohphYmJs7ekBQC"/>
        <s v="https://chat-conecta.recife.pe.gov.br/live/Hukg4WMttHjaQfmua"/>
        <s v="https://chat-conecta.recife.pe.gov.br/live/NinevsZWkd7v7tjwM"/>
        <s v="https://chat-conecta.recife.pe.gov.br/live/Ak8ACWN7eEyjReRFB"/>
        <s v="https://chat-conecta.recife.pe.gov.br/live/Cvw4vTTyYDmSHdWDh/room-info"/>
        <s v="https://chat-conecta.recife.pe.gov.br/live/mGgiXxJAyqQtgm4uK/room-info"/>
        <s v="https://chat-conecta.recife.pe.gov.br/live/kptrbhaTzrK2ktr8A"/>
        <s v="https://chat-conecta.recife.pe.gov.br/live/7JTzz8yk2jZDFyJax"/>
        <s v="https://chat-conecta.recife.pe.gov.br/live/Pb5TZurtYb5jQtBtZ"/>
        <s v="https://chat-conecta.recife.pe.gov.br/live/N2Ph4b9paYK9MTEaN/uploaded-files-list"/>
        <s v="https://chat-conecta.recife.pe.gov.br/live/9eKDYs2n3T9BkNyqm/room-info"/>
        <s v="https://chat-conecta.recife.pe.gov.br/live/6GHMrL8i9sSiG3vea"/>
        <s v="https://chat-conecta.recife.pe.gov.br/live/DnzFR8wLjocHu8g8S/user-info"/>
        <s v="https://chat-conecta.recife.pe.gov.br/live/QMZMLNgNogRCAjf9z/room-info"/>
        <s v="https://chat-conecta.recife.pe.gov.br/live/q4Lqh5k3twcoQkHzd/user-info"/>
        <s v="https://chat-conecta.recife.pe.gov.br/live/7abZaadnTfuFeqXPE"/>
        <s v="https://chat-conecta.recife.pe.gov.br/live/W5JpNfn3g4cCTXGqy"/>
        <s v="https://chat-conecta.recife.pe.gov.br/live/MRFPaXmqffehdBh6a"/>
        <s v="https://chat-conecta.recife.pe.gov.br/live/5pD4oeWYp9P9SBztp"/>
        <s v="https://chat-conecta.recife.pe.gov.br/live/gAAN4dZFDbEejhCAx/user-info"/>
        <s v="https://chat-conecta.recife.pe.gov.br/live/kAvqhexneJWkGC9TD/user-info"/>
        <s v="https://chat-conecta.recife.pe.gov.br/live/ai3gqa3TxSHDrtEFS/user-info"/>
        <s v="https://chat-conecta.recife.pe.gov.br/live/s9iwo5z9PmJG9m8aP/user-info"/>
        <s v="https://chat-conecta.recife.pe.gov.br/live/3EXzH8GWoH3xqdZYt/room-info"/>
        <s v="https://chat-conecta.recife.pe.gov.br/live/kEKTHd5prXyRK3S5G/user-info"/>
        <s v="https://chat-conecta.recife.pe.gov.br/live/ikYgnHT7sy9wyw7ey/uploaded-files-list"/>
        <s v="https://chat-conecta.recife.pe.gov.br/live/asyNQWaZd4JqqPrdq"/>
        <s v="https://chat-conecta.recife.pe.gov.br/live/25jhQpavZtEnGo5aF/user-info"/>
        <s v="https://chat-conecta.recife.pe.gov.br/live/j4im6HCvysDEtbkmD/user-info"/>
        <s v="https://chat-conecta.recife.pe.gov.br/live/NEkvcPtG5wsDcJMSs"/>
        <s v="https://chat-conecta.recife.pe.gov.br/live/Zxu52bnSXjvwrH5uq/user-info"/>
        <s v="https://chat-conecta.recife.pe.gov.br/live/Bm4oDB4XkNbswdswE/user-info"/>
        <s v="https://chat-conecta.recife.pe.gov.br/live/XoAFTDcAwgYpiQYG8/contact-profile"/>
        <s v="https://chat-conecta.recife.pe.gov.br/live/KrgmYWN9T5MWHoe6i/user-info"/>
        <s v="https://chat-conecta.recife.pe.gov.br/live/YA7PGXog8CQx3cMbP/user-info"/>
        <s v="https://chat-conecta.recife.pe.gov.br/live/od6bjHeqe6hrumXao/room-info"/>
        <s v="https://chat-conecta.recife.pe.gov.br/live/gZQyeGQWkHrN4v3y8"/>
        <s v="https://chat-conecta.recife.pe.gov.br/live/2qcsxzkmHud6yC6xS"/>
        <s v="https://chat-conecta.recife.pe.gov.br/live/Nf58wxS2ZqosHdQKv"/>
        <s v="https://chat-conecta.recife.pe.gov.br/live/4753F3KtSvfevPb2A/user-info"/>
        <s v="https://chat-conecta.recife.pe.gov.br/live/9auyC4igp6ranYjno"/>
        <s v="https://chat-conecta.recife.pe.gov.br/live/8QZHNfWYfYBY5d3WN/user-info"/>
        <s v="https://chat-conecta.recife.pe.gov.br/live/EHtnE6sbcNpQyzBaC"/>
        <s v="https://chat-conecta.recife.pe.gov.br/live/ay7LhoFE426QwSKss"/>
        <s v="https://chat-conecta.recife.pe.gov.br/live/NhYQ4h4Dx4rAkJ4Qf/user-info"/>
        <s v="https://chat-conecta.recife.pe.gov.br/live/i3uhSft4dYh92Me9D/user-info"/>
        <s v="https://chat-conecta.recife.pe.gov.br/live/moBnukvQALRWdciJQ"/>
        <s v="https://chat-conecta.recife.pe.gov.br/live/R6Quiuv9X9TZet43i/room-info"/>
        <s v="https://chat-conecta.recife.pe.gov.br/live/GmpHMrNpYPAhk5Xwk/room-info"/>
        <s v="https://chat-conecta.recife.pe.gov.br/live/GeD6XYqdWxves5SmY/room-info"/>
        <s v="https://chat-conecta.recife.pe.gov.br/live/Muzwt7rfvePosaEDc/user-info"/>
        <s v="https://chat-conecta.recife.pe.gov.br/live/MHh2vSgFYtWZLYY8z/room-info"/>
        <s v="https://chat-conecta.recife.pe.gov.br/live/ggCbwmwJFmL9WkFAk"/>
        <s v="https://chat-conecta.recife.pe.gov.br/live/KuuEkXbvHqdxsyCXF/members-list"/>
        <s v="https://chat-conecta.recife.pe.gov.br/live/xpXmhirL8io26rffv/room-info#&amp;gid=1&amp;pid=5"/>
        <s v="https://chat-conecta.recife.pe.gov.br/live/nZ8xf4m7NG7pZxxDr/room-info"/>
        <s v="https://chat-conecta.recife.pe.gov.br/live/HrqqpdChi9dX3Ltcb/room-info"/>
        <s v="https://chat-conecta.recife.pe.gov.br/live/uHe4mKBqRAeWfA4wP/room-info"/>
        <s v="https://chat-conecta.recife.pe.gov.br/live/YDoPoFdKGedhJXJPi"/>
        <s v="https://chat-conecta.recife.pe.gov.br/live/Lxn8JgfrCpJPDJhxc"/>
        <s v="https://chat-conecta.recife.pe.gov.br/live/HQ6fdo5JeP47w4vod/room-info"/>
        <s v="https://chat-conecta.recife.pe.gov.br/live/yjtriDpr2RMjeoC9b/room-info"/>
        <s v="https://chat-conecta.recife.pe.gov.br/live/oG2z9vM5QSw6zrRAS/members-list"/>
        <s v="https://chat-conecta.recife.pe.gov.br/live/nDYcwrSgZvQiTHymH/room-info#&amp;gid=1&amp;pid=3"/>
        <s v="https://chat-conecta.recife.pe.gov.br/live/kq7N7Q8tk6tTJ4CKL"/>
        <s v="https://chat-conecta.recife.pe.gov.br/live/yLuFbzRfShcepYTrr"/>
        <s v="https://chat-conecta.recife.pe.gov.br/live/R5njmNWXy5JEp8tJN"/>
        <s v="https://chat-conecta.recife.pe.gov.br/live/B4GQcxZc6ibuhGshW/user-info"/>
        <s v="https://chat-conecta.recife.pe.gov.br/live/6xfmkWKrzGJh8rWaw"/>
        <s v="https://chat-conecta.recife.pe.gov.br/live/ix7ZKELXkkk5xSxiM"/>
        <s v="https://chat-conecta.recife.pe.gov.br/live/Qq6PCyv6qfSF2Fnz9/room-info"/>
        <s v="https://chat-conecta.recife.pe.gov.br/live/h75KyQ2xMyFt7JW8e/room-info"/>
        <s v="https://chat-conecta.recife.pe.gov.br/live/WKtEkDzzyAALsJ7wG/user-info"/>
        <s v="https://chat-conecta.recife.pe.gov.br/live/nmndfFBEZbChWqFfs"/>
        <s v="https://chat-conecta.recife.pe.gov.br/live/Gk9zyRGqPAcBuR34g/room-info"/>
        <s v="https://chat-conecta.recife.pe.gov.br/live/9kBiBZ93vnRuMbfbo/room-info"/>
        <s v="https://chat-conecta.recife.pe.gov.br/live/6raoowi89PgCn9Wi6/user-info"/>
        <s v="https://chat-conecta.recife.pe.gov.br/live/gAkvXg8mJAKtrQx8R/room-info#&amp;gid=1&amp;pid=2"/>
        <s v="https://chat-conecta.recife.pe.gov.br/live/gu2QSnrH47D55vCnG"/>
        <s v="https://chat-conecta.recife.pe.gov.br/live/zq5fqKf2RpbyXkerK/room-info"/>
        <s v="https://chat-conecta.recife.pe.gov.br/live/5HynbX9SdHkiJYXiA/room-info"/>
        <s v="https://chat-conecta.recife.pe.gov.br/live/ae7etZMMJ6XtuTYcP"/>
        <s v="https://chat-conecta.recife.pe.gov.br/live/9GxprWMrsBbcmjRhC"/>
        <s v="https://chat-conecta.recife.pe.gov.br/live/RGaWmd7GJBjj4oGJk/user-info"/>
        <s v="https://chat-conecta.recife.pe.gov.br/omnichannel-directory/chats/view/f45aSh8RtYx7FxwXw"/>
        <s v="https://chat-conecta.recife.pe.gov.br/live/J8ttWX3qJgnKGdiC5"/>
        <s v="https://chat-conecta.recife.pe.gov.br/live/y3AQ6JiMfT5fvpXb7"/>
        <s v="https://chat-conecta.recife.pe.gov.br/live/88XG4JuNvu3ZukgTQ"/>
        <s v="https://chat-conecta.recife.pe.gov.br/live/9SKGxq5TQMbGT5T56"/>
        <s v="https://chat-conecta.recife.pe.gov.br/live/3AePyaDTPgwXjSFay/user-info"/>
        <s v="https://chat-conecta.recife.pe.gov.br/live/MTGFFfBuwQMXCJPaE"/>
        <s v="https://chat-conecta.recife.pe.gov.br/live/tJTBYvJ5HMiGecifh"/>
        <s v="https://chat-conecta.recife.pe.gov.br/live/HGZ3DQBgBnRdWDc5C"/>
        <s v="https://chat-conecta.recife.pe.gov.br/live/Zb2cjYzfCsb4wLB5F"/>
        <s v="https://chat-conecta.recife.pe.gov.br/live/4gMyuFaa7aSYhj6eF/user-info"/>
        <s v="https://chat-conecta.recife.pe.gov.br/live/hqiLiw458hC7NJJm4"/>
        <s v="https://chat-conecta.recife.pe.gov.br/live/2j57WkKhuudQcc7ab/user-info"/>
        <s v="https://chat-conecta.recife.pe.gov.br/live/FcXJqZXruSJgkWMBS/room-info"/>
        <s v="https://chat-conecta.recife.pe.gov.br/live/EE5LNassRTcR2pHgL"/>
        <s v="https://chat-conecta.recife.pe.gov.br/live/tvTDmobXyKjnGFwd5"/>
        <s v="https://chat-conecta.recife.pe.gov.br/live/qX85kciwKt9H5moLp"/>
        <s v="https://chat-conecta.recife.pe.gov.br/live/a4ww4m4HSfQW73T8u/room-info"/>
        <s v="https://chat-conecta.recife.pe.gov.br/live/voWj38eRFWBtmJxiA"/>
        <s v="https://chat-conecta.recife.pe.gov.br/live/9uvebE7k2Adfs9LQx/user-info#&amp;gid=1&amp;pid=2"/>
        <s v="https://chat-conecta.recife.pe.gov.br/live/M8DHagAESdmdGnqxt"/>
        <s v="https://chat-conecta.recife.pe.gov.br/live/uzFZx8uLgRQzEA2QM/user-info"/>
        <s v="https://chat-conecta.recife.pe.gov.br/live/EQY5Kp3mgLJkycH2C/members-list"/>
        <s v="https://chat-conecta.recife.pe.gov.br/live/4QtagmZbiS5FCMijX/room-info"/>
        <s v="https://chat-conecta.recife.pe.gov.br/live/odPtAEvpaxnNQ2w8i/room-info"/>
        <s v="https://chat-conecta.recife.pe.gov.br/live/3ksJ3mqXxYfvbRNbB/room-info"/>
        <s v="https://chat-conecta.recife.pe.gov.br/live/swyw2a96qRenApvdF"/>
        <s v="https://chat-conecta.recife.pe.gov.br/live/NBp3nmmdBeYYmmbbs/members-list"/>
        <s v="https://chat-conecta.recife.pe.gov.br/live/ndzjiW2RYtRmpozs8"/>
        <s v="https://chat-conecta.recife.pe.gov.br/live/XXCeBddGZWt5RzRNr"/>
        <s v="https://chat-conecta.recife.pe.gov.br/live/yaS3N3sFak2ZLyCGW"/>
        <s v="https://chat-conecta.recife.pe.gov.br/live/XXCeBddGZWt5RzRNr/room-info"/>
        <s v="https://chat-conecta.recife.pe.gov.br/live/xJtJMAqW2tzACRjqG/room-info"/>
        <s v="https://chat-conecta.recife.pe.gov.br/live/tNt8TfGyEmano7FLq"/>
        <s v="https://chat-conecta.recife.pe.gov.br/live/Z237t8NQozaYLmADw"/>
        <s v="https://chat-conecta.recife.pe.gov.br/live/4KGrqAypaKgHiXCYj"/>
        <s v="https://chat-conecta.recife.pe.gov.br/live/pQEzNrwBbi2CCWaxu/user-info"/>
        <s v="https://chat-conecta.recife.pe.gov.br/live/LwSC57fks9qxDYkoM"/>
        <s v="https://chat-conecta.recife.pe.gov.br/live/8NZAynBdhZkSBpoDX/room-info"/>
        <s v="https://chat-conecta.recife.pe.gov.br/live/36HhPcAb5oNefXaKW/room-info"/>
        <s v="https://chat-conecta.recife.pe.gov.br/live/zgRNdosRghT9zjAzK/room-info"/>
        <s v="https://chat-conecta.recife.pe.gov.br/live/9BaK85dFZHeruKhvM/user-info"/>
        <s v="https://chat-conecta.recife.pe.gov.br/live/aB6Bc2BuRbP385Hrj/members-list"/>
        <s v="https://chat-conecta.recife.pe.gov.br/live/NH47SRKWMjAAXsuJr/user-info"/>
        <s v="https://chat-conecta.recife.pe.gov.br/live/BFAvRxBRfPHLX7hHr"/>
        <s v="https://chat-conecta.recife.pe.gov.br/live/n9ABbnNYdbt4p42vz/room-info"/>
        <s v="https://chat-conecta.recife.pe.gov.br/live/ThTFqPxtDCEYGD8t4"/>
        <s v="https://chat-conecta.recife.pe.gov.br/live/ThTFqPxtDCEYGD8t4/room-info"/>
        <s v="https://chat-conecta.recife.pe.gov.br/live/vZk9AxnuiFtsuMBMZ/room-info"/>
        <s v="https://chat-conecta.recife.pe.gov.br/live/CXL24YQuscqSFgfkX"/>
        <s v="https://chat-conecta.recife.pe.gov.br/live/MS26ufXrEAA7AszpS"/>
        <s v="https://chat-conecta.recife.pe.gov.br/live/GgCYzpBQnPCKfsExM"/>
        <s v="https://chat-conecta.recife.pe.gov.br/live/G7TdNyTgvuvPYupGv/room-info"/>
        <s v="https://chat-conecta.recife.pe.gov.br/live/hHzCQk6747Nio5r28/room-info"/>
        <s v="https://chat-conecta.recife.pe.gov.br/live/6BhhebnXknFpimzM5"/>
        <s v="https://chat-conecta.recife.pe.gov.br/live/iMbRMgaYi57tfyLMe/room-info"/>
        <s v="https://chat-conecta.recife.pe.gov.br/live/XECA87aSgNfGBsPzr"/>
        <s v="https://chat-conecta.recife.pe.gov.br/live/jaWmSM8YGBE5bwnEL"/>
        <s v="https://chat-conecta.recife.pe.gov.br/live/f8RiEH3LP5b6hCu7f/user-info"/>
        <s v="https://chat-conecta.recife.pe.gov.br/live/c7igo4j4vdqWc2WHj/user-info"/>
        <s v="https://chat-conecta.recife.pe.gov.br/live/P5JEvc39PsTFP6dRy/user-info"/>
        <s v="https://chat-conecta.recife.pe.gov.br/live/irzdipYdciuzFkvoJ"/>
        <s v="https://chat-conecta.recife.pe.gov.br/live/EfwFjDrh8mbyqLxsp/room-info"/>
        <s v="https://chat-conecta.recife.pe.gov.br/live/4JD82cTjkLvB3Jj9Y/room-info"/>
        <s v="https://chat-conecta.recife.pe.gov.br/live/bpixz7bWhnQuxmQNN"/>
        <s v="https://chat-conecta.recife.pe.gov.br/live/Zt3rrbFKSBdxzRXZ8"/>
        <s v="https://chat-conecta.recife.pe.gov.br/live/szsD6iQ8WF6uKhHn2/room-info"/>
        <s v="https://chat-conecta.recife.pe.gov.br/live/Gmiz7uGtbh9ZL865d/room-info"/>
        <s v="https://chat-conecta.recife.pe.gov.br/live/Nm3vDZ5xGCvujHKoS/user-info"/>
        <s v="https://chat-conecta.recife.pe.gov.br/live/SCJ5L23fou3xmRi7x"/>
        <s v="https://chat-conecta.recife.pe.gov.br/live/9ntRneC5QPRWSPfJx/room-info"/>
        <s v="https://chat-conecta.recife.pe.gov.br/live/gu8TxfguPGrWHewqo"/>
        <s v="https://chat-conecta.recife.pe.gov.br/live/SiRKmmdwdiDBsqoKa/user-info"/>
        <s v="https://chat-conecta.recife.pe.gov.br/live/n9vFtbtZye6oWQbns/room-info"/>
        <s v="https://chat-conecta.recife.pe.gov.br/live/MjMHvvSzb5d99Eu9y"/>
        <s v="https://chat-conecta.recife.pe.gov.br/live/aSvJDCgm3ryeQ847n"/>
        <s v="https://chat-conecta.recife.pe.gov.br/live/SWj69vmkjrSCFTjgx"/>
        <s v="https://chat-conecta.recife.pe.gov.br/live/oWbd3xLrEzRycFbxt"/>
        <s v="https://chat-conecta.recife.pe.gov.br/live/dSHFc5ah9SQ7FCCRz/user-info"/>
        <s v="https://chat-conecta.recife.pe.gov.br/live/wKHtBzpehps2Rpshe"/>
        <s v="https://chat-conecta.recife.pe.gov.br/live/TDxrAmsnn7nJGGvtP"/>
        <s v="https://chat-conecta.recife.pe.gov.br/live/tLboSd8oieAL4vaD3/room-info"/>
        <s v="https://chat-conecta.recife.pe.gov.br/live/SKbFyD84FFG2az7x8/user-info"/>
        <s v="https://chat-conecta.recife.pe.gov.br/live/pDc5fenzyGNH3uHNg/room-info"/>
        <s v="https://chat-conecta.recife.pe.gov.br/live/mAT86vz7XtS3rYJR2/room-info"/>
        <s v="https://chat-conecta.recife.pe.gov.br/live/qt5H6oQ82ACSYmC2G"/>
        <s v="https://chat-conecta.recife.pe.gov.br/live/qt5H6oQ82ACSYmC2G/contact-profile"/>
        <s v="https://chat-conecta.recife.pe.gov.br/live/pAAr9hk3Sih9wAgni"/>
        <s v="https://chat-conecta.recife.pe.gov.br/live/a9583jGBHLfn8HEQg/room-info"/>
        <s v="https://chat-conecta.recife.pe.gov.br/live/cy8YAqeoSBaTMNPfz"/>
        <s v="https://chat-conecta.recife.pe.gov.br/live/iRfCAPrFxs4itj35N"/>
        <s v="https://chat-conecta.recife.pe.gov.br/live/zDyKBTKQQQEiP8YBc"/>
        <s v="https://chat-conecta.recife.pe.gov.br/live/w3GekCtqXHGEroEvA/user-info"/>
        <s v="https://chat-conecta.recife.pe.gov.br/live/kdovYu9zKiR78hpiN"/>
        <s v="https://chat-conecta.recife.pe.gov.br/live/N8ohjRZ5iHoMF9qgF/user-info"/>
        <s v="https://chat-conecta.recife.pe.gov.br/live/BeJK4HzjJbJQMC74Q/room-info"/>
        <s v="https://chat-conecta.recife.pe.gov.br/live/Zw7iqr7gyxX3nMhfJ"/>
        <s v="https://chat-conecta.recife.pe.gov.br/live/LFMopf5EWNkZGqrir/user-info"/>
        <s v="https://chat-conecta.recife.pe.gov.br/live/nqpyCQ3YkJafAWX2W/members-list"/>
        <s v="https://chat-conecta.recife.pe.gov.br/live/8Q9kXLjfzaoTBbLjv/user-info"/>
        <s v="https://chat-conecta.recife.pe.gov.br/live/iwkhY4WqcFZBRwx4e"/>
        <s v="https://chat-conecta.recife.pe.gov.br/live/Rep4Gfxh3bGMunJ3T/room-info"/>
        <s v="https://chat-conecta.recife.pe.gov.br/live/ioeSwQsHx96AsjnZZ/room-info"/>
        <s v="https://chat-conecta.recife.pe.gov.br/live/dahYTy8fMpsFfW9DB/room-info"/>
        <s v="https://chat-conecta.recife.pe.gov.br/live/C8Yhcsh7NCMhNpLSW/user-info"/>
        <s v="https://chat-conecta.recife.pe.gov.br/live/suAdkvhHvWkCZSWZQ/user-info"/>
        <s v="https://chat-conecta.recife.pe.gov.br/live/RGwLiA5B6WrmvMmfm/user-info"/>
        <s v="https://chat-conecta.recife.pe.gov.br/live/n4BKe9GfBkeNqK3iw"/>
        <s v="https://chat-conecta.recife.pe.gov.br/live/qjgRwZzCJm7NpokvD"/>
        <s v="https://chat-conecta.recife.pe.gov.br/live/M38yM7RzhPBcnhTYa/user-info"/>
        <s v="https://chat-conecta.recife.pe.gov.br/live/p9CNhgAmskxkjqebY/user-info"/>
        <s v="https://chat-conecta.recife.pe.gov.br/live/dDq7dEaCqFipf9vmG"/>
        <s v="https://chat-conecta.recife.pe.gov.br/live/WDT2Fc683wyNam8nS/room-info#&amp;gid=1&amp;pid=3"/>
        <s v="https://chat-conecta.recife.pe.gov.br/live/LZTFc7E5vJQKjwPfi/user-info"/>
        <s v="https://chat-conecta.recife.pe.gov.br/live/86R4KShPN3G5hfBAy"/>
        <s v="https://chat-conecta.recife.pe.gov.br/live/yiY3ZpiSMBcDZiNht/members-list"/>
        <s v="https://chat-conecta.recife.pe.gov.br/live/zPW7S5a9bKyQFSxF6/room-info"/>
        <s v="https://chat-conecta.recife.pe.gov.br/live/NPfqCSuNt2DDzNgLn"/>
        <s v="https://chat-conecta.recife.pe.gov.br/live/oGH94CCqu6nP3SYwQ/room-info"/>
        <s v="https://chat-conecta.recife.pe.gov.br/live/jDudnREXvvCbrcKxS/user-info"/>
        <s v="https://chat-conecta.recife.pe.gov.br/direct/JqDiChnx3q5b6JYt5TQcuSEArNi4YqW2MZ"/>
        <s v="https://chat-conecta.recife.pe.gov.br/live/SiBvyBMwEDJe5Awgv/user-info"/>
        <s v="https://chat-conecta.recife.pe.gov.br/live/BQrofuawLzq9hSffu/room-info"/>
        <s v="https://chat-conecta.recife.pe.gov.br/live/9G2xJLjeMHJhAAKMm/user-info"/>
        <s v="https://chat-conecta.recife.pe.gov.br/live/rn4GpN6FoSbspp6Fz"/>
        <s v="https://chat-conecta.recife.pe.gov.br/live/2bL3fx6mPZnxyd6na/room-info"/>
        <s v="https://chat-conecta.recife.pe.gov.br/live/WApNrz3K6aa8cXpC3"/>
        <s v="https://chat-conecta.recife.pe.gov.br/live/8tzamN7wbdQPpzDHd/room-info"/>
        <s v="https://chat-conecta.recife.pe.gov.br/live/FELS5sdARpBuD8jyn"/>
        <s v="https://chat-conecta.recife.pe.gov.br/live/q8oEvo9QQsy76MeEc/user-info"/>
        <s v="https://chat-conecta.recife.pe.gov.br/live/RdasYAmKuFQQnL7cu/room-info"/>
        <s v="https://chat-conecta.recife.pe.gov.br/live/TE2qhzyKvuX8jjxwn/room-info"/>
        <s v="https://chat-conecta.recife.pe.gov.br/live/TE2qhzyKvuX8jjxwn/user-info"/>
        <s v="https://chat-conecta.recife.pe.gov.br/live/RdasYAmKuFQQnL7cu/members-list"/>
        <s v="https://chat-conecta.recife.pe.gov.br/live/GHvrDD4ZBXdyy8mR7/user-info"/>
        <s v="https://chat-conecta.recife.pe.gov.br/live/EjM4ydqyTRrgu7QgL/room-info"/>
        <s v="https://chat-conecta.recife.pe.gov.br/live/bDpZL6bxbZLvqjpbv/user-info"/>
        <s v="https://chat-conecta.recife.pe.gov.br/live/LJQ68yNxuZKQFhqNa"/>
        <s v="https://chat-conecta.recife.pe.gov.br/live/esjcEcd8NsSvmfDTx"/>
        <s v="https://chat-conecta.recife.pe.gov.br/live/3i8GDcP74euvyRq4y/user-info"/>
        <s v="https://chat-conecta.recife.pe.gov.br/live/YPTtEWNCoR3MAMJnK/user-info"/>
        <s v="https://chat-conecta.recife.pe.gov.br/live/6oRFbYZ982SuGG7y5/user-info"/>
        <s v="https://chat-conecta.recife.pe.gov.br/live/3KGQ6uXXWrcejMkcx"/>
        <s v="https://chat-conecta.recife.pe.gov.br/live/bDTy44WhXchXergXn"/>
        <s v="https://chat-conecta.recife.pe.gov.br/live/tJpBn7MqFqbp2e3kS"/>
        <s v="https://chat-conecta.recife.pe.gov.br/live/C7oqL2ud3MZt2u3hn/user-info"/>
        <s v="https://chat-conecta.recife.pe.gov.br/live/RyFSFhNSGGHNRf7sv"/>
        <s v="https://chat-conecta.recife.pe.gov.br/live/W7DrXGZKt43eWc7iR/user-info"/>
        <s v="https://chat-conecta.recife.pe.gov.br/live/nNTApPW98vGd25PDa/room-info"/>
        <s v="https://chat-conecta.recife.pe.gov.br/live/L2BfMcxxapK6jv2vj/user-info"/>
        <s v="https://chat-conecta.recife.pe.gov.br/live/TXrK4iYuBpRsCvb3S/user-info"/>
        <s v="https://chat-conecta.recife.pe.gov.br/live/f9CJ9fpwKdydNazEG/room-info"/>
        <s v="https://chat-conecta.recife.pe.gov.br/live/SiXEkNyhYPexDRTYB/room-info"/>
        <s v="https://chat-conecta.recife.pe.gov.br/live/REAFdqte2DKN4QpLP/room-info"/>
        <s v="https://chat-conecta.recife.pe.gov.br/live/zYgtdJFJ3rJJACTvY/user-info"/>
        <s v="https://chat-conecta.recife.pe.gov.br/live/rkDpTrAb2zbsZZtEn/room-info"/>
        <s v="https://chat-conecta.recife.pe.gov.br/live/HC8js47RFGjMnqrgo/room-info"/>
        <s v="https://chat-conecta.recife.pe.gov.br/live/eN55dtLrcue6ioXq6/room-info"/>
        <s v="https://chat-conecta.recife.pe.gov.br/live/uRmrzRFMFLpwi627A/room-info"/>
        <s v="https://chat-conecta.recife.pe.gov.br/live/irRDQxrq8Wt5xQkxs/room-info"/>
        <s v="https://chat-conecta.recife.pe.gov.br/live/QgyfPRR29Fw4fxpBr"/>
        <s v="https://chat-conecta.recife.pe.gov.br/live/TSDPJpdEARmRSkntZ/room-info"/>
        <s v="https://chat-conecta.recife.pe.gov.br/live/o4i274noExP4KFtZD#&amp;gid=1&amp;pid=4"/>
        <s v="https://chat-conecta.recife.pe.gov.br/live/M5AJwqY9hTP9hsbzn/room-info"/>
        <s v="https://chat-conecta.recife.pe.gov.br/live/wKzKnY2JEsvez7qTe/room-info"/>
        <s v="https://chat-conecta.recife.pe.gov.br/live/mDSscMFhtKxSRk8wM/room-info"/>
        <s v="https://chat-conecta.recife.pe.gov.br/live/HvG3Hf6MtQt96AqC5"/>
        <s v="https://chat-conecta.recife.pe.gov.br/live/Wv4wZsCDqMyrkzAHt/room-info"/>
        <s v="https://chat-conecta.recife.pe.gov.br/live/dmHQswBy5gDbErr3h/room-info"/>
        <s v="https://chat-conecta.recife.pe.gov.br/direct/TQcuSEArNi4YqW2MZrD7nzdMcrwARnnswP"/>
        <s v="https://chat-conecta.recife.pe.gov.br/live/GczgX5YLhyZj3MdrT/room-info"/>
        <s v="https://chat-conecta.recife.pe.gov.br/live/gw8z9yc5S5BxidyoK"/>
        <s v="https://chat-conecta.recife.pe.gov.br/omnichannel-directory/chats/view/XtDv9XtgshTPFwR5i"/>
        <s v="https://chat-conecta.recife.pe.gov.br/live/wzbTkDnqRDE3x5qfA"/>
        <s v="https://chat-conecta.recife.pe.gov.br/live/r5niX7Txd6au46Djc"/>
        <s v="https://chat-conecta.recife.pe.gov.br/live/GK3DuFZokjHkRm9PR"/>
        <s v="https://chat-conecta.recife.pe.gov.br/live/4K83cYoqZJMWkoopL/room-info"/>
        <s v="https://chat-conecta.recife.pe.gov.br/live/Egynxpvsz5BiZmNte"/>
        <s v="https://chat-conecta.recife.pe.gov.br/omnichannel-directory/chats/view/eZNCqLDwhnaSogywR/room-info"/>
        <s v="https://chat-conecta.recife.pe.gov.br/live/SpYsRE7QmAuqDZinD/contact-chat-history"/>
        <s v="https://chat-conecta.recife.pe.gov.br/live/59rCpymG9MbtoYKFp/room-info"/>
        <s v="https://chat-conecta.recife.pe.gov.br/live/aWL3dzB4mDB6cLWQk/room-info"/>
        <s v="https://chat-conecta.recife.pe.gov.br/live/HE9wg335DEGEnuXK9/user-info"/>
        <s v="https://chat-conecta.recife.pe.gov.br/live/kbEASpjrpZ9fd5iNP/user-info"/>
        <s v="https://chat-conecta.recife.pe.gov.br/live/H47ENv8Tx2LEoGPjL/room-info"/>
        <s v="https://chat-conecta.recife.pe.gov.br/live/9WvickZjiJEQELaF2/members-list"/>
        <s v="https://chat-conecta.recife.pe.gov.br/live/yxCf8Ao3nfiWcZMvT"/>
        <s v="https://chat-conecta.recife.pe.gov.br/live/W7Jw76qsWbDu7j4RB"/>
        <s v="https://chat-conecta.recife.pe.gov.br/live/5XPj5pAaCE7Zx7NLg/user-info"/>
        <s v="https://chat-conecta.recife.pe.gov.br/live/D8RLp69xF28EwFneB/user-info"/>
        <s v="https://chat-conecta.recife.pe.gov.br/live/KLTjRkqg2xoM6TZut"/>
        <s v="https://chat-conecta.recife.pe.gov.br/live/7fEWjjB9PTSzaizwQ"/>
        <s v="https://chat-conecta.recife.pe.gov.br/live/mLGoK8riyYGXLS6Bw/room-info"/>
        <s v="https://chat-conecta.recife.pe.gov.br/live/7v873YBzShCTMkQLW"/>
        <s v="https://chat-conecta.recife.pe.gov.br/live/t9hA4JHWvY2MsFqt3/user-info"/>
        <s v="https://chat-conecta.recife.pe.gov.br/live/EYi5wMbSFtekfQLeW/room-info"/>
        <s v="https://chat-conecta.recife.pe.gov.br/live/NzuAX2fuDvLNid6Pm"/>
        <s v="https://chat-conecta.recife.pe.gov.br/live/wYhjtz5PLqkCoEeve"/>
        <s v="https://chat-conecta.recife.pe.gov.br/live/4nLmynik4jnDFXCHS"/>
        <s v="https://chat-conecta.recife.pe.gov.br/live/RQhZJYSuCyt8TK4KW/room-info"/>
        <s v="https://chat-conecta.recife.pe.gov.br/live/hbKHmedcAsJqBWZjw/user-info"/>
        <s v="https://chat-conecta.recife.pe.gov.br/live/bgDhgvtu4L7BYDax3/room-info"/>
        <s v="https://chat-conecta.recife.pe.gov.br/live/fJLEc8JKRAvGSRiT7"/>
        <s v="https://chat-conecta.recife.pe.gov.br/live/ugo5ocfiD2PFjBbTn/members-list"/>
        <s v="https://chat-conecta.recife.pe.gov.br/live/SktjE7pqwaEK5btiG/room-info"/>
        <s v="https://chat-conecta.recife.pe.gov.br/live/mLpGEgPv4gYrGFA27/user-info"/>
        <s v="https://chat-conecta.recife.pe.gov.br/live/xMXigdLeLCZeaCRFA/user-info"/>
        <s v="https://chat-conecta.recife.pe.gov.br/live/jiCMh3NCYdMzxQkwr/room-info"/>
        <s v="https://chat-conecta.recife.pe.gov.br/live/HDPy7hR8Rn4FKRLzR/uploaded-files-list"/>
      </sharedItems>
    </cacheField>
    <cacheField name="Mora em área de cobertura da ESF?" numFmtId="0">
      <sharedItems containsBlank="1" count="4">
        <m/>
        <s v="Sim"/>
        <s v="Não"/>
        <s v="Sim, ESF Incompleta (PACs/EACs)"/>
      </sharedItems>
    </cacheField>
    <cacheField name="Raça/cor" numFmtId="0">
      <sharedItems containsBlank="1" count="7">
        <m/>
        <s v="Branca"/>
        <s v="Parda"/>
        <s v="Preta"/>
        <s v="Amarela"/>
        <s v="Ignorado"/>
        <s v="Não questionado"/>
      </sharedItems>
    </cacheField>
    <cacheField name="Data de nascimento" numFmtId="0">
      <sharedItems containsBlank="1" containsDate="1" containsMixedTypes="1" count="722">
        <m/>
        <d v="1987-01-22T00:00:00"/>
        <d v="1998-01-08T00:00:00"/>
        <d v="1995-08-08T00:00:00"/>
        <d v="1993-03-01T00:00:00"/>
        <d v="2003-07-17T00:00:00"/>
        <d v="1995-08-17T00:00:00"/>
        <d v="2004-12-26T00:00:00"/>
        <d v="2004-10-26T00:00:00"/>
        <d v="1983-03-19T00:00:00"/>
        <d v="1985-10-16T00:00:00"/>
        <d v="1997-02-01T00:00:00"/>
        <s v="2/1/0997"/>
        <d v="2000-02-07T00:00:00"/>
        <d v="1991-10-14T00:00:00"/>
        <d v="1997-06-07T00:00:00"/>
        <d v="2000-12-08T00:00:00"/>
        <d v="2002-08-06T00:00:00"/>
        <d v="1997-01-15T00:00:00"/>
        <d v="1998-04-27T00:00:00"/>
        <d v="1997-06-21T00:00:00"/>
        <d v="1994-09-07T00:00:00"/>
        <d v="1997-02-24T00:00:00"/>
        <d v="1995-05-11T00:00:00"/>
        <d v="1990-06-22T00:00:00"/>
        <d v="1997-04-10T00:00:00"/>
        <d v="1998-01-18T00:00:00"/>
        <d v="2001-10-28T00:00:00"/>
        <d v="1997-07-18T00:00:00"/>
        <d v="1994-07-09T00:00:00"/>
        <d v="1985-05-18T00:00:00"/>
        <d v="1988-10-02T00:00:00"/>
        <d v="1994-11-25T00:00:00"/>
        <d v="1999-11-12T00:00:00"/>
        <d v="1994-07-06T00:00:00"/>
        <d v="2000-07-12T00:00:00"/>
        <d v="1981-04-14T00:00:00"/>
        <d v="1992-01-26T00:00:00"/>
        <d v="1994-06-23T00:00:00"/>
        <d v="1996-01-25T00:00:00"/>
        <d v="1997-10-13T00:00:00"/>
        <d v="1993-12-02T00:00:00"/>
        <d v="2003-06-30T00:00:00"/>
        <d v="1999-02-07T00:00:00"/>
        <d v="1993-12-16T00:00:00"/>
        <d v="1989-04-23T00:00:00"/>
        <d v="1995-03-17T00:00:00"/>
        <d v="1991-10-03T00:00:00"/>
        <d v="1996-07-06T00:00:00"/>
        <d v="1991-10-08T00:00:00"/>
        <d v="1993-12-19T00:00:00"/>
        <d v="1995-05-25T00:00:00"/>
        <d v="2000-10-07T00:00:00"/>
        <d v="2023-03-30T00:00:00"/>
        <d v="1998-11-10T00:00:00"/>
        <d v="2000-09-18T00:00:00"/>
        <d v="2003-06-01T00:00:00"/>
        <d v="1996-06-08T00:00:00"/>
        <d v="1985-09-26T00:00:00"/>
        <s v="3/17/1195"/>
        <d v="1997-09-21T00:00:00"/>
        <d v="1992-12-29T00:00:00"/>
        <d v="1989-06-15T00:00:00"/>
        <d v="1985-08-07T00:00:00"/>
        <d v="2002-07-03T00:00:00"/>
        <d v="2000-07-18T00:00:00"/>
        <d v="1984-01-16T00:00:00"/>
        <d v="1997-06-04T00:00:00"/>
        <d v="1994-02-01T00:00:00"/>
        <d v="1999-02-02T00:00:00"/>
        <d v="2002-04-18T00:00:00"/>
        <d v="1992-05-17T00:00:00"/>
        <d v="1999-03-27T00:00:00"/>
        <d v="1995-05-06T00:00:00"/>
        <d v="1993-12-23T00:00:00"/>
        <d v="2002-12-19T00:00:00"/>
        <d v="1990-06-06T00:00:00"/>
        <d v="1991-12-14T00:00:00"/>
        <d v="1996-06-04T00:00:00"/>
        <d v="2000-06-22T00:00:00"/>
        <d v="1983-05-02T00:00:00"/>
        <d v="1990-05-01T00:00:00"/>
        <d v="1990-08-06T00:00:00"/>
        <d v="1997-09-17T00:00:00"/>
        <d v="2000-08-06T00:00:00"/>
        <d v="1995-07-01T00:00:00"/>
        <d v="1998-02-25T00:00:00"/>
        <d v="1998-02-14T00:00:00"/>
        <d v="1997-07-21T00:00:00"/>
        <d v="1980-09-05T00:00:00"/>
        <d v="1995-01-03T00:00:00"/>
        <d v="1999-06-05T00:00:00"/>
        <d v="1992-09-10T00:00:00"/>
        <d v="1989-04-24T00:00:00"/>
        <d v="1997-12-18T00:00:00"/>
        <d v="1980-09-04T00:00:00"/>
        <d v="1999-11-15T00:00:00"/>
        <d v="2003-11-17T00:00:00"/>
        <d v="1991-04-25T00:00:00"/>
        <d v="1985-07-04T00:00:00"/>
        <d v="1991-05-11T00:00:00"/>
        <d v="1998-03-12T00:00:00"/>
        <d v="1992-09-30T00:00:00"/>
        <d v="2000-10-14T00:00:00"/>
        <d v="2002-11-16T00:00:00"/>
        <d v="2003-09-14T00:00:00"/>
        <d v="2002-06-24T00:00:00"/>
        <d v="1996-10-08T00:00:00"/>
        <d v="2003-10-29T00:00:00"/>
        <d v="1999-05-01T00:00:00"/>
        <d v="1987-04-09T00:00:00"/>
        <d v="1999-04-08T00:00:00"/>
        <d v="2024-05-13T00:00:00"/>
        <d v="1991-06-10T00:00:00"/>
        <d v="1994-08-09T00:00:00"/>
        <d v="1984-09-29T00:00:00"/>
        <d v="1990-08-30T00:00:00"/>
        <d v="1987-05-05T00:00:00"/>
        <d v="2006-02-08T00:00:00"/>
        <d v="1999-05-22T00:00:00"/>
        <d v="1994-08-13T00:00:00"/>
        <d v="2000-10-08T00:00:00"/>
        <d v="1997-04-06T00:00:00"/>
        <d v="1996-05-07T00:00:00"/>
        <d v="1996-05-21T00:00:00"/>
        <d v="1991-07-12T00:00:00"/>
        <d v="1998-05-10T00:00:00"/>
        <d v="1991-05-26T00:00:00"/>
        <d v="1996-12-20T00:00:00"/>
        <d v="1989-09-30T00:00:00"/>
        <d v="1998-12-03T00:00:00"/>
        <d v="2006-03-18T00:00:00"/>
        <d v="2001-01-17T00:00:00"/>
        <d v="1986-12-05T00:00:00"/>
        <d v="2021-07-19T00:00:00"/>
        <d v="1988-12-27T00:00:00"/>
        <d v="1984-10-29T00:00:00"/>
        <d v="1997-09-08T00:00:00"/>
        <d v="2002-07-30T00:00:00"/>
        <d v="1988-07-11T00:00:00"/>
        <d v="1988-11-27T00:00:00"/>
        <d v="1987-03-29T00:00:00"/>
        <d v="2001-03-20T00:00:00"/>
        <d v="1998-01-23T00:00:00"/>
        <d v="1992-02-19T00:00:00"/>
        <d v="2001-10-15T00:00:00"/>
        <d v="2000-02-19T00:00:00"/>
        <d v="2001-02-15T00:00:00"/>
        <d v="1996-05-14T00:00:00"/>
        <d v="2023-06-29T00:00:00"/>
        <d v="1986-06-02T00:00:00"/>
        <d v="1983-01-14T00:00:00"/>
        <d v="1996-02-14T00:00:00"/>
        <d v="1994-08-16T00:00:00"/>
        <d v="1991-10-24T00:00:00"/>
        <d v="1993-08-26T00:00:00"/>
        <d v="2002-01-12T00:00:00"/>
        <d v="1984-07-28T00:00:00"/>
        <d v="1994-04-16T00:00:00"/>
        <d v="2001-11-02T00:00:00"/>
        <d v="2003-07-24T00:00:00"/>
        <d v="2000-06-17T00:00:00"/>
        <d v="1996-07-04T00:00:00"/>
        <d v="1986-09-20T00:00:00"/>
        <d v="1989-09-09T00:00:00"/>
        <d v="2002-09-30T00:00:00"/>
        <d v="1999-05-29T00:00:00"/>
        <d v="2003-08-14T00:00:00"/>
        <d v="1997-10-28T00:00:00"/>
        <d v="1999-07-22T00:00:00"/>
        <d v="1985-01-21T00:00:00"/>
        <d v="1997-08-29T00:00:00"/>
        <d v="1994-01-17T00:00:00"/>
        <d v="1985-02-21T00:00:00"/>
        <d v="1992-12-21T00:00:00"/>
        <d v="1996-11-08T00:00:00"/>
        <d v="1996-12-27T00:00:00"/>
        <d v="1987-12-17T00:00:00"/>
        <d v="2022-12-29T00:00:00"/>
        <d v="1998-09-27T00:00:00"/>
        <d v="2001-06-01T00:00:00"/>
        <d v="1993-07-27T00:00:00"/>
        <d v="1997-07-27T00:00:00"/>
        <d v="1984-09-22T00:00:00"/>
        <d v="1994-04-18T00:00:00"/>
        <d v="1998-02-10T00:00:00"/>
        <d v="1998-09-28T00:00:00"/>
        <d v="1995-12-02T00:00:00"/>
        <d v="1998-12-12T00:00:00"/>
        <d v="1995-06-20T00:00:00"/>
        <d v="2001-08-23T00:00:00"/>
        <d v="2003-12-02T00:00:00"/>
        <d v="1993-08-09T00:00:00"/>
        <d v="2001-02-05T00:00:00"/>
        <d v="1992-01-06T00:00:00"/>
        <d v="2001-11-27T00:00:00"/>
        <d v="1987-02-22T00:00:00"/>
        <d v="1997-11-23T00:00:00"/>
        <d v="1990-09-15T00:00:00"/>
        <d v="1982-04-08T00:00:00"/>
        <d v="1999-05-07T00:00:00"/>
        <d v="1999-07-29T00:00:00"/>
        <d v="1999-05-30T00:00:00"/>
        <d v="1996-08-26T00:00:00"/>
        <d v="1994-08-11T00:00:00"/>
        <d v="1996-06-02T00:00:00"/>
        <d v="1993-03-16T00:00:00"/>
        <d v="2005-01-01T00:00:00"/>
        <d v="1999-08-04T00:00:00"/>
        <d v="2004-04-29T00:00:00"/>
        <d v="1999-05-15T00:00:00"/>
        <d v="2002-07-29T00:00:00"/>
        <d v="2000-03-11T00:00:00"/>
        <d v="1989-08-21T00:00:00"/>
        <d v="2002-01-11T00:00:00"/>
        <d v="1995-05-23T00:00:00"/>
        <d v="2001-09-20T00:00:00"/>
        <d v="2002-11-06T00:00:00"/>
        <d v="1992-02-18T00:00:00"/>
        <d v="1986-05-08T00:00:00"/>
        <d v="2003-12-11T00:00:00"/>
        <d v="2021-02-05T00:00:00"/>
        <d v="1996-11-11T00:00:00"/>
        <d v="2004-09-03T00:00:00"/>
        <d v="2001-09-12T00:00:00"/>
        <d v="1984-07-21T00:00:00"/>
        <d v="1994-03-16T00:00:00"/>
        <d v="1991-06-16T00:00:00"/>
        <d v="2003-02-11T00:00:00"/>
        <d v="1997-11-03T00:00:00"/>
        <d v="2022-11-18T00:00:00"/>
        <d v="2001-09-30T00:00:00"/>
        <d v="1996-05-01T00:00:00"/>
        <d v="2001-03-07T00:00:00"/>
        <d v="1987-07-13T00:00:00"/>
        <d v="1990-09-13T00:00:00"/>
        <d v="1992-07-09T00:00:00"/>
        <d v="2001-09-16T00:00:00"/>
        <d v="2006-09-23T00:00:00"/>
        <d v="2002-10-19T00:00:00"/>
        <d v="1989-04-28T00:00:00"/>
        <d v="1995-10-27T00:00:00"/>
        <d v="2001-09-02T00:00:00"/>
        <d v="1999-08-18T00:00:00"/>
        <d v="1992-07-12T00:00:00"/>
        <d v="1993-07-22T00:00:00"/>
        <d v="1984-02-07T00:00:00"/>
        <d v="1988-12-05T00:00:00"/>
        <d v="1994-12-03T00:00:00"/>
        <d v="1994-05-08T00:00:00"/>
        <d v="1989-12-09T00:00:00"/>
        <d v="1991-08-18T00:00:00"/>
        <d v="1990-07-20T00:00:00"/>
        <d v="1989-06-21T00:00:00"/>
        <d v="1987-12-09T00:00:00"/>
        <d v="1991-06-30T00:00:00"/>
        <d v="1986-12-09T00:00:00"/>
        <d v="2003-04-15T00:00:00"/>
        <d v="1999-10-30T00:00:00"/>
        <d v="2000-05-15T00:00:00"/>
        <d v="1998-08-08T00:00:00"/>
        <d v="2004-10-04T00:00:00"/>
        <d v="1995-10-19T00:00:00"/>
        <d v="2003-11-10T00:00:00"/>
        <d v="1992-04-28T00:00:00"/>
        <d v="1990-10-07T00:00:00"/>
        <d v="1994-06-11T00:00:00"/>
        <d v="1990-01-28T00:00:00"/>
        <d v="1987-01-30T00:00:00"/>
        <d v="1994-10-24T00:00:00"/>
        <d v="1996-11-19T00:00:00"/>
        <d v="1992-02-21T00:00:00"/>
        <d v="1983-12-13T00:00:00"/>
        <d v="1994-11-04T00:00:00"/>
        <d v="2003-02-15T00:00:00"/>
        <d v="1995-04-13T00:00:00"/>
        <d v="1999-10-03T00:00:00"/>
        <d v="2005-03-19T00:00:00"/>
        <d v="1995-05-19T00:00:00"/>
        <d v="1987-10-22T00:00:00"/>
        <d v="1984-05-15T00:00:00"/>
        <d v="1999-06-22T00:00:00"/>
        <d v="1991-12-19T00:00:00"/>
        <d v="1989-05-12T00:00:00"/>
        <d v="1981-06-22T00:00:00"/>
        <d v="2003-03-07T00:00:00"/>
        <d v="1997-01-19T00:00:00"/>
        <s v="6/22/0081"/>
        <d v="1998-08-28T00:00:00"/>
        <d v="2001-03-28T00:00:00"/>
        <d v="1992-07-15T00:00:00"/>
        <d v="2005-05-19T00:00:00"/>
        <d v="1983-06-28T00:00:00"/>
        <d v="2000-01-09T00:00:00"/>
        <d v="1989-05-18T00:00:00"/>
        <d v="1998-07-11T00:00:00"/>
        <d v="1993-11-16T00:00:00"/>
        <d v="1987-09-25T00:00:00"/>
        <d v="1995-07-20T00:00:00"/>
        <d v="1981-06-02T00:00:00"/>
        <d v="1989-05-11T00:00:00"/>
        <d v="1997-06-15T00:00:00"/>
        <d v="2004-02-16T00:00:00"/>
        <s v="4/18/0001"/>
        <d v="1995-04-23T00:00:00"/>
        <d v="1995-05-02T00:00:00"/>
        <d v="1987-06-17T00:00:00"/>
        <d v="1987-03-10T00:00:00"/>
        <d v="1995-04-04T00:00:00"/>
        <d v="1983-04-20T00:00:00"/>
        <d v="1999-08-27T00:00:00"/>
        <d v="2000-10-18T00:00:00"/>
        <d v="2000-06-13T00:00:00"/>
        <d v="2001-11-22T00:00:00"/>
        <d v="1992-02-04T00:00:00"/>
        <d v="2001-04-23T00:00:00"/>
        <d v="1996-12-30T00:00:00"/>
        <d v="2000-07-04T00:00:00"/>
        <d v="1996-01-21T00:00:00"/>
        <d v="1991-04-16T00:00:00"/>
        <d v="1989-10-26T00:00:00"/>
        <d v="2007-02-07T00:00:00"/>
        <d v="1995-07-02T00:00:00"/>
        <d v="1990-02-09T00:00:00"/>
        <d v="2002-12-09T00:00:00"/>
        <d v="2000-06-08T00:00:00"/>
        <d v="2002-01-02T00:00:00"/>
        <d v="2005-04-11T00:00:00"/>
        <d v="2003-03-11T00:00:00"/>
        <d v="1992-05-14T00:00:00"/>
        <d v="1990-03-11T00:00:00"/>
        <d v="1992-05-04T00:00:00"/>
        <s v="10/20/0002"/>
        <d v="1996-10-11T00:00:00"/>
        <d v="1989-08-19T00:00:00"/>
        <d v="1993-01-10T00:00:00"/>
        <d v="1985-09-29T00:00:00"/>
        <d v="2002-10-20T00:00:00"/>
        <d v="1996-07-05T00:00:00"/>
        <d v="1999-04-24T00:00:00"/>
        <d v="1985-08-30T00:00:00"/>
        <d v="1987-09-21T00:00:00"/>
        <d v="1998-06-01T00:00:00"/>
        <d v="1987-09-04T00:00:00"/>
        <d v="1985-09-06T00:00:00"/>
        <d v="1994-12-11T00:00:00"/>
        <d v="1994-02-11T00:00:00"/>
        <d v="2001-02-27T00:00:00"/>
        <d v="1990-12-13T00:00:00"/>
        <d v="2000-11-02T00:00:00"/>
        <d v="2002-11-07T00:00:00"/>
        <d v="1993-02-27T00:00:00"/>
        <d v="1996-07-02T00:00:00"/>
        <d v="1988-04-07T00:00:00"/>
        <d v="1997-03-05T00:00:00"/>
        <d v="2000-10-02T00:00:00"/>
        <d v="1999-05-24T00:00:00"/>
        <d v="1993-04-02T00:00:00"/>
        <d v="1984-09-20T00:00:00"/>
        <s v="9/4/0205"/>
        <d v="1997-04-25T00:00:00"/>
        <d v="1988-12-11T00:00:00"/>
        <d v="1999-03-15T00:00:00"/>
        <d v="1993-03-12T00:00:00"/>
        <d v="1994-03-04T00:00:00"/>
        <d v="2007-07-16T00:00:00"/>
        <d v="1998-10-26T00:00:00"/>
        <d v="1999-12-17T00:00:00"/>
        <d v="2005-05-27T00:00:00"/>
        <d v="2001-12-27T00:00:00"/>
        <d v="1998-01-07T00:00:00"/>
        <d v="1992-05-05T00:00:00"/>
        <d v="2000-05-03T00:00:00"/>
        <d v="1989-02-04T00:00:00"/>
        <d v="1992-01-22T00:00:00"/>
        <d v="2003-08-18T00:00:00"/>
        <d v="2023-07-08T00:00:00"/>
        <d v="1986-01-26T00:00:00"/>
        <d v="1997-03-14T00:00:00"/>
        <d v="2003-01-16T00:00:00"/>
        <d v="2001-07-04T00:00:00"/>
        <d v="1991-07-08T00:00:00"/>
        <d v="1998-04-01T00:00:00"/>
        <d v="2000-03-17T00:00:00"/>
        <d v="1991-10-05T00:00:00"/>
        <d v="1995-04-27T00:00:00"/>
        <d v="1998-08-24T00:00:00"/>
        <d v="1997-08-17T00:00:00"/>
        <d v="1994-05-23T00:00:00"/>
        <d v="1997-05-27T00:00:00"/>
        <d v="1994-02-21T00:00:00"/>
        <d v="2003-05-14T00:00:00"/>
        <d v="1985-12-01T00:00:00"/>
        <d v="1989-09-24T00:00:00"/>
        <d v="1999-04-25T00:00:00"/>
        <d v="1990-09-20T00:00:00"/>
        <d v="1990-01-29T00:00:00"/>
        <d v="1990-09-29T00:00:00"/>
        <d v="1995-10-08T00:00:00"/>
        <d v="1993-06-11T00:00:00"/>
        <d v="2002-01-26T00:00:00"/>
        <d v="1990-05-17T00:00:00"/>
        <d v="1998-11-26T00:00:00"/>
        <d v="1999-05-05T00:00:00"/>
        <d v="1995-02-10T00:00:00"/>
        <d v="2023-08-07T00:00:00"/>
        <d v="1998-11-21T00:00:00"/>
        <d v="1999-01-29T00:00:00"/>
        <d v="1999-05-13T00:00:00"/>
        <d v="1994-07-30T00:00:00"/>
        <d v="1989-06-16T00:00:00"/>
        <d v="1981-06-08T00:00:00"/>
        <d v="2008-05-08T00:00:00"/>
        <d v="1997-03-27T00:00:00"/>
        <d v="1991-06-02T00:00:00"/>
        <d v="1992-08-14T00:00:00"/>
        <d v="1991-10-04T00:00:00"/>
        <d v="1996-11-27T00:00:00"/>
        <d v="1994-03-17T00:00:00"/>
        <d v="1987-07-10T00:00:00"/>
        <d v="2003-09-21T00:00:00"/>
        <d v="1998-09-09T00:00:00"/>
        <d v="1997-08-08T00:00:00"/>
        <d v="1984-01-02T00:00:00"/>
        <d v="2003-11-13T00:00:00"/>
        <d v="2005-03-14T00:00:00"/>
        <d v="1996-01-28T00:00:00"/>
        <d v="2004-06-01T00:00:00"/>
        <d v="1996-10-26T00:00:00"/>
        <d v="1983-02-16T00:00:00"/>
        <d v="1997-10-01T00:00:00"/>
        <d v="2005-01-19T00:00:00"/>
        <d v="2002-04-15T00:00:00"/>
        <d v="1996-04-01T00:00:00"/>
        <d v="2002-12-03T00:00:00"/>
        <d v="1987-02-25T00:00:00"/>
        <d v="1991-10-30T00:00:00"/>
        <d v="1996-08-06T00:00:00"/>
        <d v="1996-11-29T00:00:00"/>
        <d v="2003-07-28T00:00:00"/>
        <d v="1991-09-06T00:00:00"/>
        <d v="1992-12-11T00:00:00"/>
        <d v="2000-12-07T00:00:00"/>
        <d v="1993-01-21T00:00:00"/>
        <d v="1999-02-08T00:00:00"/>
        <d v="1989-02-09T00:00:00"/>
        <d v="1998-09-02T00:00:00"/>
        <d v="1993-06-15T00:00:00"/>
        <d v="1988-03-29T00:00:00"/>
        <d v="2002-04-09T00:00:00"/>
        <d v="1988-03-02T00:00:00"/>
        <d v="1991-05-05T00:00:00"/>
        <d v="1997-05-14T00:00:00"/>
        <d v="1981-03-15T00:00:00"/>
        <d v="1998-10-19T00:00:00"/>
        <d v="1999-05-20T00:00:00"/>
        <d v="1999-10-10T00:00:00"/>
        <d v="1999-11-14T00:00:00"/>
        <d v="1991-03-09T00:00:00"/>
        <d v="1996-02-20T00:00:00"/>
        <d v="1992-12-17T00:00:00"/>
        <d v="2003-03-18T00:00:00"/>
        <d v="1999-12-25T00:00:00"/>
        <d v="2000-10-24T00:00:00"/>
        <d v="1993-04-19T00:00:00"/>
        <d v="1992-08-25T00:00:00"/>
        <d v="1991-09-20T00:00:00"/>
        <d v="2005-05-26T00:00:00"/>
        <d v="1997-01-17T00:00:00"/>
        <d v="2004-03-19T00:00:00"/>
        <d v="1992-05-08T00:00:00"/>
        <d v="1994-07-27T00:00:00"/>
        <d v="1999-12-15T00:00:00"/>
        <d v="1992-08-05T00:00:00"/>
        <d v="1999-10-22T00:00:00"/>
        <d v="2002-12-08T00:00:00"/>
        <d v="1998-07-10T00:00:00"/>
        <d v="1993-06-01T00:00:00"/>
        <d v="1992-03-08T00:00:00"/>
        <d v="1992-10-08T00:00:00"/>
        <d v="1991-10-28T00:00:00"/>
        <d v="1996-05-02T00:00:00"/>
        <d v="2006-06-26T00:00:00"/>
        <d v="1996-04-06T00:00:00"/>
        <d v="1981-10-31T00:00:00"/>
        <d v="1990-04-30T00:00:00"/>
        <d v="2001-01-25T00:00:00"/>
        <d v="2002-07-06T00:00:00"/>
        <d v="1995-04-09T00:00:00"/>
        <d v="1985-09-16T00:00:00"/>
        <d v="1997-03-21T00:00:00"/>
        <d v="1991-02-15T00:00:00"/>
        <d v="1999-08-06T00:00:00"/>
        <d v="2022-05-11T00:00:00"/>
        <d v="1987-08-24T00:00:00"/>
        <d v="2001-04-13T00:00:00"/>
        <d v="2005-01-23T00:00:00"/>
        <d v="2005-03-17T00:00:00"/>
        <d v="1993-09-01T00:00:00"/>
        <d v="2002-05-11T00:00:00"/>
        <d v="1995-01-30T00:00:00"/>
        <d v="1982-01-15T00:00:00"/>
        <d v="1987-10-17T00:00:00"/>
        <d v="1983-12-12T00:00:00"/>
        <d v="2001-03-15T00:00:00"/>
        <d v="2004-09-04T00:00:00"/>
        <d v="2024-01-15T00:00:00"/>
        <d v="1988-09-15T00:00:00"/>
        <d v="1995-09-27T00:00:00"/>
        <d v="1998-05-11T00:00:00"/>
        <d v="1989-08-01T00:00:00"/>
        <d v="1999-03-23T00:00:00"/>
        <d v="1984-08-24T00:00:00"/>
        <d v="1998-09-15T00:00:00"/>
        <d v="2000-05-11T00:00:00"/>
        <d v="2023-12-20T00:00:00"/>
        <d v="1999-06-14T00:00:00"/>
        <d v="1992-02-11T00:00:00"/>
        <d v="1998-04-06T00:00:00"/>
        <d v="1993-10-07T00:00:00"/>
        <d v="1999-12-12T00:00:00"/>
        <d v="1991-09-30T00:00:00"/>
        <d v="2000-10-29T00:00:00"/>
        <d v="1996-02-10T00:00:00"/>
        <d v="1995-07-06T00:00:00"/>
        <d v="1990-06-30T00:00:00"/>
        <d v="1990-01-24T00:00:00"/>
        <d v="1999-12-30T00:00:00"/>
        <d v="2001-01-11T00:00:00"/>
        <d v="1991-07-17T00:00:00"/>
        <d v="1998-09-01T00:00:00"/>
        <d v="1999-01-06T00:00:00"/>
        <d v="1998-01-29T00:00:00"/>
        <d v="2002-08-04T00:00:00"/>
        <d v="1994-01-25T00:00:00"/>
        <d v="1998-08-13T00:00:00"/>
        <d v="1994-06-13T00:00:00"/>
        <d v="2023-01-29T00:00:00"/>
        <d v="2001-10-02T00:00:00"/>
        <d v="2000-12-28T00:00:00"/>
        <d v="1991-02-13T00:00:00"/>
        <d v="1999-03-03T00:00:00"/>
        <d v="1997-02-13T00:00:00"/>
        <d v="2006-02-25T00:00:00"/>
        <d v="1999-07-11T00:00:00"/>
        <d v="1987-10-15T00:00:00"/>
        <d v="2005-11-16T00:00:00"/>
        <d v="1987-03-01T00:00:00"/>
        <d v="1993-08-17T00:00:00"/>
        <d v="1994-05-20T00:00:00"/>
        <d v="2003-05-21T00:00:00"/>
        <d v="2006-09-29T00:00:00"/>
        <d v="1986-12-08T00:00:00"/>
        <d v="2007-12-24T00:00:00"/>
        <d v="1985-04-13T00:00:00"/>
        <d v="1989-11-08T00:00:00"/>
        <d v="1984-08-06T00:00:00"/>
        <d v="2003-10-21T00:00:00"/>
        <d v="1996-09-16T00:00:00"/>
        <d v="1998-07-28T00:00:00"/>
        <d v="1993-07-02T00:00:00"/>
        <d v="1998-12-22T00:00:00"/>
        <d v="2000-05-25T00:00:00"/>
        <d v="1991-03-26T00:00:00"/>
        <d v="2009-07-15T00:00:00"/>
        <d v="1988-09-24T00:00:00"/>
        <d v="2000-03-13T00:00:00"/>
        <d v="2002-06-23T00:00:00"/>
        <d v="1995-07-22T00:00:00"/>
        <d v="1994-07-17T00:00:00"/>
        <d v="1988-08-13T00:00:00"/>
        <d v="2004-09-12T00:00:00"/>
        <d v="1998-06-05T00:00:00"/>
        <d v="2001-10-17T00:00:00"/>
        <d v="1989-04-06T00:00:00"/>
        <d v="1999-12-10T00:00:00"/>
        <d v="1997-05-17T00:00:00"/>
        <d v="1999-07-04T00:00:00"/>
        <d v="1999-03-20T00:00:00"/>
        <d v="1995-10-05T00:00:00"/>
        <d v="1997-01-06T00:00:00"/>
        <d v="1987-02-23T00:00:00"/>
        <d v="2000-12-01T00:00:00"/>
        <d v="1995-07-19T00:00:00"/>
        <d v="1994-04-22T00:00:00"/>
        <d v="1995-08-23T00:00:00"/>
        <d v="2000-03-03T00:00:00"/>
        <d v="2001-12-10T00:00:00"/>
        <d v="2003-02-27T00:00:00"/>
        <d v="2006-06-22T00:00:00"/>
        <d v="1998-02-09T00:00:00"/>
        <d v="2002-08-21T00:00:00"/>
        <d v="1993-10-14T00:00:00"/>
        <d v="1988-07-27T00:00:00"/>
        <d v="1997-11-30T00:00:00"/>
        <d v="2004-04-16T00:00:00"/>
        <d v="1992-06-06T00:00:00"/>
        <d v="1999-07-27T00:00:00"/>
        <d v="1992-01-15T00:00:00"/>
        <d v="1981-02-24T00:00:00"/>
        <d v="2002-03-04T00:00:00"/>
        <d v="2001-03-18T00:00:00"/>
        <d v="2005-02-13T00:00:00"/>
        <d v="2000-01-29T00:00:00"/>
        <d v="1998-03-04T00:00:00"/>
        <d v="2002-09-20T00:00:00"/>
        <d v="1992-07-02T00:00:00"/>
        <d v="2000-10-12T00:00:00"/>
        <d v="2007-02-14T00:00:00"/>
        <d v="1992-06-15T00:00:00"/>
        <d v="1993-11-25T00:00:00"/>
        <d v="1999-01-14T00:00:00"/>
        <d v="1998-03-26T00:00:00"/>
        <d v="1991-03-15T00:00:00"/>
        <d v="2002-08-16T00:00:00"/>
        <d v="1996-02-16T00:00:00"/>
        <d v="2001-02-12T00:00:00"/>
        <d v="2006-12-22T00:00:00"/>
        <d v="1983-03-17T00:00:00"/>
        <d v="1986-11-12T00:00:00"/>
        <d v="1994-09-26T00:00:00"/>
        <d v="1995-10-13T00:00:00"/>
        <d v="2004-03-21T00:00:00"/>
        <d v="1986-11-27T00:00:00"/>
        <d v="1997-04-11T00:00:00"/>
        <d v="1986-11-20T00:00:00"/>
        <d v="2024-04-10T00:00:00"/>
        <d v="1994-12-10T00:00:00"/>
        <d v="2008-11-18T00:00:00"/>
        <d v="1994-10-09T00:00:00"/>
        <d v="2000-03-21T00:00:00"/>
        <d v="1998-12-06T00:00:00"/>
        <d v="1999-03-02T00:00:00"/>
        <d v="2004-05-25T00:00:00"/>
        <d v="1991-07-04T00:00:00"/>
        <d v="2001-08-27T00:00:00"/>
        <d v="1998-10-11T00:00:00"/>
        <d v="1984-12-24T00:00:00"/>
        <d v="1996-04-08T00:00:00"/>
        <d v="1991-05-02T00:00:00"/>
        <d v="2003-09-07T00:00:00"/>
        <d v="2006-12-30T00:00:00"/>
        <d v="2000-11-07T00:00:00"/>
        <d v="1992-05-15T00:00:00"/>
        <d v="1986-09-07T00:00:00"/>
        <d v="2024-04-26T00:00:00"/>
        <d v="1998-09-17T00:00:00"/>
        <d v="1982-07-20T00:00:00"/>
        <d v="1987-08-03T00:00:00"/>
        <d v="1989-02-02T00:00:00"/>
        <d v="2024-03-21T00:00:00"/>
        <d v="1999-03-31T00:00:00"/>
        <d v="2000-07-14T00:00:00"/>
        <d v="1989-11-22T00:00:00"/>
        <d v="1997-04-04T00:00:00"/>
        <d v="2005-07-04T00:00:00"/>
        <d v="1999-05-12T00:00:00"/>
        <d v="1992-06-09T00:00:00"/>
        <d v="2003-09-17T00:00:00"/>
        <d v="1994-09-15T00:00:00"/>
        <d v="2001-08-03T00:00:00"/>
        <d v="1988-08-21T00:00:00"/>
        <d v="1994-07-13T00:00:00"/>
        <d v="1994-03-27T00:00:00"/>
        <d v="2004-03-29T00:00:00"/>
        <d v="1996-06-03T00:00:00"/>
        <d v="2002-03-15T00:00:00"/>
        <d v="2005-12-25T00:00:00"/>
        <d v="1995-06-14T00:00:00"/>
        <d v="1989-04-27T00:00:00"/>
        <d v="1996-05-26T00:00:00"/>
        <d v="1992-09-19T00:00:00"/>
        <d v="2001-04-11T00:00:00"/>
        <d v="2001-12-21T00:00:00"/>
        <d v="1993-12-01T00:00:00"/>
        <d v="1997-08-12T00:00:00"/>
        <d v="1982-09-22T00:00:00"/>
        <d v="2005-07-20T00:00:00"/>
        <d v="1997-07-23T00:00:00"/>
        <d v="2001-05-15T00:00:00"/>
        <d v="1990-03-17T00:00:00"/>
        <d v="1997-01-21T00:00:00"/>
        <d v="1993-12-04T00:00:00"/>
        <d v="1992-01-14T00:00:00"/>
        <d v="1997-06-02T00:00:00"/>
        <d v="1981-03-18T00:00:00"/>
        <d v="1999-03-17T00:00:00"/>
        <d v="1988-11-11T00:00:00"/>
        <d v="2024-12-21T00:00:00"/>
        <d v="1990-10-04T00:00:00"/>
        <d v="1995-08-26T00:00:00"/>
        <d v="1981-07-26T00:00:00"/>
        <d v="2003-01-23T00:00:00"/>
        <d v="1995-07-03T00:00:00"/>
        <d v="1993-11-02T00:00:00"/>
        <d v="1984-03-22T00:00:00"/>
        <d v="2000-05-19T00:00:00"/>
        <d v="1979-06-02T00:00:00"/>
        <d v="1986-06-20T00:00:00"/>
        <d v="2004-08-26T00:00:00"/>
        <d v="1994-01-14T00:00:00"/>
        <d v="1996-09-10T00:00:00"/>
        <d v="1995-04-11T00:00:00"/>
        <d v="1999-01-08T00:00:00"/>
        <d v="1996-08-24T00:00:00"/>
        <d v="1991-01-15T00:00:00"/>
        <d v="2006-08-19T00:00:00"/>
        <d v="2000-04-13T00:00:00"/>
        <d v="1998-06-18T00:00:00"/>
        <d v="2003-06-08T00:00:00"/>
        <d v="2003-10-01T00:00:00"/>
        <d v="1999-07-14T00:00:00"/>
        <d v="1992-11-16T00:00:00"/>
        <d v="1998-03-14T00:00:00"/>
        <d v="1984-01-19T00:00:00"/>
        <d v="2002-06-01T00:00:00"/>
        <d v="1989-10-27T00:00:00"/>
        <d v="2000-06-29T00:00:00"/>
        <d v="1995-06-17T00:00:00"/>
        <d v="2002-05-02T00:00:00"/>
        <d v="1997-10-02T00:00:00"/>
        <d v="1988-09-07T00:00:00"/>
      </sharedItems>
    </cacheField>
    <cacheField name="DUM" numFmtId="0">
      <sharedItems containsBlank="1" containsDate="1" containsMixedTypes="1" count="548">
        <m/>
        <d v="2022-03-19T00:00:00"/>
        <d v="2022-04-23T00:00:00"/>
        <s v="23/07/2022"/>
        <s v="23/07/2023"/>
        <s v="13/05/2022"/>
        <s v="31/05/2022"/>
        <s v="15/07/2022"/>
        <d v="2022-07-15T00:00:00"/>
        <s v="15/07/22"/>
        <s v="desconhecida"/>
        <s v="16/08/2022"/>
        <s v="08/08/2022"/>
        <s v="26/01/2023"/>
        <n v="26012023"/>
        <s v="30/09/2022"/>
        <s v="04/10/2022"/>
        <s v="02/09/2022"/>
        <s v="02/09/2023"/>
        <s v="16/09/2022"/>
        <s v="04/09/2022"/>
        <s v="28/08/2022"/>
        <s v="25/08/2022"/>
        <s v="17/11/22"/>
        <s v="17/03/2023"/>
        <s v="01/02/2023"/>
        <n v="25082022"/>
        <s v="01/05/2023"/>
        <s v="17/11/2022"/>
        <s v="10/04/2023"/>
        <s v="15/03/2023"/>
        <s v="19/10/2022"/>
        <s v=" 07/10/2022"/>
        <s v="19/12/2022"/>
        <s v=" 01/02/2023"/>
        <s v="07/10/2022"/>
        <s v="04/02/2023"/>
        <s v="28/03/2023"/>
        <s v=" 31/10/2022"/>
        <s v="02/08/2022"/>
        <s v="15/11/2022"/>
        <s v="10/01/2023"/>
        <s v="08/02/2023"/>
        <s v="28/12/2022"/>
        <s v="18/12/2022"/>
        <s v="05/09/2022"/>
        <s v="05/10/2022"/>
        <s v="28/01/2023"/>
        <s v="16/02/2023"/>
        <s v="15/11/2023"/>
        <s v="26/12/2022"/>
        <s v="15/02/2023"/>
        <s v="19/02/2023"/>
        <s v="31/10/2022"/>
        <s v="21/01/2023"/>
        <s v="20/04/2023"/>
        <s v="08/09/2022"/>
        <s v="02/04/2023"/>
        <s v="29/10/2022"/>
        <s v="DUM desconhecida"/>
        <s v="06/12/2022"/>
        <s v="27/10/2022"/>
        <s v="02/12/2022"/>
        <s v="30/112022"/>
        <s v="25/02/2023"/>
        <s v="24/09/2022"/>
        <s v="29/102022"/>
        <s v="17/08/2022"/>
        <s v="21/09/2022"/>
        <s v="15/09/2022"/>
        <s v="02/10/2022"/>
        <s v="30/04/2023"/>
        <s v="16/11/2022"/>
        <s v="07/09/2022"/>
        <s v="01/03/2023"/>
        <s v="05/02/2023"/>
        <s v="07/04/2023"/>
        <s v="29/092022"/>
        <s v=" 15/03/2023"/>
        <s v="30/05/2023"/>
        <s v="02/05/2023"/>
        <s v="10/11/2022"/>
        <s v="30/11/2022"/>
        <s v="00"/>
        <s v="18/03/2023"/>
        <s v="06/09/2022"/>
        <s v="13/02/2023"/>
        <s v="25/11/2022"/>
        <s v=" 10/11/2022"/>
        <s v="22/12/22"/>
        <s v="11/11/2022"/>
        <s v="28/12/22"/>
        <s v="22/02/2023"/>
        <s v="02/09/22"/>
        <s v="12/02/2023"/>
        <s v="15/01/2023"/>
        <s v="Desconhecida IG aprox 24 semanas"/>
        <s v="02/092022"/>
        <s v="05/03/23"/>
        <s v="10/09/2022"/>
        <s v="10/10/2022"/>
        <s v="puerpera"/>
        <s v="05/11/2022"/>
        <s v="03/04/2023"/>
        <s v="11/04/2023"/>
        <s v="nao informada"/>
        <s v="27/09/23"/>
        <s v="02/01/2023"/>
        <s v="30/10/2022"/>
        <s v="02052023"/>
        <s v="22/03/2023"/>
        <s v="01/04/2023"/>
        <s v="14/10/2022"/>
        <s v="22/12/2022"/>
        <s v="06/05/2023"/>
        <s v="09/03/2023"/>
        <s v=" 12/09/2022"/>
        <s v="26/03/2023"/>
        <s v="28/11/2022"/>
        <s v="10/03/2023"/>
        <s v="31/12/2022"/>
        <s v="30/01/2023"/>
        <s v="20/09/2022"/>
        <s v="14/01/2023"/>
        <s v="21/09/2022 "/>
        <s v="13/03/2023"/>
        <s v="27/03/2023"/>
        <s v="02/10/2001"/>
        <s v="25/01/2023"/>
        <s v="14/04/2023"/>
        <s v="05/12/2022"/>
        <s v="05/04/2023"/>
        <s v="06/05/23"/>
        <s v="21/01/23"/>
        <s v="desconhece"/>
        <s v="08/10/2022"/>
        <s v="30/10/1984"/>
        <s v="19/01/2023"/>
        <s v="não sabe"/>
        <s v="21/09/22"/>
        <s v="12/12/2022"/>
        <s v=" 27/11/2022"/>
        <d v="2023-01-20T00:00:00"/>
        <s v=" 21/09/2022"/>
        <s v="20/01/2023"/>
        <s v="29/04/2023"/>
        <s v="14/11/2022"/>
        <s v="04/11/2022"/>
        <s v="05/05/23"/>
        <s v="Desconhecida."/>
        <s v="21/05/2023"/>
        <s v="05/05/2023"/>
        <s v="07/12/2022"/>
        <s v="03/01/2023"/>
        <s v="07/12/2023"/>
        <s v="10/112022"/>
        <s v="04/05/2023"/>
        <s v="15/10/2022"/>
        <s v="desconhecida "/>
        <s v="27/11/2022"/>
        <s v="05/08/2019"/>
        <s v="16/04/2023"/>
        <s v="12/10/2022"/>
        <s v="20/12/2022"/>
        <s v="02/02/2023"/>
        <s v="22/05/2023"/>
        <s v="04/11/2023"/>
        <s v="18/02/2023"/>
        <s v="30/03/2023"/>
        <s v=" 06/05/2023"/>
        <s v="26/05/2023"/>
        <s v="18/05/2023"/>
        <s v="28/10/2022"/>
        <s v=" desconhecida"/>
        <s v="23/10/2022"/>
        <s v="25/12/2022"/>
        <s v="22/04/2023"/>
        <s v="27/06/2023"/>
        <d v="2022-11-23T00:00:00"/>
        <s v="07/03/2023"/>
        <s v="23/11/2022"/>
        <s v=" 01/03/23"/>
        <s v="13/02/22"/>
        <s v="03/11/2022"/>
        <s v="10/12/2022"/>
        <s v=" 10/01/2023"/>
        <s v="02/04/2023 "/>
        <s v="11/12/2022"/>
        <s v="13/07/2023"/>
        <s v="14/12/2022"/>
        <s v="18/11/2022"/>
        <s v="19/04/2023"/>
        <s v="13/01/2023"/>
        <s v="21/02/2023"/>
        <s v="02/03/2023"/>
        <s v="20/03/2023"/>
        <s v="não se aplica"/>
        <s v=" 13/01/2023"/>
        <s v="05/03/2023"/>
        <s v="13/06/2023"/>
        <s v="16/05/2023"/>
        <s v="14/07/23"/>
        <s v="19/06/2023"/>
        <s v="14/06/2023"/>
        <s v=" 08/05/2023"/>
        <s v="25/03/2023"/>
        <s v="08/05/2023"/>
        <s v="08/11/2022"/>
        <s v="23/06/2023"/>
        <s v=" 23/06/23"/>
        <s v="05/07/2023"/>
        <s v="31/01/2023"/>
        <s v="28/05/2023"/>
        <s v=" 12/02/2023"/>
        <s v="02/02/23"/>
        <s v="09/01/2023"/>
        <s v="12/07/2023"/>
        <s v="07/02/2023"/>
        <s v="26/06/2023"/>
        <s v="10/06/2023"/>
        <s v="14/03/2023"/>
        <s v="24/11/2022"/>
        <s v="25/04/2023"/>
        <s v=" 10/03/2023"/>
        <s v="15/12/2022"/>
        <s v=" 28/11/2022"/>
        <s v=" 15/12/2022"/>
        <s v="03/06/2023"/>
        <s v="15/012023"/>
        <s v="27/12/2022"/>
        <s v=" 23/12/22"/>
        <s v="28/02/2023"/>
        <s v="08/04/2023"/>
        <s v="14/012023"/>
        <s v=" 04/02/2023"/>
        <s v="19/05/2023"/>
        <s v="05/08/2023"/>
        <s v="18/02/23"/>
        <s v="06/07/2023"/>
        <s v="16/01/2023"/>
        <s v="19/02/23"/>
        <s v="18/08/2023"/>
        <s v="10/07/2023"/>
        <s v="16/08/2023"/>
        <s v="30/07/2023"/>
        <s v="15/04/2023"/>
        <s v="29/12/2023"/>
        <s v="29/12/22022"/>
        <s v="15/042023"/>
        <s v="24/08/2023"/>
        <s v="29/12/2022"/>
        <s v="01/01/2023"/>
        <s v=" 19/07/2023"/>
        <s v="26/12/22"/>
        <s v="21/07/2023"/>
        <s v="20/07/2023"/>
        <s v=" 06/01/2023"/>
        <s v="20/06/2023"/>
        <s v="06/01/2002"/>
        <s v=" 14/02/2023"/>
        <s v="25/07/2023"/>
        <s v="20/02/2023"/>
        <s v="05/01/2023"/>
        <s v="06/03/2023"/>
        <s v=" 08/06/2023"/>
        <s v=" 30/01/2023"/>
        <s v="09/04/2023"/>
        <s v="08/03/2023"/>
        <s v="Incerta"/>
        <s v="28/08/2023"/>
        <s v=" 10/02/2023"/>
        <s v="irregular "/>
        <s v="04/09/1987"/>
        <s v="09/02/2023"/>
        <s v=" 21/02/2023"/>
        <s v="02/06/2023"/>
        <s v="17/01/2023"/>
        <s v="28/02/23"/>
        <s v="irregular"/>
        <s v="08/07/2023"/>
        <s v="30/08/2023"/>
        <s v="25/06/2023"/>
        <s v="22/01/2023"/>
        <s v="14/09/2023"/>
        <s v="07/02/3023"/>
        <s v="12/01/2023"/>
        <s v=" 09/07/2023"/>
        <s v="12/06/2023"/>
        <s v="13/09/2023"/>
        <s v="01/06/2023"/>
        <s v=" 24/12/2022"/>
        <s v="05/10/2023"/>
        <s v="04/07/2023"/>
        <s v="13/11/2023"/>
        <s v="15/07/2023"/>
        <s v="10/06/1991"/>
        <s v="26/08/2023"/>
        <s v="27/02/2023"/>
        <s v="15/09/2023"/>
        <s v="20/09/2023"/>
        <s v=" 09/02/2023"/>
        <d v="2023-02-15T00:00:00"/>
        <s v="06/08/2023"/>
        <s v="16/07/2023"/>
        <d v="2023-02-04T00:00:00"/>
        <s v="15/04/1999"/>
        <s v="12/05/1992"/>
        <s v="23/04/2023"/>
        <s v="30/09/2023"/>
        <s v="12/05/2023"/>
        <s v="21/04/2023"/>
        <s v=" 08/07/2023"/>
        <s v="17/06/2023"/>
        <s v=" 07/03/2023"/>
        <s v="13/03/20223"/>
        <s v="14/05/2023"/>
        <s v="04/10/2023"/>
        <s v="10/08//2023"/>
        <s v="10/08/2023"/>
        <s v="25/10/2023"/>
        <s v=" 24/07/2023"/>
        <s v=" 15/08/2023"/>
        <s v="01/07/2023"/>
        <s v="15/10/2023"/>
        <s v="24/07/2023"/>
        <s v="10/05/2023"/>
        <s v="08/06/2023"/>
        <s v="17/09/2023"/>
        <s v="13/04/2023"/>
        <s v="10/06/1996"/>
        <s v="24/09/2023"/>
        <s v="06/03/23"/>
        <s v=" 21/04/2023"/>
        <s v="24/03/2023"/>
        <s v="04/03/2023"/>
        <s v="20/10/2023"/>
        <s v="11/10/2023"/>
        <s v="21/04/23"/>
        <s v="13/10/2023"/>
        <s v="03/10/2023"/>
        <s v="06/09/2023"/>
        <s v="22/09/2023"/>
        <s v=" 18/10/2023"/>
        <s v="26/07/2023"/>
        <s v="08/06/2003"/>
        <s v="23/09/2023"/>
        <s v=" 19/05/2023"/>
        <s v=" 26/07/2023"/>
        <d v="2023-09-29T00:00:00"/>
        <s v="21/10/2023"/>
        <s v="29/03/2023"/>
        <s v="29/09/2023"/>
        <s v="29/08/2023"/>
        <s v="28/09/2023"/>
        <s v=" 29/03/2023"/>
        <s v=" 29/09/2023"/>
        <s v="01/11/2023"/>
        <s v="02/08/2023"/>
        <s v="05/06/2023"/>
        <s v="08/09/2023"/>
        <s v="10/11/2023"/>
        <s v="06/05/24"/>
        <s v="18/04/2023"/>
        <s v=" 16/04/23"/>
        <s v="02/10/23"/>
        <s v=" 13/09/2023"/>
        <s v="NAO SABE"/>
        <s v="24/05/2023"/>
        <s v=" 18/04/2023"/>
        <s v="11/12/2023"/>
        <s v="23/12/2023"/>
        <s v="07/11/2023"/>
        <s v="08/052023"/>
        <s v="25/05/2023"/>
        <s v="24/06/2023"/>
        <s v="31/10/2023"/>
        <s v="26/05/23"/>
        <s v=" 19/04/2023"/>
        <s v="03/11/2023"/>
        <s v="11/11/2023"/>
        <s v="28/12/2023"/>
        <s v="05/11/2023"/>
        <s v="15/10/2024"/>
        <s v=" 07/11/2023"/>
        <s v="nao se aplica"/>
        <s v="26/10/23"/>
        <s v=" 28/12/2023"/>
        <s v=" 01/10/2023"/>
        <s v="15/08/2023"/>
        <s v="17/10/2023"/>
        <s v="16/11/2023"/>
        <d v="2023-07-26T00:00:00"/>
        <s v="26/07/23"/>
        <s v="19/12/2023"/>
        <s v="26/08/23"/>
        <s v="09/08/2023"/>
        <s v="19/07/2023"/>
        <s v="27/12/2023"/>
        <s v="04/06/2023"/>
        <s v="09/12/2023"/>
        <s v="29/04/2004"/>
        <s v="27/08/2023"/>
        <s v="09/12/2024"/>
        <s v="22/06/2023"/>
        <s v="20/05/2023"/>
        <s v="01/10/2023"/>
        <s v="30/11/2023"/>
        <s v="18/01/24"/>
        <s v="16/06/2023"/>
        <s v="06/01/2024"/>
        <s v="30/10/2023"/>
        <d v="2023-08-24T00:00:00"/>
        <s v="18/10/2023"/>
        <s v=" 22/05/2023"/>
        <s v="04/09/2023"/>
        <s v="11/06/2023"/>
        <s v="26/11/2023"/>
        <s v="26/10/2023"/>
        <s v="28/07/2023"/>
        <s v="13/12/2023"/>
        <s v=" 18/06/2023"/>
        <s v="2607/2023"/>
        <s v="16/09/2023"/>
        <s v="NÃO SE APLICA"/>
        <s v="04/01/2024"/>
        <s v="03/07/2023"/>
        <s v="17/12/2023"/>
        <s v="19.11.23"/>
        <s v="19/11/2023"/>
        <s v="09/02/2024"/>
        <s v="14/12/2023"/>
        <s v="10/01/2024"/>
        <s v="29/07/2023"/>
        <s v="26/07/1997"/>
        <s v="17/11/2023"/>
        <d v="2023-11-09T00:00:00"/>
        <s v="05/09/2023"/>
        <s v="22/08/2023"/>
        <s v="28/06/2023"/>
        <s v="15/06/2023"/>
        <d v="2023-08-08T00:00:00"/>
        <d v="2024-01-14T00:00:00"/>
        <d v="2024-01-19T00:00:00"/>
        <d v="2023-08-05T00:00:00"/>
        <d v="2023-09-24T00:00:00"/>
        <d v="2023-08-09T00:00:00"/>
        <d v="2023-09-09T00:00:00"/>
        <d v="2023-07-19T00:00:00"/>
        <d v="2023-06-27T00:00:00"/>
        <d v="2024-01-25T00:00:00"/>
        <d v="1999-08-08T00:00:00"/>
        <d v="2023-06-28T00:00:00"/>
        <d v="2023-10-07T00:00:00"/>
        <d v="2023-10-20T00:00:00"/>
        <d v="2023-06-25T00:00:00"/>
        <d v="2023-09-25T00:00:00"/>
        <d v="2024-02-10T00:00:00"/>
        <d v="2023-11-05T00:00:00"/>
        <d v="2023-10-31T00:00:00"/>
        <d v="2024-01-30T00:00:00"/>
        <d v="2023-10-03T00:00:00"/>
        <d v="2023-08-28T00:00:00"/>
        <d v="2023-07-30T00:00:00"/>
        <d v="2023-07-08T00:00:00"/>
        <d v="2024-02-16T00:00:00"/>
        <d v="2023-07-20T00:00:00"/>
        <d v="2023-11-24T00:00:00"/>
        <d v="2023-07-31T00:00:00"/>
        <d v="2023-08-11T00:00:00"/>
        <d v="2023-08-10T00:00:00"/>
        <d v="2023-11-26T00:00:00"/>
        <d v="2024-02-22T00:00:00"/>
        <d v="2023-12-05T00:00:00"/>
        <d v="2023-11-16T00:00:00"/>
        <d v="2023-09-30T00:00:00"/>
        <d v="2024-01-18T00:00:00"/>
        <d v="2023-12-27T00:00:00"/>
        <d v="2023-10-22T00:00:00"/>
        <d v="2023-09-21T00:00:00"/>
        <d v="2024-03-05T00:00:00"/>
        <d v="2023-12-28T00:00:00"/>
        <d v="2024-03-09T00:00:00"/>
        <d v="2023-09-27T00:00:00"/>
        <d v="2024-02-24T00:00:00"/>
        <d v="2024-01-10T00:00:00"/>
        <d v="2023-07-16T00:00:00"/>
        <d v="2024-01-02T00:00:00"/>
        <d v="2000-08-15T00:00:00"/>
        <d v="2024-01-09T00:00:00"/>
        <d v="2024-02-12T00:00:00"/>
        <d v="2023-11-30T00:00:00"/>
        <d v="2023-12-07T00:00:00"/>
        <d v="2023-11-01T00:00:00"/>
        <d v="2024-03-18T00:00:00"/>
        <d v="2024-01-22T00:00:00"/>
        <d v="2023-08-04T00:00:00"/>
        <d v="2023-11-17T00:00:00"/>
        <d v="2023-09-06T00:00:00"/>
        <d v="2023-08-15T00:00:00"/>
        <d v="2023-09-15T00:00:00"/>
        <d v="2023-08-31T00:00:00"/>
        <d v="2023-09-08T00:00:00"/>
        <d v="2024-03-13T00:00:00"/>
        <s v=" 13/03/2024"/>
        <s v="12/01/2024"/>
        <s v="27/09/2023"/>
        <s v="05/12/2023"/>
        <s v="25/01/2024"/>
        <s v="20/03/2024"/>
        <s v="24/11/2024"/>
        <s v="21/09/2023"/>
        <s v="28/082023"/>
        <s v="10/012/2023"/>
        <s v="24/11/2023"/>
        <s v="18/11/2023"/>
        <s v="18/03/2024"/>
        <s v="22/02/2024"/>
        <s v="10/12/2023"/>
        <s v="31/08/2024"/>
        <s v="22/01/2024"/>
        <s v="18/09/2023"/>
        <s v=" 17/01/2024"/>
        <s v="01/09/2023"/>
        <s v="17/01/2024"/>
        <s v="23/03/2024"/>
        <s v="09/11/2023"/>
        <s v="12/08/2023"/>
        <s v="25/09/2023"/>
        <s v="21/08/2024"/>
        <s v="03/11/2024"/>
        <s v="27/02/2024"/>
        <s v="13/03/2024"/>
        <s v="25/02/2024"/>
        <s v="10/03/2024"/>
        <s v="27/01/2024"/>
        <s v="16/10/2023"/>
        <s v="19/10/2023"/>
        <s v="03/2/08/2023"/>
        <s v="26/04/2024"/>
        <s v="05/10/2024"/>
        <s v="15/03/2024"/>
        <s v="01/01/2024"/>
        <s v="03/09/2023"/>
        <s v="17/08/2023"/>
        <s v="28/08/2024"/>
        <s v="07/03/2024"/>
        <s v="24/03/2024"/>
        <s v="28/11/2023"/>
      </sharedItems>
    </cacheField>
    <cacheField name="Fase do ciclo gravídico" numFmtId="0">
      <sharedItems containsBlank="1" count="13">
        <m/>
        <s v="Pré-natal"/>
        <s v="Trabalho de parto"/>
        <s v="Vinculação a maternidade"/>
        <s v="Inibição da lactação e laqueadura"/>
        <s v="gravidez não confirmada"/>
        <s v="Puerpério"/>
        <s v="Sangramento vaginal pós aborto"/>
        <s v="Aborto"/>
        <s v="Gestação a confirmar "/>
        <s v="Suspeita de gravidez"/>
        <s v="Sangramento vaginal A/E"/>
        <s v="Irregularidade menstrual"/>
      </sharedItems>
    </cacheField>
    <cacheField name="Qual das situações abaixo foi a motivo da procura da gestante " numFmtId="0">
      <sharedItems containsBlank="1" count="311">
        <m/>
        <s v="Pressão alta"/>
        <s v="Cefaléia"/>
        <s v="Corrimento vaginal"/>
        <s v="Alteração de movimentos fetais"/>
        <s v="Sintomas gripais, cefaleia, dor em BV"/>
        <s v="Síndrome gripal (odinofagia, dispneia, febre, mialgia)"/>
        <s v="Síndrome gripal, odinofagia"/>
        <s v="Diarreia"/>
        <s v="Sangramento"/>
        <s v="sintomas gripais ( tosse, coriza, cefaleia)"/>
        <s v="SINTOMAS GRIPAIS "/>
        <s v="SINTOMAS GRIPAIS"/>
        <s v="colicas"/>
        <s v="Dúvida sobre o trabalho de parto"/>
        <s v="Dor pélvica"/>
        <s v="Apresentação córmica/transversa"/>
        <s v="Dúvida sobre via de parto"/>
        <s v="beta HCG reagente "/>
        <s v=" Não tenho sintomas, mas estou com 40 semanas ou mais"/>
        <s v="Eliminação de vermes pelas fezes + sangramento anal espontâneo"/>
        <s v="betaHCG reagente"/>
        <s v="Queixas urinárias"/>
        <s v="Prurido anal, verminose"/>
        <s v="Falta de ar"/>
        <s v="síndrome gripal "/>
        <s v="Dores tipo cólica e contrações."/>
        <s v="Perda de líquido"/>
        <s v="duvidas sobre quando ir para maternidade e sobre continuidade do pré natal"/>
        <s v="cólica"/>
        <s v="Dor de gengiva/ inflamação de gengiva"/>
        <s v="Náuseas e ou vômitos"/>
        <s v="Contrações indolores"/>
        <s v="Síndrome gripal"/>
        <s v="Dor/ inflamação na gengiva"/>
        <s v="Dúvida acerca da USG morfológica"/>
        <s v="Exames laboratoriais alterados: Glicemia; TR/VDRL; Urocultura; Hb; outros)"/>
        <s v="hemorragia ocular"/>
        <s v="Dor tipo cólica e contração na noite passada."/>
        <s v="lesão única na  parte interna da coxa"/>
        <s v="Sufusão hemorrágica em conjuntiva ocular."/>
        <s v="tipagem sanguinea (B-)"/>
        <s v="Gestação prolangada"/>
        <s v="Contrações dolorosas com IG: 35s3d"/>
        <s v="Contrações"/>
        <s v="reação adversa a vacina"/>
        <s v="DESCOBERTA DE GESTAÇÃO INICIAL/ABORTO ANTERIOR"/>
        <s v="Dúvidas relacionadas a gravidez."/>
        <s v="fibroma mole"/>
        <s v="duvidas sobre quando ir para maternidade"/>
        <s v="USG"/>
        <s v="palpitação "/>
        <s v="Contrações de pródromos"/>
        <s v=" ITU + leucorreia, com queixa nova de vomito + diarreia."/>
        <s v="Dores tipo cólica com contrações"/>
        <s v="Dúvidas quanto a USG obstétrica"/>
        <s v="Tosse produtiva"/>
        <s v="Lombalgia"/>
        <s v="Paciente muito ansiosa por medo de perda gestacional"/>
        <s v="Dores em BV + contrações"/>
        <s v="Herpes labial"/>
        <s v="dor em flanco direito - estenose de JUP."/>
        <s v="Contraçoes"/>
        <s v="Epigastralgia "/>
        <s v="Mal estar / desmaio  / hipotensão"/>
        <s v="dor abdominal / epigástrica "/>
        <s v="Reação alérgica à Cefalexina"/>
        <s v="Dor tipo cólica + contrações + sangramento tipo borra"/>
        <s v="Medo de perda gestacional"/>
        <s v="Cefaléia + dor epigástrica"/>
        <s v="Tontura vertigem"/>
        <s v="Epigastralgia"/>
        <s v="Otalgia"/>
        <s v="Sem queixas - Duvidas sobre IG"/>
        <s v="Ansiedade - dúvidas sobre local do PN"/>
        <s v="USG: placenta grau III, feto grande para IG"/>
        <s v="troca de medicamento prescrito para otite (usuária não encontra medicamento para compra)"/>
        <s v="Dor pélvica + sangramento em raio de sangue (1 episódio)"/>
        <s v=" Crise de ansiedade"/>
        <s v="Dor lombar"/>
        <s v="Crise de ansiedade"/>
        <s v="Medica entrou em contato. Quadro de vomitos"/>
        <s v="Dúvida sobre componentes de produto capilar"/>
        <s v="Perda de tampão mucoso e contrações de treinamento"/>
        <s v="Hemorroida "/>
        <s v="Prurido intenso nos pés"/>
        <s v="Dúvida sobre alimentação"/>
        <s v="CONTRAÇÕES"/>
        <s v="Palpitaçao"/>
        <s v="Queda da própria altura"/>
        <s v="queda da própria altura "/>
        <s v="Lesões na pele"/>
        <s v="Não consegue marcar pré natal"/>
        <s v="monitoramento"/>
        <s v="rinite alérgica"/>
        <s v="Dor em BV + vontade de evacuar + sensação de peso na vagina"/>
        <s v="constipação + dor BV"/>
        <s v="dor abd ( regiao umbilical ),+ hiperemia de vulva "/>
        <s v="Dor e edema MIE"/>
        <s v="Dúvida quanto aos sinais do TP"/>
        <s v="Dúvidas sobre LT intraparto e parto humanizado."/>
        <s v="dor ao respirar + dificuldade para respirar"/>
        <s v="Dúvidas com resultado de USG obstétrica."/>
        <s v="Alteração dos níveis de glicemia capilar - HGT."/>
        <s v="prurido intenso no corpo"/>
        <s v="Orientações quanto ao momento para se apresentar à maternidade."/>
        <s v="Cefaleia + náuseas e vômitos"/>
        <s v="cefaleia + nauseas e vomitos"/>
        <s v="Dúvidas quanto ao momento de procurar a maternidade para o parto."/>
        <s v="Dor em BV / abdominal "/>
        <s v="dúvidas USG "/>
        <s v="Dúvida quanto ao resultado da USG obstétrica."/>
        <s v="Desconfortos referentes ao terceiro trimestre."/>
        <s v="Aumento de umidade do canal vaginal."/>
        <s v="Discreto sangramento + diminuição dos movimentos fetais."/>
        <s v="Desconforto pélvico relacionado ao 3º trimestre gestacional."/>
        <s v="duvida na IG "/>
        <s v="Tosse"/>
        <s v="Epigastralgia, azia/queimação"/>
        <s v="contração de treinamento"/>
        <s v="dor de dente"/>
        <s v="Dúvida sobre quando deveria ir à maternidade"/>
        <s v="enjoo"/>
        <s v="Sonolência"/>
        <s v="Dúvida sobre onde iniciar o PN"/>
        <s v="Agendamento de PN"/>
        <s v="Hemorroida"/>
        <s v="Dúvida sobre USG"/>
        <s v="perfil glicêmico alterado "/>
        <s v="azia e refluxo"/>
        <s v="cefaléia + turvação visual"/>
        <s v="Orientações quanto ao momento do parto."/>
        <s v="Contrações e pirose"/>
        <s v="Dor genital"/>
        <s v="Dúvida sobre via de parto (iterativa 2) e laqueadura intraparto"/>
        <s v="Dúvidas quanto aos resultados dos exames solicitados na 1ª consulta."/>
        <s v="cólicas"/>
        <s v="Cansaço físico/indisposição/náusea"/>
        <s v="Febre / Sinais de infecção"/>
        <s v="DIARREIA + MAL ESTAR"/>
        <s v="Acne"/>
        <s v="Desconforto na vagina"/>
        <s v="Mostrar exames e tirar dúvidas sobre o final da gestação"/>
        <s v="Queixas relacionadas a saúde mental"/>
        <s v="CONTRAÇÃO ? + EPIGASTRALGIA"/>
        <s v="Dor aguda em joelho direito."/>
        <s v="gestação confirmada "/>
        <s v="Máculas acastanhadas em mãos, pés e barriga"/>
        <s v="Dúvidas quanto aos sinais de alerta em crise de asma na gestação."/>
        <s v="Dúvidas quanto ao resultado da USG."/>
        <s v="Dúvidas quanto ao trabalho de parto."/>
        <s v="Assintomática // Chegou na DPP"/>
        <s v="Diarreia leve"/>
        <s v="Dúvida sobre uso de cosmético"/>
        <s v="Assintomática. Esta na DPP"/>
        <s v="Contrações de Braxton Hicks"/>
        <s v="Choque elétrico"/>
        <s v="Confirmação de acesso"/>
        <s v="duvida sobre horario da dexametasona"/>
        <s v="Dúvida sobre cosmético"/>
        <s v="Diarreia durante o tratamento para ITU"/>
        <s v="Odontalgia"/>
        <s v="Pápula eritematosa e pruriginosa no abdome"/>
        <s v="Sangramento e cólicas em baixo ventre"/>
        <s v="Via de parto"/>
        <s v="Laqueadura Tubária"/>
        <s v="Dor abdominal + diarreia com sangue"/>
        <s v="Dúvida sobre quando ir à maternidade"/>
        <s v="Chegou na DPP"/>
        <s v="Duvidas sobre quando ir a maternidade 40sem 3 dias"/>
        <s v="Iniciar o pré-natal na APS"/>
        <s v="Covid-19"/>
        <s v="Covid 19"/>
        <s v="Dúvidas quanto a Idade gestacional."/>
        <s v="Pirose"/>
        <s v="Documentação para clexane"/>
        <s v="Dor lombar e MID"/>
        <s v="Inicio do PN"/>
        <s v="Azia e queimação."/>
        <s v="Picada de inseto em MMII"/>
        <s v="Orientações quanto ao momento do parto"/>
        <s v="Diarreia + dor epigastrica + nausea"/>
        <s v="DOR EM PERNA DIREITA"/>
        <s v="Duvida sobre onde marcar ecocardio"/>
        <s v="dor em MID"/>
        <s v="lesão cutânea com prurido"/>
        <s v="Alteração em exame de  USG"/>
        <s v="Lesão em mamilo"/>
        <s v="contrações braxton hicks"/>
        <s v="Desconforto pélvico no 3º trimestre"/>
        <s v="pre natal "/>
        <s v="colicas, gestação nao confirmada "/>
        <s v="suspeita de gestação  "/>
        <s v="Perda de tampão mucoso"/>
        <s v="Perda de tampão mucoso."/>
        <s v="Dúvidas sobre exames e suplementação vitamínica"/>
        <s v="Dúvidas quanto aos sinais de trabalho de parto e parto."/>
        <s v="Desconforto abdominal e secreção vaginal"/>
        <s v="Lombalgia e dor em MMII"/>
        <s v="Prurido"/>
        <s v="Cálculo de idade gestacional"/>
        <s v="Hiperglicemia capilar"/>
        <s v="40s (sic) pela usg 38s2d"/>
        <s v="cefaleia"/>
        <s v="dor no gluteo"/>
        <s v="Duvida sobre quando internar"/>
        <s v="Cefaleia, náuseas e vômitos."/>
        <s v="Medo de complicações por ter engravidado utilizando DIU"/>
        <s v="Náuseas e ou vômitos, cafaleia"/>
        <s v="dor/desconforto gástrico"/>
        <s v="Cólicas e sangramento transvaginal"/>
        <s v="Adontalgia"/>
        <s v="Cólicas e sangramento vaginal"/>
        <s v="constipação"/>
        <s v="Atestado médico"/>
        <s v="duvidas porque perdeu tampao mucoso e nao teve PN "/>
        <s v="Artralgia e mialgia"/>
        <s v="Trabalho de parto"/>
        <s v="GECA "/>
        <s v="Dúvida sobre medicação"/>
        <s v="Odontologia"/>
        <s v="GECA"/>
        <s v="TAMPAO MUCOSO"/>
        <s v="Herpes genital"/>
        <s v="Reagendamento de consulta"/>
        <s v="Rash na barriga"/>
        <s v="duvidas sobre espera do TP"/>
        <s v="cervicalgia "/>
        <s v="Dúvidas quanto ao tempo de gestação e parto, secreção vaginal"/>
        <s v="Dúvida sobre quando deve ir à maternidade"/>
        <s v="Dor muscular"/>
        <s v="Prurido em MMII"/>
        <s v="ARBOVIROSE "/>
        <s v="ARBOVIROSE"/>
        <s v="Varicela"/>
        <s v="Dengue/Arbovirose"/>
        <s v="prurido e lesões no corpo"/>
        <s v="Apresentação pélvica"/>
        <s v="dor em dente"/>
        <s v="Prurido e manchas em pele."/>
        <s v="Dor lombar com irradiação para MMII"/>
        <s v="Planejamento familiar - laqueadura tubária"/>
        <s v="Dúvidas USG"/>
        <s v="Náuseas, Vômitos e Diarreia"/>
        <s v="Corticoterapia para gemelar"/>
        <s v="Lesão de pele"/>
        <s v="Solicitação de reagendamento do PNAR"/>
        <s v="Dúvidas sobre DMG"/>
        <s v="dor na panturrilha"/>
        <s v="Contrações de treinamento"/>
        <s v="Dor precordial"/>
        <s v="duvidas sobre pos datismo"/>
        <s v="Dor em MIE"/>
        <s v="Dúvida sobre idade gestacional"/>
        <s v="Dúvida sobre o diagnóstico de DMG"/>
        <s v="Desejo de iniciar licença maternidade"/>
        <s v="Dúvida sobre DPP e trabalho de parto"/>
        <s v="contrações "/>
        <s v="Efeito adverso à vacinas."/>
        <s v="Perda de líquido e sintomas gripais"/>
        <s v="Perda de líquido / Sintomas Gripais"/>
        <s v="IG avançada sem sinais de TP"/>
        <s v="IG avançada"/>
        <s v="Gravidez indesejada + desejo por abortamento + náuseas"/>
        <s v="contrações uterinas"/>
        <s v="Desconforto abdominal/Gases"/>
        <s v="Nódulos mamários"/>
        <s v="USG risco de pré-eclampsia"/>
        <s v="Suspeita de dengue"/>
        <s v="Diarréia + nauseas"/>
        <s v="estou com 40 semanas"/>
        <s v="Virose com quadro intestinal"/>
        <s v="Odontalgia + cefaléia + otalgia"/>
        <s v="tosse seca"/>
        <s v="Dor abdominal difusa"/>
        <s v="Discreto ardor vulvar."/>
        <s v="ITU + dúvidas quanto ao resultado de exames laboratoriais"/>
        <s v="Dúvida sobre produtos para cabelo"/>
        <s v="Gestação prolongada + HASC "/>
        <s v="Dor no abdome"/>
        <s v="Acesso à consulta de PN"/>
        <s v="Dúvidas sobre trabalho de parto"/>
        <s v="HASC + IG avançada"/>
        <s v="duvida sobre via de parto"/>
        <s v="Sono excessivo"/>
        <s v="Dor muscular em região inframamária esquerda"/>
        <s v="Dor pélvica e secreção vaginal"/>
        <s v="Pressão na pelve"/>
        <s v="Dor pélvica + secreção vaginal"/>
        <s v="cólicas gastrointestinais "/>
        <s v="Dor em flanco direito "/>
        <s v="Perda de tampão mucoso/ cerclagem"/>
        <s v="Solicitação de mediação para agendamento PNAR."/>
        <s v="Sem acompanhamento pré natal"/>
        <s v="Contações"/>
        <s v="sem acompanhamento de pré-natal"/>
        <s v="dor em flanco direito"/>
        <s v="duvidas quanto ao trabalho de parto (40s)"/>
        <s v="tampão mucoso"/>
        <s v="edema no local da injeção (benzetacil)"/>
        <s v="Ansiedade sobre momento do parto/ internamento"/>
        <s v="Solicitação de mediação PNAR / perda de líquido"/>
        <s v="Foliculite"/>
        <s v="Foliculite?"/>
        <s v="Sintomas respiratórios"/>
        <s v="Desconforto pélvico e lombar"/>
        <s v="Diarréia "/>
        <s v="USG alterada 8s4d sem AC"/>
        <s v="Pródromos de trabalho de parto"/>
        <s v="QUANDO PROCURAR A MATERNIDADE  (GUTT+ DMG)"/>
        <s v="Dúvida de quando ir para maternidade"/>
      </sharedItems>
    </cacheField>
    <cacheField name="Qual o motivo da consulta " numFmtId="0">
      <sharedItems containsBlank="1" count="15">
        <m/>
        <s v="Falso trabalho de parto/ Contraçao de treinamento"/>
        <s v="Trabalho de parto com pródromos"/>
        <s v="Dúvida acerca de quando deveria ir à maternidade"/>
        <s v="BR?"/>
        <s v="Trabalho de parto fase ativa"/>
        <s v="Trabalho de parto prematuro"/>
        <s v="41 simanas "/>
        <s v="41semanas"/>
        <s v="Contração "/>
        <s v="Pós-datismo"/>
        <s v="Contrações de Braxton Hicks "/>
        <s v="Contrações de Braxton Hicks"/>
        <s v="Indução de tp por idade gestacional"/>
        <s v="prodromos"/>
      </sharedItems>
    </cacheField>
    <cacheField name="Qual o motivo da procura pelo atende gestante? " numFmtId="0">
      <sharedItems containsBlank="1" count="35">
        <m/>
        <s v="Consulta puerperal"/>
        <s v="sindrome gripal"/>
        <s v="Secreção em ferida operatória"/>
        <s v="Cuidados/ retirada de pontos"/>
        <s v="Drenagem de secreção seropurulenta em FO"/>
        <s v="Infecção de FO"/>
        <s v="Planejamento Familiar/Cuidados pós aborto"/>
        <s v="corrimento vaginal"/>
        <s v="Doença hemorroidária no puerpério."/>
        <s v="Queixas relacionadas à amamentação"/>
        <s v="Hemorroida "/>
        <s v="cefaleia"/>
        <s v="FO com secreção serosanguinolenta"/>
        <s v="Rafia de laceração com ardência e prurido"/>
        <s v="Exsudato em FO"/>
        <s v="secreção em FO"/>
        <s v="Dor em região sacral."/>
        <s v="Dificuldade na aceitação da perda gestacional."/>
        <s v="Exames no puerpério: HAS/DHEG, DMG/DM"/>
        <s v="Sangramento vaginal persistente após um aborto espontâneo"/>
        <s v="Cuidados com a(o) bebê"/>
        <s v="Sintomas gripais"/>
        <s v="Dúvidas quanto ao seu estado de saúde."/>
        <s v="dor epigastrica"/>
        <s v="Desconforto abdominal"/>
        <s v="Dispneia, disúria"/>
        <s v="corrimento vaginal mais sangramento discreto"/>
        <s v="dor em região de FO + disúria + tristeza puerperal (sugestivo de baby blues)+ dúvidas sobre os lóquios"/>
        <s v="Dor na F.O"/>
        <s v="Cefaleia + PA = 140 x 100"/>
        <s v="cefaleia + HAS"/>
        <s v="Dor e distensão abdominal"/>
        <s v="Desconforto abdominal "/>
        <s v="dor em MMII"/>
      </sharedItems>
    </cacheField>
    <cacheField name="Tipo de atendimento realizado" numFmtId="0">
      <sharedItems containsBlank="1" count="4">
        <m/>
        <s v="Teleconsulta"/>
        <s v="Teletriagem"/>
        <s v="Telemonitoramento"/>
      </sharedItems>
    </cacheField>
    <cacheField name="Neste momento, foi necessário converter para o atendimento presencial?" numFmtId="0">
      <sharedItems containsBlank="1" count="8">
        <m/>
        <s v="NÃO"/>
        <s v="SIM: Urgência/ emergência"/>
        <s v="SIM: Inadequação do ambiente virtual (ampliação do exame físico/ anamnese)"/>
        <s v="NÃO: Já está na maternidade"/>
        <s v="NÃO: Já está na USF"/>
        <s v="SIM: Problemas de identificação"/>
        <s v="SIM: Dificuldades técnicas e/ou de comunicação"/>
      </sharedItems>
    </cacheField>
    <cacheField name="Foi necessário encaminhamento para outro serviço?" numFmtId="0">
      <sharedItems containsBlank="1" count="6">
        <m/>
        <s v="NÃO"/>
        <s v="SIM, para Atenção Primária em Saúde"/>
        <s v="SIM, para Maternidade"/>
        <s v="SIM, situação não relacionada ao período gravídico-puerperal"/>
        <s v="SIM, para o SAMU"/>
      </sharedItems>
    </cacheField>
    <cacheField name="A condição gerou oferta de teleinterconsulta?" numFmtId="0">
      <sharedItems containsBlank="1" count="4">
        <m/>
        <s v="SIM"/>
        <s v="NÃO"/>
        <s v=" "/>
      </sharedItems>
    </cacheField>
    <cacheField name="Gestante já vinculada à APS?" numFmtId="0">
      <sharedItems containsBlank="1" count="3">
        <m/>
        <s v="SIM"/>
        <s v="NÃO"/>
      </sharedItems>
    </cacheField>
    <cacheField name="Gestante já vinculada à maternidade?" numFmtId="0">
      <sharedItems containsBlank="1" count="4">
        <m/>
        <s v="NÃO"/>
        <s v="SIM"/>
        <s v="Não questionado"/>
      </sharedItems>
    </cacheField>
    <cacheField name="Encaminhado para outro profissional do Telessaúde?" numFmtId="0">
      <sharedItems containsBlank="1" count="6">
        <m/>
        <s v="NÃO"/>
        <s v="SIM"/>
        <s v="SIM, Médica ou Enfermeira"/>
        <s v="SIM, Nutricionista"/>
        <s v="SIM, Apoio Emocional"/>
      </sharedItems>
    </cacheField>
    <cacheField name="Realizar telemonitoramento?" numFmtId="0">
      <sharedItems containsBlank="1" count="3">
        <m/>
        <s v="SIM"/>
        <s v="NÃO"/>
      </sharedItems>
    </cacheField>
    <cacheField name="Qual a data para realizar o telemonitoramento?" numFmtId="0">
      <sharedItems containsString="0" containsBlank="1" containsNonDate="0" containsDate="1" minDate="2022-06-27T00:00:00" maxDate="2024-06-07T00:00:00" count="362">
        <m/>
        <d v="2022-11-10T00:00:00"/>
        <d v="2022-12-01T00:00:00"/>
        <d v="2022-12-15T00:00:00"/>
        <d v="2023-01-02T00:00:00"/>
        <d v="2023-01-03T00:00:00"/>
        <d v="2023-01-11T00:00:00"/>
        <d v="2023-01-16T00:00:00"/>
        <d v="2023-01-25T00:00:00"/>
        <d v="2023-01-26T00:00:00"/>
        <d v="2023-01-27T00:00:00"/>
        <d v="2023-03-17T00:00:00"/>
        <d v="2023-03-20T00:00:00"/>
        <d v="2023-03-21T00:00:00"/>
        <d v="2023-04-07T00:00:00"/>
        <d v="2023-04-20T00:00:00"/>
        <d v="2023-04-24T00:00:00"/>
        <d v="2023-05-03T00:00:00"/>
        <d v="2023-05-04T00:00:00"/>
        <d v="2023-05-08T00:00:00"/>
        <d v="2023-05-11T00:00:00"/>
        <d v="2023-05-09T00:00:00"/>
        <d v="2023-05-22T00:00:00"/>
        <d v="2023-05-31T00:00:00"/>
        <d v="2023-06-01T00:00:00"/>
        <d v="2023-05-01T00:00:00"/>
        <d v="2023-06-02T00:00:00"/>
        <d v="2023-06-03T00:00:00"/>
        <d v="2023-06-07T00:00:00"/>
        <d v="2023-06-04T00:00:00"/>
        <d v="2023-06-05T00:00:00"/>
        <d v="2023-06-06T00:00:00"/>
        <d v="2023-06-08T00:00:00"/>
        <d v="2023-06-09T00:00:00"/>
        <d v="2023-06-14T00:00:00"/>
        <d v="2023-06-10T00:00:00"/>
        <d v="2023-06-12T00:00:00"/>
        <d v="2023-06-11T00:00:00"/>
        <d v="2023-06-16T00:00:00"/>
        <d v="2023-06-13T00:00:00"/>
        <d v="2023-06-27T00:00:00"/>
        <d v="2023-06-15T00:00:00"/>
        <d v="2023-06-17T00:00:00"/>
        <d v="2023-06-30T00:00:00"/>
        <d v="2023-06-18T00:00:00"/>
        <d v="2023-06-19T00:00:00"/>
        <d v="2023-06-21T00:00:00"/>
        <d v="2023-06-20T00:00:00"/>
        <d v="2023-06-22T00:00:00"/>
        <d v="2023-06-23T00:00:00"/>
        <d v="2023-06-26T00:00:00"/>
        <d v="2023-06-25T00:00:00"/>
        <d v="2023-06-28T00:00:00"/>
        <d v="2022-06-27T00:00:00"/>
        <d v="2023-07-01T00:00:00"/>
        <d v="2023-06-29T00:00:00"/>
        <d v="2023-07-04T00:00:00"/>
        <d v="2023-07-02T00:00:00"/>
        <d v="2023-07-03T00:00:00"/>
        <d v="2023-07-05T00:00:00"/>
        <d v="2023-07-06T00:00:00"/>
        <d v="2023-07-07T00:00:00"/>
        <d v="2023-07-09T00:00:00"/>
        <d v="2023-07-08T00:00:00"/>
        <d v="2023-07-12T00:00:00"/>
        <d v="2023-07-11T00:00:00"/>
        <d v="2023-07-13T00:00:00"/>
        <d v="2023-07-14T00:00:00"/>
        <d v="2023-07-17T00:00:00"/>
        <d v="2023-07-15T00:00:00"/>
        <d v="2023-07-21T00:00:00"/>
        <d v="2023-07-16T00:00:00"/>
        <d v="2023-07-18T00:00:00"/>
        <d v="2023-07-19T00:00:00"/>
        <d v="2023-07-20T00:00:00"/>
        <d v="2023-07-22T00:00:00"/>
        <d v="2023-07-23T00:00:00"/>
        <d v="2023-07-26T00:00:00"/>
        <d v="2023-07-27T00:00:00"/>
        <d v="2023-08-03T00:00:00"/>
        <d v="2023-07-29T00:00:00"/>
        <d v="2023-07-30T00:00:00"/>
        <d v="2023-07-31T00:00:00"/>
        <d v="2023-08-01T00:00:00"/>
        <d v="2023-08-02T00:00:00"/>
        <d v="2023-08-04T00:00:00"/>
        <d v="2023-08-06T00:00:00"/>
        <d v="2023-08-05T00:00:00"/>
        <d v="2023-08-08T00:00:00"/>
        <d v="2023-08-07T00:00:00"/>
        <d v="2023-08-17T00:00:00"/>
        <d v="2023-08-09T00:00:00"/>
        <d v="2023-08-11T00:00:00"/>
        <d v="2023-08-12T00:00:00"/>
        <d v="2023-08-13T00:00:00"/>
        <d v="2023-08-14T00:00:00"/>
        <d v="2023-08-15T00:00:00"/>
        <d v="2023-08-18T00:00:00"/>
        <d v="2023-08-19T00:00:00"/>
        <d v="2023-08-22T00:00:00"/>
        <d v="2023-08-20T00:00:00"/>
        <d v="2023-08-21T00:00:00"/>
        <d v="2023-08-23T00:00:00"/>
        <d v="2023-08-24T00:00:00"/>
        <d v="2023-08-25T00:00:00"/>
        <d v="2023-08-26T00:00:00"/>
        <d v="2023-08-29T00:00:00"/>
        <d v="2023-08-30T00:00:00"/>
        <d v="2023-08-31T00:00:00"/>
        <d v="2023-09-01T00:00:00"/>
        <d v="2023-09-03T00:00:00"/>
        <d v="2023-09-02T00:00:00"/>
        <d v="2023-09-04T00:00:00"/>
        <d v="2023-09-05T00:00:00"/>
        <d v="2023-09-08T00:00:00"/>
        <d v="2023-09-10T00:00:00"/>
        <d v="2023-09-11T00:00:00"/>
        <d v="2023-09-13T00:00:00"/>
        <d v="2023-09-12T00:00:00"/>
        <d v="2023-09-14T00:00:00"/>
        <d v="2023-09-16T00:00:00"/>
        <d v="2023-09-15T00:00:00"/>
        <d v="2023-09-18T00:00:00"/>
        <d v="2023-09-17T00:00:00"/>
        <d v="2023-09-19T00:00:00"/>
        <d v="2023-09-21T00:00:00"/>
        <d v="2023-09-23T00:00:00"/>
        <d v="2023-09-22T00:00:00"/>
        <d v="2023-09-24T00:00:00"/>
        <d v="2023-09-25T00:00:00"/>
        <d v="2023-09-26T00:00:00"/>
        <d v="2023-09-28T00:00:00"/>
        <d v="2023-09-29T00:00:00"/>
        <d v="2023-10-01T00:00:00"/>
        <d v="2023-10-03T00:00:00"/>
        <d v="2023-03-05T00:00:00"/>
        <d v="2023-10-05T00:00:00"/>
        <d v="2023-10-04T00:00:00"/>
        <d v="2023-10-06T00:00:00"/>
        <d v="2023-10-07T00:00:00"/>
        <d v="2023-10-10T00:00:00"/>
        <d v="2023-10-09T00:00:00"/>
        <d v="2023-10-12T00:00:00"/>
        <d v="2023-10-11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8T00:00:00"/>
        <d v="2023-10-27T00:00:00"/>
        <d v="2023-10-30T00:00:00"/>
        <d v="2023-10-31T00:00:00"/>
        <d v="2023-11-01T00:00:00"/>
        <d v="2023-11-02T00:00:00"/>
        <d v="2023-11-03T00:00:00"/>
        <d v="2023-11-04T00:00:00"/>
        <d v="2023-11-05T00:00:00"/>
        <d v="2023-11-06T00:00:00"/>
        <d v="2023-11-07T00:00:00"/>
        <d v="2023-11-08T00:00:00"/>
        <d v="2023-11-09T00:00:00"/>
        <d v="2023-11-10T00:00:00"/>
        <d v="2023-11-11T00:00:00"/>
        <d v="2023-11-14T00:00:00"/>
        <d v="2023-11-15T00:00:00"/>
        <d v="2023-11-16T00:00:00"/>
        <d v="2023-11-17T00:00:00"/>
        <d v="2023-11-18T00:00:00"/>
        <d v="2023-11-19T00:00:00"/>
        <d v="2023-11-21T00:00:00"/>
        <d v="2023-11-23T00:00:00"/>
        <d v="2023-11-22T00:00:00"/>
        <d v="2023-11-24T00:00:00"/>
        <d v="2023-11-25T00:00:00"/>
        <d v="2023-11-27T00:00:00"/>
        <d v="2023-11-26T00:00:00"/>
        <d v="2023-11-28T00:00:00"/>
        <d v="2023-11-29T00:00:00"/>
        <d v="2023-11-30T00:00:00"/>
        <d v="2023-12-01T00:00:00"/>
        <d v="2023-12-02T00:00:00"/>
        <d v="2023-12-03T00:00:00"/>
        <d v="2023-12-05T00:00:00"/>
        <d v="2023-12-04T00:00:00"/>
        <d v="2023-12-06T00:00:00"/>
        <d v="2023-12-07T00:00:00"/>
        <d v="2023-12-08T00:00:00"/>
        <d v="2023-12-09T00:00:00"/>
        <d v="2023-12-10T00:00:00"/>
        <d v="2023-12-12T00:00:00"/>
        <d v="2023-12-11T00:00:00"/>
        <d v="2023-12-15T00:00:00"/>
        <d v="2023-12-13T00:00:00"/>
        <d v="2023-12-14T00:00:00"/>
        <d v="2023-12-16T00:00:00"/>
        <d v="2023-12-17T00:00:00"/>
        <d v="2023-12-18T00:00:00"/>
        <d v="2024-01-01T00:00:00"/>
        <d v="2023-12-19T00:00:00"/>
        <d v="2023-12-20T00:00:00"/>
        <d v="2023-12-22T00:00:00"/>
        <d v="2023-12-21T00:00:00"/>
        <d v="2023-12-29T00:00:00"/>
        <d v="2023-12-23T00:00:00"/>
        <d v="2023-12-26T00:00:00"/>
        <d v="2023-12-27T00:00:00"/>
        <d v="2023-12-28T00:00:00"/>
        <d v="2023-12-30T00:00:00"/>
        <d v="2023-12-31T00:00:00"/>
        <d v="2024-01-02T00:00:00"/>
        <d v="2024-01-03T00:00:00"/>
        <d v="2024-01-04T00:00:00"/>
        <d v="2024-01-05T00:00:00"/>
        <d v="2024-01-06T00:00:00"/>
        <d v="2024-01-09T00:00:00"/>
        <d v="2024-01-07T00:00:00"/>
        <d v="2024-01-10T00:00:00"/>
        <d v="2024-01-11T00:00:00"/>
        <d v="2024-01-12T00:00:00"/>
        <d v="2024-01-13T00:00:00"/>
        <d v="2024-01-14T00:00:00"/>
        <d v="2024-01-15T00:00:00"/>
        <d v="2024-01-17T00:00:00"/>
        <d v="2024-01-24T00:00:00"/>
        <d v="2024-01-31T00:00:00"/>
        <d v="2024-01-18T00:00:00"/>
        <d v="2024-01-19T00:00:00"/>
        <d v="2024-01-22T00:00:00"/>
        <d v="2024-01-20T00:00:00"/>
        <d v="2024-01-23T00:00:00"/>
        <d v="2024-01-25T00:00:00"/>
        <d v="2024-01-27T00:00:00"/>
        <d v="2024-01-28T00:00:00"/>
        <d v="2024-01-30T00:00:00"/>
        <d v="2024-02-01T00:00:00"/>
        <d v="2024-02-02T00:00:00"/>
        <d v="2024-02-03T00:00:00"/>
        <d v="2024-02-05T00:00:00"/>
        <d v="2024-02-07T00:00:00"/>
        <d v="2024-02-08T00:00:00"/>
        <d v="2024-02-10T00:00:00"/>
        <d v="2024-02-09T00:00:00"/>
        <d v="2024-02-11T00:00:00"/>
        <d v="2024-02-12T00:00:00"/>
        <d v="2024-02-13T00:00:00"/>
        <d v="2024-02-14T00:00:00"/>
        <d v="2024-02-15T00:00:00"/>
        <d v="2024-02-16T00:00:00"/>
        <d v="2024-02-17T00:00:00"/>
        <d v="2024-02-18T00:00:00"/>
        <d v="2024-02-19T00:00:00"/>
        <d v="2024-02-20T00:00:00"/>
        <d v="2024-02-21T00:00:00"/>
        <d v="2024-02-22T00:00:00"/>
        <d v="2024-03-02T00:00:00"/>
        <d v="2024-02-25T00:00:00"/>
        <d v="2024-02-23T00:00:00"/>
        <d v="2024-02-24T00:00:00"/>
        <d v="2024-02-26T00:00:00"/>
        <d v="2024-03-01T00:00:00"/>
        <d v="2024-02-27T00:00:00"/>
        <d v="2024-02-29T00:00:00"/>
        <d v="2024-03-03T00:00:00"/>
        <d v="2024-03-04T00:00:00"/>
        <d v="2024-03-05T00:00:00"/>
        <d v="2024-03-09T00:00:00"/>
        <d v="2024-03-06T00:00:00"/>
        <d v="2024-03-07T00:00:00"/>
        <d v="2024-03-10T00:00:00"/>
        <d v="2024-03-08T00:00:00"/>
        <d v="2024-03-19T00:00:00"/>
        <d v="2024-03-11T00:00:00"/>
        <d v="2024-03-13T00:00:00"/>
        <d v="2024-03-12T00:00:00"/>
        <d v="2024-03-15T00:00:00"/>
        <d v="2024-03-14T00:00:00"/>
        <d v="2024-03-16T00:00:00"/>
        <d v="2024-03-17T00:00:00"/>
        <d v="2024-03-21T00:00:00"/>
        <d v="2024-03-20T00:00:00"/>
        <d v="2024-03-27T00:00:00"/>
        <d v="2024-03-22T00:00:00"/>
        <d v="2024-03-23T00:00:00"/>
        <d v="2024-03-24T00:00:00"/>
        <d v="2024-03-25T00:00:00"/>
        <d v="2024-03-26T00:00:00"/>
        <d v="2024-03-28T00:00:00"/>
        <d v="2024-03-29T00:00:00"/>
        <d v="2024-04-01T00:00:00"/>
        <d v="2024-03-30T00:00:00"/>
        <d v="2024-03-31T00:00:00"/>
        <d v="2024-04-02T00:00:00"/>
        <d v="2024-04-04T00:00:00"/>
        <d v="2024-04-05T00:00:00"/>
        <d v="2024-04-06T00:00:00"/>
        <d v="2024-04-12T00:00:00"/>
        <d v="2024-04-08T00:00:00"/>
        <d v="2024-04-10T00:00:00"/>
        <d v="2024-04-19T00:00:00"/>
        <d v="2024-04-09T00:00:00"/>
        <d v="2024-04-11T00:00:00"/>
        <d v="2024-04-13T00:00:00"/>
        <d v="2024-04-14T00:00:00"/>
        <d v="2024-04-15T00:00:00"/>
        <d v="2024-04-16T00:00:00"/>
        <d v="2024-04-17T00:00:00"/>
        <d v="2024-04-18T00:00:00"/>
        <d v="2024-04-20T00:00:00"/>
        <d v="2024-04-22T00:00:00"/>
        <d v="2024-04-21T00:00:00"/>
        <d v="2024-04-23T00:00:00"/>
        <d v="2024-04-24T00:00:00"/>
        <d v="2024-04-25T00:00:00"/>
        <d v="2024-04-26T00:00:00"/>
        <d v="2024-04-27T00:00:00"/>
        <d v="2024-04-29T00:00:00"/>
        <d v="2024-04-28T00:00:00"/>
        <d v="2024-05-02T00:00:00"/>
        <d v="2024-05-03T00:00:00"/>
        <d v="2024-05-04T00:00:00"/>
        <d v="2024-05-05T00:00:00"/>
        <d v="2024-05-06T00:00:00"/>
        <d v="2024-05-15T00:00:00"/>
        <d v="2024-05-07T00:00:00"/>
        <d v="2024-05-16T00:00:00"/>
        <d v="2024-05-08T00:00:00"/>
        <d v="2024-05-09T00:00:00"/>
        <d v="2024-05-10T00:00:00"/>
        <d v="2024-05-13T00:00:00"/>
        <d v="2024-05-12T00:00:00"/>
        <d v="2024-05-14T00:00:00"/>
        <d v="2024-05-21T00:00:00"/>
        <d v="2024-05-17T00:00:00"/>
        <d v="2024-05-18T00:00:00"/>
        <d v="2024-05-20T00:00:00"/>
        <d v="2024-05-19T00:00:00"/>
        <d v="2024-05-22T00:00:00"/>
        <d v="2024-05-24T00:00:00"/>
        <d v="2024-05-23T00:00:00"/>
        <d v="2024-05-27T00:00:00"/>
        <d v="2024-05-25T00:00:00"/>
        <d v="2024-05-26T00:00:00"/>
        <d v="2024-05-28T00:00:00"/>
        <d v="2024-05-29T00:00:00"/>
        <d v="2024-05-31T00:00:00"/>
        <d v="2024-05-30T00:00:00"/>
        <d v="2024-06-03T00:00:00"/>
        <d v="2024-06-02T00:00:00"/>
        <d v="2024-06-05T00:00:00"/>
        <d v="2024-06-06T00:00:00"/>
        <d v="2024-06-04T00:00:00"/>
        <d v="2024-06-07T00:00:00"/>
      </sharedItems>
    </cacheField>
    <cacheField name="O atendimento foi realizado por:" numFmtId="0">
      <sharedItems containsBlank="1" count="4">
        <m/>
        <s v="Videochamada"/>
        <s v="Telefone"/>
        <s v="HopChat"/>
      </sharedItems>
    </cacheField>
    <cacheField name="Selecione o tipo de demanda" numFmtId="0">
      <sharedItems containsBlank="1" count="8">
        <m/>
        <s v="Dentro do horário da USF (segunda a sexta das 8h às 17h)"/>
        <s v="Demanda noturna durante dias de semana (das 19h às 7h)"/>
        <s v="Não se aplica"/>
        <s v="Demanda noturna em dias do final de semana ou feriado/ ponto facultativo"/>
        <s v="Fora do horário da USF mas de segunda a sexta das 7h-8h ou 17h às 19h"/>
        <s v="Fora do horário da USF (finais de semana ou feriado/ponto facultativo 07 as 19h)"/>
        <s v="Demanda Noturna (segunda a sexta das 19h às 07h)"/>
      </sharedItems>
    </cacheField>
    <cacheField name="Motivo de busca por atendimento no Atende Gestante" numFmtId="0">
      <sharedItems containsBlank="1" count="14">
        <m/>
        <s v="Ausência de profissional assistente na sua unidade de saúde"/>
        <s v="Por escolha da usuária"/>
        <s v="Fora do dia ou horário de funcionamento da sua unidade de saúde"/>
        <s v="Não se aplica"/>
        <s v="Não conseguiu atendimento na sua unidade de saúde"/>
        <s v="Profissional da unidade entrou em contato no momento da consulta de PN "/>
        <s v="Gestante iniciou PN Sanharó, depois mudou-se para Recife e continuou o acompanhamento. Há menos de 1 mês mudou-se para Olinda. Unidade realiza busca ativa dia 31/05 no endereço de Olinda e não encontra paciente."/>
        <s v="Atendida na unidade por enfermeira, mas não conseguiu tirar duvidas e resolver questoes relacionas a PA"/>
        <s v="Alta do PN"/>
        <s v="paciente estava no CAPS "/>
        <s v="Gestante atendida pelo plano de saúde SASSEPE, teve dificuldade de realizar exame de USG renal e entra em contato para pedir ajuda a rede municipal. Refere que tem estenose de JUP."/>
        <s v="Já tinha sido atendida anteriormente e orientada a retornar com resultado do exame de urina."/>
        <s v="TINC - Atendimento compartilhado"/>
      </sharedItems>
    </cacheField>
    <cacheField name="Número WhatsApp" numFmtId="0">
      <sharedItems containsBlank="1" containsNumber="1" containsInteger="1" containsMixedTypes="1" count="743">
        <m/>
        <n v="81985937671"/>
        <n v="81984696256"/>
        <n v="81996295001"/>
        <n v="81984531903"/>
        <n v="81985904153"/>
        <n v="81985880259"/>
        <n v="81999032761"/>
        <n v="81998028449"/>
        <n v="81994615795"/>
        <n v="81985708726"/>
        <n v="81996721255"/>
        <n v="81986310755"/>
        <n v="81983652242"/>
        <n v="81984558250"/>
        <n v="81992693254"/>
        <n v="81988890611"/>
        <n v="81982403574"/>
        <n v="81999760929"/>
        <n v="81988225700"/>
        <n v="81988872899"/>
        <n v="81988510579"/>
        <n v="81997477925"/>
        <n v="81999948085"/>
        <n v="81997216279"/>
        <n v="81983231984"/>
        <n v="81989143627"/>
        <n v="81985247497"/>
        <n v="81992191649"/>
        <n v="81996790643"/>
        <n v="81998415931"/>
        <n v="81986167867"/>
        <n v="81999126856"/>
        <n v="81986628161"/>
        <n v="81997646410"/>
        <n v="81985120818"/>
        <n v="81984643831"/>
        <n v="81984182678"/>
        <n v="81985052920"/>
        <n v="81983454381"/>
        <n v="87991887250"/>
        <n v="81984639958"/>
        <n v="81996713494"/>
        <n v="81982131914"/>
        <n v="81991976460"/>
        <n v="81986584843"/>
        <n v="81988985623"/>
        <n v="81985301931"/>
        <n v="81985193432"/>
        <n v="81996189614"/>
        <n v="81996333421"/>
        <n v="81999556709"/>
        <n v="81987031353"/>
        <n v="81988169461"/>
        <n v="81989075471"/>
        <n v="81987252750"/>
        <n v="81986669422"/>
        <n v="81988153975"/>
        <n v="81986207791"/>
        <n v="81987631286"/>
        <n v="81984211746"/>
        <n v="81984663804"/>
        <n v="81996444977"/>
        <n v="81985559317"/>
        <n v="81999669664"/>
        <n v="81983140313"/>
        <n v="81988117095"/>
        <n v="81996695691"/>
        <n v="81984481237"/>
        <n v="81986266856"/>
        <n v="81994040588"/>
        <n v="81987794735"/>
        <n v="81997948392"/>
        <n v="81984510881"/>
        <n v="81993362529"/>
        <n v="81995339781"/>
        <n v="81984049541"/>
        <n v="81996378666"/>
        <n v="81991724644"/>
        <n v="81983900304"/>
        <n v="81979150436"/>
        <n v="81999475931"/>
        <n v="81995176967"/>
        <n v="81999504585"/>
        <n v="81984527273"/>
        <n v="81997022233"/>
        <n v="81999540010"/>
        <n v="81986798920"/>
        <n v="81984615045"/>
        <n v="81996549887"/>
        <n v="81998770517"/>
        <n v="81996504653"/>
        <n v="81982102916"/>
        <n v="81996288296"/>
        <n v="81995179608"/>
        <n v="81994539085"/>
        <n v="81985538117"/>
        <n v="81994710465"/>
        <n v="81988553405"/>
        <n v="81999436287"/>
        <n v="81997627361"/>
        <n v="81984720957"/>
        <n v="81984833707"/>
        <n v="81985169878"/>
        <n v="81996052492"/>
        <n v="81995262490"/>
        <n v="81983970546"/>
        <n v="81986952337"/>
        <n v="81985617248"/>
        <n v="81996039055"/>
        <n v="81985425213"/>
        <n v="81985923299"/>
        <s v="8133554385"/>
        <n v="81981876632"/>
        <n v="81988435598"/>
        <n v="81991424620"/>
        <n v="81992150020"/>
        <n v="81985732569"/>
        <n v="81984462332"/>
        <n v="81996867828"/>
        <n v="81991919379"/>
        <n v="81999860751"/>
        <n v="81995318520"/>
        <n v="81986345052"/>
        <n v="81996703831"/>
        <n v="81992198298"/>
        <n v="81986721162"/>
        <n v="81985913215"/>
        <n v="81988730807"/>
        <n v="81983491216"/>
        <n v="81985309631"/>
        <n v="81999137506"/>
        <n v="81996176992"/>
        <n v="81985750512"/>
        <n v="81985451877"/>
        <n v="81993617490"/>
        <n v="81986368212"/>
        <n v="81996343446"/>
        <n v="81992444731"/>
        <n v="81996851239"/>
        <n v="81991067896"/>
        <n v="81996372273"/>
        <n v="81981490872"/>
        <n v="81993617459"/>
        <n v="81987349723"/>
        <n v="81988246857"/>
        <n v="81986896245"/>
        <n v="81988220808"/>
        <n v="81996831837"/>
        <n v="81991022399"/>
        <n v="81984367066"/>
        <n v="81998373388"/>
        <n v="81986766525"/>
        <n v="81987465625"/>
        <n v="81997727560"/>
        <n v="81996042108"/>
        <n v="81991663102"/>
        <n v="81987103480"/>
        <n v="81999943590"/>
        <n v="81988866907"/>
        <n v="81996199221"/>
        <n v="81986747671"/>
        <n v="81984526517"/>
        <n v="81983709670"/>
        <n v="81997643142"/>
        <n v="81997613230"/>
        <n v="81985969925"/>
        <n v="81997532155"/>
        <n v="81997557343"/>
        <n v="81986973090"/>
        <n v="81984460956"/>
        <n v="81986325570"/>
        <n v="81999881564"/>
        <n v="81988660392"/>
        <n v="81997301098"/>
        <n v="81985560728"/>
        <n v="81988254664"/>
        <n v="81986488134"/>
        <n v="81994314903"/>
        <n v="81991778012"/>
        <n v="81983588962"/>
        <n v="81994880109"/>
        <n v="81999835531"/>
        <n v="81998947901"/>
        <n v="81999301993"/>
        <n v="81986020267"/>
        <n v="81985753916"/>
        <n v="81983228290"/>
        <n v="81982295697"/>
        <n v="81987398270"/>
        <n v="81993878001"/>
        <n v="81998490815"/>
        <n v="81996242115"/>
        <n v="81975060868"/>
        <n v="81973386673"/>
        <n v="81999658496"/>
        <n v="81986055473"/>
        <n v="81988766963"/>
        <n v="81999798361"/>
        <n v="81995082136"/>
        <n v="81974019897"/>
        <n v="81994811870"/>
        <n v="81993804960"/>
        <n v="81997035691"/>
        <n v="81991264656"/>
        <n v="81985181388"/>
        <n v="81988242621"/>
        <n v="81985342963"/>
        <n v="81982083500"/>
        <n v="81988582823"/>
        <n v="81994743066"/>
        <n v="81983077317"/>
        <n v="81996584017"/>
        <n v="81985721704"/>
        <n v="81988560009"/>
        <n v="81999786121"/>
        <n v="81992145270"/>
        <n v="81984575102"/>
        <n v="81989194686"/>
        <n v="81988672345"/>
        <n v="81987995475"/>
        <n v="81999955454"/>
        <n v="81983559065"/>
        <n v="81996571827"/>
        <n v="81987607191"/>
        <n v="81988246464"/>
        <n v="81999941587"/>
        <n v="81983841615"/>
        <n v="81992664814"/>
        <n v="81984642088"/>
        <n v="81986970720"/>
        <n v="81996405105"/>
        <n v="81986705885"/>
        <n v="81984236474"/>
        <n v="81984521902"/>
        <n v="81983355218"/>
        <n v="81985165366"/>
        <n v="81986133597"/>
        <n v="81999117266"/>
        <n v="81991811812"/>
        <n v="81991217233"/>
        <n v="81999649609"/>
        <n v="81985342482"/>
        <n v="81973038779"/>
        <n v="81986886770"/>
        <n v="81983101483"/>
        <n v="81985020601"/>
        <n v="81973474541"/>
        <n v="81993269683"/>
        <n v="81998266252"/>
        <n v="81984141514"/>
        <n v="81987746732"/>
        <n v="81984274659"/>
        <n v="81985363028"/>
        <n v="81999243842"/>
        <n v="81985581268"/>
        <n v="81999265625"/>
        <n v="81996276565"/>
        <n v="81995236094"/>
        <n v="81979127456"/>
        <n v="81987536216"/>
        <n v="81998853817"/>
        <n v="81995693385"/>
        <n v="81984598026"/>
        <n v="81988260702"/>
        <n v="81999026819"/>
        <n v="81992204106"/>
        <n v="81999157370"/>
        <n v="81984415787"/>
        <n v="81988868881"/>
        <n v="81999378131"/>
        <n v="81984367688"/>
        <n v="81988544578"/>
        <n v="81995927325"/>
        <n v="81986675694"/>
        <n v="81996712934"/>
        <n v="81987256827"/>
        <n v="81988742971"/>
        <n v="81973464375"/>
        <n v="81985302814"/>
        <n v="81992190712"/>
        <n v="81985136319"/>
        <n v="81996982103"/>
        <n v="81987431933"/>
        <n v="81995473141"/>
        <n v="81986507692"/>
        <n v="81997441291"/>
        <n v="81994409425"/>
        <n v="81987257649"/>
        <n v="81991805871"/>
        <n v="81999462873"/>
        <n v="81983406638"/>
        <n v="81987692261"/>
        <n v="81985433775"/>
        <n v="81994266778"/>
        <n v="81997380079"/>
        <n v="81984282723"/>
        <n v="81996154820"/>
        <n v="81987563335"/>
        <n v="81973224484"/>
        <n v="81985159383"/>
        <n v="81988844325"/>
        <n v="81987938918"/>
        <n v="87999556188"/>
        <n v="81986412953"/>
        <n v="81996273745"/>
        <n v="81998119834"/>
        <n v="81983511855"/>
        <n v="81973377388"/>
        <n v="81981810115"/>
        <n v="81996395460"/>
        <n v="81985615653"/>
        <n v="81997115128"/>
        <n v="81996197690"/>
        <n v="81973325614"/>
        <n v="81994623601"/>
        <n v="81998756609"/>
        <n v="81984315301"/>
        <n v="81985512584"/>
        <n v="81996939717"/>
        <n v="81999809367"/>
        <n v="81983355478"/>
        <n v="81986340399"/>
        <n v="81992920910"/>
        <n v="81987608875"/>
        <n v="81997029440"/>
        <n v="81998327586"/>
        <n v="81996798735"/>
        <n v="81987804307"/>
        <n v="81987882133"/>
        <n v="81984096017"/>
        <n v="81997109350"/>
        <n v="81999139376"/>
        <n v="81985589495"/>
        <n v="81992950741"/>
        <n v="81985297553"/>
        <n v="81987057335"/>
        <n v="81996694014"/>
        <n v="81985445494"/>
        <n v="81993402761"/>
        <n v="81985526497"/>
        <n v="81979134906"/>
        <n v="81983151406"/>
        <n v="81991602979"/>
        <n v="83996529934"/>
        <n v="81983218317"/>
        <n v="81985585545"/>
        <n v="81983560834"/>
        <n v="81999439996"/>
        <n v="81993937356"/>
        <n v="81982436357"/>
        <n v="81994106859"/>
        <n v="81996706320"/>
        <n v="81994600307"/>
        <n v="81986662442"/>
        <n v="81971153767"/>
        <n v="81986451042"/>
        <n v="81983653106"/>
        <n v="81973173355"/>
        <n v="81989081790"/>
        <n v="81983741915"/>
        <n v="81991262140"/>
        <n v="81988592394"/>
        <n v="81999668497"/>
        <n v="81984673362"/>
        <n v="81986970750"/>
        <n v="81987944918"/>
        <n v="81981659368"/>
        <n v="81986394297"/>
        <n v="87999559848"/>
        <n v="81971065968"/>
        <n v="81991817786"/>
        <n v="81985283060"/>
        <n v="81999690193"/>
        <n v="81987133870"/>
        <n v="81985794011"/>
        <n v="81985740316"/>
        <n v="81986100124"/>
        <n v="81973430677"/>
        <n v="81996794277"/>
        <n v="81983096272"/>
        <n v="81999223285"/>
        <n v="81984044583"/>
        <n v="81973448407"/>
        <n v="81986188286"/>
        <n v="81989667779"/>
        <n v="81996254951"/>
        <n v="81984640980"/>
        <n v="81973256369"/>
        <n v="81985118857"/>
        <n v="81973234869"/>
        <n v="81996942014"/>
        <n v="81987690599"/>
        <n v="81986948863"/>
        <n v="81993635858"/>
        <n v="81992602566"/>
        <n v="81987457715"/>
        <n v="81992557501"/>
        <n v="81985102138"/>
        <n v="81997260987"/>
        <n v="81993962617"/>
        <n v="81987743516"/>
        <n v="81993828086"/>
        <n v="81988322020"/>
        <n v="81994999937"/>
        <n v="81987481419"/>
        <n v="81984950254"/>
        <n v="81984082823"/>
        <n v="81971071937"/>
        <n v="81999494735"/>
        <n v="81989796337"/>
        <n v="81988920228"/>
        <n v="81996664142"/>
        <n v="81987132722"/>
        <n v="81999116999"/>
        <n v="81998540547"/>
        <n v="81986697774"/>
        <n v="81987967686"/>
        <n v="81994064485"/>
        <n v="81999960609"/>
        <n v="81988442904"/>
        <n v="81999604732"/>
        <n v="11939424033"/>
        <n v="81997119148"/>
        <n v="81999132949"/>
        <n v="81988572654"/>
        <n v="81995215397"/>
        <n v="81995576564"/>
        <n v="81985294355"/>
        <n v="81988204940"/>
        <n v="81984981525"/>
        <n v="81996807173"/>
        <n v="81999054479"/>
        <n v="81985881505"/>
        <n v="81994002361"/>
        <n v="81999191169"/>
        <n v="81987335359"/>
        <n v="81996209137"/>
        <n v="81985958602"/>
        <n v="81988110275"/>
        <n v="81998484608"/>
        <n v="81981219447"/>
        <n v="81981323257"/>
        <n v="81995211209"/>
        <n v="81998388026"/>
        <n v="81988921498"/>
        <n v="81986701653"/>
        <n v="81985740050"/>
        <n v="81995960230"/>
        <n v="81988791348"/>
        <n v="81996320248"/>
        <n v="81992130286"/>
        <n v="81999382889"/>
        <n v="81984251260"/>
        <n v="81998641117"/>
        <n v="81991610989"/>
        <n v="81920019987"/>
        <n v="81991716417"/>
        <n v="81992042946"/>
        <n v="81998610345"/>
        <n v="81988112794"/>
        <n v="81993902315"/>
        <n v="81988623208"/>
        <n v="81985934090"/>
        <n v="81998566649"/>
        <n v="81996059971"/>
        <n v="81984043153"/>
        <n v="81985540097"/>
        <n v="81998295230"/>
        <n v="81993208596"/>
        <n v="81997054490"/>
        <n v="81997250896"/>
        <n v="81983075401"/>
        <n v="81999205254"/>
        <n v="81987484980"/>
        <n v="81999094317"/>
        <n v="81985743105"/>
        <n v="81987982284"/>
        <n v="81986285773"/>
        <n v="81982606927"/>
        <n v="81994675269"/>
        <n v="81987342247"/>
        <n v="81993658458"/>
        <n v="81989722443"/>
        <n v="81983870031"/>
        <n v="81999990960"/>
        <n v="81982233897"/>
        <n v="81996855296"/>
        <n v="81997795224"/>
        <n v="81987137943"/>
        <n v="81988596650"/>
        <n v="81985161570"/>
        <n v="81983364314"/>
        <n v="81997701407"/>
        <n v="81984881221"/>
        <n v="81983567401"/>
        <n v="81973451334"/>
        <n v="81987520952"/>
        <n v="81984835437"/>
        <n v="81995110700"/>
        <n v="81986103821"/>
        <n v="83991581234"/>
        <n v="81984021585"/>
        <n v="81989668159"/>
        <n v="81998380141"/>
        <n v="81985770668"/>
        <n v="81985681543"/>
        <n v="81986888830"/>
        <n v="81992204837"/>
        <n v="81984288154"/>
        <n v="81991625680"/>
        <n v="81996870283"/>
        <n v="81999740853"/>
        <n v="81999051600"/>
        <n v="81982740512"/>
        <n v="81992186999"/>
        <n v="81985598551"/>
        <n v="81988747018"/>
        <n v="81987240188"/>
        <n v="81998504012"/>
        <n v="81987997416"/>
        <n v="81985610818"/>
        <n v="81983704324"/>
        <n v="81999181171"/>
        <n v="81987073783"/>
        <n v="81983931851"/>
        <n v="81984540854"/>
        <n v="81999730260"/>
        <n v="81985021687"/>
        <n v="81988114569"/>
        <n v="81993803029"/>
        <n v="81996465987"/>
        <n v="81983641497"/>
        <n v="81995453063"/>
        <n v="81991216312"/>
        <n v="81985758942"/>
        <n v="81987532782"/>
        <n v="81984881246"/>
        <n v="81998109162"/>
        <n v="81973074593"/>
        <n v="81987371375"/>
        <n v="81986515879"/>
        <n v="81983419322"/>
        <n v="81987060164"/>
        <n v="81984274446"/>
        <n v="81999881737"/>
        <n v="81985236769"/>
        <n v="81983197702"/>
        <n v="81986512658"/>
        <n v="81986531979"/>
        <n v="81984452259"/>
        <n v="81991216235"/>
        <n v="81984720608"/>
        <n v="81988130942"/>
        <n v="81986961681"/>
        <n v="81996957250"/>
        <n v="81987368493"/>
        <n v="81987471315"/>
        <n v="81984318059"/>
        <n v="81997399707"/>
        <n v="83987898364"/>
        <n v="81985942821"/>
        <n v="81985794776"/>
        <n v="81986784448"/>
        <n v="81982184251"/>
        <n v="81996624832"/>
        <n v="81985701664"/>
        <n v="81985237440"/>
        <n v="81998356074"/>
        <n v="81983688294"/>
        <n v="81973172221"/>
        <n v="81983895897"/>
        <n v="81998371130"/>
        <n v="81991605647"/>
        <n v="81986928714"/>
        <n v="81992396730"/>
        <n v="81997280465"/>
        <n v="81986391614"/>
        <n v="81998030891"/>
        <n v="81996905073"/>
        <n v="81992406319"/>
        <n v="81994019557"/>
        <n v="81997157620"/>
        <n v="81985500133"/>
        <n v="81988015557"/>
        <n v="81993877340"/>
        <n v="81984467712"/>
        <n v="81988861025"/>
        <n v="81984607615"/>
        <n v="81987812320"/>
        <n v="81996224087"/>
        <n v="81986321327"/>
        <n v="81994794426"/>
        <n v="81989011281"/>
        <n v="81999843984"/>
        <n v="81994983239"/>
        <n v="87981278418"/>
        <n v="81998413517"/>
        <n v="81997324176"/>
        <n v="12991876039"/>
        <n v="81987150471"/>
        <n v="81983338379"/>
        <n v="81973155325"/>
        <n v="81985353416"/>
        <n v="81985914384"/>
        <n v="81996224664"/>
        <n v="81997507759"/>
        <n v="81986058506"/>
        <n v="81997887559"/>
        <n v="81979142738"/>
        <n v="81984841582"/>
        <n v="81997047849"/>
        <n v="81983065319"/>
        <n v="81988130508"/>
        <n v="81999133249"/>
        <n v="81985643153"/>
        <n v="81984622358"/>
        <n v="81984044057"/>
        <n v="81999335722"/>
        <n v="81996820579"/>
        <n v="81985975422"/>
        <n v="81984670109"/>
        <n v="81983148301"/>
        <n v="81981521958"/>
        <n v="81989820679"/>
        <n v="81994084776"/>
        <n v="81999243918"/>
        <n v="81998414154"/>
        <n v="81984342490"/>
        <n v="81997816176"/>
        <n v="81993805933"/>
        <n v="81988559938"/>
        <n v="81999615364"/>
        <n v="81996629612"/>
        <n v="81997987041"/>
        <n v="81992808416"/>
        <n v="81996443303"/>
        <n v="81991473240"/>
        <n v="81995151718"/>
        <n v="81996549426"/>
        <n v="81989715546"/>
        <n v="81998395631"/>
        <n v="81991211451"/>
        <n v="81999319275"/>
        <n v="81989306813"/>
        <n v="81989745875"/>
        <n v="81996787625"/>
        <n v="81993807364"/>
        <n v="81983570659"/>
        <n v="81988511057"/>
        <n v="81985712079"/>
        <n v="81988619515"/>
        <n v="81979060734"/>
        <n v="81974009779"/>
        <n v="81981215396"/>
        <n v="81989923992"/>
        <n v="81999538590"/>
        <n v="81988004358"/>
        <n v="81982850804"/>
        <n v="81982204976"/>
        <n v="81987469835"/>
        <n v="81988844350"/>
        <n v="81999619052"/>
        <n v="81971166096"/>
        <n v="81997950258"/>
        <n v="81981929106"/>
        <n v="81985803167"/>
        <n v="81994149250"/>
        <n v="81999446407"/>
        <n v="81996884713"/>
        <n v="81982653316"/>
        <n v="81992513955"/>
        <n v="81988900219"/>
        <n v="81993282644"/>
        <n v="81986591644"/>
        <n v="81986597131"/>
        <n v="81973403446"/>
        <n v="81985888198"/>
        <n v="81981883103"/>
        <n v="81996540791"/>
        <n v="81985562754"/>
        <n v="81998028777"/>
        <n v="81987726291"/>
        <n v="81983401161"/>
        <n v="81985550457"/>
        <n v="81998215338"/>
        <n v="81985218295"/>
        <n v="81971204328"/>
        <n v="81997467123"/>
        <n v="81998646305"/>
        <n v="81991428395"/>
        <n v="81998689887"/>
        <n v="81996503644"/>
        <n v="81994773016"/>
        <n v="81984494338"/>
        <n v="81996912111"/>
        <n v="81998548065"/>
        <n v="81999782600"/>
        <n v="81987240226"/>
        <n v="81999905898"/>
        <n v="81997506104"/>
        <n v="81995970031"/>
        <n v="81988384210"/>
        <n v="81995637510"/>
        <n v="81987993158"/>
        <n v="81999287662"/>
        <n v="81984587491"/>
        <n v="81983376422"/>
        <n v="81999788943"/>
        <n v="81985588016"/>
        <n v="81985232417"/>
        <n v="81985097361"/>
        <n v="81988911045"/>
        <n v="81988513685"/>
        <n v="81991396474"/>
        <n v="81998221630"/>
        <n v="81997216607"/>
        <n v="81989038065"/>
        <n v="81999364988"/>
        <n v="81991526074"/>
        <n v="81999721660"/>
        <n v="81979007469"/>
        <n v="81999945453"/>
        <n v="81984757470"/>
        <n v="81994668996"/>
        <n v="81973194873"/>
        <n v="81973176242"/>
        <n v="81996356367"/>
        <n v="81997081983"/>
        <n v="81986715318"/>
        <n v="81998520846"/>
        <n v="81999101947"/>
        <n v="81998315894"/>
        <n v="81986942653"/>
        <n v="81996565391"/>
        <n v="81988241106"/>
        <n v="81991329143"/>
        <n v="81996791034"/>
        <n v="81986541141"/>
        <n v="81998726342"/>
        <n v="81988945291"/>
        <n v="81982878306"/>
        <n v="81986664575"/>
      </sharedItems>
    </cacheField>
    <cacheField name="Endereço de e-mail" numFmtId="0">
      <sharedItems containsBlank="1" count="22">
        <m/>
        <s v="tatyana.queiroz@recife.pe.gov.br"/>
        <s v="larissa.oliveira@recife.pe.gov.br"/>
        <s v="camilla.nascimento@recife.pe.gov.br"/>
        <s v="ianne.oliveira@recife.pe.gov.br"/>
        <s v="maria.franca@recife.pe.gov.br"/>
        <s v="mariana.sodre@recife.pe.gov.br"/>
        <s v="thiagojas13@gmail.com"/>
        <s v="eo.elainecarmo@gmail.com"/>
        <s v="anamacintra@gmail.com"/>
        <s v="marciasouzagomes05@gmail.com"/>
        <s v="fabianesouza85@gmail.com"/>
        <s v="thiago.sandes@recife.pe.gov.br"/>
        <s v="fabiane.souza@recife.pe.gov.br"/>
        <s v="rhayza.jordao@recife.pe.gov.br"/>
        <s v="liliana.ufpe2015@gmail.com"/>
        <s v="marianaccsodre@gmail.com"/>
        <s v="damartine.feitosa@recife.pe.gov.br"/>
        <s v="joao.moreira@recife.pe.gov.br"/>
        <s v="nayale.andrade@recife.pe.gov.br"/>
        <s v="jessica.silva@recife.pe.gov.br"/>
        <s v="   "/>
      </sharedItems>
    </cacheField>
    <cacheField name="STATUS" numFmtId="0">
      <sharedItems containsBlank="1" count="5">
        <m/>
        <s v="Atendimento realizado"/>
        <s v="Tentativa 1 de monitoramento sem sucesso"/>
        <s v="Tentativa 2 de monitoramento sem sucesso"/>
        <s v="Em atendimento"/>
      </sharedItems>
    </cacheField>
    <cacheField name="PROFISSIONAL QUE ATENDEU" numFmtId="0">
      <sharedItems containsBlank="1" count="18">
        <m/>
        <s v="JOANNA"/>
        <s v="IANNE"/>
        <s v="CAMILLA"/>
        <s v="TATYANA"/>
        <s v="LARISSA"/>
        <s v="MARIANA"/>
        <s v="THIAGO"/>
        <s v="ELAINE"/>
        <s v="MARCIA"/>
        <s v="ANA_CINTRA"/>
        <s v=" "/>
        <s v="FABIANE"/>
        <s v="RHAYZA"/>
        <s v="LILIANA"/>
        <s v="NAYALE"/>
        <s v="DAMARTINE"/>
        <s v="JESSICA"/>
      </sharedItems>
    </cacheField>
    <cacheField name="ENVIAR WHATSAPP?" numFmtId="0">
      <sharedItems containsBlank="1" count="3">
        <m/>
        <b v="0"/>
        <b v="1"/>
      </sharedItems>
    </cacheField>
    <cacheField name="ENVIADO" numFmtId="0">
      <sharedItems containsBlank="1" count="2">
        <m/>
        <s v="sim"/>
      </sharedItems>
    </cacheField>
    <cacheField name="CONDUTA MONITORAMENTO 1" numFmtId="0">
      <sharedItems containsBlank="1" count="923">
        <m/>
        <s v="Em casos de abortamento, aguardar por 4 semanas a partir da data de realização da USG; se não houver alterações em até 4 semanas ou se apresentar sinais de alerta, ir à maternidade."/>
        <s v="Não conseguiu contato. (Ianne)"/>
        <s v="Não atendeu às 12:30 (Tatyana)"/>
        <s v="Não consegui contato (chamada desligada) "/>
        <s v="Realizado telemonitoramento de gestante, refere que apos a refeição os movimentos fetais foram bem evidenciados, sem sinais de alerta. Oriento procurar a APS em ate 48h para uma avalição do BCF e que iremos retornar o telemonitoramento na segunda 16/01/20"/>
        <s v="Paciente chorosa, com medo da dor do parto, não deseja ir para a maternidade hoje. Tentar novo contato as 10h."/>
        <s v="Paciente na maternidade no momento, referiu que vai ser atendida agora pela obstetra. Oriento que a tarde entraremos em contato novamente, caso ela precise antes entrar em contato com o Atente gestante. "/>
        <s v="Segue sob cuidados na maternidade. Genitora da paciente informa que ela foi levada para realizar USG, segue aguardando nova avaliação. Obs: encontra-se sem internet, logo não não foi possível enviar link de avaliação do atendimento."/>
        <s v="Encontra-se na Maternidade Barros Lima aguardando resultado de exames (EAS, Teste Covid, Hemograma). Refere que fez uso de Betametasona (amanhã será administrada outra dose), Buscopan e outra medicação (não sabe o nome). Apresenta melhora dos sintomas ref"/>
        <s v="Refere que após resultado dos exames (TR-Ag: negativo; EAS e hemograma: sem alterações) foi orientada a voltar para casa e retornar no sábado. No sábado recebeu a 2ª dose de Betametasona. Foi prescrito Loratadina 1x/dia e Dipirona. Refere piora do quadro "/>
        <s v="Gestante, G3 PN2 A0, 35S4D, queixando-se de odinofagia, sem febre. Contrações esporádicas a cada 2 ou 3 horas sem perdas vaginais. Compareceu à consulta do pré-natal hoje. Oriento em caso de sinais de alerta e/ou de tp busque a maternidade mais próxima. E"/>
        <s v="Informa que foi atendida na Maternidade Barros Lima (05/04), diagnosticada com candidíase, prescrito creme vaginal 1x/noite por 10 dias (não sabe o nome). Ainda não iniciou o tratamento porque o PACS está fechado devido o feriado. Refere que corrimento di"/>
        <s v="Paciente com melhora do quadro diarreeico, sem novos episodios nas ultimas 9h. "/>
        <s v="Paciente recusou a ligação 2x"/>
        <s v="Telemonitoramento realizado por videochamada, paciente com sintomas gripais ( tosse, dor incomodo na garganta e secreção esverdiada, oriento atendimento presencial e realização do teste rapido."/>
        <s v="Paciente relara que procurou atendimento presencial, porem nao realizou o TR, refere ainda melhora nos sintomas, oriento hidratação e manter o PN na APS e PNAR"/>
        <s v="Paciente nao atendeu o contato as 15:50 feito 3 tentativas "/>
        <s v="09/05: O celular da gestante está com o companheiro e ele só encontrará com ela a partir do meio dia. "/>
        <s v="11/05 telefone nao completa a ligação "/>
        <s v="22/05 (Lari) Não realizado telemoniotamento"/>
        <s v="Nega novos episódios de sangramento (último ontem pela manhã). Oriento acerca dos sinais de alerta."/>
        <s v="(Mariana) Orientado ir para Maternidade Arnaldo Marques devido cefáleia persistente, monitoramento ainda hoje"/>
        <s v="Refere que não foi à US. Mantenho conduta anterior. "/>
        <s v="Usuária entrou como demanda espontânea em 01\06"/>
        <s v="(taty), consulta esta marcada para 06/06, troco esquema de ATB para ITU, uma vez que apaciente parou  o tratamento devido queixas de evento adverso e inicio acido folico "/>
        <s v="Tentar novamente dia 02/06"/>
        <s v="(Lari) Tento contato telefônico sem sucesso."/>
        <s v="(lari) Telefone não completa ligação"/>
        <s v="Ligar às 17h"/>
        <s v="Foi à Maternidade Barros Lima, descartado TPP. Oriento acerca dos sinais de alerta. "/>
        <s v="Não podia atender no momento do contato, pediu pra retornar no turno da tarde (monitoramento realizado por Elaine Carmo)"/>
        <s v="(Taty) tento monitoramento s/sucesso as 08:36/ 11:16"/>
        <s v="(Thiago ) Tento monitoramento s/ sucesso as 08:39 "/>
        <s v="Tento contato com a paciente para realizar monitoramento e a mesma solicita novo contato contato amanhã. Está em processo de abortamento"/>
        <s v="(Thiago) Ligar mais tarde; nova tentativa às 11:15"/>
        <s v="Foi à urgência da Unimed, refere melhora progressiva, porém ainda com tosse. Oriento acerca dos sinais de alerta."/>
        <s v="Paciene avaliada ontem na maternidade, prescrito amoxicilina por sinusite. Encerro monitoramento. Seguira em PN de risco habitual."/>
        <s v="Paciente sem queixas no momento. Atendida e avaliada na Arnardo, conforme orientado, sem contrações e colo fechado."/>
        <s v="(ianne) 11h ligo 3x, não atendeu"/>
        <s v="Foi atendida na maternidade, colo fechado , conseguiu marcar consulta de PN para 15/06/2023, oriento repouso, ingesta liquida e acerca dos sinais de alerta."/>
        <s v="Foi atendida na USF (06/06). Nega sinais de alerta. Mantém sintomatologia. Oriento ID, sinais de alerta, telemonitoramento, realizar TR-Ag amanhã. "/>
        <s v="Foi atendida na Maternidade Arnaldo Marques, exames sem alterações. Oriento acerca dos sinais de alerta."/>
        <s v="(taty) paciente submetida pc, puerpera e rn se encotram bem"/>
        <s v="(ianne) Relata que foi na maternidade Arnaldo Marques ontem a noite e hoje pela manha,  liberada apos avaliaçao medica devido a &quot;inicio de trabalho de parto, ainda com 4cm. contraçoes a noite estavam mais intensas, que diminuiram mais agora pela manha. Re"/>
        <s v="Foi à US hoje, prescrito ATB (iniciou uso) e encaminhada para consulta odontológica (aguarda agendamento)."/>
        <s v="paciente nao respondeu ao comando "/>
        <s v="PN sem intercorrências na Maternidade Bandeira Filho"/>
        <s v="thiago (09:12 )  paciente melhora dos sistomas da itu e leucorreia , porem apresentou queixas de emese e diarreia nonitora a tarde . "/>
        <s v="gestante solicita ligação as 10h "/>
        <s v="Não foi à maternidade, pois refere que apresentou melhora dos sintomas. Reforço importância do atendimento presencial. Oriento buscar atendimento na maternidade (hoje) se piora ou presença de sinais de alerta. Encaminho à USF para reagendamento do PN + av"/>
        <s v="(Joanna)  Sem sucesso às 08h"/>
        <s v="(Joanna) "/>
        <s v="solicito que gestante realize teste do covid e busque atendimento presencial, como orientado no atendimento anterior, permanece coriza e tosse "/>
        <s v="(Joanna) Ligar para número da Mãe 81984896307, telefone não recebe chamda"/>
        <s v="09/06 (Taty) Paciente não atendeu às 8h"/>
        <s v="(Thiago) procurou atendimento na UPA de Lagoa Encantada e refere ter recebido alta em seguida com prescrição de um colírio lubrificante e exame clínico sem alterações. Nega queixas obstétricas e refere boa movimentação fetal."/>
        <s v="09/06 (Taty) Não consigo contato com a paciente "/>
        <s v="Refere melhora dos sintomas gripais. Queixa-se de episódio de tontura ao acordar. Nega sinais de alerta. Foi ao CS Monteiro de Morais e não conseguiu agendar PN. Oriento retornar ao CS para agendar PN; oriento sinais de alerta e medidas de alivio para ton"/>
        <s v="(Thiago) Gestante com contrações dolorosas e IG: 35s3d pela DUM, encaminhada a mat. Arnaldo Marques para atend. presencial."/>
        <s v="(taty) Realizado telemonitoramento, gestante orientada o que é fibroma mole e quando ao consultorio de pequenas cirurgia onde pode esta solicitando no posto o encaminhamento se caso seja seu desejo."/>
        <s v="(Lari) Telefone não completa as 16h"/>
        <s v="(Camilla) Não conseguiu contato - tel desligado às 10:42. (Thiago) Não conseguiu contato as 08:20."/>
        <s v="Foi à maternidade, descartou-se TP ativo. Queixa-se de ausência de MF (último às 23h30). Oriento realização do mobilograma. Realizar telemonitoramento às 10h."/>
        <s v="(Marcia) às 08h e às 18:20"/>
        <s v="Foi à maternidade, descartado TPP. Oriento MRPA."/>
        <s v="(Joanna) Ligar para: 81991724644 (número do namorado)"/>
        <s v="Ligar às 10h"/>
        <s v="11/06 ( ana) telefone desligado "/>
        <s v="(Camilla) Não consegui contato às 10:54.(Thiago) Não conseguiu contato as 08:50"/>
        <s v="(Marcia) Número deu ocupado às11:40h /17h Nova tentativa sem sucesso"/>
        <s v="11/06 (taty) Gestante encaminhada para maternidade TP?"/>
        <s v="11/06 ( ana ) orientado sinais de TP e mobilograma, monitoramento em 5dias "/>
        <s v="11/06 (taty) gestante nao atende a ligação tentativa as 10:11"/>
        <s v="Realizado telemonitoramento. Gestante sem queixas. Não fez o TR-ag, nega sintomas gripais. PN agendado para 14/06."/>
        <s v="11/06 (taty) gestante encaminhada para maternidade , referindo cefaleia intensa eregistro de pa 130x90"/>
        <s v="11/06 ( ana) telefoene desligado ( 10:39)"/>
        <s v="(Thiago) Sem sucesso às 08:20"/>
        <s v="(Thiago) Não conseguiu contato as 09:00"/>
        <s v="( taty) 09:56 gestante nao atendeu a chamada "/>
        <s v="(Thiago) Não conseguiu contato as 09:20"/>
        <s v="(Camilla) Não consegui contato às 10:43 - tel desligado. (Camilla) Não consegui contato às 08:30"/>
        <s v="11/06 (taty) nao atendeu as 15:40 tentar em 12/06"/>
        <s v="(Thiago) Sem sucesso às 08:37"/>
        <s v="11/06 ( ana) gestante internada para TPP no Barão de lucena "/>
        <s v="(Thiago) Gestante com IG: 11s5d (DUM: 15/03/2023) refere que procurou a urgência da maternidade Barros Lima ontem com as queixas de dor de cabeça + ardor ao urinar + corrimento em grumos esbranquiçado sem odor, foi examinada e liberada em seguida e no mom"/>
        <s v="Taty (08:19) paciente atendeu o telefone, porem nao entrou no hopchat e nao atende mais "/>
        <s v="(Camilla) Não consegui contato às 08:20 e nem às 10:15."/>
        <s v="(Lari) Paciente refere melhora dos sintomas. Alta do episódio."/>
        <s v="Joanna: tentativa sem sucesso - 8h."/>
        <s v="taty (10:11) Gestante com atendimento marcado, porem refere continuar com os sintomas da leucorreia"/>
        <s v="(Camilla) Realizado telemonitoramento. Gestante se encontra no HMR. Chegou às 14h, com PA 130X90MMHG, classificada como amarela, aguarda atendimento médico. "/>
        <s v="( taty) 10:13 Gestante nao atendeu a chamada "/>
        <s v="14/06 Ianne (09h15) Paciente não atende ligaçao, pelo prontuario atendida em pre natal ontem. HAS em uso de metildopa, perdeu consulta de PNAR, não encontro no sisreg solicitaçao de PNAR. "/>
        <s v="14/06 ianne (09h30) Paciente não atende, avaliar se houve atendimento presencial"/>
        <s v="Usuária de Olinda???"/>
        <s v="(taty) 09:27 gestante sem queixas, aguardando uma USG para definição de conduta "/>
        <s v="Taty (15:26) Telefone desligado. ianne (11h30) telefone desligado, tentar contato novamente a tarde. Insistir um pouco mais, paciente fazendo pico pressorico sem conseguir acesso ontem a consulta presencial"/>
        <s v="thiago(11:20) paciente nao atendeu (taty) ligar as 11h"/>
        <s v=" (ianne) 9h45 -11h30 Tentado entrar em contato diversas vezes com paciente por ligaçao e pelo whatsapp sem sucesso. tentar novamente a tarde"/>
        <s v="ianne (15/06 : 9h30) não atende"/>
        <s v="Joanna (8h): tentativa sem sucesso."/>
        <s v="taty( 10:00) gestante refere melhora dos sintomas. "/>
        <s v="Joanna: Foi à US indicada (Vila Arraes), porém foi informada que não seria a US de área de cobertura. Hoje vai ao CS Olinto Oliveira tentar agendar PN e fazer avaliação. "/>
        <s v="Joanna (9h40): não atendeu"/>
        <s v="ianne (09h44): não atendeu"/>
        <s v="(Thiago) Sem sucesso às 09:10"/>
        <s v="Foi ao CS Olinto Oliveira, porém a enfermeira não estava presente; foi orientada a retornar próxima quinta-feira e buscar atendimento na urgência. Cd: Encaminho à maternidade Bandeira Filho."/>
        <s v="Realizar monitoramento às 18h."/>
        <s v="Foi atendida na Maternidade Barros Lima, observou-se modificações do colo uterino (amolecimento, esvaecimento 50%), aumento das contrações, sendo encaminha ao Hospital das Clínicas. Segue internada no Hospital das Clínicas, feto com boa vitalidade, inicio"/>
        <s v="taty (09:05 ) telefone desligado; Joanna (13h56; 17h22): não atendeu "/>
        <s v="Thiago (8:48) Paciente não atende."/>
        <s v="taty ( 09:05) puerpera, esta na maternidade bandeira filho "/>
        <s v="Joanna (9h39; 14h; 17h23): não atendeu."/>
        <s v="Ligar às 14h (Thiago) 4 tentativas sem sucesso às 15:56 "/>
        <s v="08:40 ( taty) paciente nao atende"/>
        <s v="09:41 (taty) Ligar as 14h; 13h35 (ianne) paciente não atende"/>
        <s v="Foi ao IMIP, avaliação sem alterações (SIC). Segue sem queixas. Oriento acerca dos sinais de alerta e manutenção do PNAR (APS e PNAR)."/>
        <s v="TR-Ag: negativo; Não buscou atendimento presencial, iniciou uso do Aciclovir (oral e tópico) por conta própria, pois, refere que tem herpes labial recorrentemente. Queixa: Coriza, congestão nasal. Nega sinais de alerta. Refere melhora da lesão na boca (cr"/>
        <s v="Encontra-se no HMR, foi medicada, aguarda reavaliação. Oriento realização do MRPA e manutenção do PN."/>
        <s v="Joanna (8h25): não atendeu. 16h30: telefone indisponível."/>
        <s v="taty ( 07:50) paciente a caminho da maternidade par arealizar usg ( ligar a tarde 13:00) "/>
        <s v="ianne (8h30) desligado"/>
        <s v="taty(08:41) paciente solicitou contato a tarde (14h)"/>
        <s v="(ianne) Realizado monitoramento"/>
        <s v="Joanna: não atendeu"/>
        <s v="ianne: Paciente melhorou dos sintomas"/>
        <s v="Taty (08:34) paciente no D7 apresentando coriza e congestao nasal "/>
        <s v="Joanna (8h26, 15h15, 18h20): não atendeu; "/>
        <s v="Aguarda EAS. Mantém desconforto suprapúbico ao iniciar micção. Realizar telemonitoramento."/>
        <s v="Joanna: Foi à USF, foi agendada para o dia 26/06. Refere melhora do desconforto, segue apresentando sensação de cansaço, mal-estar. Taty (15:24) paciente mão atendeu "/>
        <s v="(ianne) 16h15 paciente não atende; Joanna (18h20): não atendeu"/>
        <s v="Thiago (8:30) Tentativa de contato sem sucesso. Thiago (13:56 ) tentativa sem sucesso "/>
        <s v="Realizar nova tentativa em 23/06. ianne (16h) paciente não atende; Joanna (18h20): não atendeu"/>
        <s v="Taty(09:07) Paciente nao atendeu Taty (13:56 ) tentativa sem sucesso "/>
        <s v="Camilla (16h) Tentativa sem sucesso. Taty (13:44) paciente nao atendeu "/>
        <s v="Gestante permanece ainda com queixas eventuais de falta de ar e coração acelerado, porém sem sintomas gripais ou outros sintomas. Como a mesma está vinculada ao pré-natal na APS, fnalizo motiromanto do AG."/>
        <s v="Thiago (09:10) paciente nao atendeu "/>
        <s v="Paciente refere melhora dos sintomas gripais, oriento quanto habitos para melhora dos enjoos"/>
        <s v="Taty (09:00) paciente  não atendeu "/>
        <s v="Paciente na maternidade, aguardando resultado USG  e Glicose, refere melhora na dor pelvica "/>
        <s v="Taty (08/54) Paciente nao atendeu "/>
        <s v="Primigesta, IG = 8s2d (DUM: 30/04/2023), foi encaminhada para avaliação presencial devido sangramento vaginal e dor em BV (tipo cólica). Foi atendida ontem no HMR, exame do colo do útero sem alterações, orientada a retornar hoje pela manhã para realização"/>
        <s v="taty (08:18; 14:6 ) telefone desligado; Joanna (18h): não atendeu"/>
        <s v="taty ( 08:45)  tentativa sem sucesso"/>
        <s v=" Thiago ( 08:40)Gestante afirma que possui 2 números, mas apenas 1 com whatsapp, não concluo atendimento devido interrupção da ligação."/>
        <s v="Mobilograma: + 15 MF."/>
        <s v="Joanna (13h23; 14h15): não atendeu. Às 16h13 atendeu e logo em seguida desligou. Nova tentativa às 17h 24 (telefone desligado)"/>
        <s v="(Lari) Feito contato com a paciente e como ela persistia com dor apesar de analgésico e repouso, encaminhada a urgência"/>
        <s v="Joanna (8h11): não atendeu"/>
        <s v="(Ianne): Realizado teleatendimento e oriento procurar a maternidade devido a sangramento genital associada a prematuridade. Entretanto paciente informa não conseguir ir agora, então oriento ir ao APS ( ja que mais proximo da sua residencia) para avaliação"/>
        <s v="Joanna (8h15; 11h24): não atendeu"/>
        <s v="Joanna (9h6; 10h57): Atendeu e desligou após identificação. Tentar novamente.taty (15:15) paciente nao atendeu; Joanna (17h7): não atendeu."/>
        <s v="Foi à US e não foi avaliada. Mantém dor em BV, sensação de esvaziamento incompleto da bexiga, gotejamento pós-micção. Nega novos episódios de sangramento, último há 2 dias (descreveu como raios de sangue). Oriento buscar atendimento na urgência, visto que"/>
        <s v="Taty (13:30) paciente procurou a APS  PA 110*80 em dois momentos destintos, continua sem conseguir marcação para consulta  e estava a caminho da maternidade por apresentar edema em um miLigar as 13h ( telefone para ligar:81987191246)"/>
        <s v="Joanna (8h42; 10h56): não atendeu. taty( 11:20) nao atendeu "/>
        <s v="Mobilograma - 9 MF. Amanhã tem consulta de PN (rede privada) agendada. "/>
        <s v="Taty (15:20; 15:30) paciente nao atendeu  + Thiago (16:30h) Paciente não atendeu"/>
        <s v="gestante com IG 38s5d pela DUM e 38s2d pela USG com 31s, a mesma refere boa movimentação fetal ao logo do dia. Nega queixas obstétricas como cólicas, contração, perdas vaginais. Nega ainda queixas urinárias. Relata não ter comparecido a última consulta de"/>
        <s v="Joanna (13h13): telefone atendido por alguém chamado Ulises, informou que a gestante não se encontra e que retornasse ligação às 16h."/>
        <s v="Joanna (13h15; 14h16; 16h11; 17h20): não atendeu. "/>
        <s v="05/07 - Refere boa movimentação fetal, foi à consulta de PN ontem - avaliação sem alterações. Sem queixas no momento, nega sinais de alerta. Cd: Oriento paciente sobre sinais de alerta e manutenção do pré-natal."/>
        <s v="Taty (08: 25) paciente iniciou tratamento para candida e continua com dor de garganta, coriza e obstrução nasal "/>
        <s v="Taty ( 10:00) telefone nao completa a ligação"/>
        <s v="Taty ( 09:55) paciente não atendeu"/>
        <s v="Taty (08:29) telefone nao completa ligação "/>
        <s v="05/07: Refere melhor dos sintomas gripais e dor em BV, segue em uso de creme vaginal (Canesten). Sem queixas no momento. Nega sinais de alerta. Cd: Oriento sinais de alerta e manutenção do PN na APS. Joanna (05/07 - 8h45): não atendeu. Joanna (8h15; 11h20"/>
        <s v="Joanna (05/07 - 8h48; 13h54; 16h30): não atendeu. Joanna (8h23; 11h21; 14h5): não atendeu"/>
        <s v="Refere que foi atendida na USF Skylab II (04/07), apresentou PA = 100 x 60, solicitado MRPA, prescrito Paracetamol, reavaliação agendada para 11/07. Não foi encaminhada ao PNAR, mesmo mostrando registro do atendimento do Atende em Casa que recomendava enc"/>
        <s v="Joanna (9h29; 13h37): não atendeu."/>
        <s v="Gestante com 28s2d (DUM e USG) ainda não iniciou tratamento com miconazol, irá recebera medicação na UBS amanhã. "/>
        <s v="Joanna (8h09; 11h16; 14h7; 16h13; 17h20): não atendeu."/>
        <s v="Ligar apos 11h - paciente foi para maternidade (internar); 07/07 (Thiago) Às 11:15h, usuária não atendeu."/>
        <s v="Está internada no CISAM (HAS + DMG)."/>
        <s v="(Thiago) Às 14:30 usuária se encontrava em atendimento no HMR."/>
        <s v="07/07 (taty as 11:32) nao atendeu "/>
        <s v="07/07 (Lari) tentativa às 08:30h; (Thiago) 12:00 usuária não atende"/>
        <s v="Refere que mantém dor em BV tipo cólica, moderada e intermitente há mais de uma semana, porém mais frequente; não observa melhora considerável, apenas alívio momentâneo quando fica em repouso. Oriento atendimento presencial. "/>
        <s v="Gestante EGBom, Glasgow 15, colaborativa, refere não ter tido náuseas e vômitos hoje. Por volta das 11h a PA foi 110x70mmHg, achou por bem fracionar a alimentação para reduzir a possibilidade de enjoo. Está esclarecida quantos aos sinais de alerta para pr"/>
        <s v="Taty (13:38 telefone desligado 10/07 ( taty) nao atendeu as 08:25"/>
        <s v="Refere que ontem apresentou vários episódios de vômito e não conseguiu se alimentar ou ingerir líquido. Hoje apresentou melhora, porém ainda vomitou 5x, está com dor no peito ao respirar devido esforço para vomitar, conseguiu ingerir líquidos e se aliment"/>
        <s v=" TATY (12:40)Paciente  41s encontra-se internada em TP ( perda de tampao mucoso e contraçoes ritmicas e intensa )"/>
        <s v="Taty ( 13;51) paciente refere melhora nos sintomas e nao realizou a urocultura como solicitado )"/>
        <s v="(10:10 - Camilla) Falo com gestante pelo celular e ela informa que está a caminho &quot;da consulta com a médica&quot;. Combino de ligar à tarde. "/>
        <s v="Gestante refere que dor melhorou. Oriento que observe e se piorar, busque a unidade de saúde. Reforço a importância do PN na próxima semana"/>
        <s v="Taty ( 08::20)paciente nao atendeu "/>
        <s v="Foi avaliada na Maternidade Barros Lima, prescrito Buscopan, realizará USG hoje. ianne (08h10): Usuaria não atende ligaçao"/>
        <s v="TATY (15:00) Paciente nao procurou atendimento presencial como orientado , porem hoje refere melhora dos sintomas. seguindo o protocolo para sintomais gripais. encaminho paciente para atendimento presencial e tr para COVID "/>
        <s v="taty(08:24 ) telefone nao esta disponivel no momento"/>
        <s v="Foi à USF Coque (12/07), porém foi informada na recepção que não tinha profissional disponível na USF para realizar o atendimento. Orientada a retornar na segunda-feira. Também não conseguiu agendar exames porque a técnica está de licença. Não buscou aten"/>
        <s v="Joanna (14h35; 15h; 18h): não atendeu."/>
        <s v="14/07, ás 10:00h, usuária refere melhora dos sintomas, iniciou acompanhamento com psiquiatra e aguarda resultado de exames para iniciar o pré-natal. Encerro ciclo de monitoramento do AG."/>
        <s v="Ianne&gt; Solicitado uroc// encaminhada para marcar consulta pre natal em UBS. Monitoramento segunda para checar acessoa ao pre natal e exame."/>
        <s v="Camilla (09:08) "/>
        <s v="Joanna (8h57; 14h13;16h17; 17h11): não atendeu"/>
        <s v="(Thiago) Às 08:35h, 09:43h, paciente não atende à ligação."/>
        <s v="Joanna (8h59; 14h15; 16h18; 17h13): não atendeu"/>
        <s v="A paciente entrou via demanda espontânea após tentativas sem sucesso de telemonitoramento."/>
        <s v="14/07 (09:05)Paciente informa  que ontem apresentou piora dos sintomas cefaleia e êmese, procurando a emergência  da Maternidade Arnaldo Marques, avaliada PA 100*80, medicada e liberada, hoje refere melhora dos sintomas, nega sinais de alerta, distúrbios "/>
        <s v="Foi ao HMR, confirmou-se ITU (EAS com alteração, resultado da urocultura estará disponível dia 19/07), prescrito Nitrofurantoína 100mg 6/6h, retornará para reavaliação no HMR dia 19/07."/>
        <s v="Joanna (9h30; 14h16): não atendeu; 16h18; 17h13 - desligado"/>
        <s v="Ligar às 13h - Thiago, em 16/07/23 às 13:40h, paciente se encontrava na Maternidade Arnaldo Marques para atendimento."/>
        <s v="16/07 Ana Cintra (10:00), paciente não atende à ligação."/>
        <s v="Taty (09:20) paciente refere melhora dos sintomas ( diarreia e emese )"/>
        <s v="16/07 Ana Cintra (17:30) (18:00), paciente não atende à ligação."/>
        <s v="Taty( 08:50) telefone desligado "/>
        <s v="camilla (10:30) taty ( 07:50) telefone oculpado "/>
        <s v="Taty (15:37) gestante com mobilograma normal, porem refere disuria ( ardencia em uretra e dor ao final da micção) , e dor em BV "/>
        <s v="Taty ( 08:11) telefone oculpado; Joanna (14h; 17h): telefone desligado"/>
        <s v="Não realizou EAS + urocultura. Mantém queixa. Joanna (8h16): não atendeu. "/>
        <s v="(Fabiane) Às 08:50h, paciente não atende à ligação. 10:00h, Paciente colheu urocultura hoje, consulta PN na APS 25/07, sem queixas no momento, alta do monitoramento."/>
        <s v="ligar as 13h (Taty) Telefone não completa chamada"/>
        <s v="Refere que foi ao CS Prof Joaquim Cavalcante para agendar PN em 20/07, foi orientada a aguardar visita do ACS com programação da consulta de PN. PN na rede privada está agendado para o dia 01/08."/>
        <s v="Gestante refere que foi atendida na USF Brasilit e que foi informada sobre a possibilidade de reação alérgica, sem outras alterações identificadas. Durante telemonitoramento a ligação caiu e não foi possível estabelecer novo contato. Encerro telemonitoram"/>
        <s v="Foi à Maternidade Prof. Bandeira Filho, porém não aguardou atendimento. Refere melhora da disúria e cólica. Mantém pirose e desconforto gástrico leve (flatulência). Nega queixas obstétricas e sinais de alerta."/>
        <s v="(THIAGO) Às 09:00h, usuária não atende à chamada."/>
        <s v="(THIAGO) Às 09:05h, usuária compareceu em 22/07/23 à maternidade Arnaldo Marques, foi avaliada, medicada e liberada em seguida com melhora importante do quadro de dor em baixo ventre e contrações. Encerro monitoramento."/>
        <s v="(THIAGO) Às 09:50h, 10:20h, usuária não atende à chamada."/>
        <s v="(ianne) 03h35: paciente não atendeu. Joanna (15h7; 17h): não atendeu"/>
        <s v="(ianne) Orientaçoes de manter PNAR"/>
        <s v="Ligar a tarde, está indo fazer USG"/>
        <s v="(ianne) Paciente internada no HMR para controle pressorico"/>
        <s v="Joanna  (15h; 15h30; 17h): telefone indisponível"/>
        <s v="(taty) Paciente encontr-se internada no Hospital Barão de Lucena, desde do dia 27/07/2023,  para controle pressórico. prescrito MgSO4 e hoje em uso de metildopa., oligodramnio? Devido paciente ja internada no hospital Barão de Lucena  com assistência gara"/>
        <s v="Refere melhora da lombalgia, mantém contrações indolores. Oriento acerca dos sinais de alerta e TP, manutenção do PN na APS."/>
        <s v="Ligar às 9h (Ana Cintra) Às 09:15h, usuária não atende à chamada."/>
        <s v="Paciente refere que caiu da própria altura no dia 29/07/23  devido o chão esta molhado, no momento sem queixas ,refere melhora da cólica e nega sinais de alerta."/>
        <s v="PACIENTE NAO ATENDEU (16:30); Joanna (17h05): não atendeu"/>
        <s v="Ligar às 13h  *Joanna (13h24; 17h): não atendeu."/>
        <s v="Taty (09:06 ) Telefone nao completa a ligação "/>
        <s v="(Marta) Ligar a tarde, DS informa ES que usuária será atendida hoje na USF"/>
        <s v="Ligar para esse numero 81993804960. (Thiago) Às 14:48h, 17:09h, usuária não atande à chamada."/>
        <s v="(Thiago) Às 15:45, usuária não atende à chamada."/>
        <s v="Taty (16:19) telefone desligado ligar apos 16h - paciente encaminhada para urgencia"/>
        <s v="(Thiago) Às 15:47h, paciente refere que procurou o posto de saúde hoje pela manhã, onde foi afrida PA e glicemia capilar, estando ambos normais. Nega outras quaixas. Encerro monitoramento."/>
        <s v="Taty (09:15) ligar a tarde 14h, paciente na policlinica para realizar USG "/>
        <s v="Joanna (9h19): telefone indisponível. 12h52: Encontra-se na Maternidade Bandeira Filho, pariu hoje, segue sem queixas."/>
        <s v="Taty ( 09:25) ligar as 17h telefone do esposo, ele nao estava em casa ( 11:30) monitoramento realizado, gestante nao procurou o serviço como orientado, relata que ira hoje , mantem queixas, porem durante o atendimento nao foi relatado contrações "/>
        <s v="(Thiago) Às 10:22h, usuária não atende à chamada. (Thiago) Às 15:48h, usuária não atende à chamada."/>
        <s v="(Ana Cintra) Às 8:40h usuária não atende à chamada."/>
        <s v="08/08 (Lari) Paciente bastante ansiosa, refere sincope e persistencia da cefaleia. Encaminho a emergencia."/>
        <s v="(Ana Cintra) Às 8:50h usuária não atende à chamada."/>
        <s v="(Thiago) Às 15:00h, usuária não atende à chamada."/>
        <s v="(Thiago) Às 09:47h, usuária não atende à chamada."/>
        <s v="(Camilla) Às 16:10, celular da paciente desligado"/>
        <s v="taty(09:09 ) Paciente refere melhora do sangramento feito orientação "/>
        <s v="TATY (09:31)  Tentativa sem sucesso "/>
        <s v="Joanna (8h55): solicitou que ligasse às 14h. Joanna (14h10; 16h39): não atendeu"/>
        <s v="11/08 (Lari) Realizado monitoramento. Prescrito antibiotico para sludge. Paciente sem sangramento. PN agendado."/>
        <s v="ligar as 10h, avaliação do mobilograma - (Marta) Entrou novamente como demanda espontânea, colocado monitoramento para amanhã devido encaminhamento à maternidade"/>
        <s v="11/08 (Lari) Paciente não atendeu. Taty ( 08:27) Paciente nao atendeu "/>
        <s v="(Thiago) Às 09:23h, telefone da usuária não recebe a chamada."/>
        <s v="Elaine (9h; 11h15): não atendeu."/>
        <s v="Taty ( 08:52) Telefone desligado (10:24) Telefone desligado (12:26 ) telefone desligado "/>
        <s v="( ianne) 13h30 gestante não atende ligaçao"/>
        <s v="Taty (08:42) Paciente nao atendeu (10:23) Paciente nao atendeu ( 12:20) nao atendeu "/>
        <s v="(Thiago) Às 11:15h, gestante com quadro inalterado de pródromos de TP, contactar às 15h para nova reavaliação."/>
        <s v="(Thiago) Às 16:00h, usuária encaminhada à Barros Lima, IG 41s."/>
        <s v="Taty ( 08:37) Telefone desligado ( "/>
        <s v="Taty (14:51 ) telefone desligado "/>
        <s v="Taty( 08:15) Telefone não nao existe "/>
        <s v="Taty ( 08:10) paciente não atendeu "/>
        <s v="(Thiago) paciente fora da residência, pede para retomar a ligação às 9:00h."/>
        <s v="Taty ( 09:06 ) telefone desligado "/>
        <s v="(Thiago) Às 18:10h, paciente encaminhada a Barros Lima para avaliação presencial por sangramento transvaginal e pródromos."/>
        <s v="Taty ( 09:13) telefone desligado "/>
        <s v="Fabiane (14:50) Paciente não realizou o teste para covid 19, D5 do inicio dos sintomas"/>
        <s v="TATY (09:20) Paciente encontra -se internada na barro Lima em trabalho de parto. , "/>
        <s v="(Thiago) Às 08:00h, usuária não atende à chamada."/>
        <s v="Faltou colocar resumo do monitoramento"/>
        <s v="11:40 ( taty) Paciente nao atendeu "/>
        <s v="(Thiago) Às 08:30h, usuária realizou teste para covid19 - negativo."/>
        <s v="Gestante sem queixas no momento. Oriento manutenção do PN e urocultura de controle após tto de ITU."/>
        <s v="taty ( 12:35 Paciente refere diminuição da dor, porem ainda exteriorizada  , ausência de evacuações hoje , continua com os cuidados orientados "/>
        <s v="(Camilla) Tento contato às 08:18, sem sucesso (telefone fora de área ou desligado)"/>
        <s v="(Fabiane) tento contato as 14:00 sem sucesso "/>
        <s v="Às 09:12 não atendeu."/>
        <s v="taty ( 09:19) paciente refere melhora da falta de ar, porem relata vertigem / tontura, refoço a importancia da avaliação na APS"/>
        <s v="Taty( 09:58) telefone desligado "/>
        <s v="TATY (08:16) Paciente nao atendeu "/>
        <s v="Taty ( 10:04) Paciente nao atendeu "/>
        <s v="Taty( 09:49) Paciente nao atendeu "/>
        <s v="Taty (09:46) Paciente nao atendeu"/>
        <s v="ianne: Ajustado metildopa. Ofertado TINC"/>
        <s v="ianne (08h30) telefone desligado"/>
        <s v="23/08 15h (Lari) Realizado monitoramento. Paciente assintomática, procurou atendimento com PA normal. R// AAS + Cálcio"/>
        <s v="Taty (15:21) Não completa ligaçãi pelo fixo  "/>
        <s v="ianne: orientaçoes sobre puerperio/ rede de apoio/ descanso"/>
        <s v="ianne: paciente com melhora dos sintomas. solicito urocultura pós tratamento p ITU"/>
        <s v="(Thiago) Às 08:22h, usuária não atende à chamada."/>
        <s v="(Thiago) ÀS 08:34h, telefone da usuária desligado."/>
        <s v="taty( 10:54) telefone desligado "/>
        <s v="Taty( 11:20) paciente procurou atendimento presencial, sem queixas e refere melhora do sangramneto "/>
        <s v="08:34 (taty) paciente nao atendeu "/>
        <s v="8h25 (Lari) Não atedeu"/>
        <s v="Entrou como demanda diura hoje - registrado como teleconsulta (Marta). (Taty) Paciente informou que procurou atendimento presencial , onde realizou uma nova USG transvaginal , medicada e recebeu alta, hoje sem queixas "/>
        <s v="(Thiago) Às 13:20h, usuária não atende à chamada."/>
        <s v="09:07( taty) telefone sesligado "/>
        <s v="09:39 (Taty) Não atendeu a chamada "/>
        <s v="( Thiago) Às 15:35h, o telefone da usuária não está disponível."/>
        <s v="08:22 (Taty) paciente nao atendeu"/>
        <s v="Ajuste de drogas para crise de asma. Reavaliação com 48h."/>
        <s v="(Thiago) Às 08:57h, usuária não atende à chamada."/>
        <s v="08h30 Paciente não atende. Entretanto pelo PEC foi atendida pela unidade de saude e agendado coleta deo teste do covid"/>
        <s v="08h40 Paciente não atende. Checar se melhora de nauseas e vomitos, oferecer tinc e sinalizar criterio de PNAR para equipe assistente (obesidade)"/>
        <s v="09h Paciente não atende. Avaliada por tele atendimento por enfermeira da unidade ontem. Atenção para não termos atrasos no inicio de antibioticoterapia"/>
        <s v="(Thiago) Às 09:01h, usuária não atende à chamada."/>
        <s v="(Thiago) Às 09:05h, usuária não atende à chamada."/>
        <s v="(Thiago) Às 09:09h, usuária não atende à chamada."/>
        <s v="09:04 (taty) no momento da ligação paciente esta no posto para consulta "/>
        <s v="09:12 (taty) telefone desligado; 16:34 chama e não atende."/>
        <s v="(Thiago) Às 09:50h, familiar informa que a usuária encontra-se internada na maternidade Arnaldo Marques, realizou PC em 07/09, por apresentação pélvica, sem intercorrências. Como não realizei valiação da paciente, não efetuo registro no PEC."/>
        <s v="(Thiago) Às 11:00h, paciente refere melhoras das dores e do sangramento. Encerro monitoramento."/>
        <s v="(Thiago) Às 15:48h, usuária refere melhora da cefaleia e da náusea. Encerro monitoramento."/>
        <s v="(Thiago) Às 09:16h, a usuária não atende à chamada."/>
        <s v="Ligar após 17h (Thiago) Às 17:25h, usuária não atende à chamada."/>
        <s v="(Thiago) Às 09:18h, a usuária não atende à chamada."/>
        <s v="(Thiago) Às 11:00h, gestante encaminhada à Barros Lima para avaliação obstétrica por diminuição dos movimentos fetais."/>
        <s v="(Thiago) Às 12:27h, usuária informa que está a caminho de sua consulta no PNAR do HMR, mas não conseguiu comparecer à maternidade para avaliação presencial ontem. Confirmar acesso à consulta de hoje no final da tarde."/>
        <s v="(Thiago) Às 17:58h, gestante mantendo sinais e sintomas leves de pórdromos do TP. Encerro monitoramento do AG."/>
        <s v="taty ( 08:26 ) paciente nao atendeu)"/>
        <s v="taty ( 13:30) paciente nao procurou o serviço como orientado anteriomente, paciente com queixas de cefaleia e diminuição dos MF, no momento do telemonitoramento PA 114x78, auto aferiçao supervisionada"/>
        <s v="TATY ( 09:03) telefone oculpado "/>
        <s v="(Thiago) Às 16:26h, o número da usuária não está recebendo ligação."/>
        <s v="(taty) Paciente buscou atendimento presencial, realizou USG, cardiotoco, rotina de PE, iniciou metildopa. hoje refere cefaleia "/>
        <s v="Taty ( 11:00) Paciente  procurou o ambulatorio do ham e marcou PNAR para  20/09, no  momento da teleconsulta referiu melhora da cefaleia e negou qualquer sinal de eminincia ou outra queixa. "/>
        <s v="ianne (8h35) telefone desligado"/>
        <s v="Lari (14h) Encaminho a Maternidade 36s3d com dor a cada 1h"/>
        <s v="Taty ( 08:05) Microcip sem funcionar "/>
        <s v="ianne (8h45) telefone desligado"/>
        <s v="Não foi à USF, irá buscar atendimento segunda-feira. Refere melhora do corrimento, mantém prurido discreto. Nega sinais de alerta e outras queixas."/>
        <s v="(Thiago) Às 14:48h, usuária não atende à chamada."/>
        <s v="19/09 10h (Lari) Paciente não atendeu"/>
        <s v="17 /09 (taty) MicroSip sem funcionar as 10:40  as 13:17, as 14:11"/>
        <s v="taty ( 13:08) Paciente nao atendeu (Thiago) Às 15:33h, usuária não atende à chamada."/>
        <s v="ianne (15:17) Atende e desliga em seguida"/>
        <s v="(Thiago) Às 13:00h, gestante não compareceu à maternidade Bandeira Filho, refere melhora da dor lombar e que realizará consulta marcada em seu pré-natal em 48h."/>
        <s v="Joanna (9h10): não atendeu"/>
        <s v="Joanna (9h; 17h48): não atendeu"/>
        <s v="Refere melhora da cefaleia. Informo acerca da consulta agendada na USF (22/09 às 8h)."/>
        <s v="ianne (16h45) telefone desligado"/>
        <s v="Gestante nega perda de líquido há 24h e refere movimentos fetais normais."/>
        <s v="(Thiago) Às 15:30h, gestante refere melhora do quadro. Encerro monitoramento."/>
        <s v="Taty ( 10:56) paciente procurou atendimento presencial, a causa do sangramento seria hemorroida, PA normal e no momento sem queixas "/>
        <s v="(Thiago) Às 10:22h, usuária não atende à ligação. taty (12:48) paciente nao atendeu"/>
        <s v="(Thiago) Às 08:00h, usuária não atende à chamada.(Thiago) Às 14:23h, usuária não atende à chamada."/>
        <s v="(iann) 13h55 paciente não atende ligação"/>
        <s v="15h30 chama 1x e cai."/>
        <s v="Ligar as 14h30, pela manha paciente no PN "/>
        <s v="Paciente não foi para atendimento presencial, refere que as contrações cessaram."/>
        <s v="Joanna (8h38): não atendeu / Fabiane (15:10) Número ocupado"/>
        <s v="DU 3/45&quot;60&quot;40&quot;/10'. Encaminho à maternidade (HMR)."/>
        <s v="08h20 (Lari) Paciente sem queixas, vai agendar PN hoje."/>
        <s v="Joanna (17h; 17h30): Não atendeu"/>
        <s v="Encontra-se na MBF, parto cesareo (28/09 às 20h32), sem queixas. "/>
        <s v="(Thiago) Às 08:25h, usuária não atende à chamada."/>
        <s v="Taty (08:41) pacente encontra-se na maternidade foi avaliada ontem como orientado e hoje aguardando para USG liga para 07h 83996325965 (esposo ) seu numero é so whatsapp "/>
        <s v="Não atende (16h)"/>
        <s v="(Ianne) paciente com melhora do quadro respiratorio. Apresenta desejo de LTB, em SISREG solicitação de planejamento familiar desde maio, permanece em fila. Martinha informa que já foi realizado evento sentinela desta situação"/>
        <s v="taty ( 16:00) monitoramento realizado, paciente sem sangramento, contração de treinamento"/>
        <s v="Fabiane (08:50) telefone na caixa postal. Joanna (13h16): não atendeu"/>
        <s v="Taty ( 14:51) encaminho paciente a materniddae contraçoes ritimadas, dolorosa (4 em 10mim)"/>
        <s v="taty (08:57) nao atendeu"/>
        <s v="Taty (08:44) paciente refere esta sem queixas, continua com presença de secreçao descreta, sem prurido e odor "/>
        <s v="Não foi à US porque o ACS informou que o atendimento deveria ser urgência obstétrica. Encaminho novamente à APS."/>
        <s v="(Thiago) Às 13:40h, usuária não atende à chamada."/>
        <s v="Mobilograma sem alteração. Oriento manutenção do PN (agendar consulta), oriento acerca dos sinais de alerta e trabalho de parto."/>
        <s v="Joanna (8h25): não atendeu"/>
        <s v="Encaminhada a maternidade para avaliação do bem-estar fetal por idade gestacional e pródromos de trabalho de parto."/>
        <s v="Taty (10/10) realizo monitoramento, paciente nega queixas, porem perfil glicemico alterado, encaminho a mesma a APS apos realização TINC com dra Jessica. "/>
        <s v="Gestante encontra-se na Maternidade Professor Arnaldo Marques com indução de trabalho de parto iniciada por idade gestacional."/>
        <s v="(Thiago) Às 08:20h, paciente não atende à chamada."/>
        <s v="Ligar 11/10 - usuária estava na maternidade aguardando atendimento. Se não atender nessa data, colocar falta"/>
        <s v="(Camilla) Gestante encaminhada para atendimento médico para atestado médico."/>
        <s v="Encerramento do monitoramento."/>
        <s v="ianne (15h30) ligação cai"/>
        <s v="Joanna (13h; 15h30; 17h30): não atendeu"/>
        <s v="Encaminhada para maternidade. "/>
        <s v="Parto cesáreo realizado hoje (IMIP)."/>
        <s v="(Thiago) Às 08:30h, 10:30h, usuária não atende à chamada. (Thiago) Às 13:30h, 16:00h, usuária não atende à chamada."/>
        <s v="Foi à Maternidade Barros Lima em 13/10. Refere que não apresentava alterações ao exame físico. Orientada a retornar caso entre em TP ou apresente queixas. No momento, segue sem queixas ginecológicas e sinais de alerta, com melhora do quadro de cefaleia. M"/>
        <s v="(Thiago) Às 09:50h, 11:18h, usuária não atende à chamada."/>
        <s v="Informa que não foi à US, pois apresenta redução do corrimento vaginal. No momento, o corrimento está em menor quantidade, porém, mantém as características iniciais. Informa que buscará atendimento amanhã. Cd: Enc para atendimento presencial; reforço impo"/>
        <s v="Nega novo episódio de sangramento e outras queixas obstétricas. Cd: Oriento acerca dos sinais de alerta, manutenção do PN, finalizo telemonotoramento."/>
        <s v="Foi à urgência obstétrica do Hospital Barão de Lucena em 16/10. Recebeu diagnóstico de candidíase vaginal, prescrito Nitrato de Miconazol (1x/noite por 7 dias), realizou USG TV. Refere que foi informada acerca da possibilidade de aborto, visto que a USG e"/>
        <s v="10h Pct sem novas queixas. Oriento sinais de alerta. Alta do episódio."/>
        <s v="(Camilla) 08h12 - Falo com gestante pelo telefone, ela pede para ligar às 16h, quando estiver em casa de volta do trabalho."/>
        <s v="(Thiago) Às 08:08h, usuária não atende à chamada."/>
        <s v="(Thiago) Às 08:12h, 11:20h, usuária não atende à chamada."/>
        <s v="(Thiago) Às 08:35h, paciente encerrou a chamada antes do término do atendimento. Tentar novamente contato. Às 11:20h, usuária não atende à chamada."/>
        <s v="(Thiago) Às 08:45h, 11:25h, usuária não atende à chamada."/>
        <s v="Fabiane (08:55) telefone na caixa postal"/>
        <s v="(Thiago) Às 14:21h, usuária não atende à chamada."/>
        <s v="Taty ( 08:34) nao atendeu; Joanna (10h30): não atendeu"/>
        <s v="Taty ( 09:23) Paciente nao atendeu "/>
        <s v="taty (18:16) paciente encaminhada a emergencia TPP?"/>
        <s v="Taty (09:11) Paciente procurou atendimento presencial, avaliada e liberada , oriento paciente "/>
        <s v="Às 14:24, gestante atende e quando me identifico, ligação cai. Ligo novamente e não atende."/>
        <s v="Não atendeu"/>
        <s v="(Lari) Alta do monitoramento. Não está em fase ativa"/>
        <s v="Taty (08:50)  no momento do teleatendimento estava  internada na HBL, após transferência da Maternidade bandeira filho, onde procurou atendimento presencial; no memento refere dor lombar e em MIE, em tratamento para ITU e foi interrogado TVP em MIE , agua"/>
        <s v="Refere que continua com tosse, nega presença de novos sintomas, queixas obstétricas e sinais de alerta. Em uso: Predsim + Arlivry. TR-Covid (23/10): negativo. Próxima consulta de PN: 30/10."/>
        <s v="(30/10 Taty - 08:19) paciente nao atendeu"/>
        <s v="Taty (08:42) paciente nao atendeu"/>
        <s v="(30/10 taty - 08:22)  Paciente estava no USF para PN, Tentar a tarde"/>
        <s v="Joanna (12h; 14h; 16h20): não atendeu"/>
        <s v="(Thiago) Às 11:15h, usuária não atende à chamada."/>
        <s v="(Thiago) Às 17:10h, usuária não atende à chamada."/>
        <s v="Joanna (17h30): não atendeu"/>
        <s v="Joanna (17h35): não atendeu"/>
        <s v="Joanna (17h45): não atendeu"/>
        <s v="taty (09:08) paciente nao atendeu. (Thiago) Às 17:05h, usuária não atende à chamada."/>
        <s v="(Lari) 08h30 Paciente não atendeu"/>
        <s v="(Thiago) Às 17:12h, usuária não atende à chamada."/>
        <s v="(Lari) 08h35 Paciente não atendeu. "/>
        <s v="9h(ianne) atende e desliga// depois não atende mais"/>
        <s v="(Lari) 08h40 Paciente não atendeu. "/>
        <s v="Joanna (9h22; 12h; 14h; 17h26): não atendeu"/>
        <s v="08h40 (ianne) Não atende)"/>
        <s v="08:36 (Camilla) Gestante refere melhora do quadro gripal (D8 hoje) e confirma que compareceu a sua 1ª consulta de PN no dia 31/10. Alta do episódio."/>
        <s v="Joanna (15h; 17h20): telefone indisponível."/>
        <s v="09:45 (Camilla) Usuária refere ausência de sangramento e outros sintomas. Dou alta do episódio."/>
        <s v="Refere que realizou o mobilograma novamente e constatou 10 movimentos fetais. Nega queixas obstétricas no momento. Finalizo telemonitoramento."/>
        <s v="Joanna (11h): atendeu e desligou. 14h20 - não atendeu."/>
        <s v="(Thiago) Gestante compareceu para atendimento presencial na Arnaldo Marques ontem, foi medicada, refere melhora da dor em região dorsal e iniciará tratamento para ITU com cefalexina hoje, conforme prescrito durante atendimento."/>
        <s v="Taty (11H) Paciente esqueceu o celular na casa da mae, ligar as 15:30"/>
        <s v="Às 10h, telefone fora de área ou desligado."/>
        <s v="Joanna (15h; 17h; 18h): não atendeu"/>
        <s v="Às 15h15, ligo, mas gestante não atende. (ligar as 15h para reavaliar perda de liquido? )"/>
        <s v="Fabiane (08:40) paciente não atende."/>
        <s v="(Thiago) Às 8:07h, usuária não atende à chamada."/>
        <s v="(Lari) 08h Paciente não atende"/>
        <s v="Taty (17h) paciente nao atendeu"/>
        <s v="Taty ( 09:44) ITU , 28/"/>
        <s v="taty(09:11) Paciente estava no posto, aguardando confirmação de atendimento "/>
        <s v="Gestante foi para avaliação presencial no hospital da mulher. Refere melhora da cólica. Encerro monitoramento. "/>
        <s v="Encaminhada para Ianne -  discussão de ITU"/>
        <s v="Joanna (13h30; 18h): não atendeu"/>
        <s v="Refere que não buscou atendimento presencial e que irá na próxima sexta. Mantém coriza, mas apresenta melhora considerável. Nega sinais de alerta e queixas obstétricas. Cd: Reforço importância da avaliação presencial e realização do TR Covid; Oriento paci"/>
        <s v="(Thiago) Às 08:20h, usuária não atende à chamada."/>
        <s v="USG evidenciando istmocele e possível adenomiose; Gravidez não confirmada. Cd: Recomendo que busque atendimento na US de referência para seguimento do caso. Finalizo telemonitoramento. "/>
        <s v="(Thiago) Às 15:05h, usuária não atende à chamada."/>
        <s v="(Thiago) Às 08:50h, 10:20h, usuária não atende à chamada."/>
        <s v="(Lari) Paciente informa que conseguiu agendar PN para amanha"/>
        <s v="Fabiane (08:35). Gestante refere que a diarreia já cessou. Encerro monitoramento."/>
        <s v="(Lari) Realizo monitoramento, ainda não foi avaliada pela suspeita de TVP. Vai para o HMR."/>
        <s v="Gestante conseguiu acesso ao pré-natal ontem. De acordo com seu relato, tudo está transcorrendo bem na gestação. Foi orientada a buscar a urgência em caso de sinais de TP e/ou sinais de alerta e/ou com 41s (dia 25/11) para avaliação obstétrica. Encerro o "/>
        <s v="(Thiago) Usuária realizou novo atendimento e foi encaminhada para Bandeira Filho com BR."/>
        <s v="Fabiane (15:00) Gestante foi para avalição presencial. Foi descatado TPP, foi medicada e liberada."/>
        <s v="Joanna (8h; 9h): não atendeu."/>
        <s v="Gestante com quadro sugestivo de franco TPP, aciono SAMU para remoção para maternidade mais próxima - Arnaldo Marques."/>
        <s v="Fabiane (08:40) telenofe na caixa postal."/>
        <s v="taty (08:30) paciente se encontra na maternidade  bandeira filho, pariu 22/11 as 19:48, puerpera e RN estao bem "/>
        <s v="Gestante informa que sangramento cessou. Nega outros sintomas. Encerro o caso"/>
        <s v="ligar a tarde, paciente sem poder falar;   Taty ( 13:51) nao atendeu"/>
        <s v="taty (09:13) paciente nao atendeu ( nao atendeu 13:50 )"/>
        <s v="(Lari) Paciente refere que procurou a maternidade, foi avaliada, afastado TPP e foi liberada."/>
        <s v="(Thiago) Às 08:25h, 09:25h, usuária não atende à chamada."/>
        <s v="Usuária compareceu a UPA, foi prescrito dipirona e repouso. Refere melhora dos sintomas."/>
        <s v="28/11: Assintomática no momento, não foi à USF, irá próxima sexta, enfermeira ciente do caso."/>
        <s v="Joanna (8h6; 10h58; 12h45; 15h42; 17h21): não atendeu"/>
        <s v="Fabiane (15:00) telefone na caixa postal."/>
        <s v="Fabiane (15:15) telefone na caixa postal."/>
        <s v="Mobilograma - 5MF/1h, dor élvica associada a micção"/>
        <s v="Entrou como demanda noturna. DU: 3/50&quot;90&quot;53&quot;/10'. Cd: Encaminho à maternidade."/>
        <s v="Joanna (17h30): número indisponível"/>
        <s v="Refere que foi atendida na Maternidade Bandeira Filho, ficou em observação devido dilatação do colo uterino = 3cm e contrações, porém, após as 12h as contrações diminuíram. Sendo assim, foi orientada a retornar para nova avaliação se as contrações retorna"/>
        <s v="Joanna (8h30; 14h15; 16h35; 17h15): não atendeu"/>
        <s v="taty (08:47) paciente nao atendeu (12:30) Não atendeu"/>
        <s v="Joanna (8h36; 13h55; 17h29): não atendeu"/>
        <s v="informa melhora da cefaleia após uso do Paracetamol. Segue sem outras queixas ou sinais de alerta."/>
        <s v="Joanna (15h; 15h30; 16h25; 17h20): telefone desligado"/>
        <s v="(Thiago) Às 09:30h, 10:30h, 11:30h, telefone indisponível."/>
        <s v="Gestante refere que &quot;a dor de dente passou&quot; e que tomou dipirona apenas no domingo. Tem consulta de PN e odontológica dia 20/12. Dou alta do evento e finalizo atendimento."/>
        <s v="(Lari) Paciente internada no IMIP por TPP + iteratividade "/>
        <s v="Ligar às 15h (Thiago) Às 15:20h, o telefone da usuária não está disponível. "/>
        <s v="(Thiago) Às 17:25h , não consigo contato com usuária por nenhum número cadastrado."/>
        <s v="Gestante informa que sangramento cessou e que não está mais sentindo cólicas. Foi examinada na Barros Lima, com colo fechado ao toque vaginal. Hoje decidiu fazer uma USG particular que está agendada para as 17h. Como sintomas cessaram, oriento que agende "/>
        <s v="Fabiane (08:30) Paciente refere que foi para atendimento presencial. Relata melhora dos sintomas. Encerro monitoramento."/>
        <s v="Gestante procurou a Bandeira Filho e foi transferida para o HBL, onde se encontra internada para tratamento clínico."/>
        <s v="Fabiane (09:30) Paciente não atendeu. (15:30) Telefone não chama."/>
        <s v="Gestante refere que foi atendida na Bandeira Filho ontem, conforme orientada pela equipe do Atende. Hoje, nega queixas. Dou alta do episódio e encerro caso."/>
        <s v="Fabiane (11:10) Paciente não atendeu. (15:40) Telefone na caixa postal."/>
        <s v="Joanna (10h; 14h; 15h; 16h33; 17h37): não atendeu"/>
        <s v="Joanna (10h): não atendeu"/>
        <s v="Joanna (9h6): telefone desligado"/>
        <s v="Joanna (9h6; 11h11; 14h30; 17h08; 17h50): telefone desligado; Registro falta no PEC."/>
        <s v="Refere que mantém contrações irregulares de intensidade variável (registro do horário das últimas contrações: 13h40; 14h15). Nega perdas vaginais, cefaleia e outros sinais de de alerta. Refere que mantém o mesmo padrão de movimentação fetal. Cd: Ir a mate"/>
        <s v="Refere melhora da dor de cabeça após uso do Paracetamol 500 mg. Nega outras queixas."/>
        <s v="Fabiane (09:30) Telefono na caixa postal."/>
        <s v="Gestante sem perda de LA. Normotensa, sem contrações. Oriento observar sinais de alerta e ou trabalho de parto e comparecer ao PN dia 13/12."/>
        <s v="(Lari) Realizo telemonitoramento. Pct sem queixas"/>
        <s v="Foi atendida na APS, PA normal. Pródromos de trabalho de parto."/>
        <s v="Gestante foi para atendimento presencial na Barros Lima foi avaliada, medicada e liberada. Estava em falso trabalho de parto. Encerro monitoramento."/>
        <s v="Ligar as 15h Confirmar acesso"/>
        <s v="(Thiago) Às 10:26h, usuária não atende à chamada"/>
        <s v="Joanna (13h; 15h37): não atendeu"/>
        <s v="telefone do marido - ligar as 16h30. Tentamos contato, mas não atende. Telefone da filha cauane: 992627834"/>
        <s v="Ligar às 13h"/>
        <s v="(Thiago) Às 10:32h, usuária não atende à chamada."/>
        <s v="Joanna (11h46): telefone ocupado"/>
        <s v="(Thiago) Às 11:49h, gestante clinicamente bem, encerro monitorameto."/>
        <s v="Ligar para 8618-1502 (Thiago) Às 10:00h,12:00h, usuária não atende à chamada."/>
        <s v="(Thiago) Às 12:10h, gestante clinicamente bem, encerro monitorameto."/>
        <s v="Às 08:44, tento contato 2 vezes, mas sem sucesso."/>
        <s v="(Lari) 9h telefone desligado"/>
        <s v="(Thiago) Às 11:00h, 13:00h, gestante não atende à ligação."/>
        <s v="Joanna (8h30; 11h20; 15h7): não atendeu"/>
        <s v="Joanna (8h35; 11h20): não atendeu"/>
        <s v="(Thiago) Às 08:00h, 09:00h, usuária não atende à ligação."/>
        <s v="16h30 (Camilla) Aterndo e encaminho à urgencia para analgesia, avaliação e coleta de exames"/>
        <s v="Ligar as 18h ( avaliar contraçoes e desconforto pelvico)"/>
        <s v="(Thiago) Às 08:10h, 09:10h, usuária não atende à ligação."/>
        <s v="Gestante realizou atendimento na Bandeira Filho, afastado ITU, liberada para casa."/>
        <s v="Joanna (8h36; 11h20; 15h35; 17h28): não atendeu (registro falta no PEC)"/>
        <s v="Gestante entrou em contato novamente para informar resultado positivo para teste de covid19. Confirmar acesso à USF ou maternidade."/>
        <s v="Orientado paciente sobre sinais de alerta, monitoramento com 48 h"/>
        <s v="(Thiago) Gestante se encontra em sua USF de referência para realçização de consulta pré-natal."/>
        <s v="20/12 (ianne) não atende telefone"/>
        <s v="20/12 (ianne) Paciente recusa chamada ( encaminhada em TP, tentar contato novamente a tarde)"/>
        <s v="(Thiago) Às 09:40h, suária não atende à chamada."/>
        <s v="21/12 (ianne 15h10) desligado// 21/12 (ianne) 8h45  paciente não atende. Registrado em PEC atendimento de urgencia, teste covid +, hb 9.2. Caso consiga entrar em contato mais tarde, recomendar o sulfato ferroso 3x ao dia "/>
        <s v="21/12 (ianne) Realizado atendimento, solicitado exames lab, marcado PNAR devido IG  e sem contato com enf ou medico. "/>
        <s v="21/12 (ianne) 15h15 não atende// 21/12 (ianne) 09h não atende. Sind gripal já monitorada ontem"/>
        <s v="(Lari) Paciente evoluiu para abortamento completo. Acolho paciente."/>
        <s v="(Thiago) Às 10:20h, suária não atende à chamada."/>
        <s v="(Thiago) Usuária encontra-se internada na Maternidade Barros Lima."/>
        <s v="ianne - monitoramento realizado dia 02/01. Paciente foi a consulta 29/12. Encerro telemonitoramento"/>
        <s v="(Thiago) Usuária apresenta melhora dos sintomas, D3 dos sintomas hoje."/>
        <s v="Ianne (9h40): paciente não atende"/>
        <s v="(Thiago) Gestante refere melhoras dos sintomas, realizou atendimento na Bandeira Filho e foi liberada em seguida."/>
        <s v="ianne (9h55) monitoramento realizado"/>
        <s v="Joanna (9h40; 15h; 17h42): não atendeu (Falta registrada no PEC)"/>
        <s v="(Lari) Paciente foi avaliada no HMR e liberada. Finalizo monitoramento"/>
        <s v="10h (ianne) telefone desligado"/>
        <s v="(ianne) 13h paciente não atende"/>
        <s v="(Thiago) Às 09:17h, 10:30h, usuária não atende à chamada."/>
        <s v="(Thiago) Às 09:25h, usuária não atende à chamada."/>
        <s v="(Thiago) Às 11:00h, gestante realizou atendimento na Bandeira Filho, foi liberada em seguida."/>
        <s v="Joanna (11h): não atendeu"/>
        <s v="Joanna (17h30; 18h): não atendeu"/>
        <s v="(Thiago) Às 11:15h, gestante testou positivo para covid19, D3 hoje, sem sinais de gravidade."/>
        <s v="(Thiago) Às 11:55h, 14:00h, gestante não atende à ligação."/>
        <s v="02/01 - Joanna (7h40; 9h20; 11h25): não atendeu"/>
        <s v="ianne 9h07 - caixa postal"/>
        <s v="ianne 9h10 - paciente não atende a chamada"/>
        <s v="Joanna (17h; 17h25): não atendeu (Falta registrada no PEC)"/>
        <s v="Joanna (8h8): não atendeu"/>
        <s v="Joanna (8h10): não atendeu"/>
        <s v="Gestante no 6º dia do início dos sintomas, assintomática há 3 dias. Nega sinais de alerta e queixas obstétricas. Encontra-se na USF para consulta de PN."/>
        <s v="Refere que foi à Maternidade Memorial Guararapes, apresentava 3cm de dilatação, BCF = 132bpm, orientada a retornar se entrar em trabalho de parto ou com IG = 41s. Segue sem queixas no momento. MF +. Mantém contrações irregulares."/>
        <s v="Refere presença de 4 movimentos fetais em 1h. Encaminho para avaliação na maternidade."/>
        <s v="Joanna (16h15; 17h): não atendeu (registro falta no PEC)"/>
        <s v="(Thiago) Às 09:00h, usuária não atende à ligação.(taty) as 11h paciente nao atendeu"/>
        <s v="Joanna (8h10; 11h): não atendeu"/>
        <s v="Joanna (9h; 11h; 16h17; 17h): não atendeu"/>
        <s v="Taty (08:33; 15:56) paciente nao atendeu"/>
        <s v="Refere que não foi à urgência porque não tinha com quem deixar a filha, mas está se organizando para ir à USF. Mantém os mesmos sintomas. Sem PA aferida. Reforço a necessidade de atendimento na urgência obstétrica (recomendo HMR); Explico os riscos de não"/>
        <s v="Ianne (15h30/16h11) não atendeu"/>
        <s v="Joanna (17h14; 17h30): não atendeu (falta registrada no PEC)"/>
        <s v="Taty (08:25) paciente refere sangramento em pequena quantidade, atendida na arnaldo marque, HD ameaça de aborto, aguarda usg."/>
        <s v="Paciente refere melhora da dor bv( 2 contraçoes moderada em 4h) sem perdas vaginais, refere cefaleia que melhorou com uso de dipirona, oriento quanto sinais de alerta e trabalho de parto"/>
        <s v="taty ( 09:11) Paciente refere melhora da dor, contraçoes irregulares, foi a consulta do PN feto com boa vitalidade"/>
        <s v="ianne - paciente foi a emergencia do hapvida por conta propria. Vamos monitorar amanha para avaliação após ace"/>
        <s v="Taty(09:50) paciente refere inicio de tratamento para ITU, dor pelvica continua "/>
        <s v="(Thiago) Às 10:00h, 11:30h, o telefone da usuária não está recebendo ligação."/>
        <s v="(Thiago) Usuária após o atendimento no AG, procurou sua USF, foi avaliada e liberada em seguida, segue sem queixas."/>
        <s v="Joanna (8h32; 10h40): não atendeu"/>
        <s v="Taty (09:20) paciente refere melhora da sintomatologia, reforço a importancia de manter o PN, paciente nao esta comparecendo as consultas"/>
        <s v="Joanna (9h; 10h40; 15h; 16h22): caixa postal (falta registrada no PEC)"/>
        <s v="Refere melhora da diarreia, nega novas queixas. "/>
        <s v="10:50 ( taty) Paciente refere melhora do quadro de diarreia e vomitos "/>
        <s v="11:20(taty) paciente nao atendeu a ligação "/>
        <s v="11:30( taty) paciente procurou atendimento presencial , avaliada e liberada, refere melhora da queixa "/>
        <s v="Refere melhora dador pélvica após uso do Buscopan, ao longo do dia 2 evacuações, dor de cabeça leve, fez uso de Paracetamol por volta das 15h30. Nega presença de sinais de alerta e outras queixas. "/>
        <s v="Joanna (16h; 17h30): telefone indisponível (falta registrada no PEC)"/>
        <s v="Joanna (8h26): não atendeu"/>
        <s v="taty (09:30) paciente nao atendeu (12:50) nao atendeu"/>
        <s v="Joanna (8h24): não atendeu (13:14 ) Paciente não atendeu"/>
        <s v="Refere que apresentou sangramento vaginal e foi à Maternidade Barros Lima. Foi informada que o colo uterino estava fechado, administrado Buscopan, USG obst. agendada para o dia 12/01. Mantém cólica de baixa intensidade, nega novo episódio de sangramento e"/>
        <s v="taty (09:50) Paciente nao atendeu (12:15) nao atendeu"/>
        <s v="taty (16:11) paciente não atendeu "/>
        <s v="taty(09:12) paciente não atendeu (Falta registrada no PEC dia 13/01)"/>
        <s v="13/01 (Joanna): Foi à USF Josué de Castro (11/01), PA 120/60 mmHg. Refere melhora da dor em BV e cefaleia. Nega novas queixas obstétricas e sinais de alerta."/>
        <s v="taty ( 09:50) paciente nega queixa no momento, em repouso e em uso de ultragesta, "/>
        <s v="taty (11:36)Paciente atende e nao responde no hopchat"/>
        <s v="taty (09:09) telefone desligado"/>
        <s v="Taty (15:40) paciente procurou a unidade e nao conseguiu realizar o teste , remarcado para dia 22/01, a mesme refere que ira tentar realizar particular. HAS e DM, em uso de glifage, losartana e hidrocloritiazida, MF presente."/>
        <s v="taty (16:00) Paciente nao atendeu "/>
        <s v="Taty (16:45) nao completou a ligação "/>
        <s v="(Thiago) Às 14:30h, gestante não se encontrava disponível para contato no referido número."/>
        <s v="Joanna: Refere que foi à USF ontem e foi informada que a enfermeira está de férias. Não fez o BHCG na rede particular, agendou exame para o dia 22/01. Sem queixas no momento. "/>
        <s v="Joanna: Refere melhora da disúria. Nega novas queixas."/>
        <s v="Taty: paciente refere que buscou atendimento na HMR, onde foi avaliada;  melhora na sintomatologia e nega novas queixas , "/>
        <s v="Joanna: Foi atendida na USF hoje. Sem queixas no momento. "/>
        <s v="Aborto espontâneo"/>
        <s v="Gestante concluiu tratamento para ITU, econtra-se assintomática, colherá urocultura. Receberá resulatdo de exames em 22/02/24."/>
        <s v="Joanna (8h; 8h30): não atendeu"/>
        <s v="(Thiago) Às 08:30h, usuária não atende a chamada."/>
        <s v="(Thiago) Às 08:45h, usuária não atende a chamada."/>
        <s v="Taty (10:24)Usuaria sem queixas no momento, procurou a unidade porem sem data da consulta , profissionais de ferias"/>
        <s v="Taty (09:16) usuaria não atendeu "/>
        <s v="Joanna (10h37; 15h37): não atendeu (Falta registrada no PEC)"/>
        <s v="Taty (09:22) refere que foi ontem na USF, porem nao teria profissional disponivel para atendela, ainda com cefaleia, porem leve, PA 130*80,oriento uso de analgesico e monitoramento a tarde"/>
        <s v="Joanna (15h56): não atendeu"/>
        <s v="Joanna (10h28; 14h10; 17h21): não atendeu"/>
        <s v="Joanna (14h10): refere melhora da cefaleia e náusea. Sem queixas no momento."/>
        <s v="taty (15:40) Mobilograma com 13 movimentações fetais em 6 momentos, lombalgia e contraçoes indolores frequentes "/>
        <s v="Taty ( 08:59) telefone desligado"/>
        <s v="Joanna (8h13; 12h; 14h45): não atendeu"/>
        <s v="(Thiago) Às 8:26h, usuária não atende à chamada."/>
        <s v="(Thiago) Gestante realizou atendimento em sua USF, PNAR marcado para dia 07/02/24 na MBR."/>
        <s v="Gestante com dificuldade para marcar a primeira consulta de PN por não está vinculada à APS, ACS afastada."/>
        <s v="Realizado por Elaine"/>
        <s v="Gestante encontra-se internada no Hospital da Mulher para controle de PA e glicemia."/>
        <s v="Gestante está indo à maternidade agora pela manhã. Refere que hoje se alimentou e não vomitou, está apenas com salivação excessiva."/>
        <s v="taty (10:30)Paciente procurou a barro lima "/>
        <s v="Chama 2 vezes e a ligação cai. Não consigo contato."/>
        <s v="(Thiago) Gestante se encontra na triagem do HMR para avaliação. ligar a tarde (15h) "/>
        <s v="taty (09:33) paciente não atendeu taty (13:19) nao atendeu "/>
        <s v="Taty (11:25) paciente nao atendeu"/>
        <s v="(Thiago) Gestante informa que não conseguiu ir à Barros Lima, informa que irá hoje. Ligar amanhã para confirmar acesso."/>
        <s v="taty (08:45) paciente nao atendeu (11:03) paciente nao atendeu"/>
        <s v="taty (11:30) paciente refere cefaleia leve , PA 100X60, reavaliar contração"/>
        <s v="Gestante ainda está com desconfortos, especialmente pélvicos. Oriento que busque a maternidade para um avaliação presencial. "/>
        <s v="Mari (17:00) Gestante não atendeu."/>
        <s v="Lari (8h50) Paciente não atendeu. (14h) Paciente refere que não foi para a materninade pois não tinha quem ficasse com os filhos. Refere melhora da cefaleia e da dor em BV. Refere boa MF. Oriento sobre sinais de TP."/>
        <s v="(Thiago) Às 12:10h, gestante compareceu à Barros Lima, foi avaliada, recebeu prescrição medicamentosa e em seguida foi liberda."/>
        <s v="(Thiago) Às 08:15h, gestante se dirigindo neste momento à maternidade para realizar atendimento. Ligar à terde para checar acesso."/>
        <s v="(Camilla) às 11h, telefone desligado ou fora de área"/>
        <s v="Taty (16:54) paciente refere melhora da sintomatoligia e nao apresentou mais colicas / contração, nega qualquer queixa obstetrica e urinaria "/>
        <s v="(Camilla) 17h30 Realizado monitoramento, gestante refere alívio da dor após uso de buscopam. Alta do episódio."/>
        <s v="(Thiago) Às 08:53h, gestante informa que o incômodo pélvico pouco aliviou com as medicações. Oriento quanto sinais de alerta e TP."/>
        <s v="Joanna (8h14): não atendeu"/>
        <s v="Realizado telemonitoramento"/>
        <s v="Joanna (10h18; 14h7; 17h38): não atendeu"/>
        <s v="(Thiago) Às 16:00h, gestante refere melhora dos sintomas hoje."/>
        <s v="Mobilograma = 2 MF"/>
        <s v="(Thiago) Às 10:00h, usuária não atende à chamada."/>
        <s v="(Thiago) Às 10:05h, usuária não atende à chamada."/>
        <s v="(Thiago) Às 11:30h, gestante melhorou dos sintomas."/>
        <s v="(Thiago) Às 17:30h, gestante realizou atendimento na Bandeira Filho e liberada em seguida para casa. Refere boa movimentação fetal."/>
        <s v="Joanna (10h; 12h; 14h50; 17h): não atendeu"/>
        <s v="Joanna: foi atendida na Maternidade Bandeira filho, diagnosticada com ITU, prescrito Cefalexiana 6/6h por 7 dias e Buscopan. Assintomática no momento."/>
        <s v="Joanna (14h49;17h): não atendeu"/>
        <s v="Joanna: Está internada no HMR."/>
        <s v="Joanna: Nega novo episódio de sangramento e outras queixas."/>
        <s v="Joanna (14h30; 16h30; 18h30): não atendeu"/>
        <s v="08h45 atendimento realizado - pcte sem sintomas"/>
        <s v="(Thiago) Às 11:26h, o telefone da usuária não está disponível para receber chamadas. 8h20 (Lari) Paciente não atendeu."/>
        <s v="(Thiago) Às 11:00h, o telefone da usuária não está disponível para receber chamadas."/>
        <s v="Joanna (11h; 14h35/ 17h40): não atendeu"/>
        <s v="Às 08:06, tento contato, mas gestante não atende. "/>
        <s v="taty( 08:40) paciente nao atendeu"/>
        <s v="Às 12h:00, tento contato, mas a agestante não atende."/>
        <s v="taty( 11:14) paciente não atendeu"/>
        <s v="taty ( 08:24) paciente não atendeu"/>
        <s v="ianne (14:05) paciente não atendeu"/>
        <s v="ianne (11h20) paciente não atende"/>
        <s v="ianne (11h25) paciente não atende - ancaminhada ontem p maternidade - aborto completo?"/>
        <s v="taty (08:56) paciente refere diminuição das contração , iniciou tratamento para ITU "/>
        <s v="Joanna (10h30; 14h; 17h): não atendeu"/>
        <s v="Taty( 09:10) paciente no 4 de tratamento para ITU, refere contração esporadica e de menor intensidade, dor lombar leve  e dificuldades para dormir. "/>
        <s v="Taty (09:20) Paciente foi avaliada na bandeira filho, referindo melhora no quadro,no momento nega febre, emese e nausea, tendo 1 epsodio diarreico ate o momento. "/>
        <s v="Registro tardio do telemonitoramento realizado dia 19/02/24 - Marta"/>
        <s v="(Thiago) Gestante apresenta melhora dos sintomas."/>
        <s v="Joanna (10h; 15h; 17h): não atendeu"/>
        <s v="(Thiago) Às 17:00h, não consigo contato com a usuária."/>
        <s v="Taty (09:55) paciente não atendeu "/>
        <s v="Lari (8h40) Não atendeu."/>
        <s v="taty (08:16) paciente refere  presença de contração esporadica, lombalgia leve, refere presença de colostro e prurido leve em vagina; ontem foi a consulta do PN, marcado urocultura"/>
        <s v="Mariana (17:35) Telefone ocupado"/>
        <s v="Taty ( 10:04) paciente atendida no HMR, prescrito betametasona, referindo melhoras dos sintomas, hoje 1 epsodio de contração indolor, lombalgia leve.em tratamento para ITU ( 6/7)"/>
        <s v="Taty ( 08:54) não atendeu (13:30) não atendeu"/>
        <s v="ianne (15h20) paciente não atende"/>
        <s v="Taty ( 08:54) não atendeu"/>
        <s v="Joanna (16h13; 16h40): não atendeu"/>
        <s v="Lari (16h30) Paciente atendida na Barros. Recebeu atestado médico de 5 dias."/>
        <s v="Joanna (10h30): não atendeu"/>
        <s v="(08h15) Gestante atendida na urgência, onde foi prescrito ATB para ITU. Monitorar para relembrar da coleta da urocultura de controle"/>
        <s v="Mobilograma alterado, encaminhada à urgência."/>
        <s v="09h Realizado monitoramento. Paciente em curva de melhora. Sem novos sintomas"/>
        <s v="Joanna (10h; 15h30; 16h30): não atendeu"/>
        <s v="Às 15h25, não atendeu a ligação."/>
        <s v="Taty (11:32) chama 2x e da oculpado"/>
        <s v="Taty(08:17) Paciente não atendeu (10:10) não atendeu "/>
        <s v="Rhayza (10:40) paciente relata melhora dos sintomais, nao relata queixas no momento, refere termino do tratamento em 12/03/24"/>
        <s v="Lari (8h50) Pct refere persistência de tosse e secreção amarelada. Vai iniciar ATB hoje"/>
        <s v="Camilla (8h:30) Gestante atendeu o telefone, mas não entrou no Hopchat. Quando ligo novamente, não atende."/>
        <s v="Joanna (12h30; 14h30; 17h20): não atendeu"/>
        <s v="Taty ( 08:34) paciente refere melhora de forma geral do quadro, porem ainda com tosse produtiva e coriza, nega febre e outro sinais de alerta. "/>
        <s v="Rhayza: Conduta: Procurar APS e uso de dipirona S/N - Observação: averiguar se conseguiu acesso A APS"/>
        <s v="Joanna (12h30): não atendeu"/>
        <s v="ianne (15h20) paciente não atende, mas pelo PEC foi atendida em APS e iniciado tratamento"/>
        <s v="Joanna (14h; 14h40; 17h20; 18h30): não atendeu"/>
        <s v="Joanna (11h; 13h40; 17h50): não atendeu"/>
        <s v="(Thiago) Às 13:44h, usuária não atendeu à chamada."/>
        <s v="Foi à Maternidade Bandeira Filho, realizou EAS e hemograma, descartou-se arbovirose, fez hidratação EV. Prescrito Buscopan, Dramin e Vit C.  Apresentou novos episódios de vômito quando chegou em casa. Mantém mialgia. Ainda não fez uso do Dramin."/>
        <s v="(Thiago) Usuária não atende à chamada."/>
        <s v="(Thiago) Gestante no D6 dos sintomas, sem novas queixas, com melhora do quadro."/>
        <s v="Taty ( 11:32) paciente Hoje, D7 do curso dos sintomas, refere melhora dos sintomas, sem surgimento de novas queixas, nega sinais de alerta "/>
        <s v="08:37 (Taty) Gestante refere ausência de qualquer sintoma urinário e/ou de outra ordem no momento. conclusão do tratamento para ITU em 12/03/2024, URO marcada para 21/03/2024"/>
        <s v="(Thiago) Às 13:51h, usuária não atendeu à chamada."/>
        <s v="(Thiago) Às 14:06h, usuária não atendeu à chamada."/>
        <s v="13:12 (taty) não procurou a unidade hoje, porem  ACS consulta para amanha 12/03/24, refere permanecer com os mesmos sintomas"/>
        <s v="13:50 (taty)  Gestante informa que procurou atendimento na APS, fez restauração e limpeza dentaria , refere melhora dos sintomas e nega qualquer queixa obstetrica  e urinaria."/>
        <s v="Joanna (9h26; 13h30): não atendeu"/>
        <s v="08:35 (Camilla) Gestante não atendeu."/>
        <s v="Joanna (9h27; 13h30; 16h50): indisponível"/>
        <s v="Joanna (9h28): não atendeu"/>
        <s v="(Thiago) Às 08:27h, gestante refere melhora dos sintomas, sem novas queixas."/>
        <s v="Foi ontem à Maternidade Barros Lima, prescrito Maleato de dexclorfeniramina + betametasona (ainda não iniciou uso), orientada a retornar hoje para realizar USG obstétrica e reavaliação. No momento, encontra-se na Maternidade aguardando realizar USG. Refer"/>
        <s v="(Thiago) Às 09:02h, gestante não atende à ligação."/>
        <s v="09:51 ( rhayza) Paciente não atenteu "/>
        <s v="09:03 ( taty) Paciente nao atendeu "/>
        <s v="14:09 ( taty) gestante procurou atendimento na Policlinica Arnaldo Marques, onde foi avaliada, medicada e recebeu alta; hoje refere cefaleia, tosse , sem febre, refere boa vitalidade do feto, nega sinais de gravidade, sangramento, queixas urinarias e outr"/>
        <s v="09:17 (taty) Paciente não atendeu (13:22) paciente nao atendeu "/>
        <s v="Nayale (11h30): Não atendeu à chamada (tentado 2x)"/>
        <s v="09:53 (taty)Paciente nao procurou atendimento, refere melhora da Odontalgia, desde de ontem sem uso de analgesico, relata que esta a caminho da maternidade pois medica do PN encaminhou, refere boa vitalidade do feto, sem queixas obstetricas e urinarias "/>
        <s v="Nayale (11h32): Não atendeu à chamada (tentado 2x)"/>
        <s v="Nayale (11h35):Puérpera solicita ligação a partir das 14h"/>
        <s v="Joanna (8h27; 15h11): não atendeu"/>
        <s v="15:53 (Nayale) Marido atende ligação e esposa não pode atender no momento. Estão indo para a maternidade Cisam. Retornarei ligação após as 17h."/>
        <s v="Internada no HAM."/>
        <s v="Rhayza (10:05; 13:33h): nao atendeu"/>
        <s v="Rhayza (13:00) atendeu . Retornar às 16 h."/>
        <s v="Refere melhora da cefaleia após uso de Dipirona. Não foi à USF devido estar no tramalho, mas vai amanhã. Nega surgimento de novos sintomas e sinais de alerta. Mantém odinofagia e congestão nasal."/>
        <s v="Internada na Barros lima"/>
        <s v="(Camilla) Às 09h50, gestante informa que está aguardando a consulta pré-natal na unidade de saúde. Ligar novamente à tarde"/>
        <s v="22/03 (Lari) Paciente não atendeu as 13h40"/>
        <s v="Não foi à USF. Mantém queixa. Cd: Reforço importância do atendimento presencial."/>
        <s v="Questionar vacinação para covid. (Lari)  Não atendeu Rhayza (11:00)"/>
        <s v="(Camilla) Gestante está na unidade de saúde, acabou de ser atandida no pré-natal. Foi prescrito tratamento para corrimento. Dou alta do episódio."/>
        <s v="Atendeu mas não respondeu no hopchat "/>
        <s v="Joanna (8h49): não atendeu"/>
        <s v="Joanna (8h51): não atendeu"/>
        <s v="Gestante queixa-se ainda dos sintomas. Encaminho à maternidade; Novo monitoramento amanhã"/>
        <s v="(Lari) 8h30 Paciente não atendeu"/>
        <s v="Ligar às 15h (Nayale 15:00) realizado telemonitoramento. Manter telemonitoramento amanhã. Ligar após as 15h."/>
        <s v="(Camilla) Gestante refere que foi à urgencia ontem e foi prescrito tratamento para corrimento. Encerro caso e sugiro  TINC psiquiatria"/>
        <s v="(Dama - Gestante em curso de 14s3d pela DUM e 19s5d pela USG, com remissão dos sintomas gripais. Queixa hoje de corrimento  leitoso com grumos e prurido discreto, nega odor fétido e dispareunia. Oriento ir à urgência, atendimento realizado fora do horário"/>
        <s v="Lili- Puérpera refere vermelhidão, dormência e saída de secreção amarelada em pequena quantidade da F.O. Nega febre, nega outras queixas. Relata que foi na urgência obstétrica hoje pela manhã, onde foi avaliada por profissional da saúde, o qual orientou q"/>
        <s v="Atendeu mas não respondeu ao hopchat (10:46)"/>
        <s v="Atendeu mas não respondeu ao hopchat (12:05); às 12:19 informou que o link não estava funcionando."/>
        <s v="Lari ( 8h30) não atendeu"/>
        <s v="Joanna (8h33; 16h26): não atendeu (falta registrada no PEC)"/>
        <s v="Joanna (8h34; 16h27): não atendeu (falta registrada no PEC)"/>
        <s v="Refere melhora da dor na panturrilha. Queixa-se de disúria há 4 dias. Encaminhada para avaliação presencial."/>
        <s v="ligar as 10h"/>
        <s v="Rhayza não atendeu (15:07)"/>
        <s v="Joanna (9h08; 16h28): não atendeu (falta registrada no PEC)"/>
        <s v="Refere que não foi ao atendimento presencial, pois a PA estava normal (110 x 80) e melhorou após tomar dipirona novamente."/>
        <s v="08:19 ( taty) Paciente não entendeu 14:54 "/>
        <s v="Rhayza (09:57) não atendeu"/>
        <s v="Nayale (12:10) Gestante ainda não foi ao serviço de saúde. Reforço necessidade de ir ao serviço e informo que amanhã haverá novo telemonitoramento."/>
        <s v="13:37 (taty) refere dor na lombar e promodomos inicio 23/03/24. nega perdas vaginais, queixas urinarias. movimentos fetais presente consulta de PN amanha (02/04/2024)"/>
        <s v="8h30 paciente não foi na APS, vai agora de manha. Ligar a tarde"/>
        <s v="08:35 ( taty) Paciente não entendeu "/>
        <s v="17:00 Não atendeu"/>
        <s v="08:44 ( taty) gestante procurou atendimento no Barão de lucena,pois na APS nao conseguiu,  realizou teste para covid 19 com resultado negativo, referHD dengue. hoje relata melhora da nausea, fadiga, sem febre, em uso de 1g de dipirona 8/8h, nega queixas u"/>
        <s v="17:00 Não "/>
        <s v="16h40 (Camilla) Gestante nega queixas. Pede para prescrever antibiótico dose unica para ITU. Compartilho atendimento com Damartine. Agendo monitoramento para dia 0/04"/>
        <s v="10:00 (Camilla) tentativa de contato sem sucesso. Porém, visualizo no PEC que a gestante compareceu ao PN hoje e tem uma reavaliação na APS agendada para amanhã. Encerro o caso, considerando que houve a devida apropriação do cuidado pela APS."/>
        <s v="09:27 ( taty) Paciente não atendeu "/>
        <s v="08h10 (Lari) Pacinte não atendeu"/>
        <s v="Realizar novo monitoramento (15 h) para saber se acessou o PN e se diminuiu o sangramento. "/>
        <s v="17h20 - Foi atendida no Hospital da Mulher do Recife, realizou exames laboratoriais (sem alterações), prescrito Metildopa 250mg 8/8h (vai iniciar uso hoje). Nega queixas e sinais de alerta."/>
        <s v="8h30 (Lari) Paciente refere que a consulta de hoje na APS foi cancelada (sistema fora do ar, SIC). Oriento avaliação na maternidade mais próxima a sua casa, pois paciente permanece sangrando."/>
        <s v="(Thiago) Às 08:38h, gestante refere melhoras dos sintomas e econtra-se em sua USF para realização de consulta Pré-natal."/>
        <s v="08:26 (taty) telefone desligado "/>
        <s v="Joanna (06/04): não disponível"/>
        <s v="Rhayza (15:08) ocupado "/>
        <s v="(Thiago) Às 15:27h, paciente não atende."/>
        <s v="(Thiago) Às 15:18h, telefone indisponível."/>
        <s v="08:30 (taty) "/>
        <s v="Gestante compareceu à unidade. Iniciou tto de ITU. PN agendado para amanhã."/>
        <s v="Joanna (8h20): não atendeu"/>
        <s v="(Lari) não atendeu"/>
        <s v="(Thiago - 08:48h) Usuária não atende à chamada."/>
        <s v="Gestante refere melhora dos sintomas. Agendo montioramento em 48 horas"/>
        <s v="(Thiago - 09:34h) Gestante apresenta piora dos sintomas gripais iniciados dia 09/04, encaminho para avliação presencial na APS."/>
        <s v="8h (Lari) Paciente não atendeu"/>
        <s v="8h (Lari) sem telefone"/>
        <s v="Joanna (16h; 17h): não atendeu (falta registrada no PEC)"/>
        <s v="Rhayza (08:16) nao atendeu "/>
        <s v="Rhayza (08: 22) ocupado "/>
        <s v="Rhayza (16: 21) nao atendeu "/>
        <s v="Realizar monitoramento amanha 14/04"/>
        <s v="Gestante internada na maternidade"/>
        <s v="Lari (8h) não atendeu"/>
        <s v=" Refere melhora da cefaleia e movimentação fetal sem alterações. Nega contrações uterinas e perdas vaginais. Queixa-se de diarreia sem associação com outros sintomas e sinais de alerta (2 evacuações hoje). PA = 123 x 76. Cd: Orientações gerais. Monitorira"/>
        <s v="melhora da náusea e vômito; refere estar com raiva devido parceiro negar a paternidade e expressa desejo de abortar."/>
        <s v="Joanna (12h; 12h30; 17h47): não atendeu (falta registrada no PEC)"/>
        <s v="8h30 (Lari) não atende"/>
        <s v="(Marta) Jessica articulou com a paciente fazer o atendimento amanhã-devido impossibilidade da usuária no momento."/>
        <s v="Encaminhado para urgência por dor em baixo ventre "/>
        <s v="Mantém perda de líquido sem sinais de alerta e trabalho de parto; dor em BV do tipo cólica iniciada por volta das 12h. Mobilograma: 16 MF, afebril e normotensa"/>
        <s v="Rhayza  (8:09): ligação caindo/não atendeu"/>
        <s v="Joanna (8h8; 14h26): não atendeu"/>
        <s v="Rhayza  (8:12): não atendeu"/>
        <s v="(Thiago - 09:19h) Usuária não atende à chamada."/>
        <s v="Gestante apresenta melhora dos sintomas."/>
        <s v="(Jessi - 19/04): Paciente relatou muito sono com o uso de Dramin. Oriento substituir pela Metoclopramida. Pactuamos teleconsulta compartilhada com enfermeira do pré natal a ser agendada e informada através do ACS "/>
        <s v="Rhayza (11:00)"/>
        <s v="17:15 Não procurou Maternidade. Novo monitoramento 21/04"/>
        <s v="(Lari) Foi encaminhada para avaliação presencial na APS"/>
        <s v="Refere que as contrações estão mais intensas e em intervalo mais curto (não está fazendo o registro), não foi ao atendimento presencial. Além disso, apresentada cefaleia, náusea, ardência ao urinar, eliminação de volume urinários menor que o habitual. Ref"/>
        <s v="(Lari) ITU + febre, foi encaminhada para Barros. Ligar as 10h30"/>
        <s v="(Lari) DM1 + TPP, foi encaminhada para o HMR. Não atendeu as 8h"/>
        <s v="(taty) paciente nao procurou atendimento presencial, refere dor em bv e lombar intensa e melhora da febre, oriente buncar atendimento presencial "/>
        <s v="08:16 (Taty) Paciente não atendeu (12:44 ) paciente nao atendeu"/>
        <s v="Rhayza (08:09) telefone ocupado"/>
        <s v="Taty (08:38) não completa a chamada "/>
        <s v="Taty (08:38) Paciente nao atendeu"/>
        <s v="Taty (09:40)  Paciente no D4 dos sintomas, nao buscou atendimento presecial, como orientado; Refere dispneia ao esforço que melhora ao repouso, coriza leve  e a noite apresenta congestao nasal, nega febre, queixas urinarias outra queixas obstetricas; refe"/>
        <s v="Está na consulta pré-natal. Ligar 16 h"/>
        <s v="08:25 Não atendeu (Rhayza)"/>
        <s v="(Thiago) Às 11:04h, paciente não atendeu à chamada"/>
        <s v="10h30 (Lari) Paciente não atendeu."/>
        <s v="26/04 (Lari) Pct sem queixas. Oriento seguimento de PN em APS."/>
        <s v="Rhayza (09:24) nao atendeu"/>
        <s v="Melhora dos sintomas "/>
        <s v="Rhayza (09:32) nao atendeu"/>
        <s v="Rhayza (16:16) nao atendeu"/>
        <s v="Gestante refere melhora dos sintomas de nauseas e vômitos e tosse. Alta do episódio, encerro caso."/>
        <s v="Puérpera se encontra na maternidade, após cesariana de urgência ontem às 23h."/>
        <s v="(Thiago) Às 17:35h, usuária apresenta melhoras do quadro de dor e níveis normais de PA."/>
        <s v="Realizar novo monitoramento 03/05"/>
        <s v="Joanna (17h; 18h16): não atendeu"/>
        <s v="9h50 (Lari) Paciente informa melhora da cefaleia. Está aguardando agendamento de PNAR DMG"/>
        <s v="Rhayza (16:31) não atendeu "/>
        <s v="08h20 (Lari) Não atende; 10:21h (Thiago), não atende."/>
        <s v="08:23 ( Taty) Paciente não atendeu; 10:35h (Thiago) não atende."/>
        <s v="08:17 ( Taty) Paciente não atendeu; 10:46h (Thiago), esposo solicita que entremos em contato mais tarde."/>
        <s v="09h50 (Lari) Não atende; 15:29h (Lili) Não atende"/>
        <s v="Foi atendida na USF, mas devido sintomas apresentados e PA = 140 x 90, foi encaminhada à maternidade. Na Maternidade Bandeira Filho realizou rotina de PE. Alterações não foram identificadas, foi medicada e recebeu alta. No momento, nega queixas. Refere bo"/>
        <s v="Refere que foi ao Hospital da Mulher do Recife, aguardou por 6 horas e não foi atendida. Último episódio de sangramento ontem, mantém disúria. Nega sinais de alerta. Cd: Encaminho para avaliação na Mat Bandeira Filho."/>
        <s v="Joanna (10h50; 15h): não atendeu"/>
        <s v="Rhayza (08:50) nao atendeu "/>
        <s v="Mobilograma +/- 3 movimentos em 1 hora. Encaminho para maternidade"/>
        <s v="(Thiago) Às 08:33h, usuária não atende à ligação 09:00 (taty) paciente não atendeu. 14:00 (Lili): Paciente não atendeu"/>
        <s v="10:00 (Lili): Paciente refere melhora dos sintomas. Em término do tratamento (D10). Reforço importância da realização de urocultura. "/>
        <s v="Lili (16:10) Gestante refere melhora da dor, iniciou tratamento para ITU. "/>
        <s v="08:10 (taty) Paciente não atendeu "/>
        <s v="Foi atendida na APS; encaminhamento está no SISREG."/>
        <s v="Pct internada no CISAM"/>
        <s v="08:13 ( taty) Paciente não atendeu 12:07 ( taty) Paciente não atendeu"/>
        <s v="USG (14/05): peso fetal adequado para IG. Finalizo telemonitoramento"/>
        <s v="08:22 ( taty) Paciente não atendeu (81991300852) 12:05 ( taty) Paciente não atendeu"/>
        <s v="11:11 ( taty) Procurou atendimento na Barro Lima, onde foi examinada,  realizou exames laboratoriais, medicada e foi liberada, hoje nega cefaleia, nega sinais flogistico em FO e outras queixas 08:47( taty) Paciente dormindo(ligar as 10:30) "/>
        <s v="Refere melhora. Foi à consulta de PN. "/>
        <s v="Foi atendida na USF Três Carneiros, PA = 130 x 80. Refere melhora da cefaleia após uso de Dipirona. Segue sem novas queixas. Orientada a realizar MRPA."/>
        <s v="8h (Lari) paciente está se deslocando para realizar exames. Solicita contato as 10h. 10:10 (Lili): Paciente não atendeu"/>
        <s v="9h (Thiago) paciente refere melhora das cólicas."/>
        <s v="08:20 ( Taty) Paciente não atendeu. 16:00 (Lili): Paciente refere que não foi a APS e que irá realizar exame laboratorial por conta própria. "/>
        <s v="09:10 ( taty) Paciente internada no HMR . Aguarda USG e conduta ( provavel cerlagem), nega hoje dor ou sangramento, refere repouso absoluto "/>
        <s v="09:35 ( Taty) Paciente não atendeu;  11:22 (taty) paciente nao atendeu"/>
        <s v="16:28 (taty) !7:38h (Thiago) Não completa a chamada."/>
        <s v="Feito registro e encaminhado presscrição de sintomáticos."/>
        <s v="08:27 (taty)Gestante internada no IMIP, por ameaça de trabalho de parto prematuro,refere contrações irregulares, porem ao exame esta com dilatação de 4cm, em repouso ,  Nega perdas vaginais ou outras queixas.   "/>
        <s v="08:17 (Taty) Paciente não atendeu 10:14 ( taty) paciente nao atendeu"/>
        <s v="16:00 (Lili): Paciente refere que foi diagnosticada com ITU e prescrito antibiótico."/>
        <s v="08:29 (taty) Paciente refere melhora da dor em flanco direito, nega queixas obstétricas e urinarias."/>
        <s v="09:06 (taty) Paciente procurou atendimento no HC, hoje nega presença de sangramento, nega perdas vaginais, queixas urinarias e colicas, Refere MF presente "/>
        <s v="Joanna (9h30; 14h26): não atendeu"/>
        <s v="09:05 (Lili): Paciente não atendeu 10:30 Paciente refere que foi atendida na Maternidade Bandeira Filho, que o BCF estava normal e que sentiu o bebê se movimentar normalmente hoje. "/>
        <s v="18:00 (Damartine) Retorno para a gestante, orientando que compareça nesta quinta-feira ao PN com médica da unidade."/>
        <s v="10:24 (taty) paciente nao atendeu ; 12:13 (taty) microcip com instabilidade"/>
        <s v="08:30 (taty) puerpera levou filho a pediatra peso atual 3100 e 51cm, refere diurese e evacuaçoes presentes, colicas noturanas, oriento e encaminho gestante a nutrição"/>
        <s v="08:20/ 11:10 (Lili): Paciente não atendeu "/>
        <s v="08:27 (Rhayza): nao atendeu"/>
        <s v="(Lili): Paciente refere perda de líquido, encaminho para urgência obstétrica. Também refere que iniciou pré-natal em outra USF e será encaminhada ao PNAR. "/>
        <s v="09:47 ( taty) Paciente relata dor leve &quot; virilha &quot; refere contrações de treinamentos com colicas discreta, Nega sangramento, queixas urinarias, dor lombar ou outros sinais de alerta."/>
        <s v="Joanna (11h20; 13h58; 17h40): não atendeu"/>
        <s v="14:00h (Thiago) Paciente apresenta melhora das cólicas."/>
        <s v="09:42 ( taty) paciente não atendeu"/>
        <s v="mantém dor em baixo ventre de intensidade leve, mais localizada no lado esquerdo. No geral, refere que apresenta melhora considerável. Nega perdas vaginais e outras queixas. Mantém boa movimentação fetal. Glicemia e PA sem alterações."/>
        <s v="Após o atendimento realizado ontem, fez uso do sintomático, porém, não apresentou melhora e a dor ficou mais intensa. Conforme orientação que recebeu na teleconsulta, foi à urgência do IMIP. Contatou-se trabalho de parto prematuro. RN nasceu no IMIP, dia "/>
        <s v="Mobilograma = 1 MF em 1h. Encaminho para avaliação na urgência obstétrica"/>
        <s v="(Lari) Realizo monitoramento. Oriento nitrofurantoina profilático, MAPA e perfil de HGT"/>
        <s v="09:00h (Thiago) Usuária não atende a chamada."/>
        <s v="09:10h (Thiago) Usuária não atende a chamada."/>
        <s v="16:00h (Thiago) Gestante encontrava-se em atendimento na Bandeira Filho."/>
        <s v="16:48 (Lili) Paciente não atendeu. ligar as 16h para avaliar melhora da cefaleia"/>
        <s v="Pct foi ao HMR (22/05) e constatou que nao há perda de LA. Retornará ao PN amanhã. "/>
        <s v="Rhayza (16:00) nao atendeu"/>
        <s v="10:50h Paciente sem queixas, refere que foi para PN ontem na nova USF, sendo ecaminhada para o PNAR, e prescrito carbonato de cálcio para prevenção de PE. "/>
        <s v="Rhayza (08:04) Não atendeu "/>
        <s v="Camilla (13h50) Gestante informa que estava dormindo, mas que o sangramento cessou.  Encerro o caso."/>
        <s v="Rhayza (16:18) Não atendeu "/>
        <s v="11:40 Paciente no IMIP aguardando atendimento. Relata peristência do sangramento"/>
        <s v="8h12 (Camilla) Não atendeu. 12h19 Não atendeu."/>
        <s v="(Thiago) 8:30h Telefone ocupado, paciente não atende a chamada."/>
        <s v="(Rhayza) 09:38 Atendeu e desligou"/>
        <s v="(Rhayza) 09:41 Nao atendeu"/>
        <s v="(Rhayza) 09:43 Nao atendeu"/>
        <s v="Gestante procurou o IMIP ontem, realizar novo monitoramento amanha "/>
        <s v="Gestante não tomou medicação para dor e nao procurou hospital, pediu para retornar a tarde "/>
        <s v="11:00h (Thiago) Nao atendeu a chamada."/>
        <s v="08:15h (Lili): Ligar a tarde"/>
        <s v="8h15 (Camilla) Não atendeu. 12h22 Não atendeu."/>
        <s v="09:10 (taty) Paciente não atendeu 12h28 (camilla) Ligação atende, mas sinal ruim, não consigo comunicação."/>
        <s v="09:40 (Lili) Paciente não atendeu "/>
        <s v="08h20 Paciente não atendeu / 13:10h (Lili): Paciente não atendeu "/>
        <s v="09h35 (Camilla) Gestante internada no HAM. Encerro caso e dou alta do episódio."/>
        <s v="Rhayza (08:37) Não atendeu 11:02 (taty) ligar as 12h estava em consulta "/>
        <s v="ligar as 16:30"/>
        <s v="(Camilla) 08h12 não atendeu."/>
        <s v="Rhayza (08:40) Não atendeu "/>
        <s v="Joanna (7h58; 13h24; 18h): não atendeu"/>
        <s v="08:01 (taty) paciente não atendeu"/>
        <s v="08:50 (taty) Paciente refere melhora do quadro apos uso de analgesico, nega queixas obstetricas, urinaria e sinais de eminência "/>
        <s v="Joanna (08h8): não atendeu 12:42 (taty) não completou a chamada"/>
        <s v="(Camilla) 08h20 não atendeu."/>
        <s v="(Camilla)  Às 14h não completa a ligação"/>
        <s v="Mobilograma = 20 MF"/>
        <s v="(Camilla) 16h Gestante refere que as contrações não aumentaram. Continua em pródromos. Oriento e encerro caso."/>
        <s v="10:00h (Thiago) Usuária não atende a ligação."/>
        <s v="Refere melhora considerável após iniciar uso de Cefalexina no dia 01/06; nega novos sintomas e sinais de alerta. Optou por aguardar a consulta de pré-natal que está agendada para o dia 06/06, portanto, não buscará atendimento hoje na USF, conforme orienta"/>
        <s v="Puérpera refere melhora da amamentação. Nega queixas. Disse que amanh~ã tem consulta no posto de saúde."/>
        <s v="Falar com Lili"/>
        <s v="08h05 (Lari) Telefone não atende"/>
        <s v="08:29h (Lili): Paciente internada no HMR. "/>
      </sharedItems>
    </cacheField>
    <cacheField name="CONDUTA MONITORAMENTO 2" numFmtId="0">
      <sharedItems containsBlank="1" count="459">
        <m/>
        <s v="Foi atendida no PN da APS hoje, sem alterações de PA e sinais de premonitórios de PE. Próxima consulta agendada 07/12. IG=36s. Oriento acerca dos sinais de alerta/ir à urgência. (Joanna)"/>
        <s v="ianne: Tentando ligar novamente 03/01 - desliga ligação"/>
        <s v="(CAMILLA) Realizado telemonitoramento de gestante. Refere contrações irregulares no mesmo padrão que ontem, sem sinais de alerta. CD: oriento que busque unidade de saúde na presença de sinais de TP e/ou alerta; encorajo que compareça a consulta de pré-nat"/>
        <s v="Realizado novo contato, paciente refere persistência da diminuição dos MF. Oriento ir para atendimento presencial imediatamente. Acolho queixa de medo da dor do TP e oriento sobre importância e ressignificação da dor no processo do nascimento. Explico sob"/>
        <s v="14h paciente refere que esta aguardando internamento na maternidade Barros Lima. Nega queixas no momento e refere que medica do CISAM (atendimento realizado pela manha) informou que ela estava com 3cm. Informa que internamento na Barros Lima será devido i"/>
        <s v="Puérpera, no 3º DPO de cesariana, de alta há 24h. Bebê nasceu bem, dia 21/04 às 14:45, via cesariana devido a AP pélvica. "/>
        <s v="Gestante atendeu a ligação às 17:15, mas disse que não foi à maternidade e que as cólicas cessaram, mas que a cefaleia forte permanece, mesmo após uso de diprona. Reforço a importância de buscar a emergência obstétrica hoje ou amanhã. Ciente do telemonito"/>
        <s v="11/05 telefone nao completa a ligação "/>
        <s v="31/05 (Taty): Tentativa de monitoramento sem sucesso, paciente nao se encontrava, quem atendeu solicitou ligar mais tarde. Joanna: Realizo nova tentativa de contato, porém sem sucesso (17h51)"/>
        <s v="Refere que foi à urgência ontem devido aumento do sangramento. Prescrito Utrogestan. "/>
        <s v="Queixas: Prurido anal a noite, presença de vermes pequenos e de cor branca em região anal e peças íntimas. _x000a_História da doença atual: Gestante refere ter realizado tratamento para verminose com albendazol 400mg, dose única, em março/2023. Apresentou melho"/>
        <s v="(Thiago) tentativa às 16:20"/>
        <s v="(Taty) Monitoramento realizado, paciente ainda permanece com sintomatologia, TR negativo , conforme o protocolo mantenho o monitoramento"/>
        <s v="(Ianne)Realizo teleinterconsulta com enf Rose martins, orientado sobre tratamento adequado com albendazol para paciente e familiares (que moram na mesma casa). Consulta de pre natal amanha."/>
        <s v="(Thiago) Refere melhora do quadro viral; informa que foi para atendimento; oriento realização do teste covid-19. Mantenho monitoramento com 48h seguindo protocolo de sindrome gripal"/>
        <s v="(taty) tentativa de monitoramento sem sucesso as 16:30)"/>
        <s v="(taty) tentativa de monitoramento sem sucesso as 16:50)"/>
        <s v="Gestante nega queixas no momento. Segue aguardando agendamento de exames laboratoriais para investigação de trombofilia. "/>
        <s v="(taty) paciente refere diminuição nos MF, apos mobilogarma (2 em 1h), com perca de muco e dor lombar; encaminho para atendimento presencial na maternidade bandeira filho "/>
        <s v="09/06 (Lari) Paciente não atendeu as 16h"/>
        <s v="09/06 (Lari) Paciente não atendeu as 16h30"/>
        <s v="Refere melhora do edema e secreção na gengiva. Está no 3º dia de tto com Amoxicilina."/>
        <s v="(Marcia) Sem sucesso às 17:36"/>
        <s v="(Joanna) Não foi ao atendimento presencial. Mantém coriza; não realizou TR-Ag; Oriento ir ao CS para agendar PNAR, fazer avaliação e rrealizar TR-Ag, se dispoível no serviço."/>
        <s v="(Marcia) Orienta buscar a unidade de saúde para avaliação/realizar telemonitoramento dia 13/06"/>
        <s v="(Joanna) Tentativa às 14h / Aguarda lab 3º trimestre "/>
        <s v="09/06 (Lari) Paciente não atendeu 16h30"/>
        <s v="09/06 (Lari) Paciente não atendeu 17h"/>
        <s v="(Ianne) Tentativa as 14h e 14:30h"/>
        <s v="(Joanna) Tentativa às 14h"/>
        <s v="(Joanna) Tentativa às 14h / (Marcia) às 17h: Foi à maternidade como orientada na teleconsulta, oriento seguir medicações prescritas e agendo monitoramento para dia 16/06 quando finaliza as medicações. Oriento sinais de alerta e se piora buscar atendimento"/>
        <s v="(Marcia) Encaminho paciente para avaliação presencial na emergência obstétrica de preferência em até 2 horas devido diminuição dos movimentos fetais. Informo monitoramento pela equipe do Atende Gestante em 24 horas."/>
        <s v="11/06 ( taty) Monitoramento realizado gestante sem queixas oriento importancia e manutençao do PN tanto na APS E PNAR "/>
        <s v="(Camilla) Tentativa às 14:23 sem sucesso"/>
        <s v="11/06 (taty) gestante nao atende a ligação tentativa as 10:11"/>
        <s v="11/06 ( ana) telefone desligado 13:55"/>
        <s v="(Thiago) Sem sucesso às 15:25 (nao atendeu )"/>
        <s v="(Thiago) Tentativa às 14:24"/>
        <s v="(ianne) 14h42 telefone desligado"/>
        <s v="(Thiago) 15h Foi para atendimento na Barros Lima, recebeu prescrição de Fentizol óvulo + Miconazol creme vaginal."/>
        <s v="(Camilla) 14:10 - Atendeu, mas refere que não tinha disponibilidade de falar"/>
        <s v="11/06  (taty) gestante na maternidade bolsa integra e sera reavaliada em 4h, monitoramento em 12/06 "/>
        <s v="(Thiago) Sem sucesso às 15:45 (nao atendeu )"/>
        <s v="Taty (14:04 ) Paciente atendeu e deslisgou apos indentificação "/>
        <s v="(Camilla) 14:30 - Tentativa sem sucesso."/>
        <s v="TATY(14:30) Puerpera  refere melhora na queixas. mantenho conduta de orientaçoes "/>
        <s v="(Camila)"/>
        <s v="Joanna (15/06 - 13h20): Foi à Maternidade Barros Lima, diagnosticada com ITU, em uso de ATB (não lembra o nome). Sem queixas no momento. Oriento repetir urocultura após 10 dias do término do tto. "/>
        <s v="Joanna (15/06): não atendeu (8h50; 13h58; 16h24). Taty (14/06 - 15:28 )ligar as 17:00"/>
        <s v="Ianne: 13h55: tentativa sem sucesso"/>
        <s v="Joanna (15/06 - 13h59; 16h26): não atendeu."/>
        <s v="taty (14:15 ) paciente nao interagiu na sala e telefone esta agora desligado "/>
        <s v="taty (14:15 ) gestante na maternidade, refere que esta com 4cm de dilatação, sem perdas vaginais. "/>
        <s v="ianne (13h40) não atende; Joanna (16h28): não atende."/>
        <s v="Taty(13:35 telefone desligado; Joanna (16h29): não atendeu"/>
        <s v="Taty(13:55) Paciente nao atendeu; Joanna (16h30): não atendeu"/>
        <s v="ianne (13h38) telefone desligado; Joanna (16h31): telefone desligado"/>
        <s v="(Thiago) Gestante com IG 21s3d, compareceu a Bandeira Filho hoje e refere que no atendimento foi informada que o corrimento se tratava de candidíase vaginal e que realizou  sumário de urina com resultado normal. Nega queixas obstétricas como sangramento, "/>
        <s v="Gestante com IG 11s6d pela DUM; G1 P1 (PN de prematuro extremo que foi a óbito) A0, a mesma informa que já deu início ao pré-natal em UBS de referência em seu território, já realizou consulta odontológica e está com consulta de volta marcada, assim como e"/>
        <s v="(Thiago) Tentativas sem sucesso às 16:56"/>
        <s v="13h30 (ianne) telefone desligado. "/>
        <s v="Joanna (15h6): permanece com a mesma queixa, no momento está se deslocando para atendimento na Barros Lima. Não foi possível encaminhar registro de atendimento porque a teleconsulta foi por chamada telefônica."/>
        <s v=" (Taty) Paciente encontra-se na maternidade, aguarda USG para definir conduta "/>
        <s v="ianne (14h) Paciente não atende. Enviado whasapp por link, mas sem retorno"/>
        <s v="ianne (15h05) Paciente não atende"/>
        <s v="(Marta) Não consegue contato após às 07:30h porque usuária não tem celular"/>
        <s v="Registrado Evento Sentinela - Encaminhamento via USF - agendamento regulação (Bel)"/>
        <s v="taty (09:19 ) paciente nao atendeu  (taty:13:50) paciente nao atendeu  Taty(15:54) paciente nao atende u"/>
        <s v="Ianne (14h50): paciente não atende. è enferemeira e tinha ficado de entrar em contato com resultado de uroc. "/>
        <s v="ianne (16h): Paciente não atende"/>
        <s v="ianne (16h10) paciente não atende"/>
        <s v="Taty("/>
        <s v="Taty ( 16:27) tentativa sem sucesso "/>
        <s v="14:20 (taty) realizo telemonitoramento, paciente refere cefaleia e nega outras queixas, como ontem apresentou na maternidade 140*90, solicito ida ao posto para hoje e amanha para aferir a PA "/>
        <s v="(ianne) realizar monitoramento amanha. Paciente ainda não foi na maternidade"/>
        <s v="01/07 (Joanna): Refere foi dia 29/06 ao CS Vereador Romildo Gomes, realizou 1ª consulta de PN, foi orientada quanto a normalidade do sangramento e corrimento vaginal. Nega novos episódios de sangramento. Prescrito Ácido fólico 1x/dia. Aguarda agendamento "/>
        <s v="Taty (15:27/ 16:49 ) paciente nao atendeu "/>
        <s v="01/07 (Joanna): Foi atendida na UPA dos Torrões, foi orientada que a reação apresentada à Cefalexina era normal e que poderia continuar uso. Encontra-se no 3º dia de tratamento, alega melhora do quadro apresentado, nega surgimento de novos efeitos colater"/>
        <s v="Joanna (16h12; 17h23): não atendeu"/>
        <s v="Taty ( 13:55) Thiago (15:10h) paciente não atende Taty ( 18:32  ) apos indentificação paciente desliga "/>
        <s v="Taty ( 13:55) paciente encontra-se no HBL, iniciou ATB e ira realizar uma lavagem cavitaria , o pec nao foi preenchido pois a paciente nao estava podendo falar ( preparo para o BC) falo com esposo "/>
        <s v="Thiago (12:00) Paciente não atende à ligação. (Fabiane) tentativa às 16:10"/>
        <s v="Telefone fixo e microsipp sem funcionar - tentar monitoramento 05/07"/>
        <s v="Refere que foi atendida na policlinica Bandeira filho , medicada e teve melhora da queixa "/>
        <s v="07/07 (Thiago) Às 15:35, usuária não atendeu.16:33 (taty) tentativa sem sucesso"/>
        <s v="Apoio Emocional"/>
        <s v="TATY(14:12) Paciente refere melhora dos sintomas;  prurido, hiperemia vulvar, edema, corrimento ; Iniciou creme vaginal dia 07/07/2023 após ser liberado pela APS e higiene pessoal como orientado em consulta anterior "/>
        <s v="07/07 (Thiago) Às 15:20, usuária não atendeu 16:33 (taty) telefone desligado"/>
        <s v="(taty) Paciente refere que buscou atendimento em uma upa, onde foi medicada e iniciou o atb, refere ainda melhora dos sintomas da otalgia"/>
        <s v="(Taty-15:20) paciente refere que procurou atendimento presenciau na maternidade barro lima, medicada e liberada, hoje refere melhora dos sintomas."/>
        <s v="Taty(12;31) Paciente refere melhora, realizou coleta de URO hoje, oriento como melhora dos sintomas, mostra no PN "/>
        <s v="14/17 Fabiane (15:28), usuária não atendeu à ligação."/>
        <s v="taty (16:05) paciente não atendeuIanne (14:12) paciente não atende "/>
        <s v="(Thiago) Às 13:30h, 17:24h, usuária não atende à ligação."/>
        <s v="16/07 Ana Cintra (15:20), paciente não atende à ligação."/>
        <s v=" 16/07 Ana Cintra (18:30), paciente não atende à ligação."/>
        <s v="taty (16:07 telefone desligado (Fabi - 14:40) desligado"/>
        <s v="Taty ( 16:56 ) telefone oculpado "/>
        <s v="(Thiago) Às 12:00h, usuária refere melhora do sangramento (01 episódio ontem), nega qualquer tipo de perda vaginal no momento; nega também outras queixas como dor em baixo ventre tipo cólica, contrações ou queixas urinárias. Finalizo monitoramento pelo AG"/>
        <s v="Às 15:00h, telefone indisponível."/>
        <s v="29/07 (Joanna): Refere que não apresentou novo episódio de sangramento. Segue sem queixas no momento. "/>
        <s v="Realizado."/>
        <s v="29/07: Refere que apresenta contrações dolorosas esporádicas ao longo dia, hoje apenas 1 episódio. Mobilograma realizado dia 26/07 = 10 MF. Fez teleinterconsulta com médica do plano de saúde, foi descartado TP e outras intercorrências. Nega sangramento, p"/>
        <s v="(Thiago) Às 16:15h, usuária não atende à chamada."/>
        <s v="05/08 (Joanna): Foi atendida dia 01/08 na USF Tia Regina, encontra-se no D8 (D0: 29/07), mantém coriza, nega sinais de alerta e queixas obstétricas."/>
        <s v="ianne (15h17) Paciente não atendeu, mas pelo PEC foi atendida na UBS e inicado metronidazol"/>
        <s v="Taty (16:42 ) Telefone nao completa a ligação "/>
        <s v="Gestante refere que que melhorou dos sintomas, porém, ainda não conseguiu inciar o PN. Na unidade de saúde, orientada que retornasse na semana seguinte."/>
        <s v="05/08: Refere que não conseguiu realizar a remarcação da consulta de PN no CS Prof Fernandes Figueira. Mantém cefaleia leve, sem sinais de alerta. Parou uso do Metildopa por conta própria, pois relata que após uso sente muito mal-estar, inclusive desmaiou"/>
        <s v="(Thiago) Às 18:00h, usuária não atende à chamada."/>
        <s v="// 04/08 (Lari) Telefone desligado"/>
        <s v="taty (14:00) paciente procurou atendimento, e realizou  USG trasvaginal, como apresentou queixa de disuria + corrimento vaginal, com antecedentes de ITU recorrentes em gestação anterior, encaminho novamente a urgencia, para realizçao do su "/>
        <s v="Joanna (09/08): Foi atendida na USF Coqueiral dia 07/08, orientada quanto as alterações fisiológicas da gravidez. Consulta de PN agendada para dia 10/08. Mantém dor lombar. Nega leucorreia, sintomas urinários e sinais de alerta. Oriento paciente sobre sin"/>
        <s v="(Thiago) Às 15:59h, usuária com telefone desligado."/>
        <s v="(Thiago) Às 16:09h, usuária não atende à chamada."/>
        <s v="(Thiago) Às 11:24h, usuária informa que compareceu hoje pela manhâ a 1ª consulta de PNRH em Us 373 Usf Cidade Operaria."/>
        <s v="Paciente atendeu e estava no CISAM, em processo de internamento, em virtude de PA alterada."/>
        <s v="(Camilla)"/>
        <s v="Foi à consulta de PNAR no IMIP hoje. Prescrito AAS 100 mg 1x/dia, Metildopa 250 mg 8/8h. Retorno programada para dia 23/08. Sem queixas no momento. Cd: Oriento manutenção do PNAR no IMIP e inicio do PN na APS; Informo que a consulta de PN na APS está agen"/>
        <s v="(Thiago) Às 18:02h, telefone da usuária não recebe a chamada."/>
        <s v="Agendada visita a maternidade Barros Lima para o dia 31/08. Oriento sinais de alerta e trabalho de parto ativo."/>
        <s v="(Thiago) Às 13:56h, 17:40h, usuária não atende à chamada. Taty(14/08 as 08:47) paciente nao atende a chamada "/>
        <s v="(ianne) 15h40 gestante não atende ligaçao"/>
        <s v="(Thiago) Às 14:04h, 17:42h, usuária não atende à chamada. Taty (14/08 as 08:56) paciente não atendeu "/>
        <s v="taty (18:11)Paciente se encontra na baarro Lima, PC as 11:41, rn apresentou desconforto respiratorio, esta em obs e puerpera em enfermaria  ; ianne (14h42) não atende"/>
        <s v="Taty( 16:14) Telefone não nao existe (18/08 Thiago) Telefone ocupado"/>
        <s v="Taty (17:11) paciente buscou atendimento presencial, continua com sintomatoligia, oriento realizar exame para COVID "/>
        <s v="18/08(Thiago) Às 11:40h, gestante apresenta melhora dos níveis glicêmicos. Trasnfiro cuidado para APS, ofereço TINC."/>
        <s v="(Thiago) Às 13:55h, telefone da usuária desligado/ocupado."/>
        <s v="(Thiago) Às 13:45h, paciente não atende à chamada telefônica."/>
        <s v="(Thiago) Às 11:48h, gestante comfirma boa movimentação fetal de ontem para hoje. Cofirmar acesso à APS em 22/08/23."/>
        <s v="ianne (14h) paciente não atende  taty ( 15:33)  Paciente nao atendeu "/>
        <s v="(Camilla) Tento contato às 14:22 sem sucesso (telefone fora de área ou desligado), (Thiago) Às 17:38h, usuária não atente à chamada."/>
        <s v="15:50 ( taty) tentativa sem sucesso, numero indisponivel. (Thiago) Às 17:40h, número indisponível."/>
        <s v="Realizado o telemonitoramento. Gestante sem queixas hoje. Foi a maternidade hoje, onde foi orientada manter medicação de asma. Oriento que siga o PN e que apenas em caso de asma de difícil controle é que deveria ser encaminhada ao PNAR."/>
        <s v="ianne (13h50) dando erro pelo microsip (numero bloqueado?) taty (16:50) paciente nao atendeu "/>
        <s v="Taty (15:28) gestante no curso da 8 semanas, nao procurou atendimento  , IMC 42, sintomas, congestao nasal supervisora "/>
        <s v="ianne (16h50) monitorar quinta"/>
        <s v="Ianne (13h45) paciente submetida a cesariana, internada na maternidade"/>
        <s v="Taty (15:28) Paciente nao atendeu "/>
        <s v="ianne (15h35) paciente não atende"/>
        <s v="(Thiago) Às 17:40h, Telefone não recebe chamada pelo fixo."/>
        <s v="(Thiago) Às 17:30h, usuária nã atende à ligação."/>
        <s v="(Thiago) ÀS 17:30h, telefone da usuária desligado."/>
        <s v="Taty ( 14:21) paciente procurou atendimento, foi avaliada e retonara dia 28/08/23 para realizar USG, no momento refere colicas, contração indolores "/>
        <s v="15h13 (ianne) Paciente não atende telefone. IG 40sem 6 + HASG. internada?"/>
        <s v="15:20 ( telefone desligado"/>
        <s v="(Thiago) Às 13:17h, usuária não atende à chamada."/>
        <s v="14H ( Taty)  paciente nao atendeu "/>
        <s v="(Thiago) Às 18:10h, usuária não recebeu visita da equipe ainda, FO ainda secretiva. Monitorar e avliar estado de FO amanhã."/>
        <s v="13:10 (taty) nao atendeu "/>
        <s v="(Thiago) Às 15:55h, usuária não atende à chamada."/>
        <s v="16h00 paciente não atende"/>
        <s v="16h05 paciente não atende. 09/09 (Joanna): Não fez uso do plasil. Mantém queixa de náusea, cefaleia discreta, fraqueza, alteração no padrão do sono, desconforto na garganta de inicio hoje. Cd: Oriento acerca dos sinais de alerta, uso de analgesico e antie"/>
        <s v="17h monitoramento realizado por telefone, devido dificuldade tecnica da paciente. Não conseguiu ser encaminhada para o hopchat. "/>
        <s v="(Thiago) Às 16:00h, usuária refere melhora e ausência de vômitos e diarreia."/>
        <s v="(Thiago) Às 16:20h, usuária não atende à chamada."/>
        <s v="(Thiago) Às 16:25h, o telefone da usuária não está recebendo chamada."/>
        <s v="(Thiago) Às 16:00h, telefone da usuária não recebe a chamada. 09/09 (Joanna): foi à USF dia 04/09, constatou-se FO sem alterações. Cd: Oriento paciente sobre sinais de alerta e cuidados gerais."/>
        <s v="(Thiago - monitoramento 06/09) Às 08:52h, gestante foi avaliada na Arnaldo Marques e orientada a retornar em 07/09 para internamento, caso não entre em trabalho de parto esponteneamente."/>
        <s v="(Thiago) Às 17:27h, o número da usuária encontra-se indisponível."/>
        <s v="(Thiago) Às 17:32h, a usuária não atende à chamada."/>
        <s v="(Thiago) Às 16:22h, o número da usuária não está recebendo ligação."/>
        <s v="Taty (18:30) nao consegui contato, porem nao sei se devido instabilidade do  microcip "/>
        <s v="(Thiago) Às 17:50h, o número da usuária não está recebendo ligação."/>
        <s v="ianne (16h) mudança de padrao do corrimento - ir na aps/maternidade amanha"/>
        <s v="ianne (9h) paciente na maternidade, puerpera"/>
        <s v="Gestante participou de TINC sobre sua quadro de saúde, no momento sem queixas e assintomática."/>
        <s v="(Thiago) Às 16:49h, usuária não atende à chamada."/>
        <s v="taty ( 13:50) realizado monitoramento, paciente refere corrimento e prurido descreto, nao procurou a APS, relata que ontem e hoje a tarde nao teve atendimento, mas esta marcado para amanha, "/>
        <s v="taty ( 18/09) Monitoramento realizado durante TINC com a profissional, Paciente com queixas de dor em BV e diminuição MF, paciente encaminhada para avaliação presencial, monitorar acesso a tarde "/>
        <s v="taty(15:49) telefone oculpado "/>
        <s v="19/09 (10h30) Larissa - Paciente internada na Bandeira"/>
        <s v="Taty (09:58) Paciente no momento da teleconsulta se encontrava na maternidade bandeira filho, onde foi avaliada e realizado uma USG com doppler  ( resultado relatado, diminuição do liquido amniótico, não foi possível medir o maior bolsão,   e  diminuição "/>
        <s v="ianne (16h20) Confirmado acesso/ orientação"/>
        <s v="22/09 (taty) paciente procurou atendimento e foi orientado repouso e buscopam"/>
        <s v="(Thiago) Às 15:45h, usuária não atende à ligação. taty (17:44) paciente nao atende"/>
        <s v="27/09 (Joanna): Foi ao CISAM (24/09), constatou-se PA = 140/90, prescrito Dipirona, orientada a buscar atendimento no posto de saúde. Refere mantém dor de cabeça, porém menos intensa. Não buscou atendimento na APS porque foi orientada a permanecer apenas "/>
        <s v="(Thiago) Às 17:24h, paciente não atende à chamada."/>
        <s v="17h Não completa a ligação."/>
        <s v="15h20 paciente não atendeu. ligamos 2x. "/>
        <s v="(ianne -02/10 as 13h35) paciente não atendeu"/>
        <s v="Não atende (18h)"/>
        <s v="Taty (13:38)Paciente na maternidade, pariu ontem as 21:35, puerpera e RN encontram-se no aalojamento "/>
        <s v="(Thiago) Às 15:56h, usuária não atende à chamada."/>
        <s v="Não conseguiu atendimento no CS Olinto de Oliveira. Segue com sintomas gripais. Demais informações sobre o caso no PEC."/>
        <s v="taty (10/10) paciente refere melhora nos sintomas, porem ainda com coriza, tosse esporadica, oriento realizar o teste para covid, pois durante o fds perdeu olfato e paladar"/>
        <s v="taty (18:23) nao completa ligação ( dada falta)"/>
        <s v="Joanna (14/10): Gestante refere que está bem. Nega queixas obstétricas e sinais de alerta. "/>
        <s v="(Thiago) Às 14:00h, 16:00h, usuária não atende à chamada."/>
        <s v="Foi à Arnaldo Marques (16/10); TPP descartado, fez uso de SF devido desidratação e Buscopan, orientada a manter uso do Pantoprazol 1x/dia. Refere melhora do quadro clínico, nega queixas obstétricas e sinais de alerta."/>
        <s v="(Thiago) Às 11:32h, gestante se encontrava em atendimento no Hospital Agamenon Magalhães."/>
        <s v="(Thiago) Às 14:40h, usuária não atende à chamada."/>
        <s v="(Thiago) Às 14:45h, usuária não atende à chamada."/>
        <s v="(Thiago) Às 17:53h, usuária não atende à chamada."/>
        <s v="Joanna (15h): não atendeu"/>
        <s v="taty ( 08:36 ) paciente atendida na urgencia do HBL, hoje com queixas leves, repetirar USG com uma semana, possibilidade de aborto retido."/>
        <s v="Foi ontem à Policlínica e Maternidade Barros Lima, realizou USG que evidenciou descolamento/hematoma; orientada a permanecer em repouso absoluto e retornar para reavaliação em 10 dias. Prescrito Utrogestan 2x/dia."/>
        <s v="(Thiago) Às 15:50h, usuária não atendeu à chamada. Taty (18:50) nao atenddeu a chamada, dado falta "/>
        <s v="(Thiago) Às 15:10h, usuária não atende à chamada."/>
        <s v="(Thiago) Às 15:14h, usuária não atende à chamada."/>
        <s v="Taty ( 30/10 as 15:44) usuaria nao atendeu "/>
        <s v="Joanna (14h; 16h20): não atendeu"/>
        <s v="taty (16:20) monitoramentp realizado, paciente refere secreção e obstrução nasal, nega outras queixas "/>
        <s v="Taty ( 16:30) paciente nao atendeu"/>
        <s v="(Thiago) Às 18:20h, usuária não atende à chamada."/>
        <s v="Taty (30/10 as08:40) paciente nao atendeu "/>
        <s v="Taty (30/10 as08:43) paciente nao atendeu "/>
        <s v="Taty (30/10 as08:49) paciente nao atendeu "/>
        <s v="01/11: foi avaliada no CS Gaspar Regueira Costa dia 31/10 (1ª consulta de PN). Refere que não apresentava alteração dos sinais vitais, orientada acerca dos sinais de alerta e uso de sintomático. Nega sinais de alerta no momento e queixas obstétricas. Mant"/>
        <s v="Joanna (17h): não atendeu."/>
        <s v="31/10 - Joanna (8h30):  Não foi ao atendimento presencial. Refere melhora da cólica e mantém queixa de disúria. Encaminho para avaliação na APS."/>
        <s v="Joanna (10h20; 14h10; 17h): não atendeu"/>
        <s v="Usuária refere melhora dos sintomas, nega queixas obstétricas."/>
        <s v="Joanna (10h20; 16h11; 17h05): não atendeu"/>
        <s v="Joanna (14h30; 16h15; 16h43; 17h6): não atendeu"/>
        <s v="Joanna (17h): Alguém que não se identificou atendeu (parecia uma criança) e informou que ela estava no médico. Logo em seguida desligou e não atendeu mais."/>
        <s v="``As 18h15 Não atende."/>
        <s v="Às 14:40, telefone desligado ou fora de área."/>
        <s v="Às 17h50 não atende."/>
        <s v="Fabiane (10:00) Gestante refere que não conseguiu ir para a avaliação presencial ontem. Matenho orientação de ir para o presencial."/>
        <s v="10/11/23, definido junto à coordenação não realizar monitoramento dos casos fora do ciclo grávido puerperal."/>
        <s v="TATY (16H) Paciente nao atendeu ( Dada falta em 11/11/023, apos 1 tentativa) "/>
        <s v="taty (18:32) Paciente nao atendeu (Falta dada)"/>
        <s v="Atendimento medico realizado ( ianne)"/>
        <s v="15/11 (Joanna): realizou TR gravidez (14/11) com resultado positivo; foi à USF em busca de atendimento (14/11), porém, refere que não foi bem acolhida, o atendimento foi realizado fora da sala de atendimento, informada que poderia realizar uma USG no part"/>
        <s v="(Thiago) Às 15:00h, usuária não atende à chamada."/>
        <s v="(Thiago) Às 17:00h, usuária não atende à chamada."/>
        <s v="(Thiago) Às 17:20h, usuária não atende à chamada."/>
        <s v="Usuária encontrou para teleconsulta na demana noturna"/>
        <s v="22/11 (taty) monitoramento realizado, paciente nao procurou atendimento na emergencia, permanece com sintomatologia "/>
        <s v=":taty (17:50) paciente nao atendeu"/>
        <s v="taty (17:54) paciente nao atendeu"/>
        <s v="(Thiago) Às 17:25h, usuária não atende à chamada."/>
        <s v="(Thiago) Às 14:50h, 17:30h, usuária não atende à chamada."/>
        <s v="Joanna (17h22): não atendeu"/>
        <s v="Joanna (17h25): parto cesáreo no HBL. Ambos seguem com BEG."/>
        <s v="Joanna (14h13; 16h3517h13): não atendeu"/>
        <s v="(Thiago) Às 13:30h, 15:00h, 16:30h, telefone indisponível."/>
        <s v="Joanna (17h; 18h10): não disponível"/>
        <s v="Joanna (18h12): indisponível"/>
        <s v="Foi à Upinha Eduardo Campos (local de funcionamento provisório da USF Ponto de Parada), recebeu 1ª dose de Penicilina benzatina (07/12) e foi orientada a retornar próxima terça-feira para agendar consulta de pré-natal. "/>
        <s v="Entrou por demanda espontânea. Dinâmica uterina: 4/40&quot;34&quot;60&quot;59&quot;/10'; MF reduzida. Foto do absorvente com líquido de aspecto acastanhado."/>
        <s v="Foi ao Hospital Guararapes em Prazeres, constatou-se presença de sangue nas fezes, prescrito Azitromicina 500 mg 1x/dia por 5 dias, Floratil 2x/dia por 3 dias. Refere que apresenta melhora do quadro clínico, nega presença de evacuações aquosas desde ontem"/>
        <s v="Gestante atende a ligação, mas diz que está sem internet, por isso faço o monitoramento por ligação telefônica. Confirma que foi atendida na APS ontem, conforme orientação de Thiago. Iniciou o tto para o corrimento ontem. Ainda está com os mesmo sintomas,"/>
        <s v="Telemonitamento realizado, consulta presencial amanha pela manha"/>
        <s v="16/12 - refere melhora considerável dos sintomas, mantém um pouco de coriza e apresentou episódio de tontura após jejum prolongado. Informo realização de novo monitoramento em 17/12 (7º dia de inicio dos sintomas)."/>
        <s v="Refere que foi atendida hoje na USF Chão de Estrelas, prescrito Amoxicilina e Dipirona. Sem novas queixas no momento."/>
        <s v="Encontra-se internada no Hospital da Mulher do Recife. Informação fornecida pelo esposo Edimilson."/>
        <s v="16/12 - Refere que foi à USF Sítio Cardoso, porém, não tinha nenhum profissional disponível para atendimento (estavam em um curso). Foi atendida no dia seguinte (15/12) na Policlínica Lessa de Andrade. No momento não apresenta queixas."/>
        <s v="16/12 - Foi atendida no IMIP (14/12), fez uso de Tramal e Dipirona. Refere que está sem queixas no momento. "/>
        <s v="Foi atendida na USF Rosa Selvagem, fornecido atestado médico de 5 dias. Mantém coriza, nega outras queixas e sinais de alerta. Encontra-se no 5º dia do início dos sintomas (D0 - 11/12)._x000a_"/>
        <s v="(Thiago) Às 16:00h,18:00h, usuária não atende à chamada."/>
        <s v="Às 16h25, telefone dá sinal de ocupado."/>
        <s v="(Camilla) 15h11 Gestante foi atendida na Bandeira Filho e testada para COVID, com resultado negativo. Hemograma também coletado sem alterações. Agendo monitoramento em 48h para avaliar evolução do quadro."/>
        <s v="(Thiago) Às 15:00h, 16:00h, gestante não atende à ligação."/>
        <s v="Refere parto vaginal sem intercorrência na Maternidade Arnaldo Marques, sem queixas no momento. RN em bom estado geral e em AME."/>
        <s v="Refere parto vaginal, sem intercorrências, RN do sexo masculino, nega queixas no momento. "/>
        <s v="(Thiago) Às 13:44h, 16:10usuária não atende à ligação."/>
        <s v="Gestante mantém quadro de pródromos, oriento quanto TP e sinais de alerta."/>
        <s v="(Thiago) Às 13:50h,16:00h usuária não atende à ligação."/>
        <s v="(Thiago) Gestante refere melhora dos sintomas, realizou avaliação em sua USF."/>
        <s v="(Thiago) Às 14:53h, 16:50h, gestante não atende à ligação."/>
        <s v="(Thiago) Às 17:00h, suária não atende à chamada."/>
        <s v="(Thiago) Às 17:08h, suária não atende à chamada."/>
        <s v="Joanna (17h41): não atendeu (Falta registrada no PEC)"/>
        <s v="(Thiago) Às 15:00h, 17:10h, não consigo contato com a usuária."/>
        <s v="(ianne) 13h paciente não atende"/>
        <s v="(Thiago) Às 14:40h, 16:00h, usuária não atende à chamada."/>
        <s v="Permanece com tosse, nega sinais de alerta e queixas obstétricas"/>
        <s v="02/01 - foi ao HMR. Mantém sangramento discreto, realizará USG hoje."/>
        <s v="Joanna (14h42; 17h4): não atendeu"/>
        <s v="Joanna: Assintomática, D4 hoje. "/>
        <s v="Paciente procurou atendimento, descartado TVP. Nervo ciático? Apresenta melhora da dor. "/>
        <s v="Refere que USG realizada em 02/12 evidenciou gravidez ectópica. Encontra-se no Hospital da Mulher do Recife."/>
        <s v="Taty(16:22) nao atendeu a ligação"/>
        <s v="Parto vaginal dia 03/01 na Maternidade Barros Lima. "/>
        <s v="Foi ao Hospital Barão de Lucena, nenhuma anormalidade foi identificada. Hoje fez consulta de PN na APS. Nega queixas obstétricas e sinais de alerta."/>
        <s v="Joanna (17h10): não atendeu (registro falta no PEC)"/>
        <s v="Joanna (17h12): não atendeu (registro falta no PEC)."/>
        <s v="(Thiago) Às 14:00h, 16:00h, o telefone da usuária não está recebendo ligação."/>
        <s v="Refere melhora do corrimento vaginal, não foi à USF, aguardará consulta de PNAR (11/01)."/>
        <s v="Joanna (17h30): telefone indisponível (falta registrada no PEC)"/>
        <s v="Taty (12:40) paciente refere melhora da sintomatologia,"/>
        <s v="Joanna (15h): não atendeu (Falta registrada no PEC dia 13/01)"/>
        <s v="(Thiago) Às 16:00h, 17:00h, usuária não atende à chamada."/>
        <s v="12/01 :taty (13:17) paciente nao atendeu (Falta registrada no PEC dia 13/01)"/>
        <s v="taty (16:09) paciente nao atende "/>
        <s v="Joanna (14h; 15h16): não atendeu (Falta registrada no PEC)"/>
        <s v="(Thiago) Às 17:30h, o telefone da usuária não está recebendo ligação."/>
        <s v="Joanna: Refere que foi ao HMR, foi diagnosticada com ITU, prescrito Cefalexina 500mg de 6/6h por 7 dias (iniciou tratamento)+ Buscopan. Relata que na triagem foi informada de PA 140 x 80 (não tem registro para comprovar). Nega que tenha sido realizada alg"/>
        <s v="taty (16:04) usuaria não atendeu (Thiago) Às 17:44h, usuária não atendeu."/>
        <s v="taty (16:07)paciente refere melhora dos sintomas, porem nao procurou a aps para aferir a pressão "/>
        <s v="Taty (15:39) usuaria nao atende (Falta registrada no PEC)"/>
        <s v="Encontra-se internada no Hospital das Clínicas para indução do parto."/>
        <s v=" "/>
        <s v="Joanna (14h46; 17h): não atendeu (falta registrada no PEC)"/>
        <s v="Joanna (17h): não atendeu (falta registrada no PEC)"/>
        <s v="(Thiago) Às 13:34h, usuária não atende à ligação."/>
        <s v="17h Camilla Gestante não atendeu. "/>
        <s v="Camilla (17h) Não atendeu"/>
        <s v="Taty( 13:44) paciente procurou atendimento como orientado, inicio de atb e melhora da febre e cefaleia, permanece com obstrução e seceção. "/>
        <s v="(Thiago) Às 17:00h, telefone encontra-se indisponível."/>
        <s v="Camilla (18:00) Gestante não atendeu."/>
        <s v="(Thiago) Às 16:42h, gestante foi atendida na Bandeira Filho, avaliada e liberada para casa em seguida."/>
        <s v="(Camilla) Gestante foi ao Hospital das Clínicas, foi avaliada e liberada (trabalho de parto inicial)."/>
        <s v=" Foi atendida na Policlínica e Maternidade Barros Lima, apresentou PA normal (não lembra o valor), orientada quanto ao uso do Paracetamol, não realizou exames. Sente-se cansada e sonolenta, refere melhora da cefaleia, nega sinais de alerta. Hoje PA = 143 "/>
        <s v="(Thiago) Às 17:38h, não consigo contato com a usuária."/>
        <s v="(Thiago) Às 18:00h, usuária realizou atendimento no HMR, sendo liberada em seguida. No momento, assintomática."/>
        <s v="(Thiago) Às 15:52h, o telefone da usuária não está disponível para receber chamadas."/>
        <s v="(Thiago) Às 15:55h, o telefone da usuária não está disponível para receber chamadas."/>
        <s v="(Thiago) Às 17:30h, usuária realizou atendimento na Bandeira Filho, foi liberada em seguida, sagramento ainda persiste."/>
        <s v="(Thiago) Às 15:15h, usuária não atende à chamada."/>
        <s v="Gestante atende e informa que foi avaliada ontem na Maternidade, onde foi vista dilatação de 4-5cm e liberada. Hoje as contrações estão menos frequentes. Nega outras queixas e aguarda o desencadeamento do TP ativo em casa. Encerro o caso."/>
        <s v="taty (13:30) paciente apresentando sangramento e presença de coagulos ,provavel aborto "/>
        <s v="Gestante refere que durante o mobilograma, identificou 5 movimentos fetais. Encaminho para avaliação presencial na maternidade e agendo monitoramento para amanhã."/>
        <s v="Taty ( 16:29) paciente atendida no HMR, dor pelvica, medicada e orientada repouso."/>
        <s v="ianne (14h10) paciente não atende.  Mas PEC ela foi acolhida e avaliada hoje pelo APS."/>
        <s v="Gestante refere alívio da cefaleia. Alta do episódio. "/>
        <s v="Joanna (14h) paciente não atendeu Taty ( 15:35) iniciou tratamento para ITU, refere cefaleia leve "/>
        <s v="Aborto confirmado na Maternidade Bandeira Filho (20/02)."/>
        <s v="(Thiago) Às 17:30h, não consigo contato com a usuária."/>
        <s v="Taty (12:40)Paciente refere melhora dos sintomas, hoje apresentou 2, nega nausea e vômitos, tontura, cefaleia, febre, sangue nas fezes e outros sintomas/sinais de alerta. nega perdas vaginas e queixas urinarias; Refere boa movimentação fetal e boa aceitaç"/>
        <s v="(Thiago) Gestante realizou atendimento presencial como orientado pelo AG, testou negativo para covid19. Refere lehoras dos sintomas."/>
        <s v="Camilla (27/02 - 08h37) Telefone ocupado (taty-16:48) sem sucesso-chama e cai nao recebe ligação? "/>
        <s v="taty (15:32) paciente não atendeu, (Thiago) Às 16:36h, paciente não atendeu."/>
        <s v="ianne (15h40) paciente não atende"/>
        <s v="(Thiago) Gestante refere melhora das dores."/>
        <s v="Joanna: Refere melhora da cefaleia. PA 110 x 80."/>
        <s v="Apresentou febre ontem, foi à Policlínica e Maternidade Arnaldo Marques, prescrito Dipirona e Histamin. Refere melhora da tosse e febre. Mantém coriza e congestão nasal. Nega sinais de alerta e outras queixas obstétricas. Cd: Oriento paciente sobre sinais"/>
        <s v="Encontra-se no 3º dia de inícios dos sintomas, mantém tosse, nega sinais de alerta e queixas obstétricas. Cd: Oriento sinais de alerta; realizar TR Covid."/>
        <s v="taty (16:40) paciente nao atendeu "/>
        <s v="Taty (16:38) paciente nao atendeu "/>
        <s v="Joanna (16h): não atendeu"/>
        <s v="Monitoramento realizado. Refere melhora dos sintomas da mastite. Novo monitoramento amanhã E AGENDADA TINC com médico da equipe para passar o caso. Consulta puerperal domiciliar à ser realizada pela equipe da APS em breve."/>
        <s v="Refere mamas flácidas, macias e sem eritema. Sem novas queixas."/>
        <s v="Foi à consulta de PN no CS Prof Joaquim Cavalcante; prescrito Metronidazol. Já iniciou tratamento. Nega novas queixas."/>
        <s v="(Thiago) Às 17:00h, usuária não atendeu à chamada."/>
        <s v="(Thiago) Gestante refere melhora dos sintomas."/>
        <s v="(Thiago) Às 17:30h, paciente informa que não melhorou da odontalgia, procurará a urgência amanhã pela manhã."/>
        <s v="(Thiago) Às 18:00h, usuária não atendeu à chamada."/>
        <s v="Foi atendida na USF Três Carneiros de Baixo Zumbi do Pacheco (12/03), prescrito Nitrato de Miconazol (iniciará uso hoje). Nega novas queixas e sinais de alerta."/>
        <s v="14:25 (Camilla) Gestante não atendeu"/>
        <s v="Encontra-se no 2º dia de uso da Loratadina, refere melhora do prurido e nega aparecimento de novas lesões. Observa que as lesões estão mais claras. Nega novas queixas e sinais de alerta."/>
        <s v="15:43 (taty) Paciente nao atendeu"/>
        <s v="16:45 (taty) Foi à Maternidade Barros Lima, realizou USG obstétrica (bolsa integra) e reavaliação. relata que melhorou dos sintomas gripais, porem esta de repouso, pois colo fino (SIC). nega queixas obstetricas e urinarias "/>
        <s v="15:45 (taty) Paciente internada na Maternidade Bandeira Filho, devido a mastite, refere esta em uso de dois antibioticos venosos, aguardando USG para definição de conduta, RN com a paciente"/>
        <s v="14:56 ( taty) Paciente nao procurou atendimento, refere melhora na Odontalgia, relatando  contrações irregulares (4 contrações hoje) boa vitalidade do feto, sem queixas obstetricas e urinarias "/>
        <s v="Nayale (17h00): Não atendeu à chamada (tentado 2x)"/>
        <s v="Nayale (17h06): Não atendeu à chamada (tentado 2x)"/>
        <s v="Nayale (14:32 e 17:08):Puérpera não atendeu à chamada (tentado 3x)"/>
        <s v="Foi à USF ontem, porém, não aguardou atendimento devido superlotação. Retornará amanhã (22/03) para nova tentativa. Refere melhora do corrimento vaginal, mas mantém prurido. Nega aparecimento de sintomas e sinais de alerta."/>
        <s v="17:25 (Nayale) Retorno ligação, mas gestante não atende às chamadas (tentado 3x)."/>
        <s v="Joanna (16h; 17h15): não atendeu"/>
        <s v="Rhayza (16:28) : nao atendeu. Joanna (17h16): não atendeu"/>
        <s v="(Lili) 14:28 Gestante não atendeu. "/>
        <s v="16h Paciente sem queixas. Avaliada hoje na unidade. Monitoramento em 2h"/>
        <s v="Joanna (23/03 - 11h; 16h30): não atendeu (falta registrada no PEC)"/>
        <s v="Nao atendeu/Ocupado (15:30) Rhayza"/>
        <s v="Não atendeu (15:32)"/>
        <s v="Em 24/03 foi à UPA de Torrões devido falta de ar. Foi avaliada e orientada quanto os sinais de alerta, recomendado uso de sintomáticos. Refere que se sente melhor. Mantém tosse produtiva, congestão nasal. Nega dispneia, febre e outros sinais de alerta. Se"/>
        <s v="Lili (15:13): Paciente refere "/>
        <s v="Puérpera tirou os pontos em casa, com a irmã que é técnica de enfermagem. FO com bordas coaptadas, porém, drenando secreção seropurulenta em pouca quantidade. Nega dor local, nega febre. Encaminho à urgência."/>
        <s v="Rhayza (14:07) não atendeu"/>
        <s v="Rhayza (14:03) não atendeu "/>
        <s v="8h40 (Lari) FO com bom aspecto. Oriento seguimento puerperal. Ag avaliação da FO pelo posto. No momento, sem sinais de infecção."/>
        <s v="A gestante entrou em contato via demanda espontânea após ser realizado o registro de falta. informa que não foi ao serviço de saúde e que irá amanhã na Maternidade Prof. Bandeira Filho. Refere aumento da quantidade corrimento vaginal de aspecto leitoso e "/>
        <s v="Às 15h, telefone não completa a ligação"/>
        <s v="15:19 ( taty) FO sem sinais Flogidtico, dada orientaçoes quanto a assepsia de FO"/>
        <s v="Rhayza (17:20) nao atendeu"/>
        <s v="15h10 (Camilla) telefone não completa a ligação (tento do fixo e do microsip)"/>
        <s v="12:30( taty)  hoje no d8, nega febre, cefaleia , fadiga,  relata melhora da tosse e secreção ,nega queixas urinarias e obstétricas  e refere que esta há 2 dia sem usar a dipirona e seu esposo realizou teste para o covid com resultado negativo"/>
        <s v="(Thiago) Às 14:40h, paciente não atendeu."/>
        <s v="(Thiago) Às 14:50h, telefone desligado/indisponível."/>
        <s v="Realizar novo monitoramento em 12/04"/>
        <s v="Rhayza (16:15) não atendeu"/>
        <s v="Rhayza (16:24) ocupado "/>
        <s v="(Thiago) Às 17:30h, paciente não atende."/>
        <s v="(Thiago) Às 17:40h, paciente não atende."/>
        <s v="17h (Camilla) Ligação não completa. "/>
        <s v="Refere melhora dos sinatomas. Sem novas queixas e sinais de alerta."/>
        <s v="Rhayza (16:25) nao atendeu "/>
        <s v="(Thiago - 14:00h, 16:50h) Usuária não atende à chamada."/>
        <s v="Joanna (14h09; 16h53): não atendeu"/>
        <s v="Mantém coriza, tosse, congestão nasal, dor de garganta. Descartado perda de LA (atendida na Maternidade). Esqueceu de pedir atestado médico. Nega sinais de alerta. Encaminho para teleconsulta com Damartine. "/>
        <s v="Realizar novo monitoramento em 24 h"/>
        <s v="Rhayza (16:18) ocupado "/>
        <s v="18:07 Encontra-se internada no HBL. Encerro monitoramento. "/>
        <s v="Registro feito no dia 18/04"/>
        <s v="Hoje, D8 de início dos sintomas gripais, refere que mantém tosse esporádica. Nega queixas obstétricas e sinais de alerta. Finalizo telemonitoramento"/>
        <s v="15:35 (taty) paciente nao atendeu e nao interagiu pelo hopchat; Joanna (16h50): não atendeu"/>
        <s v="Não foi à avaliação presencial devido melhora da dor em baixo. Refere discreta dor ao urinar, dor em loja renal há 1 dia, cefaleia e dois episódios de vômito. Cd: Encaminho à maternidade."/>
        <s v="Taty (15:32; 17h08) paciente não atendeu ---&gt; falta registrada no PEC"/>
        <s v="Taty (15:34) paciente não atendeu; Joanna (17h10): não atendeu ---&gt; Falta registrada no PEC"/>
        <s v="(Thiago - 14:10h, 16:55h) Usuária não atende à chamada."/>
        <s v="Rhayza (17:06) Internada no HMR devido PA."/>
        <s v="Não atendeu."/>
        <s v="10h30 Paciente refere dor lombar importante associada a febre não aferida. Opto por encaminhar a avaliação presencial"/>
        <s v=" 16:50 ( taty) Paciente no momento do monitoramento se encontrava em atendimento no CISAN . Companheiro refere perda de tampao mucoso e contraçoes ritimadas e dolorosa "/>
        <s v="15:42 (Taty) Paciente não atendeu "/>
        <s v="Não atendeu"/>
        <s v="Lari (14h) não completa chamada"/>
        <s v="Taty ( 14:21) Paciente Procurou a APS, hoje apresentou 1 epsodio de diarreia, refere melhora da nausea e colicas, nega febre  e queixas obstetricas   "/>
        <s v="16:14 (taty) refere que procurou atendimento presencial e melhoras do sintomas "/>
        <s v="13:48 Não atendeu (Camilla)"/>
        <s v="(Thiago) Às 15:20h, paciente não atendeu à chamada."/>
        <s v="(Thiago) Às 15:23h, paciente não atendeu à chamada."/>
        <s v="Rhayza (16:11) nao atendeu"/>
        <s v="Rhayza (16:15) nao atendeu"/>
        <s v="Rhayza (17:25) nao atendeu"/>
        <s v="Encontra-se aguardando resultado de exames laboratoriais na Maternidade Arnaldo Marques. Refere melhora dos sintomas após administração de medicações (não sabe quais medicações foram administradas) e desaparecimento das manchas no abdome."/>
        <s v="17:00h (Thiago) Não atende à chamada"/>
        <s v="14:27 (Taty) Refere que foi descartado dengue, na Maternidade Arnaldo Marques, onde  ealizou hemograma e SU. hoje nega febre, manchas pelo corpo, nausea e vômitos,  nega  queixas obstetricas e urinaria "/>
        <s v="16:50 ( Taty)  Paciente não atendeu "/>
        <s v="Rhayza (15:57) nao atendeu"/>
        <s v="16:08 ( taty)  paciente procurou atendimento presencial , onde foi avaliada e liberada, nega queixas urinaria, sangramento e perda de liquido, refere MF presente"/>
        <s v="Joanna (13h25; 17h06): não atendeu"/>
        <s v="Joanna (14h40): não atendeu; 16:34 (Taty) Paciente não atendeu"/>
        <s v="14:43(taty) Paciente não atendeu 16:55 ( Taty) Paciente mão atendeu "/>
        <s v="14:33h (Thiago) Telefone fora de área."/>
        <s v="16:43 (taty)Contração + lombalgia , sem perda de liquido ou sangramento, sem queixas urinarioas  e  MF presente, encaminho a maternidade "/>
        <s v="18:27h (Thiago) Não completa a chamada"/>
        <s v="16:00 (taty) paciente não atendeu"/>
        <s v="17:07 (taty) paciente sem queixas, porem angustiada"/>
        <s v="Joanna (16h): indisponível"/>
        <s v="Joanna (14h27; 17h08): não atendeu"/>
        <s v="Joanna (14h30; 17h09): não atendeu"/>
        <s v="16:27 (Taty) paciente não atendeu"/>
        <s v="14:00h (Thiago) Usuária não atende a chamada."/>
        <s v="14:10h (Thiago) Usuária não atende a chamada."/>
        <s v="18:00 (Camilla) Não atendeu"/>
        <s v="Rhayza (17:15) nao atendeu"/>
        <s v="Rhayza (16:16) não atendeu "/>
        <s v="Rhayza (17:46)"/>
        <s v="16:11h (Thiago) Não atende a ligação."/>
        <s v="(Thiago) 13:30h Telefone ocupado, paciente não atende a chamada."/>
        <s v="(Rhayza) 16:45 Não atendeu"/>
        <s v="Monitoramento realizado. Realizar novo monitoramento 27/05"/>
        <s v="(Rhayza) 16:49"/>
        <s v="17:00h (Thiago) Nao atendeu a chamada."/>
        <s v="16:10h (Thiago) Não atende a ligação."/>
        <s v="11:00h (Thiago) Nao atendeu a chamada."/>
        <s v="16:50h (Thiago) Não completa a ligação."/>
        <s v="17:00h (Thiago) Gestante compareceu à sua unidade e foi orientada a retornar amanhã."/>
        <s v="15:40 (Thiago) Paciente não atendeu."/>
        <s v="Joanna (17h): não atendeu"/>
        <s v="Rhayza (14: 54) Não atendeu"/>
        <s v="(Thiago) 14:50h, não atendeu."/>
        <s v="Rhayza (14:57) Nao atendeu  "/>
        <s v="Foi atendida na USF. Refere melhora considerável. "/>
        <s v="Rhayza (17:15) sem conseguir contato telefonico"/>
        <s v="14:19 ( taty) paciente não atendeu "/>
        <s v="(Thiago) Não completa a ligação."/>
        <s v="(Camilla) Às 16h. não completa a ligação."/>
        <s v="17:00h (Thiago) Não completa a ligação."/>
        <s v="18h (Camilla) Chama duas vezes e cai ligação."/>
        <s v=","/>
        <s v="                                 "/>
      </sharedItems>
    </cacheField>
    <cacheField name="OBS" numFmtId="0">
      <sharedItems containsBlank="1" containsNumber="1" containsInteger="1" containsMixedTypes="1" count="409">
        <m/>
        <s v="Realizado telemonitoramento 03/01 as 15h. Encerrado do telemonitoramento"/>
        <s v="Enfermeira da Unidade"/>
        <s v="Agente de saúde; o PEC foi registrado pelo login do telessaude. "/>
        <s v="Foi ofertado TINC, porém não foi enviado a notificação de atendimento para o profissional (DS VII) visto que estamos aguardando confirmação de como será a notificação para os profissionais dos demais DS"/>
        <s v="LANÇAMENTO"/>
        <s v="ficou sabendo pela propaganda"/>
        <s v="Gestante de rede privada - Hapvida"/>
        <s v="Faz PN CS Olinto - Lessa de Andrade"/>
        <s v="Gestante de rede privada. Sobre monitoramento, quando for identificado indicação de monitoramento que não esteja enquadrado dentro do fluxo, deixar registrado o motivo do monitoramento."/>
        <s v="- Oriento repetir TR-gravidez, se positivo agendar consulta de pré-natal na US de referência ( US 108 CS Boa Vista); _x000a_- Informo que após parar o uso do anticoncepcional, bem como após uso da anticoncepção de emergência, pode acontecer irregularidade menst"/>
        <s v="Não foi enviado notificação para o profissional de referência porque na planilha de cadastro não tem contato"/>
        <s v="Paciente teve consulta em prenatal e realizado prescriçao de albendazol dia 06/06 por enf rose (PEC)"/>
        <s v="( ianne) 10h50 Ligo 3 x, nao atendeu"/>
        <s v="Rede Privada"/>
        <s v="Apoio emocional: refere muito medo de uma nova perda gestacional, considerando que teve 3 perdas anteriores a esta gestação."/>
        <s v="Monitorar final da tarde, tem consulta no pre natal as 13h- para checar se teve consulta. Paciente necessita de apoiio emocional ( historia traumatica em parto anterior"/>
        <s v="Apoio Emocional"/>
        <s v="Joanna: Registro atendimento realizado por Eliane, visto que ela não consegue editar a planilha. "/>
        <s v="Foi encaminhada ao SPA da Barros Lima (Marta 10/06 - faz PN no Hapvida)"/>
        <s v="(MARCIA) Entra em contato com o número disponibilizado, pessoa (Andrea) informa que ela saiu e não consegue atender hoje. Oriento que caso necessite de atendimento novamante ela entra em contato pelo Atende Gestante. "/>
        <s v="Encaminhada à UPA Lagoa Encantada"/>
        <s v="Gestante reside em Jaboatão. Repassou endereço de Recife à recepção digital; durante anamnese informou endereço atual. Caso não registrado no PEC. "/>
        <s v="Faz PN no Hapvida"/>
        <s v="TINC realizada com monique, lesao Fibroma Mole, que geralmente aparece na vida adulta, que pode modoficar na gestação, se for desejo pode ser realizado pela prefeitura a retirada no ambulatorio de pequenas cirurgias. enf e medica do posto pode solicitar "/>
        <s v="Realizado TINC no mesmo momento do atendimento com a enfa Arianny"/>
        <s v="Reavaliar fluxo de corrimento* (Marta lembrete) "/>
        <s v="Atendimento feito por Lari e Registrado por Thiago (após às 19h)"/>
        <s v="Puerpéra (bebê com 38 dias)"/>
        <s v="Avaliar novos sintomas/solicitar códido e senha do exame para verificar no site do lab"/>
        <s v="Apoio Emocional - ansiedade relacionada ao TP, sofreu violência obstétrica, sofrimento no parto anterior"/>
        <s v="Apoio emocional - tristeza/ luto - natimorto"/>
        <s v="Ligar para: 81991724644 (número do namorado)"/>
        <s v="Não foi feito registro do telemonitoramento"/>
        <s v="Dandara estava dormindo na hora que liguei (08:20) e Neto pediu que ligasse às 10:00. "/>
        <s v="Tentar monitoramento 15/06"/>
        <s v="Sem registro das telecosnulta do dia 14/06 no pec"/>
        <s v="Tentar monitoramento 15/06 / PEC INSTAVEL SEM REGISTRO da cosulta anterior 14/06"/>
        <s v="PEC sem registro da consulta anterior"/>
        <s v="(Marta) Não consigo identifiquei equipe responsável pela usuária"/>
        <s v="Sem registro no PEC da teleconsulta realizada no dia 14/06. (MARTA) Usuária não é mais acompanhada pela USF Amaury de medeiros, se mudou, não enviado notificação."/>
        <s v="(ianne): paciente com 2 prontuarios, usar o do CNS. Não encontro registro de atendimento de ontem(Marta) Não consigo identifiquei equipe responsável pela usuária"/>
        <s v="(ianne) não encontro registro atendimento de eontem no pec"/>
        <s v="Rede privada (Marta) Sem registro do atendimento no PEC e não consigo identificar equipe para envio de notificação / Serviço privado HAPVIDA"/>
        <s v="Telemonitoramento do dia 14/06"/>
        <s v="(Marta) No momento o PEC não estava funcionando, oriento fazer o registro no dia 18/06 - dia do plantão."/>
        <s v="Usuária de PACS - ainda não iniciou o PN, no monitoramento verificar se usuária já sabe o profissional responsável para enviar notificação e realizar acompanhamento. Às 15:00h usuária informa que conseguiu falar com ACS e irá marcar consulta para semana d"/>
        <s v="Atendimento realizado dia 16/06 por Larissa sem PEC. Paciente G1, 37s6d por USG do cartao de PN com 10s4d, refere dor em BV, perda de TM, diarreia sem sangue ou muco e febre 38.9º (SIC). Refere boa MF. Oriento atendimento presencial. Informado monitoramen"/>
        <s v="Usuária ainda não iniciou o PN na USF de referência em Recife. Era moradora de Olinda e deu continuidade ao PN lá. "/>
        <s v="Usuária fazendo atendimento em clínica particular "/>
        <s v="Reside em Recife, mas está no Paraná a trabalho (retornará dia 13/07)."/>
        <s v="TINC realizada com o profissional."/>
        <s v="Paciente entra em contato pelo hopchat as 14h20, realizado telemonitoramento."/>
        <s v="ligar as 07:30 telefone da filha yasmin, paciente nao tem telefone, se passar do hoario o CAPS entrar em contato, para realizar o telemonitoramento "/>
        <s v="Ligar à tarde."/>
        <s v="Paciente deseja saber onde consegue fazer uma USG renal na rede. Acompanhada pelo SASSEPE e exame não estava disponível hoje. Ela tem estenose de JUP esquerda e apresentou dor em flanco direito hoje. "/>
        <s v="PEC sem funcionar a partir das 17h, não foi possivel colocar falta"/>
        <s v="Apoio Emocional. Pouco comunicativa, aparenta tristeza. Thiago (26/06/23); gestante relata que mãe e irmão apresentam os mesmos sintomas. "/>
        <s v="Preenchimento do nome da usuária"/>
        <s v="Gestante, IG = 30s6d (USG), residente no municipio de Jaboatão (informação confirmada durante videochamada e registro no cartão de PN), queixa-se de dor em BV esporádica, corrimento vaginal amarelado associado a prurido vaginal, congestão nasal e falta de"/>
        <s v="Sangramento (usuária ainda não iniciou o PN - foi hoje a unidade para realizar cadastro e agendar consulta)"/>
        <s v="Gestante com dificuldade de conexão para vídeo chamada. Conseguiu contato com celular de terceiros. É de área coberta, mas não iniciou pré-natal, IG 15s1d pela USG em 03/05/2023com 7s3d, queixa de náuseas e cefaleia, internamento em gestação anterior com "/>
        <s v="O telefone não é da gestante (não enviar link) Cel: 81996343446"/>
        <s v="Ligar para 997023914"/>
        <s v="(Marta) Gestante entrou como novo atendimento após 2 tentativas de contato/registrado como telemonitoramento."/>
        <s v="(Marta) Orientar que usuaria entre em contato com ACS ou vá a unidade tentar marcação de consulta com a outra enfermeira (Andrea está de férias mas informa que deixou tudo articulado com a colega da outa equipe)"/>
        <s v="No inicio do mês não conseguiu agendar PN devido indisponibilidade de profissional. Encaminhada ao CS para agendar PN e avaliação clínica."/>
        <s v="#TELEMONITORAMENTO ATENDE GESTANTE# Registro que paciente forneceu o consentimento verbal livre e esclarecido para a realização da modalidade de teleconsulta. Impossibilidade de  videochamada, realizado atendeimento por ligaçao. Idade Gestacional (23sem 5"/>
        <s v="paciente refere cefaleia e nega outras queixas, como ontem apresentou na maternidade 140*90, solicito ida ao posto para hoje e amanha para aferir a PA "/>
        <s v="Gestante com IG 15s3d pela DUM e 13s5d pela USG com 5s4d, G4 P2 (2PC) A1 (2022), Gravidez não planejada, usava ciclo 21, relata uso correto. Paciente atendida ontem e orientada ir na maternidade , mas nao foi por não ter quem ficque com filhos. Realata qu"/>
        <s v="Reação alérgica à Cefalexina."/>
        <s v="Ligar às 17h em 04/07/2023"/>
        <s v="Telemonitoramento (30/06): Foi à US e não foi avaliada. Mantém dor lombar que irradia para o BV, sensação de esvaziamento incompleto da bexiga, gotejamento pós-micção. Nega novos episódios de sangramento, último há 2 dias (descreveu como raios de sangue)."/>
        <s v="Telefone fixo e microsipp sem funcionar - tentar monitoramento 05/07"/>
        <s v="Gravides de risco habitual. Queixa: dor em BV intermitente e de forte intensidade há 1 dia + sintomas gripais iniciados em 26/06: dor de ouvido, desconforto na garganta, coriza. Nega sinais de alerta. Nega sintomas urinários, perdas vaginais, leucorreia, "/>
        <s v="Queixa: disúria, leucorreia. Nega perdas vaginais nos últimos 30 dias. USG (05/06) sugestiva de gravidez anembrionada (IG = 8s); USG (21/06): imagem sugestiva de embrião sem batimentos cardíacos (Ig = 6s6d). Cd: Encaminho à maternidade Barros Lima. Obs: E"/>
        <s v="6º dia pós-cesariana. Drenagem de secreção seropurulenta em FO. Encaminhada ao HBL. "/>
        <s v="(Marta) Telemonitoramento do dia 30/06 realizado 01/07 após novas tentativas. Colocado desfecho na conduta do monitoramento do dia 30/06"/>
        <s v="Gestante com 40s1d pela DUM (24/09/22) e USG 39s5d pela USG com 9s, procura o serviço com queixa de perda de líquido e tampão mucoso iniciada às 6h de hoje, juntamente a contrações dolorosas esporádicas. Nega sangramento, corrimento, queixas urinárias ou "/>
        <s v="Gravides de risco habitual. Queixa:dor de garganta, coriza, obstrução nasal. refere melhora da dor em BV . Cd: Da preferencia a calcinha de algodão,; não utilizar/ evitar  protetores diário, procurar dormir sem calcinha, Aplica creme vaginal antes de dorm"/>
        <s v="(Marta) O atendimento não ficou salvo no PEC, porém Thiago encaminhou o arquivo para usuária."/>
        <s v="Refere que em sua unidade é necessário marcar uma data para receber a medicação - registrado evento sentinela."/>
        <s v="Caso do Evento Sentinela - DSVII (paciente não é da área, deu endereo da mãe)"/>
        <s v="IG (DUM/USG): 8s4d/8s3d, G2 P0 A1 (aborto em fevereiro/2023); Condições de risco: nega. Intercorrências durante a gestação: nega. Em uso: Ácido fólico + Sulfato ferroso. Alergias: nega. Acompanhamento Pré-Natal:  USF Prof Antônio Francisco Areias (1ª cons"/>
        <s v="Acompanhamento PN: Não iniciou PN. Refere que conforme orientação recebida ontem, foi à Upinha Dia Jardim São Paulo para agendar 1ª consulta de PN, sendo informada que não havia disponibilidade para atendimento. Em razão disso, entrou em contato com o Ate"/>
        <s v="Gestante com IG 28s2d pela DUM e pela USG, G3 P2(2PN) A0, refere discreto alívio dos sinais e sintomas de candidíase genital por ter iniciado medidas de higiene e cuidados íntimos, porém não iniciou ainda tratamento medicamentoso por não ter adquirido cre"/>
        <s v="Oriento gestante com IG 23s5d pela DUM, G2 P0 A1, a se dirigir à Policlínica e Maternidade Arnaldo Marques, ou outro serviço de sua preferência para nova avaliação e substituição da referida prescrição para tratamento da otite, a mesma não encontra a medi"/>
        <s v="Gestante com 16s2d pela DUM e pela USG com 15s3d, G4 P3 (2PN 1PC) A0, procura o serviço com queixa de dor em baixo ventre tipo cólica de relacionada aos esforços. Nega queixas obstétricas como sangramento, perda de líquido ou corrimentos. Nega também febr"/>
        <s v="Apoio emocional."/>
        <s v="Gestante nega queixas obstétricas e gerais. Buscou o serviço para entender sobre grau de maturação da placenta e Golf Ball."/>
        <s v="TINC - Contato da paciente por PEC. Monitoramento para avaliar se melhora de emese. TINC com Clarice marcada para dia 13/07. Enf andrea 81992751576"/>
        <s v="Fazer a tarde. Pela amnha paciente vai para maternidade"/>
        <s v="Checar se realizaçao de Exame (uroc) e sintomas. Se iniciado disuria, passar ela para rose ou mari fazer ATB"/>
        <s v="Fazer às tarde"/>
        <s v="Às 14h - Resumo atendimento: Gestante G1 P0 A0 24s, com dor lombar, sem outras queixas associadas. Oriento tomar 1g de dipirona e repouso. Às 14h reavaliar. PNAR NA BARRO LIMA DEVIDO HAS E OBSESIDADE."/>
        <s v="Paciente refere melhora nos sintomas e nao realizou a urocultura como solicitado. Oriento quanto a importancia da realização do exame e informo monitoramento ."/>
        <s v="Fez o primeiro atendimento e encaminhou para Ianne"/>
        <s v="Usuária do CS José Dustan - "/>
        <s v="Ligar as 15h. Paciente procurou o atende gestante com queixas de cefaleia intensa há 3dias, otalgia E, dor nos seios da face, apresentou 1 episódio de vertigem nega febre, falta de ar.Encaminho paciente para avaliação presencial, devido a cefaleia intensa"/>
        <s v="Paciente nao procurou atendimento presencial como orientado , porem hoje refere melhora dos sintomas. seguindo o protocolo para sintomais gripais. encaminho paciente para atendimento presencial e tr para COVID "/>
        <s v="paciente procura o Atende gestante com queixa de prurido (nao sabe se por conta da tricotomia) e corrimento tipo nata ( oriento procurar APS para exame especular como no fluxo  e necessidade de tratamento"/>
        <s v="Profissional assistente ciente do caso pois recebeu notificação, realizado discursão do caso"/>
        <s v="Aguardo resposta do evento sentinela."/>
        <s v="17/07 - Taty relizou monitoramento e usuária estava sendo atendida no IMIP"/>
        <s v="Joanna fez novamente em 19/07"/>
        <s v="Paciente reside em agua fria, mas optou por continuar PN paulista"/>
        <s v="Atendimento estava registrado como monitoramento."/>
        <s v="Apoio Emocional - A coordenação de saúde da mulher (DS I): já articulou agendamento da consulta de PN e consulta com psicologo. Paciente já está ciente."/>
        <s v="paciente com 41s ( estava com encaminhamento da aps, nega perdas vaginais, contração irregulares, indolor, porem duradoras (50´´) "/>
        <s v="Teleconsulta x teletriagem (Marta lembrar/Alany/Kleber)"/>
        <s v="Aguardo retorno sobre evento sentinela. Inclusive pelo histórico já foi realizado um evento sobre esse caso. "/>
        <s v="Foi atendida dia 27 via demanda espontânea"/>
        <s v="Vamos monitorar com 1 semna devido paciente internada com 31semanas para ontrole pressorico. Escolhemos 1 semanas devido ao internamento provavevlmente ser mais prolongado. Se tiver alta dar apoio em relaçao ao controle pressorico, se tiver bebe vamos ofe"/>
        <s v="Marta -  Reportado evento sentinela DSVI - USF Pina"/>
        <s v="Usuária impossibilitada de atender à vídeo chamada, solicita que retornemos a ligação às 14h."/>
        <s v="Usuária solicita contato às 14:30h."/>
        <s v="Marta - para identificar até onde fiz a atualização dos dados de: &quot;Mora em área de ESF&quot; // 04/08 (Lari) Telefone desligado"/>
        <s v="Marta - para identificar até onde fiz a atualização dos dados de: &quot;Mora em área de ESF&quot; "/>
        <s v="telefone da mae da paciente "/>
        <s v="Secreção leitosa em pouca quantidade, sem prurido ou edema de genitália externa."/>
        <s v="Telefone so para ligação  (81994811870- TELEFONE DO ESPOSO QUE SE ESTIVER EM CASA RECEBE WHATZAPP) "/>
        <s v="Ligar às 15h para confirmação de acesso à UBS."/>
        <s v="Monitoramento em 17/08 para confirmação de acesso ao pré-natal em USF."/>
        <s v="Em 08/08/23 - Confirmar acesso a unidade de referência na APS; e em 10/08/23 - confirmar acesso a Arnaldo Marques em virtude da IG corresponder a 41s."/>
        <s v="Parto realizado há 9 meses"/>
        <s v="O número de telefone deste atendimento é da enfermeira da USF Adriana."/>
        <s v="Queixa: Presença de secreção com descrição compatível com tampão mucoso."/>
        <s v="Tentar monitoramento em 18/08/2023 para confirmar acesso ao PNRH em APS."/>
        <s v="Realizar telemonitoramento visto que perdeu seguimento no PN da APS e PNAR."/>
        <s v="Gestante iniciando pródromos do TP, ligar às 11h de hoje para avaliação do quadro."/>
        <s v="Usuária encaminhada à maternidade barros Lima por IG avançada 41s, confirmar acesso à maternidade."/>
        <s v="Sem vinculação a APS - registrado evento sentinela "/>
        <s v="CS Ivo Rabelo "/>
        <s v="Ligar às 15h, checar com a gestante os valores da curva glicêmica de hoja e amanhã e ver possibilidade de antecipação da consulta de PNAR."/>
        <s v="Ligar as 18h"/>
        <s v="ligar a tarde ( orientei realizar teste para COVID )"/>
        <s v="Ligar para confirmar acesso à maternidade Barros Lima."/>
        <s v="Ligar pela manhã para avaliar movimentação fetal. (Marta - gestante de área do Cs Pam Ceasa, porém faz PN particular)"/>
        <s v="Avaliar desconforto e dor por doença hemorroidária."/>
        <s v="(Marta - monitoramento era do dia 17/08)"/>
        <s v="Confirmar a realização do teste para covid 19. (Thiago) usuária fornece celular do companheiro para contato para vídeochamada - 81987066010."/>
        <s v="Gestante completa 41s em 22/08, feto pélvico, ligar para confirmar acesso à Maternidade Barros Lima."/>
        <s v="paciente nao procurou atendimento como orientado e apresentou queixas de tontura e vertigem aos esforços, referindo melhora na falta de ar "/>
        <s v="Fazer comparativo de FO e abdome. "/>
        <s v="Ligar às 15h. Gestante portadora de HASC, em uso de metildopoa 500mg/dia, apresentando cefaléia intensa. Ligar para confirmar acesso à Barros Lima - faltou 1ª consulta do PNAR no HMR."/>
        <s v="Ligar em 24/08/2023 "/>
        <s v="Ligar as 11h30"/>
        <s v="Reavaliar sinais e sintomas de gastroenterite."/>
        <s v="Confirmar acesso à Barros Lima - Pródromos de TP."/>
        <s v="Confirmar acesso à maternidade Arnaldo Marques - gestante com 40s5d, HASG e obesidade ( paciente com dois registros no PEC) ."/>
        <s v="Gestante em pródromos, confirmar se a paciente deflagrou o TP."/>
        <s v="monitoramento para observar aspecto da secreção ( referiu perda com presença de sangramento, porem na imagem encaminhada secreção Mucoide); "/>
        <s v="(Marta - Registro do dia 01/09 não foi realizado no PEC porque o mesmo estava fora do ar, Thiago não conseguiu realizar o registro tardio, informado 04/09). Monitorar acesso à APS, puérpera 16 dias pós PC aguarda visita da equipe da USF."/>
        <s v="Monitorar acesso à mat.Bandeira Filho, gestante 30sem com falta de ar; em PNAR, obesidade, HASG, Asma em tratamento."/>
        <s v="Realizado ajuste de medicações para crise de asma dia 01/09/23. Fazer contato com 48h para avaliar se precisa prolongar o tratamento/nova avaliação presencial. "/>
        <s v="Confirmar acesso a APS "/>
        <s v="Avaliar melhora das náusea e vômitos, em uso de plasil."/>
        <s v="Puérpera no 17º dia aguardando avaliação pós parto pela equipe na APS, FO secretiva, avliar em próximo monitoramento."/>
        <s v="09/09 (Joanna): Nega novos episódios de sangramento após o dia 02. Sem queixas. Oriento paciente sobre sinais de alerta;Oriento manutenção do PN na APS e no HMR"/>
        <s v="Realizo telemonitoramento em 09/09."/>
        <s v="O número na planilha é da familiar Adriana, pelo qual foi realizado o atendimento. Confirmar acesso à maternidade Arnaldo Marques."/>
        <s v="Gestante completa hoje 41s1d, confirmar acesso à maternidade Arnaldo Marques."/>
        <s v="Concluído monitoramento."/>
        <s v="Monitorar com 2 a 3 horas para reavaliar sinais e sintomas."/>
        <s v="O telefone que consta na planilha é de uma amiga do trabalho, Micheli, por onde foi efetuado todo atendimento por vídeo chamada. "/>
        <s v="Telemonitoramento do dia 04/09"/>
        <s v="Telemonitoramento do dia 03/09"/>
        <s v="Telemonitoramento do dia 02/09"/>
        <s v="Confirmar acesso à Barros Lima."/>
        <s v="Ligar às 18h para avaliar os pródromos."/>
        <s v="Ligar ao final da manhã, confirmar acesso à Maternidade Bandeira Filho, prodromos de TP e IG 41s ."/>
        <s v="Gestante na 32ª semana, com elevação dos níveis pressóricos. Ligar à tarde para confirmar acesso à maternidade."/>
        <s v="Ligar ao final da tarde para confirmar acesso ao PNAR."/>
        <s v="Encaminhada à Maternidade 36s3d com dor a cada 1h"/>
        <s v="Monitoramento realizado durante a TINC com profissional"/>
        <s v="Confirmar se a usuária conseguiu acesso à sua USF parta avaliação presencial."/>
        <s v="Ligar a tarde - checar atendimento em aps"/>
        <s v="Gestante participou de TINC sobre sua quadro de saúde, no momento sem queixas e assintomática."/>
        <s v="Realizado em 19/09"/>
        <s v="Monitoramento realizado durante TINC com a profissional"/>
        <s v="Não realizada em 18/09."/>
        <s v="Ligar dia 20/09 às 13h, por hoje (19/09) paciente estava no trabalho e não podia falar. Ligar para confirmar acesso à Bandeira Filho."/>
        <s v="Usuária informa que realizará consulta em sua USF de referência em 48h."/>
        <s v="Ligar às 9h (nº do telefone 99649-1398)"/>
        <s v="Monitoramento realizado dia 22/09"/>
        <s v="Ligar às 15h"/>
        <s v="Monitoramento realizado dia 24/09"/>
        <s v="Obs: a teleconsulta não foi finalizada, pois, usuário saiu do consultório digital e não consegui estabelecer nova comunicação, inclusive por telefone. Sendo assim, não foi possível informar acerca do telemonitoramento pela equipe do Atende Gestante em 24/"/>
        <s v="Monitoramento realizado dia 27/09"/>
        <s v="Gestante com sangramento ao evacuar. Encaminhada ao CISAM, devido a limitação de transporte."/>
        <s v="Gestante em fase inicial de TP. Confirmar acesso à Arnaldo Marques. "/>
        <s v="Ligar as 14 horas para confimar acesso na consulta da APS."/>
        <s v="Tentar em 02/10"/>
        <s v="Ligar às 12h, confirmar acesso à sua USF portando USG Endovaginal para reavaliação do quadro. "/>
        <s v="Ligar às 16h"/>
        <s v="Fabiane (11:50) Paciente estava no trabalho e refereiu que não podia atender a video chamada e que a equipe do atende gestante não precisava ligar em outro momento pois seu sangramenta já havia parado e ela já estava tentando agendar uma consulta presenci"/>
        <s v="Ligar para 99380-4960"/>
        <s v="Telemonitoramento realizado dia 05/10"/>
        <s v="Ligar às 14h"/>
        <s v="Gestante com IG 11s3d com 01 episódio de perda vaginal em &quot;borra de café&quot; extrememente discreta."/>
        <s v="Realizado em 10/10"/>
        <s v="Liguei pela manhã e a tarde, porém gestante estava aguardando atendimento na emergência."/>
        <s v="Ligar às 15h para reavaliar."/>
        <s v="Ligar às 15h para confirmar acesso. RPMO?"/>
        <s v="Nao foi gerado telemonitoramento, pois foi gerado tinc, e confirmado acesso "/>
        <s v="Confirmar acesso na APS para iniciar o pré-natal."/>
        <s v="ligar 11h para confirmar acesso"/>
        <s v="Ligar para confirmar acesso a Matrenidade + avaliar se melhora de sintomas (azia / refluxo). Caso não visualize prontuario pelo PEC, consegue ver pelo Hopchat."/>
        <s v="Telemonitoramento realizado em 14/10."/>
        <s v="Ligar após às 13:00h."/>
        <s v="Confirmar se o TP foi deflagrado."/>
        <s v="ligar às 13h"/>
        <s v="ligar para esse contato 81987608875"/>
        <s v="Paciente encerrou a chamada antes da colclusão do atendimento."/>
        <s v="Telemonitoramento realizado dia 21/10 por Tatyana"/>
        <s v="Telemonirotamento do dia 20/10"/>
        <s v="Ligar a partir das 14:00h, confirmar acesso à USF (realizar SU)."/>
        <s v="Ligar as 17h para 81996334713 ( o telefone cadastrado nao recebe ligação )"/>
        <s v="8h Telefone desligado"/>
        <s v="Ligar para 984411270."/>
        <s v="Monitoramento realizado dia 30/10"/>
        <s v="Ligar para 997106216; Telemonitoramento às 12h. Orientar a atualizar cadastro"/>
        <s v="11h"/>
        <s v="Gestante em TP, ligar por volta das 15h, para confirmar acesso a Barros Lima."/>
        <s v="(Thiago; 30/10/23) Às 11:20h, usuária não atende à ligação."/>
        <s v="(Thiago; 30/10/23) Às 11:38h, usuária não atende à ligação. Também foi realizado TINC com a médica Carolina Larré (Usuária é ACS e estava na USF."/>
        <s v="(Thiago; 30/10/23) Às 11:41h, usuária não atende à ligação."/>
        <s v="Monitorametno realizado dia 01/11"/>
        <s v="Monitoramento realizado 31/10"/>
        <s v="Gestante com DG, 40s2d, encaminhada ao HMR, ao término da TINC compartilhada, para avaliação obstétrica. Confirmar acesso."/>
        <s v="Monitoramento do dia 28/10"/>
        <s v="Não foi gerado monitoramento pela paciente não possuir número telefônico que receba ligação. Oriento que se caso precise, entre em contato novamente com o serviço."/>
        <s v="Monitoramento do dia 30/10"/>
        <s v="Mobilograma após refeição: 7 movimentos em 35 min. Diante do resultado do mobilograma, oriento que gestante siga observando a movimentação fetal e que se perceber novamente a diminuição busque atendimento presencial na Arnaldo Marques. - Mantenho 1 monito"/>
        <s v="06/11 (Lari) Paciente não atende"/>
        <s v="IG 22s3d, queixa de dor intensa em região dorsal direita, inclusive à palpação, área próxima ao ângulo costovertebral. Além disso, refere corrimento acastanhado observado hoje, ardência ao urinar há 2 dias, principalmente no final da micção. Cd: Enc à Pol"/>
        <s v="Confirmar aceso à USF de referência, usuária ainda sem consulta puerperal."/>
        <s v="Ligar só as 14h para confirmar acesso à USF de referência."/>
        <s v="Usuária encaminhada para UPA da Caxangá."/>
        <s v="Usuária encaminhada à sua USF para acolhimento pós abortamento de gestação desejada. Checar acesso."/>
        <s v="Gestante com IG 26s5d pela USG, com dores em BV- ameaça de TPP? Encaminhada à Bandeira Filho, checar acesso."/>
        <s v="Ligar às 17h"/>
        <s v="Atendimento realizado no dia 14/11 "/>
        <s v="Não é mais da área da USF Cosme e DAmião"/>
        <s v="Checar melhora do quadro de diarreia leve."/>
        <s v=" Ligar as 15 horas para checar acesso a maternidade. TPP? Ligar para o número 98966-7779"/>
        <s v="Ligar para o n° 98966-7779, reavaliar quadro clinico de dor pelvica."/>
        <s v="Gestante em fase latente do TP, BR, ancaminhada à Bandeira filho, checar acesso."/>
        <s v="Ligar à tarde para checar acesso."/>
        <s v="Ligar às 14h. Monitoramento não realizado, em virtude da indisponibilidade do microsip e dos telefones da EMPREL"/>
        <s v=" "/>
        <s v="Às 09:00h, 10:30h, 12:50h, 14:00h, 16:00h, Microsip sem funcionar."/>
        <s v="Monitoramento não realizado, em virtude da indisponibilidade do microsip e dos telefones da EMPREL"/>
        <s v="Ligar à tarde, checar acesso à APS."/>
        <s v="Ligar às 15h - avaliar mobilograma"/>
        <s v="De acordo com o ARCGIS a US de referência é a Policlínica Albert Sabin e acordo com o mapa de vinculação é o CS Prof Mário Ramos/CS Francisco Pignatari/EACS 5; 5.1; 5.2 - faço registro na planilha de pendência."/>
        <s v="Ligar entre 13h e 15h, gestante IG 18s6d, com odontalgia importante, encaminhada para tentar acessom em sua USF em 04/12, checar acesso."/>
        <s v="Gestante IG 36s4d, em TPP?, chacar acessoa à Bandeira Filho."/>
        <s v="Outro contato: 986887725. "/>
        <s v="Outro contato: 992521738 (marido - Leandro). Falta colocar falta no PEC"/>
        <s v="Ligar para  992062057 "/>
        <s v="Ligar pela manhã a partir das 8h, gestante com 31s3d, com cólicas, contrações, vômito e diarreia. Confirmar acesso à Bandeira Filho."/>
        <s v="Ligar qualquer horário, gestante IG 25s6d, TPP? diagnóstico de CA de colo uterino e endometriose (SIC). Confirmar acesso ao HMR."/>
        <s v="Contrações de Braxton-Hicks? / Início do trabalho de parto? Confirma acesso na Barros Lima."/>
        <s v="Telemonitoramento para: Confirmar o acesso à APS. Unidade da gestante é a Ponto de Parada que, em virtude da requalificação está funcionando provisoriamente na Upinha Eduardo Campos. Oriento que busque a Upinha para iniciar PN, tramento de sífilis e testa"/>
        <s v="Telemonitoramento para: avaliar sinais de trabalho de parto e/ou de alerta e necessidade de encaminhar a gestante para avaliação presencial. HD: GUTT + PROVÁVEL RPMO."/>
        <s v="Ligar a partir das 15h, gestante com IG 32s4d, com corrimento vaginal, checar acesso à sua USF."/>
        <n v="-999273159"/>
        <s v="Ligar as 11h para confirmar acesso"/>
        <s v="Checar acesso na Bandeira Filho."/>
        <s v="Checar acesso à Bandeira Filho."/>
        <s v="Verificar se houve substituição da Losartana pelo metildopa. Caso não atenha acontecido, reforçar recomendação de ir à USF na segunda. "/>
        <s v="Reavaliação - 7º dia de inicio dos sintomas."/>
        <s v="Confirmar se gestante conseguiu retomar o atendeimento no PNAR da policlínica do Pina. Concluído os registros no dia seguinte ao atendimento."/>
        <s v="https://prescricao.cfm.org.br/api/consulta-documento?sw=CFMftU8q5p"/>
        <s v="Ligar para 984388989. Checar acesso na APS."/>
        <s v="Checar acesso na APS. Tem consulta agendada na USF amanhã."/>
        <s v="Avaliar evolução do sangramento."/>
        <s v="Ligar às 14:30h"/>
        <s v="Paciente em TP encaminhada à Maternidade Arnaldo Marques, checar acesso."/>
        <s v="Avaliar quadro clínico"/>
        <s v="Ligar após as 11h - paciente vai colher teste de covid"/>
        <s v="Gestante com sinais de ITU, febre há dois dias. Checar acesso à Bandeira Filho."/>
        <s v="Gestante com sindrome gripal, covid19 positivo. Checar acesso à Bandeira Filho."/>
        <s v="Monitorar sintomas, covid19 positivo, D4 hoje."/>
        <s v="Falta registrada no PEC."/>
        <s v="Falta registrada no PEC"/>
        <s v="monitoramento a tarde - checar se melhorou dos episodios diarreicos e da dor. "/>
        <s v="Avaliar USG"/>
        <s v="Ligar para 99196186; encaminhada devido ausência de movimentos fetais a mais de 12h."/>
        <s v="Avaliar mobilograma"/>
        <s v="Ligar às 16h. Reavaliar se mantém cefaleia."/>
        <s v="Confirmar acesso (encaminha devido 4 MF em 1h)"/>
        <s v="Ligar para 98783-8957"/>
        <s v="Checar acesso à Bandeira Filho, ausência de MF."/>
        <s v="checar acesso; queda de altura, ausencia de MF e dor pelvica "/>
        <s v="Gestante em tratamento para ITU com nitrofurantoína, permenece com leve disúria, avaliar melhora dos sintomas."/>
        <s v="Monnitoramento do dia 07/01"/>
        <s v="ligar para esse contato 81987772073"/>
        <s v="ligar as 13- avaliar se melhora de dore/ diarreia e hidratacao. fiz o atestado de hj. Vai precisa fazeruroc daqui uma semana, nao solicitei pq ela tem consulta dia 16. "/>
        <s v="Ligar às 17h (confirmar acesso)"/>
        <s v="Telemonitoramento do dia 11/01 (não tinha registro de nenhuma tentativa e não tinha falta registrada no PEC)."/>
        <s v="Atendimento acordado com alany, paciente sem queixas, porem refer que esta gravida , descobriu a 2 meses, sem inicio de PN , has e DM , SIC enfermeira de ferias e sem exame de comprovação (perdeu o beta) "/>
        <s v="ligar a tarde para (81999474550)  confirmar acesso e gravidez"/>
        <s v="(Thiago) Às 16:45h, gestante não atende à chamada."/>
        <s v="Ligar à tarde para confirmar acesso a USF para ajuste da prescrição do Noripurum."/>
        <s v="Usuária com HAS, DM, obesidade; aguarda BHCG."/>
        <s v="Ligar para 98783-8957 (lembrar de fazer registro acerca do PNAR)"/>
        <s v="Ligar a tarde"/>
        <s v="Checar acesso à maternidade."/>
        <s v="esposo 81984353919 caso nao pegue o outro (para esse ligar apos as 17h)"/>
        <s v="ligar as 14h para 81994288154"/>
        <s v="Ligar às 17h para avaliar queixa e confirmar acesso a APS"/>
        <s v="Ligar às 17h para revaliar hiperemia e outros sinais flogísticos da mama direita. Avaliar a necessidade de avaliação presencial na UBS ou bando de leite."/>
        <s v="Ligar para o contato da irmã - Fabiana 999193216"/>
        <s v="Monitoramento a fazer em 09/02 Confirmar início do tratamento de ITU; lembrar de agendar um novo monitoramento para dia 09/02 para reforçar a coletar de urocultura."/>
        <s v="Ligar às 9h30, para confirmar o valor da PA que ela irá aferir na farmácia, além do alívio da cefaléia, após uso de dipirona agora."/>
        <s v="confirmar acesso á maternidade para avaliação presencial por inadequação do método"/>
        <s v="Ligar às 11h para avaliar sinais de TP e/ ou de alerta"/>
        <s v="ligar as 16:20 reavaliar,"/>
        <s v="Ligar às 17h, reavaliar melhora das cólicas."/>
        <s v="Ligar pela manhã, checar aceeso à Bandeira Filho."/>
        <s v="Ligar à tarde, checar acesso à Bandeira Filho."/>
        <s v="Ligar à tarde, checar acesso à urgência odontológica."/>
        <s v="Ligar as 10h Falar cm Marta primeiro - Preciso discutir o caso com quem for fazer o telemonitoramento"/>
        <s v="Ver vinculação à APS"/>
        <s v="Ligar para 99591-0580"/>
        <s v="Confirmar acesso ao PN da Bandeira Filho."/>
        <s v="Ligar às 12h"/>
        <s v="(Marta) Não realizado registro de formulário; não encontro registro de monitoramento no PEC, apenas de TINC. Foi realizado o monitoramento??"/>
        <s v="Reavaliar às 17h"/>
        <s v="Monitorar D4 de sintomas gripais, covig19 negativo."/>
        <s v="Ligar dia 27/02 para checar acesso"/>
        <s v="Gestante encaminhada para MBF, checar acesso."/>
        <s v="Monitoramento as 15h30"/>
        <s v="Ligar para 81998898692"/>
        <s v="Ligar para 994288154 -(Marta - ainda não iniciado PN pra enviar notificação)"/>
        <s v="Averiguar se conseguiu agendar consulta de PN na USF Macaxeira"/>
        <s v="Ligar para relembrar coleta de urocultura de controle"/>
        <s v="ligar as 11h, avaliar PA "/>
        <s v="Ligar para 81 996713494"/>
        <s v="Ligar às 11h --&gt; 81997635371"/>
        <s v="Monitorar até o D8 diariamente, hoje D5"/>
        <s v="Ligar para relembrar coleta de urocultura de controle, agendada para 20/03"/>
        <s v="Ligar a partir das 14h."/>
        <s v="(Thiago) A gestante foi encaminhada para APS, sugiro ligar à tarde."/>
        <s v="Checar acesso à urgência odontológica, ligar após as 14h."/>
        <s v="Não consegui inserir a falta da gestante na agenda por falta de acesso. Registro aqui."/>
        <s v="Gestante aguardando a vez na consulta*"/>
        <n v="81997324176"/>
        <s v="Atendimento compartilhado (Obstetra + MFC + enfer. da USF)"/>
        <s v="Paciente com 2 PEC - Verificar pelo SUS"/>
        <s v="2a opção de telefone 81996823412"/>
        <s v="Na segunda tentativa de monitoriamento recusou videochamada; monitoramento feito por telefone."/>
        <s v="Monitormanto realizado por contato telefonico pois pct estava internada na maternidade (Bandeira Filho)"/>
        <s v="Saber se buscou a APS ou se entrou em TP   "/>
        <s v="Ligar à tarde"/>
        <s v="Feito por contato telefonico."/>
        <s v="Paciente orientada a procurar o posto hoje pela manha, ligar a tarde"/>
        <s v="Gestante ainda não buscou unidade de saúde, como orientado. Ligar à tarde para confirmar."/>
        <s v="Gestante encaminhada para avaliação na APS, ligar à tarde."/>
        <s v="Ligar à tarde para confirma acesso "/>
        <s v="Checar melhora do quadro de dor intensa no corpo, reação vacinal."/>
        <s v="(Thiago - 0818h) Gestante pede para retomar a ligação às 09:00h."/>
        <s v="Ligar após 9h, checar acesso à APS, início de sintomas gripais após reação adversa às vacinas."/>
        <s v="ligar as 15h telefone 81991473240 (ligação) 12991876039 (zap)"/>
        <s v="Ligar as 15h "/>
        <s v="Ligar à tarde para avaliar melhora dos sintomas."/>
        <s v="Monitoramento realizado em 13/04/2024."/>
        <s v="Atendimento realizado em 18/04. Gestante não é munícipe, oriento procurar APS de sua área. "/>
        <s v="Confirmar acesso à maternidade Arnaldo Marques."/>
        <s v="Confirmar acesso ao HMR 16h "/>
        <s v="Enviei comandado para iniciar atendimento, recebeu a mensagem, clicou em inicar atendimento, porém, não a visulizei no HopChat."/>
        <s v="Ligar para 982850804"/>
        <s v="Ligar para 982850804 às 15h para checar acesso à urgência e/ou alívio das queixas"/>
        <s v="(Marta) informar sobre o agendamento de USG no dia 07/05 as 14h no HMR"/>
        <s v="Monitoramento feito por telefone pois paciente estava no trabalho"/>
        <s v="Ligar 16 h"/>
        <s v="Monitoramento realizado por telefone - solicitaçao da gestante "/>
        <s v="Encontra-se na urgencia do HAM "/>
        <s v="Ligar às 9 horas "/>
        <s v="Ligar as 16 horas"/>
        <s v="Registro evento sentinela."/>
        <s v="Reforçar realização de urocultura de controle."/>
        <s v="Ligar para 81991300852"/>
        <s v="Ligar a tarde (foi encaminhada para avaliação presencial hoje na APS)"/>
        <s v="PEC com instabilidade - registro feito 13/05 (Marta)"/>
        <s v="Ligar a tarde (Paciente encaminhada à urgência obstétrica)"/>
        <s v="Monitoramento para informar sobre agendamento de PNAR, após realizar TINC com médico Giovani"/>
        <s v="Não foi encaminhada à APS porque enfermeira está de férias e não tem médico. SG sem sinais de alerta. "/>
        <s v="Ligar entre 14h - 15h para reavaliar a cólica."/>
        <s v="Agendar monitoramento para 20/05/24, considerar TINC para avliar quadro geral da gestante."/>
        <s v="Ligar às 16h para checar acesso à MBF."/>
        <s v="Informou que nao poderia entrar em contato por videochamada. Monitoramento feito por telefone."/>
        <s v="Saber se conseguiu encaminhamento para PNAR"/>
        <s v="Ligar às 14h - A conversa do Hopchat está em aberto no usuário de Camilla"/>
        <s v="Ligar às 16h - Reavaliar nauseas e vomitos e presença de sinais de TP"/>
        <s v="Avaliar evolução do sangramento transvaginal e acesso a APS"/>
        <s v="Checar acesso ao CISAM à tarde, gestante diz que não conseguirá ir à Barros Lima."/>
        <s v="Telefone do esposo."/>
        <s v="Avaliar perfil glicêmico nas últimas 24h."/>
        <s v="Ligar as 17 horas - telemonitoramento realizado dia 30/05"/>
        <s v="Confirmar acesso à maternidade e reavaliar sintomas"/>
        <s v="Ligar à tarde. Encaminhada ao banco de leite.Ligação chama duas vezes no Microsip e cai."/>
        <s v="Ligar às 16h. Reavaliar TP - Formulario de monitoramento preenchido dia 04/06"/>
        <s v="Checar vinculação à USF Alto do Maracanã, puérpera mudou-se recentemente para o território, ainda sem visita puerperal da equipe."/>
        <s v="Realizado teleatendimento e durante teleconsulta perco contato telefônico com a paciente. Faço 3 tentativas de contato por telefone porém gestante não atende. Informaria que como há incongruência entre queixas e exame físico realizado hoje pela manha na ú"/>
        <s v="Monitorar dia 05/06 para checar acesso à maternidade (DMG)."/>
        <s v="  "/>
      </sharedItems>
    </cacheField>
  </cacheFields>
</pivotCacheDefinition>
</file>

<file path=xl/pivotCache/pivotCacheDefinition4.xml><?xml version="1.0" encoding="utf-8"?>
<pivotCacheDefinition xmlns="http://schemas.openxmlformats.org/spreadsheetml/2006/main" xmlns:r="http://schemas.openxmlformats.org/officeDocument/2006/relationships" r:id="rId1" refreshOnLoad="1" refreshedVersion="5" refreshedDate="45457.3887384259" refreshedBy="USUARIO" recordCount="1613">
  <cacheSource type="worksheet">
    <worksheetSource ref="A1:AH1614" sheet="Registro de teleatendimento"/>
  </cacheSource>
  <cacheFields count="34">
    <cacheField name="Carimbo de data/hora" numFmtId="0">
      <sharedItems containsBlank="1" containsDate="1" containsMixedTypes="1" count="2411">
        <s v="Teleconsulta pós lançamento"/>
        <s v="Telemonitoramento efetivados pós lançamento"/>
        <s v="Teletriagem pós lançamento"/>
        <d v="2022-11-10T13:55:00"/>
        <d v="2022-11-30T11:13:08"/>
        <d v="2022-12-15T09:07:30"/>
        <d v="2023-01-02T08:53:17"/>
        <d v="2023-01-02T15:41:34"/>
        <d v="2023-01-11T11:39:43"/>
        <d v="2023-01-11T14:48:46"/>
        <d v="2023-01-18T11:13:34"/>
        <d v="2023-01-24T15:41:03"/>
        <d v="2022-12-01T14:36:17"/>
        <d v="2023-01-03T15:12:15"/>
        <d v="2023-01-03T15:16:25"/>
        <d v="2023-01-25T15:25:17"/>
        <d v="2023-01-26T15:07:01"/>
        <d v="2023-01-27T08:57:14"/>
        <d v="2023-03-02T13:48:49"/>
        <d v="2023-03-17T12:06:18"/>
        <d v="2023-03-17T17:28:25"/>
        <d v="2023-03-20T10:13:23"/>
        <d v="2023-03-21T15:52:42"/>
        <d v="2023-04-05T12:10:56"/>
        <d v="2023-04-07T10:17:58"/>
        <d v="2023-04-18T17:02:41"/>
        <d v="2023-04-19T14:42:54"/>
        <d v="2023-04-20T09:23:42"/>
        <d v="2023-04-21T09:01:20"/>
        <d v="2023-04-24T16:16:17"/>
        <d v="2023-05-02T15:09:58"/>
        <d v="2023-05-03T11:49:19"/>
        <d v="2023-05-04T15:48:48"/>
        <d v="2023-05-05T16:36:13"/>
        <d v="2023-05-08T10:53:41"/>
        <d v="2023-05-08T14:58:33"/>
        <d v="2023-05-08T17:46:53"/>
        <d v="2023-05-10T12:38:45"/>
        <d v="2023-05-16T18:02:47"/>
        <d v="2023-05-30T11:46:12"/>
        <d v="2023-05-30T18:31:39"/>
        <d v="2023-05-30T19:24:48"/>
        <d v="2023-05-31T10:18:44"/>
        <d v="2023-05-31T15:07:02"/>
        <d v="2023-05-31T16:02:07"/>
        <d v="2023-05-31T16:34:29"/>
        <d v="2023-05-31T16:36:02"/>
        <d v="2023-06-01T08:23:47"/>
        <d v="2023-06-01T08:50:44"/>
        <d v="2023-06-01T10:57:45"/>
        <d v="2023-06-01T12:04:31"/>
        <d v="2023-06-01T12:41:47"/>
        <d v="2023-06-01T18:30:04"/>
        <d v="2023-06-02T10:18:00"/>
        <d v="2023-06-02T11:30:41"/>
        <d v="2023-06-02T11:30:50"/>
        <d v="2023-06-02T12:46:26"/>
        <d v="2023-06-02T17:51:41"/>
        <d v="2023-06-03T08:57:21"/>
        <d v="2023-06-03T10:17:42"/>
        <d v="2023-06-03T16:26:43"/>
        <d v="2023-06-03T18:49:37"/>
        <d v="2023-06-04T10:00:47"/>
        <d v="2023-06-04T12:07:39"/>
        <d v="2023-06-04T16:10:50"/>
        <d v="2023-06-05T10:32:25"/>
        <d v="2023-06-05T11:24:21"/>
        <d v="2023-06-05T18:06:50"/>
        <d v="2023-06-05T18:24:06"/>
        <d v="2023-06-05T19:06:02"/>
        <d v="2023-06-05T19:06:28"/>
        <d v="2023-06-06T09:18:34"/>
        <d v="2023-06-06T09:27:46"/>
        <d v="2023-06-06T10:12:39"/>
        <d v="2023-06-06T10:54:43"/>
        <d v="2023-06-06T12:00:05"/>
        <d v="2023-06-06T12:07:29"/>
        <d v="2023-06-06T12:55:02"/>
        <d v="2023-06-06T13:00:45"/>
        <d v="2023-06-06T15:21:59"/>
        <d v="2023-06-06T15:36:00"/>
        <d v="2023-06-06T17:34:02"/>
        <d v="2023-06-06T18:46:07"/>
        <d v="2023-06-07T09:28:59"/>
        <d v="2023-06-07T09:30:52"/>
        <d v="2023-06-07T10:04:40"/>
        <d v="2023-06-07T10:11:00"/>
        <d v="2023-06-07T12:32:00"/>
        <d v="2023-06-07T12:37:44"/>
        <d v="2023-06-07T14:18:31"/>
        <d v="2023-06-07T14:49:21"/>
        <d v="2023-06-07T15:10:24"/>
        <d v="2023-06-07T15:47:39"/>
        <d v="2023-06-07T16:56:31"/>
        <d v="2023-06-07T18:51:35"/>
        <d v="2023-06-07T19:33:52"/>
        <d v="2023-06-08T07:35:57"/>
        <d v="2023-06-08T08:22:37"/>
        <d v="2023-06-08T09:18:12"/>
        <d v="2023-06-08T10:23:11"/>
        <d v="2023-06-08T12:26:16"/>
        <d v="2023-06-08T14:07:46"/>
        <d v="2023-06-08T14:34:50"/>
        <d v="2023-06-08T15:13:52"/>
        <d v="2023-06-08T17:09:57"/>
        <d v="2023-06-08T17:55:04"/>
        <d v="2023-06-08T18:49:15"/>
        <d v="2023-06-09T08:48:58"/>
        <d v="2023-06-09T09:06:52"/>
        <d v="2023-06-09T09:44:17"/>
        <d v="2023-06-09T11:23:34"/>
        <d v="2023-06-09T12:01:22"/>
        <d v="2023-06-09T12:14:51"/>
        <d v="2023-06-09T12:31:24"/>
        <d v="2023-06-09T13:38:17"/>
        <d v="2023-06-09T13:48:28"/>
        <d v="2023-06-09T13:55:12"/>
        <d v="2023-06-09T14:45:32"/>
        <d v="2023-06-09T16:36:13"/>
        <d v="2023-06-09T19:23:34"/>
        <d v="2023-06-10T08:06:27"/>
        <d v="2023-06-10T08:53:03"/>
        <d v="2023-06-10T09:18:27"/>
        <d v="2023-06-10T09:26:25"/>
        <d v="2023-06-10T09:38:10"/>
        <d v="2023-06-10T10:15:49"/>
        <d v="2023-06-10T10:23:08"/>
        <d v="2023-06-10T11:04:41"/>
        <d v="2023-06-10T11:55:09"/>
        <d v="2023-06-10T11:55:58"/>
        <d v="2023-06-10T12:57:35"/>
        <d v="2023-06-10T13:29:37"/>
        <d v="2023-06-10T14:11:15"/>
        <d v="2023-06-10T17:00:13"/>
        <d v="2023-06-10T17:18:19"/>
        <d v="2023-06-10T17:26:22"/>
        <d v="2023-06-10T17:40:50"/>
        <d v="2023-06-10T18:02:02"/>
        <d v="2023-06-10T19:01:46"/>
        <d v="2023-06-11T08:35:41"/>
        <d v="2023-06-11T09:43:42"/>
        <d v="2023-06-11T10:04:58"/>
        <d v="2023-06-11T11:45:57"/>
        <d v="2023-06-11T12:34:00"/>
        <d v="2023-06-11T12:50:10"/>
        <d v="2023-06-11T14:29:59"/>
        <d v="2023-06-11T17:29:06"/>
        <d v="2023-06-11T18:58:34"/>
        <d v="2023-06-12T09:24:07"/>
        <d v="2023-06-12T10:08:06"/>
        <d v="2023-06-12T10:34:39"/>
        <d v="2023-06-12T10:43:50"/>
        <d v="2023-06-12T11:39:03"/>
        <d v="2023-06-12T11:57:29"/>
        <d v="2023-06-12T13:42:02"/>
        <d v="2023-06-12T13:51:55"/>
        <d v="2023-06-12T15:28:38"/>
        <d v="2023-06-13T09:40:06"/>
        <d v="2023-06-13T09:58:14"/>
        <d v="2023-06-13T10:50:13"/>
        <d v="2023-06-13T11:56:45"/>
        <d v="2023-06-13T13:24:53"/>
        <d v="2023-06-13T13:49:09"/>
        <d v="2023-06-13T14:07:46"/>
        <d v="2023-06-13T16:07:49"/>
        <d v="2023-06-13T16:42:57"/>
        <d v="2023-06-13T17:17:58"/>
        <d v="2023-06-13T18:33:18"/>
        <d v="2023-06-14T08:51:18"/>
        <d v="2023-06-14T09:59:05"/>
        <d v="2023-06-14T11:04:13"/>
        <d v="2023-06-14T11:26:08"/>
        <d v="2023-06-14T11:32:06"/>
        <d v="2023-06-14T13:07:22"/>
        <d v="2023-06-14T14:54:20"/>
        <d v="2023-06-14T15:14:50"/>
        <d v="2023-06-14T15:36:46"/>
        <d v="2023-06-14T17:38:16"/>
        <d v="2023-06-14T18:50:54"/>
        <d v="2023-06-15T09:30:28"/>
        <d v="2023-06-15T13:55:40"/>
        <d v="2023-06-15T15:26:29"/>
        <d v="2023-06-15T17:27:42"/>
        <d v="2023-06-15T19:58:54"/>
        <d v="2023-06-16T08:43:49"/>
        <d v="2023-06-16T10:00:28"/>
        <d v="2023-06-16T12:23:56"/>
        <d v="2023-06-16T13:16:58"/>
        <d v="2023-06-16T14:54:14"/>
        <d v="2023-06-16T17:01:54"/>
        <d v="2023-06-16T17:37:23"/>
        <d v="2023-06-16T18:26:18"/>
        <d v="2023-06-17T09:35:40"/>
        <d v="2023-06-17T10:16:41"/>
        <d v="2023-06-17T17:17:24"/>
        <d v="2023-06-18T12:51:56"/>
        <d v="2023-06-18T14:56:03"/>
        <d v="2023-06-19T08:16:43"/>
        <d v="2023-06-19T11:57:26"/>
        <d v="2023-06-19T13:10:51"/>
        <d v="2023-06-19T13:16:54"/>
        <d v="2023-06-19T14:19:02"/>
        <d v="2023-06-19T15:15:43"/>
        <d v="2023-06-19T16:33:44"/>
        <d v="2023-06-19T16:37:32"/>
        <d v="2023-06-19T16:51:20"/>
        <d v="2023-06-19T16:54:46"/>
        <d v="2023-06-19T17:05:04"/>
        <d v="2023-06-19T17:30:27"/>
        <d v="2023-06-19T18:47:54"/>
        <d v="2023-06-20T11:47:30"/>
        <d v="2023-06-20T14:16:11"/>
        <d v="2023-06-20T14:31:11"/>
        <d v="2023-06-20T16:25:08"/>
        <d v="2023-06-20T16:30:20"/>
        <d v="2023-06-20T19:36:35"/>
        <d v="2023-06-21T08:20:39"/>
        <d v="2023-06-21T08:45:53"/>
        <d v="2023-06-21T10:34:48"/>
        <d v="2023-06-21T12:04:12"/>
        <d v="2023-06-21T16:23:53"/>
        <d v="2023-06-22T08:20:38"/>
        <d v="2023-06-22T08:52:38"/>
        <d v="2023-06-22T09:00:56"/>
        <d v="2023-06-22T12:26:05"/>
        <d v="2023-06-22T12:55:57"/>
        <d v="2023-06-22T13:23:50"/>
        <d v="2023-06-22T14:30:39"/>
        <d v="2023-06-22T14:54:47"/>
        <d v="2023-06-22T16:16:38"/>
        <d v="2023-06-23T08:46:19"/>
        <d v="2023-06-23T08:47:30"/>
        <d v="2023-06-23T10:42:36"/>
        <d v="2023-06-24T14:41:51"/>
        <d v="2023-06-24T18:46:10"/>
        <d v="2023-06-25T08:31:20"/>
        <d v="2023-06-25T08:58:40"/>
        <d v="2023-06-25T16:17:04"/>
        <d v="2023-06-26T09:20:22"/>
        <d v="2023-06-26T15:25:04"/>
        <d v="2023-06-26T15:38:39"/>
        <d v="2023-06-26T17:21:21"/>
        <d v="2023-06-27T08:20:30"/>
        <d v="2023-06-27T13:13:11"/>
        <d v="2023-06-27T15:10:24"/>
        <d v="2023-06-27T17:55:44"/>
        <d v="2023-06-27T19:37:07"/>
        <d v="2023-06-28T12:23:42"/>
        <d v="2023-06-28T16:26:26"/>
        <d v="2023-06-28T16:48:40"/>
        <d v="2023-06-28T18:13:16"/>
        <d v="2023-06-29T09:24:22"/>
        <d v="2023-06-29T11:46:14"/>
        <d v="2023-06-29T14:49:39"/>
        <d v="2023-06-29T14:54:08"/>
        <d v="2023-06-29T17:38:08"/>
        <d v="2023-06-29T18:31:46"/>
        <d v="2023-06-29T19:07:07"/>
        <d v="2023-06-30T10:49:02"/>
        <d v="2023-06-30T11:40:27"/>
        <d v="2023-06-30T14:00:47"/>
        <d v="2023-06-30T15:40:02"/>
        <d v="2023-06-30T17:45:07"/>
        <d v="2023-07-01T08:56:58"/>
        <d v="2023-07-01T10:44:56"/>
        <d v="2023-07-01T11:58:27"/>
        <d v="2023-07-01T16:33:48"/>
        <d v="2023-07-01T16:59:52"/>
        <d v="2023-07-02T09:37:39"/>
        <d v="2023-07-02T09:41:03"/>
        <d v="2023-07-02T14:22:49"/>
        <d v="2023-07-03T10:03:25"/>
        <d v="2023-07-03T11:01:35"/>
        <d v="2023-07-03T19:43:54"/>
        <d v="2023-07-04T08:58:11"/>
        <d v="2023-07-04T09:46:03"/>
        <d v="2023-07-04T10:39:32"/>
        <d v="2023-07-04T15:34:50"/>
        <d v="2023-07-04T16:48:35"/>
        <d v="2023-07-05T08:24:49"/>
        <d v="2023-07-05T08:41:16"/>
        <d v="2023-07-05T08:42:21"/>
        <d v="2023-07-05T09:10:11"/>
        <d v="2023-07-05T10:08:51"/>
        <d v="2023-07-05T13:15:56"/>
        <d v="2023-07-05T13:50:26"/>
        <d v="2023-07-05T15:32:44"/>
        <d v="2023-07-05T16:55:58"/>
        <d v="2023-07-05T19:21:21"/>
        <d v="2023-07-06T09:04:25"/>
        <d v="2023-07-06T10:58:42"/>
        <d v="2023-07-06T12:12:24"/>
        <d v="2023-07-06T14:05:00"/>
        <d v="2023-07-06T14:52:44"/>
        <d v="2023-07-06T18:09:55"/>
        <d v="2023-07-07T15:19:02"/>
        <d v="2023-07-07T17:07:21"/>
        <d v="2023-07-07T17:45:43"/>
        <d v="2023-07-08T09:58:50"/>
        <d v="2023-07-08T13:39:30"/>
        <d v="2023-07-08T16:55:19"/>
        <d v="2023-07-08T19:11:50"/>
        <d v="2023-07-09T14:10:33"/>
        <d v="2023-07-10T09:34:44"/>
        <d v="2023-07-10T10:46:31"/>
        <d v="2023-07-10T12:02:18"/>
        <d v="2023-07-10T12:33:55"/>
        <d v="2023-07-10T12:59:32"/>
        <d v="2023-07-11T09:56:21"/>
        <d v="2023-07-11T13:06:22"/>
        <d v="2023-07-11T13:41:21"/>
        <d v="2023-07-10T12:15:03"/>
        <d v="2023-07-11T15:10:56"/>
        <d v="2023-07-11T15:54:30"/>
        <d v="2023-07-11T15:57:55"/>
        <d v="2023-07-11T17:36:05"/>
        <d v="2023-07-11T17:47:14"/>
        <d v="2023-07-12T11:20:16"/>
        <d v="2023-07-12T12:24:27"/>
        <d v="2023-07-12T14:48:57"/>
        <d v="2023-07-12T15:17:50"/>
        <d v="2023-07-12T18:00:03"/>
        <d v="2023-07-13T08:09:32"/>
        <d v="2023-07-13T08:57:02"/>
        <d v="2023-07-13T10:56:01"/>
        <d v="2023-07-13T12:15:32"/>
        <d v="2023-07-13T12:45:01"/>
        <d v="2023-07-13T14:40:27"/>
        <d v="2023-07-13T16:10:38"/>
        <d v="2023-07-13T17:55:17"/>
        <d v="2023-07-13T18:52:17"/>
        <d v="2023-07-14T09:16:57"/>
        <d v="2023-07-14T10:28:04"/>
        <d v="2023-07-14T12:29:42"/>
        <d v="2023-07-14T17:38:39"/>
        <d v="2023-07-15T09:27:34"/>
        <d v="2023-07-15T14:03:54"/>
        <d v="2023-07-15T14:09:58"/>
        <d v="2023-07-15T18:47:16"/>
        <d v="2023-07-16T10:25:45"/>
        <d v="2023-07-16T13:16:46"/>
        <d v="2023-07-16T15:10:02"/>
        <d v="2023-07-16T17:10:19"/>
        <d v="2023-07-17T09:48:23"/>
        <d v="2023-07-17T10:34:10"/>
        <d v="2023-07-17T11:17:01"/>
        <d v="2023-07-17T14:26:49"/>
        <d v="2023-07-18T11:12:14"/>
        <d v="2023-07-18T11:41:35"/>
        <d v="2023-07-18T16:50:29"/>
        <d v="2023-07-18T17:56:56"/>
        <d v="2023-07-19T08:10:48"/>
        <d v="2023-07-19T09:38:58"/>
        <d v="2023-07-19T12:18:38"/>
        <d v="2023-07-19T14:26:01"/>
        <d v="2023-07-19T15:32:25"/>
        <d v="2023-07-19T16:34:56"/>
        <d v="2023-07-20T17:23:53"/>
        <d v="2023-07-20T18:35:38"/>
        <d v="2023-07-21T10:50:20"/>
        <d v="2023-07-21T13:28:48"/>
        <d v="2023-07-22T09:09:38"/>
        <d v="2023-07-22T10:09:37"/>
        <d v="2023-07-22T10:21:36"/>
        <d v="2023-07-22T17:13:05"/>
        <d v="2023-07-22T18:32:04"/>
        <d v="2023-07-23T09:41:51"/>
        <d v="2023-07-23T11:52:07"/>
        <d v="2023-07-24T13:34:59"/>
        <d v="2023-07-25T09:20:29"/>
        <d v="2023-07-25T11:09:47"/>
        <d v="2023-07-25T16:48:14"/>
        <d v="2023-07-26T10:00:08"/>
        <d v="2023-07-26T10:28:32"/>
        <d v="2023-07-26T11:10:42"/>
        <d v="2023-07-26T18:07:04"/>
        <d v="2023-07-27T08:50:53"/>
        <d v="2023-07-27T09:07:32"/>
        <d v="2023-07-27T14:45:43"/>
        <d v="2023-07-27T15:02:10"/>
        <d v="2023-07-28T10:22:14"/>
        <d v="2023-07-28T19:24:35"/>
        <d v="2023-07-29T09:45:57"/>
        <d v="2023-07-29T11:31:02"/>
        <d v="2023-07-29T12:19:41"/>
        <d v="2023-07-29T15:29:27"/>
        <d v="2023-07-29T18:56:32"/>
        <d v="2023-07-31T16:24:40"/>
        <d v="2023-07-31T17:08:22"/>
        <d v="2023-07-31T17:43:50"/>
        <d v="2023-08-01T15:09:47"/>
        <d v="2023-08-01T16:27:12"/>
        <d v="2023-08-02T16:29:26"/>
        <d v="2023-08-03T09:08:28"/>
        <d v="2023-08-03T09:18:54"/>
        <d v="2023-08-03T13:47:27"/>
        <d v="2023-08-03T15:51:42"/>
        <d v="2023-08-03T17:46:31"/>
        <d v="2023-08-04T09:16:45"/>
        <d v="2023-08-04T11:57:22"/>
        <d v="2023-08-04T14:41:20"/>
        <d v="2023-08-04T15:21:49"/>
        <d v="2023-08-04T16:21:29"/>
        <d v="2023-08-04T20:03:12"/>
        <d v="2023-08-05T09:45:49"/>
        <d v="2023-08-05T12:16:26"/>
        <d v="2023-08-05T12:27:03"/>
        <d v="2023-08-05T13:08:05"/>
        <d v="2023-08-05T13:51:06"/>
        <d v="2023-08-05T14:24:09"/>
        <d v="2023-08-05T18:43:53"/>
        <d v="2023-08-06T09:47:43"/>
        <d v="2023-08-07T10:23:10"/>
        <d v="2023-08-07T11:10:22"/>
        <d v="2023-08-07T12:52:11"/>
        <d v="2023-08-07T18:01:28"/>
        <d v="2023-08-07T18:56:04"/>
        <d v="2023-08-08T09:08:59"/>
        <d v="2023-08-08T09:20:55"/>
        <d v="2023-08-09T08:40:57"/>
        <d v="2023-08-09T08:50:00"/>
        <d v="2023-08-09T09:21:07"/>
        <d v="2023-08-09T11:57:53"/>
        <d v="2023-08-09T18:16:34"/>
        <d v="2023-08-10T08:11:35"/>
        <d v="2023-08-10T10:46:14"/>
        <d v="2023-08-10T11:19:18"/>
        <d v="2023-08-10T14:10:30"/>
        <d v="2023-08-10T15:58:06"/>
        <d v="2023-08-10T16:24:59"/>
        <d v="2023-08-10T19:38:16"/>
        <d v="2023-08-11T08:56:17"/>
        <d v="2023-08-11T09:12:40"/>
        <d v="2023-08-11T13:19:30"/>
        <d v="2023-08-11T17:54:48"/>
        <d v="2023-08-12T14:20:41"/>
        <d v="2023-08-12T15:59:25"/>
        <d v="2023-08-12T18:27:40"/>
        <d v="2023-08-14T09:28:06"/>
        <d v="2023-08-14T11:14:55"/>
        <d v="2023-08-14T16:02:52"/>
        <d v="2023-08-15T07:26:03"/>
        <d v="2023-08-15T18:38:11"/>
        <d v="2023-08-15T19:22:34"/>
        <d v="2023-08-16T12:28:38"/>
        <d v="2023-08-16T13:48:57"/>
        <d v="2023-08-16T16:49:54"/>
        <d v="2023-08-17T09:12:34"/>
        <d v="2023-08-17T11:54:41"/>
        <d v="2023-08-17T15:21:36"/>
        <d v="2023-08-17T15:56:25"/>
        <d v="2023-08-17T15:56:30"/>
        <d v="2023-08-17T17:15:47"/>
        <d v="2023-08-17T17:15:54"/>
        <d v="2023-08-17T18:12:12"/>
        <d v="2023-08-17T20:00:51"/>
        <d v="2023-08-18T09:47:15"/>
        <d v="2023-08-18T10:01:30"/>
        <d v="2023-08-18T11:30:10"/>
        <d v="2023-08-18T12:29:07"/>
        <d v="2023-08-18T15:12:59"/>
        <d v="2023-08-18T15:28:41"/>
        <d v="2023-08-19T11:30:40"/>
        <d v="2023-08-19T11:37:28"/>
        <d v="2023-08-19T14:57:29"/>
        <d v="2023-08-19T15:07:10"/>
        <d v="2023-08-19T16:29:55"/>
        <d v="2023-08-20T09:01:47"/>
        <d v="2023-08-20T09:50:00"/>
        <d v="2023-08-20T16:27:11"/>
        <d v="2023-08-21T09:39:01"/>
        <d v="2023-08-21T12:40:28"/>
        <d v="2023-08-21T13:46:31"/>
        <d v="2023-08-21T14:34:10"/>
        <d v="2023-08-21T16:13:32"/>
        <d v="2023-08-22T09:18:59"/>
        <d v="2023-08-22T12:35:07"/>
        <d v="2023-08-22T13:40:46"/>
        <d v="2023-08-22T15:02:24"/>
        <d v="2023-08-22T16:29:06"/>
        <d v="2023-08-22T16:46:16"/>
        <d v="2023-08-23T09:28:43"/>
        <d v="2023-08-23T09:36:32"/>
        <d v="2023-08-23T09:53:16"/>
        <d v="2023-08-23T11:24:56"/>
        <d v="2023-08-23T15:12:58"/>
        <d v="2023-08-23T16:02:07"/>
        <d v="2023-08-23T16:31:13"/>
        <d v="2023-08-24T08:47:25"/>
        <d v="2023-08-24T08:56:17"/>
        <d v="2023-08-25T12:46:52"/>
        <d v="2023-08-25T16:11:27"/>
        <d v="2023-08-25T16:17:13"/>
        <d v="2023-08-26T11:35:28"/>
        <d v="2023-08-26T14:11:20"/>
        <d v="2023-08-26T15:00:36"/>
        <d v="2023-08-28T13:06:52"/>
        <d v="2023-08-28T15:01:34"/>
        <d v="2023-08-28T18:59:58"/>
        <d v="2023-08-29T12:01:52"/>
        <d v="2023-08-29T14:55:06"/>
        <d v="2023-08-29T17:04:15"/>
        <d v="2023-08-30T08:56:16"/>
        <d v="2023-08-30T09:09:56"/>
        <d v="2023-08-30T14:15:16"/>
        <d v="2023-08-31T08:39:11"/>
        <d v="2023-08-31T10:22:28"/>
        <d v="2023-08-31T10:48:47"/>
        <d v="2023-08-31T18:38:07"/>
        <d v="2023-09-01T09:28:00"/>
        <d v="2023-09-01T09:31:39"/>
        <d v="2023-09-01T15:06:42"/>
        <d v="2023-09-01T18:04:45"/>
        <d v="2023-09-01T18:20:53"/>
        <d v="2023-09-02T08:32:43"/>
        <d v="2023-09-02T13:20:05"/>
        <d v="2023-09-02T17:32:50"/>
        <d v="2023-09-02T17:43:54"/>
        <d v="2023-09-03T16:18:18"/>
        <d v="2023-09-04T10:40:54"/>
        <d v="2023-09-04T17:13:16"/>
        <d v="2023-09-06T08:52:02"/>
        <d v="2023-09-06T11:47:19"/>
        <d v="2023-09-07T19:26:12"/>
        <d v="2023-09-08T09:52:05"/>
        <d v="2023-09-08T11:13:54"/>
        <d v="2023-09-08T12:03:55"/>
        <d v="2023-09-08T15:46:44"/>
        <d v="2023-09-09T09:40:43"/>
        <d v="2023-09-09T14:40:45"/>
        <d v="2023-09-09T17:12:45"/>
        <d v="2023-09-09T18:12:00"/>
        <d v="2023-09-09T19:05:00"/>
        <d v="2023-09-10T10:19:34"/>
        <d v="2023-09-10T12:15:50"/>
        <d v="2023-09-10T14:18:43"/>
        <d v="2023-09-10T17:17:31"/>
        <d v="2023-09-10T17:58:15"/>
        <d v="2023-09-11T07:58:25"/>
        <d v="2023-09-11T08:56:43"/>
        <d v="2023-09-11T12:26:34"/>
        <d v="2023-09-11T12:38:15"/>
        <d v="2023-09-11T14:57:38"/>
        <d v="2023-09-12T14:54:47"/>
        <d v="2023-09-12T15:36:46"/>
        <d v="2023-09-13T10:56:14"/>
        <d v="2023-09-13T11:25:57"/>
        <d v="2023-09-13T13:09:11"/>
        <d v="2023-09-13T14:29:32"/>
        <d v="2023-09-13T17:00:14"/>
        <d v="2023-09-14T08:45:07"/>
        <d v="2023-09-14T09:04:11"/>
        <d v="2023-09-14T11:17:17"/>
        <d v="2023-09-14T16:43:44"/>
        <d v="2023-09-14T17:25:39"/>
        <d v="2023-09-16T14:50:03"/>
        <d v="2023-09-16T15:38:30"/>
        <d v="2023-09-16T17:49:44"/>
        <d v="2023-09-16T18:37:13"/>
        <d v="2023-09-18T09:14:56"/>
        <d v="2023-09-18T09:45:05"/>
        <d v="2023-09-18T10:28:36"/>
        <d v="2023-09-18T14:17:37"/>
        <d v="2023-09-18T19:06:34"/>
        <d v="2023-09-19T10:41:41"/>
        <d v="2023-09-19T11:33:28"/>
        <d v="2023-09-19T14:19:43"/>
        <d v="2023-09-20T15:10:41"/>
        <d v="2023-09-21T10:38:33"/>
        <d v="2023-09-21T11:59:55"/>
        <d v="2023-09-21T12:25:27"/>
        <d v="2023-09-21T16:38:12"/>
        <d v="2023-09-21T16:43:24"/>
        <d v="2023-09-21T17:49:34"/>
        <d v="2023-09-21T18:45:41"/>
        <d v="2023-09-22T08:30:30"/>
        <d v="2023-09-22T10:31:15"/>
        <d v="2023-09-22T15:35:49"/>
        <d v="2023-09-22T16:00:27"/>
        <d v="2023-09-22T17:20:01"/>
        <d v="2023-09-23T11:56:15"/>
        <d v="2023-09-23T12:41:55"/>
        <d v="2023-09-24T11:29:22"/>
        <d v="2023-09-24T17:26:58"/>
        <d v="2023-09-24T19:36:18"/>
        <d v="2023-09-25T09:43:53"/>
        <d v="2023-09-25T11:55:52"/>
        <d v="2023-09-25T12:56:50"/>
        <d v="2023-09-25T19:17:07"/>
        <d v="2023-09-26T15:03:05"/>
        <d v="2023-09-26T16:16:36"/>
        <d v="2023-09-27T15:47:19"/>
        <d v="2023-09-27T17:52:15"/>
        <d v="2023-09-28T09:21:25"/>
        <d v="2023-09-29T08:32:57"/>
        <d v="2023-09-29T12:01:52"/>
        <d v="2023-09-29T15:32:50"/>
        <d v="2023-09-30T08:42:30"/>
        <d v="2023-10-01T17:33:34"/>
        <d v="2023-10-02T08:49:04"/>
        <d v="2023-10-03T09:06:51"/>
        <d v="2023-10-03T11:13:47"/>
        <d v="2023-10-03T12:02:07"/>
        <d v="2023-10-03T16:46:44"/>
        <d v="2023-10-04T09:34:51"/>
        <d v="2023-10-04T10:39:37"/>
        <d v="2023-10-04T11:17:27"/>
        <d v="2023-10-04T12:21:17"/>
        <d v="2023-10-04T14:02:04"/>
        <d v="2023-10-04T14:51:30"/>
        <d v="2023-10-04T16:24:05"/>
        <d v="2023-10-04T16:27:36"/>
        <d v="2023-10-05T08:53:14"/>
        <d v="2023-10-05T09:35:57"/>
        <d v="2023-10-05T11:48:21"/>
        <d v="2023-10-05T13:37:28"/>
        <d v="2023-10-05T14:07:50"/>
        <d v="2023-10-05T17:20:48"/>
        <d v="2023-10-05T18:32:13"/>
        <d v="2023-10-06T08:52:46"/>
        <d v="2023-10-06T10:35:20"/>
        <d v="2023-10-06T13:51:50"/>
        <d v="2023-10-06T14:07:53"/>
        <d v="2023-10-07T08:15:57"/>
        <d v="2023-10-07T14:48:24"/>
        <d v="2023-10-07T16:29:39"/>
        <d v="2023-10-08T09:12:49"/>
        <d v="2023-10-09T11:33:16"/>
        <d v="2023-10-09T12:03:57"/>
        <d v="2023-10-09T15:29:36"/>
        <d v="2023-10-09T15:35:50"/>
        <d v="2023-10-10T09:38:15"/>
        <d v="2023-10-10T09:41:41"/>
        <d v="2023-10-10T10:32:56"/>
        <d v="2023-10-10T10:41:49"/>
        <d v="2023-10-10T13:42:50"/>
        <d v="2023-10-10T16:15:07"/>
        <d v="2023-10-11T10:06:47"/>
        <d v="2023-10-12T16:08:41"/>
        <d v="2023-10-12T19:25:32"/>
        <d v="2023-10-13T11:25:04"/>
        <d v="2023-10-13T18:27:12"/>
        <d v="2023-10-14T11:04:59"/>
        <d v="2023-10-14T12:34:41"/>
        <d v="2023-10-14T13:54:08"/>
        <d v="2023-10-15T08:24:11"/>
        <d v="2023-10-15T10:58:48"/>
        <d v="2023-10-16T08:41:10"/>
        <d v="2023-10-16T13:15:01"/>
        <d v="2023-10-16T17:23:13"/>
        <d v="2023-10-16T17:49:19"/>
        <d v="2023-10-17T09:32:53"/>
        <d v="2023-10-17T12:42:36"/>
        <d v="2023-10-17T12:46:51"/>
        <d v="2023-10-17T13:53:33"/>
        <d v="2023-10-17T14:24:09"/>
        <d v="2023-10-17T15:53:47"/>
        <d v="2023-10-17T16:45:19"/>
        <d v="2023-10-17T17:22:40"/>
        <d v="2023-10-17T17:51:50"/>
        <d v="2023-10-18T11:53:23"/>
        <d v="2023-10-18T15:34:22"/>
        <d v="2023-10-18T18:18:38"/>
        <d v="2023-10-18T18:58:01"/>
        <d v="2023-10-19T10:04:50"/>
        <d v="2023-10-19T15:39:16"/>
        <d v="2023-10-20T08:03:37"/>
        <d v="2023-10-20T08:56:25"/>
        <d v="2023-10-20T09:12:39"/>
        <d v="2023-10-20T09:34:07"/>
        <d v="2023-10-21T09:50:20"/>
        <d v="2023-10-21T13:14:20"/>
        <d v="2023-10-21T13:44:16"/>
        <d v="2023-10-21T16:11:41"/>
        <d v="2023-10-21T16:27:55"/>
        <d v="2023-10-21T19:13:38"/>
        <d v="2023-10-22T09:13:55"/>
        <d v="2023-10-22T09:16:11"/>
        <d v="2023-10-22T13:53:57"/>
        <d v="2023-10-22T19:17:47"/>
        <d v="2023-10-23T08:29:13"/>
        <d v="2023-10-23T15:47:29"/>
        <d v="2023-10-23T17:46:12"/>
        <d v="2023-10-24T11:00:47"/>
        <d v="2023-10-24T09:38:13"/>
        <d v="2023-10-24T10:01:36"/>
        <d v="2023-10-24T11:16:06"/>
        <d v="2023-10-24T13:30:19"/>
        <d v="2023-10-25T08:31:38"/>
        <d v="2023-10-25T09:01:20"/>
        <d v="2023-10-25T09:02:01"/>
        <d v="2023-10-25T15:58:05"/>
        <d v="2023-10-26T08:27:41"/>
        <d v="2023-10-26T10:35:37"/>
        <d v="2023-10-26T14:10:41"/>
        <d v="2023-10-27T08:45:35"/>
        <d v="2023-10-27T11:49:19"/>
        <d v="2023-10-27T17:02:21"/>
        <d v="2023-10-27T19:37:54"/>
        <d v="2023-10-28T08:40:27"/>
        <d v="2023-10-29T18:25:25"/>
        <d v="2023-10-29T19:42:34"/>
        <d v="2023-10-30T11:52:42"/>
        <d v="2023-10-30T15:27:29"/>
        <d v="2023-10-30T16:18:57"/>
        <d v="2023-10-30T16:37:52"/>
        <d v="2023-10-30T18:39:34"/>
        <d v="2023-10-31T10:18:02"/>
        <d v="2023-10-31T12:50:56"/>
        <d v="2023-11-01T10:15:39"/>
        <d v="2023-11-01T14:41:39"/>
        <d v="2023-11-02T11:28:34"/>
        <d v="2023-11-02T11:51:00"/>
        <d v="2023-11-02T14:02:26"/>
        <d v="2023-11-03T09:01:18"/>
        <d v="2023-11-03T10:43:42"/>
        <d v="2023-11-03T17:59:36"/>
        <d v="2023-11-03T18:57:41"/>
        <d v="2023-11-04T09:49:23"/>
        <d v="2023-11-04T13:31:14"/>
        <d v="2023-11-05T14:12:41"/>
        <d v="2023-11-06T09:01:04"/>
        <d v="2023-11-06T10:56:31"/>
        <d v="2023-11-06T13:21:53"/>
        <d v="2023-11-06T19:21:55"/>
        <d v="2023-11-07T09:38:53"/>
        <d v="2023-11-07T09:40:36"/>
        <d v="2023-11-08T12:30:09"/>
        <d v="2023-11-09T09:07:30"/>
        <d v="2023-11-09T09:58:09"/>
        <d v="2023-11-11T13:14:20"/>
        <d v="2023-11-12T10:25:50"/>
        <d v="2023-11-13T13:13:35"/>
        <d v="2023-11-13T19:56:11"/>
        <d v="2023-11-13T20:13:22"/>
        <d v="2023-11-14T10:06:19"/>
        <d v="2023-11-14T10:36:03"/>
        <d v="2023-11-14T13:26:50"/>
        <d v="2023-11-14T14:39:18"/>
        <d v="2023-11-14T17:02:07"/>
        <d v="2023-11-15T09:28:18"/>
        <d v="2023-11-15T13:35:15"/>
        <d v="2023-11-15T18:14:32"/>
        <d v="2023-11-16T10:45:16"/>
        <d v="2023-11-16T18:33:23"/>
        <d v="2023-11-17T12:20:26"/>
        <d v="2023-11-18T09:07:17"/>
        <d v="2023-11-18T17:13:27"/>
        <d v="2023-11-18T18:30:03"/>
        <d v="2023-11-19T08:34:47"/>
        <d v="2023-11-19T10:18:31"/>
        <d v="2023-11-19T13:26:04"/>
        <d v="2023-11-19T15:29:16"/>
        <d v="2023-11-20T10:21:12"/>
        <d v="2023-11-20T15:14:53"/>
        <d v="2023-11-20T15:46:40"/>
        <d v="2023-11-20T16:18:19"/>
        <d v="2023-11-21T08:53:26"/>
        <d v="2023-11-21T09:02:15"/>
        <d v="2023-11-21T09:23:57"/>
        <d v="2023-11-21T11:12:34"/>
        <d v="2023-11-21T12:00:57"/>
        <d v="2023-11-21T12:31:23"/>
        <d v="2023-11-21T15:23:39"/>
        <d v="2023-11-21T15:24:43"/>
        <d v="2023-11-21T17:07:25"/>
        <d v="2023-11-22T08:34:58"/>
        <d v="2023-11-22T10:44:42"/>
        <d v="2023-11-22T11:40:07"/>
        <d v="2023-11-22T12:10:23"/>
        <d v="2023-11-22T13:26:00"/>
        <d v="2023-11-23T08:56:30"/>
        <d v="2023-11-23T09:34:31"/>
        <d v="2023-11-23T11:20:15"/>
        <d v="2023-11-23T18:08:14"/>
        <d v="2023-11-23T18:28:57"/>
        <d v="2023-11-23T18:36:46"/>
        <d v="2023-11-24T08:27:06"/>
        <d v="2023-11-24T11:28:24"/>
        <d v="2023-11-24T19:12:33"/>
        <d v="2023-11-25T12:39:45"/>
        <d v="2023-11-25T14:08:32"/>
        <d v="2023-11-25T14:49:40"/>
        <d v="2023-11-25T15:38:39"/>
        <d v="2023-11-26T11:07:27"/>
        <d v="2023-11-26T11:44:50"/>
        <d v="2023-11-26T12:36:41"/>
        <d v="2023-11-26T13:56:05"/>
        <d v="2023-11-28T07:46:04"/>
        <d v="2023-11-28T08:58:24"/>
        <d v="2023-11-28T10:21:53"/>
        <d v="2023-11-28T10:29:40"/>
        <d v="2023-11-28T16:48:41"/>
        <d v="2023-11-28T17:15:01"/>
        <d v="2023-11-28T17:32:54"/>
        <d v="2023-11-28T18:45:00"/>
        <d v="2023-11-29T08:47:10"/>
        <d v="2023-11-29T13:07:48"/>
        <d v="2023-11-29T17:27:02"/>
        <d v="2023-11-29T17:58:18"/>
        <d v="2023-11-30T13:24:45"/>
        <d v="2023-11-30T15:22:32"/>
        <d v="2023-12-01T09:15:48"/>
        <d v="2023-12-01T17:27:29"/>
        <d v="2023-12-02T08:07:58"/>
        <d v="2023-12-02T12:55:51"/>
        <d v="2023-12-03T08:58:30"/>
        <d v="2023-12-03T17:13:40"/>
        <d v="2023-12-04T08:43:43"/>
        <d v="2023-12-04T09:23:49"/>
        <d v="2023-12-04T10:35:31"/>
        <d v="2023-12-04T10:39:29"/>
        <d v="2023-12-04T11:34:30"/>
        <d v="2023-12-04T12:51:57"/>
        <d v="2023-12-04T15:29:11"/>
        <d v="2023-12-05T08:26:40"/>
        <d v="2023-12-05T08:39:48"/>
        <d v="2023-12-05T08:57:47"/>
        <d v="2023-12-05T13:34:21"/>
        <d v="2023-12-05T16:36:12"/>
        <d v="2023-12-06T08:49:03"/>
        <d v="2023-12-06T11:06:50"/>
        <d v="2023-12-06T11:55:44"/>
        <d v="2023-12-06T14:49:19"/>
        <d v="2023-12-06T15:41:12"/>
        <d v="2023-12-06T19:18:02"/>
        <d v="2023-12-07T11:05:27"/>
        <d v="2023-12-07T11:48:50"/>
        <d v="2023-12-07T15:22:14"/>
        <d v="2023-12-07T17:19:37"/>
        <d v="2023-12-07T17:38:51"/>
        <d v="2023-12-07T18:25:21"/>
        <d v="2023-12-08T09:49:04"/>
        <d v="2023-12-08T13:22:47"/>
        <d v="2023-12-08T13:44:51"/>
        <d v="2023-12-08T14:02:17"/>
        <d v="2023-12-08T16:30:38"/>
        <d v="2023-12-09T11:11:05"/>
        <d v="2023-12-09T17:49:38"/>
        <d v="2023-12-10T10:46:17"/>
        <d v="2023-12-10T15:00:09"/>
        <d v="2023-12-10T16:16:01"/>
        <d v="2023-12-11T11:18:51"/>
        <d v="2023-12-11T11:20:35"/>
        <d v="2023-12-11T12:09:23"/>
        <d v="2023-12-11T13:33:27"/>
        <d v="2023-12-11T14:21:06"/>
        <d v="2023-12-11T15:10:19"/>
        <d v="2023-12-11T15:42:59"/>
        <d v="2023-12-11T15:44:11"/>
        <d v="2023-12-11T21:42:36"/>
        <d v="2023-12-12T12:37:14"/>
        <d v="2023-12-12T13:43:45"/>
        <d v="2023-12-12T17:56:16"/>
        <d v="2023-12-13T08:43:47"/>
        <d v="2023-12-13T10:27:30"/>
        <d v="2023-12-13T11:20:26"/>
        <d v="2023-12-13T11:30:08"/>
        <d v="2023-12-13T15:09:47"/>
        <d v="2023-12-13T15:30:48"/>
        <d v="2023-12-14T09:17:38"/>
        <d v="2023-12-14T11:40:26"/>
        <d v="2023-12-14T13:22:09"/>
        <d v="2023-12-14T14:06:37"/>
        <d v="2023-12-14T16:10:23"/>
        <d v="2023-12-14T16:19:10"/>
        <d v="2023-12-14T17:48:03"/>
        <d v="2023-12-15T09:23:33"/>
        <d v="2023-12-15T10:18:18"/>
        <d v="2023-12-15T16:33:42"/>
        <d v="2023-12-16T10:31:11"/>
        <d v="2023-12-16T11:13:35"/>
        <d v="2023-12-16T11:23:09"/>
        <d v="2023-12-16T11:35:51"/>
        <d v="2023-12-16T12:38:58"/>
        <d v="2023-12-17T08:42:53"/>
        <d v="2023-12-15T19:30:00"/>
        <d v="2023-12-17T11:46:55"/>
        <d v="2023-12-17T12:31:28"/>
        <d v="2023-12-17T15:52:53"/>
        <d v="2023-12-18T09:18:18"/>
        <d v="2023-12-18T11:59:11"/>
        <d v="2023-12-18T12:43:15"/>
        <d v="2023-12-18T14:53:43"/>
        <d v="2023-12-18T14:55:24"/>
        <d v="2023-12-18T15:43:16"/>
        <d v="2023-12-18T17:19:14"/>
        <d v="2023-12-18T17:58:32"/>
        <d v="2023-12-18T18:36:46"/>
        <d v="2023-12-19T11:31:39"/>
        <d v="2023-12-19T11:39:30"/>
        <d v="2023-12-19T13:37:08"/>
        <d v="2023-12-19T15:04:12"/>
        <d v="2023-12-19T15:34:28"/>
        <d v="2023-12-19T17:24:27"/>
        <d v="2023-12-19T18:34:56"/>
        <d v="2023-12-19T19:18:12"/>
        <d v="2023-12-20T09:05:56"/>
        <d v="2023-12-20T09:25:49"/>
        <d v="2023-12-20T10:38:23"/>
        <d v="2023-12-20T12:34:48"/>
        <d v="2023-12-20T14:15:46"/>
        <d v="2023-12-20T14:43:29"/>
        <d v="2023-12-20T20:13:39"/>
        <d v="2023-12-21T09:27:04"/>
        <d v="2023-12-21T10:05:19"/>
        <d v="2023-12-21T11:52:18"/>
        <d v="2023-12-21T14:33:41"/>
        <d v="2023-12-21T16:37:43"/>
        <d v="2023-12-21T17:45:53"/>
        <d v="2023-12-22T10:29:29"/>
        <d v="2023-12-22T10:55:45"/>
        <d v="2023-12-22T10:57:37"/>
        <d v="2023-12-22T15:03:12"/>
        <d v="2023-12-22T15:42:00"/>
        <d v="2023-12-22T16:32:00"/>
        <d v="2023-12-23T10:33:04"/>
        <d v="2023-12-23T14:38:01"/>
        <d v="2023-12-25T16:00:41"/>
        <d v="2023-12-25T18:28:38"/>
        <d v="2023-12-26T09:23:07"/>
        <d v="2023-12-26T09:29:03"/>
        <d v="2023-12-26T17:04:44"/>
        <d v="2023-12-27T09:55:17"/>
        <d v="2023-12-27T10:22:52"/>
        <d v="2023-12-27T16:13:43"/>
        <d v="2023-12-27T16:56:43"/>
        <d v="2023-12-28T12:48:22"/>
        <d v="2023-12-28T13:12:18"/>
        <d v="2023-12-28T16:47:07"/>
        <d v="2023-12-28T17:54:15"/>
        <d v="2023-12-28T18:12:32"/>
        <d v="2023-12-29T10:58:40"/>
        <d v="2023-12-29T11:49:10"/>
        <d v="2023-12-29T19:20:56"/>
        <d v="2023-12-30T08:10:44"/>
        <d v="2023-12-30T08:49:22"/>
        <d v="2023-12-30T17:30:36"/>
        <d v="2023-12-30T19:40:47"/>
        <d v="2024-01-01T10:44:29"/>
        <d v="2024-01-01T11:46:23"/>
        <d v="2024-01-02T08:49:56"/>
        <d v="2024-01-02T10:30:30"/>
        <d v="2024-01-02T13:55:41"/>
        <d v="2024-01-02T14:41:23"/>
        <d v="2024-01-02T14:56:21"/>
        <d v="2024-01-02T16:14:16"/>
        <d v="2024-01-02T19:08:40"/>
        <d v="2024-01-03T08:33:46"/>
        <d v="2024-01-03T10:15:53"/>
        <d v="2024-01-03T11:01:01"/>
        <d v="2024-01-03T11:23:10"/>
        <d v="2024-01-03T12:09:39"/>
        <d v="2024-01-03T14:04:42"/>
        <d v="2024-01-03T14:07:51"/>
        <d v="2024-01-03T15:08:58"/>
        <d v="2024-01-03T15:39:51"/>
        <d v="2024-01-03T17:06:43"/>
        <d v="2024-01-03T17:47:39"/>
        <d v="2024-01-03T18:40:49"/>
        <d v="2024-01-04T08:30:34"/>
        <d v="2024-01-04T10:40:46"/>
        <d v="2024-01-04T10:56:02"/>
        <d v="2024-01-04T11:32:09"/>
        <d v="2024-01-04T11:44:56"/>
        <d v="2024-01-04T14:11:17"/>
        <d v="2024-01-04T14:32:46"/>
        <d v="2024-01-04T14:36:19"/>
        <d v="2024-01-04T16:24:43"/>
        <d v="2024-01-04T16:43:22"/>
        <d v="2024-01-04T17:08:16"/>
        <d v="2024-01-05T08:44:30"/>
        <d v="2024-01-05T09:11:17"/>
        <d v="2024-01-05T09:51:47"/>
        <d v="2024-01-05T11:32:01"/>
        <d v="2024-01-05T13:42:26"/>
        <d v="2024-01-05T16:57:53"/>
        <d v="2024-01-06T12:35:08"/>
        <d v="2024-01-06T15:51:37"/>
        <d v="2024-01-06T16:45:45"/>
        <d v="2024-01-06T17:29:41"/>
        <d v="2024-01-06T18:21:51"/>
        <d v="2024-01-08T09:24:16"/>
        <d v="2024-01-08T10:58:52"/>
        <d v="2024-01-09T11:01:22"/>
        <d v="2024-01-09T12:15:28"/>
        <d v="2024-01-09T12:21:44"/>
        <d v="2024-01-09T12:53:11"/>
        <d v="2024-01-09T14:46:29"/>
        <d v="2024-01-09T16:44:43"/>
        <d v="2024-01-10T09:52:08"/>
        <d v="2024-01-10T10:46:41"/>
        <d v="2024-01-10T11:09:30"/>
        <d v="2024-01-10T12:14:29"/>
        <d v="2024-01-10T14:16:34"/>
        <d v="2024-01-10T15:54:06"/>
        <d v="2024-01-10T17:05:31"/>
        <d v="2024-01-10T18:18:30"/>
        <d v="2024-01-10T19:00:00"/>
        <d v="2024-01-11T09:59:35"/>
        <d v="2024-01-11T10:48:40"/>
        <d v="2024-01-11T11:56:49"/>
        <d v="2024-01-11T12:50:46"/>
        <d v="2024-01-11T13:11:18"/>
        <d v="2024-01-11T13:28:33"/>
        <d v="2024-01-11T14:57:37"/>
        <d v="2024-01-12T11:35:45"/>
        <d v="2024-01-12T13:28:40"/>
        <d v="2024-01-12T13:49:39"/>
        <d v="2024-01-12T15:26:53"/>
        <d v="2024-01-13T09:17:04"/>
        <d v="2024-01-13T09:31:15"/>
        <d v="2024-01-14T13:21:07"/>
        <d v="2024-01-14T14:30:03"/>
        <d v="2024-01-14T18:38:37"/>
        <d v="2024-01-15T09:50:23"/>
        <d v="2024-01-15T10:00:09"/>
        <d v="2024-01-15T16:14:12"/>
        <d v="2024-01-15T16:40:40"/>
        <d v="2024-01-15T20:06:10"/>
        <d v="2024-01-16T09:47:32"/>
        <d v="2024-01-16T15:39:01"/>
        <d v="2024-01-17T08:26:49"/>
        <d v="2024-01-17T09:24:41"/>
        <d v="2024-01-17T09:36:33"/>
        <d v="2024-01-17T12:17:24"/>
        <d v="2024-01-17T14:35:57"/>
        <d v="2024-01-17T16:39:54"/>
        <d v="2024-01-18T10:43:35"/>
        <d v="2024-01-18T12:21:09"/>
        <d v="2024-01-18T12:36:59"/>
        <d v="2024-01-18T14:15:48"/>
        <d v="2024-01-19T12:22:52"/>
        <d v="2024-01-19T12:42:47"/>
        <d v="2024-01-19T12:58:24"/>
        <d v="2024-01-19T16:42:00"/>
        <d v="2024-01-19T17:39:45"/>
        <d v="2024-01-20T09:44:26"/>
        <d v="2024-01-20T10:57:51"/>
        <d v="2024-01-20T16:04:51"/>
        <d v="2024-01-20T16:15:16"/>
        <d v="2024-01-21T13:20:32"/>
        <d v="2024-01-21T15:13:39"/>
        <d v="2024-01-22T11:25:56"/>
        <d v="2024-01-22T14:23:35"/>
        <d v="2024-01-23T11:05:28"/>
        <d v="2024-01-23T11:56:30"/>
        <d v="2024-01-23T14:56:40"/>
        <d v="2024-01-23T16:28:06"/>
        <d v="2024-01-23T17:49:31"/>
        <d v="2024-01-23T18:36:25"/>
        <d v="2024-01-24T08:12:20"/>
        <d v="2024-01-24T10:23:05"/>
        <d v="2024-01-24T10:36:43"/>
        <d v="2024-01-25T10:11:54"/>
        <d v="2024-01-26T08:42:03"/>
        <d v="2024-01-26T10:26:08"/>
        <d v="2024-01-26T14:27:49"/>
        <d v="2024-01-26T15:46:20"/>
        <d v="2024-01-26T17:58:34"/>
        <d v="2024-01-26T18:53:57"/>
        <d v="2024-01-27T14:09:10"/>
        <d v="2024-01-27T16:16:24"/>
        <d v="2024-01-29T09:44:12"/>
        <d v="2024-01-29T14:44:53"/>
        <d v="2024-01-29T15:34:07"/>
        <d v="2024-01-30T09:42:25"/>
        <d v="2024-01-30T09:50:41"/>
        <d v="2024-01-30T11:19:18"/>
        <d v="2024-01-30T16:14:11"/>
        <d v="2024-01-30T18:18:19"/>
        <d v="2024-01-31T08:56:31"/>
        <d v="2024-01-31T11:22:23"/>
        <d v="2024-01-31T11:57:42"/>
        <d v="2024-01-31T12:56:51"/>
        <d v="2024-01-31T15:26:32"/>
        <d v="2024-01-31T16:42:24"/>
        <d v="2024-01-31T17:25:37"/>
        <d v="2024-02-01T07:51:24"/>
        <d v="2024-02-01T11:36:24"/>
        <d v="2024-02-01T13:43:54"/>
        <d v="2024-02-01T14:28:52"/>
        <d v="2024-02-01T15:03:22"/>
        <d v="2024-02-02T09:15:58"/>
        <d v="2024-02-02T14:18:25"/>
        <d v="2024-02-02T14:28:17"/>
        <d v="2024-02-03T08:32:35"/>
        <d v="2024-02-03T10:01:59"/>
        <d v="2024-02-03T12:28:26"/>
        <d v="2024-02-03T14:19:52"/>
        <d v="2024-02-04T16:22:22"/>
        <d v="2024-02-05T09:08:10"/>
        <d v="2024-02-05T12:32:56"/>
        <d v="2024-02-05T12:38:14"/>
        <d v="2024-02-05T15:57:41"/>
        <d v="2024-02-05T16:54:16"/>
        <d v="2024-02-05T16:56:58"/>
        <d v="2024-02-05T17:20:55"/>
        <d v="2024-02-06T18:48:28"/>
        <d v="2024-02-06T19:22:24"/>
        <d v="2024-02-07T08:59:11"/>
        <d v="2024-02-07T09:53:10"/>
        <d v="2024-02-07T11:05:03"/>
        <d v="2024-02-07T11:08:52"/>
        <d v="2024-02-07T18:06:10"/>
        <d v="2024-02-08T11:20:03"/>
        <d v="2024-02-08T16:39:11"/>
        <d v="2024-02-08T18:13:02"/>
        <d v="2024-02-09T10:51:55"/>
        <d v="2024-02-09T16:01:46"/>
        <d v="2024-02-09T16:37:18"/>
        <d v="2024-02-10T09:25:53"/>
        <d v="2024-02-10T11:31:12"/>
        <d v="2024-02-10T12:22:23"/>
        <d v="2024-02-10T19:31:37"/>
        <d v="2024-02-10T20:00:11"/>
        <d v="2024-02-11T11:33:45"/>
        <d v="2024-02-11T12:05:14"/>
        <d v="2024-02-11T13:31:08"/>
        <d v="2024-02-11T14:24:50"/>
        <d v="2024-02-11T15:15:51"/>
        <d v="2024-02-11T17:33:21"/>
        <d v="2024-02-11T18:02:43"/>
        <d v="2024-02-12T11:39:54"/>
        <d v="2024-02-12T13:39:44"/>
        <d v="2024-02-13T09:33:33"/>
        <d v="2024-02-13T11:30:19"/>
        <d v="2024-02-13T14:03:26"/>
        <d v="2024-02-13T16:30:16"/>
        <d v="2024-02-14T16:24:26"/>
        <d v="2024-02-15T09:00:58"/>
        <d v="2024-02-15T09:20:28"/>
        <d v="2024-02-15T19:33:33"/>
        <d v="2024-02-16T09:20:36"/>
        <d v="2024-02-16T09:32:52"/>
        <d v="2024-02-16T13:28:15"/>
        <d v="2024-02-16T13:32:09"/>
        <d v="2024-02-17T16:12:53"/>
        <d v="2024-02-17T17:32:20"/>
        <d v="2024-02-18T12:55:30"/>
        <d v="2024-02-18T17:55:29"/>
        <d v="2024-02-19T11:26:56"/>
        <d v="2024-02-19T11:44:55"/>
        <d v="2024-02-19T14:19:46"/>
        <d v="2024-02-19T14:50:56"/>
        <d v="2024-02-19T18:57:19"/>
        <d v="2024-02-20T11:15:00"/>
        <d v="2024-02-20T11:37:08"/>
        <d v="2024-02-20T13:30:06"/>
        <d v="2024-02-20T16:55:16"/>
        <d v="2024-02-21T10:06:36"/>
        <d v="2024-02-21T11:34:43"/>
        <d v="2024-02-21T14:18:31"/>
        <d v="2024-02-21T16:18:16"/>
        <d v="2024-02-22T09:00:02"/>
        <d v="2024-02-22T09:54:17"/>
        <d v="2024-02-22T10:20:38"/>
        <d v="2024-02-22T17:41:27"/>
        <d v="2024-02-23T09:22:32"/>
        <d v="2024-02-23T10:29:01"/>
        <d v="2024-02-23T10:34:08"/>
        <d v="2024-02-23T15:06:41"/>
        <d v="2024-02-24T16:10:16"/>
        <d v="2024-02-24T17:49:55"/>
        <d v="2024-02-25T08:41:31"/>
        <d v="2024-02-25T09:10:19"/>
        <d v="2024-02-25T11:44:36"/>
        <d v="2024-02-25T12:39:55"/>
        <d v="2024-02-26T11:27:58"/>
        <d v="2024-02-26T12:32:47"/>
        <d v="2024-02-26T16:14:08"/>
        <d v="2024-02-26T16:32:20"/>
        <d v="2024-02-26T17:06:34"/>
        <d v="2024-02-27T08:32:38"/>
        <d v="2024-02-27T10:04:19"/>
        <d v="2024-02-27T10:28:13"/>
        <d v="2024-02-27T14:00:35"/>
        <d v="2024-02-28T12:12:43"/>
        <d v="2024-02-28T13:32:42"/>
        <d v="2024-02-29T11:47:27"/>
        <d v="2024-02-29T11:51:55"/>
        <d v="2024-02-29T12:14:00"/>
        <d v="2024-02-29T13:11:34"/>
        <d v="2024-02-29T16:48:01"/>
        <d v="2024-03-01T08:43:12"/>
        <d v="2024-03-01T08:43:17"/>
        <d v="2024-03-01T08:58:44"/>
        <d v="2024-03-01T10:30:43"/>
        <d v="2024-03-01T16:21:12"/>
        <d v="2024-03-01T16:45:05"/>
        <d v="2024-03-01T18:13:28"/>
        <d v="2024-03-02T08:55:36"/>
        <d v="2024-03-02T09:34:07"/>
        <d v="2024-03-02T11:56:46"/>
        <d v="2024-03-02T14:27:36"/>
        <d v="2024-03-02T15:10:34"/>
        <d v="2024-03-02T18:15:26"/>
        <d v="2024-03-03T09:26:21"/>
        <d v="2024-03-03T15:34:10"/>
        <d v="2024-03-04T08:42:01"/>
        <d v="2024-03-04T09:07:16"/>
        <d v="2024-03-04T09:51:36"/>
        <d v="2024-03-04T10:49:08"/>
        <d v="2024-03-04T11:42:18"/>
        <d v="2024-03-04T14:43:24"/>
        <d v="2024-03-05T08:21:19"/>
        <d v="2024-03-05T09:33:10"/>
        <d v="2024-03-05T10:06:44"/>
        <d v="2024-03-05T10:41:02"/>
        <d v="2024-03-05T12:19:30"/>
        <d v="2024-03-05T14:23:07"/>
        <d v="2024-03-06T08:29:44"/>
        <d v="2024-03-06T11:21:35"/>
        <d v="2024-03-06T12:23:32"/>
        <d v="2024-03-06T14:38:27"/>
        <d v="2024-03-07T09:15:58"/>
        <d v="2024-03-07T09:46:42"/>
        <d v="2024-03-07T13:50:08"/>
        <d v="2024-03-07T17:36:14"/>
        <d v="2024-03-07T17:47:03"/>
        <d v="2024-03-08T10:59:28"/>
        <d v="2024-03-08T12:24:52"/>
        <d v="2024-03-08T15:37:08"/>
        <d v="2024-03-08T18:15:58"/>
        <d v="2024-03-09T10:46:51"/>
        <d v="2024-03-09T11:24:18"/>
        <d v="2024-03-09T11:32:29"/>
        <d v="2024-03-09T16:09:03"/>
        <d v="2024-03-10T17:53:46"/>
        <d v="2024-03-11T13:46:56"/>
        <d v="2024-03-11T14:24:55"/>
        <d v="2024-03-11T15:39:26"/>
        <d v="2024-03-12T08:33:08"/>
        <d v="2024-03-12T14:14:17"/>
        <d v="2024-03-13T10:38:17"/>
        <d v="2024-03-13T13:50:22"/>
        <d v="2024-03-13T15:03:35"/>
        <d v="2024-03-13T15:31:17"/>
        <d v="2024-03-13T16:46:33"/>
        <d v="2024-03-14T08:37:24"/>
        <d v="2024-03-14T09:52:11"/>
        <d v="2024-03-14T10:42:23"/>
        <d v="2024-03-14T10:56:39"/>
        <d v="2024-03-14T16:15:10"/>
        <d v="2024-03-14T19:12:11"/>
        <d v="2024-03-15T08:48:33"/>
        <d v="2024-03-15T14:08:40"/>
        <d v="2024-03-15T14:28:44"/>
        <d v="2024-03-15T15:26:36"/>
        <d v="2024-03-15T15:56:49"/>
        <d v="2024-03-16T14:49:43"/>
        <d v="2024-03-16T16:47:24"/>
        <d v="2024-03-16T16:56:37"/>
        <d v="2024-03-16T19:21:44"/>
        <d v="2024-03-18T08:49:59"/>
        <d v="2024-03-18T18:32:20"/>
        <d v="2024-03-19T08:41:50"/>
        <d v="2024-03-19T09:07:54"/>
        <d v="2024-03-20T09:33:19"/>
        <d v="2024-03-20T10:31:35"/>
        <d v="2024-03-20T16:08:28"/>
        <d v="2024-03-20T18:05:36"/>
        <d v="2024-03-21T08:22:50"/>
        <d v="2024-03-21T09:50:58"/>
        <d v="2024-03-21T11:52:04"/>
        <d v="2024-03-21T16:01:26"/>
        <d v="2024-03-21T16:03:56"/>
        <d v="2024-03-21T17:13:54"/>
        <d v="2024-03-21T20:32:33"/>
        <d v="2024-03-22T10:44:45"/>
        <d v="2024-03-22T16:17:08"/>
        <d v="2024-03-22T18:00:26"/>
        <d v="2024-03-22T18:45:07"/>
        <d v="2024-03-23T13:27:00"/>
        <d v="2024-03-23T13:36:51"/>
        <d v="2024-03-23T16:53:02"/>
        <d v="2024-03-24T12:03:17"/>
        <d v="2024-03-24T17:34:36"/>
        <d v="2024-03-25T08:41:54"/>
        <d v="2024-03-25T12:05:10"/>
        <d v="2024-03-25T15:20:34"/>
        <d v="2024-03-25T15:46:27"/>
        <d v="2024-03-26T11:14:04"/>
        <d v="2024-03-26T11:17:48"/>
        <d v="2024-03-26T11:22:32"/>
        <d v="2024-03-26T16:38:36"/>
        <d v="2024-03-26T16:52:57"/>
        <d v="2024-03-26T18:20:19"/>
        <d v="2024-03-27T11:02:41"/>
        <d v="2024-03-27T11:57:17"/>
        <d v="2024-03-27T12:14:07"/>
        <d v="2024-03-27T13:22:47"/>
        <d v="2024-03-27T14:25:25"/>
        <d v="2024-03-27T15:24:02"/>
        <d v="2024-03-27T15:54:34"/>
        <d v="2024-03-27T16:10:29"/>
        <d v="2024-03-27T16:41:49"/>
        <d v="2024-03-27T16:42:27"/>
        <d v="2024-03-27T17:07:04"/>
        <d v="2024-03-27T17:45:34"/>
        <d v="2024-03-27T18:33:24"/>
        <d v="2024-03-27T19:27:21"/>
        <d v="2024-03-27T19:28:38"/>
        <d v="2024-03-28T09:03:20"/>
        <d v="2024-03-28T11:52:26"/>
        <d v="2024-03-28T16:40:27"/>
        <d v="2024-03-28T16:54:04"/>
        <d v="2024-03-29T08:59:51"/>
        <d v="2024-03-29T09:05:35"/>
        <d v="2024-03-29T09:27:53"/>
        <d v="2024-03-29T09:55:42"/>
        <d v="2024-03-29T16:19:42"/>
        <d v="2024-03-29T18:50:01"/>
        <d v="2024-03-30T08:09:16"/>
        <d v="2024-03-30T10:33:11"/>
        <d v="2024-03-30T17:55:01"/>
        <d v="2024-03-31T11:36:20"/>
        <d v="2024-03-31T12:22:31"/>
        <d v="2024-04-01T10:29:22"/>
        <d v="2024-04-01T12:33:11"/>
        <d v="2024-04-01T13:07:43"/>
        <d v="2024-04-01T14:30:26"/>
        <d v="2024-04-01T14:32:53"/>
        <d v="2024-04-01T15:17:50"/>
        <d v="2024-04-01T15:40:26"/>
        <d v="2024-04-01T17:13:38"/>
        <d v="2024-04-01T17:54:09"/>
        <d v="2024-04-02T09:26:28"/>
        <d v="2024-04-02T11:10:50"/>
        <d v="2024-04-02T17:04:12"/>
        <d v="2024-04-03T07:43:30"/>
        <d v="2024-04-03T08:19:43"/>
        <d v="2024-04-03T08:52:49"/>
        <d v="2024-04-04T10:11:53"/>
        <d v="2024-04-04T10:37:43"/>
        <d v="2024-04-04T12:34:58"/>
        <d v="2024-04-04T13:09:00"/>
        <d v="2024-04-04T17:31:31"/>
        <d v="2024-04-04T19:41:00"/>
        <d v="2024-04-05T08:29:31"/>
        <d v="2024-04-05T08:59:08"/>
        <d v="2024-04-06T16:07:54"/>
        <d v="2024-04-07T08:53:17"/>
        <d v="2024-04-07T10:17:48"/>
        <d v="2024-04-07T10:54:22"/>
        <d v="2024-04-07T12:26:38"/>
        <d v="2024-04-08T09:55:18"/>
        <d v="2024-04-08T10:52:18"/>
        <d v="2024-04-08T15:35:38"/>
        <d v="2024-04-08T16:16:20"/>
        <d v="2024-04-08T20:47:27"/>
        <d v="2024-04-09T08:04:57"/>
        <d v="2024-04-09T09:47:34"/>
        <d v="2024-04-09T19:40:10"/>
        <d v="2024-04-09T20:01:04"/>
        <d v="2024-04-10T10:53:10"/>
        <d v="2024-04-10T15:16:41"/>
        <d v="2024-04-10T15:41:12"/>
        <d v="2024-04-11T10:20:36"/>
        <d v="2024-04-11T12:48:10"/>
        <d v="2024-04-12T08:00:53"/>
        <d v="2024-04-12T08:37:17"/>
        <d v="2024-04-12T15:58:20"/>
        <d v="2024-04-12T18:06:48"/>
        <d v="2024-04-13T11:20:40"/>
        <d v="2024-04-13T12:04:21"/>
        <d v="2024-04-13T15:54:03"/>
        <d v="2024-04-15T08:16:16"/>
        <d v="2024-04-15T10:29:41"/>
        <d v="2024-04-15T10:35:03"/>
        <d v="2024-04-15T11:45:17"/>
        <d v="2024-04-15T15:44:16"/>
        <d v="2024-04-16T14:10:26"/>
        <d v="2024-04-17T09:10:53"/>
        <d v="2024-04-17T09:19:56"/>
        <d v="2024-04-17T13:25:45"/>
        <d v="2024-04-17T14:17:55"/>
        <d v="2024-04-17T14:26:39"/>
        <d v="2024-04-18T08:20:19"/>
        <d v="2024-04-18T11:57:09"/>
        <d v="2024-04-18T18:34:01"/>
        <d v="2024-04-18T19:25:18"/>
        <d v="2024-04-19T10:21:42"/>
        <d v="2024-04-19T11:21:37"/>
        <d v="2024-04-19T11:25:43"/>
        <d v="2024-04-19T19:09:18"/>
        <d v="2024-04-20T09:12:25"/>
        <d v="2024-04-20T09:52:02"/>
        <d v="2024-04-20T17:27:08"/>
        <d v="2024-04-20T17:37:49"/>
        <d v="2024-04-21T11:12:33"/>
        <d v="2024-04-21T12:20:06"/>
        <d v="2024-04-22T08:29:35"/>
        <d v="2024-04-22T09:08:26"/>
        <d v="2024-04-22T09:51:06"/>
        <d v="2024-04-22T10:16:51"/>
        <d v="2024-04-22T11:13:18"/>
        <d v="2024-04-22T11:41:29"/>
        <d v="2024-04-22T16:40:46"/>
        <d v="2024-04-22T17:03:01"/>
        <d v="2024-04-22T18:00:07"/>
        <d v="2024-04-23T08:58:36"/>
        <d v="2024-04-23T09:57:47"/>
        <d v="2024-04-23T11:19:44"/>
        <d v="2024-04-23T12:26:36"/>
        <d v="2024-04-24T09:45:33"/>
        <d v="2024-04-24T10:51:08"/>
        <d v="2024-04-24T12:47:32"/>
        <d v="2024-04-24T14:21:11"/>
        <d v="2024-04-25T09:00:32"/>
        <d v="2024-04-25T09:54:39"/>
        <d v="2024-04-25T15:54:48"/>
        <d v="2024-04-25T16:21:43"/>
        <d v="2024-04-25T19:04:06"/>
        <d v="2024-04-26T09:48:46"/>
        <d v="2024-04-26T10:00:07"/>
        <d v="2024-04-26T13:52:35"/>
        <d v="2024-04-26T17:00:10"/>
        <d v="2024-04-27T09:22:56"/>
        <d v="2024-04-27T09:42:47"/>
        <d v="2024-04-27T19:14:03"/>
        <d v="2024-04-28T16:01:56"/>
        <d v="2024-04-28T16:22:09"/>
        <d v="2024-04-28T17:39:10"/>
        <d v="2024-04-29T08:48:57"/>
        <d v="2024-04-29T11:01:23"/>
        <d v="2024-04-30T17:47:47"/>
        <d v="2024-05-01T09:13:04"/>
        <d v="2024-05-02T09:46:48"/>
        <d v="2024-05-02T10:26:46"/>
        <d v="2024-05-02T11:51:19"/>
        <d v="2024-05-02T16:26:58"/>
        <d v="2024-05-02T17:14:39"/>
        <d v="2024-05-02T17:25:23"/>
        <d v="2024-05-02T18:13:56"/>
        <d v="2024-05-03T10:35:05"/>
        <d v="2024-05-03T11:51:00"/>
        <d v="2024-05-03T13:11:36"/>
        <d v="2024-05-03T14:33:27"/>
        <d v="2024-05-03T16:26:57"/>
        <d v="2024-05-03T16:39:43"/>
        <d v="2024-05-04T09:42:56"/>
        <d v="2024-05-04T10:33:54"/>
        <d v="2024-05-05T10:20:16"/>
        <d v="2024-05-05T11:51:29"/>
        <d v="2024-05-06T16:13:49"/>
        <d v="2024-05-06T16:31:00"/>
        <d v="2024-05-07T09:59:30"/>
        <d v="2024-05-07T11:15:01"/>
        <d v="2024-05-07T16:17:45"/>
        <d v="2024-05-07T17:00:40"/>
        <d v="2024-05-08T09:33:40"/>
        <d v="2024-05-08T10:44:18"/>
        <d v="2024-05-08T14:29:44"/>
        <d v="2024-05-08T17:04:37"/>
        <d v="2024-05-08T18:34:09"/>
        <d v="2024-05-08T18:55:19"/>
        <d v="2024-05-08T19:18:52"/>
        <d v="2024-05-08T22:32:45"/>
        <d v="2024-05-09T08:19:32"/>
        <d v="2024-05-09T08:46:43"/>
        <d v="2024-05-09T10:37:28"/>
        <d v="2024-05-09T11:11:33"/>
        <d v="2024-05-09T11:20:39"/>
        <d v="2024-05-09T14:41:58"/>
        <d v="2024-05-09T16:52:18"/>
        <d v="2024-05-09T17:01:00"/>
        <d v="2024-05-10T09:22:53"/>
        <d v="2024-05-10T12:26:41"/>
        <d v="2024-05-10T13:45:24"/>
        <d v="2024-05-10T18:41:45"/>
        <d v="2024-05-11T12:41:46"/>
        <d v="2024-05-11T12:51:20"/>
        <d v="2024-05-11T14:37:03"/>
        <d v="2024-05-12T09:33:52"/>
        <d v="2024-05-10T19:00:00"/>
        <d v="2024-05-13T09:25:39"/>
        <d v="2024-05-13T09:46:34"/>
        <d v="2024-05-13T11:44:02"/>
        <d v="2024-05-13T12:35:15"/>
        <d v="2024-05-13T15:55:30"/>
        <d v="2024-05-13T16:05:24"/>
        <d v="2024-05-13T17:42:35"/>
        <d v="2024-05-13T18:26:28"/>
        <d v="2024-05-14T08:30:03"/>
        <d v="2024-05-14T08:47:30"/>
        <d v="2024-05-14T08:49:08"/>
        <d v="2024-05-14T10:09:19"/>
        <d v="2024-05-14T11:18:45"/>
        <d v="2024-05-14T12:18:42"/>
        <d v="2024-05-14T12:30:29"/>
        <d v="2024-05-14T12:39:28"/>
        <d v="2024-05-14T14:26:15"/>
        <d v="2024-05-14T15:10:07"/>
        <d v="2024-05-14T15:49:16"/>
        <d v="2024-05-14T16:18:08"/>
        <d v="2024-05-14T17:43:20"/>
        <d v="2024-05-14T18:32:41"/>
        <d v="2024-05-14T18:33:30"/>
        <d v="2024-05-15T09:04:22"/>
        <d v="2024-05-15T09:38:53"/>
        <d v="2024-05-15T09:51:21"/>
        <d v="2024-05-15T10:22:34"/>
        <d v="2024-05-15T10:25:01"/>
        <d v="2024-05-15T10:59:13"/>
        <d v="2024-05-15T11:11:11"/>
        <d v="2024-05-16T08:43:55"/>
        <d v="2024-05-16T09:01:17"/>
        <d v="2024-05-16T09:50:13"/>
        <d v="2024-05-16T11:19:09"/>
        <d v="2024-05-16T17:05:43"/>
        <d v="2024-05-16T18:50:48"/>
        <d v="2024-05-17T09:15:09"/>
        <d v="2024-05-17T09:32:14"/>
        <d v="2024-05-17T09:59:06"/>
        <d v="2024-05-17T11:50:00"/>
        <d v="2024-05-17T13:41:33"/>
        <d v="2024-05-17T15:53:53"/>
        <d v="2024-05-17T16:34:33"/>
        <d v="2024-05-17T18:09:06"/>
        <d v="2024-05-18T11:19:30"/>
        <d v="2024-05-18T12:04:22"/>
        <d v="2024-05-18T12:52:58"/>
        <d v="2024-05-18T13:22:12"/>
        <d v="2024-05-18T13:53:16"/>
        <d v="2024-05-20T09:32:16"/>
        <d v="2024-05-20T09:56:46"/>
        <d v="2024-05-20T10:58:33"/>
        <d v="2024-05-20T12:54:52"/>
        <d v="2024-05-20T17:21:37"/>
        <d v="2024-05-21T09:09:20"/>
        <d v="2024-05-21T12:39:04"/>
        <d v="2024-05-21T12:50:17"/>
        <d v="2024-05-21T19:31:43"/>
        <d v="2024-05-22T08:45:20"/>
        <d v="2024-05-22T09:21:20"/>
        <d v="2024-05-22T09:47:17"/>
        <d v="2024-05-22T15:18:39"/>
        <d v="2024-05-23T07:40:59"/>
        <d v="2024-05-23T10:49:43"/>
        <d v="2024-05-23T11:43:20"/>
        <d v="2024-05-23T13:52:35"/>
        <d v="2024-05-23T13:53:17"/>
        <d v="2024-05-23T14:36:57"/>
        <d v="2024-05-23T15:44:16"/>
        <d v="2024-05-24T08:53:34"/>
        <d v="2024-05-24T10:37:22"/>
        <d v="2024-05-24T10:55:28"/>
        <d v="2024-05-24T11:14:10"/>
        <d v="2024-05-24T11:30:36"/>
        <d v="2024-05-24T11:43:44"/>
        <d v="2024-05-24T21:14:31"/>
        <d v="2024-05-25T09:04:09"/>
        <d v="2024-05-25T09:28:43"/>
        <d v="2024-05-25T09:54:20"/>
        <d v="2024-05-25T10:05:04"/>
        <d v="2024-05-25T12:28:05"/>
        <d v="2024-05-25T13:00:00"/>
        <d v="2024-05-25T18:45:38"/>
        <d v="2024-05-26T11:30:28"/>
        <d v="2024-05-26T14:05:56"/>
        <d v="2024-05-26T16:47:27"/>
        <d v="2024-05-26T17:02:16"/>
        <d v="2024-05-27T12:05:17"/>
        <d v="2024-05-27T15:19:00"/>
        <d v="2024-05-27T16:14:00"/>
        <d v="2024-05-27T17:51:07"/>
        <d v="2024-05-27T18:09:08"/>
        <d v="2024-05-28T09:55:40"/>
        <d v="2024-05-28T11:44:53"/>
        <d v="2024-05-28T13:53:50"/>
        <d v="2024-05-28T17:01:06"/>
        <d v="2024-05-28T18:13:43"/>
        <d v="2024-05-28T18:15:43"/>
        <d v="2024-05-29T09:52:49"/>
        <d v="2024-05-29T11:10:13"/>
        <d v="2024-05-29T13:10:15"/>
        <d v="2024-05-29T14:34:41"/>
        <d v="2024-05-30T09:17:17"/>
        <d v="2024-05-30T13:47:18"/>
        <d v="2024-05-30T13:50:43"/>
        <d v="2024-05-30T16:29:14"/>
        <d v="2024-05-30T17:53:52"/>
        <d v="2024-05-30T18:04:18"/>
        <d v="2024-05-30T19:15:32"/>
        <d v="2024-05-31T10:29:58"/>
        <d v="2024-06-01T11:52:41"/>
        <d v="2024-06-01T14:49:16"/>
        <d v="2024-06-02T10:11:04"/>
        <d v="2024-06-02T17:01:52"/>
        <d v="2024-06-03T08:29:40"/>
        <d v="2024-06-03T09:23:50"/>
        <d v="2024-06-03T13:45:48"/>
        <d v="2024-06-03T14:50:42"/>
        <d v="2024-06-03T17:32:52"/>
        <d v="2024-06-04T07:41:55"/>
        <d v="2024-06-04T09:49:17"/>
        <d v="2024-06-04T17:22:42"/>
        <d v="2024-06-05T08:36:26"/>
        <d v="2024-06-05T08:52:00"/>
        <d v="2024-06-05T10:35:11"/>
        <d v="2024-06-05T11:55:17"/>
        <d v="2024-06-05T14:17:54"/>
        <m/>
        <s v=" "/>
        <d v="2022-11-30T11:13:07" u="1"/>
        <d v="2023-01-11T11:39:42" u="1"/>
        <d v="2023-01-24T15:41:02" u="1"/>
        <d v="2022-12-01T14:36:16" u="1"/>
        <d v="2023-01-03T15:12:14" u="1"/>
        <d v="2023-01-03T15:16:24" u="1"/>
        <d v="2023-01-27T08:57:13" u="1"/>
        <d v="2023-03-02T13:48:48" u="1"/>
        <d v="2023-03-17T12:06:17" u="1"/>
        <d v="2023-04-19T14:42:53" u="1"/>
        <d v="2023-04-20T09:23:41" u="1"/>
        <d v="2023-04-24T16:16:16" u="1"/>
        <d v="2023-05-04T15:48:47" u="1"/>
        <d v="2023-05-08T10:53:40" u="1"/>
        <d v="2023-05-08T14:58:32" u="1"/>
        <d v="2023-05-30T18:31:38" u="1"/>
        <d v="2023-05-30T19:24:47" u="1"/>
        <d v="2023-05-31T10:18:43" u="1"/>
        <d v="2023-05-31T15:07:01" u="1"/>
        <d v="2023-05-31T16:02:06" u="1"/>
        <d v="2023-06-01T08:50:43" u="1"/>
        <d v="2023-06-01T12:41:46" u="1"/>
        <d v="2023-06-02T17:51:40" u="1"/>
        <d v="2023-06-04T10:00:46" u="1"/>
        <d v="2023-06-04T16:10:49" u="1"/>
        <d v="2023-06-05T11:24:20" u="1"/>
        <d v="2023-06-05T18:06:49" u="1"/>
        <d v="2023-06-05T18:24:05" u="1"/>
        <d v="2023-06-06T09:18:33" u="1"/>
        <d v="2023-06-06T09:27:45" u="1"/>
        <d v="2023-06-06T10:12:38" u="1"/>
        <d v="2023-06-06T12:00:04" u="1"/>
        <d v="2023-06-06T13:00:44" u="1"/>
        <d v="2023-06-06T15:35:59" u="1"/>
        <d v="2023-06-06T17:34:01" u="1"/>
        <d v="2023-06-07T12:31:59" u="1"/>
        <d v="2023-06-07T15:10:23" u="1"/>
        <d v="2023-06-07T15:47:38" u="1"/>
        <d v="2023-06-07T16:56:30" u="1"/>
        <d v="2023-06-07T18:51:34" u="1"/>
        <d v="2023-06-08T07:35:56" u="1"/>
        <d v="2023-06-08T08:22:36" u="1"/>
        <d v="2023-06-08T09:18:11" u="1"/>
        <d v="2023-06-08T10:23:10" u="1"/>
        <d v="2023-06-08T14:34:49" u="1"/>
        <d v="2023-06-08T15:13:51" u="1"/>
        <d v="2023-06-08T17:09:56" u="1"/>
        <d v="2023-06-08T17:55:03" u="1"/>
        <d v="2023-06-09T09:44:16" u="1"/>
        <d v="2023-06-09T11:23:33" u="1"/>
        <d v="2023-06-09T12:14:50" u="1"/>
        <d v="2023-06-09T13:38:16" u="1"/>
        <d v="2023-06-10T08:06:26" u="1"/>
        <d v="2023-06-10T09:26:24" u="1"/>
        <d v="2023-06-10T10:23:07" u="1"/>
        <d v="2023-06-10T11:55:57" u="1"/>
        <d v="2023-06-10T12:57:34" u="1"/>
        <d v="2023-06-10T13:29:36" u="1"/>
        <d v="2023-06-10T17:00:12" u="1"/>
        <d v="2023-06-10T17:18:18" u="1"/>
        <d v="2023-06-10T17:40:49" u="1"/>
        <d v="2023-06-10T18:02:01" u="1"/>
        <d v="2023-06-11T09:43:41" u="1"/>
        <d v="2023-06-11T11:45:56" u="1"/>
        <d v="2023-06-11T12:33:59" u="1"/>
        <d v="2023-06-11T17:29:05" u="1"/>
        <d v="2023-06-12T09:24:06" u="1"/>
        <d v="2023-06-12T10:08:05" u="1"/>
        <d v="2023-06-12T11:57:28" u="1"/>
        <d v="2023-06-13T09:40:05" u="1"/>
        <d v="2023-06-13T09:58:13" u="1"/>
        <d v="2023-06-13T10:50:12" u="1"/>
        <d v="2023-06-13T13:49:08" u="1"/>
        <d v="2023-06-13T16:42:56" u="1"/>
        <d v="2023-06-13T17:17:57" u="1"/>
        <d v="2023-06-14T13:07:21" u="1"/>
        <d v="2023-06-14T14:54:19" u="1"/>
        <d v="2023-06-14T15:14:49" u="1"/>
        <d v="2023-06-14T17:38:15" u="1"/>
        <d v="2023-06-14T18:50:53" u="1"/>
        <d v="2023-06-15T13:55:39" u="1"/>
        <d v="2023-06-15T15:26:28" u="1"/>
        <d v="2023-06-16T13:16:57" u="1"/>
        <d v="2023-06-16T14:54:13" u="1"/>
        <d v="2023-06-16T17:01:53" u="1"/>
        <d v="2023-06-17T10:16:40" u="1"/>
        <d v="2023-06-17T17:17:23" u="1"/>
        <d v="2023-06-18T14:56:02" u="1"/>
        <d v="2023-06-19T13:10:50" u="1"/>
        <d v="2023-06-19T13:16:53" u="1"/>
        <d v="2023-06-19T14:19:01" u="1"/>
        <d v="2023-06-19T16:33:43" u="1"/>
        <d v="2023-06-19T16:37:31" u="1"/>
        <d v="2023-06-19T18:47:53" u="1"/>
        <d v="2023-06-20T11:47:29" u="1"/>
        <d v="2023-06-20T14:16:10" u="1"/>
        <d v="2023-06-21T08:20:38" u="1"/>
        <d v="2023-06-21T08:45:52" u="1"/>
        <d v="2023-06-21T12:04:11" u="1"/>
        <d v="2023-06-22T09:00:55" u="1"/>
        <d v="2023-06-22T12:26:04" u="1"/>
        <d v="2023-06-22T13:23:49" u="1"/>
        <d v="2023-06-22T16:16:37" u="1"/>
        <d v="2023-06-23T08:47:29" u="1"/>
        <d v="2023-06-23T10:42:35" u="1"/>
        <d v="2023-06-24T14:41:50" u="1"/>
        <d v="2023-06-25T16:17:03" u="1"/>
        <d v="2023-06-26T09:20:21" u="1"/>
        <d v="2023-06-26T15:25:03" u="1"/>
        <d v="2023-06-26T15:38:38" u="1"/>
        <d v="2023-06-26T17:21:20" u="1"/>
        <d v="2023-06-27T17:55:43" u="1"/>
        <d v="2023-06-27T19:37:06" u="1"/>
        <d v="2023-06-28T12:23:41" u="1"/>
        <d v="2023-06-28T16:48:39" u="1"/>
        <d v="2023-06-28T18:13:15" u="1"/>
        <d v="2023-06-29T09:24:21" u="1"/>
        <d v="2023-06-29T11:46:13" u="1"/>
        <d v="2023-06-29T14:54:07" u="1"/>
        <d v="2023-06-29T17:38:07" u="1"/>
        <d v="2023-06-29T18:31:45" u="1"/>
        <d v="2023-06-30T10:49:01" u="1"/>
        <d v="2023-06-30T11:40:26" u="1"/>
        <d v="2023-06-30T15:40:01" u="1"/>
        <d v="2023-07-01T10:44:55" u="1"/>
        <d v="2023-07-01T11:58:26" u="1"/>
        <d v="2023-07-01T16:33:47" u="1"/>
        <d v="2023-07-01T16:59:51" u="1"/>
        <d v="2023-07-02T09:37:38" u="1"/>
        <d v="2023-07-03T19:43:53" u="1"/>
        <d v="2023-07-04T09:46:02" u="1"/>
        <d v="2023-07-05T08:42:20" u="1"/>
        <d v="2023-07-05T10:08:50" u="1"/>
        <d v="2023-07-05T13:15:55" u="1"/>
        <d v="2023-07-05T13:50:25" u="1"/>
        <d v="2023-07-05T15:32:43" u="1"/>
        <d v="2023-07-05T16:55:57" u="1"/>
        <d v="2023-07-05T19:21:20" u="1"/>
        <d v="2023-07-06T10:58:41" u="1"/>
        <d v="2023-07-06T14:04:59" u="1"/>
        <d v="2023-07-06T14:52:43" u="1"/>
        <d v="2023-07-06T18:09:54" u="1"/>
        <d v="2023-07-07T15:19:01" u="1"/>
        <d v="2023-07-07T17:07:20" u="1"/>
        <d v="2023-07-07T17:45:42" u="1"/>
        <d v="2023-07-08T13:39:29" u="1"/>
        <d v="2023-07-08T16:55:18" u="1"/>
        <d v="2023-07-09T14:10:32" u="1"/>
        <d v="2023-07-10T09:34:43" u="1"/>
        <d v="2023-07-10T10:46:30" u="1"/>
        <d v="2023-07-10T12:02:17" u="1"/>
        <d v="2023-07-10T12:33:54" u="1"/>
        <d v="2023-07-10T12:59:31" u="1"/>
        <d v="2023-07-11T13:06:21" u="1"/>
        <d v="2023-07-11T13:41:20" u="1"/>
        <d v="2023-07-11T17:47:13" u="1"/>
        <d v="2023-07-12T14:48:56" u="1"/>
        <d v="2023-07-12T18:00:02" u="1"/>
        <d v="2023-07-13T08:57:01" u="1"/>
        <d v="2023-07-13T12:15:31" u="1"/>
        <d v="2023-07-13T12:45:00" u="1"/>
        <d v="2023-07-13T16:10:37" u="1"/>
        <d v="2023-07-13T17:55:16" u="1"/>
        <d v="2023-07-14T10:28:03" u="1"/>
        <d v="2023-07-14T12:29:41" u="1"/>
        <d v="2023-07-14T17:38:38" u="1"/>
        <d v="2023-07-15T14:03:53" u="1"/>
        <d v="2023-07-15T14:09:57" u="1"/>
        <d v="2023-07-17T09:48:22" u="1"/>
        <d v="2023-07-17T10:34:09" u="1"/>
        <d v="2023-07-17T14:26:48" u="1"/>
        <d v="2023-07-18T11:12:13" u="1"/>
        <d v="2023-07-19T08:10:47" u="1"/>
        <d v="2023-07-19T09:38:57" u="1"/>
        <d v="2023-07-19T12:18:37" u="1"/>
        <d v="2023-07-19T15:32:24" u="1"/>
        <d v="2023-07-19T16:34:55" u="1"/>
        <d v="2023-07-20T18:35:37" u="1"/>
        <d v="2023-07-21T10:50:19" u="1"/>
        <d v="2023-07-21T13:28:47" u="1"/>
        <d v="2023-07-22T09:09:37" u="1"/>
        <d v="2023-07-22T10:09:36" u="1"/>
        <d v="2023-07-23T09:41:50" u="1"/>
        <d v="2023-07-23T11:52:06" u="1"/>
        <d v="2023-07-24T13:34:58" u="1"/>
        <d v="2023-07-26T10:00:07" u="1"/>
        <d v="2023-07-26T11:10:41" u="1"/>
        <d v="2023-07-26T18:07:03" u="1"/>
        <d v="2023-07-27T09:07:31" u="1"/>
        <d v="2023-07-29T11:31:01" u="1"/>
        <d v="2023-07-29T18:56:31" u="1"/>
        <d v="2023-08-01T15:09:46" u="1"/>
        <d v="2023-08-01T16:27:11" u="1"/>
        <d v="2023-08-02T16:29:25" u="1"/>
        <d v="2023-08-03T09:08:27" u="1"/>
        <d v="2023-08-03T09:18:53" u="1"/>
        <d v="2023-08-03T15:51:41" u="1"/>
        <d v="2023-08-03T17:46:30" u="1"/>
        <d v="2023-08-04T09:16:44" u="1"/>
        <d v="2023-08-04T11:57:21" u="1"/>
        <d v="2023-08-04T16:21:28" u="1"/>
        <d v="2023-08-05T09:45:48" u="1"/>
        <d v="2023-08-05T12:16:25" u="1"/>
        <d v="2023-08-05T12:27:02" u="1"/>
        <d v="2023-08-05T13:08:04" u="1"/>
        <d v="2023-08-05T18:43:52" u="1"/>
        <d v="2023-08-07T10:23:09" u="1"/>
        <d v="2023-08-07T12:52:10" u="1"/>
        <d v="2023-08-07T18:56:03" u="1"/>
        <d v="2023-08-08T09:20:54" u="1"/>
        <d v="2023-08-09T08:40:56" u="1"/>
        <d v="2023-08-09T11:57:52" u="1"/>
        <d v="2023-08-10T08:11:34" u="1"/>
        <d v="2023-08-10T10:46:13" u="1"/>
        <d v="2023-08-10T14:10:29" u="1"/>
        <d v="2023-08-10T16:24:58" u="1"/>
        <d v="2023-08-11T08:56:16" u="1"/>
        <d v="2023-08-11T17:54:47" u="1"/>
        <d v="2023-08-12T14:20:40" u="1"/>
        <d v="2023-08-12T18:27:39" u="1"/>
        <d v="2023-08-14T09:28:05" u="1"/>
        <d v="2023-08-14T11:14:54" u="1"/>
        <d v="2023-08-14T16:02:51" u="1"/>
        <d v="2023-08-15T07:26:02" u="1"/>
        <d v="2023-08-15T18:38:10" u="1"/>
        <d v="2023-08-15T19:22:33" u="1"/>
        <d v="2023-08-17T11:54:40" u="1"/>
        <d v="2023-08-17T15:21:35" u="1"/>
        <d v="2023-08-17T15:56:29" u="1"/>
        <d v="2023-08-17T17:15:46" u="1"/>
        <d v="2023-08-17T17:15:53" u="1"/>
        <d v="2023-08-18T10:01:29" u="1"/>
        <d v="2023-08-18T11:30:09" u="1"/>
        <d v="2023-08-18T15:28:40" u="1"/>
        <d v="2023-08-19T11:30:39" u="1"/>
        <d v="2023-08-19T11:37:27" u="1"/>
        <d v="2023-08-19T15:07:09" u="1"/>
        <d v="2023-08-19T16:29:54" u="1"/>
        <d v="2023-08-20T09:49:59" u="1"/>
        <d v="2023-08-21T14:34:09" u="1"/>
        <d v="2023-08-21T16:13:31" u="1"/>
        <d v="2023-08-22T16:29:05" u="1"/>
        <d v="2023-08-22T16:46:15" u="1"/>
        <d v="2023-08-23T09:28:42" u="1"/>
        <d v="2023-08-23T09:36:31" u="1"/>
        <d v="2023-08-23T11:24:55" u="1"/>
        <d v="2023-08-23T16:02:06" u="1"/>
        <d v="2023-08-25T16:11:26" u="1"/>
        <d v="2023-08-26T15:00:35" u="1"/>
        <d v="2023-08-28T13:06:51" u="1"/>
        <d v="2023-08-28T18:59:57" u="1"/>
        <d v="2023-08-29T12:01:51" u="1"/>
        <d v="2023-08-30T08:56:15" u="1"/>
        <d v="2023-08-30T09:09:55" u="1"/>
        <d v="2023-08-31T08:39:10" u="1"/>
        <d v="2023-08-31T10:22:27" u="1"/>
        <d v="2023-08-31T18:38:06" u="1"/>
        <d v="2023-09-01T18:04:44" u="1"/>
        <d v="2023-09-01T18:20:52" u="1"/>
        <d v="2023-09-02T13:20:04" u="1"/>
        <d v="2023-09-02T17:43:53" u="1"/>
        <d v="2023-09-04T10:40:53" u="1"/>
        <d v="2023-09-04T17:13:15" u="1"/>
        <d v="2023-09-06T08:52:01" u="1"/>
        <d v="2023-09-06T11:47:18" u="1"/>
        <d v="2023-09-08T09:52:04" u="1"/>
        <d v="2023-09-08T11:13:53" u="1"/>
        <d v="2023-09-08T12:03:54" u="1"/>
        <d v="2023-09-08T15:46:43" u="1"/>
        <d v="2023-09-09T14:40:44" u="1"/>
        <d v="2023-09-09T17:12:44" u="1"/>
        <d v="2023-09-09T18:11:59" u="1"/>
        <d v="2023-09-10T12:15:49" u="1"/>
        <d v="2023-09-10T17:58:14" u="1"/>
        <d v="2023-09-11T14:57:37" u="1"/>
        <d v="2023-09-12T14:54:46" u="1"/>
        <d v="2023-09-13T14:29:31" u="1"/>
        <d v="2023-09-14T17:25:38" u="1"/>
        <d v="2023-09-16T14:50:02" u="1"/>
        <d v="2023-09-16T15:38:29" u="1"/>
        <d v="2023-09-18T10:28:35" u="1"/>
        <d v="2023-09-18T19:06:33" u="1"/>
        <d v="2023-09-19T10:41:40" u="1"/>
        <d v="2023-09-19T11:33:27" u="1"/>
        <d v="2023-09-20T15:10:40" u="1"/>
        <d v="2023-09-21T12:25:26" u="1"/>
        <d v="2023-09-21T17:49:33" u="1"/>
        <d v="2023-09-22T08:30:29" u="1"/>
        <d v="2023-09-22T10:31:14" u="1"/>
        <d v="2023-09-22T16:00:26" u="1"/>
        <d v="2023-09-24T17:26:57" u="1"/>
        <d v="2023-09-24T19:36:17" u="1"/>
        <d v="2023-09-25T12:56:49" u="1"/>
        <d v="2023-09-26T16:16:35" u="1"/>
        <d v="2023-09-27T17:52:14" u="1"/>
        <d v="2023-09-29T08:32:56" u="1"/>
        <d v="2023-09-29T12:01:51" u="1"/>
        <d v="2023-09-30T08:42:29" u="1"/>
        <d v="2023-10-01T17:33:33" u="1"/>
        <d v="2023-10-02T08:49:03" u="1"/>
        <d v="2023-10-03T09:06:50" u="1"/>
        <d v="2023-10-03T11:13:46" u="1"/>
        <d v="2023-10-03T12:02:06" u="1"/>
        <d v="2023-10-04T09:34:50" u="1"/>
        <d v="2023-10-04T11:17:26" u="1"/>
        <d v="2023-10-04T12:21:16" u="1"/>
        <d v="2023-10-04T14:51:29" u="1"/>
        <d v="2023-10-04T16:24:04" u="1"/>
        <d v="2023-10-05T08:53:13" u="1"/>
        <d v="2023-10-05T11:48:20" u="1"/>
        <d v="2023-10-05T13:37:27" u="1"/>
        <d v="2023-10-05T17:20:47" u="1"/>
        <d v="2023-10-05T18:32:12" u="1"/>
        <d v="2023-10-06T08:52:45" u="1"/>
        <d v="2023-10-06T13:51:49" u="1"/>
        <d v="2023-10-07T08:15:56" u="1"/>
        <d v="2023-10-07T16:29:38" u="1"/>
        <d v="2023-10-08T09:12:48" u="1"/>
        <d v="2023-10-09T11:33:15" u="1"/>
        <d v="2023-10-09T15:35:49" u="1"/>
        <d v="2023-10-10T09:38:14" u="1"/>
        <d v="2023-10-10T09:41:40" u="1"/>
        <d v="2023-10-10T10:32:55" u="1"/>
        <d v="2023-10-10T10:41:48" u="1"/>
        <d v="2023-10-10T13:42:49" u="1"/>
        <d v="2023-10-10T16:15:06" u="1"/>
        <d v="2023-10-12T16:08:40" u="1"/>
        <d v="2023-10-12T19:25:31" u="1"/>
        <d v="2023-10-13T11:25:03" u="1"/>
        <d v="2023-10-13T18:27:11" u="1"/>
        <d v="2023-10-14T12:34:40" u="1"/>
        <d v="2023-10-15T08:24:10" u="1"/>
        <d v="2023-10-15T10:58:47" u="1"/>
        <d v="2023-10-16T08:41:09" u="1"/>
        <d v="2023-10-16T17:23:12" u="1"/>
        <d v="2023-10-17T09:32:52" u="1"/>
        <d v="2023-10-17T16:45:18" u="1"/>
        <d v="2023-10-17T17:22:39" u="1"/>
        <d v="2023-10-17T17:51:49" u="1"/>
        <d v="2023-10-18T18:58:00" u="1"/>
        <d v="2023-10-20T08:56:24" u="1"/>
        <d v="2023-10-21T13:14:19" u="1"/>
        <d v="2023-10-21T13:44:15" u="1"/>
        <d v="2023-10-21T16:11:40" u="1"/>
        <d v="2023-10-21T16:27:54" u="1"/>
        <d v="2023-10-22T09:16:10" u="1"/>
        <d v="2023-10-23T08:29:12" u="1"/>
        <d v="2023-10-23T15:47:28" u="1"/>
        <d v="2023-10-23T17:46:11" u="1"/>
        <d v="2023-10-24T11:00:46" u="1"/>
        <d v="2023-10-24T11:16:05" u="1"/>
        <d v="2023-10-24T13:30:18" u="1"/>
        <d v="2023-10-25T08:31:37" u="1"/>
        <d v="2023-10-25T09:01:19" u="1"/>
        <d v="2023-10-25T15:58:04" u="1"/>
        <d v="2023-10-26T10:35:36" u="1"/>
        <d v="2023-10-27T17:02:20" u="1"/>
        <d v="2023-10-27T19:37:53" u="1"/>
        <d v="2023-10-29T19:42:33" u="1"/>
        <d v="2023-10-30T11:52:41" u="1"/>
        <d v="2023-10-30T16:18:56" u="1"/>
        <d v="2023-10-30T18:39:33" u="1"/>
        <d v="2023-10-31T12:50:55" u="1"/>
        <d v="2023-11-01T10:15:38" u="1"/>
        <d v="2023-11-01T14:41:38" u="1"/>
        <d v="2023-11-02T11:50:59" u="1"/>
        <d v="2023-11-02T14:02:25" u="1"/>
        <d v="2023-11-03T09:01:17" u="1"/>
        <d v="2023-11-03T10:43:41" u="1"/>
        <d v="2023-11-05T14:12:40" u="1"/>
        <d v="2023-11-07T09:38:52" u="1"/>
        <d v="2023-11-08T12:30:08" u="1"/>
        <d v="2023-11-14T13:26:49" u="1"/>
        <d v="2023-11-14T14:39:17" u="1"/>
        <d v="2023-11-15T09:28:17" u="1"/>
        <d v="2023-11-15T13:35:14" u="1"/>
        <d v="2023-11-15T18:14:31" u="1"/>
        <d v="2023-11-16T10:45:15" u="1"/>
        <d v="2023-11-17T12:20:25" u="1"/>
        <d v="2023-11-19T10:18:30" u="1"/>
        <d v="2023-11-19T13:26:03" u="1"/>
        <d v="2023-11-21T09:02:14" u="1"/>
        <d v="2023-11-21T09:23:56" u="1"/>
        <d v="2023-11-21T11:12:33" u="1"/>
        <d v="2023-11-21T12:00:56" u="1"/>
        <d v="2023-11-21T15:23:38" u="1"/>
        <d v="2023-11-21T17:07:24" u="1"/>
        <d v="2023-11-22T08:34:57" u="1"/>
        <d v="2023-11-22T10:44:41" u="1"/>
        <d v="2023-11-22T11:40:06" u="1"/>
        <d v="2023-11-23T08:56:29" u="1"/>
        <d v="2023-11-23T09:34:30" u="1"/>
        <d v="2023-11-23T11:20:14" u="1"/>
        <d v="2023-11-23T18:28:56" u="1"/>
        <d v="2023-11-24T19:12:32" u="1"/>
        <d v="2023-11-25T14:08:31" u="1"/>
        <d v="2023-11-28T07:46:03" u="1"/>
        <d v="2023-11-28T10:21:52" u="1"/>
        <d v="2023-11-28T16:48:40" u="1"/>
        <d v="2023-11-28T17:32:53" u="1"/>
        <d v="2023-11-29T13:07:47" u="1"/>
        <d v="2023-11-29T17:27:01" u="1"/>
        <d v="2023-11-29T17:58:17" u="1"/>
        <d v="2023-11-30T13:24:44" u="1"/>
        <d v="2023-12-01T17:27:28" u="1"/>
        <d v="2023-12-02T12:55:50" u="1"/>
        <d v="2023-12-03T08:58:29" u="1"/>
        <d v="2023-12-04T08:43:42" u="1"/>
        <d v="2023-12-05T16:36:11" u="1"/>
        <d v="2023-12-06T11:06:49" u="1"/>
        <d v="2023-12-06T11:55:43" u="1"/>
        <d v="2023-12-06T14:49:18" u="1"/>
        <d v="2023-12-07T11:48:49" u="1"/>
        <d v="2023-12-07T17:38:50" u="1"/>
        <d v="2023-12-08T13:22:46" u="1"/>
        <d v="2023-12-08T16:30:37" u="1"/>
        <d v="2023-12-09T17:49:37" u="1"/>
        <d v="2023-12-10T10:46:16" u="1"/>
        <d v="2023-12-11T11:18:50" u="1"/>
        <d v="2023-12-11T11:20:34" u="1"/>
        <d v="2023-12-11T12:09:22" u="1"/>
        <d v="2023-12-11T13:33:26" u="1"/>
        <d v="2023-12-11T14:21:05" u="1"/>
        <d v="2023-12-11T15:42:58" u="1"/>
        <d v="2023-12-12T13:43:44" u="1"/>
        <d v="2023-12-12T17:56:15" u="1"/>
        <d v="2023-12-13T08:43:46" u="1"/>
        <d v="2023-12-13T10:27:29" u="1"/>
        <d v="2023-12-13T11:20:25" u="1"/>
        <d v="2023-12-13T11:30:07" u="1"/>
        <d v="2023-12-13T15:30:47" u="1"/>
        <d v="2023-12-14T09:17:37" u="1"/>
        <d v="2023-12-14T13:22:08" u="1"/>
        <d v="2023-12-14T16:10:22" u="1"/>
        <d v="2023-12-15T09:23:32" u="1"/>
        <d v="2023-12-15T10:18:17" u="1"/>
        <d v="2023-12-15T16:33:41" u="1"/>
        <d v="2023-12-16T10:31:10" u="1"/>
        <d v="2023-12-16T11:23:08" u="1"/>
        <d v="2023-12-16T12:38:57" u="1"/>
        <d v="2023-12-17T08:42:52" u="1"/>
        <d v="2023-12-17T11:46:54" u="1"/>
        <d v="2023-12-17T15:52:52" u="1"/>
        <d v="2023-12-18T09:18:17" u="1"/>
        <d v="2023-12-18T11:59:10" u="1"/>
        <d v="2023-12-18T14:55:23" u="1"/>
        <d v="2023-12-18T15:43:15" u="1"/>
        <d v="2023-12-18T17:58:31" u="1"/>
        <d v="2023-12-18T18:36:45" u="1"/>
        <d v="2023-12-19T15:04:11" u="1"/>
        <d v="2023-12-19T15:34:27" u="1"/>
        <d v="2023-12-19T18:34:55" u="1"/>
        <d v="2023-12-20T09:05:55" u="1"/>
        <d v="2023-12-20T12:34:47" u="1"/>
        <d v="2023-12-20T14:15:45" u="1"/>
        <d v="2023-12-20T20:13:38" u="1"/>
        <d v="2023-12-21T09:27:03" u="1"/>
        <d v="2023-12-21T10:05:18" u="1"/>
        <d v="2023-12-21T11:52:17" u="1"/>
        <d v="2023-12-22T10:29:28" u="1"/>
        <d v="2023-12-22T15:03:11" u="1"/>
        <d v="2023-12-22T15:41:59" u="1"/>
        <d v="2023-12-22T16:31:59" u="1"/>
        <d v="2023-12-23T10:33:03" u="1"/>
        <d v="2023-12-23T14:38:00" u="1"/>
        <d v="2023-12-25T18:28:37" u="1"/>
        <d v="2023-12-26T17:04:43" u="1"/>
        <d v="2023-12-27T16:56:42" u="1"/>
        <d v="2023-12-28T12:48:21" u="1"/>
        <d v="2023-12-28T17:54:14" u="1"/>
        <d v="2023-12-29T10:58:39" u="1"/>
        <d v="2023-12-29T11:49:09" u="1"/>
        <d v="2023-12-29T19:20:55" u="1"/>
        <d v="2023-12-30T19:40:46" u="1"/>
        <d v="2024-01-02T08:49:55" u="1"/>
        <d v="2024-01-02T10:30:29" u="1"/>
        <d v="2024-01-02T16:14:15" u="1"/>
        <d v="2024-01-02T19:08:39" u="1"/>
        <d v="2024-01-03T08:33:45" u="1"/>
        <d v="2024-01-03T10:15:52" u="1"/>
        <d v="2024-01-03T11:23:09" u="1"/>
        <d v="2024-01-03T14:04:41" u="1"/>
        <d v="2024-01-03T15:08:57" u="1"/>
        <d v="2024-01-03T17:06:42" u="1"/>
        <d v="2024-01-04T08:30:33" u="1"/>
        <d v="2024-01-04T10:40:45" u="1"/>
        <d v="2024-01-04T10:56:01" u="1"/>
        <d v="2024-01-04T11:44:55" u="1"/>
        <d v="2024-01-04T14:32:45" u="1"/>
        <d v="2024-01-04T16:24:42" u="1"/>
        <d v="2024-01-05T09:11:16" u="1"/>
        <d v="2024-01-05T11:32:00" u="1"/>
        <d v="2024-01-05T13:42:25" u="1"/>
        <d v="2024-01-06T15:51:36" u="1"/>
        <d v="2024-01-06T18:21:50" u="1"/>
        <d v="2024-01-08T09:24:15" u="1"/>
        <d v="2024-01-09T12:15:27" u="1"/>
        <d v="2024-01-09T14:46:28" u="1"/>
        <d v="2024-01-10T09:52:07" u="1"/>
        <d v="2024-01-10T10:46:40" u="1"/>
        <d v="2024-01-10T12:14:28" u="1"/>
        <d v="2024-01-10T14:16:33" u="1"/>
        <d v="2024-01-10T18:18:29" u="1"/>
        <d v="2024-01-11T10:48:39" u="1"/>
        <d v="2024-01-11T11:56:48" u="1"/>
        <d v="2024-01-11T13:11:17" u="1"/>
        <d v="2024-01-11T13:28:32" u="1"/>
        <d v="2024-01-12T13:28:39" u="1"/>
        <d v="2024-01-12T15:26:52" u="1"/>
        <d v="2024-01-14T13:21:06" u="1"/>
        <d v="2024-01-14T18:38:36" u="1"/>
        <d v="2024-01-15T09:50:22" u="1"/>
        <d v="2024-01-16T09:47:31" u="1"/>
        <d v="2024-01-16T15:39:00" u="1"/>
        <d v="2024-01-17T09:24:40" u="1"/>
        <d v="2024-01-17T09:36:32" u="1"/>
        <d v="2024-01-17T16:39:53" u="1"/>
        <d v="2024-01-18T10:43:34" u="1"/>
        <d v="2024-01-18T12:21:08" u="1"/>
        <d v="2024-01-18T12:36:58" u="1"/>
        <d v="2024-01-19T12:22:51" u="1"/>
        <d v="2024-01-19T17:39:44" u="1"/>
        <d v="2024-01-20T09:44:25" u="1"/>
        <d v="2024-01-20T10:57:50" u="1"/>
        <d v="2024-01-20T16:04:50" u="1"/>
        <d v="2024-01-20T16:15:15" u="1"/>
        <d v="2024-01-21T15:13:38" u="1"/>
        <d v="2024-01-23T11:05:27" u="1"/>
        <d v="2024-01-23T11:56:29" u="1"/>
        <d v="2024-01-23T14:56:39" u="1"/>
        <d v="2024-01-23T17:49:30" u="1"/>
        <d v="2024-01-24T10:36:42" u="1"/>
        <d v="2024-01-25T10:11:53" u="1"/>
        <d v="2024-01-26T08:42:02" u="1"/>
        <d v="2024-01-26T15:46:19" u="1"/>
        <d v="2024-01-26T17:58:33" u="1"/>
        <d v="2024-01-26T18:53:56" u="1"/>
        <d v="2024-01-29T09:44:11" u="1"/>
        <d v="2024-01-29T14:44:52" u="1"/>
        <d v="2024-01-30T09:42:24" u="1"/>
        <d v="2024-01-30T09:50:40" u="1"/>
        <d v="2024-01-31T11:22:22" u="1"/>
        <d v="2024-01-31T12:56:50" u="1"/>
        <d v="2024-01-31T15:26:31" u="1"/>
        <d v="2024-01-31T16:42:23" u="1"/>
        <d v="2024-02-01T07:51:23" u="1"/>
        <d v="2024-02-01T11:36:23" u="1"/>
        <d v="2024-02-01T15:03:21" u="1"/>
        <d v="2024-02-03T08:32:34" u="1"/>
        <d v="2024-02-03T10:01:58" u="1"/>
        <d v="2024-02-05T09:08:09" u="1"/>
        <d v="2024-02-05T12:32:55" u="1"/>
        <d v="2024-02-05T16:56:57" u="1"/>
        <d v="2024-02-05T17:20:54" u="1"/>
        <d v="2024-02-06T18:48:27" u="1"/>
        <d v="2024-02-06T19:22:23" u="1"/>
        <d v="2024-02-07T08:59:10" u="1"/>
        <d v="2024-02-07T18:06:09" u="1"/>
        <d v="2024-02-08T11:20:02" u="1"/>
        <d v="2024-02-08T16:39:10" u="1"/>
        <d v="2024-02-08T18:13:01" u="1"/>
        <d v="2024-02-09T10:51:54" u="1"/>
        <d v="2024-02-10T09:25:52" u="1"/>
        <d v="2024-02-10T11:31:11" u="1"/>
        <d v="2024-02-10T12:22:22" u="1"/>
        <d v="2024-02-11T12:05:13" u="1"/>
        <d v="2024-02-11T14:24:49" u="1"/>
        <d v="2024-02-12T13:39:43" u="1"/>
        <d v="2024-02-13T11:30:18" u="1"/>
        <d v="2024-02-14T16:24:25" u="1"/>
        <d v="2024-02-15T09:00:57" u="1"/>
        <d v="2024-02-15T19:33:32" u="1"/>
        <d v="2024-02-16T13:28:14" u="1"/>
        <d v="2024-02-18T17:55:28" u="1"/>
        <d v="2024-02-19T11:26:55" u="1"/>
        <d v="2024-02-19T11:44:54" u="1"/>
        <d v="2024-02-19T14:50:55" u="1"/>
        <d v="2024-02-20T11:14:59" u="1"/>
        <d v="2024-02-20T11:37:07" u="1"/>
        <d v="2024-02-20T16:55:15" u="1"/>
        <d v="2024-02-21T14:18:30" u="1"/>
        <d v="2024-02-21T16:18:15" u="1"/>
        <d v="2024-02-22T09:54:16" u="1"/>
        <d v="2024-02-22T17:41:26" u="1"/>
        <d v="2024-02-23T10:29:00" u="1"/>
        <d v="2024-02-23T15:06:40" u="1"/>
        <d v="2024-02-24T16:10:15" u="1"/>
        <d v="2024-02-24T17:49:54" u="1"/>
        <d v="2024-02-25T08:41:30" u="1"/>
        <d v="2024-02-26T11:27:57" u="1"/>
        <d v="2024-02-26T12:32:46" u="1"/>
        <d v="2024-02-26T16:14:07" u="1"/>
        <d v="2024-02-27T10:28:12" u="1"/>
        <d v="2024-02-27T14:00:34" u="1"/>
        <d v="2024-02-29T11:47:26" u="1"/>
        <d v="2024-02-29T12:13:59" u="1"/>
        <d v="2024-02-29T13:11:33" u="1"/>
        <d v="2024-03-01T08:43:16" u="1"/>
        <d v="2024-03-01T08:58:43" u="1"/>
        <d v="2024-03-01T16:21:11" u="1"/>
        <d v="2024-03-01T18:13:27" u="1"/>
        <d v="2024-03-02T11:56:45" u="1"/>
        <d v="2024-03-02T14:27:35" u="1"/>
        <d v="2024-03-03T15:34:09" u="1"/>
        <d v="2024-03-04T09:07:15" u="1"/>
        <d v="2024-03-04T10:49:07" u="1"/>
        <d v="2024-03-05T08:21:18" u="1"/>
        <d v="2024-03-05T09:33:09" u="1"/>
        <d v="2024-03-05T10:06:43" u="1"/>
        <d v="2024-03-05T10:41:01" u="1"/>
        <d v="2024-03-05T14:23:06" u="1"/>
        <d v="2024-03-06T11:21:34" u="1"/>
        <d v="2024-03-06T14:38:26" u="1"/>
        <d v="2024-03-07T09:46:41" u="1"/>
        <d v="2024-03-07T13:50:07" u="1"/>
        <d v="2024-03-07T17:36:13" u="1"/>
        <d v="2024-03-08T15:37:07" u="1"/>
        <d v="2024-03-08T18:15:57" u="1"/>
        <d v="2024-03-09T11:24:17" u="1"/>
        <d v="2024-03-09T16:09:02" u="1"/>
        <d v="2024-03-11T13:46:55" u="1"/>
        <d v="2024-03-11T14:24:54" u="1"/>
        <d v="2024-03-11T15:39:25" u="1"/>
        <d v="2024-03-12T08:33:07" u="1"/>
        <d v="2024-03-12T14:14:16" u="1"/>
        <d v="2024-03-13T10:38:16" u="1"/>
        <d v="2024-03-13T15:03:34" u="1"/>
        <d v="2024-03-13T16:46:32" u="1"/>
        <d v="2024-03-14T09:52:10" u="1"/>
        <d v="2024-03-14T10:56:38" u="1"/>
        <d v="2024-03-14T19:12:10" u="1"/>
        <d v="2024-03-15T14:08:39" u="1"/>
        <d v="2024-03-16T16:56:36" u="1"/>
        <d v="2024-03-16T19:21:43" u="1"/>
        <d v="2024-03-19T08:41:49" u="1"/>
        <d v="2024-03-19T09:07:53" u="1"/>
        <d v="2024-03-20T09:33:18" u="1"/>
        <d v="2024-03-20T18:05:35" u="1"/>
        <d v="2024-03-21T08:22:49" u="1"/>
        <d v="2024-03-21T09:50:57" u="1"/>
        <d v="2024-03-21T11:52:03" u="1"/>
        <d v="2024-03-21T17:13:53" u="1"/>
        <d v="2024-03-21T20:32:32" u="1"/>
        <d v="2024-03-22T18:00:25" u="1"/>
        <d v="2024-03-23T13:36:50" u="1"/>
        <d v="2024-03-24T12:03:16" u="1"/>
        <d v="2024-03-25T08:41:53" u="1"/>
        <d v="2024-03-25T15:46:26" u="1"/>
        <d v="2024-03-26T11:14:03" u="1"/>
        <d v="2024-03-26T11:22:31" u="1"/>
        <d v="2024-03-26T16:38:35" u="1"/>
        <d v="2024-03-26T16:52:56" u="1"/>
        <d v="2024-03-27T15:24:01" u="1"/>
        <d v="2024-03-27T16:42:26" u="1"/>
        <d v="2024-03-27T17:07:03" u="1"/>
        <d v="2024-03-27T17:45:33" u="1"/>
        <d v="2024-03-27T18:33:23" u="1"/>
        <d v="2024-03-27T19:27:20" u="1"/>
        <d v="2024-03-27T19:28:37" u="1"/>
        <d v="2024-03-28T16:40:26" u="1"/>
        <d v="2024-03-28T16:54:03" u="1"/>
        <d v="2024-03-29T08:59:50" u="1"/>
        <d v="2024-03-29T09:05:34" u="1"/>
        <d v="2024-03-29T09:27:52" u="1"/>
        <d v="2024-03-29T09:55:41" u="1"/>
        <d v="2024-03-29T16:19:41" u="1"/>
        <d v="2024-03-30T08:09:15" u="1"/>
        <d v="2024-03-30T17:55:00" u="1"/>
        <d v="2024-03-31T11:36:19" u="1"/>
        <d v="2024-03-31T12:22:30" u="1"/>
        <d v="2024-04-01T10:29:21" u="1"/>
        <d v="2024-04-01T12:33:10" u="1"/>
        <d v="2024-04-01T13:07:42" u="1"/>
        <d v="2024-04-01T14:32:52" u="1"/>
        <d v="2024-04-01T17:13:37" u="1"/>
        <d v="2024-04-02T09:26:27" u="1"/>
        <d v="2024-04-02T11:10:49" u="1"/>
        <d v="2024-04-03T08:19:42" u="1"/>
        <d v="2024-04-04T12:34:57" u="1"/>
        <d v="2024-04-04T13:08:59" u="1"/>
        <d v="2024-04-04T17:31:30" u="1"/>
        <d v="2024-04-05T08:59:07" u="1"/>
        <d v="2024-04-06T16:07:53" u="1"/>
        <d v="2024-04-07T08:53:16" u="1"/>
        <d v="2024-04-07T10:54:21" u="1"/>
        <d v="2024-04-08T16:16:19" u="1"/>
        <d v="2024-04-09T08:04:56" u="1"/>
        <d v="2024-04-09T20:01:03" u="1"/>
        <d v="2024-04-10T10:53:09" u="1"/>
        <d v="2024-04-10T15:16:40" u="1"/>
        <d v="2024-04-10T15:41:11" u="1"/>
        <d v="2024-04-11T10:20:35" u="1"/>
        <d v="2024-04-11T12:48:09" u="1"/>
        <d v="2024-04-12T08:00:52" u="1"/>
        <d v="2024-04-12T18:06:47" u="1"/>
        <d v="2024-04-13T15:54:02" u="1"/>
        <d v="2024-04-15T08:16:15" u="1"/>
        <d v="2024-04-15T11:45:16" u="1"/>
        <d v="2024-04-17T09:10:52" u="1"/>
        <d v="2024-04-17T14:17:54" u="1"/>
        <d v="2024-04-18T08:20:18" u="1"/>
        <d v="2024-04-18T11:57:08" u="1"/>
        <d v="2024-04-18T18:34:00" u="1"/>
        <d v="2024-04-18T19:25:17" u="1"/>
        <d v="2024-04-19T11:21:36" u="1"/>
        <d v="2024-04-19T11:25:42" u="1"/>
        <d v="2024-04-20T09:12:24" u="1"/>
        <d v="2024-04-20T17:37:48" u="1"/>
        <d v="2024-04-21T11:12:32" u="1"/>
        <d v="2024-04-21T12:20:05" u="1"/>
        <d v="2024-04-22T08:29:34" u="1"/>
        <d v="2024-04-22T09:08:25" u="1"/>
        <d v="2024-04-22T09:51:05" u="1"/>
        <d v="2024-04-22T11:41:28" u="1"/>
        <d v="2024-04-24T10:51:07" u="1"/>
        <d v="2024-04-24T12:47:31" u="1"/>
        <d v="2024-04-24T14:21:10" u="1"/>
        <d v="2024-04-25T09:00:31" u="1"/>
        <d v="2024-04-25T09:54:38" u="1"/>
        <d v="2024-04-25T15:54:47" u="1"/>
        <d v="2024-04-28T16:01:55" u="1"/>
        <d v="2024-04-28T16:22:08" u="1"/>
        <d v="2024-05-01T09:13:03" u="1"/>
        <d v="2024-05-02T10:26:45" u="1"/>
        <d v="2024-05-02T18:13:55" u="1"/>
        <d v="2024-05-03T10:35:04" u="1"/>
        <d v="2024-05-03T11:50:59" u="1"/>
        <d v="2024-05-03T13:11:35" u="1"/>
        <d v="2024-05-03T14:33:26" u="1"/>
        <d v="2024-05-04T09:42:55" u="1"/>
        <d v="2024-05-05T10:20:15" u="1"/>
        <d v="2024-05-06T16:13:48" u="1"/>
        <d v="2024-05-07T09:59:29" u="1"/>
        <d v="2024-05-07T11:15:00" u="1"/>
        <d v="2024-05-07T17:00:39" u="1"/>
        <d v="2024-05-08T09:33:39" u="1"/>
        <d v="2024-05-08T10:44:17" u="1"/>
        <d v="2024-05-08T14:29:43" u="1"/>
        <d v="2024-05-08T19:18:51" u="1"/>
        <d v="2024-05-09T08:46:42" u="1"/>
        <d v="2024-05-09T11:20:38" u="1"/>
        <d v="2024-05-09T14:41:57" u="1"/>
        <d v="2024-05-09T16:52:17" u="1"/>
        <d v="2024-05-09T17:00:59" u="1"/>
        <d v="2024-05-11T12:41:45" u="1"/>
        <d v="2024-05-11T14:37:02" u="1"/>
        <d v="2024-05-12T09:33:51" u="1"/>
        <d v="2024-05-13T09:25:38" u="1"/>
        <d v="2024-05-13T11:44:01" u="1"/>
        <d v="2024-05-13T15:55:29" u="1"/>
        <d v="2024-05-13T16:05:23" u="1"/>
        <d v="2024-05-14T08:30:02" u="1"/>
        <d v="2024-05-14T08:49:07" u="1"/>
        <d v="2024-05-14T10:09:18" u="1"/>
        <d v="2024-05-14T12:18:41" u="1"/>
        <d v="2024-05-14T12:30:28" u="1"/>
        <d v="2024-05-14T14:26:14" u="1"/>
        <d v="2024-05-14T15:10:06" u="1"/>
        <d v="2024-05-14T15:49:15" u="1"/>
        <d v="2024-05-14T16:18:07" u="1"/>
        <d v="2024-05-14T18:32:40" u="1"/>
        <d v="2024-05-15T09:51:20" u="1"/>
        <d v="2024-05-15T10:25:00" u="1"/>
        <d v="2024-05-15T11:11:10" u="1"/>
        <d v="2024-05-16T09:50:12" u="1"/>
        <d v="2024-05-16T17:05:42" u="1"/>
        <d v="2024-05-16T18:50:47" u="1"/>
        <d v="2024-05-17T09:32:13" u="1"/>
        <d v="2024-05-17T11:49:59" u="1"/>
        <d v="2024-05-17T16:34:32" u="1"/>
        <d v="2024-05-17T18:09:05" u="1"/>
        <d v="2024-05-18T12:52:57" u="1"/>
        <d v="2024-05-20T09:32:15" u="1"/>
        <d v="2024-05-20T09:56:45" u="1"/>
        <d v="2024-05-21T12:50:16" u="1"/>
        <d v="2024-05-22T08:45:19" u="1"/>
        <d v="2024-05-22T15:18:38" u="1"/>
        <d v="2024-05-23T07:40:58" u="1"/>
        <d v="2024-05-23T14:36:56" u="1"/>
        <d v="2024-05-24T08:53:33" u="1"/>
        <d v="2024-05-24T10:37:21" u="1"/>
        <d v="2024-05-24T11:14:09" u="1"/>
        <d v="2024-05-24T11:30:35" u="1"/>
        <d v="2024-05-24T11:43:43" u="1"/>
        <d v="2024-05-24T21:14:30" u="1"/>
        <d v="2024-05-25T09:54:19" u="1"/>
        <d v="2024-05-25T10:05:03" u="1"/>
        <d v="2024-05-26T14:05:55" u="1"/>
        <d v="2024-05-26T16:47:26" u="1"/>
        <d v="2024-05-27T12:05:16" u="1"/>
        <d v="2024-05-27T15:18:59" u="1"/>
        <d v="2024-05-27T16:13:59" u="1"/>
        <d v="2024-05-27T17:51:06" u="1"/>
        <d v="2024-05-28T11:44:52" u="1"/>
        <d v="2024-05-28T17:01:05" u="1"/>
        <d v="2024-05-28T18:13:42" u="1"/>
        <d v="2024-05-28T18:15:42" u="1"/>
        <d v="2024-05-29T13:10:14" u="1"/>
        <d v="2024-05-30T09:17:16" u="1"/>
        <d v="2024-05-30T16:29:13" u="1"/>
        <d v="2024-05-30T18:04:17" u="1"/>
        <d v="2024-06-03T08:29:39" u="1"/>
        <d v="2024-06-03T14:50:41" u="1"/>
        <d v="2024-06-03T17:32:51" u="1"/>
        <d v="2024-06-05T10:35:10" u="1"/>
        <d v="2024-06-05T14:17:53" u="1"/>
      </sharedItems>
    </cacheField>
    <cacheField name="Nome" numFmtId="0">
      <sharedItems containsBlank="1" count="754">
        <m/>
        <s v="Manuela Souza do Nascimento"/>
        <s v="Ana Carolina Quirino da Silva"/>
        <s v="Talita Silva de Lima"/>
        <s v="Monique Silva de Amorim"/>
        <s v="Larissa Rayane de Santana Leite"/>
        <s v="Raissa Dayana Barbosa Santos"/>
        <s v="Raissa Oliveira Silva"/>
        <s v="Juliana dos Santos"/>
        <s v="Gabriela Nunes Xavier"/>
        <s v="Chrysline Pereira da Silva"/>
        <s v="Naiara Beatriz Pereira Rodrigues"/>
        <s v="Marcela Lima dos Santos"/>
        <s v="Kalyane Oliveira da Silva"/>
        <s v="Vitoria Conceicao Ferreira Bruno"/>
        <s v="Ana Alice dos Santos"/>
        <s v="Mayara Jacinto de Araujo"/>
        <s v="Vanessa Milena Maria da Silva"/>
        <s v="Amizaday da Silva Leite"/>
        <s v="Maria de Fatima da Silva"/>
        <s v="Yane Pereira dos Santos"/>
        <s v="Ilana de Almeida Albuquerque "/>
        <s v="Deysiane Kiurenia dos Santos"/>
        <s v="Leticia de Oliveira"/>
        <s v="Viviane de Almeida Costa"/>
        <s v="Walenia Gabriele Neves de Melo "/>
        <s v="Debora Dayane da Costa Marques"/>
        <s v="Georgia Gomes da Cruz"/>
        <s v="Walenia Gabriele Neves de Melo"/>
        <s v="Chirle da Silva Osorio"/>
        <s v="Luana Pereira da Silva"/>
        <s v="Fernanda Bezerra da Silva Gabú"/>
        <s v="Rayssa Luanna da Silva Costa"/>
        <s v="Ruth Crislayne Araujo dos Santos"/>
        <s v="Betania Maria dos Santos de Freitas"/>
        <s v="LIDIA TARCIANA SANTOS DA PAZ"/>
        <s v="CAMILA MARIA DE LIMA"/>
        <s v="Veronica Thais Goncalves Pereira dos Santos"/>
        <s v="Amanda Mayara dos Santos "/>
        <s v="Andreza Maria da Silva"/>
        <s v="Estephanne Vitoria da Silva"/>
        <s v="Ana Clecia de Lima Feitosa"/>
        <s v="Jeanine Nathalia Leopoldo da Silva"/>
        <s v="Maria Claudineide Barros de Albuquerque"/>
        <s v="Isabella Albuquerque Jardim"/>
        <s v="Aline Rafaela Andrade da Silva"/>
        <s v="Mycherlane Melquiades da Silva"/>
        <s v="Rosangela Jose de Franca"/>
        <s v="Amanda Mayara dos Santos"/>
        <s v="Magda Laiz de Oliveira Silva"/>
        <s v="Sarah Vitoria Cosme da Rocha"/>
        <s v="Danielly Ingrid Bione de Lima"/>
        <s v="Leticia Luany de Carvalho da Silva"/>
        <s v="Maria Alice de Oliveira Barbosa Leal"/>
        <s v="Alyne Souza dos Santos"/>
        <s v="Natacha Rodrigues de Farias"/>
        <s v="Riromia Pereira Juvenal"/>
        <s v="Ana Gabriela Antonio do Nascimento"/>
        <s v="Laís Viana Dias"/>
        <s v="Thatyana Karla Nascimento Tenorio"/>
        <s v="Janicleide Barbosa Cavalcanti"/>
        <s v="Vitoria Caroline Soares da Silva"/>
        <s v="Brenda Melo de Araujo"/>
        <s v="Janaina de Assis da Silva"/>
        <s v="Camila Costa de Jesus"/>
        <s v="Carina Jesus de Lima"/>
        <s v="Claudia Raiane Oliveira Dionizio"/>
        <s v="Maria Vitoria dos Santos Castro"/>
        <s v="JUSSARA LORENA MARTINS DA SILVA"/>
        <s v="Mayara Rayane Soares da Silva"/>
        <s v="Mariana Almeida da Silva"/>
        <s v="Maria Luziaria Virbergue da Silva"/>
        <s v="REBECA VITORIA ARRUDA DA SILVA"/>
        <s v="Laissa Gabriela Penalva da Rocha"/>
        <s v="Ana Patricia dos Santos Nascimento"/>
        <s v="Dandara Maria do Nascimento Ferreira Santos"/>
        <s v="Dauany Nunes de Lima"/>
        <s v="Marcela Maria da Silva"/>
        <s v="Maria Danielle Miguel Bezerra"/>
        <s v="Edicleide Gomes de Almeida"/>
        <s v="Tatiana Thalia Ramalho de Lima"/>
        <s v="Joelma Ferreira da Silva"/>
        <s v="Monallyza Iasmin Duarte da Silva"/>
        <s v="Naiara Herculano da Silva"/>
        <s v="Maria Gabriela Campos de Lima"/>
        <s v="Rosangela Pereira de Souza"/>
        <s v="Ayrine Ramonna Batista"/>
        <s v="Maria Eduarda Silva de Oliveira Cavalcanti"/>
        <s v="Kaline Thalia Leopoldina Silva de Lima"/>
        <s v="Rosangela Lira de Paiva"/>
        <s v="Gleiciane Correia de Melo Morais"/>
        <s v="Marina Byatriz Bento Arcelino"/>
        <s v="Paula Eduarda dos Santos de Andrade"/>
        <s v="Gleica Mirela Ribeiro de Lima"/>
        <s v="Aurea Claucia Rangel Carneiro"/>
        <s v="Erica Priscila Gomes dos Santos Silva"/>
        <s v="Millena Lima da Silva"/>
        <s v="Bruna Patricia Ferreira da Silva"/>
        <s v="Maria Aparecida Alves da Silva Santos"/>
        <s v="CLARA FERNANDA DOS SANTOS SILVA"/>
        <s v="Luanda de Oliveira da Silva"/>
        <s v="Karla Eduarda de Franca Oliveira"/>
        <s v="Raiza Carla da Silva"/>
        <s v="Leticia Maria Carneiro Magalhaes"/>
        <s v="Stephany Layne Pereira dos Santos"/>
        <s v="Josefa Veronica da Silva"/>
        <s v="Evelyn Karine Macedo Vasconcelos"/>
        <s v="Raquel Neidisson de Alququerque"/>
        <s v="Jessica da Silva Felix"/>
        <s v="Ana Carolina dos Anjos Araujo"/>
        <s v="Aldinez do Carmo Soares"/>
        <s v="Thamiris dos Santos Vieira"/>
        <s v="Flavia Soares da Silva"/>
        <s v="Karolayne Marlene Santos de Souza"/>
        <s v="Renata Joaquim do Nascimento"/>
        <s v="Maria Tatiane Silva de Oliveira"/>
        <s v="Sibele Alexandre dos Santos"/>
        <s v="Cinthia Gabriela Messias"/>
        <s v="Mayra Kelner Francisca Maciel"/>
        <s v="Mayara Cristina Gonzaga da Silva"/>
        <s v="Daniele das Neves Ferreira"/>
        <s v="Mirelly Steffany da Silva Sousa"/>
        <s v="Rafaela de Araujo Marinho"/>
        <s v="Aline Alves dos Santos"/>
        <s v="Vanessa Hingrid Marinho de Moura Monteiro"/>
        <s v="Enia Ingrid de Araujo"/>
        <s v="Camilla Vitoria da Silva Gomes"/>
        <s v="Graziela Silva de Aguiar"/>
        <s v="Thatiany da Silva Barbosa"/>
        <s v="KARINA SILVA DE AMORIM"/>
        <s v="Rafaela Benedita da Silva Pereira"/>
        <s v="Rute Claudia da Silva"/>
        <s v="Viviane Barbosa de Lima"/>
        <s v="Julia Mariaano de Andrade Santana"/>
        <s v="Marta Naite Maria da Silva"/>
        <s v="Aline Maria da Silva Miquiles"/>
        <s v="Barbara Ferreira da Silva"/>
        <s v="Morgana Marcelino dos Santos"/>
        <s v="Maria Fernanda Almeida da Silva"/>
        <s v="Marcela Ferreira dos Santos"/>
        <s v="Jessica Maria da Silva"/>
        <s v="Fernanda de Oliveira Silva"/>
        <s v="Eduarda Souza Soares"/>
        <s v="Manoela Justino Alexandre Silva"/>
        <s v="Mirella Kerolaine Goncalves da Silva Soares"/>
        <s v="Cilene Soares da Silva"/>
        <s v="Gisele Maria da Silva Santos"/>
        <s v="Renata Andreza Marinho da Paixao"/>
        <s v="Ingrid Gleyce Miranda dos Santos"/>
        <s v="Shirlaine de Oliveira Ferreira"/>
        <s v="Kalidiane Caroline Melo"/>
        <s v="Maria Vitória Moura de Lima"/>
        <s v="Ana Karolina Chagas Serpa Matos"/>
        <s v="Geovana Micaelle Nascimento da Silva"/>
        <s v="Maria Clara Jacinto de Oliveira"/>
        <s v="Analice Maria Cesar Barros"/>
        <s v="Larhana Cristina dos Santos Silva"/>
        <s v="Emanuela da Silva Souza"/>
        <s v="Ellida Tenuzia da Silva"/>
        <s v="Beatriz Carla Silvestre Ferreira Cabral"/>
        <s v="Gleicy Kitéria Gomes de Lima"/>
        <s v="Rebeka Vitoria Porfirio de Souza"/>
        <s v="Maria Paula Gomes da Silva"/>
        <s v="Keila Vitoria da Silva Araujo"/>
        <s v="Bianca de Oliveira Correia de Lima"/>
        <s v="Alice Maria Oliveira de Lucena"/>
        <s v="Gabriela Oliveira dos Santos Soares"/>
        <s v="Ruth Luiza Rodrigues"/>
        <s v="Camila Almeida da Fonseca"/>
        <s v="Eliana Maria da Conceicao Silva "/>
        <s v="Beatriz Fabiana da Silva"/>
        <s v="Juliely Carolayne Rodrigues da Silva"/>
        <s v="Flaviana Revoredo de Oliveira Nunes"/>
        <s v="Ana Gabriela Antonio do Nascimento "/>
        <s v="Natalia Bordalo"/>
        <s v="Katia Cristina Lopes do Rego"/>
        <s v="Debora Farias de Lima"/>
        <s v="Gleicy Kitéria Gomes de Lima "/>
        <s v="Millena Pereira da Silva"/>
        <s v="Mariana Rikaelly dos Santos"/>
        <s v="Geovana Monique da Silva Trajino"/>
        <s v="Ana Karolina de Franca Jeronimo"/>
        <s v="Cassiane Kethyle da Silva Ferreira"/>
        <s v="Raynara Thaina da Silva Lima"/>
        <s v="Niedja Maria do Nascimento"/>
        <s v="Emily Andreinna Silva de Arruda"/>
        <s v="Mirella Roberto Alves da Cruz"/>
        <s v="Fabiola Estevao do Carmo"/>
        <s v="Claudia Rebeca da Silva"/>
        <s v="Joyce Silva Bezerra"/>
        <s v="Deisiane da Silva Santana"/>
        <s v="Camila Zoppi"/>
        <s v="Maria Eduarda de Lira"/>
        <s v="Grazielly Kelly Silva dos Santos"/>
        <s v="Emillayne Adriana da Silva"/>
        <s v="Renata Maria da Conceicao"/>
        <s v="Ketheury Andrade dos Santos "/>
        <s v="Cleyce da Silva Borgues"/>
        <s v="Suelen Izabel Santos da Silva"/>
        <s v="Carla Alves de Oliveira Santos"/>
        <s v="Maria Eduarda Santana dos Santos"/>
        <s v="Tais Makishi da Silva"/>
        <s v="Macilene Santos Barros"/>
        <s v="Amanda Vitoria da Silva"/>
        <s v="Tamires Pereira Goncalves"/>
        <s v="Bianca de Carvalho Lemos Cunha"/>
        <s v="Denise Bezerra da Silva"/>
        <s v="Thayza Vitoria Ramos de Lima"/>
        <s v="Tainara Maria Oliveira"/>
        <s v="Bruna Eugenia de Melo Vicente"/>
        <s v="Debora Jeronimo da Silva"/>
        <s v="Kamily Maria Peres da Hora"/>
        <s v="Maria Vitoria do Carmo Bento Bezerra Lola"/>
        <s v="Isabela Alves Ribeiro"/>
        <s v="Ana Karolayne Santos Silva"/>
        <s v="Natalia Ferreira de Sales "/>
        <s v="Samara Sandra Santana Silva"/>
        <s v="Michelle Caroline Barbosa"/>
        <s v="Rebeca Raysa Correia da Silva"/>
        <s v="Emanuele Maria Coelho dos Prazeres"/>
        <s v="Rafaely Domingos dos Santos"/>
        <s v="Eloiza Oliveira Barros Silva"/>
        <s v="Mariana Guedes Neves de Oliveira"/>
        <s v="Esther Tacianne Paz Araujo Santos"/>
        <s v="Natalia Oliveira Silva"/>
        <s v="Lucilene Ferreira da Silva"/>
        <s v="Stefane Alves Brasil"/>
        <s v="Maria Eduarda da Silva Farias"/>
        <s v="Evellyn Nicoly Oliveira da Silva"/>
        <s v="Mirele dos Santos Freires"/>
        <s v="Talita de Oliveira Noronha"/>
        <s v="Adrielle Albuquerque Jeremias Souto da Silva"/>
        <s v="Mariana Barboza Lopes"/>
        <s v="Lilian Vitoria de Souza Santana"/>
        <s v="Shirley Soares Lopes"/>
        <s v="Rafaella Patrícia Francisca de Lima"/>
        <s v="Risomar Almeida de Moraes"/>
        <s v="Mabia Barbara Mendes"/>
        <s v="Talita Patrício Cavalcanti da Silva"/>
        <s v="Ilana Carla Bento Pereira"/>
        <s v="Rita de Cassia Pereira de Menezes"/>
        <s v="Rosa Maria da Silva Pontes"/>
        <s v="Janderlane Maria da Silva"/>
        <s v="Vanessa Claudino Gomes"/>
        <s v="Luana de Souza Diehl"/>
        <s v="Rayssa Rane Santos do Nascimento da Silva"/>
        <s v="Karen Cecilia da Silva"/>
        <s v="Rayany Souza Gomes"/>
        <s v="Taise Maria Lima Silva"/>
        <s v="Vanessa da Silva Pessoa"/>
        <s v="Kaylane Carine Dias Pereira"/>
        <s v="Jessica Maria Ferreira de Matos"/>
        <s v="Marina Gabriele Pires da Silva |"/>
        <s v="Crislayne Nascimento da Silva"/>
        <s v="Danielly Mayra Batista dos Santos"/>
        <s v="Gisele Thais da Conceicao Ferreira"/>
        <s v="Ana Carolina Timoteo da Silva"/>
        <s v="Joana Darc Pergentino de Barros "/>
        <s v="Mariane da Silva"/>
        <s v="Letícia Victoria Cruz Nascimento"/>
        <s v="Karoline Mayara Mendes da Silva"/>
        <s v="Luzia Dias Valdevino"/>
        <s v="Cristiane Pereira Nunes"/>
        <s v="Jamilly Soares de Barros"/>
        <s v="Taina Gomes da Silva"/>
        <s v="Maria Karolayne Nascimento Lima"/>
        <s v="Rayane Kelly do Nascimento"/>
        <s v="Ayani de Souza Monteiro"/>
        <s v="Fernanda Carla Mendes da Silva"/>
        <s v="Ana Karla da Fonseca Pereira"/>
        <s v="Mariana Azevedo de Freitas"/>
        <s v="Maria Claudia de Oliveira"/>
        <s v="Jeane dos Santos Santana"/>
        <s v="Valeria Jose de Souza Costa"/>
        <s v="Joice Miranda dos Santos"/>
        <s v="Aline Laysa da Silva"/>
        <s v="Mariana Barreto do Nascimento"/>
        <s v="Ana Graziela Augusta do Nascimento"/>
        <s v="Nathalia Gomes de Freitas"/>
        <s v="Elaine Gutemberg dos Santos"/>
        <s v="Vitoria Beatriz Cruz da Silva"/>
        <s v="Geisakel Melo da Conceicao"/>
        <s v="Rayane Kelly Ferreira da Silva"/>
        <s v="Janaina Silva dos Santos"/>
        <s v="Gabriela Evelin Fernandes da Silva"/>
        <s v="Lucimar Maria do Nascimento"/>
        <s v="Marcia Santana Bispo da Silva"/>
        <s v="Maria Eduarda Cunha de Lima"/>
        <s v="Tainara Silva Moura de Melo"/>
        <s v="Adriele Cristina do Amaral"/>
        <s v="Jessica Gomes da Silva"/>
        <s v="Jacidaria Gomes da Silva"/>
        <s v="Andressa Caroline Silva"/>
        <s v="Daniele Quiteria Araújo Ferreira"/>
        <s v="Leticia Bezerra da Silva"/>
        <s v="Jadilene da Silva Albuquerque"/>
        <s v="Julia Vicente de Souza"/>
        <s v="Jaqueline Barbosa da Silva"/>
        <s v="Amanda Cristina Bastos"/>
        <s v="Rayanne Priscylla da Silva Ubirata Braga"/>
        <s v="Maria Valeria dos Santos"/>
        <s v="Maria Nathalia da Silva Vasconcelos"/>
        <s v="Amanda Ramos de Lira"/>
        <s v="Raquel Vitoria Rodrigues Gomes"/>
        <s v="Gilvania da Silva Gomes"/>
        <s v="Angelica Maria dos Santos Silva"/>
        <s v="Alice Cristina do Sacramento Felix"/>
        <s v="Maria Eduarda da Silva Simplicio"/>
        <s v="Edercarla Angela da Silva"/>
        <s v="Laureli Henrique de Oliveira"/>
        <s v="Kaillany Vitoria Sales da Siva"/>
        <s v="Samara Aretha Queiroz do Nascimento Neves"/>
        <s v="Valquiria Santos Fernandes Vieira"/>
        <s v="Jhennyfer Flavia Barbosa de Andrade Cavalcante"/>
        <s v="Sara Maria da Silva"/>
        <s v="Caelene Goncalves da Silva"/>
        <s v="Jaqueline da Silva Moreira"/>
        <s v="Caelene Goncalves da Silva "/>
        <s v="Caroline Maria de Santana"/>
        <s v="Maria Taynara Macena de Souza Santos"/>
        <s v="Mayara Oliveira de Sena"/>
        <s v="Beatriz Carla Araujo Nascimento"/>
        <s v="Werica Souza de Azevedo"/>
        <s v="Mariana Stefany Praxedes de Santana"/>
        <s v="Natalia Maria Andrade da Silva "/>
        <s v="Anna Karolina de Santana Campos"/>
        <s v="Amanda Rafaely Vieira da Fonseca"/>
        <s v="Claudia Adriana da Silva"/>
        <s v="Maria Eduarda dos Santos Pereira"/>
        <s v="Juliana Paula Alexandrino de Santana"/>
        <s v="Maria Cristina Tributino de Oliveira"/>
        <s v="Shirley da Hora de Oliveira"/>
        <s v="Maria Jose Vieira da Silva"/>
        <s v="Lidia de Moraes Santo"/>
        <s v="Sabrina Lira de Tavares"/>
        <s v="Thaynara Nunes de Santana"/>
        <s v="Rafaela Bezerra da Silva"/>
        <s v="Joseilda Maria da Silva"/>
        <s v="Karine Virgnia Faierstein de Barros"/>
        <s v="Thaline Tenório de Assis"/>
        <s v="Ketlen Milene de Araujo Barbosa"/>
        <s v="Milena Pereira da Silva"/>
        <s v="Maria Rayanne Lima de Moraes"/>
        <s v="Marilia Conceicao Dias Veiga"/>
        <s v="Rosileide Marques Alves do Nascimento"/>
        <s v="Karolaine da Silva Santos"/>
        <s v="Sabrina Leticia Ferreira de Lima Avelino"/>
        <s v="Isabela Souza de Oliveira"/>
        <s v="Kettly Alves de Mendonça"/>
        <s v="Thais Andrea Oliveira do Nascimento"/>
        <s v="Juliana Karla Negreiros do Nascimento"/>
        <s v="Anna Julia Cavalcanti dos Santos"/>
        <s v="Emilayne Barbosa da Silva"/>
        <s v="Keila Mislene da Silva"/>
        <s v="Letycia Carolane Marques da Silva"/>
        <s v="Poliana das Neves Silva"/>
        <s v="Caroline Cristina da Silva"/>
        <s v="Adna Djully Vieira Y Cunha"/>
        <s v="Grace Kelly da Silva Santana "/>
        <s v="Soleane dos Santos Paiva"/>
        <s v="Elaine Flavia dos Santos Manoel"/>
        <s v="Ana Beatriz Augusto de Lima"/>
        <s v="Jessika Carla da Silva"/>
        <s v="Paula Maria de Sena"/>
        <s v="Natalia Luiza do Nascimento Silva"/>
        <s v="Iris dos Santos Silva"/>
        <s v="Eduarda Suzani dos Santos Rolim"/>
        <s v="Vanessa Fabia Gomes da Silva"/>
        <s v="Mikelle Maria da Silva Santos"/>
        <s v="Joyce Marinho da Silva"/>
        <s v="Fabiana Andreza das Neves"/>
        <s v="Isabelle Joyce de França da Silva"/>
        <s v="Jessica Rayanne da Silva"/>
        <s v="Bruna Beatriz de Sena da Silva"/>
        <s v="Stefany Katarina da Silva Oliveira"/>
        <s v="Michelle Rodrigues da Silva"/>
        <s v="Maria Eduarda dos Santos Barboza"/>
        <s v="Danielle Janaina da Silva "/>
        <s v="Samara Albuquerque Alves"/>
        <s v="Macione Maria Eduardo D Souza"/>
        <s v="Jeyne Ariel Araujo da Costa"/>
        <s v="Poliana Soares Basilio do Carmo"/>
        <s v="Isa Rayanne de Moura Costa"/>
        <s v="Amanda Firmino da Paz"/>
        <s v="Maria Isabel da Silva"/>
        <s v="Maria Rita Caetana dos Santos"/>
        <s v="Micheline da Costa Silva"/>
        <s v="Vitoria Kelly Barbosa Bezerra"/>
        <s v="Tercia Innarah de Lucena Pereira"/>
        <s v="Mayara Jeniffer Oliveira do Nascimento"/>
        <s v="Ellen Victoria Claudino Oliveira"/>
        <s v="Lidia Vitória Anacleto"/>
        <s v="Natalia dos Santos Ferreira"/>
        <s v="Aline Alexsandra Mendes dos Santos"/>
        <s v="Ritshelly Cassia da Silva"/>
        <s v="Sthefany Kelly Ferreira Rios"/>
        <s v="Rosangela Patricia Vania de Oliveira"/>
        <s v="Roseanne Santana Ribeiro"/>
        <s v="Kauanny Emanuelly do Nascimento"/>
        <s v="Grace Kelly da Silva Santana"/>
        <s v="Karla Cristina dos Santos Silva"/>
        <s v="Tayane dos Santos Meira"/>
        <s v="Maria Eduarda de Miranda Cavalcanti"/>
        <s v="Aline Mauricio dos Santos"/>
        <s v="Vanessa Nascimento de Araujo"/>
        <s v="Heloisa Marques Bezerra"/>
        <s v="Joelma Carla da Silva Araujo"/>
        <s v="Claudia Silva de Souza"/>
        <s v="ANNY CAROLYNNE FERREIRA DA SILVA"/>
        <s v="Aline Mauricio dos Santos "/>
        <s v="Thallyne Maria Silva dos Santos"/>
        <s v="Renata Maria da Conceição"/>
        <s v="Fabiana Maria da Silva"/>
        <s v="Maria Betania Alves Vieira"/>
        <s v="Rayane Carla Carneiro"/>
        <s v="Hellen Cristina da Silva Cruz"/>
        <s v="Pamella Roberta de Sousa da Silva"/>
        <s v="Bianca Nathalia Andrade de Souza"/>
        <s v="Maria Eduarda Alves Santana"/>
        <s v="Ana Julia Trajano Lima"/>
        <s v="Maria Cristiane de Oliveira"/>
        <s v="Steffane Kelly da Silva"/>
        <s v="Maria Eduarda Cruz Fonseca"/>
        <s v="Pollyana Nery Flor"/>
        <s v="Mikaelle Rodrigues Ramos de Souza"/>
        <s v="Williane da Silva Cardoso"/>
        <s v="Carolina de Vasconcelos Soares"/>
        <s v="Erica Maria de Araujo Gomes"/>
        <s v="Raiane Carine de Souza Silva"/>
        <s v="Maira Gila de Oliveira Silva"/>
        <s v="Maria Aparecida de Jesus Dias"/>
        <s v="Poliana Silva da Cunha"/>
        <s v="Juliana Emilly Cavalcanti dos Santos"/>
        <s v="Priscila Matos do Nascimento"/>
        <s v="Bianca Carina Silva Lucena"/>
        <s v="Luenia Maria Andrade das Neves"/>
        <s v="Maria Betania Alves Vieira "/>
        <s v="Jaqueline da Silva Meneses"/>
        <s v="Sheila Cruz de Lemos"/>
        <s v="Anne Karenina Marques da Silva"/>
        <s v="Luciana Rodrigues dos Santos"/>
        <s v="Cristiane da Silva Tavares"/>
        <s v="Kilzy da Silva Cordeiro Albuquerque"/>
        <s v="Maria Vitoria Barbosa Ramos"/>
        <s v="Simone Valentim Vieira"/>
        <s v="Argentina Candida do Nascimento"/>
        <s v="Luana Vasconcelos Ferreira da Silva"/>
        <s v="Jacilene Serra Cruz"/>
        <s v="Stella Vitoria Dias do Nascimento"/>
        <s v="Amanda Santiago dos Santos"/>
        <s v="Paola Tamares Herculano Silva"/>
        <s v="Fernanda Maria Brito de Arruda"/>
        <s v="Rosangela Rodrigues de Almeida"/>
        <s v="Ana Lucia da Costa Oliveira"/>
        <s v="Luana Conceicao Araujo"/>
        <s v="Flaviana Mirelle Torquato da Silva"/>
        <s v="Lis Helena de Carvalho Nogueira"/>
        <s v="Luana Conceicaõ Araujo"/>
        <s v="Ana Carla Xavier Cordeiro"/>
        <s v="Andrielly Silva de Lima"/>
        <s v="Tatiana Sumaya Barbosa da Silva"/>
        <s v="Niedja de Oliveira Barbosa"/>
        <s v="Yara Beatriz Pereira da Silva"/>
        <s v="Yasmim Ellen de Oliveira Andrade"/>
        <s v="Tharcila Kauanny Silva de Souza"/>
        <s v="Vanessa Conceicao Ferreira dos Santos"/>
        <s v="Ariana Roberta Ferreira da Silva"/>
        <s v="Erica Larissa Rigueira de Lima"/>
        <s v="Vanessa Conceição Ferreira dos Santos"/>
        <s v="Larissa Torres Sampaio"/>
        <s v="Kayllane Kamilly Feitoza Marinho"/>
        <s v="Danielle Mariane da Silva"/>
        <s v="Marcela Manuele de Souza Barros"/>
        <s v="Alessandra Maria do Nascimento"/>
        <s v="Larissa Silva de Souza"/>
        <s v="Leticia da Silva Chagas"/>
        <s v="Maria Milena Bispo"/>
        <s v="Maria Eduarda Santana dos Santos "/>
        <s v="Iracelly Silvestre Silva"/>
        <s v="Indrid Ferreira da Silva"/>
        <s v="Marluce Cintia Oliveira dos Santos"/>
        <s v="Girleide Silva das Merces Barbosa"/>
        <s v="Lucineia Gomes da Silva"/>
        <s v="Yasmim Thais Ferreira da Silva"/>
        <s v="Milleny Eduarda Vital da Silva"/>
        <s v="Camila Pereira Ferreira"/>
        <s v="Debora Dayane da Costa Marques "/>
        <s v="Talita Karla Lima da Silva"/>
        <s v="Rayla Thune Dovale Bizarria"/>
        <s v="Tamires Maria Brito"/>
        <s v="Maria Daniela Santos de Araujo"/>
        <s v="Saiuri Vieira da Cunha"/>
        <s v="Aline Maria Rodrigues"/>
        <s v="Maria Gabriela Goncalves da Silva "/>
        <s v="Ester Monte dos Santos"/>
        <s v="Aline Rodrigues Mathias da Silva"/>
        <s v="Maria Gabriela Goncalves da Silva"/>
        <s v="Eliane Borges da Silva"/>
        <s v="Tayana Sumaya Barbosa da Silva"/>
        <s v="Rayssa Carolinna Fereira dos Santos"/>
        <s v="Rosangela Maria de Albuquerque Nascimento"/>
        <s v="Rosicleide Lopes da Silva "/>
        <s v="Pamela Filgueira Barros"/>
        <s v="Ana Carolina da Silva"/>
        <s v="Paula Roberta Oliveira da Silva"/>
        <s v="Juliana de Almeida Rocha"/>
        <s v="Rita de Cássia Pereira de Menezes"/>
        <s v="Maria Cecilia Queiroga dos Santos"/>
        <s v="Mayara Camila Candida de Almeida"/>
        <s v="Iasmim Sales de Santana Silva"/>
        <s v="Joyce Martins dos Santos"/>
        <s v="Debora Joelly da Silva Costa"/>
        <s v="Raphaela Nascimento da Silva"/>
        <s v="Leticia Gabriela Queiroz de Souza"/>
        <s v="Katllyn Laryssa de Souza Bezerra"/>
        <s v="Ana Beatriz Pereira da Silva"/>
        <s v="Raiane Dias Nascimento"/>
        <s v="Emelly Lays Izidio das Chagas"/>
        <s v="Eduarda Cecilia da Silva"/>
        <s v="Jessika Belo da Silva"/>
        <s v="Débora Domingos da Silva Amorim"/>
        <s v="Fabia Maria de Santana"/>
        <s v="Sabrina Mikaele da Silva Sa"/>
        <s v="Andreza Ferreira de Almeida"/>
        <s v="Rosimere Barbosa Santana"/>
        <s v="Emylly Novaes Gomes de Lima"/>
        <s v="Isabele Carla da Silva Dantas"/>
        <s v="Jessika Suzy Bernardo Lopes"/>
        <s v="Gabriela Nascimento da Silva"/>
        <s v="Elizabeth Antonia Menezes Pinheiro"/>
        <s v="Karolayne Maria Costa dos Santosa"/>
        <s v="Eduarda Cristina Silva da Hora"/>
        <s v="Karolina Driele Amorim da Rocha"/>
        <s v="Maria Brigida Chaprao da Silva"/>
        <s v="Josicleide Barbosa Silva"/>
        <s v="Ewelin Maria da Silva"/>
        <s v="Ynara Lays da Silva Lins"/>
        <s v="Karollyne Vanessa da Silva Soares"/>
        <s v="Poliana Barbosa dos Santos"/>
        <s v="Isabele Patricia da Silva Mendes"/>
        <s v="Bianca Stephane Lima da Silva"/>
        <s v="Rayanne Gleice da Silva Reis"/>
        <s v="Juliana Rodrigues de Oliveira"/>
        <s v="Suelayne Fagundes Falcão"/>
        <s v="Rute Arruda Rodrigues"/>
        <s v="Iasmim Alves Gomes da Silva"/>
        <s v="Jenyffer Moraes Tavares"/>
        <s v="Carla Daniele Pereira da Silva"/>
        <s v="Jaciane Maria de Araujo"/>
        <s v="Analice Ferreira da Silva"/>
        <s v="Raissa Kauany Alecrim da Fonseca"/>
        <s v="Gerlane Cabral da Silva"/>
        <s v="Karoline Cavalcanti da Silva"/>
        <s v="Marilia Machado da Silva"/>
        <s v="Rayzza Marques Salgado da Silva"/>
        <s v="Maria Nivaneide de Abreu Lima"/>
        <s v="Jéssica Fernanda Martins de Oliveira"/>
        <s v="Emilly Vitoria da Silva Oliveira"/>
        <s v="Alicia Ohana Gomes Damasceno"/>
        <s v="Gleice Kelly Barboza de Lima"/>
        <s v="Amanda Dayane da Silva"/>
        <s v="Natalia Aparecida da Silva"/>
        <s v="Rayssa Carolinna Ferreira dos Santos"/>
        <s v="Amanda Costa Silva"/>
        <s v="Ana Caroline Maria da Silva"/>
        <s v="Maria Luiza Wanderley Santos"/>
        <s v="Adriele Herculano da Silva"/>
        <s v="Vitoria Lima dos Santos"/>
        <s v="Myllena Batista Barros"/>
        <s v="Valquiria Conceição Alves de Barros"/>
        <s v="Bruna Talita Placido da Silva"/>
        <s v="Patricia Antonio Rozario Sampaio de Brito"/>
        <s v="Ketheury Andrade dos Santos"/>
        <s v="Ana Flavia Monte dos Santos "/>
        <s v="Maria Thayna Santos Lima"/>
        <s v="Ana Flavia Monte dos Santos"/>
        <s v="Maria Eduarda da Silva Seabra"/>
        <s v="Isabelle Thamires da Silva Dias "/>
        <s v="Vanessa Maria dos Santos"/>
        <s v="Vitoria Alves de Oliveira Cavalcanti "/>
        <s v="Janifer Lopes dos Santos"/>
        <s v="Adrielly Alves da Silva"/>
        <s v="Wendy Oliveira Duarte"/>
        <s v="Dayse da Silva de França"/>
        <s v="Barbara Stela Bastos do Nascimento Guedes"/>
        <s v="Ana Karolynne da Silva"/>
        <s v="Nicole Helen da Silva"/>
        <s v=" Luana da Silva Santos"/>
        <s v="Dyana Vitoria Ferreira dos Santos"/>
        <s v="Luana da Silva Santos"/>
        <s v="Ketiny Magna Vasconcelos Santos"/>
        <s v="Lais Carine Guimaraes Viana Cancio"/>
        <s v="Maria Mycaela Barbosa Teixeira"/>
        <s v="Nathalia Pereira Torres da Silva"/>
        <s v="VivianViviane Rodrigues Correia de Santana"/>
        <s v="Haymé Alcazar da Conceição do Nascimento"/>
        <s v="Viviane Rodrigues Correia de Santana"/>
        <s v="Ana Carla Severo da Silva"/>
        <s v="Roseana da Silva Ribeiro"/>
        <s v="Angelina Silva de Santana"/>
        <s v="Silvia Almeida Simoes Ferreira"/>
        <s v="Joana Darc Barbosa Santos Torres"/>
        <s v="Pricila Celice Lima dos Santos"/>
        <s v="Rafaela Francisca de Lima"/>
        <s v="Kaylane Danielle Barros Alves"/>
        <s v="Thayna Cristina de Moura Andrade"/>
        <s v="Sthefany Kelly Ferreira Rios "/>
        <s v="Thais Lima Gomes da Silva"/>
        <s v="Maria Eduada Seabra"/>
        <s v="Rosineide Martins Rodrigues"/>
        <s v="Karina dos Santos Oliveira"/>
        <s v="Emile Carolyne Paula da Silva "/>
        <s v="Julia Gabriela Barbosa da Silva"/>
        <s v="Maria Eduarda Seabra"/>
        <s v="Bruna Felipe da Silva"/>
        <s v="Nielly Vitoria Cabral de Lima"/>
        <s v="Jessica Maria Gomes dos Santos"/>
        <s v="Diana Karolainy Rodrigues dos Santos"/>
        <s v="Micaela Caroline de Franca Santos"/>
        <s v="Bruna Vitoria Ferreira da Silva Leao"/>
        <s v="Andreyce Ritchelly Gomes Rocha"/>
        <s v="Vitoria da Silva Gomes"/>
        <s v="Thaylania Virginia Machado de Holanda Andrade"/>
        <s v="Elizangela Maria da Silva"/>
        <s v="Jeynielle Alcantara Lima Fortunato"/>
        <s v="Jaynne de França Brito"/>
        <s v="Paloma Milena de Menezes Santos"/>
        <s v="Maria Flabyan Cricya Ventura Xavier"/>
        <s v="Dara Daiane Silva de Andrade"/>
        <s v="Luane Campelo de Oliveira"/>
        <s v="Larissa Jussiely Nascimento de Souza"/>
        <s v="Adrielle Vitoria da Silva Ferreira"/>
        <s v="Rayelle Roberta Barbosa do Espirito Santo"/>
        <s v="Marcia Caetano Barbosa"/>
        <s v="Elizia Keisy Gomes da Silva"/>
        <s v="Thaisa Maria Rocha Lima"/>
        <s v="Fernanda de Araujo Silva"/>
        <s v="Maryanna Chistine dos Santos e Silva"/>
        <s v="Vanusa Alves da Silva"/>
        <s v="Rosilene Rodrigues Pereira da Silva"/>
        <s v="Danille Clemente Prazo"/>
        <s v="Jhoyce de Arruda e Silva"/>
        <s v="Adrielly Negreiros da Silva Fidelis"/>
        <s v="Mayara de Sa Borba Pinto Pereira"/>
        <s v="Andrea dos Santos Andrade"/>
        <s v="Alexsandra Nascimento de Barros"/>
        <s v="Alania Gomes da Silva"/>
        <s v="Maria Eduarda França da Silva"/>
        <s v="Adriele Emyly de Lima"/>
        <s v="Amanda Ines da Silva "/>
        <s v="Mykaelle Rebeca do Nascimento Lima"/>
        <s v="Cristina Rodrigues da Silva"/>
        <s v="Annyeli Santos Rodrigues"/>
        <s v="Isabelle Thamyres de Silva Dias"/>
        <s v="Ruama Gabriela Nascimento"/>
        <s v="Andrea Silva Andrade Bandeira"/>
        <s v="Lorena Ribeiro de Carvalho"/>
        <s v="Nataly Lucinda Ferreira"/>
        <s v="Ana Caroline Bezerra da Silva"/>
        <s v="Saira Esperanza Vargas Sanchez"/>
        <s v="Crislayne Silva Cavalcanti"/>
        <s v="Isabele da Silva Barbosa"/>
        <s v="Michaelly Rhuanna Dias Soares"/>
        <s v="Taciana Barbosa da Silva"/>
        <s v="Jullyanna Cristina Albuquerque Sousa Macêdo"/>
        <s v="Edilaine Maria Anunciado"/>
        <s v="Annyeli Santos Rodrigues "/>
        <s v="Ana Lucia de Santana Silva"/>
        <s v="Edneide Silva da Cruz"/>
        <s v="Alice Cabral Delgado Falcao"/>
        <s v="Isabele Mikelle Oliveira dos Santos"/>
        <s v="Ana Alice dos Santos Alves"/>
        <s v="Valeska Dayse Morais dos Santos"/>
        <s v="Kessiane Cristina Bernadina da Silva"/>
        <s v="Veronica Epifanio Sales Sauza"/>
        <s v="Evylen Eduarda do Nascimento Oliveira "/>
        <s v="Kauana Gabryella de Oliveira Goncalves"/>
        <s v="Evylen Eduarda do Nascimento Oliveira"/>
        <s v="Vanessa de Araujo Amorim"/>
        <s v="Taynam Ramos Ferreira da Silva"/>
        <s v="Renata Maria da Silva Santos"/>
        <s v="Marilia Soares de Oliveira"/>
        <s v="Valeria Conceição da Silva Santos"/>
        <s v="Jayane Cristianelle da Silva"/>
        <s v="Eduarda Estefane Siqueira de Souza"/>
        <s v="Roseane Silva Otaviano"/>
        <s v="Maria Eduarda da Silva"/>
        <s v="Ghefylle Carvalho da Trindade"/>
        <s v="Ester Hadassa Silva de Lima"/>
        <s v="Lethycia Karolayne Neres de Lima"/>
        <s v="Aynoa Izabel de Lima Correia"/>
        <s v="Beatriz Maria da Silva"/>
        <s v="Rafaela Chagas da Silva"/>
        <s v="Mirella Alexandra Queiroz Silva"/>
        <s v="Itamara Karoline Maria Odilon da Silva"/>
        <s v="Kassandra Maria da Silva"/>
        <s v="Alice Leticia Alves do Nascimento"/>
        <s v="Geysiane Goncalves Anastacio"/>
        <s v="Allana Berenice da Silva"/>
        <s v="Adriely Emille Gonçalves de Lima"/>
        <s v="Elizangela Pereira de Oliveira Silva"/>
        <s v="Rafaela Santana da Silva"/>
        <s v="Gleyce Kelly Borges de França"/>
        <s v="Geane Correia de Araujo"/>
        <s v="Warla Kelle da Silva"/>
        <s v="Maria Luiza Sales Pessoa de Meireles"/>
        <s v="Hellen Sulyva Pereira da Silva"/>
        <s v="Pryscilla Matos do Nascimento"/>
        <s v="Leinadh Maria da Silva Martins"/>
        <s v="Fernanda Bezerra da Silva"/>
        <s v="Crislaine Estima da Silva"/>
        <s v="Ladijane Miranda de Siqueira"/>
        <s v="Debora Amanda da Silva"/>
        <s v="Leila Flavia Nascimento da Silva"/>
        <s v="Anna Regina Guedes de Souza"/>
        <s v="Isabela Patricia da Silva Mendes"/>
        <s v="Jania Alexandre Ricardo Freitas"/>
        <s v="Larisse Crispiniano da Silva"/>
        <s v="Patricia da Silva Nascimento"/>
        <s v="Gleyciane Maria da Silva Sales"/>
        <s v="Caroline Eugenia Araújo da Silva Oliveira"/>
        <s v="Juliana Maria da Silva de Araujo"/>
        <s v="Lucelia Maria Vitor do Nascimento"/>
        <s v="Tainan da Silva Lima"/>
        <s v="Maria Jose Elias de Araujo"/>
        <s v="Silvana Kimberlly Libanio Soares Silva"/>
        <s v="Bruna Rita Oliveira de Albuquerque"/>
        <s v="Helen Jayane da Silva Martiniano"/>
        <s v="Emanuela Danielle Silva de Moura"/>
        <s v="Jessica Pinheiro da Silva"/>
        <s v="Gleice Correia de Oliveira "/>
        <s v="Jessica Priscila da Silva Gomes"/>
        <s v="Karina Bezerra dos Santos"/>
        <s v="Rayane Milena da Silva"/>
        <s v="Bruna Rafaela Rodrigues da Silva"/>
        <s v="Thayna Elias Braz Pereira"/>
        <s v="Maria Angelica Gonçalves da Silva"/>
        <s v="Joyce Silva Prazeres"/>
        <s v="Wanessa Daphine de Araujo"/>
        <s v="Laís Marta Pereira"/>
        <s v="Ellen Mayra da Silva Ferreira"/>
        <s v="Stefany Souza Silva"/>
        <s v="Andreza Goncalves do Nascimento"/>
        <s v="Adrielly Emille Goncalves de Lima"/>
        <s v="Layla Beatriz Xavier Correia"/>
        <s v="Fabiana da Silva Alexandre"/>
        <s v="Bianca Xaiane Marques Lira Paz"/>
        <s v="Josilene de Oliveira Nunes"/>
        <s v="Havane Sumaya da Silva"/>
        <s v="Jessica Regina da Silva Brasileiro"/>
        <s v="Pamela Vitoria da Silva Santos"/>
        <s v="Carolayne Lins Ferreira"/>
        <s v="Gleice Kelly Felix da Silva"/>
        <s v="                                                                                                                                                                                                                                                               "/>
      </sharedItems>
    </cacheField>
    <cacheField name="CPF" numFmtId="0">
      <sharedItems containsBlank="1" containsNumber="1" containsInteger="1" containsMixedTypes="1" count="731">
        <m/>
        <n v="11298976480"/>
        <n v="14037728435"/>
        <n v="70244496404"/>
        <s v="09950658454"/>
        <n v="71158194404"/>
        <n v="11442698497"/>
        <n v="12075004455"/>
        <n v="4882140411"/>
        <s v="05900599477"/>
        <n v="70895876493"/>
        <n v="71176140485"/>
        <n v="10768708486"/>
        <n v="70467347476"/>
        <n v="71724929437"/>
        <n v="13393664441"/>
        <n v="11784645478"/>
        <n v="70673369455"/>
        <n v="70398985430"/>
        <n v="11046557483"/>
        <n v="5141053482"/>
        <n v="70823253473"/>
        <n v="6615987481"/>
        <n v="11260421457"/>
        <s v="05341859405"/>
        <n v="17838599466"/>
        <n v="70494219440"/>
        <s v="04802254431"/>
        <s v="04987045486"/>
        <s v="07063328492"/>
        <n v="10886615488"/>
        <n v="70989029425"/>
        <n v="13102393470"/>
        <s v="04393038428"/>
        <s v="09344287430"/>
        <s v="08010319406"/>
        <n v="70672195402"/>
        <n v="13188065426"/>
        <n v="9800656405"/>
        <n v="71052522432"/>
        <n v="13025935448"/>
        <n v="9778988498"/>
        <s v="07907825458"/>
        <s v="09744242426"/>
        <n v="10989907490"/>
        <n v="70816320411"/>
        <s v="09778988498"/>
        <s v="05141053482"/>
        <s v="09359835463"/>
        <n v="16271078435"/>
        <n v="70492275440"/>
        <n v="11505533406"/>
        <s v="08608151456"/>
        <n v="16983892488"/>
        <n v="70759953406"/>
        <s v="06810407421"/>
        <n v="11202951490"/>
        <n v="4182489314"/>
        <s v="09147189401"/>
        <s v="01485735416"/>
        <n v="70663872448"/>
        <n v="70750015403"/>
        <n v="7018160405"/>
        <n v="11477468420"/>
        <n v="11672152496"/>
        <n v="10254647456"/>
        <s v="08019242430"/>
        <n v="11686962401"/>
        <n v="10134721446"/>
        <n v="10683896482"/>
        <n v="13705305441"/>
        <n v="71149073462"/>
        <s v="08732975473"/>
        <n v="9307215430"/>
        <n v="11070665495"/>
        <n v="13333687470"/>
        <s v="05506462484"/>
        <s v="08887603456"/>
        <s v="09890454475"/>
        <n v="70266535470"/>
        <n v="12681650429"/>
        <n v="12312110407"/>
        <s v="01784036447"/>
        <s v="09955568496"/>
        <s v="03787319476"/>
        <n v="10871836424"/>
        <n v="70174742444"/>
        <s v="09566394454"/>
        <n v="9840507443"/>
        <n v="12618533429"/>
        <n v="70332071405"/>
        <n v="15354635462"/>
        <s v="09504531458"/>
        <s v="06443929403"/>
        <n v="8886917422"/>
        <n v="71003727476"/>
        <s v="09383941421"/>
        <n v="71212578406"/>
        <n v="11633312445"/>
        <n v="14118111438"/>
        <n v="14549161418"/>
        <n v="11635639433"/>
        <s v="06569084402"/>
        <n v="70161894496"/>
        <s v="06713356427"/>
        <n v="70254002463"/>
        <n v="71232849413"/>
        <s v="09255445405"/>
        <s v="06929822485"/>
        <s v="08237090438"/>
        <s v="07992425430"/>
        <n v="7865414480"/>
        <n v="15164122499"/>
        <n v="70628172443"/>
        <n v="70806053429"/>
        <n v="13689158419"/>
        <n v="70489527418"/>
        <n v="10848694465"/>
        <n v="7865411480"/>
        <n v="11296639495"/>
        <n v="8867737414"/>
        <s v="05508503412"/>
        <s v="09971354411"/>
        <s v="09225710402"/>
        <s v="09141821459"/>
        <n v="12379186421"/>
        <n v="13960082410"/>
        <n v="13964557447"/>
        <s v="08357295401"/>
        <s v="06785683408"/>
        <n v="71168341418"/>
        <s v="06530344403"/>
        <s v="01727295480"/>
        <n v="70981155413"/>
        <n v="15111735488"/>
        <s v="07857213470"/>
        <s v="09007371401"/>
        <s v="07716126482"/>
        <n v="71199151424"/>
        <n v="70053271440"/>
        <n v="10347149456"/>
        <n v="14500412484"/>
        <n v="14389171470"/>
        <n v="10977407497"/>
        <n v="70209688483"/>
        <s v="07331511408"/>
        <s v="07864208479"/>
        <n v="70169058450"/>
        <n v="10807429481"/>
        <n v="10746529406"/>
        <n v="10859410439"/>
        <n v="14671356406"/>
        <s v="06529668454"/>
        <n v="13484506490"/>
        <n v="71331323460"/>
        <s v="01446203409"/>
        <n v="11915750474"/>
        <s v="01368258425"/>
        <s v="01450922406"/>
        <n v="71214897401"/>
        <n v="70642278431"/>
        <n v="71772736465"/>
        <n v="11275270450"/>
        <n v="70833388410"/>
        <n v="11152651480"/>
        <n v="10316599433"/>
        <s v="08103033456"/>
        <n v="11004310471"/>
        <s v="08885743471"/>
        <s v="09397155466"/>
        <n v="71206260432"/>
        <n v="71188041428"/>
        <n v="10258675489"/>
        <s v="05717648430"/>
        <s v="09815364413"/>
        <n v="12410257461"/>
        <n v="70922340420"/>
        <n v="11539536416"/>
        <n v="12393596402"/>
        <n v="10709582471"/>
        <n v="70815266405"/>
        <n v="71140511408"/>
        <s v="06992220446"/>
        <n v="71345615426"/>
        <s v="09713035410"/>
        <n v="12867231400"/>
        <s v="07002578456"/>
        <n v="70596684460"/>
        <n v="12143833431"/>
        <s v="03923058950"/>
        <n v="13715554436"/>
        <n v="10966441427"/>
        <n v="11136345450"/>
        <n v="12417806410"/>
        <n v="70713534419"/>
        <s v="07615206430"/>
        <n v="17002859471"/>
        <n v="10232065446"/>
        <n v="14825985408"/>
        <n v="37407870829"/>
        <n v="17143084484"/>
        <n v="71580630464"/>
        <s v="08921673431"/>
        <n v="13387549474"/>
        <n v="10509610480"/>
        <n v="71177047489"/>
        <n v="16111740407"/>
        <s v="08568515401"/>
        <s v="06646982473"/>
        <n v="13439690423"/>
        <n v="11350403466"/>
        <n v="12902294492"/>
        <n v="12871055483"/>
        <s v="05166807499"/>
        <s v="09343711484"/>
        <s v="08886917422"/>
        <s v="01352820471"/>
        <n v="17810560484"/>
        <n v="70191449423"/>
        <s v="09638619481"/>
        <n v="71252858485"/>
        <n v="11277531420"/>
        <n v="71567974414"/>
        <s v="08477858403"/>
        <s v="07912410414"/>
        <n v="10502529423"/>
        <n v="71189011484"/>
        <n v="71677469404"/>
        <n v="13785512490"/>
        <s v="09194447411"/>
        <n v="10516087401"/>
        <n v="70761378448"/>
        <n v="70557677416"/>
        <s v="01829481452"/>
        <s v="09077054480"/>
        <s v="05428508426"/>
        <s v="07162770428"/>
        <n v="10358856469"/>
        <s v="08594293429"/>
        <n v="7092486440"/>
        <s v="09242838403"/>
        <n v="11802983490"/>
        <s v="08724492469"/>
        <s v="07092486440"/>
        <s v="09048100461"/>
        <n v="10094451460"/>
        <n v="13470321426"/>
        <n v="70754885461"/>
        <n v="12180538448"/>
        <n v="70512638462"/>
        <n v="17329918474"/>
        <s v="09926155421"/>
        <n v="71581178476"/>
        <s v="08897467458"/>
        <s v="09725947444"/>
        <n v="10804409412"/>
        <s v="08970731423"/>
        <s v="06468732450"/>
        <n v="10323624480"/>
        <n v="70301390460"/>
        <s v="09181379420"/>
        <s v="07859294443"/>
        <n v="10640834477"/>
        <n v="71688931490"/>
        <n v="70195446496"/>
        <n v="70793267455"/>
        <n v="16629595408"/>
        <n v="11267816490"/>
        <s v="06556220477"/>
        <s v="05029110429"/>
        <n v="70164641483"/>
        <n v="10704925400"/>
        <n v="6780936448"/>
        <s v="06780936448"/>
        <s v="03952601403"/>
        <n v="12856949452"/>
        <n v="70242221408"/>
        <n v="70373464460"/>
        <n v="70626108446"/>
        <s v="09624709459"/>
        <s v="05409576403"/>
        <n v="71015297471"/>
        <s v="09236557430"/>
        <n v="10056064470"/>
        <s v="08925830450"/>
        <n v="11541099419"/>
        <s v="04561634410"/>
        <s v="07319672405"/>
        <n v="10113198450"/>
        <n v="17756289498"/>
        <s v="05237532411"/>
        <s v="09813863420"/>
        <s v="06775536410"/>
        <s v="07837957423"/>
        <n v="10433701455"/>
        <s v="04100092458"/>
        <n v="70289116406"/>
        <n v="70551431440"/>
        <n v="71152234404"/>
        <n v="12617371484"/>
        <n v="4854471425"/>
        <s v="07473098411"/>
        <n v="14640046413"/>
        <n v="11412482470"/>
        <n v="12993275402"/>
        <n v="12169521402"/>
        <n v="10088703401"/>
        <s v="07394169448"/>
        <n v="71521746443"/>
        <n v="70161958486"/>
        <s v="08176436488"/>
        <n v="13184626490"/>
        <n v="70991800451"/>
        <n v="70397467435"/>
        <n v="71484091442"/>
        <n v="70770332447"/>
        <s v="08844414406"/>
        <s v="09932432407"/>
        <n v="70961475439"/>
        <n v="11538332477"/>
        <s v="09546579424"/>
        <s v="07962986450"/>
        <s v="06270918499"/>
        <n v="70879519479"/>
        <n v="10750085495"/>
        <n v="12329685440"/>
        <s v="08354118428"/>
        <s v="06588117469"/>
        <n v="11760505404"/>
        <s v="06245697484"/>
        <s v="06211091427"/>
        <n v="11053974400"/>
        <n v="71776241479"/>
        <s v="08722535462"/>
        <n v="71334389411"/>
        <n v="71093916478"/>
        <n v="10499567455"/>
        <n v="11585400432"/>
        <s v="06755866407"/>
        <n v="70577554492"/>
        <n v="70584483457"/>
        <n v="70840198477"/>
        <n v="10039731405"/>
        <s v="06165781489"/>
        <n v="14024568400"/>
        <n v="10903890437"/>
        <s v="09023361423"/>
        <s v="07260242442"/>
        <n v="12266138456"/>
        <n v="10581440498"/>
        <n v="70550585460"/>
        <n v="16762881475"/>
        <n v="13034821425"/>
        <n v="13172784452"/>
        <n v="71484595408"/>
        <n v="14045185410"/>
        <n v="12049566425"/>
        <n v="23273886862"/>
        <n v="10704405407"/>
        <s v="06615610469"/>
        <s v="08757158428"/>
        <n v="71714309444"/>
        <s v="09272101425"/>
        <s v="06075278460"/>
        <n v="14320726766"/>
        <n v="15819343433"/>
        <n v="15953902433"/>
        <n v="11237571430"/>
        <n v="71136052496"/>
        <n v="11034320440"/>
        <n v="70294687408"/>
        <n v="70534816460"/>
        <n v="70837351405"/>
        <n v="10816028486"/>
        <s v="05213591477"/>
        <n v="10501742409"/>
        <n v="71376795442"/>
        <s v="06852178412"/>
        <n v="71377648435"/>
        <s v="09270912400"/>
        <n v="70968471463"/>
        <s v="08844438410"/>
        <s v="08332796458"/>
        <n v="11378137418"/>
        <n v="10811398463"/>
        <n v="70946113408"/>
        <s v="08479536454"/>
        <n v="71396500460"/>
        <n v="13211084436"/>
        <n v="11520185405"/>
        <n v="71181541484"/>
        <n v="13114627404"/>
        <n v="70910159408"/>
        <s v="01589956435"/>
        <s v="09817940411"/>
        <n v="71235645452"/>
        <s v="09000840490"/>
        <s v="07111563441"/>
        <n v="16330430454"/>
        <n v="10290032466"/>
        <n v="11584236400"/>
        <s v="09896030405"/>
        <n v="10436365448"/>
        <s v="09569874430"/>
        <n v="12153382440"/>
        <n v="10628668430"/>
        <n v="8147055455"/>
        <n v="71848583443"/>
        <n v="70766391493"/>
        <n v="11540327442"/>
        <s v="05778167482"/>
        <s v="09024504414"/>
        <n v="13380297461"/>
        <n v="71281728403"/>
        <n v="10760602425"/>
        <n v="16861664430"/>
        <n v="10922880409"/>
        <s v="05071789477"/>
        <n v="11959329448"/>
        <s v="08467540451"/>
        <n v="14039865413"/>
        <s v="08526174452"/>
        <n v="14092906463"/>
        <n v="6462481463"/>
        <n v="10219392420"/>
        <n v="70561899460"/>
        <s v="01732223408"/>
        <s v="08933368400"/>
        <n v="70611531488"/>
        <n v="13497029432"/>
        <n v="9099317476"/>
        <n v="70237674440"/>
        <n v="71369959494"/>
        <s v="09761815412"/>
        <n v="70797418407"/>
        <s v="08386312408"/>
        <n v="70482917458"/>
        <n v="10153924403"/>
        <s v="07302189455"/>
        <n v="71429101431"/>
        <n v="37157378833"/>
        <s v="01632837455"/>
        <n v="70808893408"/>
        <s v="06936977413"/>
        <n v="11904965423"/>
        <n v="71631042432"/>
        <n v="1065749431"/>
        <n v="11984497480"/>
        <n v="10657449431"/>
        <s v="09117402441"/>
        <n v="11066349428"/>
        <s v="09231059483"/>
        <n v="10909927421"/>
        <n v="70425234401"/>
        <n v="71346312494"/>
        <n v="10517656418"/>
        <s v="09753564457"/>
        <s v="09080588458"/>
        <n v="14461093484"/>
        <n v="10687511429"/>
        <n v="71053651457"/>
        <s v="09454086413"/>
        <n v="70198196482"/>
        <s v="06057290429"/>
        <n v="12472908407"/>
        <n v="71430049448"/>
        <n v="12226276475"/>
        <n v="10160330440"/>
        <s v="09628716484"/>
        <s v="09842512436"/>
        <n v="12247533485"/>
        <n v="71450636462"/>
        <n v="70500049440"/>
        <n v="16484138460"/>
        <n v="11480668451"/>
        <s v="03368101480"/>
        <s v="09357792481"/>
        <n v="72068534479"/>
        <n v="13951086416"/>
        <n v="10752547445"/>
        <n v="22784714810"/>
        <n v="70261856405"/>
        <s v="08351582417"/>
        <n v="71258001497"/>
        <n v="39403127899"/>
        <s v="01391594444"/>
        <s v="06554886427"/>
        <n v="16009723493"/>
        <n v="71266803416"/>
        <n v="11012606457"/>
        <n v="9753564457"/>
        <n v="11229954406"/>
        <s v="06571354454"/>
        <s v="09092644498"/>
        <s v="04671793440"/>
        <n v="71681386429"/>
        <n v="15842009447"/>
        <s v="08220304464"/>
        <n v="70085444480"/>
        <s v="14825985408"/>
        <n v="11274887402"/>
        <n v="12912334403"/>
        <s v="08971497424"/>
        <n v="70505915480"/>
        <s v="04876514488"/>
        <n v="13393293443"/>
        <n v="11257950428"/>
        <n v="12265832456"/>
        <n v="12932162403"/>
        <n v="12627302442"/>
        <s v="09778501459"/>
        <n v="10979586470"/>
        <n v="70191405485"/>
        <s v="04939304426"/>
        <s v="09404433411"/>
        <s v="08842150401"/>
        <s v="09224274455"/>
        <n v="12256305414"/>
        <n v="70937498440"/>
        <s v="09900961498"/>
        <n v="71144197406"/>
        <n v="12102109402"/>
        <n v="70493080481"/>
        <n v="71998664457"/>
        <n v="70981237495"/>
        <n v="70443909431"/>
        <n v="70942859499"/>
        <n v="10991103432"/>
        <n v="14567730461"/>
        <n v="13645225439"/>
        <s v="08813404484"/>
        <n v="12479929426"/>
        <n v="14039334485"/>
        <n v="11123861498"/>
        <n v="70410093432"/>
        <s v="08052436400"/>
        <n v="10717354466"/>
        <n v="71466211466"/>
        <s v="05497260470"/>
        <s v="09589544452"/>
        <s v="07969064400"/>
        <n v="71557419493"/>
        <n v="10930499441"/>
        <s v="07453742471"/>
        <n v="71818397480"/>
        <n v="70632914408"/>
        <s v="09540280400"/>
        <s v="00059759305"/>
        <n v="10499514416"/>
        <n v="16751619413"/>
        <s v="07181969455"/>
        <n v="12362817482"/>
        <s v="09245048462"/>
        <n v="12935047427"/>
        <n v="70428539467"/>
        <s v="08873260489"/>
        <n v="15871498426"/>
        <s v="07339708421"/>
        <n v="12513606450"/>
        <n v="71415495440"/>
        <n v="10793952450"/>
        <n v="10340541474"/>
        <s v="08170030455"/>
        <n v="71492471488"/>
        <n v="71662525451"/>
        <n v="70528685473"/>
        <n v="12351052455"/>
        <s v="07262847422"/>
        <n v="71219042412"/>
        <n v="70758250460"/>
        <n v="11786881438"/>
        <n v="12494781469"/>
        <n v="10956410421"/>
        <n v="10813817447"/>
        <n v="11608060470"/>
        <n v="11098787455"/>
        <s v="07202895480"/>
        <n v="13973758417"/>
        <n v="11267539470"/>
        <s v="09810823436"/>
        <n v="11754544436"/>
        <n v="71228826404"/>
        <n v="70292521448"/>
        <n v="71171552483"/>
        <n v="13320250485"/>
        <n v="10566423430"/>
        <n v="71130378446"/>
        <n v="13465265408"/>
        <n v="11441339477"/>
        <s v="06466604462"/>
        <n v="51035953897"/>
        <n v="71533059470"/>
        <s v="09345624406"/>
        <s v="09413612412"/>
        <n v="13010353430"/>
        <n v="10630912416"/>
        <s v="03437474480"/>
        <n v="15493280426"/>
        <n v="71284004430"/>
        <n v="12567294422"/>
        <n v="13200818433"/>
        <n v="11289973474"/>
        <n v="12002249490"/>
        <n v="70421798467"/>
        <n v="71144539498"/>
        <n v="12864877490"/>
        <n v="17785739404"/>
        <s v="01798823411"/>
        <n v="12839471450"/>
        <n v="13115492421"/>
        <n v="11239307403"/>
        <s v="09421353420"/>
        <n v="13775678425"/>
        <s v="01798674408"/>
        <n v="70896728404"/>
        <n v="10888762429"/>
        <n v="13180404426"/>
        <n v="11542933439"/>
        <s v="05982559407"/>
        <n v="70620658460"/>
        <s v="06036013400"/>
        <n v="11088441467"/>
        <n v="10733452469"/>
        <s v="08010651435"/>
        <n v="16611354476"/>
        <s v="06110013498"/>
        <n v="12109949414"/>
        <s v="06093734471"/>
        <n v="10303523484"/>
        <n v="16086979405"/>
        <n v="70477443478"/>
        <n v="10300749414"/>
        <n v="11983677418"/>
        <n v="70407529489"/>
        <n v="70048226483"/>
        <n v="71436568447"/>
        <s v="05186380571"/>
        <n v="12936692458"/>
        <n v="11486071457"/>
        <n v="12328336493"/>
        <n v="70568093402"/>
        <s v="06011565441"/>
        <n v="70541703420"/>
        <n v="70447520474"/>
        <n v="16111438450"/>
        <n v="17100735432"/>
        <n v="71099512433"/>
        <s v="05903519407"/>
        <n v="11231776439"/>
        <s v="03886783480"/>
        <s v="09772012448"/>
        <s v="09186594427"/>
        <n v="12310877492"/>
        <n v="12327939496"/>
        <s v="08002192443"/>
        <n v="70280817452"/>
        <n v="16530557741"/>
        <n v="17517363425"/>
        <n v="71056621400"/>
        <n v="11170401430"/>
        <n v="71590593448"/>
        <s v="08773764418"/>
        <n v="71578122406"/>
        <s v="08038192427"/>
        <s v="06529921451"/>
        <n v="11332924450"/>
        <n v="11067662456"/>
        <n v="10919300405"/>
        <n v="10657267406"/>
        <n v="13483484450"/>
        <n v="15877271458"/>
        <n v="10622975471"/>
        <n v="11772993484"/>
        <s v="07953985497"/>
        <n v="11257485407"/>
        <n v="14208382708"/>
        <n v="70915413400"/>
        <n v="71353539431"/>
        <n v="10314889442"/>
        <n v="12895912459"/>
        <s v="07881299452"/>
        <n v="11838694447"/>
        <n v="11839451408"/>
        <n v="71305949420"/>
        <s v="09112033464"/>
        <n v="11756692459"/>
        <s v="09649602496"/>
        <s v="09190352483"/>
        <n v="11846531438"/>
        <n v="15905956456"/>
        <s v="06040753404"/>
        <n v="71188326422"/>
        <n v="11317277465"/>
        <s v="09075251483"/>
        <s v="08579549469"/>
        <n v="70265875447"/>
        <s v="09061804493"/>
        <n v="13573595430"/>
        <n v="11189101416"/>
        <s v="07237724444"/>
        <s v="05365206401"/>
        <n v="70294475494"/>
        <s v="03345996448"/>
        <n v="14282695412"/>
        <s v="06366530483"/>
        <n v="11414319479"/>
        <n v="10940084430"/>
        <n v="70341962490"/>
        <n v="70313602425"/>
        <n v="71871129478"/>
        <s v="09085672430"/>
        <n v="70287998401"/>
        <s v="08283085433"/>
        <n v="16319449403"/>
        <n v="11873320469"/>
        <n v="70614439442"/>
        <n v="17430102492"/>
        <s v="09327901436"/>
        <n v="10024550493"/>
        <n v="1440046413"/>
        <n v="12996355474"/>
        <s v="08920287422"/>
        <n v="70675118441"/>
        <s v="06620762492"/>
        <n v="71331374456"/>
        <s v="07801832400"/>
        <n v="13611584410"/>
        <n v="10664578403"/>
        <n v="11471732495"/>
        <n v="72016087463"/>
        <n v="11746594403"/>
      </sharedItems>
    </cacheField>
    <cacheField name="CNS" numFmtId="0">
      <sharedItems containsString="0" containsBlank="1" containsNumber="1" containsInteger="1" minValue="70120702918371" maxValue="898050095465067" count="725">
        <m/>
        <n v="702309124420318"/>
        <n v="703102331235560"/>
        <n v="705703432034430"/>
        <n v="705005817013652"/>
        <n v="708407796973663"/>
        <n v="702105777657950"/>
        <n v="702403017460123"/>
        <n v="702301136510514"/>
        <n v="700902926629091"/>
        <n v="700002751960906"/>
        <n v="700002248469009"/>
        <n v="704306570802490"/>
        <n v="700003309452306"/>
        <n v="700201400050122"/>
        <n v="700002665283209"/>
        <n v="701207029183712"/>
        <n v="700005875085902"/>
        <n v="700005882298401"/>
        <n v="708702189579698"/>
        <n v="700506170046856"/>
        <n v="704705577244340"/>
        <n v="700704978103876"/>
        <n v="702403012834025"/>
        <n v="705702437682030"/>
        <n v="706405177561283"/>
        <n v="700006505018403"/>
        <n v="709205207587931"/>
        <n v="708704177030094"/>
        <n v="708105560163634"/>
        <n v="701409644710532"/>
        <n v="700004101187503"/>
        <n v="209052022490009"/>
        <n v="700005112908305"/>
        <n v="704102770029580"/>
        <n v="708602069041586"/>
        <n v="707405032215277"/>
        <n v="708207113732745"/>
        <n v="709206262169233"/>
        <n v="700903912525192"/>
        <n v="702409551791425"/>
        <n v="701204072769313"/>
        <n v="705301484050390"/>
        <n v="700504938219751"/>
        <n v="701009899857591"/>
        <n v="706306617689780"/>
        <n v="209051471750007"/>
        <n v="708000898780624"/>
        <n v="706005856689244"/>
        <n v="708500376279279"/>
        <n v="700002491205909"/>
        <n v="709601664711271"/>
        <n v="898000652731327"/>
        <n v="700000775385705"/>
        <n v="705603421725012"/>
        <n v="702104750775290"/>
        <n v="701806212560272"/>
        <n v="700503541527951"/>
        <n v="700000822013309"/>
        <n v="700208434012424"/>
        <n v="708708109195192"/>
        <n v="706806240579420"/>
        <n v="704804584865841"/>
        <n v="705600424812517"/>
        <n v="708403791520268"/>
        <n v="701800299538570"/>
        <n v="708201136381242"/>
        <n v="700508790071751"/>
        <n v="704300580759797"/>
        <n v="206045717250004"/>
        <n v="700004086227201"/>
        <n v="706003892594248"/>
        <n v="700008726340202"/>
        <n v="708707109614690"/>
        <n v="700001403748904"/>
        <n v="705009821852659"/>
        <n v="706809221854422"/>
        <n v="700008372208705"/>
        <n v="704803055421841"/>
        <n v="700004797843807"/>
        <n v="706401675238685"/>
        <n v="708603077751784"/>
        <n v="706703518432319"/>
        <n v="701408677522831"/>
        <n v="706200093511568"/>
        <n v="704001849620064"/>
        <n v="704600736177630"/>
        <n v="701003827009297"/>
        <n v="704201206184189"/>
        <n v="700208426691628"/>
        <n v="700006684597306"/>
        <n v="706505322497098"/>
        <n v="702000338875485"/>
        <n v="707609216180397"/>
        <n v="70120702918371"/>
        <n v="707808603525913"/>
        <n v="703401295219315"/>
        <n v="708004843352020"/>
        <n v="703403421894200"/>
        <n v="704007160101070"/>
        <n v="701805288964276"/>
        <n v="706401602918082"/>
        <n v="700801977487189"/>
        <n v="704805587922146"/>
        <n v="706801210740520"/>
        <n v="700509773550753"/>
        <n v="703404238473014"/>
        <n v="700504929873355"/>
        <n v="700204926989428"/>
        <n v="700009740270705"/>
        <n v="705002239945457"/>
        <n v="700005241485109"/>
        <n v="700008035815606"/>
        <n v="206053458500008"/>
        <n v="708400717008467"/>
        <n v="702401043319228"/>
        <n v="703408046224400"/>
        <n v="700209466716525"/>
        <n v="706206004686362"/>
        <n v="700507529572253"/>
        <n v="701109380079380"/>
        <n v="707007847940738"/>
        <n v="702805126780461"/>
        <n v="706403154387587"/>
        <n v="700902975908497"/>
        <n v="704001886504668"/>
        <n v="702508373337330"/>
        <n v="702303171179812"/>
        <n v="702500371187237"/>
        <n v="708501389703679"/>
        <n v="705009899325355"/>
        <n v="700007525040502"/>
        <n v="702506385881039"/>
        <n v="708209134201740"/>
        <n v="701103334115080"/>
        <n v="707106366986720"/>
        <n v="704606180252124"/>
        <n v="708606097669989"/>
        <n v="706801783269029"/>
        <n v="898005174693865"/>
        <n v="706407666228082"/>
        <n v="702500368297132"/>
        <n v="708104596853338"/>
        <n v="209053623510005"/>
        <n v="704300517263690"/>
        <n v="701804291442578"/>
        <n v="700306966503330"/>
        <n v="706709750051820"/>
        <n v="707802698820718"/>
        <n v="898003426867976"/>
        <n v="706001315807649"/>
        <n v="700007196049009"/>
        <n v="702009312004981"/>
        <n v="700402953155350"/>
        <n v="706703501709118"/>
        <n v="700800924380087"/>
        <n v="705206468768679"/>
        <n v="701807289837679"/>
        <n v="705006843837757"/>
        <n v="701804284088071"/>
        <n v="704105229464050"/>
        <n v="702805692567664"/>
        <n v="708704199993898"/>
        <n v="709206255090333"/>
        <n v="702808151424560"/>
        <n v="706808763613626"/>
        <n v="704207569648590"/>
        <n v="700009756810909"/>
        <n v="898004112430525"/>
        <n v="702609237165647"/>
        <n v="704706718467333"/>
        <n v="701004869342599"/>
        <n v="702005360528088"/>
        <n v="707608210613398"/>
        <n v="708004326100028"/>
        <n v="707603234727798"/>
        <n v="704208796499384"/>
        <n v="703106886252060"/>
        <n v="700608492019165"/>
        <n v="700001559799204"/>
        <n v="706605501971710"/>
        <n v="701803216936576"/>
        <n v="708603017484089"/>
        <n v="700009213912107"/>
        <n v="706403175801781"/>
        <n v="702407068460825"/>
        <n v="702908566058871"/>
        <n v="700800977538181"/>
        <n v="206044337050002"/>
        <n v="709604646515272"/>
        <n v="700003714309300"/>
        <n v="706200587848067"/>
        <n v="702507371552632"/>
        <n v="706906145621538"/>
        <n v="898005980124766"/>
        <n v="703402288081800"/>
        <n v="703008821547875"/>
        <n v="705402440429297"/>
        <n v="898003740931665"/>
        <n v="706401158848587"/>
        <n v="700708434557280"/>
        <n v="708107808885710"/>
        <n v="707806698403118"/>
        <n v="898003033926454"/>
        <n v="700400926071042"/>
        <n v="700007375574701"/>
        <n v="700000449927606"/>
        <n v="705804437129030"/>
        <n v="700709964698079"/>
        <n v="702809136602667"/>
        <n v="898003295517772"/>
        <n v="706508365166797"/>
        <n v="708601027397586"/>
        <n v="706400343153890"/>
        <n v="707607284854193"/>
        <n v="702005325092082"/>
        <n v="705803458151638"/>
        <n v="705008421417954"/>
        <n v="700300942296534"/>
        <n v="700001451759201"/>
        <n v="700009626475204"/>
        <n v="704101120189175"/>
        <n v="702603781836245"/>
        <n v="700504398814051"/>
        <n v="700604928707167"/>
        <n v="705609497195117"/>
        <n v="706809788150825"/>
        <n v="708002323626329"/>
        <n v="700007773792504"/>
        <n v="706403690402883"/>
        <n v="702305004241420"/>
        <n v="700205940755030"/>
        <n v="700808942449686"/>
        <n v="704001819954762"/>
        <n v="705008653771250"/>
        <n v="700303489595140"/>
        <n v="704607149910620"/>
        <n v="700802950647186"/>
        <n v="708005873205221"/>
        <n v="705200406232877"/>
        <n v="705607447469815"/>
        <n v="898002391102498"/>
        <n v="709602647540376"/>
        <n v="700802413288187"/>
        <n v="700305900737537"/>
        <n v="702802502919170"/>
        <n v="709804075482392"/>
        <n v="700503113295351"/>
        <n v="705009691293051"/>
        <n v="700001162973506"/>
        <n v="700400558690050"/>
        <n v="709201282056537"/>
        <n v="704703754695933"/>
        <n v="702805654905760"/>
        <n v="708005352616827"/>
        <n v="706800705282925"/>
        <n v="708408253345263"/>
        <n v="703002893021874"/>
        <n v="702808142394360"/>
        <n v="700801400566786"/>
        <n v="700107839299990"/>
        <n v="705604474294912"/>
        <n v="704007382536065"/>
        <n v="706804729437825"/>
        <n v="704006815939364"/>
        <n v="705401411478497"/>
        <n v="706702508531615"/>
        <n v="704002825635968"/>
        <n v="700803490012388"/>
        <n v="700805993599089"/>
        <n v="707601278100691"/>
        <n v="705406415504896"/>
        <n v="700208977258122"/>
        <n v="704606634032426"/>
        <n v="702406072275122"/>
        <n v="704203294432785"/>
        <n v="704704755758735"/>
        <n v="701807287448470"/>
        <n v="702505316635031"/>
        <n v="702107726825391"/>
        <n v="700208934984522"/>
        <n v="706403183087685"/>
        <n v="700109984959620"/>
        <n v="705006858038952"/>
        <n v="898004541923736"/>
        <n v="704005380561265"/>
        <n v="704505318793811"/>
        <n v="709805009296498"/>
        <n v="706805268866024"/>
        <n v="701102044255210"/>
        <n v="700902904075395"/>
        <n v="700507946339054"/>
        <n v="701707284385770"/>
        <n v="702504395276837"/>
        <n v="700000331008003"/>
        <n v="706409146148787"/>
        <n v="700503392857351"/>
        <n v="898006177047124"/>
        <n v="200329141690001"/>
        <n v="898004847610948"/>
        <n v="708606000411280"/>
        <n v="700204487588122"/>
        <n v="700608461938568"/>
        <n v="700001066797603"/>
        <n v="708602561840888"/>
        <n v="706809158603030"/>
        <n v="702803607991069"/>
        <n v="702608728208647"/>
        <n v="705005422471356"/>
        <n v="704806523960048"/>
        <n v="705005617278156"/>
        <n v="700006358142601"/>
        <n v="704706748082936"/>
        <n v="700204427919629"/>
        <n v="700606470263967"/>
        <n v="700904910650594"/>
        <n v="706205719106970"/>
        <n v="708209198296742"/>
        <n v="700006916653005"/>
        <n v="703405401695700"/>
        <n v="706808268468226"/>
        <n v="704604695814821"/>
        <n v="700801410371082"/>
        <n v="700801935528685"/>
        <n v="705600430738218"/>
        <n v="707606278263595"/>
        <n v="703403585430800"/>
        <n v="700503166072055"/>
        <n v="700600475815563"/>
        <n v="700503923254059"/>
        <n v="708206629187642"/>
        <n v="700003730687608"/>
        <n v="898004515051239"/>
        <n v="700805405532786"/>
        <n v="707809636197614"/>
        <n v="703400956786400"/>
        <n v="707602265290390"/>
        <n v="705000630829352"/>
        <n v="700406468974640"/>
        <n v="700005003646709"/>
        <n v="705205410973570"/>
        <n v="706206023630466"/>
        <n v="709008832920318"/>
        <n v="706803700987028"/>
        <n v="705009243104050"/>
        <n v="898003279196983"/>
        <n v="702007717649390"/>
        <n v="700006996160604"/>
        <n v="707400095300870"/>
        <n v="704507398766818"/>
        <n v="702604210262744"/>
        <n v="706808715942623"/>
        <n v="700002178721200"/>
        <n v="707002893267434"/>
        <n v="700704905278072"/>
        <n v="706502381193293"/>
        <n v="898003292542652"/>
        <n v="706900193331433"/>
        <n v="703008898676378"/>
        <n v="700804961486083"/>
        <n v="702408513624427"/>
        <n v="706505362955291"/>
        <n v="700607443905067"/>
        <n v="898002058966432"/>
        <n v="707600208687994"/>
        <n v="706601511240510"/>
        <n v="701808284741275"/>
        <n v="704204284423989"/>
        <n v="700502539523455"/>
        <n v="200344031610009"/>
        <n v="704203767834281"/>
        <n v="709203216580438"/>
        <n v="898001088704583"/>
        <n v="898003026839444"/>
        <n v="708700190774790"/>
        <n v="700601419972161"/>
        <n v="706006347560740"/>
        <n v="706801746390324"/>
        <n v="200336850740008"/>
        <n v="701301617122130"/>
        <n v="700707925864875"/>
        <n v="706206062450465"/>
        <n v="209047280690005"/>
        <n v="898004654931653"/>
        <n v="700503741989150"/>
        <n v="706500337525497"/>
        <n v="209964255210002"/>
        <n v="702608761483341"/>
        <n v="702300129263816"/>
        <n v="705003083480658"/>
        <n v="702005810307087"/>
        <n v="709206248183631"/>
        <n v="700003377103400"/>
        <n v="708100531892831"/>
        <n v="700604473930660"/>
        <n v="702009388657587"/>
        <n v="700006014004909"/>
        <n v="700004274892705"/>
        <n v="700206468913724"/>
        <n v="700009583339207"/>
        <n v="701103348258180"/>
        <n v="700407937351846"/>
        <n v="898005949436026"/>
        <n v="705008613920859"/>
        <n v="709203201351233"/>
        <n v="701308698720730"/>
        <n v="898000651859796"/>
        <n v="703408691844200"/>
        <n v="708100564765235"/>
        <n v="703108860418060"/>
        <n v="704303576561298"/>
        <n v="700305988617540"/>
        <n v="700304967450840"/>
        <n v="700000267360805"/>
        <n v="898004089980765"/>
        <n v="898005182839644"/>
        <n v="700003623132602"/>
        <n v="706803713587228"/>
        <n v="709200207002734"/>
        <n v="702608252042142"/>
        <n v="702309116567518"/>
        <n v="700605925532170"/>
        <n v="705603432558317"/>
        <n v="706300725356872"/>
        <n v="707803652437114"/>
        <n v="702603216645547"/>
        <n v="708405226095569"/>
        <n v="702600251436948"/>
        <n v="704704091932240"/>
        <n v="702401092249521"/>
        <n v="709204257043837"/>
        <n v="708700168884694"/>
        <n v="706703534950019"/>
        <n v="700402456980442"/>
        <n v="701805248891170"/>
        <n v="705001805425558"/>
        <n v="706208590259767"/>
        <n v="705006070731455"/>
        <n v="700503438361760"/>
        <n v="705201424814778"/>
        <n v="705404474201797"/>
        <n v="703202606885594"/>
        <n v="703403268268213"/>
        <n v="702601274645447"/>
        <n v="707803605040017"/>
        <n v="704305563905890"/>
        <n v="704000838863067"/>
        <n v="708601566411089"/>
        <n v="700908942014999"/>
        <n v="702502399664139"/>
        <n v="708700165310395"/>
        <n v="704605631258422"/>
        <n v="700203928579021"/>
        <n v="700400590955250"/>
        <n v="706700704298020"/>
        <n v="707502276153390"/>
        <n v="705608478820418"/>
        <n v="700605425008863"/>
        <n v="701802207308575"/>
        <n v="700006792641809"/>
        <n v="702403520927427"/>
        <n v="700005247862109"/>
        <n v="704107738689680"/>
        <n v="704301569733796"/>
        <n v="700402954359847"/>
        <n v="704102152406970"/>
        <n v="700307924703340"/>
        <n v="898003065205434"/>
        <n v="706002865429044"/>
        <n v="702302192126016"/>
        <n v="701000843555192"/>
        <n v="898006294626805"/>
        <n v="706301747155471"/>
        <n v="705005428340253"/>
        <n v="704607655945022"/>
        <n v="706902172422830"/>
        <n v="700204950900830"/>
        <n v="703407527388000"/>
        <n v="701006878226794"/>
        <n v="701005891945099"/>
        <n v="708006803184625"/>
        <n v="709201209698230"/>
        <n v="706408648170389"/>
        <n v="700907904325795"/>
        <n v="700404429566845"/>
        <n v="701205029878719"/>
        <n v="700003859109000"/>
        <n v="708101541341936"/>
        <n v="898001087401617"/>
        <n v="898003064619731"/>
        <n v="700809484779783"/>
        <n v="708907785709116"/>
        <n v="705005202258750"/>
        <n v="707105809407820"/>
        <n v="704703781901239"/>
        <n v="700500121853551"/>
        <n v="704205713036486"/>
        <n v="206049713590009"/>
        <n v="700505366831350"/>
        <n v="706803732958228"/>
        <n v="700306906631332"/>
        <n v="700407938011445"/>
        <n v="898001085848827"/>
        <n v="706000304788442"/>
        <n v="700505399532654"/>
        <n v="700009010750307"/>
        <n v="708605175423090"/>
        <n v="700006321187806"/>
        <n v="702403509228925"/>
        <n v="706406613229288"/>
        <n v="702808108979661"/>
        <n v="700601478937660"/>
        <n v="700605968716869"/>
        <n v="702609215868645"/>
        <n v="700506558264153"/>
        <n v="701403685953337"/>
        <n v="708405244029769"/>
        <n v="702304159779113"/>
        <n v="700006238173704"/>
        <n v="706809705489420"/>
        <n v="898005185455359"/>
        <n v="898050095465067"/>
        <n v="708409268304569"/>
        <n v="704209289839282"/>
        <n v="706303740457075"/>
        <n v="700504323315155"/>
        <n v="706406390910290"/>
        <n v="705603430524911"/>
        <n v="703004884010476"/>
        <n v="705008073985751"/>
        <n v="700608427804260"/>
        <n v="707600256228694"/>
        <n v="705009823463358"/>
        <n v="702801187246062"/>
        <n v="706200504791062"/>
        <n v="708205636294946"/>
        <n v="704004819053865"/>
        <n v="708107140970040"/>
        <n v="703200612913497"/>
        <n v="703409215242819"/>
        <n v="700009022856504"/>
        <n v="702603799229847"/>
        <n v="898006193597036"/>
        <n v="898004913866631"/>
        <n v="898003946734946"/>
        <n v="707004810892931"/>
        <n v="706706562283717"/>
        <n v="707607211389792"/>
        <n v="706403116869782"/>
        <n v="702309180867918"/>
        <n v="700600901502064"/>
        <n v="704005827730561"/>
        <n v="898005133793156"/>
        <n v="707701685156210"/>
        <n v="709608657226378"/>
        <n v="700503768967050"/>
        <n v="898003275844239"/>
        <n v="700400904372244"/>
        <n v="706705540068510"/>
        <n v="700002676161908"/>
        <n v="707008845418334"/>
        <n v="209056779050004"/>
        <n v="705409414644999"/>
        <n v="703406342965000"/>
        <n v="704107116893373"/>
        <n v="700606459947766"/>
        <n v="701004837238699"/>
        <n v="708004814765525"/>
        <n v="705000834244751"/>
        <n v="708204603766643"/>
        <n v="702803109430863"/>
        <n v="702104741250695"/>
        <n v="708201632190743"/>
        <n v="709200279783635"/>
        <n v="898003836744750"/>
        <n v="700301934830331"/>
        <n v="702400036521121"/>
        <n v="704202542975790"/>
        <n v="704007823903560"/>
        <n v="707109303720920"/>
        <n v="702403542804824"/>
        <n v="704205751140481"/>
        <n v="700905995764191"/>
        <n v="700001740952906"/>
        <n v="706309795634071"/>
        <n v="702102783439697"/>
        <n v="700805988142483"/>
        <n v="701407682433336"/>
        <n v="702401024102529"/>
        <n v="702303148692312"/>
        <n v="700309983361339"/>
        <n v="898004986881584"/>
        <n v="703000803629779"/>
        <n v="700404905544050"/>
        <n v="702501342525732"/>
        <n v="700002442144101"/>
        <n v="705006427006555"/>
        <n v="708601549792983"/>
        <n v="700003787331608"/>
        <n v="700701979525674"/>
        <n v="898006252474861"/>
        <n v="701401691934339"/>
        <n v="700209919843124"/>
        <n v="705106307521540"/>
        <n v="700407440739044"/>
        <n v="700009363682808"/>
        <n v="700709444210780"/>
        <n v="704601654770126"/>
        <n v="700306991570631"/>
        <n v="700501737690853"/>
        <n v="702707606116460"/>
        <n v="700908992000398"/>
        <n v="702004331949681"/>
        <n v="704509368524613"/>
        <n v="708207643005344"/>
        <n v="706204598670268"/>
        <n v="706403650143380"/>
        <n v="700009780363305"/>
        <n v="709201274976134"/>
        <n v="701809220718672"/>
        <n v="708601593540986"/>
        <n v="700503594407756"/>
        <n v="708008375922927"/>
        <n v="898005944310342"/>
        <n v="705007699222453"/>
        <n v="701404634334932"/>
        <n v="702300180822916"/>
        <n v="708508517123080"/>
        <n v="898002264795109"/>
        <n v="700508714573156"/>
        <n v="898003024599446"/>
        <n v="702903507965774"/>
        <n v="700002198921507"/>
        <n v="702602297172546"/>
        <n v="706500311039498"/>
        <n v="709601686997275"/>
        <n v="700007158565208"/>
        <n v="700004688616605"/>
        <n v="700006909687501"/>
        <n v="702803137555969"/>
        <n v="705001079158354"/>
        <n v="898004836101605"/>
        <n v="700802998286086"/>
        <n v="705304457650490"/>
        <n v="700001137575802"/>
        <n v="708201171128140"/>
        <n v="702803685947161"/>
        <n v="704603187289721"/>
        <n v="703608024227030"/>
        <n v="703401251990911"/>
        <n v="700409923504043"/>
        <n v="700401493992148"/>
        <n v="706902134978738"/>
        <n v="700001899481804"/>
        <n v="707609219415093"/>
        <n v="706804286131323"/>
        <n v="702106712699096"/>
        <n v="700908946200096"/>
        <n v="702804665755861"/>
        <n v="704001314656365"/>
        <n v="708102586377337"/>
        <n v="700601999498266"/>
        <n v="708400273864269"/>
        <n v="701402691924237"/>
        <n v="704205746556985"/>
        <n v="703206662088894"/>
        <n v="702804142472767"/>
        <n v="702505722923040"/>
        <n v="708601053636584"/>
        <n v="701105390920580"/>
        <n v="705107825176140"/>
        <n v="700003339878808"/>
        <n v="700504753126951"/>
        <n v="700004526831802"/>
        <n v="709606643280470"/>
        <n v="700503384836758"/>
        <n v="706405158579989"/>
        <n v="700405154886950"/>
        <n v="705401487977990"/>
        <n v="700001832228406"/>
        <n v="704003128044470"/>
        <n v="704106847372350"/>
        <n v="703608091797331"/>
        <n v="700009110525402"/>
        <n v="898005802359767"/>
        <n v="702501342073335"/>
        <n v="706205536217560"/>
        <n v="708400798413766"/>
        <n v="700505976434150"/>
        <n v="706306794286271"/>
        <n v="703603092777933"/>
        <n v="700000824554102"/>
        <n v="708401256257261"/>
        <n v="704604138571428"/>
        <n v="700000365384407"/>
        <n v="703006808782775"/>
        <n v="704701561064840"/>
        <n v="704608132038624"/>
        <n v="898003299705492"/>
        <n v="700501149772050"/>
        <n v="700000069671707"/>
        <n v="700604968715969"/>
        <n v="700007989953107"/>
        <n v="703402229345414"/>
        <n v="704008378418763"/>
        <n v="704204774765681"/>
        <n v="705409461268299"/>
        <n v="702600229007746"/>
        <n v="705800422211433"/>
        <n v="700500326666257"/>
        <n v="704607721393630"/>
        <n v="709003826558411"/>
        <n v="709804080626291"/>
        <n v="708704169647495"/>
        <n v="700900983777493"/>
        <n v="707306000757270"/>
        <n v="706303762885274"/>
        <n v="708205632095841"/>
        <n v="703101891132960"/>
        <n v="700506311443651"/>
        <n v="706404117661884"/>
        <n v="704705703665532"/>
        <n v="700006866310304"/>
        <n v="703209625276995"/>
        <n v="706000327149543"/>
      </sharedItems>
    </cacheField>
    <cacheField name="Link do atendimento no HopChat" numFmtId="0">
      <sharedItems containsBlank="1" count="1273">
        <m/>
        <s v="https://chat.brainyresolution.com/live/oSaHuaaqWPCwu9XH6"/>
        <s v="https://chat.brainyresolution.com/omnichannel-directory/chats/info/kawrWMHt9gdgnMpc8"/>
        <s v="https://chat.brainyresolution.com/live/eMevErRXvJJBeEN7H/room-info"/>
        <s v="https://chat.brainyresolution.com/live/RHHQobYjnMYfZsnSh"/>
        <s v="https://chat.brainyresolution.com/live/R4EejqGt6QdCLvade/user-info"/>
        <s v="https://chat.brainyresolution.com/live/sg2dcgrXH7yS9sL2a/room-info"/>
        <s v="https://chat.brainyresolution.com/live/hQujBEk7zZsnQY6M8/user-info"/>
        <s v="https://chat.brainyresolution.com/omnichannel-directory/chats/view/hGDZw5oKshnBhj9uN/room-info"/>
        <s v="https://chat.brainyresolution.com/live/3x4FdDqutXMZ3mzLX"/>
        <s v="https://chat.brainyresolution.com/live/BZuS5rFFnzPGWhJtv/room-info"/>
        <s v="https://chat.brainyresolution.com/live/SzRui2rJbkkG4qYcP/room-info"/>
        <s v="https://meet.google.com/gsv-aoua-eyw"/>
        <s v="https://chat.brainyresolution.com/live/ZwvRgQfTJNn8GmhwN/room-info"/>
        <s v="https://chat.brainyresolution.com/live/2rjPWWhBiQ2LyudK5/room-info"/>
        <s v="https://chat.brainyresolution.com/live/fNXmckNHagPq5LMA8/room-info"/>
        <s v="https://chat.brainyresolution.com/omnichannel-directory/chats/view/toynxpAG5WS8kcDLn/room-info"/>
        <s v="https://chat.brainyresolution.com/live/tdqAkE6RRNay882hB/room-info"/>
        <s v="https://chat.brainyresolution.com/live/9AP66FYnCtfQm8wYN/room-info"/>
        <s v="https://chat.brainyresolution.com/live/TR2pg3Fg2SWuDj2Ha/room-info"/>
        <s v="https://chat.brainyresolution.com/direct/NcmyoDSPPFwkbXMjAi2c2jSHZXRKjv2wQH"/>
        <s v="https://chat.brainyresolution.com/live/WZRRFcD538k9WGKko/room-info"/>
        <s v="https://chat.brainyresolution.com/live/yJE3KBpPFuWoK5Jqq/user-info"/>
        <s v="https://chat.brainyresolution.com/live/zg7BGnnX9biG4eXHg/room-info"/>
        <s v="https://chat.brainyresolution.com/live/gSjeKvzfTmmpKo4iE"/>
        <s v="https://chat.brainyresolution.com/live/XF24tizPDv6cjkBwy/room-info"/>
        <s v="https://chat.brainyresolution.com/live/4eTxKvQrKCaRwyxdv/user-info"/>
        <s v="https://chat.brainyresolution.com/live/wonJaXmXRfgsP7vsh/user-info"/>
        <s v="https://chat-conecta.recife.pe.gov.br/live/tc7yhyRfyPSpifvdL/room-info"/>
        <s v="https://chat-conecta.recife.pe.gov.br/live/K9x8cfu5YLXkeh6Pg/room-info"/>
        <s v="https://chat-conecta.recife.pe.gov.br/live/nJ4jdQ7qATeuSWxdh"/>
        <s v="https://chat-conecta.recife.pe.gov.br/live/XvxPADcFyL7YaArGz/user-info"/>
        <s v="https://chat-conecta.recife.pe.gov.br/omnichannel-directory/chats/view/H2DKwQFYFdr4FJSJu/room-info"/>
        <s v="https://chat-conecta.recife.pe.gov.br/live/r8GYqAr5E6vgwGWPT/room-info"/>
        <s v="https://chat-conecta.recife.pe.gov.br/live/FbCjkvxHiN6u2HXZ9"/>
        <s v="https://chat-conecta.recife.pe.gov.br/live/GExhGdmArLMGz4T4s/user-info"/>
        <s v="https://chat-conecta.recife.pe.gov.br/omnichannel-directory/chats/view/7yudWDbkYwvLd3aDM/room-info"/>
        <s v="https://chat-conecta.recife.pe.gov.br/live/vCxRg8QAX4EuT3Pzp/room-info"/>
        <s v="https://chat-conecta.recife.pe.gov.br/live/AZFq3X5YQxP6nJjR4/user-info"/>
        <s v="https://chat-conecta.recife.pe.gov.br/live/oJmefQpZ72YGkLRno/user-info"/>
        <s v="https://chat-conecta.recife.pe.gov.br/live/m7tTT344KD5QpMsFT"/>
        <s v="https://chat-conecta.recife.pe.gov.br/omnichannel-directory/chats/view/xQwY8BrgnREaYNKnH/room-info"/>
        <s v="https://chat-conecta.recife.pe.gov.br/omnichannel-directory/chats/view/DLdEmDNTaYZwdNeMq/room-info"/>
        <s v="https://chat-conecta.recife.pe.gov.br/live/NQbfS6WNadhMv7Lvi"/>
        <s v="https://chat-conecta.recife.pe.gov.br/live/FYNZ8GxosgEY7h7gr/room-info"/>
        <s v="https://chat-conecta.recife.pe.gov.br/live/ex4f6BrKHj6AMiKL6"/>
        <s v="https://chat-conecta.recife.pe.gov.br/live/oZD3tEm2dewzRYo5b/room-info"/>
        <s v="https://chat-conecta.recife.pe.gov.br/live/TfEbcpRTPmbmye8Yy/room-info"/>
        <s v="https://chat-conecta.recife.pe.gov.br/live/cpKGT2actWvgBvvby"/>
        <s v="https://chat-conecta.recife.pe.gov.br/live/Y77u9kyncEyGyLtry/user-info"/>
        <s v="https://chat-conecta.recife.pe.gov.br/live/CsjDjX9HzaXgxEpKB/user-info"/>
        <s v="https://chat-conecta.recife.pe.gov.br/omnichannel-directory/chats/view/yhBwZiHX4cGdiZMvb/room-info"/>
        <s v="https://chat-conecta.recife.pe.gov.br/omnichannel-directory/chats/view/eaPcuyrRqaprkDNxm/room-info"/>
        <s v="https://chat-conecta.recife.pe.gov.br/live/zDPkLKrhgKt7S55iC/room-info"/>
        <s v="https://chat-conecta.recife.pe.gov.br/live/x28P4PWmRojNQikS6/user-info"/>
        <s v="https://chat-conecta.recife.pe.gov.br/live/wkcmmXdmRLXWGugZb"/>
        <s v="https://chat-conecta.recife.pe.gov.br/live/finCCwKsqZPbmJ2bQ/room-info"/>
        <s v="https://chat-conecta.recife.pe.gov.br/live/2uiSoMF78jfAGTzEa/room-info"/>
        <s v="https://chat-conecta.recife.pe.gov.br/omnichannel-directory/chats/view/8eDptj7MtWfwXnktN/room-info"/>
        <s v="https://chat-conecta.recife.pe.gov.br/live/GC2A2Bx63DWyKBpPT/room-info"/>
        <s v="https://chat-conecta.recife.pe.gov.br/live/kuAHAa6sTDqf6Hjv9/user-info"/>
        <s v="https://chat-conecta.recife.pe.gov.br/live/Z5RvYzE5TqtoAFJYq/room-info"/>
        <s v="https://chat-conecta.recife.pe.gov.br/live/frntm4cDAYoff8Dq5/room-info"/>
        <s v="https://chat-conecta.recife.pe.gov.br/live/EpkudacecCCWuf57s"/>
        <s v="https://chat-conecta.recife.pe.gov.br/live/BfweEdCAe3zZDSLdw/room-info"/>
        <s v="https://chat-conecta.recife.pe.gov.br/live/8HPGWLKvp9rrRYk9j/room-info"/>
        <s v="https://chat-conecta.recife.pe.gov.br/live/5XL97kRchTiKAJgT7/room-info"/>
        <s v="https://chat-conecta.recife.pe.gov.br/live/gRA7GCfTniLJPQuxc/user-info"/>
        <s v="https://chat-conecta.recife.pe.gov.br/live/uQARBG4WKpjsLCPtj/user-info"/>
        <s v="https://chat-conecta.recife.pe.gov.br/live/rEYfbGbTCzgRRy447"/>
        <s v="https://chat-conecta.recife.pe.gov.br/live/exuY3k2bd2X29YmQE/room-info"/>
        <s v="https://chat-conecta.recife.pe.gov.br/live/2NQsqaEW9EeFvpeGm/room-info"/>
        <s v="https://chat-conecta.recife.pe.gov.br/live/8cKNa3qZTWKCPSnuE/room-info"/>
        <s v="https://chat-conecta.recife.pe.gov.br/live/ZeKBknwMJAZ4ZQEFX/room-info"/>
        <s v="https://chat-conecta.recife.pe.gov.br/live/kjRApqcgvdfwuZWHY"/>
        <s v="https://chat-conecta.recife.pe.gov.br/live/EQFM9hG6ak3RjCs7c/room-info"/>
        <s v="https://chat-conecta.recife.pe.gov.br/omnichannel-directory/chats/view/hZnXy5uvovXEvM6GZ/room-info"/>
        <s v="https://chat-conecta.recife.pe.gov.br/live/SnDn2iBGkS77jCQSs"/>
        <s v="https://chat-conecta.recife.pe.gov.br/live/j2MSBLTnhCSXXAqr7/room-info"/>
        <s v="https://chat-conecta.recife.pe.gov.br/live/X6i49KmzJFA6zm4A3#&amp;gid=1&amp;pid=3"/>
        <s v="https://chat-conecta.recife.pe.gov.br/live/JaNrq26cFqnvbdMaf"/>
        <s v="https://chat-conecta.recife.pe.gov.br/live/dbhGwsB2YHa7FriBF/room-info"/>
        <s v="https://chat-conecta.recife.pe.gov.br/live/fqEQpBr2mgCg55drN"/>
        <s v="https://chat-conecta.recife.pe.gov.br/live/Bbz3pxezvt7fXZYWY/user-info"/>
        <s v="https://chat-conecta.recife.pe.gov.br/live/zt6GAgMALLX4z52k4/room-info"/>
        <s v="https://chat-conecta.recife.pe.gov.br/live/KyHtGEvjrRqYzpeWz/room-info"/>
        <s v="https://chat-conecta.recife.pe.gov.br/live/bFCQnffiZsDhmdFGj/room-info"/>
        <s v="https://chat-conecta.recife.pe.gov.br/live/gYTpAANLe3R39vSuY"/>
        <s v="https://chat-conecta.recife.pe.gov.br/live/bMRejBNrDsw2hvai6/room-info"/>
        <s v="https://chat-conecta.recife.pe.gov.br/live/bRoahqMPdbr9wfGZd/room-info"/>
        <s v="https://chat-conecta.recife.pe.gov.br/live/NgFs7KLHbEWyhPPzC/room-info"/>
        <s v="https://chat-conecta.recife.pe.gov.br/live/gGXtaheXkC7LdoPLF/room-info"/>
        <s v="https://chat-conecta.recife.pe.gov.br/live/PcJq6nGyeyedspFzy/contact-chat-history"/>
        <s v="https://chat-conecta.recife.pe.gov.br/live/MJrTry66k7RJgrsH9"/>
        <s v="https://chat-conecta.recife.pe.gov.br/live/jHboZknEMDR8nDt4o/room-info"/>
        <s v="https://chat-conecta.recife.pe.gov.br/omnichannel-directory/chats/view/ww5FceGaQS99HtWSf/room-info"/>
        <s v="https://chat-conecta.recife.pe.gov.br/omnichannel-directory/chats/view/Q4M6jFcKDHc4NGKQn"/>
        <s v="https://chat-conecta.recife.pe.gov.br/live/AZcbFQYKnDof79GRa/room-info"/>
        <s v="https://chat-conecta.recife.pe.gov.br/live/4d6ibWsqMeHBF7dmL/room-info"/>
        <s v="https://chat-conecta.recife.pe.gov.br/live/2ABTu5i6nRFPimCFW"/>
        <s v="https://chat-conecta.recife.pe.gov.br/live/Pw9Y3YCoTXgaYDyfS"/>
        <s v="https://chat-conecta.recife.pe.gov.br/live/FtCceFRSz3tzissd4"/>
        <s v="https://chat-conecta.recife.pe.gov.br/live/z858ReWchEuGC5ErF"/>
        <s v="https://chat-conecta.recife.pe.gov.br/live/e93DRWNCn84Ar5bNe"/>
        <s v="https://chat-conecta.recife.pe.gov.br/live/WpEGYwLDi7pyekBCQ"/>
        <s v="https://chat-conecta.recife.pe.gov.br/live/mYe7Qx4Mdd3dSEWtf"/>
        <s v="https://chat-conecta.recife.pe.gov.br/live/ZYqWnovHbh6gtNrmd"/>
        <s v="https://chat-conecta.recife.pe.gov.br/live/xSo5hgWJDXWBu8BoL"/>
        <s v="https://chat-conecta.recife.pe.gov.br/live/QFHhax7kvP6esqy2k"/>
        <s v="https://chat-conecta.recife.pe.gov.br/live/rqgDAaFrCrYt5FNzk"/>
        <s v="https://chat-conecta.recife.pe.gov.br/live/dYAjoZxLRM8zhpeHG"/>
        <s v="https://chat-conecta.recife.pe.gov.br/live/yekGDJhuioPkArGPc"/>
        <s v="https://chat-conecta.recife.pe.gov.br/live/ihYGpeMSsyQJRS9Be"/>
        <s v="https://chat-conecta.recife.pe.gov.br/live/pPjjqnn2qKo9Y7RWJ"/>
        <s v="https://chat-conecta.recife.pe.gov.br/live/jFeyWCaHCNj9FEcL5/members-list"/>
        <s v="https://chat-conecta.recife.pe.gov.br/live/CjW2PfaDQcXdaLfs7/room-info"/>
        <s v="https://chat-conecta.recife.pe.gov.br/live/ts5MBWjR9HouRWeE3"/>
        <s v="https://chat-conecta.recife.pe.gov.br/live/rebZWuF8Zg7kfNcrG/room-info"/>
        <s v="https://chat-conecta.recife.pe.gov.br/omnichannel-directory/chats/view/4QfHD37tXnfrLz5o8/room-info"/>
        <s v="https://chat-conecta.recife.pe.gov.br/live/5ByRo2hakPCfn4bK6/room-info"/>
        <s v="https://chat-conecta.recife.pe.gov.br/live/uqbcWz6GvP2cBHMG4/user-info"/>
        <s v="https://chat-conecta.recife.pe.gov.br/live/aheCmggLo9Kx8b8Ej/room-info"/>
        <s v="https://chat-conecta.recife.pe.gov.br/live/c3uCrNvkmypJyWct5/members-list"/>
        <s v="https://chat-conecta.recife.pe.gov.br/live/W4yrDwfKq67FXMPTY/room-info"/>
        <s v="https://chat-conecta.recife.pe.gov.br/live/fkk5CmPyRG8cR4hnJ/room-info"/>
        <s v="https://chat-conecta.recife.pe.gov.br/omnichannel-directory/chats/view/CDEMcLLNJrpxhgYzK/room-info"/>
        <s v="https://chat-conecta.recife.pe.gov.br/live/JTLJ9FqGtBM3QeykR/user-info"/>
        <s v="https://chat-conecta.recife.pe.gov.br/live/zWtziWfM7X7uNAB5T/room-info"/>
        <s v="https://chat-conecta.recife.pe.gov.br/live/Svr8YYbXRPsnuc2kZ/room-info"/>
        <s v="https://chat-conecta.recife.pe.gov.br/live/2Mjmo7HXYgW7f89Rv/room-inf"/>
        <s v="https://chat-conecta.recife.pe.gov.br/live/yHrCkk86mDojNK4oK/room-info"/>
        <s v="https://chat-conecta.recife.pe.gov.br/live/RxZ62KH4ix3J6R2ip/room-info"/>
        <s v="https://chat-conecta.recife.pe.gov.br/live/PS6nnhHppj6GzexXv/contact-chat-history"/>
        <s v="https://chat-conecta.recife.pe.gov.br/live/RcpDGPkczT6G4ZoN2/room-info"/>
        <s v="https://chat-conecta.recife.pe.gov.br/live/WifnQdeQYhXRKPtEn/room-info"/>
        <s v="https://chat-conecta.recife.pe.gov.br/live/JBbpzqXWZFwJzjTwd/members-list"/>
        <s v="https://chat-conecta.recife.pe.gov.br/live/8E7gcehTH3G6Lp7gA/user-info"/>
        <s v="https://chat-conecta.recife.pe.gov.br/live/ouvbQ6upgcmS3KY3K"/>
        <s v="https://chat-conecta.recife.pe.gov.br/live/C5yodAGnzKxDLLKok/room-info"/>
        <s v="https://chat-conecta.recife.pe.gov.br/live/gw3DmAa8vvBQg5byY/room-info"/>
        <s v="https://chat-conecta.recife.pe.gov.br/live/nYxiP8e64mwc4yqWR/room-info"/>
        <s v="https://chat-conecta.recife.pe.gov.br/live/PzAMA5NpTBCFQqyGd"/>
        <s v="https://chat-conecta.recife.pe.gov.br/live/pXjaTQk8of24D556Z"/>
        <s v="https://chat-conecta.recife.pe.gov.br/live/psEWX6uPybPGmShHw/user-info"/>
        <s v="https://chat-conecta.recife.pe.gov.br/live/nkiWYsgrf4a6s3unA"/>
        <s v="https://chat-conecta.recife.pe.gov.br/live/tmDhrTaSHvDzx7NKM/members-list"/>
        <s v="https://chat-conecta.recife.pe.gov.br/live/bu6MtwcioADXp2wCh"/>
        <s v="https://chat-conecta.recife.pe.gov.br/live/Xgw3dkbdfwu8KZBQk/room-info"/>
        <s v="https://chat-conecta.recife.pe.gov.br/live/Cf2w3YAScmrEJcggJ#&amp;gid=1&amp;pid=5"/>
        <s v="https://chat-conecta.recife.pe.gov.br/live/DTg8k4WDhqW4XwrMp/room-info"/>
        <s v="https://chat-conecta.recife.pe.gov.br/live/FJG3JspZgcy6TGkEm"/>
        <s v="https://chat-conecta.recife.pe.gov.br/live/egvzzP283RvEfgG32"/>
        <s v="https://chat-conecta.recife.pe.gov.br/live/26Ben5qB8xdYiA8RX"/>
        <s v="https://chat-conecta.recife.pe.gov.br/live/jQ7FLCcjqRWpYYQNM/members-list"/>
        <s v="https://chat-conecta.recife.pe.gov.br/live/reEuZnpvzMBZkJDfN/room-info"/>
        <s v="https://chat-conecta.recife.pe.gov.br/live/ngoFinHDN8kSCBuYR/room-info"/>
        <s v="https://chat-conecta.recife.pe.gov.br/live/XN4BE566Ctz8HBFuT/room-info#&amp;gid=1&amp;pid=4"/>
        <s v="https://chat-conecta.recife.pe.gov.br/live/FqD6ho6JG6uyeatvy"/>
        <s v="https://chat-conecta.recife.pe.gov.br/live/Ji9BGftkSTxW3jYmP/room-info"/>
        <s v="https://chat-conecta.recife.pe.gov.br/live/f4qAQYMYfvWsLvGEs/room-info#&amp;gid=1&amp;pid=7"/>
        <s v="https://chat-conecta.recife.pe.gov.br/live/HJn5SNbbmmxqAxWWL/contact-chat-history"/>
        <s v="https://chat-conecta.recife.pe.gov.br/live/uJX7r34WhoQwcvWWc"/>
        <s v="https://chat-conecta.recife.pe.gov.br/live/C7CnTzrkHXPgYokmZ"/>
        <s v="https://chat-conecta.recife.pe.gov.br/live/XQsfZQumE42ZtL78W/user-info"/>
        <s v="https://chat-conecta.recife.pe.gov.br/live/mKErvR6p2CdyNNP4z"/>
        <s v="https://chat-conecta.recife.pe.gov.br/live/dHF8NTjG5PwRXhjz9"/>
        <s v="https://chat-conecta.recife.pe.gov.br/live/s7SGNTMBTKYKzroSR/room-info"/>
        <s v="https://chat-conecta.recife.pe.gov.br/live/qAWzX3kxtRNv3y3Ah/room-info"/>
        <s v="https://chat-conecta.recife.pe.gov.br/live/JCL7MfqdBHzotCRfT"/>
        <s v="https://chat-conecta.recife.pe.gov.br/live/6M4dZyi3zNRp293Ny"/>
        <s v="https://chat-conecta.recife.pe.gov.br/live/5xNcAwudCi6ufEF8F"/>
        <s v="https://chat-conecta.recife.pe.gov.br/live/4d6h8L9qL6WB6Ngfo"/>
        <s v="https://chat-conecta.recife.pe.gov.br/live/R38MCTwrzu3CT499M/room-info"/>
        <s v="https://chat-conecta.recife.pe.gov.br/live/d9hdoq8cnvWfckEZb"/>
        <s v="https://chat-conecta.recife.pe.gov.br/live/MyYpWGeZCzNqPRCDT"/>
        <s v="https://chat-conecta.recife.pe.gov.br/live/ajDiNA5DvmXzeWyTw"/>
        <s v="https://chat-conecta.recife.pe.gov.br/live/zrAmbggNHgzxPbvjp/room-info"/>
        <s v="https://chat-conecta.recife.pe.gov.br/live/KTdp7TJzfqp83g8rk"/>
        <s v="https://chat-conecta.recife.pe.gov.br/live/5sZJex4zqaHvyTXRr/room-info"/>
        <s v="https://chat-conecta.recife.pe.gov.br/live/y44RafAdptzXoA6sc/room-info"/>
        <s v="https://chat-conecta.recife.pe.gov.br/live/K87C63G57tBP9Pura"/>
        <s v="https://chat-conecta.recife.pe.gov.br/live/qgu6xKK6DLc2ZXEKc/room-info"/>
        <s v="https://chat-conecta.recife.pe.gov.br/live/FsrKrBH3FMueHdbGe"/>
        <s v="https://chat-conecta.recife.pe.gov.br/live/tRXLLw35arhbfy6f8"/>
        <s v="https://chat-conecta.recife.pe.gov.br/live/7Bj2BMaF3pomKH3c8/room-info"/>
        <s v="https://chat-conecta.recife.pe.gov.br/live/8eAqqFcqkD8EfKvr6"/>
        <s v="https://chat-conecta.recife.pe.gov.br/live/fD4keojixPDeemMak"/>
        <s v="https://chat-conecta.recife.pe.gov.br/live/ALRaCiMckCoRSHpfz"/>
        <s v="https://chat-conecta.recife.pe.gov.br/live/73aeAxSh4433vx5nT"/>
        <s v="https://chat-conecta.recife.pe.gov.br/live/9GpLwM6PoGuB5zxwj/room-info"/>
        <s v="https://chat-conecta.recife.pe.gov.br/live/wLHgaQtZvBHJaKjaP/user-info"/>
        <s v="https://chat-conecta.recife.pe.gov.br/live/3FyCo8kFLnLuuvLo9/members-list"/>
        <s v="https://chat-conecta.recife.pe.gov.br/live/86B4Pxcodyjo9Xuza/room-info"/>
        <s v="https://chat-conecta.recife.pe.gov.br/live/H9SjNJJDYWiCmcYzP"/>
        <s v="https://chat-conecta.recife.pe.gov.br/live/ykcb3iTQiRcH5i6z6"/>
        <s v="https://chat-conecta.recife.pe.gov.br/live/CJGyKfZaJq3DkNh22"/>
        <s v="https://chat-conecta.recife.pe.gov.br/live/KhtZvPxw9BWSzqiX9/room-info"/>
        <s v="https://chat-conecta.recife.pe.gov.br/live/QigL6yYCPhvLaNctk/room-info"/>
        <s v="https://chat-conecta.recife.pe.gov.br/live/GJ6ojea7Fn6faTMRL/room-info"/>
        <s v="https://chat-conecta.recife.pe.gov.br/live/JYmwwNSpWRtxcSpFq"/>
        <s v="https://chat-conecta.recife.pe.gov.br/live/tPZsX7YyXz3FHkHPt"/>
        <s v="https://chat-conecta.recife.pe.gov.br/live/f9RnuSPKJryNLocDn/room-info"/>
        <s v="https://chat-conecta.recife.pe.gov.br/live/2G8m5NqkHEg9CARs2"/>
        <s v="https://chat-conecta.recife.pe.gov.br/live/hFNFA9S3J63kzmvTx"/>
        <s v="https://chat-conecta.recife.pe.gov.br/live/k6idPn29ShxrhceJE"/>
        <s v="https://chat-conecta.recife.pe.gov.br/live/QKpizpY9bFdFvWhsC"/>
        <s v="https://chat-conecta.recife.pe.gov.br/live/4sK8cgSQo28JKXvj5"/>
        <s v="https://chat-conecta.recife.pe.gov.br/live/MeqRAbzJ8zLfgBQyQ"/>
        <s v="https://chat-conecta.recife.pe.gov.br/live/cRsSquWYNKLkeHvPb"/>
        <s v="https://chat-conecta.recife.pe.gov.br/live/GYC3QR6iYn8e6GEM2/room-info"/>
        <s v="https://chat-conecta.recife.pe.gov.br/live/QJB57eeau4nDJQ4D6"/>
        <s v="https://chat-conecta.recife.pe.gov.br/live/5oYySd2tB7vu7SBz2"/>
        <s v="https://chat-conecta.recife.pe.gov.br/live/WQBx7HhJJ8xWEeY7G"/>
        <s v="https://chat-conecta.recife.pe.gov.br/live/nLu6osSqEuMqN4ogZ"/>
        <s v="https://chat-conecta.recife.pe.gov.br/live/RnRsSvwLepg5xQYMK/user-info"/>
        <s v="https://chat-conecta.recife.pe.gov.br/live/J6CnHwNK2TYn4CoxG"/>
        <s v="https://chat-conecta.recife.pe.gov.br/live/jiALQqAWX2ut6Kf87"/>
        <s v="https://chat-conecta.recife.pe.gov.br/live/3dDmB5LEPoZwvzfyC"/>
        <s v="https://chat-conecta.recife.pe.gov.br/live/wjknzXc5SdJJ8p9pF/user-info"/>
        <s v="https://chat-conecta.recife.pe.gov.br/live/C4ovtkGsaDefWx6Q3"/>
        <s v="https://chat-conecta.recife.pe.gov.br/live/MDMX4sBnk4BuytErv/user-info"/>
        <s v="https://chat-conecta.recife.pe.gov.br/live/tX3KMbRzZvHb44gWG"/>
        <s v="https://chat-conecta.recife.pe.gov.br/live/cZ5afA9aswQQHGHGL/user-info"/>
        <s v="https://chat-conecta.recife.pe.gov.br/live/4YJXiE6tWzbXsPnmN"/>
        <s v="https://chat-conecta.recife.pe.gov.br/live/hv8ozhsrCefAYf224"/>
        <s v="https://chat-conecta.recife.pe.gov.br/live/AiZtk26aQmuGTfyCM/user-info"/>
        <s v="https://chat-conecta.recife.pe.gov.br/live/EN6zx9cmkDyEZwyXq"/>
        <s v="https://chat-conecta.recife.pe.gov.br/live/RMRKdc4C5BsLFd9XA/user-info"/>
        <s v="https://chat-conecta.recife.pe.gov.br/live/WZZJ47igGCEqbmrMx"/>
        <s v="https://chat-conecta.recife.pe.gov.br/live/793BsmqTmLxvhLdDB"/>
        <s v="https://chat-conecta.recife.pe.gov.br/live/MLkrhpE2mo3Zf6qAY"/>
        <s v="https://chat-conecta.recife.pe.gov.br/live/T2DzJZDb5uzmiSFC3"/>
        <s v="https://chat-conecta.recife.pe.gov.br/live/wBZWCZRSTSpsGfPbo/user-info"/>
        <s v="https://chat-conecta.recife.pe.gov.br/live/pfG85bswFWC6Xfu2B/room-info"/>
        <s v="https://chat-conecta.recife.pe.gov.br/live/R2vmaEuesnimaSx5P"/>
        <s v="https://chat-conecta.recife.pe.gov.br/live/cjb5cZm3iZaDFNnWc/user-info"/>
        <s v="https://chat-conecta.recife.pe.gov.br/live/aKoMMN3SX3cENnqus"/>
        <s v="https://chat-conecta.recife.pe.gov.br/live/7hbCfBbtKAiNoN9KZ"/>
        <s v="https://chat-conecta.recife.pe.gov.br/live/fcumqhPDfBKyBKQvP/room-info"/>
        <s v="https://chat-conecta.recife.pe.gov.br/live/d3KsZeJWmPzj8y3rt/user-info"/>
        <s v="https://chat-conecta.recife.pe.gov.br/live/4XJ3zuEtFogaaGhyY/room-info"/>
        <s v="https://chat-conecta.recife.pe.gov.br/live/qBs9n2Qjv72FBxKDm"/>
        <s v="https://chat-conecta.recife.pe.gov.br/omnichannel-directory/chats/view/8SNs3dsnLs8wrRHQn"/>
        <s v="https://chat-conecta.recife.pe.gov.br/live/pLyELzcJPqGReDKHZ/user-info"/>
        <s v="https://chat-conecta.recife.pe.gov.br/live/5z8xo8AeQhuMfiGwm/user-info"/>
        <s v="https://chat-conecta.recife.pe.gov.br/live/ubGQFaxwmhxKcQM4J/room-info"/>
        <s v="https://chat-conecta.recife.pe.gov.br/live/q9Bm9QzPFraHXDxkZ/members-list"/>
        <s v="https://chat-conecta.recife.pe.gov.br/live/xRxPMbf6opH5XELwc"/>
        <s v="https://chat-conecta.recife.pe.gov.br/live/HvFduHPF7oB5RSXLu"/>
        <s v="https://chat-conecta.recife.pe.gov.br/live/Pnsb2TosFh7RxtDcN"/>
        <s v="https://chat-conecta.recife.pe.gov.br/live/mJfGf5cPBf3FCbWfa/room-info"/>
        <s v="https://chat-conecta.recife.pe.gov.br/live/p7agoBdgGSNWDgext"/>
        <s v="https://chat-conecta.recife.pe.gov.br/live/N48iPCZ2xcbsycWB3/room-info"/>
        <s v="https://chat-conecta.recife.pe.gov.br/live/s6o4KCSvKSMnH9gWS/user-info"/>
        <s v="https://chat-conecta.recife.pe.gov.br/live/wvcBuPawFZnmkeiKz/room-info"/>
        <s v="https://chat-conecta.recife.pe.gov.br/omnichannel-directory/chats/view/mGXJWwKQJv4M46wjq/room-info"/>
        <s v="https://chat-conecta.recife.pe.gov.br/live/FEbFqzuu6snQNTkSE/room-info"/>
        <s v="https://chat-conecta.recife.pe.gov.br/live/qoSNQuAyu65dzfS6D/room-info"/>
        <s v="https://chat-conecta.recife.pe.gov.br/live/DxajKj5irifgwCyDs/room-info"/>
        <s v="https://chat-conecta.recife.pe.gov.br/live/rzRrKzgEYfT3saxCJ/user-info"/>
        <s v="https://chat-conecta.recife.pe.gov.br/live/hisCgH4aPCMvvTMN2/room-info"/>
        <s v="https://chat-conecta.recife.pe.gov.br/live/XdetrSSMRryzADLzP/room-info"/>
        <s v="https://chat-conecta.recife.pe.gov.br/live/pvvshwnvAfuj2gsMe/user-info"/>
        <s v="https://chat-conecta.recife.pe.gov.br/live/pHvTLiY3YJBPZSEeT"/>
        <s v="https://chat-conecta.recife.pe.gov.br/live/kzhpu6ExXb8yjWWxs"/>
        <s v="https://chat-conecta.recife.pe.gov.br/live/jNfmWqDWsLwmqP8io/room-info"/>
        <s v="https://chat-conecta.recife.pe.gov.br/live/L643Fb93Kij2kX5Eb/user-info"/>
        <s v="https://chat-conecta.recife.pe.gov.br/live/GpaYYmnupDTZznWcG"/>
        <s v="https://chat-conecta.recife.pe.gov.br/live/BuCz7Xed8HLuMgr7H/room-info"/>
        <s v="https://chat-conecta.recife.pe.gov.br/live/fsP6CrxEu5mJ3rrMv"/>
        <s v="https://chat-conecta.recife.pe.gov.br/live/ZurN4hzh97k2fxL4m/user-info"/>
        <s v="https://chat-conecta.recife.pe.gov.br/live/5B93yNxNMkzdLt5Y4"/>
        <s v="https://chat-conecta.recife.pe.gov.br/live/5g9hf3Btciz6RKSro"/>
        <s v="https://chat-conecta.recife.pe.gov.br/live/m9eH8esjhZzgB2Dyt"/>
        <s v="https://chat-conecta.recife.pe.gov.br/live/X4XheMmbxzud2SvZJ"/>
        <s v="https://chat-conecta.recife.pe.gov.br/live/77GHgzgMdRFbPvHiq#&amp;gid=1&amp;pid=3"/>
        <s v="https://chat-conecta.recife.pe.gov.br/live/Cpkxo5qFB8QkFMK4P/user-info"/>
        <s v="https://chat-conecta.recife.pe.gov.br/live/qpLDn9EKzdv5uqGoZ/room-info"/>
        <s v="https://chat-conecta.recife.pe.gov.br/live/YGzKJaSWehkx9uWpj/room-info"/>
        <s v="https://chat-conecta.recife.pe.gov.br/live/bEpTmdRdsGuNJJfEd/room-info"/>
        <s v="https://chat-conecta.recife.pe.gov.br/live/ucLzv2vDnYWrQrLLw/room-info"/>
        <s v="https://chat-conecta.recife.pe.gov.br/omnichannel-directory/chats/view/T8gESdjdNeD4KHbkE"/>
        <s v="https://chat-conecta.recife.pe.gov.br/live/LnNf2jJC4eWqdJCbi/members-list"/>
        <s v="https://chat-conecta.recife.pe.gov.br/live/R6ZChdpQzG4ewFYAB/room-info"/>
        <s v="https://chat-conecta.recife.pe.gov.br/live/hKkTX5kstAmHXbS5p/room-info"/>
        <s v="https://chat-conecta.recife.pe.gov.br/live/uJKDTh2hsrvjJNiwZ/room-info"/>
        <s v="https://chat-conecta.recife.pe.gov.br/live/eQbtZZhzkLJELB5mC"/>
        <s v="https://chat-conecta.recife.pe.gov.br/live/EThC4wQChFHJycp4Y/user-info"/>
        <s v="https://chat-conecta.recife.pe.gov.br/live/KKwY6tjiRf7nXo4Lm/user-info"/>
        <s v="https://chat-conecta.recife.pe.gov.br/live/EWYeSfFGgaW4f9Qgm"/>
        <s v="https://chat-conecta.recife.pe.gov.br/live/nTZCvJWe3BNEYYmBu"/>
        <s v="https://chat-conecta.recife.pe.gov.br/live/nwx4J5XacJQDZL8h9"/>
        <s v="https://chat-conecta.recife.pe.gov.br/live/hEuxna8bHfKjWDk6p/room-info"/>
        <s v="https://chat-conecta.recife.pe.gov.br/live/tNhKPRpuicHkeJ46S/room-info"/>
        <s v="https://chat-conecta.recife.pe.gov.br/live/9sD9mrSx9ZgkwWnG4"/>
        <s v="https://chat-conecta.recife.pe.gov.br/live/5WS5qjTe5WecM8rez/user-info"/>
        <s v="https://chat-conecta.recife.pe.gov.br/live/TMRnqErcwEsjsGDMv"/>
        <s v="https://chat-conecta.recife.pe.gov.br/live/wyxToaeYRS4RDSseP/user-info"/>
        <s v="https://chat-conecta.recife.pe.gov.br/live/h3ggcuHQz2AHchky5"/>
        <s v="https://chat-conecta.recife.pe.gov.br/live/WL7wiYM5ft"/>
        <s v="https://chat-conecta.recife.pe.gov.br/live/WywfPYywXSZmq7Bha"/>
        <s v="https://chat-conecta.recife.pe.gov.br/live/TABf6vNCQKJQij4C5"/>
        <s v="https://chat-conecta.recife.pe.gov.br/live/9pEbyuxrv7vfAB9JC/user-info"/>
        <s v="https://chat-conecta.recife.pe.gov.br/live/E9MnafrXRHXgwhQg9"/>
        <s v="https://chat-conecta.recife.pe.gov.br/live/HgtZ6fTkGDkMyraJ4#&amp;gid=1&amp;pid=4"/>
        <s v="https://chat-conecta.recife.pe.gov.br/live/miifKxkgztCgdgBc6"/>
        <s v="https://chat-conecta.recife.pe.gov.br/live/qF2xWyZQTwvikZqum/room-info"/>
        <s v="https://chat-conecta.recife.pe.gov.br/live/TfxzphDR2C948mnk8"/>
        <s v="https://chat-conecta.recife.pe.gov.br/live/K3bY7GwqA2YG2etio/user-info"/>
        <s v="https://chat-conecta.recife.pe.gov.br/live/4Wd5hihZNxJL3fZzT"/>
        <s v="https://chat-conecta.recife.pe.gov.br/live/u84QCyJBEQHWaSqsc"/>
        <s v="https://chat-conecta.recife.pe.gov.br/live/u2RNWNjg4S49vLrnP/user-info"/>
        <s v="https://chat-conecta.recife.pe.gov.br/live/34jDtqtrDAiBv3bCM"/>
        <s v="https://chat-conecta.recife.pe.gov.br/live/3vnpKaTnjrd6vsdJe/user-info"/>
        <s v="https://chat-conecta.recife.pe.gov.br/live/R9ffWzkfZpvvQq7p6/user-info"/>
        <s v="https://chat-conecta.recife.pe.gov.br/live/nbE6NYQuxEkwsfDBP/user-info"/>
        <s v="https://chat-conecta.recife.pe.gov.br/live/cQLvW7NwNeFRZdSK7/user-info"/>
        <s v="https://chat-conecta.recife.pe.gov.br/live/jgSGX9bpP7RpC8GBR"/>
        <s v="https://chat-conecta.recife.pe.gov.br/live/ybSxw6NBZFzhFpaPm/room-info"/>
        <s v="https://chat-conecta.recife.pe.gov.br/omnichannel-directory/chats/view/ShD3RJjwiGo2pocKu/room-info"/>
        <s v="https://chat-conecta.recife.pe.gov.br/live/SaQ9gY92RWAhxRd7n/user-info"/>
        <s v="https://chat-conecta.recife.pe.gov.br/live/9ym8LveJLBfvE3qYR/user-info"/>
        <s v="https://chat-conecta.recife.pe.gov.br/live/kgtD9X4m7A8v9QjpS"/>
        <s v="https://chat-conecta.recife.pe.gov.br/live/tbpKedXxbo5W8AFha/members-list"/>
        <s v="https://chat-conecta.recife.pe.gov.br/omnichannel-directory/chats/view/AxBQfb53bMLDaJDTZ/room-info"/>
        <s v="https://chat-conecta.recife.pe.gov.br/live/MRJjCwZTsTddX2hCJ/user-info"/>
        <s v="https://chat-conecta.recife.pe.gov.br/live/4f8XjkgJ3fpFc6h6e/room-info"/>
        <s v="https://chat-conecta.recife.pe.gov.br/live/3cN2HBJf7TATwtF83/room-info"/>
        <s v="https://chat-conecta.recife.pe.gov.br/live/dxTnpesE2DueBRyTT/members-list"/>
        <s v="https://chat-conecta.recife.pe.gov.br/live/zL9CDX4TmiGL7RZa8"/>
        <s v="https://chat-conecta.recife.pe.gov.br/live/x7D7yzm6tGatdjy8n/room-info"/>
        <s v="https://chat-conecta.recife.pe.gov.br/omnichannel-directory/chats/view/RNkN2GdyEpNmGTEqj/room-info"/>
        <s v="https://chat-conecta.recife.pe.gov.br/direct/9DDXcgmpmFt3JMM58TQcuSEArNi4YqW2MZ"/>
        <s v="https://chat-conecta.recife.pe.gov.br/live/dSX7enYC9jgK6j7cq"/>
        <s v="https://chat-conecta.recife.pe.gov.br/live/7ik7WiwjkTdC2BS6X"/>
        <s v="https://chat-conecta.recife.pe.gov.br/live/AJ49EijrDZX5G2DFC"/>
        <s v="https://chat-conecta.recife.pe.gov.br/live/2XeuA4jDKvc2NSikT/room-info"/>
        <s v="https://chat-conecta.recife.pe.gov.br/live/vJtYN95y7h3GwYCtj/user-info"/>
        <s v="https://chat-conecta.recife.pe.gov.br/live/Nuownrgf5oF776qiZ"/>
        <s v="https://chat-conecta.recife.pe.gov.br/live/mekEqDjc6wbnzdj7k/user-info#&amp;gid=1&amp;pid=4"/>
        <s v="https://chat-conecta.recife.pe.gov.br/live/6n9ftZLqquKcpbQu9/user-info"/>
        <s v="https://chat-conecta.recife.pe.gov.br/omnichannel-directory/chats/view/HjP4rCbhZvBEGFrSC"/>
        <s v="https://chat-conecta.recife.pe.gov.br/live/D5WjvZume8NsboLoa/user-info"/>
        <s v="https://chat-conecta.recife.pe.gov.br/live/nAhSynitkBekefoAq/user-info"/>
        <s v="https://chat-conecta.recife.pe.gov.br/live/EaKQZtuifFYMa8QDg/user-info"/>
        <s v="https://chat-conecta.recife.pe.gov.br/live/uFtpWgcC3QiGaaZ3h"/>
        <s v="https://chat-conecta.recife.pe.gov.br/live/XewiedrmYo3NKhRBF"/>
        <s v="https://chat-conecta.recife.pe.gov.br/live/4e7pWqi78u36zfWMf/user-info#&amp;gid=1&amp;pid=4"/>
        <s v="https://chat-conecta.recife.pe.gov.br/live/uw3NHHSnpKsJ7S7Ps/user-info"/>
        <s v="https://chat-conecta.recife.pe.gov.br/live/zyzDnbev5qiQ6NkaK"/>
        <s v="https://chat-conecta.recife.pe.gov.br/omnichannel-directory/chats/view/iJgJQFXgXWF5vBCD5"/>
        <s v="https://chat-conecta.recife.pe.gov.br/live/DuaSxpoc2PTCTf95k/room-info"/>
        <s v="https://chat-conecta.recife.pe.gov.br/live/SCwZB43bs3vzy5gTf/room-info"/>
        <s v="https://chat-conecta.recife.pe.gov.br/live/oHZJjZvruALqsntDg"/>
        <s v="https://chat-conecta.recife.pe.gov.br/live/KEGnCFoh2ujrzkwfT"/>
        <s v="https://chat-conecta.recife.pe.gov.br/live/hftbkgDbwpg6GaSzi/user-info"/>
        <s v="https://chat-conecta.recife.pe.gov.br/live/CxmEHvLrRAmj2Kgzk/user-info"/>
        <s v="https://chat-conecta.recife.pe.gov.br/live/eHcsJ6ig4jmhfts34"/>
        <s v="https://chat-conecta.recife.pe.gov.br/omnichannel-directory/chats/view/6WDXR7o8x8mfv2o4Q"/>
        <s v="https://chat-conecta.recife.pe.gov.br/live/WxHKLMNdCnL68dSpt/room-info"/>
        <s v="https://chat-conecta.recife.pe.gov.br/live/3xiPPRLE3gx8Yv53w"/>
        <s v="https://chat-conecta.recife.pe.gov.br/live/H6q3nfX9MWhywQM4f/user-info"/>
        <s v="https://chat-conecta.recife.pe.gov.br/direct/9DDXcgmpmFt3JMM58NcmyoDSPPFwkbXMjA"/>
        <s v="https://chat-conecta.recife.pe.gov.br/live/aZhxETHA4qdwDmdop/user-info"/>
        <s v="https://chat-conecta.recife.pe.gov.br/live/SAt5rm4fgfKbZkhkL"/>
        <s v="https://chat-conecta.recife.pe.gov.br/live/hqESioDsgkC7tG4dd/room-info"/>
        <s v="https://chat-conecta.recife.pe.gov.br/live/bf5LQHyprZ2cTZySX"/>
        <s v="https://chat-conecta.recife.pe.gov.br/omnichannel-directory/chats/view/5WhmNNhw275RxACZs/room-info"/>
        <s v="https://chat-conecta.recife.pe.gov.br/live/jtjSmJHNP5kvBXqFC/room-info"/>
        <s v="https://chat-conecta.recife.pe.gov.br/live/bT23zKeSWL4CxpKjb/room-info"/>
        <s v="https://chat-conecta.recife.pe.gov.br/live/J4C3kmHHkZCzY2suq/room-info"/>
        <s v="https://chat-conecta.recife.pe.gov.br/live/MdHoASDQqS5nDcDgq"/>
        <s v="https://chat-conecta.recife.pe.gov.br/live/7oxQJtA8bZxHM5pTY/members-list"/>
        <s v="https://chat-conecta.recife.pe.gov.br/live/jfYRaadEZyExva5di/room-info"/>
        <s v="https://chat-conecta.recife.pe.gov.br/live/SZ7bLje7RiY2q4bBi/room-info"/>
        <s v="https://chat-conecta.recife.pe.gov.br/live/CKEQ67Y4RKTNttNzq"/>
        <s v="https://chat-conecta.recife.pe.gov.br/live/evDroRMP7ADwt4iMn"/>
        <s v="https://chat-conecta.recife.pe.gov.br/live/PXsxvdmW6PyCdjzcn"/>
        <s v="https://chat-conecta.recife.pe.gov.br/live/Rp2uAtgqWRdLfoyGk/room-info"/>
        <s v="https://chat-conecta.recife.pe.gov.br/live/jLATi78fRSpFX4s7W"/>
        <s v="https://chat-conecta.recife.pe.gov.br/live/2Hwdrk5nZhyAcHr3j"/>
        <s v="https://chat-conecta.recife.pe.gov.br/live/ytbQNpFFpfAjec9TY/members-list"/>
        <s v="https://chat-conecta.recife.pe.gov.br/live/KWRrFujNCZRsLaCFC"/>
        <s v="https://chat-conecta.recife.pe.gov.br/live/6XPQQHbRCfs4Rq3aZ"/>
        <s v="https://chat-conecta.recife.pe.gov.br/live/dTQ3qE7oukKNpo72D"/>
        <s v="https://chat-conecta.recife.pe.gov.br/omnichannel-directory/chats/view/HtkoLhL5nfdrMvdKJ/room-info"/>
        <s v="https://chat-conecta.recife.pe.gov.br/live/zGe8KhrzFAbn2EjxR/room-info"/>
        <s v="https://chat-conecta.recife.pe.gov.br/live/heYXCgpSowCDsTQD2/room-info"/>
        <s v="https://chat-conecta.recife.pe.gov.br/live/evTiafidrQAAFpHms"/>
        <s v="https://chat-conecta.recife.pe.gov.br/live/RmWckvWoYF8A3wp59"/>
        <s v="https://chat-conecta.recife.pe.gov.br/live/wqmFQN84wTQsAeiaF/room-info"/>
        <s v="https://chat-conecta.recife.pe.gov.br/live/uxqtezwCGC37f4ju3/user-info"/>
        <s v="https://chat-conecta.recife.pe.gov.br/live/GYq2nZoGxHaNNfabY/room-info"/>
        <s v="https://chat-conecta.recife.pe.gov.br/live/npiPb4KkctNMfYHr7/room-info"/>
        <s v="https://chat-conecta.recife.pe.gov.br/omnichannel-directory/chats/view/qsEwSyN3Xi4F5BNfk#&amp;gid=1&amp;pid=1"/>
        <s v="https://chat-conecta.recife.pe.gov.br/live/PtFArmYXsqJDAxpEu"/>
        <s v="https://chat-conecta.recife.pe.gov.br/live/NjQyPJfX33Fox9MF5/members-list"/>
        <s v="https://chat-conecta.recife.pe.gov.br/live/AHdLbJKSsWKkznkEf/user-info"/>
        <s v="https://chat-conecta.recife.pe.gov.br/live/dtYC7zpeR7jvcxs5s"/>
        <s v="https://chat-conecta.recife.pe.gov.br/live/NWy8fvQ3RKnEt4oNH#&amp;gid=1&amp;pid=9"/>
        <s v="https://chat-conecta.recife.pe.gov.br/live/CsbhzhYgS3G9h5MGC/room-info"/>
        <s v="https://chat-conecta.recife.pe.gov.br/live/HeNbNXRRQAsjeYdNu/members-list"/>
        <s v="https://chat-conecta.recife.pe.gov.br/live/nREB6dRLKiM4zrHjr/room-info"/>
        <s v="https://chat-conecta.recife.pe.gov.br/live/9x2Zj6bi7Pp7EDHSe"/>
        <s v="https://chat-conecta.recife.pe.gov.br/live/NHLvgyBvFhw5tJwsT#&amp;gid=1&amp;pid=1"/>
        <s v="https://chat-conecta.recife.pe.gov.br/live/73fhEmNukJSdeSAps/room-info"/>
        <s v="https://chat-conecta.recife.pe.gov.br/live/5JfR9KNn6cHHtHty3"/>
        <s v="https://chat-conecta.recife.pe.gov.br/omnichannel-directory/chats/view/FnBLQrGGAPBSRo9hZ/room-info"/>
        <s v="https://chat-conecta.recife.pe.gov.br/live/JigFnCfTnGBGKj7Pr/room-info"/>
        <s v="https://chat-conecta.recife.pe.gov.br/live/dfx8bq8MZDHthAhhy"/>
        <s v="https://chat-conecta.recife.pe.gov.br/live/ckE7dHvTTmZLwqrZF"/>
        <s v="https://chat-conecta.recife.pe.gov.br/live/5WBawtTGCAM2PuE2Z/user-info"/>
        <s v="https://chat-conecta.recife.pe.gov.br/live/pMrmBfeH7he9QtY9v/user-info"/>
        <s v="https://chat-conecta.recife.pe.gov.br/live/SLpgNM8Qaa7Szv269"/>
        <s v="https://chat-conecta.recife.pe.gov.br/live/D4gxswpCPMrwehrgc/members-list"/>
        <s v="https://chat-conecta.recife.pe.gov.br/live/w6ZaKPeYQD6u7tknT"/>
        <s v="https://chat-conecta.recife.pe.gov.br/live/YDC56o6orpYBudab7"/>
        <s v="https://chat-conecta.recife.pe.gov.br/live/DqyYkTKvssfjKzYt6"/>
        <s v="https://chat-conecta.recife.pe.gov.br/live/gpbx3fK755rmnQvNo/user-info"/>
        <s v="https://chat-conecta.recife.pe.gov.br/live/Zfew6L6nAsNicsWZK"/>
        <s v="https://chat-conecta.recife.pe.gov.br/live/PiNBwe6v3WheJ7a4p"/>
        <s v="https://chat-conecta.recife.pe.gov.br/live/X7xa5JLL2T5DE9KRp"/>
        <s v="https://chat-conecta.recife.pe.gov.br/live/Z9zKiTZ7gZRiEqjZ7/members-list"/>
        <s v="https://chat-conecta.recife.pe.gov.br/live/8K7mM5Ku2TrH69X23"/>
        <s v="https://chat-conecta.recife.pe.gov.br/live/XPCkqvFBtwPBJwfwR"/>
        <s v="https://chat-conecta.recife.pe.gov.br/live/Lpnh4LDx5dimZk99F"/>
        <s v="https://chat-conecta.recife.pe.gov.br/live/B3mNBycZyHFa9r6py"/>
        <s v="https://chat-conecta.recife.pe.gov.br/live/dwRWD6srjTzWsD9Cz"/>
        <s v="https://chat-conecta.recife.pe.gov.br/live/LtcfxNSaFj2cSBW9H"/>
        <s v="https://chat-conecta.recife.pe.gov.br/live/SFxdwa79sJ8py2cPc"/>
        <s v="https://chat-conecta.recife.pe.gov.br/live/jABwMLkvnRFDbFFTG/user-info"/>
        <s v="https://chat-conecta.recife.pe.gov.br/live/4o7BYXMBosKBBrqBv"/>
        <s v="https://chat-conecta.recife.pe.gov.br/live/K82TjozBXLwFcdeP7/user-info"/>
        <s v="https://chat-conecta.recife.pe.gov.br/live/gM73uqmL2T5CNvawe"/>
        <s v="https://chat-conecta.recife.pe.gov.br/live/P7x4nyBLpRG7Lrsvf"/>
        <s v="https://chat-conecta.recife.pe.gov.br/live/QNdahEsWgXtW8wyni/uploaded-files-list"/>
        <s v="https://chat-conecta.recife.pe.gov.br/live/b57vCox8kXS8mE6Bp/room-info"/>
        <s v="https://chat-conecta.recife.pe.gov.br/live/9AeaRH9NC6zTGwnxs/user-info"/>
        <s v="https://chat-conecta.recife.pe.gov.br/live/RYqP6JcixphEtMmtK"/>
        <s v="https://chat-conecta.recife.pe.gov.br/live/vMrygR4Sroq57B634/user-info"/>
        <s v="https://chat-conecta.recife.pe.gov.br/live/QjjSbvJE2AwxhNEXz/user-info"/>
        <s v="https://chat-conecta.recife.pe.gov.br/live/qiHi6PS2gE8jozMfQ"/>
        <s v="https://chat-conecta.recife.pe.gov.br/live/fiX4FnZoyN5ubW7m3/room-info"/>
        <s v="https://chat-conecta.recife.pe.gov.br/live/uYDghbmpAWJpj7vWG/room-info"/>
        <s v="https://chat-conecta.recife.pe.gov.br/live/dTKbwuTrwPZwkyQNr"/>
        <s v="https://chat-conecta.recife.pe.gov.br/omnichannel-directory/chats/view/nJS8tA8f6pNgMWw7f"/>
        <s v="https://chat-conecta.recife.pe.gov.br/live/KstsxzZsf9WyJbs6M/user-info"/>
        <s v="https://chat-conecta.recife.pe.gov.br/live/SLKTqp3Zo75Qbk89E"/>
        <s v="https://chat-conecta.recife.pe.gov.br/live/So5JNiP7RbYv5m7EB#&amp;gid=1&amp;pid=5"/>
        <s v="https://chat-conecta.recife.pe.gov.br/live/EDCrZJap6jzFXHRkT"/>
        <s v="https://chat-conecta.recife.pe.gov.br/live/3PzfmBRBamdw5n99q"/>
        <s v="https://chat-conecta.recife.pe.gov.br/live/xvg2y92NSfJaaxxw7"/>
        <s v="https://chat-conecta.recife.pe.gov.br/live/FadL7mshHaoH87y32"/>
        <s v="https://chat-conecta.recife.pe.gov.br/live/fq5LBuFhL5t9YFEph/room-info"/>
        <s v="https://chat-conecta.recife.pe.gov.br/live/ENmKgnAPNGNtK5hJm"/>
        <s v="https://chat-conecta.recife.pe.gov.br/live/Q6KQjETvm7ZakLnMM/room-info"/>
        <s v="https://chat-conecta.recife.pe.gov.br/live/QPoSD83YzTNSBYn8r/room-info"/>
        <s v="https://chat-conecta.recife.pe.gov.br/live/J5yApicjQ25ZpDpvZ"/>
        <s v="https://chat-conecta.recife.pe.gov.br/live/8RmemxfPoEwQKXs26"/>
        <s v="https://chat-conecta.recife.pe.gov.br/live/S9pKRag9nTD8HjaHp"/>
        <s v="https://chat-conecta.recife.pe.gov.br/live/JE2g3BZhwo27gqKLb/room-info"/>
        <s v="https://chat-conecta.recife.pe.gov.br/live/a925A58hfDuHJ6tsK/room-info"/>
        <s v="https://chat-conecta.recife.pe.gov.br/live/ZYC252AbpF7pt4si2/room-info"/>
        <s v="https://chat-conecta.recife.pe.gov.br/live/BsWoAdmrXbLeG6A3L/user-info"/>
        <s v="https://chat-conecta.recife.pe.gov.br/omnichannel-directory/chats/view/gtnLac2AurtuGrXMJ"/>
        <s v="https://chat-conecta.recife.pe.gov.br/live/SRDBYEHvqpK6f9gvJ/room-info"/>
        <s v="https://chat-conecta.recife.pe.gov.br/live/cMosTbf53EvohL4By/room-info"/>
        <s v="https://chat-conecta.recife.pe.gov.br/live/STvdZKNqHi89vhvLu"/>
        <s v="https://chat-conecta.recife.pe.gov.br/live/8FsATpXxfWsmQn5xR"/>
        <s v="https://chat-conecta.recife.pe.gov.br/live/qeAceoXxrf9gm8g82/room-info"/>
        <s v="https://chat-conecta.recife.pe.gov.br/live/jXu7Lnx5YxBdEtQst"/>
        <s v="https://chat-conecta.recife.pe.gov.br/live/ydQrgKMuzDrnSrNgW"/>
        <s v="https://chat-conecta.recife.pe.gov.br/live/83GyxDDbpfFRSTYtW"/>
        <s v="https://chat-conecta.recife.pe.gov.br/live/Di65GgNX24XusZbuZ/user-info"/>
        <s v="https://chat-conecta.recife.pe.gov.br/live/r9o3ZqHaFjKzzzFLg/room-info"/>
        <s v="https://chat-conecta.recife.pe.gov.br/live/5nzaJ9pj7bcPwYniD/room-info"/>
        <s v="https://chat-conecta.recife.pe.gov.br/live/8CvfSqgnXwnvqYXiT/room-info"/>
        <s v="https://chat-conecta.recife.pe.gov.br/live/zqdhp6ivb4h98eBRA"/>
        <s v="https://chat-conecta.recife.pe.gov.br/live/KP32Y5Ge6hq3PoptS/room-info"/>
        <s v="https://chat-conecta.recife.pe.gov.br/live/dae8hijHZkqyLhmuH"/>
        <s v="https://chat-conecta.recife.pe.gov.br/live/zGmFMWeNANbgXNHxZ"/>
        <s v="https://chat-conecta.recife.pe.gov.br/omnichannel-directory/chats/view/2NQMKPvGgmkNLFPyi/room-info"/>
        <s v="https://chat-conecta.recife.pe.gov.br/live/CyTqEr6DxdcxYY42h/room-info"/>
        <s v="https://chat-conecta.recife.pe.gov.br/live/d8D9JRmvMJptXuXwd/room-info"/>
        <s v="https://chat-conecta.recife.pe.gov.br/live/aiitppiyockKxJmKB"/>
        <s v="https://chat-conecta.recife.pe.gov.br/live/NNKR3geYk5siGhvE6"/>
        <s v="https://chat-conecta.recife.pe.gov.br/live/3s85yrRGRagwgtCDk"/>
        <s v="https://chat-conecta.recife.pe.gov.br/live/H4jKhPT3JY9LdLksL/user-info"/>
        <s v="https://chat-conecta.recife.pe.gov.br/live/qRmuM7qRcfFuoLj2F/user-info"/>
        <s v="https://chat-conecta.recife.pe.gov.br/live/FtfENriPYBYyomCog"/>
        <s v="https://chat-conecta.recife.pe.gov.br/live/XHh56qkWQoTdcSSGh"/>
        <s v="https://chat-conecta.recife.pe.gov.br/live/kMu6oKi5Gr6a39i4B/room-info"/>
        <s v="https://chat-conecta.recife.pe.gov.br/live/JDCtyJQNjXWpnFz4Y"/>
        <s v="https://chat-conecta.recife.pe.gov.br/live/hcAAhWuafwdTxYMoG"/>
        <s v="https://chat-conecta.recife.pe.gov.br/live/meHsTPnCMaruPJ2YN/members-list"/>
        <s v="https://chat-conecta.recife.pe.gov.br/live/v2a5dM6YyhTMwp3oX"/>
        <s v="https://chat-conecta.recife.pe.gov.br/live/FJBrLR8pKZEfGPZ5v/room-info"/>
        <s v="https://chat-conecta.recife.pe.gov.br/live/NbTuF9Tdvh5myMXW5/room-info"/>
        <s v="https://chat-conecta.recife.pe.gov.br/live/R4scd6XHagQjF9jL8/user-info"/>
        <s v="https://chat-conecta.recife.pe.gov.br/omnichannel-directory/chats/view/FJBrLR8pKZEfGPZ5v/room-info"/>
        <s v="https://chat-conecta.recife.pe.gov.br/live/Tax38sYXfjzPHKsGh/members-list"/>
        <s v="https://chat-conecta.recife.pe.gov.br/live/CfsCYMDZvMa5yNRJK/room-info"/>
        <s v="https://chat-conecta.recife.pe.gov.br/live/ess787q7AicDeYem9/room-info#&amp;gid=1&amp;pid=2"/>
        <s v="https://chat-conecta.recife.pe.gov.br/live/ro7zs33f3idwZj3Mq/room-info"/>
        <s v="https://chat-conecta.recife.pe.gov.br/live/MuYP9bmze5HmmiK3q/room-info"/>
        <s v="https://chat-conecta.recife.pe.gov.br/live/Ldtu4SBHn2f4rxcGt/user-info"/>
        <s v="https://chat-conecta.recife.pe.gov.br/live/BtXQyXXk9cQZ4cxjA/room-info"/>
        <s v="https://chat-conecta.recife.pe.gov.br/live/8y3TR8ohzJJeHXZqC/user-info#&amp;gid=1&amp;pid=4"/>
        <s v="https://chat-conecta.recife.pe.gov.br/live/D3ZfQK3vwPW99fXWc/user-info"/>
        <s v="https://chat-conecta.recife.pe.gov.br/live/eDmYZnKGXh2Jg4uGM"/>
        <s v="https://chat-conecta.recife.pe.gov.br/live/8oKuW2s6JBPumwjBF"/>
        <s v="https://chat-conecta.recife.pe.gov.br/live/DkxpyrNoojFFi4q4C/members-list"/>
        <s v="https://chat-conecta.recife.pe.gov.br/live/buamMAmC8wXGoMYJW"/>
        <s v="https://chat-conecta.recife.pe.gov.br/live/avS9ggNjm6ZF6HKbR/user-info"/>
        <s v="https://chat-conecta.recife.pe.gov.br/live/jKG7GZ7WS3ECmXzhY/room-info"/>
        <s v="https://chat-conecta.recife.pe.gov.br/live/RQvYAYLFuYs5BXXJE/room-info"/>
        <s v="https://chat-conecta.recife.pe.gov.br/live/pmgLkXYi6xpm33kna/room-info"/>
        <s v="https://chat-conecta.recife.pe.gov.br/live/zfqcjiQXaotabHKCF/room-info"/>
        <s v="https://chat-conecta.recife.pe.gov.br/live/fuDM2m6zX23HmRzyM#&amp;gid=1&amp;pid=2"/>
        <s v="https://chat-conecta.recife.pe.gov.br/live/S2reuqgRCntcmdzG5/room-info"/>
        <s v="https://chat-conecta.recife.pe.gov.br/live/KfvYAw7jZJX8Cb8nz/room-info"/>
        <s v="https://chat-conecta.recife.pe.gov.br/live/voYjixJuRCRwZhymX/room-info"/>
        <s v="https://chat-conecta.recife.pe.gov.br/live/4pw4eGNarrsBimgWx/room-info"/>
        <s v="https://chat-conecta.recife.pe.gov.br/live/sfdFJbzPBXWsdL4Hz"/>
        <s v="https://chat-conecta.recife.pe.gov.br/live/tm6mREfidRYBYC2tt"/>
        <s v="https://chat-conecta.recife.pe.gov.br/live/bWKcRpdasTR4eYWE9/room-info"/>
        <s v="https://chat-conecta.recife.pe.gov.br/live/McrLSkMYE3xuKtsSS/room-info"/>
        <s v="https://chat-conecta.recife.pe.gov.br/live/dKmTM4Xi2sf4EHJnm/members-list"/>
        <s v="https://chat-conecta.recife.pe.gov.br/live/XF9qmAuTB9Gek27EH/members-list"/>
        <s v="https://chat-conecta.recife.pe.gov.br/live/RfFjHHssLjvexk2fp"/>
        <s v="https://chat-conecta.recife.pe.gov.br/live/nCaCC8xSQC8JKJtFG"/>
        <s v="https://chat-conecta.recife.pe.gov.br/live/RxLQhZtQL6Kkr4YCY"/>
        <s v="https://chat-conecta.recife.pe.gov.br/live/ZpahxkXRKchyJjA3L"/>
        <s v="https://chat-conecta.recife.pe.gov.br/live/5rhuiqoJB9Zrgxymh"/>
        <s v="https://chat-conecta.recife.pe.gov.br/live/aZdmyAiNBxWBuPF68"/>
        <s v="https://chat-conecta.recife.pe.gov.br/live/T9wF6zPn6PJD4j6MW"/>
        <s v="https://chat-conecta.recife.pe.gov.br/live/GAnXdvJTu48J2uHyR/room-info"/>
        <s v="https://chat-conecta.recife.pe.gov.br/live/PD5xtw3eK4QtQy5MA"/>
        <s v="https://chat-conecta.recife.pe.gov.br/live/4sz8CyRMPM7gpHxxy/room-info"/>
        <s v="https://chat-conecta.recife.pe.gov.br/live/ZM92pnghF9yTnzrJz"/>
        <s v="https://chat-conecta.recife.pe.gov.br/live/s5yGXGRxCdi3kKz5e#&amp;gid=1&amp;pid=4"/>
        <s v="https://chat-conecta.recife.pe.gov.br/omnichannel-directory/chats/view/rxsnhicykwTNSMuP9"/>
        <s v="https://chat-conecta.recife.pe.gov.br/live/HRw3JfQgkPaDtz85q/room-info"/>
        <s v="https://chat-conecta.recife.pe.gov.br/live/CdpKsRdbqhoXtXjwk"/>
        <s v="https://chat-conecta.recife.pe.gov.br/live/n7oX7FgRtPjXMp4ub/room-info"/>
        <s v="https://chat-conecta.recife.pe.gov.br/live/QyJ9obB2noDM35TkA"/>
        <s v="https://chat-conecta.recife.pe.gov.br/live/Y6E2niZZjKiWChvrQ/room-info"/>
        <s v="https://chat-conecta.recife.pe.gov.br/omnichannel-directory/chats/view/nfHomGGPMfaRSP6SY/room-info"/>
        <s v="https://chat-conecta.recife.pe.gov.br/live/7pmFhfKruBwAEfhAh/room-info"/>
        <s v="https://chat-conecta.recife.pe.gov.br/live/H3FDF6PjP6jSM2tTQ"/>
        <s v="https://chat-conecta.recife.pe.gov.br/live/z45Lfm3XniN8SMqdt"/>
        <s v="https://chat-conecta.recife.pe.gov.br/live/tdPRYgYfhJSQ2wYsa/room-info"/>
        <s v="https://chat-conecta.recife.pe.gov.br/live/o2RNLNNcuiDva9rCe/room-info"/>
        <s v="https://chat-conecta.recife.pe.gov.br/live/Pud2sjZ3id3JsemYY/room-info"/>
        <s v="https://chat-conecta.recife.pe.gov.br/direct/NcmyoDSPPFwkbXMjAi2c2jSHZXRKjv2wQH"/>
        <s v="https://chat-conecta.recife.pe.gov.br/live/QCbG3kpgSGTGz7wdG/room-info"/>
        <s v="https://chat-conecta.recife.pe.gov.br/live/fMs2MgZJdDz3zpL3B/members-list"/>
        <s v="https://chat-conecta.recife.pe.gov.br/omnichannel-directory/chats/view/mdu5BX57Aayhwss3g/room-info"/>
        <s v="https://chat-conecta.recife.pe.gov.br/live/ZEdCrmCQeB2BiEdyu/room-info"/>
        <s v="https://chat-conecta.recife.pe.gov.br/live/eJSP9vgscyetfgQM8/user-info"/>
        <s v="https://chat-conecta.recife.pe.gov.br/live/bxTD23RzEJthzGgSo#&amp;gid=1&amp;pid=6"/>
        <s v="https://chat-conecta.recife.pe.gov.br/live/rXdsKbA7MrTTYrC7c"/>
        <s v="https://chat-conecta.recife.pe.gov.br/live/yjaYZvXF3Xz8gFupv"/>
        <s v="https://chat-conecta.recife.pe.gov.br/live/9oerbMaGKGQpsKvof"/>
        <s v="https://chat-conecta.recife.pe.gov.br/live/s9ssMzN9q2CqpNWFA"/>
        <s v="https://chat-conecta.recife.pe.gov.br/live/jSWoe2nasPCBFiPdm/room-info"/>
        <s v="https://chat-conecta.recife.pe.gov.br/live/vdpfFgmshefC3gxdn"/>
        <s v="https://chat-conecta.recife.pe.gov.br/live/xrbLQr7oQM9XNGyLv"/>
        <s v="https://chat-conecta.recife.pe.gov.br/live/5gxvRaoT8frwEqTiM/user-info"/>
        <s v="https://chat-conecta.recife.pe.gov.br/live/tmbFYxEgcNTtdcyii/room-info"/>
        <s v="https://chat-conecta.recife.pe.gov.br/live/r2i4gahHaC7vNLEEK"/>
        <s v="https://chat-conecta.recife.pe.gov.br/live/AQfxjoyngDk8TndQB/room-info"/>
        <s v="https://chat-conecta.recife.pe.gov.br/live/P4Z55NZW5sKpbGBRY/user-info"/>
        <s v="https://chat-conecta.recife.pe.gov.br/live/AnHbN3eWMDHyNJkrt/members-list"/>
        <s v="https://chat-conecta.recife.pe.gov.br/live/KMwioqTKMqMhoy3jY/user-info"/>
        <s v="https://chat-conecta.recife.pe.gov.br/live/KMwioqTKMqMhoy3jY/room-info"/>
        <s v="https://chat-conecta.recife.pe.gov.br/live/Rza7bpfB7NfqpmdBM/room-info"/>
        <s v="https://chat-conecta.recife.pe.gov.br/live/tE5Y8cZGLCpRTLWDo/user-info"/>
        <s v="https://chat-conecta.recife.pe.gov.br/live/AHsdXLhoywRd7sWRb/user-info"/>
        <s v="https://chat-conecta.recife.pe.gov.br/live/FE4HZoYBBxfZtD4kE"/>
        <s v="https://chat-conecta.recife.pe.gov.br/live/nAFoFx7LCa7jLcwNw/room-info"/>
        <s v="https://chat-conecta.recife.pe.gov.br/live/dDYTdcYQTz8p929tz"/>
        <s v="https://chat-conecta.recife.pe.gov.br/live/vj2Ee9qtE74H5qJHm/room-info"/>
        <s v="https://chat-conecta.recife.pe.gov.br/live/rHrMX6jFvrRD8Fy83/room-info"/>
        <s v="https://chat-conecta.recife.pe.gov.br/live/yddLtRCcseMJqBGJc#&amp;gid=1&amp;pid=8"/>
        <s v="https://chat-conecta.recife.pe.gov.br/live/CJCWWq4JbYsdotwXY/members-list"/>
        <s v="https://chat-conecta.recife.pe.gov.br/live/LNPG6DGuWT2h883BS"/>
        <s v="https://chat-conecta.recife.pe.gov.br/live/9h3sgK5qiaGkeQKc7/room-info"/>
        <s v="https://chat-conecta.recife.pe.gov.br/live/mYoiBcMRb5sW8zxnF/user-info"/>
        <s v="https://chat-conecta.recife.pe.gov.br/live/We3zfcTLx5g9tc9Aq"/>
        <s v="https://chat-conecta.recife.pe.gov.br/live/MhXLwSHKAfsxt9pTy"/>
        <s v="https://chat-conecta.recife.pe.gov.br/omnichannel-directory/chats/view/9h3sgK5qiaGkeQKc7/room-info"/>
        <s v="https://chat-conecta.recife.pe.gov.br/live/8v8Mhw59E3o3Agxah/room-info"/>
        <s v="https://chat-conecta.recife.pe.gov.br/live/4sGkT3uJnLEuB5nrH"/>
        <s v="https://chat-conecta.recife.pe.gov.br/live/piKXRSNQ5qg3MRub9/room-info"/>
        <s v="https://chat-conecta.recife.pe.gov.br/live/5nWMx4ytDEvxkzXpq"/>
        <s v="https://chat-conecta.recife.pe.gov.br/live/c57mqrxf6oucFNPii"/>
        <s v="https://chat-conecta.recife.pe.gov.br/live/Ltwmmk5sRnyaJtMmd/room-info"/>
        <s v="https://chat-conecta.recife.pe.gov.br/live/C9D6ytyB7zXR5ssru"/>
        <s v="https://chat-conecta.recife.pe.gov.br/live/av3ZiF2rHiAzeyg39"/>
        <s v="https://chat-conecta.recife.pe.gov.br/live/2jSdW8kWSMKLi2A4S/user-info"/>
        <s v="https://chat-conecta.recife.pe.gov.br/live/HiMnirG6ozF8HwNWz"/>
        <s v="https://chat-conecta.recife.pe.gov.br/live/f3FZGXoFyKfZLHJdL/members-list"/>
        <s v="https://chat-conecta.recife.pe.gov.br/live/TwMADgQqhGRs6ihGy"/>
        <s v="https://chat-conecta.recife.pe.gov.br/live/LNcY2JYXqbJhvKGoc#&amp;gid=1&amp;pid=4"/>
        <s v="https://chat-conecta.recife.pe.gov.br/live/YrmK4d8nbnTK2bPCS"/>
        <s v="https://chat-conecta.recife.pe.gov.br/live/B4Hnt7Yhwor34pEEu/uploaded-files-list"/>
        <s v="https://chat-conecta.recife.pe.gov.br/omnichannel-directory/chats/view/TipfusqGDBhNmbHfn"/>
        <s v="https://chat-conecta.recife.pe.gov.br/live/WGm8jy85oco7vWuQn/user-info"/>
        <s v="https://chat-conecta.recife.pe.gov.br/live/jqApCsg9G6N6bddA5/room-info"/>
        <s v="https://chat-conecta.recife.pe.gov.br/live/ToeTmfK4QHYwHpYba"/>
        <s v="https://chat-conecta.recife.pe.gov.br/live/LSwnF6zsHeuna6t5g/user-info"/>
        <s v="https://chat-conecta.recife.pe.gov.br/live/PBopX9SHBgDuA2RAs/room-info"/>
        <s v="https://chat-conecta.recife.pe.gov.br/live/YaPoRLRrozedndcwy"/>
        <s v="https://chat-conecta.recife.pe.gov.br/live/wb4y3XeWoum4usnJZ/room-info"/>
        <s v="https://chat-conecta.recife.pe.gov.br/live/nJwhdHyfYxibDJQ4Y"/>
        <s v="https://chat-conecta.recife.pe.gov.br/live/EptoLGdPfW8sCx8G7"/>
        <s v="https://chat-conecta.recife.pe.gov.br/live/MCMvXyDPKmPBNy27S/members-list"/>
        <s v="https://chat-conecta.recife.pe.gov.br/live/uFnCh7mBMFBCWBE2X/room-info"/>
        <s v="https://chat-conecta.recife.pe.gov.br/live/XTh6tMgCDSD4zwfDh"/>
        <s v="https://chat-conecta.recife.pe.gov.br/live/zGnGLFmbPuA4GCJRZ/room-info"/>
        <s v="https://chat-conecta.recife.pe.gov.br/live/zk6hvdQ2DsaEiECXw/room-info"/>
        <s v="https://chat-conecta.recife.pe.gov.br/live/TGzvEeF8cuRGHPPLR/user-info"/>
        <s v="https://chat-conecta.recife.pe.gov.br/live/wdfKRtWpPAJBRdGp6/room-info"/>
        <s v="https://chat-conecta.recife.pe.gov.br/live/nPjhPu6kieccuo72K/room-info"/>
        <s v="https://chat-conecta.recife.pe.gov.br/live/9wsNjYi8TBdfAneLt/user-info"/>
        <s v="https://chat-conecta.recife.pe.gov.br/live/47ZoZZroPeSiJFPYZ/user-info"/>
        <s v="https://chat-conecta.recife.pe.gov.br/live/f79GJPct9gYx9WmoJ/user-info#&amp;gid=1&amp;pid=5"/>
        <s v="https://chat-conecta.recife.pe.gov.br/live/z4h7ZpdSEq8oXc8L2/user-info"/>
        <s v="https://chat-conecta.recife.pe.gov.br/live/oFn54msvsGSozPPZJ"/>
        <s v="https://chat-conecta.recife.pe.gov.br/live/tPvLXrfSqgtcnywMi/user-info"/>
        <s v="https://chat-conecta.recife.pe.gov.br/live/vtmNXeGR4y3fLiocH"/>
        <s v="https://chat-conecta.recife.pe.gov.br/live/s2iHsveqyCgtgDdSr"/>
        <s v="https://chat-conecta.recife.pe.gov.br/live/9F4uSSvb2RYbHXo3b/uploaded-files-list"/>
        <s v="https://chat-conecta.recife.pe.gov.br/live/bGCbT2d9dQkCyhkj4"/>
        <s v="https://chat-conecta.recife.pe.gov.br/live/At5J4ZbgemTiaJ9Fr/room-info"/>
        <s v="https://chat-conecta.recife.pe.gov.br/live/TEofGvc2fYQsMgQmy"/>
        <s v="https://chat-conecta.recife.pe.gov.br/live/3SWwdFoWRFuq9jGGi/user-info"/>
        <s v="https://chat-conecta.recife.pe.gov.br/live/84kZepyKnNT9kBcqy"/>
        <s v="https://chat-conecta.recife.pe.gov.br/live/PZnr4tW6szgRaBtBQ/room-info"/>
        <s v="https://chat-conecta.recife.pe.gov.br/live/jamTQqREGtnZSsECP"/>
        <s v="https://chat-conecta.recife.pe.gov.br/live/Xf8iPzZTiq6R8LQee/room-info"/>
        <s v="https://chat-conecta.recife.pe.gov.br/live/LpdNGatAexmtLMwZK"/>
        <s v="https://chat-conecta.recife.pe.gov.br/live/3q7yt5WKx7NxZa4mP"/>
        <s v="https://chat-conecta.recife.pe.gov.br/live/CNtjmr9Jt6DHa6ftr/room-info"/>
        <s v="https://chat-conecta.recife.pe.gov.br/live/7sL4pESJCqGuS6Nw7"/>
        <s v="https://chat-conecta.recife.pe.gov.br/live/XqQca92b9rgdRgpmB"/>
        <s v="https://chat-conecta.recife.pe.gov.br/live/pAhjLDQiZhrwtFk8D"/>
        <s v="https://chat-conecta.recife.pe.gov.br/live/GGZhQ75mX6jHpiHYD/members-list"/>
        <s v="https://chat-conecta.recife.pe.gov.br/live/8ujind6kKqd78w4oP"/>
        <s v="https://chat-conecta.recife.pe.gov.br/live/TpLbFfJndDLC4k7CZ"/>
        <s v="https://chat-conecta.recife.pe.gov.br/live/Ewcs7ZtEGacEXcWTk"/>
        <s v="https://chat-conecta.recife.pe.gov.br/live/Xtn8xzM9wrHdqW85z/room-info"/>
        <s v="https://chat-conecta.recife.pe.gov.br/live/mt59LtTYgFaedaLGa"/>
        <s v="https://chat-conecta.recife.pe.gov.br/live/SWpnNq59vRSzv7APF"/>
        <s v="https://chat-conecta.recife.pe.gov.br/live/cDXhcWZkS5dpB4DPC"/>
        <s v="https://chat-conecta.recife.pe.gov.br/live/eN8NNFPhgkanD94ct/room-info"/>
        <s v="https://chat-conecta.recife.pe.gov.br/live/EPoqqpCatZkGZKHNo/room-info"/>
        <s v="https://chat-conecta.recife.pe.gov.br/live/WPQvNEK2d4gZ8Mow6"/>
        <s v="https://chat-conecta.recife.pe.gov.br/live/mjspR7BKruMbzfrmS/room-info"/>
        <s v="https://chat-conecta.recife.pe.gov.br/live/2MazhZKwiwsK53iH7"/>
        <s v="https://chat-conecta.recife.pe.gov.br/live/Jz7KP6qetfsivQbaq"/>
        <s v="https://chat-conecta.recife.pe.gov.br/live/WQf6RYEhThyNGrQ7J/room-info"/>
        <s v="https://chat-conecta.recife.pe.gov.br/live/n8G9hupd2FQoyKw3h/room-info"/>
        <s v="https://chat-conecta.recife.pe.gov.br/live/5EPSr9bTFjfEw7pxA/room-info"/>
        <s v="https://chat-conecta.recife.pe.gov.br/live/e96R3EJ4kiEFeSkxE/room-info"/>
        <s v="https://chat-conecta.recife.pe.gov.br/live/suetuRC4ydfLBjDiJ/room-info"/>
        <s v="https://chat-conecta.recife.pe.gov.br/live/9WZ3ziDLAgvDzpaf7/user-info"/>
        <s v="https://chat-conecta.recife.pe.gov.br/live/jLmq7nqMNASP3wNhq/room-info"/>
        <s v="https://chat-conecta.recife.pe.gov.br/live/XNkHTxuGqLiMHW367"/>
        <s v="https://chat-conecta.recife.pe.gov.br/live/mTjGX7xp2go6KWdhT#&amp;gid=1&amp;pid=6"/>
        <s v="https://chat-conecta.recife.pe.gov.br/live/hrLz382WiQGmE5NNv/room-info"/>
        <s v="https://chat-conecta.recife.pe.gov.br/live/KfhRPN5WQNXrfsGXa/user-info"/>
        <s v="https://chat-conecta.recife.pe.gov.br/live/3CLnpsujeK6KfSNgy/room-info"/>
        <s v="https://chat-conecta.recife.pe.gov.br/live/kDF4XXNqNxZETDPwJ"/>
        <s v="https://chat-conecta.recife.pe.gov.br/live/TEYqdTArcZnMXx6fc"/>
        <s v="https://chat-conecta.recife.pe.gov.br/live/kh3shwjfABzKaeF8Y/room-info"/>
        <s v="https://chat-conecta.recife.pe.gov.br/live/yfAqfskTwQizj7wzf/user-info"/>
        <s v="https://chat-conecta.recife.pe.gov.br/live/LQqBxxnqBFPDpMeRS"/>
        <s v="https://chat-conecta.recife.pe.gov.br/live/SDQDBYkgbRyD7tsDw/user-info"/>
        <s v="https://chat-conecta.recife.pe.gov.br/live/qANtvMXKJo8ysphNS"/>
        <s v="https://chat-conecta.recife.pe.gov.br/live/8HRxCuDkNtWG4t2oY"/>
        <s v="https://chat-conecta.recife.pe.gov.br/live/WvpZswjNovxTzL6T7/room-info"/>
        <s v="https://chat-conecta.recife.pe.gov.br/live/xwejZoBSFwvgT2RQa/user-info"/>
        <s v="https://chat-conecta.recife.pe.gov.br/live/LvsE69AD54rx2eZJJ"/>
        <s v="https://chat-conecta.recife.pe.gov.br/live/JuZ2HW8CadSHTJWic/room-info"/>
        <s v="https://chat-conecta.recife.pe.gov.br/live/Z6QAd7AwEbPK8F76p/room-info"/>
        <s v="https://chat-conecta.recife.pe.gov.br/live/jSESwdMALKb5seoSK"/>
        <s v="https://chat-conecta.recife.pe.gov.br/live/LPodvTkfdriCKeLYF"/>
        <s v="https://chat-conecta.recife.pe.gov.br/live/dfpjzxaRcYyKDe6H2/user-info"/>
        <s v="https://chat-conecta.recife.pe.gov.br/live/wFE929JxDQXaQNKbp/user-info#&amp;gid=1&amp;pid=4"/>
        <s v="https://chat-conecta.recife.pe.gov.br/live/YvhtDuqvs7H7LrD88/room-info"/>
        <s v="https://chat-conecta.recife.pe.gov.br/omnichannel-directory/chats/view/g3kbApt67hmcEdEQj/room-info"/>
        <s v="https://chat-conecta.recife.pe.gov.br/live/DsZwim3tMQ5WzZS5w/members-list"/>
        <s v="https://chat-conecta.recife.pe.gov.br/live/AwXrj6Xr9T3nacPuH"/>
        <s v="https://chat-conecta.recife.pe.gov.br/live/wNc8LSiq63vp5xY3G/user-info"/>
        <s v="https://chat-conecta.recife.pe.gov.br/live/955u4rx7HG9Mpy2nM/members-list"/>
        <s v="https://chat-conecta.recife.pe.gov.br/live/6erw5JMxxjkeq6KHR/user-info"/>
        <s v="https://chat-conecta.recife.pe.gov.br/live/FqRRk8vaZt8gGp9pG"/>
        <s v="https://chat-conecta.recife.pe.gov.br/live/j9DNDTRrq9ySBDLy4/members-list"/>
        <s v="https://chat-conecta.recife.pe.gov.br/live/gkiG9W86RTYhLJNeT/room-info"/>
        <s v="https://chat-conecta.recife.pe.gov.br/live/LnNkyRMuYRcrKSjcm"/>
        <s v="https://chat-conecta.recife.pe.gov.br/live/YKcfCgt7msAin5DZf"/>
        <s v="https://chat-conecta.recife.pe.gov.br/live/gSAHbAcMvjDuKXpc7"/>
        <s v="https://chat-conecta.recife.pe.gov.br/live/ewQu7KPo2L3p3j4C4/room-info"/>
        <s v="https://chat-conecta.recife.pe.gov.br/live/RJqTFJ3wGHYt53RNE/room-info"/>
        <s v="https://chat-conecta.recife.pe.gov.br/live/CxPnSzXnQtoqkSM5Y/room-info"/>
        <s v="https://chat-conecta.recife.pe.gov.br/live/ATbzSz4oNwiQsRGsn"/>
        <s v="https://chat-conecta.recife.pe.gov.br/live/WhduJ3KxEETHGNW4J"/>
        <s v="https://chat-conecta.recife.pe.gov.br/omnichannel-directory/chats/view/pJhp6GSZu6WfKsL98/room-info"/>
        <s v="https://chat-conecta.recife.pe.gov.br/live/jkSXWeBmc4rMqKBQt"/>
        <s v="https://chat-conecta.recife.pe.gov.br/live/Bgfzh5Xz2Ye3vRTzw"/>
        <s v="https://chat-conecta.recife.pe.gov.br/live/ws9qFWHpavvohcaYp"/>
        <s v="https://chat-conecta.recife.pe.gov.br/live/xkf9eh94fsQBW7ynj/room-info"/>
        <s v="https://chat-conecta.recife.pe.gov.br/live/fowZKxsWwHwttQkKC"/>
        <s v="https://chat-conecta.recife.pe.gov.br/live/WYDP8X9h7feWj2d6R"/>
        <s v="https://chat-conecta.recife.pe.gov.br/omnichannel-directory/chats/view/BbWbp7HdyHrP3hKSh/room-info"/>
        <s v="https://chat-conecta.recife.pe.gov.br/live/z7mn3KFCtXgEaZdnt"/>
        <s v="https://chat-conecta.recife.pe.gov.br/live/8KnronK29MgMn3SED"/>
        <s v="https://chat-conecta.recife.pe.gov.br/live/dkffgkKNnzdT8RRDs/room-info"/>
        <s v="https://chat-conecta.recife.pe.gov.br/live/cEtMGgQ5yA5Dfa9D6/room-info"/>
        <s v="https://chat-conecta.recife.pe.gov.br/live/RGP5BjyP5HtnvP7kJ"/>
        <s v="https://chat-conecta.recife.pe.gov.br/live/wqToPvGTH9hewLjMm/room-info"/>
        <s v="https://chat-conecta.recife.pe.gov.br/live/KshqGSPTJWwMt7h3T/user-info"/>
        <s v="https://chat-conecta.recife.pe.gov.br/live/GSJeK8m57p4NCbTpf/room-info"/>
        <s v="https://chat-conecta.recife.pe.gov.br/live/ARh9W73ruWnzzbnYu/room-info"/>
        <s v="https://chat-conecta.recife.pe.gov.br/live/ERLWMhL4B7dF5Dxq5/room-info"/>
        <s v="https://chat-conecta.recife.pe.gov.br/omnichannel-directory/chats/view/YpRs4mMxLcHaxz9uB"/>
        <s v="https://chat-conecta.recife.pe.gov.br/live/33ywnpsgGGyFDfriZ"/>
        <s v="https://chat-conecta.recife.pe.gov.br/live/4KEcGWff8wwbgCdye/user-info"/>
        <s v="https://chat-conecta.recife.pe.gov.br/live/apTEpHkRnvWZu9wTR/room-info"/>
        <s v="https://chat-conecta.recife.pe.gov.br/live/3uRXmFXo2muwHfbRZ/room-info"/>
        <s v="https://chat-conecta.recife.pe.gov.br/live/2QaKw4am8xWs2h2J9/room-info"/>
        <s v="https://chat-conecta.recife.pe.gov.br/live/PGB8NL8ChRdjeme57"/>
        <s v="https://chat-conecta.recife.pe.gov.br/live/WDSeCFBfRPY8Hkcsd"/>
        <s v="https://chat-conecta.recife.pe.gov.br/live/eEqz97ddknidsNAk5"/>
        <s v="https://chat-conecta.recife.pe.gov.br/live/2gqxNPEL7qtFhmeea"/>
        <s v="https://chat-conecta.recife.pe.gov.br/live/QWBLAYT2XyznCgdzw/user-info"/>
        <s v="https://chat-conecta.recife.pe.gov.br/live/BiGxr7NEo3SvTxWTX"/>
        <s v="https://chat-conecta.recife.pe.gov.br/live/BLWcxLAZed9JZ2D2s"/>
        <s v="https://chat-conecta.recife.pe.gov.br/live/LuMbhG6L5bC6Lotbb/user-info"/>
        <s v="https://chat-conecta.recife.pe.gov.br/live/ZNj4spu5dj5J7aGEu"/>
        <s v="https://chat-conecta.recife.pe.gov.br/live/Gvepwa2Q2yBt3aKtv"/>
        <s v="https://chat-conecta.recife.pe.gov.br/live/ca2qW8rrF3LQvrwGS"/>
        <s v="https://chat-conecta.recife.pe.gov.br/live/kAsGAAjwtEN3sDxLC"/>
        <s v="https://chat-conecta.recife.pe.gov.br/live/6xgKDN4SLBHoNspJz"/>
        <s v="https://chat-conecta.recife.pe.gov.br/live/zSZZsXDhzoCeeFZNm"/>
        <s v="https://chat-conecta.recife.pe.gov.br/live/h5hk2N97AL5uNLRss"/>
        <s v="https://chat-conecta.recife.pe.gov.br/live/EDky2Zxdw68RNWLJz"/>
        <s v="https://chat-conecta.recife.pe.gov.br/live/bYkGnj6w7jHQZwtFG"/>
        <s v="https://chat-conecta.recife.pe.gov.br/live/TznuvBzFW2BkocC53/user-info"/>
        <s v="https://chat-conecta.recife.pe.gov.br/live/ciCaauKDvdB9d5Dun"/>
        <s v="https://chat-conecta.recife.pe.gov.br/live/tfnuQBZJrkE3GDsxg/room-info"/>
        <s v="https://chat-conecta.recife.pe.gov.br/live/dNr8hZzLLK7s6Kevo"/>
        <s v="https://chat-conecta.recife.pe.gov.br/live/wAX8gRMG9NSMZsLFg"/>
        <s v="https://chat-conecta.recife.pe.gov.br/live/Yk6c3wn5jSomzWvfN/room-info"/>
        <s v="https://chat-conecta.recife.pe.gov.br/live/FgXhPX8F2DEKf9R5p"/>
        <s v="https://chat-conecta.recife.pe.gov.br/live/AfcwB5M38f2rdWfDk#&amp;gid=1&amp;pid=4"/>
        <s v="https://chat-conecta.recife.pe.gov.br/live/o3DPeoNeH4pZ4jy7v/user-info"/>
        <s v="https://chat-conecta.recife.pe.gov.br/live/MfHSfwiSnkGfu7Rd3/room-info"/>
        <s v="https://chat-conecta.recife.pe.gov.br/live/59C96ZTrCxAR55yCi"/>
        <s v="https://chat-conecta.recife.pe.gov.br/live/SL9riEbnBGcKReMbT"/>
        <s v="https://chat-conecta.recife.pe.gov.br/live/o3DPeoNeH4pZ4jy7v/room-info"/>
        <s v="https://chat-conecta.recife.pe.gov.br/live/zBqAxAMv6SuenDXEL/room-info"/>
        <s v="https://chat-conecta.recife.pe.gov.br/live/BY9kJ3miGsNu25A9h#&amp;gid=1&amp;pid=4"/>
        <s v="https://chat-conecta.recife.pe.gov.br/live/GrjnsiGh3NdbGZaZc"/>
        <s v="https://chat-conecta.recife.pe.gov.br/live/3aBxvntNHhLTZwzh4/room-info"/>
        <s v="https://chat-conecta.recife.pe.gov.br/live/nqANNA4d5RxiZzyj7/user-info"/>
        <s v="https://chat-conecta.recife.pe.gov.br/live/58TLkkNSEx8R6Ddqw/room-info"/>
        <s v="https://chat-conecta.recife.pe.gov.br/live/SWTqdE8RKerngWBmE"/>
        <s v="hat-conecta.recife.pe.gov.br/live/4dPpe3RPqYZRbiwdX/room-info"/>
        <s v="https://chat-conecta.recife.pe.gov.br/live/3sx3zdNMQrKqGJjsc"/>
        <s v="https://chat-conecta.recife.pe.gov.br/live/9ZgdvyHfgxo5gnQEL/room-info"/>
        <s v="https://chat-conecta.recife.pe.gov.br/live/EpLkkvm6M7MoMi87T/user-info#&amp;gid=1&amp;pid=3"/>
        <s v="https://chat-conecta.recife.pe.gov.br/live/X3WcpvYGtPY2ct9w3"/>
        <s v="https://chat-conecta.recife.pe.gov.br/omnichannel-directory/chats/view/Dr9HaSN5Yh9zLiGzA"/>
        <s v="https://chat-conecta.recife.pe.gov.br/live/KYzKi399w4cd68D3p/user-info"/>
        <s v="https://chat-conecta.recife.pe.gov.br/live/sChGG49tFTzEKRJHs"/>
        <s v="https://chat-conecta.recife.pe.gov.br/live/Z3KhGRwWoRMtMM7MK/room-info"/>
        <s v="https://chat-conecta.recife.pe.gov.br/live/AEwhTQXziYyiZ7t9Z"/>
        <s v="https://chat-conecta.recife.pe.gov.br/live/XRinCWNj7TgMMaqxa"/>
        <s v="https://chat-conecta.recife.pe.gov.br/live/5kPLmwG5uRbMN57Q5/room-info#&amp;gid=1&amp;pid=7"/>
        <s v="https://chat-conecta.recife.pe.gov.br/live/f6zLaoTdW7pjnGL7x/user-info"/>
        <s v="https://chat-conecta.recife.pe.gov.br/live/iveiJNpSfCJ4FKpqX/room-info"/>
        <s v="https://chat-conecta.recife.pe.gov.br/live/uwRdow5hqxMk5cq3x/room-info"/>
        <s v="https://chat-conecta.recife.pe.gov.br/live/pypHsARJ4tPx6ss2P/room-info"/>
        <s v="https://chat-conecta.recife.pe.gov.br/live/2L5CkCAJcEmZkbfxv/room-info"/>
        <s v="https://chat-conecta.recife.pe.gov.br/live/dcdhGCZmJRL8E7bDJ/room-info#&amp;gid=1&amp;pid=7"/>
        <s v="https://chat-conecta.recife.pe.gov.br/live/2xLRfnHecHodLo474/room-info"/>
        <s v="https://chat-conecta.recife.pe.gov.br/live/ZXJCq4zn6W82HMZqL"/>
        <s v="https://chat-conecta.recife.pe.gov.br/live/YHghXmbc8a3s4TKtB/room-info"/>
        <s v="https://chat-conecta.recife.pe.gov.br/omnichannel-directory/chats/view/tcxMXqe3kCPoPDW2s"/>
        <s v="https://chat-conecta.recife.pe.gov.br/live/CWtpRo8syTNq7mEsk/room-info"/>
        <s v="https://chat-conecta.recife.pe.gov.br/live/c35qEHzyYqko6i3Zj#&amp;gid=1&amp;pid=7"/>
        <s v="https://chat-conecta.recife.pe.gov.br/live/7Pk53XcPNMaAsfh3r/room-info"/>
        <s v="https://chat-conecta.recife.pe.gov.br/live/Mx4x2SXKHCFuQKkE5/room-info"/>
        <s v="https://chat-conecta.recife.pe.gov.br/live/vMmm8MwsS4BnaWxCM"/>
        <s v="https://chat-conecta.recife.pe.gov.br/live/KgbiMkC4BfuTweWfc/user-info"/>
        <s v="https://chat-conecta.recife.pe.gov.br/live/LHvxffLJFMJWP2XEZ"/>
        <s v="https://chat-conecta.recife.pe.gov.br/live/acM"/>
        <s v="https://chat-conecta.recife.pe.gov.br/omnichannel-directory/chats/view/NC59HJJCywPTfzzL8"/>
        <s v="https://chat-conecta.recife.pe.gov.br/live/3NdEwNDHJZxEJH955/room-info"/>
        <s v="https://chat-conecta.recife.pe.gov.br/live/SerXf8CDdYNuvYg33/room-info"/>
        <s v="https://chat-conecta.recife.pe.gov.br/live/AyC7G2u8HwRki9Zp6/members-list"/>
        <s v="https://chat-conecta.recife.pe.gov.br/live/zApHgJFLkuyaN9NTQ/room-info"/>
        <s v="https://chat-conecta.recife.pe.gov.br/live/HAMEsiuZtqaNo2GKR"/>
        <s v="https://chat-conecta.recife.pe.gov.br/live/4DkKhhja6kDaKJgnn"/>
        <s v="https://chat-conecta.recife.pe.gov.br/live/HKec4FjhwesB5Yo9h"/>
        <s v="https://chat-conecta.recife.pe.gov.br/live/6gsboQzBgmoY5pZCB/room-info"/>
        <s v="https://chat-conecta.recife.pe.gov.br/live/rTtgfsrggPoHiQ7ne"/>
        <s v="https://chat-conecta.recife.pe.gov.br/live/Fsvo3CWGyXz6N6cfo/room-info"/>
        <s v="https://chat-conecta.recife.pe.gov.br/live/5uHojBWN8iXdsh9vT/room-info"/>
        <s v="https://chat-conecta.recife.pe.gov.br/live/hz96xNiGGKnaKKrmA/room-info#&amp;gid=1&amp;pid=1"/>
        <s v="https://chat-conecta.recife.pe.gov.br/live/nrKoMsP3ZLmNr6cpQ/room-info"/>
        <s v="https://chat-conecta.recife.pe.gov.br/live/3nLzhoZNJFRaFdAe6/user-info"/>
        <s v="https://chat-conecta.recife.pe.gov.br/live/Hn8etzp7wuzn6Gq7W/user-info#&amp;gid=1&amp;pid=6"/>
        <s v="https://chat-conecta.recife.pe.gov.br/live/ZBbou7YupbZxyArLE"/>
        <s v="https://chat-conecta.recife.pe.gov.br/live/cs2MrjrBy8vZunfKh"/>
        <s v="https://chat-conecta.recife.pe.gov.br/live/AyLRnE89AkiQQzsLZ"/>
        <s v="https://chat-conecta.recife.pe.gov.br/live/iQSEHNW6crqvM4Mnj/room-info"/>
        <s v="https://chat-conecta.recife.pe.gov.br/live/6xwHoFqqeZwSNTdHN"/>
        <s v="https://chat-conecta.recife.pe.gov.br/live/wDYeBJpn8RrhjxpDn"/>
        <s v="https://chat-conecta.recife.pe.gov.br/live/GYNAPA5JtMhoFEyLp"/>
        <s v="https://chat-conecta.recife.pe.gov.br/live/KXDTHrk6hFwEJo6p9/members-list"/>
        <s v="https://chat-conecta.recife.pe.gov.br/live/Hftgsg8KRn8f7ZTTm"/>
        <s v="https://chat-conecta.recife.pe.gov.br/live/6uGnYZKe7dPCBfcda/room-info"/>
        <s v="https://chat-conecta.recife.pe.gov.br/live/MHHXCFcFC6TgKTm7B/members-list"/>
        <s v="https://chat-conecta.recife.pe.gov.br/live/nGahoHcB42nbpsGku/room-info"/>
        <s v="https://chat-conecta.recife.pe.gov.br/live/z8aYeTETgHR4DvXg7/members-list"/>
        <s v="https://chat-conecta.recife.pe.gov.br/live/Pa3tYyzWztXyKvCTB/user-info"/>
        <s v="https://chat-conecta.recife.pe.gov.br/live/eJcHbLnYHDocKBiSR/user-info"/>
        <s v="https://chat-conecta.recife.pe.gov.br/live/paZzmKEpLZFfiGpfu/room-info"/>
        <s v="https://chat-conecta.recife.pe.gov.br/live/Z7PqSB2psij7TCjuH/room-info"/>
        <s v="https://chat-conecta.recife.pe.gov.br/live/LKz9xSbMxFQ7xkwAo/user-info"/>
        <s v="https://chat-conecta.recife.pe.gov.br/live/iwAHdtfRmH9TTzmAw/room-info"/>
        <s v="https://chat-conecta.recife.pe.gov.br/live/hZzKY6jrRgThPXY8u"/>
        <s v="https://chat-conecta.recife.pe.gov.br/live/Hs5FfrFKw6yLukDWW"/>
        <s v="https://chat-conecta.recife.pe.gov.br/live/7YE9ueuABrCGehJfW/room-info"/>
        <s v="https://chat-conecta.recife.pe.gov.br/live/J9WdxttabqHSfKnkX"/>
        <s v="https://chat-conecta.recife.pe.gov.br/live/4svW7AAi2SvHBj9cv/members-list"/>
        <s v="https://chat-conecta.recife.pe.gov.br/live/apY8f73WDZ59ebcbd"/>
        <s v="https://chat-conecta.recife.pe.gov.br/live/weovKF9fJw8doQZav"/>
        <s v="https://chat-conecta.recife.pe.gov.br/live/xs663rB3w2XeTNiHr"/>
        <s v="https://chat-conecta.recife.pe.gov.br/live/pv9D5xWEavr4vBWPv"/>
        <s v="https://chat-conecta.recife.pe.gov.br/live/Z5Hf9iwR47RpxGMHn"/>
        <s v="https://chat-conecta.recife.pe.gov.br/live/5z7raoReSmZx4LpxT/room-info"/>
        <s v="https://chat-conecta.recife.pe.gov.br/live/CL8SCGdZPgfrTmeRY/room-info"/>
        <s v="https://chat-conecta.recife.pe.gov.br/live/Yig99BGWaKFcbhwAy"/>
        <s v="https://chat-conecta.recife.pe.gov.br/live/Tsu8ww9CmQfp8AwvY/room-info"/>
        <s v="https://chat-conecta.recife.pe.gov.br/live/i6K4D2gJxgSuqCspJ/room-info"/>
        <s v="https://chat-conecta.recife.pe.gov.br/live/6P33av7zHrKkmSAWA/room-info"/>
        <s v="https://chat-conecta.recife.pe.gov.br/live/ge3aiXhBuEdPXR3py/room-info"/>
        <s v="https://chat-conecta.recife.pe.gov.br/live/EWYva57EZJYEyAtaA/room-info"/>
        <s v="https://chat-conecta.recife.pe.gov.br/live/jjzJFHu5HKWSenYvB/room-info"/>
        <s v="https://chat-conecta.recife.pe.gov.br/live/mnm2CSQjZkAaKgowq"/>
        <s v="https://chat-conecta.recife.pe.gov.br/omnichannel-directory/chats/view/uAHg4sGcfTzmgyrsg"/>
        <s v="https://chat-conecta.recife.pe.gov.br/live/fe4LEnhvG7CjuwCAx"/>
        <s v="https://chat-conecta.recife.pe.gov.br/live/cudQseAHtdwBdScK8"/>
        <s v="https://chat-conecta.recife.pe.gov.br/live/AMyjBmtLPx4wZNWgD"/>
        <s v="https://chat-conecta.recife.pe.gov.br/live/KpxNL5ZHLjrBsa6AQ/user-info"/>
        <s v="https://chat-conecta.recife.pe.gov.br/live/erEbmKvMHiuJRuinA/room-info"/>
        <s v="https://chat-conecta.recife.pe.gov.br/live/erEbmKvMHiuJRuinA"/>
        <s v="https://chat-conecta.recife.pe.gov.br/live/aEXdfrgmC2w9HzWA3"/>
        <s v="https://chat-conecta.recife.pe.gov.br/live/tNfBKNMRN3Jj5Pcxu"/>
        <s v="https://chat-conecta.recife.pe.gov.br/live/aFXym8yzoM6Leevpd"/>
        <s v="https://chat-conecta.recife.pe.gov.br/live/8hAzthKS4t7FZafmp/members-list"/>
        <s v="https://chat-conecta.recife.pe.gov.br/live/SkRxmBDAhsNrp2P6w/room-info"/>
        <s v="https://chat-conecta.recife.pe.gov.br/live/SET4kirFrQQtntR9e"/>
        <s v="https://chat-conecta.recife.pe.gov.br/live/SET4kirFrQQtntR9e#&amp;gid=1&amp;pid=5"/>
        <s v="https://chat-conecta.recife.pe.gov.br/omnichannel-directory/chats/view/9ujTgc6JeaMJ9Ap6x"/>
        <s v="https://chat-conecta.recife.pe.gov.br/live/2PskQeJpo9TayW7bF/room-info"/>
        <s v="https://chat-conecta.recife.pe.gov.br/live/m6GEWExf2pFJZ3yYt"/>
        <s v="https://chat-conecta.recife.pe.gov.br/live/afuCLgXPJbu8sHABs"/>
        <s v="https://chat-conecta.recife.pe.gov.br/live/3R6nqANmqGxuaR336/user-info"/>
        <s v="https://chat-conecta.recife.pe.gov.br/live/Hx6uP5mHsMwoXDv48/room-info"/>
        <s v="https://chat-conecta.recife.pe.gov.br/live/5pi8XGggr3g7Ajoup/room-info"/>
        <s v="https://chat-conecta.recife.pe.gov.br/live/AHqMmspyxhpoesz7L"/>
        <s v="https://chat-conecta.recife.pe.gov.br/live/i2Rpkhm4e4cBbgqcQ/room-info"/>
        <s v="https://chat-conecta.recife.pe.gov.br/live/cKtdvZkhdC9SkACuF"/>
        <s v="https://chat-conecta.recife.pe.gov.br/live/rYYCoiFJkfYvtP3n5"/>
        <s v="https://chat-conecta.recife.pe.gov.br/live/3iY49JNegrjd6f4Za/user-info"/>
        <s v="https://chat-conecta.recife.pe.gov.br/live/DTuYC3s43M8x4T9nB/user-info"/>
        <s v="https://chat-conecta.recife.pe.gov.br/live/fSEnYLrKfrLNpQmnD/user-info"/>
        <s v="https://chat-conecta.recife.pe.gov.br/omnichannel-directory/chats/view/YRnqp7b9NEDBFJF2K"/>
        <s v="https://chat-conecta.recife.pe.gov.br/live/iFLjw8gboMxn9e7Dh#&amp;gid=1&amp;pid=3"/>
        <s v="https://chat-conecta.recife.pe.gov.br/live/fYKuHitqwFz4LghZz"/>
        <s v="https://chat-conecta.recife.pe.gov.br/live/Br5feW9vLbFSrDpGz"/>
        <s v="https://chat-conecta.recife.pe.gov.br/live/raDcP5gDyeD2TLk46"/>
        <s v="https://chat-conecta.recife.pe.gov.br/live/KxZK9qYrXzSafrJDe"/>
        <s v="https://chat-conecta.recife.pe.gov.br/live/tqt6dLp5FPvWf89Do"/>
        <s v="https://chat-conecta.recife.pe.gov.br/live/TcEMhs2iSYwvb44d3"/>
        <s v="https://chat-conecta.recife.pe.gov.br/live/qkAfNa4cTjo3P2n64"/>
        <s v="https://chat-conecta.recife.pe.gov.br/live/vXNCAe4wGm63hK4af"/>
        <s v="https://chat-conecta.recife.pe.gov.br/live/ehakjbjYg24RLyewm/user-info"/>
        <s v="https://chat-conecta.recife.pe.gov.br/home"/>
        <s v="https://chat-conecta.recife.pe.gov.br/live/S4bGfzQ2LufShqLqx"/>
        <s v="https://chat-conecta.recife.pe.gov.br/live/z4qadkRZcAaQY4YAp"/>
        <s v="https://chat-conecta.recife.pe.gov.br/live/TdunvEfpeKkuzNPaK/user-info"/>
        <s v="https://chat-conecta.recife.pe.gov.br/live/rc9DL2zSu7KgxgCJm"/>
        <s v="https://chat-conecta.recife.pe.gov.br/live/TdunvEfpeKkuzNPaK/room-info"/>
        <s v="https://chat-conecta.recife.pe.gov.br/live/WBieDPRdu69bTcJGM"/>
        <s v="https://chat-conecta.recife.pe.gov.br/live/mz8jxQa3fPJ6EgrnC"/>
        <s v="https://chat-conecta.recife.pe.gov.br/live/eEWau4MkfXtySRHdJ"/>
        <s v="https://chat-conecta.recife.pe.gov.br/live/XYBYaNsDvPth5EqjF/members-list"/>
        <s v="https://chat-conecta.recife.pe.gov.br/live/dHQF27r4Sw3ogbpP4/members-list"/>
        <s v="https://chat-conecta.recife.pe.gov.br/live/eCFzYihnWbjimYNA6"/>
        <s v="https://chat-conecta.recife.pe.gov.br/live/n5sTMpgL8Wg6ZF7ux/members-list"/>
        <s v="https://chat-conecta.recife.pe.gov.br/live/kvK4A7TfXKoRgbKp3"/>
        <s v="https://chat-conecta.recife.pe.gov.br/live/LTE8hYQNhXNShsrBD"/>
        <s v="https://chat-conecta.recife.pe.gov.br/live/GE3JpPzWDA2rKN58f/user-info"/>
        <s v="https://chat-conecta.recife.pe.gov.br/live/bbYcMRchGBaHdckDW"/>
        <s v="https://chat-conecta.recife.pe.gov.br/live/FJga4BrjgWwYfhrYA/room-info"/>
        <s v="https://chat-conecta.recife.pe.gov.br/live/FJga4BrjgWwYfhrYA/user-info"/>
        <s v="https://chat-conecta.recife.pe.gov.br/live/vsovcZFSBYmZjgTbZ/room-info"/>
        <s v="https://chat-conecta.recife.pe.gov.br/live/XNfDZK7XPL493ZAoa/room-info"/>
        <s v="https://chat-conecta.recife.pe.gov.br/live/2ZkFpYCRXKYzFaKME/user-info"/>
        <s v="https://chat-conecta.recife.pe.gov.br/live/2LaTqvuDXcAMxB88S/uploaded-files-list"/>
        <s v="https://chat-conecta.recife.pe.gov.br/live/ntTcP8qgcyv2xruan/user-info"/>
        <s v="https://chat-conecta.recife.pe.gov.br/live/w58JiJcbzk3muumdf/room-info"/>
        <s v="https://chat-conecta.recife.pe.gov.br/live/3nxL8LMwogha6y39P/user-info"/>
        <s v="https://chat-conecta.recife.pe.gov.br/live/nCEjwZYLDHcf45QXQ"/>
        <s v="https://chat-conecta.recife.pe.gov.br/live/6jBoww5kEg68LSPEa"/>
        <s v="https://chat-conecta.recife.pe.gov.br/live/yxZidqQXA6pLY7wno/room-info"/>
        <s v="https://chat-conecta.recife.pe.gov.br/live/p6GkZfRrSaEbFLwnJ/room-info"/>
        <s v="https://chat-conecta.recife.pe.gov.br/live/4uZpnJQ4H8EaHxf9v"/>
        <s v="https://chat-conecta.recife.pe.gov.br/live/pp2q8B6LDT2F47iGP/user-info"/>
        <s v="https://chat-conecta.recife.pe.gov.br/live/ZP3qke22fp9uQCsnc"/>
        <s v="https://chat-conecta.recife.pe.gov.br/live/y2KcN2MFrpsFpxBQu/user-info"/>
        <s v="https://chat-conecta.recife.pe.gov.br/live/QDjZuqS2qdNawah3N/user-info#&amp;gid=1&amp;pid=4"/>
        <s v="https://chat-conecta.recife.pe.gov.br/live/QMghrD6bDMZxTdFMi"/>
        <s v="https://chat-conecta.recife.pe.gov.br/live/SahDMccdbbaFYPnkP/members-list"/>
        <s v="https://chat-conecta.recife.pe.gov.br/live/3KgouvFrQ2ngeGhMm"/>
        <s v="https://chat-conecta.recife.pe.gov.br/live/4ifBMoYDYoAF3NoSm/members-list"/>
        <s v="https://chat-conecta.recife.pe.gov.br/live/fPwu5JZDC7waqsj9N"/>
        <s v="https://chat-conecta.recife.pe.gov.br/live/KwktoySQ2ofGftWAp/room-info"/>
        <s v="https://meet.google.com/zkn-skpm-kga"/>
        <s v="https://chat-conecta.recife.pe.gov.br/live/sFwkhjEFgTgLH2x8t"/>
        <s v="https://chat-conecta.recife.pe.gov.br/live/2b83aju9vYj8mY3q5/members-list"/>
        <s v="https://chat-conecta.recife.pe.gov.br/live/gFfnbRgNNBehpn8Ay/room-info"/>
        <s v="https://chat-conecta.recife.pe.gov.br/live/TBHDHxkwSdaGByiSL"/>
        <s v="https://chat-conecta.recife.pe.gov.br/live/QtGb9gii4sX393Bkd"/>
        <s v="https://chat-conecta.recife.pe.gov.br/live/JzGsxn9PgqTibdDsq/room-info"/>
        <s v="https://chat-conecta.recife.pe.gov.br/live/pC8H7M5LADJw36FnT"/>
        <s v="https://chat-conecta.recife.pe.gov.br/live/Zbgwpgqm4eorLbgaG/room-info"/>
        <s v="https://chat-conecta.recife.pe.gov.br/live/4FND74xdcyvesPnxC/user-info"/>
        <s v="https://chat-conecta.recife.pe.gov.br/live/gbk46mwGmZkBp5Kb4"/>
        <s v="https://chat-conecta.recife.pe.gov.br/live/WnX9coRh3pY62bxQC/contact-profile"/>
        <s v="https://chat-conecta.recife.pe.gov.br/live/riYrEZdu6iJH2GYFp"/>
        <s v="https://chat-conecta.recife.pe.gov.br/live/SYQSsPFz88DojgDkr"/>
        <s v="https://chat-conecta.recife.pe.gov.br/live/QQHB76xp4snCprhQe"/>
        <s v="https://chat-conecta.recife.pe.gov.br/live/RHdf6zARviW3RTZs7/room-info"/>
        <s v="https://chat-conecta.recife.pe.gov.br/live/sjp4fHCpZN2EdD6TF"/>
        <s v="https://chat-conecta.recife.pe.gov.br/live/p2vBwFrHyey6KJ8QS"/>
        <s v="https://chat-conecta.recife.pe.gov.br/live/z5uQiZpT6euzZFBE8"/>
        <s v="https://chat-conecta.recife.pe.gov.br/live/h3tcthEo7mP3uEaEP"/>
        <s v="https://chat-conecta.recife.pe.gov.br/live/NADNosEkTjceY7Haw"/>
        <s v="https://chat-conecta.recife.pe.gov.br/live/wfa9GqJJdGjRiWgMQ"/>
        <s v="https://chat-conecta.recife.pe.gov.br/live/px9DHTxRrRPFJmp7S/user-info"/>
        <s v="https://chat-conecta.recife.pe.gov.br/live/EMcanWTfPr6Ng4jXT/room-info"/>
        <s v="https://chat-conecta.recife.pe.gov.br/live/Sy46W4jsemsCMYgtx"/>
        <s v="https://chat-conecta.recife.pe.gov.br/live/LRsh5bpfvmMQFkw28/room-info"/>
        <s v="https://chat-conecta.recife.pe.gov.br/live/zYNniGJ7Yie65RXsD"/>
        <s v="https://chat-conecta.recife.pe.gov.br/live/dM2kPndQJAA5unEEG"/>
        <s v="https://chat-conecta.recife.pe.gov.br/live/n6W7QqcXPD3vFARLx"/>
        <s v="https://chat-conecta.recife.pe.gov.br/live/evxhWYwv3tS6Su4ng/room-info"/>
        <s v="https://chat-conecta.recife.pe.gov.br/live/2P2GffpuGdTo8fPuZ/user-info"/>
        <s v="https://chat-conecta.recife.pe.gov.br/live/cdezKR43nd7qaKTLR/room-info"/>
        <s v="https://chat-conecta.recife.pe.gov.br/live/vEmJokMMcRCuZcpJe"/>
        <s v="https://chat-conecta.recife.pe.gov.br/live/TmPirrjLAuzkkNfAd"/>
        <s v="https://chat-conecta.recife.pe.gov.br/live/ENfvChr3AFyNfFTF5"/>
        <s v="https://chat-conecta.recife.pe.gov.br/live/HzXvKzPZYoeLgwCNQ/user-info#&amp;gid=1&amp;pid=7"/>
        <s v="https://chat-conecta.recife.pe.gov.br/live/WTvhEhcSBfZmvMapq"/>
        <s v="https://chat-conecta.recife.pe.gov.br/live/WQjsu2vAdJxxMYepc"/>
        <s v="https://chat-conecta.recife.pe.gov.br/live/YGzHPYudmJwTFbPKc/room-info"/>
        <s v="https://chat-conecta.recife.pe.gov.br/live/6rQTMJBz8QNXJ2dWM/user-info"/>
        <s v="https://chat-conecta.recife.pe.gov.br/live/CQgs3L2stMHpDg2f5/user-info"/>
        <s v="https://chat-conecta.recife.pe.gov.br/live/vPCgH7z5oEurBMoR9"/>
        <s v="https://chat-conecta.recife.pe.gov.br/live/AtpMmBNsSsd5enMtp"/>
        <s v="https://chat-conecta.recife.pe.gov.br/live/tPQfXcGR3cW8DgN3x/user-info"/>
        <s v="https://chat-conecta.recife.pe.gov.br/live/hMFpmpb4XmmzZijYj"/>
        <s v="https://chat-conecta.recife.pe.gov.br/live/PS9ohphYmJs7ekBQC"/>
        <s v="https://chat-conecta.recife.pe.gov.br/live/Hukg4WMttHjaQfmua"/>
        <s v="https://chat-conecta.recife.pe.gov.br/live/NinevsZWkd7v7tjwM"/>
        <s v="https://chat-conecta.recife.pe.gov.br/live/Ak8ACWN7eEyjReRFB"/>
        <s v="https://chat-conecta.recife.pe.gov.br/live/Cvw4vTTyYDmSHdWDh/room-info"/>
        <s v="https://chat-conecta.recife.pe.gov.br/live/mGgiXxJAyqQtgm4uK/room-info"/>
        <s v="https://chat-conecta.recife.pe.gov.br/live/kptrbhaTzrK2ktr8A"/>
        <s v="https://chat-conecta.recife.pe.gov.br/live/7JTzz8yk2jZDFyJax"/>
        <s v="https://chat-conecta.recife.pe.gov.br/live/Pb5TZurtYb5jQtBtZ"/>
        <s v="https://chat-conecta.recife.pe.gov.br/live/N2Ph4b9paYK9MTEaN/uploaded-files-list"/>
        <s v="https://chat-conecta.recife.pe.gov.br/live/9eKDYs2n3T9BkNyqm/room-info"/>
        <s v="https://chat-conecta.recife.pe.gov.br/live/6GHMrL8i9sSiG3vea"/>
        <s v="https://chat-conecta.recife.pe.gov.br/live/DnzFR8wLjocHu8g8S/user-info"/>
        <s v="https://chat-conecta.recife.pe.gov.br/live/QMZMLNgNogRCAjf9z/room-info"/>
        <s v="https://chat-conecta.recife.pe.gov.br/live/q4Lqh5k3twcoQkHzd/user-info"/>
        <s v="https://chat-conecta.recife.pe.gov.br/live/7abZaadnTfuFeqXPE"/>
        <s v="https://chat-conecta.recife.pe.gov.br/live/W5JpNfn3g4cCTXGqy"/>
        <s v="https://chat-conecta.recife.pe.gov.br/live/MRFPaXmqffehdBh6a"/>
        <s v="https://chat-conecta.recife.pe.gov.br/live/5pD4oeWYp9P9SBztp"/>
        <s v="https://chat-conecta.recife.pe.gov.br/live/gAAN4dZFDbEejhCAx/user-info"/>
        <s v="https://chat-conecta.recife.pe.gov.br/live/kAvqhexneJWkGC9TD/user-info"/>
        <s v="https://chat-conecta.recife.pe.gov.br/live/ai3gqa3TxSHDrtEFS/user-info"/>
        <s v="https://chat-conecta.recife.pe.gov.br/live/s9iwo5z9PmJG9m8aP/user-info"/>
        <s v="https://chat-conecta.recife.pe.gov.br/live/3EXzH8GWoH3xqdZYt/room-info"/>
        <s v="https://chat-conecta.recife.pe.gov.br/live/kEKTHd5prXyRK3S5G/user-info"/>
        <s v="https://chat-conecta.recife.pe.gov.br/live/ikYgnHT7sy9wyw7ey/uploaded-files-list"/>
        <s v="https://chat-conecta.recife.pe.gov.br/live/asyNQWaZd4JqqPrdq"/>
        <s v="https://chat-conecta.recife.pe.gov.br/live/25jhQpavZtEnGo5aF/user-info"/>
        <s v="https://chat-conecta.recife.pe.gov.br/live/j4im6HCvysDEtbkmD/user-info"/>
        <s v="https://chat-conecta.recife.pe.gov.br/live/NEkvcPtG5wsDcJMSs"/>
        <s v="https://chat-conecta.recife.pe.gov.br/live/Zxu52bnSXjvwrH5uq/user-info"/>
        <s v="https://chat-conecta.recife.pe.gov.br/live/Bm4oDB4XkNbswdswE/user-info"/>
        <s v="https://chat-conecta.recife.pe.gov.br/live/XoAFTDcAwgYpiQYG8/contact-profile"/>
        <s v="https://chat-conecta.recife.pe.gov.br/live/KrgmYWN9T5MWHoe6i/user-info"/>
        <s v="https://chat-conecta.recife.pe.gov.br/live/YA7PGXog8CQx3cMbP/user-info"/>
        <s v="https://chat-conecta.recife.pe.gov.br/live/od6bjHeqe6hrumXao/room-info"/>
        <s v="https://chat-conecta.recife.pe.gov.br/live/gZQyeGQWkHrN4v3y8"/>
        <s v="https://chat-conecta.recife.pe.gov.br/live/2qcsxzkmHud6yC6xS"/>
        <s v="https://chat-conecta.recife.pe.gov.br/live/Nf58wxS2ZqosHdQKv"/>
        <s v="https://chat-conecta.recife.pe.gov.br/live/4753F3KtSvfevPb2A/user-info"/>
        <s v="https://chat-conecta.recife.pe.gov.br/live/9auyC4igp6ranYjno"/>
        <s v="https://chat-conecta.recife.pe.gov.br/live/8QZHNfWYfYBY5d3WN/user-info"/>
        <s v="https://chat-conecta.recife.pe.gov.br/live/EHtnE6sbcNpQyzBaC"/>
        <s v="https://chat-conecta.recife.pe.gov.br/live/ay7LhoFE426QwSKss"/>
        <s v="https://chat-conecta.recife.pe.gov.br/live/NhYQ4h4Dx4rAkJ4Qf/user-info"/>
        <s v="https://chat-conecta.recife.pe.gov.br/live/i3uhSft4dYh92Me9D/user-info"/>
        <s v="https://chat-conecta.recife.pe.gov.br/live/moBnukvQALRWdciJQ"/>
        <s v="https://chat-conecta.recife.pe.gov.br/live/R6Quiuv9X9TZet43i/room-info"/>
        <s v="https://chat-conecta.recife.pe.gov.br/live/GmpHMrNpYPAhk5Xwk/room-info"/>
        <s v="https://chat-conecta.recife.pe.gov.br/live/GeD6XYqdWxves5SmY/room-info"/>
        <s v="https://chat-conecta.recife.pe.gov.br/live/Muzwt7rfvePosaEDc/user-info"/>
        <s v="https://chat-conecta.recife.pe.gov.br/live/MHh2vSgFYtWZLYY8z/room-info"/>
        <s v="https://chat-conecta.recife.pe.gov.br/live/ggCbwmwJFmL9WkFAk"/>
        <s v="https://chat-conecta.recife.pe.gov.br/live/KuuEkXbvHqdxsyCXF/members-list"/>
        <s v="https://chat-conecta.recife.pe.gov.br/live/xpXmhirL8io26rffv/room-info#&amp;gid=1&amp;pid=5"/>
        <s v="https://chat-conecta.recife.pe.gov.br/live/nZ8xf4m7NG7pZxxDr/room-info"/>
        <s v="https://chat-conecta.recife.pe.gov.br/live/HrqqpdChi9dX3Ltcb/room-info"/>
        <s v="https://chat-conecta.recife.pe.gov.br/live/uHe4mKBqRAeWfA4wP/room-info"/>
        <s v="https://chat-conecta.recife.pe.gov.br/live/YDoPoFdKGedhJXJPi"/>
        <s v="https://chat-conecta.recife.pe.gov.br/live/Lxn8JgfrCpJPDJhxc"/>
        <s v="https://chat-conecta.recife.pe.gov.br/live/HQ6fdo5JeP47w4vod/room-info"/>
        <s v="https://chat-conecta.recife.pe.gov.br/live/yjtriDpr2RMjeoC9b/room-info"/>
        <s v="https://chat-conecta.recife.pe.gov.br/live/oG2z9vM5QSw6zrRAS/members-list"/>
        <s v="https://chat-conecta.recife.pe.gov.br/live/nDYcwrSgZvQiTHymH/room-info#&amp;gid=1&amp;pid=3"/>
        <s v="https://chat-conecta.recife.pe.gov.br/live/kq7N7Q8tk6tTJ4CKL"/>
        <s v="https://chat-conecta.recife.pe.gov.br/live/yLuFbzRfShcepYTrr"/>
        <s v="https://chat-conecta.recife.pe.gov.br/live/R5njmNWXy5JEp8tJN"/>
        <s v="https://chat-conecta.recife.pe.gov.br/live/B4GQcxZc6ibuhGshW/user-info"/>
        <s v="https://chat-conecta.recife.pe.gov.br/live/6xfmkWKrzGJh8rWaw"/>
        <s v="https://chat-conecta.recife.pe.gov.br/live/ix7ZKELXkkk5xSxiM"/>
        <s v="https://chat-conecta.recife.pe.gov.br/live/Qq6PCyv6qfSF2Fnz9/room-info"/>
        <s v="https://chat-conecta.recife.pe.gov.br/live/h75KyQ2xMyFt7JW8e/room-info"/>
        <s v="https://chat-conecta.recife.pe.gov.br/live/WKtEkDzzyAALsJ7wG/user-info"/>
        <s v="https://chat-conecta.recife.pe.gov.br/live/nmndfFBEZbChWqFfs"/>
        <s v="https://chat-conecta.recife.pe.gov.br/live/Gk9zyRGqPAcBuR34g/room-info"/>
        <s v="https://chat-conecta.recife.pe.gov.br/live/9kBiBZ93vnRuMbfbo/room-info"/>
        <s v="https://chat-conecta.recife.pe.gov.br/live/6raoowi89PgCn9Wi6/user-info"/>
        <s v="https://chat-conecta.recife.pe.gov.br/live/gAkvXg8mJAKtrQx8R/room-info#&amp;gid=1&amp;pid=2"/>
        <s v="https://chat-conecta.recife.pe.gov.br/live/gu2QSnrH47D55vCnG"/>
        <s v="https://chat-conecta.recife.pe.gov.br/live/zq5fqKf2RpbyXkerK/room-info"/>
        <s v="https://chat-conecta.recife.pe.gov.br/live/5HynbX9SdHkiJYXiA/room-info"/>
        <s v="https://chat-conecta.recife.pe.gov.br/live/ae7etZMMJ6XtuTYcP"/>
        <s v="https://chat-conecta.recife.pe.gov.br/live/9GxprWMrsBbcmjRhC"/>
        <s v="https://chat-conecta.recife.pe.gov.br/live/RGaWmd7GJBjj4oGJk/user-info"/>
        <s v="https://chat-conecta.recife.pe.gov.br/omnichannel-directory/chats/view/f45aSh8RtYx7FxwXw"/>
        <s v="https://chat-conecta.recife.pe.gov.br/live/J8ttWX3qJgnKGdiC5"/>
        <s v="https://chat-conecta.recife.pe.gov.br/live/y3AQ6JiMfT5fvpXb7"/>
        <s v="https://chat-conecta.recife.pe.gov.br/live/88XG4JuNvu3ZukgTQ"/>
        <s v="https://chat-conecta.recife.pe.gov.br/live/9SKGxq5TQMbGT5T56"/>
        <s v="https://chat-conecta.recife.pe.gov.br/live/3AePyaDTPgwXjSFay/user-info"/>
        <s v="https://chat-conecta.recife.pe.gov.br/live/MTGFFfBuwQMXCJPaE"/>
        <s v="https://chat-conecta.recife.pe.gov.br/live/tJTBYvJ5HMiGecifh"/>
        <s v="https://chat-conecta.recife.pe.gov.br/live/HGZ3DQBgBnRdWDc5C"/>
        <s v="https://chat-conecta.recife.pe.gov.br/live/Zb2cjYzfCsb4wLB5F"/>
        <s v="https://chat-conecta.recife.pe.gov.br/live/4gMyuFaa7aSYhj6eF/user-info"/>
        <s v="https://chat-conecta.recife.pe.gov.br/live/hqiLiw458hC7NJJm4"/>
        <s v="https://chat-conecta.recife.pe.gov.br/live/2j57WkKhuudQcc7ab/user-info"/>
        <s v="https://chat-conecta.recife.pe.gov.br/live/FcXJqZXruSJgkWMBS/room-info"/>
        <s v="https://chat-conecta.recife.pe.gov.br/live/EE5LNassRTcR2pHgL"/>
        <s v="https://chat-conecta.recife.pe.gov.br/live/tvTDmobXyKjnGFwd5"/>
        <s v="https://chat-conecta.recife.pe.gov.br/live/qX85kciwKt9H5moLp"/>
        <s v="https://chat-conecta.recife.pe.gov.br/live/a4ww4m4HSfQW73T8u/room-info"/>
        <s v="https://chat-conecta.recife.pe.gov.br/live/voWj38eRFWBtmJxiA"/>
        <s v="https://chat-conecta.recife.pe.gov.br/live/9uvebE7k2Adfs9LQx/user-info#&amp;gid=1&amp;pid=2"/>
        <s v="https://chat-conecta.recife.pe.gov.br/live/M8DHagAESdmdGnqxt"/>
        <s v="https://chat-conecta.recife.pe.gov.br/live/uzFZx8uLgRQzEA2QM/user-info"/>
        <s v="https://chat-conecta.recife.pe.gov.br/live/EQY5Kp3mgLJkycH2C/members-list"/>
        <s v="https://chat-conecta.recife.pe.gov.br/live/4QtagmZbiS5FCMijX/room-info"/>
        <s v="https://chat-conecta.recife.pe.gov.br/live/odPtAEvpaxnNQ2w8i/room-info"/>
        <s v="https://chat-conecta.recife.pe.gov.br/live/3ksJ3mqXxYfvbRNbB/room-info"/>
        <s v="https://chat-conecta.recife.pe.gov.br/live/swyw2a96qRenApvdF"/>
        <s v="https://chat-conecta.recife.pe.gov.br/live/NBp3nmmdBeYYmmbbs/members-list"/>
        <s v="https://chat-conecta.recife.pe.gov.br/live/ndzjiW2RYtRmpozs8"/>
        <s v="https://chat-conecta.recife.pe.gov.br/live/XXCeBddGZWt5RzRNr"/>
        <s v="https://chat-conecta.recife.pe.gov.br/live/yaS3N3sFak2ZLyCGW"/>
        <s v="https://chat-conecta.recife.pe.gov.br/live/XXCeBddGZWt5RzRNr/room-info"/>
        <s v="https://chat-conecta.recife.pe.gov.br/live/xJtJMAqW2tzACRjqG/room-info"/>
        <s v="https://chat-conecta.recife.pe.gov.br/live/tNt8TfGyEmano7FLq"/>
        <s v="https://chat-conecta.recife.pe.gov.br/live/Z237t8NQozaYLmADw"/>
        <s v="https://chat-conecta.recife.pe.gov.br/live/4KGrqAypaKgHiXCYj"/>
        <s v="https://chat-conecta.recife.pe.gov.br/live/pQEzNrwBbi2CCWaxu/user-info"/>
        <s v="https://chat-conecta.recife.pe.gov.br/live/LwSC57fks9qxDYkoM"/>
        <s v="https://chat-conecta.recife.pe.gov.br/live/8NZAynBdhZkSBpoDX/room-info"/>
        <s v="https://chat-conecta.recife.pe.gov.br/live/36HhPcAb5oNefXaKW/room-info"/>
        <s v="https://chat-conecta.recife.pe.gov.br/live/zgRNdosRghT9zjAzK/room-info"/>
        <s v="https://chat-conecta.recife.pe.gov.br/live/9BaK85dFZHeruKhvM/user-info"/>
        <s v="https://chat-conecta.recife.pe.gov.br/live/aB6Bc2BuRbP385Hrj/members-list"/>
        <s v="https://chat-conecta.recife.pe.gov.br/live/NH47SRKWMjAAXsuJr/user-info"/>
        <s v="https://chat-conecta.recife.pe.gov.br/live/BFAvRxBRfPHLX7hHr"/>
        <s v="https://chat-conecta.recife.pe.gov.br/live/n9ABbnNYdbt4p42vz/room-info"/>
        <s v="https://chat-conecta.recife.pe.gov.br/live/ThTFqPxtDCEYGD8t4"/>
        <s v="https://chat-conecta.recife.pe.gov.br/live/ThTFqPxtDCEYGD8t4/room-info"/>
        <s v="https://chat-conecta.recife.pe.gov.br/live/vZk9AxnuiFtsuMBMZ/room-info"/>
        <s v="https://chat-conecta.recife.pe.gov.br/live/CXL24YQuscqSFgfkX"/>
        <s v="https://chat-conecta.recife.pe.gov.br/live/MS26ufXrEAA7AszpS"/>
        <s v="https://chat-conecta.recife.pe.gov.br/live/GgCYzpBQnPCKfsExM"/>
        <s v="https://chat-conecta.recife.pe.gov.br/live/G7TdNyTgvuvPYupGv/room-info"/>
        <s v="https://chat-conecta.recife.pe.gov.br/live/hHzCQk6747Nio5r28/room-info"/>
        <s v="https://chat-conecta.recife.pe.gov.br/live/6BhhebnXknFpimzM5"/>
        <s v="https://chat-conecta.recife.pe.gov.br/live/iMbRMgaYi57tfyLMe/room-info"/>
        <s v="https://chat-conecta.recife.pe.gov.br/live/XECA87aSgNfGBsPzr"/>
        <s v="https://chat-conecta.recife.pe.gov.br/live/jaWmSM8YGBE5bwnEL"/>
        <s v="https://chat-conecta.recife.pe.gov.br/live/f8RiEH3LP5b6hCu7f/user-info"/>
        <s v="https://chat-conecta.recife.pe.gov.br/live/c7igo4j4vdqWc2WHj/user-info"/>
        <s v="https://chat-conecta.recife.pe.gov.br/live/P5JEvc39PsTFP6dRy/user-info"/>
        <s v="https://chat-conecta.recife.pe.gov.br/live/irzdipYdciuzFkvoJ"/>
        <s v="https://chat-conecta.recife.pe.gov.br/live/EfwFjDrh8mbyqLxsp/room-info"/>
        <s v="https://chat-conecta.recife.pe.gov.br/live/4JD82cTjkLvB3Jj9Y/room-info"/>
        <s v="https://chat-conecta.recife.pe.gov.br/live/bpixz7bWhnQuxmQNN"/>
        <s v="https://chat-conecta.recife.pe.gov.br/live/Zt3rrbFKSBdxzRXZ8"/>
        <s v="https://chat-conecta.recife.pe.gov.br/live/szsD6iQ8WF6uKhHn2/room-info"/>
        <s v="https://chat-conecta.recife.pe.gov.br/live/Gmiz7uGtbh9ZL865d/room-info"/>
        <s v="https://chat-conecta.recife.pe.gov.br/live/Nm3vDZ5xGCvujHKoS/user-info"/>
        <s v="https://chat-conecta.recife.pe.gov.br/live/SCJ5L23fou3xmRi7x"/>
        <s v="https://chat-conecta.recife.pe.gov.br/live/9ntRneC5QPRWSPfJx/room-info"/>
        <s v="https://chat-conecta.recife.pe.gov.br/live/gu8TxfguPGrWHewqo"/>
        <s v="https://chat-conecta.recife.pe.gov.br/live/SiRKmmdwdiDBsqoKa/user-info"/>
        <s v="https://chat-conecta.recife.pe.gov.br/live/n9vFtbtZye6oWQbns/room-info"/>
        <s v="https://chat-conecta.recife.pe.gov.br/live/MjMHvvSzb5d99Eu9y"/>
        <s v="https://chat-conecta.recife.pe.gov.br/live/aSvJDCgm3ryeQ847n"/>
        <s v="https://chat-conecta.recife.pe.gov.br/live/SWj69vmkjrSCFTjgx"/>
        <s v="https://chat-conecta.recife.pe.gov.br/live/oWbd3xLrEzRycFbxt"/>
        <s v="https://chat-conecta.recife.pe.gov.br/live/dSHFc5ah9SQ7FCCRz/user-info"/>
        <s v="https://chat-conecta.recife.pe.gov.br/live/wKHtBzpehps2Rpshe"/>
        <s v="https://chat-conecta.recife.pe.gov.br/live/TDxrAmsnn7nJGGvtP"/>
        <s v="https://chat-conecta.recife.pe.gov.br/live/tLboSd8oieAL4vaD3/room-info"/>
        <s v="https://chat-conecta.recife.pe.gov.br/live/SKbFyD84FFG2az7x8/user-info"/>
        <s v="https://chat-conecta.recife.pe.gov.br/live/pDc5fenzyGNH3uHNg/room-info"/>
        <s v="https://chat-conecta.recife.pe.gov.br/live/mAT86vz7XtS3rYJR2/room-info"/>
        <s v="https://chat-conecta.recife.pe.gov.br/live/qt5H6oQ82ACSYmC2G"/>
        <s v="https://chat-conecta.recife.pe.gov.br/live/qt5H6oQ82ACSYmC2G/contact-profile"/>
        <s v="https://chat-conecta.recife.pe.gov.br/live/pAAr9hk3Sih9wAgni"/>
        <s v="https://chat-conecta.recife.pe.gov.br/live/a9583jGBHLfn8HEQg/room-info"/>
        <s v="https://chat-conecta.recife.pe.gov.br/live/cy8YAqeoSBaTMNPfz"/>
        <s v="https://chat-conecta.recife.pe.gov.br/live/iRfCAPrFxs4itj35N"/>
        <s v="https://chat-conecta.recife.pe.gov.br/live/zDyKBTKQQQEiP8YBc"/>
        <s v="https://chat-conecta.recife.pe.gov.br/live/w3GekCtqXHGEroEvA/user-info"/>
        <s v="https://chat-conecta.recife.pe.gov.br/live/kdovYu9zKiR78hpiN"/>
        <s v="https://chat-conecta.recife.pe.gov.br/live/N8ohjRZ5iHoMF9qgF/user-info"/>
        <s v="https://chat-conecta.recife.pe.gov.br/live/BeJK4HzjJbJQMC74Q/room-info"/>
        <s v="https://chat-conecta.recife.pe.gov.br/live/Zw7iqr7gyxX3nMhfJ"/>
        <s v="https://chat-conecta.recife.pe.gov.br/live/LFMopf5EWNkZGqrir/user-info"/>
        <s v="https://chat-conecta.recife.pe.gov.br/live/nqpyCQ3YkJafAWX2W/members-list"/>
        <s v="https://chat-conecta.recife.pe.gov.br/live/8Q9kXLjfzaoTBbLjv/user-info"/>
        <s v="https://chat-conecta.recife.pe.gov.br/live/iwkhY4WqcFZBRwx4e"/>
        <s v="https://chat-conecta.recife.pe.gov.br/live/Rep4Gfxh3bGMunJ3T/room-info"/>
        <s v="https://chat-conecta.recife.pe.gov.br/live/ioeSwQsHx96AsjnZZ/room-info"/>
        <s v="https://chat-conecta.recife.pe.gov.br/live/dahYTy8fMpsFfW9DB/room-info"/>
        <s v="https://chat-conecta.recife.pe.gov.br/live/C8Yhcsh7NCMhNpLSW/user-info"/>
        <s v="https://chat-conecta.recife.pe.gov.br/live/suAdkvhHvWkCZSWZQ/user-info"/>
        <s v="https://chat-conecta.recife.pe.gov.br/live/RGwLiA5B6WrmvMmfm/user-info"/>
        <s v="https://chat-conecta.recife.pe.gov.br/live/n4BKe9GfBkeNqK3iw"/>
        <s v="https://chat-conecta.recife.pe.gov.br/live/qjgRwZzCJm7NpokvD"/>
        <s v="https://chat-conecta.recife.pe.gov.br/live/M38yM7RzhPBcnhTYa/user-info"/>
        <s v="https://chat-conecta.recife.pe.gov.br/live/p9CNhgAmskxkjqebY/user-info"/>
        <s v="https://chat-conecta.recife.pe.gov.br/live/dDq7dEaCqFipf9vmG"/>
        <s v="https://chat-conecta.recife.pe.gov.br/live/WDT2Fc683wyNam8nS/room-info#&amp;gid=1&amp;pid=3"/>
        <s v="https://chat-conecta.recife.pe.gov.br/live/LZTFc7E5vJQKjwPfi/user-info"/>
        <s v="https://chat-conecta.recife.pe.gov.br/live/86R4KShPN3G5hfBAy"/>
        <s v="https://chat-conecta.recife.pe.gov.br/live/yiY3ZpiSMBcDZiNht/members-list"/>
        <s v="https://chat-conecta.recife.pe.gov.br/live/zPW7S5a9bKyQFSxF6/room-info"/>
        <s v="https://chat-conecta.recife.pe.gov.br/live/NPfqCSuNt2DDzNgLn"/>
        <s v="https://chat-conecta.recife.pe.gov.br/live/oGH94CCqu6nP3SYwQ/room-info"/>
        <s v="https://chat-conecta.recife.pe.gov.br/live/jDudnREXvvCbrcKxS/user-info"/>
        <s v="https://chat-conecta.recife.pe.gov.br/direct/JqDiChnx3q5b6JYt5TQcuSEArNi4YqW2MZ"/>
        <s v="https://chat-conecta.recife.pe.gov.br/live/SiBvyBMwEDJe5Awgv/user-info"/>
        <s v="https://chat-conecta.recife.pe.gov.br/live/BQrofuawLzq9hSffu/room-info"/>
        <s v="https://chat-conecta.recife.pe.gov.br/live/9G2xJLjeMHJhAAKMm/user-info"/>
        <s v="https://chat-conecta.recife.pe.gov.br/live/rn4GpN6FoSbspp6Fz"/>
        <s v="https://chat-conecta.recife.pe.gov.br/live/2bL3fx6mPZnxyd6na/room-info"/>
        <s v="https://chat-conecta.recife.pe.gov.br/live/WApNrz3K6aa8cXpC3"/>
        <s v="https://chat-conecta.recife.pe.gov.br/live/8tzamN7wbdQPpzDHd/room-info"/>
        <s v="https://chat-conecta.recife.pe.gov.br/live/FELS5sdARpBuD8jyn"/>
        <s v="https://chat-conecta.recife.pe.gov.br/live/q8oEvo9QQsy76MeEc/user-info"/>
        <s v="https://chat-conecta.recife.pe.gov.br/live/RdasYAmKuFQQnL7cu/room-info"/>
        <s v="https://chat-conecta.recife.pe.gov.br/live/TE2qhzyKvuX8jjxwn/room-info"/>
        <s v="https://chat-conecta.recife.pe.gov.br/live/TE2qhzyKvuX8jjxwn/user-info"/>
        <s v="https://chat-conecta.recife.pe.gov.br/live/RdasYAmKuFQQnL7cu/members-list"/>
        <s v="https://chat-conecta.recife.pe.gov.br/live/GHvrDD4ZBXdyy8mR7/user-info"/>
        <s v="https://chat-conecta.recife.pe.gov.br/live/EjM4ydqyTRrgu7QgL/room-info"/>
        <s v="https://chat-conecta.recife.pe.gov.br/live/bDpZL6bxbZLvqjpbv/user-info"/>
        <s v="https://chat-conecta.recife.pe.gov.br/live/LJQ68yNxuZKQFhqNa"/>
        <s v="https://chat-conecta.recife.pe.gov.br/live/esjcEcd8NsSvmfDTx"/>
        <s v="https://chat-conecta.recife.pe.gov.br/live/3i8GDcP74euvyRq4y/user-info"/>
        <s v="https://chat-conecta.recife.pe.gov.br/live/YPTtEWNCoR3MAMJnK/user-info"/>
        <s v="https://chat-conecta.recife.pe.gov.br/live/6oRFbYZ982SuGG7y5/user-info"/>
        <s v="https://chat-conecta.recife.pe.gov.br/live/3KGQ6uXXWrcejMkcx"/>
        <s v="https://chat-conecta.recife.pe.gov.br/live/bDTy44WhXchXergXn"/>
        <s v="https://chat-conecta.recife.pe.gov.br/live/tJpBn7MqFqbp2e3kS"/>
        <s v="https://chat-conecta.recife.pe.gov.br/live/C7oqL2ud3MZt2u3hn/user-info"/>
        <s v="https://chat-conecta.recife.pe.gov.br/live/RyFSFhNSGGHNRf7sv"/>
        <s v="https://chat-conecta.recife.pe.gov.br/live/W7DrXGZKt43eWc7iR/user-info"/>
        <s v="https://chat-conecta.recife.pe.gov.br/live/nNTApPW98vGd25PDa/room-info"/>
        <s v="https://chat-conecta.recife.pe.gov.br/live/L2BfMcxxapK6jv2vj/user-info"/>
        <s v="https://chat-conecta.recife.pe.gov.br/live/TXrK4iYuBpRsCvb3S/user-info"/>
        <s v="https://chat-conecta.recife.pe.gov.br/live/f9CJ9fpwKdydNazEG/room-info"/>
        <s v="https://chat-conecta.recife.pe.gov.br/live/SiXEkNyhYPexDRTYB/room-info"/>
        <s v="https://chat-conecta.recife.pe.gov.br/live/REAFdqte2DKN4QpLP/room-info"/>
        <s v="https://chat-conecta.recife.pe.gov.br/live/zYgtdJFJ3rJJACTvY/user-info"/>
        <s v="https://chat-conecta.recife.pe.gov.br/live/rkDpTrAb2zbsZZtEn/room-info"/>
        <s v="https://chat-conecta.recife.pe.gov.br/live/HC8js47RFGjMnqrgo/room-info"/>
        <s v="https://chat-conecta.recife.pe.gov.br/live/eN55dtLrcue6ioXq6/room-info"/>
        <s v="https://chat-conecta.recife.pe.gov.br/live/uRmrzRFMFLpwi627A/room-info"/>
        <s v="https://chat-conecta.recife.pe.gov.br/live/irRDQxrq8Wt5xQkxs/room-info"/>
        <s v="https://chat-conecta.recife.pe.gov.br/live/QgyfPRR29Fw4fxpBr"/>
        <s v="https://chat-conecta.recife.pe.gov.br/live/TSDPJpdEARmRSkntZ/room-info"/>
        <s v="https://chat-conecta.recife.pe.gov.br/live/o4i274noExP4KFtZD#&amp;gid=1&amp;pid=4"/>
        <s v="https://chat-conecta.recife.pe.gov.br/live/M5AJwqY9hTP9hsbzn/room-info"/>
        <s v="https://chat-conecta.recife.pe.gov.br/live/wKzKnY2JEsvez7qTe/room-info"/>
        <s v="https://chat-conecta.recife.pe.gov.br/live/mDSscMFhtKxSRk8wM/room-info"/>
        <s v="https://chat-conecta.recife.pe.gov.br/live/HvG3Hf6MtQt96AqC5"/>
        <s v="https://chat-conecta.recife.pe.gov.br/live/Wv4wZsCDqMyrkzAHt/room-info"/>
        <s v="https://chat-conecta.recife.pe.gov.br/live/dmHQswBy5gDbErr3h/room-info"/>
        <s v="https://chat-conecta.recife.pe.gov.br/direct/TQcuSEArNi4YqW2MZrD7nzdMcrwARnnswP"/>
        <s v="https://chat-conecta.recife.pe.gov.br/live/GczgX5YLhyZj3MdrT/room-info"/>
        <s v="https://chat-conecta.recife.pe.gov.br/live/gw8z9yc5S5BxidyoK"/>
        <s v="https://chat-conecta.recife.pe.gov.br/omnichannel-directory/chats/view/XtDv9XtgshTPFwR5i"/>
        <s v="https://chat-conecta.recife.pe.gov.br/live/wzbTkDnqRDE3x5qfA"/>
        <s v="https://chat-conecta.recife.pe.gov.br/live/r5niX7Txd6au46Djc"/>
        <s v="https://chat-conecta.recife.pe.gov.br/live/GK3DuFZokjHkRm9PR"/>
        <s v="https://chat-conecta.recife.pe.gov.br/live/4K83cYoqZJMWkoopL/room-info"/>
        <s v="https://chat-conecta.recife.pe.gov.br/live/Egynxpvsz5BiZmNte"/>
        <s v="https://chat-conecta.recife.pe.gov.br/omnichannel-directory/chats/view/eZNCqLDwhnaSogywR/room-info"/>
        <s v="https://chat-conecta.recife.pe.gov.br/live/SpYsRE7QmAuqDZinD/contact-chat-history"/>
        <s v="https://chat-conecta.recife.pe.gov.br/live/59rCpymG9MbtoYKFp/room-info"/>
        <s v="https://chat-conecta.recife.pe.gov.br/live/aWL3dzB4mDB6cLWQk/room-info"/>
        <s v="https://chat-conecta.recife.pe.gov.br/live/HE9wg335DEGEnuXK9/user-info"/>
        <s v="https://chat-conecta.recife.pe.gov.br/live/kbEASpjrpZ9fd5iNP/user-info"/>
        <s v="https://chat-conecta.recife.pe.gov.br/live/H47ENv8Tx2LEoGPjL/room-info"/>
        <s v="https://chat-conecta.recife.pe.gov.br/live/9WvickZjiJEQELaF2/members-list"/>
        <s v="https://chat-conecta.recife.pe.gov.br/live/yxCf8Ao3nfiWcZMvT"/>
        <s v="https://chat-conecta.recife.pe.gov.br/live/W7Jw76qsWbDu7j4RB"/>
        <s v="https://chat-conecta.recife.pe.gov.br/live/5XPj5pAaCE7Zx7NLg/user-info"/>
        <s v="https://chat-conecta.recife.pe.gov.br/live/D8RLp69xF28EwFneB/user-info"/>
        <s v="https://chat-conecta.recife.pe.gov.br/live/KLTjRkqg2xoM6TZut"/>
        <s v="https://chat-conecta.recife.pe.gov.br/live/7fEWjjB9PTSzaizwQ"/>
        <s v="https://chat-conecta.recife.pe.gov.br/live/mLGoK8riyYGXLS6Bw/room-info"/>
        <s v="https://chat-conecta.recife.pe.gov.br/live/7v873YBzShCTMkQLW"/>
        <s v="https://chat-conecta.recife.pe.gov.br/live/t9hA4JHWvY2MsFqt3/user-info"/>
        <s v="https://chat-conecta.recife.pe.gov.br/live/EYi5wMbSFtekfQLeW/room-info"/>
        <s v="https://chat-conecta.recife.pe.gov.br/live/NzuAX2fuDvLNid6Pm"/>
        <s v="https://chat-conecta.recife.pe.gov.br/live/wYhjtz5PLqkCoEeve"/>
        <s v="https://chat-conecta.recife.pe.gov.br/live/4nLmynik4jnDFXCHS"/>
        <s v="https://chat-conecta.recife.pe.gov.br/live/RQhZJYSuCyt8TK4KW/room-info"/>
        <s v="https://chat-conecta.recife.pe.gov.br/live/hbKHmedcAsJqBWZjw/user-info"/>
        <s v="https://chat-conecta.recife.pe.gov.br/live/bgDhgvtu4L7BYDax3/room-info"/>
        <s v="https://chat-conecta.recife.pe.gov.br/live/fJLEc8JKRAvGSRiT7"/>
        <s v="https://chat-conecta.recife.pe.gov.br/live/ugo5ocfiD2PFjBbTn/members-list"/>
        <s v="https://chat-conecta.recife.pe.gov.br/live/SktjE7pqwaEK5btiG/room-info"/>
        <s v="https://chat-conecta.recife.pe.gov.br/live/mLpGEgPv4gYrGFA27/user-info"/>
        <s v="https://chat-conecta.recife.pe.gov.br/live/xMXigdLeLCZeaCRFA/user-info"/>
        <s v="https://chat-conecta.recife.pe.gov.br/live/jiCMh3NCYdMzxQkwr/room-info"/>
        <s v="https://chat-conecta.recife.pe.gov.br/live/HDPy7hR8Rn4FKRLzR/uploaded-files-list"/>
      </sharedItems>
    </cacheField>
    <cacheField name="Mora em área de cobertura da ESF?" numFmtId="0">
      <sharedItems containsBlank="1" count="4">
        <m/>
        <s v="Sim"/>
        <s v="Não"/>
        <s v="Sim, ESF Incompleta (PACs/EACs)"/>
      </sharedItems>
    </cacheField>
    <cacheField name="Raça/cor" numFmtId="0">
      <sharedItems containsBlank="1" count="7">
        <m/>
        <s v="Branca"/>
        <s v="Parda"/>
        <s v="Preta"/>
        <s v="Amarela"/>
        <s v="Ignorado"/>
        <s v="Não questionado"/>
      </sharedItems>
    </cacheField>
    <cacheField name="Data de nascimento" numFmtId="0">
      <sharedItems containsBlank="1" containsDate="1" containsMixedTypes="1" count="722">
        <m/>
        <d v="1987-01-22T00:00:00"/>
        <d v="1998-01-08T00:00:00"/>
        <d v="1995-08-08T00:00:00"/>
        <d v="1993-03-01T00:00:00"/>
        <d v="2003-07-17T00:00:00"/>
        <d v="1995-08-17T00:00:00"/>
        <d v="2004-12-26T00:00:00"/>
        <d v="2004-10-26T00:00:00"/>
        <d v="1983-03-19T00:00:00"/>
        <d v="1985-10-16T00:00:00"/>
        <d v="1997-02-01T00:00:00"/>
        <s v="2/1/0997"/>
        <d v="2000-02-07T00:00:00"/>
        <d v="1991-10-14T00:00:00"/>
        <d v="1997-06-07T00:00:00"/>
        <d v="2000-12-08T00:00:00"/>
        <d v="2002-08-06T00:00:00"/>
        <d v="1997-01-15T00:00:00"/>
        <d v="1998-04-27T00:00:00"/>
        <d v="1997-06-21T00:00:00"/>
        <d v="1994-09-07T00:00:00"/>
        <d v="1997-02-24T00:00:00"/>
        <d v="1995-05-11T00:00:00"/>
        <d v="1990-06-22T00:00:00"/>
        <d v="1997-04-10T00:00:00"/>
        <d v="1998-01-18T00:00:00"/>
        <d v="2001-10-28T00:00:00"/>
        <d v="1997-07-18T00:00:00"/>
        <d v="1994-07-09T00:00:00"/>
        <d v="1985-05-18T00:00:00"/>
        <d v="1988-10-02T00:00:00"/>
        <d v="1994-11-25T00:00:00"/>
        <d v="1999-11-12T00:00:00"/>
        <d v="1994-07-06T00:00:00"/>
        <d v="2000-07-12T00:00:00"/>
        <d v="1981-04-14T00:00:00"/>
        <d v="1992-01-26T00:00:00"/>
        <d v="1994-06-23T00:00:00"/>
        <d v="1996-01-25T00:00:00"/>
        <d v="1997-10-13T00:00:00"/>
        <d v="1993-12-02T00:00:00"/>
        <d v="2003-06-30T00:00:00"/>
        <d v="1999-02-07T00:00:00"/>
        <d v="1993-12-16T00:00:00"/>
        <d v="1989-04-23T00:00:00"/>
        <d v="1995-03-17T00:00:00"/>
        <d v="1991-10-03T00:00:00"/>
        <d v="1996-07-06T00:00:00"/>
        <d v="1991-10-08T00:00:00"/>
        <d v="1993-12-19T00:00:00"/>
        <d v="1995-05-25T00:00:00"/>
        <d v="2000-10-07T00:00:00"/>
        <d v="2023-03-30T00:00:00"/>
        <d v="1998-11-10T00:00:00"/>
        <d v="2000-09-18T00:00:00"/>
        <d v="2003-06-01T00:00:00"/>
        <d v="1996-06-08T00:00:00"/>
        <d v="1985-09-26T00:00:00"/>
        <s v="3/17/1195"/>
        <d v="1997-09-21T00:00:00"/>
        <d v="1992-12-29T00:00:00"/>
        <d v="1989-06-15T00:00:00"/>
        <d v="1985-08-07T00:00:00"/>
        <d v="2002-07-03T00:00:00"/>
        <d v="2000-07-18T00:00:00"/>
        <d v="1984-01-16T00:00:00"/>
        <d v="1997-06-04T00:00:00"/>
        <d v="1994-02-01T00:00:00"/>
        <d v="1999-02-02T00:00:00"/>
        <d v="2002-04-18T00:00:00"/>
        <d v="1992-05-17T00:00:00"/>
        <d v="1999-03-27T00:00:00"/>
        <d v="1995-05-06T00:00:00"/>
        <d v="1993-12-23T00:00:00"/>
        <d v="2002-12-19T00:00:00"/>
        <d v="1990-06-06T00:00:00"/>
        <d v="1991-12-14T00:00:00"/>
        <d v="1996-06-04T00:00:00"/>
        <d v="2000-06-22T00:00:00"/>
        <d v="1983-05-02T00:00:00"/>
        <d v="1990-05-01T00:00:00"/>
        <d v="1990-08-06T00:00:00"/>
        <d v="1997-09-17T00:00:00"/>
        <d v="2000-08-06T00:00:00"/>
        <d v="1995-07-01T00:00:00"/>
        <d v="1998-02-25T00:00:00"/>
        <d v="1998-02-14T00:00:00"/>
        <d v="1997-07-21T00:00:00"/>
        <d v="1980-09-05T00:00:00"/>
        <d v="1995-01-03T00:00:00"/>
        <d v="1999-06-05T00:00:00"/>
        <d v="1992-09-10T00:00:00"/>
        <d v="1989-04-24T00:00:00"/>
        <d v="1997-12-18T00:00:00"/>
        <d v="1980-09-04T00:00:00"/>
        <d v="1999-11-15T00:00:00"/>
        <d v="2003-11-17T00:00:00"/>
        <d v="1991-04-25T00:00:00"/>
        <d v="1985-07-04T00:00:00"/>
        <d v="1991-05-11T00:00:00"/>
        <d v="1998-03-12T00:00:00"/>
        <d v="1992-09-30T00:00:00"/>
        <d v="2000-10-14T00:00:00"/>
        <d v="2002-11-16T00:00:00"/>
        <d v="2003-09-14T00:00:00"/>
        <d v="2002-06-24T00:00:00"/>
        <d v="1996-10-08T00:00:00"/>
        <d v="2003-10-29T00:00:00"/>
        <d v="1999-05-01T00:00:00"/>
        <d v="1987-04-09T00:00:00"/>
        <d v="1999-04-08T00:00:00"/>
        <d v="2024-05-13T00:00:00"/>
        <d v="1991-06-10T00:00:00"/>
        <d v="1994-08-09T00:00:00"/>
        <d v="1984-09-29T00:00:00"/>
        <d v="1990-08-30T00:00:00"/>
        <d v="1987-05-05T00:00:00"/>
        <d v="2006-02-08T00:00:00"/>
        <d v="1999-05-22T00:00:00"/>
        <d v="1994-08-13T00:00:00"/>
        <d v="2000-10-08T00:00:00"/>
        <d v="1997-04-06T00:00:00"/>
        <d v="1996-05-07T00:00:00"/>
        <d v="1996-05-21T00:00:00"/>
        <d v="1991-07-12T00:00:00"/>
        <d v="1998-05-10T00:00:00"/>
        <d v="1991-05-26T00:00:00"/>
        <d v="1996-12-20T00:00:00"/>
        <d v="1989-09-30T00:00:00"/>
        <d v="1998-12-03T00:00:00"/>
        <d v="2006-03-18T00:00:00"/>
        <d v="2001-01-17T00:00:00"/>
        <d v="1986-12-05T00:00:00"/>
        <d v="2021-07-19T00:00:00"/>
        <d v="1988-12-27T00:00:00"/>
        <d v="1984-10-29T00:00:00"/>
        <d v="1997-09-08T00:00:00"/>
        <d v="2002-07-30T00:00:00"/>
        <d v="1988-07-11T00:00:00"/>
        <d v="1988-11-27T00:00:00"/>
        <d v="1987-03-29T00:00:00"/>
        <d v="2001-03-20T00:00:00"/>
        <d v="1998-01-23T00:00:00"/>
        <d v="1992-02-19T00:00:00"/>
        <d v="2001-10-15T00:00:00"/>
        <d v="2000-02-19T00:00:00"/>
        <d v="2001-02-15T00:00:00"/>
        <d v="1996-05-14T00:00:00"/>
        <d v="2023-06-29T00:00:00"/>
        <d v="1986-06-02T00:00:00"/>
        <d v="1983-01-14T00:00:00"/>
        <d v="1996-02-14T00:00:00"/>
        <d v="1994-08-16T00:00:00"/>
        <d v="1991-10-24T00:00:00"/>
        <d v="1993-08-26T00:00:00"/>
        <d v="2002-01-12T00:00:00"/>
        <d v="1984-07-28T00:00:00"/>
        <d v="1994-04-16T00:00:00"/>
        <d v="2001-11-02T00:00:00"/>
        <d v="2003-07-24T00:00:00"/>
        <d v="2000-06-17T00:00:00"/>
        <d v="1996-07-04T00:00:00"/>
        <d v="1986-09-20T00:00:00"/>
        <d v="1989-09-09T00:00:00"/>
        <d v="2002-09-30T00:00:00"/>
        <d v="1999-05-29T00:00:00"/>
        <d v="2003-08-14T00:00:00"/>
        <d v="1997-10-28T00:00:00"/>
        <d v="1999-07-22T00:00:00"/>
        <d v="1985-01-21T00:00:00"/>
        <d v="1997-08-29T00:00:00"/>
        <d v="1994-01-17T00:00:00"/>
        <d v="1985-02-21T00:00:00"/>
        <d v="1992-12-21T00:00:00"/>
        <d v="1996-11-08T00:00:00"/>
        <d v="1996-12-27T00:00:00"/>
        <d v="1987-12-17T00:00:00"/>
        <d v="2022-12-29T00:00:00"/>
        <d v="1998-09-27T00:00:00"/>
        <d v="2001-06-01T00:00:00"/>
        <d v="1993-07-27T00:00:00"/>
        <d v="1997-07-27T00:00:00"/>
        <d v="1984-09-22T00:00:00"/>
        <d v="1994-04-18T00:00:00"/>
        <d v="1998-02-10T00:00:00"/>
        <d v="1998-09-28T00:00:00"/>
        <d v="1995-12-02T00:00:00"/>
        <d v="1998-12-12T00:00:00"/>
        <d v="1995-06-20T00:00:00"/>
        <d v="2001-08-23T00:00:00"/>
        <d v="2003-12-02T00:00:00"/>
        <d v="1993-08-09T00:00:00"/>
        <d v="2001-02-05T00:00:00"/>
        <d v="1992-01-06T00:00:00"/>
        <d v="2001-11-27T00:00:00"/>
        <d v="1987-02-22T00:00:00"/>
        <d v="1997-11-23T00:00:00"/>
        <d v="1990-09-15T00:00:00"/>
        <d v="1982-04-08T00:00:00"/>
        <d v="1999-05-07T00:00:00"/>
        <d v="1999-07-29T00:00:00"/>
        <d v="1999-05-30T00:00:00"/>
        <d v="1996-08-26T00:00:00"/>
        <d v="1994-08-11T00:00:00"/>
        <d v="1996-06-02T00:00:00"/>
        <d v="1993-03-16T00:00:00"/>
        <d v="2005-01-01T00:00:00"/>
        <d v="1999-08-04T00:00:00"/>
        <d v="2004-04-29T00:00:00"/>
        <d v="1999-05-15T00:00:00"/>
        <d v="2002-07-29T00:00:00"/>
        <d v="2000-03-11T00:00:00"/>
        <d v="1989-08-21T00:00:00"/>
        <d v="2002-01-11T00:00:00"/>
        <d v="1995-05-23T00:00:00"/>
        <d v="2001-09-20T00:00:00"/>
        <d v="2002-11-06T00:00:00"/>
        <d v="1992-02-18T00:00:00"/>
        <d v="1986-05-08T00:00:00"/>
        <d v="2003-12-11T00:00:00"/>
        <d v="2021-02-05T00:00:00"/>
        <d v="1996-11-11T00:00:00"/>
        <d v="2004-09-03T00:00:00"/>
        <d v="2001-09-12T00:00:00"/>
        <d v="1984-07-21T00:00:00"/>
        <d v="1994-03-16T00:00:00"/>
        <d v="1991-06-16T00:00:00"/>
        <d v="2003-02-11T00:00:00"/>
        <d v="1997-11-03T00:00:00"/>
        <d v="2022-11-18T00:00:00"/>
        <d v="2001-09-30T00:00:00"/>
        <d v="1996-05-01T00:00:00"/>
        <d v="2001-03-07T00:00:00"/>
        <d v="1987-07-13T00:00:00"/>
        <d v="1990-09-13T00:00:00"/>
        <d v="1992-07-09T00:00:00"/>
        <d v="2001-09-16T00:00:00"/>
        <d v="2006-09-23T00:00:00"/>
        <d v="2002-10-19T00:00:00"/>
        <d v="1989-04-28T00:00:00"/>
        <d v="1995-10-27T00:00:00"/>
        <d v="2001-09-02T00:00:00"/>
        <d v="1999-08-18T00:00:00"/>
        <d v="1992-07-12T00:00:00"/>
        <d v="1993-07-22T00:00:00"/>
        <d v="1984-02-07T00:00:00"/>
        <d v="1988-12-05T00:00:00"/>
        <d v="1994-12-03T00:00:00"/>
        <d v="1994-05-08T00:00:00"/>
        <d v="1989-12-09T00:00:00"/>
        <d v="1991-08-18T00:00:00"/>
        <d v="1990-07-20T00:00:00"/>
        <d v="1989-06-21T00:00:00"/>
        <d v="1987-12-09T00:00:00"/>
        <d v="1991-06-30T00:00:00"/>
        <d v="1986-12-09T00:00:00"/>
        <d v="2003-04-15T00:00:00"/>
        <d v="1999-10-30T00:00:00"/>
        <d v="2000-05-15T00:00:00"/>
        <d v="1998-08-08T00:00:00"/>
        <d v="2004-10-04T00:00:00"/>
        <d v="1995-10-19T00:00:00"/>
        <d v="2003-11-10T00:00:00"/>
        <d v="1992-04-28T00:00:00"/>
        <d v="1990-10-07T00:00:00"/>
        <d v="1994-06-11T00:00:00"/>
        <d v="1990-01-28T00:00:00"/>
        <d v="1987-01-30T00:00:00"/>
        <d v="1994-10-24T00:00:00"/>
        <d v="1996-11-19T00:00:00"/>
        <d v="1992-02-21T00:00:00"/>
        <d v="1983-12-13T00:00:00"/>
        <d v="1994-11-04T00:00:00"/>
        <d v="2003-02-15T00:00:00"/>
        <d v="1995-04-13T00:00:00"/>
        <d v="1999-10-03T00:00:00"/>
        <d v="2005-03-19T00:00:00"/>
        <d v="1995-05-19T00:00:00"/>
        <d v="1987-10-22T00:00:00"/>
        <d v="1984-05-15T00:00:00"/>
        <d v="1999-06-22T00:00:00"/>
        <d v="1991-12-19T00:00:00"/>
        <d v="1989-05-12T00:00:00"/>
        <d v="1981-06-22T00:00:00"/>
        <d v="2003-03-07T00:00:00"/>
        <d v="1997-01-19T00:00:00"/>
        <s v="6/22/0081"/>
        <d v="1998-08-28T00:00:00"/>
        <d v="2001-03-28T00:00:00"/>
        <d v="1992-07-15T00:00:00"/>
        <d v="2005-05-19T00:00:00"/>
        <d v="1983-06-28T00:00:00"/>
        <d v="2000-01-09T00:00:00"/>
        <d v="1989-05-18T00:00:00"/>
        <d v="1998-07-11T00:00:00"/>
        <d v="1993-11-16T00:00:00"/>
        <d v="1987-09-25T00:00:00"/>
        <d v="1995-07-20T00:00:00"/>
        <d v="1981-06-02T00:00:00"/>
        <d v="1989-05-11T00:00:00"/>
        <d v="1997-06-15T00:00:00"/>
        <d v="2004-02-16T00:00:00"/>
        <s v="4/18/0001"/>
        <d v="1995-04-23T00:00:00"/>
        <d v="1995-05-02T00:00:00"/>
        <d v="1987-06-17T00:00:00"/>
        <d v="1987-03-10T00:00:00"/>
        <d v="1995-04-04T00:00:00"/>
        <d v="1983-04-20T00:00:00"/>
        <d v="1999-08-27T00:00:00"/>
        <d v="2000-10-18T00:00:00"/>
        <d v="2000-06-13T00:00:00"/>
        <d v="2001-11-22T00:00:00"/>
        <d v="1992-02-04T00:00:00"/>
        <d v="2001-04-23T00:00:00"/>
        <d v="1996-12-30T00:00:00"/>
        <d v="2000-07-04T00:00:00"/>
        <d v="1996-01-21T00:00:00"/>
        <d v="1991-04-16T00:00:00"/>
        <d v="1989-10-26T00:00:00"/>
        <d v="2007-02-07T00:00:00"/>
        <d v="1995-07-02T00:00:00"/>
        <d v="1990-02-09T00:00:00"/>
        <d v="2002-12-09T00:00:00"/>
        <d v="2000-06-08T00:00:00"/>
        <d v="2002-01-02T00:00:00"/>
        <d v="2005-04-11T00:00:00"/>
        <d v="2003-03-11T00:00:00"/>
        <d v="1992-05-14T00:00:00"/>
        <d v="1990-03-11T00:00:00"/>
        <d v="1992-05-04T00:00:00"/>
        <s v="10/20/0002"/>
        <d v="1996-10-11T00:00:00"/>
        <d v="1989-08-19T00:00:00"/>
        <d v="1993-01-10T00:00:00"/>
        <d v="1985-09-29T00:00:00"/>
        <d v="2002-10-20T00:00:00"/>
        <d v="1996-07-05T00:00:00"/>
        <d v="1999-04-24T00:00:00"/>
        <d v="1985-08-30T00:00:00"/>
        <d v="1987-09-21T00:00:00"/>
        <d v="1998-06-01T00:00:00"/>
        <d v="1987-09-04T00:00:00"/>
        <d v="1985-09-06T00:00:00"/>
        <d v="1994-12-11T00:00:00"/>
        <d v="1994-02-11T00:00:00"/>
        <d v="2001-02-27T00:00:00"/>
        <d v="1990-12-13T00:00:00"/>
        <d v="2000-11-02T00:00:00"/>
        <d v="2002-11-07T00:00:00"/>
        <d v="1993-02-27T00:00:00"/>
        <d v="1996-07-02T00:00:00"/>
        <d v="1988-04-07T00:00:00"/>
        <d v="1997-03-05T00:00:00"/>
        <d v="2000-10-02T00:00:00"/>
        <d v="1999-05-24T00:00:00"/>
        <d v="1993-04-02T00:00:00"/>
        <d v="1984-09-20T00:00:00"/>
        <s v="9/4/0205"/>
        <d v="1997-04-25T00:00:00"/>
        <d v="1988-12-11T00:00:00"/>
        <d v="1999-03-15T00:00:00"/>
        <d v="1993-03-12T00:00:00"/>
        <d v="1994-03-04T00:00:00"/>
        <d v="2007-07-16T00:00:00"/>
        <d v="1998-10-26T00:00:00"/>
        <d v="1999-12-17T00:00:00"/>
        <d v="2005-05-27T00:00:00"/>
        <d v="2001-12-27T00:00:00"/>
        <d v="1998-01-07T00:00:00"/>
        <d v="1992-05-05T00:00:00"/>
        <d v="2000-05-03T00:00:00"/>
        <d v="1989-02-04T00:00:00"/>
        <d v="1992-01-22T00:00:00"/>
        <d v="2003-08-18T00:00:00"/>
        <d v="2023-07-08T00:00:00"/>
        <d v="1986-01-26T00:00:00"/>
        <d v="1997-03-14T00:00:00"/>
        <d v="2003-01-16T00:00:00"/>
        <d v="2001-07-04T00:00:00"/>
        <d v="1991-07-08T00:00:00"/>
        <d v="1998-04-01T00:00:00"/>
        <d v="2000-03-17T00:00:00"/>
        <d v="1991-10-05T00:00:00"/>
        <d v="1995-04-27T00:00:00"/>
        <d v="1998-08-24T00:00:00"/>
        <d v="1997-08-17T00:00:00"/>
        <d v="1994-05-23T00:00:00"/>
        <d v="1997-05-27T00:00:00"/>
        <d v="1994-02-21T00:00:00"/>
        <d v="2003-05-14T00:00:00"/>
        <d v="1985-12-01T00:00:00"/>
        <d v="1989-09-24T00:00:00"/>
        <d v="1999-04-25T00:00:00"/>
        <d v="1990-09-20T00:00:00"/>
        <d v="1990-01-29T00:00:00"/>
        <d v="1990-09-29T00:00:00"/>
        <d v="1995-10-08T00:00:00"/>
        <d v="1993-06-11T00:00:00"/>
        <d v="2002-01-26T00:00:00"/>
        <d v="1990-05-17T00:00:00"/>
        <d v="1998-11-26T00:00:00"/>
        <d v="1999-05-05T00:00:00"/>
        <d v="1995-02-10T00:00:00"/>
        <d v="2023-08-07T00:00:00"/>
        <d v="1998-11-21T00:00:00"/>
        <d v="1999-01-29T00:00:00"/>
        <d v="1999-05-13T00:00:00"/>
        <d v="1994-07-30T00:00:00"/>
        <d v="1989-06-16T00:00:00"/>
        <d v="1981-06-08T00:00:00"/>
        <d v="2008-05-08T00:00:00"/>
        <d v="1997-03-27T00:00:00"/>
        <d v="1991-06-02T00:00:00"/>
        <d v="1992-08-14T00:00:00"/>
        <d v="1991-10-04T00:00:00"/>
        <d v="1996-11-27T00:00:00"/>
        <d v="1994-03-17T00:00:00"/>
        <d v="1987-07-10T00:00:00"/>
        <d v="2003-09-21T00:00:00"/>
        <d v="1998-09-09T00:00:00"/>
        <d v="1997-08-08T00:00:00"/>
        <d v="1984-01-02T00:00:00"/>
        <d v="2003-11-13T00:00:00"/>
        <d v="2005-03-14T00:00:00"/>
        <d v="1996-01-28T00:00:00"/>
        <d v="2004-06-01T00:00:00"/>
        <d v="1996-10-26T00:00:00"/>
        <d v="1983-02-16T00:00:00"/>
        <d v="1997-10-01T00:00:00"/>
        <d v="2005-01-19T00:00:00"/>
        <d v="2002-04-15T00:00:00"/>
        <d v="1996-04-01T00:00:00"/>
        <d v="2002-12-03T00:00:00"/>
        <d v="1987-02-25T00:00:00"/>
        <d v="1991-10-30T00:00:00"/>
        <d v="1996-08-06T00:00:00"/>
        <d v="1996-11-29T00:00:00"/>
        <d v="2003-07-28T00:00:00"/>
        <d v="1991-09-06T00:00:00"/>
        <d v="1992-12-11T00:00:00"/>
        <d v="2000-12-07T00:00:00"/>
        <d v="1993-01-21T00:00:00"/>
        <d v="1999-02-08T00:00:00"/>
        <d v="1989-02-09T00:00:00"/>
        <d v="1998-09-02T00:00:00"/>
        <d v="1993-06-15T00:00:00"/>
        <d v="1988-03-29T00:00:00"/>
        <d v="2002-04-09T00:00:00"/>
        <d v="1988-03-02T00:00:00"/>
        <d v="1991-05-05T00:00:00"/>
        <d v="1997-05-14T00:00:00"/>
        <d v="1981-03-15T00:00:00"/>
        <d v="1998-10-19T00:00:00"/>
        <d v="1999-05-20T00:00:00"/>
        <d v="1999-10-10T00:00:00"/>
        <d v="1999-11-14T00:00:00"/>
        <d v="1991-03-09T00:00:00"/>
        <d v="1996-02-20T00:00:00"/>
        <d v="1992-12-17T00:00:00"/>
        <d v="2003-03-18T00:00:00"/>
        <d v="1999-12-25T00:00:00"/>
        <d v="2000-10-24T00:00:00"/>
        <d v="1993-04-19T00:00:00"/>
        <d v="1992-08-25T00:00:00"/>
        <d v="1991-09-20T00:00:00"/>
        <d v="2005-05-26T00:00:00"/>
        <d v="1997-01-17T00:00:00"/>
        <d v="2004-03-19T00:00:00"/>
        <d v="1992-05-08T00:00:00"/>
        <d v="1994-07-27T00:00:00"/>
        <d v="1999-12-15T00:00:00"/>
        <d v="1992-08-05T00:00:00"/>
        <d v="1999-10-22T00:00:00"/>
        <d v="2002-12-08T00:00:00"/>
        <d v="1998-07-10T00:00:00"/>
        <d v="1993-06-01T00:00:00"/>
        <d v="1992-03-08T00:00:00"/>
        <d v="1992-10-08T00:00:00"/>
        <d v="1991-10-28T00:00:00"/>
        <d v="1996-05-02T00:00:00"/>
        <d v="2006-06-26T00:00:00"/>
        <d v="1996-04-06T00:00:00"/>
        <d v="1981-10-31T00:00:00"/>
        <d v="1990-04-30T00:00:00"/>
        <d v="2001-01-25T00:00:00"/>
        <d v="2002-07-06T00:00:00"/>
        <d v="1995-04-09T00:00:00"/>
        <d v="1985-09-16T00:00:00"/>
        <d v="1997-03-21T00:00:00"/>
        <d v="1991-02-15T00:00:00"/>
        <d v="1999-08-06T00:00:00"/>
        <d v="2022-05-11T00:00:00"/>
        <d v="1987-08-24T00:00:00"/>
        <d v="2001-04-13T00:00:00"/>
        <d v="2005-01-23T00:00:00"/>
        <d v="2005-03-17T00:00:00"/>
        <d v="1993-09-01T00:00:00"/>
        <d v="2002-05-11T00:00:00"/>
        <d v="1995-01-30T00:00:00"/>
        <d v="1982-01-15T00:00:00"/>
        <d v="1987-10-17T00:00:00"/>
        <d v="1983-12-12T00:00:00"/>
        <d v="2001-03-15T00:00:00"/>
        <d v="2004-09-04T00:00:00"/>
        <d v="2024-01-15T00:00:00"/>
        <d v="1988-09-15T00:00:00"/>
        <d v="1995-09-27T00:00:00"/>
        <d v="1998-05-11T00:00:00"/>
        <d v="1989-08-01T00:00:00"/>
        <d v="1999-03-23T00:00:00"/>
        <d v="1984-08-24T00:00:00"/>
        <d v="1998-09-15T00:00:00"/>
        <d v="2000-05-11T00:00:00"/>
        <d v="2023-12-20T00:00:00"/>
        <d v="1999-06-14T00:00:00"/>
        <d v="1992-02-11T00:00:00"/>
        <d v="1998-04-06T00:00:00"/>
        <d v="1993-10-07T00:00:00"/>
        <d v="1999-12-12T00:00:00"/>
        <d v="1991-09-30T00:00:00"/>
        <d v="2000-10-29T00:00:00"/>
        <d v="1996-02-10T00:00:00"/>
        <d v="1995-07-06T00:00:00"/>
        <d v="1990-06-30T00:00:00"/>
        <d v="1990-01-24T00:00:00"/>
        <d v="1999-12-30T00:00:00"/>
        <d v="2001-01-11T00:00:00"/>
        <d v="1991-07-17T00:00:00"/>
        <d v="1998-09-01T00:00:00"/>
        <d v="1999-01-06T00:00:00"/>
        <d v="1998-01-29T00:00:00"/>
        <d v="2002-08-04T00:00:00"/>
        <d v="1994-01-25T00:00:00"/>
        <d v="1998-08-13T00:00:00"/>
        <d v="1994-06-13T00:00:00"/>
        <d v="2023-01-29T00:00:00"/>
        <d v="2001-10-02T00:00:00"/>
        <d v="2000-12-28T00:00:00"/>
        <d v="1991-02-13T00:00:00"/>
        <d v="1999-03-03T00:00:00"/>
        <d v="1997-02-13T00:00:00"/>
        <d v="2006-02-25T00:00:00"/>
        <d v="1999-07-11T00:00:00"/>
        <d v="1987-10-15T00:00:00"/>
        <d v="2005-11-16T00:00:00"/>
        <d v="1987-03-01T00:00:00"/>
        <d v="1993-08-17T00:00:00"/>
        <d v="1994-05-20T00:00:00"/>
        <d v="2003-05-21T00:00:00"/>
        <d v="2006-09-29T00:00:00"/>
        <d v="1986-12-08T00:00:00"/>
        <d v="2007-12-24T00:00:00"/>
        <d v="1985-04-13T00:00:00"/>
        <d v="1989-11-08T00:00:00"/>
        <d v="1984-08-06T00:00:00"/>
        <d v="2003-10-21T00:00:00"/>
        <d v="1996-09-16T00:00:00"/>
        <d v="1998-07-28T00:00:00"/>
        <d v="1993-07-02T00:00:00"/>
        <d v="1998-12-22T00:00:00"/>
        <d v="2000-05-25T00:00:00"/>
        <d v="1991-03-26T00:00:00"/>
        <d v="2009-07-15T00:00:00"/>
        <d v="1988-09-24T00:00:00"/>
        <d v="2000-03-13T00:00:00"/>
        <d v="2002-06-23T00:00:00"/>
        <d v="1995-07-22T00:00:00"/>
        <d v="1994-07-17T00:00:00"/>
        <d v="1988-08-13T00:00:00"/>
        <d v="2004-09-12T00:00:00"/>
        <d v="1998-06-05T00:00:00"/>
        <d v="2001-10-17T00:00:00"/>
        <d v="1989-04-06T00:00:00"/>
        <d v="1999-12-10T00:00:00"/>
        <d v="1997-05-17T00:00:00"/>
        <d v="1999-07-04T00:00:00"/>
        <d v="1999-03-20T00:00:00"/>
        <d v="1995-10-05T00:00:00"/>
        <d v="1997-01-06T00:00:00"/>
        <d v="1987-02-23T00:00:00"/>
        <d v="2000-12-01T00:00:00"/>
        <d v="1995-07-19T00:00:00"/>
        <d v="1994-04-22T00:00:00"/>
        <d v="1995-08-23T00:00:00"/>
        <d v="2000-03-03T00:00:00"/>
        <d v="2001-12-10T00:00:00"/>
        <d v="2003-02-27T00:00:00"/>
        <d v="2006-06-22T00:00:00"/>
        <d v="1998-02-09T00:00:00"/>
        <d v="2002-08-21T00:00:00"/>
        <d v="1993-10-14T00:00:00"/>
        <d v="1988-07-27T00:00:00"/>
        <d v="1997-11-30T00:00:00"/>
        <d v="2004-04-16T00:00:00"/>
        <d v="1992-06-06T00:00:00"/>
        <d v="1999-07-27T00:00:00"/>
        <d v="1992-01-15T00:00:00"/>
        <d v="1981-02-24T00:00:00"/>
        <d v="2002-03-04T00:00:00"/>
        <d v="2001-03-18T00:00:00"/>
        <d v="2005-02-13T00:00:00"/>
        <d v="2000-01-29T00:00:00"/>
        <d v="1998-03-04T00:00:00"/>
        <d v="2002-09-20T00:00:00"/>
        <d v="1992-07-02T00:00:00"/>
        <d v="2000-10-12T00:00:00"/>
        <d v="2007-02-14T00:00:00"/>
        <d v="1992-06-15T00:00:00"/>
        <d v="1993-11-25T00:00:00"/>
        <d v="1999-01-14T00:00:00"/>
        <d v="1998-03-26T00:00:00"/>
        <d v="1991-03-15T00:00:00"/>
        <d v="2002-08-16T00:00:00"/>
        <d v="1996-02-16T00:00:00"/>
        <d v="2001-02-12T00:00:00"/>
        <d v="2006-12-22T00:00:00"/>
        <d v="1983-03-17T00:00:00"/>
        <d v="1986-11-12T00:00:00"/>
        <d v="1994-09-26T00:00:00"/>
        <d v="1995-10-13T00:00:00"/>
        <d v="2004-03-21T00:00:00"/>
        <d v="1986-11-27T00:00:00"/>
        <d v="1997-04-11T00:00:00"/>
        <d v="1986-11-20T00:00:00"/>
        <d v="2024-04-10T00:00:00"/>
        <d v="1994-12-10T00:00:00"/>
        <d v="2008-11-18T00:00:00"/>
        <d v="1994-10-09T00:00:00"/>
        <d v="2000-03-21T00:00:00"/>
        <d v="1998-12-06T00:00:00"/>
        <d v="1999-03-02T00:00:00"/>
        <d v="2004-05-25T00:00:00"/>
        <d v="1991-07-04T00:00:00"/>
        <d v="2001-08-27T00:00:00"/>
        <d v="1998-10-11T00:00:00"/>
        <d v="1984-12-24T00:00:00"/>
        <d v="1996-04-08T00:00:00"/>
        <d v="1991-05-02T00:00:00"/>
        <d v="2003-09-07T00:00:00"/>
        <d v="2006-12-30T00:00:00"/>
        <d v="2000-11-07T00:00:00"/>
        <d v="1992-05-15T00:00:00"/>
        <d v="1986-09-07T00:00:00"/>
        <d v="2024-04-26T00:00:00"/>
        <d v="1998-09-17T00:00:00"/>
        <d v="1982-07-20T00:00:00"/>
        <d v="1987-08-03T00:00:00"/>
        <d v="1989-02-02T00:00:00"/>
        <d v="2024-03-21T00:00:00"/>
        <d v="1999-03-31T00:00:00"/>
        <d v="2000-07-14T00:00:00"/>
        <d v="1989-11-22T00:00:00"/>
        <d v="1997-04-04T00:00:00"/>
        <d v="2005-07-04T00:00:00"/>
        <d v="1999-05-12T00:00:00"/>
        <d v="1992-06-09T00:00:00"/>
        <d v="2003-09-17T00:00:00"/>
        <d v="1994-09-15T00:00:00"/>
        <d v="2001-08-03T00:00:00"/>
        <d v="1988-08-21T00:00:00"/>
        <d v="1994-07-13T00:00:00"/>
        <d v="1994-03-27T00:00:00"/>
        <d v="2004-03-29T00:00:00"/>
        <d v="1996-06-03T00:00:00"/>
        <d v="2002-03-15T00:00:00"/>
        <d v="2005-12-25T00:00:00"/>
        <d v="1995-06-14T00:00:00"/>
        <d v="1989-04-27T00:00:00"/>
        <d v="1996-05-26T00:00:00"/>
        <d v="1992-09-19T00:00:00"/>
        <d v="2001-04-11T00:00:00"/>
        <d v="2001-12-21T00:00:00"/>
        <d v="1993-12-01T00:00:00"/>
        <d v="1997-08-12T00:00:00"/>
        <d v="1982-09-22T00:00:00"/>
        <d v="2005-07-20T00:00:00"/>
        <d v="1997-07-23T00:00:00"/>
        <d v="2001-05-15T00:00:00"/>
        <d v="1990-03-17T00:00:00"/>
        <d v="1997-01-21T00:00:00"/>
        <d v="1993-12-04T00:00:00"/>
        <d v="1992-01-14T00:00:00"/>
        <d v="1997-06-02T00:00:00"/>
        <d v="1981-03-18T00:00:00"/>
        <d v="1999-03-17T00:00:00"/>
        <d v="1988-11-11T00:00:00"/>
        <d v="2024-12-21T00:00:00"/>
        <d v="1990-10-04T00:00:00"/>
        <d v="1995-08-26T00:00:00"/>
        <d v="1981-07-26T00:00:00"/>
        <d v="2003-01-23T00:00:00"/>
        <d v="1995-07-03T00:00:00"/>
        <d v="1993-11-02T00:00:00"/>
        <d v="1984-03-22T00:00:00"/>
        <d v="2000-05-19T00:00:00"/>
        <d v="1979-06-02T00:00:00"/>
        <d v="1986-06-20T00:00:00"/>
        <d v="2004-08-26T00:00:00"/>
        <d v="1994-01-14T00:00:00"/>
        <d v="1996-09-10T00:00:00"/>
        <d v="1995-04-11T00:00:00"/>
        <d v="1999-01-08T00:00:00"/>
        <d v="1996-08-24T00:00:00"/>
        <d v="1991-01-15T00:00:00"/>
        <d v="2006-08-19T00:00:00"/>
        <d v="2000-04-13T00:00:00"/>
        <d v="1998-06-18T00:00:00"/>
        <d v="2003-06-08T00:00:00"/>
        <d v="2003-10-01T00:00:00"/>
        <d v="1999-07-14T00:00:00"/>
        <d v="1992-11-16T00:00:00"/>
        <d v="1998-03-14T00:00:00"/>
        <d v="1984-01-19T00:00:00"/>
        <d v="2002-06-01T00:00:00"/>
        <d v="1989-10-27T00:00:00"/>
        <d v="2000-06-29T00:00:00"/>
        <d v="1995-06-17T00:00:00"/>
        <d v="2002-05-02T00:00:00"/>
        <d v="1997-10-02T00:00:00"/>
        <d v="1988-09-07T00:00:00"/>
      </sharedItems>
    </cacheField>
    <cacheField name="DUM" numFmtId="0">
      <sharedItems containsBlank="1" containsDate="1" containsMixedTypes="1" count="548">
        <m/>
        <d v="2022-03-19T00:00:00"/>
        <d v="2022-04-23T00:00:00"/>
        <s v="23/07/2022"/>
        <s v="23/07/2023"/>
        <s v="13/05/2022"/>
        <s v="31/05/2022"/>
        <s v="15/07/2022"/>
        <d v="2022-07-15T00:00:00"/>
        <s v="15/07/22"/>
        <s v="desconhecida"/>
        <s v="16/08/2022"/>
        <s v="08/08/2022"/>
        <s v="26/01/2023"/>
        <n v="26012023"/>
        <s v="30/09/2022"/>
        <s v="04/10/2022"/>
        <s v="02/09/2022"/>
        <s v="02/09/2023"/>
        <s v="16/09/2022"/>
        <s v="04/09/2022"/>
        <s v="28/08/2022"/>
        <s v="25/08/2022"/>
        <s v="17/11/22"/>
        <s v="17/03/2023"/>
        <s v="01/02/2023"/>
        <n v="25082022"/>
        <s v="01/05/2023"/>
        <s v="17/11/2022"/>
        <s v="10/04/2023"/>
        <s v="15/03/2023"/>
        <s v="19/10/2022"/>
        <s v=" 07/10/2022"/>
        <s v="19/12/2022"/>
        <s v=" 01/02/2023"/>
        <s v="07/10/2022"/>
        <s v="04/02/2023"/>
        <s v="28/03/2023"/>
        <s v=" 31/10/2022"/>
        <s v="02/08/2022"/>
        <s v="15/11/2022"/>
        <s v="10/01/2023"/>
        <s v="08/02/2023"/>
        <s v="28/12/2022"/>
        <s v="18/12/2022"/>
        <s v="05/09/2022"/>
        <s v="05/10/2022"/>
        <s v="28/01/2023"/>
        <s v="16/02/2023"/>
        <s v="15/11/2023"/>
        <s v="26/12/2022"/>
        <s v="15/02/2023"/>
        <s v="19/02/2023"/>
        <s v="31/10/2022"/>
        <s v="21/01/2023"/>
        <s v="20/04/2023"/>
        <s v="08/09/2022"/>
        <s v="02/04/2023"/>
        <s v="29/10/2022"/>
        <s v="DUM desconhecida"/>
        <s v="06/12/2022"/>
        <s v="27/10/2022"/>
        <s v="02/12/2022"/>
        <s v="30/112022"/>
        <s v="25/02/2023"/>
        <s v="24/09/2022"/>
        <s v="29/102022"/>
        <s v="17/08/2022"/>
        <s v="21/09/2022"/>
        <s v="15/09/2022"/>
        <s v="02/10/2022"/>
        <s v="30/04/2023"/>
        <s v="16/11/2022"/>
        <s v="07/09/2022"/>
        <s v="01/03/2023"/>
        <s v="05/02/2023"/>
        <s v="07/04/2023"/>
        <s v="29/092022"/>
        <s v=" 15/03/2023"/>
        <s v="30/05/2023"/>
        <s v="02/05/2023"/>
        <s v="10/11/2022"/>
        <s v="30/11/2022"/>
        <s v="00"/>
        <s v="18/03/2023"/>
        <s v="06/09/2022"/>
        <s v="13/02/2023"/>
        <s v="25/11/2022"/>
        <s v=" 10/11/2022"/>
        <s v="22/12/22"/>
        <s v="11/11/2022"/>
        <s v="28/12/22"/>
        <s v="22/02/2023"/>
        <s v="02/09/22"/>
        <s v="12/02/2023"/>
        <s v="15/01/2023"/>
        <s v="Desconhecida IG aprox 24 semanas"/>
        <s v="02/092022"/>
        <s v="05/03/23"/>
        <s v="10/09/2022"/>
        <s v="10/10/2022"/>
        <s v="puerpera"/>
        <s v="05/11/2022"/>
        <s v="03/04/2023"/>
        <s v="11/04/2023"/>
        <s v="nao informada"/>
        <s v="27/09/23"/>
        <s v="02/01/2023"/>
        <s v="30/10/2022"/>
        <s v="02052023"/>
        <s v="22/03/2023"/>
        <s v="01/04/2023"/>
        <s v="14/10/2022"/>
        <s v="22/12/2022"/>
        <s v="06/05/2023"/>
        <s v="09/03/2023"/>
        <s v=" 12/09/2022"/>
        <s v="26/03/2023"/>
        <s v="28/11/2022"/>
        <s v="10/03/2023"/>
        <s v="31/12/2022"/>
        <s v="30/01/2023"/>
        <s v="20/09/2022"/>
        <s v="14/01/2023"/>
        <s v="21/09/2022 "/>
        <s v="13/03/2023"/>
        <s v="27/03/2023"/>
        <s v="02/10/2001"/>
        <s v="25/01/2023"/>
        <s v="14/04/2023"/>
        <s v="05/12/2022"/>
        <s v="05/04/2023"/>
        <s v="06/05/23"/>
        <s v="21/01/23"/>
        <s v="desconhece"/>
        <s v="08/10/2022"/>
        <s v="30/10/1984"/>
        <s v="19/01/2023"/>
        <s v="não sabe"/>
        <s v="21/09/22"/>
        <s v="12/12/2022"/>
        <s v=" 27/11/2022"/>
        <d v="2023-01-20T00:00:00"/>
        <s v=" 21/09/2022"/>
        <s v="20/01/2023"/>
        <s v="29/04/2023"/>
        <s v="14/11/2022"/>
        <s v="04/11/2022"/>
        <s v="05/05/23"/>
        <s v="Desconhecida."/>
        <s v="21/05/2023"/>
        <s v="05/05/2023"/>
        <s v="07/12/2022"/>
        <s v="03/01/2023"/>
        <s v="07/12/2023"/>
        <s v="10/112022"/>
        <s v="04/05/2023"/>
        <s v="15/10/2022"/>
        <s v="desconhecida "/>
        <s v="27/11/2022"/>
        <s v="05/08/2019"/>
        <s v="16/04/2023"/>
        <s v="12/10/2022"/>
        <s v="20/12/2022"/>
        <s v="02/02/2023"/>
        <s v="22/05/2023"/>
        <s v="04/11/2023"/>
        <s v="18/02/2023"/>
        <s v="30/03/2023"/>
        <s v=" 06/05/2023"/>
        <s v="26/05/2023"/>
        <s v="18/05/2023"/>
        <s v="28/10/2022"/>
        <s v=" desconhecida"/>
        <s v="23/10/2022"/>
        <s v="25/12/2022"/>
        <s v="22/04/2023"/>
        <s v="27/06/2023"/>
        <d v="2022-11-23T00:00:00"/>
        <s v="07/03/2023"/>
        <s v="23/11/2022"/>
        <s v=" 01/03/23"/>
        <s v="13/02/22"/>
        <s v="03/11/2022"/>
        <s v="10/12/2022"/>
        <s v=" 10/01/2023"/>
        <s v="02/04/2023 "/>
        <s v="11/12/2022"/>
        <s v="13/07/2023"/>
        <s v="14/12/2022"/>
        <s v="18/11/2022"/>
        <s v="19/04/2023"/>
        <s v="13/01/2023"/>
        <s v="21/02/2023"/>
        <s v="02/03/2023"/>
        <s v="20/03/2023"/>
        <s v="não se aplica"/>
        <s v=" 13/01/2023"/>
        <s v="05/03/2023"/>
        <s v="13/06/2023"/>
        <s v="16/05/2023"/>
        <s v="14/07/23"/>
        <s v="19/06/2023"/>
        <s v="14/06/2023"/>
        <s v=" 08/05/2023"/>
        <s v="25/03/2023"/>
        <s v="08/05/2023"/>
        <s v="08/11/2022"/>
        <s v="23/06/2023"/>
        <s v=" 23/06/23"/>
        <s v="05/07/2023"/>
        <s v="31/01/2023"/>
        <s v="28/05/2023"/>
        <s v=" 12/02/2023"/>
        <s v="02/02/23"/>
        <s v="09/01/2023"/>
        <s v="12/07/2023"/>
        <s v="07/02/2023"/>
        <s v="26/06/2023"/>
        <s v="10/06/2023"/>
        <s v="14/03/2023"/>
        <s v="24/11/2022"/>
        <s v="25/04/2023"/>
        <s v=" 10/03/2023"/>
        <s v="15/12/2022"/>
        <s v=" 28/11/2022"/>
        <s v=" 15/12/2022"/>
        <s v="03/06/2023"/>
        <s v="15/012023"/>
        <s v="27/12/2022"/>
        <s v=" 23/12/22"/>
        <s v="28/02/2023"/>
        <s v="08/04/2023"/>
        <s v="14/012023"/>
        <s v=" 04/02/2023"/>
        <s v="19/05/2023"/>
        <s v="05/08/2023"/>
        <s v="18/02/23"/>
        <s v="06/07/2023"/>
        <s v="16/01/2023"/>
        <s v="19/02/23"/>
        <s v="18/08/2023"/>
        <s v="10/07/2023"/>
        <s v="16/08/2023"/>
        <s v="30/07/2023"/>
        <s v="15/04/2023"/>
        <s v="29/12/2023"/>
        <s v="29/12/22022"/>
        <s v="15/042023"/>
        <s v="24/08/2023"/>
        <s v="29/12/2022"/>
        <s v="01/01/2023"/>
        <s v=" 19/07/2023"/>
        <s v="26/12/22"/>
        <s v="21/07/2023"/>
        <s v="20/07/2023"/>
        <s v=" 06/01/2023"/>
        <s v="20/06/2023"/>
        <s v="06/01/2002"/>
        <s v=" 14/02/2023"/>
        <s v="25/07/2023"/>
        <s v="20/02/2023"/>
        <s v="05/01/2023"/>
        <s v="06/03/2023"/>
        <s v=" 08/06/2023"/>
        <s v=" 30/01/2023"/>
        <s v="09/04/2023"/>
        <s v="08/03/2023"/>
        <s v="Incerta"/>
        <s v="28/08/2023"/>
        <s v=" 10/02/2023"/>
        <s v="irregular "/>
        <s v="04/09/1987"/>
        <s v="09/02/2023"/>
        <s v=" 21/02/2023"/>
        <s v="02/06/2023"/>
        <s v="17/01/2023"/>
        <s v="28/02/23"/>
        <s v="irregular"/>
        <s v="08/07/2023"/>
        <s v="30/08/2023"/>
        <s v="25/06/2023"/>
        <s v="22/01/2023"/>
        <s v="14/09/2023"/>
        <s v="07/02/3023"/>
        <s v="12/01/2023"/>
        <s v=" 09/07/2023"/>
        <s v="12/06/2023"/>
        <s v="13/09/2023"/>
        <s v="01/06/2023"/>
        <s v=" 24/12/2022"/>
        <s v="05/10/2023"/>
        <s v="04/07/2023"/>
        <s v="13/11/2023"/>
        <s v="15/07/2023"/>
        <s v="10/06/1991"/>
        <s v="26/08/2023"/>
        <s v="27/02/2023"/>
        <s v="15/09/2023"/>
        <s v="20/09/2023"/>
        <s v=" 09/02/2023"/>
        <d v="2023-02-15T00:00:00"/>
        <s v="06/08/2023"/>
        <s v="16/07/2023"/>
        <d v="2023-02-04T00:00:00"/>
        <s v="15/04/1999"/>
        <s v="12/05/1992"/>
        <s v="23/04/2023"/>
        <s v="30/09/2023"/>
        <s v="12/05/2023"/>
        <s v="21/04/2023"/>
        <s v=" 08/07/2023"/>
        <s v="17/06/2023"/>
        <s v=" 07/03/2023"/>
        <s v="13/03/20223"/>
        <s v="14/05/2023"/>
        <s v="04/10/2023"/>
        <s v="10/08//2023"/>
        <s v="10/08/2023"/>
        <s v="25/10/2023"/>
        <s v=" 24/07/2023"/>
        <s v=" 15/08/2023"/>
        <s v="01/07/2023"/>
        <s v="15/10/2023"/>
        <s v="24/07/2023"/>
        <s v="10/05/2023"/>
        <s v="08/06/2023"/>
        <s v="17/09/2023"/>
        <s v="13/04/2023"/>
        <s v="10/06/1996"/>
        <s v="24/09/2023"/>
        <s v="06/03/23"/>
        <s v=" 21/04/2023"/>
        <s v="24/03/2023"/>
        <s v="04/03/2023"/>
        <s v="20/10/2023"/>
        <s v="11/10/2023"/>
        <s v="21/04/23"/>
        <s v="13/10/2023"/>
        <s v="03/10/2023"/>
        <s v="06/09/2023"/>
        <s v="22/09/2023"/>
        <s v=" 18/10/2023"/>
        <s v="26/07/2023"/>
        <s v="08/06/2003"/>
        <s v="23/09/2023"/>
        <s v=" 19/05/2023"/>
        <s v=" 26/07/2023"/>
        <d v="2023-09-29T00:00:00"/>
        <s v="21/10/2023"/>
        <s v="29/03/2023"/>
        <s v="29/09/2023"/>
        <s v="29/08/2023"/>
        <s v="28/09/2023"/>
        <s v=" 29/03/2023"/>
        <s v=" 29/09/2023"/>
        <s v="01/11/2023"/>
        <s v="02/08/2023"/>
        <s v="05/06/2023"/>
        <s v="08/09/2023"/>
        <s v="10/11/2023"/>
        <s v="06/05/24"/>
        <s v="18/04/2023"/>
        <s v=" 16/04/23"/>
        <s v="02/10/23"/>
        <s v=" 13/09/2023"/>
        <s v="NAO SABE"/>
        <s v="24/05/2023"/>
        <s v=" 18/04/2023"/>
        <s v="11/12/2023"/>
        <s v="23/12/2023"/>
        <s v="07/11/2023"/>
        <s v="08/052023"/>
        <s v="25/05/2023"/>
        <s v="24/06/2023"/>
        <s v="31/10/2023"/>
        <s v="26/05/23"/>
        <s v=" 19/04/2023"/>
        <s v="03/11/2023"/>
        <s v="11/11/2023"/>
        <s v="28/12/2023"/>
        <s v="05/11/2023"/>
        <s v="15/10/2024"/>
        <s v=" 07/11/2023"/>
        <s v="nao se aplica"/>
        <s v="26/10/23"/>
        <s v=" 28/12/2023"/>
        <s v=" 01/10/2023"/>
        <s v="15/08/2023"/>
        <s v="17/10/2023"/>
        <s v="16/11/2023"/>
        <d v="2023-07-26T00:00:00"/>
        <s v="26/07/23"/>
        <s v="19/12/2023"/>
        <s v="26/08/23"/>
        <s v="09/08/2023"/>
        <s v="19/07/2023"/>
        <s v="27/12/2023"/>
        <s v="04/06/2023"/>
        <s v="09/12/2023"/>
        <s v="29/04/2004"/>
        <s v="27/08/2023"/>
        <s v="09/12/2024"/>
        <s v="22/06/2023"/>
        <s v="20/05/2023"/>
        <s v="01/10/2023"/>
        <s v="30/11/2023"/>
        <s v="18/01/24"/>
        <s v="16/06/2023"/>
        <s v="06/01/2024"/>
        <s v="30/10/2023"/>
        <d v="2023-08-24T00:00:00"/>
        <s v="18/10/2023"/>
        <s v=" 22/05/2023"/>
        <s v="04/09/2023"/>
        <s v="11/06/2023"/>
        <s v="26/11/2023"/>
        <s v="26/10/2023"/>
        <s v="28/07/2023"/>
        <s v="13/12/2023"/>
        <s v=" 18/06/2023"/>
        <s v="2607/2023"/>
        <s v="16/09/2023"/>
        <s v="NÃO SE APLICA"/>
        <s v="04/01/2024"/>
        <s v="03/07/2023"/>
        <s v="17/12/2023"/>
        <s v="19.11.23"/>
        <s v="19/11/2023"/>
        <s v="09/02/2024"/>
        <s v="14/12/2023"/>
        <s v="10/01/2024"/>
        <s v="29/07/2023"/>
        <s v="26/07/1997"/>
        <s v="17/11/2023"/>
        <d v="2023-11-09T00:00:00"/>
        <s v="05/09/2023"/>
        <s v="22/08/2023"/>
        <s v="28/06/2023"/>
        <s v="15/06/2023"/>
        <d v="2023-08-08T00:00:00"/>
        <d v="2024-01-14T00:00:00"/>
        <d v="2024-01-19T00:00:00"/>
        <d v="2023-08-05T00:00:00"/>
        <d v="2023-09-24T00:00:00"/>
        <d v="2023-08-09T00:00:00"/>
        <d v="2023-09-09T00:00:00"/>
        <d v="2023-07-19T00:00:00"/>
        <d v="2023-06-27T00:00:00"/>
        <d v="2024-01-25T00:00:00"/>
        <d v="1999-08-08T00:00:00"/>
        <d v="2023-06-28T00:00:00"/>
        <d v="2023-10-07T00:00:00"/>
        <d v="2023-10-20T00:00:00"/>
        <d v="2023-06-25T00:00:00"/>
        <d v="2023-09-25T00:00:00"/>
        <d v="2024-02-10T00:00:00"/>
        <d v="2023-11-05T00:00:00"/>
        <d v="2023-10-31T00:00:00"/>
        <d v="2024-01-30T00:00:00"/>
        <d v="2023-10-03T00:00:00"/>
        <d v="2023-08-28T00:00:00"/>
        <d v="2023-07-30T00:00:00"/>
        <d v="2023-07-08T00:00:00"/>
        <d v="2024-02-16T00:00:00"/>
        <d v="2023-07-20T00:00:00"/>
        <d v="2023-11-24T00:00:00"/>
        <d v="2023-07-31T00:00:00"/>
        <d v="2023-08-11T00:00:00"/>
        <d v="2023-08-10T00:00:00"/>
        <d v="2023-11-26T00:00:00"/>
        <d v="2024-02-22T00:00:00"/>
        <d v="2023-12-05T00:00:00"/>
        <d v="2023-11-16T00:00:00"/>
        <d v="2023-09-30T00:00:00"/>
        <d v="2024-01-18T00:00:00"/>
        <d v="2023-12-27T00:00:00"/>
        <d v="2023-10-22T00:00:00"/>
        <d v="2023-09-21T00:00:00"/>
        <d v="2024-03-05T00:00:00"/>
        <d v="2023-12-28T00:00:00"/>
        <d v="2024-03-09T00:00:00"/>
        <d v="2023-09-27T00:00:00"/>
        <d v="2024-02-24T00:00:00"/>
        <d v="2024-01-10T00:00:00"/>
        <d v="2023-07-16T00:00:00"/>
        <d v="2024-01-02T00:00:00"/>
        <d v="2000-08-15T00:00:00"/>
        <d v="2024-01-09T00:00:00"/>
        <d v="2024-02-12T00:00:00"/>
        <d v="2023-11-30T00:00:00"/>
        <d v="2023-12-07T00:00:00"/>
        <d v="2023-11-01T00:00:00"/>
        <d v="2024-03-18T00:00:00"/>
        <d v="2024-01-22T00:00:00"/>
        <d v="2023-08-04T00:00:00"/>
        <d v="2023-11-17T00:00:00"/>
        <d v="2023-09-06T00:00:00"/>
        <d v="2023-08-15T00:00:00"/>
        <d v="2023-09-15T00:00:00"/>
        <d v="2023-08-31T00:00:00"/>
        <d v="2023-09-08T00:00:00"/>
        <d v="2024-03-13T00:00:00"/>
        <s v=" 13/03/2024"/>
        <s v="12/01/2024"/>
        <s v="27/09/2023"/>
        <s v="05/12/2023"/>
        <s v="25/01/2024"/>
        <s v="20/03/2024"/>
        <s v="24/11/2024"/>
        <s v="21/09/2023"/>
        <s v="28/082023"/>
        <s v="10/012/2023"/>
        <s v="24/11/2023"/>
        <s v="18/11/2023"/>
        <s v="18/03/2024"/>
        <s v="22/02/2024"/>
        <s v="10/12/2023"/>
        <s v="31/08/2024"/>
        <s v="22/01/2024"/>
        <s v="18/09/2023"/>
        <s v=" 17/01/2024"/>
        <s v="01/09/2023"/>
        <s v="17/01/2024"/>
        <s v="23/03/2024"/>
        <s v="09/11/2023"/>
        <s v="12/08/2023"/>
        <s v="25/09/2023"/>
        <s v="21/08/2024"/>
        <s v="03/11/2024"/>
        <s v="27/02/2024"/>
        <s v="13/03/2024"/>
        <s v="25/02/2024"/>
        <s v="10/03/2024"/>
        <s v="27/01/2024"/>
        <s v="16/10/2023"/>
        <s v="19/10/2023"/>
        <s v="03/2/08/2023"/>
        <s v="26/04/2024"/>
        <s v="05/10/2024"/>
        <s v="15/03/2024"/>
        <s v="01/01/2024"/>
        <s v="03/09/2023"/>
        <s v="17/08/2023"/>
        <s v="28/08/2024"/>
        <s v="07/03/2024"/>
        <s v="24/03/2024"/>
        <s v="28/11/2023"/>
      </sharedItems>
    </cacheField>
    <cacheField name="Fase do ciclo gravídico" numFmtId="0">
      <sharedItems containsBlank="1" count="13">
        <m/>
        <s v="Pré-natal"/>
        <s v="Trabalho de parto"/>
        <s v="Vinculação a maternidade"/>
        <s v="Inibição da lactação e laqueadura"/>
        <s v="gravidez não confirmada"/>
        <s v="Puerpério"/>
        <s v="Sangramento vaginal pós aborto"/>
        <s v="Aborto"/>
        <s v="Gestação a confirmar "/>
        <s v="Suspeita de gravidez"/>
        <s v="Sangramento vaginal A/E"/>
        <s v="Irregularidade menstrual"/>
      </sharedItems>
    </cacheField>
    <cacheField name="Qual das situações abaixo foi a motivo da procura da gestante " numFmtId="0">
      <sharedItems containsBlank="1" count="311">
        <m/>
        <s v="Pressão alta"/>
        <s v="Cefaléia"/>
        <s v="Corrimento vaginal"/>
        <s v="Alteração de movimentos fetais"/>
        <s v="Sintomas gripais, cefaleia, dor em BV"/>
        <s v="Síndrome gripal (odinofagia, dispneia, febre, mialgia)"/>
        <s v="Síndrome gripal, odinofagia"/>
        <s v="Diarreia"/>
        <s v="Sangramento"/>
        <s v="sintomas gripais ( tosse, coriza, cefaleia)"/>
        <s v="SINTOMAS GRIPAIS "/>
        <s v="SINTOMAS GRIPAIS"/>
        <s v="colicas"/>
        <s v="Dúvida sobre o trabalho de parto"/>
        <s v="Dor pélvica"/>
        <s v="Apresentação córmica/transversa"/>
        <s v="Dúvida sobre via de parto"/>
        <s v="beta HCG reagente "/>
        <s v=" Não tenho sintomas, mas estou com 40 semanas ou mais"/>
        <s v="Eliminação de vermes pelas fezes + sangramento anal espontâneo"/>
        <s v="betaHCG reagente"/>
        <s v="Queixas urinárias"/>
        <s v="Prurido anal, verminose"/>
        <s v="Falta de ar"/>
        <s v="síndrome gripal "/>
        <s v="Dores tipo cólica e contrações."/>
        <s v="Perda de líquido"/>
        <s v="duvidas sobre quando ir para maternidade e sobre continuidade do pré natal"/>
        <s v="cólica"/>
        <s v="Dor de gengiva/ inflamação de gengiva"/>
        <s v="Náuseas e ou vômitos"/>
        <s v="Contrações indolores"/>
        <s v="Síndrome gripal"/>
        <s v="Dor/ inflamação na gengiva"/>
        <s v="Dúvida acerca da USG morfológica"/>
        <s v="Exames laboratoriais alterados: Glicemia; TR/VDRL; Urocultura; Hb; outros)"/>
        <s v="hemorragia ocular"/>
        <s v="Dor tipo cólica e contração na noite passada."/>
        <s v="lesão única na  parte interna da coxa"/>
        <s v="Sufusão hemorrágica em conjuntiva ocular."/>
        <s v="tipagem sanguinea (B-)"/>
        <s v="Gestação prolangada"/>
        <s v="Contrações dolorosas com IG: 35s3d"/>
        <s v="Contrações"/>
        <s v="reação adversa a vacina"/>
        <s v="DESCOBERTA DE GESTAÇÃO INICIAL/ABORTO ANTERIOR"/>
        <s v="Dúvidas relacionadas a gravidez."/>
        <s v="fibroma mole"/>
        <s v="duvidas sobre quando ir para maternidade"/>
        <s v="USG"/>
        <s v="palpitação "/>
        <s v="Contrações de pródromos"/>
        <s v=" ITU + leucorreia, com queixa nova de vomito + diarreia."/>
        <s v="Dores tipo cólica com contrações"/>
        <s v="Dúvidas quanto a USG obstétrica"/>
        <s v="Tosse produtiva"/>
        <s v="Lombalgia"/>
        <s v="Paciente muito ansiosa por medo de perda gestacional"/>
        <s v="Dores em BV + contrações"/>
        <s v="Herpes labial"/>
        <s v="dor em flanco direito - estenose de JUP."/>
        <s v="Contraçoes"/>
        <s v="Epigastralgia "/>
        <s v="Mal estar / desmaio  / hipotensão"/>
        <s v="dor abdominal / epigástrica "/>
        <s v="Reação alérgica à Cefalexina"/>
        <s v="Dor tipo cólica + contrações + sangramento tipo borra"/>
        <s v="Medo de perda gestacional"/>
        <s v="Cefaléia + dor epigástrica"/>
        <s v="Tontura vertigem"/>
        <s v="Epigastralgia"/>
        <s v="Otalgia"/>
        <s v="Sem queixas - Duvidas sobre IG"/>
        <s v="Ansiedade - dúvidas sobre local do PN"/>
        <s v="USG: placenta grau III, feto grande para IG"/>
        <s v="troca de medicamento prescrito para otite (usuária não encontra medicamento para compra)"/>
        <s v="Dor pélvica + sangramento em raio de sangue (1 episódio)"/>
        <s v=" Crise de ansiedade"/>
        <s v="Dor lombar"/>
        <s v="Crise de ansiedade"/>
        <s v="Medica entrou em contato. Quadro de vomitos"/>
        <s v="Dúvida sobre componentes de produto capilar"/>
        <s v="Perda de tampão mucoso e contrações de treinamento"/>
        <s v="Hemorroida "/>
        <s v="Prurido intenso nos pés"/>
        <s v="Dúvida sobre alimentação"/>
        <s v="CONTRAÇÕES"/>
        <s v="Palpitaçao"/>
        <s v="Queda da própria altura"/>
        <s v="queda da própria altura "/>
        <s v="Lesões na pele"/>
        <s v="Não consegue marcar pré natal"/>
        <s v="monitoramento"/>
        <s v="rinite alérgica"/>
        <s v="Dor em BV + vontade de evacuar + sensação de peso na vagina"/>
        <s v="constipação + dor BV"/>
        <s v="dor abd ( regiao umbilical ),+ hiperemia de vulva "/>
        <s v="Dor e edema MIE"/>
        <s v="Dúvida quanto aos sinais do TP"/>
        <s v="Dúvidas sobre LT intraparto e parto humanizado."/>
        <s v="dor ao respirar + dificuldade para respirar"/>
        <s v="Dúvidas com resultado de USG obstétrica."/>
        <s v="Alteração dos níveis de glicemia capilar - HGT."/>
        <s v="prurido intenso no corpo"/>
        <s v="Orientações quanto ao momento para se apresentar à maternidade."/>
        <s v="Cefaleia + náuseas e vômitos"/>
        <s v="cefaleia + nauseas e vomitos"/>
        <s v="Dúvidas quanto ao momento de procurar a maternidade para o parto."/>
        <s v="Dor em BV / abdominal "/>
        <s v="dúvidas USG "/>
        <s v="Dúvida quanto ao resultado da USG obstétrica."/>
        <s v="Desconfortos referentes ao terceiro trimestre."/>
        <s v="Aumento de umidade do canal vaginal."/>
        <s v="Discreto sangramento + diminuição dos movimentos fetais."/>
        <s v="Desconforto pélvico relacionado ao 3º trimestre gestacional."/>
        <s v="duvida na IG "/>
        <s v="Tosse"/>
        <s v="Epigastralgia, azia/queimação"/>
        <s v="contração de treinamento"/>
        <s v="dor de dente"/>
        <s v="Dúvida sobre quando deveria ir à maternidade"/>
        <s v="enjoo"/>
        <s v="Sonolência"/>
        <s v="Dúvida sobre onde iniciar o PN"/>
        <s v="Agendamento de PN"/>
        <s v="Hemorroida"/>
        <s v="Dúvida sobre USG"/>
        <s v="perfil glicêmico alterado "/>
        <s v="azia e refluxo"/>
        <s v="cefaléia + turvação visual"/>
        <s v="Orientações quanto ao momento do parto."/>
        <s v="Contrações e pirose"/>
        <s v="Dor genital"/>
        <s v="Dúvida sobre via de parto (iterativa 2) e laqueadura intraparto"/>
        <s v="Dúvidas quanto aos resultados dos exames solicitados na 1ª consulta."/>
        <s v="cólicas"/>
        <s v="Cansaço físico/indisposição/náusea"/>
        <s v="Febre / Sinais de infecção"/>
        <s v="DIARREIA + MAL ESTAR"/>
        <s v="Acne"/>
        <s v="Desconforto na vagina"/>
        <s v="Mostrar exames e tirar dúvidas sobre o final da gestação"/>
        <s v="Queixas relacionadas a saúde mental"/>
        <s v="CONTRAÇÃO ? + EPIGASTRALGIA"/>
        <s v="Dor aguda em joelho direito."/>
        <s v="gestação confirmada "/>
        <s v="Máculas acastanhadas em mãos, pés e barriga"/>
        <s v="Dúvidas quanto aos sinais de alerta em crise de asma na gestação."/>
        <s v="Dúvidas quanto ao resultado da USG."/>
        <s v="Dúvidas quanto ao trabalho de parto."/>
        <s v="Assintomática // Chegou na DPP"/>
        <s v="Diarreia leve"/>
        <s v="Dúvida sobre uso de cosmético"/>
        <s v="Assintomática. Esta na DPP"/>
        <s v="Contrações de Braxton Hicks"/>
        <s v="Choque elétrico"/>
        <s v="Confirmação de acesso"/>
        <s v="duvida sobre horario da dexametasona"/>
        <s v="Dúvida sobre cosmético"/>
        <s v="Diarreia durante o tratamento para ITU"/>
        <s v="Odontalgia"/>
        <s v="Pápula eritematosa e pruriginosa no abdome"/>
        <s v="Sangramento e cólicas em baixo ventre"/>
        <s v="Via de parto"/>
        <s v="Laqueadura Tubária"/>
        <s v="Dor abdominal + diarreia com sangue"/>
        <s v="Dúvida sobre quando ir à maternidade"/>
        <s v="Chegou na DPP"/>
        <s v="Duvidas sobre quando ir a maternidade 40sem 3 dias"/>
        <s v="Iniciar o pré-natal na APS"/>
        <s v="Covid-19"/>
        <s v="Covid 19"/>
        <s v="Dúvidas quanto a Idade gestacional."/>
        <s v="Pirose"/>
        <s v="Documentação para clexane"/>
        <s v="Dor lombar e MID"/>
        <s v="Inicio do PN"/>
        <s v="Azia e queimação."/>
        <s v="Picada de inseto em MMII"/>
        <s v="Orientações quanto ao momento do parto"/>
        <s v="Diarreia + dor epigastrica + nausea"/>
        <s v="DOR EM PERNA DIREITA"/>
        <s v="Duvida sobre onde marcar ecocardio"/>
        <s v="dor em MID"/>
        <s v="lesão cutânea com prurido"/>
        <s v="Alteração em exame de  USG"/>
        <s v="Lesão em mamilo"/>
        <s v="contrações braxton hicks"/>
        <s v="Desconforto pélvico no 3º trimestre"/>
        <s v="pre natal "/>
        <s v="colicas, gestação nao confirmada "/>
        <s v="suspeita de gestação  "/>
        <s v="Perda de tampão mucoso"/>
        <s v="Perda de tampão mucoso."/>
        <s v="Dúvidas sobre exames e suplementação vitamínica"/>
        <s v="Dúvidas quanto aos sinais de trabalho de parto e parto."/>
        <s v="Desconforto abdominal e secreção vaginal"/>
        <s v="Lombalgia e dor em MMII"/>
        <s v="Prurido"/>
        <s v="Cálculo de idade gestacional"/>
        <s v="Hiperglicemia capilar"/>
        <s v="40s (sic) pela usg 38s2d"/>
        <s v="cefaleia"/>
        <s v="dor no gluteo"/>
        <s v="Duvida sobre quando internar"/>
        <s v="Cefaleia, náuseas e vômitos."/>
        <s v="Medo de complicações por ter engravidado utilizando DIU"/>
        <s v="Náuseas e ou vômitos, cafaleia"/>
        <s v="dor/desconforto gástrico"/>
        <s v="Cólicas e sangramento transvaginal"/>
        <s v="Adontalgia"/>
        <s v="Cólicas e sangramento vaginal"/>
        <s v="constipação"/>
        <s v="Atestado médico"/>
        <s v="duvidas porque perdeu tampao mucoso e nao teve PN "/>
        <s v="Artralgia e mialgia"/>
        <s v="Trabalho de parto"/>
        <s v="GECA "/>
        <s v="Dúvida sobre medicação"/>
        <s v="Odontologia"/>
        <s v="GECA"/>
        <s v="TAMPAO MUCOSO"/>
        <s v="Herpes genital"/>
        <s v="Reagendamento de consulta"/>
        <s v="Rash na barriga"/>
        <s v="duvidas sobre espera do TP"/>
        <s v="cervicalgia "/>
        <s v="Dúvidas quanto ao tempo de gestação e parto, secreção vaginal"/>
        <s v="Dúvida sobre quando deve ir à maternidade"/>
        <s v="Dor muscular"/>
        <s v="Prurido em MMII"/>
        <s v="ARBOVIROSE "/>
        <s v="ARBOVIROSE"/>
        <s v="Varicela"/>
        <s v="Dengue/Arbovirose"/>
        <s v="prurido e lesões no corpo"/>
        <s v="Apresentação pélvica"/>
        <s v="dor em dente"/>
        <s v="Prurido e manchas em pele."/>
        <s v="Dor lombar com irradiação para MMII"/>
        <s v="Planejamento familiar - laqueadura tubária"/>
        <s v="Dúvidas USG"/>
        <s v="Náuseas, Vômitos e Diarreia"/>
        <s v="Corticoterapia para gemelar"/>
        <s v="Lesão de pele"/>
        <s v="Solicitação de reagendamento do PNAR"/>
        <s v="Dúvidas sobre DMG"/>
        <s v="dor na panturrilha"/>
        <s v="Contrações de treinamento"/>
        <s v="Dor precordial"/>
        <s v="duvidas sobre pos datismo"/>
        <s v="Dor em MIE"/>
        <s v="Dúvida sobre idade gestacional"/>
        <s v="Dúvida sobre o diagnóstico de DMG"/>
        <s v="Desejo de iniciar licença maternidade"/>
        <s v="Dúvida sobre DPP e trabalho de parto"/>
        <s v="contrações "/>
        <s v="Efeito adverso à vacinas."/>
        <s v="Perda de líquido e sintomas gripais"/>
        <s v="Perda de líquido / Sintomas Gripais"/>
        <s v="IG avançada sem sinais de TP"/>
        <s v="IG avançada"/>
        <s v="Gravidez indesejada + desejo por abortamento + náuseas"/>
        <s v="contrações uterinas"/>
        <s v="Desconforto abdominal/Gases"/>
        <s v="Nódulos mamários"/>
        <s v="USG risco de pré-eclampsia"/>
        <s v="Suspeita de dengue"/>
        <s v="Diarréia + nauseas"/>
        <s v="estou com 40 semanas"/>
        <s v="Virose com quadro intestinal"/>
        <s v="Odontalgia + cefaléia + otalgia"/>
        <s v="tosse seca"/>
        <s v="Dor abdominal difusa"/>
        <s v="Discreto ardor vulvar."/>
        <s v="ITU + dúvidas quanto ao resultado de exames laboratoriais"/>
        <s v="Dúvida sobre produtos para cabelo"/>
        <s v="Gestação prolongada + HASC "/>
        <s v="Dor no abdome"/>
        <s v="Acesso à consulta de PN"/>
        <s v="Dúvidas sobre trabalho de parto"/>
        <s v="HASC + IG avançada"/>
        <s v="duvida sobre via de parto"/>
        <s v="Sono excessivo"/>
        <s v="Dor muscular em região inframamária esquerda"/>
        <s v="Dor pélvica e secreção vaginal"/>
        <s v="Pressão na pelve"/>
        <s v="Dor pélvica + secreção vaginal"/>
        <s v="cólicas gastrointestinais "/>
        <s v="Dor em flanco direito "/>
        <s v="Perda de tampão mucoso/ cerclagem"/>
        <s v="Solicitação de mediação para agendamento PNAR."/>
        <s v="Sem acompanhamento pré natal"/>
        <s v="Contações"/>
        <s v="sem acompanhamento de pré-natal"/>
        <s v="dor em flanco direito"/>
        <s v="duvidas quanto ao trabalho de parto (40s)"/>
        <s v="tampão mucoso"/>
        <s v="edema no local da injeção (benzetacil)"/>
        <s v="Ansiedade sobre momento do parto/ internamento"/>
        <s v="Solicitação de mediação PNAR / perda de líquido"/>
        <s v="Foliculite"/>
        <s v="Foliculite?"/>
        <s v="Sintomas respiratórios"/>
        <s v="Desconforto pélvico e lombar"/>
        <s v="Diarréia "/>
        <s v="USG alterada 8s4d sem AC"/>
        <s v="Pródromos de trabalho de parto"/>
        <s v="QUANDO PROCURAR A MATERNIDADE  (GUTT+ DMG)"/>
        <s v="Dúvida de quando ir para maternidade"/>
      </sharedItems>
    </cacheField>
    <cacheField name="Qual o motivo da consulta " numFmtId="0">
      <sharedItems containsBlank="1" count="15">
        <m/>
        <s v="Falso trabalho de parto/ Contraçao de treinamento"/>
        <s v="Trabalho de parto com pródromos"/>
        <s v="Dúvida acerca de quando deveria ir à maternidade"/>
        <s v="BR?"/>
        <s v="Trabalho de parto fase ativa"/>
        <s v="Trabalho de parto prematuro"/>
        <s v="41 simanas "/>
        <s v="41semanas"/>
        <s v="Contração "/>
        <s v="Pós-datismo"/>
        <s v="Contrações de Braxton Hicks "/>
        <s v="Contrações de Braxton Hicks"/>
        <s v="Indução de tp por idade gestacional"/>
        <s v="prodromos"/>
      </sharedItems>
    </cacheField>
    <cacheField name="Qual o motivo da procura pelo atende gestante? " numFmtId="0">
      <sharedItems containsBlank="1" count="35">
        <m/>
        <s v="Consulta puerperal"/>
        <s v="sindrome gripal"/>
        <s v="Secreção em ferida operatória"/>
        <s v="Cuidados/ retirada de pontos"/>
        <s v="Drenagem de secreção seropurulenta em FO"/>
        <s v="Infecção de FO"/>
        <s v="Planejamento Familiar/Cuidados pós aborto"/>
        <s v="corrimento vaginal"/>
        <s v="Doença hemorroidária no puerpério."/>
        <s v="Queixas relacionadas à amamentação"/>
        <s v="Hemorroida "/>
        <s v="cefaleia"/>
        <s v="FO com secreção serosanguinolenta"/>
        <s v="Rafia de laceração com ardência e prurido"/>
        <s v="Exsudato em FO"/>
        <s v="secreção em FO"/>
        <s v="Dor em região sacral."/>
        <s v="Dificuldade na aceitação da perda gestacional."/>
        <s v="Exames no puerpério: HAS/DHEG, DMG/DM"/>
        <s v="Sangramento vaginal persistente após um aborto espontâneo"/>
        <s v="Cuidados com a(o) bebê"/>
        <s v="Sintomas gripais"/>
        <s v="Dúvidas quanto ao seu estado de saúde."/>
        <s v="dor epigastrica"/>
        <s v="Desconforto abdominal"/>
        <s v="Dispneia, disúria"/>
        <s v="corrimento vaginal mais sangramento discreto"/>
        <s v="dor em região de FO + disúria + tristeza puerperal (sugestivo de baby blues)+ dúvidas sobre os lóquios"/>
        <s v="Dor na F.O"/>
        <s v="Cefaleia + PA = 140 x 100"/>
        <s v="cefaleia + HAS"/>
        <s v="Dor e distensão abdominal"/>
        <s v="Desconforto abdominal "/>
        <s v="dor em MMII"/>
      </sharedItems>
    </cacheField>
    <cacheField name="Tipo de atendimento realizado" numFmtId="0">
      <sharedItems containsBlank="1" count="4">
        <m/>
        <s v="Teleconsulta"/>
        <s v="Teletriagem"/>
        <s v="Telemonitoramento"/>
      </sharedItems>
    </cacheField>
    <cacheField name="Neste momento, foi necessário converter para o atendimento presencial?" numFmtId="0">
      <sharedItems containsBlank="1" count="8">
        <m/>
        <s v="NÃO"/>
        <s v="SIM: Urgência/ emergência"/>
        <s v="SIM: Inadequação do ambiente virtual (ampliação do exame físico/ anamnese)"/>
        <s v="NÃO: Já está na maternidade"/>
        <s v="NÃO: Já está na USF"/>
        <s v="SIM: Problemas de identificação"/>
        <s v="SIM: Dificuldades técnicas e/ou de comunicação"/>
      </sharedItems>
    </cacheField>
    <cacheField name="Foi necessário encaminhamento para outro serviço?" numFmtId="0">
      <sharedItems containsBlank="1" count="6">
        <m/>
        <s v="NÃO"/>
        <s v="SIM, para Atenção Primária em Saúde"/>
        <s v="SIM, para Maternidade"/>
        <s v="SIM, situação não relacionada ao período gravídico-puerperal"/>
        <s v="SIM, para o SAMU"/>
      </sharedItems>
    </cacheField>
    <cacheField name="A condição gerou oferta de teleinterconsulta?" numFmtId="0">
      <sharedItems containsBlank="1" count="4">
        <m/>
        <s v="SIM"/>
        <s v="NÃO"/>
        <s v=" "/>
      </sharedItems>
    </cacheField>
    <cacheField name="Gestante já vinculada à APS?" numFmtId="0">
      <sharedItems containsBlank="1" count="3">
        <m/>
        <s v="SIM"/>
        <s v="NÃO"/>
      </sharedItems>
    </cacheField>
    <cacheField name="Gestante já vinculada à maternidade?" numFmtId="0">
      <sharedItems containsBlank="1" count="4">
        <m/>
        <s v="NÃO"/>
        <s v="SIM"/>
        <s v="Não questionado"/>
      </sharedItems>
    </cacheField>
    <cacheField name="Encaminhado para outro profissional do Telessaúde?" numFmtId="0">
      <sharedItems containsBlank="1" count="6">
        <m/>
        <s v="NÃO"/>
        <s v="SIM"/>
        <s v="SIM, Médica ou Enfermeira"/>
        <s v="SIM, Nutricionista"/>
        <s v="SIM, Apoio Emocional"/>
      </sharedItems>
    </cacheField>
    <cacheField name="Realizar telemonitoramento?" numFmtId="0">
      <sharedItems containsBlank="1" count="3">
        <m/>
        <s v="SIM"/>
        <s v="NÃO"/>
      </sharedItems>
    </cacheField>
    <cacheField name="Qual a data para realizar o telemonitoramento?" numFmtId="0">
      <sharedItems containsString="0" containsBlank="1" containsNonDate="0" containsDate="1" minDate="2022-06-27T00:00:00" maxDate="2024-06-07T00:00:00" count="362">
        <m/>
        <d v="2022-11-10T00:00:00"/>
        <d v="2022-12-01T00:00:00"/>
        <d v="2022-12-15T00:00:00"/>
        <d v="2023-01-02T00:00:00"/>
        <d v="2023-01-03T00:00:00"/>
        <d v="2023-01-11T00:00:00"/>
        <d v="2023-01-16T00:00:00"/>
        <d v="2023-01-25T00:00:00"/>
        <d v="2023-01-26T00:00:00"/>
        <d v="2023-01-27T00:00:00"/>
        <d v="2023-03-17T00:00:00"/>
        <d v="2023-03-20T00:00:00"/>
        <d v="2023-03-21T00:00:00"/>
        <d v="2023-04-07T00:00:00"/>
        <d v="2023-04-20T00:00:00"/>
        <d v="2023-04-24T00:00:00"/>
        <d v="2023-05-03T00:00:00"/>
        <d v="2023-05-04T00:00:00"/>
        <d v="2023-05-08T00:00:00"/>
        <d v="2023-05-11T00:00:00"/>
        <d v="2023-05-09T00:00:00"/>
        <d v="2023-05-22T00:00:00"/>
        <d v="2023-05-31T00:00:00"/>
        <d v="2023-06-01T00:00:00"/>
        <d v="2023-05-01T00:00:00"/>
        <d v="2023-06-02T00:00:00"/>
        <d v="2023-06-03T00:00:00"/>
        <d v="2023-06-07T00:00:00"/>
        <d v="2023-06-04T00:00:00"/>
        <d v="2023-06-05T00:00:00"/>
        <d v="2023-06-06T00:00:00"/>
        <d v="2023-06-08T00:00:00"/>
        <d v="2023-06-09T00:00:00"/>
        <d v="2023-06-14T00:00:00"/>
        <d v="2023-06-10T00:00:00"/>
        <d v="2023-06-12T00:00:00"/>
        <d v="2023-06-11T00:00:00"/>
        <d v="2023-06-16T00:00:00"/>
        <d v="2023-06-13T00:00:00"/>
        <d v="2023-06-27T00:00:00"/>
        <d v="2023-06-15T00:00:00"/>
        <d v="2023-06-17T00:00:00"/>
        <d v="2023-06-30T00:00:00"/>
        <d v="2023-06-18T00:00:00"/>
        <d v="2023-06-19T00:00:00"/>
        <d v="2023-06-21T00:00:00"/>
        <d v="2023-06-20T00:00:00"/>
        <d v="2023-06-22T00:00:00"/>
        <d v="2023-06-23T00:00:00"/>
        <d v="2023-06-26T00:00:00"/>
        <d v="2023-06-25T00:00:00"/>
        <d v="2023-06-28T00:00:00"/>
        <d v="2022-06-27T00:00:00"/>
        <d v="2023-07-01T00:00:00"/>
        <d v="2023-06-29T00:00:00"/>
        <d v="2023-07-04T00:00:00"/>
        <d v="2023-07-02T00:00:00"/>
        <d v="2023-07-03T00:00:00"/>
        <d v="2023-07-05T00:00:00"/>
        <d v="2023-07-06T00:00:00"/>
        <d v="2023-07-07T00:00:00"/>
        <d v="2023-07-09T00:00:00"/>
        <d v="2023-07-08T00:00:00"/>
        <d v="2023-07-12T00:00:00"/>
        <d v="2023-07-11T00:00:00"/>
        <d v="2023-07-13T00:00:00"/>
        <d v="2023-07-14T00:00:00"/>
        <d v="2023-07-17T00:00:00"/>
        <d v="2023-07-15T00:00:00"/>
        <d v="2023-07-21T00:00:00"/>
        <d v="2023-07-16T00:00:00"/>
        <d v="2023-07-18T00:00:00"/>
        <d v="2023-07-19T00:00:00"/>
        <d v="2023-07-20T00:00:00"/>
        <d v="2023-07-22T00:00:00"/>
        <d v="2023-07-23T00:00:00"/>
        <d v="2023-07-26T00:00:00"/>
        <d v="2023-07-27T00:00:00"/>
        <d v="2023-08-03T00:00:00"/>
        <d v="2023-07-29T00:00:00"/>
        <d v="2023-07-30T00:00:00"/>
        <d v="2023-07-31T00:00:00"/>
        <d v="2023-08-01T00:00:00"/>
        <d v="2023-08-02T00:00:00"/>
        <d v="2023-08-04T00:00:00"/>
        <d v="2023-08-06T00:00:00"/>
        <d v="2023-08-05T00:00:00"/>
        <d v="2023-08-08T00:00:00"/>
        <d v="2023-08-07T00:00:00"/>
        <d v="2023-08-17T00:00:00"/>
        <d v="2023-08-09T00:00:00"/>
        <d v="2023-08-11T00:00:00"/>
        <d v="2023-08-12T00:00:00"/>
        <d v="2023-08-13T00:00:00"/>
        <d v="2023-08-14T00:00:00"/>
        <d v="2023-08-15T00:00:00"/>
        <d v="2023-08-18T00:00:00"/>
        <d v="2023-08-19T00:00:00"/>
        <d v="2023-08-22T00:00:00"/>
        <d v="2023-08-20T00:00:00"/>
        <d v="2023-08-21T00:00:00"/>
        <d v="2023-08-23T00:00:00"/>
        <d v="2023-08-24T00:00:00"/>
        <d v="2023-08-25T00:00:00"/>
        <d v="2023-08-26T00:00:00"/>
        <d v="2023-08-29T00:00:00"/>
        <d v="2023-08-30T00:00:00"/>
        <d v="2023-08-31T00:00:00"/>
        <d v="2023-09-01T00:00:00"/>
        <d v="2023-09-03T00:00:00"/>
        <d v="2023-09-02T00:00:00"/>
        <d v="2023-09-04T00:00:00"/>
        <d v="2023-09-05T00:00:00"/>
        <d v="2023-09-08T00:00:00"/>
        <d v="2023-09-10T00:00:00"/>
        <d v="2023-09-11T00:00:00"/>
        <d v="2023-09-13T00:00:00"/>
        <d v="2023-09-12T00:00:00"/>
        <d v="2023-09-14T00:00:00"/>
        <d v="2023-09-16T00:00:00"/>
        <d v="2023-09-15T00:00:00"/>
        <d v="2023-09-18T00:00:00"/>
        <d v="2023-09-17T00:00:00"/>
        <d v="2023-09-19T00:00:00"/>
        <d v="2023-09-21T00:00:00"/>
        <d v="2023-09-23T00:00:00"/>
        <d v="2023-09-22T00:00:00"/>
        <d v="2023-09-24T00:00:00"/>
        <d v="2023-09-25T00:00:00"/>
        <d v="2023-09-26T00:00:00"/>
        <d v="2023-09-28T00:00:00"/>
        <d v="2023-09-29T00:00:00"/>
        <d v="2023-10-01T00:00:00"/>
        <d v="2023-10-03T00:00:00"/>
        <d v="2023-03-05T00:00:00"/>
        <d v="2023-10-05T00:00:00"/>
        <d v="2023-10-04T00:00:00"/>
        <d v="2023-10-06T00:00:00"/>
        <d v="2023-10-07T00:00:00"/>
        <d v="2023-10-10T00:00:00"/>
        <d v="2023-10-09T00:00:00"/>
        <d v="2023-10-12T00:00:00"/>
        <d v="2023-10-11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8T00:00:00"/>
        <d v="2023-10-27T00:00:00"/>
        <d v="2023-10-30T00:00:00"/>
        <d v="2023-10-31T00:00:00"/>
        <d v="2023-11-01T00:00:00"/>
        <d v="2023-11-02T00:00:00"/>
        <d v="2023-11-03T00:00:00"/>
        <d v="2023-11-04T00:00:00"/>
        <d v="2023-11-05T00:00:00"/>
        <d v="2023-11-06T00:00:00"/>
        <d v="2023-11-07T00:00:00"/>
        <d v="2023-11-08T00:00:00"/>
        <d v="2023-11-09T00:00:00"/>
        <d v="2023-11-10T00:00:00"/>
        <d v="2023-11-11T00:00:00"/>
        <d v="2023-11-14T00:00:00"/>
        <d v="2023-11-15T00:00:00"/>
        <d v="2023-11-16T00:00:00"/>
        <d v="2023-11-17T00:00:00"/>
        <d v="2023-11-18T00:00:00"/>
        <d v="2023-11-19T00:00:00"/>
        <d v="2023-11-21T00:00:00"/>
        <d v="2023-11-23T00:00:00"/>
        <d v="2023-11-22T00:00:00"/>
        <d v="2023-11-24T00:00:00"/>
        <d v="2023-11-25T00:00:00"/>
        <d v="2023-11-27T00:00:00"/>
        <d v="2023-11-26T00:00:00"/>
        <d v="2023-11-28T00:00:00"/>
        <d v="2023-11-29T00:00:00"/>
        <d v="2023-11-30T00:00:00"/>
        <d v="2023-12-01T00:00:00"/>
        <d v="2023-12-02T00:00:00"/>
        <d v="2023-12-03T00:00:00"/>
        <d v="2023-12-05T00:00:00"/>
        <d v="2023-12-04T00:00:00"/>
        <d v="2023-12-06T00:00:00"/>
        <d v="2023-12-07T00:00:00"/>
        <d v="2023-12-08T00:00:00"/>
        <d v="2023-12-09T00:00:00"/>
        <d v="2023-12-10T00:00:00"/>
        <d v="2023-12-12T00:00:00"/>
        <d v="2023-12-11T00:00:00"/>
        <d v="2023-12-15T00:00:00"/>
        <d v="2023-12-13T00:00:00"/>
        <d v="2023-12-14T00:00:00"/>
        <d v="2023-12-16T00:00:00"/>
        <d v="2023-12-17T00:00:00"/>
        <d v="2023-12-18T00:00:00"/>
        <d v="2024-01-01T00:00:00"/>
        <d v="2023-12-19T00:00:00"/>
        <d v="2023-12-20T00:00:00"/>
        <d v="2023-12-22T00:00:00"/>
        <d v="2023-12-21T00:00:00"/>
        <d v="2023-12-29T00:00:00"/>
        <d v="2023-12-23T00:00:00"/>
        <d v="2023-12-26T00:00:00"/>
        <d v="2023-12-27T00:00:00"/>
        <d v="2023-12-28T00:00:00"/>
        <d v="2023-12-30T00:00:00"/>
        <d v="2023-12-31T00:00:00"/>
        <d v="2024-01-02T00:00:00"/>
        <d v="2024-01-03T00:00:00"/>
        <d v="2024-01-04T00:00:00"/>
        <d v="2024-01-05T00:00:00"/>
        <d v="2024-01-06T00:00:00"/>
        <d v="2024-01-09T00:00:00"/>
        <d v="2024-01-07T00:00:00"/>
        <d v="2024-01-10T00:00:00"/>
        <d v="2024-01-11T00:00:00"/>
        <d v="2024-01-12T00:00:00"/>
        <d v="2024-01-13T00:00:00"/>
        <d v="2024-01-14T00:00:00"/>
        <d v="2024-01-15T00:00:00"/>
        <d v="2024-01-17T00:00:00"/>
        <d v="2024-01-24T00:00:00"/>
        <d v="2024-01-31T00:00:00"/>
        <d v="2024-01-18T00:00:00"/>
        <d v="2024-01-19T00:00:00"/>
        <d v="2024-01-22T00:00:00"/>
        <d v="2024-01-20T00:00:00"/>
        <d v="2024-01-23T00:00:00"/>
        <d v="2024-01-25T00:00:00"/>
        <d v="2024-01-27T00:00:00"/>
        <d v="2024-01-28T00:00:00"/>
        <d v="2024-01-30T00:00:00"/>
        <d v="2024-02-01T00:00:00"/>
        <d v="2024-02-02T00:00:00"/>
        <d v="2024-02-03T00:00:00"/>
        <d v="2024-02-05T00:00:00"/>
        <d v="2024-02-07T00:00:00"/>
        <d v="2024-02-08T00:00:00"/>
        <d v="2024-02-10T00:00:00"/>
        <d v="2024-02-09T00:00:00"/>
        <d v="2024-02-11T00:00:00"/>
        <d v="2024-02-12T00:00:00"/>
        <d v="2024-02-13T00:00:00"/>
        <d v="2024-02-14T00:00:00"/>
        <d v="2024-02-15T00:00:00"/>
        <d v="2024-02-16T00:00:00"/>
        <d v="2024-02-17T00:00:00"/>
        <d v="2024-02-18T00:00:00"/>
        <d v="2024-02-19T00:00:00"/>
        <d v="2024-02-20T00:00:00"/>
        <d v="2024-02-21T00:00:00"/>
        <d v="2024-02-22T00:00:00"/>
        <d v="2024-03-02T00:00:00"/>
        <d v="2024-02-25T00:00:00"/>
        <d v="2024-02-23T00:00:00"/>
        <d v="2024-02-24T00:00:00"/>
        <d v="2024-02-26T00:00:00"/>
        <d v="2024-03-01T00:00:00"/>
        <d v="2024-02-27T00:00:00"/>
        <d v="2024-02-29T00:00:00"/>
        <d v="2024-03-03T00:00:00"/>
        <d v="2024-03-04T00:00:00"/>
        <d v="2024-03-05T00:00:00"/>
        <d v="2024-03-09T00:00:00"/>
        <d v="2024-03-06T00:00:00"/>
        <d v="2024-03-07T00:00:00"/>
        <d v="2024-03-10T00:00:00"/>
        <d v="2024-03-08T00:00:00"/>
        <d v="2024-03-19T00:00:00"/>
        <d v="2024-03-11T00:00:00"/>
        <d v="2024-03-13T00:00:00"/>
        <d v="2024-03-12T00:00:00"/>
        <d v="2024-03-15T00:00:00"/>
        <d v="2024-03-14T00:00:00"/>
        <d v="2024-03-16T00:00:00"/>
        <d v="2024-03-17T00:00:00"/>
        <d v="2024-03-21T00:00:00"/>
        <d v="2024-03-20T00:00:00"/>
        <d v="2024-03-27T00:00:00"/>
        <d v="2024-03-22T00:00:00"/>
        <d v="2024-03-23T00:00:00"/>
        <d v="2024-03-24T00:00:00"/>
        <d v="2024-03-25T00:00:00"/>
        <d v="2024-03-26T00:00:00"/>
        <d v="2024-03-28T00:00:00"/>
        <d v="2024-03-29T00:00:00"/>
        <d v="2024-04-01T00:00:00"/>
        <d v="2024-03-30T00:00:00"/>
        <d v="2024-03-31T00:00:00"/>
        <d v="2024-04-02T00:00:00"/>
        <d v="2024-04-04T00:00:00"/>
        <d v="2024-04-05T00:00:00"/>
        <d v="2024-04-06T00:00:00"/>
        <d v="2024-04-12T00:00:00"/>
        <d v="2024-04-08T00:00:00"/>
        <d v="2024-04-10T00:00:00"/>
        <d v="2024-04-19T00:00:00"/>
        <d v="2024-04-09T00:00:00"/>
        <d v="2024-04-11T00:00:00"/>
        <d v="2024-04-13T00:00:00"/>
        <d v="2024-04-14T00:00:00"/>
        <d v="2024-04-15T00:00:00"/>
        <d v="2024-04-16T00:00:00"/>
        <d v="2024-04-17T00:00:00"/>
        <d v="2024-04-18T00:00:00"/>
        <d v="2024-04-20T00:00:00"/>
        <d v="2024-04-22T00:00:00"/>
        <d v="2024-04-21T00:00:00"/>
        <d v="2024-04-23T00:00:00"/>
        <d v="2024-04-24T00:00:00"/>
        <d v="2024-04-25T00:00:00"/>
        <d v="2024-04-26T00:00:00"/>
        <d v="2024-04-27T00:00:00"/>
        <d v="2024-04-29T00:00:00"/>
        <d v="2024-04-28T00:00:00"/>
        <d v="2024-05-02T00:00:00"/>
        <d v="2024-05-03T00:00:00"/>
        <d v="2024-05-04T00:00:00"/>
        <d v="2024-05-05T00:00:00"/>
        <d v="2024-05-06T00:00:00"/>
        <d v="2024-05-15T00:00:00"/>
        <d v="2024-05-07T00:00:00"/>
        <d v="2024-05-16T00:00:00"/>
        <d v="2024-05-08T00:00:00"/>
        <d v="2024-05-09T00:00:00"/>
        <d v="2024-05-10T00:00:00"/>
        <d v="2024-05-13T00:00:00"/>
        <d v="2024-05-12T00:00:00"/>
        <d v="2024-05-14T00:00:00"/>
        <d v="2024-05-21T00:00:00"/>
        <d v="2024-05-17T00:00:00"/>
        <d v="2024-05-18T00:00:00"/>
        <d v="2024-05-20T00:00:00"/>
        <d v="2024-05-19T00:00:00"/>
        <d v="2024-05-22T00:00:00"/>
        <d v="2024-05-24T00:00:00"/>
        <d v="2024-05-23T00:00:00"/>
        <d v="2024-05-27T00:00:00"/>
        <d v="2024-05-25T00:00:00"/>
        <d v="2024-05-26T00:00:00"/>
        <d v="2024-05-28T00:00:00"/>
        <d v="2024-05-29T00:00:00"/>
        <d v="2024-05-31T00:00:00"/>
        <d v="2024-05-30T00:00:00"/>
        <d v="2024-06-03T00:00:00"/>
        <d v="2024-06-02T00:00:00"/>
        <d v="2024-06-05T00:00:00"/>
        <d v="2024-06-06T00:00:00"/>
        <d v="2024-06-04T00:00:00"/>
        <d v="2024-06-07T00:00:00"/>
      </sharedItems>
    </cacheField>
    <cacheField name="O atendimento foi realizado por:" numFmtId="0">
      <sharedItems containsBlank="1" count="4">
        <m/>
        <s v="Videochamada"/>
        <s v="Telefone"/>
        <s v="HopChat"/>
      </sharedItems>
    </cacheField>
    <cacheField name="Selecione o tipo de demanda" numFmtId="0">
      <sharedItems containsBlank="1" count="8">
        <m/>
        <s v="Dentro do horário da USF (segunda a sexta das 8h às 17h)"/>
        <s v="Demanda noturna durante dias de semana (das 19h às 7h)"/>
        <s v="Não se aplica"/>
        <s v="Demanda noturna em dias do final de semana ou feriado/ ponto facultativo"/>
        <s v="Fora do horário da USF mas de segunda a sexta das 7h-8h ou 17h às 19h"/>
        <s v="Fora do horário da USF (finais de semana ou feriado/ponto facultativo 07 as 19h)"/>
        <s v="Demanda Noturna (segunda a sexta das 19h às 07h)"/>
      </sharedItems>
    </cacheField>
    <cacheField name="Motivo de busca por atendimento no Atende Gestante" numFmtId="0">
      <sharedItems containsBlank="1" count="14">
        <m/>
        <s v="Ausência de profissional assistente na sua unidade de saúde"/>
        <s v="Por escolha da usuária"/>
        <s v="Fora do dia ou horário de funcionamento da sua unidade de saúde"/>
        <s v="Não se aplica"/>
        <s v="Não conseguiu atendimento na sua unidade de saúde"/>
        <s v="Profissional da unidade entrou em contato no momento da consulta de PN "/>
        <s v="Gestante iniciou PN Sanharó, depois mudou-se para Recife e continuou o acompanhamento. Há menos de 1 mês mudou-se para Olinda. Unidade realiza busca ativa dia 31/05 no endereço de Olinda e não encontra paciente."/>
        <s v="Atendida na unidade por enfermeira, mas não conseguiu tirar duvidas e resolver questoes relacionas a PA"/>
        <s v="Alta do PN"/>
        <s v="paciente estava no CAPS "/>
        <s v="Gestante atendida pelo plano de saúde SASSEPE, teve dificuldade de realizar exame de USG renal e entra em contato para pedir ajuda a rede municipal. Refere que tem estenose de JUP."/>
        <s v="Já tinha sido atendida anteriormente e orientada a retornar com resultado do exame de urina."/>
        <s v="TINC - Atendimento compartilhado"/>
      </sharedItems>
    </cacheField>
    <cacheField name="Número WhatsApp" numFmtId="0">
      <sharedItems containsBlank="1" containsNumber="1" containsInteger="1" containsMixedTypes="1" count="743">
        <m/>
        <n v="81985937671"/>
        <n v="81984696256"/>
        <n v="81996295001"/>
        <n v="81984531903"/>
        <n v="81985904153"/>
        <n v="81985880259"/>
        <n v="81999032761"/>
        <n v="81998028449"/>
        <n v="81994615795"/>
        <n v="81985708726"/>
        <n v="81996721255"/>
        <n v="81986310755"/>
        <n v="81983652242"/>
        <n v="81984558250"/>
        <n v="81992693254"/>
        <n v="81988890611"/>
        <n v="81982403574"/>
        <n v="81999760929"/>
        <n v="81988225700"/>
        <n v="81988872899"/>
        <n v="81988510579"/>
        <n v="81997477925"/>
        <n v="81999948085"/>
        <n v="81997216279"/>
        <n v="81983231984"/>
        <n v="81989143627"/>
        <n v="81985247497"/>
        <n v="81992191649"/>
        <n v="81996790643"/>
        <n v="81998415931"/>
        <n v="81986167867"/>
        <n v="81999126856"/>
        <n v="81986628161"/>
        <n v="81997646410"/>
        <n v="81985120818"/>
        <n v="81984643831"/>
        <n v="81984182678"/>
        <n v="81985052920"/>
        <n v="81983454381"/>
        <n v="87991887250"/>
        <n v="81984639958"/>
        <n v="81996713494"/>
        <n v="81982131914"/>
        <n v="81991976460"/>
        <n v="81986584843"/>
        <n v="81988985623"/>
        <n v="81985301931"/>
        <n v="81985193432"/>
        <n v="81996189614"/>
        <n v="81996333421"/>
        <n v="81999556709"/>
        <n v="81987031353"/>
        <n v="81988169461"/>
        <n v="81989075471"/>
        <n v="81987252750"/>
        <n v="81986669422"/>
        <n v="81988153975"/>
        <n v="81986207791"/>
        <n v="81987631286"/>
        <n v="81984211746"/>
        <n v="81984663804"/>
        <n v="81996444977"/>
        <n v="81985559317"/>
        <n v="81999669664"/>
        <n v="81983140313"/>
        <n v="81988117095"/>
        <n v="81996695691"/>
        <n v="81984481237"/>
        <n v="81986266856"/>
        <n v="81994040588"/>
        <n v="81987794735"/>
        <n v="81997948392"/>
        <n v="81984510881"/>
        <n v="81993362529"/>
        <n v="81995339781"/>
        <n v="81984049541"/>
        <n v="81996378666"/>
        <n v="81991724644"/>
        <n v="81983900304"/>
        <n v="81979150436"/>
        <n v="81999475931"/>
        <n v="81995176967"/>
        <n v="81999504585"/>
        <n v="81984527273"/>
        <n v="81997022233"/>
        <n v="81999540010"/>
        <n v="81986798920"/>
        <n v="81984615045"/>
        <n v="81996549887"/>
        <n v="81998770517"/>
        <n v="81996504653"/>
        <n v="81982102916"/>
        <n v="81996288296"/>
        <n v="81995179608"/>
        <n v="81994539085"/>
        <n v="81985538117"/>
        <n v="81994710465"/>
        <n v="81988553405"/>
        <n v="81999436287"/>
        <n v="81997627361"/>
        <n v="81984720957"/>
        <n v="81984833707"/>
        <n v="81985169878"/>
        <n v="81996052492"/>
        <n v="81995262490"/>
        <n v="81983970546"/>
        <n v="81986952337"/>
        <n v="81985617248"/>
        <n v="81996039055"/>
        <n v="81985425213"/>
        <n v="81985923299"/>
        <s v="8133554385"/>
        <n v="81981876632"/>
        <n v="81988435598"/>
        <n v="81991424620"/>
        <n v="81992150020"/>
        <n v="81985732569"/>
        <n v="81984462332"/>
        <n v="81996867828"/>
        <n v="81991919379"/>
        <n v="81999860751"/>
        <n v="81995318520"/>
        <n v="81986345052"/>
        <n v="81996703831"/>
        <n v="81992198298"/>
        <n v="81986721162"/>
        <n v="81985913215"/>
        <n v="81988730807"/>
        <n v="81983491216"/>
        <n v="81985309631"/>
        <n v="81999137506"/>
        <n v="81996176992"/>
        <n v="81985750512"/>
        <n v="81985451877"/>
        <n v="81993617490"/>
        <n v="81986368212"/>
        <n v="81996343446"/>
        <n v="81992444731"/>
        <n v="81996851239"/>
        <n v="81991067896"/>
        <n v="81996372273"/>
        <n v="81981490872"/>
        <n v="81993617459"/>
        <n v="81987349723"/>
        <n v="81988246857"/>
        <n v="81986896245"/>
        <n v="81988220808"/>
        <n v="81996831837"/>
        <n v="81991022399"/>
        <n v="81984367066"/>
        <n v="81998373388"/>
        <n v="81986766525"/>
        <n v="81987465625"/>
        <n v="81997727560"/>
        <n v="81996042108"/>
        <n v="81991663102"/>
        <n v="81987103480"/>
        <n v="81999943590"/>
        <n v="81988866907"/>
        <n v="81996199221"/>
        <n v="81986747671"/>
        <n v="81984526517"/>
        <n v="81983709670"/>
        <n v="81997643142"/>
        <n v="81997613230"/>
        <n v="81985969925"/>
        <n v="81997532155"/>
        <n v="81997557343"/>
        <n v="81986973090"/>
        <n v="81984460956"/>
        <n v="81986325570"/>
        <n v="81999881564"/>
        <n v="81988660392"/>
        <n v="81997301098"/>
        <n v="81985560728"/>
        <n v="81988254664"/>
        <n v="81986488134"/>
        <n v="81994314903"/>
        <n v="81991778012"/>
        <n v="81983588962"/>
        <n v="81994880109"/>
        <n v="81999835531"/>
        <n v="81998947901"/>
        <n v="81999301993"/>
        <n v="81986020267"/>
        <n v="81985753916"/>
        <n v="81983228290"/>
        <n v="81982295697"/>
        <n v="81987398270"/>
        <n v="81993878001"/>
        <n v="81998490815"/>
        <n v="81996242115"/>
        <n v="81975060868"/>
        <n v="81973386673"/>
        <n v="81999658496"/>
        <n v="81986055473"/>
        <n v="81988766963"/>
        <n v="81999798361"/>
        <n v="81995082136"/>
        <n v="81974019897"/>
        <n v="81994811870"/>
        <n v="81993804960"/>
        <n v="81997035691"/>
        <n v="81991264656"/>
        <n v="81985181388"/>
        <n v="81988242621"/>
        <n v="81985342963"/>
        <n v="81982083500"/>
        <n v="81988582823"/>
        <n v="81994743066"/>
        <n v="81983077317"/>
        <n v="81996584017"/>
        <n v="81985721704"/>
        <n v="81988560009"/>
        <n v="81999786121"/>
        <n v="81992145270"/>
        <n v="81984575102"/>
        <n v="81989194686"/>
        <n v="81988672345"/>
        <n v="81987995475"/>
        <n v="81999955454"/>
        <n v="81983559065"/>
        <n v="81996571827"/>
        <n v="81987607191"/>
        <n v="81988246464"/>
        <n v="81999941587"/>
        <n v="81983841615"/>
        <n v="81992664814"/>
        <n v="81984642088"/>
        <n v="81986970720"/>
        <n v="81996405105"/>
        <n v="81986705885"/>
        <n v="81984236474"/>
        <n v="81984521902"/>
        <n v="81983355218"/>
        <n v="81985165366"/>
        <n v="81986133597"/>
        <n v="81999117266"/>
        <n v="81991811812"/>
        <n v="81991217233"/>
        <n v="81999649609"/>
        <n v="81985342482"/>
        <n v="81973038779"/>
        <n v="81986886770"/>
        <n v="81983101483"/>
        <n v="81985020601"/>
        <n v="81973474541"/>
        <n v="81993269683"/>
        <n v="81998266252"/>
        <n v="81984141514"/>
        <n v="81987746732"/>
        <n v="81984274659"/>
        <n v="81985363028"/>
        <n v="81999243842"/>
        <n v="81985581268"/>
        <n v="81999265625"/>
        <n v="81996276565"/>
        <n v="81995236094"/>
        <n v="81979127456"/>
        <n v="81987536216"/>
        <n v="81998853817"/>
        <n v="81995693385"/>
        <n v="81984598026"/>
        <n v="81988260702"/>
        <n v="81999026819"/>
        <n v="81992204106"/>
        <n v="81999157370"/>
        <n v="81984415787"/>
        <n v="81988868881"/>
        <n v="81999378131"/>
        <n v="81984367688"/>
        <n v="81988544578"/>
        <n v="81995927325"/>
        <n v="81986675694"/>
        <n v="81996712934"/>
        <n v="81987256827"/>
        <n v="81988742971"/>
        <n v="81973464375"/>
        <n v="81985302814"/>
        <n v="81992190712"/>
        <n v="81985136319"/>
        <n v="81996982103"/>
        <n v="81987431933"/>
        <n v="81995473141"/>
        <n v="81986507692"/>
        <n v="81997441291"/>
        <n v="81994409425"/>
        <n v="81987257649"/>
        <n v="81991805871"/>
        <n v="81999462873"/>
        <n v="81983406638"/>
        <n v="81987692261"/>
        <n v="81985433775"/>
        <n v="81994266778"/>
        <n v="81997380079"/>
        <n v="81984282723"/>
        <n v="81996154820"/>
        <n v="81987563335"/>
        <n v="81973224484"/>
        <n v="81985159383"/>
        <n v="81988844325"/>
        <n v="81987938918"/>
        <n v="87999556188"/>
        <n v="81986412953"/>
        <n v="81996273745"/>
        <n v="81998119834"/>
        <n v="81983511855"/>
        <n v="81973377388"/>
        <n v="81981810115"/>
        <n v="81996395460"/>
        <n v="81985615653"/>
        <n v="81997115128"/>
        <n v="81996197690"/>
        <n v="81973325614"/>
        <n v="81994623601"/>
        <n v="81998756609"/>
        <n v="81984315301"/>
        <n v="81985512584"/>
        <n v="81996939717"/>
        <n v="81999809367"/>
        <n v="81983355478"/>
        <n v="81986340399"/>
        <n v="81992920910"/>
        <n v="81987608875"/>
        <n v="81997029440"/>
        <n v="81998327586"/>
        <n v="81996798735"/>
        <n v="81987804307"/>
        <n v="81987882133"/>
        <n v="81984096017"/>
        <n v="81997109350"/>
        <n v="81999139376"/>
        <n v="81985589495"/>
        <n v="81992950741"/>
        <n v="81985297553"/>
        <n v="81987057335"/>
        <n v="81996694014"/>
        <n v="81985445494"/>
        <n v="81993402761"/>
        <n v="81985526497"/>
        <n v="81979134906"/>
        <n v="81983151406"/>
        <n v="81991602979"/>
        <n v="83996529934"/>
        <n v="81983218317"/>
        <n v="81985585545"/>
        <n v="81983560834"/>
        <n v="81999439996"/>
        <n v="81993937356"/>
        <n v="81982436357"/>
        <n v="81994106859"/>
        <n v="81996706320"/>
        <n v="81994600307"/>
        <n v="81986662442"/>
        <n v="81971153767"/>
        <n v="81986451042"/>
        <n v="81983653106"/>
        <n v="81973173355"/>
        <n v="81989081790"/>
        <n v="81983741915"/>
        <n v="81991262140"/>
        <n v="81988592394"/>
        <n v="81999668497"/>
        <n v="81984673362"/>
        <n v="81986970750"/>
        <n v="81987944918"/>
        <n v="81981659368"/>
        <n v="81986394297"/>
        <n v="87999559848"/>
        <n v="81971065968"/>
        <n v="81991817786"/>
        <n v="81985283060"/>
        <n v="81999690193"/>
        <n v="81987133870"/>
        <n v="81985794011"/>
        <n v="81985740316"/>
        <n v="81986100124"/>
        <n v="81973430677"/>
        <n v="81996794277"/>
        <n v="81983096272"/>
        <n v="81999223285"/>
        <n v="81984044583"/>
        <n v="81973448407"/>
        <n v="81986188286"/>
        <n v="81989667779"/>
        <n v="81996254951"/>
        <n v="81984640980"/>
        <n v="81973256369"/>
        <n v="81985118857"/>
        <n v="81973234869"/>
        <n v="81996942014"/>
        <n v="81987690599"/>
        <n v="81986948863"/>
        <n v="81993635858"/>
        <n v="81992602566"/>
        <n v="81987457715"/>
        <n v="81992557501"/>
        <n v="81985102138"/>
        <n v="81997260987"/>
        <n v="81993962617"/>
        <n v="81987743516"/>
        <n v="81993828086"/>
        <n v="81988322020"/>
        <n v="81994999937"/>
        <n v="81987481419"/>
        <n v="81984950254"/>
        <n v="81984082823"/>
        <n v="81971071937"/>
        <n v="81999494735"/>
        <n v="81989796337"/>
        <n v="81988920228"/>
        <n v="81996664142"/>
        <n v="81987132722"/>
        <n v="81999116999"/>
        <n v="81998540547"/>
        <n v="81986697774"/>
        <n v="81987967686"/>
        <n v="81994064485"/>
        <n v="81999960609"/>
        <n v="81988442904"/>
        <n v="81999604732"/>
        <n v="11939424033"/>
        <n v="81997119148"/>
        <n v="81999132949"/>
        <n v="81988572654"/>
        <n v="81995215397"/>
        <n v="81995576564"/>
        <n v="81985294355"/>
        <n v="81988204940"/>
        <n v="81984981525"/>
        <n v="81996807173"/>
        <n v="81999054479"/>
        <n v="81985881505"/>
        <n v="81994002361"/>
        <n v="81999191169"/>
        <n v="81987335359"/>
        <n v="81996209137"/>
        <n v="81985958602"/>
        <n v="81988110275"/>
        <n v="81998484608"/>
        <n v="81981219447"/>
        <n v="81981323257"/>
        <n v="81995211209"/>
        <n v="81998388026"/>
        <n v="81988921498"/>
        <n v="81986701653"/>
        <n v="81985740050"/>
        <n v="81995960230"/>
        <n v="81988791348"/>
        <n v="81996320248"/>
        <n v="81992130286"/>
        <n v="81999382889"/>
        <n v="81984251260"/>
        <n v="81998641117"/>
        <n v="81991610989"/>
        <n v="81920019987"/>
        <n v="81991716417"/>
        <n v="81992042946"/>
        <n v="81998610345"/>
        <n v="81988112794"/>
        <n v="81993902315"/>
        <n v="81988623208"/>
        <n v="81985934090"/>
        <n v="81998566649"/>
        <n v="81996059971"/>
        <n v="81984043153"/>
        <n v="81985540097"/>
        <n v="81998295230"/>
        <n v="81993208596"/>
        <n v="81997054490"/>
        <n v="81997250896"/>
        <n v="81983075401"/>
        <n v="81999205254"/>
        <n v="81987484980"/>
        <n v="81999094317"/>
        <n v="81985743105"/>
        <n v="81987982284"/>
        <n v="81986285773"/>
        <n v="81982606927"/>
        <n v="81994675269"/>
        <n v="81987342247"/>
        <n v="81993658458"/>
        <n v="81989722443"/>
        <n v="81983870031"/>
        <n v="81999990960"/>
        <n v="81982233897"/>
        <n v="81996855296"/>
        <n v="81997795224"/>
        <n v="81987137943"/>
        <n v="81988596650"/>
        <n v="81985161570"/>
        <n v="81983364314"/>
        <n v="81997701407"/>
        <n v="81984881221"/>
        <n v="81983567401"/>
        <n v="81973451334"/>
        <n v="81987520952"/>
        <n v="81984835437"/>
        <n v="81995110700"/>
        <n v="81986103821"/>
        <n v="83991581234"/>
        <n v="81984021585"/>
        <n v="81989668159"/>
        <n v="81998380141"/>
        <n v="81985770668"/>
        <n v="81985681543"/>
        <n v="81986888830"/>
        <n v="81992204837"/>
        <n v="81984288154"/>
        <n v="81991625680"/>
        <n v="81996870283"/>
        <n v="81999740853"/>
        <n v="81999051600"/>
        <n v="81982740512"/>
        <n v="81992186999"/>
        <n v="81985598551"/>
        <n v="81988747018"/>
        <n v="81987240188"/>
        <n v="81998504012"/>
        <n v="81987997416"/>
        <n v="81985610818"/>
        <n v="81983704324"/>
        <n v="81999181171"/>
        <n v="81987073783"/>
        <n v="81983931851"/>
        <n v="81984540854"/>
        <n v="81999730260"/>
        <n v="81985021687"/>
        <n v="81988114569"/>
        <n v="81993803029"/>
        <n v="81996465987"/>
        <n v="81983641497"/>
        <n v="81995453063"/>
        <n v="81991216312"/>
        <n v="81985758942"/>
        <n v="81987532782"/>
        <n v="81984881246"/>
        <n v="81998109162"/>
        <n v="81973074593"/>
        <n v="81987371375"/>
        <n v="81986515879"/>
        <n v="81983419322"/>
        <n v="81987060164"/>
        <n v="81984274446"/>
        <n v="81999881737"/>
        <n v="81985236769"/>
        <n v="81983197702"/>
        <n v="81986512658"/>
        <n v="81986531979"/>
        <n v="81984452259"/>
        <n v="81991216235"/>
        <n v="81984720608"/>
        <n v="81988130942"/>
        <n v="81986961681"/>
        <n v="81996957250"/>
        <n v="81987368493"/>
        <n v="81987471315"/>
        <n v="81984318059"/>
        <n v="81997399707"/>
        <n v="83987898364"/>
        <n v="81985942821"/>
        <n v="81985794776"/>
        <n v="81986784448"/>
        <n v="81982184251"/>
        <n v="81996624832"/>
        <n v="81985701664"/>
        <n v="81985237440"/>
        <n v="81998356074"/>
        <n v="81983688294"/>
        <n v="81973172221"/>
        <n v="81983895897"/>
        <n v="81998371130"/>
        <n v="81991605647"/>
        <n v="81986928714"/>
        <n v="81992396730"/>
        <n v="81997280465"/>
        <n v="81986391614"/>
        <n v="81998030891"/>
        <n v="81996905073"/>
        <n v="81992406319"/>
        <n v="81994019557"/>
        <n v="81997157620"/>
        <n v="81985500133"/>
        <n v="81988015557"/>
        <n v="81993877340"/>
        <n v="81984467712"/>
        <n v="81988861025"/>
        <n v="81984607615"/>
        <n v="81987812320"/>
        <n v="81996224087"/>
        <n v="81986321327"/>
        <n v="81994794426"/>
        <n v="81989011281"/>
        <n v="81999843984"/>
        <n v="81994983239"/>
        <n v="87981278418"/>
        <n v="81998413517"/>
        <n v="81997324176"/>
        <n v="12991876039"/>
        <n v="81987150471"/>
        <n v="81983338379"/>
        <n v="81973155325"/>
        <n v="81985353416"/>
        <n v="81985914384"/>
        <n v="81996224664"/>
        <n v="81997507759"/>
        <n v="81986058506"/>
        <n v="81997887559"/>
        <n v="81979142738"/>
        <n v="81984841582"/>
        <n v="81997047849"/>
        <n v="81983065319"/>
        <n v="81988130508"/>
        <n v="81999133249"/>
        <n v="81985643153"/>
        <n v="81984622358"/>
        <n v="81984044057"/>
        <n v="81999335722"/>
        <n v="81996820579"/>
        <n v="81985975422"/>
        <n v="81984670109"/>
        <n v="81983148301"/>
        <n v="81981521958"/>
        <n v="81989820679"/>
        <n v="81994084776"/>
        <n v="81999243918"/>
        <n v="81998414154"/>
        <n v="81984342490"/>
        <n v="81997816176"/>
        <n v="81993805933"/>
        <n v="81988559938"/>
        <n v="81999615364"/>
        <n v="81996629612"/>
        <n v="81997987041"/>
        <n v="81992808416"/>
        <n v="81996443303"/>
        <n v="81991473240"/>
        <n v="81995151718"/>
        <n v="81996549426"/>
        <n v="81989715546"/>
        <n v="81998395631"/>
        <n v="81991211451"/>
        <n v="81999319275"/>
        <n v="81989306813"/>
        <n v="81989745875"/>
        <n v="81996787625"/>
        <n v="81993807364"/>
        <n v="81983570659"/>
        <n v="81988511057"/>
        <n v="81985712079"/>
        <n v="81988619515"/>
        <n v="81979060734"/>
        <n v="81974009779"/>
        <n v="81981215396"/>
        <n v="81989923992"/>
        <n v="81999538590"/>
        <n v="81988004358"/>
        <n v="81982850804"/>
        <n v="81982204976"/>
        <n v="81987469835"/>
        <n v="81988844350"/>
        <n v="81999619052"/>
        <n v="81971166096"/>
        <n v="81997950258"/>
        <n v="81981929106"/>
        <n v="81985803167"/>
        <n v="81994149250"/>
        <n v="81999446407"/>
        <n v="81996884713"/>
        <n v="81982653316"/>
        <n v="81992513955"/>
        <n v="81988900219"/>
        <n v="81993282644"/>
        <n v="81986591644"/>
        <n v="81986597131"/>
        <n v="81973403446"/>
        <n v="81985888198"/>
        <n v="81981883103"/>
        <n v="81996540791"/>
        <n v="81985562754"/>
        <n v="81998028777"/>
        <n v="81987726291"/>
        <n v="81983401161"/>
        <n v="81985550457"/>
        <n v="81998215338"/>
        <n v="81985218295"/>
        <n v="81971204328"/>
        <n v="81997467123"/>
        <n v="81998646305"/>
        <n v="81991428395"/>
        <n v="81998689887"/>
        <n v="81996503644"/>
        <n v="81994773016"/>
        <n v="81984494338"/>
        <n v="81996912111"/>
        <n v="81998548065"/>
        <n v="81999782600"/>
        <n v="81987240226"/>
        <n v="81999905898"/>
        <n v="81997506104"/>
        <n v="81995970031"/>
        <n v="81988384210"/>
        <n v="81995637510"/>
        <n v="81987993158"/>
        <n v="81999287662"/>
        <n v="81984587491"/>
        <n v="81983376422"/>
        <n v="81999788943"/>
        <n v="81985588016"/>
        <n v="81985232417"/>
        <n v="81985097361"/>
        <n v="81988911045"/>
        <n v="81988513685"/>
        <n v="81991396474"/>
        <n v="81998221630"/>
        <n v="81997216607"/>
        <n v="81989038065"/>
        <n v="81999364988"/>
        <n v="81991526074"/>
        <n v="81999721660"/>
        <n v="81979007469"/>
        <n v="81999945453"/>
        <n v="81984757470"/>
        <n v="81994668996"/>
        <n v="81973194873"/>
        <n v="81973176242"/>
        <n v="81996356367"/>
        <n v="81997081983"/>
        <n v="81986715318"/>
        <n v="81998520846"/>
        <n v="81999101947"/>
        <n v="81998315894"/>
        <n v="81986942653"/>
        <n v="81996565391"/>
        <n v="81988241106"/>
        <n v="81991329143"/>
        <n v="81996791034"/>
        <n v="81986541141"/>
        <n v="81998726342"/>
        <n v="81988945291"/>
        <n v="81982878306"/>
        <n v="81986664575"/>
      </sharedItems>
    </cacheField>
    <cacheField name="Endereço de e-mail" numFmtId="0">
      <sharedItems containsBlank="1" count="22">
        <m/>
        <s v="tatyana.queiroz@recife.pe.gov.br"/>
        <s v="larissa.oliveira@recife.pe.gov.br"/>
        <s v="camilla.nascimento@recife.pe.gov.br"/>
        <s v="ianne.oliveira@recife.pe.gov.br"/>
        <s v="maria.franca@recife.pe.gov.br"/>
        <s v="mariana.sodre@recife.pe.gov.br"/>
        <s v="thiagojas13@gmail.com"/>
        <s v="eo.elainecarmo@gmail.com"/>
        <s v="anamacintra@gmail.com"/>
        <s v="marciasouzagomes05@gmail.com"/>
        <s v="fabianesouza85@gmail.com"/>
        <s v="thiago.sandes@recife.pe.gov.br"/>
        <s v="fabiane.souza@recife.pe.gov.br"/>
        <s v="rhayza.jordao@recife.pe.gov.br"/>
        <s v="liliana.ufpe2015@gmail.com"/>
        <s v="marianaccsodre@gmail.com"/>
        <s v="damartine.feitosa@recife.pe.gov.br"/>
        <s v="joao.moreira@recife.pe.gov.br"/>
        <s v="nayale.andrade@recife.pe.gov.br"/>
        <s v="jessica.silva@recife.pe.gov.br"/>
        <s v="   "/>
      </sharedItems>
    </cacheField>
    <cacheField name="STATUS" numFmtId="0">
      <sharedItems containsBlank="1" count="5">
        <m/>
        <s v="Atendimento realizado"/>
        <s v="Tentativa 1 de monitoramento sem sucesso"/>
        <s v="Tentativa 2 de monitoramento sem sucesso"/>
        <s v="Em atendimento"/>
      </sharedItems>
    </cacheField>
    <cacheField name="PROFISSIONAL QUE ATENDEU" numFmtId="0">
      <sharedItems containsBlank="1" count="18">
        <m/>
        <s v="JOANNA"/>
        <s v="IANNE"/>
        <s v="CAMILLA"/>
        <s v="TATYANA"/>
        <s v="LARISSA"/>
        <s v="MARIANA"/>
        <s v="THIAGO"/>
        <s v="ELAINE"/>
        <s v="MARCIA"/>
        <s v="ANA_CINTRA"/>
        <s v=" "/>
        <s v="FABIANE"/>
        <s v="RHAYZA"/>
        <s v="LILIANA"/>
        <s v="NAYALE"/>
        <s v="DAMARTINE"/>
        <s v="JESSICA"/>
      </sharedItems>
    </cacheField>
    <cacheField name="ENVIAR WHATSAPP?" numFmtId="0">
      <sharedItems containsBlank="1" count="3">
        <m/>
        <b v="0"/>
        <b v="1"/>
      </sharedItems>
    </cacheField>
    <cacheField name="ENVIADO" numFmtId="0">
      <sharedItems containsBlank="1" count="2">
        <m/>
        <s v="sim"/>
      </sharedItems>
    </cacheField>
    <cacheField name="CONDUTA MONITORAMENTO 1" numFmtId="0">
      <sharedItems containsBlank="1" count="923">
        <m/>
        <s v="Em casos de abortamento, aguardar por 4 semanas a partir da data de realização da USG; se não houver alterações em até 4 semanas ou se apresentar sinais de alerta, ir à maternidade."/>
        <s v="Não conseguiu contato. (Ianne)"/>
        <s v="Não atendeu às 12:30 (Tatyana)"/>
        <s v="Não consegui contato (chamada desligada) "/>
        <s v="Realizado telemonitoramento de gestante, refere que apos a refeição os movimentos fetais foram bem evidenciados, sem sinais de alerta. Oriento procurar a APS em ate 48h para uma avalição do BCF e que iremos retornar o telemonitoramento na segunda 16/01/20"/>
        <s v="Paciente chorosa, com medo da dor do parto, não deseja ir para a maternidade hoje. Tentar novo contato as 10h."/>
        <s v="Paciente na maternidade no momento, referiu que vai ser atendida agora pela obstetra. Oriento que a tarde entraremos em contato novamente, caso ela precise antes entrar em contato com o Atente gestante. "/>
        <s v="Segue sob cuidados na maternidade. Genitora da paciente informa que ela foi levada para realizar USG, segue aguardando nova avaliação. Obs: encontra-se sem internet, logo não não foi possível enviar link de avaliação do atendimento."/>
        <s v="Encontra-se na Maternidade Barros Lima aguardando resultado de exames (EAS, Teste Covid, Hemograma). Refere que fez uso de Betametasona (amanhã será administrada outra dose), Buscopan e outra medicação (não sabe o nome). Apresenta melhora dos sintomas ref"/>
        <s v="Refere que após resultado dos exames (TR-Ag: negativo; EAS e hemograma: sem alterações) foi orientada a voltar para casa e retornar no sábado. No sábado recebeu a 2ª dose de Betametasona. Foi prescrito Loratadina 1x/dia e Dipirona. Refere piora do quadro "/>
        <s v="Gestante, G3 PN2 A0, 35S4D, queixando-se de odinofagia, sem febre. Contrações esporádicas a cada 2 ou 3 horas sem perdas vaginais. Compareceu à consulta do pré-natal hoje. Oriento em caso de sinais de alerta e/ou de tp busque a maternidade mais próxima. E"/>
        <s v="Informa que foi atendida na Maternidade Barros Lima (05/04), diagnosticada com candidíase, prescrito creme vaginal 1x/noite por 10 dias (não sabe o nome). Ainda não iniciou o tratamento porque o PACS está fechado devido o feriado. Refere que corrimento di"/>
        <s v="Paciente com melhora do quadro diarreeico, sem novos episodios nas ultimas 9h. "/>
        <s v="Paciente recusou a ligação 2x"/>
        <s v="Telemonitoramento realizado por videochamada, paciente com sintomas gripais ( tosse, dor incomodo na garganta e secreção esverdiada, oriento atendimento presencial e realização do teste rapido."/>
        <s v="Paciente relara que procurou atendimento presencial, porem nao realizou o TR, refere ainda melhora nos sintomas, oriento hidratação e manter o PN na APS e PNAR"/>
        <s v="Paciente nao atendeu o contato as 15:50 feito 3 tentativas "/>
        <s v="09/05: O celular da gestante está com o companheiro e ele só encontrará com ela a partir do meio dia. "/>
        <s v="11/05 telefone nao completa a ligação "/>
        <s v="22/05 (Lari) Não realizado telemoniotamento"/>
        <s v="Nega novos episódios de sangramento (último ontem pela manhã). Oriento acerca dos sinais de alerta."/>
        <s v="(Mariana) Orientado ir para Maternidade Arnaldo Marques devido cefáleia persistente, monitoramento ainda hoje"/>
        <s v="Refere que não foi à US. Mantenho conduta anterior. "/>
        <s v="Usuária entrou como demanda espontânea em 01\06"/>
        <s v="(taty), consulta esta marcada para 06/06, troco esquema de ATB para ITU, uma vez que apaciente parou  o tratamento devido queixas de evento adverso e inicio acido folico "/>
        <s v="Tentar novamente dia 02/06"/>
        <s v="(Lari) Tento contato telefônico sem sucesso."/>
        <s v="(lari) Telefone não completa ligação"/>
        <s v="Ligar às 17h"/>
        <s v="Foi à Maternidade Barros Lima, descartado TPP. Oriento acerca dos sinais de alerta. "/>
        <s v="Não podia atender no momento do contato, pediu pra retornar no turno da tarde (monitoramento realizado por Elaine Carmo)"/>
        <s v="(Taty) tento monitoramento s/sucesso as 08:36/ 11:16"/>
        <s v="(Thiago ) Tento monitoramento s/ sucesso as 08:39 "/>
        <s v="Tento contato com a paciente para realizar monitoramento e a mesma solicita novo contato contato amanhã. Está em processo de abortamento"/>
        <s v="(Thiago) Ligar mais tarde; nova tentativa às 11:15"/>
        <s v="Foi à urgência da Unimed, refere melhora progressiva, porém ainda com tosse. Oriento acerca dos sinais de alerta."/>
        <s v="Paciene avaliada ontem na maternidade, prescrito amoxicilina por sinusite. Encerro monitoramento. Seguira em PN de risco habitual."/>
        <s v="Paciente sem queixas no momento. Atendida e avaliada na Arnardo, conforme orientado, sem contrações e colo fechado."/>
        <s v="(ianne) 11h ligo 3x, não atendeu"/>
        <s v="Foi atendida na maternidade, colo fechado , conseguiu marcar consulta de PN para 15/06/2023, oriento repouso, ingesta liquida e acerca dos sinais de alerta."/>
        <s v="Foi atendida na USF (06/06). Nega sinais de alerta. Mantém sintomatologia. Oriento ID, sinais de alerta, telemonitoramento, realizar TR-Ag amanhã. "/>
        <s v="Foi atendida na Maternidade Arnaldo Marques, exames sem alterações. Oriento acerca dos sinais de alerta."/>
        <s v="(taty) paciente submetida pc, puerpera e rn se encotram bem"/>
        <s v="(ianne) Relata que foi na maternidade Arnaldo Marques ontem a noite e hoje pela manha,  liberada apos avaliaçao medica devido a &quot;inicio de trabalho de parto, ainda com 4cm. contraçoes a noite estavam mais intensas, que diminuiram mais agora pela manha. Re"/>
        <s v="Foi à US hoje, prescrito ATB (iniciou uso) e encaminhada para consulta odontológica (aguarda agendamento)."/>
        <s v="paciente nao respondeu ao comando "/>
        <s v="PN sem intercorrências na Maternidade Bandeira Filho"/>
        <s v="thiago (09:12 )  paciente melhora dos sistomas da itu e leucorreia , porem apresentou queixas de emese e diarreia nonitora a tarde . "/>
        <s v="gestante solicita ligação as 10h "/>
        <s v="Não foi à maternidade, pois refere que apresentou melhora dos sintomas. Reforço importância do atendimento presencial. Oriento buscar atendimento na maternidade (hoje) se piora ou presença de sinais de alerta. Encaminho à USF para reagendamento do PN + av"/>
        <s v="(Joanna)  Sem sucesso às 08h"/>
        <s v="(Joanna) "/>
        <s v="solicito que gestante realize teste do covid e busque atendimento presencial, como orientado no atendimento anterior, permanece coriza e tosse "/>
        <s v="(Joanna) Ligar para número da Mãe 81984896307, telefone não recebe chamda"/>
        <s v="09/06 (Taty) Paciente não atendeu às 8h"/>
        <s v="(Thiago) procurou atendimento na UPA de Lagoa Encantada e refere ter recebido alta em seguida com prescrição de um colírio lubrificante e exame clínico sem alterações. Nega queixas obstétricas e refere boa movimentação fetal."/>
        <s v="09/06 (Taty) Não consigo contato com a paciente "/>
        <s v="Refere melhora dos sintomas gripais. Queixa-se de episódio de tontura ao acordar. Nega sinais de alerta. Foi ao CS Monteiro de Morais e não conseguiu agendar PN. Oriento retornar ao CS para agendar PN; oriento sinais de alerta e medidas de alivio para ton"/>
        <s v="(Thiago) Gestante com contrações dolorosas e IG: 35s3d pela DUM, encaminhada a mat. Arnaldo Marques para atend. presencial."/>
        <s v="(taty) Realizado telemonitoramento, gestante orientada o que é fibroma mole e quando ao consultorio de pequenas cirurgia onde pode esta solicitando no posto o encaminhamento se caso seja seu desejo."/>
        <s v="(Lari) Telefone não completa as 16h"/>
        <s v="(Camilla) Não conseguiu contato - tel desligado às 10:42. (Thiago) Não conseguiu contato as 08:20."/>
        <s v="Foi à maternidade, descartou-se TP ativo. Queixa-se de ausência de MF (último às 23h30). Oriento realização do mobilograma. Realizar telemonitoramento às 10h."/>
        <s v="(Marcia) às 08h e às 18:20"/>
        <s v="Foi à maternidade, descartado TPP. Oriento MRPA."/>
        <s v="(Joanna) Ligar para: 81991724644 (número do namorado)"/>
        <s v="Ligar às 10h"/>
        <s v="11/06 ( ana) telefone desligado "/>
        <s v="(Camilla) Não consegui contato às 10:54.(Thiago) Não conseguiu contato as 08:50"/>
        <s v="(Marcia) Número deu ocupado às11:40h /17h Nova tentativa sem sucesso"/>
        <s v="11/06 (taty) Gestante encaminhada para maternidade TP?"/>
        <s v="11/06 ( ana ) orientado sinais de TP e mobilograma, monitoramento em 5dias "/>
        <s v="11/06 (taty) gestante nao atende a ligação tentativa as 10:11"/>
        <s v="Realizado telemonitoramento. Gestante sem queixas. Não fez o TR-ag, nega sintomas gripais. PN agendado para 14/06."/>
        <s v="11/06 (taty) gestante encaminhada para maternidade , referindo cefaleia intensa eregistro de pa 130x90"/>
        <s v="11/06 ( ana) telefoene desligado ( 10:39)"/>
        <s v="(Thiago) Sem sucesso às 08:20"/>
        <s v="(Thiago) Não conseguiu contato as 09:00"/>
        <s v="( taty) 09:56 gestante nao atendeu a chamada "/>
        <s v="(Thiago) Não conseguiu contato as 09:20"/>
        <s v="(Camilla) Não consegui contato às 10:43 - tel desligado. (Camilla) Não consegui contato às 08:30"/>
        <s v="11/06 (taty) nao atendeu as 15:40 tentar em 12/06"/>
        <s v="(Thiago) Sem sucesso às 08:37"/>
        <s v="11/06 ( ana) gestante internada para TPP no Barão de lucena "/>
        <s v="(Thiago) Gestante com IG: 11s5d (DUM: 15/03/2023) refere que procurou a urgência da maternidade Barros Lima ontem com as queixas de dor de cabeça + ardor ao urinar + corrimento em grumos esbranquiçado sem odor, foi examinada e liberada em seguida e no mom"/>
        <s v="Taty (08:19) paciente atendeu o telefone, porem nao entrou no hopchat e nao atende mais "/>
        <s v="(Camilla) Não consegui contato às 08:20 e nem às 10:15."/>
        <s v="(Lari) Paciente refere melhora dos sintomas. Alta do episódio."/>
        <s v="Joanna: tentativa sem sucesso - 8h."/>
        <s v="taty (10:11) Gestante com atendimento marcado, porem refere continuar com os sintomas da leucorreia"/>
        <s v="(Camilla) Realizado telemonitoramento. Gestante se encontra no HMR. Chegou às 14h, com PA 130X90MMHG, classificada como amarela, aguarda atendimento médico. "/>
        <s v="( taty) 10:13 Gestante nao atendeu a chamada "/>
        <s v="14/06 Ianne (09h15) Paciente não atende ligaçao, pelo prontuario atendida em pre natal ontem. HAS em uso de metildopa, perdeu consulta de PNAR, não encontro no sisreg solicitaçao de PNAR. "/>
        <s v="14/06 ianne (09h30) Paciente não atende, avaliar se houve atendimento presencial"/>
        <s v="Usuária de Olinda???"/>
        <s v="(taty) 09:27 gestante sem queixas, aguardando uma USG para definição de conduta "/>
        <s v="Taty (15:26) Telefone desligado. ianne (11h30) telefone desligado, tentar contato novamente a tarde. Insistir um pouco mais, paciente fazendo pico pressorico sem conseguir acesso ontem a consulta presencial"/>
        <s v="thiago(11:20) paciente nao atendeu (taty) ligar as 11h"/>
        <s v=" (ianne) 9h45 -11h30 Tentado entrar em contato diversas vezes com paciente por ligaçao e pelo whatsapp sem sucesso. tentar novamente a tarde"/>
        <s v="ianne (15/06 : 9h30) não atende"/>
        <s v="Joanna (8h): tentativa sem sucesso."/>
        <s v="taty( 10:00) gestante refere melhora dos sintomas. "/>
        <s v="Joanna: Foi à US indicada (Vila Arraes), porém foi informada que não seria a US de área de cobertura. Hoje vai ao CS Olinto Oliveira tentar agendar PN e fazer avaliação. "/>
        <s v="Joanna (9h40): não atendeu"/>
        <s v="ianne (09h44): não atendeu"/>
        <s v="(Thiago) Sem sucesso às 09:10"/>
        <s v="Foi ao CS Olinto Oliveira, porém a enfermeira não estava presente; foi orientada a retornar próxima quinta-feira e buscar atendimento na urgência. Cd: Encaminho à maternidade Bandeira Filho."/>
        <s v="Realizar monitoramento às 18h."/>
        <s v="Foi atendida na Maternidade Barros Lima, observou-se modificações do colo uterino (amolecimento, esvaecimento 50%), aumento das contrações, sendo encaminha ao Hospital das Clínicas. Segue internada no Hospital das Clínicas, feto com boa vitalidade, inicio"/>
        <s v="taty (09:05 ) telefone desligado; Joanna (13h56; 17h22): não atendeu "/>
        <s v="Thiago (8:48) Paciente não atende."/>
        <s v="taty ( 09:05) puerpera, esta na maternidade bandeira filho "/>
        <s v="Joanna (9h39; 14h; 17h23): não atendeu."/>
        <s v="Ligar às 14h (Thiago) 4 tentativas sem sucesso às 15:56 "/>
        <s v="08:40 ( taty) paciente nao atende"/>
        <s v="09:41 (taty) Ligar as 14h; 13h35 (ianne) paciente não atende"/>
        <s v="Foi ao IMIP, avaliação sem alterações (SIC). Segue sem queixas. Oriento acerca dos sinais de alerta e manutenção do PNAR (APS e PNAR)."/>
        <s v="TR-Ag: negativo; Não buscou atendimento presencial, iniciou uso do Aciclovir (oral e tópico) por conta própria, pois, refere que tem herpes labial recorrentemente. Queixa: Coriza, congestão nasal. Nega sinais de alerta. Refere melhora da lesão na boca (cr"/>
        <s v="Encontra-se no HMR, foi medicada, aguarda reavaliação. Oriento realização do MRPA e manutenção do PN."/>
        <s v="Joanna (8h25): não atendeu. 16h30: telefone indisponível."/>
        <s v="taty ( 07:50) paciente a caminho da maternidade par arealizar usg ( ligar a tarde 13:00) "/>
        <s v="ianne (8h30) desligado"/>
        <s v="taty(08:41) paciente solicitou contato a tarde (14h)"/>
        <s v="(ianne) Realizado monitoramento"/>
        <s v="Joanna: não atendeu"/>
        <s v="ianne: Paciente melhorou dos sintomas"/>
        <s v="Taty (08:34) paciente no D7 apresentando coriza e congestao nasal "/>
        <s v="Joanna (8h26, 15h15, 18h20): não atendeu; "/>
        <s v="Aguarda EAS. Mantém desconforto suprapúbico ao iniciar micção. Realizar telemonitoramento."/>
        <s v="Joanna: Foi à USF, foi agendada para o dia 26/06. Refere melhora do desconforto, segue apresentando sensação de cansaço, mal-estar. Taty (15:24) paciente mão atendeu "/>
        <s v="(ianne) 16h15 paciente não atende; Joanna (18h20): não atendeu"/>
        <s v="Thiago (8:30) Tentativa de contato sem sucesso. Thiago (13:56 ) tentativa sem sucesso "/>
        <s v="Realizar nova tentativa em 23/06. ianne (16h) paciente não atende; Joanna (18h20): não atendeu"/>
        <s v="Taty(09:07) Paciente nao atendeu Taty (13:56 ) tentativa sem sucesso "/>
        <s v="Camilla (16h) Tentativa sem sucesso. Taty (13:44) paciente nao atendeu "/>
        <s v="Gestante permanece ainda com queixas eventuais de falta de ar e coração acelerado, porém sem sintomas gripais ou outros sintomas. Como a mesma está vinculada ao pré-natal na APS, fnalizo motiromanto do AG."/>
        <s v="Thiago (09:10) paciente nao atendeu "/>
        <s v="Paciente refere melhora dos sintomas gripais, oriento quanto habitos para melhora dos enjoos"/>
        <s v="Taty (09:00) paciente  não atendeu "/>
        <s v="Paciente na maternidade, aguardando resultado USG  e Glicose, refere melhora na dor pelvica "/>
        <s v="Taty (08/54) Paciente nao atendeu "/>
        <s v="Primigesta, IG = 8s2d (DUM: 30/04/2023), foi encaminhada para avaliação presencial devido sangramento vaginal e dor em BV (tipo cólica). Foi atendida ontem no HMR, exame do colo do útero sem alterações, orientada a retornar hoje pela manhã para realização"/>
        <s v="taty (08:18; 14:6 ) telefone desligado; Joanna (18h): não atendeu"/>
        <s v="taty ( 08:45)  tentativa sem sucesso"/>
        <s v=" Thiago ( 08:40)Gestante afirma que possui 2 números, mas apenas 1 com whatsapp, não concluo atendimento devido interrupção da ligação."/>
        <s v="Mobilograma: + 15 MF."/>
        <s v="Joanna (13h23; 14h15): não atendeu. Às 16h13 atendeu e logo em seguida desligou. Nova tentativa às 17h 24 (telefone desligado)"/>
        <s v="(Lari) Feito contato com a paciente e como ela persistia com dor apesar de analgésico e repouso, encaminhada a urgência"/>
        <s v="Joanna (8h11): não atendeu"/>
        <s v="(Ianne): Realizado teleatendimento e oriento procurar a maternidade devido a sangramento genital associada a prematuridade. Entretanto paciente informa não conseguir ir agora, então oriento ir ao APS ( ja que mais proximo da sua residencia) para avaliação"/>
        <s v="Joanna (8h15; 11h24): não atendeu"/>
        <s v="Joanna (9h6; 10h57): Atendeu e desligou após identificação. Tentar novamente.taty (15:15) paciente nao atendeu; Joanna (17h7): não atendeu."/>
        <s v="Foi à US e não foi avaliada. Mantém dor em BV, sensação de esvaziamento incompleto da bexiga, gotejamento pós-micção. Nega novos episódios de sangramento, último há 2 dias (descreveu como raios de sangue). Oriento buscar atendimento na urgência, visto que"/>
        <s v="Taty (13:30) paciente procurou a APS  PA 110*80 em dois momentos destintos, continua sem conseguir marcação para consulta  e estava a caminho da maternidade por apresentar edema em um miLigar as 13h ( telefone para ligar:81987191246)"/>
        <s v="Joanna (8h42; 10h56): não atendeu. taty( 11:20) nao atendeu "/>
        <s v="Mobilograma - 9 MF. Amanhã tem consulta de PN (rede privada) agendada. "/>
        <s v="Taty (15:20; 15:30) paciente nao atendeu  + Thiago (16:30h) Paciente não atendeu"/>
        <s v="gestante com IG 38s5d pela DUM e 38s2d pela USG com 31s, a mesma refere boa movimentação fetal ao logo do dia. Nega queixas obstétricas como cólicas, contração, perdas vaginais. Nega ainda queixas urinárias. Relata não ter comparecido a última consulta de"/>
        <s v="Joanna (13h13): telefone atendido por alguém chamado Ulises, informou que a gestante não se encontra e que retornasse ligação às 16h."/>
        <s v="Joanna (13h15; 14h16; 16h11; 17h20): não atendeu. "/>
        <s v="05/07 - Refere boa movimentação fetal, foi à consulta de PN ontem - avaliação sem alterações. Sem queixas no momento, nega sinais de alerta. Cd: Oriento paciente sobre sinais de alerta e manutenção do pré-natal."/>
        <s v="Taty (08: 25) paciente iniciou tratamento para candida e continua com dor de garganta, coriza e obstrução nasal "/>
        <s v="Taty ( 10:00) telefone nao completa a ligação"/>
        <s v="Taty ( 09:55) paciente não atendeu"/>
        <s v="Taty (08:29) telefone nao completa ligação "/>
        <s v="05/07: Refere melhor dos sintomas gripais e dor em BV, segue em uso de creme vaginal (Canesten). Sem queixas no momento. Nega sinais de alerta. Cd: Oriento sinais de alerta e manutenção do PN na APS. Joanna (05/07 - 8h45): não atendeu. Joanna (8h15; 11h20"/>
        <s v="Joanna (05/07 - 8h48; 13h54; 16h30): não atendeu. Joanna (8h23; 11h21; 14h5): não atendeu"/>
        <s v="Refere que foi atendida na USF Skylab II (04/07), apresentou PA = 100 x 60, solicitado MRPA, prescrito Paracetamol, reavaliação agendada para 11/07. Não foi encaminhada ao PNAR, mesmo mostrando registro do atendimento do Atende em Casa que recomendava enc"/>
        <s v="Joanna (9h29; 13h37): não atendeu."/>
        <s v="Gestante com 28s2d (DUM e USG) ainda não iniciou tratamento com miconazol, irá recebera medicação na UBS amanhã. "/>
        <s v="Joanna (8h09; 11h16; 14h7; 16h13; 17h20): não atendeu."/>
        <s v="Ligar apos 11h - paciente foi para maternidade (internar); 07/07 (Thiago) Às 11:15h, usuária não atendeu."/>
        <s v="Está internada no CISAM (HAS + DMG)."/>
        <s v="(Thiago) Às 14:30 usuária se encontrava em atendimento no HMR."/>
        <s v="07/07 (taty as 11:32) nao atendeu "/>
        <s v="07/07 (Lari) tentativa às 08:30h; (Thiago) 12:00 usuária não atende"/>
        <s v="Refere que mantém dor em BV tipo cólica, moderada e intermitente há mais de uma semana, porém mais frequente; não observa melhora considerável, apenas alívio momentâneo quando fica em repouso. Oriento atendimento presencial. "/>
        <s v="Gestante EGBom, Glasgow 15, colaborativa, refere não ter tido náuseas e vômitos hoje. Por volta das 11h a PA foi 110x70mmHg, achou por bem fracionar a alimentação para reduzir a possibilidade de enjoo. Está esclarecida quantos aos sinais de alerta para pr"/>
        <s v="Taty (13:38 telefone desligado 10/07 ( taty) nao atendeu as 08:25"/>
        <s v="Refere que ontem apresentou vários episódios de vômito e não conseguiu se alimentar ou ingerir líquido. Hoje apresentou melhora, porém ainda vomitou 5x, está com dor no peito ao respirar devido esforço para vomitar, conseguiu ingerir líquidos e se aliment"/>
        <s v=" TATY (12:40)Paciente  41s encontra-se internada em TP ( perda de tampao mucoso e contraçoes ritmicas e intensa )"/>
        <s v="Taty ( 13;51) paciente refere melhora nos sintomas e nao realizou a urocultura como solicitado )"/>
        <s v="(10:10 - Camilla) Falo com gestante pelo celular e ela informa que está a caminho &quot;da consulta com a médica&quot;. Combino de ligar à tarde. "/>
        <s v="Gestante refere que dor melhorou. Oriento que observe e se piorar, busque a unidade de saúde. Reforço a importância do PN na próxima semana"/>
        <s v="Taty ( 08::20)paciente nao atendeu "/>
        <s v="Foi avaliada na Maternidade Barros Lima, prescrito Buscopan, realizará USG hoje. ianne (08h10): Usuaria não atende ligaçao"/>
        <s v="TATY (15:00) Paciente nao procurou atendimento presencial como orientado , porem hoje refere melhora dos sintomas. seguindo o protocolo para sintomais gripais. encaminho paciente para atendimento presencial e tr para COVID "/>
        <s v="taty(08:24 ) telefone nao esta disponivel no momento"/>
        <s v="Foi à USF Coque (12/07), porém foi informada na recepção que não tinha profissional disponível na USF para realizar o atendimento. Orientada a retornar na segunda-feira. Também não conseguiu agendar exames porque a técnica está de licença. Não buscou aten"/>
        <s v="Joanna (14h35; 15h; 18h): não atendeu."/>
        <s v="14/07, ás 10:00h, usuária refere melhora dos sintomas, iniciou acompanhamento com psiquiatra e aguarda resultado de exames para iniciar o pré-natal. Encerro ciclo de monitoramento do AG."/>
        <s v="Ianne&gt; Solicitado uroc// encaminhada para marcar consulta pre natal em UBS. Monitoramento segunda para checar acessoa ao pre natal e exame."/>
        <s v="Camilla (09:08) "/>
        <s v="Joanna (8h57; 14h13;16h17; 17h11): não atendeu"/>
        <s v="(Thiago) Às 08:35h, 09:43h, paciente não atende à ligação."/>
        <s v="Joanna (8h59; 14h15; 16h18; 17h13): não atendeu"/>
        <s v="A paciente entrou via demanda espontânea após tentativas sem sucesso de telemonitoramento."/>
        <s v="14/07 (09:05)Paciente informa  que ontem apresentou piora dos sintomas cefaleia e êmese, procurando a emergência  da Maternidade Arnaldo Marques, avaliada PA 100*80, medicada e liberada, hoje refere melhora dos sintomas, nega sinais de alerta, distúrbios "/>
        <s v="Foi ao HMR, confirmou-se ITU (EAS com alteração, resultado da urocultura estará disponível dia 19/07), prescrito Nitrofurantoína 100mg 6/6h, retornará para reavaliação no HMR dia 19/07."/>
        <s v="Joanna (9h30; 14h16): não atendeu; 16h18; 17h13 - desligado"/>
        <s v="Ligar às 13h - Thiago, em 16/07/23 às 13:40h, paciente se encontrava na Maternidade Arnaldo Marques para atendimento."/>
        <s v="16/07 Ana Cintra (10:00), paciente não atende à ligação."/>
        <s v="Taty (09:20) paciente refere melhora dos sintomas ( diarreia e emese )"/>
        <s v="16/07 Ana Cintra (17:30) (18:00), paciente não atende à ligação."/>
        <s v="Taty( 08:50) telefone desligado "/>
        <s v="camilla (10:30) taty ( 07:50) telefone oculpado "/>
        <s v="Taty (15:37) gestante com mobilograma normal, porem refere disuria ( ardencia em uretra e dor ao final da micção) , e dor em BV "/>
        <s v="Taty ( 08:11) telefone oculpado; Joanna (14h; 17h): telefone desligado"/>
        <s v="Não realizou EAS + urocultura. Mantém queixa. Joanna (8h16): não atendeu. "/>
        <s v="(Fabiane) Às 08:50h, paciente não atende à ligação. 10:00h, Paciente colheu urocultura hoje, consulta PN na APS 25/07, sem queixas no momento, alta do monitoramento."/>
        <s v="ligar as 13h (Taty) Telefone não completa chamada"/>
        <s v="Refere que foi ao CS Prof Joaquim Cavalcante para agendar PN em 20/07, foi orientada a aguardar visita do ACS com programação da consulta de PN. PN na rede privada está agendado para o dia 01/08."/>
        <s v="Gestante refere que foi atendida na USF Brasilit e que foi informada sobre a possibilidade de reação alérgica, sem outras alterações identificadas. Durante telemonitoramento a ligação caiu e não foi possível estabelecer novo contato. Encerro telemonitoram"/>
        <s v="Foi à Maternidade Prof. Bandeira Filho, porém não aguardou atendimento. Refere melhora da disúria e cólica. Mantém pirose e desconforto gástrico leve (flatulência). Nega queixas obstétricas e sinais de alerta."/>
        <s v="(THIAGO) Às 09:00h, usuária não atende à chamada."/>
        <s v="(THIAGO) Às 09:05h, usuária compareceu em 22/07/23 à maternidade Arnaldo Marques, foi avaliada, medicada e liberada em seguida com melhora importante do quadro de dor em baixo ventre e contrações. Encerro monitoramento."/>
        <s v="(THIAGO) Às 09:50h, 10:20h, usuária não atende à chamada."/>
        <s v="(ianne) 03h35: paciente não atendeu. Joanna (15h7; 17h): não atendeu"/>
        <s v="(ianne) Orientaçoes de manter PNAR"/>
        <s v="Ligar a tarde, está indo fazer USG"/>
        <s v="(ianne) Paciente internada no HMR para controle pressorico"/>
        <s v="Joanna  (15h; 15h30; 17h): telefone indisponível"/>
        <s v="(taty) Paciente encontr-se internada no Hospital Barão de Lucena, desde do dia 27/07/2023,  para controle pressórico. prescrito MgSO4 e hoje em uso de metildopa., oligodramnio? Devido paciente ja internada no hospital Barão de Lucena  com assistência gara"/>
        <s v="Refere melhora da lombalgia, mantém contrações indolores. Oriento acerca dos sinais de alerta e TP, manutenção do PN na APS."/>
        <s v="Ligar às 9h (Ana Cintra) Às 09:15h, usuária não atende à chamada."/>
        <s v="Paciente refere que caiu da própria altura no dia 29/07/23  devido o chão esta molhado, no momento sem queixas ,refere melhora da cólica e nega sinais de alerta."/>
        <s v="PACIENTE NAO ATENDEU (16:30); Joanna (17h05): não atendeu"/>
        <s v="Ligar às 13h  *Joanna (13h24; 17h): não atendeu."/>
        <s v="Taty (09:06 ) Telefone nao completa a ligação "/>
        <s v="(Marta) Ligar a tarde, DS informa ES que usuária será atendida hoje na USF"/>
        <s v="Ligar para esse numero 81993804960. (Thiago) Às 14:48h, 17:09h, usuária não atande à chamada."/>
        <s v="(Thiago) Às 15:45, usuária não atende à chamada."/>
        <s v="Taty (16:19) telefone desligado ligar apos 16h - paciente encaminhada para urgencia"/>
        <s v="(Thiago) Às 15:47h, paciente refere que procurou o posto de saúde hoje pela manhã, onde foi afrida PA e glicemia capilar, estando ambos normais. Nega outras quaixas. Encerro monitoramento."/>
        <s v="Taty (09:15) ligar a tarde 14h, paciente na policlinica para realizar USG "/>
        <s v="Joanna (9h19): telefone indisponível. 12h52: Encontra-se na Maternidade Bandeira Filho, pariu hoje, segue sem queixas."/>
        <s v="Taty ( 09:25) ligar as 17h telefone do esposo, ele nao estava em casa ( 11:30) monitoramento realizado, gestante nao procurou o serviço como orientado, relata que ira hoje , mantem queixas, porem durante o atendimento nao foi relatado contrações "/>
        <s v="(Thiago) Às 10:22h, usuária não atende à chamada. (Thiago) Às 15:48h, usuária não atende à chamada."/>
        <s v="(Ana Cintra) Às 8:40h usuária não atende à chamada."/>
        <s v="08/08 (Lari) Paciente bastante ansiosa, refere sincope e persistencia da cefaleia. Encaminho a emergencia."/>
        <s v="(Ana Cintra) Às 8:50h usuária não atende à chamada."/>
        <s v="(Thiago) Às 15:00h, usuária não atende à chamada."/>
        <s v="(Thiago) Às 09:47h, usuária não atende à chamada."/>
        <s v="(Camilla) Às 16:10, celular da paciente desligado"/>
        <s v="taty(09:09 ) Paciente refere melhora do sangramento feito orientação "/>
        <s v="TATY (09:31)  Tentativa sem sucesso "/>
        <s v="Joanna (8h55): solicitou que ligasse às 14h. Joanna (14h10; 16h39): não atendeu"/>
        <s v="11/08 (Lari) Realizado monitoramento. Prescrito antibiotico para sludge. Paciente sem sangramento. PN agendado."/>
        <s v="ligar as 10h, avaliação do mobilograma - (Marta) Entrou novamente como demanda espontânea, colocado monitoramento para amanhã devido encaminhamento à maternidade"/>
        <s v="11/08 (Lari) Paciente não atendeu. Taty ( 08:27) Paciente nao atendeu "/>
        <s v="(Thiago) Às 09:23h, telefone da usuária não recebe a chamada."/>
        <s v="Elaine (9h; 11h15): não atendeu."/>
        <s v="Taty ( 08:52) Telefone desligado (10:24) Telefone desligado (12:26 ) telefone desligado "/>
        <s v="( ianne) 13h30 gestante não atende ligaçao"/>
        <s v="Taty (08:42) Paciente nao atendeu (10:23) Paciente nao atendeu ( 12:20) nao atendeu "/>
        <s v="(Thiago) Às 11:15h, gestante com quadro inalterado de pródromos de TP, contactar às 15h para nova reavaliação."/>
        <s v="(Thiago) Às 16:00h, usuária encaminhada à Barros Lima, IG 41s."/>
        <s v="Taty ( 08:37) Telefone desligado ( "/>
        <s v="Taty (14:51 ) telefone desligado "/>
        <s v="Taty( 08:15) Telefone não nao existe "/>
        <s v="Taty ( 08:10) paciente não atendeu "/>
        <s v="(Thiago) paciente fora da residência, pede para retomar a ligação às 9:00h."/>
        <s v="Taty ( 09:06 ) telefone desligado "/>
        <s v="(Thiago) Às 18:10h, paciente encaminhada a Barros Lima para avaliação presencial por sangramento transvaginal e pródromos."/>
        <s v="Taty ( 09:13) telefone desligado "/>
        <s v="Fabiane (14:50) Paciente não realizou o teste para covid 19, D5 do inicio dos sintomas"/>
        <s v="TATY (09:20) Paciente encontra -se internada na barro Lima em trabalho de parto. , "/>
        <s v="(Thiago) Às 08:00h, usuária não atende à chamada."/>
        <s v="Faltou colocar resumo do monitoramento"/>
        <s v="11:40 ( taty) Paciente nao atendeu "/>
        <s v="(Thiago) Às 08:30h, usuária realizou teste para covid19 - negativo."/>
        <s v="Gestante sem queixas no momento. Oriento manutenção do PN e urocultura de controle após tto de ITU."/>
        <s v="taty ( 12:35 Paciente refere diminuição da dor, porem ainda exteriorizada  , ausência de evacuações hoje , continua com os cuidados orientados "/>
        <s v="(Camilla) Tento contato às 08:18, sem sucesso (telefone fora de área ou desligado)"/>
        <s v="(Fabiane) tento contato as 14:00 sem sucesso "/>
        <s v="Às 09:12 não atendeu."/>
        <s v="taty ( 09:19) paciente refere melhora da falta de ar, porem relata vertigem / tontura, refoço a importancia da avaliação na APS"/>
        <s v="Taty( 09:58) telefone desligado "/>
        <s v="TATY (08:16) Paciente nao atendeu "/>
        <s v="Taty ( 10:04) Paciente nao atendeu "/>
        <s v="Taty( 09:49) Paciente nao atendeu "/>
        <s v="Taty (09:46) Paciente nao atendeu"/>
        <s v="ianne: Ajustado metildopa. Ofertado TINC"/>
        <s v="ianne (08h30) telefone desligado"/>
        <s v="23/08 15h (Lari) Realizado monitoramento. Paciente assintomática, procurou atendimento com PA normal. R// AAS + Cálcio"/>
        <s v="Taty (15:21) Não completa ligaçãi pelo fixo  "/>
        <s v="ianne: orientaçoes sobre puerperio/ rede de apoio/ descanso"/>
        <s v="ianne: paciente com melhora dos sintomas. solicito urocultura pós tratamento p ITU"/>
        <s v="(Thiago) Às 08:22h, usuária não atende à chamada."/>
        <s v="(Thiago) ÀS 08:34h, telefone da usuária desligado."/>
        <s v="taty( 10:54) telefone desligado "/>
        <s v="Taty( 11:20) paciente procurou atendimento presencial, sem queixas e refere melhora do sangramneto "/>
        <s v="08:34 (taty) paciente nao atendeu "/>
        <s v="8h25 (Lari) Não atedeu"/>
        <s v="Entrou como demanda diura hoje - registrado como teleconsulta (Marta). (Taty) Paciente informou que procurou atendimento presencial , onde realizou uma nova USG transvaginal , medicada e recebeu alta, hoje sem queixas "/>
        <s v="(Thiago) Às 13:20h, usuária não atende à chamada."/>
        <s v="09:07( taty) telefone sesligado "/>
        <s v="09:39 (Taty) Não atendeu a chamada "/>
        <s v="( Thiago) Às 15:35h, o telefone da usuária não está disponível."/>
        <s v="08:22 (Taty) paciente nao atendeu"/>
        <s v="Ajuste de drogas para crise de asma. Reavaliação com 48h."/>
        <s v="(Thiago) Às 08:57h, usuária não atende à chamada."/>
        <s v="08h30 Paciente não atende. Entretanto pelo PEC foi atendida pela unidade de saude e agendado coleta deo teste do covid"/>
        <s v="08h40 Paciente não atende. Checar se melhora de nauseas e vomitos, oferecer tinc e sinalizar criterio de PNAR para equipe assistente (obesidade)"/>
        <s v="09h Paciente não atende. Avaliada por tele atendimento por enfermeira da unidade ontem. Atenção para não termos atrasos no inicio de antibioticoterapia"/>
        <s v="(Thiago) Às 09:01h, usuária não atende à chamada."/>
        <s v="(Thiago) Às 09:05h, usuária não atende à chamada."/>
        <s v="(Thiago) Às 09:09h, usuária não atende à chamada."/>
        <s v="09:04 (taty) no momento da ligação paciente esta no posto para consulta "/>
        <s v="09:12 (taty) telefone desligado; 16:34 chama e não atende."/>
        <s v="(Thiago) Às 09:50h, familiar informa que a usuária encontra-se internada na maternidade Arnaldo Marques, realizou PC em 07/09, por apresentação pélvica, sem intercorrências. Como não realizei valiação da paciente, não efetuo registro no PEC."/>
        <s v="(Thiago) Às 11:00h, paciente refere melhoras das dores e do sangramento. Encerro monitoramento."/>
        <s v="(Thiago) Às 15:48h, usuária refere melhora da cefaleia e da náusea. Encerro monitoramento."/>
        <s v="(Thiago) Às 09:16h, a usuária não atende à chamada."/>
        <s v="Ligar após 17h (Thiago) Às 17:25h, usuária não atende à chamada."/>
        <s v="(Thiago) Às 09:18h, a usuária não atende à chamada."/>
        <s v="(Thiago) Às 11:00h, gestante encaminhada à Barros Lima para avaliação obstétrica por diminuição dos movimentos fetais."/>
        <s v="(Thiago) Às 12:27h, usuária informa que está a caminho de sua consulta no PNAR do HMR, mas não conseguiu comparecer à maternidade para avaliação presencial ontem. Confirmar acesso à consulta de hoje no final da tarde."/>
        <s v="(Thiago) Às 17:58h, gestante mantendo sinais e sintomas leves de pórdromos do TP. Encerro monitoramento do AG."/>
        <s v="taty ( 08:26 ) paciente nao atendeu)"/>
        <s v="taty ( 13:30) paciente nao procurou o serviço como orientado anteriomente, paciente com queixas de cefaleia e diminuição dos MF, no momento do telemonitoramento PA 114x78, auto aferiçao supervisionada"/>
        <s v="TATY ( 09:03) telefone oculpado "/>
        <s v="(Thiago) Às 16:26h, o número da usuária não está recebendo ligação."/>
        <s v="(taty) Paciente buscou atendimento presencial, realizou USG, cardiotoco, rotina de PE, iniciou metildopa. hoje refere cefaleia "/>
        <s v="Taty ( 11:00) Paciente  procurou o ambulatorio do ham e marcou PNAR para  20/09, no  momento da teleconsulta referiu melhora da cefaleia e negou qualquer sinal de eminincia ou outra queixa. "/>
        <s v="ianne (8h35) telefone desligado"/>
        <s v="Lari (14h) Encaminho a Maternidade 36s3d com dor a cada 1h"/>
        <s v="Taty ( 08:05) Microcip sem funcionar "/>
        <s v="ianne (8h45) telefone desligado"/>
        <s v="Não foi à USF, irá buscar atendimento segunda-feira. Refere melhora do corrimento, mantém prurido discreto. Nega sinais de alerta e outras queixas."/>
        <s v="(Thiago) Às 14:48h, usuária não atende à chamada."/>
        <s v="19/09 10h (Lari) Paciente não atendeu"/>
        <s v="17 /09 (taty) MicroSip sem funcionar as 10:40  as 13:17, as 14:11"/>
        <s v="taty ( 13:08) Paciente nao atendeu (Thiago) Às 15:33h, usuária não atende à chamada."/>
        <s v="ianne (15:17) Atende e desliga em seguida"/>
        <s v="(Thiago) Às 13:00h, gestante não compareceu à maternidade Bandeira Filho, refere melhora da dor lombar e que realizará consulta marcada em seu pré-natal em 48h."/>
        <s v="Joanna (9h10): não atendeu"/>
        <s v="Joanna (9h; 17h48): não atendeu"/>
        <s v="Refere melhora da cefaleia. Informo acerca da consulta agendada na USF (22/09 às 8h)."/>
        <s v="ianne (16h45) telefone desligado"/>
        <s v="Gestante nega perda de líquido há 24h e refere movimentos fetais normais."/>
        <s v="(Thiago) Às 15:30h, gestante refere melhora do quadro. Encerro monitoramento."/>
        <s v="Taty ( 10:56) paciente procurou atendimento presencial, a causa do sangramento seria hemorroida, PA normal e no momento sem queixas "/>
        <s v="(Thiago) Às 10:22h, usuária não atende à ligação. taty (12:48) paciente nao atendeu"/>
        <s v="(Thiago) Às 08:00h, usuária não atende à chamada.(Thiago) Às 14:23h, usuária não atende à chamada."/>
        <s v="(iann) 13h55 paciente não atende ligação"/>
        <s v="15h30 chama 1x e cai."/>
        <s v="Ligar as 14h30, pela manha paciente no PN "/>
        <s v="Paciente não foi para atendimento presencial, refere que as contrações cessaram."/>
        <s v="Joanna (8h38): não atendeu / Fabiane (15:10) Número ocupado"/>
        <s v="DU 3/45&quot;60&quot;40&quot;/10'. Encaminho à maternidade (HMR)."/>
        <s v="08h20 (Lari) Paciente sem queixas, vai agendar PN hoje."/>
        <s v="Joanna (17h; 17h30): Não atendeu"/>
        <s v="Encontra-se na MBF, parto cesareo (28/09 às 20h32), sem queixas. "/>
        <s v="(Thiago) Às 08:25h, usuária não atende à chamada."/>
        <s v="Taty (08:41) pacente encontra-se na maternidade foi avaliada ontem como orientado e hoje aguardando para USG liga para 07h 83996325965 (esposo ) seu numero é so whatsapp "/>
        <s v="Não atende (16h)"/>
        <s v="(Ianne) paciente com melhora do quadro respiratorio. Apresenta desejo de LTB, em SISREG solicitação de planejamento familiar desde maio, permanece em fila. Martinha informa que já foi realizado evento sentinela desta situação"/>
        <s v="taty ( 16:00) monitoramento realizado, paciente sem sangramento, contração de treinamento"/>
        <s v="Fabiane (08:50) telefone na caixa postal. Joanna (13h16): não atendeu"/>
        <s v="Taty ( 14:51) encaminho paciente a materniddae contraçoes ritimadas, dolorosa (4 em 10mim)"/>
        <s v="taty (08:57) nao atendeu"/>
        <s v="Taty (08:44) paciente refere esta sem queixas, continua com presença de secreçao descreta, sem prurido e odor "/>
        <s v="Não foi à US porque o ACS informou que o atendimento deveria ser urgência obstétrica. Encaminho novamente à APS."/>
        <s v="(Thiago) Às 13:40h, usuária não atende à chamada."/>
        <s v="Mobilograma sem alteração. Oriento manutenção do PN (agendar consulta), oriento acerca dos sinais de alerta e trabalho de parto."/>
        <s v="Joanna (8h25): não atendeu"/>
        <s v="Encaminhada a maternidade para avaliação do bem-estar fetal por idade gestacional e pródromos de trabalho de parto."/>
        <s v="Taty (10/10) realizo monitoramento, paciente nega queixas, porem perfil glicemico alterado, encaminho a mesma a APS apos realização TINC com dra Jessica. "/>
        <s v="Gestante encontra-se na Maternidade Professor Arnaldo Marques com indução de trabalho de parto iniciada por idade gestacional."/>
        <s v="(Thiago) Às 08:20h, paciente não atende à chamada."/>
        <s v="Ligar 11/10 - usuária estava na maternidade aguardando atendimento. Se não atender nessa data, colocar falta"/>
        <s v="(Camilla) Gestante encaminhada para atendimento médico para atestado médico."/>
        <s v="Encerramento do monitoramento."/>
        <s v="ianne (15h30) ligação cai"/>
        <s v="Joanna (13h; 15h30; 17h30): não atendeu"/>
        <s v="Encaminhada para maternidade. "/>
        <s v="Parto cesáreo realizado hoje (IMIP)."/>
        <s v="(Thiago) Às 08:30h, 10:30h, usuária não atende à chamada. (Thiago) Às 13:30h, 16:00h, usuária não atende à chamada."/>
        <s v="Foi à Maternidade Barros Lima em 13/10. Refere que não apresentava alterações ao exame físico. Orientada a retornar caso entre em TP ou apresente queixas. No momento, segue sem queixas ginecológicas e sinais de alerta, com melhora do quadro de cefaleia. M"/>
        <s v="(Thiago) Às 09:50h, 11:18h, usuária não atende à chamada."/>
        <s v="Informa que não foi à US, pois apresenta redução do corrimento vaginal. No momento, o corrimento está em menor quantidade, porém, mantém as características iniciais. Informa que buscará atendimento amanhã. Cd: Enc para atendimento presencial; reforço impo"/>
        <s v="Nega novo episódio de sangramento e outras queixas obstétricas. Cd: Oriento acerca dos sinais de alerta, manutenção do PN, finalizo telemonotoramento."/>
        <s v="Foi à urgência obstétrica do Hospital Barão de Lucena em 16/10. Recebeu diagnóstico de candidíase vaginal, prescrito Nitrato de Miconazol (1x/noite por 7 dias), realizou USG TV. Refere que foi informada acerca da possibilidade de aborto, visto que a USG e"/>
        <s v="10h Pct sem novas queixas. Oriento sinais de alerta. Alta do episódio."/>
        <s v="(Camilla) 08h12 - Falo com gestante pelo telefone, ela pede para ligar às 16h, quando estiver em casa de volta do trabalho."/>
        <s v="(Thiago) Às 08:08h, usuária não atende à chamada."/>
        <s v="(Thiago) Às 08:12h, 11:20h, usuária não atende à chamada."/>
        <s v="(Thiago) Às 08:35h, paciente encerrou a chamada antes do término do atendimento. Tentar novamente contato. Às 11:20h, usuária não atende à chamada."/>
        <s v="(Thiago) Às 08:45h, 11:25h, usuária não atende à chamada."/>
        <s v="Fabiane (08:55) telefone na caixa postal"/>
        <s v="(Thiago) Às 14:21h, usuária não atende à chamada."/>
        <s v="Taty ( 08:34) nao atendeu; Joanna (10h30): não atendeu"/>
        <s v="Taty ( 09:23) Paciente nao atendeu "/>
        <s v="taty (18:16) paciente encaminhada a emergencia TPP?"/>
        <s v="Taty (09:11) Paciente procurou atendimento presencial, avaliada e liberada , oriento paciente "/>
        <s v="Às 14:24, gestante atende e quando me identifico, ligação cai. Ligo novamente e não atende."/>
        <s v="Não atendeu"/>
        <s v="(Lari) Alta do monitoramento. Não está em fase ativa"/>
        <s v="Taty (08:50)  no momento do teleatendimento estava  internada na HBL, após transferência da Maternidade bandeira filho, onde procurou atendimento presencial; no memento refere dor lombar e em MIE, em tratamento para ITU e foi interrogado TVP em MIE , agua"/>
        <s v="Refere que continua com tosse, nega presença de novos sintomas, queixas obstétricas e sinais de alerta. Em uso: Predsim + Arlivry. TR-Covid (23/10): negativo. Próxima consulta de PN: 30/10."/>
        <s v="(30/10 Taty - 08:19) paciente nao atendeu"/>
        <s v="Taty (08:42) paciente nao atendeu"/>
        <s v="(30/10 taty - 08:22)  Paciente estava no USF para PN, Tentar a tarde"/>
        <s v="Joanna (12h; 14h; 16h20): não atendeu"/>
        <s v="(Thiago) Às 11:15h, usuária não atende à chamada."/>
        <s v="(Thiago) Às 17:10h, usuária não atende à chamada."/>
        <s v="Joanna (17h30): não atendeu"/>
        <s v="Joanna (17h35): não atendeu"/>
        <s v="Joanna (17h45): não atendeu"/>
        <s v="taty (09:08) paciente nao atendeu. (Thiago) Às 17:05h, usuária não atende à chamada."/>
        <s v="(Lari) 08h30 Paciente não atendeu"/>
        <s v="(Thiago) Às 17:12h, usuária não atende à chamada."/>
        <s v="(Lari) 08h35 Paciente não atendeu. "/>
        <s v="9h(ianne) atende e desliga// depois não atende mais"/>
        <s v="(Lari) 08h40 Paciente não atendeu. "/>
        <s v="Joanna (9h22; 12h; 14h; 17h26): não atendeu"/>
        <s v="08h40 (ianne) Não atende)"/>
        <s v="08:36 (Camilla) Gestante refere melhora do quadro gripal (D8 hoje) e confirma que compareceu a sua 1ª consulta de PN no dia 31/10. Alta do episódio."/>
        <s v="Joanna (15h; 17h20): telefone indisponível."/>
        <s v="09:45 (Camilla) Usuária refere ausência de sangramento e outros sintomas. Dou alta do episódio."/>
        <s v="Refere que realizou o mobilograma novamente e constatou 10 movimentos fetais. Nega queixas obstétricas no momento. Finalizo telemonitoramento."/>
        <s v="Joanna (11h): atendeu e desligou. 14h20 - não atendeu."/>
        <s v="(Thiago) Gestante compareceu para atendimento presencial na Arnaldo Marques ontem, foi medicada, refere melhora da dor em região dorsal e iniciará tratamento para ITU com cefalexina hoje, conforme prescrito durante atendimento."/>
        <s v="Taty (11H) Paciente esqueceu o celular na casa da mae, ligar as 15:30"/>
        <s v="Às 10h, telefone fora de área ou desligado."/>
        <s v="Joanna (15h; 17h; 18h): não atendeu"/>
        <s v="Às 15h15, ligo, mas gestante não atende. (ligar as 15h para reavaliar perda de liquido? )"/>
        <s v="Fabiane (08:40) paciente não atende."/>
        <s v="(Thiago) Às 8:07h, usuária não atende à chamada."/>
        <s v="(Lari) 08h Paciente não atende"/>
        <s v="Taty (17h) paciente nao atendeu"/>
        <s v="Taty ( 09:44) ITU , 28/"/>
        <s v="taty(09:11) Paciente estava no posto, aguardando confirmação de atendimento "/>
        <s v="Gestante foi para avaliação presencial no hospital da mulher. Refere melhora da cólica. Encerro monitoramento. "/>
        <s v="Encaminhada para Ianne -  discussão de ITU"/>
        <s v="Joanna (13h30; 18h): não atendeu"/>
        <s v="Refere que não buscou atendimento presencial e que irá na próxima sexta. Mantém coriza, mas apresenta melhora considerável. Nega sinais de alerta e queixas obstétricas. Cd: Reforço importância da avaliação presencial e realização do TR Covid; Oriento paci"/>
        <s v="(Thiago) Às 08:20h, usuária não atende à chamada."/>
        <s v="USG evidenciando istmocele e possível adenomiose; Gravidez não confirmada. Cd: Recomendo que busque atendimento na US de referência para seguimento do caso. Finalizo telemonitoramento. "/>
        <s v="(Thiago) Às 15:05h, usuária não atende à chamada."/>
        <s v="(Thiago) Às 08:50h, 10:20h, usuária não atende à chamada."/>
        <s v="(Lari) Paciente informa que conseguiu agendar PN para amanha"/>
        <s v="Fabiane (08:35). Gestante refere que a diarreia já cessou. Encerro monitoramento."/>
        <s v="(Lari) Realizo monitoramento, ainda não foi avaliada pela suspeita de TVP. Vai para o HMR."/>
        <s v="Gestante conseguiu acesso ao pré-natal ontem. De acordo com seu relato, tudo está transcorrendo bem na gestação. Foi orientada a buscar a urgência em caso de sinais de TP e/ou sinais de alerta e/ou com 41s (dia 25/11) para avaliação obstétrica. Encerro o "/>
        <s v="(Thiago) Usuária realizou novo atendimento e foi encaminhada para Bandeira Filho com BR."/>
        <s v="Fabiane (15:00) Gestante foi para avalição presencial. Foi descatado TPP, foi medicada e liberada."/>
        <s v="Joanna (8h; 9h): não atendeu."/>
        <s v="Gestante com quadro sugestivo de franco TPP, aciono SAMU para remoção para maternidade mais próxima - Arnaldo Marques."/>
        <s v="Fabiane (08:40) telenofe na caixa postal."/>
        <s v="taty (08:30) paciente se encontra na maternidade  bandeira filho, pariu 22/11 as 19:48, puerpera e RN estao bem "/>
        <s v="Gestante informa que sangramento cessou. Nega outros sintomas. Encerro o caso"/>
        <s v="ligar a tarde, paciente sem poder falar;   Taty ( 13:51) nao atendeu"/>
        <s v="taty (09:13) paciente nao atendeu ( nao atendeu 13:50 )"/>
        <s v="(Lari) Paciente refere que procurou a maternidade, foi avaliada, afastado TPP e foi liberada."/>
        <s v="(Thiago) Às 08:25h, 09:25h, usuária não atende à chamada."/>
        <s v="Usuária compareceu a UPA, foi prescrito dipirona e repouso. Refere melhora dos sintomas."/>
        <s v="28/11: Assintomática no momento, não foi à USF, irá próxima sexta, enfermeira ciente do caso."/>
        <s v="Joanna (8h6; 10h58; 12h45; 15h42; 17h21): não atendeu"/>
        <s v="Fabiane (15:00) telefone na caixa postal."/>
        <s v="Fabiane (15:15) telefone na caixa postal."/>
        <s v="Mobilograma - 5MF/1h, dor élvica associada a micção"/>
        <s v="Entrou como demanda noturna. DU: 3/50&quot;90&quot;53&quot;/10'. Cd: Encaminho à maternidade."/>
        <s v="Joanna (17h30): número indisponível"/>
        <s v="Refere que foi atendida na Maternidade Bandeira Filho, ficou em observação devido dilatação do colo uterino = 3cm e contrações, porém, após as 12h as contrações diminuíram. Sendo assim, foi orientada a retornar para nova avaliação se as contrações retorna"/>
        <s v="Joanna (8h30; 14h15; 16h35; 17h15): não atendeu"/>
        <s v="taty (08:47) paciente nao atendeu (12:30) Não atendeu"/>
        <s v="Joanna (8h36; 13h55; 17h29): não atendeu"/>
        <s v="informa melhora da cefaleia após uso do Paracetamol. Segue sem outras queixas ou sinais de alerta."/>
        <s v="Joanna (15h; 15h30; 16h25; 17h20): telefone desligado"/>
        <s v="(Thiago) Às 09:30h, 10:30h, 11:30h, telefone indisponível."/>
        <s v="Gestante refere que &quot;a dor de dente passou&quot; e que tomou dipirona apenas no domingo. Tem consulta de PN e odontológica dia 20/12. Dou alta do evento e finalizo atendimento."/>
        <s v="(Lari) Paciente internada no IMIP por TPP + iteratividade "/>
        <s v="Ligar às 15h (Thiago) Às 15:20h, o telefone da usuária não está disponível. "/>
        <s v="(Thiago) Às 17:25h , não consigo contato com usuária por nenhum número cadastrado."/>
        <s v="Gestante informa que sangramento cessou e que não está mais sentindo cólicas. Foi examinada na Barros Lima, com colo fechado ao toque vaginal. Hoje decidiu fazer uma USG particular que está agendada para as 17h. Como sintomas cessaram, oriento que agende "/>
        <s v="Fabiane (08:30) Paciente refere que foi para atendimento presencial. Relata melhora dos sintomas. Encerro monitoramento."/>
        <s v="Gestante procurou a Bandeira Filho e foi transferida para o HBL, onde se encontra internada para tratamento clínico."/>
        <s v="Fabiane (09:30) Paciente não atendeu. (15:30) Telefone não chama."/>
        <s v="Gestante refere que foi atendida na Bandeira Filho ontem, conforme orientada pela equipe do Atende. Hoje, nega queixas. Dou alta do episódio e encerro caso."/>
        <s v="Fabiane (11:10) Paciente não atendeu. (15:40) Telefone na caixa postal."/>
        <s v="Joanna (10h; 14h; 15h; 16h33; 17h37): não atendeu"/>
        <s v="Joanna (10h): não atendeu"/>
        <s v="Joanna (9h6): telefone desligado"/>
        <s v="Joanna (9h6; 11h11; 14h30; 17h08; 17h50): telefone desligado; Registro falta no PEC."/>
        <s v="Refere que mantém contrações irregulares de intensidade variável (registro do horário das últimas contrações: 13h40; 14h15). Nega perdas vaginais, cefaleia e outros sinais de de alerta. Refere que mantém o mesmo padrão de movimentação fetal. Cd: Ir a mate"/>
        <s v="Refere melhora da dor de cabeça após uso do Paracetamol 500 mg. Nega outras queixas."/>
        <s v="Fabiane (09:30) Telefono na caixa postal."/>
        <s v="Gestante sem perda de LA. Normotensa, sem contrações. Oriento observar sinais de alerta e ou trabalho de parto e comparecer ao PN dia 13/12."/>
        <s v="(Lari) Realizo telemonitoramento. Pct sem queixas"/>
        <s v="Foi atendida na APS, PA normal. Pródromos de trabalho de parto."/>
        <s v="Gestante foi para atendimento presencial na Barros Lima foi avaliada, medicada e liberada. Estava em falso trabalho de parto. Encerro monitoramento."/>
        <s v="Ligar as 15h Confirmar acesso"/>
        <s v="(Thiago) Às 10:26h, usuária não atende à chamada"/>
        <s v="Joanna (13h; 15h37): não atendeu"/>
        <s v="telefone do marido - ligar as 16h30. Tentamos contato, mas não atende. Telefone da filha cauane: 992627834"/>
        <s v="Ligar às 13h"/>
        <s v="(Thiago) Às 10:32h, usuária não atende à chamada."/>
        <s v="Joanna (11h46): telefone ocupado"/>
        <s v="(Thiago) Às 11:49h, gestante clinicamente bem, encerro monitorameto."/>
        <s v="Ligar para 8618-1502 (Thiago) Às 10:00h,12:00h, usuária não atende à chamada."/>
        <s v="(Thiago) Às 12:10h, gestante clinicamente bem, encerro monitorameto."/>
        <s v="Às 08:44, tento contato 2 vezes, mas sem sucesso."/>
        <s v="(Lari) 9h telefone desligado"/>
        <s v="(Thiago) Às 11:00h, 13:00h, gestante não atende à ligação."/>
        <s v="Joanna (8h30; 11h20; 15h7): não atendeu"/>
        <s v="Joanna (8h35; 11h20): não atendeu"/>
        <s v="(Thiago) Às 08:00h, 09:00h, usuária não atende à ligação."/>
        <s v="16h30 (Camilla) Aterndo e encaminho à urgencia para analgesia, avaliação e coleta de exames"/>
        <s v="Ligar as 18h ( avaliar contraçoes e desconforto pelvico)"/>
        <s v="(Thiago) Às 08:10h, 09:10h, usuária não atende à ligação."/>
        <s v="Gestante realizou atendimento na Bandeira Filho, afastado ITU, liberada para casa."/>
        <s v="Joanna (8h36; 11h20; 15h35; 17h28): não atendeu (registro falta no PEC)"/>
        <s v="Gestante entrou em contato novamente para informar resultado positivo para teste de covid19. Confirmar acesso à USF ou maternidade."/>
        <s v="Orientado paciente sobre sinais de alerta, monitoramento com 48 h"/>
        <s v="(Thiago) Gestante se encontra em sua USF de referência para realçização de consulta pré-natal."/>
        <s v="20/12 (ianne) não atende telefone"/>
        <s v="20/12 (ianne) Paciente recusa chamada ( encaminhada em TP, tentar contato novamente a tarde)"/>
        <s v="(Thiago) Às 09:40h, suária não atende à chamada."/>
        <s v="21/12 (ianne 15h10) desligado// 21/12 (ianne) 8h45  paciente não atende. Registrado em PEC atendimento de urgencia, teste covid +, hb 9.2. Caso consiga entrar em contato mais tarde, recomendar o sulfato ferroso 3x ao dia "/>
        <s v="21/12 (ianne) Realizado atendimento, solicitado exames lab, marcado PNAR devido IG  e sem contato com enf ou medico. "/>
        <s v="21/12 (ianne) 15h15 não atende// 21/12 (ianne) 09h não atende. Sind gripal já monitorada ontem"/>
        <s v="(Lari) Paciente evoluiu para abortamento completo. Acolho paciente."/>
        <s v="(Thiago) Às 10:20h, suária não atende à chamada."/>
        <s v="(Thiago) Usuária encontra-se internada na Maternidade Barros Lima."/>
        <s v="ianne - monitoramento realizado dia 02/01. Paciente foi a consulta 29/12. Encerro telemonitoramento"/>
        <s v="(Thiago) Usuária apresenta melhora dos sintomas, D3 dos sintomas hoje."/>
        <s v="Ianne (9h40): paciente não atende"/>
        <s v="(Thiago) Gestante refere melhoras dos sintomas, realizou atendimento na Bandeira Filho e foi liberada em seguida."/>
        <s v="ianne (9h55) monitoramento realizado"/>
        <s v="Joanna (9h40; 15h; 17h42): não atendeu (Falta registrada no PEC)"/>
        <s v="(Lari) Paciente foi avaliada no HMR e liberada. Finalizo monitoramento"/>
        <s v="10h (ianne) telefone desligado"/>
        <s v="(ianne) 13h paciente não atende"/>
        <s v="(Thiago) Às 09:17h, 10:30h, usuária não atende à chamada."/>
        <s v="(Thiago) Às 09:25h, usuária não atende à chamada."/>
        <s v="(Thiago) Às 11:00h, gestante realizou atendimento na Bandeira Filho, foi liberada em seguida."/>
        <s v="Joanna (11h): não atendeu"/>
        <s v="Joanna (17h30; 18h): não atendeu"/>
        <s v="(Thiago) Às 11:15h, gestante testou positivo para covid19, D3 hoje, sem sinais de gravidade."/>
        <s v="(Thiago) Às 11:55h, 14:00h, gestante não atende à ligação."/>
        <s v="02/01 - Joanna (7h40; 9h20; 11h25): não atendeu"/>
        <s v="ianne 9h07 - caixa postal"/>
        <s v="ianne 9h10 - paciente não atende a chamada"/>
        <s v="Joanna (17h; 17h25): não atendeu (Falta registrada no PEC)"/>
        <s v="Joanna (8h8): não atendeu"/>
        <s v="Joanna (8h10): não atendeu"/>
        <s v="Gestante no 6º dia do início dos sintomas, assintomática há 3 dias. Nega sinais de alerta e queixas obstétricas. Encontra-se na USF para consulta de PN."/>
        <s v="Refere que foi à Maternidade Memorial Guararapes, apresentava 3cm de dilatação, BCF = 132bpm, orientada a retornar se entrar em trabalho de parto ou com IG = 41s. Segue sem queixas no momento. MF +. Mantém contrações irregulares."/>
        <s v="Refere presença de 4 movimentos fetais em 1h. Encaminho para avaliação na maternidade."/>
        <s v="Joanna (16h15; 17h): não atendeu (registro falta no PEC)"/>
        <s v="(Thiago) Às 09:00h, usuária não atende à ligação.(taty) as 11h paciente nao atendeu"/>
        <s v="Joanna (8h10; 11h): não atendeu"/>
        <s v="Joanna (9h; 11h; 16h17; 17h): não atendeu"/>
        <s v="Taty (08:33; 15:56) paciente nao atendeu"/>
        <s v="Refere que não foi à urgência porque não tinha com quem deixar a filha, mas está se organizando para ir à USF. Mantém os mesmos sintomas. Sem PA aferida. Reforço a necessidade de atendimento na urgência obstétrica (recomendo HMR); Explico os riscos de não"/>
        <s v="Ianne (15h30/16h11) não atendeu"/>
        <s v="Joanna (17h14; 17h30): não atendeu (falta registrada no PEC)"/>
        <s v="Taty (08:25) paciente refere sangramento em pequena quantidade, atendida na arnaldo marque, HD ameaça de aborto, aguarda usg."/>
        <s v="Paciente refere melhora da dor bv( 2 contraçoes moderada em 4h) sem perdas vaginais, refere cefaleia que melhorou com uso de dipirona, oriento quanto sinais de alerta e trabalho de parto"/>
        <s v="taty ( 09:11) Paciente refere melhora da dor, contraçoes irregulares, foi a consulta do PN feto com boa vitalidade"/>
        <s v="ianne - paciente foi a emergencia do hapvida por conta propria. Vamos monitorar amanha para avaliação após ace"/>
        <s v="Taty(09:50) paciente refere inicio de tratamento para ITU, dor pelvica continua "/>
        <s v="(Thiago) Às 10:00h, 11:30h, o telefone da usuária não está recebendo ligação."/>
        <s v="(Thiago) Usuária após o atendimento no AG, procurou sua USF, foi avaliada e liberada em seguida, segue sem queixas."/>
        <s v="Joanna (8h32; 10h40): não atendeu"/>
        <s v="Taty (09:20) paciente refere melhora da sintomatologia, reforço a importancia de manter o PN, paciente nao esta comparecendo as consultas"/>
        <s v="Joanna (9h; 10h40; 15h; 16h22): caixa postal (falta registrada no PEC)"/>
        <s v="Refere melhora da diarreia, nega novas queixas. "/>
        <s v="10:50 ( taty) Paciente refere melhora do quadro de diarreia e vomitos "/>
        <s v="11:20(taty) paciente nao atendeu a ligação "/>
        <s v="11:30( taty) paciente procurou atendimento presencial , avaliada e liberada, refere melhora da queixa "/>
        <s v="Refere melhora dador pélvica após uso do Buscopan, ao longo do dia 2 evacuações, dor de cabeça leve, fez uso de Paracetamol por volta das 15h30. Nega presença de sinais de alerta e outras queixas. "/>
        <s v="Joanna (16h; 17h30): telefone indisponível (falta registrada no PEC)"/>
        <s v="Joanna (8h26): não atendeu"/>
        <s v="taty (09:30) paciente nao atendeu (12:50) nao atendeu"/>
        <s v="Joanna (8h24): não atendeu (13:14 ) Paciente não atendeu"/>
        <s v="Refere que apresentou sangramento vaginal e foi à Maternidade Barros Lima. Foi informada que o colo uterino estava fechado, administrado Buscopan, USG obst. agendada para o dia 12/01. Mantém cólica de baixa intensidade, nega novo episódio de sangramento e"/>
        <s v="taty (09:50) Paciente nao atendeu (12:15) nao atendeu"/>
        <s v="taty (16:11) paciente não atendeu "/>
        <s v="taty(09:12) paciente não atendeu (Falta registrada no PEC dia 13/01)"/>
        <s v="13/01 (Joanna): Foi à USF Josué de Castro (11/01), PA 120/60 mmHg. Refere melhora da dor em BV e cefaleia. Nega novas queixas obstétricas e sinais de alerta."/>
        <s v="taty ( 09:50) paciente nega queixa no momento, em repouso e em uso de ultragesta, "/>
        <s v="taty (11:36)Paciente atende e nao responde no hopchat"/>
        <s v="taty (09:09) telefone desligado"/>
        <s v="Taty (15:40) paciente procurou a unidade e nao conseguiu realizar o teste , remarcado para dia 22/01, a mesme refere que ira tentar realizar particular. HAS e DM, em uso de glifage, losartana e hidrocloritiazida, MF presente."/>
        <s v="taty (16:00) Paciente nao atendeu "/>
        <s v="Taty (16:45) nao completou a ligação "/>
        <s v="(Thiago) Às 14:30h, gestante não se encontrava disponível para contato no referido número."/>
        <s v="Joanna: Refere que foi à USF ontem e foi informada que a enfermeira está de férias. Não fez o BHCG na rede particular, agendou exame para o dia 22/01. Sem queixas no momento. "/>
        <s v="Joanna: Refere melhora da disúria. Nega novas queixas."/>
        <s v="Taty: paciente refere que buscou atendimento na HMR, onde foi avaliada;  melhora na sintomatologia e nega novas queixas , "/>
        <s v="Joanna: Foi atendida na USF hoje. Sem queixas no momento. "/>
        <s v="Aborto espontâneo"/>
        <s v="Gestante concluiu tratamento para ITU, econtra-se assintomática, colherá urocultura. Receberá resulatdo de exames em 22/02/24."/>
        <s v="Joanna (8h; 8h30): não atendeu"/>
        <s v="(Thiago) Às 08:30h, usuária não atende a chamada."/>
        <s v="(Thiago) Às 08:45h, usuária não atende a chamada."/>
        <s v="Taty (10:24)Usuaria sem queixas no momento, procurou a unidade porem sem data da consulta , profissionais de ferias"/>
        <s v="Taty (09:16) usuaria não atendeu "/>
        <s v="Joanna (10h37; 15h37): não atendeu (Falta registrada no PEC)"/>
        <s v="Taty (09:22) refere que foi ontem na USF, porem nao teria profissional disponivel para atendela, ainda com cefaleia, porem leve, PA 130*80,oriento uso de analgesico e monitoramento a tarde"/>
        <s v="Joanna (15h56): não atendeu"/>
        <s v="Joanna (10h28; 14h10; 17h21): não atendeu"/>
        <s v="Joanna (14h10): refere melhora da cefaleia e náusea. Sem queixas no momento."/>
        <s v="taty (15:40) Mobilograma com 13 movimentações fetais em 6 momentos, lombalgia e contraçoes indolores frequentes "/>
        <s v="Taty ( 08:59) telefone desligado"/>
        <s v="Joanna (8h13; 12h; 14h45): não atendeu"/>
        <s v="(Thiago) Às 8:26h, usuária não atende à chamada."/>
        <s v="(Thiago) Gestante realizou atendimento em sua USF, PNAR marcado para dia 07/02/24 na MBR."/>
        <s v="Gestante com dificuldade para marcar a primeira consulta de PN por não está vinculada à APS, ACS afastada."/>
        <s v="Realizado por Elaine"/>
        <s v="Gestante encontra-se internada no Hospital da Mulher para controle de PA e glicemia."/>
        <s v="Gestante está indo à maternidade agora pela manhã. Refere que hoje se alimentou e não vomitou, está apenas com salivação excessiva."/>
        <s v="taty (10:30)Paciente procurou a barro lima "/>
        <s v="Chama 2 vezes e a ligação cai. Não consigo contato."/>
        <s v="(Thiago) Gestante se encontra na triagem do HMR para avaliação. ligar a tarde (15h) "/>
        <s v="taty (09:33) paciente não atendeu taty (13:19) nao atendeu "/>
        <s v="Taty (11:25) paciente nao atendeu"/>
        <s v="(Thiago) Gestante informa que não conseguiu ir à Barros Lima, informa que irá hoje. Ligar amanhã para confirmar acesso."/>
        <s v="taty (08:45) paciente nao atendeu (11:03) paciente nao atendeu"/>
        <s v="taty (11:30) paciente refere cefaleia leve , PA 100X60, reavaliar contração"/>
        <s v="Gestante ainda está com desconfortos, especialmente pélvicos. Oriento que busque a maternidade para um avaliação presencial. "/>
        <s v="Mari (17:00) Gestante não atendeu."/>
        <s v="Lari (8h50) Paciente não atendeu. (14h) Paciente refere que não foi para a materninade pois não tinha quem ficasse com os filhos. Refere melhora da cefaleia e da dor em BV. Refere boa MF. Oriento sobre sinais de TP."/>
        <s v="(Thiago) Às 12:10h, gestante compareceu à Barros Lima, foi avaliada, recebeu prescrição medicamentosa e em seguida foi liberda."/>
        <s v="(Thiago) Às 08:15h, gestante se dirigindo neste momento à maternidade para realizar atendimento. Ligar à terde para checar acesso."/>
        <s v="(Camilla) às 11h, telefone desligado ou fora de área"/>
        <s v="Taty (16:54) paciente refere melhora da sintomatoligia e nao apresentou mais colicas / contração, nega qualquer queixa obstetrica e urinaria "/>
        <s v="(Camilla) 17h30 Realizado monitoramento, gestante refere alívio da dor após uso de buscopam. Alta do episódio."/>
        <s v="(Thiago) Às 08:53h, gestante informa que o incômodo pélvico pouco aliviou com as medicações. Oriento quanto sinais de alerta e TP."/>
        <s v="Joanna (8h14): não atendeu"/>
        <s v="Realizado telemonitoramento"/>
        <s v="Joanna (10h18; 14h7; 17h38): não atendeu"/>
        <s v="(Thiago) Às 16:00h, gestante refere melhora dos sintomas hoje."/>
        <s v="Mobilograma = 2 MF"/>
        <s v="(Thiago) Às 10:00h, usuária não atende à chamada."/>
        <s v="(Thiago) Às 10:05h, usuária não atende à chamada."/>
        <s v="(Thiago) Às 11:30h, gestante melhorou dos sintomas."/>
        <s v="(Thiago) Às 17:30h, gestante realizou atendimento na Bandeira Filho e liberada em seguida para casa. Refere boa movimentação fetal."/>
        <s v="Joanna (10h; 12h; 14h50; 17h): não atendeu"/>
        <s v="Joanna: foi atendida na Maternidade Bandeira filho, diagnosticada com ITU, prescrito Cefalexiana 6/6h por 7 dias e Buscopan. Assintomática no momento."/>
        <s v="Joanna (14h49;17h): não atendeu"/>
        <s v="Joanna: Está internada no HMR."/>
        <s v="Joanna: Nega novo episódio de sangramento e outras queixas."/>
        <s v="Joanna (14h30; 16h30; 18h30): não atendeu"/>
        <s v="08h45 atendimento realizado - pcte sem sintomas"/>
        <s v="(Thiago) Às 11:26h, o telefone da usuária não está disponível para receber chamadas. 8h20 (Lari) Paciente não atendeu."/>
        <s v="(Thiago) Às 11:00h, o telefone da usuária não está disponível para receber chamadas."/>
        <s v="Joanna (11h; 14h35/ 17h40): não atendeu"/>
        <s v="Às 08:06, tento contato, mas gestante não atende. "/>
        <s v="taty( 08:40) paciente nao atendeu"/>
        <s v="Às 12h:00, tento contato, mas a agestante não atende."/>
        <s v="taty( 11:14) paciente não atendeu"/>
        <s v="taty ( 08:24) paciente não atendeu"/>
        <s v="ianne (14:05) paciente não atendeu"/>
        <s v="ianne (11h20) paciente não atende"/>
        <s v="ianne (11h25) paciente não atende - ancaminhada ontem p maternidade - aborto completo?"/>
        <s v="taty (08:56) paciente refere diminuição das contração , iniciou tratamento para ITU "/>
        <s v="Joanna (10h30; 14h; 17h): não atendeu"/>
        <s v="Taty( 09:10) paciente no 4 de tratamento para ITU, refere contração esporadica e de menor intensidade, dor lombar leve  e dificuldades para dormir. "/>
        <s v="Taty (09:20) Paciente foi avaliada na bandeira filho, referindo melhora no quadro,no momento nega febre, emese e nausea, tendo 1 epsodio diarreico ate o momento. "/>
        <s v="Registro tardio do telemonitoramento realizado dia 19/02/24 - Marta"/>
        <s v="(Thiago) Gestante apresenta melhora dos sintomas."/>
        <s v="Joanna (10h; 15h; 17h): não atendeu"/>
        <s v="(Thiago) Às 17:00h, não consigo contato com a usuária."/>
        <s v="Taty (09:55) paciente não atendeu "/>
        <s v="Lari (8h40) Não atendeu."/>
        <s v="taty (08:16) paciente refere  presença de contração esporadica, lombalgia leve, refere presença de colostro e prurido leve em vagina; ontem foi a consulta do PN, marcado urocultura"/>
        <s v="Mariana (17:35) Telefone ocupado"/>
        <s v="Taty ( 10:04) paciente atendida no HMR, prescrito betametasona, referindo melhoras dos sintomas, hoje 1 epsodio de contração indolor, lombalgia leve.em tratamento para ITU ( 6/7)"/>
        <s v="Taty ( 08:54) não atendeu (13:30) não atendeu"/>
        <s v="ianne (15h20) paciente não atende"/>
        <s v="Taty ( 08:54) não atendeu"/>
        <s v="Joanna (16h13; 16h40): não atendeu"/>
        <s v="Lari (16h30) Paciente atendida na Barros. Recebeu atestado médico de 5 dias."/>
        <s v="Joanna (10h30): não atendeu"/>
        <s v="(08h15) Gestante atendida na urgência, onde foi prescrito ATB para ITU. Monitorar para relembrar da coleta da urocultura de controle"/>
        <s v="Mobilograma alterado, encaminhada à urgência."/>
        <s v="09h Realizado monitoramento. Paciente em curva de melhora. Sem novos sintomas"/>
        <s v="Joanna (10h; 15h30; 16h30): não atendeu"/>
        <s v="Às 15h25, não atendeu a ligação."/>
        <s v="Taty (11:32) chama 2x e da oculpado"/>
        <s v="Taty(08:17) Paciente não atendeu (10:10) não atendeu "/>
        <s v="Rhayza (10:40) paciente relata melhora dos sintomais, nao relata queixas no momento, refere termino do tratamento em 12/03/24"/>
        <s v="Lari (8h50) Pct refere persistência de tosse e secreção amarelada. Vai iniciar ATB hoje"/>
        <s v="Camilla (8h:30) Gestante atendeu o telefone, mas não entrou no Hopchat. Quando ligo novamente, não atende."/>
        <s v="Joanna (12h30; 14h30; 17h20): não atendeu"/>
        <s v="Taty ( 08:34) paciente refere melhora de forma geral do quadro, porem ainda com tosse produtiva e coriza, nega febre e outro sinais de alerta. "/>
        <s v="Rhayza: Conduta: Procurar APS e uso de dipirona S/N - Observação: averiguar se conseguiu acesso A APS"/>
        <s v="Joanna (12h30): não atendeu"/>
        <s v="ianne (15h20) paciente não atende, mas pelo PEC foi atendida em APS e iniciado tratamento"/>
        <s v="Joanna (14h; 14h40; 17h20; 18h30): não atendeu"/>
        <s v="Joanna (11h; 13h40; 17h50): não atendeu"/>
        <s v="(Thiago) Às 13:44h, usuária não atendeu à chamada."/>
        <s v="Foi à Maternidade Bandeira Filho, realizou EAS e hemograma, descartou-se arbovirose, fez hidratação EV. Prescrito Buscopan, Dramin e Vit C.  Apresentou novos episódios de vômito quando chegou em casa. Mantém mialgia. Ainda não fez uso do Dramin."/>
        <s v="(Thiago) Usuária não atende à chamada."/>
        <s v="(Thiago) Gestante no D6 dos sintomas, sem novas queixas, com melhora do quadro."/>
        <s v="Taty ( 11:32) paciente Hoje, D7 do curso dos sintomas, refere melhora dos sintomas, sem surgimento de novas queixas, nega sinais de alerta "/>
        <s v="08:37 (Taty) Gestante refere ausência de qualquer sintoma urinário e/ou de outra ordem no momento. conclusão do tratamento para ITU em 12/03/2024, URO marcada para 21/03/2024"/>
        <s v="(Thiago) Às 13:51h, usuária não atendeu à chamada."/>
        <s v="(Thiago) Às 14:06h, usuária não atendeu à chamada."/>
        <s v="13:12 (taty) não procurou a unidade hoje, porem  ACS consulta para amanha 12/03/24, refere permanecer com os mesmos sintomas"/>
        <s v="13:50 (taty)  Gestante informa que procurou atendimento na APS, fez restauração e limpeza dentaria , refere melhora dos sintomas e nega qualquer queixa obstetrica  e urinaria."/>
        <s v="Joanna (9h26; 13h30): não atendeu"/>
        <s v="08:35 (Camilla) Gestante não atendeu."/>
        <s v="Joanna (9h27; 13h30; 16h50): indisponível"/>
        <s v="Joanna (9h28): não atendeu"/>
        <s v="(Thiago) Às 08:27h, gestante refere melhora dos sintomas, sem novas queixas."/>
        <s v="Foi ontem à Maternidade Barros Lima, prescrito Maleato de dexclorfeniramina + betametasona (ainda não iniciou uso), orientada a retornar hoje para realizar USG obstétrica e reavaliação. No momento, encontra-se na Maternidade aguardando realizar USG. Refer"/>
        <s v="(Thiago) Às 09:02h, gestante não atende à ligação."/>
        <s v="09:51 ( rhayza) Paciente não atenteu "/>
        <s v="09:03 ( taty) Paciente nao atendeu "/>
        <s v="14:09 ( taty) gestante procurou atendimento na Policlinica Arnaldo Marques, onde foi avaliada, medicada e recebeu alta; hoje refere cefaleia, tosse , sem febre, refere boa vitalidade do feto, nega sinais de gravidade, sangramento, queixas urinarias e outr"/>
        <s v="09:17 (taty) Paciente não atendeu (13:22) paciente nao atendeu "/>
        <s v="Nayale (11h30): Não atendeu à chamada (tentado 2x)"/>
        <s v="09:53 (taty)Paciente nao procurou atendimento, refere melhora da Odontalgia, desde de ontem sem uso de analgesico, relata que esta a caminho da maternidade pois medica do PN encaminhou, refere boa vitalidade do feto, sem queixas obstetricas e urinarias "/>
        <s v="Nayale (11h32): Não atendeu à chamada (tentado 2x)"/>
        <s v="Nayale (11h35):Puérpera solicita ligação a partir das 14h"/>
        <s v="Joanna (8h27; 15h11): não atendeu"/>
        <s v="15:53 (Nayale) Marido atende ligação e esposa não pode atender no momento. Estão indo para a maternidade Cisam. Retornarei ligação após as 17h."/>
        <s v="Internada no HAM."/>
        <s v="Rhayza (10:05; 13:33h): nao atendeu"/>
        <s v="Rhayza (13:00) atendeu . Retornar às 16 h."/>
        <s v="Refere melhora da cefaleia após uso de Dipirona. Não foi à USF devido estar no tramalho, mas vai amanhã. Nega surgimento de novos sintomas e sinais de alerta. Mantém odinofagia e congestão nasal."/>
        <s v="Internada na Barros lima"/>
        <s v="(Camilla) Às 09h50, gestante informa que está aguardando a consulta pré-natal na unidade de saúde. Ligar novamente à tarde"/>
        <s v="22/03 (Lari) Paciente não atendeu as 13h40"/>
        <s v="Não foi à USF. Mantém queixa. Cd: Reforço importância do atendimento presencial."/>
        <s v="Questionar vacinação para covid. (Lari)  Não atendeu Rhayza (11:00)"/>
        <s v="(Camilla) Gestante está na unidade de saúde, acabou de ser atandida no pré-natal. Foi prescrito tratamento para corrimento. Dou alta do episódio."/>
        <s v="Atendeu mas não respondeu no hopchat "/>
        <s v="Joanna (8h49): não atendeu"/>
        <s v="Joanna (8h51): não atendeu"/>
        <s v="Gestante queixa-se ainda dos sintomas. Encaminho à maternidade; Novo monitoramento amanhã"/>
        <s v="(Lari) 8h30 Paciente não atendeu"/>
        <s v="Ligar às 15h (Nayale 15:00) realizado telemonitoramento. Manter telemonitoramento amanhã. Ligar após as 15h."/>
        <s v="(Camilla) Gestante refere que foi à urgencia ontem e foi prescrito tratamento para corrimento. Encerro caso e sugiro  TINC psiquiatria"/>
        <s v="(Dama - Gestante em curso de 14s3d pela DUM e 19s5d pela USG, com remissão dos sintomas gripais. Queixa hoje de corrimento  leitoso com grumos e prurido discreto, nega odor fétido e dispareunia. Oriento ir à urgência, atendimento realizado fora do horário"/>
        <s v="Lili- Puérpera refere vermelhidão, dormência e saída de secreção amarelada em pequena quantidade da F.O. Nega febre, nega outras queixas. Relata que foi na urgência obstétrica hoje pela manhã, onde foi avaliada por profissional da saúde, o qual orientou q"/>
        <s v="Atendeu mas não respondeu ao hopchat (10:46)"/>
        <s v="Atendeu mas não respondeu ao hopchat (12:05); às 12:19 informou que o link não estava funcionando."/>
        <s v="Lari ( 8h30) não atendeu"/>
        <s v="Joanna (8h33; 16h26): não atendeu (falta registrada no PEC)"/>
        <s v="Joanna (8h34; 16h27): não atendeu (falta registrada no PEC)"/>
        <s v="Refere melhora da dor na panturrilha. Queixa-se de disúria há 4 dias. Encaminhada para avaliação presencial."/>
        <s v="ligar as 10h"/>
        <s v="Rhayza não atendeu (15:07)"/>
        <s v="Joanna (9h08; 16h28): não atendeu (falta registrada no PEC)"/>
        <s v="Refere que não foi ao atendimento presencial, pois a PA estava normal (110 x 80) e melhorou após tomar dipirona novamente."/>
        <s v="08:19 ( taty) Paciente não entendeu 14:54 "/>
        <s v="Rhayza (09:57) não atendeu"/>
        <s v="Nayale (12:10) Gestante ainda não foi ao serviço de saúde. Reforço necessidade de ir ao serviço e informo que amanhã haverá novo telemonitoramento."/>
        <s v="13:37 (taty) refere dor na lombar e promodomos inicio 23/03/24. nega perdas vaginais, queixas urinarias. movimentos fetais presente consulta de PN amanha (02/04/2024)"/>
        <s v="8h30 paciente não foi na APS, vai agora de manha. Ligar a tarde"/>
        <s v="08:35 ( taty) Paciente não entendeu "/>
        <s v="17:00 Não atendeu"/>
        <s v="08:44 ( taty) gestante procurou atendimento no Barão de lucena,pois na APS nao conseguiu,  realizou teste para covid 19 com resultado negativo, referHD dengue. hoje relata melhora da nausea, fadiga, sem febre, em uso de 1g de dipirona 8/8h, nega queixas u"/>
        <s v="17:00 Não "/>
        <s v="16h40 (Camilla) Gestante nega queixas. Pede para prescrever antibiótico dose unica para ITU. Compartilho atendimento com Damartine. Agendo monitoramento para dia 0/04"/>
        <s v="10:00 (Camilla) tentativa de contato sem sucesso. Porém, visualizo no PEC que a gestante compareceu ao PN hoje e tem uma reavaliação na APS agendada para amanhã. Encerro o caso, considerando que houve a devida apropriação do cuidado pela APS."/>
        <s v="09:27 ( taty) Paciente não atendeu "/>
        <s v="08h10 (Lari) Pacinte não atendeu"/>
        <s v="Realizar novo monitoramento (15 h) para saber se acessou o PN e se diminuiu o sangramento. "/>
        <s v="17h20 - Foi atendida no Hospital da Mulher do Recife, realizou exames laboratoriais (sem alterações), prescrito Metildopa 250mg 8/8h (vai iniciar uso hoje). Nega queixas e sinais de alerta."/>
        <s v="8h30 (Lari) Paciente refere que a consulta de hoje na APS foi cancelada (sistema fora do ar, SIC). Oriento avaliação na maternidade mais próxima a sua casa, pois paciente permanece sangrando."/>
        <s v="(Thiago) Às 08:38h, gestante refere melhoras dos sintomas e econtra-se em sua USF para realização de consulta Pré-natal."/>
        <s v="08:26 (taty) telefone desligado "/>
        <s v="Joanna (06/04): não disponível"/>
        <s v="Rhayza (15:08) ocupado "/>
        <s v="(Thiago) Às 15:27h, paciente não atende."/>
        <s v="(Thiago) Às 15:18h, telefone indisponível."/>
        <s v="08:30 (taty) "/>
        <s v="Gestante compareceu à unidade. Iniciou tto de ITU. PN agendado para amanhã."/>
        <s v="Joanna (8h20): não atendeu"/>
        <s v="(Lari) não atendeu"/>
        <s v="(Thiago - 08:48h) Usuária não atende à chamada."/>
        <s v="Gestante refere melhora dos sintomas. Agendo montioramento em 48 horas"/>
        <s v="(Thiago - 09:34h) Gestante apresenta piora dos sintomas gripais iniciados dia 09/04, encaminho para avliação presencial na APS."/>
        <s v="8h (Lari) Paciente não atendeu"/>
        <s v="8h (Lari) sem telefone"/>
        <s v="Joanna (16h; 17h): não atendeu (falta registrada no PEC)"/>
        <s v="Rhayza (08:16) nao atendeu "/>
        <s v="Rhayza (08: 22) ocupado "/>
        <s v="Rhayza (16: 21) nao atendeu "/>
        <s v="Realizar monitoramento amanha 14/04"/>
        <s v="Gestante internada na maternidade"/>
        <s v="Lari (8h) não atendeu"/>
        <s v=" Refere melhora da cefaleia e movimentação fetal sem alterações. Nega contrações uterinas e perdas vaginais. Queixa-se de diarreia sem associação com outros sintomas e sinais de alerta (2 evacuações hoje). PA = 123 x 76. Cd: Orientações gerais. Monitorira"/>
        <s v="melhora da náusea e vômito; refere estar com raiva devido parceiro negar a paternidade e expressa desejo de abortar."/>
        <s v="Joanna (12h; 12h30; 17h47): não atendeu (falta registrada no PEC)"/>
        <s v="8h30 (Lari) não atende"/>
        <s v="(Marta) Jessica articulou com a paciente fazer o atendimento amanhã-devido impossibilidade da usuária no momento."/>
        <s v="Encaminhado para urgência por dor em baixo ventre "/>
        <s v="Mantém perda de líquido sem sinais de alerta e trabalho de parto; dor em BV do tipo cólica iniciada por volta das 12h. Mobilograma: 16 MF, afebril e normotensa"/>
        <s v="Rhayza  (8:09): ligação caindo/não atendeu"/>
        <s v="Joanna (8h8; 14h26): não atendeu"/>
        <s v="Rhayza  (8:12): não atendeu"/>
        <s v="(Thiago - 09:19h) Usuária não atende à chamada."/>
        <s v="Gestante apresenta melhora dos sintomas."/>
        <s v="(Jessi - 19/04): Paciente relatou muito sono com o uso de Dramin. Oriento substituir pela Metoclopramida. Pactuamos teleconsulta compartilhada com enfermeira do pré natal a ser agendada e informada através do ACS "/>
        <s v="Rhayza (11:00)"/>
        <s v="17:15 Não procurou Maternidade. Novo monitoramento 21/04"/>
        <s v="(Lari) Foi encaminhada para avaliação presencial na APS"/>
        <s v="Refere que as contrações estão mais intensas e em intervalo mais curto (não está fazendo o registro), não foi ao atendimento presencial. Além disso, apresentada cefaleia, náusea, ardência ao urinar, eliminação de volume urinários menor que o habitual. Ref"/>
        <s v="(Lari) ITU + febre, foi encaminhada para Barros. Ligar as 10h30"/>
        <s v="(Lari) DM1 + TPP, foi encaminhada para o HMR. Não atendeu as 8h"/>
        <s v="(taty) paciente nao procurou atendimento presencial, refere dor em bv e lombar intensa e melhora da febre, oriente buncar atendimento presencial "/>
        <s v="08:16 (Taty) Paciente não atendeu (12:44 ) paciente nao atendeu"/>
        <s v="Rhayza (08:09) telefone ocupado"/>
        <s v="Taty (08:38) não completa a chamada "/>
        <s v="Taty (08:38) Paciente nao atendeu"/>
        <s v="Taty (09:40)  Paciente no D4 dos sintomas, nao buscou atendimento presecial, como orientado; Refere dispneia ao esforço que melhora ao repouso, coriza leve  e a noite apresenta congestao nasal, nega febre, queixas urinarias outra queixas obstetricas; refe"/>
        <s v="Está na consulta pré-natal. Ligar 16 h"/>
        <s v="08:25 Não atendeu (Rhayza)"/>
        <s v="(Thiago) Às 11:04h, paciente não atendeu à chamada"/>
        <s v="10h30 (Lari) Paciente não atendeu."/>
        <s v="26/04 (Lari) Pct sem queixas. Oriento seguimento de PN em APS."/>
        <s v="Rhayza (09:24) nao atendeu"/>
        <s v="Melhora dos sintomas "/>
        <s v="Rhayza (09:32) nao atendeu"/>
        <s v="Rhayza (16:16) nao atendeu"/>
        <s v="Gestante refere melhora dos sintomas de nauseas e vômitos e tosse. Alta do episódio, encerro caso."/>
        <s v="Puérpera se encontra na maternidade, após cesariana de urgência ontem às 23h."/>
        <s v="(Thiago) Às 17:35h, usuária apresenta melhoras do quadro de dor e níveis normais de PA."/>
        <s v="Realizar novo monitoramento 03/05"/>
        <s v="Joanna (17h; 18h16): não atendeu"/>
        <s v="9h50 (Lari) Paciente informa melhora da cefaleia. Está aguardando agendamento de PNAR DMG"/>
        <s v="Rhayza (16:31) não atendeu "/>
        <s v="08h20 (Lari) Não atende; 10:21h (Thiago), não atende."/>
        <s v="08:23 ( Taty) Paciente não atendeu; 10:35h (Thiago) não atende."/>
        <s v="08:17 ( Taty) Paciente não atendeu; 10:46h (Thiago), esposo solicita que entremos em contato mais tarde."/>
        <s v="09h50 (Lari) Não atende; 15:29h (Lili) Não atende"/>
        <s v="Foi atendida na USF, mas devido sintomas apresentados e PA = 140 x 90, foi encaminhada à maternidade. Na Maternidade Bandeira Filho realizou rotina de PE. Alterações não foram identificadas, foi medicada e recebeu alta. No momento, nega queixas. Refere bo"/>
        <s v="Refere que foi ao Hospital da Mulher do Recife, aguardou por 6 horas e não foi atendida. Último episódio de sangramento ontem, mantém disúria. Nega sinais de alerta. Cd: Encaminho para avaliação na Mat Bandeira Filho."/>
        <s v="Joanna (10h50; 15h): não atendeu"/>
        <s v="Rhayza (08:50) nao atendeu "/>
        <s v="Mobilograma +/- 3 movimentos em 1 hora. Encaminho para maternidade"/>
        <s v="(Thiago) Às 08:33h, usuária não atende à ligação 09:00 (taty) paciente não atendeu. 14:00 (Lili): Paciente não atendeu"/>
        <s v="10:00 (Lili): Paciente refere melhora dos sintomas. Em término do tratamento (D10). Reforço importância da realização de urocultura. "/>
        <s v="Lili (16:10) Gestante refere melhora da dor, iniciou tratamento para ITU. "/>
        <s v="08:10 (taty) Paciente não atendeu "/>
        <s v="Foi atendida na APS; encaminhamento está no SISREG."/>
        <s v="Pct internada no CISAM"/>
        <s v="08:13 ( taty) Paciente não atendeu 12:07 ( taty) Paciente não atendeu"/>
        <s v="USG (14/05): peso fetal adequado para IG. Finalizo telemonitoramento"/>
        <s v="08:22 ( taty) Paciente não atendeu (81991300852) 12:05 ( taty) Paciente não atendeu"/>
        <s v="11:11 ( taty) Procurou atendimento na Barro Lima, onde foi examinada,  realizou exames laboratoriais, medicada e foi liberada, hoje nega cefaleia, nega sinais flogistico em FO e outras queixas 08:47( taty) Paciente dormindo(ligar as 10:30) "/>
        <s v="Refere melhora. Foi à consulta de PN. "/>
        <s v="Foi atendida na USF Três Carneiros, PA = 130 x 80. Refere melhora da cefaleia após uso de Dipirona. Segue sem novas queixas. Orientada a realizar MRPA."/>
        <s v="8h (Lari) paciente está se deslocando para realizar exames. Solicita contato as 10h. 10:10 (Lili): Paciente não atendeu"/>
        <s v="9h (Thiago) paciente refere melhora das cólicas."/>
        <s v="08:20 ( Taty) Paciente não atendeu. 16:00 (Lili): Paciente refere que não foi a APS e que irá realizar exame laboratorial por conta própria. "/>
        <s v="09:10 ( taty) Paciente internada no HMR . Aguarda USG e conduta ( provavel cerlagem), nega hoje dor ou sangramento, refere repouso absoluto "/>
        <s v="09:35 ( Taty) Paciente não atendeu;  11:22 (taty) paciente nao atendeu"/>
        <s v="16:28 (taty) !7:38h (Thiago) Não completa a chamada."/>
        <s v="Feito registro e encaminhado presscrição de sintomáticos."/>
        <s v="08:27 (taty)Gestante internada no IMIP, por ameaça de trabalho de parto prematuro,refere contrações irregulares, porem ao exame esta com dilatação de 4cm, em repouso ,  Nega perdas vaginais ou outras queixas.   "/>
        <s v="08:17 (Taty) Paciente não atendeu 10:14 ( taty) paciente nao atendeu"/>
        <s v="16:00 (Lili): Paciente refere que foi diagnosticada com ITU e prescrito antibiótico."/>
        <s v="08:29 (taty) Paciente refere melhora da dor em flanco direito, nega queixas obstétricas e urinarias."/>
        <s v="09:06 (taty) Paciente procurou atendimento no HC, hoje nega presença de sangramento, nega perdas vaginais, queixas urinarias e colicas, Refere MF presente "/>
        <s v="Joanna (9h30; 14h26): não atendeu"/>
        <s v="09:05 (Lili): Paciente não atendeu 10:30 Paciente refere que foi atendida na Maternidade Bandeira Filho, que o BCF estava normal e que sentiu o bebê se movimentar normalmente hoje. "/>
        <s v="18:00 (Damartine) Retorno para a gestante, orientando que compareça nesta quinta-feira ao PN com médica da unidade."/>
        <s v="10:24 (taty) paciente nao atendeu ; 12:13 (taty) microcip com instabilidade"/>
        <s v="08:30 (taty) puerpera levou filho a pediatra peso atual 3100 e 51cm, refere diurese e evacuaçoes presentes, colicas noturanas, oriento e encaminho gestante a nutrição"/>
        <s v="08:20/ 11:10 (Lili): Paciente não atendeu "/>
        <s v="08:27 (Rhayza): nao atendeu"/>
        <s v="(Lili): Paciente refere perda de líquido, encaminho para urgência obstétrica. Também refere que iniciou pré-natal em outra USF e será encaminhada ao PNAR. "/>
        <s v="09:47 ( taty) Paciente relata dor leve &quot; virilha &quot; refere contrações de treinamentos com colicas discreta, Nega sangramento, queixas urinarias, dor lombar ou outros sinais de alerta."/>
        <s v="Joanna (11h20; 13h58; 17h40): não atendeu"/>
        <s v="14:00h (Thiago) Paciente apresenta melhora das cólicas."/>
        <s v="09:42 ( taty) paciente não atendeu"/>
        <s v="mantém dor em baixo ventre de intensidade leve, mais localizada no lado esquerdo. No geral, refere que apresenta melhora considerável. Nega perdas vaginais e outras queixas. Mantém boa movimentação fetal. Glicemia e PA sem alterações."/>
        <s v="Após o atendimento realizado ontem, fez uso do sintomático, porém, não apresentou melhora e a dor ficou mais intensa. Conforme orientação que recebeu na teleconsulta, foi à urgência do IMIP. Contatou-se trabalho de parto prematuro. RN nasceu no IMIP, dia "/>
        <s v="Mobilograma = 1 MF em 1h. Encaminho para avaliação na urgência obstétrica"/>
        <s v="(Lari) Realizo monitoramento. Oriento nitrofurantoina profilático, MAPA e perfil de HGT"/>
        <s v="09:00h (Thiago) Usuária não atende a chamada."/>
        <s v="09:10h (Thiago) Usuária não atende a chamada."/>
        <s v="16:00h (Thiago) Gestante encontrava-se em atendimento na Bandeira Filho."/>
        <s v="16:48 (Lili) Paciente não atendeu. ligar as 16h para avaliar melhora da cefaleia"/>
        <s v="Pct foi ao HMR (22/05) e constatou que nao há perda de LA. Retornará ao PN amanhã. "/>
        <s v="Rhayza (16:00) nao atendeu"/>
        <s v="10:50h Paciente sem queixas, refere que foi para PN ontem na nova USF, sendo ecaminhada para o PNAR, e prescrito carbonato de cálcio para prevenção de PE. "/>
        <s v="Rhayza (08:04) Não atendeu "/>
        <s v="Camilla (13h50) Gestante informa que estava dormindo, mas que o sangramento cessou.  Encerro o caso."/>
        <s v="Rhayza (16:18) Não atendeu "/>
        <s v="11:40 Paciente no IMIP aguardando atendimento. Relata peristência do sangramento"/>
        <s v="8h12 (Camilla) Não atendeu. 12h19 Não atendeu."/>
        <s v="(Thiago) 8:30h Telefone ocupado, paciente não atende a chamada."/>
        <s v="(Rhayza) 09:38 Atendeu e desligou"/>
        <s v="(Rhayza) 09:41 Nao atendeu"/>
        <s v="(Rhayza) 09:43 Nao atendeu"/>
        <s v="Gestante procurou o IMIP ontem, realizar novo monitoramento amanha "/>
        <s v="Gestante não tomou medicação para dor e nao procurou hospital, pediu para retornar a tarde "/>
        <s v="11:00h (Thiago) Nao atendeu a chamada."/>
        <s v="08:15h (Lili): Ligar a tarde"/>
        <s v="8h15 (Camilla) Não atendeu. 12h22 Não atendeu."/>
        <s v="09:10 (taty) Paciente não atendeu 12h28 (camilla) Ligação atende, mas sinal ruim, não consigo comunicação."/>
        <s v="09:40 (Lili) Paciente não atendeu "/>
        <s v="08h20 Paciente não atendeu / 13:10h (Lili): Paciente não atendeu "/>
        <s v="09h35 (Camilla) Gestante internada no HAM. Encerro caso e dou alta do episódio."/>
        <s v="Rhayza (08:37) Não atendeu 11:02 (taty) ligar as 12h estava em consulta "/>
        <s v="ligar as 16:30"/>
        <s v="(Camilla) 08h12 não atendeu."/>
        <s v="Rhayza (08:40) Não atendeu "/>
        <s v="Joanna (7h58; 13h24; 18h): não atendeu"/>
        <s v="08:01 (taty) paciente não atendeu"/>
        <s v="08:50 (taty) Paciente refere melhora do quadro apos uso de analgesico, nega queixas obstetricas, urinaria e sinais de eminência "/>
        <s v="Joanna (08h8): não atendeu 12:42 (taty) não completou a chamada"/>
        <s v="(Camilla) 08h20 não atendeu."/>
        <s v="(Camilla)  Às 14h não completa a ligação"/>
        <s v="Mobilograma = 20 MF"/>
        <s v="(Camilla) 16h Gestante refere que as contrações não aumentaram. Continua em pródromos. Oriento e encerro caso."/>
        <s v="10:00h (Thiago) Usuária não atende a ligação."/>
        <s v="Refere melhora considerável após iniciar uso de Cefalexina no dia 01/06; nega novos sintomas e sinais de alerta. Optou por aguardar a consulta de pré-natal que está agendada para o dia 06/06, portanto, não buscará atendimento hoje na USF, conforme orienta"/>
        <s v="Puérpera refere melhora da amamentação. Nega queixas. Disse que amanh~ã tem consulta no posto de saúde."/>
        <s v="Falar com Lili"/>
        <s v="08h05 (Lari) Telefone não atende"/>
        <s v="08:29h (Lili): Paciente internada no HMR. "/>
      </sharedItems>
    </cacheField>
    <cacheField name="CONDUTA MONITORAMENTO 2" numFmtId="0">
      <sharedItems containsBlank="1" count="458">
        <m/>
        <s v="Foi atendida no PN da APS hoje, sem alterações de PA e sinais de premonitórios de PE. Próxima consulta agendada 07/12. IG=36s. Oriento acerca dos sinais de alerta/ir à urgência. (Joanna)"/>
        <s v="ianne: Tentando ligar novamente 03/01 - desliga ligação"/>
        <s v="(CAMILLA) Realizado telemonitoramento de gestante. Refere contrações irregulares no mesmo padrão que ontem, sem sinais de alerta. CD: oriento que busque unidade de saúde na presença de sinais de TP e/ou alerta; encorajo que compareça a consulta de pré-nat"/>
        <s v="Realizado novo contato, paciente refere persistência da diminuição dos MF. Oriento ir para atendimento presencial imediatamente. Acolho queixa de medo da dor do TP e oriento sobre importância e ressignificação da dor no processo do nascimento. Explico sob"/>
        <s v="14h paciente refere que esta aguardando internamento na maternidade Barros Lima. Nega queixas no momento e refere que medica do CISAM (atendimento realizado pela manha) informou que ela estava com 3cm. Informa que internamento na Barros Lima será devido i"/>
        <s v="Puérpera, no 3º DPO de cesariana, de alta há 24h. Bebê nasceu bem, dia 21/04 às 14:45, via cesariana devido a AP pélvica. "/>
        <s v="Gestante atendeu a ligação às 17:15, mas disse que não foi à maternidade e que as cólicas cessaram, mas que a cefaleia forte permanece, mesmo após uso de diprona. Reforço a importância de buscar a emergência obstétrica hoje ou amanhã. Ciente do telemonito"/>
        <s v="11/05 telefone nao completa a ligação "/>
        <s v="31/05 (Taty): Tentativa de monitoramento sem sucesso, paciente nao se encontrava, quem atendeu solicitou ligar mais tarde. Joanna: Realizo nova tentativa de contato, porém sem sucesso (17h51)"/>
        <s v="Refere que foi à urgência ontem devido aumento do sangramento. Prescrito Utrogestan. "/>
        <s v="Queixas: Prurido anal a noite, presença de vermes pequenos e de cor branca em região anal e peças íntimas. _x000a_História da doença atual: Gestante refere ter realizado tratamento para verminose com albendazol 400mg, dose única, em março/2023. Apresentou melho"/>
        <s v="(Thiago) tentativa às 16:20"/>
        <s v="(Taty) Monitoramento realizado, paciente ainda permanece com sintomatologia, TR negativo , conforme o protocolo mantenho o monitoramento"/>
        <s v="(Ianne)Realizo teleinterconsulta com enf Rose martins, orientado sobre tratamento adequado com albendazol para paciente e familiares (que moram na mesma casa). Consulta de pre natal amanha."/>
        <s v="(Thiago) Refere melhora do quadro viral; informa que foi para atendimento; oriento realização do teste covid-19. Mantenho monitoramento com 48h seguindo protocolo de sindrome gripal"/>
        <s v="(taty) tentativa de monitoramento sem sucesso as 16:30)"/>
        <s v="(taty) tentativa de monitoramento sem sucesso as 16:50)"/>
        <s v="Gestante nega queixas no momento. Segue aguardando agendamento de exames laboratoriais para investigação de trombofilia. "/>
        <s v="(taty) paciente refere diminuição nos MF, apos mobilogarma (2 em 1h), com perca de muco e dor lombar; encaminho para atendimento presencial na maternidade bandeira filho "/>
        <s v="09/06 (Lari) Paciente não atendeu as 16h"/>
        <s v="09/06 (Lari) Paciente não atendeu as 16h30"/>
        <s v="Refere melhora do edema e secreção na gengiva. Está no 3º dia de tto com Amoxicilina."/>
        <s v="(Marcia) Sem sucesso às 17:36"/>
        <s v="(Joanna) Não foi ao atendimento presencial. Mantém coriza; não realizou TR-Ag; Oriento ir ao CS para agendar PNAR, fazer avaliação e rrealizar TR-Ag, se dispoível no serviço."/>
        <s v="(Marcia) Orienta buscar a unidade de saúde para avaliação/realizar telemonitoramento dia 13/06"/>
        <s v="(Joanna) Tentativa às 14h / Aguarda lab 3º trimestre "/>
        <s v="09/06 (Lari) Paciente não atendeu 16h30"/>
        <s v="09/06 (Lari) Paciente não atendeu 17h"/>
        <s v="(Ianne) Tentativa as 14h e 14:30h"/>
        <s v="(Joanna) Tentativa às 14h"/>
        <s v="(Joanna) Tentativa às 14h / (Marcia) às 17h: Foi à maternidade como orientada na teleconsulta, oriento seguir medicações prescritas e agendo monitoramento para dia 16/06 quando finaliza as medicações. Oriento sinais de alerta e se piora buscar atendimento"/>
        <s v="(Marcia) Encaminho paciente para avaliação presencial na emergência obstétrica de preferência em até 2 horas devido diminuição dos movimentos fetais. Informo monitoramento pela equipe do Atende Gestante em 24 horas."/>
        <s v="11/06 ( taty) Monitoramento realizado gestante sem queixas oriento importancia e manutençao do PN tanto na APS E PNAR "/>
        <s v="(Camilla) Tentativa às 14:23 sem sucesso"/>
        <s v="11/06 (taty) gestante nao atende a ligação tentativa as 10:11"/>
        <s v="11/06 ( ana) telefone desligado 13:55"/>
        <s v="(Thiago) Sem sucesso às 15:25 (nao atendeu )"/>
        <s v="(Thiago) Tentativa às 14:24"/>
        <s v="(ianne) 14h42 telefone desligado"/>
        <s v="(Thiago) 15h Foi para atendimento na Barros Lima, recebeu prescrição de Fentizol óvulo + Miconazol creme vaginal."/>
        <s v="(Camilla) 14:10 - Atendeu, mas refere que não tinha disponibilidade de falar"/>
        <s v="11/06  (taty) gestante na maternidade bolsa integra e sera reavaliada em 4h, monitoramento em 12/06 "/>
        <s v="(Thiago) Sem sucesso às 15:45 (nao atendeu )"/>
        <s v="Taty (14:04 ) Paciente atendeu e deslisgou apos indentificação "/>
        <s v="(Camilla) 14:30 - Tentativa sem sucesso."/>
        <s v="TATY(14:30) Puerpera  refere melhora na queixas. mantenho conduta de orientaçoes "/>
        <s v="(Camila)"/>
        <s v="Joanna (15/06 - 13h20): Foi à Maternidade Barros Lima, diagnosticada com ITU, em uso de ATB (não lembra o nome). Sem queixas no momento. Oriento repetir urocultura após 10 dias do término do tto. "/>
        <s v="Joanna (15/06): não atendeu (8h50; 13h58; 16h24). Taty (14/06 - 15:28 )ligar as 17:00"/>
        <s v="Ianne: 13h55: tentativa sem sucesso"/>
        <s v="Joanna (15/06 - 13h59; 16h26): não atendeu."/>
        <s v="taty (14:15 ) paciente nao interagiu na sala e telefone esta agora desligado "/>
        <s v="taty (14:15 ) gestante na maternidade, refere que esta com 4cm de dilatação, sem perdas vaginais. "/>
        <s v="ianne (13h40) não atende; Joanna (16h28): não atende."/>
        <s v="Taty(13:35 telefone desligado; Joanna (16h29): não atendeu"/>
        <s v="Taty(13:55) Paciente nao atendeu; Joanna (16h30): não atendeu"/>
        <s v="ianne (13h38) telefone desligado; Joanna (16h31): telefone desligado"/>
        <s v="(Thiago) Gestante com IG 21s3d, compareceu a Bandeira Filho hoje e refere que no atendimento foi informada que o corrimento se tratava de candidíase vaginal e que realizou  sumário de urina com resultado normal. Nega queixas obstétricas como sangramento, "/>
        <s v="Gestante com IG 11s6d pela DUM; G1 P1 (PN de prematuro extremo que foi a óbito) A0, a mesma informa que já deu início ao pré-natal em UBS de referência em seu território, já realizou consulta odontológica e está com consulta de volta marcada, assim como e"/>
        <s v="(Thiago) Tentativas sem sucesso às 16:56"/>
        <s v="13h30 (ianne) telefone desligado. "/>
        <s v="Joanna (15h6): permanece com a mesma queixa, no momento está se deslocando para atendimento na Barros Lima. Não foi possível encaminhar registro de atendimento porque a teleconsulta foi por chamada telefônica."/>
        <s v=" (Taty) Paciente encontra-se na maternidade, aguarda USG para definir conduta "/>
        <s v="ianne (14h) Paciente não atende. Enviado whasapp por link, mas sem retorno"/>
        <s v="ianne (15h05) Paciente não atende"/>
        <s v="(Marta) Não consegue contato após às 07:30h porque usuária não tem celular"/>
        <s v="Registrado Evento Sentinela - Encaminhamento via USF - agendamento regulação (Bel)"/>
        <s v="taty (09:19 ) paciente nao atendeu  (taty:13:50) paciente nao atendeu  Taty(15:54) paciente nao atende u"/>
        <s v="Ianne (14h50): paciente não atende. è enferemeira e tinha ficado de entrar em contato com resultado de uroc. "/>
        <s v="ianne (16h): Paciente não atende"/>
        <s v="ianne (16h10) paciente não atende"/>
        <s v="Taty("/>
        <s v="Taty ( 16:27) tentativa sem sucesso "/>
        <s v="14:20 (taty) realizo telemonitoramento, paciente refere cefaleia e nega outras queixas, como ontem apresentou na maternidade 140*90, solicito ida ao posto para hoje e amanha para aferir a PA "/>
        <s v="(ianne) realizar monitoramento amanha. Paciente ainda não foi na maternidade"/>
        <s v="01/07 (Joanna): Refere foi dia 29/06 ao CS Vereador Romildo Gomes, realizou 1ª consulta de PN, foi orientada quanto a normalidade do sangramento e corrimento vaginal. Nega novos episódios de sangramento. Prescrito Ácido fólico 1x/dia. Aguarda agendamento "/>
        <s v="Taty (15:27/ 16:49 ) paciente nao atendeu "/>
        <s v="01/07 (Joanna): Foi atendida na UPA dos Torrões, foi orientada que a reação apresentada à Cefalexina era normal e que poderia continuar uso. Encontra-se no 3º dia de tratamento, alega melhora do quadro apresentado, nega surgimento de novos efeitos colater"/>
        <s v="Joanna (16h12; 17h23): não atendeu"/>
        <s v="Taty ( 13:55) Thiago (15:10h) paciente não atende Taty ( 18:32  ) apos indentificação paciente desliga "/>
        <s v="Taty ( 13:55) paciente encontra-se no HBL, iniciou ATB e ira realizar uma lavagem cavitaria , o pec nao foi preenchido pois a paciente nao estava podendo falar ( preparo para o BC) falo com esposo "/>
        <s v="Thiago (12:00) Paciente não atende à ligação. (Fabiane) tentativa às 16:10"/>
        <s v="Telefone fixo e microsipp sem funcionar - tentar monitoramento 05/07"/>
        <s v="Refere que foi atendida na policlinica Bandeira filho , medicada e teve melhora da queixa "/>
        <s v="07/07 (Thiago) Às 15:35, usuária não atendeu.16:33 (taty) tentativa sem sucesso"/>
        <s v="Apoio Emocional"/>
        <s v="TATY(14:12) Paciente refere melhora dos sintomas;  prurido, hiperemia vulvar, edema, corrimento ; Iniciou creme vaginal dia 07/07/2023 após ser liberado pela APS e higiene pessoal como orientado em consulta anterior "/>
        <s v="07/07 (Thiago) Às 15:20, usuária não atendeu 16:33 (taty) telefone desligado"/>
        <s v="(taty) Paciente refere que buscou atendimento em uma upa, onde foi medicada e iniciou o atb, refere ainda melhora dos sintomas da otalgia"/>
        <s v="(Taty-15:20) paciente refere que procurou atendimento presenciau na maternidade barro lima, medicada e liberada, hoje refere melhora dos sintomas."/>
        <s v="Taty(12;31) Paciente refere melhora, realizou coleta de URO hoje, oriento como melhora dos sintomas, mostra no PN "/>
        <s v="14/17 Fabiane (15:28), usuária não atendeu à ligação."/>
        <s v="taty (16:05) paciente não atendeuIanne (14:12) paciente não atende "/>
        <s v="(Thiago) Às 13:30h, 17:24h, usuária não atende à ligação."/>
        <s v="16/07 Ana Cintra (15:20), paciente não atende à ligação."/>
        <s v=" 16/07 Ana Cintra (18:30), paciente não atende à ligação."/>
        <s v="taty (16:07 telefone desligado (Fabi - 14:40) desligado"/>
        <s v="Taty ( 16:56 ) telefone oculpado "/>
        <s v="(Thiago) Às 12:00h, usuária refere melhora do sangramento (01 episódio ontem), nega qualquer tipo de perda vaginal no momento; nega também outras queixas como dor em baixo ventre tipo cólica, contrações ou queixas urinárias. Finalizo monitoramento pelo AG"/>
        <s v="Às 15:00h, telefone indisponível."/>
        <s v="29/07 (Joanna): Refere que não apresentou novo episódio de sangramento. Segue sem queixas no momento. "/>
        <s v="Realizado."/>
        <s v="29/07: Refere que apresenta contrações dolorosas esporádicas ao longo dia, hoje apenas 1 episódio. Mobilograma realizado dia 26/07 = 10 MF. Fez teleinterconsulta com médica do plano de saúde, foi descartado TP e outras intercorrências. Nega sangramento, p"/>
        <s v="(Thiago) Às 16:15h, usuária não atende à chamada."/>
        <s v="05/08 (Joanna): Foi atendida dia 01/08 na USF Tia Regina, encontra-se no D8 (D0: 29/07), mantém coriza, nega sinais de alerta e queixas obstétricas."/>
        <s v="ianne (15h17) Paciente não atendeu, mas pelo PEC foi atendida na UBS e inicado metronidazol"/>
        <s v="Taty (16:42 ) Telefone nao completa a ligação "/>
        <s v="Gestante refere que que melhorou dos sintomas, porém, ainda não conseguiu inciar o PN. Na unidade de saúde, orientada que retornasse na semana seguinte."/>
        <s v="05/08: Refere que não conseguiu realizar a remarcação da consulta de PN no CS Prof Fernandes Figueira. Mantém cefaleia leve, sem sinais de alerta. Parou uso do Metildopa por conta própria, pois relata que após uso sente muito mal-estar, inclusive desmaiou"/>
        <s v="(Thiago) Às 18:00h, usuária não atende à chamada."/>
        <s v="// 04/08 (Lari) Telefone desligado"/>
        <s v="taty (14:00) paciente procurou atendimento, e realizou  USG trasvaginal, como apresentou queixa de disuria + corrimento vaginal, com antecedentes de ITU recorrentes em gestação anterior, encaminho novamente a urgencia, para realizçao do su "/>
        <s v="Joanna (09/08): Foi atendida na USF Coqueiral dia 07/08, orientada quanto as alterações fisiológicas da gravidez. Consulta de PN agendada para dia 10/08. Mantém dor lombar. Nega leucorreia, sintomas urinários e sinais de alerta. Oriento paciente sobre sin"/>
        <s v="(Thiago) Às 15:59h, usuária com telefone desligado."/>
        <s v="(Thiago) Às 16:09h, usuária não atende à chamada."/>
        <s v="(Thiago) Às 11:24h, usuária informa que compareceu hoje pela manhâ a 1ª consulta de PNRH em Us 373 Usf Cidade Operaria."/>
        <s v="Paciente atendeu e estava no CISAM, em processo de internamento, em virtude de PA alterada."/>
        <s v="(Camilla)"/>
        <s v="Foi à consulta de PNAR no IMIP hoje. Prescrito AAS 100 mg 1x/dia, Metildopa 250 mg 8/8h. Retorno programada para dia 23/08. Sem queixas no momento. Cd: Oriento manutenção do PNAR no IMIP e inicio do PN na APS; Informo que a consulta de PN na APS está agen"/>
        <s v="(Thiago) Às 18:02h, telefone da usuária não recebe a chamada."/>
        <s v="Agendada visita a maternidade Barros Lima para o dia 31/08. Oriento sinais de alerta e trabalho de parto ativo."/>
        <s v="(Thiago) Às 13:56h, 17:40h, usuária não atende à chamada. Taty(14/08 as 08:47) paciente nao atende a chamada "/>
        <s v="(ianne) 15h40 gestante não atende ligaçao"/>
        <s v="(Thiago) Às 14:04h, 17:42h, usuária não atende à chamada. Taty (14/08 as 08:56) paciente não atendeu "/>
        <s v="taty (18:11)Paciente se encontra na baarro Lima, PC as 11:41, rn apresentou desconforto respiratorio, esta em obs e puerpera em enfermaria  ; ianne (14h42) não atende"/>
        <s v="Taty( 16:14) Telefone não nao existe (18/08 Thiago) Telefone ocupado"/>
        <s v="Taty (17:11) paciente buscou atendimento presencial, continua com sintomatoligia, oriento realizar exame para COVID "/>
        <s v="18/08(Thiago) Às 11:40h, gestante apresenta melhora dos níveis glicêmicos. Trasnfiro cuidado para APS, ofereço TINC."/>
        <s v="(Thiago) Às 13:55h, telefone da usuária desligado/ocupado."/>
        <s v="(Thiago) Às 13:45h, paciente não atende à chamada telefônica."/>
        <s v="(Thiago) Às 11:48h, gestante comfirma boa movimentação fetal de ontem para hoje. Cofirmar acesso à APS em 22/08/23."/>
        <s v="ianne (14h) paciente não atende  taty ( 15:33)  Paciente nao atendeu "/>
        <s v="(Camilla) Tento contato às 14:22 sem sucesso (telefone fora de área ou desligado), (Thiago) Às 17:38h, usuária não atente à chamada."/>
        <s v="15:50 ( taty) tentativa sem sucesso, numero indisponivel. (Thiago) Às 17:40h, número indisponível."/>
        <s v="Realizado o telemonitoramento. Gestante sem queixas hoje. Foi a maternidade hoje, onde foi orientada manter medicação de asma. Oriento que siga o PN e que apenas em caso de asma de difícil controle é que deveria ser encaminhada ao PNAR."/>
        <s v="ianne (13h50) dando erro pelo microsip (numero bloqueado?) taty (16:50) paciente nao atendeu "/>
        <s v="Taty (15:28) gestante no curso da 8 semanas, nao procurou atendimento  , IMC 42, sintomas, congestao nasal supervisora "/>
        <s v="ianne (16h50) monitorar quinta"/>
        <s v="Ianne (13h45) paciente submetida a cesariana, internada na maternidade"/>
        <s v="Taty (15:28) Paciente nao atendeu "/>
        <s v="ianne (15h35) paciente não atende"/>
        <s v="(Thiago) Às 17:40h, Telefone não recebe chamada pelo fixo."/>
        <s v="(Thiago) Às 17:30h, usuária nã atende à ligação."/>
        <s v="(Thiago) ÀS 17:30h, telefone da usuária desligado."/>
        <s v="Taty ( 14:21) paciente procurou atendimento, foi avaliada e retonara dia 28/08/23 para realizar USG, no momento refere colicas, contração indolores "/>
        <s v="15h13 (ianne) Paciente não atende telefone. IG 40sem 6 + HASG. internada?"/>
        <s v="15:20 ( telefone desligado"/>
        <s v="(Thiago) Às 13:17h, usuária não atende à chamada."/>
        <s v="14H ( Taty)  paciente nao atendeu "/>
        <s v="(Thiago) Às 18:10h, usuária não recebeu visita da equipe ainda, FO ainda secretiva. Monitorar e avliar estado de FO amanhã."/>
        <s v="13:10 (taty) nao atendeu "/>
        <s v="(Thiago) Às 15:55h, usuária não atende à chamada."/>
        <s v="16h00 paciente não atende"/>
        <s v="16h05 paciente não atende. 09/09 (Joanna): Não fez uso do plasil. Mantém queixa de náusea, cefaleia discreta, fraqueza, alteração no padrão do sono, desconforto na garganta de inicio hoje. Cd: Oriento acerca dos sinais de alerta, uso de analgesico e antie"/>
        <s v="17h monitoramento realizado por telefone, devido dificuldade tecnica da paciente. Não conseguiu ser encaminhada para o hopchat. "/>
        <s v="(Thiago) Às 16:00h, usuária refere melhora e ausência de vômitos e diarreia."/>
        <s v="(Thiago) Às 16:20h, usuária não atende à chamada."/>
        <s v="(Thiago) Às 16:25h, o telefone da usuária não está recebendo chamada."/>
        <s v="(Thiago) Às 16:00h, telefone da usuária não recebe a chamada. 09/09 (Joanna): foi à USF dia 04/09, constatou-se FO sem alterações. Cd: Oriento paciente sobre sinais de alerta e cuidados gerais."/>
        <s v="(Thiago - monitoramento 06/09) Às 08:52h, gestante foi avaliada na Arnaldo Marques e orientada a retornar em 07/09 para internamento, caso não entre em trabalho de parto esponteneamente."/>
        <s v="(Thiago) Às 17:27h, o número da usuária encontra-se indisponível."/>
        <s v="(Thiago) Às 17:32h, a usuária não atende à chamada."/>
        <s v="(Thiago) Às 16:22h, o número da usuária não está recebendo ligação."/>
        <s v="Taty (18:30) nao consegui contato, porem nao sei se devido instabilidade do  microcip "/>
        <s v="(Thiago) Às 17:50h, o número da usuária não está recebendo ligação."/>
        <s v="ianne (16h) mudança de padrao do corrimento - ir na aps/maternidade amanha"/>
        <s v="ianne (9h) paciente na maternidade, puerpera"/>
        <s v="Gestante participou de TINC sobre sua quadro de saúde, no momento sem queixas e assintomática."/>
        <s v="(Thiago) Às 16:49h, usuária não atende à chamada."/>
        <s v="taty ( 13:50) realizado monitoramento, paciente refere corrimento e prurido descreto, nao procurou a APS, relata que ontem e hoje a tarde nao teve atendimento, mas esta marcado para amanha, "/>
        <s v="taty ( 18/09) Monitoramento realizado durante TINC com a profissional, Paciente com queixas de dor em BV e diminuição MF, paciente encaminhada para avaliação presencial, monitorar acesso a tarde "/>
        <s v="taty(15:49) telefone oculpado "/>
        <s v="19/09 (10h30) Larissa - Paciente internada na Bandeira"/>
        <s v="Taty (09:58) Paciente no momento da teleconsulta se encontrava na maternidade bandeira filho, onde foi avaliada e realizado uma USG com doppler  ( resultado relatado, diminuição do liquido amniótico, não foi possível medir o maior bolsão,   e  diminuição "/>
        <s v="ianne (16h20) Confirmado acesso/ orientação"/>
        <s v="22/09 (taty) paciente procurou atendimento e foi orientado repouso e buscopam"/>
        <s v="(Thiago) Às 15:45h, usuária não atende à ligação. taty (17:44) paciente nao atende"/>
        <s v="27/09 (Joanna): Foi ao CISAM (24/09), constatou-se PA = 140/90, prescrito Dipirona, orientada a buscar atendimento no posto de saúde. Refere mantém dor de cabeça, porém menos intensa. Não buscou atendimento na APS porque foi orientada a permanecer apenas "/>
        <s v="(Thiago) Às 17:24h, paciente não atende à chamada."/>
        <s v="17h Não completa a ligação."/>
        <s v="15h20 paciente não atendeu. ligamos 2x. "/>
        <s v="(ianne -02/10 as 13h35) paciente não atendeu"/>
        <s v="Não atende (18h)"/>
        <s v="Taty (13:38)Paciente na maternidade, pariu ontem as 21:35, puerpera e RN encontram-se no aalojamento "/>
        <s v="(Thiago) Às 15:56h, usuária não atende à chamada."/>
        <s v="Não conseguiu atendimento no CS Olinto de Oliveira. Segue com sintomas gripais. Demais informações sobre o caso no PEC."/>
        <s v="taty (10/10) paciente refere melhora nos sintomas, porem ainda com coriza, tosse esporadica, oriento realizar o teste para covid, pois durante o fds perdeu olfato e paladar"/>
        <s v="taty (18:23) nao completa ligação ( dada falta)"/>
        <s v="Joanna (14/10): Gestante refere que está bem. Nega queixas obstétricas e sinais de alerta. "/>
        <s v="(Thiago) Às 14:00h, 16:00h, usuária não atende à chamada."/>
        <s v="Foi à Arnaldo Marques (16/10); TPP descartado, fez uso de SF devido desidratação e Buscopan, orientada a manter uso do Pantoprazol 1x/dia. Refere melhora do quadro clínico, nega queixas obstétricas e sinais de alerta."/>
        <s v="(Thiago) Às 11:32h, gestante se encontrava em atendimento no Hospital Agamenon Magalhães."/>
        <s v="(Thiago) Às 14:40h, usuária não atende à chamada."/>
        <s v="(Thiago) Às 14:45h, usuária não atende à chamada."/>
        <s v="(Thiago) Às 17:53h, usuária não atende à chamada."/>
        <s v="Joanna (15h): não atendeu"/>
        <s v="taty ( 08:36 ) paciente atendida na urgencia do HBL, hoje com queixas leves, repetirar USG com uma semana, possibilidade de aborto retido."/>
        <s v="Foi ontem à Policlínica e Maternidade Barros Lima, realizou USG que evidenciou descolamento/hematoma; orientada a permanecer em repouso absoluto e retornar para reavaliação em 10 dias. Prescrito Utrogestan 2x/dia."/>
        <s v="(Thiago) Às 15:50h, usuária não atendeu à chamada. Taty (18:50) nao atenddeu a chamada, dado falta "/>
        <s v="(Thiago) Às 15:10h, usuária não atende à chamada."/>
        <s v="(Thiago) Às 15:14h, usuária não atende à chamada."/>
        <s v="Taty ( 30/10 as 15:44) usuaria nao atendeu "/>
        <s v="Joanna (14h; 16h20): não atendeu"/>
        <s v="taty (16:20) monitoramentp realizado, paciente refere secreção e obstrução nasal, nega outras queixas "/>
        <s v="Taty ( 16:30) paciente nao atendeu"/>
        <s v="(Thiago) Às 18:20h, usuária não atende à chamada."/>
        <s v="Taty (30/10 as08:40) paciente nao atendeu "/>
        <s v="Taty (30/10 as08:43) paciente nao atendeu "/>
        <s v="Taty (30/10 as08:49) paciente nao atendeu "/>
        <s v="01/11: foi avaliada no CS Gaspar Regueira Costa dia 31/10 (1ª consulta de PN). Refere que não apresentava alteração dos sinais vitais, orientada acerca dos sinais de alerta e uso de sintomático. Nega sinais de alerta no momento e queixas obstétricas. Mant"/>
        <s v="Joanna (17h): não atendeu."/>
        <s v="31/10 - Joanna (8h30):  Não foi ao atendimento presencial. Refere melhora da cólica e mantém queixa de disúria. Encaminho para avaliação na APS."/>
        <s v="Joanna (10h20; 14h10; 17h): não atendeu"/>
        <s v="Usuária refere melhora dos sintomas, nega queixas obstétricas."/>
        <s v="Joanna (10h20; 16h11; 17h05): não atendeu"/>
        <s v="Joanna (14h30; 16h15; 16h43; 17h6): não atendeu"/>
        <s v="Joanna (17h): Alguém que não se identificou atendeu (parecia uma criança) e informou que ela estava no médico. Logo em seguida desligou e não atendeu mais."/>
        <s v="``As 18h15 Não atende."/>
        <s v="Às 14:40, telefone desligado ou fora de área."/>
        <s v="Às 17h50 não atende."/>
        <s v="Fabiane (10:00) Gestante refere que não conseguiu ir para a avaliação presencial ontem. Matenho orientação de ir para o presencial."/>
        <s v="10/11/23, definido junto à coordenação não realizar monitoramento dos casos fora do ciclo grávido puerperal."/>
        <s v="TATY (16H) Paciente nao atendeu ( Dada falta em 11/11/023, apos 1 tentativa) "/>
        <s v="taty (18:32) Paciente nao atendeu (Falta dada)"/>
        <s v="Atendimento medico realizado ( ianne)"/>
        <s v="15/11 (Joanna): realizou TR gravidez (14/11) com resultado positivo; foi à USF em busca de atendimento (14/11), porém, refere que não foi bem acolhida, o atendimento foi realizado fora da sala de atendimento, informada que poderia realizar uma USG no part"/>
        <s v="(Thiago) Às 15:00h, usuária não atende à chamada."/>
        <s v="(Thiago) Às 17:00h, usuária não atende à chamada."/>
        <s v="(Thiago) Às 17:20h, usuária não atende à chamada."/>
        <s v="Usuária encontrou para teleconsulta na demana noturna"/>
        <s v="22/11 (taty) monitoramento realizado, paciente nao procurou atendimento na emergencia, permanece com sintomatologia "/>
        <s v=":taty (17:50) paciente nao atendeu"/>
        <s v="taty (17:54) paciente nao atendeu"/>
        <s v="(Thiago) Às 17:25h, usuária não atende à chamada."/>
        <s v="(Thiago) Às 14:50h, 17:30h, usuária não atende à chamada."/>
        <s v="Joanna (17h22): não atendeu"/>
        <s v="Joanna (17h25): parto cesáreo no HBL. Ambos seguem com BEG."/>
        <s v="Joanna (14h13; 16h3517h13): não atendeu"/>
        <s v="(Thiago) Às 13:30h, 15:00h, 16:30h, telefone indisponível."/>
        <s v="Joanna (17h; 18h10): não disponível"/>
        <s v="Joanna (18h12): indisponível"/>
        <s v="Foi à Upinha Eduardo Campos (local de funcionamento provisório da USF Ponto de Parada), recebeu 1ª dose de Penicilina benzatina (07/12) e foi orientada a retornar próxima terça-feira para agendar consulta de pré-natal. "/>
        <s v="Entrou por demanda espontânea. Dinâmica uterina: 4/40&quot;34&quot;60&quot;59&quot;/10'; MF reduzida. Foto do absorvente com líquido de aspecto acastanhado."/>
        <s v="Foi ao Hospital Guararapes em Prazeres, constatou-se presença de sangue nas fezes, prescrito Azitromicina 500 mg 1x/dia por 5 dias, Floratil 2x/dia por 3 dias. Refere que apresenta melhora do quadro clínico, nega presença de evacuações aquosas desde ontem"/>
        <s v="Gestante atende a ligação, mas diz que está sem internet, por isso faço o monitoramento por ligação telefônica. Confirma que foi atendida na APS ontem, conforme orientação de Thiago. Iniciou o tto para o corrimento ontem. Ainda está com os mesmo sintomas,"/>
        <s v="Telemonitamento realizado, consulta presencial amanha pela manha"/>
        <s v="16/12 - refere melhora considerável dos sintomas, mantém um pouco de coriza e apresentou episódio de tontura após jejum prolongado. Informo realização de novo monitoramento em 17/12 (7º dia de inicio dos sintomas)."/>
        <s v="Refere que foi atendida hoje na USF Chão de Estrelas, prescrito Amoxicilina e Dipirona. Sem novas queixas no momento."/>
        <s v="Encontra-se internada no Hospital da Mulher do Recife. Informação fornecida pelo esposo Edimilson."/>
        <s v="16/12 - Refere que foi à USF Sítio Cardoso, porém, não tinha nenhum profissional disponível para atendimento (estavam em um curso). Foi atendida no dia seguinte (15/12) na Policlínica Lessa de Andrade. No momento não apresenta queixas."/>
        <s v="16/12 - Foi atendida no IMIP (14/12), fez uso de Tramal e Dipirona. Refere que está sem queixas no momento. "/>
        <s v="Foi atendida na USF Rosa Selvagem, fornecido atestado médico de 5 dias. Mantém coriza, nega outras queixas e sinais de alerta. Encontra-se no 5º dia do início dos sintomas (D0 - 11/12)._x000a_"/>
        <s v="(Thiago) Às 16:00h,18:00h, usuária não atende à chamada."/>
        <s v="Às 16h25, telefone dá sinal de ocupado."/>
        <s v="(Camilla) 15h11 Gestante foi atendida na Bandeira Filho e testada para COVID, com resultado negativo. Hemograma também coletado sem alterações. Agendo monitoramento em 48h para avaliar evolução do quadro."/>
        <s v="(Thiago) Às 15:00h, 16:00h, gestante não atende à ligação."/>
        <s v="Refere parto vaginal sem intercorrência na Maternidade Arnaldo Marques, sem queixas no momento. RN em bom estado geral e em AME."/>
        <s v="Refere parto vaginal, sem intercorrências, RN do sexo masculino, nega queixas no momento. "/>
        <s v="(Thiago) Às 13:44h, 16:10usuária não atende à ligação."/>
        <s v="Gestante mantém quadro de pródromos, oriento quanto TP e sinais de alerta."/>
        <s v="(Thiago) Às 13:50h,16:00h usuária não atende à ligação."/>
        <s v="(Thiago) Gestante refere melhora dos sintomas, realizou avaliação em sua USF."/>
        <s v="(Thiago) Às 14:53h, 16:50h, gestante não atende à ligação."/>
        <s v="(Thiago) Às 17:00h, suária não atende à chamada."/>
        <s v="(Thiago) Às 17:08h, suária não atende à chamada."/>
        <s v="Joanna (17h41): não atendeu (Falta registrada no PEC)"/>
        <s v="(Thiago) Às 15:00h, 17:10h, não consigo contato com a usuária."/>
        <s v="(ianne) 13h paciente não atende"/>
        <s v="(Thiago) Às 14:40h, 16:00h, usuária não atende à chamada."/>
        <s v="Permanece com tosse, nega sinais de alerta e queixas obstétricas"/>
        <s v="02/01 - foi ao HMR. Mantém sangramento discreto, realizará USG hoje."/>
        <s v="Joanna (14h42; 17h4): não atendeu"/>
        <s v="Joanna: Assintomática, D4 hoje. "/>
        <s v="Paciente procurou atendimento, descartado TVP. Nervo ciático? Apresenta melhora da dor. "/>
        <s v="Refere que USG realizada em 02/12 evidenciou gravidez ectópica. Encontra-se no Hospital da Mulher do Recife."/>
        <s v="Taty(16:22) nao atendeu a ligação"/>
        <s v="Parto vaginal dia 03/01 na Maternidade Barros Lima. "/>
        <s v="Foi ao Hospital Barão de Lucena, nenhuma anormalidade foi identificada. Hoje fez consulta de PN na APS. Nega queixas obstétricas e sinais de alerta."/>
        <s v="Joanna (17h10): não atendeu (registro falta no PEC)"/>
        <s v="Joanna (17h12): não atendeu (registro falta no PEC)."/>
        <s v="(Thiago) Às 14:00h, 16:00h, o telefone da usuária não está recebendo ligação."/>
        <s v="Refere melhora do corrimento vaginal, não foi à USF, aguardará consulta de PNAR (11/01)."/>
        <s v="Joanna (17h30): telefone indisponível (falta registrada no PEC)"/>
        <s v="Taty (12:40) paciente refere melhora da sintomatologia,"/>
        <s v="Joanna (15h): não atendeu (Falta registrada no PEC dia 13/01)"/>
        <s v="(Thiago) Às 16:00h, 17:00h, usuária não atende à chamada."/>
        <s v="12/01 :taty (13:17) paciente nao atendeu (Falta registrada no PEC dia 13/01)"/>
        <s v="taty (16:09) paciente nao atende "/>
        <s v="Joanna (14h; 15h16): não atendeu (Falta registrada no PEC)"/>
        <s v="(Thiago) Às 17:30h, o telefone da usuária não está recebendo ligação."/>
        <s v="Joanna: Refere que foi ao HMR, foi diagnosticada com ITU, prescrito Cefalexina 500mg de 6/6h por 7 dias (iniciou tratamento)+ Buscopan. Relata que na triagem foi informada de PA 140 x 80 (não tem registro para comprovar). Nega que tenha sido realizada alg"/>
        <s v="taty (16:04) usuaria não atendeu (Thiago) Às 17:44h, usuária não atendeu."/>
        <s v="taty (16:07)paciente refere melhora dos sintomas, porem nao procurou a aps para aferir a pressão "/>
        <s v="Taty (15:39) usuaria nao atende (Falta registrada no PEC)"/>
        <s v="Encontra-se internada no Hospital das Clínicas para indução do parto."/>
        <s v=" "/>
        <s v="Joanna (14h46; 17h): não atendeu (falta registrada no PEC)"/>
        <s v="Joanna (17h): não atendeu (falta registrada no PEC)"/>
        <s v="(Thiago) Às 13:34h, usuária não atende à ligação."/>
        <s v="17h Camilla Gestante não atendeu. "/>
        <s v="Camilla (17h) Não atendeu"/>
        <s v="Taty( 13:44) paciente procurou atendimento como orientado, inicio de atb e melhora da febre e cefaleia, permanece com obstrução e seceção. "/>
        <s v="(Thiago) Às 17:00h, telefone encontra-se indisponível."/>
        <s v="Camilla (18:00) Gestante não atendeu."/>
        <s v="(Thiago) Às 16:42h, gestante foi atendida na Bandeira Filho, avaliada e liberada para casa em seguida."/>
        <s v="(Camilla) Gestante foi ao Hospital das Clínicas, foi avaliada e liberada (trabalho de parto inicial)."/>
        <s v=" Foi atendida na Policlínica e Maternidade Barros Lima, apresentou PA normal (não lembra o valor), orientada quanto ao uso do Paracetamol, não realizou exames. Sente-se cansada e sonolenta, refere melhora da cefaleia, nega sinais de alerta. Hoje PA = 143 "/>
        <s v="(Thiago) Às 17:38h, não consigo contato com a usuária."/>
        <s v="(Thiago) Às 18:00h, usuária realizou atendimento no HMR, sendo liberada em seguida. No momento, assintomática."/>
        <s v="(Thiago) Às 15:52h, o telefone da usuária não está disponível para receber chamadas."/>
        <s v="(Thiago) Às 15:55h, o telefone da usuária não está disponível para receber chamadas."/>
        <s v="(Thiago) Às 17:30h, usuária realizou atendimento na Bandeira Filho, foi liberada em seguida, sagramento ainda persiste."/>
        <s v="(Thiago) Às 15:15h, usuária não atende à chamada."/>
        <s v="Gestante atende e informa que foi avaliada ontem na Maternidade, onde foi vista dilatação de 4-5cm e liberada. Hoje as contrações estão menos frequentes. Nega outras queixas e aguarda o desencadeamento do TP ativo em casa. Encerro o caso."/>
        <s v="taty (13:30) paciente apresentando sangramento e presença de coagulos ,provavel aborto "/>
        <s v="Gestante refere que durante o mobilograma, identificou 5 movimentos fetais. Encaminho para avaliação presencial na maternidade e agendo monitoramento para amanhã."/>
        <s v="Taty ( 16:29) paciente atendida no HMR, dor pelvica, medicada e orientada repouso."/>
        <s v="ianne (14h10) paciente não atende.  Mas PEC ela foi acolhida e avaliada hoje pelo APS."/>
        <s v="Gestante refere alívio da cefaleia. Alta do episódio. "/>
        <s v="Joanna (14h) paciente não atendeu Taty ( 15:35) iniciou tratamento para ITU, refere cefaleia leve "/>
        <s v="Aborto confirmado na Maternidade Bandeira Filho (20/02)."/>
        <s v="(Thiago) Às 17:30h, não consigo contato com a usuária."/>
        <s v="Taty (12:40)Paciente refere melhora dos sintomas, hoje apresentou 2, nega nausea e vômitos, tontura, cefaleia, febre, sangue nas fezes e outros sintomas/sinais de alerta. nega perdas vaginas e queixas urinarias; Refere boa movimentação fetal e boa aceitaç"/>
        <s v="(Thiago) Gestante realizou atendimento presencial como orientado pelo AG, testou negativo para covid19. Refere lehoras dos sintomas."/>
        <s v="Camilla (27/02 - 08h37) Telefone ocupado (taty-16:48) sem sucesso-chama e cai nao recebe ligação? "/>
        <s v="taty (15:32) paciente não atendeu, (Thiago) Às 16:36h, paciente não atendeu."/>
        <s v="ianne (15h40) paciente não atende"/>
        <s v="(Thiago) Gestante refere melhora das dores."/>
        <s v="Joanna: Refere melhora da cefaleia. PA 110 x 80."/>
        <s v="Apresentou febre ontem, foi à Policlínica e Maternidade Arnaldo Marques, prescrito Dipirona e Histamin. Refere melhora da tosse e febre. Mantém coriza e congestão nasal. Nega sinais de alerta e outras queixas obstétricas. Cd: Oriento paciente sobre sinais"/>
        <s v="Encontra-se no 3º dia de inícios dos sintomas, mantém tosse, nega sinais de alerta e queixas obstétricas. Cd: Oriento sinais de alerta; realizar TR Covid."/>
        <s v="taty (16:40) paciente nao atendeu "/>
        <s v="Taty (16:38) paciente nao atendeu "/>
        <s v="Joanna (16h): não atendeu"/>
        <s v="Monitoramento realizado. Refere melhora dos sintomas da mastite. Novo monitoramento amanhã E AGENDADA TINC com médico da equipe para passar o caso. Consulta puerperal domiciliar à ser realizada pela equipe da APS em breve."/>
        <s v="Refere mamas flácidas, macias e sem eritema. Sem novas queixas."/>
        <s v="Foi à consulta de PN no CS Prof Joaquim Cavalcante; prescrito Metronidazol. Já iniciou tratamento. Nega novas queixas."/>
        <s v="(Thiago) Às 17:00h, usuária não atendeu à chamada."/>
        <s v="(Thiago) Gestante refere melhora dos sintomas."/>
        <s v="(Thiago) Às 17:30h, paciente informa que não melhorou da odontalgia, procurará a urgência amanhã pela manhã."/>
        <s v="(Thiago) Às 18:00h, usuária não atendeu à chamada."/>
        <s v="Foi atendida na USF Três Carneiros de Baixo Zumbi do Pacheco (12/03), prescrito Nitrato de Miconazol (iniciará uso hoje). Nega novas queixas e sinais de alerta."/>
        <s v="14:25 (Camilla) Gestante não atendeu"/>
        <s v="Encontra-se no 2º dia de uso da Loratadina, refere melhora do prurido e nega aparecimento de novas lesões. Observa que as lesões estão mais claras. Nega novas queixas e sinais de alerta."/>
        <s v="15:43 (taty) Paciente nao atendeu"/>
        <s v="16:45 (taty) Foi à Maternidade Barros Lima, realizou USG obstétrica (bolsa integra) e reavaliação. relata que melhorou dos sintomas gripais, porem esta de repouso, pois colo fino (SIC). nega queixas obstetricas e urinarias "/>
        <s v="15:45 (taty) Paciente internada na Maternidade Bandeira Filho, devido a mastite, refere esta em uso de dois antibioticos venosos, aguardando USG para definição de conduta, RN com a paciente"/>
        <s v="14:56 ( taty) Paciente nao procurou atendimento, refere melhora na Odontalgia, relatando  contrações irregulares (4 contrações hoje) boa vitalidade do feto, sem queixas obstetricas e urinarias "/>
        <s v="Nayale (17h00): Não atendeu à chamada (tentado 2x)"/>
        <s v="Nayale (17h06): Não atendeu à chamada (tentado 2x)"/>
        <s v="Nayale (14:32 e 17:08):Puérpera não atendeu à chamada (tentado 3x)"/>
        <s v="Foi à USF ontem, porém, não aguardou atendimento devido superlotação. Retornará amanhã (22/03) para nova tentativa. Refere melhora do corrimento vaginal, mas mantém prurido. Nega aparecimento de sintomas e sinais de alerta."/>
        <s v="17:25 (Nayale) Retorno ligação, mas gestante não atende às chamadas (tentado 3x)."/>
        <s v="Joanna (16h; 17h15): não atendeu"/>
        <s v="Rhayza (16:28) : nao atendeu. Joanna (17h16): não atendeu"/>
        <s v="(Lili) 14:28 Gestante não atendeu. "/>
        <s v="16h Paciente sem queixas. Avaliada hoje na unidade. Monitoramento em 2h"/>
        <s v="Joanna (23/03 - 11h; 16h30): não atendeu (falta registrada no PEC)"/>
        <s v="Nao atendeu/Ocupado (15:30) Rhayza"/>
        <s v="Não atendeu (15:32)"/>
        <s v="Em 24/03 foi à UPA de Torrões devido falta de ar. Foi avaliada e orientada quanto os sinais de alerta, recomendado uso de sintomáticos. Refere que se sente melhor. Mantém tosse produtiva, congestão nasal. Nega dispneia, febre e outros sinais de alerta. Se"/>
        <s v="Lili (15:13): Paciente refere "/>
        <s v="Puérpera tirou os pontos em casa, com a irmã que é técnica de enfermagem. FO com bordas coaptadas, porém, drenando secreção seropurulenta em pouca quantidade. Nega dor local, nega febre. Encaminho à urgência."/>
        <s v="Rhayza (14:07) não atendeu"/>
        <s v="Rhayza (14:03) não atendeu "/>
        <s v="8h40 (Lari) FO com bom aspecto. Oriento seguimento puerperal. Ag avaliação da FO pelo posto. No momento, sem sinais de infecção."/>
        <s v="A gestante entrou em contato via demanda espontânea após ser realizado o registro de falta. informa que não foi ao serviço de saúde e que irá amanhã na Maternidade Prof. Bandeira Filho. Refere aumento da quantidade corrimento vaginal de aspecto leitoso e "/>
        <s v="Às 15h, telefone não completa a ligação"/>
        <s v="15:19 ( taty) FO sem sinais Flogidtico, dada orientaçoes quanto a assepsia de FO"/>
        <s v="Rhayza (17:20) nao atendeu"/>
        <s v="15h10 (Camilla) telefone não completa a ligação (tento do fixo e do microsip)"/>
        <s v="12:30( taty)  hoje no d8, nega febre, cefaleia , fadiga,  relata melhora da tosse e secreção ,nega queixas urinarias e obstétricas  e refere que esta há 2 dia sem usar a dipirona e seu esposo realizou teste para o covid com resultado negativo"/>
        <s v="(Thiago) Às 14:40h, paciente não atendeu."/>
        <s v="(Thiago) Às 14:50h, telefone desligado/indisponível."/>
        <s v="Realizar novo monitoramento em 12/04"/>
        <s v="Rhayza (16:15) não atendeu"/>
        <s v="Rhayza (16:24) ocupado "/>
        <s v="(Thiago) Às 17:30h, paciente não atende."/>
        <s v="(Thiago) Às 17:40h, paciente não atende."/>
        <s v="17h (Camilla) Ligação não completa. "/>
        <s v="Refere melhora dos sinatomas. Sem novas queixas e sinais de alerta."/>
        <s v="Rhayza (16:25) nao atendeu "/>
        <s v="(Thiago - 14:00h, 16:50h) Usuária não atende à chamada."/>
        <s v="Joanna (14h09; 16h53): não atendeu"/>
        <s v="Mantém coriza, tosse, congestão nasal, dor de garganta. Descartado perda de LA (atendida na Maternidade). Esqueceu de pedir atestado médico. Nega sinais de alerta. Encaminho para teleconsulta com Damartine. "/>
        <s v="Realizar novo monitoramento em 24 h"/>
        <s v="Rhayza (16:18) ocupado "/>
        <s v="18:07 Encontra-se internada no HBL. Encerro monitoramento. "/>
        <s v="Registro feito no dia 18/04"/>
        <s v="Hoje, D8 de início dos sintomas gripais, refere que mantém tosse esporádica. Nega queixas obstétricas e sinais de alerta. Finalizo telemonitoramento"/>
        <s v="15:35 (taty) paciente nao atendeu e nao interagiu pelo hopchat; Joanna (16h50): não atendeu"/>
        <s v="Não foi à avaliação presencial devido melhora da dor em baixo. Refere discreta dor ao urinar, dor em loja renal há 1 dia, cefaleia e dois episódios de vômito. Cd: Encaminho à maternidade."/>
        <s v="Taty (15:32; 17h08) paciente não atendeu ---&gt; falta registrada no PEC"/>
        <s v="Taty (15:34) paciente não atendeu; Joanna (17h10): não atendeu ---&gt; Falta registrada no PEC"/>
        <s v="(Thiago - 14:10h, 16:55h) Usuária não atende à chamada."/>
        <s v="Rhayza (17:06) Internada no HMR devido PA."/>
        <s v="Não atendeu."/>
        <s v="10h30 Paciente refere dor lombar importante associada a febre não aferida. Opto por encaminhar a avaliação presencial"/>
        <s v=" 16:50 ( taty) Paciente no momento do monitoramento se encontrava em atendimento no CISAN . Companheiro refere perda de tampao mucoso e contraçoes ritimadas e dolorosa "/>
        <s v="15:42 (Taty) Paciente não atendeu "/>
        <s v="Não atendeu"/>
        <s v="Lari (14h) não completa chamada"/>
        <s v="Taty ( 14:21) Paciente Procurou a APS, hoje apresentou 1 epsodio de diarreia, refere melhora da nausea e colicas, nega febre  e queixas obstetricas   "/>
        <s v="16:14 (taty) refere que procurou atendimento presencial e melhoras do sintomas "/>
        <s v="13:48 Não atendeu (Camilla)"/>
        <s v="(Thiago) Às 15:20h, paciente não atendeu à chamada."/>
        <s v="(Thiago) Às 15:23h, paciente não atendeu à chamada."/>
        <s v="Rhayza (16:11) nao atendeu"/>
        <s v="Rhayza (16:15) nao atendeu"/>
        <s v="Rhayza (17:25) nao atendeu"/>
        <s v="Encontra-se aguardando resultado de exames laboratoriais na Maternidade Arnaldo Marques. Refere melhora dos sintomas após administração de medicações (não sabe quais medicações foram administradas) e desaparecimento das manchas no abdome."/>
        <s v="17:00h (Thiago) Não atende à chamada"/>
        <s v="14:27 (Taty) Refere que foi descartado dengue, na Maternidade Arnaldo Marques, onde  ealizou hemograma e SU. hoje nega febre, manchas pelo corpo, nausea e vômitos,  nega  queixas obstetricas e urinaria "/>
        <s v="16:50 ( Taty)  Paciente não atendeu "/>
        <s v="Rhayza (15:57) nao atendeu"/>
        <s v="16:08 ( taty)  paciente procurou atendimento presencial , onde foi avaliada e liberada, nega queixas urinaria, sangramento e perda de liquido, refere MF presente"/>
        <s v="Joanna (13h25; 17h06): não atendeu"/>
        <s v="Joanna (14h40): não atendeu; 16:34 (Taty) Paciente não atendeu"/>
        <s v="14:43(taty) Paciente não atendeu 16:55 ( Taty) Paciente mão atendeu "/>
        <s v="14:33h (Thiago) Telefone fora de área."/>
        <s v="16:43 (taty)Contração + lombalgia , sem perda de liquido ou sangramento, sem queixas urinarioas  e  MF presente, encaminho a maternidade "/>
        <s v="18:27h (Thiago) Não completa a chamada"/>
        <s v="16:00 (taty) paciente não atendeu"/>
        <s v="17:07 (taty) paciente sem queixas, porem angustiada"/>
        <s v="Joanna (16h): indisponível"/>
        <s v="Joanna (14h27; 17h08): não atendeu"/>
        <s v="Joanna (14h30; 17h09): não atendeu"/>
        <s v="16:27 (Taty) paciente não atendeu"/>
        <s v="14:00h (Thiago) Usuária não atende a chamada."/>
        <s v="14:10h (Thiago) Usuária não atende a chamada."/>
        <s v="18:00 (Camilla) Não atendeu"/>
        <s v="Rhayza (17:15) nao atendeu"/>
        <s v="Rhayza (16:16) não atendeu "/>
        <s v="Rhayza (17:46)"/>
        <s v="16:11h (Thiago) Não atende a ligação."/>
        <s v="(Thiago) 13:30h Telefone ocupado, paciente não atende a chamada."/>
        <s v="(Rhayza) 16:45 Não atendeu"/>
        <s v="Monitoramento realizado. Realizar novo monitoramento 27/05"/>
        <s v="(Rhayza) 16:49"/>
        <s v="17:00h (Thiago) Nao atendeu a chamada."/>
        <s v="16:10h (Thiago) Não atende a ligação."/>
        <s v="11:00h (Thiago) Nao atendeu a chamada."/>
        <s v="16:50h (Thiago) Não completa a ligação."/>
        <s v="17:00h (Thiago) Gestante compareceu à sua unidade e foi orientada a retornar amanhã."/>
        <s v="15:40 (Thiago) Paciente não atendeu."/>
        <s v="Joanna (17h): não atendeu"/>
        <s v="Rhayza (14: 54) Não atendeu"/>
        <s v="(Thiago) 14:50h, não atendeu."/>
        <s v="Rhayza (14:57) Nao atendeu  "/>
        <s v="Foi atendida na USF. Refere melhora considerável. "/>
        <s v="Rhayza (17:15) sem conseguir contato telefonico"/>
        <s v="14:19 ( taty) paciente não atendeu "/>
        <s v="(Thiago) Não completa a ligação."/>
        <s v="(Camilla) Às 16h. não completa a ligação."/>
        <s v="17:00h (Thiago) Não completa a ligação."/>
        <s v="18h (Camilla) Chama duas vezes e cai ligação."/>
        <s v=","/>
      </sharedItems>
    </cacheField>
    <cacheField name="OBS" numFmtId="0">
      <sharedItems containsBlank="1" containsNumber="1" containsInteger="1" containsMixedTypes="1" count="409">
        <m/>
        <s v="Realizado telemonitoramento 03/01 as 15h. Encerrado do telemonitoramento"/>
        <s v="Enfermeira da Unidade"/>
        <s v="Agente de saúde; o PEC foi registrado pelo login do telessaude. "/>
        <s v="Foi ofertado TINC, porém não foi enviado a notificação de atendimento para o profissional (DS VII) visto que estamos aguardando confirmação de como será a notificação para os profissionais dos demais DS"/>
        <s v="LANÇAMENTO"/>
        <s v="ficou sabendo pela propaganda"/>
        <s v="Gestante de rede privada - Hapvida"/>
        <s v="Faz PN CS Olinto - Lessa de Andrade"/>
        <s v="Gestante de rede privada. Sobre monitoramento, quando for identificado indicação de monitoramento que não esteja enquadrado dentro do fluxo, deixar registrado o motivo do monitoramento."/>
        <s v="- Oriento repetir TR-gravidez, se positivo agendar consulta de pré-natal na US de referência ( US 108 CS Boa Vista); _x000a_- Informo que após parar o uso do anticoncepcional, bem como após uso da anticoncepção de emergência, pode acontecer irregularidade menst"/>
        <s v="Não foi enviado notificação para o profissional de referência porque na planilha de cadastro não tem contato"/>
        <s v="Paciente teve consulta em prenatal e realizado prescriçao de albendazol dia 06/06 por enf rose (PEC)"/>
        <s v="( ianne) 10h50 Ligo 3 x, nao atendeu"/>
        <s v="Rede Privada"/>
        <s v="Apoio emocional: refere muito medo de uma nova perda gestacional, considerando que teve 3 perdas anteriores a esta gestação."/>
        <s v="Monitorar final da tarde, tem consulta no pre natal as 13h- para checar se teve consulta. Paciente necessita de apoiio emocional ( historia traumatica em parto anterior"/>
        <s v="Apoio Emocional"/>
        <s v="Joanna: Registro atendimento realizado por Eliane, visto que ela não consegue editar a planilha. "/>
        <s v="Foi encaminhada ao SPA da Barros Lima (Marta 10/06 - faz PN no Hapvida)"/>
        <s v="(MARCIA) Entra em contato com o número disponibilizado, pessoa (Andrea) informa que ela saiu e não consegue atender hoje. Oriento que caso necessite de atendimento novamante ela entra em contato pelo Atende Gestante. "/>
        <s v="Encaminhada à UPA Lagoa Encantada"/>
        <s v="Gestante reside em Jaboatão. Repassou endereço de Recife à recepção digital; durante anamnese informou endereço atual. Caso não registrado no PEC. "/>
        <s v="Faz PN no Hapvida"/>
        <s v="TINC realizada com monique, lesao Fibroma Mole, que geralmente aparece na vida adulta, que pode modoficar na gestação, se for desejo pode ser realizado pela prefeitura a retirada no ambulatorio de pequenas cirurgias. enf e medica do posto pode solicitar "/>
        <s v="Realizado TINC no mesmo momento do atendimento com a enfa Arianny"/>
        <s v="Reavaliar fluxo de corrimento* (Marta lembrete) "/>
        <s v="Atendimento feito por Lari e Registrado por Thiago (após às 19h)"/>
        <s v="Puerpéra (bebê com 38 dias)"/>
        <s v="Avaliar novos sintomas/solicitar códido e senha do exame para verificar no site do lab"/>
        <s v="Apoio Emocional - ansiedade relacionada ao TP, sofreu violência obstétrica, sofrimento no parto anterior"/>
        <s v="Apoio emocional - tristeza/ luto - natimorto"/>
        <s v="Ligar para: 81991724644 (número do namorado)"/>
        <s v="Não foi feito registro do telemonitoramento"/>
        <s v="Dandara estava dormindo na hora que liguei (08:20) e Neto pediu que ligasse às 10:00. "/>
        <s v="Tentar monitoramento 15/06"/>
        <s v="Sem registro das telecosnulta do dia 14/06 no pec"/>
        <s v="Tentar monitoramento 15/06 / PEC INSTAVEL SEM REGISTRO da cosulta anterior 14/06"/>
        <s v="PEC sem registro da consulta anterior"/>
        <s v="(Marta) Não consigo identifiquei equipe responsável pela usuária"/>
        <s v="Sem registro no PEC da teleconsulta realizada no dia 14/06. (MARTA) Usuária não é mais acompanhada pela USF Amaury de medeiros, se mudou, não enviado notificação."/>
        <s v="(ianne): paciente com 2 prontuarios, usar o do CNS. Não encontro registro de atendimento de ontem(Marta) Não consigo identifiquei equipe responsável pela usuária"/>
        <s v="(ianne) não encontro registro atendimento de eontem no pec"/>
        <s v="Rede privada (Marta) Sem registro do atendimento no PEC e não consigo identificar equipe para envio de notificação / Serviço privado HAPVIDA"/>
        <s v="Telemonitoramento do dia 14/06"/>
        <s v="(Marta) No momento o PEC não estava funcionando, oriento fazer o registro no dia 18/06 - dia do plantão."/>
        <s v="Usuária de PACS - ainda não iniciou o PN, no monitoramento verificar se usuária já sabe o profissional responsável para enviar notificação e realizar acompanhamento. Às 15:00h usuária informa que conseguiu falar com ACS e irá marcar consulta para semana d"/>
        <s v="Atendimento realizado dia 16/06 por Larissa sem PEC. Paciente G1, 37s6d por USG do cartao de PN com 10s4d, refere dor em BV, perda de TM, diarreia sem sangue ou muco e febre 38.9º (SIC). Refere boa MF. Oriento atendimento presencial. Informado monitoramen"/>
        <s v="Usuária ainda não iniciou o PN na USF de referência em Recife. Era moradora de Olinda e deu continuidade ao PN lá. "/>
        <s v="Usuária fazendo atendimento em clínica particular "/>
        <s v="Reside em Recife, mas está no Paraná a trabalho (retornará dia 13/07)."/>
        <s v="TINC realizada com o profissional."/>
        <s v="Paciente entra em contato pelo hopchat as 14h20, realizado telemonitoramento."/>
        <s v="ligar as 07:30 telefone da filha yasmin, paciente nao tem telefone, se passar do hoario o CAPS entrar em contato, para realizar o telemonitoramento "/>
        <s v="Ligar à tarde."/>
        <s v="Paciente deseja saber onde consegue fazer uma USG renal na rede. Acompanhada pelo SASSEPE e exame não estava disponível hoje. Ela tem estenose de JUP esquerda e apresentou dor em flanco direito hoje. "/>
        <s v="PEC sem funcionar a partir das 17h, não foi possivel colocar falta"/>
        <s v="Apoio Emocional. Pouco comunicativa, aparenta tristeza. Thiago (26/06/23); gestante relata que mãe e irmão apresentam os mesmos sintomas. "/>
        <s v="Preenchimento do nome da usuária"/>
        <s v="Gestante, IG = 30s6d (USG), residente no municipio de Jaboatão (informação confirmada durante videochamada e registro no cartão de PN), queixa-se de dor em BV esporádica, corrimento vaginal amarelado associado a prurido vaginal, congestão nasal e falta de"/>
        <s v="Sangramento (usuária ainda não iniciou o PN - foi hoje a unidade para realizar cadastro e agendar consulta)"/>
        <s v="Gestante com dificuldade de conexão para vídeo chamada. Conseguiu contato com celular de terceiros. É de área coberta, mas não iniciou pré-natal, IG 15s1d pela USG em 03/05/2023com 7s3d, queixa de náuseas e cefaleia, internamento em gestação anterior com "/>
        <s v="O telefone não é da gestante (não enviar link) Cel: 81996343446"/>
        <s v="Ligar para 997023914"/>
        <s v="(Marta) Gestante entrou como novo atendimento após 2 tentativas de contato/registrado como telemonitoramento."/>
        <s v="(Marta) Orientar que usuaria entre em contato com ACS ou vá a unidade tentar marcação de consulta com a outra enfermeira (Andrea está de férias mas informa que deixou tudo articulado com a colega da outa equipe)"/>
        <s v="No inicio do mês não conseguiu agendar PN devido indisponibilidade de profissional. Encaminhada ao CS para agendar PN e avaliação clínica."/>
        <s v="#TELEMONITORAMENTO ATENDE GESTANTE# Registro que paciente forneceu o consentimento verbal livre e esclarecido para a realização da modalidade de teleconsulta. Impossibilidade de  videochamada, realizado atendeimento por ligaçao. Idade Gestacional (23sem 5"/>
        <s v="paciente refere cefaleia e nega outras queixas, como ontem apresentou na maternidade 140*90, solicito ida ao posto para hoje e amanha para aferir a PA "/>
        <s v="Gestante com IG 15s3d pela DUM e 13s5d pela USG com 5s4d, G4 P2 (2PC) A1 (2022), Gravidez não planejada, usava ciclo 21, relata uso correto. Paciente atendida ontem e orientada ir na maternidade , mas nao foi por não ter quem ficque com filhos. Realata qu"/>
        <s v="Reação alérgica à Cefalexina."/>
        <s v="Ligar às 17h em 04/07/2023"/>
        <s v="Telemonitoramento (30/06): Foi à US e não foi avaliada. Mantém dor lombar que irradia para o BV, sensação de esvaziamento incompleto da bexiga, gotejamento pós-micção. Nega novos episódios de sangramento, último há 2 dias (descreveu como raios de sangue)."/>
        <s v="Telefone fixo e microsipp sem funcionar - tentar monitoramento 05/07"/>
        <s v="Gravides de risco habitual. Queixa: dor em BV intermitente e de forte intensidade há 1 dia + sintomas gripais iniciados em 26/06: dor de ouvido, desconforto na garganta, coriza. Nega sinais de alerta. Nega sintomas urinários, perdas vaginais, leucorreia, "/>
        <s v="Queixa: disúria, leucorreia. Nega perdas vaginais nos últimos 30 dias. USG (05/06) sugestiva de gravidez anembrionada (IG = 8s); USG (21/06): imagem sugestiva de embrião sem batimentos cardíacos (Ig = 6s6d). Cd: Encaminho à maternidade Barros Lima. Obs: E"/>
        <s v="6º dia pós-cesariana. Drenagem de secreção seropurulenta em FO. Encaminhada ao HBL. "/>
        <s v="(Marta) Telemonitoramento do dia 30/06 realizado 01/07 após novas tentativas. Colocado desfecho na conduta do monitoramento do dia 30/06"/>
        <s v="Gestante com 40s1d pela DUM (24/09/22) e USG 39s5d pela USG com 9s, procura o serviço com queixa de perda de líquido e tampão mucoso iniciada às 6h de hoje, juntamente a contrações dolorosas esporádicas. Nega sangramento, corrimento, queixas urinárias ou "/>
        <s v="Gravides de risco habitual. Queixa:dor de garganta, coriza, obstrução nasal. refere melhora da dor em BV . Cd: Da preferencia a calcinha de algodão,; não utilizar/ evitar  protetores diário, procurar dormir sem calcinha, Aplica creme vaginal antes de dorm"/>
        <s v="(Marta) O atendimento não ficou salvo no PEC, porém Thiago encaminhou o arquivo para usuária."/>
        <s v="Refere que em sua unidade é necessário marcar uma data para receber a medicação - registrado evento sentinela."/>
        <s v="Caso do Evento Sentinela - DSVII (paciente não é da área, deu endereo da mãe)"/>
        <s v="IG (DUM/USG): 8s4d/8s3d, G2 P0 A1 (aborto em fevereiro/2023); Condições de risco: nega. Intercorrências durante a gestação: nega. Em uso: Ácido fólico + Sulfato ferroso. Alergias: nega. Acompanhamento Pré-Natal:  USF Prof Antônio Francisco Areias (1ª cons"/>
        <s v="Acompanhamento PN: Não iniciou PN. Refere que conforme orientação recebida ontem, foi à Upinha Dia Jardim São Paulo para agendar 1ª consulta de PN, sendo informada que não havia disponibilidade para atendimento. Em razão disso, entrou em contato com o Ate"/>
        <s v="Gestante com IG 28s2d pela DUM e pela USG, G3 P2(2PN) A0, refere discreto alívio dos sinais e sintomas de candidíase genital por ter iniciado medidas de higiene e cuidados íntimos, porém não iniciou ainda tratamento medicamentoso por não ter adquirido cre"/>
        <s v="Oriento gestante com IG 23s5d pela DUM, G2 P0 A1, a se dirigir à Policlínica e Maternidade Arnaldo Marques, ou outro serviço de sua preferência para nova avaliação e substituição da referida prescrição para tratamento da otite, a mesma não encontra a medi"/>
        <s v="Gestante com 16s2d pela DUM e pela USG com 15s3d, G4 P3 (2PN 1PC) A0, procura o serviço com queixa de dor em baixo ventre tipo cólica de relacionada aos esforços. Nega queixas obstétricas como sangramento, perda de líquido ou corrimentos. Nega também febr"/>
        <s v="Apoio emocional."/>
        <s v="Gestante nega queixas obstétricas e gerais. Buscou o serviço para entender sobre grau de maturação da placenta e Golf Ball."/>
        <s v="TINC - Contato da paciente por PEC. Monitoramento para avaliar se melhora de emese. TINC com Clarice marcada para dia 13/07. Enf andrea 81992751576"/>
        <s v="Fazer a tarde. Pela amnha paciente vai para maternidade"/>
        <s v="Checar se realizaçao de Exame (uroc) e sintomas. Se iniciado disuria, passar ela para rose ou mari fazer ATB"/>
        <s v="Fazer às tarde"/>
        <s v="Às 14h - Resumo atendimento: Gestante G1 P0 A0 24s, com dor lombar, sem outras queixas associadas. Oriento tomar 1g de dipirona e repouso. Às 14h reavaliar. PNAR NA BARRO LIMA DEVIDO HAS E OBSESIDADE."/>
        <s v="Paciente refere melhora nos sintomas e nao realizou a urocultura como solicitado. Oriento quanto a importancia da realização do exame e informo monitoramento ."/>
        <s v="Fez o primeiro atendimento e encaminhou para Ianne"/>
        <s v="Usuária do CS José Dustan - "/>
        <s v="Ligar as 15h. Paciente procurou o atende gestante com queixas de cefaleia intensa há 3dias, otalgia E, dor nos seios da face, apresentou 1 episódio de vertigem nega febre, falta de ar.Encaminho paciente para avaliação presencial, devido a cefaleia intensa"/>
        <s v="Paciente nao procurou atendimento presencial como orientado , porem hoje refere melhora dos sintomas. seguindo o protocolo para sintomais gripais. encaminho paciente para atendimento presencial e tr para COVID "/>
        <s v="paciente procura o Atende gestante com queixa de prurido (nao sabe se por conta da tricotomia) e corrimento tipo nata ( oriento procurar APS para exame especular como no fluxo  e necessidade de tratamento"/>
        <s v="Profissional assistente ciente do caso pois recebeu notificação, realizado discursão do caso"/>
        <s v="Aguardo resposta do evento sentinela."/>
        <s v="17/07 - Taty relizou monitoramento e usuária estava sendo atendida no IMIP"/>
        <s v="Joanna fez novamente em 19/07"/>
        <s v="Paciente reside em agua fria, mas optou por continuar PN paulista"/>
        <s v="Atendimento estava registrado como monitoramento."/>
        <s v="Apoio Emocional - A coordenação de saúde da mulher (DS I): já articulou agendamento da consulta de PN e consulta com psicologo. Paciente já está ciente."/>
        <s v="paciente com 41s ( estava com encaminhamento da aps, nega perdas vaginais, contração irregulares, indolor, porem duradoras (50´´) "/>
        <s v="Teleconsulta x teletriagem (Marta lembrar/Alany/Kleber)"/>
        <s v="Aguardo retorno sobre evento sentinela. Inclusive pelo histórico já foi realizado um evento sobre esse caso. "/>
        <s v="Foi atendida dia 27 via demanda espontânea"/>
        <s v="Vamos monitorar com 1 semna devido paciente internada com 31semanas para ontrole pressorico. Escolhemos 1 semanas devido ao internamento provavevlmente ser mais prolongado. Se tiver alta dar apoio em relaçao ao controle pressorico, se tiver bebe vamos ofe"/>
        <s v="Marta -  Reportado evento sentinela DSVI - USF Pina"/>
        <s v="Usuária impossibilitada de atender à vídeo chamada, solicita que retornemos a ligação às 14h."/>
        <s v="Usuária solicita contato às 14:30h."/>
        <s v="Marta - para identificar até onde fiz a atualização dos dados de: &quot;Mora em área de ESF&quot; // 04/08 (Lari) Telefone desligado"/>
        <s v="Marta - para identificar até onde fiz a atualização dos dados de: &quot;Mora em área de ESF&quot; "/>
        <s v="telefone da mae da paciente "/>
        <s v="Secreção leitosa em pouca quantidade, sem prurido ou edema de genitália externa."/>
        <s v="Telefone so para ligação  (81994811870- TELEFONE DO ESPOSO QUE SE ESTIVER EM CASA RECEBE WHATZAPP) "/>
        <s v="Ligar às 15h para confirmação de acesso à UBS."/>
        <s v="Monitoramento em 17/08 para confirmação de acesso ao pré-natal em USF."/>
        <s v="Em 08/08/23 - Confirmar acesso a unidade de referência na APS; e em 10/08/23 - confirmar acesso a Arnaldo Marques em virtude da IG corresponder a 41s."/>
        <s v="Parto realizado há 9 meses"/>
        <s v="O número de telefone deste atendimento é da enfermeira da USF Adriana."/>
        <s v="Queixa: Presença de secreção com descrição compatível com tampão mucoso."/>
        <s v="Tentar monitoramento em 18/08/2023 para confirmar acesso ao PNRH em APS."/>
        <s v="Realizar telemonitoramento visto que perdeu seguimento no PN da APS e PNAR."/>
        <s v="Gestante iniciando pródromos do TP, ligar às 11h de hoje para avaliação do quadro."/>
        <s v="Usuária encaminhada à maternidade barros Lima por IG avançada 41s, confirmar acesso à maternidade."/>
        <s v="Sem vinculação a APS - registrado evento sentinela "/>
        <s v="CS Ivo Rabelo "/>
        <s v="Ligar às 15h, checar com a gestante os valores da curva glicêmica de hoja e amanhã e ver possibilidade de antecipação da consulta de PNAR."/>
        <s v="Ligar as 18h"/>
        <s v="ligar a tarde ( orientei realizar teste para COVID )"/>
        <s v="Ligar para confirmar acesso à maternidade Barros Lima."/>
        <s v="Ligar pela manhã para avaliar movimentação fetal. (Marta - gestante de área do Cs Pam Ceasa, porém faz PN particular)"/>
        <s v="Avaliar desconforto e dor por doença hemorroidária."/>
        <s v="(Marta - monitoramento era do dia 17/08)"/>
        <s v="Confirmar a realização do teste para covid 19. (Thiago) usuária fornece celular do companheiro para contato para vídeochamada - 81987066010."/>
        <s v="Gestante completa 41s em 22/08, feto pélvico, ligar para confirmar acesso à Maternidade Barros Lima."/>
        <s v="paciente nao procurou atendimento como orientado e apresentou queixas de tontura e vertigem aos esforços, referindo melhora na falta de ar "/>
        <s v="Fazer comparativo de FO e abdome. "/>
        <s v="Ligar às 15h. Gestante portadora de HASC, em uso de metildopoa 500mg/dia, apresentando cefaléia intensa. Ligar para confirmar acesso à Barros Lima - faltou 1ª consulta do PNAR no HMR."/>
        <s v="Ligar em 24/08/2023 "/>
        <s v="Ligar as 11h30"/>
        <s v="Reavaliar sinais e sintomas de gastroenterite."/>
        <s v="Confirmar acesso à Barros Lima - Pródromos de TP."/>
        <s v="Confirmar acesso à maternidade Arnaldo Marques - gestante com 40s5d, HASG e obesidade ( paciente com dois registros no PEC) ."/>
        <s v="Gestante em pródromos, confirmar se a paciente deflagrou o TP."/>
        <s v="monitoramento para observar aspecto da secreção ( referiu perda com presença de sangramento, porem na imagem encaminhada secreção Mucoide); "/>
        <s v="(Marta - Registro do dia 01/09 não foi realizado no PEC porque o mesmo estava fora do ar, Thiago não conseguiu realizar o registro tardio, informado 04/09). Monitorar acesso à APS, puérpera 16 dias pós PC aguarda visita da equipe da USF."/>
        <s v="Monitorar acesso à mat.Bandeira Filho, gestante 30sem com falta de ar; em PNAR, obesidade, HASG, Asma em tratamento."/>
        <s v="Realizado ajuste de medicações para crise de asma dia 01/09/23. Fazer contato com 48h para avaliar se precisa prolongar o tratamento/nova avaliação presencial. "/>
        <s v="Confirmar acesso a APS "/>
        <s v="Avaliar melhora das náusea e vômitos, em uso de plasil."/>
        <s v="Puérpera no 17º dia aguardando avaliação pós parto pela equipe na APS, FO secretiva, avliar em próximo monitoramento."/>
        <s v="09/09 (Joanna): Nega novos episódios de sangramento após o dia 02. Sem queixas. Oriento paciente sobre sinais de alerta;Oriento manutenção do PN na APS e no HMR"/>
        <s v="Realizo telemonitoramento em 09/09."/>
        <s v="O número na planilha é da familiar Adriana, pelo qual foi realizado o atendimento. Confirmar acesso à maternidade Arnaldo Marques."/>
        <s v="Gestante completa hoje 41s1d, confirmar acesso à maternidade Arnaldo Marques."/>
        <s v="Concluído monitoramento."/>
        <s v="Monitorar com 2 a 3 horas para reavaliar sinais e sintomas."/>
        <s v="O telefone que consta na planilha é de uma amiga do trabalho, Micheli, por onde foi efetuado todo atendimento por vídeo chamada. "/>
        <s v="Telemonitoramento do dia 04/09"/>
        <s v="Telemonitoramento do dia 03/09"/>
        <s v="Telemonitoramento do dia 02/09"/>
        <s v="Confirmar acesso à Barros Lima."/>
        <s v="Ligar às 18h para avaliar os pródromos."/>
        <s v="Ligar ao final da manhã, confirmar acesso à Maternidade Bandeira Filho, prodromos de TP e IG 41s ."/>
        <s v="Gestante na 32ª semana, com elevação dos níveis pressóricos. Ligar à tarde para confirmar acesso à maternidade."/>
        <s v="Ligar ao final da tarde para confirmar acesso ao PNAR."/>
        <s v="Encaminhada à Maternidade 36s3d com dor a cada 1h"/>
        <s v="Monitoramento realizado durante a TINC com profissional"/>
        <s v="Confirmar se a usuária conseguiu acesso à sua USF parta avaliação presencial."/>
        <s v="Ligar a tarde - checar atendimento em aps"/>
        <s v="Gestante participou de TINC sobre sua quadro de saúde, no momento sem queixas e assintomática."/>
        <s v="Realizado em 19/09"/>
        <s v="Monitoramento realizado durante TINC com a profissional"/>
        <s v="Não realizada em 18/09."/>
        <s v="Ligar dia 20/09 às 13h, por hoje (19/09) paciente estava no trabalho e não podia falar. Ligar para confirmar acesso à Bandeira Filho."/>
        <s v="Usuária informa que realizará consulta em sua USF de referência em 48h."/>
        <s v="Ligar às 9h (nº do telefone 99649-1398)"/>
        <s v="Monitoramento realizado dia 22/09"/>
        <s v="Ligar às 15h"/>
        <s v="Monitoramento realizado dia 24/09"/>
        <s v="Obs: a teleconsulta não foi finalizada, pois, usuário saiu do consultório digital e não consegui estabelecer nova comunicação, inclusive por telefone. Sendo assim, não foi possível informar acerca do telemonitoramento pela equipe do Atende Gestante em 24/"/>
        <s v="Monitoramento realizado dia 27/09"/>
        <s v="Gestante com sangramento ao evacuar. Encaminhada ao CISAM, devido a limitação de transporte."/>
        <s v="Gestante em fase inicial de TP. Confirmar acesso à Arnaldo Marques. "/>
        <s v="Ligar as 14 horas para confimar acesso na consulta da APS."/>
        <s v="Tentar em 02/10"/>
        <s v="Ligar às 12h, confirmar acesso à sua USF portando USG Endovaginal para reavaliação do quadro. "/>
        <s v="Ligar às 16h"/>
        <s v="Fabiane (11:50) Paciente estava no trabalho e refereiu que não podia atender a video chamada e que a equipe do atende gestante não precisava ligar em outro momento pois seu sangramenta já havia parado e ela já estava tentando agendar uma consulta presenci"/>
        <s v="Ligar para 99380-4960"/>
        <s v="Telemonitoramento realizado dia 05/10"/>
        <s v="Ligar às 14h"/>
        <s v="Gestante com IG 11s3d com 01 episódio de perda vaginal em &quot;borra de café&quot; extrememente discreta."/>
        <s v="Realizado em 10/10"/>
        <s v="Liguei pela manhã e a tarde, porém gestante estava aguardando atendimento na emergência."/>
        <s v="Ligar às 15h para reavaliar."/>
        <s v="Ligar às 15h para confirmar acesso. RPMO?"/>
        <s v="Nao foi gerado telemonitoramento, pois foi gerado tinc, e confirmado acesso "/>
        <s v="Confirmar acesso na APS para iniciar o pré-natal."/>
        <s v="ligar 11h para confirmar acesso"/>
        <s v="Ligar para confirmar acesso a Matrenidade + avaliar se melhora de sintomas (azia / refluxo). Caso não visualize prontuario pelo PEC, consegue ver pelo Hopchat."/>
        <s v="Telemonitoramento realizado em 14/10."/>
        <s v="Ligar após às 13:00h."/>
        <s v="Confirmar se o TP foi deflagrado."/>
        <s v="ligar às 13h"/>
        <s v="ligar para esse contato 81987608875"/>
        <s v="Paciente encerrou a chamada antes da colclusão do atendimento."/>
        <s v="Telemonitoramento realizado dia 21/10 por Tatyana"/>
        <s v="Telemonirotamento do dia 20/10"/>
        <s v="Ligar a partir das 14:00h, confirmar acesso à USF (realizar SU)."/>
        <s v="Ligar as 17h para 81996334713 ( o telefone cadastrado nao recebe ligação )"/>
        <s v="8h Telefone desligado"/>
        <s v="Ligar para 984411270."/>
        <s v="Monitoramento realizado dia 30/10"/>
        <s v="Ligar para 997106216; Telemonitoramento às 12h. Orientar a atualizar cadastro"/>
        <s v="11h"/>
        <s v="Gestante em TP, ligar por volta das 15h, para confirmar acesso a Barros Lima."/>
        <s v="(Thiago; 30/10/23) Às 11:20h, usuária não atende à ligação."/>
        <s v="(Thiago; 30/10/23) Às 11:38h, usuária não atende à ligação. Também foi realizado TINC com a médica Carolina Larré (Usuária é ACS e estava na USF."/>
        <s v="(Thiago; 30/10/23) Às 11:41h, usuária não atende à ligação."/>
        <s v="Monitorametno realizado dia 01/11"/>
        <s v="Monitoramento realizado 31/10"/>
        <s v="Gestante com DG, 40s2d, encaminhada ao HMR, ao término da TINC compartilhada, para avaliação obstétrica. Confirmar acesso."/>
        <s v="Monitoramento do dia 28/10"/>
        <s v="Não foi gerado monitoramento pela paciente não possuir número telefônico que receba ligação. Oriento que se caso precise, entre em contato novamente com o serviço."/>
        <s v="Monitoramento do dia 30/10"/>
        <s v="Mobilograma após refeição: 7 movimentos em 35 min. Diante do resultado do mobilograma, oriento que gestante siga observando a movimentação fetal e que se perceber novamente a diminuição busque atendimento presencial na Arnaldo Marques. - Mantenho 1 monito"/>
        <s v="06/11 (Lari) Paciente não atende"/>
        <s v="IG 22s3d, queixa de dor intensa em região dorsal direita, inclusive à palpação, área próxima ao ângulo costovertebral. Além disso, refere corrimento acastanhado observado hoje, ardência ao urinar há 2 dias, principalmente no final da micção. Cd: Enc à Pol"/>
        <s v="Confirmar aceso à USF de referência, usuária ainda sem consulta puerperal."/>
        <s v="Ligar só as 14h para confirmar acesso à USF de referência."/>
        <s v="Usuária encaminhada para UPA da Caxangá."/>
        <s v="Usuária encaminhada à sua USF para acolhimento pós abortamento de gestação desejada. Checar acesso."/>
        <s v="Gestante com IG 26s5d pela USG, com dores em BV- ameaça de TPP? Encaminhada à Bandeira Filho, checar acesso."/>
        <s v="Ligar às 17h"/>
        <s v="Atendimento realizado no dia 14/11 "/>
        <s v="Não é mais da área da USF Cosme e DAmião"/>
        <s v="Checar melhora do quadro de diarreia leve."/>
        <s v=" Ligar as 15 horas para checar acesso a maternidade. TPP? Ligar para o número 98966-7779"/>
        <s v="Ligar para o n° 98966-7779, reavaliar quadro clinico de dor pelvica."/>
        <s v="Gestante em fase latente do TP, BR, ancaminhada à Bandeira filho, checar acesso."/>
        <s v="Ligar à tarde para checar acesso."/>
        <s v="Ligar às 14h. Monitoramento não realizado, em virtude da indisponibilidade do microsip e dos telefones da EMPREL"/>
        <s v=" "/>
        <s v="Às 09:00h, 10:30h, 12:50h, 14:00h, 16:00h, Microsip sem funcionar."/>
        <s v="Monitoramento não realizado, em virtude da indisponibilidade do microsip e dos telefones da EMPREL"/>
        <s v="Ligar à tarde, checar acesso à APS."/>
        <s v="Ligar às 15h - avaliar mobilograma"/>
        <s v="De acordo com o ARCGIS a US de referência é a Policlínica Albert Sabin e acordo com o mapa de vinculação é o CS Prof Mário Ramos/CS Francisco Pignatari/EACS 5; 5.1; 5.2 - faço registro na planilha de pendência."/>
        <s v="Ligar entre 13h e 15h, gestante IG 18s6d, com odontalgia importante, encaminhada para tentar acessom em sua USF em 04/12, checar acesso."/>
        <s v="Gestante IG 36s4d, em TPP?, chacar acessoa à Bandeira Filho."/>
        <s v="Outro contato: 986887725. "/>
        <s v="Outro contato: 992521738 (marido - Leandro). Falta colocar falta no PEC"/>
        <s v="Ligar para  992062057 "/>
        <s v="Ligar pela manhã a partir das 8h, gestante com 31s3d, com cólicas, contrações, vômito e diarreia. Confirmar acesso à Bandeira Filho."/>
        <s v="Ligar qualquer horário, gestante IG 25s6d, TPP? diagnóstico de CA de colo uterino e endometriose (SIC). Confirmar acesso ao HMR."/>
        <s v="Contrações de Braxton-Hicks? / Início do trabalho de parto? Confirma acesso na Barros Lima."/>
        <s v="Telemonitoramento para: Confirmar o acesso à APS. Unidade da gestante é a Ponto de Parada que, em virtude da requalificação está funcionando provisoriamente na Upinha Eduardo Campos. Oriento que busque a Upinha para iniciar PN, tramento de sífilis e testa"/>
        <s v="Telemonitoramento para: avaliar sinais de trabalho de parto e/ou de alerta e necessidade de encaminhar a gestante para avaliação presencial. HD: GUTT + PROVÁVEL RPMO."/>
        <s v="Ligar a partir das 15h, gestante com IG 32s4d, com corrimento vaginal, checar acesso à sua USF."/>
        <n v="-999273159"/>
        <s v="Ligar as 11h para confirmar acesso"/>
        <s v="Checar acesso na Bandeira Filho."/>
        <s v="Checar acesso à Bandeira Filho."/>
        <s v="Verificar se houve substituição da Losartana pelo metildopa. Caso não atenha acontecido, reforçar recomendação de ir à USF na segunda. "/>
        <s v="Reavaliação - 7º dia de inicio dos sintomas."/>
        <s v="Confirmar se gestante conseguiu retomar o atendeimento no PNAR da policlínica do Pina. Concluído os registros no dia seguinte ao atendimento."/>
        <s v="https://prescricao.cfm.org.br/api/consulta-documento?sw=CFMftU8q5p"/>
        <s v="Ligar para 984388989. Checar acesso na APS."/>
        <s v="Checar acesso na APS. Tem consulta agendada na USF amanhã."/>
        <s v="Avaliar evolução do sangramento."/>
        <s v="Ligar às 14:30h"/>
        <s v="Paciente em TP encaminhada à Maternidade Arnaldo Marques, checar acesso."/>
        <s v="Avaliar quadro clínico"/>
        <s v="Ligar após as 11h - paciente vai colher teste de covid"/>
        <s v="Gestante com sinais de ITU, febre há dois dias. Checar acesso à Bandeira Filho."/>
        <s v="Gestante com sindrome gripal, covid19 positivo. Checar acesso à Bandeira Filho."/>
        <s v="Monitorar sintomas, covid19 positivo, D4 hoje."/>
        <s v="Falta registrada no PEC."/>
        <s v="Falta registrada no PEC"/>
        <s v="monitoramento a tarde - checar se melhorou dos episodios diarreicos e da dor. "/>
        <s v="Avaliar USG"/>
        <s v="Ligar para 99196186; encaminhada devido ausência de movimentos fetais a mais de 12h."/>
        <s v="Avaliar mobilograma"/>
        <s v="Ligar às 16h. Reavaliar se mantém cefaleia."/>
        <s v="Confirmar acesso (encaminha devido 4 MF em 1h)"/>
        <s v="Ligar para 98783-8957"/>
        <s v="Checar acesso à Bandeira Filho, ausência de MF."/>
        <s v="checar acesso; queda de altura, ausencia de MF e dor pelvica "/>
        <s v="Gestante em tratamento para ITU com nitrofurantoína, permenece com leve disúria, avaliar melhora dos sintomas."/>
        <s v="Monnitoramento do dia 07/01"/>
        <s v="ligar para esse contato 81987772073"/>
        <s v="ligar as 13- avaliar se melhora de dore/ diarreia e hidratacao. fiz o atestado de hj. Vai precisa fazeruroc daqui uma semana, nao solicitei pq ela tem consulta dia 16. "/>
        <s v="Ligar às 17h (confirmar acesso)"/>
        <s v="Telemonitoramento do dia 11/01 (não tinha registro de nenhuma tentativa e não tinha falta registrada no PEC)."/>
        <s v="Atendimento acordado com alany, paciente sem queixas, porem refer que esta gravida , descobriu a 2 meses, sem inicio de PN , has e DM , SIC enfermeira de ferias e sem exame de comprovação (perdeu o beta) "/>
        <s v="ligar a tarde para (81999474550)  confirmar acesso e gravidez"/>
        <s v="(Thiago) Às 16:45h, gestante não atende à chamada."/>
        <s v="Ligar à tarde para confirmar acesso a USF para ajuste da prescrição do Noripurum."/>
        <s v="Usuária com HAS, DM, obesidade; aguarda BHCG."/>
        <s v="Ligar para 98783-8957 (lembrar de fazer registro acerca do PNAR)"/>
        <s v="Ligar a tarde"/>
        <s v="Checar acesso à maternidade."/>
        <s v="esposo 81984353919 caso nao pegue o outro (para esse ligar apos as 17h)"/>
        <s v="ligar as 14h para 81994288154"/>
        <s v="Ligar às 17h para avaliar queixa e confirmar acesso a APS"/>
        <s v="Ligar às 17h para revaliar hiperemia e outros sinais flogísticos da mama direita. Avaliar a necessidade de avaliação presencial na UBS ou bando de leite."/>
        <s v="Ligar para o contato da irmã - Fabiana 999193216"/>
        <s v="Monitoramento a fazer em 09/02 Confirmar início do tratamento de ITU; lembrar de agendar um novo monitoramento para dia 09/02 para reforçar a coletar de urocultura."/>
        <s v="Ligar às 9h30, para confirmar o valor da PA que ela irá aferir na farmácia, além do alívio da cefaléia, após uso de dipirona agora."/>
        <s v="confirmar acesso á maternidade para avaliação presencial por inadequação do método"/>
        <s v="Ligar às 11h para avaliar sinais de TP e/ ou de alerta"/>
        <s v="ligar as 16:20 reavaliar,"/>
        <s v="Ligar às 17h, reavaliar melhora das cólicas."/>
        <s v="Ligar pela manhã, checar aceeso à Bandeira Filho."/>
        <s v="Ligar à tarde, checar acesso à Bandeira Filho."/>
        <s v="Ligar à tarde, checar acesso à urgência odontológica."/>
        <s v="Ligar as 10h Falar cm Marta primeiro - Preciso discutir o caso com quem for fazer o telemonitoramento"/>
        <s v="Ver vinculação à APS"/>
        <s v="Ligar para 99591-0580"/>
        <s v="Confirmar acesso ao PN da Bandeira Filho."/>
        <s v="Ligar às 12h"/>
        <s v="(Marta) Não realizado registro de formulário; não encontro registro de monitoramento no PEC, apenas de TINC. Foi realizado o monitoramento??"/>
        <s v="Reavaliar às 17h"/>
        <s v="Monitorar D4 de sintomas gripais, covig19 negativo."/>
        <s v="Ligar dia 27/02 para checar acesso"/>
        <s v="Gestante encaminhada para MBF, checar acesso."/>
        <s v="Monitoramento as 15h30"/>
        <s v="Ligar para 81998898692"/>
        <s v="Ligar para 994288154 -(Marta - ainda não iniciado PN pra enviar notificação)"/>
        <s v="Averiguar se conseguiu agendar consulta de PN na USF Macaxeira"/>
        <s v="Ligar para relembrar coleta de urocultura de controle"/>
        <s v="ligar as 11h, avaliar PA "/>
        <s v="Ligar para 81 996713494"/>
        <s v="Ligar às 11h --&gt; 81997635371"/>
        <s v="Monitorar até o D8 diariamente, hoje D5"/>
        <s v="Ligar para relembrar coleta de urocultura de controle, agendada para 20/03"/>
        <s v="Ligar a partir das 14h."/>
        <s v="(Thiago) A gestante foi encaminhada para APS, sugiro ligar à tarde."/>
        <s v="Checar acesso à urgência odontológica, ligar após as 14h."/>
        <s v="Não consegui inserir a falta da gestante na agenda por falta de acesso. Registro aqui."/>
        <s v="Gestante aguardando a vez na consulta*"/>
        <n v="81997324176"/>
        <s v="Atendimento compartilhado (Obstetra + MFC + enfer. da USF)"/>
        <s v="Paciente com 2 PEC - Verificar pelo SUS"/>
        <s v="2a opção de telefone 81996823412"/>
        <s v="Na segunda tentativa de monitoriamento recusou videochamada; monitoramento feito por telefone."/>
        <s v="Monitormanto realizado por contato telefonico pois pct estava internada na maternidade (Bandeira Filho)"/>
        <s v="Saber se buscou a APS ou se entrou em TP   "/>
        <s v="Ligar à tarde"/>
        <s v="Feito por contato telefonico."/>
        <s v="Paciente orientada a procurar o posto hoje pela manha, ligar a tarde"/>
        <s v="Gestante ainda não buscou unidade de saúde, como orientado. Ligar à tarde para confirmar."/>
        <s v="Gestante encaminhada para avaliação na APS, ligar à tarde."/>
        <s v="Ligar à tarde para confirma acesso "/>
        <s v="Checar melhora do quadro de dor intensa no corpo, reação vacinal."/>
        <s v="(Thiago - 0818h) Gestante pede para retomar a ligação às 09:00h."/>
        <s v="Ligar após 9h, checar acesso à APS, início de sintomas gripais após reação adversa às vacinas."/>
        <s v="ligar as 15h telefone 81991473240 (ligação) 12991876039 (zap)"/>
        <s v="Ligar as 15h "/>
        <s v="Ligar à tarde para avaliar melhora dos sintomas."/>
        <s v="Monitoramento realizado em 13/04/2024."/>
        <s v="Atendimento realizado em 18/04. Gestante não é munícipe, oriento procurar APS de sua área. "/>
        <s v="Confirmar acesso à maternidade Arnaldo Marques."/>
        <s v="Confirmar acesso ao HMR 16h "/>
        <s v="Enviei comandado para iniciar atendimento, recebeu a mensagem, clicou em inicar atendimento, porém, não a visulizei no HopChat."/>
        <s v="Ligar para 982850804"/>
        <s v="Ligar para 982850804 às 15h para checar acesso à urgência e/ou alívio das queixas"/>
        <s v="(Marta) informar sobre o agendamento de USG no dia 07/05 as 14h no HMR"/>
        <s v="Monitoramento feito por telefone pois paciente estava no trabalho"/>
        <s v="Ligar 16 h"/>
        <s v="Monitoramento realizado por telefone - solicitaçao da gestante "/>
        <s v="Encontra-se na urgencia do HAM "/>
        <s v="Ligar às 9 horas "/>
        <s v="Ligar as 16 horas"/>
        <s v="Registro evento sentinela."/>
        <s v="Reforçar realização de urocultura de controle."/>
        <s v="Ligar para 81991300852"/>
        <s v="Ligar a tarde (foi encaminhada para avaliação presencial hoje na APS)"/>
        <s v="PEC com instabilidade - registro feito 13/05 (Marta)"/>
        <s v="Ligar a tarde (Paciente encaminhada à urgência obstétrica)"/>
        <s v="Monitoramento para informar sobre agendamento de PNAR, após realizar TINC com médico Giovani"/>
        <s v="Não foi encaminhada à APS porque enfermeira está de férias e não tem médico. SG sem sinais de alerta. "/>
        <s v="Ligar entre 14h - 15h para reavaliar a cólica."/>
        <s v="Agendar monitoramento para 20/05/24, considerar TINC para avliar quadro geral da gestante."/>
        <s v="Ligar às 16h para checar acesso à MBF."/>
        <s v="Informou que nao poderia entrar em contato por videochamada. Monitoramento feito por telefone."/>
        <s v="Saber se conseguiu encaminhamento para PNAR"/>
        <s v="Ligar às 14h - A conversa do Hopchat está em aberto no usuário de Camilla"/>
        <s v="Ligar às 16h - Reavaliar nauseas e vomitos e presença de sinais de TP"/>
        <s v="Avaliar evolução do sangramento transvaginal e acesso a APS"/>
        <s v="Checar acesso ao CISAM à tarde, gestante diz que não conseguirá ir à Barros Lima."/>
        <s v="Telefone do esposo."/>
        <s v="Avaliar perfil glicêmico nas últimas 24h."/>
        <s v="Ligar as 17 horas - telemonitoramento realizado dia 30/05"/>
        <s v="Confirmar acesso à maternidade e reavaliar sintomas"/>
        <s v="Ligar à tarde. Encaminhada ao banco de leite.Ligação chama duas vezes no Microsip e cai."/>
        <s v="Ligar às 16h. Reavaliar TP - Formulario de monitoramento preenchido dia 04/06"/>
        <s v="Checar vinculação à USF Alto do Maracanã, puérpera mudou-se recentemente para o território, ainda sem visita puerperal da equipe."/>
        <s v="Realizado teleatendimento e durante teleconsulta perco contato telefônico com a paciente. Faço 3 tentativas de contato por telefone porém gestante não atende. Informaria que como há incongruência entre queixas e exame físico realizado hoje pela manha na ú"/>
        <s v="Monitorar dia 05/06 para checar acesso à maternidade (DMG)."/>
        <s v="  "/>
      </sharedItems>
    </cacheField>
  </cacheFields>
</pivotCacheDefinition>
</file>

<file path=xl/pivotCache/pivotCacheDefinition5.xml><?xml version="1.0" encoding="utf-8"?>
<pivotCacheDefinition xmlns="http://schemas.openxmlformats.org/spreadsheetml/2006/main" xmlns:r="http://schemas.openxmlformats.org/officeDocument/2006/relationships" r:id="rId1" refreshOnLoad="1" refreshedVersion="5" refreshedDate="45457.3887384259" refreshedBy="USUARIO" recordCount="1613">
  <cacheSource type="worksheet">
    <worksheetSource ref="A1:AH1614" sheet="Registro de teleatendimento"/>
  </cacheSource>
  <cacheFields count="34">
    <cacheField name="Carimbo de data/hora" numFmtId="0">
      <sharedItems containsBlank="1" containsDate="1" containsMixedTypes="1" count="2411">
        <s v="Teleconsulta pós lançamento"/>
        <s v="Telemonitoramento efetivados pós lançamento"/>
        <s v="Teletriagem pós lançamento"/>
        <d v="2022-11-10T13:55:00"/>
        <d v="2022-11-30T11:13:08"/>
        <d v="2022-12-15T09:07:30"/>
        <d v="2023-01-02T08:53:17"/>
        <d v="2023-01-02T15:41:34"/>
        <d v="2023-01-11T11:39:43"/>
        <d v="2023-01-11T14:48:46"/>
        <d v="2023-01-18T11:13:34"/>
        <d v="2023-01-24T15:41:03"/>
        <d v="2022-12-01T14:36:17"/>
        <d v="2023-01-03T15:12:15"/>
        <d v="2023-01-03T15:16:25"/>
        <d v="2023-01-25T15:25:17"/>
        <d v="2023-01-26T15:07:01"/>
        <d v="2023-01-27T08:57:14"/>
        <d v="2023-03-02T13:48:49"/>
        <d v="2023-03-17T12:06:18"/>
        <d v="2023-03-17T17:28:25"/>
        <d v="2023-03-20T10:13:23"/>
        <d v="2023-03-21T15:52:42"/>
        <d v="2023-04-05T12:10:56"/>
        <d v="2023-04-07T10:17:58"/>
        <d v="2023-04-18T17:02:41"/>
        <d v="2023-04-19T14:42:54"/>
        <d v="2023-04-20T09:23:42"/>
        <d v="2023-04-21T09:01:20"/>
        <d v="2023-04-24T16:16:17"/>
        <d v="2023-05-02T15:09:58"/>
        <d v="2023-05-03T11:49:19"/>
        <d v="2023-05-04T15:48:48"/>
        <d v="2023-05-05T16:36:13"/>
        <d v="2023-05-08T10:53:41"/>
        <d v="2023-05-08T14:58:33"/>
        <d v="2023-05-08T17:46:53"/>
        <d v="2023-05-10T12:38:45"/>
        <d v="2023-05-16T18:02:47"/>
        <d v="2023-05-30T11:46:12"/>
        <d v="2023-05-30T18:31:39"/>
        <d v="2023-05-30T19:24:48"/>
        <d v="2023-05-31T10:18:44"/>
        <d v="2023-05-31T15:07:02"/>
        <d v="2023-05-31T16:02:07"/>
        <d v="2023-05-31T16:34:29"/>
        <d v="2023-05-31T16:36:02"/>
        <d v="2023-06-01T08:23:47"/>
        <d v="2023-06-01T08:50:44"/>
        <d v="2023-06-01T10:57:45"/>
        <d v="2023-06-01T12:04:31"/>
        <d v="2023-06-01T12:41:47"/>
        <d v="2023-06-01T18:30:04"/>
        <d v="2023-06-02T10:18:00"/>
        <d v="2023-06-02T11:30:41"/>
        <d v="2023-06-02T11:30:50"/>
        <d v="2023-06-02T12:46:26"/>
        <d v="2023-06-02T17:51:41"/>
        <d v="2023-06-03T08:57:21"/>
        <d v="2023-06-03T10:17:42"/>
        <d v="2023-06-03T16:26:43"/>
        <d v="2023-06-03T18:49:37"/>
        <d v="2023-06-04T10:00:47"/>
        <d v="2023-06-04T12:07:39"/>
        <d v="2023-06-04T16:10:50"/>
        <d v="2023-06-05T10:32:25"/>
        <d v="2023-06-05T11:24:21"/>
        <d v="2023-06-05T18:06:50"/>
        <d v="2023-06-05T18:24:06"/>
        <d v="2023-06-05T19:06:02"/>
        <d v="2023-06-05T19:06:28"/>
        <d v="2023-06-06T09:18:34"/>
        <d v="2023-06-06T09:27:46"/>
        <d v="2023-06-06T10:12:39"/>
        <d v="2023-06-06T10:54:43"/>
        <d v="2023-06-06T12:00:05"/>
        <d v="2023-06-06T12:07:29"/>
        <d v="2023-06-06T12:55:02"/>
        <d v="2023-06-06T13:00:45"/>
        <d v="2023-06-06T15:21:59"/>
        <d v="2023-06-06T15:36:00"/>
        <d v="2023-06-06T17:34:02"/>
        <d v="2023-06-06T18:46:07"/>
        <d v="2023-06-07T09:28:59"/>
        <d v="2023-06-07T09:30:52"/>
        <d v="2023-06-07T10:04:40"/>
        <d v="2023-06-07T10:11:00"/>
        <d v="2023-06-07T12:32:00"/>
        <d v="2023-06-07T12:37:44"/>
        <d v="2023-06-07T14:18:31"/>
        <d v="2023-06-07T14:49:21"/>
        <d v="2023-06-07T15:10:24"/>
        <d v="2023-06-07T15:47:39"/>
        <d v="2023-06-07T16:56:31"/>
        <d v="2023-06-07T18:51:35"/>
        <d v="2023-06-07T19:33:52"/>
        <d v="2023-06-08T07:35:57"/>
        <d v="2023-06-08T08:22:37"/>
        <d v="2023-06-08T09:18:12"/>
        <d v="2023-06-08T10:23:11"/>
        <d v="2023-06-08T12:26:16"/>
        <d v="2023-06-08T14:07:46"/>
        <d v="2023-06-08T14:34:50"/>
        <d v="2023-06-08T15:13:52"/>
        <d v="2023-06-08T17:09:57"/>
        <d v="2023-06-08T17:55:04"/>
        <d v="2023-06-08T18:49:15"/>
        <d v="2023-06-09T08:48:58"/>
        <d v="2023-06-09T09:06:52"/>
        <d v="2023-06-09T09:44:17"/>
        <d v="2023-06-09T11:23:34"/>
        <d v="2023-06-09T12:01:22"/>
        <d v="2023-06-09T12:14:51"/>
        <d v="2023-06-09T12:31:24"/>
        <d v="2023-06-09T13:38:17"/>
        <d v="2023-06-09T13:48:28"/>
        <d v="2023-06-09T13:55:12"/>
        <d v="2023-06-09T14:45:32"/>
        <d v="2023-06-09T16:36:13"/>
        <d v="2023-06-09T19:23:34"/>
        <d v="2023-06-10T08:06:27"/>
        <d v="2023-06-10T08:53:03"/>
        <d v="2023-06-10T09:18:27"/>
        <d v="2023-06-10T09:26:25"/>
        <d v="2023-06-10T09:38:10"/>
        <d v="2023-06-10T10:15:49"/>
        <d v="2023-06-10T10:23:08"/>
        <d v="2023-06-10T11:04:41"/>
        <d v="2023-06-10T11:55:09"/>
        <d v="2023-06-10T11:55:58"/>
        <d v="2023-06-10T12:57:35"/>
        <d v="2023-06-10T13:29:37"/>
        <d v="2023-06-10T14:11:15"/>
        <d v="2023-06-10T17:00:13"/>
        <d v="2023-06-10T17:18:19"/>
        <d v="2023-06-10T17:26:22"/>
        <d v="2023-06-10T17:40:50"/>
        <d v="2023-06-10T18:02:02"/>
        <d v="2023-06-10T19:01:46"/>
        <d v="2023-06-11T08:35:41"/>
        <d v="2023-06-11T09:43:42"/>
        <d v="2023-06-11T10:04:58"/>
        <d v="2023-06-11T11:45:57"/>
        <d v="2023-06-11T12:34:00"/>
        <d v="2023-06-11T12:50:10"/>
        <d v="2023-06-11T14:29:59"/>
        <d v="2023-06-11T17:29:06"/>
        <d v="2023-06-11T18:58:34"/>
        <d v="2023-06-12T09:24:07"/>
        <d v="2023-06-12T10:08:06"/>
        <d v="2023-06-12T10:34:39"/>
        <d v="2023-06-12T10:43:50"/>
        <d v="2023-06-12T11:39:03"/>
        <d v="2023-06-12T11:57:29"/>
        <d v="2023-06-12T13:42:02"/>
        <d v="2023-06-12T13:51:55"/>
        <d v="2023-06-12T15:28:38"/>
        <d v="2023-06-13T09:40:06"/>
        <d v="2023-06-13T09:58:14"/>
        <d v="2023-06-13T10:50:13"/>
        <d v="2023-06-13T11:56:45"/>
        <d v="2023-06-13T13:24:53"/>
        <d v="2023-06-13T13:49:09"/>
        <d v="2023-06-13T14:07:46"/>
        <d v="2023-06-13T16:07:49"/>
        <d v="2023-06-13T16:42:57"/>
        <d v="2023-06-13T17:17:58"/>
        <d v="2023-06-13T18:33:18"/>
        <d v="2023-06-14T08:51:18"/>
        <d v="2023-06-14T09:59:05"/>
        <d v="2023-06-14T11:04:13"/>
        <d v="2023-06-14T11:26:08"/>
        <d v="2023-06-14T11:32:06"/>
        <d v="2023-06-14T13:07:22"/>
        <d v="2023-06-14T14:54:20"/>
        <d v="2023-06-14T15:14:50"/>
        <d v="2023-06-14T15:36:46"/>
        <d v="2023-06-14T17:38:16"/>
        <d v="2023-06-14T18:50:54"/>
        <d v="2023-06-15T09:30:28"/>
        <d v="2023-06-15T13:55:40"/>
        <d v="2023-06-15T15:26:29"/>
        <d v="2023-06-15T17:27:42"/>
        <d v="2023-06-15T19:58:54"/>
        <d v="2023-06-16T08:43:49"/>
        <d v="2023-06-16T10:00:28"/>
        <d v="2023-06-16T12:23:56"/>
        <d v="2023-06-16T13:16:58"/>
        <d v="2023-06-16T14:54:14"/>
        <d v="2023-06-16T17:01:54"/>
        <d v="2023-06-16T17:37:23"/>
        <d v="2023-06-16T18:26:18"/>
        <d v="2023-06-17T09:35:40"/>
        <d v="2023-06-17T10:16:41"/>
        <d v="2023-06-17T17:17:24"/>
        <d v="2023-06-18T12:51:56"/>
        <d v="2023-06-18T14:56:03"/>
        <d v="2023-06-19T08:16:43"/>
        <d v="2023-06-19T11:57:26"/>
        <d v="2023-06-19T13:10:51"/>
        <d v="2023-06-19T13:16:54"/>
        <d v="2023-06-19T14:19:02"/>
        <d v="2023-06-19T15:15:43"/>
        <d v="2023-06-19T16:33:44"/>
        <d v="2023-06-19T16:37:32"/>
        <d v="2023-06-19T16:51:20"/>
        <d v="2023-06-19T16:54:46"/>
        <d v="2023-06-19T17:05:04"/>
        <d v="2023-06-19T17:30:27"/>
        <d v="2023-06-19T18:47:54"/>
        <d v="2023-06-20T11:47:30"/>
        <d v="2023-06-20T14:16:11"/>
        <d v="2023-06-20T14:31:11"/>
        <d v="2023-06-20T16:25:08"/>
        <d v="2023-06-20T16:30:20"/>
        <d v="2023-06-20T19:36:35"/>
        <d v="2023-06-21T08:20:39"/>
        <d v="2023-06-21T08:45:53"/>
        <d v="2023-06-21T10:34:48"/>
        <d v="2023-06-21T12:04:12"/>
        <d v="2023-06-21T16:23:53"/>
        <d v="2023-06-22T08:20:38"/>
        <d v="2023-06-22T08:52:38"/>
        <d v="2023-06-22T09:00:56"/>
        <d v="2023-06-22T12:26:05"/>
        <d v="2023-06-22T12:55:57"/>
        <d v="2023-06-22T13:23:50"/>
        <d v="2023-06-22T14:30:39"/>
        <d v="2023-06-22T14:54:47"/>
        <d v="2023-06-22T16:16:38"/>
        <d v="2023-06-23T08:46:19"/>
        <d v="2023-06-23T08:47:30"/>
        <d v="2023-06-23T10:42:36"/>
        <d v="2023-06-24T14:41:51"/>
        <d v="2023-06-24T18:46:10"/>
        <d v="2023-06-25T08:31:20"/>
        <d v="2023-06-25T08:58:40"/>
        <d v="2023-06-25T16:17:04"/>
        <d v="2023-06-26T09:20:22"/>
        <d v="2023-06-26T15:25:04"/>
        <d v="2023-06-26T15:38:39"/>
        <d v="2023-06-26T17:21:21"/>
        <d v="2023-06-27T08:20:30"/>
        <d v="2023-06-27T13:13:11"/>
        <d v="2023-06-27T15:10:24"/>
        <d v="2023-06-27T17:55:44"/>
        <d v="2023-06-27T19:37:07"/>
        <d v="2023-06-28T12:23:42"/>
        <d v="2023-06-28T16:26:26"/>
        <d v="2023-06-28T16:48:40"/>
        <d v="2023-06-28T18:13:16"/>
        <d v="2023-06-29T09:24:22"/>
        <d v="2023-06-29T11:46:14"/>
        <d v="2023-06-29T14:49:39"/>
        <d v="2023-06-29T14:54:08"/>
        <d v="2023-06-29T17:38:08"/>
        <d v="2023-06-29T18:31:46"/>
        <d v="2023-06-29T19:07:07"/>
        <d v="2023-06-30T10:49:02"/>
        <d v="2023-06-30T11:40:27"/>
        <d v="2023-06-30T14:00:47"/>
        <d v="2023-06-30T15:40:02"/>
        <d v="2023-06-30T17:45:07"/>
        <d v="2023-07-01T08:56:58"/>
        <d v="2023-07-01T10:44:56"/>
        <d v="2023-07-01T11:58:27"/>
        <d v="2023-07-01T16:33:48"/>
        <d v="2023-07-01T16:59:52"/>
        <d v="2023-07-02T09:37:39"/>
        <d v="2023-07-02T09:41:03"/>
        <d v="2023-07-02T14:22:49"/>
        <d v="2023-07-03T10:03:25"/>
        <d v="2023-07-03T11:01:35"/>
        <d v="2023-07-03T19:43:54"/>
        <d v="2023-07-04T08:58:11"/>
        <d v="2023-07-04T09:46:03"/>
        <d v="2023-07-04T10:39:32"/>
        <d v="2023-07-04T15:34:50"/>
        <d v="2023-07-04T16:48:35"/>
        <d v="2023-07-05T08:24:49"/>
        <d v="2023-07-05T08:41:16"/>
        <d v="2023-07-05T08:42:21"/>
        <d v="2023-07-05T09:10:11"/>
        <d v="2023-07-05T10:08:51"/>
        <d v="2023-07-05T13:15:56"/>
        <d v="2023-07-05T13:50:26"/>
        <d v="2023-07-05T15:32:44"/>
        <d v="2023-07-05T16:55:58"/>
        <d v="2023-07-05T19:21:21"/>
        <d v="2023-07-06T09:04:25"/>
        <d v="2023-07-06T10:58:42"/>
        <d v="2023-07-06T12:12:24"/>
        <d v="2023-07-06T14:05:00"/>
        <d v="2023-07-06T14:52:44"/>
        <d v="2023-07-06T18:09:55"/>
        <d v="2023-07-07T15:19:02"/>
        <d v="2023-07-07T17:07:21"/>
        <d v="2023-07-07T17:45:43"/>
        <d v="2023-07-08T09:58:50"/>
        <d v="2023-07-08T13:39:30"/>
        <d v="2023-07-08T16:55:19"/>
        <d v="2023-07-08T19:11:50"/>
        <d v="2023-07-09T14:10:33"/>
        <d v="2023-07-10T09:34:44"/>
        <d v="2023-07-10T10:46:31"/>
        <d v="2023-07-10T12:02:18"/>
        <d v="2023-07-10T12:33:55"/>
        <d v="2023-07-10T12:59:32"/>
        <d v="2023-07-11T09:56:21"/>
        <d v="2023-07-11T13:06:22"/>
        <d v="2023-07-11T13:41:21"/>
        <d v="2023-07-10T12:15:03"/>
        <d v="2023-07-11T15:10:56"/>
        <d v="2023-07-11T15:54:30"/>
        <d v="2023-07-11T15:57:55"/>
        <d v="2023-07-11T17:36:05"/>
        <d v="2023-07-11T17:47:14"/>
        <d v="2023-07-12T11:20:16"/>
        <d v="2023-07-12T12:24:27"/>
        <d v="2023-07-12T14:48:57"/>
        <d v="2023-07-12T15:17:50"/>
        <d v="2023-07-12T18:00:03"/>
        <d v="2023-07-13T08:09:32"/>
        <d v="2023-07-13T08:57:02"/>
        <d v="2023-07-13T10:56:01"/>
        <d v="2023-07-13T12:15:32"/>
        <d v="2023-07-13T12:45:01"/>
        <d v="2023-07-13T14:40:27"/>
        <d v="2023-07-13T16:10:38"/>
        <d v="2023-07-13T17:55:17"/>
        <d v="2023-07-13T18:52:17"/>
        <d v="2023-07-14T09:16:57"/>
        <d v="2023-07-14T10:28:04"/>
        <d v="2023-07-14T12:29:42"/>
        <d v="2023-07-14T17:38:39"/>
        <d v="2023-07-15T09:27:34"/>
        <d v="2023-07-15T14:03:54"/>
        <d v="2023-07-15T14:09:58"/>
        <d v="2023-07-15T18:47:16"/>
        <d v="2023-07-16T10:25:45"/>
        <d v="2023-07-16T13:16:46"/>
        <d v="2023-07-16T15:10:02"/>
        <d v="2023-07-16T17:10:19"/>
        <d v="2023-07-17T09:48:23"/>
        <d v="2023-07-17T10:34:10"/>
        <d v="2023-07-17T11:17:01"/>
        <d v="2023-07-17T14:26:49"/>
        <d v="2023-07-18T11:12:14"/>
        <d v="2023-07-18T11:41:35"/>
        <d v="2023-07-18T16:50:29"/>
        <d v="2023-07-18T17:56:56"/>
        <d v="2023-07-19T08:10:48"/>
        <d v="2023-07-19T09:38:58"/>
        <d v="2023-07-19T12:18:38"/>
        <d v="2023-07-19T14:26:01"/>
        <d v="2023-07-19T15:32:25"/>
        <d v="2023-07-19T16:34:56"/>
        <d v="2023-07-20T17:23:53"/>
        <d v="2023-07-20T18:35:38"/>
        <d v="2023-07-21T10:50:20"/>
        <d v="2023-07-21T13:28:48"/>
        <d v="2023-07-22T09:09:38"/>
        <d v="2023-07-22T10:09:37"/>
        <d v="2023-07-22T10:21:36"/>
        <d v="2023-07-22T17:13:05"/>
        <d v="2023-07-22T18:32:04"/>
        <d v="2023-07-23T09:41:51"/>
        <d v="2023-07-23T11:52:07"/>
        <d v="2023-07-24T13:34:59"/>
        <d v="2023-07-25T09:20:29"/>
        <d v="2023-07-25T11:09:47"/>
        <d v="2023-07-25T16:48:14"/>
        <d v="2023-07-26T10:00:08"/>
        <d v="2023-07-26T10:28:32"/>
        <d v="2023-07-26T11:10:42"/>
        <d v="2023-07-26T18:07:04"/>
        <d v="2023-07-27T08:50:53"/>
        <d v="2023-07-27T09:07:32"/>
        <d v="2023-07-27T14:45:43"/>
        <d v="2023-07-27T15:02:10"/>
        <d v="2023-07-28T10:22:14"/>
        <d v="2023-07-28T19:24:35"/>
        <d v="2023-07-29T09:45:57"/>
        <d v="2023-07-29T11:31:02"/>
        <d v="2023-07-29T12:19:41"/>
        <d v="2023-07-29T15:29:27"/>
        <d v="2023-07-29T18:56:32"/>
        <d v="2023-07-31T16:24:40"/>
        <d v="2023-07-31T17:08:22"/>
        <d v="2023-07-31T17:43:50"/>
        <d v="2023-08-01T15:09:47"/>
        <d v="2023-08-01T16:27:12"/>
        <d v="2023-08-02T16:29:26"/>
        <d v="2023-08-03T09:08:28"/>
        <d v="2023-08-03T09:18:54"/>
        <d v="2023-08-03T13:47:27"/>
        <d v="2023-08-03T15:51:42"/>
        <d v="2023-08-03T17:46:31"/>
        <d v="2023-08-04T09:16:45"/>
        <d v="2023-08-04T11:57:22"/>
        <d v="2023-08-04T14:41:20"/>
        <d v="2023-08-04T15:21:49"/>
        <d v="2023-08-04T16:21:29"/>
        <d v="2023-08-04T20:03:12"/>
        <d v="2023-08-05T09:45:49"/>
        <d v="2023-08-05T12:16:26"/>
        <d v="2023-08-05T12:27:03"/>
        <d v="2023-08-05T13:08:05"/>
        <d v="2023-08-05T13:51:06"/>
        <d v="2023-08-05T14:24:09"/>
        <d v="2023-08-05T18:43:53"/>
        <d v="2023-08-06T09:47:43"/>
        <d v="2023-08-07T10:23:10"/>
        <d v="2023-08-07T11:10:22"/>
        <d v="2023-08-07T12:52:11"/>
        <d v="2023-08-07T18:01:28"/>
        <d v="2023-08-07T18:56:04"/>
        <d v="2023-08-08T09:08:59"/>
        <d v="2023-08-08T09:20:55"/>
        <d v="2023-08-09T08:40:57"/>
        <d v="2023-08-09T08:50:00"/>
        <d v="2023-08-09T09:21:07"/>
        <d v="2023-08-09T11:57:53"/>
        <d v="2023-08-09T18:16:34"/>
        <d v="2023-08-10T08:11:35"/>
        <d v="2023-08-10T10:46:14"/>
        <d v="2023-08-10T11:19:18"/>
        <d v="2023-08-10T14:10:30"/>
        <d v="2023-08-10T15:58:06"/>
        <d v="2023-08-10T16:24:59"/>
        <d v="2023-08-10T19:38:16"/>
        <d v="2023-08-11T08:56:17"/>
        <d v="2023-08-11T09:12:40"/>
        <d v="2023-08-11T13:19:30"/>
        <d v="2023-08-11T17:54:48"/>
        <d v="2023-08-12T14:20:41"/>
        <d v="2023-08-12T15:59:25"/>
        <d v="2023-08-12T18:27:40"/>
        <d v="2023-08-14T09:28:06"/>
        <d v="2023-08-14T11:14:55"/>
        <d v="2023-08-14T16:02:52"/>
        <d v="2023-08-15T07:26:03"/>
        <d v="2023-08-15T18:38:11"/>
        <d v="2023-08-15T19:22:34"/>
        <d v="2023-08-16T12:28:38"/>
        <d v="2023-08-16T13:48:57"/>
        <d v="2023-08-16T16:49:54"/>
        <d v="2023-08-17T09:12:34"/>
        <d v="2023-08-17T11:54:41"/>
        <d v="2023-08-17T15:21:36"/>
        <d v="2023-08-17T15:56:25"/>
        <d v="2023-08-17T15:56:30"/>
        <d v="2023-08-17T17:15:47"/>
        <d v="2023-08-17T17:15:54"/>
        <d v="2023-08-17T18:12:12"/>
        <d v="2023-08-17T20:00:51"/>
        <d v="2023-08-18T09:47:15"/>
        <d v="2023-08-18T10:01:30"/>
        <d v="2023-08-18T11:30:10"/>
        <d v="2023-08-18T12:29:07"/>
        <d v="2023-08-18T15:12:59"/>
        <d v="2023-08-18T15:28:41"/>
        <d v="2023-08-19T11:30:40"/>
        <d v="2023-08-19T11:37:28"/>
        <d v="2023-08-19T14:57:29"/>
        <d v="2023-08-19T15:07:10"/>
        <d v="2023-08-19T16:29:55"/>
        <d v="2023-08-20T09:01:47"/>
        <d v="2023-08-20T09:50:00"/>
        <d v="2023-08-20T16:27:11"/>
        <d v="2023-08-21T09:39:01"/>
        <d v="2023-08-21T12:40:28"/>
        <d v="2023-08-21T13:46:31"/>
        <d v="2023-08-21T14:34:10"/>
        <d v="2023-08-21T16:13:32"/>
        <d v="2023-08-22T09:18:59"/>
        <d v="2023-08-22T12:35:07"/>
        <d v="2023-08-22T13:40:46"/>
        <d v="2023-08-22T15:02:24"/>
        <d v="2023-08-22T16:29:06"/>
        <d v="2023-08-22T16:46:16"/>
        <d v="2023-08-23T09:28:43"/>
        <d v="2023-08-23T09:36:32"/>
        <d v="2023-08-23T09:53:16"/>
        <d v="2023-08-23T11:24:56"/>
        <d v="2023-08-23T15:12:58"/>
        <d v="2023-08-23T16:02:07"/>
        <d v="2023-08-23T16:31:13"/>
        <d v="2023-08-24T08:47:25"/>
        <d v="2023-08-24T08:56:17"/>
        <d v="2023-08-25T12:46:52"/>
        <d v="2023-08-25T16:11:27"/>
        <d v="2023-08-25T16:17:13"/>
        <d v="2023-08-26T11:35:28"/>
        <d v="2023-08-26T14:11:20"/>
        <d v="2023-08-26T15:00:36"/>
        <d v="2023-08-28T13:06:52"/>
        <d v="2023-08-28T15:01:34"/>
        <d v="2023-08-28T18:59:58"/>
        <d v="2023-08-29T12:01:52"/>
        <d v="2023-08-29T14:55:06"/>
        <d v="2023-08-29T17:04:15"/>
        <d v="2023-08-30T08:56:16"/>
        <d v="2023-08-30T09:09:56"/>
        <d v="2023-08-30T14:15:16"/>
        <d v="2023-08-31T08:39:11"/>
        <d v="2023-08-31T10:22:28"/>
        <d v="2023-08-31T10:48:47"/>
        <d v="2023-08-31T18:38:07"/>
        <d v="2023-09-01T09:28:00"/>
        <d v="2023-09-01T09:31:39"/>
        <d v="2023-09-01T15:06:42"/>
        <d v="2023-09-01T18:04:45"/>
        <d v="2023-09-01T18:20:53"/>
        <d v="2023-09-02T08:32:43"/>
        <d v="2023-09-02T13:20:05"/>
        <d v="2023-09-02T17:32:50"/>
        <d v="2023-09-02T17:43:54"/>
        <d v="2023-09-03T16:18:18"/>
        <d v="2023-09-04T10:40:54"/>
        <d v="2023-09-04T17:13:16"/>
        <d v="2023-09-06T08:52:02"/>
        <d v="2023-09-06T11:47:19"/>
        <d v="2023-09-07T19:26:12"/>
        <d v="2023-09-08T09:52:05"/>
        <d v="2023-09-08T11:13:54"/>
        <d v="2023-09-08T12:03:55"/>
        <d v="2023-09-08T15:46:44"/>
        <d v="2023-09-09T09:40:43"/>
        <d v="2023-09-09T14:40:45"/>
        <d v="2023-09-09T17:12:45"/>
        <d v="2023-09-09T18:12:00"/>
        <d v="2023-09-09T19:05:00"/>
        <d v="2023-09-10T10:19:34"/>
        <d v="2023-09-10T12:15:50"/>
        <d v="2023-09-10T14:18:43"/>
        <d v="2023-09-10T17:17:31"/>
        <d v="2023-09-10T17:58:15"/>
        <d v="2023-09-11T07:58:25"/>
        <d v="2023-09-11T08:56:43"/>
        <d v="2023-09-11T12:26:34"/>
        <d v="2023-09-11T12:38:15"/>
        <d v="2023-09-11T14:57:38"/>
        <d v="2023-09-12T14:54:47"/>
        <d v="2023-09-12T15:36:46"/>
        <d v="2023-09-13T10:56:14"/>
        <d v="2023-09-13T11:25:57"/>
        <d v="2023-09-13T13:09:11"/>
        <d v="2023-09-13T14:29:32"/>
        <d v="2023-09-13T17:00:14"/>
        <d v="2023-09-14T08:45:07"/>
        <d v="2023-09-14T09:04:11"/>
        <d v="2023-09-14T11:17:17"/>
        <d v="2023-09-14T16:43:44"/>
        <d v="2023-09-14T17:25:39"/>
        <d v="2023-09-16T14:50:03"/>
        <d v="2023-09-16T15:38:30"/>
        <d v="2023-09-16T17:49:44"/>
        <d v="2023-09-16T18:37:13"/>
        <d v="2023-09-18T09:14:56"/>
        <d v="2023-09-18T09:45:05"/>
        <d v="2023-09-18T10:28:36"/>
        <d v="2023-09-18T14:17:37"/>
        <d v="2023-09-18T19:06:34"/>
        <d v="2023-09-19T10:41:41"/>
        <d v="2023-09-19T11:33:28"/>
        <d v="2023-09-19T14:19:43"/>
        <d v="2023-09-20T15:10:41"/>
        <d v="2023-09-21T10:38:33"/>
        <d v="2023-09-21T11:59:55"/>
        <d v="2023-09-21T12:25:27"/>
        <d v="2023-09-21T16:38:12"/>
        <d v="2023-09-21T16:43:24"/>
        <d v="2023-09-21T17:49:34"/>
        <d v="2023-09-21T18:45:41"/>
        <d v="2023-09-22T08:30:30"/>
        <d v="2023-09-22T10:31:15"/>
        <d v="2023-09-22T15:35:49"/>
        <d v="2023-09-22T16:00:27"/>
        <d v="2023-09-22T17:20:01"/>
        <d v="2023-09-23T11:56:15"/>
        <d v="2023-09-23T12:41:55"/>
        <d v="2023-09-24T11:29:22"/>
        <d v="2023-09-24T17:26:58"/>
        <d v="2023-09-24T19:36:18"/>
        <d v="2023-09-25T09:43:53"/>
        <d v="2023-09-25T11:55:52"/>
        <d v="2023-09-25T12:56:50"/>
        <d v="2023-09-25T19:17:07"/>
        <d v="2023-09-26T15:03:05"/>
        <d v="2023-09-26T16:16:36"/>
        <d v="2023-09-27T15:47:19"/>
        <d v="2023-09-27T17:52:15"/>
        <d v="2023-09-28T09:21:25"/>
        <d v="2023-09-29T08:32:57"/>
        <d v="2023-09-29T12:01:52"/>
        <d v="2023-09-29T15:32:50"/>
        <d v="2023-09-30T08:42:30"/>
        <d v="2023-10-01T17:33:34"/>
        <d v="2023-10-02T08:49:04"/>
        <d v="2023-10-03T09:06:51"/>
        <d v="2023-10-03T11:13:47"/>
        <d v="2023-10-03T12:02:07"/>
        <d v="2023-10-03T16:46:44"/>
        <d v="2023-10-04T09:34:51"/>
        <d v="2023-10-04T10:39:37"/>
        <d v="2023-10-04T11:17:27"/>
        <d v="2023-10-04T12:21:17"/>
        <d v="2023-10-04T14:02:04"/>
        <d v="2023-10-04T14:51:30"/>
        <d v="2023-10-04T16:24:05"/>
        <d v="2023-10-04T16:27:36"/>
        <d v="2023-10-05T08:53:14"/>
        <d v="2023-10-05T09:35:57"/>
        <d v="2023-10-05T11:48:21"/>
        <d v="2023-10-05T13:37:28"/>
        <d v="2023-10-05T14:07:50"/>
        <d v="2023-10-05T17:20:48"/>
        <d v="2023-10-05T18:32:13"/>
        <d v="2023-10-06T08:52:46"/>
        <d v="2023-10-06T10:35:20"/>
        <d v="2023-10-06T13:51:50"/>
        <d v="2023-10-06T14:07:53"/>
        <d v="2023-10-07T08:15:57"/>
        <d v="2023-10-07T14:48:24"/>
        <d v="2023-10-07T16:29:39"/>
        <d v="2023-10-08T09:12:49"/>
        <d v="2023-10-09T11:33:16"/>
        <d v="2023-10-09T12:03:57"/>
        <d v="2023-10-09T15:29:36"/>
        <d v="2023-10-09T15:35:50"/>
        <d v="2023-10-10T09:38:15"/>
        <d v="2023-10-10T09:41:41"/>
        <d v="2023-10-10T10:32:56"/>
        <d v="2023-10-10T10:41:49"/>
        <d v="2023-10-10T13:42:50"/>
        <d v="2023-10-10T16:15:07"/>
        <d v="2023-10-11T10:06:47"/>
        <d v="2023-10-12T16:08:41"/>
        <d v="2023-10-12T19:25:32"/>
        <d v="2023-10-13T11:25:04"/>
        <d v="2023-10-13T18:27:12"/>
        <d v="2023-10-14T11:04:59"/>
        <d v="2023-10-14T12:34:41"/>
        <d v="2023-10-14T13:54:08"/>
        <d v="2023-10-15T08:24:11"/>
        <d v="2023-10-15T10:58:48"/>
        <d v="2023-10-16T08:41:10"/>
        <d v="2023-10-16T13:15:01"/>
        <d v="2023-10-16T17:23:13"/>
        <d v="2023-10-16T17:49:19"/>
        <d v="2023-10-17T09:32:53"/>
        <d v="2023-10-17T12:42:36"/>
        <d v="2023-10-17T12:46:51"/>
        <d v="2023-10-17T13:53:33"/>
        <d v="2023-10-17T14:24:09"/>
        <d v="2023-10-17T15:53:47"/>
        <d v="2023-10-17T16:45:19"/>
        <d v="2023-10-17T17:22:40"/>
        <d v="2023-10-17T17:51:50"/>
        <d v="2023-10-18T11:53:23"/>
        <d v="2023-10-18T15:34:22"/>
        <d v="2023-10-18T18:18:38"/>
        <d v="2023-10-18T18:58:01"/>
        <d v="2023-10-19T10:04:50"/>
        <d v="2023-10-19T15:39:16"/>
        <d v="2023-10-20T08:03:37"/>
        <d v="2023-10-20T08:56:25"/>
        <d v="2023-10-20T09:12:39"/>
        <d v="2023-10-20T09:34:07"/>
        <d v="2023-10-21T09:50:20"/>
        <d v="2023-10-21T13:14:20"/>
        <d v="2023-10-21T13:44:16"/>
        <d v="2023-10-21T16:11:41"/>
        <d v="2023-10-21T16:27:55"/>
        <d v="2023-10-21T19:13:38"/>
        <d v="2023-10-22T09:13:55"/>
        <d v="2023-10-22T09:16:11"/>
        <d v="2023-10-22T13:53:57"/>
        <d v="2023-10-22T19:17:47"/>
        <d v="2023-10-23T08:29:13"/>
        <d v="2023-10-23T15:47:29"/>
        <d v="2023-10-23T17:46:12"/>
        <d v="2023-10-24T11:00:47"/>
        <d v="2023-10-24T09:38:13"/>
        <d v="2023-10-24T10:01:36"/>
        <d v="2023-10-24T11:16:06"/>
        <d v="2023-10-24T13:30:19"/>
        <d v="2023-10-25T08:31:38"/>
        <d v="2023-10-25T09:01:20"/>
        <d v="2023-10-25T09:02:01"/>
        <d v="2023-10-25T15:58:05"/>
        <d v="2023-10-26T08:27:41"/>
        <d v="2023-10-26T10:35:37"/>
        <d v="2023-10-26T14:10:41"/>
        <d v="2023-10-27T08:45:35"/>
        <d v="2023-10-27T11:49:19"/>
        <d v="2023-10-27T17:02:21"/>
        <d v="2023-10-27T19:37:54"/>
        <d v="2023-10-28T08:40:27"/>
        <d v="2023-10-29T18:25:25"/>
        <d v="2023-10-29T19:42:34"/>
        <d v="2023-10-30T11:52:42"/>
        <d v="2023-10-30T15:27:29"/>
        <d v="2023-10-30T16:18:57"/>
        <d v="2023-10-30T16:37:52"/>
        <d v="2023-10-30T18:39:34"/>
        <d v="2023-10-31T10:18:02"/>
        <d v="2023-10-31T12:50:56"/>
        <d v="2023-11-01T10:15:39"/>
        <d v="2023-11-01T14:41:39"/>
        <d v="2023-11-02T11:28:34"/>
        <d v="2023-11-02T11:51:00"/>
        <d v="2023-11-02T14:02:26"/>
        <d v="2023-11-03T09:01:18"/>
        <d v="2023-11-03T10:43:42"/>
        <d v="2023-11-03T17:59:36"/>
        <d v="2023-11-03T18:57:41"/>
        <d v="2023-11-04T09:49:23"/>
        <d v="2023-11-04T13:31:14"/>
        <d v="2023-11-05T14:12:41"/>
        <d v="2023-11-06T09:01:04"/>
        <d v="2023-11-06T10:56:31"/>
        <d v="2023-11-06T13:21:53"/>
        <d v="2023-11-06T19:21:55"/>
        <d v="2023-11-07T09:38:53"/>
        <d v="2023-11-07T09:40:36"/>
        <d v="2023-11-08T12:30:09"/>
        <d v="2023-11-09T09:07:30"/>
        <d v="2023-11-09T09:58:09"/>
        <d v="2023-11-11T13:14:20"/>
        <d v="2023-11-12T10:25:50"/>
        <d v="2023-11-13T13:13:35"/>
        <d v="2023-11-13T19:56:11"/>
        <d v="2023-11-13T20:13:22"/>
        <d v="2023-11-14T10:06:19"/>
        <d v="2023-11-14T10:36:03"/>
        <d v="2023-11-14T13:26:50"/>
        <d v="2023-11-14T14:39:18"/>
        <d v="2023-11-14T17:02:07"/>
        <d v="2023-11-15T09:28:18"/>
        <d v="2023-11-15T13:35:15"/>
        <d v="2023-11-15T18:14:32"/>
        <d v="2023-11-16T10:45:16"/>
        <d v="2023-11-16T18:33:23"/>
        <d v="2023-11-17T12:20:26"/>
        <d v="2023-11-18T09:07:17"/>
        <d v="2023-11-18T17:13:27"/>
        <d v="2023-11-18T18:30:03"/>
        <d v="2023-11-19T08:34:47"/>
        <d v="2023-11-19T10:18:31"/>
        <d v="2023-11-19T13:26:04"/>
        <d v="2023-11-19T15:29:16"/>
        <d v="2023-11-20T10:21:12"/>
        <d v="2023-11-20T15:14:53"/>
        <d v="2023-11-20T15:46:40"/>
        <d v="2023-11-20T16:18:19"/>
        <d v="2023-11-21T08:53:26"/>
        <d v="2023-11-21T09:02:15"/>
        <d v="2023-11-21T09:23:57"/>
        <d v="2023-11-21T11:12:34"/>
        <d v="2023-11-21T12:00:57"/>
        <d v="2023-11-21T12:31:23"/>
        <d v="2023-11-21T15:23:39"/>
        <d v="2023-11-21T15:24:43"/>
        <d v="2023-11-21T17:07:25"/>
        <d v="2023-11-22T08:34:58"/>
        <d v="2023-11-22T10:44:42"/>
        <d v="2023-11-22T11:40:07"/>
        <d v="2023-11-22T12:10:23"/>
        <d v="2023-11-22T13:26:00"/>
        <d v="2023-11-23T08:56:30"/>
        <d v="2023-11-23T09:34:31"/>
        <d v="2023-11-23T11:20:15"/>
        <d v="2023-11-23T18:08:14"/>
        <d v="2023-11-23T18:28:57"/>
        <d v="2023-11-23T18:36:46"/>
        <d v="2023-11-24T08:27:06"/>
        <d v="2023-11-24T11:28:24"/>
        <d v="2023-11-24T19:12:33"/>
        <d v="2023-11-25T12:39:45"/>
        <d v="2023-11-25T14:08:32"/>
        <d v="2023-11-25T14:49:40"/>
        <d v="2023-11-25T15:38:39"/>
        <d v="2023-11-26T11:07:27"/>
        <d v="2023-11-26T11:44:50"/>
        <d v="2023-11-26T12:36:41"/>
        <d v="2023-11-26T13:56:05"/>
        <d v="2023-11-28T07:46:04"/>
        <d v="2023-11-28T08:58:24"/>
        <d v="2023-11-28T10:21:53"/>
        <d v="2023-11-28T10:29:40"/>
        <d v="2023-11-28T16:48:41"/>
        <d v="2023-11-28T17:15:01"/>
        <d v="2023-11-28T17:32:54"/>
        <d v="2023-11-28T18:45:00"/>
        <d v="2023-11-29T08:47:10"/>
        <d v="2023-11-29T13:07:48"/>
        <d v="2023-11-29T17:27:02"/>
        <d v="2023-11-29T17:58:18"/>
        <d v="2023-11-30T13:24:45"/>
        <d v="2023-11-30T15:22:32"/>
        <d v="2023-12-01T09:15:48"/>
        <d v="2023-12-01T17:27:29"/>
        <d v="2023-12-02T08:07:58"/>
        <d v="2023-12-02T12:55:51"/>
        <d v="2023-12-03T08:58:30"/>
        <d v="2023-12-03T17:13:40"/>
        <d v="2023-12-04T08:43:43"/>
        <d v="2023-12-04T09:23:49"/>
        <d v="2023-12-04T10:35:31"/>
        <d v="2023-12-04T10:39:29"/>
        <d v="2023-12-04T11:34:30"/>
        <d v="2023-12-04T12:51:57"/>
        <d v="2023-12-04T15:29:11"/>
        <d v="2023-12-05T08:26:40"/>
        <d v="2023-12-05T08:39:48"/>
        <d v="2023-12-05T08:57:47"/>
        <d v="2023-12-05T13:34:21"/>
        <d v="2023-12-05T16:36:12"/>
        <d v="2023-12-06T08:49:03"/>
        <d v="2023-12-06T11:06:50"/>
        <d v="2023-12-06T11:55:44"/>
        <d v="2023-12-06T14:49:19"/>
        <d v="2023-12-06T15:41:12"/>
        <d v="2023-12-06T19:18:02"/>
        <d v="2023-12-07T11:05:27"/>
        <d v="2023-12-07T11:48:50"/>
        <d v="2023-12-07T15:22:14"/>
        <d v="2023-12-07T17:19:37"/>
        <d v="2023-12-07T17:38:51"/>
        <d v="2023-12-07T18:25:21"/>
        <d v="2023-12-08T09:49:04"/>
        <d v="2023-12-08T13:22:47"/>
        <d v="2023-12-08T13:44:51"/>
        <d v="2023-12-08T14:02:17"/>
        <d v="2023-12-08T16:30:38"/>
        <d v="2023-12-09T11:11:05"/>
        <d v="2023-12-09T17:49:38"/>
        <d v="2023-12-10T10:46:17"/>
        <d v="2023-12-10T15:00:09"/>
        <d v="2023-12-10T16:16:01"/>
        <d v="2023-12-11T11:18:51"/>
        <d v="2023-12-11T11:20:35"/>
        <d v="2023-12-11T12:09:23"/>
        <d v="2023-12-11T13:33:27"/>
        <d v="2023-12-11T14:21:06"/>
        <d v="2023-12-11T15:10:19"/>
        <d v="2023-12-11T15:42:59"/>
        <d v="2023-12-11T15:44:11"/>
        <d v="2023-12-11T21:42:36"/>
        <d v="2023-12-12T12:37:14"/>
        <d v="2023-12-12T13:43:45"/>
        <d v="2023-12-12T17:56:16"/>
        <d v="2023-12-13T08:43:47"/>
        <d v="2023-12-13T10:27:30"/>
        <d v="2023-12-13T11:20:26"/>
        <d v="2023-12-13T11:30:08"/>
        <d v="2023-12-13T15:09:47"/>
        <d v="2023-12-13T15:30:48"/>
        <d v="2023-12-14T09:17:38"/>
        <d v="2023-12-14T11:40:26"/>
        <d v="2023-12-14T13:22:09"/>
        <d v="2023-12-14T14:06:37"/>
        <d v="2023-12-14T16:10:23"/>
        <d v="2023-12-14T16:19:10"/>
        <d v="2023-12-14T17:48:03"/>
        <d v="2023-12-15T09:23:33"/>
        <d v="2023-12-15T10:18:18"/>
        <d v="2023-12-15T16:33:42"/>
        <d v="2023-12-16T10:31:11"/>
        <d v="2023-12-16T11:13:35"/>
        <d v="2023-12-16T11:23:09"/>
        <d v="2023-12-16T11:35:51"/>
        <d v="2023-12-16T12:38:58"/>
        <d v="2023-12-17T08:42:53"/>
        <d v="2023-12-15T19:30:00"/>
        <d v="2023-12-17T11:46:55"/>
        <d v="2023-12-17T12:31:28"/>
        <d v="2023-12-17T15:52:53"/>
        <d v="2023-12-18T09:18:18"/>
        <d v="2023-12-18T11:59:11"/>
        <d v="2023-12-18T12:43:15"/>
        <d v="2023-12-18T14:53:43"/>
        <d v="2023-12-18T14:55:24"/>
        <d v="2023-12-18T15:43:16"/>
        <d v="2023-12-18T17:19:14"/>
        <d v="2023-12-18T17:58:32"/>
        <d v="2023-12-18T18:36:46"/>
        <d v="2023-12-19T11:31:39"/>
        <d v="2023-12-19T11:39:30"/>
        <d v="2023-12-19T13:37:08"/>
        <d v="2023-12-19T15:04:12"/>
        <d v="2023-12-19T15:34:28"/>
        <d v="2023-12-19T17:24:27"/>
        <d v="2023-12-19T18:34:56"/>
        <d v="2023-12-19T19:18:12"/>
        <d v="2023-12-20T09:05:56"/>
        <d v="2023-12-20T09:25:49"/>
        <d v="2023-12-20T10:38:23"/>
        <d v="2023-12-20T12:34:48"/>
        <d v="2023-12-20T14:15:46"/>
        <d v="2023-12-20T14:43:29"/>
        <d v="2023-12-20T20:13:39"/>
        <d v="2023-12-21T09:27:04"/>
        <d v="2023-12-21T10:05:19"/>
        <d v="2023-12-21T11:52:18"/>
        <d v="2023-12-21T14:33:41"/>
        <d v="2023-12-21T16:37:43"/>
        <d v="2023-12-21T17:45:53"/>
        <d v="2023-12-22T10:29:29"/>
        <d v="2023-12-22T10:55:45"/>
        <d v="2023-12-22T10:57:37"/>
        <d v="2023-12-22T15:03:12"/>
        <d v="2023-12-22T15:42:00"/>
        <d v="2023-12-22T16:32:00"/>
        <d v="2023-12-23T10:33:04"/>
        <d v="2023-12-23T14:38:01"/>
        <d v="2023-12-25T16:00:41"/>
        <d v="2023-12-25T18:28:38"/>
        <d v="2023-12-26T09:23:07"/>
        <d v="2023-12-26T09:29:03"/>
        <d v="2023-12-26T17:04:44"/>
        <d v="2023-12-27T09:55:17"/>
        <d v="2023-12-27T10:22:52"/>
        <d v="2023-12-27T16:13:43"/>
        <d v="2023-12-27T16:56:43"/>
        <d v="2023-12-28T12:48:22"/>
        <d v="2023-12-28T13:12:18"/>
        <d v="2023-12-28T16:47:07"/>
        <d v="2023-12-28T17:54:15"/>
        <d v="2023-12-28T18:12:32"/>
        <d v="2023-12-29T10:58:40"/>
        <d v="2023-12-29T11:49:10"/>
        <d v="2023-12-29T19:20:56"/>
        <d v="2023-12-30T08:10:44"/>
        <d v="2023-12-30T08:49:22"/>
        <d v="2023-12-30T17:30:36"/>
        <d v="2023-12-30T19:40:47"/>
        <d v="2024-01-01T10:44:29"/>
        <d v="2024-01-01T11:46:23"/>
        <d v="2024-01-02T08:49:56"/>
        <d v="2024-01-02T10:30:30"/>
        <d v="2024-01-02T13:55:41"/>
        <d v="2024-01-02T14:41:23"/>
        <d v="2024-01-02T14:56:21"/>
        <d v="2024-01-02T16:14:16"/>
        <d v="2024-01-02T19:08:40"/>
        <d v="2024-01-03T08:33:46"/>
        <d v="2024-01-03T10:15:53"/>
        <d v="2024-01-03T11:01:01"/>
        <d v="2024-01-03T11:23:10"/>
        <d v="2024-01-03T12:09:39"/>
        <d v="2024-01-03T14:04:42"/>
        <d v="2024-01-03T14:07:51"/>
        <d v="2024-01-03T15:08:58"/>
        <d v="2024-01-03T15:39:51"/>
        <d v="2024-01-03T17:06:43"/>
        <d v="2024-01-03T17:47:39"/>
        <d v="2024-01-03T18:40:49"/>
        <d v="2024-01-04T08:30:34"/>
        <d v="2024-01-04T10:40:46"/>
        <d v="2024-01-04T10:56:02"/>
        <d v="2024-01-04T11:32:09"/>
        <d v="2024-01-04T11:44:56"/>
        <d v="2024-01-04T14:11:17"/>
        <d v="2024-01-04T14:32:46"/>
        <d v="2024-01-04T14:36:19"/>
        <d v="2024-01-04T16:24:43"/>
        <d v="2024-01-04T16:43:22"/>
        <d v="2024-01-04T17:08:16"/>
        <d v="2024-01-05T08:44:30"/>
        <d v="2024-01-05T09:11:17"/>
        <d v="2024-01-05T09:51:47"/>
        <d v="2024-01-05T11:32:01"/>
        <d v="2024-01-05T13:42:26"/>
        <d v="2024-01-05T16:57:53"/>
        <d v="2024-01-06T12:35:08"/>
        <d v="2024-01-06T15:51:37"/>
        <d v="2024-01-06T16:45:45"/>
        <d v="2024-01-06T17:29:41"/>
        <d v="2024-01-06T18:21:51"/>
        <d v="2024-01-08T09:24:16"/>
        <d v="2024-01-08T10:58:52"/>
        <d v="2024-01-09T11:01:22"/>
        <d v="2024-01-09T12:15:28"/>
        <d v="2024-01-09T12:21:44"/>
        <d v="2024-01-09T12:53:11"/>
        <d v="2024-01-09T14:46:29"/>
        <d v="2024-01-09T16:44:43"/>
        <d v="2024-01-10T09:52:08"/>
        <d v="2024-01-10T10:46:41"/>
        <d v="2024-01-10T11:09:30"/>
        <d v="2024-01-10T12:14:29"/>
        <d v="2024-01-10T14:16:34"/>
        <d v="2024-01-10T15:54:06"/>
        <d v="2024-01-10T17:05:31"/>
        <d v="2024-01-10T18:18:30"/>
        <d v="2024-01-10T19:00:00"/>
        <d v="2024-01-11T09:59:35"/>
        <d v="2024-01-11T10:48:40"/>
        <d v="2024-01-11T11:56:49"/>
        <d v="2024-01-11T12:50:46"/>
        <d v="2024-01-11T13:11:18"/>
        <d v="2024-01-11T13:28:33"/>
        <d v="2024-01-11T14:57:37"/>
        <d v="2024-01-12T11:35:45"/>
        <d v="2024-01-12T13:28:40"/>
        <d v="2024-01-12T13:49:39"/>
        <d v="2024-01-12T15:26:53"/>
        <d v="2024-01-13T09:17:04"/>
        <d v="2024-01-13T09:31:15"/>
        <d v="2024-01-14T13:21:07"/>
        <d v="2024-01-14T14:30:03"/>
        <d v="2024-01-14T18:38:37"/>
        <d v="2024-01-15T09:50:23"/>
        <d v="2024-01-15T10:00:09"/>
        <d v="2024-01-15T16:14:12"/>
        <d v="2024-01-15T16:40:40"/>
        <d v="2024-01-15T20:06:10"/>
        <d v="2024-01-16T09:47:32"/>
        <d v="2024-01-16T15:39:01"/>
        <d v="2024-01-17T08:26:49"/>
        <d v="2024-01-17T09:24:41"/>
        <d v="2024-01-17T09:36:33"/>
        <d v="2024-01-17T12:17:24"/>
        <d v="2024-01-17T14:35:57"/>
        <d v="2024-01-17T16:39:54"/>
        <d v="2024-01-18T10:43:35"/>
        <d v="2024-01-18T12:21:09"/>
        <d v="2024-01-18T12:36:59"/>
        <d v="2024-01-18T14:15:48"/>
        <d v="2024-01-19T12:22:52"/>
        <d v="2024-01-19T12:42:47"/>
        <d v="2024-01-19T12:58:24"/>
        <d v="2024-01-19T16:42:00"/>
        <d v="2024-01-19T17:39:45"/>
        <d v="2024-01-20T09:44:26"/>
        <d v="2024-01-20T10:57:51"/>
        <d v="2024-01-20T16:04:51"/>
        <d v="2024-01-20T16:15:16"/>
        <d v="2024-01-21T13:20:32"/>
        <d v="2024-01-21T15:13:39"/>
        <d v="2024-01-22T11:25:56"/>
        <d v="2024-01-22T14:23:35"/>
        <d v="2024-01-23T11:05:28"/>
        <d v="2024-01-23T11:56:30"/>
        <d v="2024-01-23T14:56:40"/>
        <d v="2024-01-23T16:28:06"/>
        <d v="2024-01-23T17:49:31"/>
        <d v="2024-01-23T18:36:25"/>
        <d v="2024-01-24T08:12:20"/>
        <d v="2024-01-24T10:23:05"/>
        <d v="2024-01-24T10:36:43"/>
        <d v="2024-01-25T10:11:54"/>
        <d v="2024-01-26T08:42:03"/>
        <d v="2024-01-26T10:26:08"/>
        <d v="2024-01-26T14:27:49"/>
        <d v="2024-01-26T15:46:20"/>
        <d v="2024-01-26T17:58:34"/>
        <d v="2024-01-26T18:53:57"/>
        <d v="2024-01-27T14:09:10"/>
        <d v="2024-01-27T16:16:24"/>
        <d v="2024-01-29T09:44:12"/>
        <d v="2024-01-29T14:44:53"/>
        <d v="2024-01-29T15:34:07"/>
        <d v="2024-01-30T09:42:25"/>
        <d v="2024-01-30T09:50:41"/>
        <d v="2024-01-30T11:19:18"/>
        <d v="2024-01-30T16:14:11"/>
        <d v="2024-01-30T18:18:19"/>
        <d v="2024-01-31T08:56:31"/>
        <d v="2024-01-31T11:22:23"/>
        <d v="2024-01-31T11:57:42"/>
        <d v="2024-01-31T12:56:51"/>
        <d v="2024-01-31T15:26:32"/>
        <d v="2024-01-31T16:42:24"/>
        <d v="2024-01-31T17:25:37"/>
        <d v="2024-02-01T07:51:24"/>
        <d v="2024-02-01T11:36:24"/>
        <d v="2024-02-01T13:43:54"/>
        <d v="2024-02-01T14:28:52"/>
        <d v="2024-02-01T15:03:22"/>
        <d v="2024-02-02T09:15:58"/>
        <d v="2024-02-02T14:18:25"/>
        <d v="2024-02-02T14:28:17"/>
        <d v="2024-02-03T08:32:35"/>
        <d v="2024-02-03T10:01:59"/>
        <d v="2024-02-03T12:28:26"/>
        <d v="2024-02-03T14:19:52"/>
        <d v="2024-02-04T16:22:22"/>
        <d v="2024-02-05T09:08:10"/>
        <d v="2024-02-05T12:32:56"/>
        <d v="2024-02-05T12:38:14"/>
        <d v="2024-02-05T15:57:41"/>
        <d v="2024-02-05T16:54:16"/>
        <d v="2024-02-05T16:56:58"/>
        <d v="2024-02-05T17:20:55"/>
        <d v="2024-02-06T18:48:28"/>
        <d v="2024-02-06T19:22:24"/>
        <d v="2024-02-07T08:59:11"/>
        <d v="2024-02-07T09:53:10"/>
        <d v="2024-02-07T11:05:03"/>
        <d v="2024-02-07T11:08:52"/>
        <d v="2024-02-07T18:06:10"/>
        <d v="2024-02-08T11:20:03"/>
        <d v="2024-02-08T16:39:11"/>
        <d v="2024-02-08T18:13:02"/>
        <d v="2024-02-09T10:51:55"/>
        <d v="2024-02-09T16:01:46"/>
        <d v="2024-02-09T16:37:18"/>
        <d v="2024-02-10T09:25:53"/>
        <d v="2024-02-10T11:31:12"/>
        <d v="2024-02-10T12:22:23"/>
        <d v="2024-02-10T19:31:37"/>
        <d v="2024-02-10T20:00:11"/>
        <d v="2024-02-11T11:33:45"/>
        <d v="2024-02-11T12:05:14"/>
        <d v="2024-02-11T13:31:08"/>
        <d v="2024-02-11T14:24:50"/>
        <d v="2024-02-11T15:15:51"/>
        <d v="2024-02-11T17:33:21"/>
        <d v="2024-02-11T18:02:43"/>
        <d v="2024-02-12T11:39:54"/>
        <d v="2024-02-12T13:39:44"/>
        <d v="2024-02-13T09:33:33"/>
        <d v="2024-02-13T11:30:19"/>
        <d v="2024-02-13T14:03:26"/>
        <d v="2024-02-13T16:30:16"/>
        <d v="2024-02-14T16:24:26"/>
        <d v="2024-02-15T09:00:58"/>
        <d v="2024-02-15T09:20:28"/>
        <d v="2024-02-15T19:33:33"/>
        <d v="2024-02-16T09:20:36"/>
        <d v="2024-02-16T09:32:52"/>
        <d v="2024-02-16T13:28:15"/>
        <d v="2024-02-16T13:32:09"/>
        <d v="2024-02-17T16:12:53"/>
        <d v="2024-02-17T17:32:20"/>
        <d v="2024-02-18T12:55:30"/>
        <d v="2024-02-18T17:55:29"/>
        <d v="2024-02-19T11:26:56"/>
        <d v="2024-02-19T11:44:55"/>
        <d v="2024-02-19T14:19:46"/>
        <d v="2024-02-19T14:50:56"/>
        <d v="2024-02-19T18:57:19"/>
        <d v="2024-02-20T11:15:00"/>
        <d v="2024-02-20T11:37:08"/>
        <d v="2024-02-20T13:30:06"/>
        <d v="2024-02-20T16:55:16"/>
        <d v="2024-02-21T10:06:36"/>
        <d v="2024-02-21T11:34:43"/>
        <d v="2024-02-21T14:18:31"/>
        <d v="2024-02-21T16:18:16"/>
        <d v="2024-02-22T09:00:02"/>
        <d v="2024-02-22T09:54:17"/>
        <d v="2024-02-22T10:20:38"/>
        <d v="2024-02-22T17:41:27"/>
        <d v="2024-02-23T09:22:32"/>
        <d v="2024-02-23T10:29:01"/>
        <d v="2024-02-23T10:34:08"/>
        <d v="2024-02-23T15:06:41"/>
        <d v="2024-02-24T16:10:16"/>
        <d v="2024-02-24T17:49:55"/>
        <d v="2024-02-25T08:41:31"/>
        <d v="2024-02-25T09:10:19"/>
        <d v="2024-02-25T11:44:36"/>
        <d v="2024-02-25T12:39:55"/>
        <d v="2024-02-26T11:27:58"/>
        <d v="2024-02-26T12:32:47"/>
        <d v="2024-02-26T16:14:08"/>
        <d v="2024-02-26T16:32:20"/>
        <d v="2024-02-26T17:06:34"/>
        <d v="2024-02-27T08:32:38"/>
        <d v="2024-02-27T10:04:19"/>
        <d v="2024-02-27T10:28:13"/>
        <d v="2024-02-27T14:00:35"/>
        <d v="2024-02-28T12:12:43"/>
        <d v="2024-02-28T13:32:42"/>
        <d v="2024-02-29T11:47:27"/>
        <d v="2024-02-29T11:51:55"/>
        <d v="2024-02-29T12:14:00"/>
        <d v="2024-02-29T13:11:34"/>
        <d v="2024-02-29T16:48:01"/>
        <d v="2024-03-01T08:43:12"/>
        <d v="2024-03-01T08:43:17"/>
        <d v="2024-03-01T08:58:44"/>
        <d v="2024-03-01T10:30:43"/>
        <d v="2024-03-01T16:21:12"/>
        <d v="2024-03-01T16:45:05"/>
        <d v="2024-03-01T18:13:28"/>
        <d v="2024-03-02T08:55:36"/>
        <d v="2024-03-02T09:34:07"/>
        <d v="2024-03-02T11:56:46"/>
        <d v="2024-03-02T14:27:36"/>
        <d v="2024-03-02T15:10:34"/>
        <d v="2024-03-02T18:15:26"/>
        <d v="2024-03-03T09:26:21"/>
        <d v="2024-03-03T15:34:10"/>
        <d v="2024-03-04T08:42:01"/>
        <d v="2024-03-04T09:07:16"/>
        <d v="2024-03-04T09:51:36"/>
        <d v="2024-03-04T10:49:08"/>
        <d v="2024-03-04T11:42:18"/>
        <d v="2024-03-04T14:43:24"/>
        <d v="2024-03-05T08:21:19"/>
        <d v="2024-03-05T09:33:10"/>
        <d v="2024-03-05T10:06:44"/>
        <d v="2024-03-05T10:41:02"/>
        <d v="2024-03-05T12:19:30"/>
        <d v="2024-03-05T14:23:07"/>
        <d v="2024-03-06T08:29:44"/>
        <d v="2024-03-06T11:21:35"/>
        <d v="2024-03-06T12:23:32"/>
        <d v="2024-03-06T14:38:27"/>
        <d v="2024-03-07T09:15:58"/>
        <d v="2024-03-07T09:46:42"/>
        <d v="2024-03-07T13:50:08"/>
        <d v="2024-03-07T17:36:14"/>
        <d v="2024-03-07T17:47:03"/>
        <d v="2024-03-08T10:59:28"/>
        <d v="2024-03-08T12:24:52"/>
        <d v="2024-03-08T15:37:08"/>
        <d v="2024-03-08T18:15:58"/>
        <d v="2024-03-09T10:46:51"/>
        <d v="2024-03-09T11:24:18"/>
        <d v="2024-03-09T11:32:29"/>
        <d v="2024-03-09T16:09:03"/>
        <d v="2024-03-10T17:53:46"/>
        <d v="2024-03-11T13:46:56"/>
        <d v="2024-03-11T14:24:55"/>
        <d v="2024-03-11T15:39:26"/>
        <d v="2024-03-12T08:33:08"/>
        <d v="2024-03-12T14:14:17"/>
        <d v="2024-03-13T10:38:17"/>
        <d v="2024-03-13T13:50:22"/>
        <d v="2024-03-13T15:03:35"/>
        <d v="2024-03-13T15:31:17"/>
        <d v="2024-03-13T16:46:33"/>
        <d v="2024-03-14T08:37:24"/>
        <d v="2024-03-14T09:52:11"/>
        <d v="2024-03-14T10:42:23"/>
        <d v="2024-03-14T10:56:39"/>
        <d v="2024-03-14T16:15:10"/>
        <d v="2024-03-14T19:12:11"/>
        <d v="2024-03-15T08:48:33"/>
        <d v="2024-03-15T14:08:40"/>
        <d v="2024-03-15T14:28:44"/>
        <d v="2024-03-15T15:26:36"/>
        <d v="2024-03-15T15:56:49"/>
        <d v="2024-03-16T14:49:43"/>
        <d v="2024-03-16T16:47:24"/>
        <d v="2024-03-16T16:56:37"/>
        <d v="2024-03-16T19:21:44"/>
        <d v="2024-03-18T08:49:59"/>
        <d v="2024-03-18T18:32:20"/>
        <d v="2024-03-19T08:41:50"/>
        <d v="2024-03-19T09:07:54"/>
        <d v="2024-03-20T09:33:19"/>
        <d v="2024-03-20T10:31:35"/>
        <d v="2024-03-20T16:08:28"/>
        <d v="2024-03-20T18:05:36"/>
        <d v="2024-03-21T08:22:50"/>
        <d v="2024-03-21T09:50:58"/>
        <d v="2024-03-21T11:52:04"/>
        <d v="2024-03-21T16:01:26"/>
        <d v="2024-03-21T16:03:56"/>
        <d v="2024-03-21T17:13:54"/>
        <d v="2024-03-21T20:32:33"/>
        <d v="2024-03-22T10:44:45"/>
        <d v="2024-03-22T16:17:08"/>
        <d v="2024-03-22T18:00:26"/>
        <d v="2024-03-22T18:45:07"/>
        <d v="2024-03-23T13:27:00"/>
        <d v="2024-03-23T13:36:51"/>
        <d v="2024-03-23T16:53:02"/>
        <d v="2024-03-24T12:03:17"/>
        <d v="2024-03-24T17:34:36"/>
        <d v="2024-03-25T08:41:54"/>
        <d v="2024-03-25T12:05:10"/>
        <d v="2024-03-25T15:20:34"/>
        <d v="2024-03-25T15:46:27"/>
        <d v="2024-03-26T11:14:04"/>
        <d v="2024-03-26T11:17:48"/>
        <d v="2024-03-26T11:22:32"/>
        <d v="2024-03-26T16:38:36"/>
        <d v="2024-03-26T16:52:57"/>
        <d v="2024-03-26T18:20:19"/>
        <d v="2024-03-27T11:02:41"/>
        <d v="2024-03-27T11:57:17"/>
        <d v="2024-03-27T12:14:07"/>
        <d v="2024-03-27T13:22:47"/>
        <d v="2024-03-27T14:25:25"/>
        <d v="2024-03-27T15:24:02"/>
        <d v="2024-03-27T15:54:34"/>
        <d v="2024-03-27T16:10:29"/>
        <d v="2024-03-27T16:41:49"/>
        <d v="2024-03-27T16:42:27"/>
        <d v="2024-03-27T17:07:04"/>
        <d v="2024-03-27T17:45:34"/>
        <d v="2024-03-27T18:33:24"/>
        <d v="2024-03-27T19:27:21"/>
        <d v="2024-03-27T19:28:38"/>
        <d v="2024-03-28T09:03:20"/>
        <d v="2024-03-28T11:52:26"/>
        <d v="2024-03-28T16:40:27"/>
        <d v="2024-03-28T16:54:04"/>
        <d v="2024-03-29T08:59:51"/>
        <d v="2024-03-29T09:05:35"/>
        <d v="2024-03-29T09:27:53"/>
        <d v="2024-03-29T09:55:42"/>
        <d v="2024-03-29T16:19:42"/>
        <d v="2024-03-29T18:50:01"/>
        <d v="2024-03-30T08:09:16"/>
        <d v="2024-03-30T10:33:11"/>
        <d v="2024-03-30T17:55:01"/>
        <d v="2024-03-31T11:36:20"/>
        <d v="2024-03-31T12:22:31"/>
        <d v="2024-04-01T10:29:22"/>
        <d v="2024-04-01T12:33:11"/>
        <d v="2024-04-01T13:07:43"/>
        <d v="2024-04-01T14:30:26"/>
        <d v="2024-04-01T14:32:53"/>
        <d v="2024-04-01T15:17:50"/>
        <d v="2024-04-01T15:40:26"/>
        <d v="2024-04-01T17:13:38"/>
        <d v="2024-04-01T17:54:09"/>
        <d v="2024-04-02T09:26:28"/>
        <d v="2024-04-02T11:10:50"/>
        <d v="2024-04-02T17:04:12"/>
        <d v="2024-04-03T07:43:30"/>
        <d v="2024-04-03T08:19:43"/>
        <d v="2024-04-03T08:52:49"/>
        <d v="2024-04-04T10:11:53"/>
        <d v="2024-04-04T10:37:43"/>
        <d v="2024-04-04T12:34:58"/>
        <d v="2024-04-04T13:09:00"/>
        <d v="2024-04-04T17:31:31"/>
        <d v="2024-04-04T19:41:00"/>
        <d v="2024-04-05T08:29:31"/>
        <d v="2024-04-05T08:59:08"/>
        <d v="2024-04-06T16:07:54"/>
        <d v="2024-04-07T08:53:17"/>
        <d v="2024-04-07T10:17:48"/>
        <d v="2024-04-07T10:54:22"/>
        <d v="2024-04-07T12:26:38"/>
        <d v="2024-04-08T09:55:18"/>
        <d v="2024-04-08T10:52:18"/>
        <d v="2024-04-08T15:35:38"/>
        <d v="2024-04-08T16:16:20"/>
        <d v="2024-04-08T20:47:27"/>
        <d v="2024-04-09T08:04:57"/>
        <d v="2024-04-09T09:47:34"/>
        <d v="2024-04-09T19:40:10"/>
        <d v="2024-04-09T20:01:04"/>
        <d v="2024-04-10T10:53:10"/>
        <d v="2024-04-10T15:16:41"/>
        <d v="2024-04-10T15:41:12"/>
        <d v="2024-04-11T10:20:36"/>
        <d v="2024-04-11T12:48:10"/>
        <d v="2024-04-12T08:00:53"/>
        <d v="2024-04-12T08:37:17"/>
        <d v="2024-04-12T15:58:20"/>
        <d v="2024-04-12T18:06:48"/>
        <d v="2024-04-13T11:20:40"/>
        <d v="2024-04-13T12:04:21"/>
        <d v="2024-04-13T15:54:03"/>
        <d v="2024-04-15T08:16:16"/>
        <d v="2024-04-15T10:29:41"/>
        <d v="2024-04-15T10:35:03"/>
        <d v="2024-04-15T11:45:17"/>
        <d v="2024-04-15T15:44:16"/>
        <d v="2024-04-16T14:10:26"/>
        <d v="2024-04-17T09:10:53"/>
        <d v="2024-04-17T09:19:56"/>
        <d v="2024-04-17T13:25:45"/>
        <d v="2024-04-17T14:17:55"/>
        <d v="2024-04-17T14:26:39"/>
        <d v="2024-04-18T08:20:19"/>
        <d v="2024-04-18T11:57:09"/>
        <d v="2024-04-18T18:34:01"/>
        <d v="2024-04-18T19:25:18"/>
        <d v="2024-04-19T10:21:42"/>
        <d v="2024-04-19T11:21:37"/>
        <d v="2024-04-19T11:25:43"/>
        <d v="2024-04-19T19:09:18"/>
        <d v="2024-04-20T09:12:25"/>
        <d v="2024-04-20T09:52:02"/>
        <d v="2024-04-20T17:27:08"/>
        <d v="2024-04-20T17:37:49"/>
        <d v="2024-04-21T11:12:33"/>
        <d v="2024-04-21T12:20:06"/>
        <d v="2024-04-22T08:29:35"/>
        <d v="2024-04-22T09:08:26"/>
        <d v="2024-04-22T09:51:06"/>
        <d v="2024-04-22T10:16:51"/>
        <d v="2024-04-22T11:13:18"/>
        <d v="2024-04-22T11:41:29"/>
        <d v="2024-04-22T16:40:46"/>
        <d v="2024-04-22T17:03:01"/>
        <d v="2024-04-22T18:00:07"/>
        <d v="2024-04-23T08:58:36"/>
        <d v="2024-04-23T09:57:47"/>
        <d v="2024-04-23T11:19:44"/>
        <d v="2024-04-23T12:26:36"/>
        <d v="2024-04-24T09:45:33"/>
        <d v="2024-04-24T10:51:08"/>
        <d v="2024-04-24T12:47:32"/>
        <d v="2024-04-24T14:21:11"/>
        <d v="2024-04-25T09:00:32"/>
        <d v="2024-04-25T09:54:39"/>
        <d v="2024-04-25T15:54:48"/>
        <d v="2024-04-25T16:21:43"/>
        <d v="2024-04-25T19:04:06"/>
        <d v="2024-04-26T09:48:46"/>
        <d v="2024-04-26T10:00:07"/>
        <d v="2024-04-26T13:52:35"/>
        <d v="2024-04-26T17:00:10"/>
        <d v="2024-04-27T09:22:56"/>
        <d v="2024-04-27T09:42:47"/>
        <d v="2024-04-27T19:14:03"/>
        <d v="2024-04-28T16:01:56"/>
        <d v="2024-04-28T16:22:09"/>
        <d v="2024-04-28T17:39:10"/>
        <d v="2024-04-29T08:48:57"/>
        <d v="2024-04-29T11:01:23"/>
        <d v="2024-04-30T17:47:47"/>
        <d v="2024-05-01T09:13:04"/>
        <d v="2024-05-02T09:46:48"/>
        <d v="2024-05-02T10:26:46"/>
        <d v="2024-05-02T11:51:19"/>
        <d v="2024-05-02T16:26:58"/>
        <d v="2024-05-02T17:14:39"/>
        <d v="2024-05-02T17:25:23"/>
        <d v="2024-05-02T18:13:56"/>
        <d v="2024-05-03T10:35:05"/>
        <d v="2024-05-03T11:51:00"/>
        <d v="2024-05-03T13:11:36"/>
        <d v="2024-05-03T14:33:27"/>
        <d v="2024-05-03T16:26:57"/>
        <d v="2024-05-03T16:39:43"/>
        <d v="2024-05-04T09:42:56"/>
        <d v="2024-05-04T10:33:54"/>
        <d v="2024-05-05T10:20:16"/>
        <d v="2024-05-05T11:51:29"/>
        <d v="2024-05-06T16:13:49"/>
        <d v="2024-05-06T16:31:00"/>
        <d v="2024-05-07T09:59:30"/>
        <d v="2024-05-07T11:15:01"/>
        <d v="2024-05-07T16:17:45"/>
        <d v="2024-05-07T17:00:40"/>
        <d v="2024-05-08T09:33:40"/>
        <d v="2024-05-08T10:44:18"/>
        <d v="2024-05-08T14:29:44"/>
        <d v="2024-05-08T17:04:37"/>
        <d v="2024-05-08T18:34:09"/>
        <d v="2024-05-08T18:55:19"/>
        <d v="2024-05-08T19:18:52"/>
        <d v="2024-05-08T22:32:45"/>
        <d v="2024-05-09T08:19:32"/>
        <d v="2024-05-09T08:46:43"/>
        <d v="2024-05-09T10:37:28"/>
        <d v="2024-05-09T11:11:33"/>
        <d v="2024-05-09T11:20:39"/>
        <d v="2024-05-09T14:41:58"/>
        <d v="2024-05-09T16:52:18"/>
        <d v="2024-05-09T17:01:00"/>
        <d v="2024-05-10T09:22:53"/>
        <d v="2024-05-10T12:26:41"/>
        <d v="2024-05-10T13:45:24"/>
        <d v="2024-05-10T18:41:45"/>
        <d v="2024-05-11T12:41:46"/>
        <d v="2024-05-11T12:51:20"/>
        <d v="2024-05-11T14:37:03"/>
        <d v="2024-05-12T09:33:52"/>
        <d v="2024-05-10T19:00:00"/>
        <d v="2024-05-13T09:25:39"/>
        <d v="2024-05-13T09:46:34"/>
        <d v="2024-05-13T11:44:02"/>
        <d v="2024-05-13T12:35:15"/>
        <d v="2024-05-13T15:55:30"/>
        <d v="2024-05-13T16:05:24"/>
        <d v="2024-05-13T17:42:35"/>
        <d v="2024-05-13T18:26:28"/>
        <d v="2024-05-14T08:30:03"/>
        <d v="2024-05-14T08:47:30"/>
        <d v="2024-05-14T08:49:08"/>
        <d v="2024-05-14T10:09:19"/>
        <d v="2024-05-14T11:18:45"/>
        <d v="2024-05-14T12:18:42"/>
        <d v="2024-05-14T12:30:29"/>
        <d v="2024-05-14T12:39:28"/>
        <d v="2024-05-14T14:26:15"/>
        <d v="2024-05-14T15:10:07"/>
        <d v="2024-05-14T15:49:16"/>
        <d v="2024-05-14T16:18:08"/>
        <d v="2024-05-14T17:43:20"/>
        <d v="2024-05-14T18:32:41"/>
        <d v="2024-05-14T18:33:30"/>
        <d v="2024-05-15T09:04:22"/>
        <d v="2024-05-15T09:38:53"/>
        <d v="2024-05-15T09:51:21"/>
        <d v="2024-05-15T10:22:34"/>
        <d v="2024-05-15T10:25:01"/>
        <d v="2024-05-15T10:59:13"/>
        <d v="2024-05-15T11:11:11"/>
        <d v="2024-05-16T08:43:55"/>
        <d v="2024-05-16T09:01:17"/>
        <d v="2024-05-16T09:50:13"/>
        <d v="2024-05-16T11:19:09"/>
        <d v="2024-05-16T17:05:43"/>
        <d v="2024-05-16T18:50:48"/>
        <d v="2024-05-17T09:15:09"/>
        <d v="2024-05-17T09:32:14"/>
        <d v="2024-05-17T09:59:06"/>
        <d v="2024-05-17T11:50:00"/>
        <d v="2024-05-17T13:41:33"/>
        <d v="2024-05-17T15:53:53"/>
        <d v="2024-05-17T16:34:33"/>
        <d v="2024-05-17T18:09:06"/>
        <d v="2024-05-18T11:19:30"/>
        <d v="2024-05-18T12:04:22"/>
        <d v="2024-05-18T12:52:58"/>
        <d v="2024-05-18T13:22:12"/>
        <d v="2024-05-18T13:53:16"/>
        <d v="2024-05-20T09:32:16"/>
        <d v="2024-05-20T09:56:46"/>
        <d v="2024-05-20T10:58:33"/>
        <d v="2024-05-20T12:54:52"/>
        <d v="2024-05-20T17:21:37"/>
        <d v="2024-05-21T09:09:20"/>
        <d v="2024-05-21T12:39:04"/>
        <d v="2024-05-21T12:50:17"/>
        <d v="2024-05-21T19:31:43"/>
        <d v="2024-05-22T08:45:20"/>
        <d v="2024-05-22T09:21:20"/>
        <d v="2024-05-22T09:47:17"/>
        <d v="2024-05-22T15:18:39"/>
        <d v="2024-05-23T07:40:59"/>
        <d v="2024-05-23T10:49:43"/>
        <d v="2024-05-23T11:43:20"/>
        <d v="2024-05-23T13:52:35"/>
        <d v="2024-05-23T13:53:17"/>
        <d v="2024-05-23T14:36:57"/>
        <d v="2024-05-23T15:44:16"/>
        <d v="2024-05-24T08:53:34"/>
        <d v="2024-05-24T10:37:22"/>
        <d v="2024-05-24T10:55:28"/>
        <d v="2024-05-24T11:14:10"/>
        <d v="2024-05-24T11:30:36"/>
        <d v="2024-05-24T11:43:44"/>
        <d v="2024-05-24T21:14:31"/>
        <d v="2024-05-25T09:04:09"/>
        <d v="2024-05-25T09:28:43"/>
        <d v="2024-05-25T09:54:20"/>
        <d v="2024-05-25T10:05:04"/>
        <d v="2024-05-25T12:28:05"/>
        <d v="2024-05-25T13:00:00"/>
        <d v="2024-05-25T18:45:38"/>
        <d v="2024-05-26T11:30:28"/>
        <d v="2024-05-26T14:05:56"/>
        <d v="2024-05-26T16:47:27"/>
        <d v="2024-05-26T17:02:16"/>
        <d v="2024-05-27T12:05:17"/>
        <d v="2024-05-27T15:19:00"/>
        <d v="2024-05-27T16:14:00"/>
        <d v="2024-05-27T17:51:07"/>
        <d v="2024-05-27T18:09:08"/>
        <d v="2024-05-28T09:55:40"/>
        <d v="2024-05-28T11:44:53"/>
        <d v="2024-05-28T13:53:50"/>
        <d v="2024-05-28T17:01:06"/>
        <d v="2024-05-28T18:13:43"/>
        <d v="2024-05-28T18:15:43"/>
        <d v="2024-05-29T09:52:49"/>
        <d v="2024-05-29T11:10:13"/>
        <d v="2024-05-29T13:10:15"/>
        <d v="2024-05-29T14:34:41"/>
        <d v="2024-05-30T09:17:17"/>
        <d v="2024-05-30T13:47:18"/>
        <d v="2024-05-30T13:50:43"/>
        <d v="2024-05-30T16:29:14"/>
        <d v="2024-05-30T17:53:52"/>
        <d v="2024-05-30T18:04:18"/>
        <d v="2024-05-30T19:15:32"/>
        <d v="2024-05-31T10:29:58"/>
        <d v="2024-06-01T11:52:41"/>
        <d v="2024-06-01T14:49:16"/>
        <d v="2024-06-02T10:11:04"/>
        <d v="2024-06-02T17:01:52"/>
        <d v="2024-06-03T08:29:40"/>
        <d v="2024-06-03T09:23:50"/>
        <d v="2024-06-03T13:45:48"/>
        <d v="2024-06-03T14:50:42"/>
        <d v="2024-06-03T17:32:52"/>
        <d v="2024-06-04T07:41:55"/>
        <d v="2024-06-04T09:49:17"/>
        <d v="2024-06-04T17:22:42"/>
        <d v="2024-06-05T08:36:26"/>
        <d v="2024-06-05T08:52:00"/>
        <d v="2024-06-05T10:35:11"/>
        <d v="2024-06-05T11:55:17"/>
        <d v="2024-06-05T14:17:54"/>
        <m/>
        <s v=" "/>
        <d v="2022-11-30T11:13:07" u="1"/>
        <d v="2023-01-11T11:39:42" u="1"/>
        <d v="2023-01-24T15:41:02" u="1"/>
        <d v="2022-12-01T14:36:16" u="1"/>
        <d v="2023-01-03T15:12:14" u="1"/>
        <d v="2023-01-03T15:16:24" u="1"/>
        <d v="2023-01-27T08:57:13" u="1"/>
        <d v="2023-03-02T13:48:48" u="1"/>
        <d v="2023-03-17T12:06:17" u="1"/>
        <d v="2023-04-19T14:42:53" u="1"/>
        <d v="2023-04-20T09:23:41" u="1"/>
        <d v="2023-04-24T16:16:16" u="1"/>
        <d v="2023-05-04T15:48:47" u="1"/>
        <d v="2023-05-08T10:53:40" u="1"/>
        <d v="2023-05-08T14:58:32" u="1"/>
        <d v="2023-05-30T18:31:38" u="1"/>
        <d v="2023-05-30T19:24:47" u="1"/>
        <d v="2023-05-31T10:18:43" u="1"/>
        <d v="2023-05-31T15:07:01" u="1"/>
        <d v="2023-05-31T16:02:06" u="1"/>
        <d v="2023-06-01T08:50:43" u="1"/>
        <d v="2023-06-01T12:41:46" u="1"/>
        <d v="2023-06-02T17:51:40" u="1"/>
        <d v="2023-06-04T10:00:46" u="1"/>
        <d v="2023-06-04T16:10:49" u="1"/>
        <d v="2023-06-05T11:24:20" u="1"/>
        <d v="2023-06-05T18:06:49" u="1"/>
        <d v="2023-06-05T18:24:05" u="1"/>
        <d v="2023-06-06T09:18:33" u="1"/>
        <d v="2023-06-06T09:27:45" u="1"/>
        <d v="2023-06-06T10:12:38" u="1"/>
        <d v="2023-06-06T12:00:04" u="1"/>
        <d v="2023-06-06T13:00:44" u="1"/>
        <d v="2023-06-06T15:35:59" u="1"/>
        <d v="2023-06-06T17:34:01" u="1"/>
        <d v="2023-06-07T12:31:59" u="1"/>
        <d v="2023-06-07T15:10:23" u="1"/>
        <d v="2023-06-07T15:47:38" u="1"/>
        <d v="2023-06-07T16:56:30" u="1"/>
        <d v="2023-06-07T18:51:34" u="1"/>
        <d v="2023-06-08T07:35:56" u="1"/>
        <d v="2023-06-08T08:22:36" u="1"/>
        <d v="2023-06-08T09:18:11" u="1"/>
        <d v="2023-06-08T10:23:10" u="1"/>
        <d v="2023-06-08T14:34:49" u="1"/>
        <d v="2023-06-08T15:13:51" u="1"/>
        <d v="2023-06-08T17:09:56" u="1"/>
        <d v="2023-06-08T17:55:03" u="1"/>
        <d v="2023-06-09T09:44:16" u="1"/>
        <d v="2023-06-09T11:23:33" u="1"/>
        <d v="2023-06-09T12:14:50" u="1"/>
        <d v="2023-06-09T13:38:16" u="1"/>
        <d v="2023-06-10T08:06:26" u="1"/>
        <d v="2023-06-10T09:26:24" u="1"/>
        <d v="2023-06-10T10:23:07" u="1"/>
        <d v="2023-06-10T11:55:57" u="1"/>
        <d v="2023-06-10T12:57:34" u="1"/>
        <d v="2023-06-10T13:29:36" u="1"/>
        <d v="2023-06-10T17:00:12" u="1"/>
        <d v="2023-06-10T17:18:18" u="1"/>
        <d v="2023-06-10T17:40:49" u="1"/>
        <d v="2023-06-10T18:02:01" u="1"/>
        <d v="2023-06-11T09:43:41" u="1"/>
        <d v="2023-06-11T11:45:56" u="1"/>
        <d v="2023-06-11T12:33:59" u="1"/>
        <d v="2023-06-11T17:29:05" u="1"/>
        <d v="2023-06-12T09:24:06" u="1"/>
        <d v="2023-06-12T10:08:05" u="1"/>
        <d v="2023-06-12T11:57:28" u="1"/>
        <d v="2023-06-13T09:40:05" u="1"/>
        <d v="2023-06-13T09:58:13" u="1"/>
        <d v="2023-06-13T10:50:12" u="1"/>
        <d v="2023-06-13T13:49:08" u="1"/>
        <d v="2023-06-13T16:42:56" u="1"/>
        <d v="2023-06-13T17:17:57" u="1"/>
        <d v="2023-06-14T13:07:21" u="1"/>
        <d v="2023-06-14T14:54:19" u="1"/>
        <d v="2023-06-14T15:14:49" u="1"/>
        <d v="2023-06-14T17:38:15" u="1"/>
        <d v="2023-06-14T18:50:53" u="1"/>
        <d v="2023-06-15T13:55:39" u="1"/>
        <d v="2023-06-15T15:26:28" u="1"/>
        <d v="2023-06-16T13:16:57" u="1"/>
        <d v="2023-06-16T14:54:13" u="1"/>
        <d v="2023-06-16T17:01:53" u="1"/>
        <d v="2023-06-17T10:16:40" u="1"/>
        <d v="2023-06-17T17:17:23" u="1"/>
        <d v="2023-06-18T14:56:02" u="1"/>
        <d v="2023-06-19T13:10:50" u="1"/>
        <d v="2023-06-19T13:16:53" u="1"/>
        <d v="2023-06-19T14:19:01" u="1"/>
        <d v="2023-06-19T16:33:43" u="1"/>
        <d v="2023-06-19T16:37:31" u="1"/>
        <d v="2023-06-19T18:47:53" u="1"/>
        <d v="2023-06-20T11:47:29" u="1"/>
        <d v="2023-06-20T14:16:10" u="1"/>
        <d v="2023-06-21T08:20:38" u="1"/>
        <d v="2023-06-21T08:45:52" u="1"/>
        <d v="2023-06-21T12:04:11" u="1"/>
        <d v="2023-06-22T09:00:55" u="1"/>
        <d v="2023-06-22T12:26:04" u="1"/>
        <d v="2023-06-22T13:23:49" u="1"/>
        <d v="2023-06-22T16:16:37" u="1"/>
        <d v="2023-06-23T08:47:29" u="1"/>
        <d v="2023-06-23T10:42:35" u="1"/>
        <d v="2023-06-24T14:41:50" u="1"/>
        <d v="2023-06-25T16:17:03" u="1"/>
        <d v="2023-06-26T09:20:21" u="1"/>
        <d v="2023-06-26T15:25:03" u="1"/>
        <d v="2023-06-26T15:38:38" u="1"/>
        <d v="2023-06-26T17:21:20" u="1"/>
        <d v="2023-06-27T17:55:43" u="1"/>
        <d v="2023-06-27T19:37:06" u="1"/>
        <d v="2023-06-28T12:23:41" u="1"/>
        <d v="2023-06-28T16:48:39" u="1"/>
        <d v="2023-06-28T18:13:15" u="1"/>
        <d v="2023-06-29T09:24:21" u="1"/>
        <d v="2023-06-29T11:46:13" u="1"/>
        <d v="2023-06-29T14:54:07" u="1"/>
        <d v="2023-06-29T17:38:07" u="1"/>
        <d v="2023-06-29T18:31:45" u="1"/>
        <d v="2023-06-30T10:49:01" u="1"/>
        <d v="2023-06-30T11:40:26" u="1"/>
        <d v="2023-06-30T15:40:01" u="1"/>
        <d v="2023-07-01T10:44:55" u="1"/>
        <d v="2023-07-01T11:58:26" u="1"/>
        <d v="2023-07-01T16:33:47" u="1"/>
        <d v="2023-07-01T16:59:51" u="1"/>
        <d v="2023-07-02T09:37:38" u="1"/>
        <d v="2023-07-03T19:43:53" u="1"/>
        <d v="2023-07-04T09:46:02" u="1"/>
        <d v="2023-07-05T08:42:20" u="1"/>
        <d v="2023-07-05T10:08:50" u="1"/>
        <d v="2023-07-05T13:15:55" u="1"/>
        <d v="2023-07-05T13:50:25" u="1"/>
        <d v="2023-07-05T15:32:43" u="1"/>
        <d v="2023-07-05T16:55:57" u="1"/>
        <d v="2023-07-05T19:21:20" u="1"/>
        <d v="2023-07-06T10:58:41" u="1"/>
        <d v="2023-07-06T14:04:59" u="1"/>
        <d v="2023-07-06T14:52:43" u="1"/>
        <d v="2023-07-06T18:09:54" u="1"/>
        <d v="2023-07-07T15:19:01" u="1"/>
        <d v="2023-07-07T17:07:20" u="1"/>
        <d v="2023-07-07T17:45:42" u="1"/>
        <d v="2023-07-08T13:39:29" u="1"/>
        <d v="2023-07-08T16:55:18" u="1"/>
        <d v="2023-07-09T14:10:32" u="1"/>
        <d v="2023-07-10T09:34:43" u="1"/>
        <d v="2023-07-10T10:46:30" u="1"/>
        <d v="2023-07-10T12:02:17" u="1"/>
        <d v="2023-07-10T12:33:54" u="1"/>
        <d v="2023-07-10T12:59:31" u="1"/>
        <d v="2023-07-11T13:06:21" u="1"/>
        <d v="2023-07-11T13:41:20" u="1"/>
        <d v="2023-07-11T17:47:13" u="1"/>
        <d v="2023-07-12T14:48:56" u="1"/>
        <d v="2023-07-12T18:00:02" u="1"/>
        <d v="2023-07-13T08:57:01" u="1"/>
        <d v="2023-07-13T12:15:31" u="1"/>
        <d v="2023-07-13T12:45:00" u="1"/>
        <d v="2023-07-13T16:10:37" u="1"/>
        <d v="2023-07-13T17:55:16" u="1"/>
        <d v="2023-07-14T10:28:03" u="1"/>
        <d v="2023-07-14T12:29:41" u="1"/>
        <d v="2023-07-14T17:38:38" u="1"/>
        <d v="2023-07-15T14:03:53" u="1"/>
        <d v="2023-07-15T14:09:57" u="1"/>
        <d v="2023-07-17T09:48:22" u="1"/>
        <d v="2023-07-17T10:34:09" u="1"/>
        <d v="2023-07-17T14:26:48" u="1"/>
        <d v="2023-07-18T11:12:13" u="1"/>
        <d v="2023-07-19T08:10:47" u="1"/>
        <d v="2023-07-19T09:38:57" u="1"/>
        <d v="2023-07-19T12:18:37" u="1"/>
        <d v="2023-07-19T15:32:24" u="1"/>
        <d v="2023-07-19T16:34:55" u="1"/>
        <d v="2023-07-20T18:35:37" u="1"/>
        <d v="2023-07-21T10:50:19" u="1"/>
        <d v="2023-07-21T13:28:47" u="1"/>
        <d v="2023-07-22T09:09:37" u="1"/>
        <d v="2023-07-22T10:09:36" u="1"/>
        <d v="2023-07-23T09:41:50" u="1"/>
        <d v="2023-07-23T11:52:06" u="1"/>
        <d v="2023-07-24T13:34:58" u="1"/>
        <d v="2023-07-26T10:00:07" u="1"/>
        <d v="2023-07-26T11:10:41" u="1"/>
        <d v="2023-07-26T18:07:03" u="1"/>
        <d v="2023-07-27T09:07:31" u="1"/>
        <d v="2023-07-29T11:31:01" u="1"/>
        <d v="2023-07-29T18:56:31" u="1"/>
        <d v="2023-08-01T15:09:46" u="1"/>
        <d v="2023-08-01T16:27:11" u="1"/>
        <d v="2023-08-02T16:29:25" u="1"/>
        <d v="2023-08-03T09:08:27" u="1"/>
        <d v="2023-08-03T09:18:53" u="1"/>
        <d v="2023-08-03T15:51:41" u="1"/>
        <d v="2023-08-03T17:46:30" u="1"/>
        <d v="2023-08-04T09:16:44" u="1"/>
        <d v="2023-08-04T11:57:21" u="1"/>
        <d v="2023-08-04T16:21:28" u="1"/>
        <d v="2023-08-05T09:45:48" u="1"/>
        <d v="2023-08-05T12:16:25" u="1"/>
        <d v="2023-08-05T12:27:02" u="1"/>
        <d v="2023-08-05T13:08:04" u="1"/>
        <d v="2023-08-05T18:43:52" u="1"/>
        <d v="2023-08-07T10:23:09" u="1"/>
        <d v="2023-08-07T12:52:10" u="1"/>
        <d v="2023-08-07T18:56:03" u="1"/>
        <d v="2023-08-08T09:20:54" u="1"/>
        <d v="2023-08-09T08:40:56" u="1"/>
        <d v="2023-08-09T11:57:52" u="1"/>
        <d v="2023-08-10T08:11:34" u="1"/>
        <d v="2023-08-10T10:46:13" u="1"/>
        <d v="2023-08-10T14:10:29" u="1"/>
        <d v="2023-08-10T16:24:58" u="1"/>
        <d v="2023-08-11T08:56:16" u="1"/>
        <d v="2023-08-11T17:54:47" u="1"/>
        <d v="2023-08-12T14:20:40" u="1"/>
        <d v="2023-08-12T18:27:39" u="1"/>
        <d v="2023-08-14T09:28:05" u="1"/>
        <d v="2023-08-14T11:14:54" u="1"/>
        <d v="2023-08-14T16:02:51" u="1"/>
        <d v="2023-08-15T07:26:02" u="1"/>
        <d v="2023-08-15T18:38:10" u="1"/>
        <d v="2023-08-15T19:22:33" u="1"/>
        <d v="2023-08-17T11:54:40" u="1"/>
        <d v="2023-08-17T15:21:35" u="1"/>
        <d v="2023-08-17T15:56:29" u="1"/>
        <d v="2023-08-17T17:15:46" u="1"/>
        <d v="2023-08-17T17:15:53" u="1"/>
        <d v="2023-08-18T10:01:29" u="1"/>
        <d v="2023-08-18T11:30:09" u="1"/>
        <d v="2023-08-18T15:28:40" u="1"/>
        <d v="2023-08-19T11:30:39" u="1"/>
        <d v="2023-08-19T11:37:27" u="1"/>
        <d v="2023-08-19T15:07:09" u="1"/>
        <d v="2023-08-19T16:29:54" u="1"/>
        <d v="2023-08-20T09:49:59" u="1"/>
        <d v="2023-08-21T14:34:09" u="1"/>
        <d v="2023-08-21T16:13:31" u="1"/>
        <d v="2023-08-22T16:29:05" u="1"/>
        <d v="2023-08-22T16:46:15" u="1"/>
        <d v="2023-08-23T09:28:42" u="1"/>
        <d v="2023-08-23T09:36:31" u="1"/>
        <d v="2023-08-23T11:24:55" u="1"/>
        <d v="2023-08-23T16:02:06" u="1"/>
        <d v="2023-08-25T16:11:26" u="1"/>
        <d v="2023-08-26T15:00:35" u="1"/>
        <d v="2023-08-28T13:06:51" u="1"/>
        <d v="2023-08-28T18:59:57" u="1"/>
        <d v="2023-08-29T12:01:51" u="1"/>
        <d v="2023-08-30T08:56:15" u="1"/>
        <d v="2023-08-30T09:09:55" u="1"/>
        <d v="2023-08-31T08:39:10" u="1"/>
        <d v="2023-08-31T10:22:27" u="1"/>
        <d v="2023-08-31T18:38:06" u="1"/>
        <d v="2023-09-01T18:04:44" u="1"/>
        <d v="2023-09-01T18:20:52" u="1"/>
        <d v="2023-09-02T13:20:04" u="1"/>
        <d v="2023-09-02T17:43:53" u="1"/>
        <d v="2023-09-04T10:40:53" u="1"/>
        <d v="2023-09-04T17:13:15" u="1"/>
        <d v="2023-09-06T08:52:01" u="1"/>
        <d v="2023-09-06T11:47:18" u="1"/>
        <d v="2023-09-08T09:52:04" u="1"/>
        <d v="2023-09-08T11:13:53" u="1"/>
        <d v="2023-09-08T12:03:54" u="1"/>
        <d v="2023-09-08T15:46:43" u="1"/>
        <d v="2023-09-09T14:40:44" u="1"/>
        <d v="2023-09-09T17:12:44" u="1"/>
        <d v="2023-09-09T18:11:59" u="1"/>
        <d v="2023-09-10T12:15:49" u="1"/>
        <d v="2023-09-10T17:58:14" u="1"/>
        <d v="2023-09-11T14:57:37" u="1"/>
        <d v="2023-09-12T14:54:46" u="1"/>
        <d v="2023-09-13T14:29:31" u="1"/>
        <d v="2023-09-14T17:25:38" u="1"/>
        <d v="2023-09-16T14:50:02" u="1"/>
        <d v="2023-09-16T15:38:29" u="1"/>
        <d v="2023-09-18T10:28:35" u="1"/>
        <d v="2023-09-18T19:06:33" u="1"/>
        <d v="2023-09-19T10:41:40" u="1"/>
        <d v="2023-09-19T11:33:27" u="1"/>
        <d v="2023-09-20T15:10:40" u="1"/>
        <d v="2023-09-21T12:25:26" u="1"/>
        <d v="2023-09-21T17:49:33" u="1"/>
        <d v="2023-09-22T08:30:29" u="1"/>
        <d v="2023-09-22T10:31:14" u="1"/>
        <d v="2023-09-22T16:00:26" u="1"/>
        <d v="2023-09-24T17:26:57" u="1"/>
        <d v="2023-09-24T19:36:17" u="1"/>
        <d v="2023-09-25T12:56:49" u="1"/>
        <d v="2023-09-26T16:16:35" u="1"/>
        <d v="2023-09-27T17:52:14" u="1"/>
        <d v="2023-09-29T08:32:56" u="1"/>
        <d v="2023-09-29T12:01:51" u="1"/>
        <d v="2023-09-30T08:42:29" u="1"/>
        <d v="2023-10-01T17:33:33" u="1"/>
        <d v="2023-10-02T08:49:03" u="1"/>
        <d v="2023-10-03T09:06:50" u="1"/>
        <d v="2023-10-03T11:13:46" u="1"/>
        <d v="2023-10-03T12:02:06" u="1"/>
        <d v="2023-10-04T09:34:50" u="1"/>
        <d v="2023-10-04T11:17:26" u="1"/>
        <d v="2023-10-04T12:21:16" u="1"/>
        <d v="2023-10-04T14:51:29" u="1"/>
        <d v="2023-10-04T16:24:04" u="1"/>
        <d v="2023-10-05T08:53:13" u="1"/>
        <d v="2023-10-05T11:48:20" u="1"/>
        <d v="2023-10-05T13:37:27" u="1"/>
        <d v="2023-10-05T17:20:47" u="1"/>
        <d v="2023-10-05T18:32:12" u="1"/>
        <d v="2023-10-06T08:52:45" u="1"/>
        <d v="2023-10-06T13:51:49" u="1"/>
        <d v="2023-10-07T08:15:56" u="1"/>
        <d v="2023-10-07T16:29:38" u="1"/>
        <d v="2023-10-08T09:12:48" u="1"/>
        <d v="2023-10-09T11:33:15" u="1"/>
        <d v="2023-10-09T15:35:49" u="1"/>
        <d v="2023-10-10T09:38:14" u="1"/>
        <d v="2023-10-10T09:41:40" u="1"/>
        <d v="2023-10-10T10:32:55" u="1"/>
        <d v="2023-10-10T10:41:48" u="1"/>
        <d v="2023-10-10T13:42:49" u="1"/>
        <d v="2023-10-10T16:15:06" u="1"/>
        <d v="2023-10-12T16:08:40" u="1"/>
        <d v="2023-10-12T19:25:31" u="1"/>
        <d v="2023-10-13T11:25:03" u="1"/>
        <d v="2023-10-13T18:27:11" u="1"/>
        <d v="2023-10-14T12:34:40" u="1"/>
        <d v="2023-10-15T08:24:10" u="1"/>
        <d v="2023-10-15T10:58:47" u="1"/>
        <d v="2023-10-16T08:41:09" u="1"/>
        <d v="2023-10-16T17:23:12" u="1"/>
        <d v="2023-10-17T09:32:52" u="1"/>
        <d v="2023-10-17T16:45:18" u="1"/>
        <d v="2023-10-17T17:22:39" u="1"/>
        <d v="2023-10-17T17:51:49" u="1"/>
        <d v="2023-10-18T18:58:00" u="1"/>
        <d v="2023-10-20T08:56:24" u="1"/>
        <d v="2023-10-21T13:14:19" u="1"/>
        <d v="2023-10-21T13:44:15" u="1"/>
        <d v="2023-10-21T16:11:40" u="1"/>
        <d v="2023-10-21T16:27:54" u="1"/>
        <d v="2023-10-22T09:16:10" u="1"/>
        <d v="2023-10-23T08:29:12" u="1"/>
        <d v="2023-10-23T15:47:28" u="1"/>
        <d v="2023-10-23T17:46:11" u="1"/>
        <d v="2023-10-24T11:00:46" u="1"/>
        <d v="2023-10-24T11:16:05" u="1"/>
        <d v="2023-10-24T13:30:18" u="1"/>
        <d v="2023-10-25T08:31:37" u="1"/>
        <d v="2023-10-25T09:01:19" u="1"/>
        <d v="2023-10-25T15:58:04" u="1"/>
        <d v="2023-10-26T10:35:36" u="1"/>
        <d v="2023-10-27T17:02:20" u="1"/>
        <d v="2023-10-27T19:37:53" u="1"/>
        <d v="2023-10-29T19:42:33" u="1"/>
        <d v="2023-10-30T11:52:41" u="1"/>
        <d v="2023-10-30T16:18:56" u="1"/>
        <d v="2023-10-30T18:39:33" u="1"/>
        <d v="2023-10-31T12:50:55" u="1"/>
        <d v="2023-11-01T10:15:38" u="1"/>
        <d v="2023-11-01T14:41:38" u="1"/>
        <d v="2023-11-02T11:50:59" u="1"/>
        <d v="2023-11-02T14:02:25" u="1"/>
        <d v="2023-11-03T09:01:17" u="1"/>
        <d v="2023-11-03T10:43:41" u="1"/>
        <d v="2023-11-05T14:12:40" u="1"/>
        <d v="2023-11-07T09:38:52" u="1"/>
        <d v="2023-11-08T12:30:08" u="1"/>
        <d v="2023-11-14T13:26:49" u="1"/>
        <d v="2023-11-14T14:39:17" u="1"/>
        <d v="2023-11-15T09:28:17" u="1"/>
        <d v="2023-11-15T13:35:14" u="1"/>
        <d v="2023-11-15T18:14:31" u="1"/>
        <d v="2023-11-16T10:45:15" u="1"/>
        <d v="2023-11-17T12:20:25" u="1"/>
        <d v="2023-11-19T10:18:30" u="1"/>
        <d v="2023-11-19T13:26:03" u="1"/>
        <d v="2023-11-21T09:02:14" u="1"/>
        <d v="2023-11-21T09:23:56" u="1"/>
        <d v="2023-11-21T11:12:33" u="1"/>
        <d v="2023-11-21T12:00:56" u="1"/>
        <d v="2023-11-21T15:23:38" u="1"/>
        <d v="2023-11-21T17:07:24" u="1"/>
        <d v="2023-11-22T08:34:57" u="1"/>
        <d v="2023-11-22T10:44:41" u="1"/>
        <d v="2023-11-22T11:40:06" u="1"/>
        <d v="2023-11-23T08:56:29" u="1"/>
        <d v="2023-11-23T09:34:30" u="1"/>
        <d v="2023-11-23T11:20:14" u="1"/>
        <d v="2023-11-23T18:28:56" u="1"/>
        <d v="2023-11-24T19:12:32" u="1"/>
        <d v="2023-11-25T14:08:31" u="1"/>
        <d v="2023-11-28T07:46:03" u="1"/>
        <d v="2023-11-28T10:21:52" u="1"/>
        <d v="2023-11-28T16:48:40" u="1"/>
        <d v="2023-11-28T17:32:53" u="1"/>
        <d v="2023-11-29T13:07:47" u="1"/>
        <d v="2023-11-29T17:27:01" u="1"/>
        <d v="2023-11-29T17:58:17" u="1"/>
        <d v="2023-11-30T13:24:44" u="1"/>
        <d v="2023-12-01T17:27:28" u="1"/>
        <d v="2023-12-02T12:55:50" u="1"/>
        <d v="2023-12-03T08:58:29" u="1"/>
        <d v="2023-12-04T08:43:42" u="1"/>
        <d v="2023-12-05T16:36:11" u="1"/>
        <d v="2023-12-06T11:06:49" u="1"/>
        <d v="2023-12-06T11:55:43" u="1"/>
        <d v="2023-12-06T14:49:18" u="1"/>
        <d v="2023-12-07T11:48:49" u="1"/>
        <d v="2023-12-07T17:38:50" u="1"/>
        <d v="2023-12-08T13:22:46" u="1"/>
        <d v="2023-12-08T16:30:37" u="1"/>
        <d v="2023-12-09T17:49:37" u="1"/>
        <d v="2023-12-10T10:46:16" u="1"/>
        <d v="2023-12-11T11:18:50" u="1"/>
        <d v="2023-12-11T11:20:34" u="1"/>
        <d v="2023-12-11T12:09:22" u="1"/>
        <d v="2023-12-11T13:33:26" u="1"/>
        <d v="2023-12-11T14:21:05" u="1"/>
        <d v="2023-12-11T15:42:58" u="1"/>
        <d v="2023-12-12T13:43:44" u="1"/>
        <d v="2023-12-12T17:56:15" u="1"/>
        <d v="2023-12-13T08:43:46" u="1"/>
        <d v="2023-12-13T10:27:29" u="1"/>
        <d v="2023-12-13T11:20:25" u="1"/>
        <d v="2023-12-13T11:30:07" u="1"/>
        <d v="2023-12-13T15:30:47" u="1"/>
        <d v="2023-12-14T09:17:37" u="1"/>
        <d v="2023-12-14T13:22:08" u="1"/>
        <d v="2023-12-14T16:10:22" u="1"/>
        <d v="2023-12-15T09:23:32" u="1"/>
        <d v="2023-12-15T10:18:17" u="1"/>
        <d v="2023-12-15T16:33:41" u="1"/>
        <d v="2023-12-16T10:31:10" u="1"/>
        <d v="2023-12-16T11:23:08" u="1"/>
        <d v="2023-12-16T12:38:57" u="1"/>
        <d v="2023-12-17T08:42:52" u="1"/>
        <d v="2023-12-17T11:46:54" u="1"/>
        <d v="2023-12-17T15:52:52" u="1"/>
        <d v="2023-12-18T09:18:17" u="1"/>
        <d v="2023-12-18T11:59:10" u="1"/>
        <d v="2023-12-18T14:55:23" u="1"/>
        <d v="2023-12-18T15:43:15" u="1"/>
        <d v="2023-12-18T17:58:31" u="1"/>
        <d v="2023-12-18T18:36:45" u="1"/>
        <d v="2023-12-19T15:04:11" u="1"/>
        <d v="2023-12-19T15:34:27" u="1"/>
        <d v="2023-12-19T18:34:55" u="1"/>
        <d v="2023-12-20T09:05:55" u="1"/>
        <d v="2023-12-20T12:34:47" u="1"/>
        <d v="2023-12-20T14:15:45" u="1"/>
        <d v="2023-12-20T20:13:38" u="1"/>
        <d v="2023-12-21T09:27:03" u="1"/>
        <d v="2023-12-21T10:05:18" u="1"/>
        <d v="2023-12-21T11:52:17" u="1"/>
        <d v="2023-12-22T10:29:28" u="1"/>
        <d v="2023-12-22T15:03:11" u="1"/>
        <d v="2023-12-22T15:41:59" u="1"/>
        <d v="2023-12-22T16:31:59" u="1"/>
        <d v="2023-12-23T10:33:03" u="1"/>
        <d v="2023-12-23T14:38:00" u="1"/>
        <d v="2023-12-25T18:28:37" u="1"/>
        <d v="2023-12-26T17:04:43" u="1"/>
        <d v="2023-12-27T16:56:42" u="1"/>
        <d v="2023-12-28T12:48:21" u="1"/>
        <d v="2023-12-28T17:54:14" u="1"/>
        <d v="2023-12-29T10:58:39" u="1"/>
        <d v="2023-12-29T11:49:09" u="1"/>
        <d v="2023-12-29T19:20:55" u="1"/>
        <d v="2023-12-30T19:40:46" u="1"/>
        <d v="2024-01-02T08:49:55" u="1"/>
        <d v="2024-01-02T10:30:29" u="1"/>
        <d v="2024-01-02T16:14:15" u="1"/>
        <d v="2024-01-02T19:08:39" u="1"/>
        <d v="2024-01-03T08:33:45" u="1"/>
        <d v="2024-01-03T10:15:52" u="1"/>
        <d v="2024-01-03T11:23:09" u="1"/>
        <d v="2024-01-03T14:04:41" u="1"/>
        <d v="2024-01-03T15:08:57" u="1"/>
        <d v="2024-01-03T17:06:42" u="1"/>
        <d v="2024-01-04T08:30:33" u="1"/>
        <d v="2024-01-04T10:40:45" u="1"/>
        <d v="2024-01-04T10:56:01" u="1"/>
        <d v="2024-01-04T11:44:55" u="1"/>
        <d v="2024-01-04T14:32:45" u="1"/>
        <d v="2024-01-04T16:24:42" u="1"/>
        <d v="2024-01-05T09:11:16" u="1"/>
        <d v="2024-01-05T11:32:00" u="1"/>
        <d v="2024-01-05T13:42:25" u="1"/>
        <d v="2024-01-06T15:51:36" u="1"/>
        <d v="2024-01-06T18:21:50" u="1"/>
        <d v="2024-01-08T09:24:15" u="1"/>
        <d v="2024-01-09T12:15:27" u="1"/>
        <d v="2024-01-09T14:46:28" u="1"/>
        <d v="2024-01-10T09:52:07" u="1"/>
        <d v="2024-01-10T10:46:40" u="1"/>
        <d v="2024-01-10T12:14:28" u="1"/>
        <d v="2024-01-10T14:16:33" u="1"/>
        <d v="2024-01-10T18:18:29" u="1"/>
        <d v="2024-01-11T10:48:39" u="1"/>
        <d v="2024-01-11T11:56:48" u="1"/>
        <d v="2024-01-11T13:11:17" u="1"/>
        <d v="2024-01-11T13:28:32" u="1"/>
        <d v="2024-01-12T13:28:39" u="1"/>
        <d v="2024-01-12T15:26:52" u="1"/>
        <d v="2024-01-14T13:21:06" u="1"/>
        <d v="2024-01-14T18:38:36" u="1"/>
        <d v="2024-01-15T09:50:22" u="1"/>
        <d v="2024-01-16T09:47:31" u="1"/>
        <d v="2024-01-16T15:39:00" u="1"/>
        <d v="2024-01-17T09:24:40" u="1"/>
        <d v="2024-01-17T09:36:32" u="1"/>
        <d v="2024-01-17T16:39:53" u="1"/>
        <d v="2024-01-18T10:43:34" u="1"/>
        <d v="2024-01-18T12:21:08" u="1"/>
        <d v="2024-01-18T12:36:58" u="1"/>
        <d v="2024-01-19T12:22:51" u="1"/>
        <d v="2024-01-19T17:39:44" u="1"/>
        <d v="2024-01-20T09:44:25" u="1"/>
        <d v="2024-01-20T10:57:50" u="1"/>
        <d v="2024-01-20T16:04:50" u="1"/>
        <d v="2024-01-20T16:15:15" u="1"/>
        <d v="2024-01-21T15:13:38" u="1"/>
        <d v="2024-01-23T11:05:27" u="1"/>
        <d v="2024-01-23T11:56:29" u="1"/>
        <d v="2024-01-23T14:56:39" u="1"/>
        <d v="2024-01-23T17:49:30" u="1"/>
        <d v="2024-01-24T10:36:42" u="1"/>
        <d v="2024-01-25T10:11:53" u="1"/>
        <d v="2024-01-26T08:42:02" u="1"/>
        <d v="2024-01-26T15:46:19" u="1"/>
        <d v="2024-01-26T17:58:33" u="1"/>
        <d v="2024-01-26T18:53:56" u="1"/>
        <d v="2024-01-29T09:44:11" u="1"/>
        <d v="2024-01-29T14:44:52" u="1"/>
        <d v="2024-01-30T09:42:24" u="1"/>
        <d v="2024-01-30T09:50:40" u="1"/>
        <d v="2024-01-31T11:22:22" u="1"/>
        <d v="2024-01-31T12:56:50" u="1"/>
        <d v="2024-01-31T15:26:31" u="1"/>
        <d v="2024-01-31T16:42:23" u="1"/>
        <d v="2024-02-01T07:51:23" u="1"/>
        <d v="2024-02-01T11:36:23" u="1"/>
        <d v="2024-02-01T15:03:21" u="1"/>
        <d v="2024-02-03T08:32:34" u="1"/>
        <d v="2024-02-03T10:01:58" u="1"/>
        <d v="2024-02-05T09:08:09" u="1"/>
        <d v="2024-02-05T12:32:55" u="1"/>
        <d v="2024-02-05T16:56:57" u="1"/>
        <d v="2024-02-05T17:20:54" u="1"/>
        <d v="2024-02-06T18:48:27" u="1"/>
        <d v="2024-02-06T19:22:23" u="1"/>
        <d v="2024-02-07T08:59:10" u="1"/>
        <d v="2024-02-07T18:06:09" u="1"/>
        <d v="2024-02-08T11:20:02" u="1"/>
        <d v="2024-02-08T16:39:10" u="1"/>
        <d v="2024-02-08T18:13:01" u="1"/>
        <d v="2024-02-09T10:51:54" u="1"/>
        <d v="2024-02-10T09:25:52" u="1"/>
        <d v="2024-02-10T11:31:11" u="1"/>
        <d v="2024-02-10T12:22:22" u="1"/>
        <d v="2024-02-11T12:05:13" u="1"/>
        <d v="2024-02-11T14:24:49" u="1"/>
        <d v="2024-02-12T13:39:43" u="1"/>
        <d v="2024-02-13T11:30:18" u="1"/>
        <d v="2024-02-14T16:24:25" u="1"/>
        <d v="2024-02-15T09:00:57" u="1"/>
        <d v="2024-02-15T19:33:32" u="1"/>
        <d v="2024-02-16T13:28:14" u="1"/>
        <d v="2024-02-18T17:55:28" u="1"/>
        <d v="2024-02-19T11:26:55" u="1"/>
        <d v="2024-02-19T11:44:54" u="1"/>
        <d v="2024-02-19T14:50:55" u="1"/>
        <d v="2024-02-20T11:14:59" u="1"/>
        <d v="2024-02-20T11:37:07" u="1"/>
        <d v="2024-02-20T16:55:15" u="1"/>
        <d v="2024-02-21T14:18:30" u="1"/>
        <d v="2024-02-21T16:18:15" u="1"/>
        <d v="2024-02-22T09:54:16" u="1"/>
        <d v="2024-02-22T17:41:26" u="1"/>
        <d v="2024-02-23T10:29:00" u="1"/>
        <d v="2024-02-23T15:06:40" u="1"/>
        <d v="2024-02-24T16:10:15" u="1"/>
        <d v="2024-02-24T17:49:54" u="1"/>
        <d v="2024-02-25T08:41:30" u="1"/>
        <d v="2024-02-26T11:27:57" u="1"/>
        <d v="2024-02-26T12:32:46" u="1"/>
        <d v="2024-02-26T16:14:07" u="1"/>
        <d v="2024-02-27T10:28:12" u="1"/>
        <d v="2024-02-27T14:00:34" u="1"/>
        <d v="2024-02-29T11:47:26" u="1"/>
        <d v="2024-02-29T12:13:59" u="1"/>
        <d v="2024-02-29T13:11:33" u="1"/>
        <d v="2024-03-01T08:43:16" u="1"/>
        <d v="2024-03-01T08:58:43" u="1"/>
        <d v="2024-03-01T16:21:11" u="1"/>
        <d v="2024-03-01T18:13:27" u="1"/>
        <d v="2024-03-02T11:56:45" u="1"/>
        <d v="2024-03-02T14:27:35" u="1"/>
        <d v="2024-03-03T15:34:09" u="1"/>
        <d v="2024-03-04T09:07:15" u="1"/>
        <d v="2024-03-04T10:49:07" u="1"/>
        <d v="2024-03-05T08:21:18" u="1"/>
        <d v="2024-03-05T09:33:09" u="1"/>
        <d v="2024-03-05T10:06:43" u="1"/>
        <d v="2024-03-05T10:41:01" u="1"/>
        <d v="2024-03-05T14:23:06" u="1"/>
        <d v="2024-03-06T11:21:34" u="1"/>
        <d v="2024-03-06T14:38:26" u="1"/>
        <d v="2024-03-07T09:46:41" u="1"/>
        <d v="2024-03-07T13:50:07" u="1"/>
        <d v="2024-03-07T17:36:13" u="1"/>
        <d v="2024-03-08T15:37:07" u="1"/>
        <d v="2024-03-08T18:15:57" u="1"/>
        <d v="2024-03-09T11:24:17" u="1"/>
        <d v="2024-03-09T16:09:02" u="1"/>
        <d v="2024-03-11T13:46:55" u="1"/>
        <d v="2024-03-11T14:24:54" u="1"/>
        <d v="2024-03-11T15:39:25" u="1"/>
        <d v="2024-03-12T08:33:07" u="1"/>
        <d v="2024-03-12T14:14:16" u="1"/>
        <d v="2024-03-13T10:38:16" u="1"/>
        <d v="2024-03-13T15:03:34" u="1"/>
        <d v="2024-03-13T16:46:32" u="1"/>
        <d v="2024-03-14T09:52:10" u="1"/>
        <d v="2024-03-14T10:56:38" u="1"/>
        <d v="2024-03-14T19:12:10" u="1"/>
        <d v="2024-03-15T14:08:39" u="1"/>
        <d v="2024-03-16T16:56:36" u="1"/>
        <d v="2024-03-16T19:21:43" u="1"/>
        <d v="2024-03-19T08:41:49" u="1"/>
        <d v="2024-03-19T09:07:53" u="1"/>
        <d v="2024-03-20T09:33:18" u="1"/>
        <d v="2024-03-20T18:05:35" u="1"/>
        <d v="2024-03-21T08:22:49" u="1"/>
        <d v="2024-03-21T09:50:57" u="1"/>
        <d v="2024-03-21T11:52:03" u="1"/>
        <d v="2024-03-21T17:13:53" u="1"/>
        <d v="2024-03-21T20:32:32" u="1"/>
        <d v="2024-03-22T18:00:25" u="1"/>
        <d v="2024-03-23T13:36:50" u="1"/>
        <d v="2024-03-24T12:03:16" u="1"/>
        <d v="2024-03-25T08:41:53" u="1"/>
        <d v="2024-03-25T15:46:26" u="1"/>
        <d v="2024-03-26T11:14:03" u="1"/>
        <d v="2024-03-26T11:22:31" u="1"/>
        <d v="2024-03-26T16:38:35" u="1"/>
        <d v="2024-03-26T16:52:56" u="1"/>
        <d v="2024-03-27T15:24:01" u="1"/>
        <d v="2024-03-27T16:42:26" u="1"/>
        <d v="2024-03-27T17:07:03" u="1"/>
        <d v="2024-03-27T17:45:33" u="1"/>
        <d v="2024-03-27T18:33:23" u="1"/>
        <d v="2024-03-27T19:27:20" u="1"/>
        <d v="2024-03-27T19:28:37" u="1"/>
        <d v="2024-03-28T16:40:26" u="1"/>
        <d v="2024-03-28T16:54:03" u="1"/>
        <d v="2024-03-29T08:59:50" u="1"/>
        <d v="2024-03-29T09:05:34" u="1"/>
        <d v="2024-03-29T09:27:52" u="1"/>
        <d v="2024-03-29T09:55:41" u="1"/>
        <d v="2024-03-29T16:19:41" u="1"/>
        <d v="2024-03-30T08:09:15" u="1"/>
        <d v="2024-03-30T17:55:00" u="1"/>
        <d v="2024-03-31T11:36:19" u="1"/>
        <d v="2024-03-31T12:22:30" u="1"/>
        <d v="2024-04-01T10:29:21" u="1"/>
        <d v="2024-04-01T12:33:10" u="1"/>
        <d v="2024-04-01T13:07:42" u="1"/>
        <d v="2024-04-01T14:32:52" u="1"/>
        <d v="2024-04-01T17:13:37" u="1"/>
        <d v="2024-04-02T09:26:27" u="1"/>
        <d v="2024-04-02T11:10:49" u="1"/>
        <d v="2024-04-03T08:19:42" u="1"/>
        <d v="2024-04-04T12:34:57" u="1"/>
        <d v="2024-04-04T13:08:59" u="1"/>
        <d v="2024-04-04T17:31:30" u="1"/>
        <d v="2024-04-05T08:59:07" u="1"/>
        <d v="2024-04-06T16:07:53" u="1"/>
        <d v="2024-04-07T08:53:16" u="1"/>
        <d v="2024-04-07T10:54:21" u="1"/>
        <d v="2024-04-08T16:16:19" u="1"/>
        <d v="2024-04-09T08:04:56" u="1"/>
        <d v="2024-04-09T20:01:03" u="1"/>
        <d v="2024-04-10T10:53:09" u="1"/>
        <d v="2024-04-10T15:16:40" u="1"/>
        <d v="2024-04-10T15:41:11" u="1"/>
        <d v="2024-04-11T10:20:35" u="1"/>
        <d v="2024-04-11T12:48:09" u="1"/>
        <d v="2024-04-12T08:00:52" u="1"/>
        <d v="2024-04-12T18:06:47" u="1"/>
        <d v="2024-04-13T15:54:02" u="1"/>
        <d v="2024-04-15T08:16:15" u="1"/>
        <d v="2024-04-15T11:45:16" u="1"/>
        <d v="2024-04-17T09:10:52" u="1"/>
        <d v="2024-04-17T14:17:54" u="1"/>
        <d v="2024-04-18T08:20:18" u="1"/>
        <d v="2024-04-18T11:57:08" u="1"/>
        <d v="2024-04-18T18:34:00" u="1"/>
        <d v="2024-04-18T19:25:17" u="1"/>
        <d v="2024-04-19T11:21:36" u="1"/>
        <d v="2024-04-19T11:25:42" u="1"/>
        <d v="2024-04-20T09:12:24" u="1"/>
        <d v="2024-04-20T17:37:48" u="1"/>
        <d v="2024-04-21T11:12:32" u="1"/>
        <d v="2024-04-21T12:20:05" u="1"/>
        <d v="2024-04-22T08:29:34" u="1"/>
        <d v="2024-04-22T09:08:25" u="1"/>
        <d v="2024-04-22T09:51:05" u="1"/>
        <d v="2024-04-22T11:41:28" u="1"/>
        <d v="2024-04-24T10:51:07" u="1"/>
        <d v="2024-04-24T12:47:31" u="1"/>
        <d v="2024-04-24T14:21:10" u="1"/>
        <d v="2024-04-25T09:00:31" u="1"/>
        <d v="2024-04-25T09:54:38" u="1"/>
        <d v="2024-04-25T15:54:47" u="1"/>
        <d v="2024-04-28T16:01:55" u="1"/>
        <d v="2024-04-28T16:22:08" u="1"/>
        <d v="2024-05-01T09:13:03" u="1"/>
        <d v="2024-05-02T10:26:45" u="1"/>
        <d v="2024-05-02T18:13:55" u="1"/>
        <d v="2024-05-03T10:35:04" u="1"/>
        <d v="2024-05-03T11:50:59" u="1"/>
        <d v="2024-05-03T13:11:35" u="1"/>
        <d v="2024-05-03T14:33:26" u="1"/>
        <d v="2024-05-04T09:42:55" u="1"/>
        <d v="2024-05-05T10:20:15" u="1"/>
        <d v="2024-05-06T16:13:48" u="1"/>
        <d v="2024-05-07T09:59:29" u="1"/>
        <d v="2024-05-07T11:15:00" u="1"/>
        <d v="2024-05-07T17:00:39" u="1"/>
        <d v="2024-05-08T09:33:39" u="1"/>
        <d v="2024-05-08T10:44:17" u="1"/>
        <d v="2024-05-08T14:29:43" u="1"/>
        <d v="2024-05-08T19:18:51" u="1"/>
        <d v="2024-05-09T08:46:42" u="1"/>
        <d v="2024-05-09T11:20:38" u="1"/>
        <d v="2024-05-09T14:41:57" u="1"/>
        <d v="2024-05-09T16:52:17" u="1"/>
        <d v="2024-05-09T17:00:59" u="1"/>
        <d v="2024-05-11T12:41:45" u="1"/>
        <d v="2024-05-11T14:37:02" u="1"/>
        <d v="2024-05-12T09:33:51" u="1"/>
        <d v="2024-05-13T09:25:38" u="1"/>
        <d v="2024-05-13T11:44:01" u="1"/>
        <d v="2024-05-13T15:55:29" u="1"/>
        <d v="2024-05-13T16:05:23" u="1"/>
        <d v="2024-05-14T08:30:02" u="1"/>
        <d v="2024-05-14T08:49:07" u="1"/>
        <d v="2024-05-14T10:09:18" u="1"/>
        <d v="2024-05-14T12:18:41" u="1"/>
        <d v="2024-05-14T12:30:28" u="1"/>
        <d v="2024-05-14T14:26:14" u="1"/>
        <d v="2024-05-14T15:10:06" u="1"/>
        <d v="2024-05-14T15:49:15" u="1"/>
        <d v="2024-05-14T16:18:07" u="1"/>
        <d v="2024-05-14T18:32:40" u="1"/>
        <d v="2024-05-15T09:51:20" u="1"/>
        <d v="2024-05-15T10:25:00" u="1"/>
        <d v="2024-05-15T11:11:10" u="1"/>
        <d v="2024-05-16T09:50:12" u="1"/>
        <d v="2024-05-16T17:05:42" u="1"/>
        <d v="2024-05-16T18:50:47" u="1"/>
        <d v="2024-05-17T09:32:13" u="1"/>
        <d v="2024-05-17T11:49:59" u="1"/>
        <d v="2024-05-17T16:34:32" u="1"/>
        <d v="2024-05-17T18:09:05" u="1"/>
        <d v="2024-05-18T12:52:57" u="1"/>
        <d v="2024-05-20T09:32:15" u="1"/>
        <d v="2024-05-20T09:56:45" u="1"/>
        <d v="2024-05-21T12:50:16" u="1"/>
        <d v="2024-05-22T08:45:19" u="1"/>
        <d v="2024-05-22T15:18:38" u="1"/>
        <d v="2024-05-23T07:40:58" u="1"/>
        <d v="2024-05-23T14:36:56" u="1"/>
        <d v="2024-05-24T08:53:33" u="1"/>
        <d v="2024-05-24T10:37:21" u="1"/>
        <d v="2024-05-24T11:14:09" u="1"/>
        <d v="2024-05-24T11:30:35" u="1"/>
        <d v="2024-05-24T11:43:43" u="1"/>
        <d v="2024-05-24T21:14:30" u="1"/>
        <d v="2024-05-25T09:54:19" u="1"/>
        <d v="2024-05-25T10:05:03" u="1"/>
        <d v="2024-05-26T14:05:55" u="1"/>
        <d v="2024-05-26T16:47:26" u="1"/>
        <d v="2024-05-27T12:05:16" u="1"/>
        <d v="2024-05-27T15:18:59" u="1"/>
        <d v="2024-05-27T16:13:59" u="1"/>
        <d v="2024-05-27T17:51:06" u="1"/>
        <d v="2024-05-28T11:44:52" u="1"/>
        <d v="2024-05-28T17:01:05" u="1"/>
        <d v="2024-05-28T18:13:42" u="1"/>
        <d v="2024-05-28T18:15:42" u="1"/>
        <d v="2024-05-29T13:10:14" u="1"/>
        <d v="2024-05-30T09:17:16" u="1"/>
        <d v="2024-05-30T16:29:13" u="1"/>
        <d v="2024-05-30T18:04:17" u="1"/>
        <d v="2024-06-03T08:29:39" u="1"/>
        <d v="2024-06-03T14:50:41" u="1"/>
        <d v="2024-06-03T17:32:51" u="1"/>
        <d v="2024-06-05T10:35:10" u="1"/>
        <d v="2024-06-05T14:17:53" u="1"/>
      </sharedItems>
    </cacheField>
    <cacheField name="Nome" numFmtId="0">
      <sharedItems containsBlank="1" count="754">
        <m/>
        <s v="Manuela Souza do Nascimento"/>
        <s v="Ana Carolina Quirino da Silva"/>
        <s v="Talita Silva de Lima"/>
        <s v="Monique Silva de Amorim"/>
        <s v="Larissa Rayane de Santana Leite"/>
        <s v="Raissa Dayana Barbosa Santos"/>
        <s v="Raissa Oliveira Silva"/>
        <s v="Juliana dos Santos"/>
        <s v="Gabriela Nunes Xavier"/>
        <s v="Chrysline Pereira da Silva"/>
        <s v="Naiara Beatriz Pereira Rodrigues"/>
        <s v="Marcela Lima dos Santos"/>
        <s v="Kalyane Oliveira da Silva"/>
        <s v="Vitoria Conceicao Ferreira Bruno"/>
        <s v="Ana Alice dos Santos"/>
        <s v="Mayara Jacinto de Araujo"/>
        <s v="Vanessa Milena Maria da Silva"/>
        <s v="Amizaday da Silva Leite"/>
        <s v="Maria de Fatima da Silva"/>
        <s v="Yane Pereira dos Santos"/>
        <s v="Ilana de Almeida Albuquerque "/>
        <s v="Deysiane Kiurenia dos Santos"/>
        <s v="Leticia de Oliveira"/>
        <s v="Viviane de Almeida Costa"/>
        <s v="Walenia Gabriele Neves de Melo "/>
        <s v="Debora Dayane da Costa Marques"/>
        <s v="Georgia Gomes da Cruz"/>
        <s v="Walenia Gabriele Neves de Melo"/>
        <s v="Chirle da Silva Osorio"/>
        <s v="Luana Pereira da Silva"/>
        <s v="Fernanda Bezerra da Silva Gabú"/>
        <s v="Rayssa Luanna da Silva Costa"/>
        <s v="Ruth Crislayne Araujo dos Santos"/>
        <s v="Betania Maria dos Santos de Freitas"/>
        <s v="LIDIA TARCIANA SANTOS DA PAZ"/>
        <s v="CAMILA MARIA DE LIMA"/>
        <s v="Veronica Thais Goncalves Pereira dos Santos"/>
        <s v="Amanda Mayara dos Santos "/>
        <s v="Andreza Maria da Silva"/>
        <s v="Estephanne Vitoria da Silva"/>
        <s v="Ana Clecia de Lima Feitosa"/>
        <s v="Jeanine Nathalia Leopoldo da Silva"/>
        <s v="Maria Claudineide Barros de Albuquerque"/>
        <s v="Isabella Albuquerque Jardim"/>
        <s v="Aline Rafaela Andrade da Silva"/>
        <s v="Mycherlane Melquiades da Silva"/>
        <s v="Rosangela Jose de Franca"/>
        <s v="Amanda Mayara dos Santos"/>
        <s v="Magda Laiz de Oliveira Silva"/>
        <s v="Sarah Vitoria Cosme da Rocha"/>
        <s v="Danielly Ingrid Bione de Lima"/>
        <s v="Leticia Luany de Carvalho da Silva"/>
        <s v="Maria Alice de Oliveira Barbosa Leal"/>
        <s v="Alyne Souza dos Santos"/>
        <s v="Natacha Rodrigues de Farias"/>
        <s v="Riromia Pereira Juvenal"/>
        <s v="Ana Gabriela Antonio do Nascimento"/>
        <s v="Laís Viana Dias"/>
        <s v="Thatyana Karla Nascimento Tenorio"/>
        <s v="Janicleide Barbosa Cavalcanti"/>
        <s v="Vitoria Caroline Soares da Silva"/>
        <s v="Brenda Melo de Araujo"/>
        <s v="Janaina de Assis da Silva"/>
        <s v="Camila Costa de Jesus"/>
        <s v="Carina Jesus de Lima"/>
        <s v="Claudia Raiane Oliveira Dionizio"/>
        <s v="Maria Vitoria dos Santos Castro"/>
        <s v="JUSSARA LORENA MARTINS DA SILVA"/>
        <s v="Mayara Rayane Soares da Silva"/>
        <s v="Mariana Almeida da Silva"/>
        <s v="Maria Luziaria Virbergue da Silva"/>
        <s v="REBECA VITORIA ARRUDA DA SILVA"/>
        <s v="Laissa Gabriela Penalva da Rocha"/>
        <s v="Ana Patricia dos Santos Nascimento"/>
        <s v="Dandara Maria do Nascimento Ferreira Santos"/>
        <s v="Dauany Nunes de Lima"/>
        <s v="Marcela Maria da Silva"/>
        <s v="Maria Danielle Miguel Bezerra"/>
        <s v="Edicleide Gomes de Almeida"/>
        <s v="Tatiana Thalia Ramalho de Lima"/>
        <s v="Joelma Ferreira da Silva"/>
        <s v="Monallyza Iasmin Duarte da Silva"/>
        <s v="Naiara Herculano da Silva"/>
        <s v="Maria Gabriela Campos de Lima"/>
        <s v="Rosangela Pereira de Souza"/>
        <s v="Ayrine Ramonna Batista"/>
        <s v="Maria Eduarda Silva de Oliveira Cavalcanti"/>
        <s v="Kaline Thalia Leopoldina Silva de Lima"/>
        <s v="Rosangela Lira de Paiva"/>
        <s v="Gleiciane Correia de Melo Morais"/>
        <s v="Marina Byatriz Bento Arcelino"/>
        <s v="Paula Eduarda dos Santos de Andrade"/>
        <s v="Gleica Mirela Ribeiro de Lima"/>
        <s v="Aurea Claucia Rangel Carneiro"/>
        <s v="Erica Priscila Gomes dos Santos Silva"/>
        <s v="Millena Lima da Silva"/>
        <s v="Bruna Patricia Ferreira da Silva"/>
        <s v="Maria Aparecida Alves da Silva Santos"/>
        <s v="CLARA FERNANDA DOS SANTOS SILVA"/>
        <s v="Luanda de Oliveira da Silva"/>
        <s v="Karla Eduarda de Franca Oliveira"/>
        <s v="Raiza Carla da Silva"/>
        <s v="Leticia Maria Carneiro Magalhaes"/>
        <s v="Stephany Layne Pereira dos Santos"/>
        <s v="Josefa Veronica da Silva"/>
        <s v="Evelyn Karine Macedo Vasconcelos"/>
        <s v="Raquel Neidisson de Alququerque"/>
        <s v="Jessica da Silva Felix"/>
        <s v="Ana Carolina dos Anjos Araujo"/>
        <s v="Aldinez do Carmo Soares"/>
        <s v="Thamiris dos Santos Vieira"/>
        <s v="Flavia Soares da Silva"/>
        <s v="Karolayne Marlene Santos de Souza"/>
        <s v="Renata Joaquim do Nascimento"/>
        <s v="Maria Tatiane Silva de Oliveira"/>
        <s v="Sibele Alexandre dos Santos"/>
        <s v="Cinthia Gabriela Messias"/>
        <s v="Mayra Kelner Francisca Maciel"/>
        <s v="Mayara Cristina Gonzaga da Silva"/>
        <s v="Daniele das Neves Ferreira"/>
        <s v="Mirelly Steffany da Silva Sousa"/>
        <s v="Rafaela de Araujo Marinho"/>
        <s v="Aline Alves dos Santos"/>
        <s v="Vanessa Hingrid Marinho de Moura Monteiro"/>
        <s v="Enia Ingrid de Araujo"/>
        <s v="Camilla Vitoria da Silva Gomes"/>
        <s v="Graziela Silva de Aguiar"/>
        <s v="Thatiany da Silva Barbosa"/>
        <s v="KARINA SILVA DE AMORIM"/>
        <s v="Rafaela Benedita da Silva Pereira"/>
        <s v="Rute Claudia da Silva"/>
        <s v="Viviane Barbosa de Lima"/>
        <s v="Julia Mariaano de Andrade Santana"/>
        <s v="Marta Naite Maria da Silva"/>
        <s v="Aline Maria da Silva Miquiles"/>
        <s v="Barbara Ferreira da Silva"/>
        <s v="Morgana Marcelino dos Santos"/>
        <s v="Maria Fernanda Almeida da Silva"/>
        <s v="Marcela Ferreira dos Santos"/>
        <s v="Jessica Maria da Silva"/>
        <s v="Fernanda de Oliveira Silva"/>
        <s v="Eduarda Souza Soares"/>
        <s v="Manoela Justino Alexandre Silva"/>
        <s v="Mirella Kerolaine Goncalves da Silva Soares"/>
        <s v="Cilene Soares da Silva"/>
        <s v="Gisele Maria da Silva Santos"/>
        <s v="Renata Andreza Marinho da Paixao"/>
        <s v="Ingrid Gleyce Miranda dos Santos"/>
        <s v="Shirlaine de Oliveira Ferreira"/>
        <s v="Kalidiane Caroline Melo"/>
        <s v="Maria Vitória Moura de Lima"/>
        <s v="Ana Karolina Chagas Serpa Matos"/>
        <s v="Geovana Micaelle Nascimento da Silva"/>
        <s v="Maria Clara Jacinto de Oliveira"/>
        <s v="Analice Maria Cesar Barros"/>
        <s v="Larhana Cristina dos Santos Silva"/>
        <s v="Emanuela da Silva Souza"/>
        <s v="Ellida Tenuzia da Silva"/>
        <s v="Beatriz Carla Silvestre Ferreira Cabral"/>
        <s v="Gleicy Kitéria Gomes de Lima"/>
        <s v="Rebeka Vitoria Porfirio de Souza"/>
        <s v="Maria Paula Gomes da Silva"/>
        <s v="Keila Vitoria da Silva Araujo"/>
        <s v="Bianca de Oliveira Correia de Lima"/>
        <s v="Alice Maria Oliveira de Lucena"/>
        <s v="Gabriela Oliveira dos Santos Soares"/>
        <s v="Ruth Luiza Rodrigues"/>
        <s v="Camila Almeida da Fonseca"/>
        <s v="Eliana Maria da Conceicao Silva "/>
        <s v="Beatriz Fabiana da Silva"/>
        <s v="Juliely Carolayne Rodrigues da Silva"/>
        <s v="Flaviana Revoredo de Oliveira Nunes"/>
        <s v="Ana Gabriela Antonio do Nascimento "/>
        <s v="Natalia Bordalo"/>
        <s v="Katia Cristina Lopes do Rego"/>
        <s v="Debora Farias de Lima"/>
        <s v="Gleicy Kitéria Gomes de Lima "/>
        <s v="Millena Pereira da Silva"/>
        <s v="Mariana Rikaelly dos Santos"/>
        <s v="Geovana Monique da Silva Trajino"/>
        <s v="Ana Karolina de Franca Jeronimo"/>
        <s v="Cassiane Kethyle da Silva Ferreira"/>
        <s v="Raynara Thaina da Silva Lima"/>
        <s v="Niedja Maria do Nascimento"/>
        <s v="Emily Andreinna Silva de Arruda"/>
        <s v="Mirella Roberto Alves da Cruz"/>
        <s v="Fabiola Estevao do Carmo"/>
        <s v="Claudia Rebeca da Silva"/>
        <s v="Joyce Silva Bezerra"/>
        <s v="Deisiane da Silva Santana"/>
        <s v="Camila Zoppi"/>
        <s v="Maria Eduarda de Lira"/>
        <s v="Grazielly Kelly Silva dos Santos"/>
        <s v="Emillayne Adriana da Silva"/>
        <s v="Renata Maria da Conceicao"/>
        <s v="Ketheury Andrade dos Santos "/>
        <s v="Cleyce da Silva Borgues"/>
        <s v="Suelen Izabel Santos da Silva"/>
        <s v="Carla Alves de Oliveira Santos"/>
        <s v="Maria Eduarda Santana dos Santos"/>
        <s v="Tais Makishi da Silva"/>
        <s v="Macilene Santos Barros"/>
        <s v="Amanda Vitoria da Silva"/>
        <s v="Tamires Pereira Goncalves"/>
        <s v="Bianca de Carvalho Lemos Cunha"/>
        <s v="Denise Bezerra da Silva"/>
        <s v="Thayza Vitoria Ramos de Lima"/>
        <s v="Tainara Maria Oliveira"/>
        <s v="Bruna Eugenia de Melo Vicente"/>
        <s v="Debora Jeronimo da Silva"/>
        <s v="Kamily Maria Peres da Hora"/>
        <s v="Maria Vitoria do Carmo Bento Bezerra Lola"/>
        <s v="Isabela Alves Ribeiro"/>
        <s v="Ana Karolayne Santos Silva"/>
        <s v="Natalia Ferreira de Sales "/>
        <s v="Samara Sandra Santana Silva"/>
        <s v="Michelle Caroline Barbosa"/>
        <s v="Rebeca Raysa Correia da Silva"/>
        <s v="Emanuele Maria Coelho dos Prazeres"/>
        <s v="Rafaely Domingos dos Santos"/>
        <s v="Eloiza Oliveira Barros Silva"/>
        <s v="Mariana Guedes Neves de Oliveira"/>
        <s v="Esther Tacianne Paz Araujo Santos"/>
        <s v="Natalia Oliveira Silva"/>
        <s v="Lucilene Ferreira da Silva"/>
        <s v="Stefane Alves Brasil"/>
        <s v="Maria Eduarda da Silva Farias"/>
        <s v="Evellyn Nicoly Oliveira da Silva"/>
        <s v="Mirele dos Santos Freires"/>
        <s v="Talita de Oliveira Noronha"/>
        <s v="Adrielle Albuquerque Jeremias Souto da Silva"/>
        <s v="Mariana Barboza Lopes"/>
        <s v="Lilian Vitoria de Souza Santana"/>
        <s v="Shirley Soares Lopes"/>
        <s v="Rafaella Patrícia Francisca de Lima"/>
        <s v="Risomar Almeida de Moraes"/>
        <s v="Mabia Barbara Mendes"/>
        <s v="Talita Patrício Cavalcanti da Silva"/>
        <s v="Ilana Carla Bento Pereira"/>
        <s v="Rita de Cassia Pereira de Menezes"/>
        <s v="Rosa Maria da Silva Pontes"/>
        <s v="Janderlane Maria da Silva"/>
        <s v="Vanessa Claudino Gomes"/>
        <s v="Luana de Souza Diehl"/>
        <s v="Rayssa Rane Santos do Nascimento da Silva"/>
        <s v="Karen Cecilia da Silva"/>
        <s v="Rayany Souza Gomes"/>
        <s v="Taise Maria Lima Silva"/>
        <s v="Vanessa da Silva Pessoa"/>
        <s v="Kaylane Carine Dias Pereira"/>
        <s v="Jessica Maria Ferreira de Matos"/>
        <s v="Marina Gabriele Pires da Silva |"/>
        <s v="Crislayne Nascimento da Silva"/>
        <s v="Danielly Mayra Batista dos Santos"/>
        <s v="Gisele Thais da Conceicao Ferreira"/>
        <s v="Ana Carolina Timoteo da Silva"/>
        <s v="Joana Darc Pergentino de Barros "/>
        <s v="Mariane da Silva"/>
        <s v="Letícia Victoria Cruz Nascimento"/>
        <s v="Karoline Mayara Mendes da Silva"/>
        <s v="Luzia Dias Valdevino"/>
        <s v="Cristiane Pereira Nunes"/>
        <s v="Jamilly Soares de Barros"/>
        <s v="Taina Gomes da Silva"/>
        <s v="Maria Karolayne Nascimento Lima"/>
        <s v="Rayane Kelly do Nascimento"/>
        <s v="Ayani de Souza Monteiro"/>
        <s v="Fernanda Carla Mendes da Silva"/>
        <s v="Ana Karla da Fonseca Pereira"/>
        <s v="Mariana Azevedo de Freitas"/>
        <s v="Maria Claudia de Oliveira"/>
        <s v="Jeane dos Santos Santana"/>
        <s v="Valeria Jose de Souza Costa"/>
        <s v="Joice Miranda dos Santos"/>
        <s v="Aline Laysa da Silva"/>
        <s v="Mariana Barreto do Nascimento"/>
        <s v="Ana Graziela Augusta do Nascimento"/>
        <s v="Nathalia Gomes de Freitas"/>
        <s v="Elaine Gutemberg dos Santos"/>
        <s v="Vitoria Beatriz Cruz da Silva"/>
        <s v="Geisakel Melo da Conceicao"/>
        <s v="Rayane Kelly Ferreira da Silva"/>
        <s v="Janaina Silva dos Santos"/>
        <s v="Gabriela Evelin Fernandes da Silva"/>
        <s v="Lucimar Maria do Nascimento"/>
        <s v="Marcia Santana Bispo da Silva"/>
        <s v="Maria Eduarda Cunha de Lima"/>
        <s v="Tainara Silva Moura de Melo"/>
        <s v="Adriele Cristina do Amaral"/>
        <s v="Jessica Gomes da Silva"/>
        <s v="Jacidaria Gomes da Silva"/>
        <s v="Andressa Caroline Silva"/>
        <s v="Daniele Quiteria Araújo Ferreira"/>
        <s v="Leticia Bezerra da Silva"/>
        <s v="Jadilene da Silva Albuquerque"/>
        <s v="Julia Vicente de Souza"/>
        <s v="Jaqueline Barbosa da Silva"/>
        <s v="Amanda Cristina Bastos"/>
        <s v="Rayanne Priscylla da Silva Ubirata Braga"/>
        <s v="Maria Valeria dos Santos"/>
        <s v="Maria Nathalia da Silva Vasconcelos"/>
        <s v="Amanda Ramos de Lira"/>
        <s v="Raquel Vitoria Rodrigues Gomes"/>
        <s v="Gilvania da Silva Gomes"/>
        <s v="Angelica Maria dos Santos Silva"/>
        <s v="Alice Cristina do Sacramento Felix"/>
        <s v="Maria Eduarda da Silva Simplicio"/>
        <s v="Edercarla Angela da Silva"/>
        <s v="Laureli Henrique de Oliveira"/>
        <s v="Kaillany Vitoria Sales da Siva"/>
        <s v="Samara Aretha Queiroz do Nascimento Neves"/>
        <s v="Valquiria Santos Fernandes Vieira"/>
        <s v="Jhennyfer Flavia Barbosa de Andrade Cavalcante"/>
        <s v="Sara Maria da Silva"/>
        <s v="Caelene Goncalves da Silva"/>
        <s v="Jaqueline da Silva Moreira"/>
        <s v="Caelene Goncalves da Silva "/>
        <s v="Caroline Maria de Santana"/>
        <s v="Maria Taynara Macena de Souza Santos"/>
        <s v="Mayara Oliveira de Sena"/>
        <s v="Beatriz Carla Araujo Nascimento"/>
        <s v="Werica Souza de Azevedo"/>
        <s v="Mariana Stefany Praxedes de Santana"/>
        <s v="Natalia Maria Andrade da Silva "/>
        <s v="Anna Karolina de Santana Campos"/>
        <s v="Amanda Rafaely Vieira da Fonseca"/>
        <s v="Claudia Adriana da Silva"/>
        <s v="Maria Eduarda dos Santos Pereira"/>
        <s v="Juliana Paula Alexandrino de Santana"/>
        <s v="Maria Cristina Tributino de Oliveira"/>
        <s v="Shirley da Hora de Oliveira"/>
        <s v="Maria Jose Vieira da Silva"/>
        <s v="Lidia de Moraes Santo"/>
        <s v="Sabrina Lira de Tavares"/>
        <s v="Thaynara Nunes de Santana"/>
        <s v="Rafaela Bezerra da Silva"/>
        <s v="Joseilda Maria da Silva"/>
        <s v="Karine Virgnia Faierstein de Barros"/>
        <s v="Thaline Tenório de Assis"/>
        <s v="Ketlen Milene de Araujo Barbosa"/>
        <s v="Milena Pereira da Silva"/>
        <s v="Maria Rayanne Lima de Moraes"/>
        <s v="Marilia Conceicao Dias Veiga"/>
        <s v="Rosileide Marques Alves do Nascimento"/>
        <s v="Karolaine da Silva Santos"/>
        <s v="Sabrina Leticia Ferreira de Lima Avelino"/>
        <s v="Isabela Souza de Oliveira"/>
        <s v="Kettly Alves de Mendonça"/>
        <s v="Thais Andrea Oliveira do Nascimento"/>
        <s v="Juliana Karla Negreiros do Nascimento"/>
        <s v="Anna Julia Cavalcanti dos Santos"/>
        <s v="Emilayne Barbosa da Silva"/>
        <s v="Keila Mislene da Silva"/>
        <s v="Letycia Carolane Marques da Silva"/>
        <s v="Poliana das Neves Silva"/>
        <s v="Caroline Cristina da Silva"/>
        <s v="Adna Djully Vieira Y Cunha"/>
        <s v="Grace Kelly da Silva Santana "/>
        <s v="Soleane dos Santos Paiva"/>
        <s v="Elaine Flavia dos Santos Manoel"/>
        <s v="Ana Beatriz Augusto de Lima"/>
        <s v="Jessika Carla da Silva"/>
        <s v="Paula Maria de Sena"/>
        <s v="Natalia Luiza do Nascimento Silva"/>
        <s v="Iris dos Santos Silva"/>
        <s v="Eduarda Suzani dos Santos Rolim"/>
        <s v="Vanessa Fabia Gomes da Silva"/>
        <s v="Mikelle Maria da Silva Santos"/>
        <s v="Joyce Marinho da Silva"/>
        <s v="Fabiana Andreza das Neves"/>
        <s v="Isabelle Joyce de França da Silva"/>
        <s v="Jessica Rayanne da Silva"/>
        <s v="Bruna Beatriz de Sena da Silva"/>
        <s v="Stefany Katarina da Silva Oliveira"/>
        <s v="Michelle Rodrigues da Silva"/>
        <s v="Maria Eduarda dos Santos Barboza"/>
        <s v="Danielle Janaina da Silva "/>
        <s v="Samara Albuquerque Alves"/>
        <s v="Macione Maria Eduardo D Souza"/>
        <s v="Jeyne Ariel Araujo da Costa"/>
        <s v="Poliana Soares Basilio do Carmo"/>
        <s v="Isa Rayanne de Moura Costa"/>
        <s v="Amanda Firmino da Paz"/>
        <s v="Maria Isabel da Silva"/>
        <s v="Maria Rita Caetana dos Santos"/>
        <s v="Micheline da Costa Silva"/>
        <s v="Vitoria Kelly Barbosa Bezerra"/>
        <s v="Tercia Innarah de Lucena Pereira"/>
        <s v="Mayara Jeniffer Oliveira do Nascimento"/>
        <s v="Ellen Victoria Claudino Oliveira"/>
        <s v="Lidia Vitória Anacleto"/>
        <s v="Natalia dos Santos Ferreira"/>
        <s v="Aline Alexsandra Mendes dos Santos"/>
        <s v="Ritshelly Cassia da Silva"/>
        <s v="Sthefany Kelly Ferreira Rios"/>
        <s v="Rosangela Patricia Vania de Oliveira"/>
        <s v="Roseanne Santana Ribeiro"/>
        <s v="Kauanny Emanuelly do Nascimento"/>
        <s v="Grace Kelly da Silva Santana"/>
        <s v="Karla Cristina dos Santos Silva"/>
        <s v="Tayane dos Santos Meira"/>
        <s v="Maria Eduarda de Miranda Cavalcanti"/>
        <s v="Aline Mauricio dos Santos"/>
        <s v="Vanessa Nascimento de Araujo"/>
        <s v="Heloisa Marques Bezerra"/>
        <s v="Joelma Carla da Silva Araujo"/>
        <s v="Claudia Silva de Souza"/>
        <s v="ANNY CAROLYNNE FERREIRA DA SILVA"/>
        <s v="Aline Mauricio dos Santos "/>
        <s v="Thallyne Maria Silva dos Santos"/>
        <s v="Renata Maria da Conceição"/>
        <s v="Fabiana Maria da Silva"/>
        <s v="Maria Betania Alves Vieira"/>
        <s v="Rayane Carla Carneiro"/>
        <s v="Hellen Cristina da Silva Cruz"/>
        <s v="Pamella Roberta de Sousa da Silva"/>
        <s v="Bianca Nathalia Andrade de Souza"/>
        <s v="Maria Eduarda Alves Santana"/>
        <s v="Ana Julia Trajano Lima"/>
        <s v="Maria Cristiane de Oliveira"/>
        <s v="Steffane Kelly da Silva"/>
        <s v="Maria Eduarda Cruz Fonseca"/>
        <s v="Pollyana Nery Flor"/>
        <s v="Mikaelle Rodrigues Ramos de Souza"/>
        <s v="Williane da Silva Cardoso"/>
        <s v="Carolina de Vasconcelos Soares"/>
        <s v="Erica Maria de Araujo Gomes"/>
        <s v="Raiane Carine de Souza Silva"/>
        <s v="Maira Gila de Oliveira Silva"/>
        <s v="Maria Aparecida de Jesus Dias"/>
        <s v="Poliana Silva da Cunha"/>
        <s v="Juliana Emilly Cavalcanti dos Santos"/>
        <s v="Priscila Matos do Nascimento"/>
        <s v="Bianca Carina Silva Lucena"/>
        <s v="Luenia Maria Andrade das Neves"/>
        <s v="Maria Betania Alves Vieira "/>
        <s v="Jaqueline da Silva Meneses"/>
        <s v="Sheila Cruz de Lemos"/>
        <s v="Anne Karenina Marques da Silva"/>
        <s v="Luciana Rodrigues dos Santos"/>
        <s v="Cristiane da Silva Tavares"/>
        <s v="Kilzy da Silva Cordeiro Albuquerque"/>
        <s v="Maria Vitoria Barbosa Ramos"/>
        <s v="Simone Valentim Vieira"/>
        <s v="Argentina Candida do Nascimento"/>
        <s v="Luana Vasconcelos Ferreira da Silva"/>
        <s v="Jacilene Serra Cruz"/>
        <s v="Stella Vitoria Dias do Nascimento"/>
        <s v="Amanda Santiago dos Santos"/>
        <s v="Paola Tamares Herculano Silva"/>
        <s v="Fernanda Maria Brito de Arruda"/>
        <s v="Rosangela Rodrigues de Almeida"/>
        <s v="Ana Lucia da Costa Oliveira"/>
        <s v="Luana Conceicao Araujo"/>
        <s v="Flaviana Mirelle Torquato da Silva"/>
        <s v="Lis Helena de Carvalho Nogueira"/>
        <s v="Luana Conceicaõ Araujo"/>
        <s v="Ana Carla Xavier Cordeiro"/>
        <s v="Andrielly Silva de Lima"/>
        <s v="Tatiana Sumaya Barbosa da Silva"/>
        <s v="Niedja de Oliveira Barbosa"/>
        <s v="Yara Beatriz Pereira da Silva"/>
        <s v="Yasmim Ellen de Oliveira Andrade"/>
        <s v="Tharcila Kauanny Silva de Souza"/>
        <s v="Vanessa Conceicao Ferreira dos Santos"/>
        <s v="Ariana Roberta Ferreira da Silva"/>
        <s v="Erica Larissa Rigueira de Lima"/>
        <s v="Vanessa Conceição Ferreira dos Santos"/>
        <s v="Larissa Torres Sampaio"/>
        <s v="Kayllane Kamilly Feitoza Marinho"/>
        <s v="Danielle Mariane da Silva"/>
        <s v="Marcela Manuele de Souza Barros"/>
        <s v="Alessandra Maria do Nascimento"/>
        <s v="Larissa Silva de Souza"/>
        <s v="Leticia da Silva Chagas"/>
        <s v="Maria Milena Bispo"/>
        <s v="Maria Eduarda Santana dos Santos "/>
        <s v="Iracelly Silvestre Silva"/>
        <s v="Indrid Ferreira da Silva"/>
        <s v="Marluce Cintia Oliveira dos Santos"/>
        <s v="Girleide Silva das Merces Barbosa"/>
        <s v="Lucineia Gomes da Silva"/>
        <s v="Yasmim Thais Ferreira da Silva"/>
        <s v="Milleny Eduarda Vital da Silva"/>
        <s v="Camila Pereira Ferreira"/>
        <s v="Debora Dayane da Costa Marques "/>
        <s v="Talita Karla Lima da Silva"/>
        <s v="Rayla Thune Dovale Bizarria"/>
        <s v="Tamires Maria Brito"/>
        <s v="Maria Daniela Santos de Araujo"/>
        <s v="Saiuri Vieira da Cunha"/>
        <s v="Aline Maria Rodrigues"/>
        <s v="Maria Gabriela Goncalves da Silva "/>
        <s v="Ester Monte dos Santos"/>
        <s v="Aline Rodrigues Mathias da Silva"/>
        <s v="Maria Gabriela Goncalves da Silva"/>
        <s v="Eliane Borges da Silva"/>
        <s v="Tayana Sumaya Barbosa da Silva"/>
        <s v="Rayssa Carolinna Fereira dos Santos"/>
        <s v="Rosangela Maria de Albuquerque Nascimento"/>
        <s v="Rosicleide Lopes da Silva "/>
        <s v="Pamela Filgueira Barros"/>
        <s v="Ana Carolina da Silva"/>
        <s v="Paula Roberta Oliveira da Silva"/>
        <s v="Juliana de Almeida Rocha"/>
        <s v="Rita de Cássia Pereira de Menezes"/>
        <s v="Maria Cecilia Queiroga dos Santos"/>
        <s v="Mayara Camila Candida de Almeida"/>
        <s v="Iasmim Sales de Santana Silva"/>
        <s v="Joyce Martins dos Santos"/>
        <s v="Debora Joelly da Silva Costa"/>
        <s v="Raphaela Nascimento da Silva"/>
        <s v="Leticia Gabriela Queiroz de Souza"/>
        <s v="Katllyn Laryssa de Souza Bezerra"/>
        <s v="Ana Beatriz Pereira da Silva"/>
        <s v="Raiane Dias Nascimento"/>
        <s v="Emelly Lays Izidio das Chagas"/>
        <s v="Eduarda Cecilia da Silva"/>
        <s v="Jessika Belo da Silva"/>
        <s v="Débora Domingos da Silva Amorim"/>
        <s v="Fabia Maria de Santana"/>
        <s v="Sabrina Mikaele da Silva Sa"/>
        <s v="Andreza Ferreira de Almeida"/>
        <s v="Rosimere Barbosa Santana"/>
        <s v="Emylly Novaes Gomes de Lima"/>
        <s v="Isabele Carla da Silva Dantas"/>
        <s v="Jessika Suzy Bernardo Lopes"/>
        <s v="Gabriela Nascimento da Silva"/>
        <s v="Elizabeth Antonia Menezes Pinheiro"/>
        <s v="Karolayne Maria Costa dos Santosa"/>
        <s v="Eduarda Cristina Silva da Hora"/>
        <s v="Karolina Driele Amorim da Rocha"/>
        <s v="Maria Brigida Chaprao da Silva"/>
        <s v="Josicleide Barbosa Silva"/>
        <s v="Ewelin Maria da Silva"/>
        <s v="Ynara Lays da Silva Lins"/>
        <s v="Karollyne Vanessa da Silva Soares"/>
        <s v="Poliana Barbosa dos Santos"/>
        <s v="Isabele Patricia da Silva Mendes"/>
        <s v="Bianca Stephane Lima da Silva"/>
        <s v="Rayanne Gleice da Silva Reis"/>
        <s v="Juliana Rodrigues de Oliveira"/>
        <s v="Suelayne Fagundes Falcão"/>
        <s v="Rute Arruda Rodrigues"/>
        <s v="Iasmim Alves Gomes da Silva"/>
        <s v="Jenyffer Moraes Tavares"/>
        <s v="Carla Daniele Pereira da Silva"/>
        <s v="Jaciane Maria de Araujo"/>
        <s v="Analice Ferreira da Silva"/>
        <s v="Raissa Kauany Alecrim da Fonseca"/>
        <s v="Gerlane Cabral da Silva"/>
        <s v="Karoline Cavalcanti da Silva"/>
        <s v="Marilia Machado da Silva"/>
        <s v="Rayzza Marques Salgado da Silva"/>
        <s v="Maria Nivaneide de Abreu Lima"/>
        <s v="Jéssica Fernanda Martins de Oliveira"/>
        <s v="Emilly Vitoria da Silva Oliveira"/>
        <s v="Alicia Ohana Gomes Damasceno"/>
        <s v="Gleice Kelly Barboza de Lima"/>
        <s v="Amanda Dayane da Silva"/>
        <s v="Natalia Aparecida da Silva"/>
        <s v="Rayssa Carolinna Ferreira dos Santos"/>
        <s v="Amanda Costa Silva"/>
        <s v="Ana Caroline Maria da Silva"/>
        <s v="Maria Luiza Wanderley Santos"/>
        <s v="Adriele Herculano da Silva"/>
        <s v="Vitoria Lima dos Santos"/>
        <s v="Myllena Batista Barros"/>
        <s v="Valquiria Conceição Alves de Barros"/>
        <s v="Bruna Talita Placido da Silva"/>
        <s v="Patricia Antonio Rozario Sampaio de Brito"/>
        <s v="Ketheury Andrade dos Santos"/>
        <s v="Ana Flavia Monte dos Santos "/>
        <s v="Maria Thayna Santos Lima"/>
        <s v="Ana Flavia Monte dos Santos"/>
        <s v="Maria Eduarda da Silva Seabra"/>
        <s v="Isabelle Thamires da Silva Dias "/>
        <s v="Vanessa Maria dos Santos"/>
        <s v="Vitoria Alves de Oliveira Cavalcanti "/>
        <s v="Janifer Lopes dos Santos"/>
        <s v="Adrielly Alves da Silva"/>
        <s v="Wendy Oliveira Duarte"/>
        <s v="Dayse da Silva de França"/>
        <s v="Barbara Stela Bastos do Nascimento Guedes"/>
        <s v="Ana Karolynne da Silva"/>
        <s v="Nicole Helen da Silva"/>
        <s v=" Luana da Silva Santos"/>
        <s v="Dyana Vitoria Ferreira dos Santos"/>
        <s v="Luana da Silva Santos"/>
        <s v="Ketiny Magna Vasconcelos Santos"/>
        <s v="Lais Carine Guimaraes Viana Cancio"/>
        <s v="Maria Mycaela Barbosa Teixeira"/>
        <s v="Nathalia Pereira Torres da Silva"/>
        <s v="VivianViviane Rodrigues Correia de Santana"/>
        <s v="Haymé Alcazar da Conceição do Nascimento"/>
        <s v="Viviane Rodrigues Correia de Santana"/>
        <s v="Ana Carla Severo da Silva"/>
        <s v="Roseana da Silva Ribeiro"/>
        <s v="Angelina Silva de Santana"/>
        <s v="Silvia Almeida Simoes Ferreira"/>
        <s v="Joana Darc Barbosa Santos Torres"/>
        <s v="Pricila Celice Lima dos Santos"/>
        <s v="Rafaela Francisca de Lima"/>
        <s v="Kaylane Danielle Barros Alves"/>
        <s v="Thayna Cristina de Moura Andrade"/>
        <s v="Sthefany Kelly Ferreira Rios "/>
        <s v="Thais Lima Gomes da Silva"/>
        <s v="Maria Eduada Seabra"/>
        <s v="Rosineide Martins Rodrigues"/>
        <s v="Karina dos Santos Oliveira"/>
        <s v="Emile Carolyne Paula da Silva "/>
        <s v="Julia Gabriela Barbosa da Silva"/>
        <s v="Maria Eduarda Seabra"/>
        <s v="Bruna Felipe da Silva"/>
        <s v="Nielly Vitoria Cabral de Lima"/>
        <s v="Jessica Maria Gomes dos Santos"/>
        <s v="Diana Karolainy Rodrigues dos Santos"/>
        <s v="Micaela Caroline de Franca Santos"/>
        <s v="Bruna Vitoria Ferreira da Silva Leao"/>
        <s v="Andreyce Ritchelly Gomes Rocha"/>
        <s v="Vitoria da Silva Gomes"/>
        <s v="Thaylania Virginia Machado de Holanda Andrade"/>
        <s v="Elizangela Maria da Silva"/>
        <s v="Jeynielle Alcantara Lima Fortunato"/>
        <s v="Jaynne de França Brito"/>
        <s v="Paloma Milena de Menezes Santos"/>
        <s v="Maria Flabyan Cricya Ventura Xavier"/>
        <s v="Dara Daiane Silva de Andrade"/>
        <s v="Luane Campelo de Oliveira"/>
        <s v="Larissa Jussiely Nascimento de Souza"/>
        <s v="Adrielle Vitoria da Silva Ferreira"/>
        <s v="Rayelle Roberta Barbosa do Espirito Santo"/>
        <s v="Marcia Caetano Barbosa"/>
        <s v="Elizia Keisy Gomes da Silva"/>
        <s v="Thaisa Maria Rocha Lima"/>
        <s v="Fernanda de Araujo Silva"/>
        <s v="Maryanna Chistine dos Santos e Silva"/>
        <s v="Vanusa Alves da Silva"/>
        <s v="Rosilene Rodrigues Pereira da Silva"/>
        <s v="Danille Clemente Prazo"/>
        <s v="Jhoyce de Arruda e Silva"/>
        <s v="Adrielly Negreiros da Silva Fidelis"/>
        <s v="Mayara de Sa Borba Pinto Pereira"/>
        <s v="Andrea dos Santos Andrade"/>
        <s v="Alexsandra Nascimento de Barros"/>
        <s v="Alania Gomes da Silva"/>
        <s v="Maria Eduarda França da Silva"/>
        <s v="Adriele Emyly de Lima"/>
        <s v="Amanda Ines da Silva "/>
        <s v="Mykaelle Rebeca do Nascimento Lima"/>
        <s v="Cristina Rodrigues da Silva"/>
        <s v="Annyeli Santos Rodrigues"/>
        <s v="Isabelle Thamyres de Silva Dias"/>
        <s v="Ruama Gabriela Nascimento"/>
        <s v="Andrea Silva Andrade Bandeira"/>
        <s v="Lorena Ribeiro de Carvalho"/>
        <s v="Nataly Lucinda Ferreira"/>
        <s v="Ana Caroline Bezerra da Silva"/>
        <s v="Saira Esperanza Vargas Sanchez"/>
        <s v="Crislayne Silva Cavalcanti"/>
        <s v="Isabele da Silva Barbosa"/>
        <s v="Michaelly Rhuanna Dias Soares"/>
        <s v="Taciana Barbosa da Silva"/>
        <s v="Jullyanna Cristina Albuquerque Sousa Macêdo"/>
        <s v="Edilaine Maria Anunciado"/>
        <s v="Annyeli Santos Rodrigues "/>
        <s v="Ana Lucia de Santana Silva"/>
        <s v="Edneide Silva da Cruz"/>
        <s v="Alice Cabral Delgado Falcao"/>
        <s v="Isabele Mikelle Oliveira dos Santos"/>
        <s v="Ana Alice dos Santos Alves"/>
        <s v="Valeska Dayse Morais dos Santos"/>
        <s v="Kessiane Cristina Bernadina da Silva"/>
        <s v="Veronica Epifanio Sales Sauza"/>
        <s v="Evylen Eduarda do Nascimento Oliveira "/>
        <s v="Kauana Gabryella de Oliveira Goncalves"/>
        <s v="Evylen Eduarda do Nascimento Oliveira"/>
        <s v="Vanessa de Araujo Amorim"/>
        <s v="Taynam Ramos Ferreira da Silva"/>
        <s v="Renata Maria da Silva Santos"/>
        <s v="Marilia Soares de Oliveira"/>
        <s v="Valeria Conceição da Silva Santos"/>
        <s v="Jayane Cristianelle da Silva"/>
        <s v="Eduarda Estefane Siqueira de Souza"/>
        <s v="Roseane Silva Otaviano"/>
        <s v="Maria Eduarda da Silva"/>
        <s v="Ghefylle Carvalho da Trindade"/>
        <s v="Ester Hadassa Silva de Lima"/>
        <s v="Lethycia Karolayne Neres de Lima"/>
        <s v="Aynoa Izabel de Lima Correia"/>
        <s v="Beatriz Maria da Silva"/>
        <s v="Rafaela Chagas da Silva"/>
        <s v="Mirella Alexandra Queiroz Silva"/>
        <s v="Itamara Karoline Maria Odilon da Silva"/>
        <s v="Kassandra Maria da Silva"/>
        <s v="Alice Leticia Alves do Nascimento"/>
        <s v="Geysiane Goncalves Anastacio"/>
        <s v="Allana Berenice da Silva"/>
        <s v="Adriely Emille Gonçalves de Lima"/>
        <s v="Elizangela Pereira de Oliveira Silva"/>
        <s v="Rafaela Santana da Silva"/>
        <s v="Gleyce Kelly Borges de França"/>
        <s v="Geane Correia de Araujo"/>
        <s v="Warla Kelle da Silva"/>
        <s v="Maria Luiza Sales Pessoa de Meireles"/>
        <s v="Hellen Sulyva Pereira da Silva"/>
        <s v="Pryscilla Matos do Nascimento"/>
        <s v="Leinadh Maria da Silva Martins"/>
        <s v="Fernanda Bezerra da Silva"/>
        <s v="Crislaine Estima da Silva"/>
        <s v="Ladijane Miranda de Siqueira"/>
        <s v="Debora Amanda da Silva"/>
        <s v="Leila Flavia Nascimento da Silva"/>
        <s v="Anna Regina Guedes de Souza"/>
        <s v="Isabela Patricia da Silva Mendes"/>
        <s v="Jania Alexandre Ricardo Freitas"/>
        <s v="Larisse Crispiniano da Silva"/>
        <s v="Patricia da Silva Nascimento"/>
        <s v="Gleyciane Maria da Silva Sales"/>
        <s v="Caroline Eugenia Araújo da Silva Oliveira"/>
        <s v="Juliana Maria da Silva de Araujo"/>
        <s v="Lucelia Maria Vitor do Nascimento"/>
        <s v="Tainan da Silva Lima"/>
        <s v="Maria Jose Elias de Araujo"/>
        <s v="Silvana Kimberlly Libanio Soares Silva"/>
        <s v="Bruna Rita Oliveira de Albuquerque"/>
        <s v="Helen Jayane da Silva Martiniano"/>
        <s v="Emanuela Danielle Silva de Moura"/>
        <s v="Jessica Pinheiro da Silva"/>
        <s v="Gleice Correia de Oliveira "/>
        <s v="Jessica Priscila da Silva Gomes"/>
        <s v="Karina Bezerra dos Santos"/>
        <s v="Rayane Milena da Silva"/>
        <s v="Bruna Rafaela Rodrigues da Silva"/>
        <s v="Thayna Elias Braz Pereira"/>
        <s v="Maria Angelica Gonçalves da Silva"/>
        <s v="Joyce Silva Prazeres"/>
        <s v="Wanessa Daphine de Araujo"/>
        <s v="Laís Marta Pereira"/>
        <s v="Ellen Mayra da Silva Ferreira"/>
        <s v="Stefany Souza Silva"/>
        <s v="Andreza Goncalves do Nascimento"/>
        <s v="Adrielly Emille Goncalves de Lima"/>
        <s v="Layla Beatriz Xavier Correia"/>
        <s v="Fabiana da Silva Alexandre"/>
        <s v="Bianca Xaiane Marques Lira Paz"/>
        <s v="Josilene de Oliveira Nunes"/>
        <s v="Havane Sumaya da Silva"/>
        <s v="Jessica Regina da Silva Brasileiro"/>
        <s v="Pamela Vitoria da Silva Santos"/>
        <s v="Carolayne Lins Ferreira"/>
        <s v="Gleice Kelly Felix da Silva"/>
        <s v="                                                                                                                                                                                                                                                               "/>
      </sharedItems>
    </cacheField>
    <cacheField name="CPF" numFmtId="0">
      <sharedItems containsBlank="1" containsNumber="1" containsInteger="1" containsMixedTypes="1" count="731">
        <m/>
        <n v="11298976480"/>
        <n v="14037728435"/>
        <n v="70244496404"/>
        <s v="09950658454"/>
        <n v="71158194404"/>
        <n v="11442698497"/>
        <n v="12075004455"/>
        <n v="4882140411"/>
        <s v="05900599477"/>
        <n v="70895876493"/>
        <n v="71176140485"/>
        <n v="10768708486"/>
        <n v="70467347476"/>
        <n v="71724929437"/>
        <n v="13393664441"/>
        <n v="11784645478"/>
        <n v="70673369455"/>
        <n v="70398985430"/>
        <n v="11046557483"/>
        <n v="5141053482"/>
        <n v="70823253473"/>
        <n v="6615987481"/>
        <n v="11260421457"/>
        <s v="05341859405"/>
        <n v="17838599466"/>
        <n v="70494219440"/>
        <s v="04802254431"/>
        <s v="04987045486"/>
        <s v="07063328492"/>
        <n v="10886615488"/>
        <n v="70989029425"/>
        <n v="13102393470"/>
        <s v="04393038428"/>
        <s v="09344287430"/>
        <s v="08010319406"/>
        <n v="70672195402"/>
        <n v="13188065426"/>
        <n v="9800656405"/>
        <n v="71052522432"/>
        <n v="13025935448"/>
        <n v="9778988498"/>
        <s v="07907825458"/>
        <s v="09744242426"/>
        <n v="10989907490"/>
        <n v="70816320411"/>
        <s v="09778988498"/>
        <s v="05141053482"/>
        <s v="09359835463"/>
        <n v="16271078435"/>
        <n v="70492275440"/>
        <n v="11505533406"/>
        <s v="08608151456"/>
        <n v="16983892488"/>
        <n v="70759953406"/>
        <s v="06810407421"/>
        <n v="11202951490"/>
        <n v="4182489314"/>
        <s v="09147189401"/>
        <s v="01485735416"/>
        <n v="70663872448"/>
        <n v="70750015403"/>
        <n v="7018160405"/>
        <n v="11477468420"/>
        <n v="11672152496"/>
        <n v="10254647456"/>
        <s v="08019242430"/>
        <n v="11686962401"/>
        <n v="10134721446"/>
        <n v="10683896482"/>
        <n v="13705305441"/>
        <n v="71149073462"/>
        <s v="08732975473"/>
        <n v="9307215430"/>
        <n v="11070665495"/>
        <n v="13333687470"/>
        <s v="05506462484"/>
        <s v="08887603456"/>
        <s v="09890454475"/>
        <n v="70266535470"/>
        <n v="12681650429"/>
        <n v="12312110407"/>
        <s v="01784036447"/>
        <s v="09955568496"/>
        <s v="03787319476"/>
        <n v="10871836424"/>
        <n v="70174742444"/>
        <s v="09566394454"/>
        <n v="9840507443"/>
        <n v="12618533429"/>
        <n v="70332071405"/>
        <n v="15354635462"/>
        <s v="09504531458"/>
        <s v="06443929403"/>
        <n v="8886917422"/>
        <n v="71003727476"/>
        <s v="09383941421"/>
        <n v="71212578406"/>
        <n v="11633312445"/>
        <n v="14118111438"/>
        <n v="14549161418"/>
        <n v="11635639433"/>
        <s v="06569084402"/>
        <n v="70161894496"/>
        <s v="06713356427"/>
        <n v="70254002463"/>
        <n v="71232849413"/>
        <s v="09255445405"/>
        <s v="06929822485"/>
        <s v="08237090438"/>
        <s v="07992425430"/>
        <n v="7865414480"/>
        <n v="15164122499"/>
        <n v="70628172443"/>
        <n v="70806053429"/>
        <n v="13689158419"/>
        <n v="70489527418"/>
        <n v="10848694465"/>
        <n v="7865411480"/>
        <n v="11296639495"/>
        <n v="8867737414"/>
        <s v="05508503412"/>
        <s v="09971354411"/>
        <s v="09225710402"/>
        <s v="09141821459"/>
        <n v="12379186421"/>
        <n v="13960082410"/>
        <n v="13964557447"/>
        <s v="08357295401"/>
        <s v="06785683408"/>
        <n v="71168341418"/>
        <s v="06530344403"/>
        <s v="01727295480"/>
        <n v="70981155413"/>
        <n v="15111735488"/>
        <s v="07857213470"/>
        <s v="09007371401"/>
        <s v="07716126482"/>
        <n v="71199151424"/>
        <n v="70053271440"/>
        <n v="10347149456"/>
        <n v="14500412484"/>
        <n v="14389171470"/>
        <n v="10977407497"/>
        <n v="70209688483"/>
        <s v="07331511408"/>
        <s v="07864208479"/>
        <n v="70169058450"/>
        <n v="10807429481"/>
        <n v="10746529406"/>
        <n v="10859410439"/>
        <n v="14671356406"/>
        <s v="06529668454"/>
        <n v="13484506490"/>
        <n v="71331323460"/>
        <s v="01446203409"/>
        <n v="11915750474"/>
        <s v="01368258425"/>
        <s v="01450922406"/>
        <n v="71214897401"/>
        <n v="70642278431"/>
        <n v="71772736465"/>
        <n v="11275270450"/>
        <n v="70833388410"/>
        <n v="11152651480"/>
        <n v="10316599433"/>
        <s v="08103033456"/>
        <n v="11004310471"/>
        <s v="08885743471"/>
        <s v="09397155466"/>
        <n v="71206260432"/>
        <n v="71188041428"/>
        <n v="10258675489"/>
        <s v="05717648430"/>
        <s v="09815364413"/>
        <n v="12410257461"/>
        <n v="70922340420"/>
        <n v="11539536416"/>
        <n v="12393596402"/>
        <n v="10709582471"/>
        <n v="70815266405"/>
        <n v="71140511408"/>
        <s v="06992220446"/>
        <n v="71345615426"/>
        <s v="09713035410"/>
        <n v="12867231400"/>
        <s v="07002578456"/>
        <n v="70596684460"/>
        <n v="12143833431"/>
        <s v="03923058950"/>
        <n v="13715554436"/>
        <n v="10966441427"/>
        <n v="11136345450"/>
        <n v="12417806410"/>
        <n v="70713534419"/>
        <s v="07615206430"/>
        <n v="17002859471"/>
        <n v="10232065446"/>
        <n v="14825985408"/>
        <n v="37407870829"/>
        <n v="17143084484"/>
        <n v="71580630464"/>
        <s v="08921673431"/>
        <n v="13387549474"/>
        <n v="10509610480"/>
        <n v="71177047489"/>
        <n v="16111740407"/>
        <s v="08568515401"/>
        <s v="06646982473"/>
        <n v="13439690423"/>
        <n v="11350403466"/>
        <n v="12902294492"/>
        <n v="12871055483"/>
        <s v="05166807499"/>
        <s v="09343711484"/>
        <s v="08886917422"/>
        <s v="01352820471"/>
        <n v="17810560484"/>
        <n v="70191449423"/>
        <s v="09638619481"/>
        <n v="71252858485"/>
        <n v="11277531420"/>
        <n v="71567974414"/>
        <s v="08477858403"/>
        <s v="07912410414"/>
        <n v="10502529423"/>
        <n v="71189011484"/>
        <n v="71677469404"/>
        <n v="13785512490"/>
        <s v="09194447411"/>
        <n v="10516087401"/>
        <n v="70761378448"/>
        <n v="70557677416"/>
        <s v="01829481452"/>
        <s v="09077054480"/>
        <s v="05428508426"/>
        <s v="07162770428"/>
        <n v="10358856469"/>
        <s v="08594293429"/>
        <n v="7092486440"/>
        <s v="09242838403"/>
        <n v="11802983490"/>
        <s v="08724492469"/>
        <s v="07092486440"/>
        <s v="09048100461"/>
        <n v="10094451460"/>
        <n v="13470321426"/>
        <n v="70754885461"/>
        <n v="12180538448"/>
        <n v="70512638462"/>
        <n v="17329918474"/>
        <s v="09926155421"/>
        <n v="71581178476"/>
        <s v="08897467458"/>
        <s v="09725947444"/>
        <n v="10804409412"/>
        <s v="08970731423"/>
        <s v="06468732450"/>
        <n v="10323624480"/>
        <n v="70301390460"/>
        <s v="09181379420"/>
        <s v="07859294443"/>
        <n v="10640834477"/>
        <n v="71688931490"/>
        <n v="70195446496"/>
        <n v="70793267455"/>
        <n v="16629595408"/>
        <n v="11267816490"/>
        <s v="06556220477"/>
        <s v="05029110429"/>
        <n v="70164641483"/>
        <n v="10704925400"/>
        <n v="6780936448"/>
        <s v="06780936448"/>
        <s v="03952601403"/>
        <n v="12856949452"/>
        <n v="70242221408"/>
        <n v="70373464460"/>
        <n v="70626108446"/>
        <s v="09624709459"/>
        <s v="05409576403"/>
        <n v="71015297471"/>
        <s v="09236557430"/>
        <n v="10056064470"/>
        <s v="08925830450"/>
        <n v="11541099419"/>
        <s v="04561634410"/>
        <s v="07319672405"/>
        <n v="10113198450"/>
        <n v="17756289498"/>
        <s v="05237532411"/>
        <s v="09813863420"/>
        <s v="06775536410"/>
        <s v="07837957423"/>
        <n v="10433701455"/>
        <s v="04100092458"/>
        <n v="70289116406"/>
        <n v="70551431440"/>
        <n v="71152234404"/>
        <n v="12617371484"/>
        <n v="4854471425"/>
        <s v="07473098411"/>
        <n v="14640046413"/>
        <n v="11412482470"/>
        <n v="12993275402"/>
        <n v="12169521402"/>
        <n v="10088703401"/>
        <s v="07394169448"/>
        <n v="71521746443"/>
        <n v="70161958486"/>
        <s v="08176436488"/>
        <n v="13184626490"/>
        <n v="70991800451"/>
        <n v="70397467435"/>
        <n v="71484091442"/>
        <n v="70770332447"/>
        <s v="08844414406"/>
        <s v="09932432407"/>
        <n v="70961475439"/>
        <n v="11538332477"/>
        <s v="09546579424"/>
        <s v="07962986450"/>
        <s v="06270918499"/>
        <n v="70879519479"/>
        <n v="10750085495"/>
        <n v="12329685440"/>
        <s v="08354118428"/>
        <s v="06588117469"/>
        <n v="11760505404"/>
        <s v="06245697484"/>
        <s v="06211091427"/>
        <n v="11053974400"/>
        <n v="71776241479"/>
        <s v="08722535462"/>
        <n v="71334389411"/>
        <n v="71093916478"/>
        <n v="10499567455"/>
        <n v="11585400432"/>
        <s v="06755866407"/>
        <n v="70577554492"/>
        <n v="70584483457"/>
        <n v="70840198477"/>
        <n v="10039731405"/>
        <s v="06165781489"/>
        <n v="14024568400"/>
        <n v="10903890437"/>
        <s v="09023361423"/>
        <s v="07260242442"/>
        <n v="12266138456"/>
        <n v="10581440498"/>
        <n v="70550585460"/>
        <n v="16762881475"/>
        <n v="13034821425"/>
        <n v="13172784452"/>
        <n v="71484595408"/>
        <n v="14045185410"/>
        <n v="12049566425"/>
        <n v="23273886862"/>
        <n v="10704405407"/>
        <s v="06615610469"/>
        <s v="08757158428"/>
        <n v="71714309444"/>
        <s v="09272101425"/>
        <s v="06075278460"/>
        <n v="14320726766"/>
        <n v="15819343433"/>
        <n v="15953902433"/>
        <n v="11237571430"/>
        <n v="71136052496"/>
        <n v="11034320440"/>
        <n v="70294687408"/>
        <n v="70534816460"/>
        <n v="70837351405"/>
        <n v="10816028486"/>
        <s v="05213591477"/>
        <n v="10501742409"/>
        <n v="71376795442"/>
        <s v="06852178412"/>
        <n v="71377648435"/>
        <s v="09270912400"/>
        <n v="70968471463"/>
        <s v="08844438410"/>
        <s v="08332796458"/>
        <n v="11378137418"/>
        <n v="10811398463"/>
        <n v="70946113408"/>
        <s v="08479536454"/>
        <n v="71396500460"/>
        <n v="13211084436"/>
        <n v="11520185405"/>
        <n v="71181541484"/>
        <n v="13114627404"/>
        <n v="70910159408"/>
        <s v="01589956435"/>
        <s v="09817940411"/>
        <n v="71235645452"/>
        <s v="09000840490"/>
        <s v="07111563441"/>
        <n v="16330430454"/>
        <n v="10290032466"/>
        <n v="11584236400"/>
        <s v="09896030405"/>
        <n v="10436365448"/>
        <s v="09569874430"/>
        <n v="12153382440"/>
        <n v="10628668430"/>
        <n v="8147055455"/>
        <n v="71848583443"/>
        <n v="70766391493"/>
        <n v="11540327442"/>
        <s v="05778167482"/>
        <s v="09024504414"/>
        <n v="13380297461"/>
        <n v="71281728403"/>
        <n v="10760602425"/>
        <n v="16861664430"/>
        <n v="10922880409"/>
        <s v="05071789477"/>
        <n v="11959329448"/>
        <s v="08467540451"/>
        <n v="14039865413"/>
        <s v="08526174452"/>
        <n v="14092906463"/>
        <n v="6462481463"/>
        <n v="10219392420"/>
        <n v="70561899460"/>
        <s v="01732223408"/>
        <s v="08933368400"/>
        <n v="70611531488"/>
        <n v="13497029432"/>
        <n v="9099317476"/>
        <n v="70237674440"/>
        <n v="71369959494"/>
        <s v="09761815412"/>
        <n v="70797418407"/>
        <s v="08386312408"/>
        <n v="70482917458"/>
        <n v="10153924403"/>
        <s v="07302189455"/>
        <n v="71429101431"/>
        <n v="37157378833"/>
        <s v="01632837455"/>
        <n v="70808893408"/>
        <s v="06936977413"/>
        <n v="11904965423"/>
        <n v="71631042432"/>
        <n v="1065749431"/>
        <n v="11984497480"/>
        <n v="10657449431"/>
        <s v="09117402441"/>
        <n v="11066349428"/>
        <s v="09231059483"/>
        <n v="10909927421"/>
        <n v="70425234401"/>
        <n v="71346312494"/>
        <n v="10517656418"/>
        <s v="09753564457"/>
        <s v="09080588458"/>
        <n v="14461093484"/>
        <n v="10687511429"/>
        <n v="71053651457"/>
        <s v="09454086413"/>
        <n v="70198196482"/>
        <s v="06057290429"/>
        <n v="12472908407"/>
        <n v="71430049448"/>
        <n v="12226276475"/>
        <n v="10160330440"/>
        <s v="09628716484"/>
        <s v="09842512436"/>
        <n v="12247533485"/>
        <n v="71450636462"/>
        <n v="70500049440"/>
        <n v="16484138460"/>
        <n v="11480668451"/>
        <s v="03368101480"/>
        <s v="09357792481"/>
        <n v="72068534479"/>
        <n v="13951086416"/>
        <n v="10752547445"/>
        <n v="22784714810"/>
        <n v="70261856405"/>
        <s v="08351582417"/>
        <n v="71258001497"/>
        <n v="39403127899"/>
        <s v="01391594444"/>
        <s v="06554886427"/>
        <n v="16009723493"/>
        <n v="71266803416"/>
        <n v="11012606457"/>
        <n v="9753564457"/>
        <n v="11229954406"/>
        <s v="06571354454"/>
        <s v="09092644498"/>
        <s v="04671793440"/>
        <n v="71681386429"/>
        <n v="15842009447"/>
        <s v="08220304464"/>
        <n v="70085444480"/>
        <s v="14825985408"/>
        <n v="11274887402"/>
        <n v="12912334403"/>
        <s v="08971497424"/>
        <n v="70505915480"/>
        <s v="04876514488"/>
        <n v="13393293443"/>
        <n v="11257950428"/>
        <n v="12265832456"/>
        <n v="12932162403"/>
        <n v="12627302442"/>
        <s v="09778501459"/>
        <n v="10979586470"/>
        <n v="70191405485"/>
        <s v="04939304426"/>
        <s v="09404433411"/>
        <s v="08842150401"/>
        <s v="09224274455"/>
        <n v="12256305414"/>
        <n v="70937498440"/>
        <s v="09900961498"/>
        <n v="71144197406"/>
        <n v="12102109402"/>
        <n v="70493080481"/>
        <n v="71998664457"/>
        <n v="70981237495"/>
        <n v="70443909431"/>
        <n v="70942859499"/>
        <n v="10991103432"/>
        <n v="14567730461"/>
        <n v="13645225439"/>
        <s v="08813404484"/>
        <n v="12479929426"/>
        <n v="14039334485"/>
        <n v="11123861498"/>
        <n v="70410093432"/>
        <s v="08052436400"/>
        <n v="10717354466"/>
        <n v="71466211466"/>
        <s v="05497260470"/>
        <s v="09589544452"/>
        <s v="07969064400"/>
        <n v="71557419493"/>
        <n v="10930499441"/>
        <s v="07453742471"/>
        <n v="71818397480"/>
        <n v="70632914408"/>
        <s v="09540280400"/>
        <s v="00059759305"/>
        <n v="10499514416"/>
        <n v="16751619413"/>
        <s v="07181969455"/>
        <n v="12362817482"/>
        <s v="09245048462"/>
        <n v="12935047427"/>
        <n v="70428539467"/>
        <s v="08873260489"/>
        <n v="15871498426"/>
        <s v="07339708421"/>
        <n v="12513606450"/>
        <n v="71415495440"/>
        <n v="10793952450"/>
        <n v="10340541474"/>
        <s v="08170030455"/>
        <n v="71492471488"/>
        <n v="71662525451"/>
        <n v="70528685473"/>
        <n v="12351052455"/>
        <s v="07262847422"/>
        <n v="71219042412"/>
        <n v="70758250460"/>
        <n v="11786881438"/>
        <n v="12494781469"/>
        <n v="10956410421"/>
        <n v="10813817447"/>
        <n v="11608060470"/>
        <n v="11098787455"/>
        <s v="07202895480"/>
        <n v="13973758417"/>
        <n v="11267539470"/>
        <s v="09810823436"/>
        <n v="11754544436"/>
        <n v="71228826404"/>
        <n v="70292521448"/>
        <n v="71171552483"/>
        <n v="13320250485"/>
        <n v="10566423430"/>
        <n v="71130378446"/>
        <n v="13465265408"/>
        <n v="11441339477"/>
        <s v="06466604462"/>
        <n v="51035953897"/>
        <n v="71533059470"/>
        <s v="09345624406"/>
        <s v="09413612412"/>
        <n v="13010353430"/>
        <n v="10630912416"/>
        <s v="03437474480"/>
        <n v="15493280426"/>
        <n v="71284004430"/>
        <n v="12567294422"/>
        <n v="13200818433"/>
        <n v="11289973474"/>
        <n v="12002249490"/>
        <n v="70421798467"/>
        <n v="71144539498"/>
        <n v="12864877490"/>
        <n v="17785739404"/>
        <s v="01798823411"/>
        <n v="12839471450"/>
        <n v="13115492421"/>
        <n v="11239307403"/>
        <s v="09421353420"/>
        <n v="13775678425"/>
        <s v="01798674408"/>
        <n v="70896728404"/>
        <n v="10888762429"/>
        <n v="13180404426"/>
        <n v="11542933439"/>
        <s v="05982559407"/>
        <n v="70620658460"/>
        <s v="06036013400"/>
        <n v="11088441467"/>
        <n v="10733452469"/>
        <s v="08010651435"/>
        <n v="16611354476"/>
        <s v="06110013498"/>
        <n v="12109949414"/>
        <s v="06093734471"/>
        <n v="10303523484"/>
        <n v="16086979405"/>
        <n v="70477443478"/>
        <n v="10300749414"/>
        <n v="11983677418"/>
        <n v="70407529489"/>
        <n v="70048226483"/>
        <n v="71436568447"/>
        <s v="05186380571"/>
        <n v="12936692458"/>
        <n v="11486071457"/>
        <n v="12328336493"/>
        <n v="70568093402"/>
        <s v="06011565441"/>
        <n v="70541703420"/>
        <n v="70447520474"/>
        <n v="16111438450"/>
        <n v="17100735432"/>
        <n v="71099512433"/>
        <s v="05903519407"/>
        <n v="11231776439"/>
        <s v="03886783480"/>
        <s v="09772012448"/>
        <s v="09186594427"/>
        <n v="12310877492"/>
        <n v="12327939496"/>
        <s v="08002192443"/>
        <n v="70280817452"/>
        <n v="16530557741"/>
        <n v="17517363425"/>
        <n v="71056621400"/>
        <n v="11170401430"/>
        <n v="71590593448"/>
        <s v="08773764418"/>
        <n v="71578122406"/>
        <s v="08038192427"/>
        <s v="06529921451"/>
        <n v="11332924450"/>
        <n v="11067662456"/>
        <n v="10919300405"/>
        <n v="10657267406"/>
        <n v="13483484450"/>
        <n v="15877271458"/>
        <n v="10622975471"/>
        <n v="11772993484"/>
        <s v="07953985497"/>
        <n v="11257485407"/>
        <n v="14208382708"/>
        <n v="70915413400"/>
        <n v="71353539431"/>
        <n v="10314889442"/>
        <n v="12895912459"/>
        <s v="07881299452"/>
        <n v="11838694447"/>
        <n v="11839451408"/>
        <n v="71305949420"/>
        <s v="09112033464"/>
        <n v="11756692459"/>
        <s v="09649602496"/>
        <s v="09190352483"/>
        <n v="11846531438"/>
        <n v="15905956456"/>
        <s v="06040753404"/>
        <n v="71188326422"/>
        <n v="11317277465"/>
        <s v="09075251483"/>
        <s v="08579549469"/>
        <n v="70265875447"/>
        <s v="09061804493"/>
        <n v="13573595430"/>
        <n v="11189101416"/>
        <s v="07237724444"/>
        <s v="05365206401"/>
        <n v="70294475494"/>
        <s v="03345996448"/>
        <n v="14282695412"/>
        <s v="06366530483"/>
        <n v="11414319479"/>
        <n v="10940084430"/>
        <n v="70341962490"/>
        <n v="70313602425"/>
        <n v="71871129478"/>
        <s v="09085672430"/>
        <n v="70287998401"/>
        <s v="08283085433"/>
        <n v="16319449403"/>
        <n v="11873320469"/>
        <n v="70614439442"/>
        <n v="17430102492"/>
        <s v="09327901436"/>
        <n v="10024550493"/>
        <n v="1440046413"/>
        <n v="12996355474"/>
        <s v="08920287422"/>
        <n v="70675118441"/>
        <s v="06620762492"/>
        <n v="71331374456"/>
        <s v="07801832400"/>
        <n v="13611584410"/>
        <n v="10664578403"/>
        <n v="11471732495"/>
        <n v="72016087463"/>
        <n v="11746594403"/>
      </sharedItems>
    </cacheField>
    <cacheField name="CNS" numFmtId="0">
      <sharedItems containsString="0" containsBlank="1" containsNumber="1" containsInteger="1" minValue="70120702918371" maxValue="898050095465067" count="725">
        <m/>
        <n v="702309124420318"/>
        <n v="703102331235560"/>
        <n v="705703432034430"/>
        <n v="705005817013652"/>
        <n v="708407796973663"/>
        <n v="702105777657950"/>
        <n v="702403017460123"/>
        <n v="702301136510514"/>
        <n v="700902926629091"/>
        <n v="700002751960906"/>
        <n v="700002248469009"/>
        <n v="704306570802490"/>
        <n v="700003309452306"/>
        <n v="700201400050122"/>
        <n v="700002665283209"/>
        <n v="701207029183712"/>
        <n v="700005875085902"/>
        <n v="700005882298401"/>
        <n v="708702189579698"/>
        <n v="700506170046856"/>
        <n v="704705577244340"/>
        <n v="700704978103876"/>
        <n v="702403012834025"/>
        <n v="705702437682030"/>
        <n v="706405177561283"/>
        <n v="700006505018403"/>
        <n v="709205207587931"/>
        <n v="708704177030094"/>
        <n v="708105560163634"/>
        <n v="701409644710532"/>
        <n v="700004101187503"/>
        <n v="209052022490009"/>
        <n v="700005112908305"/>
        <n v="704102770029580"/>
        <n v="708602069041586"/>
        <n v="707405032215277"/>
        <n v="708207113732745"/>
        <n v="709206262169233"/>
        <n v="700903912525192"/>
        <n v="702409551791425"/>
        <n v="701204072769313"/>
        <n v="705301484050390"/>
        <n v="700504938219751"/>
        <n v="701009899857591"/>
        <n v="706306617689780"/>
        <n v="209051471750007"/>
        <n v="708000898780624"/>
        <n v="706005856689244"/>
        <n v="708500376279279"/>
        <n v="700002491205909"/>
        <n v="709601664711271"/>
        <n v="898000652731327"/>
        <n v="700000775385705"/>
        <n v="705603421725012"/>
        <n v="702104750775290"/>
        <n v="701806212560272"/>
        <n v="700503541527951"/>
        <n v="700000822013309"/>
        <n v="700208434012424"/>
        <n v="708708109195192"/>
        <n v="706806240579420"/>
        <n v="704804584865841"/>
        <n v="705600424812517"/>
        <n v="708403791520268"/>
        <n v="701800299538570"/>
        <n v="708201136381242"/>
        <n v="700508790071751"/>
        <n v="704300580759797"/>
        <n v="206045717250004"/>
        <n v="700004086227201"/>
        <n v="706003892594248"/>
        <n v="700008726340202"/>
        <n v="708707109614690"/>
        <n v="700001403748904"/>
        <n v="705009821852659"/>
        <n v="706809221854422"/>
        <n v="700008372208705"/>
        <n v="704803055421841"/>
        <n v="700004797843807"/>
        <n v="706401675238685"/>
        <n v="708603077751784"/>
        <n v="706703518432319"/>
        <n v="701408677522831"/>
        <n v="706200093511568"/>
        <n v="704001849620064"/>
        <n v="704600736177630"/>
        <n v="701003827009297"/>
        <n v="704201206184189"/>
        <n v="700208426691628"/>
        <n v="700006684597306"/>
        <n v="706505322497098"/>
        <n v="702000338875485"/>
        <n v="707609216180397"/>
        <n v="70120702918371"/>
        <n v="707808603525913"/>
        <n v="703401295219315"/>
        <n v="708004843352020"/>
        <n v="703403421894200"/>
        <n v="704007160101070"/>
        <n v="701805288964276"/>
        <n v="706401602918082"/>
        <n v="700801977487189"/>
        <n v="704805587922146"/>
        <n v="706801210740520"/>
        <n v="700509773550753"/>
        <n v="703404238473014"/>
        <n v="700504929873355"/>
        <n v="700204926989428"/>
        <n v="700009740270705"/>
        <n v="705002239945457"/>
        <n v="700005241485109"/>
        <n v="700008035815606"/>
        <n v="206053458500008"/>
        <n v="708400717008467"/>
        <n v="702401043319228"/>
        <n v="703408046224400"/>
        <n v="700209466716525"/>
        <n v="706206004686362"/>
        <n v="700507529572253"/>
        <n v="701109380079380"/>
        <n v="707007847940738"/>
        <n v="702805126780461"/>
        <n v="706403154387587"/>
        <n v="700902975908497"/>
        <n v="704001886504668"/>
        <n v="702508373337330"/>
        <n v="702303171179812"/>
        <n v="702500371187237"/>
        <n v="708501389703679"/>
        <n v="705009899325355"/>
        <n v="700007525040502"/>
        <n v="702506385881039"/>
        <n v="708209134201740"/>
        <n v="701103334115080"/>
        <n v="707106366986720"/>
        <n v="704606180252124"/>
        <n v="708606097669989"/>
        <n v="706801783269029"/>
        <n v="898005174693865"/>
        <n v="706407666228082"/>
        <n v="702500368297132"/>
        <n v="708104596853338"/>
        <n v="209053623510005"/>
        <n v="704300517263690"/>
        <n v="701804291442578"/>
        <n v="700306966503330"/>
        <n v="706709750051820"/>
        <n v="707802698820718"/>
        <n v="898003426867976"/>
        <n v="706001315807649"/>
        <n v="700007196049009"/>
        <n v="702009312004981"/>
        <n v="700402953155350"/>
        <n v="706703501709118"/>
        <n v="700800924380087"/>
        <n v="705206468768679"/>
        <n v="701807289837679"/>
        <n v="705006843837757"/>
        <n v="701804284088071"/>
        <n v="704105229464050"/>
        <n v="702805692567664"/>
        <n v="708704199993898"/>
        <n v="709206255090333"/>
        <n v="702808151424560"/>
        <n v="706808763613626"/>
        <n v="704207569648590"/>
        <n v="700009756810909"/>
        <n v="898004112430525"/>
        <n v="702609237165647"/>
        <n v="704706718467333"/>
        <n v="701004869342599"/>
        <n v="702005360528088"/>
        <n v="707608210613398"/>
        <n v="708004326100028"/>
        <n v="707603234727798"/>
        <n v="704208796499384"/>
        <n v="703106886252060"/>
        <n v="700608492019165"/>
        <n v="700001559799204"/>
        <n v="706605501971710"/>
        <n v="701803216936576"/>
        <n v="708603017484089"/>
        <n v="700009213912107"/>
        <n v="706403175801781"/>
        <n v="702407068460825"/>
        <n v="702908566058871"/>
        <n v="700800977538181"/>
        <n v="206044337050002"/>
        <n v="709604646515272"/>
        <n v="700003714309300"/>
        <n v="706200587848067"/>
        <n v="702507371552632"/>
        <n v="706906145621538"/>
        <n v="898005980124766"/>
        <n v="703402288081800"/>
        <n v="703008821547875"/>
        <n v="705402440429297"/>
        <n v="898003740931665"/>
        <n v="706401158848587"/>
        <n v="700708434557280"/>
        <n v="708107808885710"/>
        <n v="707806698403118"/>
        <n v="898003033926454"/>
        <n v="700400926071042"/>
        <n v="700007375574701"/>
        <n v="700000449927606"/>
        <n v="705804437129030"/>
        <n v="700709964698079"/>
        <n v="702809136602667"/>
        <n v="898003295517772"/>
        <n v="706508365166797"/>
        <n v="708601027397586"/>
        <n v="706400343153890"/>
        <n v="707607284854193"/>
        <n v="702005325092082"/>
        <n v="705803458151638"/>
        <n v="705008421417954"/>
        <n v="700300942296534"/>
        <n v="700001451759201"/>
        <n v="700009626475204"/>
        <n v="704101120189175"/>
        <n v="702603781836245"/>
        <n v="700504398814051"/>
        <n v="700604928707167"/>
        <n v="705609497195117"/>
        <n v="706809788150825"/>
        <n v="708002323626329"/>
        <n v="700007773792504"/>
        <n v="706403690402883"/>
        <n v="702305004241420"/>
        <n v="700205940755030"/>
        <n v="700808942449686"/>
        <n v="704001819954762"/>
        <n v="705008653771250"/>
        <n v="700303489595140"/>
        <n v="704607149910620"/>
        <n v="700802950647186"/>
        <n v="708005873205221"/>
        <n v="705200406232877"/>
        <n v="705607447469815"/>
        <n v="898002391102498"/>
        <n v="709602647540376"/>
        <n v="700802413288187"/>
        <n v="700305900737537"/>
        <n v="702802502919170"/>
        <n v="709804075482392"/>
        <n v="700503113295351"/>
        <n v="705009691293051"/>
        <n v="700001162973506"/>
        <n v="700400558690050"/>
        <n v="709201282056537"/>
        <n v="704703754695933"/>
        <n v="702805654905760"/>
        <n v="708005352616827"/>
        <n v="706800705282925"/>
        <n v="708408253345263"/>
        <n v="703002893021874"/>
        <n v="702808142394360"/>
        <n v="700801400566786"/>
        <n v="700107839299990"/>
        <n v="705604474294912"/>
        <n v="704007382536065"/>
        <n v="706804729437825"/>
        <n v="704006815939364"/>
        <n v="705401411478497"/>
        <n v="706702508531615"/>
        <n v="704002825635968"/>
        <n v="700803490012388"/>
        <n v="700805993599089"/>
        <n v="707601278100691"/>
        <n v="705406415504896"/>
        <n v="700208977258122"/>
        <n v="704606634032426"/>
        <n v="702406072275122"/>
        <n v="704203294432785"/>
        <n v="704704755758735"/>
        <n v="701807287448470"/>
        <n v="702505316635031"/>
        <n v="702107726825391"/>
        <n v="700208934984522"/>
        <n v="706403183087685"/>
        <n v="700109984959620"/>
        <n v="705006858038952"/>
        <n v="898004541923736"/>
        <n v="704005380561265"/>
        <n v="704505318793811"/>
        <n v="709805009296498"/>
        <n v="706805268866024"/>
        <n v="701102044255210"/>
        <n v="700902904075395"/>
        <n v="700507946339054"/>
        <n v="701707284385770"/>
        <n v="702504395276837"/>
        <n v="700000331008003"/>
        <n v="706409146148787"/>
        <n v="700503392857351"/>
        <n v="898006177047124"/>
        <n v="200329141690001"/>
        <n v="898004847610948"/>
        <n v="708606000411280"/>
        <n v="700204487588122"/>
        <n v="700608461938568"/>
        <n v="700001066797603"/>
        <n v="708602561840888"/>
        <n v="706809158603030"/>
        <n v="702803607991069"/>
        <n v="702608728208647"/>
        <n v="705005422471356"/>
        <n v="704806523960048"/>
        <n v="705005617278156"/>
        <n v="700006358142601"/>
        <n v="704706748082936"/>
        <n v="700204427919629"/>
        <n v="700606470263967"/>
        <n v="700904910650594"/>
        <n v="706205719106970"/>
        <n v="708209198296742"/>
        <n v="700006916653005"/>
        <n v="703405401695700"/>
        <n v="706808268468226"/>
        <n v="704604695814821"/>
        <n v="700801410371082"/>
        <n v="700801935528685"/>
        <n v="705600430738218"/>
        <n v="707606278263595"/>
        <n v="703403585430800"/>
        <n v="700503166072055"/>
        <n v="700600475815563"/>
        <n v="700503923254059"/>
        <n v="708206629187642"/>
        <n v="700003730687608"/>
        <n v="898004515051239"/>
        <n v="700805405532786"/>
        <n v="707809636197614"/>
        <n v="703400956786400"/>
        <n v="707602265290390"/>
        <n v="705000630829352"/>
        <n v="700406468974640"/>
        <n v="700005003646709"/>
        <n v="705205410973570"/>
        <n v="706206023630466"/>
        <n v="709008832920318"/>
        <n v="706803700987028"/>
        <n v="705009243104050"/>
        <n v="898003279196983"/>
        <n v="702007717649390"/>
        <n v="700006996160604"/>
        <n v="707400095300870"/>
        <n v="704507398766818"/>
        <n v="702604210262744"/>
        <n v="706808715942623"/>
        <n v="700002178721200"/>
        <n v="707002893267434"/>
        <n v="700704905278072"/>
        <n v="706502381193293"/>
        <n v="898003292542652"/>
        <n v="706900193331433"/>
        <n v="703008898676378"/>
        <n v="700804961486083"/>
        <n v="702408513624427"/>
        <n v="706505362955291"/>
        <n v="700607443905067"/>
        <n v="898002058966432"/>
        <n v="707600208687994"/>
        <n v="706601511240510"/>
        <n v="701808284741275"/>
        <n v="704204284423989"/>
        <n v="700502539523455"/>
        <n v="200344031610009"/>
        <n v="704203767834281"/>
        <n v="709203216580438"/>
        <n v="898001088704583"/>
        <n v="898003026839444"/>
        <n v="708700190774790"/>
        <n v="700601419972161"/>
        <n v="706006347560740"/>
        <n v="706801746390324"/>
        <n v="200336850740008"/>
        <n v="701301617122130"/>
        <n v="700707925864875"/>
        <n v="706206062450465"/>
        <n v="209047280690005"/>
        <n v="898004654931653"/>
        <n v="700503741989150"/>
        <n v="706500337525497"/>
        <n v="209964255210002"/>
        <n v="702608761483341"/>
        <n v="702300129263816"/>
        <n v="705003083480658"/>
        <n v="702005810307087"/>
        <n v="709206248183631"/>
        <n v="700003377103400"/>
        <n v="708100531892831"/>
        <n v="700604473930660"/>
        <n v="702009388657587"/>
        <n v="700006014004909"/>
        <n v="700004274892705"/>
        <n v="700206468913724"/>
        <n v="700009583339207"/>
        <n v="701103348258180"/>
        <n v="700407937351846"/>
        <n v="898005949436026"/>
        <n v="705008613920859"/>
        <n v="709203201351233"/>
        <n v="701308698720730"/>
        <n v="898000651859796"/>
        <n v="703408691844200"/>
        <n v="708100564765235"/>
        <n v="703108860418060"/>
        <n v="704303576561298"/>
        <n v="700305988617540"/>
        <n v="700304967450840"/>
        <n v="700000267360805"/>
        <n v="898004089980765"/>
        <n v="898005182839644"/>
        <n v="700003623132602"/>
        <n v="706803713587228"/>
        <n v="709200207002734"/>
        <n v="702608252042142"/>
        <n v="702309116567518"/>
        <n v="700605925532170"/>
        <n v="705603432558317"/>
        <n v="706300725356872"/>
        <n v="707803652437114"/>
        <n v="702603216645547"/>
        <n v="708405226095569"/>
        <n v="702600251436948"/>
        <n v="704704091932240"/>
        <n v="702401092249521"/>
        <n v="709204257043837"/>
        <n v="708700168884694"/>
        <n v="706703534950019"/>
        <n v="700402456980442"/>
        <n v="701805248891170"/>
        <n v="705001805425558"/>
        <n v="706208590259767"/>
        <n v="705006070731455"/>
        <n v="700503438361760"/>
        <n v="705201424814778"/>
        <n v="705404474201797"/>
        <n v="703202606885594"/>
        <n v="703403268268213"/>
        <n v="702601274645447"/>
        <n v="707803605040017"/>
        <n v="704305563905890"/>
        <n v="704000838863067"/>
        <n v="708601566411089"/>
        <n v="700908942014999"/>
        <n v="702502399664139"/>
        <n v="708700165310395"/>
        <n v="704605631258422"/>
        <n v="700203928579021"/>
        <n v="700400590955250"/>
        <n v="706700704298020"/>
        <n v="707502276153390"/>
        <n v="705608478820418"/>
        <n v="700605425008863"/>
        <n v="701802207308575"/>
        <n v="700006792641809"/>
        <n v="702403520927427"/>
        <n v="700005247862109"/>
        <n v="704107738689680"/>
        <n v="704301569733796"/>
        <n v="700402954359847"/>
        <n v="704102152406970"/>
        <n v="700307924703340"/>
        <n v="898003065205434"/>
        <n v="706002865429044"/>
        <n v="702302192126016"/>
        <n v="701000843555192"/>
        <n v="898006294626805"/>
        <n v="706301747155471"/>
        <n v="705005428340253"/>
        <n v="704607655945022"/>
        <n v="706902172422830"/>
        <n v="700204950900830"/>
        <n v="703407527388000"/>
        <n v="701006878226794"/>
        <n v="701005891945099"/>
        <n v="708006803184625"/>
        <n v="709201209698230"/>
        <n v="706408648170389"/>
        <n v="700907904325795"/>
        <n v="700404429566845"/>
        <n v="701205029878719"/>
        <n v="700003859109000"/>
        <n v="708101541341936"/>
        <n v="898001087401617"/>
        <n v="898003064619731"/>
        <n v="700809484779783"/>
        <n v="708907785709116"/>
        <n v="705005202258750"/>
        <n v="707105809407820"/>
        <n v="704703781901239"/>
        <n v="700500121853551"/>
        <n v="704205713036486"/>
        <n v="206049713590009"/>
        <n v="700505366831350"/>
        <n v="706803732958228"/>
        <n v="700306906631332"/>
        <n v="700407938011445"/>
        <n v="898001085848827"/>
        <n v="706000304788442"/>
        <n v="700505399532654"/>
        <n v="700009010750307"/>
        <n v="708605175423090"/>
        <n v="700006321187806"/>
        <n v="702403509228925"/>
        <n v="706406613229288"/>
        <n v="702808108979661"/>
        <n v="700601478937660"/>
        <n v="700605968716869"/>
        <n v="702609215868645"/>
        <n v="700506558264153"/>
        <n v="701403685953337"/>
        <n v="708405244029769"/>
        <n v="702304159779113"/>
        <n v="700006238173704"/>
        <n v="706809705489420"/>
        <n v="898005185455359"/>
        <n v="898050095465067"/>
        <n v="708409268304569"/>
        <n v="704209289839282"/>
        <n v="706303740457075"/>
        <n v="700504323315155"/>
        <n v="706406390910290"/>
        <n v="705603430524911"/>
        <n v="703004884010476"/>
        <n v="705008073985751"/>
        <n v="700608427804260"/>
        <n v="707600256228694"/>
        <n v="705009823463358"/>
        <n v="702801187246062"/>
        <n v="706200504791062"/>
        <n v="708205636294946"/>
        <n v="704004819053865"/>
        <n v="708107140970040"/>
        <n v="703200612913497"/>
        <n v="703409215242819"/>
        <n v="700009022856504"/>
        <n v="702603799229847"/>
        <n v="898006193597036"/>
        <n v="898004913866631"/>
        <n v="898003946734946"/>
        <n v="707004810892931"/>
        <n v="706706562283717"/>
        <n v="707607211389792"/>
        <n v="706403116869782"/>
        <n v="702309180867918"/>
        <n v="700600901502064"/>
        <n v="704005827730561"/>
        <n v="898005133793156"/>
        <n v="707701685156210"/>
        <n v="709608657226378"/>
        <n v="700503768967050"/>
        <n v="898003275844239"/>
        <n v="700400904372244"/>
        <n v="706705540068510"/>
        <n v="700002676161908"/>
        <n v="707008845418334"/>
        <n v="209056779050004"/>
        <n v="705409414644999"/>
        <n v="703406342965000"/>
        <n v="704107116893373"/>
        <n v="700606459947766"/>
        <n v="701004837238699"/>
        <n v="708004814765525"/>
        <n v="705000834244751"/>
        <n v="708204603766643"/>
        <n v="702803109430863"/>
        <n v="702104741250695"/>
        <n v="708201632190743"/>
        <n v="709200279783635"/>
        <n v="898003836744750"/>
        <n v="700301934830331"/>
        <n v="702400036521121"/>
        <n v="704202542975790"/>
        <n v="704007823903560"/>
        <n v="707109303720920"/>
        <n v="702403542804824"/>
        <n v="704205751140481"/>
        <n v="700905995764191"/>
        <n v="700001740952906"/>
        <n v="706309795634071"/>
        <n v="702102783439697"/>
        <n v="700805988142483"/>
        <n v="701407682433336"/>
        <n v="702401024102529"/>
        <n v="702303148692312"/>
        <n v="700309983361339"/>
        <n v="898004986881584"/>
        <n v="703000803629779"/>
        <n v="700404905544050"/>
        <n v="702501342525732"/>
        <n v="700002442144101"/>
        <n v="705006427006555"/>
        <n v="708601549792983"/>
        <n v="700003787331608"/>
        <n v="700701979525674"/>
        <n v="898006252474861"/>
        <n v="701401691934339"/>
        <n v="700209919843124"/>
        <n v="705106307521540"/>
        <n v="700407440739044"/>
        <n v="700009363682808"/>
        <n v="700709444210780"/>
        <n v="704601654770126"/>
        <n v="700306991570631"/>
        <n v="700501737690853"/>
        <n v="702707606116460"/>
        <n v="700908992000398"/>
        <n v="702004331949681"/>
        <n v="704509368524613"/>
        <n v="708207643005344"/>
        <n v="706204598670268"/>
        <n v="706403650143380"/>
        <n v="700009780363305"/>
        <n v="709201274976134"/>
        <n v="701809220718672"/>
        <n v="708601593540986"/>
        <n v="700503594407756"/>
        <n v="708008375922927"/>
        <n v="898005944310342"/>
        <n v="705007699222453"/>
        <n v="701404634334932"/>
        <n v="702300180822916"/>
        <n v="708508517123080"/>
        <n v="898002264795109"/>
        <n v="700508714573156"/>
        <n v="898003024599446"/>
        <n v="702903507965774"/>
        <n v="700002198921507"/>
        <n v="702602297172546"/>
        <n v="706500311039498"/>
        <n v="709601686997275"/>
        <n v="700007158565208"/>
        <n v="700004688616605"/>
        <n v="700006909687501"/>
        <n v="702803137555969"/>
        <n v="705001079158354"/>
        <n v="898004836101605"/>
        <n v="700802998286086"/>
        <n v="705304457650490"/>
        <n v="700001137575802"/>
        <n v="708201171128140"/>
        <n v="702803685947161"/>
        <n v="704603187289721"/>
        <n v="703608024227030"/>
        <n v="703401251990911"/>
        <n v="700409923504043"/>
        <n v="700401493992148"/>
        <n v="706902134978738"/>
        <n v="700001899481804"/>
        <n v="707609219415093"/>
        <n v="706804286131323"/>
        <n v="702106712699096"/>
        <n v="700908946200096"/>
        <n v="702804665755861"/>
        <n v="704001314656365"/>
        <n v="708102586377337"/>
        <n v="700601999498266"/>
        <n v="708400273864269"/>
        <n v="701402691924237"/>
        <n v="704205746556985"/>
        <n v="703206662088894"/>
        <n v="702804142472767"/>
        <n v="702505722923040"/>
        <n v="708601053636584"/>
        <n v="701105390920580"/>
        <n v="705107825176140"/>
        <n v="700003339878808"/>
        <n v="700504753126951"/>
        <n v="700004526831802"/>
        <n v="709606643280470"/>
        <n v="700503384836758"/>
        <n v="706405158579989"/>
        <n v="700405154886950"/>
        <n v="705401487977990"/>
        <n v="700001832228406"/>
        <n v="704003128044470"/>
        <n v="704106847372350"/>
        <n v="703608091797331"/>
        <n v="700009110525402"/>
        <n v="898005802359767"/>
        <n v="702501342073335"/>
        <n v="706205536217560"/>
        <n v="708400798413766"/>
        <n v="700505976434150"/>
        <n v="706306794286271"/>
        <n v="703603092777933"/>
        <n v="700000824554102"/>
        <n v="708401256257261"/>
        <n v="704604138571428"/>
        <n v="700000365384407"/>
        <n v="703006808782775"/>
        <n v="704701561064840"/>
        <n v="704608132038624"/>
        <n v="898003299705492"/>
        <n v="700501149772050"/>
        <n v="700000069671707"/>
        <n v="700604968715969"/>
        <n v="700007989953107"/>
        <n v="703402229345414"/>
        <n v="704008378418763"/>
        <n v="704204774765681"/>
        <n v="705409461268299"/>
        <n v="702600229007746"/>
        <n v="705800422211433"/>
        <n v="700500326666257"/>
        <n v="704607721393630"/>
        <n v="709003826558411"/>
        <n v="709804080626291"/>
        <n v="708704169647495"/>
        <n v="700900983777493"/>
        <n v="707306000757270"/>
        <n v="706303762885274"/>
        <n v="708205632095841"/>
        <n v="703101891132960"/>
        <n v="700506311443651"/>
        <n v="706404117661884"/>
        <n v="704705703665532"/>
        <n v="700006866310304"/>
        <n v="703209625276995"/>
        <n v="706000327149543"/>
      </sharedItems>
    </cacheField>
    <cacheField name="Link do atendimento no HopChat" numFmtId="0">
      <sharedItems containsBlank="1" count="1273">
        <m/>
        <s v="https://chat.brainyresolution.com/live/oSaHuaaqWPCwu9XH6"/>
        <s v="https://chat.brainyresolution.com/omnichannel-directory/chats/info/kawrWMHt9gdgnMpc8"/>
        <s v="https://chat.brainyresolution.com/live/eMevErRXvJJBeEN7H/room-info"/>
        <s v="https://chat.brainyresolution.com/live/RHHQobYjnMYfZsnSh"/>
        <s v="https://chat.brainyresolution.com/live/R4EejqGt6QdCLvade/user-info"/>
        <s v="https://chat.brainyresolution.com/live/sg2dcgrXH7yS9sL2a/room-info"/>
        <s v="https://chat.brainyresolution.com/live/hQujBEk7zZsnQY6M8/user-info"/>
        <s v="https://chat.brainyresolution.com/omnichannel-directory/chats/view/hGDZw5oKshnBhj9uN/room-info"/>
        <s v="https://chat.brainyresolution.com/live/3x4FdDqutXMZ3mzLX"/>
        <s v="https://chat.brainyresolution.com/live/BZuS5rFFnzPGWhJtv/room-info"/>
        <s v="https://chat.brainyresolution.com/live/SzRui2rJbkkG4qYcP/room-info"/>
        <s v="https://meet.google.com/gsv-aoua-eyw"/>
        <s v="https://chat.brainyresolution.com/live/ZwvRgQfTJNn8GmhwN/room-info"/>
        <s v="https://chat.brainyresolution.com/live/2rjPWWhBiQ2LyudK5/room-info"/>
        <s v="https://chat.brainyresolution.com/live/fNXmckNHagPq5LMA8/room-info"/>
        <s v="https://chat.brainyresolution.com/omnichannel-directory/chats/view/toynxpAG5WS8kcDLn/room-info"/>
        <s v="https://chat.brainyresolution.com/live/tdqAkE6RRNay882hB/room-info"/>
        <s v="https://chat.brainyresolution.com/live/9AP66FYnCtfQm8wYN/room-info"/>
        <s v="https://chat.brainyresolution.com/live/TR2pg3Fg2SWuDj2Ha/room-info"/>
        <s v="https://chat.brainyresolution.com/direct/NcmyoDSPPFwkbXMjAi2c2jSHZXRKjv2wQH"/>
        <s v="https://chat.brainyresolution.com/live/WZRRFcD538k9WGKko/room-info"/>
        <s v="https://chat.brainyresolution.com/live/yJE3KBpPFuWoK5Jqq/user-info"/>
        <s v="https://chat.brainyresolution.com/live/zg7BGnnX9biG4eXHg/room-info"/>
        <s v="https://chat.brainyresolution.com/live/gSjeKvzfTmmpKo4iE"/>
        <s v="https://chat.brainyresolution.com/live/XF24tizPDv6cjkBwy/room-info"/>
        <s v="https://chat.brainyresolution.com/live/4eTxKvQrKCaRwyxdv/user-info"/>
        <s v="https://chat.brainyresolution.com/live/wonJaXmXRfgsP7vsh/user-info"/>
        <s v="https://chat-conecta.recife.pe.gov.br/live/tc7yhyRfyPSpifvdL/room-info"/>
        <s v="https://chat-conecta.recife.pe.gov.br/live/K9x8cfu5YLXkeh6Pg/room-info"/>
        <s v="https://chat-conecta.recife.pe.gov.br/live/nJ4jdQ7qATeuSWxdh"/>
        <s v="https://chat-conecta.recife.pe.gov.br/live/XvxPADcFyL7YaArGz/user-info"/>
        <s v="https://chat-conecta.recife.pe.gov.br/omnichannel-directory/chats/view/H2DKwQFYFdr4FJSJu/room-info"/>
        <s v="https://chat-conecta.recife.pe.gov.br/live/r8GYqAr5E6vgwGWPT/room-info"/>
        <s v="https://chat-conecta.recife.pe.gov.br/live/FbCjkvxHiN6u2HXZ9"/>
        <s v="https://chat-conecta.recife.pe.gov.br/live/GExhGdmArLMGz4T4s/user-info"/>
        <s v="https://chat-conecta.recife.pe.gov.br/omnichannel-directory/chats/view/7yudWDbkYwvLd3aDM/room-info"/>
        <s v="https://chat-conecta.recife.pe.gov.br/live/vCxRg8QAX4EuT3Pzp/room-info"/>
        <s v="https://chat-conecta.recife.pe.gov.br/live/AZFq3X5YQxP6nJjR4/user-info"/>
        <s v="https://chat-conecta.recife.pe.gov.br/live/oJmefQpZ72YGkLRno/user-info"/>
        <s v="https://chat-conecta.recife.pe.gov.br/live/m7tTT344KD5QpMsFT"/>
        <s v="https://chat-conecta.recife.pe.gov.br/omnichannel-directory/chats/view/xQwY8BrgnREaYNKnH/room-info"/>
        <s v="https://chat-conecta.recife.pe.gov.br/omnichannel-directory/chats/view/DLdEmDNTaYZwdNeMq/room-info"/>
        <s v="https://chat-conecta.recife.pe.gov.br/live/NQbfS6WNadhMv7Lvi"/>
        <s v="https://chat-conecta.recife.pe.gov.br/live/FYNZ8GxosgEY7h7gr/room-info"/>
        <s v="https://chat-conecta.recife.pe.gov.br/live/ex4f6BrKHj6AMiKL6"/>
        <s v="https://chat-conecta.recife.pe.gov.br/live/oZD3tEm2dewzRYo5b/room-info"/>
        <s v="https://chat-conecta.recife.pe.gov.br/live/TfEbcpRTPmbmye8Yy/room-info"/>
        <s v="https://chat-conecta.recife.pe.gov.br/live/cpKGT2actWvgBvvby"/>
        <s v="https://chat-conecta.recife.pe.gov.br/live/Y77u9kyncEyGyLtry/user-info"/>
        <s v="https://chat-conecta.recife.pe.gov.br/live/CsjDjX9HzaXgxEpKB/user-info"/>
        <s v="https://chat-conecta.recife.pe.gov.br/omnichannel-directory/chats/view/yhBwZiHX4cGdiZMvb/room-info"/>
        <s v="https://chat-conecta.recife.pe.gov.br/omnichannel-directory/chats/view/eaPcuyrRqaprkDNxm/room-info"/>
        <s v="https://chat-conecta.recife.pe.gov.br/live/zDPkLKrhgKt7S55iC/room-info"/>
        <s v="https://chat-conecta.recife.pe.gov.br/live/x28P4PWmRojNQikS6/user-info"/>
        <s v="https://chat-conecta.recife.pe.gov.br/live/wkcmmXdmRLXWGugZb"/>
        <s v="https://chat-conecta.recife.pe.gov.br/live/finCCwKsqZPbmJ2bQ/room-info"/>
        <s v="https://chat-conecta.recife.pe.gov.br/live/2uiSoMF78jfAGTzEa/room-info"/>
        <s v="https://chat-conecta.recife.pe.gov.br/omnichannel-directory/chats/view/8eDptj7MtWfwXnktN/room-info"/>
        <s v="https://chat-conecta.recife.pe.gov.br/live/GC2A2Bx63DWyKBpPT/room-info"/>
        <s v="https://chat-conecta.recife.pe.gov.br/live/kuAHAa6sTDqf6Hjv9/user-info"/>
        <s v="https://chat-conecta.recife.pe.gov.br/live/Z5RvYzE5TqtoAFJYq/room-info"/>
        <s v="https://chat-conecta.recife.pe.gov.br/live/frntm4cDAYoff8Dq5/room-info"/>
        <s v="https://chat-conecta.recife.pe.gov.br/live/EpkudacecCCWuf57s"/>
        <s v="https://chat-conecta.recife.pe.gov.br/live/BfweEdCAe3zZDSLdw/room-info"/>
        <s v="https://chat-conecta.recife.pe.gov.br/live/8HPGWLKvp9rrRYk9j/room-info"/>
        <s v="https://chat-conecta.recife.pe.gov.br/live/5XL97kRchTiKAJgT7/room-info"/>
        <s v="https://chat-conecta.recife.pe.gov.br/live/gRA7GCfTniLJPQuxc/user-info"/>
        <s v="https://chat-conecta.recife.pe.gov.br/live/uQARBG4WKpjsLCPtj/user-info"/>
        <s v="https://chat-conecta.recife.pe.gov.br/live/rEYfbGbTCzgRRy447"/>
        <s v="https://chat-conecta.recife.pe.gov.br/live/exuY3k2bd2X29YmQE/room-info"/>
        <s v="https://chat-conecta.recife.pe.gov.br/live/2NQsqaEW9EeFvpeGm/room-info"/>
        <s v="https://chat-conecta.recife.pe.gov.br/live/8cKNa3qZTWKCPSnuE/room-info"/>
        <s v="https://chat-conecta.recife.pe.gov.br/live/ZeKBknwMJAZ4ZQEFX/room-info"/>
        <s v="https://chat-conecta.recife.pe.gov.br/live/kjRApqcgvdfwuZWHY"/>
        <s v="https://chat-conecta.recife.pe.gov.br/live/EQFM9hG6ak3RjCs7c/room-info"/>
        <s v="https://chat-conecta.recife.pe.gov.br/omnichannel-directory/chats/view/hZnXy5uvovXEvM6GZ/room-info"/>
        <s v="https://chat-conecta.recife.pe.gov.br/live/SnDn2iBGkS77jCQSs"/>
        <s v="https://chat-conecta.recife.pe.gov.br/live/j2MSBLTnhCSXXAqr7/room-info"/>
        <s v="https://chat-conecta.recife.pe.gov.br/live/X6i49KmzJFA6zm4A3#&amp;gid=1&amp;pid=3"/>
        <s v="https://chat-conecta.recife.pe.gov.br/live/JaNrq26cFqnvbdMaf"/>
        <s v="https://chat-conecta.recife.pe.gov.br/live/dbhGwsB2YHa7FriBF/room-info"/>
        <s v="https://chat-conecta.recife.pe.gov.br/live/fqEQpBr2mgCg55drN"/>
        <s v="https://chat-conecta.recife.pe.gov.br/live/Bbz3pxezvt7fXZYWY/user-info"/>
        <s v="https://chat-conecta.recife.pe.gov.br/live/zt6GAgMALLX4z52k4/room-info"/>
        <s v="https://chat-conecta.recife.pe.gov.br/live/KyHtGEvjrRqYzpeWz/room-info"/>
        <s v="https://chat-conecta.recife.pe.gov.br/live/bFCQnffiZsDhmdFGj/room-info"/>
        <s v="https://chat-conecta.recife.pe.gov.br/live/gYTpAANLe3R39vSuY"/>
        <s v="https://chat-conecta.recife.pe.gov.br/live/bMRejBNrDsw2hvai6/room-info"/>
        <s v="https://chat-conecta.recife.pe.gov.br/live/bRoahqMPdbr9wfGZd/room-info"/>
        <s v="https://chat-conecta.recife.pe.gov.br/live/NgFs7KLHbEWyhPPzC/room-info"/>
        <s v="https://chat-conecta.recife.pe.gov.br/live/gGXtaheXkC7LdoPLF/room-info"/>
        <s v="https://chat-conecta.recife.pe.gov.br/live/PcJq6nGyeyedspFzy/contact-chat-history"/>
        <s v="https://chat-conecta.recife.pe.gov.br/live/MJrTry66k7RJgrsH9"/>
        <s v="https://chat-conecta.recife.pe.gov.br/live/jHboZknEMDR8nDt4o/room-info"/>
        <s v="https://chat-conecta.recife.pe.gov.br/omnichannel-directory/chats/view/ww5FceGaQS99HtWSf/room-info"/>
        <s v="https://chat-conecta.recife.pe.gov.br/omnichannel-directory/chats/view/Q4M6jFcKDHc4NGKQn"/>
        <s v="https://chat-conecta.recife.pe.gov.br/live/AZcbFQYKnDof79GRa/room-info"/>
        <s v="https://chat-conecta.recife.pe.gov.br/live/4d6ibWsqMeHBF7dmL/room-info"/>
        <s v="https://chat-conecta.recife.pe.gov.br/live/2ABTu5i6nRFPimCFW"/>
        <s v="https://chat-conecta.recife.pe.gov.br/live/Pw9Y3YCoTXgaYDyfS"/>
        <s v="https://chat-conecta.recife.pe.gov.br/live/FtCceFRSz3tzissd4"/>
        <s v="https://chat-conecta.recife.pe.gov.br/live/z858ReWchEuGC5ErF"/>
        <s v="https://chat-conecta.recife.pe.gov.br/live/e93DRWNCn84Ar5bNe"/>
        <s v="https://chat-conecta.recife.pe.gov.br/live/WpEGYwLDi7pyekBCQ"/>
        <s v="https://chat-conecta.recife.pe.gov.br/live/mYe7Qx4Mdd3dSEWtf"/>
        <s v="https://chat-conecta.recife.pe.gov.br/live/ZYqWnovHbh6gtNrmd"/>
        <s v="https://chat-conecta.recife.pe.gov.br/live/xSo5hgWJDXWBu8BoL"/>
        <s v="https://chat-conecta.recife.pe.gov.br/live/QFHhax7kvP6esqy2k"/>
        <s v="https://chat-conecta.recife.pe.gov.br/live/rqgDAaFrCrYt5FNzk"/>
        <s v="https://chat-conecta.recife.pe.gov.br/live/dYAjoZxLRM8zhpeHG"/>
        <s v="https://chat-conecta.recife.pe.gov.br/live/yekGDJhuioPkArGPc"/>
        <s v="https://chat-conecta.recife.pe.gov.br/live/ihYGpeMSsyQJRS9Be"/>
        <s v="https://chat-conecta.recife.pe.gov.br/live/pPjjqnn2qKo9Y7RWJ"/>
        <s v="https://chat-conecta.recife.pe.gov.br/live/jFeyWCaHCNj9FEcL5/members-list"/>
        <s v="https://chat-conecta.recife.pe.gov.br/live/CjW2PfaDQcXdaLfs7/room-info"/>
        <s v="https://chat-conecta.recife.pe.gov.br/live/ts5MBWjR9HouRWeE3"/>
        <s v="https://chat-conecta.recife.pe.gov.br/live/rebZWuF8Zg7kfNcrG/room-info"/>
        <s v="https://chat-conecta.recife.pe.gov.br/omnichannel-directory/chats/view/4QfHD37tXnfrLz5o8/room-info"/>
        <s v="https://chat-conecta.recife.pe.gov.br/live/5ByRo2hakPCfn4bK6/room-info"/>
        <s v="https://chat-conecta.recife.pe.gov.br/live/uqbcWz6GvP2cBHMG4/user-info"/>
        <s v="https://chat-conecta.recife.pe.gov.br/live/aheCmggLo9Kx8b8Ej/room-info"/>
        <s v="https://chat-conecta.recife.pe.gov.br/live/c3uCrNvkmypJyWct5/members-list"/>
        <s v="https://chat-conecta.recife.pe.gov.br/live/W4yrDwfKq67FXMPTY/room-info"/>
        <s v="https://chat-conecta.recife.pe.gov.br/live/fkk5CmPyRG8cR4hnJ/room-info"/>
        <s v="https://chat-conecta.recife.pe.gov.br/omnichannel-directory/chats/view/CDEMcLLNJrpxhgYzK/room-info"/>
        <s v="https://chat-conecta.recife.pe.gov.br/live/JTLJ9FqGtBM3QeykR/user-info"/>
        <s v="https://chat-conecta.recife.pe.gov.br/live/zWtziWfM7X7uNAB5T/room-info"/>
        <s v="https://chat-conecta.recife.pe.gov.br/live/Svr8YYbXRPsnuc2kZ/room-info"/>
        <s v="https://chat-conecta.recife.pe.gov.br/live/2Mjmo7HXYgW7f89Rv/room-inf"/>
        <s v="https://chat-conecta.recife.pe.gov.br/live/yHrCkk86mDojNK4oK/room-info"/>
        <s v="https://chat-conecta.recife.pe.gov.br/live/RxZ62KH4ix3J6R2ip/room-info"/>
        <s v="https://chat-conecta.recife.pe.gov.br/live/PS6nnhHppj6GzexXv/contact-chat-history"/>
        <s v="https://chat-conecta.recife.pe.gov.br/live/RcpDGPkczT6G4ZoN2/room-info"/>
        <s v="https://chat-conecta.recife.pe.gov.br/live/WifnQdeQYhXRKPtEn/room-info"/>
        <s v="https://chat-conecta.recife.pe.gov.br/live/JBbpzqXWZFwJzjTwd/members-list"/>
        <s v="https://chat-conecta.recife.pe.gov.br/live/8E7gcehTH3G6Lp7gA/user-info"/>
        <s v="https://chat-conecta.recife.pe.gov.br/live/ouvbQ6upgcmS3KY3K"/>
        <s v="https://chat-conecta.recife.pe.gov.br/live/C5yodAGnzKxDLLKok/room-info"/>
        <s v="https://chat-conecta.recife.pe.gov.br/live/gw3DmAa8vvBQg5byY/room-info"/>
        <s v="https://chat-conecta.recife.pe.gov.br/live/nYxiP8e64mwc4yqWR/room-info"/>
        <s v="https://chat-conecta.recife.pe.gov.br/live/PzAMA5NpTBCFQqyGd"/>
        <s v="https://chat-conecta.recife.pe.gov.br/live/pXjaTQk8of24D556Z"/>
        <s v="https://chat-conecta.recife.pe.gov.br/live/psEWX6uPybPGmShHw/user-info"/>
        <s v="https://chat-conecta.recife.pe.gov.br/live/nkiWYsgrf4a6s3unA"/>
        <s v="https://chat-conecta.recife.pe.gov.br/live/tmDhrTaSHvDzx7NKM/members-list"/>
        <s v="https://chat-conecta.recife.pe.gov.br/live/bu6MtwcioADXp2wCh"/>
        <s v="https://chat-conecta.recife.pe.gov.br/live/Xgw3dkbdfwu8KZBQk/room-info"/>
        <s v="https://chat-conecta.recife.pe.gov.br/live/Cf2w3YAScmrEJcggJ#&amp;gid=1&amp;pid=5"/>
        <s v="https://chat-conecta.recife.pe.gov.br/live/DTg8k4WDhqW4XwrMp/room-info"/>
        <s v="https://chat-conecta.recife.pe.gov.br/live/FJG3JspZgcy6TGkEm"/>
        <s v="https://chat-conecta.recife.pe.gov.br/live/egvzzP283RvEfgG32"/>
        <s v="https://chat-conecta.recife.pe.gov.br/live/26Ben5qB8xdYiA8RX"/>
        <s v="https://chat-conecta.recife.pe.gov.br/live/jQ7FLCcjqRWpYYQNM/members-list"/>
        <s v="https://chat-conecta.recife.pe.gov.br/live/reEuZnpvzMBZkJDfN/room-info"/>
        <s v="https://chat-conecta.recife.pe.gov.br/live/ngoFinHDN8kSCBuYR/room-info"/>
        <s v="https://chat-conecta.recife.pe.gov.br/live/XN4BE566Ctz8HBFuT/room-info#&amp;gid=1&amp;pid=4"/>
        <s v="https://chat-conecta.recife.pe.gov.br/live/FqD6ho6JG6uyeatvy"/>
        <s v="https://chat-conecta.recife.pe.gov.br/live/Ji9BGftkSTxW3jYmP/room-info"/>
        <s v="https://chat-conecta.recife.pe.gov.br/live/f4qAQYMYfvWsLvGEs/room-info#&amp;gid=1&amp;pid=7"/>
        <s v="https://chat-conecta.recife.pe.gov.br/live/HJn5SNbbmmxqAxWWL/contact-chat-history"/>
        <s v="https://chat-conecta.recife.pe.gov.br/live/uJX7r34WhoQwcvWWc"/>
        <s v="https://chat-conecta.recife.pe.gov.br/live/C7CnTzrkHXPgYokmZ"/>
        <s v="https://chat-conecta.recife.pe.gov.br/live/XQsfZQumE42ZtL78W/user-info"/>
        <s v="https://chat-conecta.recife.pe.gov.br/live/mKErvR6p2CdyNNP4z"/>
        <s v="https://chat-conecta.recife.pe.gov.br/live/dHF8NTjG5PwRXhjz9"/>
        <s v="https://chat-conecta.recife.pe.gov.br/live/s7SGNTMBTKYKzroSR/room-info"/>
        <s v="https://chat-conecta.recife.pe.gov.br/live/qAWzX3kxtRNv3y3Ah/room-info"/>
        <s v="https://chat-conecta.recife.pe.gov.br/live/JCL7MfqdBHzotCRfT"/>
        <s v="https://chat-conecta.recife.pe.gov.br/live/6M4dZyi3zNRp293Ny"/>
        <s v="https://chat-conecta.recife.pe.gov.br/live/5xNcAwudCi6ufEF8F"/>
        <s v="https://chat-conecta.recife.pe.gov.br/live/4d6h8L9qL6WB6Ngfo"/>
        <s v="https://chat-conecta.recife.pe.gov.br/live/R38MCTwrzu3CT499M/room-info"/>
        <s v="https://chat-conecta.recife.pe.gov.br/live/d9hdoq8cnvWfckEZb"/>
        <s v="https://chat-conecta.recife.pe.gov.br/live/MyYpWGeZCzNqPRCDT"/>
        <s v="https://chat-conecta.recife.pe.gov.br/live/ajDiNA5DvmXzeWyTw"/>
        <s v="https://chat-conecta.recife.pe.gov.br/live/zrAmbggNHgzxPbvjp/room-info"/>
        <s v="https://chat-conecta.recife.pe.gov.br/live/KTdp7TJzfqp83g8rk"/>
        <s v="https://chat-conecta.recife.pe.gov.br/live/5sZJex4zqaHvyTXRr/room-info"/>
        <s v="https://chat-conecta.recife.pe.gov.br/live/y44RafAdptzXoA6sc/room-info"/>
        <s v="https://chat-conecta.recife.pe.gov.br/live/K87C63G57tBP9Pura"/>
        <s v="https://chat-conecta.recife.pe.gov.br/live/qgu6xKK6DLc2ZXEKc/room-info"/>
        <s v="https://chat-conecta.recife.pe.gov.br/live/FsrKrBH3FMueHdbGe"/>
        <s v="https://chat-conecta.recife.pe.gov.br/live/tRXLLw35arhbfy6f8"/>
        <s v="https://chat-conecta.recife.pe.gov.br/live/7Bj2BMaF3pomKH3c8/room-info"/>
        <s v="https://chat-conecta.recife.pe.gov.br/live/8eAqqFcqkD8EfKvr6"/>
        <s v="https://chat-conecta.recife.pe.gov.br/live/fD4keojixPDeemMak"/>
        <s v="https://chat-conecta.recife.pe.gov.br/live/ALRaCiMckCoRSHpfz"/>
        <s v="https://chat-conecta.recife.pe.gov.br/live/73aeAxSh4433vx5nT"/>
        <s v="https://chat-conecta.recife.pe.gov.br/live/9GpLwM6PoGuB5zxwj/room-info"/>
        <s v="https://chat-conecta.recife.pe.gov.br/live/wLHgaQtZvBHJaKjaP/user-info"/>
        <s v="https://chat-conecta.recife.pe.gov.br/live/3FyCo8kFLnLuuvLo9/members-list"/>
        <s v="https://chat-conecta.recife.pe.gov.br/live/86B4Pxcodyjo9Xuza/room-info"/>
        <s v="https://chat-conecta.recife.pe.gov.br/live/H9SjNJJDYWiCmcYzP"/>
        <s v="https://chat-conecta.recife.pe.gov.br/live/ykcb3iTQiRcH5i6z6"/>
        <s v="https://chat-conecta.recife.pe.gov.br/live/CJGyKfZaJq3DkNh22"/>
        <s v="https://chat-conecta.recife.pe.gov.br/live/KhtZvPxw9BWSzqiX9/room-info"/>
        <s v="https://chat-conecta.recife.pe.gov.br/live/QigL6yYCPhvLaNctk/room-info"/>
        <s v="https://chat-conecta.recife.pe.gov.br/live/GJ6ojea7Fn6faTMRL/room-info"/>
        <s v="https://chat-conecta.recife.pe.gov.br/live/JYmwwNSpWRtxcSpFq"/>
        <s v="https://chat-conecta.recife.pe.gov.br/live/tPZsX7YyXz3FHkHPt"/>
        <s v="https://chat-conecta.recife.pe.gov.br/live/f9RnuSPKJryNLocDn/room-info"/>
        <s v="https://chat-conecta.recife.pe.gov.br/live/2G8m5NqkHEg9CARs2"/>
        <s v="https://chat-conecta.recife.pe.gov.br/live/hFNFA9S3J63kzmvTx"/>
        <s v="https://chat-conecta.recife.pe.gov.br/live/k6idPn29ShxrhceJE"/>
        <s v="https://chat-conecta.recife.pe.gov.br/live/QKpizpY9bFdFvWhsC"/>
        <s v="https://chat-conecta.recife.pe.gov.br/live/4sK8cgSQo28JKXvj5"/>
        <s v="https://chat-conecta.recife.pe.gov.br/live/MeqRAbzJ8zLfgBQyQ"/>
        <s v="https://chat-conecta.recife.pe.gov.br/live/cRsSquWYNKLkeHvPb"/>
        <s v="https://chat-conecta.recife.pe.gov.br/live/GYC3QR6iYn8e6GEM2/room-info"/>
        <s v="https://chat-conecta.recife.pe.gov.br/live/QJB57eeau4nDJQ4D6"/>
        <s v="https://chat-conecta.recife.pe.gov.br/live/5oYySd2tB7vu7SBz2"/>
        <s v="https://chat-conecta.recife.pe.gov.br/live/WQBx7HhJJ8xWEeY7G"/>
        <s v="https://chat-conecta.recife.pe.gov.br/live/nLu6osSqEuMqN4ogZ"/>
        <s v="https://chat-conecta.recife.pe.gov.br/live/RnRsSvwLepg5xQYMK/user-info"/>
        <s v="https://chat-conecta.recife.pe.gov.br/live/J6CnHwNK2TYn4CoxG"/>
        <s v="https://chat-conecta.recife.pe.gov.br/live/jiALQqAWX2ut6Kf87"/>
        <s v="https://chat-conecta.recife.pe.gov.br/live/3dDmB5LEPoZwvzfyC"/>
        <s v="https://chat-conecta.recife.pe.gov.br/live/wjknzXc5SdJJ8p9pF/user-info"/>
        <s v="https://chat-conecta.recife.pe.gov.br/live/C4ovtkGsaDefWx6Q3"/>
        <s v="https://chat-conecta.recife.pe.gov.br/live/MDMX4sBnk4BuytErv/user-info"/>
        <s v="https://chat-conecta.recife.pe.gov.br/live/tX3KMbRzZvHb44gWG"/>
        <s v="https://chat-conecta.recife.pe.gov.br/live/cZ5afA9aswQQHGHGL/user-info"/>
        <s v="https://chat-conecta.recife.pe.gov.br/live/4YJXiE6tWzbXsPnmN"/>
        <s v="https://chat-conecta.recife.pe.gov.br/live/hv8ozhsrCefAYf224"/>
        <s v="https://chat-conecta.recife.pe.gov.br/live/AiZtk26aQmuGTfyCM/user-info"/>
        <s v="https://chat-conecta.recife.pe.gov.br/live/EN6zx9cmkDyEZwyXq"/>
        <s v="https://chat-conecta.recife.pe.gov.br/live/RMRKdc4C5BsLFd9XA/user-info"/>
        <s v="https://chat-conecta.recife.pe.gov.br/live/WZZJ47igGCEqbmrMx"/>
        <s v="https://chat-conecta.recife.pe.gov.br/live/793BsmqTmLxvhLdDB"/>
        <s v="https://chat-conecta.recife.pe.gov.br/live/MLkrhpE2mo3Zf6qAY"/>
        <s v="https://chat-conecta.recife.pe.gov.br/live/T2DzJZDb5uzmiSFC3"/>
        <s v="https://chat-conecta.recife.pe.gov.br/live/wBZWCZRSTSpsGfPbo/user-info"/>
        <s v="https://chat-conecta.recife.pe.gov.br/live/pfG85bswFWC6Xfu2B/room-info"/>
        <s v="https://chat-conecta.recife.pe.gov.br/live/R2vmaEuesnimaSx5P"/>
        <s v="https://chat-conecta.recife.pe.gov.br/live/cjb5cZm3iZaDFNnWc/user-info"/>
        <s v="https://chat-conecta.recife.pe.gov.br/live/aKoMMN3SX3cENnqus"/>
        <s v="https://chat-conecta.recife.pe.gov.br/live/7hbCfBbtKAiNoN9KZ"/>
        <s v="https://chat-conecta.recife.pe.gov.br/live/fcumqhPDfBKyBKQvP/room-info"/>
        <s v="https://chat-conecta.recife.pe.gov.br/live/d3KsZeJWmPzj8y3rt/user-info"/>
        <s v="https://chat-conecta.recife.pe.gov.br/live/4XJ3zuEtFogaaGhyY/room-info"/>
        <s v="https://chat-conecta.recife.pe.gov.br/live/qBs9n2Qjv72FBxKDm"/>
        <s v="https://chat-conecta.recife.pe.gov.br/omnichannel-directory/chats/view/8SNs3dsnLs8wrRHQn"/>
        <s v="https://chat-conecta.recife.pe.gov.br/live/pLyELzcJPqGReDKHZ/user-info"/>
        <s v="https://chat-conecta.recife.pe.gov.br/live/5z8xo8AeQhuMfiGwm/user-info"/>
        <s v="https://chat-conecta.recife.pe.gov.br/live/ubGQFaxwmhxKcQM4J/room-info"/>
        <s v="https://chat-conecta.recife.pe.gov.br/live/q9Bm9QzPFraHXDxkZ/members-list"/>
        <s v="https://chat-conecta.recife.pe.gov.br/live/xRxPMbf6opH5XELwc"/>
        <s v="https://chat-conecta.recife.pe.gov.br/live/HvFduHPF7oB5RSXLu"/>
        <s v="https://chat-conecta.recife.pe.gov.br/live/Pnsb2TosFh7RxtDcN"/>
        <s v="https://chat-conecta.recife.pe.gov.br/live/mJfGf5cPBf3FCbWfa/room-info"/>
        <s v="https://chat-conecta.recife.pe.gov.br/live/p7agoBdgGSNWDgext"/>
        <s v="https://chat-conecta.recife.pe.gov.br/live/N48iPCZ2xcbsycWB3/room-info"/>
        <s v="https://chat-conecta.recife.pe.gov.br/live/s6o4KCSvKSMnH9gWS/user-info"/>
        <s v="https://chat-conecta.recife.pe.gov.br/live/wvcBuPawFZnmkeiKz/room-info"/>
        <s v="https://chat-conecta.recife.pe.gov.br/omnichannel-directory/chats/view/mGXJWwKQJv4M46wjq/room-info"/>
        <s v="https://chat-conecta.recife.pe.gov.br/live/FEbFqzuu6snQNTkSE/room-info"/>
        <s v="https://chat-conecta.recife.pe.gov.br/live/qoSNQuAyu65dzfS6D/room-info"/>
        <s v="https://chat-conecta.recife.pe.gov.br/live/DxajKj5irifgwCyDs/room-info"/>
        <s v="https://chat-conecta.recife.pe.gov.br/live/rzRrKzgEYfT3saxCJ/user-info"/>
        <s v="https://chat-conecta.recife.pe.gov.br/live/hisCgH4aPCMvvTMN2/room-info"/>
        <s v="https://chat-conecta.recife.pe.gov.br/live/XdetrSSMRryzADLzP/room-info"/>
        <s v="https://chat-conecta.recife.pe.gov.br/live/pvvshwnvAfuj2gsMe/user-info"/>
        <s v="https://chat-conecta.recife.pe.gov.br/live/pHvTLiY3YJBPZSEeT"/>
        <s v="https://chat-conecta.recife.pe.gov.br/live/kzhpu6ExXb8yjWWxs"/>
        <s v="https://chat-conecta.recife.pe.gov.br/live/jNfmWqDWsLwmqP8io/room-info"/>
        <s v="https://chat-conecta.recife.pe.gov.br/live/L643Fb93Kij2kX5Eb/user-info"/>
        <s v="https://chat-conecta.recife.pe.gov.br/live/GpaYYmnupDTZznWcG"/>
        <s v="https://chat-conecta.recife.pe.gov.br/live/BuCz7Xed8HLuMgr7H/room-info"/>
        <s v="https://chat-conecta.recife.pe.gov.br/live/fsP6CrxEu5mJ3rrMv"/>
        <s v="https://chat-conecta.recife.pe.gov.br/live/ZurN4hzh97k2fxL4m/user-info"/>
        <s v="https://chat-conecta.recife.pe.gov.br/live/5B93yNxNMkzdLt5Y4"/>
        <s v="https://chat-conecta.recife.pe.gov.br/live/5g9hf3Btciz6RKSro"/>
        <s v="https://chat-conecta.recife.pe.gov.br/live/m9eH8esjhZzgB2Dyt"/>
        <s v="https://chat-conecta.recife.pe.gov.br/live/X4XheMmbxzud2SvZJ"/>
        <s v="https://chat-conecta.recife.pe.gov.br/live/77GHgzgMdRFbPvHiq#&amp;gid=1&amp;pid=3"/>
        <s v="https://chat-conecta.recife.pe.gov.br/live/Cpkxo5qFB8QkFMK4P/user-info"/>
        <s v="https://chat-conecta.recife.pe.gov.br/live/qpLDn9EKzdv5uqGoZ/room-info"/>
        <s v="https://chat-conecta.recife.pe.gov.br/live/YGzKJaSWehkx9uWpj/room-info"/>
        <s v="https://chat-conecta.recife.pe.gov.br/live/bEpTmdRdsGuNJJfEd/room-info"/>
        <s v="https://chat-conecta.recife.pe.gov.br/live/ucLzv2vDnYWrQrLLw/room-info"/>
        <s v="https://chat-conecta.recife.pe.gov.br/omnichannel-directory/chats/view/T8gESdjdNeD4KHbkE"/>
        <s v="https://chat-conecta.recife.pe.gov.br/live/LnNf2jJC4eWqdJCbi/members-list"/>
        <s v="https://chat-conecta.recife.pe.gov.br/live/R6ZChdpQzG4ewFYAB/room-info"/>
        <s v="https://chat-conecta.recife.pe.gov.br/live/hKkTX5kstAmHXbS5p/room-info"/>
        <s v="https://chat-conecta.recife.pe.gov.br/live/uJKDTh2hsrvjJNiwZ/room-info"/>
        <s v="https://chat-conecta.recife.pe.gov.br/live/eQbtZZhzkLJELB5mC"/>
        <s v="https://chat-conecta.recife.pe.gov.br/live/EThC4wQChFHJycp4Y/user-info"/>
        <s v="https://chat-conecta.recife.pe.gov.br/live/KKwY6tjiRf7nXo4Lm/user-info"/>
        <s v="https://chat-conecta.recife.pe.gov.br/live/EWYeSfFGgaW4f9Qgm"/>
        <s v="https://chat-conecta.recife.pe.gov.br/live/nTZCvJWe3BNEYYmBu"/>
        <s v="https://chat-conecta.recife.pe.gov.br/live/nwx4J5XacJQDZL8h9"/>
        <s v="https://chat-conecta.recife.pe.gov.br/live/hEuxna8bHfKjWDk6p/room-info"/>
        <s v="https://chat-conecta.recife.pe.gov.br/live/tNhKPRpuicHkeJ46S/room-info"/>
        <s v="https://chat-conecta.recife.pe.gov.br/live/9sD9mrSx9ZgkwWnG4"/>
        <s v="https://chat-conecta.recife.pe.gov.br/live/5WS5qjTe5WecM8rez/user-info"/>
        <s v="https://chat-conecta.recife.pe.gov.br/live/TMRnqErcwEsjsGDMv"/>
        <s v="https://chat-conecta.recife.pe.gov.br/live/wyxToaeYRS4RDSseP/user-info"/>
        <s v="https://chat-conecta.recife.pe.gov.br/live/h3ggcuHQz2AHchky5"/>
        <s v="https://chat-conecta.recife.pe.gov.br/live/WL7wiYM5ft"/>
        <s v="https://chat-conecta.recife.pe.gov.br/live/WywfPYywXSZmq7Bha"/>
        <s v="https://chat-conecta.recife.pe.gov.br/live/TABf6vNCQKJQij4C5"/>
        <s v="https://chat-conecta.recife.pe.gov.br/live/9pEbyuxrv7vfAB9JC/user-info"/>
        <s v="https://chat-conecta.recife.pe.gov.br/live/E9MnafrXRHXgwhQg9"/>
        <s v="https://chat-conecta.recife.pe.gov.br/live/HgtZ6fTkGDkMyraJ4#&amp;gid=1&amp;pid=4"/>
        <s v="https://chat-conecta.recife.pe.gov.br/live/miifKxkgztCgdgBc6"/>
        <s v="https://chat-conecta.recife.pe.gov.br/live/qF2xWyZQTwvikZqum/room-info"/>
        <s v="https://chat-conecta.recife.pe.gov.br/live/TfxzphDR2C948mnk8"/>
        <s v="https://chat-conecta.recife.pe.gov.br/live/K3bY7GwqA2YG2etio/user-info"/>
        <s v="https://chat-conecta.recife.pe.gov.br/live/4Wd5hihZNxJL3fZzT"/>
        <s v="https://chat-conecta.recife.pe.gov.br/live/u84QCyJBEQHWaSqsc"/>
        <s v="https://chat-conecta.recife.pe.gov.br/live/u2RNWNjg4S49vLrnP/user-info"/>
        <s v="https://chat-conecta.recife.pe.gov.br/live/34jDtqtrDAiBv3bCM"/>
        <s v="https://chat-conecta.recife.pe.gov.br/live/3vnpKaTnjrd6vsdJe/user-info"/>
        <s v="https://chat-conecta.recife.pe.gov.br/live/R9ffWzkfZpvvQq7p6/user-info"/>
        <s v="https://chat-conecta.recife.pe.gov.br/live/nbE6NYQuxEkwsfDBP/user-info"/>
        <s v="https://chat-conecta.recife.pe.gov.br/live/cQLvW7NwNeFRZdSK7/user-info"/>
        <s v="https://chat-conecta.recife.pe.gov.br/live/jgSGX9bpP7RpC8GBR"/>
        <s v="https://chat-conecta.recife.pe.gov.br/live/ybSxw6NBZFzhFpaPm/room-info"/>
        <s v="https://chat-conecta.recife.pe.gov.br/omnichannel-directory/chats/view/ShD3RJjwiGo2pocKu/room-info"/>
        <s v="https://chat-conecta.recife.pe.gov.br/live/SaQ9gY92RWAhxRd7n/user-info"/>
        <s v="https://chat-conecta.recife.pe.gov.br/live/9ym8LveJLBfvE3qYR/user-info"/>
        <s v="https://chat-conecta.recife.pe.gov.br/live/kgtD9X4m7A8v9QjpS"/>
        <s v="https://chat-conecta.recife.pe.gov.br/live/tbpKedXxbo5W8AFha/members-list"/>
        <s v="https://chat-conecta.recife.pe.gov.br/omnichannel-directory/chats/view/AxBQfb53bMLDaJDTZ/room-info"/>
        <s v="https://chat-conecta.recife.pe.gov.br/live/MRJjCwZTsTddX2hCJ/user-info"/>
        <s v="https://chat-conecta.recife.pe.gov.br/live/4f8XjkgJ3fpFc6h6e/room-info"/>
        <s v="https://chat-conecta.recife.pe.gov.br/live/3cN2HBJf7TATwtF83/room-info"/>
        <s v="https://chat-conecta.recife.pe.gov.br/live/dxTnpesE2DueBRyTT/members-list"/>
        <s v="https://chat-conecta.recife.pe.gov.br/live/zL9CDX4TmiGL7RZa8"/>
        <s v="https://chat-conecta.recife.pe.gov.br/live/x7D7yzm6tGatdjy8n/room-info"/>
        <s v="https://chat-conecta.recife.pe.gov.br/omnichannel-directory/chats/view/RNkN2GdyEpNmGTEqj/room-info"/>
        <s v="https://chat-conecta.recife.pe.gov.br/direct/9DDXcgmpmFt3JMM58TQcuSEArNi4YqW2MZ"/>
        <s v="https://chat-conecta.recife.pe.gov.br/live/dSX7enYC9jgK6j7cq"/>
        <s v="https://chat-conecta.recife.pe.gov.br/live/7ik7WiwjkTdC2BS6X"/>
        <s v="https://chat-conecta.recife.pe.gov.br/live/AJ49EijrDZX5G2DFC"/>
        <s v="https://chat-conecta.recife.pe.gov.br/live/2XeuA4jDKvc2NSikT/room-info"/>
        <s v="https://chat-conecta.recife.pe.gov.br/live/vJtYN95y7h3GwYCtj/user-info"/>
        <s v="https://chat-conecta.recife.pe.gov.br/live/Nuownrgf5oF776qiZ"/>
        <s v="https://chat-conecta.recife.pe.gov.br/live/mekEqDjc6wbnzdj7k/user-info#&amp;gid=1&amp;pid=4"/>
        <s v="https://chat-conecta.recife.pe.gov.br/live/6n9ftZLqquKcpbQu9/user-info"/>
        <s v="https://chat-conecta.recife.pe.gov.br/omnichannel-directory/chats/view/HjP4rCbhZvBEGFrSC"/>
        <s v="https://chat-conecta.recife.pe.gov.br/live/D5WjvZume8NsboLoa/user-info"/>
        <s v="https://chat-conecta.recife.pe.gov.br/live/nAhSynitkBekefoAq/user-info"/>
        <s v="https://chat-conecta.recife.pe.gov.br/live/EaKQZtuifFYMa8QDg/user-info"/>
        <s v="https://chat-conecta.recife.pe.gov.br/live/uFtpWgcC3QiGaaZ3h"/>
        <s v="https://chat-conecta.recife.pe.gov.br/live/XewiedrmYo3NKhRBF"/>
        <s v="https://chat-conecta.recife.pe.gov.br/live/4e7pWqi78u36zfWMf/user-info#&amp;gid=1&amp;pid=4"/>
        <s v="https://chat-conecta.recife.pe.gov.br/live/uw3NHHSnpKsJ7S7Ps/user-info"/>
        <s v="https://chat-conecta.recife.pe.gov.br/live/zyzDnbev5qiQ6NkaK"/>
        <s v="https://chat-conecta.recife.pe.gov.br/omnichannel-directory/chats/view/iJgJQFXgXWF5vBCD5"/>
        <s v="https://chat-conecta.recife.pe.gov.br/live/DuaSxpoc2PTCTf95k/room-info"/>
        <s v="https://chat-conecta.recife.pe.gov.br/live/SCwZB43bs3vzy5gTf/room-info"/>
        <s v="https://chat-conecta.recife.pe.gov.br/live/oHZJjZvruALqsntDg"/>
        <s v="https://chat-conecta.recife.pe.gov.br/live/KEGnCFoh2ujrzkwfT"/>
        <s v="https://chat-conecta.recife.pe.gov.br/live/hftbkgDbwpg6GaSzi/user-info"/>
        <s v="https://chat-conecta.recife.pe.gov.br/live/CxmEHvLrRAmj2Kgzk/user-info"/>
        <s v="https://chat-conecta.recife.pe.gov.br/live/eHcsJ6ig4jmhfts34"/>
        <s v="https://chat-conecta.recife.pe.gov.br/omnichannel-directory/chats/view/6WDXR7o8x8mfv2o4Q"/>
        <s v="https://chat-conecta.recife.pe.gov.br/live/WxHKLMNdCnL68dSpt/room-info"/>
        <s v="https://chat-conecta.recife.pe.gov.br/live/3xiPPRLE3gx8Yv53w"/>
        <s v="https://chat-conecta.recife.pe.gov.br/live/H6q3nfX9MWhywQM4f/user-info"/>
        <s v="https://chat-conecta.recife.pe.gov.br/direct/9DDXcgmpmFt3JMM58NcmyoDSPPFwkbXMjA"/>
        <s v="https://chat-conecta.recife.pe.gov.br/live/aZhxETHA4qdwDmdop/user-info"/>
        <s v="https://chat-conecta.recife.pe.gov.br/live/SAt5rm4fgfKbZkhkL"/>
        <s v="https://chat-conecta.recife.pe.gov.br/live/hqESioDsgkC7tG4dd/room-info"/>
        <s v="https://chat-conecta.recife.pe.gov.br/live/bf5LQHyprZ2cTZySX"/>
        <s v="https://chat-conecta.recife.pe.gov.br/omnichannel-directory/chats/view/5WhmNNhw275RxACZs/room-info"/>
        <s v="https://chat-conecta.recife.pe.gov.br/live/jtjSmJHNP5kvBXqFC/room-info"/>
        <s v="https://chat-conecta.recife.pe.gov.br/live/bT23zKeSWL4CxpKjb/room-info"/>
        <s v="https://chat-conecta.recife.pe.gov.br/live/J4C3kmHHkZCzY2suq/room-info"/>
        <s v="https://chat-conecta.recife.pe.gov.br/live/MdHoASDQqS5nDcDgq"/>
        <s v="https://chat-conecta.recife.pe.gov.br/live/7oxQJtA8bZxHM5pTY/members-list"/>
        <s v="https://chat-conecta.recife.pe.gov.br/live/jfYRaadEZyExva5di/room-info"/>
        <s v="https://chat-conecta.recife.pe.gov.br/live/SZ7bLje7RiY2q4bBi/room-info"/>
        <s v="https://chat-conecta.recife.pe.gov.br/live/CKEQ67Y4RKTNttNzq"/>
        <s v="https://chat-conecta.recife.pe.gov.br/live/evDroRMP7ADwt4iMn"/>
        <s v="https://chat-conecta.recife.pe.gov.br/live/PXsxvdmW6PyCdjzcn"/>
        <s v="https://chat-conecta.recife.pe.gov.br/live/Rp2uAtgqWRdLfoyGk/room-info"/>
        <s v="https://chat-conecta.recife.pe.gov.br/live/jLATi78fRSpFX4s7W"/>
        <s v="https://chat-conecta.recife.pe.gov.br/live/2Hwdrk5nZhyAcHr3j"/>
        <s v="https://chat-conecta.recife.pe.gov.br/live/ytbQNpFFpfAjec9TY/members-list"/>
        <s v="https://chat-conecta.recife.pe.gov.br/live/KWRrFujNCZRsLaCFC"/>
        <s v="https://chat-conecta.recife.pe.gov.br/live/6XPQQHbRCfs4Rq3aZ"/>
        <s v="https://chat-conecta.recife.pe.gov.br/live/dTQ3qE7oukKNpo72D"/>
        <s v="https://chat-conecta.recife.pe.gov.br/omnichannel-directory/chats/view/HtkoLhL5nfdrMvdKJ/room-info"/>
        <s v="https://chat-conecta.recife.pe.gov.br/live/zGe8KhrzFAbn2EjxR/room-info"/>
        <s v="https://chat-conecta.recife.pe.gov.br/live/heYXCgpSowCDsTQD2/room-info"/>
        <s v="https://chat-conecta.recife.pe.gov.br/live/evTiafidrQAAFpHms"/>
        <s v="https://chat-conecta.recife.pe.gov.br/live/RmWckvWoYF8A3wp59"/>
        <s v="https://chat-conecta.recife.pe.gov.br/live/wqmFQN84wTQsAeiaF/room-info"/>
        <s v="https://chat-conecta.recife.pe.gov.br/live/uxqtezwCGC37f4ju3/user-info"/>
        <s v="https://chat-conecta.recife.pe.gov.br/live/GYq2nZoGxHaNNfabY/room-info"/>
        <s v="https://chat-conecta.recife.pe.gov.br/live/npiPb4KkctNMfYHr7/room-info"/>
        <s v="https://chat-conecta.recife.pe.gov.br/omnichannel-directory/chats/view/qsEwSyN3Xi4F5BNfk#&amp;gid=1&amp;pid=1"/>
        <s v="https://chat-conecta.recife.pe.gov.br/live/PtFArmYXsqJDAxpEu"/>
        <s v="https://chat-conecta.recife.pe.gov.br/live/NjQyPJfX33Fox9MF5/members-list"/>
        <s v="https://chat-conecta.recife.pe.gov.br/live/AHdLbJKSsWKkznkEf/user-info"/>
        <s v="https://chat-conecta.recife.pe.gov.br/live/dtYC7zpeR7jvcxs5s"/>
        <s v="https://chat-conecta.recife.pe.gov.br/live/NWy8fvQ3RKnEt4oNH#&amp;gid=1&amp;pid=9"/>
        <s v="https://chat-conecta.recife.pe.gov.br/live/CsbhzhYgS3G9h5MGC/room-info"/>
        <s v="https://chat-conecta.recife.pe.gov.br/live/HeNbNXRRQAsjeYdNu/members-list"/>
        <s v="https://chat-conecta.recife.pe.gov.br/live/nREB6dRLKiM4zrHjr/room-info"/>
        <s v="https://chat-conecta.recife.pe.gov.br/live/9x2Zj6bi7Pp7EDHSe"/>
        <s v="https://chat-conecta.recife.pe.gov.br/live/NHLvgyBvFhw5tJwsT#&amp;gid=1&amp;pid=1"/>
        <s v="https://chat-conecta.recife.pe.gov.br/live/73fhEmNukJSdeSAps/room-info"/>
        <s v="https://chat-conecta.recife.pe.gov.br/live/5JfR9KNn6cHHtHty3"/>
        <s v="https://chat-conecta.recife.pe.gov.br/omnichannel-directory/chats/view/FnBLQrGGAPBSRo9hZ/room-info"/>
        <s v="https://chat-conecta.recife.pe.gov.br/live/JigFnCfTnGBGKj7Pr/room-info"/>
        <s v="https://chat-conecta.recife.pe.gov.br/live/dfx8bq8MZDHthAhhy"/>
        <s v="https://chat-conecta.recife.pe.gov.br/live/ckE7dHvTTmZLwqrZF"/>
        <s v="https://chat-conecta.recife.pe.gov.br/live/5WBawtTGCAM2PuE2Z/user-info"/>
        <s v="https://chat-conecta.recife.pe.gov.br/live/pMrmBfeH7he9QtY9v/user-info"/>
        <s v="https://chat-conecta.recife.pe.gov.br/live/SLpgNM8Qaa7Szv269"/>
        <s v="https://chat-conecta.recife.pe.gov.br/live/D4gxswpCPMrwehrgc/members-list"/>
        <s v="https://chat-conecta.recife.pe.gov.br/live/w6ZaKPeYQD6u7tknT"/>
        <s v="https://chat-conecta.recife.pe.gov.br/live/YDC56o6orpYBudab7"/>
        <s v="https://chat-conecta.recife.pe.gov.br/live/DqyYkTKvssfjKzYt6"/>
        <s v="https://chat-conecta.recife.pe.gov.br/live/gpbx3fK755rmnQvNo/user-info"/>
        <s v="https://chat-conecta.recife.pe.gov.br/live/Zfew6L6nAsNicsWZK"/>
        <s v="https://chat-conecta.recife.pe.gov.br/live/PiNBwe6v3WheJ7a4p"/>
        <s v="https://chat-conecta.recife.pe.gov.br/live/X7xa5JLL2T5DE9KRp"/>
        <s v="https://chat-conecta.recife.pe.gov.br/live/Z9zKiTZ7gZRiEqjZ7/members-list"/>
        <s v="https://chat-conecta.recife.pe.gov.br/live/8K7mM5Ku2TrH69X23"/>
        <s v="https://chat-conecta.recife.pe.gov.br/live/XPCkqvFBtwPBJwfwR"/>
        <s v="https://chat-conecta.recife.pe.gov.br/live/Lpnh4LDx5dimZk99F"/>
        <s v="https://chat-conecta.recife.pe.gov.br/live/B3mNBycZyHFa9r6py"/>
        <s v="https://chat-conecta.recife.pe.gov.br/live/dwRWD6srjTzWsD9Cz"/>
        <s v="https://chat-conecta.recife.pe.gov.br/live/LtcfxNSaFj2cSBW9H"/>
        <s v="https://chat-conecta.recife.pe.gov.br/live/SFxdwa79sJ8py2cPc"/>
        <s v="https://chat-conecta.recife.pe.gov.br/live/jABwMLkvnRFDbFFTG/user-info"/>
        <s v="https://chat-conecta.recife.pe.gov.br/live/4o7BYXMBosKBBrqBv"/>
        <s v="https://chat-conecta.recife.pe.gov.br/live/K82TjozBXLwFcdeP7/user-info"/>
        <s v="https://chat-conecta.recife.pe.gov.br/live/gM73uqmL2T5CNvawe"/>
        <s v="https://chat-conecta.recife.pe.gov.br/live/P7x4nyBLpRG7Lrsvf"/>
        <s v="https://chat-conecta.recife.pe.gov.br/live/QNdahEsWgXtW8wyni/uploaded-files-list"/>
        <s v="https://chat-conecta.recife.pe.gov.br/live/b57vCox8kXS8mE6Bp/room-info"/>
        <s v="https://chat-conecta.recife.pe.gov.br/live/9AeaRH9NC6zTGwnxs/user-info"/>
        <s v="https://chat-conecta.recife.pe.gov.br/live/RYqP6JcixphEtMmtK"/>
        <s v="https://chat-conecta.recife.pe.gov.br/live/vMrygR4Sroq57B634/user-info"/>
        <s v="https://chat-conecta.recife.pe.gov.br/live/QjjSbvJE2AwxhNEXz/user-info"/>
        <s v="https://chat-conecta.recife.pe.gov.br/live/qiHi6PS2gE8jozMfQ"/>
        <s v="https://chat-conecta.recife.pe.gov.br/live/fiX4FnZoyN5ubW7m3/room-info"/>
        <s v="https://chat-conecta.recife.pe.gov.br/live/uYDghbmpAWJpj7vWG/room-info"/>
        <s v="https://chat-conecta.recife.pe.gov.br/live/dTKbwuTrwPZwkyQNr"/>
        <s v="https://chat-conecta.recife.pe.gov.br/omnichannel-directory/chats/view/nJS8tA8f6pNgMWw7f"/>
        <s v="https://chat-conecta.recife.pe.gov.br/live/KstsxzZsf9WyJbs6M/user-info"/>
        <s v="https://chat-conecta.recife.pe.gov.br/live/SLKTqp3Zo75Qbk89E"/>
        <s v="https://chat-conecta.recife.pe.gov.br/live/So5JNiP7RbYv5m7EB#&amp;gid=1&amp;pid=5"/>
        <s v="https://chat-conecta.recife.pe.gov.br/live/EDCrZJap6jzFXHRkT"/>
        <s v="https://chat-conecta.recife.pe.gov.br/live/3PzfmBRBamdw5n99q"/>
        <s v="https://chat-conecta.recife.pe.gov.br/live/xvg2y92NSfJaaxxw7"/>
        <s v="https://chat-conecta.recife.pe.gov.br/live/FadL7mshHaoH87y32"/>
        <s v="https://chat-conecta.recife.pe.gov.br/live/fq5LBuFhL5t9YFEph/room-info"/>
        <s v="https://chat-conecta.recife.pe.gov.br/live/ENmKgnAPNGNtK5hJm"/>
        <s v="https://chat-conecta.recife.pe.gov.br/live/Q6KQjETvm7ZakLnMM/room-info"/>
        <s v="https://chat-conecta.recife.pe.gov.br/live/QPoSD83YzTNSBYn8r/room-info"/>
        <s v="https://chat-conecta.recife.pe.gov.br/live/J5yApicjQ25ZpDpvZ"/>
        <s v="https://chat-conecta.recife.pe.gov.br/live/8RmemxfPoEwQKXs26"/>
        <s v="https://chat-conecta.recife.pe.gov.br/live/S9pKRag9nTD8HjaHp"/>
        <s v="https://chat-conecta.recife.pe.gov.br/live/JE2g3BZhwo27gqKLb/room-info"/>
        <s v="https://chat-conecta.recife.pe.gov.br/live/a925A58hfDuHJ6tsK/room-info"/>
        <s v="https://chat-conecta.recife.pe.gov.br/live/ZYC252AbpF7pt4si2/room-info"/>
        <s v="https://chat-conecta.recife.pe.gov.br/live/BsWoAdmrXbLeG6A3L/user-info"/>
        <s v="https://chat-conecta.recife.pe.gov.br/omnichannel-directory/chats/view/gtnLac2AurtuGrXMJ"/>
        <s v="https://chat-conecta.recife.pe.gov.br/live/SRDBYEHvqpK6f9gvJ/room-info"/>
        <s v="https://chat-conecta.recife.pe.gov.br/live/cMosTbf53EvohL4By/room-info"/>
        <s v="https://chat-conecta.recife.pe.gov.br/live/STvdZKNqHi89vhvLu"/>
        <s v="https://chat-conecta.recife.pe.gov.br/live/8FsATpXxfWsmQn5xR"/>
        <s v="https://chat-conecta.recife.pe.gov.br/live/qeAceoXxrf9gm8g82/room-info"/>
        <s v="https://chat-conecta.recife.pe.gov.br/live/jXu7Lnx5YxBdEtQst"/>
        <s v="https://chat-conecta.recife.pe.gov.br/live/ydQrgKMuzDrnSrNgW"/>
        <s v="https://chat-conecta.recife.pe.gov.br/live/83GyxDDbpfFRSTYtW"/>
        <s v="https://chat-conecta.recife.pe.gov.br/live/Di65GgNX24XusZbuZ/user-info"/>
        <s v="https://chat-conecta.recife.pe.gov.br/live/r9o3ZqHaFjKzzzFLg/room-info"/>
        <s v="https://chat-conecta.recife.pe.gov.br/live/5nzaJ9pj7bcPwYniD/room-info"/>
        <s v="https://chat-conecta.recife.pe.gov.br/live/8CvfSqgnXwnvqYXiT/room-info"/>
        <s v="https://chat-conecta.recife.pe.gov.br/live/zqdhp6ivb4h98eBRA"/>
        <s v="https://chat-conecta.recife.pe.gov.br/live/KP32Y5Ge6hq3PoptS/room-info"/>
        <s v="https://chat-conecta.recife.pe.gov.br/live/dae8hijHZkqyLhmuH"/>
        <s v="https://chat-conecta.recife.pe.gov.br/live/zGmFMWeNANbgXNHxZ"/>
        <s v="https://chat-conecta.recife.pe.gov.br/omnichannel-directory/chats/view/2NQMKPvGgmkNLFPyi/room-info"/>
        <s v="https://chat-conecta.recife.pe.gov.br/live/CyTqEr6DxdcxYY42h/room-info"/>
        <s v="https://chat-conecta.recife.pe.gov.br/live/d8D9JRmvMJptXuXwd/room-info"/>
        <s v="https://chat-conecta.recife.pe.gov.br/live/aiitppiyockKxJmKB"/>
        <s v="https://chat-conecta.recife.pe.gov.br/live/NNKR3geYk5siGhvE6"/>
        <s v="https://chat-conecta.recife.pe.gov.br/live/3s85yrRGRagwgtCDk"/>
        <s v="https://chat-conecta.recife.pe.gov.br/live/H4jKhPT3JY9LdLksL/user-info"/>
        <s v="https://chat-conecta.recife.pe.gov.br/live/qRmuM7qRcfFuoLj2F/user-info"/>
        <s v="https://chat-conecta.recife.pe.gov.br/live/FtfENriPYBYyomCog"/>
        <s v="https://chat-conecta.recife.pe.gov.br/live/XHh56qkWQoTdcSSGh"/>
        <s v="https://chat-conecta.recife.pe.gov.br/live/kMu6oKi5Gr6a39i4B/room-info"/>
        <s v="https://chat-conecta.recife.pe.gov.br/live/JDCtyJQNjXWpnFz4Y"/>
        <s v="https://chat-conecta.recife.pe.gov.br/live/hcAAhWuafwdTxYMoG"/>
        <s v="https://chat-conecta.recife.pe.gov.br/live/meHsTPnCMaruPJ2YN/members-list"/>
        <s v="https://chat-conecta.recife.pe.gov.br/live/v2a5dM6YyhTMwp3oX"/>
        <s v="https://chat-conecta.recife.pe.gov.br/live/FJBrLR8pKZEfGPZ5v/room-info"/>
        <s v="https://chat-conecta.recife.pe.gov.br/live/NbTuF9Tdvh5myMXW5/room-info"/>
        <s v="https://chat-conecta.recife.pe.gov.br/live/R4scd6XHagQjF9jL8/user-info"/>
        <s v="https://chat-conecta.recife.pe.gov.br/omnichannel-directory/chats/view/FJBrLR8pKZEfGPZ5v/room-info"/>
        <s v="https://chat-conecta.recife.pe.gov.br/live/Tax38sYXfjzPHKsGh/members-list"/>
        <s v="https://chat-conecta.recife.pe.gov.br/live/CfsCYMDZvMa5yNRJK/room-info"/>
        <s v="https://chat-conecta.recife.pe.gov.br/live/ess787q7AicDeYem9/room-info#&amp;gid=1&amp;pid=2"/>
        <s v="https://chat-conecta.recife.pe.gov.br/live/ro7zs33f3idwZj3Mq/room-info"/>
        <s v="https://chat-conecta.recife.pe.gov.br/live/MuYP9bmze5HmmiK3q/room-info"/>
        <s v="https://chat-conecta.recife.pe.gov.br/live/Ldtu4SBHn2f4rxcGt/user-info"/>
        <s v="https://chat-conecta.recife.pe.gov.br/live/BtXQyXXk9cQZ4cxjA/room-info"/>
        <s v="https://chat-conecta.recife.pe.gov.br/live/8y3TR8ohzJJeHXZqC/user-info#&amp;gid=1&amp;pid=4"/>
        <s v="https://chat-conecta.recife.pe.gov.br/live/D3ZfQK3vwPW99fXWc/user-info"/>
        <s v="https://chat-conecta.recife.pe.gov.br/live/eDmYZnKGXh2Jg4uGM"/>
        <s v="https://chat-conecta.recife.pe.gov.br/live/8oKuW2s6JBPumwjBF"/>
        <s v="https://chat-conecta.recife.pe.gov.br/live/DkxpyrNoojFFi4q4C/members-list"/>
        <s v="https://chat-conecta.recife.pe.gov.br/live/buamMAmC8wXGoMYJW"/>
        <s v="https://chat-conecta.recife.pe.gov.br/live/avS9ggNjm6ZF6HKbR/user-info"/>
        <s v="https://chat-conecta.recife.pe.gov.br/live/jKG7GZ7WS3ECmXzhY/room-info"/>
        <s v="https://chat-conecta.recife.pe.gov.br/live/RQvYAYLFuYs5BXXJE/room-info"/>
        <s v="https://chat-conecta.recife.pe.gov.br/live/pmgLkXYi6xpm33kna/room-info"/>
        <s v="https://chat-conecta.recife.pe.gov.br/live/zfqcjiQXaotabHKCF/room-info"/>
        <s v="https://chat-conecta.recife.pe.gov.br/live/fuDM2m6zX23HmRzyM#&amp;gid=1&amp;pid=2"/>
        <s v="https://chat-conecta.recife.pe.gov.br/live/S2reuqgRCntcmdzG5/room-info"/>
        <s v="https://chat-conecta.recife.pe.gov.br/live/KfvYAw7jZJX8Cb8nz/room-info"/>
        <s v="https://chat-conecta.recife.pe.gov.br/live/voYjixJuRCRwZhymX/room-info"/>
        <s v="https://chat-conecta.recife.pe.gov.br/live/4pw4eGNarrsBimgWx/room-info"/>
        <s v="https://chat-conecta.recife.pe.gov.br/live/sfdFJbzPBXWsdL4Hz"/>
        <s v="https://chat-conecta.recife.pe.gov.br/live/tm6mREfidRYBYC2tt"/>
        <s v="https://chat-conecta.recife.pe.gov.br/live/bWKcRpdasTR4eYWE9/room-info"/>
        <s v="https://chat-conecta.recife.pe.gov.br/live/McrLSkMYE3xuKtsSS/room-info"/>
        <s v="https://chat-conecta.recife.pe.gov.br/live/dKmTM4Xi2sf4EHJnm/members-list"/>
        <s v="https://chat-conecta.recife.pe.gov.br/live/XF9qmAuTB9Gek27EH/members-list"/>
        <s v="https://chat-conecta.recife.pe.gov.br/live/RfFjHHssLjvexk2fp"/>
        <s v="https://chat-conecta.recife.pe.gov.br/live/nCaCC8xSQC8JKJtFG"/>
        <s v="https://chat-conecta.recife.pe.gov.br/live/RxLQhZtQL6Kkr4YCY"/>
        <s v="https://chat-conecta.recife.pe.gov.br/live/ZpahxkXRKchyJjA3L"/>
        <s v="https://chat-conecta.recife.pe.gov.br/live/5rhuiqoJB9Zrgxymh"/>
        <s v="https://chat-conecta.recife.pe.gov.br/live/aZdmyAiNBxWBuPF68"/>
        <s v="https://chat-conecta.recife.pe.gov.br/live/T9wF6zPn6PJD4j6MW"/>
        <s v="https://chat-conecta.recife.pe.gov.br/live/GAnXdvJTu48J2uHyR/room-info"/>
        <s v="https://chat-conecta.recife.pe.gov.br/live/PD5xtw3eK4QtQy5MA"/>
        <s v="https://chat-conecta.recife.pe.gov.br/live/4sz8CyRMPM7gpHxxy/room-info"/>
        <s v="https://chat-conecta.recife.pe.gov.br/live/ZM92pnghF9yTnzrJz"/>
        <s v="https://chat-conecta.recife.pe.gov.br/live/s5yGXGRxCdi3kKz5e#&amp;gid=1&amp;pid=4"/>
        <s v="https://chat-conecta.recife.pe.gov.br/omnichannel-directory/chats/view/rxsnhicykwTNSMuP9"/>
        <s v="https://chat-conecta.recife.pe.gov.br/live/HRw3JfQgkPaDtz85q/room-info"/>
        <s v="https://chat-conecta.recife.pe.gov.br/live/CdpKsRdbqhoXtXjwk"/>
        <s v="https://chat-conecta.recife.pe.gov.br/live/n7oX7FgRtPjXMp4ub/room-info"/>
        <s v="https://chat-conecta.recife.pe.gov.br/live/QyJ9obB2noDM35TkA"/>
        <s v="https://chat-conecta.recife.pe.gov.br/live/Y6E2niZZjKiWChvrQ/room-info"/>
        <s v="https://chat-conecta.recife.pe.gov.br/omnichannel-directory/chats/view/nfHomGGPMfaRSP6SY/room-info"/>
        <s v="https://chat-conecta.recife.pe.gov.br/live/7pmFhfKruBwAEfhAh/room-info"/>
        <s v="https://chat-conecta.recife.pe.gov.br/live/H3FDF6PjP6jSM2tTQ"/>
        <s v="https://chat-conecta.recife.pe.gov.br/live/z45Lfm3XniN8SMqdt"/>
        <s v="https://chat-conecta.recife.pe.gov.br/live/tdPRYgYfhJSQ2wYsa/room-info"/>
        <s v="https://chat-conecta.recife.pe.gov.br/live/o2RNLNNcuiDva9rCe/room-info"/>
        <s v="https://chat-conecta.recife.pe.gov.br/live/Pud2sjZ3id3JsemYY/room-info"/>
        <s v="https://chat-conecta.recife.pe.gov.br/direct/NcmyoDSPPFwkbXMjAi2c2jSHZXRKjv2wQH"/>
        <s v="https://chat-conecta.recife.pe.gov.br/live/QCbG3kpgSGTGz7wdG/room-info"/>
        <s v="https://chat-conecta.recife.pe.gov.br/live/fMs2MgZJdDz3zpL3B/members-list"/>
        <s v="https://chat-conecta.recife.pe.gov.br/omnichannel-directory/chats/view/mdu5BX57Aayhwss3g/room-info"/>
        <s v="https://chat-conecta.recife.pe.gov.br/live/ZEdCrmCQeB2BiEdyu/room-info"/>
        <s v="https://chat-conecta.recife.pe.gov.br/live/eJSP9vgscyetfgQM8/user-info"/>
        <s v="https://chat-conecta.recife.pe.gov.br/live/bxTD23RzEJthzGgSo#&amp;gid=1&amp;pid=6"/>
        <s v="https://chat-conecta.recife.pe.gov.br/live/rXdsKbA7MrTTYrC7c"/>
        <s v="https://chat-conecta.recife.pe.gov.br/live/yjaYZvXF3Xz8gFupv"/>
        <s v="https://chat-conecta.recife.pe.gov.br/live/9oerbMaGKGQpsKvof"/>
        <s v="https://chat-conecta.recife.pe.gov.br/live/s9ssMzN9q2CqpNWFA"/>
        <s v="https://chat-conecta.recife.pe.gov.br/live/jSWoe2nasPCBFiPdm/room-info"/>
        <s v="https://chat-conecta.recife.pe.gov.br/live/vdpfFgmshefC3gxdn"/>
        <s v="https://chat-conecta.recife.pe.gov.br/live/xrbLQr7oQM9XNGyLv"/>
        <s v="https://chat-conecta.recife.pe.gov.br/live/5gxvRaoT8frwEqTiM/user-info"/>
        <s v="https://chat-conecta.recife.pe.gov.br/live/tmbFYxEgcNTtdcyii/room-info"/>
        <s v="https://chat-conecta.recife.pe.gov.br/live/r2i4gahHaC7vNLEEK"/>
        <s v="https://chat-conecta.recife.pe.gov.br/live/AQfxjoyngDk8TndQB/room-info"/>
        <s v="https://chat-conecta.recife.pe.gov.br/live/P4Z55NZW5sKpbGBRY/user-info"/>
        <s v="https://chat-conecta.recife.pe.gov.br/live/AnHbN3eWMDHyNJkrt/members-list"/>
        <s v="https://chat-conecta.recife.pe.gov.br/live/KMwioqTKMqMhoy3jY/user-info"/>
        <s v="https://chat-conecta.recife.pe.gov.br/live/KMwioqTKMqMhoy3jY/room-info"/>
        <s v="https://chat-conecta.recife.pe.gov.br/live/Rza7bpfB7NfqpmdBM/room-info"/>
        <s v="https://chat-conecta.recife.pe.gov.br/live/tE5Y8cZGLCpRTLWDo/user-info"/>
        <s v="https://chat-conecta.recife.pe.gov.br/live/AHsdXLhoywRd7sWRb/user-info"/>
        <s v="https://chat-conecta.recife.pe.gov.br/live/FE4HZoYBBxfZtD4kE"/>
        <s v="https://chat-conecta.recife.pe.gov.br/live/nAFoFx7LCa7jLcwNw/room-info"/>
        <s v="https://chat-conecta.recife.pe.gov.br/live/dDYTdcYQTz8p929tz"/>
        <s v="https://chat-conecta.recife.pe.gov.br/live/vj2Ee9qtE74H5qJHm/room-info"/>
        <s v="https://chat-conecta.recife.pe.gov.br/live/rHrMX6jFvrRD8Fy83/room-info"/>
        <s v="https://chat-conecta.recife.pe.gov.br/live/yddLtRCcseMJqBGJc#&amp;gid=1&amp;pid=8"/>
        <s v="https://chat-conecta.recife.pe.gov.br/live/CJCWWq4JbYsdotwXY/members-list"/>
        <s v="https://chat-conecta.recife.pe.gov.br/live/LNPG6DGuWT2h883BS"/>
        <s v="https://chat-conecta.recife.pe.gov.br/live/9h3sgK5qiaGkeQKc7/room-info"/>
        <s v="https://chat-conecta.recife.pe.gov.br/live/mYoiBcMRb5sW8zxnF/user-info"/>
        <s v="https://chat-conecta.recife.pe.gov.br/live/We3zfcTLx5g9tc9Aq"/>
        <s v="https://chat-conecta.recife.pe.gov.br/live/MhXLwSHKAfsxt9pTy"/>
        <s v="https://chat-conecta.recife.pe.gov.br/omnichannel-directory/chats/view/9h3sgK5qiaGkeQKc7/room-info"/>
        <s v="https://chat-conecta.recife.pe.gov.br/live/8v8Mhw59E3o3Agxah/room-info"/>
        <s v="https://chat-conecta.recife.pe.gov.br/live/4sGkT3uJnLEuB5nrH"/>
        <s v="https://chat-conecta.recife.pe.gov.br/live/piKXRSNQ5qg3MRub9/room-info"/>
        <s v="https://chat-conecta.recife.pe.gov.br/live/5nWMx4ytDEvxkzXpq"/>
        <s v="https://chat-conecta.recife.pe.gov.br/live/c57mqrxf6oucFNPii"/>
        <s v="https://chat-conecta.recife.pe.gov.br/live/Ltwmmk5sRnyaJtMmd/room-info"/>
        <s v="https://chat-conecta.recife.pe.gov.br/live/C9D6ytyB7zXR5ssru"/>
        <s v="https://chat-conecta.recife.pe.gov.br/live/av3ZiF2rHiAzeyg39"/>
        <s v="https://chat-conecta.recife.pe.gov.br/live/2jSdW8kWSMKLi2A4S/user-info"/>
        <s v="https://chat-conecta.recife.pe.gov.br/live/HiMnirG6ozF8HwNWz"/>
        <s v="https://chat-conecta.recife.pe.gov.br/live/f3FZGXoFyKfZLHJdL/members-list"/>
        <s v="https://chat-conecta.recife.pe.gov.br/live/TwMADgQqhGRs6ihGy"/>
        <s v="https://chat-conecta.recife.pe.gov.br/live/LNcY2JYXqbJhvKGoc#&amp;gid=1&amp;pid=4"/>
        <s v="https://chat-conecta.recife.pe.gov.br/live/YrmK4d8nbnTK2bPCS"/>
        <s v="https://chat-conecta.recife.pe.gov.br/live/B4Hnt7Yhwor34pEEu/uploaded-files-list"/>
        <s v="https://chat-conecta.recife.pe.gov.br/omnichannel-directory/chats/view/TipfusqGDBhNmbHfn"/>
        <s v="https://chat-conecta.recife.pe.gov.br/live/WGm8jy85oco7vWuQn/user-info"/>
        <s v="https://chat-conecta.recife.pe.gov.br/live/jqApCsg9G6N6bddA5/room-info"/>
        <s v="https://chat-conecta.recife.pe.gov.br/live/ToeTmfK4QHYwHpYba"/>
        <s v="https://chat-conecta.recife.pe.gov.br/live/LSwnF6zsHeuna6t5g/user-info"/>
        <s v="https://chat-conecta.recife.pe.gov.br/live/PBopX9SHBgDuA2RAs/room-info"/>
        <s v="https://chat-conecta.recife.pe.gov.br/live/YaPoRLRrozedndcwy"/>
        <s v="https://chat-conecta.recife.pe.gov.br/live/wb4y3XeWoum4usnJZ/room-info"/>
        <s v="https://chat-conecta.recife.pe.gov.br/live/nJwhdHyfYxibDJQ4Y"/>
        <s v="https://chat-conecta.recife.pe.gov.br/live/EptoLGdPfW8sCx8G7"/>
        <s v="https://chat-conecta.recife.pe.gov.br/live/MCMvXyDPKmPBNy27S/members-list"/>
        <s v="https://chat-conecta.recife.pe.gov.br/live/uFnCh7mBMFBCWBE2X/room-info"/>
        <s v="https://chat-conecta.recife.pe.gov.br/live/XTh6tMgCDSD4zwfDh"/>
        <s v="https://chat-conecta.recife.pe.gov.br/live/zGnGLFmbPuA4GCJRZ/room-info"/>
        <s v="https://chat-conecta.recife.pe.gov.br/live/zk6hvdQ2DsaEiECXw/room-info"/>
        <s v="https://chat-conecta.recife.pe.gov.br/live/TGzvEeF8cuRGHPPLR/user-info"/>
        <s v="https://chat-conecta.recife.pe.gov.br/live/wdfKRtWpPAJBRdGp6/room-info"/>
        <s v="https://chat-conecta.recife.pe.gov.br/live/nPjhPu6kieccuo72K/room-info"/>
        <s v="https://chat-conecta.recife.pe.gov.br/live/9wsNjYi8TBdfAneLt/user-info"/>
        <s v="https://chat-conecta.recife.pe.gov.br/live/47ZoZZroPeSiJFPYZ/user-info"/>
        <s v="https://chat-conecta.recife.pe.gov.br/live/f79GJPct9gYx9WmoJ/user-info#&amp;gid=1&amp;pid=5"/>
        <s v="https://chat-conecta.recife.pe.gov.br/live/z4h7ZpdSEq8oXc8L2/user-info"/>
        <s v="https://chat-conecta.recife.pe.gov.br/live/oFn54msvsGSozPPZJ"/>
        <s v="https://chat-conecta.recife.pe.gov.br/live/tPvLXrfSqgtcnywMi/user-info"/>
        <s v="https://chat-conecta.recife.pe.gov.br/live/vtmNXeGR4y3fLiocH"/>
        <s v="https://chat-conecta.recife.pe.gov.br/live/s2iHsveqyCgtgDdSr"/>
        <s v="https://chat-conecta.recife.pe.gov.br/live/9F4uSSvb2RYbHXo3b/uploaded-files-list"/>
        <s v="https://chat-conecta.recife.pe.gov.br/live/bGCbT2d9dQkCyhkj4"/>
        <s v="https://chat-conecta.recife.pe.gov.br/live/At5J4ZbgemTiaJ9Fr/room-info"/>
        <s v="https://chat-conecta.recife.pe.gov.br/live/TEofGvc2fYQsMgQmy"/>
        <s v="https://chat-conecta.recife.pe.gov.br/live/3SWwdFoWRFuq9jGGi/user-info"/>
        <s v="https://chat-conecta.recife.pe.gov.br/live/84kZepyKnNT9kBcqy"/>
        <s v="https://chat-conecta.recife.pe.gov.br/live/PZnr4tW6szgRaBtBQ/room-info"/>
        <s v="https://chat-conecta.recife.pe.gov.br/live/jamTQqREGtnZSsECP"/>
        <s v="https://chat-conecta.recife.pe.gov.br/live/Xf8iPzZTiq6R8LQee/room-info"/>
        <s v="https://chat-conecta.recife.pe.gov.br/live/LpdNGatAexmtLMwZK"/>
        <s v="https://chat-conecta.recife.pe.gov.br/live/3q7yt5WKx7NxZa4mP"/>
        <s v="https://chat-conecta.recife.pe.gov.br/live/CNtjmr9Jt6DHa6ftr/room-info"/>
        <s v="https://chat-conecta.recife.pe.gov.br/live/7sL4pESJCqGuS6Nw7"/>
        <s v="https://chat-conecta.recife.pe.gov.br/live/XqQca92b9rgdRgpmB"/>
        <s v="https://chat-conecta.recife.pe.gov.br/live/pAhjLDQiZhrwtFk8D"/>
        <s v="https://chat-conecta.recife.pe.gov.br/live/GGZhQ75mX6jHpiHYD/members-list"/>
        <s v="https://chat-conecta.recife.pe.gov.br/live/8ujind6kKqd78w4oP"/>
        <s v="https://chat-conecta.recife.pe.gov.br/live/TpLbFfJndDLC4k7CZ"/>
        <s v="https://chat-conecta.recife.pe.gov.br/live/Ewcs7ZtEGacEXcWTk"/>
        <s v="https://chat-conecta.recife.pe.gov.br/live/Xtn8xzM9wrHdqW85z/room-info"/>
        <s v="https://chat-conecta.recife.pe.gov.br/live/mt59LtTYgFaedaLGa"/>
        <s v="https://chat-conecta.recife.pe.gov.br/live/SWpnNq59vRSzv7APF"/>
        <s v="https://chat-conecta.recife.pe.gov.br/live/cDXhcWZkS5dpB4DPC"/>
        <s v="https://chat-conecta.recife.pe.gov.br/live/eN8NNFPhgkanD94ct/room-info"/>
        <s v="https://chat-conecta.recife.pe.gov.br/live/EPoqqpCatZkGZKHNo/room-info"/>
        <s v="https://chat-conecta.recife.pe.gov.br/live/WPQvNEK2d4gZ8Mow6"/>
        <s v="https://chat-conecta.recife.pe.gov.br/live/mjspR7BKruMbzfrmS/room-info"/>
        <s v="https://chat-conecta.recife.pe.gov.br/live/2MazhZKwiwsK53iH7"/>
        <s v="https://chat-conecta.recife.pe.gov.br/live/Jz7KP6qetfsivQbaq"/>
        <s v="https://chat-conecta.recife.pe.gov.br/live/WQf6RYEhThyNGrQ7J/room-info"/>
        <s v="https://chat-conecta.recife.pe.gov.br/live/n8G9hupd2FQoyKw3h/room-info"/>
        <s v="https://chat-conecta.recife.pe.gov.br/live/5EPSr9bTFjfEw7pxA/room-info"/>
        <s v="https://chat-conecta.recife.pe.gov.br/live/e96R3EJ4kiEFeSkxE/room-info"/>
        <s v="https://chat-conecta.recife.pe.gov.br/live/suetuRC4ydfLBjDiJ/room-info"/>
        <s v="https://chat-conecta.recife.pe.gov.br/live/9WZ3ziDLAgvDzpaf7/user-info"/>
        <s v="https://chat-conecta.recife.pe.gov.br/live/jLmq7nqMNASP3wNhq/room-info"/>
        <s v="https://chat-conecta.recife.pe.gov.br/live/XNkHTxuGqLiMHW367"/>
        <s v="https://chat-conecta.recife.pe.gov.br/live/mTjGX7xp2go6KWdhT#&amp;gid=1&amp;pid=6"/>
        <s v="https://chat-conecta.recife.pe.gov.br/live/hrLz382WiQGmE5NNv/room-info"/>
        <s v="https://chat-conecta.recife.pe.gov.br/live/KfhRPN5WQNXrfsGXa/user-info"/>
        <s v="https://chat-conecta.recife.pe.gov.br/live/3CLnpsujeK6KfSNgy/room-info"/>
        <s v="https://chat-conecta.recife.pe.gov.br/live/kDF4XXNqNxZETDPwJ"/>
        <s v="https://chat-conecta.recife.pe.gov.br/live/TEYqdTArcZnMXx6fc"/>
        <s v="https://chat-conecta.recife.pe.gov.br/live/kh3shwjfABzKaeF8Y/room-info"/>
        <s v="https://chat-conecta.recife.pe.gov.br/live/yfAqfskTwQizj7wzf/user-info"/>
        <s v="https://chat-conecta.recife.pe.gov.br/live/LQqBxxnqBFPDpMeRS"/>
        <s v="https://chat-conecta.recife.pe.gov.br/live/SDQDBYkgbRyD7tsDw/user-info"/>
        <s v="https://chat-conecta.recife.pe.gov.br/live/qANtvMXKJo8ysphNS"/>
        <s v="https://chat-conecta.recife.pe.gov.br/live/8HRxCuDkNtWG4t2oY"/>
        <s v="https://chat-conecta.recife.pe.gov.br/live/WvpZswjNovxTzL6T7/room-info"/>
        <s v="https://chat-conecta.recife.pe.gov.br/live/xwejZoBSFwvgT2RQa/user-info"/>
        <s v="https://chat-conecta.recife.pe.gov.br/live/LvsE69AD54rx2eZJJ"/>
        <s v="https://chat-conecta.recife.pe.gov.br/live/JuZ2HW8CadSHTJWic/room-info"/>
        <s v="https://chat-conecta.recife.pe.gov.br/live/Z6QAd7AwEbPK8F76p/room-info"/>
        <s v="https://chat-conecta.recife.pe.gov.br/live/jSESwdMALKb5seoSK"/>
        <s v="https://chat-conecta.recife.pe.gov.br/live/LPodvTkfdriCKeLYF"/>
        <s v="https://chat-conecta.recife.pe.gov.br/live/dfpjzxaRcYyKDe6H2/user-info"/>
        <s v="https://chat-conecta.recife.pe.gov.br/live/wFE929JxDQXaQNKbp/user-info#&amp;gid=1&amp;pid=4"/>
        <s v="https://chat-conecta.recife.pe.gov.br/live/YvhtDuqvs7H7LrD88/room-info"/>
        <s v="https://chat-conecta.recife.pe.gov.br/omnichannel-directory/chats/view/g3kbApt67hmcEdEQj/room-info"/>
        <s v="https://chat-conecta.recife.pe.gov.br/live/DsZwim3tMQ5WzZS5w/members-list"/>
        <s v="https://chat-conecta.recife.pe.gov.br/live/AwXrj6Xr9T3nacPuH"/>
        <s v="https://chat-conecta.recife.pe.gov.br/live/wNc8LSiq63vp5xY3G/user-info"/>
        <s v="https://chat-conecta.recife.pe.gov.br/live/955u4rx7HG9Mpy2nM/members-list"/>
        <s v="https://chat-conecta.recife.pe.gov.br/live/6erw5JMxxjkeq6KHR/user-info"/>
        <s v="https://chat-conecta.recife.pe.gov.br/live/FqRRk8vaZt8gGp9pG"/>
        <s v="https://chat-conecta.recife.pe.gov.br/live/j9DNDTRrq9ySBDLy4/members-list"/>
        <s v="https://chat-conecta.recife.pe.gov.br/live/gkiG9W86RTYhLJNeT/room-info"/>
        <s v="https://chat-conecta.recife.pe.gov.br/live/LnNkyRMuYRcrKSjcm"/>
        <s v="https://chat-conecta.recife.pe.gov.br/live/YKcfCgt7msAin5DZf"/>
        <s v="https://chat-conecta.recife.pe.gov.br/live/gSAHbAcMvjDuKXpc7"/>
        <s v="https://chat-conecta.recife.pe.gov.br/live/ewQu7KPo2L3p3j4C4/room-info"/>
        <s v="https://chat-conecta.recife.pe.gov.br/live/RJqTFJ3wGHYt53RNE/room-info"/>
        <s v="https://chat-conecta.recife.pe.gov.br/live/CxPnSzXnQtoqkSM5Y/room-info"/>
        <s v="https://chat-conecta.recife.pe.gov.br/live/ATbzSz4oNwiQsRGsn"/>
        <s v="https://chat-conecta.recife.pe.gov.br/live/WhduJ3KxEETHGNW4J"/>
        <s v="https://chat-conecta.recife.pe.gov.br/omnichannel-directory/chats/view/pJhp6GSZu6WfKsL98/room-info"/>
        <s v="https://chat-conecta.recife.pe.gov.br/live/jkSXWeBmc4rMqKBQt"/>
        <s v="https://chat-conecta.recife.pe.gov.br/live/Bgfzh5Xz2Ye3vRTzw"/>
        <s v="https://chat-conecta.recife.pe.gov.br/live/ws9qFWHpavvohcaYp"/>
        <s v="https://chat-conecta.recife.pe.gov.br/live/xkf9eh94fsQBW7ynj/room-info"/>
        <s v="https://chat-conecta.recife.pe.gov.br/live/fowZKxsWwHwttQkKC"/>
        <s v="https://chat-conecta.recife.pe.gov.br/live/WYDP8X9h7feWj2d6R"/>
        <s v="https://chat-conecta.recife.pe.gov.br/omnichannel-directory/chats/view/BbWbp7HdyHrP3hKSh/room-info"/>
        <s v="https://chat-conecta.recife.pe.gov.br/live/z7mn3KFCtXgEaZdnt"/>
        <s v="https://chat-conecta.recife.pe.gov.br/live/8KnronK29MgMn3SED"/>
        <s v="https://chat-conecta.recife.pe.gov.br/live/dkffgkKNnzdT8RRDs/room-info"/>
        <s v="https://chat-conecta.recife.pe.gov.br/live/cEtMGgQ5yA5Dfa9D6/room-info"/>
        <s v="https://chat-conecta.recife.pe.gov.br/live/RGP5BjyP5HtnvP7kJ"/>
        <s v="https://chat-conecta.recife.pe.gov.br/live/wqToPvGTH9hewLjMm/room-info"/>
        <s v="https://chat-conecta.recife.pe.gov.br/live/KshqGSPTJWwMt7h3T/user-info"/>
        <s v="https://chat-conecta.recife.pe.gov.br/live/GSJeK8m57p4NCbTpf/room-info"/>
        <s v="https://chat-conecta.recife.pe.gov.br/live/ARh9W73ruWnzzbnYu/room-info"/>
        <s v="https://chat-conecta.recife.pe.gov.br/live/ERLWMhL4B7dF5Dxq5/room-info"/>
        <s v="https://chat-conecta.recife.pe.gov.br/omnichannel-directory/chats/view/YpRs4mMxLcHaxz9uB"/>
        <s v="https://chat-conecta.recife.pe.gov.br/live/33ywnpsgGGyFDfriZ"/>
        <s v="https://chat-conecta.recife.pe.gov.br/live/4KEcGWff8wwbgCdye/user-info"/>
        <s v="https://chat-conecta.recife.pe.gov.br/live/apTEpHkRnvWZu9wTR/room-info"/>
        <s v="https://chat-conecta.recife.pe.gov.br/live/3uRXmFXo2muwHfbRZ/room-info"/>
        <s v="https://chat-conecta.recife.pe.gov.br/live/2QaKw4am8xWs2h2J9/room-info"/>
        <s v="https://chat-conecta.recife.pe.gov.br/live/PGB8NL8ChRdjeme57"/>
        <s v="https://chat-conecta.recife.pe.gov.br/live/WDSeCFBfRPY8Hkcsd"/>
        <s v="https://chat-conecta.recife.pe.gov.br/live/eEqz97ddknidsNAk5"/>
        <s v="https://chat-conecta.recife.pe.gov.br/live/2gqxNPEL7qtFhmeea"/>
        <s v="https://chat-conecta.recife.pe.gov.br/live/QWBLAYT2XyznCgdzw/user-info"/>
        <s v="https://chat-conecta.recife.pe.gov.br/live/BiGxr7NEo3SvTxWTX"/>
        <s v="https://chat-conecta.recife.pe.gov.br/live/BLWcxLAZed9JZ2D2s"/>
        <s v="https://chat-conecta.recife.pe.gov.br/live/LuMbhG6L5bC6Lotbb/user-info"/>
        <s v="https://chat-conecta.recife.pe.gov.br/live/ZNj4spu5dj5J7aGEu"/>
        <s v="https://chat-conecta.recife.pe.gov.br/live/Gvepwa2Q2yBt3aKtv"/>
        <s v="https://chat-conecta.recife.pe.gov.br/live/ca2qW8rrF3LQvrwGS"/>
        <s v="https://chat-conecta.recife.pe.gov.br/live/kAsGAAjwtEN3sDxLC"/>
        <s v="https://chat-conecta.recife.pe.gov.br/live/6xgKDN4SLBHoNspJz"/>
        <s v="https://chat-conecta.recife.pe.gov.br/live/zSZZsXDhzoCeeFZNm"/>
        <s v="https://chat-conecta.recife.pe.gov.br/live/h5hk2N97AL5uNLRss"/>
        <s v="https://chat-conecta.recife.pe.gov.br/live/EDky2Zxdw68RNWLJz"/>
        <s v="https://chat-conecta.recife.pe.gov.br/live/bYkGnj6w7jHQZwtFG"/>
        <s v="https://chat-conecta.recife.pe.gov.br/live/TznuvBzFW2BkocC53/user-info"/>
        <s v="https://chat-conecta.recife.pe.gov.br/live/ciCaauKDvdB9d5Dun"/>
        <s v="https://chat-conecta.recife.pe.gov.br/live/tfnuQBZJrkE3GDsxg/room-info"/>
        <s v="https://chat-conecta.recife.pe.gov.br/live/dNr8hZzLLK7s6Kevo"/>
        <s v="https://chat-conecta.recife.pe.gov.br/live/wAX8gRMG9NSMZsLFg"/>
        <s v="https://chat-conecta.recife.pe.gov.br/live/Yk6c3wn5jSomzWvfN/room-info"/>
        <s v="https://chat-conecta.recife.pe.gov.br/live/FgXhPX8F2DEKf9R5p"/>
        <s v="https://chat-conecta.recife.pe.gov.br/live/AfcwB5M38f2rdWfDk#&amp;gid=1&amp;pid=4"/>
        <s v="https://chat-conecta.recife.pe.gov.br/live/o3DPeoNeH4pZ4jy7v/user-info"/>
        <s v="https://chat-conecta.recife.pe.gov.br/live/MfHSfwiSnkGfu7Rd3/room-info"/>
        <s v="https://chat-conecta.recife.pe.gov.br/live/59C96ZTrCxAR55yCi"/>
        <s v="https://chat-conecta.recife.pe.gov.br/live/SL9riEbnBGcKReMbT"/>
        <s v="https://chat-conecta.recife.pe.gov.br/live/o3DPeoNeH4pZ4jy7v/room-info"/>
        <s v="https://chat-conecta.recife.pe.gov.br/live/zBqAxAMv6SuenDXEL/room-info"/>
        <s v="https://chat-conecta.recife.pe.gov.br/live/BY9kJ3miGsNu25A9h#&amp;gid=1&amp;pid=4"/>
        <s v="https://chat-conecta.recife.pe.gov.br/live/GrjnsiGh3NdbGZaZc"/>
        <s v="https://chat-conecta.recife.pe.gov.br/live/3aBxvntNHhLTZwzh4/room-info"/>
        <s v="https://chat-conecta.recife.pe.gov.br/live/nqANNA4d5RxiZzyj7/user-info"/>
        <s v="https://chat-conecta.recife.pe.gov.br/live/58TLkkNSEx8R6Ddqw/room-info"/>
        <s v="https://chat-conecta.recife.pe.gov.br/live/SWTqdE8RKerngWBmE"/>
        <s v="hat-conecta.recife.pe.gov.br/live/4dPpe3RPqYZRbiwdX/room-info"/>
        <s v="https://chat-conecta.recife.pe.gov.br/live/3sx3zdNMQrKqGJjsc"/>
        <s v="https://chat-conecta.recife.pe.gov.br/live/9ZgdvyHfgxo5gnQEL/room-info"/>
        <s v="https://chat-conecta.recife.pe.gov.br/live/EpLkkvm6M7MoMi87T/user-info#&amp;gid=1&amp;pid=3"/>
        <s v="https://chat-conecta.recife.pe.gov.br/live/X3WcpvYGtPY2ct9w3"/>
        <s v="https://chat-conecta.recife.pe.gov.br/omnichannel-directory/chats/view/Dr9HaSN5Yh9zLiGzA"/>
        <s v="https://chat-conecta.recife.pe.gov.br/live/KYzKi399w4cd68D3p/user-info"/>
        <s v="https://chat-conecta.recife.pe.gov.br/live/sChGG49tFTzEKRJHs"/>
        <s v="https://chat-conecta.recife.pe.gov.br/live/Z3KhGRwWoRMtMM7MK/room-info"/>
        <s v="https://chat-conecta.recife.pe.gov.br/live/AEwhTQXziYyiZ7t9Z"/>
        <s v="https://chat-conecta.recife.pe.gov.br/live/XRinCWNj7TgMMaqxa"/>
        <s v="https://chat-conecta.recife.pe.gov.br/live/5kPLmwG5uRbMN57Q5/room-info#&amp;gid=1&amp;pid=7"/>
        <s v="https://chat-conecta.recife.pe.gov.br/live/f6zLaoTdW7pjnGL7x/user-info"/>
        <s v="https://chat-conecta.recife.pe.gov.br/live/iveiJNpSfCJ4FKpqX/room-info"/>
        <s v="https://chat-conecta.recife.pe.gov.br/live/uwRdow5hqxMk5cq3x/room-info"/>
        <s v="https://chat-conecta.recife.pe.gov.br/live/pypHsARJ4tPx6ss2P/room-info"/>
        <s v="https://chat-conecta.recife.pe.gov.br/live/2L5CkCAJcEmZkbfxv/room-info"/>
        <s v="https://chat-conecta.recife.pe.gov.br/live/dcdhGCZmJRL8E7bDJ/room-info#&amp;gid=1&amp;pid=7"/>
        <s v="https://chat-conecta.recife.pe.gov.br/live/2xLRfnHecHodLo474/room-info"/>
        <s v="https://chat-conecta.recife.pe.gov.br/live/ZXJCq4zn6W82HMZqL"/>
        <s v="https://chat-conecta.recife.pe.gov.br/live/YHghXmbc8a3s4TKtB/room-info"/>
        <s v="https://chat-conecta.recife.pe.gov.br/omnichannel-directory/chats/view/tcxMXqe3kCPoPDW2s"/>
        <s v="https://chat-conecta.recife.pe.gov.br/live/CWtpRo8syTNq7mEsk/room-info"/>
        <s v="https://chat-conecta.recife.pe.gov.br/live/c35qEHzyYqko6i3Zj#&amp;gid=1&amp;pid=7"/>
        <s v="https://chat-conecta.recife.pe.gov.br/live/7Pk53XcPNMaAsfh3r/room-info"/>
        <s v="https://chat-conecta.recife.pe.gov.br/live/Mx4x2SXKHCFuQKkE5/room-info"/>
        <s v="https://chat-conecta.recife.pe.gov.br/live/vMmm8MwsS4BnaWxCM"/>
        <s v="https://chat-conecta.recife.pe.gov.br/live/KgbiMkC4BfuTweWfc/user-info"/>
        <s v="https://chat-conecta.recife.pe.gov.br/live/LHvxffLJFMJWP2XEZ"/>
        <s v="https://chat-conecta.recife.pe.gov.br/live/acM"/>
        <s v="https://chat-conecta.recife.pe.gov.br/omnichannel-directory/chats/view/NC59HJJCywPTfzzL8"/>
        <s v="https://chat-conecta.recife.pe.gov.br/live/3NdEwNDHJZxEJH955/room-info"/>
        <s v="https://chat-conecta.recife.pe.gov.br/live/SerXf8CDdYNuvYg33/room-info"/>
        <s v="https://chat-conecta.recife.pe.gov.br/live/AyC7G2u8HwRki9Zp6/members-list"/>
        <s v="https://chat-conecta.recife.pe.gov.br/live/zApHgJFLkuyaN9NTQ/room-info"/>
        <s v="https://chat-conecta.recife.pe.gov.br/live/HAMEsiuZtqaNo2GKR"/>
        <s v="https://chat-conecta.recife.pe.gov.br/live/4DkKhhja6kDaKJgnn"/>
        <s v="https://chat-conecta.recife.pe.gov.br/live/HKec4FjhwesB5Yo9h"/>
        <s v="https://chat-conecta.recife.pe.gov.br/live/6gsboQzBgmoY5pZCB/room-info"/>
        <s v="https://chat-conecta.recife.pe.gov.br/live/rTtgfsrggPoHiQ7ne"/>
        <s v="https://chat-conecta.recife.pe.gov.br/live/Fsvo3CWGyXz6N6cfo/room-info"/>
        <s v="https://chat-conecta.recife.pe.gov.br/live/5uHojBWN8iXdsh9vT/room-info"/>
        <s v="https://chat-conecta.recife.pe.gov.br/live/hz96xNiGGKnaKKrmA/room-info#&amp;gid=1&amp;pid=1"/>
        <s v="https://chat-conecta.recife.pe.gov.br/live/nrKoMsP3ZLmNr6cpQ/room-info"/>
        <s v="https://chat-conecta.recife.pe.gov.br/live/3nLzhoZNJFRaFdAe6/user-info"/>
        <s v="https://chat-conecta.recife.pe.gov.br/live/Hn8etzp7wuzn6Gq7W/user-info#&amp;gid=1&amp;pid=6"/>
        <s v="https://chat-conecta.recife.pe.gov.br/live/ZBbou7YupbZxyArLE"/>
        <s v="https://chat-conecta.recife.pe.gov.br/live/cs2MrjrBy8vZunfKh"/>
        <s v="https://chat-conecta.recife.pe.gov.br/live/AyLRnE89AkiQQzsLZ"/>
        <s v="https://chat-conecta.recife.pe.gov.br/live/iQSEHNW6crqvM4Mnj/room-info"/>
        <s v="https://chat-conecta.recife.pe.gov.br/live/6xwHoFqqeZwSNTdHN"/>
        <s v="https://chat-conecta.recife.pe.gov.br/live/wDYeBJpn8RrhjxpDn"/>
        <s v="https://chat-conecta.recife.pe.gov.br/live/GYNAPA5JtMhoFEyLp"/>
        <s v="https://chat-conecta.recife.pe.gov.br/live/KXDTHrk6hFwEJo6p9/members-list"/>
        <s v="https://chat-conecta.recife.pe.gov.br/live/Hftgsg8KRn8f7ZTTm"/>
        <s v="https://chat-conecta.recife.pe.gov.br/live/6uGnYZKe7dPCBfcda/room-info"/>
        <s v="https://chat-conecta.recife.pe.gov.br/live/MHHXCFcFC6TgKTm7B/members-list"/>
        <s v="https://chat-conecta.recife.pe.gov.br/live/nGahoHcB42nbpsGku/room-info"/>
        <s v="https://chat-conecta.recife.pe.gov.br/live/z8aYeTETgHR4DvXg7/members-list"/>
        <s v="https://chat-conecta.recife.pe.gov.br/live/Pa3tYyzWztXyKvCTB/user-info"/>
        <s v="https://chat-conecta.recife.pe.gov.br/live/eJcHbLnYHDocKBiSR/user-info"/>
        <s v="https://chat-conecta.recife.pe.gov.br/live/paZzmKEpLZFfiGpfu/room-info"/>
        <s v="https://chat-conecta.recife.pe.gov.br/live/Z7PqSB2psij7TCjuH/room-info"/>
        <s v="https://chat-conecta.recife.pe.gov.br/live/LKz9xSbMxFQ7xkwAo/user-info"/>
        <s v="https://chat-conecta.recife.pe.gov.br/live/iwAHdtfRmH9TTzmAw/room-info"/>
        <s v="https://chat-conecta.recife.pe.gov.br/live/hZzKY6jrRgThPXY8u"/>
        <s v="https://chat-conecta.recife.pe.gov.br/live/Hs5FfrFKw6yLukDWW"/>
        <s v="https://chat-conecta.recife.pe.gov.br/live/7YE9ueuABrCGehJfW/room-info"/>
        <s v="https://chat-conecta.recife.pe.gov.br/live/J9WdxttabqHSfKnkX"/>
        <s v="https://chat-conecta.recife.pe.gov.br/live/4svW7AAi2SvHBj9cv/members-list"/>
        <s v="https://chat-conecta.recife.pe.gov.br/live/apY8f73WDZ59ebcbd"/>
        <s v="https://chat-conecta.recife.pe.gov.br/live/weovKF9fJw8doQZav"/>
        <s v="https://chat-conecta.recife.pe.gov.br/live/xs663rB3w2XeTNiHr"/>
        <s v="https://chat-conecta.recife.pe.gov.br/live/pv9D5xWEavr4vBWPv"/>
        <s v="https://chat-conecta.recife.pe.gov.br/live/Z5Hf9iwR47RpxGMHn"/>
        <s v="https://chat-conecta.recife.pe.gov.br/live/5z7raoReSmZx4LpxT/room-info"/>
        <s v="https://chat-conecta.recife.pe.gov.br/live/CL8SCGdZPgfrTmeRY/room-info"/>
        <s v="https://chat-conecta.recife.pe.gov.br/live/Yig99BGWaKFcbhwAy"/>
        <s v="https://chat-conecta.recife.pe.gov.br/live/Tsu8ww9CmQfp8AwvY/room-info"/>
        <s v="https://chat-conecta.recife.pe.gov.br/live/i6K4D2gJxgSuqCspJ/room-info"/>
        <s v="https://chat-conecta.recife.pe.gov.br/live/6P33av7zHrKkmSAWA/room-info"/>
        <s v="https://chat-conecta.recife.pe.gov.br/live/ge3aiXhBuEdPXR3py/room-info"/>
        <s v="https://chat-conecta.recife.pe.gov.br/live/EWYva57EZJYEyAtaA/room-info"/>
        <s v="https://chat-conecta.recife.pe.gov.br/live/jjzJFHu5HKWSenYvB/room-info"/>
        <s v="https://chat-conecta.recife.pe.gov.br/live/mnm2CSQjZkAaKgowq"/>
        <s v="https://chat-conecta.recife.pe.gov.br/omnichannel-directory/chats/view/uAHg4sGcfTzmgyrsg"/>
        <s v="https://chat-conecta.recife.pe.gov.br/live/fe4LEnhvG7CjuwCAx"/>
        <s v="https://chat-conecta.recife.pe.gov.br/live/cudQseAHtdwBdScK8"/>
        <s v="https://chat-conecta.recife.pe.gov.br/live/AMyjBmtLPx4wZNWgD"/>
        <s v="https://chat-conecta.recife.pe.gov.br/live/KpxNL5ZHLjrBsa6AQ/user-info"/>
        <s v="https://chat-conecta.recife.pe.gov.br/live/erEbmKvMHiuJRuinA/room-info"/>
        <s v="https://chat-conecta.recife.pe.gov.br/live/erEbmKvMHiuJRuinA"/>
        <s v="https://chat-conecta.recife.pe.gov.br/live/aEXdfrgmC2w9HzWA3"/>
        <s v="https://chat-conecta.recife.pe.gov.br/live/tNfBKNMRN3Jj5Pcxu"/>
        <s v="https://chat-conecta.recife.pe.gov.br/live/aFXym8yzoM6Leevpd"/>
        <s v="https://chat-conecta.recife.pe.gov.br/live/8hAzthKS4t7FZafmp/members-list"/>
        <s v="https://chat-conecta.recife.pe.gov.br/live/SkRxmBDAhsNrp2P6w/room-info"/>
        <s v="https://chat-conecta.recife.pe.gov.br/live/SET4kirFrQQtntR9e"/>
        <s v="https://chat-conecta.recife.pe.gov.br/live/SET4kirFrQQtntR9e#&amp;gid=1&amp;pid=5"/>
        <s v="https://chat-conecta.recife.pe.gov.br/omnichannel-directory/chats/view/9ujTgc6JeaMJ9Ap6x"/>
        <s v="https://chat-conecta.recife.pe.gov.br/live/2PskQeJpo9TayW7bF/room-info"/>
        <s v="https://chat-conecta.recife.pe.gov.br/live/m6GEWExf2pFJZ3yYt"/>
        <s v="https://chat-conecta.recife.pe.gov.br/live/afuCLgXPJbu8sHABs"/>
        <s v="https://chat-conecta.recife.pe.gov.br/live/3R6nqANmqGxuaR336/user-info"/>
        <s v="https://chat-conecta.recife.pe.gov.br/live/Hx6uP5mHsMwoXDv48/room-info"/>
        <s v="https://chat-conecta.recife.pe.gov.br/live/5pi8XGggr3g7Ajoup/room-info"/>
        <s v="https://chat-conecta.recife.pe.gov.br/live/AHqMmspyxhpoesz7L"/>
        <s v="https://chat-conecta.recife.pe.gov.br/live/i2Rpkhm4e4cBbgqcQ/room-info"/>
        <s v="https://chat-conecta.recife.pe.gov.br/live/cKtdvZkhdC9SkACuF"/>
        <s v="https://chat-conecta.recife.pe.gov.br/live/rYYCoiFJkfYvtP3n5"/>
        <s v="https://chat-conecta.recife.pe.gov.br/live/3iY49JNegrjd6f4Za/user-info"/>
        <s v="https://chat-conecta.recife.pe.gov.br/live/DTuYC3s43M8x4T9nB/user-info"/>
        <s v="https://chat-conecta.recife.pe.gov.br/live/fSEnYLrKfrLNpQmnD/user-info"/>
        <s v="https://chat-conecta.recife.pe.gov.br/omnichannel-directory/chats/view/YRnqp7b9NEDBFJF2K"/>
        <s v="https://chat-conecta.recife.pe.gov.br/live/iFLjw8gboMxn9e7Dh#&amp;gid=1&amp;pid=3"/>
        <s v="https://chat-conecta.recife.pe.gov.br/live/fYKuHitqwFz4LghZz"/>
        <s v="https://chat-conecta.recife.pe.gov.br/live/Br5feW9vLbFSrDpGz"/>
        <s v="https://chat-conecta.recife.pe.gov.br/live/raDcP5gDyeD2TLk46"/>
        <s v="https://chat-conecta.recife.pe.gov.br/live/KxZK9qYrXzSafrJDe"/>
        <s v="https://chat-conecta.recife.pe.gov.br/live/tqt6dLp5FPvWf89Do"/>
        <s v="https://chat-conecta.recife.pe.gov.br/live/TcEMhs2iSYwvb44d3"/>
        <s v="https://chat-conecta.recife.pe.gov.br/live/qkAfNa4cTjo3P2n64"/>
        <s v="https://chat-conecta.recife.pe.gov.br/live/vXNCAe4wGm63hK4af"/>
        <s v="https://chat-conecta.recife.pe.gov.br/live/ehakjbjYg24RLyewm/user-info"/>
        <s v="https://chat-conecta.recife.pe.gov.br/home"/>
        <s v="https://chat-conecta.recife.pe.gov.br/live/S4bGfzQ2LufShqLqx"/>
        <s v="https://chat-conecta.recife.pe.gov.br/live/z4qadkRZcAaQY4YAp"/>
        <s v="https://chat-conecta.recife.pe.gov.br/live/TdunvEfpeKkuzNPaK/user-info"/>
        <s v="https://chat-conecta.recife.pe.gov.br/live/rc9DL2zSu7KgxgCJm"/>
        <s v="https://chat-conecta.recife.pe.gov.br/live/TdunvEfpeKkuzNPaK/room-info"/>
        <s v="https://chat-conecta.recife.pe.gov.br/live/WBieDPRdu69bTcJGM"/>
        <s v="https://chat-conecta.recife.pe.gov.br/live/mz8jxQa3fPJ6EgrnC"/>
        <s v="https://chat-conecta.recife.pe.gov.br/live/eEWau4MkfXtySRHdJ"/>
        <s v="https://chat-conecta.recife.pe.gov.br/live/XYBYaNsDvPth5EqjF/members-list"/>
        <s v="https://chat-conecta.recife.pe.gov.br/live/dHQF27r4Sw3ogbpP4/members-list"/>
        <s v="https://chat-conecta.recife.pe.gov.br/live/eCFzYihnWbjimYNA6"/>
        <s v="https://chat-conecta.recife.pe.gov.br/live/n5sTMpgL8Wg6ZF7ux/members-list"/>
        <s v="https://chat-conecta.recife.pe.gov.br/live/kvK4A7TfXKoRgbKp3"/>
        <s v="https://chat-conecta.recife.pe.gov.br/live/LTE8hYQNhXNShsrBD"/>
        <s v="https://chat-conecta.recife.pe.gov.br/live/GE3JpPzWDA2rKN58f/user-info"/>
        <s v="https://chat-conecta.recife.pe.gov.br/live/bbYcMRchGBaHdckDW"/>
        <s v="https://chat-conecta.recife.pe.gov.br/live/FJga4BrjgWwYfhrYA/room-info"/>
        <s v="https://chat-conecta.recife.pe.gov.br/live/FJga4BrjgWwYfhrYA/user-info"/>
        <s v="https://chat-conecta.recife.pe.gov.br/live/vsovcZFSBYmZjgTbZ/room-info"/>
        <s v="https://chat-conecta.recife.pe.gov.br/live/XNfDZK7XPL493ZAoa/room-info"/>
        <s v="https://chat-conecta.recife.pe.gov.br/live/2ZkFpYCRXKYzFaKME/user-info"/>
        <s v="https://chat-conecta.recife.pe.gov.br/live/2LaTqvuDXcAMxB88S/uploaded-files-list"/>
        <s v="https://chat-conecta.recife.pe.gov.br/live/ntTcP8qgcyv2xruan/user-info"/>
        <s v="https://chat-conecta.recife.pe.gov.br/live/w58JiJcbzk3muumdf/room-info"/>
        <s v="https://chat-conecta.recife.pe.gov.br/live/3nxL8LMwogha6y39P/user-info"/>
        <s v="https://chat-conecta.recife.pe.gov.br/live/nCEjwZYLDHcf45QXQ"/>
        <s v="https://chat-conecta.recife.pe.gov.br/live/6jBoww5kEg68LSPEa"/>
        <s v="https://chat-conecta.recife.pe.gov.br/live/yxZidqQXA6pLY7wno/room-info"/>
        <s v="https://chat-conecta.recife.pe.gov.br/live/p6GkZfRrSaEbFLwnJ/room-info"/>
        <s v="https://chat-conecta.recife.pe.gov.br/live/4uZpnJQ4H8EaHxf9v"/>
        <s v="https://chat-conecta.recife.pe.gov.br/live/pp2q8B6LDT2F47iGP/user-info"/>
        <s v="https://chat-conecta.recife.pe.gov.br/live/ZP3qke22fp9uQCsnc"/>
        <s v="https://chat-conecta.recife.pe.gov.br/live/y2KcN2MFrpsFpxBQu/user-info"/>
        <s v="https://chat-conecta.recife.pe.gov.br/live/QDjZuqS2qdNawah3N/user-info#&amp;gid=1&amp;pid=4"/>
        <s v="https://chat-conecta.recife.pe.gov.br/live/QMghrD6bDMZxTdFMi"/>
        <s v="https://chat-conecta.recife.pe.gov.br/live/SahDMccdbbaFYPnkP/members-list"/>
        <s v="https://chat-conecta.recife.pe.gov.br/live/3KgouvFrQ2ngeGhMm"/>
        <s v="https://chat-conecta.recife.pe.gov.br/live/4ifBMoYDYoAF3NoSm/members-list"/>
        <s v="https://chat-conecta.recife.pe.gov.br/live/fPwu5JZDC7waqsj9N"/>
        <s v="https://chat-conecta.recife.pe.gov.br/live/KwktoySQ2ofGftWAp/room-info"/>
        <s v="https://meet.google.com/zkn-skpm-kga"/>
        <s v="https://chat-conecta.recife.pe.gov.br/live/sFwkhjEFgTgLH2x8t"/>
        <s v="https://chat-conecta.recife.pe.gov.br/live/2b83aju9vYj8mY3q5/members-list"/>
        <s v="https://chat-conecta.recife.pe.gov.br/live/gFfnbRgNNBehpn8Ay/room-info"/>
        <s v="https://chat-conecta.recife.pe.gov.br/live/TBHDHxkwSdaGByiSL"/>
        <s v="https://chat-conecta.recife.pe.gov.br/live/QtGb9gii4sX393Bkd"/>
        <s v="https://chat-conecta.recife.pe.gov.br/live/JzGsxn9PgqTibdDsq/room-info"/>
        <s v="https://chat-conecta.recife.pe.gov.br/live/pC8H7M5LADJw36FnT"/>
        <s v="https://chat-conecta.recife.pe.gov.br/live/Zbgwpgqm4eorLbgaG/room-info"/>
        <s v="https://chat-conecta.recife.pe.gov.br/live/4FND74xdcyvesPnxC/user-info"/>
        <s v="https://chat-conecta.recife.pe.gov.br/live/gbk46mwGmZkBp5Kb4"/>
        <s v="https://chat-conecta.recife.pe.gov.br/live/WnX9coRh3pY62bxQC/contact-profile"/>
        <s v="https://chat-conecta.recife.pe.gov.br/live/riYrEZdu6iJH2GYFp"/>
        <s v="https://chat-conecta.recife.pe.gov.br/live/SYQSsPFz88DojgDkr"/>
        <s v="https://chat-conecta.recife.pe.gov.br/live/QQHB76xp4snCprhQe"/>
        <s v="https://chat-conecta.recife.pe.gov.br/live/RHdf6zARviW3RTZs7/room-info"/>
        <s v="https://chat-conecta.recife.pe.gov.br/live/sjp4fHCpZN2EdD6TF"/>
        <s v="https://chat-conecta.recife.pe.gov.br/live/p2vBwFrHyey6KJ8QS"/>
        <s v="https://chat-conecta.recife.pe.gov.br/live/z5uQiZpT6euzZFBE8"/>
        <s v="https://chat-conecta.recife.pe.gov.br/live/h3tcthEo7mP3uEaEP"/>
        <s v="https://chat-conecta.recife.pe.gov.br/live/NADNosEkTjceY7Haw"/>
        <s v="https://chat-conecta.recife.pe.gov.br/live/wfa9GqJJdGjRiWgMQ"/>
        <s v="https://chat-conecta.recife.pe.gov.br/live/px9DHTxRrRPFJmp7S/user-info"/>
        <s v="https://chat-conecta.recife.pe.gov.br/live/EMcanWTfPr6Ng4jXT/room-info"/>
        <s v="https://chat-conecta.recife.pe.gov.br/live/Sy46W4jsemsCMYgtx"/>
        <s v="https://chat-conecta.recife.pe.gov.br/live/LRsh5bpfvmMQFkw28/room-info"/>
        <s v="https://chat-conecta.recife.pe.gov.br/live/zYNniGJ7Yie65RXsD"/>
        <s v="https://chat-conecta.recife.pe.gov.br/live/dM2kPndQJAA5unEEG"/>
        <s v="https://chat-conecta.recife.pe.gov.br/live/n6W7QqcXPD3vFARLx"/>
        <s v="https://chat-conecta.recife.pe.gov.br/live/evxhWYwv3tS6Su4ng/room-info"/>
        <s v="https://chat-conecta.recife.pe.gov.br/live/2P2GffpuGdTo8fPuZ/user-info"/>
        <s v="https://chat-conecta.recife.pe.gov.br/live/cdezKR43nd7qaKTLR/room-info"/>
        <s v="https://chat-conecta.recife.pe.gov.br/live/vEmJokMMcRCuZcpJe"/>
        <s v="https://chat-conecta.recife.pe.gov.br/live/TmPirrjLAuzkkNfAd"/>
        <s v="https://chat-conecta.recife.pe.gov.br/live/ENfvChr3AFyNfFTF5"/>
        <s v="https://chat-conecta.recife.pe.gov.br/live/HzXvKzPZYoeLgwCNQ/user-info#&amp;gid=1&amp;pid=7"/>
        <s v="https://chat-conecta.recife.pe.gov.br/live/WTvhEhcSBfZmvMapq"/>
        <s v="https://chat-conecta.recife.pe.gov.br/live/WQjsu2vAdJxxMYepc"/>
        <s v="https://chat-conecta.recife.pe.gov.br/live/YGzHPYudmJwTFbPKc/room-info"/>
        <s v="https://chat-conecta.recife.pe.gov.br/live/6rQTMJBz8QNXJ2dWM/user-info"/>
        <s v="https://chat-conecta.recife.pe.gov.br/live/CQgs3L2stMHpDg2f5/user-info"/>
        <s v="https://chat-conecta.recife.pe.gov.br/live/vPCgH7z5oEurBMoR9"/>
        <s v="https://chat-conecta.recife.pe.gov.br/live/AtpMmBNsSsd5enMtp"/>
        <s v="https://chat-conecta.recife.pe.gov.br/live/tPQfXcGR3cW8DgN3x/user-info"/>
        <s v="https://chat-conecta.recife.pe.gov.br/live/hMFpmpb4XmmzZijYj"/>
        <s v="https://chat-conecta.recife.pe.gov.br/live/PS9ohphYmJs7ekBQC"/>
        <s v="https://chat-conecta.recife.pe.gov.br/live/Hukg4WMttHjaQfmua"/>
        <s v="https://chat-conecta.recife.pe.gov.br/live/NinevsZWkd7v7tjwM"/>
        <s v="https://chat-conecta.recife.pe.gov.br/live/Ak8ACWN7eEyjReRFB"/>
        <s v="https://chat-conecta.recife.pe.gov.br/live/Cvw4vTTyYDmSHdWDh/room-info"/>
        <s v="https://chat-conecta.recife.pe.gov.br/live/mGgiXxJAyqQtgm4uK/room-info"/>
        <s v="https://chat-conecta.recife.pe.gov.br/live/kptrbhaTzrK2ktr8A"/>
        <s v="https://chat-conecta.recife.pe.gov.br/live/7JTzz8yk2jZDFyJax"/>
        <s v="https://chat-conecta.recife.pe.gov.br/live/Pb5TZurtYb5jQtBtZ"/>
        <s v="https://chat-conecta.recife.pe.gov.br/live/N2Ph4b9paYK9MTEaN/uploaded-files-list"/>
        <s v="https://chat-conecta.recife.pe.gov.br/live/9eKDYs2n3T9BkNyqm/room-info"/>
        <s v="https://chat-conecta.recife.pe.gov.br/live/6GHMrL8i9sSiG3vea"/>
        <s v="https://chat-conecta.recife.pe.gov.br/live/DnzFR8wLjocHu8g8S/user-info"/>
        <s v="https://chat-conecta.recife.pe.gov.br/live/QMZMLNgNogRCAjf9z/room-info"/>
        <s v="https://chat-conecta.recife.pe.gov.br/live/q4Lqh5k3twcoQkHzd/user-info"/>
        <s v="https://chat-conecta.recife.pe.gov.br/live/7abZaadnTfuFeqXPE"/>
        <s v="https://chat-conecta.recife.pe.gov.br/live/W5JpNfn3g4cCTXGqy"/>
        <s v="https://chat-conecta.recife.pe.gov.br/live/MRFPaXmqffehdBh6a"/>
        <s v="https://chat-conecta.recife.pe.gov.br/live/5pD4oeWYp9P9SBztp"/>
        <s v="https://chat-conecta.recife.pe.gov.br/live/gAAN4dZFDbEejhCAx/user-info"/>
        <s v="https://chat-conecta.recife.pe.gov.br/live/kAvqhexneJWkGC9TD/user-info"/>
        <s v="https://chat-conecta.recife.pe.gov.br/live/ai3gqa3TxSHDrtEFS/user-info"/>
        <s v="https://chat-conecta.recife.pe.gov.br/live/s9iwo5z9PmJG9m8aP/user-info"/>
        <s v="https://chat-conecta.recife.pe.gov.br/live/3EXzH8GWoH3xqdZYt/room-info"/>
        <s v="https://chat-conecta.recife.pe.gov.br/live/kEKTHd5prXyRK3S5G/user-info"/>
        <s v="https://chat-conecta.recife.pe.gov.br/live/ikYgnHT7sy9wyw7ey/uploaded-files-list"/>
        <s v="https://chat-conecta.recife.pe.gov.br/live/asyNQWaZd4JqqPrdq"/>
        <s v="https://chat-conecta.recife.pe.gov.br/live/25jhQpavZtEnGo5aF/user-info"/>
        <s v="https://chat-conecta.recife.pe.gov.br/live/j4im6HCvysDEtbkmD/user-info"/>
        <s v="https://chat-conecta.recife.pe.gov.br/live/NEkvcPtG5wsDcJMSs"/>
        <s v="https://chat-conecta.recife.pe.gov.br/live/Zxu52bnSXjvwrH5uq/user-info"/>
        <s v="https://chat-conecta.recife.pe.gov.br/live/Bm4oDB4XkNbswdswE/user-info"/>
        <s v="https://chat-conecta.recife.pe.gov.br/live/XoAFTDcAwgYpiQYG8/contact-profile"/>
        <s v="https://chat-conecta.recife.pe.gov.br/live/KrgmYWN9T5MWHoe6i/user-info"/>
        <s v="https://chat-conecta.recife.pe.gov.br/live/YA7PGXog8CQx3cMbP/user-info"/>
        <s v="https://chat-conecta.recife.pe.gov.br/live/od6bjHeqe6hrumXao/room-info"/>
        <s v="https://chat-conecta.recife.pe.gov.br/live/gZQyeGQWkHrN4v3y8"/>
        <s v="https://chat-conecta.recife.pe.gov.br/live/2qcsxzkmHud6yC6xS"/>
        <s v="https://chat-conecta.recife.pe.gov.br/live/Nf58wxS2ZqosHdQKv"/>
        <s v="https://chat-conecta.recife.pe.gov.br/live/4753F3KtSvfevPb2A/user-info"/>
        <s v="https://chat-conecta.recife.pe.gov.br/live/9auyC4igp6ranYjno"/>
        <s v="https://chat-conecta.recife.pe.gov.br/live/8QZHNfWYfYBY5d3WN/user-info"/>
        <s v="https://chat-conecta.recife.pe.gov.br/live/EHtnE6sbcNpQyzBaC"/>
        <s v="https://chat-conecta.recife.pe.gov.br/live/ay7LhoFE426QwSKss"/>
        <s v="https://chat-conecta.recife.pe.gov.br/live/NhYQ4h4Dx4rAkJ4Qf/user-info"/>
        <s v="https://chat-conecta.recife.pe.gov.br/live/i3uhSft4dYh92Me9D/user-info"/>
        <s v="https://chat-conecta.recife.pe.gov.br/live/moBnukvQALRWdciJQ"/>
        <s v="https://chat-conecta.recife.pe.gov.br/live/R6Quiuv9X9TZet43i/room-info"/>
        <s v="https://chat-conecta.recife.pe.gov.br/live/GmpHMrNpYPAhk5Xwk/room-info"/>
        <s v="https://chat-conecta.recife.pe.gov.br/live/GeD6XYqdWxves5SmY/room-info"/>
        <s v="https://chat-conecta.recife.pe.gov.br/live/Muzwt7rfvePosaEDc/user-info"/>
        <s v="https://chat-conecta.recife.pe.gov.br/live/MHh2vSgFYtWZLYY8z/room-info"/>
        <s v="https://chat-conecta.recife.pe.gov.br/live/ggCbwmwJFmL9WkFAk"/>
        <s v="https://chat-conecta.recife.pe.gov.br/live/KuuEkXbvHqdxsyCXF/members-list"/>
        <s v="https://chat-conecta.recife.pe.gov.br/live/xpXmhirL8io26rffv/room-info#&amp;gid=1&amp;pid=5"/>
        <s v="https://chat-conecta.recife.pe.gov.br/live/nZ8xf4m7NG7pZxxDr/room-info"/>
        <s v="https://chat-conecta.recife.pe.gov.br/live/HrqqpdChi9dX3Ltcb/room-info"/>
        <s v="https://chat-conecta.recife.pe.gov.br/live/uHe4mKBqRAeWfA4wP/room-info"/>
        <s v="https://chat-conecta.recife.pe.gov.br/live/YDoPoFdKGedhJXJPi"/>
        <s v="https://chat-conecta.recife.pe.gov.br/live/Lxn8JgfrCpJPDJhxc"/>
        <s v="https://chat-conecta.recife.pe.gov.br/live/HQ6fdo5JeP47w4vod/room-info"/>
        <s v="https://chat-conecta.recife.pe.gov.br/live/yjtriDpr2RMjeoC9b/room-info"/>
        <s v="https://chat-conecta.recife.pe.gov.br/live/oG2z9vM5QSw6zrRAS/members-list"/>
        <s v="https://chat-conecta.recife.pe.gov.br/live/nDYcwrSgZvQiTHymH/room-info#&amp;gid=1&amp;pid=3"/>
        <s v="https://chat-conecta.recife.pe.gov.br/live/kq7N7Q8tk6tTJ4CKL"/>
        <s v="https://chat-conecta.recife.pe.gov.br/live/yLuFbzRfShcepYTrr"/>
        <s v="https://chat-conecta.recife.pe.gov.br/live/R5njmNWXy5JEp8tJN"/>
        <s v="https://chat-conecta.recife.pe.gov.br/live/B4GQcxZc6ibuhGshW/user-info"/>
        <s v="https://chat-conecta.recife.pe.gov.br/live/6xfmkWKrzGJh8rWaw"/>
        <s v="https://chat-conecta.recife.pe.gov.br/live/ix7ZKELXkkk5xSxiM"/>
        <s v="https://chat-conecta.recife.pe.gov.br/live/Qq6PCyv6qfSF2Fnz9/room-info"/>
        <s v="https://chat-conecta.recife.pe.gov.br/live/h75KyQ2xMyFt7JW8e/room-info"/>
        <s v="https://chat-conecta.recife.pe.gov.br/live/WKtEkDzzyAALsJ7wG/user-info"/>
        <s v="https://chat-conecta.recife.pe.gov.br/live/nmndfFBEZbChWqFfs"/>
        <s v="https://chat-conecta.recife.pe.gov.br/live/Gk9zyRGqPAcBuR34g/room-info"/>
        <s v="https://chat-conecta.recife.pe.gov.br/live/9kBiBZ93vnRuMbfbo/room-info"/>
        <s v="https://chat-conecta.recife.pe.gov.br/live/6raoowi89PgCn9Wi6/user-info"/>
        <s v="https://chat-conecta.recife.pe.gov.br/live/gAkvXg8mJAKtrQx8R/room-info#&amp;gid=1&amp;pid=2"/>
        <s v="https://chat-conecta.recife.pe.gov.br/live/gu2QSnrH47D55vCnG"/>
        <s v="https://chat-conecta.recife.pe.gov.br/live/zq5fqKf2RpbyXkerK/room-info"/>
        <s v="https://chat-conecta.recife.pe.gov.br/live/5HynbX9SdHkiJYXiA/room-info"/>
        <s v="https://chat-conecta.recife.pe.gov.br/live/ae7etZMMJ6XtuTYcP"/>
        <s v="https://chat-conecta.recife.pe.gov.br/live/9GxprWMrsBbcmjRhC"/>
        <s v="https://chat-conecta.recife.pe.gov.br/live/RGaWmd7GJBjj4oGJk/user-info"/>
        <s v="https://chat-conecta.recife.pe.gov.br/omnichannel-directory/chats/view/f45aSh8RtYx7FxwXw"/>
        <s v="https://chat-conecta.recife.pe.gov.br/live/J8ttWX3qJgnKGdiC5"/>
        <s v="https://chat-conecta.recife.pe.gov.br/live/y3AQ6JiMfT5fvpXb7"/>
        <s v="https://chat-conecta.recife.pe.gov.br/live/88XG4JuNvu3ZukgTQ"/>
        <s v="https://chat-conecta.recife.pe.gov.br/live/9SKGxq5TQMbGT5T56"/>
        <s v="https://chat-conecta.recife.pe.gov.br/live/3AePyaDTPgwXjSFay/user-info"/>
        <s v="https://chat-conecta.recife.pe.gov.br/live/MTGFFfBuwQMXCJPaE"/>
        <s v="https://chat-conecta.recife.pe.gov.br/live/tJTBYvJ5HMiGecifh"/>
        <s v="https://chat-conecta.recife.pe.gov.br/live/HGZ3DQBgBnRdWDc5C"/>
        <s v="https://chat-conecta.recife.pe.gov.br/live/Zb2cjYzfCsb4wLB5F"/>
        <s v="https://chat-conecta.recife.pe.gov.br/live/4gMyuFaa7aSYhj6eF/user-info"/>
        <s v="https://chat-conecta.recife.pe.gov.br/live/hqiLiw458hC7NJJm4"/>
        <s v="https://chat-conecta.recife.pe.gov.br/live/2j57WkKhuudQcc7ab/user-info"/>
        <s v="https://chat-conecta.recife.pe.gov.br/live/FcXJqZXruSJgkWMBS/room-info"/>
        <s v="https://chat-conecta.recife.pe.gov.br/live/EE5LNassRTcR2pHgL"/>
        <s v="https://chat-conecta.recife.pe.gov.br/live/tvTDmobXyKjnGFwd5"/>
        <s v="https://chat-conecta.recife.pe.gov.br/live/qX85kciwKt9H5moLp"/>
        <s v="https://chat-conecta.recife.pe.gov.br/live/a4ww4m4HSfQW73T8u/room-info"/>
        <s v="https://chat-conecta.recife.pe.gov.br/live/voWj38eRFWBtmJxiA"/>
        <s v="https://chat-conecta.recife.pe.gov.br/live/9uvebE7k2Adfs9LQx/user-info#&amp;gid=1&amp;pid=2"/>
        <s v="https://chat-conecta.recife.pe.gov.br/live/M8DHagAESdmdGnqxt"/>
        <s v="https://chat-conecta.recife.pe.gov.br/live/uzFZx8uLgRQzEA2QM/user-info"/>
        <s v="https://chat-conecta.recife.pe.gov.br/live/EQY5Kp3mgLJkycH2C/members-list"/>
        <s v="https://chat-conecta.recife.pe.gov.br/live/4QtagmZbiS5FCMijX/room-info"/>
        <s v="https://chat-conecta.recife.pe.gov.br/live/odPtAEvpaxnNQ2w8i/room-info"/>
        <s v="https://chat-conecta.recife.pe.gov.br/live/3ksJ3mqXxYfvbRNbB/room-info"/>
        <s v="https://chat-conecta.recife.pe.gov.br/live/swyw2a96qRenApvdF"/>
        <s v="https://chat-conecta.recife.pe.gov.br/live/NBp3nmmdBeYYmmbbs/members-list"/>
        <s v="https://chat-conecta.recife.pe.gov.br/live/ndzjiW2RYtRmpozs8"/>
        <s v="https://chat-conecta.recife.pe.gov.br/live/XXCeBddGZWt5RzRNr"/>
        <s v="https://chat-conecta.recife.pe.gov.br/live/yaS3N3sFak2ZLyCGW"/>
        <s v="https://chat-conecta.recife.pe.gov.br/live/XXCeBddGZWt5RzRNr/room-info"/>
        <s v="https://chat-conecta.recife.pe.gov.br/live/xJtJMAqW2tzACRjqG/room-info"/>
        <s v="https://chat-conecta.recife.pe.gov.br/live/tNt8TfGyEmano7FLq"/>
        <s v="https://chat-conecta.recife.pe.gov.br/live/Z237t8NQozaYLmADw"/>
        <s v="https://chat-conecta.recife.pe.gov.br/live/4KGrqAypaKgHiXCYj"/>
        <s v="https://chat-conecta.recife.pe.gov.br/live/pQEzNrwBbi2CCWaxu/user-info"/>
        <s v="https://chat-conecta.recife.pe.gov.br/live/LwSC57fks9qxDYkoM"/>
        <s v="https://chat-conecta.recife.pe.gov.br/live/8NZAynBdhZkSBpoDX/room-info"/>
        <s v="https://chat-conecta.recife.pe.gov.br/live/36HhPcAb5oNefXaKW/room-info"/>
        <s v="https://chat-conecta.recife.pe.gov.br/live/zgRNdosRghT9zjAzK/room-info"/>
        <s v="https://chat-conecta.recife.pe.gov.br/live/9BaK85dFZHeruKhvM/user-info"/>
        <s v="https://chat-conecta.recife.pe.gov.br/live/aB6Bc2BuRbP385Hrj/members-list"/>
        <s v="https://chat-conecta.recife.pe.gov.br/live/NH47SRKWMjAAXsuJr/user-info"/>
        <s v="https://chat-conecta.recife.pe.gov.br/live/BFAvRxBRfPHLX7hHr"/>
        <s v="https://chat-conecta.recife.pe.gov.br/live/n9ABbnNYdbt4p42vz/room-info"/>
        <s v="https://chat-conecta.recife.pe.gov.br/live/ThTFqPxtDCEYGD8t4"/>
        <s v="https://chat-conecta.recife.pe.gov.br/live/ThTFqPxtDCEYGD8t4/room-info"/>
        <s v="https://chat-conecta.recife.pe.gov.br/live/vZk9AxnuiFtsuMBMZ/room-info"/>
        <s v="https://chat-conecta.recife.pe.gov.br/live/CXL24YQuscqSFgfkX"/>
        <s v="https://chat-conecta.recife.pe.gov.br/live/MS26ufXrEAA7AszpS"/>
        <s v="https://chat-conecta.recife.pe.gov.br/live/GgCYzpBQnPCKfsExM"/>
        <s v="https://chat-conecta.recife.pe.gov.br/live/G7TdNyTgvuvPYupGv/room-info"/>
        <s v="https://chat-conecta.recife.pe.gov.br/live/hHzCQk6747Nio5r28/room-info"/>
        <s v="https://chat-conecta.recife.pe.gov.br/live/6BhhebnXknFpimzM5"/>
        <s v="https://chat-conecta.recife.pe.gov.br/live/iMbRMgaYi57tfyLMe/room-info"/>
        <s v="https://chat-conecta.recife.pe.gov.br/live/XECA87aSgNfGBsPzr"/>
        <s v="https://chat-conecta.recife.pe.gov.br/live/jaWmSM8YGBE5bwnEL"/>
        <s v="https://chat-conecta.recife.pe.gov.br/live/f8RiEH3LP5b6hCu7f/user-info"/>
        <s v="https://chat-conecta.recife.pe.gov.br/live/c7igo4j4vdqWc2WHj/user-info"/>
        <s v="https://chat-conecta.recife.pe.gov.br/live/P5JEvc39PsTFP6dRy/user-info"/>
        <s v="https://chat-conecta.recife.pe.gov.br/live/irzdipYdciuzFkvoJ"/>
        <s v="https://chat-conecta.recife.pe.gov.br/live/EfwFjDrh8mbyqLxsp/room-info"/>
        <s v="https://chat-conecta.recife.pe.gov.br/live/4JD82cTjkLvB3Jj9Y/room-info"/>
        <s v="https://chat-conecta.recife.pe.gov.br/live/bpixz7bWhnQuxmQNN"/>
        <s v="https://chat-conecta.recife.pe.gov.br/live/Zt3rrbFKSBdxzRXZ8"/>
        <s v="https://chat-conecta.recife.pe.gov.br/live/szsD6iQ8WF6uKhHn2/room-info"/>
        <s v="https://chat-conecta.recife.pe.gov.br/live/Gmiz7uGtbh9ZL865d/room-info"/>
        <s v="https://chat-conecta.recife.pe.gov.br/live/Nm3vDZ5xGCvujHKoS/user-info"/>
        <s v="https://chat-conecta.recife.pe.gov.br/live/SCJ5L23fou3xmRi7x"/>
        <s v="https://chat-conecta.recife.pe.gov.br/live/9ntRneC5QPRWSPfJx/room-info"/>
        <s v="https://chat-conecta.recife.pe.gov.br/live/gu8TxfguPGrWHewqo"/>
        <s v="https://chat-conecta.recife.pe.gov.br/live/SiRKmmdwdiDBsqoKa/user-info"/>
        <s v="https://chat-conecta.recife.pe.gov.br/live/n9vFtbtZye6oWQbns/room-info"/>
        <s v="https://chat-conecta.recife.pe.gov.br/live/MjMHvvSzb5d99Eu9y"/>
        <s v="https://chat-conecta.recife.pe.gov.br/live/aSvJDCgm3ryeQ847n"/>
        <s v="https://chat-conecta.recife.pe.gov.br/live/SWj69vmkjrSCFTjgx"/>
        <s v="https://chat-conecta.recife.pe.gov.br/live/oWbd3xLrEzRycFbxt"/>
        <s v="https://chat-conecta.recife.pe.gov.br/live/dSHFc5ah9SQ7FCCRz/user-info"/>
        <s v="https://chat-conecta.recife.pe.gov.br/live/wKHtBzpehps2Rpshe"/>
        <s v="https://chat-conecta.recife.pe.gov.br/live/TDxrAmsnn7nJGGvtP"/>
        <s v="https://chat-conecta.recife.pe.gov.br/live/tLboSd8oieAL4vaD3/room-info"/>
        <s v="https://chat-conecta.recife.pe.gov.br/live/SKbFyD84FFG2az7x8/user-info"/>
        <s v="https://chat-conecta.recife.pe.gov.br/live/pDc5fenzyGNH3uHNg/room-info"/>
        <s v="https://chat-conecta.recife.pe.gov.br/live/mAT86vz7XtS3rYJR2/room-info"/>
        <s v="https://chat-conecta.recife.pe.gov.br/live/qt5H6oQ82ACSYmC2G"/>
        <s v="https://chat-conecta.recife.pe.gov.br/live/qt5H6oQ82ACSYmC2G/contact-profile"/>
        <s v="https://chat-conecta.recife.pe.gov.br/live/pAAr9hk3Sih9wAgni"/>
        <s v="https://chat-conecta.recife.pe.gov.br/live/a9583jGBHLfn8HEQg/room-info"/>
        <s v="https://chat-conecta.recife.pe.gov.br/live/cy8YAqeoSBaTMNPfz"/>
        <s v="https://chat-conecta.recife.pe.gov.br/live/iRfCAPrFxs4itj35N"/>
        <s v="https://chat-conecta.recife.pe.gov.br/live/zDyKBTKQQQEiP8YBc"/>
        <s v="https://chat-conecta.recife.pe.gov.br/live/w3GekCtqXHGEroEvA/user-info"/>
        <s v="https://chat-conecta.recife.pe.gov.br/live/kdovYu9zKiR78hpiN"/>
        <s v="https://chat-conecta.recife.pe.gov.br/live/N8ohjRZ5iHoMF9qgF/user-info"/>
        <s v="https://chat-conecta.recife.pe.gov.br/live/BeJK4HzjJbJQMC74Q/room-info"/>
        <s v="https://chat-conecta.recife.pe.gov.br/live/Zw7iqr7gyxX3nMhfJ"/>
        <s v="https://chat-conecta.recife.pe.gov.br/live/LFMopf5EWNkZGqrir/user-info"/>
        <s v="https://chat-conecta.recife.pe.gov.br/live/nqpyCQ3YkJafAWX2W/members-list"/>
        <s v="https://chat-conecta.recife.pe.gov.br/live/8Q9kXLjfzaoTBbLjv/user-info"/>
        <s v="https://chat-conecta.recife.pe.gov.br/live/iwkhY4WqcFZBRwx4e"/>
        <s v="https://chat-conecta.recife.pe.gov.br/live/Rep4Gfxh3bGMunJ3T/room-info"/>
        <s v="https://chat-conecta.recife.pe.gov.br/live/ioeSwQsHx96AsjnZZ/room-info"/>
        <s v="https://chat-conecta.recife.pe.gov.br/live/dahYTy8fMpsFfW9DB/room-info"/>
        <s v="https://chat-conecta.recife.pe.gov.br/live/C8Yhcsh7NCMhNpLSW/user-info"/>
        <s v="https://chat-conecta.recife.pe.gov.br/live/suAdkvhHvWkCZSWZQ/user-info"/>
        <s v="https://chat-conecta.recife.pe.gov.br/live/RGwLiA5B6WrmvMmfm/user-info"/>
        <s v="https://chat-conecta.recife.pe.gov.br/live/n4BKe9GfBkeNqK3iw"/>
        <s v="https://chat-conecta.recife.pe.gov.br/live/qjgRwZzCJm7NpokvD"/>
        <s v="https://chat-conecta.recife.pe.gov.br/live/M38yM7RzhPBcnhTYa/user-info"/>
        <s v="https://chat-conecta.recife.pe.gov.br/live/p9CNhgAmskxkjqebY/user-info"/>
        <s v="https://chat-conecta.recife.pe.gov.br/live/dDq7dEaCqFipf9vmG"/>
        <s v="https://chat-conecta.recife.pe.gov.br/live/WDT2Fc683wyNam8nS/room-info#&amp;gid=1&amp;pid=3"/>
        <s v="https://chat-conecta.recife.pe.gov.br/live/LZTFc7E5vJQKjwPfi/user-info"/>
        <s v="https://chat-conecta.recife.pe.gov.br/live/86R4KShPN3G5hfBAy"/>
        <s v="https://chat-conecta.recife.pe.gov.br/live/yiY3ZpiSMBcDZiNht/members-list"/>
        <s v="https://chat-conecta.recife.pe.gov.br/live/zPW7S5a9bKyQFSxF6/room-info"/>
        <s v="https://chat-conecta.recife.pe.gov.br/live/NPfqCSuNt2DDzNgLn"/>
        <s v="https://chat-conecta.recife.pe.gov.br/live/oGH94CCqu6nP3SYwQ/room-info"/>
        <s v="https://chat-conecta.recife.pe.gov.br/live/jDudnREXvvCbrcKxS/user-info"/>
        <s v="https://chat-conecta.recife.pe.gov.br/direct/JqDiChnx3q5b6JYt5TQcuSEArNi4YqW2MZ"/>
        <s v="https://chat-conecta.recife.pe.gov.br/live/SiBvyBMwEDJe5Awgv/user-info"/>
        <s v="https://chat-conecta.recife.pe.gov.br/live/BQrofuawLzq9hSffu/room-info"/>
        <s v="https://chat-conecta.recife.pe.gov.br/live/9G2xJLjeMHJhAAKMm/user-info"/>
        <s v="https://chat-conecta.recife.pe.gov.br/live/rn4GpN6FoSbspp6Fz"/>
        <s v="https://chat-conecta.recife.pe.gov.br/live/2bL3fx6mPZnxyd6na/room-info"/>
        <s v="https://chat-conecta.recife.pe.gov.br/live/WApNrz3K6aa8cXpC3"/>
        <s v="https://chat-conecta.recife.pe.gov.br/live/8tzamN7wbdQPpzDHd/room-info"/>
        <s v="https://chat-conecta.recife.pe.gov.br/live/FELS5sdARpBuD8jyn"/>
        <s v="https://chat-conecta.recife.pe.gov.br/live/q8oEvo9QQsy76MeEc/user-info"/>
        <s v="https://chat-conecta.recife.pe.gov.br/live/RdasYAmKuFQQnL7cu/room-info"/>
        <s v="https://chat-conecta.recife.pe.gov.br/live/TE2qhzyKvuX8jjxwn/room-info"/>
        <s v="https://chat-conecta.recife.pe.gov.br/live/TE2qhzyKvuX8jjxwn/user-info"/>
        <s v="https://chat-conecta.recife.pe.gov.br/live/RdasYAmKuFQQnL7cu/members-list"/>
        <s v="https://chat-conecta.recife.pe.gov.br/live/GHvrDD4ZBXdyy8mR7/user-info"/>
        <s v="https://chat-conecta.recife.pe.gov.br/live/EjM4ydqyTRrgu7QgL/room-info"/>
        <s v="https://chat-conecta.recife.pe.gov.br/live/bDpZL6bxbZLvqjpbv/user-info"/>
        <s v="https://chat-conecta.recife.pe.gov.br/live/LJQ68yNxuZKQFhqNa"/>
        <s v="https://chat-conecta.recife.pe.gov.br/live/esjcEcd8NsSvmfDTx"/>
        <s v="https://chat-conecta.recife.pe.gov.br/live/3i8GDcP74euvyRq4y/user-info"/>
        <s v="https://chat-conecta.recife.pe.gov.br/live/YPTtEWNCoR3MAMJnK/user-info"/>
        <s v="https://chat-conecta.recife.pe.gov.br/live/6oRFbYZ982SuGG7y5/user-info"/>
        <s v="https://chat-conecta.recife.pe.gov.br/live/3KGQ6uXXWrcejMkcx"/>
        <s v="https://chat-conecta.recife.pe.gov.br/live/bDTy44WhXchXergXn"/>
        <s v="https://chat-conecta.recife.pe.gov.br/live/tJpBn7MqFqbp2e3kS"/>
        <s v="https://chat-conecta.recife.pe.gov.br/live/C7oqL2ud3MZt2u3hn/user-info"/>
        <s v="https://chat-conecta.recife.pe.gov.br/live/RyFSFhNSGGHNRf7sv"/>
        <s v="https://chat-conecta.recife.pe.gov.br/live/W7DrXGZKt43eWc7iR/user-info"/>
        <s v="https://chat-conecta.recife.pe.gov.br/live/nNTApPW98vGd25PDa/room-info"/>
        <s v="https://chat-conecta.recife.pe.gov.br/live/L2BfMcxxapK6jv2vj/user-info"/>
        <s v="https://chat-conecta.recife.pe.gov.br/live/TXrK4iYuBpRsCvb3S/user-info"/>
        <s v="https://chat-conecta.recife.pe.gov.br/live/f9CJ9fpwKdydNazEG/room-info"/>
        <s v="https://chat-conecta.recife.pe.gov.br/live/SiXEkNyhYPexDRTYB/room-info"/>
        <s v="https://chat-conecta.recife.pe.gov.br/live/REAFdqte2DKN4QpLP/room-info"/>
        <s v="https://chat-conecta.recife.pe.gov.br/live/zYgtdJFJ3rJJACTvY/user-info"/>
        <s v="https://chat-conecta.recife.pe.gov.br/live/rkDpTrAb2zbsZZtEn/room-info"/>
        <s v="https://chat-conecta.recife.pe.gov.br/live/HC8js47RFGjMnqrgo/room-info"/>
        <s v="https://chat-conecta.recife.pe.gov.br/live/eN55dtLrcue6ioXq6/room-info"/>
        <s v="https://chat-conecta.recife.pe.gov.br/live/uRmrzRFMFLpwi627A/room-info"/>
        <s v="https://chat-conecta.recife.pe.gov.br/live/irRDQxrq8Wt5xQkxs/room-info"/>
        <s v="https://chat-conecta.recife.pe.gov.br/live/QgyfPRR29Fw4fxpBr"/>
        <s v="https://chat-conecta.recife.pe.gov.br/live/TSDPJpdEARmRSkntZ/room-info"/>
        <s v="https://chat-conecta.recife.pe.gov.br/live/o4i274noExP4KFtZD#&amp;gid=1&amp;pid=4"/>
        <s v="https://chat-conecta.recife.pe.gov.br/live/M5AJwqY9hTP9hsbzn/room-info"/>
        <s v="https://chat-conecta.recife.pe.gov.br/live/wKzKnY2JEsvez7qTe/room-info"/>
        <s v="https://chat-conecta.recife.pe.gov.br/live/mDSscMFhtKxSRk8wM/room-info"/>
        <s v="https://chat-conecta.recife.pe.gov.br/live/HvG3Hf6MtQt96AqC5"/>
        <s v="https://chat-conecta.recife.pe.gov.br/live/Wv4wZsCDqMyrkzAHt/room-info"/>
        <s v="https://chat-conecta.recife.pe.gov.br/live/dmHQswBy5gDbErr3h/room-info"/>
        <s v="https://chat-conecta.recife.pe.gov.br/direct/TQcuSEArNi4YqW2MZrD7nzdMcrwARnnswP"/>
        <s v="https://chat-conecta.recife.pe.gov.br/live/GczgX5YLhyZj3MdrT/room-info"/>
        <s v="https://chat-conecta.recife.pe.gov.br/live/gw8z9yc5S5BxidyoK"/>
        <s v="https://chat-conecta.recife.pe.gov.br/omnichannel-directory/chats/view/XtDv9XtgshTPFwR5i"/>
        <s v="https://chat-conecta.recife.pe.gov.br/live/wzbTkDnqRDE3x5qfA"/>
        <s v="https://chat-conecta.recife.pe.gov.br/live/r5niX7Txd6au46Djc"/>
        <s v="https://chat-conecta.recife.pe.gov.br/live/GK3DuFZokjHkRm9PR"/>
        <s v="https://chat-conecta.recife.pe.gov.br/live/4K83cYoqZJMWkoopL/room-info"/>
        <s v="https://chat-conecta.recife.pe.gov.br/live/Egynxpvsz5BiZmNte"/>
        <s v="https://chat-conecta.recife.pe.gov.br/omnichannel-directory/chats/view/eZNCqLDwhnaSogywR/room-info"/>
        <s v="https://chat-conecta.recife.pe.gov.br/live/SpYsRE7QmAuqDZinD/contact-chat-history"/>
        <s v="https://chat-conecta.recife.pe.gov.br/live/59rCpymG9MbtoYKFp/room-info"/>
        <s v="https://chat-conecta.recife.pe.gov.br/live/aWL3dzB4mDB6cLWQk/room-info"/>
        <s v="https://chat-conecta.recife.pe.gov.br/live/HE9wg335DEGEnuXK9/user-info"/>
        <s v="https://chat-conecta.recife.pe.gov.br/live/kbEASpjrpZ9fd5iNP/user-info"/>
        <s v="https://chat-conecta.recife.pe.gov.br/live/H47ENv8Tx2LEoGPjL/room-info"/>
        <s v="https://chat-conecta.recife.pe.gov.br/live/9WvickZjiJEQELaF2/members-list"/>
        <s v="https://chat-conecta.recife.pe.gov.br/live/yxCf8Ao3nfiWcZMvT"/>
        <s v="https://chat-conecta.recife.pe.gov.br/live/W7Jw76qsWbDu7j4RB"/>
        <s v="https://chat-conecta.recife.pe.gov.br/live/5XPj5pAaCE7Zx7NLg/user-info"/>
        <s v="https://chat-conecta.recife.pe.gov.br/live/D8RLp69xF28EwFneB/user-info"/>
        <s v="https://chat-conecta.recife.pe.gov.br/live/KLTjRkqg2xoM6TZut"/>
        <s v="https://chat-conecta.recife.pe.gov.br/live/7fEWjjB9PTSzaizwQ"/>
        <s v="https://chat-conecta.recife.pe.gov.br/live/mLGoK8riyYGXLS6Bw/room-info"/>
        <s v="https://chat-conecta.recife.pe.gov.br/live/7v873YBzShCTMkQLW"/>
        <s v="https://chat-conecta.recife.pe.gov.br/live/t9hA4JHWvY2MsFqt3/user-info"/>
        <s v="https://chat-conecta.recife.pe.gov.br/live/EYi5wMbSFtekfQLeW/room-info"/>
        <s v="https://chat-conecta.recife.pe.gov.br/live/NzuAX2fuDvLNid6Pm"/>
        <s v="https://chat-conecta.recife.pe.gov.br/live/wYhjtz5PLqkCoEeve"/>
        <s v="https://chat-conecta.recife.pe.gov.br/live/4nLmynik4jnDFXCHS"/>
        <s v="https://chat-conecta.recife.pe.gov.br/live/RQhZJYSuCyt8TK4KW/room-info"/>
        <s v="https://chat-conecta.recife.pe.gov.br/live/hbKHmedcAsJqBWZjw/user-info"/>
        <s v="https://chat-conecta.recife.pe.gov.br/live/bgDhgvtu4L7BYDax3/room-info"/>
        <s v="https://chat-conecta.recife.pe.gov.br/live/fJLEc8JKRAvGSRiT7"/>
        <s v="https://chat-conecta.recife.pe.gov.br/live/ugo5ocfiD2PFjBbTn/members-list"/>
        <s v="https://chat-conecta.recife.pe.gov.br/live/SktjE7pqwaEK5btiG/room-info"/>
        <s v="https://chat-conecta.recife.pe.gov.br/live/mLpGEgPv4gYrGFA27/user-info"/>
        <s v="https://chat-conecta.recife.pe.gov.br/live/xMXigdLeLCZeaCRFA/user-info"/>
        <s v="https://chat-conecta.recife.pe.gov.br/live/jiCMh3NCYdMzxQkwr/room-info"/>
        <s v="https://chat-conecta.recife.pe.gov.br/live/HDPy7hR8Rn4FKRLzR/uploaded-files-list"/>
      </sharedItems>
    </cacheField>
    <cacheField name="Mora em área de cobertura da ESF?" numFmtId="0">
      <sharedItems containsBlank="1" count="4">
        <m/>
        <s v="Sim"/>
        <s v="Não"/>
        <s v="Sim, ESF Incompleta (PACs/EACs)"/>
      </sharedItems>
    </cacheField>
    <cacheField name="Raça/cor" numFmtId="0">
      <sharedItems containsBlank="1" count="7">
        <m/>
        <s v="Branca"/>
        <s v="Parda"/>
        <s v="Preta"/>
        <s v="Amarela"/>
        <s v="Ignorado"/>
        <s v="Não questionado"/>
      </sharedItems>
    </cacheField>
    <cacheField name="Data de nascimento" numFmtId="0">
      <sharedItems containsBlank="1" containsDate="1" containsMixedTypes="1" count="722">
        <m/>
        <d v="1987-01-22T00:00:00"/>
        <d v="1998-01-08T00:00:00"/>
        <d v="1995-08-08T00:00:00"/>
        <d v="1993-03-01T00:00:00"/>
        <d v="2003-07-17T00:00:00"/>
        <d v="1995-08-17T00:00:00"/>
        <d v="2004-12-26T00:00:00"/>
        <d v="2004-10-26T00:00:00"/>
        <d v="1983-03-19T00:00:00"/>
        <d v="1985-10-16T00:00:00"/>
        <d v="1997-02-01T00:00:00"/>
        <s v="2/1/0997"/>
        <d v="2000-02-07T00:00:00"/>
        <d v="1991-10-14T00:00:00"/>
        <d v="1997-06-07T00:00:00"/>
        <d v="2000-12-08T00:00:00"/>
        <d v="2002-08-06T00:00:00"/>
        <d v="1997-01-15T00:00:00"/>
        <d v="1998-04-27T00:00:00"/>
        <d v="1997-06-21T00:00:00"/>
        <d v="1994-09-07T00:00:00"/>
        <d v="1997-02-24T00:00:00"/>
        <d v="1995-05-11T00:00:00"/>
        <d v="1990-06-22T00:00:00"/>
        <d v="1997-04-10T00:00:00"/>
        <d v="1998-01-18T00:00:00"/>
        <d v="2001-10-28T00:00:00"/>
        <d v="1997-07-18T00:00:00"/>
        <d v="1994-07-09T00:00:00"/>
        <d v="1985-05-18T00:00:00"/>
        <d v="1988-10-02T00:00:00"/>
        <d v="1994-11-25T00:00:00"/>
        <d v="1999-11-12T00:00:00"/>
        <d v="1994-07-06T00:00:00"/>
        <d v="2000-07-12T00:00:00"/>
        <d v="1981-04-14T00:00:00"/>
        <d v="1992-01-26T00:00:00"/>
        <d v="1994-06-23T00:00:00"/>
        <d v="1996-01-25T00:00:00"/>
        <d v="1997-10-13T00:00:00"/>
        <d v="1993-12-02T00:00:00"/>
        <d v="2003-06-30T00:00:00"/>
        <d v="1999-02-07T00:00:00"/>
        <d v="1993-12-16T00:00:00"/>
        <d v="1989-04-23T00:00:00"/>
        <d v="1995-03-17T00:00:00"/>
        <d v="1991-10-03T00:00:00"/>
        <d v="1996-07-06T00:00:00"/>
        <d v="1991-10-08T00:00:00"/>
        <d v="1993-12-19T00:00:00"/>
        <d v="1995-05-25T00:00:00"/>
        <d v="2000-10-07T00:00:00"/>
        <d v="2023-03-30T00:00:00"/>
        <d v="1998-11-10T00:00:00"/>
        <d v="2000-09-18T00:00:00"/>
        <d v="2003-06-01T00:00:00"/>
        <d v="1996-06-08T00:00:00"/>
        <d v="1985-09-26T00:00:00"/>
        <s v="3/17/1195"/>
        <d v="1997-09-21T00:00:00"/>
        <d v="1992-12-29T00:00:00"/>
        <d v="1989-06-15T00:00:00"/>
        <d v="1985-08-07T00:00:00"/>
        <d v="2002-07-03T00:00:00"/>
        <d v="2000-07-18T00:00:00"/>
        <d v="1984-01-16T00:00:00"/>
        <d v="1997-06-04T00:00:00"/>
        <d v="1994-02-01T00:00:00"/>
        <d v="1999-02-02T00:00:00"/>
        <d v="2002-04-18T00:00:00"/>
        <d v="1992-05-17T00:00:00"/>
        <d v="1999-03-27T00:00:00"/>
        <d v="1995-05-06T00:00:00"/>
        <d v="1993-12-23T00:00:00"/>
        <d v="2002-12-19T00:00:00"/>
        <d v="1990-06-06T00:00:00"/>
        <d v="1991-12-14T00:00:00"/>
        <d v="1996-06-04T00:00:00"/>
        <d v="2000-06-22T00:00:00"/>
        <d v="1983-05-02T00:00:00"/>
        <d v="1990-05-01T00:00:00"/>
        <d v="1990-08-06T00:00:00"/>
        <d v="1997-09-17T00:00:00"/>
        <d v="2000-08-06T00:00:00"/>
        <d v="1995-07-01T00:00:00"/>
        <d v="1998-02-25T00:00:00"/>
        <d v="1998-02-14T00:00:00"/>
        <d v="1997-07-21T00:00:00"/>
        <d v="1980-09-05T00:00:00"/>
        <d v="1995-01-03T00:00:00"/>
        <d v="1999-06-05T00:00:00"/>
        <d v="1992-09-10T00:00:00"/>
        <d v="1989-04-24T00:00:00"/>
        <d v="1997-12-18T00:00:00"/>
        <d v="1980-09-04T00:00:00"/>
        <d v="1999-11-15T00:00:00"/>
        <d v="2003-11-17T00:00:00"/>
        <d v="1991-04-25T00:00:00"/>
        <d v="1985-07-04T00:00:00"/>
        <d v="1991-05-11T00:00:00"/>
        <d v="1998-03-12T00:00:00"/>
        <d v="1992-09-30T00:00:00"/>
        <d v="2000-10-14T00:00:00"/>
        <d v="2002-11-16T00:00:00"/>
        <d v="2003-09-14T00:00:00"/>
        <d v="2002-06-24T00:00:00"/>
        <d v="1996-10-08T00:00:00"/>
        <d v="2003-10-29T00:00:00"/>
        <d v="1999-05-01T00:00:00"/>
        <d v="1987-04-09T00:00:00"/>
        <d v="1999-04-08T00:00:00"/>
        <d v="2024-05-13T00:00:00"/>
        <d v="1991-06-10T00:00:00"/>
        <d v="1994-08-09T00:00:00"/>
        <d v="1984-09-29T00:00:00"/>
        <d v="1990-08-30T00:00:00"/>
        <d v="1987-05-05T00:00:00"/>
        <d v="2006-02-08T00:00:00"/>
        <d v="1999-05-22T00:00:00"/>
        <d v="1994-08-13T00:00:00"/>
        <d v="2000-10-08T00:00:00"/>
        <d v="1997-04-06T00:00:00"/>
        <d v="1996-05-07T00:00:00"/>
        <d v="1996-05-21T00:00:00"/>
        <d v="1991-07-12T00:00:00"/>
        <d v="1998-05-10T00:00:00"/>
        <d v="1991-05-26T00:00:00"/>
        <d v="1996-12-20T00:00:00"/>
        <d v="1989-09-30T00:00:00"/>
        <d v="1998-12-03T00:00:00"/>
        <d v="2006-03-18T00:00:00"/>
        <d v="2001-01-17T00:00:00"/>
        <d v="1986-12-05T00:00:00"/>
        <d v="2021-07-19T00:00:00"/>
        <d v="1988-12-27T00:00:00"/>
        <d v="1984-10-29T00:00:00"/>
        <d v="1997-09-08T00:00:00"/>
        <d v="2002-07-30T00:00:00"/>
        <d v="1988-07-11T00:00:00"/>
        <d v="1988-11-27T00:00:00"/>
        <d v="1987-03-29T00:00:00"/>
        <d v="2001-03-20T00:00:00"/>
        <d v="1998-01-23T00:00:00"/>
        <d v="1992-02-19T00:00:00"/>
        <d v="2001-10-15T00:00:00"/>
        <d v="2000-02-19T00:00:00"/>
        <d v="2001-02-15T00:00:00"/>
        <d v="1996-05-14T00:00:00"/>
        <d v="2023-06-29T00:00:00"/>
        <d v="1986-06-02T00:00:00"/>
        <d v="1983-01-14T00:00:00"/>
        <d v="1996-02-14T00:00:00"/>
        <d v="1994-08-16T00:00:00"/>
        <d v="1991-10-24T00:00:00"/>
        <d v="1993-08-26T00:00:00"/>
        <d v="2002-01-12T00:00:00"/>
        <d v="1984-07-28T00:00:00"/>
        <d v="1994-04-16T00:00:00"/>
        <d v="2001-11-02T00:00:00"/>
        <d v="2003-07-24T00:00:00"/>
        <d v="2000-06-17T00:00:00"/>
        <d v="1996-07-04T00:00:00"/>
        <d v="1986-09-20T00:00:00"/>
        <d v="1989-09-09T00:00:00"/>
        <d v="2002-09-30T00:00:00"/>
        <d v="1999-05-29T00:00:00"/>
        <d v="2003-08-14T00:00:00"/>
        <d v="1997-10-28T00:00:00"/>
        <d v="1999-07-22T00:00:00"/>
        <d v="1985-01-21T00:00:00"/>
        <d v="1997-08-29T00:00:00"/>
        <d v="1994-01-17T00:00:00"/>
        <d v="1985-02-21T00:00:00"/>
        <d v="1992-12-21T00:00:00"/>
        <d v="1996-11-08T00:00:00"/>
        <d v="1996-12-27T00:00:00"/>
        <d v="1987-12-17T00:00:00"/>
        <d v="2022-12-29T00:00:00"/>
        <d v="1998-09-27T00:00:00"/>
        <d v="2001-06-01T00:00:00"/>
        <d v="1993-07-27T00:00:00"/>
        <d v="1997-07-27T00:00:00"/>
        <d v="1984-09-22T00:00:00"/>
        <d v="1994-04-18T00:00:00"/>
        <d v="1998-02-10T00:00:00"/>
        <d v="1998-09-28T00:00:00"/>
        <d v="1995-12-02T00:00:00"/>
        <d v="1998-12-12T00:00:00"/>
        <d v="1995-06-20T00:00:00"/>
        <d v="2001-08-23T00:00:00"/>
        <d v="2003-12-02T00:00:00"/>
        <d v="1993-08-09T00:00:00"/>
        <d v="2001-02-05T00:00:00"/>
        <d v="1992-01-06T00:00:00"/>
        <d v="2001-11-27T00:00:00"/>
        <d v="1987-02-22T00:00:00"/>
        <d v="1997-11-23T00:00:00"/>
        <d v="1990-09-15T00:00:00"/>
        <d v="1982-04-08T00:00:00"/>
        <d v="1999-05-07T00:00:00"/>
        <d v="1999-07-29T00:00:00"/>
        <d v="1999-05-30T00:00:00"/>
        <d v="1996-08-26T00:00:00"/>
        <d v="1994-08-11T00:00:00"/>
        <d v="1996-06-02T00:00:00"/>
        <d v="1993-03-16T00:00:00"/>
        <d v="2005-01-01T00:00:00"/>
        <d v="1999-08-04T00:00:00"/>
        <d v="2004-04-29T00:00:00"/>
        <d v="1999-05-15T00:00:00"/>
        <d v="2002-07-29T00:00:00"/>
        <d v="2000-03-11T00:00:00"/>
        <d v="1989-08-21T00:00:00"/>
        <d v="2002-01-11T00:00:00"/>
        <d v="1995-05-23T00:00:00"/>
        <d v="2001-09-20T00:00:00"/>
        <d v="2002-11-06T00:00:00"/>
        <d v="1992-02-18T00:00:00"/>
        <d v="1986-05-08T00:00:00"/>
        <d v="2003-12-11T00:00:00"/>
        <d v="2021-02-05T00:00:00"/>
        <d v="1996-11-11T00:00:00"/>
        <d v="2004-09-03T00:00:00"/>
        <d v="2001-09-12T00:00:00"/>
        <d v="1984-07-21T00:00:00"/>
        <d v="1994-03-16T00:00:00"/>
        <d v="1991-06-16T00:00:00"/>
        <d v="2003-02-11T00:00:00"/>
        <d v="1997-11-03T00:00:00"/>
        <d v="2022-11-18T00:00:00"/>
        <d v="2001-09-30T00:00:00"/>
        <d v="1996-05-01T00:00:00"/>
        <d v="2001-03-07T00:00:00"/>
        <d v="1987-07-13T00:00:00"/>
        <d v="1990-09-13T00:00:00"/>
        <d v="1992-07-09T00:00:00"/>
        <d v="2001-09-16T00:00:00"/>
        <d v="2006-09-23T00:00:00"/>
        <d v="2002-10-19T00:00:00"/>
        <d v="1989-04-28T00:00:00"/>
        <d v="1995-10-27T00:00:00"/>
        <d v="2001-09-02T00:00:00"/>
        <d v="1999-08-18T00:00:00"/>
        <d v="1992-07-12T00:00:00"/>
        <d v="1993-07-22T00:00:00"/>
        <d v="1984-02-07T00:00:00"/>
        <d v="1988-12-05T00:00:00"/>
        <d v="1994-12-03T00:00:00"/>
        <d v="1994-05-08T00:00:00"/>
        <d v="1989-12-09T00:00:00"/>
        <d v="1991-08-18T00:00:00"/>
        <d v="1990-07-20T00:00:00"/>
        <d v="1989-06-21T00:00:00"/>
        <d v="1987-12-09T00:00:00"/>
        <d v="1991-06-30T00:00:00"/>
        <d v="1986-12-09T00:00:00"/>
        <d v="2003-04-15T00:00:00"/>
        <d v="1999-10-30T00:00:00"/>
        <d v="2000-05-15T00:00:00"/>
        <d v="1998-08-08T00:00:00"/>
        <d v="2004-10-04T00:00:00"/>
        <d v="1995-10-19T00:00:00"/>
        <d v="2003-11-10T00:00:00"/>
        <d v="1992-04-28T00:00:00"/>
        <d v="1990-10-07T00:00:00"/>
        <d v="1994-06-11T00:00:00"/>
        <d v="1990-01-28T00:00:00"/>
        <d v="1987-01-30T00:00:00"/>
        <d v="1994-10-24T00:00:00"/>
        <d v="1996-11-19T00:00:00"/>
        <d v="1992-02-21T00:00:00"/>
        <d v="1983-12-13T00:00:00"/>
        <d v="1994-11-04T00:00:00"/>
        <d v="2003-02-15T00:00:00"/>
        <d v="1995-04-13T00:00:00"/>
        <d v="1999-10-03T00:00:00"/>
        <d v="2005-03-19T00:00:00"/>
        <d v="1995-05-19T00:00:00"/>
        <d v="1987-10-22T00:00:00"/>
        <d v="1984-05-15T00:00:00"/>
        <d v="1999-06-22T00:00:00"/>
        <d v="1991-12-19T00:00:00"/>
        <d v="1989-05-12T00:00:00"/>
        <d v="1981-06-22T00:00:00"/>
        <d v="2003-03-07T00:00:00"/>
        <d v="1997-01-19T00:00:00"/>
        <s v="6/22/0081"/>
        <d v="1998-08-28T00:00:00"/>
        <d v="2001-03-28T00:00:00"/>
        <d v="1992-07-15T00:00:00"/>
        <d v="2005-05-19T00:00:00"/>
        <d v="1983-06-28T00:00:00"/>
        <d v="2000-01-09T00:00:00"/>
        <d v="1989-05-18T00:00:00"/>
        <d v="1998-07-11T00:00:00"/>
        <d v="1993-11-16T00:00:00"/>
        <d v="1987-09-25T00:00:00"/>
        <d v="1995-07-20T00:00:00"/>
        <d v="1981-06-02T00:00:00"/>
        <d v="1989-05-11T00:00:00"/>
        <d v="1997-06-15T00:00:00"/>
        <d v="2004-02-16T00:00:00"/>
        <s v="4/18/0001"/>
        <d v="1995-04-23T00:00:00"/>
        <d v="1995-05-02T00:00:00"/>
        <d v="1987-06-17T00:00:00"/>
        <d v="1987-03-10T00:00:00"/>
        <d v="1995-04-04T00:00:00"/>
        <d v="1983-04-20T00:00:00"/>
        <d v="1999-08-27T00:00:00"/>
        <d v="2000-10-18T00:00:00"/>
        <d v="2000-06-13T00:00:00"/>
        <d v="2001-11-22T00:00:00"/>
        <d v="1992-02-04T00:00:00"/>
        <d v="2001-04-23T00:00:00"/>
        <d v="1996-12-30T00:00:00"/>
        <d v="2000-07-04T00:00:00"/>
        <d v="1996-01-21T00:00:00"/>
        <d v="1991-04-16T00:00:00"/>
        <d v="1989-10-26T00:00:00"/>
        <d v="2007-02-07T00:00:00"/>
        <d v="1995-07-02T00:00:00"/>
        <d v="1990-02-09T00:00:00"/>
        <d v="2002-12-09T00:00:00"/>
        <d v="2000-06-08T00:00:00"/>
        <d v="2002-01-02T00:00:00"/>
        <d v="2005-04-11T00:00:00"/>
        <d v="2003-03-11T00:00:00"/>
        <d v="1992-05-14T00:00:00"/>
        <d v="1990-03-11T00:00:00"/>
        <d v="1992-05-04T00:00:00"/>
        <s v="10/20/0002"/>
        <d v="1996-10-11T00:00:00"/>
        <d v="1989-08-19T00:00:00"/>
        <d v="1993-01-10T00:00:00"/>
        <d v="1985-09-29T00:00:00"/>
        <d v="2002-10-20T00:00:00"/>
        <d v="1996-07-05T00:00:00"/>
        <d v="1999-04-24T00:00:00"/>
        <d v="1985-08-30T00:00:00"/>
        <d v="1987-09-21T00:00:00"/>
        <d v="1998-06-01T00:00:00"/>
        <d v="1987-09-04T00:00:00"/>
        <d v="1985-09-06T00:00:00"/>
        <d v="1994-12-11T00:00:00"/>
        <d v="1994-02-11T00:00:00"/>
        <d v="2001-02-27T00:00:00"/>
        <d v="1990-12-13T00:00:00"/>
        <d v="2000-11-02T00:00:00"/>
        <d v="2002-11-07T00:00:00"/>
        <d v="1993-02-27T00:00:00"/>
        <d v="1996-07-02T00:00:00"/>
        <d v="1988-04-07T00:00:00"/>
        <d v="1997-03-05T00:00:00"/>
        <d v="2000-10-02T00:00:00"/>
        <d v="1999-05-24T00:00:00"/>
        <d v="1993-04-02T00:00:00"/>
        <d v="1984-09-20T00:00:00"/>
        <s v="9/4/0205"/>
        <d v="1997-04-25T00:00:00"/>
        <d v="1988-12-11T00:00:00"/>
        <d v="1999-03-15T00:00:00"/>
        <d v="1993-03-12T00:00:00"/>
        <d v="1994-03-04T00:00:00"/>
        <d v="2007-07-16T00:00:00"/>
        <d v="1998-10-26T00:00:00"/>
        <d v="1999-12-17T00:00:00"/>
        <d v="2005-05-27T00:00:00"/>
        <d v="2001-12-27T00:00:00"/>
        <d v="1998-01-07T00:00:00"/>
        <d v="1992-05-05T00:00:00"/>
        <d v="2000-05-03T00:00:00"/>
        <d v="1989-02-04T00:00:00"/>
        <d v="1992-01-22T00:00:00"/>
        <d v="2003-08-18T00:00:00"/>
        <d v="2023-07-08T00:00:00"/>
        <d v="1986-01-26T00:00:00"/>
        <d v="1997-03-14T00:00:00"/>
        <d v="2003-01-16T00:00:00"/>
        <d v="2001-07-04T00:00:00"/>
        <d v="1991-07-08T00:00:00"/>
        <d v="1998-04-01T00:00:00"/>
        <d v="2000-03-17T00:00:00"/>
        <d v="1991-10-05T00:00:00"/>
        <d v="1995-04-27T00:00:00"/>
        <d v="1998-08-24T00:00:00"/>
        <d v="1997-08-17T00:00:00"/>
        <d v="1994-05-23T00:00:00"/>
        <d v="1997-05-27T00:00:00"/>
        <d v="1994-02-21T00:00:00"/>
        <d v="2003-05-14T00:00:00"/>
        <d v="1985-12-01T00:00:00"/>
        <d v="1989-09-24T00:00:00"/>
        <d v="1999-04-25T00:00:00"/>
        <d v="1990-09-20T00:00:00"/>
        <d v="1990-01-29T00:00:00"/>
        <d v="1990-09-29T00:00:00"/>
        <d v="1995-10-08T00:00:00"/>
        <d v="1993-06-11T00:00:00"/>
        <d v="2002-01-26T00:00:00"/>
        <d v="1990-05-17T00:00:00"/>
        <d v="1998-11-26T00:00:00"/>
        <d v="1999-05-05T00:00:00"/>
        <d v="1995-02-10T00:00:00"/>
        <d v="2023-08-07T00:00:00"/>
        <d v="1998-11-21T00:00:00"/>
        <d v="1999-01-29T00:00:00"/>
        <d v="1999-05-13T00:00:00"/>
        <d v="1994-07-30T00:00:00"/>
        <d v="1989-06-16T00:00:00"/>
        <d v="1981-06-08T00:00:00"/>
        <d v="2008-05-08T00:00:00"/>
        <d v="1997-03-27T00:00:00"/>
        <d v="1991-06-02T00:00:00"/>
        <d v="1992-08-14T00:00:00"/>
        <d v="1991-10-04T00:00:00"/>
        <d v="1996-11-27T00:00:00"/>
        <d v="1994-03-17T00:00:00"/>
        <d v="1987-07-10T00:00:00"/>
        <d v="2003-09-21T00:00:00"/>
        <d v="1998-09-09T00:00:00"/>
        <d v="1997-08-08T00:00:00"/>
        <d v="1984-01-02T00:00:00"/>
        <d v="2003-11-13T00:00:00"/>
        <d v="2005-03-14T00:00:00"/>
        <d v="1996-01-28T00:00:00"/>
        <d v="2004-06-01T00:00:00"/>
        <d v="1996-10-26T00:00:00"/>
        <d v="1983-02-16T00:00:00"/>
        <d v="1997-10-01T00:00:00"/>
        <d v="2005-01-19T00:00:00"/>
        <d v="2002-04-15T00:00:00"/>
        <d v="1996-04-01T00:00:00"/>
        <d v="2002-12-03T00:00:00"/>
        <d v="1987-02-25T00:00:00"/>
        <d v="1991-10-30T00:00:00"/>
        <d v="1996-08-06T00:00:00"/>
        <d v="1996-11-29T00:00:00"/>
        <d v="2003-07-28T00:00:00"/>
        <d v="1991-09-06T00:00:00"/>
        <d v="1992-12-11T00:00:00"/>
        <d v="2000-12-07T00:00:00"/>
        <d v="1993-01-21T00:00:00"/>
        <d v="1999-02-08T00:00:00"/>
        <d v="1989-02-09T00:00:00"/>
        <d v="1998-09-02T00:00:00"/>
        <d v="1993-06-15T00:00:00"/>
        <d v="1988-03-29T00:00:00"/>
        <d v="2002-04-09T00:00:00"/>
        <d v="1988-03-02T00:00:00"/>
        <d v="1991-05-05T00:00:00"/>
        <d v="1997-05-14T00:00:00"/>
        <d v="1981-03-15T00:00:00"/>
        <d v="1998-10-19T00:00:00"/>
        <d v="1999-05-20T00:00:00"/>
        <d v="1999-10-10T00:00:00"/>
        <d v="1999-11-14T00:00:00"/>
        <d v="1991-03-09T00:00:00"/>
        <d v="1996-02-20T00:00:00"/>
        <d v="1992-12-17T00:00:00"/>
        <d v="2003-03-18T00:00:00"/>
        <d v="1999-12-25T00:00:00"/>
        <d v="2000-10-24T00:00:00"/>
        <d v="1993-04-19T00:00:00"/>
        <d v="1992-08-25T00:00:00"/>
        <d v="1991-09-20T00:00:00"/>
        <d v="2005-05-26T00:00:00"/>
        <d v="1997-01-17T00:00:00"/>
        <d v="2004-03-19T00:00:00"/>
        <d v="1992-05-08T00:00:00"/>
        <d v="1994-07-27T00:00:00"/>
        <d v="1999-12-15T00:00:00"/>
        <d v="1992-08-05T00:00:00"/>
        <d v="1999-10-22T00:00:00"/>
        <d v="2002-12-08T00:00:00"/>
        <d v="1998-07-10T00:00:00"/>
        <d v="1993-06-01T00:00:00"/>
        <d v="1992-03-08T00:00:00"/>
        <d v="1992-10-08T00:00:00"/>
        <d v="1991-10-28T00:00:00"/>
        <d v="1996-05-02T00:00:00"/>
        <d v="2006-06-26T00:00:00"/>
        <d v="1996-04-06T00:00:00"/>
        <d v="1981-10-31T00:00:00"/>
        <d v="1990-04-30T00:00:00"/>
        <d v="2001-01-25T00:00:00"/>
        <d v="2002-07-06T00:00:00"/>
        <d v="1995-04-09T00:00:00"/>
        <d v="1985-09-16T00:00:00"/>
        <d v="1997-03-21T00:00:00"/>
        <d v="1991-02-15T00:00:00"/>
        <d v="1999-08-06T00:00:00"/>
        <d v="2022-05-11T00:00:00"/>
        <d v="1987-08-24T00:00:00"/>
        <d v="2001-04-13T00:00:00"/>
        <d v="2005-01-23T00:00:00"/>
        <d v="2005-03-17T00:00:00"/>
        <d v="1993-09-01T00:00:00"/>
        <d v="2002-05-11T00:00:00"/>
        <d v="1995-01-30T00:00:00"/>
        <d v="1982-01-15T00:00:00"/>
        <d v="1987-10-17T00:00:00"/>
        <d v="1983-12-12T00:00:00"/>
        <d v="2001-03-15T00:00:00"/>
        <d v="2004-09-04T00:00:00"/>
        <d v="2024-01-15T00:00:00"/>
        <d v="1988-09-15T00:00:00"/>
        <d v="1995-09-27T00:00:00"/>
        <d v="1998-05-11T00:00:00"/>
        <d v="1989-08-01T00:00:00"/>
        <d v="1999-03-23T00:00:00"/>
        <d v="1984-08-24T00:00:00"/>
        <d v="1998-09-15T00:00:00"/>
        <d v="2000-05-11T00:00:00"/>
        <d v="2023-12-20T00:00:00"/>
        <d v="1999-06-14T00:00:00"/>
        <d v="1992-02-11T00:00:00"/>
        <d v="1998-04-06T00:00:00"/>
        <d v="1993-10-07T00:00:00"/>
        <d v="1999-12-12T00:00:00"/>
        <d v="1991-09-30T00:00:00"/>
        <d v="2000-10-29T00:00:00"/>
        <d v="1996-02-10T00:00:00"/>
        <d v="1995-07-06T00:00:00"/>
        <d v="1990-06-30T00:00:00"/>
        <d v="1990-01-24T00:00:00"/>
        <d v="1999-12-30T00:00:00"/>
        <d v="2001-01-11T00:00:00"/>
        <d v="1991-07-17T00:00:00"/>
        <d v="1998-09-01T00:00:00"/>
        <d v="1999-01-06T00:00:00"/>
        <d v="1998-01-29T00:00:00"/>
        <d v="2002-08-04T00:00:00"/>
        <d v="1994-01-25T00:00:00"/>
        <d v="1998-08-13T00:00:00"/>
        <d v="1994-06-13T00:00:00"/>
        <d v="2023-01-29T00:00:00"/>
        <d v="2001-10-02T00:00:00"/>
        <d v="2000-12-28T00:00:00"/>
        <d v="1991-02-13T00:00:00"/>
        <d v="1999-03-03T00:00:00"/>
        <d v="1997-02-13T00:00:00"/>
        <d v="2006-02-25T00:00:00"/>
        <d v="1999-07-11T00:00:00"/>
        <d v="1987-10-15T00:00:00"/>
        <d v="2005-11-16T00:00:00"/>
        <d v="1987-03-01T00:00:00"/>
        <d v="1993-08-17T00:00:00"/>
        <d v="1994-05-20T00:00:00"/>
        <d v="2003-05-21T00:00:00"/>
        <d v="2006-09-29T00:00:00"/>
        <d v="1986-12-08T00:00:00"/>
        <d v="2007-12-24T00:00:00"/>
        <d v="1985-04-13T00:00:00"/>
        <d v="1989-11-08T00:00:00"/>
        <d v="1984-08-06T00:00:00"/>
        <d v="2003-10-21T00:00:00"/>
        <d v="1996-09-16T00:00:00"/>
        <d v="1998-07-28T00:00:00"/>
        <d v="1993-07-02T00:00:00"/>
        <d v="1998-12-22T00:00:00"/>
        <d v="2000-05-25T00:00:00"/>
        <d v="1991-03-26T00:00:00"/>
        <d v="2009-07-15T00:00:00"/>
        <d v="1988-09-24T00:00:00"/>
        <d v="2000-03-13T00:00:00"/>
        <d v="2002-06-23T00:00:00"/>
        <d v="1995-07-22T00:00:00"/>
        <d v="1994-07-17T00:00:00"/>
        <d v="1988-08-13T00:00:00"/>
        <d v="2004-09-12T00:00:00"/>
        <d v="1998-06-05T00:00:00"/>
        <d v="2001-10-17T00:00:00"/>
        <d v="1989-04-06T00:00:00"/>
        <d v="1999-12-10T00:00:00"/>
        <d v="1997-05-17T00:00:00"/>
        <d v="1999-07-04T00:00:00"/>
        <d v="1999-03-20T00:00:00"/>
        <d v="1995-10-05T00:00:00"/>
        <d v="1997-01-06T00:00:00"/>
        <d v="1987-02-23T00:00:00"/>
        <d v="2000-12-01T00:00:00"/>
        <d v="1995-07-19T00:00:00"/>
        <d v="1994-04-22T00:00:00"/>
        <d v="1995-08-23T00:00:00"/>
        <d v="2000-03-03T00:00:00"/>
        <d v="2001-12-10T00:00:00"/>
        <d v="2003-02-27T00:00:00"/>
        <d v="2006-06-22T00:00:00"/>
        <d v="1998-02-09T00:00:00"/>
        <d v="2002-08-21T00:00:00"/>
        <d v="1993-10-14T00:00:00"/>
        <d v="1988-07-27T00:00:00"/>
        <d v="1997-11-30T00:00:00"/>
        <d v="2004-04-16T00:00:00"/>
        <d v="1992-06-06T00:00:00"/>
        <d v="1999-07-27T00:00:00"/>
        <d v="1992-01-15T00:00:00"/>
        <d v="1981-02-24T00:00:00"/>
        <d v="2002-03-04T00:00:00"/>
        <d v="2001-03-18T00:00:00"/>
        <d v="2005-02-13T00:00:00"/>
        <d v="2000-01-29T00:00:00"/>
        <d v="1998-03-04T00:00:00"/>
        <d v="2002-09-20T00:00:00"/>
        <d v="1992-07-02T00:00:00"/>
        <d v="2000-10-12T00:00:00"/>
        <d v="2007-02-14T00:00:00"/>
        <d v="1992-06-15T00:00:00"/>
        <d v="1993-11-25T00:00:00"/>
        <d v="1999-01-14T00:00:00"/>
        <d v="1998-03-26T00:00:00"/>
        <d v="1991-03-15T00:00:00"/>
        <d v="2002-08-16T00:00:00"/>
        <d v="1996-02-16T00:00:00"/>
        <d v="2001-02-12T00:00:00"/>
        <d v="2006-12-22T00:00:00"/>
        <d v="1983-03-17T00:00:00"/>
        <d v="1986-11-12T00:00:00"/>
        <d v="1994-09-26T00:00:00"/>
        <d v="1995-10-13T00:00:00"/>
        <d v="2004-03-21T00:00:00"/>
        <d v="1986-11-27T00:00:00"/>
        <d v="1997-04-11T00:00:00"/>
        <d v="1986-11-20T00:00:00"/>
        <d v="2024-04-10T00:00:00"/>
        <d v="1994-12-10T00:00:00"/>
        <d v="2008-11-18T00:00:00"/>
        <d v="1994-10-09T00:00:00"/>
        <d v="2000-03-21T00:00:00"/>
        <d v="1998-12-06T00:00:00"/>
        <d v="1999-03-02T00:00:00"/>
        <d v="2004-05-25T00:00:00"/>
        <d v="1991-07-04T00:00:00"/>
        <d v="2001-08-27T00:00:00"/>
        <d v="1998-10-11T00:00:00"/>
        <d v="1984-12-24T00:00:00"/>
        <d v="1996-04-08T00:00:00"/>
        <d v="1991-05-02T00:00:00"/>
        <d v="2003-09-07T00:00:00"/>
        <d v="2006-12-30T00:00:00"/>
        <d v="2000-11-07T00:00:00"/>
        <d v="1992-05-15T00:00:00"/>
        <d v="1986-09-07T00:00:00"/>
        <d v="2024-04-26T00:00:00"/>
        <d v="1998-09-17T00:00:00"/>
        <d v="1982-07-20T00:00:00"/>
        <d v="1987-08-03T00:00:00"/>
        <d v="1989-02-02T00:00:00"/>
        <d v="2024-03-21T00:00:00"/>
        <d v="1999-03-31T00:00:00"/>
        <d v="2000-07-14T00:00:00"/>
        <d v="1989-11-22T00:00:00"/>
        <d v="1997-04-04T00:00:00"/>
        <d v="2005-07-04T00:00:00"/>
        <d v="1999-05-12T00:00:00"/>
        <d v="1992-06-09T00:00:00"/>
        <d v="2003-09-17T00:00:00"/>
        <d v="1994-09-15T00:00:00"/>
        <d v="2001-08-03T00:00:00"/>
        <d v="1988-08-21T00:00:00"/>
        <d v="1994-07-13T00:00:00"/>
        <d v="1994-03-27T00:00:00"/>
        <d v="2004-03-29T00:00:00"/>
        <d v="1996-06-03T00:00:00"/>
        <d v="2002-03-15T00:00:00"/>
        <d v="2005-12-25T00:00:00"/>
        <d v="1995-06-14T00:00:00"/>
        <d v="1989-04-27T00:00:00"/>
        <d v="1996-05-26T00:00:00"/>
        <d v="1992-09-19T00:00:00"/>
        <d v="2001-04-11T00:00:00"/>
        <d v="2001-12-21T00:00:00"/>
        <d v="1993-12-01T00:00:00"/>
        <d v="1997-08-12T00:00:00"/>
        <d v="1982-09-22T00:00:00"/>
        <d v="2005-07-20T00:00:00"/>
        <d v="1997-07-23T00:00:00"/>
        <d v="2001-05-15T00:00:00"/>
        <d v="1990-03-17T00:00:00"/>
        <d v="1997-01-21T00:00:00"/>
        <d v="1993-12-04T00:00:00"/>
        <d v="1992-01-14T00:00:00"/>
        <d v="1997-06-02T00:00:00"/>
        <d v="1981-03-18T00:00:00"/>
        <d v="1999-03-17T00:00:00"/>
        <d v="1988-11-11T00:00:00"/>
        <d v="2024-12-21T00:00:00"/>
        <d v="1990-10-04T00:00:00"/>
        <d v="1995-08-26T00:00:00"/>
        <d v="1981-07-26T00:00:00"/>
        <d v="2003-01-23T00:00:00"/>
        <d v="1995-07-03T00:00:00"/>
        <d v="1993-11-02T00:00:00"/>
        <d v="1984-03-22T00:00:00"/>
        <d v="2000-05-19T00:00:00"/>
        <d v="1979-06-02T00:00:00"/>
        <d v="1986-06-20T00:00:00"/>
        <d v="2004-08-26T00:00:00"/>
        <d v="1994-01-14T00:00:00"/>
        <d v="1996-09-10T00:00:00"/>
        <d v="1995-04-11T00:00:00"/>
        <d v="1999-01-08T00:00:00"/>
        <d v="1996-08-24T00:00:00"/>
        <d v="1991-01-15T00:00:00"/>
        <d v="2006-08-19T00:00:00"/>
        <d v="2000-04-13T00:00:00"/>
        <d v="1998-06-18T00:00:00"/>
        <d v="2003-06-08T00:00:00"/>
        <d v="2003-10-01T00:00:00"/>
        <d v="1999-07-14T00:00:00"/>
        <d v="1992-11-16T00:00:00"/>
        <d v="1998-03-14T00:00:00"/>
        <d v="1984-01-19T00:00:00"/>
        <d v="2002-06-01T00:00:00"/>
        <d v="1989-10-27T00:00:00"/>
        <d v="2000-06-29T00:00:00"/>
        <d v="1995-06-17T00:00:00"/>
        <d v="2002-05-02T00:00:00"/>
        <d v="1997-10-02T00:00:00"/>
        <d v="1988-09-07T00:00:00"/>
      </sharedItems>
    </cacheField>
    <cacheField name="DUM" numFmtId="0">
      <sharedItems containsBlank="1" containsDate="1" containsMixedTypes="1" count="548">
        <m/>
        <d v="2022-03-19T00:00:00"/>
        <d v="2022-04-23T00:00:00"/>
        <s v="23/07/2022"/>
        <s v="23/07/2023"/>
        <s v="13/05/2022"/>
        <s v="31/05/2022"/>
        <s v="15/07/2022"/>
        <d v="2022-07-15T00:00:00"/>
        <s v="15/07/22"/>
        <s v="desconhecida"/>
        <s v="16/08/2022"/>
        <s v="08/08/2022"/>
        <s v="26/01/2023"/>
        <n v="26012023"/>
        <s v="30/09/2022"/>
        <s v="04/10/2022"/>
        <s v="02/09/2022"/>
        <s v="02/09/2023"/>
        <s v="16/09/2022"/>
        <s v="04/09/2022"/>
        <s v="28/08/2022"/>
        <s v="25/08/2022"/>
        <s v="17/11/22"/>
        <s v="17/03/2023"/>
        <s v="01/02/2023"/>
        <n v="25082022"/>
        <s v="01/05/2023"/>
        <s v="17/11/2022"/>
        <s v="10/04/2023"/>
        <s v="15/03/2023"/>
        <s v="19/10/2022"/>
        <s v=" 07/10/2022"/>
        <s v="19/12/2022"/>
        <s v=" 01/02/2023"/>
        <s v="07/10/2022"/>
        <s v="04/02/2023"/>
        <s v="28/03/2023"/>
        <s v=" 31/10/2022"/>
        <s v="02/08/2022"/>
        <s v="15/11/2022"/>
        <s v="10/01/2023"/>
        <s v="08/02/2023"/>
        <s v="28/12/2022"/>
        <s v="18/12/2022"/>
        <s v="05/09/2022"/>
        <s v="05/10/2022"/>
        <s v="28/01/2023"/>
        <s v="16/02/2023"/>
        <s v="15/11/2023"/>
        <s v="26/12/2022"/>
        <s v="15/02/2023"/>
        <s v="19/02/2023"/>
        <s v="31/10/2022"/>
        <s v="21/01/2023"/>
        <s v="20/04/2023"/>
        <s v="08/09/2022"/>
        <s v="02/04/2023"/>
        <s v="29/10/2022"/>
        <s v="DUM desconhecida"/>
        <s v="06/12/2022"/>
        <s v="27/10/2022"/>
        <s v="02/12/2022"/>
        <s v="30/112022"/>
        <s v="25/02/2023"/>
        <s v="24/09/2022"/>
        <s v="29/102022"/>
        <s v="17/08/2022"/>
        <s v="21/09/2022"/>
        <s v="15/09/2022"/>
        <s v="02/10/2022"/>
        <s v="30/04/2023"/>
        <s v="16/11/2022"/>
        <s v="07/09/2022"/>
        <s v="01/03/2023"/>
        <s v="05/02/2023"/>
        <s v="07/04/2023"/>
        <s v="29/092022"/>
        <s v=" 15/03/2023"/>
        <s v="30/05/2023"/>
        <s v="02/05/2023"/>
        <s v="10/11/2022"/>
        <s v="30/11/2022"/>
        <s v="00"/>
        <s v="18/03/2023"/>
        <s v="06/09/2022"/>
        <s v="13/02/2023"/>
        <s v="25/11/2022"/>
        <s v=" 10/11/2022"/>
        <s v="22/12/22"/>
        <s v="11/11/2022"/>
        <s v="28/12/22"/>
        <s v="22/02/2023"/>
        <s v="02/09/22"/>
        <s v="12/02/2023"/>
        <s v="15/01/2023"/>
        <s v="Desconhecida IG aprox 24 semanas"/>
        <s v="02/092022"/>
        <s v="05/03/23"/>
        <s v="10/09/2022"/>
        <s v="10/10/2022"/>
        <s v="puerpera"/>
        <s v="05/11/2022"/>
        <s v="03/04/2023"/>
        <s v="11/04/2023"/>
        <s v="nao informada"/>
        <s v="27/09/23"/>
        <s v="02/01/2023"/>
        <s v="30/10/2022"/>
        <s v="02052023"/>
        <s v="22/03/2023"/>
        <s v="01/04/2023"/>
        <s v="14/10/2022"/>
        <s v="22/12/2022"/>
        <s v="06/05/2023"/>
        <s v="09/03/2023"/>
        <s v=" 12/09/2022"/>
        <s v="26/03/2023"/>
        <s v="28/11/2022"/>
        <s v="10/03/2023"/>
        <s v="31/12/2022"/>
        <s v="30/01/2023"/>
        <s v="20/09/2022"/>
        <s v="14/01/2023"/>
        <s v="21/09/2022 "/>
        <s v="13/03/2023"/>
        <s v="27/03/2023"/>
        <s v="02/10/2001"/>
        <s v="25/01/2023"/>
        <s v="14/04/2023"/>
        <s v="05/12/2022"/>
        <s v="05/04/2023"/>
        <s v="06/05/23"/>
        <s v="21/01/23"/>
        <s v="desconhece"/>
        <s v="08/10/2022"/>
        <s v="30/10/1984"/>
        <s v="19/01/2023"/>
        <s v="não sabe"/>
        <s v="21/09/22"/>
        <s v="12/12/2022"/>
        <s v=" 27/11/2022"/>
        <d v="2023-01-20T00:00:00"/>
        <s v=" 21/09/2022"/>
        <s v="20/01/2023"/>
        <s v="29/04/2023"/>
        <s v="14/11/2022"/>
        <s v="04/11/2022"/>
        <s v="05/05/23"/>
        <s v="Desconhecida."/>
        <s v="21/05/2023"/>
        <s v="05/05/2023"/>
        <s v="07/12/2022"/>
        <s v="03/01/2023"/>
        <s v="07/12/2023"/>
        <s v="10/112022"/>
        <s v="04/05/2023"/>
        <s v="15/10/2022"/>
        <s v="desconhecida "/>
        <s v="27/11/2022"/>
        <s v="05/08/2019"/>
        <s v="16/04/2023"/>
        <s v="12/10/2022"/>
        <s v="20/12/2022"/>
        <s v="02/02/2023"/>
        <s v="22/05/2023"/>
        <s v="04/11/2023"/>
        <s v="18/02/2023"/>
        <s v="30/03/2023"/>
        <s v=" 06/05/2023"/>
        <s v="26/05/2023"/>
        <s v="18/05/2023"/>
        <s v="28/10/2022"/>
        <s v=" desconhecida"/>
        <s v="23/10/2022"/>
        <s v="25/12/2022"/>
        <s v="22/04/2023"/>
        <s v="27/06/2023"/>
        <d v="2022-11-23T00:00:00"/>
        <s v="07/03/2023"/>
        <s v="23/11/2022"/>
        <s v=" 01/03/23"/>
        <s v="13/02/22"/>
        <s v="03/11/2022"/>
        <s v="10/12/2022"/>
        <s v=" 10/01/2023"/>
        <s v="02/04/2023 "/>
        <s v="11/12/2022"/>
        <s v="13/07/2023"/>
        <s v="14/12/2022"/>
        <s v="18/11/2022"/>
        <s v="19/04/2023"/>
        <s v="13/01/2023"/>
        <s v="21/02/2023"/>
        <s v="02/03/2023"/>
        <s v="20/03/2023"/>
        <s v="não se aplica"/>
        <s v=" 13/01/2023"/>
        <s v="05/03/2023"/>
        <s v="13/06/2023"/>
        <s v="16/05/2023"/>
        <s v="14/07/23"/>
        <s v="19/06/2023"/>
        <s v="14/06/2023"/>
        <s v=" 08/05/2023"/>
        <s v="25/03/2023"/>
        <s v="08/05/2023"/>
        <s v="08/11/2022"/>
        <s v="23/06/2023"/>
        <s v=" 23/06/23"/>
        <s v="05/07/2023"/>
        <s v="31/01/2023"/>
        <s v="28/05/2023"/>
        <s v=" 12/02/2023"/>
        <s v="02/02/23"/>
        <s v="09/01/2023"/>
        <s v="12/07/2023"/>
        <s v="07/02/2023"/>
        <s v="26/06/2023"/>
        <s v="10/06/2023"/>
        <s v="14/03/2023"/>
        <s v="24/11/2022"/>
        <s v="25/04/2023"/>
        <s v=" 10/03/2023"/>
        <s v="15/12/2022"/>
        <s v=" 28/11/2022"/>
        <s v=" 15/12/2022"/>
        <s v="03/06/2023"/>
        <s v="15/012023"/>
        <s v="27/12/2022"/>
        <s v=" 23/12/22"/>
        <s v="28/02/2023"/>
        <s v="08/04/2023"/>
        <s v="14/012023"/>
        <s v=" 04/02/2023"/>
        <s v="19/05/2023"/>
        <s v="05/08/2023"/>
        <s v="18/02/23"/>
        <s v="06/07/2023"/>
        <s v="16/01/2023"/>
        <s v="19/02/23"/>
        <s v="18/08/2023"/>
        <s v="10/07/2023"/>
        <s v="16/08/2023"/>
        <s v="30/07/2023"/>
        <s v="15/04/2023"/>
        <s v="29/12/2023"/>
        <s v="29/12/22022"/>
        <s v="15/042023"/>
        <s v="24/08/2023"/>
        <s v="29/12/2022"/>
        <s v="01/01/2023"/>
        <s v=" 19/07/2023"/>
        <s v="26/12/22"/>
        <s v="21/07/2023"/>
        <s v="20/07/2023"/>
        <s v=" 06/01/2023"/>
        <s v="20/06/2023"/>
        <s v="06/01/2002"/>
        <s v=" 14/02/2023"/>
        <s v="25/07/2023"/>
        <s v="20/02/2023"/>
        <s v="05/01/2023"/>
        <s v="06/03/2023"/>
        <s v=" 08/06/2023"/>
        <s v=" 30/01/2023"/>
        <s v="09/04/2023"/>
        <s v="08/03/2023"/>
        <s v="Incerta"/>
        <s v="28/08/2023"/>
        <s v=" 10/02/2023"/>
        <s v="irregular "/>
        <s v="04/09/1987"/>
        <s v="09/02/2023"/>
        <s v=" 21/02/2023"/>
        <s v="02/06/2023"/>
        <s v="17/01/2023"/>
        <s v="28/02/23"/>
        <s v="irregular"/>
        <s v="08/07/2023"/>
        <s v="30/08/2023"/>
        <s v="25/06/2023"/>
        <s v="22/01/2023"/>
        <s v="14/09/2023"/>
        <s v="07/02/3023"/>
        <s v="12/01/2023"/>
        <s v=" 09/07/2023"/>
        <s v="12/06/2023"/>
        <s v="13/09/2023"/>
        <s v="01/06/2023"/>
        <s v=" 24/12/2022"/>
        <s v="05/10/2023"/>
        <s v="04/07/2023"/>
        <s v="13/11/2023"/>
        <s v="15/07/2023"/>
        <s v="10/06/1991"/>
        <s v="26/08/2023"/>
        <s v="27/02/2023"/>
        <s v="15/09/2023"/>
        <s v="20/09/2023"/>
        <s v=" 09/02/2023"/>
        <d v="2023-02-15T00:00:00"/>
        <s v="06/08/2023"/>
        <s v="16/07/2023"/>
        <d v="2023-02-04T00:00:00"/>
        <s v="15/04/1999"/>
        <s v="12/05/1992"/>
        <s v="23/04/2023"/>
        <s v="30/09/2023"/>
        <s v="12/05/2023"/>
        <s v="21/04/2023"/>
        <s v=" 08/07/2023"/>
        <s v="17/06/2023"/>
        <s v=" 07/03/2023"/>
        <s v="13/03/20223"/>
        <s v="14/05/2023"/>
        <s v="04/10/2023"/>
        <s v="10/08//2023"/>
        <s v="10/08/2023"/>
        <s v="25/10/2023"/>
        <s v=" 24/07/2023"/>
        <s v=" 15/08/2023"/>
        <s v="01/07/2023"/>
        <s v="15/10/2023"/>
        <s v="24/07/2023"/>
        <s v="10/05/2023"/>
        <s v="08/06/2023"/>
        <s v="17/09/2023"/>
        <s v="13/04/2023"/>
        <s v="10/06/1996"/>
        <s v="24/09/2023"/>
        <s v="06/03/23"/>
        <s v=" 21/04/2023"/>
        <s v="24/03/2023"/>
        <s v="04/03/2023"/>
        <s v="20/10/2023"/>
        <s v="11/10/2023"/>
        <s v="21/04/23"/>
        <s v="13/10/2023"/>
        <s v="03/10/2023"/>
        <s v="06/09/2023"/>
        <s v="22/09/2023"/>
        <s v=" 18/10/2023"/>
        <s v="26/07/2023"/>
        <s v="08/06/2003"/>
        <s v="23/09/2023"/>
        <s v=" 19/05/2023"/>
        <s v=" 26/07/2023"/>
        <d v="2023-09-29T00:00:00"/>
        <s v="21/10/2023"/>
        <s v="29/03/2023"/>
        <s v="29/09/2023"/>
        <s v="29/08/2023"/>
        <s v="28/09/2023"/>
        <s v=" 29/03/2023"/>
        <s v=" 29/09/2023"/>
        <s v="01/11/2023"/>
        <s v="02/08/2023"/>
        <s v="05/06/2023"/>
        <s v="08/09/2023"/>
        <s v="10/11/2023"/>
        <s v="06/05/24"/>
        <s v="18/04/2023"/>
        <s v=" 16/04/23"/>
        <s v="02/10/23"/>
        <s v=" 13/09/2023"/>
        <s v="NAO SABE"/>
        <s v="24/05/2023"/>
        <s v=" 18/04/2023"/>
        <s v="11/12/2023"/>
        <s v="23/12/2023"/>
        <s v="07/11/2023"/>
        <s v="08/052023"/>
        <s v="25/05/2023"/>
        <s v="24/06/2023"/>
        <s v="31/10/2023"/>
        <s v="26/05/23"/>
        <s v=" 19/04/2023"/>
        <s v="03/11/2023"/>
        <s v="11/11/2023"/>
        <s v="28/12/2023"/>
        <s v="05/11/2023"/>
        <s v="15/10/2024"/>
        <s v=" 07/11/2023"/>
        <s v="nao se aplica"/>
        <s v="26/10/23"/>
        <s v=" 28/12/2023"/>
        <s v=" 01/10/2023"/>
        <s v="15/08/2023"/>
        <s v="17/10/2023"/>
        <s v="16/11/2023"/>
        <d v="2023-07-26T00:00:00"/>
        <s v="26/07/23"/>
        <s v="19/12/2023"/>
        <s v="26/08/23"/>
        <s v="09/08/2023"/>
        <s v="19/07/2023"/>
        <s v="27/12/2023"/>
        <s v="04/06/2023"/>
        <s v="09/12/2023"/>
        <s v="29/04/2004"/>
        <s v="27/08/2023"/>
        <s v="09/12/2024"/>
        <s v="22/06/2023"/>
        <s v="20/05/2023"/>
        <s v="01/10/2023"/>
        <s v="30/11/2023"/>
        <s v="18/01/24"/>
        <s v="16/06/2023"/>
        <s v="06/01/2024"/>
        <s v="30/10/2023"/>
        <d v="2023-08-24T00:00:00"/>
        <s v="18/10/2023"/>
        <s v=" 22/05/2023"/>
        <s v="04/09/2023"/>
        <s v="11/06/2023"/>
        <s v="26/11/2023"/>
        <s v="26/10/2023"/>
        <s v="28/07/2023"/>
        <s v="13/12/2023"/>
        <s v=" 18/06/2023"/>
        <s v="2607/2023"/>
        <s v="16/09/2023"/>
        <s v="NÃO SE APLICA"/>
        <s v="04/01/2024"/>
        <s v="03/07/2023"/>
        <s v="17/12/2023"/>
        <s v="19.11.23"/>
        <s v="19/11/2023"/>
        <s v="09/02/2024"/>
        <s v="14/12/2023"/>
        <s v="10/01/2024"/>
        <s v="29/07/2023"/>
        <s v="26/07/1997"/>
        <s v="17/11/2023"/>
        <d v="2023-11-09T00:00:00"/>
        <s v="05/09/2023"/>
        <s v="22/08/2023"/>
        <s v="28/06/2023"/>
        <s v="15/06/2023"/>
        <d v="2023-08-08T00:00:00"/>
        <d v="2024-01-14T00:00:00"/>
        <d v="2024-01-19T00:00:00"/>
        <d v="2023-08-05T00:00:00"/>
        <d v="2023-09-24T00:00:00"/>
        <d v="2023-08-09T00:00:00"/>
        <d v="2023-09-09T00:00:00"/>
        <d v="2023-07-19T00:00:00"/>
        <d v="2023-06-27T00:00:00"/>
        <d v="2024-01-25T00:00:00"/>
        <d v="1999-08-08T00:00:00"/>
        <d v="2023-06-28T00:00:00"/>
        <d v="2023-10-07T00:00:00"/>
        <d v="2023-10-20T00:00:00"/>
        <d v="2023-06-25T00:00:00"/>
        <d v="2023-09-25T00:00:00"/>
        <d v="2024-02-10T00:00:00"/>
        <d v="2023-11-05T00:00:00"/>
        <d v="2023-10-31T00:00:00"/>
        <d v="2024-01-30T00:00:00"/>
        <d v="2023-10-03T00:00:00"/>
        <d v="2023-08-28T00:00:00"/>
        <d v="2023-07-30T00:00:00"/>
        <d v="2023-07-08T00:00:00"/>
        <d v="2024-02-16T00:00:00"/>
        <d v="2023-07-20T00:00:00"/>
        <d v="2023-11-24T00:00:00"/>
        <d v="2023-07-31T00:00:00"/>
        <d v="2023-08-11T00:00:00"/>
        <d v="2023-08-10T00:00:00"/>
        <d v="2023-11-26T00:00:00"/>
        <d v="2024-02-22T00:00:00"/>
        <d v="2023-12-05T00:00:00"/>
        <d v="2023-11-16T00:00:00"/>
        <d v="2023-09-30T00:00:00"/>
        <d v="2024-01-18T00:00:00"/>
        <d v="2023-12-27T00:00:00"/>
        <d v="2023-10-22T00:00:00"/>
        <d v="2023-09-21T00:00:00"/>
        <d v="2024-03-05T00:00:00"/>
        <d v="2023-12-28T00:00:00"/>
        <d v="2024-03-09T00:00:00"/>
        <d v="2023-09-27T00:00:00"/>
        <d v="2024-02-24T00:00:00"/>
        <d v="2024-01-10T00:00:00"/>
        <d v="2023-07-16T00:00:00"/>
        <d v="2024-01-02T00:00:00"/>
        <d v="2000-08-15T00:00:00"/>
        <d v="2024-01-09T00:00:00"/>
        <d v="2024-02-12T00:00:00"/>
        <d v="2023-11-30T00:00:00"/>
        <d v="2023-12-07T00:00:00"/>
        <d v="2023-11-01T00:00:00"/>
        <d v="2024-03-18T00:00:00"/>
        <d v="2024-01-22T00:00:00"/>
        <d v="2023-08-04T00:00:00"/>
        <d v="2023-11-17T00:00:00"/>
        <d v="2023-09-06T00:00:00"/>
        <d v="2023-08-15T00:00:00"/>
        <d v="2023-09-15T00:00:00"/>
        <d v="2023-08-31T00:00:00"/>
        <d v="2023-09-08T00:00:00"/>
        <d v="2024-03-13T00:00:00"/>
        <s v=" 13/03/2024"/>
        <s v="12/01/2024"/>
        <s v="27/09/2023"/>
        <s v="05/12/2023"/>
        <s v="25/01/2024"/>
        <s v="20/03/2024"/>
        <s v="24/11/2024"/>
        <s v="21/09/2023"/>
        <s v="28/082023"/>
        <s v="10/012/2023"/>
        <s v="24/11/2023"/>
        <s v="18/11/2023"/>
        <s v="18/03/2024"/>
        <s v="22/02/2024"/>
        <s v="10/12/2023"/>
        <s v="31/08/2024"/>
        <s v="22/01/2024"/>
        <s v="18/09/2023"/>
        <s v=" 17/01/2024"/>
        <s v="01/09/2023"/>
        <s v="17/01/2024"/>
        <s v="23/03/2024"/>
        <s v="09/11/2023"/>
        <s v="12/08/2023"/>
        <s v="25/09/2023"/>
        <s v="21/08/2024"/>
        <s v="03/11/2024"/>
        <s v="27/02/2024"/>
        <s v="13/03/2024"/>
        <s v="25/02/2024"/>
        <s v="10/03/2024"/>
        <s v="27/01/2024"/>
        <s v="16/10/2023"/>
        <s v="19/10/2023"/>
        <s v="03/2/08/2023"/>
        <s v="26/04/2024"/>
        <s v="05/10/2024"/>
        <s v="15/03/2024"/>
        <s v="01/01/2024"/>
        <s v="03/09/2023"/>
        <s v="17/08/2023"/>
        <s v="28/08/2024"/>
        <s v="07/03/2024"/>
        <s v="24/03/2024"/>
        <s v="28/11/2023"/>
      </sharedItems>
    </cacheField>
    <cacheField name="Fase do ciclo gravídico" numFmtId="0">
      <sharedItems containsBlank="1" count="13">
        <m/>
        <s v="Pré-natal"/>
        <s v="Trabalho de parto"/>
        <s v="Vinculação a maternidade"/>
        <s v="Inibição da lactação e laqueadura"/>
        <s v="gravidez não confirmada"/>
        <s v="Puerpério"/>
        <s v="Sangramento vaginal pós aborto"/>
        <s v="Aborto"/>
        <s v="Gestação a confirmar "/>
        <s v="Suspeita de gravidez"/>
        <s v="Sangramento vaginal A/E"/>
        <s v="Irregularidade menstrual"/>
      </sharedItems>
    </cacheField>
    <cacheField name="Qual das situações abaixo foi a motivo da procura da gestante " numFmtId="0">
      <sharedItems containsBlank="1" count="311">
        <m/>
        <s v="Pressão alta"/>
        <s v="Cefaléia"/>
        <s v="Corrimento vaginal"/>
        <s v="Alteração de movimentos fetais"/>
        <s v="Sintomas gripais, cefaleia, dor em BV"/>
        <s v="Síndrome gripal (odinofagia, dispneia, febre, mialgia)"/>
        <s v="Síndrome gripal, odinofagia"/>
        <s v="Diarreia"/>
        <s v="Sangramento"/>
        <s v="sintomas gripais ( tosse, coriza, cefaleia)"/>
        <s v="SINTOMAS GRIPAIS "/>
        <s v="SINTOMAS GRIPAIS"/>
        <s v="colicas"/>
        <s v="Dúvida sobre o trabalho de parto"/>
        <s v="Dor pélvica"/>
        <s v="Apresentação córmica/transversa"/>
        <s v="Dúvida sobre via de parto"/>
        <s v="beta HCG reagente "/>
        <s v=" Não tenho sintomas, mas estou com 40 semanas ou mais"/>
        <s v="Eliminação de vermes pelas fezes + sangramento anal espontâneo"/>
        <s v="betaHCG reagente"/>
        <s v="Queixas urinárias"/>
        <s v="Prurido anal, verminose"/>
        <s v="Falta de ar"/>
        <s v="síndrome gripal "/>
        <s v="Dores tipo cólica e contrações."/>
        <s v="Perda de líquido"/>
        <s v="duvidas sobre quando ir para maternidade e sobre continuidade do pré natal"/>
        <s v="cólica"/>
        <s v="Dor de gengiva/ inflamação de gengiva"/>
        <s v="Náuseas e ou vômitos"/>
        <s v="Contrações indolores"/>
        <s v="Síndrome gripal"/>
        <s v="Dor/ inflamação na gengiva"/>
        <s v="Dúvida acerca da USG morfológica"/>
        <s v="Exames laboratoriais alterados: Glicemia; TR/VDRL; Urocultura; Hb; outros)"/>
        <s v="hemorragia ocular"/>
        <s v="Dor tipo cólica e contração na noite passada."/>
        <s v="lesão única na  parte interna da coxa"/>
        <s v="Sufusão hemorrágica em conjuntiva ocular."/>
        <s v="tipagem sanguinea (B-)"/>
        <s v="Gestação prolangada"/>
        <s v="Contrações dolorosas com IG: 35s3d"/>
        <s v="Contrações"/>
        <s v="reação adversa a vacina"/>
        <s v="DESCOBERTA DE GESTAÇÃO INICIAL/ABORTO ANTERIOR"/>
        <s v="Dúvidas relacionadas a gravidez."/>
        <s v="fibroma mole"/>
        <s v="duvidas sobre quando ir para maternidade"/>
        <s v="USG"/>
        <s v="palpitação "/>
        <s v="Contrações de pródromos"/>
        <s v=" ITU + leucorreia, com queixa nova de vomito + diarreia."/>
        <s v="Dores tipo cólica com contrações"/>
        <s v="Dúvidas quanto a USG obstétrica"/>
        <s v="Tosse produtiva"/>
        <s v="Lombalgia"/>
        <s v="Paciente muito ansiosa por medo de perda gestacional"/>
        <s v="Dores em BV + contrações"/>
        <s v="Herpes labial"/>
        <s v="dor em flanco direito - estenose de JUP."/>
        <s v="Contraçoes"/>
        <s v="Epigastralgia "/>
        <s v="Mal estar / desmaio  / hipotensão"/>
        <s v="dor abdominal / epigástrica "/>
        <s v="Reação alérgica à Cefalexina"/>
        <s v="Dor tipo cólica + contrações + sangramento tipo borra"/>
        <s v="Medo de perda gestacional"/>
        <s v="Cefaléia + dor epigástrica"/>
        <s v="Tontura vertigem"/>
        <s v="Epigastralgia"/>
        <s v="Otalgia"/>
        <s v="Sem queixas - Duvidas sobre IG"/>
        <s v="Ansiedade - dúvidas sobre local do PN"/>
        <s v="USG: placenta grau III, feto grande para IG"/>
        <s v="troca de medicamento prescrito para otite (usuária não encontra medicamento para compra)"/>
        <s v="Dor pélvica + sangramento em raio de sangue (1 episódio)"/>
        <s v=" Crise de ansiedade"/>
        <s v="Dor lombar"/>
        <s v="Crise de ansiedade"/>
        <s v="Medica entrou em contato. Quadro de vomitos"/>
        <s v="Dúvida sobre componentes de produto capilar"/>
        <s v="Perda de tampão mucoso e contrações de treinamento"/>
        <s v="Hemorroida "/>
        <s v="Prurido intenso nos pés"/>
        <s v="Dúvida sobre alimentação"/>
        <s v="CONTRAÇÕES"/>
        <s v="Palpitaçao"/>
        <s v="Queda da própria altura"/>
        <s v="queda da própria altura "/>
        <s v="Lesões na pele"/>
        <s v="Não consegue marcar pré natal"/>
        <s v="monitoramento"/>
        <s v="rinite alérgica"/>
        <s v="Dor em BV + vontade de evacuar + sensação de peso na vagina"/>
        <s v="constipação + dor BV"/>
        <s v="dor abd ( regiao umbilical ),+ hiperemia de vulva "/>
        <s v="Dor e edema MIE"/>
        <s v="Dúvida quanto aos sinais do TP"/>
        <s v="Dúvidas sobre LT intraparto e parto humanizado."/>
        <s v="dor ao respirar + dificuldade para respirar"/>
        <s v="Dúvidas com resultado de USG obstétrica."/>
        <s v="Alteração dos níveis de glicemia capilar - HGT."/>
        <s v="prurido intenso no corpo"/>
        <s v="Orientações quanto ao momento para se apresentar à maternidade."/>
        <s v="Cefaleia + náuseas e vômitos"/>
        <s v="cefaleia + nauseas e vomitos"/>
        <s v="Dúvidas quanto ao momento de procurar a maternidade para o parto."/>
        <s v="Dor em BV / abdominal "/>
        <s v="dúvidas USG "/>
        <s v="Dúvida quanto ao resultado da USG obstétrica."/>
        <s v="Desconfortos referentes ao terceiro trimestre."/>
        <s v="Aumento de umidade do canal vaginal."/>
        <s v="Discreto sangramento + diminuição dos movimentos fetais."/>
        <s v="Desconforto pélvico relacionado ao 3º trimestre gestacional."/>
        <s v="duvida na IG "/>
        <s v="Tosse"/>
        <s v="Epigastralgia, azia/queimação"/>
        <s v="contração de treinamento"/>
        <s v="dor de dente"/>
        <s v="Dúvida sobre quando deveria ir à maternidade"/>
        <s v="enjoo"/>
        <s v="Sonolência"/>
        <s v="Dúvida sobre onde iniciar o PN"/>
        <s v="Agendamento de PN"/>
        <s v="Hemorroida"/>
        <s v="Dúvida sobre USG"/>
        <s v="perfil glicêmico alterado "/>
        <s v="azia e refluxo"/>
        <s v="cefaléia + turvação visual"/>
        <s v="Orientações quanto ao momento do parto."/>
        <s v="Contrações e pirose"/>
        <s v="Dor genital"/>
        <s v="Dúvida sobre via de parto (iterativa 2) e laqueadura intraparto"/>
        <s v="Dúvidas quanto aos resultados dos exames solicitados na 1ª consulta."/>
        <s v="cólicas"/>
        <s v="Cansaço físico/indisposição/náusea"/>
        <s v="Febre / Sinais de infecção"/>
        <s v="DIARREIA + MAL ESTAR"/>
        <s v="Acne"/>
        <s v="Desconforto na vagina"/>
        <s v="Mostrar exames e tirar dúvidas sobre o final da gestação"/>
        <s v="Queixas relacionadas a saúde mental"/>
        <s v="CONTRAÇÃO ? + EPIGASTRALGIA"/>
        <s v="Dor aguda em joelho direito."/>
        <s v="gestação confirmada "/>
        <s v="Máculas acastanhadas em mãos, pés e barriga"/>
        <s v="Dúvidas quanto aos sinais de alerta em crise de asma na gestação."/>
        <s v="Dúvidas quanto ao resultado da USG."/>
        <s v="Dúvidas quanto ao trabalho de parto."/>
        <s v="Assintomática // Chegou na DPP"/>
        <s v="Diarreia leve"/>
        <s v="Dúvida sobre uso de cosmético"/>
        <s v="Assintomática. Esta na DPP"/>
        <s v="Contrações de Braxton Hicks"/>
        <s v="Choque elétrico"/>
        <s v="Confirmação de acesso"/>
        <s v="duvida sobre horario da dexametasona"/>
        <s v="Dúvida sobre cosmético"/>
        <s v="Diarreia durante o tratamento para ITU"/>
        <s v="Odontalgia"/>
        <s v="Pápula eritematosa e pruriginosa no abdome"/>
        <s v="Sangramento e cólicas em baixo ventre"/>
        <s v="Via de parto"/>
        <s v="Laqueadura Tubária"/>
        <s v="Dor abdominal + diarreia com sangue"/>
        <s v="Dúvida sobre quando ir à maternidade"/>
        <s v="Chegou na DPP"/>
        <s v="Duvidas sobre quando ir a maternidade 40sem 3 dias"/>
        <s v="Iniciar o pré-natal na APS"/>
        <s v="Covid-19"/>
        <s v="Covid 19"/>
        <s v="Dúvidas quanto a Idade gestacional."/>
        <s v="Pirose"/>
        <s v="Documentação para clexane"/>
        <s v="Dor lombar e MID"/>
        <s v="Inicio do PN"/>
        <s v="Azia e queimação."/>
        <s v="Picada de inseto em MMII"/>
        <s v="Orientações quanto ao momento do parto"/>
        <s v="Diarreia + dor epigastrica + nausea"/>
        <s v="DOR EM PERNA DIREITA"/>
        <s v="Duvida sobre onde marcar ecocardio"/>
        <s v="dor em MID"/>
        <s v="lesão cutânea com prurido"/>
        <s v="Alteração em exame de  USG"/>
        <s v="Lesão em mamilo"/>
        <s v="contrações braxton hicks"/>
        <s v="Desconforto pélvico no 3º trimestre"/>
        <s v="pre natal "/>
        <s v="colicas, gestação nao confirmada "/>
        <s v="suspeita de gestação  "/>
        <s v="Perda de tampão mucoso"/>
        <s v="Perda de tampão mucoso."/>
        <s v="Dúvidas sobre exames e suplementação vitamínica"/>
        <s v="Dúvidas quanto aos sinais de trabalho de parto e parto."/>
        <s v="Desconforto abdominal e secreção vaginal"/>
        <s v="Lombalgia e dor em MMII"/>
        <s v="Prurido"/>
        <s v="Cálculo de idade gestacional"/>
        <s v="Hiperglicemia capilar"/>
        <s v="40s (sic) pela usg 38s2d"/>
        <s v="cefaleia"/>
        <s v="dor no gluteo"/>
        <s v="Duvida sobre quando internar"/>
        <s v="Cefaleia, náuseas e vômitos."/>
        <s v="Medo de complicações por ter engravidado utilizando DIU"/>
        <s v="Náuseas e ou vômitos, cafaleia"/>
        <s v="dor/desconforto gástrico"/>
        <s v="Cólicas e sangramento transvaginal"/>
        <s v="Adontalgia"/>
        <s v="Cólicas e sangramento vaginal"/>
        <s v="constipação"/>
        <s v="Atestado médico"/>
        <s v="duvidas porque perdeu tampao mucoso e nao teve PN "/>
        <s v="Artralgia e mialgia"/>
        <s v="Trabalho de parto"/>
        <s v="GECA "/>
        <s v="Dúvida sobre medicação"/>
        <s v="Odontologia"/>
        <s v="GECA"/>
        <s v="TAMPAO MUCOSO"/>
        <s v="Herpes genital"/>
        <s v="Reagendamento de consulta"/>
        <s v="Rash na barriga"/>
        <s v="duvidas sobre espera do TP"/>
        <s v="cervicalgia "/>
        <s v="Dúvidas quanto ao tempo de gestação e parto, secreção vaginal"/>
        <s v="Dúvida sobre quando deve ir à maternidade"/>
        <s v="Dor muscular"/>
        <s v="Prurido em MMII"/>
        <s v="ARBOVIROSE "/>
        <s v="ARBOVIROSE"/>
        <s v="Varicela"/>
        <s v="Dengue/Arbovirose"/>
        <s v="prurido e lesões no corpo"/>
        <s v="Apresentação pélvica"/>
        <s v="dor em dente"/>
        <s v="Prurido e manchas em pele."/>
        <s v="Dor lombar com irradiação para MMII"/>
        <s v="Planejamento familiar - laqueadura tubária"/>
        <s v="Dúvidas USG"/>
        <s v="Náuseas, Vômitos e Diarreia"/>
        <s v="Corticoterapia para gemelar"/>
        <s v="Lesão de pele"/>
        <s v="Solicitação de reagendamento do PNAR"/>
        <s v="Dúvidas sobre DMG"/>
        <s v="dor na panturrilha"/>
        <s v="Contrações de treinamento"/>
        <s v="Dor precordial"/>
        <s v="duvidas sobre pos datismo"/>
        <s v="Dor em MIE"/>
        <s v="Dúvida sobre idade gestacional"/>
        <s v="Dúvida sobre o diagnóstico de DMG"/>
        <s v="Desejo de iniciar licença maternidade"/>
        <s v="Dúvida sobre DPP e trabalho de parto"/>
        <s v="contrações "/>
        <s v="Efeito adverso à vacinas."/>
        <s v="Perda de líquido e sintomas gripais"/>
        <s v="Perda de líquido / Sintomas Gripais"/>
        <s v="IG avançada sem sinais de TP"/>
        <s v="IG avançada"/>
        <s v="Gravidez indesejada + desejo por abortamento + náuseas"/>
        <s v="contrações uterinas"/>
        <s v="Desconforto abdominal/Gases"/>
        <s v="Nódulos mamários"/>
        <s v="USG risco de pré-eclampsia"/>
        <s v="Suspeita de dengue"/>
        <s v="Diarréia + nauseas"/>
        <s v="estou com 40 semanas"/>
        <s v="Virose com quadro intestinal"/>
        <s v="Odontalgia + cefaléia + otalgia"/>
        <s v="tosse seca"/>
        <s v="Dor abdominal difusa"/>
        <s v="Discreto ardor vulvar."/>
        <s v="ITU + dúvidas quanto ao resultado de exames laboratoriais"/>
        <s v="Dúvida sobre produtos para cabelo"/>
        <s v="Gestação prolongada + HASC "/>
        <s v="Dor no abdome"/>
        <s v="Acesso à consulta de PN"/>
        <s v="Dúvidas sobre trabalho de parto"/>
        <s v="HASC + IG avançada"/>
        <s v="duvida sobre via de parto"/>
        <s v="Sono excessivo"/>
        <s v="Dor muscular em região inframamária esquerda"/>
        <s v="Dor pélvica e secreção vaginal"/>
        <s v="Pressão na pelve"/>
        <s v="Dor pélvica + secreção vaginal"/>
        <s v="cólicas gastrointestinais "/>
        <s v="Dor em flanco direito "/>
        <s v="Perda de tampão mucoso/ cerclagem"/>
        <s v="Solicitação de mediação para agendamento PNAR."/>
        <s v="Sem acompanhamento pré natal"/>
        <s v="Contações"/>
        <s v="sem acompanhamento de pré-natal"/>
        <s v="dor em flanco direito"/>
        <s v="duvidas quanto ao trabalho de parto (40s)"/>
        <s v="tampão mucoso"/>
        <s v="edema no local da injeção (benzetacil)"/>
        <s v="Ansiedade sobre momento do parto/ internamento"/>
        <s v="Solicitação de mediação PNAR / perda de líquido"/>
        <s v="Foliculite"/>
        <s v="Foliculite?"/>
        <s v="Sintomas respiratórios"/>
        <s v="Desconforto pélvico e lombar"/>
        <s v="Diarréia "/>
        <s v="USG alterada 8s4d sem AC"/>
        <s v="Pródromos de trabalho de parto"/>
        <s v="QUANDO PROCURAR A MATERNIDADE  (GUTT+ DMG)"/>
        <s v="Dúvida de quando ir para maternidade"/>
      </sharedItems>
    </cacheField>
    <cacheField name="Qual o motivo da consulta " numFmtId="0">
      <sharedItems containsBlank="1" count="15">
        <m/>
        <s v="Falso trabalho de parto/ Contraçao de treinamento"/>
        <s v="Trabalho de parto com pródromos"/>
        <s v="Dúvida acerca de quando deveria ir à maternidade"/>
        <s v="BR?"/>
        <s v="Trabalho de parto fase ativa"/>
        <s v="Trabalho de parto prematuro"/>
        <s v="41 simanas "/>
        <s v="41semanas"/>
        <s v="Contração "/>
        <s v="Pós-datismo"/>
        <s v="Contrações de Braxton Hicks "/>
        <s v="Contrações de Braxton Hicks"/>
        <s v="Indução de tp por idade gestacional"/>
        <s v="prodromos"/>
      </sharedItems>
    </cacheField>
    <cacheField name="Qual o motivo da procura pelo atende gestante? " numFmtId="0">
      <sharedItems containsBlank="1" count="35">
        <m/>
        <s v="Consulta puerperal"/>
        <s v="sindrome gripal"/>
        <s v="Secreção em ferida operatória"/>
        <s v="Cuidados/ retirada de pontos"/>
        <s v="Drenagem de secreção seropurulenta em FO"/>
        <s v="Infecção de FO"/>
        <s v="Planejamento Familiar/Cuidados pós aborto"/>
        <s v="corrimento vaginal"/>
        <s v="Doença hemorroidária no puerpério."/>
        <s v="Queixas relacionadas à amamentação"/>
        <s v="Hemorroida "/>
        <s v="cefaleia"/>
        <s v="FO com secreção serosanguinolenta"/>
        <s v="Rafia de laceração com ardência e prurido"/>
        <s v="Exsudato em FO"/>
        <s v="secreção em FO"/>
        <s v="Dor em região sacral."/>
        <s v="Dificuldade na aceitação da perda gestacional."/>
        <s v="Exames no puerpério: HAS/DHEG, DMG/DM"/>
        <s v="Sangramento vaginal persistente após um aborto espontâneo"/>
        <s v="Cuidados com a(o) bebê"/>
        <s v="Sintomas gripais"/>
        <s v="Dúvidas quanto ao seu estado de saúde."/>
        <s v="dor epigastrica"/>
        <s v="Desconforto abdominal"/>
        <s v="Dispneia, disúria"/>
        <s v="corrimento vaginal mais sangramento discreto"/>
        <s v="dor em região de FO + disúria + tristeza puerperal (sugestivo de baby blues)+ dúvidas sobre os lóquios"/>
        <s v="Dor na F.O"/>
        <s v="Cefaleia + PA = 140 x 100"/>
        <s v="cefaleia + HAS"/>
        <s v="Dor e distensão abdominal"/>
        <s v="Desconforto abdominal "/>
        <s v="dor em MMII"/>
      </sharedItems>
    </cacheField>
    <cacheField name="Tipo de atendimento realizado" numFmtId="0">
      <sharedItems containsBlank="1" containsNumber="1" containsInteger="1" containsMixedTypes="1" count="7">
        <m/>
        <s v="Teleconsulta"/>
        <s v="Teletriagem"/>
        <s v="Telemonitoramento"/>
        <n v="989" u="1"/>
        <n v="569" u="1"/>
        <n v="6" u="1"/>
      </sharedItems>
    </cacheField>
    <cacheField name="Neste momento, foi necessário converter para o atendimento presencial?" numFmtId="0">
      <sharedItems containsBlank="1" count="8">
        <m/>
        <s v="NÃO"/>
        <s v="SIM: Urgência/ emergência"/>
        <s v="SIM: Inadequação do ambiente virtual (ampliação do exame físico/ anamnese)"/>
        <s v="NÃO: Já está na maternidade"/>
        <s v="NÃO: Já está na USF"/>
        <s v="SIM: Problemas de identificação"/>
        <s v="SIM: Dificuldades técnicas e/ou de comunicação"/>
      </sharedItems>
    </cacheField>
    <cacheField name="Foi necessário encaminhamento para outro serviço?" numFmtId="0">
      <sharedItems containsBlank="1" count="6">
        <m/>
        <s v="NÃO"/>
        <s v="SIM, para Atenção Primária em Saúde"/>
        <s v="SIM, para Maternidade"/>
        <s v="SIM, situação não relacionada ao período gravídico-puerperal"/>
        <s v="SIM, para o SAMU"/>
      </sharedItems>
    </cacheField>
    <cacheField name="A condição gerou oferta de teleinterconsulta?" numFmtId="0">
      <sharedItems containsBlank="1" count="4">
        <m/>
        <s v="SIM"/>
        <s v="NÃO"/>
        <s v=" "/>
      </sharedItems>
    </cacheField>
    <cacheField name="Gestante já vinculada à APS?" numFmtId="0">
      <sharedItems containsBlank="1" count="3">
        <m/>
        <s v="SIM"/>
        <s v="NÃO"/>
      </sharedItems>
    </cacheField>
    <cacheField name="Gestante já vinculada à maternidade?" numFmtId="0">
      <sharedItems containsBlank="1" count="4">
        <m/>
        <s v="NÃO"/>
        <s v="SIM"/>
        <s v="Não questionado"/>
      </sharedItems>
    </cacheField>
    <cacheField name="Encaminhado para outro profissional do Telessaúde?" numFmtId="0">
      <sharedItems containsBlank="1" count="6">
        <m/>
        <s v="NÃO"/>
        <s v="SIM"/>
        <s v="SIM, Médica ou Enfermeira"/>
        <s v="SIM, Nutricionista"/>
        <s v="SIM, Apoio Emocional"/>
      </sharedItems>
    </cacheField>
    <cacheField name="Realizar telemonitoramento?" numFmtId="0">
      <sharedItems containsBlank="1" count="3">
        <m/>
        <s v="SIM"/>
        <s v="NÃO"/>
      </sharedItems>
    </cacheField>
    <cacheField name="Qual a data para realizar o telemonitoramento?" numFmtId="0">
      <sharedItems containsString="0" containsBlank="1" containsNonDate="0" containsDate="1" minDate="2022-06-27T00:00:00" maxDate="2024-06-07T00:00:00" count="362">
        <m/>
        <d v="2022-11-10T00:00:00"/>
        <d v="2022-12-01T00:00:00"/>
        <d v="2022-12-15T00:00:00"/>
        <d v="2023-01-02T00:00:00"/>
        <d v="2023-01-03T00:00:00"/>
        <d v="2023-01-11T00:00:00"/>
        <d v="2023-01-16T00:00:00"/>
        <d v="2023-01-25T00:00:00"/>
        <d v="2023-01-26T00:00:00"/>
        <d v="2023-01-27T00:00:00"/>
        <d v="2023-03-17T00:00:00"/>
        <d v="2023-03-20T00:00:00"/>
        <d v="2023-03-21T00:00:00"/>
        <d v="2023-04-07T00:00:00"/>
        <d v="2023-04-20T00:00:00"/>
        <d v="2023-04-24T00:00:00"/>
        <d v="2023-05-03T00:00:00"/>
        <d v="2023-05-04T00:00:00"/>
        <d v="2023-05-08T00:00:00"/>
        <d v="2023-05-11T00:00:00"/>
        <d v="2023-05-09T00:00:00"/>
        <d v="2023-05-22T00:00:00"/>
        <d v="2023-05-31T00:00:00"/>
        <d v="2023-06-01T00:00:00"/>
        <d v="2023-05-01T00:00:00"/>
        <d v="2023-06-02T00:00:00"/>
        <d v="2023-06-03T00:00:00"/>
        <d v="2023-06-07T00:00:00"/>
        <d v="2023-06-04T00:00:00"/>
        <d v="2023-06-05T00:00:00"/>
        <d v="2023-06-06T00:00:00"/>
        <d v="2023-06-08T00:00:00"/>
        <d v="2023-06-09T00:00:00"/>
        <d v="2023-06-14T00:00:00"/>
        <d v="2023-06-10T00:00:00"/>
        <d v="2023-06-12T00:00:00"/>
        <d v="2023-06-11T00:00:00"/>
        <d v="2023-06-16T00:00:00"/>
        <d v="2023-06-13T00:00:00"/>
        <d v="2023-06-27T00:00:00"/>
        <d v="2023-06-15T00:00:00"/>
        <d v="2023-06-17T00:00:00"/>
        <d v="2023-06-30T00:00:00"/>
        <d v="2023-06-18T00:00:00"/>
        <d v="2023-06-19T00:00:00"/>
        <d v="2023-06-21T00:00:00"/>
        <d v="2023-06-20T00:00:00"/>
        <d v="2023-06-22T00:00:00"/>
        <d v="2023-06-23T00:00:00"/>
        <d v="2023-06-26T00:00:00"/>
        <d v="2023-06-25T00:00:00"/>
        <d v="2023-06-28T00:00:00"/>
        <d v="2022-06-27T00:00:00"/>
        <d v="2023-07-01T00:00:00"/>
        <d v="2023-06-29T00:00:00"/>
        <d v="2023-07-04T00:00:00"/>
        <d v="2023-07-02T00:00:00"/>
        <d v="2023-07-03T00:00:00"/>
        <d v="2023-07-05T00:00:00"/>
        <d v="2023-07-06T00:00:00"/>
        <d v="2023-07-07T00:00:00"/>
        <d v="2023-07-09T00:00:00"/>
        <d v="2023-07-08T00:00:00"/>
        <d v="2023-07-12T00:00:00"/>
        <d v="2023-07-11T00:00:00"/>
        <d v="2023-07-13T00:00:00"/>
        <d v="2023-07-14T00:00:00"/>
        <d v="2023-07-17T00:00:00"/>
        <d v="2023-07-15T00:00:00"/>
        <d v="2023-07-21T00:00:00"/>
        <d v="2023-07-16T00:00:00"/>
        <d v="2023-07-18T00:00:00"/>
        <d v="2023-07-19T00:00:00"/>
        <d v="2023-07-20T00:00:00"/>
        <d v="2023-07-22T00:00:00"/>
        <d v="2023-07-23T00:00:00"/>
        <d v="2023-07-26T00:00:00"/>
        <d v="2023-07-27T00:00:00"/>
        <d v="2023-08-03T00:00:00"/>
        <d v="2023-07-29T00:00:00"/>
        <d v="2023-07-30T00:00:00"/>
        <d v="2023-07-31T00:00:00"/>
        <d v="2023-08-01T00:00:00"/>
        <d v="2023-08-02T00:00:00"/>
        <d v="2023-08-04T00:00:00"/>
        <d v="2023-08-06T00:00:00"/>
        <d v="2023-08-05T00:00:00"/>
        <d v="2023-08-08T00:00:00"/>
        <d v="2023-08-07T00:00:00"/>
        <d v="2023-08-17T00:00:00"/>
        <d v="2023-08-09T00:00:00"/>
        <d v="2023-08-11T00:00:00"/>
        <d v="2023-08-12T00:00:00"/>
        <d v="2023-08-13T00:00:00"/>
        <d v="2023-08-14T00:00:00"/>
        <d v="2023-08-15T00:00:00"/>
        <d v="2023-08-18T00:00:00"/>
        <d v="2023-08-19T00:00:00"/>
        <d v="2023-08-22T00:00:00"/>
        <d v="2023-08-20T00:00:00"/>
        <d v="2023-08-21T00:00:00"/>
        <d v="2023-08-23T00:00:00"/>
        <d v="2023-08-24T00:00:00"/>
        <d v="2023-08-25T00:00:00"/>
        <d v="2023-08-26T00:00:00"/>
        <d v="2023-08-29T00:00:00"/>
        <d v="2023-08-30T00:00:00"/>
        <d v="2023-08-31T00:00:00"/>
        <d v="2023-09-01T00:00:00"/>
        <d v="2023-09-03T00:00:00"/>
        <d v="2023-09-02T00:00:00"/>
        <d v="2023-09-04T00:00:00"/>
        <d v="2023-09-05T00:00:00"/>
        <d v="2023-09-08T00:00:00"/>
        <d v="2023-09-10T00:00:00"/>
        <d v="2023-09-11T00:00:00"/>
        <d v="2023-09-13T00:00:00"/>
        <d v="2023-09-12T00:00:00"/>
        <d v="2023-09-14T00:00:00"/>
        <d v="2023-09-16T00:00:00"/>
        <d v="2023-09-15T00:00:00"/>
        <d v="2023-09-18T00:00:00"/>
        <d v="2023-09-17T00:00:00"/>
        <d v="2023-09-19T00:00:00"/>
        <d v="2023-09-21T00:00:00"/>
        <d v="2023-09-23T00:00:00"/>
        <d v="2023-09-22T00:00:00"/>
        <d v="2023-09-24T00:00:00"/>
        <d v="2023-09-25T00:00:00"/>
        <d v="2023-09-26T00:00:00"/>
        <d v="2023-09-28T00:00:00"/>
        <d v="2023-09-29T00:00:00"/>
        <d v="2023-10-01T00:00:00"/>
        <d v="2023-10-03T00:00:00"/>
        <d v="2023-03-05T00:00:00"/>
        <d v="2023-10-05T00:00:00"/>
        <d v="2023-10-04T00:00:00"/>
        <d v="2023-10-06T00:00:00"/>
        <d v="2023-10-07T00:00:00"/>
        <d v="2023-10-10T00:00:00"/>
        <d v="2023-10-09T00:00:00"/>
        <d v="2023-10-12T00:00:00"/>
        <d v="2023-10-11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8T00:00:00"/>
        <d v="2023-10-27T00:00:00"/>
        <d v="2023-10-30T00:00:00"/>
        <d v="2023-10-31T00:00:00"/>
        <d v="2023-11-01T00:00:00"/>
        <d v="2023-11-02T00:00:00"/>
        <d v="2023-11-03T00:00:00"/>
        <d v="2023-11-04T00:00:00"/>
        <d v="2023-11-05T00:00:00"/>
        <d v="2023-11-06T00:00:00"/>
        <d v="2023-11-07T00:00:00"/>
        <d v="2023-11-08T00:00:00"/>
        <d v="2023-11-09T00:00:00"/>
        <d v="2023-11-10T00:00:00"/>
        <d v="2023-11-11T00:00:00"/>
        <d v="2023-11-14T00:00:00"/>
        <d v="2023-11-15T00:00:00"/>
        <d v="2023-11-16T00:00:00"/>
        <d v="2023-11-17T00:00:00"/>
        <d v="2023-11-18T00:00:00"/>
        <d v="2023-11-19T00:00:00"/>
        <d v="2023-11-21T00:00:00"/>
        <d v="2023-11-23T00:00:00"/>
        <d v="2023-11-22T00:00:00"/>
        <d v="2023-11-24T00:00:00"/>
        <d v="2023-11-25T00:00:00"/>
        <d v="2023-11-27T00:00:00"/>
        <d v="2023-11-26T00:00:00"/>
        <d v="2023-11-28T00:00:00"/>
        <d v="2023-11-29T00:00:00"/>
        <d v="2023-11-30T00:00:00"/>
        <d v="2023-12-01T00:00:00"/>
        <d v="2023-12-02T00:00:00"/>
        <d v="2023-12-03T00:00:00"/>
        <d v="2023-12-05T00:00:00"/>
        <d v="2023-12-04T00:00:00"/>
        <d v="2023-12-06T00:00:00"/>
        <d v="2023-12-07T00:00:00"/>
        <d v="2023-12-08T00:00:00"/>
        <d v="2023-12-09T00:00:00"/>
        <d v="2023-12-10T00:00:00"/>
        <d v="2023-12-12T00:00:00"/>
        <d v="2023-12-11T00:00:00"/>
        <d v="2023-12-15T00:00:00"/>
        <d v="2023-12-13T00:00:00"/>
        <d v="2023-12-14T00:00:00"/>
        <d v="2023-12-16T00:00:00"/>
        <d v="2023-12-17T00:00:00"/>
        <d v="2023-12-18T00:00:00"/>
        <d v="2024-01-01T00:00:00"/>
        <d v="2023-12-19T00:00:00"/>
        <d v="2023-12-20T00:00:00"/>
        <d v="2023-12-22T00:00:00"/>
        <d v="2023-12-21T00:00:00"/>
        <d v="2023-12-29T00:00:00"/>
        <d v="2023-12-23T00:00:00"/>
        <d v="2023-12-26T00:00:00"/>
        <d v="2023-12-27T00:00:00"/>
        <d v="2023-12-28T00:00:00"/>
        <d v="2023-12-30T00:00:00"/>
        <d v="2023-12-31T00:00:00"/>
        <d v="2024-01-02T00:00:00"/>
        <d v="2024-01-03T00:00:00"/>
        <d v="2024-01-04T00:00:00"/>
        <d v="2024-01-05T00:00:00"/>
        <d v="2024-01-06T00:00:00"/>
        <d v="2024-01-09T00:00:00"/>
        <d v="2024-01-07T00:00:00"/>
        <d v="2024-01-10T00:00:00"/>
        <d v="2024-01-11T00:00:00"/>
        <d v="2024-01-12T00:00:00"/>
        <d v="2024-01-13T00:00:00"/>
        <d v="2024-01-14T00:00:00"/>
        <d v="2024-01-15T00:00:00"/>
        <d v="2024-01-17T00:00:00"/>
        <d v="2024-01-24T00:00:00"/>
        <d v="2024-01-31T00:00:00"/>
        <d v="2024-01-18T00:00:00"/>
        <d v="2024-01-19T00:00:00"/>
        <d v="2024-01-22T00:00:00"/>
        <d v="2024-01-20T00:00:00"/>
        <d v="2024-01-23T00:00:00"/>
        <d v="2024-01-25T00:00:00"/>
        <d v="2024-01-27T00:00:00"/>
        <d v="2024-01-28T00:00:00"/>
        <d v="2024-01-30T00:00:00"/>
        <d v="2024-02-01T00:00:00"/>
        <d v="2024-02-02T00:00:00"/>
        <d v="2024-02-03T00:00:00"/>
        <d v="2024-02-05T00:00:00"/>
        <d v="2024-02-07T00:00:00"/>
        <d v="2024-02-08T00:00:00"/>
        <d v="2024-02-10T00:00:00"/>
        <d v="2024-02-09T00:00:00"/>
        <d v="2024-02-11T00:00:00"/>
        <d v="2024-02-12T00:00:00"/>
        <d v="2024-02-13T00:00:00"/>
        <d v="2024-02-14T00:00:00"/>
        <d v="2024-02-15T00:00:00"/>
        <d v="2024-02-16T00:00:00"/>
        <d v="2024-02-17T00:00:00"/>
        <d v="2024-02-18T00:00:00"/>
        <d v="2024-02-19T00:00:00"/>
        <d v="2024-02-20T00:00:00"/>
        <d v="2024-02-21T00:00:00"/>
        <d v="2024-02-22T00:00:00"/>
        <d v="2024-03-02T00:00:00"/>
        <d v="2024-02-25T00:00:00"/>
        <d v="2024-02-23T00:00:00"/>
        <d v="2024-02-24T00:00:00"/>
        <d v="2024-02-26T00:00:00"/>
        <d v="2024-03-01T00:00:00"/>
        <d v="2024-02-27T00:00:00"/>
        <d v="2024-02-29T00:00:00"/>
        <d v="2024-03-03T00:00:00"/>
        <d v="2024-03-04T00:00:00"/>
        <d v="2024-03-05T00:00:00"/>
        <d v="2024-03-09T00:00:00"/>
        <d v="2024-03-06T00:00:00"/>
        <d v="2024-03-07T00:00:00"/>
        <d v="2024-03-10T00:00:00"/>
        <d v="2024-03-08T00:00:00"/>
        <d v="2024-03-19T00:00:00"/>
        <d v="2024-03-11T00:00:00"/>
        <d v="2024-03-13T00:00:00"/>
        <d v="2024-03-12T00:00:00"/>
        <d v="2024-03-15T00:00:00"/>
        <d v="2024-03-14T00:00:00"/>
        <d v="2024-03-16T00:00:00"/>
        <d v="2024-03-17T00:00:00"/>
        <d v="2024-03-21T00:00:00"/>
        <d v="2024-03-20T00:00:00"/>
        <d v="2024-03-27T00:00:00"/>
        <d v="2024-03-22T00:00:00"/>
        <d v="2024-03-23T00:00:00"/>
        <d v="2024-03-24T00:00:00"/>
        <d v="2024-03-25T00:00:00"/>
        <d v="2024-03-26T00:00:00"/>
        <d v="2024-03-28T00:00:00"/>
        <d v="2024-03-29T00:00:00"/>
        <d v="2024-04-01T00:00:00"/>
        <d v="2024-03-30T00:00:00"/>
        <d v="2024-03-31T00:00:00"/>
        <d v="2024-04-02T00:00:00"/>
        <d v="2024-04-04T00:00:00"/>
        <d v="2024-04-05T00:00:00"/>
        <d v="2024-04-06T00:00:00"/>
        <d v="2024-04-12T00:00:00"/>
        <d v="2024-04-08T00:00:00"/>
        <d v="2024-04-10T00:00:00"/>
        <d v="2024-04-19T00:00:00"/>
        <d v="2024-04-09T00:00:00"/>
        <d v="2024-04-11T00:00:00"/>
        <d v="2024-04-13T00:00:00"/>
        <d v="2024-04-14T00:00:00"/>
        <d v="2024-04-15T00:00:00"/>
        <d v="2024-04-16T00:00:00"/>
        <d v="2024-04-17T00:00:00"/>
        <d v="2024-04-18T00:00:00"/>
        <d v="2024-04-20T00:00:00"/>
        <d v="2024-04-22T00:00:00"/>
        <d v="2024-04-21T00:00:00"/>
        <d v="2024-04-23T00:00:00"/>
        <d v="2024-04-24T00:00:00"/>
        <d v="2024-04-25T00:00:00"/>
        <d v="2024-04-26T00:00:00"/>
        <d v="2024-04-27T00:00:00"/>
        <d v="2024-04-29T00:00:00"/>
        <d v="2024-04-28T00:00:00"/>
        <d v="2024-05-02T00:00:00"/>
        <d v="2024-05-03T00:00:00"/>
        <d v="2024-05-04T00:00:00"/>
        <d v="2024-05-05T00:00:00"/>
        <d v="2024-05-06T00:00:00"/>
        <d v="2024-05-15T00:00:00"/>
        <d v="2024-05-07T00:00:00"/>
        <d v="2024-05-16T00:00:00"/>
        <d v="2024-05-08T00:00:00"/>
        <d v="2024-05-09T00:00:00"/>
        <d v="2024-05-10T00:00:00"/>
        <d v="2024-05-13T00:00:00"/>
        <d v="2024-05-12T00:00:00"/>
        <d v="2024-05-14T00:00:00"/>
        <d v="2024-05-21T00:00:00"/>
        <d v="2024-05-17T00:00:00"/>
        <d v="2024-05-18T00:00:00"/>
        <d v="2024-05-20T00:00:00"/>
        <d v="2024-05-19T00:00:00"/>
        <d v="2024-05-22T00:00:00"/>
        <d v="2024-05-24T00:00:00"/>
        <d v="2024-05-23T00:00:00"/>
        <d v="2024-05-27T00:00:00"/>
        <d v="2024-05-25T00:00:00"/>
        <d v="2024-05-26T00:00:00"/>
        <d v="2024-05-28T00:00:00"/>
        <d v="2024-05-29T00:00:00"/>
        <d v="2024-05-31T00:00:00"/>
        <d v="2024-05-30T00:00:00"/>
        <d v="2024-06-03T00:00:00"/>
        <d v="2024-06-02T00:00:00"/>
        <d v="2024-06-05T00:00:00"/>
        <d v="2024-06-06T00:00:00"/>
        <d v="2024-06-04T00:00:00"/>
        <d v="2024-06-07T00:00:00"/>
      </sharedItems>
    </cacheField>
    <cacheField name="O atendimento foi realizado por:" numFmtId="0">
      <sharedItems containsBlank="1" count="4">
        <m/>
        <s v="Videochamada"/>
        <s v="Telefone"/>
        <s v="HopChat"/>
      </sharedItems>
    </cacheField>
    <cacheField name="Selecione o tipo de demanda" numFmtId="0">
      <sharedItems containsBlank="1" count="8">
        <m/>
        <s v="Dentro do horário da USF (segunda a sexta das 8h às 17h)"/>
        <s v="Demanda noturna durante dias de semana (das 19h às 7h)"/>
        <s v="Não se aplica"/>
        <s v="Demanda noturna em dias do final de semana ou feriado/ ponto facultativo"/>
        <s v="Fora do horário da USF mas de segunda a sexta das 7h-8h ou 17h às 19h"/>
        <s v="Fora do horário da USF (finais de semana ou feriado/ponto facultativo 07 as 19h)"/>
        <s v="Demanda Noturna (segunda a sexta das 19h às 07h)"/>
      </sharedItems>
    </cacheField>
    <cacheField name="Motivo de busca por atendimento no Atende Gestante" numFmtId="0">
      <sharedItems containsBlank="1" count="14">
        <m/>
        <s v="Ausência de profissional assistente na sua unidade de saúde"/>
        <s v="Por escolha da usuária"/>
        <s v="Fora do dia ou horário de funcionamento da sua unidade de saúde"/>
        <s v="Não se aplica"/>
        <s v="Não conseguiu atendimento na sua unidade de saúde"/>
        <s v="Profissional da unidade entrou em contato no momento da consulta de PN "/>
        <s v="Gestante iniciou PN Sanharó, depois mudou-se para Recife e continuou o acompanhamento. Há menos de 1 mês mudou-se para Olinda. Unidade realiza busca ativa dia 31/05 no endereço de Olinda e não encontra paciente."/>
        <s v="Atendida na unidade por enfermeira, mas não conseguiu tirar duvidas e resolver questoes relacionas a PA"/>
        <s v="Alta do PN"/>
        <s v="paciente estava no CAPS "/>
        <s v="Gestante atendida pelo plano de saúde SASSEPE, teve dificuldade de realizar exame de USG renal e entra em contato para pedir ajuda a rede municipal. Refere que tem estenose de JUP."/>
        <s v="Já tinha sido atendida anteriormente e orientada a retornar com resultado do exame de urina."/>
        <s v="TINC - Atendimento compartilhado"/>
      </sharedItems>
    </cacheField>
    <cacheField name="Número WhatsApp" numFmtId="0">
      <sharedItems containsBlank="1" containsNumber="1" containsInteger="1" containsMixedTypes="1" count="743">
        <m/>
        <n v="81985937671"/>
        <n v="81984696256"/>
        <n v="81996295001"/>
        <n v="81984531903"/>
        <n v="81985904153"/>
        <n v="81985880259"/>
        <n v="81999032761"/>
        <n v="81998028449"/>
        <n v="81994615795"/>
        <n v="81985708726"/>
        <n v="81996721255"/>
        <n v="81986310755"/>
        <n v="81983652242"/>
        <n v="81984558250"/>
        <n v="81992693254"/>
        <n v="81988890611"/>
        <n v="81982403574"/>
        <n v="81999760929"/>
        <n v="81988225700"/>
        <n v="81988872899"/>
        <n v="81988510579"/>
        <n v="81997477925"/>
        <n v="81999948085"/>
        <n v="81997216279"/>
        <n v="81983231984"/>
        <n v="81989143627"/>
        <n v="81985247497"/>
        <n v="81992191649"/>
        <n v="81996790643"/>
        <n v="81998415931"/>
        <n v="81986167867"/>
        <n v="81999126856"/>
        <n v="81986628161"/>
        <n v="81997646410"/>
        <n v="81985120818"/>
        <n v="81984643831"/>
        <n v="81984182678"/>
        <n v="81985052920"/>
        <n v="81983454381"/>
        <n v="87991887250"/>
        <n v="81984639958"/>
        <n v="81996713494"/>
        <n v="81982131914"/>
        <n v="81991976460"/>
        <n v="81986584843"/>
        <n v="81988985623"/>
        <n v="81985301931"/>
        <n v="81985193432"/>
        <n v="81996189614"/>
        <n v="81996333421"/>
        <n v="81999556709"/>
        <n v="81987031353"/>
        <n v="81988169461"/>
        <n v="81989075471"/>
        <n v="81987252750"/>
        <n v="81986669422"/>
        <n v="81988153975"/>
        <n v="81986207791"/>
        <n v="81987631286"/>
        <n v="81984211746"/>
        <n v="81984663804"/>
        <n v="81996444977"/>
        <n v="81985559317"/>
        <n v="81999669664"/>
        <n v="81983140313"/>
        <n v="81988117095"/>
        <n v="81996695691"/>
        <n v="81984481237"/>
        <n v="81986266856"/>
        <n v="81994040588"/>
        <n v="81987794735"/>
        <n v="81997948392"/>
        <n v="81984510881"/>
        <n v="81993362529"/>
        <n v="81995339781"/>
        <n v="81984049541"/>
        <n v="81996378666"/>
        <n v="81991724644"/>
        <n v="81983900304"/>
        <n v="81979150436"/>
        <n v="81999475931"/>
        <n v="81995176967"/>
        <n v="81999504585"/>
        <n v="81984527273"/>
        <n v="81997022233"/>
        <n v="81999540010"/>
        <n v="81986798920"/>
        <n v="81984615045"/>
        <n v="81996549887"/>
        <n v="81998770517"/>
        <n v="81996504653"/>
        <n v="81982102916"/>
        <n v="81996288296"/>
        <n v="81995179608"/>
        <n v="81994539085"/>
        <n v="81985538117"/>
        <n v="81994710465"/>
        <n v="81988553405"/>
        <n v="81999436287"/>
        <n v="81997627361"/>
        <n v="81984720957"/>
        <n v="81984833707"/>
        <n v="81985169878"/>
        <n v="81996052492"/>
        <n v="81995262490"/>
        <n v="81983970546"/>
        <n v="81986952337"/>
        <n v="81985617248"/>
        <n v="81996039055"/>
        <n v="81985425213"/>
        <n v="81985923299"/>
        <s v="8133554385"/>
        <n v="81981876632"/>
        <n v="81988435598"/>
        <n v="81991424620"/>
        <n v="81992150020"/>
        <n v="81985732569"/>
        <n v="81984462332"/>
        <n v="81996867828"/>
        <n v="81991919379"/>
        <n v="81999860751"/>
        <n v="81995318520"/>
        <n v="81986345052"/>
        <n v="81996703831"/>
        <n v="81992198298"/>
        <n v="81986721162"/>
        <n v="81985913215"/>
        <n v="81988730807"/>
        <n v="81983491216"/>
        <n v="81985309631"/>
        <n v="81999137506"/>
        <n v="81996176992"/>
        <n v="81985750512"/>
        <n v="81985451877"/>
        <n v="81993617490"/>
        <n v="81986368212"/>
        <n v="81996343446"/>
        <n v="81992444731"/>
        <n v="81996851239"/>
        <n v="81991067896"/>
        <n v="81996372273"/>
        <n v="81981490872"/>
        <n v="81993617459"/>
        <n v="81987349723"/>
        <n v="81988246857"/>
        <n v="81986896245"/>
        <n v="81988220808"/>
        <n v="81996831837"/>
        <n v="81991022399"/>
        <n v="81984367066"/>
        <n v="81998373388"/>
        <n v="81986766525"/>
        <n v="81987465625"/>
        <n v="81997727560"/>
        <n v="81996042108"/>
        <n v="81991663102"/>
        <n v="81987103480"/>
        <n v="81999943590"/>
        <n v="81988866907"/>
        <n v="81996199221"/>
        <n v="81986747671"/>
        <n v="81984526517"/>
        <n v="81983709670"/>
        <n v="81997643142"/>
        <n v="81997613230"/>
        <n v="81985969925"/>
        <n v="81997532155"/>
        <n v="81997557343"/>
        <n v="81986973090"/>
        <n v="81984460956"/>
        <n v="81986325570"/>
        <n v="81999881564"/>
        <n v="81988660392"/>
        <n v="81997301098"/>
        <n v="81985560728"/>
        <n v="81988254664"/>
        <n v="81986488134"/>
        <n v="81994314903"/>
        <n v="81991778012"/>
        <n v="81983588962"/>
        <n v="81994880109"/>
        <n v="81999835531"/>
        <n v="81998947901"/>
        <n v="81999301993"/>
        <n v="81986020267"/>
        <n v="81985753916"/>
        <n v="81983228290"/>
        <n v="81982295697"/>
        <n v="81987398270"/>
        <n v="81993878001"/>
        <n v="81998490815"/>
        <n v="81996242115"/>
        <n v="81975060868"/>
        <n v="81973386673"/>
        <n v="81999658496"/>
        <n v="81986055473"/>
        <n v="81988766963"/>
        <n v="81999798361"/>
        <n v="81995082136"/>
        <n v="81974019897"/>
        <n v="81994811870"/>
        <n v="81993804960"/>
        <n v="81997035691"/>
        <n v="81991264656"/>
        <n v="81985181388"/>
        <n v="81988242621"/>
        <n v="81985342963"/>
        <n v="81982083500"/>
        <n v="81988582823"/>
        <n v="81994743066"/>
        <n v="81983077317"/>
        <n v="81996584017"/>
        <n v="81985721704"/>
        <n v="81988560009"/>
        <n v="81999786121"/>
        <n v="81992145270"/>
        <n v="81984575102"/>
        <n v="81989194686"/>
        <n v="81988672345"/>
        <n v="81987995475"/>
        <n v="81999955454"/>
        <n v="81983559065"/>
        <n v="81996571827"/>
        <n v="81987607191"/>
        <n v="81988246464"/>
        <n v="81999941587"/>
        <n v="81983841615"/>
        <n v="81992664814"/>
        <n v="81984642088"/>
        <n v="81986970720"/>
        <n v="81996405105"/>
        <n v="81986705885"/>
        <n v="81984236474"/>
        <n v="81984521902"/>
        <n v="81983355218"/>
        <n v="81985165366"/>
        <n v="81986133597"/>
        <n v="81999117266"/>
        <n v="81991811812"/>
        <n v="81991217233"/>
        <n v="81999649609"/>
        <n v="81985342482"/>
        <n v="81973038779"/>
        <n v="81986886770"/>
        <n v="81983101483"/>
        <n v="81985020601"/>
        <n v="81973474541"/>
        <n v="81993269683"/>
        <n v="81998266252"/>
        <n v="81984141514"/>
        <n v="81987746732"/>
        <n v="81984274659"/>
        <n v="81985363028"/>
        <n v="81999243842"/>
        <n v="81985581268"/>
        <n v="81999265625"/>
        <n v="81996276565"/>
        <n v="81995236094"/>
        <n v="81979127456"/>
        <n v="81987536216"/>
        <n v="81998853817"/>
        <n v="81995693385"/>
        <n v="81984598026"/>
        <n v="81988260702"/>
        <n v="81999026819"/>
        <n v="81992204106"/>
        <n v="81999157370"/>
        <n v="81984415787"/>
        <n v="81988868881"/>
        <n v="81999378131"/>
        <n v="81984367688"/>
        <n v="81988544578"/>
        <n v="81995927325"/>
        <n v="81986675694"/>
        <n v="81996712934"/>
        <n v="81987256827"/>
        <n v="81988742971"/>
        <n v="81973464375"/>
        <n v="81985302814"/>
        <n v="81992190712"/>
        <n v="81985136319"/>
        <n v="81996982103"/>
        <n v="81987431933"/>
        <n v="81995473141"/>
        <n v="81986507692"/>
        <n v="81997441291"/>
        <n v="81994409425"/>
        <n v="81987257649"/>
        <n v="81991805871"/>
        <n v="81999462873"/>
        <n v="81983406638"/>
        <n v="81987692261"/>
        <n v="81985433775"/>
        <n v="81994266778"/>
        <n v="81997380079"/>
        <n v="81984282723"/>
        <n v="81996154820"/>
        <n v="81987563335"/>
        <n v="81973224484"/>
        <n v="81985159383"/>
        <n v="81988844325"/>
        <n v="81987938918"/>
        <n v="87999556188"/>
        <n v="81986412953"/>
        <n v="81996273745"/>
        <n v="81998119834"/>
        <n v="81983511855"/>
        <n v="81973377388"/>
        <n v="81981810115"/>
        <n v="81996395460"/>
        <n v="81985615653"/>
        <n v="81997115128"/>
        <n v="81996197690"/>
        <n v="81973325614"/>
        <n v="81994623601"/>
        <n v="81998756609"/>
        <n v="81984315301"/>
        <n v="81985512584"/>
        <n v="81996939717"/>
        <n v="81999809367"/>
        <n v="81983355478"/>
        <n v="81986340399"/>
        <n v="81992920910"/>
        <n v="81987608875"/>
        <n v="81997029440"/>
        <n v="81998327586"/>
        <n v="81996798735"/>
        <n v="81987804307"/>
        <n v="81987882133"/>
        <n v="81984096017"/>
        <n v="81997109350"/>
        <n v="81999139376"/>
        <n v="81985589495"/>
        <n v="81992950741"/>
        <n v="81985297553"/>
        <n v="81987057335"/>
        <n v="81996694014"/>
        <n v="81985445494"/>
        <n v="81993402761"/>
        <n v="81985526497"/>
        <n v="81979134906"/>
        <n v="81983151406"/>
        <n v="81991602979"/>
        <n v="83996529934"/>
        <n v="81983218317"/>
        <n v="81985585545"/>
        <n v="81983560834"/>
        <n v="81999439996"/>
        <n v="81993937356"/>
        <n v="81982436357"/>
        <n v="81994106859"/>
        <n v="81996706320"/>
        <n v="81994600307"/>
        <n v="81986662442"/>
        <n v="81971153767"/>
        <n v="81986451042"/>
        <n v="81983653106"/>
        <n v="81973173355"/>
        <n v="81989081790"/>
        <n v="81983741915"/>
        <n v="81991262140"/>
        <n v="81988592394"/>
        <n v="81999668497"/>
        <n v="81984673362"/>
        <n v="81986970750"/>
        <n v="81987944918"/>
        <n v="81981659368"/>
        <n v="81986394297"/>
        <n v="87999559848"/>
        <n v="81971065968"/>
        <n v="81991817786"/>
        <n v="81985283060"/>
        <n v="81999690193"/>
        <n v="81987133870"/>
        <n v="81985794011"/>
        <n v="81985740316"/>
        <n v="81986100124"/>
        <n v="81973430677"/>
        <n v="81996794277"/>
        <n v="81983096272"/>
        <n v="81999223285"/>
        <n v="81984044583"/>
        <n v="81973448407"/>
        <n v="81986188286"/>
        <n v="81989667779"/>
        <n v="81996254951"/>
        <n v="81984640980"/>
        <n v="81973256369"/>
        <n v="81985118857"/>
        <n v="81973234869"/>
        <n v="81996942014"/>
        <n v="81987690599"/>
        <n v="81986948863"/>
        <n v="81993635858"/>
        <n v="81992602566"/>
        <n v="81987457715"/>
        <n v="81992557501"/>
        <n v="81985102138"/>
        <n v="81997260987"/>
        <n v="81993962617"/>
        <n v="81987743516"/>
        <n v="81993828086"/>
        <n v="81988322020"/>
        <n v="81994999937"/>
        <n v="81987481419"/>
        <n v="81984950254"/>
        <n v="81984082823"/>
        <n v="81971071937"/>
        <n v="81999494735"/>
        <n v="81989796337"/>
        <n v="81988920228"/>
        <n v="81996664142"/>
        <n v="81987132722"/>
        <n v="81999116999"/>
        <n v="81998540547"/>
        <n v="81986697774"/>
        <n v="81987967686"/>
        <n v="81994064485"/>
        <n v="81999960609"/>
        <n v="81988442904"/>
        <n v="81999604732"/>
        <n v="11939424033"/>
        <n v="81997119148"/>
        <n v="81999132949"/>
        <n v="81988572654"/>
        <n v="81995215397"/>
        <n v="81995576564"/>
        <n v="81985294355"/>
        <n v="81988204940"/>
        <n v="81984981525"/>
        <n v="81996807173"/>
        <n v="81999054479"/>
        <n v="81985881505"/>
        <n v="81994002361"/>
        <n v="81999191169"/>
        <n v="81987335359"/>
        <n v="81996209137"/>
        <n v="81985958602"/>
        <n v="81988110275"/>
        <n v="81998484608"/>
        <n v="81981219447"/>
        <n v="81981323257"/>
        <n v="81995211209"/>
        <n v="81998388026"/>
        <n v="81988921498"/>
        <n v="81986701653"/>
        <n v="81985740050"/>
        <n v="81995960230"/>
        <n v="81988791348"/>
        <n v="81996320248"/>
        <n v="81992130286"/>
        <n v="81999382889"/>
        <n v="81984251260"/>
        <n v="81998641117"/>
        <n v="81991610989"/>
        <n v="81920019987"/>
        <n v="81991716417"/>
        <n v="81992042946"/>
        <n v="81998610345"/>
        <n v="81988112794"/>
        <n v="81993902315"/>
        <n v="81988623208"/>
        <n v="81985934090"/>
        <n v="81998566649"/>
        <n v="81996059971"/>
        <n v="81984043153"/>
        <n v="81985540097"/>
        <n v="81998295230"/>
        <n v="81993208596"/>
        <n v="81997054490"/>
        <n v="81997250896"/>
        <n v="81983075401"/>
        <n v="81999205254"/>
        <n v="81987484980"/>
        <n v="81999094317"/>
        <n v="81985743105"/>
        <n v="81987982284"/>
        <n v="81986285773"/>
        <n v="81982606927"/>
        <n v="81994675269"/>
        <n v="81987342247"/>
        <n v="81993658458"/>
        <n v="81989722443"/>
        <n v="81983870031"/>
        <n v="81999990960"/>
        <n v="81982233897"/>
        <n v="81996855296"/>
        <n v="81997795224"/>
        <n v="81987137943"/>
        <n v="81988596650"/>
        <n v="81985161570"/>
        <n v="81983364314"/>
        <n v="81997701407"/>
        <n v="81984881221"/>
        <n v="81983567401"/>
        <n v="81973451334"/>
        <n v="81987520952"/>
        <n v="81984835437"/>
        <n v="81995110700"/>
        <n v="81986103821"/>
        <n v="83991581234"/>
        <n v="81984021585"/>
        <n v="81989668159"/>
        <n v="81998380141"/>
        <n v="81985770668"/>
        <n v="81985681543"/>
        <n v="81986888830"/>
        <n v="81992204837"/>
        <n v="81984288154"/>
        <n v="81991625680"/>
        <n v="81996870283"/>
        <n v="81999740853"/>
        <n v="81999051600"/>
        <n v="81982740512"/>
        <n v="81992186999"/>
        <n v="81985598551"/>
        <n v="81988747018"/>
        <n v="81987240188"/>
        <n v="81998504012"/>
        <n v="81987997416"/>
        <n v="81985610818"/>
        <n v="81983704324"/>
        <n v="81999181171"/>
        <n v="81987073783"/>
        <n v="81983931851"/>
        <n v="81984540854"/>
        <n v="81999730260"/>
        <n v="81985021687"/>
        <n v="81988114569"/>
        <n v="81993803029"/>
        <n v="81996465987"/>
        <n v="81983641497"/>
        <n v="81995453063"/>
        <n v="81991216312"/>
        <n v="81985758942"/>
        <n v="81987532782"/>
        <n v="81984881246"/>
        <n v="81998109162"/>
        <n v="81973074593"/>
        <n v="81987371375"/>
        <n v="81986515879"/>
        <n v="81983419322"/>
        <n v="81987060164"/>
        <n v="81984274446"/>
        <n v="81999881737"/>
        <n v="81985236769"/>
        <n v="81983197702"/>
        <n v="81986512658"/>
        <n v="81986531979"/>
        <n v="81984452259"/>
        <n v="81991216235"/>
        <n v="81984720608"/>
        <n v="81988130942"/>
        <n v="81986961681"/>
        <n v="81996957250"/>
        <n v="81987368493"/>
        <n v="81987471315"/>
        <n v="81984318059"/>
        <n v="81997399707"/>
        <n v="83987898364"/>
        <n v="81985942821"/>
        <n v="81985794776"/>
        <n v="81986784448"/>
        <n v="81982184251"/>
        <n v="81996624832"/>
        <n v="81985701664"/>
        <n v="81985237440"/>
        <n v="81998356074"/>
        <n v="81983688294"/>
        <n v="81973172221"/>
        <n v="81983895897"/>
        <n v="81998371130"/>
        <n v="81991605647"/>
        <n v="81986928714"/>
        <n v="81992396730"/>
        <n v="81997280465"/>
        <n v="81986391614"/>
        <n v="81998030891"/>
        <n v="81996905073"/>
        <n v="81992406319"/>
        <n v="81994019557"/>
        <n v="81997157620"/>
        <n v="81985500133"/>
        <n v="81988015557"/>
        <n v="81993877340"/>
        <n v="81984467712"/>
        <n v="81988861025"/>
        <n v="81984607615"/>
        <n v="81987812320"/>
        <n v="81996224087"/>
        <n v="81986321327"/>
        <n v="81994794426"/>
        <n v="81989011281"/>
        <n v="81999843984"/>
        <n v="81994983239"/>
        <n v="87981278418"/>
        <n v="81998413517"/>
        <n v="81997324176"/>
        <n v="12991876039"/>
        <n v="81987150471"/>
        <n v="81983338379"/>
        <n v="81973155325"/>
        <n v="81985353416"/>
        <n v="81985914384"/>
        <n v="81996224664"/>
        <n v="81997507759"/>
        <n v="81986058506"/>
        <n v="81997887559"/>
        <n v="81979142738"/>
        <n v="81984841582"/>
        <n v="81997047849"/>
        <n v="81983065319"/>
        <n v="81988130508"/>
        <n v="81999133249"/>
        <n v="81985643153"/>
        <n v="81984622358"/>
        <n v="81984044057"/>
        <n v="81999335722"/>
        <n v="81996820579"/>
        <n v="81985975422"/>
        <n v="81984670109"/>
        <n v="81983148301"/>
        <n v="81981521958"/>
        <n v="81989820679"/>
        <n v="81994084776"/>
        <n v="81999243918"/>
        <n v="81998414154"/>
        <n v="81984342490"/>
        <n v="81997816176"/>
        <n v="81993805933"/>
        <n v="81988559938"/>
        <n v="81999615364"/>
        <n v="81996629612"/>
        <n v="81997987041"/>
        <n v="81992808416"/>
        <n v="81996443303"/>
        <n v="81991473240"/>
        <n v="81995151718"/>
        <n v="81996549426"/>
        <n v="81989715546"/>
        <n v="81998395631"/>
        <n v="81991211451"/>
        <n v="81999319275"/>
        <n v="81989306813"/>
        <n v="81989745875"/>
        <n v="81996787625"/>
        <n v="81993807364"/>
        <n v="81983570659"/>
        <n v="81988511057"/>
        <n v="81985712079"/>
        <n v="81988619515"/>
        <n v="81979060734"/>
        <n v="81974009779"/>
        <n v="81981215396"/>
        <n v="81989923992"/>
        <n v="81999538590"/>
        <n v="81988004358"/>
        <n v="81982850804"/>
        <n v="81982204976"/>
        <n v="81987469835"/>
        <n v="81988844350"/>
        <n v="81999619052"/>
        <n v="81971166096"/>
        <n v="81997950258"/>
        <n v="81981929106"/>
        <n v="81985803167"/>
        <n v="81994149250"/>
        <n v="81999446407"/>
        <n v="81996884713"/>
        <n v="81982653316"/>
        <n v="81992513955"/>
        <n v="81988900219"/>
        <n v="81993282644"/>
        <n v="81986591644"/>
        <n v="81986597131"/>
        <n v="81973403446"/>
        <n v="81985888198"/>
        <n v="81981883103"/>
        <n v="81996540791"/>
        <n v="81985562754"/>
        <n v="81998028777"/>
        <n v="81987726291"/>
        <n v="81983401161"/>
        <n v="81985550457"/>
        <n v="81998215338"/>
        <n v="81985218295"/>
        <n v="81971204328"/>
        <n v="81997467123"/>
        <n v="81998646305"/>
        <n v="81991428395"/>
        <n v="81998689887"/>
        <n v="81996503644"/>
        <n v="81994773016"/>
        <n v="81984494338"/>
        <n v="81996912111"/>
        <n v="81998548065"/>
        <n v="81999782600"/>
        <n v="81987240226"/>
        <n v="81999905898"/>
        <n v="81997506104"/>
        <n v="81995970031"/>
        <n v="81988384210"/>
        <n v="81995637510"/>
        <n v="81987993158"/>
        <n v="81999287662"/>
        <n v="81984587491"/>
        <n v="81983376422"/>
        <n v="81999788943"/>
        <n v="81985588016"/>
        <n v="81985232417"/>
        <n v="81985097361"/>
        <n v="81988911045"/>
        <n v="81988513685"/>
        <n v="81991396474"/>
        <n v="81998221630"/>
        <n v="81997216607"/>
        <n v="81989038065"/>
        <n v="81999364988"/>
        <n v="81991526074"/>
        <n v="81999721660"/>
        <n v="81979007469"/>
        <n v="81999945453"/>
        <n v="81984757470"/>
        <n v="81994668996"/>
        <n v="81973194873"/>
        <n v="81973176242"/>
        <n v="81996356367"/>
        <n v="81997081983"/>
        <n v="81986715318"/>
        <n v="81998520846"/>
        <n v="81999101947"/>
        <n v="81998315894"/>
        <n v="81986942653"/>
        <n v="81996565391"/>
        <n v="81988241106"/>
        <n v="81991329143"/>
        <n v="81996791034"/>
        <n v="81986541141"/>
        <n v="81998726342"/>
        <n v="81988945291"/>
        <n v="81982878306"/>
        <n v="81986664575"/>
      </sharedItems>
    </cacheField>
    <cacheField name="Endereço de e-mail" numFmtId="0">
      <sharedItems containsBlank="1" count="22">
        <m/>
        <s v="tatyana.queiroz@recife.pe.gov.br"/>
        <s v="larissa.oliveira@recife.pe.gov.br"/>
        <s v="camilla.nascimento@recife.pe.gov.br"/>
        <s v="ianne.oliveira@recife.pe.gov.br"/>
        <s v="maria.franca@recife.pe.gov.br"/>
        <s v="mariana.sodre@recife.pe.gov.br"/>
        <s v="thiagojas13@gmail.com"/>
        <s v="eo.elainecarmo@gmail.com"/>
        <s v="anamacintra@gmail.com"/>
        <s v="marciasouzagomes05@gmail.com"/>
        <s v="fabianesouza85@gmail.com"/>
        <s v="thiago.sandes@recife.pe.gov.br"/>
        <s v="fabiane.souza@recife.pe.gov.br"/>
        <s v="rhayza.jordao@recife.pe.gov.br"/>
        <s v="liliana.ufpe2015@gmail.com"/>
        <s v="marianaccsodre@gmail.com"/>
        <s v="damartine.feitosa@recife.pe.gov.br"/>
        <s v="joao.moreira@recife.pe.gov.br"/>
        <s v="nayale.andrade@recife.pe.gov.br"/>
        <s v="jessica.silva@recife.pe.gov.br"/>
        <s v="   "/>
      </sharedItems>
    </cacheField>
    <cacheField name="STATUS" numFmtId="0">
      <sharedItems containsBlank="1" count="5">
        <m/>
        <s v="Atendimento realizado"/>
        <s v="Tentativa 1 de monitoramento sem sucesso"/>
        <s v="Tentativa 2 de monitoramento sem sucesso"/>
        <s v="Em atendimento"/>
      </sharedItems>
    </cacheField>
    <cacheField name="PROFISSIONAL QUE ATENDEU" numFmtId="0">
      <sharedItems containsBlank="1" count="18">
        <m/>
        <s v="JOANNA"/>
        <s v="IANNE"/>
        <s v="CAMILLA"/>
        <s v="TATYANA"/>
        <s v="LARISSA"/>
        <s v="MARIANA"/>
        <s v="THIAGO"/>
        <s v="ELAINE"/>
        <s v="MARCIA"/>
        <s v="ANA_CINTRA"/>
        <s v=" "/>
        <s v="FABIANE"/>
        <s v="RHAYZA"/>
        <s v="LILIANA"/>
        <s v="NAYALE"/>
        <s v="DAMARTINE"/>
        <s v="JESSICA"/>
      </sharedItems>
    </cacheField>
    <cacheField name="ENVIAR WHATSAPP?" numFmtId="0">
      <sharedItems containsBlank="1" count="3">
        <m/>
        <b v="0"/>
        <b v="1"/>
      </sharedItems>
    </cacheField>
    <cacheField name="ENVIADO" numFmtId="0">
      <sharedItems containsBlank="1" count="2">
        <m/>
        <s v="sim"/>
      </sharedItems>
    </cacheField>
    <cacheField name="CONDUTA MONITORAMENTO 1" numFmtId="0">
      <sharedItems containsBlank="1" count="923">
        <m/>
        <s v="Em casos de abortamento, aguardar por 4 semanas a partir da data de realização da USG; se não houver alterações em até 4 semanas ou se apresentar sinais de alerta, ir à maternidade."/>
        <s v="Não conseguiu contato. (Ianne)"/>
        <s v="Não atendeu às 12:30 (Tatyana)"/>
        <s v="Não consegui contato (chamada desligada) "/>
        <s v="Realizado telemonitoramento de gestante, refere que apos a refeição os movimentos fetais foram bem evidenciados, sem sinais de alerta. Oriento procurar a APS em ate 48h para uma avalição do BCF e que iremos retornar o telemonitoramento na segunda 16/01/20"/>
        <s v="Paciente chorosa, com medo da dor do parto, não deseja ir para a maternidade hoje. Tentar novo contato as 10h."/>
        <s v="Paciente na maternidade no momento, referiu que vai ser atendida agora pela obstetra. Oriento que a tarde entraremos em contato novamente, caso ela precise antes entrar em contato com o Atente gestante. "/>
        <s v="Segue sob cuidados na maternidade. Genitora da paciente informa que ela foi levada para realizar USG, segue aguardando nova avaliação. Obs: encontra-se sem internet, logo não não foi possível enviar link de avaliação do atendimento."/>
        <s v="Encontra-se na Maternidade Barros Lima aguardando resultado de exames (EAS, Teste Covid, Hemograma). Refere que fez uso de Betametasona (amanhã será administrada outra dose), Buscopan e outra medicação (não sabe o nome). Apresenta melhora dos sintomas ref"/>
        <s v="Refere que após resultado dos exames (TR-Ag: negativo; EAS e hemograma: sem alterações) foi orientada a voltar para casa e retornar no sábado. No sábado recebeu a 2ª dose de Betametasona. Foi prescrito Loratadina 1x/dia e Dipirona. Refere piora do quadro "/>
        <s v="Gestante, G3 PN2 A0, 35S4D, queixando-se de odinofagia, sem febre. Contrações esporádicas a cada 2 ou 3 horas sem perdas vaginais. Compareceu à consulta do pré-natal hoje. Oriento em caso de sinais de alerta e/ou de tp busque a maternidade mais próxima. E"/>
        <s v="Informa que foi atendida na Maternidade Barros Lima (05/04), diagnosticada com candidíase, prescrito creme vaginal 1x/noite por 10 dias (não sabe o nome). Ainda não iniciou o tratamento porque o PACS está fechado devido o feriado. Refere que corrimento di"/>
        <s v="Paciente com melhora do quadro diarreeico, sem novos episodios nas ultimas 9h. "/>
        <s v="Paciente recusou a ligação 2x"/>
        <s v="Telemonitoramento realizado por videochamada, paciente com sintomas gripais ( tosse, dor incomodo na garganta e secreção esverdiada, oriento atendimento presencial e realização do teste rapido."/>
        <s v="Paciente relara que procurou atendimento presencial, porem nao realizou o TR, refere ainda melhora nos sintomas, oriento hidratação e manter o PN na APS e PNAR"/>
        <s v="Paciente nao atendeu o contato as 15:50 feito 3 tentativas "/>
        <s v="09/05: O celular da gestante está com o companheiro e ele só encontrará com ela a partir do meio dia. "/>
        <s v="11/05 telefone nao completa a ligação "/>
        <s v="22/05 (Lari) Não realizado telemoniotamento"/>
        <s v="Nega novos episódios de sangramento (último ontem pela manhã). Oriento acerca dos sinais de alerta."/>
        <s v="(Mariana) Orientado ir para Maternidade Arnaldo Marques devido cefáleia persistente, monitoramento ainda hoje"/>
        <s v="Refere que não foi à US. Mantenho conduta anterior. "/>
        <s v="Usuária entrou como demanda espontânea em 01\06"/>
        <s v="(taty), consulta esta marcada para 06/06, troco esquema de ATB para ITU, uma vez que apaciente parou  o tratamento devido queixas de evento adverso e inicio acido folico "/>
        <s v="Tentar novamente dia 02/06"/>
        <s v="(Lari) Tento contato telefônico sem sucesso."/>
        <s v="(lari) Telefone não completa ligação"/>
        <s v="Ligar às 17h"/>
        <s v="Foi à Maternidade Barros Lima, descartado TPP. Oriento acerca dos sinais de alerta. "/>
        <s v="Não podia atender no momento do contato, pediu pra retornar no turno da tarde (monitoramento realizado por Elaine Carmo)"/>
        <s v="(Taty) tento monitoramento s/sucesso as 08:36/ 11:16"/>
        <s v="(Thiago ) Tento monitoramento s/ sucesso as 08:39 "/>
        <s v="Tento contato com a paciente para realizar monitoramento e a mesma solicita novo contato contato amanhã. Está em processo de abortamento"/>
        <s v="(Thiago) Ligar mais tarde; nova tentativa às 11:15"/>
        <s v="Foi à urgência da Unimed, refere melhora progressiva, porém ainda com tosse. Oriento acerca dos sinais de alerta."/>
        <s v="Paciene avaliada ontem na maternidade, prescrito amoxicilina por sinusite. Encerro monitoramento. Seguira em PN de risco habitual."/>
        <s v="Paciente sem queixas no momento. Atendida e avaliada na Arnardo, conforme orientado, sem contrações e colo fechado."/>
        <s v="(ianne) 11h ligo 3x, não atendeu"/>
        <s v="Foi atendida na maternidade, colo fechado , conseguiu marcar consulta de PN para 15/06/2023, oriento repouso, ingesta liquida e acerca dos sinais de alerta."/>
        <s v="Foi atendida na USF (06/06). Nega sinais de alerta. Mantém sintomatologia. Oriento ID, sinais de alerta, telemonitoramento, realizar TR-Ag amanhã. "/>
        <s v="Foi atendida na Maternidade Arnaldo Marques, exames sem alterações. Oriento acerca dos sinais de alerta."/>
        <s v="(taty) paciente submetida pc, puerpera e rn se encotram bem"/>
        <s v="(ianne) Relata que foi na maternidade Arnaldo Marques ontem a noite e hoje pela manha,  liberada apos avaliaçao medica devido a &quot;inicio de trabalho de parto, ainda com 4cm. contraçoes a noite estavam mais intensas, que diminuiram mais agora pela manha. Re"/>
        <s v="Foi à US hoje, prescrito ATB (iniciou uso) e encaminhada para consulta odontológica (aguarda agendamento)."/>
        <s v="paciente nao respondeu ao comando "/>
        <s v="PN sem intercorrências na Maternidade Bandeira Filho"/>
        <s v="thiago (09:12 )  paciente melhora dos sistomas da itu e leucorreia , porem apresentou queixas de emese e diarreia nonitora a tarde . "/>
        <s v="gestante solicita ligação as 10h "/>
        <s v="Não foi à maternidade, pois refere que apresentou melhora dos sintomas. Reforço importância do atendimento presencial. Oriento buscar atendimento na maternidade (hoje) se piora ou presença de sinais de alerta. Encaminho à USF para reagendamento do PN + av"/>
        <s v="(Joanna)  Sem sucesso às 08h"/>
        <s v="(Joanna) "/>
        <s v="solicito que gestante realize teste do covid e busque atendimento presencial, como orientado no atendimento anterior, permanece coriza e tosse "/>
        <s v="(Joanna) Ligar para número da Mãe 81984896307, telefone não recebe chamda"/>
        <s v="09/06 (Taty) Paciente não atendeu às 8h"/>
        <s v="(Thiago) procurou atendimento na UPA de Lagoa Encantada e refere ter recebido alta em seguida com prescrição de um colírio lubrificante e exame clínico sem alterações. Nega queixas obstétricas e refere boa movimentação fetal."/>
        <s v="09/06 (Taty) Não consigo contato com a paciente "/>
        <s v="Refere melhora dos sintomas gripais. Queixa-se de episódio de tontura ao acordar. Nega sinais de alerta. Foi ao CS Monteiro de Morais e não conseguiu agendar PN. Oriento retornar ao CS para agendar PN; oriento sinais de alerta e medidas de alivio para ton"/>
        <s v="(Thiago) Gestante com contrações dolorosas e IG: 35s3d pela DUM, encaminhada a mat. Arnaldo Marques para atend. presencial."/>
        <s v="(taty) Realizado telemonitoramento, gestante orientada o que é fibroma mole e quando ao consultorio de pequenas cirurgia onde pode esta solicitando no posto o encaminhamento se caso seja seu desejo."/>
        <s v="(Lari) Telefone não completa as 16h"/>
        <s v="(Camilla) Não conseguiu contato - tel desligado às 10:42. (Thiago) Não conseguiu contato as 08:20."/>
        <s v="Foi à maternidade, descartou-se TP ativo. Queixa-se de ausência de MF (último às 23h30). Oriento realização do mobilograma. Realizar telemonitoramento às 10h."/>
        <s v="(Marcia) às 08h e às 18:20"/>
        <s v="Foi à maternidade, descartado TPP. Oriento MRPA."/>
        <s v="(Joanna) Ligar para: 81991724644 (número do namorado)"/>
        <s v="Ligar às 10h"/>
        <s v="11/06 ( ana) telefone desligado "/>
        <s v="(Camilla) Não consegui contato às 10:54.(Thiago) Não conseguiu contato as 08:50"/>
        <s v="(Marcia) Número deu ocupado às11:40h /17h Nova tentativa sem sucesso"/>
        <s v="11/06 (taty) Gestante encaminhada para maternidade TP?"/>
        <s v="11/06 ( ana ) orientado sinais de TP e mobilograma, monitoramento em 5dias "/>
        <s v="11/06 (taty) gestante nao atende a ligação tentativa as 10:11"/>
        <s v="Realizado telemonitoramento. Gestante sem queixas. Não fez o TR-ag, nega sintomas gripais. PN agendado para 14/06."/>
        <s v="11/06 (taty) gestante encaminhada para maternidade , referindo cefaleia intensa eregistro de pa 130x90"/>
        <s v="11/06 ( ana) telefoene desligado ( 10:39)"/>
        <s v="(Thiago) Sem sucesso às 08:20"/>
        <s v="(Thiago) Não conseguiu contato as 09:00"/>
        <s v="( taty) 09:56 gestante nao atendeu a chamada "/>
        <s v="(Thiago) Não conseguiu contato as 09:20"/>
        <s v="(Camilla) Não consegui contato às 10:43 - tel desligado. (Camilla) Não consegui contato às 08:30"/>
        <s v="11/06 (taty) nao atendeu as 15:40 tentar em 12/06"/>
        <s v="(Thiago) Sem sucesso às 08:37"/>
        <s v="11/06 ( ana) gestante internada para TPP no Barão de lucena "/>
        <s v="(Thiago) Gestante com IG: 11s5d (DUM: 15/03/2023) refere que procurou a urgência da maternidade Barros Lima ontem com as queixas de dor de cabeça + ardor ao urinar + corrimento em grumos esbranquiçado sem odor, foi examinada e liberada em seguida e no mom"/>
        <s v="Taty (08:19) paciente atendeu o telefone, porem nao entrou no hopchat e nao atende mais "/>
        <s v="(Camilla) Não consegui contato às 08:20 e nem às 10:15."/>
        <s v="(Lari) Paciente refere melhora dos sintomas. Alta do episódio."/>
        <s v="Joanna: tentativa sem sucesso - 8h."/>
        <s v="taty (10:11) Gestante com atendimento marcado, porem refere continuar com os sintomas da leucorreia"/>
        <s v="(Camilla) Realizado telemonitoramento. Gestante se encontra no HMR. Chegou às 14h, com PA 130X90MMHG, classificada como amarela, aguarda atendimento médico. "/>
        <s v="( taty) 10:13 Gestante nao atendeu a chamada "/>
        <s v="14/06 Ianne (09h15) Paciente não atende ligaçao, pelo prontuario atendida em pre natal ontem. HAS em uso de metildopa, perdeu consulta de PNAR, não encontro no sisreg solicitaçao de PNAR. "/>
        <s v="14/06 ianne (09h30) Paciente não atende, avaliar se houve atendimento presencial"/>
        <s v="Usuária de Olinda???"/>
        <s v="(taty) 09:27 gestante sem queixas, aguardando uma USG para definição de conduta "/>
        <s v="Taty (15:26) Telefone desligado. ianne (11h30) telefone desligado, tentar contato novamente a tarde. Insistir um pouco mais, paciente fazendo pico pressorico sem conseguir acesso ontem a consulta presencial"/>
        <s v="thiago(11:20) paciente nao atendeu (taty) ligar as 11h"/>
        <s v=" (ianne) 9h45 -11h30 Tentado entrar em contato diversas vezes com paciente por ligaçao e pelo whatsapp sem sucesso. tentar novamente a tarde"/>
        <s v="ianne (15/06 : 9h30) não atende"/>
        <s v="Joanna (8h): tentativa sem sucesso."/>
        <s v="taty( 10:00) gestante refere melhora dos sintomas. "/>
        <s v="Joanna: Foi à US indicada (Vila Arraes), porém foi informada que não seria a US de área de cobertura. Hoje vai ao CS Olinto Oliveira tentar agendar PN e fazer avaliação. "/>
        <s v="Joanna (9h40): não atendeu"/>
        <s v="ianne (09h44): não atendeu"/>
        <s v="(Thiago) Sem sucesso às 09:10"/>
        <s v="Foi ao CS Olinto Oliveira, porém a enfermeira não estava presente; foi orientada a retornar próxima quinta-feira e buscar atendimento na urgência. Cd: Encaminho à maternidade Bandeira Filho."/>
        <s v="Realizar monitoramento às 18h."/>
        <s v="Foi atendida na Maternidade Barros Lima, observou-se modificações do colo uterino (amolecimento, esvaecimento 50%), aumento das contrações, sendo encaminha ao Hospital das Clínicas. Segue internada no Hospital das Clínicas, feto com boa vitalidade, inicio"/>
        <s v="taty (09:05 ) telefone desligado; Joanna (13h56; 17h22): não atendeu "/>
        <s v="Thiago (8:48) Paciente não atende."/>
        <s v="taty ( 09:05) puerpera, esta na maternidade bandeira filho "/>
        <s v="Joanna (9h39; 14h; 17h23): não atendeu."/>
        <s v="Ligar às 14h (Thiago) 4 tentativas sem sucesso às 15:56 "/>
        <s v="08:40 ( taty) paciente nao atende"/>
        <s v="09:41 (taty) Ligar as 14h; 13h35 (ianne) paciente não atende"/>
        <s v="Foi ao IMIP, avaliação sem alterações (SIC). Segue sem queixas. Oriento acerca dos sinais de alerta e manutenção do PNAR (APS e PNAR)."/>
        <s v="TR-Ag: negativo; Não buscou atendimento presencial, iniciou uso do Aciclovir (oral e tópico) por conta própria, pois, refere que tem herpes labial recorrentemente. Queixa: Coriza, congestão nasal. Nega sinais de alerta. Refere melhora da lesão na boca (cr"/>
        <s v="Encontra-se no HMR, foi medicada, aguarda reavaliação. Oriento realização do MRPA e manutenção do PN."/>
        <s v="Joanna (8h25): não atendeu. 16h30: telefone indisponível."/>
        <s v="taty ( 07:50) paciente a caminho da maternidade par arealizar usg ( ligar a tarde 13:00) "/>
        <s v="ianne (8h30) desligado"/>
        <s v="taty(08:41) paciente solicitou contato a tarde (14h)"/>
        <s v="(ianne) Realizado monitoramento"/>
        <s v="Joanna: não atendeu"/>
        <s v="ianne: Paciente melhorou dos sintomas"/>
        <s v="Taty (08:34) paciente no D7 apresentando coriza e congestao nasal "/>
        <s v="Joanna (8h26, 15h15, 18h20): não atendeu; "/>
        <s v="Aguarda EAS. Mantém desconforto suprapúbico ao iniciar micção. Realizar telemonitoramento."/>
        <s v="Joanna: Foi à USF, foi agendada para o dia 26/06. Refere melhora do desconforto, segue apresentando sensação de cansaço, mal-estar. Taty (15:24) paciente mão atendeu "/>
        <s v="(ianne) 16h15 paciente não atende; Joanna (18h20): não atendeu"/>
        <s v="Thiago (8:30) Tentativa de contato sem sucesso. Thiago (13:56 ) tentativa sem sucesso "/>
        <s v="Realizar nova tentativa em 23/06. ianne (16h) paciente não atende; Joanna (18h20): não atendeu"/>
        <s v="Taty(09:07) Paciente nao atendeu Taty (13:56 ) tentativa sem sucesso "/>
        <s v="Camilla (16h) Tentativa sem sucesso. Taty (13:44) paciente nao atendeu "/>
        <s v="Gestante permanece ainda com queixas eventuais de falta de ar e coração acelerado, porém sem sintomas gripais ou outros sintomas. Como a mesma está vinculada ao pré-natal na APS, fnalizo motiromanto do AG."/>
        <s v="Thiago (09:10) paciente nao atendeu "/>
        <s v="Paciente refere melhora dos sintomas gripais, oriento quanto habitos para melhora dos enjoos"/>
        <s v="Taty (09:00) paciente  não atendeu "/>
        <s v="Paciente na maternidade, aguardando resultado USG  e Glicose, refere melhora na dor pelvica "/>
        <s v="Taty (08/54) Paciente nao atendeu "/>
        <s v="Primigesta, IG = 8s2d (DUM: 30/04/2023), foi encaminhada para avaliação presencial devido sangramento vaginal e dor em BV (tipo cólica). Foi atendida ontem no HMR, exame do colo do útero sem alterações, orientada a retornar hoje pela manhã para realização"/>
        <s v="taty (08:18; 14:6 ) telefone desligado; Joanna (18h): não atendeu"/>
        <s v="taty ( 08:45)  tentativa sem sucesso"/>
        <s v=" Thiago ( 08:40)Gestante afirma que possui 2 números, mas apenas 1 com whatsapp, não concluo atendimento devido interrupção da ligação."/>
        <s v="Mobilograma: + 15 MF."/>
        <s v="Joanna (13h23; 14h15): não atendeu. Às 16h13 atendeu e logo em seguida desligou. Nova tentativa às 17h 24 (telefone desligado)"/>
        <s v="(Lari) Feito contato com a paciente e como ela persistia com dor apesar de analgésico e repouso, encaminhada a urgência"/>
        <s v="Joanna (8h11): não atendeu"/>
        <s v="(Ianne): Realizado teleatendimento e oriento procurar a maternidade devido a sangramento genital associada a prematuridade. Entretanto paciente informa não conseguir ir agora, então oriento ir ao APS ( ja que mais proximo da sua residencia) para avaliação"/>
        <s v="Joanna (8h15; 11h24): não atendeu"/>
        <s v="Joanna (9h6; 10h57): Atendeu e desligou após identificação. Tentar novamente.taty (15:15) paciente nao atendeu; Joanna (17h7): não atendeu."/>
        <s v="Foi à US e não foi avaliada. Mantém dor em BV, sensação de esvaziamento incompleto da bexiga, gotejamento pós-micção. Nega novos episódios de sangramento, último há 2 dias (descreveu como raios de sangue). Oriento buscar atendimento na urgência, visto que"/>
        <s v="Taty (13:30) paciente procurou a APS  PA 110*80 em dois momentos destintos, continua sem conseguir marcação para consulta  e estava a caminho da maternidade por apresentar edema em um miLigar as 13h ( telefone para ligar:81987191246)"/>
        <s v="Joanna (8h42; 10h56): não atendeu. taty( 11:20) nao atendeu "/>
        <s v="Mobilograma - 9 MF. Amanhã tem consulta de PN (rede privada) agendada. "/>
        <s v="Taty (15:20; 15:30) paciente nao atendeu  + Thiago (16:30h) Paciente não atendeu"/>
        <s v="gestante com IG 38s5d pela DUM e 38s2d pela USG com 31s, a mesma refere boa movimentação fetal ao logo do dia. Nega queixas obstétricas como cólicas, contração, perdas vaginais. Nega ainda queixas urinárias. Relata não ter comparecido a última consulta de"/>
        <s v="Joanna (13h13): telefone atendido por alguém chamado Ulises, informou que a gestante não se encontra e que retornasse ligação às 16h."/>
        <s v="Joanna (13h15; 14h16; 16h11; 17h20): não atendeu. "/>
        <s v="05/07 - Refere boa movimentação fetal, foi à consulta de PN ontem - avaliação sem alterações. Sem queixas no momento, nega sinais de alerta. Cd: Oriento paciente sobre sinais de alerta e manutenção do pré-natal."/>
        <s v="Taty (08: 25) paciente iniciou tratamento para candida e continua com dor de garganta, coriza e obstrução nasal "/>
        <s v="Taty ( 10:00) telefone nao completa a ligação"/>
        <s v="Taty ( 09:55) paciente não atendeu"/>
        <s v="Taty (08:29) telefone nao completa ligação "/>
        <s v="05/07: Refere melhor dos sintomas gripais e dor em BV, segue em uso de creme vaginal (Canesten). Sem queixas no momento. Nega sinais de alerta. Cd: Oriento sinais de alerta e manutenção do PN na APS. Joanna (05/07 - 8h45): não atendeu. Joanna (8h15; 11h20"/>
        <s v="Joanna (05/07 - 8h48; 13h54; 16h30): não atendeu. Joanna (8h23; 11h21; 14h5): não atendeu"/>
        <s v="Refere que foi atendida na USF Skylab II (04/07), apresentou PA = 100 x 60, solicitado MRPA, prescrito Paracetamol, reavaliação agendada para 11/07. Não foi encaminhada ao PNAR, mesmo mostrando registro do atendimento do Atende em Casa que recomendava enc"/>
        <s v="Joanna (9h29; 13h37): não atendeu."/>
        <s v="Gestante com 28s2d (DUM e USG) ainda não iniciou tratamento com miconazol, irá recebera medicação na UBS amanhã. "/>
        <s v="Joanna (8h09; 11h16; 14h7; 16h13; 17h20): não atendeu."/>
        <s v="Ligar apos 11h - paciente foi para maternidade (internar); 07/07 (Thiago) Às 11:15h, usuária não atendeu."/>
        <s v="Está internada no CISAM (HAS + DMG)."/>
        <s v="(Thiago) Às 14:30 usuária se encontrava em atendimento no HMR."/>
        <s v="07/07 (taty as 11:32) nao atendeu "/>
        <s v="07/07 (Lari) tentativa às 08:30h; (Thiago) 12:00 usuária não atende"/>
        <s v="Refere que mantém dor em BV tipo cólica, moderada e intermitente há mais de uma semana, porém mais frequente; não observa melhora considerável, apenas alívio momentâneo quando fica em repouso. Oriento atendimento presencial. "/>
        <s v="Gestante EGBom, Glasgow 15, colaborativa, refere não ter tido náuseas e vômitos hoje. Por volta das 11h a PA foi 110x70mmHg, achou por bem fracionar a alimentação para reduzir a possibilidade de enjoo. Está esclarecida quantos aos sinais de alerta para pr"/>
        <s v="Taty (13:38 telefone desligado 10/07 ( taty) nao atendeu as 08:25"/>
        <s v="Refere que ontem apresentou vários episódios de vômito e não conseguiu se alimentar ou ingerir líquido. Hoje apresentou melhora, porém ainda vomitou 5x, está com dor no peito ao respirar devido esforço para vomitar, conseguiu ingerir líquidos e se aliment"/>
        <s v=" TATY (12:40)Paciente  41s encontra-se internada em TP ( perda de tampao mucoso e contraçoes ritmicas e intensa )"/>
        <s v="Taty ( 13;51) paciente refere melhora nos sintomas e nao realizou a urocultura como solicitado )"/>
        <s v="(10:10 - Camilla) Falo com gestante pelo celular e ela informa que está a caminho &quot;da consulta com a médica&quot;. Combino de ligar à tarde. "/>
        <s v="Gestante refere que dor melhorou. Oriento que observe e se piorar, busque a unidade de saúde. Reforço a importância do PN na próxima semana"/>
        <s v="Taty ( 08::20)paciente nao atendeu "/>
        <s v="Foi avaliada na Maternidade Barros Lima, prescrito Buscopan, realizará USG hoje. ianne (08h10): Usuaria não atende ligaçao"/>
        <s v="TATY (15:00) Paciente nao procurou atendimento presencial como orientado , porem hoje refere melhora dos sintomas. seguindo o protocolo para sintomais gripais. encaminho paciente para atendimento presencial e tr para COVID "/>
        <s v="taty(08:24 ) telefone nao esta disponivel no momento"/>
        <s v="Foi à USF Coque (12/07), porém foi informada na recepção que não tinha profissional disponível na USF para realizar o atendimento. Orientada a retornar na segunda-feira. Também não conseguiu agendar exames porque a técnica está de licença. Não buscou aten"/>
        <s v="Joanna (14h35; 15h; 18h): não atendeu."/>
        <s v="14/07, ás 10:00h, usuária refere melhora dos sintomas, iniciou acompanhamento com psiquiatra e aguarda resultado de exames para iniciar o pré-natal. Encerro ciclo de monitoramento do AG."/>
        <s v="Ianne&gt; Solicitado uroc// encaminhada para marcar consulta pre natal em UBS. Monitoramento segunda para checar acessoa ao pre natal e exame."/>
        <s v="Camilla (09:08) "/>
        <s v="Joanna (8h57; 14h13;16h17; 17h11): não atendeu"/>
        <s v="(Thiago) Às 08:35h, 09:43h, paciente não atende à ligação."/>
        <s v="Joanna (8h59; 14h15; 16h18; 17h13): não atendeu"/>
        <s v="A paciente entrou via demanda espontânea após tentativas sem sucesso de telemonitoramento."/>
        <s v="14/07 (09:05)Paciente informa  que ontem apresentou piora dos sintomas cefaleia e êmese, procurando a emergência  da Maternidade Arnaldo Marques, avaliada PA 100*80, medicada e liberada, hoje refere melhora dos sintomas, nega sinais de alerta, distúrbios "/>
        <s v="Foi ao HMR, confirmou-se ITU (EAS com alteração, resultado da urocultura estará disponível dia 19/07), prescrito Nitrofurantoína 100mg 6/6h, retornará para reavaliação no HMR dia 19/07."/>
        <s v="Joanna (9h30; 14h16): não atendeu; 16h18; 17h13 - desligado"/>
        <s v="Ligar às 13h - Thiago, em 16/07/23 às 13:40h, paciente se encontrava na Maternidade Arnaldo Marques para atendimento."/>
        <s v="16/07 Ana Cintra (10:00), paciente não atende à ligação."/>
        <s v="Taty (09:20) paciente refere melhora dos sintomas ( diarreia e emese )"/>
        <s v="16/07 Ana Cintra (17:30) (18:00), paciente não atende à ligação."/>
        <s v="Taty( 08:50) telefone desligado "/>
        <s v="camilla (10:30) taty ( 07:50) telefone oculpado "/>
        <s v="Taty (15:37) gestante com mobilograma normal, porem refere disuria ( ardencia em uretra e dor ao final da micção) , e dor em BV "/>
        <s v="Taty ( 08:11) telefone oculpado; Joanna (14h; 17h): telefone desligado"/>
        <s v="Não realizou EAS + urocultura. Mantém queixa. Joanna (8h16): não atendeu. "/>
        <s v="(Fabiane) Às 08:50h, paciente não atende à ligação. 10:00h, Paciente colheu urocultura hoje, consulta PN na APS 25/07, sem queixas no momento, alta do monitoramento."/>
        <s v="ligar as 13h (Taty) Telefone não completa chamada"/>
        <s v="Refere que foi ao CS Prof Joaquim Cavalcante para agendar PN em 20/07, foi orientada a aguardar visita do ACS com programação da consulta de PN. PN na rede privada está agendado para o dia 01/08."/>
        <s v="Gestante refere que foi atendida na USF Brasilit e que foi informada sobre a possibilidade de reação alérgica, sem outras alterações identificadas. Durante telemonitoramento a ligação caiu e não foi possível estabelecer novo contato. Encerro telemonitoram"/>
        <s v="Foi à Maternidade Prof. Bandeira Filho, porém não aguardou atendimento. Refere melhora da disúria e cólica. Mantém pirose e desconforto gástrico leve (flatulência). Nega queixas obstétricas e sinais de alerta."/>
        <s v="(THIAGO) Às 09:00h, usuária não atende à chamada."/>
        <s v="(THIAGO) Às 09:05h, usuária compareceu em 22/07/23 à maternidade Arnaldo Marques, foi avaliada, medicada e liberada em seguida com melhora importante do quadro de dor em baixo ventre e contrações. Encerro monitoramento."/>
        <s v="(THIAGO) Às 09:50h, 10:20h, usuária não atende à chamada."/>
        <s v="(ianne) 03h35: paciente não atendeu. Joanna (15h7; 17h): não atendeu"/>
        <s v="(ianne) Orientaçoes de manter PNAR"/>
        <s v="Ligar a tarde, está indo fazer USG"/>
        <s v="(ianne) Paciente internada no HMR para controle pressorico"/>
        <s v="Joanna  (15h; 15h30; 17h): telefone indisponível"/>
        <s v="(taty) Paciente encontr-se internada no Hospital Barão de Lucena, desde do dia 27/07/2023,  para controle pressórico. prescrito MgSO4 e hoje em uso de metildopa., oligodramnio? Devido paciente ja internada no hospital Barão de Lucena  com assistência gara"/>
        <s v="Refere melhora da lombalgia, mantém contrações indolores. Oriento acerca dos sinais de alerta e TP, manutenção do PN na APS."/>
        <s v="Ligar às 9h (Ana Cintra) Às 09:15h, usuária não atende à chamada."/>
        <s v="Paciente refere que caiu da própria altura no dia 29/07/23  devido o chão esta molhado, no momento sem queixas ,refere melhora da cólica e nega sinais de alerta."/>
        <s v="PACIENTE NAO ATENDEU (16:30); Joanna (17h05): não atendeu"/>
        <s v="Ligar às 13h  *Joanna (13h24; 17h): não atendeu."/>
        <s v="Taty (09:06 ) Telefone nao completa a ligação "/>
        <s v="(Marta) Ligar a tarde, DS informa ES que usuária será atendida hoje na USF"/>
        <s v="Ligar para esse numero 81993804960. (Thiago) Às 14:48h, 17:09h, usuária não atande à chamada."/>
        <s v="(Thiago) Às 15:45, usuária não atende à chamada."/>
        <s v="Taty (16:19) telefone desligado ligar apos 16h - paciente encaminhada para urgencia"/>
        <s v="(Thiago) Às 15:47h, paciente refere que procurou o posto de saúde hoje pela manhã, onde foi afrida PA e glicemia capilar, estando ambos normais. Nega outras quaixas. Encerro monitoramento."/>
        <s v="Taty (09:15) ligar a tarde 14h, paciente na policlinica para realizar USG "/>
        <s v="Joanna (9h19): telefone indisponível. 12h52: Encontra-se na Maternidade Bandeira Filho, pariu hoje, segue sem queixas."/>
        <s v="Taty ( 09:25) ligar as 17h telefone do esposo, ele nao estava em casa ( 11:30) monitoramento realizado, gestante nao procurou o serviço como orientado, relata que ira hoje , mantem queixas, porem durante o atendimento nao foi relatado contrações "/>
        <s v="(Thiago) Às 10:22h, usuária não atende à chamada. (Thiago) Às 15:48h, usuária não atende à chamada."/>
        <s v="(Ana Cintra) Às 8:40h usuária não atende à chamada."/>
        <s v="08/08 (Lari) Paciente bastante ansiosa, refere sincope e persistencia da cefaleia. Encaminho a emergencia."/>
        <s v="(Ana Cintra) Às 8:50h usuária não atende à chamada."/>
        <s v="(Thiago) Às 15:00h, usuária não atende à chamada."/>
        <s v="(Thiago) Às 09:47h, usuária não atende à chamada."/>
        <s v="(Camilla) Às 16:10, celular da paciente desligado"/>
        <s v="taty(09:09 ) Paciente refere melhora do sangramento feito orientação "/>
        <s v="TATY (09:31)  Tentativa sem sucesso "/>
        <s v="Joanna (8h55): solicitou que ligasse às 14h. Joanna (14h10; 16h39): não atendeu"/>
        <s v="11/08 (Lari) Realizado monitoramento. Prescrito antibiotico para sludge. Paciente sem sangramento. PN agendado."/>
        <s v="ligar as 10h, avaliação do mobilograma - (Marta) Entrou novamente como demanda espontânea, colocado monitoramento para amanhã devido encaminhamento à maternidade"/>
        <s v="11/08 (Lari) Paciente não atendeu. Taty ( 08:27) Paciente nao atendeu "/>
        <s v="(Thiago) Às 09:23h, telefone da usuária não recebe a chamada."/>
        <s v="Elaine (9h; 11h15): não atendeu."/>
        <s v="Taty ( 08:52) Telefone desligado (10:24) Telefone desligado (12:26 ) telefone desligado "/>
        <s v="( ianne) 13h30 gestante não atende ligaçao"/>
        <s v="Taty (08:42) Paciente nao atendeu (10:23) Paciente nao atendeu ( 12:20) nao atendeu "/>
        <s v="(Thiago) Às 11:15h, gestante com quadro inalterado de pródromos de TP, contactar às 15h para nova reavaliação."/>
        <s v="(Thiago) Às 16:00h, usuária encaminhada à Barros Lima, IG 41s."/>
        <s v="Taty ( 08:37) Telefone desligado ( "/>
        <s v="Taty (14:51 ) telefone desligado "/>
        <s v="Taty( 08:15) Telefone não nao existe "/>
        <s v="Taty ( 08:10) paciente não atendeu "/>
        <s v="(Thiago) paciente fora da residência, pede para retomar a ligação às 9:00h."/>
        <s v="Taty ( 09:06 ) telefone desligado "/>
        <s v="(Thiago) Às 18:10h, paciente encaminhada a Barros Lima para avaliação presencial por sangramento transvaginal e pródromos."/>
        <s v="Taty ( 09:13) telefone desligado "/>
        <s v="Fabiane (14:50) Paciente não realizou o teste para covid 19, D5 do inicio dos sintomas"/>
        <s v="TATY (09:20) Paciente encontra -se internada na barro Lima em trabalho de parto. , "/>
        <s v="(Thiago) Às 08:00h, usuária não atende à chamada."/>
        <s v="Faltou colocar resumo do monitoramento"/>
        <s v="11:40 ( taty) Paciente nao atendeu "/>
        <s v="(Thiago) Às 08:30h, usuária realizou teste para covid19 - negativo."/>
        <s v="Gestante sem queixas no momento. Oriento manutenção do PN e urocultura de controle após tto de ITU."/>
        <s v="taty ( 12:35 Paciente refere diminuição da dor, porem ainda exteriorizada  , ausência de evacuações hoje , continua com os cuidados orientados "/>
        <s v="(Camilla) Tento contato às 08:18, sem sucesso (telefone fora de área ou desligado)"/>
        <s v="(Fabiane) tento contato as 14:00 sem sucesso "/>
        <s v="Às 09:12 não atendeu."/>
        <s v="taty ( 09:19) paciente refere melhora da falta de ar, porem relata vertigem / tontura, refoço a importancia da avaliação na APS"/>
        <s v="Taty( 09:58) telefone desligado "/>
        <s v="TATY (08:16) Paciente nao atendeu "/>
        <s v="Taty ( 10:04) Paciente nao atendeu "/>
        <s v="Taty( 09:49) Paciente nao atendeu "/>
        <s v="Taty (09:46) Paciente nao atendeu"/>
        <s v="ianne: Ajustado metildopa. Ofertado TINC"/>
        <s v="ianne (08h30) telefone desligado"/>
        <s v="23/08 15h (Lari) Realizado monitoramento. Paciente assintomática, procurou atendimento com PA normal. R// AAS + Cálcio"/>
        <s v="Taty (15:21) Não completa ligaçãi pelo fixo  "/>
        <s v="ianne: orientaçoes sobre puerperio/ rede de apoio/ descanso"/>
        <s v="ianne: paciente com melhora dos sintomas. solicito urocultura pós tratamento p ITU"/>
        <s v="(Thiago) Às 08:22h, usuária não atende à chamada."/>
        <s v="(Thiago) ÀS 08:34h, telefone da usuária desligado."/>
        <s v="taty( 10:54) telefone desligado "/>
        <s v="Taty( 11:20) paciente procurou atendimento presencial, sem queixas e refere melhora do sangramneto "/>
        <s v="08:34 (taty) paciente nao atendeu "/>
        <s v="8h25 (Lari) Não atedeu"/>
        <s v="Entrou como demanda diura hoje - registrado como teleconsulta (Marta). (Taty) Paciente informou que procurou atendimento presencial , onde realizou uma nova USG transvaginal , medicada e recebeu alta, hoje sem queixas "/>
        <s v="(Thiago) Às 13:20h, usuária não atende à chamada."/>
        <s v="09:07( taty) telefone sesligado "/>
        <s v="09:39 (Taty) Não atendeu a chamada "/>
        <s v="( Thiago) Às 15:35h, o telefone da usuária não está disponível."/>
        <s v="08:22 (Taty) paciente nao atendeu"/>
        <s v="Ajuste de drogas para crise de asma. Reavaliação com 48h."/>
        <s v="(Thiago) Às 08:57h, usuária não atende à chamada."/>
        <s v="08h30 Paciente não atende. Entretanto pelo PEC foi atendida pela unidade de saude e agendado coleta deo teste do covid"/>
        <s v="08h40 Paciente não atende. Checar se melhora de nauseas e vomitos, oferecer tinc e sinalizar criterio de PNAR para equipe assistente (obesidade)"/>
        <s v="09h Paciente não atende. Avaliada por tele atendimento por enfermeira da unidade ontem. Atenção para não termos atrasos no inicio de antibioticoterapia"/>
        <s v="(Thiago) Às 09:01h, usuária não atende à chamada."/>
        <s v="(Thiago) Às 09:05h, usuária não atende à chamada."/>
        <s v="(Thiago) Às 09:09h, usuária não atende à chamada."/>
        <s v="09:04 (taty) no momento da ligação paciente esta no posto para consulta "/>
        <s v="09:12 (taty) telefone desligado; 16:34 chama e não atende."/>
        <s v="(Thiago) Às 09:50h, familiar informa que a usuária encontra-se internada na maternidade Arnaldo Marques, realizou PC em 07/09, por apresentação pélvica, sem intercorrências. Como não realizei valiação da paciente, não efetuo registro no PEC."/>
        <s v="(Thiago) Às 11:00h, paciente refere melhoras das dores e do sangramento. Encerro monitoramento."/>
        <s v="(Thiago) Às 15:48h, usuária refere melhora da cefaleia e da náusea. Encerro monitoramento."/>
        <s v="(Thiago) Às 09:16h, a usuária não atende à chamada."/>
        <s v="Ligar após 17h (Thiago) Às 17:25h, usuária não atende à chamada."/>
        <s v="(Thiago) Às 09:18h, a usuária não atende à chamada."/>
        <s v="(Thiago) Às 11:00h, gestante encaminhada à Barros Lima para avaliação obstétrica por diminuição dos movimentos fetais."/>
        <s v="(Thiago) Às 12:27h, usuária informa que está a caminho de sua consulta no PNAR do HMR, mas não conseguiu comparecer à maternidade para avaliação presencial ontem. Confirmar acesso à consulta de hoje no final da tarde."/>
        <s v="(Thiago) Às 17:58h, gestante mantendo sinais e sintomas leves de pórdromos do TP. Encerro monitoramento do AG."/>
        <s v="taty ( 08:26 ) paciente nao atendeu)"/>
        <s v="taty ( 13:30) paciente nao procurou o serviço como orientado anteriomente, paciente com queixas de cefaleia e diminuição dos MF, no momento do telemonitoramento PA 114x78, auto aferiçao supervisionada"/>
        <s v="TATY ( 09:03) telefone oculpado "/>
        <s v="(Thiago) Às 16:26h, o número da usuária não está recebendo ligação."/>
        <s v="(taty) Paciente buscou atendimento presencial, realizou USG, cardiotoco, rotina de PE, iniciou metildopa. hoje refere cefaleia "/>
        <s v="Taty ( 11:00) Paciente  procurou o ambulatorio do ham e marcou PNAR para  20/09, no  momento da teleconsulta referiu melhora da cefaleia e negou qualquer sinal de eminincia ou outra queixa. "/>
        <s v="ianne (8h35) telefone desligado"/>
        <s v="Lari (14h) Encaminho a Maternidade 36s3d com dor a cada 1h"/>
        <s v="Taty ( 08:05) Microcip sem funcionar "/>
        <s v="ianne (8h45) telefone desligado"/>
        <s v="Não foi à USF, irá buscar atendimento segunda-feira. Refere melhora do corrimento, mantém prurido discreto. Nega sinais de alerta e outras queixas."/>
        <s v="(Thiago) Às 14:48h, usuária não atende à chamada."/>
        <s v="19/09 10h (Lari) Paciente não atendeu"/>
        <s v="17 /09 (taty) MicroSip sem funcionar as 10:40  as 13:17, as 14:11"/>
        <s v="taty ( 13:08) Paciente nao atendeu (Thiago) Às 15:33h, usuária não atende à chamada."/>
        <s v="ianne (15:17) Atende e desliga em seguida"/>
        <s v="(Thiago) Às 13:00h, gestante não compareceu à maternidade Bandeira Filho, refere melhora da dor lombar e que realizará consulta marcada em seu pré-natal em 48h."/>
        <s v="Joanna (9h10): não atendeu"/>
        <s v="Joanna (9h; 17h48): não atendeu"/>
        <s v="Refere melhora da cefaleia. Informo acerca da consulta agendada na USF (22/09 às 8h)."/>
        <s v="ianne (16h45) telefone desligado"/>
        <s v="Gestante nega perda de líquido há 24h e refere movimentos fetais normais."/>
        <s v="(Thiago) Às 15:30h, gestante refere melhora do quadro. Encerro monitoramento."/>
        <s v="Taty ( 10:56) paciente procurou atendimento presencial, a causa do sangramento seria hemorroida, PA normal e no momento sem queixas "/>
        <s v="(Thiago) Às 10:22h, usuária não atende à ligação. taty (12:48) paciente nao atendeu"/>
        <s v="(Thiago) Às 08:00h, usuária não atende à chamada.(Thiago) Às 14:23h, usuária não atende à chamada."/>
        <s v="(iann) 13h55 paciente não atende ligação"/>
        <s v="15h30 chama 1x e cai."/>
        <s v="Ligar as 14h30, pela manha paciente no PN "/>
        <s v="Paciente não foi para atendimento presencial, refere que as contrações cessaram."/>
        <s v="Joanna (8h38): não atendeu / Fabiane (15:10) Número ocupado"/>
        <s v="DU 3/45&quot;60&quot;40&quot;/10'. Encaminho à maternidade (HMR)."/>
        <s v="08h20 (Lari) Paciente sem queixas, vai agendar PN hoje."/>
        <s v="Joanna (17h; 17h30): Não atendeu"/>
        <s v="Encontra-se na MBF, parto cesareo (28/09 às 20h32), sem queixas. "/>
        <s v="(Thiago) Às 08:25h, usuária não atende à chamada."/>
        <s v="Taty (08:41) pacente encontra-se na maternidade foi avaliada ontem como orientado e hoje aguardando para USG liga para 07h 83996325965 (esposo ) seu numero é so whatsapp "/>
        <s v="Não atende (16h)"/>
        <s v="(Ianne) paciente com melhora do quadro respiratorio. Apresenta desejo de LTB, em SISREG solicitação de planejamento familiar desde maio, permanece em fila. Martinha informa que já foi realizado evento sentinela desta situação"/>
        <s v="taty ( 16:00) monitoramento realizado, paciente sem sangramento, contração de treinamento"/>
        <s v="Fabiane (08:50) telefone na caixa postal. Joanna (13h16): não atendeu"/>
        <s v="Taty ( 14:51) encaminho paciente a materniddae contraçoes ritimadas, dolorosa (4 em 10mim)"/>
        <s v="taty (08:57) nao atendeu"/>
        <s v="Taty (08:44) paciente refere esta sem queixas, continua com presença de secreçao descreta, sem prurido e odor "/>
        <s v="Não foi à US porque o ACS informou que o atendimento deveria ser urgência obstétrica. Encaminho novamente à APS."/>
        <s v="(Thiago) Às 13:40h, usuária não atende à chamada."/>
        <s v="Mobilograma sem alteração. Oriento manutenção do PN (agendar consulta), oriento acerca dos sinais de alerta e trabalho de parto."/>
        <s v="Joanna (8h25): não atendeu"/>
        <s v="Encaminhada a maternidade para avaliação do bem-estar fetal por idade gestacional e pródromos de trabalho de parto."/>
        <s v="Taty (10/10) realizo monitoramento, paciente nega queixas, porem perfil glicemico alterado, encaminho a mesma a APS apos realização TINC com dra Jessica. "/>
        <s v="Gestante encontra-se na Maternidade Professor Arnaldo Marques com indução de trabalho de parto iniciada por idade gestacional."/>
        <s v="(Thiago) Às 08:20h, paciente não atende à chamada."/>
        <s v="Ligar 11/10 - usuária estava na maternidade aguardando atendimento. Se não atender nessa data, colocar falta"/>
        <s v="(Camilla) Gestante encaminhada para atendimento médico para atestado médico."/>
        <s v="Encerramento do monitoramento."/>
        <s v="ianne (15h30) ligação cai"/>
        <s v="Joanna (13h; 15h30; 17h30): não atendeu"/>
        <s v="Encaminhada para maternidade. "/>
        <s v="Parto cesáreo realizado hoje (IMIP)."/>
        <s v="(Thiago) Às 08:30h, 10:30h, usuária não atende à chamada. (Thiago) Às 13:30h, 16:00h, usuária não atende à chamada."/>
        <s v="Foi à Maternidade Barros Lima em 13/10. Refere que não apresentava alterações ao exame físico. Orientada a retornar caso entre em TP ou apresente queixas. No momento, segue sem queixas ginecológicas e sinais de alerta, com melhora do quadro de cefaleia. M"/>
        <s v="(Thiago) Às 09:50h, 11:18h, usuária não atende à chamada."/>
        <s v="Informa que não foi à US, pois apresenta redução do corrimento vaginal. No momento, o corrimento está em menor quantidade, porém, mantém as características iniciais. Informa que buscará atendimento amanhã. Cd: Enc para atendimento presencial; reforço impo"/>
        <s v="Nega novo episódio de sangramento e outras queixas obstétricas. Cd: Oriento acerca dos sinais de alerta, manutenção do PN, finalizo telemonotoramento."/>
        <s v="Foi à urgência obstétrica do Hospital Barão de Lucena em 16/10. Recebeu diagnóstico de candidíase vaginal, prescrito Nitrato de Miconazol (1x/noite por 7 dias), realizou USG TV. Refere que foi informada acerca da possibilidade de aborto, visto que a USG e"/>
        <s v="10h Pct sem novas queixas. Oriento sinais de alerta. Alta do episódio."/>
        <s v="(Camilla) 08h12 - Falo com gestante pelo telefone, ela pede para ligar às 16h, quando estiver em casa de volta do trabalho."/>
        <s v="(Thiago) Às 08:08h, usuária não atende à chamada."/>
        <s v="(Thiago) Às 08:12h, 11:20h, usuária não atende à chamada."/>
        <s v="(Thiago) Às 08:35h, paciente encerrou a chamada antes do término do atendimento. Tentar novamente contato. Às 11:20h, usuária não atende à chamada."/>
        <s v="(Thiago) Às 08:45h, 11:25h, usuária não atende à chamada."/>
        <s v="Fabiane (08:55) telefone na caixa postal"/>
        <s v="(Thiago) Às 14:21h, usuária não atende à chamada."/>
        <s v="Taty ( 08:34) nao atendeu; Joanna (10h30): não atendeu"/>
        <s v="Taty ( 09:23) Paciente nao atendeu "/>
        <s v="taty (18:16) paciente encaminhada a emergencia TPP?"/>
        <s v="Taty (09:11) Paciente procurou atendimento presencial, avaliada e liberada , oriento paciente "/>
        <s v="Às 14:24, gestante atende e quando me identifico, ligação cai. Ligo novamente e não atende."/>
        <s v="Não atendeu"/>
        <s v="(Lari) Alta do monitoramento. Não está em fase ativa"/>
        <s v="Taty (08:50)  no momento do teleatendimento estava  internada na HBL, após transferência da Maternidade bandeira filho, onde procurou atendimento presencial; no memento refere dor lombar e em MIE, em tratamento para ITU e foi interrogado TVP em MIE , agua"/>
        <s v="Refere que continua com tosse, nega presença de novos sintomas, queixas obstétricas e sinais de alerta. Em uso: Predsim + Arlivry. TR-Covid (23/10): negativo. Próxima consulta de PN: 30/10."/>
        <s v="(30/10 Taty - 08:19) paciente nao atendeu"/>
        <s v="Taty (08:42) paciente nao atendeu"/>
        <s v="(30/10 taty - 08:22)  Paciente estava no USF para PN, Tentar a tarde"/>
        <s v="Joanna (12h; 14h; 16h20): não atendeu"/>
        <s v="(Thiago) Às 11:15h, usuária não atende à chamada."/>
        <s v="(Thiago) Às 17:10h, usuária não atende à chamada."/>
        <s v="Joanna (17h30): não atendeu"/>
        <s v="Joanna (17h35): não atendeu"/>
        <s v="Joanna (17h45): não atendeu"/>
        <s v="taty (09:08) paciente nao atendeu. (Thiago) Às 17:05h, usuária não atende à chamada."/>
        <s v="(Lari) 08h30 Paciente não atendeu"/>
        <s v="(Thiago) Às 17:12h, usuária não atende à chamada."/>
        <s v="(Lari) 08h35 Paciente não atendeu. "/>
        <s v="9h(ianne) atende e desliga// depois não atende mais"/>
        <s v="(Lari) 08h40 Paciente não atendeu. "/>
        <s v="Joanna (9h22; 12h; 14h; 17h26): não atendeu"/>
        <s v="08h40 (ianne) Não atende)"/>
        <s v="08:36 (Camilla) Gestante refere melhora do quadro gripal (D8 hoje) e confirma que compareceu a sua 1ª consulta de PN no dia 31/10. Alta do episódio."/>
        <s v="Joanna (15h; 17h20): telefone indisponível."/>
        <s v="09:45 (Camilla) Usuária refere ausência de sangramento e outros sintomas. Dou alta do episódio."/>
        <s v="Refere que realizou o mobilograma novamente e constatou 10 movimentos fetais. Nega queixas obstétricas no momento. Finalizo telemonitoramento."/>
        <s v="Joanna (11h): atendeu e desligou. 14h20 - não atendeu."/>
        <s v="(Thiago) Gestante compareceu para atendimento presencial na Arnaldo Marques ontem, foi medicada, refere melhora da dor em região dorsal e iniciará tratamento para ITU com cefalexina hoje, conforme prescrito durante atendimento."/>
        <s v="Taty (11H) Paciente esqueceu o celular na casa da mae, ligar as 15:30"/>
        <s v="Às 10h, telefone fora de área ou desligado."/>
        <s v="Joanna (15h; 17h; 18h): não atendeu"/>
        <s v="Às 15h15, ligo, mas gestante não atende. (ligar as 15h para reavaliar perda de liquido? )"/>
        <s v="Fabiane (08:40) paciente não atende."/>
        <s v="(Thiago) Às 8:07h, usuária não atende à chamada."/>
        <s v="(Lari) 08h Paciente não atende"/>
        <s v="Taty (17h) paciente nao atendeu"/>
        <s v="Taty ( 09:44) ITU , 28/"/>
        <s v="taty(09:11) Paciente estava no posto, aguardando confirmação de atendimento "/>
        <s v="Gestante foi para avaliação presencial no hospital da mulher. Refere melhora da cólica. Encerro monitoramento. "/>
        <s v="Encaminhada para Ianne -  discussão de ITU"/>
        <s v="Joanna (13h30; 18h): não atendeu"/>
        <s v="Refere que não buscou atendimento presencial e que irá na próxima sexta. Mantém coriza, mas apresenta melhora considerável. Nega sinais de alerta e queixas obstétricas. Cd: Reforço importância da avaliação presencial e realização do TR Covid; Oriento paci"/>
        <s v="(Thiago) Às 08:20h, usuária não atende à chamada."/>
        <s v="USG evidenciando istmocele e possível adenomiose; Gravidez não confirmada. Cd: Recomendo que busque atendimento na US de referência para seguimento do caso. Finalizo telemonitoramento. "/>
        <s v="(Thiago) Às 15:05h, usuária não atende à chamada."/>
        <s v="(Thiago) Às 08:50h, 10:20h, usuária não atende à chamada."/>
        <s v="(Lari) Paciente informa que conseguiu agendar PN para amanha"/>
        <s v="Fabiane (08:35). Gestante refere que a diarreia já cessou. Encerro monitoramento."/>
        <s v="(Lari) Realizo monitoramento, ainda não foi avaliada pela suspeita de TVP. Vai para o HMR."/>
        <s v="Gestante conseguiu acesso ao pré-natal ontem. De acordo com seu relato, tudo está transcorrendo bem na gestação. Foi orientada a buscar a urgência em caso de sinais de TP e/ou sinais de alerta e/ou com 41s (dia 25/11) para avaliação obstétrica. Encerro o "/>
        <s v="(Thiago) Usuária realizou novo atendimento e foi encaminhada para Bandeira Filho com BR."/>
        <s v="Fabiane (15:00) Gestante foi para avalição presencial. Foi descatado TPP, foi medicada e liberada."/>
        <s v="Joanna (8h; 9h): não atendeu."/>
        <s v="Gestante com quadro sugestivo de franco TPP, aciono SAMU para remoção para maternidade mais próxima - Arnaldo Marques."/>
        <s v="Fabiane (08:40) telenofe na caixa postal."/>
        <s v="taty (08:30) paciente se encontra na maternidade  bandeira filho, pariu 22/11 as 19:48, puerpera e RN estao bem "/>
        <s v="Gestante informa que sangramento cessou. Nega outros sintomas. Encerro o caso"/>
        <s v="ligar a tarde, paciente sem poder falar;   Taty ( 13:51) nao atendeu"/>
        <s v="taty (09:13) paciente nao atendeu ( nao atendeu 13:50 )"/>
        <s v="(Lari) Paciente refere que procurou a maternidade, foi avaliada, afastado TPP e foi liberada."/>
        <s v="(Thiago) Às 08:25h, 09:25h, usuária não atende à chamada."/>
        <s v="Usuária compareceu a UPA, foi prescrito dipirona e repouso. Refere melhora dos sintomas."/>
        <s v="28/11: Assintomática no momento, não foi à USF, irá próxima sexta, enfermeira ciente do caso."/>
        <s v="Joanna (8h6; 10h58; 12h45; 15h42; 17h21): não atendeu"/>
        <s v="Fabiane (15:00) telefone na caixa postal."/>
        <s v="Fabiane (15:15) telefone na caixa postal."/>
        <s v="Mobilograma - 5MF/1h, dor élvica associada a micção"/>
        <s v="Entrou como demanda noturna. DU: 3/50&quot;90&quot;53&quot;/10'. Cd: Encaminho à maternidade."/>
        <s v="Joanna (17h30): número indisponível"/>
        <s v="Refere que foi atendida na Maternidade Bandeira Filho, ficou em observação devido dilatação do colo uterino = 3cm e contrações, porém, após as 12h as contrações diminuíram. Sendo assim, foi orientada a retornar para nova avaliação se as contrações retorna"/>
        <s v="Joanna (8h30; 14h15; 16h35; 17h15): não atendeu"/>
        <s v="taty (08:47) paciente nao atendeu (12:30) Não atendeu"/>
        <s v="Joanna (8h36; 13h55; 17h29): não atendeu"/>
        <s v="informa melhora da cefaleia após uso do Paracetamol. Segue sem outras queixas ou sinais de alerta."/>
        <s v="Joanna (15h; 15h30; 16h25; 17h20): telefone desligado"/>
        <s v="(Thiago) Às 09:30h, 10:30h, 11:30h, telefone indisponível."/>
        <s v="Gestante refere que &quot;a dor de dente passou&quot; e que tomou dipirona apenas no domingo. Tem consulta de PN e odontológica dia 20/12. Dou alta do evento e finalizo atendimento."/>
        <s v="(Lari) Paciente internada no IMIP por TPP + iteratividade "/>
        <s v="Ligar às 15h (Thiago) Às 15:20h, o telefone da usuária não está disponível. "/>
        <s v="(Thiago) Às 17:25h , não consigo contato com usuária por nenhum número cadastrado."/>
        <s v="Gestante informa que sangramento cessou e que não está mais sentindo cólicas. Foi examinada na Barros Lima, com colo fechado ao toque vaginal. Hoje decidiu fazer uma USG particular que está agendada para as 17h. Como sintomas cessaram, oriento que agende "/>
        <s v="Fabiane (08:30) Paciente refere que foi para atendimento presencial. Relata melhora dos sintomas. Encerro monitoramento."/>
        <s v="Gestante procurou a Bandeira Filho e foi transferida para o HBL, onde se encontra internada para tratamento clínico."/>
        <s v="Fabiane (09:30) Paciente não atendeu. (15:30) Telefone não chama."/>
        <s v="Gestante refere que foi atendida na Bandeira Filho ontem, conforme orientada pela equipe do Atende. Hoje, nega queixas. Dou alta do episódio e encerro caso."/>
        <s v="Fabiane (11:10) Paciente não atendeu. (15:40) Telefone na caixa postal."/>
        <s v="Joanna (10h; 14h; 15h; 16h33; 17h37): não atendeu"/>
        <s v="Joanna (10h): não atendeu"/>
        <s v="Joanna (9h6): telefone desligado"/>
        <s v="Joanna (9h6; 11h11; 14h30; 17h08; 17h50): telefone desligado; Registro falta no PEC."/>
        <s v="Refere que mantém contrações irregulares de intensidade variável (registro do horário das últimas contrações: 13h40; 14h15). Nega perdas vaginais, cefaleia e outros sinais de de alerta. Refere que mantém o mesmo padrão de movimentação fetal. Cd: Ir a mate"/>
        <s v="Refere melhora da dor de cabeça após uso do Paracetamol 500 mg. Nega outras queixas."/>
        <s v="Fabiane (09:30) Telefono na caixa postal."/>
        <s v="Gestante sem perda de LA. Normotensa, sem contrações. Oriento observar sinais de alerta e ou trabalho de parto e comparecer ao PN dia 13/12."/>
        <s v="(Lari) Realizo telemonitoramento. Pct sem queixas"/>
        <s v="Foi atendida na APS, PA normal. Pródromos de trabalho de parto."/>
        <s v="Gestante foi para atendimento presencial na Barros Lima foi avaliada, medicada e liberada. Estava em falso trabalho de parto. Encerro monitoramento."/>
        <s v="Ligar as 15h Confirmar acesso"/>
        <s v="(Thiago) Às 10:26h, usuária não atende à chamada"/>
        <s v="Joanna (13h; 15h37): não atendeu"/>
        <s v="telefone do marido - ligar as 16h30. Tentamos contato, mas não atende. Telefone da filha cauane: 992627834"/>
        <s v="Ligar às 13h"/>
        <s v="(Thiago) Às 10:32h, usuária não atende à chamada."/>
        <s v="Joanna (11h46): telefone ocupado"/>
        <s v="(Thiago) Às 11:49h, gestante clinicamente bem, encerro monitorameto."/>
        <s v="Ligar para 8618-1502 (Thiago) Às 10:00h,12:00h, usuária não atende à chamada."/>
        <s v="(Thiago) Às 12:10h, gestante clinicamente bem, encerro monitorameto."/>
        <s v="Às 08:44, tento contato 2 vezes, mas sem sucesso."/>
        <s v="(Lari) 9h telefone desligado"/>
        <s v="(Thiago) Às 11:00h, 13:00h, gestante não atende à ligação."/>
        <s v="Joanna (8h30; 11h20; 15h7): não atendeu"/>
        <s v="Joanna (8h35; 11h20): não atendeu"/>
        <s v="(Thiago) Às 08:00h, 09:00h, usuária não atende à ligação."/>
        <s v="16h30 (Camilla) Aterndo e encaminho à urgencia para analgesia, avaliação e coleta de exames"/>
        <s v="Ligar as 18h ( avaliar contraçoes e desconforto pelvico)"/>
        <s v="(Thiago) Às 08:10h, 09:10h, usuária não atende à ligação."/>
        <s v="Gestante realizou atendimento na Bandeira Filho, afastado ITU, liberada para casa."/>
        <s v="Joanna (8h36; 11h20; 15h35; 17h28): não atendeu (registro falta no PEC)"/>
        <s v="Gestante entrou em contato novamente para informar resultado positivo para teste de covid19. Confirmar acesso à USF ou maternidade."/>
        <s v="Orientado paciente sobre sinais de alerta, monitoramento com 48 h"/>
        <s v="(Thiago) Gestante se encontra em sua USF de referência para realçização de consulta pré-natal."/>
        <s v="20/12 (ianne) não atende telefone"/>
        <s v="20/12 (ianne) Paciente recusa chamada ( encaminhada em TP, tentar contato novamente a tarde)"/>
        <s v="(Thiago) Às 09:40h, suária não atende à chamada."/>
        <s v="21/12 (ianne 15h10) desligado// 21/12 (ianne) 8h45  paciente não atende. Registrado em PEC atendimento de urgencia, teste covid +, hb 9.2. Caso consiga entrar em contato mais tarde, recomendar o sulfato ferroso 3x ao dia "/>
        <s v="21/12 (ianne) Realizado atendimento, solicitado exames lab, marcado PNAR devido IG  e sem contato com enf ou medico. "/>
        <s v="21/12 (ianne) 15h15 não atende// 21/12 (ianne) 09h não atende. Sind gripal já monitorada ontem"/>
        <s v="(Lari) Paciente evoluiu para abortamento completo. Acolho paciente."/>
        <s v="(Thiago) Às 10:20h, suária não atende à chamada."/>
        <s v="(Thiago) Usuária encontra-se internada na Maternidade Barros Lima."/>
        <s v="ianne - monitoramento realizado dia 02/01. Paciente foi a consulta 29/12. Encerro telemonitoramento"/>
        <s v="(Thiago) Usuária apresenta melhora dos sintomas, D3 dos sintomas hoje."/>
        <s v="Ianne (9h40): paciente não atende"/>
        <s v="(Thiago) Gestante refere melhoras dos sintomas, realizou atendimento na Bandeira Filho e foi liberada em seguida."/>
        <s v="ianne (9h55) monitoramento realizado"/>
        <s v="Joanna (9h40; 15h; 17h42): não atendeu (Falta registrada no PEC)"/>
        <s v="(Lari) Paciente foi avaliada no HMR e liberada. Finalizo monitoramento"/>
        <s v="10h (ianne) telefone desligado"/>
        <s v="(ianne) 13h paciente não atende"/>
        <s v="(Thiago) Às 09:17h, 10:30h, usuária não atende à chamada."/>
        <s v="(Thiago) Às 09:25h, usuária não atende à chamada."/>
        <s v="(Thiago) Às 11:00h, gestante realizou atendimento na Bandeira Filho, foi liberada em seguida."/>
        <s v="Joanna (11h): não atendeu"/>
        <s v="Joanna (17h30; 18h): não atendeu"/>
        <s v="(Thiago) Às 11:15h, gestante testou positivo para covid19, D3 hoje, sem sinais de gravidade."/>
        <s v="(Thiago) Às 11:55h, 14:00h, gestante não atende à ligação."/>
        <s v="02/01 - Joanna (7h40; 9h20; 11h25): não atendeu"/>
        <s v="ianne 9h07 - caixa postal"/>
        <s v="ianne 9h10 - paciente não atende a chamada"/>
        <s v="Joanna (17h; 17h25): não atendeu (Falta registrada no PEC)"/>
        <s v="Joanna (8h8): não atendeu"/>
        <s v="Joanna (8h10): não atendeu"/>
        <s v="Gestante no 6º dia do início dos sintomas, assintomática há 3 dias. Nega sinais de alerta e queixas obstétricas. Encontra-se na USF para consulta de PN."/>
        <s v="Refere que foi à Maternidade Memorial Guararapes, apresentava 3cm de dilatação, BCF = 132bpm, orientada a retornar se entrar em trabalho de parto ou com IG = 41s. Segue sem queixas no momento. MF +. Mantém contrações irregulares."/>
        <s v="Refere presença de 4 movimentos fetais em 1h. Encaminho para avaliação na maternidade."/>
        <s v="Joanna (16h15; 17h): não atendeu (registro falta no PEC)"/>
        <s v="(Thiago) Às 09:00h, usuária não atende à ligação.(taty) as 11h paciente nao atendeu"/>
        <s v="Joanna (8h10; 11h): não atendeu"/>
        <s v="Joanna (9h; 11h; 16h17; 17h): não atendeu"/>
        <s v="Taty (08:33; 15:56) paciente nao atendeu"/>
        <s v="Refere que não foi à urgência porque não tinha com quem deixar a filha, mas está se organizando para ir à USF. Mantém os mesmos sintomas. Sem PA aferida. Reforço a necessidade de atendimento na urgência obstétrica (recomendo HMR); Explico os riscos de não"/>
        <s v="Ianne (15h30/16h11) não atendeu"/>
        <s v="Joanna (17h14; 17h30): não atendeu (falta registrada no PEC)"/>
        <s v="Taty (08:25) paciente refere sangramento em pequena quantidade, atendida na arnaldo marque, HD ameaça de aborto, aguarda usg."/>
        <s v="Paciente refere melhora da dor bv( 2 contraçoes moderada em 4h) sem perdas vaginais, refere cefaleia que melhorou com uso de dipirona, oriento quanto sinais de alerta e trabalho de parto"/>
        <s v="taty ( 09:11) Paciente refere melhora da dor, contraçoes irregulares, foi a consulta do PN feto com boa vitalidade"/>
        <s v="ianne - paciente foi a emergencia do hapvida por conta propria. Vamos monitorar amanha para avaliação após ace"/>
        <s v="Taty(09:50) paciente refere inicio de tratamento para ITU, dor pelvica continua "/>
        <s v="(Thiago) Às 10:00h, 11:30h, o telefone da usuária não está recebendo ligação."/>
        <s v="(Thiago) Usuária após o atendimento no AG, procurou sua USF, foi avaliada e liberada em seguida, segue sem queixas."/>
        <s v="Joanna (8h32; 10h40): não atendeu"/>
        <s v="Taty (09:20) paciente refere melhora da sintomatologia, reforço a importancia de manter o PN, paciente nao esta comparecendo as consultas"/>
        <s v="Joanna (9h; 10h40; 15h; 16h22): caixa postal (falta registrada no PEC)"/>
        <s v="Refere melhora da diarreia, nega novas queixas. "/>
        <s v="10:50 ( taty) Paciente refere melhora do quadro de diarreia e vomitos "/>
        <s v="11:20(taty) paciente nao atendeu a ligação "/>
        <s v="11:30( taty) paciente procurou atendimento presencial , avaliada e liberada, refere melhora da queixa "/>
        <s v="Refere melhora dador pélvica após uso do Buscopan, ao longo do dia 2 evacuações, dor de cabeça leve, fez uso de Paracetamol por volta das 15h30. Nega presença de sinais de alerta e outras queixas. "/>
        <s v="Joanna (16h; 17h30): telefone indisponível (falta registrada no PEC)"/>
        <s v="Joanna (8h26): não atendeu"/>
        <s v="taty (09:30) paciente nao atendeu (12:50) nao atendeu"/>
        <s v="Joanna (8h24): não atendeu (13:14 ) Paciente não atendeu"/>
        <s v="Refere que apresentou sangramento vaginal e foi à Maternidade Barros Lima. Foi informada que o colo uterino estava fechado, administrado Buscopan, USG obst. agendada para o dia 12/01. Mantém cólica de baixa intensidade, nega novo episódio de sangramento e"/>
        <s v="taty (09:50) Paciente nao atendeu (12:15) nao atendeu"/>
        <s v="taty (16:11) paciente não atendeu "/>
        <s v="taty(09:12) paciente não atendeu (Falta registrada no PEC dia 13/01)"/>
        <s v="13/01 (Joanna): Foi à USF Josué de Castro (11/01), PA 120/60 mmHg. Refere melhora da dor em BV e cefaleia. Nega novas queixas obstétricas e sinais de alerta."/>
        <s v="taty ( 09:50) paciente nega queixa no momento, em repouso e em uso de ultragesta, "/>
        <s v="taty (11:36)Paciente atende e nao responde no hopchat"/>
        <s v="taty (09:09) telefone desligado"/>
        <s v="Taty (15:40) paciente procurou a unidade e nao conseguiu realizar o teste , remarcado para dia 22/01, a mesme refere que ira tentar realizar particular. HAS e DM, em uso de glifage, losartana e hidrocloritiazida, MF presente."/>
        <s v="taty (16:00) Paciente nao atendeu "/>
        <s v="Taty (16:45) nao completou a ligação "/>
        <s v="(Thiago) Às 14:30h, gestante não se encontrava disponível para contato no referido número."/>
        <s v="Joanna: Refere que foi à USF ontem e foi informada que a enfermeira está de férias. Não fez o BHCG na rede particular, agendou exame para o dia 22/01. Sem queixas no momento. "/>
        <s v="Joanna: Refere melhora da disúria. Nega novas queixas."/>
        <s v="Taty: paciente refere que buscou atendimento na HMR, onde foi avaliada;  melhora na sintomatologia e nega novas queixas , "/>
        <s v="Joanna: Foi atendida na USF hoje. Sem queixas no momento. "/>
        <s v="Aborto espontâneo"/>
        <s v="Gestante concluiu tratamento para ITU, econtra-se assintomática, colherá urocultura. Receberá resulatdo de exames em 22/02/24."/>
        <s v="Joanna (8h; 8h30): não atendeu"/>
        <s v="(Thiago) Às 08:30h, usuária não atende a chamada."/>
        <s v="(Thiago) Às 08:45h, usuária não atende a chamada."/>
        <s v="Taty (10:24)Usuaria sem queixas no momento, procurou a unidade porem sem data da consulta , profissionais de ferias"/>
        <s v="Taty (09:16) usuaria não atendeu "/>
        <s v="Joanna (10h37; 15h37): não atendeu (Falta registrada no PEC)"/>
        <s v="Taty (09:22) refere que foi ontem na USF, porem nao teria profissional disponivel para atendela, ainda com cefaleia, porem leve, PA 130*80,oriento uso de analgesico e monitoramento a tarde"/>
        <s v="Joanna (15h56): não atendeu"/>
        <s v="Joanna (10h28; 14h10; 17h21): não atendeu"/>
        <s v="Joanna (14h10): refere melhora da cefaleia e náusea. Sem queixas no momento."/>
        <s v="taty (15:40) Mobilograma com 13 movimentações fetais em 6 momentos, lombalgia e contraçoes indolores frequentes "/>
        <s v="Taty ( 08:59) telefone desligado"/>
        <s v="Joanna (8h13; 12h; 14h45): não atendeu"/>
        <s v="(Thiago) Às 8:26h, usuária não atende à chamada."/>
        <s v="(Thiago) Gestante realizou atendimento em sua USF, PNAR marcado para dia 07/02/24 na MBR."/>
        <s v="Gestante com dificuldade para marcar a primeira consulta de PN por não está vinculada à APS, ACS afastada."/>
        <s v="Realizado por Elaine"/>
        <s v="Gestante encontra-se internada no Hospital da Mulher para controle de PA e glicemia."/>
        <s v="Gestante está indo à maternidade agora pela manhã. Refere que hoje se alimentou e não vomitou, está apenas com salivação excessiva."/>
        <s v="taty (10:30)Paciente procurou a barro lima "/>
        <s v="Chama 2 vezes e a ligação cai. Não consigo contato."/>
        <s v="(Thiago) Gestante se encontra na triagem do HMR para avaliação. ligar a tarde (15h) "/>
        <s v="taty (09:33) paciente não atendeu taty (13:19) nao atendeu "/>
        <s v="Taty (11:25) paciente nao atendeu"/>
        <s v="(Thiago) Gestante informa que não conseguiu ir à Barros Lima, informa que irá hoje. Ligar amanhã para confirmar acesso."/>
        <s v="taty (08:45) paciente nao atendeu (11:03) paciente nao atendeu"/>
        <s v="taty (11:30) paciente refere cefaleia leve , PA 100X60, reavaliar contração"/>
        <s v="Gestante ainda está com desconfortos, especialmente pélvicos. Oriento que busque a maternidade para um avaliação presencial. "/>
        <s v="Mari (17:00) Gestante não atendeu."/>
        <s v="Lari (8h50) Paciente não atendeu. (14h) Paciente refere que não foi para a materninade pois não tinha quem ficasse com os filhos. Refere melhora da cefaleia e da dor em BV. Refere boa MF. Oriento sobre sinais de TP."/>
        <s v="(Thiago) Às 12:10h, gestante compareceu à Barros Lima, foi avaliada, recebeu prescrição medicamentosa e em seguida foi liberda."/>
        <s v="(Thiago) Às 08:15h, gestante se dirigindo neste momento à maternidade para realizar atendimento. Ligar à terde para checar acesso."/>
        <s v="(Camilla) às 11h, telefone desligado ou fora de área"/>
        <s v="Taty (16:54) paciente refere melhora da sintomatoligia e nao apresentou mais colicas / contração, nega qualquer queixa obstetrica e urinaria "/>
        <s v="(Camilla) 17h30 Realizado monitoramento, gestante refere alívio da dor após uso de buscopam. Alta do episódio."/>
        <s v="(Thiago) Às 08:53h, gestante informa que o incômodo pélvico pouco aliviou com as medicações. Oriento quanto sinais de alerta e TP."/>
        <s v="Joanna (8h14): não atendeu"/>
        <s v="Realizado telemonitoramento"/>
        <s v="Joanna (10h18; 14h7; 17h38): não atendeu"/>
        <s v="(Thiago) Às 16:00h, gestante refere melhora dos sintomas hoje."/>
        <s v="Mobilograma = 2 MF"/>
        <s v="(Thiago) Às 10:00h, usuária não atende à chamada."/>
        <s v="(Thiago) Às 10:05h, usuária não atende à chamada."/>
        <s v="(Thiago) Às 11:30h, gestante melhorou dos sintomas."/>
        <s v="(Thiago) Às 17:30h, gestante realizou atendimento na Bandeira Filho e liberada em seguida para casa. Refere boa movimentação fetal."/>
        <s v="Joanna (10h; 12h; 14h50; 17h): não atendeu"/>
        <s v="Joanna: foi atendida na Maternidade Bandeira filho, diagnosticada com ITU, prescrito Cefalexiana 6/6h por 7 dias e Buscopan. Assintomática no momento."/>
        <s v="Joanna (14h49;17h): não atendeu"/>
        <s v="Joanna: Está internada no HMR."/>
        <s v="Joanna: Nega novo episódio de sangramento e outras queixas."/>
        <s v="Joanna (14h30; 16h30; 18h30): não atendeu"/>
        <s v="08h45 atendimento realizado - pcte sem sintomas"/>
        <s v="(Thiago) Às 11:26h, o telefone da usuária não está disponível para receber chamadas. 8h20 (Lari) Paciente não atendeu."/>
        <s v="(Thiago) Às 11:00h, o telefone da usuária não está disponível para receber chamadas."/>
        <s v="Joanna (11h; 14h35/ 17h40): não atendeu"/>
        <s v="Às 08:06, tento contato, mas gestante não atende. "/>
        <s v="taty( 08:40) paciente nao atendeu"/>
        <s v="Às 12h:00, tento contato, mas a agestante não atende."/>
        <s v="taty( 11:14) paciente não atendeu"/>
        <s v="taty ( 08:24) paciente não atendeu"/>
        <s v="ianne (14:05) paciente não atendeu"/>
        <s v="ianne (11h20) paciente não atende"/>
        <s v="ianne (11h25) paciente não atende - ancaminhada ontem p maternidade - aborto completo?"/>
        <s v="taty (08:56) paciente refere diminuição das contração , iniciou tratamento para ITU "/>
        <s v="Joanna (10h30; 14h; 17h): não atendeu"/>
        <s v="Taty( 09:10) paciente no 4 de tratamento para ITU, refere contração esporadica e de menor intensidade, dor lombar leve  e dificuldades para dormir. "/>
        <s v="Taty (09:20) Paciente foi avaliada na bandeira filho, referindo melhora no quadro,no momento nega febre, emese e nausea, tendo 1 epsodio diarreico ate o momento. "/>
        <s v="Registro tardio do telemonitoramento realizado dia 19/02/24 - Marta"/>
        <s v="(Thiago) Gestante apresenta melhora dos sintomas."/>
        <s v="Joanna (10h; 15h; 17h): não atendeu"/>
        <s v="(Thiago) Às 17:00h, não consigo contato com a usuária."/>
        <s v="Taty (09:55) paciente não atendeu "/>
        <s v="Lari (8h40) Não atendeu."/>
        <s v="taty (08:16) paciente refere  presença de contração esporadica, lombalgia leve, refere presença de colostro e prurido leve em vagina; ontem foi a consulta do PN, marcado urocultura"/>
        <s v="Mariana (17:35) Telefone ocupado"/>
        <s v="Taty ( 10:04) paciente atendida no HMR, prescrito betametasona, referindo melhoras dos sintomas, hoje 1 epsodio de contração indolor, lombalgia leve.em tratamento para ITU ( 6/7)"/>
        <s v="Taty ( 08:54) não atendeu (13:30) não atendeu"/>
        <s v="ianne (15h20) paciente não atende"/>
        <s v="Taty ( 08:54) não atendeu"/>
        <s v="Joanna (16h13; 16h40): não atendeu"/>
        <s v="Lari (16h30) Paciente atendida na Barros. Recebeu atestado médico de 5 dias."/>
        <s v="Joanna (10h30): não atendeu"/>
        <s v="(08h15) Gestante atendida na urgência, onde foi prescrito ATB para ITU. Monitorar para relembrar da coleta da urocultura de controle"/>
        <s v="Mobilograma alterado, encaminhada à urgência."/>
        <s v="09h Realizado monitoramento. Paciente em curva de melhora. Sem novos sintomas"/>
        <s v="Joanna (10h; 15h30; 16h30): não atendeu"/>
        <s v="Às 15h25, não atendeu a ligação."/>
        <s v="Taty (11:32) chama 2x e da oculpado"/>
        <s v="Taty(08:17) Paciente não atendeu (10:10) não atendeu "/>
        <s v="Rhayza (10:40) paciente relata melhora dos sintomais, nao relata queixas no momento, refere termino do tratamento em 12/03/24"/>
        <s v="Lari (8h50) Pct refere persistência de tosse e secreção amarelada. Vai iniciar ATB hoje"/>
        <s v="Camilla (8h:30) Gestante atendeu o telefone, mas não entrou no Hopchat. Quando ligo novamente, não atende."/>
        <s v="Joanna (12h30; 14h30; 17h20): não atendeu"/>
        <s v="Taty ( 08:34) paciente refere melhora de forma geral do quadro, porem ainda com tosse produtiva e coriza, nega febre e outro sinais de alerta. "/>
        <s v="Rhayza: Conduta: Procurar APS e uso de dipirona S/N - Observação: averiguar se conseguiu acesso A APS"/>
        <s v="Joanna (12h30): não atendeu"/>
        <s v="ianne (15h20) paciente não atende, mas pelo PEC foi atendida em APS e iniciado tratamento"/>
        <s v="Joanna (14h; 14h40; 17h20; 18h30): não atendeu"/>
        <s v="Joanna (11h; 13h40; 17h50): não atendeu"/>
        <s v="(Thiago) Às 13:44h, usuária não atendeu à chamada."/>
        <s v="Foi à Maternidade Bandeira Filho, realizou EAS e hemograma, descartou-se arbovirose, fez hidratação EV. Prescrito Buscopan, Dramin e Vit C.  Apresentou novos episódios de vômito quando chegou em casa. Mantém mialgia. Ainda não fez uso do Dramin."/>
        <s v="(Thiago) Usuária não atende à chamada."/>
        <s v="(Thiago) Gestante no D6 dos sintomas, sem novas queixas, com melhora do quadro."/>
        <s v="Taty ( 11:32) paciente Hoje, D7 do curso dos sintomas, refere melhora dos sintomas, sem surgimento de novas queixas, nega sinais de alerta "/>
        <s v="08:37 (Taty) Gestante refere ausência de qualquer sintoma urinário e/ou de outra ordem no momento. conclusão do tratamento para ITU em 12/03/2024, URO marcada para 21/03/2024"/>
        <s v="(Thiago) Às 13:51h, usuária não atendeu à chamada."/>
        <s v="(Thiago) Às 14:06h, usuária não atendeu à chamada."/>
        <s v="13:12 (taty) não procurou a unidade hoje, porem  ACS consulta para amanha 12/03/24, refere permanecer com os mesmos sintomas"/>
        <s v="13:50 (taty)  Gestante informa que procurou atendimento na APS, fez restauração e limpeza dentaria , refere melhora dos sintomas e nega qualquer queixa obstetrica  e urinaria."/>
        <s v="Joanna (9h26; 13h30): não atendeu"/>
        <s v="08:35 (Camilla) Gestante não atendeu."/>
        <s v="Joanna (9h27; 13h30; 16h50): indisponível"/>
        <s v="Joanna (9h28): não atendeu"/>
        <s v="(Thiago) Às 08:27h, gestante refere melhora dos sintomas, sem novas queixas."/>
        <s v="Foi ontem à Maternidade Barros Lima, prescrito Maleato de dexclorfeniramina + betametasona (ainda não iniciou uso), orientada a retornar hoje para realizar USG obstétrica e reavaliação. No momento, encontra-se na Maternidade aguardando realizar USG. Refer"/>
        <s v="(Thiago) Às 09:02h, gestante não atende à ligação."/>
        <s v="09:51 ( rhayza) Paciente não atenteu "/>
        <s v="09:03 ( taty) Paciente nao atendeu "/>
        <s v="14:09 ( taty) gestante procurou atendimento na Policlinica Arnaldo Marques, onde foi avaliada, medicada e recebeu alta; hoje refere cefaleia, tosse , sem febre, refere boa vitalidade do feto, nega sinais de gravidade, sangramento, queixas urinarias e outr"/>
        <s v="09:17 (taty) Paciente não atendeu (13:22) paciente nao atendeu "/>
        <s v="Nayale (11h30): Não atendeu à chamada (tentado 2x)"/>
        <s v="09:53 (taty)Paciente nao procurou atendimento, refere melhora da Odontalgia, desde de ontem sem uso de analgesico, relata que esta a caminho da maternidade pois medica do PN encaminhou, refere boa vitalidade do feto, sem queixas obstetricas e urinarias "/>
        <s v="Nayale (11h32): Não atendeu à chamada (tentado 2x)"/>
        <s v="Nayale (11h35):Puérpera solicita ligação a partir das 14h"/>
        <s v="Joanna (8h27; 15h11): não atendeu"/>
        <s v="15:53 (Nayale) Marido atende ligação e esposa não pode atender no momento. Estão indo para a maternidade Cisam. Retornarei ligação após as 17h."/>
        <s v="Internada no HAM."/>
        <s v="Rhayza (10:05; 13:33h): nao atendeu"/>
        <s v="Rhayza (13:00) atendeu . Retornar às 16 h."/>
        <s v="Refere melhora da cefaleia após uso de Dipirona. Não foi à USF devido estar no tramalho, mas vai amanhã. Nega surgimento de novos sintomas e sinais de alerta. Mantém odinofagia e congestão nasal."/>
        <s v="Internada na Barros lima"/>
        <s v="(Camilla) Às 09h50, gestante informa que está aguardando a consulta pré-natal na unidade de saúde. Ligar novamente à tarde"/>
        <s v="22/03 (Lari) Paciente não atendeu as 13h40"/>
        <s v="Não foi à USF. Mantém queixa. Cd: Reforço importância do atendimento presencial."/>
        <s v="Questionar vacinação para covid. (Lari)  Não atendeu Rhayza (11:00)"/>
        <s v="(Camilla) Gestante está na unidade de saúde, acabou de ser atandida no pré-natal. Foi prescrito tratamento para corrimento. Dou alta do episódio."/>
        <s v="Atendeu mas não respondeu no hopchat "/>
        <s v="Joanna (8h49): não atendeu"/>
        <s v="Joanna (8h51): não atendeu"/>
        <s v="Gestante queixa-se ainda dos sintomas. Encaminho à maternidade; Novo monitoramento amanhã"/>
        <s v="(Lari) 8h30 Paciente não atendeu"/>
        <s v="Ligar às 15h (Nayale 15:00) realizado telemonitoramento. Manter telemonitoramento amanhã. Ligar após as 15h."/>
        <s v="(Camilla) Gestante refere que foi à urgencia ontem e foi prescrito tratamento para corrimento. Encerro caso e sugiro  TINC psiquiatria"/>
        <s v="(Dama - Gestante em curso de 14s3d pela DUM e 19s5d pela USG, com remissão dos sintomas gripais. Queixa hoje de corrimento  leitoso com grumos e prurido discreto, nega odor fétido e dispareunia. Oriento ir à urgência, atendimento realizado fora do horário"/>
        <s v="Lili- Puérpera refere vermelhidão, dormência e saída de secreção amarelada em pequena quantidade da F.O. Nega febre, nega outras queixas. Relata que foi na urgência obstétrica hoje pela manhã, onde foi avaliada por profissional da saúde, o qual orientou q"/>
        <s v="Atendeu mas não respondeu ao hopchat (10:46)"/>
        <s v="Atendeu mas não respondeu ao hopchat (12:05); às 12:19 informou que o link não estava funcionando."/>
        <s v="Lari ( 8h30) não atendeu"/>
        <s v="Joanna (8h33; 16h26): não atendeu (falta registrada no PEC)"/>
        <s v="Joanna (8h34; 16h27): não atendeu (falta registrada no PEC)"/>
        <s v="Refere melhora da dor na panturrilha. Queixa-se de disúria há 4 dias. Encaminhada para avaliação presencial."/>
        <s v="ligar as 10h"/>
        <s v="Rhayza não atendeu (15:07)"/>
        <s v="Joanna (9h08; 16h28): não atendeu (falta registrada no PEC)"/>
        <s v="Refere que não foi ao atendimento presencial, pois a PA estava normal (110 x 80) e melhorou após tomar dipirona novamente."/>
        <s v="08:19 ( taty) Paciente não entendeu 14:54 "/>
        <s v="Rhayza (09:57) não atendeu"/>
        <s v="Nayale (12:10) Gestante ainda não foi ao serviço de saúde. Reforço necessidade de ir ao serviço e informo que amanhã haverá novo telemonitoramento."/>
        <s v="13:37 (taty) refere dor na lombar e promodomos inicio 23/03/24. nega perdas vaginais, queixas urinarias. movimentos fetais presente consulta de PN amanha (02/04/2024)"/>
        <s v="8h30 paciente não foi na APS, vai agora de manha. Ligar a tarde"/>
        <s v="08:35 ( taty) Paciente não entendeu "/>
        <s v="17:00 Não atendeu"/>
        <s v="08:44 ( taty) gestante procurou atendimento no Barão de lucena,pois na APS nao conseguiu,  realizou teste para covid 19 com resultado negativo, referHD dengue. hoje relata melhora da nausea, fadiga, sem febre, em uso de 1g de dipirona 8/8h, nega queixas u"/>
        <s v="17:00 Não "/>
        <s v="16h40 (Camilla) Gestante nega queixas. Pede para prescrever antibiótico dose unica para ITU. Compartilho atendimento com Damartine. Agendo monitoramento para dia 0/04"/>
        <s v="10:00 (Camilla) tentativa de contato sem sucesso. Porém, visualizo no PEC que a gestante compareceu ao PN hoje e tem uma reavaliação na APS agendada para amanhã. Encerro o caso, considerando que houve a devida apropriação do cuidado pela APS."/>
        <s v="09:27 ( taty) Paciente não atendeu "/>
        <s v="08h10 (Lari) Pacinte não atendeu"/>
        <s v="Realizar novo monitoramento (15 h) para saber se acessou o PN e se diminuiu o sangramento. "/>
        <s v="17h20 - Foi atendida no Hospital da Mulher do Recife, realizou exames laboratoriais (sem alterações), prescrito Metildopa 250mg 8/8h (vai iniciar uso hoje). Nega queixas e sinais de alerta."/>
        <s v="8h30 (Lari) Paciente refere que a consulta de hoje na APS foi cancelada (sistema fora do ar, SIC). Oriento avaliação na maternidade mais próxima a sua casa, pois paciente permanece sangrando."/>
        <s v="(Thiago) Às 08:38h, gestante refere melhoras dos sintomas e econtra-se em sua USF para realização de consulta Pré-natal."/>
        <s v="08:26 (taty) telefone desligado "/>
        <s v="Joanna (06/04): não disponível"/>
        <s v="Rhayza (15:08) ocupado "/>
        <s v="(Thiago) Às 15:27h, paciente não atende."/>
        <s v="(Thiago) Às 15:18h, telefone indisponível."/>
        <s v="08:30 (taty) "/>
        <s v="Gestante compareceu à unidade. Iniciou tto de ITU. PN agendado para amanhã."/>
        <s v="Joanna (8h20): não atendeu"/>
        <s v="(Lari) não atendeu"/>
        <s v="(Thiago - 08:48h) Usuária não atende à chamada."/>
        <s v="Gestante refere melhora dos sintomas. Agendo montioramento em 48 horas"/>
        <s v="(Thiago - 09:34h) Gestante apresenta piora dos sintomas gripais iniciados dia 09/04, encaminho para avliação presencial na APS."/>
        <s v="8h (Lari) Paciente não atendeu"/>
        <s v="8h (Lari) sem telefone"/>
        <s v="Joanna (16h; 17h): não atendeu (falta registrada no PEC)"/>
        <s v="Rhayza (08:16) nao atendeu "/>
        <s v="Rhayza (08: 22) ocupado "/>
        <s v="Rhayza (16: 21) nao atendeu "/>
        <s v="Realizar monitoramento amanha 14/04"/>
        <s v="Gestante internada na maternidade"/>
        <s v="Lari (8h) não atendeu"/>
        <s v=" Refere melhora da cefaleia e movimentação fetal sem alterações. Nega contrações uterinas e perdas vaginais. Queixa-se de diarreia sem associação com outros sintomas e sinais de alerta (2 evacuações hoje). PA = 123 x 76. Cd: Orientações gerais. Monitorira"/>
        <s v="melhora da náusea e vômito; refere estar com raiva devido parceiro negar a paternidade e expressa desejo de abortar."/>
        <s v="Joanna (12h; 12h30; 17h47): não atendeu (falta registrada no PEC)"/>
        <s v="8h30 (Lari) não atende"/>
        <s v="(Marta) Jessica articulou com a paciente fazer o atendimento amanhã-devido impossibilidade da usuária no momento."/>
        <s v="Encaminhado para urgência por dor em baixo ventre "/>
        <s v="Mantém perda de líquido sem sinais de alerta e trabalho de parto; dor em BV do tipo cólica iniciada por volta das 12h. Mobilograma: 16 MF, afebril e normotensa"/>
        <s v="Rhayza  (8:09): ligação caindo/não atendeu"/>
        <s v="Joanna (8h8; 14h26): não atendeu"/>
        <s v="Rhayza  (8:12): não atendeu"/>
        <s v="(Thiago - 09:19h) Usuária não atende à chamada."/>
        <s v="Gestante apresenta melhora dos sintomas."/>
        <s v="(Jessi - 19/04): Paciente relatou muito sono com o uso de Dramin. Oriento substituir pela Metoclopramida. Pactuamos teleconsulta compartilhada com enfermeira do pré natal a ser agendada e informada através do ACS "/>
        <s v="Rhayza (11:00)"/>
        <s v="17:15 Não procurou Maternidade. Novo monitoramento 21/04"/>
        <s v="(Lari) Foi encaminhada para avaliação presencial na APS"/>
        <s v="Refere que as contrações estão mais intensas e em intervalo mais curto (não está fazendo o registro), não foi ao atendimento presencial. Além disso, apresentada cefaleia, náusea, ardência ao urinar, eliminação de volume urinários menor que o habitual. Ref"/>
        <s v="(Lari) ITU + febre, foi encaminhada para Barros. Ligar as 10h30"/>
        <s v="(Lari) DM1 + TPP, foi encaminhada para o HMR. Não atendeu as 8h"/>
        <s v="(taty) paciente nao procurou atendimento presencial, refere dor em bv e lombar intensa e melhora da febre, oriente buncar atendimento presencial "/>
        <s v="08:16 (Taty) Paciente não atendeu (12:44 ) paciente nao atendeu"/>
        <s v="Rhayza (08:09) telefone ocupado"/>
        <s v="Taty (08:38) não completa a chamada "/>
        <s v="Taty (08:38) Paciente nao atendeu"/>
        <s v="Taty (09:40)  Paciente no D4 dos sintomas, nao buscou atendimento presecial, como orientado; Refere dispneia ao esforço que melhora ao repouso, coriza leve  e a noite apresenta congestao nasal, nega febre, queixas urinarias outra queixas obstetricas; refe"/>
        <s v="Está na consulta pré-natal. Ligar 16 h"/>
        <s v="08:25 Não atendeu (Rhayza)"/>
        <s v="(Thiago) Às 11:04h, paciente não atendeu à chamada"/>
        <s v="10h30 (Lari) Paciente não atendeu."/>
        <s v="26/04 (Lari) Pct sem queixas. Oriento seguimento de PN em APS."/>
        <s v="Rhayza (09:24) nao atendeu"/>
        <s v="Melhora dos sintomas "/>
        <s v="Rhayza (09:32) nao atendeu"/>
        <s v="Rhayza (16:16) nao atendeu"/>
        <s v="Gestante refere melhora dos sintomas de nauseas e vômitos e tosse. Alta do episódio, encerro caso."/>
        <s v="Puérpera se encontra na maternidade, após cesariana de urgência ontem às 23h."/>
        <s v="(Thiago) Às 17:35h, usuária apresenta melhoras do quadro de dor e níveis normais de PA."/>
        <s v="Realizar novo monitoramento 03/05"/>
        <s v="Joanna (17h; 18h16): não atendeu"/>
        <s v="9h50 (Lari) Paciente informa melhora da cefaleia. Está aguardando agendamento de PNAR DMG"/>
        <s v="Rhayza (16:31) não atendeu "/>
        <s v="08h20 (Lari) Não atende; 10:21h (Thiago), não atende."/>
        <s v="08:23 ( Taty) Paciente não atendeu; 10:35h (Thiago) não atende."/>
        <s v="08:17 ( Taty) Paciente não atendeu; 10:46h (Thiago), esposo solicita que entremos em contato mais tarde."/>
        <s v="09h50 (Lari) Não atende; 15:29h (Lili) Não atende"/>
        <s v="Foi atendida na USF, mas devido sintomas apresentados e PA = 140 x 90, foi encaminhada à maternidade. Na Maternidade Bandeira Filho realizou rotina de PE. Alterações não foram identificadas, foi medicada e recebeu alta. No momento, nega queixas. Refere bo"/>
        <s v="Refere que foi ao Hospital da Mulher do Recife, aguardou por 6 horas e não foi atendida. Último episódio de sangramento ontem, mantém disúria. Nega sinais de alerta. Cd: Encaminho para avaliação na Mat Bandeira Filho."/>
        <s v="Joanna (10h50; 15h): não atendeu"/>
        <s v="Rhayza (08:50) nao atendeu "/>
        <s v="Mobilograma +/- 3 movimentos em 1 hora. Encaminho para maternidade"/>
        <s v="(Thiago) Às 08:33h, usuária não atende à ligação 09:00 (taty) paciente não atendeu. 14:00 (Lili): Paciente não atendeu"/>
        <s v="10:00 (Lili): Paciente refere melhora dos sintomas. Em término do tratamento (D10). Reforço importância da realização de urocultura. "/>
        <s v="Lili (16:10) Gestante refere melhora da dor, iniciou tratamento para ITU. "/>
        <s v="08:10 (taty) Paciente não atendeu "/>
        <s v="Foi atendida na APS; encaminhamento está no SISREG."/>
        <s v="Pct internada no CISAM"/>
        <s v="08:13 ( taty) Paciente não atendeu 12:07 ( taty) Paciente não atendeu"/>
        <s v="USG (14/05): peso fetal adequado para IG. Finalizo telemonitoramento"/>
        <s v="08:22 ( taty) Paciente não atendeu (81991300852) 12:05 ( taty) Paciente não atendeu"/>
        <s v="11:11 ( taty) Procurou atendimento na Barro Lima, onde foi examinada,  realizou exames laboratoriais, medicada e foi liberada, hoje nega cefaleia, nega sinais flogistico em FO e outras queixas 08:47( taty) Paciente dormindo(ligar as 10:30) "/>
        <s v="Refere melhora. Foi à consulta de PN. "/>
        <s v="Foi atendida na USF Três Carneiros, PA = 130 x 80. Refere melhora da cefaleia após uso de Dipirona. Segue sem novas queixas. Orientada a realizar MRPA."/>
        <s v="8h (Lari) paciente está se deslocando para realizar exames. Solicita contato as 10h. 10:10 (Lili): Paciente não atendeu"/>
        <s v="9h (Thiago) paciente refere melhora das cólicas."/>
        <s v="08:20 ( Taty) Paciente não atendeu. 16:00 (Lili): Paciente refere que não foi a APS e que irá realizar exame laboratorial por conta própria. "/>
        <s v="09:10 ( taty) Paciente internada no HMR . Aguarda USG e conduta ( provavel cerlagem), nega hoje dor ou sangramento, refere repouso absoluto "/>
        <s v="09:35 ( Taty) Paciente não atendeu;  11:22 (taty) paciente nao atendeu"/>
        <s v="16:28 (taty) !7:38h (Thiago) Não completa a chamada."/>
        <s v="Feito registro e encaminhado presscrição de sintomáticos."/>
        <s v="08:27 (taty)Gestante internada no IMIP, por ameaça de trabalho de parto prematuro,refere contrações irregulares, porem ao exame esta com dilatação de 4cm, em repouso ,  Nega perdas vaginais ou outras queixas.   "/>
        <s v="08:17 (Taty) Paciente não atendeu 10:14 ( taty) paciente nao atendeu"/>
        <s v="16:00 (Lili): Paciente refere que foi diagnosticada com ITU e prescrito antibiótico."/>
        <s v="08:29 (taty) Paciente refere melhora da dor em flanco direito, nega queixas obstétricas e urinarias."/>
        <s v="09:06 (taty) Paciente procurou atendimento no HC, hoje nega presença de sangramento, nega perdas vaginais, queixas urinarias e colicas, Refere MF presente "/>
        <s v="Joanna (9h30; 14h26): não atendeu"/>
        <s v="09:05 (Lili): Paciente não atendeu 10:30 Paciente refere que foi atendida na Maternidade Bandeira Filho, que o BCF estava normal e que sentiu o bebê se movimentar normalmente hoje. "/>
        <s v="18:00 (Damartine) Retorno para a gestante, orientando que compareça nesta quinta-feira ao PN com médica da unidade."/>
        <s v="10:24 (taty) paciente nao atendeu ; 12:13 (taty) microcip com instabilidade"/>
        <s v="08:30 (taty) puerpera levou filho a pediatra peso atual 3100 e 51cm, refere diurese e evacuaçoes presentes, colicas noturanas, oriento e encaminho gestante a nutrição"/>
        <s v="08:20/ 11:10 (Lili): Paciente não atendeu "/>
        <s v="08:27 (Rhayza): nao atendeu"/>
        <s v="(Lili): Paciente refere perda de líquido, encaminho para urgência obstétrica. Também refere que iniciou pré-natal em outra USF e será encaminhada ao PNAR. "/>
        <s v="09:47 ( taty) Paciente relata dor leve &quot; virilha &quot; refere contrações de treinamentos com colicas discreta, Nega sangramento, queixas urinarias, dor lombar ou outros sinais de alerta."/>
        <s v="Joanna (11h20; 13h58; 17h40): não atendeu"/>
        <s v="14:00h (Thiago) Paciente apresenta melhora das cólicas."/>
        <s v="09:42 ( taty) paciente não atendeu"/>
        <s v="mantém dor em baixo ventre de intensidade leve, mais localizada no lado esquerdo. No geral, refere que apresenta melhora considerável. Nega perdas vaginais e outras queixas. Mantém boa movimentação fetal. Glicemia e PA sem alterações."/>
        <s v="Após o atendimento realizado ontem, fez uso do sintomático, porém, não apresentou melhora e a dor ficou mais intensa. Conforme orientação que recebeu na teleconsulta, foi à urgência do IMIP. Contatou-se trabalho de parto prematuro. RN nasceu no IMIP, dia "/>
        <s v="Mobilograma = 1 MF em 1h. Encaminho para avaliação na urgência obstétrica"/>
        <s v="(Lari) Realizo monitoramento. Oriento nitrofurantoina profilático, MAPA e perfil de HGT"/>
        <s v="09:00h (Thiago) Usuária não atende a chamada."/>
        <s v="09:10h (Thiago) Usuária não atende a chamada."/>
        <s v="16:00h (Thiago) Gestante encontrava-se em atendimento na Bandeira Filho."/>
        <s v="16:48 (Lili) Paciente não atendeu. ligar as 16h para avaliar melhora da cefaleia"/>
        <s v="Pct foi ao HMR (22/05) e constatou que nao há perda de LA. Retornará ao PN amanhã. "/>
        <s v="Rhayza (16:00) nao atendeu"/>
        <s v="10:50h Paciente sem queixas, refere que foi para PN ontem na nova USF, sendo ecaminhada para o PNAR, e prescrito carbonato de cálcio para prevenção de PE. "/>
        <s v="Rhayza (08:04) Não atendeu "/>
        <s v="Camilla (13h50) Gestante informa que estava dormindo, mas que o sangramento cessou.  Encerro o caso."/>
        <s v="Rhayza (16:18) Não atendeu "/>
        <s v="11:40 Paciente no IMIP aguardando atendimento. Relata peristência do sangramento"/>
        <s v="8h12 (Camilla) Não atendeu. 12h19 Não atendeu."/>
        <s v="(Thiago) 8:30h Telefone ocupado, paciente não atende a chamada."/>
        <s v="(Rhayza) 09:38 Atendeu e desligou"/>
        <s v="(Rhayza) 09:41 Nao atendeu"/>
        <s v="(Rhayza) 09:43 Nao atendeu"/>
        <s v="Gestante procurou o IMIP ontem, realizar novo monitoramento amanha "/>
        <s v="Gestante não tomou medicação para dor e nao procurou hospital, pediu para retornar a tarde "/>
        <s v="11:00h (Thiago) Nao atendeu a chamada."/>
        <s v="08:15h (Lili): Ligar a tarde"/>
        <s v="8h15 (Camilla) Não atendeu. 12h22 Não atendeu."/>
        <s v="09:10 (taty) Paciente não atendeu 12h28 (camilla) Ligação atende, mas sinal ruim, não consigo comunicação."/>
        <s v="09:40 (Lili) Paciente não atendeu "/>
        <s v="08h20 Paciente não atendeu / 13:10h (Lili): Paciente não atendeu "/>
        <s v="09h35 (Camilla) Gestante internada no HAM. Encerro caso e dou alta do episódio."/>
        <s v="Rhayza (08:37) Não atendeu 11:02 (taty) ligar as 12h estava em consulta "/>
        <s v="ligar as 16:30"/>
        <s v="(Camilla) 08h12 não atendeu."/>
        <s v="Rhayza (08:40) Não atendeu "/>
        <s v="Joanna (7h58; 13h24; 18h): não atendeu"/>
        <s v="08:01 (taty) paciente não atendeu"/>
        <s v="08:50 (taty) Paciente refere melhora do quadro apos uso de analgesico, nega queixas obstetricas, urinaria e sinais de eminência "/>
        <s v="Joanna (08h8): não atendeu 12:42 (taty) não completou a chamada"/>
        <s v="(Camilla) 08h20 não atendeu."/>
        <s v="(Camilla)  Às 14h não completa a ligação"/>
        <s v="Mobilograma = 20 MF"/>
        <s v="(Camilla) 16h Gestante refere que as contrações não aumentaram. Continua em pródromos. Oriento e encerro caso."/>
        <s v="10:00h (Thiago) Usuária não atende a ligação."/>
        <s v="Refere melhora considerável após iniciar uso de Cefalexina no dia 01/06; nega novos sintomas e sinais de alerta. Optou por aguardar a consulta de pré-natal que está agendada para o dia 06/06, portanto, não buscará atendimento hoje na USF, conforme orienta"/>
        <s v="Puérpera refere melhora da amamentação. Nega queixas. Disse que amanh~ã tem consulta no posto de saúde."/>
        <s v="Falar com Lili"/>
        <s v="08h05 (Lari) Telefone não atende"/>
        <s v="08:29h (Lili): Paciente internada no HMR. "/>
      </sharedItems>
    </cacheField>
    <cacheField name="CONDUTA MONITORAMENTO 2" numFmtId="0">
      <sharedItems containsBlank="1" count="458">
        <m/>
        <s v="Foi atendida no PN da APS hoje, sem alterações de PA e sinais de premonitórios de PE. Próxima consulta agendada 07/12. IG=36s. Oriento acerca dos sinais de alerta/ir à urgência. (Joanna)"/>
        <s v="ianne: Tentando ligar novamente 03/01 - desliga ligação"/>
        <s v="(CAMILLA) Realizado telemonitoramento de gestante. Refere contrações irregulares no mesmo padrão que ontem, sem sinais de alerta. CD: oriento que busque unidade de saúde na presença de sinais de TP e/ou alerta; encorajo que compareça a consulta de pré-nat"/>
        <s v="Realizado novo contato, paciente refere persistência da diminuição dos MF. Oriento ir para atendimento presencial imediatamente. Acolho queixa de medo da dor do TP e oriento sobre importância e ressignificação da dor no processo do nascimento. Explico sob"/>
        <s v="14h paciente refere que esta aguardando internamento na maternidade Barros Lima. Nega queixas no momento e refere que medica do CISAM (atendimento realizado pela manha) informou que ela estava com 3cm. Informa que internamento na Barros Lima será devido i"/>
        <s v="Puérpera, no 3º DPO de cesariana, de alta há 24h. Bebê nasceu bem, dia 21/04 às 14:45, via cesariana devido a AP pélvica. "/>
        <s v="Gestante atendeu a ligação às 17:15, mas disse que não foi à maternidade e que as cólicas cessaram, mas que a cefaleia forte permanece, mesmo após uso de diprona. Reforço a importância de buscar a emergência obstétrica hoje ou amanhã. Ciente do telemonito"/>
        <s v="11/05 telefone nao completa a ligação "/>
        <s v="31/05 (Taty): Tentativa de monitoramento sem sucesso, paciente nao se encontrava, quem atendeu solicitou ligar mais tarde. Joanna: Realizo nova tentativa de contato, porém sem sucesso (17h51)"/>
        <s v="Refere que foi à urgência ontem devido aumento do sangramento. Prescrito Utrogestan. "/>
        <s v="Queixas: Prurido anal a noite, presença de vermes pequenos e de cor branca em região anal e peças íntimas. _x000a_História da doença atual: Gestante refere ter realizado tratamento para verminose com albendazol 400mg, dose única, em março/2023. Apresentou melho"/>
        <s v="(Thiago) tentativa às 16:20"/>
        <s v="(Taty) Monitoramento realizado, paciente ainda permanece com sintomatologia, TR negativo , conforme o protocolo mantenho o monitoramento"/>
        <s v="(Ianne)Realizo teleinterconsulta com enf Rose martins, orientado sobre tratamento adequado com albendazol para paciente e familiares (que moram na mesma casa). Consulta de pre natal amanha."/>
        <s v="(Thiago) Refere melhora do quadro viral; informa que foi para atendimento; oriento realização do teste covid-19. Mantenho monitoramento com 48h seguindo protocolo de sindrome gripal"/>
        <s v="(taty) tentativa de monitoramento sem sucesso as 16:30)"/>
        <s v="(taty) tentativa de monitoramento sem sucesso as 16:50)"/>
        <s v="Gestante nega queixas no momento. Segue aguardando agendamento de exames laboratoriais para investigação de trombofilia. "/>
        <s v="(taty) paciente refere diminuição nos MF, apos mobilogarma (2 em 1h), com perca de muco e dor lombar; encaminho para atendimento presencial na maternidade bandeira filho "/>
        <s v="09/06 (Lari) Paciente não atendeu as 16h"/>
        <s v="09/06 (Lari) Paciente não atendeu as 16h30"/>
        <s v="Refere melhora do edema e secreção na gengiva. Está no 3º dia de tto com Amoxicilina."/>
        <s v="(Marcia) Sem sucesso às 17:36"/>
        <s v="(Joanna) Não foi ao atendimento presencial. Mantém coriza; não realizou TR-Ag; Oriento ir ao CS para agendar PNAR, fazer avaliação e rrealizar TR-Ag, se dispoível no serviço."/>
        <s v="(Marcia) Orienta buscar a unidade de saúde para avaliação/realizar telemonitoramento dia 13/06"/>
        <s v="(Joanna) Tentativa às 14h / Aguarda lab 3º trimestre "/>
        <s v="09/06 (Lari) Paciente não atendeu 16h30"/>
        <s v="09/06 (Lari) Paciente não atendeu 17h"/>
        <s v="(Ianne) Tentativa as 14h e 14:30h"/>
        <s v="(Joanna) Tentativa às 14h"/>
        <s v="(Joanna) Tentativa às 14h / (Marcia) às 17h: Foi à maternidade como orientada na teleconsulta, oriento seguir medicações prescritas e agendo monitoramento para dia 16/06 quando finaliza as medicações. Oriento sinais de alerta e se piora buscar atendimento"/>
        <s v="(Marcia) Encaminho paciente para avaliação presencial na emergência obstétrica de preferência em até 2 horas devido diminuição dos movimentos fetais. Informo monitoramento pela equipe do Atende Gestante em 24 horas."/>
        <s v="11/06 ( taty) Monitoramento realizado gestante sem queixas oriento importancia e manutençao do PN tanto na APS E PNAR "/>
        <s v="(Camilla) Tentativa às 14:23 sem sucesso"/>
        <s v="11/06 (taty) gestante nao atende a ligação tentativa as 10:11"/>
        <s v="11/06 ( ana) telefone desligado 13:55"/>
        <s v="(Thiago) Sem sucesso às 15:25 (nao atendeu )"/>
        <s v="(Thiago) Tentativa às 14:24"/>
        <s v="(ianne) 14h42 telefone desligado"/>
        <s v="(Thiago) 15h Foi para atendimento na Barros Lima, recebeu prescrição de Fentizol óvulo + Miconazol creme vaginal."/>
        <s v="(Camilla) 14:10 - Atendeu, mas refere que não tinha disponibilidade de falar"/>
        <s v="11/06  (taty) gestante na maternidade bolsa integra e sera reavaliada em 4h, monitoramento em 12/06 "/>
        <s v="(Thiago) Sem sucesso às 15:45 (nao atendeu )"/>
        <s v="Taty (14:04 ) Paciente atendeu e deslisgou apos indentificação "/>
        <s v="(Camilla) 14:30 - Tentativa sem sucesso."/>
        <s v="TATY(14:30) Puerpera  refere melhora na queixas. mantenho conduta de orientaçoes "/>
        <s v="(Camila)"/>
        <s v="Joanna (15/06 - 13h20): Foi à Maternidade Barros Lima, diagnosticada com ITU, em uso de ATB (não lembra o nome). Sem queixas no momento. Oriento repetir urocultura após 10 dias do término do tto. "/>
        <s v="Joanna (15/06): não atendeu (8h50; 13h58; 16h24). Taty (14/06 - 15:28 )ligar as 17:00"/>
        <s v="Ianne: 13h55: tentativa sem sucesso"/>
        <s v="Joanna (15/06 - 13h59; 16h26): não atendeu."/>
        <s v="taty (14:15 ) paciente nao interagiu na sala e telefone esta agora desligado "/>
        <s v="taty (14:15 ) gestante na maternidade, refere que esta com 4cm de dilatação, sem perdas vaginais. "/>
        <s v="ianne (13h40) não atende; Joanna (16h28): não atende."/>
        <s v="Taty(13:35 telefone desligado; Joanna (16h29): não atendeu"/>
        <s v="Taty(13:55) Paciente nao atendeu; Joanna (16h30): não atendeu"/>
        <s v="ianne (13h38) telefone desligado; Joanna (16h31): telefone desligado"/>
        <s v="(Thiago) Gestante com IG 21s3d, compareceu a Bandeira Filho hoje e refere que no atendimento foi informada que o corrimento se tratava de candidíase vaginal e que realizou  sumário de urina com resultado normal. Nega queixas obstétricas como sangramento, "/>
        <s v="Gestante com IG 11s6d pela DUM; G1 P1 (PN de prematuro extremo que foi a óbito) A0, a mesma informa que já deu início ao pré-natal em UBS de referência em seu território, já realizou consulta odontológica e está com consulta de volta marcada, assim como e"/>
        <s v="(Thiago) Tentativas sem sucesso às 16:56"/>
        <s v="13h30 (ianne) telefone desligado. "/>
        <s v="Joanna (15h6): permanece com a mesma queixa, no momento está se deslocando para atendimento na Barros Lima. Não foi possível encaminhar registro de atendimento porque a teleconsulta foi por chamada telefônica."/>
        <s v=" (Taty) Paciente encontra-se na maternidade, aguarda USG para definir conduta "/>
        <s v="ianne (14h) Paciente não atende. Enviado whasapp por link, mas sem retorno"/>
        <s v="ianne (15h05) Paciente não atende"/>
        <s v="(Marta) Não consegue contato após às 07:30h porque usuária não tem celular"/>
        <s v="Registrado Evento Sentinela - Encaminhamento via USF - agendamento regulação (Bel)"/>
        <s v="taty (09:19 ) paciente nao atendeu  (taty:13:50) paciente nao atendeu  Taty(15:54) paciente nao atende u"/>
        <s v="Ianne (14h50): paciente não atende. è enferemeira e tinha ficado de entrar em contato com resultado de uroc. "/>
        <s v="ianne (16h): Paciente não atende"/>
        <s v="ianne (16h10) paciente não atende"/>
        <s v="Taty("/>
        <s v="Taty ( 16:27) tentativa sem sucesso "/>
        <s v="14:20 (taty) realizo telemonitoramento, paciente refere cefaleia e nega outras queixas, como ontem apresentou na maternidade 140*90, solicito ida ao posto para hoje e amanha para aferir a PA "/>
        <s v="(ianne) realizar monitoramento amanha. Paciente ainda não foi na maternidade"/>
        <s v="01/07 (Joanna): Refere foi dia 29/06 ao CS Vereador Romildo Gomes, realizou 1ª consulta de PN, foi orientada quanto a normalidade do sangramento e corrimento vaginal. Nega novos episódios de sangramento. Prescrito Ácido fólico 1x/dia. Aguarda agendamento "/>
        <s v="Taty (15:27/ 16:49 ) paciente nao atendeu "/>
        <s v="01/07 (Joanna): Foi atendida na UPA dos Torrões, foi orientada que a reação apresentada à Cefalexina era normal e que poderia continuar uso. Encontra-se no 3º dia de tratamento, alega melhora do quadro apresentado, nega surgimento de novos efeitos colater"/>
        <s v="Joanna (16h12; 17h23): não atendeu"/>
        <s v="Taty ( 13:55) Thiago (15:10h) paciente não atende Taty ( 18:32  ) apos indentificação paciente desliga "/>
        <s v="Taty ( 13:55) paciente encontra-se no HBL, iniciou ATB e ira realizar uma lavagem cavitaria , o pec nao foi preenchido pois a paciente nao estava podendo falar ( preparo para o BC) falo com esposo "/>
        <s v="Thiago (12:00) Paciente não atende à ligação. (Fabiane) tentativa às 16:10"/>
        <s v="Telefone fixo e microsipp sem funcionar - tentar monitoramento 05/07"/>
        <s v="Refere que foi atendida na policlinica Bandeira filho , medicada e teve melhora da queixa "/>
        <s v="07/07 (Thiago) Às 15:35, usuária não atendeu.16:33 (taty) tentativa sem sucesso"/>
        <s v="Apoio Emocional"/>
        <s v="TATY(14:12) Paciente refere melhora dos sintomas;  prurido, hiperemia vulvar, edema, corrimento ; Iniciou creme vaginal dia 07/07/2023 após ser liberado pela APS e higiene pessoal como orientado em consulta anterior "/>
        <s v="07/07 (Thiago) Às 15:20, usuária não atendeu 16:33 (taty) telefone desligado"/>
        <s v="(taty) Paciente refere que buscou atendimento em uma upa, onde foi medicada e iniciou o atb, refere ainda melhora dos sintomas da otalgia"/>
        <s v="(Taty-15:20) paciente refere que procurou atendimento presenciau na maternidade barro lima, medicada e liberada, hoje refere melhora dos sintomas."/>
        <s v="Taty(12;31) Paciente refere melhora, realizou coleta de URO hoje, oriento como melhora dos sintomas, mostra no PN "/>
        <s v="14/17 Fabiane (15:28), usuária não atendeu à ligação."/>
        <s v="taty (16:05) paciente não atendeuIanne (14:12) paciente não atende "/>
        <s v="(Thiago) Às 13:30h, 17:24h, usuária não atende à ligação."/>
        <s v="16/07 Ana Cintra (15:20), paciente não atende à ligação."/>
        <s v=" 16/07 Ana Cintra (18:30), paciente não atende à ligação."/>
        <s v="taty (16:07 telefone desligado (Fabi - 14:40) desligado"/>
        <s v="Taty ( 16:56 ) telefone oculpado "/>
        <s v="(Thiago) Às 12:00h, usuária refere melhora do sangramento (01 episódio ontem), nega qualquer tipo de perda vaginal no momento; nega também outras queixas como dor em baixo ventre tipo cólica, contrações ou queixas urinárias. Finalizo monitoramento pelo AG"/>
        <s v="Às 15:00h, telefone indisponível."/>
        <s v="29/07 (Joanna): Refere que não apresentou novo episódio de sangramento. Segue sem queixas no momento. "/>
        <s v="Realizado."/>
        <s v="29/07: Refere que apresenta contrações dolorosas esporádicas ao longo dia, hoje apenas 1 episódio. Mobilograma realizado dia 26/07 = 10 MF. Fez teleinterconsulta com médica do plano de saúde, foi descartado TP e outras intercorrências. Nega sangramento, p"/>
        <s v="(Thiago) Às 16:15h, usuária não atende à chamada."/>
        <s v="05/08 (Joanna): Foi atendida dia 01/08 na USF Tia Regina, encontra-se no D8 (D0: 29/07), mantém coriza, nega sinais de alerta e queixas obstétricas."/>
        <s v="ianne (15h17) Paciente não atendeu, mas pelo PEC foi atendida na UBS e inicado metronidazol"/>
        <s v="Taty (16:42 ) Telefone nao completa a ligação "/>
        <s v="Gestante refere que que melhorou dos sintomas, porém, ainda não conseguiu inciar o PN. Na unidade de saúde, orientada que retornasse na semana seguinte."/>
        <s v="05/08: Refere que não conseguiu realizar a remarcação da consulta de PN no CS Prof Fernandes Figueira. Mantém cefaleia leve, sem sinais de alerta. Parou uso do Metildopa por conta própria, pois relata que após uso sente muito mal-estar, inclusive desmaiou"/>
        <s v="(Thiago) Às 18:00h, usuária não atende à chamada."/>
        <s v="// 04/08 (Lari) Telefone desligado"/>
        <s v="taty (14:00) paciente procurou atendimento, e realizou  USG trasvaginal, como apresentou queixa de disuria + corrimento vaginal, com antecedentes de ITU recorrentes em gestação anterior, encaminho novamente a urgencia, para realizçao do su "/>
        <s v="Joanna (09/08): Foi atendida na USF Coqueiral dia 07/08, orientada quanto as alterações fisiológicas da gravidez. Consulta de PN agendada para dia 10/08. Mantém dor lombar. Nega leucorreia, sintomas urinários e sinais de alerta. Oriento paciente sobre sin"/>
        <s v="(Thiago) Às 15:59h, usuária com telefone desligado."/>
        <s v="(Thiago) Às 16:09h, usuária não atende à chamada."/>
        <s v="(Thiago) Às 11:24h, usuária informa que compareceu hoje pela manhâ a 1ª consulta de PNRH em Us 373 Usf Cidade Operaria."/>
        <s v="Paciente atendeu e estava no CISAM, em processo de internamento, em virtude de PA alterada."/>
        <s v="(Camilla)"/>
        <s v="Foi à consulta de PNAR no IMIP hoje. Prescrito AAS 100 mg 1x/dia, Metildopa 250 mg 8/8h. Retorno programada para dia 23/08. Sem queixas no momento. Cd: Oriento manutenção do PNAR no IMIP e inicio do PN na APS; Informo que a consulta de PN na APS está agen"/>
        <s v="(Thiago) Às 18:02h, telefone da usuária não recebe a chamada."/>
        <s v="Agendada visita a maternidade Barros Lima para o dia 31/08. Oriento sinais de alerta e trabalho de parto ativo."/>
        <s v="(Thiago) Às 13:56h, 17:40h, usuária não atende à chamada. Taty(14/08 as 08:47) paciente nao atende a chamada "/>
        <s v="(ianne) 15h40 gestante não atende ligaçao"/>
        <s v="(Thiago) Às 14:04h, 17:42h, usuária não atende à chamada. Taty (14/08 as 08:56) paciente não atendeu "/>
        <s v="taty (18:11)Paciente se encontra na baarro Lima, PC as 11:41, rn apresentou desconforto respiratorio, esta em obs e puerpera em enfermaria  ; ianne (14h42) não atende"/>
        <s v="Taty( 16:14) Telefone não nao existe (18/08 Thiago) Telefone ocupado"/>
        <s v="Taty (17:11) paciente buscou atendimento presencial, continua com sintomatoligia, oriento realizar exame para COVID "/>
        <s v="18/08(Thiago) Às 11:40h, gestante apresenta melhora dos níveis glicêmicos. Trasnfiro cuidado para APS, ofereço TINC."/>
        <s v="(Thiago) Às 13:55h, telefone da usuária desligado/ocupado."/>
        <s v="(Thiago) Às 13:45h, paciente não atende à chamada telefônica."/>
        <s v="(Thiago) Às 11:48h, gestante comfirma boa movimentação fetal de ontem para hoje. Cofirmar acesso à APS em 22/08/23."/>
        <s v="ianne (14h) paciente não atende  taty ( 15:33)  Paciente nao atendeu "/>
        <s v="(Camilla) Tento contato às 14:22 sem sucesso (telefone fora de área ou desligado), (Thiago) Às 17:38h, usuária não atente à chamada."/>
        <s v="15:50 ( taty) tentativa sem sucesso, numero indisponivel. (Thiago) Às 17:40h, número indisponível."/>
        <s v="Realizado o telemonitoramento. Gestante sem queixas hoje. Foi a maternidade hoje, onde foi orientada manter medicação de asma. Oriento que siga o PN e que apenas em caso de asma de difícil controle é que deveria ser encaminhada ao PNAR."/>
        <s v="ianne (13h50) dando erro pelo microsip (numero bloqueado?) taty (16:50) paciente nao atendeu "/>
        <s v="Taty (15:28) gestante no curso da 8 semanas, nao procurou atendimento  , IMC 42, sintomas, congestao nasal supervisora "/>
        <s v="ianne (16h50) monitorar quinta"/>
        <s v="Ianne (13h45) paciente submetida a cesariana, internada na maternidade"/>
        <s v="Taty (15:28) Paciente nao atendeu "/>
        <s v="ianne (15h35) paciente não atende"/>
        <s v="(Thiago) Às 17:40h, Telefone não recebe chamada pelo fixo."/>
        <s v="(Thiago) Às 17:30h, usuária nã atende à ligação."/>
        <s v="(Thiago) ÀS 17:30h, telefone da usuária desligado."/>
        <s v="Taty ( 14:21) paciente procurou atendimento, foi avaliada e retonara dia 28/08/23 para realizar USG, no momento refere colicas, contração indolores "/>
        <s v="15h13 (ianne) Paciente não atende telefone. IG 40sem 6 + HASG. internada?"/>
        <s v="15:20 ( telefone desligado"/>
        <s v="(Thiago) Às 13:17h, usuária não atende à chamada."/>
        <s v="14H ( Taty)  paciente nao atendeu "/>
        <s v="(Thiago) Às 18:10h, usuária não recebeu visita da equipe ainda, FO ainda secretiva. Monitorar e avliar estado de FO amanhã."/>
        <s v="13:10 (taty) nao atendeu "/>
        <s v="(Thiago) Às 15:55h, usuária não atende à chamada."/>
        <s v="16h00 paciente não atende"/>
        <s v="16h05 paciente não atende. 09/09 (Joanna): Não fez uso do plasil. Mantém queixa de náusea, cefaleia discreta, fraqueza, alteração no padrão do sono, desconforto na garganta de inicio hoje. Cd: Oriento acerca dos sinais de alerta, uso de analgesico e antie"/>
        <s v="17h monitoramento realizado por telefone, devido dificuldade tecnica da paciente. Não conseguiu ser encaminhada para o hopchat. "/>
        <s v="(Thiago) Às 16:00h, usuária refere melhora e ausência de vômitos e diarreia."/>
        <s v="(Thiago) Às 16:20h, usuária não atende à chamada."/>
        <s v="(Thiago) Às 16:25h, o telefone da usuária não está recebendo chamada."/>
        <s v="(Thiago) Às 16:00h, telefone da usuária não recebe a chamada. 09/09 (Joanna): foi à USF dia 04/09, constatou-se FO sem alterações. Cd: Oriento paciente sobre sinais de alerta e cuidados gerais."/>
        <s v="(Thiago - monitoramento 06/09) Às 08:52h, gestante foi avaliada na Arnaldo Marques e orientada a retornar em 07/09 para internamento, caso não entre em trabalho de parto esponteneamente."/>
        <s v="(Thiago) Às 17:27h, o número da usuária encontra-se indisponível."/>
        <s v="(Thiago) Às 17:32h, a usuária não atende à chamada."/>
        <s v="(Thiago) Às 16:22h, o número da usuária não está recebendo ligação."/>
        <s v="Taty (18:30) nao consegui contato, porem nao sei se devido instabilidade do  microcip "/>
        <s v="(Thiago) Às 17:50h, o número da usuária não está recebendo ligação."/>
        <s v="ianne (16h) mudança de padrao do corrimento - ir na aps/maternidade amanha"/>
        <s v="ianne (9h) paciente na maternidade, puerpera"/>
        <s v="Gestante participou de TINC sobre sua quadro de saúde, no momento sem queixas e assintomática."/>
        <s v="(Thiago) Às 16:49h, usuária não atende à chamada."/>
        <s v="taty ( 13:50) realizado monitoramento, paciente refere corrimento e prurido descreto, nao procurou a APS, relata que ontem e hoje a tarde nao teve atendimento, mas esta marcado para amanha, "/>
        <s v="taty ( 18/09) Monitoramento realizado durante TINC com a profissional, Paciente com queixas de dor em BV e diminuição MF, paciente encaminhada para avaliação presencial, monitorar acesso a tarde "/>
        <s v="taty(15:49) telefone oculpado "/>
        <s v="19/09 (10h30) Larissa - Paciente internada na Bandeira"/>
        <s v="Taty (09:58) Paciente no momento da teleconsulta se encontrava na maternidade bandeira filho, onde foi avaliada e realizado uma USG com doppler  ( resultado relatado, diminuição do liquido amniótico, não foi possível medir o maior bolsão,   e  diminuição "/>
        <s v="ianne (16h20) Confirmado acesso/ orientação"/>
        <s v="22/09 (taty) paciente procurou atendimento e foi orientado repouso e buscopam"/>
        <s v="(Thiago) Às 15:45h, usuária não atende à ligação. taty (17:44) paciente nao atende"/>
        <s v="27/09 (Joanna): Foi ao CISAM (24/09), constatou-se PA = 140/90, prescrito Dipirona, orientada a buscar atendimento no posto de saúde. Refere mantém dor de cabeça, porém menos intensa. Não buscou atendimento na APS porque foi orientada a permanecer apenas "/>
        <s v="(Thiago) Às 17:24h, paciente não atende à chamada."/>
        <s v="17h Não completa a ligação."/>
        <s v="15h20 paciente não atendeu. ligamos 2x. "/>
        <s v="(ianne -02/10 as 13h35) paciente não atendeu"/>
        <s v="Não atende (18h)"/>
        <s v="Taty (13:38)Paciente na maternidade, pariu ontem as 21:35, puerpera e RN encontram-se no aalojamento "/>
        <s v="(Thiago) Às 15:56h, usuária não atende à chamada."/>
        <s v="Não conseguiu atendimento no CS Olinto de Oliveira. Segue com sintomas gripais. Demais informações sobre o caso no PEC."/>
        <s v="taty (10/10) paciente refere melhora nos sintomas, porem ainda com coriza, tosse esporadica, oriento realizar o teste para covid, pois durante o fds perdeu olfato e paladar"/>
        <s v="taty (18:23) nao completa ligação ( dada falta)"/>
        <s v="Joanna (14/10): Gestante refere que está bem. Nega queixas obstétricas e sinais de alerta. "/>
        <s v="(Thiago) Às 14:00h, 16:00h, usuária não atende à chamada."/>
        <s v="Foi à Arnaldo Marques (16/10); TPP descartado, fez uso de SF devido desidratação e Buscopan, orientada a manter uso do Pantoprazol 1x/dia. Refere melhora do quadro clínico, nega queixas obstétricas e sinais de alerta."/>
        <s v="(Thiago) Às 11:32h, gestante se encontrava em atendimento no Hospital Agamenon Magalhães."/>
        <s v="(Thiago) Às 14:40h, usuária não atende à chamada."/>
        <s v="(Thiago) Às 14:45h, usuária não atende à chamada."/>
        <s v="(Thiago) Às 17:53h, usuária não atende à chamada."/>
        <s v="Joanna (15h): não atendeu"/>
        <s v="taty ( 08:36 ) paciente atendida na urgencia do HBL, hoje com queixas leves, repetirar USG com uma semana, possibilidade de aborto retido."/>
        <s v="Foi ontem à Policlínica e Maternidade Barros Lima, realizou USG que evidenciou descolamento/hematoma; orientada a permanecer em repouso absoluto e retornar para reavaliação em 10 dias. Prescrito Utrogestan 2x/dia."/>
        <s v="(Thiago) Às 15:50h, usuária não atendeu à chamada. Taty (18:50) nao atenddeu a chamada, dado falta "/>
        <s v="(Thiago) Às 15:10h, usuária não atende à chamada."/>
        <s v="(Thiago) Às 15:14h, usuária não atende à chamada."/>
        <s v="Taty ( 30/10 as 15:44) usuaria nao atendeu "/>
        <s v="Joanna (14h; 16h20): não atendeu"/>
        <s v="taty (16:20) monitoramentp realizado, paciente refere secreção e obstrução nasal, nega outras queixas "/>
        <s v="Taty ( 16:30) paciente nao atendeu"/>
        <s v="(Thiago) Às 18:20h, usuária não atende à chamada."/>
        <s v="Taty (30/10 as08:40) paciente nao atendeu "/>
        <s v="Taty (30/10 as08:43) paciente nao atendeu "/>
        <s v="Taty (30/10 as08:49) paciente nao atendeu "/>
        <s v="01/11: foi avaliada no CS Gaspar Regueira Costa dia 31/10 (1ª consulta de PN). Refere que não apresentava alteração dos sinais vitais, orientada acerca dos sinais de alerta e uso de sintomático. Nega sinais de alerta no momento e queixas obstétricas. Mant"/>
        <s v="Joanna (17h): não atendeu."/>
        <s v="31/10 - Joanna (8h30):  Não foi ao atendimento presencial. Refere melhora da cólica e mantém queixa de disúria. Encaminho para avaliação na APS."/>
        <s v="Joanna (10h20; 14h10; 17h): não atendeu"/>
        <s v="Usuária refere melhora dos sintomas, nega queixas obstétricas."/>
        <s v="Joanna (10h20; 16h11; 17h05): não atendeu"/>
        <s v="Joanna (14h30; 16h15; 16h43; 17h6): não atendeu"/>
        <s v="Joanna (17h): Alguém que não se identificou atendeu (parecia uma criança) e informou que ela estava no médico. Logo em seguida desligou e não atendeu mais."/>
        <s v="``As 18h15 Não atende."/>
        <s v="Às 14:40, telefone desligado ou fora de área."/>
        <s v="Às 17h50 não atende."/>
        <s v="Fabiane (10:00) Gestante refere que não conseguiu ir para a avaliação presencial ontem. Matenho orientação de ir para o presencial."/>
        <s v="10/11/23, definido junto à coordenação não realizar monitoramento dos casos fora do ciclo grávido puerperal."/>
        <s v="TATY (16H) Paciente nao atendeu ( Dada falta em 11/11/023, apos 1 tentativa) "/>
        <s v="taty (18:32) Paciente nao atendeu (Falta dada)"/>
        <s v="Atendimento medico realizado ( ianne)"/>
        <s v="15/11 (Joanna): realizou TR gravidez (14/11) com resultado positivo; foi à USF em busca de atendimento (14/11), porém, refere que não foi bem acolhida, o atendimento foi realizado fora da sala de atendimento, informada que poderia realizar uma USG no part"/>
        <s v="(Thiago) Às 15:00h, usuária não atende à chamada."/>
        <s v="(Thiago) Às 17:00h, usuária não atende à chamada."/>
        <s v="(Thiago) Às 17:20h, usuária não atende à chamada."/>
        <s v="Usuária encontrou para teleconsulta na demana noturna"/>
        <s v="22/11 (taty) monitoramento realizado, paciente nao procurou atendimento na emergencia, permanece com sintomatologia "/>
        <s v=":taty (17:50) paciente nao atendeu"/>
        <s v="taty (17:54) paciente nao atendeu"/>
        <s v="(Thiago) Às 17:25h, usuária não atende à chamada."/>
        <s v="(Thiago) Às 14:50h, 17:30h, usuária não atende à chamada."/>
        <s v="Joanna (17h22): não atendeu"/>
        <s v="Joanna (17h25): parto cesáreo no HBL. Ambos seguem com BEG."/>
        <s v="Joanna (14h13; 16h3517h13): não atendeu"/>
        <s v="(Thiago) Às 13:30h, 15:00h, 16:30h, telefone indisponível."/>
        <s v="Joanna (17h; 18h10): não disponível"/>
        <s v="Joanna (18h12): indisponível"/>
        <s v="Foi à Upinha Eduardo Campos (local de funcionamento provisório da USF Ponto de Parada), recebeu 1ª dose de Penicilina benzatina (07/12) e foi orientada a retornar próxima terça-feira para agendar consulta de pré-natal. "/>
        <s v="Entrou por demanda espontânea. Dinâmica uterina: 4/40&quot;34&quot;60&quot;59&quot;/10'; MF reduzida. Foto do absorvente com líquido de aspecto acastanhado."/>
        <s v="Foi ao Hospital Guararapes em Prazeres, constatou-se presença de sangue nas fezes, prescrito Azitromicina 500 mg 1x/dia por 5 dias, Floratil 2x/dia por 3 dias. Refere que apresenta melhora do quadro clínico, nega presença de evacuações aquosas desde ontem"/>
        <s v="Gestante atende a ligação, mas diz que está sem internet, por isso faço o monitoramento por ligação telefônica. Confirma que foi atendida na APS ontem, conforme orientação de Thiago. Iniciou o tto para o corrimento ontem. Ainda está com os mesmo sintomas,"/>
        <s v="Telemonitamento realizado, consulta presencial amanha pela manha"/>
        <s v="16/12 - refere melhora considerável dos sintomas, mantém um pouco de coriza e apresentou episódio de tontura após jejum prolongado. Informo realização de novo monitoramento em 17/12 (7º dia de inicio dos sintomas)."/>
        <s v="Refere que foi atendida hoje na USF Chão de Estrelas, prescrito Amoxicilina e Dipirona. Sem novas queixas no momento."/>
        <s v="Encontra-se internada no Hospital da Mulher do Recife. Informação fornecida pelo esposo Edimilson."/>
        <s v="16/12 - Refere que foi à USF Sítio Cardoso, porém, não tinha nenhum profissional disponível para atendimento (estavam em um curso). Foi atendida no dia seguinte (15/12) na Policlínica Lessa de Andrade. No momento não apresenta queixas."/>
        <s v="16/12 - Foi atendida no IMIP (14/12), fez uso de Tramal e Dipirona. Refere que está sem queixas no momento. "/>
        <s v="Foi atendida na USF Rosa Selvagem, fornecido atestado médico de 5 dias. Mantém coriza, nega outras queixas e sinais de alerta. Encontra-se no 5º dia do início dos sintomas (D0 - 11/12)._x000a_"/>
        <s v="(Thiago) Às 16:00h,18:00h, usuária não atende à chamada."/>
        <s v="Às 16h25, telefone dá sinal de ocupado."/>
        <s v="(Camilla) 15h11 Gestante foi atendida na Bandeira Filho e testada para COVID, com resultado negativo. Hemograma também coletado sem alterações. Agendo monitoramento em 48h para avaliar evolução do quadro."/>
        <s v="(Thiago) Às 15:00h, 16:00h, gestante não atende à ligação."/>
        <s v="Refere parto vaginal sem intercorrência na Maternidade Arnaldo Marques, sem queixas no momento. RN em bom estado geral e em AME."/>
        <s v="Refere parto vaginal, sem intercorrências, RN do sexo masculino, nega queixas no momento. "/>
        <s v="(Thiago) Às 13:44h, 16:10usuária não atende à ligação."/>
        <s v="Gestante mantém quadro de pródromos, oriento quanto TP e sinais de alerta."/>
        <s v="(Thiago) Às 13:50h,16:00h usuária não atende à ligação."/>
        <s v="(Thiago) Gestante refere melhora dos sintomas, realizou avaliação em sua USF."/>
        <s v="(Thiago) Às 14:53h, 16:50h, gestante não atende à ligação."/>
        <s v="(Thiago) Às 17:00h, suária não atende à chamada."/>
        <s v="(Thiago) Às 17:08h, suária não atende à chamada."/>
        <s v="Joanna (17h41): não atendeu (Falta registrada no PEC)"/>
        <s v="(Thiago) Às 15:00h, 17:10h, não consigo contato com a usuária."/>
        <s v="(ianne) 13h paciente não atende"/>
        <s v="(Thiago) Às 14:40h, 16:00h, usuária não atende à chamada."/>
        <s v="Permanece com tosse, nega sinais de alerta e queixas obstétricas"/>
        <s v="02/01 - foi ao HMR. Mantém sangramento discreto, realizará USG hoje."/>
        <s v="Joanna (14h42; 17h4): não atendeu"/>
        <s v="Joanna: Assintomática, D4 hoje. "/>
        <s v="Paciente procurou atendimento, descartado TVP. Nervo ciático? Apresenta melhora da dor. "/>
        <s v="Refere que USG realizada em 02/12 evidenciou gravidez ectópica. Encontra-se no Hospital da Mulher do Recife."/>
        <s v="Taty(16:22) nao atendeu a ligação"/>
        <s v="Parto vaginal dia 03/01 na Maternidade Barros Lima. "/>
        <s v="Foi ao Hospital Barão de Lucena, nenhuma anormalidade foi identificada. Hoje fez consulta de PN na APS. Nega queixas obstétricas e sinais de alerta."/>
        <s v="Joanna (17h10): não atendeu (registro falta no PEC)"/>
        <s v="Joanna (17h12): não atendeu (registro falta no PEC)."/>
        <s v="(Thiago) Às 14:00h, 16:00h, o telefone da usuária não está recebendo ligação."/>
        <s v="Refere melhora do corrimento vaginal, não foi à USF, aguardará consulta de PNAR (11/01)."/>
        <s v="Joanna (17h30): telefone indisponível (falta registrada no PEC)"/>
        <s v="Taty (12:40) paciente refere melhora da sintomatologia,"/>
        <s v="Joanna (15h): não atendeu (Falta registrada no PEC dia 13/01)"/>
        <s v="(Thiago) Às 16:00h, 17:00h, usuária não atende à chamada."/>
        <s v="12/01 :taty (13:17) paciente nao atendeu (Falta registrada no PEC dia 13/01)"/>
        <s v="taty (16:09) paciente nao atende "/>
        <s v="Joanna (14h; 15h16): não atendeu (Falta registrada no PEC)"/>
        <s v="(Thiago) Às 17:30h, o telefone da usuária não está recebendo ligação."/>
        <s v="Joanna: Refere que foi ao HMR, foi diagnosticada com ITU, prescrito Cefalexina 500mg de 6/6h por 7 dias (iniciou tratamento)+ Buscopan. Relata que na triagem foi informada de PA 140 x 80 (não tem registro para comprovar). Nega que tenha sido realizada alg"/>
        <s v="taty (16:04) usuaria não atendeu (Thiago) Às 17:44h, usuária não atendeu."/>
        <s v="taty (16:07)paciente refere melhora dos sintomas, porem nao procurou a aps para aferir a pressão "/>
        <s v="Taty (15:39) usuaria nao atende (Falta registrada no PEC)"/>
        <s v="Encontra-se internada no Hospital das Clínicas para indução do parto."/>
        <s v=" "/>
        <s v="Joanna (14h46; 17h): não atendeu (falta registrada no PEC)"/>
        <s v="Joanna (17h): não atendeu (falta registrada no PEC)"/>
        <s v="(Thiago) Às 13:34h, usuária não atende à ligação."/>
        <s v="17h Camilla Gestante não atendeu. "/>
        <s v="Camilla (17h) Não atendeu"/>
        <s v="Taty( 13:44) paciente procurou atendimento como orientado, inicio de atb e melhora da febre e cefaleia, permanece com obstrução e seceção. "/>
        <s v="(Thiago) Às 17:00h, telefone encontra-se indisponível."/>
        <s v="Camilla (18:00) Gestante não atendeu."/>
        <s v="(Thiago) Às 16:42h, gestante foi atendida na Bandeira Filho, avaliada e liberada para casa em seguida."/>
        <s v="(Camilla) Gestante foi ao Hospital das Clínicas, foi avaliada e liberada (trabalho de parto inicial)."/>
        <s v=" Foi atendida na Policlínica e Maternidade Barros Lima, apresentou PA normal (não lembra o valor), orientada quanto ao uso do Paracetamol, não realizou exames. Sente-se cansada e sonolenta, refere melhora da cefaleia, nega sinais de alerta. Hoje PA = 143 "/>
        <s v="(Thiago) Às 17:38h, não consigo contato com a usuária."/>
        <s v="(Thiago) Às 18:00h, usuária realizou atendimento no HMR, sendo liberada em seguida. No momento, assintomática."/>
        <s v="(Thiago) Às 15:52h, o telefone da usuária não está disponível para receber chamadas."/>
        <s v="(Thiago) Às 15:55h, o telefone da usuária não está disponível para receber chamadas."/>
        <s v="(Thiago) Às 17:30h, usuária realizou atendimento na Bandeira Filho, foi liberada em seguida, sagramento ainda persiste."/>
        <s v="(Thiago) Às 15:15h, usuária não atende à chamada."/>
        <s v="Gestante atende e informa que foi avaliada ontem na Maternidade, onde foi vista dilatação de 4-5cm e liberada. Hoje as contrações estão menos frequentes. Nega outras queixas e aguarda o desencadeamento do TP ativo em casa. Encerro o caso."/>
        <s v="taty (13:30) paciente apresentando sangramento e presença de coagulos ,provavel aborto "/>
        <s v="Gestante refere que durante o mobilograma, identificou 5 movimentos fetais. Encaminho para avaliação presencial na maternidade e agendo monitoramento para amanhã."/>
        <s v="Taty ( 16:29) paciente atendida no HMR, dor pelvica, medicada e orientada repouso."/>
        <s v="ianne (14h10) paciente não atende.  Mas PEC ela foi acolhida e avaliada hoje pelo APS."/>
        <s v="Gestante refere alívio da cefaleia. Alta do episódio. "/>
        <s v="Joanna (14h) paciente não atendeu Taty ( 15:35) iniciou tratamento para ITU, refere cefaleia leve "/>
        <s v="Aborto confirmado na Maternidade Bandeira Filho (20/02)."/>
        <s v="(Thiago) Às 17:30h, não consigo contato com a usuária."/>
        <s v="Taty (12:40)Paciente refere melhora dos sintomas, hoje apresentou 2, nega nausea e vômitos, tontura, cefaleia, febre, sangue nas fezes e outros sintomas/sinais de alerta. nega perdas vaginas e queixas urinarias; Refere boa movimentação fetal e boa aceitaç"/>
        <s v="(Thiago) Gestante realizou atendimento presencial como orientado pelo AG, testou negativo para covid19. Refere lehoras dos sintomas."/>
        <s v="Camilla (27/02 - 08h37) Telefone ocupado (taty-16:48) sem sucesso-chama e cai nao recebe ligação? "/>
        <s v="taty (15:32) paciente não atendeu, (Thiago) Às 16:36h, paciente não atendeu."/>
        <s v="ianne (15h40) paciente não atende"/>
        <s v="(Thiago) Gestante refere melhora das dores."/>
        <s v="Joanna: Refere melhora da cefaleia. PA 110 x 80."/>
        <s v="Apresentou febre ontem, foi à Policlínica e Maternidade Arnaldo Marques, prescrito Dipirona e Histamin. Refere melhora da tosse e febre. Mantém coriza e congestão nasal. Nega sinais de alerta e outras queixas obstétricas. Cd: Oriento paciente sobre sinais"/>
        <s v="Encontra-se no 3º dia de inícios dos sintomas, mantém tosse, nega sinais de alerta e queixas obstétricas. Cd: Oriento sinais de alerta; realizar TR Covid."/>
        <s v="taty (16:40) paciente nao atendeu "/>
        <s v="Taty (16:38) paciente nao atendeu "/>
        <s v="Joanna (16h): não atendeu"/>
        <s v="Monitoramento realizado. Refere melhora dos sintomas da mastite. Novo monitoramento amanhã E AGENDADA TINC com médico da equipe para passar o caso. Consulta puerperal domiciliar à ser realizada pela equipe da APS em breve."/>
        <s v="Refere mamas flácidas, macias e sem eritema. Sem novas queixas."/>
        <s v="Foi à consulta de PN no CS Prof Joaquim Cavalcante; prescrito Metronidazol. Já iniciou tratamento. Nega novas queixas."/>
        <s v="(Thiago) Às 17:00h, usuária não atendeu à chamada."/>
        <s v="(Thiago) Gestante refere melhora dos sintomas."/>
        <s v="(Thiago) Às 17:30h, paciente informa que não melhorou da odontalgia, procurará a urgência amanhã pela manhã."/>
        <s v="(Thiago) Às 18:00h, usuária não atendeu à chamada."/>
        <s v="Foi atendida na USF Três Carneiros de Baixo Zumbi do Pacheco (12/03), prescrito Nitrato de Miconazol (iniciará uso hoje). Nega novas queixas e sinais de alerta."/>
        <s v="14:25 (Camilla) Gestante não atendeu"/>
        <s v="Encontra-se no 2º dia de uso da Loratadina, refere melhora do prurido e nega aparecimento de novas lesões. Observa que as lesões estão mais claras. Nega novas queixas e sinais de alerta."/>
        <s v="15:43 (taty) Paciente nao atendeu"/>
        <s v="16:45 (taty) Foi à Maternidade Barros Lima, realizou USG obstétrica (bolsa integra) e reavaliação. relata que melhorou dos sintomas gripais, porem esta de repouso, pois colo fino (SIC). nega queixas obstetricas e urinarias "/>
        <s v="15:45 (taty) Paciente internada na Maternidade Bandeira Filho, devido a mastite, refere esta em uso de dois antibioticos venosos, aguardando USG para definição de conduta, RN com a paciente"/>
        <s v="14:56 ( taty) Paciente nao procurou atendimento, refere melhora na Odontalgia, relatando  contrações irregulares (4 contrações hoje) boa vitalidade do feto, sem queixas obstetricas e urinarias "/>
        <s v="Nayale (17h00): Não atendeu à chamada (tentado 2x)"/>
        <s v="Nayale (17h06): Não atendeu à chamada (tentado 2x)"/>
        <s v="Nayale (14:32 e 17:08):Puérpera não atendeu à chamada (tentado 3x)"/>
        <s v="Foi à USF ontem, porém, não aguardou atendimento devido superlotação. Retornará amanhã (22/03) para nova tentativa. Refere melhora do corrimento vaginal, mas mantém prurido. Nega aparecimento de sintomas e sinais de alerta."/>
        <s v="17:25 (Nayale) Retorno ligação, mas gestante não atende às chamadas (tentado 3x)."/>
        <s v="Joanna (16h; 17h15): não atendeu"/>
        <s v="Rhayza (16:28) : nao atendeu. Joanna (17h16): não atendeu"/>
        <s v="(Lili) 14:28 Gestante não atendeu. "/>
        <s v="16h Paciente sem queixas. Avaliada hoje na unidade. Monitoramento em 2h"/>
        <s v="Joanna (23/03 - 11h; 16h30): não atendeu (falta registrada no PEC)"/>
        <s v="Nao atendeu/Ocupado (15:30) Rhayza"/>
        <s v="Não atendeu (15:32)"/>
        <s v="Em 24/03 foi à UPA de Torrões devido falta de ar. Foi avaliada e orientada quanto os sinais de alerta, recomendado uso de sintomáticos. Refere que se sente melhor. Mantém tosse produtiva, congestão nasal. Nega dispneia, febre e outros sinais de alerta. Se"/>
        <s v="Lili (15:13): Paciente refere "/>
        <s v="Puérpera tirou os pontos em casa, com a irmã que é técnica de enfermagem. FO com bordas coaptadas, porém, drenando secreção seropurulenta em pouca quantidade. Nega dor local, nega febre. Encaminho à urgência."/>
        <s v="Rhayza (14:07) não atendeu"/>
        <s v="Rhayza (14:03) não atendeu "/>
        <s v="8h40 (Lari) FO com bom aspecto. Oriento seguimento puerperal. Ag avaliação da FO pelo posto. No momento, sem sinais de infecção."/>
        <s v="A gestante entrou em contato via demanda espontânea após ser realizado o registro de falta. informa que não foi ao serviço de saúde e que irá amanhã na Maternidade Prof. Bandeira Filho. Refere aumento da quantidade corrimento vaginal de aspecto leitoso e "/>
        <s v="Às 15h, telefone não completa a ligação"/>
        <s v="15:19 ( taty) FO sem sinais Flogidtico, dada orientaçoes quanto a assepsia de FO"/>
        <s v="Rhayza (17:20) nao atendeu"/>
        <s v="15h10 (Camilla) telefone não completa a ligação (tento do fixo e do microsip)"/>
        <s v="12:30( taty)  hoje no d8, nega febre, cefaleia , fadiga,  relata melhora da tosse e secreção ,nega queixas urinarias e obstétricas  e refere que esta há 2 dia sem usar a dipirona e seu esposo realizou teste para o covid com resultado negativo"/>
        <s v="(Thiago) Às 14:40h, paciente não atendeu."/>
        <s v="(Thiago) Às 14:50h, telefone desligado/indisponível."/>
        <s v="Realizar novo monitoramento em 12/04"/>
        <s v="Rhayza (16:15) não atendeu"/>
        <s v="Rhayza (16:24) ocupado "/>
        <s v="(Thiago) Às 17:30h, paciente não atende."/>
        <s v="(Thiago) Às 17:40h, paciente não atende."/>
        <s v="17h (Camilla) Ligação não completa. "/>
        <s v="Refere melhora dos sinatomas. Sem novas queixas e sinais de alerta."/>
        <s v="Rhayza (16:25) nao atendeu "/>
        <s v="(Thiago - 14:00h, 16:50h) Usuária não atende à chamada."/>
        <s v="Joanna (14h09; 16h53): não atendeu"/>
        <s v="Mantém coriza, tosse, congestão nasal, dor de garganta. Descartado perda de LA (atendida na Maternidade). Esqueceu de pedir atestado médico. Nega sinais de alerta. Encaminho para teleconsulta com Damartine. "/>
        <s v="Realizar novo monitoramento em 24 h"/>
        <s v="Rhayza (16:18) ocupado "/>
        <s v="18:07 Encontra-se internada no HBL. Encerro monitoramento. "/>
        <s v="Registro feito no dia 18/04"/>
        <s v="Hoje, D8 de início dos sintomas gripais, refere que mantém tosse esporádica. Nega queixas obstétricas e sinais de alerta. Finalizo telemonitoramento"/>
        <s v="15:35 (taty) paciente nao atendeu e nao interagiu pelo hopchat; Joanna (16h50): não atendeu"/>
        <s v="Não foi à avaliação presencial devido melhora da dor em baixo. Refere discreta dor ao urinar, dor em loja renal há 1 dia, cefaleia e dois episódios de vômito. Cd: Encaminho à maternidade."/>
        <s v="Taty (15:32; 17h08) paciente não atendeu ---&gt; falta registrada no PEC"/>
        <s v="Taty (15:34) paciente não atendeu; Joanna (17h10): não atendeu ---&gt; Falta registrada no PEC"/>
        <s v="(Thiago - 14:10h, 16:55h) Usuária não atende à chamada."/>
        <s v="Rhayza (17:06) Internada no HMR devido PA."/>
        <s v="Não atendeu."/>
        <s v="10h30 Paciente refere dor lombar importante associada a febre não aferida. Opto por encaminhar a avaliação presencial"/>
        <s v=" 16:50 ( taty) Paciente no momento do monitoramento se encontrava em atendimento no CISAN . Companheiro refere perda de tampao mucoso e contraçoes ritimadas e dolorosa "/>
        <s v="15:42 (Taty) Paciente não atendeu "/>
        <s v="Não atendeu"/>
        <s v="Lari (14h) não completa chamada"/>
        <s v="Taty ( 14:21) Paciente Procurou a APS, hoje apresentou 1 epsodio de diarreia, refere melhora da nausea e colicas, nega febre  e queixas obstetricas   "/>
        <s v="16:14 (taty) refere que procurou atendimento presencial e melhoras do sintomas "/>
        <s v="13:48 Não atendeu (Camilla)"/>
        <s v="(Thiago) Às 15:20h, paciente não atendeu à chamada."/>
        <s v="(Thiago) Às 15:23h, paciente não atendeu à chamada."/>
        <s v="Rhayza (16:11) nao atendeu"/>
        <s v="Rhayza (16:15) nao atendeu"/>
        <s v="Rhayza (17:25) nao atendeu"/>
        <s v="Encontra-se aguardando resultado de exames laboratoriais na Maternidade Arnaldo Marques. Refere melhora dos sintomas após administração de medicações (não sabe quais medicações foram administradas) e desaparecimento das manchas no abdome."/>
        <s v="17:00h (Thiago) Não atende à chamada"/>
        <s v="14:27 (Taty) Refere que foi descartado dengue, na Maternidade Arnaldo Marques, onde  ealizou hemograma e SU. hoje nega febre, manchas pelo corpo, nausea e vômitos,  nega  queixas obstetricas e urinaria "/>
        <s v="16:50 ( Taty)  Paciente não atendeu "/>
        <s v="Rhayza (15:57) nao atendeu"/>
        <s v="16:08 ( taty)  paciente procurou atendimento presencial , onde foi avaliada e liberada, nega queixas urinaria, sangramento e perda de liquido, refere MF presente"/>
        <s v="Joanna (13h25; 17h06): não atendeu"/>
        <s v="Joanna (14h40): não atendeu; 16:34 (Taty) Paciente não atendeu"/>
        <s v="14:43(taty) Paciente não atendeu 16:55 ( Taty) Paciente mão atendeu "/>
        <s v="14:33h (Thiago) Telefone fora de área."/>
        <s v="16:43 (taty)Contração + lombalgia , sem perda de liquido ou sangramento, sem queixas urinarioas  e  MF presente, encaminho a maternidade "/>
        <s v="18:27h (Thiago) Não completa a chamada"/>
        <s v="16:00 (taty) paciente não atendeu"/>
        <s v="17:07 (taty) paciente sem queixas, porem angustiada"/>
        <s v="Joanna (16h): indisponível"/>
        <s v="Joanna (14h27; 17h08): não atendeu"/>
        <s v="Joanna (14h30; 17h09): não atendeu"/>
        <s v="16:27 (Taty) paciente não atendeu"/>
        <s v="14:00h (Thiago) Usuária não atende a chamada."/>
        <s v="14:10h (Thiago) Usuária não atende a chamada."/>
        <s v="18:00 (Camilla) Não atendeu"/>
        <s v="Rhayza (17:15) nao atendeu"/>
        <s v="Rhayza (16:16) não atendeu "/>
        <s v="Rhayza (17:46)"/>
        <s v="16:11h (Thiago) Não atende a ligação."/>
        <s v="(Thiago) 13:30h Telefone ocupado, paciente não atende a chamada."/>
        <s v="(Rhayza) 16:45 Não atendeu"/>
        <s v="Monitoramento realizado. Realizar novo monitoramento 27/05"/>
        <s v="(Rhayza) 16:49"/>
        <s v="17:00h (Thiago) Nao atendeu a chamada."/>
        <s v="16:10h (Thiago) Não atende a ligação."/>
        <s v="11:00h (Thiago) Nao atendeu a chamada."/>
        <s v="16:50h (Thiago) Não completa a ligação."/>
        <s v="17:00h (Thiago) Gestante compareceu à sua unidade e foi orientada a retornar amanhã."/>
        <s v="15:40 (Thiago) Paciente não atendeu."/>
        <s v="Joanna (17h): não atendeu"/>
        <s v="Rhayza (14: 54) Não atendeu"/>
        <s v="(Thiago) 14:50h, não atendeu."/>
        <s v="Rhayza (14:57) Nao atendeu  "/>
        <s v="Foi atendida na USF. Refere melhora considerável. "/>
        <s v="Rhayza (17:15) sem conseguir contato telefonico"/>
        <s v="14:19 ( taty) paciente não atendeu "/>
        <s v="(Thiago) Não completa a ligação."/>
        <s v="(Camilla) Às 16h. não completa a ligação."/>
        <s v="17:00h (Thiago) Não completa a ligação."/>
        <s v="18h (Camilla) Chama duas vezes e cai ligação."/>
        <s v=","/>
      </sharedItems>
    </cacheField>
    <cacheField name="OBS" numFmtId="0">
      <sharedItems containsBlank="1" containsNumber="1" containsInteger="1" containsMixedTypes="1" count="409">
        <m/>
        <s v="Realizado telemonitoramento 03/01 as 15h. Encerrado do telemonitoramento"/>
        <s v="Enfermeira da Unidade"/>
        <s v="Agente de saúde; o PEC foi registrado pelo login do telessaude. "/>
        <s v="Foi ofertado TINC, porém não foi enviado a notificação de atendimento para o profissional (DS VII) visto que estamos aguardando confirmação de como será a notificação para os profissionais dos demais DS"/>
        <s v="LANÇAMENTO"/>
        <s v="ficou sabendo pela propaganda"/>
        <s v="Gestante de rede privada - Hapvida"/>
        <s v="Faz PN CS Olinto - Lessa de Andrade"/>
        <s v="Gestante de rede privada. Sobre monitoramento, quando for identificado indicação de monitoramento que não esteja enquadrado dentro do fluxo, deixar registrado o motivo do monitoramento."/>
        <s v="- Oriento repetir TR-gravidez, se positivo agendar consulta de pré-natal na US de referência ( US 108 CS Boa Vista); _x000a_- Informo que após parar o uso do anticoncepcional, bem como após uso da anticoncepção de emergência, pode acontecer irregularidade menst"/>
        <s v="Não foi enviado notificação para o profissional de referência porque na planilha de cadastro não tem contato"/>
        <s v="Paciente teve consulta em prenatal e realizado prescriçao de albendazol dia 06/06 por enf rose (PEC)"/>
        <s v="( ianne) 10h50 Ligo 3 x, nao atendeu"/>
        <s v="Rede Privada"/>
        <s v="Apoio emocional: refere muito medo de uma nova perda gestacional, considerando que teve 3 perdas anteriores a esta gestação."/>
        <s v="Monitorar final da tarde, tem consulta no pre natal as 13h- para checar se teve consulta. Paciente necessita de apoiio emocional ( historia traumatica em parto anterior"/>
        <s v="Apoio Emocional"/>
        <s v="Joanna: Registro atendimento realizado por Eliane, visto que ela não consegue editar a planilha. "/>
        <s v="Foi encaminhada ao SPA da Barros Lima (Marta 10/06 - faz PN no Hapvida)"/>
        <s v="(MARCIA) Entra em contato com o número disponibilizado, pessoa (Andrea) informa que ela saiu e não consegue atender hoje. Oriento que caso necessite de atendimento novamante ela entra em contato pelo Atende Gestante. "/>
        <s v="Encaminhada à UPA Lagoa Encantada"/>
        <s v="Gestante reside em Jaboatão. Repassou endereço de Recife à recepção digital; durante anamnese informou endereço atual. Caso não registrado no PEC. "/>
        <s v="Faz PN no Hapvida"/>
        <s v="TINC realizada com monique, lesao Fibroma Mole, que geralmente aparece na vida adulta, que pode modoficar na gestação, se for desejo pode ser realizado pela prefeitura a retirada no ambulatorio de pequenas cirurgias. enf e medica do posto pode solicitar "/>
        <s v="Realizado TINC no mesmo momento do atendimento com a enfa Arianny"/>
        <s v="Reavaliar fluxo de corrimento* (Marta lembrete) "/>
        <s v="Atendimento feito por Lari e Registrado por Thiago (após às 19h)"/>
        <s v="Puerpéra (bebê com 38 dias)"/>
        <s v="Avaliar novos sintomas/solicitar códido e senha do exame para verificar no site do lab"/>
        <s v="Apoio Emocional - ansiedade relacionada ao TP, sofreu violência obstétrica, sofrimento no parto anterior"/>
        <s v="Apoio emocional - tristeza/ luto - natimorto"/>
        <s v="Ligar para: 81991724644 (número do namorado)"/>
        <s v="Não foi feito registro do telemonitoramento"/>
        <s v="Dandara estava dormindo na hora que liguei (08:20) e Neto pediu que ligasse às 10:00. "/>
        <s v="Tentar monitoramento 15/06"/>
        <s v="Sem registro das telecosnulta do dia 14/06 no pec"/>
        <s v="Tentar monitoramento 15/06 / PEC INSTAVEL SEM REGISTRO da cosulta anterior 14/06"/>
        <s v="PEC sem registro da consulta anterior"/>
        <s v="(Marta) Não consigo identifiquei equipe responsável pela usuária"/>
        <s v="Sem registro no PEC da teleconsulta realizada no dia 14/06. (MARTA) Usuária não é mais acompanhada pela USF Amaury de medeiros, se mudou, não enviado notificação."/>
        <s v="(ianne): paciente com 2 prontuarios, usar o do CNS. Não encontro registro de atendimento de ontem(Marta) Não consigo identifiquei equipe responsável pela usuária"/>
        <s v="(ianne) não encontro registro atendimento de eontem no pec"/>
        <s v="Rede privada (Marta) Sem registro do atendimento no PEC e não consigo identificar equipe para envio de notificação / Serviço privado HAPVIDA"/>
        <s v="Telemonitoramento do dia 14/06"/>
        <s v="(Marta) No momento o PEC não estava funcionando, oriento fazer o registro no dia 18/06 - dia do plantão."/>
        <s v="Usuária de PACS - ainda não iniciou o PN, no monitoramento verificar se usuária já sabe o profissional responsável para enviar notificação e realizar acompanhamento. Às 15:00h usuária informa que conseguiu falar com ACS e irá marcar consulta para semana d"/>
        <s v="Atendimento realizado dia 16/06 por Larissa sem PEC. Paciente G1, 37s6d por USG do cartao de PN com 10s4d, refere dor em BV, perda de TM, diarreia sem sangue ou muco e febre 38.9º (SIC). Refere boa MF. Oriento atendimento presencial. Informado monitoramen"/>
        <s v="Usuária ainda não iniciou o PN na USF de referência em Recife. Era moradora de Olinda e deu continuidade ao PN lá. "/>
        <s v="Usuária fazendo atendimento em clínica particular "/>
        <s v="Reside em Recife, mas está no Paraná a trabalho (retornará dia 13/07)."/>
        <s v="TINC realizada com o profissional."/>
        <s v="Paciente entra em contato pelo hopchat as 14h20, realizado telemonitoramento."/>
        <s v="ligar as 07:30 telefone da filha yasmin, paciente nao tem telefone, se passar do hoario o CAPS entrar em contato, para realizar o telemonitoramento "/>
        <s v="Ligar à tarde."/>
        <s v="Paciente deseja saber onde consegue fazer uma USG renal na rede. Acompanhada pelo SASSEPE e exame não estava disponível hoje. Ela tem estenose de JUP esquerda e apresentou dor em flanco direito hoje. "/>
        <s v="PEC sem funcionar a partir das 17h, não foi possivel colocar falta"/>
        <s v="Apoio Emocional. Pouco comunicativa, aparenta tristeza. Thiago (26/06/23); gestante relata que mãe e irmão apresentam os mesmos sintomas. "/>
        <s v="Preenchimento do nome da usuária"/>
        <s v="Gestante, IG = 30s6d (USG), residente no municipio de Jaboatão (informação confirmada durante videochamada e registro no cartão de PN), queixa-se de dor em BV esporádica, corrimento vaginal amarelado associado a prurido vaginal, congestão nasal e falta de"/>
        <s v="Sangramento (usuária ainda não iniciou o PN - foi hoje a unidade para realizar cadastro e agendar consulta)"/>
        <s v="Gestante com dificuldade de conexão para vídeo chamada. Conseguiu contato com celular de terceiros. É de área coberta, mas não iniciou pré-natal, IG 15s1d pela USG em 03/05/2023com 7s3d, queixa de náuseas e cefaleia, internamento em gestação anterior com "/>
        <s v="O telefone não é da gestante (não enviar link) Cel: 81996343446"/>
        <s v="Ligar para 997023914"/>
        <s v="(Marta) Gestante entrou como novo atendimento após 2 tentativas de contato/registrado como telemonitoramento."/>
        <s v="(Marta) Orientar que usuaria entre em contato com ACS ou vá a unidade tentar marcação de consulta com a outra enfermeira (Andrea está de férias mas informa que deixou tudo articulado com a colega da outa equipe)"/>
        <s v="No inicio do mês não conseguiu agendar PN devido indisponibilidade de profissional. Encaminhada ao CS para agendar PN e avaliação clínica."/>
        <s v="#TELEMONITORAMENTO ATENDE GESTANTE# Registro que paciente forneceu o consentimento verbal livre e esclarecido para a realização da modalidade de teleconsulta. Impossibilidade de  videochamada, realizado atendeimento por ligaçao. Idade Gestacional (23sem 5"/>
        <s v="paciente refere cefaleia e nega outras queixas, como ontem apresentou na maternidade 140*90, solicito ida ao posto para hoje e amanha para aferir a PA "/>
        <s v="Gestante com IG 15s3d pela DUM e 13s5d pela USG com 5s4d, G4 P2 (2PC) A1 (2022), Gravidez não planejada, usava ciclo 21, relata uso correto. Paciente atendida ontem e orientada ir na maternidade , mas nao foi por não ter quem ficque com filhos. Realata qu"/>
        <s v="Reação alérgica à Cefalexina."/>
        <s v="Ligar às 17h em 04/07/2023"/>
        <s v="Telemonitoramento (30/06): Foi à US e não foi avaliada. Mantém dor lombar que irradia para o BV, sensação de esvaziamento incompleto da bexiga, gotejamento pós-micção. Nega novos episódios de sangramento, último há 2 dias (descreveu como raios de sangue)."/>
        <s v="Telefone fixo e microsipp sem funcionar - tentar monitoramento 05/07"/>
        <s v="Gravides de risco habitual. Queixa: dor em BV intermitente e de forte intensidade há 1 dia + sintomas gripais iniciados em 26/06: dor de ouvido, desconforto na garganta, coriza. Nega sinais de alerta. Nega sintomas urinários, perdas vaginais, leucorreia, "/>
        <s v="Queixa: disúria, leucorreia. Nega perdas vaginais nos últimos 30 dias. USG (05/06) sugestiva de gravidez anembrionada (IG = 8s); USG (21/06): imagem sugestiva de embrião sem batimentos cardíacos (Ig = 6s6d). Cd: Encaminho à maternidade Barros Lima. Obs: E"/>
        <s v="6º dia pós-cesariana. Drenagem de secreção seropurulenta em FO. Encaminhada ao HBL. "/>
        <s v="(Marta) Telemonitoramento do dia 30/06 realizado 01/07 após novas tentativas. Colocado desfecho na conduta do monitoramento do dia 30/06"/>
        <s v="Gestante com 40s1d pela DUM (24/09/22) e USG 39s5d pela USG com 9s, procura o serviço com queixa de perda de líquido e tampão mucoso iniciada às 6h de hoje, juntamente a contrações dolorosas esporádicas. Nega sangramento, corrimento, queixas urinárias ou "/>
        <s v="Gravides de risco habitual. Queixa:dor de garganta, coriza, obstrução nasal. refere melhora da dor em BV . Cd: Da preferencia a calcinha de algodão,; não utilizar/ evitar  protetores diário, procurar dormir sem calcinha, Aplica creme vaginal antes de dorm"/>
        <s v="(Marta) O atendimento não ficou salvo no PEC, porém Thiago encaminhou o arquivo para usuária."/>
        <s v="Refere que em sua unidade é necessário marcar uma data para receber a medicação - registrado evento sentinela."/>
        <s v="Caso do Evento Sentinela - DSVII (paciente não é da área, deu endereo da mãe)"/>
        <s v="IG (DUM/USG): 8s4d/8s3d, G2 P0 A1 (aborto em fevereiro/2023); Condições de risco: nega. Intercorrências durante a gestação: nega. Em uso: Ácido fólico + Sulfato ferroso. Alergias: nega. Acompanhamento Pré-Natal:  USF Prof Antônio Francisco Areias (1ª cons"/>
        <s v="Acompanhamento PN: Não iniciou PN. Refere que conforme orientação recebida ontem, foi à Upinha Dia Jardim São Paulo para agendar 1ª consulta de PN, sendo informada que não havia disponibilidade para atendimento. Em razão disso, entrou em contato com o Ate"/>
        <s v="Gestante com IG 28s2d pela DUM e pela USG, G3 P2(2PN) A0, refere discreto alívio dos sinais e sintomas de candidíase genital por ter iniciado medidas de higiene e cuidados íntimos, porém não iniciou ainda tratamento medicamentoso por não ter adquirido cre"/>
        <s v="Oriento gestante com IG 23s5d pela DUM, G2 P0 A1, a se dirigir à Policlínica e Maternidade Arnaldo Marques, ou outro serviço de sua preferência para nova avaliação e substituição da referida prescrição para tratamento da otite, a mesma não encontra a medi"/>
        <s v="Gestante com 16s2d pela DUM e pela USG com 15s3d, G4 P3 (2PN 1PC) A0, procura o serviço com queixa de dor em baixo ventre tipo cólica de relacionada aos esforços. Nega queixas obstétricas como sangramento, perda de líquido ou corrimentos. Nega também febr"/>
        <s v="Apoio emocional."/>
        <s v="Gestante nega queixas obstétricas e gerais. Buscou o serviço para entender sobre grau de maturação da placenta e Golf Ball."/>
        <s v="TINC - Contato da paciente por PEC. Monitoramento para avaliar se melhora de emese. TINC com Clarice marcada para dia 13/07. Enf andrea 81992751576"/>
        <s v="Fazer a tarde. Pela amnha paciente vai para maternidade"/>
        <s v="Checar se realizaçao de Exame (uroc) e sintomas. Se iniciado disuria, passar ela para rose ou mari fazer ATB"/>
        <s v="Fazer às tarde"/>
        <s v="Às 14h - Resumo atendimento: Gestante G1 P0 A0 24s, com dor lombar, sem outras queixas associadas. Oriento tomar 1g de dipirona e repouso. Às 14h reavaliar. PNAR NA BARRO LIMA DEVIDO HAS E OBSESIDADE."/>
        <s v="Paciente refere melhora nos sintomas e nao realizou a urocultura como solicitado. Oriento quanto a importancia da realização do exame e informo monitoramento ."/>
        <s v="Fez o primeiro atendimento e encaminhou para Ianne"/>
        <s v="Usuária do CS José Dustan - "/>
        <s v="Ligar as 15h. Paciente procurou o atende gestante com queixas de cefaleia intensa há 3dias, otalgia E, dor nos seios da face, apresentou 1 episódio de vertigem nega febre, falta de ar.Encaminho paciente para avaliação presencial, devido a cefaleia intensa"/>
        <s v="Paciente nao procurou atendimento presencial como orientado , porem hoje refere melhora dos sintomas. seguindo o protocolo para sintomais gripais. encaminho paciente para atendimento presencial e tr para COVID "/>
        <s v="paciente procura o Atende gestante com queixa de prurido (nao sabe se por conta da tricotomia) e corrimento tipo nata ( oriento procurar APS para exame especular como no fluxo  e necessidade de tratamento"/>
        <s v="Profissional assistente ciente do caso pois recebeu notificação, realizado discursão do caso"/>
        <s v="Aguardo resposta do evento sentinela."/>
        <s v="17/07 - Taty relizou monitoramento e usuária estava sendo atendida no IMIP"/>
        <s v="Joanna fez novamente em 19/07"/>
        <s v="Paciente reside em agua fria, mas optou por continuar PN paulista"/>
        <s v="Atendimento estava registrado como monitoramento."/>
        <s v="Apoio Emocional - A coordenação de saúde da mulher (DS I): já articulou agendamento da consulta de PN e consulta com psicologo. Paciente já está ciente."/>
        <s v="paciente com 41s ( estava com encaminhamento da aps, nega perdas vaginais, contração irregulares, indolor, porem duradoras (50´´) "/>
        <s v="Teleconsulta x teletriagem (Marta lembrar/Alany/Kleber)"/>
        <s v="Aguardo retorno sobre evento sentinela. Inclusive pelo histórico já foi realizado um evento sobre esse caso. "/>
        <s v="Foi atendida dia 27 via demanda espontânea"/>
        <s v="Vamos monitorar com 1 semna devido paciente internada com 31semanas para ontrole pressorico. Escolhemos 1 semanas devido ao internamento provavevlmente ser mais prolongado. Se tiver alta dar apoio em relaçao ao controle pressorico, se tiver bebe vamos ofe"/>
        <s v="Marta -  Reportado evento sentinela DSVI - USF Pina"/>
        <s v="Usuária impossibilitada de atender à vídeo chamada, solicita que retornemos a ligação às 14h."/>
        <s v="Usuária solicita contato às 14:30h."/>
        <s v="Marta - para identificar até onde fiz a atualização dos dados de: &quot;Mora em área de ESF&quot; // 04/08 (Lari) Telefone desligado"/>
        <s v="Marta - para identificar até onde fiz a atualização dos dados de: &quot;Mora em área de ESF&quot; "/>
        <s v="telefone da mae da paciente "/>
        <s v="Secreção leitosa em pouca quantidade, sem prurido ou edema de genitália externa."/>
        <s v="Telefone so para ligação  (81994811870- TELEFONE DO ESPOSO QUE SE ESTIVER EM CASA RECEBE WHATZAPP) "/>
        <s v="Ligar às 15h para confirmação de acesso à UBS."/>
        <s v="Monitoramento em 17/08 para confirmação de acesso ao pré-natal em USF."/>
        <s v="Em 08/08/23 - Confirmar acesso a unidade de referência na APS; e em 10/08/23 - confirmar acesso a Arnaldo Marques em virtude da IG corresponder a 41s."/>
        <s v="Parto realizado há 9 meses"/>
        <s v="O número de telefone deste atendimento é da enfermeira da USF Adriana."/>
        <s v="Queixa: Presença de secreção com descrição compatível com tampão mucoso."/>
        <s v="Tentar monitoramento em 18/08/2023 para confirmar acesso ao PNRH em APS."/>
        <s v="Realizar telemonitoramento visto que perdeu seguimento no PN da APS e PNAR."/>
        <s v="Gestante iniciando pródromos do TP, ligar às 11h de hoje para avaliação do quadro."/>
        <s v="Usuária encaminhada à maternidade barros Lima por IG avançada 41s, confirmar acesso à maternidade."/>
        <s v="Sem vinculação a APS - registrado evento sentinela "/>
        <s v="CS Ivo Rabelo "/>
        <s v="Ligar às 15h, checar com a gestante os valores da curva glicêmica de hoja e amanhã e ver possibilidade de antecipação da consulta de PNAR."/>
        <s v="Ligar as 18h"/>
        <s v="ligar a tarde ( orientei realizar teste para COVID )"/>
        <s v="Ligar para confirmar acesso à maternidade Barros Lima."/>
        <s v="Ligar pela manhã para avaliar movimentação fetal. (Marta - gestante de área do Cs Pam Ceasa, porém faz PN particular)"/>
        <s v="Avaliar desconforto e dor por doença hemorroidária."/>
        <s v="(Marta - monitoramento era do dia 17/08)"/>
        <s v="Confirmar a realização do teste para covid 19. (Thiago) usuária fornece celular do companheiro para contato para vídeochamada - 81987066010."/>
        <s v="Gestante completa 41s em 22/08, feto pélvico, ligar para confirmar acesso à Maternidade Barros Lima."/>
        <s v="paciente nao procurou atendimento como orientado e apresentou queixas de tontura e vertigem aos esforços, referindo melhora na falta de ar "/>
        <s v="Fazer comparativo de FO e abdome. "/>
        <s v="Ligar às 15h. Gestante portadora de HASC, em uso de metildopoa 500mg/dia, apresentando cefaléia intensa. Ligar para confirmar acesso à Barros Lima - faltou 1ª consulta do PNAR no HMR."/>
        <s v="Ligar em 24/08/2023 "/>
        <s v="Ligar as 11h30"/>
        <s v="Reavaliar sinais e sintomas de gastroenterite."/>
        <s v="Confirmar acesso à Barros Lima - Pródromos de TP."/>
        <s v="Confirmar acesso à maternidade Arnaldo Marques - gestante com 40s5d, HASG e obesidade ( paciente com dois registros no PEC) ."/>
        <s v="Gestante em pródromos, confirmar se a paciente deflagrou o TP."/>
        <s v="monitoramento para observar aspecto da secreção ( referiu perda com presença de sangramento, porem na imagem encaminhada secreção Mucoide); "/>
        <s v="(Marta - Registro do dia 01/09 não foi realizado no PEC porque o mesmo estava fora do ar, Thiago não conseguiu realizar o registro tardio, informado 04/09). Monitorar acesso à APS, puérpera 16 dias pós PC aguarda visita da equipe da USF."/>
        <s v="Monitorar acesso à mat.Bandeira Filho, gestante 30sem com falta de ar; em PNAR, obesidade, HASG, Asma em tratamento."/>
        <s v="Realizado ajuste de medicações para crise de asma dia 01/09/23. Fazer contato com 48h para avaliar se precisa prolongar o tratamento/nova avaliação presencial. "/>
        <s v="Confirmar acesso a APS "/>
        <s v="Avaliar melhora das náusea e vômitos, em uso de plasil."/>
        <s v="Puérpera no 17º dia aguardando avaliação pós parto pela equipe na APS, FO secretiva, avliar em próximo monitoramento."/>
        <s v="09/09 (Joanna): Nega novos episódios de sangramento após o dia 02. Sem queixas. Oriento paciente sobre sinais de alerta;Oriento manutenção do PN na APS e no HMR"/>
        <s v="Realizo telemonitoramento em 09/09."/>
        <s v="O número na planilha é da familiar Adriana, pelo qual foi realizado o atendimento. Confirmar acesso à maternidade Arnaldo Marques."/>
        <s v="Gestante completa hoje 41s1d, confirmar acesso à maternidade Arnaldo Marques."/>
        <s v="Concluído monitoramento."/>
        <s v="Monitorar com 2 a 3 horas para reavaliar sinais e sintomas."/>
        <s v="O telefone que consta na planilha é de uma amiga do trabalho, Micheli, por onde foi efetuado todo atendimento por vídeo chamada. "/>
        <s v="Telemonitoramento do dia 04/09"/>
        <s v="Telemonitoramento do dia 03/09"/>
        <s v="Telemonitoramento do dia 02/09"/>
        <s v="Confirmar acesso à Barros Lima."/>
        <s v="Ligar às 18h para avaliar os pródromos."/>
        <s v="Ligar ao final da manhã, confirmar acesso à Maternidade Bandeira Filho, prodromos de TP e IG 41s ."/>
        <s v="Gestante na 32ª semana, com elevação dos níveis pressóricos. Ligar à tarde para confirmar acesso à maternidade."/>
        <s v="Ligar ao final da tarde para confirmar acesso ao PNAR."/>
        <s v="Encaminhada à Maternidade 36s3d com dor a cada 1h"/>
        <s v="Monitoramento realizado durante a TINC com profissional"/>
        <s v="Confirmar se a usuária conseguiu acesso à sua USF parta avaliação presencial."/>
        <s v="Ligar a tarde - checar atendimento em aps"/>
        <s v="Gestante participou de TINC sobre sua quadro de saúde, no momento sem queixas e assintomática."/>
        <s v="Realizado em 19/09"/>
        <s v="Monitoramento realizado durante TINC com a profissional"/>
        <s v="Não realizada em 18/09."/>
        <s v="Ligar dia 20/09 às 13h, por hoje (19/09) paciente estava no trabalho e não podia falar. Ligar para confirmar acesso à Bandeira Filho."/>
        <s v="Usuária informa que realizará consulta em sua USF de referência em 48h."/>
        <s v="Ligar às 9h (nº do telefone 99649-1398)"/>
        <s v="Monitoramento realizado dia 22/09"/>
        <s v="Ligar às 15h"/>
        <s v="Monitoramento realizado dia 24/09"/>
        <s v="Obs: a teleconsulta não foi finalizada, pois, usuário saiu do consultório digital e não consegui estabelecer nova comunicação, inclusive por telefone. Sendo assim, não foi possível informar acerca do telemonitoramento pela equipe do Atende Gestante em 24/"/>
        <s v="Monitoramento realizado dia 27/09"/>
        <s v="Gestante com sangramento ao evacuar. Encaminhada ao CISAM, devido a limitação de transporte."/>
        <s v="Gestante em fase inicial de TP. Confirmar acesso à Arnaldo Marques. "/>
        <s v="Ligar as 14 horas para confimar acesso na consulta da APS."/>
        <s v="Tentar em 02/10"/>
        <s v="Ligar às 12h, confirmar acesso à sua USF portando USG Endovaginal para reavaliação do quadro. "/>
        <s v="Ligar às 16h"/>
        <s v="Fabiane (11:50) Paciente estava no trabalho e refereiu que não podia atender a video chamada e que a equipe do atende gestante não precisava ligar em outro momento pois seu sangramenta já havia parado e ela já estava tentando agendar uma consulta presenci"/>
        <s v="Ligar para 99380-4960"/>
        <s v="Telemonitoramento realizado dia 05/10"/>
        <s v="Ligar às 14h"/>
        <s v="Gestante com IG 11s3d com 01 episódio de perda vaginal em &quot;borra de café&quot; extrememente discreta."/>
        <s v="Realizado em 10/10"/>
        <s v="Liguei pela manhã e a tarde, porém gestante estava aguardando atendimento na emergência."/>
        <s v="Ligar às 15h para reavaliar."/>
        <s v="Ligar às 15h para confirmar acesso. RPMO?"/>
        <s v="Nao foi gerado telemonitoramento, pois foi gerado tinc, e confirmado acesso "/>
        <s v="Confirmar acesso na APS para iniciar o pré-natal."/>
        <s v="ligar 11h para confirmar acesso"/>
        <s v="Ligar para confirmar acesso a Matrenidade + avaliar se melhora de sintomas (azia / refluxo). Caso não visualize prontuario pelo PEC, consegue ver pelo Hopchat."/>
        <s v="Telemonitoramento realizado em 14/10."/>
        <s v="Ligar após às 13:00h."/>
        <s v="Confirmar se o TP foi deflagrado."/>
        <s v="ligar às 13h"/>
        <s v="ligar para esse contato 81987608875"/>
        <s v="Paciente encerrou a chamada antes da colclusão do atendimento."/>
        <s v="Telemonitoramento realizado dia 21/10 por Tatyana"/>
        <s v="Telemonirotamento do dia 20/10"/>
        <s v="Ligar a partir das 14:00h, confirmar acesso à USF (realizar SU)."/>
        <s v="Ligar as 17h para 81996334713 ( o telefone cadastrado nao recebe ligação )"/>
        <s v="8h Telefone desligado"/>
        <s v="Ligar para 984411270."/>
        <s v="Monitoramento realizado dia 30/10"/>
        <s v="Ligar para 997106216; Telemonitoramento às 12h. Orientar a atualizar cadastro"/>
        <s v="11h"/>
        <s v="Gestante em TP, ligar por volta das 15h, para confirmar acesso a Barros Lima."/>
        <s v="(Thiago; 30/10/23) Às 11:20h, usuária não atende à ligação."/>
        <s v="(Thiago; 30/10/23) Às 11:38h, usuária não atende à ligação. Também foi realizado TINC com a médica Carolina Larré (Usuária é ACS e estava na USF."/>
        <s v="(Thiago; 30/10/23) Às 11:41h, usuária não atende à ligação."/>
        <s v="Monitorametno realizado dia 01/11"/>
        <s v="Monitoramento realizado 31/10"/>
        <s v="Gestante com DG, 40s2d, encaminhada ao HMR, ao término da TINC compartilhada, para avaliação obstétrica. Confirmar acesso."/>
        <s v="Monitoramento do dia 28/10"/>
        <s v="Não foi gerado monitoramento pela paciente não possuir número telefônico que receba ligação. Oriento que se caso precise, entre em contato novamente com o serviço."/>
        <s v="Monitoramento do dia 30/10"/>
        <s v="Mobilograma após refeição: 7 movimentos em 35 min. Diante do resultado do mobilograma, oriento que gestante siga observando a movimentação fetal e que se perceber novamente a diminuição busque atendimento presencial na Arnaldo Marques. - Mantenho 1 monito"/>
        <s v="06/11 (Lari) Paciente não atende"/>
        <s v="IG 22s3d, queixa de dor intensa em região dorsal direita, inclusive à palpação, área próxima ao ângulo costovertebral. Além disso, refere corrimento acastanhado observado hoje, ardência ao urinar há 2 dias, principalmente no final da micção. Cd: Enc à Pol"/>
        <s v="Confirmar aceso à USF de referência, usuária ainda sem consulta puerperal."/>
        <s v="Ligar só as 14h para confirmar acesso à USF de referência."/>
        <s v="Usuária encaminhada para UPA da Caxangá."/>
        <s v="Usuária encaminhada à sua USF para acolhimento pós abortamento de gestação desejada. Checar acesso."/>
        <s v="Gestante com IG 26s5d pela USG, com dores em BV- ameaça de TPP? Encaminhada à Bandeira Filho, checar acesso."/>
        <s v="Ligar às 17h"/>
        <s v="Atendimento realizado no dia 14/11 "/>
        <s v="Não é mais da área da USF Cosme e DAmião"/>
        <s v="Checar melhora do quadro de diarreia leve."/>
        <s v=" Ligar as 15 horas para checar acesso a maternidade. TPP? Ligar para o número 98966-7779"/>
        <s v="Ligar para o n° 98966-7779, reavaliar quadro clinico de dor pelvica."/>
        <s v="Gestante em fase latente do TP, BR, ancaminhada à Bandeira filho, checar acesso."/>
        <s v="Ligar à tarde para checar acesso."/>
        <s v="Ligar às 14h. Monitoramento não realizado, em virtude da indisponibilidade do microsip e dos telefones da EMPREL"/>
        <s v=" "/>
        <s v="Às 09:00h, 10:30h, 12:50h, 14:00h, 16:00h, Microsip sem funcionar."/>
        <s v="Monitoramento não realizado, em virtude da indisponibilidade do microsip e dos telefones da EMPREL"/>
        <s v="Ligar à tarde, checar acesso à APS."/>
        <s v="Ligar às 15h - avaliar mobilograma"/>
        <s v="De acordo com o ARCGIS a US de referência é a Policlínica Albert Sabin e acordo com o mapa de vinculação é o CS Prof Mário Ramos/CS Francisco Pignatari/EACS 5; 5.1; 5.2 - faço registro na planilha de pendência."/>
        <s v="Ligar entre 13h e 15h, gestante IG 18s6d, com odontalgia importante, encaminhada para tentar acessom em sua USF em 04/12, checar acesso."/>
        <s v="Gestante IG 36s4d, em TPP?, chacar acessoa à Bandeira Filho."/>
        <s v="Outro contato: 986887725. "/>
        <s v="Outro contato: 992521738 (marido - Leandro). Falta colocar falta no PEC"/>
        <s v="Ligar para  992062057 "/>
        <s v="Ligar pela manhã a partir das 8h, gestante com 31s3d, com cólicas, contrações, vômito e diarreia. Confirmar acesso à Bandeira Filho."/>
        <s v="Ligar qualquer horário, gestante IG 25s6d, TPP? diagnóstico de CA de colo uterino e endometriose (SIC). Confirmar acesso ao HMR."/>
        <s v="Contrações de Braxton-Hicks? / Início do trabalho de parto? Confirma acesso na Barros Lima."/>
        <s v="Telemonitoramento para: Confirmar o acesso à APS. Unidade da gestante é a Ponto de Parada que, em virtude da requalificação está funcionando provisoriamente na Upinha Eduardo Campos. Oriento que busque a Upinha para iniciar PN, tramento de sífilis e testa"/>
        <s v="Telemonitoramento para: avaliar sinais de trabalho de parto e/ou de alerta e necessidade de encaminhar a gestante para avaliação presencial. HD: GUTT + PROVÁVEL RPMO."/>
        <s v="Ligar a partir das 15h, gestante com IG 32s4d, com corrimento vaginal, checar acesso à sua USF."/>
        <n v="-999273159"/>
        <s v="Ligar as 11h para confirmar acesso"/>
        <s v="Checar acesso na Bandeira Filho."/>
        <s v="Checar acesso à Bandeira Filho."/>
        <s v="Verificar se houve substituição da Losartana pelo metildopa. Caso não atenha acontecido, reforçar recomendação de ir à USF na segunda. "/>
        <s v="Reavaliação - 7º dia de inicio dos sintomas."/>
        <s v="Confirmar se gestante conseguiu retomar o atendeimento no PNAR da policlínica do Pina. Concluído os registros no dia seguinte ao atendimento."/>
        <s v="https://prescricao.cfm.org.br/api/consulta-documento?sw=CFMftU8q5p"/>
        <s v="Ligar para 984388989. Checar acesso na APS."/>
        <s v="Checar acesso na APS. Tem consulta agendada na USF amanhã."/>
        <s v="Avaliar evolução do sangramento."/>
        <s v="Ligar às 14:30h"/>
        <s v="Paciente em TP encaminhada à Maternidade Arnaldo Marques, checar acesso."/>
        <s v="Avaliar quadro clínico"/>
        <s v="Ligar após as 11h - paciente vai colher teste de covid"/>
        <s v="Gestante com sinais de ITU, febre há dois dias. Checar acesso à Bandeira Filho."/>
        <s v="Gestante com sindrome gripal, covid19 positivo. Checar acesso à Bandeira Filho."/>
        <s v="Monitorar sintomas, covid19 positivo, D4 hoje."/>
        <s v="Falta registrada no PEC."/>
        <s v="Falta registrada no PEC"/>
        <s v="monitoramento a tarde - checar se melhorou dos episodios diarreicos e da dor. "/>
        <s v="Avaliar USG"/>
        <s v="Ligar para 99196186; encaminhada devido ausência de movimentos fetais a mais de 12h."/>
        <s v="Avaliar mobilograma"/>
        <s v="Ligar às 16h. Reavaliar se mantém cefaleia."/>
        <s v="Confirmar acesso (encaminha devido 4 MF em 1h)"/>
        <s v="Ligar para 98783-8957"/>
        <s v="Checar acesso à Bandeira Filho, ausência de MF."/>
        <s v="checar acesso; queda de altura, ausencia de MF e dor pelvica "/>
        <s v="Gestante em tratamento para ITU com nitrofurantoína, permenece com leve disúria, avaliar melhora dos sintomas."/>
        <s v="Monnitoramento do dia 07/01"/>
        <s v="ligar para esse contato 81987772073"/>
        <s v="ligar as 13- avaliar se melhora de dore/ diarreia e hidratacao. fiz o atestado de hj. Vai precisa fazeruroc daqui uma semana, nao solicitei pq ela tem consulta dia 16. "/>
        <s v="Ligar às 17h (confirmar acesso)"/>
        <s v="Telemonitoramento do dia 11/01 (não tinha registro de nenhuma tentativa e não tinha falta registrada no PEC)."/>
        <s v="Atendimento acordado com alany, paciente sem queixas, porem refer que esta gravida , descobriu a 2 meses, sem inicio de PN , has e DM , SIC enfermeira de ferias e sem exame de comprovação (perdeu o beta) "/>
        <s v="ligar a tarde para (81999474550)  confirmar acesso e gravidez"/>
        <s v="(Thiago) Às 16:45h, gestante não atende à chamada."/>
        <s v="Ligar à tarde para confirmar acesso a USF para ajuste da prescrição do Noripurum."/>
        <s v="Usuária com HAS, DM, obesidade; aguarda BHCG."/>
        <s v="Ligar para 98783-8957 (lembrar de fazer registro acerca do PNAR)"/>
        <s v="Ligar a tarde"/>
        <s v="Checar acesso à maternidade."/>
        <s v="esposo 81984353919 caso nao pegue o outro (para esse ligar apos as 17h)"/>
        <s v="ligar as 14h para 81994288154"/>
        <s v="Ligar às 17h para avaliar queixa e confirmar acesso a APS"/>
        <s v="Ligar às 17h para revaliar hiperemia e outros sinais flogísticos da mama direita. Avaliar a necessidade de avaliação presencial na UBS ou bando de leite."/>
        <s v="Ligar para o contato da irmã - Fabiana 999193216"/>
        <s v="Monitoramento a fazer em 09/02 Confirmar início do tratamento de ITU; lembrar de agendar um novo monitoramento para dia 09/02 para reforçar a coletar de urocultura."/>
        <s v="Ligar às 9h30, para confirmar o valor da PA que ela irá aferir na farmácia, além do alívio da cefaléia, após uso de dipirona agora."/>
        <s v="confirmar acesso á maternidade para avaliação presencial por inadequação do método"/>
        <s v="Ligar às 11h para avaliar sinais de TP e/ ou de alerta"/>
        <s v="ligar as 16:20 reavaliar,"/>
        <s v="Ligar às 17h, reavaliar melhora das cólicas."/>
        <s v="Ligar pela manhã, checar aceeso à Bandeira Filho."/>
        <s v="Ligar à tarde, checar acesso à Bandeira Filho."/>
        <s v="Ligar à tarde, checar acesso à urgência odontológica."/>
        <s v="Ligar as 10h Falar cm Marta primeiro - Preciso discutir o caso com quem for fazer o telemonitoramento"/>
        <s v="Ver vinculação à APS"/>
        <s v="Ligar para 99591-0580"/>
        <s v="Confirmar acesso ao PN da Bandeira Filho."/>
        <s v="Ligar às 12h"/>
        <s v="(Marta) Não realizado registro de formulário; não encontro registro de monitoramento no PEC, apenas de TINC. Foi realizado o monitoramento??"/>
        <s v="Reavaliar às 17h"/>
        <s v="Monitorar D4 de sintomas gripais, covig19 negativo."/>
        <s v="Ligar dia 27/02 para checar acesso"/>
        <s v="Gestante encaminhada para MBF, checar acesso."/>
        <s v="Monitoramento as 15h30"/>
        <s v="Ligar para 81998898692"/>
        <s v="Ligar para 994288154 -(Marta - ainda não iniciado PN pra enviar notificação)"/>
        <s v="Averiguar se conseguiu agendar consulta de PN na USF Macaxeira"/>
        <s v="Ligar para relembrar coleta de urocultura de controle"/>
        <s v="ligar as 11h, avaliar PA "/>
        <s v="Ligar para 81 996713494"/>
        <s v="Ligar às 11h --&gt; 81997635371"/>
        <s v="Monitorar até o D8 diariamente, hoje D5"/>
        <s v="Ligar para relembrar coleta de urocultura de controle, agendada para 20/03"/>
        <s v="Ligar a partir das 14h."/>
        <s v="(Thiago) A gestante foi encaminhada para APS, sugiro ligar à tarde."/>
        <s v="Checar acesso à urgência odontológica, ligar após as 14h."/>
        <s v="Não consegui inserir a falta da gestante na agenda por falta de acesso. Registro aqui."/>
        <s v="Gestante aguardando a vez na consulta*"/>
        <n v="81997324176"/>
        <s v="Atendimento compartilhado (Obstetra + MFC + enfer. da USF)"/>
        <s v="Paciente com 2 PEC - Verificar pelo SUS"/>
        <s v="2a opção de telefone 81996823412"/>
        <s v="Na segunda tentativa de monitoriamento recusou videochamada; monitoramento feito por telefone."/>
        <s v="Monitormanto realizado por contato telefonico pois pct estava internada na maternidade (Bandeira Filho)"/>
        <s v="Saber se buscou a APS ou se entrou em TP   "/>
        <s v="Ligar à tarde"/>
        <s v="Feito por contato telefonico."/>
        <s v="Paciente orientada a procurar o posto hoje pela manha, ligar a tarde"/>
        <s v="Gestante ainda não buscou unidade de saúde, como orientado. Ligar à tarde para confirmar."/>
        <s v="Gestante encaminhada para avaliação na APS, ligar à tarde."/>
        <s v="Ligar à tarde para confirma acesso "/>
        <s v="Checar melhora do quadro de dor intensa no corpo, reação vacinal."/>
        <s v="(Thiago - 0818h) Gestante pede para retomar a ligação às 09:00h."/>
        <s v="Ligar após 9h, checar acesso à APS, início de sintomas gripais após reação adversa às vacinas."/>
        <s v="ligar as 15h telefone 81991473240 (ligação) 12991876039 (zap)"/>
        <s v="Ligar as 15h "/>
        <s v="Ligar à tarde para avaliar melhora dos sintomas."/>
        <s v="Monitoramento realizado em 13/04/2024."/>
        <s v="Atendimento realizado em 18/04. Gestante não é munícipe, oriento procurar APS de sua área. "/>
        <s v="Confirmar acesso à maternidade Arnaldo Marques."/>
        <s v="Confirmar acesso ao HMR 16h "/>
        <s v="Enviei comandado para iniciar atendimento, recebeu a mensagem, clicou em inicar atendimento, porém, não a visulizei no HopChat."/>
        <s v="Ligar para 982850804"/>
        <s v="Ligar para 982850804 às 15h para checar acesso à urgência e/ou alívio das queixas"/>
        <s v="(Marta) informar sobre o agendamento de USG no dia 07/05 as 14h no HMR"/>
        <s v="Monitoramento feito por telefone pois paciente estava no trabalho"/>
        <s v="Ligar 16 h"/>
        <s v="Monitoramento realizado por telefone - solicitaçao da gestante "/>
        <s v="Encontra-se na urgencia do HAM "/>
        <s v="Ligar às 9 horas "/>
        <s v="Ligar as 16 horas"/>
        <s v="Registro evento sentinela."/>
        <s v="Reforçar realização de urocultura de controle."/>
        <s v="Ligar para 81991300852"/>
        <s v="Ligar a tarde (foi encaminhada para avaliação presencial hoje na APS)"/>
        <s v="PEC com instabilidade - registro feito 13/05 (Marta)"/>
        <s v="Ligar a tarde (Paciente encaminhada à urgência obstétrica)"/>
        <s v="Monitoramento para informar sobre agendamento de PNAR, após realizar TINC com médico Giovani"/>
        <s v="Não foi encaminhada à APS porque enfermeira está de férias e não tem médico. SG sem sinais de alerta. "/>
        <s v="Ligar entre 14h - 15h para reavaliar a cólica."/>
        <s v="Agendar monitoramento para 20/05/24, considerar TINC para avliar quadro geral da gestante."/>
        <s v="Ligar às 16h para checar acesso à MBF."/>
        <s v="Informou que nao poderia entrar em contato por videochamada. Monitoramento feito por telefone."/>
        <s v="Saber se conseguiu encaminhamento para PNAR"/>
        <s v="Ligar às 14h - A conversa do Hopchat está em aberto no usuário de Camilla"/>
        <s v="Ligar às 16h - Reavaliar nauseas e vomitos e presença de sinais de TP"/>
        <s v="Avaliar evolução do sangramento transvaginal e acesso a APS"/>
        <s v="Checar acesso ao CISAM à tarde, gestante diz que não conseguirá ir à Barros Lima."/>
        <s v="Telefone do esposo."/>
        <s v="Avaliar perfil glicêmico nas últimas 24h."/>
        <s v="Ligar as 17 horas - telemonitoramento realizado dia 30/05"/>
        <s v="Confirmar acesso à maternidade e reavaliar sintomas"/>
        <s v="Ligar à tarde. Encaminhada ao banco de leite.Ligação chama duas vezes no Microsip e cai."/>
        <s v="Ligar às 16h. Reavaliar TP - Formulario de monitoramento preenchido dia 04/06"/>
        <s v="Checar vinculação à USF Alto do Maracanã, puérpera mudou-se recentemente para o território, ainda sem visita puerperal da equipe."/>
        <s v="Realizado teleatendimento e durante teleconsulta perco contato telefônico com a paciente. Faço 3 tentativas de contato por telefone porém gestante não atende. Informaria que como há incongruência entre queixas e exame físico realizado hoje pela manha na ú"/>
        <s v="Monitorar dia 05/06 para checar acesso à maternidade (DMG)."/>
        <s v="  "/>
      </sharedItems>
    </cacheField>
  </cacheFields>
</pivotCacheDefinition>
</file>

<file path=xl/pivotCache/pivotCacheDefinition6.xml><?xml version="1.0" encoding="utf-8"?>
<pivotCacheDefinition xmlns="http://schemas.openxmlformats.org/spreadsheetml/2006/main" xmlns:r="http://schemas.openxmlformats.org/officeDocument/2006/relationships" r:id="rId1" refreshOnLoad="1" refreshedVersion="5" refreshedDate="45457.3887384259" refreshedBy="USUARIO" recordCount="503">
  <cacheSource type="worksheet">
    <worksheetSource ref="B1:F504" sheet="Demanda Noturna"/>
  </cacheSource>
  <cacheFields count="5">
    <cacheField name="NOME DA USUÁRIA " numFmtId="0">
      <sharedItems containsBlank="1" containsNumber="1" containsInteger="1" containsMixedTypes="1" count="393">
        <n v="712"/>
        <s v="Kalyane Oliveira da Silva"/>
        <s v="Ana Alice dos Santos"/>
        <s v="Ingrid Marino"/>
        <s v="Studio Ana Hair"/>
        <s v="Talita Liima"/>
        <s v="Mylena Victória"/>
        <s v="Monique Silva de Amorim"/>
        <s v="Simone Souza Designer"/>
        <s v="Sem nome "/>
        <s v="Gleice Keli"/>
        <s v="Vanessa"/>
        <s v="Katherine"/>
        <s v="Amanda"/>
        <s v="Rayssa"/>
        <s v="Naty"/>
        <s v="Josi"/>
        <s v="Vitória Castro"/>
        <s v="Luciene Medeiros"/>
        <s v="Rodalmo"/>
        <s v="Aline"/>
        <s v="Hannah Lima"/>
        <s v="Paola"/>
        <s v="Juliane"/>
        <s v="Talita Silva"/>
        <s v="Amy"/>
        <s v="Myly"/>
        <s v="Wanessa"/>
        <s v="Simoninha"/>
        <s v="Dulce "/>
        <s v="Mayara"/>
        <s v="Dani"/>
        <s v="EsfiHome"/>
        <s v="Larissa"/>
        <s v="Sem nome (🌹)"/>
        <s v="Barbara"/>
        <s v="Renata"/>
        <s v="Sem nome (❤️)"/>
        <s v="Rayssa Lauanna"/>
        <s v="Studio Qualytfuncion"/>
        <s v="Taylline Gusmão"/>
        <s v="Lidia Paz"/>
        <s v="Carla de Melo"/>
        <s v="Alyne"/>
        <s v="Kamilla Moura"/>
        <s v="Maju Silva"/>
        <s v="Léticia"/>
        <s v="Sabrina Ferreira"/>
        <s v="Mirian Rosa"/>
        <s v="Pamella Taynã"/>
        <s v="Sem nome (🍐)"/>
        <s v="Michael Douglas"/>
        <s v="Abusada"/>
        <s v="Day"/>
        <s v="Glaucce"/>
        <s v="Janayna"/>
        <s v="Fátima"/>
        <s v="Sumaya"/>
        <s v="Sarah Vitória"/>
        <s v="Tavinho"/>
        <s v="Mireya Gabriela"/>
        <s v="Ana Marcia"/>
        <s v="Kallyandra"/>
        <s v="Thais França"/>
        <s v="Francy"/>
        <s v="Janaina"/>
        <s v="Sara lorena"/>
        <s v="Luuh"/>
        <s v="Rebeca"/>
        <s v="Cila"/>
        <s v="Claudia"/>
        <s v="Branquinha"/>
        <s v="Rochesly"/>
        <s v="Kessia"/>
        <s v="Juh"/>
        <s v="Maria"/>
        <s v="May"/>
        <s v="Mirian"/>
        <s v="Vivi"/>
        <s v="Lili "/>
        <s v="Elza"/>
        <s v="Pollyana Kristina"/>
        <s v="Patricia"/>
        <s v="Laisa Rocha"/>
        <s v="Isabel Marques"/>
        <s v="Debora Dayane"/>
        <s v="Natali"/>
        <s v="Amanda Bispo"/>
        <s v="Mirela"/>
        <s v="Duda"/>
        <s v="Jay Lima"/>
        <s v="Sem nome"/>
        <s v="Joelma (Jó)"/>
        <s v="Laura"/>
        <s v="Karina"/>
        <s v="Rosangela"/>
        <s v="Maria Camila"/>
        <s v="Micaela"/>
        <s v="Paloma"/>
        <s v="Luanda"/>
        <s v="Lisandra"/>
        <s v="Gaby"/>
        <s v="Marcela"/>
        <s v="Raissa"/>
        <s v="Sem nome (AI)"/>
        <s v="Leticia"/>
        <s v="Rafaela"/>
        <s v="Beatriz"/>
        <s v="Wanussa"/>
        <s v="Gabi"/>
        <s v="Mony"/>
        <s v="Nine"/>
        <s v="Manu"/>
        <s v="Tamires vieira"/>
        <s v="Ruthy"/>
        <s v="Clacia"/>
        <s v="Sem nome (FÉ EM DEUS)"/>
        <s v="Lidi"/>
        <s v="Maria bruna"/>
        <s v="Bruna Daniele"/>
        <s v="Nanda"/>
        <s v="Vitoria"/>
        <s v="Enia"/>
        <s v="Jussara"/>
        <s v="Julia"/>
        <s v="Veronica"/>
        <s v="Emily"/>
        <s v="Kátia"/>
        <s v="Maria Luiza"/>
        <s v="Tamires"/>
        <s v="Kailane"/>
        <s v="Naide"/>
        <s v="Alice tenorio"/>
        <s v="Geovana"/>
        <s v="Joice"/>
        <s v="Michaele"/>
        <s v="Nathalia"/>
        <s v="Osmar"/>
        <s v="MYCHERLANE"/>
        <s v="Thais"/>
        <s v="Evellyn"/>
        <s v="Marta"/>
        <s v="Fred"/>
        <s v="Viih"/>
        <s v="Elida"/>
        <s v="Joanna"/>
        <s v="Ana Vitoria"/>
        <s v="Raquel Queiroz"/>
        <s v="Raquel/David"/>
        <s v="Eulália"/>
        <s v="Bia"/>
        <s v="Camila Fonseca"/>
        <s v="Andriele leal"/>
        <s v="Ely Silva"/>
        <s v="Atendimento"/>
        <s v="Cachinhos"/>
        <s v="Kamila"/>
        <s v="Monalisa"/>
        <s v="Ana"/>
        <s v="Natalia"/>
        <s v="Iza"/>
        <s v="Gabriela"/>
        <s v="Keila"/>
        <s v="Maiara"/>
        <s v="Cassiane"/>
        <s v="Bruna"/>
        <s v="Carol"/>
        <s v="Japa"/>
        <s v="Philipe"/>
        <s v="Tefis"/>
        <s v="Aldenir"/>
        <s v="Nessinha"/>
        <s v="Girleide"/>
        <s v="Eduarda"/>
        <s v="Ageu"/>
        <s v="Kel"/>
        <s v="Paula"/>
        <s v="Manuela"/>
        <s v="Vitória"/>
        <s v="Cleyce"/>
        <s v="Carlinha"/>
        <s v="Thays"/>
        <s v="Emilly"/>
        <s v="Carlos"/>
        <s v="Erica"/>
        <s v="Mary"/>
        <s v="Rebeka"/>
        <s v="Sandrinha"/>
        <s v="Jaci"/>
        <s v="Eloiza"/>
        <s v="Stefane"/>
        <s v="Maju"/>
        <s v="Lidia"/>
        <s v="Dawane"/>
        <s v="Gabrielle"/>
        <s v="Lih"/>
        <s v="Lira"/>
        <s v="Talita"/>
        <s v="Taliana"/>
        <s v="Verônica"/>
        <s v="Mariana"/>
        <s v="Rosa"/>
        <s v="Cristiane"/>
        <s v="Carine"/>
        <s v="Fia"/>
        <s v="Karen"/>
        <s v="Angelo"/>
        <m/>
        <s v="Carolina"/>
        <s v="Ilka"/>
        <s v="Madu "/>
        <s v="Teve uma"/>
        <s v="Nessa"/>
        <s v="Jeniffer"/>
        <s v="Lau"/>
        <s v="Geliane"/>
        <s v="Jaque"/>
        <s v="Carynne"/>
        <s v="Ruth"/>
        <s v="Ana Karolina"/>
        <s v="Ana Karla"/>
        <s v="Ekys"/>
        <s v="Bella"/>
        <s v="Thalia"/>
        <s v="Tatiane"/>
        <s v="Crislayne"/>
        <s v="Rodrigo"/>
        <s v="Filha do rei"/>
        <s v="Kah"/>
        <s v="Rayane"/>
        <s v="Emmily"/>
        <s v="Moranguinho"/>
        <s v="Ninny"/>
        <s v="Fernanda"/>
        <s v="Thay"/>
        <s v="Milla"/>
        <s v="Jacilene"/>
        <s v="Camylla"/>
        <s v="Nany"/>
        <s v="Leandra"/>
        <s v="Valeria"/>
        <s v="Raquel"/>
        <s v="Ziran"/>
        <s v="Myrella"/>
        <s v="Karol"/>
        <s v="Sara"/>
        <s v="Mayer"/>
        <s v="AS"/>
        <s v="Carla"/>
        <s v="Ketlen"/>
        <s v="Davi"/>
        <s v="Raianara"/>
        <s v="Geiciane"/>
        <s v="Reeh"/>
        <s v="Proelium"/>
        <s v="Karlinha"/>
        <s v="Mozinho"/>
        <s v="Juliana "/>
        <s v="Berg"/>
        <s v="Amanda "/>
        <s v="Raylla"/>
        <s v="Dianna"/>
        <s v="Gislaine"/>
        <s v="Roberta"/>
        <s v="Marcia"/>
        <s v="Hilda"/>
        <s v="Melissa"/>
        <s v="Jânia"/>
        <s v="Diana"/>
        <s v="Erika"/>
        <s v="Eryka"/>
        <s v="Menezes"/>
        <s v="Samuca"/>
        <s v="Joyce"/>
        <s v="morena"/>
        <s v="Taynana"/>
        <s v="Tayana"/>
        <s v="Amandinha"/>
        <s v="Vandressa"/>
        <s v="Mericiana"/>
        <s v="Camila"/>
        <s v="Ester"/>
        <s v="Eyshila - Elaine"/>
        <s v="Tatiana"/>
        <s v="Jessy"/>
        <s v="Vinicius"/>
        <s v="Vitória Alves"/>
        <s v="Lis"/>
        <s v="Felipe"/>
        <s v="Rosemeri"/>
        <s v="Fatima"/>
        <s v="Jessica"/>
        <s v="Lidiane"/>
        <s v="Crsitini"/>
        <s v="Ingridy"/>
        <s v="Rosinha"/>
        <s v="Tetezinha"/>
        <s v="Marcione"/>
        <s v="Ghefylle"/>
        <s v="Maria Eduarda"/>
        <s v="Tercia"/>
        <s v="Isa"/>
        <s v="Tarciana"/>
        <s v="Rayssa Luana"/>
        <s v="Fernanda de Oliveira Silva"/>
        <s v="Juh Fenty"/>
        <s v="Tauany Letícia_x000a_"/>
        <s v="RomeroC01"/>
        <s v="Anny"/>
        <s v="Evelyn"/>
        <s v="Lidia Vitória Anacleto"/>
        <s v="Eliane"/>
        <s v="Sara Costa"/>
        <s v="Lua"/>
        <s v="Silva"/>
        <s v="Paulinha"/>
        <s v="Sara Thalita"/>
        <s v="Jess"/>
        <s v="🤍"/>
        <s v="yoto"/>
        <s v="Luciana Carla"/>
        <s v="Andressa Manuela"/>
        <s v="Kauany Gomest_x000a_"/>
        <s v="CG Acessórios"/>
        <s v="Rosy Nascimento"/>
        <s v="Lili"/>
        <s v="💙💙💙❤️"/>
        <s v="Raiane Carine_x000a_"/>
        <s v="Analucia Oliveira"/>
        <s v="Bianka Vitória_x000a__x000a__x000a__x000a__x000a__x000a__x000a__x000a_"/>
        <s v="Ragnar 💘"/>
        <s v="Deus Acima de Tudo"/>
        <s v="Luciana Rodrigues"/>
        <s v="kaah Carvalho"/>
        <s v="Kharol"/>
        <s v="Michelyne"/>
        <s v="Bárbara"/>
        <s v="Graazinhah"/>
        <n v="719165"/>
        <s v="Lívia"/>
        <s v="Amanda Lucena"/>
        <s v="rosy"/>
        <s v="Ana Gabriela"/>
        <s v="Cintia Maria"/>
        <s v="Niedja Oliveira"/>
        <s v="Ryta De kassia"/>
        <s v="Gleice Maria"/>
        <s v="Débora Maria"/>
        <s v="Daniella"/>
        <s v="Thaty Silva"/>
        <s v="Raysa"/>
        <s v="Bruna De Melo"/>
        <s v="Amanda Gomes "/>
        <s v="Patrícia"/>
        <s v="Cellynha"/>
        <s v="Rayza Nascimento"/>
        <s v="Kauanny"/>
        <s v="Saiuri Vieira"/>
        <s v="JK"/>
        <s v="Myka"/>
        <s v="Cacau"/>
        <s v="Italo"/>
        <s v="Alany"/>
        <s v="Rhaylla Thuane"/>
        <s v="Mara Penin"/>
        <s v="Janaina_x000a__x000a__x000a__x000a__x000a__x000a__x000a__x000a_"/>
        <s v="Ary"/>
        <s v="vanessa Araújo"/>
        <s v="Walkillany Fernandes_x000a__x000a__x000a__x000a__x000a__x000a__x000a__x000a_"/>
        <s v="Studio Tércia Lucena"/>
        <s v="Eli Siqueira Nails"/>
        <s v="Jessika Raquel"/>
        <s v="Rute"/>
        <s v="Ninha"/>
        <s v="Nubia"/>
        <s v="Valquiria"/>
        <s v="Milinha"/>
        <s v="Camilla Lima"/>
        <s v="Vih"/>
        <s v="Isabel"/>
        <s v="Anna Victoria"/>
        <s v="Ana Carolina"/>
        <s v="Eli"/>
        <s v="Maria Vitoria "/>
        <s v="Pretuska/Jacielene"/>
        <s v="Caroline Albuquerque"/>
        <s v="Raphaella"/>
        <s v="Dezinha"/>
        <s v="Debora"/>
        <s v="Neide"/>
        <s v="Yure"/>
        <s v="Rayanara"/>
        <s v="Saiure"/>
      </sharedItems>
    </cacheField>
    <cacheField name="HORÁRIO DE ENTRADA NA SUSi" numFmtId="0">
      <sharedItems containsBlank="1" count="4">
        <m/>
        <s v="Demanda noturna em dias do final de semana ou feriado/ ponto facultativo"/>
        <s v="Demanda noturna durante dias de semana (das 19h às 7h)"/>
        <s v="Fora do horário da USF mas de segunda a sexta das 7h-8h ou 17h às 19h"/>
      </sharedItems>
    </cacheField>
    <cacheField name="LINK DO HOPCHAT" numFmtId="0">
      <sharedItems containsBlank="1" count="495">
        <m/>
        <s v="https://chat.brainyresolution.com/omnichannel-directory/chats/view/toynxpAG5WS8kcDLn/room-info"/>
        <s v="https://chat.brainyresolution.com/live/WZRRFcD538k9WGKko/room-info"/>
        <s v="https://chat.brainyresolution.com/live/kZFKJdw4SmmP8oTmr/room-info"/>
        <s v="https://chat.brainyresolution.com/live/E7F6R83o7cASDJsop/room-info"/>
        <s v="https://chat.brainyresolution.com/live/eMevErRXvJJBeEN7H/room-info"/>
        <s v="https://chat.brainyresolution.com/live/pGyM8mcQKSBW73fZF/room-info"/>
        <s v="https://chat.brainyresolution.com/live/RHHQobYjnMYfZsnSh"/>
        <s v="https://chat.brainyresolution.com/live/YnB3zDmokbY4Lbsb2/room-info"/>
        <s v="https://chat.brainyresolution.com/live/nJYjukDmZSG3D9d4t/room-info"/>
        <s v="https://chat.brainyresolution.com/live/RwKRDJps6i8YPhAWi/room-info"/>
        <s v="https://chat.brainyresolution.com/live/ZTu6Fg9rfLcKRCQvJ/room-info"/>
        <s v="https://chat.brainyresolution.com/live/rumXfxjqK4qTEXcWq/room-info"/>
        <s v="https://chat.brainyresolution.com/live/cL6kKATTuKbobJ9JM/room-info"/>
        <s v="https://chat.brainyresolution.com/live/tR6sMipgEbwHTwW9j/room-info"/>
        <s v="https://chat.brainyresolution.com/live/WomyPimenE2KBmHGM/room-info"/>
        <s v="https://chat.brainyresolution.com/live/TRz4AwTf6M4rhwXqB/room-info"/>
        <s v="https://chat.brainyresolution.com/live/qwHn8Fvg7oX4ioMCT/room-info"/>
        <s v="https://chat.brainyresolution.com/live/gu2MZpqS44taorwfd"/>
        <s v="https://chat.brainyresolution.com/live/B6cqNNJD9utSg2Wgx/room-info"/>
        <s v="https://chat.brainyresolution.com/live/eK7bjjPrRZFZ5v594/room-info"/>
        <s v="https://chat.brainyresolution.com/live/f34n3bnpeADoyov42/room-info"/>
        <s v="https://chat.brainyresolution.com/live/rzEoHTmDKHNwNzJYC/room-info"/>
        <s v="https://chat.brainyresolution.com/live/4Mtur4GaozxbYMySX/room-info"/>
        <s v="https://chat.brainyresolution.com/live/jkcXobMHjvixkw4dc/room-info"/>
        <s v="https://chat.brainyresolution.com/live/rCRT8RLaMYcDY2rfe/room-info"/>
        <s v="https://chat.brainyresolution.com/live/dxAAHScfueACCCwrt/room-info"/>
        <s v="https://chat.brainyresolution.com/live/7YPv962zxs2ZQRxML/user-info"/>
        <s v="https://chat.brainyresolution.com/live/c79c3FAuNpJMcTgcP/user-info"/>
        <s v="https://chat.brainyresolution.com/live/Xv2Jxnkxv8hs2GxbX/room-info"/>
        <s v="https://chat.brainyresolution.com/live/LmYEKZwGL5XFkX4hB/user-info"/>
        <s v="https://chat.brainyresolution.com/live/AaRikgn3SFBXynFr2/room-info"/>
        <s v="https://hopchat.susi.crowde.dev/live/vCEYJp8xLFteSYjes/room-info"/>
        <s v="https://hopchat.susi.crowde.dev/live/jKcF8wT24sgKgW8w7/room-info"/>
        <s v="https://hopchat.susi.crowde.dev/live/9fTeG2SA2crn83roi/room-info"/>
        <s v="https://hopchat.susi.crowde.dev/live/YT8FyLtvuhoEJ3yfX/room-info"/>
        <s v="https://chat-conecta.recife.pe.gov.br/live/SAKrXchayJR2adsn3/room-info"/>
        <s v="https://chat-conecta.recife.pe.gov.br/live/6iDgsBccCP4dYeTAh/room-info"/>
        <s v="https://chat-conecta.recife.pe.gov.br/live/TpnTP66YdBZ8qhmQM"/>
        <s v="https://chat-conecta.recife.pe.gov.br/live/tSf4yGLXMoagiQ7Xn/room-info"/>
        <s v="https://chat-conecta.recife.pe.gov.br/live/ZRRiTmaP8GzpTQJDs/room-info"/>
        <s v="https://chat-conecta.recife.pe.gov.br/live/hQnzx4bYF92wWnKNS/room-info"/>
        <s v="https://chat-conecta.recife.pe.gov.br/live/betCShJnu3v9nKYz7"/>
        <s v="https://chat-conecta.recife.pe.gov.br/live/C2bx85rQ3RqoSuA3j/room-info"/>
        <s v="https://chat-conecta.recife.pe.gov.br/live/CsjDjX9HzaXgxEpKB/room-info"/>
        <s v="https://chat-conecta.recife.pe.gov.br/live/2hkd5aNNNysy3gx4G/room-info"/>
        <s v="https://chat-conecta.recife.pe.gov.br/live/z24DAPMsdKHbaaY2v"/>
        <s v="https://chat-conecta.recife.pe.gov.br/live/z86ZXXR8CLiSSfjiK"/>
        <s v="https://chat-conecta.recife.pe.gov.br/live/LqLG97wpBLcpScXPc"/>
        <s v="https://chat-conecta.recife.pe.gov.br/live/aSZyoz9QaNmAmMnjH/room-info"/>
        <s v="https://chat-conecta.recife.pe.gov.br/live/Zrzdez42whK4Ef5tf"/>
        <s v="https://chat-conecta.recife.pe.gov.br/live/pr8K6JuELaXSH5aAY"/>
        <s v="https://chat-conecta.recife.pe.gov.br/live/zwskXk63SDB7bimFY/room-info"/>
        <s v="https://chat-conecta.recife.pe.gov.br/live/56RQu5vgXDC9t7k4e"/>
        <s v="https://chat-conecta.recife.pe.gov.br/live/YYa8m9eJMEnPykQPQ"/>
        <s v="https://chat-conecta.recife.pe.gov.br/live/CYyr6DoSdaxyAkuGQ"/>
        <s v="https://chat-conecta.recife.pe.gov.br/live/cbr8pkXx2Dtkmy9Yi/room-info"/>
        <s v="https://chat-conecta.recife.pe.gov.br/live/fM58Gb9gePKqBpFTe/room-info"/>
        <s v="https://chat-conecta.recife.pe.gov.br/live/2HEJC79NMYLKxu7Ek/room-info"/>
        <s v="https://chat-conecta.recife.pe.gov.br/live/FYE4QGnNXcC5bDhkE/user-info"/>
        <s v="https://chat-conecta.recife.pe.gov.br/live/Rmjrk2AkuCJMvSKcL/room-info"/>
        <s v="https://chat-conecta.recife.pe.gov.br/live/K469273HaLhEw38kn/room-info"/>
        <s v="https://chat-conecta.recife.pe.gov.br/live/6Y9yhsjMFLKRtvmd3/room-info"/>
        <s v="https://chat-conecta.recife.pe.gov.br/live/uQARBG4WKpjsLCPtj/room-info"/>
        <s v="https://chat-conecta.recife.pe.gov.br/live/RzkAv4S3AagZmhc55/room-info"/>
        <s v="https://chat-conecta.recife.pe.gov.br/live/KNbLCGbuGLQYBxiG4/room-info"/>
        <s v="https://chat-conecta.recife.pe.gov.br/live/9w8gui8yLiw3DLF8H/room-info"/>
        <s v="https://chat-conecta.recife.pe.gov.br/live/pYEy6yPqkGX9QWYSH/room-info"/>
        <s v="https://chat-conecta.recife.pe.gov.br/live/pnzMGRk7fLv4hceJN/room-info"/>
        <s v="https://chat-conecta.recife.pe.gov.br/live/X88pamn5BQzStukAr"/>
        <s v="https://chat-conecta.recife.pe.gov.br/live/gYTpAANLe3R39vSuY/room-info"/>
        <s v="https://chat-conecta.recife.pe.gov.br/live/TSLQCpLSSpBNekwrp"/>
        <s v="https://chat-conecta.recife.pe.gov.br/live/NbSF6qenquYzmrESn/room-info"/>
        <s v="https://chat-conecta.recife.pe.gov.br/live/NL3Bga5ytxH6ZSTPd"/>
        <s v="https://chat-conecta.recife.pe.gov.br/live/oh7Yfpxy5WTm7qdzL"/>
        <s v="https://chat-conecta.recife.pe.gov.br/live/4LHm8D8KYeFc8Eqdz"/>
        <s v="https://chat-conecta.recife.pe.gov.br/live/GcGXrQho62Wq2yLoa"/>
        <s v="https://chat-conecta.recife.pe.gov.br/live/xecpFG2iomkPomACF"/>
        <s v="https://chat-conecta.recife.pe.gov.br/live/nbQAi8kpeoMFr9DeM/room-info"/>
        <s v="https://chat-conecta.recife.pe.gov.br/live/tvL54nQm5hc3mWZBG/room-info"/>
        <s v="https://chat-conecta.recife.pe.gov.br/live/PnsYy67d25DG9yGju/room-info"/>
        <s v="https://chat-conecta.recife.pe.gov.br/live/7t65QQsjAL72NjHSa/room-info"/>
        <s v="https://chat-conecta.recife.pe.gov.br/live/3o2EyWhpe9TicPG8e/room-info"/>
        <s v="https://chat-conecta.recife.pe.gov.br/live/Qo4zkEHsBYKNkG65z/room-info"/>
        <s v="https://chat-conecta.recife.pe.gov.br/live/KFB7vP73G5S3KRddD/room-info"/>
        <s v="https://chat-conecta.recife.pe.gov.br/live/AC5P3aNLPu36w8YSd/room-info"/>
        <s v="https://chat-conecta.recife.pe.gov.br/live/9Xkp45EJWcBHD8JwY/room-info"/>
        <s v="https://chat-conecta.recife.pe.gov.br/live/pH573JfkeWkKutjDG/room-info"/>
        <s v="https://chat-conecta.recife.pe.gov.br/live/QyNStuvGiMvkFM7ph/room-info"/>
        <s v="https://chat-conecta.recife.pe.gov.br/live/xHN4cC3wYoJRyGR7j"/>
        <s v="https://chat-conecta.recife.pe.gov.br/live/2ABTu5i6nRFPimCFW/user-info"/>
        <s v="https://chat-conecta.recife.pe.gov.br/live/FQP9rogfYjSn3hZ3q/user-info"/>
        <s v="https://chat-conecta.recife.pe.gov.br/live/Zs8Nz3WjtHYfY2HL5/user-info"/>
        <s v="https://chat-conecta.recife.pe.gov.br/live/3GWNRrQYRgKFa5HGv/room-info"/>
        <s v="https://chat-conecta.recife.pe.gov.br/live/6QWCsiopuYtZTQKSB/room-info"/>
        <s v="https://chat-conecta.recife.pe.gov.br/live/Lw27a7BMDdj4qA5q7"/>
        <s v="https://chat-conecta.recife.pe.gov.br/live/A9GEgydH5soB7q7yt"/>
        <s v="https://chat-conecta.recife.pe.gov.br/live/tsTwkjaqggYs5QTia"/>
        <s v="https://chat-conecta.recife.pe.gov.br/live/jFeyWCaHCNj9FEcL5/contact-chat-history"/>
        <s v="https://chat-conecta.recife.pe.gov.br/live/Qabrca8Y4jR9uYKWF/user-info"/>
        <s v="https://chat-conecta.recife.pe.gov.br/live/mw7KLPg3vm7WhWdbR/members-list"/>
        <s v="https://chat-conecta.recife.pe.gov.br/live/yHrCkk86mDojNK4oK/room-info"/>
        <s v="https://chat-conecta.recife.pe.gov.br/live/cE7z9wy9rW39tFoEx/room-info"/>
        <s v="https://chat-conecta.recife.pe.gov.br/live/ax2HDudWeBDRWcKyL/room-info"/>
        <s v="https://chat-conecta.recife.pe.gov.br/live/SLmMoPMJ5FGdC9T4H/room-info"/>
        <s v="https://chat-conecta.recife.pe.gov.br/live/cPeWt8pRobzkA2nfo/members-list"/>
        <s v="https://chat-conecta.recife.pe.gov.br/live/jgWwzRDwbZzAeiXNJ/room-info"/>
        <s v="-https://chat-conecta.recife.pe.gov.br/live/ihrqFTnW58hTCmsWg/room-info"/>
        <s v="https://chat-conecta.recife.pe.gov.br/live/mCZDcnrfdZYGSJLav/room-info"/>
        <s v="https://chat-conecta.recife.pe.gov.br/live/tq3hpAjr8cjsdcbS5/room-info"/>
        <s v="https://chat-conecta.recife.pe.gov.br/omnichannel-directory/chats/view/FtQuauTnHorYBngRq/room-info"/>
        <s v="https://chat-conecta.recife.pe.gov.br/omnichannel-directory/chats/view/3wbZYGox6GjRmopPA/room-info"/>
        <s v="https://chat-conecta.recife.pe.gov.br/live/jQ7FLCcjqRWpYYQNM/room-info"/>
        <s v="https://chat-conecta.recife.pe.gov.br/live/EWnN8MLEnNGCwXqis/room-info"/>
        <s v="https://chat-conecta.recife.pe.gov.br/live/G4ywA2gndr3dFcW4j/room-info"/>
        <s v="https://chat-conecta.recife.pe.gov.br/live/fNAHnGRi9nmZBAsRb/room-info"/>
        <s v="https://chat-conecta.recife.pe.gov.br/live/zGSNR4pSErcDAYTnY/room-info"/>
        <s v="https://chat-conecta.recife.pe.gov.br/live/5M8Rian6waTQshzA6/room-info"/>
        <s v="https://chat-conecta.recife.pe.gov.br/live/RiRsRg3PpanipWNQH/room-info"/>
        <s v="https://chat-conecta.recife.pe.gov.br/live/zCDGDgwyrkBkumxtx/room-info"/>
        <s v="https://chat-conecta.recife.pe.gov.br/live/jtCvQhp4NaZGpW5R2/room-info"/>
        <s v="https://chat-conecta.recife.pe.gov.br/live/X3CCvSC3ARjdRZ8Pi/room-info"/>
        <s v="https://chat-conecta.recife.pe.gov.br/live/fmRMjumBR39MJpbit/room-info"/>
        <s v="https://chat-conecta.recife.pe.gov.br/live/m5e3WYq99hZAZoFr5/room-info"/>
        <s v="https://chat-conecta.recife.pe.gov.br/live/mKErvR6p2CdyNNP4z/room-info"/>
        <s v="https://chat-conecta.recife.pe.gov.br/live/9BYWYmRPvHeeaeSoq/room-info"/>
        <s v="https://chat-conecta.recife.pe.gov.br/live/mbTEYefE6FKBgoveY/room-info"/>
        <s v="https://chat-conecta.recife.pe.gov.br/live/m2hgxtRX2aMqwciYp/room-info"/>
        <s v="https://chat-conecta.recife.pe.gov.br/live/93DsTTJ7QDh7ejvdR/room-info"/>
        <s v="https://chat-conecta.recife.pe.gov.br/live/R6Esd85vtCSSzNYa2/room-info"/>
        <s v="https://chat-conecta.recife.pe.gov.br/live/wNDi3i55bPvXHGkAr/room-info"/>
        <s v="https://chat-conecta.recife.pe.gov.br/live/8HYYxt3rkCduCh4SE/room-info"/>
        <s v="https://chat-conecta.recife.pe.gov.br/live/Wg36iSyWF6N6ZJSY6/room-info"/>
        <s v="https://chat-conecta.recife.pe.gov.br/live/eym9ENWJYrhrWTmgS/room-info"/>
        <s v="https://chat-conecta.recife.pe.gov.br/live/f9LYdF3BiyMp9HviK/room-info"/>
        <s v="https://chat-conecta.recife.pe.gov.br/live/FgEHuqCm29cHm3hrq/room-info"/>
        <s v="https://chat-conecta.recife.pe.gov.br/live/tRXLLw35arhbfy6f8/room-info"/>
        <s v="https://chat-conecta.recife.pe.gov.br/live/x3FJbWcXRtQ8ax2KT/user-info"/>
        <s v="https://chat-conecta.recife.pe.gov.br/live/3FyCo8kFLnLuuvLo9/room-info"/>
        <s v="https://chat-conecta.recife.pe.gov.br/live/P5HfiupyGbd8cGPX9/room-info"/>
        <s v="https://chat-conecta.recife.pe.gov.br/live/vH359k3JERvRsbJQc/room-info"/>
        <s v="https://chat-conecta.recife.pe.gov.br/live/Snmnr8goaFWKdTcgj/room-info"/>
        <s v="https://chat-conecta.recife.pe.gov.br/live/zg2JkPW8Lz2cykmh7/room-info"/>
        <s v="https://chat-conecta.recife.pe.gov.br/live/8ddH4LNxRS39NabZg/room-info"/>
        <s v="https://chat-conecta.recife.pe.gov.br/live/oHb4uxDS2qBNbpjMc/room-info"/>
        <s v="https://chat-conecta.recife.pe.gov.br/live/hQNPk9Qw3xHsgQ73W/user-info"/>
        <s v="https://chat-conecta.recife.pe.gov.br/live/Cd3oLs5byQLot8gq4/user-info"/>
        <s v="https://chat-conecta.recife.pe.gov.br/live/ZY9pTh8xvYv8HDHGx/room-info"/>
        <s v="https://chat-conecta.recife.pe.gov.br/live/rivwDgcuD4NgKtwx6/room-info"/>
        <s v="https://chat-conecta.recife.pe.gov.br/live/3esQwu9Bi98ZStk7B/room-info"/>
        <s v="https://chat-conecta.recife.pe.gov.br/live/YNWQ2yYGtWTeeW97Z/room-info"/>
        <s v="https://chat-conecta.recife.pe.gov.br/live/x2WYEaSn642yQv2qx/room-info"/>
        <s v="https://chat-conecta.recife.pe.gov.br/live/dp4kLAumgW4aLn2pn/room-info"/>
        <s v="https://chat-conecta.recife.pe.gov.br/live/4QzhWtzvySrb2Qyrw/room-info"/>
        <s v="https://chat-conecta.recife.pe.gov.br/live/fshKtjtWmgQYwngtq/room-info"/>
        <s v="https://chat-conecta.recife.pe.gov.br/live/tR8ZXSpAwfn3L2TeY/room-info"/>
        <s v="https://chat-conecta.recife.pe.gov.br/live/eYkLHy4mfku8bCcms/room-info"/>
        <s v="https://chat-conecta.recife.pe.gov.br/live/kuaDRFt8YNDJHtR4E/room-info"/>
        <s v="https://chat-conecta.recife.pe.gov.br/live/5TbmGyR7AucHP2L3G/room-info"/>
        <s v="https://chat-conecta.recife.pe.gov.br/live/jiALQqAWX2ut6Kf87/room-info"/>
        <s v="https://chat-conecta.recife.pe.gov.br/live/cRftuAaHct4cv8tTe/room-info"/>
        <s v="https://chat-conecta.recife.pe.gov.br/live/Lv6iTajJCbqNWuu5p/room-info"/>
        <s v="https://chat-conecta.recife.pe.gov.br/live/MDMX4sBnk4BuytErv/room-info"/>
        <s v="https://chat-conecta.recife.pe.gov.br/live/JQaiPD5gaCfmmB2vB/room-info"/>
        <s v="https://chat-conecta.recife.pe.gov.br/live/WZZJ47igGCEqbmrMx"/>
        <s v="https://chat-conecta.recife.pe.gov.br/live/RvKfGja7Na67KXzGc"/>
        <s v="https://chat-conecta.recife.pe.gov.br/omnichannel-directory/chats/view/8SNs3dsnLs8wrRHQn"/>
        <s v="https://chat-conecta.recife.pe.gov.br/live/apiPCSWYbBFHGMbuX"/>
        <s v="https://chat-conecta.recife.pe.gov.br/live/XSjcZjXximK4K4dnL/user-info"/>
        <s v="https://chat-conecta.recife.pe.gov.br/live/yjGXgqJQHMbaHNNiS/user-info"/>
        <s v="https://chat-conecta.recife.pe.gov.br/live/GBEKjXb5qB7ci4mJT/user-info"/>
        <s v="https://chat-conecta.recife.pe.gov.br/live/RgjsNABSKKJRhEkoD"/>
        <s v="https://chat-conecta.recife.pe.gov.br/live/q9Bm9QzPFraHXDxkZ"/>
        <s v="https://chat-conecta.recife.pe.gov.br/live/Xzg5buA5kRzdrHyDN"/>
        <s v="https://chat-conecta.recife.pe.gov.br/live/XdetrSSMRryzADLzP/user-info"/>
        <s v="https://chat-conecta.recife.pe.gov.br/live/9RnP3Pw8wtLMxgAGe/room-info"/>
        <s v="https://chat-conecta.recife.pe.gov.br/live/pvvshwnvAfuj2gsMe/room-info"/>
        <s v="https://chat-conecta.recife.pe.gov.br/live/uSnxcbST9vduYjKzc/room-info"/>
        <s v="https://chat-conecta.recife.pe.gov.br/live/vm9n8ocbYoL43ta5a"/>
        <s v="https://chat-conecta.recife.pe.gov.br/live/P4cpEBAPBTff26piZ"/>
        <s v="https://chat-conecta.recife.pe.gov.br/live/rAKb3joCBFo2kGi8s"/>
        <s v="https://chat-conecta.recife.pe.gov.br/live/jKgocvXZKjmtikQoc/room-info"/>
        <s v="https://chat-conecta.recife.pe.gov.br/live/nWn2Ret9bbsHvh2qe/room-info"/>
        <s v="https://chat-conecta.recife.pe.gov.br/live/dLAt6kozzP8q7YPwm/room-info"/>
        <s v="https://chat-conecta.recife.pe.gov.br/live/ZxkQ52GxtHsq6QaWS/room-info"/>
        <s v="https://chat-conecta.recife.pe.gov.br/live/XnkZf7HMf5g2qADNX/room-info"/>
        <s v="https://chat-conecta.recife.pe.gov.br/live/sihnqDLmYbNPm6Qkt/room-info"/>
        <s v="https://chat-conecta.recife.pe.gov.br/live/zSerzZd2fXNsj48ci/room-info"/>
        <s v="https://chat-conecta.recife.pe.gov.br/live/RuwqxuepfRD44wzvg/room-info"/>
        <s v="https://chat-conecta.recife.pe.gov.br/live/sYQXAd8GFgfcNwEKK/room-info"/>
        <s v="https://chat-conecta.recife.pe.gov.br/live/bJ3FCqwHmkuLju4Wu/user-info"/>
        <s v="https://chat-conecta.recife.pe.gov.br/live/eQbtZZhzkLJELB5mC"/>
        <s v="https://chat-conecta.recife.pe.gov.br/live/X7vgMtFgLdMvSXxdK/user-info"/>
        <s v="https://chat-conecta.recife.pe.gov.br/live/xP2FQCHRHKBeos9HY"/>
        <s v="https://chat-conecta.recife.pe.gov.br/live/kvnzsEg6bgdt3fzmo/room-info"/>
        <s v="https://chat-conecta.recife.pe.gov.br/live/86CvmkXzA8zwRzzWt"/>
        <s v="https://chat-conecta.recife.pe.gov.br/live/icoiWhELwKb4eX7S6"/>
        <s v="https://chat-conecta.recife.pe.gov.br/live/bzJSihH6GgfrEtpub/room-info"/>
        <s v="https://chat-conecta.recife.pe.gov.br/live/TMNzv5Qb6NwC5zwjP/room-info"/>
        <s v="https://chat-conecta.recife.pe.gov.br/live/rHhNuQcq5n7dvw7q2/room-info"/>
        <s v="https://chat-conecta.recife.pe.gov.br/live/mD6aKRKru4uTd2cij/room-info"/>
        <s v="https://chat-conecta.recife.pe.gov.br/live/khyiQeX5qctQSzsbg/room-info"/>
        <s v="https://chat-conecta.recife.pe.gov.br/live/wfRgKGa2mJAggoFWj"/>
        <s v="https://chat-conecta.recife.pe.gov.br/live/yBz529iApXMFTC5fx/user-info"/>
        <s v="https://chat-conecta.recife.pe.gov.br/live/pBEm8NN2qwNLjY8hk/user-info"/>
        <s v="https://chat-conecta.recife.pe.gov.br/live/aRfJeQHYA8RwCajND/user-info"/>
        <s v="https://chat-conecta.recife.pe.gov.br/live/8pjfE8v5wbQYdtw62"/>
        <s v="https://chat-conecta.recife.pe.gov.br/live/iBA7S6DgAbjQ7gPks/room-info"/>
        <s v="https://chat-conecta.recife.pe.gov.br/live/TDFpcpJs8z2bak4kZ/room-info"/>
        <s v="https://chat-conecta.recife.pe.gov.br/live/Zw3gf7gJxXcf4CzRj/room-info"/>
        <s v="https://chat-conecta.recife.pe.gov.br/live/XkpapkD7xbjG4fMNo/room-info"/>
        <s v="https://chat-conecta.recife.pe.gov.br/live/cwojfC4xEMsjpLdcT/room-info"/>
        <s v="https://chat-conecta.recife.pe.gov.br/live/jgSGX9bpP7RpC8GBR/room-info"/>
        <s v="https://chat-conecta.recife.pe.gov.br/live/SaQ9gY92RWAhxRd7n/room-info"/>
        <s v="https://chat-conecta.recife.pe.gov.br/live/gJEMyghr8fxPpZaYk/room-info"/>
        <s v="https://chat-conecta.recife.pe.gov.br/live/WEByGvLtkcevr879g/room-info"/>
        <s v="https://chat-conecta.recife.pe.gov.br/live/2XeuA4jDKvc2NSikT/room-info"/>
        <s v="https://chat-conecta.recife.pe.gov.br/live/kWBQuHPJ7TR7wkfDN/room-info"/>
        <s v="https://chat-conecta.recife.pe.gov.br/live/NECNoyTfRgzGYbmAG/room-info"/>
        <s v="https://chat-conecta.recife.pe.gov.br/live/EaKQZtuifFYMa8QDg/room-info"/>
        <s v="https://chat-conecta.recife.pe.gov.br/live/dpvcPaQhtBmzPvTF4/room-info"/>
        <s v="https://chat-conecta.recife.pe.gov.br/live/B2vWiziDTSFapqnDq/room-info"/>
        <s v="https://chat-conecta.recife.pe.gov.br/live/5bXNt88DYLyujEfBh/room-info"/>
        <s v="https://chat-conecta.recife.pe.gov.br/live/kQnTdFMQk94z9ncou/room-info"/>
        <s v="https://chat-conecta.recife.pe.gov.br/live/DuaSxpoc2PTCTf95k/room-info"/>
        <s v="https://chat-conecta.recife.pe.gov.br/live/atjd38tCYZGC3BQ2c/room-info"/>
        <s v="https://chat-conecta.recife.pe.gov.br/live/4ZiNFLRswKesdMyK9/room-info"/>
        <s v="https://chat-conecta.recife.pe.gov.br/live/ZfGg7cLhQjHcFxts4/room-info"/>
        <s v="https://chat-conecta.recife.pe.gov.br/live/8Tobb6DhQw6CMEJoC/room-info"/>
        <s v="https://chat-conecta.recife.pe.gov.br/live/GcTN58Sgt2h8BQmsu/room-info"/>
        <s v="https://chat-conecta.recife.pe.gov.br/live/5aNNrfnwAjAjqvdin/room-info"/>
        <s v="https://chat-conecta.recife.pe.gov.br/live/5LtZLBm4BB5CydXsv/room-info"/>
        <s v="https://chat-conecta.recife.pe.gov.br/live/z5AFLveZahn5LB335/room-info"/>
        <s v="https://chat-conecta.recife.pe.gov.br/live/cmHwaWBLtngautWwb/room-info"/>
        <s v="https://chat-conecta.recife.pe.gov.br/live/GQuBWPyrtirt3myLb/room-info"/>
        <s v="https://chat-conecta.recife.pe.gov.br/live/w8xYeuGjv9cH2HsQy/room-info"/>
        <s v="https://chat-conecta.recife.pe.gov.br/live/KWRrFujNCZRsLaCFC/room-info"/>
        <s v="https://chat-conecta.recife.pe.gov.br/live/L6PK6tHPJG764ibck/room-info"/>
        <s v="https://chat-conecta.recife.pe.gov.br/live/5e7tMDSBGQDRkc29z/room-info"/>
        <s v="https://chat-conecta.recife.pe.gov.br/live/gzEttFBYRMnv5d8Yd/room-info"/>
        <s v="https://chat-conecta.recife.pe.gov.br/live/3xwE3ptvyFg7YmDtT/room-info"/>
        <s v="https://chat-conecta.recife.pe.gov.br/live/jrY2NJ46AQiT5Wpyd/room-info"/>
        <s v="https://chat-conecta.recife.pe.gov.br/live/xMBvEmYSZd2j362XZ/room-info"/>
        <s v="https://chat-conecta.recife.pe.gov.br/live/tvjp6pDo2uhRmuCjE/room-info"/>
        <s v="https://chat-conecta.recife.pe.gov.br/live/De8vsKptXwiSWqLxD/room-info"/>
        <s v="https://chat-conecta.recife.pe.gov.br/live/HeNbNXRRQAsjeYdNu/user-info"/>
        <s v="https://chat-conecta.recife.pe.gov.br/live/HPEYEb9v4H5SKn2Wu/user-info"/>
        <s v="https://chat-conecta.recife.pe.gov.br/live/8jGKJhrnWRGqhEPBT/user-info"/>
        <s v="https://chat-conecta.recife.pe.gov.br/live/isgXLanviyL3G59Ty/user-info"/>
        <s v="https://chat-conecta.recife.pe.gov.br/live/rx3vegabSnS5iZodZ/user-info"/>
        <s v="https://chat-conecta.recife.pe.gov.br/live/8Ynim4hHGfvXN6EGZ/user-info"/>
        <s v="https://chat-conecta.recife.pe.gov.br/live/2HRvs4qjch5K8kN64/user-info"/>
        <s v="https://chat-conecta.recife.pe.gov.br/live/rapXxPfrzoobNLhGK/user-info"/>
        <s v="https://chat-conecta.recife.pe.gov.br/live/NqJeEze4pEbwzf2Yn/user-info"/>
        <s v="https://chat-conecta.recife.pe.gov.br/live/Zbs96JhYHsca9teQs/room-info"/>
        <s v="https://chat-conecta.recife.pe.gov.br/live/rzLnXfNdugWLikBRZ/room-info"/>
        <s v="https://chat-conecta.recife.pe.gov.br/live/PkXBNzxzZcGmMQXSs"/>
        <s v="https://chat-conecta.recife.pe.gov.br/live/SZNc73qgbooY85svD"/>
        <s v="https://chat-conecta.recife.pe.gov.br/live/bjfQqbxdPAD6v6rtj"/>
        <s v="https://chat-conecta.recife.pe.gov.br/live/bAY9NTt8kywbYQ5dv"/>
        <s v="https://chat-conecta.recife.pe.gov.br/live/ZqEwu5isu6gDk2n4c"/>
        <s v="https://chat-conecta.recife.pe.gov.br/live/tevz39eMcPWpxxsyR"/>
        <s v="https://chat-conecta.recife.pe.gov.br/live/hineX9fQrPYgPo9bs/room-info"/>
        <s v="https://chat-conecta.recife.pe.gov.br/live/dwRWD6srjTzWsD9Cz"/>
        <s v="https://chat-conecta.recife.pe.gov.br/live/B3mNBycZyHFa9r6py"/>
        <s v="https://chat-conecta.recife.pe.gov.br/live/dm3vBLhWwfzP4Q5en/room-info"/>
        <s v="https://chat-conecta.recife.pe.gov.br/live/9AeaRH9NC6zTGwnxs/room-info"/>
        <s v="https://chat-conecta.recife.pe.gov.br/live/TQtBCgLkrd4PFzM28/room-info"/>
        <s v="https://chat-conecta.recife.pe.gov.br/live/n6FYiyaHifHEuTn8W/room-info"/>
        <s v="https://chat-conecta.recife.pe.gov.br/live/ndCe2RnbsjbYq6EYK/room-info"/>
        <s v="https://chat-conecta.recife.pe.gov.br/live/RfaFeGArBJtum2A4Y/room-info"/>
        <s v="https://chat-conecta.recife.pe.gov.br/live/vjHnnKNpMEyyNes4j/room-info"/>
        <s v="https://chat-conecta.recife.pe.gov.br/live/5cZw3C9xs2B5efvzE/room-info"/>
        <s v="https://chat-conecta.recife.pe.gov.br/live/aZWM9Ck73gpfS4HRg/room-info"/>
        <s v="https://chat-conecta.recife.pe.gov.br/live/TLa2HyAnQjNuAE9qf/room-info"/>
        <s v="https://chat-conecta.recife.pe.gov.br/live/23SajvLJCWRgWKkhe/room-info"/>
        <s v="https://chat-conecta.recife.pe.gov.br/live/qkCDXjSDZcZvnqE87/room-info"/>
        <s v="https://chat-conecta.recife.pe.gov.br/live/FPjb2X6nEg5B3ivim/room-info"/>
        <s v="https://chat-conecta.recife.pe.gov.br/live/swjY6LS9GXMyxMggD/room-info"/>
        <s v="https://chat-conecta.recife.pe.gov.br/live/CNNG4FYoy7rTxGfNS"/>
        <s v="https://chat-conecta.recife.pe.gov.br/live/a76hkBTHEoyQSf3WQ/room-info"/>
        <s v="https://chat-conecta.recife.pe.gov.br/live/kMkXfsmpd4QAXeeX8/room-info"/>
        <s v="https://chat-conecta.recife.pe.gov.br/live/jngDdGmoLDP6hJvWm"/>
        <s v="https://chat-conecta.recife.pe.gov.br/live/3ySpMCufvcGYxggDs/room-info"/>
        <s v="https://chat-conecta.recife.pe.gov.br/live/j3YXM3ShMxAXMYDzt/room-info"/>
        <s v="https://chat-conecta.recife.pe.gov.br/live/vyqcASbaKNy5pCdvA/room-info"/>
        <s v="https://chat-conecta.recife.pe.gov.br/live/EwPTP2AaAWMm4KSCp/room-info"/>
        <s v="https://chat-conecta.recife.pe.gov.br/live/pKSQmqqrmLMac4uBv/room-info"/>
        <s v="https://chat-conecta.recife.pe.gov.br/live/DbE3MjfgcW4KBqvN8/room-info"/>
        <s v="https://chat-conecta.recife.pe.gov.br/live/NNKR3geYk5siGhvE6/room-info"/>
        <s v="https://chat-conecta.recife.pe.gov.br/live/7FoJGNnQAtub8Pbeu/room-info"/>
        <s v="https://chat-conecta.recife.pe.gov.br/live/55tmgSH4BhovqPNbs/room-info"/>
        <s v="https://chat-conecta.recife.pe.gov.br/live/8tKSh2EoFxFghcTf6/room-info"/>
        <s v="https://chat-conecta.recife.pe.gov.br/live/o7anGEizDANG4Tz9g/room-info"/>
        <s v="https://chat-conecta.recife.pe.gov.br/live/7wQxrKnF4ZXWQtHJc/room-info"/>
        <s v="https://chat-conecta.recife.pe.gov.br/live/7H5TzgPCwjcroMExJ/room-info"/>
        <s v="https://chat-conecta.recife.pe.gov.br/live/kx654zdpddCyxS4TB/room-info"/>
        <s v="https://chat-conecta.recife.pe.gov.br/live/2DBGWFuYYz2ymZ5ES/room-info"/>
        <s v="https://chat-conecta.recife.pe.gov.br/live/78YnaFQcRbCBfHCtc/room-info"/>
        <s v="https://chat-conecta.recife.pe.gov.br/live/RRx5Pbp4NujcknTAi/room-info"/>
        <s v="https://chat-conecta.recife.pe.gov.br/live/rcikRKnCpkrFbE3C2/room-info"/>
        <s v="https://chat-conecta.recife.pe.gov.br/live/fRHqyqFRfAT4aiYqR/room-info"/>
        <s v="https://chat-conecta.recife.pe.gov.br/live/cypqiKKAtQgQMmhE6/room-info"/>
        <s v="https://chat-conecta.recife.pe.gov.br/live/JCQ28z4wYMD35H4jB/room-info"/>
        <s v="https://chat-conecta.recife.pe.gov.br/live/MeyJazrk6jviTybNu/room-info"/>
        <s v="https://chat-conecta.recife.pe.gov.br/live/BRNu54oBfuy8i2JbB/room-info"/>
        <s v="https://chat-conecta.recife.pe.gov.br/live/FaWuuad7DHZJdzvTZ/room-info"/>
        <s v="https://chat-conecta.recife.pe.gov.br/live/4jGR34HwGjZLBDHhJ/room-info"/>
        <s v="https://chat-conecta.recife.pe.gov.br/live/zjaJmoeKHqmLrdbXQ/room-info"/>
        <s v="https://chat-conecta.recife.pe.gov.br/live/CqqhrAkTraJsziQLB/room-info"/>
        <s v="https://chat-conecta.recife.pe.gov.br/live/MBHK9sacp5YshTco3/room-info"/>
        <s v="https://chat-conecta.recife.pe.gov.br/live/pZPj5MoAq8fMgw7mr/room-info"/>
        <s v="https://chat-conecta.recife.pe.gov.br/live/XF9qmAuTB9Gek27EH/room-info"/>
        <s v="https://chat-conecta.recife.pe.gov.br/live/vBMwu3ssfvsrrMPzQ/room-info"/>
        <s v="https://chat-conecta.recife.pe.gov.br/live/zk9NnbhtfBrQ7SBgu"/>
        <s v="https://chat-conecta.recife.pe.gov.br/live/RfFjHHssLjvexk2fp/room-info"/>
        <s v="https://chat-conecta.recife.pe.gov.br/live/mDq8SX9ySjwpCFJyk"/>
        <s v="https://chat-conecta.recife.pe.gov.br/live/uDqD2k8CZndhFmgni/room-info"/>
        <s v="https://chat-conecta.recife.pe.gov.br/live/zsX6xGxtDjdMbnoCG/room-info"/>
        <s v="https://chat-conecta.recife.pe.gov.br/live/ZiE3fQRPZphYWRBwP/room-info"/>
        <s v="https://chat-conecta.recife.pe.gov.br/live/Spijqfgib2aYm3pg6/room-info"/>
        <s v="https://chat-conecta.recife.pe.gov.br/live/dcd55dDsGgHRCeGzQ/room-info"/>
        <s v="https://chat-conecta.recife.pe.gov.br/live/rxsnhicykwTNSMuP9/room-info"/>
        <s v="https://chat-conecta.recife.pe.gov.br/live/n7oX7FgRtPjXMp4ub/room-info"/>
        <s v="https://chat-conecta.recife.pe.gov.br/live/C72aX2dcqjFhyA9Go/room-info"/>
        <s v="https://chat-conecta.recife.pe.gov.br/live/iGE4DKSuaLEy3ri2d/room-info"/>
        <s v="https://chat-conecta.recife.pe.gov.br/live/AFGrTpCrrTBDNB3xv/room-info"/>
        <s v="https://chat-conecta.recife.pe.gov.br/live/BDNWvqX4wD2rjW7SH/room-info"/>
        <s v="https://chat-conecta.recife.pe.gov.br/live/YqEtsef8GL38Hfqgj/room-info"/>
        <s v="https://chat-conecta.recife.pe.gov.br/live/FW4ExGqp85e4SYzp4/room-info"/>
        <s v="https://chat-conecta.recife.pe.gov.br/live/7kBGLduZWHMkBJus2/room-info"/>
        <s v="https://chat-conecta.recife.pe.gov.br/live/JfAxyH2xHxCmXc7aL/room-info"/>
        <s v="https://chat-conecta.recife.pe.gov.br/live/7edbgt6kx8eSsE3e3/room-info"/>
        <s v="https://chat-conecta.recife.pe.gov.br/live/hn7qjTy43jfxeACHb/room-info"/>
        <s v="https://chat-conecta.recife.pe.gov.br/live/HvqNmpH2dWZF2sGG3/room-info"/>
        <s v="https://chat-conecta.recife.pe.gov.br/live/fH3xSeHGSjDF5cwFy/room-info"/>
        <s v="https://chat-conecta.recife.pe.gov.br/live/dBTsvLXFiCXBvo3i2/room-info"/>
        <s v="https://chat-conecta.recife.pe.gov.br/live/ujvxGgnHBi6CaHowQ/room-info"/>
        <s v="https://chat-conecta.recife.pe.gov.br/live/puhWKNakYd8RRQDpv/room-info"/>
        <s v="https://chat-conecta.recife.pe.gov.br/live/cRnFdBmTQTzNJML72/room-info"/>
        <s v="https://chat-conecta.recife.pe.gov.br/live/KZRoAoxzbQhotGBwE/room-info"/>
        <s v="https://chat-conecta.recife.pe.gov.br/live/ArfTGhTapRRh8aNgx/room-info"/>
        <s v="https://chat-conecta.recife.pe.gov.br/live/PAQLWTmb3LcDrAsAg/room-info"/>
        <s v="https://chat-conecta.recife.pe.gov.br/live/NYZeSvpu9peMtidu5/room-info"/>
        <s v="https://chat-conecta.recife.pe.gov.br/live/pdyqXzjYhFfySCy3N/room-info"/>
        <s v="https://chat-conecta.recife.pe.gov.br/live/2QJKNed4QF7wY3eqh/room-info"/>
        <s v="https://chat-conecta.recife.pe.gov.br/live/dYCtG6Q26P4fMRj8y/room-info"/>
        <s v="https://chat-conecta.recife.pe.gov.br/live/fqji29rXMYuX8g6m5/room-info"/>
        <s v="https://chat-conecta.recife.pe.gov.br/live/mGgpYPJ3qbmff9uWj/room-info"/>
        <s v="https://chat-conecta.recife.pe.gov.br/live/ZvGj4kQp5Swiaeo5p/room-info"/>
        <s v="https://chat-conecta.recife.pe.gov.br/live/CJCWWq4JbYsdotwXY/room-info"/>
        <s v="https://chat-conecta.recife.pe.gov.br/live/qpWou5dafYFwYEqkN/room-info"/>
        <s v="https://chat-conecta.recife.pe.gov.br/live/MXfjMomGS3SnFcF4p/room-info"/>
        <s v="https://chat-conecta.recife.pe.gov.br/live/qxt8g6EhykZ5PCRMs/room-info"/>
        <s v="https://chat-conecta.recife.pe.gov.br/live/yQ7rM3jCmcTJCEcd8/room-info"/>
        <s v="HopChat PMR (recife.pe.gov.br)"/>
        <s v="https://chat-conecta.recife.pe.gov.br/live/uh9gkmy9mhM2N3D48/room-info"/>
        <s v="https://chat-conecta.recife.pe.gov.br/live/yLRexBnz8xuYYmLL5/room-info"/>
        <s v="https://chat-conecta.recife.pe.gov.br/live/pp92cf3CPaAqNww5d/room-info"/>
        <s v="https://chat-conecta.recife.pe.gov.br/live/kmR6MRRPXD8N9RjR3/room-info"/>
        <s v="https://chat-conecta.recife.pe.gov.br/live/DrjDnLKDHJP9Ct3Y9/room-info"/>
        <s v="https://chat-conecta.recife.pe.gov.br/live/8ZWx5u5Rfra9mRusE/room-info"/>
        <s v="https://chat-conecta.recife.pe.gov.br/live/ZmKwj5AA5D98KhPKg/room-info"/>
        <s v="https://chat-conecta.recife.pe.gov.br/live/gTgekjMvpQSpsLXCC/room-info"/>
        <s v="https://chat-conecta.recife.pe.gov.br/live/f3FZGXoFyKfZLHJdL/room-info"/>
        <s v="https://chat-conecta.recife.pe.gov.br/live/jAtkJKQf9LQozjcPs/room-info"/>
        <s v="https://chat-conecta.recife.pe.gov.br/live/ha38z4BjpD8CWE3D3/room-info"/>
        <s v="https://chat-conecta.recife.pe.gov.br/live/ToeTmfK4QHYwHpYba/user-info"/>
        <s v="https://chat-conecta.recife.pe.gov.br/live/aNSfxTnRZs7o5zsGr/room-info"/>
        <s v="https://chat-conecta.recife.pe.gov.br/live/TGBfXDRTuJTCD63NK/room-info"/>
        <s v="https://chat-conecta.recife.pe.gov.br/live/A7cSH5wpz7chD24rL/room-info"/>
        <s v="https://chat-conecta.recife.pe.gov.br/live/rGPhKvbf4XXCHvhLb/room-info"/>
        <s v="https://chat-conecta.recife.pe.gov.br/live/MCMvXyDPKmPBNy27S/room-info"/>
        <s v="https://chat-conecta.recife.pe.gov.br/live/Whn5KDJnxRTyBHC5C/room-info"/>
        <s v="chat-conecta.recife.pe.gov.br/live/mHivMePBmHmqNga6H/room-info"/>
        <s v="https://chat-conecta.recife.pe.gov.br/live/CnxBKQH8KymnojqCP/room-info"/>
        <s v="https://chat-conecta.recife.pe.gov.br/live/qztMGMbSBquJzTQMk/room-info"/>
        <s v="https://chat-conecta.recife.pe.gov.br/live/77wRGJBi3bMGye53k/room-info"/>
        <s v="https://chat-conecta.recife.pe.gov.br/live/9F4uSSvb2RYbHXo3b/room-info"/>
        <s v="https://chat-conecta.recife.pe.gov.br/live/gXuEtQ7z54pPKKb5a/room-info"/>
        <s v="https://chat-conecta.recife.pe.gov.br/live/84kZepyKnNT9kBcqy"/>
        <s v="https://chat-conecta.recife.pe.gov.br/live/oB7Cr9Tv3FQQ4wBBF/room-info"/>
        <s v="https://chat-conecta.recife.pe.gov.br/live/nRaRXn8KLuGdA4gRs/room-info"/>
        <s v="https://chat-conecta.recife.pe.gov.br/live/pxcQX6mLaeSdWrv3F/room-info"/>
        <s v="https://chat-conecta.recife.pe.gov.br/live/GGZhQ75mX6jHpiHYD/room-info"/>
        <s v="https://chat-conecta.recife.pe.gov.br/live/PHH8uM8mJgbCKaQba"/>
        <s v="https://chat-conecta.recife.pe.gov.br/live/yKk43jpMkFa7T2rB4"/>
        <s v="https://chat-conecta.recife.pe.gov.br/live/8n4TiCLjpMkSQcAfz/room-info"/>
        <s v="https://chat-conecta.recife.pe.gov.br/live/cDXhcWZkS5dpB4DPC"/>
        <s v="https://chat-conecta.recife.pe.gov.br/live/diGYeJpXsnNbSTwC6/room-info"/>
        <s v="https://chat-conecta.recife.pe.gov.br/live/tRyEyyf6wc2ZLhgbw/room-info"/>
        <s v="https://chat-conecta.recife.pe.gov.br/live/Ydm6MF4XeXHHmvhyL/room-info"/>
        <s v="https://chat-conecta.recife.pe.gov.br/live/q7qLw5rEdtbMk9xAS/room-info"/>
        <s v="https://chat-conecta.recife.pe.gov.br/live/JPEZ44uZ76bRL44i5/room-info"/>
        <s v="https://chat-conecta.recife.pe.gov.br/live/R8QPbDaxidkfvtGfN/room-info"/>
        <s v="https://chat-conecta.recife.pe.gov.br/live/viQ3ax49sv8Rx99So/room-info"/>
        <s v="https://chat-conecta.recife.pe.gov.br/live/geFmg2EKyJRxaC6qR/room-info"/>
        <s v="https://chat-conecta.recife.pe.gov.br/live/PgAwrh6cAHYDEfxme/room-info"/>
        <s v="https://chat-conecta.recife.pe.gov.br/live/FQteeGosTc8Ckf42B/room-info"/>
        <s v="https://chat-conecta.recife.pe.gov.br/live/RdTN4zDkBG4iybRda/room-infoo"/>
        <s v="https://chat-conecta.recife.pe.gov.br/live/9ko25QzKYj9sqnbdq/room-info"/>
        <s v="https://chat-conecta.recife.pe.gov.br/live/6QHsRSMt2Kwk8hgQK/room-info"/>
        <s v="https://chat-conecta.recife.pe.gov.br/live/2fcb8DknRBsWAyF4v/room-info"/>
        <s v="https://chat-conecta.recife.pe.gov.br/live/PNYFSKJybRmpcmcG6/room-info"/>
        <s v="https://chat-conecta.recife.pe.gov.br/live/AZFwYwBBuBi7bWnrQ/room-info"/>
        <s v="https://chat-conecta.recife.pe.gov.br/live/Fgt24zsWyhwxiRTYf/room-info"/>
        <s v="https://chat-conecta.recife.pe.gov.br/live/uhTazBxJyZcDBC8Ng/room-info"/>
        <s v="https://chat-conecta.recife.pe.gov.br/live/sXJAwZ4MxbPkTPKzN/room-info"/>
        <s v="https://chat-conecta.recife.pe.gov.br/live/A4gpe25soqNdbxRFZ/room-info"/>
        <s v="https://chat-conecta.recife.pe.gov.br/live/JFbzZMcFPrWLShvTj/room-info"/>
        <s v="https://chat-conecta.recife.pe.gov.br/live/zoLmb4NgyC4S42qky/room-info"/>
        <s v="https://chat-conecta.recife.pe.gov.br/live/ZzxcdyxoKBXWqEx8L/room-info"/>
        <s v="https://chat-conecta.recife.pe.gov.br/live/955u4rx7HG9Mpy2nM/room-info"/>
        <s v="https://chat-conecta.recife.pe.gov.br/live/icrnbX8bsRWgcaHrz/room-info"/>
        <s v="https://chat-conecta.recife.pe.gov.br/live/jAk48jTZE3mCiocgd/room-info"/>
        <s v="https://chat-conecta.recife.pe.gov.br/live/JQctaFSw8guuCeD8f/room-info"/>
        <s v="https://chat-conecta.recife.pe.gov.br/live/YB26ag5Nxu96Pjmop/room-info"/>
        <s v="https://chat-conecta.recife.pe.gov.br/live/yH5D3qc3uSeBMDzmK/room-info"/>
        <s v="https://chat-conecta.recife.pe.gov.br/live/b7ZZbys3M82mDsQXB/room-info"/>
        <s v="https://chat-conecta.recife.pe.gov.br/live/TmaiHmXJxu9ivNAhn/room-info"/>
        <s v="https://chat-conecta.recife.pe.gov.br/live/MqnvoHGizXHioZwMF/room-info"/>
        <s v="https://chat-conecta.recife.pe.gov.br/live/c6cy265MoCAKXPZ2Q/room-info"/>
        <s v="https://chat-conecta.recife.pe.gov.br/live/rA49Gi9pLtvJqYFcD/room-info"/>
        <s v="https://chat-conecta.recife.pe.gov.br/live/KrJQGQpAJdRyNn9hm/room-info"/>
        <s v="https://chat-conecta.recife.pe.gov.br/live/4SckSy8FZPyPDnXGC/room-info"/>
        <s v="https://chat-conecta.recife.pe.gov.br/live/AJ5fgWecJgPzmgZ3c/room-info"/>
        <s v="https://chat-conecta.recife.pe.gov.br/live/r2vCba92xFfjXGubQ/room-info"/>
        <s v="https://chat-conecta.recife.pe.gov.br/live/eEqz97ddknidsNAk5/room-info"/>
        <s v="https://chat-conecta.recife.pe.gov.br/live/v74dpquyLqLkGEkGB/room-info"/>
        <s v="https://chat-conecta.recife.pe.gov.br/live/BjKjf5h6Ya4iE4tH7/room-info"/>
        <s v="https://chat-conecta.recife.pe.gov.br/live/eZ7yqcQmFGsFmnHqa/room-info"/>
        <s v="https://chat-conecta.recife.pe.gov.br/live/qCzpNz8jExyYcSmvB/room-info"/>
        <s v="https://chat-conecta.recife.pe.gov.br/live/taQwWtCx3RhwPBm4u/room-info"/>
        <s v="https://chat-conecta.recife.pe.gov.br/live/Mxqt6hpp5mrjjfoq6/room-info"/>
        <s v="https://chat-conecta.recife.pe.gov.br/live/Smo9rxurdnfGrdPpB/room-info"/>
        <s v="https://chat-conecta.recife.pe.gov.br/live/azaWKjbsSxSZr69o9/room-info"/>
        <s v="https://chat-conecta.recife.pe.gov.br/live/GAvPSFPH9i8vNkYqb/room-info"/>
        <s v="https://chat-conecta.recife.pe.gov.br/live/89b5s9wQAaWpPEuaX/room-info"/>
        <s v="https://chat-conecta.recife.pe.gov.br/live/WjjRMwoQFnkHn7Tdj/room-info"/>
        <s v="https://chat-conecta.recife.pe.gov.br/live/adG3qc9SLfoFxijYw/room-info"/>
        <s v="https://chat-conecta.recife.pe.gov.br/live/qEJSrwaL6Tgq38is2/room-info"/>
        <s v="https://chat-conecta.recife.pe.gov.br/live/5gZv7as8kwDw2Hz93/room-info"/>
        <s v="https://chat-conecta.recife.pe.gov.br/live/Qg8kj5FCy59eT6smt/room-info"/>
        <s v="https://chat-conecta.recife.pe.gov.br/live/vzfHN68TvKPzQR2ge/room-info"/>
        <s v="https://chat-conecta.recife.pe.gov.br/live/qQfgAWkmGe5ai8Kfq/room-info"/>
        <s v="https://chat-conecta.recife.pe.gov.br/live/XJJE2AewA3eKcfBHG/room-info"/>
        <s v="https://chat-conecta.recife.pe.gov.br/live/KjmJRtAmGhjGJuD5q/room-info"/>
        <s v="https://chat-conecta.recife.pe.gov.br/live/cTYXQiLffNEjYj6ns/room-info"/>
        <s v="https://chat-conecta.recife.pe.gov.br/live/F68ghf4L44gJPaMMe"/>
        <s v="https://chat-conecta.recife.pe.gov.br/live/swDDisvdfKzSfBd4W/room-info"/>
        <s v="https://chat-conecta.recife.pe.gov.br/live/tdLmsHJ8SDvK3AecL"/>
        <s v="https://chat-conecta.recife.pe.gov.br/live/seZCm8pF5eH9RshW9/room-info"/>
        <s v="https://chat-conecta.recife.pe.gov.br/live/6eB2dMyTnRxLCYesc/room-info"/>
        <s v="https://chat-conecta.recife.pe.gov.br/live/TNgH8HfF6ogsMr22o/room-info"/>
        <s v="https://chat-conecta.recife.pe.gov.br/live/ggZhDwe4qy6unHLqN"/>
        <s v="https://chat-conecta.recife.pe.gov.br/live/wvATB2mwtXp5xza7k/room-info"/>
        <s v="https://chat-conecta.recife.pe.gov.br/live/K3Y9GLFzEW5rdGYg3/room-info"/>
        <s v="https://chat-conecta.recife.pe.gov.br/live/xeowPsaA5QR7iWFCH/room-info"/>
        <s v="https://chat-conecta.recife.pe.gov.br/live/azXL63v4ndPaoRzLn/room-info"/>
        <s v="https://chat-conecta.recife.pe.gov.br/live/DENsZWLLNHP4ELJ6x/room-info"/>
        <s v="https://chat-conecta.recife.pe.gov.br/live/daan5dorJFXScbNi7/room-info"/>
        <s v="https://chat-conecta.recife.pe.gov.br/live/iZ2c9nx9mPARxxtkP/room-info"/>
        <s v="https://chat-conecta.recife.pe.gov.br/live/qNNsT3k3bDBEYNJ2u/room-info"/>
        <s v="https://chat-conecta.recife.pe.gov.br/live/6hEAZryCpfprR7uLx/room-info"/>
        <s v="https://chat-conecta.recife.pe.gov.br/live/zLaWsSFyqEsRGgXpB/room-info"/>
        <s v="https://chat-conecta.recife.pe.gov.br/live/HAMEsiuZtqaNo2GKR/room-info"/>
        <s v="https://chat-conecta.recife.pe.gov.br/live/wshFso8wKbmnpobk6/room-info"/>
        <s v="https://chat-conecta.recife.pe.gov.br/live/B2J9vi6EA97xSvXbm/room-info"/>
        <s v="https://chat-conecta.recife.pe.gov.br/live/B7MNHCYjcWFsBP42D/room-info"/>
        <s v="https://chat-conecta.recife.pe.gov.br/live/jQzzKT6d4pJuKpwsT/room-info"/>
        <s v="https://chat-conecta.recife.pe.gov.br/live/JFYuM2AihS2gMm2Rs/room-info"/>
        <s v="https://chat-conecta.recife.pe.gov.br/live/cKwWmiW5jRfgcz5Ap/room-info"/>
        <s v="https://chat-conecta.recife.pe.gov.br/live/YM6PbTkXG92kFvPqw/room-info"/>
        <s v="https://chat-conecta.recife.pe.gov.br/live/jTQvid9WmvcSvgs5Y/room-info"/>
        <s v="https://chat-conecta.recife.pe.gov.br/live/bXMWJGHYtnFRnusuC/room-info"/>
        <s v="https://chat-conecta.recife.pe.gov.br/live/mYMBDWR6iTM2WJK9r/room-info"/>
        <s v="https://chat-conecta.recife.pe.gov.br/live/dbEyzA5eewepMT73J/room-info"/>
        <s v="https://chat-conecta.recife.pe.gov.br/live/gY3WamkfJ93qiRqcz/room-info"/>
        <s v="https://chat-conecta.recife.pe.gov.br/live/yZgYqzC3j2iW9Xzri"/>
        <s v="https://chat-conecta.recife.pe.gov.br/live/HAMEsiuZtqaNo2GKR/room-infoo"/>
        <s v="https://chat-conecta.recife.pe.gov.br/live/Xh22qxheM6jSLwcro/room-info"/>
        <s v="https://chat-conecta.recife.pe.gov.br/live/xxvrSL2rRZCTZfuKr/room-info"/>
        <s v="https://chat-conecta.recife.pe.gov.br/live/j9DNDTRrq9ySBDLy4/room-info"/>
        <s v="https://chat-conecta.recife.pe.gov.br/live/fowZKxsWwHwttQkKC/room-info"/>
        <s v="https://chat-conecta.recife.pe.gov.br/live/kEj435bmgoaLzAfq2/room-info"/>
        <s v="https://chat-conecta.recife.pe.gov.br/live/4svW7AAi2SvHBj9cv/room-info"/>
        <s v="https://chat-conecta.recife.pe.gov.br/live/ffZmqHZBiANLCNzvE/room-info"/>
        <s v="https://chat-conecta.recife.pe.gov.br/live/DhwvQgJr7ZQD5imPn/room-info"/>
        <s v="https://chat-conecta.recife.pe.gov.br/live/YyW9Pfrda8v2DbEGj/room-info"/>
        <s v="https://chat-conecta.recife.pe.gov.br/live/JPqXobYPHNBTjP7X2/room-info"/>
        <s v="https://chat-conecta.recife.pe.gov.br/live/FHDZEbjqFiCcDm4cp/room-info"/>
        <s v="https://chat-conecta.recife.pe.gov.br/live/mCxqssEcJiawXShrw/room-info"/>
        <s v="https://chat-conecta.recife.pe.gov.br/live/gYzuuxsdkPLt6xdsG/room-info"/>
        <s v="https://chat-conecta.recife.pe.gov.br/live/CeSGLWQpBcX2iNY9G/room-info"/>
        <s v="https://chat-conecta.recife.pe.gov.br/live/277Wo2zoXGHSZsp6P/room-info"/>
      </sharedItems>
    </cacheField>
    <cacheField name="ATENDIMENTO REALIZADO COM SUCESSO?" numFmtId="0">
      <sharedItems containsBlank="1" containsNumber="1" containsInteger="1" containsMixedTypes="1" count="5">
        <n v="86"/>
        <s v="SIM"/>
        <s v="NÃO"/>
        <m/>
        <s v="NÂO"/>
      </sharedItems>
    </cacheField>
    <cacheField name="OBS" numFmtId="0">
      <sharedItems containsBlank="1" count="41">
        <m/>
        <s v="Demanda relacionada a dúvidas sobre auxílio"/>
        <s v="Entrou no atendimento errado, era dúvidas sobre covid-19"/>
        <s v="Alexandra?? finalizou a conversa"/>
        <s v="Dúvida onde fazer o PN"/>
        <s v="Informa que não desejava mais o atendimento"/>
        <s v="Cólicas ou contrações;"/>
        <s v="Gestante de rede privada"/>
        <s v="Dor de dente"/>
        <s v="Menu Já tive meu bebê/Puerpério"/>
        <s v="Menu Cuidados com RN/Dúvidas sobre amamentação"/>
        <s v="Menu Já tive meu bebê/ Perpério"/>
        <s v="Não queria mais atendimento"/>
        <s v="interagiu na recepção, porém não interagiu no consultório"/>
        <s v="Gestante de Paulista"/>
        <s v="Olinda"/>
        <s v="Ao ligar gestante desligou o telefone "/>
        <s v="Paulista"/>
        <s v="Abreu e Lima"/>
        <s v="Jaboatão"/>
        <s v="01/07- sem demanda noturna"/>
        <s v="04/07 - sem demanda noturna"/>
        <s v="06/07 - sem demanda noturna"/>
        <s v="11/07 - sem demanda noturna"/>
        <s v="21/07 sem DN"/>
        <s v="Dia 30/07 sem demanda noturna"/>
        <s v="Dia 04,05,06/08 sem DN"/>
        <s v="08/08 sem DN"/>
        <s v="24/08 sem DN"/>
        <s v="26/08 sem DN"/>
        <s v="São Lourenço"/>
        <s v="Sem indentificação na conversa"/>
        <s v="Recebeu o atendimento, depois não interagiu mais."/>
        <s v="Sem identificação na conversa"/>
        <s v="Não era gestante/puérpera"/>
        <s v="Paciente de outro município"/>
        <s v="teste"/>
        <s v="Usuária de outro município"/>
        <s v="Iniciou o atendimento, mas a paciente não interagiu mais"/>
        <s v="Não conseguiu finalizar tele pq paciente tava com problema no cel "/>
        <s v="A paciente conseguiu a orientação e não interagiu mais, "/>
      </sharedItems>
    </cacheField>
  </cacheFields>
</pivotCacheDefinition>
</file>

<file path=xl/pivotCache/pivotCacheRecords1.xml><?xml version="1.0" encoding="utf-8"?>
<pivotCacheRecords xmlns="http://schemas.openxmlformats.org/spreadsheetml/2006/main" xmlns:r="http://schemas.openxmlformats.org/officeDocument/2006/relationships" count="1707">
  <r>
    <x v="0"/>
    <x v="0"/>
    <x v="0"/>
    <x v="0"/>
    <x v="0"/>
    <x v="0"/>
    <x v="0"/>
    <x v="0"/>
    <x v="0"/>
    <x v="0"/>
    <x v="0"/>
    <x v="0"/>
    <x v="0"/>
    <x v="0"/>
    <x v="0"/>
    <x v="0"/>
    <x v="0"/>
    <x v="0"/>
    <x v="0"/>
    <x v="0"/>
    <x v="0"/>
    <x v="0"/>
    <x v="0"/>
    <x v="0"/>
    <x v="0"/>
    <x v="0"/>
    <x v="0"/>
    <x v="0"/>
    <x v="0"/>
    <x v="0"/>
    <x v="0"/>
    <x v="0"/>
    <x v="0"/>
    <x v="0"/>
  </r>
  <r>
    <x v="1"/>
    <x v="0"/>
    <x v="0"/>
    <x v="0"/>
    <x v="0"/>
    <x v="0"/>
    <x v="0"/>
    <x v="0"/>
    <x v="0"/>
    <x v="0"/>
    <x v="0"/>
    <x v="0"/>
    <x v="0"/>
    <x v="0"/>
    <x v="0"/>
    <x v="0"/>
    <x v="0"/>
    <x v="0"/>
    <x v="0"/>
    <x v="0"/>
    <x v="0"/>
    <x v="0"/>
    <x v="0"/>
    <x v="0"/>
    <x v="0"/>
    <x v="0"/>
    <x v="0"/>
    <x v="0"/>
    <x v="0"/>
    <x v="0"/>
    <x v="0"/>
    <x v="0"/>
    <x v="0"/>
    <x v="0"/>
  </r>
  <r>
    <x v="2"/>
    <x v="0"/>
    <x v="0"/>
    <x v="0"/>
    <x v="0"/>
    <x v="0"/>
    <x v="0"/>
    <x v="0"/>
    <x v="0"/>
    <x v="0"/>
    <x v="0"/>
    <x v="0"/>
    <x v="0"/>
    <x v="0"/>
    <x v="0"/>
    <x v="0"/>
    <x v="0"/>
    <x v="0"/>
    <x v="0"/>
    <x v="0"/>
    <x v="0"/>
    <x v="0"/>
    <x v="0"/>
    <x v="0"/>
    <x v="0"/>
    <x v="0"/>
    <x v="0"/>
    <x v="0"/>
    <x v="0"/>
    <x v="0"/>
    <x v="0"/>
    <x v="0"/>
    <x v="0"/>
    <x v="0"/>
  </r>
  <r>
    <x v="3"/>
    <x v="1"/>
    <x v="1"/>
    <x v="1"/>
    <x v="1"/>
    <x v="1"/>
    <x v="1"/>
    <x v="1"/>
    <x v="0"/>
    <x v="1"/>
    <x v="0"/>
    <x v="0"/>
    <x v="0"/>
    <x v="1"/>
    <x v="1"/>
    <x v="1"/>
    <x v="1"/>
    <x v="1"/>
    <x v="1"/>
    <x v="1"/>
    <x v="1"/>
    <x v="1"/>
    <x v="1"/>
    <x v="1"/>
    <x v="1"/>
    <x v="1"/>
    <x v="0"/>
    <x v="1"/>
    <x v="1"/>
    <x v="1"/>
    <x v="0"/>
    <x v="1"/>
    <x v="0"/>
    <x v="0"/>
  </r>
  <r>
    <x v="4"/>
    <x v="2"/>
    <x v="2"/>
    <x v="2"/>
    <x v="2"/>
    <x v="1"/>
    <x v="2"/>
    <x v="2"/>
    <x v="1"/>
    <x v="1"/>
    <x v="1"/>
    <x v="0"/>
    <x v="0"/>
    <x v="1"/>
    <x v="1"/>
    <x v="2"/>
    <x v="1"/>
    <x v="1"/>
    <x v="1"/>
    <x v="1"/>
    <x v="1"/>
    <x v="2"/>
    <x v="2"/>
    <x v="1"/>
    <x v="2"/>
    <x v="2"/>
    <x v="0"/>
    <x v="1"/>
    <x v="1"/>
    <x v="1"/>
    <x v="0"/>
    <x v="2"/>
    <x v="1"/>
    <x v="0"/>
  </r>
  <r>
    <x v="5"/>
    <x v="3"/>
    <x v="3"/>
    <x v="3"/>
    <x v="3"/>
    <x v="1"/>
    <x v="2"/>
    <x v="3"/>
    <x v="0"/>
    <x v="1"/>
    <x v="2"/>
    <x v="0"/>
    <x v="0"/>
    <x v="2"/>
    <x v="2"/>
    <x v="3"/>
    <x v="2"/>
    <x v="1"/>
    <x v="1"/>
    <x v="1"/>
    <x v="1"/>
    <x v="3"/>
    <x v="2"/>
    <x v="2"/>
    <x v="3"/>
    <x v="3"/>
    <x v="0"/>
    <x v="2"/>
    <x v="0"/>
    <x v="1"/>
    <x v="0"/>
    <x v="3"/>
    <x v="0"/>
    <x v="0"/>
  </r>
  <r>
    <x v="6"/>
    <x v="4"/>
    <x v="4"/>
    <x v="4"/>
    <x v="4"/>
    <x v="1"/>
    <x v="1"/>
    <x v="4"/>
    <x v="0"/>
    <x v="1"/>
    <x v="3"/>
    <x v="0"/>
    <x v="0"/>
    <x v="1"/>
    <x v="1"/>
    <x v="1"/>
    <x v="2"/>
    <x v="1"/>
    <x v="2"/>
    <x v="1"/>
    <x v="1"/>
    <x v="4"/>
    <x v="1"/>
    <x v="2"/>
    <x v="2"/>
    <x v="4"/>
    <x v="0"/>
    <x v="1"/>
    <x v="2"/>
    <x v="1"/>
    <x v="0"/>
    <x v="4"/>
    <x v="2"/>
    <x v="1"/>
  </r>
  <r>
    <x v="7"/>
    <x v="5"/>
    <x v="5"/>
    <x v="5"/>
    <x v="5"/>
    <x v="1"/>
    <x v="2"/>
    <x v="5"/>
    <x v="2"/>
    <x v="2"/>
    <x v="0"/>
    <x v="1"/>
    <x v="0"/>
    <x v="1"/>
    <x v="1"/>
    <x v="1"/>
    <x v="2"/>
    <x v="1"/>
    <x v="3"/>
    <x v="1"/>
    <x v="1"/>
    <x v="5"/>
    <x v="2"/>
    <x v="1"/>
    <x v="2"/>
    <x v="5"/>
    <x v="0"/>
    <x v="1"/>
    <x v="3"/>
    <x v="1"/>
    <x v="0"/>
    <x v="4"/>
    <x v="3"/>
    <x v="0"/>
  </r>
  <r>
    <x v="8"/>
    <x v="6"/>
    <x v="6"/>
    <x v="6"/>
    <x v="6"/>
    <x v="1"/>
    <x v="3"/>
    <x v="6"/>
    <x v="3"/>
    <x v="1"/>
    <x v="4"/>
    <x v="0"/>
    <x v="0"/>
    <x v="1"/>
    <x v="1"/>
    <x v="1"/>
    <x v="2"/>
    <x v="1"/>
    <x v="2"/>
    <x v="1"/>
    <x v="1"/>
    <x v="6"/>
    <x v="2"/>
    <x v="1"/>
    <x v="2"/>
    <x v="6"/>
    <x v="1"/>
    <x v="1"/>
    <x v="4"/>
    <x v="1"/>
    <x v="0"/>
    <x v="5"/>
    <x v="0"/>
    <x v="0"/>
  </r>
  <r>
    <x v="9"/>
    <x v="6"/>
    <x v="6"/>
    <x v="6"/>
    <x v="0"/>
    <x v="1"/>
    <x v="3"/>
    <x v="6"/>
    <x v="4"/>
    <x v="1"/>
    <x v="4"/>
    <x v="0"/>
    <x v="0"/>
    <x v="3"/>
    <x v="3"/>
    <x v="2"/>
    <x v="1"/>
    <x v="1"/>
    <x v="2"/>
    <x v="1"/>
    <x v="1"/>
    <x v="7"/>
    <x v="2"/>
    <x v="3"/>
    <x v="4"/>
    <x v="6"/>
    <x v="1"/>
    <x v="3"/>
    <x v="0"/>
    <x v="1"/>
    <x v="0"/>
    <x v="0"/>
    <x v="0"/>
    <x v="0"/>
  </r>
  <r>
    <x v="10"/>
    <x v="7"/>
    <x v="7"/>
    <x v="7"/>
    <x v="7"/>
    <x v="1"/>
    <x v="1"/>
    <x v="7"/>
    <x v="5"/>
    <x v="3"/>
    <x v="0"/>
    <x v="0"/>
    <x v="0"/>
    <x v="1"/>
    <x v="1"/>
    <x v="1"/>
    <x v="2"/>
    <x v="1"/>
    <x v="1"/>
    <x v="1"/>
    <x v="1"/>
    <x v="8"/>
    <x v="1"/>
    <x v="1"/>
    <x v="2"/>
    <x v="7"/>
    <x v="2"/>
    <x v="0"/>
    <x v="0"/>
    <x v="1"/>
    <x v="0"/>
    <x v="0"/>
    <x v="0"/>
    <x v="0"/>
  </r>
  <r>
    <x v="11"/>
    <x v="7"/>
    <x v="7"/>
    <x v="7"/>
    <x v="8"/>
    <x v="1"/>
    <x v="1"/>
    <x v="8"/>
    <x v="5"/>
    <x v="1"/>
    <x v="4"/>
    <x v="0"/>
    <x v="0"/>
    <x v="1"/>
    <x v="2"/>
    <x v="3"/>
    <x v="2"/>
    <x v="1"/>
    <x v="2"/>
    <x v="1"/>
    <x v="1"/>
    <x v="8"/>
    <x v="1"/>
    <x v="1"/>
    <x v="2"/>
    <x v="7"/>
    <x v="3"/>
    <x v="1"/>
    <x v="5"/>
    <x v="1"/>
    <x v="0"/>
    <x v="6"/>
    <x v="4"/>
    <x v="0"/>
  </r>
  <r>
    <x v="12"/>
    <x v="2"/>
    <x v="2"/>
    <x v="2"/>
    <x v="0"/>
    <x v="1"/>
    <x v="2"/>
    <x v="2"/>
    <x v="1"/>
    <x v="1"/>
    <x v="1"/>
    <x v="0"/>
    <x v="0"/>
    <x v="3"/>
    <x v="1"/>
    <x v="1"/>
    <x v="2"/>
    <x v="1"/>
    <x v="1"/>
    <x v="1"/>
    <x v="2"/>
    <x v="0"/>
    <x v="2"/>
    <x v="3"/>
    <x v="4"/>
    <x v="2"/>
    <x v="0"/>
    <x v="0"/>
    <x v="0"/>
    <x v="1"/>
    <x v="0"/>
    <x v="0"/>
    <x v="0"/>
    <x v="0"/>
  </r>
  <r>
    <x v="13"/>
    <x v="5"/>
    <x v="5"/>
    <x v="5"/>
    <x v="0"/>
    <x v="1"/>
    <x v="2"/>
    <x v="5"/>
    <x v="2"/>
    <x v="2"/>
    <x v="0"/>
    <x v="2"/>
    <x v="0"/>
    <x v="3"/>
    <x v="1"/>
    <x v="1"/>
    <x v="2"/>
    <x v="1"/>
    <x v="3"/>
    <x v="1"/>
    <x v="2"/>
    <x v="0"/>
    <x v="2"/>
    <x v="3"/>
    <x v="4"/>
    <x v="5"/>
    <x v="0"/>
    <x v="0"/>
    <x v="0"/>
    <x v="1"/>
    <x v="0"/>
    <x v="0"/>
    <x v="0"/>
    <x v="0"/>
  </r>
  <r>
    <x v="14"/>
    <x v="4"/>
    <x v="4"/>
    <x v="4"/>
    <x v="0"/>
    <x v="1"/>
    <x v="1"/>
    <x v="4"/>
    <x v="0"/>
    <x v="1"/>
    <x v="3"/>
    <x v="0"/>
    <x v="0"/>
    <x v="3"/>
    <x v="1"/>
    <x v="1"/>
    <x v="2"/>
    <x v="1"/>
    <x v="2"/>
    <x v="1"/>
    <x v="2"/>
    <x v="0"/>
    <x v="2"/>
    <x v="3"/>
    <x v="4"/>
    <x v="4"/>
    <x v="0"/>
    <x v="0"/>
    <x v="0"/>
    <x v="1"/>
    <x v="0"/>
    <x v="0"/>
    <x v="0"/>
    <x v="0"/>
  </r>
  <r>
    <x v="15"/>
    <x v="7"/>
    <x v="7"/>
    <x v="7"/>
    <x v="0"/>
    <x v="1"/>
    <x v="1"/>
    <x v="7"/>
    <x v="5"/>
    <x v="2"/>
    <x v="0"/>
    <x v="2"/>
    <x v="0"/>
    <x v="3"/>
    <x v="2"/>
    <x v="3"/>
    <x v="2"/>
    <x v="1"/>
    <x v="1"/>
    <x v="1"/>
    <x v="1"/>
    <x v="9"/>
    <x v="2"/>
    <x v="3"/>
    <x v="4"/>
    <x v="7"/>
    <x v="2"/>
    <x v="1"/>
    <x v="2"/>
    <x v="1"/>
    <x v="0"/>
    <x v="7"/>
    <x v="5"/>
    <x v="0"/>
  </r>
  <r>
    <x v="16"/>
    <x v="7"/>
    <x v="7"/>
    <x v="7"/>
    <x v="0"/>
    <x v="1"/>
    <x v="1"/>
    <x v="7"/>
    <x v="5"/>
    <x v="2"/>
    <x v="0"/>
    <x v="2"/>
    <x v="0"/>
    <x v="3"/>
    <x v="2"/>
    <x v="3"/>
    <x v="2"/>
    <x v="1"/>
    <x v="2"/>
    <x v="1"/>
    <x v="1"/>
    <x v="10"/>
    <x v="2"/>
    <x v="3"/>
    <x v="4"/>
    <x v="7"/>
    <x v="4"/>
    <x v="1"/>
    <x v="1"/>
    <x v="1"/>
    <x v="0"/>
    <x v="8"/>
    <x v="0"/>
    <x v="0"/>
  </r>
  <r>
    <x v="17"/>
    <x v="7"/>
    <x v="7"/>
    <x v="7"/>
    <x v="0"/>
    <x v="1"/>
    <x v="1"/>
    <x v="7"/>
    <x v="5"/>
    <x v="2"/>
    <x v="0"/>
    <x v="2"/>
    <x v="0"/>
    <x v="3"/>
    <x v="1"/>
    <x v="1"/>
    <x v="2"/>
    <x v="1"/>
    <x v="2"/>
    <x v="1"/>
    <x v="2"/>
    <x v="0"/>
    <x v="2"/>
    <x v="3"/>
    <x v="4"/>
    <x v="7"/>
    <x v="5"/>
    <x v="0"/>
    <x v="0"/>
    <x v="1"/>
    <x v="0"/>
    <x v="0"/>
    <x v="0"/>
    <x v="0"/>
  </r>
  <r>
    <x v="18"/>
    <x v="8"/>
    <x v="8"/>
    <x v="8"/>
    <x v="9"/>
    <x v="1"/>
    <x v="2"/>
    <x v="9"/>
    <x v="6"/>
    <x v="2"/>
    <x v="0"/>
    <x v="3"/>
    <x v="0"/>
    <x v="1"/>
    <x v="1"/>
    <x v="1"/>
    <x v="2"/>
    <x v="1"/>
    <x v="2"/>
    <x v="1"/>
    <x v="2"/>
    <x v="0"/>
    <x v="2"/>
    <x v="1"/>
    <x v="2"/>
    <x v="8"/>
    <x v="5"/>
    <x v="0"/>
    <x v="0"/>
    <x v="1"/>
    <x v="0"/>
    <x v="0"/>
    <x v="0"/>
    <x v="0"/>
  </r>
  <r>
    <x v="19"/>
    <x v="9"/>
    <x v="9"/>
    <x v="9"/>
    <x v="10"/>
    <x v="1"/>
    <x v="2"/>
    <x v="10"/>
    <x v="7"/>
    <x v="1"/>
    <x v="5"/>
    <x v="0"/>
    <x v="0"/>
    <x v="1"/>
    <x v="2"/>
    <x v="3"/>
    <x v="2"/>
    <x v="1"/>
    <x v="2"/>
    <x v="1"/>
    <x v="1"/>
    <x v="11"/>
    <x v="1"/>
    <x v="1"/>
    <x v="2"/>
    <x v="9"/>
    <x v="5"/>
    <x v="1"/>
    <x v="1"/>
    <x v="1"/>
    <x v="0"/>
    <x v="9"/>
    <x v="0"/>
    <x v="2"/>
  </r>
  <r>
    <x v="20"/>
    <x v="9"/>
    <x v="9"/>
    <x v="9"/>
    <x v="0"/>
    <x v="1"/>
    <x v="2"/>
    <x v="10"/>
    <x v="8"/>
    <x v="1"/>
    <x v="5"/>
    <x v="0"/>
    <x v="0"/>
    <x v="3"/>
    <x v="4"/>
    <x v="1"/>
    <x v="2"/>
    <x v="1"/>
    <x v="2"/>
    <x v="1"/>
    <x v="1"/>
    <x v="12"/>
    <x v="2"/>
    <x v="3"/>
    <x v="4"/>
    <x v="9"/>
    <x v="5"/>
    <x v="1"/>
    <x v="1"/>
    <x v="1"/>
    <x v="0"/>
    <x v="10"/>
    <x v="0"/>
    <x v="0"/>
  </r>
  <r>
    <x v="21"/>
    <x v="9"/>
    <x v="9"/>
    <x v="9"/>
    <x v="0"/>
    <x v="1"/>
    <x v="2"/>
    <x v="10"/>
    <x v="9"/>
    <x v="1"/>
    <x v="6"/>
    <x v="0"/>
    <x v="0"/>
    <x v="3"/>
    <x v="2"/>
    <x v="3"/>
    <x v="2"/>
    <x v="1"/>
    <x v="2"/>
    <x v="1"/>
    <x v="1"/>
    <x v="13"/>
    <x v="2"/>
    <x v="3"/>
    <x v="4"/>
    <x v="9"/>
    <x v="5"/>
    <x v="1"/>
    <x v="3"/>
    <x v="1"/>
    <x v="0"/>
    <x v="11"/>
    <x v="0"/>
    <x v="0"/>
  </r>
  <r>
    <x v="22"/>
    <x v="9"/>
    <x v="9"/>
    <x v="9"/>
    <x v="0"/>
    <x v="1"/>
    <x v="2"/>
    <x v="10"/>
    <x v="9"/>
    <x v="1"/>
    <x v="7"/>
    <x v="0"/>
    <x v="0"/>
    <x v="3"/>
    <x v="1"/>
    <x v="1"/>
    <x v="2"/>
    <x v="1"/>
    <x v="2"/>
    <x v="1"/>
    <x v="2"/>
    <x v="0"/>
    <x v="2"/>
    <x v="3"/>
    <x v="4"/>
    <x v="9"/>
    <x v="3"/>
    <x v="0"/>
    <x v="0"/>
    <x v="1"/>
    <x v="0"/>
    <x v="0"/>
    <x v="0"/>
    <x v="0"/>
  </r>
  <r>
    <x v="23"/>
    <x v="10"/>
    <x v="10"/>
    <x v="10"/>
    <x v="11"/>
    <x v="1"/>
    <x v="4"/>
    <x v="11"/>
    <x v="10"/>
    <x v="1"/>
    <x v="3"/>
    <x v="0"/>
    <x v="0"/>
    <x v="1"/>
    <x v="3"/>
    <x v="2"/>
    <x v="2"/>
    <x v="1"/>
    <x v="3"/>
    <x v="1"/>
    <x v="1"/>
    <x v="14"/>
    <x v="1"/>
    <x v="1"/>
    <x v="2"/>
    <x v="10"/>
    <x v="4"/>
    <x v="1"/>
    <x v="1"/>
    <x v="2"/>
    <x v="1"/>
    <x v="12"/>
    <x v="0"/>
    <x v="0"/>
  </r>
  <r>
    <x v="24"/>
    <x v="10"/>
    <x v="10"/>
    <x v="10"/>
    <x v="12"/>
    <x v="1"/>
    <x v="4"/>
    <x v="12"/>
    <x v="11"/>
    <x v="1"/>
    <x v="3"/>
    <x v="0"/>
    <x v="0"/>
    <x v="3"/>
    <x v="1"/>
    <x v="1"/>
    <x v="2"/>
    <x v="1"/>
    <x v="2"/>
    <x v="1"/>
    <x v="2"/>
    <x v="0"/>
    <x v="1"/>
    <x v="3"/>
    <x v="4"/>
    <x v="10"/>
    <x v="5"/>
    <x v="0"/>
    <x v="0"/>
    <x v="1"/>
    <x v="0"/>
    <x v="0"/>
    <x v="0"/>
    <x v="0"/>
  </r>
  <r>
    <x v="25"/>
    <x v="11"/>
    <x v="11"/>
    <x v="11"/>
    <x v="13"/>
    <x v="1"/>
    <x v="2"/>
    <x v="13"/>
    <x v="12"/>
    <x v="4"/>
    <x v="0"/>
    <x v="0"/>
    <x v="0"/>
    <x v="1"/>
    <x v="1"/>
    <x v="1"/>
    <x v="2"/>
    <x v="1"/>
    <x v="2"/>
    <x v="1"/>
    <x v="2"/>
    <x v="0"/>
    <x v="1"/>
    <x v="1"/>
    <x v="2"/>
    <x v="11"/>
    <x v="3"/>
    <x v="0"/>
    <x v="0"/>
    <x v="1"/>
    <x v="0"/>
    <x v="0"/>
    <x v="0"/>
    <x v="0"/>
  </r>
  <r>
    <x v="26"/>
    <x v="12"/>
    <x v="12"/>
    <x v="12"/>
    <x v="14"/>
    <x v="1"/>
    <x v="2"/>
    <x v="14"/>
    <x v="13"/>
    <x v="1"/>
    <x v="8"/>
    <x v="0"/>
    <x v="0"/>
    <x v="1"/>
    <x v="1"/>
    <x v="1"/>
    <x v="2"/>
    <x v="1"/>
    <x v="3"/>
    <x v="1"/>
    <x v="1"/>
    <x v="15"/>
    <x v="1"/>
    <x v="1"/>
    <x v="2"/>
    <x v="12"/>
    <x v="2"/>
    <x v="1"/>
    <x v="2"/>
    <x v="2"/>
    <x v="1"/>
    <x v="13"/>
    <x v="0"/>
    <x v="0"/>
  </r>
  <r>
    <x v="27"/>
    <x v="12"/>
    <x v="12"/>
    <x v="12"/>
    <x v="15"/>
    <x v="1"/>
    <x v="2"/>
    <x v="14"/>
    <x v="13"/>
    <x v="1"/>
    <x v="8"/>
    <x v="0"/>
    <x v="0"/>
    <x v="3"/>
    <x v="1"/>
    <x v="1"/>
    <x v="2"/>
    <x v="1"/>
    <x v="3"/>
    <x v="1"/>
    <x v="2"/>
    <x v="0"/>
    <x v="1"/>
    <x v="3"/>
    <x v="4"/>
    <x v="12"/>
    <x v="4"/>
    <x v="0"/>
    <x v="0"/>
    <x v="1"/>
    <x v="0"/>
    <x v="0"/>
    <x v="0"/>
    <x v="0"/>
  </r>
  <r>
    <x v="28"/>
    <x v="13"/>
    <x v="13"/>
    <x v="13"/>
    <x v="16"/>
    <x v="1"/>
    <x v="2"/>
    <x v="15"/>
    <x v="7"/>
    <x v="1"/>
    <x v="9"/>
    <x v="0"/>
    <x v="0"/>
    <x v="1"/>
    <x v="3"/>
    <x v="3"/>
    <x v="2"/>
    <x v="1"/>
    <x v="2"/>
    <x v="1"/>
    <x v="1"/>
    <x v="16"/>
    <x v="1"/>
    <x v="4"/>
    <x v="2"/>
    <x v="13"/>
    <x v="5"/>
    <x v="1"/>
    <x v="3"/>
    <x v="2"/>
    <x v="1"/>
    <x v="14"/>
    <x v="6"/>
    <x v="0"/>
  </r>
  <r>
    <x v="29"/>
    <x v="13"/>
    <x v="13"/>
    <x v="13"/>
    <x v="0"/>
    <x v="1"/>
    <x v="2"/>
    <x v="15"/>
    <x v="7"/>
    <x v="1"/>
    <x v="0"/>
    <x v="0"/>
    <x v="0"/>
    <x v="3"/>
    <x v="1"/>
    <x v="1"/>
    <x v="2"/>
    <x v="1"/>
    <x v="3"/>
    <x v="1"/>
    <x v="2"/>
    <x v="0"/>
    <x v="2"/>
    <x v="3"/>
    <x v="4"/>
    <x v="13"/>
    <x v="3"/>
    <x v="0"/>
    <x v="0"/>
    <x v="1"/>
    <x v="0"/>
    <x v="0"/>
    <x v="0"/>
    <x v="0"/>
  </r>
  <r>
    <x v="30"/>
    <x v="12"/>
    <x v="12"/>
    <x v="12"/>
    <x v="17"/>
    <x v="1"/>
    <x v="2"/>
    <x v="14"/>
    <x v="13"/>
    <x v="1"/>
    <x v="10"/>
    <x v="0"/>
    <x v="0"/>
    <x v="1"/>
    <x v="3"/>
    <x v="2"/>
    <x v="2"/>
    <x v="1"/>
    <x v="1"/>
    <x v="1"/>
    <x v="1"/>
    <x v="17"/>
    <x v="1"/>
    <x v="1"/>
    <x v="2"/>
    <x v="12"/>
    <x v="1"/>
    <x v="1"/>
    <x v="4"/>
    <x v="2"/>
    <x v="1"/>
    <x v="15"/>
    <x v="0"/>
    <x v="3"/>
  </r>
  <r>
    <x v="31"/>
    <x v="12"/>
    <x v="12"/>
    <x v="12"/>
    <x v="18"/>
    <x v="1"/>
    <x v="2"/>
    <x v="14"/>
    <x v="13"/>
    <x v="1"/>
    <x v="11"/>
    <x v="0"/>
    <x v="0"/>
    <x v="3"/>
    <x v="3"/>
    <x v="2"/>
    <x v="2"/>
    <x v="1"/>
    <x v="1"/>
    <x v="1"/>
    <x v="1"/>
    <x v="18"/>
    <x v="1"/>
    <x v="3"/>
    <x v="4"/>
    <x v="12"/>
    <x v="1"/>
    <x v="1"/>
    <x v="4"/>
    <x v="2"/>
    <x v="1"/>
    <x v="16"/>
    <x v="0"/>
    <x v="0"/>
  </r>
  <r>
    <x v="32"/>
    <x v="12"/>
    <x v="12"/>
    <x v="12"/>
    <x v="19"/>
    <x v="1"/>
    <x v="2"/>
    <x v="14"/>
    <x v="14"/>
    <x v="1"/>
    <x v="12"/>
    <x v="0"/>
    <x v="0"/>
    <x v="3"/>
    <x v="1"/>
    <x v="1"/>
    <x v="2"/>
    <x v="1"/>
    <x v="1"/>
    <x v="1"/>
    <x v="2"/>
    <x v="0"/>
    <x v="1"/>
    <x v="3"/>
    <x v="4"/>
    <x v="12"/>
    <x v="1"/>
    <x v="0"/>
    <x v="0"/>
    <x v="1"/>
    <x v="0"/>
    <x v="0"/>
    <x v="0"/>
    <x v="0"/>
  </r>
  <r>
    <x v="33"/>
    <x v="14"/>
    <x v="14"/>
    <x v="14"/>
    <x v="20"/>
    <x v="1"/>
    <x v="2"/>
    <x v="16"/>
    <x v="15"/>
    <x v="1"/>
    <x v="3"/>
    <x v="0"/>
    <x v="0"/>
    <x v="1"/>
    <x v="1"/>
    <x v="1"/>
    <x v="2"/>
    <x v="1"/>
    <x v="2"/>
    <x v="1"/>
    <x v="2"/>
    <x v="0"/>
    <x v="2"/>
    <x v="1"/>
    <x v="2"/>
    <x v="14"/>
    <x v="5"/>
    <x v="0"/>
    <x v="0"/>
    <x v="1"/>
    <x v="0"/>
    <x v="0"/>
    <x v="0"/>
    <x v="0"/>
  </r>
  <r>
    <x v="34"/>
    <x v="15"/>
    <x v="15"/>
    <x v="15"/>
    <x v="21"/>
    <x v="1"/>
    <x v="2"/>
    <x v="17"/>
    <x v="16"/>
    <x v="1"/>
    <x v="13"/>
    <x v="0"/>
    <x v="0"/>
    <x v="1"/>
    <x v="2"/>
    <x v="3"/>
    <x v="2"/>
    <x v="1"/>
    <x v="1"/>
    <x v="1"/>
    <x v="1"/>
    <x v="19"/>
    <x v="2"/>
    <x v="4"/>
    <x v="2"/>
    <x v="15"/>
    <x v="1"/>
    <x v="1"/>
    <x v="3"/>
    <x v="1"/>
    <x v="0"/>
    <x v="17"/>
    <x v="7"/>
    <x v="2"/>
  </r>
  <r>
    <x v="35"/>
    <x v="16"/>
    <x v="16"/>
    <x v="16"/>
    <x v="22"/>
    <x v="1"/>
    <x v="2"/>
    <x v="18"/>
    <x v="17"/>
    <x v="1"/>
    <x v="1"/>
    <x v="0"/>
    <x v="0"/>
    <x v="1"/>
    <x v="1"/>
    <x v="1"/>
    <x v="1"/>
    <x v="1"/>
    <x v="3"/>
    <x v="1"/>
    <x v="1"/>
    <x v="20"/>
    <x v="1"/>
    <x v="1"/>
    <x v="2"/>
    <x v="16"/>
    <x v="3"/>
    <x v="3"/>
    <x v="0"/>
    <x v="1"/>
    <x v="0"/>
    <x v="0"/>
    <x v="0"/>
    <x v="0"/>
  </r>
  <r>
    <x v="36"/>
    <x v="15"/>
    <x v="15"/>
    <x v="15"/>
    <x v="21"/>
    <x v="1"/>
    <x v="2"/>
    <x v="17"/>
    <x v="16"/>
    <x v="1"/>
    <x v="2"/>
    <x v="0"/>
    <x v="0"/>
    <x v="3"/>
    <x v="2"/>
    <x v="3"/>
    <x v="2"/>
    <x v="1"/>
    <x v="2"/>
    <x v="1"/>
    <x v="1"/>
    <x v="21"/>
    <x v="2"/>
    <x v="3"/>
    <x v="4"/>
    <x v="15"/>
    <x v="3"/>
    <x v="3"/>
    <x v="0"/>
    <x v="1"/>
    <x v="0"/>
    <x v="18"/>
    <x v="0"/>
    <x v="0"/>
  </r>
  <r>
    <x v="37"/>
    <x v="17"/>
    <x v="17"/>
    <x v="17"/>
    <x v="23"/>
    <x v="1"/>
    <x v="2"/>
    <x v="19"/>
    <x v="18"/>
    <x v="1"/>
    <x v="0"/>
    <x v="0"/>
    <x v="0"/>
    <x v="1"/>
    <x v="3"/>
    <x v="2"/>
    <x v="2"/>
    <x v="2"/>
    <x v="1"/>
    <x v="1"/>
    <x v="1"/>
    <x v="20"/>
    <x v="1"/>
    <x v="1"/>
    <x v="5"/>
    <x v="17"/>
    <x v="1"/>
    <x v="3"/>
    <x v="0"/>
    <x v="1"/>
    <x v="0"/>
    <x v="19"/>
    <x v="8"/>
    <x v="0"/>
  </r>
  <r>
    <x v="38"/>
    <x v="18"/>
    <x v="18"/>
    <x v="18"/>
    <x v="24"/>
    <x v="1"/>
    <x v="5"/>
    <x v="20"/>
    <x v="19"/>
    <x v="1"/>
    <x v="14"/>
    <x v="0"/>
    <x v="0"/>
    <x v="1"/>
    <x v="1"/>
    <x v="1"/>
    <x v="1"/>
    <x v="1"/>
    <x v="2"/>
    <x v="1"/>
    <x v="1"/>
    <x v="22"/>
    <x v="3"/>
    <x v="1"/>
    <x v="2"/>
    <x v="18"/>
    <x v="3"/>
    <x v="0"/>
    <x v="0"/>
    <x v="1"/>
    <x v="0"/>
    <x v="20"/>
    <x v="0"/>
    <x v="4"/>
  </r>
  <r>
    <x v="39"/>
    <x v="19"/>
    <x v="19"/>
    <x v="19"/>
    <x v="25"/>
    <x v="1"/>
    <x v="2"/>
    <x v="21"/>
    <x v="20"/>
    <x v="2"/>
    <x v="0"/>
    <x v="2"/>
    <x v="0"/>
    <x v="1"/>
    <x v="1"/>
    <x v="1"/>
    <x v="2"/>
    <x v="1"/>
    <x v="2"/>
    <x v="1"/>
    <x v="2"/>
    <x v="0"/>
    <x v="1"/>
    <x v="1"/>
    <x v="2"/>
    <x v="19"/>
    <x v="2"/>
    <x v="0"/>
    <x v="0"/>
    <x v="1"/>
    <x v="0"/>
    <x v="0"/>
    <x v="0"/>
    <x v="5"/>
  </r>
  <r>
    <x v="40"/>
    <x v="20"/>
    <x v="20"/>
    <x v="20"/>
    <x v="26"/>
    <x v="1"/>
    <x v="5"/>
    <x v="22"/>
    <x v="21"/>
    <x v="1"/>
    <x v="15"/>
    <x v="0"/>
    <x v="0"/>
    <x v="1"/>
    <x v="1"/>
    <x v="1"/>
    <x v="2"/>
    <x v="1"/>
    <x v="2"/>
    <x v="1"/>
    <x v="2"/>
    <x v="0"/>
    <x v="1"/>
    <x v="5"/>
    <x v="2"/>
    <x v="20"/>
    <x v="3"/>
    <x v="0"/>
    <x v="0"/>
    <x v="1"/>
    <x v="0"/>
    <x v="0"/>
    <x v="0"/>
    <x v="0"/>
  </r>
  <r>
    <x v="41"/>
    <x v="21"/>
    <x v="21"/>
    <x v="21"/>
    <x v="27"/>
    <x v="1"/>
    <x v="3"/>
    <x v="23"/>
    <x v="22"/>
    <x v="1"/>
    <x v="16"/>
    <x v="0"/>
    <x v="0"/>
    <x v="1"/>
    <x v="1"/>
    <x v="1"/>
    <x v="2"/>
    <x v="1"/>
    <x v="2"/>
    <x v="1"/>
    <x v="1"/>
    <x v="23"/>
    <x v="1"/>
    <x v="5"/>
    <x v="2"/>
    <x v="21"/>
    <x v="3"/>
    <x v="3"/>
    <x v="0"/>
    <x v="1"/>
    <x v="0"/>
    <x v="0"/>
    <x v="9"/>
    <x v="6"/>
  </r>
  <r>
    <x v="42"/>
    <x v="22"/>
    <x v="22"/>
    <x v="22"/>
    <x v="28"/>
    <x v="1"/>
    <x v="2"/>
    <x v="24"/>
    <x v="23"/>
    <x v="1"/>
    <x v="9"/>
    <x v="0"/>
    <x v="0"/>
    <x v="1"/>
    <x v="1"/>
    <x v="1"/>
    <x v="2"/>
    <x v="2"/>
    <x v="1"/>
    <x v="1"/>
    <x v="1"/>
    <x v="24"/>
    <x v="1"/>
    <x v="1"/>
    <x v="2"/>
    <x v="22"/>
    <x v="4"/>
    <x v="1"/>
    <x v="1"/>
    <x v="2"/>
    <x v="1"/>
    <x v="21"/>
    <x v="0"/>
    <x v="7"/>
  </r>
  <r>
    <x v="43"/>
    <x v="23"/>
    <x v="23"/>
    <x v="23"/>
    <x v="29"/>
    <x v="2"/>
    <x v="2"/>
    <x v="25"/>
    <x v="24"/>
    <x v="1"/>
    <x v="17"/>
    <x v="0"/>
    <x v="0"/>
    <x v="1"/>
    <x v="2"/>
    <x v="3"/>
    <x v="1"/>
    <x v="1"/>
    <x v="2"/>
    <x v="1"/>
    <x v="1"/>
    <x v="25"/>
    <x v="1"/>
    <x v="1"/>
    <x v="2"/>
    <x v="23"/>
    <x v="5"/>
    <x v="1"/>
    <x v="6"/>
    <x v="2"/>
    <x v="1"/>
    <x v="22"/>
    <x v="0"/>
    <x v="0"/>
  </r>
  <r>
    <x v="44"/>
    <x v="24"/>
    <x v="24"/>
    <x v="24"/>
    <x v="30"/>
    <x v="3"/>
    <x v="2"/>
    <x v="26"/>
    <x v="25"/>
    <x v="1"/>
    <x v="12"/>
    <x v="0"/>
    <x v="0"/>
    <x v="1"/>
    <x v="2"/>
    <x v="3"/>
    <x v="2"/>
    <x v="1"/>
    <x v="2"/>
    <x v="1"/>
    <x v="1"/>
    <x v="24"/>
    <x v="1"/>
    <x v="1"/>
    <x v="2"/>
    <x v="24"/>
    <x v="5"/>
    <x v="1"/>
    <x v="1"/>
    <x v="2"/>
    <x v="1"/>
    <x v="23"/>
    <x v="0"/>
    <x v="8"/>
  </r>
  <r>
    <x v="45"/>
    <x v="25"/>
    <x v="25"/>
    <x v="25"/>
    <x v="31"/>
    <x v="1"/>
    <x v="2"/>
    <x v="27"/>
    <x v="26"/>
    <x v="1"/>
    <x v="1"/>
    <x v="0"/>
    <x v="0"/>
    <x v="1"/>
    <x v="2"/>
    <x v="3"/>
    <x v="2"/>
    <x v="1"/>
    <x v="2"/>
    <x v="1"/>
    <x v="1"/>
    <x v="23"/>
    <x v="3"/>
    <x v="1"/>
    <x v="5"/>
    <x v="25"/>
    <x v="6"/>
    <x v="3"/>
    <x v="0"/>
    <x v="1"/>
    <x v="0"/>
    <x v="24"/>
    <x v="0"/>
    <x v="0"/>
  </r>
  <r>
    <x v="46"/>
    <x v="26"/>
    <x v="26"/>
    <x v="26"/>
    <x v="32"/>
    <x v="1"/>
    <x v="2"/>
    <x v="28"/>
    <x v="27"/>
    <x v="1"/>
    <x v="18"/>
    <x v="0"/>
    <x v="0"/>
    <x v="1"/>
    <x v="1"/>
    <x v="2"/>
    <x v="2"/>
    <x v="1"/>
    <x v="3"/>
    <x v="1"/>
    <x v="1"/>
    <x v="26"/>
    <x v="1"/>
    <x v="1"/>
    <x v="2"/>
    <x v="26"/>
    <x v="1"/>
    <x v="1"/>
    <x v="4"/>
    <x v="2"/>
    <x v="1"/>
    <x v="25"/>
    <x v="0"/>
    <x v="0"/>
  </r>
  <r>
    <x v="47"/>
    <x v="22"/>
    <x v="22"/>
    <x v="22"/>
    <x v="33"/>
    <x v="1"/>
    <x v="2"/>
    <x v="24"/>
    <x v="28"/>
    <x v="1"/>
    <x v="9"/>
    <x v="0"/>
    <x v="0"/>
    <x v="3"/>
    <x v="1"/>
    <x v="1"/>
    <x v="2"/>
    <x v="2"/>
    <x v="1"/>
    <x v="1"/>
    <x v="2"/>
    <x v="0"/>
    <x v="1"/>
    <x v="1"/>
    <x v="2"/>
    <x v="22"/>
    <x v="5"/>
    <x v="0"/>
    <x v="0"/>
    <x v="1"/>
    <x v="0"/>
    <x v="0"/>
    <x v="0"/>
    <x v="0"/>
  </r>
  <r>
    <x v="48"/>
    <x v="23"/>
    <x v="23"/>
    <x v="23"/>
    <x v="34"/>
    <x v="2"/>
    <x v="5"/>
    <x v="25"/>
    <x v="24"/>
    <x v="1"/>
    <x v="2"/>
    <x v="0"/>
    <x v="0"/>
    <x v="3"/>
    <x v="2"/>
    <x v="3"/>
    <x v="2"/>
    <x v="1"/>
    <x v="2"/>
    <x v="1"/>
    <x v="1"/>
    <x v="24"/>
    <x v="1"/>
    <x v="3"/>
    <x v="4"/>
    <x v="23"/>
    <x v="6"/>
    <x v="3"/>
    <x v="0"/>
    <x v="1"/>
    <x v="0"/>
    <x v="26"/>
    <x v="0"/>
    <x v="0"/>
  </r>
  <r>
    <x v="49"/>
    <x v="27"/>
    <x v="27"/>
    <x v="27"/>
    <x v="35"/>
    <x v="1"/>
    <x v="2"/>
    <x v="29"/>
    <x v="29"/>
    <x v="1"/>
    <x v="9"/>
    <x v="0"/>
    <x v="0"/>
    <x v="1"/>
    <x v="1"/>
    <x v="1"/>
    <x v="2"/>
    <x v="2"/>
    <x v="1"/>
    <x v="1"/>
    <x v="1"/>
    <x v="26"/>
    <x v="1"/>
    <x v="1"/>
    <x v="2"/>
    <x v="27"/>
    <x v="5"/>
    <x v="1"/>
    <x v="1"/>
    <x v="2"/>
    <x v="1"/>
    <x v="27"/>
    <x v="10"/>
    <x v="9"/>
  </r>
  <r>
    <x v="50"/>
    <x v="28"/>
    <x v="25"/>
    <x v="25"/>
    <x v="36"/>
    <x v="1"/>
    <x v="2"/>
    <x v="27"/>
    <x v="10"/>
    <x v="1"/>
    <x v="19"/>
    <x v="0"/>
    <x v="0"/>
    <x v="1"/>
    <x v="2"/>
    <x v="3"/>
    <x v="2"/>
    <x v="2"/>
    <x v="3"/>
    <x v="1"/>
    <x v="1"/>
    <x v="26"/>
    <x v="1"/>
    <x v="1"/>
    <x v="2"/>
    <x v="25"/>
    <x v="1"/>
    <x v="3"/>
    <x v="0"/>
    <x v="1"/>
    <x v="0"/>
    <x v="28"/>
    <x v="0"/>
    <x v="0"/>
  </r>
  <r>
    <x v="51"/>
    <x v="24"/>
    <x v="24"/>
    <x v="24"/>
    <x v="37"/>
    <x v="3"/>
    <x v="2"/>
    <x v="26"/>
    <x v="25"/>
    <x v="1"/>
    <x v="12"/>
    <x v="0"/>
    <x v="0"/>
    <x v="3"/>
    <x v="2"/>
    <x v="3"/>
    <x v="2"/>
    <x v="1"/>
    <x v="2"/>
    <x v="1"/>
    <x v="1"/>
    <x v="26"/>
    <x v="1"/>
    <x v="1"/>
    <x v="2"/>
    <x v="24"/>
    <x v="5"/>
    <x v="1"/>
    <x v="7"/>
    <x v="2"/>
    <x v="1"/>
    <x v="29"/>
    <x v="0"/>
    <x v="0"/>
  </r>
  <r>
    <x v="52"/>
    <x v="29"/>
    <x v="28"/>
    <x v="28"/>
    <x v="38"/>
    <x v="3"/>
    <x v="1"/>
    <x v="30"/>
    <x v="30"/>
    <x v="5"/>
    <x v="0"/>
    <x v="0"/>
    <x v="0"/>
    <x v="1"/>
    <x v="1"/>
    <x v="1"/>
    <x v="2"/>
    <x v="2"/>
    <x v="1"/>
    <x v="1"/>
    <x v="2"/>
    <x v="0"/>
    <x v="1"/>
    <x v="5"/>
    <x v="2"/>
    <x v="28"/>
    <x v="5"/>
    <x v="0"/>
    <x v="0"/>
    <x v="1"/>
    <x v="0"/>
    <x v="0"/>
    <x v="0"/>
    <x v="10"/>
  </r>
  <r>
    <x v="53"/>
    <x v="30"/>
    <x v="29"/>
    <x v="29"/>
    <x v="39"/>
    <x v="1"/>
    <x v="3"/>
    <x v="31"/>
    <x v="31"/>
    <x v="2"/>
    <x v="0"/>
    <x v="2"/>
    <x v="0"/>
    <x v="1"/>
    <x v="2"/>
    <x v="3"/>
    <x v="2"/>
    <x v="1"/>
    <x v="3"/>
    <x v="1"/>
    <x v="1"/>
    <x v="27"/>
    <x v="2"/>
    <x v="1"/>
    <x v="2"/>
    <x v="29"/>
    <x v="2"/>
    <x v="1"/>
    <x v="1"/>
    <x v="2"/>
    <x v="1"/>
    <x v="30"/>
    <x v="0"/>
    <x v="0"/>
  </r>
  <r>
    <x v="54"/>
    <x v="31"/>
    <x v="30"/>
    <x v="30"/>
    <x v="40"/>
    <x v="1"/>
    <x v="2"/>
    <x v="32"/>
    <x v="32"/>
    <x v="1"/>
    <x v="20"/>
    <x v="0"/>
    <x v="0"/>
    <x v="1"/>
    <x v="2"/>
    <x v="3"/>
    <x v="2"/>
    <x v="1"/>
    <x v="2"/>
    <x v="1"/>
    <x v="1"/>
    <x v="27"/>
    <x v="1"/>
    <x v="1"/>
    <x v="2"/>
    <x v="30"/>
    <x v="7"/>
    <x v="1"/>
    <x v="8"/>
    <x v="2"/>
    <x v="1"/>
    <x v="31"/>
    <x v="11"/>
    <x v="0"/>
  </r>
  <r>
    <x v="55"/>
    <x v="26"/>
    <x v="26"/>
    <x v="26"/>
    <x v="41"/>
    <x v="1"/>
    <x v="2"/>
    <x v="28"/>
    <x v="27"/>
    <x v="1"/>
    <x v="21"/>
    <x v="0"/>
    <x v="0"/>
    <x v="3"/>
    <x v="1"/>
    <x v="1"/>
    <x v="2"/>
    <x v="1"/>
    <x v="1"/>
    <x v="1"/>
    <x v="1"/>
    <x v="28"/>
    <x v="1"/>
    <x v="3"/>
    <x v="4"/>
    <x v="26"/>
    <x v="1"/>
    <x v="3"/>
    <x v="0"/>
    <x v="1"/>
    <x v="0"/>
    <x v="0"/>
    <x v="0"/>
    <x v="0"/>
  </r>
  <r>
    <x v="56"/>
    <x v="32"/>
    <x v="31"/>
    <x v="31"/>
    <x v="42"/>
    <x v="3"/>
    <x v="5"/>
    <x v="33"/>
    <x v="33"/>
    <x v="1"/>
    <x v="22"/>
    <x v="0"/>
    <x v="0"/>
    <x v="1"/>
    <x v="1"/>
    <x v="1"/>
    <x v="2"/>
    <x v="1"/>
    <x v="3"/>
    <x v="1"/>
    <x v="1"/>
    <x v="29"/>
    <x v="1"/>
    <x v="1"/>
    <x v="2"/>
    <x v="31"/>
    <x v="2"/>
    <x v="3"/>
    <x v="0"/>
    <x v="1"/>
    <x v="0"/>
    <x v="32"/>
    <x v="12"/>
    <x v="11"/>
  </r>
  <r>
    <x v="57"/>
    <x v="24"/>
    <x v="24"/>
    <x v="24"/>
    <x v="43"/>
    <x v="3"/>
    <x v="2"/>
    <x v="26"/>
    <x v="34"/>
    <x v="1"/>
    <x v="12"/>
    <x v="0"/>
    <x v="0"/>
    <x v="3"/>
    <x v="1"/>
    <x v="1"/>
    <x v="2"/>
    <x v="1"/>
    <x v="3"/>
    <x v="1"/>
    <x v="1"/>
    <x v="29"/>
    <x v="1"/>
    <x v="3"/>
    <x v="4"/>
    <x v="24"/>
    <x v="7"/>
    <x v="1"/>
    <x v="4"/>
    <x v="2"/>
    <x v="1"/>
    <x v="33"/>
    <x v="13"/>
    <x v="0"/>
  </r>
  <r>
    <x v="58"/>
    <x v="30"/>
    <x v="29"/>
    <x v="29"/>
    <x v="44"/>
    <x v="1"/>
    <x v="3"/>
    <x v="31"/>
    <x v="31"/>
    <x v="1"/>
    <x v="15"/>
    <x v="0"/>
    <x v="0"/>
    <x v="3"/>
    <x v="1"/>
    <x v="1"/>
    <x v="2"/>
    <x v="1"/>
    <x v="2"/>
    <x v="1"/>
    <x v="2"/>
    <x v="0"/>
    <x v="2"/>
    <x v="4"/>
    <x v="2"/>
    <x v="29"/>
    <x v="5"/>
    <x v="0"/>
    <x v="0"/>
    <x v="1"/>
    <x v="0"/>
    <x v="0"/>
    <x v="0"/>
    <x v="0"/>
  </r>
  <r>
    <x v="59"/>
    <x v="27"/>
    <x v="27"/>
    <x v="27"/>
    <x v="45"/>
    <x v="1"/>
    <x v="2"/>
    <x v="34"/>
    <x v="29"/>
    <x v="1"/>
    <x v="9"/>
    <x v="0"/>
    <x v="0"/>
    <x v="3"/>
    <x v="1"/>
    <x v="1"/>
    <x v="2"/>
    <x v="2"/>
    <x v="1"/>
    <x v="1"/>
    <x v="1"/>
    <x v="30"/>
    <x v="2"/>
    <x v="3"/>
    <x v="4"/>
    <x v="27"/>
    <x v="5"/>
    <x v="2"/>
    <x v="0"/>
    <x v="1"/>
    <x v="0"/>
    <x v="34"/>
    <x v="0"/>
    <x v="0"/>
  </r>
  <r>
    <x v="60"/>
    <x v="31"/>
    <x v="30"/>
    <x v="30"/>
    <x v="46"/>
    <x v="1"/>
    <x v="2"/>
    <x v="32"/>
    <x v="35"/>
    <x v="1"/>
    <x v="23"/>
    <x v="0"/>
    <x v="0"/>
    <x v="3"/>
    <x v="1"/>
    <x v="2"/>
    <x v="1"/>
    <x v="1"/>
    <x v="2"/>
    <x v="1"/>
    <x v="1"/>
    <x v="30"/>
    <x v="1"/>
    <x v="3"/>
    <x v="4"/>
    <x v="30"/>
    <x v="8"/>
    <x v="3"/>
    <x v="0"/>
    <x v="1"/>
    <x v="0"/>
    <x v="0"/>
    <x v="14"/>
    <x v="12"/>
  </r>
  <r>
    <x v="61"/>
    <x v="33"/>
    <x v="32"/>
    <x v="32"/>
    <x v="47"/>
    <x v="1"/>
    <x v="1"/>
    <x v="35"/>
    <x v="36"/>
    <x v="1"/>
    <x v="24"/>
    <x v="0"/>
    <x v="0"/>
    <x v="1"/>
    <x v="2"/>
    <x v="3"/>
    <x v="2"/>
    <x v="1"/>
    <x v="2"/>
    <x v="1"/>
    <x v="1"/>
    <x v="29"/>
    <x v="1"/>
    <x v="6"/>
    <x v="2"/>
    <x v="32"/>
    <x v="8"/>
    <x v="1"/>
    <x v="7"/>
    <x v="1"/>
    <x v="0"/>
    <x v="35"/>
    <x v="15"/>
    <x v="0"/>
  </r>
  <r>
    <x v="62"/>
    <x v="34"/>
    <x v="33"/>
    <x v="33"/>
    <x v="48"/>
    <x v="1"/>
    <x v="2"/>
    <x v="36"/>
    <x v="37"/>
    <x v="1"/>
    <x v="2"/>
    <x v="0"/>
    <x v="0"/>
    <x v="1"/>
    <x v="1"/>
    <x v="1"/>
    <x v="1"/>
    <x v="1"/>
    <x v="3"/>
    <x v="1"/>
    <x v="2"/>
    <x v="0"/>
    <x v="1"/>
    <x v="6"/>
    <x v="2"/>
    <x v="33"/>
    <x v="1"/>
    <x v="0"/>
    <x v="0"/>
    <x v="1"/>
    <x v="0"/>
    <x v="0"/>
    <x v="0"/>
    <x v="0"/>
  </r>
  <r>
    <x v="63"/>
    <x v="24"/>
    <x v="24"/>
    <x v="24"/>
    <x v="49"/>
    <x v="3"/>
    <x v="2"/>
    <x v="26"/>
    <x v="25"/>
    <x v="1"/>
    <x v="25"/>
    <x v="0"/>
    <x v="0"/>
    <x v="3"/>
    <x v="1"/>
    <x v="1"/>
    <x v="2"/>
    <x v="2"/>
    <x v="3"/>
    <x v="1"/>
    <x v="1"/>
    <x v="31"/>
    <x v="1"/>
    <x v="3"/>
    <x v="4"/>
    <x v="24"/>
    <x v="1"/>
    <x v="3"/>
    <x v="0"/>
    <x v="1"/>
    <x v="0"/>
    <x v="0"/>
    <x v="16"/>
    <x v="0"/>
  </r>
  <r>
    <x v="64"/>
    <x v="33"/>
    <x v="32"/>
    <x v="32"/>
    <x v="0"/>
    <x v="1"/>
    <x v="1"/>
    <x v="35"/>
    <x v="36"/>
    <x v="1"/>
    <x v="24"/>
    <x v="0"/>
    <x v="0"/>
    <x v="3"/>
    <x v="1"/>
    <x v="1"/>
    <x v="2"/>
    <x v="1"/>
    <x v="3"/>
    <x v="1"/>
    <x v="1"/>
    <x v="31"/>
    <x v="2"/>
    <x v="3"/>
    <x v="4"/>
    <x v="32"/>
    <x v="7"/>
    <x v="3"/>
    <x v="0"/>
    <x v="1"/>
    <x v="0"/>
    <x v="0"/>
    <x v="17"/>
    <x v="13"/>
  </r>
  <r>
    <x v="65"/>
    <x v="35"/>
    <x v="34"/>
    <x v="34"/>
    <x v="50"/>
    <x v="1"/>
    <x v="2"/>
    <x v="37"/>
    <x v="38"/>
    <x v="1"/>
    <x v="12"/>
    <x v="0"/>
    <x v="0"/>
    <x v="1"/>
    <x v="2"/>
    <x v="2"/>
    <x v="2"/>
    <x v="2"/>
    <x v="3"/>
    <x v="1"/>
    <x v="1"/>
    <x v="28"/>
    <x v="1"/>
    <x v="4"/>
    <x v="2"/>
    <x v="34"/>
    <x v="7"/>
    <x v="1"/>
    <x v="1"/>
    <x v="2"/>
    <x v="1"/>
    <x v="36"/>
    <x v="0"/>
    <x v="14"/>
  </r>
  <r>
    <x v="66"/>
    <x v="36"/>
    <x v="35"/>
    <x v="35"/>
    <x v="51"/>
    <x v="1"/>
    <x v="2"/>
    <x v="38"/>
    <x v="39"/>
    <x v="1"/>
    <x v="15"/>
    <x v="0"/>
    <x v="0"/>
    <x v="1"/>
    <x v="2"/>
    <x v="3"/>
    <x v="2"/>
    <x v="1"/>
    <x v="3"/>
    <x v="1"/>
    <x v="1"/>
    <x v="31"/>
    <x v="1"/>
    <x v="1"/>
    <x v="2"/>
    <x v="35"/>
    <x v="2"/>
    <x v="1"/>
    <x v="5"/>
    <x v="2"/>
    <x v="1"/>
    <x v="37"/>
    <x v="0"/>
    <x v="0"/>
  </r>
  <r>
    <x v="67"/>
    <x v="37"/>
    <x v="36"/>
    <x v="36"/>
    <x v="52"/>
    <x v="1"/>
    <x v="2"/>
    <x v="39"/>
    <x v="40"/>
    <x v="1"/>
    <x v="26"/>
    <x v="0"/>
    <x v="0"/>
    <x v="1"/>
    <x v="2"/>
    <x v="3"/>
    <x v="2"/>
    <x v="1"/>
    <x v="2"/>
    <x v="1"/>
    <x v="1"/>
    <x v="31"/>
    <x v="1"/>
    <x v="5"/>
    <x v="2"/>
    <x v="36"/>
    <x v="7"/>
    <x v="1"/>
    <x v="3"/>
    <x v="2"/>
    <x v="1"/>
    <x v="38"/>
    <x v="0"/>
    <x v="0"/>
  </r>
  <r>
    <x v="68"/>
    <x v="38"/>
    <x v="37"/>
    <x v="37"/>
    <x v="53"/>
    <x v="3"/>
    <x v="5"/>
    <x v="40"/>
    <x v="41"/>
    <x v="1"/>
    <x v="15"/>
    <x v="0"/>
    <x v="0"/>
    <x v="1"/>
    <x v="1"/>
    <x v="1"/>
    <x v="1"/>
    <x v="2"/>
    <x v="1"/>
    <x v="2"/>
    <x v="1"/>
    <x v="31"/>
    <x v="2"/>
    <x v="5"/>
    <x v="2"/>
    <x v="37"/>
    <x v="3"/>
    <x v="1"/>
    <x v="3"/>
    <x v="2"/>
    <x v="1"/>
    <x v="0"/>
    <x v="18"/>
    <x v="15"/>
  </r>
  <r>
    <x v="69"/>
    <x v="39"/>
    <x v="38"/>
    <x v="38"/>
    <x v="54"/>
    <x v="1"/>
    <x v="2"/>
    <x v="41"/>
    <x v="42"/>
    <x v="1"/>
    <x v="15"/>
    <x v="0"/>
    <x v="0"/>
    <x v="1"/>
    <x v="1"/>
    <x v="1"/>
    <x v="2"/>
    <x v="1"/>
    <x v="2"/>
    <x v="1"/>
    <x v="2"/>
    <x v="0"/>
    <x v="1"/>
    <x v="5"/>
    <x v="2"/>
    <x v="38"/>
    <x v="3"/>
    <x v="0"/>
    <x v="0"/>
    <x v="1"/>
    <x v="0"/>
    <x v="0"/>
    <x v="0"/>
    <x v="0"/>
  </r>
  <r>
    <x v="70"/>
    <x v="40"/>
    <x v="39"/>
    <x v="39"/>
    <x v="55"/>
    <x v="1"/>
    <x v="2"/>
    <x v="42"/>
    <x v="43"/>
    <x v="1"/>
    <x v="3"/>
    <x v="0"/>
    <x v="0"/>
    <x v="1"/>
    <x v="1"/>
    <x v="1"/>
    <x v="2"/>
    <x v="1"/>
    <x v="2"/>
    <x v="1"/>
    <x v="2"/>
    <x v="0"/>
    <x v="1"/>
    <x v="5"/>
    <x v="2"/>
    <x v="39"/>
    <x v="7"/>
    <x v="0"/>
    <x v="0"/>
    <x v="1"/>
    <x v="0"/>
    <x v="0"/>
    <x v="0"/>
    <x v="0"/>
  </r>
  <r>
    <x v="71"/>
    <x v="41"/>
    <x v="40"/>
    <x v="40"/>
    <x v="56"/>
    <x v="1"/>
    <x v="1"/>
    <x v="43"/>
    <x v="44"/>
    <x v="1"/>
    <x v="1"/>
    <x v="0"/>
    <x v="0"/>
    <x v="1"/>
    <x v="3"/>
    <x v="2"/>
    <x v="2"/>
    <x v="1"/>
    <x v="3"/>
    <x v="1"/>
    <x v="1"/>
    <x v="28"/>
    <x v="1"/>
    <x v="1"/>
    <x v="2"/>
    <x v="40"/>
    <x v="1"/>
    <x v="3"/>
    <x v="0"/>
    <x v="1"/>
    <x v="0"/>
    <x v="0"/>
    <x v="0"/>
    <x v="0"/>
  </r>
  <r>
    <x v="72"/>
    <x v="42"/>
    <x v="41"/>
    <x v="41"/>
    <x v="57"/>
    <x v="1"/>
    <x v="2"/>
    <x v="44"/>
    <x v="45"/>
    <x v="2"/>
    <x v="0"/>
    <x v="4"/>
    <x v="0"/>
    <x v="1"/>
    <x v="1"/>
    <x v="1"/>
    <x v="1"/>
    <x v="1"/>
    <x v="3"/>
    <x v="1"/>
    <x v="1"/>
    <x v="31"/>
    <x v="1"/>
    <x v="1"/>
    <x v="2"/>
    <x v="41"/>
    <x v="2"/>
    <x v="1"/>
    <x v="4"/>
    <x v="2"/>
    <x v="1"/>
    <x v="39"/>
    <x v="19"/>
    <x v="0"/>
  </r>
  <r>
    <x v="73"/>
    <x v="43"/>
    <x v="42"/>
    <x v="42"/>
    <x v="58"/>
    <x v="1"/>
    <x v="2"/>
    <x v="45"/>
    <x v="46"/>
    <x v="1"/>
    <x v="27"/>
    <x v="0"/>
    <x v="0"/>
    <x v="1"/>
    <x v="3"/>
    <x v="2"/>
    <x v="1"/>
    <x v="1"/>
    <x v="3"/>
    <x v="1"/>
    <x v="1"/>
    <x v="28"/>
    <x v="1"/>
    <x v="1"/>
    <x v="2"/>
    <x v="42"/>
    <x v="1"/>
    <x v="1"/>
    <x v="4"/>
    <x v="2"/>
    <x v="1"/>
    <x v="40"/>
    <x v="0"/>
    <x v="0"/>
  </r>
  <r>
    <x v="74"/>
    <x v="44"/>
    <x v="43"/>
    <x v="43"/>
    <x v="59"/>
    <x v="1"/>
    <x v="2"/>
    <x v="46"/>
    <x v="47"/>
    <x v="1"/>
    <x v="12"/>
    <x v="0"/>
    <x v="0"/>
    <x v="1"/>
    <x v="3"/>
    <x v="2"/>
    <x v="2"/>
    <x v="1"/>
    <x v="2"/>
    <x v="1"/>
    <x v="1"/>
    <x v="32"/>
    <x v="1"/>
    <x v="1"/>
    <x v="2"/>
    <x v="43"/>
    <x v="3"/>
    <x v="1"/>
    <x v="1"/>
    <x v="1"/>
    <x v="0"/>
    <x v="41"/>
    <x v="0"/>
    <x v="0"/>
  </r>
  <r>
    <x v="75"/>
    <x v="45"/>
    <x v="44"/>
    <x v="44"/>
    <x v="60"/>
    <x v="3"/>
    <x v="2"/>
    <x v="47"/>
    <x v="17"/>
    <x v="1"/>
    <x v="28"/>
    <x v="0"/>
    <x v="0"/>
    <x v="1"/>
    <x v="1"/>
    <x v="1"/>
    <x v="2"/>
    <x v="1"/>
    <x v="2"/>
    <x v="1"/>
    <x v="1"/>
    <x v="28"/>
    <x v="1"/>
    <x v="1"/>
    <x v="1"/>
    <x v="44"/>
    <x v="4"/>
    <x v="3"/>
    <x v="0"/>
    <x v="1"/>
    <x v="0"/>
    <x v="0"/>
    <x v="0"/>
    <x v="16"/>
  </r>
  <r>
    <x v="76"/>
    <x v="46"/>
    <x v="45"/>
    <x v="45"/>
    <x v="61"/>
    <x v="1"/>
    <x v="2"/>
    <x v="48"/>
    <x v="48"/>
    <x v="1"/>
    <x v="15"/>
    <x v="0"/>
    <x v="0"/>
    <x v="1"/>
    <x v="2"/>
    <x v="3"/>
    <x v="1"/>
    <x v="1"/>
    <x v="3"/>
    <x v="1"/>
    <x v="1"/>
    <x v="28"/>
    <x v="1"/>
    <x v="1"/>
    <x v="1"/>
    <x v="45"/>
    <x v="2"/>
    <x v="1"/>
    <x v="1"/>
    <x v="2"/>
    <x v="1"/>
    <x v="42"/>
    <x v="0"/>
    <x v="0"/>
  </r>
  <r>
    <x v="77"/>
    <x v="37"/>
    <x v="36"/>
    <x v="36"/>
    <x v="62"/>
    <x v="1"/>
    <x v="2"/>
    <x v="39"/>
    <x v="49"/>
    <x v="1"/>
    <x v="26"/>
    <x v="0"/>
    <x v="0"/>
    <x v="3"/>
    <x v="1"/>
    <x v="1"/>
    <x v="2"/>
    <x v="1"/>
    <x v="2"/>
    <x v="1"/>
    <x v="2"/>
    <x v="0"/>
    <x v="1"/>
    <x v="3"/>
    <x v="4"/>
    <x v="36"/>
    <x v="3"/>
    <x v="0"/>
    <x v="0"/>
    <x v="1"/>
    <x v="0"/>
    <x v="0"/>
    <x v="0"/>
    <x v="0"/>
  </r>
  <r>
    <x v="78"/>
    <x v="47"/>
    <x v="46"/>
    <x v="46"/>
    <x v="63"/>
    <x v="1"/>
    <x v="2"/>
    <x v="49"/>
    <x v="10"/>
    <x v="1"/>
    <x v="1"/>
    <x v="0"/>
    <x v="0"/>
    <x v="1"/>
    <x v="1"/>
    <x v="3"/>
    <x v="2"/>
    <x v="1"/>
    <x v="2"/>
    <x v="1"/>
    <x v="1"/>
    <x v="28"/>
    <x v="2"/>
    <x v="1"/>
    <x v="2"/>
    <x v="46"/>
    <x v="4"/>
    <x v="3"/>
    <x v="0"/>
    <x v="1"/>
    <x v="0"/>
    <x v="0"/>
    <x v="0"/>
    <x v="0"/>
  </r>
  <r>
    <x v="79"/>
    <x v="42"/>
    <x v="41"/>
    <x v="41"/>
    <x v="64"/>
    <x v="1"/>
    <x v="2"/>
    <x v="50"/>
    <x v="45"/>
    <x v="1"/>
    <x v="4"/>
    <x v="0"/>
    <x v="0"/>
    <x v="3"/>
    <x v="2"/>
    <x v="3"/>
    <x v="2"/>
    <x v="1"/>
    <x v="2"/>
    <x v="1"/>
    <x v="1"/>
    <x v="28"/>
    <x v="1"/>
    <x v="3"/>
    <x v="4"/>
    <x v="41"/>
    <x v="1"/>
    <x v="1"/>
    <x v="4"/>
    <x v="1"/>
    <x v="0"/>
    <x v="43"/>
    <x v="0"/>
    <x v="0"/>
  </r>
  <r>
    <x v="80"/>
    <x v="20"/>
    <x v="47"/>
    <x v="20"/>
    <x v="65"/>
    <x v="1"/>
    <x v="2"/>
    <x v="22"/>
    <x v="21"/>
    <x v="2"/>
    <x v="0"/>
    <x v="2"/>
    <x v="0"/>
    <x v="1"/>
    <x v="1"/>
    <x v="1"/>
    <x v="2"/>
    <x v="1"/>
    <x v="2"/>
    <x v="1"/>
    <x v="1"/>
    <x v="28"/>
    <x v="1"/>
    <x v="1"/>
    <x v="2"/>
    <x v="20"/>
    <x v="9"/>
    <x v="1"/>
    <x v="2"/>
    <x v="1"/>
    <x v="0"/>
    <x v="44"/>
    <x v="0"/>
    <x v="0"/>
  </r>
  <r>
    <x v="81"/>
    <x v="48"/>
    <x v="37"/>
    <x v="37"/>
    <x v="66"/>
    <x v="3"/>
    <x v="2"/>
    <x v="40"/>
    <x v="41"/>
    <x v="1"/>
    <x v="29"/>
    <x v="0"/>
    <x v="0"/>
    <x v="3"/>
    <x v="1"/>
    <x v="1"/>
    <x v="1"/>
    <x v="2"/>
    <x v="1"/>
    <x v="2"/>
    <x v="2"/>
    <x v="0"/>
    <x v="1"/>
    <x v="3"/>
    <x v="4"/>
    <x v="37"/>
    <x v="3"/>
    <x v="0"/>
    <x v="0"/>
    <x v="1"/>
    <x v="0"/>
    <x v="0"/>
    <x v="0"/>
    <x v="17"/>
  </r>
  <r>
    <x v="82"/>
    <x v="49"/>
    <x v="48"/>
    <x v="47"/>
    <x v="67"/>
    <x v="1"/>
    <x v="1"/>
    <x v="51"/>
    <x v="50"/>
    <x v="1"/>
    <x v="30"/>
    <x v="0"/>
    <x v="0"/>
    <x v="1"/>
    <x v="3"/>
    <x v="2"/>
    <x v="2"/>
    <x v="1"/>
    <x v="3"/>
    <x v="1"/>
    <x v="1"/>
    <x v="28"/>
    <x v="1"/>
    <x v="1"/>
    <x v="2"/>
    <x v="47"/>
    <x v="3"/>
    <x v="1"/>
    <x v="1"/>
    <x v="1"/>
    <x v="0"/>
    <x v="45"/>
    <x v="0"/>
    <x v="0"/>
  </r>
  <r>
    <x v="83"/>
    <x v="50"/>
    <x v="49"/>
    <x v="48"/>
    <x v="68"/>
    <x v="1"/>
    <x v="2"/>
    <x v="52"/>
    <x v="51"/>
    <x v="1"/>
    <x v="15"/>
    <x v="0"/>
    <x v="0"/>
    <x v="1"/>
    <x v="1"/>
    <x v="1"/>
    <x v="2"/>
    <x v="1"/>
    <x v="2"/>
    <x v="1"/>
    <x v="2"/>
    <x v="0"/>
    <x v="1"/>
    <x v="2"/>
    <x v="2"/>
    <x v="48"/>
    <x v="5"/>
    <x v="0"/>
    <x v="0"/>
    <x v="1"/>
    <x v="0"/>
    <x v="0"/>
    <x v="0"/>
    <x v="0"/>
  </r>
  <r>
    <x v="84"/>
    <x v="51"/>
    <x v="50"/>
    <x v="49"/>
    <x v="69"/>
    <x v="1"/>
    <x v="2"/>
    <x v="53"/>
    <x v="52"/>
    <x v="1"/>
    <x v="31"/>
    <x v="0"/>
    <x v="0"/>
    <x v="1"/>
    <x v="1"/>
    <x v="1"/>
    <x v="2"/>
    <x v="1"/>
    <x v="3"/>
    <x v="1"/>
    <x v="1"/>
    <x v="33"/>
    <x v="1"/>
    <x v="1"/>
    <x v="2"/>
    <x v="49"/>
    <x v="4"/>
    <x v="3"/>
    <x v="0"/>
    <x v="1"/>
    <x v="0"/>
    <x v="46"/>
    <x v="20"/>
    <x v="0"/>
  </r>
  <r>
    <x v="85"/>
    <x v="46"/>
    <x v="45"/>
    <x v="45"/>
    <x v="70"/>
    <x v="0"/>
    <x v="2"/>
    <x v="48"/>
    <x v="48"/>
    <x v="1"/>
    <x v="15"/>
    <x v="0"/>
    <x v="0"/>
    <x v="3"/>
    <x v="1"/>
    <x v="1"/>
    <x v="1"/>
    <x v="1"/>
    <x v="3"/>
    <x v="1"/>
    <x v="2"/>
    <x v="0"/>
    <x v="2"/>
    <x v="3"/>
    <x v="4"/>
    <x v="45"/>
    <x v="5"/>
    <x v="0"/>
    <x v="0"/>
    <x v="1"/>
    <x v="0"/>
    <x v="0"/>
    <x v="0"/>
    <x v="0"/>
  </r>
  <r>
    <x v="86"/>
    <x v="20"/>
    <x v="47"/>
    <x v="20"/>
    <x v="0"/>
    <x v="1"/>
    <x v="2"/>
    <x v="22"/>
    <x v="21"/>
    <x v="2"/>
    <x v="0"/>
    <x v="2"/>
    <x v="0"/>
    <x v="3"/>
    <x v="1"/>
    <x v="3"/>
    <x v="2"/>
    <x v="1"/>
    <x v="2"/>
    <x v="1"/>
    <x v="1"/>
    <x v="32"/>
    <x v="2"/>
    <x v="3"/>
    <x v="4"/>
    <x v="20"/>
    <x v="4"/>
    <x v="1"/>
    <x v="8"/>
    <x v="1"/>
    <x v="0"/>
    <x v="47"/>
    <x v="0"/>
    <x v="18"/>
  </r>
  <r>
    <x v="87"/>
    <x v="43"/>
    <x v="42"/>
    <x v="42"/>
    <x v="71"/>
    <x v="1"/>
    <x v="2"/>
    <x v="45"/>
    <x v="46"/>
    <x v="1"/>
    <x v="27"/>
    <x v="0"/>
    <x v="0"/>
    <x v="3"/>
    <x v="1"/>
    <x v="1"/>
    <x v="2"/>
    <x v="1"/>
    <x v="2"/>
    <x v="1"/>
    <x v="2"/>
    <x v="0"/>
    <x v="2"/>
    <x v="3"/>
    <x v="4"/>
    <x v="42"/>
    <x v="1"/>
    <x v="0"/>
    <x v="0"/>
    <x v="1"/>
    <x v="0"/>
    <x v="0"/>
    <x v="0"/>
    <x v="0"/>
  </r>
  <r>
    <x v="88"/>
    <x v="35"/>
    <x v="34"/>
    <x v="34"/>
    <x v="0"/>
    <x v="1"/>
    <x v="2"/>
    <x v="37"/>
    <x v="53"/>
    <x v="1"/>
    <x v="12"/>
    <x v="0"/>
    <x v="0"/>
    <x v="3"/>
    <x v="1"/>
    <x v="1"/>
    <x v="2"/>
    <x v="2"/>
    <x v="1"/>
    <x v="1"/>
    <x v="2"/>
    <x v="0"/>
    <x v="2"/>
    <x v="3"/>
    <x v="4"/>
    <x v="34"/>
    <x v="5"/>
    <x v="0"/>
    <x v="0"/>
    <x v="1"/>
    <x v="0"/>
    <x v="0"/>
    <x v="0"/>
    <x v="0"/>
  </r>
  <r>
    <x v="89"/>
    <x v="52"/>
    <x v="51"/>
    <x v="50"/>
    <x v="72"/>
    <x v="1"/>
    <x v="2"/>
    <x v="54"/>
    <x v="54"/>
    <x v="1"/>
    <x v="3"/>
    <x v="0"/>
    <x v="0"/>
    <x v="1"/>
    <x v="1"/>
    <x v="1"/>
    <x v="2"/>
    <x v="1"/>
    <x v="2"/>
    <x v="1"/>
    <x v="1"/>
    <x v="34"/>
    <x v="1"/>
    <x v="1"/>
    <x v="2"/>
    <x v="50"/>
    <x v="1"/>
    <x v="1"/>
    <x v="7"/>
    <x v="2"/>
    <x v="1"/>
    <x v="48"/>
    <x v="0"/>
    <x v="0"/>
  </r>
  <r>
    <x v="90"/>
    <x v="53"/>
    <x v="52"/>
    <x v="51"/>
    <x v="73"/>
    <x v="2"/>
    <x v="5"/>
    <x v="55"/>
    <x v="55"/>
    <x v="1"/>
    <x v="3"/>
    <x v="0"/>
    <x v="0"/>
    <x v="2"/>
    <x v="3"/>
    <x v="2"/>
    <x v="2"/>
    <x v="2"/>
    <x v="1"/>
    <x v="1"/>
    <x v="1"/>
    <x v="33"/>
    <x v="1"/>
    <x v="1"/>
    <x v="2"/>
    <x v="51"/>
    <x v="2"/>
    <x v="3"/>
    <x v="0"/>
    <x v="1"/>
    <x v="0"/>
    <x v="49"/>
    <x v="21"/>
    <x v="0"/>
  </r>
  <r>
    <x v="91"/>
    <x v="54"/>
    <x v="53"/>
    <x v="52"/>
    <x v="74"/>
    <x v="1"/>
    <x v="2"/>
    <x v="56"/>
    <x v="56"/>
    <x v="1"/>
    <x v="32"/>
    <x v="0"/>
    <x v="0"/>
    <x v="1"/>
    <x v="1"/>
    <x v="1"/>
    <x v="2"/>
    <x v="1"/>
    <x v="2"/>
    <x v="1"/>
    <x v="2"/>
    <x v="0"/>
    <x v="2"/>
    <x v="1"/>
    <x v="2"/>
    <x v="52"/>
    <x v="5"/>
    <x v="0"/>
    <x v="0"/>
    <x v="1"/>
    <x v="0"/>
    <x v="0"/>
    <x v="0"/>
    <x v="0"/>
  </r>
  <r>
    <x v="92"/>
    <x v="55"/>
    <x v="54"/>
    <x v="53"/>
    <x v="75"/>
    <x v="1"/>
    <x v="2"/>
    <x v="57"/>
    <x v="57"/>
    <x v="1"/>
    <x v="3"/>
    <x v="0"/>
    <x v="0"/>
    <x v="1"/>
    <x v="3"/>
    <x v="3"/>
    <x v="2"/>
    <x v="1"/>
    <x v="2"/>
    <x v="1"/>
    <x v="1"/>
    <x v="32"/>
    <x v="2"/>
    <x v="1"/>
    <x v="2"/>
    <x v="53"/>
    <x v="5"/>
    <x v="3"/>
    <x v="0"/>
    <x v="1"/>
    <x v="0"/>
    <x v="0"/>
    <x v="0"/>
    <x v="0"/>
  </r>
  <r>
    <x v="93"/>
    <x v="36"/>
    <x v="35"/>
    <x v="35"/>
    <x v="76"/>
    <x v="1"/>
    <x v="2"/>
    <x v="38"/>
    <x v="39"/>
    <x v="1"/>
    <x v="33"/>
    <x v="0"/>
    <x v="0"/>
    <x v="3"/>
    <x v="1"/>
    <x v="1"/>
    <x v="2"/>
    <x v="1"/>
    <x v="3"/>
    <x v="1"/>
    <x v="2"/>
    <x v="0"/>
    <x v="1"/>
    <x v="3"/>
    <x v="4"/>
    <x v="35"/>
    <x v="2"/>
    <x v="0"/>
    <x v="0"/>
    <x v="1"/>
    <x v="0"/>
    <x v="0"/>
    <x v="0"/>
    <x v="0"/>
  </r>
  <r>
    <x v="94"/>
    <x v="49"/>
    <x v="48"/>
    <x v="47"/>
    <x v="0"/>
    <x v="1"/>
    <x v="1"/>
    <x v="51"/>
    <x v="50"/>
    <x v="1"/>
    <x v="34"/>
    <x v="0"/>
    <x v="0"/>
    <x v="3"/>
    <x v="1"/>
    <x v="1"/>
    <x v="2"/>
    <x v="1"/>
    <x v="3"/>
    <x v="1"/>
    <x v="1"/>
    <x v="35"/>
    <x v="2"/>
    <x v="3"/>
    <x v="4"/>
    <x v="47"/>
    <x v="5"/>
    <x v="1"/>
    <x v="1"/>
    <x v="2"/>
    <x v="1"/>
    <x v="0"/>
    <x v="22"/>
    <x v="0"/>
  </r>
  <r>
    <x v="95"/>
    <x v="56"/>
    <x v="55"/>
    <x v="54"/>
    <x v="77"/>
    <x v="2"/>
    <x v="2"/>
    <x v="58"/>
    <x v="58"/>
    <x v="1"/>
    <x v="12"/>
    <x v="0"/>
    <x v="0"/>
    <x v="1"/>
    <x v="2"/>
    <x v="3"/>
    <x v="2"/>
    <x v="1"/>
    <x v="1"/>
    <x v="1"/>
    <x v="1"/>
    <x v="32"/>
    <x v="2"/>
    <x v="5"/>
    <x v="2"/>
    <x v="54"/>
    <x v="5"/>
    <x v="1"/>
    <x v="1"/>
    <x v="1"/>
    <x v="0"/>
    <x v="50"/>
    <x v="0"/>
    <x v="0"/>
  </r>
  <r>
    <x v="96"/>
    <x v="44"/>
    <x v="43"/>
    <x v="43"/>
    <x v="0"/>
    <x v="1"/>
    <x v="2"/>
    <x v="59"/>
    <x v="47"/>
    <x v="1"/>
    <x v="12"/>
    <x v="0"/>
    <x v="0"/>
    <x v="3"/>
    <x v="1"/>
    <x v="1"/>
    <x v="2"/>
    <x v="1"/>
    <x v="2"/>
    <x v="1"/>
    <x v="1"/>
    <x v="35"/>
    <x v="2"/>
    <x v="3"/>
    <x v="4"/>
    <x v="43"/>
    <x v="5"/>
    <x v="3"/>
    <x v="0"/>
    <x v="1"/>
    <x v="0"/>
    <x v="51"/>
    <x v="23"/>
    <x v="0"/>
  </r>
  <r>
    <x v="97"/>
    <x v="20"/>
    <x v="47"/>
    <x v="20"/>
    <x v="0"/>
    <x v="1"/>
    <x v="2"/>
    <x v="22"/>
    <x v="21"/>
    <x v="6"/>
    <x v="0"/>
    <x v="0"/>
    <x v="1"/>
    <x v="3"/>
    <x v="4"/>
    <x v="1"/>
    <x v="2"/>
    <x v="1"/>
    <x v="2"/>
    <x v="1"/>
    <x v="2"/>
    <x v="0"/>
    <x v="2"/>
    <x v="3"/>
    <x v="4"/>
    <x v="20"/>
    <x v="8"/>
    <x v="0"/>
    <x v="0"/>
    <x v="1"/>
    <x v="0"/>
    <x v="0"/>
    <x v="0"/>
    <x v="0"/>
  </r>
  <r>
    <x v="98"/>
    <x v="56"/>
    <x v="55"/>
    <x v="54"/>
    <x v="0"/>
    <x v="2"/>
    <x v="2"/>
    <x v="58"/>
    <x v="58"/>
    <x v="1"/>
    <x v="12"/>
    <x v="0"/>
    <x v="0"/>
    <x v="3"/>
    <x v="1"/>
    <x v="2"/>
    <x v="2"/>
    <x v="1"/>
    <x v="2"/>
    <x v="1"/>
    <x v="1"/>
    <x v="35"/>
    <x v="2"/>
    <x v="3"/>
    <x v="4"/>
    <x v="54"/>
    <x v="5"/>
    <x v="1"/>
    <x v="1"/>
    <x v="1"/>
    <x v="0"/>
    <x v="52"/>
    <x v="24"/>
    <x v="0"/>
  </r>
  <r>
    <x v="99"/>
    <x v="57"/>
    <x v="56"/>
    <x v="55"/>
    <x v="78"/>
    <x v="3"/>
    <x v="2"/>
    <x v="60"/>
    <x v="30"/>
    <x v="1"/>
    <x v="2"/>
    <x v="0"/>
    <x v="0"/>
    <x v="1"/>
    <x v="2"/>
    <x v="3"/>
    <x v="2"/>
    <x v="1"/>
    <x v="2"/>
    <x v="1"/>
    <x v="1"/>
    <x v="33"/>
    <x v="1"/>
    <x v="6"/>
    <x v="2"/>
    <x v="55"/>
    <x v="8"/>
    <x v="1"/>
    <x v="4"/>
    <x v="2"/>
    <x v="1"/>
    <x v="53"/>
    <x v="0"/>
    <x v="19"/>
  </r>
  <r>
    <x v="100"/>
    <x v="58"/>
    <x v="57"/>
    <x v="56"/>
    <x v="79"/>
    <x v="3"/>
    <x v="1"/>
    <x v="61"/>
    <x v="59"/>
    <x v="1"/>
    <x v="35"/>
    <x v="0"/>
    <x v="0"/>
    <x v="1"/>
    <x v="1"/>
    <x v="2"/>
    <x v="1"/>
    <x v="1"/>
    <x v="2"/>
    <x v="1"/>
    <x v="1"/>
    <x v="35"/>
    <x v="1"/>
    <x v="6"/>
    <x v="2"/>
    <x v="56"/>
    <x v="5"/>
    <x v="1"/>
    <x v="9"/>
    <x v="1"/>
    <x v="0"/>
    <x v="52"/>
    <x v="25"/>
    <x v="0"/>
  </r>
  <r>
    <x v="101"/>
    <x v="59"/>
    <x v="58"/>
    <x v="57"/>
    <x v="80"/>
    <x v="1"/>
    <x v="2"/>
    <x v="62"/>
    <x v="59"/>
    <x v="1"/>
    <x v="36"/>
    <x v="0"/>
    <x v="0"/>
    <x v="1"/>
    <x v="1"/>
    <x v="2"/>
    <x v="2"/>
    <x v="1"/>
    <x v="1"/>
    <x v="1"/>
    <x v="1"/>
    <x v="35"/>
    <x v="2"/>
    <x v="6"/>
    <x v="2"/>
    <x v="57"/>
    <x v="5"/>
    <x v="3"/>
    <x v="0"/>
    <x v="1"/>
    <x v="0"/>
    <x v="54"/>
    <x v="26"/>
    <x v="20"/>
  </r>
  <r>
    <x v="102"/>
    <x v="60"/>
    <x v="59"/>
    <x v="58"/>
    <x v="81"/>
    <x v="1"/>
    <x v="2"/>
    <x v="63"/>
    <x v="60"/>
    <x v="1"/>
    <x v="15"/>
    <x v="0"/>
    <x v="0"/>
    <x v="1"/>
    <x v="2"/>
    <x v="3"/>
    <x v="1"/>
    <x v="1"/>
    <x v="1"/>
    <x v="1"/>
    <x v="1"/>
    <x v="33"/>
    <x v="1"/>
    <x v="6"/>
    <x v="2"/>
    <x v="58"/>
    <x v="8"/>
    <x v="3"/>
    <x v="0"/>
    <x v="1"/>
    <x v="0"/>
    <x v="55"/>
    <x v="27"/>
    <x v="0"/>
  </r>
  <r>
    <x v="103"/>
    <x v="30"/>
    <x v="29"/>
    <x v="29"/>
    <x v="82"/>
    <x v="1"/>
    <x v="2"/>
    <x v="31"/>
    <x v="31"/>
    <x v="1"/>
    <x v="1"/>
    <x v="0"/>
    <x v="0"/>
    <x v="1"/>
    <x v="2"/>
    <x v="3"/>
    <x v="2"/>
    <x v="1"/>
    <x v="2"/>
    <x v="1"/>
    <x v="1"/>
    <x v="33"/>
    <x v="2"/>
    <x v="6"/>
    <x v="2"/>
    <x v="29"/>
    <x v="5"/>
    <x v="3"/>
    <x v="0"/>
    <x v="1"/>
    <x v="0"/>
    <x v="55"/>
    <x v="28"/>
    <x v="0"/>
  </r>
  <r>
    <x v="104"/>
    <x v="61"/>
    <x v="60"/>
    <x v="59"/>
    <x v="83"/>
    <x v="1"/>
    <x v="1"/>
    <x v="25"/>
    <x v="61"/>
    <x v="1"/>
    <x v="37"/>
    <x v="0"/>
    <x v="0"/>
    <x v="1"/>
    <x v="2"/>
    <x v="3"/>
    <x v="2"/>
    <x v="1"/>
    <x v="2"/>
    <x v="1"/>
    <x v="1"/>
    <x v="33"/>
    <x v="1"/>
    <x v="6"/>
    <x v="2"/>
    <x v="59"/>
    <x v="5"/>
    <x v="1"/>
    <x v="7"/>
    <x v="1"/>
    <x v="0"/>
    <x v="56"/>
    <x v="0"/>
    <x v="21"/>
  </r>
  <r>
    <x v="105"/>
    <x v="62"/>
    <x v="61"/>
    <x v="60"/>
    <x v="84"/>
    <x v="1"/>
    <x v="2"/>
    <x v="64"/>
    <x v="62"/>
    <x v="1"/>
    <x v="15"/>
    <x v="0"/>
    <x v="0"/>
    <x v="1"/>
    <x v="1"/>
    <x v="1"/>
    <x v="2"/>
    <x v="1"/>
    <x v="2"/>
    <x v="1"/>
    <x v="2"/>
    <x v="0"/>
    <x v="1"/>
    <x v="4"/>
    <x v="2"/>
    <x v="60"/>
    <x v="8"/>
    <x v="0"/>
    <x v="0"/>
    <x v="1"/>
    <x v="0"/>
    <x v="0"/>
    <x v="0"/>
    <x v="22"/>
  </r>
  <r>
    <x v="106"/>
    <x v="51"/>
    <x v="50"/>
    <x v="49"/>
    <x v="85"/>
    <x v="1"/>
    <x v="2"/>
    <x v="65"/>
    <x v="52"/>
    <x v="1"/>
    <x v="2"/>
    <x v="0"/>
    <x v="0"/>
    <x v="1"/>
    <x v="2"/>
    <x v="3"/>
    <x v="2"/>
    <x v="1"/>
    <x v="2"/>
    <x v="1"/>
    <x v="1"/>
    <x v="33"/>
    <x v="1"/>
    <x v="6"/>
    <x v="3"/>
    <x v="49"/>
    <x v="8"/>
    <x v="3"/>
    <x v="0"/>
    <x v="1"/>
    <x v="0"/>
    <x v="57"/>
    <x v="28"/>
    <x v="0"/>
  </r>
  <r>
    <x v="107"/>
    <x v="57"/>
    <x v="56"/>
    <x v="55"/>
    <x v="86"/>
    <x v="3"/>
    <x v="2"/>
    <x v="60"/>
    <x v="30"/>
    <x v="1"/>
    <x v="25"/>
    <x v="0"/>
    <x v="0"/>
    <x v="3"/>
    <x v="3"/>
    <x v="2"/>
    <x v="2"/>
    <x v="2"/>
    <x v="3"/>
    <x v="1"/>
    <x v="1"/>
    <x v="35"/>
    <x v="1"/>
    <x v="3"/>
    <x v="4"/>
    <x v="55"/>
    <x v="1"/>
    <x v="1"/>
    <x v="1"/>
    <x v="2"/>
    <x v="1"/>
    <x v="58"/>
    <x v="0"/>
    <x v="23"/>
  </r>
  <r>
    <x v="108"/>
    <x v="63"/>
    <x v="62"/>
    <x v="61"/>
    <x v="87"/>
    <x v="1"/>
    <x v="1"/>
    <x v="66"/>
    <x v="16"/>
    <x v="1"/>
    <x v="38"/>
    <x v="0"/>
    <x v="0"/>
    <x v="1"/>
    <x v="1"/>
    <x v="1"/>
    <x v="2"/>
    <x v="1"/>
    <x v="2"/>
    <x v="1"/>
    <x v="1"/>
    <x v="33"/>
    <x v="1"/>
    <x v="2"/>
    <x v="2"/>
    <x v="61"/>
    <x v="7"/>
    <x v="1"/>
    <x v="7"/>
    <x v="2"/>
    <x v="1"/>
    <x v="59"/>
    <x v="0"/>
    <x v="0"/>
  </r>
  <r>
    <x v="109"/>
    <x v="64"/>
    <x v="63"/>
    <x v="62"/>
    <x v="88"/>
    <x v="1"/>
    <x v="2"/>
    <x v="67"/>
    <x v="63"/>
    <x v="1"/>
    <x v="39"/>
    <x v="0"/>
    <x v="0"/>
    <x v="1"/>
    <x v="1"/>
    <x v="1"/>
    <x v="2"/>
    <x v="1"/>
    <x v="3"/>
    <x v="1"/>
    <x v="1"/>
    <x v="36"/>
    <x v="1"/>
    <x v="1"/>
    <x v="2"/>
    <x v="62"/>
    <x v="1"/>
    <x v="1"/>
    <x v="4"/>
    <x v="2"/>
    <x v="1"/>
    <x v="60"/>
    <x v="0"/>
    <x v="24"/>
  </r>
  <r>
    <x v="110"/>
    <x v="65"/>
    <x v="64"/>
    <x v="63"/>
    <x v="89"/>
    <x v="3"/>
    <x v="2"/>
    <x v="68"/>
    <x v="64"/>
    <x v="1"/>
    <x v="31"/>
    <x v="0"/>
    <x v="0"/>
    <x v="1"/>
    <x v="1"/>
    <x v="1"/>
    <x v="2"/>
    <x v="1"/>
    <x v="3"/>
    <x v="1"/>
    <x v="2"/>
    <x v="0"/>
    <x v="1"/>
    <x v="1"/>
    <x v="2"/>
    <x v="63"/>
    <x v="1"/>
    <x v="0"/>
    <x v="0"/>
    <x v="1"/>
    <x v="0"/>
    <x v="0"/>
    <x v="0"/>
    <x v="0"/>
  </r>
  <r>
    <x v="111"/>
    <x v="66"/>
    <x v="65"/>
    <x v="64"/>
    <x v="90"/>
    <x v="1"/>
    <x v="2"/>
    <x v="69"/>
    <x v="65"/>
    <x v="1"/>
    <x v="15"/>
    <x v="0"/>
    <x v="0"/>
    <x v="1"/>
    <x v="1"/>
    <x v="1"/>
    <x v="2"/>
    <x v="1"/>
    <x v="1"/>
    <x v="1"/>
    <x v="2"/>
    <x v="0"/>
    <x v="1"/>
    <x v="1"/>
    <x v="2"/>
    <x v="64"/>
    <x v="1"/>
    <x v="0"/>
    <x v="0"/>
    <x v="1"/>
    <x v="0"/>
    <x v="0"/>
    <x v="0"/>
    <x v="0"/>
  </r>
  <r>
    <x v="112"/>
    <x v="61"/>
    <x v="60"/>
    <x v="59"/>
    <x v="0"/>
    <x v="1"/>
    <x v="2"/>
    <x v="25"/>
    <x v="61"/>
    <x v="1"/>
    <x v="40"/>
    <x v="0"/>
    <x v="0"/>
    <x v="3"/>
    <x v="1"/>
    <x v="1"/>
    <x v="2"/>
    <x v="1"/>
    <x v="2"/>
    <x v="1"/>
    <x v="2"/>
    <x v="0"/>
    <x v="2"/>
    <x v="3"/>
    <x v="4"/>
    <x v="59"/>
    <x v="7"/>
    <x v="0"/>
    <x v="0"/>
    <x v="1"/>
    <x v="0"/>
    <x v="0"/>
    <x v="0"/>
    <x v="0"/>
  </r>
  <r>
    <x v="113"/>
    <x v="67"/>
    <x v="66"/>
    <x v="65"/>
    <x v="91"/>
    <x v="1"/>
    <x v="2"/>
    <x v="70"/>
    <x v="66"/>
    <x v="1"/>
    <x v="41"/>
    <x v="0"/>
    <x v="0"/>
    <x v="1"/>
    <x v="1"/>
    <x v="1"/>
    <x v="2"/>
    <x v="1"/>
    <x v="3"/>
    <x v="1"/>
    <x v="2"/>
    <x v="0"/>
    <x v="1"/>
    <x v="1"/>
    <x v="2"/>
    <x v="65"/>
    <x v="1"/>
    <x v="0"/>
    <x v="0"/>
    <x v="1"/>
    <x v="0"/>
    <x v="0"/>
    <x v="0"/>
    <x v="0"/>
  </r>
  <r>
    <x v="114"/>
    <x v="68"/>
    <x v="67"/>
    <x v="66"/>
    <x v="92"/>
    <x v="1"/>
    <x v="2"/>
    <x v="71"/>
    <x v="67"/>
    <x v="1"/>
    <x v="42"/>
    <x v="0"/>
    <x v="0"/>
    <x v="1"/>
    <x v="3"/>
    <x v="2"/>
    <x v="1"/>
    <x v="1"/>
    <x v="2"/>
    <x v="1"/>
    <x v="2"/>
    <x v="33"/>
    <x v="1"/>
    <x v="1"/>
    <x v="2"/>
    <x v="66"/>
    <x v="2"/>
    <x v="2"/>
    <x v="0"/>
    <x v="1"/>
    <x v="0"/>
    <x v="61"/>
    <x v="0"/>
    <x v="25"/>
  </r>
  <r>
    <x v="115"/>
    <x v="69"/>
    <x v="68"/>
    <x v="67"/>
    <x v="93"/>
    <x v="3"/>
    <x v="2"/>
    <x v="72"/>
    <x v="68"/>
    <x v="1"/>
    <x v="3"/>
    <x v="0"/>
    <x v="0"/>
    <x v="1"/>
    <x v="3"/>
    <x v="3"/>
    <x v="1"/>
    <x v="1"/>
    <x v="2"/>
    <x v="1"/>
    <x v="1"/>
    <x v="36"/>
    <x v="1"/>
    <x v="2"/>
    <x v="1"/>
    <x v="67"/>
    <x v="7"/>
    <x v="3"/>
    <x v="0"/>
    <x v="1"/>
    <x v="0"/>
    <x v="62"/>
    <x v="29"/>
    <x v="26"/>
  </r>
  <r>
    <x v="116"/>
    <x v="70"/>
    <x v="69"/>
    <x v="68"/>
    <x v="94"/>
    <x v="1"/>
    <x v="2"/>
    <x v="73"/>
    <x v="69"/>
    <x v="2"/>
    <x v="0"/>
    <x v="5"/>
    <x v="0"/>
    <x v="1"/>
    <x v="2"/>
    <x v="3"/>
    <x v="2"/>
    <x v="1"/>
    <x v="2"/>
    <x v="1"/>
    <x v="1"/>
    <x v="35"/>
    <x v="1"/>
    <x v="1"/>
    <x v="2"/>
    <x v="68"/>
    <x v="1"/>
    <x v="1"/>
    <x v="1"/>
    <x v="2"/>
    <x v="1"/>
    <x v="63"/>
    <x v="0"/>
    <x v="0"/>
  </r>
  <r>
    <x v="117"/>
    <x v="71"/>
    <x v="70"/>
    <x v="69"/>
    <x v="95"/>
    <x v="1"/>
    <x v="2"/>
    <x v="74"/>
    <x v="70"/>
    <x v="2"/>
    <x v="0"/>
    <x v="6"/>
    <x v="0"/>
    <x v="1"/>
    <x v="2"/>
    <x v="3"/>
    <x v="1"/>
    <x v="1"/>
    <x v="2"/>
    <x v="1"/>
    <x v="1"/>
    <x v="35"/>
    <x v="1"/>
    <x v="1"/>
    <x v="2"/>
    <x v="69"/>
    <x v="2"/>
    <x v="3"/>
    <x v="0"/>
    <x v="1"/>
    <x v="0"/>
    <x v="64"/>
    <x v="30"/>
    <x v="0"/>
  </r>
  <r>
    <x v="118"/>
    <x v="63"/>
    <x v="62"/>
    <x v="61"/>
    <x v="96"/>
    <x v="1"/>
    <x v="1"/>
    <x v="66"/>
    <x v="16"/>
    <x v="1"/>
    <x v="43"/>
    <x v="0"/>
    <x v="0"/>
    <x v="3"/>
    <x v="2"/>
    <x v="3"/>
    <x v="2"/>
    <x v="1"/>
    <x v="2"/>
    <x v="1"/>
    <x v="1"/>
    <x v="35"/>
    <x v="1"/>
    <x v="3"/>
    <x v="4"/>
    <x v="61"/>
    <x v="7"/>
    <x v="1"/>
    <x v="1"/>
    <x v="2"/>
    <x v="1"/>
    <x v="65"/>
    <x v="0"/>
    <x v="0"/>
  </r>
  <r>
    <x v="119"/>
    <x v="72"/>
    <x v="71"/>
    <x v="70"/>
    <x v="97"/>
    <x v="1"/>
    <x v="1"/>
    <x v="75"/>
    <x v="37"/>
    <x v="1"/>
    <x v="24"/>
    <x v="0"/>
    <x v="0"/>
    <x v="1"/>
    <x v="2"/>
    <x v="3"/>
    <x v="2"/>
    <x v="2"/>
    <x v="1"/>
    <x v="1"/>
    <x v="1"/>
    <x v="35"/>
    <x v="1"/>
    <x v="5"/>
    <x v="2"/>
    <x v="70"/>
    <x v="7"/>
    <x v="1"/>
    <x v="9"/>
    <x v="1"/>
    <x v="0"/>
    <x v="66"/>
    <x v="31"/>
    <x v="27"/>
  </r>
  <r>
    <x v="120"/>
    <x v="70"/>
    <x v="69"/>
    <x v="68"/>
    <x v="98"/>
    <x v="1"/>
    <x v="2"/>
    <x v="73"/>
    <x v="69"/>
    <x v="2"/>
    <x v="0"/>
    <x v="5"/>
    <x v="0"/>
    <x v="3"/>
    <x v="1"/>
    <x v="1"/>
    <x v="2"/>
    <x v="1"/>
    <x v="2"/>
    <x v="1"/>
    <x v="1"/>
    <x v="35"/>
    <x v="1"/>
    <x v="3"/>
    <x v="4"/>
    <x v="68"/>
    <x v="5"/>
    <x v="1"/>
    <x v="9"/>
    <x v="2"/>
    <x v="1"/>
    <x v="67"/>
    <x v="32"/>
    <x v="0"/>
  </r>
  <r>
    <x v="121"/>
    <x v="26"/>
    <x v="26"/>
    <x v="26"/>
    <x v="99"/>
    <x v="1"/>
    <x v="2"/>
    <x v="28"/>
    <x v="71"/>
    <x v="1"/>
    <x v="15"/>
    <x v="0"/>
    <x v="0"/>
    <x v="1"/>
    <x v="1"/>
    <x v="1"/>
    <x v="2"/>
    <x v="1"/>
    <x v="2"/>
    <x v="1"/>
    <x v="1"/>
    <x v="37"/>
    <x v="1"/>
    <x v="2"/>
    <x v="3"/>
    <x v="26"/>
    <x v="10"/>
    <x v="1"/>
    <x v="4"/>
    <x v="2"/>
    <x v="1"/>
    <x v="68"/>
    <x v="33"/>
    <x v="0"/>
  </r>
  <r>
    <x v="122"/>
    <x v="73"/>
    <x v="72"/>
    <x v="71"/>
    <x v="100"/>
    <x v="2"/>
    <x v="1"/>
    <x v="76"/>
    <x v="10"/>
    <x v="6"/>
    <x v="0"/>
    <x v="0"/>
    <x v="2"/>
    <x v="1"/>
    <x v="1"/>
    <x v="1"/>
    <x v="2"/>
    <x v="1"/>
    <x v="3"/>
    <x v="1"/>
    <x v="1"/>
    <x v="36"/>
    <x v="1"/>
    <x v="6"/>
    <x v="2"/>
    <x v="71"/>
    <x v="10"/>
    <x v="3"/>
    <x v="0"/>
    <x v="1"/>
    <x v="0"/>
    <x v="69"/>
    <x v="34"/>
    <x v="28"/>
  </r>
  <r>
    <x v="123"/>
    <x v="63"/>
    <x v="62"/>
    <x v="61"/>
    <x v="101"/>
    <x v="1"/>
    <x v="1"/>
    <x v="66"/>
    <x v="16"/>
    <x v="1"/>
    <x v="43"/>
    <x v="0"/>
    <x v="0"/>
    <x v="3"/>
    <x v="1"/>
    <x v="1"/>
    <x v="1"/>
    <x v="1"/>
    <x v="2"/>
    <x v="1"/>
    <x v="2"/>
    <x v="0"/>
    <x v="1"/>
    <x v="3"/>
    <x v="4"/>
    <x v="61"/>
    <x v="5"/>
    <x v="0"/>
    <x v="0"/>
    <x v="1"/>
    <x v="0"/>
    <x v="0"/>
    <x v="0"/>
    <x v="0"/>
  </r>
  <r>
    <x v="124"/>
    <x v="74"/>
    <x v="73"/>
    <x v="72"/>
    <x v="102"/>
    <x v="3"/>
    <x v="2"/>
    <x v="77"/>
    <x v="72"/>
    <x v="1"/>
    <x v="4"/>
    <x v="0"/>
    <x v="0"/>
    <x v="1"/>
    <x v="1"/>
    <x v="1"/>
    <x v="2"/>
    <x v="1"/>
    <x v="3"/>
    <x v="1"/>
    <x v="1"/>
    <x v="35"/>
    <x v="1"/>
    <x v="6"/>
    <x v="2"/>
    <x v="72"/>
    <x v="10"/>
    <x v="3"/>
    <x v="0"/>
    <x v="1"/>
    <x v="0"/>
    <x v="70"/>
    <x v="30"/>
    <x v="0"/>
  </r>
  <r>
    <x v="125"/>
    <x v="75"/>
    <x v="74"/>
    <x v="73"/>
    <x v="103"/>
    <x v="1"/>
    <x v="1"/>
    <x v="78"/>
    <x v="73"/>
    <x v="2"/>
    <x v="0"/>
    <x v="5"/>
    <x v="0"/>
    <x v="1"/>
    <x v="2"/>
    <x v="3"/>
    <x v="2"/>
    <x v="1"/>
    <x v="2"/>
    <x v="1"/>
    <x v="1"/>
    <x v="37"/>
    <x v="2"/>
    <x v="6"/>
    <x v="2"/>
    <x v="73"/>
    <x v="5"/>
    <x v="1"/>
    <x v="4"/>
    <x v="2"/>
    <x v="1"/>
    <x v="71"/>
    <x v="0"/>
    <x v="0"/>
  </r>
  <r>
    <x v="126"/>
    <x v="70"/>
    <x v="69"/>
    <x v="68"/>
    <x v="104"/>
    <x v="1"/>
    <x v="6"/>
    <x v="73"/>
    <x v="69"/>
    <x v="1"/>
    <x v="4"/>
    <x v="0"/>
    <x v="0"/>
    <x v="3"/>
    <x v="2"/>
    <x v="3"/>
    <x v="2"/>
    <x v="1"/>
    <x v="2"/>
    <x v="1"/>
    <x v="1"/>
    <x v="37"/>
    <x v="1"/>
    <x v="3"/>
    <x v="4"/>
    <x v="68"/>
    <x v="10"/>
    <x v="1"/>
    <x v="10"/>
    <x v="2"/>
    <x v="1"/>
    <x v="72"/>
    <x v="0"/>
    <x v="0"/>
  </r>
  <r>
    <x v="127"/>
    <x v="19"/>
    <x v="19"/>
    <x v="19"/>
    <x v="105"/>
    <x v="1"/>
    <x v="2"/>
    <x v="21"/>
    <x v="20"/>
    <x v="1"/>
    <x v="44"/>
    <x v="0"/>
    <x v="0"/>
    <x v="1"/>
    <x v="1"/>
    <x v="1"/>
    <x v="2"/>
    <x v="1"/>
    <x v="2"/>
    <x v="1"/>
    <x v="2"/>
    <x v="0"/>
    <x v="1"/>
    <x v="6"/>
    <x v="2"/>
    <x v="19"/>
    <x v="5"/>
    <x v="0"/>
    <x v="0"/>
    <x v="1"/>
    <x v="0"/>
    <x v="0"/>
    <x v="0"/>
    <x v="0"/>
  </r>
  <r>
    <x v="128"/>
    <x v="76"/>
    <x v="75"/>
    <x v="74"/>
    <x v="106"/>
    <x v="1"/>
    <x v="6"/>
    <x v="79"/>
    <x v="74"/>
    <x v="1"/>
    <x v="45"/>
    <x v="0"/>
    <x v="0"/>
    <x v="1"/>
    <x v="1"/>
    <x v="1"/>
    <x v="2"/>
    <x v="1"/>
    <x v="3"/>
    <x v="1"/>
    <x v="1"/>
    <x v="37"/>
    <x v="1"/>
    <x v="6"/>
    <x v="2"/>
    <x v="74"/>
    <x v="10"/>
    <x v="3"/>
    <x v="0"/>
    <x v="1"/>
    <x v="0"/>
    <x v="73"/>
    <x v="35"/>
    <x v="0"/>
  </r>
  <r>
    <x v="129"/>
    <x v="57"/>
    <x v="56"/>
    <x v="55"/>
    <x v="107"/>
    <x v="3"/>
    <x v="2"/>
    <x v="60"/>
    <x v="30"/>
    <x v="1"/>
    <x v="33"/>
    <x v="0"/>
    <x v="0"/>
    <x v="3"/>
    <x v="1"/>
    <x v="2"/>
    <x v="2"/>
    <x v="2"/>
    <x v="3"/>
    <x v="1"/>
    <x v="1"/>
    <x v="36"/>
    <x v="1"/>
    <x v="3"/>
    <x v="4"/>
    <x v="55"/>
    <x v="5"/>
    <x v="1"/>
    <x v="3"/>
    <x v="2"/>
    <x v="1"/>
    <x v="74"/>
    <x v="0"/>
    <x v="0"/>
  </r>
  <r>
    <x v="130"/>
    <x v="77"/>
    <x v="76"/>
    <x v="75"/>
    <x v="108"/>
    <x v="1"/>
    <x v="2"/>
    <x v="80"/>
    <x v="74"/>
    <x v="1"/>
    <x v="2"/>
    <x v="0"/>
    <x v="0"/>
    <x v="1"/>
    <x v="1"/>
    <x v="1"/>
    <x v="2"/>
    <x v="1"/>
    <x v="2"/>
    <x v="1"/>
    <x v="2"/>
    <x v="0"/>
    <x v="1"/>
    <x v="6"/>
    <x v="2"/>
    <x v="75"/>
    <x v="5"/>
    <x v="0"/>
    <x v="0"/>
    <x v="1"/>
    <x v="0"/>
    <x v="0"/>
    <x v="0"/>
    <x v="0"/>
  </r>
  <r>
    <x v="131"/>
    <x v="78"/>
    <x v="77"/>
    <x v="76"/>
    <x v="109"/>
    <x v="1"/>
    <x v="6"/>
    <x v="81"/>
    <x v="30"/>
    <x v="1"/>
    <x v="22"/>
    <x v="0"/>
    <x v="0"/>
    <x v="1"/>
    <x v="1"/>
    <x v="1"/>
    <x v="2"/>
    <x v="1"/>
    <x v="3"/>
    <x v="1"/>
    <x v="1"/>
    <x v="37"/>
    <x v="1"/>
    <x v="6"/>
    <x v="2"/>
    <x v="76"/>
    <x v="10"/>
    <x v="1"/>
    <x v="4"/>
    <x v="2"/>
    <x v="1"/>
    <x v="75"/>
    <x v="0"/>
    <x v="29"/>
  </r>
  <r>
    <x v="132"/>
    <x v="45"/>
    <x v="44"/>
    <x v="44"/>
    <x v="110"/>
    <x v="3"/>
    <x v="6"/>
    <x v="47"/>
    <x v="17"/>
    <x v="1"/>
    <x v="1"/>
    <x v="0"/>
    <x v="0"/>
    <x v="1"/>
    <x v="1"/>
    <x v="1"/>
    <x v="2"/>
    <x v="1"/>
    <x v="2"/>
    <x v="2"/>
    <x v="1"/>
    <x v="37"/>
    <x v="1"/>
    <x v="6"/>
    <x v="2"/>
    <x v="44"/>
    <x v="10"/>
    <x v="3"/>
    <x v="0"/>
    <x v="1"/>
    <x v="0"/>
    <x v="76"/>
    <x v="36"/>
    <x v="30"/>
  </r>
  <r>
    <x v="133"/>
    <x v="79"/>
    <x v="78"/>
    <x v="77"/>
    <x v="111"/>
    <x v="3"/>
    <x v="2"/>
    <x v="82"/>
    <x v="59"/>
    <x v="6"/>
    <x v="0"/>
    <x v="0"/>
    <x v="3"/>
    <x v="1"/>
    <x v="1"/>
    <x v="1"/>
    <x v="1"/>
    <x v="1"/>
    <x v="2"/>
    <x v="2"/>
    <x v="2"/>
    <x v="0"/>
    <x v="1"/>
    <x v="6"/>
    <x v="2"/>
    <x v="77"/>
    <x v="5"/>
    <x v="0"/>
    <x v="0"/>
    <x v="1"/>
    <x v="0"/>
    <x v="0"/>
    <x v="0"/>
    <x v="31"/>
  </r>
  <r>
    <x v="134"/>
    <x v="49"/>
    <x v="48"/>
    <x v="47"/>
    <x v="112"/>
    <x v="1"/>
    <x v="1"/>
    <x v="51"/>
    <x v="50"/>
    <x v="1"/>
    <x v="34"/>
    <x v="0"/>
    <x v="0"/>
    <x v="3"/>
    <x v="1"/>
    <x v="1"/>
    <x v="2"/>
    <x v="1"/>
    <x v="3"/>
    <x v="1"/>
    <x v="2"/>
    <x v="0"/>
    <x v="1"/>
    <x v="3"/>
    <x v="4"/>
    <x v="47"/>
    <x v="5"/>
    <x v="0"/>
    <x v="0"/>
    <x v="1"/>
    <x v="0"/>
    <x v="0"/>
    <x v="0"/>
    <x v="0"/>
  </r>
  <r>
    <x v="135"/>
    <x v="72"/>
    <x v="71"/>
    <x v="70"/>
    <x v="0"/>
    <x v="1"/>
    <x v="6"/>
    <x v="75"/>
    <x v="37"/>
    <x v="1"/>
    <x v="24"/>
    <x v="0"/>
    <x v="0"/>
    <x v="3"/>
    <x v="1"/>
    <x v="1"/>
    <x v="2"/>
    <x v="1"/>
    <x v="2"/>
    <x v="1"/>
    <x v="1"/>
    <x v="38"/>
    <x v="2"/>
    <x v="3"/>
    <x v="4"/>
    <x v="78"/>
    <x v="10"/>
    <x v="3"/>
    <x v="0"/>
    <x v="1"/>
    <x v="0"/>
    <x v="77"/>
    <x v="37"/>
    <x v="32"/>
  </r>
  <r>
    <x v="136"/>
    <x v="56"/>
    <x v="55"/>
    <x v="54"/>
    <x v="0"/>
    <x v="3"/>
    <x v="2"/>
    <x v="58"/>
    <x v="58"/>
    <x v="1"/>
    <x v="12"/>
    <x v="0"/>
    <x v="0"/>
    <x v="3"/>
    <x v="1"/>
    <x v="2"/>
    <x v="2"/>
    <x v="1"/>
    <x v="2"/>
    <x v="1"/>
    <x v="1"/>
    <x v="36"/>
    <x v="2"/>
    <x v="3"/>
    <x v="4"/>
    <x v="54"/>
    <x v="5"/>
    <x v="3"/>
    <x v="0"/>
    <x v="1"/>
    <x v="0"/>
    <x v="78"/>
    <x v="38"/>
    <x v="0"/>
  </r>
  <r>
    <x v="137"/>
    <x v="58"/>
    <x v="57"/>
    <x v="56"/>
    <x v="0"/>
    <x v="3"/>
    <x v="6"/>
    <x v="61"/>
    <x v="75"/>
    <x v="1"/>
    <x v="3"/>
    <x v="0"/>
    <x v="0"/>
    <x v="3"/>
    <x v="3"/>
    <x v="2"/>
    <x v="2"/>
    <x v="1"/>
    <x v="3"/>
    <x v="1"/>
    <x v="1"/>
    <x v="39"/>
    <x v="2"/>
    <x v="3"/>
    <x v="4"/>
    <x v="56"/>
    <x v="10"/>
    <x v="3"/>
    <x v="0"/>
    <x v="1"/>
    <x v="0"/>
    <x v="79"/>
    <x v="39"/>
    <x v="0"/>
  </r>
  <r>
    <x v="138"/>
    <x v="80"/>
    <x v="79"/>
    <x v="78"/>
    <x v="113"/>
    <x v="1"/>
    <x v="2"/>
    <x v="83"/>
    <x v="72"/>
    <x v="1"/>
    <x v="3"/>
    <x v="0"/>
    <x v="0"/>
    <x v="1"/>
    <x v="3"/>
    <x v="3"/>
    <x v="2"/>
    <x v="1"/>
    <x v="2"/>
    <x v="1"/>
    <x v="1"/>
    <x v="36"/>
    <x v="1"/>
    <x v="6"/>
    <x v="2"/>
    <x v="79"/>
    <x v="5"/>
    <x v="1"/>
    <x v="7"/>
    <x v="1"/>
    <x v="0"/>
    <x v="80"/>
    <x v="40"/>
    <x v="0"/>
  </r>
  <r>
    <x v="139"/>
    <x v="81"/>
    <x v="80"/>
    <x v="79"/>
    <x v="114"/>
    <x v="3"/>
    <x v="2"/>
    <x v="84"/>
    <x v="76"/>
    <x v="1"/>
    <x v="24"/>
    <x v="0"/>
    <x v="0"/>
    <x v="1"/>
    <x v="3"/>
    <x v="3"/>
    <x v="2"/>
    <x v="1"/>
    <x v="3"/>
    <x v="1"/>
    <x v="1"/>
    <x v="36"/>
    <x v="1"/>
    <x v="4"/>
    <x v="2"/>
    <x v="80"/>
    <x v="1"/>
    <x v="3"/>
    <x v="0"/>
    <x v="1"/>
    <x v="0"/>
    <x v="81"/>
    <x v="41"/>
    <x v="0"/>
  </r>
  <r>
    <x v="140"/>
    <x v="75"/>
    <x v="74"/>
    <x v="73"/>
    <x v="115"/>
    <x v="1"/>
    <x v="2"/>
    <x v="78"/>
    <x v="77"/>
    <x v="2"/>
    <x v="0"/>
    <x v="5"/>
    <x v="0"/>
    <x v="3"/>
    <x v="2"/>
    <x v="3"/>
    <x v="2"/>
    <x v="1"/>
    <x v="2"/>
    <x v="1"/>
    <x v="1"/>
    <x v="37"/>
    <x v="2"/>
    <x v="3"/>
    <x v="4"/>
    <x v="73"/>
    <x v="1"/>
    <x v="1"/>
    <x v="4"/>
    <x v="2"/>
    <x v="1"/>
    <x v="82"/>
    <x v="42"/>
    <x v="0"/>
  </r>
  <r>
    <x v="141"/>
    <x v="70"/>
    <x v="69"/>
    <x v="68"/>
    <x v="116"/>
    <x v="1"/>
    <x v="2"/>
    <x v="73"/>
    <x v="69"/>
    <x v="1"/>
    <x v="4"/>
    <x v="0"/>
    <x v="0"/>
    <x v="3"/>
    <x v="1"/>
    <x v="1"/>
    <x v="2"/>
    <x v="1"/>
    <x v="2"/>
    <x v="1"/>
    <x v="1"/>
    <x v="38"/>
    <x v="1"/>
    <x v="3"/>
    <x v="4"/>
    <x v="74"/>
    <x v="9"/>
    <x v="3"/>
    <x v="0"/>
    <x v="1"/>
    <x v="0"/>
    <x v="83"/>
    <x v="43"/>
    <x v="0"/>
  </r>
  <r>
    <x v="142"/>
    <x v="82"/>
    <x v="81"/>
    <x v="80"/>
    <x v="117"/>
    <x v="1"/>
    <x v="2"/>
    <x v="85"/>
    <x v="10"/>
    <x v="2"/>
    <x v="0"/>
    <x v="5"/>
    <x v="0"/>
    <x v="1"/>
    <x v="2"/>
    <x v="3"/>
    <x v="2"/>
    <x v="1"/>
    <x v="1"/>
    <x v="1"/>
    <x v="1"/>
    <x v="37"/>
    <x v="1"/>
    <x v="6"/>
    <x v="2"/>
    <x v="81"/>
    <x v="9"/>
    <x v="1"/>
    <x v="10"/>
    <x v="2"/>
    <x v="1"/>
    <x v="84"/>
    <x v="0"/>
    <x v="33"/>
  </r>
  <r>
    <x v="143"/>
    <x v="78"/>
    <x v="77"/>
    <x v="76"/>
    <x v="118"/>
    <x v="1"/>
    <x v="2"/>
    <x v="81"/>
    <x v="78"/>
    <x v="1"/>
    <x v="22"/>
    <x v="0"/>
    <x v="0"/>
    <x v="3"/>
    <x v="2"/>
    <x v="3"/>
    <x v="2"/>
    <x v="1"/>
    <x v="3"/>
    <x v="1"/>
    <x v="1"/>
    <x v="36"/>
    <x v="1"/>
    <x v="3"/>
    <x v="4"/>
    <x v="76"/>
    <x v="1"/>
    <x v="1"/>
    <x v="7"/>
    <x v="2"/>
    <x v="1"/>
    <x v="85"/>
    <x v="0"/>
    <x v="0"/>
  </r>
  <r>
    <x v="144"/>
    <x v="83"/>
    <x v="82"/>
    <x v="81"/>
    <x v="119"/>
    <x v="1"/>
    <x v="3"/>
    <x v="86"/>
    <x v="10"/>
    <x v="1"/>
    <x v="46"/>
    <x v="0"/>
    <x v="0"/>
    <x v="1"/>
    <x v="1"/>
    <x v="1"/>
    <x v="2"/>
    <x v="1"/>
    <x v="1"/>
    <x v="1"/>
    <x v="1"/>
    <x v="40"/>
    <x v="1"/>
    <x v="6"/>
    <x v="3"/>
    <x v="82"/>
    <x v="9"/>
    <x v="3"/>
    <x v="0"/>
    <x v="1"/>
    <x v="0"/>
    <x v="86"/>
    <x v="44"/>
    <x v="0"/>
  </r>
  <r>
    <x v="145"/>
    <x v="26"/>
    <x v="26"/>
    <x v="26"/>
    <x v="120"/>
    <x v="1"/>
    <x v="2"/>
    <x v="28"/>
    <x v="79"/>
    <x v="1"/>
    <x v="22"/>
    <x v="0"/>
    <x v="0"/>
    <x v="3"/>
    <x v="1"/>
    <x v="1"/>
    <x v="2"/>
    <x v="1"/>
    <x v="3"/>
    <x v="1"/>
    <x v="2"/>
    <x v="0"/>
    <x v="1"/>
    <x v="3"/>
    <x v="4"/>
    <x v="26"/>
    <x v="1"/>
    <x v="0"/>
    <x v="0"/>
    <x v="1"/>
    <x v="0"/>
    <x v="0"/>
    <x v="0"/>
    <x v="0"/>
  </r>
  <r>
    <x v="146"/>
    <x v="75"/>
    <x v="74"/>
    <x v="73"/>
    <x v="0"/>
    <x v="1"/>
    <x v="2"/>
    <x v="78"/>
    <x v="77"/>
    <x v="2"/>
    <x v="0"/>
    <x v="5"/>
    <x v="0"/>
    <x v="3"/>
    <x v="4"/>
    <x v="1"/>
    <x v="2"/>
    <x v="1"/>
    <x v="2"/>
    <x v="1"/>
    <x v="1"/>
    <x v="36"/>
    <x v="2"/>
    <x v="3"/>
    <x v="4"/>
    <x v="73"/>
    <x v="1"/>
    <x v="3"/>
    <x v="0"/>
    <x v="1"/>
    <x v="0"/>
    <x v="87"/>
    <x v="45"/>
    <x v="34"/>
  </r>
  <r>
    <x v="147"/>
    <x v="84"/>
    <x v="83"/>
    <x v="82"/>
    <x v="121"/>
    <x v="1"/>
    <x v="6"/>
    <x v="87"/>
    <x v="80"/>
    <x v="1"/>
    <x v="47"/>
    <x v="0"/>
    <x v="0"/>
    <x v="1"/>
    <x v="1"/>
    <x v="1"/>
    <x v="2"/>
    <x v="2"/>
    <x v="1"/>
    <x v="1"/>
    <x v="2"/>
    <x v="0"/>
    <x v="1"/>
    <x v="6"/>
    <x v="2"/>
    <x v="83"/>
    <x v="9"/>
    <x v="0"/>
    <x v="0"/>
    <x v="1"/>
    <x v="0"/>
    <x v="0"/>
    <x v="0"/>
    <x v="0"/>
  </r>
  <r>
    <x v="148"/>
    <x v="57"/>
    <x v="56"/>
    <x v="55"/>
    <x v="122"/>
    <x v="3"/>
    <x v="2"/>
    <x v="88"/>
    <x v="30"/>
    <x v="1"/>
    <x v="33"/>
    <x v="0"/>
    <x v="0"/>
    <x v="3"/>
    <x v="1"/>
    <x v="1"/>
    <x v="2"/>
    <x v="1"/>
    <x v="3"/>
    <x v="1"/>
    <x v="2"/>
    <x v="0"/>
    <x v="1"/>
    <x v="3"/>
    <x v="4"/>
    <x v="55"/>
    <x v="3"/>
    <x v="0"/>
    <x v="0"/>
    <x v="1"/>
    <x v="0"/>
    <x v="0"/>
    <x v="0"/>
    <x v="0"/>
  </r>
  <r>
    <x v="149"/>
    <x v="85"/>
    <x v="84"/>
    <x v="83"/>
    <x v="123"/>
    <x v="3"/>
    <x v="2"/>
    <x v="89"/>
    <x v="81"/>
    <x v="1"/>
    <x v="8"/>
    <x v="0"/>
    <x v="0"/>
    <x v="1"/>
    <x v="1"/>
    <x v="1"/>
    <x v="2"/>
    <x v="1"/>
    <x v="2"/>
    <x v="1"/>
    <x v="1"/>
    <x v="39"/>
    <x v="2"/>
    <x v="1"/>
    <x v="2"/>
    <x v="84"/>
    <x v="3"/>
    <x v="1"/>
    <x v="5"/>
    <x v="2"/>
    <x v="1"/>
    <x v="88"/>
    <x v="0"/>
    <x v="0"/>
  </r>
  <r>
    <x v="150"/>
    <x v="64"/>
    <x v="63"/>
    <x v="62"/>
    <x v="124"/>
    <x v="1"/>
    <x v="2"/>
    <x v="67"/>
    <x v="82"/>
    <x v="1"/>
    <x v="48"/>
    <x v="0"/>
    <x v="0"/>
    <x v="3"/>
    <x v="1"/>
    <x v="1"/>
    <x v="2"/>
    <x v="1"/>
    <x v="2"/>
    <x v="1"/>
    <x v="2"/>
    <x v="0"/>
    <x v="1"/>
    <x v="3"/>
    <x v="4"/>
    <x v="62"/>
    <x v="1"/>
    <x v="0"/>
    <x v="0"/>
    <x v="1"/>
    <x v="0"/>
    <x v="0"/>
    <x v="0"/>
    <x v="0"/>
  </r>
  <r>
    <x v="151"/>
    <x v="86"/>
    <x v="85"/>
    <x v="84"/>
    <x v="125"/>
    <x v="1"/>
    <x v="2"/>
    <x v="90"/>
    <x v="83"/>
    <x v="6"/>
    <x v="0"/>
    <x v="0"/>
    <x v="4"/>
    <x v="1"/>
    <x v="1"/>
    <x v="1"/>
    <x v="2"/>
    <x v="2"/>
    <x v="3"/>
    <x v="1"/>
    <x v="1"/>
    <x v="41"/>
    <x v="1"/>
    <x v="1"/>
    <x v="2"/>
    <x v="85"/>
    <x v="1"/>
    <x v="1"/>
    <x v="4"/>
    <x v="1"/>
    <x v="0"/>
    <x v="89"/>
    <x v="46"/>
    <x v="0"/>
  </r>
  <r>
    <x v="152"/>
    <x v="78"/>
    <x v="77"/>
    <x v="76"/>
    <x v="126"/>
    <x v="1"/>
    <x v="2"/>
    <x v="81"/>
    <x v="30"/>
    <x v="1"/>
    <x v="22"/>
    <x v="0"/>
    <x v="0"/>
    <x v="3"/>
    <x v="3"/>
    <x v="2"/>
    <x v="2"/>
    <x v="1"/>
    <x v="2"/>
    <x v="1"/>
    <x v="1"/>
    <x v="34"/>
    <x v="1"/>
    <x v="1"/>
    <x v="2"/>
    <x v="76"/>
    <x v="7"/>
    <x v="1"/>
    <x v="4"/>
    <x v="1"/>
    <x v="0"/>
    <x v="90"/>
    <x v="0"/>
    <x v="0"/>
  </r>
  <r>
    <x v="153"/>
    <x v="87"/>
    <x v="86"/>
    <x v="85"/>
    <x v="127"/>
    <x v="1"/>
    <x v="2"/>
    <x v="91"/>
    <x v="84"/>
    <x v="1"/>
    <x v="1"/>
    <x v="0"/>
    <x v="0"/>
    <x v="1"/>
    <x v="5"/>
    <x v="3"/>
    <x v="1"/>
    <x v="1"/>
    <x v="1"/>
    <x v="1"/>
    <x v="1"/>
    <x v="39"/>
    <x v="1"/>
    <x v="1"/>
    <x v="6"/>
    <x v="86"/>
    <x v="3"/>
    <x v="1"/>
    <x v="3"/>
    <x v="2"/>
    <x v="1"/>
    <x v="91"/>
    <x v="0"/>
    <x v="0"/>
  </r>
  <r>
    <x v="154"/>
    <x v="88"/>
    <x v="87"/>
    <x v="86"/>
    <x v="128"/>
    <x v="1"/>
    <x v="1"/>
    <x v="92"/>
    <x v="85"/>
    <x v="1"/>
    <x v="49"/>
    <x v="0"/>
    <x v="0"/>
    <x v="1"/>
    <x v="1"/>
    <x v="1"/>
    <x v="2"/>
    <x v="1"/>
    <x v="2"/>
    <x v="1"/>
    <x v="2"/>
    <x v="0"/>
    <x v="1"/>
    <x v="1"/>
    <x v="2"/>
    <x v="87"/>
    <x v="4"/>
    <x v="0"/>
    <x v="0"/>
    <x v="1"/>
    <x v="0"/>
    <x v="0"/>
    <x v="0"/>
    <x v="0"/>
  </r>
  <r>
    <x v="155"/>
    <x v="65"/>
    <x v="64"/>
    <x v="63"/>
    <x v="129"/>
    <x v="3"/>
    <x v="2"/>
    <x v="68"/>
    <x v="86"/>
    <x v="1"/>
    <x v="3"/>
    <x v="0"/>
    <x v="0"/>
    <x v="1"/>
    <x v="1"/>
    <x v="1"/>
    <x v="2"/>
    <x v="1"/>
    <x v="3"/>
    <x v="1"/>
    <x v="1"/>
    <x v="39"/>
    <x v="1"/>
    <x v="1"/>
    <x v="2"/>
    <x v="63"/>
    <x v="1"/>
    <x v="3"/>
    <x v="0"/>
    <x v="1"/>
    <x v="0"/>
    <x v="92"/>
    <x v="47"/>
    <x v="0"/>
  </r>
  <r>
    <x v="156"/>
    <x v="80"/>
    <x v="79"/>
    <x v="78"/>
    <x v="0"/>
    <x v="1"/>
    <x v="2"/>
    <x v="83"/>
    <x v="72"/>
    <x v="1"/>
    <x v="3"/>
    <x v="0"/>
    <x v="0"/>
    <x v="3"/>
    <x v="1"/>
    <x v="1"/>
    <x v="2"/>
    <x v="1"/>
    <x v="2"/>
    <x v="1"/>
    <x v="2"/>
    <x v="0"/>
    <x v="2"/>
    <x v="3"/>
    <x v="4"/>
    <x v="79"/>
    <x v="7"/>
    <x v="0"/>
    <x v="0"/>
    <x v="1"/>
    <x v="0"/>
    <x v="0"/>
    <x v="0"/>
    <x v="0"/>
  </r>
  <r>
    <x v="157"/>
    <x v="89"/>
    <x v="88"/>
    <x v="87"/>
    <x v="130"/>
    <x v="1"/>
    <x v="2"/>
    <x v="93"/>
    <x v="87"/>
    <x v="1"/>
    <x v="50"/>
    <x v="0"/>
    <x v="0"/>
    <x v="1"/>
    <x v="1"/>
    <x v="1"/>
    <x v="2"/>
    <x v="1"/>
    <x v="3"/>
    <x v="1"/>
    <x v="2"/>
    <x v="0"/>
    <x v="1"/>
    <x v="2"/>
    <x v="2"/>
    <x v="88"/>
    <x v="1"/>
    <x v="0"/>
    <x v="0"/>
    <x v="1"/>
    <x v="0"/>
    <x v="0"/>
    <x v="0"/>
    <x v="0"/>
  </r>
  <r>
    <x v="158"/>
    <x v="90"/>
    <x v="89"/>
    <x v="88"/>
    <x v="131"/>
    <x v="1"/>
    <x v="2"/>
    <x v="94"/>
    <x v="10"/>
    <x v="1"/>
    <x v="15"/>
    <x v="0"/>
    <x v="0"/>
    <x v="1"/>
    <x v="3"/>
    <x v="2"/>
    <x v="2"/>
    <x v="1"/>
    <x v="2"/>
    <x v="1"/>
    <x v="1"/>
    <x v="34"/>
    <x v="1"/>
    <x v="1"/>
    <x v="2"/>
    <x v="89"/>
    <x v="2"/>
    <x v="1"/>
    <x v="1"/>
    <x v="2"/>
    <x v="1"/>
    <x v="93"/>
    <x v="48"/>
    <x v="35"/>
  </r>
  <r>
    <x v="159"/>
    <x v="85"/>
    <x v="84"/>
    <x v="83"/>
    <x v="132"/>
    <x v="3"/>
    <x v="1"/>
    <x v="95"/>
    <x v="88"/>
    <x v="1"/>
    <x v="8"/>
    <x v="0"/>
    <x v="0"/>
    <x v="3"/>
    <x v="1"/>
    <x v="1"/>
    <x v="2"/>
    <x v="1"/>
    <x v="2"/>
    <x v="1"/>
    <x v="2"/>
    <x v="0"/>
    <x v="1"/>
    <x v="1"/>
    <x v="4"/>
    <x v="84"/>
    <x v="2"/>
    <x v="0"/>
    <x v="0"/>
    <x v="1"/>
    <x v="0"/>
    <x v="0"/>
    <x v="0"/>
    <x v="0"/>
  </r>
  <r>
    <x v="160"/>
    <x v="91"/>
    <x v="90"/>
    <x v="89"/>
    <x v="133"/>
    <x v="1"/>
    <x v="2"/>
    <x v="96"/>
    <x v="89"/>
    <x v="1"/>
    <x v="15"/>
    <x v="0"/>
    <x v="0"/>
    <x v="1"/>
    <x v="3"/>
    <x v="2"/>
    <x v="2"/>
    <x v="1"/>
    <x v="3"/>
    <x v="1"/>
    <x v="1"/>
    <x v="34"/>
    <x v="2"/>
    <x v="1"/>
    <x v="2"/>
    <x v="90"/>
    <x v="2"/>
    <x v="3"/>
    <x v="0"/>
    <x v="1"/>
    <x v="0"/>
    <x v="94"/>
    <x v="49"/>
    <x v="35"/>
  </r>
  <r>
    <x v="161"/>
    <x v="92"/>
    <x v="91"/>
    <x v="90"/>
    <x v="134"/>
    <x v="1"/>
    <x v="2"/>
    <x v="97"/>
    <x v="90"/>
    <x v="1"/>
    <x v="2"/>
    <x v="0"/>
    <x v="0"/>
    <x v="1"/>
    <x v="3"/>
    <x v="3"/>
    <x v="1"/>
    <x v="1"/>
    <x v="1"/>
    <x v="1"/>
    <x v="2"/>
    <x v="0"/>
    <x v="1"/>
    <x v="1"/>
    <x v="7"/>
    <x v="91"/>
    <x v="3"/>
    <x v="0"/>
    <x v="0"/>
    <x v="1"/>
    <x v="0"/>
    <x v="95"/>
    <x v="0"/>
    <x v="0"/>
  </r>
  <r>
    <x v="162"/>
    <x v="45"/>
    <x v="44"/>
    <x v="44"/>
    <x v="135"/>
    <x v="3"/>
    <x v="2"/>
    <x v="47"/>
    <x v="17"/>
    <x v="2"/>
    <x v="0"/>
    <x v="2"/>
    <x v="0"/>
    <x v="1"/>
    <x v="3"/>
    <x v="3"/>
    <x v="2"/>
    <x v="1"/>
    <x v="2"/>
    <x v="1"/>
    <x v="1"/>
    <x v="34"/>
    <x v="1"/>
    <x v="1"/>
    <x v="2"/>
    <x v="44"/>
    <x v="1"/>
    <x v="1"/>
    <x v="4"/>
    <x v="2"/>
    <x v="1"/>
    <x v="96"/>
    <x v="0"/>
    <x v="0"/>
  </r>
  <r>
    <x v="163"/>
    <x v="93"/>
    <x v="92"/>
    <x v="91"/>
    <x v="136"/>
    <x v="1"/>
    <x v="2"/>
    <x v="98"/>
    <x v="91"/>
    <x v="1"/>
    <x v="3"/>
    <x v="0"/>
    <x v="0"/>
    <x v="1"/>
    <x v="3"/>
    <x v="2"/>
    <x v="1"/>
    <x v="1"/>
    <x v="3"/>
    <x v="1"/>
    <x v="1"/>
    <x v="41"/>
    <x v="1"/>
    <x v="1"/>
    <x v="2"/>
    <x v="92"/>
    <x v="4"/>
    <x v="3"/>
    <x v="0"/>
    <x v="1"/>
    <x v="0"/>
    <x v="89"/>
    <x v="50"/>
    <x v="0"/>
  </r>
  <r>
    <x v="164"/>
    <x v="94"/>
    <x v="93"/>
    <x v="92"/>
    <x v="137"/>
    <x v="1"/>
    <x v="3"/>
    <x v="99"/>
    <x v="10"/>
    <x v="1"/>
    <x v="1"/>
    <x v="0"/>
    <x v="0"/>
    <x v="1"/>
    <x v="2"/>
    <x v="3"/>
    <x v="1"/>
    <x v="1"/>
    <x v="3"/>
    <x v="1"/>
    <x v="1"/>
    <x v="34"/>
    <x v="1"/>
    <x v="1"/>
    <x v="8"/>
    <x v="93"/>
    <x v="4"/>
    <x v="3"/>
    <x v="0"/>
    <x v="1"/>
    <x v="0"/>
    <x v="97"/>
    <x v="51"/>
    <x v="0"/>
  </r>
  <r>
    <x v="165"/>
    <x v="87"/>
    <x v="86"/>
    <x v="85"/>
    <x v="138"/>
    <x v="1"/>
    <x v="2"/>
    <x v="91"/>
    <x v="84"/>
    <x v="1"/>
    <x v="1"/>
    <x v="0"/>
    <x v="0"/>
    <x v="3"/>
    <x v="4"/>
    <x v="1"/>
    <x v="2"/>
    <x v="1"/>
    <x v="2"/>
    <x v="1"/>
    <x v="2"/>
    <x v="0"/>
    <x v="1"/>
    <x v="3"/>
    <x v="4"/>
    <x v="86"/>
    <x v="3"/>
    <x v="0"/>
    <x v="0"/>
    <x v="1"/>
    <x v="0"/>
    <x v="0"/>
    <x v="0"/>
    <x v="0"/>
  </r>
  <r>
    <x v="166"/>
    <x v="95"/>
    <x v="94"/>
    <x v="93"/>
    <x v="139"/>
    <x v="1"/>
    <x v="2"/>
    <x v="100"/>
    <x v="92"/>
    <x v="1"/>
    <x v="51"/>
    <x v="0"/>
    <x v="0"/>
    <x v="1"/>
    <x v="1"/>
    <x v="1"/>
    <x v="2"/>
    <x v="1"/>
    <x v="3"/>
    <x v="1"/>
    <x v="2"/>
    <x v="0"/>
    <x v="1"/>
    <x v="1"/>
    <x v="2"/>
    <x v="94"/>
    <x v="1"/>
    <x v="0"/>
    <x v="0"/>
    <x v="1"/>
    <x v="0"/>
    <x v="0"/>
    <x v="0"/>
    <x v="0"/>
  </r>
  <r>
    <x v="167"/>
    <x v="18"/>
    <x v="18"/>
    <x v="18"/>
    <x v="140"/>
    <x v="1"/>
    <x v="1"/>
    <x v="20"/>
    <x v="19"/>
    <x v="1"/>
    <x v="52"/>
    <x v="0"/>
    <x v="0"/>
    <x v="1"/>
    <x v="1"/>
    <x v="1"/>
    <x v="2"/>
    <x v="1"/>
    <x v="2"/>
    <x v="1"/>
    <x v="1"/>
    <x v="34"/>
    <x v="1"/>
    <x v="5"/>
    <x v="2"/>
    <x v="18"/>
    <x v="3"/>
    <x v="3"/>
    <x v="0"/>
    <x v="1"/>
    <x v="0"/>
    <x v="98"/>
    <x v="52"/>
    <x v="0"/>
  </r>
  <r>
    <x v="168"/>
    <x v="16"/>
    <x v="16"/>
    <x v="94"/>
    <x v="141"/>
    <x v="1"/>
    <x v="2"/>
    <x v="18"/>
    <x v="93"/>
    <x v="2"/>
    <x v="0"/>
    <x v="2"/>
    <x v="0"/>
    <x v="1"/>
    <x v="2"/>
    <x v="3"/>
    <x v="2"/>
    <x v="1"/>
    <x v="2"/>
    <x v="1"/>
    <x v="1"/>
    <x v="34"/>
    <x v="1"/>
    <x v="1"/>
    <x v="2"/>
    <x v="16"/>
    <x v="4"/>
    <x v="1"/>
    <x v="4"/>
    <x v="2"/>
    <x v="1"/>
    <x v="99"/>
    <x v="53"/>
    <x v="36"/>
  </r>
  <r>
    <x v="169"/>
    <x v="52"/>
    <x v="51"/>
    <x v="50"/>
    <x v="142"/>
    <x v="1"/>
    <x v="1"/>
    <x v="54"/>
    <x v="54"/>
    <x v="1"/>
    <x v="53"/>
    <x v="0"/>
    <x v="0"/>
    <x v="3"/>
    <x v="1"/>
    <x v="1"/>
    <x v="2"/>
    <x v="1"/>
    <x v="2"/>
    <x v="1"/>
    <x v="1"/>
    <x v="34"/>
    <x v="1"/>
    <x v="3"/>
    <x v="4"/>
    <x v="50"/>
    <x v="7"/>
    <x v="3"/>
    <x v="0"/>
    <x v="1"/>
    <x v="0"/>
    <x v="100"/>
    <x v="54"/>
    <x v="37"/>
  </r>
  <r>
    <x v="170"/>
    <x v="45"/>
    <x v="44"/>
    <x v="44"/>
    <x v="143"/>
    <x v="3"/>
    <x v="2"/>
    <x v="47"/>
    <x v="17"/>
    <x v="1"/>
    <x v="4"/>
    <x v="0"/>
    <x v="0"/>
    <x v="3"/>
    <x v="4"/>
    <x v="1"/>
    <x v="2"/>
    <x v="1"/>
    <x v="2"/>
    <x v="1"/>
    <x v="1"/>
    <x v="41"/>
    <x v="1"/>
    <x v="3"/>
    <x v="4"/>
    <x v="44"/>
    <x v="1"/>
    <x v="3"/>
    <x v="0"/>
    <x v="1"/>
    <x v="0"/>
    <x v="101"/>
    <x v="55"/>
    <x v="38"/>
  </r>
  <r>
    <x v="171"/>
    <x v="96"/>
    <x v="95"/>
    <x v="95"/>
    <x v="144"/>
    <x v="1"/>
    <x v="1"/>
    <x v="101"/>
    <x v="94"/>
    <x v="1"/>
    <x v="2"/>
    <x v="0"/>
    <x v="0"/>
    <x v="1"/>
    <x v="1"/>
    <x v="2"/>
    <x v="2"/>
    <x v="1"/>
    <x v="3"/>
    <x v="1"/>
    <x v="1"/>
    <x v="38"/>
    <x v="2"/>
    <x v="1"/>
    <x v="1"/>
    <x v="95"/>
    <x v="4"/>
    <x v="1"/>
    <x v="4"/>
    <x v="2"/>
    <x v="1"/>
    <x v="102"/>
    <x v="0"/>
    <x v="39"/>
  </r>
  <r>
    <x v="172"/>
    <x v="78"/>
    <x v="77"/>
    <x v="76"/>
    <x v="0"/>
    <x v="1"/>
    <x v="2"/>
    <x v="81"/>
    <x v="30"/>
    <x v="1"/>
    <x v="3"/>
    <x v="0"/>
    <x v="0"/>
    <x v="3"/>
    <x v="1"/>
    <x v="1"/>
    <x v="2"/>
    <x v="1"/>
    <x v="2"/>
    <x v="1"/>
    <x v="2"/>
    <x v="0"/>
    <x v="2"/>
    <x v="3"/>
    <x v="4"/>
    <x v="76"/>
    <x v="1"/>
    <x v="0"/>
    <x v="0"/>
    <x v="1"/>
    <x v="0"/>
    <x v="0"/>
    <x v="0"/>
    <x v="0"/>
  </r>
  <r>
    <x v="173"/>
    <x v="97"/>
    <x v="96"/>
    <x v="96"/>
    <x v="145"/>
    <x v="1"/>
    <x v="1"/>
    <x v="102"/>
    <x v="95"/>
    <x v="1"/>
    <x v="3"/>
    <x v="0"/>
    <x v="0"/>
    <x v="1"/>
    <x v="3"/>
    <x v="2"/>
    <x v="2"/>
    <x v="1"/>
    <x v="1"/>
    <x v="1"/>
    <x v="1"/>
    <x v="41"/>
    <x v="1"/>
    <x v="1"/>
    <x v="2"/>
    <x v="96"/>
    <x v="7"/>
    <x v="1"/>
    <x v="1"/>
    <x v="2"/>
    <x v="1"/>
    <x v="103"/>
    <x v="0"/>
    <x v="40"/>
  </r>
  <r>
    <x v="174"/>
    <x v="98"/>
    <x v="97"/>
    <x v="97"/>
    <x v="146"/>
    <x v="1"/>
    <x v="2"/>
    <x v="103"/>
    <x v="96"/>
    <x v="1"/>
    <x v="54"/>
    <x v="0"/>
    <x v="0"/>
    <x v="1"/>
    <x v="2"/>
    <x v="3"/>
    <x v="2"/>
    <x v="1"/>
    <x v="1"/>
    <x v="1"/>
    <x v="1"/>
    <x v="41"/>
    <x v="1"/>
    <x v="1"/>
    <x v="2"/>
    <x v="97"/>
    <x v="7"/>
    <x v="3"/>
    <x v="0"/>
    <x v="1"/>
    <x v="0"/>
    <x v="104"/>
    <x v="56"/>
    <x v="41"/>
  </r>
  <r>
    <x v="175"/>
    <x v="16"/>
    <x v="16"/>
    <x v="16"/>
    <x v="0"/>
    <x v="1"/>
    <x v="2"/>
    <x v="18"/>
    <x v="97"/>
    <x v="2"/>
    <x v="0"/>
    <x v="2"/>
    <x v="0"/>
    <x v="3"/>
    <x v="4"/>
    <x v="1"/>
    <x v="2"/>
    <x v="1"/>
    <x v="2"/>
    <x v="1"/>
    <x v="2"/>
    <x v="0"/>
    <x v="2"/>
    <x v="3"/>
    <x v="4"/>
    <x v="16"/>
    <x v="1"/>
    <x v="0"/>
    <x v="0"/>
    <x v="1"/>
    <x v="0"/>
    <x v="0"/>
    <x v="0"/>
    <x v="0"/>
  </r>
  <r>
    <x v="176"/>
    <x v="99"/>
    <x v="98"/>
    <x v="98"/>
    <x v="147"/>
    <x v="1"/>
    <x v="2"/>
    <x v="104"/>
    <x v="98"/>
    <x v="1"/>
    <x v="9"/>
    <x v="0"/>
    <x v="0"/>
    <x v="2"/>
    <x v="3"/>
    <x v="3"/>
    <x v="2"/>
    <x v="1"/>
    <x v="3"/>
    <x v="1"/>
    <x v="1"/>
    <x v="41"/>
    <x v="2"/>
    <x v="1"/>
    <x v="2"/>
    <x v="98"/>
    <x v="2"/>
    <x v="3"/>
    <x v="0"/>
    <x v="1"/>
    <x v="0"/>
    <x v="105"/>
    <x v="57"/>
    <x v="42"/>
  </r>
  <r>
    <x v="177"/>
    <x v="100"/>
    <x v="99"/>
    <x v="99"/>
    <x v="148"/>
    <x v="1"/>
    <x v="4"/>
    <x v="105"/>
    <x v="99"/>
    <x v="1"/>
    <x v="55"/>
    <x v="0"/>
    <x v="0"/>
    <x v="1"/>
    <x v="1"/>
    <x v="1"/>
    <x v="2"/>
    <x v="1"/>
    <x v="2"/>
    <x v="1"/>
    <x v="2"/>
    <x v="0"/>
    <x v="1"/>
    <x v="5"/>
    <x v="2"/>
    <x v="99"/>
    <x v="7"/>
    <x v="0"/>
    <x v="0"/>
    <x v="1"/>
    <x v="0"/>
    <x v="0"/>
    <x v="0"/>
    <x v="0"/>
  </r>
  <r>
    <x v="178"/>
    <x v="101"/>
    <x v="100"/>
    <x v="100"/>
    <x v="149"/>
    <x v="2"/>
    <x v="1"/>
    <x v="106"/>
    <x v="100"/>
    <x v="1"/>
    <x v="56"/>
    <x v="0"/>
    <x v="0"/>
    <x v="1"/>
    <x v="3"/>
    <x v="3"/>
    <x v="2"/>
    <x v="2"/>
    <x v="1"/>
    <x v="1"/>
    <x v="2"/>
    <x v="38"/>
    <x v="1"/>
    <x v="5"/>
    <x v="2"/>
    <x v="100"/>
    <x v="7"/>
    <x v="3"/>
    <x v="0"/>
    <x v="1"/>
    <x v="0"/>
    <x v="106"/>
    <x v="43"/>
    <x v="43"/>
  </r>
  <r>
    <x v="179"/>
    <x v="97"/>
    <x v="96"/>
    <x v="96"/>
    <x v="150"/>
    <x v="1"/>
    <x v="1"/>
    <x v="102"/>
    <x v="95"/>
    <x v="1"/>
    <x v="3"/>
    <x v="0"/>
    <x v="0"/>
    <x v="3"/>
    <x v="3"/>
    <x v="2"/>
    <x v="2"/>
    <x v="1"/>
    <x v="2"/>
    <x v="1"/>
    <x v="1"/>
    <x v="41"/>
    <x v="2"/>
    <x v="3"/>
    <x v="4"/>
    <x v="96"/>
    <x v="5"/>
    <x v="1"/>
    <x v="1"/>
    <x v="1"/>
    <x v="0"/>
    <x v="107"/>
    <x v="0"/>
    <x v="0"/>
  </r>
  <r>
    <x v="180"/>
    <x v="90"/>
    <x v="89"/>
    <x v="88"/>
    <x v="151"/>
    <x v="1"/>
    <x v="2"/>
    <x v="94"/>
    <x v="10"/>
    <x v="1"/>
    <x v="15"/>
    <x v="0"/>
    <x v="0"/>
    <x v="3"/>
    <x v="1"/>
    <x v="1"/>
    <x v="2"/>
    <x v="1"/>
    <x v="2"/>
    <x v="1"/>
    <x v="2"/>
    <x v="0"/>
    <x v="1"/>
    <x v="3"/>
    <x v="4"/>
    <x v="89"/>
    <x v="5"/>
    <x v="0"/>
    <x v="0"/>
    <x v="1"/>
    <x v="0"/>
    <x v="0"/>
    <x v="0"/>
    <x v="44"/>
  </r>
  <r>
    <x v="181"/>
    <x v="86"/>
    <x v="85"/>
    <x v="84"/>
    <x v="0"/>
    <x v="1"/>
    <x v="2"/>
    <x v="90"/>
    <x v="101"/>
    <x v="6"/>
    <x v="0"/>
    <x v="0"/>
    <x v="1"/>
    <x v="3"/>
    <x v="1"/>
    <x v="1"/>
    <x v="2"/>
    <x v="1"/>
    <x v="3"/>
    <x v="1"/>
    <x v="2"/>
    <x v="0"/>
    <x v="2"/>
    <x v="3"/>
    <x v="4"/>
    <x v="85"/>
    <x v="1"/>
    <x v="0"/>
    <x v="0"/>
    <x v="1"/>
    <x v="0"/>
    <x v="0"/>
    <x v="0"/>
    <x v="0"/>
  </r>
  <r>
    <x v="182"/>
    <x v="97"/>
    <x v="96"/>
    <x v="96"/>
    <x v="0"/>
    <x v="1"/>
    <x v="1"/>
    <x v="102"/>
    <x v="95"/>
    <x v="1"/>
    <x v="3"/>
    <x v="0"/>
    <x v="0"/>
    <x v="3"/>
    <x v="3"/>
    <x v="3"/>
    <x v="2"/>
    <x v="1"/>
    <x v="2"/>
    <x v="1"/>
    <x v="1"/>
    <x v="38"/>
    <x v="2"/>
    <x v="3"/>
    <x v="4"/>
    <x v="96"/>
    <x v="5"/>
    <x v="1"/>
    <x v="7"/>
    <x v="1"/>
    <x v="0"/>
    <x v="108"/>
    <x v="58"/>
    <x v="45"/>
  </r>
  <r>
    <x v="183"/>
    <x v="102"/>
    <x v="101"/>
    <x v="101"/>
    <x v="152"/>
    <x v="1"/>
    <x v="2"/>
    <x v="107"/>
    <x v="102"/>
    <x v="1"/>
    <x v="15"/>
    <x v="0"/>
    <x v="0"/>
    <x v="1"/>
    <x v="1"/>
    <x v="1"/>
    <x v="2"/>
    <x v="1"/>
    <x v="1"/>
    <x v="1"/>
    <x v="2"/>
    <x v="0"/>
    <x v="1"/>
    <x v="5"/>
    <x v="3"/>
    <x v="101"/>
    <x v="5"/>
    <x v="0"/>
    <x v="0"/>
    <x v="1"/>
    <x v="0"/>
    <x v="0"/>
    <x v="0"/>
    <x v="0"/>
  </r>
  <r>
    <x v="184"/>
    <x v="103"/>
    <x v="102"/>
    <x v="102"/>
    <x v="153"/>
    <x v="1"/>
    <x v="2"/>
    <x v="108"/>
    <x v="103"/>
    <x v="1"/>
    <x v="57"/>
    <x v="0"/>
    <x v="0"/>
    <x v="1"/>
    <x v="1"/>
    <x v="1"/>
    <x v="2"/>
    <x v="1"/>
    <x v="1"/>
    <x v="1"/>
    <x v="2"/>
    <x v="0"/>
    <x v="1"/>
    <x v="2"/>
    <x v="2"/>
    <x v="102"/>
    <x v="2"/>
    <x v="0"/>
    <x v="0"/>
    <x v="1"/>
    <x v="0"/>
    <x v="0"/>
    <x v="0"/>
    <x v="0"/>
  </r>
  <r>
    <x v="185"/>
    <x v="96"/>
    <x v="95"/>
    <x v="95"/>
    <x v="154"/>
    <x v="1"/>
    <x v="2"/>
    <x v="101"/>
    <x v="94"/>
    <x v="1"/>
    <x v="2"/>
    <x v="0"/>
    <x v="0"/>
    <x v="3"/>
    <x v="1"/>
    <x v="1"/>
    <x v="2"/>
    <x v="1"/>
    <x v="3"/>
    <x v="1"/>
    <x v="2"/>
    <x v="0"/>
    <x v="2"/>
    <x v="3"/>
    <x v="4"/>
    <x v="95"/>
    <x v="1"/>
    <x v="0"/>
    <x v="0"/>
    <x v="1"/>
    <x v="0"/>
    <x v="0"/>
    <x v="0"/>
    <x v="0"/>
  </r>
  <r>
    <x v="186"/>
    <x v="104"/>
    <x v="103"/>
    <x v="103"/>
    <x v="155"/>
    <x v="1"/>
    <x v="1"/>
    <x v="109"/>
    <x v="10"/>
    <x v="2"/>
    <x v="0"/>
    <x v="6"/>
    <x v="0"/>
    <x v="1"/>
    <x v="2"/>
    <x v="3"/>
    <x v="1"/>
    <x v="1"/>
    <x v="2"/>
    <x v="1"/>
    <x v="1"/>
    <x v="42"/>
    <x v="1"/>
    <x v="1"/>
    <x v="2"/>
    <x v="103"/>
    <x v="2"/>
    <x v="1"/>
    <x v="1"/>
    <x v="2"/>
    <x v="1"/>
    <x v="109"/>
    <x v="0"/>
    <x v="0"/>
  </r>
  <r>
    <x v="187"/>
    <x v="45"/>
    <x v="44"/>
    <x v="44"/>
    <x v="156"/>
    <x v="3"/>
    <x v="2"/>
    <x v="47"/>
    <x v="93"/>
    <x v="2"/>
    <x v="0"/>
    <x v="7"/>
    <x v="0"/>
    <x v="1"/>
    <x v="2"/>
    <x v="3"/>
    <x v="2"/>
    <x v="1"/>
    <x v="2"/>
    <x v="1"/>
    <x v="1"/>
    <x v="42"/>
    <x v="1"/>
    <x v="1"/>
    <x v="9"/>
    <x v="44"/>
    <x v="1"/>
    <x v="3"/>
    <x v="0"/>
    <x v="1"/>
    <x v="0"/>
    <x v="110"/>
    <x v="0"/>
    <x v="0"/>
  </r>
  <r>
    <x v="188"/>
    <x v="105"/>
    <x v="104"/>
    <x v="104"/>
    <x v="157"/>
    <x v="3"/>
    <x v="1"/>
    <x v="110"/>
    <x v="104"/>
    <x v="1"/>
    <x v="58"/>
    <x v="0"/>
    <x v="0"/>
    <x v="1"/>
    <x v="1"/>
    <x v="2"/>
    <x v="1"/>
    <x v="2"/>
    <x v="1"/>
    <x v="1"/>
    <x v="1"/>
    <x v="43"/>
    <x v="1"/>
    <x v="1"/>
    <x v="2"/>
    <x v="104"/>
    <x v="7"/>
    <x v="1"/>
    <x v="7"/>
    <x v="1"/>
    <x v="0"/>
    <x v="111"/>
    <x v="59"/>
    <x v="46"/>
  </r>
  <r>
    <x v="189"/>
    <x v="106"/>
    <x v="105"/>
    <x v="105"/>
    <x v="158"/>
    <x v="3"/>
    <x v="1"/>
    <x v="111"/>
    <x v="105"/>
    <x v="2"/>
    <x v="0"/>
    <x v="5"/>
    <x v="0"/>
    <x v="1"/>
    <x v="2"/>
    <x v="3"/>
    <x v="2"/>
    <x v="1"/>
    <x v="2"/>
    <x v="1"/>
    <x v="1"/>
    <x v="42"/>
    <x v="2"/>
    <x v="1"/>
    <x v="2"/>
    <x v="105"/>
    <x v="1"/>
    <x v="1"/>
    <x v="4"/>
    <x v="1"/>
    <x v="0"/>
    <x v="112"/>
    <x v="0"/>
    <x v="0"/>
  </r>
  <r>
    <x v="190"/>
    <x v="107"/>
    <x v="106"/>
    <x v="0"/>
    <x v="159"/>
    <x v="1"/>
    <x v="2"/>
    <x v="112"/>
    <x v="106"/>
    <x v="1"/>
    <x v="31"/>
    <x v="0"/>
    <x v="0"/>
    <x v="1"/>
    <x v="2"/>
    <x v="3"/>
    <x v="2"/>
    <x v="1"/>
    <x v="2"/>
    <x v="1"/>
    <x v="1"/>
    <x v="42"/>
    <x v="1"/>
    <x v="5"/>
    <x v="2"/>
    <x v="106"/>
    <x v="2"/>
    <x v="3"/>
    <x v="0"/>
    <x v="1"/>
    <x v="0"/>
    <x v="113"/>
    <x v="0"/>
    <x v="47"/>
  </r>
  <r>
    <x v="191"/>
    <x v="97"/>
    <x v="96"/>
    <x v="96"/>
    <x v="0"/>
    <x v="3"/>
    <x v="1"/>
    <x v="102"/>
    <x v="95"/>
    <x v="1"/>
    <x v="3"/>
    <x v="0"/>
    <x v="0"/>
    <x v="3"/>
    <x v="1"/>
    <x v="1"/>
    <x v="2"/>
    <x v="1"/>
    <x v="2"/>
    <x v="1"/>
    <x v="2"/>
    <x v="0"/>
    <x v="2"/>
    <x v="3"/>
    <x v="4"/>
    <x v="96"/>
    <x v="7"/>
    <x v="0"/>
    <x v="0"/>
    <x v="1"/>
    <x v="0"/>
    <x v="0"/>
    <x v="0"/>
    <x v="0"/>
  </r>
  <r>
    <x v="192"/>
    <x v="104"/>
    <x v="103"/>
    <x v="103"/>
    <x v="160"/>
    <x v="1"/>
    <x v="1"/>
    <x v="109"/>
    <x v="10"/>
    <x v="2"/>
    <x v="0"/>
    <x v="6"/>
    <x v="0"/>
    <x v="3"/>
    <x v="4"/>
    <x v="1"/>
    <x v="2"/>
    <x v="1"/>
    <x v="2"/>
    <x v="1"/>
    <x v="2"/>
    <x v="0"/>
    <x v="2"/>
    <x v="3"/>
    <x v="4"/>
    <x v="103"/>
    <x v="5"/>
    <x v="0"/>
    <x v="0"/>
    <x v="1"/>
    <x v="0"/>
    <x v="0"/>
    <x v="0"/>
    <x v="0"/>
  </r>
  <r>
    <x v="193"/>
    <x v="106"/>
    <x v="105"/>
    <x v="105"/>
    <x v="0"/>
    <x v="3"/>
    <x v="1"/>
    <x v="111"/>
    <x v="105"/>
    <x v="2"/>
    <x v="0"/>
    <x v="5"/>
    <x v="0"/>
    <x v="3"/>
    <x v="4"/>
    <x v="1"/>
    <x v="2"/>
    <x v="1"/>
    <x v="2"/>
    <x v="1"/>
    <x v="2"/>
    <x v="0"/>
    <x v="2"/>
    <x v="3"/>
    <x v="4"/>
    <x v="105"/>
    <x v="1"/>
    <x v="0"/>
    <x v="0"/>
    <x v="1"/>
    <x v="0"/>
    <x v="0"/>
    <x v="0"/>
    <x v="0"/>
  </r>
  <r>
    <x v="194"/>
    <x v="108"/>
    <x v="107"/>
    <x v="106"/>
    <x v="161"/>
    <x v="1"/>
    <x v="2"/>
    <x v="113"/>
    <x v="107"/>
    <x v="1"/>
    <x v="31"/>
    <x v="0"/>
    <x v="0"/>
    <x v="1"/>
    <x v="1"/>
    <x v="1"/>
    <x v="2"/>
    <x v="1"/>
    <x v="1"/>
    <x v="1"/>
    <x v="1"/>
    <x v="44"/>
    <x v="1"/>
    <x v="6"/>
    <x v="3"/>
    <x v="107"/>
    <x v="5"/>
    <x v="3"/>
    <x v="0"/>
    <x v="1"/>
    <x v="0"/>
    <x v="114"/>
    <x v="60"/>
    <x v="0"/>
  </r>
  <r>
    <x v="195"/>
    <x v="109"/>
    <x v="108"/>
    <x v="107"/>
    <x v="162"/>
    <x v="1"/>
    <x v="2"/>
    <x v="114"/>
    <x v="99"/>
    <x v="1"/>
    <x v="27"/>
    <x v="0"/>
    <x v="0"/>
    <x v="1"/>
    <x v="3"/>
    <x v="3"/>
    <x v="2"/>
    <x v="2"/>
    <x v="2"/>
    <x v="1"/>
    <x v="1"/>
    <x v="45"/>
    <x v="1"/>
    <x v="6"/>
    <x v="2"/>
    <x v="108"/>
    <x v="7"/>
    <x v="1"/>
    <x v="4"/>
    <x v="1"/>
    <x v="0"/>
    <x v="115"/>
    <x v="61"/>
    <x v="48"/>
  </r>
  <r>
    <x v="196"/>
    <x v="110"/>
    <x v="109"/>
    <x v="108"/>
    <x v="163"/>
    <x v="1"/>
    <x v="2"/>
    <x v="115"/>
    <x v="108"/>
    <x v="1"/>
    <x v="59"/>
    <x v="0"/>
    <x v="0"/>
    <x v="1"/>
    <x v="2"/>
    <x v="3"/>
    <x v="2"/>
    <x v="2"/>
    <x v="1"/>
    <x v="1"/>
    <x v="1"/>
    <x v="45"/>
    <x v="1"/>
    <x v="6"/>
    <x v="2"/>
    <x v="109"/>
    <x v="7"/>
    <x v="1"/>
    <x v="1"/>
    <x v="1"/>
    <x v="0"/>
    <x v="116"/>
    <x v="62"/>
    <x v="49"/>
  </r>
  <r>
    <x v="197"/>
    <x v="111"/>
    <x v="110"/>
    <x v="109"/>
    <x v="164"/>
    <x v="1"/>
    <x v="3"/>
    <x v="116"/>
    <x v="10"/>
    <x v="1"/>
    <x v="9"/>
    <x v="0"/>
    <x v="0"/>
    <x v="1"/>
    <x v="3"/>
    <x v="3"/>
    <x v="2"/>
    <x v="1"/>
    <x v="2"/>
    <x v="1"/>
    <x v="1"/>
    <x v="45"/>
    <x v="1"/>
    <x v="2"/>
    <x v="3"/>
    <x v="110"/>
    <x v="5"/>
    <x v="1"/>
    <x v="1"/>
    <x v="2"/>
    <x v="1"/>
    <x v="117"/>
    <x v="0"/>
    <x v="0"/>
  </r>
  <r>
    <x v="198"/>
    <x v="84"/>
    <x v="83"/>
    <x v="82"/>
    <x v="165"/>
    <x v="1"/>
    <x v="1"/>
    <x v="87"/>
    <x v="109"/>
    <x v="1"/>
    <x v="60"/>
    <x v="0"/>
    <x v="0"/>
    <x v="1"/>
    <x v="3"/>
    <x v="3"/>
    <x v="2"/>
    <x v="2"/>
    <x v="1"/>
    <x v="1"/>
    <x v="1"/>
    <x v="46"/>
    <x v="1"/>
    <x v="1"/>
    <x v="2"/>
    <x v="83"/>
    <x v="5"/>
    <x v="1"/>
    <x v="1"/>
    <x v="1"/>
    <x v="0"/>
    <x v="118"/>
    <x v="0"/>
    <x v="50"/>
  </r>
  <r>
    <x v="199"/>
    <x v="112"/>
    <x v="111"/>
    <x v="110"/>
    <x v="166"/>
    <x v="3"/>
    <x v="2"/>
    <x v="117"/>
    <x v="52"/>
    <x v="1"/>
    <x v="2"/>
    <x v="0"/>
    <x v="0"/>
    <x v="1"/>
    <x v="3"/>
    <x v="2"/>
    <x v="1"/>
    <x v="1"/>
    <x v="3"/>
    <x v="1"/>
    <x v="1"/>
    <x v="45"/>
    <x v="1"/>
    <x v="1"/>
    <x v="2"/>
    <x v="111"/>
    <x v="5"/>
    <x v="1"/>
    <x v="1"/>
    <x v="1"/>
    <x v="0"/>
    <x v="119"/>
    <x v="0"/>
    <x v="0"/>
  </r>
  <r>
    <x v="200"/>
    <x v="113"/>
    <x v="112"/>
    <x v="111"/>
    <x v="167"/>
    <x v="3"/>
    <x v="2"/>
    <x v="118"/>
    <x v="110"/>
    <x v="1"/>
    <x v="15"/>
    <x v="0"/>
    <x v="0"/>
    <x v="1"/>
    <x v="5"/>
    <x v="1"/>
    <x v="1"/>
    <x v="1"/>
    <x v="2"/>
    <x v="1"/>
    <x v="2"/>
    <x v="0"/>
    <x v="1"/>
    <x v="1"/>
    <x v="4"/>
    <x v="112"/>
    <x v="5"/>
    <x v="0"/>
    <x v="0"/>
    <x v="1"/>
    <x v="0"/>
    <x v="0"/>
    <x v="0"/>
    <x v="51"/>
  </r>
  <r>
    <x v="201"/>
    <x v="114"/>
    <x v="113"/>
    <x v="112"/>
    <x v="168"/>
    <x v="1"/>
    <x v="3"/>
    <x v="119"/>
    <x v="107"/>
    <x v="1"/>
    <x v="57"/>
    <x v="0"/>
    <x v="0"/>
    <x v="1"/>
    <x v="1"/>
    <x v="1"/>
    <x v="2"/>
    <x v="1"/>
    <x v="3"/>
    <x v="1"/>
    <x v="2"/>
    <x v="0"/>
    <x v="2"/>
    <x v="1"/>
    <x v="2"/>
    <x v="113"/>
    <x v="5"/>
    <x v="0"/>
    <x v="0"/>
    <x v="1"/>
    <x v="0"/>
    <x v="0"/>
    <x v="0"/>
    <x v="0"/>
  </r>
  <r>
    <x v="202"/>
    <x v="115"/>
    <x v="114"/>
    <x v="113"/>
    <x v="169"/>
    <x v="2"/>
    <x v="2"/>
    <x v="120"/>
    <x v="111"/>
    <x v="1"/>
    <x v="15"/>
    <x v="0"/>
    <x v="0"/>
    <x v="1"/>
    <x v="1"/>
    <x v="2"/>
    <x v="2"/>
    <x v="1"/>
    <x v="3"/>
    <x v="1"/>
    <x v="1"/>
    <x v="46"/>
    <x v="1"/>
    <x v="1"/>
    <x v="2"/>
    <x v="114"/>
    <x v="4"/>
    <x v="3"/>
    <x v="0"/>
    <x v="1"/>
    <x v="0"/>
    <x v="120"/>
    <x v="0"/>
    <x v="0"/>
  </r>
  <r>
    <x v="203"/>
    <x v="116"/>
    <x v="115"/>
    <x v="114"/>
    <x v="170"/>
    <x v="1"/>
    <x v="1"/>
    <x v="121"/>
    <x v="112"/>
    <x v="1"/>
    <x v="15"/>
    <x v="0"/>
    <x v="0"/>
    <x v="1"/>
    <x v="1"/>
    <x v="1"/>
    <x v="2"/>
    <x v="1"/>
    <x v="2"/>
    <x v="1"/>
    <x v="2"/>
    <x v="0"/>
    <x v="2"/>
    <x v="1"/>
    <x v="2"/>
    <x v="115"/>
    <x v="4"/>
    <x v="0"/>
    <x v="0"/>
    <x v="1"/>
    <x v="0"/>
    <x v="0"/>
    <x v="0"/>
    <x v="0"/>
  </r>
  <r>
    <x v="204"/>
    <x v="117"/>
    <x v="116"/>
    <x v="115"/>
    <x v="171"/>
    <x v="1"/>
    <x v="2"/>
    <x v="122"/>
    <x v="50"/>
    <x v="1"/>
    <x v="15"/>
    <x v="0"/>
    <x v="0"/>
    <x v="1"/>
    <x v="3"/>
    <x v="2"/>
    <x v="2"/>
    <x v="1"/>
    <x v="2"/>
    <x v="1"/>
    <x v="1"/>
    <x v="12"/>
    <x v="1"/>
    <x v="1"/>
    <x v="2"/>
    <x v="116"/>
    <x v="5"/>
    <x v="0"/>
    <x v="0"/>
    <x v="1"/>
    <x v="0"/>
    <x v="0"/>
    <x v="0"/>
    <x v="0"/>
  </r>
  <r>
    <x v="205"/>
    <x v="109"/>
    <x v="108"/>
    <x v="107"/>
    <x v="172"/>
    <x v="1"/>
    <x v="2"/>
    <x v="114"/>
    <x v="99"/>
    <x v="2"/>
    <x v="0"/>
    <x v="5"/>
    <x v="0"/>
    <x v="3"/>
    <x v="2"/>
    <x v="3"/>
    <x v="3"/>
    <x v="1"/>
    <x v="2"/>
    <x v="1"/>
    <x v="1"/>
    <x v="47"/>
    <x v="1"/>
    <x v="3"/>
    <x v="4"/>
    <x v="108"/>
    <x v="1"/>
    <x v="1"/>
    <x v="4"/>
    <x v="1"/>
    <x v="0"/>
    <x v="121"/>
    <x v="63"/>
    <x v="0"/>
  </r>
  <r>
    <x v="206"/>
    <x v="118"/>
    <x v="117"/>
    <x v="116"/>
    <x v="173"/>
    <x v="1"/>
    <x v="2"/>
    <x v="123"/>
    <x v="10"/>
    <x v="1"/>
    <x v="15"/>
    <x v="0"/>
    <x v="0"/>
    <x v="1"/>
    <x v="1"/>
    <x v="1"/>
    <x v="2"/>
    <x v="1"/>
    <x v="3"/>
    <x v="1"/>
    <x v="1"/>
    <x v="47"/>
    <x v="1"/>
    <x v="1"/>
    <x v="2"/>
    <x v="117"/>
    <x v="4"/>
    <x v="1"/>
    <x v="2"/>
    <x v="2"/>
    <x v="1"/>
    <x v="122"/>
    <x v="64"/>
    <x v="52"/>
  </r>
  <r>
    <x v="207"/>
    <x v="110"/>
    <x v="109"/>
    <x v="108"/>
    <x v="0"/>
    <x v="1"/>
    <x v="2"/>
    <x v="115"/>
    <x v="108"/>
    <x v="1"/>
    <x v="15"/>
    <x v="0"/>
    <x v="0"/>
    <x v="3"/>
    <x v="2"/>
    <x v="3"/>
    <x v="2"/>
    <x v="2"/>
    <x v="2"/>
    <x v="1"/>
    <x v="1"/>
    <x v="47"/>
    <x v="2"/>
    <x v="3"/>
    <x v="4"/>
    <x v="109"/>
    <x v="5"/>
    <x v="3"/>
    <x v="0"/>
    <x v="1"/>
    <x v="0"/>
    <x v="123"/>
    <x v="65"/>
    <x v="0"/>
  </r>
  <r>
    <x v="208"/>
    <x v="112"/>
    <x v="118"/>
    <x v="110"/>
    <x v="0"/>
    <x v="3"/>
    <x v="2"/>
    <x v="117"/>
    <x v="52"/>
    <x v="1"/>
    <x v="2"/>
    <x v="0"/>
    <x v="0"/>
    <x v="3"/>
    <x v="4"/>
    <x v="1"/>
    <x v="2"/>
    <x v="1"/>
    <x v="2"/>
    <x v="1"/>
    <x v="2"/>
    <x v="0"/>
    <x v="2"/>
    <x v="3"/>
    <x v="4"/>
    <x v="111"/>
    <x v="5"/>
    <x v="0"/>
    <x v="0"/>
    <x v="1"/>
    <x v="0"/>
    <x v="0"/>
    <x v="0"/>
    <x v="0"/>
  </r>
  <r>
    <x v="209"/>
    <x v="111"/>
    <x v="110"/>
    <x v="109"/>
    <x v="174"/>
    <x v="1"/>
    <x v="2"/>
    <x v="116"/>
    <x v="10"/>
    <x v="1"/>
    <x v="9"/>
    <x v="0"/>
    <x v="0"/>
    <x v="3"/>
    <x v="1"/>
    <x v="1"/>
    <x v="2"/>
    <x v="1"/>
    <x v="2"/>
    <x v="1"/>
    <x v="2"/>
    <x v="0"/>
    <x v="2"/>
    <x v="3"/>
    <x v="4"/>
    <x v="110"/>
    <x v="5"/>
    <x v="0"/>
    <x v="0"/>
    <x v="1"/>
    <x v="0"/>
    <x v="0"/>
    <x v="0"/>
    <x v="0"/>
  </r>
  <r>
    <x v="210"/>
    <x v="119"/>
    <x v="119"/>
    <x v="117"/>
    <x v="175"/>
    <x v="1"/>
    <x v="2"/>
    <x v="124"/>
    <x v="40"/>
    <x v="1"/>
    <x v="22"/>
    <x v="0"/>
    <x v="0"/>
    <x v="1"/>
    <x v="1"/>
    <x v="1"/>
    <x v="1"/>
    <x v="1"/>
    <x v="3"/>
    <x v="2"/>
    <x v="1"/>
    <x v="48"/>
    <x v="1"/>
    <x v="1"/>
    <x v="2"/>
    <x v="118"/>
    <x v="4"/>
    <x v="1"/>
    <x v="2"/>
    <x v="2"/>
    <x v="1"/>
    <x v="124"/>
    <x v="0"/>
    <x v="17"/>
  </r>
  <r>
    <x v="211"/>
    <x v="120"/>
    <x v="120"/>
    <x v="118"/>
    <x v="176"/>
    <x v="2"/>
    <x v="2"/>
    <x v="125"/>
    <x v="10"/>
    <x v="1"/>
    <x v="31"/>
    <x v="0"/>
    <x v="0"/>
    <x v="1"/>
    <x v="1"/>
    <x v="1"/>
    <x v="2"/>
    <x v="1"/>
    <x v="3"/>
    <x v="1"/>
    <x v="1"/>
    <x v="46"/>
    <x v="1"/>
    <x v="1"/>
    <x v="10"/>
    <x v="119"/>
    <x v="1"/>
    <x v="3"/>
    <x v="0"/>
    <x v="1"/>
    <x v="0"/>
    <x v="125"/>
    <x v="66"/>
    <x v="53"/>
  </r>
  <r>
    <x v="212"/>
    <x v="118"/>
    <x v="117"/>
    <x v="116"/>
    <x v="177"/>
    <x v="1"/>
    <x v="2"/>
    <x v="123"/>
    <x v="10"/>
    <x v="1"/>
    <x v="15"/>
    <x v="0"/>
    <x v="0"/>
    <x v="3"/>
    <x v="1"/>
    <x v="1"/>
    <x v="2"/>
    <x v="1"/>
    <x v="3"/>
    <x v="1"/>
    <x v="2"/>
    <x v="0"/>
    <x v="1"/>
    <x v="3"/>
    <x v="4"/>
    <x v="117"/>
    <x v="4"/>
    <x v="0"/>
    <x v="0"/>
    <x v="1"/>
    <x v="0"/>
    <x v="0"/>
    <x v="0"/>
    <x v="0"/>
  </r>
  <r>
    <x v="213"/>
    <x v="15"/>
    <x v="15"/>
    <x v="15"/>
    <x v="178"/>
    <x v="1"/>
    <x v="2"/>
    <x v="17"/>
    <x v="16"/>
    <x v="1"/>
    <x v="44"/>
    <x v="0"/>
    <x v="0"/>
    <x v="1"/>
    <x v="2"/>
    <x v="3"/>
    <x v="2"/>
    <x v="1"/>
    <x v="2"/>
    <x v="1"/>
    <x v="1"/>
    <x v="46"/>
    <x v="2"/>
    <x v="1"/>
    <x v="2"/>
    <x v="15"/>
    <x v="3"/>
    <x v="1"/>
    <x v="2"/>
    <x v="1"/>
    <x v="0"/>
    <x v="126"/>
    <x v="0"/>
    <x v="54"/>
  </r>
  <r>
    <x v="214"/>
    <x v="109"/>
    <x v="108"/>
    <x v="107"/>
    <x v="0"/>
    <x v="1"/>
    <x v="2"/>
    <x v="114"/>
    <x v="99"/>
    <x v="2"/>
    <x v="0"/>
    <x v="2"/>
    <x v="0"/>
    <x v="3"/>
    <x v="4"/>
    <x v="1"/>
    <x v="2"/>
    <x v="1"/>
    <x v="2"/>
    <x v="1"/>
    <x v="2"/>
    <x v="0"/>
    <x v="2"/>
    <x v="3"/>
    <x v="4"/>
    <x v="108"/>
    <x v="1"/>
    <x v="0"/>
    <x v="0"/>
    <x v="1"/>
    <x v="0"/>
    <x v="0"/>
    <x v="0"/>
    <x v="0"/>
  </r>
  <r>
    <x v="215"/>
    <x v="121"/>
    <x v="121"/>
    <x v="119"/>
    <x v="179"/>
    <x v="2"/>
    <x v="1"/>
    <x v="126"/>
    <x v="113"/>
    <x v="1"/>
    <x v="61"/>
    <x v="0"/>
    <x v="0"/>
    <x v="1"/>
    <x v="1"/>
    <x v="1"/>
    <x v="2"/>
    <x v="2"/>
    <x v="1"/>
    <x v="1"/>
    <x v="2"/>
    <x v="0"/>
    <x v="1"/>
    <x v="5"/>
    <x v="11"/>
    <x v="120"/>
    <x v="3"/>
    <x v="0"/>
    <x v="0"/>
    <x v="1"/>
    <x v="0"/>
    <x v="0"/>
    <x v="67"/>
    <x v="55"/>
  </r>
  <r>
    <x v="216"/>
    <x v="84"/>
    <x v="83"/>
    <x v="82"/>
    <x v="0"/>
    <x v="1"/>
    <x v="1"/>
    <x v="87"/>
    <x v="80"/>
    <x v="1"/>
    <x v="33"/>
    <x v="0"/>
    <x v="0"/>
    <x v="3"/>
    <x v="3"/>
    <x v="3"/>
    <x v="2"/>
    <x v="2"/>
    <x v="1"/>
    <x v="1"/>
    <x v="1"/>
    <x v="49"/>
    <x v="2"/>
    <x v="3"/>
    <x v="4"/>
    <x v="83"/>
    <x v="5"/>
    <x v="1"/>
    <x v="4"/>
    <x v="2"/>
    <x v="1"/>
    <x v="127"/>
    <x v="0"/>
    <x v="50"/>
  </r>
  <r>
    <x v="217"/>
    <x v="15"/>
    <x v="15"/>
    <x v="15"/>
    <x v="0"/>
    <x v="1"/>
    <x v="2"/>
    <x v="17"/>
    <x v="16"/>
    <x v="1"/>
    <x v="62"/>
    <x v="0"/>
    <x v="0"/>
    <x v="3"/>
    <x v="1"/>
    <x v="1"/>
    <x v="2"/>
    <x v="1"/>
    <x v="2"/>
    <x v="1"/>
    <x v="2"/>
    <x v="0"/>
    <x v="2"/>
    <x v="3"/>
    <x v="4"/>
    <x v="15"/>
    <x v="4"/>
    <x v="0"/>
    <x v="0"/>
    <x v="1"/>
    <x v="0"/>
    <x v="0"/>
    <x v="0"/>
    <x v="0"/>
  </r>
  <r>
    <x v="218"/>
    <x v="122"/>
    <x v="122"/>
    <x v="120"/>
    <x v="180"/>
    <x v="1"/>
    <x v="2"/>
    <x v="127"/>
    <x v="37"/>
    <x v="1"/>
    <x v="63"/>
    <x v="0"/>
    <x v="0"/>
    <x v="1"/>
    <x v="3"/>
    <x v="2"/>
    <x v="2"/>
    <x v="1"/>
    <x v="3"/>
    <x v="1"/>
    <x v="1"/>
    <x v="48"/>
    <x v="1"/>
    <x v="1"/>
    <x v="2"/>
    <x v="121"/>
    <x v="5"/>
    <x v="3"/>
    <x v="0"/>
    <x v="1"/>
    <x v="0"/>
    <x v="128"/>
    <x v="0"/>
    <x v="56"/>
  </r>
  <r>
    <x v="219"/>
    <x v="123"/>
    <x v="123"/>
    <x v="121"/>
    <x v="181"/>
    <x v="1"/>
    <x v="1"/>
    <x v="128"/>
    <x v="10"/>
    <x v="1"/>
    <x v="22"/>
    <x v="0"/>
    <x v="0"/>
    <x v="1"/>
    <x v="1"/>
    <x v="1"/>
    <x v="2"/>
    <x v="2"/>
    <x v="1"/>
    <x v="1"/>
    <x v="1"/>
    <x v="48"/>
    <x v="1"/>
    <x v="1"/>
    <x v="2"/>
    <x v="122"/>
    <x v="4"/>
    <x v="1"/>
    <x v="1"/>
    <x v="1"/>
    <x v="0"/>
    <x v="129"/>
    <x v="0"/>
    <x v="0"/>
  </r>
  <r>
    <x v="220"/>
    <x v="124"/>
    <x v="124"/>
    <x v="122"/>
    <x v="182"/>
    <x v="1"/>
    <x v="2"/>
    <x v="129"/>
    <x v="48"/>
    <x v="1"/>
    <x v="24"/>
    <x v="0"/>
    <x v="0"/>
    <x v="1"/>
    <x v="3"/>
    <x v="2"/>
    <x v="1"/>
    <x v="1"/>
    <x v="3"/>
    <x v="2"/>
    <x v="1"/>
    <x v="48"/>
    <x v="1"/>
    <x v="1"/>
    <x v="2"/>
    <x v="123"/>
    <x v="5"/>
    <x v="1"/>
    <x v="1"/>
    <x v="2"/>
    <x v="1"/>
    <x v="130"/>
    <x v="0"/>
    <x v="0"/>
  </r>
  <r>
    <x v="221"/>
    <x v="125"/>
    <x v="125"/>
    <x v="123"/>
    <x v="183"/>
    <x v="3"/>
    <x v="2"/>
    <x v="130"/>
    <x v="10"/>
    <x v="1"/>
    <x v="36"/>
    <x v="0"/>
    <x v="0"/>
    <x v="1"/>
    <x v="1"/>
    <x v="1"/>
    <x v="2"/>
    <x v="2"/>
    <x v="2"/>
    <x v="1"/>
    <x v="2"/>
    <x v="0"/>
    <x v="1"/>
    <x v="2"/>
    <x v="2"/>
    <x v="124"/>
    <x v="5"/>
    <x v="0"/>
    <x v="0"/>
    <x v="1"/>
    <x v="0"/>
    <x v="0"/>
    <x v="0"/>
    <x v="0"/>
  </r>
  <r>
    <x v="222"/>
    <x v="123"/>
    <x v="123"/>
    <x v="121"/>
    <x v="0"/>
    <x v="1"/>
    <x v="1"/>
    <x v="128"/>
    <x v="10"/>
    <x v="1"/>
    <x v="22"/>
    <x v="0"/>
    <x v="0"/>
    <x v="3"/>
    <x v="1"/>
    <x v="1"/>
    <x v="2"/>
    <x v="2"/>
    <x v="1"/>
    <x v="1"/>
    <x v="1"/>
    <x v="48"/>
    <x v="2"/>
    <x v="3"/>
    <x v="4"/>
    <x v="122"/>
    <x v="5"/>
    <x v="3"/>
    <x v="0"/>
    <x v="1"/>
    <x v="0"/>
    <x v="131"/>
    <x v="0"/>
    <x v="56"/>
  </r>
  <r>
    <x v="223"/>
    <x v="119"/>
    <x v="119"/>
    <x v="117"/>
    <x v="184"/>
    <x v="1"/>
    <x v="2"/>
    <x v="124"/>
    <x v="40"/>
    <x v="1"/>
    <x v="22"/>
    <x v="0"/>
    <x v="0"/>
    <x v="3"/>
    <x v="1"/>
    <x v="1"/>
    <x v="1"/>
    <x v="1"/>
    <x v="3"/>
    <x v="1"/>
    <x v="2"/>
    <x v="0"/>
    <x v="1"/>
    <x v="3"/>
    <x v="4"/>
    <x v="118"/>
    <x v="4"/>
    <x v="0"/>
    <x v="0"/>
    <x v="1"/>
    <x v="0"/>
    <x v="0"/>
    <x v="0"/>
    <x v="0"/>
  </r>
  <r>
    <x v="224"/>
    <x v="126"/>
    <x v="126"/>
    <x v="124"/>
    <x v="185"/>
    <x v="3"/>
    <x v="1"/>
    <x v="131"/>
    <x v="42"/>
    <x v="1"/>
    <x v="1"/>
    <x v="0"/>
    <x v="0"/>
    <x v="1"/>
    <x v="3"/>
    <x v="2"/>
    <x v="1"/>
    <x v="1"/>
    <x v="2"/>
    <x v="1"/>
    <x v="1"/>
    <x v="49"/>
    <x v="2"/>
    <x v="1"/>
    <x v="2"/>
    <x v="125"/>
    <x v="5"/>
    <x v="3"/>
    <x v="0"/>
    <x v="1"/>
    <x v="0"/>
    <x v="132"/>
    <x v="0"/>
    <x v="0"/>
  </r>
  <r>
    <x v="225"/>
    <x v="127"/>
    <x v="127"/>
    <x v="125"/>
    <x v="186"/>
    <x v="1"/>
    <x v="2"/>
    <x v="132"/>
    <x v="17"/>
    <x v="1"/>
    <x v="15"/>
    <x v="0"/>
    <x v="0"/>
    <x v="1"/>
    <x v="1"/>
    <x v="1"/>
    <x v="2"/>
    <x v="1"/>
    <x v="3"/>
    <x v="1"/>
    <x v="1"/>
    <x v="48"/>
    <x v="1"/>
    <x v="1"/>
    <x v="2"/>
    <x v="126"/>
    <x v="4"/>
    <x v="3"/>
    <x v="0"/>
    <x v="1"/>
    <x v="0"/>
    <x v="133"/>
    <x v="68"/>
    <x v="56"/>
  </r>
  <r>
    <x v="226"/>
    <x v="128"/>
    <x v="128"/>
    <x v="126"/>
    <x v="187"/>
    <x v="1"/>
    <x v="2"/>
    <x v="82"/>
    <x v="114"/>
    <x v="1"/>
    <x v="64"/>
    <x v="0"/>
    <x v="0"/>
    <x v="1"/>
    <x v="1"/>
    <x v="1"/>
    <x v="2"/>
    <x v="2"/>
    <x v="1"/>
    <x v="1"/>
    <x v="2"/>
    <x v="0"/>
    <x v="1"/>
    <x v="1"/>
    <x v="2"/>
    <x v="127"/>
    <x v="5"/>
    <x v="0"/>
    <x v="0"/>
    <x v="1"/>
    <x v="0"/>
    <x v="0"/>
    <x v="0"/>
    <x v="0"/>
  </r>
  <r>
    <x v="227"/>
    <x v="129"/>
    <x v="129"/>
    <x v="127"/>
    <x v="188"/>
    <x v="1"/>
    <x v="2"/>
    <x v="133"/>
    <x v="115"/>
    <x v="1"/>
    <x v="15"/>
    <x v="0"/>
    <x v="0"/>
    <x v="1"/>
    <x v="2"/>
    <x v="3"/>
    <x v="2"/>
    <x v="1"/>
    <x v="2"/>
    <x v="1"/>
    <x v="1"/>
    <x v="49"/>
    <x v="1"/>
    <x v="1"/>
    <x v="2"/>
    <x v="128"/>
    <x v="4"/>
    <x v="3"/>
    <x v="0"/>
    <x v="1"/>
    <x v="0"/>
    <x v="134"/>
    <x v="0"/>
    <x v="0"/>
  </r>
  <r>
    <x v="228"/>
    <x v="130"/>
    <x v="130"/>
    <x v="128"/>
    <x v="189"/>
    <x v="2"/>
    <x v="2"/>
    <x v="134"/>
    <x v="116"/>
    <x v="2"/>
    <x v="0"/>
    <x v="2"/>
    <x v="0"/>
    <x v="1"/>
    <x v="3"/>
    <x v="3"/>
    <x v="2"/>
    <x v="1"/>
    <x v="2"/>
    <x v="1"/>
    <x v="1"/>
    <x v="49"/>
    <x v="1"/>
    <x v="1"/>
    <x v="2"/>
    <x v="129"/>
    <x v="1"/>
    <x v="3"/>
    <x v="0"/>
    <x v="1"/>
    <x v="0"/>
    <x v="135"/>
    <x v="0"/>
    <x v="14"/>
  </r>
  <r>
    <x v="229"/>
    <x v="124"/>
    <x v="124"/>
    <x v="122"/>
    <x v="190"/>
    <x v="1"/>
    <x v="2"/>
    <x v="129"/>
    <x v="48"/>
    <x v="1"/>
    <x v="24"/>
    <x v="0"/>
    <x v="0"/>
    <x v="3"/>
    <x v="1"/>
    <x v="2"/>
    <x v="2"/>
    <x v="1"/>
    <x v="2"/>
    <x v="2"/>
    <x v="1"/>
    <x v="50"/>
    <x v="1"/>
    <x v="3"/>
    <x v="4"/>
    <x v="123"/>
    <x v="5"/>
    <x v="1"/>
    <x v="7"/>
    <x v="2"/>
    <x v="1"/>
    <x v="136"/>
    <x v="0"/>
    <x v="57"/>
  </r>
  <r>
    <x v="230"/>
    <x v="123"/>
    <x v="123"/>
    <x v="121"/>
    <x v="191"/>
    <x v="1"/>
    <x v="1"/>
    <x v="128"/>
    <x v="59"/>
    <x v="1"/>
    <x v="22"/>
    <x v="0"/>
    <x v="0"/>
    <x v="1"/>
    <x v="1"/>
    <x v="1"/>
    <x v="2"/>
    <x v="2"/>
    <x v="1"/>
    <x v="1"/>
    <x v="1"/>
    <x v="50"/>
    <x v="1"/>
    <x v="4"/>
    <x v="12"/>
    <x v="122"/>
    <x v="3"/>
    <x v="3"/>
    <x v="0"/>
    <x v="1"/>
    <x v="0"/>
    <x v="137"/>
    <x v="69"/>
    <x v="58"/>
  </r>
  <r>
    <x v="231"/>
    <x v="84"/>
    <x v="83"/>
    <x v="82"/>
    <x v="192"/>
    <x v="1"/>
    <x v="2"/>
    <x v="87"/>
    <x v="80"/>
    <x v="1"/>
    <x v="33"/>
    <x v="0"/>
    <x v="0"/>
    <x v="3"/>
    <x v="1"/>
    <x v="1"/>
    <x v="2"/>
    <x v="2"/>
    <x v="1"/>
    <x v="1"/>
    <x v="1"/>
    <x v="51"/>
    <x v="1"/>
    <x v="3"/>
    <x v="4"/>
    <x v="83"/>
    <x v="1"/>
    <x v="1"/>
    <x v="4"/>
    <x v="2"/>
    <x v="1"/>
    <x v="138"/>
    <x v="0"/>
    <x v="0"/>
  </r>
  <r>
    <x v="232"/>
    <x v="131"/>
    <x v="131"/>
    <x v="129"/>
    <x v="193"/>
    <x v="1"/>
    <x v="2"/>
    <x v="135"/>
    <x v="117"/>
    <x v="1"/>
    <x v="3"/>
    <x v="0"/>
    <x v="0"/>
    <x v="1"/>
    <x v="3"/>
    <x v="3"/>
    <x v="2"/>
    <x v="1"/>
    <x v="2"/>
    <x v="1"/>
    <x v="1"/>
    <x v="50"/>
    <x v="1"/>
    <x v="6"/>
    <x v="2"/>
    <x v="130"/>
    <x v="7"/>
    <x v="3"/>
    <x v="0"/>
    <x v="1"/>
    <x v="0"/>
    <x v="139"/>
    <x v="70"/>
    <x v="0"/>
  </r>
  <r>
    <x v="233"/>
    <x v="132"/>
    <x v="132"/>
    <x v="130"/>
    <x v="194"/>
    <x v="1"/>
    <x v="3"/>
    <x v="136"/>
    <x v="118"/>
    <x v="1"/>
    <x v="3"/>
    <x v="0"/>
    <x v="0"/>
    <x v="1"/>
    <x v="3"/>
    <x v="3"/>
    <x v="2"/>
    <x v="1"/>
    <x v="3"/>
    <x v="1"/>
    <x v="2"/>
    <x v="0"/>
    <x v="1"/>
    <x v="6"/>
    <x v="2"/>
    <x v="131"/>
    <x v="5"/>
    <x v="0"/>
    <x v="0"/>
    <x v="1"/>
    <x v="0"/>
    <x v="0"/>
    <x v="0"/>
    <x v="59"/>
  </r>
  <r>
    <x v="234"/>
    <x v="133"/>
    <x v="133"/>
    <x v="131"/>
    <x v="195"/>
    <x v="3"/>
    <x v="1"/>
    <x v="137"/>
    <x v="53"/>
    <x v="1"/>
    <x v="15"/>
    <x v="0"/>
    <x v="0"/>
    <x v="1"/>
    <x v="3"/>
    <x v="3"/>
    <x v="2"/>
    <x v="1"/>
    <x v="2"/>
    <x v="1"/>
    <x v="1"/>
    <x v="51"/>
    <x v="1"/>
    <x v="6"/>
    <x v="2"/>
    <x v="132"/>
    <x v="5"/>
    <x v="1"/>
    <x v="4"/>
    <x v="1"/>
    <x v="0"/>
    <x v="140"/>
    <x v="0"/>
    <x v="0"/>
  </r>
  <r>
    <x v="235"/>
    <x v="119"/>
    <x v="119"/>
    <x v="117"/>
    <x v="196"/>
    <x v="1"/>
    <x v="2"/>
    <x v="124"/>
    <x v="10"/>
    <x v="1"/>
    <x v="31"/>
    <x v="0"/>
    <x v="0"/>
    <x v="1"/>
    <x v="2"/>
    <x v="3"/>
    <x v="2"/>
    <x v="1"/>
    <x v="3"/>
    <x v="2"/>
    <x v="1"/>
    <x v="50"/>
    <x v="1"/>
    <x v="6"/>
    <x v="2"/>
    <x v="118"/>
    <x v="1"/>
    <x v="3"/>
    <x v="0"/>
    <x v="1"/>
    <x v="0"/>
    <x v="141"/>
    <x v="71"/>
    <x v="17"/>
  </r>
  <r>
    <x v="236"/>
    <x v="84"/>
    <x v="83"/>
    <x v="82"/>
    <x v="197"/>
    <x v="1"/>
    <x v="2"/>
    <x v="87"/>
    <x v="80"/>
    <x v="1"/>
    <x v="11"/>
    <x v="0"/>
    <x v="0"/>
    <x v="3"/>
    <x v="1"/>
    <x v="1"/>
    <x v="2"/>
    <x v="2"/>
    <x v="3"/>
    <x v="1"/>
    <x v="2"/>
    <x v="0"/>
    <x v="1"/>
    <x v="3"/>
    <x v="4"/>
    <x v="83"/>
    <x v="1"/>
    <x v="0"/>
    <x v="0"/>
    <x v="1"/>
    <x v="0"/>
    <x v="0"/>
    <x v="0"/>
    <x v="0"/>
  </r>
  <r>
    <x v="237"/>
    <x v="133"/>
    <x v="133"/>
    <x v="131"/>
    <x v="0"/>
    <x v="3"/>
    <x v="1"/>
    <x v="137"/>
    <x v="53"/>
    <x v="1"/>
    <x v="15"/>
    <x v="0"/>
    <x v="0"/>
    <x v="3"/>
    <x v="4"/>
    <x v="1"/>
    <x v="2"/>
    <x v="1"/>
    <x v="2"/>
    <x v="1"/>
    <x v="2"/>
    <x v="0"/>
    <x v="2"/>
    <x v="3"/>
    <x v="4"/>
    <x v="132"/>
    <x v="1"/>
    <x v="0"/>
    <x v="0"/>
    <x v="1"/>
    <x v="0"/>
    <x v="0"/>
    <x v="0"/>
    <x v="0"/>
  </r>
  <r>
    <x v="238"/>
    <x v="134"/>
    <x v="134"/>
    <x v="132"/>
    <x v="198"/>
    <x v="1"/>
    <x v="2"/>
    <x v="138"/>
    <x v="71"/>
    <x v="1"/>
    <x v="9"/>
    <x v="0"/>
    <x v="0"/>
    <x v="1"/>
    <x v="2"/>
    <x v="3"/>
    <x v="2"/>
    <x v="1"/>
    <x v="1"/>
    <x v="1"/>
    <x v="1"/>
    <x v="40"/>
    <x v="1"/>
    <x v="1"/>
    <x v="2"/>
    <x v="133"/>
    <x v="2"/>
    <x v="1"/>
    <x v="1"/>
    <x v="1"/>
    <x v="0"/>
    <x v="142"/>
    <x v="0"/>
    <x v="60"/>
  </r>
  <r>
    <x v="239"/>
    <x v="135"/>
    <x v="135"/>
    <x v="133"/>
    <x v="199"/>
    <x v="1"/>
    <x v="2"/>
    <x v="139"/>
    <x v="119"/>
    <x v="1"/>
    <x v="31"/>
    <x v="0"/>
    <x v="0"/>
    <x v="1"/>
    <x v="3"/>
    <x v="3"/>
    <x v="2"/>
    <x v="2"/>
    <x v="2"/>
    <x v="1"/>
    <x v="1"/>
    <x v="40"/>
    <x v="1"/>
    <x v="1"/>
    <x v="2"/>
    <x v="134"/>
    <x v="7"/>
    <x v="3"/>
    <x v="0"/>
    <x v="1"/>
    <x v="0"/>
    <x v="143"/>
    <x v="0"/>
    <x v="61"/>
  </r>
  <r>
    <x v="240"/>
    <x v="136"/>
    <x v="136"/>
    <x v="134"/>
    <x v="200"/>
    <x v="3"/>
    <x v="2"/>
    <x v="140"/>
    <x v="120"/>
    <x v="1"/>
    <x v="22"/>
    <x v="0"/>
    <x v="0"/>
    <x v="1"/>
    <x v="1"/>
    <x v="1"/>
    <x v="2"/>
    <x v="2"/>
    <x v="1"/>
    <x v="1"/>
    <x v="1"/>
    <x v="52"/>
    <x v="1"/>
    <x v="1"/>
    <x v="5"/>
    <x v="135"/>
    <x v="4"/>
    <x v="3"/>
    <x v="0"/>
    <x v="1"/>
    <x v="0"/>
    <x v="144"/>
    <x v="72"/>
    <x v="0"/>
  </r>
  <r>
    <x v="241"/>
    <x v="124"/>
    <x v="124"/>
    <x v="122"/>
    <x v="0"/>
    <x v="1"/>
    <x v="2"/>
    <x v="129"/>
    <x v="48"/>
    <x v="1"/>
    <x v="24"/>
    <x v="0"/>
    <x v="0"/>
    <x v="3"/>
    <x v="1"/>
    <x v="1"/>
    <x v="1"/>
    <x v="1"/>
    <x v="1"/>
    <x v="2"/>
    <x v="2"/>
    <x v="0"/>
    <x v="2"/>
    <x v="3"/>
    <x v="4"/>
    <x v="123"/>
    <x v="7"/>
    <x v="0"/>
    <x v="0"/>
    <x v="1"/>
    <x v="0"/>
    <x v="0"/>
    <x v="0"/>
    <x v="17"/>
  </r>
  <r>
    <x v="242"/>
    <x v="134"/>
    <x v="134"/>
    <x v="132"/>
    <x v="0"/>
    <x v="1"/>
    <x v="2"/>
    <x v="138"/>
    <x v="71"/>
    <x v="1"/>
    <x v="9"/>
    <x v="0"/>
    <x v="0"/>
    <x v="3"/>
    <x v="4"/>
    <x v="1"/>
    <x v="2"/>
    <x v="2"/>
    <x v="1"/>
    <x v="1"/>
    <x v="2"/>
    <x v="0"/>
    <x v="2"/>
    <x v="3"/>
    <x v="4"/>
    <x v="133"/>
    <x v="5"/>
    <x v="0"/>
    <x v="0"/>
    <x v="1"/>
    <x v="0"/>
    <x v="0"/>
    <x v="0"/>
    <x v="0"/>
  </r>
  <r>
    <x v="243"/>
    <x v="137"/>
    <x v="137"/>
    <x v="135"/>
    <x v="201"/>
    <x v="1"/>
    <x v="2"/>
    <x v="141"/>
    <x v="121"/>
    <x v="1"/>
    <x v="65"/>
    <x v="0"/>
    <x v="0"/>
    <x v="1"/>
    <x v="1"/>
    <x v="1"/>
    <x v="2"/>
    <x v="1"/>
    <x v="3"/>
    <x v="1"/>
    <x v="2"/>
    <x v="0"/>
    <x v="1"/>
    <x v="1"/>
    <x v="2"/>
    <x v="136"/>
    <x v="1"/>
    <x v="0"/>
    <x v="0"/>
    <x v="1"/>
    <x v="0"/>
    <x v="0"/>
    <x v="0"/>
    <x v="0"/>
  </r>
  <r>
    <x v="244"/>
    <x v="138"/>
    <x v="138"/>
    <x v="136"/>
    <x v="202"/>
    <x v="3"/>
    <x v="2"/>
    <x v="142"/>
    <x v="81"/>
    <x v="1"/>
    <x v="24"/>
    <x v="0"/>
    <x v="0"/>
    <x v="1"/>
    <x v="2"/>
    <x v="3"/>
    <x v="1"/>
    <x v="1"/>
    <x v="1"/>
    <x v="1"/>
    <x v="1"/>
    <x v="52"/>
    <x v="2"/>
    <x v="1"/>
    <x v="2"/>
    <x v="137"/>
    <x v="5"/>
    <x v="3"/>
    <x v="0"/>
    <x v="1"/>
    <x v="0"/>
    <x v="145"/>
    <x v="73"/>
    <x v="62"/>
  </r>
  <r>
    <x v="245"/>
    <x v="139"/>
    <x v="139"/>
    <x v="137"/>
    <x v="203"/>
    <x v="1"/>
    <x v="2"/>
    <x v="143"/>
    <x v="122"/>
    <x v="1"/>
    <x v="3"/>
    <x v="0"/>
    <x v="0"/>
    <x v="1"/>
    <x v="1"/>
    <x v="1"/>
    <x v="2"/>
    <x v="1"/>
    <x v="2"/>
    <x v="1"/>
    <x v="1"/>
    <x v="53"/>
    <x v="1"/>
    <x v="5"/>
    <x v="2"/>
    <x v="138"/>
    <x v="5"/>
    <x v="1"/>
    <x v="1"/>
    <x v="2"/>
    <x v="1"/>
    <x v="146"/>
    <x v="0"/>
    <x v="0"/>
  </r>
  <r>
    <x v="246"/>
    <x v="139"/>
    <x v="139"/>
    <x v="137"/>
    <x v="204"/>
    <x v="1"/>
    <x v="2"/>
    <x v="143"/>
    <x v="122"/>
    <x v="1"/>
    <x v="3"/>
    <x v="0"/>
    <x v="0"/>
    <x v="3"/>
    <x v="3"/>
    <x v="2"/>
    <x v="2"/>
    <x v="1"/>
    <x v="2"/>
    <x v="1"/>
    <x v="1"/>
    <x v="54"/>
    <x v="1"/>
    <x v="3"/>
    <x v="4"/>
    <x v="138"/>
    <x v="5"/>
    <x v="3"/>
    <x v="0"/>
    <x v="1"/>
    <x v="0"/>
    <x v="147"/>
    <x v="0"/>
    <x v="63"/>
  </r>
  <r>
    <x v="247"/>
    <x v="140"/>
    <x v="140"/>
    <x v="138"/>
    <x v="205"/>
    <x v="3"/>
    <x v="4"/>
    <x v="144"/>
    <x v="123"/>
    <x v="1"/>
    <x v="15"/>
    <x v="0"/>
    <x v="0"/>
    <x v="1"/>
    <x v="1"/>
    <x v="1"/>
    <x v="2"/>
    <x v="1"/>
    <x v="1"/>
    <x v="1"/>
    <x v="1"/>
    <x v="52"/>
    <x v="1"/>
    <x v="1"/>
    <x v="2"/>
    <x v="139"/>
    <x v="7"/>
    <x v="1"/>
    <x v="5"/>
    <x v="2"/>
    <x v="1"/>
    <x v="148"/>
    <x v="0"/>
    <x v="0"/>
  </r>
  <r>
    <x v="248"/>
    <x v="69"/>
    <x v="68"/>
    <x v="67"/>
    <x v="206"/>
    <x v="3"/>
    <x v="2"/>
    <x v="72"/>
    <x v="124"/>
    <x v="2"/>
    <x v="0"/>
    <x v="6"/>
    <x v="0"/>
    <x v="1"/>
    <x v="3"/>
    <x v="3"/>
    <x v="2"/>
    <x v="1"/>
    <x v="2"/>
    <x v="1"/>
    <x v="1"/>
    <x v="55"/>
    <x v="1"/>
    <x v="1"/>
    <x v="2"/>
    <x v="67"/>
    <x v="7"/>
    <x v="1"/>
    <x v="4"/>
    <x v="1"/>
    <x v="0"/>
    <x v="149"/>
    <x v="74"/>
    <x v="64"/>
  </r>
  <r>
    <x v="249"/>
    <x v="140"/>
    <x v="140"/>
    <x v="138"/>
    <x v="0"/>
    <x v="3"/>
    <x v="4"/>
    <x v="144"/>
    <x v="123"/>
    <x v="1"/>
    <x v="15"/>
    <x v="0"/>
    <x v="0"/>
    <x v="3"/>
    <x v="2"/>
    <x v="3"/>
    <x v="2"/>
    <x v="1"/>
    <x v="2"/>
    <x v="1"/>
    <x v="1"/>
    <x v="55"/>
    <x v="2"/>
    <x v="3"/>
    <x v="4"/>
    <x v="139"/>
    <x v="2"/>
    <x v="1"/>
    <x v="2"/>
    <x v="1"/>
    <x v="0"/>
    <x v="150"/>
    <x v="0"/>
    <x v="65"/>
  </r>
  <r>
    <x v="250"/>
    <x v="141"/>
    <x v="141"/>
    <x v="139"/>
    <x v="207"/>
    <x v="1"/>
    <x v="1"/>
    <x v="145"/>
    <x v="125"/>
    <x v="1"/>
    <x v="3"/>
    <x v="0"/>
    <x v="0"/>
    <x v="1"/>
    <x v="3"/>
    <x v="3"/>
    <x v="2"/>
    <x v="2"/>
    <x v="1"/>
    <x v="1"/>
    <x v="1"/>
    <x v="55"/>
    <x v="1"/>
    <x v="5"/>
    <x v="2"/>
    <x v="140"/>
    <x v="7"/>
    <x v="1"/>
    <x v="2"/>
    <x v="2"/>
    <x v="1"/>
    <x v="151"/>
    <x v="75"/>
    <x v="0"/>
  </r>
  <r>
    <x v="251"/>
    <x v="142"/>
    <x v="142"/>
    <x v="140"/>
    <x v="208"/>
    <x v="3"/>
    <x v="2"/>
    <x v="146"/>
    <x v="126"/>
    <x v="1"/>
    <x v="9"/>
    <x v="0"/>
    <x v="0"/>
    <x v="1"/>
    <x v="3"/>
    <x v="2"/>
    <x v="2"/>
    <x v="2"/>
    <x v="1"/>
    <x v="1"/>
    <x v="1"/>
    <x v="43"/>
    <x v="1"/>
    <x v="1"/>
    <x v="2"/>
    <x v="141"/>
    <x v="5"/>
    <x v="1"/>
    <x v="1"/>
    <x v="1"/>
    <x v="0"/>
    <x v="152"/>
    <x v="76"/>
    <x v="66"/>
  </r>
  <r>
    <x v="252"/>
    <x v="140"/>
    <x v="140"/>
    <x v="138"/>
    <x v="0"/>
    <x v="3"/>
    <x v="4"/>
    <x v="144"/>
    <x v="123"/>
    <x v="1"/>
    <x v="15"/>
    <x v="0"/>
    <x v="0"/>
    <x v="3"/>
    <x v="2"/>
    <x v="3"/>
    <x v="2"/>
    <x v="1"/>
    <x v="2"/>
    <x v="1"/>
    <x v="1"/>
    <x v="43"/>
    <x v="2"/>
    <x v="3"/>
    <x v="4"/>
    <x v="139"/>
    <x v="4"/>
    <x v="1"/>
    <x v="1"/>
    <x v="2"/>
    <x v="1"/>
    <x v="153"/>
    <x v="0"/>
    <x v="67"/>
  </r>
  <r>
    <x v="253"/>
    <x v="69"/>
    <x v="68"/>
    <x v="67"/>
    <x v="209"/>
    <x v="3"/>
    <x v="2"/>
    <x v="72"/>
    <x v="68"/>
    <x v="1"/>
    <x v="15"/>
    <x v="0"/>
    <x v="0"/>
    <x v="3"/>
    <x v="1"/>
    <x v="1"/>
    <x v="2"/>
    <x v="1"/>
    <x v="2"/>
    <x v="1"/>
    <x v="1"/>
    <x v="43"/>
    <x v="1"/>
    <x v="3"/>
    <x v="4"/>
    <x v="67"/>
    <x v="1"/>
    <x v="1"/>
    <x v="4"/>
    <x v="1"/>
    <x v="0"/>
    <x v="154"/>
    <x v="0"/>
    <x v="68"/>
  </r>
  <r>
    <x v="254"/>
    <x v="141"/>
    <x v="141"/>
    <x v="139"/>
    <x v="210"/>
    <x v="1"/>
    <x v="1"/>
    <x v="145"/>
    <x v="125"/>
    <x v="1"/>
    <x v="9"/>
    <x v="0"/>
    <x v="0"/>
    <x v="3"/>
    <x v="2"/>
    <x v="3"/>
    <x v="2"/>
    <x v="1"/>
    <x v="2"/>
    <x v="1"/>
    <x v="1"/>
    <x v="43"/>
    <x v="1"/>
    <x v="3"/>
    <x v="4"/>
    <x v="140"/>
    <x v="4"/>
    <x v="3"/>
    <x v="0"/>
    <x v="1"/>
    <x v="0"/>
    <x v="155"/>
    <x v="77"/>
    <x v="69"/>
  </r>
  <r>
    <x v="255"/>
    <x v="143"/>
    <x v="143"/>
    <x v="141"/>
    <x v="211"/>
    <x v="1"/>
    <x v="1"/>
    <x v="147"/>
    <x v="70"/>
    <x v="1"/>
    <x v="4"/>
    <x v="0"/>
    <x v="0"/>
    <x v="1"/>
    <x v="1"/>
    <x v="1"/>
    <x v="2"/>
    <x v="1"/>
    <x v="3"/>
    <x v="1"/>
    <x v="1"/>
    <x v="55"/>
    <x v="1"/>
    <x v="5"/>
    <x v="2"/>
    <x v="142"/>
    <x v="5"/>
    <x v="1"/>
    <x v="1"/>
    <x v="2"/>
    <x v="1"/>
    <x v="156"/>
    <x v="0"/>
    <x v="0"/>
  </r>
  <r>
    <x v="256"/>
    <x v="144"/>
    <x v="144"/>
    <x v="142"/>
    <x v="212"/>
    <x v="1"/>
    <x v="1"/>
    <x v="148"/>
    <x v="29"/>
    <x v="1"/>
    <x v="66"/>
    <x v="0"/>
    <x v="0"/>
    <x v="1"/>
    <x v="2"/>
    <x v="3"/>
    <x v="2"/>
    <x v="1"/>
    <x v="1"/>
    <x v="1"/>
    <x v="1"/>
    <x v="43"/>
    <x v="1"/>
    <x v="5"/>
    <x v="2"/>
    <x v="143"/>
    <x v="5"/>
    <x v="1"/>
    <x v="1"/>
    <x v="1"/>
    <x v="0"/>
    <x v="157"/>
    <x v="78"/>
    <x v="70"/>
  </r>
  <r>
    <x v="257"/>
    <x v="143"/>
    <x v="143"/>
    <x v="141"/>
    <x v="213"/>
    <x v="1"/>
    <x v="1"/>
    <x v="149"/>
    <x v="127"/>
    <x v="1"/>
    <x v="4"/>
    <x v="0"/>
    <x v="0"/>
    <x v="3"/>
    <x v="1"/>
    <x v="2"/>
    <x v="2"/>
    <x v="1"/>
    <x v="2"/>
    <x v="1"/>
    <x v="1"/>
    <x v="43"/>
    <x v="1"/>
    <x v="5"/>
    <x v="2"/>
    <x v="142"/>
    <x v="5"/>
    <x v="1"/>
    <x v="7"/>
    <x v="2"/>
    <x v="1"/>
    <x v="158"/>
    <x v="0"/>
    <x v="71"/>
  </r>
  <r>
    <x v="258"/>
    <x v="140"/>
    <x v="140"/>
    <x v="138"/>
    <x v="0"/>
    <x v="3"/>
    <x v="4"/>
    <x v="144"/>
    <x v="123"/>
    <x v="1"/>
    <x v="15"/>
    <x v="0"/>
    <x v="0"/>
    <x v="3"/>
    <x v="3"/>
    <x v="3"/>
    <x v="2"/>
    <x v="1"/>
    <x v="1"/>
    <x v="1"/>
    <x v="1"/>
    <x v="54"/>
    <x v="2"/>
    <x v="3"/>
    <x v="4"/>
    <x v="139"/>
    <x v="5"/>
    <x v="3"/>
    <x v="0"/>
    <x v="1"/>
    <x v="0"/>
    <x v="159"/>
    <x v="79"/>
    <x v="72"/>
  </r>
  <r>
    <x v="259"/>
    <x v="145"/>
    <x v="145"/>
    <x v="143"/>
    <x v="214"/>
    <x v="1"/>
    <x v="1"/>
    <x v="150"/>
    <x v="128"/>
    <x v="1"/>
    <x v="67"/>
    <x v="0"/>
    <x v="0"/>
    <x v="1"/>
    <x v="3"/>
    <x v="3"/>
    <x v="2"/>
    <x v="1"/>
    <x v="2"/>
    <x v="2"/>
    <x v="1"/>
    <x v="54"/>
    <x v="1"/>
    <x v="1"/>
    <x v="2"/>
    <x v="144"/>
    <x v="7"/>
    <x v="3"/>
    <x v="0"/>
    <x v="1"/>
    <x v="0"/>
    <x v="160"/>
    <x v="0"/>
    <x v="17"/>
  </r>
  <r>
    <x v="260"/>
    <x v="69"/>
    <x v="68"/>
    <x v="67"/>
    <x v="0"/>
    <x v="3"/>
    <x v="2"/>
    <x v="72"/>
    <x v="68"/>
    <x v="1"/>
    <x v="27"/>
    <x v="0"/>
    <x v="0"/>
    <x v="3"/>
    <x v="4"/>
    <x v="1"/>
    <x v="2"/>
    <x v="1"/>
    <x v="2"/>
    <x v="1"/>
    <x v="2"/>
    <x v="0"/>
    <x v="2"/>
    <x v="3"/>
    <x v="4"/>
    <x v="67"/>
    <x v="1"/>
    <x v="0"/>
    <x v="0"/>
    <x v="1"/>
    <x v="0"/>
    <x v="0"/>
    <x v="0"/>
    <x v="0"/>
  </r>
  <r>
    <x v="261"/>
    <x v="105"/>
    <x v="104"/>
    <x v="104"/>
    <x v="0"/>
    <x v="3"/>
    <x v="1"/>
    <x v="110"/>
    <x v="104"/>
    <x v="1"/>
    <x v="68"/>
    <x v="0"/>
    <x v="0"/>
    <x v="3"/>
    <x v="1"/>
    <x v="1"/>
    <x v="2"/>
    <x v="1"/>
    <x v="1"/>
    <x v="1"/>
    <x v="2"/>
    <x v="0"/>
    <x v="2"/>
    <x v="3"/>
    <x v="4"/>
    <x v="104"/>
    <x v="7"/>
    <x v="0"/>
    <x v="0"/>
    <x v="1"/>
    <x v="0"/>
    <x v="0"/>
    <x v="0"/>
    <x v="0"/>
  </r>
  <r>
    <x v="262"/>
    <x v="143"/>
    <x v="143"/>
    <x v="141"/>
    <x v="215"/>
    <x v="1"/>
    <x v="1"/>
    <x v="147"/>
    <x v="70"/>
    <x v="1"/>
    <x v="4"/>
    <x v="0"/>
    <x v="0"/>
    <x v="3"/>
    <x v="1"/>
    <x v="1"/>
    <x v="2"/>
    <x v="1"/>
    <x v="3"/>
    <x v="1"/>
    <x v="1"/>
    <x v="56"/>
    <x v="1"/>
    <x v="3"/>
    <x v="4"/>
    <x v="142"/>
    <x v="7"/>
    <x v="1"/>
    <x v="1"/>
    <x v="1"/>
    <x v="0"/>
    <x v="161"/>
    <x v="0"/>
    <x v="73"/>
  </r>
  <r>
    <x v="263"/>
    <x v="46"/>
    <x v="45"/>
    <x v="45"/>
    <x v="216"/>
    <x v="1"/>
    <x v="2"/>
    <x v="48"/>
    <x v="48"/>
    <x v="1"/>
    <x v="15"/>
    <x v="0"/>
    <x v="0"/>
    <x v="1"/>
    <x v="3"/>
    <x v="3"/>
    <x v="2"/>
    <x v="1"/>
    <x v="2"/>
    <x v="1"/>
    <x v="1"/>
    <x v="57"/>
    <x v="1"/>
    <x v="2"/>
    <x v="2"/>
    <x v="45"/>
    <x v="5"/>
    <x v="1"/>
    <x v="4"/>
    <x v="1"/>
    <x v="0"/>
    <x v="162"/>
    <x v="0"/>
    <x v="74"/>
  </r>
  <r>
    <x v="264"/>
    <x v="146"/>
    <x v="146"/>
    <x v="144"/>
    <x v="217"/>
    <x v="1"/>
    <x v="2"/>
    <x v="151"/>
    <x v="10"/>
    <x v="1"/>
    <x v="3"/>
    <x v="0"/>
    <x v="0"/>
    <x v="1"/>
    <x v="2"/>
    <x v="3"/>
    <x v="2"/>
    <x v="1"/>
    <x v="1"/>
    <x v="1"/>
    <x v="1"/>
    <x v="57"/>
    <x v="1"/>
    <x v="6"/>
    <x v="2"/>
    <x v="145"/>
    <x v="5"/>
    <x v="3"/>
    <x v="0"/>
    <x v="1"/>
    <x v="0"/>
    <x v="163"/>
    <x v="80"/>
    <x v="75"/>
  </r>
  <r>
    <x v="265"/>
    <x v="125"/>
    <x v="125"/>
    <x v="123"/>
    <x v="218"/>
    <x v="3"/>
    <x v="2"/>
    <x v="130"/>
    <x v="56"/>
    <x v="6"/>
    <x v="0"/>
    <x v="0"/>
    <x v="5"/>
    <x v="1"/>
    <x v="3"/>
    <x v="3"/>
    <x v="2"/>
    <x v="2"/>
    <x v="1"/>
    <x v="1"/>
    <x v="1"/>
    <x v="57"/>
    <x v="1"/>
    <x v="6"/>
    <x v="2"/>
    <x v="124"/>
    <x v="5"/>
    <x v="1"/>
    <x v="4"/>
    <x v="1"/>
    <x v="0"/>
    <x v="164"/>
    <x v="81"/>
    <x v="76"/>
  </r>
  <r>
    <x v="266"/>
    <x v="144"/>
    <x v="144"/>
    <x v="142"/>
    <x v="0"/>
    <x v="1"/>
    <x v="1"/>
    <x v="148"/>
    <x v="29"/>
    <x v="1"/>
    <x v="66"/>
    <x v="0"/>
    <x v="0"/>
    <x v="3"/>
    <x v="1"/>
    <x v="1"/>
    <x v="2"/>
    <x v="1"/>
    <x v="2"/>
    <x v="1"/>
    <x v="2"/>
    <x v="0"/>
    <x v="2"/>
    <x v="3"/>
    <x v="4"/>
    <x v="143"/>
    <x v="5"/>
    <x v="0"/>
    <x v="0"/>
    <x v="1"/>
    <x v="0"/>
    <x v="0"/>
    <x v="0"/>
    <x v="77"/>
  </r>
  <r>
    <x v="267"/>
    <x v="142"/>
    <x v="142"/>
    <x v="140"/>
    <x v="0"/>
    <x v="3"/>
    <x v="2"/>
    <x v="146"/>
    <x v="126"/>
    <x v="1"/>
    <x v="9"/>
    <x v="0"/>
    <x v="0"/>
    <x v="3"/>
    <x v="1"/>
    <x v="1"/>
    <x v="2"/>
    <x v="1"/>
    <x v="2"/>
    <x v="1"/>
    <x v="2"/>
    <x v="0"/>
    <x v="2"/>
    <x v="3"/>
    <x v="4"/>
    <x v="141"/>
    <x v="5"/>
    <x v="0"/>
    <x v="0"/>
    <x v="1"/>
    <x v="0"/>
    <x v="0"/>
    <x v="0"/>
    <x v="77"/>
  </r>
  <r>
    <x v="268"/>
    <x v="147"/>
    <x v="147"/>
    <x v="145"/>
    <x v="219"/>
    <x v="3"/>
    <x v="2"/>
    <x v="152"/>
    <x v="65"/>
    <x v="2"/>
    <x v="0"/>
    <x v="2"/>
    <x v="0"/>
    <x v="1"/>
    <x v="3"/>
    <x v="3"/>
    <x v="2"/>
    <x v="1"/>
    <x v="2"/>
    <x v="2"/>
    <x v="1"/>
    <x v="58"/>
    <x v="1"/>
    <x v="6"/>
    <x v="2"/>
    <x v="146"/>
    <x v="7"/>
    <x v="3"/>
    <x v="0"/>
    <x v="1"/>
    <x v="0"/>
    <x v="165"/>
    <x v="82"/>
    <x v="78"/>
  </r>
  <r>
    <x v="269"/>
    <x v="46"/>
    <x v="45"/>
    <x v="45"/>
    <x v="0"/>
    <x v="1"/>
    <x v="2"/>
    <x v="48"/>
    <x v="48"/>
    <x v="1"/>
    <x v="3"/>
    <x v="0"/>
    <x v="0"/>
    <x v="3"/>
    <x v="1"/>
    <x v="1"/>
    <x v="2"/>
    <x v="1"/>
    <x v="3"/>
    <x v="1"/>
    <x v="1"/>
    <x v="56"/>
    <x v="2"/>
    <x v="3"/>
    <x v="4"/>
    <x v="45"/>
    <x v="1"/>
    <x v="1"/>
    <x v="1"/>
    <x v="1"/>
    <x v="0"/>
    <x v="166"/>
    <x v="83"/>
    <x v="79"/>
  </r>
  <r>
    <x v="270"/>
    <x v="125"/>
    <x v="125"/>
    <x v="123"/>
    <x v="0"/>
    <x v="3"/>
    <x v="2"/>
    <x v="130"/>
    <x v="56"/>
    <x v="6"/>
    <x v="0"/>
    <x v="0"/>
    <x v="6"/>
    <x v="3"/>
    <x v="4"/>
    <x v="1"/>
    <x v="2"/>
    <x v="2"/>
    <x v="3"/>
    <x v="1"/>
    <x v="2"/>
    <x v="0"/>
    <x v="2"/>
    <x v="3"/>
    <x v="4"/>
    <x v="124"/>
    <x v="1"/>
    <x v="0"/>
    <x v="0"/>
    <x v="1"/>
    <x v="0"/>
    <x v="0"/>
    <x v="0"/>
    <x v="0"/>
  </r>
  <r>
    <x v="271"/>
    <x v="134"/>
    <x v="134"/>
    <x v="132"/>
    <x v="220"/>
    <x v="1"/>
    <x v="2"/>
    <x v="138"/>
    <x v="71"/>
    <x v="6"/>
    <x v="0"/>
    <x v="0"/>
    <x v="7"/>
    <x v="1"/>
    <x v="1"/>
    <x v="2"/>
    <x v="2"/>
    <x v="2"/>
    <x v="3"/>
    <x v="1"/>
    <x v="2"/>
    <x v="0"/>
    <x v="1"/>
    <x v="4"/>
    <x v="2"/>
    <x v="133"/>
    <x v="7"/>
    <x v="0"/>
    <x v="0"/>
    <x v="1"/>
    <x v="0"/>
    <x v="0"/>
    <x v="0"/>
    <x v="0"/>
  </r>
  <r>
    <x v="272"/>
    <x v="84"/>
    <x v="83"/>
    <x v="82"/>
    <x v="221"/>
    <x v="1"/>
    <x v="4"/>
    <x v="87"/>
    <x v="80"/>
    <x v="1"/>
    <x v="31"/>
    <x v="0"/>
    <x v="0"/>
    <x v="1"/>
    <x v="1"/>
    <x v="1"/>
    <x v="2"/>
    <x v="2"/>
    <x v="3"/>
    <x v="1"/>
    <x v="2"/>
    <x v="0"/>
    <x v="1"/>
    <x v="3"/>
    <x v="2"/>
    <x v="83"/>
    <x v="7"/>
    <x v="0"/>
    <x v="0"/>
    <x v="1"/>
    <x v="0"/>
    <x v="0"/>
    <x v="0"/>
    <x v="0"/>
  </r>
  <r>
    <x v="273"/>
    <x v="48"/>
    <x v="37"/>
    <x v="37"/>
    <x v="222"/>
    <x v="3"/>
    <x v="2"/>
    <x v="40"/>
    <x v="41"/>
    <x v="1"/>
    <x v="69"/>
    <x v="0"/>
    <x v="0"/>
    <x v="1"/>
    <x v="3"/>
    <x v="3"/>
    <x v="2"/>
    <x v="1"/>
    <x v="2"/>
    <x v="1"/>
    <x v="1"/>
    <x v="56"/>
    <x v="1"/>
    <x v="5"/>
    <x v="2"/>
    <x v="37"/>
    <x v="7"/>
    <x v="3"/>
    <x v="0"/>
    <x v="1"/>
    <x v="0"/>
    <x v="167"/>
    <x v="83"/>
    <x v="80"/>
  </r>
  <r>
    <x v="274"/>
    <x v="148"/>
    <x v="148"/>
    <x v="146"/>
    <x v="223"/>
    <x v="1"/>
    <x v="2"/>
    <x v="153"/>
    <x v="129"/>
    <x v="1"/>
    <x v="70"/>
    <x v="0"/>
    <x v="0"/>
    <x v="1"/>
    <x v="5"/>
    <x v="1"/>
    <x v="1"/>
    <x v="1"/>
    <x v="3"/>
    <x v="1"/>
    <x v="1"/>
    <x v="59"/>
    <x v="1"/>
    <x v="1"/>
    <x v="2"/>
    <x v="147"/>
    <x v="5"/>
    <x v="1"/>
    <x v="1"/>
    <x v="1"/>
    <x v="0"/>
    <x v="168"/>
    <x v="0"/>
    <x v="0"/>
  </r>
  <r>
    <x v="275"/>
    <x v="149"/>
    <x v="149"/>
    <x v="147"/>
    <x v="224"/>
    <x v="3"/>
    <x v="2"/>
    <x v="154"/>
    <x v="119"/>
    <x v="1"/>
    <x v="71"/>
    <x v="0"/>
    <x v="0"/>
    <x v="1"/>
    <x v="2"/>
    <x v="3"/>
    <x v="2"/>
    <x v="1"/>
    <x v="2"/>
    <x v="1"/>
    <x v="1"/>
    <x v="59"/>
    <x v="1"/>
    <x v="1"/>
    <x v="2"/>
    <x v="148"/>
    <x v="5"/>
    <x v="1"/>
    <x v="4"/>
    <x v="2"/>
    <x v="1"/>
    <x v="169"/>
    <x v="84"/>
    <x v="0"/>
  </r>
  <r>
    <x v="276"/>
    <x v="150"/>
    <x v="150"/>
    <x v="148"/>
    <x v="225"/>
    <x v="1"/>
    <x v="2"/>
    <x v="155"/>
    <x v="130"/>
    <x v="1"/>
    <x v="3"/>
    <x v="0"/>
    <x v="0"/>
    <x v="1"/>
    <x v="1"/>
    <x v="1"/>
    <x v="2"/>
    <x v="1"/>
    <x v="2"/>
    <x v="1"/>
    <x v="1"/>
    <x v="60"/>
    <x v="1"/>
    <x v="1"/>
    <x v="2"/>
    <x v="149"/>
    <x v="5"/>
    <x v="1"/>
    <x v="7"/>
    <x v="2"/>
    <x v="1"/>
    <x v="170"/>
    <x v="0"/>
    <x v="81"/>
  </r>
  <r>
    <x v="277"/>
    <x v="151"/>
    <x v="151"/>
    <x v="149"/>
    <x v="226"/>
    <x v="1"/>
    <x v="1"/>
    <x v="156"/>
    <x v="131"/>
    <x v="1"/>
    <x v="9"/>
    <x v="0"/>
    <x v="0"/>
    <x v="1"/>
    <x v="1"/>
    <x v="1"/>
    <x v="2"/>
    <x v="1"/>
    <x v="2"/>
    <x v="1"/>
    <x v="2"/>
    <x v="0"/>
    <x v="1"/>
    <x v="1"/>
    <x v="5"/>
    <x v="150"/>
    <x v="4"/>
    <x v="0"/>
    <x v="0"/>
    <x v="1"/>
    <x v="0"/>
    <x v="0"/>
    <x v="0"/>
    <x v="0"/>
  </r>
  <r>
    <x v="278"/>
    <x v="152"/>
    <x v="152"/>
    <x v="150"/>
    <x v="227"/>
    <x v="3"/>
    <x v="2"/>
    <x v="157"/>
    <x v="132"/>
    <x v="1"/>
    <x v="31"/>
    <x v="0"/>
    <x v="0"/>
    <x v="1"/>
    <x v="1"/>
    <x v="1"/>
    <x v="2"/>
    <x v="2"/>
    <x v="1"/>
    <x v="1"/>
    <x v="2"/>
    <x v="0"/>
    <x v="1"/>
    <x v="1"/>
    <x v="5"/>
    <x v="151"/>
    <x v="4"/>
    <x v="0"/>
    <x v="0"/>
    <x v="1"/>
    <x v="0"/>
    <x v="0"/>
    <x v="0"/>
    <x v="0"/>
  </r>
  <r>
    <x v="279"/>
    <x v="151"/>
    <x v="151"/>
    <x v="149"/>
    <x v="228"/>
    <x v="1"/>
    <x v="1"/>
    <x v="156"/>
    <x v="131"/>
    <x v="1"/>
    <x v="9"/>
    <x v="0"/>
    <x v="0"/>
    <x v="1"/>
    <x v="3"/>
    <x v="2"/>
    <x v="2"/>
    <x v="1"/>
    <x v="2"/>
    <x v="1"/>
    <x v="1"/>
    <x v="60"/>
    <x v="1"/>
    <x v="2"/>
    <x v="2"/>
    <x v="150"/>
    <x v="5"/>
    <x v="3"/>
    <x v="0"/>
    <x v="1"/>
    <x v="0"/>
    <x v="171"/>
    <x v="0"/>
    <x v="0"/>
  </r>
  <r>
    <x v="280"/>
    <x v="143"/>
    <x v="143"/>
    <x v="141"/>
    <x v="0"/>
    <x v="1"/>
    <x v="1"/>
    <x v="147"/>
    <x v="70"/>
    <x v="1"/>
    <x v="4"/>
    <x v="0"/>
    <x v="0"/>
    <x v="3"/>
    <x v="1"/>
    <x v="1"/>
    <x v="2"/>
    <x v="1"/>
    <x v="2"/>
    <x v="1"/>
    <x v="2"/>
    <x v="0"/>
    <x v="2"/>
    <x v="3"/>
    <x v="4"/>
    <x v="142"/>
    <x v="5"/>
    <x v="0"/>
    <x v="0"/>
    <x v="1"/>
    <x v="0"/>
    <x v="0"/>
    <x v="0"/>
    <x v="0"/>
  </r>
  <r>
    <x v="281"/>
    <x v="52"/>
    <x v="51"/>
    <x v="50"/>
    <x v="229"/>
    <x v="1"/>
    <x v="1"/>
    <x v="54"/>
    <x v="133"/>
    <x v="1"/>
    <x v="72"/>
    <x v="0"/>
    <x v="0"/>
    <x v="1"/>
    <x v="2"/>
    <x v="2"/>
    <x v="2"/>
    <x v="1"/>
    <x v="3"/>
    <x v="1"/>
    <x v="2"/>
    <x v="0"/>
    <x v="1"/>
    <x v="1"/>
    <x v="2"/>
    <x v="50"/>
    <x v="4"/>
    <x v="0"/>
    <x v="0"/>
    <x v="1"/>
    <x v="0"/>
    <x v="0"/>
    <x v="0"/>
    <x v="0"/>
  </r>
  <r>
    <x v="282"/>
    <x v="148"/>
    <x v="148"/>
    <x v="146"/>
    <x v="0"/>
    <x v="1"/>
    <x v="2"/>
    <x v="158"/>
    <x v="129"/>
    <x v="1"/>
    <x v="70"/>
    <x v="0"/>
    <x v="0"/>
    <x v="3"/>
    <x v="1"/>
    <x v="1"/>
    <x v="1"/>
    <x v="1"/>
    <x v="2"/>
    <x v="1"/>
    <x v="2"/>
    <x v="0"/>
    <x v="2"/>
    <x v="3"/>
    <x v="4"/>
    <x v="147"/>
    <x v="5"/>
    <x v="0"/>
    <x v="0"/>
    <x v="1"/>
    <x v="0"/>
    <x v="0"/>
    <x v="0"/>
    <x v="0"/>
  </r>
  <r>
    <x v="283"/>
    <x v="153"/>
    <x v="153"/>
    <x v="151"/>
    <x v="230"/>
    <x v="1"/>
    <x v="2"/>
    <x v="159"/>
    <x v="134"/>
    <x v="1"/>
    <x v="73"/>
    <x v="0"/>
    <x v="0"/>
    <x v="1"/>
    <x v="1"/>
    <x v="3"/>
    <x v="2"/>
    <x v="1"/>
    <x v="2"/>
    <x v="1"/>
    <x v="1"/>
    <x v="61"/>
    <x v="1"/>
    <x v="1"/>
    <x v="2"/>
    <x v="152"/>
    <x v="4"/>
    <x v="3"/>
    <x v="0"/>
    <x v="1"/>
    <x v="0"/>
    <x v="172"/>
    <x v="85"/>
    <x v="0"/>
  </r>
  <r>
    <x v="284"/>
    <x v="110"/>
    <x v="109"/>
    <x v="108"/>
    <x v="231"/>
    <x v="1"/>
    <x v="2"/>
    <x v="115"/>
    <x v="108"/>
    <x v="1"/>
    <x v="15"/>
    <x v="0"/>
    <x v="0"/>
    <x v="1"/>
    <x v="3"/>
    <x v="3"/>
    <x v="2"/>
    <x v="2"/>
    <x v="2"/>
    <x v="1"/>
    <x v="1"/>
    <x v="60"/>
    <x v="1"/>
    <x v="1"/>
    <x v="2"/>
    <x v="109"/>
    <x v="5"/>
    <x v="1"/>
    <x v="1"/>
    <x v="1"/>
    <x v="0"/>
    <x v="173"/>
    <x v="0"/>
    <x v="82"/>
  </r>
  <r>
    <x v="285"/>
    <x v="46"/>
    <x v="45"/>
    <x v="45"/>
    <x v="0"/>
    <x v="1"/>
    <x v="2"/>
    <x v="48"/>
    <x v="48"/>
    <x v="1"/>
    <x v="3"/>
    <x v="0"/>
    <x v="0"/>
    <x v="3"/>
    <x v="1"/>
    <x v="1"/>
    <x v="2"/>
    <x v="1"/>
    <x v="2"/>
    <x v="1"/>
    <x v="2"/>
    <x v="0"/>
    <x v="2"/>
    <x v="3"/>
    <x v="4"/>
    <x v="45"/>
    <x v="5"/>
    <x v="0"/>
    <x v="0"/>
    <x v="1"/>
    <x v="0"/>
    <x v="0"/>
    <x v="0"/>
    <x v="0"/>
  </r>
  <r>
    <x v="286"/>
    <x v="154"/>
    <x v="154"/>
    <x v="152"/>
    <x v="232"/>
    <x v="1"/>
    <x v="3"/>
    <x v="160"/>
    <x v="114"/>
    <x v="1"/>
    <x v="15"/>
    <x v="0"/>
    <x v="0"/>
    <x v="1"/>
    <x v="1"/>
    <x v="1"/>
    <x v="2"/>
    <x v="1"/>
    <x v="2"/>
    <x v="1"/>
    <x v="2"/>
    <x v="0"/>
    <x v="1"/>
    <x v="1"/>
    <x v="2"/>
    <x v="153"/>
    <x v="5"/>
    <x v="0"/>
    <x v="0"/>
    <x v="1"/>
    <x v="0"/>
    <x v="0"/>
    <x v="0"/>
    <x v="83"/>
  </r>
  <r>
    <x v="287"/>
    <x v="149"/>
    <x v="149"/>
    <x v="147"/>
    <x v="233"/>
    <x v="3"/>
    <x v="2"/>
    <x v="154"/>
    <x v="119"/>
    <x v="1"/>
    <x v="71"/>
    <x v="0"/>
    <x v="0"/>
    <x v="3"/>
    <x v="1"/>
    <x v="1"/>
    <x v="2"/>
    <x v="1"/>
    <x v="2"/>
    <x v="1"/>
    <x v="2"/>
    <x v="0"/>
    <x v="1"/>
    <x v="3"/>
    <x v="4"/>
    <x v="148"/>
    <x v="1"/>
    <x v="0"/>
    <x v="0"/>
    <x v="1"/>
    <x v="0"/>
    <x v="0"/>
    <x v="0"/>
    <x v="0"/>
  </r>
  <r>
    <x v="288"/>
    <x v="152"/>
    <x v="152"/>
    <x v="150"/>
    <x v="234"/>
    <x v="3"/>
    <x v="2"/>
    <x v="157"/>
    <x v="114"/>
    <x v="1"/>
    <x v="74"/>
    <x v="0"/>
    <x v="0"/>
    <x v="1"/>
    <x v="1"/>
    <x v="2"/>
    <x v="2"/>
    <x v="2"/>
    <x v="2"/>
    <x v="2"/>
    <x v="2"/>
    <x v="0"/>
    <x v="1"/>
    <x v="5"/>
    <x v="2"/>
    <x v="151"/>
    <x v="5"/>
    <x v="0"/>
    <x v="0"/>
    <x v="1"/>
    <x v="0"/>
    <x v="0"/>
    <x v="86"/>
    <x v="84"/>
  </r>
  <r>
    <x v="289"/>
    <x v="150"/>
    <x v="150"/>
    <x v="148"/>
    <x v="235"/>
    <x v="1"/>
    <x v="2"/>
    <x v="155"/>
    <x v="130"/>
    <x v="1"/>
    <x v="3"/>
    <x v="0"/>
    <x v="0"/>
    <x v="3"/>
    <x v="1"/>
    <x v="1"/>
    <x v="2"/>
    <x v="1"/>
    <x v="3"/>
    <x v="1"/>
    <x v="1"/>
    <x v="62"/>
    <x v="1"/>
    <x v="3"/>
    <x v="4"/>
    <x v="149"/>
    <x v="7"/>
    <x v="1"/>
    <x v="4"/>
    <x v="2"/>
    <x v="1"/>
    <x v="0"/>
    <x v="87"/>
    <x v="85"/>
  </r>
  <r>
    <x v="290"/>
    <x v="155"/>
    <x v="155"/>
    <x v="153"/>
    <x v="236"/>
    <x v="1"/>
    <x v="1"/>
    <x v="161"/>
    <x v="135"/>
    <x v="1"/>
    <x v="75"/>
    <x v="0"/>
    <x v="0"/>
    <x v="1"/>
    <x v="1"/>
    <x v="1"/>
    <x v="2"/>
    <x v="1"/>
    <x v="2"/>
    <x v="1"/>
    <x v="2"/>
    <x v="0"/>
    <x v="1"/>
    <x v="1"/>
    <x v="2"/>
    <x v="154"/>
    <x v="5"/>
    <x v="0"/>
    <x v="0"/>
    <x v="1"/>
    <x v="0"/>
    <x v="0"/>
    <x v="0"/>
    <x v="0"/>
  </r>
  <r>
    <x v="291"/>
    <x v="156"/>
    <x v="156"/>
    <x v="154"/>
    <x v="237"/>
    <x v="1"/>
    <x v="1"/>
    <x v="162"/>
    <x v="35"/>
    <x v="1"/>
    <x v="4"/>
    <x v="0"/>
    <x v="0"/>
    <x v="1"/>
    <x v="2"/>
    <x v="3"/>
    <x v="2"/>
    <x v="1"/>
    <x v="2"/>
    <x v="1"/>
    <x v="1"/>
    <x v="61"/>
    <x v="1"/>
    <x v="1"/>
    <x v="2"/>
    <x v="155"/>
    <x v="5"/>
    <x v="1"/>
    <x v="7"/>
    <x v="1"/>
    <x v="0"/>
    <x v="174"/>
    <x v="0"/>
    <x v="0"/>
  </r>
  <r>
    <x v="292"/>
    <x v="110"/>
    <x v="109"/>
    <x v="108"/>
    <x v="0"/>
    <x v="1"/>
    <x v="2"/>
    <x v="115"/>
    <x v="136"/>
    <x v="1"/>
    <x v="15"/>
    <x v="0"/>
    <x v="0"/>
    <x v="3"/>
    <x v="4"/>
    <x v="1"/>
    <x v="2"/>
    <x v="2"/>
    <x v="2"/>
    <x v="1"/>
    <x v="2"/>
    <x v="0"/>
    <x v="2"/>
    <x v="3"/>
    <x v="4"/>
    <x v="109"/>
    <x v="5"/>
    <x v="0"/>
    <x v="0"/>
    <x v="1"/>
    <x v="0"/>
    <x v="0"/>
    <x v="0"/>
    <x v="0"/>
  </r>
  <r>
    <x v="293"/>
    <x v="69"/>
    <x v="68"/>
    <x v="67"/>
    <x v="238"/>
    <x v="3"/>
    <x v="2"/>
    <x v="72"/>
    <x v="68"/>
    <x v="1"/>
    <x v="4"/>
    <x v="0"/>
    <x v="0"/>
    <x v="1"/>
    <x v="3"/>
    <x v="2"/>
    <x v="2"/>
    <x v="1"/>
    <x v="3"/>
    <x v="1"/>
    <x v="1"/>
    <x v="61"/>
    <x v="1"/>
    <x v="1"/>
    <x v="2"/>
    <x v="67"/>
    <x v="1"/>
    <x v="3"/>
    <x v="11"/>
    <x v="1"/>
    <x v="0"/>
    <x v="175"/>
    <x v="88"/>
    <x v="0"/>
  </r>
  <r>
    <x v="294"/>
    <x v="52"/>
    <x v="51"/>
    <x v="50"/>
    <x v="239"/>
    <x v="1"/>
    <x v="1"/>
    <x v="54"/>
    <x v="54"/>
    <x v="1"/>
    <x v="76"/>
    <x v="0"/>
    <x v="0"/>
    <x v="1"/>
    <x v="3"/>
    <x v="3"/>
    <x v="2"/>
    <x v="1"/>
    <x v="2"/>
    <x v="1"/>
    <x v="1"/>
    <x v="61"/>
    <x v="1"/>
    <x v="5"/>
    <x v="2"/>
    <x v="50"/>
    <x v="7"/>
    <x v="1"/>
    <x v="4"/>
    <x v="2"/>
    <x v="1"/>
    <x v="176"/>
    <x v="89"/>
    <x v="86"/>
  </r>
  <r>
    <x v="295"/>
    <x v="156"/>
    <x v="156"/>
    <x v="154"/>
    <x v="237"/>
    <x v="1"/>
    <x v="1"/>
    <x v="162"/>
    <x v="35"/>
    <x v="1"/>
    <x v="4"/>
    <x v="0"/>
    <x v="0"/>
    <x v="3"/>
    <x v="4"/>
    <x v="1"/>
    <x v="2"/>
    <x v="1"/>
    <x v="2"/>
    <x v="1"/>
    <x v="2"/>
    <x v="0"/>
    <x v="2"/>
    <x v="3"/>
    <x v="4"/>
    <x v="155"/>
    <x v="7"/>
    <x v="0"/>
    <x v="0"/>
    <x v="1"/>
    <x v="0"/>
    <x v="0"/>
    <x v="0"/>
    <x v="0"/>
  </r>
  <r>
    <x v="296"/>
    <x v="52"/>
    <x v="51"/>
    <x v="50"/>
    <x v="240"/>
    <x v="1"/>
    <x v="2"/>
    <x v="54"/>
    <x v="54"/>
    <x v="1"/>
    <x v="72"/>
    <x v="0"/>
    <x v="0"/>
    <x v="3"/>
    <x v="1"/>
    <x v="1"/>
    <x v="2"/>
    <x v="1"/>
    <x v="3"/>
    <x v="1"/>
    <x v="2"/>
    <x v="0"/>
    <x v="1"/>
    <x v="3"/>
    <x v="4"/>
    <x v="50"/>
    <x v="1"/>
    <x v="0"/>
    <x v="0"/>
    <x v="1"/>
    <x v="0"/>
    <x v="0"/>
    <x v="0"/>
    <x v="0"/>
  </r>
  <r>
    <x v="297"/>
    <x v="157"/>
    <x v="157"/>
    <x v="155"/>
    <x v="241"/>
    <x v="3"/>
    <x v="4"/>
    <x v="163"/>
    <x v="30"/>
    <x v="1"/>
    <x v="15"/>
    <x v="0"/>
    <x v="0"/>
    <x v="1"/>
    <x v="1"/>
    <x v="1"/>
    <x v="1"/>
    <x v="1"/>
    <x v="2"/>
    <x v="1"/>
    <x v="1"/>
    <x v="63"/>
    <x v="1"/>
    <x v="1"/>
    <x v="2"/>
    <x v="156"/>
    <x v="7"/>
    <x v="1"/>
    <x v="1"/>
    <x v="1"/>
    <x v="0"/>
    <x v="177"/>
    <x v="0"/>
    <x v="87"/>
  </r>
  <r>
    <x v="298"/>
    <x v="158"/>
    <x v="158"/>
    <x v="156"/>
    <x v="242"/>
    <x v="1"/>
    <x v="2"/>
    <x v="164"/>
    <x v="137"/>
    <x v="1"/>
    <x v="31"/>
    <x v="0"/>
    <x v="0"/>
    <x v="1"/>
    <x v="1"/>
    <x v="1"/>
    <x v="2"/>
    <x v="1"/>
    <x v="2"/>
    <x v="2"/>
    <x v="1"/>
    <x v="63"/>
    <x v="1"/>
    <x v="6"/>
    <x v="2"/>
    <x v="157"/>
    <x v="5"/>
    <x v="1"/>
    <x v="8"/>
    <x v="2"/>
    <x v="1"/>
    <x v="178"/>
    <x v="0"/>
    <x v="88"/>
  </r>
  <r>
    <x v="299"/>
    <x v="157"/>
    <x v="157"/>
    <x v="155"/>
    <x v="0"/>
    <x v="3"/>
    <x v="4"/>
    <x v="163"/>
    <x v="30"/>
    <x v="1"/>
    <x v="15"/>
    <x v="0"/>
    <x v="0"/>
    <x v="3"/>
    <x v="3"/>
    <x v="3"/>
    <x v="2"/>
    <x v="1"/>
    <x v="2"/>
    <x v="1"/>
    <x v="1"/>
    <x v="62"/>
    <x v="2"/>
    <x v="3"/>
    <x v="4"/>
    <x v="156"/>
    <x v="5"/>
    <x v="3"/>
    <x v="0"/>
    <x v="1"/>
    <x v="0"/>
    <x v="179"/>
    <x v="0"/>
    <x v="0"/>
  </r>
  <r>
    <x v="300"/>
    <x v="158"/>
    <x v="158"/>
    <x v="156"/>
    <x v="243"/>
    <x v="1"/>
    <x v="2"/>
    <x v="164"/>
    <x v="137"/>
    <x v="1"/>
    <x v="31"/>
    <x v="0"/>
    <x v="0"/>
    <x v="3"/>
    <x v="1"/>
    <x v="1"/>
    <x v="2"/>
    <x v="1"/>
    <x v="2"/>
    <x v="2"/>
    <x v="2"/>
    <x v="0"/>
    <x v="1"/>
    <x v="3"/>
    <x v="4"/>
    <x v="157"/>
    <x v="8"/>
    <x v="0"/>
    <x v="0"/>
    <x v="1"/>
    <x v="0"/>
    <x v="0"/>
    <x v="0"/>
    <x v="0"/>
  </r>
  <r>
    <x v="301"/>
    <x v="46"/>
    <x v="45"/>
    <x v="45"/>
    <x v="244"/>
    <x v="1"/>
    <x v="2"/>
    <x v="48"/>
    <x v="48"/>
    <x v="1"/>
    <x v="70"/>
    <x v="0"/>
    <x v="0"/>
    <x v="1"/>
    <x v="1"/>
    <x v="1"/>
    <x v="2"/>
    <x v="1"/>
    <x v="2"/>
    <x v="1"/>
    <x v="2"/>
    <x v="0"/>
    <x v="1"/>
    <x v="6"/>
    <x v="2"/>
    <x v="45"/>
    <x v="8"/>
    <x v="0"/>
    <x v="0"/>
    <x v="1"/>
    <x v="0"/>
    <x v="0"/>
    <x v="0"/>
    <x v="89"/>
  </r>
  <r>
    <x v="302"/>
    <x v="150"/>
    <x v="150"/>
    <x v="148"/>
    <x v="245"/>
    <x v="1"/>
    <x v="2"/>
    <x v="155"/>
    <x v="130"/>
    <x v="1"/>
    <x v="3"/>
    <x v="0"/>
    <x v="0"/>
    <x v="3"/>
    <x v="1"/>
    <x v="1"/>
    <x v="2"/>
    <x v="1"/>
    <x v="3"/>
    <x v="1"/>
    <x v="2"/>
    <x v="0"/>
    <x v="1"/>
    <x v="3"/>
    <x v="4"/>
    <x v="149"/>
    <x v="1"/>
    <x v="0"/>
    <x v="0"/>
    <x v="1"/>
    <x v="0"/>
    <x v="0"/>
    <x v="0"/>
    <x v="0"/>
  </r>
  <r>
    <x v="303"/>
    <x v="159"/>
    <x v="159"/>
    <x v="157"/>
    <x v="246"/>
    <x v="1"/>
    <x v="2"/>
    <x v="165"/>
    <x v="95"/>
    <x v="1"/>
    <x v="77"/>
    <x v="0"/>
    <x v="0"/>
    <x v="1"/>
    <x v="1"/>
    <x v="1"/>
    <x v="2"/>
    <x v="1"/>
    <x v="2"/>
    <x v="1"/>
    <x v="2"/>
    <x v="0"/>
    <x v="1"/>
    <x v="4"/>
    <x v="2"/>
    <x v="158"/>
    <x v="7"/>
    <x v="0"/>
    <x v="0"/>
    <x v="1"/>
    <x v="0"/>
    <x v="0"/>
    <x v="0"/>
    <x v="0"/>
  </r>
  <r>
    <x v="304"/>
    <x v="160"/>
    <x v="160"/>
    <x v="158"/>
    <x v="247"/>
    <x v="1"/>
    <x v="1"/>
    <x v="166"/>
    <x v="138"/>
    <x v="1"/>
    <x v="78"/>
    <x v="0"/>
    <x v="0"/>
    <x v="1"/>
    <x v="5"/>
    <x v="1"/>
    <x v="2"/>
    <x v="1"/>
    <x v="3"/>
    <x v="2"/>
    <x v="1"/>
    <x v="64"/>
    <x v="1"/>
    <x v="1"/>
    <x v="13"/>
    <x v="159"/>
    <x v="4"/>
    <x v="1"/>
    <x v="1"/>
    <x v="1"/>
    <x v="0"/>
    <x v="180"/>
    <x v="0"/>
    <x v="90"/>
  </r>
  <r>
    <x v="305"/>
    <x v="161"/>
    <x v="161"/>
    <x v="159"/>
    <x v="248"/>
    <x v="3"/>
    <x v="2"/>
    <x v="167"/>
    <x v="139"/>
    <x v="1"/>
    <x v="22"/>
    <x v="0"/>
    <x v="0"/>
    <x v="1"/>
    <x v="1"/>
    <x v="3"/>
    <x v="2"/>
    <x v="1"/>
    <x v="2"/>
    <x v="1"/>
    <x v="1"/>
    <x v="65"/>
    <x v="1"/>
    <x v="1"/>
    <x v="2"/>
    <x v="160"/>
    <x v="4"/>
    <x v="1"/>
    <x v="4"/>
    <x v="1"/>
    <x v="0"/>
    <x v="181"/>
    <x v="0"/>
    <x v="91"/>
  </r>
  <r>
    <x v="306"/>
    <x v="162"/>
    <x v="162"/>
    <x v="160"/>
    <x v="249"/>
    <x v="1"/>
    <x v="2"/>
    <x v="168"/>
    <x v="140"/>
    <x v="1"/>
    <x v="15"/>
    <x v="0"/>
    <x v="0"/>
    <x v="1"/>
    <x v="1"/>
    <x v="2"/>
    <x v="2"/>
    <x v="1"/>
    <x v="2"/>
    <x v="1"/>
    <x v="1"/>
    <x v="65"/>
    <x v="1"/>
    <x v="1"/>
    <x v="2"/>
    <x v="161"/>
    <x v="4"/>
    <x v="1"/>
    <x v="4"/>
    <x v="2"/>
    <x v="1"/>
    <x v="182"/>
    <x v="0"/>
    <x v="92"/>
  </r>
  <r>
    <x v="307"/>
    <x v="163"/>
    <x v="163"/>
    <x v="161"/>
    <x v="250"/>
    <x v="1"/>
    <x v="2"/>
    <x v="169"/>
    <x v="141"/>
    <x v="2"/>
    <x v="0"/>
    <x v="6"/>
    <x v="0"/>
    <x v="1"/>
    <x v="2"/>
    <x v="3"/>
    <x v="2"/>
    <x v="1"/>
    <x v="2"/>
    <x v="1"/>
    <x v="1"/>
    <x v="65"/>
    <x v="1"/>
    <x v="1"/>
    <x v="2"/>
    <x v="162"/>
    <x v="1"/>
    <x v="1"/>
    <x v="4"/>
    <x v="2"/>
    <x v="1"/>
    <x v="183"/>
    <x v="90"/>
    <x v="93"/>
  </r>
  <r>
    <x v="308"/>
    <x v="164"/>
    <x v="164"/>
    <x v="162"/>
    <x v="251"/>
    <x v="1"/>
    <x v="2"/>
    <x v="170"/>
    <x v="142"/>
    <x v="1"/>
    <x v="79"/>
    <x v="0"/>
    <x v="0"/>
    <x v="1"/>
    <x v="1"/>
    <x v="1"/>
    <x v="2"/>
    <x v="1"/>
    <x v="2"/>
    <x v="1"/>
    <x v="1"/>
    <x v="65"/>
    <x v="1"/>
    <x v="1"/>
    <x v="2"/>
    <x v="163"/>
    <x v="3"/>
    <x v="1"/>
    <x v="3"/>
    <x v="2"/>
    <x v="1"/>
    <x v="184"/>
    <x v="0"/>
    <x v="94"/>
  </r>
  <r>
    <x v="309"/>
    <x v="161"/>
    <x v="161"/>
    <x v="159"/>
    <x v="0"/>
    <x v="3"/>
    <x v="2"/>
    <x v="167"/>
    <x v="143"/>
    <x v="2"/>
    <x v="0"/>
    <x v="5"/>
    <x v="0"/>
    <x v="3"/>
    <x v="4"/>
    <x v="1"/>
    <x v="2"/>
    <x v="1"/>
    <x v="2"/>
    <x v="1"/>
    <x v="2"/>
    <x v="0"/>
    <x v="2"/>
    <x v="3"/>
    <x v="4"/>
    <x v="160"/>
    <x v="1"/>
    <x v="0"/>
    <x v="0"/>
    <x v="1"/>
    <x v="0"/>
    <x v="0"/>
    <x v="0"/>
    <x v="0"/>
  </r>
  <r>
    <x v="310"/>
    <x v="162"/>
    <x v="162"/>
    <x v="160"/>
    <x v="252"/>
    <x v="1"/>
    <x v="2"/>
    <x v="171"/>
    <x v="140"/>
    <x v="1"/>
    <x v="22"/>
    <x v="0"/>
    <x v="0"/>
    <x v="3"/>
    <x v="1"/>
    <x v="1"/>
    <x v="2"/>
    <x v="1"/>
    <x v="2"/>
    <x v="1"/>
    <x v="1"/>
    <x v="66"/>
    <x v="1"/>
    <x v="3"/>
    <x v="4"/>
    <x v="161"/>
    <x v="1"/>
    <x v="1"/>
    <x v="4"/>
    <x v="2"/>
    <x v="1"/>
    <x v="185"/>
    <x v="91"/>
    <x v="95"/>
  </r>
  <r>
    <x v="311"/>
    <x v="162"/>
    <x v="162"/>
    <x v="160"/>
    <x v="249"/>
    <x v="1"/>
    <x v="2"/>
    <x v="168"/>
    <x v="140"/>
    <x v="1"/>
    <x v="22"/>
    <x v="0"/>
    <x v="0"/>
    <x v="1"/>
    <x v="1"/>
    <x v="2"/>
    <x v="2"/>
    <x v="1"/>
    <x v="3"/>
    <x v="1"/>
    <x v="2"/>
    <x v="0"/>
    <x v="1"/>
    <x v="1"/>
    <x v="2"/>
    <x v="161"/>
    <x v="1"/>
    <x v="0"/>
    <x v="0"/>
    <x v="1"/>
    <x v="0"/>
    <x v="0"/>
    <x v="0"/>
    <x v="96"/>
  </r>
  <r>
    <x v="312"/>
    <x v="165"/>
    <x v="165"/>
    <x v="163"/>
    <x v="253"/>
    <x v="2"/>
    <x v="1"/>
    <x v="172"/>
    <x v="71"/>
    <x v="1"/>
    <x v="9"/>
    <x v="0"/>
    <x v="0"/>
    <x v="1"/>
    <x v="2"/>
    <x v="3"/>
    <x v="2"/>
    <x v="1"/>
    <x v="1"/>
    <x v="1"/>
    <x v="1"/>
    <x v="64"/>
    <x v="1"/>
    <x v="1"/>
    <x v="2"/>
    <x v="164"/>
    <x v="3"/>
    <x v="1"/>
    <x v="1"/>
    <x v="1"/>
    <x v="0"/>
    <x v="186"/>
    <x v="0"/>
    <x v="97"/>
  </r>
  <r>
    <x v="313"/>
    <x v="163"/>
    <x v="163"/>
    <x v="161"/>
    <x v="254"/>
    <x v="1"/>
    <x v="2"/>
    <x v="169"/>
    <x v="141"/>
    <x v="1"/>
    <x v="15"/>
    <x v="0"/>
    <x v="0"/>
    <x v="3"/>
    <x v="1"/>
    <x v="1"/>
    <x v="2"/>
    <x v="1"/>
    <x v="2"/>
    <x v="1"/>
    <x v="2"/>
    <x v="0"/>
    <x v="1"/>
    <x v="3"/>
    <x v="4"/>
    <x v="162"/>
    <x v="1"/>
    <x v="0"/>
    <x v="0"/>
    <x v="1"/>
    <x v="0"/>
    <x v="0"/>
    <x v="0"/>
    <x v="0"/>
  </r>
  <r>
    <x v="314"/>
    <x v="164"/>
    <x v="164"/>
    <x v="162"/>
    <x v="255"/>
    <x v="1"/>
    <x v="2"/>
    <x v="173"/>
    <x v="144"/>
    <x v="1"/>
    <x v="79"/>
    <x v="0"/>
    <x v="0"/>
    <x v="3"/>
    <x v="1"/>
    <x v="1"/>
    <x v="2"/>
    <x v="1"/>
    <x v="2"/>
    <x v="1"/>
    <x v="2"/>
    <x v="0"/>
    <x v="2"/>
    <x v="3"/>
    <x v="4"/>
    <x v="163"/>
    <x v="3"/>
    <x v="0"/>
    <x v="0"/>
    <x v="1"/>
    <x v="0"/>
    <x v="0"/>
    <x v="0"/>
    <x v="0"/>
  </r>
  <r>
    <x v="315"/>
    <x v="166"/>
    <x v="166"/>
    <x v="164"/>
    <x v="256"/>
    <x v="1"/>
    <x v="2"/>
    <x v="174"/>
    <x v="145"/>
    <x v="1"/>
    <x v="2"/>
    <x v="0"/>
    <x v="0"/>
    <x v="1"/>
    <x v="1"/>
    <x v="1"/>
    <x v="2"/>
    <x v="1"/>
    <x v="1"/>
    <x v="1"/>
    <x v="2"/>
    <x v="0"/>
    <x v="1"/>
    <x v="1"/>
    <x v="5"/>
    <x v="165"/>
    <x v="3"/>
    <x v="0"/>
    <x v="0"/>
    <x v="1"/>
    <x v="0"/>
    <x v="0"/>
    <x v="0"/>
    <x v="0"/>
  </r>
  <r>
    <x v="316"/>
    <x v="78"/>
    <x v="77"/>
    <x v="76"/>
    <x v="257"/>
    <x v="1"/>
    <x v="2"/>
    <x v="81"/>
    <x v="78"/>
    <x v="1"/>
    <x v="2"/>
    <x v="0"/>
    <x v="0"/>
    <x v="1"/>
    <x v="3"/>
    <x v="3"/>
    <x v="2"/>
    <x v="1"/>
    <x v="2"/>
    <x v="1"/>
    <x v="1"/>
    <x v="64"/>
    <x v="1"/>
    <x v="1"/>
    <x v="2"/>
    <x v="76"/>
    <x v="1"/>
    <x v="1"/>
    <x v="4"/>
    <x v="2"/>
    <x v="1"/>
    <x v="187"/>
    <x v="0"/>
    <x v="98"/>
  </r>
  <r>
    <x v="317"/>
    <x v="167"/>
    <x v="167"/>
    <x v="165"/>
    <x v="258"/>
    <x v="1"/>
    <x v="2"/>
    <x v="175"/>
    <x v="10"/>
    <x v="1"/>
    <x v="15"/>
    <x v="0"/>
    <x v="0"/>
    <x v="1"/>
    <x v="3"/>
    <x v="2"/>
    <x v="2"/>
    <x v="1"/>
    <x v="1"/>
    <x v="1"/>
    <x v="1"/>
    <x v="67"/>
    <x v="1"/>
    <x v="1"/>
    <x v="1"/>
    <x v="166"/>
    <x v="1"/>
    <x v="3"/>
    <x v="0"/>
    <x v="1"/>
    <x v="0"/>
    <x v="188"/>
    <x v="92"/>
    <x v="0"/>
  </r>
  <r>
    <x v="318"/>
    <x v="141"/>
    <x v="141"/>
    <x v="139"/>
    <x v="259"/>
    <x v="1"/>
    <x v="1"/>
    <x v="145"/>
    <x v="125"/>
    <x v="1"/>
    <x v="3"/>
    <x v="0"/>
    <x v="0"/>
    <x v="1"/>
    <x v="3"/>
    <x v="2"/>
    <x v="2"/>
    <x v="2"/>
    <x v="2"/>
    <x v="1"/>
    <x v="1"/>
    <x v="66"/>
    <x v="1"/>
    <x v="1"/>
    <x v="2"/>
    <x v="140"/>
    <x v="5"/>
    <x v="1"/>
    <x v="1"/>
    <x v="2"/>
    <x v="1"/>
    <x v="189"/>
    <x v="0"/>
    <x v="0"/>
  </r>
  <r>
    <x v="319"/>
    <x v="165"/>
    <x v="165"/>
    <x v="163"/>
    <x v="0"/>
    <x v="2"/>
    <x v="1"/>
    <x v="172"/>
    <x v="71"/>
    <x v="1"/>
    <x v="9"/>
    <x v="0"/>
    <x v="0"/>
    <x v="3"/>
    <x v="1"/>
    <x v="1"/>
    <x v="1"/>
    <x v="1"/>
    <x v="2"/>
    <x v="1"/>
    <x v="2"/>
    <x v="0"/>
    <x v="2"/>
    <x v="3"/>
    <x v="4"/>
    <x v="164"/>
    <x v="5"/>
    <x v="0"/>
    <x v="0"/>
    <x v="1"/>
    <x v="0"/>
    <x v="0"/>
    <x v="0"/>
    <x v="0"/>
  </r>
  <r>
    <x v="320"/>
    <x v="78"/>
    <x v="77"/>
    <x v="76"/>
    <x v="260"/>
    <x v="1"/>
    <x v="2"/>
    <x v="81"/>
    <x v="30"/>
    <x v="1"/>
    <x v="2"/>
    <x v="0"/>
    <x v="0"/>
    <x v="3"/>
    <x v="3"/>
    <x v="2"/>
    <x v="2"/>
    <x v="1"/>
    <x v="2"/>
    <x v="1"/>
    <x v="1"/>
    <x v="66"/>
    <x v="1"/>
    <x v="3"/>
    <x v="4"/>
    <x v="76"/>
    <x v="1"/>
    <x v="3"/>
    <x v="0"/>
    <x v="1"/>
    <x v="0"/>
    <x v="190"/>
    <x v="0"/>
    <x v="99"/>
  </r>
  <r>
    <x v="321"/>
    <x v="160"/>
    <x v="160"/>
    <x v="158"/>
    <x v="0"/>
    <x v="1"/>
    <x v="1"/>
    <x v="166"/>
    <x v="10"/>
    <x v="1"/>
    <x v="80"/>
    <x v="0"/>
    <x v="0"/>
    <x v="3"/>
    <x v="1"/>
    <x v="2"/>
    <x v="2"/>
    <x v="1"/>
    <x v="1"/>
    <x v="1"/>
    <x v="1"/>
    <x v="67"/>
    <x v="2"/>
    <x v="3"/>
    <x v="4"/>
    <x v="159"/>
    <x v="5"/>
    <x v="1"/>
    <x v="7"/>
    <x v="2"/>
    <x v="1"/>
    <x v="191"/>
    <x v="0"/>
    <x v="0"/>
  </r>
  <r>
    <x v="322"/>
    <x v="168"/>
    <x v="168"/>
    <x v="166"/>
    <x v="261"/>
    <x v="1"/>
    <x v="3"/>
    <x v="176"/>
    <x v="146"/>
    <x v="1"/>
    <x v="3"/>
    <x v="0"/>
    <x v="0"/>
    <x v="1"/>
    <x v="1"/>
    <x v="1"/>
    <x v="2"/>
    <x v="1"/>
    <x v="2"/>
    <x v="1"/>
    <x v="1"/>
    <x v="66"/>
    <x v="1"/>
    <x v="2"/>
    <x v="2"/>
    <x v="167"/>
    <x v="5"/>
    <x v="1"/>
    <x v="2"/>
    <x v="2"/>
    <x v="1"/>
    <x v="192"/>
    <x v="0"/>
    <x v="0"/>
  </r>
  <r>
    <x v="323"/>
    <x v="169"/>
    <x v="169"/>
    <x v="167"/>
    <x v="262"/>
    <x v="1"/>
    <x v="2"/>
    <x v="177"/>
    <x v="147"/>
    <x v="1"/>
    <x v="15"/>
    <x v="0"/>
    <x v="0"/>
    <x v="1"/>
    <x v="1"/>
    <x v="1"/>
    <x v="2"/>
    <x v="1"/>
    <x v="2"/>
    <x v="1"/>
    <x v="2"/>
    <x v="0"/>
    <x v="2"/>
    <x v="2"/>
    <x v="2"/>
    <x v="168"/>
    <x v="5"/>
    <x v="0"/>
    <x v="0"/>
    <x v="1"/>
    <x v="0"/>
    <x v="0"/>
    <x v="0"/>
    <x v="0"/>
  </r>
  <r>
    <x v="324"/>
    <x v="168"/>
    <x v="168"/>
    <x v="166"/>
    <x v="263"/>
    <x v="1"/>
    <x v="3"/>
    <x v="178"/>
    <x v="146"/>
    <x v="1"/>
    <x v="3"/>
    <x v="0"/>
    <x v="0"/>
    <x v="3"/>
    <x v="1"/>
    <x v="1"/>
    <x v="1"/>
    <x v="1"/>
    <x v="2"/>
    <x v="1"/>
    <x v="1"/>
    <x v="68"/>
    <x v="1"/>
    <x v="3"/>
    <x v="4"/>
    <x v="167"/>
    <x v="4"/>
    <x v="3"/>
    <x v="0"/>
    <x v="1"/>
    <x v="0"/>
    <x v="193"/>
    <x v="93"/>
    <x v="0"/>
  </r>
  <r>
    <x v="325"/>
    <x v="141"/>
    <x v="141"/>
    <x v="139"/>
    <x v="264"/>
    <x v="1"/>
    <x v="1"/>
    <x v="145"/>
    <x v="125"/>
    <x v="1"/>
    <x v="3"/>
    <x v="0"/>
    <x v="0"/>
    <x v="3"/>
    <x v="3"/>
    <x v="3"/>
    <x v="2"/>
    <x v="2"/>
    <x v="2"/>
    <x v="1"/>
    <x v="1"/>
    <x v="69"/>
    <x v="1"/>
    <x v="3"/>
    <x v="4"/>
    <x v="140"/>
    <x v="5"/>
    <x v="3"/>
    <x v="0"/>
    <x v="1"/>
    <x v="0"/>
    <x v="194"/>
    <x v="0"/>
    <x v="0"/>
  </r>
  <r>
    <x v="326"/>
    <x v="162"/>
    <x v="162"/>
    <x v="160"/>
    <x v="265"/>
    <x v="1"/>
    <x v="2"/>
    <x v="168"/>
    <x v="33"/>
    <x v="1"/>
    <x v="22"/>
    <x v="0"/>
    <x v="0"/>
    <x v="3"/>
    <x v="1"/>
    <x v="1"/>
    <x v="2"/>
    <x v="1"/>
    <x v="3"/>
    <x v="1"/>
    <x v="1"/>
    <x v="70"/>
    <x v="1"/>
    <x v="3"/>
    <x v="4"/>
    <x v="161"/>
    <x v="1"/>
    <x v="3"/>
    <x v="0"/>
    <x v="1"/>
    <x v="0"/>
    <x v="195"/>
    <x v="94"/>
    <x v="0"/>
  </r>
  <r>
    <x v="327"/>
    <x v="170"/>
    <x v="170"/>
    <x v="168"/>
    <x v="266"/>
    <x v="1"/>
    <x v="2"/>
    <x v="179"/>
    <x v="145"/>
    <x v="1"/>
    <x v="3"/>
    <x v="0"/>
    <x v="0"/>
    <x v="1"/>
    <x v="3"/>
    <x v="2"/>
    <x v="2"/>
    <x v="1"/>
    <x v="1"/>
    <x v="1"/>
    <x v="1"/>
    <x v="69"/>
    <x v="1"/>
    <x v="1"/>
    <x v="2"/>
    <x v="169"/>
    <x v="1"/>
    <x v="3"/>
    <x v="0"/>
    <x v="1"/>
    <x v="0"/>
    <x v="196"/>
    <x v="0"/>
    <x v="100"/>
  </r>
  <r>
    <x v="328"/>
    <x v="171"/>
    <x v="171"/>
    <x v="169"/>
    <x v="267"/>
    <x v="1"/>
    <x v="3"/>
    <x v="180"/>
    <x v="148"/>
    <x v="1"/>
    <x v="81"/>
    <x v="0"/>
    <x v="0"/>
    <x v="1"/>
    <x v="5"/>
    <x v="1"/>
    <x v="2"/>
    <x v="1"/>
    <x v="3"/>
    <x v="1"/>
    <x v="1"/>
    <x v="69"/>
    <x v="2"/>
    <x v="1"/>
    <x v="13"/>
    <x v="170"/>
    <x v="4"/>
    <x v="1"/>
    <x v="1"/>
    <x v="1"/>
    <x v="0"/>
    <x v="197"/>
    <x v="0"/>
    <x v="0"/>
  </r>
  <r>
    <x v="329"/>
    <x v="172"/>
    <x v="172"/>
    <x v="170"/>
    <x v="268"/>
    <x v="1"/>
    <x v="2"/>
    <x v="181"/>
    <x v="37"/>
    <x v="1"/>
    <x v="2"/>
    <x v="0"/>
    <x v="0"/>
    <x v="1"/>
    <x v="1"/>
    <x v="1"/>
    <x v="2"/>
    <x v="1"/>
    <x v="2"/>
    <x v="1"/>
    <x v="1"/>
    <x v="67"/>
    <x v="1"/>
    <x v="5"/>
    <x v="2"/>
    <x v="171"/>
    <x v="5"/>
    <x v="1"/>
    <x v="4"/>
    <x v="1"/>
    <x v="0"/>
    <x v="198"/>
    <x v="0"/>
    <x v="0"/>
  </r>
  <r>
    <x v="330"/>
    <x v="173"/>
    <x v="56"/>
    <x v="55"/>
    <x v="269"/>
    <x v="3"/>
    <x v="2"/>
    <x v="60"/>
    <x v="30"/>
    <x v="1"/>
    <x v="82"/>
    <x v="0"/>
    <x v="0"/>
    <x v="1"/>
    <x v="1"/>
    <x v="1"/>
    <x v="2"/>
    <x v="1"/>
    <x v="2"/>
    <x v="1"/>
    <x v="2"/>
    <x v="0"/>
    <x v="1"/>
    <x v="5"/>
    <x v="2"/>
    <x v="55"/>
    <x v="5"/>
    <x v="0"/>
    <x v="0"/>
    <x v="1"/>
    <x v="0"/>
    <x v="0"/>
    <x v="0"/>
    <x v="0"/>
  </r>
  <r>
    <x v="331"/>
    <x v="172"/>
    <x v="172"/>
    <x v="170"/>
    <x v="0"/>
    <x v="1"/>
    <x v="2"/>
    <x v="182"/>
    <x v="37"/>
    <x v="1"/>
    <x v="2"/>
    <x v="0"/>
    <x v="0"/>
    <x v="3"/>
    <x v="1"/>
    <x v="1"/>
    <x v="2"/>
    <x v="1"/>
    <x v="2"/>
    <x v="1"/>
    <x v="2"/>
    <x v="0"/>
    <x v="2"/>
    <x v="3"/>
    <x v="4"/>
    <x v="171"/>
    <x v="1"/>
    <x v="0"/>
    <x v="0"/>
    <x v="1"/>
    <x v="0"/>
    <x v="0"/>
    <x v="0"/>
    <x v="0"/>
  </r>
  <r>
    <x v="332"/>
    <x v="160"/>
    <x v="160"/>
    <x v="158"/>
    <x v="270"/>
    <x v="1"/>
    <x v="1"/>
    <x v="166"/>
    <x v="149"/>
    <x v="1"/>
    <x v="80"/>
    <x v="0"/>
    <x v="0"/>
    <x v="3"/>
    <x v="1"/>
    <x v="1"/>
    <x v="2"/>
    <x v="1"/>
    <x v="2"/>
    <x v="1"/>
    <x v="2"/>
    <x v="0"/>
    <x v="1"/>
    <x v="3"/>
    <x v="4"/>
    <x v="159"/>
    <x v="7"/>
    <x v="0"/>
    <x v="0"/>
    <x v="1"/>
    <x v="0"/>
    <x v="0"/>
    <x v="0"/>
    <x v="0"/>
  </r>
  <r>
    <x v="333"/>
    <x v="174"/>
    <x v="173"/>
    <x v="171"/>
    <x v="271"/>
    <x v="1"/>
    <x v="1"/>
    <x v="183"/>
    <x v="150"/>
    <x v="1"/>
    <x v="22"/>
    <x v="0"/>
    <x v="0"/>
    <x v="1"/>
    <x v="3"/>
    <x v="3"/>
    <x v="2"/>
    <x v="1"/>
    <x v="1"/>
    <x v="1"/>
    <x v="1"/>
    <x v="69"/>
    <x v="1"/>
    <x v="1"/>
    <x v="2"/>
    <x v="172"/>
    <x v="7"/>
    <x v="1"/>
    <x v="1"/>
    <x v="1"/>
    <x v="0"/>
    <x v="199"/>
    <x v="0"/>
    <x v="101"/>
  </r>
  <r>
    <x v="334"/>
    <x v="175"/>
    <x v="174"/>
    <x v="172"/>
    <x v="272"/>
    <x v="1"/>
    <x v="2"/>
    <x v="184"/>
    <x v="91"/>
    <x v="1"/>
    <x v="15"/>
    <x v="0"/>
    <x v="0"/>
    <x v="1"/>
    <x v="3"/>
    <x v="3"/>
    <x v="2"/>
    <x v="1"/>
    <x v="2"/>
    <x v="1"/>
    <x v="1"/>
    <x v="69"/>
    <x v="1"/>
    <x v="1"/>
    <x v="2"/>
    <x v="173"/>
    <x v="11"/>
    <x v="3"/>
    <x v="0"/>
    <x v="1"/>
    <x v="0"/>
    <x v="200"/>
    <x v="0"/>
    <x v="0"/>
  </r>
  <r>
    <x v="335"/>
    <x v="174"/>
    <x v="173"/>
    <x v="171"/>
    <x v="0"/>
    <x v="1"/>
    <x v="1"/>
    <x v="183"/>
    <x v="150"/>
    <x v="1"/>
    <x v="22"/>
    <x v="0"/>
    <x v="0"/>
    <x v="3"/>
    <x v="1"/>
    <x v="1"/>
    <x v="2"/>
    <x v="1"/>
    <x v="2"/>
    <x v="1"/>
    <x v="2"/>
    <x v="0"/>
    <x v="2"/>
    <x v="3"/>
    <x v="4"/>
    <x v="172"/>
    <x v="5"/>
    <x v="0"/>
    <x v="0"/>
    <x v="1"/>
    <x v="0"/>
    <x v="0"/>
    <x v="0"/>
    <x v="0"/>
  </r>
  <r>
    <x v="336"/>
    <x v="160"/>
    <x v="160"/>
    <x v="158"/>
    <x v="273"/>
    <x v="1"/>
    <x v="1"/>
    <x v="166"/>
    <x v="10"/>
    <x v="1"/>
    <x v="31"/>
    <x v="0"/>
    <x v="0"/>
    <x v="1"/>
    <x v="2"/>
    <x v="3"/>
    <x v="2"/>
    <x v="1"/>
    <x v="2"/>
    <x v="1"/>
    <x v="1"/>
    <x v="71"/>
    <x v="1"/>
    <x v="6"/>
    <x v="2"/>
    <x v="159"/>
    <x v="5"/>
    <x v="1"/>
    <x v="7"/>
    <x v="1"/>
    <x v="0"/>
    <x v="201"/>
    <x v="0"/>
    <x v="0"/>
  </r>
  <r>
    <x v="337"/>
    <x v="171"/>
    <x v="171"/>
    <x v="169"/>
    <x v="274"/>
    <x v="1"/>
    <x v="3"/>
    <x v="180"/>
    <x v="151"/>
    <x v="1"/>
    <x v="31"/>
    <x v="0"/>
    <x v="0"/>
    <x v="3"/>
    <x v="3"/>
    <x v="3"/>
    <x v="2"/>
    <x v="1"/>
    <x v="2"/>
    <x v="1"/>
    <x v="1"/>
    <x v="71"/>
    <x v="1"/>
    <x v="6"/>
    <x v="2"/>
    <x v="170"/>
    <x v="5"/>
    <x v="3"/>
    <x v="0"/>
    <x v="1"/>
    <x v="0"/>
    <x v="202"/>
    <x v="95"/>
    <x v="0"/>
  </r>
  <r>
    <x v="338"/>
    <x v="152"/>
    <x v="152"/>
    <x v="150"/>
    <x v="275"/>
    <x v="3"/>
    <x v="2"/>
    <x v="157"/>
    <x v="114"/>
    <x v="1"/>
    <x v="36"/>
    <x v="0"/>
    <x v="0"/>
    <x v="1"/>
    <x v="1"/>
    <x v="1"/>
    <x v="2"/>
    <x v="2"/>
    <x v="1"/>
    <x v="1"/>
    <x v="2"/>
    <x v="0"/>
    <x v="1"/>
    <x v="6"/>
    <x v="2"/>
    <x v="151"/>
    <x v="5"/>
    <x v="0"/>
    <x v="0"/>
    <x v="1"/>
    <x v="0"/>
    <x v="0"/>
    <x v="0"/>
    <x v="102"/>
  </r>
  <r>
    <x v="339"/>
    <x v="176"/>
    <x v="175"/>
    <x v="173"/>
    <x v="276"/>
    <x v="1"/>
    <x v="1"/>
    <x v="185"/>
    <x v="152"/>
    <x v="1"/>
    <x v="31"/>
    <x v="0"/>
    <x v="0"/>
    <x v="1"/>
    <x v="1"/>
    <x v="1"/>
    <x v="2"/>
    <x v="1"/>
    <x v="2"/>
    <x v="1"/>
    <x v="1"/>
    <x v="68"/>
    <x v="1"/>
    <x v="6"/>
    <x v="2"/>
    <x v="174"/>
    <x v="7"/>
    <x v="1"/>
    <x v="4"/>
    <x v="2"/>
    <x v="1"/>
    <x v="203"/>
    <x v="0"/>
    <x v="0"/>
  </r>
  <r>
    <x v="340"/>
    <x v="111"/>
    <x v="110"/>
    <x v="109"/>
    <x v="277"/>
    <x v="1"/>
    <x v="2"/>
    <x v="116"/>
    <x v="81"/>
    <x v="1"/>
    <x v="24"/>
    <x v="0"/>
    <x v="0"/>
    <x v="1"/>
    <x v="2"/>
    <x v="3"/>
    <x v="2"/>
    <x v="1"/>
    <x v="2"/>
    <x v="1"/>
    <x v="1"/>
    <x v="71"/>
    <x v="1"/>
    <x v="6"/>
    <x v="2"/>
    <x v="110"/>
    <x v="9"/>
    <x v="1"/>
    <x v="1"/>
    <x v="1"/>
    <x v="0"/>
    <x v="204"/>
    <x v="96"/>
    <x v="103"/>
  </r>
  <r>
    <x v="341"/>
    <x v="177"/>
    <x v="160"/>
    <x v="158"/>
    <x v="0"/>
    <x v="1"/>
    <x v="1"/>
    <x v="166"/>
    <x v="10"/>
    <x v="1"/>
    <x v="31"/>
    <x v="0"/>
    <x v="0"/>
    <x v="3"/>
    <x v="4"/>
    <x v="1"/>
    <x v="2"/>
    <x v="1"/>
    <x v="2"/>
    <x v="1"/>
    <x v="2"/>
    <x v="0"/>
    <x v="2"/>
    <x v="3"/>
    <x v="4"/>
    <x v="159"/>
    <x v="7"/>
    <x v="0"/>
    <x v="0"/>
    <x v="1"/>
    <x v="0"/>
    <x v="0"/>
    <x v="0"/>
    <x v="0"/>
  </r>
  <r>
    <x v="342"/>
    <x v="178"/>
    <x v="176"/>
    <x v="174"/>
    <x v="278"/>
    <x v="3"/>
    <x v="2"/>
    <x v="186"/>
    <x v="153"/>
    <x v="1"/>
    <x v="15"/>
    <x v="0"/>
    <x v="0"/>
    <x v="1"/>
    <x v="1"/>
    <x v="1"/>
    <x v="2"/>
    <x v="1"/>
    <x v="2"/>
    <x v="1"/>
    <x v="1"/>
    <x v="68"/>
    <x v="1"/>
    <x v="6"/>
    <x v="2"/>
    <x v="175"/>
    <x v="9"/>
    <x v="3"/>
    <x v="0"/>
    <x v="1"/>
    <x v="0"/>
    <x v="205"/>
    <x v="97"/>
    <x v="0"/>
  </r>
  <r>
    <x v="343"/>
    <x v="176"/>
    <x v="175"/>
    <x v="173"/>
    <x v="279"/>
    <x v="1"/>
    <x v="1"/>
    <x v="185"/>
    <x v="154"/>
    <x v="1"/>
    <x v="31"/>
    <x v="0"/>
    <x v="0"/>
    <x v="3"/>
    <x v="1"/>
    <x v="1"/>
    <x v="2"/>
    <x v="1"/>
    <x v="3"/>
    <x v="1"/>
    <x v="2"/>
    <x v="0"/>
    <x v="1"/>
    <x v="3"/>
    <x v="4"/>
    <x v="174"/>
    <x v="1"/>
    <x v="0"/>
    <x v="0"/>
    <x v="1"/>
    <x v="0"/>
    <x v="0"/>
    <x v="0"/>
    <x v="0"/>
  </r>
  <r>
    <x v="344"/>
    <x v="111"/>
    <x v="110"/>
    <x v="109"/>
    <x v="0"/>
    <x v="1"/>
    <x v="2"/>
    <x v="116"/>
    <x v="155"/>
    <x v="1"/>
    <x v="24"/>
    <x v="0"/>
    <x v="0"/>
    <x v="3"/>
    <x v="4"/>
    <x v="1"/>
    <x v="2"/>
    <x v="1"/>
    <x v="2"/>
    <x v="1"/>
    <x v="2"/>
    <x v="0"/>
    <x v="2"/>
    <x v="3"/>
    <x v="4"/>
    <x v="110"/>
    <x v="1"/>
    <x v="0"/>
    <x v="0"/>
    <x v="1"/>
    <x v="0"/>
    <x v="0"/>
    <x v="0"/>
    <x v="104"/>
  </r>
  <r>
    <x v="345"/>
    <x v="179"/>
    <x v="177"/>
    <x v="175"/>
    <x v="280"/>
    <x v="1"/>
    <x v="2"/>
    <x v="187"/>
    <x v="156"/>
    <x v="1"/>
    <x v="3"/>
    <x v="0"/>
    <x v="0"/>
    <x v="1"/>
    <x v="3"/>
    <x v="2"/>
    <x v="2"/>
    <x v="1"/>
    <x v="2"/>
    <x v="1"/>
    <x v="2"/>
    <x v="0"/>
    <x v="1"/>
    <x v="1"/>
    <x v="2"/>
    <x v="176"/>
    <x v="3"/>
    <x v="0"/>
    <x v="0"/>
    <x v="1"/>
    <x v="0"/>
    <x v="0"/>
    <x v="0"/>
    <x v="0"/>
  </r>
  <r>
    <x v="346"/>
    <x v="175"/>
    <x v="174"/>
    <x v="172"/>
    <x v="281"/>
    <x v="1"/>
    <x v="2"/>
    <x v="184"/>
    <x v="43"/>
    <x v="1"/>
    <x v="15"/>
    <x v="0"/>
    <x v="0"/>
    <x v="1"/>
    <x v="3"/>
    <x v="3"/>
    <x v="1"/>
    <x v="1"/>
    <x v="2"/>
    <x v="1"/>
    <x v="1"/>
    <x v="72"/>
    <x v="1"/>
    <x v="1"/>
    <x v="2"/>
    <x v="173"/>
    <x v="7"/>
    <x v="3"/>
    <x v="0"/>
    <x v="1"/>
    <x v="0"/>
    <x v="206"/>
    <x v="98"/>
    <x v="0"/>
  </r>
  <r>
    <x v="347"/>
    <x v="180"/>
    <x v="178"/>
    <x v="176"/>
    <x v="282"/>
    <x v="1"/>
    <x v="1"/>
    <x v="188"/>
    <x v="157"/>
    <x v="1"/>
    <x v="83"/>
    <x v="0"/>
    <x v="0"/>
    <x v="1"/>
    <x v="1"/>
    <x v="1"/>
    <x v="2"/>
    <x v="1"/>
    <x v="2"/>
    <x v="1"/>
    <x v="2"/>
    <x v="0"/>
    <x v="1"/>
    <x v="1"/>
    <x v="2"/>
    <x v="177"/>
    <x v="3"/>
    <x v="0"/>
    <x v="0"/>
    <x v="1"/>
    <x v="0"/>
    <x v="0"/>
    <x v="0"/>
    <x v="0"/>
  </r>
  <r>
    <x v="348"/>
    <x v="181"/>
    <x v="179"/>
    <x v="177"/>
    <x v="283"/>
    <x v="1"/>
    <x v="3"/>
    <x v="189"/>
    <x v="10"/>
    <x v="1"/>
    <x v="27"/>
    <x v="0"/>
    <x v="0"/>
    <x v="1"/>
    <x v="1"/>
    <x v="1"/>
    <x v="2"/>
    <x v="1"/>
    <x v="1"/>
    <x v="1"/>
    <x v="1"/>
    <x v="72"/>
    <x v="1"/>
    <x v="1"/>
    <x v="2"/>
    <x v="178"/>
    <x v="1"/>
    <x v="1"/>
    <x v="4"/>
    <x v="2"/>
    <x v="1"/>
    <x v="207"/>
    <x v="0"/>
    <x v="105"/>
  </r>
  <r>
    <x v="349"/>
    <x v="181"/>
    <x v="179"/>
    <x v="177"/>
    <x v="284"/>
    <x v="1"/>
    <x v="3"/>
    <x v="189"/>
    <x v="158"/>
    <x v="1"/>
    <x v="15"/>
    <x v="0"/>
    <x v="0"/>
    <x v="3"/>
    <x v="3"/>
    <x v="3"/>
    <x v="2"/>
    <x v="1"/>
    <x v="1"/>
    <x v="1"/>
    <x v="1"/>
    <x v="73"/>
    <x v="1"/>
    <x v="3"/>
    <x v="4"/>
    <x v="178"/>
    <x v="1"/>
    <x v="3"/>
    <x v="0"/>
    <x v="1"/>
    <x v="0"/>
    <x v="208"/>
    <x v="0"/>
    <x v="105"/>
  </r>
  <r>
    <x v="350"/>
    <x v="157"/>
    <x v="157"/>
    <x v="155"/>
    <x v="285"/>
    <x v="3"/>
    <x v="2"/>
    <x v="163"/>
    <x v="30"/>
    <x v="1"/>
    <x v="15"/>
    <x v="0"/>
    <x v="0"/>
    <x v="1"/>
    <x v="1"/>
    <x v="1"/>
    <x v="2"/>
    <x v="1"/>
    <x v="2"/>
    <x v="1"/>
    <x v="1"/>
    <x v="73"/>
    <x v="1"/>
    <x v="1"/>
    <x v="2"/>
    <x v="156"/>
    <x v="3"/>
    <x v="1"/>
    <x v="1"/>
    <x v="1"/>
    <x v="0"/>
    <x v="209"/>
    <x v="0"/>
    <x v="106"/>
  </r>
  <r>
    <x v="351"/>
    <x v="182"/>
    <x v="180"/>
    <x v="178"/>
    <x v="286"/>
    <x v="1"/>
    <x v="1"/>
    <x v="190"/>
    <x v="113"/>
    <x v="1"/>
    <x v="84"/>
    <x v="0"/>
    <x v="0"/>
    <x v="1"/>
    <x v="1"/>
    <x v="1"/>
    <x v="2"/>
    <x v="1"/>
    <x v="3"/>
    <x v="1"/>
    <x v="2"/>
    <x v="0"/>
    <x v="1"/>
    <x v="2"/>
    <x v="2"/>
    <x v="179"/>
    <x v="5"/>
    <x v="0"/>
    <x v="0"/>
    <x v="1"/>
    <x v="0"/>
    <x v="0"/>
    <x v="0"/>
    <x v="0"/>
  </r>
  <r>
    <x v="352"/>
    <x v="157"/>
    <x v="157"/>
    <x v="155"/>
    <x v="287"/>
    <x v="3"/>
    <x v="4"/>
    <x v="163"/>
    <x v="30"/>
    <x v="1"/>
    <x v="15"/>
    <x v="0"/>
    <x v="0"/>
    <x v="3"/>
    <x v="1"/>
    <x v="1"/>
    <x v="2"/>
    <x v="1"/>
    <x v="2"/>
    <x v="2"/>
    <x v="1"/>
    <x v="70"/>
    <x v="1"/>
    <x v="3"/>
    <x v="4"/>
    <x v="156"/>
    <x v="5"/>
    <x v="1"/>
    <x v="12"/>
    <x v="2"/>
    <x v="1"/>
    <x v="210"/>
    <x v="0"/>
    <x v="107"/>
  </r>
  <r>
    <x v="353"/>
    <x v="111"/>
    <x v="110"/>
    <x v="109"/>
    <x v="0"/>
    <x v="1"/>
    <x v="2"/>
    <x v="116"/>
    <x v="81"/>
    <x v="1"/>
    <x v="24"/>
    <x v="0"/>
    <x v="0"/>
    <x v="3"/>
    <x v="1"/>
    <x v="1"/>
    <x v="2"/>
    <x v="1"/>
    <x v="2"/>
    <x v="1"/>
    <x v="2"/>
    <x v="0"/>
    <x v="2"/>
    <x v="3"/>
    <x v="4"/>
    <x v="110"/>
    <x v="5"/>
    <x v="0"/>
    <x v="0"/>
    <x v="1"/>
    <x v="0"/>
    <x v="0"/>
    <x v="0"/>
    <x v="0"/>
  </r>
  <r>
    <x v="354"/>
    <x v="183"/>
    <x v="181"/>
    <x v="179"/>
    <x v="288"/>
    <x v="1"/>
    <x v="2"/>
    <x v="191"/>
    <x v="46"/>
    <x v="2"/>
    <x v="0"/>
    <x v="8"/>
    <x v="0"/>
    <x v="1"/>
    <x v="2"/>
    <x v="3"/>
    <x v="2"/>
    <x v="1"/>
    <x v="1"/>
    <x v="1"/>
    <x v="1"/>
    <x v="74"/>
    <x v="1"/>
    <x v="1"/>
    <x v="2"/>
    <x v="180"/>
    <x v="1"/>
    <x v="3"/>
    <x v="0"/>
    <x v="1"/>
    <x v="0"/>
    <x v="211"/>
    <x v="0"/>
    <x v="108"/>
  </r>
  <r>
    <x v="355"/>
    <x v="184"/>
    <x v="182"/>
    <x v="180"/>
    <x v="289"/>
    <x v="3"/>
    <x v="2"/>
    <x v="192"/>
    <x v="159"/>
    <x v="1"/>
    <x v="36"/>
    <x v="0"/>
    <x v="0"/>
    <x v="1"/>
    <x v="1"/>
    <x v="2"/>
    <x v="2"/>
    <x v="2"/>
    <x v="1"/>
    <x v="1"/>
    <x v="1"/>
    <x v="75"/>
    <x v="1"/>
    <x v="1"/>
    <x v="2"/>
    <x v="181"/>
    <x v="5"/>
    <x v="1"/>
    <x v="1"/>
    <x v="1"/>
    <x v="0"/>
    <x v="212"/>
    <x v="0"/>
    <x v="14"/>
  </r>
  <r>
    <x v="356"/>
    <x v="185"/>
    <x v="183"/>
    <x v="181"/>
    <x v="290"/>
    <x v="1"/>
    <x v="1"/>
    <x v="193"/>
    <x v="10"/>
    <x v="1"/>
    <x v="85"/>
    <x v="0"/>
    <x v="0"/>
    <x v="1"/>
    <x v="1"/>
    <x v="2"/>
    <x v="2"/>
    <x v="1"/>
    <x v="2"/>
    <x v="1"/>
    <x v="1"/>
    <x v="74"/>
    <x v="1"/>
    <x v="1"/>
    <x v="2"/>
    <x v="182"/>
    <x v="5"/>
    <x v="1"/>
    <x v="1"/>
    <x v="1"/>
    <x v="0"/>
    <x v="213"/>
    <x v="0"/>
    <x v="109"/>
  </r>
  <r>
    <x v="357"/>
    <x v="185"/>
    <x v="183"/>
    <x v="181"/>
    <x v="0"/>
    <x v="1"/>
    <x v="1"/>
    <x v="193"/>
    <x v="160"/>
    <x v="1"/>
    <x v="85"/>
    <x v="0"/>
    <x v="0"/>
    <x v="3"/>
    <x v="1"/>
    <x v="1"/>
    <x v="2"/>
    <x v="1"/>
    <x v="2"/>
    <x v="1"/>
    <x v="2"/>
    <x v="0"/>
    <x v="2"/>
    <x v="3"/>
    <x v="4"/>
    <x v="182"/>
    <x v="5"/>
    <x v="0"/>
    <x v="0"/>
    <x v="1"/>
    <x v="0"/>
    <x v="0"/>
    <x v="0"/>
    <x v="0"/>
  </r>
  <r>
    <x v="358"/>
    <x v="136"/>
    <x v="136"/>
    <x v="134"/>
    <x v="291"/>
    <x v="3"/>
    <x v="2"/>
    <x v="140"/>
    <x v="120"/>
    <x v="1"/>
    <x v="22"/>
    <x v="0"/>
    <x v="0"/>
    <x v="1"/>
    <x v="2"/>
    <x v="3"/>
    <x v="2"/>
    <x v="2"/>
    <x v="2"/>
    <x v="1"/>
    <x v="1"/>
    <x v="75"/>
    <x v="1"/>
    <x v="5"/>
    <x v="2"/>
    <x v="135"/>
    <x v="5"/>
    <x v="1"/>
    <x v="1"/>
    <x v="1"/>
    <x v="0"/>
    <x v="214"/>
    <x v="0"/>
    <x v="110"/>
  </r>
  <r>
    <x v="359"/>
    <x v="157"/>
    <x v="157"/>
    <x v="155"/>
    <x v="292"/>
    <x v="3"/>
    <x v="2"/>
    <x v="163"/>
    <x v="30"/>
    <x v="1"/>
    <x v="15"/>
    <x v="0"/>
    <x v="0"/>
    <x v="3"/>
    <x v="1"/>
    <x v="1"/>
    <x v="2"/>
    <x v="1"/>
    <x v="2"/>
    <x v="1"/>
    <x v="2"/>
    <x v="0"/>
    <x v="1"/>
    <x v="3"/>
    <x v="4"/>
    <x v="156"/>
    <x v="11"/>
    <x v="0"/>
    <x v="0"/>
    <x v="1"/>
    <x v="0"/>
    <x v="0"/>
    <x v="0"/>
    <x v="0"/>
  </r>
  <r>
    <x v="360"/>
    <x v="57"/>
    <x v="56"/>
    <x v="55"/>
    <x v="293"/>
    <x v="3"/>
    <x v="2"/>
    <x v="60"/>
    <x v="30"/>
    <x v="1"/>
    <x v="86"/>
    <x v="0"/>
    <x v="0"/>
    <x v="1"/>
    <x v="1"/>
    <x v="1"/>
    <x v="2"/>
    <x v="1"/>
    <x v="2"/>
    <x v="1"/>
    <x v="2"/>
    <x v="0"/>
    <x v="1"/>
    <x v="1"/>
    <x v="2"/>
    <x v="55"/>
    <x v="11"/>
    <x v="0"/>
    <x v="0"/>
    <x v="1"/>
    <x v="0"/>
    <x v="0"/>
    <x v="0"/>
    <x v="0"/>
  </r>
  <r>
    <x v="361"/>
    <x v="136"/>
    <x v="136"/>
    <x v="134"/>
    <x v="0"/>
    <x v="3"/>
    <x v="2"/>
    <x v="140"/>
    <x v="120"/>
    <x v="1"/>
    <x v="22"/>
    <x v="0"/>
    <x v="0"/>
    <x v="3"/>
    <x v="1"/>
    <x v="1"/>
    <x v="2"/>
    <x v="2"/>
    <x v="2"/>
    <x v="1"/>
    <x v="2"/>
    <x v="0"/>
    <x v="2"/>
    <x v="3"/>
    <x v="4"/>
    <x v="135"/>
    <x v="5"/>
    <x v="0"/>
    <x v="0"/>
    <x v="1"/>
    <x v="0"/>
    <x v="0"/>
    <x v="0"/>
    <x v="0"/>
  </r>
  <r>
    <x v="362"/>
    <x v="186"/>
    <x v="184"/>
    <x v="182"/>
    <x v="294"/>
    <x v="1"/>
    <x v="6"/>
    <x v="194"/>
    <x v="161"/>
    <x v="1"/>
    <x v="9"/>
    <x v="0"/>
    <x v="0"/>
    <x v="1"/>
    <x v="1"/>
    <x v="1"/>
    <x v="2"/>
    <x v="1"/>
    <x v="2"/>
    <x v="1"/>
    <x v="1"/>
    <x v="76"/>
    <x v="1"/>
    <x v="6"/>
    <x v="3"/>
    <x v="183"/>
    <x v="10"/>
    <x v="1"/>
    <x v="7"/>
    <x v="1"/>
    <x v="0"/>
    <x v="215"/>
    <x v="99"/>
    <x v="0"/>
  </r>
  <r>
    <x v="363"/>
    <x v="37"/>
    <x v="36"/>
    <x v="36"/>
    <x v="295"/>
    <x v="1"/>
    <x v="2"/>
    <x v="39"/>
    <x v="40"/>
    <x v="1"/>
    <x v="15"/>
    <x v="0"/>
    <x v="0"/>
    <x v="1"/>
    <x v="2"/>
    <x v="3"/>
    <x v="2"/>
    <x v="1"/>
    <x v="2"/>
    <x v="1"/>
    <x v="1"/>
    <x v="76"/>
    <x v="1"/>
    <x v="6"/>
    <x v="2"/>
    <x v="184"/>
    <x v="5"/>
    <x v="1"/>
    <x v="7"/>
    <x v="1"/>
    <x v="0"/>
    <x v="216"/>
    <x v="0"/>
    <x v="0"/>
  </r>
  <r>
    <x v="364"/>
    <x v="184"/>
    <x v="182"/>
    <x v="180"/>
    <x v="0"/>
    <x v="3"/>
    <x v="2"/>
    <x v="192"/>
    <x v="159"/>
    <x v="1"/>
    <x v="36"/>
    <x v="0"/>
    <x v="0"/>
    <x v="3"/>
    <x v="1"/>
    <x v="1"/>
    <x v="2"/>
    <x v="2"/>
    <x v="1"/>
    <x v="1"/>
    <x v="2"/>
    <x v="0"/>
    <x v="2"/>
    <x v="3"/>
    <x v="4"/>
    <x v="181"/>
    <x v="5"/>
    <x v="0"/>
    <x v="0"/>
    <x v="1"/>
    <x v="0"/>
    <x v="0"/>
    <x v="0"/>
    <x v="14"/>
  </r>
  <r>
    <x v="365"/>
    <x v="187"/>
    <x v="185"/>
    <x v="183"/>
    <x v="296"/>
    <x v="1"/>
    <x v="2"/>
    <x v="195"/>
    <x v="162"/>
    <x v="1"/>
    <x v="87"/>
    <x v="0"/>
    <x v="0"/>
    <x v="1"/>
    <x v="1"/>
    <x v="1"/>
    <x v="2"/>
    <x v="1"/>
    <x v="2"/>
    <x v="1"/>
    <x v="1"/>
    <x v="76"/>
    <x v="1"/>
    <x v="6"/>
    <x v="2"/>
    <x v="185"/>
    <x v="10"/>
    <x v="3"/>
    <x v="0"/>
    <x v="1"/>
    <x v="0"/>
    <x v="217"/>
    <x v="100"/>
    <x v="111"/>
  </r>
  <r>
    <x v="366"/>
    <x v="37"/>
    <x v="36"/>
    <x v="36"/>
    <x v="0"/>
    <x v="1"/>
    <x v="2"/>
    <x v="39"/>
    <x v="40"/>
    <x v="1"/>
    <x v="15"/>
    <x v="0"/>
    <x v="0"/>
    <x v="3"/>
    <x v="1"/>
    <x v="1"/>
    <x v="2"/>
    <x v="1"/>
    <x v="2"/>
    <x v="1"/>
    <x v="2"/>
    <x v="0"/>
    <x v="2"/>
    <x v="3"/>
    <x v="4"/>
    <x v="184"/>
    <x v="12"/>
    <x v="0"/>
    <x v="0"/>
    <x v="1"/>
    <x v="0"/>
    <x v="0"/>
    <x v="0"/>
    <x v="0"/>
  </r>
  <r>
    <x v="367"/>
    <x v="186"/>
    <x v="184"/>
    <x v="182"/>
    <x v="0"/>
    <x v="1"/>
    <x v="2"/>
    <x v="194"/>
    <x v="161"/>
    <x v="1"/>
    <x v="9"/>
    <x v="0"/>
    <x v="0"/>
    <x v="3"/>
    <x v="1"/>
    <x v="1"/>
    <x v="2"/>
    <x v="1"/>
    <x v="3"/>
    <x v="1"/>
    <x v="2"/>
    <x v="0"/>
    <x v="2"/>
    <x v="3"/>
    <x v="4"/>
    <x v="183"/>
    <x v="12"/>
    <x v="0"/>
    <x v="0"/>
    <x v="1"/>
    <x v="0"/>
    <x v="0"/>
    <x v="0"/>
    <x v="0"/>
  </r>
  <r>
    <x v="368"/>
    <x v="188"/>
    <x v="186"/>
    <x v="184"/>
    <x v="297"/>
    <x v="3"/>
    <x v="2"/>
    <x v="196"/>
    <x v="163"/>
    <x v="1"/>
    <x v="3"/>
    <x v="0"/>
    <x v="0"/>
    <x v="1"/>
    <x v="1"/>
    <x v="1"/>
    <x v="2"/>
    <x v="1"/>
    <x v="3"/>
    <x v="1"/>
    <x v="2"/>
    <x v="0"/>
    <x v="1"/>
    <x v="1"/>
    <x v="2"/>
    <x v="186"/>
    <x v="4"/>
    <x v="0"/>
    <x v="0"/>
    <x v="1"/>
    <x v="0"/>
    <x v="0"/>
    <x v="0"/>
    <x v="0"/>
  </r>
  <r>
    <x v="369"/>
    <x v="189"/>
    <x v="187"/>
    <x v="185"/>
    <x v="298"/>
    <x v="1"/>
    <x v="2"/>
    <x v="197"/>
    <x v="164"/>
    <x v="1"/>
    <x v="9"/>
    <x v="0"/>
    <x v="0"/>
    <x v="1"/>
    <x v="1"/>
    <x v="1"/>
    <x v="2"/>
    <x v="1"/>
    <x v="3"/>
    <x v="1"/>
    <x v="1"/>
    <x v="77"/>
    <x v="1"/>
    <x v="1"/>
    <x v="2"/>
    <x v="187"/>
    <x v="4"/>
    <x v="1"/>
    <x v="1"/>
    <x v="1"/>
    <x v="0"/>
    <x v="218"/>
    <x v="101"/>
    <x v="0"/>
  </r>
  <r>
    <x v="370"/>
    <x v="190"/>
    <x v="188"/>
    <x v="186"/>
    <x v="299"/>
    <x v="1"/>
    <x v="2"/>
    <x v="198"/>
    <x v="10"/>
    <x v="1"/>
    <x v="88"/>
    <x v="0"/>
    <x v="0"/>
    <x v="1"/>
    <x v="5"/>
    <x v="1"/>
    <x v="2"/>
    <x v="1"/>
    <x v="2"/>
    <x v="1"/>
    <x v="1"/>
    <x v="78"/>
    <x v="1"/>
    <x v="1"/>
    <x v="13"/>
    <x v="188"/>
    <x v="4"/>
    <x v="1"/>
    <x v="2"/>
    <x v="1"/>
    <x v="0"/>
    <x v="219"/>
    <x v="0"/>
    <x v="0"/>
  </r>
  <r>
    <x v="371"/>
    <x v="191"/>
    <x v="189"/>
    <x v="187"/>
    <x v="300"/>
    <x v="1"/>
    <x v="1"/>
    <x v="199"/>
    <x v="165"/>
    <x v="1"/>
    <x v="9"/>
    <x v="0"/>
    <x v="0"/>
    <x v="1"/>
    <x v="1"/>
    <x v="1"/>
    <x v="2"/>
    <x v="1"/>
    <x v="2"/>
    <x v="2"/>
    <x v="1"/>
    <x v="78"/>
    <x v="1"/>
    <x v="1"/>
    <x v="2"/>
    <x v="189"/>
    <x v="4"/>
    <x v="1"/>
    <x v="2"/>
    <x v="2"/>
    <x v="1"/>
    <x v="220"/>
    <x v="102"/>
    <x v="17"/>
  </r>
  <r>
    <x v="372"/>
    <x v="41"/>
    <x v="40"/>
    <x v="40"/>
    <x v="301"/>
    <x v="1"/>
    <x v="1"/>
    <x v="200"/>
    <x v="44"/>
    <x v="1"/>
    <x v="2"/>
    <x v="0"/>
    <x v="0"/>
    <x v="1"/>
    <x v="2"/>
    <x v="3"/>
    <x v="2"/>
    <x v="1"/>
    <x v="2"/>
    <x v="1"/>
    <x v="1"/>
    <x v="78"/>
    <x v="1"/>
    <x v="1"/>
    <x v="2"/>
    <x v="40"/>
    <x v="4"/>
    <x v="1"/>
    <x v="2"/>
    <x v="1"/>
    <x v="0"/>
    <x v="221"/>
    <x v="0"/>
    <x v="112"/>
  </r>
  <r>
    <x v="373"/>
    <x v="192"/>
    <x v="190"/>
    <x v="188"/>
    <x v="302"/>
    <x v="3"/>
    <x v="2"/>
    <x v="201"/>
    <x v="10"/>
    <x v="1"/>
    <x v="15"/>
    <x v="0"/>
    <x v="0"/>
    <x v="1"/>
    <x v="1"/>
    <x v="1"/>
    <x v="2"/>
    <x v="1"/>
    <x v="2"/>
    <x v="1"/>
    <x v="1"/>
    <x v="77"/>
    <x v="1"/>
    <x v="1"/>
    <x v="2"/>
    <x v="190"/>
    <x v="5"/>
    <x v="1"/>
    <x v="1"/>
    <x v="1"/>
    <x v="0"/>
    <x v="222"/>
    <x v="103"/>
    <x v="0"/>
  </r>
  <r>
    <x v="374"/>
    <x v="154"/>
    <x v="154"/>
    <x v="152"/>
    <x v="303"/>
    <x v="1"/>
    <x v="3"/>
    <x v="160"/>
    <x v="114"/>
    <x v="1"/>
    <x v="15"/>
    <x v="0"/>
    <x v="0"/>
    <x v="1"/>
    <x v="1"/>
    <x v="1"/>
    <x v="2"/>
    <x v="1"/>
    <x v="3"/>
    <x v="1"/>
    <x v="2"/>
    <x v="0"/>
    <x v="1"/>
    <x v="1"/>
    <x v="2"/>
    <x v="153"/>
    <x v="4"/>
    <x v="0"/>
    <x v="0"/>
    <x v="1"/>
    <x v="0"/>
    <x v="0"/>
    <x v="0"/>
    <x v="0"/>
  </r>
  <r>
    <x v="375"/>
    <x v="185"/>
    <x v="183"/>
    <x v="181"/>
    <x v="304"/>
    <x v="1"/>
    <x v="1"/>
    <x v="193"/>
    <x v="10"/>
    <x v="1"/>
    <x v="36"/>
    <x v="0"/>
    <x v="0"/>
    <x v="1"/>
    <x v="1"/>
    <x v="1"/>
    <x v="2"/>
    <x v="1"/>
    <x v="2"/>
    <x v="1"/>
    <x v="2"/>
    <x v="0"/>
    <x v="1"/>
    <x v="5"/>
    <x v="2"/>
    <x v="182"/>
    <x v="5"/>
    <x v="0"/>
    <x v="0"/>
    <x v="1"/>
    <x v="0"/>
    <x v="0"/>
    <x v="0"/>
    <x v="0"/>
  </r>
  <r>
    <x v="376"/>
    <x v="190"/>
    <x v="188"/>
    <x v="186"/>
    <x v="0"/>
    <x v="1"/>
    <x v="2"/>
    <x v="198"/>
    <x v="134"/>
    <x v="1"/>
    <x v="88"/>
    <x v="0"/>
    <x v="0"/>
    <x v="3"/>
    <x v="1"/>
    <x v="1"/>
    <x v="2"/>
    <x v="1"/>
    <x v="2"/>
    <x v="1"/>
    <x v="2"/>
    <x v="0"/>
    <x v="2"/>
    <x v="3"/>
    <x v="4"/>
    <x v="188"/>
    <x v="4"/>
    <x v="0"/>
    <x v="0"/>
    <x v="1"/>
    <x v="0"/>
    <x v="0"/>
    <x v="0"/>
    <x v="0"/>
  </r>
  <r>
    <x v="377"/>
    <x v="41"/>
    <x v="40"/>
    <x v="40"/>
    <x v="0"/>
    <x v="1"/>
    <x v="1"/>
    <x v="200"/>
    <x v="44"/>
    <x v="1"/>
    <x v="2"/>
    <x v="0"/>
    <x v="0"/>
    <x v="3"/>
    <x v="4"/>
    <x v="1"/>
    <x v="2"/>
    <x v="1"/>
    <x v="2"/>
    <x v="1"/>
    <x v="1"/>
    <x v="79"/>
    <x v="2"/>
    <x v="3"/>
    <x v="4"/>
    <x v="40"/>
    <x v="4"/>
    <x v="1"/>
    <x v="4"/>
    <x v="1"/>
    <x v="0"/>
    <x v="223"/>
    <x v="0"/>
    <x v="112"/>
  </r>
  <r>
    <x v="378"/>
    <x v="191"/>
    <x v="189"/>
    <x v="187"/>
    <x v="305"/>
    <x v="1"/>
    <x v="1"/>
    <x v="199"/>
    <x v="165"/>
    <x v="1"/>
    <x v="9"/>
    <x v="0"/>
    <x v="0"/>
    <x v="3"/>
    <x v="1"/>
    <x v="1"/>
    <x v="2"/>
    <x v="1"/>
    <x v="2"/>
    <x v="1"/>
    <x v="2"/>
    <x v="0"/>
    <x v="1"/>
    <x v="3"/>
    <x v="4"/>
    <x v="189"/>
    <x v="4"/>
    <x v="0"/>
    <x v="0"/>
    <x v="1"/>
    <x v="0"/>
    <x v="0"/>
    <x v="0"/>
    <x v="0"/>
  </r>
  <r>
    <x v="379"/>
    <x v="187"/>
    <x v="185"/>
    <x v="183"/>
    <x v="306"/>
    <x v="1"/>
    <x v="2"/>
    <x v="195"/>
    <x v="162"/>
    <x v="1"/>
    <x v="44"/>
    <x v="0"/>
    <x v="0"/>
    <x v="1"/>
    <x v="1"/>
    <x v="1"/>
    <x v="2"/>
    <x v="1"/>
    <x v="2"/>
    <x v="1"/>
    <x v="2"/>
    <x v="0"/>
    <x v="1"/>
    <x v="1"/>
    <x v="2"/>
    <x v="185"/>
    <x v="3"/>
    <x v="0"/>
    <x v="0"/>
    <x v="1"/>
    <x v="0"/>
    <x v="0"/>
    <x v="0"/>
    <x v="0"/>
  </r>
  <r>
    <x v="380"/>
    <x v="57"/>
    <x v="56"/>
    <x v="55"/>
    <x v="307"/>
    <x v="3"/>
    <x v="2"/>
    <x v="60"/>
    <x v="30"/>
    <x v="1"/>
    <x v="15"/>
    <x v="0"/>
    <x v="0"/>
    <x v="1"/>
    <x v="1"/>
    <x v="1"/>
    <x v="2"/>
    <x v="1"/>
    <x v="2"/>
    <x v="1"/>
    <x v="2"/>
    <x v="0"/>
    <x v="1"/>
    <x v="1"/>
    <x v="2"/>
    <x v="55"/>
    <x v="11"/>
    <x v="0"/>
    <x v="0"/>
    <x v="1"/>
    <x v="0"/>
    <x v="0"/>
    <x v="0"/>
    <x v="0"/>
  </r>
  <r>
    <x v="381"/>
    <x v="169"/>
    <x v="169"/>
    <x v="167"/>
    <x v="308"/>
    <x v="1"/>
    <x v="2"/>
    <x v="177"/>
    <x v="147"/>
    <x v="1"/>
    <x v="15"/>
    <x v="0"/>
    <x v="0"/>
    <x v="1"/>
    <x v="1"/>
    <x v="1"/>
    <x v="2"/>
    <x v="1"/>
    <x v="2"/>
    <x v="1"/>
    <x v="1"/>
    <x v="80"/>
    <x v="2"/>
    <x v="5"/>
    <x v="2"/>
    <x v="168"/>
    <x v="12"/>
    <x v="1"/>
    <x v="1"/>
    <x v="1"/>
    <x v="0"/>
    <x v="224"/>
    <x v="0"/>
    <x v="0"/>
  </r>
  <r>
    <x v="382"/>
    <x v="129"/>
    <x v="129"/>
    <x v="127"/>
    <x v="309"/>
    <x v="1"/>
    <x v="1"/>
    <x v="133"/>
    <x v="115"/>
    <x v="1"/>
    <x v="3"/>
    <x v="0"/>
    <x v="0"/>
    <x v="1"/>
    <x v="1"/>
    <x v="1"/>
    <x v="2"/>
    <x v="1"/>
    <x v="3"/>
    <x v="1"/>
    <x v="1"/>
    <x v="81"/>
    <x v="1"/>
    <x v="6"/>
    <x v="2"/>
    <x v="128"/>
    <x v="5"/>
    <x v="3"/>
    <x v="0"/>
    <x v="1"/>
    <x v="0"/>
    <x v="225"/>
    <x v="104"/>
    <x v="0"/>
  </r>
  <r>
    <x v="383"/>
    <x v="169"/>
    <x v="169"/>
    <x v="167"/>
    <x v="0"/>
    <x v="1"/>
    <x v="2"/>
    <x v="177"/>
    <x v="166"/>
    <x v="1"/>
    <x v="15"/>
    <x v="0"/>
    <x v="0"/>
    <x v="3"/>
    <x v="1"/>
    <x v="1"/>
    <x v="2"/>
    <x v="1"/>
    <x v="2"/>
    <x v="1"/>
    <x v="2"/>
    <x v="0"/>
    <x v="2"/>
    <x v="3"/>
    <x v="4"/>
    <x v="168"/>
    <x v="5"/>
    <x v="0"/>
    <x v="0"/>
    <x v="1"/>
    <x v="0"/>
    <x v="0"/>
    <x v="0"/>
    <x v="0"/>
  </r>
  <r>
    <x v="384"/>
    <x v="192"/>
    <x v="190"/>
    <x v="188"/>
    <x v="0"/>
    <x v="3"/>
    <x v="2"/>
    <x v="201"/>
    <x v="10"/>
    <x v="1"/>
    <x v="15"/>
    <x v="0"/>
    <x v="0"/>
    <x v="3"/>
    <x v="1"/>
    <x v="1"/>
    <x v="2"/>
    <x v="1"/>
    <x v="2"/>
    <x v="1"/>
    <x v="2"/>
    <x v="0"/>
    <x v="2"/>
    <x v="3"/>
    <x v="4"/>
    <x v="190"/>
    <x v="5"/>
    <x v="0"/>
    <x v="0"/>
    <x v="1"/>
    <x v="0"/>
    <x v="0"/>
    <x v="0"/>
    <x v="0"/>
  </r>
  <r>
    <x v="385"/>
    <x v="193"/>
    <x v="191"/>
    <x v="189"/>
    <x v="310"/>
    <x v="1"/>
    <x v="2"/>
    <x v="202"/>
    <x v="165"/>
    <x v="1"/>
    <x v="89"/>
    <x v="0"/>
    <x v="0"/>
    <x v="1"/>
    <x v="1"/>
    <x v="1"/>
    <x v="1"/>
    <x v="1"/>
    <x v="2"/>
    <x v="1"/>
    <x v="1"/>
    <x v="82"/>
    <x v="1"/>
    <x v="6"/>
    <x v="2"/>
    <x v="191"/>
    <x v="5"/>
    <x v="1"/>
    <x v="4"/>
    <x v="2"/>
    <x v="1"/>
    <x v="226"/>
    <x v="0"/>
    <x v="0"/>
  </r>
  <r>
    <x v="386"/>
    <x v="189"/>
    <x v="187"/>
    <x v="185"/>
    <x v="0"/>
    <x v="1"/>
    <x v="2"/>
    <x v="197"/>
    <x v="164"/>
    <x v="1"/>
    <x v="9"/>
    <x v="0"/>
    <x v="0"/>
    <x v="3"/>
    <x v="1"/>
    <x v="1"/>
    <x v="2"/>
    <x v="1"/>
    <x v="3"/>
    <x v="1"/>
    <x v="2"/>
    <x v="0"/>
    <x v="2"/>
    <x v="3"/>
    <x v="4"/>
    <x v="187"/>
    <x v="5"/>
    <x v="0"/>
    <x v="0"/>
    <x v="1"/>
    <x v="0"/>
    <x v="0"/>
    <x v="0"/>
    <x v="0"/>
  </r>
  <r>
    <x v="387"/>
    <x v="193"/>
    <x v="191"/>
    <x v="189"/>
    <x v="0"/>
    <x v="1"/>
    <x v="2"/>
    <x v="202"/>
    <x v="165"/>
    <x v="1"/>
    <x v="90"/>
    <x v="0"/>
    <x v="0"/>
    <x v="3"/>
    <x v="1"/>
    <x v="1"/>
    <x v="2"/>
    <x v="1"/>
    <x v="2"/>
    <x v="1"/>
    <x v="2"/>
    <x v="0"/>
    <x v="2"/>
    <x v="3"/>
    <x v="4"/>
    <x v="191"/>
    <x v="1"/>
    <x v="0"/>
    <x v="0"/>
    <x v="1"/>
    <x v="0"/>
    <x v="0"/>
    <x v="0"/>
    <x v="0"/>
  </r>
  <r>
    <x v="388"/>
    <x v="194"/>
    <x v="192"/>
    <x v="190"/>
    <x v="311"/>
    <x v="1"/>
    <x v="2"/>
    <x v="203"/>
    <x v="167"/>
    <x v="1"/>
    <x v="12"/>
    <x v="0"/>
    <x v="0"/>
    <x v="1"/>
    <x v="3"/>
    <x v="2"/>
    <x v="2"/>
    <x v="1"/>
    <x v="2"/>
    <x v="1"/>
    <x v="1"/>
    <x v="83"/>
    <x v="1"/>
    <x v="1"/>
    <x v="2"/>
    <x v="192"/>
    <x v="5"/>
    <x v="1"/>
    <x v="1"/>
    <x v="1"/>
    <x v="0"/>
    <x v="227"/>
    <x v="105"/>
    <x v="0"/>
  </r>
  <r>
    <x v="389"/>
    <x v="195"/>
    <x v="193"/>
    <x v="191"/>
    <x v="312"/>
    <x v="1"/>
    <x v="2"/>
    <x v="204"/>
    <x v="168"/>
    <x v="1"/>
    <x v="3"/>
    <x v="0"/>
    <x v="0"/>
    <x v="1"/>
    <x v="3"/>
    <x v="2"/>
    <x v="1"/>
    <x v="1"/>
    <x v="2"/>
    <x v="1"/>
    <x v="1"/>
    <x v="83"/>
    <x v="1"/>
    <x v="5"/>
    <x v="2"/>
    <x v="193"/>
    <x v="5"/>
    <x v="3"/>
    <x v="0"/>
    <x v="1"/>
    <x v="0"/>
    <x v="228"/>
    <x v="106"/>
    <x v="0"/>
  </r>
  <r>
    <x v="390"/>
    <x v="178"/>
    <x v="176"/>
    <x v="174"/>
    <x v="313"/>
    <x v="3"/>
    <x v="2"/>
    <x v="186"/>
    <x v="153"/>
    <x v="1"/>
    <x v="91"/>
    <x v="0"/>
    <x v="0"/>
    <x v="1"/>
    <x v="3"/>
    <x v="3"/>
    <x v="2"/>
    <x v="1"/>
    <x v="2"/>
    <x v="1"/>
    <x v="1"/>
    <x v="84"/>
    <x v="1"/>
    <x v="1"/>
    <x v="2"/>
    <x v="175"/>
    <x v="5"/>
    <x v="3"/>
    <x v="0"/>
    <x v="1"/>
    <x v="0"/>
    <x v="229"/>
    <x v="107"/>
    <x v="0"/>
  </r>
  <r>
    <x v="391"/>
    <x v="196"/>
    <x v="194"/>
    <x v="192"/>
    <x v="314"/>
    <x v="1"/>
    <x v="2"/>
    <x v="205"/>
    <x v="165"/>
    <x v="1"/>
    <x v="92"/>
    <x v="0"/>
    <x v="0"/>
    <x v="1"/>
    <x v="1"/>
    <x v="1"/>
    <x v="2"/>
    <x v="2"/>
    <x v="3"/>
    <x v="1"/>
    <x v="1"/>
    <x v="79"/>
    <x v="1"/>
    <x v="1"/>
    <x v="5"/>
    <x v="194"/>
    <x v="4"/>
    <x v="1"/>
    <x v="3"/>
    <x v="2"/>
    <x v="1"/>
    <x v="230"/>
    <x v="108"/>
    <x v="113"/>
  </r>
  <r>
    <x v="392"/>
    <x v="152"/>
    <x v="152"/>
    <x v="150"/>
    <x v="315"/>
    <x v="3"/>
    <x v="2"/>
    <x v="157"/>
    <x v="169"/>
    <x v="1"/>
    <x v="2"/>
    <x v="0"/>
    <x v="0"/>
    <x v="1"/>
    <x v="1"/>
    <x v="1"/>
    <x v="2"/>
    <x v="2"/>
    <x v="3"/>
    <x v="1"/>
    <x v="1"/>
    <x v="85"/>
    <x v="1"/>
    <x v="1"/>
    <x v="5"/>
    <x v="151"/>
    <x v="1"/>
    <x v="1"/>
    <x v="1"/>
    <x v="1"/>
    <x v="0"/>
    <x v="231"/>
    <x v="109"/>
    <x v="114"/>
  </r>
  <r>
    <x v="393"/>
    <x v="170"/>
    <x v="170"/>
    <x v="168"/>
    <x v="316"/>
    <x v="1"/>
    <x v="2"/>
    <x v="179"/>
    <x v="145"/>
    <x v="1"/>
    <x v="3"/>
    <x v="0"/>
    <x v="0"/>
    <x v="1"/>
    <x v="3"/>
    <x v="2"/>
    <x v="2"/>
    <x v="1"/>
    <x v="3"/>
    <x v="1"/>
    <x v="1"/>
    <x v="86"/>
    <x v="1"/>
    <x v="1"/>
    <x v="2"/>
    <x v="169"/>
    <x v="1"/>
    <x v="3"/>
    <x v="0"/>
    <x v="1"/>
    <x v="0"/>
    <x v="232"/>
    <x v="110"/>
    <x v="115"/>
  </r>
  <r>
    <x v="394"/>
    <x v="197"/>
    <x v="195"/>
    <x v="193"/>
    <x v="317"/>
    <x v="3"/>
    <x v="3"/>
    <x v="206"/>
    <x v="48"/>
    <x v="1"/>
    <x v="15"/>
    <x v="0"/>
    <x v="0"/>
    <x v="1"/>
    <x v="2"/>
    <x v="3"/>
    <x v="2"/>
    <x v="1"/>
    <x v="2"/>
    <x v="1"/>
    <x v="1"/>
    <x v="79"/>
    <x v="1"/>
    <x v="2"/>
    <x v="2"/>
    <x v="195"/>
    <x v="4"/>
    <x v="3"/>
    <x v="0"/>
    <x v="1"/>
    <x v="0"/>
    <x v="233"/>
    <x v="111"/>
    <x v="116"/>
  </r>
  <r>
    <x v="395"/>
    <x v="41"/>
    <x v="40"/>
    <x v="40"/>
    <x v="0"/>
    <x v="1"/>
    <x v="1"/>
    <x v="200"/>
    <x v="44"/>
    <x v="1"/>
    <x v="1"/>
    <x v="0"/>
    <x v="0"/>
    <x v="3"/>
    <x v="4"/>
    <x v="1"/>
    <x v="2"/>
    <x v="1"/>
    <x v="2"/>
    <x v="1"/>
    <x v="2"/>
    <x v="0"/>
    <x v="2"/>
    <x v="3"/>
    <x v="4"/>
    <x v="40"/>
    <x v="1"/>
    <x v="0"/>
    <x v="0"/>
    <x v="1"/>
    <x v="0"/>
    <x v="0"/>
    <x v="0"/>
    <x v="0"/>
  </r>
  <r>
    <x v="396"/>
    <x v="196"/>
    <x v="194"/>
    <x v="192"/>
    <x v="318"/>
    <x v="1"/>
    <x v="2"/>
    <x v="205"/>
    <x v="165"/>
    <x v="1"/>
    <x v="93"/>
    <x v="0"/>
    <x v="0"/>
    <x v="3"/>
    <x v="1"/>
    <x v="1"/>
    <x v="2"/>
    <x v="2"/>
    <x v="1"/>
    <x v="1"/>
    <x v="2"/>
    <x v="0"/>
    <x v="1"/>
    <x v="3"/>
    <x v="4"/>
    <x v="194"/>
    <x v="3"/>
    <x v="0"/>
    <x v="0"/>
    <x v="1"/>
    <x v="0"/>
    <x v="0"/>
    <x v="0"/>
    <x v="0"/>
  </r>
  <r>
    <x v="397"/>
    <x v="198"/>
    <x v="196"/>
    <x v="194"/>
    <x v="319"/>
    <x v="3"/>
    <x v="2"/>
    <x v="207"/>
    <x v="71"/>
    <x v="1"/>
    <x v="2"/>
    <x v="0"/>
    <x v="0"/>
    <x v="1"/>
    <x v="3"/>
    <x v="2"/>
    <x v="2"/>
    <x v="1"/>
    <x v="3"/>
    <x v="1"/>
    <x v="1"/>
    <x v="85"/>
    <x v="1"/>
    <x v="6"/>
    <x v="3"/>
    <x v="196"/>
    <x v="3"/>
    <x v="1"/>
    <x v="7"/>
    <x v="1"/>
    <x v="0"/>
    <x v="234"/>
    <x v="0"/>
    <x v="117"/>
  </r>
  <r>
    <x v="398"/>
    <x v="199"/>
    <x v="197"/>
    <x v="195"/>
    <x v="320"/>
    <x v="1"/>
    <x v="2"/>
    <x v="208"/>
    <x v="170"/>
    <x v="1"/>
    <x v="94"/>
    <x v="0"/>
    <x v="0"/>
    <x v="1"/>
    <x v="1"/>
    <x v="1"/>
    <x v="2"/>
    <x v="1"/>
    <x v="3"/>
    <x v="1"/>
    <x v="2"/>
    <x v="0"/>
    <x v="2"/>
    <x v="2"/>
    <x v="2"/>
    <x v="197"/>
    <x v="1"/>
    <x v="0"/>
    <x v="0"/>
    <x v="1"/>
    <x v="0"/>
    <x v="0"/>
    <x v="0"/>
    <x v="0"/>
  </r>
  <r>
    <x v="399"/>
    <x v="200"/>
    <x v="198"/>
    <x v="196"/>
    <x v="321"/>
    <x v="2"/>
    <x v="2"/>
    <x v="209"/>
    <x v="171"/>
    <x v="1"/>
    <x v="15"/>
    <x v="0"/>
    <x v="0"/>
    <x v="1"/>
    <x v="2"/>
    <x v="3"/>
    <x v="2"/>
    <x v="2"/>
    <x v="3"/>
    <x v="1"/>
    <x v="1"/>
    <x v="87"/>
    <x v="1"/>
    <x v="1"/>
    <x v="13"/>
    <x v="198"/>
    <x v="1"/>
    <x v="1"/>
    <x v="4"/>
    <x v="2"/>
    <x v="1"/>
    <x v="235"/>
    <x v="112"/>
    <x v="118"/>
  </r>
  <r>
    <x v="400"/>
    <x v="201"/>
    <x v="199"/>
    <x v="197"/>
    <x v="322"/>
    <x v="3"/>
    <x v="2"/>
    <x v="210"/>
    <x v="172"/>
    <x v="1"/>
    <x v="3"/>
    <x v="0"/>
    <x v="0"/>
    <x v="1"/>
    <x v="1"/>
    <x v="1"/>
    <x v="2"/>
    <x v="2"/>
    <x v="2"/>
    <x v="1"/>
    <x v="2"/>
    <x v="0"/>
    <x v="1"/>
    <x v="1"/>
    <x v="2"/>
    <x v="199"/>
    <x v="12"/>
    <x v="0"/>
    <x v="0"/>
    <x v="1"/>
    <x v="0"/>
    <x v="0"/>
    <x v="0"/>
    <x v="119"/>
  </r>
  <r>
    <x v="401"/>
    <x v="202"/>
    <x v="200"/>
    <x v="198"/>
    <x v="323"/>
    <x v="1"/>
    <x v="2"/>
    <x v="211"/>
    <x v="173"/>
    <x v="2"/>
    <x v="0"/>
    <x v="2"/>
    <x v="0"/>
    <x v="1"/>
    <x v="3"/>
    <x v="3"/>
    <x v="2"/>
    <x v="1"/>
    <x v="2"/>
    <x v="1"/>
    <x v="1"/>
    <x v="87"/>
    <x v="1"/>
    <x v="1"/>
    <x v="2"/>
    <x v="200"/>
    <x v="2"/>
    <x v="1"/>
    <x v="1"/>
    <x v="1"/>
    <x v="0"/>
    <x v="236"/>
    <x v="0"/>
    <x v="0"/>
  </r>
  <r>
    <x v="402"/>
    <x v="198"/>
    <x v="196"/>
    <x v="194"/>
    <x v="0"/>
    <x v="3"/>
    <x v="2"/>
    <x v="207"/>
    <x v="71"/>
    <x v="1"/>
    <x v="2"/>
    <x v="0"/>
    <x v="0"/>
    <x v="3"/>
    <x v="1"/>
    <x v="1"/>
    <x v="2"/>
    <x v="1"/>
    <x v="3"/>
    <x v="1"/>
    <x v="2"/>
    <x v="0"/>
    <x v="2"/>
    <x v="3"/>
    <x v="4"/>
    <x v="196"/>
    <x v="12"/>
    <x v="0"/>
    <x v="0"/>
    <x v="1"/>
    <x v="0"/>
    <x v="0"/>
    <x v="0"/>
    <x v="0"/>
  </r>
  <r>
    <x v="403"/>
    <x v="150"/>
    <x v="150"/>
    <x v="148"/>
    <x v="324"/>
    <x v="1"/>
    <x v="2"/>
    <x v="155"/>
    <x v="130"/>
    <x v="1"/>
    <x v="95"/>
    <x v="0"/>
    <x v="0"/>
    <x v="1"/>
    <x v="2"/>
    <x v="3"/>
    <x v="2"/>
    <x v="1"/>
    <x v="1"/>
    <x v="1"/>
    <x v="1"/>
    <x v="87"/>
    <x v="1"/>
    <x v="5"/>
    <x v="2"/>
    <x v="201"/>
    <x v="12"/>
    <x v="1"/>
    <x v="4"/>
    <x v="1"/>
    <x v="0"/>
    <x v="237"/>
    <x v="0"/>
    <x v="0"/>
  </r>
  <r>
    <x v="404"/>
    <x v="194"/>
    <x v="192"/>
    <x v="190"/>
    <x v="0"/>
    <x v="1"/>
    <x v="2"/>
    <x v="203"/>
    <x v="167"/>
    <x v="1"/>
    <x v="33"/>
    <x v="0"/>
    <x v="0"/>
    <x v="3"/>
    <x v="1"/>
    <x v="1"/>
    <x v="2"/>
    <x v="1"/>
    <x v="2"/>
    <x v="1"/>
    <x v="2"/>
    <x v="0"/>
    <x v="2"/>
    <x v="3"/>
    <x v="4"/>
    <x v="192"/>
    <x v="5"/>
    <x v="0"/>
    <x v="0"/>
    <x v="1"/>
    <x v="0"/>
    <x v="0"/>
    <x v="0"/>
    <x v="0"/>
  </r>
  <r>
    <x v="405"/>
    <x v="150"/>
    <x v="150"/>
    <x v="148"/>
    <x v="0"/>
    <x v="1"/>
    <x v="2"/>
    <x v="155"/>
    <x v="130"/>
    <x v="1"/>
    <x v="96"/>
    <x v="0"/>
    <x v="0"/>
    <x v="3"/>
    <x v="3"/>
    <x v="3"/>
    <x v="2"/>
    <x v="1"/>
    <x v="1"/>
    <x v="1"/>
    <x v="1"/>
    <x v="86"/>
    <x v="2"/>
    <x v="3"/>
    <x v="4"/>
    <x v="149"/>
    <x v="1"/>
    <x v="1"/>
    <x v="1"/>
    <x v="1"/>
    <x v="0"/>
    <x v="238"/>
    <x v="113"/>
    <x v="120"/>
  </r>
  <r>
    <x v="406"/>
    <x v="43"/>
    <x v="42"/>
    <x v="42"/>
    <x v="325"/>
    <x v="3"/>
    <x v="2"/>
    <x v="45"/>
    <x v="46"/>
    <x v="2"/>
    <x v="0"/>
    <x v="5"/>
    <x v="0"/>
    <x v="1"/>
    <x v="2"/>
    <x v="3"/>
    <x v="2"/>
    <x v="2"/>
    <x v="2"/>
    <x v="1"/>
    <x v="1"/>
    <x v="86"/>
    <x v="1"/>
    <x v="6"/>
    <x v="2"/>
    <x v="42"/>
    <x v="5"/>
    <x v="3"/>
    <x v="0"/>
    <x v="1"/>
    <x v="0"/>
    <x v="239"/>
    <x v="114"/>
    <x v="0"/>
  </r>
  <r>
    <x v="407"/>
    <x v="202"/>
    <x v="200"/>
    <x v="198"/>
    <x v="0"/>
    <x v="1"/>
    <x v="1"/>
    <x v="211"/>
    <x v="174"/>
    <x v="6"/>
    <x v="0"/>
    <x v="2"/>
    <x v="0"/>
    <x v="3"/>
    <x v="4"/>
    <x v="1"/>
    <x v="2"/>
    <x v="1"/>
    <x v="2"/>
    <x v="1"/>
    <x v="2"/>
    <x v="0"/>
    <x v="2"/>
    <x v="3"/>
    <x v="4"/>
    <x v="200"/>
    <x v="5"/>
    <x v="0"/>
    <x v="0"/>
    <x v="1"/>
    <x v="0"/>
    <x v="0"/>
    <x v="0"/>
    <x v="0"/>
  </r>
  <r>
    <x v="408"/>
    <x v="152"/>
    <x v="152"/>
    <x v="150"/>
    <x v="0"/>
    <x v="3"/>
    <x v="2"/>
    <x v="157"/>
    <x v="114"/>
    <x v="1"/>
    <x v="2"/>
    <x v="0"/>
    <x v="0"/>
    <x v="3"/>
    <x v="1"/>
    <x v="1"/>
    <x v="2"/>
    <x v="2"/>
    <x v="2"/>
    <x v="1"/>
    <x v="1"/>
    <x v="88"/>
    <x v="2"/>
    <x v="3"/>
    <x v="4"/>
    <x v="202"/>
    <x v="5"/>
    <x v="1"/>
    <x v="5"/>
    <x v="2"/>
    <x v="1"/>
    <x v="240"/>
    <x v="0"/>
    <x v="0"/>
  </r>
  <r>
    <x v="409"/>
    <x v="200"/>
    <x v="198"/>
    <x v="196"/>
    <x v="326"/>
    <x v="2"/>
    <x v="2"/>
    <x v="209"/>
    <x v="171"/>
    <x v="1"/>
    <x v="22"/>
    <x v="0"/>
    <x v="0"/>
    <x v="3"/>
    <x v="3"/>
    <x v="3"/>
    <x v="2"/>
    <x v="2"/>
    <x v="1"/>
    <x v="1"/>
    <x v="1"/>
    <x v="86"/>
    <x v="1"/>
    <x v="3"/>
    <x v="4"/>
    <x v="198"/>
    <x v="1"/>
    <x v="3"/>
    <x v="0"/>
    <x v="1"/>
    <x v="0"/>
    <x v="241"/>
    <x v="115"/>
    <x v="118"/>
  </r>
  <r>
    <x v="410"/>
    <x v="203"/>
    <x v="201"/>
    <x v="199"/>
    <x v="327"/>
    <x v="3"/>
    <x v="3"/>
    <x v="212"/>
    <x v="175"/>
    <x v="1"/>
    <x v="97"/>
    <x v="0"/>
    <x v="0"/>
    <x v="1"/>
    <x v="1"/>
    <x v="1"/>
    <x v="2"/>
    <x v="1"/>
    <x v="2"/>
    <x v="1"/>
    <x v="2"/>
    <x v="0"/>
    <x v="2"/>
    <x v="6"/>
    <x v="3"/>
    <x v="203"/>
    <x v="1"/>
    <x v="0"/>
    <x v="0"/>
    <x v="1"/>
    <x v="0"/>
    <x v="0"/>
    <x v="0"/>
    <x v="0"/>
  </r>
  <r>
    <x v="411"/>
    <x v="204"/>
    <x v="202"/>
    <x v="200"/>
    <x v="328"/>
    <x v="3"/>
    <x v="2"/>
    <x v="213"/>
    <x v="176"/>
    <x v="1"/>
    <x v="3"/>
    <x v="0"/>
    <x v="0"/>
    <x v="1"/>
    <x v="3"/>
    <x v="2"/>
    <x v="2"/>
    <x v="1"/>
    <x v="2"/>
    <x v="1"/>
    <x v="1"/>
    <x v="89"/>
    <x v="1"/>
    <x v="6"/>
    <x v="2"/>
    <x v="204"/>
    <x v="12"/>
    <x v="2"/>
    <x v="7"/>
    <x v="1"/>
    <x v="0"/>
    <x v="242"/>
    <x v="0"/>
    <x v="121"/>
  </r>
  <r>
    <x v="412"/>
    <x v="205"/>
    <x v="203"/>
    <x v="201"/>
    <x v="329"/>
    <x v="1"/>
    <x v="1"/>
    <x v="214"/>
    <x v="177"/>
    <x v="1"/>
    <x v="31"/>
    <x v="0"/>
    <x v="0"/>
    <x v="1"/>
    <x v="1"/>
    <x v="1"/>
    <x v="2"/>
    <x v="2"/>
    <x v="1"/>
    <x v="1"/>
    <x v="1"/>
    <x v="90"/>
    <x v="1"/>
    <x v="1"/>
    <x v="2"/>
    <x v="205"/>
    <x v="12"/>
    <x v="1"/>
    <x v="7"/>
    <x v="1"/>
    <x v="0"/>
    <x v="243"/>
    <x v="116"/>
    <x v="122"/>
  </r>
  <r>
    <x v="413"/>
    <x v="206"/>
    <x v="204"/>
    <x v="202"/>
    <x v="330"/>
    <x v="2"/>
    <x v="2"/>
    <x v="215"/>
    <x v="178"/>
    <x v="1"/>
    <x v="1"/>
    <x v="0"/>
    <x v="0"/>
    <x v="1"/>
    <x v="2"/>
    <x v="3"/>
    <x v="2"/>
    <x v="2"/>
    <x v="1"/>
    <x v="1"/>
    <x v="1"/>
    <x v="89"/>
    <x v="1"/>
    <x v="1"/>
    <x v="2"/>
    <x v="206"/>
    <x v="2"/>
    <x v="1"/>
    <x v="3"/>
    <x v="1"/>
    <x v="0"/>
    <x v="244"/>
    <x v="117"/>
    <x v="0"/>
  </r>
  <r>
    <x v="414"/>
    <x v="207"/>
    <x v="205"/>
    <x v="203"/>
    <x v="331"/>
    <x v="1"/>
    <x v="2"/>
    <x v="216"/>
    <x v="179"/>
    <x v="1"/>
    <x v="9"/>
    <x v="0"/>
    <x v="0"/>
    <x v="1"/>
    <x v="3"/>
    <x v="2"/>
    <x v="2"/>
    <x v="2"/>
    <x v="2"/>
    <x v="1"/>
    <x v="1"/>
    <x v="88"/>
    <x v="1"/>
    <x v="1"/>
    <x v="2"/>
    <x v="207"/>
    <x v="3"/>
    <x v="1"/>
    <x v="4"/>
    <x v="1"/>
    <x v="0"/>
    <x v="245"/>
    <x v="0"/>
    <x v="0"/>
  </r>
  <r>
    <x v="415"/>
    <x v="206"/>
    <x v="204"/>
    <x v="202"/>
    <x v="330"/>
    <x v="2"/>
    <x v="2"/>
    <x v="215"/>
    <x v="180"/>
    <x v="1"/>
    <x v="1"/>
    <x v="0"/>
    <x v="0"/>
    <x v="3"/>
    <x v="1"/>
    <x v="1"/>
    <x v="2"/>
    <x v="1"/>
    <x v="3"/>
    <x v="1"/>
    <x v="2"/>
    <x v="0"/>
    <x v="2"/>
    <x v="3"/>
    <x v="4"/>
    <x v="206"/>
    <x v="3"/>
    <x v="0"/>
    <x v="0"/>
    <x v="1"/>
    <x v="0"/>
    <x v="0"/>
    <x v="0"/>
    <x v="0"/>
  </r>
  <r>
    <x v="416"/>
    <x v="208"/>
    <x v="206"/>
    <x v="204"/>
    <x v="332"/>
    <x v="1"/>
    <x v="3"/>
    <x v="217"/>
    <x v="58"/>
    <x v="1"/>
    <x v="3"/>
    <x v="0"/>
    <x v="0"/>
    <x v="1"/>
    <x v="3"/>
    <x v="2"/>
    <x v="2"/>
    <x v="1"/>
    <x v="2"/>
    <x v="1"/>
    <x v="1"/>
    <x v="88"/>
    <x v="1"/>
    <x v="5"/>
    <x v="2"/>
    <x v="208"/>
    <x v="12"/>
    <x v="3"/>
    <x v="0"/>
    <x v="1"/>
    <x v="0"/>
    <x v="246"/>
    <x v="118"/>
    <x v="123"/>
  </r>
  <r>
    <x v="417"/>
    <x v="207"/>
    <x v="205"/>
    <x v="203"/>
    <x v="0"/>
    <x v="1"/>
    <x v="2"/>
    <x v="216"/>
    <x v="181"/>
    <x v="1"/>
    <x v="9"/>
    <x v="0"/>
    <x v="0"/>
    <x v="3"/>
    <x v="1"/>
    <x v="1"/>
    <x v="2"/>
    <x v="2"/>
    <x v="2"/>
    <x v="1"/>
    <x v="2"/>
    <x v="0"/>
    <x v="2"/>
    <x v="3"/>
    <x v="4"/>
    <x v="207"/>
    <x v="1"/>
    <x v="0"/>
    <x v="0"/>
    <x v="1"/>
    <x v="0"/>
    <x v="0"/>
    <x v="0"/>
    <x v="0"/>
  </r>
  <r>
    <x v="418"/>
    <x v="152"/>
    <x v="152"/>
    <x v="150"/>
    <x v="0"/>
    <x v="3"/>
    <x v="2"/>
    <x v="157"/>
    <x v="114"/>
    <x v="1"/>
    <x v="2"/>
    <x v="0"/>
    <x v="0"/>
    <x v="3"/>
    <x v="2"/>
    <x v="3"/>
    <x v="2"/>
    <x v="1"/>
    <x v="3"/>
    <x v="1"/>
    <x v="1"/>
    <x v="91"/>
    <x v="2"/>
    <x v="3"/>
    <x v="4"/>
    <x v="202"/>
    <x v="2"/>
    <x v="1"/>
    <x v="1"/>
    <x v="1"/>
    <x v="0"/>
    <x v="247"/>
    <x v="119"/>
    <x v="0"/>
  </r>
  <r>
    <x v="419"/>
    <x v="209"/>
    <x v="207"/>
    <x v="205"/>
    <x v="333"/>
    <x v="1"/>
    <x v="2"/>
    <x v="218"/>
    <x v="103"/>
    <x v="1"/>
    <x v="15"/>
    <x v="0"/>
    <x v="0"/>
    <x v="1"/>
    <x v="1"/>
    <x v="1"/>
    <x v="2"/>
    <x v="1"/>
    <x v="3"/>
    <x v="1"/>
    <x v="2"/>
    <x v="0"/>
    <x v="2"/>
    <x v="1"/>
    <x v="2"/>
    <x v="209"/>
    <x v="4"/>
    <x v="0"/>
    <x v="0"/>
    <x v="1"/>
    <x v="0"/>
    <x v="0"/>
    <x v="0"/>
    <x v="0"/>
  </r>
  <r>
    <x v="420"/>
    <x v="210"/>
    <x v="208"/>
    <x v="206"/>
    <x v="334"/>
    <x v="3"/>
    <x v="2"/>
    <x v="219"/>
    <x v="57"/>
    <x v="1"/>
    <x v="9"/>
    <x v="0"/>
    <x v="0"/>
    <x v="1"/>
    <x v="1"/>
    <x v="1"/>
    <x v="2"/>
    <x v="1"/>
    <x v="2"/>
    <x v="1"/>
    <x v="1"/>
    <x v="92"/>
    <x v="1"/>
    <x v="5"/>
    <x v="2"/>
    <x v="210"/>
    <x v="5"/>
    <x v="1"/>
    <x v="5"/>
    <x v="2"/>
    <x v="1"/>
    <x v="248"/>
    <x v="0"/>
    <x v="0"/>
  </r>
  <r>
    <x v="421"/>
    <x v="150"/>
    <x v="150"/>
    <x v="148"/>
    <x v="0"/>
    <x v="1"/>
    <x v="2"/>
    <x v="155"/>
    <x v="130"/>
    <x v="1"/>
    <x v="96"/>
    <x v="0"/>
    <x v="0"/>
    <x v="3"/>
    <x v="1"/>
    <x v="1"/>
    <x v="2"/>
    <x v="1"/>
    <x v="2"/>
    <x v="1"/>
    <x v="2"/>
    <x v="0"/>
    <x v="2"/>
    <x v="3"/>
    <x v="4"/>
    <x v="149"/>
    <x v="5"/>
    <x v="0"/>
    <x v="0"/>
    <x v="1"/>
    <x v="0"/>
    <x v="0"/>
    <x v="0"/>
    <x v="0"/>
  </r>
  <r>
    <x v="422"/>
    <x v="211"/>
    <x v="209"/>
    <x v="207"/>
    <x v="335"/>
    <x v="3"/>
    <x v="1"/>
    <x v="220"/>
    <x v="10"/>
    <x v="6"/>
    <x v="0"/>
    <x v="0"/>
    <x v="8"/>
    <x v="1"/>
    <x v="3"/>
    <x v="2"/>
    <x v="2"/>
    <x v="1"/>
    <x v="3"/>
    <x v="1"/>
    <x v="2"/>
    <x v="0"/>
    <x v="1"/>
    <x v="1"/>
    <x v="2"/>
    <x v="211"/>
    <x v="5"/>
    <x v="0"/>
    <x v="0"/>
    <x v="1"/>
    <x v="0"/>
    <x v="0"/>
    <x v="0"/>
    <x v="124"/>
  </r>
  <r>
    <x v="423"/>
    <x v="152"/>
    <x v="152"/>
    <x v="150"/>
    <x v="0"/>
    <x v="3"/>
    <x v="2"/>
    <x v="157"/>
    <x v="114"/>
    <x v="1"/>
    <x v="2"/>
    <x v="0"/>
    <x v="0"/>
    <x v="3"/>
    <x v="1"/>
    <x v="1"/>
    <x v="2"/>
    <x v="1"/>
    <x v="2"/>
    <x v="1"/>
    <x v="2"/>
    <x v="0"/>
    <x v="2"/>
    <x v="3"/>
    <x v="4"/>
    <x v="202"/>
    <x v="5"/>
    <x v="0"/>
    <x v="0"/>
    <x v="1"/>
    <x v="0"/>
    <x v="0"/>
    <x v="0"/>
    <x v="0"/>
  </r>
  <r>
    <x v="424"/>
    <x v="185"/>
    <x v="183"/>
    <x v="181"/>
    <x v="336"/>
    <x v="1"/>
    <x v="2"/>
    <x v="221"/>
    <x v="10"/>
    <x v="1"/>
    <x v="4"/>
    <x v="0"/>
    <x v="0"/>
    <x v="1"/>
    <x v="1"/>
    <x v="1"/>
    <x v="2"/>
    <x v="1"/>
    <x v="3"/>
    <x v="1"/>
    <x v="1"/>
    <x v="0"/>
    <x v="1"/>
    <x v="2"/>
    <x v="3"/>
    <x v="182"/>
    <x v="1"/>
    <x v="0"/>
    <x v="0"/>
    <x v="1"/>
    <x v="0"/>
    <x v="249"/>
    <x v="0"/>
    <x v="0"/>
  </r>
  <r>
    <x v="425"/>
    <x v="185"/>
    <x v="183"/>
    <x v="181"/>
    <x v="337"/>
    <x v="1"/>
    <x v="2"/>
    <x v="193"/>
    <x v="10"/>
    <x v="1"/>
    <x v="15"/>
    <x v="0"/>
    <x v="0"/>
    <x v="1"/>
    <x v="3"/>
    <x v="3"/>
    <x v="2"/>
    <x v="1"/>
    <x v="3"/>
    <x v="1"/>
    <x v="1"/>
    <x v="92"/>
    <x v="1"/>
    <x v="1"/>
    <x v="2"/>
    <x v="182"/>
    <x v="1"/>
    <x v="3"/>
    <x v="0"/>
    <x v="1"/>
    <x v="0"/>
    <x v="250"/>
    <x v="0"/>
    <x v="0"/>
  </r>
  <r>
    <x v="426"/>
    <x v="212"/>
    <x v="210"/>
    <x v="208"/>
    <x v="338"/>
    <x v="1"/>
    <x v="2"/>
    <x v="222"/>
    <x v="10"/>
    <x v="1"/>
    <x v="98"/>
    <x v="0"/>
    <x v="0"/>
    <x v="1"/>
    <x v="2"/>
    <x v="3"/>
    <x v="2"/>
    <x v="1"/>
    <x v="2"/>
    <x v="1"/>
    <x v="1"/>
    <x v="92"/>
    <x v="1"/>
    <x v="1"/>
    <x v="2"/>
    <x v="212"/>
    <x v="4"/>
    <x v="3"/>
    <x v="0"/>
    <x v="1"/>
    <x v="0"/>
    <x v="251"/>
    <x v="120"/>
    <x v="0"/>
  </r>
  <r>
    <x v="427"/>
    <x v="213"/>
    <x v="211"/>
    <x v="209"/>
    <x v="339"/>
    <x v="1"/>
    <x v="2"/>
    <x v="223"/>
    <x v="182"/>
    <x v="1"/>
    <x v="3"/>
    <x v="0"/>
    <x v="0"/>
    <x v="1"/>
    <x v="1"/>
    <x v="1"/>
    <x v="2"/>
    <x v="1"/>
    <x v="3"/>
    <x v="1"/>
    <x v="1"/>
    <x v="93"/>
    <x v="1"/>
    <x v="1"/>
    <x v="2"/>
    <x v="213"/>
    <x v="1"/>
    <x v="1"/>
    <x v="8"/>
    <x v="1"/>
    <x v="0"/>
    <x v="252"/>
    <x v="121"/>
    <x v="0"/>
  </r>
  <r>
    <x v="428"/>
    <x v="214"/>
    <x v="212"/>
    <x v="210"/>
    <x v="340"/>
    <x v="1"/>
    <x v="2"/>
    <x v="224"/>
    <x v="183"/>
    <x v="1"/>
    <x v="99"/>
    <x v="0"/>
    <x v="0"/>
    <x v="1"/>
    <x v="1"/>
    <x v="1"/>
    <x v="2"/>
    <x v="1"/>
    <x v="3"/>
    <x v="1"/>
    <x v="2"/>
    <x v="0"/>
    <x v="1"/>
    <x v="1"/>
    <x v="2"/>
    <x v="214"/>
    <x v="12"/>
    <x v="0"/>
    <x v="0"/>
    <x v="1"/>
    <x v="0"/>
    <x v="0"/>
    <x v="0"/>
    <x v="0"/>
  </r>
  <r>
    <x v="429"/>
    <x v="215"/>
    <x v="213"/>
    <x v="211"/>
    <x v="341"/>
    <x v="1"/>
    <x v="2"/>
    <x v="225"/>
    <x v="184"/>
    <x v="1"/>
    <x v="36"/>
    <x v="0"/>
    <x v="0"/>
    <x v="1"/>
    <x v="5"/>
    <x v="1"/>
    <x v="1"/>
    <x v="1"/>
    <x v="2"/>
    <x v="1"/>
    <x v="2"/>
    <x v="0"/>
    <x v="1"/>
    <x v="1"/>
    <x v="13"/>
    <x v="215"/>
    <x v="12"/>
    <x v="0"/>
    <x v="0"/>
    <x v="1"/>
    <x v="0"/>
    <x v="0"/>
    <x v="0"/>
    <x v="125"/>
  </r>
  <r>
    <x v="430"/>
    <x v="216"/>
    <x v="214"/>
    <x v="212"/>
    <x v="342"/>
    <x v="1"/>
    <x v="3"/>
    <x v="226"/>
    <x v="185"/>
    <x v="1"/>
    <x v="100"/>
    <x v="0"/>
    <x v="0"/>
    <x v="1"/>
    <x v="1"/>
    <x v="1"/>
    <x v="2"/>
    <x v="1"/>
    <x v="1"/>
    <x v="1"/>
    <x v="2"/>
    <x v="0"/>
    <x v="1"/>
    <x v="5"/>
    <x v="2"/>
    <x v="216"/>
    <x v="12"/>
    <x v="0"/>
    <x v="0"/>
    <x v="1"/>
    <x v="0"/>
    <x v="0"/>
    <x v="0"/>
    <x v="0"/>
  </r>
  <r>
    <x v="431"/>
    <x v="210"/>
    <x v="208"/>
    <x v="206"/>
    <x v="343"/>
    <x v="3"/>
    <x v="2"/>
    <x v="219"/>
    <x v="186"/>
    <x v="1"/>
    <x v="9"/>
    <x v="0"/>
    <x v="0"/>
    <x v="3"/>
    <x v="1"/>
    <x v="1"/>
    <x v="2"/>
    <x v="1"/>
    <x v="1"/>
    <x v="1"/>
    <x v="2"/>
    <x v="0"/>
    <x v="1"/>
    <x v="3"/>
    <x v="4"/>
    <x v="210"/>
    <x v="2"/>
    <x v="0"/>
    <x v="0"/>
    <x v="1"/>
    <x v="0"/>
    <x v="0"/>
    <x v="0"/>
    <x v="0"/>
  </r>
  <r>
    <x v="432"/>
    <x v="95"/>
    <x v="215"/>
    <x v="93"/>
    <x v="344"/>
    <x v="1"/>
    <x v="2"/>
    <x v="100"/>
    <x v="92"/>
    <x v="1"/>
    <x v="3"/>
    <x v="0"/>
    <x v="0"/>
    <x v="1"/>
    <x v="1"/>
    <x v="1"/>
    <x v="2"/>
    <x v="1"/>
    <x v="1"/>
    <x v="1"/>
    <x v="2"/>
    <x v="0"/>
    <x v="1"/>
    <x v="2"/>
    <x v="2"/>
    <x v="94"/>
    <x v="12"/>
    <x v="0"/>
    <x v="0"/>
    <x v="1"/>
    <x v="0"/>
    <x v="0"/>
    <x v="0"/>
    <x v="0"/>
  </r>
  <r>
    <x v="433"/>
    <x v="217"/>
    <x v="216"/>
    <x v="213"/>
    <x v="345"/>
    <x v="1"/>
    <x v="2"/>
    <x v="227"/>
    <x v="187"/>
    <x v="1"/>
    <x v="3"/>
    <x v="0"/>
    <x v="0"/>
    <x v="1"/>
    <x v="1"/>
    <x v="1"/>
    <x v="2"/>
    <x v="1"/>
    <x v="2"/>
    <x v="1"/>
    <x v="2"/>
    <x v="0"/>
    <x v="1"/>
    <x v="1"/>
    <x v="2"/>
    <x v="217"/>
    <x v="12"/>
    <x v="0"/>
    <x v="0"/>
    <x v="1"/>
    <x v="0"/>
    <x v="0"/>
    <x v="0"/>
    <x v="126"/>
  </r>
  <r>
    <x v="434"/>
    <x v="218"/>
    <x v="217"/>
    <x v="214"/>
    <x v="346"/>
    <x v="1"/>
    <x v="2"/>
    <x v="228"/>
    <x v="188"/>
    <x v="1"/>
    <x v="33"/>
    <x v="0"/>
    <x v="0"/>
    <x v="1"/>
    <x v="3"/>
    <x v="3"/>
    <x v="2"/>
    <x v="2"/>
    <x v="1"/>
    <x v="1"/>
    <x v="1"/>
    <x v="94"/>
    <x v="1"/>
    <x v="5"/>
    <x v="2"/>
    <x v="218"/>
    <x v="12"/>
    <x v="3"/>
    <x v="0"/>
    <x v="1"/>
    <x v="0"/>
    <x v="253"/>
    <x v="122"/>
    <x v="127"/>
  </r>
  <r>
    <x v="435"/>
    <x v="219"/>
    <x v="218"/>
    <x v="215"/>
    <x v="347"/>
    <x v="3"/>
    <x v="2"/>
    <x v="229"/>
    <x v="10"/>
    <x v="1"/>
    <x v="15"/>
    <x v="0"/>
    <x v="0"/>
    <x v="1"/>
    <x v="1"/>
    <x v="1"/>
    <x v="2"/>
    <x v="1"/>
    <x v="2"/>
    <x v="1"/>
    <x v="1"/>
    <x v="95"/>
    <x v="1"/>
    <x v="6"/>
    <x v="2"/>
    <x v="219"/>
    <x v="5"/>
    <x v="3"/>
    <x v="0"/>
    <x v="1"/>
    <x v="0"/>
    <x v="254"/>
    <x v="123"/>
    <x v="128"/>
  </r>
  <r>
    <x v="436"/>
    <x v="213"/>
    <x v="211"/>
    <x v="209"/>
    <x v="0"/>
    <x v="1"/>
    <x v="2"/>
    <x v="223"/>
    <x v="189"/>
    <x v="1"/>
    <x v="3"/>
    <x v="0"/>
    <x v="0"/>
    <x v="3"/>
    <x v="1"/>
    <x v="1"/>
    <x v="2"/>
    <x v="1"/>
    <x v="2"/>
    <x v="1"/>
    <x v="2"/>
    <x v="0"/>
    <x v="2"/>
    <x v="6"/>
    <x v="2"/>
    <x v="213"/>
    <x v="8"/>
    <x v="0"/>
    <x v="0"/>
    <x v="1"/>
    <x v="0"/>
    <x v="0"/>
    <x v="0"/>
    <x v="0"/>
  </r>
  <r>
    <x v="437"/>
    <x v="220"/>
    <x v="219"/>
    <x v="216"/>
    <x v="348"/>
    <x v="1"/>
    <x v="3"/>
    <x v="230"/>
    <x v="190"/>
    <x v="2"/>
    <x v="0"/>
    <x v="5"/>
    <x v="0"/>
    <x v="1"/>
    <x v="2"/>
    <x v="3"/>
    <x v="2"/>
    <x v="1"/>
    <x v="2"/>
    <x v="1"/>
    <x v="1"/>
    <x v="94"/>
    <x v="1"/>
    <x v="6"/>
    <x v="2"/>
    <x v="220"/>
    <x v="5"/>
    <x v="3"/>
    <x v="0"/>
    <x v="1"/>
    <x v="0"/>
    <x v="255"/>
    <x v="124"/>
    <x v="0"/>
  </r>
  <r>
    <x v="438"/>
    <x v="169"/>
    <x v="169"/>
    <x v="167"/>
    <x v="349"/>
    <x v="1"/>
    <x v="2"/>
    <x v="177"/>
    <x v="147"/>
    <x v="1"/>
    <x v="15"/>
    <x v="0"/>
    <x v="0"/>
    <x v="1"/>
    <x v="1"/>
    <x v="1"/>
    <x v="2"/>
    <x v="1"/>
    <x v="2"/>
    <x v="1"/>
    <x v="1"/>
    <x v="95"/>
    <x v="1"/>
    <x v="1"/>
    <x v="2"/>
    <x v="168"/>
    <x v="12"/>
    <x v="1"/>
    <x v="7"/>
    <x v="1"/>
    <x v="0"/>
    <x v="256"/>
    <x v="0"/>
    <x v="129"/>
  </r>
  <r>
    <x v="439"/>
    <x v="169"/>
    <x v="169"/>
    <x v="167"/>
    <x v="349"/>
    <x v="1"/>
    <x v="2"/>
    <x v="177"/>
    <x v="147"/>
    <x v="1"/>
    <x v="15"/>
    <x v="0"/>
    <x v="0"/>
    <x v="3"/>
    <x v="1"/>
    <x v="1"/>
    <x v="2"/>
    <x v="1"/>
    <x v="2"/>
    <x v="1"/>
    <x v="1"/>
    <x v="95"/>
    <x v="2"/>
    <x v="3"/>
    <x v="4"/>
    <x v="168"/>
    <x v="12"/>
    <x v="1"/>
    <x v="7"/>
    <x v="2"/>
    <x v="1"/>
    <x v="257"/>
    <x v="0"/>
    <x v="0"/>
  </r>
  <r>
    <x v="440"/>
    <x v="169"/>
    <x v="169"/>
    <x v="167"/>
    <x v="350"/>
    <x v="1"/>
    <x v="2"/>
    <x v="177"/>
    <x v="147"/>
    <x v="1"/>
    <x v="15"/>
    <x v="0"/>
    <x v="0"/>
    <x v="3"/>
    <x v="3"/>
    <x v="3"/>
    <x v="2"/>
    <x v="1"/>
    <x v="2"/>
    <x v="1"/>
    <x v="1"/>
    <x v="96"/>
    <x v="1"/>
    <x v="3"/>
    <x v="4"/>
    <x v="168"/>
    <x v="12"/>
    <x v="1"/>
    <x v="4"/>
    <x v="1"/>
    <x v="0"/>
    <x v="258"/>
    <x v="125"/>
    <x v="130"/>
  </r>
  <r>
    <x v="441"/>
    <x v="221"/>
    <x v="220"/>
    <x v="217"/>
    <x v="351"/>
    <x v="1"/>
    <x v="3"/>
    <x v="231"/>
    <x v="10"/>
    <x v="1"/>
    <x v="24"/>
    <x v="0"/>
    <x v="0"/>
    <x v="1"/>
    <x v="3"/>
    <x v="3"/>
    <x v="1"/>
    <x v="2"/>
    <x v="1"/>
    <x v="1"/>
    <x v="1"/>
    <x v="96"/>
    <x v="1"/>
    <x v="4"/>
    <x v="3"/>
    <x v="221"/>
    <x v="2"/>
    <x v="3"/>
    <x v="0"/>
    <x v="1"/>
    <x v="0"/>
    <x v="259"/>
    <x v="0"/>
    <x v="131"/>
  </r>
  <r>
    <x v="442"/>
    <x v="169"/>
    <x v="169"/>
    <x v="167"/>
    <x v="0"/>
    <x v="1"/>
    <x v="2"/>
    <x v="177"/>
    <x v="147"/>
    <x v="2"/>
    <x v="0"/>
    <x v="2"/>
    <x v="0"/>
    <x v="3"/>
    <x v="4"/>
    <x v="1"/>
    <x v="2"/>
    <x v="1"/>
    <x v="2"/>
    <x v="1"/>
    <x v="2"/>
    <x v="0"/>
    <x v="2"/>
    <x v="3"/>
    <x v="4"/>
    <x v="168"/>
    <x v="1"/>
    <x v="0"/>
    <x v="0"/>
    <x v="1"/>
    <x v="0"/>
    <x v="0"/>
    <x v="0"/>
    <x v="0"/>
  </r>
  <r>
    <x v="443"/>
    <x v="222"/>
    <x v="221"/>
    <x v="218"/>
    <x v="352"/>
    <x v="3"/>
    <x v="4"/>
    <x v="232"/>
    <x v="163"/>
    <x v="1"/>
    <x v="15"/>
    <x v="0"/>
    <x v="0"/>
    <x v="1"/>
    <x v="1"/>
    <x v="1"/>
    <x v="2"/>
    <x v="1"/>
    <x v="1"/>
    <x v="1"/>
    <x v="1"/>
    <x v="90"/>
    <x v="1"/>
    <x v="5"/>
    <x v="3"/>
    <x v="222"/>
    <x v="1"/>
    <x v="3"/>
    <x v="5"/>
    <x v="1"/>
    <x v="0"/>
    <x v="260"/>
    <x v="126"/>
    <x v="132"/>
  </r>
  <r>
    <x v="444"/>
    <x v="223"/>
    <x v="222"/>
    <x v="219"/>
    <x v="353"/>
    <x v="1"/>
    <x v="2"/>
    <x v="233"/>
    <x v="191"/>
    <x v="1"/>
    <x v="70"/>
    <x v="0"/>
    <x v="0"/>
    <x v="1"/>
    <x v="1"/>
    <x v="1"/>
    <x v="2"/>
    <x v="1"/>
    <x v="1"/>
    <x v="1"/>
    <x v="2"/>
    <x v="0"/>
    <x v="1"/>
    <x v="1"/>
    <x v="2"/>
    <x v="223"/>
    <x v="12"/>
    <x v="0"/>
    <x v="0"/>
    <x v="1"/>
    <x v="0"/>
    <x v="0"/>
    <x v="0"/>
    <x v="0"/>
  </r>
  <r>
    <x v="445"/>
    <x v="224"/>
    <x v="223"/>
    <x v="220"/>
    <x v="354"/>
    <x v="1"/>
    <x v="2"/>
    <x v="234"/>
    <x v="30"/>
    <x v="1"/>
    <x v="33"/>
    <x v="0"/>
    <x v="0"/>
    <x v="1"/>
    <x v="3"/>
    <x v="2"/>
    <x v="2"/>
    <x v="1"/>
    <x v="3"/>
    <x v="1"/>
    <x v="1"/>
    <x v="90"/>
    <x v="1"/>
    <x v="1"/>
    <x v="2"/>
    <x v="224"/>
    <x v="2"/>
    <x v="1"/>
    <x v="4"/>
    <x v="1"/>
    <x v="0"/>
    <x v="261"/>
    <x v="127"/>
    <x v="0"/>
  </r>
  <r>
    <x v="446"/>
    <x v="225"/>
    <x v="224"/>
    <x v="221"/>
    <x v="355"/>
    <x v="1"/>
    <x v="2"/>
    <x v="235"/>
    <x v="192"/>
    <x v="1"/>
    <x v="36"/>
    <x v="0"/>
    <x v="0"/>
    <x v="1"/>
    <x v="1"/>
    <x v="1"/>
    <x v="2"/>
    <x v="1"/>
    <x v="2"/>
    <x v="1"/>
    <x v="1"/>
    <x v="90"/>
    <x v="1"/>
    <x v="1"/>
    <x v="2"/>
    <x v="225"/>
    <x v="12"/>
    <x v="1"/>
    <x v="7"/>
    <x v="2"/>
    <x v="1"/>
    <x v="262"/>
    <x v="128"/>
    <x v="133"/>
  </r>
  <r>
    <x v="447"/>
    <x v="226"/>
    <x v="225"/>
    <x v="222"/>
    <x v="356"/>
    <x v="1"/>
    <x v="2"/>
    <x v="236"/>
    <x v="193"/>
    <x v="1"/>
    <x v="3"/>
    <x v="0"/>
    <x v="0"/>
    <x v="1"/>
    <x v="3"/>
    <x v="2"/>
    <x v="2"/>
    <x v="1"/>
    <x v="3"/>
    <x v="1"/>
    <x v="1"/>
    <x v="97"/>
    <x v="1"/>
    <x v="1"/>
    <x v="2"/>
    <x v="226"/>
    <x v="1"/>
    <x v="3"/>
    <x v="0"/>
    <x v="1"/>
    <x v="0"/>
    <x v="263"/>
    <x v="129"/>
    <x v="0"/>
  </r>
  <r>
    <x v="448"/>
    <x v="205"/>
    <x v="203"/>
    <x v="201"/>
    <x v="0"/>
    <x v="1"/>
    <x v="1"/>
    <x v="214"/>
    <x v="177"/>
    <x v="1"/>
    <x v="31"/>
    <x v="0"/>
    <x v="0"/>
    <x v="3"/>
    <x v="1"/>
    <x v="1"/>
    <x v="2"/>
    <x v="1"/>
    <x v="1"/>
    <x v="1"/>
    <x v="2"/>
    <x v="0"/>
    <x v="2"/>
    <x v="3"/>
    <x v="4"/>
    <x v="205"/>
    <x v="12"/>
    <x v="0"/>
    <x v="0"/>
    <x v="1"/>
    <x v="0"/>
    <x v="0"/>
    <x v="0"/>
    <x v="0"/>
  </r>
  <r>
    <x v="449"/>
    <x v="227"/>
    <x v="226"/>
    <x v="223"/>
    <x v="357"/>
    <x v="1"/>
    <x v="3"/>
    <x v="237"/>
    <x v="40"/>
    <x v="2"/>
    <x v="0"/>
    <x v="2"/>
    <x v="0"/>
    <x v="1"/>
    <x v="1"/>
    <x v="1"/>
    <x v="2"/>
    <x v="1"/>
    <x v="2"/>
    <x v="1"/>
    <x v="1"/>
    <x v="90"/>
    <x v="1"/>
    <x v="1"/>
    <x v="2"/>
    <x v="227"/>
    <x v="12"/>
    <x v="1"/>
    <x v="7"/>
    <x v="2"/>
    <x v="1"/>
    <x v="264"/>
    <x v="0"/>
    <x v="134"/>
  </r>
  <r>
    <x v="450"/>
    <x v="118"/>
    <x v="117"/>
    <x v="116"/>
    <x v="358"/>
    <x v="1"/>
    <x v="2"/>
    <x v="123"/>
    <x v="163"/>
    <x v="1"/>
    <x v="1"/>
    <x v="0"/>
    <x v="0"/>
    <x v="1"/>
    <x v="1"/>
    <x v="1"/>
    <x v="2"/>
    <x v="1"/>
    <x v="2"/>
    <x v="1"/>
    <x v="2"/>
    <x v="0"/>
    <x v="1"/>
    <x v="1"/>
    <x v="2"/>
    <x v="117"/>
    <x v="12"/>
    <x v="0"/>
    <x v="0"/>
    <x v="1"/>
    <x v="0"/>
    <x v="0"/>
    <x v="0"/>
    <x v="0"/>
  </r>
  <r>
    <x v="451"/>
    <x v="228"/>
    <x v="227"/>
    <x v="224"/>
    <x v="359"/>
    <x v="3"/>
    <x v="2"/>
    <x v="238"/>
    <x v="194"/>
    <x v="1"/>
    <x v="101"/>
    <x v="0"/>
    <x v="0"/>
    <x v="1"/>
    <x v="3"/>
    <x v="2"/>
    <x v="2"/>
    <x v="1"/>
    <x v="3"/>
    <x v="1"/>
    <x v="1"/>
    <x v="97"/>
    <x v="1"/>
    <x v="1"/>
    <x v="2"/>
    <x v="228"/>
    <x v="1"/>
    <x v="3"/>
    <x v="0"/>
    <x v="1"/>
    <x v="0"/>
    <x v="265"/>
    <x v="130"/>
    <x v="0"/>
  </r>
  <r>
    <x v="452"/>
    <x v="229"/>
    <x v="228"/>
    <x v="225"/>
    <x v="360"/>
    <x v="1"/>
    <x v="1"/>
    <x v="239"/>
    <x v="164"/>
    <x v="1"/>
    <x v="102"/>
    <x v="0"/>
    <x v="0"/>
    <x v="1"/>
    <x v="1"/>
    <x v="1"/>
    <x v="2"/>
    <x v="1"/>
    <x v="1"/>
    <x v="1"/>
    <x v="2"/>
    <x v="0"/>
    <x v="1"/>
    <x v="1"/>
    <x v="2"/>
    <x v="229"/>
    <x v="12"/>
    <x v="0"/>
    <x v="0"/>
    <x v="1"/>
    <x v="0"/>
    <x v="0"/>
    <x v="0"/>
    <x v="0"/>
  </r>
  <r>
    <x v="453"/>
    <x v="224"/>
    <x v="223"/>
    <x v="220"/>
    <x v="0"/>
    <x v="1"/>
    <x v="2"/>
    <x v="234"/>
    <x v="30"/>
    <x v="1"/>
    <x v="33"/>
    <x v="0"/>
    <x v="0"/>
    <x v="3"/>
    <x v="1"/>
    <x v="1"/>
    <x v="2"/>
    <x v="1"/>
    <x v="3"/>
    <x v="1"/>
    <x v="1"/>
    <x v="97"/>
    <x v="2"/>
    <x v="3"/>
    <x v="4"/>
    <x v="224"/>
    <x v="1"/>
    <x v="1"/>
    <x v="12"/>
    <x v="1"/>
    <x v="0"/>
    <x v="266"/>
    <x v="0"/>
    <x v="135"/>
  </r>
  <r>
    <x v="454"/>
    <x v="227"/>
    <x v="226"/>
    <x v="223"/>
    <x v="0"/>
    <x v="1"/>
    <x v="3"/>
    <x v="237"/>
    <x v="40"/>
    <x v="2"/>
    <x v="0"/>
    <x v="2"/>
    <x v="0"/>
    <x v="3"/>
    <x v="3"/>
    <x v="3"/>
    <x v="2"/>
    <x v="1"/>
    <x v="2"/>
    <x v="1"/>
    <x v="1"/>
    <x v="97"/>
    <x v="2"/>
    <x v="3"/>
    <x v="4"/>
    <x v="227"/>
    <x v="12"/>
    <x v="1"/>
    <x v="4"/>
    <x v="1"/>
    <x v="0"/>
    <x v="267"/>
    <x v="0"/>
    <x v="136"/>
  </r>
  <r>
    <x v="455"/>
    <x v="230"/>
    <x v="229"/>
    <x v="226"/>
    <x v="361"/>
    <x v="3"/>
    <x v="2"/>
    <x v="240"/>
    <x v="195"/>
    <x v="1"/>
    <x v="4"/>
    <x v="0"/>
    <x v="0"/>
    <x v="1"/>
    <x v="1"/>
    <x v="1"/>
    <x v="1"/>
    <x v="2"/>
    <x v="1"/>
    <x v="1"/>
    <x v="1"/>
    <x v="97"/>
    <x v="2"/>
    <x v="5"/>
    <x v="2"/>
    <x v="230"/>
    <x v="12"/>
    <x v="1"/>
    <x v="7"/>
    <x v="1"/>
    <x v="0"/>
    <x v="268"/>
    <x v="131"/>
    <x v="137"/>
  </r>
  <r>
    <x v="456"/>
    <x v="227"/>
    <x v="226"/>
    <x v="223"/>
    <x v="0"/>
    <x v="1"/>
    <x v="2"/>
    <x v="237"/>
    <x v="40"/>
    <x v="2"/>
    <x v="0"/>
    <x v="5"/>
    <x v="0"/>
    <x v="3"/>
    <x v="4"/>
    <x v="1"/>
    <x v="2"/>
    <x v="1"/>
    <x v="2"/>
    <x v="1"/>
    <x v="2"/>
    <x v="0"/>
    <x v="2"/>
    <x v="3"/>
    <x v="4"/>
    <x v="227"/>
    <x v="1"/>
    <x v="0"/>
    <x v="0"/>
    <x v="1"/>
    <x v="0"/>
    <x v="0"/>
    <x v="0"/>
    <x v="0"/>
  </r>
  <r>
    <x v="457"/>
    <x v="231"/>
    <x v="230"/>
    <x v="227"/>
    <x v="362"/>
    <x v="1"/>
    <x v="2"/>
    <x v="241"/>
    <x v="196"/>
    <x v="6"/>
    <x v="0"/>
    <x v="0"/>
    <x v="9"/>
    <x v="1"/>
    <x v="3"/>
    <x v="2"/>
    <x v="1"/>
    <x v="1"/>
    <x v="2"/>
    <x v="1"/>
    <x v="1"/>
    <x v="98"/>
    <x v="1"/>
    <x v="1"/>
    <x v="2"/>
    <x v="231"/>
    <x v="12"/>
    <x v="1"/>
    <x v="10"/>
    <x v="2"/>
    <x v="1"/>
    <x v="269"/>
    <x v="0"/>
    <x v="138"/>
  </r>
  <r>
    <x v="458"/>
    <x v="225"/>
    <x v="224"/>
    <x v="221"/>
    <x v="363"/>
    <x v="1"/>
    <x v="2"/>
    <x v="235"/>
    <x v="197"/>
    <x v="1"/>
    <x v="103"/>
    <x v="0"/>
    <x v="0"/>
    <x v="3"/>
    <x v="1"/>
    <x v="1"/>
    <x v="1"/>
    <x v="1"/>
    <x v="2"/>
    <x v="1"/>
    <x v="2"/>
    <x v="0"/>
    <x v="1"/>
    <x v="3"/>
    <x v="4"/>
    <x v="225"/>
    <x v="12"/>
    <x v="0"/>
    <x v="0"/>
    <x v="1"/>
    <x v="0"/>
    <x v="0"/>
    <x v="0"/>
    <x v="139"/>
  </r>
  <r>
    <x v="459"/>
    <x v="230"/>
    <x v="229"/>
    <x v="226"/>
    <x v="0"/>
    <x v="3"/>
    <x v="2"/>
    <x v="240"/>
    <x v="195"/>
    <x v="1"/>
    <x v="4"/>
    <x v="0"/>
    <x v="0"/>
    <x v="3"/>
    <x v="1"/>
    <x v="1"/>
    <x v="1"/>
    <x v="2"/>
    <x v="1"/>
    <x v="1"/>
    <x v="1"/>
    <x v="99"/>
    <x v="2"/>
    <x v="3"/>
    <x v="4"/>
    <x v="230"/>
    <x v="12"/>
    <x v="3"/>
    <x v="0"/>
    <x v="1"/>
    <x v="0"/>
    <x v="270"/>
    <x v="132"/>
    <x v="0"/>
  </r>
  <r>
    <x v="460"/>
    <x v="232"/>
    <x v="231"/>
    <x v="228"/>
    <x v="364"/>
    <x v="3"/>
    <x v="3"/>
    <x v="242"/>
    <x v="198"/>
    <x v="1"/>
    <x v="24"/>
    <x v="0"/>
    <x v="0"/>
    <x v="1"/>
    <x v="1"/>
    <x v="1"/>
    <x v="1"/>
    <x v="1"/>
    <x v="1"/>
    <x v="1"/>
    <x v="2"/>
    <x v="0"/>
    <x v="1"/>
    <x v="1"/>
    <x v="2"/>
    <x v="232"/>
    <x v="12"/>
    <x v="0"/>
    <x v="0"/>
    <x v="1"/>
    <x v="0"/>
    <x v="0"/>
    <x v="0"/>
    <x v="0"/>
  </r>
  <r>
    <x v="461"/>
    <x v="224"/>
    <x v="223"/>
    <x v="220"/>
    <x v="0"/>
    <x v="1"/>
    <x v="2"/>
    <x v="234"/>
    <x v="30"/>
    <x v="1"/>
    <x v="33"/>
    <x v="0"/>
    <x v="0"/>
    <x v="3"/>
    <x v="1"/>
    <x v="1"/>
    <x v="2"/>
    <x v="1"/>
    <x v="3"/>
    <x v="1"/>
    <x v="1"/>
    <x v="100"/>
    <x v="2"/>
    <x v="3"/>
    <x v="4"/>
    <x v="224"/>
    <x v="11"/>
    <x v="1"/>
    <x v="7"/>
    <x v="2"/>
    <x v="1"/>
    <x v="271"/>
    <x v="0"/>
    <x v="140"/>
  </r>
  <r>
    <x v="462"/>
    <x v="233"/>
    <x v="232"/>
    <x v="229"/>
    <x v="365"/>
    <x v="1"/>
    <x v="2"/>
    <x v="243"/>
    <x v="199"/>
    <x v="1"/>
    <x v="70"/>
    <x v="0"/>
    <x v="0"/>
    <x v="1"/>
    <x v="3"/>
    <x v="3"/>
    <x v="2"/>
    <x v="1"/>
    <x v="1"/>
    <x v="1"/>
    <x v="1"/>
    <x v="100"/>
    <x v="1"/>
    <x v="6"/>
    <x v="3"/>
    <x v="233"/>
    <x v="1"/>
    <x v="1"/>
    <x v="3"/>
    <x v="2"/>
    <x v="1"/>
    <x v="272"/>
    <x v="0"/>
    <x v="0"/>
  </r>
  <r>
    <x v="463"/>
    <x v="231"/>
    <x v="230"/>
    <x v="227"/>
    <x v="366"/>
    <x v="1"/>
    <x v="2"/>
    <x v="241"/>
    <x v="196"/>
    <x v="6"/>
    <x v="0"/>
    <x v="0"/>
    <x v="9"/>
    <x v="3"/>
    <x v="3"/>
    <x v="2"/>
    <x v="2"/>
    <x v="1"/>
    <x v="2"/>
    <x v="1"/>
    <x v="1"/>
    <x v="99"/>
    <x v="1"/>
    <x v="3"/>
    <x v="4"/>
    <x v="231"/>
    <x v="9"/>
    <x v="1"/>
    <x v="4"/>
    <x v="2"/>
    <x v="1"/>
    <x v="273"/>
    <x v="0"/>
    <x v="0"/>
  </r>
  <r>
    <x v="464"/>
    <x v="234"/>
    <x v="233"/>
    <x v="230"/>
    <x v="367"/>
    <x v="1"/>
    <x v="2"/>
    <x v="244"/>
    <x v="105"/>
    <x v="6"/>
    <x v="0"/>
    <x v="0"/>
    <x v="10"/>
    <x v="1"/>
    <x v="1"/>
    <x v="1"/>
    <x v="1"/>
    <x v="2"/>
    <x v="3"/>
    <x v="1"/>
    <x v="1"/>
    <x v="101"/>
    <x v="1"/>
    <x v="6"/>
    <x v="3"/>
    <x v="234"/>
    <x v="1"/>
    <x v="3"/>
    <x v="0"/>
    <x v="1"/>
    <x v="0"/>
    <x v="274"/>
    <x v="133"/>
    <x v="0"/>
  </r>
  <r>
    <x v="465"/>
    <x v="178"/>
    <x v="176"/>
    <x v="174"/>
    <x v="368"/>
    <x v="3"/>
    <x v="2"/>
    <x v="186"/>
    <x v="153"/>
    <x v="1"/>
    <x v="104"/>
    <x v="0"/>
    <x v="0"/>
    <x v="1"/>
    <x v="3"/>
    <x v="2"/>
    <x v="2"/>
    <x v="1"/>
    <x v="2"/>
    <x v="1"/>
    <x v="1"/>
    <x v="101"/>
    <x v="1"/>
    <x v="6"/>
    <x v="3"/>
    <x v="175"/>
    <x v="9"/>
    <x v="3"/>
    <x v="0"/>
    <x v="1"/>
    <x v="0"/>
    <x v="275"/>
    <x v="134"/>
    <x v="0"/>
  </r>
  <r>
    <x v="466"/>
    <x v="235"/>
    <x v="234"/>
    <x v="231"/>
    <x v="369"/>
    <x v="1"/>
    <x v="2"/>
    <x v="245"/>
    <x v="200"/>
    <x v="1"/>
    <x v="24"/>
    <x v="0"/>
    <x v="0"/>
    <x v="1"/>
    <x v="2"/>
    <x v="3"/>
    <x v="2"/>
    <x v="1"/>
    <x v="2"/>
    <x v="1"/>
    <x v="1"/>
    <x v="100"/>
    <x v="1"/>
    <x v="6"/>
    <x v="2"/>
    <x v="235"/>
    <x v="9"/>
    <x v="1"/>
    <x v="3"/>
    <x v="2"/>
    <x v="1"/>
    <x v="276"/>
    <x v="135"/>
    <x v="0"/>
  </r>
  <r>
    <x v="467"/>
    <x v="233"/>
    <x v="232"/>
    <x v="229"/>
    <x v="370"/>
    <x v="1"/>
    <x v="1"/>
    <x v="243"/>
    <x v="199"/>
    <x v="1"/>
    <x v="70"/>
    <x v="0"/>
    <x v="0"/>
    <x v="3"/>
    <x v="1"/>
    <x v="1"/>
    <x v="2"/>
    <x v="1"/>
    <x v="1"/>
    <x v="1"/>
    <x v="2"/>
    <x v="0"/>
    <x v="1"/>
    <x v="3"/>
    <x v="4"/>
    <x v="233"/>
    <x v="3"/>
    <x v="0"/>
    <x v="0"/>
    <x v="1"/>
    <x v="0"/>
    <x v="0"/>
    <x v="0"/>
    <x v="0"/>
  </r>
  <r>
    <x v="468"/>
    <x v="224"/>
    <x v="223"/>
    <x v="220"/>
    <x v="371"/>
    <x v="1"/>
    <x v="2"/>
    <x v="234"/>
    <x v="30"/>
    <x v="1"/>
    <x v="33"/>
    <x v="0"/>
    <x v="0"/>
    <x v="3"/>
    <x v="1"/>
    <x v="1"/>
    <x v="1"/>
    <x v="1"/>
    <x v="2"/>
    <x v="1"/>
    <x v="2"/>
    <x v="0"/>
    <x v="1"/>
    <x v="3"/>
    <x v="4"/>
    <x v="224"/>
    <x v="12"/>
    <x v="0"/>
    <x v="0"/>
    <x v="1"/>
    <x v="0"/>
    <x v="0"/>
    <x v="0"/>
    <x v="0"/>
  </r>
  <r>
    <x v="469"/>
    <x v="235"/>
    <x v="234"/>
    <x v="231"/>
    <x v="372"/>
    <x v="1"/>
    <x v="1"/>
    <x v="245"/>
    <x v="200"/>
    <x v="1"/>
    <x v="24"/>
    <x v="0"/>
    <x v="0"/>
    <x v="3"/>
    <x v="1"/>
    <x v="1"/>
    <x v="2"/>
    <x v="2"/>
    <x v="1"/>
    <x v="1"/>
    <x v="2"/>
    <x v="0"/>
    <x v="1"/>
    <x v="3"/>
    <x v="4"/>
    <x v="235"/>
    <x v="3"/>
    <x v="0"/>
    <x v="0"/>
    <x v="1"/>
    <x v="0"/>
    <x v="0"/>
    <x v="0"/>
    <x v="0"/>
  </r>
  <r>
    <x v="470"/>
    <x v="236"/>
    <x v="235"/>
    <x v="232"/>
    <x v="373"/>
    <x v="1"/>
    <x v="2"/>
    <x v="246"/>
    <x v="201"/>
    <x v="1"/>
    <x v="24"/>
    <x v="0"/>
    <x v="0"/>
    <x v="1"/>
    <x v="3"/>
    <x v="2"/>
    <x v="1"/>
    <x v="1"/>
    <x v="2"/>
    <x v="1"/>
    <x v="1"/>
    <x v="99"/>
    <x v="1"/>
    <x v="1"/>
    <x v="2"/>
    <x v="236"/>
    <x v="2"/>
    <x v="1"/>
    <x v="4"/>
    <x v="1"/>
    <x v="0"/>
    <x v="277"/>
    <x v="0"/>
    <x v="0"/>
  </r>
  <r>
    <x v="471"/>
    <x v="41"/>
    <x v="40"/>
    <x v="40"/>
    <x v="374"/>
    <x v="1"/>
    <x v="2"/>
    <x v="200"/>
    <x v="44"/>
    <x v="1"/>
    <x v="1"/>
    <x v="0"/>
    <x v="0"/>
    <x v="1"/>
    <x v="2"/>
    <x v="3"/>
    <x v="2"/>
    <x v="1"/>
    <x v="2"/>
    <x v="1"/>
    <x v="1"/>
    <x v="99"/>
    <x v="1"/>
    <x v="1"/>
    <x v="13"/>
    <x v="40"/>
    <x v="3"/>
    <x v="3"/>
    <x v="0"/>
    <x v="1"/>
    <x v="0"/>
    <x v="278"/>
    <x v="136"/>
    <x v="0"/>
  </r>
  <r>
    <x v="472"/>
    <x v="237"/>
    <x v="236"/>
    <x v="233"/>
    <x v="375"/>
    <x v="1"/>
    <x v="3"/>
    <x v="247"/>
    <x v="202"/>
    <x v="1"/>
    <x v="33"/>
    <x v="0"/>
    <x v="0"/>
    <x v="1"/>
    <x v="3"/>
    <x v="2"/>
    <x v="1"/>
    <x v="1"/>
    <x v="1"/>
    <x v="1"/>
    <x v="1"/>
    <x v="102"/>
    <x v="1"/>
    <x v="1"/>
    <x v="2"/>
    <x v="237"/>
    <x v="12"/>
    <x v="1"/>
    <x v="4"/>
    <x v="1"/>
    <x v="0"/>
    <x v="279"/>
    <x v="137"/>
    <x v="0"/>
  </r>
  <r>
    <x v="473"/>
    <x v="169"/>
    <x v="169"/>
    <x v="167"/>
    <x v="376"/>
    <x v="1"/>
    <x v="2"/>
    <x v="177"/>
    <x v="196"/>
    <x v="6"/>
    <x v="0"/>
    <x v="0"/>
    <x v="1"/>
    <x v="1"/>
    <x v="1"/>
    <x v="1"/>
    <x v="2"/>
    <x v="1"/>
    <x v="2"/>
    <x v="1"/>
    <x v="1"/>
    <x v="99"/>
    <x v="1"/>
    <x v="1"/>
    <x v="2"/>
    <x v="168"/>
    <x v="4"/>
    <x v="1"/>
    <x v="2"/>
    <x v="2"/>
    <x v="1"/>
    <x v="280"/>
    <x v="138"/>
    <x v="0"/>
  </r>
  <r>
    <x v="474"/>
    <x v="238"/>
    <x v="237"/>
    <x v="234"/>
    <x v="377"/>
    <x v="1"/>
    <x v="2"/>
    <x v="248"/>
    <x v="81"/>
    <x v="1"/>
    <x v="105"/>
    <x v="0"/>
    <x v="0"/>
    <x v="1"/>
    <x v="1"/>
    <x v="1"/>
    <x v="2"/>
    <x v="1"/>
    <x v="2"/>
    <x v="1"/>
    <x v="1"/>
    <x v="99"/>
    <x v="1"/>
    <x v="1"/>
    <x v="2"/>
    <x v="238"/>
    <x v="12"/>
    <x v="1"/>
    <x v="2"/>
    <x v="1"/>
    <x v="0"/>
    <x v="281"/>
    <x v="139"/>
    <x v="141"/>
  </r>
  <r>
    <x v="475"/>
    <x v="236"/>
    <x v="235"/>
    <x v="232"/>
    <x v="0"/>
    <x v="1"/>
    <x v="2"/>
    <x v="246"/>
    <x v="203"/>
    <x v="1"/>
    <x v="70"/>
    <x v="0"/>
    <x v="0"/>
    <x v="3"/>
    <x v="3"/>
    <x v="2"/>
    <x v="1"/>
    <x v="1"/>
    <x v="3"/>
    <x v="1"/>
    <x v="1"/>
    <x v="102"/>
    <x v="2"/>
    <x v="3"/>
    <x v="4"/>
    <x v="236"/>
    <x v="1"/>
    <x v="3"/>
    <x v="0"/>
    <x v="1"/>
    <x v="0"/>
    <x v="282"/>
    <x v="140"/>
    <x v="142"/>
  </r>
  <r>
    <x v="476"/>
    <x v="231"/>
    <x v="230"/>
    <x v="227"/>
    <x v="378"/>
    <x v="1"/>
    <x v="2"/>
    <x v="241"/>
    <x v="196"/>
    <x v="6"/>
    <x v="0"/>
    <x v="0"/>
    <x v="11"/>
    <x v="3"/>
    <x v="1"/>
    <x v="1"/>
    <x v="2"/>
    <x v="1"/>
    <x v="3"/>
    <x v="1"/>
    <x v="2"/>
    <x v="0"/>
    <x v="1"/>
    <x v="3"/>
    <x v="4"/>
    <x v="231"/>
    <x v="1"/>
    <x v="0"/>
    <x v="0"/>
    <x v="1"/>
    <x v="0"/>
    <x v="0"/>
    <x v="0"/>
    <x v="0"/>
  </r>
  <r>
    <x v="477"/>
    <x v="238"/>
    <x v="237"/>
    <x v="234"/>
    <x v="0"/>
    <x v="1"/>
    <x v="2"/>
    <x v="248"/>
    <x v="81"/>
    <x v="1"/>
    <x v="0"/>
    <x v="0"/>
    <x v="0"/>
    <x v="3"/>
    <x v="4"/>
    <x v="1"/>
    <x v="2"/>
    <x v="1"/>
    <x v="2"/>
    <x v="1"/>
    <x v="2"/>
    <x v="0"/>
    <x v="2"/>
    <x v="3"/>
    <x v="4"/>
    <x v="238"/>
    <x v="4"/>
    <x v="0"/>
    <x v="0"/>
    <x v="1"/>
    <x v="0"/>
    <x v="0"/>
    <x v="0"/>
    <x v="0"/>
  </r>
  <r>
    <x v="478"/>
    <x v="239"/>
    <x v="238"/>
    <x v="235"/>
    <x v="379"/>
    <x v="1"/>
    <x v="2"/>
    <x v="249"/>
    <x v="71"/>
    <x v="1"/>
    <x v="1"/>
    <x v="0"/>
    <x v="0"/>
    <x v="1"/>
    <x v="1"/>
    <x v="1"/>
    <x v="1"/>
    <x v="1"/>
    <x v="3"/>
    <x v="1"/>
    <x v="1"/>
    <x v="99"/>
    <x v="1"/>
    <x v="1"/>
    <x v="2"/>
    <x v="239"/>
    <x v="4"/>
    <x v="1"/>
    <x v="2"/>
    <x v="1"/>
    <x v="0"/>
    <x v="283"/>
    <x v="0"/>
    <x v="0"/>
  </r>
  <r>
    <x v="479"/>
    <x v="239"/>
    <x v="238"/>
    <x v="235"/>
    <x v="379"/>
    <x v="1"/>
    <x v="2"/>
    <x v="249"/>
    <x v="71"/>
    <x v="1"/>
    <x v="1"/>
    <x v="0"/>
    <x v="0"/>
    <x v="3"/>
    <x v="1"/>
    <x v="1"/>
    <x v="1"/>
    <x v="1"/>
    <x v="3"/>
    <x v="1"/>
    <x v="2"/>
    <x v="0"/>
    <x v="1"/>
    <x v="3"/>
    <x v="4"/>
    <x v="239"/>
    <x v="4"/>
    <x v="0"/>
    <x v="0"/>
    <x v="1"/>
    <x v="0"/>
    <x v="0"/>
    <x v="0"/>
    <x v="0"/>
  </r>
  <r>
    <x v="480"/>
    <x v="169"/>
    <x v="169"/>
    <x v="167"/>
    <x v="380"/>
    <x v="1"/>
    <x v="2"/>
    <x v="177"/>
    <x v="196"/>
    <x v="6"/>
    <x v="0"/>
    <x v="0"/>
    <x v="1"/>
    <x v="3"/>
    <x v="1"/>
    <x v="1"/>
    <x v="2"/>
    <x v="1"/>
    <x v="2"/>
    <x v="1"/>
    <x v="1"/>
    <x v="103"/>
    <x v="1"/>
    <x v="3"/>
    <x v="4"/>
    <x v="168"/>
    <x v="4"/>
    <x v="3"/>
    <x v="0"/>
    <x v="1"/>
    <x v="0"/>
    <x v="284"/>
    <x v="141"/>
    <x v="143"/>
  </r>
  <r>
    <x v="481"/>
    <x v="240"/>
    <x v="239"/>
    <x v="236"/>
    <x v="381"/>
    <x v="1"/>
    <x v="1"/>
    <x v="250"/>
    <x v="204"/>
    <x v="1"/>
    <x v="2"/>
    <x v="0"/>
    <x v="0"/>
    <x v="1"/>
    <x v="3"/>
    <x v="3"/>
    <x v="1"/>
    <x v="1"/>
    <x v="2"/>
    <x v="1"/>
    <x v="1"/>
    <x v="102"/>
    <x v="1"/>
    <x v="1"/>
    <x v="2"/>
    <x v="240"/>
    <x v="12"/>
    <x v="1"/>
    <x v="5"/>
    <x v="2"/>
    <x v="1"/>
    <x v="285"/>
    <x v="0"/>
    <x v="144"/>
  </r>
  <r>
    <x v="482"/>
    <x v="241"/>
    <x v="240"/>
    <x v="237"/>
    <x v="382"/>
    <x v="1"/>
    <x v="2"/>
    <x v="251"/>
    <x v="80"/>
    <x v="1"/>
    <x v="22"/>
    <x v="0"/>
    <x v="0"/>
    <x v="1"/>
    <x v="2"/>
    <x v="3"/>
    <x v="2"/>
    <x v="1"/>
    <x v="2"/>
    <x v="1"/>
    <x v="1"/>
    <x v="102"/>
    <x v="1"/>
    <x v="2"/>
    <x v="2"/>
    <x v="241"/>
    <x v="1"/>
    <x v="3"/>
    <x v="0"/>
    <x v="1"/>
    <x v="0"/>
    <x v="286"/>
    <x v="142"/>
    <x v="145"/>
  </r>
  <r>
    <x v="483"/>
    <x v="242"/>
    <x v="241"/>
    <x v="238"/>
    <x v="383"/>
    <x v="3"/>
    <x v="2"/>
    <x v="252"/>
    <x v="196"/>
    <x v="6"/>
    <x v="0"/>
    <x v="0"/>
    <x v="12"/>
    <x v="1"/>
    <x v="1"/>
    <x v="1"/>
    <x v="2"/>
    <x v="1"/>
    <x v="3"/>
    <x v="1"/>
    <x v="1"/>
    <x v="102"/>
    <x v="2"/>
    <x v="1"/>
    <x v="2"/>
    <x v="242"/>
    <x v="4"/>
    <x v="1"/>
    <x v="2"/>
    <x v="1"/>
    <x v="0"/>
    <x v="287"/>
    <x v="0"/>
    <x v="146"/>
  </r>
  <r>
    <x v="484"/>
    <x v="242"/>
    <x v="241"/>
    <x v="238"/>
    <x v="0"/>
    <x v="3"/>
    <x v="2"/>
    <x v="252"/>
    <x v="196"/>
    <x v="6"/>
    <x v="0"/>
    <x v="0"/>
    <x v="12"/>
    <x v="3"/>
    <x v="1"/>
    <x v="1"/>
    <x v="2"/>
    <x v="1"/>
    <x v="3"/>
    <x v="1"/>
    <x v="2"/>
    <x v="0"/>
    <x v="2"/>
    <x v="3"/>
    <x v="4"/>
    <x v="242"/>
    <x v="4"/>
    <x v="0"/>
    <x v="0"/>
    <x v="1"/>
    <x v="0"/>
    <x v="0"/>
    <x v="0"/>
    <x v="0"/>
  </r>
  <r>
    <x v="485"/>
    <x v="243"/>
    <x v="242"/>
    <x v="239"/>
    <x v="384"/>
    <x v="1"/>
    <x v="1"/>
    <x v="253"/>
    <x v="205"/>
    <x v="1"/>
    <x v="106"/>
    <x v="0"/>
    <x v="0"/>
    <x v="1"/>
    <x v="1"/>
    <x v="1"/>
    <x v="1"/>
    <x v="1"/>
    <x v="2"/>
    <x v="2"/>
    <x v="1"/>
    <x v="103"/>
    <x v="1"/>
    <x v="1"/>
    <x v="2"/>
    <x v="243"/>
    <x v="12"/>
    <x v="1"/>
    <x v="2"/>
    <x v="2"/>
    <x v="1"/>
    <x v="288"/>
    <x v="0"/>
    <x v="147"/>
  </r>
  <r>
    <x v="486"/>
    <x v="237"/>
    <x v="236"/>
    <x v="233"/>
    <x v="0"/>
    <x v="1"/>
    <x v="2"/>
    <x v="247"/>
    <x v="202"/>
    <x v="1"/>
    <x v="33"/>
    <x v="0"/>
    <x v="0"/>
    <x v="3"/>
    <x v="3"/>
    <x v="2"/>
    <x v="2"/>
    <x v="1"/>
    <x v="3"/>
    <x v="1"/>
    <x v="1"/>
    <x v="104"/>
    <x v="2"/>
    <x v="3"/>
    <x v="4"/>
    <x v="237"/>
    <x v="1"/>
    <x v="3"/>
    <x v="0"/>
    <x v="1"/>
    <x v="0"/>
    <x v="289"/>
    <x v="143"/>
    <x v="0"/>
  </r>
  <r>
    <x v="487"/>
    <x v="240"/>
    <x v="243"/>
    <x v="236"/>
    <x v="385"/>
    <x v="1"/>
    <x v="1"/>
    <x v="254"/>
    <x v="206"/>
    <x v="1"/>
    <x v="2"/>
    <x v="0"/>
    <x v="0"/>
    <x v="3"/>
    <x v="1"/>
    <x v="1"/>
    <x v="2"/>
    <x v="1"/>
    <x v="2"/>
    <x v="1"/>
    <x v="2"/>
    <x v="0"/>
    <x v="1"/>
    <x v="3"/>
    <x v="4"/>
    <x v="240"/>
    <x v="2"/>
    <x v="0"/>
    <x v="0"/>
    <x v="1"/>
    <x v="0"/>
    <x v="0"/>
    <x v="0"/>
    <x v="0"/>
  </r>
  <r>
    <x v="488"/>
    <x v="243"/>
    <x v="242"/>
    <x v="239"/>
    <x v="386"/>
    <x v="1"/>
    <x v="1"/>
    <x v="253"/>
    <x v="205"/>
    <x v="1"/>
    <x v="107"/>
    <x v="0"/>
    <x v="0"/>
    <x v="3"/>
    <x v="1"/>
    <x v="1"/>
    <x v="1"/>
    <x v="1"/>
    <x v="2"/>
    <x v="1"/>
    <x v="2"/>
    <x v="0"/>
    <x v="2"/>
    <x v="3"/>
    <x v="4"/>
    <x v="243"/>
    <x v="4"/>
    <x v="0"/>
    <x v="0"/>
    <x v="1"/>
    <x v="0"/>
    <x v="0"/>
    <x v="0"/>
    <x v="0"/>
  </r>
  <r>
    <x v="489"/>
    <x v="37"/>
    <x v="36"/>
    <x v="36"/>
    <x v="387"/>
    <x v="1"/>
    <x v="2"/>
    <x v="39"/>
    <x v="49"/>
    <x v="2"/>
    <x v="0"/>
    <x v="5"/>
    <x v="0"/>
    <x v="1"/>
    <x v="3"/>
    <x v="3"/>
    <x v="2"/>
    <x v="1"/>
    <x v="2"/>
    <x v="1"/>
    <x v="1"/>
    <x v="104"/>
    <x v="1"/>
    <x v="5"/>
    <x v="3"/>
    <x v="184"/>
    <x v="1"/>
    <x v="3"/>
    <x v="0"/>
    <x v="1"/>
    <x v="0"/>
    <x v="290"/>
    <x v="144"/>
    <x v="0"/>
  </r>
  <r>
    <x v="490"/>
    <x v="244"/>
    <x v="244"/>
    <x v="240"/>
    <x v="388"/>
    <x v="1"/>
    <x v="2"/>
    <x v="255"/>
    <x v="207"/>
    <x v="1"/>
    <x v="27"/>
    <x v="0"/>
    <x v="0"/>
    <x v="1"/>
    <x v="3"/>
    <x v="3"/>
    <x v="2"/>
    <x v="1"/>
    <x v="2"/>
    <x v="1"/>
    <x v="1"/>
    <x v="105"/>
    <x v="1"/>
    <x v="1"/>
    <x v="2"/>
    <x v="244"/>
    <x v="12"/>
    <x v="1"/>
    <x v="4"/>
    <x v="2"/>
    <x v="1"/>
    <x v="291"/>
    <x v="145"/>
    <x v="148"/>
  </r>
  <r>
    <x v="491"/>
    <x v="240"/>
    <x v="243"/>
    <x v="236"/>
    <x v="389"/>
    <x v="1"/>
    <x v="1"/>
    <x v="256"/>
    <x v="206"/>
    <x v="1"/>
    <x v="36"/>
    <x v="0"/>
    <x v="0"/>
    <x v="1"/>
    <x v="1"/>
    <x v="1"/>
    <x v="1"/>
    <x v="1"/>
    <x v="2"/>
    <x v="1"/>
    <x v="2"/>
    <x v="0"/>
    <x v="1"/>
    <x v="1"/>
    <x v="2"/>
    <x v="240"/>
    <x v="12"/>
    <x v="0"/>
    <x v="0"/>
    <x v="1"/>
    <x v="0"/>
    <x v="0"/>
    <x v="0"/>
    <x v="0"/>
  </r>
  <r>
    <x v="492"/>
    <x v="245"/>
    <x v="245"/>
    <x v="241"/>
    <x v="390"/>
    <x v="1"/>
    <x v="2"/>
    <x v="4"/>
    <x v="208"/>
    <x v="1"/>
    <x v="9"/>
    <x v="0"/>
    <x v="0"/>
    <x v="1"/>
    <x v="3"/>
    <x v="3"/>
    <x v="2"/>
    <x v="1"/>
    <x v="3"/>
    <x v="1"/>
    <x v="1"/>
    <x v="105"/>
    <x v="1"/>
    <x v="1"/>
    <x v="2"/>
    <x v="245"/>
    <x v="11"/>
    <x v="1"/>
    <x v="4"/>
    <x v="2"/>
    <x v="1"/>
    <x v="292"/>
    <x v="0"/>
    <x v="0"/>
  </r>
  <r>
    <x v="493"/>
    <x v="245"/>
    <x v="245"/>
    <x v="241"/>
    <x v="391"/>
    <x v="1"/>
    <x v="2"/>
    <x v="4"/>
    <x v="209"/>
    <x v="1"/>
    <x v="9"/>
    <x v="0"/>
    <x v="0"/>
    <x v="3"/>
    <x v="1"/>
    <x v="1"/>
    <x v="2"/>
    <x v="1"/>
    <x v="3"/>
    <x v="1"/>
    <x v="2"/>
    <x v="0"/>
    <x v="1"/>
    <x v="3"/>
    <x v="4"/>
    <x v="245"/>
    <x v="1"/>
    <x v="0"/>
    <x v="0"/>
    <x v="1"/>
    <x v="0"/>
    <x v="0"/>
    <x v="0"/>
    <x v="0"/>
  </r>
  <r>
    <x v="494"/>
    <x v="244"/>
    <x v="244"/>
    <x v="240"/>
    <x v="392"/>
    <x v="1"/>
    <x v="2"/>
    <x v="255"/>
    <x v="10"/>
    <x v="1"/>
    <x v="15"/>
    <x v="0"/>
    <x v="0"/>
    <x v="3"/>
    <x v="1"/>
    <x v="1"/>
    <x v="2"/>
    <x v="1"/>
    <x v="2"/>
    <x v="1"/>
    <x v="2"/>
    <x v="0"/>
    <x v="1"/>
    <x v="3"/>
    <x v="4"/>
    <x v="244"/>
    <x v="1"/>
    <x v="0"/>
    <x v="0"/>
    <x v="1"/>
    <x v="0"/>
    <x v="0"/>
    <x v="0"/>
    <x v="0"/>
  </r>
  <r>
    <x v="495"/>
    <x v="246"/>
    <x v="246"/>
    <x v="242"/>
    <x v="393"/>
    <x v="3"/>
    <x v="2"/>
    <x v="257"/>
    <x v="210"/>
    <x v="1"/>
    <x v="15"/>
    <x v="0"/>
    <x v="0"/>
    <x v="1"/>
    <x v="1"/>
    <x v="1"/>
    <x v="2"/>
    <x v="1"/>
    <x v="2"/>
    <x v="1"/>
    <x v="2"/>
    <x v="0"/>
    <x v="1"/>
    <x v="6"/>
    <x v="2"/>
    <x v="246"/>
    <x v="8"/>
    <x v="0"/>
    <x v="0"/>
    <x v="1"/>
    <x v="0"/>
    <x v="0"/>
    <x v="0"/>
    <x v="0"/>
  </r>
  <r>
    <x v="496"/>
    <x v="247"/>
    <x v="247"/>
    <x v="243"/>
    <x v="394"/>
    <x v="1"/>
    <x v="1"/>
    <x v="258"/>
    <x v="10"/>
    <x v="1"/>
    <x v="108"/>
    <x v="0"/>
    <x v="0"/>
    <x v="1"/>
    <x v="3"/>
    <x v="3"/>
    <x v="1"/>
    <x v="1"/>
    <x v="2"/>
    <x v="1"/>
    <x v="1"/>
    <x v="106"/>
    <x v="1"/>
    <x v="1"/>
    <x v="2"/>
    <x v="247"/>
    <x v="12"/>
    <x v="3"/>
    <x v="0"/>
    <x v="1"/>
    <x v="0"/>
    <x v="293"/>
    <x v="146"/>
    <x v="149"/>
  </r>
  <r>
    <x v="497"/>
    <x v="248"/>
    <x v="248"/>
    <x v="244"/>
    <x v="395"/>
    <x v="1"/>
    <x v="4"/>
    <x v="259"/>
    <x v="211"/>
    <x v="1"/>
    <x v="15"/>
    <x v="0"/>
    <x v="0"/>
    <x v="1"/>
    <x v="1"/>
    <x v="1"/>
    <x v="2"/>
    <x v="1"/>
    <x v="2"/>
    <x v="1"/>
    <x v="2"/>
    <x v="0"/>
    <x v="1"/>
    <x v="1"/>
    <x v="2"/>
    <x v="248"/>
    <x v="12"/>
    <x v="0"/>
    <x v="0"/>
    <x v="1"/>
    <x v="0"/>
    <x v="0"/>
    <x v="0"/>
    <x v="0"/>
  </r>
  <r>
    <x v="498"/>
    <x v="249"/>
    <x v="249"/>
    <x v="245"/>
    <x v="396"/>
    <x v="1"/>
    <x v="2"/>
    <x v="260"/>
    <x v="60"/>
    <x v="1"/>
    <x v="15"/>
    <x v="0"/>
    <x v="0"/>
    <x v="1"/>
    <x v="1"/>
    <x v="1"/>
    <x v="2"/>
    <x v="1"/>
    <x v="2"/>
    <x v="1"/>
    <x v="1"/>
    <x v="106"/>
    <x v="1"/>
    <x v="5"/>
    <x v="2"/>
    <x v="249"/>
    <x v="12"/>
    <x v="3"/>
    <x v="0"/>
    <x v="1"/>
    <x v="0"/>
    <x v="294"/>
    <x v="147"/>
    <x v="150"/>
  </r>
  <r>
    <x v="499"/>
    <x v="250"/>
    <x v="250"/>
    <x v="246"/>
    <x v="397"/>
    <x v="1"/>
    <x v="2"/>
    <x v="261"/>
    <x v="212"/>
    <x v="1"/>
    <x v="109"/>
    <x v="0"/>
    <x v="0"/>
    <x v="1"/>
    <x v="2"/>
    <x v="3"/>
    <x v="2"/>
    <x v="1"/>
    <x v="3"/>
    <x v="1"/>
    <x v="1"/>
    <x v="107"/>
    <x v="1"/>
    <x v="1"/>
    <x v="2"/>
    <x v="250"/>
    <x v="1"/>
    <x v="1"/>
    <x v="4"/>
    <x v="1"/>
    <x v="0"/>
    <x v="295"/>
    <x v="0"/>
    <x v="0"/>
  </r>
  <r>
    <x v="500"/>
    <x v="251"/>
    <x v="251"/>
    <x v="247"/>
    <x v="398"/>
    <x v="1"/>
    <x v="2"/>
    <x v="262"/>
    <x v="10"/>
    <x v="1"/>
    <x v="3"/>
    <x v="0"/>
    <x v="0"/>
    <x v="1"/>
    <x v="1"/>
    <x v="1"/>
    <x v="2"/>
    <x v="1"/>
    <x v="3"/>
    <x v="1"/>
    <x v="1"/>
    <x v="107"/>
    <x v="1"/>
    <x v="1"/>
    <x v="2"/>
    <x v="251"/>
    <x v="1"/>
    <x v="3"/>
    <x v="0"/>
    <x v="1"/>
    <x v="0"/>
    <x v="296"/>
    <x v="0"/>
    <x v="151"/>
  </r>
  <r>
    <x v="501"/>
    <x v="252"/>
    <x v="252"/>
    <x v="248"/>
    <x v="399"/>
    <x v="1"/>
    <x v="3"/>
    <x v="263"/>
    <x v="123"/>
    <x v="1"/>
    <x v="70"/>
    <x v="0"/>
    <x v="0"/>
    <x v="1"/>
    <x v="3"/>
    <x v="3"/>
    <x v="2"/>
    <x v="1"/>
    <x v="1"/>
    <x v="2"/>
    <x v="1"/>
    <x v="107"/>
    <x v="1"/>
    <x v="1"/>
    <x v="2"/>
    <x v="252"/>
    <x v="1"/>
    <x v="3"/>
    <x v="0"/>
    <x v="1"/>
    <x v="0"/>
    <x v="297"/>
    <x v="148"/>
    <x v="0"/>
  </r>
  <r>
    <x v="502"/>
    <x v="250"/>
    <x v="250"/>
    <x v="246"/>
    <x v="400"/>
    <x v="1"/>
    <x v="2"/>
    <x v="261"/>
    <x v="212"/>
    <x v="1"/>
    <x v="110"/>
    <x v="0"/>
    <x v="0"/>
    <x v="1"/>
    <x v="1"/>
    <x v="1"/>
    <x v="2"/>
    <x v="1"/>
    <x v="3"/>
    <x v="1"/>
    <x v="2"/>
    <x v="0"/>
    <x v="1"/>
    <x v="1"/>
    <x v="2"/>
    <x v="250"/>
    <x v="1"/>
    <x v="0"/>
    <x v="0"/>
    <x v="1"/>
    <x v="0"/>
    <x v="0"/>
    <x v="0"/>
    <x v="0"/>
  </r>
  <r>
    <x v="503"/>
    <x v="253"/>
    <x v="253"/>
    <x v="249"/>
    <x v="401"/>
    <x v="1"/>
    <x v="3"/>
    <x v="264"/>
    <x v="213"/>
    <x v="1"/>
    <x v="111"/>
    <x v="0"/>
    <x v="0"/>
    <x v="1"/>
    <x v="1"/>
    <x v="1"/>
    <x v="1"/>
    <x v="1"/>
    <x v="2"/>
    <x v="1"/>
    <x v="2"/>
    <x v="0"/>
    <x v="1"/>
    <x v="1"/>
    <x v="2"/>
    <x v="253"/>
    <x v="12"/>
    <x v="0"/>
    <x v="0"/>
    <x v="1"/>
    <x v="0"/>
    <x v="0"/>
    <x v="0"/>
    <x v="0"/>
  </r>
  <r>
    <x v="504"/>
    <x v="254"/>
    <x v="254"/>
    <x v="250"/>
    <x v="402"/>
    <x v="1"/>
    <x v="3"/>
    <x v="265"/>
    <x v="214"/>
    <x v="1"/>
    <x v="15"/>
    <x v="0"/>
    <x v="0"/>
    <x v="1"/>
    <x v="2"/>
    <x v="3"/>
    <x v="2"/>
    <x v="1"/>
    <x v="2"/>
    <x v="1"/>
    <x v="1"/>
    <x v="108"/>
    <x v="1"/>
    <x v="1"/>
    <x v="2"/>
    <x v="254"/>
    <x v="2"/>
    <x v="3"/>
    <x v="0"/>
    <x v="1"/>
    <x v="0"/>
    <x v="298"/>
    <x v="149"/>
    <x v="0"/>
  </r>
  <r>
    <x v="505"/>
    <x v="255"/>
    <x v="255"/>
    <x v="251"/>
    <x v="403"/>
    <x v="1"/>
    <x v="2"/>
    <x v="266"/>
    <x v="215"/>
    <x v="1"/>
    <x v="112"/>
    <x v="0"/>
    <x v="0"/>
    <x v="1"/>
    <x v="1"/>
    <x v="1"/>
    <x v="2"/>
    <x v="1"/>
    <x v="1"/>
    <x v="1"/>
    <x v="2"/>
    <x v="0"/>
    <x v="1"/>
    <x v="1"/>
    <x v="2"/>
    <x v="255"/>
    <x v="12"/>
    <x v="0"/>
    <x v="0"/>
    <x v="1"/>
    <x v="0"/>
    <x v="0"/>
    <x v="0"/>
    <x v="0"/>
  </r>
  <r>
    <x v="506"/>
    <x v="169"/>
    <x v="169"/>
    <x v="167"/>
    <x v="404"/>
    <x v="1"/>
    <x v="2"/>
    <x v="177"/>
    <x v="196"/>
    <x v="6"/>
    <x v="0"/>
    <x v="0"/>
    <x v="13"/>
    <x v="1"/>
    <x v="1"/>
    <x v="1"/>
    <x v="1"/>
    <x v="1"/>
    <x v="2"/>
    <x v="1"/>
    <x v="1"/>
    <x v="109"/>
    <x v="1"/>
    <x v="1"/>
    <x v="2"/>
    <x v="168"/>
    <x v="12"/>
    <x v="4"/>
    <x v="7"/>
    <x v="1"/>
    <x v="0"/>
    <x v="299"/>
    <x v="150"/>
    <x v="152"/>
  </r>
  <r>
    <x v="507"/>
    <x v="256"/>
    <x v="256"/>
    <x v="252"/>
    <x v="405"/>
    <x v="1"/>
    <x v="2"/>
    <x v="267"/>
    <x v="216"/>
    <x v="1"/>
    <x v="3"/>
    <x v="0"/>
    <x v="0"/>
    <x v="1"/>
    <x v="3"/>
    <x v="2"/>
    <x v="2"/>
    <x v="1"/>
    <x v="3"/>
    <x v="1"/>
    <x v="1"/>
    <x v="109"/>
    <x v="1"/>
    <x v="1"/>
    <x v="2"/>
    <x v="256"/>
    <x v="1"/>
    <x v="3"/>
    <x v="0"/>
    <x v="1"/>
    <x v="0"/>
    <x v="300"/>
    <x v="151"/>
    <x v="0"/>
  </r>
  <r>
    <x v="508"/>
    <x v="257"/>
    <x v="257"/>
    <x v="253"/>
    <x v="406"/>
    <x v="1"/>
    <x v="3"/>
    <x v="268"/>
    <x v="217"/>
    <x v="1"/>
    <x v="24"/>
    <x v="0"/>
    <x v="0"/>
    <x v="1"/>
    <x v="3"/>
    <x v="3"/>
    <x v="1"/>
    <x v="1"/>
    <x v="1"/>
    <x v="1"/>
    <x v="1"/>
    <x v="109"/>
    <x v="1"/>
    <x v="5"/>
    <x v="2"/>
    <x v="257"/>
    <x v="12"/>
    <x v="1"/>
    <x v="5"/>
    <x v="2"/>
    <x v="1"/>
    <x v="301"/>
    <x v="0"/>
    <x v="153"/>
  </r>
  <r>
    <x v="509"/>
    <x v="257"/>
    <x v="257"/>
    <x v="253"/>
    <x v="407"/>
    <x v="1"/>
    <x v="3"/>
    <x v="268"/>
    <x v="217"/>
    <x v="1"/>
    <x v="24"/>
    <x v="0"/>
    <x v="0"/>
    <x v="3"/>
    <x v="1"/>
    <x v="1"/>
    <x v="2"/>
    <x v="1"/>
    <x v="3"/>
    <x v="1"/>
    <x v="1"/>
    <x v="110"/>
    <x v="1"/>
    <x v="3"/>
    <x v="4"/>
    <x v="257"/>
    <x v="2"/>
    <x v="3"/>
    <x v="0"/>
    <x v="1"/>
    <x v="0"/>
    <x v="302"/>
    <x v="152"/>
    <x v="154"/>
  </r>
  <r>
    <x v="510"/>
    <x v="258"/>
    <x v="258"/>
    <x v="254"/>
    <x v="408"/>
    <x v="3"/>
    <x v="2"/>
    <x v="269"/>
    <x v="218"/>
    <x v="1"/>
    <x v="33"/>
    <x v="0"/>
    <x v="0"/>
    <x v="1"/>
    <x v="3"/>
    <x v="2"/>
    <x v="2"/>
    <x v="1"/>
    <x v="3"/>
    <x v="1"/>
    <x v="1"/>
    <x v="111"/>
    <x v="1"/>
    <x v="1"/>
    <x v="2"/>
    <x v="258"/>
    <x v="11"/>
    <x v="3"/>
    <x v="0"/>
    <x v="1"/>
    <x v="0"/>
    <x v="303"/>
    <x v="153"/>
    <x v="155"/>
  </r>
  <r>
    <x v="511"/>
    <x v="193"/>
    <x v="191"/>
    <x v="189"/>
    <x v="409"/>
    <x v="1"/>
    <x v="2"/>
    <x v="202"/>
    <x v="165"/>
    <x v="1"/>
    <x v="31"/>
    <x v="0"/>
    <x v="0"/>
    <x v="1"/>
    <x v="1"/>
    <x v="1"/>
    <x v="2"/>
    <x v="1"/>
    <x v="1"/>
    <x v="1"/>
    <x v="1"/>
    <x v="111"/>
    <x v="1"/>
    <x v="1"/>
    <x v="2"/>
    <x v="191"/>
    <x v="12"/>
    <x v="1"/>
    <x v="1"/>
    <x v="1"/>
    <x v="0"/>
    <x v="304"/>
    <x v="154"/>
    <x v="156"/>
  </r>
  <r>
    <x v="512"/>
    <x v="259"/>
    <x v="259"/>
    <x v="255"/>
    <x v="410"/>
    <x v="1"/>
    <x v="2"/>
    <x v="270"/>
    <x v="219"/>
    <x v="1"/>
    <x v="3"/>
    <x v="0"/>
    <x v="0"/>
    <x v="1"/>
    <x v="1"/>
    <x v="1"/>
    <x v="2"/>
    <x v="1"/>
    <x v="1"/>
    <x v="1"/>
    <x v="2"/>
    <x v="0"/>
    <x v="1"/>
    <x v="5"/>
    <x v="2"/>
    <x v="259"/>
    <x v="12"/>
    <x v="0"/>
    <x v="0"/>
    <x v="1"/>
    <x v="0"/>
    <x v="0"/>
    <x v="0"/>
    <x v="0"/>
  </r>
  <r>
    <x v="513"/>
    <x v="169"/>
    <x v="169"/>
    <x v="167"/>
    <x v="404"/>
    <x v="1"/>
    <x v="2"/>
    <x v="177"/>
    <x v="196"/>
    <x v="6"/>
    <x v="0"/>
    <x v="0"/>
    <x v="13"/>
    <x v="3"/>
    <x v="1"/>
    <x v="1"/>
    <x v="1"/>
    <x v="1"/>
    <x v="2"/>
    <x v="1"/>
    <x v="1"/>
    <x v="111"/>
    <x v="2"/>
    <x v="3"/>
    <x v="4"/>
    <x v="168"/>
    <x v="12"/>
    <x v="1"/>
    <x v="2"/>
    <x v="2"/>
    <x v="1"/>
    <x v="305"/>
    <x v="155"/>
    <x v="157"/>
  </r>
  <r>
    <x v="514"/>
    <x v="260"/>
    <x v="260"/>
    <x v="256"/>
    <x v="411"/>
    <x v="1"/>
    <x v="2"/>
    <x v="271"/>
    <x v="131"/>
    <x v="1"/>
    <x v="31"/>
    <x v="0"/>
    <x v="0"/>
    <x v="1"/>
    <x v="1"/>
    <x v="1"/>
    <x v="2"/>
    <x v="1"/>
    <x v="3"/>
    <x v="1"/>
    <x v="1"/>
    <x v="110"/>
    <x v="1"/>
    <x v="6"/>
    <x v="3"/>
    <x v="260"/>
    <x v="4"/>
    <x v="1"/>
    <x v="0"/>
    <x v="1"/>
    <x v="0"/>
    <x v="306"/>
    <x v="156"/>
    <x v="0"/>
  </r>
  <r>
    <x v="515"/>
    <x v="170"/>
    <x v="170"/>
    <x v="168"/>
    <x v="412"/>
    <x v="1"/>
    <x v="2"/>
    <x v="179"/>
    <x v="196"/>
    <x v="7"/>
    <x v="0"/>
    <x v="0"/>
    <x v="0"/>
    <x v="1"/>
    <x v="2"/>
    <x v="3"/>
    <x v="2"/>
    <x v="1"/>
    <x v="2"/>
    <x v="1"/>
    <x v="1"/>
    <x v="110"/>
    <x v="1"/>
    <x v="6"/>
    <x v="3"/>
    <x v="169"/>
    <x v="4"/>
    <x v="3"/>
    <x v="0"/>
    <x v="1"/>
    <x v="0"/>
    <x v="307"/>
    <x v="157"/>
    <x v="0"/>
  </r>
  <r>
    <x v="516"/>
    <x v="261"/>
    <x v="261"/>
    <x v="257"/>
    <x v="413"/>
    <x v="3"/>
    <x v="2"/>
    <x v="272"/>
    <x v="220"/>
    <x v="1"/>
    <x v="9"/>
    <x v="0"/>
    <x v="0"/>
    <x v="1"/>
    <x v="1"/>
    <x v="1"/>
    <x v="1"/>
    <x v="1"/>
    <x v="2"/>
    <x v="1"/>
    <x v="1"/>
    <x v="110"/>
    <x v="1"/>
    <x v="6"/>
    <x v="3"/>
    <x v="261"/>
    <x v="4"/>
    <x v="1"/>
    <x v="1"/>
    <x v="1"/>
    <x v="0"/>
    <x v="308"/>
    <x v="158"/>
    <x v="158"/>
  </r>
  <r>
    <x v="517"/>
    <x v="169"/>
    <x v="169"/>
    <x v="167"/>
    <x v="0"/>
    <x v="1"/>
    <x v="2"/>
    <x v="177"/>
    <x v="196"/>
    <x v="6"/>
    <x v="0"/>
    <x v="0"/>
    <x v="13"/>
    <x v="3"/>
    <x v="1"/>
    <x v="1"/>
    <x v="2"/>
    <x v="1"/>
    <x v="2"/>
    <x v="1"/>
    <x v="1"/>
    <x v="112"/>
    <x v="2"/>
    <x v="3"/>
    <x v="4"/>
    <x v="168"/>
    <x v="4"/>
    <x v="1"/>
    <x v="1"/>
    <x v="1"/>
    <x v="0"/>
    <x v="309"/>
    <x v="159"/>
    <x v="159"/>
  </r>
  <r>
    <x v="518"/>
    <x v="260"/>
    <x v="260"/>
    <x v="256"/>
    <x v="0"/>
    <x v="1"/>
    <x v="2"/>
    <x v="271"/>
    <x v="131"/>
    <x v="1"/>
    <x v="31"/>
    <x v="0"/>
    <x v="0"/>
    <x v="3"/>
    <x v="1"/>
    <x v="1"/>
    <x v="2"/>
    <x v="1"/>
    <x v="2"/>
    <x v="1"/>
    <x v="2"/>
    <x v="0"/>
    <x v="2"/>
    <x v="3"/>
    <x v="4"/>
    <x v="260"/>
    <x v="12"/>
    <x v="0"/>
    <x v="0"/>
    <x v="1"/>
    <x v="0"/>
    <x v="0"/>
    <x v="0"/>
    <x v="0"/>
  </r>
  <r>
    <x v="519"/>
    <x v="262"/>
    <x v="262"/>
    <x v="258"/>
    <x v="414"/>
    <x v="3"/>
    <x v="1"/>
    <x v="273"/>
    <x v="221"/>
    <x v="1"/>
    <x v="15"/>
    <x v="0"/>
    <x v="0"/>
    <x v="1"/>
    <x v="3"/>
    <x v="3"/>
    <x v="2"/>
    <x v="1"/>
    <x v="1"/>
    <x v="1"/>
    <x v="1"/>
    <x v="113"/>
    <x v="2"/>
    <x v="1"/>
    <x v="2"/>
    <x v="262"/>
    <x v="12"/>
    <x v="1"/>
    <x v="7"/>
    <x v="1"/>
    <x v="0"/>
    <x v="310"/>
    <x v="160"/>
    <x v="160"/>
  </r>
  <r>
    <x v="520"/>
    <x v="263"/>
    <x v="263"/>
    <x v="259"/>
    <x v="415"/>
    <x v="1"/>
    <x v="2"/>
    <x v="274"/>
    <x v="215"/>
    <x v="1"/>
    <x v="24"/>
    <x v="0"/>
    <x v="0"/>
    <x v="1"/>
    <x v="1"/>
    <x v="1"/>
    <x v="2"/>
    <x v="1"/>
    <x v="2"/>
    <x v="1"/>
    <x v="2"/>
    <x v="0"/>
    <x v="1"/>
    <x v="1"/>
    <x v="2"/>
    <x v="263"/>
    <x v="12"/>
    <x v="0"/>
    <x v="0"/>
    <x v="1"/>
    <x v="0"/>
    <x v="0"/>
    <x v="0"/>
    <x v="0"/>
  </r>
  <r>
    <x v="521"/>
    <x v="262"/>
    <x v="262"/>
    <x v="258"/>
    <x v="0"/>
    <x v="3"/>
    <x v="1"/>
    <x v="273"/>
    <x v="221"/>
    <x v="1"/>
    <x v="15"/>
    <x v="0"/>
    <x v="0"/>
    <x v="3"/>
    <x v="1"/>
    <x v="1"/>
    <x v="2"/>
    <x v="1"/>
    <x v="2"/>
    <x v="1"/>
    <x v="1"/>
    <x v="114"/>
    <x v="2"/>
    <x v="3"/>
    <x v="4"/>
    <x v="262"/>
    <x v="12"/>
    <x v="1"/>
    <x v="7"/>
    <x v="1"/>
    <x v="0"/>
    <x v="311"/>
    <x v="0"/>
    <x v="161"/>
  </r>
  <r>
    <x v="522"/>
    <x v="264"/>
    <x v="264"/>
    <x v="260"/>
    <x v="416"/>
    <x v="1"/>
    <x v="2"/>
    <x v="275"/>
    <x v="222"/>
    <x v="1"/>
    <x v="113"/>
    <x v="0"/>
    <x v="0"/>
    <x v="1"/>
    <x v="1"/>
    <x v="1"/>
    <x v="2"/>
    <x v="1"/>
    <x v="2"/>
    <x v="1"/>
    <x v="2"/>
    <x v="0"/>
    <x v="1"/>
    <x v="1"/>
    <x v="2"/>
    <x v="264"/>
    <x v="12"/>
    <x v="0"/>
    <x v="0"/>
    <x v="1"/>
    <x v="0"/>
    <x v="0"/>
    <x v="0"/>
    <x v="0"/>
  </r>
  <r>
    <x v="523"/>
    <x v="245"/>
    <x v="245"/>
    <x v="241"/>
    <x v="417"/>
    <x v="1"/>
    <x v="2"/>
    <x v="4"/>
    <x v="208"/>
    <x v="1"/>
    <x v="15"/>
    <x v="0"/>
    <x v="0"/>
    <x v="1"/>
    <x v="1"/>
    <x v="1"/>
    <x v="2"/>
    <x v="1"/>
    <x v="1"/>
    <x v="1"/>
    <x v="1"/>
    <x v="114"/>
    <x v="1"/>
    <x v="6"/>
    <x v="2"/>
    <x v="245"/>
    <x v="3"/>
    <x v="1"/>
    <x v="7"/>
    <x v="1"/>
    <x v="0"/>
    <x v="312"/>
    <x v="0"/>
    <x v="0"/>
  </r>
  <r>
    <x v="524"/>
    <x v="262"/>
    <x v="262"/>
    <x v="258"/>
    <x v="0"/>
    <x v="3"/>
    <x v="1"/>
    <x v="273"/>
    <x v="196"/>
    <x v="6"/>
    <x v="0"/>
    <x v="0"/>
    <x v="1"/>
    <x v="3"/>
    <x v="4"/>
    <x v="1"/>
    <x v="2"/>
    <x v="1"/>
    <x v="2"/>
    <x v="1"/>
    <x v="2"/>
    <x v="0"/>
    <x v="2"/>
    <x v="3"/>
    <x v="4"/>
    <x v="262"/>
    <x v="12"/>
    <x v="0"/>
    <x v="0"/>
    <x v="1"/>
    <x v="0"/>
    <x v="0"/>
    <x v="0"/>
    <x v="0"/>
  </r>
  <r>
    <x v="525"/>
    <x v="245"/>
    <x v="245"/>
    <x v="241"/>
    <x v="0"/>
    <x v="1"/>
    <x v="3"/>
    <x v="4"/>
    <x v="208"/>
    <x v="1"/>
    <x v="15"/>
    <x v="0"/>
    <x v="0"/>
    <x v="3"/>
    <x v="1"/>
    <x v="1"/>
    <x v="2"/>
    <x v="1"/>
    <x v="2"/>
    <x v="1"/>
    <x v="2"/>
    <x v="0"/>
    <x v="2"/>
    <x v="3"/>
    <x v="4"/>
    <x v="245"/>
    <x v="12"/>
    <x v="0"/>
    <x v="0"/>
    <x v="1"/>
    <x v="0"/>
    <x v="0"/>
    <x v="0"/>
    <x v="162"/>
  </r>
  <r>
    <x v="526"/>
    <x v="265"/>
    <x v="265"/>
    <x v="261"/>
    <x v="418"/>
    <x v="1"/>
    <x v="2"/>
    <x v="276"/>
    <x v="220"/>
    <x v="1"/>
    <x v="2"/>
    <x v="0"/>
    <x v="0"/>
    <x v="1"/>
    <x v="1"/>
    <x v="1"/>
    <x v="1"/>
    <x v="1"/>
    <x v="3"/>
    <x v="1"/>
    <x v="1"/>
    <x v="114"/>
    <x v="1"/>
    <x v="6"/>
    <x v="2"/>
    <x v="265"/>
    <x v="12"/>
    <x v="1"/>
    <x v="7"/>
    <x v="2"/>
    <x v="1"/>
    <x v="313"/>
    <x v="0"/>
    <x v="163"/>
  </r>
  <r>
    <x v="527"/>
    <x v="265"/>
    <x v="265"/>
    <x v="261"/>
    <x v="419"/>
    <x v="1"/>
    <x v="2"/>
    <x v="276"/>
    <x v="220"/>
    <x v="1"/>
    <x v="2"/>
    <x v="0"/>
    <x v="0"/>
    <x v="3"/>
    <x v="1"/>
    <x v="1"/>
    <x v="2"/>
    <x v="1"/>
    <x v="2"/>
    <x v="1"/>
    <x v="2"/>
    <x v="0"/>
    <x v="1"/>
    <x v="3"/>
    <x v="4"/>
    <x v="265"/>
    <x v="12"/>
    <x v="0"/>
    <x v="0"/>
    <x v="1"/>
    <x v="0"/>
    <x v="0"/>
    <x v="0"/>
    <x v="164"/>
  </r>
  <r>
    <x v="528"/>
    <x v="266"/>
    <x v="266"/>
    <x v="262"/>
    <x v="420"/>
    <x v="1"/>
    <x v="2"/>
    <x v="277"/>
    <x v="43"/>
    <x v="1"/>
    <x v="2"/>
    <x v="0"/>
    <x v="0"/>
    <x v="1"/>
    <x v="2"/>
    <x v="3"/>
    <x v="2"/>
    <x v="1"/>
    <x v="2"/>
    <x v="1"/>
    <x v="1"/>
    <x v="115"/>
    <x v="1"/>
    <x v="6"/>
    <x v="2"/>
    <x v="266"/>
    <x v="5"/>
    <x v="3"/>
    <x v="0"/>
    <x v="1"/>
    <x v="0"/>
    <x v="314"/>
    <x v="161"/>
    <x v="0"/>
  </r>
  <r>
    <x v="529"/>
    <x v="169"/>
    <x v="169"/>
    <x v="167"/>
    <x v="0"/>
    <x v="1"/>
    <x v="2"/>
    <x v="177"/>
    <x v="196"/>
    <x v="6"/>
    <x v="0"/>
    <x v="0"/>
    <x v="13"/>
    <x v="3"/>
    <x v="1"/>
    <x v="1"/>
    <x v="2"/>
    <x v="1"/>
    <x v="2"/>
    <x v="1"/>
    <x v="2"/>
    <x v="0"/>
    <x v="2"/>
    <x v="3"/>
    <x v="4"/>
    <x v="168"/>
    <x v="5"/>
    <x v="0"/>
    <x v="0"/>
    <x v="1"/>
    <x v="0"/>
    <x v="0"/>
    <x v="0"/>
    <x v="165"/>
  </r>
  <r>
    <x v="530"/>
    <x v="261"/>
    <x v="261"/>
    <x v="257"/>
    <x v="0"/>
    <x v="3"/>
    <x v="2"/>
    <x v="272"/>
    <x v="220"/>
    <x v="1"/>
    <x v="9"/>
    <x v="0"/>
    <x v="0"/>
    <x v="3"/>
    <x v="1"/>
    <x v="1"/>
    <x v="2"/>
    <x v="1"/>
    <x v="2"/>
    <x v="1"/>
    <x v="2"/>
    <x v="0"/>
    <x v="2"/>
    <x v="3"/>
    <x v="4"/>
    <x v="261"/>
    <x v="5"/>
    <x v="0"/>
    <x v="0"/>
    <x v="1"/>
    <x v="0"/>
    <x v="0"/>
    <x v="0"/>
    <x v="166"/>
  </r>
  <r>
    <x v="531"/>
    <x v="193"/>
    <x v="191"/>
    <x v="189"/>
    <x v="0"/>
    <x v="1"/>
    <x v="2"/>
    <x v="202"/>
    <x v="165"/>
    <x v="1"/>
    <x v="31"/>
    <x v="0"/>
    <x v="0"/>
    <x v="3"/>
    <x v="1"/>
    <x v="1"/>
    <x v="1"/>
    <x v="1"/>
    <x v="2"/>
    <x v="1"/>
    <x v="1"/>
    <x v="115"/>
    <x v="2"/>
    <x v="3"/>
    <x v="4"/>
    <x v="191"/>
    <x v="5"/>
    <x v="3"/>
    <x v="0"/>
    <x v="1"/>
    <x v="0"/>
    <x v="315"/>
    <x v="0"/>
    <x v="167"/>
  </r>
  <r>
    <x v="532"/>
    <x v="48"/>
    <x v="37"/>
    <x v="37"/>
    <x v="421"/>
    <x v="3"/>
    <x v="2"/>
    <x v="40"/>
    <x v="41"/>
    <x v="1"/>
    <x v="15"/>
    <x v="0"/>
    <x v="0"/>
    <x v="1"/>
    <x v="2"/>
    <x v="3"/>
    <x v="2"/>
    <x v="1"/>
    <x v="2"/>
    <x v="1"/>
    <x v="1"/>
    <x v="115"/>
    <x v="1"/>
    <x v="6"/>
    <x v="2"/>
    <x v="37"/>
    <x v="5"/>
    <x v="3"/>
    <x v="0"/>
    <x v="1"/>
    <x v="0"/>
    <x v="316"/>
    <x v="162"/>
    <x v="0"/>
  </r>
  <r>
    <x v="533"/>
    <x v="135"/>
    <x v="135"/>
    <x v="133"/>
    <x v="422"/>
    <x v="1"/>
    <x v="2"/>
    <x v="139"/>
    <x v="119"/>
    <x v="1"/>
    <x v="114"/>
    <x v="0"/>
    <x v="0"/>
    <x v="1"/>
    <x v="1"/>
    <x v="1"/>
    <x v="2"/>
    <x v="1"/>
    <x v="2"/>
    <x v="1"/>
    <x v="1"/>
    <x v="115"/>
    <x v="1"/>
    <x v="6"/>
    <x v="2"/>
    <x v="267"/>
    <x v="12"/>
    <x v="1"/>
    <x v="7"/>
    <x v="2"/>
    <x v="1"/>
    <x v="317"/>
    <x v="0"/>
    <x v="0"/>
  </r>
  <r>
    <x v="534"/>
    <x v="135"/>
    <x v="135"/>
    <x v="133"/>
    <x v="422"/>
    <x v="1"/>
    <x v="2"/>
    <x v="139"/>
    <x v="223"/>
    <x v="1"/>
    <x v="114"/>
    <x v="0"/>
    <x v="0"/>
    <x v="3"/>
    <x v="3"/>
    <x v="3"/>
    <x v="1"/>
    <x v="1"/>
    <x v="2"/>
    <x v="1"/>
    <x v="1"/>
    <x v="116"/>
    <x v="1"/>
    <x v="3"/>
    <x v="4"/>
    <x v="267"/>
    <x v="12"/>
    <x v="1"/>
    <x v="7"/>
    <x v="1"/>
    <x v="0"/>
    <x v="318"/>
    <x v="0"/>
    <x v="168"/>
  </r>
  <r>
    <x v="535"/>
    <x v="267"/>
    <x v="267"/>
    <x v="263"/>
    <x v="423"/>
    <x v="1"/>
    <x v="2"/>
    <x v="278"/>
    <x v="224"/>
    <x v="1"/>
    <x v="15"/>
    <x v="0"/>
    <x v="0"/>
    <x v="1"/>
    <x v="1"/>
    <x v="1"/>
    <x v="2"/>
    <x v="1"/>
    <x v="2"/>
    <x v="1"/>
    <x v="2"/>
    <x v="115"/>
    <x v="1"/>
    <x v="6"/>
    <x v="2"/>
    <x v="268"/>
    <x v="12"/>
    <x v="1"/>
    <x v="7"/>
    <x v="2"/>
    <x v="1"/>
    <x v="319"/>
    <x v="0"/>
    <x v="169"/>
  </r>
  <r>
    <x v="536"/>
    <x v="268"/>
    <x v="268"/>
    <x v="264"/>
    <x v="424"/>
    <x v="3"/>
    <x v="2"/>
    <x v="279"/>
    <x v="225"/>
    <x v="2"/>
    <x v="0"/>
    <x v="2"/>
    <x v="0"/>
    <x v="1"/>
    <x v="1"/>
    <x v="1"/>
    <x v="2"/>
    <x v="1"/>
    <x v="2"/>
    <x v="1"/>
    <x v="1"/>
    <x v="116"/>
    <x v="1"/>
    <x v="6"/>
    <x v="2"/>
    <x v="269"/>
    <x v="12"/>
    <x v="3"/>
    <x v="0"/>
    <x v="1"/>
    <x v="0"/>
    <x v="320"/>
    <x v="163"/>
    <x v="170"/>
  </r>
  <r>
    <x v="537"/>
    <x v="267"/>
    <x v="267"/>
    <x v="263"/>
    <x v="425"/>
    <x v="1"/>
    <x v="2"/>
    <x v="278"/>
    <x v="226"/>
    <x v="2"/>
    <x v="0"/>
    <x v="2"/>
    <x v="0"/>
    <x v="3"/>
    <x v="1"/>
    <x v="1"/>
    <x v="2"/>
    <x v="1"/>
    <x v="2"/>
    <x v="1"/>
    <x v="2"/>
    <x v="0"/>
    <x v="1"/>
    <x v="3"/>
    <x v="4"/>
    <x v="268"/>
    <x v="12"/>
    <x v="0"/>
    <x v="0"/>
    <x v="1"/>
    <x v="0"/>
    <x v="0"/>
    <x v="0"/>
    <x v="0"/>
  </r>
  <r>
    <x v="538"/>
    <x v="269"/>
    <x v="269"/>
    <x v="265"/>
    <x v="426"/>
    <x v="2"/>
    <x v="3"/>
    <x v="280"/>
    <x v="10"/>
    <x v="1"/>
    <x v="1"/>
    <x v="0"/>
    <x v="0"/>
    <x v="2"/>
    <x v="2"/>
    <x v="3"/>
    <x v="1"/>
    <x v="2"/>
    <x v="3"/>
    <x v="1"/>
    <x v="1"/>
    <x v="116"/>
    <x v="1"/>
    <x v="2"/>
    <x v="2"/>
    <x v="270"/>
    <x v="12"/>
    <x v="1"/>
    <x v="4"/>
    <x v="2"/>
    <x v="1"/>
    <x v="321"/>
    <x v="0"/>
    <x v="171"/>
  </r>
  <r>
    <x v="539"/>
    <x v="256"/>
    <x v="256"/>
    <x v="252"/>
    <x v="427"/>
    <x v="1"/>
    <x v="2"/>
    <x v="267"/>
    <x v="227"/>
    <x v="1"/>
    <x v="33"/>
    <x v="0"/>
    <x v="0"/>
    <x v="1"/>
    <x v="3"/>
    <x v="2"/>
    <x v="2"/>
    <x v="1"/>
    <x v="2"/>
    <x v="1"/>
    <x v="1"/>
    <x v="117"/>
    <x v="1"/>
    <x v="4"/>
    <x v="2"/>
    <x v="256"/>
    <x v="12"/>
    <x v="3"/>
    <x v="0"/>
    <x v="1"/>
    <x v="0"/>
    <x v="322"/>
    <x v="164"/>
    <x v="0"/>
  </r>
  <r>
    <x v="540"/>
    <x v="270"/>
    <x v="270"/>
    <x v="266"/>
    <x v="428"/>
    <x v="3"/>
    <x v="2"/>
    <x v="281"/>
    <x v="24"/>
    <x v="1"/>
    <x v="15"/>
    <x v="0"/>
    <x v="0"/>
    <x v="1"/>
    <x v="1"/>
    <x v="1"/>
    <x v="2"/>
    <x v="1"/>
    <x v="3"/>
    <x v="1"/>
    <x v="2"/>
    <x v="0"/>
    <x v="1"/>
    <x v="1"/>
    <x v="2"/>
    <x v="271"/>
    <x v="11"/>
    <x v="0"/>
    <x v="0"/>
    <x v="1"/>
    <x v="0"/>
    <x v="0"/>
    <x v="0"/>
    <x v="0"/>
  </r>
  <r>
    <x v="541"/>
    <x v="135"/>
    <x v="135"/>
    <x v="133"/>
    <x v="0"/>
    <x v="1"/>
    <x v="2"/>
    <x v="139"/>
    <x v="119"/>
    <x v="1"/>
    <x v="114"/>
    <x v="0"/>
    <x v="0"/>
    <x v="3"/>
    <x v="1"/>
    <x v="1"/>
    <x v="2"/>
    <x v="1"/>
    <x v="2"/>
    <x v="1"/>
    <x v="1"/>
    <x v="116"/>
    <x v="2"/>
    <x v="3"/>
    <x v="4"/>
    <x v="267"/>
    <x v="12"/>
    <x v="3"/>
    <x v="0"/>
    <x v="1"/>
    <x v="0"/>
    <x v="323"/>
    <x v="165"/>
    <x v="172"/>
  </r>
  <r>
    <x v="542"/>
    <x v="269"/>
    <x v="269"/>
    <x v="265"/>
    <x v="429"/>
    <x v="2"/>
    <x v="3"/>
    <x v="280"/>
    <x v="228"/>
    <x v="1"/>
    <x v="1"/>
    <x v="0"/>
    <x v="0"/>
    <x v="3"/>
    <x v="3"/>
    <x v="3"/>
    <x v="2"/>
    <x v="2"/>
    <x v="1"/>
    <x v="1"/>
    <x v="1"/>
    <x v="118"/>
    <x v="1"/>
    <x v="3"/>
    <x v="4"/>
    <x v="270"/>
    <x v="1"/>
    <x v="1"/>
    <x v="4"/>
    <x v="2"/>
    <x v="1"/>
    <x v="324"/>
    <x v="0"/>
    <x v="0"/>
  </r>
  <r>
    <x v="543"/>
    <x v="269"/>
    <x v="269"/>
    <x v="265"/>
    <x v="430"/>
    <x v="2"/>
    <x v="3"/>
    <x v="280"/>
    <x v="95"/>
    <x v="1"/>
    <x v="2"/>
    <x v="0"/>
    <x v="0"/>
    <x v="3"/>
    <x v="1"/>
    <x v="1"/>
    <x v="2"/>
    <x v="2"/>
    <x v="1"/>
    <x v="1"/>
    <x v="1"/>
    <x v="117"/>
    <x v="1"/>
    <x v="3"/>
    <x v="4"/>
    <x v="270"/>
    <x v="1"/>
    <x v="1"/>
    <x v="4"/>
    <x v="2"/>
    <x v="1"/>
    <x v="325"/>
    <x v="0"/>
    <x v="0"/>
  </r>
  <r>
    <x v="544"/>
    <x v="233"/>
    <x v="232"/>
    <x v="229"/>
    <x v="431"/>
    <x v="1"/>
    <x v="1"/>
    <x v="243"/>
    <x v="199"/>
    <x v="1"/>
    <x v="2"/>
    <x v="0"/>
    <x v="0"/>
    <x v="1"/>
    <x v="1"/>
    <x v="1"/>
    <x v="2"/>
    <x v="1"/>
    <x v="2"/>
    <x v="1"/>
    <x v="2"/>
    <x v="0"/>
    <x v="1"/>
    <x v="1"/>
    <x v="2"/>
    <x v="233"/>
    <x v="4"/>
    <x v="0"/>
    <x v="0"/>
    <x v="1"/>
    <x v="0"/>
    <x v="0"/>
    <x v="0"/>
    <x v="0"/>
  </r>
  <r>
    <x v="545"/>
    <x v="269"/>
    <x v="269"/>
    <x v="265"/>
    <x v="432"/>
    <x v="2"/>
    <x v="3"/>
    <x v="280"/>
    <x v="95"/>
    <x v="1"/>
    <x v="1"/>
    <x v="0"/>
    <x v="0"/>
    <x v="3"/>
    <x v="1"/>
    <x v="1"/>
    <x v="2"/>
    <x v="2"/>
    <x v="1"/>
    <x v="1"/>
    <x v="2"/>
    <x v="0"/>
    <x v="1"/>
    <x v="3"/>
    <x v="4"/>
    <x v="270"/>
    <x v="1"/>
    <x v="0"/>
    <x v="0"/>
    <x v="1"/>
    <x v="0"/>
    <x v="0"/>
    <x v="0"/>
    <x v="0"/>
  </r>
  <r>
    <x v="546"/>
    <x v="271"/>
    <x v="271"/>
    <x v="267"/>
    <x v="433"/>
    <x v="1"/>
    <x v="2"/>
    <x v="282"/>
    <x v="115"/>
    <x v="1"/>
    <x v="3"/>
    <x v="0"/>
    <x v="0"/>
    <x v="1"/>
    <x v="1"/>
    <x v="1"/>
    <x v="2"/>
    <x v="1"/>
    <x v="2"/>
    <x v="1"/>
    <x v="1"/>
    <x v="119"/>
    <x v="1"/>
    <x v="1"/>
    <x v="2"/>
    <x v="272"/>
    <x v="4"/>
    <x v="1"/>
    <x v="2"/>
    <x v="1"/>
    <x v="0"/>
    <x v="326"/>
    <x v="166"/>
    <x v="0"/>
  </r>
  <r>
    <x v="547"/>
    <x v="272"/>
    <x v="272"/>
    <x v="268"/>
    <x v="434"/>
    <x v="1"/>
    <x v="3"/>
    <x v="283"/>
    <x v="10"/>
    <x v="2"/>
    <x v="0"/>
    <x v="9"/>
    <x v="0"/>
    <x v="1"/>
    <x v="1"/>
    <x v="1"/>
    <x v="2"/>
    <x v="1"/>
    <x v="1"/>
    <x v="1"/>
    <x v="1"/>
    <x v="117"/>
    <x v="1"/>
    <x v="1"/>
    <x v="2"/>
    <x v="273"/>
    <x v="1"/>
    <x v="1"/>
    <x v="5"/>
    <x v="2"/>
    <x v="1"/>
    <x v="327"/>
    <x v="0"/>
    <x v="0"/>
  </r>
  <r>
    <x v="548"/>
    <x v="272"/>
    <x v="273"/>
    <x v="268"/>
    <x v="435"/>
    <x v="1"/>
    <x v="3"/>
    <x v="283"/>
    <x v="10"/>
    <x v="2"/>
    <x v="0"/>
    <x v="6"/>
    <x v="0"/>
    <x v="3"/>
    <x v="3"/>
    <x v="3"/>
    <x v="2"/>
    <x v="1"/>
    <x v="2"/>
    <x v="1"/>
    <x v="1"/>
    <x v="119"/>
    <x v="1"/>
    <x v="3"/>
    <x v="4"/>
    <x v="273"/>
    <x v="2"/>
    <x v="1"/>
    <x v="2"/>
    <x v="1"/>
    <x v="0"/>
    <x v="328"/>
    <x v="167"/>
    <x v="173"/>
  </r>
  <r>
    <x v="549"/>
    <x v="273"/>
    <x v="274"/>
    <x v="269"/>
    <x v="436"/>
    <x v="1"/>
    <x v="3"/>
    <x v="284"/>
    <x v="27"/>
    <x v="1"/>
    <x v="9"/>
    <x v="0"/>
    <x v="0"/>
    <x v="1"/>
    <x v="3"/>
    <x v="2"/>
    <x v="2"/>
    <x v="1"/>
    <x v="1"/>
    <x v="1"/>
    <x v="1"/>
    <x v="119"/>
    <x v="1"/>
    <x v="1"/>
    <x v="2"/>
    <x v="274"/>
    <x v="2"/>
    <x v="1"/>
    <x v="7"/>
    <x v="1"/>
    <x v="0"/>
    <x v="329"/>
    <x v="168"/>
    <x v="174"/>
  </r>
  <r>
    <x v="550"/>
    <x v="274"/>
    <x v="275"/>
    <x v="270"/>
    <x v="437"/>
    <x v="1"/>
    <x v="4"/>
    <x v="285"/>
    <x v="229"/>
    <x v="1"/>
    <x v="115"/>
    <x v="0"/>
    <x v="0"/>
    <x v="1"/>
    <x v="1"/>
    <x v="1"/>
    <x v="2"/>
    <x v="1"/>
    <x v="2"/>
    <x v="1"/>
    <x v="2"/>
    <x v="0"/>
    <x v="1"/>
    <x v="2"/>
    <x v="2"/>
    <x v="275"/>
    <x v="12"/>
    <x v="0"/>
    <x v="0"/>
    <x v="1"/>
    <x v="0"/>
    <x v="0"/>
    <x v="0"/>
    <x v="0"/>
  </r>
  <r>
    <x v="551"/>
    <x v="272"/>
    <x v="273"/>
    <x v="268"/>
    <x v="0"/>
    <x v="1"/>
    <x v="3"/>
    <x v="283"/>
    <x v="10"/>
    <x v="2"/>
    <x v="0"/>
    <x v="6"/>
    <x v="0"/>
    <x v="3"/>
    <x v="4"/>
    <x v="1"/>
    <x v="2"/>
    <x v="1"/>
    <x v="2"/>
    <x v="1"/>
    <x v="2"/>
    <x v="0"/>
    <x v="2"/>
    <x v="3"/>
    <x v="4"/>
    <x v="273"/>
    <x v="4"/>
    <x v="0"/>
    <x v="0"/>
    <x v="1"/>
    <x v="0"/>
    <x v="0"/>
    <x v="0"/>
    <x v="0"/>
  </r>
  <r>
    <x v="552"/>
    <x v="275"/>
    <x v="276"/>
    <x v="271"/>
    <x v="438"/>
    <x v="1"/>
    <x v="2"/>
    <x v="286"/>
    <x v="218"/>
    <x v="1"/>
    <x v="3"/>
    <x v="0"/>
    <x v="0"/>
    <x v="1"/>
    <x v="3"/>
    <x v="2"/>
    <x v="2"/>
    <x v="1"/>
    <x v="2"/>
    <x v="1"/>
    <x v="1"/>
    <x v="120"/>
    <x v="1"/>
    <x v="1"/>
    <x v="2"/>
    <x v="276"/>
    <x v="12"/>
    <x v="1"/>
    <x v="1"/>
    <x v="1"/>
    <x v="0"/>
    <x v="330"/>
    <x v="0"/>
    <x v="175"/>
  </r>
  <r>
    <x v="553"/>
    <x v="271"/>
    <x v="271"/>
    <x v="267"/>
    <x v="0"/>
    <x v="1"/>
    <x v="2"/>
    <x v="282"/>
    <x v="115"/>
    <x v="1"/>
    <x v="3"/>
    <x v="0"/>
    <x v="0"/>
    <x v="3"/>
    <x v="3"/>
    <x v="2"/>
    <x v="2"/>
    <x v="1"/>
    <x v="2"/>
    <x v="1"/>
    <x v="1"/>
    <x v="121"/>
    <x v="2"/>
    <x v="3"/>
    <x v="4"/>
    <x v="272"/>
    <x v="4"/>
    <x v="3"/>
    <x v="0"/>
    <x v="1"/>
    <x v="0"/>
    <x v="331"/>
    <x v="169"/>
    <x v="176"/>
  </r>
  <r>
    <x v="554"/>
    <x v="273"/>
    <x v="274"/>
    <x v="269"/>
    <x v="0"/>
    <x v="1"/>
    <x v="3"/>
    <x v="287"/>
    <x v="27"/>
    <x v="1"/>
    <x v="9"/>
    <x v="0"/>
    <x v="0"/>
    <x v="3"/>
    <x v="5"/>
    <x v="1"/>
    <x v="1"/>
    <x v="1"/>
    <x v="2"/>
    <x v="1"/>
    <x v="2"/>
    <x v="0"/>
    <x v="1"/>
    <x v="3"/>
    <x v="4"/>
    <x v="274"/>
    <x v="12"/>
    <x v="0"/>
    <x v="0"/>
    <x v="1"/>
    <x v="0"/>
    <x v="0"/>
    <x v="0"/>
    <x v="177"/>
  </r>
  <r>
    <x v="555"/>
    <x v="275"/>
    <x v="276"/>
    <x v="271"/>
    <x v="0"/>
    <x v="1"/>
    <x v="2"/>
    <x v="286"/>
    <x v="218"/>
    <x v="1"/>
    <x v="3"/>
    <x v="0"/>
    <x v="0"/>
    <x v="3"/>
    <x v="3"/>
    <x v="2"/>
    <x v="2"/>
    <x v="1"/>
    <x v="2"/>
    <x v="1"/>
    <x v="1"/>
    <x v="122"/>
    <x v="2"/>
    <x v="3"/>
    <x v="4"/>
    <x v="276"/>
    <x v="5"/>
    <x v="1"/>
    <x v="4"/>
    <x v="2"/>
    <x v="1"/>
    <x v="332"/>
    <x v="170"/>
    <x v="178"/>
  </r>
  <r>
    <x v="556"/>
    <x v="276"/>
    <x v="277"/>
    <x v="272"/>
    <x v="439"/>
    <x v="1"/>
    <x v="2"/>
    <x v="288"/>
    <x v="60"/>
    <x v="1"/>
    <x v="22"/>
    <x v="0"/>
    <x v="0"/>
    <x v="1"/>
    <x v="2"/>
    <x v="3"/>
    <x v="2"/>
    <x v="1"/>
    <x v="2"/>
    <x v="1"/>
    <x v="1"/>
    <x v="123"/>
    <x v="1"/>
    <x v="6"/>
    <x v="3"/>
    <x v="277"/>
    <x v="5"/>
    <x v="1"/>
    <x v="4"/>
    <x v="1"/>
    <x v="0"/>
    <x v="333"/>
    <x v="171"/>
    <x v="179"/>
  </r>
  <r>
    <x v="557"/>
    <x v="277"/>
    <x v="278"/>
    <x v="273"/>
    <x v="440"/>
    <x v="1"/>
    <x v="2"/>
    <x v="289"/>
    <x v="230"/>
    <x v="1"/>
    <x v="116"/>
    <x v="0"/>
    <x v="0"/>
    <x v="1"/>
    <x v="1"/>
    <x v="1"/>
    <x v="2"/>
    <x v="1"/>
    <x v="3"/>
    <x v="1"/>
    <x v="2"/>
    <x v="0"/>
    <x v="1"/>
    <x v="6"/>
    <x v="2"/>
    <x v="278"/>
    <x v="1"/>
    <x v="0"/>
    <x v="0"/>
    <x v="1"/>
    <x v="0"/>
    <x v="0"/>
    <x v="0"/>
    <x v="0"/>
  </r>
  <r>
    <x v="558"/>
    <x v="278"/>
    <x v="279"/>
    <x v="274"/>
    <x v="441"/>
    <x v="1"/>
    <x v="2"/>
    <x v="290"/>
    <x v="231"/>
    <x v="1"/>
    <x v="117"/>
    <x v="0"/>
    <x v="0"/>
    <x v="1"/>
    <x v="1"/>
    <x v="2"/>
    <x v="2"/>
    <x v="1"/>
    <x v="2"/>
    <x v="1"/>
    <x v="1"/>
    <x v="122"/>
    <x v="1"/>
    <x v="6"/>
    <x v="3"/>
    <x v="279"/>
    <x v="5"/>
    <x v="3"/>
    <x v="0"/>
    <x v="1"/>
    <x v="0"/>
    <x v="332"/>
    <x v="172"/>
    <x v="180"/>
  </r>
  <r>
    <x v="559"/>
    <x v="141"/>
    <x v="141"/>
    <x v="139"/>
    <x v="442"/>
    <x v="1"/>
    <x v="1"/>
    <x v="145"/>
    <x v="125"/>
    <x v="1"/>
    <x v="9"/>
    <x v="0"/>
    <x v="0"/>
    <x v="1"/>
    <x v="1"/>
    <x v="1"/>
    <x v="2"/>
    <x v="1"/>
    <x v="3"/>
    <x v="1"/>
    <x v="2"/>
    <x v="0"/>
    <x v="1"/>
    <x v="1"/>
    <x v="2"/>
    <x v="140"/>
    <x v="3"/>
    <x v="0"/>
    <x v="0"/>
    <x v="1"/>
    <x v="0"/>
    <x v="0"/>
    <x v="0"/>
    <x v="0"/>
  </r>
  <r>
    <x v="560"/>
    <x v="266"/>
    <x v="266"/>
    <x v="262"/>
    <x v="443"/>
    <x v="1"/>
    <x v="2"/>
    <x v="277"/>
    <x v="158"/>
    <x v="1"/>
    <x v="27"/>
    <x v="0"/>
    <x v="0"/>
    <x v="1"/>
    <x v="2"/>
    <x v="3"/>
    <x v="2"/>
    <x v="1"/>
    <x v="1"/>
    <x v="1"/>
    <x v="1"/>
    <x v="122"/>
    <x v="1"/>
    <x v="1"/>
    <x v="2"/>
    <x v="266"/>
    <x v="1"/>
    <x v="1"/>
    <x v="5"/>
    <x v="1"/>
    <x v="0"/>
    <x v="334"/>
    <x v="173"/>
    <x v="178"/>
  </r>
  <r>
    <x v="561"/>
    <x v="276"/>
    <x v="277"/>
    <x v="272"/>
    <x v="0"/>
    <x v="1"/>
    <x v="2"/>
    <x v="288"/>
    <x v="60"/>
    <x v="1"/>
    <x v="4"/>
    <x v="0"/>
    <x v="0"/>
    <x v="3"/>
    <x v="6"/>
    <x v="3"/>
    <x v="2"/>
    <x v="1"/>
    <x v="2"/>
    <x v="1"/>
    <x v="1"/>
    <x v="122"/>
    <x v="1"/>
    <x v="3"/>
    <x v="4"/>
    <x v="277"/>
    <x v="1"/>
    <x v="1"/>
    <x v="4"/>
    <x v="1"/>
    <x v="0"/>
    <x v="335"/>
    <x v="174"/>
    <x v="178"/>
  </r>
  <r>
    <x v="562"/>
    <x v="140"/>
    <x v="140"/>
    <x v="138"/>
    <x v="444"/>
    <x v="3"/>
    <x v="2"/>
    <x v="144"/>
    <x v="123"/>
    <x v="1"/>
    <x v="118"/>
    <x v="0"/>
    <x v="0"/>
    <x v="1"/>
    <x v="1"/>
    <x v="1"/>
    <x v="2"/>
    <x v="1"/>
    <x v="1"/>
    <x v="1"/>
    <x v="2"/>
    <x v="0"/>
    <x v="1"/>
    <x v="1"/>
    <x v="2"/>
    <x v="139"/>
    <x v="12"/>
    <x v="0"/>
    <x v="0"/>
    <x v="1"/>
    <x v="0"/>
    <x v="0"/>
    <x v="0"/>
    <x v="0"/>
  </r>
  <r>
    <x v="563"/>
    <x v="148"/>
    <x v="148"/>
    <x v="146"/>
    <x v="445"/>
    <x v="1"/>
    <x v="2"/>
    <x v="153"/>
    <x v="129"/>
    <x v="1"/>
    <x v="79"/>
    <x v="0"/>
    <x v="0"/>
    <x v="1"/>
    <x v="3"/>
    <x v="3"/>
    <x v="2"/>
    <x v="1"/>
    <x v="2"/>
    <x v="1"/>
    <x v="1"/>
    <x v="124"/>
    <x v="1"/>
    <x v="5"/>
    <x v="2"/>
    <x v="147"/>
    <x v="12"/>
    <x v="1"/>
    <x v="7"/>
    <x v="1"/>
    <x v="0"/>
    <x v="336"/>
    <x v="0"/>
    <x v="181"/>
  </r>
  <r>
    <x v="564"/>
    <x v="276"/>
    <x v="277"/>
    <x v="272"/>
    <x v="0"/>
    <x v="1"/>
    <x v="2"/>
    <x v="288"/>
    <x v="60"/>
    <x v="1"/>
    <x v="4"/>
    <x v="0"/>
    <x v="0"/>
    <x v="3"/>
    <x v="4"/>
    <x v="1"/>
    <x v="2"/>
    <x v="1"/>
    <x v="2"/>
    <x v="1"/>
    <x v="2"/>
    <x v="0"/>
    <x v="2"/>
    <x v="3"/>
    <x v="4"/>
    <x v="277"/>
    <x v="1"/>
    <x v="0"/>
    <x v="0"/>
    <x v="1"/>
    <x v="0"/>
    <x v="0"/>
    <x v="0"/>
    <x v="0"/>
  </r>
  <r>
    <x v="565"/>
    <x v="266"/>
    <x v="266"/>
    <x v="262"/>
    <x v="0"/>
    <x v="1"/>
    <x v="2"/>
    <x v="291"/>
    <x v="10"/>
    <x v="2"/>
    <x v="0"/>
    <x v="2"/>
    <x v="0"/>
    <x v="3"/>
    <x v="4"/>
    <x v="1"/>
    <x v="2"/>
    <x v="1"/>
    <x v="2"/>
    <x v="1"/>
    <x v="2"/>
    <x v="0"/>
    <x v="2"/>
    <x v="3"/>
    <x v="4"/>
    <x v="266"/>
    <x v="2"/>
    <x v="0"/>
    <x v="0"/>
    <x v="1"/>
    <x v="0"/>
    <x v="0"/>
    <x v="0"/>
    <x v="0"/>
  </r>
  <r>
    <x v="566"/>
    <x v="275"/>
    <x v="276"/>
    <x v="271"/>
    <x v="446"/>
    <x v="1"/>
    <x v="2"/>
    <x v="286"/>
    <x v="218"/>
    <x v="1"/>
    <x v="3"/>
    <x v="0"/>
    <x v="0"/>
    <x v="3"/>
    <x v="3"/>
    <x v="2"/>
    <x v="1"/>
    <x v="1"/>
    <x v="3"/>
    <x v="1"/>
    <x v="1"/>
    <x v="125"/>
    <x v="1"/>
    <x v="3"/>
    <x v="4"/>
    <x v="276"/>
    <x v="1"/>
    <x v="1"/>
    <x v="2"/>
    <x v="1"/>
    <x v="0"/>
    <x v="337"/>
    <x v="175"/>
    <x v="0"/>
  </r>
  <r>
    <x v="567"/>
    <x v="148"/>
    <x v="148"/>
    <x v="146"/>
    <x v="0"/>
    <x v="1"/>
    <x v="2"/>
    <x v="153"/>
    <x v="129"/>
    <x v="1"/>
    <x v="79"/>
    <x v="0"/>
    <x v="0"/>
    <x v="3"/>
    <x v="1"/>
    <x v="1"/>
    <x v="2"/>
    <x v="1"/>
    <x v="2"/>
    <x v="1"/>
    <x v="2"/>
    <x v="0"/>
    <x v="2"/>
    <x v="3"/>
    <x v="4"/>
    <x v="147"/>
    <x v="12"/>
    <x v="0"/>
    <x v="0"/>
    <x v="1"/>
    <x v="0"/>
    <x v="0"/>
    <x v="0"/>
    <x v="182"/>
  </r>
  <r>
    <x v="568"/>
    <x v="279"/>
    <x v="280"/>
    <x v="275"/>
    <x v="447"/>
    <x v="1"/>
    <x v="2"/>
    <x v="292"/>
    <x v="232"/>
    <x v="1"/>
    <x v="3"/>
    <x v="0"/>
    <x v="0"/>
    <x v="1"/>
    <x v="3"/>
    <x v="2"/>
    <x v="1"/>
    <x v="1"/>
    <x v="2"/>
    <x v="1"/>
    <x v="1"/>
    <x v="126"/>
    <x v="1"/>
    <x v="1"/>
    <x v="1"/>
    <x v="280"/>
    <x v="5"/>
    <x v="3"/>
    <x v="0"/>
    <x v="1"/>
    <x v="0"/>
    <x v="338"/>
    <x v="0"/>
    <x v="183"/>
  </r>
  <r>
    <x v="569"/>
    <x v="280"/>
    <x v="281"/>
    <x v="276"/>
    <x v="448"/>
    <x v="1"/>
    <x v="2"/>
    <x v="293"/>
    <x v="216"/>
    <x v="1"/>
    <x v="2"/>
    <x v="0"/>
    <x v="0"/>
    <x v="1"/>
    <x v="1"/>
    <x v="2"/>
    <x v="1"/>
    <x v="1"/>
    <x v="2"/>
    <x v="1"/>
    <x v="1"/>
    <x v="125"/>
    <x v="1"/>
    <x v="1"/>
    <x v="2"/>
    <x v="281"/>
    <x v="5"/>
    <x v="1"/>
    <x v="1"/>
    <x v="2"/>
    <x v="1"/>
    <x v="339"/>
    <x v="0"/>
    <x v="0"/>
  </r>
  <r>
    <x v="570"/>
    <x v="140"/>
    <x v="140"/>
    <x v="138"/>
    <x v="449"/>
    <x v="3"/>
    <x v="2"/>
    <x v="144"/>
    <x v="233"/>
    <x v="2"/>
    <x v="0"/>
    <x v="6"/>
    <x v="0"/>
    <x v="1"/>
    <x v="3"/>
    <x v="3"/>
    <x v="2"/>
    <x v="1"/>
    <x v="1"/>
    <x v="1"/>
    <x v="1"/>
    <x v="125"/>
    <x v="1"/>
    <x v="1"/>
    <x v="2"/>
    <x v="139"/>
    <x v="1"/>
    <x v="1"/>
    <x v="4"/>
    <x v="2"/>
    <x v="1"/>
    <x v="340"/>
    <x v="176"/>
    <x v="184"/>
  </r>
  <r>
    <x v="571"/>
    <x v="280"/>
    <x v="281"/>
    <x v="276"/>
    <x v="450"/>
    <x v="1"/>
    <x v="2"/>
    <x v="293"/>
    <x v="216"/>
    <x v="1"/>
    <x v="2"/>
    <x v="0"/>
    <x v="0"/>
    <x v="3"/>
    <x v="1"/>
    <x v="2"/>
    <x v="1"/>
    <x v="1"/>
    <x v="2"/>
    <x v="1"/>
    <x v="2"/>
    <x v="0"/>
    <x v="2"/>
    <x v="3"/>
    <x v="4"/>
    <x v="281"/>
    <x v="5"/>
    <x v="0"/>
    <x v="0"/>
    <x v="1"/>
    <x v="0"/>
    <x v="0"/>
    <x v="0"/>
    <x v="0"/>
  </r>
  <r>
    <x v="572"/>
    <x v="275"/>
    <x v="276"/>
    <x v="271"/>
    <x v="0"/>
    <x v="1"/>
    <x v="2"/>
    <x v="286"/>
    <x v="218"/>
    <x v="1"/>
    <x v="3"/>
    <x v="0"/>
    <x v="0"/>
    <x v="3"/>
    <x v="1"/>
    <x v="1"/>
    <x v="2"/>
    <x v="1"/>
    <x v="3"/>
    <x v="1"/>
    <x v="2"/>
    <x v="0"/>
    <x v="2"/>
    <x v="3"/>
    <x v="4"/>
    <x v="276"/>
    <x v="4"/>
    <x v="0"/>
    <x v="0"/>
    <x v="1"/>
    <x v="0"/>
    <x v="0"/>
    <x v="0"/>
    <x v="0"/>
  </r>
  <r>
    <x v="573"/>
    <x v="281"/>
    <x v="282"/>
    <x v="277"/>
    <x v="451"/>
    <x v="1"/>
    <x v="2"/>
    <x v="294"/>
    <x v="36"/>
    <x v="1"/>
    <x v="27"/>
    <x v="0"/>
    <x v="0"/>
    <x v="1"/>
    <x v="1"/>
    <x v="1"/>
    <x v="2"/>
    <x v="1"/>
    <x v="2"/>
    <x v="1"/>
    <x v="1"/>
    <x v="127"/>
    <x v="1"/>
    <x v="5"/>
    <x v="2"/>
    <x v="282"/>
    <x v="5"/>
    <x v="1"/>
    <x v="7"/>
    <x v="1"/>
    <x v="0"/>
    <x v="341"/>
    <x v="0"/>
    <x v="0"/>
  </r>
  <r>
    <x v="574"/>
    <x v="135"/>
    <x v="135"/>
    <x v="133"/>
    <x v="452"/>
    <x v="1"/>
    <x v="2"/>
    <x v="295"/>
    <x v="119"/>
    <x v="1"/>
    <x v="9"/>
    <x v="0"/>
    <x v="0"/>
    <x v="1"/>
    <x v="1"/>
    <x v="1"/>
    <x v="2"/>
    <x v="1"/>
    <x v="2"/>
    <x v="1"/>
    <x v="1"/>
    <x v="127"/>
    <x v="1"/>
    <x v="5"/>
    <x v="2"/>
    <x v="267"/>
    <x v="5"/>
    <x v="1"/>
    <x v="7"/>
    <x v="2"/>
    <x v="1"/>
    <x v="342"/>
    <x v="0"/>
    <x v="185"/>
  </r>
  <r>
    <x v="575"/>
    <x v="281"/>
    <x v="282"/>
    <x v="277"/>
    <x v="0"/>
    <x v="1"/>
    <x v="2"/>
    <x v="294"/>
    <x v="234"/>
    <x v="1"/>
    <x v="27"/>
    <x v="0"/>
    <x v="0"/>
    <x v="3"/>
    <x v="1"/>
    <x v="1"/>
    <x v="2"/>
    <x v="1"/>
    <x v="2"/>
    <x v="1"/>
    <x v="2"/>
    <x v="0"/>
    <x v="2"/>
    <x v="3"/>
    <x v="4"/>
    <x v="282"/>
    <x v="12"/>
    <x v="0"/>
    <x v="0"/>
    <x v="1"/>
    <x v="0"/>
    <x v="0"/>
    <x v="0"/>
    <x v="0"/>
  </r>
  <r>
    <x v="576"/>
    <x v="282"/>
    <x v="283"/>
    <x v="278"/>
    <x v="453"/>
    <x v="1"/>
    <x v="1"/>
    <x v="296"/>
    <x v="128"/>
    <x v="1"/>
    <x v="9"/>
    <x v="0"/>
    <x v="0"/>
    <x v="1"/>
    <x v="5"/>
    <x v="1"/>
    <x v="2"/>
    <x v="1"/>
    <x v="3"/>
    <x v="1"/>
    <x v="1"/>
    <x v="127"/>
    <x v="1"/>
    <x v="1"/>
    <x v="2"/>
    <x v="283"/>
    <x v="2"/>
    <x v="1"/>
    <x v="4"/>
    <x v="1"/>
    <x v="0"/>
    <x v="343"/>
    <x v="0"/>
    <x v="186"/>
  </r>
  <r>
    <x v="577"/>
    <x v="135"/>
    <x v="135"/>
    <x v="133"/>
    <x v="454"/>
    <x v="1"/>
    <x v="2"/>
    <x v="139"/>
    <x v="119"/>
    <x v="1"/>
    <x v="9"/>
    <x v="0"/>
    <x v="0"/>
    <x v="3"/>
    <x v="1"/>
    <x v="1"/>
    <x v="2"/>
    <x v="1"/>
    <x v="2"/>
    <x v="1"/>
    <x v="2"/>
    <x v="0"/>
    <x v="1"/>
    <x v="3"/>
    <x v="4"/>
    <x v="267"/>
    <x v="12"/>
    <x v="0"/>
    <x v="0"/>
    <x v="1"/>
    <x v="0"/>
    <x v="0"/>
    <x v="0"/>
    <x v="0"/>
  </r>
  <r>
    <x v="578"/>
    <x v="140"/>
    <x v="140"/>
    <x v="138"/>
    <x v="455"/>
    <x v="3"/>
    <x v="2"/>
    <x v="144"/>
    <x v="233"/>
    <x v="1"/>
    <x v="119"/>
    <x v="0"/>
    <x v="0"/>
    <x v="3"/>
    <x v="1"/>
    <x v="1"/>
    <x v="2"/>
    <x v="1"/>
    <x v="1"/>
    <x v="1"/>
    <x v="2"/>
    <x v="0"/>
    <x v="1"/>
    <x v="3"/>
    <x v="4"/>
    <x v="139"/>
    <x v="1"/>
    <x v="0"/>
    <x v="0"/>
    <x v="1"/>
    <x v="0"/>
    <x v="0"/>
    <x v="0"/>
    <x v="0"/>
  </r>
  <r>
    <x v="579"/>
    <x v="283"/>
    <x v="284"/>
    <x v="279"/>
    <x v="456"/>
    <x v="1"/>
    <x v="3"/>
    <x v="297"/>
    <x v="235"/>
    <x v="1"/>
    <x v="120"/>
    <x v="0"/>
    <x v="0"/>
    <x v="1"/>
    <x v="5"/>
    <x v="1"/>
    <x v="2"/>
    <x v="1"/>
    <x v="3"/>
    <x v="1"/>
    <x v="2"/>
    <x v="0"/>
    <x v="1"/>
    <x v="1"/>
    <x v="13"/>
    <x v="284"/>
    <x v="1"/>
    <x v="0"/>
    <x v="0"/>
    <x v="1"/>
    <x v="0"/>
    <x v="0"/>
    <x v="0"/>
    <x v="0"/>
  </r>
  <r>
    <x v="580"/>
    <x v="284"/>
    <x v="285"/>
    <x v="280"/>
    <x v="457"/>
    <x v="1"/>
    <x v="2"/>
    <x v="298"/>
    <x v="33"/>
    <x v="1"/>
    <x v="121"/>
    <x v="0"/>
    <x v="0"/>
    <x v="1"/>
    <x v="1"/>
    <x v="1"/>
    <x v="2"/>
    <x v="1"/>
    <x v="2"/>
    <x v="1"/>
    <x v="2"/>
    <x v="0"/>
    <x v="1"/>
    <x v="6"/>
    <x v="3"/>
    <x v="285"/>
    <x v="5"/>
    <x v="0"/>
    <x v="0"/>
    <x v="1"/>
    <x v="0"/>
    <x v="0"/>
    <x v="0"/>
    <x v="0"/>
  </r>
  <r>
    <x v="581"/>
    <x v="285"/>
    <x v="286"/>
    <x v="281"/>
    <x v="458"/>
    <x v="1"/>
    <x v="2"/>
    <x v="299"/>
    <x v="236"/>
    <x v="1"/>
    <x v="9"/>
    <x v="0"/>
    <x v="0"/>
    <x v="1"/>
    <x v="1"/>
    <x v="1"/>
    <x v="2"/>
    <x v="2"/>
    <x v="1"/>
    <x v="1"/>
    <x v="1"/>
    <x v="128"/>
    <x v="1"/>
    <x v="6"/>
    <x v="3"/>
    <x v="286"/>
    <x v="5"/>
    <x v="3"/>
    <x v="0"/>
    <x v="1"/>
    <x v="0"/>
    <x v="344"/>
    <x v="177"/>
    <x v="187"/>
  </r>
  <r>
    <x v="582"/>
    <x v="282"/>
    <x v="283"/>
    <x v="278"/>
    <x v="0"/>
    <x v="1"/>
    <x v="1"/>
    <x v="296"/>
    <x v="128"/>
    <x v="1"/>
    <x v="9"/>
    <x v="0"/>
    <x v="0"/>
    <x v="3"/>
    <x v="1"/>
    <x v="1"/>
    <x v="2"/>
    <x v="1"/>
    <x v="3"/>
    <x v="1"/>
    <x v="2"/>
    <x v="0"/>
    <x v="2"/>
    <x v="3"/>
    <x v="4"/>
    <x v="283"/>
    <x v="1"/>
    <x v="0"/>
    <x v="0"/>
    <x v="1"/>
    <x v="0"/>
    <x v="0"/>
    <x v="0"/>
    <x v="0"/>
  </r>
  <r>
    <x v="583"/>
    <x v="286"/>
    <x v="287"/>
    <x v="282"/>
    <x v="459"/>
    <x v="1"/>
    <x v="3"/>
    <x v="300"/>
    <x v="42"/>
    <x v="1"/>
    <x v="1"/>
    <x v="0"/>
    <x v="0"/>
    <x v="1"/>
    <x v="2"/>
    <x v="3"/>
    <x v="2"/>
    <x v="2"/>
    <x v="1"/>
    <x v="1"/>
    <x v="1"/>
    <x v="129"/>
    <x v="1"/>
    <x v="6"/>
    <x v="2"/>
    <x v="287"/>
    <x v="12"/>
    <x v="1"/>
    <x v="1"/>
    <x v="1"/>
    <x v="0"/>
    <x v="345"/>
    <x v="178"/>
    <x v="188"/>
  </r>
  <r>
    <x v="584"/>
    <x v="194"/>
    <x v="192"/>
    <x v="190"/>
    <x v="460"/>
    <x v="1"/>
    <x v="2"/>
    <x v="203"/>
    <x v="237"/>
    <x v="1"/>
    <x v="122"/>
    <x v="0"/>
    <x v="0"/>
    <x v="1"/>
    <x v="1"/>
    <x v="1"/>
    <x v="2"/>
    <x v="1"/>
    <x v="1"/>
    <x v="1"/>
    <x v="1"/>
    <x v="129"/>
    <x v="1"/>
    <x v="6"/>
    <x v="3"/>
    <x v="192"/>
    <x v="1"/>
    <x v="3"/>
    <x v="0"/>
    <x v="1"/>
    <x v="0"/>
    <x v="346"/>
    <x v="179"/>
    <x v="0"/>
  </r>
  <r>
    <x v="585"/>
    <x v="287"/>
    <x v="288"/>
    <x v="283"/>
    <x v="461"/>
    <x v="1"/>
    <x v="3"/>
    <x v="301"/>
    <x v="238"/>
    <x v="1"/>
    <x v="123"/>
    <x v="0"/>
    <x v="0"/>
    <x v="1"/>
    <x v="1"/>
    <x v="1"/>
    <x v="1"/>
    <x v="1"/>
    <x v="3"/>
    <x v="1"/>
    <x v="2"/>
    <x v="0"/>
    <x v="1"/>
    <x v="1"/>
    <x v="2"/>
    <x v="288"/>
    <x v="2"/>
    <x v="0"/>
    <x v="0"/>
    <x v="1"/>
    <x v="0"/>
    <x v="0"/>
    <x v="0"/>
    <x v="0"/>
  </r>
  <r>
    <x v="586"/>
    <x v="288"/>
    <x v="289"/>
    <x v="284"/>
    <x v="462"/>
    <x v="1"/>
    <x v="2"/>
    <x v="302"/>
    <x v="239"/>
    <x v="1"/>
    <x v="9"/>
    <x v="0"/>
    <x v="0"/>
    <x v="1"/>
    <x v="2"/>
    <x v="3"/>
    <x v="2"/>
    <x v="1"/>
    <x v="2"/>
    <x v="1"/>
    <x v="1"/>
    <x v="130"/>
    <x v="1"/>
    <x v="1"/>
    <x v="5"/>
    <x v="289"/>
    <x v="3"/>
    <x v="3"/>
    <x v="0"/>
    <x v="1"/>
    <x v="0"/>
    <x v="347"/>
    <x v="180"/>
    <x v="189"/>
  </r>
  <r>
    <x v="587"/>
    <x v="51"/>
    <x v="50"/>
    <x v="49"/>
    <x v="463"/>
    <x v="1"/>
    <x v="2"/>
    <x v="303"/>
    <x v="240"/>
    <x v="1"/>
    <x v="2"/>
    <x v="0"/>
    <x v="0"/>
    <x v="1"/>
    <x v="3"/>
    <x v="3"/>
    <x v="2"/>
    <x v="1"/>
    <x v="3"/>
    <x v="1"/>
    <x v="1"/>
    <x v="130"/>
    <x v="1"/>
    <x v="1"/>
    <x v="2"/>
    <x v="290"/>
    <x v="1"/>
    <x v="3"/>
    <x v="0"/>
    <x v="1"/>
    <x v="0"/>
    <x v="348"/>
    <x v="181"/>
    <x v="0"/>
  </r>
  <r>
    <x v="588"/>
    <x v="93"/>
    <x v="92"/>
    <x v="91"/>
    <x v="464"/>
    <x v="1"/>
    <x v="2"/>
    <x v="98"/>
    <x v="43"/>
    <x v="2"/>
    <x v="0"/>
    <x v="2"/>
    <x v="0"/>
    <x v="1"/>
    <x v="3"/>
    <x v="3"/>
    <x v="2"/>
    <x v="1"/>
    <x v="1"/>
    <x v="1"/>
    <x v="1"/>
    <x v="130"/>
    <x v="1"/>
    <x v="5"/>
    <x v="2"/>
    <x v="92"/>
    <x v="12"/>
    <x v="1"/>
    <x v="12"/>
    <x v="2"/>
    <x v="1"/>
    <x v="349"/>
    <x v="0"/>
    <x v="190"/>
  </r>
  <r>
    <x v="589"/>
    <x v="289"/>
    <x v="290"/>
    <x v="285"/>
    <x v="465"/>
    <x v="1"/>
    <x v="2"/>
    <x v="304"/>
    <x v="235"/>
    <x v="1"/>
    <x v="33"/>
    <x v="0"/>
    <x v="0"/>
    <x v="1"/>
    <x v="2"/>
    <x v="3"/>
    <x v="2"/>
    <x v="1"/>
    <x v="3"/>
    <x v="1"/>
    <x v="1"/>
    <x v="131"/>
    <x v="1"/>
    <x v="1"/>
    <x v="1"/>
    <x v="291"/>
    <x v="3"/>
    <x v="3"/>
    <x v="0"/>
    <x v="1"/>
    <x v="0"/>
    <x v="350"/>
    <x v="0"/>
    <x v="0"/>
  </r>
  <r>
    <x v="590"/>
    <x v="93"/>
    <x v="92"/>
    <x v="91"/>
    <x v="466"/>
    <x v="1"/>
    <x v="2"/>
    <x v="98"/>
    <x v="43"/>
    <x v="1"/>
    <x v="15"/>
    <x v="0"/>
    <x v="0"/>
    <x v="3"/>
    <x v="1"/>
    <x v="1"/>
    <x v="2"/>
    <x v="1"/>
    <x v="1"/>
    <x v="1"/>
    <x v="1"/>
    <x v="131"/>
    <x v="1"/>
    <x v="3"/>
    <x v="4"/>
    <x v="92"/>
    <x v="11"/>
    <x v="1"/>
    <x v="1"/>
    <x v="2"/>
    <x v="1"/>
    <x v="351"/>
    <x v="0"/>
    <x v="191"/>
  </r>
  <r>
    <x v="591"/>
    <x v="290"/>
    <x v="291"/>
    <x v="286"/>
    <x v="467"/>
    <x v="3"/>
    <x v="2"/>
    <x v="305"/>
    <x v="241"/>
    <x v="1"/>
    <x v="124"/>
    <x v="0"/>
    <x v="0"/>
    <x v="1"/>
    <x v="1"/>
    <x v="2"/>
    <x v="2"/>
    <x v="1"/>
    <x v="3"/>
    <x v="1"/>
    <x v="1"/>
    <x v="132"/>
    <x v="1"/>
    <x v="1"/>
    <x v="2"/>
    <x v="292"/>
    <x v="5"/>
    <x v="1"/>
    <x v="5"/>
    <x v="2"/>
    <x v="1"/>
    <x v="352"/>
    <x v="0"/>
    <x v="0"/>
  </r>
  <r>
    <x v="592"/>
    <x v="286"/>
    <x v="287"/>
    <x v="282"/>
    <x v="0"/>
    <x v="1"/>
    <x v="3"/>
    <x v="300"/>
    <x v="42"/>
    <x v="1"/>
    <x v="1"/>
    <x v="0"/>
    <x v="0"/>
    <x v="3"/>
    <x v="1"/>
    <x v="2"/>
    <x v="1"/>
    <x v="1"/>
    <x v="2"/>
    <x v="1"/>
    <x v="1"/>
    <x v="132"/>
    <x v="2"/>
    <x v="3"/>
    <x v="4"/>
    <x v="287"/>
    <x v="5"/>
    <x v="0"/>
    <x v="0"/>
    <x v="1"/>
    <x v="0"/>
    <x v="353"/>
    <x v="0"/>
    <x v="0"/>
  </r>
  <r>
    <x v="593"/>
    <x v="93"/>
    <x v="92"/>
    <x v="91"/>
    <x v="468"/>
    <x v="1"/>
    <x v="2"/>
    <x v="98"/>
    <x v="43"/>
    <x v="2"/>
    <x v="0"/>
    <x v="5"/>
    <x v="0"/>
    <x v="3"/>
    <x v="2"/>
    <x v="3"/>
    <x v="2"/>
    <x v="1"/>
    <x v="2"/>
    <x v="1"/>
    <x v="1"/>
    <x v="132"/>
    <x v="1"/>
    <x v="3"/>
    <x v="4"/>
    <x v="92"/>
    <x v="5"/>
    <x v="1"/>
    <x v="1"/>
    <x v="1"/>
    <x v="0"/>
    <x v="354"/>
    <x v="0"/>
    <x v="0"/>
  </r>
  <r>
    <x v="594"/>
    <x v="290"/>
    <x v="291"/>
    <x v="286"/>
    <x v="469"/>
    <x v="1"/>
    <x v="2"/>
    <x v="305"/>
    <x v="241"/>
    <x v="1"/>
    <x v="125"/>
    <x v="0"/>
    <x v="0"/>
    <x v="3"/>
    <x v="1"/>
    <x v="1"/>
    <x v="2"/>
    <x v="2"/>
    <x v="3"/>
    <x v="1"/>
    <x v="2"/>
    <x v="0"/>
    <x v="1"/>
    <x v="3"/>
    <x v="4"/>
    <x v="292"/>
    <x v="2"/>
    <x v="0"/>
    <x v="0"/>
    <x v="1"/>
    <x v="0"/>
    <x v="0"/>
    <x v="0"/>
    <x v="0"/>
  </r>
  <r>
    <x v="595"/>
    <x v="291"/>
    <x v="292"/>
    <x v="287"/>
    <x v="470"/>
    <x v="1"/>
    <x v="2"/>
    <x v="306"/>
    <x v="92"/>
    <x v="1"/>
    <x v="126"/>
    <x v="0"/>
    <x v="0"/>
    <x v="1"/>
    <x v="5"/>
    <x v="1"/>
    <x v="1"/>
    <x v="1"/>
    <x v="3"/>
    <x v="1"/>
    <x v="2"/>
    <x v="0"/>
    <x v="1"/>
    <x v="1"/>
    <x v="13"/>
    <x v="293"/>
    <x v="5"/>
    <x v="0"/>
    <x v="0"/>
    <x v="1"/>
    <x v="0"/>
    <x v="0"/>
    <x v="0"/>
    <x v="0"/>
  </r>
  <r>
    <x v="596"/>
    <x v="93"/>
    <x v="92"/>
    <x v="91"/>
    <x v="0"/>
    <x v="1"/>
    <x v="2"/>
    <x v="98"/>
    <x v="196"/>
    <x v="2"/>
    <x v="0"/>
    <x v="5"/>
    <x v="0"/>
    <x v="3"/>
    <x v="4"/>
    <x v="1"/>
    <x v="2"/>
    <x v="1"/>
    <x v="2"/>
    <x v="1"/>
    <x v="2"/>
    <x v="0"/>
    <x v="2"/>
    <x v="3"/>
    <x v="4"/>
    <x v="92"/>
    <x v="5"/>
    <x v="0"/>
    <x v="0"/>
    <x v="1"/>
    <x v="0"/>
    <x v="0"/>
    <x v="0"/>
    <x v="0"/>
  </r>
  <r>
    <x v="597"/>
    <x v="292"/>
    <x v="293"/>
    <x v="288"/>
    <x v="471"/>
    <x v="1"/>
    <x v="1"/>
    <x v="307"/>
    <x v="242"/>
    <x v="1"/>
    <x v="22"/>
    <x v="0"/>
    <x v="0"/>
    <x v="1"/>
    <x v="2"/>
    <x v="3"/>
    <x v="2"/>
    <x v="1"/>
    <x v="2"/>
    <x v="1"/>
    <x v="1"/>
    <x v="133"/>
    <x v="1"/>
    <x v="6"/>
    <x v="3"/>
    <x v="294"/>
    <x v="5"/>
    <x v="3"/>
    <x v="0"/>
    <x v="1"/>
    <x v="0"/>
    <x v="355"/>
    <x v="182"/>
    <x v="192"/>
  </r>
  <r>
    <x v="598"/>
    <x v="293"/>
    <x v="294"/>
    <x v="289"/>
    <x v="472"/>
    <x v="1"/>
    <x v="4"/>
    <x v="308"/>
    <x v="243"/>
    <x v="1"/>
    <x v="9"/>
    <x v="0"/>
    <x v="0"/>
    <x v="1"/>
    <x v="3"/>
    <x v="2"/>
    <x v="2"/>
    <x v="2"/>
    <x v="1"/>
    <x v="1"/>
    <x v="1"/>
    <x v="134"/>
    <x v="1"/>
    <x v="6"/>
    <x v="2"/>
    <x v="295"/>
    <x v="12"/>
    <x v="1"/>
    <x v="12"/>
    <x v="2"/>
    <x v="1"/>
    <x v="0"/>
    <x v="0"/>
    <x v="193"/>
  </r>
  <r>
    <x v="599"/>
    <x v="178"/>
    <x v="176"/>
    <x v="174"/>
    <x v="473"/>
    <x v="3"/>
    <x v="2"/>
    <x v="186"/>
    <x v="153"/>
    <x v="1"/>
    <x v="27"/>
    <x v="0"/>
    <x v="0"/>
    <x v="1"/>
    <x v="2"/>
    <x v="3"/>
    <x v="2"/>
    <x v="1"/>
    <x v="2"/>
    <x v="1"/>
    <x v="1"/>
    <x v="134"/>
    <x v="1"/>
    <x v="1"/>
    <x v="2"/>
    <x v="175"/>
    <x v="1"/>
    <x v="1"/>
    <x v="4"/>
    <x v="1"/>
    <x v="0"/>
    <x v="356"/>
    <x v="0"/>
    <x v="0"/>
  </r>
  <r>
    <x v="600"/>
    <x v="178"/>
    <x v="176"/>
    <x v="174"/>
    <x v="0"/>
    <x v="3"/>
    <x v="2"/>
    <x v="186"/>
    <x v="153"/>
    <x v="1"/>
    <x v="27"/>
    <x v="0"/>
    <x v="0"/>
    <x v="3"/>
    <x v="4"/>
    <x v="1"/>
    <x v="2"/>
    <x v="1"/>
    <x v="2"/>
    <x v="1"/>
    <x v="2"/>
    <x v="0"/>
    <x v="2"/>
    <x v="3"/>
    <x v="4"/>
    <x v="175"/>
    <x v="1"/>
    <x v="0"/>
    <x v="0"/>
    <x v="1"/>
    <x v="0"/>
    <x v="0"/>
    <x v="0"/>
    <x v="0"/>
  </r>
  <r>
    <x v="601"/>
    <x v="294"/>
    <x v="295"/>
    <x v="290"/>
    <x v="474"/>
    <x v="1"/>
    <x v="2"/>
    <x v="309"/>
    <x v="110"/>
    <x v="1"/>
    <x v="64"/>
    <x v="0"/>
    <x v="0"/>
    <x v="1"/>
    <x v="1"/>
    <x v="1"/>
    <x v="2"/>
    <x v="1"/>
    <x v="2"/>
    <x v="1"/>
    <x v="1"/>
    <x v="135"/>
    <x v="1"/>
    <x v="1"/>
    <x v="2"/>
    <x v="296"/>
    <x v="3"/>
    <x v="0"/>
    <x v="0"/>
    <x v="1"/>
    <x v="0"/>
    <x v="0"/>
    <x v="0"/>
    <x v="0"/>
  </r>
  <r>
    <x v="602"/>
    <x v="295"/>
    <x v="296"/>
    <x v="291"/>
    <x v="475"/>
    <x v="1"/>
    <x v="2"/>
    <x v="310"/>
    <x v="244"/>
    <x v="1"/>
    <x v="2"/>
    <x v="0"/>
    <x v="0"/>
    <x v="1"/>
    <x v="1"/>
    <x v="1"/>
    <x v="2"/>
    <x v="1"/>
    <x v="1"/>
    <x v="1"/>
    <x v="1"/>
    <x v="134"/>
    <x v="1"/>
    <x v="1"/>
    <x v="1"/>
    <x v="297"/>
    <x v="3"/>
    <x v="3"/>
    <x v="0"/>
    <x v="1"/>
    <x v="0"/>
    <x v="357"/>
    <x v="183"/>
    <x v="194"/>
  </r>
  <r>
    <x v="603"/>
    <x v="293"/>
    <x v="294"/>
    <x v="289"/>
    <x v="476"/>
    <x v="1"/>
    <x v="2"/>
    <x v="308"/>
    <x v="243"/>
    <x v="1"/>
    <x v="9"/>
    <x v="0"/>
    <x v="0"/>
    <x v="3"/>
    <x v="1"/>
    <x v="1"/>
    <x v="2"/>
    <x v="2"/>
    <x v="1"/>
    <x v="1"/>
    <x v="2"/>
    <x v="0"/>
    <x v="3"/>
    <x v="3"/>
    <x v="4"/>
    <x v="295"/>
    <x v="11"/>
    <x v="0"/>
    <x v="0"/>
    <x v="1"/>
    <x v="0"/>
    <x v="0"/>
    <x v="0"/>
    <x v="195"/>
  </r>
  <r>
    <x v="604"/>
    <x v="140"/>
    <x v="140"/>
    <x v="138"/>
    <x v="477"/>
    <x v="3"/>
    <x v="2"/>
    <x v="144"/>
    <x v="123"/>
    <x v="1"/>
    <x v="24"/>
    <x v="0"/>
    <x v="0"/>
    <x v="1"/>
    <x v="2"/>
    <x v="3"/>
    <x v="2"/>
    <x v="1"/>
    <x v="2"/>
    <x v="1"/>
    <x v="1"/>
    <x v="136"/>
    <x v="1"/>
    <x v="1"/>
    <x v="2"/>
    <x v="139"/>
    <x v="4"/>
    <x v="1"/>
    <x v="2"/>
    <x v="2"/>
    <x v="1"/>
    <x v="358"/>
    <x v="0"/>
    <x v="0"/>
  </r>
  <r>
    <x v="605"/>
    <x v="296"/>
    <x v="297"/>
    <x v="292"/>
    <x v="478"/>
    <x v="1"/>
    <x v="2"/>
    <x v="311"/>
    <x v="245"/>
    <x v="1"/>
    <x v="9"/>
    <x v="0"/>
    <x v="0"/>
    <x v="1"/>
    <x v="1"/>
    <x v="1"/>
    <x v="2"/>
    <x v="1"/>
    <x v="3"/>
    <x v="1"/>
    <x v="1"/>
    <x v="137"/>
    <x v="1"/>
    <x v="1"/>
    <x v="1"/>
    <x v="298"/>
    <x v="1"/>
    <x v="4"/>
    <x v="4"/>
    <x v="2"/>
    <x v="1"/>
    <x v="359"/>
    <x v="0"/>
    <x v="0"/>
  </r>
  <r>
    <x v="606"/>
    <x v="297"/>
    <x v="298"/>
    <x v="293"/>
    <x v="479"/>
    <x v="1"/>
    <x v="3"/>
    <x v="312"/>
    <x v="243"/>
    <x v="1"/>
    <x v="127"/>
    <x v="0"/>
    <x v="0"/>
    <x v="1"/>
    <x v="1"/>
    <x v="1"/>
    <x v="1"/>
    <x v="1"/>
    <x v="3"/>
    <x v="1"/>
    <x v="2"/>
    <x v="0"/>
    <x v="1"/>
    <x v="1"/>
    <x v="2"/>
    <x v="299"/>
    <x v="5"/>
    <x v="0"/>
    <x v="0"/>
    <x v="1"/>
    <x v="0"/>
    <x v="0"/>
    <x v="0"/>
    <x v="0"/>
  </r>
  <r>
    <x v="607"/>
    <x v="152"/>
    <x v="152"/>
    <x v="150"/>
    <x v="480"/>
    <x v="3"/>
    <x v="2"/>
    <x v="157"/>
    <x v="114"/>
    <x v="1"/>
    <x v="1"/>
    <x v="0"/>
    <x v="0"/>
    <x v="1"/>
    <x v="2"/>
    <x v="3"/>
    <x v="2"/>
    <x v="2"/>
    <x v="2"/>
    <x v="1"/>
    <x v="1"/>
    <x v="136"/>
    <x v="1"/>
    <x v="1"/>
    <x v="2"/>
    <x v="151"/>
    <x v="5"/>
    <x v="3"/>
    <x v="0"/>
    <x v="1"/>
    <x v="0"/>
    <x v="360"/>
    <x v="0"/>
    <x v="196"/>
  </r>
  <r>
    <x v="608"/>
    <x v="298"/>
    <x v="299"/>
    <x v="294"/>
    <x v="481"/>
    <x v="1"/>
    <x v="2"/>
    <x v="313"/>
    <x v="246"/>
    <x v="2"/>
    <x v="0"/>
    <x v="2"/>
    <x v="0"/>
    <x v="1"/>
    <x v="1"/>
    <x v="1"/>
    <x v="2"/>
    <x v="1"/>
    <x v="2"/>
    <x v="1"/>
    <x v="1"/>
    <x v="137"/>
    <x v="1"/>
    <x v="1"/>
    <x v="2"/>
    <x v="300"/>
    <x v="1"/>
    <x v="1"/>
    <x v="4"/>
    <x v="2"/>
    <x v="1"/>
    <x v="361"/>
    <x v="0"/>
    <x v="0"/>
  </r>
  <r>
    <x v="609"/>
    <x v="298"/>
    <x v="299"/>
    <x v="294"/>
    <x v="482"/>
    <x v="1"/>
    <x v="2"/>
    <x v="313"/>
    <x v="247"/>
    <x v="2"/>
    <x v="0"/>
    <x v="5"/>
    <x v="0"/>
    <x v="3"/>
    <x v="2"/>
    <x v="3"/>
    <x v="2"/>
    <x v="1"/>
    <x v="2"/>
    <x v="1"/>
    <x v="1"/>
    <x v="136"/>
    <x v="1"/>
    <x v="3"/>
    <x v="4"/>
    <x v="300"/>
    <x v="1"/>
    <x v="1"/>
    <x v="4"/>
    <x v="2"/>
    <x v="1"/>
    <x v="362"/>
    <x v="184"/>
    <x v="0"/>
  </r>
  <r>
    <x v="610"/>
    <x v="296"/>
    <x v="297"/>
    <x v="292"/>
    <x v="483"/>
    <x v="1"/>
    <x v="1"/>
    <x v="311"/>
    <x v="248"/>
    <x v="1"/>
    <x v="3"/>
    <x v="0"/>
    <x v="0"/>
    <x v="3"/>
    <x v="1"/>
    <x v="1"/>
    <x v="2"/>
    <x v="1"/>
    <x v="1"/>
    <x v="1"/>
    <x v="1"/>
    <x v="138"/>
    <x v="1"/>
    <x v="3"/>
    <x v="4"/>
    <x v="298"/>
    <x v="1"/>
    <x v="1"/>
    <x v="4"/>
    <x v="2"/>
    <x v="1"/>
    <x v="363"/>
    <x v="0"/>
    <x v="0"/>
  </r>
  <r>
    <x v="611"/>
    <x v="299"/>
    <x v="300"/>
    <x v="295"/>
    <x v="484"/>
    <x v="3"/>
    <x v="2"/>
    <x v="314"/>
    <x v="111"/>
    <x v="1"/>
    <x v="117"/>
    <x v="0"/>
    <x v="0"/>
    <x v="1"/>
    <x v="1"/>
    <x v="2"/>
    <x v="2"/>
    <x v="1"/>
    <x v="2"/>
    <x v="1"/>
    <x v="1"/>
    <x v="137"/>
    <x v="1"/>
    <x v="1"/>
    <x v="2"/>
    <x v="301"/>
    <x v="5"/>
    <x v="1"/>
    <x v="1"/>
    <x v="2"/>
    <x v="1"/>
    <x v="364"/>
    <x v="0"/>
    <x v="197"/>
  </r>
  <r>
    <x v="612"/>
    <x v="300"/>
    <x v="301"/>
    <x v="296"/>
    <x v="485"/>
    <x v="3"/>
    <x v="4"/>
    <x v="297"/>
    <x v="113"/>
    <x v="2"/>
    <x v="0"/>
    <x v="10"/>
    <x v="0"/>
    <x v="1"/>
    <x v="4"/>
    <x v="1"/>
    <x v="2"/>
    <x v="1"/>
    <x v="2"/>
    <x v="1"/>
    <x v="2"/>
    <x v="0"/>
    <x v="2"/>
    <x v="2"/>
    <x v="3"/>
    <x v="302"/>
    <x v="5"/>
    <x v="0"/>
    <x v="0"/>
    <x v="1"/>
    <x v="0"/>
    <x v="0"/>
    <x v="0"/>
    <x v="0"/>
  </r>
  <r>
    <x v="613"/>
    <x v="140"/>
    <x v="140"/>
    <x v="138"/>
    <x v="486"/>
    <x v="3"/>
    <x v="2"/>
    <x v="144"/>
    <x v="123"/>
    <x v="1"/>
    <x v="24"/>
    <x v="0"/>
    <x v="0"/>
    <x v="3"/>
    <x v="1"/>
    <x v="1"/>
    <x v="2"/>
    <x v="1"/>
    <x v="2"/>
    <x v="1"/>
    <x v="2"/>
    <x v="0"/>
    <x v="1"/>
    <x v="3"/>
    <x v="4"/>
    <x v="139"/>
    <x v="4"/>
    <x v="0"/>
    <x v="0"/>
    <x v="1"/>
    <x v="0"/>
    <x v="0"/>
    <x v="0"/>
    <x v="0"/>
  </r>
  <r>
    <x v="614"/>
    <x v="301"/>
    <x v="302"/>
    <x v="297"/>
    <x v="487"/>
    <x v="1"/>
    <x v="2"/>
    <x v="315"/>
    <x v="249"/>
    <x v="1"/>
    <x v="9"/>
    <x v="0"/>
    <x v="0"/>
    <x v="1"/>
    <x v="1"/>
    <x v="1"/>
    <x v="2"/>
    <x v="1"/>
    <x v="3"/>
    <x v="1"/>
    <x v="1"/>
    <x v="138"/>
    <x v="1"/>
    <x v="1"/>
    <x v="2"/>
    <x v="303"/>
    <x v="5"/>
    <x v="3"/>
    <x v="0"/>
    <x v="1"/>
    <x v="0"/>
    <x v="365"/>
    <x v="185"/>
    <x v="198"/>
  </r>
  <r>
    <x v="615"/>
    <x v="298"/>
    <x v="299"/>
    <x v="294"/>
    <x v="488"/>
    <x v="1"/>
    <x v="2"/>
    <x v="313"/>
    <x v="250"/>
    <x v="2"/>
    <x v="0"/>
    <x v="5"/>
    <x v="0"/>
    <x v="3"/>
    <x v="4"/>
    <x v="1"/>
    <x v="2"/>
    <x v="1"/>
    <x v="2"/>
    <x v="1"/>
    <x v="2"/>
    <x v="0"/>
    <x v="1"/>
    <x v="3"/>
    <x v="4"/>
    <x v="300"/>
    <x v="1"/>
    <x v="0"/>
    <x v="0"/>
    <x v="1"/>
    <x v="0"/>
    <x v="0"/>
    <x v="0"/>
    <x v="0"/>
  </r>
  <r>
    <x v="616"/>
    <x v="302"/>
    <x v="303"/>
    <x v="298"/>
    <x v="489"/>
    <x v="1"/>
    <x v="2"/>
    <x v="316"/>
    <x v="251"/>
    <x v="1"/>
    <x v="0"/>
    <x v="11"/>
    <x v="0"/>
    <x v="1"/>
    <x v="1"/>
    <x v="1"/>
    <x v="2"/>
    <x v="1"/>
    <x v="2"/>
    <x v="1"/>
    <x v="1"/>
    <x v="136"/>
    <x v="2"/>
    <x v="1"/>
    <x v="2"/>
    <x v="304"/>
    <x v="5"/>
    <x v="1"/>
    <x v="1"/>
    <x v="1"/>
    <x v="0"/>
    <x v="366"/>
    <x v="0"/>
    <x v="0"/>
  </r>
  <r>
    <x v="617"/>
    <x v="302"/>
    <x v="303"/>
    <x v="298"/>
    <x v="0"/>
    <x v="1"/>
    <x v="2"/>
    <x v="316"/>
    <x v="251"/>
    <x v="1"/>
    <x v="0"/>
    <x v="12"/>
    <x v="0"/>
    <x v="3"/>
    <x v="1"/>
    <x v="1"/>
    <x v="2"/>
    <x v="1"/>
    <x v="2"/>
    <x v="1"/>
    <x v="2"/>
    <x v="0"/>
    <x v="2"/>
    <x v="3"/>
    <x v="4"/>
    <x v="304"/>
    <x v="5"/>
    <x v="0"/>
    <x v="0"/>
    <x v="1"/>
    <x v="0"/>
    <x v="0"/>
    <x v="0"/>
    <x v="0"/>
  </r>
  <r>
    <x v="618"/>
    <x v="299"/>
    <x v="300"/>
    <x v="295"/>
    <x v="490"/>
    <x v="3"/>
    <x v="2"/>
    <x v="314"/>
    <x v="111"/>
    <x v="1"/>
    <x v="117"/>
    <x v="0"/>
    <x v="0"/>
    <x v="3"/>
    <x v="3"/>
    <x v="2"/>
    <x v="1"/>
    <x v="1"/>
    <x v="2"/>
    <x v="1"/>
    <x v="1"/>
    <x v="139"/>
    <x v="2"/>
    <x v="3"/>
    <x v="4"/>
    <x v="301"/>
    <x v="5"/>
    <x v="1"/>
    <x v="1"/>
    <x v="1"/>
    <x v="0"/>
    <x v="367"/>
    <x v="186"/>
    <x v="0"/>
  </r>
  <r>
    <x v="619"/>
    <x v="296"/>
    <x v="297"/>
    <x v="292"/>
    <x v="491"/>
    <x v="1"/>
    <x v="1"/>
    <x v="311"/>
    <x v="248"/>
    <x v="1"/>
    <x v="3"/>
    <x v="0"/>
    <x v="0"/>
    <x v="3"/>
    <x v="1"/>
    <x v="1"/>
    <x v="2"/>
    <x v="1"/>
    <x v="1"/>
    <x v="1"/>
    <x v="2"/>
    <x v="0"/>
    <x v="1"/>
    <x v="3"/>
    <x v="4"/>
    <x v="298"/>
    <x v="1"/>
    <x v="0"/>
    <x v="0"/>
    <x v="1"/>
    <x v="0"/>
    <x v="0"/>
    <x v="0"/>
    <x v="0"/>
  </r>
  <r>
    <x v="620"/>
    <x v="303"/>
    <x v="304"/>
    <x v="299"/>
    <x v="492"/>
    <x v="1"/>
    <x v="2"/>
    <x v="317"/>
    <x v="252"/>
    <x v="1"/>
    <x v="9"/>
    <x v="0"/>
    <x v="0"/>
    <x v="1"/>
    <x v="1"/>
    <x v="1"/>
    <x v="2"/>
    <x v="1"/>
    <x v="2"/>
    <x v="1"/>
    <x v="2"/>
    <x v="0"/>
    <x v="1"/>
    <x v="1"/>
    <x v="2"/>
    <x v="305"/>
    <x v="12"/>
    <x v="0"/>
    <x v="0"/>
    <x v="1"/>
    <x v="0"/>
    <x v="0"/>
    <x v="0"/>
    <x v="199"/>
  </r>
  <r>
    <x v="621"/>
    <x v="304"/>
    <x v="305"/>
    <x v="300"/>
    <x v="493"/>
    <x v="1"/>
    <x v="2"/>
    <x v="318"/>
    <x v="253"/>
    <x v="2"/>
    <x v="0"/>
    <x v="2"/>
    <x v="0"/>
    <x v="1"/>
    <x v="1"/>
    <x v="1"/>
    <x v="2"/>
    <x v="1"/>
    <x v="3"/>
    <x v="1"/>
    <x v="1"/>
    <x v="139"/>
    <x v="1"/>
    <x v="1"/>
    <x v="2"/>
    <x v="306"/>
    <x v="2"/>
    <x v="1"/>
    <x v="8"/>
    <x v="2"/>
    <x v="1"/>
    <x v="368"/>
    <x v="0"/>
    <x v="0"/>
  </r>
  <r>
    <x v="622"/>
    <x v="305"/>
    <x v="306"/>
    <x v="301"/>
    <x v="494"/>
    <x v="1"/>
    <x v="2"/>
    <x v="319"/>
    <x v="254"/>
    <x v="1"/>
    <x v="15"/>
    <x v="0"/>
    <x v="0"/>
    <x v="1"/>
    <x v="1"/>
    <x v="1"/>
    <x v="1"/>
    <x v="1"/>
    <x v="3"/>
    <x v="1"/>
    <x v="1"/>
    <x v="140"/>
    <x v="1"/>
    <x v="1"/>
    <x v="2"/>
    <x v="307"/>
    <x v="1"/>
    <x v="1"/>
    <x v="4"/>
    <x v="2"/>
    <x v="1"/>
    <x v="369"/>
    <x v="0"/>
    <x v="0"/>
  </r>
  <r>
    <x v="623"/>
    <x v="304"/>
    <x v="305"/>
    <x v="300"/>
    <x v="0"/>
    <x v="1"/>
    <x v="2"/>
    <x v="318"/>
    <x v="50"/>
    <x v="2"/>
    <x v="0"/>
    <x v="2"/>
    <x v="0"/>
    <x v="3"/>
    <x v="2"/>
    <x v="3"/>
    <x v="2"/>
    <x v="1"/>
    <x v="2"/>
    <x v="1"/>
    <x v="1"/>
    <x v="139"/>
    <x v="2"/>
    <x v="3"/>
    <x v="4"/>
    <x v="306"/>
    <x v="8"/>
    <x v="1"/>
    <x v="8"/>
    <x v="1"/>
    <x v="0"/>
    <x v="370"/>
    <x v="0"/>
    <x v="0"/>
  </r>
  <r>
    <x v="624"/>
    <x v="299"/>
    <x v="300"/>
    <x v="295"/>
    <x v="0"/>
    <x v="3"/>
    <x v="2"/>
    <x v="314"/>
    <x v="111"/>
    <x v="1"/>
    <x v="117"/>
    <x v="0"/>
    <x v="0"/>
    <x v="3"/>
    <x v="1"/>
    <x v="1"/>
    <x v="2"/>
    <x v="1"/>
    <x v="2"/>
    <x v="1"/>
    <x v="1"/>
    <x v="141"/>
    <x v="2"/>
    <x v="3"/>
    <x v="4"/>
    <x v="301"/>
    <x v="5"/>
    <x v="1"/>
    <x v="4"/>
    <x v="2"/>
    <x v="1"/>
    <x v="371"/>
    <x v="187"/>
    <x v="200"/>
  </r>
  <r>
    <x v="625"/>
    <x v="304"/>
    <x v="305"/>
    <x v="300"/>
    <x v="0"/>
    <x v="1"/>
    <x v="2"/>
    <x v="318"/>
    <x v="50"/>
    <x v="2"/>
    <x v="0"/>
    <x v="13"/>
    <x v="0"/>
    <x v="3"/>
    <x v="4"/>
    <x v="1"/>
    <x v="2"/>
    <x v="1"/>
    <x v="2"/>
    <x v="1"/>
    <x v="2"/>
    <x v="0"/>
    <x v="2"/>
    <x v="3"/>
    <x v="4"/>
    <x v="306"/>
    <x v="8"/>
    <x v="0"/>
    <x v="0"/>
    <x v="1"/>
    <x v="0"/>
    <x v="0"/>
    <x v="0"/>
    <x v="0"/>
  </r>
  <r>
    <x v="626"/>
    <x v="135"/>
    <x v="135"/>
    <x v="133"/>
    <x v="495"/>
    <x v="1"/>
    <x v="2"/>
    <x v="139"/>
    <x v="119"/>
    <x v="1"/>
    <x v="33"/>
    <x v="0"/>
    <x v="0"/>
    <x v="1"/>
    <x v="3"/>
    <x v="3"/>
    <x v="2"/>
    <x v="1"/>
    <x v="2"/>
    <x v="1"/>
    <x v="1"/>
    <x v="140"/>
    <x v="1"/>
    <x v="6"/>
    <x v="2"/>
    <x v="267"/>
    <x v="11"/>
    <x v="0"/>
    <x v="0"/>
    <x v="1"/>
    <x v="0"/>
    <x v="372"/>
    <x v="0"/>
    <x v="201"/>
  </r>
  <r>
    <x v="627"/>
    <x v="306"/>
    <x v="307"/>
    <x v="302"/>
    <x v="496"/>
    <x v="1"/>
    <x v="2"/>
    <x v="320"/>
    <x v="255"/>
    <x v="1"/>
    <x v="8"/>
    <x v="0"/>
    <x v="0"/>
    <x v="1"/>
    <x v="1"/>
    <x v="1"/>
    <x v="2"/>
    <x v="1"/>
    <x v="1"/>
    <x v="1"/>
    <x v="1"/>
    <x v="141"/>
    <x v="1"/>
    <x v="1"/>
    <x v="2"/>
    <x v="308"/>
    <x v="3"/>
    <x v="1"/>
    <x v="3"/>
    <x v="1"/>
    <x v="0"/>
    <x v="373"/>
    <x v="0"/>
    <x v="202"/>
  </r>
  <r>
    <x v="628"/>
    <x v="307"/>
    <x v="308"/>
    <x v="303"/>
    <x v="497"/>
    <x v="1"/>
    <x v="2"/>
    <x v="321"/>
    <x v="10"/>
    <x v="1"/>
    <x v="15"/>
    <x v="0"/>
    <x v="0"/>
    <x v="1"/>
    <x v="3"/>
    <x v="3"/>
    <x v="1"/>
    <x v="1"/>
    <x v="2"/>
    <x v="1"/>
    <x v="1"/>
    <x v="140"/>
    <x v="1"/>
    <x v="1"/>
    <x v="5"/>
    <x v="309"/>
    <x v="2"/>
    <x v="1"/>
    <x v="12"/>
    <x v="2"/>
    <x v="1"/>
    <x v="374"/>
    <x v="0"/>
    <x v="0"/>
  </r>
  <r>
    <x v="629"/>
    <x v="306"/>
    <x v="307"/>
    <x v="302"/>
    <x v="498"/>
    <x v="1"/>
    <x v="2"/>
    <x v="320"/>
    <x v="255"/>
    <x v="1"/>
    <x v="8"/>
    <x v="0"/>
    <x v="0"/>
    <x v="3"/>
    <x v="1"/>
    <x v="1"/>
    <x v="2"/>
    <x v="2"/>
    <x v="3"/>
    <x v="1"/>
    <x v="1"/>
    <x v="140"/>
    <x v="1"/>
    <x v="3"/>
    <x v="4"/>
    <x v="308"/>
    <x v="4"/>
    <x v="1"/>
    <x v="12"/>
    <x v="2"/>
    <x v="1"/>
    <x v="0"/>
    <x v="0"/>
    <x v="0"/>
  </r>
  <r>
    <x v="630"/>
    <x v="306"/>
    <x v="307"/>
    <x v="302"/>
    <x v="499"/>
    <x v="1"/>
    <x v="2"/>
    <x v="320"/>
    <x v="255"/>
    <x v="1"/>
    <x v="8"/>
    <x v="0"/>
    <x v="0"/>
    <x v="3"/>
    <x v="1"/>
    <x v="1"/>
    <x v="2"/>
    <x v="1"/>
    <x v="1"/>
    <x v="1"/>
    <x v="2"/>
    <x v="0"/>
    <x v="1"/>
    <x v="3"/>
    <x v="4"/>
    <x v="308"/>
    <x v="3"/>
    <x v="0"/>
    <x v="0"/>
    <x v="1"/>
    <x v="0"/>
    <x v="0"/>
    <x v="0"/>
    <x v="0"/>
  </r>
  <r>
    <x v="631"/>
    <x v="308"/>
    <x v="309"/>
    <x v="304"/>
    <x v="500"/>
    <x v="1"/>
    <x v="2"/>
    <x v="322"/>
    <x v="59"/>
    <x v="1"/>
    <x v="3"/>
    <x v="0"/>
    <x v="0"/>
    <x v="1"/>
    <x v="2"/>
    <x v="3"/>
    <x v="2"/>
    <x v="1"/>
    <x v="2"/>
    <x v="1"/>
    <x v="1"/>
    <x v="140"/>
    <x v="1"/>
    <x v="1"/>
    <x v="2"/>
    <x v="310"/>
    <x v="3"/>
    <x v="3"/>
    <x v="0"/>
    <x v="1"/>
    <x v="0"/>
    <x v="375"/>
    <x v="188"/>
    <x v="203"/>
  </r>
  <r>
    <x v="632"/>
    <x v="307"/>
    <x v="308"/>
    <x v="303"/>
    <x v="501"/>
    <x v="1"/>
    <x v="2"/>
    <x v="321"/>
    <x v="179"/>
    <x v="1"/>
    <x v="15"/>
    <x v="0"/>
    <x v="0"/>
    <x v="3"/>
    <x v="1"/>
    <x v="1"/>
    <x v="2"/>
    <x v="1"/>
    <x v="1"/>
    <x v="1"/>
    <x v="2"/>
    <x v="0"/>
    <x v="1"/>
    <x v="3"/>
    <x v="4"/>
    <x v="309"/>
    <x v="11"/>
    <x v="0"/>
    <x v="0"/>
    <x v="1"/>
    <x v="0"/>
    <x v="0"/>
    <x v="0"/>
    <x v="0"/>
  </r>
  <r>
    <x v="633"/>
    <x v="305"/>
    <x v="306"/>
    <x v="301"/>
    <x v="502"/>
    <x v="1"/>
    <x v="2"/>
    <x v="319"/>
    <x v="254"/>
    <x v="1"/>
    <x v="128"/>
    <x v="0"/>
    <x v="0"/>
    <x v="3"/>
    <x v="3"/>
    <x v="2"/>
    <x v="2"/>
    <x v="1"/>
    <x v="3"/>
    <x v="1"/>
    <x v="2"/>
    <x v="0"/>
    <x v="1"/>
    <x v="3"/>
    <x v="4"/>
    <x v="307"/>
    <x v="1"/>
    <x v="0"/>
    <x v="0"/>
    <x v="1"/>
    <x v="0"/>
    <x v="0"/>
    <x v="0"/>
    <x v="204"/>
  </r>
  <r>
    <x v="634"/>
    <x v="306"/>
    <x v="307"/>
    <x v="302"/>
    <x v="503"/>
    <x v="1"/>
    <x v="2"/>
    <x v="320"/>
    <x v="255"/>
    <x v="1"/>
    <x v="8"/>
    <x v="0"/>
    <x v="0"/>
    <x v="3"/>
    <x v="1"/>
    <x v="2"/>
    <x v="2"/>
    <x v="2"/>
    <x v="1"/>
    <x v="1"/>
    <x v="1"/>
    <x v="142"/>
    <x v="1"/>
    <x v="3"/>
    <x v="4"/>
    <x v="308"/>
    <x v="11"/>
    <x v="3"/>
    <x v="0"/>
    <x v="1"/>
    <x v="0"/>
    <x v="376"/>
    <x v="0"/>
    <x v="205"/>
  </r>
  <r>
    <x v="635"/>
    <x v="299"/>
    <x v="300"/>
    <x v="295"/>
    <x v="504"/>
    <x v="3"/>
    <x v="2"/>
    <x v="314"/>
    <x v="111"/>
    <x v="1"/>
    <x v="33"/>
    <x v="0"/>
    <x v="0"/>
    <x v="3"/>
    <x v="1"/>
    <x v="1"/>
    <x v="2"/>
    <x v="1"/>
    <x v="2"/>
    <x v="1"/>
    <x v="1"/>
    <x v="142"/>
    <x v="1"/>
    <x v="3"/>
    <x v="4"/>
    <x v="301"/>
    <x v="1"/>
    <x v="3"/>
    <x v="0"/>
    <x v="1"/>
    <x v="0"/>
    <x v="376"/>
    <x v="0"/>
    <x v="0"/>
  </r>
  <r>
    <x v="636"/>
    <x v="309"/>
    <x v="310"/>
    <x v="305"/>
    <x v="505"/>
    <x v="1"/>
    <x v="2"/>
    <x v="323"/>
    <x v="239"/>
    <x v="1"/>
    <x v="129"/>
    <x v="0"/>
    <x v="0"/>
    <x v="1"/>
    <x v="1"/>
    <x v="2"/>
    <x v="1"/>
    <x v="1"/>
    <x v="2"/>
    <x v="1"/>
    <x v="1"/>
    <x v="143"/>
    <x v="2"/>
    <x v="1"/>
    <x v="2"/>
    <x v="311"/>
    <x v="4"/>
    <x v="1"/>
    <x v="2"/>
    <x v="2"/>
    <x v="1"/>
    <x v="377"/>
    <x v="0"/>
    <x v="206"/>
  </r>
  <r>
    <x v="637"/>
    <x v="309"/>
    <x v="310"/>
    <x v="305"/>
    <x v="506"/>
    <x v="1"/>
    <x v="2"/>
    <x v="323"/>
    <x v="239"/>
    <x v="1"/>
    <x v="129"/>
    <x v="0"/>
    <x v="0"/>
    <x v="3"/>
    <x v="2"/>
    <x v="3"/>
    <x v="1"/>
    <x v="1"/>
    <x v="2"/>
    <x v="1"/>
    <x v="1"/>
    <x v="142"/>
    <x v="1"/>
    <x v="3"/>
    <x v="4"/>
    <x v="311"/>
    <x v="4"/>
    <x v="1"/>
    <x v="1"/>
    <x v="1"/>
    <x v="0"/>
    <x v="378"/>
    <x v="0"/>
    <x v="207"/>
  </r>
  <r>
    <x v="638"/>
    <x v="309"/>
    <x v="310"/>
    <x v="305"/>
    <x v="0"/>
    <x v="1"/>
    <x v="2"/>
    <x v="323"/>
    <x v="196"/>
    <x v="1"/>
    <x v="129"/>
    <x v="0"/>
    <x v="0"/>
    <x v="3"/>
    <x v="4"/>
    <x v="1"/>
    <x v="2"/>
    <x v="1"/>
    <x v="2"/>
    <x v="1"/>
    <x v="2"/>
    <x v="0"/>
    <x v="2"/>
    <x v="3"/>
    <x v="4"/>
    <x v="311"/>
    <x v="5"/>
    <x v="0"/>
    <x v="0"/>
    <x v="1"/>
    <x v="0"/>
    <x v="0"/>
    <x v="0"/>
    <x v="0"/>
  </r>
  <r>
    <x v="639"/>
    <x v="307"/>
    <x v="308"/>
    <x v="303"/>
    <x v="507"/>
    <x v="1"/>
    <x v="2"/>
    <x v="321"/>
    <x v="179"/>
    <x v="1"/>
    <x v="15"/>
    <x v="0"/>
    <x v="0"/>
    <x v="1"/>
    <x v="1"/>
    <x v="1"/>
    <x v="2"/>
    <x v="1"/>
    <x v="2"/>
    <x v="1"/>
    <x v="1"/>
    <x v="144"/>
    <x v="1"/>
    <x v="6"/>
    <x v="3"/>
    <x v="309"/>
    <x v="5"/>
    <x v="1"/>
    <x v="1"/>
    <x v="1"/>
    <x v="0"/>
    <x v="379"/>
    <x v="189"/>
    <x v="208"/>
  </r>
  <r>
    <x v="640"/>
    <x v="310"/>
    <x v="311"/>
    <x v="306"/>
    <x v="508"/>
    <x v="1"/>
    <x v="2"/>
    <x v="324"/>
    <x v="256"/>
    <x v="1"/>
    <x v="130"/>
    <x v="0"/>
    <x v="0"/>
    <x v="1"/>
    <x v="3"/>
    <x v="3"/>
    <x v="2"/>
    <x v="1"/>
    <x v="2"/>
    <x v="1"/>
    <x v="1"/>
    <x v="145"/>
    <x v="1"/>
    <x v="6"/>
    <x v="2"/>
    <x v="312"/>
    <x v="12"/>
    <x v="1"/>
    <x v="1"/>
    <x v="1"/>
    <x v="0"/>
    <x v="380"/>
    <x v="0"/>
    <x v="209"/>
  </r>
  <r>
    <x v="641"/>
    <x v="311"/>
    <x v="312"/>
    <x v="307"/>
    <x v="509"/>
    <x v="1"/>
    <x v="2"/>
    <x v="325"/>
    <x v="144"/>
    <x v="1"/>
    <x v="15"/>
    <x v="0"/>
    <x v="0"/>
    <x v="1"/>
    <x v="1"/>
    <x v="1"/>
    <x v="2"/>
    <x v="1"/>
    <x v="1"/>
    <x v="1"/>
    <x v="1"/>
    <x v="146"/>
    <x v="1"/>
    <x v="6"/>
    <x v="2"/>
    <x v="313"/>
    <x v="12"/>
    <x v="3"/>
    <x v="0"/>
    <x v="1"/>
    <x v="0"/>
    <x v="381"/>
    <x v="190"/>
    <x v="210"/>
  </r>
  <r>
    <x v="642"/>
    <x v="312"/>
    <x v="313"/>
    <x v="308"/>
    <x v="510"/>
    <x v="3"/>
    <x v="2"/>
    <x v="326"/>
    <x v="257"/>
    <x v="1"/>
    <x v="3"/>
    <x v="0"/>
    <x v="0"/>
    <x v="1"/>
    <x v="1"/>
    <x v="2"/>
    <x v="2"/>
    <x v="1"/>
    <x v="2"/>
    <x v="1"/>
    <x v="1"/>
    <x v="147"/>
    <x v="1"/>
    <x v="6"/>
    <x v="3"/>
    <x v="314"/>
    <x v="5"/>
    <x v="1"/>
    <x v="1"/>
    <x v="1"/>
    <x v="0"/>
    <x v="382"/>
    <x v="0"/>
    <x v="211"/>
  </r>
  <r>
    <x v="643"/>
    <x v="307"/>
    <x v="308"/>
    <x v="303"/>
    <x v="0"/>
    <x v="1"/>
    <x v="2"/>
    <x v="321"/>
    <x v="179"/>
    <x v="1"/>
    <x v="15"/>
    <x v="0"/>
    <x v="0"/>
    <x v="3"/>
    <x v="1"/>
    <x v="1"/>
    <x v="2"/>
    <x v="1"/>
    <x v="2"/>
    <x v="1"/>
    <x v="2"/>
    <x v="0"/>
    <x v="2"/>
    <x v="3"/>
    <x v="4"/>
    <x v="309"/>
    <x v="5"/>
    <x v="0"/>
    <x v="0"/>
    <x v="1"/>
    <x v="0"/>
    <x v="0"/>
    <x v="0"/>
    <x v="0"/>
  </r>
  <r>
    <x v="644"/>
    <x v="310"/>
    <x v="311"/>
    <x v="306"/>
    <x v="0"/>
    <x v="1"/>
    <x v="2"/>
    <x v="324"/>
    <x v="258"/>
    <x v="1"/>
    <x v="2"/>
    <x v="0"/>
    <x v="0"/>
    <x v="3"/>
    <x v="1"/>
    <x v="1"/>
    <x v="2"/>
    <x v="1"/>
    <x v="2"/>
    <x v="1"/>
    <x v="2"/>
    <x v="0"/>
    <x v="2"/>
    <x v="3"/>
    <x v="4"/>
    <x v="312"/>
    <x v="5"/>
    <x v="0"/>
    <x v="0"/>
    <x v="1"/>
    <x v="0"/>
    <x v="0"/>
    <x v="0"/>
    <x v="208"/>
  </r>
  <r>
    <x v="645"/>
    <x v="313"/>
    <x v="314"/>
    <x v="309"/>
    <x v="511"/>
    <x v="1"/>
    <x v="1"/>
    <x v="327"/>
    <x v="119"/>
    <x v="1"/>
    <x v="9"/>
    <x v="0"/>
    <x v="0"/>
    <x v="1"/>
    <x v="1"/>
    <x v="1"/>
    <x v="2"/>
    <x v="1"/>
    <x v="1"/>
    <x v="1"/>
    <x v="1"/>
    <x v="147"/>
    <x v="1"/>
    <x v="4"/>
    <x v="2"/>
    <x v="315"/>
    <x v="12"/>
    <x v="1"/>
    <x v="1"/>
    <x v="1"/>
    <x v="0"/>
    <x v="383"/>
    <x v="0"/>
    <x v="0"/>
  </r>
  <r>
    <x v="646"/>
    <x v="314"/>
    <x v="315"/>
    <x v="310"/>
    <x v="512"/>
    <x v="3"/>
    <x v="2"/>
    <x v="328"/>
    <x v="259"/>
    <x v="1"/>
    <x v="131"/>
    <x v="0"/>
    <x v="0"/>
    <x v="1"/>
    <x v="1"/>
    <x v="1"/>
    <x v="2"/>
    <x v="1"/>
    <x v="1"/>
    <x v="1"/>
    <x v="2"/>
    <x v="0"/>
    <x v="1"/>
    <x v="6"/>
    <x v="2"/>
    <x v="316"/>
    <x v="12"/>
    <x v="0"/>
    <x v="0"/>
    <x v="1"/>
    <x v="0"/>
    <x v="0"/>
    <x v="0"/>
    <x v="0"/>
  </r>
  <r>
    <x v="647"/>
    <x v="313"/>
    <x v="314"/>
    <x v="309"/>
    <x v="0"/>
    <x v="1"/>
    <x v="1"/>
    <x v="327"/>
    <x v="119"/>
    <x v="1"/>
    <x v="9"/>
    <x v="0"/>
    <x v="0"/>
    <x v="3"/>
    <x v="1"/>
    <x v="1"/>
    <x v="2"/>
    <x v="1"/>
    <x v="2"/>
    <x v="1"/>
    <x v="2"/>
    <x v="0"/>
    <x v="2"/>
    <x v="3"/>
    <x v="4"/>
    <x v="315"/>
    <x v="5"/>
    <x v="0"/>
    <x v="0"/>
    <x v="1"/>
    <x v="0"/>
    <x v="0"/>
    <x v="0"/>
    <x v="0"/>
  </r>
  <r>
    <x v="648"/>
    <x v="312"/>
    <x v="313"/>
    <x v="308"/>
    <x v="0"/>
    <x v="3"/>
    <x v="2"/>
    <x v="326"/>
    <x v="257"/>
    <x v="1"/>
    <x v="3"/>
    <x v="0"/>
    <x v="0"/>
    <x v="3"/>
    <x v="3"/>
    <x v="2"/>
    <x v="2"/>
    <x v="1"/>
    <x v="2"/>
    <x v="1"/>
    <x v="1"/>
    <x v="148"/>
    <x v="2"/>
    <x v="3"/>
    <x v="4"/>
    <x v="314"/>
    <x v="5"/>
    <x v="1"/>
    <x v="1"/>
    <x v="2"/>
    <x v="1"/>
    <x v="384"/>
    <x v="0"/>
    <x v="211"/>
  </r>
  <r>
    <x v="649"/>
    <x v="315"/>
    <x v="316"/>
    <x v="311"/>
    <x v="513"/>
    <x v="1"/>
    <x v="2"/>
    <x v="329"/>
    <x v="260"/>
    <x v="1"/>
    <x v="9"/>
    <x v="0"/>
    <x v="0"/>
    <x v="1"/>
    <x v="3"/>
    <x v="3"/>
    <x v="1"/>
    <x v="1"/>
    <x v="3"/>
    <x v="1"/>
    <x v="1"/>
    <x v="148"/>
    <x v="1"/>
    <x v="1"/>
    <x v="2"/>
    <x v="317"/>
    <x v="1"/>
    <x v="1"/>
    <x v="5"/>
    <x v="2"/>
    <x v="1"/>
    <x v="385"/>
    <x v="0"/>
    <x v="0"/>
  </r>
  <r>
    <x v="650"/>
    <x v="316"/>
    <x v="317"/>
    <x v="312"/>
    <x v="514"/>
    <x v="1"/>
    <x v="2"/>
    <x v="330"/>
    <x v="92"/>
    <x v="1"/>
    <x v="132"/>
    <x v="0"/>
    <x v="0"/>
    <x v="1"/>
    <x v="2"/>
    <x v="3"/>
    <x v="1"/>
    <x v="1"/>
    <x v="2"/>
    <x v="1"/>
    <x v="1"/>
    <x v="148"/>
    <x v="1"/>
    <x v="6"/>
    <x v="2"/>
    <x v="318"/>
    <x v="3"/>
    <x v="1"/>
    <x v="1"/>
    <x v="1"/>
    <x v="0"/>
    <x v="386"/>
    <x v="191"/>
    <x v="194"/>
  </r>
  <r>
    <x v="651"/>
    <x v="317"/>
    <x v="316"/>
    <x v="311"/>
    <x v="515"/>
    <x v="1"/>
    <x v="2"/>
    <x v="331"/>
    <x v="10"/>
    <x v="1"/>
    <x v="9"/>
    <x v="0"/>
    <x v="0"/>
    <x v="3"/>
    <x v="1"/>
    <x v="1"/>
    <x v="2"/>
    <x v="1"/>
    <x v="2"/>
    <x v="1"/>
    <x v="2"/>
    <x v="0"/>
    <x v="1"/>
    <x v="3"/>
    <x v="4"/>
    <x v="317"/>
    <x v="2"/>
    <x v="0"/>
    <x v="0"/>
    <x v="1"/>
    <x v="0"/>
    <x v="0"/>
    <x v="0"/>
    <x v="0"/>
  </r>
  <r>
    <x v="652"/>
    <x v="318"/>
    <x v="318"/>
    <x v="313"/>
    <x v="516"/>
    <x v="1"/>
    <x v="2"/>
    <x v="332"/>
    <x v="261"/>
    <x v="1"/>
    <x v="9"/>
    <x v="0"/>
    <x v="0"/>
    <x v="1"/>
    <x v="3"/>
    <x v="3"/>
    <x v="2"/>
    <x v="1"/>
    <x v="3"/>
    <x v="1"/>
    <x v="1"/>
    <x v="149"/>
    <x v="1"/>
    <x v="1"/>
    <x v="2"/>
    <x v="319"/>
    <x v="1"/>
    <x v="1"/>
    <x v="7"/>
    <x v="1"/>
    <x v="0"/>
    <x v="387"/>
    <x v="192"/>
    <x v="212"/>
  </r>
  <r>
    <x v="653"/>
    <x v="178"/>
    <x v="176"/>
    <x v="174"/>
    <x v="517"/>
    <x v="1"/>
    <x v="2"/>
    <x v="186"/>
    <x v="153"/>
    <x v="1"/>
    <x v="44"/>
    <x v="0"/>
    <x v="0"/>
    <x v="1"/>
    <x v="2"/>
    <x v="3"/>
    <x v="2"/>
    <x v="1"/>
    <x v="2"/>
    <x v="1"/>
    <x v="1"/>
    <x v="149"/>
    <x v="2"/>
    <x v="1"/>
    <x v="2"/>
    <x v="175"/>
    <x v="3"/>
    <x v="3"/>
    <x v="0"/>
    <x v="1"/>
    <x v="0"/>
    <x v="388"/>
    <x v="193"/>
    <x v="0"/>
  </r>
  <r>
    <x v="654"/>
    <x v="312"/>
    <x v="313"/>
    <x v="308"/>
    <x v="518"/>
    <x v="3"/>
    <x v="2"/>
    <x v="326"/>
    <x v="257"/>
    <x v="1"/>
    <x v="3"/>
    <x v="0"/>
    <x v="0"/>
    <x v="3"/>
    <x v="1"/>
    <x v="1"/>
    <x v="2"/>
    <x v="1"/>
    <x v="2"/>
    <x v="1"/>
    <x v="2"/>
    <x v="0"/>
    <x v="2"/>
    <x v="3"/>
    <x v="4"/>
    <x v="314"/>
    <x v="5"/>
    <x v="0"/>
    <x v="0"/>
    <x v="1"/>
    <x v="0"/>
    <x v="0"/>
    <x v="0"/>
    <x v="0"/>
  </r>
  <r>
    <x v="655"/>
    <x v="319"/>
    <x v="319"/>
    <x v="314"/>
    <x v="519"/>
    <x v="1"/>
    <x v="2"/>
    <x v="333"/>
    <x v="121"/>
    <x v="1"/>
    <x v="133"/>
    <x v="0"/>
    <x v="0"/>
    <x v="1"/>
    <x v="2"/>
    <x v="3"/>
    <x v="2"/>
    <x v="1"/>
    <x v="2"/>
    <x v="1"/>
    <x v="1"/>
    <x v="149"/>
    <x v="1"/>
    <x v="1"/>
    <x v="1"/>
    <x v="320"/>
    <x v="3"/>
    <x v="1"/>
    <x v="7"/>
    <x v="1"/>
    <x v="0"/>
    <x v="389"/>
    <x v="194"/>
    <x v="0"/>
  </r>
  <r>
    <x v="656"/>
    <x v="320"/>
    <x v="320"/>
    <x v="315"/>
    <x v="520"/>
    <x v="1"/>
    <x v="2"/>
    <x v="334"/>
    <x v="262"/>
    <x v="6"/>
    <x v="0"/>
    <x v="0"/>
    <x v="14"/>
    <x v="1"/>
    <x v="2"/>
    <x v="3"/>
    <x v="2"/>
    <x v="1"/>
    <x v="3"/>
    <x v="1"/>
    <x v="1"/>
    <x v="149"/>
    <x v="1"/>
    <x v="1"/>
    <x v="2"/>
    <x v="321"/>
    <x v="3"/>
    <x v="3"/>
    <x v="0"/>
    <x v="1"/>
    <x v="0"/>
    <x v="390"/>
    <x v="195"/>
    <x v="0"/>
  </r>
  <r>
    <x v="657"/>
    <x v="321"/>
    <x v="321"/>
    <x v="316"/>
    <x v="521"/>
    <x v="1"/>
    <x v="2"/>
    <x v="335"/>
    <x v="263"/>
    <x v="1"/>
    <x v="36"/>
    <x v="0"/>
    <x v="0"/>
    <x v="1"/>
    <x v="1"/>
    <x v="1"/>
    <x v="2"/>
    <x v="1"/>
    <x v="1"/>
    <x v="1"/>
    <x v="2"/>
    <x v="0"/>
    <x v="1"/>
    <x v="1"/>
    <x v="2"/>
    <x v="322"/>
    <x v="11"/>
    <x v="0"/>
    <x v="0"/>
    <x v="1"/>
    <x v="0"/>
    <x v="0"/>
    <x v="0"/>
    <x v="0"/>
  </r>
  <r>
    <x v="658"/>
    <x v="322"/>
    <x v="322"/>
    <x v="317"/>
    <x v="522"/>
    <x v="1"/>
    <x v="2"/>
    <x v="336"/>
    <x v="36"/>
    <x v="1"/>
    <x v="134"/>
    <x v="0"/>
    <x v="0"/>
    <x v="1"/>
    <x v="1"/>
    <x v="1"/>
    <x v="2"/>
    <x v="1"/>
    <x v="2"/>
    <x v="1"/>
    <x v="2"/>
    <x v="0"/>
    <x v="1"/>
    <x v="1"/>
    <x v="2"/>
    <x v="323"/>
    <x v="3"/>
    <x v="0"/>
    <x v="0"/>
    <x v="1"/>
    <x v="0"/>
    <x v="0"/>
    <x v="0"/>
    <x v="0"/>
  </r>
  <r>
    <x v="659"/>
    <x v="316"/>
    <x v="317"/>
    <x v="312"/>
    <x v="0"/>
    <x v="1"/>
    <x v="2"/>
    <x v="330"/>
    <x v="92"/>
    <x v="1"/>
    <x v="132"/>
    <x v="0"/>
    <x v="0"/>
    <x v="3"/>
    <x v="1"/>
    <x v="1"/>
    <x v="2"/>
    <x v="1"/>
    <x v="2"/>
    <x v="1"/>
    <x v="2"/>
    <x v="0"/>
    <x v="2"/>
    <x v="3"/>
    <x v="4"/>
    <x v="318"/>
    <x v="5"/>
    <x v="0"/>
    <x v="0"/>
    <x v="1"/>
    <x v="0"/>
    <x v="0"/>
    <x v="0"/>
    <x v="0"/>
  </r>
  <r>
    <x v="660"/>
    <x v="318"/>
    <x v="318"/>
    <x v="313"/>
    <x v="0"/>
    <x v="1"/>
    <x v="2"/>
    <x v="337"/>
    <x v="261"/>
    <x v="1"/>
    <x v="9"/>
    <x v="0"/>
    <x v="0"/>
    <x v="3"/>
    <x v="4"/>
    <x v="1"/>
    <x v="2"/>
    <x v="1"/>
    <x v="2"/>
    <x v="1"/>
    <x v="2"/>
    <x v="0"/>
    <x v="2"/>
    <x v="3"/>
    <x v="4"/>
    <x v="324"/>
    <x v="12"/>
    <x v="0"/>
    <x v="0"/>
    <x v="1"/>
    <x v="0"/>
    <x v="0"/>
    <x v="0"/>
    <x v="0"/>
  </r>
  <r>
    <x v="661"/>
    <x v="323"/>
    <x v="323"/>
    <x v="318"/>
    <x v="523"/>
    <x v="1"/>
    <x v="1"/>
    <x v="43"/>
    <x v="264"/>
    <x v="1"/>
    <x v="135"/>
    <x v="0"/>
    <x v="0"/>
    <x v="1"/>
    <x v="1"/>
    <x v="1"/>
    <x v="2"/>
    <x v="1"/>
    <x v="2"/>
    <x v="1"/>
    <x v="2"/>
    <x v="0"/>
    <x v="1"/>
    <x v="1"/>
    <x v="2"/>
    <x v="325"/>
    <x v="12"/>
    <x v="0"/>
    <x v="0"/>
    <x v="1"/>
    <x v="0"/>
    <x v="0"/>
    <x v="0"/>
    <x v="0"/>
  </r>
  <r>
    <x v="662"/>
    <x v="319"/>
    <x v="319"/>
    <x v="314"/>
    <x v="0"/>
    <x v="1"/>
    <x v="2"/>
    <x v="333"/>
    <x v="265"/>
    <x v="1"/>
    <x v="133"/>
    <x v="0"/>
    <x v="0"/>
    <x v="3"/>
    <x v="1"/>
    <x v="1"/>
    <x v="1"/>
    <x v="1"/>
    <x v="2"/>
    <x v="1"/>
    <x v="2"/>
    <x v="0"/>
    <x v="2"/>
    <x v="1"/>
    <x v="4"/>
    <x v="320"/>
    <x v="12"/>
    <x v="0"/>
    <x v="0"/>
    <x v="1"/>
    <x v="0"/>
    <x v="0"/>
    <x v="0"/>
    <x v="213"/>
  </r>
  <r>
    <x v="663"/>
    <x v="324"/>
    <x v="324"/>
    <x v="319"/>
    <x v="524"/>
    <x v="1"/>
    <x v="2"/>
    <x v="338"/>
    <x v="266"/>
    <x v="1"/>
    <x v="1"/>
    <x v="0"/>
    <x v="0"/>
    <x v="1"/>
    <x v="2"/>
    <x v="3"/>
    <x v="2"/>
    <x v="1"/>
    <x v="2"/>
    <x v="1"/>
    <x v="1"/>
    <x v="150"/>
    <x v="1"/>
    <x v="5"/>
    <x v="3"/>
    <x v="326"/>
    <x v="2"/>
    <x v="3"/>
    <x v="0"/>
    <x v="1"/>
    <x v="0"/>
    <x v="391"/>
    <x v="196"/>
    <x v="0"/>
  </r>
  <r>
    <x v="664"/>
    <x v="325"/>
    <x v="325"/>
    <x v="320"/>
    <x v="525"/>
    <x v="1"/>
    <x v="2"/>
    <x v="339"/>
    <x v="267"/>
    <x v="1"/>
    <x v="9"/>
    <x v="0"/>
    <x v="0"/>
    <x v="1"/>
    <x v="1"/>
    <x v="1"/>
    <x v="2"/>
    <x v="1"/>
    <x v="2"/>
    <x v="1"/>
    <x v="2"/>
    <x v="0"/>
    <x v="1"/>
    <x v="1"/>
    <x v="2"/>
    <x v="327"/>
    <x v="11"/>
    <x v="0"/>
    <x v="0"/>
    <x v="1"/>
    <x v="0"/>
    <x v="0"/>
    <x v="0"/>
    <x v="0"/>
  </r>
  <r>
    <x v="665"/>
    <x v="312"/>
    <x v="313"/>
    <x v="308"/>
    <x v="526"/>
    <x v="3"/>
    <x v="2"/>
    <x v="326"/>
    <x v="268"/>
    <x v="1"/>
    <x v="9"/>
    <x v="0"/>
    <x v="0"/>
    <x v="1"/>
    <x v="3"/>
    <x v="2"/>
    <x v="2"/>
    <x v="1"/>
    <x v="3"/>
    <x v="1"/>
    <x v="1"/>
    <x v="151"/>
    <x v="1"/>
    <x v="1"/>
    <x v="2"/>
    <x v="314"/>
    <x v="11"/>
    <x v="1"/>
    <x v="4"/>
    <x v="2"/>
    <x v="1"/>
    <x v="392"/>
    <x v="197"/>
    <x v="214"/>
  </r>
  <r>
    <x v="666"/>
    <x v="141"/>
    <x v="141"/>
    <x v="139"/>
    <x v="527"/>
    <x v="1"/>
    <x v="1"/>
    <x v="145"/>
    <x v="125"/>
    <x v="1"/>
    <x v="9"/>
    <x v="0"/>
    <x v="0"/>
    <x v="1"/>
    <x v="1"/>
    <x v="1"/>
    <x v="2"/>
    <x v="1"/>
    <x v="2"/>
    <x v="1"/>
    <x v="2"/>
    <x v="0"/>
    <x v="1"/>
    <x v="7"/>
    <x v="2"/>
    <x v="140"/>
    <x v="12"/>
    <x v="0"/>
    <x v="0"/>
    <x v="1"/>
    <x v="0"/>
    <x v="0"/>
    <x v="0"/>
    <x v="0"/>
  </r>
  <r>
    <x v="667"/>
    <x v="326"/>
    <x v="326"/>
    <x v="321"/>
    <x v="528"/>
    <x v="3"/>
    <x v="1"/>
    <x v="340"/>
    <x v="123"/>
    <x v="2"/>
    <x v="0"/>
    <x v="2"/>
    <x v="0"/>
    <x v="1"/>
    <x v="1"/>
    <x v="1"/>
    <x v="2"/>
    <x v="1"/>
    <x v="2"/>
    <x v="1"/>
    <x v="2"/>
    <x v="0"/>
    <x v="1"/>
    <x v="7"/>
    <x v="2"/>
    <x v="328"/>
    <x v="12"/>
    <x v="0"/>
    <x v="0"/>
    <x v="1"/>
    <x v="0"/>
    <x v="0"/>
    <x v="0"/>
    <x v="0"/>
  </r>
  <r>
    <x v="668"/>
    <x v="327"/>
    <x v="327"/>
    <x v="322"/>
    <x v="529"/>
    <x v="1"/>
    <x v="2"/>
    <x v="341"/>
    <x v="269"/>
    <x v="1"/>
    <x v="136"/>
    <x v="0"/>
    <x v="0"/>
    <x v="1"/>
    <x v="3"/>
    <x v="3"/>
    <x v="2"/>
    <x v="1"/>
    <x v="3"/>
    <x v="2"/>
    <x v="1"/>
    <x v="152"/>
    <x v="1"/>
    <x v="7"/>
    <x v="2"/>
    <x v="329"/>
    <x v="1"/>
    <x v="1"/>
    <x v="1"/>
    <x v="2"/>
    <x v="1"/>
    <x v="393"/>
    <x v="198"/>
    <x v="0"/>
  </r>
  <r>
    <x v="669"/>
    <x v="328"/>
    <x v="328"/>
    <x v="323"/>
    <x v="530"/>
    <x v="1"/>
    <x v="2"/>
    <x v="342"/>
    <x v="270"/>
    <x v="1"/>
    <x v="15"/>
    <x v="0"/>
    <x v="0"/>
    <x v="1"/>
    <x v="1"/>
    <x v="1"/>
    <x v="2"/>
    <x v="1"/>
    <x v="2"/>
    <x v="1"/>
    <x v="2"/>
    <x v="0"/>
    <x v="1"/>
    <x v="1"/>
    <x v="2"/>
    <x v="330"/>
    <x v="12"/>
    <x v="0"/>
    <x v="0"/>
    <x v="1"/>
    <x v="0"/>
    <x v="0"/>
    <x v="0"/>
    <x v="0"/>
  </r>
  <r>
    <x v="670"/>
    <x v="312"/>
    <x v="313"/>
    <x v="308"/>
    <x v="531"/>
    <x v="3"/>
    <x v="2"/>
    <x v="326"/>
    <x v="271"/>
    <x v="1"/>
    <x v="9"/>
    <x v="0"/>
    <x v="0"/>
    <x v="3"/>
    <x v="1"/>
    <x v="1"/>
    <x v="2"/>
    <x v="1"/>
    <x v="3"/>
    <x v="1"/>
    <x v="2"/>
    <x v="0"/>
    <x v="1"/>
    <x v="3"/>
    <x v="4"/>
    <x v="314"/>
    <x v="1"/>
    <x v="0"/>
    <x v="0"/>
    <x v="1"/>
    <x v="0"/>
    <x v="0"/>
    <x v="0"/>
    <x v="215"/>
  </r>
  <r>
    <x v="671"/>
    <x v="329"/>
    <x v="329"/>
    <x v="324"/>
    <x v="532"/>
    <x v="1"/>
    <x v="2"/>
    <x v="343"/>
    <x v="272"/>
    <x v="1"/>
    <x v="137"/>
    <x v="0"/>
    <x v="0"/>
    <x v="1"/>
    <x v="1"/>
    <x v="1"/>
    <x v="2"/>
    <x v="1"/>
    <x v="3"/>
    <x v="1"/>
    <x v="2"/>
    <x v="0"/>
    <x v="1"/>
    <x v="6"/>
    <x v="3"/>
    <x v="331"/>
    <x v="5"/>
    <x v="0"/>
    <x v="0"/>
    <x v="1"/>
    <x v="0"/>
    <x v="0"/>
    <x v="0"/>
    <x v="0"/>
  </r>
  <r>
    <x v="672"/>
    <x v="327"/>
    <x v="327"/>
    <x v="322"/>
    <x v="533"/>
    <x v="1"/>
    <x v="1"/>
    <x v="341"/>
    <x v="269"/>
    <x v="1"/>
    <x v="15"/>
    <x v="0"/>
    <x v="0"/>
    <x v="3"/>
    <x v="1"/>
    <x v="1"/>
    <x v="2"/>
    <x v="1"/>
    <x v="2"/>
    <x v="1"/>
    <x v="2"/>
    <x v="0"/>
    <x v="2"/>
    <x v="3"/>
    <x v="4"/>
    <x v="329"/>
    <x v="5"/>
    <x v="0"/>
    <x v="0"/>
    <x v="1"/>
    <x v="0"/>
    <x v="0"/>
    <x v="0"/>
    <x v="0"/>
  </r>
  <r>
    <x v="673"/>
    <x v="330"/>
    <x v="330"/>
    <x v="325"/>
    <x v="534"/>
    <x v="1"/>
    <x v="1"/>
    <x v="344"/>
    <x v="196"/>
    <x v="6"/>
    <x v="0"/>
    <x v="0"/>
    <x v="15"/>
    <x v="1"/>
    <x v="1"/>
    <x v="1"/>
    <x v="2"/>
    <x v="1"/>
    <x v="2"/>
    <x v="1"/>
    <x v="1"/>
    <x v="153"/>
    <x v="1"/>
    <x v="6"/>
    <x v="3"/>
    <x v="332"/>
    <x v="5"/>
    <x v="3"/>
    <x v="0"/>
    <x v="1"/>
    <x v="0"/>
    <x v="394"/>
    <x v="199"/>
    <x v="0"/>
  </r>
  <r>
    <x v="674"/>
    <x v="331"/>
    <x v="331"/>
    <x v="326"/>
    <x v="535"/>
    <x v="3"/>
    <x v="2"/>
    <x v="345"/>
    <x v="273"/>
    <x v="1"/>
    <x v="15"/>
    <x v="0"/>
    <x v="0"/>
    <x v="1"/>
    <x v="1"/>
    <x v="1"/>
    <x v="2"/>
    <x v="1"/>
    <x v="3"/>
    <x v="1"/>
    <x v="1"/>
    <x v="152"/>
    <x v="2"/>
    <x v="4"/>
    <x v="2"/>
    <x v="333"/>
    <x v="1"/>
    <x v="1"/>
    <x v="4"/>
    <x v="2"/>
    <x v="1"/>
    <x v="395"/>
    <x v="0"/>
    <x v="0"/>
  </r>
  <r>
    <x v="675"/>
    <x v="331"/>
    <x v="331"/>
    <x v="326"/>
    <x v="536"/>
    <x v="3"/>
    <x v="2"/>
    <x v="346"/>
    <x v="273"/>
    <x v="2"/>
    <x v="0"/>
    <x v="6"/>
    <x v="0"/>
    <x v="3"/>
    <x v="3"/>
    <x v="3"/>
    <x v="2"/>
    <x v="1"/>
    <x v="3"/>
    <x v="1"/>
    <x v="1"/>
    <x v="153"/>
    <x v="2"/>
    <x v="3"/>
    <x v="4"/>
    <x v="333"/>
    <x v="1"/>
    <x v="1"/>
    <x v="4"/>
    <x v="2"/>
    <x v="1"/>
    <x v="396"/>
    <x v="0"/>
    <x v="0"/>
  </r>
  <r>
    <x v="676"/>
    <x v="332"/>
    <x v="332"/>
    <x v="327"/>
    <x v="537"/>
    <x v="1"/>
    <x v="2"/>
    <x v="347"/>
    <x v="274"/>
    <x v="1"/>
    <x v="22"/>
    <x v="0"/>
    <x v="0"/>
    <x v="1"/>
    <x v="1"/>
    <x v="2"/>
    <x v="2"/>
    <x v="1"/>
    <x v="2"/>
    <x v="1"/>
    <x v="1"/>
    <x v="154"/>
    <x v="1"/>
    <x v="6"/>
    <x v="2"/>
    <x v="334"/>
    <x v="12"/>
    <x v="3"/>
    <x v="0"/>
    <x v="1"/>
    <x v="0"/>
    <x v="397"/>
    <x v="200"/>
    <x v="216"/>
  </r>
  <r>
    <x v="677"/>
    <x v="331"/>
    <x v="331"/>
    <x v="326"/>
    <x v="538"/>
    <x v="3"/>
    <x v="2"/>
    <x v="346"/>
    <x v="273"/>
    <x v="1"/>
    <x v="15"/>
    <x v="0"/>
    <x v="0"/>
    <x v="3"/>
    <x v="1"/>
    <x v="1"/>
    <x v="2"/>
    <x v="1"/>
    <x v="3"/>
    <x v="1"/>
    <x v="2"/>
    <x v="0"/>
    <x v="2"/>
    <x v="3"/>
    <x v="4"/>
    <x v="333"/>
    <x v="1"/>
    <x v="0"/>
    <x v="0"/>
    <x v="1"/>
    <x v="0"/>
    <x v="0"/>
    <x v="0"/>
    <x v="0"/>
  </r>
  <r>
    <x v="678"/>
    <x v="333"/>
    <x v="333"/>
    <x v="328"/>
    <x v="539"/>
    <x v="3"/>
    <x v="2"/>
    <x v="348"/>
    <x v="275"/>
    <x v="1"/>
    <x v="22"/>
    <x v="0"/>
    <x v="0"/>
    <x v="1"/>
    <x v="3"/>
    <x v="3"/>
    <x v="2"/>
    <x v="1"/>
    <x v="3"/>
    <x v="1"/>
    <x v="1"/>
    <x v="154"/>
    <x v="1"/>
    <x v="6"/>
    <x v="2"/>
    <x v="335"/>
    <x v="1"/>
    <x v="3"/>
    <x v="0"/>
    <x v="1"/>
    <x v="0"/>
    <x v="398"/>
    <x v="0"/>
    <x v="217"/>
  </r>
  <r>
    <x v="679"/>
    <x v="334"/>
    <x v="334"/>
    <x v="329"/>
    <x v="540"/>
    <x v="3"/>
    <x v="2"/>
    <x v="349"/>
    <x v="276"/>
    <x v="2"/>
    <x v="0"/>
    <x v="2"/>
    <x v="0"/>
    <x v="1"/>
    <x v="1"/>
    <x v="1"/>
    <x v="2"/>
    <x v="1"/>
    <x v="2"/>
    <x v="1"/>
    <x v="1"/>
    <x v="154"/>
    <x v="1"/>
    <x v="6"/>
    <x v="2"/>
    <x v="336"/>
    <x v="12"/>
    <x v="3"/>
    <x v="0"/>
    <x v="1"/>
    <x v="0"/>
    <x v="0"/>
    <x v="201"/>
    <x v="218"/>
  </r>
  <r>
    <x v="680"/>
    <x v="335"/>
    <x v="335"/>
    <x v="330"/>
    <x v="541"/>
    <x v="1"/>
    <x v="2"/>
    <x v="350"/>
    <x v="269"/>
    <x v="1"/>
    <x v="33"/>
    <x v="0"/>
    <x v="0"/>
    <x v="1"/>
    <x v="3"/>
    <x v="3"/>
    <x v="1"/>
    <x v="1"/>
    <x v="2"/>
    <x v="1"/>
    <x v="1"/>
    <x v="155"/>
    <x v="1"/>
    <x v="4"/>
    <x v="2"/>
    <x v="337"/>
    <x v="12"/>
    <x v="1"/>
    <x v="12"/>
    <x v="2"/>
    <x v="1"/>
    <x v="0"/>
    <x v="0"/>
    <x v="0"/>
  </r>
  <r>
    <x v="681"/>
    <x v="193"/>
    <x v="191"/>
    <x v="189"/>
    <x v="542"/>
    <x v="1"/>
    <x v="2"/>
    <x v="202"/>
    <x v="165"/>
    <x v="1"/>
    <x v="79"/>
    <x v="0"/>
    <x v="0"/>
    <x v="1"/>
    <x v="1"/>
    <x v="1"/>
    <x v="2"/>
    <x v="1"/>
    <x v="2"/>
    <x v="1"/>
    <x v="2"/>
    <x v="0"/>
    <x v="1"/>
    <x v="1"/>
    <x v="2"/>
    <x v="191"/>
    <x v="3"/>
    <x v="0"/>
    <x v="0"/>
    <x v="1"/>
    <x v="0"/>
    <x v="0"/>
    <x v="0"/>
    <x v="0"/>
  </r>
  <r>
    <x v="682"/>
    <x v="336"/>
    <x v="336"/>
    <x v="331"/>
    <x v="543"/>
    <x v="1"/>
    <x v="2"/>
    <x v="351"/>
    <x v="251"/>
    <x v="1"/>
    <x v="4"/>
    <x v="0"/>
    <x v="0"/>
    <x v="1"/>
    <x v="3"/>
    <x v="3"/>
    <x v="2"/>
    <x v="1"/>
    <x v="2"/>
    <x v="1"/>
    <x v="1"/>
    <x v="155"/>
    <x v="1"/>
    <x v="1"/>
    <x v="2"/>
    <x v="338"/>
    <x v="12"/>
    <x v="1"/>
    <x v="5"/>
    <x v="2"/>
    <x v="1"/>
    <x v="399"/>
    <x v="0"/>
    <x v="0"/>
  </r>
  <r>
    <x v="683"/>
    <x v="337"/>
    <x v="337"/>
    <x v="332"/>
    <x v="544"/>
    <x v="3"/>
    <x v="2"/>
    <x v="352"/>
    <x v="277"/>
    <x v="1"/>
    <x v="138"/>
    <x v="0"/>
    <x v="0"/>
    <x v="1"/>
    <x v="3"/>
    <x v="2"/>
    <x v="2"/>
    <x v="1"/>
    <x v="2"/>
    <x v="1"/>
    <x v="1"/>
    <x v="156"/>
    <x v="1"/>
    <x v="2"/>
    <x v="3"/>
    <x v="339"/>
    <x v="2"/>
    <x v="1"/>
    <x v="4"/>
    <x v="2"/>
    <x v="1"/>
    <x v="400"/>
    <x v="0"/>
    <x v="0"/>
  </r>
  <r>
    <x v="684"/>
    <x v="335"/>
    <x v="335"/>
    <x v="330"/>
    <x v="545"/>
    <x v="1"/>
    <x v="2"/>
    <x v="350"/>
    <x v="269"/>
    <x v="1"/>
    <x v="33"/>
    <x v="0"/>
    <x v="0"/>
    <x v="3"/>
    <x v="1"/>
    <x v="1"/>
    <x v="2"/>
    <x v="1"/>
    <x v="3"/>
    <x v="1"/>
    <x v="1"/>
    <x v="157"/>
    <x v="1"/>
    <x v="3"/>
    <x v="4"/>
    <x v="337"/>
    <x v="11"/>
    <x v="1"/>
    <x v="1"/>
    <x v="2"/>
    <x v="1"/>
    <x v="401"/>
    <x v="0"/>
    <x v="0"/>
  </r>
  <r>
    <x v="685"/>
    <x v="338"/>
    <x v="338"/>
    <x v="333"/>
    <x v="546"/>
    <x v="1"/>
    <x v="2"/>
    <x v="353"/>
    <x v="278"/>
    <x v="1"/>
    <x v="139"/>
    <x v="0"/>
    <x v="0"/>
    <x v="1"/>
    <x v="3"/>
    <x v="2"/>
    <x v="2"/>
    <x v="1"/>
    <x v="1"/>
    <x v="1"/>
    <x v="1"/>
    <x v="156"/>
    <x v="1"/>
    <x v="1"/>
    <x v="2"/>
    <x v="340"/>
    <x v="1"/>
    <x v="1"/>
    <x v="1"/>
    <x v="2"/>
    <x v="1"/>
    <x v="0"/>
    <x v="0"/>
    <x v="0"/>
  </r>
  <r>
    <x v="686"/>
    <x v="336"/>
    <x v="336"/>
    <x v="331"/>
    <x v="547"/>
    <x v="1"/>
    <x v="2"/>
    <x v="351"/>
    <x v="251"/>
    <x v="2"/>
    <x v="0"/>
    <x v="2"/>
    <x v="0"/>
    <x v="3"/>
    <x v="1"/>
    <x v="1"/>
    <x v="2"/>
    <x v="1"/>
    <x v="1"/>
    <x v="1"/>
    <x v="2"/>
    <x v="0"/>
    <x v="1"/>
    <x v="3"/>
    <x v="4"/>
    <x v="338"/>
    <x v="2"/>
    <x v="0"/>
    <x v="0"/>
    <x v="1"/>
    <x v="0"/>
    <x v="0"/>
    <x v="0"/>
    <x v="0"/>
  </r>
  <r>
    <x v="687"/>
    <x v="339"/>
    <x v="339"/>
    <x v="334"/>
    <x v="548"/>
    <x v="1"/>
    <x v="2"/>
    <x v="354"/>
    <x v="279"/>
    <x v="1"/>
    <x v="140"/>
    <x v="0"/>
    <x v="0"/>
    <x v="1"/>
    <x v="1"/>
    <x v="1"/>
    <x v="2"/>
    <x v="1"/>
    <x v="3"/>
    <x v="1"/>
    <x v="2"/>
    <x v="0"/>
    <x v="1"/>
    <x v="1"/>
    <x v="2"/>
    <x v="341"/>
    <x v="11"/>
    <x v="0"/>
    <x v="0"/>
    <x v="1"/>
    <x v="0"/>
    <x v="0"/>
    <x v="0"/>
    <x v="0"/>
  </r>
  <r>
    <x v="688"/>
    <x v="340"/>
    <x v="340"/>
    <x v="335"/>
    <x v="549"/>
    <x v="1"/>
    <x v="2"/>
    <x v="355"/>
    <x v="280"/>
    <x v="1"/>
    <x v="15"/>
    <x v="0"/>
    <x v="0"/>
    <x v="1"/>
    <x v="1"/>
    <x v="1"/>
    <x v="1"/>
    <x v="1"/>
    <x v="3"/>
    <x v="1"/>
    <x v="1"/>
    <x v="158"/>
    <x v="1"/>
    <x v="5"/>
    <x v="2"/>
    <x v="342"/>
    <x v="5"/>
    <x v="3"/>
    <x v="0"/>
    <x v="1"/>
    <x v="0"/>
    <x v="402"/>
    <x v="202"/>
    <x v="219"/>
  </r>
  <r>
    <x v="689"/>
    <x v="338"/>
    <x v="338"/>
    <x v="333"/>
    <x v="550"/>
    <x v="1"/>
    <x v="2"/>
    <x v="353"/>
    <x v="281"/>
    <x v="1"/>
    <x v="139"/>
    <x v="0"/>
    <x v="0"/>
    <x v="3"/>
    <x v="1"/>
    <x v="1"/>
    <x v="2"/>
    <x v="1"/>
    <x v="2"/>
    <x v="1"/>
    <x v="2"/>
    <x v="0"/>
    <x v="1"/>
    <x v="3"/>
    <x v="4"/>
    <x v="340"/>
    <x v="5"/>
    <x v="0"/>
    <x v="0"/>
    <x v="1"/>
    <x v="0"/>
    <x v="0"/>
    <x v="0"/>
    <x v="0"/>
  </r>
  <r>
    <x v="690"/>
    <x v="337"/>
    <x v="337"/>
    <x v="332"/>
    <x v="551"/>
    <x v="3"/>
    <x v="2"/>
    <x v="352"/>
    <x v="231"/>
    <x v="1"/>
    <x v="22"/>
    <x v="0"/>
    <x v="0"/>
    <x v="3"/>
    <x v="4"/>
    <x v="1"/>
    <x v="2"/>
    <x v="1"/>
    <x v="2"/>
    <x v="1"/>
    <x v="2"/>
    <x v="0"/>
    <x v="2"/>
    <x v="3"/>
    <x v="4"/>
    <x v="339"/>
    <x v="1"/>
    <x v="0"/>
    <x v="0"/>
    <x v="1"/>
    <x v="0"/>
    <x v="0"/>
    <x v="0"/>
    <x v="0"/>
  </r>
  <r>
    <x v="691"/>
    <x v="341"/>
    <x v="341"/>
    <x v="336"/>
    <x v="552"/>
    <x v="1"/>
    <x v="2"/>
    <x v="356"/>
    <x v="210"/>
    <x v="1"/>
    <x v="9"/>
    <x v="0"/>
    <x v="0"/>
    <x v="1"/>
    <x v="3"/>
    <x v="2"/>
    <x v="2"/>
    <x v="1"/>
    <x v="2"/>
    <x v="1"/>
    <x v="1"/>
    <x v="157"/>
    <x v="1"/>
    <x v="1"/>
    <x v="2"/>
    <x v="343"/>
    <x v="1"/>
    <x v="3"/>
    <x v="0"/>
    <x v="1"/>
    <x v="0"/>
    <x v="403"/>
    <x v="203"/>
    <x v="0"/>
  </r>
  <r>
    <x v="692"/>
    <x v="335"/>
    <x v="335"/>
    <x v="330"/>
    <x v="553"/>
    <x v="1"/>
    <x v="2"/>
    <x v="350"/>
    <x v="269"/>
    <x v="1"/>
    <x v="33"/>
    <x v="0"/>
    <x v="0"/>
    <x v="3"/>
    <x v="1"/>
    <x v="1"/>
    <x v="2"/>
    <x v="1"/>
    <x v="2"/>
    <x v="1"/>
    <x v="1"/>
    <x v="158"/>
    <x v="1"/>
    <x v="3"/>
    <x v="4"/>
    <x v="337"/>
    <x v="5"/>
    <x v="1"/>
    <x v="4"/>
    <x v="2"/>
    <x v="1"/>
    <x v="404"/>
    <x v="204"/>
    <x v="220"/>
  </r>
  <r>
    <x v="693"/>
    <x v="308"/>
    <x v="309"/>
    <x v="304"/>
    <x v="554"/>
    <x v="1"/>
    <x v="2"/>
    <x v="322"/>
    <x v="163"/>
    <x v="1"/>
    <x v="3"/>
    <x v="0"/>
    <x v="0"/>
    <x v="1"/>
    <x v="1"/>
    <x v="1"/>
    <x v="2"/>
    <x v="1"/>
    <x v="2"/>
    <x v="1"/>
    <x v="1"/>
    <x v="157"/>
    <x v="1"/>
    <x v="1"/>
    <x v="2"/>
    <x v="310"/>
    <x v="5"/>
    <x v="3"/>
    <x v="0"/>
    <x v="1"/>
    <x v="0"/>
    <x v="405"/>
    <x v="0"/>
    <x v="221"/>
  </r>
  <r>
    <x v="694"/>
    <x v="342"/>
    <x v="342"/>
    <x v="337"/>
    <x v="555"/>
    <x v="3"/>
    <x v="1"/>
    <x v="357"/>
    <x v="196"/>
    <x v="6"/>
    <x v="0"/>
    <x v="0"/>
    <x v="16"/>
    <x v="1"/>
    <x v="1"/>
    <x v="1"/>
    <x v="2"/>
    <x v="1"/>
    <x v="3"/>
    <x v="1"/>
    <x v="1"/>
    <x v="159"/>
    <x v="1"/>
    <x v="1"/>
    <x v="2"/>
    <x v="344"/>
    <x v="1"/>
    <x v="3"/>
    <x v="0"/>
    <x v="1"/>
    <x v="0"/>
    <x v="406"/>
    <x v="205"/>
    <x v="222"/>
  </r>
  <r>
    <x v="695"/>
    <x v="308"/>
    <x v="309"/>
    <x v="304"/>
    <x v="556"/>
    <x v="1"/>
    <x v="1"/>
    <x v="322"/>
    <x v="282"/>
    <x v="2"/>
    <x v="0"/>
    <x v="5"/>
    <x v="0"/>
    <x v="1"/>
    <x v="3"/>
    <x v="3"/>
    <x v="2"/>
    <x v="1"/>
    <x v="2"/>
    <x v="1"/>
    <x v="1"/>
    <x v="159"/>
    <x v="1"/>
    <x v="5"/>
    <x v="2"/>
    <x v="310"/>
    <x v="12"/>
    <x v="3"/>
    <x v="0"/>
    <x v="1"/>
    <x v="0"/>
    <x v="407"/>
    <x v="206"/>
    <x v="223"/>
  </r>
  <r>
    <x v="696"/>
    <x v="339"/>
    <x v="339"/>
    <x v="334"/>
    <x v="557"/>
    <x v="1"/>
    <x v="2"/>
    <x v="354"/>
    <x v="279"/>
    <x v="1"/>
    <x v="33"/>
    <x v="0"/>
    <x v="0"/>
    <x v="1"/>
    <x v="3"/>
    <x v="2"/>
    <x v="2"/>
    <x v="1"/>
    <x v="3"/>
    <x v="1"/>
    <x v="1"/>
    <x v="158"/>
    <x v="1"/>
    <x v="1"/>
    <x v="2"/>
    <x v="341"/>
    <x v="2"/>
    <x v="3"/>
    <x v="0"/>
    <x v="1"/>
    <x v="0"/>
    <x v="408"/>
    <x v="207"/>
    <x v="224"/>
  </r>
  <r>
    <x v="697"/>
    <x v="273"/>
    <x v="274"/>
    <x v="269"/>
    <x v="558"/>
    <x v="1"/>
    <x v="3"/>
    <x v="284"/>
    <x v="27"/>
    <x v="1"/>
    <x v="9"/>
    <x v="0"/>
    <x v="0"/>
    <x v="1"/>
    <x v="5"/>
    <x v="1"/>
    <x v="1"/>
    <x v="1"/>
    <x v="2"/>
    <x v="1"/>
    <x v="1"/>
    <x v="158"/>
    <x v="1"/>
    <x v="1"/>
    <x v="2"/>
    <x v="274"/>
    <x v="2"/>
    <x v="3"/>
    <x v="0"/>
    <x v="1"/>
    <x v="0"/>
    <x v="409"/>
    <x v="208"/>
    <x v="225"/>
  </r>
  <r>
    <x v="698"/>
    <x v="314"/>
    <x v="315"/>
    <x v="310"/>
    <x v="559"/>
    <x v="3"/>
    <x v="2"/>
    <x v="328"/>
    <x v="259"/>
    <x v="6"/>
    <x v="0"/>
    <x v="0"/>
    <x v="1"/>
    <x v="1"/>
    <x v="1"/>
    <x v="2"/>
    <x v="1"/>
    <x v="1"/>
    <x v="2"/>
    <x v="1"/>
    <x v="1"/>
    <x v="158"/>
    <x v="2"/>
    <x v="5"/>
    <x v="2"/>
    <x v="316"/>
    <x v="12"/>
    <x v="3"/>
    <x v="0"/>
    <x v="1"/>
    <x v="0"/>
    <x v="410"/>
    <x v="209"/>
    <x v="226"/>
  </r>
  <r>
    <x v="699"/>
    <x v="343"/>
    <x v="343"/>
    <x v="338"/>
    <x v="560"/>
    <x v="3"/>
    <x v="2"/>
    <x v="358"/>
    <x v="283"/>
    <x v="1"/>
    <x v="15"/>
    <x v="0"/>
    <x v="0"/>
    <x v="1"/>
    <x v="3"/>
    <x v="3"/>
    <x v="2"/>
    <x v="1"/>
    <x v="2"/>
    <x v="1"/>
    <x v="1"/>
    <x v="160"/>
    <x v="1"/>
    <x v="6"/>
    <x v="3"/>
    <x v="345"/>
    <x v="5"/>
    <x v="1"/>
    <x v="1"/>
    <x v="1"/>
    <x v="0"/>
    <x v="411"/>
    <x v="210"/>
    <x v="227"/>
  </r>
  <r>
    <x v="700"/>
    <x v="344"/>
    <x v="344"/>
    <x v="339"/>
    <x v="561"/>
    <x v="1"/>
    <x v="2"/>
    <x v="359"/>
    <x v="284"/>
    <x v="1"/>
    <x v="15"/>
    <x v="0"/>
    <x v="0"/>
    <x v="1"/>
    <x v="1"/>
    <x v="1"/>
    <x v="2"/>
    <x v="1"/>
    <x v="3"/>
    <x v="1"/>
    <x v="1"/>
    <x v="161"/>
    <x v="1"/>
    <x v="6"/>
    <x v="2"/>
    <x v="346"/>
    <x v="1"/>
    <x v="3"/>
    <x v="0"/>
    <x v="1"/>
    <x v="0"/>
    <x v="412"/>
    <x v="211"/>
    <x v="0"/>
  </r>
  <r>
    <x v="701"/>
    <x v="345"/>
    <x v="345"/>
    <x v="340"/>
    <x v="562"/>
    <x v="3"/>
    <x v="2"/>
    <x v="360"/>
    <x v="10"/>
    <x v="1"/>
    <x v="136"/>
    <x v="0"/>
    <x v="0"/>
    <x v="1"/>
    <x v="3"/>
    <x v="3"/>
    <x v="2"/>
    <x v="1"/>
    <x v="3"/>
    <x v="1"/>
    <x v="1"/>
    <x v="160"/>
    <x v="1"/>
    <x v="6"/>
    <x v="2"/>
    <x v="347"/>
    <x v="1"/>
    <x v="1"/>
    <x v="1"/>
    <x v="2"/>
    <x v="1"/>
    <x v="413"/>
    <x v="212"/>
    <x v="228"/>
  </r>
  <r>
    <x v="702"/>
    <x v="346"/>
    <x v="346"/>
    <x v="341"/>
    <x v="563"/>
    <x v="1"/>
    <x v="2"/>
    <x v="215"/>
    <x v="285"/>
    <x v="1"/>
    <x v="36"/>
    <x v="0"/>
    <x v="0"/>
    <x v="1"/>
    <x v="3"/>
    <x v="3"/>
    <x v="1"/>
    <x v="1"/>
    <x v="2"/>
    <x v="1"/>
    <x v="1"/>
    <x v="161"/>
    <x v="1"/>
    <x v="1"/>
    <x v="13"/>
    <x v="348"/>
    <x v="12"/>
    <x v="3"/>
    <x v="0"/>
    <x v="1"/>
    <x v="0"/>
    <x v="414"/>
    <x v="213"/>
    <x v="229"/>
  </r>
  <r>
    <x v="703"/>
    <x v="347"/>
    <x v="347"/>
    <x v="342"/>
    <x v="564"/>
    <x v="3"/>
    <x v="1"/>
    <x v="361"/>
    <x v="199"/>
    <x v="1"/>
    <x v="31"/>
    <x v="0"/>
    <x v="0"/>
    <x v="1"/>
    <x v="1"/>
    <x v="1"/>
    <x v="1"/>
    <x v="1"/>
    <x v="2"/>
    <x v="1"/>
    <x v="2"/>
    <x v="0"/>
    <x v="1"/>
    <x v="1"/>
    <x v="2"/>
    <x v="349"/>
    <x v="12"/>
    <x v="0"/>
    <x v="0"/>
    <x v="1"/>
    <x v="0"/>
    <x v="0"/>
    <x v="0"/>
    <x v="0"/>
  </r>
  <r>
    <x v="704"/>
    <x v="335"/>
    <x v="335"/>
    <x v="330"/>
    <x v="565"/>
    <x v="1"/>
    <x v="2"/>
    <x v="350"/>
    <x v="269"/>
    <x v="1"/>
    <x v="33"/>
    <x v="0"/>
    <x v="0"/>
    <x v="3"/>
    <x v="1"/>
    <x v="1"/>
    <x v="2"/>
    <x v="1"/>
    <x v="3"/>
    <x v="1"/>
    <x v="1"/>
    <x v="162"/>
    <x v="1"/>
    <x v="3"/>
    <x v="4"/>
    <x v="337"/>
    <x v="1"/>
    <x v="1"/>
    <x v="1"/>
    <x v="1"/>
    <x v="0"/>
    <x v="415"/>
    <x v="214"/>
    <x v="230"/>
  </r>
  <r>
    <x v="705"/>
    <x v="348"/>
    <x v="348"/>
    <x v="343"/>
    <x v="566"/>
    <x v="1"/>
    <x v="1"/>
    <x v="362"/>
    <x v="286"/>
    <x v="1"/>
    <x v="3"/>
    <x v="0"/>
    <x v="0"/>
    <x v="2"/>
    <x v="3"/>
    <x v="2"/>
    <x v="2"/>
    <x v="1"/>
    <x v="3"/>
    <x v="1"/>
    <x v="2"/>
    <x v="0"/>
    <x v="3"/>
    <x v="1"/>
    <x v="2"/>
    <x v="350"/>
    <x v="12"/>
    <x v="0"/>
    <x v="0"/>
    <x v="1"/>
    <x v="0"/>
    <x v="0"/>
    <x v="0"/>
    <x v="231"/>
  </r>
  <r>
    <x v="706"/>
    <x v="349"/>
    <x v="349"/>
    <x v="344"/>
    <x v="567"/>
    <x v="1"/>
    <x v="2"/>
    <x v="363"/>
    <x v="261"/>
    <x v="2"/>
    <x v="0"/>
    <x v="6"/>
    <x v="0"/>
    <x v="1"/>
    <x v="3"/>
    <x v="3"/>
    <x v="2"/>
    <x v="1"/>
    <x v="2"/>
    <x v="1"/>
    <x v="1"/>
    <x v="161"/>
    <x v="1"/>
    <x v="5"/>
    <x v="2"/>
    <x v="351"/>
    <x v="12"/>
    <x v="3"/>
    <x v="0"/>
    <x v="1"/>
    <x v="0"/>
    <x v="416"/>
    <x v="215"/>
    <x v="0"/>
  </r>
  <r>
    <x v="707"/>
    <x v="345"/>
    <x v="345"/>
    <x v="340"/>
    <x v="568"/>
    <x v="3"/>
    <x v="2"/>
    <x v="360"/>
    <x v="10"/>
    <x v="1"/>
    <x v="29"/>
    <x v="0"/>
    <x v="0"/>
    <x v="3"/>
    <x v="3"/>
    <x v="2"/>
    <x v="2"/>
    <x v="1"/>
    <x v="3"/>
    <x v="1"/>
    <x v="1"/>
    <x v="163"/>
    <x v="1"/>
    <x v="3"/>
    <x v="4"/>
    <x v="347"/>
    <x v="5"/>
    <x v="3"/>
    <x v="0"/>
    <x v="1"/>
    <x v="0"/>
    <x v="417"/>
    <x v="0"/>
    <x v="232"/>
  </r>
  <r>
    <x v="708"/>
    <x v="350"/>
    <x v="350"/>
    <x v="345"/>
    <x v="569"/>
    <x v="1"/>
    <x v="2"/>
    <x v="364"/>
    <x v="287"/>
    <x v="1"/>
    <x v="24"/>
    <x v="0"/>
    <x v="0"/>
    <x v="1"/>
    <x v="3"/>
    <x v="3"/>
    <x v="2"/>
    <x v="1"/>
    <x v="2"/>
    <x v="1"/>
    <x v="1"/>
    <x v="162"/>
    <x v="1"/>
    <x v="1"/>
    <x v="2"/>
    <x v="352"/>
    <x v="11"/>
    <x v="3"/>
    <x v="0"/>
    <x v="1"/>
    <x v="0"/>
    <x v="418"/>
    <x v="216"/>
    <x v="0"/>
  </r>
  <r>
    <x v="709"/>
    <x v="343"/>
    <x v="343"/>
    <x v="338"/>
    <x v="0"/>
    <x v="3"/>
    <x v="2"/>
    <x v="358"/>
    <x v="288"/>
    <x v="1"/>
    <x v="15"/>
    <x v="0"/>
    <x v="0"/>
    <x v="3"/>
    <x v="1"/>
    <x v="1"/>
    <x v="2"/>
    <x v="1"/>
    <x v="2"/>
    <x v="1"/>
    <x v="1"/>
    <x v="164"/>
    <x v="2"/>
    <x v="3"/>
    <x v="4"/>
    <x v="345"/>
    <x v="5"/>
    <x v="1"/>
    <x v="3"/>
    <x v="2"/>
    <x v="1"/>
    <x v="419"/>
    <x v="0"/>
    <x v="232"/>
  </r>
  <r>
    <x v="710"/>
    <x v="335"/>
    <x v="335"/>
    <x v="330"/>
    <x v="0"/>
    <x v="1"/>
    <x v="2"/>
    <x v="350"/>
    <x v="269"/>
    <x v="1"/>
    <x v="33"/>
    <x v="0"/>
    <x v="0"/>
    <x v="3"/>
    <x v="1"/>
    <x v="1"/>
    <x v="2"/>
    <x v="1"/>
    <x v="3"/>
    <x v="1"/>
    <x v="2"/>
    <x v="0"/>
    <x v="2"/>
    <x v="3"/>
    <x v="4"/>
    <x v="337"/>
    <x v="5"/>
    <x v="0"/>
    <x v="0"/>
    <x v="1"/>
    <x v="0"/>
    <x v="0"/>
    <x v="0"/>
    <x v="0"/>
  </r>
  <r>
    <x v="711"/>
    <x v="351"/>
    <x v="351"/>
    <x v="346"/>
    <x v="570"/>
    <x v="1"/>
    <x v="2"/>
    <x v="365"/>
    <x v="10"/>
    <x v="2"/>
    <x v="0"/>
    <x v="2"/>
    <x v="0"/>
    <x v="1"/>
    <x v="1"/>
    <x v="1"/>
    <x v="2"/>
    <x v="1"/>
    <x v="2"/>
    <x v="1"/>
    <x v="1"/>
    <x v="163"/>
    <x v="1"/>
    <x v="6"/>
    <x v="2"/>
    <x v="353"/>
    <x v="5"/>
    <x v="3"/>
    <x v="0"/>
    <x v="1"/>
    <x v="0"/>
    <x v="420"/>
    <x v="0"/>
    <x v="0"/>
  </r>
  <r>
    <x v="712"/>
    <x v="352"/>
    <x v="352"/>
    <x v="347"/>
    <x v="571"/>
    <x v="1"/>
    <x v="1"/>
    <x v="366"/>
    <x v="10"/>
    <x v="8"/>
    <x v="0"/>
    <x v="0"/>
    <x v="0"/>
    <x v="1"/>
    <x v="1"/>
    <x v="1"/>
    <x v="2"/>
    <x v="1"/>
    <x v="2"/>
    <x v="1"/>
    <x v="1"/>
    <x v="164"/>
    <x v="1"/>
    <x v="6"/>
    <x v="2"/>
    <x v="354"/>
    <x v="5"/>
    <x v="1"/>
    <x v="3"/>
    <x v="1"/>
    <x v="0"/>
    <x v="421"/>
    <x v="0"/>
    <x v="0"/>
  </r>
  <r>
    <x v="713"/>
    <x v="353"/>
    <x v="353"/>
    <x v="348"/>
    <x v="572"/>
    <x v="1"/>
    <x v="2"/>
    <x v="367"/>
    <x v="216"/>
    <x v="1"/>
    <x v="141"/>
    <x v="0"/>
    <x v="0"/>
    <x v="1"/>
    <x v="1"/>
    <x v="1"/>
    <x v="2"/>
    <x v="1"/>
    <x v="3"/>
    <x v="1"/>
    <x v="2"/>
    <x v="0"/>
    <x v="1"/>
    <x v="6"/>
    <x v="3"/>
    <x v="355"/>
    <x v="5"/>
    <x v="0"/>
    <x v="0"/>
    <x v="1"/>
    <x v="0"/>
    <x v="0"/>
    <x v="0"/>
    <x v="0"/>
  </r>
  <r>
    <x v="714"/>
    <x v="343"/>
    <x v="343"/>
    <x v="338"/>
    <x v="573"/>
    <x v="3"/>
    <x v="2"/>
    <x v="358"/>
    <x v="283"/>
    <x v="1"/>
    <x v="15"/>
    <x v="0"/>
    <x v="0"/>
    <x v="3"/>
    <x v="1"/>
    <x v="1"/>
    <x v="2"/>
    <x v="1"/>
    <x v="1"/>
    <x v="1"/>
    <x v="2"/>
    <x v="0"/>
    <x v="1"/>
    <x v="3"/>
    <x v="4"/>
    <x v="345"/>
    <x v="3"/>
    <x v="0"/>
    <x v="0"/>
    <x v="1"/>
    <x v="0"/>
    <x v="0"/>
    <x v="0"/>
    <x v="0"/>
  </r>
  <r>
    <x v="715"/>
    <x v="352"/>
    <x v="352"/>
    <x v="347"/>
    <x v="0"/>
    <x v="1"/>
    <x v="1"/>
    <x v="366"/>
    <x v="10"/>
    <x v="8"/>
    <x v="0"/>
    <x v="0"/>
    <x v="0"/>
    <x v="3"/>
    <x v="1"/>
    <x v="1"/>
    <x v="2"/>
    <x v="1"/>
    <x v="1"/>
    <x v="1"/>
    <x v="2"/>
    <x v="0"/>
    <x v="2"/>
    <x v="3"/>
    <x v="4"/>
    <x v="354"/>
    <x v="3"/>
    <x v="0"/>
    <x v="0"/>
    <x v="1"/>
    <x v="0"/>
    <x v="0"/>
    <x v="0"/>
    <x v="0"/>
  </r>
  <r>
    <x v="716"/>
    <x v="354"/>
    <x v="354"/>
    <x v="349"/>
    <x v="574"/>
    <x v="1"/>
    <x v="2"/>
    <x v="368"/>
    <x v="10"/>
    <x v="1"/>
    <x v="4"/>
    <x v="0"/>
    <x v="0"/>
    <x v="1"/>
    <x v="1"/>
    <x v="1"/>
    <x v="2"/>
    <x v="1"/>
    <x v="2"/>
    <x v="1"/>
    <x v="1"/>
    <x v="164"/>
    <x v="1"/>
    <x v="6"/>
    <x v="3"/>
    <x v="356"/>
    <x v="3"/>
    <x v="1"/>
    <x v="3"/>
    <x v="1"/>
    <x v="0"/>
    <x v="0"/>
    <x v="0"/>
    <x v="233"/>
  </r>
  <r>
    <x v="717"/>
    <x v="354"/>
    <x v="354"/>
    <x v="349"/>
    <x v="575"/>
    <x v="1"/>
    <x v="2"/>
    <x v="368"/>
    <x v="10"/>
    <x v="1"/>
    <x v="4"/>
    <x v="0"/>
    <x v="0"/>
    <x v="3"/>
    <x v="1"/>
    <x v="1"/>
    <x v="2"/>
    <x v="1"/>
    <x v="2"/>
    <x v="1"/>
    <x v="1"/>
    <x v="165"/>
    <x v="1"/>
    <x v="3"/>
    <x v="4"/>
    <x v="356"/>
    <x v="3"/>
    <x v="1"/>
    <x v="1"/>
    <x v="1"/>
    <x v="0"/>
    <x v="422"/>
    <x v="0"/>
    <x v="0"/>
  </r>
  <r>
    <x v="718"/>
    <x v="354"/>
    <x v="354"/>
    <x v="349"/>
    <x v="0"/>
    <x v="1"/>
    <x v="2"/>
    <x v="368"/>
    <x v="289"/>
    <x v="1"/>
    <x v="4"/>
    <x v="0"/>
    <x v="0"/>
    <x v="3"/>
    <x v="1"/>
    <x v="1"/>
    <x v="2"/>
    <x v="1"/>
    <x v="2"/>
    <x v="1"/>
    <x v="2"/>
    <x v="0"/>
    <x v="2"/>
    <x v="3"/>
    <x v="4"/>
    <x v="356"/>
    <x v="5"/>
    <x v="0"/>
    <x v="0"/>
    <x v="1"/>
    <x v="0"/>
    <x v="0"/>
    <x v="0"/>
    <x v="0"/>
  </r>
  <r>
    <x v="719"/>
    <x v="331"/>
    <x v="331"/>
    <x v="326"/>
    <x v="576"/>
    <x v="3"/>
    <x v="2"/>
    <x v="345"/>
    <x v="273"/>
    <x v="1"/>
    <x v="9"/>
    <x v="0"/>
    <x v="0"/>
    <x v="1"/>
    <x v="2"/>
    <x v="3"/>
    <x v="2"/>
    <x v="1"/>
    <x v="2"/>
    <x v="1"/>
    <x v="1"/>
    <x v="166"/>
    <x v="2"/>
    <x v="6"/>
    <x v="2"/>
    <x v="333"/>
    <x v="5"/>
    <x v="3"/>
    <x v="0"/>
    <x v="1"/>
    <x v="0"/>
    <x v="423"/>
    <x v="217"/>
    <x v="234"/>
  </r>
  <r>
    <x v="720"/>
    <x v="256"/>
    <x v="256"/>
    <x v="252"/>
    <x v="577"/>
    <x v="1"/>
    <x v="2"/>
    <x v="267"/>
    <x v="227"/>
    <x v="1"/>
    <x v="3"/>
    <x v="0"/>
    <x v="0"/>
    <x v="1"/>
    <x v="2"/>
    <x v="3"/>
    <x v="2"/>
    <x v="1"/>
    <x v="2"/>
    <x v="1"/>
    <x v="1"/>
    <x v="167"/>
    <x v="1"/>
    <x v="6"/>
    <x v="3"/>
    <x v="256"/>
    <x v="5"/>
    <x v="1"/>
    <x v="7"/>
    <x v="2"/>
    <x v="1"/>
    <x v="424"/>
    <x v="0"/>
    <x v="235"/>
  </r>
  <r>
    <x v="721"/>
    <x v="256"/>
    <x v="256"/>
    <x v="252"/>
    <x v="578"/>
    <x v="1"/>
    <x v="2"/>
    <x v="267"/>
    <x v="227"/>
    <x v="1"/>
    <x v="3"/>
    <x v="0"/>
    <x v="0"/>
    <x v="3"/>
    <x v="1"/>
    <x v="1"/>
    <x v="2"/>
    <x v="1"/>
    <x v="2"/>
    <x v="1"/>
    <x v="2"/>
    <x v="0"/>
    <x v="1"/>
    <x v="3"/>
    <x v="4"/>
    <x v="256"/>
    <x v="12"/>
    <x v="0"/>
    <x v="0"/>
    <x v="1"/>
    <x v="0"/>
    <x v="0"/>
    <x v="0"/>
    <x v="0"/>
  </r>
  <r>
    <x v="722"/>
    <x v="355"/>
    <x v="355"/>
    <x v="350"/>
    <x v="579"/>
    <x v="1"/>
    <x v="1"/>
    <x v="369"/>
    <x v="290"/>
    <x v="6"/>
    <x v="0"/>
    <x v="0"/>
    <x v="17"/>
    <x v="1"/>
    <x v="3"/>
    <x v="2"/>
    <x v="1"/>
    <x v="1"/>
    <x v="1"/>
    <x v="1"/>
    <x v="1"/>
    <x v="168"/>
    <x v="1"/>
    <x v="1"/>
    <x v="2"/>
    <x v="357"/>
    <x v="12"/>
    <x v="3"/>
    <x v="0"/>
    <x v="1"/>
    <x v="0"/>
    <x v="425"/>
    <x v="218"/>
    <x v="236"/>
  </r>
  <r>
    <x v="723"/>
    <x v="356"/>
    <x v="356"/>
    <x v="351"/>
    <x v="580"/>
    <x v="3"/>
    <x v="2"/>
    <x v="370"/>
    <x v="75"/>
    <x v="1"/>
    <x v="142"/>
    <x v="0"/>
    <x v="0"/>
    <x v="1"/>
    <x v="3"/>
    <x v="2"/>
    <x v="2"/>
    <x v="1"/>
    <x v="3"/>
    <x v="1"/>
    <x v="1"/>
    <x v="168"/>
    <x v="1"/>
    <x v="1"/>
    <x v="2"/>
    <x v="358"/>
    <x v="3"/>
    <x v="3"/>
    <x v="0"/>
    <x v="1"/>
    <x v="0"/>
    <x v="426"/>
    <x v="219"/>
    <x v="0"/>
  </r>
  <r>
    <x v="724"/>
    <x v="209"/>
    <x v="207"/>
    <x v="205"/>
    <x v="581"/>
    <x v="1"/>
    <x v="2"/>
    <x v="218"/>
    <x v="103"/>
    <x v="1"/>
    <x v="143"/>
    <x v="0"/>
    <x v="0"/>
    <x v="1"/>
    <x v="1"/>
    <x v="1"/>
    <x v="1"/>
    <x v="1"/>
    <x v="3"/>
    <x v="1"/>
    <x v="2"/>
    <x v="0"/>
    <x v="1"/>
    <x v="5"/>
    <x v="2"/>
    <x v="209"/>
    <x v="12"/>
    <x v="0"/>
    <x v="0"/>
    <x v="1"/>
    <x v="0"/>
    <x v="0"/>
    <x v="0"/>
    <x v="0"/>
  </r>
  <r>
    <x v="725"/>
    <x v="357"/>
    <x v="357"/>
    <x v="352"/>
    <x v="582"/>
    <x v="1"/>
    <x v="2"/>
    <x v="371"/>
    <x v="125"/>
    <x v="1"/>
    <x v="15"/>
    <x v="0"/>
    <x v="0"/>
    <x v="1"/>
    <x v="3"/>
    <x v="2"/>
    <x v="2"/>
    <x v="1"/>
    <x v="3"/>
    <x v="1"/>
    <x v="1"/>
    <x v="169"/>
    <x v="2"/>
    <x v="1"/>
    <x v="2"/>
    <x v="359"/>
    <x v="11"/>
    <x v="3"/>
    <x v="0"/>
    <x v="1"/>
    <x v="0"/>
    <x v="427"/>
    <x v="0"/>
    <x v="237"/>
  </r>
  <r>
    <x v="726"/>
    <x v="358"/>
    <x v="358"/>
    <x v="353"/>
    <x v="583"/>
    <x v="1"/>
    <x v="1"/>
    <x v="372"/>
    <x v="64"/>
    <x v="1"/>
    <x v="3"/>
    <x v="0"/>
    <x v="0"/>
    <x v="1"/>
    <x v="1"/>
    <x v="1"/>
    <x v="2"/>
    <x v="1"/>
    <x v="2"/>
    <x v="1"/>
    <x v="1"/>
    <x v="168"/>
    <x v="2"/>
    <x v="5"/>
    <x v="2"/>
    <x v="360"/>
    <x v="1"/>
    <x v="3"/>
    <x v="0"/>
    <x v="1"/>
    <x v="0"/>
    <x v="428"/>
    <x v="220"/>
    <x v="0"/>
  </r>
  <r>
    <x v="727"/>
    <x v="359"/>
    <x v="359"/>
    <x v="354"/>
    <x v="584"/>
    <x v="3"/>
    <x v="2"/>
    <x v="373"/>
    <x v="115"/>
    <x v="1"/>
    <x v="144"/>
    <x v="0"/>
    <x v="0"/>
    <x v="1"/>
    <x v="3"/>
    <x v="3"/>
    <x v="2"/>
    <x v="1"/>
    <x v="2"/>
    <x v="1"/>
    <x v="1"/>
    <x v="170"/>
    <x v="1"/>
    <x v="1"/>
    <x v="2"/>
    <x v="361"/>
    <x v="1"/>
    <x v="1"/>
    <x v="12"/>
    <x v="1"/>
    <x v="0"/>
    <x v="429"/>
    <x v="221"/>
    <x v="0"/>
  </r>
  <r>
    <x v="728"/>
    <x v="360"/>
    <x v="360"/>
    <x v="355"/>
    <x v="585"/>
    <x v="1"/>
    <x v="2"/>
    <x v="374"/>
    <x v="110"/>
    <x v="1"/>
    <x v="145"/>
    <x v="0"/>
    <x v="0"/>
    <x v="1"/>
    <x v="3"/>
    <x v="4"/>
    <x v="2"/>
    <x v="1"/>
    <x v="2"/>
    <x v="1"/>
    <x v="1"/>
    <x v="171"/>
    <x v="1"/>
    <x v="2"/>
    <x v="2"/>
    <x v="362"/>
    <x v="12"/>
    <x v="0"/>
    <x v="0"/>
    <x v="1"/>
    <x v="0"/>
    <x v="430"/>
    <x v="222"/>
    <x v="238"/>
  </r>
  <r>
    <x v="729"/>
    <x v="359"/>
    <x v="359"/>
    <x v="354"/>
    <x v="0"/>
    <x v="3"/>
    <x v="2"/>
    <x v="373"/>
    <x v="115"/>
    <x v="1"/>
    <x v="144"/>
    <x v="0"/>
    <x v="0"/>
    <x v="3"/>
    <x v="3"/>
    <x v="3"/>
    <x v="2"/>
    <x v="1"/>
    <x v="2"/>
    <x v="1"/>
    <x v="1"/>
    <x v="171"/>
    <x v="2"/>
    <x v="3"/>
    <x v="4"/>
    <x v="361"/>
    <x v="11"/>
    <x v="3"/>
    <x v="0"/>
    <x v="1"/>
    <x v="0"/>
    <x v="431"/>
    <x v="223"/>
    <x v="0"/>
  </r>
  <r>
    <x v="730"/>
    <x v="361"/>
    <x v="361"/>
    <x v="356"/>
    <x v="586"/>
    <x v="1"/>
    <x v="2"/>
    <x v="375"/>
    <x v="10"/>
    <x v="2"/>
    <x v="0"/>
    <x v="2"/>
    <x v="0"/>
    <x v="1"/>
    <x v="1"/>
    <x v="1"/>
    <x v="2"/>
    <x v="1"/>
    <x v="1"/>
    <x v="1"/>
    <x v="1"/>
    <x v="172"/>
    <x v="1"/>
    <x v="6"/>
    <x v="2"/>
    <x v="363"/>
    <x v="1"/>
    <x v="3"/>
    <x v="0"/>
    <x v="1"/>
    <x v="0"/>
    <x v="432"/>
    <x v="224"/>
    <x v="0"/>
  </r>
  <r>
    <x v="731"/>
    <x v="362"/>
    <x v="362"/>
    <x v="357"/>
    <x v="587"/>
    <x v="1"/>
    <x v="2"/>
    <x v="376"/>
    <x v="291"/>
    <x v="9"/>
    <x v="0"/>
    <x v="0"/>
    <x v="0"/>
    <x v="1"/>
    <x v="3"/>
    <x v="2"/>
    <x v="1"/>
    <x v="1"/>
    <x v="1"/>
    <x v="1"/>
    <x v="1"/>
    <x v="173"/>
    <x v="1"/>
    <x v="4"/>
    <x v="2"/>
    <x v="364"/>
    <x v="1"/>
    <x v="1"/>
    <x v="4"/>
    <x v="2"/>
    <x v="1"/>
    <x v="433"/>
    <x v="225"/>
    <x v="0"/>
  </r>
  <r>
    <x v="732"/>
    <x v="363"/>
    <x v="363"/>
    <x v="358"/>
    <x v="588"/>
    <x v="1"/>
    <x v="1"/>
    <x v="377"/>
    <x v="269"/>
    <x v="8"/>
    <x v="0"/>
    <x v="0"/>
    <x v="18"/>
    <x v="1"/>
    <x v="3"/>
    <x v="2"/>
    <x v="1"/>
    <x v="1"/>
    <x v="2"/>
    <x v="1"/>
    <x v="1"/>
    <x v="174"/>
    <x v="2"/>
    <x v="1"/>
    <x v="2"/>
    <x v="365"/>
    <x v="12"/>
    <x v="1"/>
    <x v="1"/>
    <x v="2"/>
    <x v="1"/>
    <x v="434"/>
    <x v="226"/>
    <x v="239"/>
  </r>
  <r>
    <x v="733"/>
    <x v="364"/>
    <x v="364"/>
    <x v="359"/>
    <x v="589"/>
    <x v="3"/>
    <x v="2"/>
    <x v="378"/>
    <x v="236"/>
    <x v="1"/>
    <x v="143"/>
    <x v="0"/>
    <x v="0"/>
    <x v="1"/>
    <x v="1"/>
    <x v="1"/>
    <x v="1"/>
    <x v="1"/>
    <x v="2"/>
    <x v="1"/>
    <x v="2"/>
    <x v="0"/>
    <x v="1"/>
    <x v="5"/>
    <x v="2"/>
    <x v="366"/>
    <x v="12"/>
    <x v="0"/>
    <x v="0"/>
    <x v="1"/>
    <x v="0"/>
    <x v="0"/>
    <x v="0"/>
    <x v="0"/>
  </r>
  <r>
    <x v="734"/>
    <x v="365"/>
    <x v="365"/>
    <x v="360"/>
    <x v="590"/>
    <x v="3"/>
    <x v="2"/>
    <x v="379"/>
    <x v="200"/>
    <x v="1"/>
    <x v="15"/>
    <x v="0"/>
    <x v="0"/>
    <x v="1"/>
    <x v="3"/>
    <x v="3"/>
    <x v="2"/>
    <x v="1"/>
    <x v="1"/>
    <x v="1"/>
    <x v="1"/>
    <x v="173"/>
    <x v="1"/>
    <x v="5"/>
    <x v="2"/>
    <x v="367"/>
    <x v="12"/>
    <x v="1"/>
    <x v="12"/>
    <x v="1"/>
    <x v="0"/>
    <x v="0"/>
    <x v="0"/>
    <x v="240"/>
  </r>
  <r>
    <x v="735"/>
    <x v="365"/>
    <x v="365"/>
    <x v="360"/>
    <x v="0"/>
    <x v="3"/>
    <x v="2"/>
    <x v="379"/>
    <x v="200"/>
    <x v="1"/>
    <x v="15"/>
    <x v="0"/>
    <x v="0"/>
    <x v="3"/>
    <x v="1"/>
    <x v="1"/>
    <x v="2"/>
    <x v="1"/>
    <x v="1"/>
    <x v="1"/>
    <x v="2"/>
    <x v="0"/>
    <x v="2"/>
    <x v="3"/>
    <x v="4"/>
    <x v="367"/>
    <x v="11"/>
    <x v="0"/>
    <x v="0"/>
    <x v="1"/>
    <x v="0"/>
    <x v="435"/>
    <x v="0"/>
    <x v="0"/>
  </r>
  <r>
    <x v="736"/>
    <x v="362"/>
    <x v="362"/>
    <x v="357"/>
    <x v="591"/>
    <x v="1"/>
    <x v="2"/>
    <x v="376"/>
    <x v="291"/>
    <x v="1"/>
    <x v="146"/>
    <x v="0"/>
    <x v="0"/>
    <x v="3"/>
    <x v="1"/>
    <x v="1"/>
    <x v="2"/>
    <x v="1"/>
    <x v="3"/>
    <x v="1"/>
    <x v="1"/>
    <x v="0"/>
    <x v="1"/>
    <x v="3"/>
    <x v="4"/>
    <x v="364"/>
    <x v="1"/>
    <x v="0"/>
    <x v="0"/>
    <x v="1"/>
    <x v="0"/>
    <x v="436"/>
    <x v="0"/>
    <x v="0"/>
  </r>
  <r>
    <x v="737"/>
    <x v="366"/>
    <x v="366"/>
    <x v="361"/>
    <x v="592"/>
    <x v="1"/>
    <x v="2"/>
    <x v="380"/>
    <x v="292"/>
    <x v="1"/>
    <x v="15"/>
    <x v="0"/>
    <x v="0"/>
    <x v="1"/>
    <x v="3"/>
    <x v="3"/>
    <x v="2"/>
    <x v="1"/>
    <x v="1"/>
    <x v="1"/>
    <x v="1"/>
    <x v="174"/>
    <x v="1"/>
    <x v="1"/>
    <x v="2"/>
    <x v="368"/>
    <x v="11"/>
    <x v="3"/>
    <x v="0"/>
    <x v="1"/>
    <x v="0"/>
    <x v="437"/>
    <x v="0"/>
    <x v="0"/>
  </r>
  <r>
    <x v="738"/>
    <x v="362"/>
    <x v="362"/>
    <x v="357"/>
    <x v="593"/>
    <x v="1"/>
    <x v="2"/>
    <x v="381"/>
    <x v="291"/>
    <x v="9"/>
    <x v="0"/>
    <x v="0"/>
    <x v="0"/>
    <x v="3"/>
    <x v="1"/>
    <x v="1"/>
    <x v="1"/>
    <x v="1"/>
    <x v="2"/>
    <x v="2"/>
    <x v="2"/>
    <x v="0"/>
    <x v="1"/>
    <x v="3"/>
    <x v="4"/>
    <x v="364"/>
    <x v="4"/>
    <x v="0"/>
    <x v="0"/>
    <x v="1"/>
    <x v="0"/>
    <x v="0"/>
    <x v="0"/>
    <x v="0"/>
  </r>
  <r>
    <x v="739"/>
    <x v="367"/>
    <x v="367"/>
    <x v="362"/>
    <x v="594"/>
    <x v="1"/>
    <x v="2"/>
    <x v="382"/>
    <x v="293"/>
    <x v="1"/>
    <x v="33"/>
    <x v="0"/>
    <x v="0"/>
    <x v="1"/>
    <x v="3"/>
    <x v="2"/>
    <x v="2"/>
    <x v="1"/>
    <x v="1"/>
    <x v="1"/>
    <x v="1"/>
    <x v="174"/>
    <x v="1"/>
    <x v="1"/>
    <x v="2"/>
    <x v="369"/>
    <x v="1"/>
    <x v="1"/>
    <x v="1"/>
    <x v="1"/>
    <x v="0"/>
    <x v="438"/>
    <x v="0"/>
    <x v="0"/>
  </r>
  <r>
    <x v="740"/>
    <x v="368"/>
    <x v="368"/>
    <x v="363"/>
    <x v="595"/>
    <x v="1"/>
    <x v="2"/>
    <x v="383"/>
    <x v="294"/>
    <x v="1"/>
    <x v="22"/>
    <x v="0"/>
    <x v="0"/>
    <x v="1"/>
    <x v="2"/>
    <x v="3"/>
    <x v="2"/>
    <x v="1"/>
    <x v="2"/>
    <x v="1"/>
    <x v="1"/>
    <x v="175"/>
    <x v="1"/>
    <x v="6"/>
    <x v="2"/>
    <x v="370"/>
    <x v="5"/>
    <x v="3"/>
    <x v="0"/>
    <x v="1"/>
    <x v="0"/>
    <x v="439"/>
    <x v="227"/>
    <x v="0"/>
  </r>
  <r>
    <x v="741"/>
    <x v="367"/>
    <x v="367"/>
    <x v="362"/>
    <x v="0"/>
    <x v="1"/>
    <x v="2"/>
    <x v="382"/>
    <x v="293"/>
    <x v="1"/>
    <x v="33"/>
    <x v="0"/>
    <x v="0"/>
    <x v="3"/>
    <x v="1"/>
    <x v="2"/>
    <x v="2"/>
    <x v="1"/>
    <x v="2"/>
    <x v="1"/>
    <x v="1"/>
    <x v="176"/>
    <x v="2"/>
    <x v="3"/>
    <x v="4"/>
    <x v="369"/>
    <x v="5"/>
    <x v="3"/>
    <x v="0"/>
    <x v="1"/>
    <x v="0"/>
    <x v="242"/>
    <x v="228"/>
    <x v="185"/>
  </r>
  <r>
    <x v="742"/>
    <x v="363"/>
    <x v="363"/>
    <x v="358"/>
    <x v="596"/>
    <x v="1"/>
    <x v="1"/>
    <x v="377"/>
    <x v="10"/>
    <x v="8"/>
    <x v="0"/>
    <x v="0"/>
    <x v="0"/>
    <x v="3"/>
    <x v="1"/>
    <x v="1"/>
    <x v="1"/>
    <x v="1"/>
    <x v="2"/>
    <x v="2"/>
    <x v="1"/>
    <x v="177"/>
    <x v="2"/>
    <x v="3"/>
    <x v="4"/>
    <x v="365"/>
    <x v="5"/>
    <x v="1"/>
    <x v="1"/>
    <x v="2"/>
    <x v="1"/>
    <x v="440"/>
    <x v="0"/>
    <x v="241"/>
  </r>
  <r>
    <x v="743"/>
    <x v="189"/>
    <x v="187"/>
    <x v="185"/>
    <x v="597"/>
    <x v="1"/>
    <x v="2"/>
    <x v="197"/>
    <x v="164"/>
    <x v="1"/>
    <x v="27"/>
    <x v="0"/>
    <x v="0"/>
    <x v="1"/>
    <x v="1"/>
    <x v="1"/>
    <x v="2"/>
    <x v="1"/>
    <x v="2"/>
    <x v="1"/>
    <x v="2"/>
    <x v="0"/>
    <x v="1"/>
    <x v="5"/>
    <x v="3"/>
    <x v="187"/>
    <x v="4"/>
    <x v="0"/>
    <x v="0"/>
    <x v="1"/>
    <x v="0"/>
    <x v="0"/>
    <x v="0"/>
    <x v="242"/>
  </r>
  <r>
    <x v="744"/>
    <x v="369"/>
    <x v="369"/>
    <x v="364"/>
    <x v="598"/>
    <x v="1"/>
    <x v="2"/>
    <x v="384"/>
    <x v="295"/>
    <x v="1"/>
    <x v="147"/>
    <x v="0"/>
    <x v="0"/>
    <x v="1"/>
    <x v="1"/>
    <x v="2"/>
    <x v="2"/>
    <x v="1"/>
    <x v="2"/>
    <x v="1"/>
    <x v="1"/>
    <x v="176"/>
    <x v="1"/>
    <x v="5"/>
    <x v="2"/>
    <x v="371"/>
    <x v="5"/>
    <x v="3"/>
    <x v="0"/>
    <x v="1"/>
    <x v="0"/>
    <x v="441"/>
    <x v="229"/>
    <x v="198"/>
  </r>
  <r>
    <x v="745"/>
    <x v="233"/>
    <x v="232"/>
    <x v="229"/>
    <x v="599"/>
    <x v="1"/>
    <x v="1"/>
    <x v="243"/>
    <x v="199"/>
    <x v="1"/>
    <x v="148"/>
    <x v="0"/>
    <x v="0"/>
    <x v="1"/>
    <x v="1"/>
    <x v="1"/>
    <x v="2"/>
    <x v="1"/>
    <x v="2"/>
    <x v="1"/>
    <x v="2"/>
    <x v="0"/>
    <x v="1"/>
    <x v="1"/>
    <x v="2"/>
    <x v="233"/>
    <x v="12"/>
    <x v="0"/>
    <x v="0"/>
    <x v="1"/>
    <x v="0"/>
    <x v="0"/>
    <x v="0"/>
    <x v="243"/>
  </r>
  <r>
    <x v="746"/>
    <x v="370"/>
    <x v="370"/>
    <x v="365"/>
    <x v="600"/>
    <x v="1"/>
    <x v="1"/>
    <x v="385"/>
    <x v="296"/>
    <x v="1"/>
    <x v="3"/>
    <x v="0"/>
    <x v="0"/>
    <x v="1"/>
    <x v="1"/>
    <x v="1"/>
    <x v="2"/>
    <x v="1"/>
    <x v="2"/>
    <x v="1"/>
    <x v="2"/>
    <x v="0"/>
    <x v="1"/>
    <x v="6"/>
    <x v="2"/>
    <x v="372"/>
    <x v="5"/>
    <x v="0"/>
    <x v="0"/>
    <x v="1"/>
    <x v="0"/>
    <x v="0"/>
    <x v="0"/>
    <x v="0"/>
  </r>
  <r>
    <x v="747"/>
    <x v="363"/>
    <x v="363"/>
    <x v="358"/>
    <x v="601"/>
    <x v="1"/>
    <x v="1"/>
    <x v="377"/>
    <x v="10"/>
    <x v="8"/>
    <x v="0"/>
    <x v="0"/>
    <x v="0"/>
    <x v="3"/>
    <x v="1"/>
    <x v="1"/>
    <x v="2"/>
    <x v="1"/>
    <x v="2"/>
    <x v="1"/>
    <x v="2"/>
    <x v="0"/>
    <x v="2"/>
    <x v="3"/>
    <x v="4"/>
    <x v="365"/>
    <x v="5"/>
    <x v="0"/>
    <x v="0"/>
    <x v="1"/>
    <x v="0"/>
    <x v="0"/>
    <x v="0"/>
    <x v="0"/>
  </r>
  <r>
    <x v="748"/>
    <x v="371"/>
    <x v="371"/>
    <x v="366"/>
    <x v="0"/>
    <x v="1"/>
    <x v="2"/>
    <x v="386"/>
    <x v="167"/>
    <x v="1"/>
    <x v="2"/>
    <x v="0"/>
    <x v="0"/>
    <x v="1"/>
    <x v="2"/>
    <x v="3"/>
    <x v="2"/>
    <x v="1"/>
    <x v="3"/>
    <x v="1"/>
    <x v="1"/>
    <x v="178"/>
    <x v="1"/>
    <x v="6"/>
    <x v="2"/>
    <x v="373"/>
    <x v="1"/>
    <x v="3"/>
    <x v="0"/>
    <x v="1"/>
    <x v="0"/>
    <x v="442"/>
    <x v="190"/>
    <x v="0"/>
  </r>
  <r>
    <x v="749"/>
    <x v="372"/>
    <x v="372"/>
    <x v="367"/>
    <x v="602"/>
    <x v="1"/>
    <x v="2"/>
    <x v="387"/>
    <x v="297"/>
    <x v="1"/>
    <x v="15"/>
    <x v="0"/>
    <x v="0"/>
    <x v="1"/>
    <x v="1"/>
    <x v="1"/>
    <x v="2"/>
    <x v="1"/>
    <x v="2"/>
    <x v="1"/>
    <x v="2"/>
    <x v="0"/>
    <x v="1"/>
    <x v="4"/>
    <x v="2"/>
    <x v="374"/>
    <x v="12"/>
    <x v="0"/>
    <x v="0"/>
    <x v="1"/>
    <x v="0"/>
    <x v="0"/>
    <x v="0"/>
    <x v="0"/>
  </r>
  <r>
    <x v="750"/>
    <x v="373"/>
    <x v="373"/>
    <x v="368"/>
    <x v="603"/>
    <x v="1"/>
    <x v="2"/>
    <x v="388"/>
    <x v="298"/>
    <x v="1"/>
    <x v="31"/>
    <x v="0"/>
    <x v="0"/>
    <x v="1"/>
    <x v="1"/>
    <x v="1"/>
    <x v="2"/>
    <x v="1"/>
    <x v="1"/>
    <x v="1"/>
    <x v="2"/>
    <x v="0"/>
    <x v="1"/>
    <x v="6"/>
    <x v="2"/>
    <x v="375"/>
    <x v="12"/>
    <x v="0"/>
    <x v="0"/>
    <x v="1"/>
    <x v="0"/>
    <x v="0"/>
    <x v="0"/>
    <x v="0"/>
  </r>
  <r>
    <x v="751"/>
    <x v="374"/>
    <x v="374"/>
    <x v="369"/>
    <x v="604"/>
    <x v="1"/>
    <x v="3"/>
    <x v="389"/>
    <x v="299"/>
    <x v="1"/>
    <x v="149"/>
    <x v="0"/>
    <x v="0"/>
    <x v="1"/>
    <x v="1"/>
    <x v="1"/>
    <x v="2"/>
    <x v="1"/>
    <x v="2"/>
    <x v="1"/>
    <x v="2"/>
    <x v="0"/>
    <x v="1"/>
    <x v="6"/>
    <x v="2"/>
    <x v="376"/>
    <x v="12"/>
    <x v="0"/>
    <x v="0"/>
    <x v="1"/>
    <x v="0"/>
    <x v="0"/>
    <x v="0"/>
    <x v="0"/>
  </r>
  <r>
    <x v="752"/>
    <x v="375"/>
    <x v="375"/>
    <x v="370"/>
    <x v="605"/>
    <x v="1"/>
    <x v="2"/>
    <x v="390"/>
    <x v="300"/>
    <x v="1"/>
    <x v="150"/>
    <x v="0"/>
    <x v="0"/>
    <x v="1"/>
    <x v="1"/>
    <x v="1"/>
    <x v="2"/>
    <x v="1"/>
    <x v="2"/>
    <x v="1"/>
    <x v="2"/>
    <x v="0"/>
    <x v="1"/>
    <x v="6"/>
    <x v="2"/>
    <x v="377"/>
    <x v="12"/>
    <x v="0"/>
    <x v="0"/>
    <x v="1"/>
    <x v="0"/>
    <x v="0"/>
    <x v="0"/>
    <x v="0"/>
  </r>
  <r>
    <x v="753"/>
    <x v="376"/>
    <x v="376"/>
    <x v="371"/>
    <x v="606"/>
    <x v="1"/>
    <x v="2"/>
    <x v="391"/>
    <x v="301"/>
    <x v="1"/>
    <x v="151"/>
    <x v="0"/>
    <x v="0"/>
    <x v="1"/>
    <x v="3"/>
    <x v="2"/>
    <x v="1"/>
    <x v="1"/>
    <x v="2"/>
    <x v="1"/>
    <x v="1"/>
    <x v="179"/>
    <x v="1"/>
    <x v="1"/>
    <x v="1"/>
    <x v="378"/>
    <x v="2"/>
    <x v="1"/>
    <x v="5"/>
    <x v="2"/>
    <x v="1"/>
    <x v="443"/>
    <x v="0"/>
    <x v="0"/>
  </r>
  <r>
    <x v="754"/>
    <x v="377"/>
    <x v="377"/>
    <x v="372"/>
    <x v="607"/>
    <x v="1"/>
    <x v="2"/>
    <x v="392"/>
    <x v="302"/>
    <x v="1"/>
    <x v="152"/>
    <x v="0"/>
    <x v="0"/>
    <x v="1"/>
    <x v="1"/>
    <x v="1"/>
    <x v="1"/>
    <x v="1"/>
    <x v="1"/>
    <x v="1"/>
    <x v="1"/>
    <x v="179"/>
    <x v="1"/>
    <x v="1"/>
    <x v="2"/>
    <x v="379"/>
    <x v="12"/>
    <x v="1"/>
    <x v="12"/>
    <x v="2"/>
    <x v="1"/>
    <x v="444"/>
    <x v="0"/>
    <x v="244"/>
  </r>
  <r>
    <x v="755"/>
    <x v="378"/>
    <x v="378"/>
    <x v="373"/>
    <x v="608"/>
    <x v="1"/>
    <x v="2"/>
    <x v="212"/>
    <x v="303"/>
    <x v="1"/>
    <x v="153"/>
    <x v="0"/>
    <x v="0"/>
    <x v="1"/>
    <x v="1"/>
    <x v="1"/>
    <x v="2"/>
    <x v="1"/>
    <x v="2"/>
    <x v="1"/>
    <x v="2"/>
    <x v="0"/>
    <x v="1"/>
    <x v="1"/>
    <x v="2"/>
    <x v="380"/>
    <x v="3"/>
    <x v="0"/>
    <x v="0"/>
    <x v="1"/>
    <x v="0"/>
    <x v="0"/>
    <x v="0"/>
    <x v="0"/>
  </r>
  <r>
    <x v="756"/>
    <x v="379"/>
    <x v="379"/>
    <x v="374"/>
    <x v="609"/>
    <x v="1"/>
    <x v="2"/>
    <x v="393"/>
    <x v="304"/>
    <x v="1"/>
    <x v="4"/>
    <x v="0"/>
    <x v="0"/>
    <x v="1"/>
    <x v="3"/>
    <x v="3"/>
    <x v="2"/>
    <x v="1"/>
    <x v="1"/>
    <x v="1"/>
    <x v="1"/>
    <x v="179"/>
    <x v="1"/>
    <x v="1"/>
    <x v="2"/>
    <x v="381"/>
    <x v="1"/>
    <x v="1"/>
    <x v="5"/>
    <x v="2"/>
    <x v="1"/>
    <x v="445"/>
    <x v="0"/>
    <x v="0"/>
  </r>
  <r>
    <x v="757"/>
    <x v="376"/>
    <x v="376"/>
    <x v="371"/>
    <x v="0"/>
    <x v="1"/>
    <x v="2"/>
    <x v="391"/>
    <x v="51"/>
    <x v="1"/>
    <x v="154"/>
    <x v="0"/>
    <x v="0"/>
    <x v="3"/>
    <x v="1"/>
    <x v="1"/>
    <x v="2"/>
    <x v="1"/>
    <x v="2"/>
    <x v="1"/>
    <x v="1"/>
    <x v="180"/>
    <x v="2"/>
    <x v="3"/>
    <x v="4"/>
    <x v="378"/>
    <x v="2"/>
    <x v="1"/>
    <x v="3"/>
    <x v="2"/>
    <x v="1"/>
    <x v="446"/>
    <x v="0"/>
    <x v="0"/>
  </r>
  <r>
    <x v="758"/>
    <x v="148"/>
    <x v="148"/>
    <x v="146"/>
    <x v="610"/>
    <x v="1"/>
    <x v="2"/>
    <x v="153"/>
    <x v="129"/>
    <x v="1"/>
    <x v="31"/>
    <x v="0"/>
    <x v="0"/>
    <x v="1"/>
    <x v="1"/>
    <x v="2"/>
    <x v="2"/>
    <x v="1"/>
    <x v="2"/>
    <x v="1"/>
    <x v="2"/>
    <x v="0"/>
    <x v="1"/>
    <x v="2"/>
    <x v="2"/>
    <x v="147"/>
    <x v="5"/>
    <x v="0"/>
    <x v="0"/>
    <x v="1"/>
    <x v="0"/>
    <x v="0"/>
    <x v="0"/>
    <x v="0"/>
  </r>
  <r>
    <x v="759"/>
    <x v="377"/>
    <x v="377"/>
    <x v="372"/>
    <x v="611"/>
    <x v="1"/>
    <x v="2"/>
    <x v="392"/>
    <x v="302"/>
    <x v="1"/>
    <x v="8"/>
    <x v="0"/>
    <x v="0"/>
    <x v="3"/>
    <x v="1"/>
    <x v="1"/>
    <x v="2"/>
    <x v="1"/>
    <x v="2"/>
    <x v="1"/>
    <x v="2"/>
    <x v="0"/>
    <x v="1"/>
    <x v="3"/>
    <x v="4"/>
    <x v="379"/>
    <x v="11"/>
    <x v="0"/>
    <x v="0"/>
    <x v="1"/>
    <x v="0"/>
    <x v="0"/>
    <x v="0"/>
    <x v="0"/>
  </r>
  <r>
    <x v="760"/>
    <x v="379"/>
    <x v="379"/>
    <x v="374"/>
    <x v="612"/>
    <x v="1"/>
    <x v="2"/>
    <x v="393"/>
    <x v="36"/>
    <x v="2"/>
    <x v="0"/>
    <x v="14"/>
    <x v="0"/>
    <x v="3"/>
    <x v="3"/>
    <x v="3"/>
    <x v="2"/>
    <x v="1"/>
    <x v="2"/>
    <x v="1"/>
    <x v="1"/>
    <x v="181"/>
    <x v="1"/>
    <x v="3"/>
    <x v="4"/>
    <x v="381"/>
    <x v="2"/>
    <x v="1"/>
    <x v="7"/>
    <x v="1"/>
    <x v="0"/>
    <x v="447"/>
    <x v="230"/>
    <x v="0"/>
  </r>
  <r>
    <x v="761"/>
    <x v="380"/>
    <x v="380"/>
    <x v="375"/>
    <x v="613"/>
    <x v="1"/>
    <x v="2"/>
    <x v="394"/>
    <x v="305"/>
    <x v="1"/>
    <x v="155"/>
    <x v="0"/>
    <x v="0"/>
    <x v="1"/>
    <x v="1"/>
    <x v="1"/>
    <x v="2"/>
    <x v="1"/>
    <x v="2"/>
    <x v="1"/>
    <x v="2"/>
    <x v="0"/>
    <x v="1"/>
    <x v="1"/>
    <x v="2"/>
    <x v="382"/>
    <x v="5"/>
    <x v="0"/>
    <x v="0"/>
    <x v="1"/>
    <x v="0"/>
    <x v="0"/>
    <x v="0"/>
    <x v="0"/>
  </r>
  <r>
    <x v="762"/>
    <x v="381"/>
    <x v="381"/>
    <x v="376"/>
    <x v="614"/>
    <x v="1"/>
    <x v="2"/>
    <x v="395"/>
    <x v="168"/>
    <x v="1"/>
    <x v="15"/>
    <x v="0"/>
    <x v="0"/>
    <x v="1"/>
    <x v="3"/>
    <x v="3"/>
    <x v="2"/>
    <x v="1"/>
    <x v="1"/>
    <x v="1"/>
    <x v="1"/>
    <x v="179"/>
    <x v="1"/>
    <x v="1"/>
    <x v="2"/>
    <x v="383"/>
    <x v="11"/>
    <x v="1"/>
    <x v="12"/>
    <x v="1"/>
    <x v="0"/>
    <x v="448"/>
    <x v="0"/>
    <x v="245"/>
  </r>
  <r>
    <x v="763"/>
    <x v="382"/>
    <x v="382"/>
    <x v="377"/>
    <x v="615"/>
    <x v="1"/>
    <x v="2"/>
    <x v="371"/>
    <x v="306"/>
    <x v="1"/>
    <x v="1"/>
    <x v="0"/>
    <x v="0"/>
    <x v="1"/>
    <x v="2"/>
    <x v="3"/>
    <x v="2"/>
    <x v="1"/>
    <x v="2"/>
    <x v="1"/>
    <x v="1"/>
    <x v="181"/>
    <x v="1"/>
    <x v="1"/>
    <x v="2"/>
    <x v="384"/>
    <x v="5"/>
    <x v="1"/>
    <x v="4"/>
    <x v="2"/>
    <x v="1"/>
    <x v="449"/>
    <x v="231"/>
    <x v="0"/>
  </r>
  <r>
    <x v="764"/>
    <x v="381"/>
    <x v="381"/>
    <x v="376"/>
    <x v="0"/>
    <x v="1"/>
    <x v="2"/>
    <x v="396"/>
    <x v="168"/>
    <x v="1"/>
    <x v="15"/>
    <x v="0"/>
    <x v="0"/>
    <x v="3"/>
    <x v="1"/>
    <x v="1"/>
    <x v="2"/>
    <x v="1"/>
    <x v="1"/>
    <x v="1"/>
    <x v="1"/>
    <x v="181"/>
    <x v="2"/>
    <x v="3"/>
    <x v="4"/>
    <x v="383"/>
    <x v="11"/>
    <x v="1"/>
    <x v="7"/>
    <x v="2"/>
    <x v="1"/>
    <x v="450"/>
    <x v="0"/>
    <x v="246"/>
  </r>
  <r>
    <x v="765"/>
    <x v="378"/>
    <x v="378"/>
    <x v="373"/>
    <x v="616"/>
    <x v="1"/>
    <x v="2"/>
    <x v="212"/>
    <x v="303"/>
    <x v="1"/>
    <x v="33"/>
    <x v="0"/>
    <x v="0"/>
    <x v="1"/>
    <x v="3"/>
    <x v="2"/>
    <x v="2"/>
    <x v="1"/>
    <x v="2"/>
    <x v="1"/>
    <x v="1"/>
    <x v="180"/>
    <x v="1"/>
    <x v="1"/>
    <x v="2"/>
    <x v="380"/>
    <x v="5"/>
    <x v="3"/>
    <x v="0"/>
    <x v="1"/>
    <x v="0"/>
    <x v="451"/>
    <x v="0"/>
    <x v="0"/>
  </r>
  <r>
    <x v="766"/>
    <x v="379"/>
    <x v="379"/>
    <x v="374"/>
    <x v="617"/>
    <x v="1"/>
    <x v="2"/>
    <x v="393"/>
    <x v="36"/>
    <x v="2"/>
    <x v="0"/>
    <x v="2"/>
    <x v="0"/>
    <x v="1"/>
    <x v="2"/>
    <x v="3"/>
    <x v="2"/>
    <x v="1"/>
    <x v="1"/>
    <x v="1"/>
    <x v="1"/>
    <x v="180"/>
    <x v="1"/>
    <x v="2"/>
    <x v="2"/>
    <x v="381"/>
    <x v="12"/>
    <x v="1"/>
    <x v="4"/>
    <x v="1"/>
    <x v="0"/>
    <x v="452"/>
    <x v="0"/>
    <x v="247"/>
  </r>
  <r>
    <x v="767"/>
    <x v="381"/>
    <x v="381"/>
    <x v="376"/>
    <x v="0"/>
    <x v="1"/>
    <x v="2"/>
    <x v="397"/>
    <x v="168"/>
    <x v="2"/>
    <x v="0"/>
    <x v="6"/>
    <x v="0"/>
    <x v="3"/>
    <x v="2"/>
    <x v="5"/>
    <x v="2"/>
    <x v="1"/>
    <x v="2"/>
    <x v="1"/>
    <x v="2"/>
    <x v="0"/>
    <x v="2"/>
    <x v="3"/>
    <x v="4"/>
    <x v="385"/>
    <x v="12"/>
    <x v="0"/>
    <x v="0"/>
    <x v="1"/>
    <x v="0"/>
    <x v="0"/>
    <x v="0"/>
    <x v="0"/>
  </r>
  <r>
    <x v="768"/>
    <x v="383"/>
    <x v="383"/>
    <x v="378"/>
    <x v="618"/>
    <x v="1"/>
    <x v="2"/>
    <x v="398"/>
    <x v="307"/>
    <x v="1"/>
    <x v="9"/>
    <x v="0"/>
    <x v="0"/>
    <x v="1"/>
    <x v="1"/>
    <x v="1"/>
    <x v="2"/>
    <x v="1"/>
    <x v="2"/>
    <x v="1"/>
    <x v="1"/>
    <x v="180"/>
    <x v="1"/>
    <x v="1"/>
    <x v="2"/>
    <x v="386"/>
    <x v="5"/>
    <x v="1"/>
    <x v="3"/>
    <x v="1"/>
    <x v="0"/>
    <x v="453"/>
    <x v="0"/>
    <x v="0"/>
  </r>
  <r>
    <x v="769"/>
    <x v="384"/>
    <x v="384"/>
    <x v="379"/>
    <x v="619"/>
    <x v="3"/>
    <x v="2"/>
    <x v="399"/>
    <x v="308"/>
    <x v="1"/>
    <x v="31"/>
    <x v="0"/>
    <x v="0"/>
    <x v="1"/>
    <x v="1"/>
    <x v="1"/>
    <x v="2"/>
    <x v="1"/>
    <x v="3"/>
    <x v="1"/>
    <x v="1"/>
    <x v="180"/>
    <x v="1"/>
    <x v="1"/>
    <x v="2"/>
    <x v="387"/>
    <x v="1"/>
    <x v="3"/>
    <x v="0"/>
    <x v="1"/>
    <x v="0"/>
    <x v="454"/>
    <x v="232"/>
    <x v="0"/>
  </r>
  <r>
    <x v="770"/>
    <x v="382"/>
    <x v="382"/>
    <x v="377"/>
    <x v="620"/>
    <x v="1"/>
    <x v="2"/>
    <x v="371"/>
    <x v="309"/>
    <x v="1"/>
    <x v="1"/>
    <x v="0"/>
    <x v="0"/>
    <x v="3"/>
    <x v="2"/>
    <x v="3"/>
    <x v="2"/>
    <x v="1"/>
    <x v="1"/>
    <x v="1"/>
    <x v="1"/>
    <x v="180"/>
    <x v="1"/>
    <x v="3"/>
    <x v="4"/>
    <x v="384"/>
    <x v="1"/>
    <x v="3"/>
    <x v="0"/>
    <x v="1"/>
    <x v="0"/>
    <x v="455"/>
    <x v="233"/>
    <x v="0"/>
  </r>
  <r>
    <x v="771"/>
    <x v="379"/>
    <x v="379"/>
    <x v="374"/>
    <x v="0"/>
    <x v="1"/>
    <x v="2"/>
    <x v="393"/>
    <x v="36"/>
    <x v="2"/>
    <x v="0"/>
    <x v="5"/>
    <x v="0"/>
    <x v="3"/>
    <x v="4"/>
    <x v="1"/>
    <x v="2"/>
    <x v="1"/>
    <x v="2"/>
    <x v="1"/>
    <x v="2"/>
    <x v="0"/>
    <x v="2"/>
    <x v="3"/>
    <x v="13"/>
    <x v="381"/>
    <x v="1"/>
    <x v="0"/>
    <x v="0"/>
    <x v="1"/>
    <x v="0"/>
    <x v="0"/>
    <x v="0"/>
    <x v="0"/>
  </r>
  <r>
    <x v="772"/>
    <x v="383"/>
    <x v="383"/>
    <x v="378"/>
    <x v="618"/>
    <x v="1"/>
    <x v="2"/>
    <x v="398"/>
    <x v="222"/>
    <x v="1"/>
    <x v="9"/>
    <x v="0"/>
    <x v="0"/>
    <x v="3"/>
    <x v="1"/>
    <x v="1"/>
    <x v="2"/>
    <x v="1"/>
    <x v="3"/>
    <x v="1"/>
    <x v="2"/>
    <x v="0"/>
    <x v="2"/>
    <x v="3"/>
    <x v="4"/>
    <x v="386"/>
    <x v="3"/>
    <x v="0"/>
    <x v="0"/>
    <x v="1"/>
    <x v="0"/>
    <x v="0"/>
    <x v="0"/>
    <x v="0"/>
  </r>
  <r>
    <x v="773"/>
    <x v="271"/>
    <x v="271"/>
    <x v="267"/>
    <x v="621"/>
    <x v="1"/>
    <x v="2"/>
    <x v="282"/>
    <x v="115"/>
    <x v="1"/>
    <x v="3"/>
    <x v="0"/>
    <x v="0"/>
    <x v="1"/>
    <x v="3"/>
    <x v="2"/>
    <x v="1"/>
    <x v="1"/>
    <x v="2"/>
    <x v="1"/>
    <x v="1"/>
    <x v="182"/>
    <x v="1"/>
    <x v="1"/>
    <x v="2"/>
    <x v="272"/>
    <x v="11"/>
    <x v="3"/>
    <x v="0"/>
    <x v="1"/>
    <x v="0"/>
    <x v="331"/>
    <x v="234"/>
    <x v="248"/>
  </r>
  <r>
    <x v="774"/>
    <x v="385"/>
    <x v="385"/>
    <x v="380"/>
    <x v="622"/>
    <x v="1"/>
    <x v="2"/>
    <x v="400"/>
    <x v="310"/>
    <x v="1"/>
    <x v="44"/>
    <x v="0"/>
    <x v="0"/>
    <x v="1"/>
    <x v="2"/>
    <x v="3"/>
    <x v="2"/>
    <x v="1"/>
    <x v="2"/>
    <x v="1"/>
    <x v="1"/>
    <x v="182"/>
    <x v="1"/>
    <x v="5"/>
    <x v="3"/>
    <x v="388"/>
    <x v="3"/>
    <x v="1"/>
    <x v="5"/>
    <x v="1"/>
    <x v="0"/>
    <x v="456"/>
    <x v="0"/>
    <x v="0"/>
  </r>
  <r>
    <x v="775"/>
    <x v="172"/>
    <x v="172"/>
    <x v="170"/>
    <x v="623"/>
    <x v="1"/>
    <x v="2"/>
    <x v="181"/>
    <x v="37"/>
    <x v="1"/>
    <x v="156"/>
    <x v="0"/>
    <x v="0"/>
    <x v="1"/>
    <x v="3"/>
    <x v="3"/>
    <x v="2"/>
    <x v="1"/>
    <x v="2"/>
    <x v="1"/>
    <x v="1"/>
    <x v="182"/>
    <x v="1"/>
    <x v="5"/>
    <x v="3"/>
    <x v="171"/>
    <x v="3"/>
    <x v="3"/>
    <x v="0"/>
    <x v="1"/>
    <x v="0"/>
    <x v="457"/>
    <x v="235"/>
    <x v="0"/>
  </r>
  <r>
    <x v="776"/>
    <x v="376"/>
    <x v="376"/>
    <x v="371"/>
    <x v="0"/>
    <x v="1"/>
    <x v="2"/>
    <x v="391"/>
    <x v="51"/>
    <x v="1"/>
    <x v="157"/>
    <x v="0"/>
    <x v="0"/>
    <x v="3"/>
    <x v="1"/>
    <x v="1"/>
    <x v="2"/>
    <x v="1"/>
    <x v="2"/>
    <x v="1"/>
    <x v="2"/>
    <x v="0"/>
    <x v="1"/>
    <x v="3"/>
    <x v="4"/>
    <x v="378"/>
    <x v="3"/>
    <x v="0"/>
    <x v="0"/>
    <x v="1"/>
    <x v="0"/>
    <x v="0"/>
    <x v="0"/>
    <x v="0"/>
  </r>
  <r>
    <x v="777"/>
    <x v="385"/>
    <x v="385"/>
    <x v="380"/>
    <x v="0"/>
    <x v="1"/>
    <x v="2"/>
    <x v="400"/>
    <x v="310"/>
    <x v="2"/>
    <x v="0"/>
    <x v="6"/>
    <x v="0"/>
    <x v="3"/>
    <x v="1"/>
    <x v="1"/>
    <x v="2"/>
    <x v="1"/>
    <x v="2"/>
    <x v="1"/>
    <x v="2"/>
    <x v="0"/>
    <x v="2"/>
    <x v="3"/>
    <x v="4"/>
    <x v="388"/>
    <x v="2"/>
    <x v="0"/>
    <x v="0"/>
    <x v="1"/>
    <x v="0"/>
    <x v="0"/>
    <x v="0"/>
    <x v="0"/>
  </r>
  <r>
    <x v="778"/>
    <x v="385"/>
    <x v="385"/>
    <x v="380"/>
    <x v="624"/>
    <x v="1"/>
    <x v="2"/>
    <x v="400"/>
    <x v="310"/>
    <x v="1"/>
    <x v="158"/>
    <x v="0"/>
    <x v="0"/>
    <x v="1"/>
    <x v="1"/>
    <x v="1"/>
    <x v="2"/>
    <x v="1"/>
    <x v="1"/>
    <x v="1"/>
    <x v="2"/>
    <x v="0"/>
    <x v="1"/>
    <x v="1"/>
    <x v="2"/>
    <x v="388"/>
    <x v="1"/>
    <x v="0"/>
    <x v="0"/>
    <x v="1"/>
    <x v="0"/>
    <x v="0"/>
    <x v="0"/>
    <x v="0"/>
  </r>
  <r>
    <x v="779"/>
    <x v="386"/>
    <x v="386"/>
    <x v="381"/>
    <x v="625"/>
    <x v="1"/>
    <x v="2"/>
    <x v="401"/>
    <x v="311"/>
    <x v="1"/>
    <x v="33"/>
    <x v="0"/>
    <x v="0"/>
    <x v="1"/>
    <x v="3"/>
    <x v="3"/>
    <x v="1"/>
    <x v="1"/>
    <x v="3"/>
    <x v="1"/>
    <x v="1"/>
    <x v="183"/>
    <x v="1"/>
    <x v="5"/>
    <x v="2"/>
    <x v="389"/>
    <x v="12"/>
    <x v="1"/>
    <x v="8"/>
    <x v="1"/>
    <x v="0"/>
    <x v="458"/>
    <x v="0"/>
    <x v="0"/>
  </r>
  <r>
    <x v="780"/>
    <x v="387"/>
    <x v="387"/>
    <x v="382"/>
    <x v="626"/>
    <x v="1"/>
    <x v="2"/>
    <x v="402"/>
    <x v="312"/>
    <x v="1"/>
    <x v="33"/>
    <x v="0"/>
    <x v="0"/>
    <x v="1"/>
    <x v="1"/>
    <x v="2"/>
    <x v="2"/>
    <x v="1"/>
    <x v="2"/>
    <x v="1"/>
    <x v="1"/>
    <x v="184"/>
    <x v="1"/>
    <x v="6"/>
    <x v="2"/>
    <x v="390"/>
    <x v="5"/>
    <x v="1"/>
    <x v="1"/>
    <x v="1"/>
    <x v="0"/>
    <x v="459"/>
    <x v="0"/>
    <x v="249"/>
  </r>
  <r>
    <x v="781"/>
    <x v="388"/>
    <x v="388"/>
    <x v="383"/>
    <x v="627"/>
    <x v="1"/>
    <x v="2"/>
    <x v="403"/>
    <x v="10"/>
    <x v="1"/>
    <x v="159"/>
    <x v="0"/>
    <x v="0"/>
    <x v="1"/>
    <x v="1"/>
    <x v="1"/>
    <x v="2"/>
    <x v="2"/>
    <x v="2"/>
    <x v="1"/>
    <x v="2"/>
    <x v="0"/>
    <x v="1"/>
    <x v="6"/>
    <x v="2"/>
    <x v="391"/>
    <x v="5"/>
    <x v="0"/>
    <x v="0"/>
    <x v="1"/>
    <x v="0"/>
    <x v="0"/>
    <x v="0"/>
    <x v="250"/>
  </r>
  <r>
    <x v="782"/>
    <x v="389"/>
    <x v="389"/>
    <x v="384"/>
    <x v="628"/>
    <x v="1"/>
    <x v="2"/>
    <x v="404"/>
    <x v="254"/>
    <x v="1"/>
    <x v="33"/>
    <x v="0"/>
    <x v="0"/>
    <x v="1"/>
    <x v="3"/>
    <x v="3"/>
    <x v="2"/>
    <x v="1"/>
    <x v="2"/>
    <x v="1"/>
    <x v="1"/>
    <x v="185"/>
    <x v="1"/>
    <x v="6"/>
    <x v="2"/>
    <x v="392"/>
    <x v="8"/>
    <x v="3"/>
    <x v="0"/>
    <x v="1"/>
    <x v="0"/>
    <x v="0"/>
    <x v="0"/>
    <x v="251"/>
  </r>
  <r>
    <x v="783"/>
    <x v="386"/>
    <x v="386"/>
    <x v="381"/>
    <x v="0"/>
    <x v="1"/>
    <x v="2"/>
    <x v="401"/>
    <x v="279"/>
    <x v="1"/>
    <x v="33"/>
    <x v="0"/>
    <x v="0"/>
    <x v="3"/>
    <x v="1"/>
    <x v="1"/>
    <x v="2"/>
    <x v="1"/>
    <x v="2"/>
    <x v="1"/>
    <x v="1"/>
    <x v="184"/>
    <x v="2"/>
    <x v="3"/>
    <x v="4"/>
    <x v="389"/>
    <x v="8"/>
    <x v="3"/>
    <x v="0"/>
    <x v="1"/>
    <x v="0"/>
    <x v="460"/>
    <x v="0"/>
    <x v="252"/>
  </r>
  <r>
    <x v="784"/>
    <x v="261"/>
    <x v="261"/>
    <x v="257"/>
    <x v="629"/>
    <x v="3"/>
    <x v="2"/>
    <x v="272"/>
    <x v="119"/>
    <x v="1"/>
    <x v="15"/>
    <x v="0"/>
    <x v="0"/>
    <x v="1"/>
    <x v="1"/>
    <x v="1"/>
    <x v="2"/>
    <x v="1"/>
    <x v="2"/>
    <x v="1"/>
    <x v="2"/>
    <x v="0"/>
    <x v="1"/>
    <x v="6"/>
    <x v="2"/>
    <x v="261"/>
    <x v="12"/>
    <x v="0"/>
    <x v="0"/>
    <x v="1"/>
    <x v="0"/>
    <x v="0"/>
    <x v="0"/>
    <x v="0"/>
  </r>
  <r>
    <x v="785"/>
    <x v="307"/>
    <x v="308"/>
    <x v="303"/>
    <x v="630"/>
    <x v="1"/>
    <x v="2"/>
    <x v="321"/>
    <x v="313"/>
    <x v="1"/>
    <x v="160"/>
    <x v="0"/>
    <x v="0"/>
    <x v="1"/>
    <x v="1"/>
    <x v="1"/>
    <x v="2"/>
    <x v="1"/>
    <x v="2"/>
    <x v="1"/>
    <x v="2"/>
    <x v="0"/>
    <x v="1"/>
    <x v="6"/>
    <x v="2"/>
    <x v="309"/>
    <x v="12"/>
    <x v="0"/>
    <x v="0"/>
    <x v="1"/>
    <x v="0"/>
    <x v="0"/>
    <x v="0"/>
    <x v="0"/>
  </r>
  <r>
    <x v="786"/>
    <x v="390"/>
    <x v="390"/>
    <x v="385"/>
    <x v="631"/>
    <x v="1"/>
    <x v="4"/>
    <x v="405"/>
    <x v="27"/>
    <x v="1"/>
    <x v="15"/>
    <x v="0"/>
    <x v="0"/>
    <x v="1"/>
    <x v="1"/>
    <x v="1"/>
    <x v="2"/>
    <x v="1"/>
    <x v="1"/>
    <x v="1"/>
    <x v="2"/>
    <x v="0"/>
    <x v="1"/>
    <x v="6"/>
    <x v="2"/>
    <x v="393"/>
    <x v="12"/>
    <x v="0"/>
    <x v="0"/>
    <x v="1"/>
    <x v="0"/>
    <x v="0"/>
    <x v="0"/>
    <x v="0"/>
  </r>
  <r>
    <x v="787"/>
    <x v="391"/>
    <x v="391"/>
    <x v="386"/>
    <x v="632"/>
    <x v="3"/>
    <x v="2"/>
    <x v="406"/>
    <x v="281"/>
    <x v="1"/>
    <x v="3"/>
    <x v="0"/>
    <x v="0"/>
    <x v="1"/>
    <x v="3"/>
    <x v="2"/>
    <x v="2"/>
    <x v="1"/>
    <x v="1"/>
    <x v="1"/>
    <x v="1"/>
    <x v="186"/>
    <x v="1"/>
    <x v="6"/>
    <x v="2"/>
    <x v="394"/>
    <x v="12"/>
    <x v="3"/>
    <x v="0"/>
    <x v="1"/>
    <x v="0"/>
    <x v="461"/>
    <x v="236"/>
    <x v="253"/>
  </r>
  <r>
    <x v="788"/>
    <x v="392"/>
    <x v="392"/>
    <x v="387"/>
    <x v="633"/>
    <x v="1"/>
    <x v="2"/>
    <x v="407"/>
    <x v="115"/>
    <x v="1"/>
    <x v="1"/>
    <x v="0"/>
    <x v="0"/>
    <x v="1"/>
    <x v="2"/>
    <x v="3"/>
    <x v="2"/>
    <x v="1"/>
    <x v="2"/>
    <x v="1"/>
    <x v="1"/>
    <x v="186"/>
    <x v="1"/>
    <x v="2"/>
    <x v="3"/>
    <x v="395"/>
    <x v="2"/>
    <x v="1"/>
    <x v="1"/>
    <x v="1"/>
    <x v="0"/>
    <x v="462"/>
    <x v="237"/>
    <x v="0"/>
  </r>
  <r>
    <x v="789"/>
    <x v="141"/>
    <x v="141"/>
    <x v="139"/>
    <x v="634"/>
    <x v="1"/>
    <x v="1"/>
    <x v="145"/>
    <x v="314"/>
    <x v="1"/>
    <x v="15"/>
    <x v="0"/>
    <x v="0"/>
    <x v="1"/>
    <x v="3"/>
    <x v="2"/>
    <x v="2"/>
    <x v="1"/>
    <x v="2"/>
    <x v="1"/>
    <x v="1"/>
    <x v="186"/>
    <x v="1"/>
    <x v="1"/>
    <x v="2"/>
    <x v="140"/>
    <x v="5"/>
    <x v="1"/>
    <x v="1"/>
    <x v="1"/>
    <x v="0"/>
    <x v="463"/>
    <x v="0"/>
    <x v="0"/>
  </r>
  <r>
    <x v="790"/>
    <x v="141"/>
    <x v="141"/>
    <x v="139"/>
    <x v="634"/>
    <x v="1"/>
    <x v="1"/>
    <x v="145"/>
    <x v="125"/>
    <x v="1"/>
    <x v="15"/>
    <x v="0"/>
    <x v="0"/>
    <x v="3"/>
    <x v="3"/>
    <x v="3"/>
    <x v="2"/>
    <x v="1"/>
    <x v="2"/>
    <x v="1"/>
    <x v="1"/>
    <x v="187"/>
    <x v="1"/>
    <x v="3"/>
    <x v="4"/>
    <x v="140"/>
    <x v="5"/>
    <x v="1"/>
    <x v="1"/>
    <x v="1"/>
    <x v="0"/>
    <x v="464"/>
    <x v="0"/>
    <x v="0"/>
  </r>
  <r>
    <x v="791"/>
    <x v="393"/>
    <x v="393"/>
    <x v="388"/>
    <x v="635"/>
    <x v="3"/>
    <x v="2"/>
    <x v="408"/>
    <x v="292"/>
    <x v="1"/>
    <x v="2"/>
    <x v="0"/>
    <x v="0"/>
    <x v="1"/>
    <x v="3"/>
    <x v="3"/>
    <x v="2"/>
    <x v="1"/>
    <x v="1"/>
    <x v="1"/>
    <x v="1"/>
    <x v="187"/>
    <x v="1"/>
    <x v="1"/>
    <x v="2"/>
    <x v="396"/>
    <x v="11"/>
    <x v="3"/>
    <x v="0"/>
    <x v="1"/>
    <x v="0"/>
    <x v="465"/>
    <x v="0"/>
    <x v="0"/>
  </r>
  <r>
    <x v="792"/>
    <x v="394"/>
    <x v="394"/>
    <x v="389"/>
    <x v="636"/>
    <x v="1"/>
    <x v="1"/>
    <x v="409"/>
    <x v="315"/>
    <x v="1"/>
    <x v="161"/>
    <x v="0"/>
    <x v="0"/>
    <x v="1"/>
    <x v="1"/>
    <x v="1"/>
    <x v="2"/>
    <x v="1"/>
    <x v="2"/>
    <x v="1"/>
    <x v="2"/>
    <x v="0"/>
    <x v="1"/>
    <x v="1"/>
    <x v="5"/>
    <x v="397"/>
    <x v="5"/>
    <x v="0"/>
    <x v="0"/>
    <x v="1"/>
    <x v="0"/>
    <x v="0"/>
    <x v="0"/>
    <x v="0"/>
  </r>
  <r>
    <x v="793"/>
    <x v="395"/>
    <x v="395"/>
    <x v="390"/>
    <x v="637"/>
    <x v="3"/>
    <x v="2"/>
    <x v="347"/>
    <x v="10"/>
    <x v="1"/>
    <x v="70"/>
    <x v="0"/>
    <x v="0"/>
    <x v="1"/>
    <x v="1"/>
    <x v="2"/>
    <x v="2"/>
    <x v="1"/>
    <x v="2"/>
    <x v="1"/>
    <x v="1"/>
    <x v="187"/>
    <x v="1"/>
    <x v="1"/>
    <x v="2"/>
    <x v="398"/>
    <x v="5"/>
    <x v="3"/>
    <x v="0"/>
    <x v="1"/>
    <x v="0"/>
    <x v="408"/>
    <x v="0"/>
    <x v="198"/>
  </r>
  <r>
    <x v="794"/>
    <x v="392"/>
    <x v="392"/>
    <x v="387"/>
    <x v="0"/>
    <x v="1"/>
    <x v="2"/>
    <x v="407"/>
    <x v="115"/>
    <x v="1"/>
    <x v="1"/>
    <x v="0"/>
    <x v="0"/>
    <x v="3"/>
    <x v="4"/>
    <x v="1"/>
    <x v="2"/>
    <x v="1"/>
    <x v="2"/>
    <x v="1"/>
    <x v="2"/>
    <x v="0"/>
    <x v="2"/>
    <x v="3"/>
    <x v="4"/>
    <x v="395"/>
    <x v="5"/>
    <x v="0"/>
    <x v="0"/>
    <x v="1"/>
    <x v="0"/>
    <x v="0"/>
    <x v="0"/>
    <x v="0"/>
  </r>
  <r>
    <x v="795"/>
    <x v="387"/>
    <x v="387"/>
    <x v="382"/>
    <x v="0"/>
    <x v="1"/>
    <x v="2"/>
    <x v="402"/>
    <x v="312"/>
    <x v="1"/>
    <x v="33"/>
    <x v="0"/>
    <x v="0"/>
    <x v="3"/>
    <x v="1"/>
    <x v="1"/>
    <x v="2"/>
    <x v="1"/>
    <x v="2"/>
    <x v="1"/>
    <x v="2"/>
    <x v="0"/>
    <x v="2"/>
    <x v="3"/>
    <x v="4"/>
    <x v="390"/>
    <x v="5"/>
    <x v="0"/>
    <x v="0"/>
    <x v="1"/>
    <x v="0"/>
    <x v="0"/>
    <x v="0"/>
    <x v="0"/>
  </r>
  <r>
    <x v="796"/>
    <x v="141"/>
    <x v="141"/>
    <x v="139"/>
    <x v="638"/>
    <x v="1"/>
    <x v="1"/>
    <x v="145"/>
    <x v="125"/>
    <x v="2"/>
    <x v="0"/>
    <x v="6"/>
    <x v="0"/>
    <x v="1"/>
    <x v="2"/>
    <x v="3"/>
    <x v="2"/>
    <x v="1"/>
    <x v="2"/>
    <x v="1"/>
    <x v="1"/>
    <x v="187"/>
    <x v="1"/>
    <x v="2"/>
    <x v="2"/>
    <x v="140"/>
    <x v="5"/>
    <x v="1"/>
    <x v="1"/>
    <x v="1"/>
    <x v="0"/>
    <x v="466"/>
    <x v="0"/>
    <x v="0"/>
  </r>
  <r>
    <x v="797"/>
    <x v="396"/>
    <x v="396"/>
    <x v="391"/>
    <x v="639"/>
    <x v="1"/>
    <x v="2"/>
    <x v="410"/>
    <x v="171"/>
    <x v="1"/>
    <x v="162"/>
    <x v="0"/>
    <x v="0"/>
    <x v="1"/>
    <x v="3"/>
    <x v="2"/>
    <x v="2"/>
    <x v="1"/>
    <x v="3"/>
    <x v="1"/>
    <x v="1"/>
    <x v="188"/>
    <x v="1"/>
    <x v="1"/>
    <x v="2"/>
    <x v="399"/>
    <x v="5"/>
    <x v="3"/>
    <x v="0"/>
    <x v="1"/>
    <x v="0"/>
    <x v="467"/>
    <x v="0"/>
    <x v="0"/>
  </r>
  <r>
    <x v="798"/>
    <x v="141"/>
    <x v="141"/>
    <x v="139"/>
    <x v="0"/>
    <x v="1"/>
    <x v="1"/>
    <x v="145"/>
    <x v="125"/>
    <x v="2"/>
    <x v="0"/>
    <x v="6"/>
    <x v="0"/>
    <x v="3"/>
    <x v="1"/>
    <x v="1"/>
    <x v="2"/>
    <x v="1"/>
    <x v="2"/>
    <x v="1"/>
    <x v="2"/>
    <x v="0"/>
    <x v="2"/>
    <x v="3"/>
    <x v="4"/>
    <x v="140"/>
    <x v="5"/>
    <x v="0"/>
    <x v="0"/>
    <x v="1"/>
    <x v="0"/>
    <x v="0"/>
    <x v="0"/>
    <x v="0"/>
  </r>
  <r>
    <x v="799"/>
    <x v="397"/>
    <x v="397"/>
    <x v="392"/>
    <x v="640"/>
    <x v="1"/>
    <x v="2"/>
    <x v="411"/>
    <x v="316"/>
    <x v="1"/>
    <x v="9"/>
    <x v="0"/>
    <x v="0"/>
    <x v="1"/>
    <x v="2"/>
    <x v="3"/>
    <x v="2"/>
    <x v="1"/>
    <x v="1"/>
    <x v="1"/>
    <x v="1"/>
    <x v="188"/>
    <x v="1"/>
    <x v="5"/>
    <x v="3"/>
    <x v="400"/>
    <x v="1"/>
    <x v="3"/>
    <x v="0"/>
    <x v="1"/>
    <x v="0"/>
    <x v="468"/>
    <x v="238"/>
    <x v="0"/>
  </r>
  <r>
    <x v="800"/>
    <x v="398"/>
    <x v="398"/>
    <x v="393"/>
    <x v="641"/>
    <x v="1"/>
    <x v="2"/>
    <x v="412"/>
    <x v="92"/>
    <x v="1"/>
    <x v="4"/>
    <x v="0"/>
    <x v="0"/>
    <x v="1"/>
    <x v="3"/>
    <x v="3"/>
    <x v="2"/>
    <x v="1"/>
    <x v="2"/>
    <x v="1"/>
    <x v="1"/>
    <x v="189"/>
    <x v="2"/>
    <x v="1"/>
    <x v="2"/>
    <x v="401"/>
    <x v="1"/>
    <x v="3"/>
    <x v="0"/>
    <x v="1"/>
    <x v="0"/>
    <x v="469"/>
    <x v="0"/>
    <x v="0"/>
  </r>
  <r>
    <x v="801"/>
    <x v="399"/>
    <x v="358"/>
    <x v="353"/>
    <x v="642"/>
    <x v="1"/>
    <x v="2"/>
    <x v="372"/>
    <x v="150"/>
    <x v="1"/>
    <x v="4"/>
    <x v="0"/>
    <x v="0"/>
    <x v="1"/>
    <x v="3"/>
    <x v="2"/>
    <x v="2"/>
    <x v="1"/>
    <x v="2"/>
    <x v="1"/>
    <x v="1"/>
    <x v="189"/>
    <x v="1"/>
    <x v="1"/>
    <x v="2"/>
    <x v="360"/>
    <x v="5"/>
    <x v="3"/>
    <x v="0"/>
    <x v="1"/>
    <x v="0"/>
    <x v="469"/>
    <x v="0"/>
    <x v="0"/>
  </r>
  <r>
    <x v="802"/>
    <x v="400"/>
    <x v="399"/>
    <x v="394"/>
    <x v="643"/>
    <x v="1"/>
    <x v="3"/>
    <x v="251"/>
    <x v="317"/>
    <x v="1"/>
    <x v="2"/>
    <x v="0"/>
    <x v="0"/>
    <x v="1"/>
    <x v="1"/>
    <x v="1"/>
    <x v="2"/>
    <x v="1"/>
    <x v="3"/>
    <x v="1"/>
    <x v="1"/>
    <x v="189"/>
    <x v="1"/>
    <x v="1"/>
    <x v="2"/>
    <x v="402"/>
    <x v="5"/>
    <x v="1"/>
    <x v="1"/>
    <x v="1"/>
    <x v="0"/>
    <x v="470"/>
    <x v="0"/>
    <x v="0"/>
  </r>
  <r>
    <x v="803"/>
    <x v="400"/>
    <x v="399"/>
    <x v="394"/>
    <x v="0"/>
    <x v="1"/>
    <x v="3"/>
    <x v="251"/>
    <x v="318"/>
    <x v="1"/>
    <x v="2"/>
    <x v="0"/>
    <x v="0"/>
    <x v="3"/>
    <x v="1"/>
    <x v="1"/>
    <x v="2"/>
    <x v="1"/>
    <x v="3"/>
    <x v="1"/>
    <x v="2"/>
    <x v="0"/>
    <x v="2"/>
    <x v="3"/>
    <x v="4"/>
    <x v="402"/>
    <x v="5"/>
    <x v="0"/>
    <x v="0"/>
    <x v="1"/>
    <x v="0"/>
    <x v="0"/>
    <x v="0"/>
    <x v="0"/>
  </r>
  <r>
    <x v="804"/>
    <x v="401"/>
    <x v="400"/>
    <x v="395"/>
    <x v="644"/>
    <x v="3"/>
    <x v="2"/>
    <x v="413"/>
    <x v="203"/>
    <x v="1"/>
    <x v="4"/>
    <x v="0"/>
    <x v="0"/>
    <x v="1"/>
    <x v="1"/>
    <x v="1"/>
    <x v="2"/>
    <x v="1"/>
    <x v="3"/>
    <x v="1"/>
    <x v="1"/>
    <x v="190"/>
    <x v="1"/>
    <x v="6"/>
    <x v="2"/>
    <x v="403"/>
    <x v="5"/>
    <x v="3"/>
    <x v="0"/>
    <x v="1"/>
    <x v="0"/>
    <x v="471"/>
    <x v="0"/>
    <x v="254"/>
  </r>
  <r>
    <x v="805"/>
    <x v="402"/>
    <x v="401"/>
    <x v="396"/>
    <x v="645"/>
    <x v="3"/>
    <x v="1"/>
    <x v="414"/>
    <x v="319"/>
    <x v="1"/>
    <x v="9"/>
    <x v="0"/>
    <x v="0"/>
    <x v="1"/>
    <x v="3"/>
    <x v="3"/>
    <x v="2"/>
    <x v="2"/>
    <x v="2"/>
    <x v="1"/>
    <x v="1"/>
    <x v="191"/>
    <x v="1"/>
    <x v="6"/>
    <x v="2"/>
    <x v="404"/>
    <x v="5"/>
    <x v="3"/>
    <x v="0"/>
    <x v="1"/>
    <x v="0"/>
    <x v="472"/>
    <x v="239"/>
    <x v="255"/>
  </r>
  <r>
    <x v="806"/>
    <x v="388"/>
    <x v="388"/>
    <x v="383"/>
    <x v="646"/>
    <x v="1"/>
    <x v="2"/>
    <x v="403"/>
    <x v="10"/>
    <x v="1"/>
    <x v="2"/>
    <x v="0"/>
    <x v="0"/>
    <x v="1"/>
    <x v="1"/>
    <x v="1"/>
    <x v="2"/>
    <x v="2"/>
    <x v="2"/>
    <x v="1"/>
    <x v="2"/>
    <x v="0"/>
    <x v="1"/>
    <x v="6"/>
    <x v="2"/>
    <x v="391"/>
    <x v="12"/>
    <x v="0"/>
    <x v="0"/>
    <x v="1"/>
    <x v="0"/>
    <x v="0"/>
    <x v="0"/>
    <x v="0"/>
  </r>
  <r>
    <x v="807"/>
    <x v="403"/>
    <x v="402"/>
    <x v="397"/>
    <x v="647"/>
    <x v="1"/>
    <x v="2"/>
    <x v="415"/>
    <x v="320"/>
    <x v="1"/>
    <x v="161"/>
    <x v="0"/>
    <x v="0"/>
    <x v="1"/>
    <x v="3"/>
    <x v="2"/>
    <x v="2"/>
    <x v="1"/>
    <x v="2"/>
    <x v="1"/>
    <x v="1"/>
    <x v="192"/>
    <x v="2"/>
    <x v="6"/>
    <x v="2"/>
    <x v="405"/>
    <x v="12"/>
    <x v="1"/>
    <x v="3"/>
    <x v="1"/>
    <x v="0"/>
    <x v="473"/>
    <x v="0"/>
    <x v="256"/>
  </r>
  <r>
    <x v="808"/>
    <x v="141"/>
    <x v="141"/>
    <x v="139"/>
    <x v="648"/>
    <x v="1"/>
    <x v="1"/>
    <x v="145"/>
    <x v="125"/>
    <x v="2"/>
    <x v="0"/>
    <x v="6"/>
    <x v="0"/>
    <x v="1"/>
    <x v="2"/>
    <x v="3"/>
    <x v="2"/>
    <x v="1"/>
    <x v="2"/>
    <x v="1"/>
    <x v="1"/>
    <x v="192"/>
    <x v="1"/>
    <x v="4"/>
    <x v="2"/>
    <x v="140"/>
    <x v="12"/>
    <x v="1"/>
    <x v="5"/>
    <x v="1"/>
    <x v="0"/>
    <x v="474"/>
    <x v="0"/>
    <x v="257"/>
  </r>
  <r>
    <x v="809"/>
    <x v="404"/>
    <x v="403"/>
    <x v="398"/>
    <x v="649"/>
    <x v="1"/>
    <x v="2"/>
    <x v="416"/>
    <x v="208"/>
    <x v="1"/>
    <x v="3"/>
    <x v="0"/>
    <x v="0"/>
    <x v="1"/>
    <x v="3"/>
    <x v="2"/>
    <x v="1"/>
    <x v="1"/>
    <x v="3"/>
    <x v="1"/>
    <x v="1"/>
    <x v="193"/>
    <x v="1"/>
    <x v="1"/>
    <x v="2"/>
    <x v="406"/>
    <x v="5"/>
    <x v="3"/>
    <x v="0"/>
    <x v="1"/>
    <x v="0"/>
    <x v="475"/>
    <x v="240"/>
    <x v="258"/>
  </r>
  <r>
    <x v="810"/>
    <x v="405"/>
    <x v="404"/>
    <x v="399"/>
    <x v="650"/>
    <x v="1"/>
    <x v="2"/>
    <x v="417"/>
    <x v="321"/>
    <x v="1"/>
    <x v="163"/>
    <x v="0"/>
    <x v="0"/>
    <x v="1"/>
    <x v="1"/>
    <x v="1"/>
    <x v="1"/>
    <x v="1"/>
    <x v="2"/>
    <x v="1"/>
    <x v="2"/>
    <x v="0"/>
    <x v="1"/>
    <x v="1"/>
    <x v="2"/>
    <x v="407"/>
    <x v="12"/>
    <x v="0"/>
    <x v="0"/>
    <x v="1"/>
    <x v="0"/>
    <x v="0"/>
    <x v="0"/>
    <x v="0"/>
  </r>
  <r>
    <x v="811"/>
    <x v="406"/>
    <x v="405"/>
    <x v="400"/>
    <x v="651"/>
    <x v="1"/>
    <x v="2"/>
    <x v="418"/>
    <x v="322"/>
    <x v="1"/>
    <x v="24"/>
    <x v="0"/>
    <x v="0"/>
    <x v="1"/>
    <x v="2"/>
    <x v="3"/>
    <x v="1"/>
    <x v="1"/>
    <x v="2"/>
    <x v="1"/>
    <x v="1"/>
    <x v="193"/>
    <x v="1"/>
    <x v="1"/>
    <x v="2"/>
    <x v="408"/>
    <x v="5"/>
    <x v="3"/>
    <x v="0"/>
    <x v="1"/>
    <x v="0"/>
    <x v="476"/>
    <x v="241"/>
    <x v="259"/>
  </r>
  <r>
    <x v="812"/>
    <x v="157"/>
    <x v="157"/>
    <x v="155"/>
    <x v="652"/>
    <x v="3"/>
    <x v="2"/>
    <x v="163"/>
    <x v="30"/>
    <x v="1"/>
    <x v="164"/>
    <x v="0"/>
    <x v="0"/>
    <x v="1"/>
    <x v="1"/>
    <x v="1"/>
    <x v="1"/>
    <x v="1"/>
    <x v="2"/>
    <x v="1"/>
    <x v="2"/>
    <x v="0"/>
    <x v="1"/>
    <x v="1"/>
    <x v="2"/>
    <x v="156"/>
    <x v="2"/>
    <x v="0"/>
    <x v="0"/>
    <x v="1"/>
    <x v="0"/>
    <x v="0"/>
    <x v="0"/>
    <x v="0"/>
  </r>
  <r>
    <x v="813"/>
    <x v="407"/>
    <x v="406"/>
    <x v="401"/>
    <x v="653"/>
    <x v="3"/>
    <x v="2"/>
    <x v="419"/>
    <x v="323"/>
    <x v="1"/>
    <x v="9"/>
    <x v="0"/>
    <x v="0"/>
    <x v="1"/>
    <x v="3"/>
    <x v="3"/>
    <x v="2"/>
    <x v="2"/>
    <x v="2"/>
    <x v="1"/>
    <x v="1"/>
    <x v="192"/>
    <x v="1"/>
    <x v="1"/>
    <x v="2"/>
    <x v="409"/>
    <x v="5"/>
    <x v="1"/>
    <x v="3"/>
    <x v="2"/>
    <x v="1"/>
    <x v="477"/>
    <x v="0"/>
    <x v="0"/>
  </r>
  <r>
    <x v="814"/>
    <x v="408"/>
    <x v="407"/>
    <x v="402"/>
    <x v="654"/>
    <x v="3"/>
    <x v="2"/>
    <x v="420"/>
    <x v="10"/>
    <x v="1"/>
    <x v="3"/>
    <x v="0"/>
    <x v="0"/>
    <x v="1"/>
    <x v="3"/>
    <x v="2"/>
    <x v="2"/>
    <x v="1"/>
    <x v="2"/>
    <x v="1"/>
    <x v="1"/>
    <x v="192"/>
    <x v="2"/>
    <x v="1"/>
    <x v="2"/>
    <x v="410"/>
    <x v="4"/>
    <x v="1"/>
    <x v="12"/>
    <x v="1"/>
    <x v="0"/>
    <x v="478"/>
    <x v="0"/>
    <x v="0"/>
  </r>
  <r>
    <x v="815"/>
    <x v="141"/>
    <x v="141"/>
    <x v="139"/>
    <x v="0"/>
    <x v="1"/>
    <x v="1"/>
    <x v="145"/>
    <x v="10"/>
    <x v="2"/>
    <x v="0"/>
    <x v="6"/>
    <x v="0"/>
    <x v="3"/>
    <x v="4"/>
    <x v="1"/>
    <x v="1"/>
    <x v="1"/>
    <x v="2"/>
    <x v="1"/>
    <x v="2"/>
    <x v="0"/>
    <x v="2"/>
    <x v="3"/>
    <x v="4"/>
    <x v="140"/>
    <x v="2"/>
    <x v="0"/>
    <x v="0"/>
    <x v="1"/>
    <x v="0"/>
    <x v="0"/>
    <x v="0"/>
    <x v="0"/>
  </r>
  <r>
    <x v="816"/>
    <x v="391"/>
    <x v="391"/>
    <x v="386"/>
    <x v="655"/>
    <x v="3"/>
    <x v="2"/>
    <x v="406"/>
    <x v="281"/>
    <x v="1"/>
    <x v="24"/>
    <x v="0"/>
    <x v="0"/>
    <x v="1"/>
    <x v="2"/>
    <x v="3"/>
    <x v="2"/>
    <x v="1"/>
    <x v="2"/>
    <x v="1"/>
    <x v="1"/>
    <x v="194"/>
    <x v="1"/>
    <x v="2"/>
    <x v="2"/>
    <x v="394"/>
    <x v="5"/>
    <x v="1"/>
    <x v="7"/>
    <x v="1"/>
    <x v="0"/>
    <x v="479"/>
    <x v="0"/>
    <x v="260"/>
  </r>
  <r>
    <x v="817"/>
    <x v="408"/>
    <x v="407"/>
    <x v="402"/>
    <x v="0"/>
    <x v="3"/>
    <x v="2"/>
    <x v="420"/>
    <x v="59"/>
    <x v="1"/>
    <x v="3"/>
    <x v="0"/>
    <x v="0"/>
    <x v="3"/>
    <x v="1"/>
    <x v="1"/>
    <x v="2"/>
    <x v="1"/>
    <x v="3"/>
    <x v="1"/>
    <x v="2"/>
    <x v="0"/>
    <x v="2"/>
    <x v="3"/>
    <x v="4"/>
    <x v="410"/>
    <x v="13"/>
    <x v="0"/>
    <x v="0"/>
    <x v="1"/>
    <x v="0"/>
    <x v="0"/>
    <x v="0"/>
    <x v="0"/>
  </r>
  <r>
    <x v="818"/>
    <x v="409"/>
    <x v="402"/>
    <x v="397"/>
    <x v="0"/>
    <x v="1"/>
    <x v="2"/>
    <x v="415"/>
    <x v="324"/>
    <x v="1"/>
    <x v="161"/>
    <x v="0"/>
    <x v="0"/>
    <x v="3"/>
    <x v="1"/>
    <x v="1"/>
    <x v="2"/>
    <x v="1"/>
    <x v="2"/>
    <x v="1"/>
    <x v="2"/>
    <x v="0"/>
    <x v="2"/>
    <x v="3"/>
    <x v="4"/>
    <x v="405"/>
    <x v="3"/>
    <x v="0"/>
    <x v="0"/>
    <x v="1"/>
    <x v="0"/>
    <x v="0"/>
    <x v="0"/>
    <x v="0"/>
  </r>
  <r>
    <x v="819"/>
    <x v="407"/>
    <x v="406"/>
    <x v="401"/>
    <x v="656"/>
    <x v="1"/>
    <x v="2"/>
    <x v="419"/>
    <x v="59"/>
    <x v="1"/>
    <x v="9"/>
    <x v="0"/>
    <x v="0"/>
    <x v="3"/>
    <x v="1"/>
    <x v="1"/>
    <x v="2"/>
    <x v="2"/>
    <x v="2"/>
    <x v="1"/>
    <x v="2"/>
    <x v="0"/>
    <x v="1"/>
    <x v="3"/>
    <x v="4"/>
    <x v="409"/>
    <x v="3"/>
    <x v="0"/>
    <x v="0"/>
    <x v="1"/>
    <x v="0"/>
    <x v="0"/>
    <x v="0"/>
    <x v="0"/>
  </r>
  <r>
    <x v="820"/>
    <x v="391"/>
    <x v="391"/>
    <x v="386"/>
    <x v="655"/>
    <x v="3"/>
    <x v="2"/>
    <x v="406"/>
    <x v="281"/>
    <x v="1"/>
    <x v="24"/>
    <x v="0"/>
    <x v="0"/>
    <x v="3"/>
    <x v="4"/>
    <x v="1"/>
    <x v="2"/>
    <x v="1"/>
    <x v="2"/>
    <x v="1"/>
    <x v="2"/>
    <x v="0"/>
    <x v="2"/>
    <x v="3"/>
    <x v="4"/>
    <x v="394"/>
    <x v="12"/>
    <x v="0"/>
    <x v="0"/>
    <x v="1"/>
    <x v="0"/>
    <x v="0"/>
    <x v="0"/>
    <x v="0"/>
  </r>
  <r>
    <x v="821"/>
    <x v="410"/>
    <x v="408"/>
    <x v="403"/>
    <x v="657"/>
    <x v="1"/>
    <x v="1"/>
    <x v="421"/>
    <x v="134"/>
    <x v="1"/>
    <x v="36"/>
    <x v="0"/>
    <x v="0"/>
    <x v="1"/>
    <x v="5"/>
    <x v="1"/>
    <x v="2"/>
    <x v="1"/>
    <x v="2"/>
    <x v="1"/>
    <x v="2"/>
    <x v="0"/>
    <x v="1"/>
    <x v="1"/>
    <x v="13"/>
    <x v="411"/>
    <x v="4"/>
    <x v="0"/>
    <x v="0"/>
    <x v="1"/>
    <x v="0"/>
    <x v="0"/>
    <x v="0"/>
    <x v="0"/>
  </r>
  <r>
    <x v="822"/>
    <x v="407"/>
    <x v="406"/>
    <x v="401"/>
    <x v="658"/>
    <x v="3"/>
    <x v="2"/>
    <x v="419"/>
    <x v="323"/>
    <x v="6"/>
    <x v="0"/>
    <x v="0"/>
    <x v="19"/>
    <x v="1"/>
    <x v="1"/>
    <x v="1"/>
    <x v="2"/>
    <x v="2"/>
    <x v="2"/>
    <x v="1"/>
    <x v="2"/>
    <x v="0"/>
    <x v="1"/>
    <x v="1"/>
    <x v="2"/>
    <x v="409"/>
    <x v="12"/>
    <x v="0"/>
    <x v="0"/>
    <x v="1"/>
    <x v="0"/>
    <x v="0"/>
    <x v="0"/>
    <x v="0"/>
  </r>
  <r>
    <x v="823"/>
    <x v="411"/>
    <x v="193"/>
    <x v="191"/>
    <x v="659"/>
    <x v="1"/>
    <x v="2"/>
    <x v="204"/>
    <x v="168"/>
    <x v="1"/>
    <x v="33"/>
    <x v="0"/>
    <x v="0"/>
    <x v="1"/>
    <x v="3"/>
    <x v="3"/>
    <x v="2"/>
    <x v="1"/>
    <x v="1"/>
    <x v="1"/>
    <x v="1"/>
    <x v="195"/>
    <x v="1"/>
    <x v="1"/>
    <x v="1"/>
    <x v="193"/>
    <x v="13"/>
    <x v="2"/>
    <x v="0"/>
    <x v="1"/>
    <x v="0"/>
    <x v="480"/>
    <x v="0"/>
    <x v="0"/>
  </r>
  <r>
    <x v="824"/>
    <x v="412"/>
    <x v="409"/>
    <x v="404"/>
    <x v="660"/>
    <x v="1"/>
    <x v="3"/>
    <x v="422"/>
    <x v="325"/>
    <x v="1"/>
    <x v="15"/>
    <x v="0"/>
    <x v="0"/>
    <x v="1"/>
    <x v="3"/>
    <x v="3"/>
    <x v="2"/>
    <x v="1"/>
    <x v="1"/>
    <x v="1"/>
    <x v="1"/>
    <x v="195"/>
    <x v="2"/>
    <x v="1"/>
    <x v="2"/>
    <x v="412"/>
    <x v="12"/>
    <x v="1"/>
    <x v="3"/>
    <x v="1"/>
    <x v="0"/>
    <x v="481"/>
    <x v="0"/>
    <x v="261"/>
  </r>
  <r>
    <x v="825"/>
    <x v="413"/>
    <x v="410"/>
    <x v="405"/>
    <x v="661"/>
    <x v="1"/>
    <x v="4"/>
    <x v="423"/>
    <x v="326"/>
    <x v="2"/>
    <x v="0"/>
    <x v="6"/>
    <x v="0"/>
    <x v="1"/>
    <x v="2"/>
    <x v="3"/>
    <x v="2"/>
    <x v="1"/>
    <x v="2"/>
    <x v="1"/>
    <x v="1"/>
    <x v="195"/>
    <x v="1"/>
    <x v="5"/>
    <x v="2"/>
    <x v="413"/>
    <x v="12"/>
    <x v="2"/>
    <x v="0"/>
    <x v="1"/>
    <x v="0"/>
    <x v="482"/>
    <x v="0"/>
    <x v="262"/>
  </r>
  <r>
    <x v="826"/>
    <x v="407"/>
    <x v="406"/>
    <x v="401"/>
    <x v="662"/>
    <x v="3"/>
    <x v="2"/>
    <x v="419"/>
    <x v="196"/>
    <x v="6"/>
    <x v="0"/>
    <x v="0"/>
    <x v="20"/>
    <x v="1"/>
    <x v="1"/>
    <x v="1"/>
    <x v="2"/>
    <x v="1"/>
    <x v="1"/>
    <x v="1"/>
    <x v="2"/>
    <x v="0"/>
    <x v="1"/>
    <x v="1"/>
    <x v="2"/>
    <x v="409"/>
    <x v="13"/>
    <x v="0"/>
    <x v="0"/>
    <x v="1"/>
    <x v="0"/>
    <x v="0"/>
    <x v="0"/>
    <x v="0"/>
  </r>
  <r>
    <x v="827"/>
    <x v="412"/>
    <x v="409"/>
    <x v="404"/>
    <x v="0"/>
    <x v="1"/>
    <x v="3"/>
    <x v="422"/>
    <x v="325"/>
    <x v="1"/>
    <x v="15"/>
    <x v="0"/>
    <x v="0"/>
    <x v="3"/>
    <x v="1"/>
    <x v="1"/>
    <x v="2"/>
    <x v="1"/>
    <x v="2"/>
    <x v="1"/>
    <x v="2"/>
    <x v="0"/>
    <x v="2"/>
    <x v="3"/>
    <x v="4"/>
    <x v="412"/>
    <x v="3"/>
    <x v="0"/>
    <x v="0"/>
    <x v="1"/>
    <x v="0"/>
    <x v="0"/>
    <x v="0"/>
    <x v="0"/>
  </r>
  <r>
    <x v="828"/>
    <x v="414"/>
    <x v="411"/>
    <x v="406"/>
    <x v="663"/>
    <x v="1"/>
    <x v="2"/>
    <x v="424"/>
    <x v="198"/>
    <x v="1"/>
    <x v="15"/>
    <x v="0"/>
    <x v="0"/>
    <x v="1"/>
    <x v="3"/>
    <x v="3"/>
    <x v="2"/>
    <x v="1"/>
    <x v="2"/>
    <x v="1"/>
    <x v="1"/>
    <x v="196"/>
    <x v="1"/>
    <x v="1"/>
    <x v="2"/>
    <x v="414"/>
    <x v="13"/>
    <x v="3"/>
    <x v="0"/>
    <x v="1"/>
    <x v="0"/>
    <x v="483"/>
    <x v="0"/>
    <x v="263"/>
  </r>
  <r>
    <x v="829"/>
    <x v="381"/>
    <x v="381"/>
    <x v="376"/>
    <x v="664"/>
    <x v="1"/>
    <x v="2"/>
    <x v="397"/>
    <x v="168"/>
    <x v="1"/>
    <x v="165"/>
    <x v="0"/>
    <x v="0"/>
    <x v="1"/>
    <x v="1"/>
    <x v="1"/>
    <x v="2"/>
    <x v="2"/>
    <x v="2"/>
    <x v="1"/>
    <x v="2"/>
    <x v="0"/>
    <x v="1"/>
    <x v="1"/>
    <x v="2"/>
    <x v="383"/>
    <x v="3"/>
    <x v="0"/>
    <x v="0"/>
    <x v="2"/>
    <x v="1"/>
    <x v="0"/>
    <x v="0"/>
    <x v="0"/>
  </r>
  <r>
    <x v="830"/>
    <x v="415"/>
    <x v="412"/>
    <x v="407"/>
    <x v="665"/>
    <x v="1"/>
    <x v="2"/>
    <x v="425"/>
    <x v="327"/>
    <x v="1"/>
    <x v="36"/>
    <x v="0"/>
    <x v="0"/>
    <x v="1"/>
    <x v="3"/>
    <x v="2"/>
    <x v="2"/>
    <x v="2"/>
    <x v="1"/>
    <x v="1"/>
    <x v="1"/>
    <x v="196"/>
    <x v="1"/>
    <x v="1"/>
    <x v="2"/>
    <x v="415"/>
    <x v="3"/>
    <x v="1"/>
    <x v="1"/>
    <x v="1"/>
    <x v="0"/>
    <x v="484"/>
    <x v="242"/>
    <x v="264"/>
  </r>
  <r>
    <x v="831"/>
    <x v="416"/>
    <x v="413"/>
    <x v="408"/>
    <x v="666"/>
    <x v="1"/>
    <x v="2"/>
    <x v="311"/>
    <x v="10"/>
    <x v="1"/>
    <x v="27"/>
    <x v="0"/>
    <x v="0"/>
    <x v="1"/>
    <x v="1"/>
    <x v="1"/>
    <x v="2"/>
    <x v="1"/>
    <x v="2"/>
    <x v="1"/>
    <x v="1"/>
    <x v="196"/>
    <x v="1"/>
    <x v="1"/>
    <x v="2"/>
    <x v="416"/>
    <x v="3"/>
    <x v="1"/>
    <x v="1"/>
    <x v="1"/>
    <x v="0"/>
    <x v="484"/>
    <x v="243"/>
    <x v="265"/>
  </r>
  <r>
    <x v="832"/>
    <x v="417"/>
    <x v="414"/>
    <x v="409"/>
    <x v="667"/>
    <x v="1"/>
    <x v="2"/>
    <x v="426"/>
    <x v="328"/>
    <x v="1"/>
    <x v="166"/>
    <x v="0"/>
    <x v="0"/>
    <x v="1"/>
    <x v="3"/>
    <x v="3"/>
    <x v="2"/>
    <x v="1"/>
    <x v="2"/>
    <x v="1"/>
    <x v="1"/>
    <x v="197"/>
    <x v="1"/>
    <x v="6"/>
    <x v="2"/>
    <x v="417"/>
    <x v="5"/>
    <x v="1"/>
    <x v="1"/>
    <x v="1"/>
    <x v="0"/>
    <x v="485"/>
    <x v="244"/>
    <x v="0"/>
  </r>
  <r>
    <x v="833"/>
    <x v="416"/>
    <x v="413"/>
    <x v="408"/>
    <x v="668"/>
    <x v="1"/>
    <x v="2"/>
    <x v="311"/>
    <x v="10"/>
    <x v="2"/>
    <x v="0"/>
    <x v="5"/>
    <x v="0"/>
    <x v="1"/>
    <x v="2"/>
    <x v="3"/>
    <x v="2"/>
    <x v="1"/>
    <x v="2"/>
    <x v="1"/>
    <x v="1"/>
    <x v="197"/>
    <x v="1"/>
    <x v="6"/>
    <x v="2"/>
    <x v="416"/>
    <x v="5"/>
    <x v="3"/>
    <x v="0"/>
    <x v="1"/>
    <x v="0"/>
    <x v="486"/>
    <x v="0"/>
    <x v="0"/>
  </r>
  <r>
    <x v="834"/>
    <x v="418"/>
    <x v="415"/>
    <x v="410"/>
    <x v="669"/>
    <x v="1"/>
    <x v="2"/>
    <x v="427"/>
    <x v="205"/>
    <x v="1"/>
    <x v="167"/>
    <x v="0"/>
    <x v="0"/>
    <x v="1"/>
    <x v="1"/>
    <x v="1"/>
    <x v="2"/>
    <x v="1"/>
    <x v="2"/>
    <x v="1"/>
    <x v="2"/>
    <x v="0"/>
    <x v="2"/>
    <x v="6"/>
    <x v="2"/>
    <x v="418"/>
    <x v="5"/>
    <x v="0"/>
    <x v="0"/>
    <x v="1"/>
    <x v="0"/>
    <x v="0"/>
    <x v="0"/>
    <x v="0"/>
  </r>
  <r>
    <x v="835"/>
    <x v="415"/>
    <x v="412"/>
    <x v="407"/>
    <x v="0"/>
    <x v="1"/>
    <x v="2"/>
    <x v="425"/>
    <x v="327"/>
    <x v="1"/>
    <x v="36"/>
    <x v="0"/>
    <x v="0"/>
    <x v="3"/>
    <x v="1"/>
    <x v="1"/>
    <x v="2"/>
    <x v="2"/>
    <x v="1"/>
    <x v="1"/>
    <x v="2"/>
    <x v="0"/>
    <x v="2"/>
    <x v="3"/>
    <x v="4"/>
    <x v="415"/>
    <x v="5"/>
    <x v="0"/>
    <x v="0"/>
    <x v="1"/>
    <x v="0"/>
    <x v="0"/>
    <x v="0"/>
    <x v="0"/>
  </r>
  <r>
    <x v="836"/>
    <x v="419"/>
    <x v="416"/>
    <x v="411"/>
    <x v="670"/>
    <x v="1"/>
    <x v="2"/>
    <x v="428"/>
    <x v="329"/>
    <x v="1"/>
    <x v="36"/>
    <x v="0"/>
    <x v="0"/>
    <x v="1"/>
    <x v="1"/>
    <x v="1"/>
    <x v="2"/>
    <x v="1"/>
    <x v="2"/>
    <x v="1"/>
    <x v="2"/>
    <x v="0"/>
    <x v="1"/>
    <x v="6"/>
    <x v="2"/>
    <x v="419"/>
    <x v="5"/>
    <x v="0"/>
    <x v="0"/>
    <x v="1"/>
    <x v="0"/>
    <x v="0"/>
    <x v="0"/>
    <x v="0"/>
  </r>
  <r>
    <x v="837"/>
    <x v="417"/>
    <x v="414"/>
    <x v="409"/>
    <x v="0"/>
    <x v="1"/>
    <x v="2"/>
    <x v="426"/>
    <x v="328"/>
    <x v="1"/>
    <x v="166"/>
    <x v="0"/>
    <x v="0"/>
    <x v="3"/>
    <x v="1"/>
    <x v="1"/>
    <x v="2"/>
    <x v="1"/>
    <x v="2"/>
    <x v="1"/>
    <x v="2"/>
    <x v="0"/>
    <x v="2"/>
    <x v="3"/>
    <x v="4"/>
    <x v="417"/>
    <x v="5"/>
    <x v="0"/>
    <x v="0"/>
    <x v="1"/>
    <x v="0"/>
    <x v="0"/>
    <x v="0"/>
    <x v="0"/>
  </r>
  <r>
    <x v="838"/>
    <x v="420"/>
    <x v="417"/>
    <x v="412"/>
    <x v="671"/>
    <x v="1"/>
    <x v="3"/>
    <x v="429"/>
    <x v="10"/>
    <x v="2"/>
    <x v="0"/>
    <x v="2"/>
    <x v="0"/>
    <x v="1"/>
    <x v="1"/>
    <x v="1"/>
    <x v="2"/>
    <x v="1"/>
    <x v="2"/>
    <x v="1"/>
    <x v="1"/>
    <x v="198"/>
    <x v="1"/>
    <x v="6"/>
    <x v="2"/>
    <x v="420"/>
    <x v="5"/>
    <x v="1"/>
    <x v="1"/>
    <x v="1"/>
    <x v="0"/>
    <x v="487"/>
    <x v="0"/>
    <x v="0"/>
  </r>
  <r>
    <x v="839"/>
    <x v="421"/>
    <x v="418"/>
    <x v="413"/>
    <x v="672"/>
    <x v="1"/>
    <x v="2"/>
    <x v="430"/>
    <x v="330"/>
    <x v="1"/>
    <x v="2"/>
    <x v="0"/>
    <x v="0"/>
    <x v="1"/>
    <x v="1"/>
    <x v="1"/>
    <x v="2"/>
    <x v="1"/>
    <x v="3"/>
    <x v="1"/>
    <x v="1"/>
    <x v="198"/>
    <x v="1"/>
    <x v="6"/>
    <x v="2"/>
    <x v="421"/>
    <x v="5"/>
    <x v="1"/>
    <x v="1"/>
    <x v="1"/>
    <x v="0"/>
    <x v="488"/>
    <x v="0"/>
    <x v="0"/>
  </r>
  <r>
    <x v="840"/>
    <x v="420"/>
    <x v="417"/>
    <x v="412"/>
    <x v="0"/>
    <x v="1"/>
    <x v="3"/>
    <x v="429"/>
    <x v="10"/>
    <x v="2"/>
    <x v="0"/>
    <x v="2"/>
    <x v="0"/>
    <x v="3"/>
    <x v="1"/>
    <x v="1"/>
    <x v="2"/>
    <x v="1"/>
    <x v="2"/>
    <x v="1"/>
    <x v="2"/>
    <x v="0"/>
    <x v="2"/>
    <x v="3"/>
    <x v="4"/>
    <x v="420"/>
    <x v="5"/>
    <x v="0"/>
    <x v="0"/>
    <x v="1"/>
    <x v="0"/>
    <x v="0"/>
    <x v="0"/>
    <x v="0"/>
  </r>
  <r>
    <x v="841"/>
    <x v="421"/>
    <x v="418"/>
    <x v="413"/>
    <x v="0"/>
    <x v="1"/>
    <x v="2"/>
    <x v="430"/>
    <x v="330"/>
    <x v="1"/>
    <x v="2"/>
    <x v="0"/>
    <x v="0"/>
    <x v="3"/>
    <x v="1"/>
    <x v="1"/>
    <x v="2"/>
    <x v="1"/>
    <x v="3"/>
    <x v="1"/>
    <x v="2"/>
    <x v="0"/>
    <x v="2"/>
    <x v="3"/>
    <x v="4"/>
    <x v="421"/>
    <x v="5"/>
    <x v="0"/>
    <x v="0"/>
    <x v="1"/>
    <x v="0"/>
    <x v="0"/>
    <x v="0"/>
    <x v="0"/>
  </r>
  <r>
    <x v="842"/>
    <x v="422"/>
    <x v="419"/>
    <x v="414"/>
    <x v="673"/>
    <x v="1"/>
    <x v="3"/>
    <x v="431"/>
    <x v="331"/>
    <x v="1"/>
    <x v="168"/>
    <x v="0"/>
    <x v="0"/>
    <x v="1"/>
    <x v="1"/>
    <x v="1"/>
    <x v="1"/>
    <x v="1"/>
    <x v="3"/>
    <x v="1"/>
    <x v="2"/>
    <x v="0"/>
    <x v="2"/>
    <x v="1"/>
    <x v="2"/>
    <x v="422"/>
    <x v="2"/>
    <x v="0"/>
    <x v="0"/>
    <x v="1"/>
    <x v="0"/>
    <x v="0"/>
    <x v="0"/>
    <x v="0"/>
  </r>
  <r>
    <x v="843"/>
    <x v="385"/>
    <x v="385"/>
    <x v="380"/>
    <x v="674"/>
    <x v="1"/>
    <x v="2"/>
    <x v="400"/>
    <x v="332"/>
    <x v="1"/>
    <x v="3"/>
    <x v="0"/>
    <x v="0"/>
    <x v="1"/>
    <x v="3"/>
    <x v="2"/>
    <x v="2"/>
    <x v="1"/>
    <x v="1"/>
    <x v="1"/>
    <x v="1"/>
    <x v="199"/>
    <x v="1"/>
    <x v="1"/>
    <x v="2"/>
    <x v="388"/>
    <x v="12"/>
    <x v="1"/>
    <x v="3"/>
    <x v="1"/>
    <x v="0"/>
    <x v="489"/>
    <x v="245"/>
    <x v="266"/>
  </r>
  <r>
    <x v="844"/>
    <x v="423"/>
    <x v="420"/>
    <x v="415"/>
    <x v="675"/>
    <x v="3"/>
    <x v="2"/>
    <x v="432"/>
    <x v="289"/>
    <x v="1"/>
    <x v="33"/>
    <x v="0"/>
    <x v="0"/>
    <x v="1"/>
    <x v="1"/>
    <x v="1"/>
    <x v="2"/>
    <x v="1"/>
    <x v="1"/>
    <x v="1"/>
    <x v="2"/>
    <x v="0"/>
    <x v="1"/>
    <x v="1"/>
    <x v="2"/>
    <x v="423"/>
    <x v="12"/>
    <x v="0"/>
    <x v="0"/>
    <x v="1"/>
    <x v="0"/>
    <x v="0"/>
    <x v="0"/>
    <x v="0"/>
  </r>
  <r>
    <x v="845"/>
    <x v="424"/>
    <x v="421"/>
    <x v="416"/>
    <x v="676"/>
    <x v="3"/>
    <x v="2"/>
    <x v="433"/>
    <x v="333"/>
    <x v="1"/>
    <x v="15"/>
    <x v="0"/>
    <x v="0"/>
    <x v="1"/>
    <x v="1"/>
    <x v="1"/>
    <x v="2"/>
    <x v="1"/>
    <x v="2"/>
    <x v="1"/>
    <x v="1"/>
    <x v="200"/>
    <x v="1"/>
    <x v="1"/>
    <x v="2"/>
    <x v="424"/>
    <x v="3"/>
    <x v="1"/>
    <x v="3"/>
    <x v="2"/>
    <x v="1"/>
    <x v="490"/>
    <x v="0"/>
    <x v="0"/>
  </r>
  <r>
    <x v="846"/>
    <x v="425"/>
    <x v="422"/>
    <x v="417"/>
    <x v="677"/>
    <x v="1"/>
    <x v="2"/>
    <x v="434"/>
    <x v="334"/>
    <x v="1"/>
    <x v="169"/>
    <x v="0"/>
    <x v="0"/>
    <x v="1"/>
    <x v="1"/>
    <x v="1"/>
    <x v="2"/>
    <x v="1"/>
    <x v="2"/>
    <x v="1"/>
    <x v="2"/>
    <x v="0"/>
    <x v="1"/>
    <x v="1"/>
    <x v="2"/>
    <x v="425"/>
    <x v="4"/>
    <x v="0"/>
    <x v="0"/>
    <x v="1"/>
    <x v="0"/>
    <x v="0"/>
    <x v="0"/>
    <x v="0"/>
  </r>
  <r>
    <x v="847"/>
    <x v="426"/>
    <x v="423"/>
    <x v="418"/>
    <x v="678"/>
    <x v="1"/>
    <x v="2"/>
    <x v="435"/>
    <x v="59"/>
    <x v="1"/>
    <x v="170"/>
    <x v="0"/>
    <x v="0"/>
    <x v="1"/>
    <x v="1"/>
    <x v="1"/>
    <x v="2"/>
    <x v="2"/>
    <x v="1"/>
    <x v="1"/>
    <x v="2"/>
    <x v="0"/>
    <x v="1"/>
    <x v="1"/>
    <x v="2"/>
    <x v="426"/>
    <x v="13"/>
    <x v="0"/>
    <x v="0"/>
    <x v="1"/>
    <x v="0"/>
    <x v="0"/>
    <x v="0"/>
    <x v="0"/>
  </r>
  <r>
    <x v="848"/>
    <x v="424"/>
    <x v="421"/>
    <x v="416"/>
    <x v="679"/>
    <x v="3"/>
    <x v="2"/>
    <x v="433"/>
    <x v="333"/>
    <x v="1"/>
    <x v="15"/>
    <x v="0"/>
    <x v="0"/>
    <x v="3"/>
    <x v="1"/>
    <x v="1"/>
    <x v="1"/>
    <x v="2"/>
    <x v="2"/>
    <x v="1"/>
    <x v="2"/>
    <x v="0"/>
    <x v="1"/>
    <x v="3"/>
    <x v="4"/>
    <x v="424"/>
    <x v="3"/>
    <x v="0"/>
    <x v="0"/>
    <x v="1"/>
    <x v="0"/>
    <x v="0"/>
    <x v="0"/>
    <x v="0"/>
  </r>
  <r>
    <x v="849"/>
    <x v="427"/>
    <x v="424"/>
    <x v="419"/>
    <x v="680"/>
    <x v="1"/>
    <x v="2"/>
    <x v="436"/>
    <x v="335"/>
    <x v="1"/>
    <x v="31"/>
    <x v="0"/>
    <x v="0"/>
    <x v="1"/>
    <x v="1"/>
    <x v="1"/>
    <x v="2"/>
    <x v="2"/>
    <x v="2"/>
    <x v="1"/>
    <x v="2"/>
    <x v="0"/>
    <x v="1"/>
    <x v="1"/>
    <x v="2"/>
    <x v="427"/>
    <x v="12"/>
    <x v="0"/>
    <x v="0"/>
    <x v="1"/>
    <x v="0"/>
    <x v="0"/>
    <x v="0"/>
    <x v="0"/>
  </r>
  <r>
    <x v="850"/>
    <x v="115"/>
    <x v="114"/>
    <x v="113"/>
    <x v="681"/>
    <x v="3"/>
    <x v="2"/>
    <x v="120"/>
    <x v="111"/>
    <x v="1"/>
    <x v="4"/>
    <x v="0"/>
    <x v="0"/>
    <x v="1"/>
    <x v="1"/>
    <x v="1"/>
    <x v="2"/>
    <x v="1"/>
    <x v="2"/>
    <x v="1"/>
    <x v="2"/>
    <x v="0"/>
    <x v="2"/>
    <x v="5"/>
    <x v="2"/>
    <x v="114"/>
    <x v="12"/>
    <x v="0"/>
    <x v="0"/>
    <x v="1"/>
    <x v="0"/>
    <x v="0"/>
    <x v="0"/>
    <x v="0"/>
  </r>
  <r>
    <x v="851"/>
    <x v="428"/>
    <x v="425"/>
    <x v="420"/>
    <x v="682"/>
    <x v="3"/>
    <x v="2"/>
    <x v="437"/>
    <x v="324"/>
    <x v="1"/>
    <x v="22"/>
    <x v="0"/>
    <x v="0"/>
    <x v="1"/>
    <x v="1"/>
    <x v="2"/>
    <x v="2"/>
    <x v="2"/>
    <x v="2"/>
    <x v="1"/>
    <x v="1"/>
    <x v="201"/>
    <x v="1"/>
    <x v="1"/>
    <x v="2"/>
    <x v="428"/>
    <x v="3"/>
    <x v="1"/>
    <x v="5"/>
    <x v="2"/>
    <x v="1"/>
    <x v="491"/>
    <x v="0"/>
    <x v="0"/>
  </r>
  <r>
    <x v="852"/>
    <x v="429"/>
    <x v="426"/>
    <x v="421"/>
    <x v="683"/>
    <x v="1"/>
    <x v="2"/>
    <x v="251"/>
    <x v="336"/>
    <x v="1"/>
    <x v="9"/>
    <x v="0"/>
    <x v="0"/>
    <x v="1"/>
    <x v="1"/>
    <x v="1"/>
    <x v="2"/>
    <x v="1"/>
    <x v="2"/>
    <x v="1"/>
    <x v="2"/>
    <x v="0"/>
    <x v="1"/>
    <x v="1"/>
    <x v="2"/>
    <x v="429"/>
    <x v="5"/>
    <x v="0"/>
    <x v="0"/>
    <x v="1"/>
    <x v="0"/>
    <x v="0"/>
    <x v="0"/>
    <x v="0"/>
  </r>
  <r>
    <x v="853"/>
    <x v="385"/>
    <x v="385"/>
    <x v="380"/>
    <x v="0"/>
    <x v="1"/>
    <x v="2"/>
    <x v="400"/>
    <x v="332"/>
    <x v="1"/>
    <x v="3"/>
    <x v="0"/>
    <x v="0"/>
    <x v="3"/>
    <x v="1"/>
    <x v="1"/>
    <x v="2"/>
    <x v="1"/>
    <x v="1"/>
    <x v="1"/>
    <x v="2"/>
    <x v="0"/>
    <x v="2"/>
    <x v="3"/>
    <x v="4"/>
    <x v="388"/>
    <x v="3"/>
    <x v="0"/>
    <x v="0"/>
    <x v="1"/>
    <x v="0"/>
    <x v="0"/>
    <x v="0"/>
    <x v="0"/>
  </r>
  <r>
    <x v="854"/>
    <x v="430"/>
    <x v="427"/>
    <x v="422"/>
    <x v="684"/>
    <x v="1"/>
    <x v="3"/>
    <x v="129"/>
    <x v="30"/>
    <x v="2"/>
    <x v="0"/>
    <x v="2"/>
    <x v="0"/>
    <x v="1"/>
    <x v="3"/>
    <x v="2"/>
    <x v="2"/>
    <x v="1"/>
    <x v="2"/>
    <x v="1"/>
    <x v="1"/>
    <x v="202"/>
    <x v="1"/>
    <x v="1"/>
    <x v="2"/>
    <x v="430"/>
    <x v="5"/>
    <x v="1"/>
    <x v="1"/>
    <x v="1"/>
    <x v="0"/>
    <x v="492"/>
    <x v="0"/>
    <x v="267"/>
  </r>
  <r>
    <x v="855"/>
    <x v="431"/>
    <x v="428"/>
    <x v="423"/>
    <x v="685"/>
    <x v="1"/>
    <x v="2"/>
    <x v="438"/>
    <x v="337"/>
    <x v="2"/>
    <x v="0"/>
    <x v="6"/>
    <x v="0"/>
    <x v="1"/>
    <x v="3"/>
    <x v="2"/>
    <x v="2"/>
    <x v="1"/>
    <x v="2"/>
    <x v="1"/>
    <x v="1"/>
    <x v="203"/>
    <x v="2"/>
    <x v="1"/>
    <x v="2"/>
    <x v="431"/>
    <x v="2"/>
    <x v="1"/>
    <x v="12"/>
    <x v="1"/>
    <x v="0"/>
    <x v="493"/>
    <x v="0"/>
    <x v="0"/>
  </r>
  <r>
    <x v="856"/>
    <x v="432"/>
    <x v="429"/>
    <x v="424"/>
    <x v="686"/>
    <x v="1"/>
    <x v="1"/>
    <x v="439"/>
    <x v="10"/>
    <x v="1"/>
    <x v="138"/>
    <x v="0"/>
    <x v="0"/>
    <x v="1"/>
    <x v="3"/>
    <x v="2"/>
    <x v="1"/>
    <x v="1"/>
    <x v="3"/>
    <x v="1"/>
    <x v="1"/>
    <x v="202"/>
    <x v="1"/>
    <x v="1"/>
    <x v="2"/>
    <x v="432"/>
    <x v="2"/>
    <x v="1"/>
    <x v="2"/>
    <x v="1"/>
    <x v="0"/>
    <x v="494"/>
    <x v="246"/>
    <x v="0"/>
  </r>
  <r>
    <x v="857"/>
    <x v="433"/>
    <x v="430"/>
    <x v="425"/>
    <x v="687"/>
    <x v="1"/>
    <x v="2"/>
    <x v="440"/>
    <x v="10"/>
    <x v="1"/>
    <x v="171"/>
    <x v="0"/>
    <x v="0"/>
    <x v="1"/>
    <x v="5"/>
    <x v="1"/>
    <x v="2"/>
    <x v="1"/>
    <x v="3"/>
    <x v="1"/>
    <x v="1"/>
    <x v="201"/>
    <x v="1"/>
    <x v="1"/>
    <x v="13"/>
    <x v="433"/>
    <x v="5"/>
    <x v="1"/>
    <x v="1"/>
    <x v="1"/>
    <x v="0"/>
    <x v="495"/>
    <x v="247"/>
    <x v="0"/>
  </r>
  <r>
    <x v="858"/>
    <x v="430"/>
    <x v="427"/>
    <x v="422"/>
    <x v="0"/>
    <x v="1"/>
    <x v="3"/>
    <x v="129"/>
    <x v="30"/>
    <x v="2"/>
    <x v="0"/>
    <x v="2"/>
    <x v="0"/>
    <x v="3"/>
    <x v="1"/>
    <x v="1"/>
    <x v="2"/>
    <x v="1"/>
    <x v="2"/>
    <x v="1"/>
    <x v="2"/>
    <x v="0"/>
    <x v="2"/>
    <x v="3"/>
    <x v="4"/>
    <x v="430"/>
    <x v="5"/>
    <x v="0"/>
    <x v="0"/>
    <x v="1"/>
    <x v="0"/>
    <x v="0"/>
    <x v="0"/>
    <x v="0"/>
  </r>
  <r>
    <x v="859"/>
    <x v="432"/>
    <x v="429"/>
    <x v="424"/>
    <x v="0"/>
    <x v="1"/>
    <x v="1"/>
    <x v="439"/>
    <x v="10"/>
    <x v="1"/>
    <x v="138"/>
    <x v="0"/>
    <x v="0"/>
    <x v="3"/>
    <x v="3"/>
    <x v="2"/>
    <x v="2"/>
    <x v="1"/>
    <x v="3"/>
    <x v="1"/>
    <x v="1"/>
    <x v="203"/>
    <x v="2"/>
    <x v="3"/>
    <x v="4"/>
    <x v="432"/>
    <x v="4"/>
    <x v="1"/>
    <x v="1"/>
    <x v="1"/>
    <x v="0"/>
    <x v="496"/>
    <x v="248"/>
    <x v="268"/>
  </r>
  <r>
    <x v="860"/>
    <x v="431"/>
    <x v="428"/>
    <x v="423"/>
    <x v="0"/>
    <x v="1"/>
    <x v="2"/>
    <x v="438"/>
    <x v="310"/>
    <x v="2"/>
    <x v="0"/>
    <x v="6"/>
    <x v="0"/>
    <x v="3"/>
    <x v="1"/>
    <x v="1"/>
    <x v="2"/>
    <x v="1"/>
    <x v="2"/>
    <x v="1"/>
    <x v="2"/>
    <x v="0"/>
    <x v="2"/>
    <x v="3"/>
    <x v="4"/>
    <x v="431"/>
    <x v="13"/>
    <x v="0"/>
    <x v="0"/>
    <x v="1"/>
    <x v="0"/>
    <x v="0"/>
    <x v="0"/>
    <x v="0"/>
  </r>
  <r>
    <x v="861"/>
    <x v="434"/>
    <x v="431"/>
    <x v="426"/>
    <x v="688"/>
    <x v="1"/>
    <x v="2"/>
    <x v="441"/>
    <x v="119"/>
    <x v="1"/>
    <x v="1"/>
    <x v="0"/>
    <x v="0"/>
    <x v="1"/>
    <x v="2"/>
    <x v="5"/>
    <x v="2"/>
    <x v="1"/>
    <x v="2"/>
    <x v="1"/>
    <x v="1"/>
    <x v="203"/>
    <x v="1"/>
    <x v="1"/>
    <x v="13"/>
    <x v="434"/>
    <x v="4"/>
    <x v="1"/>
    <x v="1"/>
    <x v="1"/>
    <x v="0"/>
    <x v="497"/>
    <x v="249"/>
    <x v="0"/>
  </r>
  <r>
    <x v="862"/>
    <x v="435"/>
    <x v="432"/>
    <x v="427"/>
    <x v="689"/>
    <x v="1"/>
    <x v="2"/>
    <x v="442"/>
    <x v="338"/>
    <x v="1"/>
    <x v="2"/>
    <x v="0"/>
    <x v="0"/>
    <x v="1"/>
    <x v="3"/>
    <x v="2"/>
    <x v="1"/>
    <x v="1"/>
    <x v="2"/>
    <x v="1"/>
    <x v="1"/>
    <x v="201"/>
    <x v="1"/>
    <x v="1"/>
    <x v="2"/>
    <x v="435"/>
    <x v="5"/>
    <x v="1"/>
    <x v="1"/>
    <x v="1"/>
    <x v="0"/>
    <x v="498"/>
    <x v="250"/>
    <x v="0"/>
  </r>
  <r>
    <x v="863"/>
    <x v="436"/>
    <x v="410"/>
    <x v="405"/>
    <x v="690"/>
    <x v="1"/>
    <x v="4"/>
    <x v="423"/>
    <x v="326"/>
    <x v="1"/>
    <x v="171"/>
    <x v="0"/>
    <x v="0"/>
    <x v="1"/>
    <x v="3"/>
    <x v="2"/>
    <x v="2"/>
    <x v="1"/>
    <x v="2"/>
    <x v="1"/>
    <x v="1"/>
    <x v="201"/>
    <x v="1"/>
    <x v="1"/>
    <x v="2"/>
    <x v="413"/>
    <x v="5"/>
    <x v="1"/>
    <x v="5"/>
    <x v="2"/>
    <x v="1"/>
    <x v="0"/>
    <x v="0"/>
    <x v="0"/>
  </r>
  <r>
    <x v="864"/>
    <x v="432"/>
    <x v="429"/>
    <x v="424"/>
    <x v="0"/>
    <x v="1"/>
    <x v="1"/>
    <x v="439"/>
    <x v="10"/>
    <x v="1"/>
    <x v="138"/>
    <x v="0"/>
    <x v="0"/>
    <x v="3"/>
    <x v="1"/>
    <x v="1"/>
    <x v="2"/>
    <x v="1"/>
    <x v="3"/>
    <x v="1"/>
    <x v="2"/>
    <x v="0"/>
    <x v="2"/>
    <x v="3"/>
    <x v="4"/>
    <x v="432"/>
    <x v="5"/>
    <x v="0"/>
    <x v="0"/>
    <x v="1"/>
    <x v="0"/>
    <x v="0"/>
    <x v="0"/>
    <x v="0"/>
  </r>
  <r>
    <x v="865"/>
    <x v="437"/>
    <x v="433"/>
    <x v="428"/>
    <x v="691"/>
    <x v="1"/>
    <x v="2"/>
    <x v="443"/>
    <x v="59"/>
    <x v="1"/>
    <x v="15"/>
    <x v="0"/>
    <x v="0"/>
    <x v="1"/>
    <x v="3"/>
    <x v="3"/>
    <x v="2"/>
    <x v="1"/>
    <x v="1"/>
    <x v="1"/>
    <x v="1"/>
    <x v="201"/>
    <x v="1"/>
    <x v="1"/>
    <x v="2"/>
    <x v="436"/>
    <x v="13"/>
    <x v="1"/>
    <x v="1"/>
    <x v="1"/>
    <x v="0"/>
    <x v="499"/>
    <x v="251"/>
    <x v="269"/>
  </r>
  <r>
    <x v="866"/>
    <x v="434"/>
    <x v="431"/>
    <x v="426"/>
    <x v="0"/>
    <x v="1"/>
    <x v="2"/>
    <x v="441"/>
    <x v="119"/>
    <x v="1"/>
    <x v="1"/>
    <x v="0"/>
    <x v="0"/>
    <x v="3"/>
    <x v="4"/>
    <x v="1"/>
    <x v="2"/>
    <x v="1"/>
    <x v="2"/>
    <x v="1"/>
    <x v="2"/>
    <x v="0"/>
    <x v="2"/>
    <x v="3"/>
    <x v="4"/>
    <x v="434"/>
    <x v="5"/>
    <x v="0"/>
    <x v="0"/>
    <x v="1"/>
    <x v="0"/>
    <x v="0"/>
    <x v="0"/>
    <x v="0"/>
  </r>
  <r>
    <x v="867"/>
    <x v="428"/>
    <x v="425"/>
    <x v="420"/>
    <x v="692"/>
    <x v="3"/>
    <x v="2"/>
    <x v="437"/>
    <x v="324"/>
    <x v="1"/>
    <x v="22"/>
    <x v="0"/>
    <x v="0"/>
    <x v="3"/>
    <x v="1"/>
    <x v="1"/>
    <x v="2"/>
    <x v="1"/>
    <x v="2"/>
    <x v="1"/>
    <x v="2"/>
    <x v="0"/>
    <x v="1"/>
    <x v="3"/>
    <x v="4"/>
    <x v="428"/>
    <x v="2"/>
    <x v="0"/>
    <x v="0"/>
    <x v="1"/>
    <x v="0"/>
    <x v="0"/>
    <x v="0"/>
    <x v="0"/>
  </r>
  <r>
    <x v="868"/>
    <x v="438"/>
    <x v="434"/>
    <x v="429"/>
    <x v="693"/>
    <x v="1"/>
    <x v="2"/>
    <x v="444"/>
    <x v="339"/>
    <x v="1"/>
    <x v="33"/>
    <x v="0"/>
    <x v="0"/>
    <x v="1"/>
    <x v="3"/>
    <x v="3"/>
    <x v="2"/>
    <x v="1"/>
    <x v="2"/>
    <x v="1"/>
    <x v="1"/>
    <x v="204"/>
    <x v="1"/>
    <x v="1"/>
    <x v="2"/>
    <x v="437"/>
    <x v="12"/>
    <x v="1"/>
    <x v="1"/>
    <x v="1"/>
    <x v="0"/>
    <x v="500"/>
    <x v="252"/>
    <x v="270"/>
  </r>
  <r>
    <x v="869"/>
    <x v="413"/>
    <x v="410"/>
    <x v="405"/>
    <x v="694"/>
    <x v="1"/>
    <x v="2"/>
    <x v="423"/>
    <x v="326"/>
    <x v="1"/>
    <x v="33"/>
    <x v="0"/>
    <x v="0"/>
    <x v="3"/>
    <x v="1"/>
    <x v="1"/>
    <x v="1"/>
    <x v="1"/>
    <x v="2"/>
    <x v="1"/>
    <x v="1"/>
    <x v="205"/>
    <x v="1"/>
    <x v="3"/>
    <x v="4"/>
    <x v="413"/>
    <x v="2"/>
    <x v="1"/>
    <x v="7"/>
    <x v="1"/>
    <x v="0"/>
    <x v="501"/>
    <x v="0"/>
    <x v="0"/>
  </r>
  <r>
    <x v="870"/>
    <x v="439"/>
    <x v="435"/>
    <x v="430"/>
    <x v="695"/>
    <x v="1"/>
    <x v="2"/>
    <x v="445"/>
    <x v="335"/>
    <x v="1"/>
    <x v="33"/>
    <x v="0"/>
    <x v="0"/>
    <x v="1"/>
    <x v="3"/>
    <x v="3"/>
    <x v="1"/>
    <x v="1"/>
    <x v="2"/>
    <x v="1"/>
    <x v="1"/>
    <x v="205"/>
    <x v="1"/>
    <x v="6"/>
    <x v="2"/>
    <x v="438"/>
    <x v="5"/>
    <x v="3"/>
    <x v="0"/>
    <x v="1"/>
    <x v="0"/>
    <x v="502"/>
    <x v="253"/>
    <x v="271"/>
  </r>
  <r>
    <x v="871"/>
    <x v="433"/>
    <x v="430"/>
    <x v="425"/>
    <x v="0"/>
    <x v="1"/>
    <x v="2"/>
    <x v="440"/>
    <x v="10"/>
    <x v="1"/>
    <x v="172"/>
    <x v="0"/>
    <x v="0"/>
    <x v="3"/>
    <x v="1"/>
    <x v="1"/>
    <x v="2"/>
    <x v="1"/>
    <x v="2"/>
    <x v="1"/>
    <x v="1"/>
    <x v="205"/>
    <x v="2"/>
    <x v="3"/>
    <x v="4"/>
    <x v="433"/>
    <x v="5"/>
    <x v="1"/>
    <x v="7"/>
    <x v="1"/>
    <x v="0"/>
    <x v="503"/>
    <x v="0"/>
    <x v="272"/>
  </r>
  <r>
    <x v="872"/>
    <x v="435"/>
    <x v="432"/>
    <x v="427"/>
    <x v="0"/>
    <x v="1"/>
    <x v="2"/>
    <x v="442"/>
    <x v="338"/>
    <x v="1"/>
    <x v="2"/>
    <x v="0"/>
    <x v="0"/>
    <x v="3"/>
    <x v="1"/>
    <x v="1"/>
    <x v="2"/>
    <x v="1"/>
    <x v="2"/>
    <x v="1"/>
    <x v="2"/>
    <x v="0"/>
    <x v="2"/>
    <x v="3"/>
    <x v="4"/>
    <x v="435"/>
    <x v="5"/>
    <x v="0"/>
    <x v="0"/>
    <x v="1"/>
    <x v="0"/>
    <x v="0"/>
    <x v="0"/>
    <x v="0"/>
  </r>
  <r>
    <x v="873"/>
    <x v="437"/>
    <x v="433"/>
    <x v="428"/>
    <x v="0"/>
    <x v="1"/>
    <x v="2"/>
    <x v="443"/>
    <x v="10"/>
    <x v="1"/>
    <x v="15"/>
    <x v="0"/>
    <x v="0"/>
    <x v="3"/>
    <x v="1"/>
    <x v="1"/>
    <x v="2"/>
    <x v="1"/>
    <x v="2"/>
    <x v="1"/>
    <x v="2"/>
    <x v="0"/>
    <x v="2"/>
    <x v="3"/>
    <x v="4"/>
    <x v="436"/>
    <x v="5"/>
    <x v="0"/>
    <x v="0"/>
    <x v="1"/>
    <x v="0"/>
    <x v="0"/>
    <x v="0"/>
    <x v="0"/>
  </r>
  <r>
    <x v="874"/>
    <x v="438"/>
    <x v="434"/>
    <x v="429"/>
    <x v="0"/>
    <x v="1"/>
    <x v="2"/>
    <x v="444"/>
    <x v="339"/>
    <x v="1"/>
    <x v="33"/>
    <x v="0"/>
    <x v="0"/>
    <x v="3"/>
    <x v="1"/>
    <x v="1"/>
    <x v="2"/>
    <x v="1"/>
    <x v="2"/>
    <x v="1"/>
    <x v="1"/>
    <x v="206"/>
    <x v="2"/>
    <x v="3"/>
    <x v="4"/>
    <x v="437"/>
    <x v="5"/>
    <x v="3"/>
    <x v="0"/>
    <x v="1"/>
    <x v="0"/>
    <x v="504"/>
    <x v="254"/>
    <x v="0"/>
  </r>
  <r>
    <x v="875"/>
    <x v="440"/>
    <x v="436"/>
    <x v="431"/>
    <x v="696"/>
    <x v="1"/>
    <x v="1"/>
    <x v="446"/>
    <x v="340"/>
    <x v="1"/>
    <x v="33"/>
    <x v="0"/>
    <x v="0"/>
    <x v="1"/>
    <x v="3"/>
    <x v="3"/>
    <x v="2"/>
    <x v="1"/>
    <x v="2"/>
    <x v="1"/>
    <x v="1"/>
    <x v="206"/>
    <x v="1"/>
    <x v="4"/>
    <x v="2"/>
    <x v="439"/>
    <x v="12"/>
    <x v="1"/>
    <x v="3"/>
    <x v="2"/>
    <x v="1"/>
    <x v="505"/>
    <x v="255"/>
    <x v="0"/>
  </r>
  <r>
    <x v="876"/>
    <x v="441"/>
    <x v="437"/>
    <x v="432"/>
    <x v="697"/>
    <x v="1"/>
    <x v="3"/>
    <x v="447"/>
    <x v="310"/>
    <x v="1"/>
    <x v="173"/>
    <x v="0"/>
    <x v="0"/>
    <x v="1"/>
    <x v="1"/>
    <x v="1"/>
    <x v="2"/>
    <x v="1"/>
    <x v="2"/>
    <x v="1"/>
    <x v="1"/>
    <x v="207"/>
    <x v="1"/>
    <x v="5"/>
    <x v="2"/>
    <x v="440"/>
    <x v="12"/>
    <x v="2"/>
    <x v="0"/>
    <x v="1"/>
    <x v="0"/>
    <x v="506"/>
    <x v="256"/>
    <x v="273"/>
  </r>
  <r>
    <x v="877"/>
    <x v="413"/>
    <x v="410"/>
    <x v="405"/>
    <x v="0"/>
    <x v="1"/>
    <x v="4"/>
    <x v="423"/>
    <x v="326"/>
    <x v="1"/>
    <x v="33"/>
    <x v="0"/>
    <x v="0"/>
    <x v="3"/>
    <x v="1"/>
    <x v="1"/>
    <x v="2"/>
    <x v="1"/>
    <x v="2"/>
    <x v="1"/>
    <x v="2"/>
    <x v="0"/>
    <x v="2"/>
    <x v="3"/>
    <x v="4"/>
    <x v="413"/>
    <x v="12"/>
    <x v="0"/>
    <x v="0"/>
    <x v="1"/>
    <x v="0"/>
    <x v="0"/>
    <x v="0"/>
    <x v="0"/>
  </r>
  <r>
    <x v="878"/>
    <x v="433"/>
    <x v="430"/>
    <x v="425"/>
    <x v="0"/>
    <x v="1"/>
    <x v="2"/>
    <x v="440"/>
    <x v="341"/>
    <x v="1"/>
    <x v="33"/>
    <x v="0"/>
    <x v="0"/>
    <x v="3"/>
    <x v="1"/>
    <x v="1"/>
    <x v="2"/>
    <x v="1"/>
    <x v="2"/>
    <x v="1"/>
    <x v="2"/>
    <x v="0"/>
    <x v="2"/>
    <x v="3"/>
    <x v="4"/>
    <x v="433"/>
    <x v="12"/>
    <x v="0"/>
    <x v="0"/>
    <x v="1"/>
    <x v="0"/>
    <x v="0"/>
    <x v="0"/>
    <x v="0"/>
  </r>
  <r>
    <x v="879"/>
    <x v="442"/>
    <x v="438"/>
    <x v="433"/>
    <x v="698"/>
    <x v="1"/>
    <x v="2"/>
    <x v="448"/>
    <x v="342"/>
    <x v="1"/>
    <x v="174"/>
    <x v="0"/>
    <x v="0"/>
    <x v="1"/>
    <x v="1"/>
    <x v="1"/>
    <x v="2"/>
    <x v="1"/>
    <x v="2"/>
    <x v="1"/>
    <x v="2"/>
    <x v="0"/>
    <x v="1"/>
    <x v="6"/>
    <x v="2"/>
    <x v="441"/>
    <x v="12"/>
    <x v="0"/>
    <x v="0"/>
    <x v="1"/>
    <x v="0"/>
    <x v="0"/>
    <x v="0"/>
    <x v="0"/>
  </r>
  <r>
    <x v="880"/>
    <x v="443"/>
    <x v="439"/>
    <x v="434"/>
    <x v="699"/>
    <x v="1"/>
    <x v="1"/>
    <x v="449"/>
    <x v="198"/>
    <x v="2"/>
    <x v="0"/>
    <x v="2"/>
    <x v="0"/>
    <x v="1"/>
    <x v="3"/>
    <x v="3"/>
    <x v="2"/>
    <x v="1"/>
    <x v="2"/>
    <x v="1"/>
    <x v="1"/>
    <x v="208"/>
    <x v="1"/>
    <x v="2"/>
    <x v="2"/>
    <x v="442"/>
    <x v="12"/>
    <x v="1"/>
    <x v="1"/>
    <x v="1"/>
    <x v="0"/>
    <x v="507"/>
    <x v="257"/>
    <x v="0"/>
  </r>
  <r>
    <x v="881"/>
    <x v="444"/>
    <x v="440"/>
    <x v="435"/>
    <x v="700"/>
    <x v="1"/>
    <x v="2"/>
    <x v="450"/>
    <x v="10"/>
    <x v="1"/>
    <x v="15"/>
    <x v="0"/>
    <x v="0"/>
    <x v="1"/>
    <x v="2"/>
    <x v="3"/>
    <x v="2"/>
    <x v="1"/>
    <x v="1"/>
    <x v="1"/>
    <x v="1"/>
    <x v="208"/>
    <x v="1"/>
    <x v="1"/>
    <x v="2"/>
    <x v="443"/>
    <x v="3"/>
    <x v="1"/>
    <x v="1"/>
    <x v="1"/>
    <x v="0"/>
    <x v="508"/>
    <x v="258"/>
    <x v="0"/>
  </r>
  <r>
    <x v="882"/>
    <x v="445"/>
    <x v="441"/>
    <x v="436"/>
    <x v="701"/>
    <x v="1"/>
    <x v="2"/>
    <x v="451"/>
    <x v="324"/>
    <x v="1"/>
    <x v="8"/>
    <x v="0"/>
    <x v="0"/>
    <x v="1"/>
    <x v="1"/>
    <x v="1"/>
    <x v="1"/>
    <x v="1"/>
    <x v="3"/>
    <x v="1"/>
    <x v="1"/>
    <x v="209"/>
    <x v="1"/>
    <x v="1"/>
    <x v="2"/>
    <x v="444"/>
    <x v="3"/>
    <x v="3"/>
    <x v="0"/>
    <x v="1"/>
    <x v="0"/>
    <x v="509"/>
    <x v="259"/>
    <x v="0"/>
  </r>
  <r>
    <x v="883"/>
    <x v="446"/>
    <x v="442"/>
    <x v="437"/>
    <x v="702"/>
    <x v="1"/>
    <x v="2"/>
    <x v="452"/>
    <x v="343"/>
    <x v="1"/>
    <x v="22"/>
    <x v="0"/>
    <x v="0"/>
    <x v="1"/>
    <x v="1"/>
    <x v="1"/>
    <x v="2"/>
    <x v="1"/>
    <x v="2"/>
    <x v="1"/>
    <x v="1"/>
    <x v="206"/>
    <x v="1"/>
    <x v="1"/>
    <x v="2"/>
    <x v="445"/>
    <x v="4"/>
    <x v="1"/>
    <x v="3"/>
    <x v="2"/>
    <x v="1"/>
    <x v="510"/>
    <x v="0"/>
    <x v="274"/>
  </r>
  <r>
    <x v="884"/>
    <x v="141"/>
    <x v="141"/>
    <x v="139"/>
    <x v="703"/>
    <x v="1"/>
    <x v="1"/>
    <x v="145"/>
    <x v="125"/>
    <x v="1"/>
    <x v="15"/>
    <x v="0"/>
    <x v="0"/>
    <x v="1"/>
    <x v="1"/>
    <x v="1"/>
    <x v="2"/>
    <x v="1"/>
    <x v="2"/>
    <x v="1"/>
    <x v="1"/>
    <x v="206"/>
    <x v="1"/>
    <x v="1"/>
    <x v="2"/>
    <x v="140"/>
    <x v="4"/>
    <x v="1"/>
    <x v="7"/>
    <x v="2"/>
    <x v="1"/>
    <x v="511"/>
    <x v="260"/>
    <x v="0"/>
  </r>
  <r>
    <x v="885"/>
    <x v="440"/>
    <x v="436"/>
    <x v="431"/>
    <x v="704"/>
    <x v="1"/>
    <x v="1"/>
    <x v="446"/>
    <x v="340"/>
    <x v="1"/>
    <x v="33"/>
    <x v="0"/>
    <x v="0"/>
    <x v="3"/>
    <x v="1"/>
    <x v="1"/>
    <x v="2"/>
    <x v="1"/>
    <x v="2"/>
    <x v="1"/>
    <x v="1"/>
    <x v="209"/>
    <x v="1"/>
    <x v="3"/>
    <x v="4"/>
    <x v="439"/>
    <x v="3"/>
    <x v="3"/>
    <x v="0"/>
    <x v="1"/>
    <x v="0"/>
    <x v="512"/>
    <x v="261"/>
    <x v="0"/>
  </r>
  <r>
    <x v="886"/>
    <x v="446"/>
    <x v="442"/>
    <x v="437"/>
    <x v="705"/>
    <x v="1"/>
    <x v="1"/>
    <x v="452"/>
    <x v="343"/>
    <x v="1"/>
    <x v="22"/>
    <x v="0"/>
    <x v="0"/>
    <x v="3"/>
    <x v="2"/>
    <x v="3"/>
    <x v="2"/>
    <x v="1"/>
    <x v="2"/>
    <x v="1"/>
    <x v="1"/>
    <x v="209"/>
    <x v="2"/>
    <x v="3"/>
    <x v="4"/>
    <x v="445"/>
    <x v="3"/>
    <x v="1"/>
    <x v="7"/>
    <x v="2"/>
    <x v="1"/>
    <x v="513"/>
    <x v="0"/>
    <x v="0"/>
  </r>
  <r>
    <x v="887"/>
    <x v="414"/>
    <x v="411"/>
    <x v="406"/>
    <x v="706"/>
    <x v="1"/>
    <x v="2"/>
    <x v="424"/>
    <x v="198"/>
    <x v="1"/>
    <x v="15"/>
    <x v="0"/>
    <x v="0"/>
    <x v="1"/>
    <x v="2"/>
    <x v="3"/>
    <x v="2"/>
    <x v="1"/>
    <x v="2"/>
    <x v="1"/>
    <x v="1"/>
    <x v="208"/>
    <x v="1"/>
    <x v="5"/>
    <x v="3"/>
    <x v="414"/>
    <x v="3"/>
    <x v="3"/>
    <x v="0"/>
    <x v="1"/>
    <x v="0"/>
    <x v="514"/>
    <x v="0"/>
    <x v="0"/>
  </r>
  <r>
    <x v="888"/>
    <x v="141"/>
    <x v="141"/>
    <x v="139"/>
    <x v="707"/>
    <x v="1"/>
    <x v="1"/>
    <x v="145"/>
    <x v="125"/>
    <x v="2"/>
    <x v="0"/>
    <x v="2"/>
    <x v="0"/>
    <x v="3"/>
    <x v="1"/>
    <x v="1"/>
    <x v="2"/>
    <x v="1"/>
    <x v="2"/>
    <x v="1"/>
    <x v="2"/>
    <x v="0"/>
    <x v="1"/>
    <x v="3"/>
    <x v="4"/>
    <x v="140"/>
    <x v="12"/>
    <x v="0"/>
    <x v="0"/>
    <x v="1"/>
    <x v="0"/>
    <x v="0"/>
    <x v="0"/>
    <x v="0"/>
  </r>
  <r>
    <x v="889"/>
    <x v="447"/>
    <x v="443"/>
    <x v="438"/>
    <x v="708"/>
    <x v="1"/>
    <x v="2"/>
    <x v="453"/>
    <x v="235"/>
    <x v="1"/>
    <x v="33"/>
    <x v="0"/>
    <x v="0"/>
    <x v="1"/>
    <x v="3"/>
    <x v="2"/>
    <x v="2"/>
    <x v="1"/>
    <x v="1"/>
    <x v="1"/>
    <x v="1"/>
    <x v="209"/>
    <x v="1"/>
    <x v="1"/>
    <x v="2"/>
    <x v="446"/>
    <x v="13"/>
    <x v="1"/>
    <x v="7"/>
    <x v="1"/>
    <x v="0"/>
    <x v="515"/>
    <x v="0"/>
    <x v="275"/>
  </r>
  <r>
    <x v="890"/>
    <x v="413"/>
    <x v="410"/>
    <x v="405"/>
    <x v="709"/>
    <x v="1"/>
    <x v="2"/>
    <x v="423"/>
    <x v="344"/>
    <x v="1"/>
    <x v="175"/>
    <x v="0"/>
    <x v="0"/>
    <x v="1"/>
    <x v="1"/>
    <x v="1"/>
    <x v="2"/>
    <x v="1"/>
    <x v="2"/>
    <x v="1"/>
    <x v="2"/>
    <x v="0"/>
    <x v="1"/>
    <x v="1"/>
    <x v="2"/>
    <x v="413"/>
    <x v="2"/>
    <x v="0"/>
    <x v="0"/>
    <x v="1"/>
    <x v="0"/>
    <x v="0"/>
    <x v="0"/>
    <x v="0"/>
  </r>
  <r>
    <x v="891"/>
    <x v="448"/>
    <x v="444"/>
    <x v="439"/>
    <x v="710"/>
    <x v="1"/>
    <x v="2"/>
    <x v="454"/>
    <x v="283"/>
    <x v="1"/>
    <x v="138"/>
    <x v="0"/>
    <x v="0"/>
    <x v="1"/>
    <x v="3"/>
    <x v="3"/>
    <x v="2"/>
    <x v="1"/>
    <x v="2"/>
    <x v="1"/>
    <x v="1"/>
    <x v="209"/>
    <x v="1"/>
    <x v="1"/>
    <x v="2"/>
    <x v="447"/>
    <x v="5"/>
    <x v="1"/>
    <x v="2"/>
    <x v="1"/>
    <x v="0"/>
    <x v="516"/>
    <x v="0"/>
    <x v="0"/>
  </r>
  <r>
    <x v="892"/>
    <x v="449"/>
    <x v="445"/>
    <x v="440"/>
    <x v="711"/>
    <x v="1"/>
    <x v="2"/>
    <x v="455"/>
    <x v="345"/>
    <x v="1"/>
    <x v="22"/>
    <x v="0"/>
    <x v="0"/>
    <x v="1"/>
    <x v="3"/>
    <x v="2"/>
    <x v="2"/>
    <x v="1"/>
    <x v="1"/>
    <x v="1"/>
    <x v="1"/>
    <x v="209"/>
    <x v="1"/>
    <x v="1"/>
    <x v="2"/>
    <x v="448"/>
    <x v="13"/>
    <x v="1"/>
    <x v="7"/>
    <x v="1"/>
    <x v="0"/>
    <x v="517"/>
    <x v="0"/>
    <x v="276"/>
  </r>
  <r>
    <x v="893"/>
    <x v="444"/>
    <x v="440"/>
    <x v="435"/>
    <x v="0"/>
    <x v="1"/>
    <x v="2"/>
    <x v="450"/>
    <x v="10"/>
    <x v="1"/>
    <x v="15"/>
    <x v="0"/>
    <x v="0"/>
    <x v="3"/>
    <x v="5"/>
    <x v="1"/>
    <x v="2"/>
    <x v="1"/>
    <x v="2"/>
    <x v="1"/>
    <x v="2"/>
    <x v="0"/>
    <x v="2"/>
    <x v="3"/>
    <x v="4"/>
    <x v="443"/>
    <x v="5"/>
    <x v="0"/>
    <x v="0"/>
    <x v="1"/>
    <x v="0"/>
    <x v="0"/>
    <x v="0"/>
    <x v="0"/>
  </r>
  <r>
    <x v="894"/>
    <x v="443"/>
    <x v="439"/>
    <x v="434"/>
    <x v="0"/>
    <x v="1"/>
    <x v="1"/>
    <x v="449"/>
    <x v="198"/>
    <x v="2"/>
    <x v="0"/>
    <x v="2"/>
    <x v="0"/>
    <x v="3"/>
    <x v="4"/>
    <x v="1"/>
    <x v="2"/>
    <x v="1"/>
    <x v="2"/>
    <x v="1"/>
    <x v="2"/>
    <x v="0"/>
    <x v="2"/>
    <x v="3"/>
    <x v="4"/>
    <x v="442"/>
    <x v="5"/>
    <x v="0"/>
    <x v="0"/>
    <x v="1"/>
    <x v="0"/>
    <x v="0"/>
    <x v="0"/>
    <x v="0"/>
  </r>
  <r>
    <x v="895"/>
    <x v="450"/>
    <x v="446"/>
    <x v="441"/>
    <x v="712"/>
    <x v="1"/>
    <x v="1"/>
    <x v="456"/>
    <x v="76"/>
    <x v="1"/>
    <x v="33"/>
    <x v="0"/>
    <x v="0"/>
    <x v="1"/>
    <x v="3"/>
    <x v="3"/>
    <x v="2"/>
    <x v="1"/>
    <x v="2"/>
    <x v="1"/>
    <x v="1"/>
    <x v="209"/>
    <x v="1"/>
    <x v="5"/>
    <x v="2"/>
    <x v="449"/>
    <x v="5"/>
    <x v="1"/>
    <x v="7"/>
    <x v="1"/>
    <x v="0"/>
    <x v="518"/>
    <x v="262"/>
    <x v="0"/>
  </r>
  <r>
    <x v="896"/>
    <x v="141"/>
    <x v="141"/>
    <x v="139"/>
    <x v="713"/>
    <x v="1"/>
    <x v="1"/>
    <x v="145"/>
    <x v="125"/>
    <x v="2"/>
    <x v="0"/>
    <x v="5"/>
    <x v="0"/>
    <x v="1"/>
    <x v="2"/>
    <x v="3"/>
    <x v="2"/>
    <x v="1"/>
    <x v="2"/>
    <x v="1"/>
    <x v="1"/>
    <x v="209"/>
    <x v="1"/>
    <x v="5"/>
    <x v="2"/>
    <x v="140"/>
    <x v="5"/>
    <x v="3"/>
    <x v="0"/>
    <x v="1"/>
    <x v="0"/>
    <x v="519"/>
    <x v="263"/>
    <x v="0"/>
  </r>
  <r>
    <x v="897"/>
    <x v="448"/>
    <x v="444"/>
    <x v="439"/>
    <x v="0"/>
    <x v="1"/>
    <x v="2"/>
    <x v="454"/>
    <x v="283"/>
    <x v="1"/>
    <x v="138"/>
    <x v="0"/>
    <x v="0"/>
    <x v="3"/>
    <x v="1"/>
    <x v="1"/>
    <x v="2"/>
    <x v="1"/>
    <x v="2"/>
    <x v="1"/>
    <x v="1"/>
    <x v="210"/>
    <x v="2"/>
    <x v="3"/>
    <x v="4"/>
    <x v="447"/>
    <x v="4"/>
    <x v="3"/>
    <x v="0"/>
    <x v="1"/>
    <x v="0"/>
    <x v="520"/>
    <x v="264"/>
    <x v="0"/>
  </r>
  <r>
    <x v="898"/>
    <x v="447"/>
    <x v="443"/>
    <x v="438"/>
    <x v="714"/>
    <x v="1"/>
    <x v="2"/>
    <x v="453"/>
    <x v="346"/>
    <x v="1"/>
    <x v="33"/>
    <x v="0"/>
    <x v="0"/>
    <x v="1"/>
    <x v="3"/>
    <x v="2"/>
    <x v="1"/>
    <x v="1"/>
    <x v="2"/>
    <x v="1"/>
    <x v="1"/>
    <x v="211"/>
    <x v="1"/>
    <x v="2"/>
    <x v="2"/>
    <x v="446"/>
    <x v="12"/>
    <x v="3"/>
    <x v="0"/>
    <x v="1"/>
    <x v="0"/>
    <x v="521"/>
    <x v="0"/>
    <x v="0"/>
  </r>
  <r>
    <x v="899"/>
    <x v="446"/>
    <x v="442"/>
    <x v="437"/>
    <x v="715"/>
    <x v="1"/>
    <x v="2"/>
    <x v="452"/>
    <x v="347"/>
    <x v="1"/>
    <x v="22"/>
    <x v="0"/>
    <x v="0"/>
    <x v="3"/>
    <x v="1"/>
    <x v="1"/>
    <x v="2"/>
    <x v="1"/>
    <x v="2"/>
    <x v="1"/>
    <x v="2"/>
    <x v="0"/>
    <x v="1"/>
    <x v="3"/>
    <x v="4"/>
    <x v="445"/>
    <x v="12"/>
    <x v="0"/>
    <x v="0"/>
    <x v="1"/>
    <x v="0"/>
    <x v="0"/>
    <x v="0"/>
    <x v="0"/>
  </r>
  <r>
    <x v="900"/>
    <x v="451"/>
    <x v="447"/>
    <x v="442"/>
    <x v="716"/>
    <x v="1"/>
    <x v="2"/>
    <x v="457"/>
    <x v="348"/>
    <x v="1"/>
    <x v="70"/>
    <x v="0"/>
    <x v="0"/>
    <x v="1"/>
    <x v="3"/>
    <x v="2"/>
    <x v="2"/>
    <x v="1"/>
    <x v="3"/>
    <x v="1"/>
    <x v="1"/>
    <x v="211"/>
    <x v="1"/>
    <x v="1"/>
    <x v="2"/>
    <x v="450"/>
    <x v="2"/>
    <x v="1"/>
    <x v="2"/>
    <x v="2"/>
    <x v="1"/>
    <x v="522"/>
    <x v="0"/>
    <x v="0"/>
  </r>
  <r>
    <x v="901"/>
    <x v="449"/>
    <x v="445"/>
    <x v="440"/>
    <x v="0"/>
    <x v="1"/>
    <x v="2"/>
    <x v="119"/>
    <x v="345"/>
    <x v="1"/>
    <x v="22"/>
    <x v="0"/>
    <x v="0"/>
    <x v="3"/>
    <x v="5"/>
    <x v="1"/>
    <x v="2"/>
    <x v="1"/>
    <x v="2"/>
    <x v="1"/>
    <x v="2"/>
    <x v="0"/>
    <x v="2"/>
    <x v="3"/>
    <x v="4"/>
    <x v="448"/>
    <x v="12"/>
    <x v="0"/>
    <x v="0"/>
    <x v="1"/>
    <x v="0"/>
    <x v="0"/>
    <x v="0"/>
    <x v="0"/>
  </r>
  <r>
    <x v="902"/>
    <x v="450"/>
    <x v="448"/>
    <x v="441"/>
    <x v="0"/>
    <x v="1"/>
    <x v="1"/>
    <x v="456"/>
    <x v="76"/>
    <x v="1"/>
    <x v="33"/>
    <x v="0"/>
    <x v="0"/>
    <x v="3"/>
    <x v="1"/>
    <x v="1"/>
    <x v="2"/>
    <x v="1"/>
    <x v="2"/>
    <x v="1"/>
    <x v="1"/>
    <x v="211"/>
    <x v="2"/>
    <x v="3"/>
    <x v="4"/>
    <x v="449"/>
    <x v="12"/>
    <x v="3"/>
    <x v="0"/>
    <x v="1"/>
    <x v="0"/>
    <x v="523"/>
    <x v="0"/>
    <x v="0"/>
  </r>
  <r>
    <x v="903"/>
    <x v="452"/>
    <x v="449"/>
    <x v="443"/>
    <x v="717"/>
    <x v="1"/>
    <x v="2"/>
    <x v="458"/>
    <x v="349"/>
    <x v="1"/>
    <x v="9"/>
    <x v="0"/>
    <x v="0"/>
    <x v="1"/>
    <x v="1"/>
    <x v="1"/>
    <x v="1"/>
    <x v="1"/>
    <x v="2"/>
    <x v="1"/>
    <x v="1"/>
    <x v="210"/>
    <x v="1"/>
    <x v="5"/>
    <x v="2"/>
    <x v="451"/>
    <x v="12"/>
    <x v="1"/>
    <x v="5"/>
    <x v="2"/>
    <x v="1"/>
    <x v="524"/>
    <x v="0"/>
    <x v="277"/>
  </r>
  <r>
    <x v="904"/>
    <x v="453"/>
    <x v="450"/>
    <x v="444"/>
    <x v="718"/>
    <x v="1"/>
    <x v="2"/>
    <x v="459"/>
    <x v="191"/>
    <x v="1"/>
    <x v="3"/>
    <x v="0"/>
    <x v="0"/>
    <x v="1"/>
    <x v="3"/>
    <x v="2"/>
    <x v="2"/>
    <x v="1"/>
    <x v="2"/>
    <x v="2"/>
    <x v="1"/>
    <x v="210"/>
    <x v="1"/>
    <x v="1"/>
    <x v="2"/>
    <x v="452"/>
    <x v="13"/>
    <x v="3"/>
    <x v="0"/>
    <x v="1"/>
    <x v="0"/>
    <x v="525"/>
    <x v="265"/>
    <x v="0"/>
  </r>
  <r>
    <x v="905"/>
    <x v="454"/>
    <x v="451"/>
    <x v="445"/>
    <x v="719"/>
    <x v="1"/>
    <x v="2"/>
    <x v="460"/>
    <x v="350"/>
    <x v="1"/>
    <x v="15"/>
    <x v="0"/>
    <x v="0"/>
    <x v="1"/>
    <x v="1"/>
    <x v="2"/>
    <x v="1"/>
    <x v="1"/>
    <x v="2"/>
    <x v="1"/>
    <x v="1"/>
    <x v="210"/>
    <x v="1"/>
    <x v="1"/>
    <x v="2"/>
    <x v="453"/>
    <x v="4"/>
    <x v="1"/>
    <x v="7"/>
    <x v="1"/>
    <x v="0"/>
    <x v="526"/>
    <x v="0"/>
    <x v="0"/>
  </r>
  <r>
    <x v="906"/>
    <x v="451"/>
    <x v="447"/>
    <x v="442"/>
    <x v="720"/>
    <x v="1"/>
    <x v="2"/>
    <x v="457"/>
    <x v="351"/>
    <x v="1"/>
    <x v="70"/>
    <x v="0"/>
    <x v="0"/>
    <x v="3"/>
    <x v="1"/>
    <x v="1"/>
    <x v="1"/>
    <x v="1"/>
    <x v="3"/>
    <x v="1"/>
    <x v="1"/>
    <x v="212"/>
    <x v="2"/>
    <x v="3"/>
    <x v="4"/>
    <x v="450"/>
    <x v="4"/>
    <x v="1"/>
    <x v="0"/>
    <x v="2"/>
    <x v="1"/>
    <x v="527"/>
    <x v="0"/>
    <x v="0"/>
  </r>
  <r>
    <x v="907"/>
    <x v="455"/>
    <x v="452"/>
    <x v="446"/>
    <x v="721"/>
    <x v="1"/>
    <x v="2"/>
    <x v="461"/>
    <x v="352"/>
    <x v="1"/>
    <x v="31"/>
    <x v="0"/>
    <x v="0"/>
    <x v="1"/>
    <x v="3"/>
    <x v="3"/>
    <x v="2"/>
    <x v="1"/>
    <x v="1"/>
    <x v="1"/>
    <x v="1"/>
    <x v="210"/>
    <x v="1"/>
    <x v="1"/>
    <x v="2"/>
    <x v="454"/>
    <x v="13"/>
    <x v="1"/>
    <x v="7"/>
    <x v="2"/>
    <x v="1"/>
    <x v="528"/>
    <x v="0"/>
    <x v="278"/>
  </r>
  <r>
    <x v="908"/>
    <x v="456"/>
    <x v="453"/>
    <x v="447"/>
    <x v="722"/>
    <x v="1"/>
    <x v="2"/>
    <x v="462"/>
    <x v="353"/>
    <x v="1"/>
    <x v="117"/>
    <x v="0"/>
    <x v="0"/>
    <x v="1"/>
    <x v="1"/>
    <x v="2"/>
    <x v="2"/>
    <x v="2"/>
    <x v="1"/>
    <x v="1"/>
    <x v="1"/>
    <x v="213"/>
    <x v="1"/>
    <x v="1"/>
    <x v="2"/>
    <x v="455"/>
    <x v="3"/>
    <x v="3"/>
    <x v="0"/>
    <x v="1"/>
    <x v="0"/>
    <x v="529"/>
    <x v="266"/>
    <x v="0"/>
  </r>
  <r>
    <x v="909"/>
    <x v="451"/>
    <x v="447"/>
    <x v="442"/>
    <x v="723"/>
    <x v="1"/>
    <x v="2"/>
    <x v="457"/>
    <x v="351"/>
    <x v="1"/>
    <x v="138"/>
    <x v="0"/>
    <x v="0"/>
    <x v="1"/>
    <x v="2"/>
    <x v="3"/>
    <x v="2"/>
    <x v="1"/>
    <x v="2"/>
    <x v="1"/>
    <x v="1"/>
    <x v="210"/>
    <x v="1"/>
    <x v="1"/>
    <x v="2"/>
    <x v="450"/>
    <x v="3"/>
    <x v="1"/>
    <x v="7"/>
    <x v="2"/>
    <x v="1"/>
    <x v="530"/>
    <x v="0"/>
    <x v="0"/>
  </r>
  <r>
    <x v="910"/>
    <x v="452"/>
    <x v="449"/>
    <x v="443"/>
    <x v="724"/>
    <x v="1"/>
    <x v="2"/>
    <x v="458"/>
    <x v="349"/>
    <x v="1"/>
    <x v="9"/>
    <x v="0"/>
    <x v="0"/>
    <x v="3"/>
    <x v="1"/>
    <x v="1"/>
    <x v="1"/>
    <x v="1"/>
    <x v="2"/>
    <x v="1"/>
    <x v="2"/>
    <x v="0"/>
    <x v="1"/>
    <x v="3"/>
    <x v="4"/>
    <x v="451"/>
    <x v="2"/>
    <x v="0"/>
    <x v="0"/>
    <x v="1"/>
    <x v="0"/>
    <x v="0"/>
    <x v="0"/>
    <x v="0"/>
  </r>
  <r>
    <x v="911"/>
    <x v="415"/>
    <x v="412"/>
    <x v="407"/>
    <x v="725"/>
    <x v="1"/>
    <x v="2"/>
    <x v="425"/>
    <x v="327"/>
    <x v="1"/>
    <x v="33"/>
    <x v="0"/>
    <x v="0"/>
    <x v="1"/>
    <x v="3"/>
    <x v="3"/>
    <x v="1"/>
    <x v="1"/>
    <x v="2"/>
    <x v="1"/>
    <x v="1"/>
    <x v="213"/>
    <x v="1"/>
    <x v="5"/>
    <x v="2"/>
    <x v="415"/>
    <x v="2"/>
    <x v="1"/>
    <x v="2"/>
    <x v="1"/>
    <x v="0"/>
    <x v="531"/>
    <x v="0"/>
    <x v="0"/>
  </r>
  <r>
    <x v="912"/>
    <x v="457"/>
    <x v="451"/>
    <x v="445"/>
    <x v="0"/>
    <x v="1"/>
    <x v="2"/>
    <x v="460"/>
    <x v="354"/>
    <x v="2"/>
    <x v="0"/>
    <x v="2"/>
    <x v="0"/>
    <x v="3"/>
    <x v="4"/>
    <x v="1"/>
    <x v="2"/>
    <x v="1"/>
    <x v="2"/>
    <x v="1"/>
    <x v="2"/>
    <x v="0"/>
    <x v="2"/>
    <x v="3"/>
    <x v="4"/>
    <x v="453"/>
    <x v="12"/>
    <x v="0"/>
    <x v="0"/>
    <x v="1"/>
    <x v="0"/>
    <x v="0"/>
    <x v="0"/>
    <x v="0"/>
  </r>
  <r>
    <x v="913"/>
    <x v="451"/>
    <x v="447"/>
    <x v="442"/>
    <x v="726"/>
    <x v="1"/>
    <x v="2"/>
    <x v="457"/>
    <x v="355"/>
    <x v="1"/>
    <x v="138"/>
    <x v="0"/>
    <x v="0"/>
    <x v="3"/>
    <x v="1"/>
    <x v="1"/>
    <x v="1"/>
    <x v="1"/>
    <x v="2"/>
    <x v="1"/>
    <x v="2"/>
    <x v="0"/>
    <x v="1"/>
    <x v="3"/>
    <x v="4"/>
    <x v="450"/>
    <x v="12"/>
    <x v="0"/>
    <x v="0"/>
    <x v="1"/>
    <x v="0"/>
    <x v="0"/>
    <x v="0"/>
    <x v="0"/>
  </r>
  <r>
    <x v="914"/>
    <x v="381"/>
    <x v="381"/>
    <x v="376"/>
    <x v="727"/>
    <x v="1"/>
    <x v="2"/>
    <x v="397"/>
    <x v="168"/>
    <x v="2"/>
    <x v="0"/>
    <x v="5"/>
    <x v="0"/>
    <x v="1"/>
    <x v="2"/>
    <x v="3"/>
    <x v="2"/>
    <x v="1"/>
    <x v="2"/>
    <x v="1"/>
    <x v="1"/>
    <x v="213"/>
    <x v="1"/>
    <x v="1"/>
    <x v="2"/>
    <x v="383"/>
    <x v="12"/>
    <x v="3"/>
    <x v="0"/>
    <x v="1"/>
    <x v="0"/>
    <x v="532"/>
    <x v="0"/>
    <x v="279"/>
  </r>
  <r>
    <x v="915"/>
    <x v="455"/>
    <x v="452"/>
    <x v="446"/>
    <x v="0"/>
    <x v="1"/>
    <x v="2"/>
    <x v="461"/>
    <x v="352"/>
    <x v="1"/>
    <x v="31"/>
    <x v="0"/>
    <x v="0"/>
    <x v="3"/>
    <x v="1"/>
    <x v="1"/>
    <x v="2"/>
    <x v="1"/>
    <x v="2"/>
    <x v="1"/>
    <x v="1"/>
    <x v="213"/>
    <x v="1"/>
    <x v="3"/>
    <x v="4"/>
    <x v="454"/>
    <x v="12"/>
    <x v="3"/>
    <x v="0"/>
    <x v="1"/>
    <x v="0"/>
    <x v="532"/>
    <x v="0"/>
    <x v="0"/>
  </r>
  <r>
    <x v="916"/>
    <x v="415"/>
    <x v="412"/>
    <x v="407"/>
    <x v="0"/>
    <x v="1"/>
    <x v="2"/>
    <x v="425"/>
    <x v="327"/>
    <x v="1"/>
    <x v="33"/>
    <x v="0"/>
    <x v="0"/>
    <x v="3"/>
    <x v="1"/>
    <x v="1"/>
    <x v="2"/>
    <x v="1"/>
    <x v="2"/>
    <x v="1"/>
    <x v="2"/>
    <x v="0"/>
    <x v="2"/>
    <x v="3"/>
    <x v="4"/>
    <x v="415"/>
    <x v="4"/>
    <x v="0"/>
    <x v="0"/>
    <x v="1"/>
    <x v="0"/>
    <x v="0"/>
    <x v="0"/>
    <x v="0"/>
  </r>
  <r>
    <x v="917"/>
    <x v="458"/>
    <x v="454"/>
    <x v="448"/>
    <x v="728"/>
    <x v="1"/>
    <x v="2"/>
    <x v="463"/>
    <x v="356"/>
    <x v="1"/>
    <x v="31"/>
    <x v="0"/>
    <x v="0"/>
    <x v="1"/>
    <x v="1"/>
    <x v="1"/>
    <x v="2"/>
    <x v="1"/>
    <x v="1"/>
    <x v="1"/>
    <x v="2"/>
    <x v="0"/>
    <x v="1"/>
    <x v="6"/>
    <x v="2"/>
    <x v="456"/>
    <x v="5"/>
    <x v="0"/>
    <x v="0"/>
    <x v="1"/>
    <x v="0"/>
    <x v="0"/>
    <x v="0"/>
    <x v="0"/>
  </r>
  <r>
    <x v="918"/>
    <x v="459"/>
    <x v="455"/>
    <x v="449"/>
    <x v="729"/>
    <x v="1"/>
    <x v="2"/>
    <x v="464"/>
    <x v="357"/>
    <x v="1"/>
    <x v="15"/>
    <x v="0"/>
    <x v="0"/>
    <x v="1"/>
    <x v="3"/>
    <x v="3"/>
    <x v="2"/>
    <x v="1"/>
    <x v="2"/>
    <x v="1"/>
    <x v="1"/>
    <x v="214"/>
    <x v="1"/>
    <x v="6"/>
    <x v="2"/>
    <x v="457"/>
    <x v="5"/>
    <x v="1"/>
    <x v="5"/>
    <x v="2"/>
    <x v="1"/>
    <x v="533"/>
    <x v="0"/>
    <x v="0"/>
  </r>
  <r>
    <x v="919"/>
    <x v="57"/>
    <x v="56"/>
    <x v="55"/>
    <x v="730"/>
    <x v="1"/>
    <x v="2"/>
    <x v="60"/>
    <x v="196"/>
    <x v="6"/>
    <x v="0"/>
    <x v="0"/>
    <x v="21"/>
    <x v="1"/>
    <x v="3"/>
    <x v="4"/>
    <x v="2"/>
    <x v="1"/>
    <x v="2"/>
    <x v="1"/>
    <x v="2"/>
    <x v="0"/>
    <x v="1"/>
    <x v="6"/>
    <x v="2"/>
    <x v="55"/>
    <x v="5"/>
    <x v="0"/>
    <x v="0"/>
    <x v="1"/>
    <x v="0"/>
    <x v="0"/>
    <x v="0"/>
    <x v="0"/>
  </r>
  <r>
    <x v="920"/>
    <x v="141"/>
    <x v="141"/>
    <x v="139"/>
    <x v="731"/>
    <x v="1"/>
    <x v="2"/>
    <x v="145"/>
    <x v="125"/>
    <x v="1"/>
    <x v="15"/>
    <x v="0"/>
    <x v="0"/>
    <x v="1"/>
    <x v="3"/>
    <x v="3"/>
    <x v="2"/>
    <x v="1"/>
    <x v="2"/>
    <x v="1"/>
    <x v="1"/>
    <x v="215"/>
    <x v="1"/>
    <x v="1"/>
    <x v="2"/>
    <x v="140"/>
    <x v="13"/>
    <x v="3"/>
    <x v="0"/>
    <x v="1"/>
    <x v="0"/>
    <x v="534"/>
    <x v="267"/>
    <x v="280"/>
  </r>
  <r>
    <x v="921"/>
    <x v="459"/>
    <x v="455"/>
    <x v="449"/>
    <x v="732"/>
    <x v="1"/>
    <x v="2"/>
    <x v="464"/>
    <x v="357"/>
    <x v="1"/>
    <x v="15"/>
    <x v="0"/>
    <x v="0"/>
    <x v="3"/>
    <x v="1"/>
    <x v="1"/>
    <x v="2"/>
    <x v="1"/>
    <x v="2"/>
    <x v="1"/>
    <x v="2"/>
    <x v="0"/>
    <x v="1"/>
    <x v="3"/>
    <x v="4"/>
    <x v="457"/>
    <x v="2"/>
    <x v="0"/>
    <x v="0"/>
    <x v="1"/>
    <x v="0"/>
    <x v="0"/>
    <x v="0"/>
    <x v="0"/>
  </r>
  <r>
    <x v="922"/>
    <x v="141"/>
    <x v="141"/>
    <x v="139"/>
    <x v="733"/>
    <x v="1"/>
    <x v="2"/>
    <x v="145"/>
    <x v="125"/>
    <x v="1"/>
    <x v="15"/>
    <x v="0"/>
    <x v="0"/>
    <x v="1"/>
    <x v="1"/>
    <x v="1"/>
    <x v="2"/>
    <x v="1"/>
    <x v="2"/>
    <x v="1"/>
    <x v="2"/>
    <x v="0"/>
    <x v="1"/>
    <x v="1"/>
    <x v="2"/>
    <x v="140"/>
    <x v="4"/>
    <x v="0"/>
    <x v="0"/>
    <x v="1"/>
    <x v="0"/>
    <x v="0"/>
    <x v="0"/>
    <x v="0"/>
  </r>
  <r>
    <x v="923"/>
    <x v="460"/>
    <x v="456"/>
    <x v="450"/>
    <x v="734"/>
    <x v="1"/>
    <x v="2"/>
    <x v="465"/>
    <x v="199"/>
    <x v="1"/>
    <x v="2"/>
    <x v="0"/>
    <x v="0"/>
    <x v="1"/>
    <x v="1"/>
    <x v="1"/>
    <x v="2"/>
    <x v="1"/>
    <x v="2"/>
    <x v="1"/>
    <x v="1"/>
    <x v="216"/>
    <x v="1"/>
    <x v="1"/>
    <x v="2"/>
    <x v="458"/>
    <x v="4"/>
    <x v="3"/>
    <x v="0"/>
    <x v="1"/>
    <x v="0"/>
    <x v="535"/>
    <x v="268"/>
    <x v="281"/>
  </r>
  <r>
    <x v="924"/>
    <x v="461"/>
    <x v="457"/>
    <x v="451"/>
    <x v="735"/>
    <x v="1"/>
    <x v="3"/>
    <x v="466"/>
    <x v="227"/>
    <x v="1"/>
    <x v="176"/>
    <x v="0"/>
    <x v="0"/>
    <x v="1"/>
    <x v="1"/>
    <x v="1"/>
    <x v="2"/>
    <x v="2"/>
    <x v="2"/>
    <x v="1"/>
    <x v="2"/>
    <x v="0"/>
    <x v="1"/>
    <x v="4"/>
    <x v="2"/>
    <x v="459"/>
    <x v="12"/>
    <x v="0"/>
    <x v="0"/>
    <x v="1"/>
    <x v="0"/>
    <x v="0"/>
    <x v="0"/>
    <x v="0"/>
  </r>
  <r>
    <x v="925"/>
    <x v="462"/>
    <x v="458"/>
    <x v="452"/>
    <x v="736"/>
    <x v="1"/>
    <x v="2"/>
    <x v="467"/>
    <x v="196"/>
    <x v="6"/>
    <x v="12"/>
    <x v="0"/>
    <x v="22"/>
    <x v="1"/>
    <x v="3"/>
    <x v="3"/>
    <x v="2"/>
    <x v="1"/>
    <x v="2"/>
    <x v="1"/>
    <x v="1"/>
    <x v="216"/>
    <x v="1"/>
    <x v="1"/>
    <x v="2"/>
    <x v="460"/>
    <x v="12"/>
    <x v="3"/>
    <x v="0"/>
    <x v="1"/>
    <x v="0"/>
    <x v="536"/>
    <x v="269"/>
    <x v="0"/>
  </r>
  <r>
    <x v="926"/>
    <x v="463"/>
    <x v="459"/>
    <x v="453"/>
    <x v="737"/>
    <x v="1"/>
    <x v="1"/>
    <x v="468"/>
    <x v="10"/>
    <x v="1"/>
    <x v="177"/>
    <x v="0"/>
    <x v="0"/>
    <x v="1"/>
    <x v="1"/>
    <x v="1"/>
    <x v="1"/>
    <x v="2"/>
    <x v="1"/>
    <x v="1"/>
    <x v="2"/>
    <x v="0"/>
    <x v="1"/>
    <x v="1"/>
    <x v="2"/>
    <x v="461"/>
    <x v="2"/>
    <x v="0"/>
    <x v="0"/>
    <x v="1"/>
    <x v="0"/>
    <x v="0"/>
    <x v="0"/>
    <x v="0"/>
  </r>
  <r>
    <x v="927"/>
    <x v="464"/>
    <x v="460"/>
    <x v="454"/>
    <x v="738"/>
    <x v="1"/>
    <x v="2"/>
    <x v="469"/>
    <x v="212"/>
    <x v="1"/>
    <x v="22"/>
    <x v="0"/>
    <x v="0"/>
    <x v="1"/>
    <x v="2"/>
    <x v="3"/>
    <x v="1"/>
    <x v="1"/>
    <x v="2"/>
    <x v="1"/>
    <x v="1"/>
    <x v="212"/>
    <x v="1"/>
    <x v="1"/>
    <x v="2"/>
    <x v="462"/>
    <x v="12"/>
    <x v="1"/>
    <x v="4"/>
    <x v="1"/>
    <x v="0"/>
    <x v="537"/>
    <x v="0"/>
    <x v="282"/>
  </r>
  <r>
    <x v="928"/>
    <x v="465"/>
    <x v="461"/>
    <x v="455"/>
    <x v="739"/>
    <x v="3"/>
    <x v="2"/>
    <x v="470"/>
    <x v="294"/>
    <x v="1"/>
    <x v="33"/>
    <x v="0"/>
    <x v="0"/>
    <x v="1"/>
    <x v="3"/>
    <x v="3"/>
    <x v="2"/>
    <x v="1"/>
    <x v="2"/>
    <x v="1"/>
    <x v="1"/>
    <x v="212"/>
    <x v="1"/>
    <x v="1"/>
    <x v="2"/>
    <x v="463"/>
    <x v="12"/>
    <x v="1"/>
    <x v="7"/>
    <x v="2"/>
    <x v="1"/>
    <x v="538"/>
    <x v="0"/>
    <x v="283"/>
  </r>
  <r>
    <x v="929"/>
    <x v="466"/>
    <x v="462"/>
    <x v="456"/>
    <x v="740"/>
    <x v="1"/>
    <x v="2"/>
    <x v="471"/>
    <x v="358"/>
    <x v="1"/>
    <x v="178"/>
    <x v="0"/>
    <x v="0"/>
    <x v="1"/>
    <x v="1"/>
    <x v="1"/>
    <x v="2"/>
    <x v="1"/>
    <x v="2"/>
    <x v="1"/>
    <x v="2"/>
    <x v="0"/>
    <x v="1"/>
    <x v="1"/>
    <x v="2"/>
    <x v="464"/>
    <x v="12"/>
    <x v="0"/>
    <x v="0"/>
    <x v="1"/>
    <x v="0"/>
    <x v="0"/>
    <x v="0"/>
    <x v="0"/>
  </r>
  <r>
    <x v="930"/>
    <x v="141"/>
    <x v="141"/>
    <x v="139"/>
    <x v="741"/>
    <x v="1"/>
    <x v="1"/>
    <x v="145"/>
    <x v="125"/>
    <x v="1"/>
    <x v="3"/>
    <x v="0"/>
    <x v="0"/>
    <x v="1"/>
    <x v="1"/>
    <x v="1"/>
    <x v="2"/>
    <x v="1"/>
    <x v="2"/>
    <x v="1"/>
    <x v="2"/>
    <x v="0"/>
    <x v="1"/>
    <x v="5"/>
    <x v="2"/>
    <x v="140"/>
    <x v="12"/>
    <x v="0"/>
    <x v="0"/>
    <x v="1"/>
    <x v="0"/>
    <x v="0"/>
    <x v="0"/>
    <x v="0"/>
  </r>
  <r>
    <x v="931"/>
    <x v="467"/>
    <x v="463"/>
    <x v="457"/>
    <x v="742"/>
    <x v="1"/>
    <x v="2"/>
    <x v="472"/>
    <x v="76"/>
    <x v="2"/>
    <x v="0"/>
    <x v="2"/>
    <x v="0"/>
    <x v="1"/>
    <x v="1"/>
    <x v="1"/>
    <x v="2"/>
    <x v="1"/>
    <x v="2"/>
    <x v="1"/>
    <x v="2"/>
    <x v="0"/>
    <x v="1"/>
    <x v="5"/>
    <x v="2"/>
    <x v="465"/>
    <x v="12"/>
    <x v="0"/>
    <x v="0"/>
    <x v="1"/>
    <x v="0"/>
    <x v="0"/>
    <x v="0"/>
    <x v="0"/>
  </r>
  <r>
    <x v="932"/>
    <x v="468"/>
    <x v="461"/>
    <x v="455"/>
    <x v="743"/>
    <x v="3"/>
    <x v="2"/>
    <x v="473"/>
    <x v="294"/>
    <x v="1"/>
    <x v="33"/>
    <x v="0"/>
    <x v="0"/>
    <x v="3"/>
    <x v="1"/>
    <x v="1"/>
    <x v="2"/>
    <x v="1"/>
    <x v="2"/>
    <x v="1"/>
    <x v="1"/>
    <x v="217"/>
    <x v="1"/>
    <x v="3"/>
    <x v="4"/>
    <x v="463"/>
    <x v="12"/>
    <x v="1"/>
    <x v="1"/>
    <x v="1"/>
    <x v="0"/>
    <x v="539"/>
    <x v="270"/>
    <x v="284"/>
  </r>
  <r>
    <x v="933"/>
    <x v="469"/>
    <x v="464"/>
    <x v="458"/>
    <x v="744"/>
    <x v="1"/>
    <x v="1"/>
    <x v="474"/>
    <x v="359"/>
    <x v="1"/>
    <x v="179"/>
    <x v="0"/>
    <x v="0"/>
    <x v="1"/>
    <x v="1"/>
    <x v="1"/>
    <x v="1"/>
    <x v="1"/>
    <x v="3"/>
    <x v="1"/>
    <x v="2"/>
    <x v="0"/>
    <x v="1"/>
    <x v="1"/>
    <x v="5"/>
    <x v="466"/>
    <x v="2"/>
    <x v="0"/>
    <x v="0"/>
    <x v="1"/>
    <x v="0"/>
    <x v="0"/>
    <x v="0"/>
    <x v="0"/>
  </r>
  <r>
    <x v="934"/>
    <x v="470"/>
    <x v="465"/>
    <x v="459"/>
    <x v="745"/>
    <x v="1"/>
    <x v="4"/>
    <x v="475"/>
    <x v="205"/>
    <x v="1"/>
    <x v="180"/>
    <x v="0"/>
    <x v="0"/>
    <x v="1"/>
    <x v="1"/>
    <x v="1"/>
    <x v="1"/>
    <x v="1"/>
    <x v="2"/>
    <x v="1"/>
    <x v="2"/>
    <x v="0"/>
    <x v="1"/>
    <x v="5"/>
    <x v="2"/>
    <x v="467"/>
    <x v="12"/>
    <x v="0"/>
    <x v="0"/>
    <x v="1"/>
    <x v="0"/>
    <x v="0"/>
    <x v="0"/>
    <x v="0"/>
  </r>
  <r>
    <x v="935"/>
    <x v="141"/>
    <x v="141"/>
    <x v="139"/>
    <x v="746"/>
    <x v="1"/>
    <x v="1"/>
    <x v="145"/>
    <x v="125"/>
    <x v="2"/>
    <x v="0"/>
    <x v="2"/>
    <x v="0"/>
    <x v="1"/>
    <x v="3"/>
    <x v="3"/>
    <x v="2"/>
    <x v="1"/>
    <x v="2"/>
    <x v="1"/>
    <x v="1"/>
    <x v="217"/>
    <x v="1"/>
    <x v="6"/>
    <x v="2"/>
    <x v="140"/>
    <x v="5"/>
    <x v="3"/>
    <x v="0"/>
    <x v="1"/>
    <x v="0"/>
    <x v="540"/>
    <x v="0"/>
    <x v="285"/>
  </r>
  <r>
    <x v="936"/>
    <x v="471"/>
    <x v="466"/>
    <x v="460"/>
    <x v="747"/>
    <x v="1"/>
    <x v="2"/>
    <x v="476"/>
    <x v="341"/>
    <x v="1"/>
    <x v="33"/>
    <x v="0"/>
    <x v="0"/>
    <x v="1"/>
    <x v="1"/>
    <x v="2"/>
    <x v="2"/>
    <x v="1"/>
    <x v="2"/>
    <x v="1"/>
    <x v="1"/>
    <x v="207"/>
    <x v="1"/>
    <x v="6"/>
    <x v="2"/>
    <x v="468"/>
    <x v="5"/>
    <x v="1"/>
    <x v="7"/>
    <x v="2"/>
    <x v="1"/>
    <x v="541"/>
    <x v="0"/>
    <x v="0"/>
  </r>
  <r>
    <x v="937"/>
    <x v="468"/>
    <x v="461"/>
    <x v="455"/>
    <x v="0"/>
    <x v="1"/>
    <x v="2"/>
    <x v="473"/>
    <x v="294"/>
    <x v="1"/>
    <x v="33"/>
    <x v="0"/>
    <x v="0"/>
    <x v="3"/>
    <x v="1"/>
    <x v="1"/>
    <x v="2"/>
    <x v="1"/>
    <x v="2"/>
    <x v="1"/>
    <x v="1"/>
    <x v="207"/>
    <x v="2"/>
    <x v="3"/>
    <x v="4"/>
    <x v="463"/>
    <x v="5"/>
    <x v="3"/>
    <x v="0"/>
    <x v="1"/>
    <x v="0"/>
    <x v="542"/>
    <x v="0"/>
    <x v="0"/>
  </r>
  <r>
    <x v="938"/>
    <x v="472"/>
    <x v="467"/>
    <x v="461"/>
    <x v="748"/>
    <x v="3"/>
    <x v="3"/>
    <x v="477"/>
    <x v="360"/>
    <x v="1"/>
    <x v="9"/>
    <x v="0"/>
    <x v="0"/>
    <x v="1"/>
    <x v="1"/>
    <x v="1"/>
    <x v="2"/>
    <x v="1"/>
    <x v="2"/>
    <x v="1"/>
    <x v="1"/>
    <x v="218"/>
    <x v="1"/>
    <x v="6"/>
    <x v="2"/>
    <x v="469"/>
    <x v="5"/>
    <x v="1"/>
    <x v="1"/>
    <x v="1"/>
    <x v="0"/>
    <x v="543"/>
    <x v="271"/>
    <x v="0"/>
  </r>
  <r>
    <x v="939"/>
    <x v="141"/>
    <x v="141"/>
    <x v="139"/>
    <x v="749"/>
    <x v="1"/>
    <x v="1"/>
    <x v="145"/>
    <x v="125"/>
    <x v="2"/>
    <x v="0"/>
    <x v="2"/>
    <x v="0"/>
    <x v="1"/>
    <x v="3"/>
    <x v="3"/>
    <x v="2"/>
    <x v="1"/>
    <x v="2"/>
    <x v="1"/>
    <x v="1"/>
    <x v="219"/>
    <x v="1"/>
    <x v="6"/>
    <x v="2"/>
    <x v="140"/>
    <x v="12"/>
    <x v="3"/>
    <x v="0"/>
    <x v="1"/>
    <x v="0"/>
    <x v="544"/>
    <x v="272"/>
    <x v="286"/>
  </r>
  <r>
    <x v="940"/>
    <x v="471"/>
    <x v="466"/>
    <x v="460"/>
    <x v="750"/>
    <x v="1"/>
    <x v="2"/>
    <x v="476"/>
    <x v="341"/>
    <x v="1"/>
    <x v="33"/>
    <x v="0"/>
    <x v="0"/>
    <x v="3"/>
    <x v="1"/>
    <x v="1"/>
    <x v="2"/>
    <x v="1"/>
    <x v="2"/>
    <x v="1"/>
    <x v="1"/>
    <x v="219"/>
    <x v="1"/>
    <x v="3"/>
    <x v="4"/>
    <x v="468"/>
    <x v="12"/>
    <x v="1"/>
    <x v="1"/>
    <x v="1"/>
    <x v="0"/>
    <x v="545"/>
    <x v="273"/>
    <x v="0"/>
  </r>
  <r>
    <x v="941"/>
    <x v="128"/>
    <x v="128"/>
    <x v="126"/>
    <x v="751"/>
    <x v="1"/>
    <x v="2"/>
    <x v="82"/>
    <x v="361"/>
    <x v="1"/>
    <x v="181"/>
    <x v="0"/>
    <x v="0"/>
    <x v="1"/>
    <x v="1"/>
    <x v="1"/>
    <x v="2"/>
    <x v="1"/>
    <x v="3"/>
    <x v="1"/>
    <x v="1"/>
    <x v="219"/>
    <x v="1"/>
    <x v="1"/>
    <x v="2"/>
    <x v="127"/>
    <x v="4"/>
    <x v="3"/>
    <x v="0"/>
    <x v="1"/>
    <x v="0"/>
    <x v="546"/>
    <x v="0"/>
    <x v="287"/>
  </r>
  <r>
    <x v="942"/>
    <x v="451"/>
    <x v="447"/>
    <x v="442"/>
    <x v="0"/>
    <x v="1"/>
    <x v="2"/>
    <x v="457"/>
    <x v="351"/>
    <x v="1"/>
    <x v="70"/>
    <x v="0"/>
    <x v="0"/>
    <x v="3"/>
    <x v="1"/>
    <x v="1"/>
    <x v="2"/>
    <x v="1"/>
    <x v="2"/>
    <x v="1"/>
    <x v="2"/>
    <x v="0"/>
    <x v="2"/>
    <x v="3"/>
    <x v="4"/>
    <x v="450"/>
    <x v="4"/>
    <x v="0"/>
    <x v="0"/>
    <x v="1"/>
    <x v="0"/>
    <x v="0"/>
    <x v="0"/>
    <x v="0"/>
  </r>
  <r>
    <x v="943"/>
    <x v="441"/>
    <x v="437"/>
    <x v="432"/>
    <x v="752"/>
    <x v="1"/>
    <x v="2"/>
    <x v="447"/>
    <x v="310"/>
    <x v="1"/>
    <x v="182"/>
    <x v="0"/>
    <x v="0"/>
    <x v="1"/>
    <x v="3"/>
    <x v="3"/>
    <x v="2"/>
    <x v="1"/>
    <x v="2"/>
    <x v="1"/>
    <x v="1"/>
    <x v="220"/>
    <x v="1"/>
    <x v="1"/>
    <x v="2"/>
    <x v="440"/>
    <x v="13"/>
    <x v="1"/>
    <x v="4"/>
    <x v="2"/>
    <x v="1"/>
    <x v="547"/>
    <x v="274"/>
    <x v="0"/>
  </r>
  <r>
    <x v="944"/>
    <x v="472"/>
    <x v="467"/>
    <x v="461"/>
    <x v="0"/>
    <x v="1"/>
    <x v="3"/>
    <x v="477"/>
    <x v="360"/>
    <x v="1"/>
    <x v="9"/>
    <x v="0"/>
    <x v="0"/>
    <x v="3"/>
    <x v="1"/>
    <x v="1"/>
    <x v="2"/>
    <x v="1"/>
    <x v="2"/>
    <x v="1"/>
    <x v="1"/>
    <x v="220"/>
    <x v="2"/>
    <x v="3"/>
    <x v="4"/>
    <x v="469"/>
    <x v="5"/>
    <x v="1"/>
    <x v="1"/>
    <x v="1"/>
    <x v="0"/>
    <x v="548"/>
    <x v="275"/>
    <x v="288"/>
  </r>
  <r>
    <x v="945"/>
    <x v="471"/>
    <x v="466"/>
    <x v="460"/>
    <x v="0"/>
    <x v="1"/>
    <x v="2"/>
    <x v="476"/>
    <x v="341"/>
    <x v="1"/>
    <x v="33"/>
    <x v="0"/>
    <x v="0"/>
    <x v="3"/>
    <x v="1"/>
    <x v="1"/>
    <x v="2"/>
    <x v="1"/>
    <x v="2"/>
    <x v="1"/>
    <x v="1"/>
    <x v="221"/>
    <x v="2"/>
    <x v="3"/>
    <x v="4"/>
    <x v="468"/>
    <x v="5"/>
    <x v="1"/>
    <x v="1"/>
    <x v="1"/>
    <x v="0"/>
    <x v="549"/>
    <x v="0"/>
    <x v="0"/>
  </r>
  <r>
    <x v="946"/>
    <x v="473"/>
    <x v="468"/>
    <x v="462"/>
    <x v="753"/>
    <x v="3"/>
    <x v="1"/>
    <x v="478"/>
    <x v="362"/>
    <x v="1"/>
    <x v="183"/>
    <x v="0"/>
    <x v="0"/>
    <x v="1"/>
    <x v="1"/>
    <x v="1"/>
    <x v="2"/>
    <x v="1"/>
    <x v="2"/>
    <x v="1"/>
    <x v="2"/>
    <x v="0"/>
    <x v="1"/>
    <x v="1"/>
    <x v="2"/>
    <x v="470"/>
    <x v="4"/>
    <x v="0"/>
    <x v="0"/>
    <x v="1"/>
    <x v="0"/>
    <x v="0"/>
    <x v="0"/>
    <x v="0"/>
  </r>
  <r>
    <x v="947"/>
    <x v="474"/>
    <x v="469"/>
    <x v="463"/>
    <x v="754"/>
    <x v="1"/>
    <x v="2"/>
    <x v="479"/>
    <x v="117"/>
    <x v="2"/>
    <x v="0"/>
    <x v="2"/>
    <x v="0"/>
    <x v="1"/>
    <x v="2"/>
    <x v="3"/>
    <x v="2"/>
    <x v="1"/>
    <x v="2"/>
    <x v="1"/>
    <x v="1"/>
    <x v="220"/>
    <x v="1"/>
    <x v="5"/>
    <x v="2"/>
    <x v="471"/>
    <x v="5"/>
    <x v="1"/>
    <x v="1"/>
    <x v="1"/>
    <x v="0"/>
    <x v="550"/>
    <x v="0"/>
    <x v="289"/>
  </r>
  <r>
    <x v="948"/>
    <x v="474"/>
    <x v="469"/>
    <x v="463"/>
    <x v="0"/>
    <x v="1"/>
    <x v="2"/>
    <x v="479"/>
    <x v="117"/>
    <x v="2"/>
    <x v="0"/>
    <x v="2"/>
    <x v="0"/>
    <x v="3"/>
    <x v="1"/>
    <x v="1"/>
    <x v="2"/>
    <x v="1"/>
    <x v="2"/>
    <x v="1"/>
    <x v="2"/>
    <x v="0"/>
    <x v="2"/>
    <x v="3"/>
    <x v="4"/>
    <x v="471"/>
    <x v="5"/>
    <x v="0"/>
    <x v="0"/>
    <x v="1"/>
    <x v="0"/>
    <x v="0"/>
    <x v="0"/>
    <x v="0"/>
  </r>
  <r>
    <x v="949"/>
    <x v="472"/>
    <x v="467"/>
    <x v="461"/>
    <x v="0"/>
    <x v="3"/>
    <x v="3"/>
    <x v="477"/>
    <x v="360"/>
    <x v="1"/>
    <x v="9"/>
    <x v="0"/>
    <x v="0"/>
    <x v="3"/>
    <x v="4"/>
    <x v="1"/>
    <x v="2"/>
    <x v="1"/>
    <x v="2"/>
    <x v="1"/>
    <x v="2"/>
    <x v="0"/>
    <x v="2"/>
    <x v="3"/>
    <x v="4"/>
    <x v="469"/>
    <x v="5"/>
    <x v="0"/>
    <x v="0"/>
    <x v="1"/>
    <x v="0"/>
    <x v="0"/>
    <x v="0"/>
    <x v="0"/>
  </r>
  <r>
    <x v="950"/>
    <x v="441"/>
    <x v="437"/>
    <x v="432"/>
    <x v="755"/>
    <x v="1"/>
    <x v="2"/>
    <x v="447"/>
    <x v="310"/>
    <x v="1"/>
    <x v="184"/>
    <x v="0"/>
    <x v="0"/>
    <x v="3"/>
    <x v="1"/>
    <x v="1"/>
    <x v="2"/>
    <x v="1"/>
    <x v="1"/>
    <x v="1"/>
    <x v="2"/>
    <x v="0"/>
    <x v="1"/>
    <x v="3"/>
    <x v="4"/>
    <x v="440"/>
    <x v="1"/>
    <x v="0"/>
    <x v="0"/>
    <x v="1"/>
    <x v="0"/>
    <x v="0"/>
    <x v="0"/>
    <x v="0"/>
  </r>
  <r>
    <x v="951"/>
    <x v="475"/>
    <x v="470"/>
    <x v="464"/>
    <x v="756"/>
    <x v="1"/>
    <x v="1"/>
    <x v="248"/>
    <x v="80"/>
    <x v="1"/>
    <x v="36"/>
    <x v="0"/>
    <x v="0"/>
    <x v="1"/>
    <x v="1"/>
    <x v="1"/>
    <x v="2"/>
    <x v="1"/>
    <x v="2"/>
    <x v="1"/>
    <x v="1"/>
    <x v="220"/>
    <x v="1"/>
    <x v="1"/>
    <x v="2"/>
    <x v="472"/>
    <x v="5"/>
    <x v="1"/>
    <x v="1"/>
    <x v="2"/>
    <x v="1"/>
    <x v="551"/>
    <x v="0"/>
    <x v="290"/>
  </r>
  <r>
    <x v="952"/>
    <x v="438"/>
    <x v="434"/>
    <x v="429"/>
    <x v="757"/>
    <x v="1"/>
    <x v="2"/>
    <x v="444"/>
    <x v="339"/>
    <x v="1"/>
    <x v="31"/>
    <x v="0"/>
    <x v="0"/>
    <x v="1"/>
    <x v="1"/>
    <x v="1"/>
    <x v="2"/>
    <x v="1"/>
    <x v="2"/>
    <x v="1"/>
    <x v="1"/>
    <x v="220"/>
    <x v="1"/>
    <x v="1"/>
    <x v="2"/>
    <x v="437"/>
    <x v="5"/>
    <x v="3"/>
    <x v="0"/>
    <x v="1"/>
    <x v="0"/>
    <x v="552"/>
    <x v="0"/>
    <x v="291"/>
  </r>
  <r>
    <x v="953"/>
    <x v="172"/>
    <x v="172"/>
    <x v="170"/>
    <x v="758"/>
    <x v="1"/>
    <x v="2"/>
    <x v="181"/>
    <x v="37"/>
    <x v="2"/>
    <x v="0"/>
    <x v="2"/>
    <x v="0"/>
    <x v="1"/>
    <x v="1"/>
    <x v="1"/>
    <x v="2"/>
    <x v="1"/>
    <x v="2"/>
    <x v="1"/>
    <x v="1"/>
    <x v="220"/>
    <x v="1"/>
    <x v="1"/>
    <x v="2"/>
    <x v="171"/>
    <x v="5"/>
    <x v="1"/>
    <x v="4"/>
    <x v="1"/>
    <x v="0"/>
    <x v="0"/>
    <x v="0"/>
    <x v="0"/>
  </r>
  <r>
    <x v="954"/>
    <x v="299"/>
    <x v="300"/>
    <x v="295"/>
    <x v="759"/>
    <x v="2"/>
    <x v="2"/>
    <x v="314"/>
    <x v="196"/>
    <x v="6"/>
    <x v="0"/>
    <x v="0"/>
    <x v="4"/>
    <x v="1"/>
    <x v="1"/>
    <x v="2"/>
    <x v="2"/>
    <x v="2"/>
    <x v="3"/>
    <x v="1"/>
    <x v="1"/>
    <x v="222"/>
    <x v="1"/>
    <x v="1"/>
    <x v="2"/>
    <x v="301"/>
    <x v="1"/>
    <x v="3"/>
    <x v="0"/>
    <x v="1"/>
    <x v="0"/>
    <x v="553"/>
    <x v="276"/>
    <x v="0"/>
  </r>
  <r>
    <x v="955"/>
    <x v="209"/>
    <x v="207"/>
    <x v="205"/>
    <x v="760"/>
    <x v="1"/>
    <x v="2"/>
    <x v="218"/>
    <x v="103"/>
    <x v="2"/>
    <x v="0"/>
    <x v="5"/>
    <x v="0"/>
    <x v="1"/>
    <x v="2"/>
    <x v="3"/>
    <x v="2"/>
    <x v="1"/>
    <x v="2"/>
    <x v="1"/>
    <x v="1"/>
    <x v="221"/>
    <x v="1"/>
    <x v="1"/>
    <x v="2"/>
    <x v="209"/>
    <x v="5"/>
    <x v="1"/>
    <x v="1"/>
    <x v="1"/>
    <x v="0"/>
    <x v="554"/>
    <x v="277"/>
    <x v="0"/>
  </r>
  <r>
    <x v="956"/>
    <x v="475"/>
    <x v="470"/>
    <x v="464"/>
    <x v="761"/>
    <x v="1"/>
    <x v="1"/>
    <x v="248"/>
    <x v="80"/>
    <x v="1"/>
    <x v="36"/>
    <x v="0"/>
    <x v="0"/>
    <x v="3"/>
    <x v="2"/>
    <x v="3"/>
    <x v="2"/>
    <x v="1"/>
    <x v="2"/>
    <x v="1"/>
    <x v="1"/>
    <x v="221"/>
    <x v="2"/>
    <x v="3"/>
    <x v="4"/>
    <x v="472"/>
    <x v="5"/>
    <x v="1"/>
    <x v="1"/>
    <x v="1"/>
    <x v="0"/>
    <x v="555"/>
    <x v="278"/>
    <x v="292"/>
  </r>
  <r>
    <x v="957"/>
    <x v="172"/>
    <x v="172"/>
    <x v="170"/>
    <x v="762"/>
    <x v="1"/>
    <x v="2"/>
    <x v="181"/>
    <x v="37"/>
    <x v="1"/>
    <x v="4"/>
    <x v="0"/>
    <x v="0"/>
    <x v="3"/>
    <x v="3"/>
    <x v="3"/>
    <x v="2"/>
    <x v="1"/>
    <x v="2"/>
    <x v="1"/>
    <x v="1"/>
    <x v="221"/>
    <x v="1"/>
    <x v="3"/>
    <x v="4"/>
    <x v="171"/>
    <x v="1"/>
    <x v="3"/>
    <x v="0"/>
    <x v="1"/>
    <x v="0"/>
    <x v="556"/>
    <x v="279"/>
    <x v="0"/>
  </r>
  <r>
    <x v="958"/>
    <x v="200"/>
    <x v="198"/>
    <x v="196"/>
    <x v="763"/>
    <x v="1"/>
    <x v="2"/>
    <x v="209"/>
    <x v="171"/>
    <x v="1"/>
    <x v="15"/>
    <x v="0"/>
    <x v="0"/>
    <x v="1"/>
    <x v="2"/>
    <x v="3"/>
    <x v="1"/>
    <x v="2"/>
    <x v="2"/>
    <x v="1"/>
    <x v="1"/>
    <x v="221"/>
    <x v="1"/>
    <x v="5"/>
    <x v="2"/>
    <x v="473"/>
    <x v="5"/>
    <x v="1"/>
    <x v="1"/>
    <x v="1"/>
    <x v="0"/>
    <x v="557"/>
    <x v="0"/>
    <x v="293"/>
  </r>
  <r>
    <x v="959"/>
    <x v="476"/>
    <x v="471"/>
    <x v="465"/>
    <x v="764"/>
    <x v="3"/>
    <x v="1"/>
    <x v="480"/>
    <x v="10"/>
    <x v="1"/>
    <x v="22"/>
    <x v="0"/>
    <x v="0"/>
    <x v="1"/>
    <x v="1"/>
    <x v="1"/>
    <x v="2"/>
    <x v="1"/>
    <x v="2"/>
    <x v="1"/>
    <x v="2"/>
    <x v="0"/>
    <x v="1"/>
    <x v="5"/>
    <x v="2"/>
    <x v="474"/>
    <x v="5"/>
    <x v="0"/>
    <x v="0"/>
    <x v="1"/>
    <x v="0"/>
    <x v="0"/>
    <x v="0"/>
    <x v="0"/>
  </r>
  <r>
    <x v="960"/>
    <x v="477"/>
    <x v="198"/>
    <x v="196"/>
    <x v="0"/>
    <x v="1"/>
    <x v="2"/>
    <x v="209"/>
    <x v="171"/>
    <x v="1"/>
    <x v="15"/>
    <x v="0"/>
    <x v="0"/>
    <x v="3"/>
    <x v="2"/>
    <x v="3"/>
    <x v="1"/>
    <x v="2"/>
    <x v="2"/>
    <x v="1"/>
    <x v="1"/>
    <x v="221"/>
    <x v="2"/>
    <x v="3"/>
    <x v="4"/>
    <x v="473"/>
    <x v="5"/>
    <x v="3"/>
    <x v="0"/>
    <x v="1"/>
    <x v="0"/>
    <x v="558"/>
    <x v="280"/>
    <x v="293"/>
  </r>
  <r>
    <x v="961"/>
    <x v="464"/>
    <x v="460"/>
    <x v="454"/>
    <x v="765"/>
    <x v="1"/>
    <x v="2"/>
    <x v="469"/>
    <x v="212"/>
    <x v="1"/>
    <x v="2"/>
    <x v="0"/>
    <x v="0"/>
    <x v="1"/>
    <x v="2"/>
    <x v="3"/>
    <x v="2"/>
    <x v="1"/>
    <x v="2"/>
    <x v="1"/>
    <x v="1"/>
    <x v="221"/>
    <x v="1"/>
    <x v="1"/>
    <x v="2"/>
    <x v="462"/>
    <x v="5"/>
    <x v="3"/>
    <x v="0"/>
    <x v="1"/>
    <x v="0"/>
    <x v="559"/>
    <x v="0"/>
    <x v="0"/>
  </r>
  <r>
    <x v="962"/>
    <x v="471"/>
    <x v="466"/>
    <x v="460"/>
    <x v="0"/>
    <x v="1"/>
    <x v="2"/>
    <x v="476"/>
    <x v="341"/>
    <x v="1"/>
    <x v="33"/>
    <x v="0"/>
    <x v="0"/>
    <x v="3"/>
    <x v="5"/>
    <x v="1"/>
    <x v="2"/>
    <x v="1"/>
    <x v="2"/>
    <x v="1"/>
    <x v="2"/>
    <x v="0"/>
    <x v="2"/>
    <x v="3"/>
    <x v="4"/>
    <x v="468"/>
    <x v="5"/>
    <x v="0"/>
    <x v="0"/>
    <x v="1"/>
    <x v="0"/>
    <x v="0"/>
    <x v="0"/>
    <x v="0"/>
  </r>
  <r>
    <x v="963"/>
    <x v="478"/>
    <x v="472"/>
    <x v="466"/>
    <x v="766"/>
    <x v="1"/>
    <x v="2"/>
    <x v="481"/>
    <x v="359"/>
    <x v="1"/>
    <x v="9"/>
    <x v="0"/>
    <x v="0"/>
    <x v="1"/>
    <x v="3"/>
    <x v="3"/>
    <x v="2"/>
    <x v="1"/>
    <x v="2"/>
    <x v="1"/>
    <x v="1"/>
    <x v="222"/>
    <x v="1"/>
    <x v="1"/>
    <x v="2"/>
    <x v="475"/>
    <x v="13"/>
    <x v="1"/>
    <x v="4"/>
    <x v="1"/>
    <x v="0"/>
    <x v="560"/>
    <x v="0"/>
    <x v="0"/>
  </r>
  <r>
    <x v="964"/>
    <x v="479"/>
    <x v="473"/>
    <x v="467"/>
    <x v="767"/>
    <x v="1"/>
    <x v="2"/>
    <x v="482"/>
    <x v="363"/>
    <x v="2"/>
    <x v="0"/>
    <x v="2"/>
    <x v="0"/>
    <x v="1"/>
    <x v="1"/>
    <x v="1"/>
    <x v="2"/>
    <x v="1"/>
    <x v="1"/>
    <x v="1"/>
    <x v="1"/>
    <x v="221"/>
    <x v="2"/>
    <x v="1"/>
    <x v="2"/>
    <x v="476"/>
    <x v="1"/>
    <x v="1"/>
    <x v="4"/>
    <x v="1"/>
    <x v="0"/>
    <x v="561"/>
    <x v="0"/>
    <x v="0"/>
  </r>
  <r>
    <x v="965"/>
    <x v="480"/>
    <x v="474"/>
    <x v="468"/>
    <x v="768"/>
    <x v="1"/>
    <x v="2"/>
    <x v="483"/>
    <x v="161"/>
    <x v="1"/>
    <x v="15"/>
    <x v="0"/>
    <x v="0"/>
    <x v="1"/>
    <x v="5"/>
    <x v="1"/>
    <x v="2"/>
    <x v="1"/>
    <x v="1"/>
    <x v="1"/>
    <x v="1"/>
    <x v="222"/>
    <x v="2"/>
    <x v="1"/>
    <x v="2"/>
    <x v="477"/>
    <x v="1"/>
    <x v="1"/>
    <x v="4"/>
    <x v="1"/>
    <x v="0"/>
    <x v="562"/>
    <x v="0"/>
    <x v="0"/>
  </r>
  <r>
    <x v="966"/>
    <x v="209"/>
    <x v="207"/>
    <x v="205"/>
    <x v="0"/>
    <x v="1"/>
    <x v="2"/>
    <x v="218"/>
    <x v="103"/>
    <x v="2"/>
    <x v="0"/>
    <x v="5"/>
    <x v="0"/>
    <x v="3"/>
    <x v="4"/>
    <x v="1"/>
    <x v="2"/>
    <x v="1"/>
    <x v="2"/>
    <x v="1"/>
    <x v="2"/>
    <x v="0"/>
    <x v="2"/>
    <x v="3"/>
    <x v="4"/>
    <x v="209"/>
    <x v="5"/>
    <x v="0"/>
    <x v="0"/>
    <x v="1"/>
    <x v="0"/>
    <x v="0"/>
    <x v="0"/>
    <x v="0"/>
  </r>
  <r>
    <x v="967"/>
    <x v="481"/>
    <x v="475"/>
    <x v="469"/>
    <x v="769"/>
    <x v="1"/>
    <x v="3"/>
    <x v="484"/>
    <x v="364"/>
    <x v="1"/>
    <x v="15"/>
    <x v="0"/>
    <x v="0"/>
    <x v="1"/>
    <x v="1"/>
    <x v="1"/>
    <x v="1"/>
    <x v="1"/>
    <x v="2"/>
    <x v="2"/>
    <x v="1"/>
    <x v="221"/>
    <x v="1"/>
    <x v="1"/>
    <x v="2"/>
    <x v="478"/>
    <x v="4"/>
    <x v="1"/>
    <x v="2"/>
    <x v="1"/>
    <x v="0"/>
    <x v="563"/>
    <x v="0"/>
    <x v="0"/>
  </r>
  <r>
    <x v="968"/>
    <x v="479"/>
    <x v="473"/>
    <x v="467"/>
    <x v="0"/>
    <x v="1"/>
    <x v="2"/>
    <x v="482"/>
    <x v="161"/>
    <x v="1"/>
    <x v="15"/>
    <x v="0"/>
    <x v="0"/>
    <x v="3"/>
    <x v="1"/>
    <x v="1"/>
    <x v="2"/>
    <x v="1"/>
    <x v="1"/>
    <x v="1"/>
    <x v="2"/>
    <x v="0"/>
    <x v="2"/>
    <x v="3"/>
    <x v="4"/>
    <x v="476"/>
    <x v="1"/>
    <x v="0"/>
    <x v="0"/>
    <x v="1"/>
    <x v="0"/>
    <x v="0"/>
    <x v="0"/>
    <x v="0"/>
  </r>
  <r>
    <x v="969"/>
    <x v="481"/>
    <x v="475"/>
    <x v="469"/>
    <x v="769"/>
    <x v="1"/>
    <x v="3"/>
    <x v="484"/>
    <x v="364"/>
    <x v="1"/>
    <x v="15"/>
    <x v="0"/>
    <x v="0"/>
    <x v="3"/>
    <x v="4"/>
    <x v="1"/>
    <x v="1"/>
    <x v="1"/>
    <x v="2"/>
    <x v="2"/>
    <x v="1"/>
    <x v="222"/>
    <x v="2"/>
    <x v="3"/>
    <x v="4"/>
    <x v="478"/>
    <x v="4"/>
    <x v="1"/>
    <x v="4"/>
    <x v="2"/>
    <x v="1"/>
    <x v="564"/>
    <x v="0"/>
    <x v="0"/>
  </r>
  <r>
    <x v="970"/>
    <x v="475"/>
    <x v="470"/>
    <x v="464"/>
    <x v="0"/>
    <x v="1"/>
    <x v="1"/>
    <x v="248"/>
    <x v="80"/>
    <x v="1"/>
    <x v="36"/>
    <x v="0"/>
    <x v="0"/>
    <x v="3"/>
    <x v="1"/>
    <x v="1"/>
    <x v="2"/>
    <x v="1"/>
    <x v="2"/>
    <x v="1"/>
    <x v="2"/>
    <x v="0"/>
    <x v="2"/>
    <x v="3"/>
    <x v="4"/>
    <x v="472"/>
    <x v="5"/>
    <x v="0"/>
    <x v="0"/>
    <x v="1"/>
    <x v="0"/>
    <x v="0"/>
    <x v="0"/>
    <x v="0"/>
  </r>
  <r>
    <x v="971"/>
    <x v="478"/>
    <x v="472"/>
    <x v="466"/>
    <x v="0"/>
    <x v="1"/>
    <x v="2"/>
    <x v="481"/>
    <x v="359"/>
    <x v="1"/>
    <x v="9"/>
    <x v="0"/>
    <x v="0"/>
    <x v="3"/>
    <x v="4"/>
    <x v="1"/>
    <x v="2"/>
    <x v="1"/>
    <x v="2"/>
    <x v="1"/>
    <x v="2"/>
    <x v="0"/>
    <x v="2"/>
    <x v="3"/>
    <x v="4"/>
    <x v="475"/>
    <x v="1"/>
    <x v="0"/>
    <x v="0"/>
    <x v="1"/>
    <x v="0"/>
    <x v="0"/>
    <x v="0"/>
    <x v="0"/>
  </r>
  <r>
    <x v="972"/>
    <x v="480"/>
    <x v="474"/>
    <x v="468"/>
    <x v="0"/>
    <x v="1"/>
    <x v="2"/>
    <x v="483"/>
    <x v="161"/>
    <x v="1"/>
    <x v="15"/>
    <x v="0"/>
    <x v="0"/>
    <x v="3"/>
    <x v="1"/>
    <x v="1"/>
    <x v="2"/>
    <x v="1"/>
    <x v="1"/>
    <x v="1"/>
    <x v="2"/>
    <x v="0"/>
    <x v="2"/>
    <x v="3"/>
    <x v="4"/>
    <x v="477"/>
    <x v="1"/>
    <x v="0"/>
    <x v="0"/>
    <x v="1"/>
    <x v="0"/>
    <x v="0"/>
    <x v="0"/>
    <x v="0"/>
  </r>
  <r>
    <x v="973"/>
    <x v="481"/>
    <x v="475"/>
    <x v="469"/>
    <x v="770"/>
    <x v="1"/>
    <x v="3"/>
    <x v="484"/>
    <x v="364"/>
    <x v="1"/>
    <x v="15"/>
    <x v="0"/>
    <x v="0"/>
    <x v="3"/>
    <x v="1"/>
    <x v="1"/>
    <x v="2"/>
    <x v="1"/>
    <x v="2"/>
    <x v="2"/>
    <x v="2"/>
    <x v="0"/>
    <x v="1"/>
    <x v="3"/>
    <x v="4"/>
    <x v="478"/>
    <x v="1"/>
    <x v="0"/>
    <x v="0"/>
    <x v="1"/>
    <x v="0"/>
    <x v="0"/>
    <x v="0"/>
    <x v="0"/>
  </r>
  <r>
    <x v="974"/>
    <x v="482"/>
    <x v="476"/>
    <x v="470"/>
    <x v="771"/>
    <x v="3"/>
    <x v="1"/>
    <x v="485"/>
    <x v="115"/>
    <x v="1"/>
    <x v="4"/>
    <x v="0"/>
    <x v="0"/>
    <x v="1"/>
    <x v="3"/>
    <x v="3"/>
    <x v="2"/>
    <x v="1"/>
    <x v="2"/>
    <x v="1"/>
    <x v="1"/>
    <x v="223"/>
    <x v="1"/>
    <x v="1"/>
    <x v="2"/>
    <x v="479"/>
    <x v="12"/>
    <x v="3"/>
    <x v="0"/>
    <x v="1"/>
    <x v="0"/>
    <x v="565"/>
    <x v="281"/>
    <x v="294"/>
  </r>
  <r>
    <x v="975"/>
    <x v="483"/>
    <x v="477"/>
    <x v="471"/>
    <x v="772"/>
    <x v="3"/>
    <x v="2"/>
    <x v="486"/>
    <x v="150"/>
    <x v="1"/>
    <x v="4"/>
    <x v="0"/>
    <x v="0"/>
    <x v="1"/>
    <x v="3"/>
    <x v="3"/>
    <x v="2"/>
    <x v="1"/>
    <x v="3"/>
    <x v="1"/>
    <x v="1"/>
    <x v="223"/>
    <x v="1"/>
    <x v="1"/>
    <x v="2"/>
    <x v="480"/>
    <x v="1"/>
    <x v="1"/>
    <x v="7"/>
    <x v="1"/>
    <x v="0"/>
    <x v="566"/>
    <x v="0"/>
    <x v="295"/>
  </r>
  <r>
    <x v="976"/>
    <x v="484"/>
    <x v="478"/>
    <x v="472"/>
    <x v="773"/>
    <x v="3"/>
    <x v="6"/>
    <x v="487"/>
    <x v="279"/>
    <x v="1"/>
    <x v="15"/>
    <x v="0"/>
    <x v="0"/>
    <x v="2"/>
    <x v="7"/>
    <x v="3"/>
    <x v="2"/>
    <x v="1"/>
    <x v="3"/>
    <x v="1"/>
    <x v="2"/>
    <x v="0"/>
    <x v="3"/>
    <x v="1"/>
    <x v="2"/>
    <x v="481"/>
    <x v="12"/>
    <x v="0"/>
    <x v="0"/>
    <x v="1"/>
    <x v="0"/>
    <x v="0"/>
    <x v="0"/>
    <x v="0"/>
  </r>
  <r>
    <x v="977"/>
    <x v="485"/>
    <x v="479"/>
    <x v="473"/>
    <x v="774"/>
    <x v="1"/>
    <x v="2"/>
    <x v="488"/>
    <x v="312"/>
    <x v="1"/>
    <x v="9"/>
    <x v="0"/>
    <x v="0"/>
    <x v="1"/>
    <x v="1"/>
    <x v="1"/>
    <x v="2"/>
    <x v="2"/>
    <x v="1"/>
    <x v="1"/>
    <x v="2"/>
    <x v="0"/>
    <x v="1"/>
    <x v="6"/>
    <x v="2"/>
    <x v="482"/>
    <x v="12"/>
    <x v="0"/>
    <x v="0"/>
    <x v="1"/>
    <x v="0"/>
    <x v="0"/>
    <x v="0"/>
    <x v="0"/>
  </r>
  <r>
    <x v="978"/>
    <x v="486"/>
    <x v="26"/>
    <x v="26"/>
    <x v="775"/>
    <x v="1"/>
    <x v="2"/>
    <x v="28"/>
    <x v="71"/>
    <x v="1"/>
    <x v="3"/>
    <x v="0"/>
    <x v="0"/>
    <x v="1"/>
    <x v="3"/>
    <x v="2"/>
    <x v="2"/>
    <x v="1"/>
    <x v="2"/>
    <x v="1"/>
    <x v="1"/>
    <x v="224"/>
    <x v="1"/>
    <x v="6"/>
    <x v="2"/>
    <x v="26"/>
    <x v="12"/>
    <x v="1"/>
    <x v="1"/>
    <x v="1"/>
    <x v="0"/>
    <x v="567"/>
    <x v="282"/>
    <x v="0"/>
  </r>
  <r>
    <x v="979"/>
    <x v="483"/>
    <x v="477"/>
    <x v="471"/>
    <x v="0"/>
    <x v="1"/>
    <x v="2"/>
    <x v="486"/>
    <x v="150"/>
    <x v="1"/>
    <x v="4"/>
    <x v="0"/>
    <x v="0"/>
    <x v="3"/>
    <x v="1"/>
    <x v="1"/>
    <x v="2"/>
    <x v="1"/>
    <x v="2"/>
    <x v="1"/>
    <x v="2"/>
    <x v="0"/>
    <x v="2"/>
    <x v="3"/>
    <x v="4"/>
    <x v="480"/>
    <x v="12"/>
    <x v="0"/>
    <x v="0"/>
    <x v="1"/>
    <x v="0"/>
    <x v="0"/>
    <x v="0"/>
    <x v="0"/>
  </r>
  <r>
    <x v="980"/>
    <x v="115"/>
    <x v="114"/>
    <x v="113"/>
    <x v="776"/>
    <x v="3"/>
    <x v="2"/>
    <x v="120"/>
    <x v="111"/>
    <x v="1"/>
    <x v="22"/>
    <x v="0"/>
    <x v="0"/>
    <x v="1"/>
    <x v="1"/>
    <x v="1"/>
    <x v="1"/>
    <x v="1"/>
    <x v="2"/>
    <x v="1"/>
    <x v="1"/>
    <x v="225"/>
    <x v="1"/>
    <x v="6"/>
    <x v="2"/>
    <x v="114"/>
    <x v="12"/>
    <x v="1"/>
    <x v="4"/>
    <x v="2"/>
    <x v="1"/>
    <x v="568"/>
    <x v="0"/>
    <x v="296"/>
  </r>
  <r>
    <x v="981"/>
    <x v="487"/>
    <x v="480"/>
    <x v="474"/>
    <x v="777"/>
    <x v="1"/>
    <x v="2"/>
    <x v="489"/>
    <x v="365"/>
    <x v="1"/>
    <x v="185"/>
    <x v="0"/>
    <x v="0"/>
    <x v="1"/>
    <x v="1"/>
    <x v="1"/>
    <x v="2"/>
    <x v="1"/>
    <x v="2"/>
    <x v="1"/>
    <x v="2"/>
    <x v="0"/>
    <x v="1"/>
    <x v="6"/>
    <x v="2"/>
    <x v="483"/>
    <x v="12"/>
    <x v="0"/>
    <x v="0"/>
    <x v="1"/>
    <x v="0"/>
    <x v="0"/>
    <x v="0"/>
    <x v="0"/>
  </r>
  <r>
    <x v="982"/>
    <x v="115"/>
    <x v="114"/>
    <x v="113"/>
    <x v="778"/>
    <x v="3"/>
    <x v="2"/>
    <x v="120"/>
    <x v="111"/>
    <x v="1"/>
    <x v="22"/>
    <x v="0"/>
    <x v="0"/>
    <x v="3"/>
    <x v="1"/>
    <x v="1"/>
    <x v="1"/>
    <x v="1"/>
    <x v="2"/>
    <x v="1"/>
    <x v="2"/>
    <x v="0"/>
    <x v="1"/>
    <x v="3"/>
    <x v="4"/>
    <x v="114"/>
    <x v="1"/>
    <x v="0"/>
    <x v="0"/>
    <x v="1"/>
    <x v="0"/>
    <x v="0"/>
    <x v="0"/>
    <x v="297"/>
  </r>
  <r>
    <x v="983"/>
    <x v="488"/>
    <x v="481"/>
    <x v="475"/>
    <x v="779"/>
    <x v="3"/>
    <x v="2"/>
    <x v="490"/>
    <x v="366"/>
    <x v="1"/>
    <x v="2"/>
    <x v="0"/>
    <x v="0"/>
    <x v="1"/>
    <x v="3"/>
    <x v="2"/>
    <x v="2"/>
    <x v="1"/>
    <x v="3"/>
    <x v="1"/>
    <x v="1"/>
    <x v="224"/>
    <x v="1"/>
    <x v="1"/>
    <x v="2"/>
    <x v="484"/>
    <x v="1"/>
    <x v="3"/>
    <x v="0"/>
    <x v="1"/>
    <x v="0"/>
    <x v="569"/>
    <x v="0"/>
    <x v="0"/>
  </r>
  <r>
    <x v="984"/>
    <x v="486"/>
    <x v="26"/>
    <x v="26"/>
    <x v="0"/>
    <x v="1"/>
    <x v="2"/>
    <x v="28"/>
    <x v="71"/>
    <x v="1"/>
    <x v="3"/>
    <x v="0"/>
    <x v="0"/>
    <x v="3"/>
    <x v="1"/>
    <x v="1"/>
    <x v="2"/>
    <x v="1"/>
    <x v="2"/>
    <x v="1"/>
    <x v="2"/>
    <x v="0"/>
    <x v="2"/>
    <x v="3"/>
    <x v="4"/>
    <x v="26"/>
    <x v="5"/>
    <x v="0"/>
    <x v="0"/>
    <x v="1"/>
    <x v="0"/>
    <x v="0"/>
    <x v="0"/>
    <x v="0"/>
  </r>
  <r>
    <x v="985"/>
    <x v="489"/>
    <x v="482"/>
    <x v="476"/>
    <x v="780"/>
    <x v="1"/>
    <x v="2"/>
    <x v="491"/>
    <x v="303"/>
    <x v="1"/>
    <x v="8"/>
    <x v="0"/>
    <x v="0"/>
    <x v="1"/>
    <x v="1"/>
    <x v="1"/>
    <x v="2"/>
    <x v="1"/>
    <x v="2"/>
    <x v="1"/>
    <x v="1"/>
    <x v="226"/>
    <x v="1"/>
    <x v="1"/>
    <x v="2"/>
    <x v="485"/>
    <x v="5"/>
    <x v="1"/>
    <x v="1"/>
    <x v="1"/>
    <x v="0"/>
    <x v="570"/>
    <x v="0"/>
    <x v="0"/>
  </r>
  <r>
    <x v="986"/>
    <x v="388"/>
    <x v="388"/>
    <x v="383"/>
    <x v="781"/>
    <x v="1"/>
    <x v="2"/>
    <x v="403"/>
    <x v="10"/>
    <x v="1"/>
    <x v="31"/>
    <x v="0"/>
    <x v="0"/>
    <x v="1"/>
    <x v="1"/>
    <x v="1"/>
    <x v="1"/>
    <x v="2"/>
    <x v="2"/>
    <x v="1"/>
    <x v="1"/>
    <x v="226"/>
    <x v="1"/>
    <x v="1"/>
    <x v="2"/>
    <x v="486"/>
    <x v="1"/>
    <x v="1"/>
    <x v="4"/>
    <x v="2"/>
    <x v="1"/>
    <x v="571"/>
    <x v="0"/>
    <x v="0"/>
  </r>
  <r>
    <x v="987"/>
    <x v="490"/>
    <x v="483"/>
    <x v="477"/>
    <x v="782"/>
    <x v="1"/>
    <x v="2"/>
    <x v="492"/>
    <x v="10"/>
    <x v="1"/>
    <x v="186"/>
    <x v="0"/>
    <x v="0"/>
    <x v="1"/>
    <x v="1"/>
    <x v="1"/>
    <x v="1"/>
    <x v="1"/>
    <x v="3"/>
    <x v="1"/>
    <x v="2"/>
    <x v="0"/>
    <x v="1"/>
    <x v="1"/>
    <x v="2"/>
    <x v="487"/>
    <x v="4"/>
    <x v="0"/>
    <x v="0"/>
    <x v="1"/>
    <x v="0"/>
    <x v="0"/>
    <x v="0"/>
    <x v="0"/>
  </r>
  <r>
    <x v="988"/>
    <x v="491"/>
    <x v="484"/>
    <x v="478"/>
    <x v="783"/>
    <x v="1"/>
    <x v="2"/>
    <x v="493"/>
    <x v="367"/>
    <x v="1"/>
    <x v="187"/>
    <x v="0"/>
    <x v="0"/>
    <x v="1"/>
    <x v="3"/>
    <x v="2"/>
    <x v="2"/>
    <x v="1"/>
    <x v="1"/>
    <x v="1"/>
    <x v="1"/>
    <x v="226"/>
    <x v="1"/>
    <x v="1"/>
    <x v="2"/>
    <x v="488"/>
    <x v="13"/>
    <x v="3"/>
    <x v="0"/>
    <x v="1"/>
    <x v="0"/>
    <x v="572"/>
    <x v="283"/>
    <x v="0"/>
  </r>
  <r>
    <x v="989"/>
    <x v="154"/>
    <x v="154"/>
    <x v="152"/>
    <x v="784"/>
    <x v="1"/>
    <x v="2"/>
    <x v="160"/>
    <x v="114"/>
    <x v="1"/>
    <x v="188"/>
    <x v="0"/>
    <x v="0"/>
    <x v="1"/>
    <x v="1"/>
    <x v="1"/>
    <x v="2"/>
    <x v="1"/>
    <x v="3"/>
    <x v="1"/>
    <x v="1"/>
    <x v="226"/>
    <x v="1"/>
    <x v="1"/>
    <x v="2"/>
    <x v="153"/>
    <x v="1"/>
    <x v="1"/>
    <x v="4"/>
    <x v="2"/>
    <x v="1"/>
    <x v="573"/>
    <x v="0"/>
    <x v="298"/>
  </r>
  <r>
    <x v="990"/>
    <x v="440"/>
    <x v="436"/>
    <x v="431"/>
    <x v="785"/>
    <x v="1"/>
    <x v="1"/>
    <x v="446"/>
    <x v="10"/>
    <x v="1"/>
    <x v="15"/>
    <x v="0"/>
    <x v="0"/>
    <x v="1"/>
    <x v="1"/>
    <x v="1"/>
    <x v="2"/>
    <x v="1"/>
    <x v="3"/>
    <x v="1"/>
    <x v="1"/>
    <x v="226"/>
    <x v="2"/>
    <x v="1"/>
    <x v="2"/>
    <x v="439"/>
    <x v="4"/>
    <x v="1"/>
    <x v="1"/>
    <x v="1"/>
    <x v="0"/>
    <x v="574"/>
    <x v="0"/>
    <x v="299"/>
  </r>
  <r>
    <x v="991"/>
    <x v="388"/>
    <x v="388"/>
    <x v="383"/>
    <x v="786"/>
    <x v="1"/>
    <x v="2"/>
    <x v="403"/>
    <x v="10"/>
    <x v="1"/>
    <x v="31"/>
    <x v="0"/>
    <x v="0"/>
    <x v="3"/>
    <x v="1"/>
    <x v="1"/>
    <x v="2"/>
    <x v="1"/>
    <x v="3"/>
    <x v="1"/>
    <x v="2"/>
    <x v="0"/>
    <x v="1"/>
    <x v="3"/>
    <x v="4"/>
    <x v="486"/>
    <x v="1"/>
    <x v="0"/>
    <x v="0"/>
    <x v="1"/>
    <x v="0"/>
    <x v="0"/>
    <x v="0"/>
    <x v="0"/>
  </r>
  <r>
    <x v="992"/>
    <x v="492"/>
    <x v="485"/>
    <x v="479"/>
    <x v="787"/>
    <x v="1"/>
    <x v="3"/>
    <x v="494"/>
    <x v="269"/>
    <x v="1"/>
    <x v="2"/>
    <x v="0"/>
    <x v="0"/>
    <x v="1"/>
    <x v="1"/>
    <x v="1"/>
    <x v="2"/>
    <x v="2"/>
    <x v="3"/>
    <x v="1"/>
    <x v="1"/>
    <x v="226"/>
    <x v="1"/>
    <x v="1"/>
    <x v="2"/>
    <x v="489"/>
    <x v="5"/>
    <x v="3"/>
    <x v="0"/>
    <x v="1"/>
    <x v="0"/>
    <x v="575"/>
    <x v="0"/>
    <x v="194"/>
  </r>
  <r>
    <x v="993"/>
    <x v="154"/>
    <x v="154"/>
    <x v="152"/>
    <x v="788"/>
    <x v="1"/>
    <x v="2"/>
    <x v="160"/>
    <x v="114"/>
    <x v="1"/>
    <x v="188"/>
    <x v="0"/>
    <x v="0"/>
    <x v="3"/>
    <x v="1"/>
    <x v="1"/>
    <x v="2"/>
    <x v="1"/>
    <x v="3"/>
    <x v="1"/>
    <x v="2"/>
    <x v="0"/>
    <x v="1"/>
    <x v="3"/>
    <x v="4"/>
    <x v="153"/>
    <x v="1"/>
    <x v="0"/>
    <x v="0"/>
    <x v="1"/>
    <x v="0"/>
    <x v="0"/>
    <x v="0"/>
    <x v="0"/>
  </r>
  <r>
    <x v="994"/>
    <x v="489"/>
    <x v="482"/>
    <x v="476"/>
    <x v="0"/>
    <x v="1"/>
    <x v="2"/>
    <x v="491"/>
    <x v="303"/>
    <x v="1"/>
    <x v="8"/>
    <x v="0"/>
    <x v="0"/>
    <x v="3"/>
    <x v="1"/>
    <x v="1"/>
    <x v="2"/>
    <x v="1"/>
    <x v="2"/>
    <x v="1"/>
    <x v="2"/>
    <x v="0"/>
    <x v="2"/>
    <x v="3"/>
    <x v="4"/>
    <x v="485"/>
    <x v="5"/>
    <x v="0"/>
    <x v="0"/>
    <x v="1"/>
    <x v="0"/>
    <x v="0"/>
    <x v="0"/>
    <x v="0"/>
  </r>
  <r>
    <x v="995"/>
    <x v="440"/>
    <x v="436"/>
    <x v="431"/>
    <x v="0"/>
    <x v="1"/>
    <x v="1"/>
    <x v="446"/>
    <x v="10"/>
    <x v="1"/>
    <x v="15"/>
    <x v="0"/>
    <x v="0"/>
    <x v="3"/>
    <x v="1"/>
    <x v="1"/>
    <x v="2"/>
    <x v="1"/>
    <x v="3"/>
    <x v="1"/>
    <x v="1"/>
    <x v="227"/>
    <x v="2"/>
    <x v="3"/>
    <x v="4"/>
    <x v="439"/>
    <x v="5"/>
    <x v="1"/>
    <x v="4"/>
    <x v="1"/>
    <x v="0"/>
    <x v="576"/>
    <x v="284"/>
    <x v="0"/>
  </r>
  <r>
    <x v="996"/>
    <x v="464"/>
    <x v="460"/>
    <x v="454"/>
    <x v="789"/>
    <x v="1"/>
    <x v="2"/>
    <x v="469"/>
    <x v="170"/>
    <x v="1"/>
    <x v="15"/>
    <x v="0"/>
    <x v="0"/>
    <x v="1"/>
    <x v="3"/>
    <x v="3"/>
    <x v="1"/>
    <x v="1"/>
    <x v="1"/>
    <x v="1"/>
    <x v="1"/>
    <x v="227"/>
    <x v="1"/>
    <x v="1"/>
    <x v="2"/>
    <x v="462"/>
    <x v="1"/>
    <x v="3"/>
    <x v="0"/>
    <x v="1"/>
    <x v="0"/>
    <x v="577"/>
    <x v="285"/>
    <x v="0"/>
  </r>
  <r>
    <x v="997"/>
    <x v="223"/>
    <x v="222"/>
    <x v="219"/>
    <x v="790"/>
    <x v="1"/>
    <x v="2"/>
    <x v="233"/>
    <x v="191"/>
    <x v="1"/>
    <x v="1"/>
    <x v="0"/>
    <x v="0"/>
    <x v="1"/>
    <x v="2"/>
    <x v="3"/>
    <x v="2"/>
    <x v="1"/>
    <x v="2"/>
    <x v="1"/>
    <x v="1"/>
    <x v="227"/>
    <x v="1"/>
    <x v="5"/>
    <x v="2"/>
    <x v="223"/>
    <x v="5"/>
    <x v="3"/>
    <x v="0"/>
    <x v="1"/>
    <x v="0"/>
    <x v="578"/>
    <x v="285"/>
    <x v="0"/>
  </r>
  <r>
    <x v="998"/>
    <x v="493"/>
    <x v="486"/>
    <x v="480"/>
    <x v="791"/>
    <x v="1"/>
    <x v="2"/>
    <x v="495"/>
    <x v="316"/>
    <x v="1"/>
    <x v="3"/>
    <x v="0"/>
    <x v="0"/>
    <x v="1"/>
    <x v="1"/>
    <x v="2"/>
    <x v="2"/>
    <x v="1"/>
    <x v="2"/>
    <x v="1"/>
    <x v="1"/>
    <x v="227"/>
    <x v="1"/>
    <x v="5"/>
    <x v="2"/>
    <x v="490"/>
    <x v="5"/>
    <x v="1"/>
    <x v="1"/>
    <x v="1"/>
    <x v="0"/>
    <x v="579"/>
    <x v="0"/>
    <x v="0"/>
  </r>
  <r>
    <x v="999"/>
    <x v="388"/>
    <x v="388"/>
    <x v="383"/>
    <x v="792"/>
    <x v="1"/>
    <x v="2"/>
    <x v="403"/>
    <x v="10"/>
    <x v="1"/>
    <x v="8"/>
    <x v="0"/>
    <x v="0"/>
    <x v="1"/>
    <x v="1"/>
    <x v="1"/>
    <x v="2"/>
    <x v="1"/>
    <x v="2"/>
    <x v="1"/>
    <x v="1"/>
    <x v="228"/>
    <x v="1"/>
    <x v="1"/>
    <x v="2"/>
    <x v="486"/>
    <x v="13"/>
    <x v="3"/>
    <x v="0"/>
    <x v="1"/>
    <x v="0"/>
    <x v="580"/>
    <x v="286"/>
    <x v="286"/>
  </r>
  <r>
    <x v="1000"/>
    <x v="438"/>
    <x v="434"/>
    <x v="429"/>
    <x v="793"/>
    <x v="1"/>
    <x v="2"/>
    <x v="444"/>
    <x v="339"/>
    <x v="1"/>
    <x v="9"/>
    <x v="0"/>
    <x v="0"/>
    <x v="1"/>
    <x v="3"/>
    <x v="3"/>
    <x v="2"/>
    <x v="1"/>
    <x v="2"/>
    <x v="1"/>
    <x v="1"/>
    <x v="227"/>
    <x v="2"/>
    <x v="1"/>
    <x v="2"/>
    <x v="437"/>
    <x v="5"/>
    <x v="3"/>
    <x v="0"/>
    <x v="1"/>
    <x v="0"/>
    <x v="581"/>
    <x v="287"/>
    <x v="0"/>
  </r>
  <r>
    <x v="1001"/>
    <x v="494"/>
    <x v="487"/>
    <x v="481"/>
    <x v="794"/>
    <x v="1"/>
    <x v="2"/>
    <x v="496"/>
    <x v="76"/>
    <x v="2"/>
    <x v="0"/>
    <x v="2"/>
    <x v="0"/>
    <x v="1"/>
    <x v="1"/>
    <x v="1"/>
    <x v="2"/>
    <x v="1"/>
    <x v="2"/>
    <x v="1"/>
    <x v="2"/>
    <x v="0"/>
    <x v="1"/>
    <x v="1"/>
    <x v="2"/>
    <x v="491"/>
    <x v="5"/>
    <x v="0"/>
    <x v="0"/>
    <x v="1"/>
    <x v="0"/>
    <x v="0"/>
    <x v="0"/>
    <x v="0"/>
  </r>
  <r>
    <x v="1002"/>
    <x v="440"/>
    <x v="436"/>
    <x v="431"/>
    <x v="0"/>
    <x v="1"/>
    <x v="1"/>
    <x v="446"/>
    <x v="10"/>
    <x v="1"/>
    <x v="15"/>
    <x v="0"/>
    <x v="0"/>
    <x v="3"/>
    <x v="1"/>
    <x v="1"/>
    <x v="2"/>
    <x v="1"/>
    <x v="3"/>
    <x v="1"/>
    <x v="2"/>
    <x v="0"/>
    <x v="2"/>
    <x v="3"/>
    <x v="4"/>
    <x v="439"/>
    <x v="1"/>
    <x v="0"/>
    <x v="0"/>
    <x v="1"/>
    <x v="0"/>
    <x v="0"/>
    <x v="0"/>
    <x v="0"/>
  </r>
  <r>
    <x v="1003"/>
    <x v="415"/>
    <x v="412"/>
    <x v="407"/>
    <x v="795"/>
    <x v="1"/>
    <x v="2"/>
    <x v="425"/>
    <x v="327"/>
    <x v="1"/>
    <x v="15"/>
    <x v="0"/>
    <x v="0"/>
    <x v="1"/>
    <x v="1"/>
    <x v="1"/>
    <x v="2"/>
    <x v="1"/>
    <x v="1"/>
    <x v="1"/>
    <x v="1"/>
    <x v="228"/>
    <x v="1"/>
    <x v="1"/>
    <x v="2"/>
    <x v="415"/>
    <x v="13"/>
    <x v="3"/>
    <x v="0"/>
    <x v="1"/>
    <x v="0"/>
    <x v="582"/>
    <x v="0"/>
    <x v="0"/>
  </r>
  <r>
    <x v="1004"/>
    <x v="495"/>
    <x v="488"/>
    <x v="482"/>
    <x v="796"/>
    <x v="1"/>
    <x v="1"/>
    <x v="497"/>
    <x v="177"/>
    <x v="1"/>
    <x v="15"/>
    <x v="0"/>
    <x v="0"/>
    <x v="1"/>
    <x v="3"/>
    <x v="2"/>
    <x v="1"/>
    <x v="1"/>
    <x v="2"/>
    <x v="1"/>
    <x v="1"/>
    <x v="227"/>
    <x v="1"/>
    <x v="1"/>
    <x v="2"/>
    <x v="492"/>
    <x v="5"/>
    <x v="1"/>
    <x v="1"/>
    <x v="1"/>
    <x v="0"/>
    <x v="583"/>
    <x v="0"/>
    <x v="300"/>
  </r>
  <r>
    <x v="1005"/>
    <x v="496"/>
    <x v="486"/>
    <x v="480"/>
    <x v="0"/>
    <x v="1"/>
    <x v="2"/>
    <x v="495"/>
    <x v="166"/>
    <x v="1"/>
    <x v="3"/>
    <x v="0"/>
    <x v="0"/>
    <x v="3"/>
    <x v="1"/>
    <x v="1"/>
    <x v="2"/>
    <x v="1"/>
    <x v="2"/>
    <x v="1"/>
    <x v="1"/>
    <x v="229"/>
    <x v="2"/>
    <x v="3"/>
    <x v="4"/>
    <x v="490"/>
    <x v="5"/>
    <x v="1"/>
    <x v="4"/>
    <x v="2"/>
    <x v="1"/>
    <x v="584"/>
    <x v="0"/>
    <x v="0"/>
  </r>
  <r>
    <x v="1006"/>
    <x v="497"/>
    <x v="489"/>
    <x v="483"/>
    <x v="797"/>
    <x v="1"/>
    <x v="1"/>
    <x v="498"/>
    <x v="368"/>
    <x v="1"/>
    <x v="189"/>
    <x v="0"/>
    <x v="0"/>
    <x v="1"/>
    <x v="1"/>
    <x v="1"/>
    <x v="2"/>
    <x v="1"/>
    <x v="2"/>
    <x v="1"/>
    <x v="2"/>
    <x v="0"/>
    <x v="1"/>
    <x v="1"/>
    <x v="2"/>
    <x v="493"/>
    <x v="12"/>
    <x v="0"/>
    <x v="0"/>
    <x v="1"/>
    <x v="0"/>
    <x v="0"/>
    <x v="0"/>
    <x v="0"/>
  </r>
  <r>
    <x v="1007"/>
    <x v="491"/>
    <x v="484"/>
    <x v="478"/>
    <x v="798"/>
    <x v="1"/>
    <x v="2"/>
    <x v="499"/>
    <x v="367"/>
    <x v="1"/>
    <x v="22"/>
    <x v="0"/>
    <x v="0"/>
    <x v="1"/>
    <x v="1"/>
    <x v="1"/>
    <x v="2"/>
    <x v="1"/>
    <x v="2"/>
    <x v="2"/>
    <x v="1"/>
    <x v="230"/>
    <x v="1"/>
    <x v="1"/>
    <x v="2"/>
    <x v="488"/>
    <x v="12"/>
    <x v="3"/>
    <x v="0"/>
    <x v="1"/>
    <x v="0"/>
    <x v="585"/>
    <x v="288"/>
    <x v="0"/>
  </r>
  <r>
    <x v="1008"/>
    <x v="498"/>
    <x v="490"/>
    <x v="450"/>
    <x v="799"/>
    <x v="1"/>
    <x v="3"/>
    <x v="465"/>
    <x v="199"/>
    <x v="1"/>
    <x v="64"/>
    <x v="0"/>
    <x v="0"/>
    <x v="1"/>
    <x v="3"/>
    <x v="2"/>
    <x v="2"/>
    <x v="2"/>
    <x v="3"/>
    <x v="1"/>
    <x v="1"/>
    <x v="229"/>
    <x v="1"/>
    <x v="1"/>
    <x v="2"/>
    <x v="458"/>
    <x v="1"/>
    <x v="3"/>
    <x v="0"/>
    <x v="1"/>
    <x v="0"/>
    <x v="586"/>
    <x v="289"/>
    <x v="0"/>
  </r>
  <r>
    <x v="1009"/>
    <x v="499"/>
    <x v="491"/>
    <x v="484"/>
    <x v="800"/>
    <x v="3"/>
    <x v="2"/>
    <x v="500"/>
    <x v="323"/>
    <x v="1"/>
    <x v="9"/>
    <x v="0"/>
    <x v="0"/>
    <x v="1"/>
    <x v="1"/>
    <x v="1"/>
    <x v="2"/>
    <x v="1"/>
    <x v="1"/>
    <x v="1"/>
    <x v="2"/>
    <x v="0"/>
    <x v="1"/>
    <x v="1"/>
    <x v="2"/>
    <x v="494"/>
    <x v="12"/>
    <x v="0"/>
    <x v="0"/>
    <x v="1"/>
    <x v="0"/>
    <x v="0"/>
    <x v="0"/>
    <x v="0"/>
  </r>
  <r>
    <x v="1010"/>
    <x v="495"/>
    <x v="488"/>
    <x v="482"/>
    <x v="0"/>
    <x v="1"/>
    <x v="1"/>
    <x v="497"/>
    <x v="177"/>
    <x v="1"/>
    <x v="15"/>
    <x v="0"/>
    <x v="0"/>
    <x v="3"/>
    <x v="1"/>
    <x v="1"/>
    <x v="2"/>
    <x v="1"/>
    <x v="2"/>
    <x v="1"/>
    <x v="2"/>
    <x v="0"/>
    <x v="2"/>
    <x v="3"/>
    <x v="4"/>
    <x v="492"/>
    <x v="5"/>
    <x v="0"/>
    <x v="0"/>
    <x v="1"/>
    <x v="0"/>
    <x v="0"/>
    <x v="0"/>
    <x v="301"/>
  </r>
  <r>
    <x v="1011"/>
    <x v="496"/>
    <x v="486"/>
    <x v="480"/>
    <x v="801"/>
    <x v="1"/>
    <x v="2"/>
    <x v="495"/>
    <x v="166"/>
    <x v="1"/>
    <x v="3"/>
    <x v="0"/>
    <x v="0"/>
    <x v="3"/>
    <x v="1"/>
    <x v="1"/>
    <x v="2"/>
    <x v="1"/>
    <x v="2"/>
    <x v="1"/>
    <x v="2"/>
    <x v="0"/>
    <x v="1"/>
    <x v="3"/>
    <x v="4"/>
    <x v="490"/>
    <x v="1"/>
    <x v="0"/>
    <x v="0"/>
    <x v="1"/>
    <x v="0"/>
    <x v="0"/>
    <x v="0"/>
    <x v="0"/>
  </r>
  <r>
    <x v="1012"/>
    <x v="500"/>
    <x v="492"/>
    <x v="485"/>
    <x v="802"/>
    <x v="1"/>
    <x v="2"/>
    <x v="501"/>
    <x v="10"/>
    <x v="1"/>
    <x v="190"/>
    <x v="0"/>
    <x v="0"/>
    <x v="1"/>
    <x v="1"/>
    <x v="2"/>
    <x v="1"/>
    <x v="2"/>
    <x v="3"/>
    <x v="2"/>
    <x v="1"/>
    <x v="231"/>
    <x v="1"/>
    <x v="6"/>
    <x v="2"/>
    <x v="495"/>
    <x v="1"/>
    <x v="1"/>
    <x v="4"/>
    <x v="2"/>
    <x v="1"/>
    <x v="587"/>
    <x v="0"/>
    <x v="302"/>
  </r>
  <r>
    <x v="1013"/>
    <x v="501"/>
    <x v="493"/>
    <x v="486"/>
    <x v="803"/>
    <x v="1"/>
    <x v="1"/>
    <x v="502"/>
    <x v="257"/>
    <x v="1"/>
    <x v="15"/>
    <x v="0"/>
    <x v="0"/>
    <x v="1"/>
    <x v="1"/>
    <x v="1"/>
    <x v="2"/>
    <x v="1"/>
    <x v="3"/>
    <x v="1"/>
    <x v="1"/>
    <x v="231"/>
    <x v="1"/>
    <x v="6"/>
    <x v="2"/>
    <x v="496"/>
    <x v="1"/>
    <x v="1"/>
    <x v="4"/>
    <x v="2"/>
    <x v="1"/>
    <x v="588"/>
    <x v="0"/>
    <x v="0"/>
  </r>
  <r>
    <x v="1014"/>
    <x v="502"/>
    <x v="494"/>
    <x v="487"/>
    <x v="804"/>
    <x v="2"/>
    <x v="1"/>
    <x v="503"/>
    <x v="369"/>
    <x v="1"/>
    <x v="191"/>
    <x v="0"/>
    <x v="0"/>
    <x v="1"/>
    <x v="1"/>
    <x v="2"/>
    <x v="2"/>
    <x v="2"/>
    <x v="1"/>
    <x v="2"/>
    <x v="1"/>
    <x v="231"/>
    <x v="1"/>
    <x v="6"/>
    <x v="2"/>
    <x v="497"/>
    <x v="1"/>
    <x v="3"/>
    <x v="0"/>
    <x v="1"/>
    <x v="0"/>
    <x v="589"/>
    <x v="290"/>
    <x v="303"/>
  </r>
  <r>
    <x v="1015"/>
    <x v="503"/>
    <x v="495"/>
    <x v="488"/>
    <x v="805"/>
    <x v="1"/>
    <x v="2"/>
    <x v="504"/>
    <x v="370"/>
    <x v="10"/>
    <x v="0"/>
    <x v="0"/>
    <x v="0"/>
    <x v="1"/>
    <x v="1"/>
    <x v="1"/>
    <x v="2"/>
    <x v="1"/>
    <x v="1"/>
    <x v="1"/>
    <x v="2"/>
    <x v="0"/>
    <x v="1"/>
    <x v="4"/>
    <x v="2"/>
    <x v="498"/>
    <x v="12"/>
    <x v="0"/>
    <x v="0"/>
    <x v="1"/>
    <x v="0"/>
    <x v="0"/>
    <x v="0"/>
    <x v="0"/>
  </r>
  <r>
    <x v="1016"/>
    <x v="504"/>
    <x v="496"/>
    <x v="489"/>
    <x v="806"/>
    <x v="1"/>
    <x v="2"/>
    <x v="505"/>
    <x v="10"/>
    <x v="1"/>
    <x v="4"/>
    <x v="0"/>
    <x v="0"/>
    <x v="1"/>
    <x v="1"/>
    <x v="1"/>
    <x v="2"/>
    <x v="1"/>
    <x v="3"/>
    <x v="1"/>
    <x v="1"/>
    <x v="231"/>
    <x v="1"/>
    <x v="1"/>
    <x v="2"/>
    <x v="499"/>
    <x v="1"/>
    <x v="3"/>
    <x v="0"/>
    <x v="1"/>
    <x v="0"/>
    <x v="590"/>
    <x v="0"/>
    <x v="304"/>
  </r>
  <r>
    <x v="1017"/>
    <x v="500"/>
    <x v="492"/>
    <x v="485"/>
    <x v="807"/>
    <x v="1"/>
    <x v="2"/>
    <x v="506"/>
    <x v="10"/>
    <x v="1"/>
    <x v="192"/>
    <x v="0"/>
    <x v="0"/>
    <x v="3"/>
    <x v="1"/>
    <x v="2"/>
    <x v="2"/>
    <x v="2"/>
    <x v="3"/>
    <x v="1"/>
    <x v="1"/>
    <x v="232"/>
    <x v="1"/>
    <x v="3"/>
    <x v="4"/>
    <x v="495"/>
    <x v="1"/>
    <x v="1"/>
    <x v="1"/>
    <x v="1"/>
    <x v="0"/>
    <x v="591"/>
    <x v="0"/>
    <x v="0"/>
  </r>
  <r>
    <x v="1018"/>
    <x v="501"/>
    <x v="493"/>
    <x v="486"/>
    <x v="808"/>
    <x v="1"/>
    <x v="1"/>
    <x v="502"/>
    <x v="257"/>
    <x v="1"/>
    <x v="15"/>
    <x v="0"/>
    <x v="0"/>
    <x v="3"/>
    <x v="1"/>
    <x v="1"/>
    <x v="2"/>
    <x v="1"/>
    <x v="3"/>
    <x v="1"/>
    <x v="2"/>
    <x v="0"/>
    <x v="1"/>
    <x v="3"/>
    <x v="4"/>
    <x v="496"/>
    <x v="1"/>
    <x v="0"/>
    <x v="0"/>
    <x v="1"/>
    <x v="0"/>
    <x v="0"/>
    <x v="0"/>
    <x v="0"/>
  </r>
  <r>
    <x v="1019"/>
    <x v="505"/>
    <x v="497"/>
    <x v="490"/>
    <x v="809"/>
    <x v="1"/>
    <x v="3"/>
    <x v="507"/>
    <x v="371"/>
    <x v="1"/>
    <x v="22"/>
    <x v="0"/>
    <x v="0"/>
    <x v="1"/>
    <x v="1"/>
    <x v="1"/>
    <x v="1"/>
    <x v="1"/>
    <x v="2"/>
    <x v="1"/>
    <x v="1"/>
    <x v="232"/>
    <x v="1"/>
    <x v="5"/>
    <x v="2"/>
    <x v="500"/>
    <x v="12"/>
    <x v="1"/>
    <x v="1"/>
    <x v="2"/>
    <x v="1"/>
    <x v="592"/>
    <x v="0"/>
    <x v="0"/>
  </r>
  <r>
    <x v="1020"/>
    <x v="506"/>
    <x v="243"/>
    <x v="236"/>
    <x v="810"/>
    <x v="1"/>
    <x v="2"/>
    <x v="256"/>
    <x v="372"/>
    <x v="1"/>
    <x v="15"/>
    <x v="0"/>
    <x v="0"/>
    <x v="1"/>
    <x v="3"/>
    <x v="3"/>
    <x v="2"/>
    <x v="1"/>
    <x v="2"/>
    <x v="1"/>
    <x v="1"/>
    <x v="232"/>
    <x v="1"/>
    <x v="1"/>
    <x v="2"/>
    <x v="240"/>
    <x v="1"/>
    <x v="1"/>
    <x v="4"/>
    <x v="2"/>
    <x v="1"/>
    <x v="593"/>
    <x v="0"/>
    <x v="0"/>
  </r>
  <r>
    <x v="1021"/>
    <x v="507"/>
    <x v="498"/>
    <x v="491"/>
    <x v="811"/>
    <x v="1"/>
    <x v="1"/>
    <x v="132"/>
    <x v="373"/>
    <x v="1"/>
    <x v="36"/>
    <x v="0"/>
    <x v="0"/>
    <x v="1"/>
    <x v="3"/>
    <x v="2"/>
    <x v="1"/>
    <x v="1"/>
    <x v="2"/>
    <x v="1"/>
    <x v="1"/>
    <x v="232"/>
    <x v="1"/>
    <x v="1"/>
    <x v="2"/>
    <x v="501"/>
    <x v="3"/>
    <x v="1"/>
    <x v="1"/>
    <x v="1"/>
    <x v="0"/>
    <x v="594"/>
    <x v="0"/>
    <x v="305"/>
  </r>
  <r>
    <x v="1022"/>
    <x v="500"/>
    <x v="492"/>
    <x v="485"/>
    <x v="0"/>
    <x v="1"/>
    <x v="2"/>
    <x v="501"/>
    <x v="10"/>
    <x v="10"/>
    <x v="0"/>
    <x v="0"/>
    <x v="0"/>
    <x v="3"/>
    <x v="1"/>
    <x v="1"/>
    <x v="1"/>
    <x v="1"/>
    <x v="3"/>
    <x v="1"/>
    <x v="1"/>
    <x v="233"/>
    <x v="2"/>
    <x v="3"/>
    <x v="4"/>
    <x v="495"/>
    <x v="5"/>
    <x v="1"/>
    <x v="1"/>
    <x v="1"/>
    <x v="0"/>
    <x v="595"/>
    <x v="0"/>
    <x v="306"/>
  </r>
  <r>
    <x v="1023"/>
    <x v="505"/>
    <x v="497"/>
    <x v="490"/>
    <x v="812"/>
    <x v="1"/>
    <x v="3"/>
    <x v="507"/>
    <x v="371"/>
    <x v="1"/>
    <x v="22"/>
    <x v="0"/>
    <x v="0"/>
    <x v="3"/>
    <x v="1"/>
    <x v="1"/>
    <x v="2"/>
    <x v="1"/>
    <x v="2"/>
    <x v="1"/>
    <x v="1"/>
    <x v="234"/>
    <x v="1"/>
    <x v="3"/>
    <x v="4"/>
    <x v="500"/>
    <x v="5"/>
    <x v="1"/>
    <x v="7"/>
    <x v="2"/>
    <x v="1"/>
    <x v="596"/>
    <x v="0"/>
    <x v="0"/>
  </r>
  <r>
    <x v="1024"/>
    <x v="506"/>
    <x v="243"/>
    <x v="236"/>
    <x v="813"/>
    <x v="1"/>
    <x v="2"/>
    <x v="256"/>
    <x v="372"/>
    <x v="1"/>
    <x v="15"/>
    <x v="0"/>
    <x v="0"/>
    <x v="3"/>
    <x v="1"/>
    <x v="1"/>
    <x v="2"/>
    <x v="2"/>
    <x v="2"/>
    <x v="1"/>
    <x v="2"/>
    <x v="0"/>
    <x v="1"/>
    <x v="3"/>
    <x v="4"/>
    <x v="240"/>
    <x v="1"/>
    <x v="0"/>
    <x v="0"/>
    <x v="1"/>
    <x v="0"/>
    <x v="0"/>
    <x v="0"/>
    <x v="0"/>
  </r>
  <r>
    <x v="1025"/>
    <x v="200"/>
    <x v="499"/>
    <x v="196"/>
    <x v="814"/>
    <x v="1"/>
    <x v="2"/>
    <x v="209"/>
    <x v="374"/>
    <x v="1"/>
    <x v="2"/>
    <x v="0"/>
    <x v="0"/>
    <x v="1"/>
    <x v="2"/>
    <x v="3"/>
    <x v="2"/>
    <x v="1"/>
    <x v="2"/>
    <x v="1"/>
    <x v="1"/>
    <x v="235"/>
    <x v="1"/>
    <x v="1"/>
    <x v="2"/>
    <x v="473"/>
    <x v="5"/>
    <x v="1"/>
    <x v="1"/>
    <x v="2"/>
    <x v="1"/>
    <x v="597"/>
    <x v="291"/>
    <x v="307"/>
  </r>
  <r>
    <x v="1026"/>
    <x v="507"/>
    <x v="498"/>
    <x v="491"/>
    <x v="0"/>
    <x v="1"/>
    <x v="1"/>
    <x v="132"/>
    <x v="212"/>
    <x v="1"/>
    <x v="36"/>
    <x v="0"/>
    <x v="0"/>
    <x v="3"/>
    <x v="1"/>
    <x v="1"/>
    <x v="2"/>
    <x v="1"/>
    <x v="2"/>
    <x v="1"/>
    <x v="2"/>
    <x v="0"/>
    <x v="2"/>
    <x v="3"/>
    <x v="4"/>
    <x v="501"/>
    <x v="5"/>
    <x v="0"/>
    <x v="0"/>
    <x v="1"/>
    <x v="0"/>
    <x v="0"/>
    <x v="0"/>
    <x v="0"/>
  </r>
  <r>
    <x v="1027"/>
    <x v="508"/>
    <x v="500"/>
    <x v="492"/>
    <x v="815"/>
    <x v="1"/>
    <x v="2"/>
    <x v="508"/>
    <x v="80"/>
    <x v="1"/>
    <x v="193"/>
    <x v="0"/>
    <x v="0"/>
    <x v="1"/>
    <x v="1"/>
    <x v="1"/>
    <x v="2"/>
    <x v="1"/>
    <x v="2"/>
    <x v="1"/>
    <x v="2"/>
    <x v="0"/>
    <x v="1"/>
    <x v="1"/>
    <x v="2"/>
    <x v="502"/>
    <x v="5"/>
    <x v="0"/>
    <x v="0"/>
    <x v="1"/>
    <x v="0"/>
    <x v="0"/>
    <x v="0"/>
    <x v="0"/>
  </r>
  <r>
    <x v="1028"/>
    <x v="509"/>
    <x v="501"/>
    <x v="493"/>
    <x v="816"/>
    <x v="1"/>
    <x v="3"/>
    <x v="509"/>
    <x v="375"/>
    <x v="1"/>
    <x v="3"/>
    <x v="0"/>
    <x v="0"/>
    <x v="1"/>
    <x v="1"/>
    <x v="2"/>
    <x v="1"/>
    <x v="1"/>
    <x v="2"/>
    <x v="1"/>
    <x v="1"/>
    <x v="236"/>
    <x v="1"/>
    <x v="1"/>
    <x v="2"/>
    <x v="503"/>
    <x v="5"/>
    <x v="1"/>
    <x v="7"/>
    <x v="2"/>
    <x v="1"/>
    <x v="0"/>
    <x v="0"/>
    <x v="308"/>
  </r>
  <r>
    <x v="1029"/>
    <x v="483"/>
    <x v="477"/>
    <x v="471"/>
    <x v="817"/>
    <x v="3"/>
    <x v="2"/>
    <x v="486"/>
    <x v="150"/>
    <x v="1"/>
    <x v="15"/>
    <x v="0"/>
    <x v="0"/>
    <x v="1"/>
    <x v="3"/>
    <x v="3"/>
    <x v="2"/>
    <x v="1"/>
    <x v="3"/>
    <x v="1"/>
    <x v="1"/>
    <x v="236"/>
    <x v="1"/>
    <x v="1"/>
    <x v="2"/>
    <x v="480"/>
    <x v="13"/>
    <x v="3"/>
    <x v="0"/>
    <x v="1"/>
    <x v="0"/>
    <x v="598"/>
    <x v="292"/>
    <x v="0"/>
  </r>
  <r>
    <x v="1030"/>
    <x v="200"/>
    <x v="499"/>
    <x v="196"/>
    <x v="818"/>
    <x v="1"/>
    <x v="2"/>
    <x v="209"/>
    <x v="374"/>
    <x v="1"/>
    <x v="2"/>
    <x v="0"/>
    <x v="0"/>
    <x v="3"/>
    <x v="3"/>
    <x v="2"/>
    <x v="2"/>
    <x v="1"/>
    <x v="2"/>
    <x v="1"/>
    <x v="1"/>
    <x v="236"/>
    <x v="2"/>
    <x v="3"/>
    <x v="4"/>
    <x v="473"/>
    <x v="5"/>
    <x v="1"/>
    <x v="4"/>
    <x v="1"/>
    <x v="0"/>
    <x v="599"/>
    <x v="293"/>
    <x v="293"/>
  </r>
  <r>
    <x v="1031"/>
    <x v="510"/>
    <x v="502"/>
    <x v="494"/>
    <x v="819"/>
    <x v="1"/>
    <x v="2"/>
    <x v="510"/>
    <x v="281"/>
    <x v="1"/>
    <x v="36"/>
    <x v="0"/>
    <x v="0"/>
    <x v="1"/>
    <x v="1"/>
    <x v="1"/>
    <x v="2"/>
    <x v="1"/>
    <x v="3"/>
    <x v="1"/>
    <x v="1"/>
    <x v="237"/>
    <x v="1"/>
    <x v="1"/>
    <x v="1"/>
    <x v="504"/>
    <x v="1"/>
    <x v="1"/>
    <x v="4"/>
    <x v="1"/>
    <x v="0"/>
    <x v="600"/>
    <x v="0"/>
    <x v="0"/>
  </r>
  <r>
    <x v="1032"/>
    <x v="511"/>
    <x v="503"/>
    <x v="495"/>
    <x v="820"/>
    <x v="1"/>
    <x v="2"/>
    <x v="511"/>
    <x v="222"/>
    <x v="1"/>
    <x v="3"/>
    <x v="0"/>
    <x v="0"/>
    <x v="1"/>
    <x v="1"/>
    <x v="1"/>
    <x v="2"/>
    <x v="1"/>
    <x v="1"/>
    <x v="1"/>
    <x v="2"/>
    <x v="0"/>
    <x v="1"/>
    <x v="1"/>
    <x v="2"/>
    <x v="505"/>
    <x v="12"/>
    <x v="0"/>
    <x v="0"/>
    <x v="1"/>
    <x v="0"/>
    <x v="0"/>
    <x v="0"/>
    <x v="0"/>
  </r>
  <r>
    <x v="1033"/>
    <x v="464"/>
    <x v="460"/>
    <x v="454"/>
    <x v="821"/>
    <x v="1"/>
    <x v="2"/>
    <x v="469"/>
    <x v="376"/>
    <x v="1"/>
    <x v="31"/>
    <x v="0"/>
    <x v="0"/>
    <x v="1"/>
    <x v="3"/>
    <x v="2"/>
    <x v="2"/>
    <x v="1"/>
    <x v="2"/>
    <x v="1"/>
    <x v="1"/>
    <x v="238"/>
    <x v="1"/>
    <x v="1"/>
    <x v="2"/>
    <x v="462"/>
    <x v="1"/>
    <x v="3"/>
    <x v="0"/>
    <x v="1"/>
    <x v="0"/>
    <x v="601"/>
    <x v="294"/>
    <x v="0"/>
  </r>
  <r>
    <x v="1034"/>
    <x v="512"/>
    <x v="504"/>
    <x v="496"/>
    <x v="822"/>
    <x v="1"/>
    <x v="4"/>
    <x v="512"/>
    <x v="377"/>
    <x v="1"/>
    <x v="194"/>
    <x v="0"/>
    <x v="0"/>
    <x v="1"/>
    <x v="1"/>
    <x v="1"/>
    <x v="2"/>
    <x v="1"/>
    <x v="2"/>
    <x v="1"/>
    <x v="2"/>
    <x v="0"/>
    <x v="1"/>
    <x v="1"/>
    <x v="2"/>
    <x v="506"/>
    <x v="12"/>
    <x v="0"/>
    <x v="0"/>
    <x v="1"/>
    <x v="0"/>
    <x v="0"/>
    <x v="0"/>
    <x v="0"/>
  </r>
  <r>
    <x v="1035"/>
    <x v="200"/>
    <x v="499"/>
    <x v="196"/>
    <x v="0"/>
    <x v="1"/>
    <x v="2"/>
    <x v="209"/>
    <x v="374"/>
    <x v="1"/>
    <x v="2"/>
    <x v="0"/>
    <x v="0"/>
    <x v="3"/>
    <x v="3"/>
    <x v="2"/>
    <x v="2"/>
    <x v="1"/>
    <x v="2"/>
    <x v="1"/>
    <x v="1"/>
    <x v="238"/>
    <x v="2"/>
    <x v="3"/>
    <x v="4"/>
    <x v="473"/>
    <x v="1"/>
    <x v="3"/>
    <x v="0"/>
    <x v="1"/>
    <x v="0"/>
    <x v="602"/>
    <x v="0"/>
    <x v="293"/>
  </r>
  <r>
    <x v="1036"/>
    <x v="509"/>
    <x v="501"/>
    <x v="493"/>
    <x v="823"/>
    <x v="1"/>
    <x v="3"/>
    <x v="513"/>
    <x v="375"/>
    <x v="1"/>
    <x v="1"/>
    <x v="0"/>
    <x v="0"/>
    <x v="3"/>
    <x v="3"/>
    <x v="3"/>
    <x v="1"/>
    <x v="1"/>
    <x v="1"/>
    <x v="1"/>
    <x v="1"/>
    <x v="238"/>
    <x v="1"/>
    <x v="3"/>
    <x v="4"/>
    <x v="503"/>
    <x v="12"/>
    <x v="1"/>
    <x v="4"/>
    <x v="2"/>
    <x v="1"/>
    <x v="603"/>
    <x v="0"/>
    <x v="309"/>
  </r>
  <r>
    <x v="1037"/>
    <x v="513"/>
    <x v="505"/>
    <x v="497"/>
    <x v="824"/>
    <x v="3"/>
    <x v="2"/>
    <x v="514"/>
    <x v="310"/>
    <x v="1"/>
    <x v="1"/>
    <x v="0"/>
    <x v="0"/>
    <x v="1"/>
    <x v="2"/>
    <x v="3"/>
    <x v="2"/>
    <x v="1"/>
    <x v="2"/>
    <x v="1"/>
    <x v="1"/>
    <x v="238"/>
    <x v="1"/>
    <x v="6"/>
    <x v="2"/>
    <x v="507"/>
    <x v="5"/>
    <x v="1"/>
    <x v="1"/>
    <x v="1"/>
    <x v="0"/>
    <x v="604"/>
    <x v="295"/>
    <x v="194"/>
  </r>
  <r>
    <x v="1038"/>
    <x v="509"/>
    <x v="501"/>
    <x v="493"/>
    <x v="825"/>
    <x v="1"/>
    <x v="3"/>
    <x v="513"/>
    <x v="375"/>
    <x v="1"/>
    <x v="2"/>
    <x v="0"/>
    <x v="0"/>
    <x v="3"/>
    <x v="1"/>
    <x v="1"/>
    <x v="1"/>
    <x v="1"/>
    <x v="1"/>
    <x v="1"/>
    <x v="1"/>
    <x v="238"/>
    <x v="1"/>
    <x v="3"/>
    <x v="4"/>
    <x v="503"/>
    <x v="1"/>
    <x v="1"/>
    <x v="4"/>
    <x v="2"/>
    <x v="1"/>
    <x v="0"/>
    <x v="0"/>
    <x v="0"/>
  </r>
  <r>
    <x v="1039"/>
    <x v="513"/>
    <x v="505"/>
    <x v="497"/>
    <x v="0"/>
    <x v="3"/>
    <x v="2"/>
    <x v="514"/>
    <x v="310"/>
    <x v="1"/>
    <x v="1"/>
    <x v="0"/>
    <x v="0"/>
    <x v="3"/>
    <x v="4"/>
    <x v="1"/>
    <x v="2"/>
    <x v="1"/>
    <x v="2"/>
    <x v="1"/>
    <x v="2"/>
    <x v="0"/>
    <x v="2"/>
    <x v="3"/>
    <x v="4"/>
    <x v="507"/>
    <x v="5"/>
    <x v="0"/>
    <x v="0"/>
    <x v="1"/>
    <x v="0"/>
    <x v="0"/>
    <x v="0"/>
    <x v="0"/>
  </r>
  <r>
    <x v="1040"/>
    <x v="509"/>
    <x v="501"/>
    <x v="493"/>
    <x v="826"/>
    <x v="1"/>
    <x v="3"/>
    <x v="513"/>
    <x v="375"/>
    <x v="1"/>
    <x v="2"/>
    <x v="0"/>
    <x v="0"/>
    <x v="3"/>
    <x v="1"/>
    <x v="1"/>
    <x v="2"/>
    <x v="1"/>
    <x v="1"/>
    <x v="1"/>
    <x v="2"/>
    <x v="0"/>
    <x v="1"/>
    <x v="3"/>
    <x v="4"/>
    <x v="503"/>
    <x v="1"/>
    <x v="0"/>
    <x v="0"/>
    <x v="1"/>
    <x v="0"/>
    <x v="0"/>
    <x v="0"/>
    <x v="0"/>
  </r>
  <r>
    <x v="1041"/>
    <x v="514"/>
    <x v="506"/>
    <x v="498"/>
    <x v="827"/>
    <x v="1"/>
    <x v="1"/>
    <x v="515"/>
    <x v="378"/>
    <x v="1"/>
    <x v="9"/>
    <x v="0"/>
    <x v="0"/>
    <x v="1"/>
    <x v="3"/>
    <x v="3"/>
    <x v="2"/>
    <x v="1"/>
    <x v="1"/>
    <x v="1"/>
    <x v="1"/>
    <x v="237"/>
    <x v="1"/>
    <x v="6"/>
    <x v="3"/>
    <x v="508"/>
    <x v="1"/>
    <x v="3"/>
    <x v="0"/>
    <x v="2"/>
    <x v="1"/>
    <x v="605"/>
    <x v="296"/>
    <x v="310"/>
  </r>
  <r>
    <x v="1042"/>
    <x v="515"/>
    <x v="507"/>
    <x v="499"/>
    <x v="828"/>
    <x v="1"/>
    <x v="2"/>
    <x v="516"/>
    <x v="10"/>
    <x v="1"/>
    <x v="2"/>
    <x v="0"/>
    <x v="0"/>
    <x v="1"/>
    <x v="1"/>
    <x v="1"/>
    <x v="2"/>
    <x v="2"/>
    <x v="1"/>
    <x v="1"/>
    <x v="1"/>
    <x v="237"/>
    <x v="1"/>
    <x v="6"/>
    <x v="3"/>
    <x v="509"/>
    <x v="1"/>
    <x v="1"/>
    <x v="1"/>
    <x v="1"/>
    <x v="0"/>
    <x v="606"/>
    <x v="0"/>
    <x v="311"/>
  </r>
  <r>
    <x v="1043"/>
    <x v="510"/>
    <x v="502"/>
    <x v="494"/>
    <x v="829"/>
    <x v="1"/>
    <x v="2"/>
    <x v="510"/>
    <x v="281"/>
    <x v="1"/>
    <x v="36"/>
    <x v="0"/>
    <x v="0"/>
    <x v="3"/>
    <x v="1"/>
    <x v="1"/>
    <x v="1"/>
    <x v="1"/>
    <x v="3"/>
    <x v="1"/>
    <x v="2"/>
    <x v="0"/>
    <x v="1"/>
    <x v="3"/>
    <x v="4"/>
    <x v="510"/>
    <x v="1"/>
    <x v="0"/>
    <x v="0"/>
    <x v="1"/>
    <x v="0"/>
    <x v="0"/>
    <x v="0"/>
    <x v="0"/>
  </r>
  <r>
    <x v="1044"/>
    <x v="515"/>
    <x v="507"/>
    <x v="499"/>
    <x v="0"/>
    <x v="1"/>
    <x v="2"/>
    <x v="516"/>
    <x v="10"/>
    <x v="1"/>
    <x v="2"/>
    <x v="0"/>
    <x v="0"/>
    <x v="3"/>
    <x v="1"/>
    <x v="1"/>
    <x v="2"/>
    <x v="1"/>
    <x v="3"/>
    <x v="1"/>
    <x v="2"/>
    <x v="0"/>
    <x v="2"/>
    <x v="3"/>
    <x v="4"/>
    <x v="509"/>
    <x v="5"/>
    <x v="0"/>
    <x v="0"/>
    <x v="1"/>
    <x v="0"/>
    <x v="0"/>
    <x v="0"/>
    <x v="0"/>
  </r>
  <r>
    <x v="1045"/>
    <x v="516"/>
    <x v="508"/>
    <x v="500"/>
    <x v="830"/>
    <x v="1"/>
    <x v="2"/>
    <x v="517"/>
    <x v="55"/>
    <x v="1"/>
    <x v="4"/>
    <x v="0"/>
    <x v="0"/>
    <x v="1"/>
    <x v="1"/>
    <x v="1"/>
    <x v="2"/>
    <x v="1"/>
    <x v="3"/>
    <x v="1"/>
    <x v="1"/>
    <x v="239"/>
    <x v="1"/>
    <x v="1"/>
    <x v="1"/>
    <x v="511"/>
    <x v="1"/>
    <x v="1"/>
    <x v="4"/>
    <x v="2"/>
    <x v="1"/>
    <x v="607"/>
    <x v="0"/>
    <x v="0"/>
  </r>
  <r>
    <x v="1046"/>
    <x v="517"/>
    <x v="509"/>
    <x v="501"/>
    <x v="831"/>
    <x v="1"/>
    <x v="2"/>
    <x v="518"/>
    <x v="379"/>
    <x v="1"/>
    <x v="15"/>
    <x v="0"/>
    <x v="0"/>
    <x v="1"/>
    <x v="3"/>
    <x v="2"/>
    <x v="2"/>
    <x v="1"/>
    <x v="2"/>
    <x v="1"/>
    <x v="1"/>
    <x v="239"/>
    <x v="1"/>
    <x v="1"/>
    <x v="2"/>
    <x v="512"/>
    <x v="3"/>
    <x v="1"/>
    <x v="3"/>
    <x v="2"/>
    <x v="1"/>
    <x v="0"/>
    <x v="0"/>
    <x v="312"/>
  </r>
  <r>
    <x v="1047"/>
    <x v="518"/>
    <x v="510"/>
    <x v="502"/>
    <x v="832"/>
    <x v="1"/>
    <x v="1"/>
    <x v="519"/>
    <x v="356"/>
    <x v="1"/>
    <x v="195"/>
    <x v="0"/>
    <x v="0"/>
    <x v="1"/>
    <x v="1"/>
    <x v="1"/>
    <x v="2"/>
    <x v="1"/>
    <x v="1"/>
    <x v="1"/>
    <x v="2"/>
    <x v="0"/>
    <x v="1"/>
    <x v="1"/>
    <x v="2"/>
    <x v="513"/>
    <x v="3"/>
    <x v="0"/>
    <x v="0"/>
    <x v="1"/>
    <x v="0"/>
    <x v="0"/>
    <x v="0"/>
    <x v="0"/>
  </r>
  <r>
    <x v="1048"/>
    <x v="516"/>
    <x v="508"/>
    <x v="500"/>
    <x v="833"/>
    <x v="1"/>
    <x v="2"/>
    <x v="520"/>
    <x v="55"/>
    <x v="1"/>
    <x v="4"/>
    <x v="0"/>
    <x v="0"/>
    <x v="3"/>
    <x v="3"/>
    <x v="3"/>
    <x v="2"/>
    <x v="1"/>
    <x v="1"/>
    <x v="1"/>
    <x v="1"/>
    <x v="233"/>
    <x v="1"/>
    <x v="3"/>
    <x v="4"/>
    <x v="511"/>
    <x v="1"/>
    <x v="3"/>
    <x v="0"/>
    <x v="1"/>
    <x v="0"/>
    <x v="608"/>
    <x v="297"/>
    <x v="0"/>
  </r>
  <r>
    <x v="1049"/>
    <x v="517"/>
    <x v="509"/>
    <x v="501"/>
    <x v="834"/>
    <x v="1"/>
    <x v="2"/>
    <x v="518"/>
    <x v="379"/>
    <x v="1"/>
    <x v="15"/>
    <x v="0"/>
    <x v="0"/>
    <x v="3"/>
    <x v="1"/>
    <x v="1"/>
    <x v="2"/>
    <x v="1"/>
    <x v="1"/>
    <x v="1"/>
    <x v="2"/>
    <x v="0"/>
    <x v="1"/>
    <x v="3"/>
    <x v="4"/>
    <x v="512"/>
    <x v="3"/>
    <x v="0"/>
    <x v="0"/>
    <x v="1"/>
    <x v="0"/>
    <x v="0"/>
    <x v="0"/>
    <x v="0"/>
  </r>
  <r>
    <x v="1050"/>
    <x v="141"/>
    <x v="141"/>
    <x v="139"/>
    <x v="835"/>
    <x v="1"/>
    <x v="2"/>
    <x v="145"/>
    <x v="10"/>
    <x v="6"/>
    <x v="0"/>
    <x v="0"/>
    <x v="10"/>
    <x v="1"/>
    <x v="1"/>
    <x v="1"/>
    <x v="2"/>
    <x v="1"/>
    <x v="2"/>
    <x v="1"/>
    <x v="1"/>
    <x v="233"/>
    <x v="1"/>
    <x v="5"/>
    <x v="2"/>
    <x v="140"/>
    <x v="3"/>
    <x v="3"/>
    <x v="0"/>
    <x v="1"/>
    <x v="0"/>
    <x v="609"/>
    <x v="298"/>
    <x v="313"/>
  </r>
  <r>
    <x v="1051"/>
    <x v="500"/>
    <x v="492"/>
    <x v="485"/>
    <x v="0"/>
    <x v="1"/>
    <x v="2"/>
    <x v="501"/>
    <x v="10"/>
    <x v="10"/>
    <x v="0"/>
    <x v="0"/>
    <x v="0"/>
    <x v="3"/>
    <x v="1"/>
    <x v="1"/>
    <x v="2"/>
    <x v="1"/>
    <x v="2"/>
    <x v="1"/>
    <x v="2"/>
    <x v="0"/>
    <x v="2"/>
    <x v="3"/>
    <x v="4"/>
    <x v="495"/>
    <x v="5"/>
    <x v="0"/>
    <x v="0"/>
    <x v="1"/>
    <x v="0"/>
    <x v="0"/>
    <x v="0"/>
    <x v="0"/>
  </r>
  <r>
    <x v="1052"/>
    <x v="519"/>
    <x v="511"/>
    <x v="503"/>
    <x v="836"/>
    <x v="1"/>
    <x v="2"/>
    <x v="521"/>
    <x v="245"/>
    <x v="1"/>
    <x v="3"/>
    <x v="0"/>
    <x v="0"/>
    <x v="1"/>
    <x v="3"/>
    <x v="3"/>
    <x v="2"/>
    <x v="2"/>
    <x v="2"/>
    <x v="1"/>
    <x v="1"/>
    <x v="240"/>
    <x v="1"/>
    <x v="1"/>
    <x v="5"/>
    <x v="514"/>
    <x v="5"/>
    <x v="3"/>
    <x v="0"/>
    <x v="1"/>
    <x v="0"/>
    <x v="610"/>
    <x v="299"/>
    <x v="0"/>
  </r>
  <r>
    <x v="1053"/>
    <x v="458"/>
    <x v="454"/>
    <x v="448"/>
    <x v="837"/>
    <x v="1"/>
    <x v="2"/>
    <x v="522"/>
    <x v="356"/>
    <x v="1"/>
    <x v="2"/>
    <x v="0"/>
    <x v="0"/>
    <x v="1"/>
    <x v="3"/>
    <x v="2"/>
    <x v="1"/>
    <x v="1"/>
    <x v="1"/>
    <x v="1"/>
    <x v="1"/>
    <x v="240"/>
    <x v="1"/>
    <x v="1"/>
    <x v="2"/>
    <x v="456"/>
    <x v="1"/>
    <x v="1"/>
    <x v="7"/>
    <x v="2"/>
    <x v="1"/>
    <x v="611"/>
    <x v="0"/>
    <x v="0"/>
  </r>
  <r>
    <x v="1054"/>
    <x v="458"/>
    <x v="454"/>
    <x v="448"/>
    <x v="838"/>
    <x v="1"/>
    <x v="2"/>
    <x v="463"/>
    <x v="356"/>
    <x v="1"/>
    <x v="2"/>
    <x v="0"/>
    <x v="0"/>
    <x v="3"/>
    <x v="1"/>
    <x v="1"/>
    <x v="1"/>
    <x v="1"/>
    <x v="2"/>
    <x v="1"/>
    <x v="2"/>
    <x v="0"/>
    <x v="1"/>
    <x v="3"/>
    <x v="4"/>
    <x v="456"/>
    <x v="12"/>
    <x v="0"/>
    <x v="0"/>
    <x v="1"/>
    <x v="0"/>
    <x v="0"/>
    <x v="0"/>
    <x v="0"/>
  </r>
  <r>
    <x v="1055"/>
    <x v="512"/>
    <x v="504"/>
    <x v="496"/>
    <x v="839"/>
    <x v="1"/>
    <x v="4"/>
    <x v="512"/>
    <x v="377"/>
    <x v="1"/>
    <x v="196"/>
    <x v="0"/>
    <x v="0"/>
    <x v="1"/>
    <x v="1"/>
    <x v="1"/>
    <x v="1"/>
    <x v="1"/>
    <x v="2"/>
    <x v="1"/>
    <x v="2"/>
    <x v="0"/>
    <x v="1"/>
    <x v="2"/>
    <x v="2"/>
    <x v="506"/>
    <x v="12"/>
    <x v="0"/>
    <x v="0"/>
    <x v="1"/>
    <x v="0"/>
    <x v="0"/>
    <x v="0"/>
    <x v="0"/>
  </r>
  <r>
    <x v="1056"/>
    <x v="428"/>
    <x v="425"/>
    <x v="420"/>
    <x v="840"/>
    <x v="3"/>
    <x v="2"/>
    <x v="437"/>
    <x v="324"/>
    <x v="1"/>
    <x v="197"/>
    <x v="0"/>
    <x v="0"/>
    <x v="1"/>
    <x v="1"/>
    <x v="1"/>
    <x v="1"/>
    <x v="2"/>
    <x v="2"/>
    <x v="1"/>
    <x v="2"/>
    <x v="0"/>
    <x v="1"/>
    <x v="1"/>
    <x v="2"/>
    <x v="428"/>
    <x v="12"/>
    <x v="0"/>
    <x v="0"/>
    <x v="1"/>
    <x v="0"/>
    <x v="0"/>
    <x v="0"/>
    <x v="0"/>
  </r>
  <r>
    <x v="1057"/>
    <x v="520"/>
    <x v="512"/>
    <x v="504"/>
    <x v="841"/>
    <x v="1"/>
    <x v="2"/>
    <x v="523"/>
    <x v="380"/>
    <x v="10"/>
    <x v="0"/>
    <x v="0"/>
    <x v="0"/>
    <x v="1"/>
    <x v="1"/>
    <x v="1"/>
    <x v="2"/>
    <x v="2"/>
    <x v="1"/>
    <x v="1"/>
    <x v="1"/>
    <x v="234"/>
    <x v="1"/>
    <x v="1"/>
    <x v="5"/>
    <x v="515"/>
    <x v="1"/>
    <x v="1"/>
    <x v="7"/>
    <x v="2"/>
    <x v="1"/>
    <x v="612"/>
    <x v="0"/>
    <x v="0"/>
  </r>
  <r>
    <x v="1058"/>
    <x v="235"/>
    <x v="234"/>
    <x v="231"/>
    <x v="842"/>
    <x v="1"/>
    <x v="2"/>
    <x v="245"/>
    <x v="200"/>
    <x v="1"/>
    <x v="198"/>
    <x v="0"/>
    <x v="0"/>
    <x v="1"/>
    <x v="1"/>
    <x v="1"/>
    <x v="2"/>
    <x v="1"/>
    <x v="2"/>
    <x v="1"/>
    <x v="2"/>
    <x v="0"/>
    <x v="1"/>
    <x v="1"/>
    <x v="2"/>
    <x v="235"/>
    <x v="12"/>
    <x v="0"/>
    <x v="0"/>
    <x v="1"/>
    <x v="0"/>
    <x v="0"/>
    <x v="0"/>
    <x v="0"/>
  </r>
  <r>
    <x v="1059"/>
    <x v="521"/>
    <x v="513"/>
    <x v="505"/>
    <x v="843"/>
    <x v="1"/>
    <x v="2"/>
    <x v="358"/>
    <x v="10"/>
    <x v="10"/>
    <x v="0"/>
    <x v="0"/>
    <x v="0"/>
    <x v="1"/>
    <x v="3"/>
    <x v="3"/>
    <x v="1"/>
    <x v="1"/>
    <x v="2"/>
    <x v="1"/>
    <x v="1"/>
    <x v="241"/>
    <x v="1"/>
    <x v="5"/>
    <x v="2"/>
    <x v="516"/>
    <x v="12"/>
    <x v="1"/>
    <x v="8"/>
    <x v="1"/>
    <x v="0"/>
    <x v="613"/>
    <x v="0"/>
    <x v="314"/>
  </r>
  <r>
    <x v="1060"/>
    <x v="522"/>
    <x v="514"/>
    <x v="506"/>
    <x v="844"/>
    <x v="3"/>
    <x v="3"/>
    <x v="524"/>
    <x v="381"/>
    <x v="6"/>
    <x v="0"/>
    <x v="0"/>
    <x v="23"/>
    <x v="1"/>
    <x v="1"/>
    <x v="1"/>
    <x v="2"/>
    <x v="1"/>
    <x v="3"/>
    <x v="1"/>
    <x v="2"/>
    <x v="0"/>
    <x v="1"/>
    <x v="5"/>
    <x v="2"/>
    <x v="517"/>
    <x v="12"/>
    <x v="0"/>
    <x v="0"/>
    <x v="1"/>
    <x v="0"/>
    <x v="0"/>
    <x v="0"/>
    <x v="0"/>
  </r>
  <r>
    <x v="1061"/>
    <x v="521"/>
    <x v="513"/>
    <x v="505"/>
    <x v="0"/>
    <x v="1"/>
    <x v="2"/>
    <x v="358"/>
    <x v="10"/>
    <x v="11"/>
    <x v="0"/>
    <x v="0"/>
    <x v="0"/>
    <x v="3"/>
    <x v="1"/>
    <x v="2"/>
    <x v="2"/>
    <x v="1"/>
    <x v="2"/>
    <x v="2"/>
    <x v="2"/>
    <x v="0"/>
    <x v="2"/>
    <x v="3"/>
    <x v="4"/>
    <x v="516"/>
    <x v="8"/>
    <x v="0"/>
    <x v="0"/>
    <x v="1"/>
    <x v="0"/>
    <x v="0"/>
    <x v="0"/>
    <x v="0"/>
  </r>
  <r>
    <x v="1062"/>
    <x v="523"/>
    <x v="515"/>
    <x v="507"/>
    <x v="845"/>
    <x v="1"/>
    <x v="2"/>
    <x v="525"/>
    <x v="299"/>
    <x v="1"/>
    <x v="2"/>
    <x v="0"/>
    <x v="0"/>
    <x v="1"/>
    <x v="3"/>
    <x v="3"/>
    <x v="2"/>
    <x v="1"/>
    <x v="2"/>
    <x v="1"/>
    <x v="1"/>
    <x v="242"/>
    <x v="1"/>
    <x v="6"/>
    <x v="2"/>
    <x v="518"/>
    <x v="8"/>
    <x v="1"/>
    <x v="3"/>
    <x v="2"/>
    <x v="1"/>
    <x v="614"/>
    <x v="0"/>
    <x v="0"/>
  </r>
  <r>
    <x v="1063"/>
    <x v="523"/>
    <x v="515"/>
    <x v="507"/>
    <x v="846"/>
    <x v="1"/>
    <x v="2"/>
    <x v="525"/>
    <x v="299"/>
    <x v="1"/>
    <x v="2"/>
    <x v="0"/>
    <x v="0"/>
    <x v="3"/>
    <x v="4"/>
    <x v="1"/>
    <x v="2"/>
    <x v="1"/>
    <x v="2"/>
    <x v="1"/>
    <x v="2"/>
    <x v="0"/>
    <x v="1"/>
    <x v="3"/>
    <x v="4"/>
    <x v="518"/>
    <x v="3"/>
    <x v="0"/>
    <x v="0"/>
    <x v="1"/>
    <x v="0"/>
    <x v="0"/>
    <x v="0"/>
    <x v="0"/>
  </r>
  <r>
    <x v="1064"/>
    <x v="524"/>
    <x v="516"/>
    <x v="508"/>
    <x v="847"/>
    <x v="1"/>
    <x v="2"/>
    <x v="526"/>
    <x v="371"/>
    <x v="1"/>
    <x v="31"/>
    <x v="0"/>
    <x v="0"/>
    <x v="1"/>
    <x v="3"/>
    <x v="3"/>
    <x v="2"/>
    <x v="1"/>
    <x v="2"/>
    <x v="1"/>
    <x v="1"/>
    <x v="243"/>
    <x v="1"/>
    <x v="1"/>
    <x v="2"/>
    <x v="519"/>
    <x v="5"/>
    <x v="1"/>
    <x v="3"/>
    <x v="2"/>
    <x v="1"/>
    <x v="615"/>
    <x v="0"/>
    <x v="0"/>
  </r>
  <r>
    <x v="1065"/>
    <x v="491"/>
    <x v="484"/>
    <x v="478"/>
    <x v="848"/>
    <x v="1"/>
    <x v="2"/>
    <x v="499"/>
    <x v="367"/>
    <x v="1"/>
    <x v="199"/>
    <x v="0"/>
    <x v="0"/>
    <x v="1"/>
    <x v="1"/>
    <x v="1"/>
    <x v="2"/>
    <x v="1"/>
    <x v="3"/>
    <x v="1"/>
    <x v="2"/>
    <x v="0"/>
    <x v="1"/>
    <x v="1"/>
    <x v="2"/>
    <x v="488"/>
    <x v="3"/>
    <x v="0"/>
    <x v="0"/>
    <x v="1"/>
    <x v="0"/>
    <x v="0"/>
    <x v="0"/>
    <x v="0"/>
  </r>
  <r>
    <x v="1066"/>
    <x v="524"/>
    <x v="516"/>
    <x v="508"/>
    <x v="849"/>
    <x v="1"/>
    <x v="2"/>
    <x v="526"/>
    <x v="371"/>
    <x v="1"/>
    <x v="31"/>
    <x v="0"/>
    <x v="0"/>
    <x v="3"/>
    <x v="2"/>
    <x v="3"/>
    <x v="2"/>
    <x v="1"/>
    <x v="2"/>
    <x v="1"/>
    <x v="2"/>
    <x v="0"/>
    <x v="1"/>
    <x v="3"/>
    <x v="4"/>
    <x v="519"/>
    <x v="3"/>
    <x v="0"/>
    <x v="0"/>
    <x v="1"/>
    <x v="0"/>
    <x v="0"/>
    <x v="0"/>
    <x v="0"/>
  </r>
  <r>
    <x v="1067"/>
    <x v="525"/>
    <x v="517"/>
    <x v="509"/>
    <x v="850"/>
    <x v="1"/>
    <x v="2"/>
    <x v="527"/>
    <x v="360"/>
    <x v="1"/>
    <x v="33"/>
    <x v="0"/>
    <x v="0"/>
    <x v="1"/>
    <x v="3"/>
    <x v="2"/>
    <x v="2"/>
    <x v="1"/>
    <x v="1"/>
    <x v="1"/>
    <x v="1"/>
    <x v="234"/>
    <x v="1"/>
    <x v="1"/>
    <x v="2"/>
    <x v="520"/>
    <x v="1"/>
    <x v="1"/>
    <x v="4"/>
    <x v="2"/>
    <x v="1"/>
    <x v="616"/>
    <x v="0"/>
    <x v="0"/>
  </r>
  <r>
    <x v="1068"/>
    <x v="526"/>
    <x v="518"/>
    <x v="510"/>
    <x v="851"/>
    <x v="3"/>
    <x v="2"/>
    <x v="528"/>
    <x v="227"/>
    <x v="1"/>
    <x v="22"/>
    <x v="0"/>
    <x v="0"/>
    <x v="1"/>
    <x v="1"/>
    <x v="1"/>
    <x v="2"/>
    <x v="1"/>
    <x v="3"/>
    <x v="1"/>
    <x v="1"/>
    <x v="244"/>
    <x v="1"/>
    <x v="1"/>
    <x v="2"/>
    <x v="521"/>
    <x v="3"/>
    <x v="3"/>
    <x v="0"/>
    <x v="1"/>
    <x v="0"/>
    <x v="617"/>
    <x v="300"/>
    <x v="315"/>
  </r>
  <r>
    <x v="1069"/>
    <x v="200"/>
    <x v="198"/>
    <x v="196"/>
    <x v="852"/>
    <x v="1"/>
    <x v="2"/>
    <x v="209"/>
    <x v="322"/>
    <x v="1"/>
    <x v="200"/>
    <x v="0"/>
    <x v="0"/>
    <x v="1"/>
    <x v="1"/>
    <x v="1"/>
    <x v="2"/>
    <x v="1"/>
    <x v="2"/>
    <x v="1"/>
    <x v="2"/>
    <x v="0"/>
    <x v="1"/>
    <x v="1"/>
    <x v="2"/>
    <x v="473"/>
    <x v="3"/>
    <x v="0"/>
    <x v="0"/>
    <x v="1"/>
    <x v="0"/>
    <x v="0"/>
    <x v="0"/>
    <x v="0"/>
  </r>
  <r>
    <x v="1070"/>
    <x v="527"/>
    <x v="519"/>
    <x v="511"/>
    <x v="853"/>
    <x v="1"/>
    <x v="2"/>
    <x v="529"/>
    <x v="325"/>
    <x v="1"/>
    <x v="201"/>
    <x v="0"/>
    <x v="0"/>
    <x v="1"/>
    <x v="1"/>
    <x v="1"/>
    <x v="1"/>
    <x v="1"/>
    <x v="2"/>
    <x v="1"/>
    <x v="1"/>
    <x v="234"/>
    <x v="1"/>
    <x v="5"/>
    <x v="2"/>
    <x v="522"/>
    <x v="3"/>
    <x v="1"/>
    <x v="7"/>
    <x v="1"/>
    <x v="0"/>
    <x v="618"/>
    <x v="0"/>
    <x v="0"/>
  </r>
  <r>
    <x v="1071"/>
    <x v="499"/>
    <x v="491"/>
    <x v="484"/>
    <x v="854"/>
    <x v="3"/>
    <x v="2"/>
    <x v="500"/>
    <x v="382"/>
    <x v="1"/>
    <x v="33"/>
    <x v="0"/>
    <x v="0"/>
    <x v="1"/>
    <x v="3"/>
    <x v="2"/>
    <x v="2"/>
    <x v="1"/>
    <x v="1"/>
    <x v="1"/>
    <x v="1"/>
    <x v="244"/>
    <x v="1"/>
    <x v="2"/>
    <x v="2"/>
    <x v="494"/>
    <x v="1"/>
    <x v="3"/>
    <x v="0"/>
    <x v="1"/>
    <x v="0"/>
    <x v="619"/>
    <x v="301"/>
    <x v="0"/>
  </r>
  <r>
    <x v="1072"/>
    <x v="505"/>
    <x v="497"/>
    <x v="490"/>
    <x v="855"/>
    <x v="1"/>
    <x v="3"/>
    <x v="507"/>
    <x v="383"/>
    <x v="1"/>
    <x v="22"/>
    <x v="0"/>
    <x v="0"/>
    <x v="3"/>
    <x v="1"/>
    <x v="1"/>
    <x v="1"/>
    <x v="1"/>
    <x v="2"/>
    <x v="1"/>
    <x v="2"/>
    <x v="0"/>
    <x v="1"/>
    <x v="3"/>
    <x v="4"/>
    <x v="500"/>
    <x v="12"/>
    <x v="0"/>
    <x v="0"/>
    <x v="1"/>
    <x v="0"/>
    <x v="0"/>
    <x v="0"/>
    <x v="0"/>
  </r>
  <r>
    <x v="1073"/>
    <x v="525"/>
    <x v="517"/>
    <x v="509"/>
    <x v="856"/>
    <x v="1"/>
    <x v="2"/>
    <x v="527"/>
    <x v="360"/>
    <x v="1"/>
    <x v="33"/>
    <x v="0"/>
    <x v="0"/>
    <x v="3"/>
    <x v="3"/>
    <x v="3"/>
    <x v="2"/>
    <x v="1"/>
    <x v="1"/>
    <x v="1"/>
    <x v="1"/>
    <x v="244"/>
    <x v="1"/>
    <x v="3"/>
    <x v="4"/>
    <x v="520"/>
    <x v="1"/>
    <x v="1"/>
    <x v="4"/>
    <x v="2"/>
    <x v="1"/>
    <x v="620"/>
    <x v="302"/>
    <x v="0"/>
  </r>
  <r>
    <x v="1074"/>
    <x v="520"/>
    <x v="512"/>
    <x v="504"/>
    <x v="857"/>
    <x v="1"/>
    <x v="2"/>
    <x v="523"/>
    <x v="380"/>
    <x v="1"/>
    <x v="31"/>
    <x v="0"/>
    <x v="0"/>
    <x v="3"/>
    <x v="3"/>
    <x v="3"/>
    <x v="2"/>
    <x v="2"/>
    <x v="2"/>
    <x v="1"/>
    <x v="1"/>
    <x v="245"/>
    <x v="1"/>
    <x v="3"/>
    <x v="4"/>
    <x v="515"/>
    <x v="12"/>
    <x v="1"/>
    <x v="7"/>
    <x v="1"/>
    <x v="0"/>
    <x v="621"/>
    <x v="0"/>
    <x v="168"/>
  </r>
  <r>
    <x v="1075"/>
    <x v="528"/>
    <x v="520"/>
    <x v="512"/>
    <x v="858"/>
    <x v="1"/>
    <x v="2"/>
    <x v="530"/>
    <x v="384"/>
    <x v="6"/>
    <x v="0"/>
    <x v="0"/>
    <x v="24"/>
    <x v="1"/>
    <x v="1"/>
    <x v="1"/>
    <x v="2"/>
    <x v="1"/>
    <x v="3"/>
    <x v="1"/>
    <x v="2"/>
    <x v="0"/>
    <x v="1"/>
    <x v="1"/>
    <x v="2"/>
    <x v="523"/>
    <x v="1"/>
    <x v="0"/>
    <x v="0"/>
    <x v="1"/>
    <x v="0"/>
    <x v="0"/>
    <x v="0"/>
    <x v="0"/>
  </r>
  <r>
    <x v="1076"/>
    <x v="529"/>
    <x v="521"/>
    <x v="513"/>
    <x v="859"/>
    <x v="1"/>
    <x v="1"/>
    <x v="531"/>
    <x v="10"/>
    <x v="1"/>
    <x v="202"/>
    <x v="0"/>
    <x v="0"/>
    <x v="1"/>
    <x v="1"/>
    <x v="1"/>
    <x v="1"/>
    <x v="1"/>
    <x v="1"/>
    <x v="1"/>
    <x v="1"/>
    <x v="245"/>
    <x v="1"/>
    <x v="1"/>
    <x v="2"/>
    <x v="524"/>
    <x v="1"/>
    <x v="3"/>
    <x v="0"/>
    <x v="1"/>
    <x v="0"/>
    <x v="622"/>
    <x v="303"/>
    <x v="0"/>
  </r>
  <r>
    <x v="1077"/>
    <x v="527"/>
    <x v="519"/>
    <x v="511"/>
    <x v="0"/>
    <x v="1"/>
    <x v="2"/>
    <x v="529"/>
    <x v="325"/>
    <x v="1"/>
    <x v="36"/>
    <x v="0"/>
    <x v="0"/>
    <x v="3"/>
    <x v="4"/>
    <x v="1"/>
    <x v="2"/>
    <x v="1"/>
    <x v="2"/>
    <x v="1"/>
    <x v="2"/>
    <x v="0"/>
    <x v="2"/>
    <x v="3"/>
    <x v="4"/>
    <x v="522"/>
    <x v="12"/>
    <x v="0"/>
    <x v="0"/>
    <x v="1"/>
    <x v="0"/>
    <x v="0"/>
    <x v="0"/>
    <x v="0"/>
  </r>
  <r>
    <x v="1078"/>
    <x v="530"/>
    <x v="522"/>
    <x v="514"/>
    <x v="860"/>
    <x v="1"/>
    <x v="2"/>
    <x v="532"/>
    <x v="171"/>
    <x v="1"/>
    <x v="2"/>
    <x v="0"/>
    <x v="0"/>
    <x v="1"/>
    <x v="1"/>
    <x v="1"/>
    <x v="2"/>
    <x v="1"/>
    <x v="2"/>
    <x v="1"/>
    <x v="1"/>
    <x v="244"/>
    <x v="2"/>
    <x v="2"/>
    <x v="2"/>
    <x v="525"/>
    <x v="3"/>
    <x v="1"/>
    <x v="4"/>
    <x v="1"/>
    <x v="0"/>
    <x v="623"/>
    <x v="0"/>
    <x v="316"/>
  </r>
  <r>
    <x v="1079"/>
    <x v="530"/>
    <x v="522"/>
    <x v="514"/>
    <x v="861"/>
    <x v="1"/>
    <x v="2"/>
    <x v="532"/>
    <x v="171"/>
    <x v="1"/>
    <x v="2"/>
    <x v="0"/>
    <x v="0"/>
    <x v="3"/>
    <x v="1"/>
    <x v="1"/>
    <x v="2"/>
    <x v="1"/>
    <x v="3"/>
    <x v="1"/>
    <x v="1"/>
    <x v="244"/>
    <x v="2"/>
    <x v="3"/>
    <x v="4"/>
    <x v="525"/>
    <x v="1"/>
    <x v="1"/>
    <x v="3"/>
    <x v="1"/>
    <x v="0"/>
    <x v="624"/>
    <x v="0"/>
    <x v="0"/>
  </r>
  <r>
    <x v="1080"/>
    <x v="525"/>
    <x v="517"/>
    <x v="509"/>
    <x v="862"/>
    <x v="1"/>
    <x v="2"/>
    <x v="527"/>
    <x v="360"/>
    <x v="1"/>
    <x v="33"/>
    <x v="0"/>
    <x v="0"/>
    <x v="3"/>
    <x v="1"/>
    <x v="1"/>
    <x v="2"/>
    <x v="1"/>
    <x v="1"/>
    <x v="1"/>
    <x v="2"/>
    <x v="0"/>
    <x v="1"/>
    <x v="3"/>
    <x v="4"/>
    <x v="520"/>
    <x v="1"/>
    <x v="0"/>
    <x v="0"/>
    <x v="1"/>
    <x v="0"/>
    <x v="0"/>
    <x v="0"/>
    <x v="0"/>
  </r>
  <r>
    <x v="1081"/>
    <x v="531"/>
    <x v="523"/>
    <x v="515"/>
    <x v="863"/>
    <x v="3"/>
    <x v="2"/>
    <x v="533"/>
    <x v="385"/>
    <x v="1"/>
    <x v="203"/>
    <x v="0"/>
    <x v="0"/>
    <x v="1"/>
    <x v="2"/>
    <x v="3"/>
    <x v="2"/>
    <x v="1"/>
    <x v="2"/>
    <x v="1"/>
    <x v="1"/>
    <x v="244"/>
    <x v="1"/>
    <x v="1"/>
    <x v="2"/>
    <x v="526"/>
    <x v="6"/>
    <x v="3"/>
    <x v="0"/>
    <x v="1"/>
    <x v="0"/>
    <x v="625"/>
    <x v="304"/>
    <x v="0"/>
  </r>
  <r>
    <x v="1082"/>
    <x v="530"/>
    <x v="522"/>
    <x v="514"/>
    <x v="0"/>
    <x v="1"/>
    <x v="2"/>
    <x v="532"/>
    <x v="171"/>
    <x v="1"/>
    <x v="2"/>
    <x v="0"/>
    <x v="0"/>
    <x v="3"/>
    <x v="3"/>
    <x v="3"/>
    <x v="2"/>
    <x v="1"/>
    <x v="2"/>
    <x v="1"/>
    <x v="1"/>
    <x v="245"/>
    <x v="2"/>
    <x v="3"/>
    <x v="4"/>
    <x v="525"/>
    <x v="3"/>
    <x v="1"/>
    <x v="5"/>
    <x v="1"/>
    <x v="0"/>
    <x v="626"/>
    <x v="0"/>
    <x v="317"/>
  </r>
  <r>
    <x v="1083"/>
    <x v="520"/>
    <x v="512"/>
    <x v="504"/>
    <x v="0"/>
    <x v="1"/>
    <x v="2"/>
    <x v="523"/>
    <x v="386"/>
    <x v="1"/>
    <x v="3"/>
    <x v="0"/>
    <x v="0"/>
    <x v="3"/>
    <x v="3"/>
    <x v="3"/>
    <x v="2"/>
    <x v="2"/>
    <x v="2"/>
    <x v="1"/>
    <x v="1"/>
    <x v="246"/>
    <x v="2"/>
    <x v="3"/>
    <x v="4"/>
    <x v="515"/>
    <x v="12"/>
    <x v="1"/>
    <x v="7"/>
    <x v="1"/>
    <x v="0"/>
    <x v="627"/>
    <x v="0"/>
    <x v="0"/>
  </r>
  <r>
    <x v="1084"/>
    <x v="532"/>
    <x v="524"/>
    <x v="516"/>
    <x v="864"/>
    <x v="1"/>
    <x v="2"/>
    <x v="534"/>
    <x v="196"/>
    <x v="6"/>
    <x v="0"/>
    <x v="0"/>
    <x v="4"/>
    <x v="1"/>
    <x v="1"/>
    <x v="2"/>
    <x v="2"/>
    <x v="1"/>
    <x v="3"/>
    <x v="1"/>
    <x v="2"/>
    <x v="0"/>
    <x v="1"/>
    <x v="1"/>
    <x v="2"/>
    <x v="527"/>
    <x v="1"/>
    <x v="0"/>
    <x v="0"/>
    <x v="1"/>
    <x v="0"/>
    <x v="0"/>
    <x v="0"/>
    <x v="0"/>
  </r>
  <r>
    <x v="1085"/>
    <x v="530"/>
    <x v="522"/>
    <x v="514"/>
    <x v="0"/>
    <x v="1"/>
    <x v="2"/>
    <x v="532"/>
    <x v="171"/>
    <x v="1"/>
    <x v="2"/>
    <x v="0"/>
    <x v="0"/>
    <x v="3"/>
    <x v="1"/>
    <x v="1"/>
    <x v="2"/>
    <x v="1"/>
    <x v="2"/>
    <x v="1"/>
    <x v="2"/>
    <x v="0"/>
    <x v="2"/>
    <x v="3"/>
    <x v="4"/>
    <x v="525"/>
    <x v="2"/>
    <x v="0"/>
    <x v="0"/>
    <x v="1"/>
    <x v="0"/>
    <x v="0"/>
    <x v="0"/>
    <x v="0"/>
  </r>
  <r>
    <x v="1086"/>
    <x v="533"/>
    <x v="525"/>
    <x v="517"/>
    <x v="865"/>
    <x v="1"/>
    <x v="2"/>
    <x v="535"/>
    <x v="387"/>
    <x v="1"/>
    <x v="9"/>
    <x v="0"/>
    <x v="0"/>
    <x v="1"/>
    <x v="1"/>
    <x v="1"/>
    <x v="2"/>
    <x v="1"/>
    <x v="2"/>
    <x v="1"/>
    <x v="2"/>
    <x v="0"/>
    <x v="1"/>
    <x v="6"/>
    <x v="2"/>
    <x v="528"/>
    <x v="12"/>
    <x v="0"/>
    <x v="0"/>
    <x v="1"/>
    <x v="0"/>
    <x v="0"/>
    <x v="0"/>
    <x v="0"/>
  </r>
  <r>
    <x v="1087"/>
    <x v="223"/>
    <x v="222"/>
    <x v="219"/>
    <x v="866"/>
    <x v="1"/>
    <x v="2"/>
    <x v="233"/>
    <x v="377"/>
    <x v="6"/>
    <x v="0"/>
    <x v="0"/>
    <x v="25"/>
    <x v="1"/>
    <x v="1"/>
    <x v="1"/>
    <x v="2"/>
    <x v="1"/>
    <x v="3"/>
    <x v="1"/>
    <x v="2"/>
    <x v="0"/>
    <x v="1"/>
    <x v="4"/>
    <x v="2"/>
    <x v="223"/>
    <x v="12"/>
    <x v="0"/>
    <x v="0"/>
    <x v="1"/>
    <x v="0"/>
    <x v="0"/>
    <x v="0"/>
    <x v="0"/>
  </r>
  <r>
    <x v="1088"/>
    <x v="520"/>
    <x v="512"/>
    <x v="504"/>
    <x v="867"/>
    <x v="1"/>
    <x v="2"/>
    <x v="523"/>
    <x v="380"/>
    <x v="1"/>
    <x v="3"/>
    <x v="0"/>
    <x v="0"/>
    <x v="3"/>
    <x v="1"/>
    <x v="1"/>
    <x v="2"/>
    <x v="2"/>
    <x v="2"/>
    <x v="1"/>
    <x v="2"/>
    <x v="0"/>
    <x v="2"/>
    <x v="3"/>
    <x v="4"/>
    <x v="515"/>
    <x v="12"/>
    <x v="0"/>
    <x v="0"/>
    <x v="1"/>
    <x v="0"/>
    <x v="0"/>
    <x v="0"/>
    <x v="0"/>
  </r>
  <r>
    <x v="1089"/>
    <x v="534"/>
    <x v="526"/>
    <x v="518"/>
    <x v="868"/>
    <x v="1"/>
    <x v="1"/>
    <x v="536"/>
    <x v="388"/>
    <x v="1"/>
    <x v="36"/>
    <x v="0"/>
    <x v="0"/>
    <x v="1"/>
    <x v="1"/>
    <x v="1"/>
    <x v="2"/>
    <x v="1"/>
    <x v="2"/>
    <x v="1"/>
    <x v="2"/>
    <x v="0"/>
    <x v="1"/>
    <x v="6"/>
    <x v="2"/>
    <x v="529"/>
    <x v="12"/>
    <x v="0"/>
    <x v="0"/>
    <x v="1"/>
    <x v="0"/>
    <x v="0"/>
    <x v="0"/>
    <x v="0"/>
  </r>
  <r>
    <x v="1090"/>
    <x v="530"/>
    <x v="522"/>
    <x v="514"/>
    <x v="869"/>
    <x v="1"/>
    <x v="2"/>
    <x v="537"/>
    <x v="171"/>
    <x v="1"/>
    <x v="4"/>
    <x v="0"/>
    <x v="0"/>
    <x v="1"/>
    <x v="3"/>
    <x v="3"/>
    <x v="2"/>
    <x v="1"/>
    <x v="2"/>
    <x v="1"/>
    <x v="1"/>
    <x v="247"/>
    <x v="2"/>
    <x v="6"/>
    <x v="2"/>
    <x v="525"/>
    <x v="1"/>
    <x v="1"/>
    <x v="7"/>
    <x v="1"/>
    <x v="0"/>
    <x v="628"/>
    <x v="305"/>
    <x v="0"/>
  </r>
  <r>
    <x v="1091"/>
    <x v="193"/>
    <x v="191"/>
    <x v="189"/>
    <x v="870"/>
    <x v="1"/>
    <x v="2"/>
    <x v="202"/>
    <x v="165"/>
    <x v="1"/>
    <x v="44"/>
    <x v="0"/>
    <x v="0"/>
    <x v="1"/>
    <x v="1"/>
    <x v="1"/>
    <x v="2"/>
    <x v="1"/>
    <x v="2"/>
    <x v="1"/>
    <x v="1"/>
    <x v="247"/>
    <x v="1"/>
    <x v="1"/>
    <x v="2"/>
    <x v="191"/>
    <x v="3"/>
    <x v="1"/>
    <x v="3"/>
    <x v="1"/>
    <x v="0"/>
    <x v="629"/>
    <x v="306"/>
    <x v="318"/>
  </r>
  <r>
    <x v="1092"/>
    <x v="535"/>
    <x v="527"/>
    <x v="519"/>
    <x v="871"/>
    <x v="1"/>
    <x v="1"/>
    <x v="38"/>
    <x v="280"/>
    <x v="1"/>
    <x v="13"/>
    <x v="0"/>
    <x v="0"/>
    <x v="1"/>
    <x v="1"/>
    <x v="1"/>
    <x v="2"/>
    <x v="1"/>
    <x v="3"/>
    <x v="1"/>
    <x v="1"/>
    <x v="247"/>
    <x v="1"/>
    <x v="1"/>
    <x v="2"/>
    <x v="530"/>
    <x v="1"/>
    <x v="1"/>
    <x v="4"/>
    <x v="2"/>
    <x v="1"/>
    <x v="630"/>
    <x v="0"/>
    <x v="319"/>
  </r>
  <r>
    <x v="1093"/>
    <x v="536"/>
    <x v="528"/>
    <x v="520"/>
    <x v="872"/>
    <x v="1"/>
    <x v="2"/>
    <x v="538"/>
    <x v="203"/>
    <x v="1"/>
    <x v="15"/>
    <x v="0"/>
    <x v="0"/>
    <x v="1"/>
    <x v="1"/>
    <x v="1"/>
    <x v="2"/>
    <x v="1"/>
    <x v="2"/>
    <x v="1"/>
    <x v="1"/>
    <x v="247"/>
    <x v="1"/>
    <x v="1"/>
    <x v="2"/>
    <x v="531"/>
    <x v="12"/>
    <x v="1"/>
    <x v="3"/>
    <x v="1"/>
    <x v="0"/>
    <x v="631"/>
    <x v="0"/>
    <x v="320"/>
  </r>
  <r>
    <x v="1094"/>
    <x v="193"/>
    <x v="191"/>
    <x v="189"/>
    <x v="0"/>
    <x v="1"/>
    <x v="2"/>
    <x v="202"/>
    <x v="165"/>
    <x v="1"/>
    <x v="44"/>
    <x v="0"/>
    <x v="0"/>
    <x v="3"/>
    <x v="1"/>
    <x v="1"/>
    <x v="2"/>
    <x v="1"/>
    <x v="2"/>
    <x v="1"/>
    <x v="2"/>
    <x v="0"/>
    <x v="2"/>
    <x v="3"/>
    <x v="4"/>
    <x v="191"/>
    <x v="3"/>
    <x v="0"/>
    <x v="0"/>
    <x v="1"/>
    <x v="0"/>
    <x v="0"/>
    <x v="0"/>
    <x v="0"/>
  </r>
  <r>
    <x v="1095"/>
    <x v="535"/>
    <x v="527"/>
    <x v="519"/>
    <x v="873"/>
    <x v="1"/>
    <x v="1"/>
    <x v="38"/>
    <x v="280"/>
    <x v="1"/>
    <x v="136"/>
    <x v="0"/>
    <x v="0"/>
    <x v="3"/>
    <x v="1"/>
    <x v="1"/>
    <x v="2"/>
    <x v="1"/>
    <x v="3"/>
    <x v="1"/>
    <x v="2"/>
    <x v="0"/>
    <x v="1"/>
    <x v="3"/>
    <x v="4"/>
    <x v="530"/>
    <x v="1"/>
    <x v="0"/>
    <x v="0"/>
    <x v="1"/>
    <x v="0"/>
    <x v="0"/>
    <x v="0"/>
    <x v="0"/>
  </r>
  <r>
    <x v="1096"/>
    <x v="530"/>
    <x v="522"/>
    <x v="514"/>
    <x v="0"/>
    <x v="1"/>
    <x v="2"/>
    <x v="532"/>
    <x v="171"/>
    <x v="1"/>
    <x v="4"/>
    <x v="0"/>
    <x v="0"/>
    <x v="3"/>
    <x v="1"/>
    <x v="1"/>
    <x v="2"/>
    <x v="1"/>
    <x v="2"/>
    <x v="1"/>
    <x v="2"/>
    <x v="0"/>
    <x v="2"/>
    <x v="3"/>
    <x v="4"/>
    <x v="525"/>
    <x v="12"/>
    <x v="0"/>
    <x v="0"/>
    <x v="1"/>
    <x v="0"/>
    <x v="0"/>
    <x v="0"/>
    <x v="0"/>
  </r>
  <r>
    <x v="1097"/>
    <x v="536"/>
    <x v="528"/>
    <x v="520"/>
    <x v="0"/>
    <x v="1"/>
    <x v="2"/>
    <x v="538"/>
    <x v="203"/>
    <x v="1"/>
    <x v="15"/>
    <x v="0"/>
    <x v="0"/>
    <x v="3"/>
    <x v="1"/>
    <x v="1"/>
    <x v="2"/>
    <x v="1"/>
    <x v="2"/>
    <x v="1"/>
    <x v="2"/>
    <x v="0"/>
    <x v="2"/>
    <x v="3"/>
    <x v="4"/>
    <x v="531"/>
    <x v="3"/>
    <x v="0"/>
    <x v="0"/>
    <x v="1"/>
    <x v="0"/>
    <x v="0"/>
    <x v="0"/>
    <x v="0"/>
  </r>
  <r>
    <x v="1098"/>
    <x v="530"/>
    <x v="522"/>
    <x v="514"/>
    <x v="874"/>
    <x v="1"/>
    <x v="2"/>
    <x v="532"/>
    <x v="171"/>
    <x v="1"/>
    <x v="15"/>
    <x v="0"/>
    <x v="0"/>
    <x v="1"/>
    <x v="1"/>
    <x v="1"/>
    <x v="2"/>
    <x v="1"/>
    <x v="2"/>
    <x v="1"/>
    <x v="1"/>
    <x v="248"/>
    <x v="2"/>
    <x v="5"/>
    <x v="2"/>
    <x v="525"/>
    <x v="3"/>
    <x v="1"/>
    <x v="7"/>
    <x v="1"/>
    <x v="0"/>
    <x v="632"/>
    <x v="0"/>
    <x v="0"/>
  </r>
  <r>
    <x v="1099"/>
    <x v="537"/>
    <x v="529"/>
    <x v="521"/>
    <x v="875"/>
    <x v="3"/>
    <x v="2"/>
    <x v="539"/>
    <x v="389"/>
    <x v="1"/>
    <x v="204"/>
    <x v="0"/>
    <x v="0"/>
    <x v="1"/>
    <x v="1"/>
    <x v="1"/>
    <x v="1"/>
    <x v="1"/>
    <x v="3"/>
    <x v="1"/>
    <x v="2"/>
    <x v="0"/>
    <x v="1"/>
    <x v="5"/>
    <x v="2"/>
    <x v="532"/>
    <x v="3"/>
    <x v="0"/>
    <x v="0"/>
    <x v="1"/>
    <x v="0"/>
    <x v="0"/>
    <x v="0"/>
    <x v="0"/>
  </r>
  <r>
    <x v="1100"/>
    <x v="530"/>
    <x v="522"/>
    <x v="514"/>
    <x v="0"/>
    <x v="1"/>
    <x v="2"/>
    <x v="532"/>
    <x v="171"/>
    <x v="1"/>
    <x v="15"/>
    <x v="0"/>
    <x v="0"/>
    <x v="3"/>
    <x v="1"/>
    <x v="1"/>
    <x v="2"/>
    <x v="1"/>
    <x v="2"/>
    <x v="1"/>
    <x v="2"/>
    <x v="0"/>
    <x v="2"/>
    <x v="3"/>
    <x v="4"/>
    <x v="525"/>
    <x v="12"/>
    <x v="0"/>
    <x v="0"/>
    <x v="1"/>
    <x v="0"/>
    <x v="0"/>
    <x v="0"/>
    <x v="0"/>
  </r>
  <r>
    <x v="1101"/>
    <x v="538"/>
    <x v="530"/>
    <x v="522"/>
    <x v="876"/>
    <x v="3"/>
    <x v="3"/>
    <x v="540"/>
    <x v="343"/>
    <x v="1"/>
    <x v="2"/>
    <x v="0"/>
    <x v="0"/>
    <x v="1"/>
    <x v="2"/>
    <x v="3"/>
    <x v="2"/>
    <x v="1"/>
    <x v="2"/>
    <x v="1"/>
    <x v="1"/>
    <x v="249"/>
    <x v="1"/>
    <x v="1"/>
    <x v="2"/>
    <x v="533"/>
    <x v="5"/>
    <x v="1"/>
    <x v="1"/>
    <x v="2"/>
    <x v="1"/>
    <x v="633"/>
    <x v="307"/>
    <x v="0"/>
  </r>
  <r>
    <x v="1102"/>
    <x v="529"/>
    <x v="521"/>
    <x v="513"/>
    <x v="877"/>
    <x v="1"/>
    <x v="1"/>
    <x v="531"/>
    <x v="10"/>
    <x v="1"/>
    <x v="205"/>
    <x v="0"/>
    <x v="0"/>
    <x v="1"/>
    <x v="1"/>
    <x v="1"/>
    <x v="2"/>
    <x v="1"/>
    <x v="2"/>
    <x v="1"/>
    <x v="2"/>
    <x v="0"/>
    <x v="1"/>
    <x v="1"/>
    <x v="2"/>
    <x v="524"/>
    <x v="4"/>
    <x v="0"/>
    <x v="0"/>
    <x v="1"/>
    <x v="0"/>
    <x v="0"/>
    <x v="0"/>
    <x v="0"/>
  </r>
  <r>
    <x v="1103"/>
    <x v="539"/>
    <x v="531"/>
    <x v="523"/>
    <x v="878"/>
    <x v="1"/>
    <x v="2"/>
    <x v="541"/>
    <x v="390"/>
    <x v="1"/>
    <x v="206"/>
    <x v="0"/>
    <x v="0"/>
    <x v="1"/>
    <x v="1"/>
    <x v="1"/>
    <x v="2"/>
    <x v="2"/>
    <x v="2"/>
    <x v="1"/>
    <x v="2"/>
    <x v="0"/>
    <x v="1"/>
    <x v="1"/>
    <x v="2"/>
    <x v="534"/>
    <x v="12"/>
    <x v="0"/>
    <x v="0"/>
    <x v="1"/>
    <x v="0"/>
    <x v="0"/>
    <x v="0"/>
    <x v="0"/>
  </r>
  <r>
    <x v="1104"/>
    <x v="335"/>
    <x v="335"/>
    <x v="330"/>
    <x v="879"/>
    <x v="1"/>
    <x v="2"/>
    <x v="350"/>
    <x v="269"/>
    <x v="1"/>
    <x v="22"/>
    <x v="0"/>
    <x v="0"/>
    <x v="1"/>
    <x v="1"/>
    <x v="1"/>
    <x v="2"/>
    <x v="1"/>
    <x v="2"/>
    <x v="1"/>
    <x v="2"/>
    <x v="0"/>
    <x v="1"/>
    <x v="5"/>
    <x v="2"/>
    <x v="337"/>
    <x v="12"/>
    <x v="0"/>
    <x v="0"/>
    <x v="1"/>
    <x v="0"/>
    <x v="0"/>
    <x v="0"/>
    <x v="0"/>
  </r>
  <r>
    <x v="1105"/>
    <x v="538"/>
    <x v="530"/>
    <x v="522"/>
    <x v="880"/>
    <x v="3"/>
    <x v="3"/>
    <x v="540"/>
    <x v="391"/>
    <x v="1"/>
    <x v="2"/>
    <x v="0"/>
    <x v="0"/>
    <x v="3"/>
    <x v="3"/>
    <x v="2"/>
    <x v="2"/>
    <x v="1"/>
    <x v="2"/>
    <x v="1"/>
    <x v="1"/>
    <x v="249"/>
    <x v="2"/>
    <x v="3"/>
    <x v="4"/>
    <x v="533"/>
    <x v="5"/>
    <x v="1"/>
    <x v="2"/>
    <x v="2"/>
    <x v="1"/>
    <x v="634"/>
    <x v="0"/>
    <x v="0"/>
  </r>
  <r>
    <x v="1106"/>
    <x v="538"/>
    <x v="530"/>
    <x v="522"/>
    <x v="881"/>
    <x v="3"/>
    <x v="3"/>
    <x v="542"/>
    <x v="392"/>
    <x v="1"/>
    <x v="2"/>
    <x v="0"/>
    <x v="0"/>
    <x v="3"/>
    <x v="1"/>
    <x v="1"/>
    <x v="2"/>
    <x v="1"/>
    <x v="2"/>
    <x v="1"/>
    <x v="1"/>
    <x v="250"/>
    <x v="2"/>
    <x v="3"/>
    <x v="4"/>
    <x v="533"/>
    <x v="4"/>
    <x v="3"/>
    <x v="0"/>
    <x v="1"/>
    <x v="0"/>
    <x v="635"/>
    <x v="0"/>
    <x v="0"/>
  </r>
  <r>
    <x v="1107"/>
    <x v="540"/>
    <x v="532"/>
    <x v="524"/>
    <x v="882"/>
    <x v="1"/>
    <x v="2"/>
    <x v="543"/>
    <x v="393"/>
    <x v="1"/>
    <x v="2"/>
    <x v="0"/>
    <x v="0"/>
    <x v="1"/>
    <x v="1"/>
    <x v="1"/>
    <x v="2"/>
    <x v="1"/>
    <x v="3"/>
    <x v="1"/>
    <x v="1"/>
    <x v="251"/>
    <x v="1"/>
    <x v="5"/>
    <x v="2"/>
    <x v="535"/>
    <x v="5"/>
    <x v="1"/>
    <x v="7"/>
    <x v="2"/>
    <x v="1"/>
    <x v="636"/>
    <x v="0"/>
    <x v="211"/>
  </r>
  <r>
    <x v="1108"/>
    <x v="541"/>
    <x v="533"/>
    <x v="525"/>
    <x v="883"/>
    <x v="1"/>
    <x v="2"/>
    <x v="171"/>
    <x v="394"/>
    <x v="1"/>
    <x v="207"/>
    <x v="0"/>
    <x v="0"/>
    <x v="1"/>
    <x v="1"/>
    <x v="1"/>
    <x v="1"/>
    <x v="2"/>
    <x v="2"/>
    <x v="1"/>
    <x v="2"/>
    <x v="0"/>
    <x v="1"/>
    <x v="6"/>
    <x v="2"/>
    <x v="536"/>
    <x v="12"/>
    <x v="0"/>
    <x v="0"/>
    <x v="1"/>
    <x v="0"/>
    <x v="0"/>
    <x v="0"/>
    <x v="0"/>
  </r>
  <r>
    <x v="1109"/>
    <x v="502"/>
    <x v="494"/>
    <x v="487"/>
    <x v="884"/>
    <x v="2"/>
    <x v="1"/>
    <x v="503"/>
    <x v="369"/>
    <x v="1"/>
    <x v="9"/>
    <x v="0"/>
    <x v="0"/>
    <x v="1"/>
    <x v="1"/>
    <x v="1"/>
    <x v="2"/>
    <x v="2"/>
    <x v="1"/>
    <x v="1"/>
    <x v="2"/>
    <x v="0"/>
    <x v="1"/>
    <x v="6"/>
    <x v="2"/>
    <x v="497"/>
    <x v="12"/>
    <x v="0"/>
    <x v="0"/>
    <x v="1"/>
    <x v="0"/>
    <x v="0"/>
    <x v="0"/>
    <x v="0"/>
  </r>
  <r>
    <x v="1110"/>
    <x v="540"/>
    <x v="532"/>
    <x v="524"/>
    <x v="885"/>
    <x v="1"/>
    <x v="2"/>
    <x v="543"/>
    <x v="393"/>
    <x v="1"/>
    <x v="208"/>
    <x v="0"/>
    <x v="0"/>
    <x v="3"/>
    <x v="1"/>
    <x v="1"/>
    <x v="2"/>
    <x v="1"/>
    <x v="2"/>
    <x v="1"/>
    <x v="2"/>
    <x v="0"/>
    <x v="1"/>
    <x v="3"/>
    <x v="4"/>
    <x v="535"/>
    <x v="12"/>
    <x v="0"/>
    <x v="0"/>
    <x v="1"/>
    <x v="0"/>
    <x v="0"/>
    <x v="0"/>
    <x v="0"/>
  </r>
  <r>
    <x v="1111"/>
    <x v="542"/>
    <x v="534"/>
    <x v="526"/>
    <x v="886"/>
    <x v="1"/>
    <x v="2"/>
    <x v="544"/>
    <x v="171"/>
    <x v="2"/>
    <x v="0"/>
    <x v="2"/>
    <x v="0"/>
    <x v="1"/>
    <x v="1"/>
    <x v="1"/>
    <x v="2"/>
    <x v="1"/>
    <x v="2"/>
    <x v="1"/>
    <x v="1"/>
    <x v="250"/>
    <x v="1"/>
    <x v="6"/>
    <x v="2"/>
    <x v="537"/>
    <x v="5"/>
    <x v="1"/>
    <x v="1"/>
    <x v="1"/>
    <x v="0"/>
    <x v="637"/>
    <x v="0"/>
    <x v="0"/>
  </r>
  <r>
    <x v="1112"/>
    <x v="542"/>
    <x v="534"/>
    <x v="526"/>
    <x v="886"/>
    <x v="1"/>
    <x v="2"/>
    <x v="544"/>
    <x v="171"/>
    <x v="2"/>
    <x v="0"/>
    <x v="2"/>
    <x v="0"/>
    <x v="3"/>
    <x v="2"/>
    <x v="3"/>
    <x v="2"/>
    <x v="1"/>
    <x v="2"/>
    <x v="1"/>
    <x v="1"/>
    <x v="252"/>
    <x v="1"/>
    <x v="3"/>
    <x v="4"/>
    <x v="537"/>
    <x v="5"/>
    <x v="3"/>
    <x v="0"/>
    <x v="1"/>
    <x v="0"/>
    <x v="638"/>
    <x v="308"/>
    <x v="0"/>
  </r>
  <r>
    <x v="1113"/>
    <x v="543"/>
    <x v="535"/>
    <x v="527"/>
    <x v="887"/>
    <x v="3"/>
    <x v="1"/>
    <x v="545"/>
    <x v="395"/>
    <x v="2"/>
    <x v="0"/>
    <x v="6"/>
    <x v="0"/>
    <x v="1"/>
    <x v="2"/>
    <x v="3"/>
    <x v="2"/>
    <x v="1"/>
    <x v="2"/>
    <x v="1"/>
    <x v="1"/>
    <x v="252"/>
    <x v="1"/>
    <x v="6"/>
    <x v="2"/>
    <x v="538"/>
    <x v="5"/>
    <x v="1"/>
    <x v="7"/>
    <x v="1"/>
    <x v="0"/>
    <x v="639"/>
    <x v="309"/>
    <x v="0"/>
  </r>
  <r>
    <x v="1114"/>
    <x v="530"/>
    <x v="522"/>
    <x v="514"/>
    <x v="888"/>
    <x v="1"/>
    <x v="2"/>
    <x v="532"/>
    <x v="171"/>
    <x v="2"/>
    <x v="0"/>
    <x v="2"/>
    <x v="0"/>
    <x v="1"/>
    <x v="1"/>
    <x v="1"/>
    <x v="2"/>
    <x v="1"/>
    <x v="2"/>
    <x v="1"/>
    <x v="1"/>
    <x v="252"/>
    <x v="2"/>
    <x v="6"/>
    <x v="2"/>
    <x v="525"/>
    <x v="5"/>
    <x v="1"/>
    <x v="7"/>
    <x v="1"/>
    <x v="0"/>
    <x v="640"/>
    <x v="0"/>
    <x v="0"/>
  </r>
  <r>
    <x v="1115"/>
    <x v="544"/>
    <x v="536"/>
    <x v="528"/>
    <x v="889"/>
    <x v="3"/>
    <x v="2"/>
    <x v="546"/>
    <x v="10"/>
    <x v="1"/>
    <x v="4"/>
    <x v="0"/>
    <x v="0"/>
    <x v="1"/>
    <x v="3"/>
    <x v="3"/>
    <x v="2"/>
    <x v="1"/>
    <x v="2"/>
    <x v="1"/>
    <x v="1"/>
    <x v="252"/>
    <x v="1"/>
    <x v="6"/>
    <x v="2"/>
    <x v="539"/>
    <x v="5"/>
    <x v="1"/>
    <x v="7"/>
    <x v="1"/>
    <x v="0"/>
    <x v="641"/>
    <x v="0"/>
    <x v="0"/>
  </r>
  <r>
    <x v="1116"/>
    <x v="530"/>
    <x v="522"/>
    <x v="514"/>
    <x v="0"/>
    <x v="1"/>
    <x v="2"/>
    <x v="532"/>
    <x v="171"/>
    <x v="1"/>
    <x v="15"/>
    <x v="0"/>
    <x v="0"/>
    <x v="3"/>
    <x v="1"/>
    <x v="1"/>
    <x v="2"/>
    <x v="1"/>
    <x v="2"/>
    <x v="1"/>
    <x v="2"/>
    <x v="0"/>
    <x v="2"/>
    <x v="3"/>
    <x v="4"/>
    <x v="525"/>
    <x v="12"/>
    <x v="0"/>
    <x v="0"/>
    <x v="1"/>
    <x v="0"/>
    <x v="0"/>
    <x v="0"/>
    <x v="0"/>
  </r>
  <r>
    <x v="1117"/>
    <x v="303"/>
    <x v="304"/>
    <x v="529"/>
    <x v="890"/>
    <x v="1"/>
    <x v="2"/>
    <x v="317"/>
    <x v="396"/>
    <x v="1"/>
    <x v="209"/>
    <x v="0"/>
    <x v="0"/>
    <x v="1"/>
    <x v="1"/>
    <x v="1"/>
    <x v="2"/>
    <x v="1"/>
    <x v="2"/>
    <x v="1"/>
    <x v="2"/>
    <x v="0"/>
    <x v="1"/>
    <x v="6"/>
    <x v="2"/>
    <x v="540"/>
    <x v="12"/>
    <x v="0"/>
    <x v="0"/>
    <x v="1"/>
    <x v="0"/>
    <x v="0"/>
    <x v="0"/>
    <x v="0"/>
  </r>
  <r>
    <x v="1118"/>
    <x v="545"/>
    <x v="537"/>
    <x v="530"/>
    <x v="891"/>
    <x v="1"/>
    <x v="2"/>
    <x v="504"/>
    <x v="379"/>
    <x v="1"/>
    <x v="15"/>
    <x v="0"/>
    <x v="0"/>
    <x v="1"/>
    <x v="3"/>
    <x v="3"/>
    <x v="1"/>
    <x v="2"/>
    <x v="1"/>
    <x v="1"/>
    <x v="1"/>
    <x v="253"/>
    <x v="1"/>
    <x v="6"/>
    <x v="2"/>
    <x v="541"/>
    <x v="12"/>
    <x v="3"/>
    <x v="0"/>
    <x v="1"/>
    <x v="0"/>
    <x v="642"/>
    <x v="0"/>
    <x v="321"/>
  </r>
  <r>
    <x v="1119"/>
    <x v="546"/>
    <x v="538"/>
    <x v="531"/>
    <x v="892"/>
    <x v="1"/>
    <x v="1"/>
    <x v="547"/>
    <x v="397"/>
    <x v="1"/>
    <x v="210"/>
    <x v="0"/>
    <x v="0"/>
    <x v="1"/>
    <x v="3"/>
    <x v="3"/>
    <x v="2"/>
    <x v="2"/>
    <x v="2"/>
    <x v="1"/>
    <x v="1"/>
    <x v="253"/>
    <x v="1"/>
    <x v="6"/>
    <x v="2"/>
    <x v="542"/>
    <x v="12"/>
    <x v="1"/>
    <x v="1"/>
    <x v="2"/>
    <x v="1"/>
    <x v="643"/>
    <x v="0"/>
    <x v="322"/>
  </r>
  <r>
    <x v="1120"/>
    <x v="547"/>
    <x v="539"/>
    <x v="532"/>
    <x v="893"/>
    <x v="3"/>
    <x v="2"/>
    <x v="548"/>
    <x v="346"/>
    <x v="1"/>
    <x v="211"/>
    <x v="0"/>
    <x v="0"/>
    <x v="1"/>
    <x v="3"/>
    <x v="4"/>
    <x v="2"/>
    <x v="1"/>
    <x v="2"/>
    <x v="1"/>
    <x v="1"/>
    <x v="253"/>
    <x v="1"/>
    <x v="6"/>
    <x v="2"/>
    <x v="543"/>
    <x v="12"/>
    <x v="3"/>
    <x v="0"/>
    <x v="1"/>
    <x v="0"/>
    <x v="644"/>
    <x v="0"/>
    <x v="323"/>
  </r>
  <r>
    <x v="1121"/>
    <x v="544"/>
    <x v="536"/>
    <x v="528"/>
    <x v="894"/>
    <x v="3"/>
    <x v="2"/>
    <x v="546"/>
    <x v="165"/>
    <x v="1"/>
    <x v="4"/>
    <x v="0"/>
    <x v="0"/>
    <x v="3"/>
    <x v="1"/>
    <x v="1"/>
    <x v="2"/>
    <x v="1"/>
    <x v="2"/>
    <x v="1"/>
    <x v="2"/>
    <x v="0"/>
    <x v="2"/>
    <x v="3"/>
    <x v="4"/>
    <x v="539"/>
    <x v="12"/>
    <x v="0"/>
    <x v="0"/>
    <x v="1"/>
    <x v="0"/>
    <x v="0"/>
    <x v="0"/>
    <x v="0"/>
  </r>
  <r>
    <x v="1122"/>
    <x v="543"/>
    <x v="535"/>
    <x v="527"/>
    <x v="0"/>
    <x v="3"/>
    <x v="1"/>
    <x v="545"/>
    <x v="395"/>
    <x v="1"/>
    <x v="15"/>
    <x v="0"/>
    <x v="0"/>
    <x v="3"/>
    <x v="1"/>
    <x v="1"/>
    <x v="2"/>
    <x v="1"/>
    <x v="2"/>
    <x v="1"/>
    <x v="2"/>
    <x v="0"/>
    <x v="2"/>
    <x v="3"/>
    <x v="4"/>
    <x v="538"/>
    <x v="12"/>
    <x v="0"/>
    <x v="0"/>
    <x v="1"/>
    <x v="0"/>
    <x v="0"/>
    <x v="0"/>
    <x v="0"/>
  </r>
  <r>
    <x v="1123"/>
    <x v="548"/>
    <x v="540"/>
    <x v="533"/>
    <x v="895"/>
    <x v="3"/>
    <x v="2"/>
    <x v="549"/>
    <x v="206"/>
    <x v="2"/>
    <x v="0"/>
    <x v="5"/>
    <x v="0"/>
    <x v="1"/>
    <x v="2"/>
    <x v="3"/>
    <x v="2"/>
    <x v="1"/>
    <x v="2"/>
    <x v="1"/>
    <x v="1"/>
    <x v="254"/>
    <x v="1"/>
    <x v="6"/>
    <x v="2"/>
    <x v="544"/>
    <x v="5"/>
    <x v="1"/>
    <x v="1"/>
    <x v="1"/>
    <x v="0"/>
    <x v="645"/>
    <x v="0"/>
    <x v="0"/>
  </r>
  <r>
    <x v="1124"/>
    <x v="546"/>
    <x v="538"/>
    <x v="531"/>
    <x v="896"/>
    <x v="1"/>
    <x v="1"/>
    <x v="547"/>
    <x v="397"/>
    <x v="1"/>
    <x v="212"/>
    <x v="0"/>
    <x v="0"/>
    <x v="3"/>
    <x v="1"/>
    <x v="1"/>
    <x v="2"/>
    <x v="1"/>
    <x v="2"/>
    <x v="1"/>
    <x v="2"/>
    <x v="0"/>
    <x v="1"/>
    <x v="3"/>
    <x v="4"/>
    <x v="542"/>
    <x v="5"/>
    <x v="0"/>
    <x v="0"/>
    <x v="1"/>
    <x v="0"/>
    <x v="0"/>
    <x v="0"/>
    <x v="0"/>
  </r>
  <r>
    <x v="1125"/>
    <x v="549"/>
    <x v="541"/>
    <x v="534"/>
    <x v="897"/>
    <x v="1"/>
    <x v="2"/>
    <x v="550"/>
    <x v="398"/>
    <x v="1"/>
    <x v="9"/>
    <x v="0"/>
    <x v="0"/>
    <x v="1"/>
    <x v="1"/>
    <x v="1"/>
    <x v="2"/>
    <x v="1"/>
    <x v="2"/>
    <x v="1"/>
    <x v="1"/>
    <x v="254"/>
    <x v="1"/>
    <x v="6"/>
    <x v="2"/>
    <x v="545"/>
    <x v="5"/>
    <x v="1"/>
    <x v="1"/>
    <x v="1"/>
    <x v="0"/>
    <x v="646"/>
    <x v="0"/>
    <x v="194"/>
  </r>
  <r>
    <x v="1126"/>
    <x v="548"/>
    <x v="540"/>
    <x v="533"/>
    <x v="0"/>
    <x v="3"/>
    <x v="2"/>
    <x v="549"/>
    <x v="206"/>
    <x v="2"/>
    <x v="0"/>
    <x v="5"/>
    <x v="0"/>
    <x v="3"/>
    <x v="4"/>
    <x v="1"/>
    <x v="2"/>
    <x v="1"/>
    <x v="2"/>
    <x v="1"/>
    <x v="2"/>
    <x v="0"/>
    <x v="2"/>
    <x v="3"/>
    <x v="4"/>
    <x v="544"/>
    <x v="5"/>
    <x v="0"/>
    <x v="0"/>
    <x v="1"/>
    <x v="0"/>
    <x v="0"/>
    <x v="0"/>
    <x v="0"/>
  </r>
  <r>
    <x v="1127"/>
    <x v="550"/>
    <x v="542"/>
    <x v="535"/>
    <x v="898"/>
    <x v="1"/>
    <x v="1"/>
    <x v="551"/>
    <x v="280"/>
    <x v="1"/>
    <x v="8"/>
    <x v="0"/>
    <x v="0"/>
    <x v="1"/>
    <x v="1"/>
    <x v="1"/>
    <x v="2"/>
    <x v="1"/>
    <x v="2"/>
    <x v="1"/>
    <x v="1"/>
    <x v="255"/>
    <x v="1"/>
    <x v="6"/>
    <x v="2"/>
    <x v="546"/>
    <x v="5"/>
    <x v="3"/>
    <x v="0"/>
    <x v="1"/>
    <x v="0"/>
    <x v="647"/>
    <x v="0"/>
    <x v="211"/>
  </r>
  <r>
    <x v="1128"/>
    <x v="549"/>
    <x v="541"/>
    <x v="534"/>
    <x v="899"/>
    <x v="1"/>
    <x v="2"/>
    <x v="550"/>
    <x v="398"/>
    <x v="1"/>
    <x v="9"/>
    <x v="0"/>
    <x v="0"/>
    <x v="3"/>
    <x v="1"/>
    <x v="1"/>
    <x v="2"/>
    <x v="1"/>
    <x v="2"/>
    <x v="1"/>
    <x v="2"/>
    <x v="0"/>
    <x v="2"/>
    <x v="3"/>
    <x v="4"/>
    <x v="545"/>
    <x v="5"/>
    <x v="0"/>
    <x v="0"/>
    <x v="1"/>
    <x v="0"/>
    <x v="0"/>
    <x v="0"/>
    <x v="0"/>
  </r>
  <r>
    <x v="1129"/>
    <x v="551"/>
    <x v="543"/>
    <x v="536"/>
    <x v="900"/>
    <x v="1"/>
    <x v="2"/>
    <x v="552"/>
    <x v="196"/>
    <x v="6"/>
    <x v="0"/>
    <x v="0"/>
    <x v="26"/>
    <x v="1"/>
    <x v="3"/>
    <x v="3"/>
    <x v="2"/>
    <x v="1"/>
    <x v="2"/>
    <x v="1"/>
    <x v="1"/>
    <x v="256"/>
    <x v="1"/>
    <x v="6"/>
    <x v="2"/>
    <x v="547"/>
    <x v="5"/>
    <x v="1"/>
    <x v="2"/>
    <x v="1"/>
    <x v="0"/>
    <x v="648"/>
    <x v="0"/>
    <x v="0"/>
  </r>
  <r>
    <x v="1130"/>
    <x v="551"/>
    <x v="543"/>
    <x v="536"/>
    <x v="0"/>
    <x v="1"/>
    <x v="2"/>
    <x v="552"/>
    <x v="196"/>
    <x v="6"/>
    <x v="0"/>
    <x v="0"/>
    <x v="26"/>
    <x v="3"/>
    <x v="1"/>
    <x v="1"/>
    <x v="2"/>
    <x v="1"/>
    <x v="2"/>
    <x v="1"/>
    <x v="2"/>
    <x v="0"/>
    <x v="2"/>
    <x v="3"/>
    <x v="4"/>
    <x v="547"/>
    <x v="4"/>
    <x v="0"/>
    <x v="0"/>
    <x v="1"/>
    <x v="0"/>
    <x v="0"/>
    <x v="0"/>
    <x v="0"/>
  </r>
  <r>
    <x v="1131"/>
    <x v="552"/>
    <x v="544"/>
    <x v="537"/>
    <x v="901"/>
    <x v="3"/>
    <x v="2"/>
    <x v="553"/>
    <x v="360"/>
    <x v="1"/>
    <x v="213"/>
    <x v="0"/>
    <x v="0"/>
    <x v="1"/>
    <x v="2"/>
    <x v="3"/>
    <x v="2"/>
    <x v="1"/>
    <x v="1"/>
    <x v="1"/>
    <x v="1"/>
    <x v="257"/>
    <x v="1"/>
    <x v="5"/>
    <x v="3"/>
    <x v="548"/>
    <x v="1"/>
    <x v="3"/>
    <x v="0"/>
    <x v="1"/>
    <x v="0"/>
    <x v="649"/>
    <x v="310"/>
    <x v="0"/>
  </r>
  <r>
    <x v="1132"/>
    <x v="553"/>
    <x v="545"/>
    <x v="538"/>
    <x v="902"/>
    <x v="1"/>
    <x v="2"/>
    <x v="554"/>
    <x v="208"/>
    <x v="1"/>
    <x v="214"/>
    <x v="0"/>
    <x v="0"/>
    <x v="1"/>
    <x v="1"/>
    <x v="2"/>
    <x v="1"/>
    <x v="1"/>
    <x v="2"/>
    <x v="1"/>
    <x v="1"/>
    <x v="257"/>
    <x v="1"/>
    <x v="5"/>
    <x v="2"/>
    <x v="549"/>
    <x v="5"/>
    <x v="3"/>
    <x v="0"/>
    <x v="1"/>
    <x v="0"/>
    <x v="650"/>
    <x v="311"/>
    <x v="324"/>
  </r>
  <r>
    <x v="1133"/>
    <x v="554"/>
    <x v="546"/>
    <x v="539"/>
    <x v="903"/>
    <x v="1"/>
    <x v="2"/>
    <x v="555"/>
    <x v="238"/>
    <x v="1"/>
    <x v="8"/>
    <x v="0"/>
    <x v="0"/>
    <x v="1"/>
    <x v="1"/>
    <x v="1"/>
    <x v="2"/>
    <x v="1"/>
    <x v="2"/>
    <x v="1"/>
    <x v="1"/>
    <x v="258"/>
    <x v="1"/>
    <x v="2"/>
    <x v="2"/>
    <x v="550"/>
    <x v="1"/>
    <x v="3"/>
    <x v="0"/>
    <x v="1"/>
    <x v="0"/>
    <x v="651"/>
    <x v="0"/>
    <x v="0"/>
  </r>
  <r>
    <x v="1134"/>
    <x v="555"/>
    <x v="547"/>
    <x v="540"/>
    <x v="904"/>
    <x v="3"/>
    <x v="2"/>
    <x v="556"/>
    <x v="399"/>
    <x v="1"/>
    <x v="9"/>
    <x v="0"/>
    <x v="0"/>
    <x v="1"/>
    <x v="1"/>
    <x v="1"/>
    <x v="2"/>
    <x v="2"/>
    <x v="1"/>
    <x v="1"/>
    <x v="2"/>
    <x v="0"/>
    <x v="1"/>
    <x v="4"/>
    <x v="2"/>
    <x v="551"/>
    <x v="12"/>
    <x v="0"/>
    <x v="0"/>
    <x v="1"/>
    <x v="0"/>
    <x v="0"/>
    <x v="0"/>
    <x v="0"/>
  </r>
  <r>
    <x v="1135"/>
    <x v="556"/>
    <x v="548"/>
    <x v="541"/>
    <x v="905"/>
    <x v="1"/>
    <x v="3"/>
    <x v="152"/>
    <x v="352"/>
    <x v="1"/>
    <x v="15"/>
    <x v="0"/>
    <x v="0"/>
    <x v="1"/>
    <x v="1"/>
    <x v="1"/>
    <x v="2"/>
    <x v="1"/>
    <x v="2"/>
    <x v="1"/>
    <x v="2"/>
    <x v="0"/>
    <x v="1"/>
    <x v="1"/>
    <x v="2"/>
    <x v="552"/>
    <x v="12"/>
    <x v="0"/>
    <x v="0"/>
    <x v="1"/>
    <x v="0"/>
    <x v="0"/>
    <x v="0"/>
    <x v="0"/>
  </r>
  <r>
    <x v="1136"/>
    <x v="557"/>
    <x v="549"/>
    <x v="542"/>
    <x v="906"/>
    <x v="1"/>
    <x v="2"/>
    <x v="557"/>
    <x v="315"/>
    <x v="1"/>
    <x v="215"/>
    <x v="0"/>
    <x v="0"/>
    <x v="1"/>
    <x v="1"/>
    <x v="1"/>
    <x v="2"/>
    <x v="1"/>
    <x v="3"/>
    <x v="1"/>
    <x v="2"/>
    <x v="0"/>
    <x v="2"/>
    <x v="1"/>
    <x v="5"/>
    <x v="553"/>
    <x v="1"/>
    <x v="0"/>
    <x v="0"/>
    <x v="1"/>
    <x v="0"/>
    <x v="0"/>
    <x v="0"/>
    <x v="0"/>
  </r>
  <r>
    <x v="1137"/>
    <x v="555"/>
    <x v="547"/>
    <x v="540"/>
    <x v="907"/>
    <x v="3"/>
    <x v="2"/>
    <x v="556"/>
    <x v="399"/>
    <x v="1"/>
    <x v="9"/>
    <x v="0"/>
    <x v="0"/>
    <x v="1"/>
    <x v="3"/>
    <x v="3"/>
    <x v="2"/>
    <x v="2"/>
    <x v="2"/>
    <x v="1"/>
    <x v="1"/>
    <x v="259"/>
    <x v="1"/>
    <x v="6"/>
    <x v="2"/>
    <x v="551"/>
    <x v="5"/>
    <x v="1"/>
    <x v="7"/>
    <x v="2"/>
    <x v="1"/>
    <x v="638"/>
    <x v="312"/>
    <x v="325"/>
  </r>
  <r>
    <x v="1138"/>
    <x v="558"/>
    <x v="550"/>
    <x v="543"/>
    <x v="908"/>
    <x v="3"/>
    <x v="1"/>
    <x v="558"/>
    <x v="298"/>
    <x v="1"/>
    <x v="216"/>
    <x v="0"/>
    <x v="0"/>
    <x v="1"/>
    <x v="3"/>
    <x v="3"/>
    <x v="2"/>
    <x v="1"/>
    <x v="2"/>
    <x v="1"/>
    <x v="1"/>
    <x v="259"/>
    <x v="1"/>
    <x v="6"/>
    <x v="2"/>
    <x v="554"/>
    <x v="5"/>
    <x v="3"/>
    <x v="0"/>
    <x v="1"/>
    <x v="0"/>
    <x v="639"/>
    <x v="313"/>
    <x v="326"/>
  </r>
  <r>
    <x v="1139"/>
    <x v="559"/>
    <x v="551"/>
    <x v="544"/>
    <x v="909"/>
    <x v="3"/>
    <x v="2"/>
    <x v="559"/>
    <x v="358"/>
    <x v="2"/>
    <x v="0"/>
    <x v="5"/>
    <x v="0"/>
    <x v="1"/>
    <x v="3"/>
    <x v="3"/>
    <x v="2"/>
    <x v="1"/>
    <x v="1"/>
    <x v="1"/>
    <x v="1"/>
    <x v="260"/>
    <x v="1"/>
    <x v="6"/>
    <x v="2"/>
    <x v="555"/>
    <x v="12"/>
    <x v="1"/>
    <x v="3"/>
    <x v="1"/>
    <x v="0"/>
    <x v="652"/>
    <x v="314"/>
    <x v="0"/>
  </r>
  <r>
    <x v="1140"/>
    <x v="555"/>
    <x v="547"/>
    <x v="540"/>
    <x v="910"/>
    <x v="3"/>
    <x v="2"/>
    <x v="556"/>
    <x v="399"/>
    <x v="1"/>
    <x v="9"/>
    <x v="0"/>
    <x v="0"/>
    <x v="3"/>
    <x v="1"/>
    <x v="1"/>
    <x v="2"/>
    <x v="2"/>
    <x v="2"/>
    <x v="1"/>
    <x v="1"/>
    <x v="261"/>
    <x v="1"/>
    <x v="3"/>
    <x v="4"/>
    <x v="551"/>
    <x v="12"/>
    <x v="1"/>
    <x v="4"/>
    <x v="2"/>
    <x v="1"/>
    <x v="653"/>
    <x v="315"/>
    <x v="327"/>
  </r>
  <r>
    <x v="1141"/>
    <x v="557"/>
    <x v="549"/>
    <x v="542"/>
    <x v="911"/>
    <x v="1"/>
    <x v="2"/>
    <x v="557"/>
    <x v="171"/>
    <x v="1"/>
    <x v="4"/>
    <x v="0"/>
    <x v="0"/>
    <x v="1"/>
    <x v="1"/>
    <x v="1"/>
    <x v="1"/>
    <x v="1"/>
    <x v="2"/>
    <x v="1"/>
    <x v="1"/>
    <x v="260"/>
    <x v="2"/>
    <x v="1"/>
    <x v="2"/>
    <x v="556"/>
    <x v="3"/>
    <x v="1"/>
    <x v="3"/>
    <x v="1"/>
    <x v="0"/>
    <x v="654"/>
    <x v="316"/>
    <x v="328"/>
  </r>
  <r>
    <x v="1142"/>
    <x v="200"/>
    <x v="198"/>
    <x v="196"/>
    <x v="912"/>
    <x v="1"/>
    <x v="3"/>
    <x v="209"/>
    <x v="10"/>
    <x v="1"/>
    <x v="15"/>
    <x v="0"/>
    <x v="0"/>
    <x v="1"/>
    <x v="3"/>
    <x v="3"/>
    <x v="2"/>
    <x v="1"/>
    <x v="2"/>
    <x v="1"/>
    <x v="1"/>
    <x v="261"/>
    <x v="1"/>
    <x v="1"/>
    <x v="1"/>
    <x v="556"/>
    <x v="2"/>
    <x v="1"/>
    <x v="4"/>
    <x v="1"/>
    <x v="0"/>
    <x v="655"/>
    <x v="317"/>
    <x v="0"/>
  </r>
  <r>
    <x v="1143"/>
    <x v="559"/>
    <x v="551"/>
    <x v="544"/>
    <x v="0"/>
    <x v="3"/>
    <x v="2"/>
    <x v="559"/>
    <x v="358"/>
    <x v="1"/>
    <x v="217"/>
    <x v="0"/>
    <x v="0"/>
    <x v="3"/>
    <x v="1"/>
    <x v="1"/>
    <x v="2"/>
    <x v="1"/>
    <x v="2"/>
    <x v="1"/>
    <x v="2"/>
    <x v="0"/>
    <x v="2"/>
    <x v="3"/>
    <x v="4"/>
    <x v="555"/>
    <x v="3"/>
    <x v="0"/>
    <x v="0"/>
    <x v="1"/>
    <x v="0"/>
    <x v="0"/>
    <x v="0"/>
    <x v="0"/>
  </r>
  <r>
    <x v="1144"/>
    <x v="557"/>
    <x v="549"/>
    <x v="542"/>
    <x v="913"/>
    <x v="1"/>
    <x v="2"/>
    <x v="557"/>
    <x v="400"/>
    <x v="1"/>
    <x v="4"/>
    <x v="0"/>
    <x v="0"/>
    <x v="3"/>
    <x v="3"/>
    <x v="3"/>
    <x v="1"/>
    <x v="1"/>
    <x v="2"/>
    <x v="1"/>
    <x v="1"/>
    <x v="261"/>
    <x v="2"/>
    <x v="3"/>
    <x v="4"/>
    <x v="556"/>
    <x v="3"/>
    <x v="3"/>
    <x v="0"/>
    <x v="1"/>
    <x v="0"/>
    <x v="656"/>
    <x v="318"/>
    <x v="0"/>
  </r>
  <r>
    <x v="1145"/>
    <x v="499"/>
    <x v="491"/>
    <x v="484"/>
    <x v="914"/>
    <x v="1"/>
    <x v="2"/>
    <x v="500"/>
    <x v="323"/>
    <x v="1"/>
    <x v="2"/>
    <x v="0"/>
    <x v="0"/>
    <x v="1"/>
    <x v="1"/>
    <x v="1"/>
    <x v="2"/>
    <x v="1"/>
    <x v="3"/>
    <x v="2"/>
    <x v="1"/>
    <x v="261"/>
    <x v="1"/>
    <x v="5"/>
    <x v="2"/>
    <x v="494"/>
    <x v="3"/>
    <x v="1"/>
    <x v="3"/>
    <x v="1"/>
    <x v="0"/>
    <x v="657"/>
    <x v="319"/>
    <x v="329"/>
  </r>
  <r>
    <x v="1146"/>
    <x v="464"/>
    <x v="460"/>
    <x v="454"/>
    <x v="915"/>
    <x v="1"/>
    <x v="2"/>
    <x v="469"/>
    <x v="373"/>
    <x v="1"/>
    <x v="44"/>
    <x v="0"/>
    <x v="0"/>
    <x v="1"/>
    <x v="1"/>
    <x v="1"/>
    <x v="2"/>
    <x v="1"/>
    <x v="2"/>
    <x v="1"/>
    <x v="2"/>
    <x v="0"/>
    <x v="1"/>
    <x v="1"/>
    <x v="2"/>
    <x v="462"/>
    <x v="3"/>
    <x v="0"/>
    <x v="0"/>
    <x v="1"/>
    <x v="0"/>
    <x v="0"/>
    <x v="0"/>
    <x v="0"/>
  </r>
  <r>
    <x v="1147"/>
    <x v="560"/>
    <x v="552"/>
    <x v="545"/>
    <x v="916"/>
    <x v="1"/>
    <x v="2"/>
    <x v="560"/>
    <x v="401"/>
    <x v="1"/>
    <x v="138"/>
    <x v="0"/>
    <x v="0"/>
    <x v="1"/>
    <x v="3"/>
    <x v="3"/>
    <x v="2"/>
    <x v="1"/>
    <x v="2"/>
    <x v="1"/>
    <x v="1"/>
    <x v="262"/>
    <x v="1"/>
    <x v="1"/>
    <x v="2"/>
    <x v="557"/>
    <x v="2"/>
    <x v="1"/>
    <x v="4"/>
    <x v="2"/>
    <x v="1"/>
    <x v="658"/>
    <x v="320"/>
    <x v="0"/>
  </r>
  <r>
    <x v="1148"/>
    <x v="555"/>
    <x v="547"/>
    <x v="540"/>
    <x v="917"/>
    <x v="3"/>
    <x v="2"/>
    <x v="556"/>
    <x v="402"/>
    <x v="1"/>
    <x v="9"/>
    <x v="0"/>
    <x v="0"/>
    <x v="3"/>
    <x v="3"/>
    <x v="3"/>
    <x v="2"/>
    <x v="1"/>
    <x v="2"/>
    <x v="2"/>
    <x v="1"/>
    <x v="262"/>
    <x v="1"/>
    <x v="3"/>
    <x v="4"/>
    <x v="551"/>
    <x v="1"/>
    <x v="1"/>
    <x v="1"/>
    <x v="1"/>
    <x v="0"/>
    <x v="659"/>
    <x v="321"/>
    <x v="0"/>
  </r>
  <r>
    <x v="1149"/>
    <x v="200"/>
    <x v="198"/>
    <x v="196"/>
    <x v="0"/>
    <x v="1"/>
    <x v="3"/>
    <x v="209"/>
    <x v="403"/>
    <x v="1"/>
    <x v="15"/>
    <x v="0"/>
    <x v="0"/>
    <x v="3"/>
    <x v="1"/>
    <x v="1"/>
    <x v="2"/>
    <x v="1"/>
    <x v="2"/>
    <x v="1"/>
    <x v="2"/>
    <x v="0"/>
    <x v="2"/>
    <x v="3"/>
    <x v="4"/>
    <x v="556"/>
    <x v="1"/>
    <x v="0"/>
    <x v="0"/>
    <x v="1"/>
    <x v="0"/>
    <x v="0"/>
    <x v="0"/>
    <x v="0"/>
  </r>
  <r>
    <x v="1150"/>
    <x v="561"/>
    <x v="553"/>
    <x v="546"/>
    <x v="918"/>
    <x v="1"/>
    <x v="2"/>
    <x v="561"/>
    <x v="404"/>
    <x v="1"/>
    <x v="15"/>
    <x v="0"/>
    <x v="0"/>
    <x v="1"/>
    <x v="1"/>
    <x v="1"/>
    <x v="2"/>
    <x v="1"/>
    <x v="2"/>
    <x v="1"/>
    <x v="2"/>
    <x v="0"/>
    <x v="2"/>
    <x v="1"/>
    <x v="2"/>
    <x v="558"/>
    <x v="4"/>
    <x v="0"/>
    <x v="0"/>
    <x v="1"/>
    <x v="0"/>
    <x v="0"/>
    <x v="0"/>
    <x v="0"/>
  </r>
  <r>
    <x v="1151"/>
    <x v="446"/>
    <x v="442"/>
    <x v="437"/>
    <x v="919"/>
    <x v="1"/>
    <x v="2"/>
    <x v="452"/>
    <x v="343"/>
    <x v="1"/>
    <x v="15"/>
    <x v="0"/>
    <x v="0"/>
    <x v="1"/>
    <x v="2"/>
    <x v="3"/>
    <x v="2"/>
    <x v="1"/>
    <x v="1"/>
    <x v="1"/>
    <x v="1"/>
    <x v="263"/>
    <x v="1"/>
    <x v="1"/>
    <x v="2"/>
    <x v="445"/>
    <x v="1"/>
    <x v="1"/>
    <x v="4"/>
    <x v="2"/>
    <x v="1"/>
    <x v="660"/>
    <x v="0"/>
    <x v="0"/>
  </r>
  <r>
    <x v="1152"/>
    <x v="555"/>
    <x v="547"/>
    <x v="540"/>
    <x v="0"/>
    <x v="3"/>
    <x v="2"/>
    <x v="556"/>
    <x v="196"/>
    <x v="8"/>
    <x v="0"/>
    <x v="0"/>
    <x v="0"/>
    <x v="3"/>
    <x v="1"/>
    <x v="1"/>
    <x v="2"/>
    <x v="1"/>
    <x v="2"/>
    <x v="1"/>
    <x v="2"/>
    <x v="0"/>
    <x v="2"/>
    <x v="3"/>
    <x v="4"/>
    <x v="551"/>
    <x v="5"/>
    <x v="0"/>
    <x v="0"/>
    <x v="1"/>
    <x v="0"/>
    <x v="0"/>
    <x v="0"/>
    <x v="0"/>
  </r>
  <r>
    <x v="1153"/>
    <x v="560"/>
    <x v="552"/>
    <x v="545"/>
    <x v="920"/>
    <x v="1"/>
    <x v="2"/>
    <x v="560"/>
    <x v="401"/>
    <x v="1"/>
    <x v="22"/>
    <x v="0"/>
    <x v="0"/>
    <x v="3"/>
    <x v="1"/>
    <x v="1"/>
    <x v="2"/>
    <x v="1"/>
    <x v="2"/>
    <x v="1"/>
    <x v="1"/>
    <x v="264"/>
    <x v="1"/>
    <x v="3"/>
    <x v="4"/>
    <x v="557"/>
    <x v="1"/>
    <x v="3"/>
    <x v="0"/>
    <x v="1"/>
    <x v="0"/>
    <x v="661"/>
    <x v="0"/>
    <x v="0"/>
  </r>
  <r>
    <x v="1154"/>
    <x v="446"/>
    <x v="442"/>
    <x v="437"/>
    <x v="921"/>
    <x v="1"/>
    <x v="2"/>
    <x v="452"/>
    <x v="343"/>
    <x v="1"/>
    <x v="15"/>
    <x v="0"/>
    <x v="0"/>
    <x v="3"/>
    <x v="1"/>
    <x v="1"/>
    <x v="2"/>
    <x v="1"/>
    <x v="1"/>
    <x v="1"/>
    <x v="1"/>
    <x v="265"/>
    <x v="1"/>
    <x v="3"/>
    <x v="4"/>
    <x v="445"/>
    <x v="1"/>
    <x v="1"/>
    <x v="4"/>
    <x v="2"/>
    <x v="1"/>
    <x v="662"/>
    <x v="0"/>
    <x v="0"/>
  </r>
  <r>
    <x v="1155"/>
    <x v="533"/>
    <x v="525"/>
    <x v="517"/>
    <x v="922"/>
    <x v="1"/>
    <x v="2"/>
    <x v="535"/>
    <x v="405"/>
    <x v="1"/>
    <x v="218"/>
    <x v="0"/>
    <x v="0"/>
    <x v="1"/>
    <x v="2"/>
    <x v="3"/>
    <x v="2"/>
    <x v="1"/>
    <x v="2"/>
    <x v="1"/>
    <x v="1"/>
    <x v="266"/>
    <x v="1"/>
    <x v="1"/>
    <x v="2"/>
    <x v="528"/>
    <x v="6"/>
    <x v="1"/>
    <x v="4"/>
    <x v="2"/>
    <x v="1"/>
    <x v="663"/>
    <x v="0"/>
    <x v="0"/>
  </r>
  <r>
    <x v="1156"/>
    <x v="562"/>
    <x v="491"/>
    <x v="484"/>
    <x v="0"/>
    <x v="3"/>
    <x v="2"/>
    <x v="500"/>
    <x v="323"/>
    <x v="1"/>
    <x v="2"/>
    <x v="0"/>
    <x v="0"/>
    <x v="3"/>
    <x v="1"/>
    <x v="1"/>
    <x v="1"/>
    <x v="1"/>
    <x v="2"/>
    <x v="1"/>
    <x v="2"/>
    <x v="0"/>
    <x v="2"/>
    <x v="3"/>
    <x v="4"/>
    <x v="494"/>
    <x v="3"/>
    <x v="0"/>
    <x v="0"/>
    <x v="1"/>
    <x v="0"/>
    <x v="664"/>
    <x v="0"/>
    <x v="0"/>
  </r>
  <r>
    <x v="1157"/>
    <x v="446"/>
    <x v="442"/>
    <x v="437"/>
    <x v="923"/>
    <x v="1"/>
    <x v="2"/>
    <x v="452"/>
    <x v="343"/>
    <x v="1"/>
    <x v="219"/>
    <x v="0"/>
    <x v="0"/>
    <x v="1"/>
    <x v="1"/>
    <x v="1"/>
    <x v="2"/>
    <x v="1"/>
    <x v="2"/>
    <x v="1"/>
    <x v="1"/>
    <x v="266"/>
    <x v="1"/>
    <x v="5"/>
    <x v="2"/>
    <x v="445"/>
    <x v="3"/>
    <x v="1"/>
    <x v="7"/>
    <x v="2"/>
    <x v="1"/>
    <x v="665"/>
    <x v="0"/>
    <x v="0"/>
  </r>
  <r>
    <x v="1158"/>
    <x v="533"/>
    <x v="525"/>
    <x v="517"/>
    <x v="924"/>
    <x v="1"/>
    <x v="2"/>
    <x v="535"/>
    <x v="405"/>
    <x v="1"/>
    <x v="218"/>
    <x v="0"/>
    <x v="0"/>
    <x v="3"/>
    <x v="1"/>
    <x v="1"/>
    <x v="2"/>
    <x v="1"/>
    <x v="2"/>
    <x v="1"/>
    <x v="2"/>
    <x v="0"/>
    <x v="1"/>
    <x v="3"/>
    <x v="4"/>
    <x v="528"/>
    <x v="1"/>
    <x v="0"/>
    <x v="0"/>
    <x v="1"/>
    <x v="0"/>
    <x v="0"/>
    <x v="0"/>
    <x v="0"/>
  </r>
  <r>
    <x v="1159"/>
    <x v="303"/>
    <x v="304"/>
    <x v="529"/>
    <x v="925"/>
    <x v="1"/>
    <x v="2"/>
    <x v="317"/>
    <x v="137"/>
    <x v="1"/>
    <x v="220"/>
    <x v="0"/>
    <x v="0"/>
    <x v="1"/>
    <x v="2"/>
    <x v="4"/>
    <x v="2"/>
    <x v="1"/>
    <x v="3"/>
    <x v="1"/>
    <x v="1"/>
    <x v="267"/>
    <x v="1"/>
    <x v="1"/>
    <x v="2"/>
    <x v="540"/>
    <x v="1"/>
    <x v="3"/>
    <x v="0"/>
    <x v="1"/>
    <x v="0"/>
    <x v="666"/>
    <x v="0"/>
    <x v="0"/>
  </r>
  <r>
    <x v="1160"/>
    <x v="446"/>
    <x v="442"/>
    <x v="437"/>
    <x v="926"/>
    <x v="1"/>
    <x v="2"/>
    <x v="452"/>
    <x v="347"/>
    <x v="1"/>
    <x v="22"/>
    <x v="0"/>
    <x v="0"/>
    <x v="3"/>
    <x v="1"/>
    <x v="1"/>
    <x v="2"/>
    <x v="1"/>
    <x v="2"/>
    <x v="1"/>
    <x v="2"/>
    <x v="0"/>
    <x v="1"/>
    <x v="3"/>
    <x v="4"/>
    <x v="445"/>
    <x v="12"/>
    <x v="0"/>
    <x v="0"/>
    <x v="1"/>
    <x v="0"/>
    <x v="0"/>
    <x v="0"/>
    <x v="0"/>
  </r>
  <r>
    <x v="1161"/>
    <x v="289"/>
    <x v="290"/>
    <x v="285"/>
    <x v="927"/>
    <x v="1"/>
    <x v="2"/>
    <x v="304"/>
    <x v="367"/>
    <x v="1"/>
    <x v="15"/>
    <x v="0"/>
    <x v="0"/>
    <x v="1"/>
    <x v="1"/>
    <x v="1"/>
    <x v="2"/>
    <x v="1"/>
    <x v="2"/>
    <x v="1"/>
    <x v="1"/>
    <x v="266"/>
    <x v="1"/>
    <x v="1"/>
    <x v="2"/>
    <x v="559"/>
    <x v="12"/>
    <x v="3"/>
    <x v="0"/>
    <x v="1"/>
    <x v="0"/>
    <x v="667"/>
    <x v="322"/>
    <x v="330"/>
  </r>
  <r>
    <x v="1162"/>
    <x v="563"/>
    <x v="554"/>
    <x v="547"/>
    <x v="928"/>
    <x v="3"/>
    <x v="1"/>
    <x v="562"/>
    <x v="227"/>
    <x v="1"/>
    <x v="9"/>
    <x v="0"/>
    <x v="0"/>
    <x v="1"/>
    <x v="1"/>
    <x v="1"/>
    <x v="2"/>
    <x v="1"/>
    <x v="2"/>
    <x v="1"/>
    <x v="2"/>
    <x v="0"/>
    <x v="1"/>
    <x v="6"/>
    <x v="2"/>
    <x v="560"/>
    <x v="5"/>
    <x v="0"/>
    <x v="0"/>
    <x v="1"/>
    <x v="0"/>
    <x v="0"/>
    <x v="0"/>
    <x v="0"/>
  </r>
  <r>
    <x v="1163"/>
    <x v="533"/>
    <x v="525"/>
    <x v="517"/>
    <x v="929"/>
    <x v="1"/>
    <x v="2"/>
    <x v="535"/>
    <x v="405"/>
    <x v="1"/>
    <x v="221"/>
    <x v="0"/>
    <x v="0"/>
    <x v="1"/>
    <x v="1"/>
    <x v="1"/>
    <x v="2"/>
    <x v="1"/>
    <x v="2"/>
    <x v="1"/>
    <x v="1"/>
    <x v="265"/>
    <x v="1"/>
    <x v="6"/>
    <x v="2"/>
    <x v="528"/>
    <x v="5"/>
    <x v="1"/>
    <x v="4"/>
    <x v="2"/>
    <x v="1"/>
    <x v="668"/>
    <x v="323"/>
    <x v="0"/>
  </r>
  <r>
    <x v="1164"/>
    <x v="564"/>
    <x v="555"/>
    <x v="548"/>
    <x v="930"/>
    <x v="1"/>
    <x v="2"/>
    <x v="563"/>
    <x v="406"/>
    <x v="1"/>
    <x v="33"/>
    <x v="0"/>
    <x v="0"/>
    <x v="1"/>
    <x v="3"/>
    <x v="3"/>
    <x v="2"/>
    <x v="2"/>
    <x v="1"/>
    <x v="1"/>
    <x v="1"/>
    <x v="268"/>
    <x v="1"/>
    <x v="4"/>
    <x v="2"/>
    <x v="561"/>
    <x v="1"/>
    <x v="1"/>
    <x v="7"/>
    <x v="1"/>
    <x v="0"/>
    <x v="669"/>
    <x v="324"/>
    <x v="0"/>
  </r>
  <r>
    <x v="1165"/>
    <x v="446"/>
    <x v="442"/>
    <x v="437"/>
    <x v="931"/>
    <x v="1"/>
    <x v="2"/>
    <x v="452"/>
    <x v="343"/>
    <x v="1"/>
    <x v="15"/>
    <x v="0"/>
    <x v="0"/>
    <x v="3"/>
    <x v="1"/>
    <x v="1"/>
    <x v="2"/>
    <x v="1"/>
    <x v="1"/>
    <x v="2"/>
    <x v="1"/>
    <x v="269"/>
    <x v="1"/>
    <x v="3"/>
    <x v="4"/>
    <x v="445"/>
    <x v="1"/>
    <x v="1"/>
    <x v="4"/>
    <x v="2"/>
    <x v="1"/>
    <x v="670"/>
    <x v="0"/>
    <x v="0"/>
  </r>
  <r>
    <x v="1166"/>
    <x v="565"/>
    <x v="556"/>
    <x v="549"/>
    <x v="932"/>
    <x v="3"/>
    <x v="2"/>
    <x v="564"/>
    <x v="10"/>
    <x v="1"/>
    <x v="222"/>
    <x v="0"/>
    <x v="0"/>
    <x v="1"/>
    <x v="1"/>
    <x v="1"/>
    <x v="2"/>
    <x v="2"/>
    <x v="2"/>
    <x v="1"/>
    <x v="2"/>
    <x v="0"/>
    <x v="1"/>
    <x v="6"/>
    <x v="2"/>
    <x v="562"/>
    <x v="1"/>
    <x v="0"/>
    <x v="0"/>
    <x v="1"/>
    <x v="0"/>
    <x v="0"/>
    <x v="0"/>
    <x v="0"/>
  </r>
  <r>
    <x v="1167"/>
    <x v="533"/>
    <x v="525"/>
    <x v="517"/>
    <x v="933"/>
    <x v="1"/>
    <x v="2"/>
    <x v="535"/>
    <x v="405"/>
    <x v="1"/>
    <x v="221"/>
    <x v="0"/>
    <x v="0"/>
    <x v="3"/>
    <x v="1"/>
    <x v="1"/>
    <x v="2"/>
    <x v="1"/>
    <x v="2"/>
    <x v="1"/>
    <x v="2"/>
    <x v="0"/>
    <x v="1"/>
    <x v="3"/>
    <x v="4"/>
    <x v="528"/>
    <x v="1"/>
    <x v="0"/>
    <x v="0"/>
    <x v="1"/>
    <x v="0"/>
    <x v="0"/>
    <x v="0"/>
    <x v="0"/>
  </r>
  <r>
    <x v="1168"/>
    <x v="566"/>
    <x v="557"/>
    <x v="550"/>
    <x v="934"/>
    <x v="1"/>
    <x v="2"/>
    <x v="565"/>
    <x v="407"/>
    <x v="1"/>
    <x v="223"/>
    <x v="0"/>
    <x v="0"/>
    <x v="1"/>
    <x v="1"/>
    <x v="1"/>
    <x v="1"/>
    <x v="1"/>
    <x v="3"/>
    <x v="1"/>
    <x v="2"/>
    <x v="0"/>
    <x v="2"/>
    <x v="1"/>
    <x v="1"/>
    <x v="563"/>
    <x v="2"/>
    <x v="0"/>
    <x v="0"/>
    <x v="1"/>
    <x v="0"/>
    <x v="0"/>
    <x v="0"/>
    <x v="0"/>
  </r>
  <r>
    <x v="1169"/>
    <x v="564"/>
    <x v="555"/>
    <x v="548"/>
    <x v="0"/>
    <x v="1"/>
    <x v="2"/>
    <x v="563"/>
    <x v="406"/>
    <x v="1"/>
    <x v="33"/>
    <x v="0"/>
    <x v="0"/>
    <x v="3"/>
    <x v="1"/>
    <x v="1"/>
    <x v="2"/>
    <x v="2"/>
    <x v="1"/>
    <x v="1"/>
    <x v="1"/>
    <x v="270"/>
    <x v="2"/>
    <x v="3"/>
    <x v="4"/>
    <x v="561"/>
    <x v="12"/>
    <x v="1"/>
    <x v="4"/>
    <x v="2"/>
    <x v="1"/>
    <x v="0"/>
    <x v="0"/>
    <x v="331"/>
  </r>
  <r>
    <x v="1170"/>
    <x v="404"/>
    <x v="403"/>
    <x v="398"/>
    <x v="935"/>
    <x v="1"/>
    <x v="2"/>
    <x v="416"/>
    <x v="208"/>
    <x v="1"/>
    <x v="1"/>
    <x v="0"/>
    <x v="0"/>
    <x v="1"/>
    <x v="2"/>
    <x v="3"/>
    <x v="2"/>
    <x v="1"/>
    <x v="2"/>
    <x v="1"/>
    <x v="1"/>
    <x v="268"/>
    <x v="1"/>
    <x v="1"/>
    <x v="2"/>
    <x v="406"/>
    <x v="6"/>
    <x v="3"/>
    <x v="0"/>
    <x v="1"/>
    <x v="0"/>
    <x v="671"/>
    <x v="325"/>
    <x v="332"/>
  </r>
  <r>
    <x v="1171"/>
    <x v="562"/>
    <x v="491"/>
    <x v="484"/>
    <x v="936"/>
    <x v="3"/>
    <x v="2"/>
    <x v="500"/>
    <x v="323"/>
    <x v="1"/>
    <x v="224"/>
    <x v="0"/>
    <x v="0"/>
    <x v="1"/>
    <x v="1"/>
    <x v="2"/>
    <x v="1"/>
    <x v="1"/>
    <x v="2"/>
    <x v="2"/>
    <x v="2"/>
    <x v="0"/>
    <x v="1"/>
    <x v="1"/>
    <x v="2"/>
    <x v="494"/>
    <x v="3"/>
    <x v="0"/>
    <x v="0"/>
    <x v="1"/>
    <x v="0"/>
    <x v="0"/>
    <x v="0"/>
    <x v="0"/>
  </r>
  <r>
    <x v="1172"/>
    <x v="446"/>
    <x v="442"/>
    <x v="437"/>
    <x v="937"/>
    <x v="1"/>
    <x v="2"/>
    <x v="452"/>
    <x v="347"/>
    <x v="1"/>
    <x v="15"/>
    <x v="0"/>
    <x v="0"/>
    <x v="1"/>
    <x v="3"/>
    <x v="3"/>
    <x v="1"/>
    <x v="1"/>
    <x v="2"/>
    <x v="1"/>
    <x v="1"/>
    <x v="270"/>
    <x v="1"/>
    <x v="5"/>
    <x v="2"/>
    <x v="445"/>
    <x v="12"/>
    <x v="1"/>
    <x v="4"/>
    <x v="2"/>
    <x v="1"/>
    <x v="672"/>
    <x v="0"/>
    <x v="333"/>
  </r>
  <r>
    <x v="1173"/>
    <x v="561"/>
    <x v="553"/>
    <x v="546"/>
    <x v="938"/>
    <x v="1"/>
    <x v="2"/>
    <x v="561"/>
    <x v="404"/>
    <x v="1"/>
    <x v="193"/>
    <x v="0"/>
    <x v="0"/>
    <x v="1"/>
    <x v="1"/>
    <x v="1"/>
    <x v="2"/>
    <x v="1"/>
    <x v="2"/>
    <x v="1"/>
    <x v="2"/>
    <x v="0"/>
    <x v="2"/>
    <x v="2"/>
    <x v="2"/>
    <x v="558"/>
    <x v="3"/>
    <x v="0"/>
    <x v="0"/>
    <x v="1"/>
    <x v="0"/>
    <x v="0"/>
    <x v="0"/>
    <x v="0"/>
  </r>
  <r>
    <x v="1174"/>
    <x v="446"/>
    <x v="442"/>
    <x v="437"/>
    <x v="939"/>
    <x v="1"/>
    <x v="2"/>
    <x v="452"/>
    <x v="347"/>
    <x v="1"/>
    <x v="15"/>
    <x v="0"/>
    <x v="0"/>
    <x v="3"/>
    <x v="1"/>
    <x v="1"/>
    <x v="2"/>
    <x v="1"/>
    <x v="2"/>
    <x v="2"/>
    <x v="2"/>
    <x v="0"/>
    <x v="1"/>
    <x v="3"/>
    <x v="4"/>
    <x v="445"/>
    <x v="1"/>
    <x v="0"/>
    <x v="0"/>
    <x v="1"/>
    <x v="0"/>
    <x v="0"/>
    <x v="0"/>
    <x v="0"/>
  </r>
  <r>
    <x v="1175"/>
    <x v="564"/>
    <x v="555"/>
    <x v="548"/>
    <x v="940"/>
    <x v="1"/>
    <x v="2"/>
    <x v="563"/>
    <x v="406"/>
    <x v="1"/>
    <x v="33"/>
    <x v="0"/>
    <x v="0"/>
    <x v="3"/>
    <x v="1"/>
    <x v="1"/>
    <x v="2"/>
    <x v="2"/>
    <x v="1"/>
    <x v="1"/>
    <x v="1"/>
    <x v="269"/>
    <x v="1"/>
    <x v="3"/>
    <x v="4"/>
    <x v="561"/>
    <x v="1"/>
    <x v="3"/>
    <x v="0"/>
    <x v="1"/>
    <x v="0"/>
    <x v="673"/>
    <x v="326"/>
    <x v="0"/>
  </r>
  <r>
    <x v="1176"/>
    <x v="567"/>
    <x v="558"/>
    <x v="551"/>
    <x v="941"/>
    <x v="3"/>
    <x v="4"/>
    <x v="566"/>
    <x v="408"/>
    <x v="1"/>
    <x v="15"/>
    <x v="0"/>
    <x v="0"/>
    <x v="1"/>
    <x v="1"/>
    <x v="1"/>
    <x v="2"/>
    <x v="1"/>
    <x v="1"/>
    <x v="1"/>
    <x v="1"/>
    <x v="270"/>
    <x v="1"/>
    <x v="1"/>
    <x v="2"/>
    <x v="564"/>
    <x v="4"/>
    <x v="3"/>
    <x v="0"/>
    <x v="1"/>
    <x v="0"/>
    <x v="674"/>
    <x v="327"/>
    <x v="334"/>
  </r>
  <r>
    <x v="1177"/>
    <x v="568"/>
    <x v="559"/>
    <x v="552"/>
    <x v="942"/>
    <x v="1"/>
    <x v="2"/>
    <x v="567"/>
    <x v="203"/>
    <x v="1"/>
    <x v="36"/>
    <x v="0"/>
    <x v="0"/>
    <x v="1"/>
    <x v="1"/>
    <x v="1"/>
    <x v="1"/>
    <x v="1"/>
    <x v="2"/>
    <x v="1"/>
    <x v="2"/>
    <x v="0"/>
    <x v="1"/>
    <x v="1"/>
    <x v="2"/>
    <x v="565"/>
    <x v="5"/>
    <x v="0"/>
    <x v="0"/>
    <x v="1"/>
    <x v="0"/>
    <x v="0"/>
    <x v="0"/>
    <x v="0"/>
  </r>
  <r>
    <x v="1178"/>
    <x v="446"/>
    <x v="442"/>
    <x v="437"/>
    <x v="943"/>
    <x v="1"/>
    <x v="2"/>
    <x v="452"/>
    <x v="343"/>
    <x v="1"/>
    <x v="225"/>
    <x v="0"/>
    <x v="0"/>
    <x v="1"/>
    <x v="1"/>
    <x v="1"/>
    <x v="1"/>
    <x v="1"/>
    <x v="2"/>
    <x v="1"/>
    <x v="2"/>
    <x v="0"/>
    <x v="1"/>
    <x v="1"/>
    <x v="1"/>
    <x v="445"/>
    <x v="2"/>
    <x v="0"/>
    <x v="0"/>
    <x v="1"/>
    <x v="0"/>
    <x v="0"/>
    <x v="0"/>
    <x v="0"/>
  </r>
  <r>
    <x v="1179"/>
    <x v="569"/>
    <x v="560"/>
    <x v="553"/>
    <x v="944"/>
    <x v="1"/>
    <x v="2"/>
    <x v="568"/>
    <x v="409"/>
    <x v="1"/>
    <x v="15"/>
    <x v="0"/>
    <x v="0"/>
    <x v="1"/>
    <x v="1"/>
    <x v="1"/>
    <x v="2"/>
    <x v="1"/>
    <x v="2"/>
    <x v="1"/>
    <x v="1"/>
    <x v="269"/>
    <x v="1"/>
    <x v="1"/>
    <x v="2"/>
    <x v="566"/>
    <x v="5"/>
    <x v="1"/>
    <x v="7"/>
    <x v="1"/>
    <x v="0"/>
    <x v="675"/>
    <x v="328"/>
    <x v="335"/>
  </r>
  <r>
    <x v="1180"/>
    <x v="570"/>
    <x v="561"/>
    <x v="554"/>
    <x v="945"/>
    <x v="1"/>
    <x v="2"/>
    <x v="569"/>
    <x v="79"/>
    <x v="1"/>
    <x v="226"/>
    <x v="0"/>
    <x v="0"/>
    <x v="1"/>
    <x v="1"/>
    <x v="1"/>
    <x v="2"/>
    <x v="1"/>
    <x v="2"/>
    <x v="1"/>
    <x v="2"/>
    <x v="0"/>
    <x v="1"/>
    <x v="1"/>
    <x v="2"/>
    <x v="567"/>
    <x v="4"/>
    <x v="0"/>
    <x v="0"/>
    <x v="1"/>
    <x v="0"/>
    <x v="0"/>
    <x v="0"/>
    <x v="0"/>
  </r>
  <r>
    <x v="1181"/>
    <x v="440"/>
    <x v="436"/>
    <x v="431"/>
    <x v="946"/>
    <x v="1"/>
    <x v="1"/>
    <x v="446"/>
    <x v="340"/>
    <x v="1"/>
    <x v="227"/>
    <x v="0"/>
    <x v="0"/>
    <x v="1"/>
    <x v="1"/>
    <x v="1"/>
    <x v="2"/>
    <x v="1"/>
    <x v="2"/>
    <x v="1"/>
    <x v="2"/>
    <x v="0"/>
    <x v="1"/>
    <x v="1"/>
    <x v="2"/>
    <x v="439"/>
    <x v="6"/>
    <x v="0"/>
    <x v="0"/>
    <x v="1"/>
    <x v="0"/>
    <x v="0"/>
    <x v="0"/>
    <x v="0"/>
  </r>
  <r>
    <x v="1182"/>
    <x v="515"/>
    <x v="507"/>
    <x v="499"/>
    <x v="947"/>
    <x v="1"/>
    <x v="2"/>
    <x v="516"/>
    <x v="410"/>
    <x v="1"/>
    <x v="2"/>
    <x v="0"/>
    <x v="0"/>
    <x v="1"/>
    <x v="1"/>
    <x v="1"/>
    <x v="1"/>
    <x v="2"/>
    <x v="3"/>
    <x v="2"/>
    <x v="1"/>
    <x v="271"/>
    <x v="1"/>
    <x v="1"/>
    <x v="2"/>
    <x v="509"/>
    <x v="5"/>
    <x v="1"/>
    <x v="0"/>
    <x v="1"/>
    <x v="0"/>
    <x v="676"/>
    <x v="329"/>
    <x v="336"/>
  </r>
  <r>
    <x v="1183"/>
    <x v="515"/>
    <x v="507"/>
    <x v="499"/>
    <x v="0"/>
    <x v="1"/>
    <x v="2"/>
    <x v="516"/>
    <x v="410"/>
    <x v="1"/>
    <x v="2"/>
    <x v="0"/>
    <x v="0"/>
    <x v="3"/>
    <x v="1"/>
    <x v="1"/>
    <x v="2"/>
    <x v="2"/>
    <x v="3"/>
    <x v="2"/>
    <x v="2"/>
    <x v="0"/>
    <x v="2"/>
    <x v="3"/>
    <x v="4"/>
    <x v="509"/>
    <x v="5"/>
    <x v="0"/>
    <x v="0"/>
    <x v="1"/>
    <x v="0"/>
    <x v="0"/>
    <x v="0"/>
    <x v="0"/>
  </r>
  <r>
    <x v="1184"/>
    <x v="571"/>
    <x v="562"/>
    <x v="555"/>
    <x v="948"/>
    <x v="1"/>
    <x v="3"/>
    <x v="570"/>
    <x v="398"/>
    <x v="1"/>
    <x v="70"/>
    <x v="0"/>
    <x v="0"/>
    <x v="1"/>
    <x v="1"/>
    <x v="1"/>
    <x v="2"/>
    <x v="1"/>
    <x v="1"/>
    <x v="1"/>
    <x v="2"/>
    <x v="0"/>
    <x v="1"/>
    <x v="2"/>
    <x v="3"/>
    <x v="568"/>
    <x v="12"/>
    <x v="0"/>
    <x v="0"/>
    <x v="1"/>
    <x v="0"/>
    <x v="0"/>
    <x v="0"/>
    <x v="0"/>
  </r>
  <r>
    <x v="1185"/>
    <x v="446"/>
    <x v="442"/>
    <x v="437"/>
    <x v="949"/>
    <x v="1"/>
    <x v="2"/>
    <x v="452"/>
    <x v="343"/>
    <x v="1"/>
    <x v="15"/>
    <x v="0"/>
    <x v="0"/>
    <x v="3"/>
    <x v="1"/>
    <x v="1"/>
    <x v="2"/>
    <x v="1"/>
    <x v="1"/>
    <x v="2"/>
    <x v="2"/>
    <x v="0"/>
    <x v="1"/>
    <x v="3"/>
    <x v="4"/>
    <x v="445"/>
    <x v="1"/>
    <x v="0"/>
    <x v="0"/>
    <x v="1"/>
    <x v="0"/>
    <x v="0"/>
    <x v="0"/>
    <x v="0"/>
  </r>
  <r>
    <x v="1186"/>
    <x v="301"/>
    <x v="302"/>
    <x v="297"/>
    <x v="950"/>
    <x v="1"/>
    <x v="2"/>
    <x v="315"/>
    <x v="411"/>
    <x v="1"/>
    <x v="33"/>
    <x v="0"/>
    <x v="0"/>
    <x v="1"/>
    <x v="3"/>
    <x v="3"/>
    <x v="1"/>
    <x v="2"/>
    <x v="2"/>
    <x v="1"/>
    <x v="1"/>
    <x v="269"/>
    <x v="1"/>
    <x v="2"/>
    <x v="3"/>
    <x v="303"/>
    <x v="2"/>
    <x v="1"/>
    <x v="5"/>
    <x v="1"/>
    <x v="1"/>
    <x v="677"/>
    <x v="0"/>
    <x v="0"/>
  </r>
  <r>
    <x v="1187"/>
    <x v="442"/>
    <x v="438"/>
    <x v="433"/>
    <x v="951"/>
    <x v="1"/>
    <x v="2"/>
    <x v="448"/>
    <x v="412"/>
    <x v="1"/>
    <x v="33"/>
    <x v="0"/>
    <x v="0"/>
    <x v="1"/>
    <x v="3"/>
    <x v="3"/>
    <x v="2"/>
    <x v="1"/>
    <x v="1"/>
    <x v="1"/>
    <x v="1"/>
    <x v="264"/>
    <x v="1"/>
    <x v="1"/>
    <x v="2"/>
    <x v="441"/>
    <x v="1"/>
    <x v="1"/>
    <x v="1"/>
    <x v="1"/>
    <x v="0"/>
    <x v="678"/>
    <x v="330"/>
    <x v="0"/>
  </r>
  <r>
    <x v="1188"/>
    <x v="569"/>
    <x v="560"/>
    <x v="553"/>
    <x v="0"/>
    <x v="1"/>
    <x v="2"/>
    <x v="568"/>
    <x v="409"/>
    <x v="1"/>
    <x v="15"/>
    <x v="0"/>
    <x v="0"/>
    <x v="3"/>
    <x v="1"/>
    <x v="1"/>
    <x v="1"/>
    <x v="1"/>
    <x v="2"/>
    <x v="1"/>
    <x v="2"/>
    <x v="0"/>
    <x v="2"/>
    <x v="3"/>
    <x v="4"/>
    <x v="566"/>
    <x v="12"/>
    <x v="0"/>
    <x v="0"/>
    <x v="1"/>
    <x v="0"/>
    <x v="0"/>
    <x v="0"/>
    <x v="0"/>
  </r>
  <r>
    <x v="1189"/>
    <x v="301"/>
    <x v="302"/>
    <x v="297"/>
    <x v="0"/>
    <x v="1"/>
    <x v="2"/>
    <x v="315"/>
    <x v="249"/>
    <x v="1"/>
    <x v="33"/>
    <x v="0"/>
    <x v="0"/>
    <x v="3"/>
    <x v="1"/>
    <x v="1"/>
    <x v="1"/>
    <x v="2"/>
    <x v="2"/>
    <x v="1"/>
    <x v="1"/>
    <x v="272"/>
    <x v="1"/>
    <x v="3"/>
    <x v="4"/>
    <x v="303"/>
    <x v="2"/>
    <x v="1"/>
    <x v="1"/>
    <x v="1"/>
    <x v="0"/>
    <x v="484"/>
    <x v="331"/>
    <x v="0"/>
  </r>
  <r>
    <x v="1190"/>
    <x v="572"/>
    <x v="194"/>
    <x v="192"/>
    <x v="952"/>
    <x v="1"/>
    <x v="2"/>
    <x v="205"/>
    <x v="413"/>
    <x v="1"/>
    <x v="228"/>
    <x v="0"/>
    <x v="0"/>
    <x v="1"/>
    <x v="1"/>
    <x v="1"/>
    <x v="2"/>
    <x v="1"/>
    <x v="1"/>
    <x v="1"/>
    <x v="2"/>
    <x v="0"/>
    <x v="1"/>
    <x v="5"/>
    <x v="2"/>
    <x v="194"/>
    <x v="12"/>
    <x v="0"/>
    <x v="0"/>
    <x v="1"/>
    <x v="0"/>
    <x v="0"/>
    <x v="0"/>
    <x v="0"/>
  </r>
  <r>
    <x v="1191"/>
    <x v="573"/>
    <x v="563"/>
    <x v="556"/>
    <x v="953"/>
    <x v="1"/>
    <x v="2"/>
    <x v="571"/>
    <x v="414"/>
    <x v="1"/>
    <x v="22"/>
    <x v="0"/>
    <x v="0"/>
    <x v="1"/>
    <x v="3"/>
    <x v="3"/>
    <x v="2"/>
    <x v="1"/>
    <x v="2"/>
    <x v="1"/>
    <x v="1"/>
    <x v="273"/>
    <x v="1"/>
    <x v="6"/>
    <x v="2"/>
    <x v="569"/>
    <x v="5"/>
    <x v="1"/>
    <x v="3"/>
    <x v="2"/>
    <x v="1"/>
    <x v="679"/>
    <x v="0"/>
    <x v="0"/>
  </r>
  <r>
    <x v="1192"/>
    <x v="544"/>
    <x v="536"/>
    <x v="528"/>
    <x v="954"/>
    <x v="3"/>
    <x v="2"/>
    <x v="546"/>
    <x v="10"/>
    <x v="1"/>
    <x v="229"/>
    <x v="0"/>
    <x v="0"/>
    <x v="1"/>
    <x v="1"/>
    <x v="1"/>
    <x v="2"/>
    <x v="2"/>
    <x v="2"/>
    <x v="1"/>
    <x v="2"/>
    <x v="0"/>
    <x v="1"/>
    <x v="6"/>
    <x v="4"/>
    <x v="539"/>
    <x v="5"/>
    <x v="0"/>
    <x v="0"/>
    <x v="1"/>
    <x v="0"/>
    <x v="0"/>
    <x v="0"/>
    <x v="0"/>
  </r>
  <r>
    <x v="1193"/>
    <x v="391"/>
    <x v="391"/>
    <x v="386"/>
    <x v="955"/>
    <x v="3"/>
    <x v="2"/>
    <x v="406"/>
    <x v="281"/>
    <x v="1"/>
    <x v="89"/>
    <x v="0"/>
    <x v="0"/>
    <x v="1"/>
    <x v="1"/>
    <x v="1"/>
    <x v="2"/>
    <x v="1"/>
    <x v="2"/>
    <x v="1"/>
    <x v="1"/>
    <x v="264"/>
    <x v="1"/>
    <x v="6"/>
    <x v="2"/>
    <x v="570"/>
    <x v="5"/>
    <x v="1"/>
    <x v="1"/>
    <x v="1"/>
    <x v="0"/>
    <x v="680"/>
    <x v="0"/>
    <x v="0"/>
  </r>
  <r>
    <x v="1194"/>
    <x v="442"/>
    <x v="438"/>
    <x v="433"/>
    <x v="0"/>
    <x v="1"/>
    <x v="2"/>
    <x v="448"/>
    <x v="412"/>
    <x v="1"/>
    <x v="33"/>
    <x v="0"/>
    <x v="0"/>
    <x v="3"/>
    <x v="1"/>
    <x v="1"/>
    <x v="2"/>
    <x v="1"/>
    <x v="2"/>
    <x v="1"/>
    <x v="1"/>
    <x v="273"/>
    <x v="2"/>
    <x v="3"/>
    <x v="4"/>
    <x v="441"/>
    <x v="5"/>
    <x v="1"/>
    <x v="5"/>
    <x v="2"/>
    <x v="1"/>
    <x v="681"/>
    <x v="0"/>
    <x v="0"/>
  </r>
  <r>
    <x v="1195"/>
    <x v="391"/>
    <x v="391"/>
    <x v="386"/>
    <x v="955"/>
    <x v="3"/>
    <x v="2"/>
    <x v="406"/>
    <x v="281"/>
    <x v="1"/>
    <x v="89"/>
    <x v="0"/>
    <x v="0"/>
    <x v="3"/>
    <x v="3"/>
    <x v="3"/>
    <x v="2"/>
    <x v="1"/>
    <x v="2"/>
    <x v="1"/>
    <x v="1"/>
    <x v="272"/>
    <x v="1"/>
    <x v="3"/>
    <x v="4"/>
    <x v="570"/>
    <x v="5"/>
    <x v="3"/>
    <x v="0"/>
    <x v="1"/>
    <x v="0"/>
    <x v="682"/>
    <x v="0"/>
    <x v="0"/>
  </r>
  <r>
    <x v="1196"/>
    <x v="574"/>
    <x v="564"/>
    <x v="557"/>
    <x v="956"/>
    <x v="3"/>
    <x v="2"/>
    <x v="160"/>
    <x v="10"/>
    <x v="1"/>
    <x v="3"/>
    <x v="0"/>
    <x v="0"/>
    <x v="1"/>
    <x v="1"/>
    <x v="2"/>
    <x v="2"/>
    <x v="1"/>
    <x v="2"/>
    <x v="1"/>
    <x v="1"/>
    <x v="273"/>
    <x v="1"/>
    <x v="6"/>
    <x v="2"/>
    <x v="571"/>
    <x v="5"/>
    <x v="3"/>
    <x v="0"/>
    <x v="1"/>
    <x v="0"/>
    <x v="683"/>
    <x v="332"/>
    <x v="0"/>
  </r>
  <r>
    <x v="1197"/>
    <x v="200"/>
    <x v="198"/>
    <x v="196"/>
    <x v="957"/>
    <x v="1"/>
    <x v="2"/>
    <x v="209"/>
    <x v="374"/>
    <x v="1"/>
    <x v="2"/>
    <x v="0"/>
    <x v="0"/>
    <x v="1"/>
    <x v="2"/>
    <x v="3"/>
    <x v="1"/>
    <x v="1"/>
    <x v="2"/>
    <x v="1"/>
    <x v="1"/>
    <x v="273"/>
    <x v="1"/>
    <x v="4"/>
    <x v="2"/>
    <x v="556"/>
    <x v="5"/>
    <x v="3"/>
    <x v="0"/>
    <x v="1"/>
    <x v="0"/>
    <x v="684"/>
    <x v="333"/>
    <x v="0"/>
  </r>
  <r>
    <x v="1198"/>
    <x v="301"/>
    <x v="302"/>
    <x v="297"/>
    <x v="0"/>
    <x v="1"/>
    <x v="2"/>
    <x v="315"/>
    <x v="249"/>
    <x v="1"/>
    <x v="33"/>
    <x v="0"/>
    <x v="0"/>
    <x v="3"/>
    <x v="1"/>
    <x v="1"/>
    <x v="2"/>
    <x v="2"/>
    <x v="2"/>
    <x v="1"/>
    <x v="1"/>
    <x v="274"/>
    <x v="2"/>
    <x v="3"/>
    <x v="4"/>
    <x v="303"/>
    <x v="5"/>
    <x v="3"/>
    <x v="0"/>
    <x v="1"/>
    <x v="0"/>
    <x v="685"/>
    <x v="334"/>
    <x v="337"/>
  </r>
  <r>
    <x v="1199"/>
    <x v="575"/>
    <x v="563"/>
    <x v="556"/>
    <x v="958"/>
    <x v="1"/>
    <x v="2"/>
    <x v="571"/>
    <x v="414"/>
    <x v="1"/>
    <x v="22"/>
    <x v="0"/>
    <x v="0"/>
    <x v="3"/>
    <x v="1"/>
    <x v="1"/>
    <x v="2"/>
    <x v="1"/>
    <x v="2"/>
    <x v="1"/>
    <x v="1"/>
    <x v="275"/>
    <x v="1"/>
    <x v="3"/>
    <x v="4"/>
    <x v="569"/>
    <x v="3"/>
    <x v="1"/>
    <x v="13"/>
    <x v="2"/>
    <x v="1"/>
    <x v="686"/>
    <x v="0"/>
    <x v="338"/>
  </r>
  <r>
    <x v="1200"/>
    <x v="576"/>
    <x v="565"/>
    <x v="558"/>
    <x v="959"/>
    <x v="1"/>
    <x v="3"/>
    <x v="572"/>
    <x v="415"/>
    <x v="1"/>
    <x v="31"/>
    <x v="0"/>
    <x v="0"/>
    <x v="1"/>
    <x v="1"/>
    <x v="1"/>
    <x v="2"/>
    <x v="1"/>
    <x v="2"/>
    <x v="1"/>
    <x v="2"/>
    <x v="0"/>
    <x v="1"/>
    <x v="4"/>
    <x v="2"/>
    <x v="572"/>
    <x v="12"/>
    <x v="0"/>
    <x v="0"/>
    <x v="1"/>
    <x v="0"/>
    <x v="0"/>
    <x v="0"/>
    <x v="0"/>
  </r>
  <r>
    <x v="1201"/>
    <x v="442"/>
    <x v="438"/>
    <x v="433"/>
    <x v="0"/>
    <x v="1"/>
    <x v="2"/>
    <x v="448"/>
    <x v="412"/>
    <x v="1"/>
    <x v="33"/>
    <x v="0"/>
    <x v="0"/>
    <x v="3"/>
    <x v="1"/>
    <x v="1"/>
    <x v="2"/>
    <x v="1"/>
    <x v="2"/>
    <x v="1"/>
    <x v="1"/>
    <x v="274"/>
    <x v="1"/>
    <x v="3"/>
    <x v="4"/>
    <x v="441"/>
    <x v="2"/>
    <x v="1"/>
    <x v="5"/>
    <x v="2"/>
    <x v="1"/>
    <x v="687"/>
    <x v="0"/>
    <x v="0"/>
  </r>
  <r>
    <x v="1202"/>
    <x v="464"/>
    <x v="460"/>
    <x v="454"/>
    <x v="960"/>
    <x v="1"/>
    <x v="2"/>
    <x v="469"/>
    <x v="212"/>
    <x v="6"/>
    <x v="0"/>
    <x v="0"/>
    <x v="10"/>
    <x v="1"/>
    <x v="1"/>
    <x v="1"/>
    <x v="1"/>
    <x v="1"/>
    <x v="2"/>
    <x v="1"/>
    <x v="1"/>
    <x v="274"/>
    <x v="1"/>
    <x v="1"/>
    <x v="2"/>
    <x v="462"/>
    <x v="3"/>
    <x v="1"/>
    <x v="3"/>
    <x v="2"/>
    <x v="1"/>
    <x v="688"/>
    <x v="335"/>
    <x v="0"/>
  </r>
  <r>
    <x v="1203"/>
    <x v="433"/>
    <x v="430"/>
    <x v="425"/>
    <x v="961"/>
    <x v="1"/>
    <x v="2"/>
    <x v="440"/>
    <x v="341"/>
    <x v="1"/>
    <x v="230"/>
    <x v="0"/>
    <x v="0"/>
    <x v="1"/>
    <x v="1"/>
    <x v="1"/>
    <x v="2"/>
    <x v="1"/>
    <x v="2"/>
    <x v="1"/>
    <x v="2"/>
    <x v="0"/>
    <x v="1"/>
    <x v="1"/>
    <x v="2"/>
    <x v="433"/>
    <x v="12"/>
    <x v="0"/>
    <x v="0"/>
    <x v="1"/>
    <x v="0"/>
    <x v="0"/>
    <x v="0"/>
    <x v="0"/>
  </r>
  <r>
    <x v="1204"/>
    <x v="461"/>
    <x v="457"/>
    <x v="451"/>
    <x v="962"/>
    <x v="3"/>
    <x v="3"/>
    <x v="466"/>
    <x v="227"/>
    <x v="1"/>
    <x v="231"/>
    <x v="0"/>
    <x v="0"/>
    <x v="1"/>
    <x v="1"/>
    <x v="1"/>
    <x v="2"/>
    <x v="1"/>
    <x v="2"/>
    <x v="1"/>
    <x v="2"/>
    <x v="0"/>
    <x v="1"/>
    <x v="1"/>
    <x v="2"/>
    <x v="459"/>
    <x v="12"/>
    <x v="0"/>
    <x v="0"/>
    <x v="1"/>
    <x v="0"/>
    <x v="0"/>
    <x v="0"/>
    <x v="0"/>
  </r>
  <r>
    <x v="1205"/>
    <x v="366"/>
    <x v="366"/>
    <x v="361"/>
    <x v="963"/>
    <x v="1"/>
    <x v="2"/>
    <x v="380"/>
    <x v="292"/>
    <x v="1"/>
    <x v="33"/>
    <x v="0"/>
    <x v="0"/>
    <x v="1"/>
    <x v="3"/>
    <x v="2"/>
    <x v="2"/>
    <x v="1"/>
    <x v="2"/>
    <x v="1"/>
    <x v="1"/>
    <x v="276"/>
    <x v="1"/>
    <x v="2"/>
    <x v="2"/>
    <x v="368"/>
    <x v="5"/>
    <x v="3"/>
    <x v="0"/>
    <x v="1"/>
    <x v="0"/>
    <x v="689"/>
    <x v="0"/>
    <x v="0"/>
  </r>
  <r>
    <x v="1206"/>
    <x v="442"/>
    <x v="438"/>
    <x v="433"/>
    <x v="964"/>
    <x v="1"/>
    <x v="2"/>
    <x v="448"/>
    <x v="412"/>
    <x v="1"/>
    <x v="33"/>
    <x v="0"/>
    <x v="0"/>
    <x v="3"/>
    <x v="1"/>
    <x v="1"/>
    <x v="2"/>
    <x v="1"/>
    <x v="3"/>
    <x v="1"/>
    <x v="1"/>
    <x v="277"/>
    <x v="1"/>
    <x v="3"/>
    <x v="4"/>
    <x v="441"/>
    <x v="2"/>
    <x v="1"/>
    <x v="4"/>
    <x v="2"/>
    <x v="1"/>
    <x v="690"/>
    <x v="0"/>
    <x v="0"/>
  </r>
  <r>
    <x v="1207"/>
    <x v="577"/>
    <x v="566"/>
    <x v="559"/>
    <x v="965"/>
    <x v="1"/>
    <x v="2"/>
    <x v="573"/>
    <x v="416"/>
    <x v="1"/>
    <x v="2"/>
    <x v="0"/>
    <x v="0"/>
    <x v="1"/>
    <x v="1"/>
    <x v="1"/>
    <x v="1"/>
    <x v="1"/>
    <x v="3"/>
    <x v="2"/>
    <x v="1"/>
    <x v="274"/>
    <x v="1"/>
    <x v="1"/>
    <x v="2"/>
    <x v="573"/>
    <x v="1"/>
    <x v="1"/>
    <x v="13"/>
    <x v="1"/>
    <x v="0"/>
    <x v="691"/>
    <x v="0"/>
    <x v="339"/>
  </r>
  <r>
    <x v="1208"/>
    <x v="464"/>
    <x v="460"/>
    <x v="454"/>
    <x v="966"/>
    <x v="1"/>
    <x v="2"/>
    <x v="469"/>
    <x v="212"/>
    <x v="6"/>
    <x v="0"/>
    <x v="0"/>
    <x v="10"/>
    <x v="3"/>
    <x v="1"/>
    <x v="1"/>
    <x v="1"/>
    <x v="1"/>
    <x v="2"/>
    <x v="1"/>
    <x v="1"/>
    <x v="276"/>
    <x v="1"/>
    <x v="3"/>
    <x v="4"/>
    <x v="462"/>
    <x v="3"/>
    <x v="1"/>
    <x v="1"/>
    <x v="1"/>
    <x v="0"/>
    <x v="692"/>
    <x v="336"/>
    <x v="0"/>
  </r>
  <r>
    <x v="1209"/>
    <x v="577"/>
    <x v="566"/>
    <x v="559"/>
    <x v="967"/>
    <x v="1"/>
    <x v="2"/>
    <x v="573"/>
    <x v="416"/>
    <x v="1"/>
    <x v="2"/>
    <x v="0"/>
    <x v="0"/>
    <x v="3"/>
    <x v="3"/>
    <x v="2"/>
    <x v="2"/>
    <x v="1"/>
    <x v="2"/>
    <x v="2"/>
    <x v="1"/>
    <x v="276"/>
    <x v="1"/>
    <x v="3"/>
    <x v="4"/>
    <x v="573"/>
    <x v="14"/>
    <x v="3"/>
    <x v="0"/>
    <x v="1"/>
    <x v="0"/>
    <x v="689"/>
    <x v="0"/>
    <x v="0"/>
  </r>
  <r>
    <x v="1210"/>
    <x v="43"/>
    <x v="42"/>
    <x v="42"/>
    <x v="968"/>
    <x v="1"/>
    <x v="2"/>
    <x v="45"/>
    <x v="417"/>
    <x v="1"/>
    <x v="2"/>
    <x v="0"/>
    <x v="0"/>
    <x v="1"/>
    <x v="3"/>
    <x v="2"/>
    <x v="1"/>
    <x v="2"/>
    <x v="2"/>
    <x v="1"/>
    <x v="1"/>
    <x v="276"/>
    <x v="2"/>
    <x v="1"/>
    <x v="2"/>
    <x v="574"/>
    <x v="5"/>
    <x v="3"/>
    <x v="0"/>
    <x v="1"/>
    <x v="0"/>
    <x v="689"/>
    <x v="0"/>
    <x v="340"/>
  </r>
  <r>
    <x v="1211"/>
    <x v="578"/>
    <x v="567"/>
    <x v="560"/>
    <x v="969"/>
    <x v="3"/>
    <x v="2"/>
    <x v="574"/>
    <x v="418"/>
    <x v="1"/>
    <x v="3"/>
    <x v="0"/>
    <x v="0"/>
    <x v="1"/>
    <x v="1"/>
    <x v="2"/>
    <x v="2"/>
    <x v="1"/>
    <x v="2"/>
    <x v="1"/>
    <x v="1"/>
    <x v="277"/>
    <x v="1"/>
    <x v="6"/>
    <x v="2"/>
    <x v="575"/>
    <x v="5"/>
    <x v="1"/>
    <x v="1"/>
    <x v="1"/>
    <x v="0"/>
    <x v="693"/>
    <x v="337"/>
    <x v="0"/>
  </r>
  <r>
    <x v="1212"/>
    <x v="579"/>
    <x v="568"/>
    <x v="561"/>
    <x v="970"/>
    <x v="1"/>
    <x v="2"/>
    <x v="575"/>
    <x v="218"/>
    <x v="1"/>
    <x v="4"/>
    <x v="0"/>
    <x v="0"/>
    <x v="1"/>
    <x v="1"/>
    <x v="1"/>
    <x v="2"/>
    <x v="1"/>
    <x v="2"/>
    <x v="1"/>
    <x v="1"/>
    <x v="276"/>
    <x v="1"/>
    <x v="6"/>
    <x v="2"/>
    <x v="576"/>
    <x v="5"/>
    <x v="3"/>
    <x v="0"/>
    <x v="1"/>
    <x v="0"/>
    <x v="694"/>
    <x v="0"/>
    <x v="198"/>
  </r>
  <r>
    <x v="1213"/>
    <x v="580"/>
    <x v="569"/>
    <x v="562"/>
    <x v="971"/>
    <x v="1"/>
    <x v="2"/>
    <x v="576"/>
    <x v="369"/>
    <x v="1"/>
    <x v="8"/>
    <x v="0"/>
    <x v="0"/>
    <x v="1"/>
    <x v="1"/>
    <x v="1"/>
    <x v="2"/>
    <x v="1"/>
    <x v="2"/>
    <x v="1"/>
    <x v="1"/>
    <x v="277"/>
    <x v="2"/>
    <x v="6"/>
    <x v="2"/>
    <x v="577"/>
    <x v="5"/>
    <x v="3"/>
    <x v="0"/>
    <x v="1"/>
    <x v="0"/>
    <x v="695"/>
    <x v="0"/>
    <x v="341"/>
  </r>
  <r>
    <x v="1214"/>
    <x v="464"/>
    <x v="460"/>
    <x v="454"/>
    <x v="0"/>
    <x v="1"/>
    <x v="2"/>
    <x v="469"/>
    <x v="196"/>
    <x v="6"/>
    <x v="0"/>
    <x v="0"/>
    <x v="10"/>
    <x v="3"/>
    <x v="1"/>
    <x v="1"/>
    <x v="2"/>
    <x v="1"/>
    <x v="2"/>
    <x v="1"/>
    <x v="2"/>
    <x v="0"/>
    <x v="2"/>
    <x v="3"/>
    <x v="4"/>
    <x v="462"/>
    <x v="5"/>
    <x v="0"/>
    <x v="0"/>
    <x v="1"/>
    <x v="0"/>
    <x v="0"/>
    <x v="0"/>
    <x v="0"/>
  </r>
  <r>
    <x v="1215"/>
    <x v="442"/>
    <x v="438"/>
    <x v="433"/>
    <x v="972"/>
    <x v="1"/>
    <x v="2"/>
    <x v="448"/>
    <x v="412"/>
    <x v="1"/>
    <x v="33"/>
    <x v="0"/>
    <x v="0"/>
    <x v="3"/>
    <x v="1"/>
    <x v="1"/>
    <x v="2"/>
    <x v="1"/>
    <x v="3"/>
    <x v="1"/>
    <x v="1"/>
    <x v="278"/>
    <x v="1"/>
    <x v="3"/>
    <x v="4"/>
    <x v="441"/>
    <x v="1"/>
    <x v="3"/>
    <x v="0"/>
    <x v="1"/>
    <x v="0"/>
    <x v="696"/>
    <x v="338"/>
    <x v="0"/>
  </r>
  <r>
    <x v="1216"/>
    <x v="581"/>
    <x v="570"/>
    <x v="563"/>
    <x v="973"/>
    <x v="3"/>
    <x v="4"/>
    <x v="577"/>
    <x v="419"/>
    <x v="1"/>
    <x v="232"/>
    <x v="0"/>
    <x v="0"/>
    <x v="1"/>
    <x v="2"/>
    <x v="3"/>
    <x v="2"/>
    <x v="1"/>
    <x v="2"/>
    <x v="1"/>
    <x v="1"/>
    <x v="277"/>
    <x v="1"/>
    <x v="1"/>
    <x v="2"/>
    <x v="578"/>
    <x v="6"/>
    <x v="1"/>
    <x v="1"/>
    <x v="2"/>
    <x v="1"/>
    <x v="697"/>
    <x v="0"/>
    <x v="342"/>
  </r>
  <r>
    <x v="1217"/>
    <x v="582"/>
    <x v="571"/>
    <x v="564"/>
    <x v="974"/>
    <x v="3"/>
    <x v="2"/>
    <x v="578"/>
    <x v="10"/>
    <x v="1"/>
    <x v="22"/>
    <x v="0"/>
    <x v="0"/>
    <x v="1"/>
    <x v="1"/>
    <x v="1"/>
    <x v="2"/>
    <x v="1"/>
    <x v="2"/>
    <x v="1"/>
    <x v="1"/>
    <x v="279"/>
    <x v="1"/>
    <x v="1"/>
    <x v="2"/>
    <x v="579"/>
    <x v="1"/>
    <x v="1"/>
    <x v="7"/>
    <x v="1"/>
    <x v="0"/>
    <x v="698"/>
    <x v="339"/>
    <x v="0"/>
  </r>
  <r>
    <x v="1218"/>
    <x v="581"/>
    <x v="570"/>
    <x v="563"/>
    <x v="975"/>
    <x v="3"/>
    <x v="4"/>
    <x v="577"/>
    <x v="419"/>
    <x v="1"/>
    <x v="233"/>
    <x v="0"/>
    <x v="0"/>
    <x v="3"/>
    <x v="1"/>
    <x v="1"/>
    <x v="2"/>
    <x v="1"/>
    <x v="2"/>
    <x v="1"/>
    <x v="1"/>
    <x v="279"/>
    <x v="2"/>
    <x v="3"/>
    <x v="4"/>
    <x v="578"/>
    <x v="5"/>
    <x v="1"/>
    <x v="7"/>
    <x v="2"/>
    <x v="1"/>
    <x v="699"/>
    <x v="0"/>
    <x v="0"/>
  </r>
  <r>
    <x v="1219"/>
    <x v="578"/>
    <x v="567"/>
    <x v="560"/>
    <x v="0"/>
    <x v="3"/>
    <x v="2"/>
    <x v="574"/>
    <x v="418"/>
    <x v="1"/>
    <x v="3"/>
    <x v="0"/>
    <x v="0"/>
    <x v="3"/>
    <x v="1"/>
    <x v="1"/>
    <x v="2"/>
    <x v="1"/>
    <x v="2"/>
    <x v="1"/>
    <x v="2"/>
    <x v="0"/>
    <x v="2"/>
    <x v="3"/>
    <x v="4"/>
    <x v="575"/>
    <x v="5"/>
    <x v="0"/>
    <x v="0"/>
    <x v="1"/>
    <x v="0"/>
    <x v="0"/>
    <x v="0"/>
    <x v="0"/>
  </r>
  <r>
    <x v="1220"/>
    <x v="583"/>
    <x v="572"/>
    <x v="565"/>
    <x v="976"/>
    <x v="1"/>
    <x v="3"/>
    <x v="46"/>
    <x v="420"/>
    <x v="1"/>
    <x v="234"/>
    <x v="0"/>
    <x v="0"/>
    <x v="1"/>
    <x v="1"/>
    <x v="1"/>
    <x v="1"/>
    <x v="1"/>
    <x v="2"/>
    <x v="1"/>
    <x v="2"/>
    <x v="0"/>
    <x v="1"/>
    <x v="1"/>
    <x v="2"/>
    <x v="580"/>
    <x v="12"/>
    <x v="0"/>
    <x v="0"/>
    <x v="1"/>
    <x v="0"/>
    <x v="0"/>
    <x v="0"/>
    <x v="0"/>
  </r>
  <r>
    <x v="1221"/>
    <x v="581"/>
    <x v="570"/>
    <x v="563"/>
    <x v="977"/>
    <x v="3"/>
    <x v="4"/>
    <x v="577"/>
    <x v="419"/>
    <x v="1"/>
    <x v="235"/>
    <x v="0"/>
    <x v="0"/>
    <x v="3"/>
    <x v="1"/>
    <x v="1"/>
    <x v="2"/>
    <x v="1"/>
    <x v="2"/>
    <x v="1"/>
    <x v="1"/>
    <x v="275"/>
    <x v="1"/>
    <x v="3"/>
    <x v="4"/>
    <x v="578"/>
    <x v="12"/>
    <x v="1"/>
    <x v="4"/>
    <x v="1"/>
    <x v="0"/>
    <x v="700"/>
    <x v="0"/>
    <x v="0"/>
  </r>
  <r>
    <x v="1222"/>
    <x v="582"/>
    <x v="571"/>
    <x v="564"/>
    <x v="0"/>
    <x v="3"/>
    <x v="1"/>
    <x v="578"/>
    <x v="151"/>
    <x v="1"/>
    <x v="22"/>
    <x v="0"/>
    <x v="0"/>
    <x v="3"/>
    <x v="1"/>
    <x v="1"/>
    <x v="2"/>
    <x v="1"/>
    <x v="2"/>
    <x v="1"/>
    <x v="2"/>
    <x v="0"/>
    <x v="2"/>
    <x v="3"/>
    <x v="4"/>
    <x v="579"/>
    <x v="12"/>
    <x v="0"/>
    <x v="0"/>
    <x v="1"/>
    <x v="0"/>
    <x v="0"/>
    <x v="0"/>
    <x v="0"/>
  </r>
  <r>
    <x v="1223"/>
    <x v="584"/>
    <x v="573"/>
    <x v="566"/>
    <x v="978"/>
    <x v="3"/>
    <x v="6"/>
    <x v="579"/>
    <x v="340"/>
    <x v="1"/>
    <x v="57"/>
    <x v="0"/>
    <x v="0"/>
    <x v="1"/>
    <x v="1"/>
    <x v="1"/>
    <x v="1"/>
    <x v="1"/>
    <x v="2"/>
    <x v="1"/>
    <x v="2"/>
    <x v="0"/>
    <x v="1"/>
    <x v="5"/>
    <x v="2"/>
    <x v="581"/>
    <x v="12"/>
    <x v="0"/>
    <x v="0"/>
    <x v="1"/>
    <x v="0"/>
    <x v="0"/>
    <x v="0"/>
    <x v="0"/>
  </r>
  <r>
    <x v="1224"/>
    <x v="575"/>
    <x v="563"/>
    <x v="556"/>
    <x v="979"/>
    <x v="1"/>
    <x v="2"/>
    <x v="571"/>
    <x v="414"/>
    <x v="1"/>
    <x v="22"/>
    <x v="0"/>
    <x v="0"/>
    <x v="3"/>
    <x v="1"/>
    <x v="1"/>
    <x v="2"/>
    <x v="1"/>
    <x v="2"/>
    <x v="1"/>
    <x v="1"/>
    <x v="280"/>
    <x v="1"/>
    <x v="3"/>
    <x v="4"/>
    <x v="569"/>
    <x v="14"/>
    <x v="1"/>
    <x v="4"/>
    <x v="1"/>
    <x v="0"/>
    <x v="701"/>
    <x v="0"/>
    <x v="343"/>
  </r>
  <r>
    <x v="1225"/>
    <x v="446"/>
    <x v="442"/>
    <x v="437"/>
    <x v="980"/>
    <x v="1"/>
    <x v="3"/>
    <x v="452"/>
    <x v="343"/>
    <x v="1"/>
    <x v="120"/>
    <x v="0"/>
    <x v="0"/>
    <x v="1"/>
    <x v="2"/>
    <x v="4"/>
    <x v="2"/>
    <x v="1"/>
    <x v="2"/>
    <x v="1"/>
    <x v="1"/>
    <x v="278"/>
    <x v="1"/>
    <x v="3"/>
    <x v="4"/>
    <x v="445"/>
    <x v="14"/>
    <x v="1"/>
    <x v="7"/>
    <x v="2"/>
    <x v="1"/>
    <x v="702"/>
    <x v="340"/>
    <x v="344"/>
  </r>
  <r>
    <x v="1226"/>
    <x v="581"/>
    <x v="570"/>
    <x v="563"/>
    <x v="0"/>
    <x v="3"/>
    <x v="4"/>
    <x v="577"/>
    <x v="419"/>
    <x v="1"/>
    <x v="235"/>
    <x v="0"/>
    <x v="0"/>
    <x v="3"/>
    <x v="1"/>
    <x v="1"/>
    <x v="2"/>
    <x v="1"/>
    <x v="2"/>
    <x v="1"/>
    <x v="1"/>
    <x v="278"/>
    <x v="2"/>
    <x v="3"/>
    <x v="4"/>
    <x v="578"/>
    <x v="1"/>
    <x v="3"/>
    <x v="0"/>
    <x v="1"/>
    <x v="0"/>
    <x v="703"/>
    <x v="341"/>
    <x v="0"/>
  </r>
  <r>
    <x v="1227"/>
    <x v="585"/>
    <x v="574"/>
    <x v="567"/>
    <x v="981"/>
    <x v="1"/>
    <x v="2"/>
    <x v="580"/>
    <x v="283"/>
    <x v="1"/>
    <x v="3"/>
    <x v="0"/>
    <x v="0"/>
    <x v="1"/>
    <x v="3"/>
    <x v="2"/>
    <x v="2"/>
    <x v="1"/>
    <x v="2"/>
    <x v="1"/>
    <x v="1"/>
    <x v="281"/>
    <x v="1"/>
    <x v="3"/>
    <x v="4"/>
    <x v="582"/>
    <x v="0"/>
    <x v="1"/>
    <x v="4"/>
    <x v="2"/>
    <x v="1"/>
    <x v="704"/>
    <x v="0"/>
    <x v="345"/>
  </r>
  <r>
    <x v="1228"/>
    <x v="446"/>
    <x v="442"/>
    <x v="437"/>
    <x v="982"/>
    <x v="1"/>
    <x v="2"/>
    <x v="452"/>
    <x v="347"/>
    <x v="1"/>
    <x v="161"/>
    <x v="0"/>
    <x v="0"/>
    <x v="3"/>
    <x v="1"/>
    <x v="1"/>
    <x v="2"/>
    <x v="1"/>
    <x v="2"/>
    <x v="1"/>
    <x v="1"/>
    <x v="281"/>
    <x v="1"/>
    <x v="3"/>
    <x v="4"/>
    <x v="445"/>
    <x v="12"/>
    <x v="1"/>
    <x v="4"/>
    <x v="2"/>
    <x v="1"/>
    <x v="705"/>
    <x v="0"/>
    <x v="346"/>
  </r>
  <r>
    <x v="1229"/>
    <x v="585"/>
    <x v="574"/>
    <x v="567"/>
    <x v="983"/>
    <x v="1"/>
    <x v="2"/>
    <x v="580"/>
    <x v="283"/>
    <x v="1"/>
    <x v="3"/>
    <x v="0"/>
    <x v="0"/>
    <x v="3"/>
    <x v="3"/>
    <x v="2"/>
    <x v="2"/>
    <x v="1"/>
    <x v="2"/>
    <x v="1"/>
    <x v="1"/>
    <x v="282"/>
    <x v="1"/>
    <x v="3"/>
    <x v="4"/>
    <x v="582"/>
    <x v="1"/>
    <x v="1"/>
    <x v="1"/>
    <x v="1"/>
    <x v="0"/>
    <x v="706"/>
    <x v="342"/>
    <x v="0"/>
  </r>
  <r>
    <x v="1230"/>
    <x v="446"/>
    <x v="442"/>
    <x v="437"/>
    <x v="0"/>
    <x v="1"/>
    <x v="2"/>
    <x v="452"/>
    <x v="421"/>
    <x v="1"/>
    <x v="161"/>
    <x v="0"/>
    <x v="0"/>
    <x v="3"/>
    <x v="1"/>
    <x v="1"/>
    <x v="2"/>
    <x v="1"/>
    <x v="2"/>
    <x v="1"/>
    <x v="2"/>
    <x v="0"/>
    <x v="2"/>
    <x v="3"/>
    <x v="4"/>
    <x v="445"/>
    <x v="1"/>
    <x v="0"/>
    <x v="0"/>
    <x v="1"/>
    <x v="0"/>
    <x v="0"/>
    <x v="0"/>
    <x v="0"/>
  </r>
  <r>
    <x v="1231"/>
    <x v="586"/>
    <x v="575"/>
    <x v="568"/>
    <x v="984"/>
    <x v="3"/>
    <x v="2"/>
    <x v="437"/>
    <x v="353"/>
    <x v="1"/>
    <x v="33"/>
    <x v="0"/>
    <x v="0"/>
    <x v="1"/>
    <x v="3"/>
    <x v="2"/>
    <x v="2"/>
    <x v="1"/>
    <x v="2"/>
    <x v="1"/>
    <x v="1"/>
    <x v="283"/>
    <x v="2"/>
    <x v="1"/>
    <x v="2"/>
    <x v="583"/>
    <x v="3"/>
    <x v="3"/>
    <x v="0"/>
    <x v="1"/>
    <x v="0"/>
    <x v="707"/>
    <x v="343"/>
    <x v="0"/>
  </r>
  <r>
    <x v="1232"/>
    <x v="554"/>
    <x v="546"/>
    <x v="539"/>
    <x v="985"/>
    <x v="1"/>
    <x v="2"/>
    <x v="555"/>
    <x v="238"/>
    <x v="1"/>
    <x v="15"/>
    <x v="0"/>
    <x v="0"/>
    <x v="1"/>
    <x v="3"/>
    <x v="2"/>
    <x v="2"/>
    <x v="1"/>
    <x v="2"/>
    <x v="1"/>
    <x v="1"/>
    <x v="282"/>
    <x v="1"/>
    <x v="2"/>
    <x v="2"/>
    <x v="550"/>
    <x v="3"/>
    <x v="3"/>
    <x v="0"/>
    <x v="1"/>
    <x v="0"/>
    <x v="708"/>
    <x v="0"/>
    <x v="0"/>
  </r>
  <r>
    <x v="1233"/>
    <x v="587"/>
    <x v="576"/>
    <x v="569"/>
    <x v="986"/>
    <x v="2"/>
    <x v="4"/>
    <x v="581"/>
    <x v="269"/>
    <x v="1"/>
    <x v="236"/>
    <x v="0"/>
    <x v="0"/>
    <x v="1"/>
    <x v="1"/>
    <x v="1"/>
    <x v="2"/>
    <x v="2"/>
    <x v="1"/>
    <x v="1"/>
    <x v="1"/>
    <x v="282"/>
    <x v="1"/>
    <x v="1"/>
    <x v="2"/>
    <x v="584"/>
    <x v="4"/>
    <x v="1"/>
    <x v="1"/>
    <x v="2"/>
    <x v="1"/>
    <x v="709"/>
    <x v="344"/>
    <x v="0"/>
  </r>
  <r>
    <x v="1234"/>
    <x v="588"/>
    <x v="577"/>
    <x v="570"/>
    <x v="987"/>
    <x v="1"/>
    <x v="2"/>
    <x v="582"/>
    <x v="374"/>
    <x v="1"/>
    <x v="237"/>
    <x v="0"/>
    <x v="0"/>
    <x v="1"/>
    <x v="1"/>
    <x v="1"/>
    <x v="2"/>
    <x v="1"/>
    <x v="2"/>
    <x v="1"/>
    <x v="2"/>
    <x v="0"/>
    <x v="1"/>
    <x v="1"/>
    <x v="2"/>
    <x v="585"/>
    <x v="5"/>
    <x v="0"/>
    <x v="0"/>
    <x v="1"/>
    <x v="0"/>
    <x v="0"/>
    <x v="0"/>
    <x v="0"/>
  </r>
  <r>
    <x v="1235"/>
    <x v="589"/>
    <x v="576"/>
    <x v="569"/>
    <x v="988"/>
    <x v="2"/>
    <x v="4"/>
    <x v="581"/>
    <x v="269"/>
    <x v="1"/>
    <x v="236"/>
    <x v="0"/>
    <x v="0"/>
    <x v="3"/>
    <x v="1"/>
    <x v="1"/>
    <x v="2"/>
    <x v="2"/>
    <x v="2"/>
    <x v="1"/>
    <x v="1"/>
    <x v="284"/>
    <x v="2"/>
    <x v="3"/>
    <x v="4"/>
    <x v="584"/>
    <x v="5"/>
    <x v="1"/>
    <x v="7"/>
    <x v="1"/>
    <x v="0"/>
    <x v="710"/>
    <x v="0"/>
    <x v="0"/>
  </r>
  <r>
    <x v="1236"/>
    <x v="445"/>
    <x v="441"/>
    <x v="436"/>
    <x v="989"/>
    <x v="1"/>
    <x v="2"/>
    <x v="451"/>
    <x v="324"/>
    <x v="1"/>
    <x v="15"/>
    <x v="0"/>
    <x v="0"/>
    <x v="1"/>
    <x v="1"/>
    <x v="1"/>
    <x v="1"/>
    <x v="1"/>
    <x v="2"/>
    <x v="1"/>
    <x v="2"/>
    <x v="0"/>
    <x v="1"/>
    <x v="1"/>
    <x v="2"/>
    <x v="444"/>
    <x v="2"/>
    <x v="0"/>
    <x v="0"/>
    <x v="1"/>
    <x v="0"/>
    <x v="0"/>
    <x v="0"/>
    <x v="0"/>
  </r>
  <r>
    <x v="1237"/>
    <x v="590"/>
    <x v="578"/>
    <x v="571"/>
    <x v="990"/>
    <x v="1"/>
    <x v="1"/>
    <x v="583"/>
    <x v="422"/>
    <x v="1"/>
    <x v="27"/>
    <x v="0"/>
    <x v="0"/>
    <x v="1"/>
    <x v="3"/>
    <x v="3"/>
    <x v="2"/>
    <x v="1"/>
    <x v="2"/>
    <x v="1"/>
    <x v="1"/>
    <x v="285"/>
    <x v="2"/>
    <x v="1"/>
    <x v="2"/>
    <x v="586"/>
    <x v="15"/>
    <x v="1"/>
    <x v="1"/>
    <x v="1"/>
    <x v="0"/>
    <x v="711"/>
    <x v="0"/>
    <x v="0"/>
  </r>
  <r>
    <x v="1238"/>
    <x v="585"/>
    <x v="574"/>
    <x v="567"/>
    <x v="0"/>
    <x v="1"/>
    <x v="2"/>
    <x v="580"/>
    <x v="283"/>
    <x v="1"/>
    <x v="3"/>
    <x v="0"/>
    <x v="0"/>
    <x v="3"/>
    <x v="1"/>
    <x v="1"/>
    <x v="2"/>
    <x v="1"/>
    <x v="2"/>
    <x v="1"/>
    <x v="2"/>
    <x v="0"/>
    <x v="2"/>
    <x v="3"/>
    <x v="4"/>
    <x v="582"/>
    <x v="5"/>
    <x v="0"/>
    <x v="0"/>
    <x v="1"/>
    <x v="0"/>
    <x v="0"/>
    <x v="0"/>
    <x v="0"/>
  </r>
  <r>
    <x v="1239"/>
    <x v="591"/>
    <x v="579"/>
    <x v="572"/>
    <x v="991"/>
    <x v="1"/>
    <x v="2"/>
    <x v="584"/>
    <x v="293"/>
    <x v="1"/>
    <x v="33"/>
    <x v="0"/>
    <x v="0"/>
    <x v="1"/>
    <x v="1"/>
    <x v="1"/>
    <x v="2"/>
    <x v="1"/>
    <x v="1"/>
    <x v="1"/>
    <x v="1"/>
    <x v="284"/>
    <x v="1"/>
    <x v="5"/>
    <x v="2"/>
    <x v="587"/>
    <x v="14"/>
    <x v="3"/>
    <x v="0"/>
    <x v="1"/>
    <x v="0"/>
    <x v="712"/>
    <x v="345"/>
    <x v="0"/>
  </r>
  <r>
    <x v="1240"/>
    <x v="590"/>
    <x v="578"/>
    <x v="571"/>
    <x v="0"/>
    <x v="1"/>
    <x v="1"/>
    <x v="583"/>
    <x v="422"/>
    <x v="1"/>
    <x v="27"/>
    <x v="0"/>
    <x v="0"/>
    <x v="3"/>
    <x v="4"/>
    <x v="1"/>
    <x v="2"/>
    <x v="1"/>
    <x v="2"/>
    <x v="1"/>
    <x v="1"/>
    <x v="286"/>
    <x v="2"/>
    <x v="3"/>
    <x v="4"/>
    <x v="586"/>
    <x v="5"/>
    <x v="1"/>
    <x v="4"/>
    <x v="2"/>
    <x v="1"/>
    <x v="713"/>
    <x v="346"/>
    <x v="0"/>
  </r>
  <r>
    <x v="1241"/>
    <x v="464"/>
    <x v="460"/>
    <x v="454"/>
    <x v="992"/>
    <x v="1"/>
    <x v="2"/>
    <x v="469"/>
    <x v="384"/>
    <x v="6"/>
    <x v="0"/>
    <x v="0"/>
    <x v="10"/>
    <x v="1"/>
    <x v="3"/>
    <x v="3"/>
    <x v="2"/>
    <x v="1"/>
    <x v="2"/>
    <x v="1"/>
    <x v="1"/>
    <x v="284"/>
    <x v="1"/>
    <x v="1"/>
    <x v="2"/>
    <x v="462"/>
    <x v="14"/>
    <x v="1"/>
    <x v="4"/>
    <x v="1"/>
    <x v="0"/>
    <x v="714"/>
    <x v="347"/>
    <x v="0"/>
  </r>
  <r>
    <x v="1242"/>
    <x v="592"/>
    <x v="580"/>
    <x v="573"/>
    <x v="993"/>
    <x v="1"/>
    <x v="1"/>
    <x v="585"/>
    <x v="389"/>
    <x v="1"/>
    <x v="238"/>
    <x v="0"/>
    <x v="0"/>
    <x v="1"/>
    <x v="2"/>
    <x v="4"/>
    <x v="2"/>
    <x v="1"/>
    <x v="2"/>
    <x v="1"/>
    <x v="2"/>
    <x v="0"/>
    <x v="1"/>
    <x v="1"/>
    <x v="5"/>
    <x v="588"/>
    <x v="16"/>
    <x v="0"/>
    <x v="0"/>
    <x v="1"/>
    <x v="0"/>
    <x v="0"/>
    <x v="0"/>
    <x v="0"/>
  </r>
  <r>
    <x v="1243"/>
    <x v="593"/>
    <x v="581"/>
    <x v="574"/>
    <x v="994"/>
    <x v="1"/>
    <x v="2"/>
    <x v="586"/>
    <x v="10"/>
    <x v="1"/>
    <x v="33"/>
    <x v="0"/>
    <x v="0"/>
    <x v="1"/>
    <x v="3"/>
    <x v="3"/>
    <x v="2"/>
    <x v="1"/>
    <x v="2"/>
    <x v="1"/>
    <x v="1"/>
    <x v="284"/>
    <x v="1"/>
    <x v="1"/>
    <x v="2"/>
    <x v="589"/>
    <x v="14"/>
    <x v="1"/>
    <x v="4"/>
    <x v="2"/>
    <x v="1"/>
    <x v="715"/>
    <x v="0"/>
    <x v="0"/>
  </r>
  <r>
    <x v="1244"/>
    <x v="594"/>
    <x v="582"/>
    <x v="575"/>
    <x v="995"/>
    <x v="1"/>
    <x v="3"/>
    <x v="587"/>
    <x v="10"/>
    <x v="1"/>
    <x v="161"/>
    <x v="0"/>
    <x v="0"/>
    <x v="1"/>
    <x v="2"/>
    <x v="4"/>
    <x v="2"/>
    <x v="1"/>
    <x v="2"/>
    <x v="1"/>
    <x v="1"/>
    <x v="284"/>
    <x v="1"/>
    <x v="5"/>
    <x v="2"/>
    <x v="590"/>
    <x v="5"/>
    <x v="1"/>
    <x v="4"/>
    <x v="2"/>
    <x v="1"/>
    <x v="716"/>
    <x v="348"/>
    <x v="0"/>
  </r>
  <r>
    <x v="1245"/>
    <x v="589"/>
    <x v="576"/>
    <x v="569"/>
    <x v="0"/>
    <x v="2"/>
    <x v="4"/>
    <x v="581"/>
    <x v="269"/>
    <x v="1"/>
    <x v="239"/>
    <x v="0"/>
    <x v="0"/>
    <x v="3"/>
    <x v="1"/>
    <x v="1"/>
    <x v="2"/>
    <x v="1"/>
    <x v="2"/>
    <x v="1"/>
    <x v="2"/>
    <x v="0"/>
    <x v="2"/>
    <x v="3"/>
    <x v="4"/>
    <x v="584"/>
    <x v="12"/>
    <x v="0"/>
    <x v="0"/>
    <x v="1"/>
    <x v="0"/>
    <x v="0"/>
    <x v="0"/>
    <x v="0"/>
  </r>
  <r>
    <x v="1246"/>
    <x v="593"/>
    <x v="581"/>
    <x v="574"/>
    <x v="996"/>
    <x v="1"/>
    <x v="2"/>
    <x v="586"/>
    <x v="158"/>
    <x v="1"/>
    <x v="33"/>
    <x v="0"/>
    <x v="0"/>
    <x v="3"/>
    <x v="1"/>
    <x v="1"/>
    <x v="2"/>
    <x v="1"/>
    <x v="2"/>
    <x v="1"/>
    <x v="1"/>
    <x v="287"/>
    <x v="1"/>
    <x v="3"/>
    <x v="4"/>
    <x v="589"/>
    <x v="1"/>
    <x v="3"/>
    <x v="0"/>
    <x v="1"/>
    <x v="0"/>
    <x v="717"/>
    <x v="349"/>
    <x v="0"/>
  </r>
  <r>
    <x v="1247"/>
    <x v="595"/>
    <x v="583"/>
    <x v="576"/>
    <x v="997"/>
    <x v="1"/>
    <x v="2"/>
    <x v="588"/>
    <x v="203"/>
    <x v="2"/>
    <x v="0"/>
    <x v="2"/>
    <x v="0"/>
    <x v="1"/>
    <x v="1"/>
    <x v="1"/>
    <x v="2"/>
    <x v="1"/>
    <x v="2"/>
    <x v="1"/>
    <x v="2"/>
    <x v="0"/>
    <x v="1"/>
    <x v="1"/>
    <x v="2"/>
    <x v="591"/>
    <x v="12"/>
    <x v="0"/>
    <x v="0"/>
    <x v="1"/>
    <x v="0"/>
    <x v="0"/>
    <x v="0"/>
    <x v="0"/>
  </r>
  <r>
    <x v="1248"/>
    <x v="596"/>
    <x v="582"/>
    <x v="575"/>
    <x v="998"/>
    <x v="1"/>
    <x v="3"/>
    <x v="587"/>
    <x v="10"/>
    <x v="1"/>
    <x v="161"/>
    <x v="0"/>
    <x v="0"/>
    <x v="3"/>
    <x v="1"/>
    <x v="1"/>
    <x v="2"/>
    <x v="1"/>
    <x v="2"/>
    <x v="1"/>
    <x v="1"/>
    <x v="286"/>
    <x v="1"/>
    <x v="3"/>
    <x v="4"/>
    <x v="590"/>
    <x v="1"/>
    <x v="1"/>
    <x v="4"/>
    <x v="1"/>
    <x v="0"/>
    <x v="718"/>
    <x v="0"/>
    <x v="0"/>
  </r>
  <r>
    <x v="1249"/>
    <x v="464"/>
    <x v="460"/>
    <x v="454"/>
    <x v="0"/>
    <x v="1"/>
    <x v="2"/>
    <x v="469"/>
    <x v="423"/>
    <x v="6"/>
    <x v="0"/>
    <x v="0"/>
    <x v="10"/>
    <x v="3"/>
    <x v="4"/>
    <x v="1"/>
    <x v="2"/>
    <x v="1"/>
    <x v="2"/>
    <x v="1"/>
    <x v="2"/>
    <x v="0"/>
    <x v="2"/>
    <x v="3"/>
    <x v="4"/>
    <x v="462"/>
    <x v="1"/>
    <x v="0"/>
    <x v="0"/>
    <x v="1"/>
    <x v="0"/>
    <x v="0"/>
    <x v="0"/>
    <x v="0"/>
  </r>
  <r>
    <x v="1250"/>
    <x v="596"/>
    <x v="582"/>
    <x v="575"/>
    <x v="0"/>
    <x v="1"/>
    <x v="3"/>
    <x v="587"/>
    <x v="10"/>
    <x v="1"/>
    <x v="161"/>
    <x v="0"/>
    <x v="0"/>
    <x v="3"/>
    <x v="1"/>
    <x v="1"/>
    <x v="2"/>
    <x v="1"/>
    <x v="2"/>
    <x v="1"/>
    <x v="2"/>
    <x v="0"/>
    <x v="2"/>
    <x v="3"/>
    <x v="4"/>
    <x v="590"/>
    <x v="1"/>
    <x v="0"/>
    <x v="0"/>
    <x v="1"/>
    <x v="0"/>
    <x v="0"/>
    <x v="0"/>
    <x v="0"/>
  </r>
  <r>
    <x v="1251"/>
    <x v="590"/>
    <x v="578"/>
    <x v="571"/>
    <x v="999"/>
    <x v="1"/>
    <x v="1"/>
    <x v="583"/>
    <x v="422"/>
    <x v="1"/>
    <x v="27"/>
    <x v="0"/>
    <x v="0"/>
    <x v="3"/>
    <x v="1"/>
    <x v="1"/>
    <x v="2"/>
    <x v="1"/>
    <x v="2"/>
    <x v="1"/>
    <x v="2"/>
    <x v="0"/>
    <x v="2"/>
    <x v="3"/>
    <x v="4"/>
    <x v="586"/>
    <x v="1"/>
    <x v="0"/>
    <x v="0"/>
    <x v="1"/>
    <x v="0"/>
    <x v="0"/>
    <x v="0"/>
    <x v="0"/>
  </r>
  <r>
    <x v="1252"/>
    <x v="597"/>
    <x v="584"/>
    <x v="577"/>
    <x v="1000"/>
    <x v="1"/>
    <x v="2"/>
    <x v="589"/>
    <x v="10"/>
    <x v="1"/>
    <x v="31"/>
    <x v="0"/>
    <x v="0"/>
    <x v="1"/>
    <x v="7"/>
    <x v="3"/>
    <x v="2"/>
    <x v="1"/>
    <x v="1"/>
    <x v="1"/>
    <x v="1"/>
    <x v="287"/>
    <x v="1"/>
    <x v="6"/>
    <x v="3"/>
    <x v="592"/>
    <x v="14"/>
    <x v="3"/>
    <x v="0"/>
    <x v="1"/>
    <x v="0"/>
    <x v="719"/>
    <x v="350"/>
    <x v="0"/>
  </r>
  <r>
    <x v="1253"/>
    <x v="491"/>
    <x v="484"/>
    <x v="478"/>
    <x v="1001"/>
    <x v="1"/>
    <x v="2"/>
    <x v="499"/>
    <x v="384"/>
    <x v="6"/>
    <x v="0"/>
    <x v="0"/>
    <x v="27"/>
    <x v="1"/>
    <x v="1"/>
    <x v="1"/>
    <x v="2"/>
    <x v="1"/>
    <x v="2"/>
    <x v="1"/>
    <x v="1"/>
    <x v="287"/>
    <x v="1"/>
    <x v="6"/>
    <x v="3"/>
    <x v="488"/>
    <x v="14"/>
    <x v="3"/>
    <x v="0"/>
    <x v="1"/>
    <x v="0"/>
    <x v="720"/>
    <x v="351"/>
    <x v="0"/>
  </r>
  <r>
    <x v="1254"/>
    <x v="598"/>
    <x v="585"/>
    <x v="578"/>
    <x v="1002"/>
    <x v="1"/>
    <x v="2"/>
    <x v="590"/>
    <x v="424"/>
    <x v="1"/>
    <x v="3"/>
    <x v="0"/>
    <x v="0"/>
    <x v="1"/>
    <x v="3"/>
    <x v="2"/>
    <x v="1"/>
    <x v="1"/>
    <x v="2"/>
    <x v="1"/>
    <x v="1"/>
    <x v="288"/>
    <x v="1"/>
    <x v="4"/>
    <x v="2"/>
    <x v="593"/>
    <x v="3"/>
    <x v="1"/>
    <x v="1"/>
    <x v="1"/>
    <x v="0"/>
    <x v="721"/>
    <x v="352"/>
    <x v="0"/>
  </r>
  <r>
    <x v="1255"/>
    <x v="562"/>
    <x v="491"/>
    <x v="484"/>
    <x v="1003"/>
    <x v="3"/>
    <x v="2"/>
    <x v="500"/>
    <x v="323"/>
    <x v="1"/>
    <x v="2"/>
    <x v="0"/>
    <x v="0"/>
    <x v="1"/>
    <x v="1"/>
    <x v="1"/>
    <x v="1"/>
    <x v="2"/>
    <x v="2"/>
    <x v="1"/>
    <x v="2"/>
    <x v="0"/>
    <x v="1"/>
    <x v="5"/>
    <x v="2"/>
    <x v="494"/>
    <x v="3"/>
    <x v="0"/>
    <x v="0"/>
    <x v="1"/>
    <x v="0"/>
    <x v="0"/>
    <x v="0"/>
    <x v="0"/>
  </r>
  <r>
    <x v="1256"/>
    <x v="575"/>
    <x v="563"/>
    <x v="556"/>
    <x v="0"/>
    <x v="1"/>
    <x v="2"/>
    <x v="571"/>
    <x v="414"/>
    <x v="1"/>
    <x v="22"/>
    <x v="0"/>
    <x v="0"/>
    <x v="3"/>
    <x v="1"/>
    <x v="1"/>
    <x v="2"/>
    <x v="1"/>
    <x v="2"/>
    <x v="1"/>
    <x v="2"/>
    <x v="0"/>
    <x v="2"/>
    <x v="3"/>
    <x v="4"/>
    <x v="569"/>
    <x v="1"/>
    <x v="0"/>
    <x v="0"/>
    <x v="1"/>
    <x v="0"/>
    <x v="0"/>
    <x v="0"/>
    <x v="0"/>
  </r>
  <r>
    <x v="1257"/>
    <x v="460"/>
    <x v="456"/>
    <x v="450"/>
    <x v="1004"/>
    <x v="1"/>
    <x v="2"/>
    <x v="465"/>
    <x v="199"/>
    <x v="1"/>
    <x v="2"/>
    <x v="0"/>
    <x v="0"/>
    <x v="1"/>
    <x v="3"/>
    <x v="3"/>
    <x v="1"/>
    <x v="1"/>
    <x v="2"/>
    <x v="1"/>
    <x v="1"/>
    <x v="280"/>
    <x v="1"/>
    <x v="1"/>
    <x v="2"/>
    <x v="458"/>
    <x v="2"/>
    <x v="3"/>
    <x v="0"/>
    <x v="1"/>
    <x v="0"/>
    <x v="722"/>
    <x v="353"/>
    <x v="347"/>
  </r>
  <r>
    <x v="1258"/>
    <x v="599"/>
    <x v="586"/>
    <x v="579"/>
    <x v="1005"/>
    <x v="1"/>
    <x v="1"/>
    <x v="347"/>
    <x v="425"/>
    <x v="1"/>
    <x v="2"/>
    <x v="0"/>
    <x v="0"/>
    <x v="1"/>
    <x v="2"/>
    <x v="3"/>
    <x v="1"/>
    <x v="1"/>
    <x v="2"/>
    <x v="1"/>
    <x v="1"/>
    <x v="289"/>
    <x v="1"/>
    <x v="1"/>
    <x v="2"/>
    <x v="594"/>
    <x v="2"/>
    <x v="1"/>
    <x v="1"/>
    <x v="1"/>
    <x v="0"/>
    <x v="723"/>
    <x v="0"/>
    <x v="0"/>
  </r>
  <r>
    <x v="1259"/>
    <x v="335"/>
    <x v="335"/>
    <x v="330"/>
    <x v="1006"/>
    <x v="1"/>
    <x v="2"/>
    <x v="350"/>
    <x v="269"/>
    <x v="1"/>
    <x v="3"/>
    <x v="0"/>
    <x v="0"/>
    <x v="1"/>
    <x v="3"/>
    <x v="2"/>
    <x v="1"/>
    <x v="1"/>
    <x v="2"/>
    <x v="1"/>
    <x v="1"/>
    <x v="289"/>
    <x v="1"/>
    <x v="1"/>
    <x v="2"/>
    <x v="337"/>
    <x v="5"/>
    <x v="3"/>
    <x v="0"/>
    <x v="1"/>
    <x v="0"/>
    <x v="724"/>
    <x v="354"/>
    <x v="0"/>
  </r>
  <r>
    <x v="1260"/>
    <x v="599"/>
    <x v="586"/>
    <x v="579"/>
    <x v="0"/>
    <x v="1"/>
    <x v="1"/>
    <x v="347"/>
    <x v="425"/>
    <x v="1"/>
    <x v="2"/>
    <x v="0"/>
    <x v="0"/>
    <x v="3"/>
    <x v="4"/>
    <x v="1"/>
    <x v="2"/>
    <x v="1"/>
    <x v="2"/>
    <x v="1"/>
    <x v="2"/>
    <x v="0"/>
    <x v="2"/>
    <x v="3"/>
    <x v="4"/>
    <x v="594"/>
    <x v="5"/>
    <x v="0"/>
    <x v="0"/>
    <x v="1"/>
    <x v="0"/>
    <x v="0"/>
    <x v="0"/>
    <x v="0"/>
  </r>
  <r>
    <x v="1261"/>
    <x v="600"/>
    <x v="587"/>
    <x v="580"/>
    <x v="1007"/>
    <x v="3"/>
    <x v="4"/>
    <x v="591"/>
    <x v="359"/>
    <x v="1"/>
    <x v="15"/>
    <x v="0"/>
    <x v="0"/>
    <x v="1"/>
    <x v="3"/>
    <x v="3"/>
    <x v="2"/>
    <x v="2"/>
    <x v="2"/>
    <x v="1"/>
    <x v="1"/>
    <x v="288"/>
    <x v="1"/>
    <x v="5"/>
    <x v="2"/>
    <x v="595"/>
    <x v="5"/>
    <x v="3"/>
    <x v="0"/>
    <x v="1"/>
    <x v="0"/>
    <x v="725"/>
    <x v="355"/>
    <x v="348"/>
  </r>
  <r>
    <x v="1262"/>
    <x v="471"/>
    <x v="466"/>
    <x v="460"/>
    <x v="1008"/>
    <x v="1"/>
    <x v="2"/>
    <x v="476"/>
    <x v="341"/>
    <x v="1"/>
    <x v="33"/>
    <x v="0"/>
    <x v="0"/>
    <x v="1"/>
    <x v="3"/>
    <x v="2"/>
    <x v="2"/>
    <x v="1"/>
    <x v="3"/>
    <x v="1"/>
    <x v="1"/>
    <x v="288"/>
    <x v="1"/>
    <x v="2"/>
    <x v="3"/>
    <x v="468"/>
    <x v="5"/>
    <x v="1"/>
    <x v="1"/>
    <x v="1"/>
    <x v="0"/>
    <x v="726"/>
    <x v="0"/>
    <x v="194"/>
  </r>
  <r>
    <x v="1263"/>
    <x v="601"/>
    <x v="588"/>
    <x v="581"/>
    <x v="1009"/>
    <x v="1"/>
    <x v="2"/>
    <x v="592"/>
    <x v="10"/>
    <x v="2"/>
    <x v="0"/>
    <x v="2"/>
    <x v="0"/>
    <x v="1"/>
    <x v="3"/>
    <x v="3"/>
    <x v="2"/>
    <x v="1"/>
    <x v="1"/>
    <x v="1"/>
    <x v="1"/>
    <x v="288"/>
    <x v="2"/>
    <x v="1"/>
    <x v="2"/>
    <x v="596"/>
    <x v="14"/>
    <x v="1"/>
    <x v="13"/>
    <x v="1"/>
    <x v="0"/>
    <x v="727"/>
    <x v="0"/>
    <x v="349"/>
  </r>
  <r>
    <x v="1264"/>
    <x v="602"/>
    <x v="589"/>
    <x v="582"/>
    <x v="1010"/>
    <x v="1"/>
    <x v="2"/>
    <x v="593"/>
    <x v="351"/>
    <x v="1"/>
    <x v="240"/>
    <x v="0"/>
    <x v="0"/>
    <x v="1"/>
    <x v="5"/>
    <x v="4"/>
    <x v="1"/>
    <x v="1"/>
    <x v="2"/>
    <x v="1"/>
    <x v="1"/>
    <x v="290"/>
    <x v="1"/>
    <x v="1"/>
    <x v="13"/>
    <x v="597"/>
    <x v="15"/>
    <x v="3"/>
    <x v="0"/>
    <x v="1"/>
    <x v="0"/>
    <x v="728"/>
    <x v="356"/>
    <x v="350"/>
  </r>
  <r>
    <x v="1265"/>
    <x v="471"/>
    <x v="466"/>
    <x v="460"/>
    <x v="0"/>
    <x v="1"/>
    <x v="2"/>
    <x v="476"/>
    <x v="341"/>
    <x v="1"/>
    <x v="33"/>
    <x v="0"/>
    <x v="0"/>
    <x v="3"/>
    <x v="1"/>
    <x v="2"/>
    <x v="2"/>
    <x v="1"/>
    <x v="3"/>
    <x v="1"/>
    <x v="1"/>
    <x v="291"/>
    <x v="2"/>
    <x v="3"/>
    <x v="4"/>
    <x v="468"/>
    <x v="5"/>
    <x v="1"/>
    <x v="5"/>
    <x v="1"/>
    <x v="1"/>
    <x v="729"/>
    <x v="357"/>
    <x v="198"/>
  </r>
  <r>
    <x v="1266"/>
    <x v="601"/>
    <x v="588"/>
    <x v="581"/>
    <x v="0"/>
    <x v="1"/>
    <x v="2"/>
    <x v="592"/>
    <x v="10"/>
    <x v="2"/>
    <x v="0"/>
    <x v="2"/>
    <x v="0"/>
    <x v="3"/>
    <x v="4"/>
    <x v="1"/>
    <x v="2"/>
    <x v="1"/>
    <x v="2"/>
    <x v="1"/>
    <x v="2"/>
    <x v="0"/>
    <x v="2"/>
    <x v="3"/>
    <x v="4"/>
    <x v="598"/>
    <x v="14"/>
    <x v="0"/>
    <x v="0"/>
    <x v="1"/>
    <x v="0"/>
    <x v="0"/>
    <x v="0"/>
    <x v="0"/>
  </r>
  <r>
    <x v="1267"/>
    <x v="598"/>
    <x v="585"/>
    <x v="578"/>
    <x v="0"/>
    <x v="1"/>
    <x v="2"/>
    <x v="590"/>
    <x v="424"/>
    <x v="1"/>
    <x v="3"/>
    <x v="0"/>
    <x v="0"/>
    <x v="3"/>
    <x v="6"/>
    <x v="2"/>
    <x v="2"/>
    <x v="1"/>
    <x v="2"/>
    <x v="1"/>
    <x v="1"/>
    <x v="292"/>
    <x v="2"/>
    <x v="3"/>
    <x v="4"/>
    <x v="593"/>
    <x v="5"/>
    <x v="1"/>
    <x v="1"/>
    <x v="1"/>
    <x v="0"/>
    <x v="730"/>
    <x v="0"/>
    <x v="0"/>
  </r>
  <r>
    <x v="1268"/>
    <x v="603"/>
    <x v="590"/>
    <x v="583"/>
    <x v="1011"/>
    <x v="1"/>
    <x v="2"/>
    <x v="594"/>
    <x v="244"/>
    <x v="1"/>
    <x v="241"/>
    <x v="0"/>
    <x v="0"/>
    <x v="1"/>
    <x v="1"/>
    <x v="2"/>
    <x v="1"/>
    <x v="1"/>
    <x v="2"/>
    <x v="1"/>
    <x v="2"/>
    <x v="0"/>
    <x v="1"/>
    <x v="5"/>
    <x v="2"/>
    <x v="599"/>
    <x v="5"/>
    <x v="0"/>
    <x v="0"/>
    <x v="1"/>
    <x v="0"/>
    <x v="0"/>
    <x v="0"/>
    <x v="0"/>
  </r>
  <r>
    <x v="1269"/>
    <x v="604"/>
    <x v="591"/>
    <x v="584"/>
    <x v="1012"/>
    <x v="1"/>
    <x v="2"/>
    <x v="595"/>
    <x v="426"/>
    <x v="1"/>
    <x v="22"/>
    <x v="0"/>
    <x v="0"/>
    <x v="1"/>
    <x v="2"/>
    <x v="3"/>
    <x v="1"/>
    <x v="1"/>
    <x v="2"/>
    <x v="1"/>
    <x v="1"/>
    <x v="291"/>
    <x v="1"/>
    <x v="1"/>
    <x v="2"/>
    <x v="600"/>
    <x v="17"/>
    <x v="3"/>
    <x v="0"/>
    <x v="1"/>
    <x v="0"/>
    <x v="729"/>
    <x v="358"/>
    <x v="0"/>
  </r>
  <r>
    <x v="1270"/>
    <x v="471"/>
    <x v="466"/>
    <x v="460"/>
    <x v="1013"/>
    <x v="1"/>
    <x v="2"/>
    <x v="476"/>
    <x v="341"/>
    <x v="1"/>
    <x v="33"/>
    <x v="0"/>
    <x v="0"/>
    <x v="3"/>
    <x v="1"/>
    <x v="1"/>
    <x v="2"/>
    <x v="1"/>
    <x v="3"/>
    <x v="1"/>
    <x v="1"/>
    <x v="293"/>
    <x v="1"/>
    <x v="3"/>
    <x v="4"/>
    <x v="468"/>
    <x v="2"/>
    <x v="3"/>
    <x v="0"/>
    <x v="1"/>
    <x v="0"/>
    <x v="731"/>
    <x v="359"/>
    <x v="0"/>
  </r>
  <r>
    <x v="1271"/>
    <x v="605"/>
    <x v="592"/>
    <x v="585"/>
    <x v="1014"/>
    <x v="1"/>
    <x v="2"/>
    <x v="101"/>
    <x v="255"/>
    <x v="1"/>
    <x v="242"/>
    <x v="0"/>
    <x v="0"/>
    <x v="1"/>
    <x v="1"/>
    <x v="1"/>
    <x v="2"/>
    <x v="1"/>
    <x v="3"/>
    <x v="1"/>
    <x v="2"/>
    <x v="0"/>
    <x v="1"/>
    <x v="5"/>
    <x v="3"/>
    <x v="601"/>
    <x v="18"/>
    <x v="0"/>
    <x v="0"/>
    <x v="0"/>
    <x v="0"/>
    <x v="0"/>
    <x v="0"/>
    <x v="0"/>
  </r>
  <r>
    <x v="1272"/>
    <x v="428"/>
    <x v="425"/>
    <x v="420"/>
    <x v="1015"/>
    <x v="3"/>
    <x v="3"/>
    <x v="437"/>
    <x v="324"/>
    <x v="1"/>
    <x v="2"/>
    <x v="0"/>
    <x v="0"/>
    <x v="1"/>
    <x v="1"/>
    <x v="1"/>
    <x v="2"/>
    <x v="1"/>
    <x v="3"/>
    <x v="1"/>
    <x v="2"/>
    <x v="0"/>
    <x v="1"/>
    <x v="5"/>
    <x v="3"/>
    <x v="428"/>
    <x v="18"/>
    <x v="0"/>
    <x v="0"/>
    <x v="0"/>
    <x v="0"/>
    <x v="0"/>
    <x v="0"/>
    <x v="0"/>
  </r>
  <r>
    <x v="1273"/>
    <x v="540"/>
    <x v="532"/>
    <x v="524"/>
    <x v="1016"/>
    <x v="1"/>
    <x v="2"/>
    <x v="543"/>
    <x v="427"/>
    <x v="1"/>
    <x v="33"/>
    <x v="0"/>
    <x v="0"/>
    <x v="1"/>
    <x v="2"/>
    <x v="3"/>
    <x v="2"/>
    <x v="1"/>
    <x v="3"/>
    <x v="1"/>
    <x v="1"/>
    <x v="293"/>
    <x v="1"/>
    <x v="6"/>
    <x v="3"/>
    <x v="535"/>
    <x v="19"/>
    <x v="1"/>
    <x v="13"/>
    <x v="2"/>
    <x v="1"/>
    <x v="0"/>
    <x v="0"/>
    <x v="351"/>
  </r>
  <r>
    <x v="1274"/>
    <x v="598"/>
    <x v="585"/>
    <x v="578"/>
    <x v="0"/>
    <x v="1"/>
    <x v="2"/>
    <x v="590"/>
    <x v="424"/>
    <x v="1"/>
    <x v="3"/>
    <x v="0"/>
    <x v="0"/>
    <x v="3"/>
    <x v="1"/>
    <x v="2"/>
    <x v="2"/>
    <x v="1"/>
    <x v="2"/>
    <x v="1"/>
    <x v="1"/>
    <x v="290"/>
    <x v="2"/>
    <x v="3"/>
    <x v="4"/>
    <x v="593"/>
    <x v="5"/>
    <x v="1"/>
    <x v="3"/>
    <x v="1"/>
    <x v="0"/>
    <x v="732"/>
    <x v="0"/>
    <x v="0"/>
  </r>
  <r>
    <x v="1275"/>
    <x v="606"/>
    <x v="395"/>
    <x v="390"/>
    <x v="1017"/>
    <x v="3"/>
    <x v="2"/>
    <x v="347"/>
    <x v="374"/>
    <x v="1"/>
    <x v="243"/>
    <x v="0"/>
    <x v="0"/>
    <x v="1"/>
    <x v="2"/>
    <x v="3"/>
    <x v="2"/>
    <x v="1"/>
    <x v="3"/>
    <x v="1"/>
    <x v="1"/>
    <x v="293"/>
    <x v="1"/>
    <x v="6"/>
    <x v="3"/>
    <x v="398"/>
    <x v="19"/>
    <x v="3"/>
    <x v="0"/>
    <x v="1"/>
    <x v="0"/>
    <x v="733"/>
    <x v="360"/>
    <x v="0"/>
  </r>
  <r>
    <x v="1276"/>
    <x v="540"/>
    <x v="532"/>
    <x v="524"/>
    <x v="1018"/>
    <x v="1"/>
    <x v="2"/>
    <x v="543"/>
    <x v="428"/>
    <x v="1"/>
    <x v="33"/>
    <x v="0"/>
    <x v="0"/>
    <x v="3"/>
    <x v="1"/>
    <x v="1"/>
    <x v="2"/>
    <x v="1"/>
    <x v="2"/>
    <x v="1"/>
    <x v="1"/>
    <x v="294"/>
    <x v="1"/>
    <x v="3"/>
    <x v="4"/>
    <x v="535"/>
    <x v="14"/>
    <x v="1"/>
    <x v="1"/>
    <x v="1"/>
    <x v="0"/>
    <x v="734"/>
    <x v="361"/>
    <x v="351"/>
  </r>
  <r>
    <x v="1277"/>
    <x v="607"/>
    <x v="593"/>
    <x v="586"/>
    <x v="1019"/>
    <x v="3"/>
    <x v="2"/>
    <x v="596"/>
    <x v="429"/>
    <x v="1"/>
    <x v="9"/>
    <x v="0"/>
    <x v="0"/>
    <x v="1"/>
    <x v="1"/>
    <x v="1"/>
    <x v="2"/>
    <x v="1"/>
    <x v="1"/>
    <x v="1"/>
    <x v="1"/>
    <x v="294"/>
    <x v="1"/>
    <x v="6"/>
    <x v="3"/>
    <x v="602"/>
    <x v="14"/>
    <x v="1"/>
    <x v="14"/>
    <x v="1"/>
    <x v="0"/>
    <x v="735"/>
    <x v="362"/>
    <x v="0"/>
  </r>
  <r>
    <x v="1278"/>
    <x v="608"/>
    <x v="594"/>
    <x v="587"/>
    <x v="1020"/>
    <x v="3"/>
    <x v="1"/>
    <x v="597"/>
    <x v="430"/>
    <x v="1"/>
    <x v="33"/>
    <x v="0"/>
    <x v="0"/>
    <x v="1"/>
    <x v="3"/>
    <x v="2"/>
    <x v="2"/>
    <x v="1"/>
    <x v="3"/>
    <x v="1"/>
    <x v="1"/>
    <x v="295"/>
    <x v="1"/>
    <x v="2"/>
    <x v="2"/>
    <x v="603"/>
    <x v="5"/>
    <x v="1"/>
    <x v="3"/>
    <x v="2"/>
    <x v="1"/>
    <x v="736"/>
    <x v="0"/>
    <x v="0"/>
  </r>
  <r>
    <x v="1279"/>
    <x v="609"/>
    <x v="595"/>
    <x v="588"/>
    <x v="1021"/>
    <x v="3"/>
    <x v="2"/>
    <x v="598"/>
    <x v="196"/>
    <x v="6"/>
    <x v="0"/>
    <x v="0"/>
    <x v="4"/>
    <x v="1"/>
    <x v="3"/>
    <x v="2"/>
    <x v="1"/>
    <x v="1"/>
    <x v="3"/>
    <x v="1"/>
    <x v="1"/>
    <x v="295"/>
    <x v="1"/>
    <x v="1"/>
    <x v="2"/>
    <x v="604"/>
    <x v="2"/>
    <x v="1"/>
    <x v="3"/>
    <x v="2"/>
    <x v="1"/>
    <x v="737"/>
    <x v="363"/>
    <x v="352"/>
  </r>
  <r>
    <x v="1280"/>
    <x v="540"/>
    <x v="532"/>
    <x v="524"/>
    <x v="0"/>
    <x v="1"/>
    <x v="2"/>
    <x v="543"/>
    <x v="428"/>
    <x v="1"/>
    <x v="33"/>
    <x v="0"/>
    <x v="0"/>
    <x v="3"/>
    <x v="1"/>
    <x v="1"/>
    <x v="1"/>
    <x v="1"/>
    <x v="2"/>
    <x v="1"/>
    <x v="1"/>
    <x v="295"/>
    <x v="2"/>
    <x v="3"/>
    <x v="4"/>
    <x v="535"/>
    <x v="5"/>
    <x v="1"/>
    <x v="15"/>
    <x v="2"/>
    <x v="1"/>
    <x v="738"/>
    <x v="0"/>
    <x v="351"/>
  </r>
  <r>
    <x v="1281"/>
    <x v="607"/>
    <x v="593"/>
    <x v="586"/>
    <x v="0"/>
    <x v="3"/>
    <x v="1"/>
    <x v="596"/>
    <x v="429"/>
    <x v="1"/>
    <x v="9"/>
    <x v="0"/>
    <x v="0"/>
    <x v="3"/>
    <x v="1"/>
    <x v="1"/>
    <x v="2"/>
    <x v="1"/>
    <x v="1"/>
    <x v="1"/>
    <x v="2"/>
    <x v="0"/>
    <x v="2"/>
    <x v="3"/>
    <x v="4"/>
    <x v="602"/>
    <x v="15"/>
    <x v="1"/>
    <x v="0"/>
    <x v="1"/>
    <x v="0"/>
    <x v="0"/>
    <x v="0"/>
    <x v="0"/>
  </r>
  <r>
    <x v="1282"/>
    <x v="576"/>
    <x v="565"/>
    <x v="558"/>
    <x v="1022"/>
    <x v="3"/>
    <x v="3"/>
    <x v="572"/>
    <x v="415"/>
    <x v="6"/>
    <x v="0"/>
    <x v="0"/>
    <x v="10"/>
    <x v="1"/>
    <x v="1"/>
    <x v="1"/>
    <x v="1"/>
    <x v="1"/>
    <x v="2"/>
    <x v="1"/>
    <x v="1"/>
    <x v="290"/>
    <x v="1"/>
    <x v="1"/>
    <x v="2"/>
    <x v="572"/>
    <x v="15"/>
    <x v="1"/>
    <x v="14"/>
    <x v="2"/>
    <x v="1"/>
    <x v="0"/>
    <x v="0"/>
    <x v="0"/>
  </r>
  <r>
    <x v="1283"/>
    <x v="446"/>
    <x v="442"/>
    <x v="437"/>
    <x v="1023"/>
    <x v="1"/>
    <x v="6"/>
    <x v="452"/>
    <x v="343"/>
    <x v="6"/>
    <x v="0"/>
    <x v="0"/>
    <x v="28"/>
    <x v="1"/>
    <x v="2"/>
    <x v="3"/>
    <x v="2"/>
    <x v="1"/>
    <x v="2"/>
    <x v="2"/>
    <x v="1"/>
    <x v="290"/>
    <x v="1"/>
    <x v="1"/>
    <x v="2"/>
    <x v="445"/>
    <x v="19"/>
    <x v="1"/>
    <x v="14"/>
    <x v="1"/>
    <x v="0"/>
    <x v="0"/>
    <x v="0"/>
    <x v="0"/>
  </r>
  <r>
    <x v="1284"/>
    <x v="608"/>
    <x v="594"/>
    <x v="587"/>
    <x v="1024"/>
    <x v="3"/>
    <x v="2"/>
    <x v="597"/>
    <x v="430"/>
    <x v="1"/>
    <x v="15"/>
    <x v="0"/>
    <x v="0"/>
    <x v="3"/>
    <x v="2"/>
    <x v="3"/>
    <x v="2"/>
    <x v="1"/>
    <x v="1"/>
    <x v="1"/>
    <x v="1"/>
    <x v="290"/>
    <x v="1"/>
    <x v="3"/>
    <x v="4"/>
    <x v="603"/>
    <x v="3"/>
    <x v="1"/>
    <x v="14"/>
    <x v="2"/>
    <x v="1"/>
    <x v="0"/>
    <x v="0"/>
    <x v="0"/>
  </r>
  <r>
    <x v="1285"/>
    <x v="610"/>
    <x v="596"/>
    <x v="589"/>
    <x v="1025"/>
    <x v="1"/>
    <x v="2"/>
    <x v="599"/>
    <x v="431"/>
    <x v="1"/>
    <x v="15"/>
    <x v="0"/>
    <x v="0"/>
    <x v="1"/>
    <x v="2"/>
    <x v="3"/>
    <x v="2"/>
    <x v="1"/>
    <x v="1"/>
    <x v="1"/>
    <x v="1"/>
    <x v="290"/>
    <x v="1"/>
    <x v="1"/>
    <x v="2"/>
    <x v="605"/>
    <x v="3"/>
    <x v="1"/>
    <x v="3"/>
    <x v="2"/>
    <x v="1"/>
    <x v="739"/>
    <x v="0"/>
    <x v="0"/>
  </r>
  <r>
    <x v="1286"/>
    <x v="540"/>
    <x v="532"/>
    <x v="524"/>
    <x v="1026"/>
    <x v="1"/>
    <x v="6"/>
    <x v="543"/>
    <x v="428"/>
    <x v="1"/>
    <x v="33"/>
    <x v="0"/>
    <x v="0"/>
    <x v="3"/>
    <x v="1"/>
    <x v="1"/>
    <x v="2"/>
    <x v="1"/>
    <x v="2"/>
    <x v="1"/>
    <x v="1"/>
    <x v="290"/>
    <x v="1"/>
    <x v="1"/>
    <x v="2"/>
    <x v="535"/>
    <x v="19"/>
    <x v="1"/>
    <x v="16"/>
    <x v="2"/>
    <x v="1"/>
    <x v="740"/>
    <x v="0"/>
    <x v="351"/>
  </r>
  <r>
    <x v="1287"/>
    <x v="609"/>
    <x v="595"/>
    <x v="588"/>
    <x v="1027"/>
    <x v="3"/>
    <x v="2"/>
    <x v="598"/>
    <x v="79"/>
    <x v="6"/>
    <x v="0"/>
    <x v="0"/>
    <x v="4"/>
    <x v="3"/>
    <x v="3"/>
    <x v="3"/>
    <x v="1"/>
    <x v="1"/>
    <x v="2"/>
    <x v="1"/>
    <x v="1"/>
    <x v="290"/>
    <x v="1"/>
    <x v="3"/>
    <x v="4"/>
    <x v="604"/>
    <x v="3"/>
    <x v="1"/>
    <x v="14"/>
    <x v="2"/>
    <x v="1"/>
    <x v="741"/>
    <x v="0"/>
    <x v="0"/>
  </r>
  <r>
    <x v="1288"/>
    <x v="598"/>
    <x v="585"/>
    <x v="578"/>
    <x v="0"/>
    <x v="1"/>
    <x v="2"/>
    <x v="590"/>
    <x v="424"/>
    <x v="1"/>
    <x v="3"/>
    <x v="0"/>
    <x v="0"/>
    <x v="3"/>
    <x v="5"/>
    <x v="1"/>
    <x v="2"/>
    <x v="1"/>
    <x v="1"/>
    <x v="1"/>
    <x v="2"/>
    <x v="0"/>
    <x v="2"/>
    <x v="3"/>
    <x v="4"/>
    <x v="593"/>
    <x v="3"/>
    <x v="0"/>
    <x v="0"/>
    <x v="1"/>
    <x v="0"/>
    <x v="0"/>
    <x v="0"/>
    <x v="0"/>
  </r>
  <r>
    <x v="1289"/>
    <x v="576"/>
    <x v="565"/>
    <x v="558"/>
    <x v="0"/>
    <x v="3"/>
    <x v="3"/>
    <x v="572"/>
    <x v="415"/>
    <x v="6"/>
    <x v="0"/>
    <x v="0"/>
    <x v="10"/>
    <x v="3"/>
    <x v="1"/>
    <x v="1"/>
    <x v="2"/>
    <x v="1"/>
    <x v="2"/>
    <x v="1"/>
    <x v="2"/>
    <x v="0"/>
    <x v="2"/>
    <x v="1"/>
    <x v="4"/>
    <x v="572"/>
    <x v="15"/>
    <x v="0"/>
    <x v="0"/>
    <x v="1"/>
    <x v="0"/>
    <x v="0"/>
    <x v="0"/>
    <x v="0"/>
  </r>
  <r>
    <x v="1290"/>
    <x v="611"/>
    <x v="597"/>
    <x v="590"/>
    <x v="1028"/>
    <x v="1"/>
    <x v="3"/>
    <x v="600"/>
    <x v="432"/>
    <x v="1"/>
    <x v="244"/>
    <x v="0"/>
    <x v="0"/>
    <x v="1"/>
    <x v="1"/>
    <x v="1"/>
    <x v="2"/>
    <x v="1"/>
    <x v="2"/>
    <x v="1"/>
    <x v="2"/>
    <x v="0"/>
    <x v="1"/>
    <x v="1"/>
    <x v="2"/>
    <x v="606"/>
    <x v="3"/>
    <x v="0"/>
    <x v="0"/>
    <x v="1"/>
    <x v="0"/>
    <x v="0"/>
    <x v="0"/>
    <x v="0"/>
  </r>
  <r>
    <x v="1291"/>
    <x v="612"/>
    <x v="598"/>
    <x v="591"/>
    <x v="1029"/>
    <x v="3"/>
    <x v="2"/>
    <x v="601"/>
    <x v="409"/>
    <x v="1"/>
    <x v="245"/>
    <x v="0"/>
    <x v="0"/>
    <x v="1"/>
    <x v="3"/>
    <x v="2"/>
    <x v="2"/>
    <x v="1"/>
    <x v="3"/>
    <x v="1"/>
    <x v="1"/>
    <x v="296"/>
    <x v="1"/>
    <x v="1"/>
    <x v="2"/>
    <x v="607"/>
    <x v="3"/>
    <x v="3"/>
    <x v="0"/>
    <x v="1"/>
    <x v="0"/>
    <x v="742"/>
    <x v="364"/>
    <x v="0"/>
  </r>
  <r>
    <x v="1292"/>
    <x v="446"/>
    <x v="442"/>
    <x v="437"/>
    <x v="0"/>
    <x v="1"/>
    <x v="2"/>
    <x v="452"/>
    <x v="433"/>
    <x v="6"/>
    <x v="0"/>
    <x v="0"/>
    <x v="29"/>
    <x v="3"/>
    <x v="1"/>
    <x v="1"/>
    <x v="2"/>
    <x v="1"/>
    <x v="2"/>
    <x v="1"/>
    <x v="2"/>
    <x v="0"/>
    <x v="2"/>
    <x v="3"/>
    <x v="4"/>
    <x v="445"/>
    <x v="15"/>
    <x v="0"/>
    <x v="0"/>
    <x v="1"/>
    <x v="0"/>
    <x v="0"/>
    <x v="0"/>
    <x v="0"/>
  </r>
  <r>
    <x v="1293"/>
    <x v="613"/>
    <x v="594"/>
    <x v="587"/>
    <x v="1030"/>
    <x v="3"/>
    <x v="2"/>
    <x v="597"/>
    <x v="430"/>
    <x v="1"/>
    <x v="15"/>
    <x v="0"/>
    <x v="0"/>
    <x v="3"/>
    <x v="1"/>
    <x v="3"/>
    <x v="2"/>
    <x v="2"/>
    <x v="1"/>
    <x v="1"/>
    <x v="1"/>
    <x v="296"/>
    <x v="2"/>
    <x v="3"/>
    <x v="4"/>
    <x v="603"/>
    <x v="15"/>
    <x v="3"/>
    <x v="0"/>
    <x v="1"/>
    <x v="0"/>
    <x v="743"/>
    <x v="365"/>
    <x v="0"/>
  </r>
  <r>
    <x v="1294"/>
    <x v="562"/>
    <x v="491"/>
    <x v="484"/>
    <x v="1031"/>
    <x v="3"/>
    <x v="3"/>
    <x v="500"/>
    <x v="323"/>
    <x v="1"/>
    <x v="246"/>
    <x v="0"/>
    <x v="0"/>
    <x v="1"/>
    <x v="1"/>
    <x v="1"/>
    <x v="2"/>
    <x v="1"/>
    <x v="2"/>
    <x v="1"/>
    <x v="2"/>
    <x v="0"/>
    <x v="1"/>
    <x v="1"/>
    <x v="2"/>
    <x v="494"/>
    <x v="3"/>
    <x v="0"/>
    <x v="0"/>
    <x v="1"/>
    <x v="0"/>
    <x v="0"/>
    <x v="0"/>
    <x v="0"/>
  </r>
  <r>
    <x v="1295"/>
    <x v="614"/>
    <x v="599"/>
    <x v="592"/>
    <x v="1032"/>
    <x v="1"/>
    <x v="1"/>
    <x v="40"/>
    <x v="434"/>
    <x v="1"/>
    <x v="15"/>
    <x v="0"/>
    <x v="0"/>
    <x v="1"/>
    <x v="1"/>
    <x v="1"/>
    <x v="2"/>
    <x v="1"/>
    <x v="2"/>
    <x v="1"/>
    <x v="2"/>
    <x v="0"/>
    <x v="1"/>
    <x v="1"/>
    <x v="2"/>
    <x v="608"/>
    <x v="3"/>
    <x v="0"/>
    <x v="0"/>
    <x v="1"/>
    <x v="0"/>
    <x v="0"/>
    <x v="0"/>
    <x v="0"/>
  </r>
  <r>
    <x v="1296"/>
    <x v="609"/>
    <x v="595"/>
    <x v="588"/>
    <x v="0"/>
    <x v="3"/>
    <x v="2"/>
    <x v="598"/>
    <x v="79"/>
    <x v="6"/>
    <x v="0"/>
    <x v="0"/>
    <x v="4"/>
    <x v="3"/>
    <x v="1"/>
    <x v="1"/>
    <x v="1"/>
    <x v="1"/>
    <x v="1"/>
    <x v="1"/>
    <x v="1"/>
    <x v="297"/>
    <x v="2"/>
    <x v="3"/>
    <x v="4"/>
    <x v="604"/>
    <x v="15"/>
    <x v="1"/>
    <x v="5"/>
    <x v="2"/>
    <x v="1"/>
    <x v="744"/>
    <x v="366"/>
    <x v="0"/>
  </r>
  <r>
    <x v="1297"/>
    <x v="540"/>
    <x v="532"/>
    <x v="524"/>
    <x v="1033"/>
    <x v="1"/>
    <x v="2"/>
    <x v="543"/>
    <x v="435"/>
    <x v="1"/>
    <x v="33"/>
    <x v="0"/>
    <x v="0"/>
    <x v="3"/>
    <x v="2"/>
    <x v="3"/>
    <x v="1"/>
    <x v="1"/>
    <x v="2"/>
    <x v="1"/>
    <x v="1"/>
    <x v="297"/>
    <x v="1"/>
    <x v="3"/>
    <x v="4"/>
    <x v="535"/>
    <x v="17"/>
    <x v="1"/>
    <x v="1"/>
    <x v="1"/>
    <x v="0"/>
    <x v="745"/>
    <x v="367"/>
    <x v="351"/>
  </r>
  <r>
    <x v="1298"/>
    <x v="615"/>
    <x v="600"/>
    <x v="593"/>
    <x v="1034"/>
    <x v="1"/>
    <x v="6"/>
    <x v="602"/>
    <x v="268"/>
    <x v="1"/>
    <x v="247"/>
    <x v="0"/>
    <x v="0"/>
    <x v="1"/>
    <x v="1"/>
    <x v="1"/>
    <x v="2"/>
    <x v="2"/>
    <x v="2"/>
    <x v="1"/>
    <x v="2"/>
    <x v="0"/>
    <x v="1"/>
    <x v="1"/>
    <x v="2"/>
    <x v="609"/>
    <x v="15"/>
    <x v="0"/>
    <x v="0"/>
    <x v="1"/>
    <x v="0"/>
    <x v="0"/>
    <x v="0"/>
    <x v="0"/>
  </r>
  <r>
    <x v="1299"/>
    <x v="610"/>
    <x v="596"/>
    <x v="589"/>
    <x v="1035"/>
    <x v="1"/>
    <x v="2"/>
    <x v="599"/>
    <x v="431"/>
    <x v="1"/>
    <x v="15"/>
    <x v="0"/>
    <x v="0"/>
    <x v="3"/>
    <x v="1"/>
    <x v="1"/>
    <x v="1"/>
    <x v="1"/>
    <x v="2"/>
    <x v="2"/>
    <x v="2"/>
    <x v="0"/>
    <x v="1"/>
    <x v="3"/>
    <x v="4"/>
    <x v="605"/>
    <x v="3"/>
    <x v="0"/>
    <x v="0"/>
    <x v="1"/>
    <x v="0"/>
    <x v="0"/>
    <x v="0"/>
    <x v="0"/>
  </r>
  <r>
    <x v="1300"/>
    <x v="616"/>
    <x v="601"/>
    <x v="594"/>
    <x v="1036"/>
    <x v="3"/>
    <x v="1"/>
    <x v="248"/>
    <x v="436"/>
    <x v="1"/>
    <x v="15"/>
    <x v="0"/>
    <x v="0"/>
    <x v="1"/>
    <x v="1"/>
    <x v="1"/>
    <x v="2"/>
    <x v="1"/>
    <x v="2"/>
    <x v="1"/>
    <x v="1"/>
    <x v="297"/>
    <x v="1"/>
    <x v="5"/>
    <x v="2"/>
    <x v="610"/>
    <x v="3"/>
    <x v="3"/>
    <x v="0"/>
    <x v="1"/>
    <x v="0"/>
    <x v="746"/>
    <x v="0"/>
    <x v="0"/>
  </r>
  <r>
    <x v="1301"/>
    <x v="617"/>
    <x v="602"/>
    <x v="595"/>
    <x v="1037"/>
    <x v="3"/>
    <x v="2"/>
    <x v="603"/>
    <x v="428"/>
    <x v="1"/>
    <x v="248"/>
    <x v="0"/>
    <x v="0"/>
    <x v="1"/>
    <x v="1"/>
    <x v="1"/>
    <x v="2"/>
    <x v="1"/>
    <x v="2"/>
    <x v="1"/>
    <x v="1"/>
    <x v="297"/>
    <x v="1"/>
    <x v="5"/>
    <x v="2"/>
    <x v="611"/>
    <x v="3"/>
    <x v="1"/>
    <x v="1"/>
    <x v="2"/>
    <x v="1"/>
    <x v="747"/>
    <x v="0"/>
    <x v="0"/>
  </r>
  <r>
    <x v="1302"/>
    <x v="618"/>
    <x v="603"/>
    <x v="596"/>
    <x v="0"/>
    <x v="1"/>
    <x v="2"/>
    <x v="604"/>
    <x v="396"/>
    <x v="1"/>
    <x v="15"/>
    <x v="0"/>
    <x v="0"/>
    <x v="1"/>
    <x v="1"/>
    <x v="1"/>
    <x v="1"/>
    <x v="1"/>
    <x v="2"/>
    <x v="1"/>
    <x v="1"/>
    <x v="298"/>
    <x v="1"/>
    <x v="5"/>
    <x v="2"/>
    <x v="612"/>
    <x v="17"/>
    <x v="3"/>
    <x v="0"/>
    <x v="1"/>
    <x v="0"/>
    <x v="748"/>
    <x v="368"/>
    <x v="0"/>
  </r>
  <r>
    <x v="1303"/>
    <x v="619"/>
    <x v="604"/>
    <x v="597"/>
    <x v="1038"/>
    <x v="1"/>
    <x v="2"/>
    <x v="605"/>
    <x v="281"/>
    <x v="1"/>
    <x v="31"/>
    <x v="0"/>
    <x v="0"/>
    <x v="1"/>
    <x v="1"/>
    <x v="1"/>
    <x v="2"/>
    <x v="1"/>
    <x v="2"/>
    <x v="1"/>
    <x v="1"/>
    <x v="296"/>
    <x v="1"/>
    <x v="4"/>
    <x v="3"/>
    <x v="613"/>
    <x v="14"/>
    <x v="1"/>
    <x v="13"/>
    <x v="2"/>
    <x v="1"/>
    <x v="749"/>
    <x v="0"/>
    <x v="353"/>
  </r>
  <r>
    <x v="1304"/>
    <x v="560"/>
    <x v="552"/>
    <x v="545"/>
    <x v="1039"/>
    <x v="1"/>
    <x v="2"/>
    <x v="606"/>
    <x v="401"/>
    <x v="1"/>
    <x v="2"/>
    <x v="0"/>
    <x v="0"/>
    <x v="1"/>
    <x v="2"/>
    <x v="3"/>
    <x v="2"/>
    <x v="1"/>
    <x v="1"/>
    <x v="1"/>
    <x v="1"/>
    <x v="297"/>
    <x v="1"/>
    <x v="6"/>
    <x v="3"/>
    <x v="557"/>
    <x v="14"/>
    <x v="3"/>
    <x v="0"/>
    <x v="1"/>
    <x v="0"/>
    <x v="750"/>
    <x v="0"/>
    <x v="0"/>
  </r>
  <r>
    <x v="1305"/>
    <x v="620"/>
    <x v="605"/>
    <x v="598"/>
    <x v="1040"/>
    <x v="1"/>
    <x v="2"/>
    <x v="607"/>
    <x v="437"/>
    <x v="1"/>
    <x v="249"/>
    <x v="0"/>
    <x v="0"/>
    <x v="1"/>
    <x v="1"/>
    <x v="1"/>
    <x v="2"/>
    <x v="1"/>
    <x v="1"/>
    <x v="1"/>
    <x v="2"/>
    <x v="0"/>
    <x v="1"/>
    <x v="6"/>
    <x v="3"/>
    <x v="614"/>
    <x v="14"/>
    <x v="0"/>
    <x v="0"/>
    <x v="1"/>
    <x v="0"/>
    <x v="0"/>
    <x v="0"/>
    <x v="0"/>
  </r>
  <r>
    <x v="1306"/>
    <x v="619"/>
    <x v="604"/>
    <x v="597"/>
    <x v="0"/>
    <x v="1"/>
    <x v="2"/>
    <x v="605"/>
    <x v="438"/>
    <x v="1"/>
    <x v="2"/>
    <x v="0"/>
    <x v="0"/>
    <x v="3"/>
    <x v="3"/>
    <x v="3"/>
    <x v="2"/>
    <x v="1"/>
    <x v="2"/>
    <x v="1"/>
    <x v="1"/>
    <x v="297"/>
    <x v="2"/>
    <x v="3"/>
    <x v="4"/>
    <x v="613"/>
    <x v="14"/>
    <x v="1"/>
    <x v="1"/>
    <x v="1"/>
    <x v="0"/>
    <x v="751"/>
    <x v="0"/>
    <x v="0"/>
  </r>
  <r>
    <x v="1307"/>
    <x v="609"/>
    <x v="595"/>
    <x v="588"/>
    <x v="1041"/>
    <x v="3"/>
    <x v="2"/>
    <x v="598"/>
    <x v="196"/>
    <x v="6"/>
    <x v="0"/>
    <x v="0"/>
    <x v="0"/>
    <x v="3"/>
    <x v="1"/>
    <x v="1"/>
    <x v="2"/>
    <x v="1"/>
    <x v="2"/>
    <x v="1"/>
    <x v="1"/>
    <x v="298"/>
    <x v="1"/>
    <x v="3"/>
    <x v="4"/>
    <x v="604"/>
    <x v="2"/>
    <x v="1"/>
    <x v="4"/>
    <x v="2"/>
    <x v="1"/>
    <x v="752"/>
    <x v="369"/>
    <x v="0"/>
  </r>
  <r>
    <x v="1308"/>
    <x v="617"/>
    <x v="602"/>
    <x v="595"/>
    <x v="1042"/>
    <x v="3"/>
    <x v="2"/>
    <x v="603"/>
    <x v="428"/>
    <x v="1"/>
    <x v="248"/>
    <x v="0"/>
    <x v="0"/>
    <x v="3"/>
    <x v="3"/>
    <x v="3"/>
    <x v="2"/>
    <x v="1"/>
    <x v="2"/>
    <x v="1"/>
    <x v="1"/>
    <x v="299"/>
    <x v="2"/>
    <x v="3"/>
    <x v="4"/>
    <x v="611"/>
    <x v="5"/>
    <x v="3"/>
    <x v="0"/>
    <x v="1"/>
    <x v="0"/>
    <x v="753"/>
    <x v="370"/>
    <x v="0"/>
  </r>
  <r>
    <x v="1309"/>
    <x v="619"/>
    <x v="604"/>
    <x v="597"/>
    <x v="0"/>
    <x v="1"/>
    <x v="2"/>
    <x v="605"/>
    <x v="281"/>
    <x v="1"/>
    <x v="2"/>
    <x v="0"/>
    <x v="0"/>
    <x v="3"/>
    <x v="1"/>
    <x v="1"/>
    <x v="2"/>
    <x v="1"/>
    <x v="2"/>
    <x v="1"/>
    <x v="2"/>
    <x v="0"/>
    <x v="2"/>
    <x v="3"/>
    <x v="4"/>
    <x v="613"/>
    <x v="5"/>
    <x v="0"/>
    <x v="0"/>
    <x v="1"/>
    <x v="0"/>
    <x v="0"/>
    <x v="0"/>
    <x v="0"/>
  </r>
  <r>
    <x v="1310"/>
    <x v="384"/>
    <x v="384"/>
    <x v="379"/>
    <x v="1043"/>
    <x v="3"/>
    <x v="2"/>
    <x v="399"/>
    <x v="308"/>
    <x v="1"/>
    <x v="250"/>
    <x v="0"/>
    <x v="0"/>
    <x v="1"/>
    <x v="3"/>
    <x v="3"/>
    <x v="2"/>
    <x v="1"/>
    <x v="2"/>
    <x v="1"/>
    <x v="2"/>
    <x v="0"/>
    <x v="1"/>
    <x v="6"/>
    <x v="3"/>
    <x v="387"/>
    <x v="2"/>
    <x v="0"/>
    <x v="0"/>
    <x v="1"/>
    <x v="0"/>
    <x v="0"/>
    <x v="0"/>
    <x v="0"/>
  </r>
  <r>
    <x v="1311"/>
    <x v="391"/>
    <x v="391"/>
    <x v="599"/>
    <x v="1044"/>
    <x v="1"/>
    <x v="2"/>
    <x v="406"/>
    <x v="281"/>
    <x v="2"/>
    <x v="0"/>
    <x v="5"/>
    <x v="0"/>
    <x v="1"/>
    <x v="2"/>
    <x v="3"/>
    <x v="2"/>
    <x v="1"/>
    <x v="2"/>
    <x v="1"/>
    <x v="1"/>
    <x v="299"/>
    <x v="1"/>
    <x v="6"/>
    <x v="2"/>
    <x v="570"/>
    <x v="5"/>
    <x v="1"/>
    <x v="13"/>
    <x v="1"/>
    <x v="0"/>
    <x v="0"/>
    <x v="0"/>
    <x v="354"/>
  </r>
  <r>
    <x v="1312"/>
    <x v="540"/>
    <x v="532"/>
    <x v="524"/>
    <x v="1045"/>
    <x v="1"/>
    <x v="2"/>
    <x v="543"/>
    <x v="428"/>
    <x v="1"/>
    <x v="33"/>
    <x v="0"/>
    <x v="0"/>
    <x v="3"/>
    <x v="3"/>
    <x v="3"/>
    <x v="2"/>
    <x v="1"/>
    <x v="2"/>
    <x v="1"/>
    <x v="1"/>
    <x v="300"/>
    <x v="1"/>
    <x v="3"/>
    <x v="4"/>
    <x v="535"/>
    <x v="5"/>
    <x v="1"/>
    <x v="15"/>
    <x v="2"/>
    <x v="1"/>
    <x v="754"/>
    <x v="0"/>
    <x v="351"/>
  </r>
  <r>
    <x v="1313"/>
    <x v="621"/>
    <x v="606"/>
    <x v="600"/>
    <x v="1046"/>
    <x v="1"/>
    <x v="3"/>
    <x v="608"/>
    <x v="10"/>
    <x v="1"/>
    <x v="251"/>
    <x v="0"/>
    <x v="0"/>
    <x v="1"/>
    <x v="1"/>
    <x v="2"/>
    <x v="2"/>
    <x v="1"/>
    <x v="2"/>
    <x v="1"/>
    <x v="1"/>
    <x v="298"/>
    <x v="1"/>
    <x v="4"/>
    <x v="3"/>
    <x v="615"/>
    <x v="14"/>
    <x v="1"/>
    <x v="4"/>
    <x v="2"/>
    <x v="1"/>
    <x v="755"/>
    <x v="0"/>
    <x v="355"/>
  </r>
  <r>
    <x v="1314"/>
    <x v="391"/>
    <x v="391"/>
    <x v="599"/>
    <x v="0"/>
    <x v="1"/>
    <x v="2"/>
    <x v="406"/>
    <x v="281"/>
    <x v="6"/>
    <x v="0"/>
    <x v="5"/>
    <x v="0"/>
    <x v="3"/>
    <x v="4"/>
    <x v="1"/>
    <x v="2"/>
    <x v="1"/>
    <x v="2"/>
    <x v="1"/>
    <x v="2"/>
    <x v="0"/>
    <x v="2"/>
    <x v="3"/>
    <x v="4"/>
    <x v="570"/>
    <x v="14"/>
    <x v="0"/>
    <x v="0"/>
    <x v="1"/>
    <x v="0"/>
    <x v="0"/>
    <x v="0"/>
    <x v="0"/>
  </r>
  <r>
    <x v="1315"/>
    <x v="622"/>
    <x v="607"/>
    <x v="601"/>
    <x v="1047"/>
    <x v="1"/>
    <x v="3"/>
    <x v="609"/>
    <x v="335"/>
    <x v="1"/>
    <x v="252"/>
    <x v="0"/>
    <x v="0"/>
    <x v="1"/>
    <x v="1"/>
    <x v="2"/>
    <x v="2"/>
    <x v="1"/>
    <x v="2"/>
    <x v="1"/>
    <x v="1"/>
    <x v="298"/>
    <x v="1"/>
    <x v="6"/>
    <x v="3"/>
    <x v="616"/>
    <x v="14"/>
    <x v="3"/>
    <x v="0"/>
    <x v="1"/>
    <x v="0"/>
    <x v="756"/>
    <x v="0"/>
    <x v="0"/>
  </r>
  <r>
    <x v="1316"/>
    <x v="623"/>
    <x v="608"/>
    <x v="602"/>
    <x v="1048"/>
    <x v="1"/>
    <x v="6"/>
    <x v="610"/>
    <x v="439"/>
    <x v="1"/>
    <x v="253"/>
    <x v="0"/>
    <x v="0"/>
    <x v="1"/>
    <x v="1"/>
    <x v="3"/>
    <x v="2"/>
    <x v="1"/>
    <x v="3"/>
    <x v="1"/>
    <x v="1"/>
    <x v="298"/>
    <x v="1"/>
    <x v="6"/>
    <x v="3"/>
    <x v="617"/>
    <x v="19"/>
    <x v="3"/>
    <x v="0"/>
    <x v="1"/>
    <x v="0"/>
    <x v="757"/>
    <x v="371"/>
    <x v="0"/>
  </r>
  <r>
    <x v="1317"/>
    <x v="540"/>
    <x v="532"/>
    <x v="524"/>
    <x v="1049"/>
    <x v="1"/>
    <x v="6"/>
    <x v="543"/>
    <x v="428"/>
    <x v="1"/>
    <x v="3"/>
    <x v="0"/>
    <x v="0"/>
    <x v="3"/>
    <x v="3"/>
    <x v="2"/>
    <x v="2"/>
    <x v="1"/>
    <x v="3"/>
    <x v="1"/>
    <x v="1"/>
    <x v="298"/>
    <x v="1"/>
    <x v="6"/>
    <x v="3"/>
    <x v="535"/>
    <x v="19"/>
    <x v="3"/>
    <x v="0"/>
    <x v="1"/>
    <x v="0"/>
    <x v="758"/>
    <x v="0"/>
    <x v="351"/>
  </r>
  <r>
    <x v="1318"/>
    <x v="624"/>
    <x v="609"/>
    <x v="603"/>
    <x v="1050"/>
    <x v="1"/>
    <x v="1"/>
    <x v="611"/>
    <x v="440"/>
    <x v="1"/>
    <x v="254"/>
    <x v="0"/>
    <x v="0"/>
    <x v="1"/>
    <x v="1"/>
    <x v="1"/>
    <x v="1"/>
    <x v="1"/>
    <x v="3"/>
    <x v="1"/>
    <x v="2"/>
    <x v="0"/>
    <x v="1"/>
    <x v="1"/>
    <x v="2"/>
    <x v="618"/>
    <x v="2"/>
    <x v="0"/>
    <x v="0"/>
    <x v="1"/>
    <x v="0"/>
    <x v="0"/>
    <x v="0"/>
    <x v="0"/>
  </r>
  <r>
    <x v="1319"/>
    <x v="625"/>
    <x v="610"/>
    <x v="604"/>
    <x v="1051"/>
    <x v="1"/>
    <x v="2"/>
    <x v="612"/>
    <x v="441"/>
    <x v="1"/>
    <x v="31"/>
    <x v="0"/>
    <x v="0"/>
    <x v="1"/>
    <x v="1"/>
    <x v="1"/>
    <x v="2"/>
    <x v="1"/>
    <x v="3"/>
    <x v="1"/>
    <x v="2"/>
    <x v="0"/>
    <x v="1"/>
    <x v="1"/>
    <x v="2"/>
    <x v="619"/>
    <x v="2"/>
    <x v="0"/>
    <x v="0"/>
    <x v="1"/>
    <x v="0"/>
    <x v="0"/>
    <x v="0"/>
    <x v="0"/>
  </r>
  <r>
    <x v="1320"/>
    <x v="626"/>
    <x v="611"/>
    <x v="605"/>
    <x v="1052"/>
    <x v="1"/>
    <x v="2"/>
    <x v="613"/>
    <x v="442"/>
    <x v="1"/>
    <x v="33"/>
    <x v="0"/>
    <x v="0"/>
    <x v="1"/>
    <x v="3"/>
    <x v="2"/>
    <x v="2"/>
    <x v="1"/>
    <x v="3"/>
    <x v="1"/>
    <x v="1"/>
    <x v="301"/>
    <x v="1"/>
    <x v="1"/>
    <x v="2"/>
    <x v="620"/>
    <x v="1"/>
    <x v="1"/>
    <x v="4"/>
    <x v="2"/>
    <x v="1"/>
    <x v="759"/>
    <x v="0"/>
    <x v="0"/>
  </r>
  <r>
    <x v="1321"/>
    <x v="627"/>
    <x v="612"/>
    <x v="606"/>
    <x v="1053"/>
    <x v="1"/>
    <x v="2"/>
    <x v="614"/>
    <x v="443"/>
    <x v="1"/>
    <x v="15"/>
    <x v="0"/>
    <x v="0"/>
    <x v="1"/>
    <x v="1"/>
    <x v="1"/>
    <x v="2"/>
    <x v="1"/>
    <x v="3"/>
    <x v="1"/>
    <x v="1"/>
    <x v="298"/>
    <x v="1"/>
    <x v="1"/>
    <x v="2"/>
    <x v="621"/>
    <x v="1"/>
    <x v="3"/>
    <x v="0"/>
    <x v="1"/>
    <x v="0"/>
    <x v="760"/>
    <x v="0"/>
    <x v="0"/>
  </r>
  <r>
    <x v="1322"/>
    <x v="628"/>
    <x v="613"/>
    <x v="607"/>
    <x v="1054"/>
    <x v="1"/>
    <x v="1"/>
    <x v="615"/>
    <x v="444"/>
    <x v="1"/>
    <x v="2"/>
    <x v="0"/>
    <x v="0"/>
    <x v="1"/>
    <x v="2"/>
    <x v="3"/>
    <x v="1"/>
    <x v="1"/>
    <x v="2"/>
    <x v="2"/>
    <x v="1"/>
    <x v="301"/>
    <x v="1"/>
    <x v="1"/>
    <x v="2"/>
    <x v="622"/>
    <x v="3"/>
    <x v="1"/>
    <x v="3"/>
    <x v="2"/>
    <x v="1"/>
    <x v="761"/>
    <x v="0"/>
    <x v="356"/>
  </r>
  <r>
    <x v="1323"/>
    <x v="609"/>
    <x v="595"/>
    <x v="588"/>
    <x v="1055"/>
    <x v="3"/>
    <x v="2"/>
    <x v="598"/>
    <x v="196"/>
    <x v="6"/>
    <x v="0"/>
    <x v="0"/>
    <x v="4"/>
    <x v="3"/>
    <x v="1"/>
    <x v="1"/>
    <x v="2"/>
    <x v="2"/>
    <x v="3"/>
    <x v="1"/>
    <x v="2"/>
    <x v="0"/>
    <x v="1"/>
    <x v="3"/>
    <x v="4"/>
    <x v="604"/>
    <x v="1"/>
    <x v="0"/>
    <x v="0"/>
    <x v="1"/>
    <x v="0"/>
    <x v="0"/>
    <x v="0"/>
    <x v="0"/>
  </r>
  <r>
    <x v="1324"/>
    <x v="621"/>
    <x v="606"/>
    <x v="600"/>
    <x v="0"/>
    <x v="1"/>
    <x v="3"/>
    <x v="608"/>
    <x v="10"/>
    <x v="1"/>
    <x v="251"/>
    <x v="0"/>
    <x v="0"/>
    <x v="3"/>
    <x v="1"/>
    <x v="1"/>
    <x v="2"/>
    <x v="1"/>
    <x v="2"/>
    <x v="1"/>
    <x v="1"/>
    <x v="301"/>
    <x v="2"/>
    <x v="3"/>
    <x v="4"/>
    <x v="615"/>
    <x v="1"/>
    <x v="3"/>
    <x v="0"/>
    <x v="1"/>
    <x v="0"/>
    <x v="762"/>
    <x v="0"/>
    <x v="0"/>
  </r>
  <r>
    <x v="1325"/>
    <x v="629"/>
    <x v="614"/>
    <x v="608"/>
    <x v="1056"/>
    <x v="1"/>
    <x v="3"/>
    <x v="616"/>
    <x v="445"/>
    <x v="1"/>
    <x v="3"/>
    <x v="0"/>
    <x v="0"/>
    <x v="1"/>
    <x v="1"/>
    <x v="1"/>
    <x v="1"/>
    <x v="1"/>
    <x v="3"/>
    <x v="1"/>
    <x v="2"/>
    <x v="0"/>
    <x v="1"/>
    <x v="1"/>
    <x v="2"/>
    <x v="623"/>
    <x v="18"/>
    <x v="0"/>
    <x v="0"/>
    <x v="1"/>
    <x v="0"/>
    <x v="0"/>
    <x v="0"/>
    <x v="0"/>
  </r>
  <r>
    <x v="1326"/>
    <x v="630"/>
    <x v="615"/>
    <x v="609"/>
    <x v="1057"/>
    <x v="1"/>
    <x v="1"/>
    <x v="389"/>
    <x v="446"/>
    <x v="1"/>
    <x v="249"/>
    <x v="0"/>
    <x v="0"/>
    <x v="1"/>
    <x v="1"/>
    <x v="1"/>
    <x v="2"/>
    <x v="1"/>
    <x v="2"/>
    <x v="1"/>
    <x v="2"/>
    <x v="0"/>
    <x v="2"/>
    <x v="1"/>
    <x v="2"/>
    <x v="624"/>
    <x v="3"/>
    <x v="0"/>
    <x v="0"/>
    <x v="1"/>
    <x v="0"/>
    <x v="0"/>
    <x v="0"/>
    <x v="0"/>
  </r>
  <r>
    <x v="1327"/>
    <x v="626"/>
    <x v="611"/>
    <x v="605"/>
    <x v="1058"/>
    <x v="1"/>
    <x v="2"/>
    <x v="613"/>
    <x v="442"/>
    <x v="1"/>
    <x v="33"/>
    <x v="0"/>
    <x v="0"/>
    <x v="3"/>
    <x v="1"/>
    <x v="1"/>
    <x v="2"/>
    <x v="1"/>
    <x v="3"/>
    <x v="1"/>
    <x v="1"/>
    <x v="302"/>
    <x v="1"/>
    <x v="3"/>
    <x v="4"/>
    <x v="620"/>
    <x v="1"/>
    <x v="1"/>
    <x v="4"/>
    <x v="2"/>
    <x v="1"/>
    <x v="763"/>
    <x v="372"/>
    <x v="0"/>
  </r>
  <r>
    <x v="1328"/>
    <x v="618"/>
    <x v="603"/>
    <x v="596"/>
    <x v="1059"/>
    <x v="1"/>
    <x v="2"/>
    <x v="604"/>
    <x v="447"/>
    <x v="1"/>
    <x v="255"/>
    <x v="0"/>
    <x v="0"/>
    <x v="1"/>
    <x v="1"/>
    <x v="2"/>
    <x v="2"/>
    <x v="1"/>
    <x v="2"/>
    <x v="1"/>
    <x v="2"/>
    <x v="0"/>
    <x v="1"/>
    <x v="1"/>
    <x v="2"/>
    <x v="612"/>
    <x v="2"/>
    <x v="0"/>
    <x v="0"/>
    <x v="1"/>
    <x v="0"/>
    <x v="0"/>
    <x v="0"/>
    <x v="0"/>
  </r>
  <r>
    <x v="1329"/>
    <x v="628"/>
    <x v="613"/>
    <x v="607"/>
    <x v="1060"/>
    <x v="1"/>
    <x v="1"/>
    <x v="615"/>
    <x v="444"/>
    <x v="1"/>
    <x v="2"/>
    <x v="0"/>
    <x v="0"/>
    <x v="3"/>
    <x v="1"/>
    <x v="1"/>
    <x v="2"/>
    <x v="1"/>
    <x v="2"/>
    <x v="2"/>
    <x v="1"/>
    <x v="303"/>
    <x v="1"/>
    <x v="3"/>
    <x v="4"/>
    <x v="622"/>
    <x v="3"/>
    <x v="3"/>
    <x v="0"/>
    <x v="1"/>
    <x v="0"/>
    <x v="764"/>
    <x v="373"/>
    <x v="0"/>
  </r>
  <r>
    <x v="1330"/>
    <x v="631"/>
    <x v="616"/>
    <x v="610"/>
    <x v="1061"/>
    <x v="1"/>
    <x v="2"/>
    <x v="617"/>
    <x v="448"/>
    <x v="1"/>
    <x v="256"/>
    <x v="0"/>
    <x v="0"/>
    <x v="1"/>
    <x v="1"/>
    <x v="1"/>
    <x v="2"/>
    <x v="1"/>
    <x v="2"/>
    <x v="1"/>
    <x v="2"/>
    <x v="0"/>
    <x v="1"/>
    <x v="2"/>
    <x v="2"/>
    <x v="625"/>
    <x v="5"/>
    <x v="0"/>
    <x v="0"/>
    <x v="1"/>
    <x v="0"/>
    <x v="0"/>
    <x v="0"/>
    <x v="0"/>
  </r>
  <r>
    <x v="1331"/>
    <x v="632"/>
    <x v="617"/>
    <x v="611"/>
    <x v="1062"/>
    <x v="1"/>
    <x v="2"/>
    <x v="542"/>
    <x v="449"/>
    <x v="1"/>
    <x v="9"/>
    <x v="0"/>
    <x v="0"/>
    <x v="1"/>
    <x v="1"/>
    <x v="1"/>
    <x v="2"/>
    <x v="1"/>
    <x v="2"/>
    <x v="1"/>
    <x v="1"/>
    <x v="302"/>
    <x v="1"/>
    <x v="2"/>
    <x v="2"/>
    <x v="626"/>
    <x v="5"/>
    <x v="1"/>
    <x v="13"/>
    <x v="2"/>
    <x v="1"/>
    <x v="765"/>
    <x v="0"/>
    <x v="0"/>
  </r>
  <r>
    <x v="1332"/>
    <x v="627"/>
    <x v="612"/>
    <x v="606"/>
    <x v="1063"/>
    <x v="1"/>
    <x v="2"/>
    <x v="614"/>
    <x v="443"/>
    <x v="1"/>
    <x v="15"/>
    <x v="0"/>
    <x v="0"/>
    <x v="1"/>
    <x v="1"/>
    <x v="1"/>
    <x v="2"/>
    <x v="1"/>
    <x v="2"/>
    <x v="2"/>
    <x v="2"/>
    <x v="0"/>
    <x v="1"/>
    <x v="1"/>
    <x v="2"/>
    <x v="621"/>
    <x v="1"/>
    <x v="0"/>
    <x v="0"/>
    <x v="1"/>
    <x v="0"/>
    <x v="0"/>
    <x v="0"/>
    <x v="0"/>
  </r>
  <r>
    <x v="1333"/>
    <x v="624"/>
    <x v="609"/>
    <x v="603"/>
    <x v="1064"/>
    <x v="1"/>
    <x v="1"/>
    <x v="611"/>
    <x v="450"/>
    <x v="1"/>
    <x v="1"/>
    <x v="0"/>
    <x v="0"/>
    <x v="1"/>
    <x v="2"/>
    <x v="3"/>
    <x v="1"/>
    <x v="1"/>
    <x v="2"/>
    <x v="1"/>
    <x v="1"/>
    <x v="302"/>
    <x v="1"/>
    <x v="2"/>
    <x v="2"/>
    <x v="618"/>
    <x v="5"/>
    <x v="1"/>
    <x v="1"/>
    <x v="2"/>
    <x v="1"/>
    <x v="766"/>
    <x v="0"/>
    <x v="0"/>
  </r>
  <r>
    <x v="1334"/>
    <x v="632"/>
    <x v="617"/>
    <x v="611"/>
    <x v="0"/>
    <x v="1"/>
    <x v="2"/>
    <x v="542"/>
    <x v="449"/>
    <x v="1"/>
    <x v="9"/>
    <x v="0"/>
    <x v="0"/>
    <x v="3"/>
    <x v="1"/>
    <x v="2"/>
    <x v="2"/>
    <x v="1"/>
    <x v="1"/>
    <x v="1"/>
    <x v="1"/>
    <x v="303"/>
    <x v="2"/>
    <x v="3"/>
    <x v="4"/>
    <x v="626"/>
    <x v="14"/>
    <x v="1"/>
    <x v="5"/>
    <x v="2"/>
    <x v="1"/>
    <x v="767"/>
    <x v="0"/>
    <x v="0"/>
  </r>
  <r>
    <x v="1335"/>
    <x v="626"/>
    <x v="611"/>
    <x v="605"/>
    <x v="1065"/>
    <x v="1"/>
    <x v="2"/>
    <x v="613"/>
    <x v="442"/>
    <x v="1"/>
    <x v="33"/>
    <x v="0"/>
    <x v="0"/>
    <x v="3"/>
    <x v="1"/>
    <x v="1"/>
    <x v="2"/>
    <x v="1"/>
    <x v="3"/>
    <x v="1"/>
    <x v="2"/>
    <x v="0"/>
    <x v="1"/>
    <x v="3"/>
    <x v="4"/>
    <x v="620"/>
    <x v="1"/>
    <x v="0"/>
    <x v="0"/>
    <x v="1"/>
    <x v="0"/>
    <x v="0"/>
    <x v="0"/>
    <x v="0"/>
  </r>
  <r>
    <x v="1336"/>
    <x v="633"/>
    <x v="618"/>
    <x v="612"/>
    <x v="1066"/>
    <x v="1"/>
    <x v="2"/>
    <x v="618"/>
    <x v="451"/>
    <x v="1"/>
    <x v="33"/>
    <x v="0"/>
    <x v="0"/>
    <x v="1"/>
    <x v="3"/>
    <x v="3"/>
    <x v="1"/>
    <x v="1"/>
    <x v="2"/>
    <x v="1"/>
    <x v="1"/>
    <x v="303"/>
    <x v="1"/>
    <x v="1"/>
    <x v="2"/>
    <x v="627"/>
    <x v="14"/>
    <x v="1"/>
    <x v="7"/>
    <x v="1"/>
    <x v="0"/>
    <x v="768"/>
    <x v="0"/>
    <x v="0"/>
  </r>
  <r>
    <x v="1337"/>
    <x v="624"/>
    <x v="609"/>
    <x v="603"/>
    <x v="1067"/>
    <x v="1"/>
    <x v="2"/>
    <x v="611"/>
    <x v="440"/>
    <x v="1"/>
    <x v="1"/>
    <x v="0"/>
    <x v="0"/>
    <x v="3"/>
    <x v="1"/>
    <x v="1"/>
    <x v="1"/>
    <x v="1"/>
    <x v="2"/>
    <x v="1"/>
    <x v="2"/>
    <x v="0"/>
    <x v="1"/>
    <x v="3"/>
    <x v="4"/>
    <x v="618"/>
    <x v="5"/>
    <x v="0"/>
    <x v="0"/>
    <x v="1"/>
    <x v="0"/>
    <x v="0"/>
    <x v="0"/>
    <x v="0"/>
  </r>
  <r>
    <x v="1338"/>
    <x v="634"/>
    <x v="619"/>
    <x v="613"/>
    <x v="1068"/>
    <x v="3"/>
    <x v="2"/>
    <x v="190"/>
    <x v="452"/>
    <x v="1"/>
    <x v="161"/>
    <x v="0"/>
    <x v="0"/>
    <x v="1"/>
    <x v="2"/>
    <x v="4"/>
    <x v="2"/>
    <x v="1"/>
    <x v="3"/>
    <x v="1"/>
    <x v="1"/>
    <x v="303"/>
    <x v="1"/>
    <x v="5"/>
    <x v="2"/>
    <x v="628"/>
    <x v="5"/>
    <x v="3"/>
    <x v="0"/>
    <x v="1"/>
    <x v="0"/>
    <x v="769"/>
    <x v="374"/>
    <x v="0"/>
  </r>
  <r>
    <x v="1339"/>
    <x v="632"/>
    <x v="617"/>
    <x v="611"/>
    <x v="1069"/>
    <x v="1"/>
    <x v="2"/>
    <x v="542"/>
    <x v="449"/>
    <x v="1"/>
    <x v="9"/>
    <x v="0"/>
    <x v="0"/>
    <x v="3"/>
    <x v="1"/>
    <x v="1"/>
    <x v="1"/>
    <x v="1"/>
    <x v="3"/>
    <x v="1"/>
    <x v="1"/>
    <x v="304"/>
    <x v="1"/>
    <x v="3"/>
    <x v="4"/>
    <x v="626"/>
    <x v="2"/>
    <x v="1"/>
    <x v="13"/>
    <x v="2"/>
    <x v="1"/>
    <x v="770"/>
    <x v="375"/>
    <x v="357"/>
  </r>
  <r>
    <x v="1340"/>
    <x v="633"/>
    <x v="618"/>
    <x v="612"/>
    <x v="0"/>
    <x v="1"/>
    <x v="2"/>
    <x v="618"/>
    <x v="451"/>
    <x v="1"/>
    <x v="33"/>
    <x v="0"/>
    <x v="0"/>
    <x v="3"/>
    <x v="5"/>
    <x v="1"/>
    <x v="1"/>
    <x v="1"/>
    <x v="2"/>
    <x v="1"/>
    <x v="1"/>
    <x v="304"/>
    <x v="2"/>
    <x v="3"/>
    <x v="4"/>
    <x v="627"/>
    <x v="12"/>
    <x v="3"/>
    <x v="0"/>
    <x v="1"/>
    <x v="0"/>
    <x v="770"/>
    <x v="376"/>
    <x v="0"/>
  </r>
  <r>
    <x v="1341"/>
    <x v="632"/>
    <x v="617"/>
    <x v="611"/>
    <x v="0"/>
    <x v="1"/>
    <x v="2"/>
    <x v="542"/>
    <x v="449"/>
    <x v="1"/>
    <x v="9"/>
    <x v="0"/>
    <x v="0"/>
    <x v="3"/>
    <x v="1"/>
    <x v="1"/>
    <x v="2"/>
    <x v="1"/>
    <x v="1"/>
    <x v="1"/>
    <x v="1"/>
    <x v="305"/>
    <x v="2"/>
    <x v="3"/>
    <x v="4"/>
    <x v="626"/>
    <x v="14"/>
    <x v="3"/>
    <x v="0"/>
    <x v="1"/>
    <x v="0"/>
    <x v="771"/>
    <x v="377"/>
    <x v="0"/>
  </r>
  <r>
    <x v="1342"/>
    <x v="635"/>
    <x v="620"/>
    <x v="614"/>
    <x v="1070"/>
    <x v="3"/>
    <x v="6"/>
    <x v="619"/>
    <x v="453"/>
    <x v="1"/>
    <x v="33"/>
    <x v="0"/>
    <x v="0"/>
    <x v="1"/>
    <x v="3"/>
    <x v="2"/>
    <x v="2"/>
    <x v="1"/>
    <x v="3"/>
    <x v="1"/>
    <x v="1"/>
    <x v="306"/>
    <x v="1"/>
    <x v="4"/>
    <x v="3"/>
    <x v="629"/>
    <x v="19"/>
    <x v="3"/>
    <x v="0"/>
    <x v="1"/>
    <x v="0"/>
    <x v="772"/>
    <x v="378"/>
    <x v="358"/>
  </r>
  <r>
    <x v="1343"/>
    <x v="636"/>
    <x v="621"/>
    <x v="615"/>
    <x v="1071"/>
    <x v="3"/>
    <x v="6"/>
    <x v="620"/>
    <x v="454"/>
    <x v="1"/>
    <x v="22"/>
    <x v="0"/>
    <x v="0"/>
    <x v="1"/>
    <x v="3"/>
    <x v="3"/>
    <x v="2"/>
    <x v="1"/>
    <x v="3"/>
    <x v="1"/>
    <x v="1"/>
    <x v="306"/>
    <x v="1"/>
    <x v="6"/>
    <x v="3"/>
    <x v="630"/>
    <x v="19"/>
    <x v="1"/>
    <x v="3"/>
    <x v="2"/>
    <x v="1"/>
    <x v="0"/>
    <x v="0"/>
    <x v="359"/>
  </r>
  <r>
    <x v="1344"/>
    <x v="637"/>
    <x v="622"/>
    <x v="616"/>
    <x v="1072"/>
    <x v="1"/>
    <x v="6"/>
    <x v="621"/>
    <x v="10"/>
    <x v="1"/>
    <x v="33"/>
    <x v="0"/>
    <x v="0"/>
    <x v="1"/>
    <x v="3"/>
    <x v="2"/>
    <x v="2"/>
    <x v="1"/>
    <x v="3"/>
    <x v="1"/>
    <x v="1"/>
    <x v="306"/>
    <x v="1"/>
    <x v="6"/>
    <x v="3"/>
    <x v="631"/>
    <x v="19"/>
    <x v="3"/>
    <x v="0"/>
    <x v="1"/>
    <x v="0"/>
    <x v="773"/>
    <x v="379"/>
    <x v="360"/>
  </r>
  <r>
    <x v="1345"/>
    <x v="638"/>
    <x v="623"/>
    <x v="617"/>
    <x v="1073"/>
    <x v="1"/>
    <x v="6"/>
    <x v="200"/>
    <x v="455"/>
    <x v="1"/>
    <x v="257"/>
    <x v="0"/>
    <x v="0"/>
    <x v="1"/>
    <x v="2"/>
    <x v="3"/>
    <x v="2"/>
    <x v="1"/>
    <x v="3"/>
    <x v="1"/>
    <x v="1"/>
    <x v="306"/>
    <x v="1"/>
    <x v="6"/>
    <x v="3"/>
    <x v="632"/>
    <x v="19"/>
    <x v="3"/>
    <x v="0"/>
    <x v="1"/>
    <x v="0"/>
    <x v="774"/>
    <x v="380"/>
    <x v="0"/>
  </r>
  <r>
    <x v="1346"/>
    <x v="636"/>
    <x v="621"/>
    <x v="615"/>
    <x v="1074"/>
    <x v="3"/>
    <x v="2"/>
    <x v="620"/>
    <x v="454"/>
    <x v="1"/>
    <x v="22"/>
    <x v="0"/>
    <x v="0"/>
    <x v="3"/>
    <x v="3"/>
    <x v="2"/>
    <x v="1"/>
    <x v="1"/>
    <x v="2"/>
    <x v="1"/>
    <x v="1"/>
    <x v="306"/>
    <x v="1"/>
    <x v="3"/>
    <x v="4"/>
    <x v="630"/>
    <x v="3"/>
    <x v="1"/>
    <x v="3"/>
    <x v="2"/>
    <x v="1"/>
    <x v="775"/>
    <x v="0"/>
    <x v="361"/>
  </r>
  <r>
    <x v="1347"/>
    <x v="639"/>
    <x v="624"/>
    <x v="618"/>
    <x v="1075"/>
    <x v="1"/>
    <x v="2"/>
    <x v="622"/>
    <x v="456"/>
    <x v="1"/>
    <x v="31"/>
    <x v="0"/>
    <x v="0"/>
    <x v="1"/>
    <x v="1"/>
    <x v="1"/>
    <x v="2"/>
    <x v="1"/>
    <x v="3"/>
    <x v="1"/>
    <x v="1"/>
    <x v="307"/>
    <x v="1"/>
    <x v="1"/>
    <x v="2"/>
    <x v="633"/>
    <x v="1"/>
    <x v="1"/>
    <x v="1"/>
    <x v="2"/>
    <x v="1"/>
    <x v="776"/>
    <x v="381"/>
    <x v="0"/>
  </r>
  <r>
    <x v="1348"/>
    <x v="640"/>
    <x v="625"/>
    <x v="619"/>
    <x v="1076"/>
    <x v="1"/>
    <x v="1"/>
    <x v="623"/>
    <x v="457"/>
    <x v="1"/>
    <x v="15"/>
    <x v="0"/>
    <x v="0"/>
    <x v="1"/>
    <x v="1"/>
    <x v="1"/>
    <x v="2"/>
    <x v="1"/>
    <x v="3"/>
    <x v="1"/>
    <x v="1"/>
    <x v="305"/>
    <x v="1"/>
    <x v="1"/>
    <x v="2"/>
    <x v="634"/>
    <x v="18"/>
    <x v="3"/>
    <x v="0"/>
    <x v="1"/>
    <x v="0"/>
    <x v="777"/>
    <x v="382"/>
    <x v="0"/>
  </r>
  <r>
    <x v="1349"/>
    <x v="636"/>
    <x v="621"/>
    <x v="615"/>
    <x v="1077"/>
    <x v="3"/>
    <x v="2"/>
    <x v="620"/>
    <x v="454"/>
    <x v="1"/>
    <x v="22"/>
    <x v="0"/>
    <x v="0"/>
    <x v="3"/>
    <x v="1"/>
    <x v="1"/>
    <x v="2"/>
    <x v="1"/>
    <x v="2"/>
    <x v="1"/>
    <x v="1"/>
    <x v="308"/>
    <x v="1"/>
    <x v="3"/>
    <x v="4"/>
    <x v="630"/>
    <x v="3"/>
    <x v="3"/>
    <x v="0"/>
    <x v="1"/>
    <x v="0"/>
    <x v="778"/>
    <x v="383"/>
    <x v="0"/>
  </r>
  <r>
    <x v="1350"/>
    <x v="509"/>
    <x v="501"/>
    <x v="493"/>
    <x v="1078"/>
    <x v="1"/>
    <x v="3"/>
    <x v="513"/>
    <x v="458"/>
    <x v="1"/>
    <x v="258"/>
    <x v="0"/>
    <x v="0"/>
    <x v="1"/>
    <x v="1"/>
    <x v="1"/>
    <x v="2"/>
    <x v="1"/>
    <x v="1"/>
    <x v="1"/>
    <x v="1"/>
    <x v="309"/>
    <x v="1"/>
    <x v="5"/>
    <x v="2"/>
    <x v="503"/>
    <x v="12"/>
    <x v="1"/>
    <x v="3"/>
    <x v="2"/>
    <x v="1"/>
    <x v="779"/>
    <x v="0"/>
    <x v="362"/>
  </r>
  <r>
    <x v="1351"/>
    <x v="641"/>
    <x v="626"/>
    <x v="620"/>
    <x v="1079"/>
    <x v="1"/>
    <x v="2"/>
    <x v="624"/>
    <x v="459"/>
    <x v="1"/>
    <x v="2"/>
    <x v="0"/>
    <x v="0"/>
    <x v="1"/>
    <x v="1"/>
    <x v="1"/>
    <x v="1"/>
    <x v="1"/>
    <x v="3"/>
    <x v="1"/>
    <x v="2"/>
    <x v="0"/>
    <x v="1"/>
    <x v="2"/>
    <x v="2"/>
    <x v="635"/>
    <x v="3"/>
    <x v="0"/>
    <x v="0"/>
    <x v="1"/>
    <x v="0"/>
    <x v="0"/>
    <x v="0"/>
    <x v="0"/>
  </r>
  <r>
    <x v="1352"/>
    <x v="509"/>
    <x v="501"/>
    <x v="493"/>
    <x v="1080"/>
    <x v="1"/>
    <x v="3"/>
    <x v="513"/>
    <x v="458"/>
    <x v="1"/>
    <x v="258"/>
    <x v="0"/>
    <x v="0"/>
    <x v="3"/>
    <x v="1"/>
    <x v="1"/>
    <x v="2"/>
    <x v="1"/>
    <x v="2"/>
    <x v="1"/>
    <x v="1"/>
    <x v="310"/>
    <x v="1"/>
    <x v="3"/>
    <x v="4"/>
    <x v="503"/>
    <x v="3"/>
    <x v="1"/>
    <x v="7"/>
    <x v="2"/>
    <x v="1"/>
    <x v="780"/>
    <x v="0"/>
    <x v="363"/>
  </r>
  <r>
    <x v="1353"/>
    <x v="642"/>
    <x v="627"/>
    <x v="621"/>
    <x v="1081"/>
    <x v="3"/>
    <x v="1"/>
    <x v="625"/>
    <x v="460"/>
    <x v="1"/>
    <x v="2"/>
    <x v="0"/>
    <x v="0"/>
    <x v="1"/>
    <x v="2"/>
    <x v="3"/>
    <x v="1"/>
    <x v="1"/>
    <x v="2"/>
    <x v="1"/>
    <x v="1"/>
    <x v="307"/>
    <x v="1"/>
    <x v="5"/>
    <x v="2"/>
    <x v="636"/>
    <x v="3"/>
    <x v="3"/>
    <x v="0"/>
    <x v="1"/>
    <x v="0"/>
    <x v="781"/>
    <x v="384"/>
    <x v="0"/>
  </r>
  <r>
    <x v="1354"/>
    <x v="335"/>
    <x v="335"/>
    <x v="330"/>
    <x v="1082"/>
    <x v="1"/>
    <x v="6"/>
    <x v="350"/>
    <x v="461"/>
    <x v="1"/>
    <x v="259"/>
    <x v="0"/>
    <x v="0"/>
    <x v="1"/>
    <x v="2"/>
    <x v="3"/>
    <x v="2"/>
    <x v="1"/>
    <x v="3"/>
    <x v="1"/>
    <x v="1"/>
    <x v="307"/>
    <x v="1"/>
    <x v="5"/>
    <x v="3"/>
    <x v="337"/>
    <x v="19"/>
    <x v="1"/>
    <x v="1"/>
    <x v="1"/>
    <x v="0"/>
    <x v="782"/>
    <x v="385"/>
    <x v="0"/>
  </r>
  <r>
    <x v="1355"/>
    <x v="639"/>
    <x v="624"/>
    <x v="618"/>
    <x v="1083"/>
    <x v="1"/>
    <x v="2"/>
    <x v="622"/>
    <x v="456"/>
    <x v="1"/>
    <x v="31"/>
    <x v="0"/>
    <x v="0"/>
    <x v="3"/>
    <x v="1"/>
    <x v="1"/>
    <x v="1"/>
    <x v="1"/>
    <x v="3"/>
    <x v="1"/>
    <x v="2"/>
    <x v="0"/>
    <x v="1"/>
    <x v="3"/>
    <x v="4"/>
    <x v="633"/>
    <x v="5"/>
    <x v="0"/>
    <x v="0"/>
    <x v="1"/>
    <x v="0"/>
    <x v="0"/>
    <x v="0"/>
    <x v="0"/>
  </r>
  <r>
    <x v="1356"/>
    <x v="335"/>
    <x v="335"/>
    <x v="330"/>
    <x v="0"/>
    <x v="1"/>
    <x v="2"/>
    <x v="350"/>
    <x v="461"/>
    <x v="1"/>
    <x v="259"/>
    <x v="0"/>
    <x v="0"/>
    <x v="3"/>
    <x v="1"/>
    <x v="1"/>
    <x v="1"/>
    <x v="1"/>
    <x v="2"/>
    <x v="3"/>
    <x v="2"/>
    <x v="0"/>
    <x v="2"/>
    <x v="3"/>
    <x v="4"/>
    <x v="337"/>
    <x v="5"/>
    <x v="0"/>
    <x v="0"/>
    <x v="1"/>
    <x v="0"/>
    <x v="0"/>
    <x v="0"/>
    <x v="0"/>
  </r>
  <r>
    <x v="1357"/>
    <x v="335"/>
    <x v="335"/>
    <x v="330"/>
    <x v="0"/>
    <x v="1"/>
    <x v="2"/>
    <x v="626"/>
    <x v="461"/>
    <x v="1"/>
    <x v="260"/>
    <x v="0"/>
    <x v="0"/>
    <x v="1"/>
    <x v="1"/>
    <x v="1"/>
    <x v="1"/>
    <x v="1"/>
    <x v="2"/>
    <x v="1"/>
    <x v="1"/>
    <x v="310"/>
    <x v="2"/>
    <x v="1"/>
    <x v="2"/>
    <x v="337"/>
    <x v="17"/>
    <x v="3"/>
    <x v="0"/>
    <x v="1"/>
    <x v="0"/>
    <x v="783"/>
    <x v="0"/>
    <x v="0"/>
  </r>
  <r>
    <x v="1358"/>
    <x v="509"/>
    <x v="501"/>
    <x v="493"/>
    <x v="0"/>
    <x v="1"/>
    <x v="3"/>
    <x v="513"/>
    <x v="458"/>
    <x v="1"/>
    <x v="33"/>
    <x v="0"/>
    <x v="0"/>
    <x v="3"/>
    <x v="3"/>
    <x v="2"/>
    <x v="2"/>
    <x v="1"/>
    <x v="2"/>
    <x v="1"/>
    <x v="1"/>
    <x v="305"/>
    <x v="1"/>
    <x v="3"/>
    <x v="4"/>
    <x v="503"/>
    <x v="12"/>
    <x v="1"/>
    <x v="13"/>
    <x v="2"/>
    <x v="1"/>
    <x v="784"/>
    <x v="386"/>
    <x v="364"/>
  </r>
  <r>
    <x v="1359"/>
    <x v="639"/>
    <x v="624"/>
    <x v="618"/>
    <x v="1084"/>
    <x v="1"/>
    <x v="2"/>
    <x v="622"/>
    <x v="456"/>
    <x v="1"/>
    <x v="31"/>
    <x v="0"/>
    <x v="0"/>
    <x v="1"/>
    <x v="1"/>
    <x v="1"/>
    <x v="1"/>
    <x v="1"/>
    <x v="1"/>
    <x v="4"/>
    <x v="1"/>
    <x v="305"/>
    <x v="1"/>
    <x v="1"/>
    <x v="2"/>
    <x v="633"/>
    <x v="12"/>
    <x v="3"/>
    <x v="0"/>
    <x v="1"/>
    <x v="0"/>
    <x v="785"/>
    <x v="387"/>
    <x v="0"/>
  </r>
  <r>
    <x v="1360"/>
    <x v="603"/>
    <x v="590"/>
    <x v="583"/>
    <x v="1085"/>
    <x v="1"/>
    <x v="2"/>
    <x v="594"/>
    <x v="462"/>
    <x v="1"/>
    <x v="1"/>
    <x v="0"/>
    <x v="0"/>
    <x v="1"/>
    <x v="2"/>
    <x v="3"/>
    <x v="2"/>
    <x v="1"/>
    <x v="2"/>
    <x v="1"/>
    <x v="1"/>
    <x v="305"/>
    <x v="1"/>
    <x v="2"/>
    <x v="3"/>
    <x v="637"/>
    <x v="2"/>
    <x v="1"/>
    <x v="13"/>
    <x v="1"/>
    <x v="0"/>
    <x v="786"/>
    <x v="388"/>
    <x v="365"/>
  </r>
  <r>
    <x v="1361"/>
    <x v="339"/>
    <x v="339"/>
    <x v="334"/>
    <x v="1086"/>
    <x v="1"/>
    <x v="2"/>
    <x v="354"/>
    <x v="463"/>
    <x v="2"/>
    <x v="0"/>
    <x v="2"/>
    <x v="0"/>
    <x v="1"/>
    <x v="2"/>
    <x v="3"/>
    <x v="2"/>
    <x v="1"/>
    <x v="2"/>
    <x v="1"/>
    <x v="1"/>
    <x v="311"/>
    <x v="1"/>
    <x v="1"/>
    <x v="2"/>
    <x v="341"/>
    <x v="18"/>
    <x v="2"/>
    <x v="0"/>
    <x v="1"/>
    <x v="0"/>
    <x v="0"/>
    <x v="0"/>
    <x v="0"/>
  </r>
  <r>
    <x v="1362"/>
    <x v="509"/>
    <x v="501"/>
    <x v="493"/>
    <x v="1087"/>
    <x v="1"/>
    <x v="2"/>
    <x v="513"/>
    <x v="458"/>
    <x v="1"/>
    <x v="33"/>
    <x v="0"/>
    <x v="0"/>
    <x v="3"/>
    <x v="1"/>
    <x v="1"/>
    <x v="2"/>
    <x v="1"/>
    <x v="2"/>
    <x v="4"/>
    <x v="1"/>
    <x v="311"/>
    <x v="1"/>
    <x v="3"/>
    <x v="4"/>
    <x v="503"/>
    <x v="14"/>
    <x v="1"/>
    <x v="13"/>
    <x v="2"/>
    <x v="1"/>
    <x v="787"/>
    <x v="0"/>
    <x v="366"/>
  </r>
  <r>
    <x v="1363"/>
    <x v="603"/>
    <x v="590"/>
    <x v="583"/>
    <x v="0"/>
    <x v="1"/>
    <x v="2"/>
    <x v="594"/>
    <x v="462"/>
    <x v="1"/>
    <x v="1"/>
    <x v="0"/>
    <x v="0"/>
    <x v="3"/>
    <x v="4"/>
    <x v="1"/>
    <x v="2"/>
    <x v="1"/>
    <x v="2"/>
    <x v="1"/>
    <x v="2"/>
    <x v="0"/>
    <x v="2"/>
    <x v="3"/>
    <x v="4"/>
    <x v="637"/>
    <x v="14"/>
    <x v="0"/>
    <x v="0"/>
    <x v="1"/>
    <x v="0"/>
    <x v="0"/>
    <x v="0"/>
    <x v="0"/>
  </r>
  <r>
    <x v="1364"/>
    <x v="636"/>
    <x v="621"/>
    <x v="615"/>
    <x v="1088"/>
    <x v="3"/>
    <x v="2"/>
    <x v="620"/>
    <x v="454"/>
    <x v="1"/>
    <x v="261"/>
    <x v="0"/>
    <x v="0"/>
    <x v="1"/>
    <x v="2"/>
    <x v="3"/>
    <x v="2"/>
    <x v="1"/>
    <x v="2"/>
    <x v="1"/>
    <x v="1"/>
    <x v="311"/>
    <x v="1"/>
    <x v="6"/>
    <x v="3"/>
    <x v="630"/>
    <x v="14"/>
    <x v="1"/>
    <x v="13"/>
    <x v="1"/>
    <x v="0"/>
    <x v="788"/>
    <x v="389"/>
    <x v="0"/>
  </r>
  <r>
    <x v="1365"/>
    <x v="639"/>
    <x v="624"/>
    <x v="618"/>
    <x v="1089"/>
    <x v="1"/>
    <x v="3"/>
    <x v="622"/>
    <x v="456"/>
    <x v="1"/>
    <x v="31"/>
    <x v="0"/>
    <x v="0"/>
    <x v="1"/>
    <x v="1"/>
    <x v="1"/>
    <x v="2"/>
    <x v="1"/>
    <x v="2"/>
    <x v="1"/>
    <x v="2"/>
    <x v="0"/>
    <x v="1"/>
    <x v="6"/>
    <x v="3"/>
    <x v="633"/>
    <x v="14"/>
    <x v="0"/>
    <x v="0"/>
    <x v="1"/>
    <x v="0"/>
    <x v="0"/>
    <x v="0"/>
    <x v="0"/>
  </r>
  <r>
    <x v="1366"/>
    <x v="509"/>
    <x v="501"/>
    <x v="493"/>
    <x v="0"/>
    <x v="1"/>
    <x v="2"/>
    <x v="513"/>
    <x v="458"/>
    <x v="1"/>
    <x v="33"/>
    <x v="0"/>
    <x v="0"/>
    <x v="3"/>
    <x v="1"/>
    <x v="1"/>
    <x v="2"/>
    <x v="1"/>
    <x v="2"/>
    <x v="1"/>
    <x v="1"/>
    <x v="312"/>
    <x v="2"/>
    <x v="3"/>
    <x v="4"/>
    <x v="503"/>
    <x v="14"/>
    <x v="1"/>
    <x v="1"/>
    <x v="1"/>
    <x v="0"/>
    <x v="789"/>
    <x v="390"/>
    <x v="0"/>
  </r>
  <r>
    <x v="1367"/>
    <x v="643"/>
    <x v="628"/>
    <x v="622"/>
    <x v="1090"/>
    <x v="1"/>
    <x v="2"/>
    <x v="627"/>
    <x v="462"/>
    <x v="2"/>
    <x v="0"/>
    <x v="2"/>
    <x v="0"/>
    <x v="1"/>
    <x v="1"/>
    <x v="1"/>
    <x v="2"/>
    <x v="1"/>
    <x v="3"/>
    <x v="1"/>
    <x v="1"/>
    <x v="313"/>
    <x v="1"/>
    <x v="2"/>
    <x v="2"/>
    <x v="638"/>
    <x v="5"/>
    <x v="1"/>
    <x v="1"/>
    <x v="1"/>
    <x v="0"/>
    <x v="790"/>
    <x v="0"/>
    <x v="0"/>
  </r>
  <r>
    <x v="1368"/>
    <x v="644"/>
    <x v="629"/>
    <x v="623"/>
    <x v="1091"/>
    <x v="1"/>
    <x v="2"/>
    <x v="628"/>
    <x v="464"/>
    <x v="1"/>
    <x v="31"/>
    <x v="0"/>
    <x v="0"/>
    <x v="1"/>
    <x v="1"/>
    <x v="1"/>
    <x v="1"/>
    <x v="1"/>
    <x v="2"/>
    <x v="1"/>
    <x v="1"/>
    <x v="314"/>
    <x v="1"/>
    <x v="1"/>
    <x v="2"/>
    <x v="639"/>
    <x v="12"/>
    <x v="1"/>
    <x v="1"/>
    <x v="2"/>
    <x v="1"/>
    <x v="791"/>
    <x v="0"/>
    <x v="367"/>
  </r>
  <r>
    <x v="1369"/>
    <x v="643"/>
    <x v="628"/>
    <x v="622"/>
    <x v="1090"/>
    <x v="1"/>
    <x v="2"/>
    <x v="627"/>
    <x v="462"/>
    <x v="2"/>
    <x v="0"/>
    <x v="2"/>
    <x v="0"/>
    <x v="3"/>
    <x v="1"/>
    <x v="1"/>
    <x v="2"/>
    <x v="1"/>
    <x v="2"/>
    <x v="1"/>
    <x v="1"/>
    <x v="315"/>
    <x v="2"/>
    <x v="3"/>
    <x v="4"/>
    <x v="638"/>
    <x v="5"/>
    <x v="3"/>
    <x v="0"/>
    <x v="1"/>
    <x v="0"/>
    <x v="792"/>
    <x v="0"/>
    <x v="0"/>
  </r>
  <r>
    <x v="1370"/>
    <x v="438"/>
    <x v="434"/>
    <x v="429"/>
    <x v="1092"/>
    <x v="1"/>
    <x v="2"/>
    <x v="444"/>
    <x v="460"/>
    <x v="1"/>
    <x v="33"/>
    <x v="0"/>
    <x v="0"/>
    <x v="1"/>
    <x v="3"/>
    <x v="2"/>
    <x v="2"/>
    <x v="1"/>
    <x v="3"/>
    <x v="1"/>
    <x v="1"/>
    <x v="314"/>
    <x v="2"/>
    <x v="1"/>
    <x v="2"/>
    <x v="437"/>
    <x v="5"/>
    <x v="3"/>
    <x v="0"/>
    <x v="1"/>
    <x v="0"/>
    <x v="793"/>
    <x v="391"/>
    <x v="0"/>
  </r>
  <r>
    <x v="1371"/>
    <x v="509"/>
    <x v="501"/>
    <x v="493"/>
    <x v="0"/>
    <x v="1"/>
    <x v="3"/>
    <x v="513"/>
    <x v="458"/>
    <x v="1"/>
    <x v="33"/>
    <x v="0"/>
    <x v="0"/>
    <x v="3"/>
    <x v="1"/>
    <x v="1"/>
    <x v="2"/>
    <x v="1"/>
    <x v="2"/>
    <x v="1"/>
    <x v="2"/>
    <x v="0"/>
    <x v="2"/>
    <x v="3"/>
    <x v="4"/>
    <x v="503"/>
    <x v="5"/>
    <x v="0"/>
    <x v="0"/>
    <x v="1"/>
    <x v="0"/>
    <x v="0"/>
    <x v="0"/>
    <x v="0"/>
  </r>
  <r>
    <x v="1372"/>
    <x v="644"/>
    <x v="629"/>
    <x v="623"/>
    <x v="0"/>
    <x v="1"/>
    <x v="2"/>
    <x v="628"/>
    <x v="464"/>
    <x v="1"/>
    <x v="31"/>
    <x v="0"/>
    <x v="0"/>
    <x v="3"/>
    <x v="1"/>
    <x v="1"/>
    <x v="1"/>
    <x v="1"/>
    <x v="2"/>
    <x v="3"/>
    <x v="2"/>
    <x v="0"/>
    <x v="2"/>
    <x v="3"/>
    <x v="4"/>
    <x v="639"/>
    <x v="5"/>
    <x v="0"/>
    <x v="0"/>
    <x v="1"/>
    <x v="0"/>
    <x v="794"/>
    <x v="0"/>
    <x v="0"/>
  </r>
  <r>
    <x v="1373"/>
    <x v="645"/>
    <x v="630"/>
    <x v="624"/>
    <x v="1093"/>
    <x v="1"/>
    <x v="2"/>
    <x v="318"/>
    <x v="158"/>
    <x v="1"/>
    <x v="15"/>
    <x v="0"/>
    <x v="0"/>
    <x v="1"/>
    <x v="1"/>
    <x v="1"/>
    <x v="1"/>
    <x v="1"/>
    <x v="3"/>
    <x v="1"/>
    <x v="1"/>
    <x v="315"/>
    <x v="2"/>
    <x v="2"/>
    <x v="3"/>
    <x v="640"/>
    <x v="20"/>
    <x v="1"/>
    <x v="17"/>
    <x v="1"/>
    <x v="0"/>
    <x v="795"/>
    <x v="0"/>
    <x v="0"/>
  </r>
  <r>
    <x v="1374"/>
    <x v="646"/>
    <x v="631"/>
    <x v="625"/>
    <x v="1094"/>
    <x v="1"/>
    <x v="2"/>
    <x v="629"/>
    <x v="465"/>
    <x v="1"/>
    <x v="27"/>
    <x v="0"/>
    <x v="0"/>
    <x v="1"/>
    <x v="1"/>
    <x v="1"/>
    <x v="2"/>
    <x v="1"/>
    <x v="2"/>
    <x v="1"/>
    <x v="1"/>
    <x v="315"/>
    <x v="1"/>
    <x v="5"/>
    <x v="2"/>
    <x v="641"/>
    <x v="5"/>
    <x v="1"/>
    <x v="1"/>
    <x v="1"/>
    <x v="0"/>
    <x v="796"/>
    <x v="0"/>
    <x v="198"/>
  </r>
  <r>
    <x v="1375"/>
    <x v="645"/>
    <x v="630"/>
    <x v="624"/>
    <x v="1095"/>
    <x v="1"/>
    <x v="2"/>
    <x v="318"/>
    <x v="10"/>
    <x v="2"/>
    <x v="0"/>
    <x v="6"/>
    <x v="0"/>
    <x v="3"/>
    <x v="3"/>
    <x v="3"/>
    <x v="2"/>
    <x v="1"/>
    <x v="3"/>
    <x v="4"/>
    <x v="1"/>
    <x v="316"/>
    <x v="1"/>
    <x v="3"/>
    <x v="4"/>
    <x v="640"/>
    <x v="2"/>
    <x v="1"/>
    <x v="1"/>
    <x v="2"/>
    <x v="1"/>
    <x v="797"/>
    <x v="392"/>
    <x v="0"/>
  </r>
  <r>
    <x v="1376"/>
    <x v="646"/>
    <x v="631"/>
    <x v="625"/>
    <x v="1094"/>
    <x v="1"/>
    <x v="2"/>
    <x v="629"/>
    <x v="465"/>
    <x v="1"/>
    <x v="27"/>
    <x v="0"/>
    <x v="0"/>
    <x v="3"/>
    <x v="2"/>
    <x v="3"/>
    <x v="2"/>
    <x v="1"/>
    <x v="2"/>
    <x v="1"/>
    <x v="1"/>
    <x v="316"/>
    <x v="1"/>
    <x v="3"/>
    <x v="4"/>
    <x v="641"/>
    <x v="5"/>
    <x v="3"/>
    <x v="0"/>
    <x v="1"/>
    <x v="0"/>
    <x v="798"/>
    <x v="393"/>
    <x v="0"/>
  </r>
  <r>
    <x v="1377"/>
    <x v="647"/>
    <x v="632"/>
    <x v="626"/>
    <x v="1096"/>
    <x v="1"/>
    <x v="1"/>
    <x v="630"/>
    <x v="10"/>
    <x v="1"/>
    <x v="3"/>
    <x v="0"/>
    <x v="0"/>
    <x v="1"/>
    <x v="3"/>
    <x v="2"/>
    <x v="2"/>
    <x v="1"/>
    <x v="1"/>
    <x v="1"/>
    <x v="1"/>
    <x v="316"/>
    <x v="1"/>
    <x v="1"/>
    <x v="2"/>
    <x v="642"/>
    <x v="2"/>
    <x v="3"/>
    <x v="0"/>
    <x v="1"/>
    <x v="0"/>
    <x v="799"/>
    <x v="394"/>
    <x v="0"/>
  </r>
  <r>
    <x v="1378"/>
    <x v="636"/>
    <x v="621"/>
    <x v="615"/>
    <x v="0"/>
    <x v="3"/>
    <x v="2"/>
    <x v="620"/>
    <x v="454"/>
    <x v="1"/>
    <x v="262"/>
    <x v="0"/>
    <x v="0"/>
    <x v="3"/>
    <x v="4"/>
    <x v="3"/>
    <x v="2"/>
    <x v="1"/>
    <x v="2"/>
    <x v="1"/>
    <x v="2"/>
    <x v="0"/>
    <x v="2"/>
    <x v="3"/>
    <x v="4"/>
    <x v="630"/>
    <x v="14"/>
    <x v="0"/>
    <x v="0"/>
    <x v="1"/>
    <x v="0"/>
    <x v="0"/>
    <x v="0"/>
    <x v="368"/>
  </r>
  <r>
    <x v="1379"/>
    <x v="645"/>
    <x v="630"/>
    <x v="624"/>
    <x v="1097"/>
    <x v="1"/>
    <x v="2"/>
    <x v="318"/>
    <x v="10"/>
    <x v="1"/>
    <x v="15"/>
    <x v="0"/>
    <x v="0"/>
    <x v="3"/>
    <x v="2"/>
    <x v="3"/>
    <x v="1"/>
    <x v="1"/>
    <x v="2"/>
    <x v="1"/>
    <x v="1"/>
    <x v="308"/>
    <x v="2"/>
    <x v="3"/>
    <x v="4"/>
    <x v="640"/>
    <x v="5"/>
    <x v="3"/>
    <x v="0"/>
    <x v="1"/>
    <x v="0"/>
    <x v="800"/>
    <x v="395"/>
    <x v="0"/>
  </r>
  <r>
    <x v="1380"/>
    <x v="648"/>
    <x v="633"/>
    <x v="627"/>
    <x v="1098"/>
    <x v="1"/>
    <x v="2"/>
    <x v="631"/>
    <x v="466"/>
    <x v="1"/>
    <x v="15"/>
    <x v="0"/>
    <x v="0"/>
    <x v="1"/>
    <x v="1"/>
    <x v="1"/>
    <x v="2"/>
    <x v="1"/>
    <x v="2"/>
    <x v="4"/>
    <x v="1"/>
    <x v="308"/>
    <x v="1"/>
    <x v="5"/>
    <x v="2"/>
    <x v="643"/>
    <x v="5"/>
    <x v="1"/>
    <x v="7"/>
    <x v="2"/>
    <x v="1"/>
    <x v="801"/>
    <x v="0"/>
    <x v="0"/>
  </r>
  <r>
    <x v="1381"/>
    <x v="644"/>
    <x v="629"/>
    <x v="628"/>
    <x v="0"/>
    <x v="1"/>
    <x v="6"/>
    <x v="628"/>
    <x v="464"/>
    <x v="1"/>
    <x v="263"/>
    <x v="0"/>
    <x v="0"/>
    <x v="1"/>
    <x v="1"/>
    <x v="1"/>
    <x v="1"/>
    <x v="1"/>
    <x v="3"/>
    <x v="5"/>
    <x v="1"/>
    <x v="308"/>
    <x v="2"/>
    <x v="5"/>
    <x v="2"/>
    <x v="639"/>
    <x v="20"/>
    <x v="1"/>
    <x v="17"/>
    <x v="1"/>
    <x v="0"/>
    <x v="802"/>
    <x v="0"/>
    <x v="0"/>
  </r>
  <r>
    <x v="1382"/>
    <x v="648"/>
    <x v="633"/>
    <x v="627"/>
    <x v="1099"/>
    <x v="1"/>
    <x v="2"/>
    <x v="631"/>
    <x v="466"/>
    <x v="1"/>
    <x v="15"/>
    <x v="0"/>
    <x v="0"/>
    <x v="3"/>
    <x v="1"/>
    <x v="1"/>
    <x v="1"/>
    <x v="1"/>
    <x v="2"/>
    <x v="1"/>
    <x v="2"/>
    <x v="0"/>
    <x v="1"/>
    <x v="3"/>
    <x v="4"/>
    <x v="643"/>
    <x v="12"/>
    <x v="0"/>
    <x v="0"/>
    <x v="1"/>
    <x v="0"/>
    <x v="0"/>
    <x v="0"/>
    <x v="0"/>
  </r>
  <r>
    <x v="1383"/>
    <x v="649"/>
    <x v="634"/>
    <x v="629"/>
    <x v="1100"/>
    <x v="1"/>
    <x v="2"/>
    <x v="632"/>
    <x v="467"/>
    <x v="1"/>
    <x v="3"/>
    <x v="0"/>
    <x v="0"/>
    <x v="2"/>
    <x v="1"/>
    <x v="2"/>
    <x v="2"/>
    <x v="1"/>
    <x v="1"/>
    <x v="1"/>
    <x v="2"/>
    <x v="0"/>
    <x v="1"/>
    <x v="6"/>
    <x v="3"/>
    <x v="644"/>
    <x v="14"/>
    <x v="0"/>
    <x v="0"/>
    <x v="1"/>
    <x v="0"/>
    <x v="0"/>
    <x v="0"/>
    <x v="369"/>
  </r>
  <r>
    <x v="1384"/>
    <x v="650"/>
    <x v="635"/>
    <x v="630"/>
    <x v="1101"/>
    <x v="1"/>
    <x v="2"/>
    <x v="633"/>
    <x v="468"/>
    <x v="2"/>
    <x v="0"/>
    <x v="6"/>
    <x v="0"/>
    <x v="1"/>
    <x v="3"/>
    <x v="3"/>
    <x v="2"/>
    <x v="1"/>
    <x v="2"/>
    <x v="1"/>
    <x v="1"/>
    <x v="317"/>
    <x v="1"/>
    <x v="1"/>
    <x v="2"/>
    <x v="645"/>
    <x v="12"/>
    <x v="1"/>
    <x v="13"/>
    <x v="1"/>
    <x v="0"/>
    <x v="803"/>
    <x v="396"/>
    <x v="370"/>
  </r>
  <r>
    <x v="1385"/>
    <x v="641"/>
    <x v="626"/>
    <x v="620"/>
    <x v="1102"/>
    <x v="1"/>
    <x v="2"/>
    <x v="624"/>
    <x v="459"/>
    <x v="1"/>
    <x v="3"/>
    <x v="0"/>
    <x v="0"/>
    <x v="1"/>
    <x v="1"/>
    <x v="1"/>
    <x v="2"/>
    <x v="1"/>
    <x v="2"/>
    <x v="1"/>
    <x v="2"/>
    <x v="0"/>
    <x v="1"/>
    <x v="5"/>
    <x v="2"/>
    <x v="635"/>
    <x v="12"/>
    <x v="0"/>
    <x v="0"/>
    <x v="1"/>
    <x v="0"/>
    <x v="0"/>
    <x v="0"/>
    <x v="0"/>
  </r>
  <r>
    <x v="1386"/>
    <x v="651"/>
    <x v="636"/>
    <x v="631"/>
    <x v="1103"/>
    <x v="1"/>
    <x v="3"/>
    <x v="634"/>
    <x v="469"/>
    <x v="2"/>
    <x v="0"/>
    <x v="6"/>
    <x v="0"/>
    <x v="1"/>
    <x v="2"/>
    <x v="3"/>
    <x v="2"/>
    <x v="1"/>
    <x v="1"/>
    <x v="1"/>
    <x v="1"/>
    <x v="317"/>
    <x v="1"/>
    <x v="6"/>
    <x v="3"/>
    <x v="646"/>
    <x v="14"/>
    <x v="1"/>
    <x v="13"/>
    <x v="2"/>
    <x v="1"/>
    <x v="804"/>
    <x v="0"/>
    <x v="371"/>
  </r>
  <r>
    <x v="1387"/>
    <x v="603"/>
    <x v="590"/>
    <x v="583"/>
    <x v="1104"/>
    <x v="1"/>
    <x v="2"/>
    <x v="594"/>
    <x v="462"/>
    <x v="6"/>
    <x v="0"/>
    <x v="0"/>
    <x v="4"/>
    <x v="1"/>
    <x v="1"/>
    <x v="2"/>
    <x v="2"/>
    <x v="1"/>
    <x v="2"/>
    <x v="1"/>
    <x v="1"/>
    <x v="318"/>
    <x v="1"/>
    <x v="6"/>
    <x v="3"/>
    <x v="599"/>
    <x v="14"/>
    <x v="3"/>
    <x v="0"/>
    <x v="1"/>
    <x v="0"/>
    <x v="805"/>
    <x v="397"/>
    <x v="185"/>
  </r>
  <r>
    <x v="1388"/>
    <x v="650"/>
    <x v="635"/>
    <x v="630"/>
    <x v="0"/>
    <x v="1"/>
    <x v="2"/>
    <x v="633"/>
    <x v="468"/>
    <x v="1"/>
    <x v="264"/>
    <x v="0"/>
    <x v="0"/>
    <x v="3"/>
    <x v="4"/>
    <x v="1"/>
    <x v="2"/>
    <x v="1"/>
    <x v="2"/>
    <x v="1"/>
    <x v="2"/>
    <x v="0"/>
    <x v="2"/>
    <x v="3"/>
    <x v="4"/>
    <x v="645"/>
    <x v="14"/>
    <x v="0"/>
    <x v="0"/>
    <x v="1"/>
    <x v="0"/>
    <x v="0"/>
    <x v="0"/>
    <x v="0"/>
  </r>
  <r>
    <x v="1389"/>
    <x v="651"/>
    <x v="636"/>
    <x v="631"/>
    <x v="0"/>
    <x v="1"/>
    <x v="2"/>
    <x v="634"/>
    <x v="469"/>
    <x v="2"/>
    <x v="0"/>
    <x v="6"/>
    <x v="0"/>
    <x v="3"/>
    <x v="2"/>
    <x v="3"/>
    <x v="2"/>
    <x v="1"/>
    <x v="1"/>
    <x v="1"/>
    <x v="1"/>
    <x v="319"/>
    <x v="2"/>
    <x v="3"/>
    <x v="4"/>
    <x v="646"/>
    <x v="14"/>
    <x v="1"/>
    <x v="1"/>
    <x v="2"/>
    <x v="1"/>
    <x v="806"/>
    <x v="0"/>
    <x v="372"/>
  </r>
  <r>
    <x v="1390"/>
    <x v="652"/>
    <x v="637"/>
    <x v="632"/>
    <x v="1105"/>
    <x v="1"/>
    <x v="2"/>
    <x v="635"/>
    <x v="10"/>
    <x v="1"/>
    <x v="22"/>
    <x v="0"/>
    <x v="0"/>
    <x v="1"/>
    <x v="2"/>
    <x v="3"/>
    <x v="2"/>
    <x v="1"/>
    <x v="1"/>
    <x v="5"/>
    <x v="1"/>
    <x v="318"/>
    <x v="1"/>
    <x v="6"/>
    <x v="2"/>
    <x v="647"/>
    <x v="5"/>
    <x v="1"/>
    <x v="5"/>
    <x v="2"/>
    <x v="1"/>
    <x v="807"/>
    <x v="398"/>
    <x v="373"/>
  </r>
  <r>
    <x v="1391"/>
    <x v="651"/>
    <x v="636"/>
    <x v="631"/>
    <x v="0"/>
    <x v="1"/>
    <x v="2"/>
    <x v="634"/>
    <x v="469"/>
    <x v="2"/>
    <x v="0"/>
    <x v="6"/>
    <x v="0"/>
    <x v="3"/>
    <x v="2"/>
    <x v="3"/>
    <x v="2"/>
    <x v="1"/>
    <x v="2"/>
    <x v="1"/>
    <x v="1"/>
    <x v="318"/>
    <x v="2"/>
    <x v="3"/>
    <x v="4"/>
    <x v="646"/>
    <x v="5"/>
    <x v="1"/>
    <x v="4"/>
    <x v="1"/>
    <x v="0"/>
    <x v="808"/>
    <x v="399"/>
    <x v="0"/>
  </r>
  <r>
    <x v="1392"/>
    <x v="644"/>
    <x v="629"/>
    <x v="628"/>
    <x v="0"/>
    <x v="1"/>
    <x v="2"/>
    <x v="628"/>
    <x v="464"/>
    <x v="1"/>
    <x v="263"/>
    <x v="0"/>
    <x v="0"/>
    <x v="3"/>
    <x v="1"/>
    <x v="1"/>
    <x v="1"/>
    <x v="1"/>
    <x v="3"/>
    <x v="5"/>
    <x v="2"/>
    <x v="0"/>
    <x v="2"/>
    <x v="5"/>
    <x v="3"/>
    <x v="639"/>
    <x v="20"/>
    <x v="0"/>
    <x v="0"/>
    <x v="1"/>
    <x v="0"/>
    <x v="0"/>
    <x v="0"/>
    <x v="0"/>
  </r>
  <r>
    <x v="1393"/>
    <x v="653"/>
    <x v="566"/>
    <x v="559"/>
    <x v="1106"/>
    <x v="1"/>
    <x v="1"/>
    <x v="573"/>
    <x v="470"/>
    <x v="1"/>
    <x v="265"/>
    <x v="0"/>
    <x v="0"/>
    <x v="1"/>
    <x v="1"/>
    <x v="1"/>
    <x v="2"/>
    <x v="1"/>
    <x v="1"/>
    <x v="1"/>
    <x v="2"/>
    <x v="0"/>
    <x v="1"/>
    <x v="4"/>
    <x v="2"/>
    <x v="573"/>
    <x v="12"/>
    <x v="0"/>
    <x v="0"/>
    <x v="1"/>
    <x v="0"/>
    <x v="0"/>
    <x v="0"/>
    <x v="0"/>
  </r>
  <r>
    <x v="1394"/>
    <x v="654"/>
    <x v="638"/>
    <x v="633"/>
    <x v="1107"/>
    <x v="1"/>
    <x v="2"/>
    <x v="407"/>
    <x v="471"/>
    <x v="1"/>
    <x v="266"/>
    <x v="0"/>
    <x v="0"/>
    <x v="1"/>
    <x v="1"/>
    <x v="1"/>
    <x v="1"/>
    <x v="1"/>
    <x v="2"/>
    <x v="1"/>
    <x v="2"/>
    <x v="0"/>
    <x v="1"/>
    <x v="1"/>
    <x v="13"/>
    <x v="648"/>
    <x v="3"/>
    <x v="0"/>
    <x v="0"/>
    <x v="1"/>
    <x v="0"/>
    <x v="0"/>
    <x v="0"/>
    <x v="0"/>
  </r>
  <r>
    <x v="1395"/>
    <x v="655"/>
    <x v="639"/>
    <x v="634"/>
    <x v="1108"/>
    <x v="1"/>
    <x v="2"/>
    <x v="636"/>
    <x v="472"/>
    <x v="1"/>
    <x v="9"/>
    <x v="0"/>
    <x v="0"/>
    <x v="1"/>
    <x v="1"/>
    <x v="1"/>
    <x v="2"/>
    <x v="1"/>
    <x v="2"/>
    <x v="1"/>
    <x v="2"/>
    <x v="0"/>
    <x v="1"/>
    <x v="1"/>
    <x v="2"/>
    <x v="649"/>
    <x v="12"/>
    <x v="0"/>
    <x v="0"/>
    <x v="1"/>
    <x v="0"/>
    <x v="0"/>
    <x v="0"/>
    <x v="0"/>
  </r>
  <r>
    <x v="1396"/>
    <x v="652"/>
    <x v="637"/>
    <x v="632"/>
    <x v="0"/>
    <x v="1"/>
    <x v="2"/>
    <x v="635"/>
    <x v="473"/>
    <x v="1"/>
    <x v="15"/>
    <x v="0"/>
    <x v="0"/>
    <x v="3"/>
    <x v="3"/>
    <x v="3"/>
    <x v="1"/>
    <x v="1"/>
    <x v="2"/>
    <x v="1"/>
    <x v="1"/>
    <x v="318"/>
    <x v="2"/>
    <x v="3"/>
    <x v="4"/>
    <x v="647"/>
    <x v="2"/>
    <x v="1"/>
    <x v="4"/>
    <x v="2"/>
    <x v="1"/>
    <x v="809"/>
    <x v="0"/>
    <x v="374"/>
  </r>
  <r>
    <x v="1397"/>
    <x v="655"/>
    <x v="639"/>
    <x v="634"/>
    <x v="1109"/>
    <x v="1"/>
    <x v="2"/>
    <x v="636"/>
    <x v="472"/>
    <x v="1"/>
    <x v="9"/>
    <x v="0"/>
    <x v="0"/>
    <x v="1"/>
    <x v="1"/>
    <x v="1"/>
    <x v="2"/>
    <x v="1"/>
    <x v="2"/>
    <x v="1"/>
    <x v="2"/>
    <x v="0"/>
    <x v="1"/>
    <x v="1"/>
    <x v="2"/>
    <x v="649"/>
    <x v="3"/>
    <x v="0"/>
    <x v="0"/>
    <x v="1"/>
    <x v="0"/>
    <x v="0"/>
    <x v="0"/>
    <x v="0"/>
  </r>
  <r>
    <x v="1398"/>
    <x v="652"/>
    <x v="637"/>
    <x v="632"/>
    <x v="1110"/>
    <x v="1"/>
    <x v="2"/>
    <x v="635"/>
    <x v="10"/>
    <x v="1"/>
    <x v="15"/>
    <x v="0"/>
    <x v="0"/>
    <x v="3"/>
    <x v="2"/>
    <x v="3"/>
    <x v="2"/>
    <x v="1"/>
    <x v="2"/>
    <x v="1"/>
    <x v="1"/>
    <x v="318"/>
    <x v="1"/>
    <x v="3"/>
    <x v="4"/>
    <x v="647"/>
    <x v="1"/>
    <x v="3"/>
    <x v="0"/>
    <x v="1"/>
    <x v="0"/>
    <x v="810"/>
    <x v="400"/>
    <x v="0"/>
  </r>
  <r>
    <x v="1399"/>
    <x v="651"/>
    <x v="636"/>
    <x v="631"/>
    <x v="0"/>
    <x v="1"/>
    <x v="2"/>
    <x v="634"/>
    <x v="469"/>
    <x v="2"/>
    <x v="0"/>
    <x v="6"/>
    <x v="0"/>
    <x v="3"/>
    <x v="4"/>
    <x v="1"/>
    <x v="2"/>
    <x v="1"/>
    <x v="2"/>
    <x v="1"/>
    <x v="2"/>
    <x v="0"/>
    <x v="2"/>
    <x v="3"/>
    <x v="4"/>
    <x v="646"/>
    <x v="1"/>
    <x v="0"/>
    <x v="0"/>
    <x v="1"/>
    <x v="0"/>
    <x v="0"/>
    <x v="0"/>
    <x v="0"/>
  </r>
  <r>
    <x v="1400"/>
    <x v="656"/>
    <x v="640"/>
    <x v="635"/>
    <x v="1111"/>
    <x v="1"/>
    <x v="3"/>
    <x v="210"/>
    <x v="474"/>
    <x v="1"/>
    <x v="15"/>
    <x v="0"/>
    <x v="0"/>
    <x v="1"/>
    <x v="2"/>
    <x v="3"/>
    <x v="2"/>
    <x v="1"/>
    <x v="2"/>
    <x v="1"/>
    <x v="1"/>
    <x v="320"/>
    <x v="1"/>
    <x v="1"/>
    <x v="2"/>
    <x v="650"/>
    <x v="3"/>
    <x v="3"/>
    <x v="0"/>
    <x v="1"/>
    <x v="0"/>
    <x v="811"/>
    <x v="401"/>
    <x v="0"/>
  </r>
  <r>
    <x v="1401"/>
    <x v="566"/>
    <x v="557"/>
    <x v="550"/>
    <x v="1112"/>
    <x v="1"/>
    <x v="2"/>
    <x v="565"/>
    <x v="475"/>
    <x v="1"/>
    <x v="267"/>
    <x v="0"/>
    <x v="0"/>
    <x v="1"/>
    <x v="1"/>
    <x v="1"/>
    <x v="2"/>
    <x v="1"/>
    <x v="3"/>
    <x v="1"/>
    <x v="2"/>
    <x v="0"/>
    <x v="2"/>
    <x v="1"/>
    <x v="2"/>
    <x v="563"/>
    <x v="3"/>
    <x v="0"/>
    <x v="0"/>
    <x v="1"/>
    <x v="0"/>
    <x v="0"/>
    <x v="0"/>
    <x v="0"/>
  </r>
  <r>
    <x v="1402"/>
    <x v="657"/>
    <x v="641"/>
    <x v="636"/>
    <x v="1113"/>
    <x v="1"/>
    <x v="3"/>
    <x v="637"/>
    <x v="449"/>
    <x v="1"/>
    <x v="268"/>
    <x v="0"/>
    <x v="0"/>
    <x v="1"/>
    <x v="2"/>
    <x v="3"/>
    <x v="2"/>
    <x v="2"/>
    <x v="1"/>
    <x v="1"/>
    <x v="1"/>
    <x v="321"/>
    <x v="1"/>
    <x v="1"/>
    <x v="2"/>
    <x v="651"/>
    <x v="14"/>
    <x v="3"/>
    <x v="0"/>
    <x v="1"/>
    <x v="0"/>
    <x v="812"/>
    <x v="402"/>
    <x v="0"/>
  </r>
  <r>
    <x v="1403"/>
    <x v="546"/>
    <x v="538"/>
    <x v="531"/>
    <x v="1114"/>
    <x v="1"/>
    <x v="2"/>
    <x v="547"/>
    <x v="476"/>
    <x v="1"/>
    <x v="269"/>
    <x v="0"/>
    <x v="0"/>
    <x v="1"/>
    <x v="1"/>
    <x v="1"/>
    <x v="2"/>
    <x v="1"/>
    <x v="3"/>
    <x v="1"/>
    <x v="1"/>
    <x v="321"/>
    <x v="1"/>
    <x v="1"/>
    <x v="2"/>
    <x v="542"/>
    <x v="14"/>
    <x v="1"/>
    <x v="4"/>
    <x v="1"/>
    <x v="0"/>
    <x v="813"/>
    <x v="403"/>
    <x v="0"/>
  </r>
  <r>
    <x v="1404"/>
    <x v="315"/>
    <x v="316"/>
    <x v="311"/>
    <x v="1115"/>
    <x v="1"/>
    <x v="2"/>
    <x v="329"/>
    <x v="10"/>
    <x v="1"/>
    <x v="24"/>
    <x v="0"/>
    <x v="0"/>
    <x v="1"/>
    <x v="1"/>
    <x v="1"/>
    <x v="2"/>
    <x v="1"/>
    <x v="2"/>
    <x v="1"/>
    <x v="1"/>
    <x v="321"/>
    <x v="1"/>
    <x v="1"/>
    <x v="2"/>
    <x v="317"/>
    <x v="14"/>
    <x v="1"/>
    <x v="4"/>
    <x v="1"/>
    <x v="0"/>
    <x v="814"/>
    <x v="0"/>
    <x v="0"/>
  </r>
  <r>
    <x v="1405"/>
    <x v="315"/>
    <x v="316"/>
    <x v="311"/>
    <x v="0"/>
    <x v="1"/>
    <x v="2"/>
    <x v="329"/>
    <x v="10"/>
    <x v="1"/>
    <x v="24"/>
    <x v="0"/>
    <x v="0"/>
    <x v="3"/>
    <x v="1"/>
    <x v="1"/>
    <x v="2"/>
    <x v="1"/>
    <x v="2"/>
    <x v="1"/>
    <x v="1"/>
    <x v="322"/>
    <x v="2"/>
    <x v="3"/>
    <x v="4"/>
    <x v="317"/>
    <x v="1"/>
    <x v="1"/>
    <x v="4"/>
    <x v="1"/>
    <x v="0"/>
    <x v="815"/>
    <x v="404"/>
    <x v="0"/>
  </r>
  <r>
    <x v="1406"/>
    <x v="658"/>
    <x v="642"/>
    <x v="637"/>
    <x v="1116"/>
    <x v="3"/>
    <x v="1"/>
    <x v="638"/>
    <x v="477"/>
    <x v="1"/>
    <x v="193"/>
    <x v="0"/>
    <x v="0"/>
    <x v="1"/>
    <x v="1"/>
    <x v="1"/>
    <x v="2"/>
    <x v="1"/>
    <x v="2"/>
    <x v="1"/>
    <x v="2"/>
    <x v="0"/>
    <x v="2"/>
    <x v="2"/>
    <x v="2"/>
    <x v="652"/>
    <x v="3"/>
    <x v="0"/>
    <x v="0"/>
    <x v="1"/>
    <x v="0"/>
    <x v="0"/>
    <x v="0"/>
    <x v="0"/>
  </r>
  <r>
    <x v="1407"/>
    <x v="659"/>
    <x v="643"/>
    <x v="638"/>
    <x v="1117"/>
    <x v="1"/>
    <x v="2"/>
    <x v="639"/>
    <x v="478"/>
    <x v="1"/>
    <x v="217"/>
    <x v="0"/>
    <x v="0"/>
    <x v="1"/>
    <x v="2"/>
    <x v="3"/>
    <x v="2"/>
    <x v="2"/>
    <x v="1"/>
    <x v="1"/>
    <x v="1"/>
    <x v="322"/>
    <x v="1"/>
    <x v="1"/>
    <x v="2"/>
    <x v="653"/>
    <x v="3"/>
    <x v="3"/>
    <x v="0"/>
    <x v="1"/>
    <x v="0"/>
    <x v="816"/>
    <x v="405"/>
    <x v="0"/>
  </r>
  <r>
    <x v="1408"/>
    <x v="546"/>
    <x v="538"/>
    <x v="531"/>
    <x v="0"/>
    <x v="1"/>
    <x v="2"/>
    <x v="547"/>
    <x v="476"/>
    <x v="1"/>
    <x v="8"/>
    <x v="0"/>
    <x v="0"/>
    <x v="3"/>
    <x v="1"/>
    <x v="1"/>
    <x v="2"/>
    <x v="1"/>
    <x v="2"/>
    <x v="1"/>
    <x v="2"/>
    <x v="0"/>
    <x v="2"/>
    <x v="3"/>
    <x v="4"/>
    <x v="542"/>
    <x v="1"/>
    <x v="0"/>
    <x v="0"/>
    <x v="1"/>
    <x v="0"/>
    <x v="0"/>
    <x v="0"/>
    <x v="0"/>
  </r>
  <r>
    <x v="1409"/>
    <x v="660"/>
    <x v="644"/>
    <x v="639"/>
    <x v="1118"/>
    <x v="1"/>
    <x v="1"/>
    <x v="640"/>
    <x v="479"/>
    <x v="1"/>
    <x v="9"/>
    <x v="0"/>
    <x v="0"/>
    <x v="1"/>
    <x v="2"/>
    <x v="3"/>
    <x v="2"/>
    <x v="1"/>
    <x v="2"/>
    <x v="1"/>
    <x v="1"/>
    <x v="323"/>
    <x v="1"/>
    <x v="1"/>
    <x v="2"/>
    <x v="654"/>
    <x v="3"/>
    <x v="3"/>
    <x v="0"/>
    <x v="1"/>
    <x v="0"/>
    <x v="817"/>
    <x v="406"/>
    <x v="0"/>
  </r>
  <r>
    <x v="1410"/>
    <x v="661"/>
    <x v="645"/>
    <x v="640"/>
    <x v="1119"/>
    <x v="1"/>
    <x v="3"/>
    <x v="641"/>
    <x v="480"/>
    <x v="1"/>
    <x v="3"/>
    <x v="0"/>
    <x v="0"/>
    <x v="1"/>
    <x v="3"/>
    <x v="2"/>
    <x v="2"/>
    <x v="1"/>
    <x v="2"/>
    <x v="1"/>
    <x v="1"/>
    <x v="323"/>
    <x v="1"/>
    <x v="1"/>
    <x v="5"/>
    <x v="655"/>
    <x v="14"/>
    <x v="3"/>
    <x v="0"/>
    <x v="1"/>
    <x v="0"/>
    <x v="818"/>
    <x v="407"/>
    <x v="375"/>
  </r>
  <r>
    <x v="1411"/>
    <x v="662"/>
    <x v="646"/>
    <x v="641"/>
    <x v="1120"/>
    <x v="1"/>
    <x v="2"/>
    <x v="642"/>
    <x v="158"/>
    <x v="1"/>
    <x v="270"/>
    <x v="0"/>
    <x v="0"/>
    <x v="1"/>
    <x v="1"/>
    <x v="1"/>
    <x v="2"/>
    <x v="2"/>
    <x v="1"/>
    <x v="1"/>
    <x v="2"/>
    <x v="0"/>
    <x v="1"/>
    <x v="1"/>
    <x v="2"/>
    <x v="656"/>
    <x v="1"/>
    <x v="0"/>
    <x v="0"/>
    <x v="1"/>
    <x v="0"/>
    <x v="0"/>
    <x v="0"/>
    <x v="0"/>
  </r>
  <r>
    <x v="1412"/>
    <x v="315"/>
    <x v="316"/>
    <x v="311"/>
    <x v="0"/>
    <x v="1"/>
    <x v="2"/>
    <x v="643"/>
    <x v="10"/>
    <x v="1"/>
    <x v="24"/>
    <x v="0"/>
    <x v="0"/>
    <x v="3"/>
    <x v="1"/>
    <x v="1"/>
    <x v="2"/>
    <x v="1"/>
    <x v="2"/>
    <x v="1"/>
    <x v="2"/>
    <x v="0"/>
    <x v="2"/>
    <x v="3"/>
    <x v="4"/>
    <x v="317"/>
    <x v="1"/>
    <x v="0"/>
    <x v="0"/>
    <x v="1"/>
    <x v="0"/>
    <x v="0"/>
    <x v="0"/>
    <x v="0"/>
  </r>
  <r>
    <x v="1413"/>
    <x v="663"/>
    <x v="647"/>
    <x v="642"/>
    <x v="1121"/>
    <x v="3"/>
    <x v="2"/>
    <x v="644"/>
    <x v="481"/>
    <x v="1"/>
    <x v="9"/>
    <x v="0"/>
    <x v="0"/>
    <x v="1"/>
    <x v="1"/>
    <x v="1"/>
    <x v="2"/>
    <x v="2"/>
    <x v="1"/>
    <x v="3"/>
    <x v="1"/>
    <x v="323"/>
    <x v="1"/>
    <x v="6"/>
    <x v="3"/>
    <x v="657"/>
    <x v="14"/>
    <x v="1"/>
    <x v="5"/>
    <x v="2"/>
    <x v="1"/>
    <x v="819"/>
    <x v="0"/>
    <x v="0"/>
  </r>
  <r>
    <x v="1414"/>
    <x v="663"/>
    <x v="647"/>
    <x v="642"/>
    <x v="1122"/>
    <x v="3"/>
    <x v="2"/>
    <x v="645"/>
    <x v="481"/>
    <x v="1"/>
    <x v="9"/>
    <x v="0"/>
    <x v="0"/>
    <x v="3"/>
    <x v="1"/>
    <x v="2"/>
    <x v="1"/>
    <x v="2"/>
    <x v="3"/>
    <x v="1"/>
    <x v="2"/>
    <x v="0"/>
    <x v="1"/>
    <x v="3"/>
    <x v="4"/>
    <x v="657"/>
    <x v="2"/>
    <x v="0"/>
    <x v="0"/>
    <x v="1"/>
    <x v="0"/>
    <x v="0"/>
    <x v="0"/>
    <x v="0"/>
  </r>
  <r>
    <x v="1415"/>
    <x v="435"/>
    <x v="432"/>
    <x v="427"/>
    <x v="1123"/>
    <x v="1"/>
    <x v="2"/>
    <x v="442"/>
    <x v="482"/>
    <x v="1"/>
    <x v="271"/>
    <x v="0"/>
    <x v="0"/>
    <x v="1"/>
    <x v="1"/>
    <x v="1"/>
    <x v="2"/>
    <x v="1"/>
    <x v="2"/>
    <x v="1"/>
    <x v="1"/>
    <x v="324"/>
    <x v="1"/>
    <x v="1"/>
    <x v="2"/>
    <x v="435"/>
    <x v="12"/>
    <x v="3"/>
    <x v="0"/>
    <x v="1"/>
    <x v="0"/>
    <x v="820"/>
    <x v="408"/>
    <x v="0"/>
  </r>
  <r>
    <x v="1416"/>
    <x v="652"/>
    <x v="637"/>
    <x v="632"/>
    <x v="1124"/>
    <x v="1"/>
    <x v="2"/>
    <x v="635"/>
    <x v="473"/>
    <x v="1"/>
    <x v="31"/>
    <x v="0"/>
    <x v="0"/>
    <x v="1"/>
    <x v="1"/>
    <x v="1"/>
    <x v="2"/>
    <x v="1"/>
    <x v="3"/>
    <x v="4"/>
    <x v="1"/>
    <x v="324"/>
    <x v="1"/>
    <x v="1"/>
    <x v="2"/>
    <x v="658"/>
    <x v="1"/>
    <x v="1"/>
    <x v="13"/>
    <x v="1"/>
    <x v="0"/>
    <x v="821"/>
    <x v="0"/>
    <x v="376"/>
  </r>
  <r>
    <x v="1417"/>
    <x v="664"/>
    <x v="648"/>
    <x v="643"/>
    <x v="1125"/>
    <x v="1"/>
    <x v="2"/>
    <x v="646"/>
    <x v="483"/>
    <x v="1"/>
    <x v="272"/>
    <x v="0"/>
    <x v="0"/>
    <x v="1"/>
    <x v="3"/>
    <x v="4"/>
    <x v="2"/>
    <x v="1"/>
    <x v="2"/>
    <x v="1"/>
    <x v="2"/>
    <x v="324"/>
    <x v="1"/>
    <x v="1"/>
    <x v="2"/>
    <x v="659"/>
    <x v="12"/>
    <x v="3"/>
    <x v="0"/>
    <x v="1"/>
    <x v="0"/>
    <x v="822"/>
    <x v="409"/>
    <x v="0"/>
  </r>
  <r>
    <x v="1418"/>
    <x v="665"/>
    <x v="649"/>
    <x v="644"/>
    <x v="1126"/>
    <x v="1"/>
    <x v="2"/>
    <x v="647"/>
    <x v="484"/>
    <x v="1"/>
    <x v="9"/>
    <x v="0"/>
    <x v="0"/>
    <x v="1"/>
    <x v="2"/>
    <x v="3"/>
    <x v="2"/>
    <x v="1"/>
    <x v="1"/>
    <x v="1"/>
    <x v="1"/>
    <x v="324"/>
    <x v="1"/>
    <x v="6"/>
    <x v="3"/>
    <x v="660"/>
    <x v="14"/>
    <x v="3"/>
    <x v="0"/>
    <x v="1"/>
    <x v="0"/>
    <x v="823"/>
    <x v="410"/>
    <x v="377"/>
  </r>
  <r>
    <x v="1419"/>
    <x v="666"/>
    <x v="637"/>
    <x v="632"/>
    <x v="0"/>
    <x v="1"/>
    <x v="2"/>
    <x v="635"/>
    <x v="473"/>
    <x v="1"/>
    <x v="31"/>
    <x v="0"/>
    <x v="0"/>
    <x v="3"/>
    <x v="1"/>
    <x v="1"/>
    <x v="2"/>
    <x v="1"/>
    <x v="2"/>
    <x v="1"/>
    <x v="2"/>
    <x v="0"/>
    <x v="2"/>
    <x v="3"/>
    <x v="4"/>
    <x v="658"/>
    <x v="14"/>
    <x v="0"/>
    <x v="0"/>
    <x v="1"/>
    <x v="0"/>
    <x v="0"/>
    <x v="0"/>
    <x v="0"/>
  </r>
  <r>
    <x v="1420"/>
    <x v="639"/>
    <x v="624"/>
    <x v="618"/>
    <x v="1127"/>
    <x v="1"/>
    <x v="3"/>
    <x v="622"/>
    <x v="456"/>
    <x v="1"/>
    <x v="273"/>
    <x v="0"/>
    <x v="0"/>
    <x v="1"/>
    <x v="1"/>
    <x v="2"/>
    <x v="2"/>
    <x v="1"/>
    <x v="2"/>
    <x v="1"/>
    <x v="1"/>
    <x v="325"/>
    <x v="1"/>
    <x v="6"/>
    <x v="3"/>
    <x v="633"/>
    <x v="14"/>
    <x v="1"/>
    <x v="3"/>
    <x v="2"/>
    <x v="1"/>
    <x v="824"/>
    <x v="0"/>
    <x v="0"/>
  </r>
  <r>
    <x v="1421"/>
    <x v="667"/>
    <x v="650"/>
    <x v="645"/>
    <x v="1128"/>
    <x v="1"/>
    <x v="3"/>
    <x v="648"/>
    <x v="485"/>
    <x v="2"/>
    <x v="0"/>
    <x v="5"/>
    <x v="0"/>
    <x v="1"/>
    <x v="2"/>
    <x v="3"/>
    <x v="2"/>
    <x v="1"/>
    <x v="2"/>
    <x v="1"/>
    <x v="1"/>
    <x v="325"/>
    <x v="1"/>
    <x v="6"/>
    <x v="2"/>
    <x v="661"/>
    <x v="12"/>
    <x v="1"/>
    <x v="3"/>
    <x v="1"/>
    <x v="0"/>
    <x v="825"/>
    <x v="0"/>
    <x v="0"/>
  </r>
  <r>
    <x v="1422"/>
    <x v="668"/>
    <x v="651"/>
    <x v="646"/>
    <x v="1128"/>
    <x v="1"/>
    <x v="2"/>
    <x v="649"/>
    <x v="486"/>
    <x v="1"/>
    <x v="2"/>
    <x v="0"/>
    <x v="0"/>
    <x v="1"/>
    <x v="1"/>
    <x v="1"/>
    <x v="1"/>
    <x v="1"/>
    <x v="2"/>
    <x v="1"/>
    <x v="1"/>
    <x v="326"/>
    <x v="1"/>
    <x v="6"/>
    <x v="2"/>
    <x v="662"/>
    <x v="12"/>
    <x v="1"/>
    <x v="7"/>
    <x v="2"/>
    <x v="1"/>
    <x v="826"/>
    <x v="0"/>
    <x v="0"/>
  </r>
  <r>
    <x v="1423"/>
    <x v="668"/>
    <x v="651"/>
    <x v="646"/>
    <x v="1129"/>
    <x v="1"/>
    <x v="2"/>
    <x v="649"/>
    <x v="486"/>
    <x v="1"/>
    <x v="2"/>
    <x v="0"/>
    <x v="0"/>
    <x v="3"/>
    <x v="1"/>
    <x v="1"/>
    <x v="2"/>
    <x v="1"/>
    <x v="2"/>
    <x v="1"/>
    <x v="2"/>
    <x v="0"/>
    <x v="1"/>
    <x v="3"/>
    <x v="4"/>
    <x v="662"/>
    <x v="12"/>
    <x v="0"/>
    <x v="0"/>
    <x v="1"/>
    <x v="0"/>
    <x v="0"/>
    <x v="0"/>
    <x v="0"/>
  </r>
  <r>
    <x v="1424"/>
    <x v="667"/>
    <x v="650"/>
    <x v="645"/>
    <x v="0"/>
    <x v="1"/>
    <x v="3"/>
    <x v="648"/>
    <x v="485"/>
    <x v="1"/>
    <x v="217"/>
    <x v="0"/>
    <x v="0"/>
    <x v="3"/>
    <x v="4"/>
    <x v="1"/>
    <x v="2"/>
    <x v="1"/>
    <x v="2"/>
    <x v="1"/>
    <x v="2"/>
    <x v="0"/>
    <x v="2"/>
    <x v="3"/>
    <x v="4"/>
    <x v="661"/>
    <x v="3"/>
    <x v="0"/>
    <x v="0"/>
    <x v="1"/>
    <x v="0"/>
    <x v="0"/>
    <x v="0"/>
    <x v="0"/>
  </r>
  <r>
    <x v="1425"/>
    <x v="639"/>
    <x v="624"/>
    <x v="618"/>
    <x v="1130"/>
    <x v="1"/>
    <x v="2"/>
    <x v="650"/>
    <x v="456"/>
    <x v="1"/>
    <x v="31"/>
    <x v="0"/>
    <x v="0"/>
    <x v="3"/>
    <x v="1"/>
    <x v="1"/>
    <x v="2"/>
    <x v="1"/>
    <x v="2"/>
    <x v="1"/>
    <x v="2"/>
    <x v="0"/>
    <x v="1"/>
    <x v="3"/>
    <x v="4"/>
    <x v="633"/>
    <x v="3"/>
    <x v="0"/>
    <x v="0"/>
    <x v="1"/>
    <x v="0"/>
    <x v="0"/>
    <x v="0"/>
    <x v="0"/>
  </r>
  <r>
    <x v="1426"/>
    <x v="669"/>
    <x v="652"/>
    <x v="647"/>
    <x v="1131"/>
    <x v="3"/>
    <x v="2"/>
    <x v="651"/>
    <x v="484"/>
    <x v="1"/>
    <x v="2"/>
    <x v="0"/>
    <x v="0"/>
    <x v="1"/>
    <x v="3"/>
    <x v="2"/>
    <x v="1"/>
    <x v="1"/>
    <x v="3"/>
    <x v="1"/>
    <x v="1"/>
    <x v="327"/>
    <x v="2"/>
    <x v="1"/>
    <x v="2"/>
    <x v="663"/>
    <x v="3"/>
    <x v="1"/>
    <x v="13"/>
    <x v="2"/>
    <x v="1"/>
    <x v="827"/>
    <x v="0"/>
    <x v="378"/>
  </r>
  <r>
    <x v="1427"/>
    <x v="670"/>
    <x v="653"/>
    <x v="648"/>
    <x v="1132"/>
    <x v="3"/>
    <x v="2"/>
    <x v="652"/>
    <x v="487"/>
    <x v="1"/>
    <x v="9"/>
    <x v="0"/>
    <x v="0"/>
    <x v="1"/>
    <x v="3"/>
    <x v="3"/>
    <x v="2"/>
    <x v="1"/>
    <x v="2"/>
    <x v="1"/>
    <x v="1"/>
    <x v="327"/>
    <x v="1"/>
    <x v="6"/>
    <x v="2"/>
    <x v="664"/>
    <x v="5"/>
    <x v="3"/>
    <x v="0"/>
    <x v="1"/>
    <x v="0"/>
    <x v="828"/>
    <x v="0"/>
    <x v="241"/>
  </r>
  <r>
    <x v="1428"/>
    <x v="671"/>
    <x v="15"/>
    <x v="15"/>
    <x v="1133"/>
    <x v="1"/>
    <x v="2"/>
    <x v="17"/>
    <x v="488"/>
    <x v="1"/>
    <x v="31"/>
    <x v="0"/>
    <x v="0"/>
    <x v="1"/>
    <x v="2"/>
    <x v="3"/>
    <x v="2"/>
    <x v="1"/>
    <x v="2"/>
    <x v="1"/>
    <x v="1"/>
    <x v="327"/>
    <x v="1"/>
    <x v="1"/>
    <x v="2"/>
    <x v="15"/>
    <x v="14"/>
    <x v="1"/>
    <x v="13"/>
    <x v="2"/>
    <x v="1"/>
    <x v="827"/>
    <x v="0"/>
    <x v="379"/>
  </r>
  <r>
    <x v="1429"/>
    <x v="669"/>
    <x v="652"/>
    <x v="647"/>
    <x v="0"/>
    <x v="3"/>
    <x v="2"/>
    <x v="651"/>
    <x v="484"/>
    <x v="1"/>
    <x v="2"/>
    <x v="0"/>
    <x v="0"/>
    <x v="3"/>
    <x v="3"/>
    <x v="3"/>
    <x v="2"/>
    <x v="1"/>
    <x v="3"/>
    <x v="1"/>
    <x v="1"/>
    <x v="328"/>
    <x v="2"/>
    <x v="3"/>
    <x v="4"/>
    <x v="663"/>
    <x v="14"/>
    <x v="1"/>
    <x v="5"/>
    <x v="1"/>
    <x v="0"/>
    <x v="829"/>
    <x v="0"/>
    <x v="380"/>
  </r>
  <r>
    <x v="1430"/>
    <x v="652"/>
    <x v="637"/>
    <x v="632"/>
    <x v="1134"/>
    <x v="1"/>
    <x v="2"/>
    <x v="635"/>
    <x v="10"/>
    <x v="1"/>
    <x v="31"/>
    <x v="0"/>
    <x v="0"/>
    <x v="1"/>
    <x v="2"/>
    <x v="3"/>
    <x v="2"/>
    <x v="1"/>
    <x v="2"/>
    <x v="1"/>
    <x v="1"/>
    <x v="327"/>
    <x v="1"/>
    <x v="1"/>
    <x v="2"/>
    <x v="658"/>
    <x v="14"/>
    <x v="1"/>
    <x v="1"/>
    <x v="1"/>
    <x v="0"/>
    <x v="830"/>
    <x v="411"/>
    <x v="381"/>
  </r>
  <r>
    <x v="1431"/>
    <x v="672"/>
    <x v="654"/>
    <x v="649"/>
    <x v="1135"/>
    <x v="3"/>
    <x v="2"/>
    <x v="653"/>
    <x v="10"/>
    <x v="1"/>
    <x v="1"/>
    <x v="0"/>
    <x v="0"/>
    <x v="1"/>
    <x v="2"/>
    <x v="3"/>
    <x v="2"/>
    <x v="1"/>
    <x v="2"/>
    <x v="1"/>
    <x v="1"/>
    <x v="328"/>
    <x v="1"/>
    <x v="1"/>
    <x v="2"/>
    <x v="665"/>
    <x v="14"/>
    <x v="3"/>
    <x v="0"/>
    <x v="1"/>
    <x v="0"/>
    <x v="831"/>
    <x v="412"/>
    <x v="0"/>
  </r>
  <r>
    <x v="1432"/>
    <x v="652"/>
    <x v="637"/>
    <x v="632"/>
    <x v="0"/>
    <x v="1"/>
    <x v="2"/>
    <x v="635"/>
    <x v="10"/>
    <x v="1"/>
    <x v="31"/>
    <x v="0"/>
    <x v="0"/>
    <x v="3"/>
    <x v="4"/>
    <x v="1"/>
    <x v="2"/>
    <x v="1"/>
    <x v="2"/>
    <x v="1"/>
    <x v="1"/>
    <x v="328"/>
    <x v="2"/>
    <x v="3"/>
    <x v="4"/>
    <x v="658"/>
    <x v="5"/>
    <x v="1"/>
    <x v="4"/>
    <x v="2"/>
    <x v="1"/>
    <x v="832"/>
    <x v="413"/>
    <x v="0"/>
  </r>
  <r>
    <x v="1433"/>
    <x v="671"/>
    <x v="15"/>
    <x v="15"/>
    <x v="0"/>
    <x v="1"/>
    <x v="2"/>
    <x v="17"/>
    <x v="488"/>
    <x v="1"/>
    <x v="31"/>
    <x v="0"/>
    <x v="0"/>
    <x v="3"/>
    <x v="4"/>
    <x v="3"/>
    <x v="2"/>
    <x v="1"/>
    <x v="2"/>
    <x v="1"/>
    <x v="1"/>
    <x v="328"/>
    <x v="2"/>
    <x v="3"/>
    <x v="4"/>
    <x v="15"/>
    <x v="14"/>
    <x v="3"/>
    <x v="0"/>
    <x v="1"/>
    <x v="0"/>
    <x v="833"/>
    <x v="414"/>
    <x v="0"/>
  </r>
  <r>
    <x v="1434"/>
    <x v="673"/>
    <x v="655"/>
    <x v="650"/>
    <x v="1136"/>
    <x v="3"/>
    <x v="1"/>
    <x v="654"/>
    <x v="489"/>
    <x v="1"/>
    <x v="274"/>
    <x v="0"/>
    <x v="0"/>
    <x v="1"/>
    <x v="2"/>
    <x v="3"/>
    <x v="2"/>
    <x v="1"/>
    <x v="2"/>
    <x v="1"/>
    <x v="1"/>
    <x v="328"/>
    <x v="2"/>
    <x v="5"/>
    <x v="2"/>
    <x v="666"/>
    <x v="5"/>
    <x v="3"/>
    <x v="0"/>
    <x v="1"/>
    <x v="0"/>
    <x v="834"/>
    <x v="412"/>
    <x v="0"/>
  </r>
  <r>
    <x v="1435"/>
    <x v="669"/>
    <x v="652"/>
    <x v="647"/>
    <x v="0"/>
    <x v="3"/>
    <x v="2"/>
    <x v="651"/>
    <x v="484"/>
    <x v="1"/>
    <x v="2"/>
    <x v="0"/>
    <x v="0"/>
    <x v="3"/>
    <x v="1"/>
    <x v="1"/>
    <x v="2"/>
    <x v="1"/>
    <x v="3"/>
    <x v="1"/>
    <x v="2"/>
    <x v="0"/>
    <x v="2"/>
    <x v="3"/>
    <x v="4"/>
    <x v="663"/>
    <x v="2"/>
    <x v="0"/>
    <x v="0"/>
    <x v="1"/>
    <x v="0"/>
    <x v="0"/>
    <x v="0"/>
    <x v="0"/>
  </r>
  <r>
    <x v="1436"/>
    <x v="674"/>
    <x v="656"/>
    <x v="651"/>
    <x v="1137"/>
    <x v="1"/>
    <x v="1"/>
    <x v="181"/>
    <x v="490"/>
    <x v="1"/>
    <x v="24"/>
    <x v="0"/>
    <x v="0"/>
    <x v="1"/>
    <x v="3"/>
    <x v="2"/>
    <x v="2"/>
    <x v="1"/>
    <x v="3"/>
    <x v="1"/>
    <x v="1"/>
    <x v="329"/>
    <x v="1"/>
    <x v="1"/>
    <x v="2"/>
    <x v="667"/>
    <x v="2"/>
    <x v="1"/>
    <x v="1"/>
    <x v="2"/>
    <x v="1"/>
    <x v="835"/>
    <x v="0"/>
    <x v="0"/>
  </r>
  <r>
    <x v="1437"/>
    <x v="675"/>
    <x v="657"/>
    <x v="652"/>
    <x v="1138"/>
    <x v="1"/>
    <x v="3"/>
    <x v="655"/>
    <x v="491"/>
    <x v="1"/>
    <x v="9"/>
    <x v="0"/>
    <x v="0"/>
    <x v="1"/>
    <x v="3"/>
    <x v="3"/>
    <x v="1"/>
    <x v="2"/>
    <x v="1"/>
    <x v="1"/>
    <x v="1"/>
    <x v="329"/>
    <x v="1"/>
    <x v="1"/>
    <x v="2"/>
    <x v="668"/>
    <x v="15"/>
    <x v="1"/>
    <x v="1"/>
    <x v="2"/>
    <x v="1"/>
    <x v="836"/>
    <x v="0"/>
    <x v="382"/>
  </r>
  <r>
    <x v="1438"/>
    <x v="652"/>
    <x v="637"/>
    <x v="632"/>
    <x v="1139"/>
    <x v="1"/>
    <x v="2"/>
    <x v="635"/>
    <x v="10"/>
    <x v="1"/>
    <x v="31"/>
    <x v="0"/>
    <x v="0"/>
    <x v="3"/>
    <x v="1"/>
    <x v="1"/>
    <x v="2"/>
    <x v="1"/>
    <x v="2"/>
    <x v="4"/>
    <x v="2"/>
    <x v="0"/>
    <x v="1"/>
    <x v="3"/>
    <x v="4"/>
    <x v="658"/>
    <x v="1"/>
    <x v="0"/>
    <x v="0"/>
    <x v="1"/>
    <x v="0"/>
    <x v="0"/>
    <x v="0"/>
    <x v="0"/>
  </r>
  <r>
    <x v="1439"/>
    <x v="458"/>
    <x v="454"/>
    <x v="448"/>
    <x v="1140"/>
    <x v="1"/>
    <x v="2"/>
    <x v="463"/>
    <x v="492"/>
    <x v="1"/>
    <x v="275"/>
    <x v="0"/>
    <x v="0"/>
    <x v="1"/>
    <x v="1"/>
    <x v="1"/>
    <x v="2"/>
    <x v="1"/>
    <x v="2"/>
    <x v="1"/>
    <x v="2"/>
    <x v="0"/>
    <x v="1"/>
    <x v="1"/>
    <x v="2"/>
    <x v="456"/>
    <x v="12"/>
    <x v="0"/>
    <x v="0"/>
    <x v="1"/>
    <x v="0"/>
    <x v="0"/>
    <x v="0"/>
    <x v="0"/>
  </r>
  <r>
    <x v="1440"/>
    <x v="676"/>
    <x v="658"/>
    <x v="653"/>
    <x v="1141"/>
    <x v="1"/>
    <x v="2"/>
    <x v="656"/>
    <x v="493"/>
    <x v="1"/>
    <x v="9"/>
    <x v="0"/>
    <x v="0"/>
    <x v="1"/>
    <x v="3"/>
    <x v="3"/>
    <x v="2"/>
    <x v="1"/>
    <x v="1"/>
    <x v="1"/>
    <x v="1"/>
    <x v="329"/>
    <x v="1"/>
    <x v="1"/>
    <x v="2"/>
    <x v="669"/>
    <x v="1"/>
    <x v="3"/>
    <x v="0"/>
    <x v="1"/>
    <x v="0"/>
    <x v="837"/>
    <x v="0"/>
    <x v="0"/>
  </r>
  <r>
    <x v="1441"/>
    <x v="674"/>
    <x v="656"/>
    <x v="651"/>
    <x v="1142"/>
    <x v="1"/>
    <x v="1"/>
    <x v="181"/>
    <x v="490"/>
    <x v="1"/>
    <x v="24"/>
    <x v="0"/>
    <x v="0"/>
    <x v="3"/>
    <x v="1"/>
    <x v="1"/>
    <x v="2"/>
    <x v="1"/>
    <x v="2"/>
    <x v="1"/>
    <x v="2"/>
    <x v="0"/>
    <x v="1"/>
    <x v="3"/>
    <x v="4"/>
    <x v="667"/>
    <x v="5"/>
    <x v="0"/>
    <x v="0"/>
    <x v="1"/>
    <x v="0"/>
    <x v="0"/>
    <x v="0"/>
    <x v="0"/>
  </r>
  <r>
    <x v="1442"/>
    <x v="677"/>
    <x v="657"/>
    <x v="652"/>
    <x v="1143"/>
    <x v="1"/>
    <x v="3"/>
    <x v="655"/>
    <x v="491"/>
    <x v="1"/>
    <x v="9"/>
    <x v="0"/>
    <x v="0"/>
    <x v="3"/>
    <x v="3"/>
    <x v="3"/>
    <x v="2"/>
    <x v="1"/>
    <x v="2"/>
    <x v="1"/>
    <x v="1"/>
    <x v="330"/>
    <x v="2"/>
    <x v="3"/>
    <x v="4"/>
    <x v="668"/>
    <x v="5"/>
    <x v="3"/>
    <x v="0"/>
    <x v="1"/>
    <x v="0"/>
    <x v="838"/>
    <x v="415"/>
    <x v="0"/>
  </r>
  <r>
    <x v="1443"/>
    <x v="678"/>
    <x v="659"/>
    <x v="654"/>
    <x v="1144"/>
    <x v="1"/>
    <x v="2"/>
    <x v="657"/>
    <x v="10"/>
    <x v="1"/>
    <x v="4"/>
    <x v="0"/>
    <x v="0"/>
    <x v="1"/>
    <x v="1"/>
    <x v="1"/>
    <x v="2"/>
    <x v="1"/>
    <x v="2"/>
    <x v="1"/>
    <x v="1"/>
    <x v="330"/>
    <x v="1"/>
    <x v="6"/>
    <x v="3"/>
    <x v="670"/>
    <x v="14"/>
    <x v="1"/>
    <x v="13"/>
    <x v="2"/>
    <x v="1"/>
    <x v="839"/>
    <x v="0"/>
    <x v="0"/>
  </r>
  <r>
    <x v="1444"/>
    <x v="678"/>
    <x v="659"/>
    <x v="654"/>
    <x v="1145"/>
    <x v="1"/>
    <x v="2"/>
    <x v="657"/>
    <x v="10"/>
    <x v="1"/>
    <x v="4"/>
    <x v="0"/>
    <x v="0"/>
    <x v="3"/>
    <x v="2"/>
    <x v="3"/>
    <x v="2"/>
    <x v="1"/>
    <x v="2"/>
    <x v="1"/>
    <x v="1"/>
    <x v="331"/>
    <x v="1"/>
    <x v="3"/>
    <x v="4"/>
    <x v="670"/>
    <x v="14"/>
    <x v="1"/>
    <x v="4"/>
    <x v="2"/>
    <x v="1"/>
    <x v="840"/>
    <x v="416"/>
    <x v="0"/>
  </r>
  <r>
    <x v="1445"/>
    <x v="679"/>
    <x v="660"/>
    <x v="655"/>
    <x v="1146"/>
    <x v="1"/>
    <x v="2"/>
    <x v="658"/>
    <x v="494"/>
    <x v="1"/>
    <x v="276"/>
    <x v="0"/>
    <x v="0"/>
    <x v="1"/>
    <x v="1"/>
    <x v="1"/>
    <x v="2"/>
    <x v="1"/>
    <x v="3"/>
    <x v="1"/>
    <x v="1"/>
    <x v="332"/>
    <x v="1"/>
    <x v="1"/>
    <x v="2"/>
    <x v="671"/>
    <x v="12"/>
    <x v="1"/>
    <x v="14"/>
    <x v="1"/>
    <x v="0"/>
    <x v="841"/>
    <x v="0"/>
    <x v="383"/>
  </r>
  <r>
    <x v="1446"/>
    <x v="678"/>
    <x v="659"/>
    <x v="654"/>
    <x v="0"/>
    <x v="1"/>
    <x v="2"/>
    <x v="657"/>
    <x v="495"/>
    <x v="1"/>
    <x v="4"/>
    <x v="0"/>
    <x v="0"/>
    <x v="3"/>
    <x v="1"/>
    <x v="1"/>
    <x v="2"/>
    <x v="1"/>
    <x v="2"/>
    <x v="1"/>
    <x v="2"/>
    <x v="0"/>
    <x v="2"/>
    <x v="3"/>
    <x v="4"/>
    <x v="670"/>
    <x v="1"/>
    <x v="0"/>
    <x v="0"/>
    <x v="1"/>
    <x v="0"/>
    <x v="0"/>
    <x v="0"/>
    <x v="0"/>
  </r>
  <r>
    <x v="1447"/>
    <x v="614"/>
    <x v="599"/>
    <x v="592"/>
    <x v="1147"/>
    <x v="1"/>
    <x v="2"/>
    <x v="40"/>
    <x v="496"/>
    <x v="1"/>
    <x v="277"/>
    <x v="0"/>
    <x v="0"/>
    <x v="1"/>
    <x v="1"/>
    <x v="1"/>
    <x v="2"/>
    <x v="1"/>
    <x v="3"/>
    <x v="4"/>
    <x v="2"/>
    <x v="0"/>
    <x v="1"/>
    <x v="1"/>
    <x v="2"/>
    <x v="608"/>
    <x v="2"/>
    <x v="0"/>
    <x v="0"/>
    <x v="1"/>
    <x v="0"/>
    <x v="0"/>
    <x v="0"/>
    <x v="0"/>
  </r>
  <r>
    <x v="1448"/>
    <x v="438"/>
    <x v="434"/>
    <x v="429"/>
    <x v="1148"/>
    <x v="1"/>
    <x v="2"/>
    <x v="444"/>
    <x v="460"/>
    <x v="1"/>
    <x v="15"/>
    <x v="0"/>
    <x v="0"/>
    <x v="1"/>
    <x v="1"/>
    <x v="1"/>
    <x v="2"/>
    <x v="1"/>
    <x v="2"/>
    <x v="1"/>
    <x v="1"/>
    <x v="333"/>
    <x v="2"/>
    <x v="1"/>
    <x v="2"/>
    <x v="437"/>
    <x v="15"/>
    <x v="1"/>
    <x v="14"/>
    <x v="2"/>
    <x v="1"/>
    <x v="842"/>
    <x v="0"/>
    <x v="194"/>
  </r>
  <r>
    <x v="1449"/>
    <x v="438"/>
    <x v="434"/>
    <x v="429"/>
    <x v="1149"/>
    <x v="1"/>
    <x v="2"/>
    <x v="444"/>
    <x v="460"/>
    <x v="1"/>
    <x v="15"/>
    <x v="0"/>
    <x v="0"/>
    <x v="3"/>
    <x v="1"/>
    <x v="1"/>
    <x v="2"/>
    <x v="1"/>
    <x v="2"/>
    <x v="3"/>
    <x v="2"/>
    <x v="0"/>
    <x v="2"/>
    <x v="1"/>
    <x v="2"/>
    <x v="437"/>
    <x v="15"/>
    <x v="0"/>
    <x v="0"/>
    <x v="1"/>
    <x v="0"/>
    <x v="0"/>
    <x v="0"/>
    <x v="0"/>
  </r>
  <r>
    <x v="1450"/>
    <x v="438"/>
    <x v="434"/>
    <x v="429"/>
    <x v="1150"/>
    <x v="1"/>
    <x v="2"/>
    <x v="444"/>
    <x v="460"/>
    <x v="1"/>
    <x v="22"/>
    <x v="0"/>
    <x v="0"/>
    <x v="1"/>
    <x v="1"/>
    <x v="1"/>
    <x v="1"/>
    <x v="1"/>
    <x v="2"/>
    <x v="1"/>
    <x v="1"/>
    <x v="334"/>
    <x v="2"/>
    <x v="1"/>
    <x v="2"/>
    <x v="437"/>
    <x v="17"/>
    <x v="3"/>
    <x v="0"/>
    <x v="1"/>
    <x v="0"/>
    <x v="843"/>
    <x v="417"/>
    <x v="0"/>
  </r>
  <r>
    <x v="1451"/>
    <x v="680"/>
    <x v="661"/>
    <x v="656"/>
    <x v="1151"/>
    <x v="1"/>
    <x v="3"/>
    <x v="659"/>
    <x v="497"/>
    <x v="1"/>
    <x v="36"/>
    <x v="0"/>
    <x v="0"/>
    <x v="1"/>
    <x v="3"/>
    <x v="2"/>
    <x v="2"/>
    <x v="1"/>
    <x v="3"/>
    <x v="1"/>
    <x v="1"/>
    <x v="335"/>
    <x v="1"/>
    <x v="1"/>
    <x v="2"/>
    <x v="672"/>
    <x v="5"/>
    <x v="1"/>
    <x v="1"/>
    <x v="1"/>
    <x v="0"/>
    <x v="844"/>
    <x v="0"/>
    <x v="0"/>
  </r>
  <r>
    <x v="1452"/>
    <x v="681"/>
    <x v="662"/>
    <x v="657"/>
    <x v="1152"/>
    <x v="1"/>
    <x v="2"/>
    <x v="660"/>
    <x v="10"/>
    <x v="1"/>
    <x v="278"/>
    <x v="0"/>
    <x v="0"/>
    <x v="1"/>
    <x v="2"/>
    <x v="3"/>
    <x v="1"/>
    <x v="1"/>
    <x v="2"/>
    <x v="1"/>
    <x v="1"/>
    <x v="336"/>
    <x v="1"/>
    <x v="1"/>
    <x v="2"/>
    <x v="673"/>
    <x v="2"/>
    <x v="1"/>
    <x v="13"/>
    <x v="2"/>
    <x v="1"/>
    <x v="845"/>
    <x v="0"/>
    <x v="0"/>
  </r>
  <r>
    <x v="1453"/>
    <x v="682"/>
    <x v="663"/>
    <x v="658"/>
    <x v="1153"/>
    <x v="1"/>
    <x v="1"/>
    <x v="661"/>
    <x v="498"/>
    <x v="1"/>
    <x v="279"/>
    <x v="0"/>
    <x v="0"/>
    <x v="1"/>
    <x v="1"/>
    <x v="1"/>
    <x v="2"/>
    <x v="1"/>
    <x v="2"/>
    <x v="4"/>
    <x v="1"/>
    <x v="336"/>
    <x v="1"/>
    <x v="1"/>
    <x v="2"/>
    <x v="674"/>
    <x v="5"/>
    <x v="3"/>
    <x v="0"/>
    <x v="1"/>
    <x v="0"/>
    <x v="846"/>
    <x v="418"/>
    <x v="0"/>
  </r>
  <r>
    <x v="1454"/>
    <x v="680"/>
    <x v="661"/>
    <x v="656"/>
    <x v="0"/>
    <x v="1"/>
    <x v="3"/>
    <x v="659"/>
    <x v="497"/>
    <x v="1"/>
    <x v="36"/>
    <x v="0"/>
    <x v="0"/>
    <x v="3"/>
    <x v="1"/>
    <x v="1"/>
    <x v="1"/>
    <x v="1"/>
    <x v="2"/>
    <x v="1"/>
    <x v="1"/>
    <x v="332"/>
    <x v="2"/>
    <x v="3"/>
    <x v="4"/>
    <x v="672"/>
    <x v="5"/>
    <x v="1"/>
    <x v="1"/>
    <x v="2"/>
    <x v="1"/>
    <x v="847"/>
    <x v="0"/>
    <x v="0"/>
  </r>
  <r>
    <x v="1455"/>
    <x v="683"/>
    <x v="664"/>
    <x v="659"/>
    <x v="1154"/>
    <x v="3"/>
    <x v="2"/>
    <x v="281"/>
    <x v="475"/>
    <x v="1"/>
    <x v="280"/>
    <x v="0"/>
    <x v="0"/>
    <x v="1"/>
    <x v="1"/>
    <x v="1"/>
    <x v="1"/>
    <x v="1"/>
    <x v="3"/>
    <x v="1"/>
    <x v="1"/>
    <x v="336"/>
    <x v="1"/>
    <x v="5"/>
    <x v="2"/>
    <x v="675"/>
    <x v="17"/>
    <x v="3"/>
    <x v="0"/>
    <x v="1"/>
    <x v="0"/>
    <x v="848"/>
    <x v="419"/>
    <x v="384"/>
  </r>
  <r>
    <x v="1456"/>
    <x v="684"/>
    <x v="665"/>
    <x v="660"/>
    <x v="1155"/>
    <x v="3"/>
    <x v="1"/>
    <x v="662"/>
    <x v="440"/>
    <x v="6"/>
    <x v="0"/>
    <x v="0"/>
    <x v="30"/>
    <x v="1"/>
    <x v="2"/>
    <x v="3"/>
    <x v="1"/>
    <x v="1"/>
    <x v="2"/>
    <x v="5"/>
    <x v="1"/>
    <x v="336"/>
    <x v="1"/>
    <x v="5"/>
    <x v="2"/>
    <x v="676"/>
    <x v="5"/>
    <x v="1"/>
    <x v="4"/>
    <x v="1"/>
    <x v="0"/>
    <x v="849"/>
    <x v="0"/>
    <x v="0"/>
  </r>
  <r>
    <x v="1457"/>
    <x v="685"/>
    <x v="666"/>
    <x v="661"/>
    <x v="1156"/>
    <x v="1"/>
    <x v="1"/>
    <x v="663"/>
    <x v="10"/>
    <x v="1"/>
    <x v="281"/>
    <x v="0"/>
    <x v="0"/>
    <x v="1"/>
    <x v="1"/>
    <x v="1"/>
    <x v="1"/>
    <x v="1"/>
    <x v="2"/>
    <x v="1"/>
    <x v="2"/>
    <x v="0"/>
    <x v="1"/>
    <x v="5"/>
    <x v="2"/>
    <x v="677"/>
    <x v="17"/>
    <x v="0"/>
    <x v="0"/>
    <x v="1"/>
    <x v="0"/>
    <x v="0"/>
    <x v="0"/>
    <x v="0"/>
  </r>
  <r>
    <x v="1458"/>
    <x v="686"/>
    <x v="667"/>
    <x v="662"/>
    <x v="1157"/>
    <x v="1"/>
    <x v="1"/>
    <x v="664"/>
    <x v="499"/>
    <x v="1"/>
    <x v="15"/>
    <x v="0"/>
    <x v="0"/>
    <x v="1"/>
    <x v="1"/>
    <x v="1"/>
    <x v="1"/>
    <x v="1"/>
    <x v="2"/>
    <x v="1"/>
    <x v="1"/>
    <x v="336"/>
    <x v="1"/>
    <x v="5"/>
    <x v="2"/>
    <x v="678"/>
    <x v="5"/>
    <x v="1"/>
    <x v="1"/>
    <x v="1"/>
    <x v="0"/>
    <x v="850"/>
    <x v="0"/>
    <x v="194"/>
  </r>
  <r>
    <x v="1459"/>
    <x v="681"/>
    <x v="662"/>
    <x v="657"/>
    <x v="0"/>
    <x v="1"/>
    <x v="2"/>
    <x v="660"/>
    <x v="500"/>
    <x v="1"/>
    <x v="282"/>
    <x v="0"/>
    <x v="0"/>
    <x v="3"/>
    <x v="4"/>
    <x v="1"/>
    <x v="2"/>
    <x v="1"/>
    <x v="2"/>
    <x v="1"/>
    <x v="2"/>
    <x v="0"/>
    <x v="2"/>
    <x v="3"/>
    <x v="4"/>
    <x v="673"/>
    <x v="14"/>
    <x v="0"/>
    <x v="0"/>
    <x v="1"/>
    <x v="0"/>
    <x v="0"/>
    <x v="0"/>
    <x v="0"/>
  </r>
  <r>
    <x v="1460"/>
    <x v="687"/>
    <x v="668"/>
    <x v="663"/>
    <x v="1158"/>
    <x v="1"/>
    <x v="1"/>
    <x v="665"/>
    <x v="455"/>
    <x v="1"/>
    <x v="2"/>
    <x v="0"/>
    <x v="0"/>
    <x v="1"/>
    <x v="3"/>
    <x v="2"/>
    <x v="2"/>
    <x v="1"/>
    <x v="2"/>
    <x v="5"/>
    <x v="1"/>
    <x v="336"/>
    <x v="1"/>
    <x v="2"/>
    <x v="2"/>
    <x v="679"/>
    <x v="5"/>
    <x v="1"/>
    <x v="1"/>
    <x v="1"/>
    <x v="0"/>
    <x v="851"/>
    <x v="0"/>
    <x v="0"/>
  </r>
  <r>
    <x v="1461"/>
    <x v="688"/>
    <x v="669"/>
    <x v="664"/>
    <x v="1159"/>
    <x v="1"/>
    <x v="2"/>
    <x v="666"/>
    <x v="501"/>
    <x v="1"/>
    <x v="15"/>
    <x v="0"/>
    <x v="0"/>
    <x v="1"/>
    <x v="1"/>
    <x v="1"/>
    <x v="1"/>
    <x v="1"/>
    <x v="1"/>
    <x v="1"/>
    <x v="1"/>
    <x v="337"/>
    <x v="1"/>
    <x v="1"/>
    <x v="2"/>
    <x v="680"/>
    <x v="14"/>
    <x v="3"/>
    <x v="0"/>
    <x v="1"/>
    <x v="0"/>
    <x v="852"/>
    <x v="420"/>
    <x v="0"/>
  </r>
  <r>
    <x v="1462"/>
    <x v="684"/>
    <x v="665"/>
    <x v="660"/>
    <x v="0"/>
    <x v="3"/>
    <x v="1"/>
    <x v="662"/>
    <x v="196"/>
    <x v="6"/>
    <x v="0"/>
    <x v="0"/>
    <x v="31"/>
    <x v="3"/>
    <x v="1"/>
    <x v="1"/>
    <x v="1"/>
    <x v="1"/>
    <x v="2"/>
    <x v="5"/>
    <x v="2"/>
    <x v="0"/>
    <x v="2"/>
    <x v="3"/>
    <x v="4"/>
    <x v="676"/>
    <x v="1"/>
    <x v="0"/>
    <x v="0"/>
    <x v="1"/>
    <x v="0"/>
    <x v="0"/>
    <x v="0"/>
    <x v="0"/>
  </r>
  <r>
    <x v="1463"/>
    <x v="689"/>
    <x v="670"/>
    <x v="665"/>
    <x v="1160"/>
    <x v="1"/>
    <x v="2"/>
    <x v="667"/>
    <x v="502"/>
    <x v="1"/>
    <x v="15"/>
    <x v="0"/>
    <x v="0"/>
    <x v="1"/>
    <x v="1"/>
    <x v="1"/>
    <x v="2"/>
    <x v="2"/>
    <x v="1"/>
    <x v="1"/>
    <x v="1"/>
    <x v="337"/>
    <x v="1"/>
    <x v="1"/>
    <x v="2"/>
    <x v="681"/>
    <x v="14"/>
    <x v="1"/>
    <x v="7"/>
    <x v="1"/>
    <x v="0"/>
    <x v="853"/>
    <x v="0"/>
    <x v="0"/>
  </r>
  <r>
    <x v="1464"/>
    <x v="687"/>
    <x v="668"/>
    <x v="663"/>
    <x v="0"/>
    <x v="1"/>
    <x v="1"/>
    <x v="665"/>
    <x v="455"/>
    <x v="1"/>
    <x v="2"/>
    <x v="0"/>
    <x v="0"/>
    <x v="3"/>
    <x v="1"/>
    <x v="1"/>
    <x v="2"/>
    <x v="1"/>
    <x v="2"/>
    <x v="1"/>
    <x v="2"/>
    <x v="0"/>
    <x v="2"/>
    <x v="3"/>
    <x v="4"/>
    <x v="679"/>
    <x v="5"/>
    <x v="0"/>
    <x v="0"/>
    <x v="1"/>
    <x v="0"/>
    <x v="0"/>
    <x v="0"/>
    <x v="0"/>
  </r>
  <r>
    <x v="1465"/>
    <x v="686"/>
    <x v="667"/>
    <x v="662"/>
    <x v="0"/>
    <x v="1"/>
    <x v="1"/>
    <x v="664"/>
    <x v="298"/>
    <x v="1"/>
    <x v="15"/>
    <x v="0"/>
    <x v="0"/>
    <x v="3"/>
    <x v="1"/>
    <x v="1"/>
    <x v="2"/>
    <x v="1"/>
    <x v="1"/>
    <x v="1"/>
    <x v="2"/>
    <x v="0"/>
    <x v="2"/>
    <x v="3"/>
    <x v="4"/>
    <x v="678"/>
    <x v="5"/>
    <x v="0"/>
    <x v="0"/>
    <x v="1"/>
    <x v="0"/>
    <x v="0"/>
    <x v="0"/>
    <x v="0"/>
  </r>
  <r>
    <x v="1466"/>
    <x v="690"/>
    <x v="671"/>
    <x v="666"/>
    <x v="1161"/>
    <x v="1"/>
    <x v="2"/>
    <x v="668"/>
    <x v="268"/>
    <x v="1"/>
    <x v="283"/>
    <x v="0"/>
    <x v="0"/>
    <x v="1"/>
    <x v="1"/>
    <x v="1"/>
    <x v="2"/>
    <x v="1"/>
    <x v="2"/>
    <x v="1"/>
    <x v="2"/>
    <x v="0"/>
    <x v="1"/>
    <x v="1"/>
    <x v="2"/>
    <x v="682"/>
    <x v="14"/>
    <x v="0"/>
    <x v="0"/>
    <x v="1"/>
    <x v="0"/>
    <x v="0"/>
    <x v="0"/>
    <x v="0"/>
  </r>
  <r>
    <x v="1467"/>
    <x v="689"/>
    <x v="670"/>
    <x v="665"/>
    <x v="0"/>
    <x v="1"/>
    <x v="2"/>
    <x v="667"/>
    <x v="503"/>
    <x v="1"/>
    <x v="15"/>
    <x v="0"/>
    <x v="0"/>
    <x v="3"/>
    <x v="1"/>
    <x v="1"/>
    <x v="2"/>
    <x v="1"/>
    <x v="2"/>
    <x v="1"/>
    <x v="2"/>
    <x v="0"/>
    <x v="2"/>
    <x v="3"/>
    <x v="4"/>
    <x v="681"/>
    <x v="12"/>
    <x v="0"/>
    <x v="0"/>
    <x v="1"/>
    <x v="0"/>
    <x v="0"/>
    <x v="0"/>
    <x v="0"/>
  </r>
  <r>
    <x v="1468"/>
    <x v="691"/>
    <x v="672"/>
    <x v="667"/>
    <x v="1162"/>
    <x v="3"/>
    <x v="2"/>
    <x v="243"/>
    <x v="280"/>
    <x v="1"/>
    <x v="3"/>
    <x v="0"/>
    <x v="0"/>
    <x v="1"/>
    <x v="1"/>
    <x v="1"/>
    <x v="2"/>
    <x v="1"/>
    <x v="2"/>
    <x v="1"/>
    <x v="2"/>
    <x v="0"/>
    <x v="1"/>
    <x v="1"/>
    <x v="2"/>
    <x v="683"/>
    <x v="12"/>
    <x v="0"/>
    <x v="0"/>
    <x v="1"/>
    <x v="0"/>
    <x v="0"/>
    <x v="0"/>
    <x v="0"/>
  </r>
  <r>
    <x v="1469"/>
    <x v="692"/>
    <x v="673"/>
    <x v="668"/>
    <x v="1163"/>
    <x v="1"/>
    <x v="2"/>
    <x v="669"/>
    <x v="504"/>
    <x v="1"/>
    <x v="284"/>
    <x v="0"/>
    <x v="0"/>
    <x v="1"/>
    <x v="3"/>
    <x v="2"/>
    <x v="2"/>
    <x v="1"/>
    <x v="1"/>
    <x v="1"/>
    <x v="1"/>
    <x v="338"/>
    <x v="1"/>
    <x v="1"/>
    <x v="2"/>
    <x v="684"/>
    <x v="15"/>
    <x v="1"/>
    <x v="14"/>
    <x v="1"/>
    <x v="0"/>
    <x v="854"/>
    <x v="0"/>
    <x v="308"/>
  </r>
  <r>
    <x v="1470"/>
    <x v="435"/>
    <x v="432"/>
    <x v="427"/>
    <x v="1164"/>
    <x v="1"/>
    <x v="2"/>
    <x v="442"/>
    <x v="505"/>
    <x v="1"/>
    <x v="285"/>
    <x v="0"/>
    <x v="0"/>
    <x v="1"/>
    <x v="1"/>
    <x v="1"/>
    <x v="2"/>
    <x v="1"/>
    <x v="2"/>
    <x v="1"/>
    <x v="2"/>
    <x v="0"/>
    <x v="1"/>
    <x v="5"/>
    <x v="2"/>
    <x v="435"/>
    <x v="12"/>
    <x v="0"/>
    <x v="0"/>
    <x v="1"/>
    <x v="0"/>
    <x v="0"/>
    <x v="0"/>
    <x v="0"/>
  </r>
  <r>
    <x v="1471"/>
    <x v="655"/>
    <x v="639"/>
    <x v="634"/>
    <x v="1165"/>
    <x v="1"/>
    <x v="2"/>
    <x v="636"/>
    <x v="506"/>
    <x v="1"/>
    <x v="9"/>
    <x v="0"/>
    <x v="0"/>
    <x v="1"/>
    <x v="3"/>
    <x v="3"/>
    <x v="2"/>
    <x v="1"/>
    <x v="2"/>
    <x v="1"/>
    <x v="1"/>
    <x v="339"/>
    <x v="1"/>
    <x v="6"/>
    <x v="3"/>
    <x v="649"/>
    <x v="14"/>
    <x v="1"/>
    <x v="4"/>
    <x v="1"/>
    <x v="0"/>
    <x v="855"/>
    <x v="0"/>
    <x v="0"/>
  </r>
  <r>
    <x v="1472"/>
    <x v="693"/>
    <x v="674"/>
    <x v="669"/>
    <x v="1166"/>
    <x v="1"/>
    <x v="2"/>
    <x v="670"/>
    <x v="302"/>
    <x v="2"/>
    <x v="0"/>
    <x v="2"/>
    <x v="0"/>
    <x v="1"/>
    <x v="1"/>
    <x v="1"/>
    <x v="2"/>
    <x v="1"/>
    <x v="2"/>
    <x v="1"/>
    <x v="1"/>
    <x v="339"/>
    <x v="1"/>
    <x v="6"/>
    <x v="3"/>
    <x v="685"/>
    <x v="14"/>
    <x v="1"/>
    <x v="4"/>
    <x v="2"/>
    <x v="1"/>
    <x v="856"/>
    <x v="421"/>
    <x v="0"/>
  </r>
  <r>
    <x v="1473"/>
    <x v="694"/>
    <x v="675"/>
    <x v="670"/>
    <x v="1167"/>
    <x v="1"/>
    <x v="2"/>
    <x v="671"/>
    <x v="10"/>
    <x v="1"/>
    <x v="22"/>
    <x v="0"/>
    <x v="0"/>
    <x v="1"/>
    <x v="1"/>
    <x v="2"/>
    <x v="1"/>
    <x v="1"/>
    <x v="2"/>
    <x v="4"/>
    <x v="1"/>
    <x v="338"/>
    <x v="1"/>
    <x v="6"/>
    <x v="3"/>
    <x v="686"/>
    <x v="14"/>
    <x v="3"/>
    <x v="0"/>
    <x v="1"/>
    <x v="0"/>
    <x v="857"/>
    <x v="422"/>
    <x v="385"/>
  </r>
  <r>
    <x v="1474"/>
    <x v="655"/>
    <x v="639"/>
    <x v="634"/>
    <x v="0"/>
    <x v="1"/>
    <x v="2"/>
    <x v="636"/>
    <x v="506"/>
    <x v="1"/>
    <x v="9"/>
    <x v="0"/>
    <x v="0"/>
    <x v="3"/>
    <x v="4"/>
    <x v="1"/>
    <x v="2"/>
    <x v="1"/>
    <x v="2"/>
    <x v="1"/>
    <x v="2"/>
    <x v="0"/>
    <x v="2"/>
    <x v="3"/>
    <x v="4"/>
    <x v="649"/>
    <x v="1"/>
    <x v="0"/>
    <x v="0"/>
    <x v="1"/>
    <x v="0"/>
    <x v="0"/>
    <x v="0"/>
    <x v="0"/>
  </r>
  <r>
    <x v="1475"/>
    <x v="695"/>
    <x v="676"/>
    <x v="671"/>
    <x v="1168"/>
    <x v="1"/>
    <x v="1"/>
    <x v="672"/>
    <x v="389"/>
    <x v="1"/>
    <x v="286"/>
    <x v="0"/>
    <x v="0"/>
    <x v="1"/>
    <x v="1"/>
    <x v="1"/>
    <x v="2"/>
    <x v="1"/>
    <x v="2"/>
    <x v="1"/>
    <x v="1"/>
    <x v="338"/>
    <x v="1"/>
    <x v="5"/>
    <x v="2"/>
    <x v="687"/>
    <x v="12"/>
    <x v="1"/>
    <x v="7"/>
    <x v="2"/>
    <x v="1"/>
    <x v="858"/>
    <x v="0"/>
    <x v="386"/>
  </r>
  <r>
    <x v="1476"/>
    <x v="696"/>
    <x v="677"/>
    <x v="672"/>
    <x v="1169"/>
    <x v="1"/>
    <x v="2"/>
    <x v="673"/>
    <x v="507"/>
    <x v="1"/>
    <x v="31"/>
    <x v="0"/>
    <x v="0"/>
    <x v="1"/>
    <x v="1"/>
    <x v="1"/>
    <x v="2"/>
    <x v="1"/>
    <x v="3"/>
    <x v="1"/>
    <x v="2"/>
    <x v="0"/>
    <x v="1"/>
    <x v="1"/>
    <x v="2"/>
    <x v="688"/>
    <x v="3"/>
    <x v="0"/>
    <x v="0"/>
    <x v="1"/>
    <x v="0"/>
    <x v="0"/>
    <x v="0"/>
    <x v="0"/>
  </r>
  <r>
    <x v="1477"/>
    <x v="697"/>
    <x v="678"/>
    <x v="673"/>
    <x v="1170"/>
    <x v="1"/>
    <x v="2"/>
    <x v="674"/>
    <x v="318"/>
    <x v="1"/>
    <x v="287"/>
    <x v="0"/>
    <x v="0"/>
    <x v="1"/>
    <x v="1"/>
    <x v="1"/>
    <x v="2"/>
    <x v="1"/>
    <x v="2"/>
    <x v="1"/>
    <x v="2"/>
    <x v="0"/>
    <x v="1"/>
    <x v="1"/>
    <x v="2"/>
    <x v="689"/>
    <x v="15"/>
    <x v="0"/>
    <x v="0"/>
    <x v="1"/>
    <x v="0"/>
    <x v="0"/>
    <x v="0"/>
    <x v="0"/>
  </r>
  <r>
    <x v="1478"/>
    <x v="695"/>
    <x v="676"/>
    <x v="671"/>
    <x v="1171"/>
    <x v="1"/>
    <x v="1"/>
    <x v="672"/>
    <x v="389"/>
    <x v="1"/>
    <x v="288"/>
    <x v="0"/>
    <x v="0"/>
    <x v="3"/>
    <x v="1"/>
    <x v="1"/>
    <x v="2"/>
    <x v="1"/>
    <x v="2"/>
    <x v="1"/>
    <x v="2"/>
    <x v="0"/>
    <x v="1"/>
    <x v="3"/>
    <x v="4"/>
    <x v="687"/>
    <x v="12"/>
    <x v="0"/>
    <x v="0"/>
    <x v="1"/>
    <x v="0"/>
    <x v="0"/>
    <x v="0"/>
    <x v="0"/>
  </r>
  <r>
    <x v="1479"/>
    <x v="335"/>
    <x v="335"/>
    <x v="330"/>
    <x v="1172"/>
    <x v="1"/>
    <x v="2"/>
    <x v="350"/>
    <x v="269"/>
    <x v="2"/>
    <x v="0"/>
    <x v="6"/>
    <x v="0"/>
    <x v="1"/>
    <x v="3"/>
    <x v="3"/>
    <x v="2"/>
    <x v="1"/>
    <x v="2"/>
    <x v="1"/>
    <x v="1"/>
    <x v="340"/>
    <x v="1"/>
    <x v="1"/>
    <x v="2"/>
    <x v="337"/>
    <x v="12"/>
    <x v="1"/>
    <x v="4"/>
    <x v="2"/>
    <x v="1"/>
    <x v="859"/>
    <x v="0"/>
    <x v="0"/>
  </r>
  <r>
    <x v="1480"/>
    <x v="652"/>
    <x v="637"/>
    <x v="632"/>
    <x v="1173"/>
    <x v="1"/>
    <x v="2"/>
    <x v="635"/>
    <x v="390"/>
    <x v="1"/>
    <x v="289"/>
    <x v="0"/>
    <x v="0"/>
    <x v="1"/>
    <x v="1"/>
    <x v="1"/>
    <x v="2"/>
    <x v="1"/>
    <x v="3"/>
    <x v="1"/>
    <x v="2"/>
    <x v="0"/>
    <x v="1"/>
    <x v="1"/>
    <x v="2"/>
    <x v="658"/>
    <x v="15"/>
    <x v="0"/>
    <x v="0"/>
    <x v="1"/>
    <x v="0"/>
    <x v="0"/>
    <x v="0"/>
    <x v="0"/>
  </r>
  <r>
    <x v="1481"/>
    <x v="692"/>
    <x v="673"/>
    <x v="668"/>
    <x v="0"/>
    <x v="1"/>
    <x v="2"/>
    <x v="669"/>
    <x v="504"/>
    <x v="1"/>
    <x v="284"/>
    <x v="0"/>
    <x v="0"/>
    <x v="3"/>
    <x v="1"/>
    <x v="1"/>
    <x v="2"/>
    <x v="1"/>
    <x v="1"/>
    <x v="1"/>
    <x v="2"/>
    <x v="0"/>
    <x v="2"/>
    <x v="3"/>
    <x v="4"/>
    <x v="684"/>
    <x v="15"/>
    <x v="0"/>
    <x v="0"/>
    <x v="1"/>
    <x v="0"/>
    <x v="0"/>
    <x v="0"/>
    <x v="0"/>
  </r>
  <r>
    <x v="1482"/>
    <x v="693"/>
    <x v="674"/>
    <x v="669"/>
    <x v="1174"/>
    <x v="1"/>
    <x v="2"/>
    <x v="670"/>
    <x v="302"/>
    <x v="2"/>
    <x v="0"/>
    <x v="5"/>
    <x v="0"/>
    <x v="3"/>
    <x v="2"/>
    <x v="3"/>
    <x v="1"/>
    <x v="1"/>
    <x v="2"/>
    <x v="1"/>
    <x v="1"/>
    <x v="340"/>
    <x v="1"/>
    <x v="3"/>
    <x v="4"/>
    <x v="685"/>
    <x v="1"/>
    <x v="3"/>
    <x v="0"/>
    <x v="1"/>
    <x v="0"/>
    <x v="860"/>
    <x v="423"/>
    <x v="0"/>
  </r>
  <r>
    <x v="1483"/>
    <x v="698"/>
    <x v="679"/>
    <x v="674"/>
    <x v="1175"/>
    <x v="1"/>
    <x v="2"/>
    <x v="675"/>
    <x v="508"/>
    <x v="1"/>
    <x v="9"/>
    <x v="0"/>
    <x v="0"/>
    <x v="1"/>
    <x v="1"/>
    <x v="1"/>
    <x v="2"/>
    <x v="1"/>
    <x v="2"/>
    <x v="1"/>
    <x v="2"/>
    <x v="0"/>
    <x v="1"/>
    <x v="5"/>
    <x v="2"/>
    <x v="690"/>
    <x v="12"/>
    <x v="0"/>
    <x v="0"/>
    <x v="1"/>
    <x v="0"/>
    <x v="0"/>
    <x v="0"/>
    <x v="0"/>
  </r>
  <r>
    <x v="1484"/>
    <x v="699"/>
    <x v="633"/>
    <x v="627"/>
    <x v="1176"/>
    <x v="1"/>
    <x v="2"/>
    <x v="631"/>
    <x v="509"/>
    <x v="1"/>
    <x v="9"/>
    <x v="0"/>
    <x v="0"/>
    <x v="1"/>
    <x v="1"/>
    <x v="1"/>
    <x v="2"/>
    <x v="1"/>
    <x v="2"/>
    <x v="1"/>
    <x v="2"/>
    <x v="0"/>
    <x v="1"/>
    <x v="1"/>
    <x v="2"/>
    <x v="643"/>
    <x v="3"/>
    <x v="0"/>
    <x v="0"/>
    <x v="1"/>
    <x v="0"/>
    <x v="0"/>
    <x v="0"/>
    <x v="0"/>
  </r>
  <r>
    <x v="1485"/>
    <x v="700"/>
    <x v="680"/>
    <x v="675"/>
    <x v="1177"/>
    <x v="1"/>
    <x v="2"/>
    <x v="676"/>
    <x v="510"/>
    <x v="1"/>
    <x v="15"/>
    <x v="0"/>
    <x v="0"/>
    <x v="1"/>
    <x v="3"/>
    <x v="3"/>
    <x v="2"/>
    <x v="1"/>
    <x v="2"/>
    <x v="1"/>
    <x v="1"/>
    <x v="340"/>
    <x v="1"/>
    <x v="1"/>
    <x v="2"/>
    <x v="691"/>
    <x v="15"/>
    <x v="1"/>
    <x v="14"/>
    <x v="1"/>
    <x v="0"/>
    <x v="861"/>
    <x v="0"/>
    <x v="387"/>
  </r>
  <r>
    <x v="1486"/>
    <x v="335"/>
    <x v="335"/>
    <x v="330"/>
    <x v="0"/>
    <x v="1"/>
    <x v="2"/>
    <x v="350"/>
    <x v="511"/>
    <x v="2"/>
    <x v="0"/>
    <x v="6"/>
    <x v="0"/>
    <x v="3"/>
    <x v="4"/>
    <x v="1"/>
    <x v="2"/>
    <x v="1"/>
    <x v="2"/>
    <x v="1"/>
    <x v="2"/>
    <x v="0"/>
    <x v="2"/>
    <x v="3"/>
    <x v="4"/>
    <x v="337"/>
    <x v="1"/>
    <x v="0"/>
    <x v="0"/>
    <x v="1"/>
    <x v="0"/>
    <x v="0"/>
    <x v="0"/>
    <x v="0"/>
  </r>
  <r>
    <x v="1487"/>
    <x v="701"/>
    <x v="681"/>
    <x v="676"/>
    <x v="1178"/>
    <x v="1"/>
    <x v="2"/>
    <x v="677"/>
    <x v="512"/>
    <x v="1"/>
    <x v="290"/>
    <x v="0"/>
    <x v="0"/>
    <x v="1"/>
    <x v="1"/>
    <x v="1"/>
    <x v="2"/>
    <x v="1"/>
    <x v="3"/>
    <x v="1"/>
    <x v="1"/>
    <x v="332"/>
    <x v="1"/>
    <x v="1"/>
    <x v="2"/>
    <x v="692"/>
    <x v="1"/>
    <x v="1"/>
    <x v="4"/>
    <x v="2"/>
    <x v="1"/>
    <x v="862"/>
    <x v="0"/>
    <x v="0"/>
  </r>
  <r>
    <x v="1488"/>
    <x v="699"/>
    <x v="633"/>
    <x v="627"/>
    <x v="1179"/>
    <x v="1"/>
    <x v="2"/>
    <x v="631"/>
    <x v="513"/>
    <x v="1"/>
    <x v="291"/>
    <x v="0"/>
    <x v="0"/>
    <x v="1"/>
    <x v="2"/>
    <x v="3"/>
    <x v="2"/>
    <x v="1"/>
    <x v="2"/>
    <x v="1"/>
    <x v="1"/>
    <x v="332"/>
    <x v="1"/>
    <x v="1"/>
    <x v="2"/>
    <x v="643"/>
    <x v="3"/>
    <x v="1"/>
    <x v="4"/>
    <x v="2"/>
    <x v="1"/>
    <x v="863"/>
    <x v="0"/>
    <x v="0"/>
  </r>
  <r>
    <x v="1489"/>
    <x v="702"/>
    <x v="682"/>
    <x v="677"/>
    <x v="1180"/>
    <x v="1"/>
    <x v="2"/>
    <x v="678"/>
    <x v="514"/>
    <x v="1"/>
    <x v="292"/>
    <x v="0"/>
    <x v="0"/>
    <x v="1"/>
    <x v="1"/>
    <x v="1"/>
    <x v="1"/>
    <x v="1"/>
    <x v="2"/>
    <x v="1"/>
    <x v="1"/>
    <x v="334"/>
    <x v="1"/>
    <x v="1"/>
    <x v="2"/>
    <x v="693"/>
    <x v="3"/>
    <x v="1"/>
    <x v="4"/>
    <x v="2"/>
    <x v="1"/>
    <x v="864"/>
    <x v="424"/>
    <x v="388"/>
  </r>
  <r>
    <x v="1490"/>
    <x v="703"/>
    <x v="683"/>
    <x v="678"/>
    <x v="1181"/>
    <x v="3"/>
    <x v="2"/>
    <x v="679"/>
    <x v="431"/>
    <x v="1"/>
    <x v="4"/>
    <x v="0"/>
    <x v="0"/>
    <x v="1"/>
    <x v="3"/>
    <x v="3"/>
    <x v="2"/>
    <x v="1"/>
    <x v="1"/>
    <x v="1"/>
    <x v="1"/>
    <x v="332"/>
    <x v="1"/>
    <x v="1"/>
    <x v="2"/>
    <x v="694"/>
    <x v="15"/>
    <x v="1"/>
    <x v="14"/>
    <x v="2"/>
    <x v="1"/>
    <x v="865"/>
    <x v="0"/>
    <x v="0"/>
  </r>
  <r>
    <x v="1491"/>
    <x v="362"/>
    <x v="362"/>
    <x v="357"/>
    <x v="1182"/>
    <x v="1"/>
    <x v="2"/>
    <x v="381"/>
    <x v="291"/>
    <x v="1"/>
    <x v="44"/>
    <x v="0"/>
    <x v="0"/>
    <x v="1"/>
    <x v="1"/>
    <x v="1"/>
    <x v="2"/>
    <x v="1"/>
    <x v="3"/>
    <x v="1"/>
    <x v="2"/>
    <x v="0"/>
    <x v="1"/>
    <x v="1"/>
    <x v="2"/>
    <x v="364"/>
    <x v="3"/>
    <x v="0"/>
    <x v="0"/>
    <x v="1"/>
    <x v="0"/>
    <x v="0"/>
    <x v="0"/>
    <x v="0"/>
  </r>
  <r>
    <x v="1492"/>
    <x v="676"/>
    <x v="658"/>
    <x v="653"/>
    <x v="1183"/>
    <x v="1"/>
    <x v="2"/>
    <x v="656"/>
    <x v="515"/>
    <x v="1"/>
    <x v="9"/>
    <x v="0"/>
    <x v="0"/>
    <x v="1"/>
    <x v="1"/>
    <x v="1"/>
    <x v="2"/>
    <x v="1"/>
    <x v="1"/>
    <x v="1"/>
    <x v="2"/>
    <x v="0"/>
    <x v="1"/>
    <x v="1"/>
    <x v="2"/>
    <x v="669"/>
    <x v="15"/>
    <x v="0"/>
    <x v="0"/>
    <x v="1"/>
    <x v="0"/>
    <x v="0"/>
    <x v="0"/>
    <x v="0"/>
  </r>
  <r>
    <x v="1493"/>
    <x v="654"/>
    <x v="638"/>
    <x v="633"/>
    <x v="1184"/>
    <x v="1"/>
    <x v="2"/>
    <x v="407"/>
    <x v="516"/>
    <x v="1"/>
    <x v="293"/>
    <x v="0"/>
    <x v="0"/>
    <x v="1"/>
    <x v="1"/>
    <x v="1"/>
    <x v="1"/>
    <x v="1"/>
    <x v="2"/>
    <x v="1"/>
    <x v="1"/>
    <x v="340"/>
    <x v="1"/>
    <x v="1"/>
    <x v="2"/>
    <x v="648"/>
    <x v="3"/>
    <x v="1"/>
    <x v="16"/>
    <x v="1"/>
    <x v="0"/>
    <x v="866"/>
    <x v="0"/>
    <x v="0"/>
  </r>
  <r>
    <x v="1494"/>
    <x v="696"/>
    <x v="677"/>
    <x v="672"/>
    <x v="1185"/>
    <x v="1"/>
    <x v="1"/>
    <x v="673"/>
    <x v="507"/>
    <x v="1"/>
    <x v="31"/>
    <x v="0"/>
    <x v="0"/>
    <x v="1"/>
    <x v="1"/>
    <x v="1"/>
    <x v="1"/>
    <x v="1"/>
    <x v="3"/>
    <x v="1"/>
    <x v="2"/>
    <x v="0"/>
    <x v="1"/>
    <x v="1"/>
    <x v="2"/>
    <x v="688"/>
    <x v="17"/>
    <x v="0"/>
    <x v="0"/>
    <x v="1"/>
    <x v="0"/>
    <x v="0"/>
    <x v="0"/>
    <x v="0"/>
  </r>
  <r>
    <x v="1495"/>
    <x v="700"/>
    <x v="680"/>
    <x v="675"/>
    <x v="0"/>
    <x v="1"/>
    <x v="2"/>
    <x v="676"/>
    <x v="510"/>
    <x v="1"/>
    <x v="15"/>
    <x v="0"/>
    <x v="0"/>
    <x v="3"/>
    <x v="1"/>
    <x v="1"/>
    <x v="2"/>
    <x v="1"/>
    <x v="2"/>
    <x v="1"/>
    <x v="2"/>
    <x v="0"/>
    <x v="2"/>
    <x v="3"/>
    <x v="4"/>
    <x v="691"/>
    <x v="15"/>
    <x v="0"/>
    <x v="0"/>
    <x v="1"/>
    <x v="0"/>
    <x v="0"/>
    <x v="0"/>
    <x v="0"/>
  </r>
  <r>
    <x v="1496"/>
    <x v="704"/>
    <x v="684"/>
    <x v="679"/>
    <x v="1186"/>
    <x v="3"/>
    <x v="2"/>
    <x v="680"/>
    <x v="288"/>
    <x v="1"/>
    <x v="294"/>
    <x v="0"/>
    <x v="0"/>
    <x v="1"/>
    <x v="2"/>
    <x v="3"/>
    <x v="2"/>
    <x v="1"/>
    <x v="2"/>
    <x v="1"/>
    <x v="1"/>
    <x v="332"/>
    <x v="1"/>
    <x v="1"/>
    <x v="2"/>
    <x v="695"/>
    <x v="3"/>
    <x v="3"/>
    <x v="0"/>
    <x v="1"/>
    <x v="0"/>
    <x v="867"/>
    <x v="425"/>
    <x v="0"/>
  </r>
  <r>
    <x v="1497"/>
    <x v="705"/>
    <x v="685"/>
    <x v="680"/>
    <x v="1187"/>
    <x v="1"/>
    <x v="2"/>
    <x v="681"/>
    <x v="196"/>
    <x v="6"/>
    <x v="0"/>
    <x v="0"/>
    <x v="10"/>
    <x v="1"/>
    <x v="3"/>
    <x v="1"/>
    <x v="1"/>
    <x v="2"/>
    <x v="1"/>
    <x v="1"/>
    <x v="1"/>
    <x v="334"/>
    <x v="1"/>
    <x v="5"/>
    <x v="2"/>
    <x v="696"/>
    <x v="3"/>
    <x v="1"/>
    <x v="4"/>
    <x v="2"/>
    <x v="1"/>
    <x v="868"/>
    <x v="0"/>
    <x v="0"/>
  </r>
  <r>
    <x v="1498"/>
    <x v="654"/>
    <x v="638"/>
    <x v="633"/>
    <x v="0"/>
    <x v="1"/>
    <x v="2"/>
    <x v="407"/>
    <x v="516"/>
    <x v="1"/>
    <x v="295"/>
    <x v="0"/>
    <x v="0"/>
    <x v="3"/>
    <x v="1"/>
    <x v="1"/>
    <x v="1"/>
    <x v="1"/>
    <x v="2"/>
    <x v="1"/>
    <x v="2"/>
    <x v="0"/>
    <x v="2"/>
    <x v="1"/>
    <x v="4"/>
    <x v="648"/>
    <x v="17"/>
    <x v="0"/>
    <x v="0"/>
    <x v="1"/>
    <x v="0"/>
    <x v="0"/>
    <x v="0"/>
    <x v="0"/>
  </r>
  <r>
    <x v="1499"/>
    <x v="701"/>
    <x v="681"/>
    <x v="676"/>
    <x v="1188"/>
    <x v="1"/>
    <x v="2"/>
    <x v="677"/>
    <x v="517"/>
    <x v="1"/>
    <x v="296"/>
    <x v="0"/>
    <x v="0"/>
    <x v="3"/>
    <x v="1"/>
    <x v="1"/>
    <x v="2"/>
    <x v="1"/>
    <x v="3"/>
    <x v="1"/>
    <x v="2"/>
    <x v="0"/>
    <x v="1"/>
    <x v="3"/>
    <x v="4"/>
    <x v="692"/>
    <x v="1"/>
    <x v="0"/>
    <x v="0"/>
    <x v="1"/>
    <x v="0"/>
    <x v="0"/>
    <x v="0"/>
    <x v="0"/>
  </r>
  <r>
    <x v="1500"/>
    <x v="706"/>
    <x v="686"/>
    <x v="681"/>
    <x v="1189"/>
    <x v="3"/>
    <x v="2"/>
    <x v="682"/>
    <x v="518"/>
    <x v="1"/>
    <x v="33"/>
    <x v="0"/>
    <x v="0"/>
    <x v="1"/>
    <x v="1"/>
    <x v="1"/>
    <x v="2"/>
    <x v="1"/>
    <x v="2"/>
    <x v="1"/>
    <x v="1"/>
    <x v="334"/>
    <x v="1"/>
    <x v="2"/>
    <x v="2"/>
    <x v="697"/>
    <x v="5"/>
    <x v="3"/>
    <x v="0"/>
    <x v="1"/>
    <x v="0"/>
    <x v="869"/>
    <x v="426"/>
    <x v="389"/>
  </r>
  <r>
    <x v="1501"/>
    <x v="699"/>
    <x v="633"/>
    <x v="627"/>
    <x v="1190"/>
    <x v="1"/>
    <x v="2"/>
    <x v="631"/>
    <x v="513"/>
    <x v="1"/>
    <x v="291"/>
    <x v="0"/>
    <x v="0"/>
    <x v="3"/>
    <x v="1"/>
    <x v="1"/>
    <x v="2"/>
    <x v="1"/>
    <x v="2"/>
    <x v="1"/>
    <x v="2"/>
    <x v="0"/>
    <x v="1"/>
    <x v="3"/>
    <x v="4"/>
    <x v="643"/>
    <x v="1"/>
    <x v="0"/>
    <x v="0"/>
    <x v="1"/>
    <x v="0"/>
    <x v="0"/>
    <x v="0"/>
    <x v="0"/>
  </r>
  <r>
    <x v="1502"/>
    <x v="679"/>
    <x v="660"/>
    <x v="655"/>
    <x v="0"/>
    <x v="1"/>
    <x v="2"/>
    <x v="658"/>
    <x v="519"/>
    <x v="1"/>
    <x v="22"/>
    <x v="0"/>
    <x v="0"/>
    <x v="3"/>
    <x v="1"/>
    <x v="1"/>
    <x v="2"/>
    <x v="1"/>
    <x v="1"/>
    <x v="1"/>
    <x v="2"/>
    <x v="0"/>
    <x v="2"/>
    <x v="3"/>
    <x v="4"/>
    <x v="671"/>
    <x v="15"/>
    <x v="0"/>
    <x v="0"/>
    <x v="1"/>
    <x v="0"/>
    <x v="0"/>
    <x v="0"/>
    <x v="0"/>
  </r>
  <r>
    <x v="1503"/>
    <x v="707"/>
    <x v="430"/>
    <x v="425"/>
    <x v="1191"/>
    <x v="1"/>
    <x v="2"/>
    <x v="440"/>
    <x v="341"/>
    <x v="1"/>
    <x v="33"/>
    <x v="0"/>
    <x v="0"/>
    <x v="1"/>
    <x v="1"/>
    <x v="2"/>
    <x v="2"/>
    <x v="1"/>
    <x v="2"/>
    <x v="1"/>
    <x v="1"/>
    <x v="334"/>
    <x v="1"/>
    <x v="1"/>
    <x v="2"/>
    <x v="433"/>
    <x v="5"/>
    <x v="3"/>
    <x v="0"/>
    <x v="1"/>
    <x v="0"/>
    <x v="870"/>
    <x v="427"/>
    <x v="0"/>
  </r>
  <r>
    <x v="1504"/>
    <x v="703"/>
    <x v="683"/>
    <x v="678"/>
    <x v="1192"/>
    <x v="3"/>
    <x v="2"/>
    <x v="679"/>
    <x v="431"/>
    <x v="1"/>
    <x v="4"/>
    <x v="0"/>
    <x v="0"/>
    <x v="3"/>
    <x v="1"/>
    <x v="1"/>
    <x v="2"/>
    <x v="1"/>
    <x v="1"/>
    <x v="1"/>
    <x v="2"/>
    <x v="0"/>
    <x v="1"/>
    <x v="3"/>
    <x v="4"/>
    <x v="694"/>
    <x v="15"/>
    <x v="0"/>
    <x v="0"/>
    <x v="1"/>
    <x v="0"/>
    <x v="0"/>
    <x v="0"/>
    <x v="0"/>
  </r>
  <r>
    <x v="1505"/>
    <x v="680"/>
    <x v="661"/>
    <x v="656"/>
    <x v="1193"/>
    <x v="1"/>
    <x v="3"/>
    <x v="659"/>
    <x v="340"/>
    <x v="1"/>
    <x v="36"/>
    <x v="0"/>
    <x v="0"/>
    <x v="3"/>
    <x v="1"/>
    <x v="1"/>
    <x v="2"/>
    <x v="1"/>
    <x v="2"/>
    <x v="1"/>
    <x v="2"/>
    <x v="0"/>
    <x v="2"/>
    <x v="3"/>
    <x v="4"/>
    <x v="672"/>
    <x v="5"/>
    <x v="0"/>
    <x v="0"/>
    <x v="1"/>
    <x v="0"/>
    <x v="0"/>
    <x v="0"/>
    <x v="0"/>
  </r>
  <r>
    <x v="1506"/>
    <x v="440"/>
    <x v="436"/>
    <x v="431"/>
    <x v="1194"/>
    <x v="1"/>
    <x v="1"/>
    <x v="446"/>
    <x v="340"/>
    <x v="1"/>
    <x v="70"/>
    <x v="0"/>
    <x v="0"/>
    <x v="1"/>
    <x v="1"/>
    <x v="1"/>
    <x v="1"/>
    <x v="1"/>
    <x v="3"/>
    <x v="3"/>
    <x v="2"/>
    <x v="0"/>
    <x v="1"/>
    <x v="2"/>
    <x v="2"/>
    <x v="439"/>
    <x v="5"/>
    <x v="0"/>
    <x v="0"/>
    <x v="1"/>
    <x v="0"/>
    <x v="0"/>
    <x v="0"/>
    <x v="0"/>
  </r>
  <r>
    <x v="1507"/>
    <x v="705"/>
    <x v="685"/>
    <x v="680"/>
    <x v="1195"/>
    <x v="1"/>
    <x v="2"/>
    <x v="681"/>
    <x v="196"/>
    <x v="6"/>
    <x v="0"/>
    <x v="0"/>
    <x v="10"/>
    <x v="3"/>
    <x v="1"/>
    <x v="1"/>
    <x v="2"/>
    <x v="2"/>
    <x v="3"/>
    <x v="4"/>
    <x v="2"/>
    <x v="0"/>
    <x v="1"/>
    <x v="3"/>
    <x v="4"/>
    <x v="696"/>
    <x v="1"/>
    <x v="0"/>
    <x v="0"/>
    <x v="1"/>
    <x v="0"/>
    <x v="0"/>
    <x v="0"/>
    <x v="0"/>
  </r>
  <r>
    <x v="1508"/>
    <x v="708"/>
    <x v="687"/>
    <x v="682"/>
    <x v="1196"/>
    <x v="1"/>
    <x v="2"/>
    <x v="683"/>
    <x v="236"/>
    <x v="1"/>
    <x v="297"/>
    <x v="0"/>
    <x v="0"/>
    <x v="1"/>
    <x v="1"/>
    <x v="1"/>
    <x v="2"/>
    <x v="1"/>
    <x v="2"/>
    <x v="1"/>
    <x v="2"/>
    <x v="0"/>
    <x v="1"/>
    <x v="1"/>
    <x v="2"/>
    <x v="698"/>
    <x v="1"/>
    <x v="0"/>
    <x v="0"/>
    <x v="1"/>
    <x v="0"/>
    <x v="0"/>
    <x v="0"/>
    <x v="0"/>
  </r>
  <r>
    <x v="1509"/>
    <x v="440"/>
    <x v="436"/>
    <x v="431"/>
    <x v="1197"/>
    <x v="1"/>
    <x v="1"/>
    <x v="446"/>
    <x v="340"/>
    <x v="1"/>
    <x v="79"/>
    <x v="0"/>
    <x v="0"/>
    <x v="1"/>
    <x v="1"/>
    <x v="1"/>
    <x v="2"/>
    <x v="1"/>
    <x v="2"/>
    <x v="1"/>
    <x v="2"/>
    <x v="0"/>
    <x v="1"/>
    <x v="2"/>
    <x v="3"/>
    <x v="439"/>
    <x v="17"/>
    <x v="0"/>
    <x v="0"/>
    <x v="1"/>
    <x v="0"/>
    <x v="0"/>
    <x v="0"/>
    <x v="0"/>
  </r>
  <r>
    <x v="1510"/>
    <x v="702"/>
    <x v="682"/>
    <x v="677"/>
    <x v="1198"/>
    <x v="1"/>
    <x v="2"/>
    <x v="678"/>
    <x v="514"/>
    <x v="1"/>
    <x v="292"/>
    <x v="0"/>
    <x v="0"/>
    <x v="3"/>
    <x v="1"/>
    <x v="1"/>
    <x v="1"/>
    <x v="1"/>
    <x v="2"/>
    <x v="4"/>
    <x v="1"/>
    <x v="341"/>
    <x v="1"/>
    <x v="3"/>
    <x v="4"/>
    <x v="693"/>
    <x v="1"/>
    <x v="1"/>
    <x v="14"/>
    <x v="2"/>
    <x v="1"/>
    <x v="871"/>
    <x v="0"/>
    <x v="0"/>
  </r>
  <r>
    <x v="1511"/>
    <x v="709"/>
    <x v="688"/>
    <x v="683"/>
    <x v="1199"/>
    <x v="1"/>
    <x v="2"/>
    <x v="684"/>
    <x v="520"/>
    <x v="1"/>
    <x v="15"/>
    <x v="0"/>
    <x v="0"/>
    <x v="1"/>
    <x v="1"/>
    <x v="1"/>
    <x v="2"/>
    <x v="1"/>
    <x v="2"/>
    <x v="1"/>
    <x v="1"/>
    <x v="342"/>
    <x v="1"/>
    <x v="5"/>
    <x v="3"/>
    <x v="699"/>
    <x v="14"/>
    <x v="1"/>
    <x v="4"/>
    <x v="1"/>
    <x v="0"/>
    <x v="872"/>
    <x v="0"/>
    <x v="0"/>
  </r>
  <r>
    <x v="1512"/>
    <x v="708"/>
    <x v="687"/>
    <x v="682"/>
    <x v="1200"/>
    <x v="1"/>
    <x v="2"/>
    <x v="683"/>
    <x v="236"/>
    <x v="1"/>
    <x v="298"/>
    <x v="0"/>
    <x v="0"/>
    <x v="1"/>
    <x v="1"/>
    <x v="1"/>
    <x v="2"/>
    <x v="1"/>
    <x v="2"/>
    <x v="4"/>
    <x v="1"/>
    <x v="343"/>
    <x v="1"/>
    <x v="1"/>
    <x v="2"/>
    <x v="698"/>
    <x v="1"/>
    <x v="3"/>
    <x v="0"/>
    <x v="1"/>
    <x v="0"/>
    <x v="873"/>
    <x v="0"/>
    <x v="0"/>
  </r>
  <r>
    <x v="1513"/>
    <x v="709"/>
    <x v="688"/>
    <x v="683"/>
    <x v="0"/>
    <x v="1"/>
    <x v="2"/>
    <x v="684"/>
    <x v="520"/>
    <x v="1"/>
    <x v="15"/>
    <x v="0"/>
    <x v="0"/>
    <x v="3"/>
    <x v="1"/>
    <x v="1"/>
    <x v="2"/>
    <x v="1"/>
    <x v="2"/>
    <x v="1"/>
    <x v="2"/>
    <x v="0"/>
    <x v="2"/>
    <x v="3"/>
    <x v="4"/>
    <x v="699"/>
    <x v="1"/>
    <x v="0"/>
    <x v="0"/>
    <x v="1"/>
    <x v="0"/>
    <x v="0"/>
    <x v="0"/>
    <x v="0"/>
  </r>
  <r>
    <x v="1514"/>
    <x v="692"/>
    <x v="673"/>
    <x v="668"/>
    <x v="1201"/>
    <x v="1"/>
    <x v="2"/>
    <x v="669"/>
    <x v="504"/>
    <x v="1"/>
    <x v="123"/>
    <x v="0"/>
    <x v="0"/>
    <x v="1"/>
    <x v="1"/>
    <x v="1"/>
    <x v="1"/>
    <x v="1"/>
    <x v="3"/>
    <x v="1"/>
    <x v="2"/>
    <x v="0"/>
    <x v="1"/>
    <x v="1"/>
    <x v="2"/>
    <x v="684"/>
    <x v="2"/>
    <x v="0"/>
    <x v="0"/>
    <x v="1"/>
    <x v="0"/>
    <x v="0"/>
    <x v="0"/>
    <x v="0"/>
  </r>
  <r>
    <x v="1515"/>
    <x v="674"/>
    <x v="656"/>
    <x v="651"/>
    <x v="1202"/>
    <x v="1"/>
    <x v="1"/>
    <x v="181"/>
    <x v="406"/>
    <x v="1"/>
    <x v="15"/>
    <x v="0"/>
    <x v="0"/>
    <x v="1"/>
    <x v="1"/>
    <x v="1"/>
    <x v="1"/>
    <x v="1"/>
    <x v="1"/>
    <x v="1"/>
    <x v="1"/>
    <x v="342"/>
    <x v="1"/>
    <x v="1"/>
    <x v="2"/>
    <x v="667"/>
    <x v="12"/>
    <x v="1"/>
    <x v="7"/>
    <x v="2"/>
    <x v="1"/>
    <x v="874"/>
    <x v="0"/>
    <x v="390"/>
  </r>
  <r>
    <x v="1516"/>
    <x v="710"/>
    <x v="689"/>
    <x v="684"/>
    <x v="1203"/>
    <x v="3"/>
    <x v="2"/>
    <x v="516"/>
    <x v="59"/>
    <x v="1"/>
    <x v="27"/>
    <x v="0"/>
    <x v="0"/>
    <x v="1"/>
    <x v="1"/>
    <x v="1"/>
    <x v="2"/>
    <x v="1"/>
    <x v="2"/>
    <x v="1"/>
    <x v="2"/>
    <x v="0"/>
    <x v="1"/>
    <x v="1"/>
    <x v="2"/>
    <x v="700"/>
    <x v="15"/>
    <x v="0"/>
    <x v="0"/>
    <x v="1"/>
    <x v="0"/>
    <x v="0"/>
    <x v="0"/>
    <x v="0"/>
  </r>
  <r>
    <x v="1517"/>
    <x v="696"/>
    <x v="677"/>
    <x v="672"/>
    <x v="1204"/>
    <x v="1"/>
    <x v="2"/>
    <x v="673"/>
    <x v="449"/>
    <x v="1"/>
    <x v="299"/>
    <x v="0"/>
    <x v="0"/>
    <x v="1"/>
    <x v="1"/>
    <x v="2"/>
    <x v="1"/>
    <x v="1"/>
    <x v="3"/>
    <x v="1"/>
    <x v="1"/>
    <x v="341"/>
    <x v="1"/>
    <x v="1"/>
    <x v="2"/>
    <x v="688"/>
    <x v="1"/>
    <x v="3"/>
    <x v="0"/>
    <x v="1"/>
    <x v="0"/>
    <x v="875"/>
    <x v="428"/>
    <x v="0"/>
  </r>
  <r>
    <x v="1518"/>
    <x v="674"/>
    <x v="656"/>
    <x v="651"/>
    <x v="0"/>
    <x v="1"/>
    <x v="1"/>
    <x v="181"/>
    <x v="406"/>
    <x v="1"/>
    <x v="15"/>
    <x v="0"/>
    <x v="0"/>
    <x v="3"/>
    <x v="1"/>
    <x v="1"/>
    <x v="1"/>
    <x v="1"/>
    <x v="2"/>
    <x v="1"/>
    <x v="1"/>
    <x v="343"/>
    <x v="2"/>
    <x v="3"/>
    <x v="4"/>
    <x v="667"/>
    <x v="12"/>
    <x v="1"/>
    <x v="1"/>
    <x v="1"/>
    <x v="0"/>
    <x v="876"/>
    <x v="0"/>
    <x v="391"/>
  </r>
  <r>
    <x v="1519"/>
    <x v="711"/>
    <x v="690"/>
    <x v="685"/>
    <x v="1205"/>
    <x v="1"/>
    <x v="2"/>
    <x v="685"/>
    <x v="521"/>
    <x v="1"/>
    <x v="15"/>
    <x v="0"/>
    <x v="0"/>
    <x v="1"/>
    <x v="1"/>
    <x v="1"/>
    <x v="1"/>
    <x v="1"/>
    <x v="2"/>
    <x v="1"/>
    <x v="1"/>
    <x v="343"/>
    <x v="1"/>
    <x v="5"/>
    <x v="2"/>
    <x v="701"/>
    <x v="12"/>
    <x v="1"/>
    <x v="1"/>
    <x v="1"/>
    <x v="0"/>
    <x v="877"/>
    <x v="0"/>
    <x v="0"/>
  </r>
  <r>
    <x v="1520"/>
    <x v="712"/>
    <x v="691"/>
    <x v="686"/>
    <x v="1206"/>
    <x v="1"/>
    <x v="2"/>
    <x v="686"/>
    <x v="522"/>
    <x v="1"/>
    <x v="15"/>
    <x v="0"/>
    <x v="0"/>
    <x v="1"/>
    <x v="1"/>
    <x v="1"/>
    <x v="2"/>
    <x v="1"/>
    <x v="2"/>
    <x v="1"/>
    <x v="1"/>
    <x v="343"/>
    <x v="1"/>
    <x v="6"/>
    <x v="2"/>
    <x v="702"/>
    <x v="5"/>
    <x v="1"/>
    <x v="1"/>
    <x v="1"/>
    <x v="0"/>
    <x v="878"/>
    <x v="0"/>
    <x v="0"/>
  </r>
  <r>
    <x v="1521"/>
    <x v="674"/>
    <x v="656"/>
    <x v="651"/>
    <x v="0"/>
    <x v="1"/>
    <x v="1"/>
    <x v="181"/>
    <x v="406"/>
    <x v="1"/>
    <x v="15"/>
    <x v="0"/>
    <x v="0"/>
    <x v="3"/>
    <x v="1"/>
    <x v="1"/>
    <x v="2"/>
    <x v="1"/>
    <x v="2"/>
    <x v="1"/>
    <x v="1"/>
    <x v="344"/>
    <x v="2"/>
    <x v="3"/>
    <x v="4"/>
    <x v="667"/>
    <x v="5"/>
    <x v="1"/>
    <x v="5"/>
    <x v="2"/>
    <x v="1"/>
    <x v="879"/>
    <x v="0"/>
    <x v="0"/>
  </r>
  <r>
    <x v="1522"/>
    <x v="713"/>
    <x v="692"/>
    <x v="687"/>
    <x v="1207"/>
    <x v="3"/>
    <x v="2"/>
    <x v="73"/>
    <x v="299"/>
    <x v="1"/>
    <x v="2"/>
    <x v="0"/>
    <x v="0"/>
    <x v="1"/>
    <x v="2"/>
    <x v="3"/>
    <x v="1"/>
    <x v="1"/>
    <x v="2"/>
    <x v="4"/>
    <x v="1"/>
    <x v="345"/>
    <x v="1"/>
    <x v="6"/>
    <x v="2"/>
    <x v="703"/>
    <x v="5"/>
    <x v="3"/>
    <x v="0"/>
    <x v="1"/>
    <x v="0"/>
    <x v="880"/>
    <x v="429"/>
    <x v="0"/>
  </r>
  <r>
    <x v="1523"/>
    <x v="712"/>
    <x v="691"/>
    <x v="686"/>
    <x v="1206"/>
    <x v="1"/>
    <x v="2"/>
    <x v="686"/>
    <x v="522"/>
    <x v="1"/>
    <x v="15"/>
    <x v="0"/>
    <x v="0"/>
    <x v="3"/>
    <x v="3"/>
    <x v="3"/>
    <x v="2"/>
    <x v="1"/>
    <x v="2"/>
    <x v="1"/>
    <x v="1"/>
    <x v="345"/>
    <x v="1"/>
    <x v="3"/>
    <x v="4"/>
    <x v="702"/>
    <x v="5"/>
    <x v="3"/>
    <x v="0"/>
    <x v="1"/>
    <x v="0"/>
    <x v="881"/>
    <x v="430"/>
    <x v="0"/>
  </r>
  <r>
    <x v="1524"/>
    <x v="711"/>
    <x v="690"/>
    <x v="685"/>
    <x v="0"/>
    <x v="1"/>
    <x v="2"/>
    <x v="685"/>
    <x v="523"/>
    <x v="1"/>
    <x v="15"/>
    <x v="0"/>
    <x v="0"/>
    <x v="3"/>
    <x v="4"/>
    <x v="1"/>
    <x v="2"/>
    <x v="1"/>
    <x v="2"/>
    <x v="1"/>
    <x v="2"/>
    <x v="0"/>
    <x v="2"/>
    <x v="3"/>
    <x v="4"/>
    <x v="701"/>
    <x v="5"/>
    <x v="0"/>
    <x v="0"/>
    <x v="1"/>
    <x v="0"/>
    <x v="0"/>
    <x v="0"/>
    <x v="0"/>
  </r>
  <r>
    <x v="1525"/>
    <x v="674"/>
    <x v="656"/>
    <x v="651"/>
    <x v="1208"/>
    <x v="1"/>
    <x v="1"/>
    <x v="181"/>
    <x v="406"/>
    <x v="1"/>
    <x v="15"/>
    <x v="0"/>
    <x v="0"/>
    <x v="3"/>
    <x v="1"/>
    <x v="1"/>
    <x v="1"/>
    <x v="1"/>
    <x v="3"/>
    <x v="1"/>
    <x v="2"/>
    <x v="0"/>
    <x v="1"/>
    <x v="3"/>
    <x v="4"/>
    <x v="667"/>
    <x v="2"/>
    <x v="0"/>
    <x v="0"/>
    <x v="1"/>
    <x v="0"/>
    <x v="0"/>
    <x v="0"/>
    <x v="0"/>
  </r>
  <r>
    <x v="1526"/>
    <x v="440"/>
    <x v="436"/>
    <x v="431"/>
    <x v="1209"/>
    <x v="1"/>
    <x v="1"/>
    <x v="446"/>
    <x v="340"/>
    <x v="1"/>
    <x v="57"/>
    <x v="0"/>
    <x v="0"/>
    <x v="1"/>
    <x v="3"/>
    <x v="3"/>
    <x v="1"/>
    <x v="1"/>
    <x v="2"/>
    <x v="1"/>
    <x v="1"/>
    <x v="344"/>
    <x v="1"/>
    <x v="1"/>
    <x v="2"/>
    <x v="439"/>
    <x v="12"/>
    <x v="1"/>
    <x v="7"/>
    <x v="1"/>
    <x v="0"/>
    <x v="882"/>
    <x v="0"/>
    <x v="392"/>
  </r>
  <r>
    <x v="1527"/>
    <x v="714"/>
    <x v="693"/>
    <x v="688"/>
    <x v="1210"/>
    <x v="3"/>
    <x v="1"/>
    <x v="687"/>
    <x v="524"/>
    <x v="1"/>
    <x v="9"/>
    <x v="0"/>
    <x v="0"/>
    <x v="1"/>
    <x v="1"/>
    <x v="1"/>
    <x v="2"/>
    <x v="1"/>
    <x v="1"/>
    <x v="1"/>
    <x v="2"/>
    <x v="0"/>
    <x v="1"/>
    <x v="1"/>
    <x v="2"/>
    <x v="704"/>
    <x v="15"/>
    <x v="0"/>
    <x v="0"/>
    <x v="1"/>
    <x v="0"/>
    <x v="0"/>
    <x v="0"/>
    <x v="0"/>
  </r>
  <r>
    <x v="1528"/>
    <x v="696"/>
    <x v="677"/>
    <x v="672"/>
    <x v="1211"/>
    <x v="1"/>
    <x v="2"/>
    <x v="688"/>
    <x v="507"/>
    <x v="1"/>
    <x v="2"/>
    <x v="0"/>
    <x v="0"/>
    <x v="1"/>
    <x v="1"/>
    <x v="1"/>
    <x v="2"/>
    <x v="1"/>
    <x v="3"/>
    <x v="1"/>
    <x v="1"/>
    <x v="344"/>
    <x v="1"/>
    <x v="1"/>
    <x v="2"/>
    <x v="688"/>
    <x v="1"/>
    <x v="3"/>
    <x v="0"/>
    <x v="1"/>
    <x v="0"/>
    <x v="883"/>
    <x v="431"/>
    <x v="0"/>
  </r>
  <r>
    <x v="1529"/>
    <x v="440"/>
    <x v="436"/>
    <x v="431"/>
    <x v="0"/>
    <x v="1"/>
    <x v="1"/>
    <x v="446"/>
    <x v="340"/>
    <x v="1"/>
    <x v="57"/>
    <x v="0"/>
    <x v="0"/>
    <x v="3"/>
    <x v="4"/>
    <x v="1"/>
    <x v="1"/>
    <x v="1"/>
    <x v="2"/>
    <x v="1"/>
    <x v="2"/>
    <x v="0"/>
    <x v="2"/>
    <x v="3"/>
    <x v="4"/>
    <x v="439"/>
    <x v="12"/>
    <x v="0"/>
    <x v="0"/>
    <x v="1"/>
    <x v="0"/>
    <x v="0"/>
    <x v="0"/>
    <x v="0"/>
  </r>
  <r>
    <x v="1530"/>
    <x v="715"/>
    <x v="531"/>
    <x v="523"/>
    <x v="1212"/>
    <x v="1"/>
    <x v="2"/>
    <x v="541"/>
    <x v="525"/>
    <x v="1"/>
    <x v="4"/>
    <x v="0"/>
    <x v="0"/>
    <x v="1"/>
    <x v="1"/>
    <x v="1"/>
    <x v="1"/>
    <x v="1"/>
    <x v="3"/>
    <x v="1"/>
    <x v="2"/>
    <x v="0"/>
    <x v="1"/>
    <x v="1"/>
    <x v="2"/>
    <x v="534"/>
    <x v="2"/>
    <x v="0"/>
    <x v="0"/>
    <x v="1"/>
    <x v="0"/>
    <x v="0"/>
    <x v="0"/>
    <x v="0"/>
  </r>
  <r>
    <x v="1531"/>
    <x v="716"/>
    <x v="694"/>
    <x v="689"/>
    <x v="1213"/>
    <x v="1"/>
    <x v="3"/>
    <x v="689"/>
    <x v="395"/>
    <x v="1"/>
    <x v="300"/>
    <x v="0"/>
    <x v="0"/>
    <x v="1"/>
    <x v="1"/>
    <x v="1"/>
    <x v="2"/>
    <x v="1"/>
    <x v="2"/>
    <x v="1"/>
    <x v="2"/>
    <x v="0"/>
    <x v="1"/>
    <x v="1"/>
    <x v="2"/>
    <x v="705"/>
    <x v="3"/>
    <x v="0"/>
    <x v="0"/>
    <x v="1"/>
    <x v="0"/>
    <x v="0"/>
    <x v="0"/>
    <x v="0"/>
  </r>
  <r>
    <x v="1532"/>
    <x v="702"/>
    <x v="682"/>
    <x v="677"/>
    <x v="1214"/>
    <x v="1"/>
    <x v="1"/>
    <x v="678"/>
    <x v="514"/>
    <x v="1"/>
    <x v="301"/>
    <x v="0"/>
    <x v="0"/>
    <x v="3"/>
    <x v="3"/>
    <x v="3"/>
    <x v="1"/>
    <x v="1"/>
    <x v="1"/>
    <x v="1"/>
    <x v="1"/>
    <x v="346"/>
    <x v="2"/>
    <x v="3"/>
    <x v="4"/>
    <x v="706"/>
    <x v="15"/>
    <x v="1"/>
    <x v="13"/>
    <x v="1"/>
    <x v="0"/>
    <x v="884"/>
    <x v="0"/>
    <x v="393"/>
  </r>
  <r>
    <x v="1533"/>
    <x v="698"/>
    <x v="679"/>
    <x v="674"/>
    <x v="1215"/>
    <x v="1"/>
    <x v="2"/>
    <x v="675"/>
    <x v="508"/>
    <x v="1"/>
    <x v="9"/>
    <x v="0"/>
    <x v="0"/>
    <x v="1"/>
    <x v="2"/>
    <x v="3"/>
    <x v="2"/>
    <x v="1"/>
    <x v="2"/>
    <x v="1"/>
    <x v="1"/>
    <x v="346"/>
    <x v="1"/>
    <x v="5"/>
    <x v="2"/>
    <x v="690"/>
    <x v="3"/>
    <x v="3"/>
    <x v="0"/>
    <x v="1"/>
    <x v="0"/>
    <x v="885"/>
    <x v="432"/>
    <x v="54"/>
  </r>
  <r>
    <x v="1534"/>
    <x v="702"/>
    <x v="682"/>
    <x v="677"/>
    <x v="0"/>
    <x v="1"/>
    <x v="2"/>
    <x v="678"/>
    <x v="514"/>
    <x v="1"/>
    <x v="27"/>
    <x v="0"/>
    <x v="0"/>
    <x v="3"/>
    <x v="1"/>
    <x v="2"/>
    <x v="2"/>
    <x v="1"/>
    <x v="2"/>
    <x v="1"/>
    <x v="1"/>
    <x v="347"/>
    <x v="2"/>
    <x v="3"/>
    <x v="4"/>
    <x v="706"/>
    <x v="14"/>
    <x v="1"/>
    <x v="14"/>
    <x v="1"/>
    <x v="0"/>
    <x v="886"/>
    <x v="0"/>
    <x v="394"/>
  </r>
  <r>
    <x v="1535"/>
    <x v="708"/>
    <x v="687"/>
    <x v="682"/>
    <x v="1216"/>
    <x v="1"/>
    <x v="2"/>
    <x v="683"/>
    <x v="236"/>
    <x v="6"/>
    <x v="0"/>
    <x v="0"/>
    <x v="32"/>
    <x v="1"/>
    <x v="1"/>
    <x v="1"/>
    <x v="2"/>
    <x v="1"/>
    <x v="2"/>
    <x v="1"/>
    <x v="2"/>
    <x v="0"/>
    <x v="1"/>
    <x v="1"/>
    <x v="2"/>
    <x v="698"/>
    <x v="14"/>
    <x v="0"/>
    <x v="0"/>
    <x v="1"/>
    <x v="0"/>
    <x v="0"/>
    <x v="0"/>
    <x v="0"/>
  </r>
  <r>
    <x v="1536"/>
    <x v="717"/>
    <x v="695"/>
    <x v="690"/>
    <x v="1217"/>
    <x v="1"/>
    <x v="2"/>
    <x v="690"/>
    <x v="526"/>
    <x v="2"/>
    <x v="0"/>
    <x v="2"/>
    <x v="0"/>
    <x v="1"/>
    <x v="1"/>
    <x v="1"/>
    <x v="2"/>
    <x v="1"/>
    <x v="2"/>
    <x v="1"/>
    <x v="2"/>
    <x v="0"/>
    <x v="1"/>
    <x v="1"/>
    <x v="2"/>
    <x v="707"/>
    <x v="14"/>
    <x v="0"/>
    <x v="0"/>
    <x v="1"/>
    <x v="0"/>
    <x v="0"/>
    <x v="0"/>
    <x v="0"/>
  </r>
  <r>
    <x v="1537"/>
    <x v="687"/>
    <x v="668"/>
    <x v="663"/>
    <x v="1218"/>
    <x v="1"/>
    <x v="1"/>
    <x v="665"/>
    <x v="527"/>
    <x v="1"/>
    <x v="126"/>
    <x v="0"/>
    <x v="0"/>
    <x v="1"/>
    <x v="3"/>
    <x v="3"/>
    <x v="1"/>
    <x v="1"/>
    <x v="2"/>
    <x v="4"/>
    <x v="1"/>
    <x v="348"/>
    <x v="2"/>
    <x v="1"/>
    <x v="1"/>
    <x v="679"/>
    <x v="2"/>
    <x v="3"/>
    <x v="0"/>
    <x v="1"/>
    <x v="0"/>
    <x v="887"/>
    <x v="433"/>
    <x v="0"/>
  </r>
  <r>
    <x v="1538"/>
    <x v="718"/>
    <x v="696"/>
    <x v="691"/>
    <x v="1219"/>
    <x v="1"/>
    <x v="2"/>
    <x v="691"/>
    <x v="524"/>
    <x v="1"/>
    <x v="9"/>
    <x v="0"/>
    <x v="0"/>
    <x v="1"/>
    <x v="1"/>
    <x v="1"/>
    <x v="1"/>
    <x v="1"/>
    <x v="3"/>
    <x v="1"/>
    <x v="1"/>
    <x v="348"/>
    <x v="1"/>
    <x v="5"/>
    <x v="3"/>
    <x v="708"/>
    <x v="3"/>
    <x v="1"/>
    <x v="3"/>
    <x v="1"/>
    <x v="0"/>
    <x v="888"/>
    <x v="0"/>
    <x v="395"/>
  </r>
  <r>
    <x v="1539"/>
    <x v="719"/>
    <x v="697"/>
    <x v="692"/>
    <x v="1220"/>
    <x v="1"/>
    <x v="1"/>
    <x v="692"/>
    <x v="528"/>
    <x v="1"/>
    <x v="31"/>
    <x v="0"/>
    <x v="0"/>
    <x v="1"/>
    <x v="1"/>
    <x v="1"/>
    <x v="1"/>
    <x v="1"/>
    <x v="2"/>
    <x v="1"/>
    <x v="1"/>
    <x v="348"/>
    <x v="1"/>
    <x v="1"/>
    <x v="2"/>
    <x v="709"/>
    <x v="3"/>
    <x v="3"/>
    <x v="0"/>
    <x v="1"/>
    <x v="0"/>
    <x v="889"/>
    <x v="434"/>
    <x v="396"/>
  </r>
  <r>
    <x v="1540"/>
    <x v="632"/>
    <x v="617"/>
    <x v="611"/>
    <x v="1221"/>
    <x v="1"/>
    <x v="2"/>
    <x v="542"/>
    <x v="10"/>
    <x v="1"/>
    <x v="9"/>
    <x v="0"/>
    <x v="0"/>
    <x v="1"/>
    <x v="2"/>
    <x v="3"/>
    <x v="2"/>
    <x v="1"/>
    <x v="2"/>
    <x v="1"/>
    <x v="1"/>
    <x v="347"/>
    <x v="1"/>
    <x v="1"/>
    <x v="2"/>
    <x v="626"/>
    <x v="1"/>
    <x v="1"/>
    <x v="14"/>
    <x v="1"/>
    <x v="0"/>
    <x v="890"/>
    <x v="0"/>
    <x v="0"/>
  </r>
  <r>
    <x v="1541"/>
    <x v="720"/>
    <x v="698"/>
    <x v="693"/>
    <x v="1222"/>
    <x v="1"/>
    <x v="2"/>
    <x v="693"/>
    <x v="525"/>
    <x v="1"/>
    <x v="3"/>
    <x v="0"/>
    <x v="0"/>
    <x v="1"/>
    <x v="3"/>
    <x v="2"/>
    <x v="2"/>
    <x v="1"/>
    <x v="3"/>
    <x v="1"/>
    <x v="1"/>
    <x v="349"/>
    <x v="1"/>
    <x v="1"/>
    <x v="2"/>
    <x v="710"/>
    <x v="1"/>
    <x v="3"/>
    <x v="0"/>
    <x v="1"/>
    <x v="0"/>
    <x v="891"/>
    <x v="435"/>
    <x v="0"/>
  </r>
  <r>
    <x v="1542"/>
    <x v="718"/>
    <x v="696"/>
    <x v="691"/>
    <x v="1219"/>
    <x v="1"/>
    <x v="2"/>
    <x v="691"/>
    <x v="524"/>
    <x v="1"/>
    <x v="9"/>
    <x v="0"/>
    <x v="0"/>
    <x v="3"/>
    <x v="1"/>
    <x v="1"/>
    <x v="2"/>
    <x v="1"/>
    <x v="3"/>
    <x v="1"/>
    <x v="2"/>
    <x v="0"/>
    <x v="1"/>
    <x v="3"/>
    <x v="4"/>
    <x v="708"/>
    <x v="3"/>
    <x v="0"/>
    <x v="0"/>
    <x v="1"/>
    <x v="0"/>
    <x v="0"/>
    <x v="0"/>
    <x v="0"/>
  </r>
  <r>
    <x v="1543"/>
    <x v="721"/>
    <x v="699"/>
    <x v="694"/>
    <x v="1223"/>
    <x v="1"/>
    <x v="2"/>
    <x v="694"/>
    <x v="529"/>
    <x v="1"/>
    <x v="193"/>
    <x v="0"/>
    <x v="0"/>
    <x v="1"/>
    <x v="1"/>
    <x v="1"/>
    <x v="2"/>
    <x v="1"/>
    <x v="2"/>
    <x v="1"/>
    <x v="2"/>
    <x v="0"/>
    <x v="1"/>
    <x v="1"/>
    <x v="2"/>
    <x v="711"/>
    <x v="3"/>
    <x v="0"/>
    <x v="0"/>
    <x v="1"/>
    <x v="0"/>
    <x v="0"/>
    <x v="0"/>
    <x v="0"/>
  </r>
  <r>
    <x v="1544"/>
    <x v="340"/>
    <x v="340"/>
    <x v="335"/>
    <x v="1224"/>
    <x v="1"/>
    <x v="2"/>
    <x v="355"/>
    <x v="280"/>
    <x v="2"/>
    <x v="0"/>
    <x v="2"/>
    <x v="0"/>
    <x v="1"/>
    <x v="1"/>
    <x v="2"/>
    <x v="1"/>
    <x v="1"/>
    <x v="2"/>
    <x v="4"/>
    <x v="1"/>
    <x v="347"/>
    <x v="1"/>
    <x v="1"/>
    <x v="1"/>
    <x v="342"/>
    <x v="14"/>
    <x v="3"/>
    <x v="7"/>
    <x v="1"/>
    <x v="0"/>
    <x v="892"/>
    <x v="436"/>
    <x v="0"/>
  </r>
  <r>
    <x v="1545"/>
    <x v="696"/>
    <x v="677"/>
    <x v="672"/>
    <x v="1225"/>
    <x v="1"/>
    <x v="1"/>
    <x v="673"/>
    <x v="507"/>
    <x v="1"/>
    <x v="2"/>
    <x v="0"/>
    <x v="0"/>
    <x v="1"/>
    <x v="2"/>
    <x v="3"/>
    <x v="1"/>
    <x v="1"/>
    <x v="3"/>
    <x v="1"/>
    <x v="1"/>
    <x v="350"/>
    <x v="1"/>
    <x v="1"/>
    <x v="2"/>
    <x v="688"/>
    <x v="2"/>
    <x v="3"/>
    <x v="0"/>
    <x v="1"/>
    <x v="0"/>
    <x v="893"/>
    <x v="437"/>
    <x v="0"/>
  </r>
  <r>
    <x v="1546"/>
    <x v="722"/>
    <x v="700"/>
    <x v="695"/>
    <x v="1226"/>
    <x v="3"/>
    <x v="2"/>
    <x v="695"/>
    <x v="530"/>
    <x v="1"/>
    <x v="24"/>
    <x v="0"/>
    <x v="0"/>
    <x v="1"/>
    <x v="1"/>
    <x v="1"/>
    <x v="2"/>
    <x v="1"/>
    <x v="2"/>
    <x v="1"/>
    <x v="2"/>
    <x v="0"/>
    <x v="1"/>
    <x v="1"/>
    <x v="2"/>
    <x v="712"/>
    <x v="12"/>
    <x v="0"/>
    <x v="0"/>
    <x v="1"/>
    <x v="0"/>
    <x v="0"/>
    <x v="0"/>
    <x v="0"/>
  </r>
  <r>
    <x v="1547"/>
    <x v="702"/>
    <x v="682"/>
    <x v="677"/>
    <x v="0"/>
    <x v="1"/>
    <x v="2"/>
    <x v="678"/>
    <x v="514"/>
    <x v="1"/>
    <x v="27"/>
    <x v="0"/>
    <x v="0"/>
    <x v="3"/>
    <x v="1"/>
    <x v="1"/>
    <x v="2"/>
    <x v="1"/>
    <x v="3"/>
    <x v="1"/>
    <x v="2"/>
    <x v="0"/>
    <x v="2"/>
    <x v="3"/>
    <x v="4"/>
    <x v="706"/>
    <x v="15"/>
    <x v="0"/>
    <x v="0"/>
    <x v="1"/>
    <x v="0"/>
    <x v="0"/>
    <x v="0"/>
    <x v="0"/>
  </r>
  <r>
    <x v="1548"/>
    <x v="689"/>
    <x v="670"/>
    <x v="665"/>
    <x v="1227"/>
    <x v="1"/>
    <x v="2"/>
    <x v="667"/>
    <x v="531"/>
    <x v="1"/>
    <x v="9"/>
    <x v="0"/>
    <x v="0"/>
    <x v="1"/>
    <x v="1"/>
    <x v="1"/>
    <x v="2"/>
    <x v="1"/>
    <x v="2"/>
    <x v="1"/>
    <x v="1"/>
    <x v="350"/>
    <x v="1"/>
    <x v="1"/>
    <x v="2"/>
    <x v="681"/>
    <x v="12"/>
    <x v="1"/>
    <x v="13"/>
    <x v="2"/>
    <x v="1"/>
    <x v="894"/>
    <x v="438"/>
    <x v="397"/>
  </r>
  <r>
    <x v="1549"/>
    <x v="723"/>
    <x v="701"/>
    <x v="696"/>
    <x v="1228"/>
    <x v="1"/>
    <x v="2"/>
    <x v="696"/>
    <x v="353"/>
    <x v="1"/>
    <x v="24"/>
    <x v="0"/>
    <x v="0"/>
    <x v="1"/>
    <x v="3"/>
    <x v="2"/>
    <x v="1"/>
    <x v="1"/>
    <x v="3"/>
    <x v="1"/>
    <x v="1"/>
    <x v="350"/>
    <x v="1"/>
    <x v="1"/>
    <x v="2"/>
    <x v="713"/>
    <x v="2"/>
    <x v="3"/>
    <x v="0"/>
    <x v="1"/>
    <x v="0"/>
    <x v="895"/>
    <x v="439"/>
    <x v="0"/>
  </r>
  <r>
    <x v="1550"/>
    <x v="632"/>
    <x v="617"/>
    <x v="611"/>
    <x v="0"/>
    <x v="1"/>
    <x v="2"/>
    <x v="542"/>
    <x v="10"/>
    <x v="1"/>
    <x v="9"/>
    <x v="0"/>
    <x v="0"/>
    <x v="3"/>
    <x v="4"/>
    <x v="1"/>
    <x v="2"/>
    <x v="1"/>
    <x v="3"/>
    <x v="1"/>
    <x v="1"/>
    <x v="350"/>
    <x v="2"/>
    <x v="3"/>
    <x v="4"/>
    <x v="626"/>
    <x v="15"/>
    <x v="1"/>
    <x v="13"/>
    <x v="2"/>
    <x v="1"/>
    <x v="896"/>
    <x v="0"/>
    <x v="0"/>
  </r>
  <r>
    <x v="1551"/>
    <x v="724"/>
    <x v="702"/>
    <x v="697"/>
    <x v="1229"/>
    <x v="1"/>
    <x v="3"/>
    <x v="697"/>
    <x v="436"/>
    <x v="1"/>
    <x v="302"/>
    <x v="0"/>
    <x v="0"/>
    <x v="1"/>
    <x v="1"/>
    <x v="3"/>
    <x v="1"/>
    <x v="1"/>
    <x v="1"/>
    <x v="1"/>
    <x v="1"/>
    <x v="350"/>
    <x v="2"/>
    <x v="5"/>
    <x v="2"/>
    <x v="714"/>
    <x v="12"/>
    <x v="1"/>
    <x v="13"/>
    <x v="2"/>
    <x v="1"/>
    <x v="897"/>
    <x v="0"/>
    <x v="398"/>
  </r>
  <r>
    <x v="1552"/>
    <x v="725"/>
    <x v="703"/>
    <x v="698"/>
    <x v="1230"/>
    <x v="1"/>
    <x v="2"/>
    <x v="427"/>
    <x v="532"/>
    <x v="1"/>
    <x v="120"/>
    <x v="0"/>
    <x v="0"/>
    <x v="1"/>
    <x v="1"/>
    <x v="4"/>
    <x v="2"/>
    <x v="1"/>
    <x v="1"/>
    <x v="1"/>
    <x v="1"/>
    <x v="351"/>
    <x v="1"/>
    <x v="6"/>
    <x v="3"/>
    <x v="715"/>
    <x v="14"/>
    <x v="3"/>
    <x v="0"/>
    <x v="1"/>
    <x v="0"/>
    <x v="898"/>
    <x v="440"/>
    <x v="0"/>
  </r>
  <r>
    <x v="1553"/>
    <x v="726"/>
    <x v="704"/>
    <x v="699"/>
    <x v="1231"/>
    <x v="3"/>
    <x v="2"/>
    <x v="698"/>
    <x v="338"/>
    <x v="1"/>
    <x v="273"/>
    <x v="0"/>
    <x v="0"/>
    <x v="1"/>
    <x v="1"/>
    <x v="1"/>
    <x v="2"/>
    <x v="1"/>
    <x v="2"/>
    <x v="1"/>
    <x v="2"/>
    <x v="0"/>
    <x v="1"/>
    <x v="4"/>
    <x v="3"/>
    <x v="716"/>
    <x v="14"/>
    <x v="0"/>
    <x v="0"/>
    <x v="1"/>
    <x v="0"/>
    <x v="0"/>
    <x v="0"/>
    <x v="0"/>
  </r>
  <r>
    <x v="1554"/>
    <x v="632"/>
    <x v="617"/>
    <x v="611"/>
    <x v="0"/>
    <x v="1"/>
    <x v="2"/>
    <x v="542"/>
    <x v="10"/>
    <x v="1"/>
    <x v="9"/>
    <x v="0"/>
    <x v="0"/>
    <x v="3"/>
    <x v="1"/>
    <x v="1"/>
    <x v="2"/>
    <x v="1"/>
    <x v="1"/>
    <x v="1"/>
    <x v="1"/>
    <x v="351"/>
    <x v="2"/>
    <x v="3"/>
    <x v="4"/>
    <x v="626"/>
    <x v="14"/>
    <x v="3"/>
    <x v="0"/>
    <x v="1"/>
    <x v="0"/>
    <x v="898"/>
    <x v="440"/>
    <x v="0"/>
  </r>
  <r>
    <x v="1555"/>
    <x v="724"/>
    <x v="702"/>
    <x v="697"/>
    <x v="0"/>
    <x v="1"/>
    <x v="3"/>
    <x v="697"/>
    <x v="436"/>
    <x v="1"/>
    <x v="303"/>
    <x v="0"/>
    <x v="0"/>
    <x v="3"/>
    <x v="3"/>
    <x v="3"/>
    <x v="2"/>
    <x v="1"/>
    <x v="1"/>
    <x v="1"/>
    <x v="1"/>
    <x v="351"/>
    <x v="2"/>
    <x v="3"/>
    <x v="4"/>
    <x v="714"/>
    <x v="14"/>
    <x v="3"/>
    <x v="0"/>
    <x v="1"/>
    <x v="0"/>
    <x v="898"/>
    <x v="440"/>
    <x v="0"/>
  </r>
  <r>
    <x v="1556"/>
    <x v="689"/>
    <x v="670"/>
    <x v="665"/>
    <x v="1232"/>
    <x v="1"/>
    <x v="2"/>
    <x v="667"/>
    <x v="533"/>
    <x v="1"/>
    <x v="9"/>
    <x v="0"/>
    <x v="0"/>
    <x v="3"/>
    <x v="1"/>
    <x v="2"/>
    <x v="2"/>
    <x v="1"/>
    <x v="2"/>
    <x v="1"/>
    <x v="1"/>
    <x v="349"/>
    <x v="1"/>
    <x v="3"/>
    <x v="4"/>
    <x v="681"/>
    <x v="14"/>
    <x v="3"/>
    <x v="0"/>
    <x v="1"/>
    <x v="0"/>
    <x v="899"/>
    <x v="441"/>
    <x v="0"/>
  </r>
  <r>
    <x v="1557"/>
    <x v="727"/>
    <x v="705"/>
    <x v="700"/>
    <x v="1233"/>
    <x v="3"/>
    <x v="2"/>
    <x v="699"/>
    <x v="10"/>
    <x v="1"/>
    <x v="15"/>
    <x v="0"/>
    <x v="0"/>
    <x v="1"/>
    <x v="1"/>
    <x v="1"/>
    <x v="2"/>
    <x v="1"/>
    <x v="2"/>
    <x v="1"/>
    <x v="1"/>
    <x v="351"/>
    <x v="1"/>
    <x v="6"/>
    <x v="3"/>
    <x v="717"/>
    <x v="14"/>
    <x v="3"/>
    <x v="0"/>
    <x v="1"/>
    <x v="0"/>
    <x v="898"/>
    <x v="440"/>
    <x v="0"/>
  </r>
  <r>
    <x v="1558"/>
    <x v="728"/>
    <x v="706"/>
    <x v="701"/>
    <x v="1234"/>
    <x v="1"/>
    <x v="2"/>
    <x v="700"/>
    <x v="534"/>
    <x v="1"/>
    <x v="31"/>
    <x v="0"/>
    <x v="0"/>
    <x v="1"/>
    <x v="2"/>
    <x v="3"/>
    <x v="2"/>
    <x v="1"/>
    <x v="2"/>
    <x v="1"/>
    <x v="1"/>
    <x v="351"/>
    <x v="2"/>
    <x v="6"/>
    <x v="3"/>
    <x v="718"/>
    <x v="14"/>
    <x v="3"/>
    <x v="0"/>
    <x v="1"/>
    <x v="0"/>
    <x v="898"/>
    <x v="442"/>
    <x v="0"/>
  </r>
  <r>
    <x v="1559"/>
    <x v="384"/>
    <x v="384"/>
    <x v="379"/>
    <x v="1235"/>
    <x v="3"/>
    <x v="2"/>
    <x v="399"/>
    <x v="308"/>
    <x v="1"/>
    <x v="33"/>
    <x v="0"/>
    <x v="0"/>
    <x v="1"/>
    <x v="3"/>
    <x v="3"/>
    <x v="2"/>
    <x v="1"/>
    <x v="2"/>
    <x v="1"/>
    <x v="1"/>
    <x v="349"/>
    <x v="1"/>
    <x v="6"/>
    <x v="2"/>
    <x v="387"/>
    <x v="12"/>
    <x v="3"/>
    <x v="0"/>
    <x v="1"/>
    <x v="0"/>
    <x v="900"/>
    <x v="443"/>
    <x v="0"/>
  </r>
  <r>
    <x v="1560"/>
    <x v="729"/>
    <x v="707"/>
    <x v="702"/>
    <x v="1236"/>
    <x v="1"/>
    <x v="2"/>
    <x v="701"/>
    <x v="535"/>
    <x v="1"/>
    <x v="3"/>
    <x v="0"/>
    <x v="0"/>
    <x v="1"/>
    <x v="3"/>
    <x v="2"/>
    <x v="2"/>
    <x v="1"/>
    <x v="2"/>
    <x v="1"/>
    <x v="1"/>
    <x v="349"/>
    <x v="2"/>
    <x v="6"/>
    <x v="2"/>
    <x v="719"/>
    <x v="12"/>
    <x v="1"/>
    <x v="7"/>
    <x v="1"/>
    <x v="0"/>
    <x v="901"/>
    <x v="444"/>
    <x v="0"/>
  </r>
  <r>
    <x v="1561"/>
    <x v="726"/>
    <x v="704"/>
    <x v="699"/>
    <x v="1237"/>
    <x v="3"/>
    <x v="1"/>
    <x v="698"/>
    <x v="338"/>
    <x v="1"/>
    <x v="304"/>
    <x v="0"/>
    <x v="0"/>
    <x v="1"/>
    <x v="3"/>
    <x v="3"/>
    <x v="2"/>
    <x v="1"/>
    <x v="2"/>
    <x v="1"/>
    <x v="1"/>
    <x v="349"/>
    <x v="1"/>
    <x v="6"/>
    <x v="2"/>
    <x v="720"/>
    <x v="12"/>
    <x v="3"/>
    <x v="0"/>
    <x v="1"/>
    <x v="0"/>
    <x v="902"/>
    <x v="445"/>
    <x v="270"/>
  </r>
  <r>
    <x v="1562"/>
    <x v="730"/>
    <x v="708"/>
    <x v="703"/>
    <x v="1238"/>
    <x v="1"/>
    <x v="2"/>
    <x v="702"/>
    <x v="298"/>
    <x v="1"/>
    <x v="305"/>
    <x v="0"/>
    <x v="0"/>
    <x v="1"/>
    <x v="1"/>
    <x v="1"/>
    <x v="2"/>
    <x v="1"/>
    <x v="2"/>
    <x v="1"/>
    <x v="2"/>
    <x v="0"/>
    <x v="1"/>
    <x v="6"/>
    <x v="2"/>
    <x v="721"/>
    <x v="12"/>
    <x v="0"/>
    <x v="0"/>
    <x v="1"/>
    <x v="0"/>
    <x v="0"/>
    <x v="0"/>
    <x v="399"/>
  </r>
  <r>
    <x v="1563"/>
    <x v="708"/>
    <x v="687"/>
    <x v="682"/>
    <x v="1239"/>
    <x v="1"/>
    <x v="1"/>
    <x v="683"/>
    <x v="196"/>
    <x v="6"/>
    <x v="0"/>
    <x v="0"/>
    <x v="16"/>
    <x v="1"/>
    <x v="3"/>
    <x v="3"/>
    <x v="1"/>
    <x v="1"/>
    <x v="2"/>
    <x v="1"/>
    <x v="1"/>
    <x v="352"/>
    <x v="1"/>
    <x v="1"/>
    <x v="2"/>
    <x v="698"/>
    <x v="12"/>
    <x v="3"/>
    <x v="0"/>
    <x v="1"/>
    <x v="0"/>
    <x v="903"/>
    <x v="446"/>
    <x v="0"/>
  </r>
  <r>
    <x v="1564"/>
    <x v="731"/>
    <x v="709"/>
    <x v="704"/>
    <x v="1240"/>
    <x v="1"/>
    <x v="2"/>
    <x v="703"/>
    <x v="536"/>
    <x v="1"/>
    <x v="27"/>
    <x v="0"/>
    <x v="0"/>
    <x v="1"/>
    <x v="2"/>
    <x v="5"/>
    <x v="2"/>
    <x v="1"/>
    <x v="2"/>
    <x v="1"/>
    <x v="1"/>
    <x v="352"/>
    <x v="1"/>
    <x v="1"/>
    <x v="2"/>
    <x v="722"/>
    <x v="3"/>
    <x v="1"/>
    <x v="3"/>
    <x v="2"/>
    <x v="1"/>
    <x v="904"/>
    <x v="0"/>
    <x v="0"/>
  </r>
  <r>
    <x v="1565"/>
    <x v="732"/>
    <x v="710"/>
    <x v="705"/>
    <x v="1241"/>
    <x v="1"/>
    <x v="2"/>
    <x v="704"/>
    <x v="537"/>
    <x v="6"/>
    <x v="0"/>
    <x v="0"/>
    <x v="33"/>
    <x v="1"/>
    <x v="1"/>
    <x v="1"/>
    <x v="2"/>
    <x v="1"/>
    <x v="2"/>
    <x v="1"/>
    <x v="2"/>
    <x v="0"/>
    <x v="1"/>
    <x v="1"/>
    <x v="2"/>
    <x v="723"/>
    <x v="15"/>
    <x v="0"/>
    <x v="0"/>
    <x v="1"/>
    <x v="0"/>
    <x v="0"/>
    <x v="0"/>
    <x v="0"/>
  </r>
  <r>
    <x v="1566"/>
    <x v="733"/>
    <x v="711"/>
    <x v="706"/>
    <x v="1242"/>
    <x v="1"/>
    <x v="2"/>
    <x v="126"/>
    <x v="538"/>
    <x v="12"/>
    <x v="0"/>
    <x v="0"/>
    <x v="0"/>
    <x v="1"/>
    <x v="1"/>
    <x v="4"/>
    <x v="2"/>
    <x v="1"/>
    <x v="3"/>
    <x v="1"/>
    <x v="2"/>
    <x v="0"/>
    <x v="1"/>
    <x v="5"/>
    <x v="2"/>
    <x v="724"/>
    <x v="3"/>
    <x v="0"/>
    <x v="0"/>
    <x v="1"/>
    <x v="0"/>
    <x v="0"/>
    <x v="0"/>
    <x v="0"/>
  </r>
  <r>
    <x v="1567"/>
    <x v="729"/>
    <x v="707"/>
    <x v="702"/>
    <x v="0"/>
    <x v="1"/>
    <x v="2"/>
    <x v="701"/>
    <x v="535"/>
    <x v="1"/>
    <x v="3"/>
    <x v="0"/>
    <x v="0"/>
    <x v="3"/>
    <x v="3"/>
    <x v="2"/>
    <x v="2"/>
    <x v="1"/>
    <x v="2"/>
    <x v="1"/>
    <x v="2"/>
    <x v="0"/>
    <x v="2"/>
    <x v="3"/>
    <x v="4"/>
    <x v="719"/>
    <x v="12"/>
    <x v="0"/>
    <x v="0"/>
    <x v="1"/>
    <x v="0"/>
    <x v="0"/>
    <x v="0"/>
    <x v="0"/>
  </r>
  <r>
    <x v="1568"/>
    <x v="731"/>
    <x v="709"/>
    <x v="704"/>
    <x v="1243"/>
    <x v="1"/>
    <x v="2"/>
    <x v="703"/>
    <x v="536"/>
    <x v="1"/>
    <x v="27"/>
    <x v="0"/>
    <x v="0"/>
    <x v="3"/>
    <x v="4"/>
    <x v="1"/>
    <x v="1"/>
    <x v="1"/>
    <x v="2"/>
    <x v="1"/>
    <x v="2"/>
    <x v="0"/>
    <x v="1"/>
    <x v="3"/>
    <x v="4"/>
    <x v="722"/>
    <x v="3"/>
    <x v="0"/>
    <x v="0"/>
    <x v="1"/>
    <x v="0"/>
    <x v="0"/>
    <x v="0"/>
    <x v="0"/>
  </r>
  <r>
    <x v="1569"/>
    <x v="734"/>
    <x v="712"/>
    <x v="707"/>
    <x v="1244"/>
    <x v="3"/>
    <x v="2"/>
    <x v="705"/>
    <x v="335"/>
    <x v="1"/>
    <x v="33"/>
    <x v="0"/>
    <x v="0"/>
    <x v="1"/>
    <x v="3"/>
    <x v="3"/>
    <x v="2"/>
    <x v="1"/>
    <x v="2"/>
    <x v="1"/>
    <x v="1"/>
    <x v="353"/>
    <x v="1"/>
    <x v="1"/>
    <x v="2"/>
    <x v="725"/>
    <x v="15"/>
    <x v="3"/>
    <x v="13"/>
    <x v="1"/>
    <x v="0"/>
    <x v="905"/>
    <x v="447"/>
    <x v="0"/>
  </r>
  <r>
    <x v="1570"/>
    <x v="735"/>
    <x v="713"/>
    <x v="708"/>
    <x v="1245"/>
    <x v="1"/>
    <x v="2"/>
    <x v="706"/>
    <x v="10"/>
    <x v="1"/>
    <x v="298"/>
    <x v="0"/>
    <x v="0"/>
    <x v="1"/>
    <x v="1"/>
    <x v="1"/>
    <x v="2"/>
    <x v="1"/>
    <x v="3"/>
    <x v="1"/>
    <x v="1"/>
    <x v="352"/>
    <x v="1"/>
    <x v="1"/>
    <x v="2"/>
    <x v="726"/>
    <x v="1"/>
    <x v="1"/>
    <x v="4"/>
    <x v="2"/>
    <x v="1"/>
    <x v="906"/>
    <x v="0"/>
    <x v="0"/>
  </r>
  <r>
    <x v="1571"/>
    <x v="735"/>
    <x v="713"/>
    <x v="708"/>
    <x v="1246"/>
    <x v="1"/>
    <x v="2"/>
    <x v="706"/>
    <x v="10"/>
    <x v="1"/>
    <x v="222"/>
    <x v="0"/>
    <x v="0"/>
    <x v="3"/>
    <x v="1"/>
    <x v="1"/>
    <x v="2"/>
    <x v="1"/>
    <x v="3"/>
    <x v="1"/>
    <x v="1"/>
    <x v="354"/>
    <x v="1"/>
    <x v="3"/>
    <x v="4"/>
    <x v="726"/>
    <x v="1"/>
    <x v="3"/>
    <x v="0"/>
    <x v="1"/>
    <x v="0"/>
    <x v="907"/>
    <x v="448"/>
    <x v="400"/>
  </r>
  <r>
    <x v="1572"/>
    <x v="736"/>
    <x v="714"/>
    <x v="709"/>
    <x v="1247"/>
    <x v="1"/>
    <x v="1"/>
    <x v="707"/>
    <x v="524"/>
    <x v="1"/>
    <x v="3"/>
    <x v="0"/>
    <x v="0"/>
    <x v="1"/>
    <x v="1"/>
    <x v="2"/>
    <x v="2"/>
    <x v="1"/>
    <x v="3"/>
    <x v="1"/>
    <x v="1"/>
    <x v="353"/>
    <x v="1"/>
    <x v="5"/>
    <x v="2"/>
    <x v="727"/>
    <x v="5"/>
    <x v="3"/>
    <x v="13"/>
    <x v="1"/>
    <x v="0"/>
    <x v="908"/>
    <x v="449"/>
    <x v="0"/>
  </r>
  <r>
    <x v="1573"/>
    <x v="362"/>
    <x v="362"/>
    <x v="357"/>
    <x v="1248"/>
    <x v="1"/>
    <x v="2"/>
    <x v="381"/>
    <x v="539"/>
    <x v="1"/>
    <x v="50"/>
    <x v="0"/>
    <x v="0"/>
    <x v="1"/>
    <x v="3"/>
    <x v="2"/>
    <x v="1"/>
    <x v="1"/>
    <x v="2"/>
    <x v="1"/>
    <x v="1"/>
    <x v="355"/>
    <x v="2"/>
    <x v="5"/>
    <x v="2"/>
    <x v="364"/>
    <x v="3"/>
    <x v="3"/>
    <x v="0"/>
    <x v="1"/>
    <x v="0"/>
    <x v="909"/>
    <x v="0"/>
    <x v="0"/>
  </r>
  <r>
    <x v="1574"/>
    <x v="737"/>
    <x v="715"/>
    <x v="710"/>
    <x v="1249"/>
    <x v="3"/>
    <x v="2"/>
    <x v="708"/>
    <x v="540"/>
    <x v="1"/>
    <x v="15"/>
    <x v="0"/>
    <x v="0"/>
    <x v="1"/>
    <x v="1"/>
    <x v="1"/>
    <x v="1"/>
    <x v="1"/>
    <x v="3"/>
    <x v="1"/>
    <x v="2"/>
    <x v="0"/>
    <x v="1"/>
    <x v="1"/>
    <x v="2"/>
    <x v="728"/>
    <x v="1"/>
    <x v="0"/>
    <x v="0"/>
    <x v="1"/>
    <x v="0"/>
    <x v="0"/>
    <x v="0"/>
    <x v="0"/>
  </r>
  <r>
    <x v="1575"/>
    <x v="509"/>
    <x v="501"/>
    <x v="493"/>
    <x v="1250"/>
    <x v="1"/>
    <x v="2"/>
    <x v="513"/>
    <x v="10"/>
    <x v="1"/>
    <x v="306"/>
    <x v="0"/>
    <x v="0"/>
    <x v="1"/>
    <x v="1"/>
    <x v="1"/>
    <x v="2"/>
    <x v="1"/>
    <x v="1"/>
    <x v="1"/>
    <x v="1"/>
    <x v="355"/>
    <x v="1"/>
    <x v="1"/>
    <x v="2"/>
    <x v="503"/>
    <x v="14"/>
    <x v="1"/>
    <x v="1"/>
    <x v="1"/>
    <x v="0"/>
    <x v="910"/>
    <x v="450"/>
    <x v="0"/>
  </r>
  <r>
    <x v="1576"/>
    <x v="738"/>
    <x v="716"/>
    <x v="711"/>
    <x v="1251"/>
    <x v="1"/>
    <x v="2"/>
    <x v="709"/>
    <x v="10"/>
    <x v="1"/>
    <x v="307"/>
    <x v="0"/>
    <x v="0"/>
    <x v="1"/>
    <x v="1"/>
    <x v="1"/>
    <x v="2"/>
    <x v="1"/>
    <x v="1"/>
    <x v="1"/>
    <x v="2"/>
    <x v="0"/>
    <x v="1"/>
    <x v="1"/>
    <x v="2"/>
    <x v="729"/>
    <x v="14"/>
    <x v="0"/>
    <x v="0"/>
    <x v="1"/>
    <x v="0"/>
    <x v="0"/>
    <x v="0"/>
    <x v="0"/>
  </r>
  <r>
    <x v="1577"/>
    <x v="739"/>
    <x v="717"/>
    <x v="712"/>
    <x v="1252"/>
    <x v="3"/>
    <x v="2"/>
    <x v="40"/>
    <x v="10"/>
    <x v="1"/>
    <x v="2"/>
    <x v="0"/>
    <x v="0"/>
    <x v="1"/>
    <x v="1"/>
    <x v="1"/>
    <x v="2"/>
    <x v="1"/>
    <x v="3"/>
    <x v="1"/>
    <x v="1"/>
    <x v="353"/>
    <x v="1"/>
    <x v="1"/>
    <x v="2"/>
    <x v="730"/>
    <x v="1"/>
    <x v="1"/>
    <x v="4"/>
    <x v="2"/>
    <x v="1"/>
    <x v="911"/>
    <x v="451"/>
    <x v="401"/>
  </r>
  <r>
    <x v="1578"/>
    <x v="739"/>
    <x v="717"/>
    <x v="712"/>
    <x v="1253"/>
    <x v="3"/>
    <x v="2"/>
    <x v="40"/>
    <x v="10"/>
    <x v="1"/>
    <x v="2"/>
    <x v="0"/>
    <x v="0"/>
    <x v="3"/>
    <x v="1"/>
    <x v="1"/>
    <x v="2"/>
    <x v="1"/>
    <x v="3"/>
    <x v="1"/>
    <x v="2"/>
    <x v="0"/>
    <x v="1"/>
    <x v="3"/>
    <x v="4"/>
    <x v="730"/>
    <x v="1"/>
    <x v="0"/>
    <x v="0"/>
    <x v="1"/>
    <x v="0"/>
    <x v="0"/>
    <x v="0"/>
    <x v="0"/>
  </r>
  <r>
    <x v="1579"/>
    <x v="740"/>
    <x v="718"/>
    <x v="713"/>
    <x v="1254"/>
    <x v="1"/>
    <x v="2"/>
    <x v="710"/>
    <x v="426"/>
    <x v="1"/>
    <x v="3"/>
    <x v="0"/>
    <x v="0"/>
    <x v="1"/>
    <x v="1"/>
    <x v="2"/>
    <x v="2"/>
    <x v="1"/>
    <x v="2"/>
    <x v="1"/>
    <x v="1"/>
    <x v="356"/>
    <x v="1"/>
    <x v="1"/>
    <x v="1"/>
    <x v="731"/>
    <x v="14"/>
    <x v="3"/>
    <x v="0"/>
    <x v="1"/>
    <x v="0"/>
    <x v="912"/>
    <x v="452"/>
    <x v="0"/>
  </r>
  <r>
    <x v="1580"/>
    <x v="509"/>
    <x v="501"/>
    <x v="493"/>
    <x v="0"/>
    <x v="1"/>
    <x v="3"/>
    <x v="513"/>
    <x v="375"/>
    <x v="1"/>
    <x v="8"/>
    <x v="0"/>
    <x v="0"/>
    <x v="3"/>
    <x v="1"/>
    <x v="1"/>
    <x v="2"/>
    <x v="1"/>
    <x v="2"/>
    <x v="1"/>
    <x v="2"/>
    <x v="0"/>
    <x v="2"/>
    <x v="3"/>
    <x v="4"/>
    <x v="503"/>
    <x v="5"/>
    <x v="0"/>
    <x v="0"/>
    <x v="1"/>
    <x v="0"/>
    <x v="0"/>
    <x v="0"/>
    <x v="0"/>
  </r>
  <r>
    <x v="1581"/>
    <x v="658"/>
    <x v="642"/>
    <x v="637"/>
    <x v="1255"/>
    <x v="3"/>
    <x v="1"/>
    <x v="638"/>
    <x v="10"/>
    <x v="1"/>
    <x v="31"/>
    <x v="0"/>
    <x v="0"/>
    <x v="1"/>
    <x v="2"/>
    <x v="3"/>
    <x v="2"/>
    <x v="1"/>
    <x v="2"/>
    <x v="1"/>
    <x v="1"/>
    <x v="354"/>
    <x v="1"/>
    <x v="1"/>
    <x v="2"/>
    <x v="652"/>
    <x v="14"/>
    <x v="3"/>
    <x v="0"/>
    <x v="1"/>
    <x v="0"/>
    <x v="913"/>
    <x v="453"/>
    <x v="402"/>
  </r>
  <r>
    <x v="1582"/>
    <x v="301"/>
    <x v="719"/>
    <x v="297"/>
    <x v="1256"/>
    <x v="1"/>
    <x v="2"/>
    <x v="315"/>
    <x v="384"/>
    <x v="6"/>
    <x v="0"/>
    <x v="0"/>
    <x v="10"/>
    <x v="1"/>
    <x v="3"/>
    <x v="3"/>
    <x v="2"/>
    <x v="1"/>
    <x v="2"/>
    <x v="1"/>
    <x v="1"/>
    <x v="354"/>
    <x v="1"/>
    <x v="5"/>
    <x v="3"/>
    <x v="303"/>
    <x v="14"/>
    <x v="3"/>
    <x v="0"/>
    <x v="1"/>
    <x v="0"/>
    <x v="914"/>
    <x v="454"/>
    <x v="403"/>
  </r>
  <r>
    <x v="1583"/>
    <x v="729"/>
    <x v="707"/>
    <x v="702"/>
    <x v="1257"/>
    <x v="1"/>
    <x v="2"/>
    <x v="701"/>
    <x v="535"/>
    <x v="1"/>
    <x v="4"/>
    <x v="0"/>
    <x v="0"/>
    <x v="1"/>
    <x v="1"/>
    <x v="1"/>
    <x v="2"/>
    <x v="1"/>
    <x v="2"/>
    <x v="1"/>
    <x v="1"/>
    <x v="355"/>
    <x v="1"/>
    <x v="5"/>
    <x v="2"/>
    <x v="719"/>
    <x v="5"/>
    <x v="1"/>
    <x v="1"/>
    <x v="1"/>
    <x v="0"/>
    <x v="915"/>
    <x v="0"/>
    <x v="0"/>
  </r>
  <r>
    <x v="1584"/>
    <x v="729"/>
    <x v="707"/>
    <x v="702"/>
    <x v="1257"/>
    <x v="1"/>
    <x v="2"/>
    <x v="701"/>
    <x v="535"/>
    <x v="1"/>
    <x v="4"/>
    <x v="0"/>
    <x v="0"/>
    <x v="3"/>
    <x v="1"/>
    <x v="1"/>
    <x v="2"/>
    <x v="1"/>
    <x v="2"/>
    <x v="1"/>
    <x v="2"/>
    <x v="0"/>
    <x v="1"/>
    <x v="3"/>
    <x v="4"/>
    <x v="719"/>
    <x v="5"/>
    <x v="0"/>
    <x v="0"/>
    <x v="1"/>
    <x v="0"/>
    <x v="0"/>
    <x v="0"/>
    <x v="0"/>
  </r>
  <r>
    <x v="1585"/>
    <x v="741"/>
    <x v="720"/>
    <x v="714"/>
    <x v="1258"/>
    <x v="3"/>
    <x v="2"/>
    <x v="711"/>
    <x v="352"/>
    <x v="1"/>
    <x v="308"/>
    <x v="0"/>
    <x v="0"/>
    <x v="1"/>
    <x v="1"/>
    <x v="1"/>
    <x v="2"/>
    <x v="1"/>
    <x v="2"/>
    <x v="1"/>
    <x v="1"/>
    <x v="354"/>
    <x v="1"/>
    <x v="6"/>
    <x v="3"/>
    <x v="732"/>
    <x v="3"/>
    <x v="1"/>
    <x v="3"/>
    <x v="1"/>
    <x v="0"/>
    <x v="916"/>
    <x v="0"/>
    <x v="404"/>
  </r>
  <r>
    <x v="1586"/>
    <x v="742"/>
    <x v="721"/>
    <x v="715"/>
    <x v="1259"/>
    <x v="1"/>
    <x v="3"/>
    <x v="712"/>
    <x v="384"/>
    <x v="6"/>
    <x v="0"/>
    <x v="0"/>
    <x v="34"/>
    <x v="1"/>
    <x v="1"/>
    <x v="2"/>
    <x v="2"/>
    <x v="1"/>
    <x v="2"/>
    <x v="1"/>
    <x v="1"/>
    <x v="357"/>
    <x v="1"/>
    <x v="6"/>
    <x v="3"/>
    <x v="733"/>
    <x v="14"/>
    <x v="3"/>
    <x v="0"/>
    <x v="1"/>
    <x v="0"/>
    <x v="917"/>
    <x v="455"/>
    <x v="0"/>
  </r>
  <r>
    <x v="1587"/>
    <x v="743"/>
    <x v="633"/>
    <x v="627"/>
    <x v="1260"/>
    <x v="1"/>
    <x v="2"/>
    <x v="631"/>
    <x v="10"/>
    <x v="1"/>
    <x v="22"/>
    <x v="0"/>
    <x v="0"/>
    <x v="1"/>
    <x v="1"/>
    <x v="3"/>
    <x v="2"/>
    <x v="1"/>
    <x v="2"/>
    <x v="1"/>
    <x v="1"/>
    <x v="356"/>
    <x v="1"/>
    <x v="6"/>
    <x v="3"/>
    <x v="643"/>
    <x v="14"/>
    <x v="1"/>
    <x v="1"/>
    <x v="1"/>
    <x v="0"/>
    <x v="918"/>
    <x v="0"/>
    <x v="0"/>
  </r>
  <r>
    <x v="1588"/>
    <x v="744"/>
    <x v="722"/>
    <x v="716"/>
    <x v="1261"/>
    <x v="1"/>
    <x v="1"/>
    <x v="713"/>
    <x v="196"/>
    <x v="6"/>
    <x v="0"/>
    <x v="0"/>
    <x v="10"/>
    <x v="1"/>
    <x v="1"/>
    <x v="1"/>
    <x v="2"/>
    <x v="2"/>
    <x v="2"/>
    <x v="1"/>
    <x v="1"/>
    <x v="358"/>
    <x v="1"/>
    <x v="6"/>
    <x v="2"/>
    <x v="734"/>
    <x v="12"/>
    <x v="1"/>
    <x v="3"/>
    <x v="2"/>
    <x v="1"/>
    <x v="919"/>
    <x v="0"/>
    <x v="405"/>
  </r>
  <r>
    <x v="1589"/>
    <x v="745"/>
    <x v="723"/>
    <x v="717"/>
    <x v="1262"/>
    <x v="1"/>
    <x v="2"/>
    <x v="714"/>
    <x v="533"/>
    <x v="1"/>
    <x v="3"/>
    <x v="0"/>
    <x v="0"/>
    <x v="1"/>
    <x v="1"/>
    <x v="1"/>
    <x v="2"/>
    <x v="1"/>
    <x v="2"/>
    <x v="1"/>
    <x v="2"/>
    <x v="0"/>
    <x v="1"/>
    <x v="6"/>
    <x v="2"/>
    <x v="735"/>
    <x v="12"/>
    <x v="0"/>
    <x v="0"/>
    <x v="1"/>
    <x v="0"/>
    <x v="0"/>
    <x v="0"/>
    <x v="0"/>
  </r>
  <r>
    <x v="1590"/>
    <x v="743"/>
    <x v="633"/>
    <x v="627"/>
    <x v="0"/>
    <x v="1"/>
    <x v="2"/>
    <x v="631"/>
    <x v="541"/>
    <x v="1"/>
    <x v="22"/>
    <x v="0"/>
    <x v="0"/>
    <x v="3"/>
    <x v="1"/>
    <x v="1"/>
    <x v="2"/>
    <x v="1"/>
    <x v="2"/>
    <x v="1"/>
    <x v="1"/>
    <x v="359"/>
    <x v="2"/>
    <x v="3"/>
    <x v="4"/>
    <x v="643"/>
    <x v="5"/>
    <x v="0"/>
    <x v="0"/>
    <x v="1"/>
    <x v="0"/>
    <x v="498"/>
    <x v="0"/>
    <x v="0"/>
  </r>
  <r>
    <x v="1591"/>
    <x v="746"/>
    <x v="724"/>
    <x v="718"/>
    <x v="1263"/>
    <x v="3"/>
    <x v="2"/>
    <x v="715"/>
    <x v="280"/>
    <x v="1"/>
    <x v="9"/>
    <x v="0"/>
    <x v="0"/>
    <x v="1"/>
    <x v="4"/>
    <x v="1"/>
    <x v="2"/>
    <x v="1"/>
    <x v="3"/>
    <x v="1"/>
    <x v="1"/>
    <x v="360"/>
    <x v="1"/>
    <x v="1"/>
    <x v="2"/>
    <x v="736"/>
    <x v="15"/>
    <x v="4"/>
    <x v="5"/>
    <x v="2"/>
    <x v="1"/>
    <x v="920"/>
    <x v="0"/>
    <x v="0"/>
  </r>
  <r>
    <x v="1592"/>
    <x v="747"/>
    <x v="725"/>
    <x v="719"/>
    <x v="1264"/>
    <x v="3"/>
    <x v="2"/>
    <x v="716"/>
    <x v="542"/>
    <x v="1"/>
    <x v="15"/>
    <x v="0"/>
    <x v="0"/>
    <x v="1"/>
    <x v="1"/>
    <x v="1"/>
    <x v="2"/>
    <x v="1"/>
    <x v="2"/>
    <x v="1"/>
    <x v="2"/>
    <x v="0"/>
    <x v="1"/>
    <x v="1"/>
    <x v="2"/>
    <x v="737"/>
    <x v="15"/>
    <x v="0"/>
    <x v="0"/>
    <x v="1"/>
    <x v="0"/>
    <x v="0"/>
    <x v="0"/>
    <x v="0"/>
  </r>
  <r>
    <x v="1593"/>
    <x v="438"/>
    <x v="434"/>
    <x v="429"/>
    <x v="1265"/>
    <x v="1"/>
    <x v="2"/>
    <x v="444"/>
    <x v="339"/>
    <x v="1"/>
    <x v="33"/>
    <x v="0"/>
    <x v="0"/>
    <x v="1"/>
    <x v="3"/>
    <x v="2"/>
    <x v="2"/>
    <x v="1"/>
    <x v="3"/>
    <x v="1"/>
    <x v="2"/>
    <x v="0"/>
    <x v="2"/>
    <x v="1"/>
    <x v="2"/>
    <x v="437"/>
    <x v="2"/>
    <x v="0"/>
    <x v="0"/>
    <x v="1"/>
    <x v="0"/>
    <x v="0"/>
    <x v="0"/>
    <x v="406"/>
  </r>
  <r>
    <x v="1594"/>
    <x v="748"/>
    <x v="726"/>
    <x v="720"/>
    <x v="1266"/>
    <x v="1"/>
    <x v="2"/>
    <x v="717"/>
    <x v="543"/>
    <x v="2"/>
    <x v="0"/>
    <x v="2"/>
    <x v="0"/>
    <x v="1"/>
    <x v="3"/>
    <x v="3"/>
    <x v="2"/>
    <x v="1"/>
    <x v="2"/>
    <x v="1"/>
    <x v="1"/>
    <x v="360"/>
    <x v="1"/>
    <x v="5"/>
    <x v="2"/>
    <x v="738"/>
    <x v="5"/>
    <x v="3"/>
    <x v="0"/>
    <x v="1"/>
    <x v="0"/>
    <x v="921"/>
    <x v="456"/>
    <x v="0"/>
  </r>
  <r>
    <x v="1595"/>
    <x v="741"/>
    <x v="720"/>
    <x v="714"/>
    <x v="0"/>
    <x v="3"/>
    <x v="2"/>
    <x v="711"/>
    <x v="352"/>
    <x v="1"/>
    <x v="308"/>
    <x v="0"/>
    <x v="0"/>
    <x v="3"/>
    <x v="1"/>
    <x v="1"/>
    <x v="2"/>
    <x v="1"/>
    <x v="2"/>
    <x v="1"/>
    <x v="2"/>
    <x v="0"/>
    <x v="1"/>
    <x v="3"/>
    <x v="4"/>
    <x v="732"/>
    <x v="3"/>
    <x v="0"/>
    <x v="0"/>
    <x v="1"/>
    <x v="0"/>
    <x v="0"/>
    <x v="0"/>
    <x v="0"/>
  </r>
  <r>
    <x v="1596"/>
    <x v="327"/>
    <x v="327"/>
    <x v="322"/>
    <x v="1267"/>
    <x v="3"/>
    <x v="2"/>
    <x v="341"/>
    <x v="544"/>
    <x v="1"/>
    <x v="309"/>
    <x v="0"/>
    <x v="0"/>
    <x v="1"/>
    <x v="2"/>
    <x v="3"/>
    <x v="2"/>
    <x v="1"/>
    <x v="2"/>
    <x v="1"/>
    <x v="1"/>
    <x v="358"/>
    <x v="1"/>
    <x v="1"/>
    <x v="2"/>
    <x v="329"/>
    <x v="1"/>
    <x v="1"/>
    <x v="14"/>
    <x v="1"/>
    <x v="0"/>
    <x v="922"/>
    <x v="0"/>
    <x v="407"/>
  </r>
  <r>
    <x v="1597"/>
    <x v="749"/>
    <x v="727"/>
    <x v="721"/>
    <x v="1268"/>
    <x v="1"/>
    <x v="2"/>
    <x v="718"/>
    <x v="545"/>
    <x v="1"/>
    <x v="2"/>
    <x v="0"/>
    <x v="0"/>
    <x v="1"/>
    <x v="1"/>
    <x v="1"/>
    <x v="2"/>
    <x v="1"/>
    <x v="3"/>
    <x v="1"/>
    <x v="1"/>
    <x v="361"/>
    <x v="1"/>
    <x v="5"/>
    <x v="2"/>
    <x v="739"/>
    <x v="3"/>
    <x v="0"/>
    <x v="0"/>
    <x v="1"/>
    <x v="0"/>
    <x v="0"/>
    <x v="0"/>
    <x v="0"/>
  </r>
  <r>
    <x v="1598"/>
    <x v="327"/>
    <x v="327"/>
    <x v="322"/>
    <x v="0"/>
    <x v="3"/>
    <x v="2"/>
    <x v="341"/>
    <x v="544"/>
    <x v="1"/>
    <x v="310"/>
    <x v="0"/>
    <x v="0"/>
    <x v="3"/>
    <x v="4"/>
    <x v="1"/>
    <x v="2"/>
    <x v="1"/>
    <x v="2"/>
    <x v="1"/>
    <x v="2"/>
    <x v="0"/>
    <x v="2"/>
    <x v="3"/>
    <x v="4"/>
    <x v="329"/>
    <x v="15"/>
    <x v="0"/>
    <x v="0"/>
    <x v="1"/>
    <x v="0"/>
    <x v="0"/>
    <x v="0"/>
    <x v="0"/>
  </r>
  <r>
    <x v="1599"/>
    <x v="744"/>
    <x v="722"/>
    <x v="716"/>
    <x v="1269"/>
    <x v="1"/>
    <x v="1"/>
    <x v="713"/>
    <x v="196"/>
    <x v="6"/>
    <x v="0"/>
    <x v="0"/>
    <x v="10"/>
    <x v="3"/>
    <x v="1"/>
    <x v="1"/>
    <x v="2"/>
    <x v="1"/>
    <x v="2"/>
    <x v="1"/>
    <x v="1"/>
    <x v="361"/>
    <x v="1"/>
    <x v="3"/>
    <x v="4"/>
    <x v="734"/>
    <x v="3"/>
    <x v="0"/>
    <x v="0"/>
    <x v="1"/>
    <x v="0"/>
    <x v="0"/>
    <x v="0"/>
    <x v="0"/>
  </r>
  <r>
    <x v="1600"/>
    <x v="750"/>
    <x v="728"/>
    <x v="722"/>
    <x v="1270"/>
    <x v="1"/>
    <x v="2"/>
    <x v="719"/>
    <x v="546"/>
    <x v="1"/>
    <x v="3"/>
    <x v="0"/>
    <x v="0"/>
    <x v="1"/>
    <x v="3"/>
    <x v="2"/>
    <x v="1"/>
    <x v="1"/>
    <x v="3"/>
    <x v="1"/>
    <x v="1"/>
    <x v="361"/>
    <x v="1"/>
    <x v="1"/>
    <x v="2"/>
    <x v="740"/>
    <x v="15"/>
    <x v="0"/>
    <x v="0"/>
    <x v="1"/>
    <x v="0"/>
    <x v="0"/>
    <x v="0"/>
    <x v="0"/>
  </r>
  <r>
    <x v="1601"/>
    <x v="751"/>
    <x v="729"/>
    <x v="723"/>
    <x v="1271"/>
    <x v="1"/>
    <x v="1"/>
    <x v="720"/>
    <x v="547"/>
    <x v="1"/>
    <x v="1"/>
    <x v="0"/>
    <x v="0"/>
    <x v="1"/>
    <x v="2"/>
    <x v="3"/>
    <x v="2"/>
    <x v="1"/>
    <x v="2"/>
    <x v="1"/>
    <x v="1"/>
    <x v="359"/>
    <x v="1"/>
    <x v="1"/>
    <x v="2"/>
    <x v="741"/>
    <x v="3"/>
    <x v="0"/>
    <x v="0"/>
    <x v="1"/>
    <x v="0"/>
    <x v="0"/>
    <x v="0"/>
    <x v="0"/>
  </r>
  <r>
    <x v="1602"/>
    <x v="752"/>
    <x v="730"/>
    <x v="724"/>
    <x v="1272"/>
    <x v="1"/>
    <x v="2"/>
    <x v="721"/>
    <x v="340"/>
    <x v="2"/>
    <x v="0"/>
    <x v="2"/>
    <x v="0"/>
    <x v="1"/>
    <x v="3"/>
    <x v="2"/>
    <x v="1"/>
    <x v="1"/>
    <x v="3"/>
    <x v="1"/>
    <x v="1"/>
    <x v="359"/>
    <x v="2"/>
    <x v="1"/>
    <x v="2"/>
    <x v="742"/>
    <x v="2"/>
    <x v="0"/>
    <x v="0"/>
    <x v="1"/>
    <x v="0"/>
    <x v="0"/>
    <x v="0"/>
    <x v="0"/>
  </r>
  <r>
    <x v="1603"/>
    <x v="0"/>
    <x v="0"/>
    <x v="0"/>
    <x v="0"/>
    <x v="0"/>
    <x v="0"/>
    <x v="0"/>
    <x v="0"/>
    <x v="0"/>
    <x v="0"/>
    <x v="0"/>
    <x v="0"/>
    <x v="0"/>
    <x v="0"/>
    <x v="0"/>
    <x v="0"/>
    <x v="0"/>
    <x v="0"/>
    <x v="0"/>
    <x v="0"/>
    <x v="0"/>
    <x v="0"/>
    <x v="0"/>
    <x v="0"/>
    <x v="0"/>
    <x v="0"/>
    <x v="0"/>
    <x v="0"/>
    <x v="1"/>
    <x v="0"/>
    <x v="0"/>
    <x v="457"/>
    <x v="0"/>
  </r>
  <r>
    <x v="1604"/>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408"/>
  </r>
  <r>
    <x v="1603"/>
    <x v="0"/>
    <x v="0"/>
    <x v="0"/>
    <x v="0"/>
    <x v="0"/>
    <x v="0"/>
    <x v="0"/>
    <x v="0"/>
    <x v="0"/>
    <x v="0"/>
    <x v="0"/>
    <x v="0"/>
    <x v="0"/>
    <x v="0"/>
    <x v="0"/>
    <x v="0"/>
    <x v="0"/>
    <x v="0"/>
    <x v="0"/>
    <x v="0"/>
    <x v="0"/>
    <x v="0"/>
    <x v="0"/>
    <x v="0"/>
    <x v="0"/>
    <x v="21"/>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753"/>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458"/>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pivotCacheRecords>
</file>

<file path=xl/pivotCache/pivotCacheRecords2.xml><?xml version="1.0" encoding="utf-8"?>
<pivotCacheRecords xmlns="http://schemas.openxmlformats.org/spreadsheetml/2006/main" xmlns:r="http://schemas.openxmlformats.org/officeDocument/2006/relationships" count="1613">
  <r>
    <x v="0"/>
    <x v="0"/>
    <x v="0"/>
    <x v="0"/>
    <x v="0"/>
    <x v="0"/>
    <x v="0"/>
    <x v="0"/>
    <x v="0"/>
    <x v="0"/>
    <x v="0"/>
    <x v="0"/>
    <x v="0"/>
    <x v="0"/>
    <x v="0"/>
    <x v="0"/>
    <x v="0"/>
    <x v="0"/>
    <x v="0"/>
    <x v="0"/>
    <x v="0"/>
    <x v="0"/>
    <x v="0"/>
    <x v="0"/>
    <x v="0"/>
    <x v="0"/>
    <x v="0"/>
    <x v="0"/>
    <x v="0"/>
    <x v="0"/>
    <x v="0"/>
    <x v="0"/>
    <x v="0"/>
    <x v="0"/>
  </r>
  <r>
    <x v="1"/>
    <x v="0"/>
    <x v="0"/>
    <x v="0"/>
    <x v="0"/>
    <x v="0"/>
    <x v="0"/>
    <x v="0"/>
    <x v="0"/>
    <x v="0"/>
    <x v="0"/>
    <x v="0"/>
    <x v="0"/>
    <x v="0"/>
    <x v="0"/>
    <x v="0"/>
    <x v="0"/>
    <x v="0"/>
    <x v="0"/>
    <x v="0"/>
    <x v="0"/>
    <x v="0"/>
    <x v="0"/>
    <x v="0"/>
    <x v="0"/>
    <x v="0"/>
    <x v="0"/>
    <x v="0"/>
    <x v="0"/>
    <x v="0"/>
    <x v="0"/>
    <x v="0"/>
    <x v="0"/>
    <x v="0"/>
  </r>
  <r>
    <x v="2"/>
    <x v="0"/>
    <x v="0"/>
    <x v="0"/>
    <x v="0"/>
    <x v="0"/>
    <x v="0"/>
    <x v="0"/>
    <x v="0"/>
    <x v="0"/>
    <x v="0"/>
    <x v="0"/>
    <x v="0"/>
    <x v="0"/>
    <x v="0"/>
    <x v="0"/>
    <x v="0"/>
    <x v="0"/>
    <x v="0"/>
    <x v="0"/>
    <x v="0"/>
    <x v="0"/>
    <x v="0"/>
    <x v="0"/>
    <x v="0"/>
    <x v="0"/>
    <x v="0"/>
    <x v="0"/>
    <x v="0"/>
    <x v="0"/>
    <x v="0"/>
    <x v="0"/>
    <x v="0"/>
    <x v="0"/>
  </r>
  <r>
    <x v="3"/>
    <x v="1"/>
    <x v="1"/>
    <x v="1"/>
    <x v="1"/>
    <x v="1"/>
    <x v="1"/>
    <x v="1"/>
    <x v="0"/>
    <x v="1"/>
    <x v="0"/>
    <x v="0"/>
    <x v="0"/>
    <x v="1"/>
    <x v="1"/>
    <x v="1"/>
    <x v="1"/>
    <x v="1"/>
    <x v="1"/>
    <x v="1"/>
    <x v="1"/>
    <x v="1"/>
    <x v="1"/>
    <x v="1"/>
    <x v="1"/>
    <x v="1"/>
    <x v="0"/>
    <x v="1"/>
    <x v="1"/>
    <x v="1"/>
    <x v="0"/>
    <x v="1"/>
    <x v="0"/>
    <x v="0"/>
  </r>
  <r>
    <x v="4"/>
    <x v="2"/>
    <x v="2"/>
    <x v="2"/>
    <x v="2"/>
    <x v="1"/>
    <x v="2"/>
    <x v="2"/>
    <x v="1"/>
    <x v="1"/>
    <x v="1"/>
    <x v="0"/>
    <x v="0"/>
    <x v="1"/>
    <x v="1"/>
    <x v="2"/>
    <x v="1"/>
    <x v="1"/>
    <x v="1"/>
    <x v="1"/>
    <x v="1"/>
    <x v="2"/>
    <x v="2"/>
    <x v="1"/>
    <x v="2"/>
    <x v="2"/>
    <x v="0"/>
    <x v="1"/>
    <x v="1"/>
    <x v="1"/>
    <x v="0"/>
    <x v="2"/>
    <x v="1"/>
    <x v="0"/>
  </r>
  <r>
    <x v="5"/>
    <x v="3"/>
    <x v="3"/>
    <x v="3"/>
    <x v="3"/>
    <x v="1"/>
    <x v="2"/>
    <x v="3"/>
    <x v="0"/>
    <x v="1"/>
    <x v="2"/>
    <x v="0"/>
    <x v="0"/>
    <x v="2"/>
    <x v="2"/>
    <x v="3"/>
    <x v="2"/>
    <x v="1"/>
    <x v="1"/>
    <x v="1"/>
    <x v="1"/>
    <x v="3"/>
    <x v="2"/>
    <x v="2"/>
    <x v="3"/>
    <x v="3"/>
    <x v="0"/>
    <x v="2"/>
    <x v="0"/>
    <x v="1"/>
    <x v="0"/>
    <x v="3"/>
    <x v="0"/>
    <x v="0"/>
  </r>
  <r>
    <x v="6"/>
    <x v="4"/>
    <x v="4"/>
    <x v="4"/>
    <x v="4"/>
    <x v="1"/>
    <x v="1"/>
    <x v="4"/>
    <x v="0"/>
    <x v="1"/>
    <x v="3"/>
    <x v="0"/>
    <x v="0"/>
    <x v="1"/>
    <x v="1"/>
    <x v="1"/>
    <x v="2"/>
    <x v="1"/>
    <x v="2"/>
    <x v="1"/>
    <x v="1"/>
    <x v="4"/>
    <x v="1"/>
    <x v="2"/>
    <x v="2"/>
    <x v="4"/>
    <x v="0"/>
    <x v="1"/>
    <x v="2"/>
    <x v="1"/>
    <x v="0"/>
    <x v="4"/>
    <x v="2"/>
    <x v="1"/>
  </r>
  <r>
    <x v="7"/>
    <x v="5"/>
    <x v="5"/>
    <x v="5"/>
    <x v="5"/>
    <x v="1"/>
    <x v="2"/>
    <x v="5"/>
    <x v="2"/>
    <x v="2"/>
    <x v="0"/>
    <x v="1"/>
    <x v="0"/>
    <x v="1"/>
    <x v="1"/>
    <x v="1"/>
    <x v="2"/>
    <x v="1"/>
    <x v="3"/>
    <x v="1"/>
    <x v="1"/>
    <x v="5"/>
    <x v="2"/>
    <x v="1"/>
    <x v="2"/>
    <x v="5"/>
    <x v="0"/>
    <x v="1"/>
    <x v="3"/>
    <x v="1"/>
    <x v="0"/>
    <x v="4"/>
    <x v="3"/>
    <x v="0"/>
  </r>
  <r>
    <x v="8"/>
    <x v="6"/>
    <x v="6"/>
    <x v="6"/>
    <x v="6"/>
    <x v="1"/>
    <x v="3"/>
    <x v="6"/>
    <x v="3"/>
    <x v="1"/>
    <x v="4"/>
    <x v="0"/>
    <x v="0"/>
    <x v="1"/>
    <x v="1"/>
    <x v="1"/>
    <x v="2"/>
    <x v="1"/>
    <x v="2"/>
    <x v="1"/>
    <x v="1"/>
    <x v="6"/>
    <x v="2"/>
    <x v="1"/>
    <x v="2"/>
    <x v="6"/>
    <x v="1"/>
    <x v="1"/>
    <x v="4"/>
    <x v="1"/>
    <x v="0"/>
    <x v="5"/>
    <x v="0"/>
    <x v="0"/>
  </r>
  <r>
    <x v="9"/>
    <x v="6"/>
    <x v="6"/>
    <x v="6"/>
    <x v="0"/>
    <x v="1"/>
    <x v="3"/>
    <x v="6"/>
    <x v="4"/>
    <x v="1"/>
    <x v="4"/>
    <x v="0"/>
    <x v="0"/>
    <x v="3"/>
    <x v="3"/>
    <x v="2"/>
    <x v="1"/>
    <x v="1"/>
    <x v="2"/>
    <x v="1"/>
    <x v="1"/>
    <x v="7"/>
    <x v="2"/>
    <x v="3"/>
    <x v="4"/>
    <x v="6"/>
    <x v="1"/>
    <x v="3"/>
    <x v="0"/>
    <x v="1"/>
    <x v="0"/>
    <x v="0"/>
    <x v="0"/>
    <x v="0"/>
  </r>
  <r>
    <x v="10"/>
    <x v="7"/>
    <x v="7"/>
    <x v="7"/>
    <x v="7"/>
    <x v="1"/>
    <x v="1"/>
    <x v="7"/>
    <x v="5"/>
    <x v="3"/>
    <x v="0"/>
    <x v="0"/>
    <x v="0"/>
    <x v="1"/>
    <x v="1"/>
    <x v="1"/>
    <x v="2"/>
    <x v="1"/>
    <x v="1"/>
    <x v="1"/>
    <x v="1"/>
    <x v="8"/>
    <x v="1"/>
    <x v="1"/>
    <x v="2"/>
    <x v="7"/>
    <x v="2"/>
    <x v="0"/>
    <x v="0"/>
    <x v="1"/>
    <x v="0"/>
    <x v="0"/>
    <x v="0"/>
    <x v="0"/>
  </r>
  <r>
    <x v="11"/>
    <x v="7"/>
    <x v="7"/>
    <x v="7"/>
    <x v="8"/>
    <x v="1"/>
    <x v="1"/>
    <x v="8"/>
    <x v="5"/>
    <x v="1"/>
    <x v="4"/>
    <x v="0"/>
    <x v="0"/>
    <x v="1"/>
    <x v="2"/>
    <x v="3"/>
    <x v="2"/>
    <x v="1"/>
    <x v="2"/>
    <x v="1"/>
    <x v="1"/>
    <x v="8"/>
    <x v="1"/>
    <x v="1"/>
    <x v="2"/>
    <x v="7"/>
    <x v="3"/>
    <x v="1"/>
    <x v="5"/>
    <x v="1"/>
    <x v="0"/>
    <x v="6"/>
    <x v="4"/>
    <x v="0"/>
  </r>
  <r>
    <x v="12"/>
    <x v="2"/>
    <x v="2"/>
    <x v="2"/>
    <x v="0"/>
    <x v="1"/>
    <x v="2"/>
    <x v="2"/>
    <x v="1"/>
    <x v="1"/>
    <x v="1"/>
    <x v="0"/>
    <x v="0"/>
    <x v="3"/>
    <x v="1"/>
    <x v="1"/>
    <x v="2"/>
    <x v="1"/>
    <x v="1"/>
    <x v="1"/>
    <x v="2"/>
    <x v="0"/>
    <x v="2"/>
    <x v="3"/>
    <x v="4"/>
    <x v="2"/>
    <x v="0"/>
    <x v="0"/>
    <x v="0"/>
    <x v="1"/>
    <x v="0"/>
    <x v="0"/>
    <x v="0"/>
    <x v="0"/>
  </r>
  <r>
    <x v="13"/>
    <x v="5"/>
    <x v="5"/>
    <x v="5"/>
    <x v="0"/>
    <x v="1"/>
    <x v="2"/>
    <x v="5"/>
    <x v="2"/>
    <x v="2"/>
    <x v="0"/>
    <x v="2"/>
    <x v="0"/>
    <x v="3"/>
    <x v="1"/>
    <x v="1"/>
    <x v="2"/>
    <x v="1"/>
    <x v="3"/>
    <x v="1"/>
    <x v="2"/>
    <x v="0"/>
    <x v="2"/>
    <x v="3"/>
    <x v="4"/>
    <x v="5"/>
    <x v="0"/>
    <x v="0"/>
    <x v="0"/>
    <x v="1"/>
    <x v="0"/>
    <x v="0"/>
    <x v="0"/>
    <x v="0"/>
  </r>
  <r>
    <x v="14"/>
    <x v="4"/>
    <x v="4"/>
    <x v="4"/>
    <x v="0"/>
    <x v="1"/>
    <x v="1"/>
    <x v="4"/>
    <x v="0"/>
    <x v="1"/>
    <x v="3"/>
    <x v="0"/>
    <x v="0"/>
    <x v="3"/>
    <x v="1"/>
    <x v="1"/>
    <x v="2"/>
    <x v="1"/>
    <x v="2"/>
    <x v="1"/>
    <x v="2"/>
    <x v="0"/>
    <x v="2"/>
    <x v="3"/>
    <x v="4"/>
    <x v="4"/>
    <x v="0"/>
    <x v="0"/>
    <x v="0"/>
    <x v="1"/>
    <x v="0"/>
    <x v="0"/>
    <x v="0"/>
    <x v="0"/>
  </r>
  <r>
    <x v="15"/>
    <x v="7"/>
    <x v="7"/>
    <x v="7"/>
    <x v="0"/>
    <x v="1"/>
    <x v="1"/>
    <x v="7"/>
    <x v="5"/>
    <x v="2"/>
    <x v="0"/>
    <x v="2"/>
    <x v="0"/>
    <x v="3"/>
    <x v="2"/>
    <x v="3"/>
    <x v="2"/>
    <x v="1"/>
    <x v="1"/>
    <x v="1"/>
    <x v="1"/>
    <x v="9"/>
    <x v="2"/>
    <x v="3"/>
    <x v="4"/>
    <x v="7"/>
    <x v="2"/>
    <x v="1"/>
    <x v="2"/>
    <x v="1"/>
    <x v="0"/>
    <x v="7"/>
    <x v="5"/>
    <x v="0"/>
  </r>
  <r>
    <x v="16"/>
    <x v="7"/>
    <x v="7"/>
    <x v="7"/>
    <x v="0"/>
    <x v="1"/>
    <x v="1"/>
    <x v="7"/>
    <x v="5"/>
    <x v="2"/>
    <x v="0"/>
    <x v="2"/>
    <x v="0"/>
    <x v="3"/>
    <x v="2"/>
    <x v="3"/>
    <x v="2"/>
    <x v="1"/>
    <x v="2"/>
    <x v="1"/>
    <x v="1"/>
    <x v="10"/>
    <x v="2"/>
    <x v="3"/>
    <x v="4"/>
    <x v="7"/>
    <x v="4"/>
    <x v="1"/>
    <x v="1"/>
    <x v="1"/>
    <x v="0"/>
    <x v="8"/>
    <x v="0"/>
    <x v="0"/>
  </r>
  <r>
    <x v="17"/>
    <x v="7"/>
    <x v="7"/>
    <x v="7"/>
    <x v="0"/>
    <x v="1"/>
    <x v="1"/>
    <x v="7"/>
    <x v="5"/>
    <x v="2"/>
    <x v="0"/>
    <x v="2"/>
    <x v="0"/>
    <x v="3"/>
    <x v="1"/>
    <x v="1"/>
    <x v="2"/>
    <x v="1"/>
    <x v="2"/>
    <x v="1"/>
    <x v="2"/>
    <x v="0"/>
    <x v="2"/>
    <x v="3"/>
    <x v="4"/>
    <x v="7"/>
    <x v="5"/>
    <x v="0"/>
    <x v="0"/>
    <x v="1"/>
    <x v="0"/>
    <x v="0"/>
    <x v="0"/>
    <x v="0"/>
  </r>
  <r>
    <x v="18"/>
    <x v="8"/>
    <x v="8"/>
    <x v="8"/>
    <x v="9"/>
    <x v="1"/>
    <x v="2"/>
    <x v="9"/>
    <x v="6"/>
    <x v="2"/>
    <x v="0"/>
    <x v="3"/>
    <x v="0"/>
    <x v="1"/>
    <x v="1"/>
    <x v="1"/>
    <x v="2"/>
    <x v="1"/>
    <x v="2"/>
    <x v="1"/>
    <x v="2"/>
    <x v="0"/>
    <x v="2"/>
    <x v="1"/>
    <x v="2"/>
    <x v="8"/>
    <x v="5"/>
    <x v="0"/>
    <x v="0"/>
    <x v="1"/>
    <x v="0"/>
    <x v="0"/>
    <x v="0"/>
    <x v="0"/>
  </r>
  <r>
    <x v="19"/>
    <x v="9"/>
    <x v="9"/>
    <x v="9"/>
    <x v="10"/>
    <x v="1"/>
    <x v="2"/>
    <x v="10"/>
    <x v="7"/>
    <x v="1"/>
    <x v="5"/>
    <x v="0"/>
    <x v="0"/>
    <x v="1"/>
    <x v="2"/>
    <x v="3"/>
    <x v="2"/>
    <x v="1"/>
    <x v="2"/>
    <x v="1"/>
    <x v="1"/>
    <x v="11"/>
    <x v="1"/>
    <x v="1"/>
    <x v="2"/>
    <x v="9"/>
    <x v="5"/>
    <x v="1"/>
    <x v="1"/>
    <x v="1"/>
    <x v="0"/>
    <x v="9"/>
    <x v="0"/>
    <x v="2"/>
  </r>
  <r>
    <x v="20"/>
    <x v="9"/>
    <x v="9"/>
    <x v="9"/>
    <x v="0"/>
    <x v="1"/>
    <x v="2"/>
    <x v="10"/>
    <x v="8"/>
    <x v="1"/>
    <x v="5"/>
    <x v="0"/>
    <x v="0"/>
    <x v="3"/>
    <x v="4"/>
    <x v="1"/>
    <x v="2"/>
    <x v="1"/>
    <x v="2"/>
    <x v="1"/>
    <x v="1"/>
    <x v="12"/>
    <x v="2"/>
    <x v="3"/>
    <x v="4"/>
    <x v="9"/>
    <x v="5"/>
    <x v="1"/>
    <x v="1"/>
    <x v="1"/>
    <x v="0"/>
    <x v="10"/>
    <x v="0"/>
    <x v="0"/>
  </r>
  <r>
    <x v="21"/>
    <x v="9"/>
    <x v="9"/>
    <x v="9"/>
    <x v="0"/>
    <x v="1"/>
    <x v="2"/>
    <x v="10"/>
    <x v="9"/>
    <x v="1"/>
    <x v="6"/>
    <x v="0"/>
    <x v="0"/>
    <x v="3"/>
    <x v="2"/>
    <x v="3"/>
    <x v="2"/>
    <x v="1"/>
    <x v="2"/>
    <x v="1"/>
    <x v="1"/>
    <x v="13"/>
    <x v="2"/>
    <x v="3"/>
    <x v="4"/>
    <x v="9"/>
    <x v="5"/>
    <x v="1"/>
    <x v="3"/>
    <x v="1"/>
    <x v="0"/>
    <x v="11"/>
    <x v="0"/>
    <x v="0"/>
  </r>
  <r>
    <x v="22"/>
    <x v="9"/>
    <x v="9"/>
    <x v="9"/>
    <x v="0"/>
    <x v="1"/>
    <x v="2"/>
    <x v="10"/>
    <x v="9"/>
    <x v="1"/>
    <x v="7"/>
    <x v="0"/>
    <x v="0"/>
    <x v="3"/>
    <x v="1"/>
    <x v="1"/>
    <x v="2"/>
    <x v="1"/>
    <x v="2"/>
    <x v="1"/>
    <x v="2"/>
    <x v="0"/>
    <x v="2"/>
    <x v="3"/>
    <x v="4"/>
    <x v="9"/>
    <x v="3"/>
    <x v="0"/>
    <x v="0"/>
    <x v="1"/>
    <x v="0"/>
    <x v="0"/>
    <x v="0"/>
    <x v="0"/>
  </r>
  <r>
    <x v="23"/>
    <x v="10"/>
    <x v="10"/>
    <x v="10"/>
    <x v="11"/>
    <x v="1"/>
    <x v="4"/>
    <x v="11"/>
    <x v="10"/>
    <x v="1"/>
    <x v="3"/>
    <x v="0"/>
    <x v="0"/>
    <x v="1"/>
    <x v="3"/>
    <x v="2"/>
    <x v="2"/>
    <x v="1"/>
    <x v="3"/>
    <x v="1"/>
    <x v="1"/>
    <x v="14"/>
    <x v="1"/>
    <x v="1"/>
    <x v="2"/>
    <x v="10"/>
    <x v="4"/>
    <x v="1"/>
    <x v="1"/>
    <x v="2"/>
    <x v="1"/>
    <x v="12"/>
    <x v="0"/>
    <x v="0"/>
  </r>
  <r>
    <x v="24"/>
    <x v="10"/>
    <x v="10"/>
    <x v="10"/>
    <x v="12"/>
    <x v="1"/>
    <x v="4"/>
    <x v="12"/>
    <x v="11"/>
    <x v="1"/>
    <x v="3"/>
    <x v="0"/>
    <x v="0"/>
    <x v="3"/>
    <x v="1"/>
    <x v="1"/>
    <x v="2"/>
    <x v="1"/>
    <x v="2"/>
    <x v="1"/>
    <x v="2"/>
    <x v="0"/>
    <x v="1"/>
    <x v="3"/>
    <x v="4"/>
    <x v="10"/>
    <x v="5"/>
    <x v="0"/>
    <x v="0"/>
    <x v="1"/>
    <x v="0"/>
    <x v="0"/>
    <x v="0"/>
    <x v="0"/>
  </r>
  <r>
    <x v="25"/>
    <x v="11"/>
    <x v="11"/>
    <x v="11"/>
    <x v="13"/>
    <x v="1"/>
    <x v="2"/>
    <x v="13"/>
    <x v="12"/>
    <x v="4"/>
    <x v="0"/>
    <x v="0"/>
    <x v="0"/>
    <x v="1"/>
    <x v="1"/>
    <x v="1"/>
    <x v="2"/>
    <x v="1"/>
    <x v="2"/>
    <x v="1"/>
    <x v="2"/>
    <x v="0"/>
    <x v="1"/>
    <x v="1"/>
    <x v="2"/>
    <x v="11"/>
    <x v="3"/>
    <x v="0"/>
    <x v="0"/>
    <x v="1"/>
    <x v="0"/>
    <x v="0"/>
    <x v="0"/>
    <x v="0"/>
  </r>
  <r>
    <x v="26"/>
    <x v="12"/>
    <x v="12"/>
    <x v="12"/>
    <x v="14"/>
    <x v="1"/>
    <x v="2"/>
    <x v="14"/>
    <x v="13"/>
    <x v="1"/>
    <x v="8"/>
    <x v="0"/>
    <x v="0"/>
    <x v="1"/>
    <x v="1"/>
    <x v="1"/>
    <x v="2"/>
    <x v="1"/>
    <x v="3"/>
    <x v="1"/>
    <x v="1"/>
    <x v="15"/>
    <x v="1"/>
    <x v="1"/>
    <x v="2"/>
    <x v="12"/>
    <x v="2"/>
    <x v="1"/>
    <x v="2"/>
    <x v="2"/>
    <x v="1"/>
    <x v="13"/>
    <x v="0"/>
    <x v="0"/>
  </r>
  <r>
    <x v="27"/>
    <x v="12"/>
    <x v="12"/>
    <x v="12"/>
    <x v="15"/>
    <x v="1"/>
    <x v="2"/>
    <x v="14"/>
    <x v="13"/>
    <x v="1"/>
    <x v="8"/>
    <x v="0"/>
    <x v="0"/>
    <x v="3"/>
    <x v="1"/>
    <x v="1"/>
    <x v="2"/>
    <x v="1"/>
    <x v="3"/>
    <x v="1"/>
    <x v="2"/>
    <x v="0"/>
    <x v="1"/>
    <x v="3"/>
    <x v="4"/>
    <x v="12"/>
    <x v="4"/>
    <x v="0"/>
    <x v="0"/>
    <x v="1"/>
    <x v="0"/>
    <x v="0"/>
    <x v="0"/>
    <x v="0"/>
  </r>
  <r>
    <x v="28"/>
    <x v="13"/>
    <x v="13"/>
    <x v="13"/>
    <x v="16"/>
    <x v="1"/>
    <x v="2"/>
    <x v="15"/>
    <x v="7"/>
    <x v="1"/>
    <x v="9"/>
    <x v="0"/>
    <x v="0"/>
    <x v="1"/>
    <x v="3"/>
    <x v="3"/>
    <x v="2"/>
    <x v="1"/>
    <x v="2"/>
    <x v="1"/>
    <x v="1"/>
    <x v="16"/>
    <x v="1"/>
    <x v="4"/>
    <x v="2"/>
    <x v="13"/>
    <x v="5"/>
    <x v="1"/>
    <x v="3"/>
    <x v="2"/>
    <x v="1"/>
    <x v="14"/>
    <x v="6"/>
    <x v="0"/>
  </r>
  <r>
    <x v="29"/>
    <x v="13"/>
    <x v="13"/>
    <x v="13"/>
    <x v="0"/>
    <x v="1"/>
    <x v="2"/>
    <x v="15"/>
    <x v="7"/>
    <x v="1"/>
    <x v="0"/>
    <x v="0"/>
    <x v="0"/>
    <x v="3"/>
    <x v="1"/>
    <x v="1"/>
    <x v="2"/>
    <x v="1"/>
    <x v="3"/>
    <x v="1"/>
    <x v="2"/>
    <x v="0"/>
    <x v="2"/>
    <x v="3"/>
    <x v="4"/>
    <x v="13"/>
    <x v="3"/>
    <x v="0"/>
    <x v="0"/>
    <x v="1"/>
    <x v="0"/>
    <x v="0"/>
    <x v="0"/>
    <x v="0"/>
  </r>
  <r>
    <x v="30"/>
    <x v="12"/>
    <x v="12"/>
    <x v="12"/>
    <x v="17"/>
    <x v="1"/>
    <x v="2"/>
    <x v="14"/>
    <x v="13"/>
    <x v="1"/>
    <x v="10"/>
    <x v="0"/>
    <x v="0"/>
    <x v="1"/>
    <x v="3"/>
    <x v="2"/>
    <x v="2"/>
    <x v="1"/>
    <x v="1"/>
    <x v="1"/>
    <x v="1"/>
    <x v="17"/>
    <x v="1"/>
    <x v="1"/>
    <x v="2"/>
    <x v="12"/>
    <x v="1"/>
    <x v="1"/>
    <x v="4"/>
    <x v="2"/>
    <x v="1"/>
    <x v="15"/>
    <x v="0"/>
    <x v="3"/>
  </r>
  <r>
    <x v="31"/>
    <x v="12"/>
    <x v="12"/>
    <x v="12"/>
    <x v="18"/>
    <x v="1"/>
    <x v="2"/>
    <x v="14"/>
    <x v="13"/>
    <x v="1"/>
    <x v="11"/>
    <x v="0"/>
    <x v="0"/>
    <x v="3"/>
    <x v="3"/>
    <x v="2"/>
    <x v="2"/>
    <x v="1"/>
    <x v="1"/>
    <x v="1"/>
    <x v="1"/>
    <x v="18"/>
    <x v="1"/>
    <x v="3"/>
    <x v="4"/>
    <x v="12"/>
    <x v="1"/>
    <x v="1"/>
    <x v="4"/>
    <x v="2"/>
    <x v="1"/>
    <x v="16"/>
    <x v="0"/>
    <x v="0"/>
  </r>
  <r>
    <x v="32"/>
    <x v="12"/>
    <x v="12"/>
    <x v="12"/>
    <x v="19"/>
    <x v="1"/>
    <x v="2"/>
    <x v="14"/>
    <x v="14"/>
    <x v="1"/>
    <x v="12"/>
    <x v="0"/>
    <x v="0"/>
    <x v="3"/>
    <x v="1"/>
    <x v="1"/>
    <x v="2"/>
    <x v="1"/>
    <x v="1"/>
    <x v="1"/>
    <x v="2"/>
    <x v="0"/>
    <x v="1"/>
    <x v="3"/>
    <x v="4"/>
    <x v="12"/>
    <x v="1"/>
    <x v="0"/>
    <x v="0"/>
    <x v="1"/>
    <x v="0"/>
    <x v="0"/>
    <x v="0"/>
    <x v="0"/>
  </r>
  <r>
    <x v="33"/>
    <x v="14"/>
    <x v="14"/>
    <x v="14"/>
    <x v="20"/>
    <x v="1"/>
    <x v="2"/>
    <x v="16"/>
    <x v="15"/>
    <x v="1"/>
    <x v="3"/>
    <x v="0"/>
    <x v="0"/>
    <x v="1"/>
    <x v="1"/>
    <x v="1"/>
    <x v="2"/>
    <x v="1"/>
    <x v="2"/>
    <x v="1"/>
    <x v="2"/>
    <x v="0"/>
    <x v="2"/>
    <x v="1"/>
    <x v="2"/>
    <x v="14"/>
    <x v="5"/>
    <x v="0"/>
    <x v="0"/>
    <x v="1"/>
    <x v="0"/>
    <x v="0"/>
    <x v="0"/>
    <x v="0"/>
  </r>
  <r>
    <x v="34"/>
    <x v="15"/>
    <x v="15"/>
    <x v="15"/>
    <x v="21"/>
    <x v="1"/>
    <x v="2"/>
    <x v="17"/>
    <x v="16"/>
    <x v="1"/>
    <x v="13"/>
    <x v="0"/>
    <x v="0"/>
    <x v="1"/>
    <x v="2"/>
    <x v="3"/>
    <x v="2"/>
    <x v="1"/>
    <x v="1"/>
    <x v="1"/>
    <x v="1"/>
    <x v="19"/>
    <x v="2"/>
    <x v="4"/>
    <x v="2"/>
    <x v="15"/>
    <x v="1"/>
    <x v="1"/>
    <x v="3"/>
    <x v="1"/>
    <x v="0"/>
    <x v="17"/>
    <x v="7"/>
    <x v="2"/>
  </r>
  <r>
    <x v="35"/>
    <x v="16"/>
    <x v="16"/>
    <x v="16"/>
    <x v="22"/>
    <x v="1"/>
    <x v="2"/>
    <x v="18"/>
    <x v="17"/>
    <x v="1"/>
    <x v="1"/>
    <x v="0"/>
    <x v="0"/>
    <x v="1"/>
    <x v="1"/>
    <x v="1"/>
    <x v="1"/>
    <x v="1"/>
    <x v="3"/>
    <x v="1"/>
    <x v="1"/>
    <x v="20"/>
    <x v="1"/>
    <x v="1"/>
    <x v="2"/>
    <x v="16"/>
    <x v="3"/>
    <x v="3"/>
    <x v="0"/>
    <x v="1"/>
    <x v="0"/>
    <x v="0"/>
    <x v="0"/>
    <x v="0"/>
  </r>
  <r>
    <x v="36"/>
    <x v="15"/>
    <x v="15"/>
    <x v="15"/>
    <x v="21"/>
    <x v="1"/>
    <x v="2"/>
    <x v="17"/>
    <x v="16"/>
    <x v="1"/>
    <x v="2"/>
    <x v="0"/>
    <x v="0"/>
    <x v="3"/>
    <x v="2"/>
    <x v="3"/>
    <x v="2"/>
    <x v="1"/>
    <x v="2"/>
    <x v="1"/>
    <x v="1"/>
    <x v="21"/>
    <x v="2"/>
    <x v="3"/>
    <x v="4"/>
    <x v="15"/>
    <x v="3"/>
    <x v="3"/>
    <x v="0"/>
    <x v="1"/>
    <x v="0"/>
    <x v="18"/>
    <x v="0"/>
    <x v="0"/>
  </r>
  <r>
    <x v="37"/>
    <x v="17"/>
    <x v="17"/>
    <x v="17"/>
    <x v="23"/>
    <x v="1"/>
    <x v="2"/>
    <x v="19"/>
    <x v="18"/>
    <x v="1"/>
    <x v="0"/>
    <x v="0"/>
    <x v="0"/>
    <x v="1"/>
    <x v="3"/>
    <x v="2"/>
    <x v="2"/>
    <x v="2"/>
    <x v="1"/>
    <x v="1"/>
    <x v="1"/>
    <x v="20"/>
    <x v="1"/>
    <x v="1"/>
    <x v="5"/>
    <x v="17"/>
    <x v="1"/>
    <x v="3"/>
    <x v="0"/>
    <x v="1"/>
    <x v="0"/>
    <x v="19"/>
    <x v="8"/>
    <x v="0"/>
  </r>
  <r>
    <x v="38"/>
    <x v="18"/>
    <x v="18"/>
    <x v="18"/>
    <x v="24"/>
    <x v="1"/>
    <x v="5"/>
    <x v="20"/>
    <x v="19"/>
    <x v="1"/>
    <x v="14"/>
    <x v="0"/>
    <x v="0"/>
    <x v="1"/>
    <x v="1"/>
    <x v="1"/>
    <x v="1"/>
    <x v="1"/>
    <x v="2"/>
    <x v="1"/>
    <x v="1"/>
    <x v="22"/>
    <x v="3"/>
    <x v="1"/>
    <x v="2"/>
    <x v="18"/>
    <x v="3"/>
    <x v="0"/>
    <x v="0"/>
    <x v="1"/>
    <x v="0"/>
    <x v="20"/>
    <x v="0"/>
    <x v="4"/>
  </r>
  <r>
    <x v="39"/>
    <x v="19"/>
    <x v="19"/>
    <x v="19"/>
    <x v="25"/>
    <x v="1"/>
    <x v="2"/>
    <x v="21"/>
    <x v="20"/>
    <x v="2"/>
    <x v="0"/>
    <x v="2"/>
    <x v="0"/>
    <x v="1"/>
    <x v="1"/>
    <x v="1"/>
    <x v="2"/>
    <x v="1"/>
    <x v="2"/>
    <x v="1"/>
    <x v="2"/>
    <x v="0"/>
    <x v="1"/>
    <x v="1"/>
    <x v="2"/>
    <x v="19"/>
    <x v="2"/>
    <x v="0"/>
    <x v="0"/>
    <x v="1"/>
    <x v="0"/>
    <x v="0"/>
    <x v="0"/>
    <x v="5"/>
  </r>
  <r>
    <x v="40"/>
    <x v="20"/>
    <x v="20"/>
    <x v="20"/>
    <x v="26"/>
    <x v="1"/>
    <x v="5"/>
    <x v="22"/>
    <x v="21"/>
    <x v="1"/>
    <x v="15"/>
    <x v="0"/>
    <x v="0"/>
    <x v="1"/>
    <x v="1"/>
    <x v="1"/>
    <x v="2"/>
    <x v="1"/>
    <x v="2"/>
    <x v="1"/>
    <x v="2"/>
    <x v="0"/>
    <x v="1"/>
    <x v="5"/>
    <x v="2"/>
    <x v="20"/>
    <x v="3"/>
    <x v="0"/>
    <x v="0"/>
    <x v="1"/>
    <x v="0"/>
    <x v="0"/>
    <x v="0"/>
    <x v="0"/>
  </r>
  <r>
    <x v="41"/>
    <x v="21"/>
    <x v="21"/>
    <x v="21"/>
    <x v="27"/>
    <x v="1"/>
    <x v="3"/>
    <x v="23"/>
    <x v="22"/>
    <x v="1"/>
    <x v="16"/>
    <x v="0"/>
    <x v="0"/>
    <x v="1"/>
    <x v="1"/>
    <x v="1"/>
    <x v="2"/>
    <x v="1"/>
    <x v="2"/>
    <x v="1"/>
    <x v="1"/>
    <x v="23"/>
    <x v="1"/>
    <x v="5"/>
    <x v="2"/>
    <x v="21"/>
    <x v="3"/>
    <x v="3"/>
    <x v="0"/>
    <x v="1"/>
    <x v="0"/>
    <x v="0"/>
    <x v="9"/>
    <x v="6"/>
  </r>
  <r>
    <x v="42"/>
    <x v="22"/>
    <x v="22"/>
    <x v="22"/>
    <x v="28"/>
    <x v="1"/>
    <x v="2"/>
    <x v="24"/>
    <x v="23"/>
    <x v="1"/>
    <x v="9"/>
    <x v="0"/>
    <x v="0"/>
    <x v="1"/>
    <x v="1"/>
    <x v="1"/>
    <x v="2"/>
    <x v="2"/>
    <x v="1"/>
    <x v="1"/>
    <x v="1"/>
    <x v="24"/>
    <x v="1"/>
    <x v="1"/>
    <x v="2"/>
    <x v="22"/>
    <x v="4"/>
    <x v="1"/>
    <x v="1"/>
    <x v="2"/>
    <x v="1"/>
    <x v="21"/>
    <x v="0"/>
    <x v="7"/>
  </r>
  <r>
    <x v="43"/>
    <x v="23"/>
    <x v="23"/>
    <x v="23"/>
    <x v="29"/>
    <x v="2"/>
    <x v="2"/>
    <x v="25"/>
    <x v="24"/>
    <x v="1"/>
    <x v="17"/>
    <x v="0"/>
    <x v="0"/>
    <x v="1"/>
    <x v="2"/>
    <x v="3"/>
    <x v="1"/>
    <x v="1"/>
    <x v="2"/>
    <x v="1"/>
    <x v="1"/>
    <x v="25"/>
    <x v="1"/>
    <x v="1"/>
    <x v="2"/>
    <x v="23"/>
    <x v="5"/>
    <x v="1"/>
    <x v="6"/>
    <x v="2"/>
    <x v="1"/>
    <x v="22"/>
    <x v="0"/>
    <x v="0"/>
  </r>
  <r>
    <x v="44"/>
    <x v="24"/>
    <x v="24"/>
    <x v="24"/>
    <x v="30"/>
    <x v="3"/>
    <x v="2"/>
    <x v="26"/>
    <x v="25"/>
    <x v="1"/>
    <x v="12"/>
    <x v="0"/>
    <x v="0"/>
    <x v="1"/>
    <x v="2"/>
    <x v="3"/>
    <x v="2"/>
    <x v="1"/>
    <x v="2"/>
    <x v="1"/>
    <x v="1"/>
    <x v="24"/>
    <x v="1"/>
    <x v="1"/>
    <x v="2"/>
    <x v="24"/>
    <x v="5"/>
    <x v="1"/>
    <x v="1"/>
    <x v="2"/>
    <x v="1"/>
    <x v="23"/>
    <x v="0"/>
    <x v="8"/>
  </r>
  <r>
    <x v="45"/>
    <x v="25"/>
    <x v="25"/>
    <x v="25"/>
    <x v="31"/>
    <x v="1"/>
    <x v="2"/>
    <x v="27"/>
    <x v="26"/>
    <x v="1"/>
    <x v="1"/>
    <x v="0"/>
    <x v="0"/>
    <x v="1"/>
    <x v="2"/>
    <x v="3"/>
    <x v="2"/>
    <x v="1"/>
    <x v="2"/>
    <x v="1"/>
    <x v="1"/>
    <x v="23"/>
    <x v="3"/>
    <x v="1"/>
    <x v="5"/>
    <x v="25"/>
    <x v="6"/>
    <x v="3"/>
    <x v="0"/>
    <x v="1"/>
    <x v="0"/>
    <x v="24"/>
    <x v="0"/>
    <x v="0"/>
  </r>
  <r>
    <x v="46"/>
    <x v="26"/>
    <x v="26"/>
    <x v="26"/>
    <x v="32"/>
    <x v="1"/>
    <x v="2"/>
    <x v="28"/>
    <x v="27"/>
    <x v="1"/>
    <x v="18"/>
    <x v="0"/>
    <x v="0"/>
    <x v="1"/>
    <x v="1"/>
    <x v="2"/>
    <x v="2"/>
    <x v="1"/>
    <x v="3"/>
    <x v="1"/>
    <x v="1"/>
    <x v="26"/>
    <x v="1"/>
    <x v="1"/>
    <x v="2"/>
    <x v="26"/>
    <x v="1"/>
    <x v="1"/>
    <x v="4"/>
    <x v="2"/>
    <x v="1"/>
    <x v="25"/>
    <x v="0"/>
    <x v="0"/>
  </r>
  <r>
    <x v="47"/>
    <x v="22"/>
    <x v="22"/>
    <x v="22"/>
    <x v="33"/>
    <x v="1"/>
    <x v="2"/>
    <x v="24"/>
    <x v="28"/>
    <x v="1"/>
    <x v="9"/>
    <x v="0"/>
    <x v="0"/>
    <x v="3"/>
    <x v="1"/>
    <x v="1"/>
    <x v="2"/>
    <x v="2"/>
    <x v="1"/>
    <x v="1"/>
    <x v="2"/>
    <x v="0"/>
    <x v="1"/>
    <x v="1"/>
    <x v="2"/>
    <x v="22"/>
    <x v="5"/>
    <x v="0"/>
    <x v="0"/>
    <x v="1"/>
    <x v="0"/>
    <x v="0"/>
    <x v="0"/>
    <x v="0"/>
  </r>
  <r>
    <x v="48"/>
    <x v="23"/>
    <x v="23"/>
    <x v="23"/>
    <x v="34"/>
    <x v="2"/>
    <x v="5"/>
    <x v="25"/>
    <x v="24"/>
    <x v="1"/>
    <x v="2"/>
    <x v="0"/>
    <x v="0"/>
    <x v="3"/>
    <x v="2"/>
    <x v="3"/>
    <x v="2"/>
    <x v="1"/>
    <x v="2"/>
    <x v="1"/>
    <x v="1"/>
    <x v="24"/>
    <x v="1"/>
    <x v="3"/>
    <x v="4"/>
    <x v="23"/>
    <x v="6"/>
    <x v="3"/>
    <x v="0"/>
    <x v="1"/>
    <x v="0"/>
    <x v="26"/>
    <x v="0"/>
    <x v="0"/>
  </r>
  <r>
    <x v="49"/>
    <x v="27"/>
    <x v="27"/>
    <x v="27"/>
    <x v="35"/>
    <x v="1"/>
    <x v="2"/>
    <x v="29"/>
    <x v="29"/>
    <x v="1"/>
    <x v="9"/>
    <x v="0"/>
    <x v="0"/>
    <x v="1"/>
    <x v="1"/>
    <x v="1"/>
    <x v="2"/>
    <x v="2"/>
    <x v="1"/>
    <x v="1"/>
    <x v="1"/>
    <x v="26"/>
    <x v="1"/>
    <x v="1"/>
    <x v="2"/>
    <x v="27"/>
    <x v="5"/>
    <x v="1"/>
    <x v="1"/>
    <x v="2"/>
    <x v="1"/>
    <x v="27"/>
    <x v="10"/>
    <x v="9"/>
  </r>
  <r>
    <x v="50"/>
    <x v="28"/>
    <x v="25"/>
    <x v="25"/>
    <x v="36"/>
    <x v="1"/>
    <x v="2"/>
    <x v="27"/>
    <x v="10"/>
    <x v="1"/>
    <x v="19"/>
    <x v="0"/>
    <x v="0"/>
    <x v="1"/>
    <x v="2"/>
    <x v="3"/>
    <x v="2"/>
    <x v="2"/>
    <x v="3"/>
    <x v="1"/>
    <x v="1"/>
    <x v="26"/>
    <x v="1"/>
    <x v="1"/>
    <x v="2"/>
    <x v="25"/>
    <x v="1"/>
    <x v="3"/>
    <x v="0"/>
    <x v="1"/>
    <x v="0"/>
    <x v="28"/>
    <x v="0"/>
    <x v="0"/>
  </r>
  <r>
    <x v="51"/>
    <x v="24"/>
    <x v="24"/>
    <x v="24"/>
    <x v="37"/>
    <x v="3"/>
    <x v="2"/>
    <x v="26"/>
    <x v="25"/>
    <x v="1"/>
    <x v="12"/>
    <x v="0"/>
    <x v="0"/>
    <x v="3"/>
    <x v="2"/>
    <x v="3"/>
    <x v="2"/>
    <x v="1"/>
    <x v="2"/>
    <x v="1"/>
    <x v="1"/>
    <x v="26"/>
    <x v="1"/>
    <x v="1"/>
    <x v="2"/>
    <x v="24"/>
    <x v="5"/>
    <x v="1"/>
    <x v="7"/>
    <x v="2"/>
    <x v="1"/>
    <x v="29"/>
    <x v="0"/>
    <x v="0"/>
  </r>
  <r>
    <x v="52"/>
    <x v="29"/>
    <x v="28"/>
    <x v="28"/>
    <x v="38"/>
    <x v="3"/>
    <x v="1"/>
    <x v="30"/>
    <x v="30"/>
    <x v="5"/>
    <x v="0"/>
    <x v="0"/>
    <x v="0"/>
    <x v="1"/>
    <x v="1"/>
    <x v="1"/>
    <x v="2"/>
    <x v="2"/>
    <x v="1"/>
    <x v="1"/>
    <x v="2"/>
    <x v="0"/>
    <x v="1"/>
    <x v="5"/>
    <x v="2"/>
    <x v="28"/>
    <x v="5"/>
    <x v="0"/>
    <x v="0"/>
    <x v="1"/>
    <x v="0"/>
    <x v="0"/>
    <x v="0"/>
    <x v="10"/>
  </r>
  <r>
    <x v="53"/>
    <x v="30"/>
    <x v="29"/>
    <x v="29"/>
    <x v="39"/>
    <x v="1"/>
    <x v="3"/>
    <x v="31"/>
    <x v="31"/>
    <x v="2"/>
    <x v="0"/>
    <x v="2"/>
    <x v="0"/>
    <x v="1"/>
    <x v="2"/>
    <x v="3"/>
    <x v="2"/>
    <x v="1"/>
    <x v="3"/>
    <x v="1"/>
    <x v="1"/>
    <x v="27"/>
    <x v="2"/>
    <x v="1"/>
    <x v="2"/>
    <x v="29"/>
    <x v="2"/>
    <x v="1"/>
    <x v="1"/>
    <x v="2"/>
    <x v="1"/>
    <x v="30"/>
    <x v="0"/>
    <x v="0"/>
  </r>
  <r>
    <x v="54"/>
    <x v="31"/>
    <x v="30"/>
    <x v="30"/>
    <x v="40"/>
    <x v="1"/>
    <x v="2"/>
    <x v="32"/>
    <x v="32"/>
    <x v="1"/>
    <x v="20"/>
    <x v="0"/>
    <x v="0"/>
    <x v="1"/>
    <x v="2"/>
    <x v="3"/>
    <x v="2"/>
    <x v="1"/>
    <x v="2"/>
    <x v="1"/>
    <x v="1"/>
    <x v="27"/>
    <x v="1"/>
    <x v="1"/>
    <x v="2"/>
    <x v="30"/>
    <x v="7"/>
    <x v="1"/>
    <x v="8"/>
    <x v="2"/>
    <x v="1"/>
    <x v="31"/>
    <x v="11"/>
    <x v="0"/>
  </r>
  <r>
    <x v="55"/>
    <x v="26"/>
    <x v="26"/>
    <x v="26"/>
    <x v="41"/>
    <x v="1"/>
    <x v="2"/>
    <x v="28"/>
    <x v="27"/>
    <x v="1"/>
    <x v="21"/>
    <x v="0"/>
    <x v="0"/>
    <x v="3"/>
    <x v="1"/>
    <x v="1"/>
    <x v="2"/>
    <x v="1"/>
    <x v="1"/>
    <x v="1"/>
    <x v="1"/>
    <x v="28"/>
    <x v="1"/>
    <x v="3"/>
    <x v="4"/>
    <x v="26"/>
    <x v="1"/>
    <x v="3"/>
    <x v="0"/>
    <x v="1"/>
    <x v="0"/>
    <x v="0"/>
    <x v="0"/>
    <x v="0"/>
  </r>
  <r>
    <x v="56"/>
    <x v="32"/>
    <x v="31"/>
    <x v="31"/>
    <x v="42"/>
    <x v="3"/>
    <x v="5"/>
    <x v="33"/>
    <x v="33"/>
    <x v="1"/>
    <x v="22"/>
    <x v="0"/>
    <x v="0"/>
    <x v="1"/>
    <x v="1"/>
    <x v="1"/>
    <x v="2"/>
    <x v="1"/>
    <x v="3"/>
    <x v="1"/>
    <x v="1"/>
    <x v="29"/>
    <x v="1"/>
    <x v="1"/>
    <x v="2"/>
    <x v="31"/>
    <x v="2"/>
    <x v="3"/>
    <x v="0"/>
    <x v="1"/>
    <x v="0"/>
    <x v="32"/>
    <x v="12"/>
    <x v="11"/>
  </r>
  <r>
    <x v="57"/>
    <x v="24"/>
    <x v="24"/>
    <x v="24"/>
    <x v="43"/>
    <x v="3"/>
    <x v="2"/>
    <x v="26"/>
    <x v="34"/>
    <x v="1"/>
    <x v="12"/>
    <x v="0"/>
    <x v="0"/>
    <x v="3"/>
    <x v="1"/>
    <x v="1"/>
    <x v="2"/>
    <x v="1"/>
    <x v="3"/>
    <x v="1"/>
    <x v="1"/>
    <x v="29"/>
    <x v="1"/>
    <x v="3"/>
    <x v="4"/>
    <x v="24"/>
    <x v="7"/>
    <x v="1"/>
    <x v="4"/>
    <x v="2"/>
    <x v="1"/>
    <x v="33"/>
    <x v="13"/>
    <x v="0"/>
  </r>
  <r>
    <x v="58"/>
    <x v="30"/>
    <x v="29"/>
    <x v="29"/>
    <x v="44"/>
    <x v="1"/>
    <x v="3"/>
    <x v="31"/>
    <x v="31"/>
    <x v="1"/>
    <x v="15"/>
    <x v="0"/>
    <x v="0"/>
    <x v="3"/>
    <x v="1"/>
    <x v="1"/>
    <x v="2"/>
    <x v="1"/>
    <x v="2"/>
    <x v="1"/>
    <x v="2"/>
    <x v="0"/>
    <x v="2"/>
    <x v="4"/>
    <x v="2"/>
    <x v="29"/>
    <x v="5"/>
    <x v="0"/>
    <x v="0"/>
    <x v="1"/>
    <x v="0"/>
    <x v="0"/>
    <x v="0"/>
    <x v="0"/>
  </r>
  <r>
    <x v="59"/>
    <x v="27"/>
    <x v="27"/>
    <x v="27"/>
    <x v="45"/>
    <x v="1"/>
    <x v="2"/>
    <x v="34"/>
    <x v="29"/>
    <x v="1"/>
    <x v="9"/>
    <x v="0"/>
    <x v="0"/>
    <x v="3"/>
    <x v="1"/>
    <x v="1"/>
    <x v="2"/>
    <x v="2"/>
    <x v="1"/>
    <x v="1"/>
    <x v="1"/>
    <x v="30"/>
    <x v="2"/>
    <x v="3"/>
    <x v="4"/>
    <x v="27"/>
    <x v="5"/>
    <x v="2"/>
    <x v="0"/>
    <x v="1"/>
    <x v="0"/>
    <x v="34"/>
    <x v="0"/>
    <x v="0"/>
  </r>
  <r>
    <x v="60"/>
    <x v="31"/>
    <x v="30"/>
    <x v="30"/>
    <x v="46"/>
    <x v="1"/>
    <x v="2"/>
    <x v="32"/>
    <x v="35"/>
    <x v="1"/>
    <x v="23"/>
    <x v="0"/>
    <x v="0"/>
    <x v="3"/>
    <x v="1"/>
    <x v="2"/>
    <x v="1"/>
    <x v="1"/>
    <x v="2"/>
    <x v="1"/>
    <x v="1"/>
    <x v="30"/>
    <x v="1"/>
    <x v="3"/>
    <x v="4"/>
    <x v="30"/>
    <x v="8"/>
    <x v="3"/>
    <x v="0"/>
    <x v="1"/>
    <x v="0"/>
    <x v="0"/>
    <x v="14"/>
    <x v="12"/>
  </r>
  <r>
    <x v="61"/>
    <x v="33"/>
    <x v="32"/>
    <x v="32"/>
    <x v="47"/>
    <x v="1"/>
    <x v="1"/>
    <x v="35"/>
    <x v="36"/>
    <x v="1"/>
    <x v="24"/>
    <x v="0"/>
    <x v="0"/>
    <x v="1"/>
    <x v="2"/>
    <x v="3"/>
    <x v="2"/>
    <x v="1"/>
    <x v="2"/>
    <x v="1"/>
    <x v="1"/>
    <x v="29"/>
    <x v="1"/>
    <x v="6"/>
    <x v="2"/>
    <x v="32"/>
    <x v="8"/>
    <x v="1"/>
    <x v="7"/>
    <x v="1"/>
    <x v="0"/>
    <x v="35"/>
    <x v="15"/>
    <x v="0"/>
  </r>
  <r>
    <x v="62"/>
    <x v="34"/>
    <x v="33"/>
    <x v="33"/>
    <x v="48"/>
    <x v="1"/>
    <x v="2"/>
    <x v="36"/>
    <x v="37"/>
    <x v="1"/>
    <x v="2"/>
    <x v="0"/>
    <x v="0"/>
    <x v="1"/>
    <x v="1"/>
    <x v="1"/>
    <x v="1"/>
    <x v="1"/>
    <x v="3"/>
    <x v="1"/>
    <x v="2"/>
    <x v="0"/>
    <x v="1"/>
    <x v="6"/>
    <x v="2"/>
    <x v="33"/>
    <x v="1"/>
    <x v="0"/>
    <x v="0"/>
    <x v="1"/>
    <x v="0"/>
    <x v="0"/>
    <x v="0"/>
    <x v="0"/>
  </r>
  <r>
    <x v="63"/>
    <x v="24"/>
    <x v="24"/>
    <x v="24"/>
    <x v="49"/>
    <x v="3"/>
    <x v="2"/>
    <x v="26"/>
    <x v="25"/>
    <x v="1"/>
    <x v="25"/>
    <x v="0"/>
    <x v="0"/>
    <x v="3"/>
    <x v="1"/>
    <x v="1"/>
    <x v="2"/>
    <x v="2"/>
    <x v="3"/>
    <x v="1"/>
    <x v="1"/>
    <x v="31"/>
    <x v="1"/>
    <x v="3"/>
    <x v="4"/>
    <x v="24"/>
    <x v="1"/>
    <x v="3"/>
    <x v="0"/>
    <x v="1"/>
    <x v="0"/>
    <x v="0"/>
    <x v="16"/>
    <x v="0"/>
  </r>
  <r>
    <x v="64"/>
    <x v="33"/>
    <x v="32"/>
    <x v="32"/>
    <x v="0"/>
    <x v="1"/>
    <x v="1"/>
    <x v="35"/>
    <x v="36"/>
    <x v="1"/>
    <x v="24"/>
    <x v="0"/>
    <x v="0"/>
    <x v="3"/>
    <x v="1"/>
    <x v="1"/>
    <x v="2"/>
    <x v="1"/>
    <x v="3"/>
    <x v="1"/>
    <x v="1"/>
    <x v="31"/>
    <x v="2"/>
    <x v="3"/>
    <x v="4"/>
    <x v="32"/>
    <x v="7"/>
    <x v="3"/>
    <x v="0"/>
    <x v="1"/>
    <x v="0"/>
    <x v="0"/>
    <x v="17"/>
    <x v="13"/>
  </r>
  <r>
    <x v="65"/>
    <x v="35"/>
    <x v="34"/>
    <x v="34"/>
    <x v="50"/>
    <x v="1"/>
    <x v="2"/>
    <x v="37"/>
    <x v="38"/>
    <x v="1"/>
    <x v="12"/>
    <x v="0"/>
    <x v="0"/>
    <x v="1"/>
    <x v="2"/>
    <x v="2"/>
    <x v="2"/>
    <x v="2"/>
    <x v="3"/>
    <x v="1"/>
    <x v="1"/>
    <x v="28"/>
    <x v="1"/>
    <x v="4"/>
    <x v="2"/>
    <x v="34"/>
    <x v="7"/>
    <x v="1"/>
    <x v="1"/>
    <x v="2"/>
    <x v="1"/>
    <x v="36"/>
    <x v="0"/>
    <x v="14"/>
  </r>
  <r>
    <x v="66"/>
    <x v="36"/>
    <x v="35"/>
    <x v="35"/>
    <x v="51"/>
    <x v="1"/>
    <x v="2"/>
    <x v="38"/>
    <x v="39"/>
    <x v="1"/>
    <x v="15"/>
    <x v="0"/>
    <x v="0"/>
    <x v="1"/>
    <x v="2"/>
    <x v="3"/>
    <x v="2"/>
    <x v="1"/>
    <x v="3"/>
    <x v="1"/>
    <x v="1"/>
    <x v="31"/>
    <x v="1"/>
    <x v="1"/>
    <x v="2"/>
    <x v="35"/>
    <x v="2"/>
    <x v="1"/>
    <x v="5"/>
    <x v="2"/>
    <x v="1"/>
    <x v="37"/>
    <x v="0"/>
    <x v="0"/>
  </r>
  <r>
    <x v="67"/>
    <x v="37"/>
    <x v="36"/>
    <x v="36"/>
    <x v="52"/>
    <x v="1"/>
    <x v="2"/>
    <x v="39"/>
    <x v="40"/>
    <x v="1"/>
    <x v="26"/>
    <x v="0"/>
    <x v="0"/>
    <x v="1"/>
    <x v="2"/>
    <x v="3"/>
    <x v="2"/>
    <x v="1"/>
    <x v="2"/>
    <x v="1"/>
    <x v="1"/>
    <x v="31"/>
    <x v="1"/>
    <x v="5"/>
    <x v="2"/>
    <x v="36"/>
    <x v="7"/>
    <x v="1"/>
    <x v="3"/>
    <x v="2"/>
    <x v="1"/>
    <x v="38"/>
    <x v="0"/>
    <x v="0"/>
  </r>
  <r>
    <x v="68"/>
    <x v="38"/>
    <x v="37"/>
    <x v="37"/>
    <x v="53"/>
    <x v="3"/>
    <x v="5"/>
    <x v="40"/>
    <x v="41"/>
    <x v="1"/>
    <x v="15"/>
    <x v="0"/>
    <x v="0"/>
    <x v="1"/>
    <x v="1"/>
    <x v="1"/>
    <x v="1"/>
    <x v="2"/>
    <x v="1"/>
    <x v="2"/>
    <x v="1"/>
    <x v="31"/>
    <x v="2"/>
    <x v="5"/>
    <x v="2"/>
    <x v="37"/>
    <x v="3"/>
    <x v="1"/>
    <x v="3"/>
    <x v="2"/>
    <x v="1"/>
    <x v="0"/>
    <x v="18"/>
    <x v="15"/>
  </r>
  <r>
    <x v="69"/>
    <x v="39"/>
    <x v="38"/>
    <x v="38"/>
    <x v="54"/>
    <x v="1"/>
    <x v="2"/>
    <x v="41"/>
    <x v="42"/>
    <x v="1"/>
    <x v="15"/>
    <x v="0"/>
    <x v="0"/>
    <x v="1"/>
    <x v="1"/>
    <x v="1"/>
    <x v="2"/>
    <x v="1"/>
    <x v="2"/>
    <x v="1"/>
    <x v="2"/>
    <x v="0"/>
    <x v="1"/>
    <x v="5"/>
    <x v="2"/>
    <x v="38"/>
    <x v="3"/>
    <x v="0"/>
    <x v="0"/>
    <x v="1"/>
    <x v="0"/>
    <x v="0"/>
    <x v="0"/>
    <x v="0"/>
  </r>
  <r>
    <x v="70"/>
    <x v="40"/>
    <x v="39"/>
    <x v="39"/>
    <x v="55"/>
    <x v="1"/>
    <x v="2"/>
    <x v="42"/>
    <x v="43"/>
    <x v="1"/>
    <x v="3"/>
    <x v="0"/>
    <x v="0"/>
    <x v="1"/>
    <x v="1"/>
    <x v="1"/>
    <x v="2"/>
    <x v="1"/>
    <x v="2"/>
    <x v="1"/>
    <x v="2"/>
    <x v="0"/>
    <x v="1"/>
    <x v="5"/>
    <x v="2"/>
    <x v="39"/>
    <x v="7"/>
    <x v="0"/>
    <x v="0"/>
    <x v="1"/>
    <x v="0"/>
    <x v="0"/>
    <x v="0"/>
    <x v="0"/>
  </r>
  <r>
    <x v="71"/>
    <x v="41"/>
    <x v="40"/>
    <x v="40"/>
    <x v="56"/>
    <x v="1"/>
    <x v="1"/>
    <x v="43"/>
    <x v="44"/>
    <x v="1"/>
    <x v="1"/>
    <x v="0"/>
    <x v="0"/>
    <x v="1"/>
    <x v="3"/>
    <x v="2"/>
    <x v="2"/>
    <x v="1"/>
    <x v="3"/>
    <x v="1"/>
    <x v="1"/>
    <x v="28"/>
    <x v="1"/>
    <x v="1"/>
    <x v="2"/>
    <x v="40"/>
    <x v="1"/>
    <x v="3"/>
    <x v="0"/>
    <x v="1"/>
    <x v="0"/>
    <x v="0"/>
    <x v="0"/>
    <x v="0"/>
  </r>
  <r>
    <x v="72"/>
    <x v="42"/>
    <x v="41"/>
    <x v="41"/>
    <x v="57"/>
    <x v="1"/>
    <x v="2"/>
    <x v="44"/>
    <x v="45"/>
    <x v="2"/>
    <x v="0"/>
    <x v="4"/>
    <x v="0"/>
    <x v="1"/>
    <x v="1"/>
    <x v="1"/>
    <x v="1"/>
    <x v="1"/>
    <x v="3"/>
    <x v="1"/>
    <x v="1"/>
    <x v="31"/>
    <x v="1"/>
    <x v="1"/>
    <x v="2"/>
    <x v="41"/>
    <x v="2"/>
    <x v="1"/>
    <x v="4"/>
    <x v="2"/>
    <x v="1"/>
    <x v="39"/>
    <x v="19"/>
    <x v="0"/>
  </r>
  <r>
    <x v="73"/>
    <x v="43"/>
    <x v="42"/>
    <x v="42"/>
    <x v="58"/>
    <x v="1"/>
    <x v="2"/>
    <x v="45"/>
    <x v="46"/>
    <x v="1"/>
    <x v="27"/>
    <x v="0"/>
    <x v="0"/>
    <x v="1"/>
    <x v="3"/>
    <x v="2"/>
    <x v="1"/>
    <x v="1"/>
    <x v="3"/>
    <x v="1"/>
    <x v="1"/>
    <x v="28"/>
    <x v="1"/>
    <x v="1"/>
    <x v="2"/>
    <x v="42"/>
    <x v="1"/>
    <x v="1"/>
    <x v="4"/>
    <x v="2"/>
    <x v="1"/>
    <x v="40"/>
    <x v="0"/>
    <x v="0"/>
  </r>
  <r>
    <x v="74"/>
    <x v="44"/>
    <x v="43"/>
    <x v="43"/>
    <x v="59"/>
    <x v="1"/>
    <x v="2"/>
    <x v="46"/>
    <x v="47"/>
    <x v="1"/>
    <x v="12"/>
    <x v="0"/>
    <x v="0"/>
    <x v="1"/>
    <x v="3"/>
    <x v="2"/>
    <x v="2"/>
    <x v="1"/>
    <x v="2"/>
    <x v="1"/>
    <x v="1"/>
    <x v="32"/>
    <x v="1"/>
    <x v="1"/>
    <x v="2"/>
    <x v="43"/>
    <x v="3"/>
    <x v="1"/>
    <x v="1"/>
    <x v="1"/>
    <x v="0"/>
    <x v="41"/>
    <x v="0"/>
    <x v="0"/>
  </r>
  <r>
    <x v="75"/>
    <x v="45"/>
    <x v="44"/>
    <x v="44"/>
    <x v="60"/>
    <x v="3"/>
    <x v="2"/>
    <x v="47"/>
    <x v="17"/>
    <x v="1"/>
    <x v="28"/>
    <x v="0"/>
    <x v="0"/>
    <x v="1"/>
    <x v="1"/>
    <x v="1"/>
    <x v="2"/>
    <x v="1"/>
    <x v="2"/>
    <x v="1"/>
    <x v="1"/>
    <x v="28"/>
    <x v="1"/>
    <x v="1"/>
    <x v="1"/>
    <x v="44"/>
    <x v="4"/>
    <x v="3"/>
    <x v="0"/>
    <x v="1"/>
    <x v="0"/>
    <x v="0"/>
    <x v="0"/>
    <x v="16"/>
  </r>
  <r>
    <x v="76"/>
    <x v="46"/>
    <x v="45"/>
    <x v="45"/>
    <x v="61"/>
    <x v="1"/>
    <x v="2"/>
    <x v="48"/>
    <x v="48"/>
    <x v="1"/>
    <x v="15"/>
    <x v="0"/>
    <x v="0"/>
    <x v="1"/>
    <x v="2"/>
    <x v="3"/>
    <x v="1"/>
    <x v="1"/>
    <x v="3"/>
    <x v="1"/>
    <x v="1"/>
    <x v="28"/>
    <x v="1"/>
    <x v="1"/>
    <x v="1"/>
    <x v="45"/>
    <x v="2"/>
    <x v="1"/>
    <x v="1"/>
    <x v="2"/>
    <x v="1"/>
    <x v="42"/>
    <x v="0"/>
    <x v="0"/>
  </r>
  <r>
    <x v="77"/>
    <x v="37"/>
    <x v="36"/>
    <x v="36"/>
    <x v="62"/>
    <x v="1"/>
    <x v="2"/>
    <x v="39"/>
    <x v="49"/>
    <x v="1"/>
    <x v="26"/>
    <x v="0"/>
    <x v="0"/>
    <x v="3"/>
    <x v="1"/>
    <x v="1"/>
    <x v="2"/>
    <x v="1"/>
    <x v="2"/>
    <x v="1"/>
    <x v="2"/>
    <x v="0"/>
    <x v="1"/>
    <x v="3"/>
    <x v="4"/>
    <x v="36"/>
    <x v="3"/>
    <x v="0"/>
    <x v="0"/>
    <x v="1"/>
    <x v="0"/>
    <x v="0"/>
    <x v="0"/>
    <x v="0"/>
  </r>
  <r>
    <x v="78"/>
    <x v="47"/>
    <x v="46"/>
    <x v="46"/>
    <x v="63"/>
    <x v="1"/>
    <x v="2"/>
    <x v="49"/>
    <x v="10"/>
    <x v="1"/>
    <x v="1"/>
    <x v="0"/>
    <x v="0"/>
    <x v="1"/>
    <x v="1"/>
    <x v="3"/>
    <x v="2"/>
    <x v="1"/>
    <x v="2"/>
    <x v="1"/>
    <x v="1"/>
    <x v="28"/>
    <x v="2"/>
    <x v="1"/>
    <x v="2"/>
    <x v="46"/>
    <x v="4"/>
    <x v="3"/>
    <x v="0"/>
    <x v="1"/>
    <x v="0"/>
    <x v="0"/>
    <x v="0"/>
    <x v="0"/>
  </r>
  <r>
    <x v="79"/>
    <x v="42"/>
    <x v="41"/>
    <x v="41"/>
    <x v="64"/>
    <x v="1"/>
    <x v="2"/>
    <x v="50"/>
    <x v="45"/>
    <x v="1"/>
    <x v="4"/>
    <x v="0"/>
    <x v="0"/>
    <x v="3"/>
    <x v="2"/>
    <x v="3"/>
    <x v="2"/>
    <x v="1"/>
    <x v="2"/>
    <x v="1"/>
    <x v="1"/>
    <x v="28"/>
    <x v="1"/>
    <x v="3"/>
    <x v="4"/>
    <x v="41"/>
    <x v="1"/>
    <x v="1"/>
    <x v="4"/>
    <x v="1"/>
    <x v="0"/>
    <x v="43"/>
    <x v="0"/>
    <x v="0"/>
  </r>
  <r>
    <x v="80"/>
    <x v="20"/>
    <x v="47"/>
    <x v="20"/>
    <x v="65"/>
    <x v="1"/>
    <x v="2"/>
    <x v="22"/>
    <x v="21"/>
    <x v="2"/>
    <x v="0"/>
    <x v="2"/>
    <x v="0"/>
    <x v="1"/>
    <x v="1"/>
    <x v="1"/>
    <x v="2"/>
    <x v="1"/>
    <x v="2"/>
    <x v="1"/>
    <x v="1"/>
    <x v="28"/>
    <x v="1"/>
    <x v="1"/>
    <x v="2"/>
    <x v="20"/>
    <x v="9"/>
    <x v="1"/>
    <x v="2"/>
    <x v="1"/>
    <x v="0"/>
    <x v="44"/>
    <x v="0"/>
    <x v="0"/>
  </r>
  <r>
    <x v="81"/>
    <x v="48"/>
    <x v="37"/>
    <x v="37"/>
    <x v="66"/>
    <x v="3"/>
    <x v="2"/>
    <x v="40"/>
    <x v="41"/>
    <x v="1"/>
    <x v="29"/>
    <x v="0"/>
    <x v="0"/>
    <x v="3"/>
    <x v="1"/>
    <x v="1"/>
    <x v="1"/>
    <x v="2"/>
    <x v="1"/>
    <x v="2"/>
    <x v="2"/>
    <x v="0"/>
    <x v="1"/>
    <x v="3"/>
    <x v="4"/>
    <x v="37"/>
    <x v="3"/>
    <x v="0"/>
    <x v="0"/>
    <x v="1"/>
    <x v="0"/>
    <x v="0"/>
    <x v="0"/>
    <x v="17"/>
  </r>
  <r>
    <x v="82"/>
    <x v="49"/>
    <x v="48"/>
    <x v="47"/>
    <x v="67"/>
    <x v="1"/>
    <x v="1"/>
    <x v="51"/>
    <x v="50"/>
    <x v="1"/>
    <x v="30"/>
    <x v="0"/>
    <x v="0"/>
    <x v="1"/>
    <x v="3"/>
    <x v="2"/>
    <x v="2"/>
    <x v="1"/>
    <x v="3"/>
    <x v="1"/>
    <x v="1"/>
    <x v="28"/>
    <x v="1"/>
    <x v="1"/>
    <x v="2"/>
    <x v="47"/>
    <x v="3"/>
    <x v="1"/>
    <x v="1"/>
    <x v="1"/>
    <x v="0"/>
    <x v="45"/>
    <x v="0"/>
    <x v="0"/>
  </r>
  <r>
    <x v="83"/>
    <x v="50"/>
    <x v="49"/>
    <x v="48"/>
    <x v="68"/>
    <x v="1"/>
    <x v="2"/>
    <x v="52"/>
    <x v="51"/>
    <x v="1"/>
    <x v="15"/>
    <x v="0"/>
    <x v="0"/>
    <x v="1"/>
    <x v="1"/>
    <x v="1"/>
    <x v="2"/>
    <x v="1"/>
    <x v="2"/>
    <x v="1"/>
    <x v="2"/>
    <x v="0"/>
    <x v="1"/>
    <x v="2"/>
    <x v="2"/>
    <x v="48"/>
    <x v="5"/>
    <x v="0"/>
    <x v="0"/>
    <x v="1"/>
    <x v="0"/>
    <x v="0"/>
    <x v="0"/>
    <x v="0"/>
  </r>
  <r>
    <x v="84"/>
    <x v="51"/>
    <x v="50"/>
    <x v="49"/>
    <x v="69"/>
    <x v="1"/>
    <x v="2"/>
    <x v="53"/>
    <x v="52"/>
    <x v="1"/>
    <x v="31"/>
    <x v="0"/>
    <x v="0"/>
    <x v="1"/>
    <x v="1"/>
    <x v="1"/>
    <x v="2"/>
    <x v="1"/>
    <x v="3"/>
    <x v="1"/>
    <x v="1"/>
    <x v="33"/>
    <x v="1"/>
    <x v="1"/>
    <x v="2"/>
    <x v="49"/>
    <x v="4"/>
    <x v="3"/>
    <x v="0"/>
    <x v="1"/>
    <x v="0"/>
    <x v="46"/>
    <x v="20"/>
    <x v="0"/>
  </r>
  <r>
    <x v="85"/>
    <x v="46"/>
    <x v="45"/>
    <x v="45"/>
    <x v="70"/>
    <x v="0"/>
    <x v="2"/>
    <x v="48"/>
    <x v="48"/>
    <x v="1"/>
    <x v="15"/>
    <x v="0"/>
    <x v="0"/>
    <x v="3"/>
    <x v="1"/>
    <x v="1"/>
    <x v="1"/>
    <x v="1"/>
    <x v="3"/>
    <x v="1"/>
    <x v="2"/>
    <x v="0"/>
    <x v="2"/>
    <x v="3"/>
    <x v="4"/>
    <x v="45"/>
    <x v="5"/>
    <x v="0"/>
    <x v="0"/>
    <x v="1"/>
    <x v="0"/>
    <x v="0"/>
    <x v="0"/>
    <x v="0"/>
  </r>
  <r>
    <x v="86"/>
    <x v="20"/>
    <x v="47"/>
    <x v="20"/>
    <x v="0"/>
    <x v="1"/>
    <x v="2"/>
    <x v="22"/>
    <x v="21"/>
    <x v="2"/>
    <x v="0"/>
    <x v="2"/>
    <x v="0"/>
    <x v="3"/>
    <x v="1"/>
    <x v="3"/>
    <x v="2"/>
    <x v="1"/>
    <x v="2"/>
    <x v="1"/>
    <x v="1"/>
    <x v="32"/>
    <x v="2"/>
    <x v="3"/>
    <x v="4"/>
    <x v="20"/>
    <x v="4"/>
    <x v="1"/>
    <x v="8"/>
    <x v="1"/>
    <x v="0"/>
    <x v="47"/>
    <x v="0"/>
    <x v="18"/>
  </r>
  <r>
    <x v="87"/>
    <x v="43"/>
    <x v="42"/>
    <x v="42"/>
    <x v="71"/>
    <x v="1"/>
    <x v="2"/>
    <x v="45"/>
    <x v="46"/>
    <x v="1"/>
    <x v="27"/>
    <x v="0"/>
    <x v="0"/>
    <x v="3"/>
    <x v="1"/>
    <x v="1"/>
    <x v="2"/>
    <x v="1"/>
    <x v="2"/>
    <x v="1"/>
    <x v="2"/>
    <x v="0"/>
    <x v="2"/>
    <x v="3"/>
    <x v="4"/>
    <x v="42"/>
    <x v="1"/>
    <x v="0"/>
    <x v="0"/>
    <x v="1"/>
    <x v="0"/>
    <x v="0"/>
    <x v="0"/>
    <x v="0"/>
  </r>
  <r>
    <x v="88"/>
    <x v="35"/>
    <x v="34"/>
    <x v="34"/>
    <x v="0"/>
    <x v="1"/>
    <x v="2"/>
    <x v="37"/>
    <x v="53"/>
    <x v="1"/>
    <x v="12"/>
    <x v="0"/>
    <x v="0"/>
    <x v="3"/>
    <x v="1"/>
    <x v="1"/>
    <x v="2"/>
    <x v="2"/>
    <x v="1"/>
    <x v="1"/>
    <x v="2"/>
    <x v="0"/>
    <x v="2"/>
    <x v="3"/>
    <x v="4"/>
    <x v="34"/>
    <x v="5"/>
    <x v="0"/>
    <x v="0"/>
    <x v="1"/>
    <x v="0"/>
    <x v="0"/>
    <x v="0"/>
    <x v="0"/>
  </r>
  <r>
    <x v="89"/>
    <x v="52"/>
    <x v="51"/>
    <x v="50"/>
    <x v="72"/>
    <x v="1"/>
    <x v="2"/>
    <x v="54"/>
    <x v="54"/>
    <x v="1"/>
    <x v="3"/>
    <x v="0"/>
    <x v="0"/>
    <x v="1"/>
    <x v="1"/>
    <x v="1"/>
    <x v="2"/>
    <x v="1"/>
    <x v="2"/>
    <x v="1"/>
    <x v="1"/>
    <x v="34"/>
    <x v="1"/>
    <x v="1"/>
    <x v="2"/>
    <x v="50"/>
    <x v="1"/>
    <x v="1"/>
    <x v="7"/>
    <x v="2"/>
    <x v="1"/>
    <x v="48"/>
    <x v="0"/>
    <x v="0"/>
  </r>
  <r>
    <x v="90"/>
    <x v="53"/>
    <x v="52"/>
    <x v="51"/>
    <x v="73"/>
    <x v="2"/>
    <x v="5"/>
    <x v="55"/>
    <x v="55"/>
    <x v="1"/>
    <x v="3"/>
    <x v="0"/>
    <x v="0"/>
    <x v="2"/>
    <x v="3"/>
    <x v="2"/>
    <x v="2"/>
    <x v="2"/>
    <x v="1"/>
    <x v="1"/>
    <x v="1"/>
    <x v="33"/>
    <x v="1"/>
    <x v="1"/>
    <x v="2"/>
    <x v="51"/>
    <x v="2"/>
    <x v="3"/>
    <x v="0"/>
    <x v="1"/>
    <x v="0"/>
    <x v="49"/>
    <x v="21"/>
    <x v="0"/>
  </r>
  <r>
    <x v="91"/>
    <x v="54"/>
    <x v="53"/>
    <x v="52"/>
    <x v="74"/>
    <x v="1"/>
    <x v="2"/>
    <x v="56"/>
    <x v="56"/>
    <x v="1"/>
    <x v="32"/>
    <x v="0"/>
    <x v="0"/>
    <x v="1"/>
    <x v="1"/>
    <x v="1"/>
    <x v="2"/>
    <x v="1"/>
    <x v="2"/>
    <x v="1"/>
    <x v="2"/>
    <x v="0"/>
    <x v="2"/>
    <x v="1"/>
    <x v="2"/>
    <x v="52"/>
    <x v="5"/>
    <x v="0"/>
    <x v="0"/>
    <x v="1"/>
    <x v="0"/>
    <x v="0"/>
    <x v="0"/>
    <x v="0"/>
  </r>
  <r>
    <x v="92"/>
    <x v="55"/>
    <x v="54"/>
    <x v="53"/>
    <x v="75"/>
    <x v="1"/>
    <x v="2"/>
    <x v="57"/>
    <x v="57"/>
    <x v="1"/>
    <x v="3"/>
    <x v="0"/>
    <x v="0"/>
    <x v="1"/>
    <x v="3"/>
    <x v="3"/>
    <x v="2"/>
    <x v="1"/>
    <x v="2"/>
    <x v="1"/>
    <x v="1"/>
    <x v="32"/>
    <x v="2"/>
    <x v="1"/>
    <x v="2"/>
    <x v="53"/>
    <x v="5"/>
    <x v="3"/>
    <x v="0"/>
    <x v="1"/>
    <x v="0"/>
    <x v="0"/>
    <x v="0"/>
    <x v="0"/>
  </r>
  <r>
    <x v="93"/>
    <x v="36"/>
    <x v="35"/>
    <x v="35"/>
    <x v="76"/>
    <x v="1"/>
    <x v="2"/>
    <x v="38"/>
    <x v="39"/>
    <x v="1"/>
    <x v="33"/>
    <x v="0"/>
    <x v="0"/>
    <x v="3"/>
    <x v="1"/>
    <x v="1"/>
    <x v="2"/>
    <x v="1"/>
    <x v="3"/>
    <x v="1"/>
    <x v="2"/>
    <x v="0"/>
    <x v="1"/>
    <x v="3"/>
    <x v="4"/>
    <x v="35"/>
    <x v="2"/>
    <x v="0"/>
    <x v="0"/>
    <x v="1"/>
    <x v="0"/>
    <x v="0"/>
    <x v="0"/>
    <x v="0"/>
  </r>
  <r>
    <x v="94"/>
    <x v="49"/>
    <x v="48"/>
    <x v="47"/>
    <x v="0"/>
    <x v="1"/>
    <x v="1"/>
    <x v="51"/>
    <x v="50"/>
    <x v="1"/>
    <x v="34"/>
    <x v="0"/>
    <x v="0"/>
    <x v="3"/>
    <x v="1"/>
    <x v="1"/>
    <x v="2"/>
    <x v="1"/>
    <x v="3"/>
    <x v="1"/>
    <x v="1"/>
    <x v="35"/>
    <x v="2"/>
    <x v="3"/>
    <x v="4"/>
    <x v="47"/>
    <x v="5"/>
    <x v="1"/>
    <x v="1"/>
    <x v="2"/>
    <x v="1"/>
    <x v="0"/>
    <x v="22"/>
    <x v="0"/>
  </r>
  <r>
    <x v="95"/>
    <x v="56"/>
    <x v="55"/>
    <x v="54"/>
    <x v="77"/>
    <x v="2"/>
    <x v="2"/>
    <x v="58"/>
    <x v="58"/>
    <x v="1"/>
    <x v="12"/>
    <x v="0"/>
    <x v="0"/>
    <x v="1"/>
    <x v="2"/>
    <x v="3"/>
    <x v="2"/>
    <x v="1"/>
    <x v="1"/>
    <x v="1"/>
    <x v="1"/>
    <x v="32"/>
    <x v="2"/>
    <x v="5"/>
    <x v="2"/>
    <x v="54"/>
    <x v="5"/>
    <x v="1"/>
    <x v="1"/>
    <x v="1"/>
    <x v="0"/>
    <x v="50"/>
    <x v="0"/>
    <x v="0"/>
  </r>
  <r>
    <x v="96"/>
    <x v="44"/>
    <x v="43"/>
    <x v="43"/>
    <x v="0"/>
    <x v="1"/>
    <x v="2"/>
    <x v="59"/>
    <x v="47"/>
    <x v="1"/>
    <x v="12"/>
    <x v="0"/>
    <x v="0"/>
    <x v="3"/>
    <x v="1"/>
    <x v="1"/>
    <x v="2"/>
    <x v="1"/>
    <x v="2"/>
    <x v="1"/>
    <x v="1"/>
    <x v="35"/>
    <x v="2"/>
    <x v="3"/>
    <x v="4"/>
    <x v="43"/>
    <x v="5"/>
    <x v="3"/>
    <x v="0"/>
    <x v="1"/>
    <x v="0"/>
    <x v="51"/>
    <x v="23"/>
    <x v="0"/>
  </r>
  <r>
    <x v="97"/>
    <x v="20"/>
    <x v="47"/>
    <x v="20"/>
    <x v="0"/>
    <x v="1"/>
    <x v="2"/>
    <x v="22"/>
    <x v="21"/>
    <x v="6"/>
    <x v="0"/>
    <x v="0"/>
    <x v="1"/>
    <x v="3"/>
    <x v="4"/>
    <x v="1"/>
    <x v="2"/>
    <x v="1"/>
    <x v="2"/>
    <x v="1"/>
    <x v="2"/>
    <x v="0"/>
    <x v="2"/>
    <x v="3"/>
    <x v="4"/>
    <x v="20"/>
    <x v="8"/>
    <x v="0"/>
    <x v="0"/>
    <x v="1"/>
    <x v="0"/>
    <x v="0"/>
    <x v="0"/>
    <x v="0"/>
  </r>
  <r>
    <x v="98"/>
    <x v="56"/>
    <x v="55"/>
    <x v="54"/>
    <x v="0"/>
    <x v="2"/>
    <x v="2"/>
    <x v="58"/>
    <x v="58"/>
    <x v="1"/>
    <x v="12"/>
    <x v="0"/>
    <x v="0"/>
    <x v="3"/>
    <x v="1"/>
    <x v="2"/>
    <x v="2"/>
    <x v="1"/>
    <x v="2"/>
    <x v="1"/>
    <x v="1"/>
    <x v="35"/>
    <x v="2"/>
    <x v="3"/>
    <x v="4"/>
    <x v="54"/>
    <x v="5"/>
    <x v="1"/>
    <x v="1"/>
    <x v="1"/>
    <x v="0"/>
    <x v="52"/>
    <x v="24"/>
    <x v="0"/>
  </r>
  <r>
    <x v="99"/>
    <x v="57"/>
    <x v="56"/>
    <x v="55"/>
    <x v="78"/>
    <x v="3"/>
    <x v="2"/>
    <x v="60"/>
    <x v="30"/>
    <x v="1"/>
    <x v="2"/>
    <x v="0"/>
    <x v="0"/>
    <x v="1"/>
    <x v="2"/>
    <x v="3"/>
    <x v="2"/>
    <x v="1"/>
    <x v="2"/>
    <x v="1"/>
    <x v="1"/>
    <x v="33"/>
    <x v="1"/>
    <x v="6"/>
    <x v="2"/>
    <x v="55"/>
    <x v="8"/>
    <x v="1"/>
    <x v="4"/>
    <x v="2"/>
    <x v="1"/>
    <x v="53"/>
    <x v="0"/>
    <x v="19"/>
  </r>
  <r>
    <x v="100"/>
    <x v="58"/>
    <x v="57"/>
    <x v="56"/>
    <x v="79"/>
    <x v="3"/>
    <x v="1"/>
    <x v="61"/>
    <x v="59"/>
    <x v="1"/>
    <x v="35"/>
    <x v="0"/>
    <x v="0"/>
    <x v="1"/>
    <x v="1"/>
    <x v="2"/>
    <x v="1"/>
    <x v="1"/>
    <x v="2"/>
    <x v="1"/>
    <x v="1"/>
    <x v="35"/>
    <x v="1"/>
    <x v="6"/>
    <x v="2"/>
    <x v="56"/>
    <x v="5"/>
    <x v="1"/>
    <x v="9"/>
    <x v="1"/>
    <x v="0"/>
    <x v="52"/>
    <x v="25"/>
    <x v="0"/>
  </r>
  <r>
    <x v="101"/>
    <x v="59"/>
    <x v="58"/>
    <x v="57"/>
    <x v="80"/>
    <x v="1"/>
    <x v="2"/>
    <x v="62"/>
    <x v="59"/>
    <x v="1"/>
    <x v="36"/>
    <x v="0"/>
    <x v="0"/>
    <x v="1"/>
    <x v="1"/>
    <x v="2"/>
    <x v="2"/>
    <x v="1"/>
    <x v="1"/>
    <x v="1"/>
    <x v="1"/>
    <x v="35"/>
    <x v="2"/>
    <x v="6"/>
    <x v="2"/>
    <x v="57"/>
    <x v="5"/>
    <x v="3"/>
    <x v="0"/>
    <x v="1"/>
    <x v="0"/>
    <x v="54"/>
    <x v="26"/>
    <x v="20"/>
  </r>
  <r>
    <x v="102"/>
    <x v="60"/>
    <x v="59"/>
    <x v="58"/>
    <x v="81"/>
    <x v="1"/>
    <x v="2"/>
    <x v="63"/>
    <x v="60"/>
    <x v="1"/>
    <x v="15"/>
    <x v="0"/>
    <x v="0"/>
    <x v="1"/>
    <x v="2"/>
    <x v="3"/>
    <x v="1"/>
    <x v="1"/>
    <x v="1"/>
    <x v="1"/>
    <x v="1"/>
    <x v="33"/>
    <x v="1"/>
    <x v="6"/>
    <x v="2"/>
    <x v="58"/>
    <x v="8"/>
    <x v="3"/>
    <x v="0"/>
    <x v="1"/>
    <x v="0"/>
    <x v="55"/>
    <x v="27"/>
    <x v="0"/>
  </r>
  <r>
    <x v="103"/>
    <x v="30"/>
    <x v="29"/>
    <x v="29"/>
    <x v="82"/>
    <x v="1"/>
    <x v="2"/>
    <x v="31"/>
    <x v="31"/>
    <x v="1"/>
    <x v="1"/>
    <x v="0"/>
    <x v="0"/>
    <x v="1"/>
    <x v="2"/>
    <x v="3"/>
    <x v="2"/>
    <x v="1"/>
    <x v="2"/>
    <x v="1"/>
    <x v="1"/>
    <x v="33"/>
    <x v="2"/>
    <x v="6"/>
    <x v="2"/>
    <x v="29"/>
    <x v="5"/>
    <x v="3"/>
    <x v="0"/>
    <x v="1"/>
    <x v="0"/>
    <x v="55"/>
    <x v="28"/>
    <x v="0"/>
  </r>
  <r>
    <x v="104"/>
    <x v="61"/>
    <x v="60"/>
    <x v="59"/>
    <x v="83"/>
    <x v="1"/>
    <x v="1"/>
    <x v="25"/>
    <x v="61"/>
    <x v="1"/>
    <x v="37"/>
    <x v="0"/>
    <x v="0"/>
    <x v="1"/>
    <x v="2"/>
    <x v="3"/>
    <x v="2"/>
    <x v="1"/>
    <x v="2"/>
    <x v="1"/>
    <x v="1"/>
    <x v="33"/>
    <x v="1"/>
    <x v="6"/>
    <x v="2"/>
    <x v="59"/>
    <x v="5"/>
    <x v="1"/>
    <x v="7"/>
    <x v="1"/>
    <x v="0"/>
    <x v="56"/>
    <x v="0"/>
    <x v="21"/>
  </r>
  <r>
    <x v="105"/>
    <x v="62"/>
    <x v="61"/>
    <x v="60"/>
    <x v="84"/>
    <x v="1"/>
    <x v="2"/>
    <x v="64"/>
    <x v="62"/>
    <x v="1"/>
    <x v="15"/>
    <x v="0"/>
    <x v="0"/>
    <x v="1"/>
    <x v="1"/>
    <x v="1"/>
    <x v="2"/>
    <x v="1"/>
    <x v="2"/>
    <x v="1"/>
    <x v="2"/>
    <x v="0"/>
    <x v="1"/>
    <x v="4"/>
    <x v="2"/>
    <x v="60"/>
    <x v="8"/>
    <x v="0"/>
    <x v="0"/>
    <x v="1"/>
    <x v="0"/>
    <x v="0"/>
    <x v="0"/>
    <x v="22"/>
  </r>
  <r>
    <x v="106"/>
    <x v="51"/>
    <x v="50"/>
    <x v="49"/>
    <x v="85"/>
    <x v="1"/>
    <x v="2"/>
    <x v="65"/>
    <x v="52"/>
    <x v="1"/>
    <x v="2"/>
    <x v="0"/>
    <x v="0"/>
    <x v="1"/>
    <x v="2"/>
    <x v="3"/>
    <x v="2"/>
    <x v="1"/>
    <x v="2"/>
    <x v="1"/>
    <x v="1"/>
    <x v="33"/>
    <x v="1"/>
    <x v="6"/>
    <x v="3"/>
    <x v="49"/>
    <x v="8"/>
    <x v="3"/>
    <x v="0"/>
    <x v="1"/>
    <x v="0"/>
    <x v="57"/>
    <x v="28"/>
    <x v="0"/>
  </r>
  <r>
    <x v="107"/>
    <x v="57"/>
    <x v="56"/>
    <x v="55"/>
    <x v="86"/>
    <x v="3"/>
    <x v="2"/>
    <x v="60"/>
    <x v="30"/>
    <x v="1"/>
    <x v="25"/>
    <x v="0"/>
    <x v="0"/>
    <x v="3"/>
    <x v="3"/>
    <x v="2"/>
    <x v="2"/>
    <x v="2"/>
    <x v="3"/>
    <x v="1"/>
    <x v="1"/>
    <x v="35"/>
    <x v="1"/>
    <x v="3"/>
    <x v="4"/>
    <x v="55"/>
    <x v="1"/>
    <x v="1"/>
    <x v="1"/>
    <x v="2"/>
    <x v="1"/>
    <x v="58"/>
    <x v="0"/>
    <x v="23"/>
  </r>
  <r>
    <x v="108"/>
    <x v="63"/>
    <x v="62"/>
    <x v="61"/>
    <x v="87"/>
    <x v="1"/>
    <x v="1"/>
    <x v="66"/>
    <x v="16"/>
    <x v="1"/>
    <x v="38"/>
    <x v="0"/>
    <x v="0"/>
    <x v="1"/>
    <x v="1"/>
    <x v="1"/>
    <x v="2"/>
    <x v="1"/>
    <x v="2"/>
    <x v="1"/>
    <x v="1"/>
    <x v="33"/>
    <x v="1"/>
    <x v="2"/>
    <x v="2"/>
    <x v="61"/>
    <x v="7"/>
    <x v="1"/>
    <x v="7"/>
    <x v="2"/>
    <x v="1"/>
    <x v="59"/>
    <x v="0"/>
    <x v="0"/>
  </r>
  <r>
    <x v="109"/>
    <x v="64"/>
    <x v="63"/>
    <x v="62"/>
    <x v="88"/>
    <x v="1"/>
    <x v="2"/>
    <x v="67"/>
    <x v="63"/>
    <x v="1"/>
    <x v="39"/>
    <x v="0"/>
    <x v="0"/>
    <x v="1"/>
    <x v="1"/>
    <x v="1"/>
    <x v="2"/>
    <x v="1"/>
    <x v="3"/>
    <x v="1"/>
    <x v="1"/>
    <x v="36"/>
    <x v="1"/>
    <x v="1"/>
    <x v="2"/>
    <x v="62"/>
    <x v="1"/>
    <x v="1"/>
    <x v="4"/>
    <x v="2"/>
    <x v="1"/>
    <x v="60"/>
    <x v="0"/>
    <x v="24"/>
  </r>
  <r>
    <x v="110"/>
    <x v="65"/>
    <x v="64"/>
    <x v="63"/>
    <x v="89"/>
    <x v="3"/>
    <x v="2"/>
    <x v="68"/>
    <x v="64"/>
    <x v="1"/>
    <x v="31"/>
    <x v="0"/>
    <x v="0"/>
    <x v="1"/>
    <x v="1"/>
    <x v="1"/>
    <x v="2"/>
    <x v="1"/>
    <x v="3"/>
    <x v="1"/>
    <x v="2"/>
    <x v="0"/>
    <x v="1"/>
    <x v="1"/>
    <x v="2"/>
    <x v="63"/>
    <x v="1"/>
    <x v="0"/>
    <x v="0"/>
    <x v="1"/>
    <x v="0"/>
    <x v="0"/>
    <x v="0"/>
    <x v="0"/>
  </r>
  <r>
    <x v="111"/>
    <x v="66"/>
    <x v="65"/>
    <x v="64"/>
    <x v="90"/>
    <x v="1"/>
    <x v="2"/>
    <x v="69"/>
    <x v="65"/>
    <x v="1"/>
    <x v="15"/>
    <x v="0"/>
    <x v="0"/>
    <x v="1"/>
    <x v="1"/>
    <x v="1"/>
    <x v="2"/>
    <x v="1"/>
    <x v="1"/>
    <x v="1"/>
    <x v="2"/>
    <x v="0"/>
    <x v="1"/>
    <x v="1"/>
    <x v="2"/>
    <x v="64"/>
    <x v="1"/>
    <x v="0"/>
    <x v="0"/>
    <x v="1"/>
    <x v="0"/>
    <x v="0"/>
    <x v="0"/>
    <x v="0"/>
  </r>
  <r>
    <x v="112"/>
    <x v="61"/>
    <x v="60"/>
    <x v="59"/>
    <x v="0"/>
    <x v="1"/>
    <x v="2"/>
    <x v="25"/>
    <x v="61"/>
    <x v="1"/>
    <x v="40"/>
    <x v="0"/>
    <x v="0"/>
    <x v="3"/>
    <x v="1"/>
    <x v="1"/>
    <x v="2"/>
    <x v="1"/>
    <x v="2"/>
    <x v="1"/>
    <x v="2"/>
    <x v="0"/>
    <x v="2"/>
    <x v="3"/>
    <x v="4"/>
    <x v="59"/>
    <x v="7"/>
    <x v="0"/>
    <x v="0"/>
    <x v="1"/>
    <x v="0"/>
    <x v="0"/>
    <x v="0"/>
    <x v="0"/>
  </r>
  <r>
    <x v="113"/>
    <x v="67"/>
    <x v="66"/>
    <x v="65"/>
    <x v="91"/>
    <x v="1"/>
    <x v="2"/>
    <x v="70"/>
    <x v="66"/>
    <x v="1"/>
    <x v="41"/>
    <x v="0"/>
    <x v="0"/>
    <x v="1"/>
    <x v="1"/>
    <x v="1"/>
    <x v="2"/>
    <x v="1"/>
    <x v="3"/>
    <x v="1"/>
    <x v="2"/>
    <x v="0"/>
    <x v="1"/>
    <x v="1"/>
    <x v="2"/>
    <x v="65"/>
    <x v="1"/>
    <x v="0"/>
    <x v="0"/>
    <x v="1"/>
    <x v="0"/>
    <x v="0"/>
    <x v="0"/>
    <x v="0"/>
  </r>
  <r>
    <x v="114"/>
    <x v="68"/>
    <x v="67"/>
    <x v="66"/>
    <x v="92"/>
    <x v="1"/>
    <x v="2"/>
    <x v="71"/>
    <x v="67"/>
    <x v="1"/>
    <x v="42"/>
    <x v="0"/>
    <x v="0"/>
    <x v="1"/>
    <x v="3"/>
    <x v="2"/>
    <x v="1"/>
    <x v="1"/>
    <x v="2"/>
    <x v="1"/>
    <x v="2"/>
    <x v="33"/>
    <x v="1"/>
    <x v="1"/>
    <x v="2"/>
    <x v="66"/>
    <x v="2"/>
    <x v="2"/>
    <x v="0"/>
    <x v="1"/>
    <x v="0"/>
    <x v="61"/>
    <x v="0"/>
    <x v="25"/>
  </r>
  <r>
    <x v="115"/>
    <x v="69"/>
    <x v="68"/>
    <x v="67"/>
    <x v="93"/>
    <x v="3"/>
    <x v="2"/>
    <x v="72"/>
    <x v="68"/>
    <x v="1"/>
    <x v="3"/>
    <x v="0"/>
    <x v="0"/>
    <x v="1"/>
    <x v="3"/>
    <x v="3"/>
    <x v="1"/>
    <x v="1"/>
    <x v="2"/>
    <x v="1"/>
    <x v="1"/>
    <x v="36"/>
    <x v="1"/>
    <x v="2"/>
    <x v="1"/>
    <x v="67"/>
    <x v="7"/>
    <x v="3"/>
    <x v="0"/>
    <x v="1"/>
    <x v="0"/>
    <x v="62"/>
    <x v="29"/>
    <x v="26"/>
  </r>
  <r>
    <x v="116"/>
    <x v="70"/>
    <x v="69"/>
    <x v="68"/>
    <x v="94"/>
    <x v="1"/>
    <x v="2"/>
    <x v="73"/>
    <x v="69"/>
    <x v="2"/>
    <x v="0"/>
    <x v="5"/>
    <x v="0"/>
    <x v="1"/>
    <x v="2"/>
    <x v="3"/>
    <x v="2"/>
    <x v="1"/>
    <x v="2"/>
    <x v="1"/>
    <x v="1"/>
    <x v="35"/>
    <x v="1"/>
    <x v="1"/>
    <x v="2"/>
    <x v="68"/>
    <x v="1"/>
    <x v="1"/>
    <x v="1"/>
    <x v="2"/>
    <x v="1"/>
    <x v="63"/>
    <x v="0"/>
    <x v="0"/>
  </r>
  <r>
    <x v="117"/>
    <x v="71"/>
    <x v="70"/>
    <x v="69"/>
    <x v="95"/>
    <x v="1"/>
    <x v="2"/>
    <x v="74"/>
    <x v="70"/>
    <x v="2"/>
    <x v="0"/>
    <x v="6"/>
    <x v="0"/>
    <x v="1"/>
    <x v="2"/>
    <x v="3"/>
    <x v="1"/>
    <x v="1"/>
    <x v="2"/>
    <x v="1"/>
    <x v="1"/>
    <x v="35"/>
    <x v="1"/>
    <x v="1"/>
    <x v="2"/>
    <x v="69"/>
    <x v="2"/>
    <x v="3"/>
    <x v="0"/>
    <x v="1"/>
    <x v="0"/>
    <x v="64"/>
    <x v="30"/>
    <x v="0"/>
  </r>
  <r>
    <x v="118"/>
    <x v="63"/>
    <x v="62"/>
    <x v="61"/>
    <x v="96"/>
    <x v="1"/>
    <x v="1"/>
    <x v="66"/>
    <x v="16"/>
    <x v="1"/>
    <x v="43"/>
    <x v="0"/>
    <x v="0"/>
    <x v="3"/>
    <x v="2"/>
    <x v="3"/>
    <x v="2"/>
    <x v="1"/>
    <x v="2"/>
    <x v="1"/>
    <x v="1"/>
    <x v="35"/>
    <x v="1"/>
    <x v="3"/>
    <x v="4"/>
    <x v="61"/>
    <x v="7"/>
    <x v="1"/>
    <x v="1"/>
    <x v="2"/>
    <x v="1"/>
    <x v="65"/>
    <x v="0"/>
    <x v="0"/>
  </r>
  <r>
    <x v="119"/>
    <x v="72"/>
    <x v="71"/>
    <x v="70"/>
    <x v="97"/>
    <x v="1"/>
    <x v="1"/>
    <x v="75"/>
    <x v="37"/>
    <x v="1"/>
    <x v="24"/>
    <x v="0"/>
    <x v="0"/>
    <x v="1"/>
    <x v="2"/>
    <x v="3"/>
    <x v="2"/>
    <x v="2"/>
    <x v="1"/>
    <x v="1"/>
    <x v="1"/>
    <x v="35"/>
    <x v="1"/>
    <x v="5"/>
    <x v="2"/>
    <x v="70"/>
    <x v="7"/>
    <x v="1"/>
    <x v="9"/>
    <x v="1"/>
    <x v="0"/>
    <x v="66"/>
    <x v="31"/>
    <x v="27"/>
  </r>
  <r>
    <x v="120"/>
    <x v="70"/>
    <x v="69"/>
    <x v="68"/>
    <x v="98"/>
    <x v="1"/>
    <x v="2"/>
    <x v="73"/>
    <x v="69"/>
    <x v="2"/>
    <x v="0"/>
    <x v="5"/>
    <x v="0"/>
    <x v="3"/>
    <x v="1"/>
    <x v="1"/>
    <x v="2"/>
    <x v="1"/>
    <x v="2"/>
    <x v="1"/>
    <x v="1"/>
    <x v="35"/>
    <x v="1"/>
    <x v="3"/>
    <x v="4"/>
    <x v="68"/>
    <x v="5"/>
    <x v="1"/>
    <x v="9"/>
    <x v="2"/>
    <x v="1"/>
    <x v="67"/>
    <x v="32"/>
    <x v="0"/>
  </r>
  <r>
    <x v="121"/>
    <x v="26"/>
    <x v="26"/>
    <x v="26"/>
    <x v="99"/>
    <x v="1"/>
    <x v="2"/>
    <x v="28"/>
    <x v="71"/>
    <x v="1"/>
    <x v="15"/>
    <x v="0"/>
    <x v="0"/>
    <x v="1"/>
    <x v="1"/>
    <x v="1"/>
    <x v="2"/>
    <x v="1"/>
    <x v="2"/>
    <x v="1"/>
    <x v="1"/>
    <x v="37"/>
    <x v="1"/>
    <x v="2"/>
    <x v="3"/>
    <x v="26"/>
    <x v="10"/>
    <x v="1"/>
    <x v="4"/>
    <x v="2"/>
    <x v="1"/>
    <x v="68"/>
    <x v="33"/>
    <x v="0"/>
  </r>
  <r>
    <x v="122"/>
    <x v="73"/>
    <x v="72"/>
    <x v="71"/>
    <x v="100"/>
    <x v="2"/>
    <x v="1"/>
    <x v="76"/>
    <x v="10"/>
    <x v="6"/>
    <x v="0"/>
    <x v="0"/>
    <x v="2"/>
    <x v="1"/>
    <x v="1"/>
    <x v="1"/>
    <x v="2"/>
    <x v="1"/>
    <x v="3"/>
    <x v="1"/>
    <x v="1"/>
    <x v="36"/>
    <x v="1"/>
    <x v="6"/>
    <x v="2"/>
    <x v="71"/>
    <x v="10"/>
    <x v="3"/>
    <x v="0"/>
    <x v="1"/>
    <x v="0"/>
    <x v="69"/>
    <x v="34"/>
    <x v="28"/>
  </r>
  <r>
    <x v="123"/>
    <x v="63"/>
    <x v="62"/>
    <x v="61"/>
    <x v="101"/>
    <x v="1"/>
    <x v="1"/>
    <x v="66"/>
    <x v="16"/>
    <x v="1"/>
    <x v="43"/>
    <x v="0"/>
    <x v="0"/>
    <x v="3"/>
    <x v="1"/>
    <x v="1"/>
    <x v="1"/>
    <x v="1"/>
    <x v="2"/>
    <x v="1"/>
    <x v="2"/>
    <x v="0"/>
    <x v="1"/>
    <x v="3"/>
    <x v="4"/>
    <x v="61"/>
    <x v="5"/>
    <x v="0"/>
    <x v="0"/>
    <x v="1"/>
    <x v="0"/>
    <x v="0"/>
    <x v="0"/>
    <x v="0"/>
  </r>
  <r>
    <x v="124"/>
    <x v="74"/>
    <x v="73"/>
    <x v="72"/>
    <x v="102"/>
    <x v="3"/>
    <x v="2"/>
    <x v="77"/>
    <x v="72"/>
    <x v="1"/>
    <x v="4"/>
    <x v="0"/>
    <x v="0"/>
    <x v="1"/>
    <x v="1"/>
    <x v="1"/>
    <x v="2"/>
    <x v="1"/>
    <x v="3"/>
    <x v="1"/>
    <x v="1"/>
    <x v="35"/>
    <x v="1"/>
    <x v="6"/>
    <x v="2"/>
    <x v="72"/>
    <x v="10"/>
    <x v="3"/>
    <x v="0"/>
    <x v="1"/>
    <x v="0"/>
    <x v="70"/>
    <x v="30"/>
    <x v="0"/>
  </r>
  <r>
    <x v="125"/>
    <x v="75"/>
    <x v="74"/>
    <x v="73"/>
    <x v="103"/>
    <x v="1"/>
    <x v="1"/>
    <x v="78"/>
    <x v="73"/>
    <x v="2"/>
    <x v="0"/>
    <x v="5"/>
    <x v="0"/>
    <x v="1"/>
    <x v="2"/>
    <x v="3"/>
    <x v="2"/>
    <x v="1"/>
    <x v="2"/>
    <x v="1"/>
    <x v="1"/>
    <x v="37"/>
    <x v="2"/>
    <x v="6"/>
    <x v="2"/>
    <x v="73"/>
    <x v="5"/>
    <x v="1"/>
    <x v="4"/>
    <x v="2"/>
    <x v="1"/>
    <x v="71"/>
    <x v="0"/>
    <x v="0"/>
  </r>
  <r>
    <x v="126"/>
    <x v="70"/>
    <x v="69"/>
    <x v="68"/>
    <x v="104"/>
    <x v="1"/>
    <x v="6"/>
    <x v="73"/>
    <x v="69"/>
    <x v="1"/>
    <x v="4"/>
    <x v="0"/>
    <x v="0"/>
    <x v="3"/>
    <x v="2"/>
    <x v="3"/>
    <x v="2"/>
    <x v="1"/>
    <x v="2"/>
    <x v="1"/>
    <x v="1"/>
    <x v="37"/>
    <x v="1"/>
    <x v="3"/>
    <x v="4"/>
    <x v="68"/>
    <x v="10"/>
    <x v="1"/>
    <x v="10"/>
    <x v="2"/>
    <x v="1"/>
    <x v="72"/>
    <x v="0"/>
    <x v="0"/>
  </r>
  <r>
    <x v="127"/>
    <x v="19"/>
    <x v="19"/>
    <x v="19"/>
    <x v="105"/>
    <x v="1"/>
    <x v="2"/>
    <x v="21"/>
    <x v="20"/>
    <x v="1"/>
    <x v="44"/>
    <x v="0"/>
    <x v="0"/>
    <x v="1"/>
    <x v="1"/>
    <x v="1"/>
    <x v="2"/>
    <x v="1"/>
    <x v="2"/>
    <x v="1"/>
    <x v="2"/>
    <x v="0"/>
    <x v="1"/>
    <x v="6"/>
    <x v="2"/>
    <x v="19"/>
    <x v="5"/>
    <x v="0"/>
    <x v="0"/>
    <x v="1"/>
    <x v="0"/>
    <x v="0"/>
    <x v="0"/>
    <x v="0"/>
  </r>
  <r>
    <x v="128"/>
    <x v="76"/>
    <x v="75"/>
    <x v="74"/>
    <x v="106"/>
    <x v="1"/>
    <x v="6"/>
    <x v="79"/>
    <x v="74"/>
    <x v="1"/>
    <x v="45"/>
    <x v="0"/>
    <x v="0"/>
    <x v="1"/>
    <x v="1"/>
    <x v="1"/>
    <x v="2"/>
    <x v="1"/>
    <x v="3"/>
    <x v="1"/>
    <x v="1"/>
    <x v="37"/>
    <x v="1"/>
    <x v="6"/>
    <x v="2"/>
    <x v="74"/>
    <x v="10"/>
    <x v="3"/>
    <x v="0"/>
    <x v="1"/>
    <x v="0"/>
    <x v="73"/>
    <x v="35"/>
    <x v="0"/>
  </r>
  <r>
    <x v="129"/>
    <x v="57"/>
    <x v="56"/>
    <x v="55"/>
    <x v="107"/>
    <x v="3"/>
    <x v="2"/>
    <x v="60"/>
    <x v="30"/>
    <x v="1"/>
    <x v="33"/>
    <x v="0"/>
    <x v="0"/>
    <x v="3"/>
    <x v="1"/>
    <x v="2"/>
    <x v="2"/>
    <x v="2"/>
    <x v="3"/>
    <x v="1"/>
    <x v="1"/>
    <x v="36"/>
    <x v="1"/>
    <x v="3"/>
    <x v="4"/>
    <x v="55"/>
    <x v="5"/>
    <x v="1"/>
    <x v="3"/>
    <x v="2"/>
    <x v="1"/>
    <x v="74"/>
    <x v="0"/>
    <x v="0"/>
  </r>
  <r>
    <x v="130"/>
    <x v="77"/>
    <x v="76"/>
    <x v="75"/>
    <x v="108"/>
    <x v="1"/>
    <x v="2"/>
    <x v="80"/>
    <x v="74"/>
    <x v="1"/>
    <x v="2"/>
    <x v="0"/>
    <x v="0"/>
    <x v="1"/>
    <x v="1"/>
    <x v="1"/>
    <x v="2"/>
    <x v="1"/>
    <x v="2"/>
    <x v="1"/>
    <x v="2"/>
    <x v="0"/>
    <x v="1"/>
    <x v="6"/>
    <x v="2"/>
    <x v="75"/>
    <x v="5"/>
    <x v="0"/>
    <x v="0"/>
    <x v="1"/>
    <x v="0"/>
    <x v="0"/>
    <x v="0"/>
    <x v="0"/>
  </r>
  <r>
    <x v="131"/>
    <x v="78"/>
    <x v="77"/>
    <x v="76"/>
    <x v="109"/>
    <x v="1"/>
    <x v="6"/>
    <x v="81"/>
    <x v="30"/>
    <x v="1"/>
    <x v="22"/>
    <x v="0"/>
    <x v="0"/>
    <x v="1"/>
    <x v="1"/>
    <x v="1"/>
    <x v="2"/>
    <x v="1"/>
    <x v="3"/>
    <x v="1"/>
    <x v="1"/>
    <x v="37"/>
    <x v="1"/>
    <x v="6"/>
    <x v="2"/>
    <x v="76"/>
    <x v="10"/>
    <x v="1"/>
    <x v="4"/>
    <x v="2"/>
    <x v="1"/>
    <x v="75"/>
    <x v="0"/>
    <x v="29"/>
  </r>
  <r>
    <x v="132"/>
    <x v="45"/>
    <x v="44"/>
    <x v="44"/>
    <x v="110"/>
    <x v="3"/>
    <x v="6"/>
    <x v="47"/>
    <x v="17"/>
    <x v="1"/>
    <x v="1"/>
    <x v="0"/>
    <x v="0"/>
    <x v="1"/>
    <x v="1"/>
    <x v="1"/>
    <x v="2"/>
    <x v="1"/>
    <x v="2"/>
    <x v="2"/>
    <x v="1"/>
    <x v="37"/>
    <x v="1"/>
    <x v="6"/>
    <x v="2"/>
    <x v="44"/>
    <x v="10"/>
    <x v="3"/>
    <x v="0"/>
    <x v="1"/>
    <x v="0"/>
    <x v="76"/>
    <x v="36"/>
    <x v="30"/>
  </r>
  <r>
    <x v="133"/>
    <x v="79"/>
    <x v="78"/>
    <x v="77"/>
    <x v="111"/>
    <x v="3"/>
    <x v="2"/>
    <x v="82"/>
    <x v="59"/>
    <x v="6"/>
    <x v="0"/>
    <x v="0"/>
    <x v="3"/>
    <x v="1"/>
    <x v="1"/>
    <x v="1"/>
    <x v="1"/>
    <x v="1"/>
    <x v="2"/>
    <x v="2"/>
    <x v="2"/>
    <x v="0"/>
    <x v="1"/>
    <x v="6"/>
    <x v="2"/>
    <x v="77"/>
    <x v="5"/>
    <x v="0"/>
    <x v="0"/>
    <x v="1"/>
    <x v="0"/>
    <x v="0"/>
    <x v="0"/>
    <x v="31"/>
  </r>
  <r>
    <x v="134"/>
    <x v="49"/>
    <x v="48"/>
    <x v="47"/>
    <x v="112"/>
    <x v="1"/>
    <x v="1"/>
    <x v="51"/>
    <x v="50"/>
    <x v="1"/>
    <x v="34"/>
    <x v="0"/>
    <x v="0"/>
    <x v="3"/>
    <x v="1"/>
    <x v="1"/>
    <x v="2"/>
    <x v="1"/>
    <x v="3"/>
    <x v="1"/>
    <x v="2"/>
    <x v="0"/>
    <x v="1"/>
    <x v="3"/>
    <x v="4"/>
    <x v="47"/>
    <x v="5"/>
    <x v="0"/>
    <x v="0"/>
    <x v="1"/>
    <x v="0"/>
    <x v="0"/>
    <x v="0"/>
    <x v="0"/>
  </r>
  <r>
    <x v="135"/>
    <x v="72"/>
    <x v="71"/>
    <x v="70"/>
    <x v="0"/>
    <x v="1"/>
    <x v="6"/>
    <x v="75"/>
    <x v="37"/>
    <x v="1"/>
    <x v="24"/>
    <x v="0"/>
    <x v="0"/>
    <x v="3"/>
    <x v="1"/>
    <x v="1"/>
    <x v="2"/>
    <x v="1"/>
    <x v="2"/>
    <x v="1"/>
    <x v="1"/>
    <x v="38"/>
    <x v="2"/>
    <x v="3"/>
    <x v="4"/>
    <x v="78"/>
    <x v="10"/>
    <x v="3"/>
    <x v="0"/>
    <x v="1"/>
    <x v="0"/>
    <x v="77"/>
    <x v="37"/>
    <x v="32"/>
  </r>
  <r>
    <x v="136"/>
    <x v="56"/>
    <x v="55"/>
    <x v="54"/>
    <x v="0"/>
    <x v="3"/>
    <x v="2"/>
    <x v="58"/>
    <x v="58"/>
    <x v="1"/>
    <x v="12"/>
    <x v="0"/>
    <x v="0"/>
    <x v="3"/>
    <x v="1"/>
    <x v="2"/>
    <x v="2"/>
    <x v="1"/>
    <x v="2"/>
    <x v="1"/>
    <x v="1"/>
    <x v="36"/>
    <x v="2"/>
    <x v="3"/>
    <x v="4"/>
    <x v="54"/>
    <x v="5"/>
    <x v="3"/>
    <x v="0"/>
    <x v="1"/>
    <x v="0"/>
    <x v="78"/>
    <x v="38"/>
    <x v="0"/>
  </r>
  <r>
    <x v="137"/>
    <x v="58"/>
    <x v="57"/>
    <x v="56"/>
    <x v="0"/>
    <x v="3"/>
    <x v="6"/>
    <x v="61"/>
    <x v="75"/>
    <x v="1"/>
    <x v="3"/>
    <x v="0"/>
    <x v="0"/>
    <x v="3"/>
    <x v="3"/>
    <x v="2"/>
    <x v="2"/>
    <x v="1"/>
    <x v="3"/>
    <x v="1"/>
    <x v="1"/>
    <x v="39"/>
    <x v="2"/>
    <x v="3"/>
    <x v="4"/>
    <x v="56"/>
    <x v="10"/>
    <x v="3"/>
    <x v="0"/>
    <x v="1"/>
    <x v="0"/>
    <x v="79"/>
    <x v="39"/>
    <x v="0"/>
  </r>
  <r>
    <x v="138"/>
    <x v="80"/>
    <x v="79"/>
    <x v="78"/>
    <x v="113"/>
    <x v="1"/>
    <x v="2"/>
    <x v="83"/>
    <x v="72"/>
    <x v="1"/>
    <x v="3"/>
    <x v="0"/>
    <x v="0"/>
    <x v="1"/>
    <x v="3"/>
    <x v="3"/>
    <x v="2"/>
    <x v="1"/>
    <x v="2"/>
    <x v="1"/>
    <x v="1"/>
    <x v="36"/>
    <x v="1"/>
    <x v="6"/>
    <x v="2"/>
    <x v="79"/>
    <x v="5"/>
    <x v="1"/>
    <x v="7"/>
    <x v="1"/>
    <x v="0"/>
    <x v="80"/>
    <x v="40"/>
    <x v="0"/>
  </r>
  <r>
    <x v="139"/>
    <x v="81"/>
    <x v="80"/>
    <x v="79"/>
    <x v="114"/>
    <x v="3"/>
    <x v="2"/>
    <x v="84"/>
    <x v="76"/>
    <x v="1"/>
    <x v="24"/>
    <x v="0"/>
    <x v="0"/>
    <x v="1"/>
    <x v="3"/>
    <x v="3"/>
    <x v="2"/>
    <x v="1"/>
    <x v="3"/>
    <x v="1"/>
    <x v="1"/>
    <x v="36"/>
    <x v="1"/>
    <x v="4"/>
    <x v="2"/>
    <x v="80"/>
    <x v="1"/>
    <x v="3"/>
    <x v="0"/>
    <x v="1"/>
    <x v="0"/>
    <x v="81"/>
    <x v="41"/>
    <x v="0"/>
  </r>
  <r>
    <x v="140"/>
    <x v="75"/>
    <x v="74"/>
    <x v="73"/>
    <x v="115"/>
    <x v="1"/>
    <x v="2"/>
    <x v="78"/>
    <x v="77"/>
    <x v="2"/>
    <x v="0"/>
    <x v="5"/>
    <x v="0"/>
    <x v="3"/>
    <x v="2"/>
    <x v="3"/>
    <x v="2"/>
    <x v="1"/>
    <x v="2"/>
    <x v="1"/>
    <x v="1"/>
    <x v="37"/>
    <x v="2"/>
    <x v="3"/>
    <x v="4"/>
    <x v="73"/>
    <x v="1"/>
    <x v="1"/>
    <x v="4"/>
    <x v="2"/>
    <x v="1"/>
    <x v="82"/>
    <x v="42"/>
    <x v="0"/>
  </r>
  <r>
    <x v="141"/>
    <x v="70"/>
    <x v="69"/>
    <x v="68"/>
    <x v="116"/>
    <x v="1"/>
    <x v="2"/>
    <x v="73"/>
    <x v="69"/>
    <x v="1"/>
    <x v="4"/>
    <x v="0"/>
    <x v="0"/>
    <x v="3"/>
    <x v="1"/>
    <x v="1"/>
    <x v="2"/>
    <x v="1"/>
    <x v="2"/>
    <x v="1"/>
    <x v="1"/>
    <x v="38"/>
    <x v="1"/>
    <x v="3"/>
    <x v="4"/>
    <x v="74"/>
    <x v="9"/>
    <x v="3"/>
    <x v="0"/>
    <x v="1"/>
    <x v="0"/>
    <x v="83"/>
    <x v="43"/>
    <x v="0"/>
  </r>
  <r>
    <x v="142"/>
    <x v="82"/>
    <x v="81"/>
    <x v="80"/>
    <x v="117"/>
    <x v="1"/>
    <x v="2"/>
    <x v="85"/>
    <x v="10"/>
    <x v="2"/>
    <x v="0"/>
    <x v="5"/>
    <x v="0"/>
    <x v="1"/>
    <x v="2"/>
    <x v="3"/>
    <x v="2"/>
    <x v="1"/>
    <x v="1"/>
    <x v="1"/>
    <x v="1"/>
    <x v="37"/>
    <x v="1"/>
    <x v="6"/>
    <x v="2"/>
    <x v="81"/>
    <x v="9"/>
    <x v="1"/>
    <x v="10"/>
    <x v="2"/>
    <x v="1"/>
    <x v="84"/>
    <x v="0"/>
    <x v="33"/>
  </r>
  <r>
    <x v="143"/>
    <x v="78"/>
    <x v="77"/>
    <x v="76"/>
    <x v="118"/>
    <x v="1"/>
    <x v="2"/>
    <x v="81"/>
    <x v="78"/>
    <x v="1"/>
    <x v="22"/>
    <x v="0"/>
    <x v="0"/>
    <x v="3"/>
    <x v="2"/>
    <x v="3"/>
    <x v="2"/>
    <x v="1"/>
    <x v="3"/>
    <x v="1"/>
    <x v="1"/>
    <x v="36"/>
    <x v="1"/>
    <x v="3"/>
    <x v="4"/>
    <x v="76"/>
    <x v="1"/>
    <x v="1"/>
    <x v="7"/>
    <x v="2"/>
    <x v="1"/>
    <x v="85"/>
    <x v="0"/>
    <x v="0"/>
  </r>
  <r>
    <x v="144"/>
    <x v="83"/>
    <x v="82"/>
    <x v="81"/>
    <x v="119"/>
    <x v="1"/>
    <x v="3"/>
    <x v="86"/>
    <x v="10"/>
    <x v="1"/>
    <x v="46"/>
    <x v="0"/>
    <x v="0"/>
    <x v="1"/>
    <x v="1"/>
    <x v="1"/>
    <x v="2"/>
    <x v="1"/>
    <x v="1"/>
    <x v="1"/>
    <x v="1"/>
    <x v="40"/>
    <x v="1"/>
    <x v="6"/>
    <x v="3"/>
    <x v="82"/>
    <x v="9"/>
    <x v="3"/>
    <x v="0"/>
    <x v="1"/>
    <x v="0"/>
    <x v="86"/>
    <x v="44"/>
    <x v="0"/>
  </r>
  <r>
    <x v="145"/>
    <x v="26"/>
    <x v="26"/>
    <x v="26"/>
    <x v="120"/>
    <x v="1"/>
    <x v="2"/>
    <x v="28"/>
    <x v="79"/>
    <x v="1"/>
    <x v="22"/>
    <x v="0"/>
    <x v="0"/>
    <x v="3"/>
    <x v="1"/>
    <x v="1"/>
    <x v="2"/>
    <x v="1"/>
    <x v="3"/>
    <x v="1"/>
    <x v="2"/>
    <x v="0"/>
    <x v="1"/>
    <x v="3"/>
    <x v="4"/>
    <x v="26"/>
    <x v="1"/>
    <x v="0"/>
    <x v="0"/>
    <x v="1"/>
    <x v="0"/>
    <x v="0"/>
    <x v="0"/>
    <x v="0"/>
  </r>
  <r>
    <x v="146"/>
    <x v="75"/>
    <x v="74"/>
    <x v="73"/>
    <x v="0"/>
    <x v="1"/>
    <x v="2"/>
    <x v="78"/>
    <x v="77"/>
    <x v="2"/>
    <x v="0"/>
    <x v="5"/>
    <x v="0"/>
    <x v="3"/>
    <x v="4"/>
    <x v="1"/>
    <x v="2"/>
    <x v="1"/>
    <x v="2"/>
    <x v="1"/>
    <x v="1"/>
    <x v="36"/>
    <x v="2"/>
    <x v="3"/>
    <x v="4"/>
    <x v="73"/>
    <x v="1"/>
    <x v="3"/>
    <x v="0"/>
    <x v="1"/>
    <x v="0"/>
    <x v="87"/>
    <x v="45"/>
    <x v="34"/>
  </r>
  <r>
    <x v="147"/>
    <x v="84"/>
    <x v="83"/>
    <x v="82"/>
    <x v="121"/>
    <x v="1"/>
    <x v="6"/>
    <x v="87"/>
    <x v="80"/>
    <x v="1"/>
    <x v="47"/>
    <x v="0"/>
    <x v="0"/>
    <x v="1"/>
    <x v="1"/>
    <x v="1"/>
    <x v="2"/>
    <x v="2"/>
    <x v="1"/>
    <x v="1"/>
    <x v="2"/>
    <x v="0"/>
    <x v="1"/>
    <x v="6"/>
    <x v="2"/>
    <x v="83"/>
    <x v="9"/>
    <x v="0"/>
    <x v="0"/>
    <x v="1"/>
    <x v="0"/>
    <x v="0"/>
    <x v="0"/>
    <x v="0"/>
  </r>
  <r>
    <x v="148"/>
    <x v="57"/>
    <x v="56"/>
    <x v="55"/>
    <x v="122"/>
    <x v="3"/>
    <x v="2"/>
    <x v="88"/>
    <x v="30"/>
    <x v="1"/>
    <x v="33"/>
    <x v="0"/>
    <x v="0"/>
    <x v="3"/>
    <x v="1"/>
    <x v="1"/>
    <x v="2"/>
    <x v="1"/>
    <x v="3"/>
    <x v="1"/>
    <x v="2"/>
    <x v="0"/>
    <x v="1"/>
    <x v="3"/>
    <x v="4"/>
    <x v="55"/>
    <x v="3"/>
    <x v="0"/>
    <x v="0"/>
    <x v="1"/>
    <x v="0"/>
    <x v="0"/>
    <x v="0"/>
    <x v="0"/>
  </r>
  <r>
    <x v="149"/>
    <x v="85"/>
    <x v="84"/>
    <x v="83"/>
    <x v="123"/>
    <x v="3"/>
    <x v="2"/>
    <x v="89"/>
    <x v="81"/>
    <x v="1"/>
    <x v="8"/>
    <x v="0"/>
    <x v="0"/>
    <x v="1"/>
    <x v="1"/>
    <x v="1"/>
    <x v="2"/>
    <x v="1"/>
    <x v="2"/>
    <x v="1"/>
    <x v="1"/>
    <x v="39"/>
    <x v="2"/>
    <x v="1"/>
    <x v="2"/>
    <x v="84"/>
    <x v="3"/>
    <x v="1"/>
    <x v="5"/>
    <x v="2"/>
    <x v="1"/>
    <x v="88"/>
    <x v="0"/>
    <x v="0"/>
  </r>
  <r>
    <x v="150"/>
    <x v="64"/>
    <x v="63"/>
    <x v="62"/>
    <x v="124"/>
    <x v="1"/>
    <x v="2"/>
    <x v="67"/>
    <x v="82"/>
    <x v="1"/>
    <x v="48"/>
    <x v="0"/>
    <x v="0"/>
    <x v="3"/>
    <x v="1"/>
    <x v="1"/>
    <x v="2"/>
    <x v="1"/>
    <x v="2"/>
    <x v="1"/>
    <x v="2"/>
    <x v="0"/>
    <x v="1"/>
    <x v="3"/>
    <x v="4"/>
    <x v="62"/>
    <x v="1"/>
    <x v="0"/>
    <x v="0"/>
    <x v="1"/>
    <x v="0"/>
    <x v="0"/>
    <x v="0"/>
    <x v="0"/>
  </r>
  <r>
    <x v="151"/>
    <x v="86"/>
    <x v="85"/>
    <x v="84"/>
    <x v="125"/>
    <x v="1"/>
    <x v="2"/>
    <x v="90"/>
    <x v="83"/>
    <x v="6"/>
    <x v="0"/>
    <x v="0"/>
    <x v="4"/>
    <x v="1"/>
    <x v="1"/>
    <x v="1"/>
    <x v="2"/>
    <x v="2"/>
    <x v="3"/>
    <x v="1"/>
    <x v="1"/>
    <x v="41"/>
    <x v="1"/>
    <x v="1"/>
    <x v="2"/>
    <x v="85"/>
    <x v="1"/>
    <x v="1"/>
    <x v="4"/>
    <x v="1"/>
    <x v="0"/>
    <x v="89"/>
    <x v="46"/>
    <x v="0"/>
  </r>
  <r>
    <x v="152"/>
    <x v="78"/>
    <x v="77"/>
    <x v="76"/>
    <x v="126"/>
    <x v="1"/>
    <x v="2"/>
    <x v="81"/>
    <x v="30"/>
    <x v="1"/>
    <x v="22"/>
    <x v="0"/>
    <x v="0"/>
    <x v="3"/>
    <x v="3"/>
    <x v="2"/>
    <x v="2"/>
    <x v="1"/>
    <x v="2"/>
    <x v="1"/>
    <x v="1"/>
    <x v="34"/>
    <x v="1"/>
    <x v="1"/>
    <x v="2"/>
    <x v="76"/>
    <x v="7"/>
    <x v="1"/>
    <x v="4"/>
    <x v="1"/>
    <x v="0"/>
    <x v="90"/>
    <x v="0"/>
    <x v="0"/>
  </r>
  <r>
    <x v="153"/>
    <x v="87"/>
    <x v="86"/>
    <x v="85"/>
    <x v="127"/>
    <x v="1"/>
    <x v="2"/>
    <x v="91"/>
    <x v="84"/>
    <x v="1"/>
    <x v="1"/>
    <x v="0"/>
    <x v="0"/>
    <x v="1"/>
    <x v="5"/>
    <x v="3"/>
    <x v="1"/>
    <x v="1"/>
    <x v="1"/>
    <x v="1"/>
    <x v="1"/>
    <x v="39"/>
    <x v="1"/>
    <x v="1"/>
    <x v="6"/>
    <x v="86"/>
    <x v="3"/>
    <x v="1"/>
    <x v="3"/>
    <x v="2"/>
    <x v="1"/>
    <x v="91"/>
    <x v="0"/>
    <x v="0"/>
  </r>
  <r>
    <x v="154"/>
    <x v="88"/>
    <x v="87"/>
    <x v="86"/>
    <x v="128"/>
    <x v="1"/>
    <x v="1"/>
    <x v="92"/>
    <x v="85"/>
    <x v="1"/>
    <x v="49"/>
    <x v="0"/>
    <x v="0"/>
    <x v="1"/>
    <x v="1"/>
    <x v="1"/>
    <x v="2"/>
    <x v="1"/>
    <x v="2"/>
    <x v="1"/>
    <x v="2"/>
    <x v="0"/>
    <x v="1"/>
    <x v="1"/>
    <x v="2"/>
    <x v="87"/>
    <x v="4"/>
    <x v="0"/>
    <x v="0"/>
    <x v="1"/>
    <x v="0"/>
    <x v="0"/>
    <x v="0"/>
    <x v="0"/>
  </r>
  <r>
    <x v="155"/>
    <x v="65"/>
    <x v="64"/>
    <x v="63"/>
    <x v="129"/>
    <x v="3"/>
    <x v="2"/>
    <x v="68"/>
    <x v="86"/>
    <x v="1"/>
    <x v="3"/>
    <x v="0"/>
    <x v="0"/>
    <x v="1"/>
    <x v="1"/>
    <x v="1"/>
    <x v="2"/>
    <x v="1"/>
    <x v="3"/>
    <x v="1"/>
    <x v="1"/>
    <x v="39"/>
    <x v="1"/>
    <x v="1"/>
    <x v="2"/>
    <x v="63"/>
    <x v="1"/>
    <x v="3"/>
    <x v="0"/>
    <x v="1"/>
    <x v="0"/>
    <x v="92"/>
    <x v="47"/>
    <x v="0"/>
  </r>
  <r>
    <x v="156"/>
    <x v="80"/>
    <x v="79"/>
    <x v="78"/>
    <x v="0"/>
    <x v="1"/>
    <x v="2"/>
    <x v="83"/>
    <x v="72"/>
    <x v="1"/>
    <x v="3"/>
    <x v="0"/>
    <x v="0"/>
    <x v="3"/>
    <x v="1"/>
    <x v="1"/>
    <x v="2"/>
    <x v="1"/>
    <x v="2"/>
    <x v="1"/>
    <x v="2"/>
    <x v="0"/>
    <x v="2"/>
    <x v="3"/>
    <x v="4"/>
    <x v="79"/>
    <x v="7"/>
    <x v="0"/>
    <x v="0"/>
    <x v="1"/>
    <x v="0"/>
    <x v="0"/>
    <x v="0"/>
    <x v="0"/>
  </r>
  <r>
    <x v="157"/>
    <x v="89"/>
    <x v="88"/>
    <x v="87"/>
    <x v="130"/>
    <x v="1"/>
    <x v="2"/>
    <x v="93"/>
    <x v="87"/>
    <x v="1"/>
    <x v="50"/>
    <x v="0"/>
    <x v="0"/>
    <x v="1"/>
    <x v="1"/>
    <x v="1"/>
    <x v="2"/>
    <x v="1"/>
    <x v="3"/>
    <x v="1"/>
    <x v="2"/>
    <x v="0"/>
    <x v="1"/>
    <x v="2"/>
    <x v="2"/>
    <x v="88"/>
    <x v="1"/>
    <x v="0"/>
    <x v="0"/>
    <x v="1"/>
    <x v="0"/>
    <x v="0"/>
    <x v="0"/>
    <x v="0"/>
  </r>
  <r>
    <x v="158"/>
    <x v="90"/>
    <x v="89"/>
    <x v="88"/>
    <x v="131"/>
    <x v="1"/>
    <x v="2"/>
    <x v="94"/>
    <x v="10"/>
    <x v="1"/>
    <x v="15"/>
    <x v="0"/>
    <x v="0"/>
    <x v="1"/>
    <x v="3"/>
    <x v="2"/>
    <x v="2"/>
    <x v="1"/>
    <x v="2"/>
    <x v="1"/>
    <x v="1"/>
    <x v="34"/>
    <x v="1"/>
    <x v="1"/>
    <x v="2"/>
    <x v="89"/>
    <x v="2"/>
    <x v="1"/>
    <x v="1"/>
    <x v="2"/>
    <x v="1"/>
    <x v="93"/>
    <x v="48"/>
    <x v="35"/>
  </r>
  <r>
    <x v="159"/>
    <x v="85"/>
    <x v="84"/>
    <x v="83"/>
    <x v="132"/>
    <x v="3"/>
    <x v="1"/>
    <x v="95"/>
    <x v="88"/>
    <x v="1"/>
    <x v="8"/>
    <x v="0"/>
    <x v="0"/>
    <x v="3"/>
    <x v="1"/>
    <x v="1"/>
    <x v="2"/>
    <x v="1"/>
    <x v="2"/>
    <x v="1"/>
    <x v="2"/>
    <x v="0"/>
    <x v="1"/>
    <x v="1"/>
    <x v="4"/>
    <x v="84"/>
    <x v="2"/>
    <x v="0"/>
    <x v="0"/>
    <x v="1"/>
    <x v="0"/>
    <x v="0"/>
    <x v="0"/>
    <x v="0"/>
  </r>
  <r>
    <x v="160"/>
    <x v="91"/>
    <x v="90"/>
    <x v="89"/>
    <x v="133"/>
    <x v="1"/>
    <x v="2"/>
    <x v="96"/>
    <x v="89"/>
    <x v="1"/>
    <x v="15"/>
    <x v="0"/>
    <x v="0"/>
    <x v="1"/>
    <x v="3"/>
    <x v="2"/>
    <x v="2"/>
    <x v="1"/>
    <x v="3"/>
    <x v="1"/>
    <x v="1"/>
    <x v="34"/>
    <x v="2"/>
    <x v="1"/>
    <x v="2"/>
    <x v="90"/>
    <x v="2"/>
    <x v="3"/>
    <x v="0"/>
    <x v="1"/>
    <x v="0"/>
    <x v="94"/>
    <x v="49"/>
    <x v="35"/>
  </r>
  <r>
    <x v="161"/>
    <x v="92"/>
    <x v="91"/>
    <x v="90"/>
    <x v="134"/>
    <x v="1"/>
    <x v="2"/>
    <x v="97"/>
    <x v="90"/>
    <x v="1"/>
    <x v="2"/>
    <x v="0"/>
    <x v="0"/>
    <x v="1"/>
    <x v="3"/>
    <x v="3"/>
    <x v="1"/>
    <x v="1"/>
    <x v="1"/>
    <x v="1"/>
    <x v="2"/>
    <x v="0"/>
    <x v="1"/>
    <x v="1"/>
    <x v="7"/>
    <x v="91"/>
    <x v="3"/>
    <x v="0"/>
    <x v="0"/>
    <x v="1"/>
    <x v="0"/>
    <x v="95"/>
    <x v="0"/>
    <x v="0"/>
  </r>
  <r>
    <x v="162"/>
    <x v="45"/>
    <x v="44"/>
    <x v="44"/>
    <x v="135"/>
    <x v="3"/>
    <x v="2"/>
    <x v="47"/>
    <x v="17"/>
    <x v="2"/>
    <x v="0"/>
    <x v="2"/>
    <x v="0"/>
    <x v="1"/>
    <x v="3"/>
    <x v="3"/>
    <x v="2"/>
    <x v="1"/>
    <x v="2"/>
    <x v="1"/>
    <x v="1"/>
    <x v="34"/>
    <x v="1"/>
    <x v="1"/>
    <x v="2"/>
    <x v="44"/>
    <x v="1"/>
    <x v="1"/>
    <x v="4"/>
    <x v="2"/>
    <x v="1"/>
    <x v="96"/>
    <x v="0"/>
    <x v="0"/>
  </r>
  <r>
    <x v="163"/>
    <x v="93"/>
    <x v="92"/>
    <x v="91"/>
    <x v="136"/>
    <x v="1"/>
    <x v="2"/>
    <x v="98"/>
    <x v="91"/>
    <x v="1"/>
    <x v="3"/>
    <x v="0"/>
    <x v="0"/>
    <x v="1"/>
    <x v="3"/>
    <x v="2"/>
    <x v="1"/>
    <x v="1"/>
    <x v="3"/>
    <x v="1"/>
    <x v="1"/>
    <x v="41"/>
    <x v="1"/>
    <x v="1"/>
    <x v="2"/>
    <x v="92"/>
    <x v="4"/>
    <x v="3"/>
    <x v="0"/>
    <x v="1"/>
    <x v="0"/>
    <x v="89"/>
    <x v="50"/>
    <x v="0"/>
  </r>
  <r>
    <x v="164"/>
    <x v="94"/>
    <x v="93"/>
    <x v="92"/>
    <x v="137"/>
    <x v="1"/>
    <x v="3"/>
    <x v="99"/>
    <x v="10"/>
    <x v="1"/>
    <x v="1"/>
    <x v="0"/>
    <x v="0"/>
    <x v="1"/>
    <x v="2"/>
    <x v="3"/>
    <x v="1"/>
    <x v="1"/>
    <x v="3"/>
    <x v="1"/>
    <x v="1"/>
    <x v="34"/>
    <x v="1"/>
    <x v="1"/>
    <x v="8"/>
    <x v="93"/>
    <x v="4"/>
    <x v="3"/>
    <x v="0"/>
    <x v="1"/>
    <x v="0"/>
    <x v="97"/>
    <x v="51"/>
    <x v="0"/>
  </r>
  <r>
    <x v="165"/>
    <x v="87"/>
    <x v="86"/>
    <x v="85"/>
    <x v="138"/>
    <x v="1"/>
    <x v="2"/>
    <x v="91"/>
    <x v="84"/>
    <x v="1"/>
    <x v="1"/>
    <x v="0"/>
    <x v="0"/>
    <x v="3"/>
    <x v="4"/>
    <x v="1"/>
    <x v="2"/>
    <x v="1"/>
    <x v="2"/>
    <x v="1"/>
    <x v="2"/>
    <x v="0"/>
    <x v="1"/>
    <x v="3"/>
    <x v="4"/>
    <x v="86"/>
    <x v="3"/>
    <x v="0"/>
    <x v="0"/>
    <x v="1"/>
    <x v="0"/>
    <x v="0"/>
    <x v="0"/>
    <x v="0"/>
  </r>
  <r>
    <x v="166"/>
    <x v="95"/>
    <x v="94"/>
    <x v="93"/>
    <x v="139"/>
    <x v="1"/>
    <x v="2"/>
    <x v="100"/>
    <x v="92"/>
    <x v="1"/>
    <x v="51"/>
    <x v="0"/>
    <x v="0"/>
    <x v="1"/>
    <x v="1"/>
    <x v="1"/>
    <x v="2"/>
    <x v="1"/>
    <x v="3"/>
    <x v="1"/>
    <x v="2"/>
    <x v="0"/>
    <x v="1"/>
    <x v="1"/>
    <x v="2"/>
    <x v="94"/>
    <x v="1"/>
    <x v="0"/>
    <x v="0"/>
    <x v="1"/>
    <x v="0"/>
    <x v="0"/>
    <x v="0"/>
    <x v="0"/>
  </r>
  <r>
    <x v="167"/>
    <x v="18"/>
    <x v="18"/>
    <x v="18"/>
    <x v="140"/>
    <x v="1"/>
    <x v="1"/>
    <x v="20"/>
    <x v="19"/>
    <x v="1"/>
    <x v="52"/>
    <x v="0"/>
    <x v="0"/>
    <x v="1"/>
    <x v="1"/>
    <x v="1"/>
    <x v="2"/>
    <x v="1"/>
    <x v="2"/>
    <x v="1"/>
    <x v="1"/>
    <x v="34"/>
    <x v="1"/>
    <x v="5"/>
    <x v="2"/>
    <x v="18"/>
    <x v="3"/>
    <x v="3"/>
    <x v="0"/>
    <x v="1"/>
    <x v="0"/>
    <x v="98"/>
    <x v="52"/>
    <x v="0"/>
  </r>
  <r>
    <x v="168"/>
    <x v="16"/>
    <x v="16"/>
    <x v="94"/>
    <x v="141"/>
    <x v="1"/>
    <x v="2"/>
    <x v="18"/>
    <x v="93"/>
    <x v="2"/>
    <x v="0"/>
    <x v="2"/>
    <x v="0"/>
    <x v="1"/>
    <x v="2"/>
    <x v="3"/>
    <x v="2"/>
    <x v="1"/>
    <x v="2"/>
    <x v="1"/>
    <x v="1"/>
    <x v="34"/>
    <x v="1"/>
    <x v="1"/>
    <x v="2"/>
    <x v="16"/>
    <x v="4"/>
    <x v="1"/>
    <x v="4"/>
    <x v="2"/>
    <x v="1"/>
    <x v="99"/>
    <x v="53"/>
    <x v="36"/>
  </r>
  <r>
    <x v="169"/>
    <x v="52"/>
    <x v="51"/>
    <x v="50"/>
    <x v="142"/>
    <x v="1"/>
    <x v="1"/>
    <x v="54"/>
    <x v="54"/>
    <x v="1"/>
    <x v="53"/>
    <x v="0"/>
    <x v="0"/>
    <x v="3"/>
    <x v="1"/>
    <x v="1"/>
    <x v="2"/>
    <x v="1"/>
    <x v="2"/>
    <x v="1"/>
    <x v="1"/>
    <x v="34"/>
    <x v="1"/>
    <x v="3"/>
    <x v="4"/>
    <x v="50"/>
    <x v="7"/>
    <x v="3"/>
    <x v="0"/>
    <x v="1"/>
    <x v="0"/>
    <x v="100"/>
    <x v="54"/>
    <x v="37"/>
  </r>
  <r>
    <x v="170"/>
    <x v="45"/>
    <x v="44"/>
    <x v="44"/>
    <x v="143"/>
    <x v="3"/>
    <x v="2"/>
    <x v="47"/>
    <x v="17"/>
    <x v="1"/>
    <x v="4"/>
    <x v="0"/>
    <x v="0"/>
    <x v="3"/>
    <x v="4"/>
    <x v="1"/>
    <x v="2"/>
    <x v="1"/>
    <x v="2"/>
    <x v="1"/>
    <x v="1"/>
    <x v="41"/>
    <x v="1"/>
    <x v="3"/>
    <x v="4"/>
    <x v="44"/>
    <x v="1"/>
    <x v="3"/>
    <x v="0"/>
    <x v="1"/>
    <x v="0"/>
    <x v="101"/>
    <x v="55"/>
    <x v="38"/>
  </r>
  <r>
    <x v="171"/>
    <x v="96"/>
    <x v="95"/>
    <x v="95"/>
    <x v="144"/>
    <x v="1"/>
    <x v="1"/>
    <x v="101"/>
    <x v="94"/>
    <x v="1"/>
    <x v="2"/>
    <x v="0"/>
    <x v="0"/>
    <x v="1"/>
    <x v="1"/>
    <x v="2"/>
    <x v="2"/>
    <x v="1"/>
    <x v="3"/>
    <x v="1"/>
    <x v="1"/>
    <x v="38"/>
    <x v="2"/>
    <x v="1"/>
    <x v="1"/>
    <x v="95"/>
    <x v="4"/>
    <x v="1"/>
    <x v="4"/>
    <x v="2"/>
    <x v="1"/>
    <x v="102"/>
    <x v="0"/>
    <x v="39"/>
  </r>
  <r>
    <x v="172"/>
    <x v="78"/>
    <x v="77"/>
    <x v="76"/>
    <x v="0"/>
    <x v="1"/>
    <x v="2"/>
    <x v="81"/>
    <x v="30"/>
    <x v="1"/>
    <x v="3"/>
    <x v="0"/>
    <x v="0"/>
    <x v="3"/>
    <x v="1"/>
    <x v="1"/>
    <x v="2"/>
    <x v="1"/>
    <x v="2"/>
    <x v="1"/>
    <x v="2"/>
    <x v="0"/>
    <x v="2"/>
    <x v="3"/>
    <x v="4"/>
    <x v="76"/>
    <x v="1"/>
    <x v="0"/>
    <x v="0"/>
    <x v="1"/>
    <x v="0"/>
    <x v="0"/>
    <x v="0"/>
    <x v="0"/>
  </r>
  <r>
    <x v="173"/>
    <x v="97"/>
    <x v="96"/>
    <x v="96"/>
    <x v="145"/>
    <x v="1"/>
    <x v="1"/>
    <x v="102"/>
    <x v="95"/>
    <x v="1"/>
    <x v="3"/>
    <x v="0"/>
    <x v="0"/>
    <x v="1"/>
    <x v="3"/>
    <x v="2"/>
    <x v="2"/>
    <x v="1"/>
    <x v="1"/>
    <x v="1"/>
    <x v="1"/>
    <x v="41"/>
    <x v="1"/>
    <x v="1"/>
    <x v="2"/>
    <x v="96"/>
    <x v="7"/>
    <x v="1"/>
    <x v="1"/>
    <x v="2"/>
    <x v="1"/>
    <x v="103"/>
    <x v="0"/>
    <x v="40"/>
  </r>
  <r>
    <x v="174"/>
    <x v="98"/>
    <x v="97"/>
    <x v="97"/>
    <x v="146"/>
    <x v="1"/>
    <x v="2"/>
    <x v="103"/>
    <x v="96"/>
    <x v="1"/>
    <x v="54"/>
    <x v="0"/>
    <x v="0"/>
    <x v="1"/>
    <x v="2"/>
    <x v="3"/>
    <x v="2"/>
    <x v="1"/>
    <x v="1"/>
    <x v="1"/>
    <x v="1"/>
    <x v="41"/>
    <x v="1"/>
    <x v="1"/>
    <x v="2"/>
    <x v="97"/>
    <x v="7"/>
    <x v="3"/>
    <x v="0"/>
    <x v="1"/>
    <x v="0"/>
    <x v="104"/>
    <x v="56"/>
    <x v="41"/>
  </r>
  <r>
    <x v="175"/>
    <x v="16"/>
    <x v="16"/>
    <x v="16"/>
    <x v="0"/>
    <x v="1"/>
    <x v="2"/>
    <x v="18"/>
    <x v="97"/>
    <x v="2"/>
    <x v="0"/>
    <x v="2"/>
    <x v="0"/>
    <x v="3"/>
    <x v="4"/>
    <x v="1"/>
    <x v="2"/>
    <x v="1"/>
    <x v="2"/>
    <x v="1"/>
    <x v="2"/>
    <x v="0"/>
    <x v="2"/>
    <x v="3"/>
    <x v="4"/>
    <x v="16"/>
    <x v="1"/>
    <x v="0"/>
    <x v="0"/>
    <x v="1"/>
    <x v="0"/>
    <x v="0"/>
    <x v="0"/>
    <x v="0"/>
  </r>
  <r>
    <x v="176"/>
    <x v="99"/>
    <x v="98"/>
    <x v="98"/>
    <x v="147"/>
    <x v="1"/>
    <x v="2"/>
    <x v="104"/>
    <x v="98"/>
    <x v="1"/>
    <x v="9"/>
    <x v="0"/>
    <x v="0"/>
    <x v="2"/>
    <x v="3"/>
    <x v="3"/>
    <x v="2"/>
    <x v="1"/>
    <x v="3"/>
    <x v="1"/>
    <x v="1"/>
    <x v="41"/>
    <x v="2"/>
    <x v="1"/>
    <x v="2"/>
    <x v="98"/>
    <x v="2"/>
    <x v="3"/>
    <x v="0"/>
    <x v="1"/>
    <x v="0"/>
    <x v="105"/>
    <x v="57"/>
    <x v="42"/>
  </r>
  <r>
    <x v="177"/>
    <x v="100"/>
    <x v="99"/>
    <x v="99"/>
    <x v="148"/>
    <x v="1"/>
    <x v="4"/>
    <x v="105"/>
    <x v="99"/>
    <x v="1"/>
    <x v="55"/>
    <x v="0"/>
    <x v="0"/>
    <x v="1"/>
    <x v="1"/>
    <x v="1"/>
    <x v="2"/>
    <x v="1"/>
    <x v="2"/>
    <x v="1"/>
    <x v="2"/>
    <x v="0"/>
    <x v="1"/>
    <x v="5"/>
    <x v="2"/>
    <x v="99"/>
    <x v="7"/>
    <x v="0"/>
    <x v="0"/>
    <x v="1"/>
    <x v="0"/>
    <x v="0"/>
    <x v="0"/>
    <x v="0"/>
  </r>
  <r>
    <x v="178"/>
    <x v="101"/>
    <x v="100"/>
    <x v="100"/>
    <x v="149"/>
    <x v="2"/>
    <x v="1"/>
    <x v="106"/>
    <x v="100"/>
    <x v="1"/>
    <x v="56"/>
    <x v="0"/>
    <x v="0"/>
    <x v="1"/>
    <x v="3"/>
    <x v="3"/>
    <x v="2"/>
    <x v="2"/>
    <x v="1"/>
    <x v="1"/>
    <x v="2"/>
    <x v="38"/>
    <x v="1"/>
    <x v="5"/>
    <x v="2"/>
    <x v="100"/>
    <x v="7"/>
    <x v="3"/>
    <x v="0"/>
    <x v="1"/>
    <x v="0"/>
    <x v="106"/>
    <x v="43"/>
    <x v="43"/>
  </r>
  <r>
    <x v="179"/>
    <x v="97"/>
    <x v="96"/>
    <x v="96"/>
    <x v="150"/>
    <x v="1"/>
    <x v="1"/>
    <x v="102"/>
    <x v="95"/>
    <x v="1"/>
    <x v="3"/>
    <x v="0"/>
    <x v="0"/>
    <x v="3"/>
    <x v="3"/>
    <x v="2"/>
    <x v="2"/>
    <x v="1"/>
    <x v="2"/>
    <x v="1"/>
    <x v="1"/>
    <x v="41"/>
    <x v="2"/>
    <x v="3"/>
    <x v="4"/>
    <x v="96"/>
    <x v="5"/>
    <x v="1"/>
    <x v="1"/>
    <x v="1"/>
    <x v="0"/>
    <x v="107"/>
    <x v="0"/>
    <x v="0"/>
  </r>
  <r>
    <x v="180"/>
    <x v="90"/>
    <x v="89"/>
    <x v="88"/>
    <x v="151"/>
    <x v="1"/>
    <x v="2"/>
    <x v="94"/>
    <x v="10"/>
    <x v="1"/>
    <x v="15"/>
    <x v="0"/>
    <x v="0"/>
    <x v="3"/>
    <x v="1"/>
    <x v="1"/>
    <x v="2"/>
    <x v="1"/>
    <x v="2"/>
    <x v="1"/>
    <x v="2"/>
    <x v="0"/>
    <x v="1"/>
    <x v="3"/>
    <x v="4"/>
    <x v="89"/>
    <x v="5"/>
    <x v="0"/>
    <x v="0"/>
    <x v="1"/>
    <x v="0"/>
    <x v="0"/>
    <x v="0"/>
    <x v="44"/>
  </r>
  <r>
    <x v="181"/>
    <x v="86"/>
    <x v="85"/>
    <x v="84"/>
    <x v="0"/>
    <x v="1"/>
    <x v="2"/>
    <x v="90"/>
    <x v="101"/>
    <x v="6"/>
    <x v="0"/>
    <x v="0"/>
    <x v="1"/>
    <x v="3"/>
    <x v="1"/>
    <x v="1"/>
    <x v="2"/>
    <x v="1"/>
    <x v="3"/>
    <x v="1"/>
    <x v="2"/>
    <x v="0"/>
    <x v="2"/>
    <x v="3"/>
    <x v="4"/>
    <x v="85"/>
    <x v="1"/>
    <x v="0"/>
    <x v="0"/>
    <x v="1"/>
    <x v="0"/>
    <x v="0"/>
    <x v="0"/>
    <x v="0"/>
  </r>
  <r>
    <x v="182"/>
    <x v="97"/>
    <x v="96"/>
    <x v="96"/>
    <x v="0"/>
    <x v="1"/>
    <x v="1"/>
    <x v="102"/>
    <x v="95"/>
    <x v="1"/>
    <x v="3"/>
    <x v="0"/>
    <x v="0"/>
    <x v="3"/>
    <x v="3"/>
    <x v="3"/>
    <x v="2"/>
    <x v="1"/>
    <x v="2"/>
    <x v="1"/>
    <x v="1"/>
    <x v="38"/>
    <x v="2"/>
    <x v="3"/>
    <x v="4"/>
    <x v="96"/>
    <x v="5"/>
    <x v="1"/>
    <x v="7"/>
    <x v="1"/>
    <x v="0"/>
    <x v="108"/>
    <x v="58"/>
    <x v="45"/>
  </r>
  <r>
    <x v="183"/>
    <x v="102"/>
    <x v="101"/>
    <x v="101"/>
    <x v="152"/>
    <x v="1"/>
    <x v="2"/>
    <x v="107"/>
    <x v="102"/>
    <x v="1"/>
    <x v="15"/>
    <x v="0"/>
    <x v="0"/>
    <x v="1"/>
    <x v="1"/>
    <x v="1"/>
    <x v="2"/>
    <x v="1"/>
    <x v="1"/>
    <x v="1"/>
    <x v="2"/>
    <x v="0"/>
    <x v="1"/>
    <x v="5"/>
    <x v="3"/>
    <x v="101"/>
    <x v="5"/>
    <x v="0"/>
    <x v="0"/>
    <x v="1"/>
    <x v="0"/>
    <x v="0"/>
    <x v="0"/>
    <x v="0"/>
  </r>
  <r>
    <x v="184"/>
    <x v="103"/>
    <x v="102"/>
    <x v="102"/>
    <x v="153"/>
    <x v="1"/>
    <x v="2"/>
    <x v="108"/>
    <x v="103"/>
    <x v="1"/>
    <x v="57"/>
    <x v="0"/>
    <x v="0"/>
    <x v="1"/>
    <x v="1"/>
    <x v="1"/>
    <x v="2"/>
    <x v="1"/>
    <x v="1"/>
    <x v="1"/>
    <x v="2"/>
    <x v="0"/>
    <x v="1"/>
    <x v="2"/>
    <x v="2"/>
    <x v="102"/>
    <x v="2"/>
    <x v="0"/>
    <x v="0"/>
    <x v="1"/>
    <x v="0"/>
    <x v="0"/>
    <x v="0"/>
    <x v="0"/>
  </r>
  <r>
    <x v="185"/>
    <x v="96"/>
    <x v="95"/>
    <x v="95"/>
    <x v="154"/>
    <x v="1"/>
    <x v="2"/>
    <x v="101"/>
    <x v="94"/>
    <x v="1"/>
    <x v="2"/>
    <x v="0"/>
    <x v="0"/>
    <x v="3"/>
    <x v="1"/>
    <x v="1"/>
    <x v="2"/>
    <x v="1"/>
    <x v="3"/>
    <x v="1"/>
    <x v="2"/>
    <x v="0"/>
    <x v="2"/>
    <x v="3"/>
    <x v="4"/>
    <x v="95"/>
    <x v="1"/>
    <x v="0"/>
    <x v="0"/>
    <x v="1"/>
    <x v="0"/>
    <x v="0"/>
    <x v="0"/>
    <x v="0"/>
  </r>
  <r>
    <x v="186"/>
    <x v="104"/>
    <x v="103"/>
    <x v="103"/>
    <x v="155"/>
    <x v="1"/>
    <x v="1"/>
    <x v="109"/>
    <x v="10"/>
    <x v="2"/>
    <x v="0"/>
    <x v="6"/>
    <x v="0"/>
    <x v="1"/>
    <x v="2"/>
    <x v="3"/>
    <x v="1"/>
    <x v="1"/>
    <x v="2"/>
    <x v="1"/>
    <x v="1"/>
    <x v="42"/>
    <x v="1"/>
    <x v="1"/>
    <x v="2"/>
    <x v="103"/>
    <x v="2"/>
    <x v="1"/>
    <x v="1"/>
    <x v="2"/>
    <x v="1"/>
    <x v="109"/>
    <x v="0"/>
    <x v="0"/>
  </r>
  <r>
    <x v="187"/>
    <x v="45"/>
    <x v="44"/>
    <x v="44"/>
    <x v="156"/>
    <x v="3"/>
    <x v="2"/>
    <x v="47"/>
    <x v="93"/>
    <x v="2"/>
    <x v="0"/>
    <x v="7"/>
    <x v="0"/>
    <x v="1"/>
    <x v="2"/>
    <x v="3"/>
    <x v="2"/>
    <x v="1"/>
    <x v="2"/>
    <x v="1"/>
    <x v="1"/>
    <x v="42"/>
    <x v="1"/>
    <x v="1"/>
    <x v="9"/>
    <x v="44"/>
    <x v="1"/>
    <x v="3"/>
    <x v="0"/>
    <x v="1"/>
    <x v="0"/>
    <x v="110"/>
    <x v="0"/>
    <x v="0"/>
  </r>
  <r>
    <x v="188"/>
    <x v="105"/>
    <x v="104"/>
    <x v="104"/>
    <x v="157"/>
    <x v="3"/>
    <x v="1"/>
    <x v="110"/>
    <x v="104"/>
    <x v="1"/>
    <x v="58"/>
    <x v="0"/>
    <x v="0"/>
    <x v="1"/>
    <x v="1"/>
    <x v="2"/>
    <x v="1"/>
    <x v="2"/>
    <x v="1"/>
    <x v="1"/>
    <x v="1"/>
    <x v="43"/>
    <x v="1"/>
    <x v="1"/>
    <x v="2"/>
    <x v="104"/>
    <x v="7"/>
    <x v="1"/>
    <x v="7"/>
    <x v="1"/>
    <x v="0"/>
    <x v="111"/>
    <x v="59"/>
    <x v="46"/>
  </r>
  <r>
    <x v="189"/>
    <x v="106"/>
    <x v="105"/>
    <x v="105"/>
    <x v="158"/>
    <x v="3"/>
    <x v="1"/>
    <x v="111"/>
    <x v="105"/>
    <x v="2"/>
    <x v="0"/>
    <x v="5"/>
    <x v="0"/>
    <x v="1"/>
    <x v="2"/>
    <x v="3"/>
    <x v="2"/>
    <x v="1"/>
    <x v="2"/>
    <x v="1"/>
    <x v="1"/>
    <x v="42"/>
    <x v="2"/>
    <x v="1"/>
    <x v="2"/>
    <x v="105"/>
    <x v="1"/>
    <x v="1"/>
    <x v="4"/>
    <x v="1"/>
    <x v="0"/>
    <x v="112"/>
    <x v="0"/>
    <x v="0"/>
  </r>
  <r>
    <x v="190"/>
    <x v="107"/>
    <x v="106"/>
    <x v="0"/>
    <x v="159"/>
    <x v="1"/>
    <x v="2"/>
    <x v="112"/>
    <x v="106"/>
    <x v="1"/>
    <x v="31"/>
    <x v="0"/>
    <x v="0"/>
    <x v="1"/>
    <x v="2"/>
    <x v="3"/>
    <x v="2"/>
    <x v="1"/>
    <x v="2"/>
    <x v="1"/>
    <x v="1"/>
    <x v="42"/>
    <x v="1"/>
    <x v="5"/>
    <x v="2"/>
    <x v="106"/>
    <x v="2"/>
    <x v="3"/>
    <x v="0"/>
    <x v="1"/>
    <x v="0"/>
    <x v="113"/>
    <x v="0"/>
    <x v="47"/>
  </r>
  <r>
    <x v="191"/>
    <x v="97"/>
    <x v="96"/>
    <x v="96"/>
    <x v="0"/>
    <x v="3"/>
    <x v="1"/>
    <x v="102"/>
    <x v="95"/>
    <x v="1"/>
    <x v="3"/>
    <x v="0"/>
    <x v="0"/>
    <x v="3"/>
    <x v="1"/>
    <x v="1"/>
    <x v="2"/>
    <x v="1"/>
    <x v="2"/>
    <x v="1"/>
    <x v="2"/>
    <x v="0"/>
    <x v="2"/>
    <x v="3"/>
    <x v="4"/>
    <x v="96"/>
    <x v="7"/>
    <x v="0"/>
    <x v="0"/>
    <x v="1"/>
    <x v="0"/>
    <x v="0"/>
    <x v="0"/>
    <x v="0"/>
  </r>
  <r>
    <x v="192"/>
    <x v="104"/>
    <x v="103"/>
    <x v="103"/>
    <x v="160"/>
    <x v="1"/>
    <x v="1"/>
    <x v="109"/>
    <x v="10"/>
    <x v="2"/>
    <x v="0"/>
    <x v="6"/>
    <x v="0"/>
    <x v="3"/>
    <x v="4"/>
    <x v="1"/>
    <x v="2"/>
    <x v="1"/>
    <x v="2"/>
    <x v="1"/>
    <x v="2"/>
    <x v="0"/>
    <x v="2"/>
    <x v="3"/>
    <x v="4"/>
    <x v="103"/>
    <x v="5"/>
    <x v="0"/>
    <x v="0"/>
    <x v="1"/>
    <x v="0"/>
    <x v="0"/>
    <x v="0"/>
    <x v="0"/>
  </r>
  <r>
    <x v="193"/>
    <x v="106"/>
    <x v="105"/>
    <x v="105"/>
    <x v="0"/>
    <x v="3"/>
    <x v="1"/>
    <x v="111"/>
    <x v="105"/>
    <x v="2"/>
    <x v="0"/>
    <x v="5"/>
    <x v="0"/>
    <x v="3"/>
    <x v="4"/>
    <x v="1"/>
    <x v="2"/>
    <x v="1"/>
    <x v="2"/>
    <x v="1"/>
    <x v="2"/>
    <x v="0"/>
    <x v="2"/>
    <x v="3"/>
    <x v="4"/>
    <x v="105"/>
    <x v="1"/>
    <x v="0"/>
    <x v="0"/>
    <x v="1"/>
    <x v="0"/>
    <x v="0"/>
    <x v="0"/>
    <x v="0"/>
  </r>
  <r>
    <x v="194"/>
    <x v="108"/>
    <x v="107"/>
    <x v="106"/>
    <x v="161"/>
    <x v="1"/>
    <x v="2"/>
    <x v="113"/>
    <x v="107"/>
    <x v="1"/>
    <x v="31"/>
    <x v="0"/>
    <x v="0"/>
    <x v="1"/>
    <x v="1"/>
    <x v="1"/>
    <x v="2"/>
    <x v="1"/>
    <x v="1"/>
    <x v="1"/>
    <x v="1"/>
    <x v="44"/>
    <x v="1"/>
    <x v="6"/>
    <x v="3"/>
    <x v="107"/>
    <x v="5"/>
    <x v="3"/>
    <x v="0"/>
    <x v="1"/>
    <x v="0"/>
    <x v="114"/>
    <x v="60"/>
    <x v="0"/>
  </r>
  <r>
    <x v="195"/>
    <x v="109"/>
    <x v="108"/>
    <x v="107"/>
    <x v="162"/>
    <x v="1"/>
    <x v="2"/>
    <x v="114"/>
    <x v="99"/>
    <x v="1"/>
    <x v="27"/>
    <x v="0"/>
    <x v="0"/>
    <x v="1"/>
    <x v="3"/>
    <x v="3"/>
    <x v="2"/>
    <x v="2"/>
    <x v="2"/>
    <x v="1"/>
    <x v="1"/>
    <x v="45"/>
    <x v="1"/>
    <x v="6"/>
    <x v="2"/>
    <x v="108"/>
    <x v="7"/>
    <x v="1"/>
    <x v="4"/>
    <x v="1"/>
    <x v="0"/>
    <x v="115"/>
    <x v="61"/>
    <x v="48"/>
  </r>
  <r>
    <x v="196"/>
    <x v="110"/>
    <x v="109"/>
    <x v="108"/>
    <x v="163"/>
    <x v="1"/>
    <x v="2"/>
    <x v="115"/>
    <x v="108"/>
    <x v="1"/>
    <x v="59"/>
    <x v="0"/>
    <x v="0"/>
    <x v="1"/>
    <x v="2"/>
    <x v="3"/>
    <x v="2"/>
    <x v="2"/>
    <x v="1"/>
    <x v="1"/>
    <x v="1"/>
    <x v="45"/>
    <x v="1"/>
    <x v="6"/>
    <x v="2"/>
    <x v="109"/>
    <x v="7"/>
    <x v="1"/>
    <x v="1"/>
    <x v="1"/>
    <x v="0"/>
    <x v="116"/>
    <x v="62"/>
    <x v="49"/>
  </r>
  <r>
    <x v="197"/>
    <x v="111"/>
    <x v="110"/>
    <x v="109"/>
    <x v="164"/>
    <x v="1"/>
    <x v="3"/>
    <x v="116"/>
    <x v="10"/>
    <x v="1"/>
    <x v="9"/>
    <x v="0"/>
    <x v="0"/>
    <x v="1"/>
    <x v="3"/>
    <x v="3"/>
    <x v="2"/>
    <x v="1"/>
    <x v="2"/>
    <x v="1"/>
    <x v="1"/>
    <x v="45"/>
    <x v="1"/>
    <x v="2"/>
    <x v="3"/>
    <x v="110"/>
    <x v="5"/>
    <x v="1"/>
    <x v="1"/>
    <x v="2"/>
    <x v="1"/>
    <x v="117"/>
    <x v="0"/>
    <x v="0"/>
  </r>
  <r>
    <x v="198"/>
    <x v="84"/>
    <x v="83"/>
    <x v="82"/>
    <x v="165"/>
    <x v="1"/>
    <x v="1"/>
    <x v="87"/>
    <x v="109"/>
    <x v="1"/>
    <x v="60"/>
    <x v="0"/>
    <x v="0"/>
    <x v="1"/>
    <x v="3"/>
    <x v="3"/>
    <x v="2"/>
    <x v="2"/>
    <x v="1"/>
    <x v="1"/>
    <x v="1"/>
    <x v="46"/>
    <x v="1"/>
    <x v="1"/>
    <x v="2"/>
    <x v="83"/>
    <x v="5"/>
    <x v="1"/>
    <x v="1"/>
    <x v="1"/>
    <x v="0"/>
    <x v="118"/>
    <x v="0"/>
    <x v="50"/>
  </r>
  <r>
    <x v="199"/>
    <x v="112"/>
    <x v="111"/>
    <x v="110"/>
    <x v="166"/>
    <x v="3"/>
    <x v="2"/>
    <x v="117"/>
    <x v="52"/>
    <x v="1"/>
    <x v="2"/>
    <x v="0"/>
    <x v="0"/>
    <x v="1"/>
    <x v="3"/>
    <x v="2"/>
    <x v="1"/>
    <x v="1"/>
    <x v="3"/>
    <x v="1"/>
    <x v="1"/>
    <x v="45"/>
    <x v="1"/>
    <x v="1"/>
    <x v="2"/>
    <x v="111"/>
    <x v="5"/>
    <x v="1"/>
    <x v="1"/>
    <x v="1"/>
    <x v="0"/>
    <x v="119"/>
    <x v="0"/>
    <x v="0"/>
  </r>
  <r>
    <x v="200"/>
    <x v="113"/>
    <x v="112"/>
    <x v="111"/>
    <x v="167"/>
    <x v="3"/>
    <x v="2"/>
    <x v="118"/>
    <x v="110"/>
    <x v="1"/>
    <x v="15"/>
    <x v="0"/>
    <x v="0"/>
    <x v="1"/>
    <x v="5"/>
    <x v="1"/>
    <x v="1"/>
    <x v="1"/>
    <x v="2"/>
    <x v="1"/>
    <x v="2"/>
    <x v="0"/>
    <x v="1"/>
    <x v="1"/>
    <x v="4"/>
    <x v="112"/>
    <x v="5"/>
    <x v="0"/>
    <x v="0"/>
    <x v="1"/>
    <x v="0"/>
    <x v="0"/>
    <x v="0"/>
    <x v="51"/>
  </r>
  <r>
    <x v="201"/>
    <x v="114"/>
    <x v="113"/>
    <x v="112"/>
    <x v="168"/>
    <x v="1"/>
    <x v="3"/>
    <x v="119"/>
    <x v="107"/>
    <x v="1"/>
    <x v="57"/>
    <x v="0"/>
    <x v="0"/>
    <x v="1"/>
    <x v="1"/>
    <x v="1"/>
    <x v="2"/>
    <x v="1"/>
    <x v="3"/>
    <x v="1"/>
    <x v="2"/>
    <x v="0"/>
    <x v="2"/>
    <x v="1"/>
    <x v="2"/>
    <x v="113"/>
    <x v="5"/>
    <x v="0"/>
    <x v="0"/>
    <x v="1"/>
    <x v="0"/>
    <x v="0"/>
    <x v="0"/>
    <x v="0"/>
  </r>
  <r>
    <x v="202"/>
    <x v="115"/>
    <x v="114"/>
    <x v="113"/>
    <x v="169"/>
    <x v="2"/>
    <x v="2"/>
    <x v="120"/>
    <x v="111"/>
    <x v="1"/>
    <x v="15"/>
    <x v="0"/>
    <x v="0"/>
    <x v="1"/>
    <x v="1"/>
    <x v="2"/>
    <x v="2"/>
    <x v="1"/>
    <x v="3"/>
    <x v="1"/>
    <x v="1"/>
    <x v="46"/>
    <x v="1"/>
    <x v="1"/>
    <x v="2"/>
    <x v="114"/>
    <x v="4"/>
    <x v="3"/>
    <x v="0"/>
    <x v="1"/>
    <x v="0"/>
    <x v="120"/>
    <x v="0"/>
    <x v="0"/>
  </r>
  <r>
    <x v="203"/>
    <x v="116"/>
    <x v="115"/>
    <x v="114"/>
    <x v="170"/>
    <x v="1"/>
    <x v="1"/>
    <x v="121"/>
    <x v="112"/>
    <x v="1"/>
    <x v="15"/>
    <x v="0"/>
    <x v="0"/>
    <x v="1"/>
    <x v="1"/>
    <x v="1"/>
    <x v="2"/>
    <x v="1"/>
    <x v="2"/>
    <x v="1"/>
    <x v="2"/>
    <x v="0"/>
    <x v="2"/>
    <x v="1"/>
    <x v="2"/>
    <x v="115"/>
    <x v="4"/>
    <x v="0"/>
    <x v="0"/>
    <x v="1"/>
    <x v="0"/>
    <x v="0"/>
    <x v="0"/>
    <x v="0"/>
  </r>
  <r>
    <x v="204"/>
    <x v="117"/>
    <x v="116"/>
    <x v="115"/>
    <x v="171"/>
    <x v="1"/>
    <x v="2"/>
    <x v="122"/>
    <x v="50"/>
    <x v="1"/>
    <x v="15"/>
    <x v="0"/>
    <x v="0"/>
    <x v="1"/>
    <x v="3"/>
    <x v="2"/>
    <x v="2"/>
    <x v="1"/>
    <x v="2"/>
    <x v="1"/>
    <x v="1"/>
    <x v="12"/>
    <x v="1"/>
    <x v="1"/>
    <x v="2"/>
    <x v="116"/>
    <x v="5"/>
    <x v="0"/>
    <x v="0"/>
    <x v="1"/>
    <x v="0"/>
    <x v="0"/>
    <x v="0"/>
    <x v="0"/>
  </r>
  <r>
    <x v="205"/>
    <x v="109"/>
    <x v="108"/>
    <x v="107"/>
    <x v="172"/>
    <x v="1"/>
    <x v="2"/>
    <x v="114"/>
    <x v="99"/>
    <x v="2"/>
    <x v="0"/>
    <x v="5"/>
    <x v="0"/>
    <x v="3"/>
    <x v="2"/>
    <x v="3"/>
    <x v="3"/>
    <x v="1"/>
    <x v="2"/>
    <x v="1"/>
    <x v="1"/>
    <x v="47"/>
    <x v="1"/>
    <x v="3"/>
    <x v="4"/>
    <x v="108"/>
    <x v="1"/>
    <x v="1"/>
    <x v="4"/>
    <x v="1"/>
    <x v="0"/>
    <x v="121"/>
    <x v="63"/>
    <x v="0"/>
  </r>
  <r>
    <x v="206"/>
    <x v="118"/>
    <x v="117"/>
    <x v="116"/>
    <x v="173"/>
    <x v="1"/>
    <x v="2"/>
    <x v="123"/>
    <x v="10"/>
    <x v="1"/>
    <x v="15"/>
    <x v="0"/>
    <x v="0"/>
    <x v="1"/>
    <x v="1"/>
    <x v="1"/>
    <x v="2"/>
    <x v="1"/>
    <x v="3"/>
    <x v="1"/>
    <x v="1"/>
    <x v="47"/>
    <x v="1"/>
    <x v="1"/>
    <x v="2"/>
    <x v="117"/>
    <x v="4"/>
    <x v="1"/>
    <x v="2"/>
    <x v="2"/>
    <x v="1"/>
    <x v="122"/>
    <x v="64"/>
    <x v="52"/>
  </r>
  <r>
    <x v="207"/>
    <x v="110"/>
    <x v="109"/>
    <x v="108"/>
    <x v="0"/>
    <x v="1"/>
    <x v="2"/>
    <x v="115"/>
    <x v="108"/>
    <x v="1"/>
    <x v="15"/>
    <x v="0"/>
    <x v="0"/>
    <x v="3"/>
    <x v="2"/>
    <x v="3"/>
    <x v="2"/>
    <x v="2"/>
    <x v="2"/>
    <x v="1"/>
    <x v="1"/>
    <x v="47"/>
    <x v="2"/>
    <x v="3"/>
    <x v="4"/>
    <x v="109"/>
    <x v="5"/>
    <x v="3"/>
    <x v="0"/>
    <x v="1"/>
    <x v="0"/>
    <x v="123"/>
    <x v="65"/>
    <x v="0"/>
  </r>
  <r>
    <x v="208"/>
    <x v="112"/>
    <x v="118"/>
    <x v="110"/>
    <x v="0"/>
    <x v="3"/>
    <x v="2"/>
    <x v="117"/>
    <x v="52"/>
    <x v="1"/>
    <x v="2"/>
    <x v="0"/>
    <x v="0"/>
    <x v="3"/>
    <x v="4"/>
    <x v="1"/>
    <x v="2"/>
    <x v="1"/>
    <x v="2"/>
    <x v="1"/>
    <x v="2"/>
    <x v="0"/>
    <x v="2"/>
    <x v="3"/>
    <x v="4"/>
    <x v="111"/>
    <x v="5"/>
    <x v="0"/>
    <x v="0"/>
    <x v="1"/>
    <x v="0"/>
    <x v="0"/>
    <x v="0"/>
    <x v="0"/>
  </r>
  <r>
    <x v="209"/>
    <x v="111"/>
    <x v="110"/>
    <x v="109"/>
    <x v="174"/>
    <x v="1"/>
    <x v="2"/>
    <x v="116"/>
    <x v="10"/>
    <x v="1"/>
    <x v="9"/>
    <x v="0"/>
    <x v="0"/>
    <x v="3"/>
    <x v="1"/>
    <x v="1"/>
    <x v="2"/>
    <x v="1"/>
    <x v="2"/>
    <x v="1"/>
    <x v="2"/>
    <x v="0"/>
    <x v="2"/>
    <x v="3"/>
    <x v="4"/>
    <x v="110"/>
    <x v="5"/>
    <x v="0"/>
    <x v="0"/>
    <x v="1"/>
    <x v="0"/>
    <x v="0"/>
    <x v="0"/>
    <x v="0"/>
  </r>
  <r>
    <x v="210"/>
    <x v="119"/>
    <x v="119"/>
    <x v="117"/>
    <x v="175"/>
    <x v="1"/>
    <x v="2"/>
    <x v="124"/>
    <x v="40"/>
    <x v="1"/>
    <x v="22"/>
    <x v="0"/>
    <x v="0"/>
    <x v="1"/>
    <x v="1"/>
    <x v="1"/>
    <x v="1"/>
    <x v="1"/>
    <x v="3"/>
    <x v="2"/>
    <x v="1"/>
    <x v="48"/>
    <x v="1"/>
    <x v="1"/>
    <x v="2"/>
    <x v="118"/>
    <x v="4"/>
    <x v="1"/>
    <x v="2"/>
    <x v="2"/>
    <x v="1"/>
    <x v="124"/>
    <x v="0"/>
    <x v="17"/>
  </r>
  <r>
    <x v="211"/>
    <x v="120"/>
    <x v="120"/>
    <x v="118"/>
    <x v="176"/>
    <x v="2"/>
    <x v="2"/>
    <x v="125"/>
    <x v="10"/>
    <x v="1"/>
    <x v="31"/>
    <x v="0"/>
    <x v="0"/>
    <x v="1"/>
    <x v="1"/>
    <x v="1"/>
    <x v="2"/>
    <x v="1"/>
    <x v="3"/>
    <x v="1"/>
    <x v="1"/>
    <x v="46"/>
    <x v="1"/>
    <x v="1"/>
    <x v="10"/>
    <x v="119"/>
    <x v="1"/>
    <x v="3"/>
    <x v="0"/>
    <x v="1"/>
    <x v="0"/>
    <x v="125"/>
    <x v="66"/>
    <x v="53"/>
  </r>
  <r>
    <x v="212"/>
    <x v="118"/>
    <x v="117"/>
    <x v="116"/>
    <x v="177"/>
    <x v="1"/>
    <x v="2"/>
    <x v="123"/>
    <x v="10"/>
    <x v="1"/>
    <x v="15"/>
    <x v="0"/>
    <x v="0"/>
    <x v="3"/>
    <x v="1"/>
    <x v="1"/>
    <x v="2"/>
    <x v="1"/>
    <x v="3"/>
    <x v="1"/>
    <x v="2"/>
    <x v="0"/>
    <x v="1"/>
    <x v="3"/>
    <x v="4"/>
    <x v="117"/>
    <x v="4"/>
    <x v="0"/>
    <x v="0"/>
    <x v="1"/>
    <x v="0"/>
    <x v="0"/>
    <x v="0"/>
    <x v="0"/>
  </r>
  <r>
    <x v="213"/>
    <x v="15"/>
    <x v="15"/>
    <x v="15"/>
    <x v="178"/>
    <x v="1"/>
    <x v="2"/>
    <x v="17"/>
    <x v="16"/>
    <x v="1"/>
    <x v="44"/>
    <x v="0"/>
    <x v="0"/>
    <x v="1"/>
    <x v="2"/>
    <x v="3"/>
    <x v="2"/>
    <x v="1"/>
    <x v="2"/>
    <x v="1"/>
    <x v="1"/>
    <x v="46"/>
    <x v="2"/>
    <x v="1"/>
    <x v="2"/>
    <x v="15"/>
    <x v="3"/>
    <x v="1"/>
    <x v="2"/>
    <x v="1"/>
    <x v="0"/>
    <x v="126"/>
    <x v="0"/>
    <x v="54"/>
  </r>
  <r>
    <x v="214"/>
    <x v="109"/>
    <x v="108"/>
    <x v="107"/>
    <x v="0"/>
    <x v="1"/>
    <x v="2"/>
    <x v="114"/>
    <x v="99"/>
    <x v="2"/>
    <x v="0"/>
    <x v="2"/>
    <x v="0"/>
    <x v="3"/>
    <x v="4"/>
    <x v="1"/>
    <x v="2"/>
    <x v="1"/>
    <x v="2"/>
    <x v="1"/>
    <x v="2"/>
    <x v="0"/>
    <x v="2"/>
    <x v="3"/>
    <x v="4"/>
    <x v="108"/>
    <x v="1"/>
    <x v="0"/>
    <x v="0"/>
    <x v="1"/>
    <x v="0"/>
    <x v="0"/>
    <x v="0"/>
    <x v="0"/>
  </r>
  <r>
    <x v="215"/>
    <x v="121"/>
    <x v="121"/>
    <x v="119"/>
    <x v="179"/>
    <x v="2"/>
    <x v="1"/>
    <x v="126"/>
    <x v="113"/>
    <x v="1"/>
    <x v="61"/>
    <x v="0"/>
    <x v="0"/>
    <x v="1"/>
    <x v="1"/>
    <x v="1"/>
    <x v="2"/>
    <x v="2"/>
    <x v="1"/>
    <x v="1"/>
    <x v="2"/>
    <x v="0"/>
    <x v="1"/>
    <x v="5"/>
    <x v="11"/>
    <x v="120"/>
    <x v="3"/>
    <x v="0"/>
    <x v="0"/>
    <x v="1"/>
    <x v="0"/>
    <x v="0"/>
    <x v="67"/>
    <x v="55"/>
  </r>
  <r>
    <x v="216"/>
    <x v="84"/>
    <x v="83"/>
    <x v="82"/>
    <x v="0"/>
    <x v="1"/>
    <x v="1"/>
    <x v="87"/>
    <x v="80"/>
    <x v="1"/>
    <x v="33"/>
    <x v="0"/>
    <x v="0"/>
    <x v="3"/>
    <x v="3"/>
    <x v="3"/>
    <x v="2"/>
    <x v="2"/>
    <x v="1"/>
    <x v="1"/>
    <x v="1"/>
    <x v="49"/>
    <x v="2"/>
    <x v="3"/>
    <x v="4"/>
    <x v="83"/>
    <x v="5"/>
    <x v="1"/>
    <x v="4"/>
    <x v="2"/>
    <x v="1"/>
    <x v="127"/>
    <x v="0"/>
    <x v="50"/>
  </r>
  <r>
    <x v="217"/>
    <x v="15"/>
    <x v="15"/>
    <x v="15"/>
    <x v="0"/>
    <x v="1"/>
    <x v="2"/>
    <x v="17"/>
    <x v="16"/>
    <x v="1"/>
    <x v="62"/>
    <x v="0"/>
    <x v="0"/>
    <x v="3"/>
    <x v="1"/>
    <x v="1"/>
    <x v="2"/>
    <x v="1"/>
    <x v="2"/>
    <x v="1"/>
    <x v="2"/>
    <x v="0"/>
    <x v="2"/>
    <x v="3"/>
    <x v="4"/>
    <x v="15"/>
    <x v="4"/>
    <x v="0"/>
    <x v="0"/>
    <x v="1"/>
    <x v="0"/>
    <x v="0"/>
    <x v="0"/>
    <x v="0"/>
  </r>
  <r>
    <x v="218"/>
    <x v="122"/>
    <x v="122"/>
    <x v="120"/>
    <x v="180"/>
    <x v="1"/>
    <x v="2"/>
    <x v="127"/>
    <x v="37"/>
    <x v="1"/>
    <x v="63"/>
    <x v="0"/>
    <x v="0"/>
    <x v="1"/>
    <x v="3"/>
    <x v="2"/>
    <x v="2"/>
    <x v="1"/>
    <x v="3"/>
    <x v="1"/>
    <x v="1"/>
    <x v="48"/>
    <x v="1"/>
    <x v="1"/>
    <x v="2"/>
    <x v="121"/>
    <x v="5"/>
    <x v="3"/>
    <x v="0"/>
    <x v="1"/>
    <x v="0"/>
    <x v="128"/>
    <x v="0"/>
    <x v="56"/>
  </r>
  <r>
    <x v="219"/>
    <x v="123"/>
    <x v="123"/>
    <x v="121"/>
    <x v="181"/>
    <x v="1"/>
    <x v="1"/>
    <x v="128"/>
    <x v="10"/>
    <x v="1"/>
    <x v="22"/>
    <x v="0"/>
    <x v="0"/>
    <x v="1"/>
    <x v="1"/>
    <x v="1"/>
    <x v="2"/>
    <x v="2"/>
    <x v="1"/>
    <x v="1"/>
    <x v="1"/>
    <x v="48"/>
    <x v="1"/>
    <x v="1"/>
    <x v="2"/>
    <x v="122"/>
    <x v="4"/>
    <x v="1"/>
    <x v="1"/>
    <x v="1"/>
    <x v="0"/>
    <x v="129"/>
    <x v="0"/>
    <x v="0"/>
  </r>
  <r>
    <x v="220"/>
    <x v="124"/>
    <x v="124"/>
    <x v="122"/>
    <x v="182"/>
    <x v="1"/>
    <x v="2"/>
    <x v="129"/>
    <x v="48"/>
    <x v="1"/>
    <x v="24"/>
    <x v="0"/>
    <x v="0"/>
    <x v="1"/>
    <x v="3"/>
    <x v="2"/>
    <x v="1"/>
    <x v="1"/>
    <x v="3"/>
    <x v="2"/>
    <x v="1"/>
    <x v="48"/>
    <x v="1"/>
    <x v="1"/>
    <x v="2"/>
    <x v="123"/>
    <x v="5"/>
    <x v="1"/>
    <x v="1"/>
    <x v="2"/>
    <x v="1"/>
    <x v="130"/>
    <x v="0"/>
    <x v="0"/>
  </r>
  <r>
    <x v="221"/>
    <x v="125"/>
    <x v="125"/>
    <x v="123"/>
    <x v="183"/>
    <x v="3"/>
    <x v="2"/>
    <x v="130"/>
    <x v="10"/>
    <x v="1"/>
    <x v="36"/>
    <x v="0"/>
    <x v="0"/>
    <x v="1"/>
    <x v="1"/>
    <x v="1"/>
    <x v="2"/>
    <x v="2"/>
    <x v="2"/>
    <x v="1"/>
    <x v="2"/>
    <x v="0"/>
    <x v="1"/>
    <x v="2"/>
    <x v="2"/>
    <x v="124"/>
    <x v="5"/>
    <x v="0"/>
    <x v="0"/>
    <x v="1"/>
    <x v="0"/>
    <x v="0"/>
    <x v="0"/>
    <x v="0"/>
  </r>
  <r>
    <x v="222"/>
    <x v="123"/>
    <x v="123"/>
    <x v="121"/>
    <x v="0"/>
    <x v="1"/>
    <x v="1"/>
    <x v="128"/>
    <x v="10"/>
    <x v="1"/>
    <x v="22"/>
    <x v="0"/>
    <x v="0"/>
    <x v="3"/>
    <x v="1"/>
    <x v="1"/>
    <x v="2"/>
    <x v="2"/>
    <x v="1"/>
    <x v="1"/>
    <x v="1"/>
    <x v="48"/>
    <x v="2"/>
    <x v="3"/>
    <x v="4"/>
    <x v="122"/>
    <x v="5"/>
    <x v="3"/>
    <x v="0"/>
    <x v="1"/>
    <x v="0"/>
    <x v="131"/>
    <x v="0"/>
    <x v="56"/>
  </r>
  <r>
    <x v="223"/>
    <x v="119"/>
    <x v="119"/>
    <x v="117"/>
    <x v="184"/>
    <x v="1"/>
    <x v="2"/>
    <x v="124"/>
    <x v="40"/>
    <x v="1"/>
    <x v="22"/>
    <x v="0"/>
    <x v="0"/>
    <x v="3"/>
    <x v="1"/>
    <x v="1"/>
    <x v="1"/>
    <x v="1"/>
    <x v="3"/>
    <x v="1"/>
    <x v="2"/>
    <x v="0"/>
    <x v="1"/>
    <x v="3"/>
    <x v="4"/>
    <x v="118"/>
    <x v="4"/>
    <x v="0"/>
    <x v="0"/>
    <x v="1"/>
    <x v="0"/>
    <x v="0"/>
    <x v="0"/>
    <x v="0"/>
  </r>
  <r>
    <x v="224"/>
    <x v="126"/>
    <x v="126"/>
    <x v="124"/>
    <x v="185"/>
    <x v="3"/>
    <x v="1"/>
    <x v="131"/>
    <x v="42"/>
    <x v="1"/>
    <x v="1"/>
    <x v="0"/>
    <x v="0"/>
    <x v="1"/>
    <x v="3"/>
    <x v="2"/>
    <x v="1"/>
    <x v="1"/>
    <x v="2"/>
    <x v="1"/>
    <x v="1"/>
    <x v="49"/>
    <x v="2"/>
    <x v="1"/>
    <x v="2"/>
    <x v="125"/>
    <x v="5"/>
    <x v="3"/>
    <x v="0"/>
    <x v="1"/>
    <x v="0"/>
    <x v="132"/>
    <x v="0"/>
    <x v="0"/>
  </r>
  <r>
    <x v="225"/>
    <x v="127"/>
    <x v="127"/>
    <x v="125"/>
    <x v="186"/>
    <x v="1"/>
    <x v="2"/>
    <x v="132"/>
    <x v="17"/>
    <x v="1"/>
    <x v="15"/>
    <x v="0"/>
    <x v="0"/>
    <x v="1"/>
    <x v="1"/>
    <x v="1"/>
    <x v="2"/>
    <x v="1"/>
    <x v="3"/>
    <x v="1"/>
    <x v="1"/>
    <x v="48"/>
    <x v="1"/>
    <x v="1"/>
    <x v="2"/>
    <x v="126"/>
    <x v="4"/>
    <x v="3"/>
    <x v="0"/>
    <x v="1"/>
    <x v="0"/>
    <x v="133"/>
    <x v="68"/>
    <x v="56"/>
  </r>
  <r>
    <x v="226"/>
    <x v="128"/>
    <x v="128"/>
    <x v="126"/>
    <x v="187"/>
    <x v="1"/>
    <x v="2"/>
    <x v="82"/>
    <x v="114"/>
    <x v="1"/>
    <x v="64"/>
    <x v="0"/>
    <x v="0"/>
    <x v="1"/>
    <x v="1"/>
    <x v="1"/>
    <x v="2"/>
    <x v="2"/>
    <x v="1"/>
    <x v="1"/>
    <x v="2"/>
    <x v="0"/>
    <x v="1"/>
    <x v="1"/>
    <x v="2"/>
    <x v="127"/>
    <x v="5"/>
    <x v="0"/>
    <x v="0"/>
    <x v="1"/>
    <x v="0"/>
    <x v="0"/>
    <x v="0"/>
    <x v="0"/>
  </r>
  <r>
    <x v="227"/>
    <x v="129"/>
    <x v="129"/>
    <x v="127"/>
    <x v="188"/>
    <x v="1"/>
    <x v="2"/>
    <x v="133"/>
    <x v="115"/>
    <x v="1"/>
    <x v="15"/>
    <x v="0"/>
    <x v="0"/>
    <x v="1"/>
    <x v="2"/>
    <x v="3"/>
    <x v="2"/>
    <x v="1"/>
    <x v="2"/>
    <x v="1"/>
    <x v="1"/>
    <x v="49"/>
    <x v="1"/>
    <x v="1"/>
    <x v="2"/>
    <x v="128"/>
    <x v="4"/>
    <x v="3"/>
    <x v="0"/>
    <x v="1"/>
    <x v="0"/>
    <x v="134"/>
    <x v="0"/>
    <x v="0"/>
  </r>
  <r>
    <x v="228"/>
    <x v="130"/>
    <x v="130"/>
    <x v="128"/>
    <x v="189"/>
    <x v="2"/>
    <x v="2"/>
    <x v="134"/>
    <x v="116"/>
    <x v="2"/>
    <x v="0"/>
    <x v="2"/>
    <x v="0"/>
    <x v="1"/>
    <x v="3"/>
    <x v="3"/>
    <x v="2"/>
    <x v="1"/>
    <x v="2"/>
    <x v="1"/>
    <x v="1"/>
    <x v="49"/>
    <x v="1"/>
    <x v="1"/>
    <x v="2"/>
    <x v="129"/>
    <x v="1"/>
    <x v="3"/>
    <x v="0"/>
    <x v="1"/>
    <x v="0"/>
    <x v="135"/>
    <x v="0"/>
    <x v="14"/>
  </r>
  <r>
    <x v="229"/>
    <x v="124"/>
    <x v="124"/>
    <x v="122"/>
    <x v="190"/>
    <x v="1"/>
    <x v="2"/>
    <x v="129"/>
    <x v="48"/>
    <x v="1"/>
    <x v="24"/>
    <x v="0"/>
    <x v="0"/>
    <x v="3"/>
    <x v="1"/>
    <x v="2"/>
    <x v="2"/>
    <x v="1"/>
    <x v="2"/>
    <x v="2"/>
    <x v="1"/>
    <x v="50"/>
    <x v="1"/>
    <x v="3"/>
    <x v="4"/>
    <x v="123"/>
    <x v="5"/>
    <x v="1"/>
    <x v="7"/>
    <x v="2"/>
    <x v="1"/>
    <x v="136"/>
    <x v="0"/>
    <x v="57"/>
  </r>
  <r>
    <x v="230"/>
    <x v="123"/>
    <x v="123"/>
    <x v="121"/>
    <x v="191"/>
    <x v="1"/>
    <x v="1"/>
    <x v="128"/>
    <x v="59"/>
    <x v="1"/>
    <x v="22"/>
    <x v="0"/>
    <x v="0"/>
    <x v="1"/>
    <x v="1"/>
    <x v="1"/>
    <x v="2"/>
    <x v="2"/>
    <x v="1"/>
    <x v="1"/>
    <x v="1"/>
    <x v="50"/>
    <x v="1"/>
    <x v="4"/>
    <x v="12"/>
    <x v="122"/>
    <x v="3"/>
    <x v="3"/>
    <x v="0"/>
    <x v="1"/>
    <x v="0"/>
    <x v="137"/>
    <x v="69"/>
    <x v="58"/>
  </r>
  <r>
    <x v="231"/>
    <x v="84"/>
    <x v="83"/>
    <x v="82"/>
    <x v="192"/>
    <x v="1"/>
    <x v="2"/>
    <x v="87"/>
    <x v="80"/>
    <x v="1"/>
    <x v="33"/>
    <x v="0"/>
    <x v="0"/>
    <x v="3"/>
    <x v="1"/>
    <x v="1"/>
    <x v="2"/>
    <x v="2"/>
    <x v="1"/>
    <x v="1"/>
    <x v="1"/>
    <x v="51"/>
    <x v="1"/>
    <x v="3"/>
    <x v="4"/>
    <x v="83"/>
    <x v="1"/>
    <x v="1"/>
    <x v="4"/>
    <x v="2"/>
    <x v="1"/>
    <x v="138"/>
    <x v="0"/>
    <x v="0"/>
  </r>
  <r>
    <x v="232"/>
    <x v="131"/>
    <x v="131"/>
    <x v="129"/>
    <x v="193"/>
    <x v="1"/>
    <x v="2"/>
    <x v="135"/>
    <x v="117"/>
    <x v="1"/>
    <x v="3"/>
    <x v="0"/>
    <x v="0"/>
    <x v="1"/>
    <x v="3"/>
    <x v="3"/>
    <x v="2"/>
    <x v="1"/>
    <x v="2"/>
    <x v="1"/>
    <x v="1"/>
    <x v="50"/>
    <x v="1"/>
    <x v="6"/>
    <x v="2"/>
    <x v="130"/>
    <x v="7"/>
    <x v="3"/>
    <x v="0"/>
    <x v="1"/>
    <x v="0"/>
    <x v="139"/>
    <x v="70"/>
    <x v="0"/>
  </r>
  <r>
    <x v="233"/>
    <x v="132"/>
    <x v="132"/>
    <x v="130"/>
    <x v="194"/>
    <x v="1"/>
    <x v="3"/>
    <x v="136"/>
    <x v="118"/>
    <x v="1"/>
    <x v="3"/>
    <x v="0"/>
    <x v="0"/>
    <x v="1"/>
    <x v="3"/>
    <x v="3"/>
    <x v="2"/>
    <x v="1"/>
    <x v="3"/>
    <x v="1"/>
    <x v="2"/>
    <x v="0"/>
    <x v="1"/>
    <x v="6"/>
    <x v="2"/>
    <x v="131"/>
    <x v="5"/>
    <x v="0"/>
    <x v="0"/>
    <x v="1"/>
    <x v="0"/>
    <x v="0"/>
    <x v="0"/>
    <x v="59"/>
  </r>
  <r>
    <x v="234"/>
    <x v="133"/>
    <x v="133"/>
    <x v="131"/>
    <x v="195"/>
    <x v="3"/>
    <x v="1"/>
    <x v="137"/>
    <x v="53"/>
    <x v="1"/>
    <x v="15"/>
    <x v="0"/>
    <x v="0"/>
    <x v="1"/>
    <x v="3"/>
    <x v="3"/>
    <x v="2"/>
    <x v="1"/>
    <x v="2"/>
    <x v="1"/>
    <x v="1"/>
    <x v="51"/>
    <x v="1"/>
    <x v="6"/>
    <x v="2"/>
    <x v="132"/>
    <x v="5"/>
    <x v="1"/>
    <x v="4"/>
    <x v="1"/>
    <x v="0"/>
    <x v="140"/>
    <x v="0"/>
    <x v="0"/>
  </r>
  <r>
    <x v="235"/>
    <x v="119"/>
    <x v="119"/>
    <x v="117"/>
    <x v="196"/>
    <x v="1"/>
    <x v="2"/>
    <x v="124"/>
    <x v="10"/>
    <x v="1"/>
    <x v="31"/>
    <x v="0"/>
    <x v="0"/>
    <x v="1"/>
    <x v="2"/>
    <x v="3"/>
    <x v="2"/>
    <x v="1"/>
    <x v="3"/>
    <x v="2"/>
    <x v="1"/>
    <x v="50"/>
    <x v="1"/>
    <x v="6"/>
    <x v="2"/>
    <x v="118"/>
    <x v="1"/>
    <x v="3"/>
    <x v="0"/>
    <x v="1"/>
    <x v="0"/>
    <x v="141"/>
    <x v="71"/>
    <x v="17"/>
  </r>
  <r>
    <x v="236"/>
    <x v="84"/>
    <x v="83"/>
    <x v="82"/>
    <x v="197"/>
    <x v="1"/>
    <x v="2"/>
    <x v="87"/>
    <x v="80"/>
    <x v="1"/>
    <x v="11"/>
    <x v="0"/>
    <x v="0"/>
    <x v="3"/>
    <x v="1"/>
    <x v="1"/>
    <x v="2"/>
    <x v="2"/>
    <x v="3"/>
    <x v="1"/>
    <x v="2"/>
    <x v="0"/>
    <x v="1"/>
    <x v="3"/>
    <x v="4"/>
    <x v="83"/>
    <x v="1"/>
    <x v="0"/>
    <x v="0"/>
    <x v="1"/>
    <x v="0"/>
    <x v="0"/>
    <x v="0"/>
    <x v="0"/>
  </r>
  <r>
    <x v="237"/>
    <x v="133"/>
    <x v="133"/>
    <x v="131"/>
    <x v="0"/>
    <x v="3"/>
    <x v="1"/>
    <x v="137"/>
    <x v="53"/>
    <x v="1"/>
    <x v="15"/>
    <x v="0"/>
    <x v="0"/>
    <x v="3"/>
    <x v="4"/>
    <x v="1"/>
    <x v="2"/>
    <x v="1"/>
    <x v="2"/>
    <x v="1"/>
    <x v="2"/>
    <x v="0"/>
    <x v="2"/>
    <x v="3"/>
    <x v="4"/>
    <x v="132"/>
    <x v="1"/>
    <x v="0"/>
    <x v="0"/>
    <x v="1"/>
    <x v="0"/>
    <x v="0"/>
    <x v="0"/>
    <x v="0"/>
  </r>
  <r>
    <x v="238"/>
    <x v="134"/>
    <x v="134"/>
    <x v="132"/>
    <x v="198"/>
    <x v="1"/>
    <x v="2"/>
    <x v="138"/>
    <x v="71"/>
    <x v="1"/>
    <x v="9"/>
    <x v="0"/>
    <x v="0"/>
    <x v="1"/>
    <x v="2"/>
    <x v="3"/>
    <x v="2"/>
    <x v="1"/>
    <x v="1"/>
    <x v="1"/>
    <x v="1"/>
    <x v="40"/>
    <x v="1"/>
    <x v="1"/>
    <x v="2"/>
    <x v="133"/>
    <x v="2"/>
    <x v="1"/>
    <x v="1"/>
    <x v="1"/>
    <x v="0"/>
    <x v="142"/>
    <x v="0"/>
    <x v="60"/>
  </r>
  <r>
    <x v="239"/>
    <x v="135"/>
    <x v="135"/>
    <x v="133"/>
    <x v="199"/>
    <x v="1"/>
    <x v="2"/>
    <x v="139"/>
    <x v="119"/>
    <x v="1"/>
    <x v="31"/>
    <x v="0"/>
    <x v="0"/>
    <x v="1"/>
    <x v="3"/>
    <x v="3"/>
    <x v="2"/>
    <x v="2"/>
    <x v="2"/>
    <x v="1"/>
    <x v="1"/>
    <x v="40"/>
    <x v="1"/>
    <x v="1"/>
    <x v="2"/>
    <x v="134"/>
    <x v="7"/>
    <x v="3"/>
    <x v="0"/>
    <x v="1"/>
    <x v="0"/>
    <x v="143"/>
    <x v="0"/>
    <x v="61"/>
  </r>
  <r>
    <x v="240"/>
    <x v="136"/>
    <x v="136"/>
    <x v="134"/>
    <x v="200"/>
    <x v="3"/>
    <x v="2"/>
    <x v="140"/>
    <x v="120"/>
    <x v="1"/>
    <x v="22"/>
    <x v="0"/>
    <x v="0"/>
    <x v="1"/>
    <x v="1"/>
    <x v="1"/>
    <x v="2"/>
    <x v="2"/>
    <x v="1"/>
    <x v="1"/>
    <x v="1"/>
    <x v="52"/>
    <x v="1"/>
    <x v="1"/>
    <x v="5"/>
    <x v="135"/>
    <x v="4"/>
    <x v="3"/>
    <x v="0"/>
    <x v="1"/>
    <x v="0"/>
    <x v="144"/>
    <x v="72"/>
    <x v="0"/>
  </r>
  <r>
    <x v="241"/>
    <x v="124"/>
    <x v="124"/>
    <x v="122"/>
    <x v="0"/>
    <x v="1"/>
    <x v="2"/>
    <x v="129"/>
    <x v="48"/>
    <x v="1"/>
    <x v="24"/>
    <x v="0"/>
    <x v="0"/>
    <x v="3"/>
    <x v="1"/>
    <x v="1"/>
    <x v="1"/>
    <x v="1"/>
    <x v="1"/>
    <x v="2"/>
    <x v="2"/>
    <x v="0"/>
    <x v="2"/>
    <x v="3"/>
    <x v="4"/>
    <x v="123"/>
    <x v="7"/>
    <x v="0"/>
    <x v="0"/>
    <x v="1"/>
    <x v="0"/>
    <x v="0"/>
    <x v="0"/>
    <x v="17"/>
  </r>
  <r>
    <x v="242"/>
    <x v="134"/>
    <x v="134"/>
    <x v="132"/>
    <x v="0"/>
    <x v="1"/>
    <x v="2"/>
    <x v="138"/>
    <x v="71"/>
    <x v="1"/>
    <x v="9"/>
    <x v="0"/>
    <x v="0"/>
    <x v="3"/>
    <x v="4"/>
    <x v="1"/>
    <x v="2"/>
    <x v="2"/>
    <x v="1"/>
    <x v="1"/>
    <x v="2"/>
    <x v="0"/>
    <x v="2"/>
    <x v="3"/>
    <x v="4"/>
    <x v="133"/>
    <x v="5"/>
    <x v="0"/>
    <x v="0"/>
    <x v="1"/>
    <x v="0"/>
    <x v="0"/>
    <x v="0"/>
    <x v="0"/>
  </r>
  <r>
    <x v="243"/>
    <x v="137"/>
    <x v="137"/>
    <x v="135"/>
    <x v="201"/>
    <x v="1"/>
    <x v="2"/>
    <x v="141"/>
    <x v="121"/>
    <x v="1"/>
    <x v="65"/>
    <x v="0"/>
    <x v="0"/>
    <x v="1"/>
    <x v="1"/>
    <x v="1"/>
    <x v="2"/>
    <x v="1"/>
    <x v="3"/>
    <x v="1"/>
    <x v="2"/>
    <x v="0"/>
    <x v="1"/>
    <x v="1"/>
    <x v="2"/>
    <x v="136"/>
    <x v="1"/>
    <x v="0"/>
    <x v="0"/>
    <x v="1"/>
    <x v="0"/>
    <x v="0"/>
    <x v="0"/>
    <x v="0"/>
  </r>
  <r>
    <x v="244"/>
    <x v="138"/>
    <x v="138"/>
    <x v="136"/>
    <x v="202"/>
    <x v="3"/>
    <x v="2"/>
    <x v="142"/>
    <x v="81"/>
    <x v="1"/>
    <x v="24"/>
    <x v="0"/>
    <x v="0"/>
    <x v="1"/>
    <x v="2"/>
    <x v="3"/>
    <x v="1"/>
    <x v="1"/>
    <x v="1"/>
    <x v="1"/>
    <x v="1"/>
    <x v="52"/>
    <x v="2"/>
    <x v="1"/>
    <x v="2"/>
    <x v="137"/>
    <x v="5"/>
    <x v="3"/>
    <x v="0"/>
    <x v="1"/>
    <x v="0"/>
    <x v="145"/>
    <x v="73"/>
    <x v="62"/>
  </r>
  <r>
    <x v="245"/>
    <x v="139"/>
    <x v="139"/>
    <x v="137"/>
    <x v="203"/>
    <x v="1"/>
    <x v="2"/>
    <x v="143"/>
    <x v="122"/>
    <x v="1"/>
    <x v="3"/>
    <x v="0"/>
    <x v="0"/>
    <x v="1"/>
    <x v="1"/>
    <x v="1"/>
    <x v="2"/>
    <x v="1"/>
    <x v="2"/>
    <x v="1"/>
    <x v="1"/>
    <x v="53"/>
    <x v="1"/>
    <x v="5"/>
    <x v="2"/>
    <x v="138"/>
    <x v="5"/>
    <x v="1"/>
    <x v="1"/>
    <x v="2"/>
    <x v="1"/>
    <x v="146"/>
    <x v="0"/>
    <x v="0"/>
  </r>
  <r>
    <x v="246"/>
    <x v="139"/>
    <x v="139"/>
    <x v="137"/>
    <x v="204"/>
    <x v="1"/>
    <x v="2"/>
    <x v="143"/>
    <x v="122"/>
    <x v="1"/>
    <x v="3"/>
    <x v="0"/>
    <x v="0"/>
    <x v="3"/>
    <x v="3"/>
    <x v="2"/>
    <x v="2"/>
    <x v="1"/>
    <x v="2"/>
    <x v="1"/>
    <x v="1"/>
    <x v="54"/>
    <x v="1"/>
    <x v="3"/>
    <x v="4"/>
    <x v="138"/>
    <x v="5"/>
    <x v="3"/>
    <x v="0"/>
    <x v="1"/>
    <x v="0"/>
    <x v="147"/>
    <x v="0"/>
    <x v="63"/>
  </r>
  <r>
    <x v="247"/>
    <x v="140"/>
    <x v="140"/>
    <x v="138"/>
    <x v="205"/>
    <x v="3"/>
    <x v="4"/>
    <x v="144"/>
    <x v="123"/>
    <x v="1"/>
    <x v="15"/>
    <x v="0"/>
    <x v="0"/>
    <x v="1"/>
    <x v="1"/>
    <x v="1"/>
    <x v="2"/>
    <x v="1"/>
    <x v="1"/>
    <x v="1"/>
    <x v="1"/>
    <x v="52"/>
    <x v="1"/>
    <x v="1"/>
    <x v="2"/>
    <x v="139"/>
    <x v="7"/>
    <x v="1"/>
    <x v="5"/>
    <x v="2"/>
    <x v="1"/>
    <x v="148"/>
    <x v="0"/>
    <x v="0"/>
  </r>
  <r>
    <x v="248"/>
    <x v="69"/>
    <x v="68"/>
    <x v="67"/>
    <x v="206"/>
    <x v="3"/>
    <x v="2"/>
    <x v="72"/>
    <x v="124"/>
    <x v="2"/>
    <x v="0"/>
    <x v="6"/>
    <x v="0"/>
    <x v="1"/>
    <x v="3"/>
    <x v="3"/>
    <x v="2"/>
    <x v="1"/>
    <x v="2"/>
    <x v="1"/>
    <x v="1"/>
    <x v="55"/>
    <x v="1"/>
    <x v="1"/>
    <x v="2"/>
    <x v="67"/>
    <x v="7"/>
    <x v="1"/>
    <x v="4"/>
    <x v="1"/>
    <x v="0"/>
    <x v="149"/>
    <x v="74"/>
    <x v="64"/>
  </r>
  <r>
    <x v="249"/>
    <x v="140"/>
    <x v="140"/>
    <x v="138"/>
    <x v="0"/>
    <x v="3"/>
    <x v="4"/>
    <x v="144"/>
    <x v="123"/>
    <x v="1"/>
    <x v="15"/>
    <x v="0"/>
    <x v="0"/>
    <x v="3"/>
    <x v="2"/>
    <x v="3"/>
    <x v="2"/>
    <x v="1"/>
    <x v="2"/>
    <x v="1"/>
    <x v="1"/>
    <x v="55"/>
    <x v="2"/>
    <x v="3"/>
    <x v="4"/>
    <x v="139"/>
    <x v="2"/>
    <x v="1"/>
    <x v="2"/>
    <x v="1"/>
    <x v="0"/>
    <x v="150"/>
    <x v="0"/>
    <x v="65"/>
  </r>
  <r>
    <x v="250"/>
    <x v="141"/>
    <x v="141"/>
    <x v="139"/>
    <x v="207"/>
    <x v="1"/>
    <x v="1"/>
    <x v="145"/>
    <x v="125"/>
    <x v="1"/>
    <x v="3"/>
    <x v="0"/>
    <x v="0"/>
    <x v="1"/>
    <x v="3"/>
    <x v="3"/>
    <x v="2"/>
    <x v="2"/>
    <x v="1"/>
    <x v="1"/>
    <x v="1"/>
    <x v="55"/>
    <x v="1"/>
    <x v="5"/>
    <x v="2"/>
    <x v="140"/>
    <x v="7"/>
    <x v="1"/>
    <x v="2"/>
    <x v="2"/>
    <x v="1"/>
    <x v="151"/>
    <x v="75"/>
    <x v="0"/>
  </r>
  <r>
    <x v="251"/>
    <x v="142"/>
    <x v="142"/>
    <x v="140"/>
    <x v="208"/>
    <x v="3"/>
    <x v="2"/>
    <x v="146"/>
    <x v="126"/>
    <x v="1"/>
    <x v="9"/>
    <x v="0"/>
    <x v="0"/>
    <x v="1"/>
    <x v="3"/>
    <x v="2"/>
    <x v="2"/>
    <x v="2"/>
    <x v="1"/>
    <x v="1"/>
    <x v="1"/>
    <x v="43"/>
    <x v="1"/>
    <x v="1"/>
    <x v="2"/>
    <x v="141"/>
    <x v="5"/>
    <x v="1"/>
    <x v="1"/>
    <x v="1"/>
    <x v="0"/>
    <x v="152"/>
    <x v="76"/>
    <x v="66"/>
  </r>
  <r>
    <x v="252"/>
    <x v="140"/>
    <x v="140"/>
    <x v="138"/>
    <x v="0"/>
    <x v="3"/>
    <x v="4"/>
    <x v="144"/>
    <x v="123"/>
    <x v="1"/>
    <x v="15"/>
    <x v="0"/>
    <x v="0"/>
    <x v="3"/>
    <x v="2"/>
    <x v="3"/>
    <x v="2"/>
    <x v="1"/>
    <x v="2"/>
    <x v="1"/>
    <x v="1"/>
    <x v="43"/>
    <x v="2"/>
    <x v="3"/>
    <x v="4"/>
    <x v="139"/>
    <x v="4"/>
    <x v="1"/>
    <x v="1"/>
    <x v="2"/>
    <x v="1"/>
    <x v="153"/>
    <x v="0"/>
    <x v="67"/>
  </r>
  <r>
    <x v="253"/>
    <x v="69"/>
    <x v="68"/>
    <x v="67"/>
    <x v="209"/>
    <x v="3"/>
    <x v="2"/>
    <x v="72"/>
    <x v="68"/>
    <x v="1"/>
    <x v="15"/>
    <x v="0"/>
    <x v="0"/>
    <x v="3"/>
    <x v="1"/>
    <x v="1"/>
    <x v="2"/>
    <x v="1"/>
    <x v="2"/>
    <x v="1"/>
    <x v="1"/>
    <x v="43"/>
    <x v="1"/>
    <x v="3"/>
    <x v="4"/>
    <x v="67"/>
    <x v="1"/>
    <x v="1"/>
    <x v="4"/>
    <x v="1"/>
    <x v="0"/>
    <x v="154"/>
    <x v="0"/>
    <x v="68"/>
  </r>
  <r>
    <x v="254"/>
    <x v="141"/>
    <x v="141"/>
    <x v="139"/>
    <x v="210"/>
    <x v="1"/>
    <x v="1"/>
    <x v="145"/>
    <x v="125"/>
    <x v="1"/>
    <x v="9"/>
    <x v="0"/>
    <x v="0"/>
    <x v="3"/>
    <x v="2"/>
    <x v="3"/>
    <x v="2"/>
    <x v="1"/>
    <x v="2"/>
    <x v="1"/>
    <x v="1"/>
    <x v="43"/>
    <x v="1"/>
    <x v="3"/>
    <x v="4"/>
    <x v="140"/>
    <x v="4"/>
    <x v="3"/>
    <x v="0"/>
    <x v="1"/>
    <x v="0"/>
    <x v="155"/>
    <x v="77"/>
    <x v="69"/>
  </r>
  <r>
    <x v="255"/>
    <x v="143"/>
    <x v="143"/>
    <x v="141"/>
    <x v="211"/>
    <x v="1"/>
    <x v="1"/>
    <x v="147"/>
    <x v="70"/>
    <x v="1"/>
    <x v="4"/>
    <x v="0"/>
    <x v="0"/>
    <x v="1"/>
    <x v="1"/>
    <x v="1"/>
    <x v="2"/>
    <x v="1"/>
    <x v="3"/>
    <x v="1"/>
    <x v="1"/>
    <x v="55"/>
    <x v="1"/>
    <x v="5"/>
    <x v="2"/>
    <x v="142"/>
    <x v="5"/>
    <x v="1"/>
    <x v="1"/>
    <x v="2"/>
    <x v="1"/>
    <x v="156"/>
    <x v="0"/>
    <x v="0"/>
  </r>
  <r>
    <x v="256"/>
    <x v="144"/>
    <x v="144"/>
    <x v="142"/>
    <x v="212"/>
    <x v="1"/>
    <x v="1"/>
    <x v="148"/>
    <x v="29"/>
    <x v="1"/>
    <x v="66"/>
    <x v="0"/>
    <x v="0"/>
    <x v="1"/>
    <x v="2"/>
    <x v="3"/>
    <x v="2"/>
    <x v="1"/>
    <x v="1"/>
    <x v="1"/>
    <x v="1"/>
    <x v="43"/>
    <x v="1"/>
    <x v="5"/>
    <x v="2"/>
    <x v="143"/>
    <x v="5"/>
    <x v="1"/>
    <x v="1"/>
    <x v="1"/>
    <x v="0"/>
    <x v="157"/>
    <x v="78"/>
    <x v="70"/>
  </r>
  <r>
    <x v="257"/>
    <x v="143"/>
    <x v="143"/>
    <x v="141"/>
    <x v="213"/>
    <x v="1"/>
    <x v="1"/>
    <x v="149"/>
    <x v="127"/>
    <x v="1"/>
    <x v="4"/>
    <x v="0"/>
    <x v="0"/>
    <x v="3"/>
    <x v="1"/>
    <x v="2"/>
    <x v="2"/>
    <x v="1"/>
    <x v="2"/>
    <x v="1"/>
    <x v="1"/>
    <x v="43"/>
    <x v="1"/>
    <x v="5"/>
    <x v="2"/>
    <x v="142"/>
    <x v="5"/>
    <x v="1"/>
    <x v="7"/>
    <x v="2"/>
    <x v="1"/>
    <x v="158"/>
    <x v="0"/>
    <x v="71"/>
  </r>
  <r>
    <x v="258"/>
    <x v="140"/>
    <x v="140"/>
    <x v="138"/>
    <x v="0"/>
    <x v="3"/>
    <x v="4"/>
    <x v="144"/>
    <x v="123"/>
    <x v="1"/>
    <x v="15"/>
    <x v="0"/>
    <x v="0"/>
    <x v="3"/>
    <x v="3"/>
    <x v="3"/>
    <x v="2"/>
    <x v="1"/>
    <x v="1"/>
    <x v="1"/>
    <x v="1"/>
    <x v="54"/>
    <x v="2"/>
    <x v="3"/>
    <x v="4"/>
    <x v="139"/>
    <x v="5"/>
    <x v="3"/>
    <x v="0"/>
    <x v="1"/>
    <x v="0"/>
    <x v="159"/>
    <x v="79"/>
    <x v="72"/>
  </r>
  <r>
    <x v="259"/>
    <x v="145"/>
    <x v="145"/>
    <x v="143"/>
    <x v="214"/>
    <x v="1"/>
    <x v="1"/>
    <x v="150"/>
    <x v="128"/>
    <x v="1"/>
    <x v="67"/>
    <x v="0"/>
    <x v="0"/>
    <x v="1"/>
    <x v="3"/>
    <x v="3"/>
    <x v="2"/>
    <x v="1"/>
    <x v="2"/>
    <x v="2"/>
    <x v="1"/>
    <x v="54"/>
    <x v="1"/>
    <x v="1"/>
    <x v="2"/>
    <x v="144"/>
    <x v="7"/>
    <x v="3"/>
    <x v="0"/>
    <x v="1"/>
    <x v="0"/>
    <x v="160"/>
    <x v="0"/>
    <x v="17"/>
  </r>
  <r>
    <x v="260"/>
    <x v="69"/>
    <x v="68"/>
    <x v="67"/>
    <x v="0"/>
    <x v="3"/>
    <x v="2"/>
    <x v="72"/>
    <x v="68"/>
    <x v="1"/>
    <x v="27"/>
    <x v="0"/>
    <x v="0"/>
    <x v="3"/>
    <x v="4"/>
    <x v="1"/>
    <x v="2"/>
    <x v="1"/>
    <x v="2"/>
    <x v="1"/>
    <x v="2"/>
    <x v="0"/>
    <x v="2"/>
    <x v="3"/>
    <x v="4"/>
    <x v="67"/>
    <x v="1"/>
    <x v="0"/>
    <x v="0"/>
    <x v="1"/>
    <x v="0"/>
    <x v="0"/>
    <x v="0"/>
    <x v="0"/>
  </r>
  <r>
    <x v="261"/>
    <x v="105"/>
    <x v="104"/>
    <x v="104"/>
    <x v="0"/>
    <x v="3"/>
    <x v="1"/>
    <x v="110"/>
    <x v="104"/>
    <x v="1"/>
    <x v="68"/>
    <x v="0"/>
    <x v="0"/>
    <x v="3"/>
    <x v="1"/>
    <x v="1"/>
    <x v="2"/>
    <x v="1"/>
    <x v="1"/>
    <x v="1"/>
    <x v="2"/>
    <x v="0"/>
    <x v="2"/>
    <x v="3"/>
    <x v="4"/>
    <x v="104"/>
    <x v="7"/>
    <x v="0"/>
    <x v="0"/>
    <x v="1"/>
    <x v="0"/>
    <x v="0"/>
    <x v="0"/>
    <x v="0"/>
  </r>
  <r>
    <x v="262"/>
    <x v="143"/>
    <x v="143"/>
    <x v="141"/>
    <x v="215"/>
    <x v="1"/>
    <x v="1"/>
    <x v="147"/>
    <x v="70"/>
    <x v="1"/>
    <x v="4"/>
    <x v="0"/>
    <x v="0"/>
    <x v="3"/>
    <x v="1"/>
    <x v="1"/>
    <x v="2"/>
    <x v="1"/>
    <x v="3"/>
    <x v="1"/>
    <x v="1"/>
    <x v="56"/>
    <x v="1"/>
    <x v="3"/>
    <x v="4"/>
    <x v="142"/>
    <x v="7"/>
    <x v="1"/>
    <x v="1"/>
    <x v="1"/>
    <x v="0"/>
    <x v="161"/>
    <x v="0"/>
    <x v="73"/>
  </r>
  <r>
    <x v="263"/>
    <x v="46"/>
    <x v="45"/>
    <x v="45"/>
    <x v="216"/>
    <x v="1"/>
    <x v="2"/>
    <x v="48"/>
    <x v="48"/>
    <x v="1"/>
    <x v="15"/>
    <x v="0"/>
    <x v="0"/>
    <x v="1"/>
    <x v="3"/>
    <x v="3"/>
    <x v="2"/>
    <x v="1"/>
    <x v="2"/>
    <x v="1"/>
    <x v="1"/>
    <x v="57"/>
    <x v="1"/>
    <x v="2"/>
    <x v="2"/>
    <x v="45"/>
    <x v="5"/>
    <x v="1"/>
    <x v="4"/>
    <x v="1"/>
    <x v="0"/>
    <x v="162"/>
    <x v="0"/>
    <x v="74"/>
  </r>
  <r>
    <x v="264"/>
    <x v="146"/>
    <x v="146"/>
    <x v="144"/>
    <x v="217"/>
    <x v="1"/>
    <x v="2"/>
    <x v="151"/>
    <x v="10"/>
    <x v="1"/>
    <x v="3"/>
    <x v="0"/>
    <x v="0"/>
    <x v="1"/>
    <x v="2"/>
    <x v="3"/>
    <x v="2"/>
    <x v="1"/>
    <x v="1"/>
    <x v="1"/>
    <x v="1"/>
    <x v="57"/>
    <x v="1"/>
    <x v="6"/>
    <x v="2"/>
    <x v="145"/>
    <x v="5"/>
    <x v="3"/>
    <x v="0"/>
    <x v="1"/>
    <x v="0"/>
    <x v="163"/>
    <x v="80"/>
    <x v="75"/>
  </r>
  <r>
    <x v="265"/>
    <x v="125"/>
    <x v="125"/>
    <x v="123"/>
    <x v="218"/>
    <x v="3"/>
    <x v="2"/>
    <x v="130"/>
    <x v="56"/>
    <x v="6"/>
    <x v="0"/>
    <x v="0"/>
    <x v="5"/>
    <x v="1"/>
    <x v="3"/>
    <x v="3"/>
    <x v="2"/>
    <x v="2"/>
    <x v="1"/>
    <x v="1"/>
    <x v="1"/>
    <x v="57"/>
    <x v="1"/>
    <x v="6"/>
    <x v="2"/>
    <x v="124"/>
    <x v="5"/>
    <x v="1"/>
    <x v="4"/>
    <x v="1"/>
    <x v="0"/>
    <x v="164"/>
    <x v="81"/>
    <x v="76"/>
  </r>
  <r>
    <x v="266"/>
    <x v="144"/>
    <x v="144"/>
    <x v="142"/>
    <x v="0"/>
    <x v="1"/>
    <x v="1"/>
    <x v="148"/>
    <x v="29"/>
    <x v="1"/>
    <x v="66"/>
    <x v="0"/>
    <x v="0"/>
    <x v="3"/>
    <x v="1"/>
    <x v="1"/>
    <x v="2"/>
    <x v="1"/>
    <x v="2"/>
    <x v="1"/>
    <x v="2"/>
    <x v="0"/>
    <x v="2"/>
    <x v="3"/>
    <x v="4"/>
    <x v="143"/>
    <x v="5"/>
    <x v="0"/>
    <x v="0"/>
    <x v="1"/>
    <x v="0"/>
    <x v="0"/>
    <x v="0"/>
    <x v="77"/>
  </r>
  <r>
    <x v="267"/>
    <x v="142"/>
    <x v="142"/>
    <x v="140"/>
    <x v="0"/>
    <x v="3"/>
    <x v="2"/>
    <x v="146"/>
    <x v="126"/>
    <x v="1"/>
    <x v="9"/>
    <x v="0"/>
    <x v="0"/>
    <x v="3"/>
    <x v="1"/>
    <x v="1"/>
    <x v="2"/>
    <x v="1"/>
    <x v="2"/>
    <x v="1"/>
    <x v="2"/>
    <x v="0"/>
    <x v="2"/>
    <x v="3"/>
    <x v="4"/>
    <x v="141"/>
    <x v="5"/>
    <x v="0"/>
    <x v="0"/>
    <x v="1"/>
    <x v="0"/>
    <x v="0"/>
    <x v="0"/>
    <x v="77"/>
  </r>
  <r>
    <x v="268"/>
    <x v="147"/>
    <x v="147"/>
    <x v="145"/>
    <x v="219"/>
    <x v="3"/>
    <x v="2"/>
    <x v="152"/>
    <x v="65"/>
    <x v="2"/>
    <x v="0"/>
    <x v="2"/>
    <x v="0"/>
    <x v="1"/>
    <x v="3"/>
    <x v="3"/>
    <x v="2"/>
    <x v="1"/>
    <x v="2"/>
    <x v="2"/>
    <x v="1"/>
    <x v="58"/>
    <x v="1"/>
    <x v="6"/>
    <x v="2"/>
    <x v="146"/>
    <x v="7"/>
    <x v="3"/>
    <x v="0"/>
    <x v="1"/>
    <x v="0"/>
    <x v="165"/>
    <x v="82"/>
    <x v="78"/>
  </r>
  <r>
    <x v="269"/>
    <x v="46"/>
    <x v="45"/>
    <x v="45"/>
    <x v="0"/>
    <x v="1"/>
    <x v="2"/>
    <x v="48"/>
    <x v="48"/>
    <x v="1"/>
    <x v="3"/>
    <x v="0"/>
    <x v="0"/>
    <x v="3"/>
    <x v="1"/>
    <x v="1"/>
    <x v="2"/>
    <x v="1"/>
    <x v="3"/>
    <x v="1"/>
    <x v="1"/>
    <x v="56"/>
    <x v="2"/>
    <x v="3"/>
    <x v="4"/>
    <x v="45"/>
    <x v="1"/>
    <x v="1"/>
    <x v="1"/>
    <x v="1"/>
    <x v="0"/>
    <x v="166"/>
    <x v="83"/>
    <x v="79"/>
  </r>
  <r>
    <x v="270"/>
    <x v="125"/>
    <x v="125"/>
    <x v="123"/>
    <x v="0"/>
    <x v="3"/>
    <x v="2"/>
    <x v="130"/>
    <x v="56"/>
    <x v="6"/>
    <x v="0"/>
    <x v="0"/>
    <x v="6"/>
    <x v="3"/>
    <x v="4"/>
    <x v="1"/>
    <x v="2"/>
    <x v="2"/>
    <x v="3"/>
    <x v="1"/>
    <x v="2"/>
    <x v="0"/>
    <x v="2"/>
    <x v="3"/>
    <x v="4"/>
    <x v="124"/>
    <x v="1"/>
    <x v="0"/>
    <x v="0"/>
    <x v="1"/>
    <x v="0"/>
    <x v="0"/>
    <x v="0"/>
    <x v="0"/>
  </r>
  <r>
    <x v="271"/>
    <x v="134"/>
    <x v="134"/>
    <x v="132"/>
    <x v="220"/>
    <x v="1"/>
    <x v="2"/>
    <x v="138"/>
    <x v="71"/>
    <x v="6"/>
    <x v="0"/>
    <x v="0"/>
    <x v="7"/>
    <x v="1"/>
    <x v="1"/>
    <x v="2"/>
    <x v="2"/>
    <x v="2"/>
    <x v="3"/>
    <x v="1"/>
    <x v="2"/>
    <x v="0"/>
    <x v="1"/>
    <x v="4"/>
    <x v="2"/>
    <x v="133"/>
    <x v="7"/>
    <x v="0"/>
    <x v="0"/>
    <x v="1"/>
    <x v="0"/>
    <x v="0"/>
    <x v="0"/>
    <x v="0"/>
  </r>
  <r>
    <x v="272"/>
    <x v="84"/>
    <x v="83"/>
    <x v="82"/>
    <x v="221"/>
    <x v="1"/>
    <x v="4"/>
    <x v="87"/>
    <x v="80"/>
    <x v="1"/>
    <x v="31"/>
    <x v="0"/>
    <x v="0"/>
    <x v="1"/>
    <x v="1"/>
    <x v="1"/>
    <x v="2"/>
    <x v="2"/>
    <x v="3"/>
    <x v="1"/>
    <x v="2"/>
    <x v="0"/>
    <x v="1"/>
    <x v="3"/>
    <x v="2"/>
    <x v="83"/>
    <x v="7"/>
    <x v="0"/>
    <x v="0"/>
    <x v="1"/>
    <x v="0"/>
    <x v="0"/>
    <x v="0"/>
    <x v="0"/>
  </r>
  <r>
    <x v="273"/>
    <x v="48"/>
    <x v="37"/>
    <x v="37"/>
    <x v="222"/>
    <x v="3"/>
    <x v="2"/>
    <x v="40"/>
    <x v="41"/>
    <x v="1"/>
    <x v="69"/>
    <x v="0"/>
    <x v="0"/>
    <x v="1"/>
    <x v="3"/>
    <x v="3"/>
    <x v="2"/>
    <x v="1"/>
    <x v="2"/>
    <x v="1"/>
    <x v="1"/>
    <x v="56"/>
    <x v="1"/>
    <x v="5"/>
    <x v="2"/>
    <x v="37"/>
    <x v="7"/>
    <x v="3"/>
    <x v="0"/>
    <x v="1"/>
    <x v="0"/>
    <x v="167"/>
    <x v="83"/>
    <x v="80"/>
  </r>
  <r>
    <x v="274"/>
    <x v="148"/>
    <x v="148"/>
    <x v="146"/>
    <x v="223"/>
    <x v="1"/>
    <x v="2"/>
    <x v="153"/>
    <x v="129"/>
    <x v="1"/>
    <x v="70"/>
    <x v="0"/>
    <x v="0"/>
    <x v="1"/>
    <x v="5"/>
    <x v="1"/>
    <x v="1"/>
    <x v="1"/>
    <x v="3"/>
    <x v="1"/>
    <x v="1"/>
    <x v="59"/>
    <x v="1"/>
    <x v="1"/>
    <x v="2"/>
    <x v="147"/>
    <x v="5"/>
    <x v="1"/>
    <x v="1"/>
    <x v="1"/>
    <x v="0"/>
    <x v="168"/>
    <x v="0"/>
    <x v="0"/>
  </r>
  <r>
    <x v="275"/>
    <x v="149"/>
    <x v="149"/>
    <x v="147"/>
    <x v="224"/>
    <x v="3"/>
    <x v="2"/>
    <x v="154"/>
    <x v="119"/>
    <x v="1"/>
    <x v="71"/>
    <x v="0"/>
    <x v="0"/>
    <x v="1"/>
    <x v="2"/>
    <x v="3"/>
    <x v="2"/>
    <x v="1"/>
    <x v="2"/>
    <x v="1"/>
    <x v="1"/>
    <x v="59"/>
    <x v="1"/>
    <x v="1"/>
    <x v="2"/>
    <x v="148"/>
    <x v="5"/>
    <x v="1"/>
    <x v="4"/>
    <x v="2"/>
    <x v="1"/>
    <x v="169"/>
    <x v="84"/>
    <x v="0"/>
  </r>
  <r>
    <x v="276"/>
    <x v="150"/>
    <x v="150"/>
    <x v="148"/>
    <x v="225"/>
    <x v="1"/>
    <x v="2"/>
    <x v="155"/>
    <x v="130"/>
    <x v="1"/>
    <x v="3"/>
    <x v="0"/>
    <x v="0"/>
    <x v="1"/>
    <x v="1"/>
    <x v="1"/>
    <x v="2"/>
    <x v="1"/>
    <x v="2"/>
    <x v="1"/>
    <x v="1"/>
    <x v="60"/>
    <x v="1"/>
    <x v="1"/>
    <x v="2"/>
    <x v="149"/>
    <x v="5"/>
    <x v="1"/>
    <x v="7"/>
    <x v="2"/>
    <x v="1"/>
    <x v="170"/>
    <x v="0"/>
    <x v="81"/>
  </r>
  <r>
    <x v="277"/>
    <x v="151"/>
    <x v="151"/>
    <x v="149"/>
    <x v="226"/>
    <x v="1"/>
    <x v="1"/>
    <x v="156"/>
    <x v="131"/>
    <x v="1"/>
    <x v="9"/>
    <x v="0"/>
    <x v="0"/>
    <x v="1"/>
    <x v="1"/>
    <x v="1"/>
    <x v="2"/>
    <x v="1"/>
    <x v="2"/>
    <x v="1"/>
    <x v="2"/>
    <x v="0"/>
    <x v="1"/>
    <x v="1"/>
    <x v="5"/>
    <x v="150"/>
    <x v="4"/>
    <x v="0"/>
    <x v="0"/>
    <x v="1"/>
    <x v="0"/>
    <x v="0"/>
    <x v="0"/>
    <x v="0"/>
  </r>
  <r>
    <x v="278"/>
    <x v="152"/>
    <x v="152"/>
    <x v="150"/>
    <x v="227"/>
    <x v="3"/>
    <x v="2"/>
    <x v="157"/>
    <x v="132"/>
    <x v="1"/>
    <x v="31"/>
    <x v="0"/>
    <x v="0"/>
    <x v="1"/>
    <x v="1"/>
    <x v="1"/>
    <x v="2"/>
    <x v="2"/>
    <x v="1"/>
    <x v="1"/>
    <x v="2"/>
    <x v="0"/>
    <x v="1"/>
    <x v="1"/>
    <x v="5"/>
    <x v="151"/>
    <x v="4"/>
    <x v="0"/>
    <x v="0"/>
    <x v="1"/>
    <x v="0"/>
    <x v="0"/>
    <x v="0"/>
    <x v="0"/>
  </r>
  <r>
    <x v="279"/>
    <x v="151"/>
    <x v="151"/>
    <x v="149"/>
    <x v="228"/>
    <x v="1"/>
    <x v="1"/>
    <x v="156"/>
    <x v="131"/>
    <x v="1"/>
    <x v="9"/>
    <x v="0"/>
    <x v="0"/>
    <x v="1"/>
    <x v="3"/>
    <x v="2"/>
    <x v="2"/>
    <x v="1"/>
    <x v="2"/>
    <x v="1"/>
    <x v="1"/>
    <x v="60"/>
    <x v="1"/>
    <x v="2"/>
    <x v="2"/>
    <x v="150"/>
    <x v="5"/>
    <x v="3"/>
    <x v="0"/>
    <x v="1"/>
    <x v="0"/>
    <x v="171"/>
    <x v="0"/>
    <x v="0"/>
  </r>
  <r>
    <x v="280"/>
    <x v="143"/>
    <x v="143"/>
    <x v="141"/>
    <x v="0"/>
    <x v="1"/>
    <x v="1"/>
    <x v="147"/>
    <x v="70"/>
    <x v="1"/>
    <x v="4"/>
    <x v="0"/>
    <x v="0"/>
    <x v="3"/>
    <x v="1"/>
    <x v="1"/>
    <x v="2"/>
    <x v="1"/>
    <x v="2"/>
    <x v="1"/>
    <x v="2"/>
    <x v="0"/>
    <x v="2"/>
    <x v="3"/>
    <x v="4"/>
    <x v="142"/>
    <x v="5"/>
    <x v="0"/>
    <x v="0"/>
    <x v="1"/>
    <x v="0"/>
    <x v="0"/>
    <x v="0"/>
    <x v="0"/>
  </r>
  <r>
    <x v="281"/>
    <x v="52"/>
    <x v="51"/>
    <x v="50"/>
    <x v="229"/>
    <x v="1"/>
    <x v="1"/>
    <x v="54"/>
    <x v="133"/>
    <x v="1"/>
    <x v="72"/>
    <x v="0"/>
    <x v="0"/>
    <x v="1"/>
    <x v="2"/>
    <x v="2"/>
    <x v="2"/>
    <x v="1"/>
    <x v="3"/>
    <x v="1"/>
    <x v="2"/>
    <x v="0"/>
    <x v="1"/>
    <x v="1"/>
    <x v="2"/>
    <x v="50"/>
    <x v="4"/>
    <x v="0"/>
    <x v="0"/>
    <x v="1"/>
    <x v="0"/>
    <x v="0"/>
    <x v="0"/>
    <x v="0"/>
  </r>
  <r>
    <x v="282"/>
    <x v="148"/>
    <x v="148"/>
    <x v="146"/>
    <x v="0"/>
    <x v="1"/>
    <x v="2"/>
    <x v="158"/>
    <x v="129"/>
    <x v="1"/>
    <x v="70"/>
    <x v="0"/>
    <x v="0"/>
    <x v="3"/>
    <x v="1"/>
    <x v="1"/>
    <x v="1"/>
    <x v="1"/>
    <x v="2"/>
    <x v="1"/>
    <x v="2"/>
    <x v="0"/>
    <x v="2"/>
    <x v="3"/>
    <x v="4"/>
    <x v="147"/>
    <x v="5"/>
    <x v="0"/>
    <x v="0"/>
    <x v="1"/>
    <x v="0"/>
    <x v="0"/>
    <x v="0"/>
    <x v="0"/>
  </r>
  <r>
    <x v="283"/>
    <x v="153"/>
    <x v="153"/>
    <x v="151"/>
    <x v="230"/>
    <x v="1"/>
    <x v="2"/>
    <x v="159"/>
    <x v="134"/>
    <x v="1"/>
    <x v="73"/>
    <x v="0"/>
    <x v="0"/>
    <x v="1"/>
    <x v="1"/>
    <x v="3"/>
    <x v="2"/>
    <x v="1"/>
    <x v="2"/>
    <x v="1"/>
    <x v="1"/>
    <x v="61"/>
    <x v="1"/>
    <x v="1"/>
    <x v="2"/>
    <x v="152"/>
    <x v="4"/>
    <x v="3"/>
    <x v="0"/>
    <x v="1"/>
    <x v="0"/>
    <x v="172"/>
    <x v="85"/>
    <x v="0"/>
  </r>
  <r>
    <x v="284"/>
    <x v="110"/>
    <x v="109"/>
    <x v="108"/>
    <x v="231"/>
    <x v="1"/>
    <x v="2"/>
    <x v="115"/>
    <x v="108"/>
    <x v="1"/>
    <x v="15"/>
    <x v="0"/>
    <x v="0"/>
    <x v="1"/>
    <x v="3"/>
    <x v="3"/>
    <x v="2"/>
    <x v="2"/>
    <x v="2"/>
    <x v="1"/>
    <x v="1"/>
    <x v="60"/>
    <x v="1"/>
    <x v="1"/>
    <x v="2"/>
    <x v="109"/>
    <x v="5"/>
    <x v="1"/>
    <x v="1"/>
    <x v="1"/>
    <x v="0"/>
    <x v="173"/>
    <x v="0"/>
    <x v="82"/>
  </r>
  <r>
    <x v="285"/>
    <x v="46"/>
    <x v="45"/>
    <x v="45"/>
    <x v="0"/>
    <x v="1"/>
    <x v="2"/>
    <x v="48"/>
    <x v="48"/>
    <x v="1"/>
    <x v="3"/>
    <x v="0"/>
    <x v="0"/>
    <x v="3"/>
    <x v="1"/>
    <x v="1"/>
    <x v="2"/>
    <x v="1"/>
    <x v="2"/>
    <x v="1"/>
    <x v="2"/>
    <x v="0"/>
    <x v="2"/>
    <x v="3"/>
    <x v="4"/>
    <x v="45"/>
    <x v="5"/>
    <x v="0"/>
    <x v="0"/>
    <x v="1"/>
    <x v="0"/>
    <x v="0"/>
    <x v="0"/>
    <x v="0"/>
  </r>
  <r>
    <x v="286"/>
    <x v="154"/>
    <x v="154"/>
    <x v="152"/>
    <x v="232"/>
    <x v="1"/>
    <x v="3"/>
    <x v="160"/>
    <x v="114"/>
    <x v="1"/>
    <x v="15"/>
    <x v="0"/>
    <x v="0"/>
    <x v="1"/>
    <x v="1"/>
    <x v="1"/>
    <x v="2"/>
    <x v="1"/>
    <x v="2"/>
    <x v="1"/>
    <x v="2"/>
    <x v="0"/>
    <x v="1"/>
    <x v="1"/>
    <x v="2"/>
    <x v="153"/>
    <x v="5"/>
    <x v="0"/>
    <x v="0"/>
    <x v="1"/>
    <x v="0"/>
    <x v="0"/>
    <x v="0"/>
    <x v="83"/>
  </r>
  <r>
    <x v="287"/>
    <x v="149"/>
    <x v="149"/>
    <x v="147"/>
    <x v="233"/>
    <x v="3"/>
    <x v="2"/>
    <x v="154"/>
    <x v="119"/>
    <x v="1"/>
    <x v="71"/>
    <x v="0"/>
    <x v="0"/>
    <x v="3"/>
    <x v="1"/>
    <x v="1"/>
    <x v="2"/>
    <x v="1"/>
    <x v="2"/>
    <x v="1"/>
    <x v="2"/>
    <x v="0"/>
    <x v="1"/>
    <x v="3"/>
    <x v="4"/>
    <x v="148"/>
    <x v="1"/>
    <x v="0"/>
    <x v="0"/>
    <x v="1"/>
    <x v="0"/>
    <x v="0"/>
    <x v="0"/>
    <x v="0"/>
  </r>
  <r>
    <x v="288"/>
    <x v="152"/>
    <x v="152"/>
    <x v="150"/>
    <x v="234"/>
    <x v="3"/>
    <x v="2"/>
    <x v="157"/>
    <x v="114"/>
    <x v="1"/>
    <x v="74"/>
    <x v="0"/>
    <x v="0"/>
    <x v="1"/>
    <x v="1"/>
    <x v="2"/>
    <x v="2"/>
    <x v="2"/>
    <x v="2"/>
    <x v="2"/>
    <x v="2"/>
    <x v="0"/>
    <x v="1"/>
    <x v="5"/>
    <x v="2"/>
    <x v="151"/>
    <x v="5"/>
    <x v="0"/>
    <x v="0"/>
    <x v="1"/>
    <x v="0"/>
    <x v="0"/>
    <x v="86"/>
    <x v="84"/>
  </r>
  <r>
    <x v="289"/>
    <x v="150"/>
    <x v="150"/>
    <x v="148"/>
    <x v="235"/>
    <x v="1"/>
    <x v="2"/>
    <x v="155"/>
    <x v="130"/>
    <x v="1"/>
    <x v="3"/>
    <x v="0"/>
    <x v="0"/>
    <x v="3"/>
    <x v="1"/>
    <x v="1"/>
    <x v="2"/>
    <x v="1"/>
    <x v="3"/>
    <x v="1"/>
    <x v="1"/>
    <x v="62"/>
    <x v="1"/>
    <x v="3"/>
    <x v="4"/>
    <x v="149"/>
    <x v="7"/>
    <x v="1"/>
    <x v="4"/>
    <x v="2"/>
    <x v="1"/>
    <x v="0"/>
    <x v="87"/>
    <x v="85"/>
  </r>
  <r>
    <x v="290"/>
    <x v="155"/>
    <x v="155"/>
    <x v="153"/>
    <x v="236"/>
    <x v="1"/>
    <x v="1"/>
    <x v="161"/>
    <x v="135"/>
    <x v="1"/>
    <x v="75"/>
    <x v="0"/>
    <x v="0"/>
    <x v="1"/>
    <x v="1"/>
    <x v="1"/>
    <x v="2"/>
    <x v="1"/>
    <x v="2"/>
    <x v="1"/>
    <x v="2"/>
    <x v="0"/>
    <x v="1"/>
    <x v="1"/>
    <x v="2"/>
    <x v="154"/>
    <x v="5"/>
    <x v="0"/>
    <x v="0"/>
    <x v="1"/>
    <x v="0"/>
    <x v="0"/>
    <x v="0"/>
    <x v="0"/>
  </r>
  <r>
    <x v="291"/>
    <x v="156"/>
    <x v="156"/>
    <x v="154"/>
    <x v="237"/>
    <x v="1"/>
    <x v="1"/>
    <x v="162"/>
    <x v="35"/>
    <x v="1"/>
    <x v="4"/>
    <x v="0"/>
    <x v="0"/>
    <x v="1"/>
    <x v="2"/>
    <x v="3"/>
    <x v="2"/>
    <x v="1"/>
    <x v="2"/>
    <x v="1"/>
    <x v="1"/>
    <x v="61"/>
    <x v="1"/>
    <x v="1"/>
    <x v="2"/>
    <x v="155"/>
    <x v="5"/>
    <x v="1"/>
    <x v="7"/>
    <x v="1"/>
    <x v="0"/>
    <x v="174"/>
    <x v="0"/>
    <x v="0"/>
  </r>
  <r>
    <x v="292"/>
    <x v="110"/>
    <x v="109"/>
    <x v="108"/>
    <x v="0"/>
    <x v="1"/>
    <x v="2"/>
    <x v="115"/>
    <x v="136"/>
    <x v="1"/>
    <x v="15"/>
    <x v="0"/>
    <x v="0"/>
    <x v="3"/>
    <x v="4"/>
    <x v="1"/>
    <x v="2"/>
    <x v="2"/>
    <x v="2"/>
    <x v="1"/>
    <x v="2"/>
    <x v="0"/>
    <x v="2"/>
    <x v="3"/>
    <x v="4"/>
    <x v="109"/>
    <x v="5"/>
    <x v="0"/>
    <x v="0"/>
    <x v="1"/>
    <x v="0"/>
    <x v="0"/>
    <x v="0"/>
    <x v="0"/>
  </r>
  <r>
    <x v="293"/>
    <x v="69"/>
    <x v="68"/>
    <x v="67"/>
    <x v="238"/>
    <x v="3"/>
    <x v="2"/>
    <x v="72"/>
    <x v="68"/>
    <x v="1"/>
    <x v="4"/>
    <x v="0"/>
    <x v="0"/>
    <x v="1"/>
    <x v="3"/>
    <x v="2"/>
    <x v="2"/>
    <x v="1"/>
    <x v="3"/>
    <x v="1"/>
    <x v="1"/>
    <x v="61"/>
    <x v="1"/>
    <x v="1"/>
    <x v="2"/>
    <x v="67"/>
    <x v="1"/>
    <x v="3"/>
    <x v="11"/>
    <x v="1"/>
    <x v="0"/>
    <x v="175"/>
    <x v="88"/>
    <x v="0"/>
  </r>
  <r>
    <x v="294"/>
    <x v="52"/>
    <x v="51"/>
    <x v="50"/>
    <x v="239"/>
    <x v="1"/>
    <x v="1"/>
    <x v="54"/>
    <x v="54"/>
    <x v="1"/>
    <x v="76"/>
    <x v="0"/>
    <x v="0"/>
    <x v="1"/>
    <x v="3"/>
    <x v="3"/>
    <x v="2"/>
    <x v="1"/>
    <x v="2"/>
    <x v="1"/>
    <x v="1"/>
    <x v="61"/>
    <x v="1"/>
    <x v="5"/>
    <x v="2"/>
    <x v="50"/>
    <x v="7"/>
    <x v="1"/>
    <x v="4"/>
    <x v="2"/>
    <x v="1"/>
    <x v="176"/>
    <x v="89"/>
    <x v="86"/>
  </r>
  <r>
    <x v="295"/>
    <x v="156"/>
    <x v="156"/>
    <x v="154"/>
    <x v="237"/>
    <x v="1"/>
    <x v="1"/>
    <x v="162"/>
    <x v="35"/>
    <x v="1"/>
    <x v="4"/>
    <x v="0"/>
    <x v="0"/>
    <x v="3"/>
    <x v="4"/>
    <x v="1"/>
    <x v="2"/>
    <x v="1"/>
    <x v="2"/>
    <x v="1"/>
    <x v="2"/>
    <x v="0"/>
    <x v="2"/>
    <x v="3"/>
    <x v="4"/>
    <x v="155"/>
    <x v="7"/>
    <x v="0"/>
    <x v="0"/>
    <x v="1"/>
    <x v="0"/>
    <x v="0"/>
    <x v="0"/>
    <x v="0"/>
  </r>
  <r>
    <x v="296"/>
    <x v="52"/>
    <x v="51"/>
    <x v="50"/>
    <x v="240"/>
    <x v="1"/>
    <x v="2"/>
    <x v="54"/>
    <x v="54"/>
    <x v="1"/>
    <x v="72"/>
    <x v="0"/>
    <x v="0"/>
    <x v="3"/>
    <x v="1"/>
    <x v="1"/>
    <x v="2"/>
    <x v="1"/>
    <x v="3"/>
    <x v="1"/>
    <x v="2"/>
    <x v="0"/>
    <x v="1"/>
    <x v="3"/>
    <x v="4"/>
    <x v="50"/>
    <x v="1"/>
    <x v="0"/>
    <x v="0"/>
    <x v="1"/>
    <x v="0"/>
    <x v="0"/>
    <x v="0"/>
    <x v="0"/>
  </r>
  <r>
    <x v="297"/>
    <x v="157"/>
    <x v="157"/>
    <x v="155"/>
    <x v="241"/>
    <x v="3"/>
    <x v="4"/>
    <x v="163"/>
    <x v="30"/>
    <x v="1"/>
    <x v="15"/>
    <x v="0"/>
    <x v="0"/>
    <x v="1"/>
    <x v="1"/>
    <x v="1"/>
    <x v="1"/>
    <x v="1"/>
    <x v="2"/>
    <x v="1"/>
    <x v="1"/>
    <x v="63"/>
    <x v="1"/>
    <x v="1"/>
    <x v="2"/>
    <x v="156"/>
    <x v="7"/>
    <x v="1"/>
    <x v="1"/>
    <x v="1"/>
    <x v="0"/>
    <x v="177"/>
    <x v="0"/>
    <x v="87"/>
  </r>
  <r>
    <x v="298"/>
    <x v="158"/>
    <x v="158"/>
    <x v="156"/>
    <x v="242"/>
    <x v="1"/>
    <x v="2"/>
    <x v="164"/>
    <x v="137"/>
    <x v="1"/>
    <x v="31"/>
    <x v="0"/>
    <x v="0"/>
    <x v="1"/>
    <x v="1"/>
    <x v="1"/>
    <x v="2"/>
    <x v="1"/>
    <x v="2"/>
    <x v="2"/>
    <x v="1"/>
    <x v="63"/>
    <x v="1"/>
    <x v="6"/>
    <x v="2"/>
    <x v="157"/>
    <x v="5"/>
    <x v="1"/>
    <x v="8"/>
    <x v="2"/>
    <x v="1"/>
    <x v="178"/>
    <x v="0"/>
    <x v="88"/>
  </r>
  <r>
    <x v="299"/>
    <x v="157"/>
    <x v="157"/>
    <x v="155"/>
    <x v="0"/>
    <x v="3"/>
    <x v="4"/>
    <x v="163"/>
    <x v="30"/>
    <x v="1"/>
    <x v="15"/>
    <x v="0"/>
    <x v="0"/>
    <x v="3"/>
    <x v="3"/>
    <x v="3"/>
    <x v="2"/>
    <x v="1"/>
    <x v="2"/>
    <x v="1"/>
    <x v="1"/>
    <x v="62"/>
    <x v="2"/>
    <x v="3"/>
    <x v="4"/>
    <x v="156"/>
    <x v="5"/>
    <x v="3"/>
    <x v="0"/>
    <x v="1"/>
    <x v="0"/>
    <x v="179"/>
    <x v="0"/>
    <x v="0"/>
  </r>
  <r>
    <x v="300"/>
    <x v="158"/>
    <x v="158"/>
    <x v="156"/>
    <x v="243"/>
    <x v="1"/>
    <x v="2"/>
    <x v="164"/>
    <x v="137"/>
    <x v="1"/>
    <x v="31"/>
    <x v="0"/>
    <x v="0"/>
    <x v="3"/>
    <x v="1"/>
    <x v="1"/>
    <x v="2"/>
    <x v="1"/>
    <x v="2"/>
    <x v="2"/>
    <x v="2"/>
    <x v="0"/>
    <x v="1"/>
    <x v="3"/>
    <x v="4"/>
    <x v="157"/>
    <x v="8"/>
    <x v="0"/>
    <x v="0"/>
    <x v="1"/>
    <x v="0"/>
    <x v="0"/>
    <x v="0"/>
    <x v="0"/>
  </r>
  <r>
    <x v="301"/>
    <x v="46"/>
    <x v="45"/>
    <x v="45"/>
    <x v="244"/>
    <x v="1"/>
    <x v="2"/>
    <x v="48"/>
    <x v="48"/>
    <x v="1"/>
    <x v="70"/>
    <x v="0"/>
    <x v="0"/>
    <x v="1"/>
    <x v="1"/>
    <x v="1"/>
    <x v="2"/>
    <x v="1"/>
    <x v="2"/>
    <x v="1"/>
    <x v="2"/>
    <x v="0"/>
    <x v="1"/>
    <x v="6"/>
    <x v="2"/>
    <x v="45"/>
    <x v="8"/>
    <x v="0"/>
    <x v="0"/>
    <x v="1"/>
    <x v="0"/>
    <x v="0"/>
    <x v="0"/>
    <x v="89"/>
  </r>
  <r>
    <x v="302"/>
    <x v="150"/>
    <x v="150"/>
    <x v="148"/>
    <x v="245"/>
    <x v="1"/>
    <x v="2"/>
    <x v="155"/>
    <x v="130"/>
    <x v="1"/>
    <x v="3"/>
    <x v="0"/>
    <x v="0"/>
    <x v="3"/>
    <x v="1"/>
    <x v="1"/>
    <x v="2"/>
    <x v="1"/>
    <x v="3"/>
    <x v="1"/>
    <x v="2"/>
    <x v="0"/>
    <x v="1"/>
    <x v="3"/>
    <x v="4"/>
    <x v="149"/>
    <x v="1"/>
    <x v="0"/>
    <x v="0"/>
    <x v="1"/>
    <x v="0"/>
    <x v="0"/>
    <x v="0"/>
    <x v="0"/>
  </r>
  <r>
    <x v="303"/>
    <x v="159"/>
    <x v="159"/>
    <x v="157"/>
    <x v="246"/>
    <x v="1"/>
    <x v="2"/>
    <x v="165"/>
    <x v="95"/>
    <x v="1"/>
    <x v="77"/>
    <x v="0"/>
    <x v="0"/>
    <x v="1"/>
    <x v="1"/>
    <x v="1"/>
    <x v="2"/>
    <x v="1"/>
    <x v="2"/>
    <x v="1"/>
    <x v="2"/>
    <x v="0"/>
    <x v="1"/>
    <x v="4"/>
    <x v="2"/>
    <x v="158"/>
    <x v="7"/>
    <x v="0"/>
    <x v="0"/>
    <x v="1"/>
    <x v="0"/>
    <x v="0"/>
    <x v="0"/>
    <x v="0"/>
  </r>
  <r>
    <x v="304"/>
    <x v="160"/>
    <x v="160"/>
    <x v="158"/>
    <x v="247"/>
    <x v="1"/>
    <x v="1"/>
    <x v="166"/>
    <x v="138"/>
    <x v="1"/>
    <x v="78"/>
    <x v="0"/>
    <x v="0"/>
    <x v="1"/>
    <x v="5"/>
    <x v="1"/>
    <x v="2"/>
    <x v="1"/>
    <x v="3"/>
    <x v="2"/>
    <x v="1"/>
    <x v="64"/>
    <x v="1"/>
    <x v="1"/>
    <x v="13"/>
    <x v="159"/>
    <x v="4"/>
    <x v="1"/>
    <x v="1"/>
    <x v="1"/>
    <x v="0"/>
    <x v="180"/>
    <x v="0"/>
    <x v="90"/>
  </r>
  <r>
    <x v="305"/>
    <x v="161"/>
    <x v="161"/>
    <x v="159"/>
    <x v="248"/>
    <x v="3"/>
    <x v="2"/>
    <x v="167"/>
    <x v="139"/>
    <x v="1"/>
    <x v="22"/>
    <x v="0"/>
    <x v="0"/>
    <x v="1"/>
    <x v="1"/>
    <x v="3"/>
    <x v="2"/>
    <x v="1"/>
    <x v="2"/>
    <x v="1"/>
    <x v="1"/>
    <x v="65"/>
    <x v="1"/>
    <x v="1"/>
    <x v="2"/>
    <x v="160"/>
    <x v="4"/>
    <x v="1"/>
    <x v="4"/>
    <x v="1"/>
    <x v="0"/>
    <x v="181"/>
    <x v="0"/>
    <x v="91"/>
  </r>
  <r>
    <x v="306"/>
    <x v="162"/>
    <x v="162"/>
    <x v="160"/>
    <x v="249"/>
    <x v="1"/>
    <x v="2"/>
    <x v="168"/>
    <x v="140"/>
    <x v="1"/>
    <x v="15"/>
    <x v="0"/>
    <x v="0"/>
    <x v="1"/>
    <x v="1"/>
    <x v="2"/>
    <x v="2"/>
    <x v="1"/>
    <x v="2"/>
    <x v="1"/>
    <x v="1"/>
    <x v="65"/>
    <x v="1"/>
    <x v="1"/>
    <x v="2"/>
    <x v="161"/>
    <x v="4"/>
    <x v="1"/>
    <x v="4"/>
    <x v="2"/>
    <x v="1"/>
    <x v="182"/>
    <x v="0"/>
    <x v="92"/>
  </r>
  <r>
    <x v="307"/>
    <x v="163"/>
    <x v="163"/>
    <x v="161"/>
    <x v="250"/>
    <x v="1"/>
    <x v="2"/>
    <x v="169"/>
    <x v="141"/>
    <x v="2"/>
    <x v="0"/>
    <x v="6"/>
    <x v="0"/>
    <x v="1"/>
    <x v="2"/>
    <x v="3"/>
    <x v="2"/>
    <x v="1"/>
    <x v="2"/>
    <x v="1"/>
    <x v="1"/>
    <x v="65"/>
    <x v="1"/>
    <x v="1"/>
    <x v="2"/>
    <x v="162"/>
    <x v="1"/>
    <x v="1"/>
    <x v="4"/>
    <x v="2"/>
    <x v="1"/>
    <x v="183"/>
    <x v="90"/>
    <x v="93"/>
  </r>
  <r>
    <x v="308"/>
    <x v="164"/>
    <x v="164"/>
    <x v="162"/>
    <x v="251"/>
    <x v="1"/>
    <x v="2"/>
    <x v="170"/>
    <x v="142"/>
    <x v="1"/>
    <x v="79"/>
    <x v="0"/>
    <x v="0"/>
    <x v="1"/>
    <x v="1"/>
    <x v="1"/>
    <x v="2"/>
    <x v="1"/>
    <x v="2"/>
    <x v="1"/>
    <x v="1"/>
    <x v="65"/>
    <x v="1"/>
    <x v="1"/>
    <x v="2"/>
    <x v="163"/>
    <x v="3"/>
    <x v="1"/>
    <x v="3"/>
    <x v="2"/>
    <x v="1"/>
    <x v="184"/>
    <x v="0"/>
    <x v="94"/>
  </r>
  <r>
    <x v="309"/>
    <x v="161"/>
    <x v="161"/>
    <x v="159"/>
    <x v="0"/>
    <x v="3"/>
    <x v="2"/>
    <x v="167"/>
    <x v="143"/>
    <x v="2"/>
    <x v="0"/>
    <x v="5"/>
    <x v="0"/>
    <x v="3"/>
    <x v="4"/>
    <x v="1"/>
    <x v="2"/>
    <x v="1"/>
    <x v="2"/>
    <x v="1"/>
    <x v="2"/>
    <x v="0"/>
    <x v="2"/>
    <x v="3"/>
    <x v="4"/>
    <x v="160"/>
    <x v="1"/>
    <x v="0"/>
    <x v="0"/>
    <x v="1"/>
    <x v="0"/>
    <x v="0"/>
    <x v="0"/>
    <x v="0"/>
  </r>
  <r>
    <x v="310"/>
    <x v="162"/>
    <x v="162"/>
    <x v="160"/>
    <x v="252"/>
    <x v="1"/>
    <x v="2"/>
    <x v="171"/>
    <x v="140"/>
    <x v="1"/>
    <x v="22"/>
    <x v="0"/>
    <x v="0"/>
    <x v="3"/>
    <x v="1"/>
    <x v="1"/>
    <x v="2"/>
    <x v="1"/>
    <x v="2"/>
    <x v="1"/>
    <x v="1"/>
    <x v="66"/>
    <x v="1"/>
    <x v="3"/>
    <x v="4"/>
    <x v="161"/>
    <x v="1"/>
    <x v="1"/>
    <x v="4"/>
    <x v="2"/>
    <x v="1"/>
    <x v="185"/>
    <x v="91"/>
    <x v="95"/>
  </r>
  <r>
    <x v="311"/>
    <x v="162"/>
    <x v="162"/>
    <x v="160"/>
    <x v="249"/>
    <x v="1"/>
    <x v="2"/>
    <x v="168"/>
    <x v="140"/>
    <x v="1"/>
    <x v="22"/>
    <x v="0"/>
    <x v="0"/>
    <x v="1"/>
    <x v="1"/>
    <x v="2"/>
    <x v="2"/>
    <x v="1"/>
    <x v="3"/>
    <x v="1"/>
    <x v="2"/>
    <x v="0"/>
    <x v="1"/>
    <x v="1"/>
    <x v="2"/>
    <x v="161"/>
    <x v="1"/>
    <x v="0"/>
    <x v="0"/>
    <x v="1"/>
    <x v="0"/>
    <x v="0"/>
    <x v="0"/>
    <x v="96"/>
  </r>
  <r>
    <x v="312"/>
    <x v="165"/>
    <x v="165"/>
    <x v="163"/>
    <x v="253"/>
    <x v="2"/>
    <x v="1"/>
    <x v="172"/>
    <x v="71"/>
    <x v="1"/>
    <x v="9"/>
    <x v="0"/>
    <x v="0"/>
    <x v="1"/>
    <x v="2"/>
    <x v="3"/>
    <x v="2"/>
    <x v="1"/>
    <x v="1"/>
    <x v="1"/>
    <x v="1"/>
    <x v="64"/>
    <x v="1"/>
    <x v="1"/>
    <x v="2"/>
    <x v="164"/>
    <x v="3"/>
    <x v="1"/>
    <x v="1"/>
    <x v="1"/>
    <x v="0"/>
    <x v="186"/>
    <x v="0"/>
    <x v="97"/>
  </r>
  <r>
    <x v="313"/>
    <x v="163"/>
    <x v="163"/>
    <x v="161"/>
    <x v="254"/>
    <x v="1"/>
    <x v="2"/>
    <x v="169"/>
    <x v="141"/>
    <x v="1"/>
    <x v="15"/>
    <x v="0"/>
    <x v="0"/>
    <x v="3"/>
    <x v="1"/>
    <x v="1"/>
    <x v="2"/>
    <x v="1"/>
    <x v="2"/>
    <x v="1"/>
    <x v="2"/>
    <x v="0"/>
    <x v="1"/>
    <x v="3"/>
    <x v="4"/>
    <x v="162"/>
    <x v="1"/>
    <x v="0"/>
    <x v="0"/>
    <x v="1"/>
    <x v="0"/>
    <x v="0"/>
    <x v="0"/>
    <x v="0"/>
  </r>
  <r>
    <x v="314"/>
    <x v="164"/>
    <x v="164"/>
    <x v="162"/>
    <x v="255"/>
    <x v="1"/>
    <x v="2"/>
    <x v="173"/>
    <x v="144"/>
    <x v="1"/>
    <x v="79"/>
    <x v="0"/>
    <x v="0"/>
    <x v="3"/>
    <x v="1"/>
    <x v="1"/>
    <x v="2"/>
    <x v="1"/>
    <x v="2"/>
    <x v="1"/>
    <x v="2"/>
    <x v="0"/>
    <x v="2"/>
    <x v="3"/>
    <x v="4"/>
    <x v="163"/>
    <x v="3"/>
    <x v="0"/>
    <x v="0"/>
    <x v="1"/>
    <x v="0"/>
    <x v="0"/>
    <x v="0"/>
    <x v="0"/>
  </r>
  <r>
    <x v="315"/>
    <x v="166"/>
    <x v="166"/>
    <x v="164"/>
    <x v="256"/>
    <x v="1"/>
    <x v="2"/>
    <x v="174"/>
    <x v="145"/>
    <x v="1"/>
    <x v="2"/>
    <x v="0"/>
    <x v="0"/>
    <x v="1"/>
    <x v="1"/>
    <x v="1"/>
    <x v="2"/>
    <x v="1"/>
    <x v="1"/>
    <x v="1"/>
    <x v="2"/>
    <x v="0"/>
    <x v="1"/>
    <x v="1"/>
    <x v="5"/>
    <x v="165"/>
    <x v="3"/>
    <x v="0"/>
    <x v="0"/>
    <x v="1"/>
    <x v="0"/>
    <x v="0"/>
    <x v="0"/>
    <x v="0"/>
  </r>
  <r>
    <x v="316"/>
    <x v="78"/>
    <x v="77"/>
    <x v="76"/>
    <x v="257"/>
    <x v="1"/>
    <x v="2"/>
    <x v="81"/>
    <x v="78"/>
    <x v="1"/>
    <x v="2"/>
    <x v="0"/>
    <x v="0"/>
    <x v="1"/>
    <x v="3"/>
    <x v="3"/>
    <x v="2"/>
    <x v="1"/>
    <x v="2"/>
    <x v="1"/>
    <x v="1"/>
    <x v="64"/>
    <x v="1"/>
    <x v="1"/>
    <x v="2"/>
    <x v="76"/>
    <x v="1"/>
    <x v="1"/>
    <x v="4"/>
    <x v="2"/>
    <x v="1"/>
    <x v="187"/>
    <x v="0"/>
    <x v="98"/>
  </r>
  <r>
    <x v="317"/>
    <x v="167"/>
    <x v="167"/>
    <x v="165"/>
    <x v="258"/>
    <x v="1"/>
    <x v="2"/>
    <x v="175"/>
    <x v="10"/>
    <x v="1"/>
    <x v="15"/>
    <x v="0"/>
    <x v="0"/>
    <x v="1"/>
    <x v="3"/>
    <x v="2"/>
    <x v="2"/>
    <x v="1"/>
    <x v="1"/>
    <x v="1"/>
    <x v="1"/>
    <x v="67"/>
    <x v="1"/>
    <x v="1"/>
    <x v="1"/>
    <x v="166"/>
    <x v="1"/>
    <x v="3"/>
    <x v="0"/>
    <x v="1"/>
    <x v="0"/>
    <x v="188"/>
    <x v="92"/>
    <x v="0"/>
  </r>
  <r>
    <x v="318"/>
    <x v="141"/>
    <x v="141"/>
    <x v="139"/>
    <x v="259"/>
    <x v="1"/>
    <x v="1"/>
    <x v="145"/>
    <x v="125"/>
    <x v="1"/>
    <x v="3"/>
    <x v="0"/>
    <x v="0"/>
    <x v="1"/>
    <x v="3"/>
    <x v="2"/>
    <x v="2"/>
    <x v="2"/>
    <x v="2"/>
    <x v="1"/>
    <x v="1"/>
    <x v="66"/>
    <x v="1"/>
    <x v="1"/>
    <x v="2"/>
    <x v="140"/>
    <x v="5"/>
    <x v="1"/>
    <x v="1"/>
    <x v="2"/>
    <x v="1"/>
    <x v="189"/>
    <x v="0"/>
    <x v="0"/>
  </r>
  <r>
    <x v="319"/>
    <x v="165"/>
    <x v="165"/>
    <x v="163"/>
    <x v="0"/>
    <x v="2"/>
    <x v="1"/>
    <x v="172"/>
    <x v="71"/>
    <x v="1"/>
    <x v="9"/>
    <x v="0"/>
    <x v="0"/>
    <x v="3"/>
    <x v="1"/>
    <x v="1"/>
    <x v="1"/>
    <x v="1"/>
    <x v="2"/>
    <x v="1"/>
    <x v="2"/>
    <x v="0"/>
    <x v="2"/>
    <x v="3"/>
    <x v="4"/>
    <x v="164"/>
    <x v="5"/>
    <x v="0"/>
    <x v="0"/>
    <x v="1"/>
    <x v="0"/>
    <x v="0"/>
    <x v="0"/>
    <x v="0"/>
  </r>
  <r>
    <x v="320"/>
    <x v="78"/>
    <x v="77"/>
    <x v="76"/>
    <x v="260"/>
    <x v="1"/>
    <x v="2"/>
    <x v="81"/>
    <x v="30"/>
    <x v="1"/>
    <x v="2"/>
    <x v="0"/>
    <x v="0"/>
    <x v="3"/>
    <x v="3"/>
    <x v="2"/>
    <x v="2"/>
    <x v="1"/>
    <x v="2"/>
    <x v="1"/>
    <x v="1"/>
    <x v="66"/>
    <x v="1"/>
    <x v="3"/>
    <x v="4"/>
    <x v="76"/>
    <x v="1"/>
    <x v="3"/>
    <x v="0"/>
    <x v="1"/>
    <x v="0"/>
    <x v="190"/>
    <x v="0"/>
    <x v="99"/>
  </r>
  <r>
    <x v="321"/>
    <x v="160"/>
    <x v="160"/>
    <x v="158"/>
    <x v="0"/>
    <x v="1"/>
    <x v="1"/>
    <x v="166"/>
    <x v="10"/>
    <x v="1"/>
    <x v="80"/>
    <x v="0"/>
    <x v="0"/>
    <x v="3"/>
    <x v="1"/>
    <x v="2"/>
    <x v="2"/>
    <x v="1"/>
    <x v="1"/>
    <x v="1"/>
    <x v="1"/>
    <x v="67"/>
    <x v="2"/>
    <x v="3"/>
    <x v="4"/>
    <x v="159"/>
    <x v="5"/>
    <x v="1"/>
    <x v="7"/>
    <x v="2"/>
    <x v="1"/>
    <x v="191"/>
    <x v="0"/>
    <x v="0"/>
  </r>
  <r>
    <x v="322"/>
    <x v="168"/>
    <x v="168"/>
    <x v="166"/>
    <x v="261"/>
    <x v="1"/>
    <x v="3"/>
    <x v="176"/>
    <x v="146"/>
    <x v="1"/>
    <x v="3"/>
    <x v="0"/>
    <x v="0"/>
    <x v="1"/>
    <x v="1"/>
    <x v="1"/>
    <x v="2"/>
    <x v="1"/>
    <x v="2"/>
    <x v="1"/>
    <x v="1"/>
    <x v="66"/>
    <x v="1"/>
    <x v="2"/>
    <x v="2"/>
    <x v="167"/>
    <x v="5"/>
    <x v="1"/>
    <x v="2"/>
    <x v="2"/>
    <x v="1"/>
    <x v="192"/>
    <x v="0"/>
    <x v="0"/>
  </r>
  <r>
    <x v="323"/>
    <x v="169"/>
    <x v="169"/>
    <x v="167"/>
    <x v="262"/>
    <x v="1"/>
    <x v="2"/>
    <x v="177"/>
    <x v="147"/>
    <x v="1"/>
    <x v="15"/>
    <x v="0"/>
    <x v="0"/>
    <x v="1"/>
    <x v="1"/>
    <x v="1"/>
    <x v="2"/>
    <x v="1"/>
    <x v="2"/>
    <x v="1"/>
    <x v="2"/>
    <x v="0"/>
    <x v="2"/>
    <x v="2"/>
    <x v="2"/>
    <x v="168"/>
    <x v="5"/>
    <x v="0"/>
    <x v="0"/>
    <x v="1"/>
    <x v="0"/>
    <x v="0"/>
    <x v="0"/>
    <x v="0"/>
  </r>
  <r>
    <x v="324"/>
    <x v="168"/>
    <x v="168"/>
    <x v="166"/>
    <x v="263"/>
    <x v="1"/>
    <x v="3"/>
    <x v="178"/>
    <x v="146"/>
    <x v="1"/>
    <x v="3"/>
    <x v="0"/>
    <x v="0"/>
    <x v="3"/>
    <x v="1"/>
    <x v="1"/>
    <x v="1"/>
    <x v="1"/>
    <x v="2"/>
    <x v="1"/>
    <x v="1"/>
    <x v="68"/>
    <x v="1"/>
    <x v="3"/>
    <x v="4"/>
    <x v="167"/>
    <x v="4"/>
    <x v="3"/>
    <x v="0"/>
    <x v="1"/>
    <x v="0"/>
    <x v="193"/>
    <x v="93"/>
    <x v="0"/>
  </r>
  <r>
    <x v="325"/>
    <x v="141"/>
    <x v="141"/>
    <x v="139"/>
    <x v="264"/>
    <x v="1"/>
    <x v="1"/>
    <x v="145"/>
    <x v="125"/>
    <x v="1"/>
    <x v="3"/>
    <x v="0"/>
    <x v="0"/>
    <x v="3"/>
    <x v="3"/>
    <x v="3"/>
    <x v="2"/>
    <x v="2"/>
    <x v="2"/>
    <x v="1"/>
    <x v="1"/>
    <x v="69"/>
    <x v="1"/>
    <x v="3"/>
    <x v="4"/>
    <x v="140"/>
    <x v="5"/>
    <x v="3"/>
    <x v="0"/>
    <x v="1"/>
    <x v="0"/>
    <x v="194"/>
    <x v="0"/>
    <x v="0"/>
  </r>
  <r>
    <x v="326"/>
    <x v="162"/>
    <x v="162"/>
    <x v="160"/>
    <x v="265"/>
    <x v="1"/>
    <x v="2"/>
    <x v="168"/>
    <x v="33"/>
    <x v="1"/>
    <x v="22"/>
    <x v="0"/>
    <x v="0"/>
    <x v="3"/>
    <x v="1"/>
    <x v="1"/>
    <x v="2"/>
    <x v="1"/>
    <x v="3"/>
    <x v="1"/>
    <x v="1"/>
    <x v="70"/>
    <x v="1"/>
    <x v="3"/>
    <x v="4"/>
    <x v="161"/>
    <x v="1"/>
    <x v="3"/>
    <x v="0"/>
    <x v="1"/>
    <x v="0"/>
    <x v="195"/>
    <x v="94"/>
    <x v="0"/>
  </r>
  <r>
    <x v="327"/>
    <x v="170"/>
    <x v="170"/>
    <x v="168"/>
    <x v="266"/>
    <x v="1"/>
    <x v="2"/>
    <x v="179"/>
    <x v="145"/>
    <x v="1"/>
    <x v="3"/>
    <x v="0"/>
    <x v="0"/>
    <x v="1"/>
    <x v="3"/>
    <x v="2"/>
    <x v="2"/>
    <x v="1"/>
    <x v="1"/>
    <x v="1"/>
    <x v="1"/>
    <x v="69"/>
    <x v="1"/>
    <x v="1"/>
    <x v="2"/>
    <x v="169"/>
    <x v="1"/>
    <x v="3"/>
    <x v="0"/>
    <x v="1"/>
    <x v="0"/>
    <x v="196"/>
    <x v="0"/>
    <x v="100"/>
  </r>
  <r>
    <x v="328"/>
    <x v="171"/>
    <x v="171"/>
    <x v="169"/>
    <x v="267"/>
    <x v="1"/>
    <x v="3"/>
    <x v="180"/>
    <x v="148"/>
    <x v="1"/>
    <x v="81"/>
    <x v="0"/>
    <x v="0"/>
    <x v="1"/>
    <x v="5"/>
    <x v="1"/>
    <x v="2"/>
    <x v="1"/>
    <x v="3"/>
    <x v="1"/>
    <x v="1"/>
    <x v="69"/>
    <x v="2"/>
    <x v="1"/>
    <x v="13"/>
    <x v="170"/>
    <x v="4"/>
    <x v="1"/>
    <x v="1"/>
    <x v="1"/>
    <x v="0"/>
    <x v="197"/>
    <x v="0"/>
    <x v="0"/>
  </r>
  <r>
    <x v="329"/>
    <x v="172"/>
    <x v="172"/>
    <x v="170"/>
    <x v="268"/>
    <x v="1"/>
    <x v="2"/>
    <x v="181"/>
    <x v="37"/>
    <x v="1"/>
    <x v="2"/>
    <x v="0"/>
    <x v="0"/>
    <x v="1"/>
    <x v="1"/>
    <x v="1"/>
    <x v="2"/>
    <x v="1"/>
    <x v="2"/>
    <x v="1"/>
    <x v="1"/>
    <x v="67"/>
    <x v="1"/>
    <x v="5"/>
    <x v="2"/>
    <x v="171"/>
    <x v="5"/>
    <x v="1"/>
    <x v="4"/>
    <x v="1"/>
    <x v="0"/>
    <x v="198"/>
    <x v="0"/>
    <x v="0"/>
  </r>
  <r>
    <x v="330"/>
    <x v="173"/>
    <x v="56"/>
    <x v="55"/>
    <x v="269"/>
    <x v="3"/>
    <x v="2"/>
    <x v="60"/>
    <x v="30"/>
    <x v="1"/>
    <x v="82"/>
    <x v="0"/>
    <x v="0"/>
    <x v="1"/>
    <x v="1"/>
    <x v="1"/>
    <x v="2"/>
    <x v="1"/>
    <x v="2"/>
    <x v="1"/>
    <x v="2"/>
    <x v="0"/>
    <x v="1"/>
    <x v="5"/>
    <x v="2"/>
    <x v="55"/>
    <x v="5"/>
    <x v="0"/>
    <x v="0"/>
    <x v="1"/>
    <x v="0"/>
    <x v="0"/>
    <x v="0"/>
    <x v="0"/>
  </r>
  <r>
    <x v="331"/>
    <x v="172"/>
    <x v="172"/>
    <x v="170"/>
    <x v="0"/>
    <x v="1"/>
    <x v="2"/>
    <x v="182"/>
    <x v="37"/>
    <x v="1"/>
    <x v="2"/>
    <x v="0"/>
    <x v="0"/>
    <x v="3"/>
    <x v="1"/>
    <x v="1"/>
    <x v="2"/>
    <x v="1"/>
    <x v="2"/>
    <x v="1"/>
    <x v="2"/>
    <x v="0"/>
    <x v="2"/>
    <x v="3"/>
    <x v="4"/>
    <x v="171"/>
    <x v="1"/>
    <x v="0"/>
    <x v="0"/>
    <x v="1"/>
    <x v="0"/>
    <x v="0"/>
    <x v="0"/>
    <x v="0"/>
  </r>
  <r>
    <x v="332"/>
    <x v="160"/>
    <x v="160"/>
    <x v="158"/>
    <x v="270"/>
    <x v="1"/>
    <x v="1"/>
    <x v="166"/>
    <x v="149"/>
    <x v="1"/>
    <x v="80"/>
    <x v="0"/>
    <x v="0"/>
    <x v="3"/>
    <x v="1"/>
    <x v="1"/>
    <x v="2"/>
    <x v="1"/>
    <x v="2"/>
    <x v="1"/>
    <x v="2"/>
    <x v="0"/>
    <x v="1"/>
    <x v="3"/>
    <x v="4"/>
    <x v="159"/>
    <x v="7"/>
    <x v="0"/>
    <x v="0"/>
    <x v="1"/>
    <x v="0"/>
    <x v="0"/>
    <x v="0"/>
    <x v="0"/>
  </r>
  <r>
    <x v="333"/>
    <x v="174"/>
    <x v="173"/>
    <x v="171"/>
    <x v="271"/>
    <x v="1"/>
    <x v="1"/>
    <x v="183"/>
    <x v="150"/>
    <x v="1"/>
    <x v="22"/>
    <x v="0"/>
    <x v="0"/>
    <x v="1"/>
    <x v="3"/>
    <x v="3"/>
    <x v="2"/>
    <x v="1"/>
    <x v="1"/>
    <x v="1"/>
    <x v="1"/>
    <x v="69"/>
    <x v="1"/>
    <x v="1"/>
    <x v="2"/>
    <x v="172"/>
    <x v="7"/>
    <x v="1"/>
    <x v="1"/>
    <x v="1"/>
    <x v="0"/>
    <x v="199"/>
    <x v="0"/>
    <x v="101"/>
  </r>
  <r>
    <x v="334"/>
    <x v="175"/>
    <x v="174"/>
    <x v="172"/>
    <x v="272"/>
    <x v="1"/>
    <x v="2"/>
    <x v="184"/>
    <x v="91"/>
    <x v="1"/>
    <x v="15"/>
    <x v="0"/>
    <x v="0"/>
    <x v="1"/>
    <x v="3"/>
    <x v="3"/>
    <x v="2"/>
    <x v="1"/>
    <x v="2"/>
    <x v="1"/>
    <x v="1"/>
    <x v="69"/>
    <x v="1"/>
    <x v="1"/>
    <x v="2"/>
    <x v="173"/>
    <x v="11"/>
    <x v="3"/>
    <x v="0"/>
    <x v="1"/>
    <x v="0"/>
    <x v="200"/>
    <x v="0"/>
    <x v="0"/>
  </r>
  <r>
    <x v="335"/>
    <x v="174"/>
    <x v="173"/>
    <x v="171"/>
    <x v="0"/>
    <x v="1"/>
    <x v="1"/>
    <x v="183"/>
    <x v="150"/>
    <x v="1"/>
    <x v="22"/>
    <x v="0"/>
    <x v="0"/>
    <x v="3"/>
    <x v="1"/>
    <x v="1"/>
    <x v="2"/>
    <x v="1"/>
    <x v="2"/>
    <x v="1"/>
    <x v="2"/>
    <x v="0"/>
    <x v="2"/>
    <x v="3"/>
    <x v="4"/>
    <x v="172"/>
    <x v="5"/>
    <x v="0"/>
    <x v="0"/>
    <x v="1"/>
    <x v="0"/>
    <x v="0"/>
    <x v="0"/>
    <x v="0"/>
  </r>
  <r>
    <x v="336"/>
    <x v="160"/>
    <x v="160"/>
    <x v="158"/>
    <x v="273"/>
    <x v="1"/>
    <x v="1"/>
    <x v="166"/>
    <x v="10"/>
    <x v="1"/>
    <x v="31"/>
    <x v="0"/>
    <x v="0"/>
    <x v="1"/>
    <x v="2"/>
    <x v="3"/>
    <x v="2"/>
    <x v="1"/>
    <x v="2"/>
    <x v="1"/>
    <x v="1"/>
    <x v="71"/>
    <x v="1"/>
    <x v="6"/>
    <x v="2"/>
    <x v="159"/>
    <x v="5"/>
    <x v="1"/>
    <x v="7"/>
    <x v="1"/>
    <x v="0"/>
    <x v="201"/>
    <x v="0"/>
    <x v="0"/>
  </r>
  <r>
    <x v="337"/>
    <x v="171"/>
    <x v="171"/>
    <x v="169"/>
    <x v="274"/>
    <x v="1"/>
    <x v="3"/>
    <x v="180"/>
    <x v="151"/>
    <x v="1"/>
    <x v="31"/>
    <x v="0"/>
    <x v="0"/>
    <x v="3"/>
    <x v="3"/>
    <x v="3"/>
    <x v="2"/>
    <x v="1"/>
    <x v="2"/>
    <x v="1"/>
    <x v="1"/>
    <x v="71"/>
    <x v="1"/>
    <x v="6"/>
    <x v="2"/>
    <x v="170"/>
    <x v="5"/>
    <x v="3"/>
    <x v="0"/>
    <x v="1"/>
    <x v="0"/>
    <x v="202"/>
    <x v="95"/>
    <x v="0"/>
  </r>
  <r>
    <x v="338"/>
    <x v="152"/>
    <x v="152"/>
    <x v="150"/>
    <x v="275"/>
    <x v="3"/>
    <x v="2"/>
    <x v="157"/>
    <x v="114"/>
    <x v="1"/>
    <x v="36"/>
    <x v="0"/>
    <x v="0"/>
    <x v="1"/>
    <x v="1"/>
    <x v="1"/>
    <x v="2"/>
    <x v="2"/>
    <x v="1"/>
    <x v="1"/>
    <x v="2"/>
    <x v="0"/>
    <x v="1"/>
    <x v="6"/>
    <x v="2"/>
    <x v="151"/>
    <x v="5"/>
    <x v="0"/>
    <x v="0"/>
    <x v="1"/>
    <x v="0"/>
    <x v="0"/>
    <x v="0"/>
    <x v="102"/>
  </r>
  <r>
    <x v="339"/>
    <x v="176"/>
    <x v="175"/>
    <x v="173"/>
    <x v="276"/>
    <x v="1"/>
    <x v="1"/>
    <x v="185"/>
    <x v="152"/>
    <x v="1"/>
    <x v="31"/>
    <x v="0"/>
    <x v="0"/>
    <x v="1"/>
    <x v="1"/>
    <x v="1"/>
    <x v="2"/>
    <x v="1"/>
    <x v="2"/>
    <x v="1"/>
    <x v="1"/>
    <x v="68"/>
    <x v="1"/>
    <x v="6"/>
    <x v="2"/>
    <x v="174"/>
    <x v="7"/>
    <x v="1"/>
    <x v="4"/>
    <x v="2"/>
    <x v="1"/>
    <x v="203"/>
    <x v="0"/>
    <x v="0"/>
  </r>
  <r>
    <x v="340"/>
    <x v="111"/>
    <x v="110"/>
    <x v="109"/>
    <x v="277"/>
    <x v="1"/>
    <x v="2"/>
    <x v="116"/>
    <x v="81"/>
    <x v="1"/>
    <x v="24"/>
    <x v="0"/>
    <x v="0"/>
    <x v="1"/>
    <x v="2"/>
    <x v="3"/>
    <x v="2"/>
    <x v="1"/>
    <x v="2"/>
    <x v="1"/>
    <x v="1"/>
    <x v="71"/>
    <x v="1"/>
    <x v="6"/>
    <x v="2"/>
    <x v="110"/>
    <x v="9"/>
    <x v="1"/>
    <x v="1"/>
    <x v="1"/>
    <x v="0"/>
    <x v="204"/>
    <x v="96"/>
    <x v="103"/>
  </r>
  <r>
    <x v="341"/>
    <x v="177"/>
    <x v="160"/>
    <x v="158"/>
    <x v="0"/>
    <x v="1"/>
    <x v="1"/>
    <x v="166"/>
    <x v="10"/>
    <x v="1"/>
    <x v="31"/>
    <x v="0"/>
    <x v="0"/>
    <x v="3"/>
    <x v="4"/>
    <x v="1"/>
    <x v="2"/>
    <x v="1"/>
    <x v="2"/>
    <x v="1"/>
    <x v="2"/>
    <x v="0"/>
    <x v="2"/>
    <x v="3"/>
    <x v="4"/>
    <x v="159"/>
    <x v="7"/>
    <x v="0"/>
    <x v="0"/>
    <x v="1"/>
    <x v="0"/>
    <x v="0"/>
    <x v="0"/>
    <x v="0"/>
  </r>
  <r>
    <x v="342"/>
    <x v="178"/>
    <x v="176"/>
    <x v="174"/>
    <x v="278"/>
    <x v="3"/>
    <x v="2"/>
    <x v="186"/>
    <x v="153"/>
    <x v="1"/>
    <x v="15"/>
    <x v="0"/>
    <x v="0"/>
    <x v="1"/>
    <x v="1"/>
    <x v="1"/>
    <x v="2"/>
    <x v="1"/>
    <x v="2"/>
    <x v="1"/>
    <x v="1"/>
    <x v="68"/>
    <x v="1"/>
    <x v="6"/>
    <x v="2"/>
    <x v="175"/>
    <x v="9"/>
    <x v="3"/>
    <x v="0"/>
    <x v="1"/>
    <x v="0"/>
    <x v="205"/>
    <x v="97"/>
    <x v="0"/>
  </r>
  <r>
    <x v="343"/>
    <x v="176"/>
    <x v="175"/>
    <x v="173"/>
    <x v="279"/>
    <x v="1"/>
    <x v="1"/>
    <x v="185"/>
    <x v="154"/>
    <x v="1"/>
    <x v="31"/>
    <x v="0"/>
    <x v="0"/>
    <x v="3"/>
    <x v="1"/>
    <x v="1"/>
    <x v="2"/>
    <x v="1"/>
    <x v="3"/>
    <x v="1"/>
    <x v="2"/>
    <x v="0"/>
    <x v="1"/>
    <x v="3"/>
    <x v="4"/>
    <x v="174"/>
    <x v="1"/>
    <x v="0"/>
    <x v="0"/>
    <x v="1"/>
    <x v="0"/>
    <x v="0"/>
    <x v="0"/>
    <x v="0"/>
  </r>
  <r>
    <x v="344"/>
    <x v="111"/>
    <x v="110"/>
    <x v="109"/>
    <x v="0"/>
    <x v="1"/>
    <x v="2"/>
    <x v="116"/>
    <x v="155"/>
    <x v="1"/>
    <x v="24"/>
    <x v="0"/>
    <x v="0"/>
    <x v="3"/>
    <x v="4"/>
    <x v="1"/>
    <x v="2"/>
    <x v="1"/>
    <x v="2"/>
    <x v="1"/>
    <x v="2"/>
    <x v="0"/>
    <x v="2"/>
    <x v="3"/>
    <x v="4"/>
    <x v="110"/>
    <x v="1"/>
    <x v="0"/>
    <x v="0"/>
    <x v="1"/>
    <x v="0"/>
    <x v="0"/>
    <x v="0"/>
    <x v="104"/>
  </r>
  <r>
    <x v="345"/>
    <x v="179"/>
    <x v="177"/>
    <x v="175"/>
    <x v="280"/>
    <x v="1"/>
    <x v="2"/>
    <x v="187"/>
    <x v="156"/>
    <x v="1"/>
    <x v="3"/>
    <x v="0"/>
    <x v="0"/>
    <x v="1"/>
    <x v="3"/>
    <x v="2"/>
    <x v="2"/>
    <x v="1"/>
    <x v="2"/>
    <x v="1"/>
    <x v="2"/>
    <x v="0"/>
    <x v="1"/>
    <x v="1"/>
    <x v="2"/>
    <x v="176"/>
    <x v="3"/>
    <x v="0"/>
    <x v="0"/>
    <x v="1"/>
    <x v="0"/>
    <x v="0"/>
    <x v="0"/>
    <x v="0"/>
  </r>
  <r>
    <x v="346"/>
    <x v="175"/>
    <x v="174"/>
    <x v="172"/>
    <x v="281"/>
    <x v="1"/>
    <x v="2"/>
    <x v="184"/>
    <x v="43"/>
    <x v="1"/>
    <x v="15"/>
    <x v="0"/>
    <x v="0"/>
    <x v="1"/>
    <x v="3"/>
    <x v="3"/>
    <x v="1"/>
    <x v="1"/>
    <x v="2"/>
    <x v="1"/>
    <x v="1"/>
    <x v="72"/>
    <x v="1"/>
    <x v="1"/>
    <x v="2"/>
    <x v="173"/>
    <x v="7"/>
    <x v="3"/>
    <x v="0"/>
    <x v="1"/>
    <x v="0"/>
    <x v="206"/>
    <x v="98"/>
    <x v="0"/>
  </r>
  <r>
    <x v="347"/>
    <x v="180"/>
    <x v="178"/>
    <x v="176"/>
    <x v="282"/>
    <x v="1"/>
    <x v="1"/>
    <x v="188"/>
    <x v="157"/>
    <x v="1"/>
    <x v="83"/>
    <x v="0"/>
    <x v="0"/>
    <x v="1"/>
    <x v="1"/>
    <x v="1"/>
    <x v="2"/>
    <x v="1"/>
    <x v="2"/>
    <x v="1"/>
    <x v="2"/>
    <x v="0"/>
    <x v="1"/>
    <x v="1"/>
    <x v="2"/>
    <x v="177"/>
    <x v="3"/>
    <x v="0"/>
    <x v="0"/>
    <x v="1"/>
    <x v="0"/>
    <x v="0"/>
    <x v="0"/>
    <x v="0"/>
  </r>
  <r>
    <x v="348"/>
    <x v="181"/>
    <x v="179"/>
    <x v="177"/>
    <x v="283"/>
    <x v="1"/>
    <x v="3"/>
    <x v="189"/>
    <x v="10"/>
    <x v="1"/>
    <x v="27"/>
    <x v="0"/>
    <x v="0"/>
    <x v="1"/>
    <x v="1"/>
    <x v="1"/>
    <x v="2"/>
    <x v="1"/>
    <x v="1"/>
    <x v="1"/>
    <x v="1"/>
    <x v="72"/>
    <x v="1"/>
    <x v="1"/>
    <x v="2"/>
    <x v="178"/>
    <x v="1"/>
    <x v="1"/>
    <x v="4"/>
    <x v="2"/>
    <x v="1"/>
    <x v="207"/>
    <x v="0"/>
    <x v="105"/>
  </r>
  <r>
    <x v="349"/>
    <x v="181"/>
    <x v="179"/>
    <x v="177"/>
    <x v="284"/>
    <x v="1"/>
    <x v="3"/>
    <x v="189"/>
    <x v="158"/>
    <x v="1"/>
    <x v="15"/>
    <x v="0"/>
    <x v="0"/>
    <x v="3"/>
    <x v="3"/>
    <x v="3"/>
    <x v="2"/>
    <x v="1"/>
    <x v="1"/>
    <x v="1"/>
    <x v="1"/>
    <x v="73"/>
    <x v="1"/>
    <x v="3"/>
    <x v="4"/>
    <x v="178"/>
    <x v="1"/>
    <x v="3"/>
    <x v="0"/>
    <x v="1"/>
    <x v="0"/>
    <x v="208"/>
    <x v="0"/>
    <x v="105"/>
  </r>
  <r>
    <x v="350"/>
    <x v="157"/>
    <x v="157"/>
    <x v="155"/>
    <x v="285"/>
    <x v="3"/>
    <x v="2"/>
    <x v="163"/>
    <x v="30"/>
    <x v="1"/>
    <x v="15"/>
    <x v="0"/>
    <x v="0"/>
    <x v="1"/>
    <x v="1"/>
    <x v="1"/>
    <x v="2"/>
    <x v="1"/>
    <x v="2"/>
    <x v="1"/>
    <x v="1"/>
    <x v="73"/>
    <x v="1"/>
    <x v="1"/>
    <x v="2"/>
    <x v="156"/>
    <x v="3"/>
    <x v="1"/>
    <x v="1"/>
    <x v="1"/>
    <x v="0"/>
    <x v="209"/>
    <x v="0"/>
    <x v="106"/>
  </r>
  <r>
    <x v="351"/>
    <x v="182"/>
    <x v="180"/>
    <x v="178"/>
    <x v="286"/>
    <x v="1"/>
    <x v="1"/>
    <x v="190"/>
    <x v="113"/>
    <x v="1"/>
    <x v="84"/>
    <x v="0"/>
    <x v="0"/>
    <x v="1"/>
    <x v="1"/>
    <x v="1"/>
    <x v="2"/>
    <x v="1"/>
    <x v="3"/>
    <x v="1"/>
    <x v="2"/>
    <x v="0"/>
    <x v="1"/>
    <x v="2"/>
    <x v="2"/>
    <x v="179"/>
    <x v="5"/>
    <x v="0"/>
    <x v="0"/>
    <x v="1"/>
    <x v="0"/>
    <x v="0"/>
    <x v="0"/>
    <x v="0"/>
  </r>
  <r>
    <x v="352"/>
    <x v="157"/>
    <x v="157"/>
    <x v="155"/>
    <x v="287"/>
    <x v="3"/>
    <x v="4"/>
    <x v="163"/>
    <x v="30"/>
    <x v="1"/>
    <x v="15"/>
    <x v="0"/>
    <x v="0"/>
    <x v="3"/>
    <x v="1"/>
    <x v="1"/>
    <x v="2"/>
    <x v="1"/>
    <x v="2"/>
    <x v="2"/>
    <x v="1"/>
    <x v="70"/>
    <x v="1"/>
    <x v="3"/>
    <x v="4"/>
    <x v="156"/>
    <x v="5"/>
    <x v="1"/>
    <x v="12"/>
    <x v="2"/>
    <x v="1"/>
    <x v="210"/>
    <x v="0"/>
    <x v="107"/>
  </r>
  <r>
    <x v="353"/>
    <x v="111"/>
    <x v="110"/>
    <x v="109"/>
    <x v="0"/>
    <x v="1"/>
    <x v="2"/>
    <x v="116"/>
    <x v="81"/>
    <x v="1"/>
    <x v="24"/>
    <x v="0"/>
    <x v="0"/>
    <x v="3"/>
    <x v="1"/>
    <x v="1"/>
    <x v="2"/>
    <x v="1"/>
    <x v="2"/>
    <x v="1"/>
    <x v="2"/>
    <x v="0"/>
    <x v="2"/>
    <x v="3"/>
    <x v="4"/>
    <x v="110"/>
    <x v="5"/>
    <x v="0"/>
    <x v="0"/>
    <x v="1"/>
    <x v="0"/>
    <x v="0"/>
    <x v="0"/>
    <x v="0"/>
  </r>
  <r>
    <x v="354"/>
    <x v="183"/>
    <x v="181"/>
    <x v="179"/>
    <x v="288"/>
    <x v="1"/>
    <x v="2"/>
    <x v="191"/>
    <x v="46"/>
    <x v="2"/>
    <x v="0"/>
    <x v="8"/>
    <x v="0"/>
    <x v="1"/>
    <x v="2"/>
    <x v="3"/>
    <x v="2"/>
    <x v="1"/>
    <x v="1"/>
    <x v="1"/>
    <x v="1"/>
    <x v="74"/>
    <x v="1"/>
    <x v="1"/>
    <x v="2"/>
    <x v="180"/>
    <x v="1"/>
    <x v="3"/>
    <x v="0"/>
    <x v="1"/>
    <x v="0"/>
    <x v="211"/>
    <x v="0"/>
    <x v="108"/>
  </r>
  <r>
    <x v="355"/>
    <x v="184"/>
    <x v="182"/>
    <x v="180"/>
    <x v="289"/>
    <x v="3"/>
    <x v="2"/>
    <x v="192"/>
    <x v="159"/>
    <x v="1"/>
    <x v="36"/>
    <x v="0"/>
    <x v="0"/>
    <x v="1"/>
    <x v="1"/>
    <x v="2"/>
    <x v="2"/>
    <x v="2"/>
    <x v="1"/>
    <x v="1"/>
    <x v="1"/>
    <x v="75"/>
    <x v="1"/>
    <x v="1"/>
    <x v="2"/>
    <x v="181"/>
    <x v="5"/>
    <x v="1"/>
    <x v="1"/>
    <x v="1"/>
    <x v="0"/>
    <x v="212"/>
    <x v="0"/>
    <x v="14"/>
  </r>
  <r>
    <x v="356"/>
    <x v="185"/>
    <x v="183"/>
    <x v="181"/>
    <x v="290"/>
    <x v="1"/>
    <x v="1"/>
    <x v="193"/>
    <x v="10"/>
    <x v="1"/>
    <x v="85"/>
    <x v="0"/>
    <x v="0"/>
    <x v="1"/>
    <x v="1"/>
    <x v="2"/>
    <x v="2"/>
    <x v="1"/>
    <x v="2"/>
    <x v="1"/>
    <x v="1"/>
    <x v="74"/>
    <x v="1"/>
    <x v="1"/>
    <x v="2"/>
    <x v="182"/>
    <x v="5"/>
    <x v="1"/>
    <x v="1"/>
    <x v="1"/>
    <x v="0"/>
    <x v="213"/>
    <x v="0"/>
    <x v="109"/>
  </r>
  <r>
    <x v="357"/>
    <x v="185"/>
    <x v="183"/>
    <x v="181"/>
    <x v="0"/>
    <x v="1"/>
    <x v="1"/>
    <x v="193"/>
    <x v="160"/>
    <x v="1"/>
    <x v="85"/>
    <x v="0"/>
    <x v="0"/>
    <x v="3"/>
    <x v="1"/>
    <x v="1"/>
    <x v="2"/>
    <x v="1"/>
    <x v="2"/>
    <x v="1"/>
    <x v="2"/>
    <x v="0"/>
    <x v="2"/>
    <x v="3"/>
    <x v="4"/>
    <x v="182"/>
    <x v="5"/>
    <x v="0"/>
    <x v="0"/>
    <x v="1"/>
    <x v="0"/>
    <x v="0"/>
    <x v="0"/>
    <x v="0"/>
  </r>
  <r>
    <x v="358"/>
    <x v="136"/>
    <x v="136"/>
    <x v="134"/>
    <x v="291"/>
    <x v="3"/>
    <x v="2"/>
    <x v="140"/>
    <x v="120"/>
    <x v="1"/>
    <x v="22"/>
    <x v="0"/>
    <x v="0"/>
    <x v="1"/>
    <x v="2"/>
    <x v="3"/>
    <x v="2"/>
    <x v="2"/>
    <x v="2"/>
    <x v="1"/>
    <x v="1"/>
    <x v="75"/>
    <x v="1"/>
    <x v="5"/>
    <x v="2"/>
    <x v="135"/>
    <x v="5"/>
    <x v="1"/>
    <x v="1"/>
    <x v="1"/>
    <x v="0"/>
    <x v="214"/>
    <x v="0"/>
    <x v="110"/>
  </r>
  <r>
    <x v="359"/>
    <x v="157"/>
    <x v="157"/>
    <x v="155"/>
    <x v="292"/>
    <x v="3"/>
    <x v="2"/>
    <x v="163"/>
    <x v="30"/>
    <x v="1"/>
    <x v="15"/>
    <x v="0"/>
    <x v="0"/>
    <x v="3"/>
    <x v="1"/>
    <x v="1"/>
    <x v="2"/>
    <x v="1"/>
    <x v="2"/>
    <x v="1"/>
    <x v="2"/>
    <x v="0"/>
    <x v="1"/>
    <x v="3"/>
    <x v="4"/>
    <x v="156"/>
    <x v="11"/>
    <x v="0"/>
    <x v="0"/>
    <x v="1"/>
    <x v="0"/>
    <x v="0"/>
    <x v="0"/>
    <x v="0"/>
  </r>
  <r>
    <x v="360"/>
    <x v="57"/>
    <x v="56"/>
    <x v="55"/>
    <x v="293"/>
    <x v="3"/>
    <x v="2"/>
    <x v="60"/>
    <x v="30"/>
    <x v="1"/>
    <x v="86"/>
    <x v="0"/>
    <x v="0"/>
    <x v="1"/>
    <x v="1"/>
    <x v="1"/>
    <x v="2"/>
    <x v="1"/>
    <x v="2"/>
    <x v="1"/>
    <x v="2"/>
    <x v="0"/>
    <x v="1"/>
    <x v="1"/>
    <x v="2"/>
    <x v="55"/>
    <x v="11"/>
    <x v="0"/>
    <x v="0"/>
    <x v="1"/>
    <x v="0"/>
    <x v="0"/>
    <x v="0"/>
    <x v="0"/>
  </r>
  <r>
    <x v="361"/>
    <x v="136"/>
    <x v="136"/>
    <x v="134"/>
    <x v="0"/>
    <x v="3"/>
    <x v="2"/>
    <x v="140"/>
    <x v="120"/>
    <x v="1"/>
    <x v="22"/>
    <x v="0"/>
    <x v="0"/>
    <x v="3"/>
    <x v="1"/>
    <x v="1"/>
    <x v="2"/>
    <x v="2"/>
    <x v="2"/>
    <x v="1"/>
    <x v="2"/>
    <x v="0"/>
    <x v="2"/>
    <x v="3"/>
    <x v="4"/>
    <x v="135"/>
    <x v="5"/>
    <x v="0"/>
    <x v="0"/>
    <x v="1"/>
    <x v="0"/>
    <x v="0"/>
    <x v="0"/>
    <x v="0"/>
  </r>
  <r>
    <x v="362"/>
    <x v="186"/>
    <x v="184"/>
    <x v="182"/>
    <x v="294"/>
    <x v="1"/>
    <x v="6"/>
    <x v="194"/>
    <x v="161"/>
    <x v="1"/>
    <x v="9"/>
    <x v="0"/>
    <x v="0"/>
    <x v="1"/>
    <x v="1"/>
    <x v="1"/>
    <x v="2"/>
    <x v="1"/>
    <x v="2"/>
    <x v="1"/>
    <x v="1"/>
    <x v="76"/>
    <x v="1"/>
    <x v="6"/>
    <x v="3"/>
    <x v="183"/>
    <x v="10"/>
    <x v="1"/>
    <x v="7"/>
    <x v="1"/>
    <x v="0"/>
    <x v="215"/>
    <x v="99"/>
    <x v="0"/>
  </r>
  <r>
    <x v="363"/>
    <x v="37"/>
    <x v="36"/>
    <x v="36"/>
    <x v="295"/>
    <x v="1"/>
    <x v="2"/>
    <x v="39"/>
    <x v="40"/>
    <x v="1"/>
    <x v="15"/>
    <x v="0"/>
    <x v="0"/>
    <x v="1"/>
    <x v="2"/>
    <x v="3"/>
    <x v="2"/>
    <x v="1"/>
    <x v="2"/>
    <x v="1"/>
    <x v="1"/>
    <x v="76"/>
    <x v="1"/>
    <x v="6"/>
    <x v="2"/>
    <x v="184"/>
    <x v="5"/>
    <x v="1"/>
    <x v="7"/>
    <x v="1"/>
    <x v="0"/>
    <x v="216"/>
    <x v="0"/>
    <x v="0"/>
  </r>
  <r>
    <x v="364"/>
    <x v="184"/>
    <x v="182"/>
    <x v="180"/>
    <x v="0"/>
    <x v="3"/>
    <x v="2"/>
    <x v="192"/>
    <x v="159"/>
    <x v="1"/>
    <x v="36"/>
    <x v="0"/>
    <x v="0"/>
    <x v="3"/>
    <x v="1"/>
    <x v="1"/>
    <x v="2"/>
    <x v="2"/>
    <x v="1"/>
    <x v="1"/>
    <x v="2"/>
    <x v="0"/>
    <x v="2"/>
    <x v="3"/>
    <x v="4"/>
    <x v="181"/>
    <x v="5"/>
    <x v="0"/>
    <x v="0"/>
    <x v="1"/>
    <x v="0"/>
    <x v="0"/>
    <x v="0"/>
    <x v="14"/>
  </r>
  <r>
    <x v="365"/>
    <x v="187"/>
    <x v="185"/>
    <x v="183"/>
    <x v="296"/>
    <x v="1"/>
    <x v="2"/>
    <x v="195"/>
    <x v="162"/>
    <x v="1"/>
    <x v="87"/>
    <x v="0"/>
    <x v="0"/>
    <x v="1"/>
    <x v="1"/>
    <x v="1"/>
    <x v="2"/>
    <x v="1"/>
    <x v="2"/>
    <x v="1"/>
    <x v="1"/>
    <x v="76"/>
    <x v="1"/>
    <x v="6"/>
    <x v="2"/>
    <x v="185"/>
    <x v="10"/>
    <x v="3"/>
    <x v="0"/>
    <x v="1"/>
    <x v="0"/>
    <x v="217"/>
    <x v="100"/>
    <x v="111"/>
  </r>
  <r>
    <x v="366"/>
    <x v="37"/>
    <x v="36"/>
    <x v="36"/>
    <x v="0"/>
    <x v="1"/>
    <x v="2"/>
    <x v="39"/>
    <x v="40"/>
    <x v="1"/>
    <x v="15"/>
    <x v="0"/>
    <x v="0"/>
    <x v="3"/>
    <x v="1"/>
    <x v="1"/>
    <x v="2"/>
    <x v="1"/>
    <x v="2"/>
    <x v="1"/>
    <x v="2"/>
    <x v="0"/>
    <x v="2"/>
    <x v="3"/>
    <x v="4"/>
    <x v="184"/>
    <x v="12"/>
    <x v="0"/>
    <x v="0"/>
    <x v="1"/>
    <x v="0"/>
    <x v="0"/>
    <x v="0"/>
    <x v="0"/>
  </r>
  <r>
    <x v="367"/>
    <x v="186"/>
    <x v="184"/>
    <x v="182"/>
    <x v="0"/>
    <x v="1"/>
    <x v="2"/>
    <x v="194"/>
    <x v="161"/>
    <x v="1"/>
    <x v="9"/>
    <x v="0"/>
    <x v="0"/>
    <x v="3"/>
    <x v="1"/>
    <x v="1"/>
    <x v="2"/>
    <x v="1"/>
    <x v="3"/>
    <x v="1"/>
    <x v="2"/>
    <x v="0"/>
    <x v="2"/>
    <x v="3"/>
    <x v="4"/>
    <x v="183"/>
    <x v="12"/>
    <x v="0"/>
    <x v="0"/>
    <x v="1"/>
    <x v="0"/>
    <x v="0"/>
    <x v="0"/>
    <x v="0"/>
  </r>
  <r>
    <x v="368"/>
    <x v="188"/>
    <x v="186"/>
    <x v="184"/>
    <x v="297"/>
    <x v="3"/>
    <x v="2"/>
    <x v="196"/>
    <x v="163"/>
    <x v="1"/>
    <x v="3"/>
    <x v="0"/>
    <x v="0"/>
    <x v="1"/>
    <x v="1"/>
    <x v="1"/>
    <x v="2"/>
    <x v="1"/>
    <x v="3"/>
    <x v="1"/>
    <x v="2"/>
    <x v="0"/>
    <x v="1"/>
    <x v="1"/>
    <x v="2"/>
    <x v="186"/>
    <x v="4"/>
    <x v="0"/>
    <x v="0"/>
    <x v="1"/>
    <x v="0"/>
    <x v="0"/>
    <x v="0"/>
    <x v="0"/>
  </r>
  <r>
    <x v="369"/>
    <x v="189"/>
    <x v="187"/>
    <x v="185"/>
    <x v="298"/>
    <x v="1"/>
    <x v="2"/>
    <x v="197"/>
    <x v="164"/>
    <x v="1"/>
    <x v="9"/>
    <x v="0"/>
    <x v="0"/>
    <x v="1"/>
    <x v="1"/>
    <x v="1"/>
    <x v="2"/>
    <x v="1"/>
    <x v="3"/>
    <x v="1"/>
    <x v="1"/>
    <x v="77"/>
    <x v="1"/>
    <x v="1"/>
    <x v="2"/>
    <x v="187"/>
    <x v="4"/>
    <x v="1"/>
    <x v="1"/>
    <x v="1"/>
    <x v="0"/>
    <x v="218"/>
    <x v="101"/>
    <x v="0"/>
  </r>
  <r>
    <x v="370"/>
    <x v="190"/>
    <x v="188"/>
    <x v="186"/>
    <x v="299"/>
    <x v="1"/>
    <x v="2"/>
    <x v="198"/>
    <x v="10"/>
    <x v="1"/>
    <x v="88"/>
    <x v="0"/>
    <x v="0"/>
    <x v="1"/>
    <x v="5"/>
    <x v="1"/>
    <x v="2"/>
    <x v="1"/>
    <x v="2"/>
    <x v="1"/>
    <x v="1"/>
    <x v="78"/>
    <x v="1"/>
    <x v="1"/>
    <x v="13"/>
    <x v="188"/>
    <x v="4"/>
    <x v="1"/>
    <x v="2"/>
    <x v="1"/>
    <x v="0"/>
    <x v="219"/>
    <x v="0"/>
    <x v="0"/>
  </r>
  <r>
    <x v="371"/>
    <x v="191"/>
    <x v="189"/>
    <x v="187"/>
    <x v="300"/>
    <x v="1"/>
    <x v="1"/>
    <x v="199"/>
    <x v="165"/>
    <x v="1"/>
    <x v="9"/>
    <x v="0"/>
    <x v="0"/>
    <x v="1"/>
    <x v="1"/>
    <x v="1"/>
    <x v="2"/>
    <x v="1"/>
    <x v="2"/>
    <x v="2"/>
    <x v="1"/>
    <x v="78"/>
    <x v="1"/>
    <x v="1"/>
    <x v="2"/>
    <x v="189"/>
    <x v="4"/>
    <x v="1"/>
    <x v="2"/>
    <x v="2"/>
    <x v="1"/>
    <x v="220"/>
    <x v="102"/>
    <x v="17"/>
  </r>
  <r>
    <x v="372"/>
    <x v="41"/>
    <x v="40"/>
    <x v="40"/>
    <x v="301"/>
    <x v="1"/>
    <x v="1"/>
    <x v="200"/>
    <x v="44"/>
    <x v="1"/>
    <x v="2"/>
    <x v="0"/>
    <x v="0"/>
    <x v="1"/>
    <x v="2"/>
    <x v="3"/>
    <x v="2"/>
    <x v="1"/>
    <x v="2"/>
    <x v="1"/>
    <x v="1"/>
    <x v="78"/>
    <x v="1"/>
    <x v="1"/>
    <x v="2"/>
    <x v="40"/>
    <x v="4"/>
    <x v="1"/>
    <x v="2"/>
    <x v="1"/>
    <x v="0"/>
    <x v="221"/>
    <x v="0"/>
    <x v="112"/>
  </r>
  <r>
    <x v="373"/>
    <x v="192"/>
    <x v="190"/>
    <x v="188"/>
    <x v="302"/>
    <x v="3"/>
    <x v="2"/>
    <x v="201"/>
    <x v="10"/>
    <x v="1"/>
    <x v="15"/>
    <x v="0"/>
    <x v="0"/>
    <x v="1"/>
    <x v="1"/>
    <x v="1"/>
    <x v="2"/>
    <x v="1"/>
    <x v="2"/>
    <x v="1"/>
    <x v="1"/>
    <x v="77"/>
    <x v="1"/>
    <x v="1"/>
    <x v="2"/>
    <x v="190"/>
    <x v="5"/>
    <x v="1"/>
    <x v="1"/>
    <x v="1"/>
    <x v="0"/>
    <x v="222"/>
    <x v="103"/>
    <x v="0"/>
  </r>
  <r>
    <x v="374"/>
    <x v="154"/>
    <x v="154"/>
    <x v="152"/>
    <x v="303"/>
    <x v="1"/>
    <x v="3"/>
    <x v="160"/>
    <x v="114"/>
    <x v="1"/>
    <x v="15"/>
    <x v="0"/>
    <x v="0"/>
    <x v="1"/>
    <x v="1"/>
    <x v="1"/>
    <x v="2"/>
    <x v="1"/>
    <x v="3"/>
    <x v="1"/>
    <x v="2"/>
    <x v="0"/>
    <x v="1"/>
    <x v="1"/>
    <x v="2"/>
    <x v="153"/>
    <x v="4"/>
    <x v="0"/>
    <x v="0"/>
    <x v="1"/>
    <x v="0"/>
    <x v="0"/>
    <x v="0"/>
    <x v="0"/>
  </r>
  <r>
    <x v="375"/>
    <x v="185"/>
    <x v="183"/>
    <x v="181"/>
    <x v="304"/>
    <x v="1"/>
    <x v="1"/>
    <x v="193"/>
    <x v="10"/>
    <x v="1"/>
    <x v="36"/>
    <x v="0"/>
    <x v="0"/>
    <x v="1"/>
    <x v="1"/>
    <x v="1"/>
    <x v="2"/>
    <x v="1"/>
    <x v="2"/>
    <x v="1"/>
    <x v="2"/>
    <x v="0"/>
    <x v="1"/>
    <x v="5"/>
    <x v="2"/>
    <x v="182"/>
    <x v="5"/>
    <x v="0"/>
    <x v="0"/>
    <x v="1"/>
    <x v="0"/>
    <x v="0"/>
    <x v="0"/>
    <x v="0"/>
  </r>
  <r>
    <x v="376"/>
    <x v="190"/>
    <x v="188"/>
    <x v="186"/>
    <x v="0"/>
    <x v="1"/>
    <x v="2"/>
    <x v="198"/>
    <x v="134"/>
    <x v="1"/>
    <x v="88"/>
    <x v="0"/>
    <x v="0"/>
    <x v="3"/>
    <x v="1"/>
    <x v="1"/>
    <x v="2"/>
    <x v="1"/>
    <x v="2"/>
    <x v="1"/>
    <x v="2"/>
    <x v="0"/>
    <x v="2"/>
    <x v="3"/>
    <x v="4"/>
    <x v="188"/>
    <x v="4"/>
    <x v="0"/>
    <x v="0"/>
    <x v="1"/>
    <x v="0"/>
    <x v="0"/>
    <x v="0"/>
    <x v="0"/>
  </r>
  <r>
    <x v="377"/>
    <x v="41"/>
    <x v="40"/>
    <x v="40"/>
    <x v="0"/>
    <x v="1"/>
    <x v="1"/>
    <x v="200"/>
    <x v="44"/>
    <x v="1"/>
    <x v="2"/>
    <x v="0"/>
    <x v="0"/>
    <x v="3"/>
    <x v="4"/>
    <x v="1"/>
    <x v="2"/>
    <x v="1"/>
    <x v="2"/>
    <x v="1"/>
    <x v="1"/>
    <x v="79"/>
    <x v="2"/>
    <x v="3"/>
    <x v="4"/>
    <x v="40"/>
    <x v="4"/>
    <x v="1"/>
    <x v="4"/>
    <x v="1"/>
    <x v="0"/>
    <x v="223"/>
    <x v="0"/>
    <x v="112"/>
  </r>
  <r>
    <x v="378"/>
    <x v="191"/>
    <x v="189"/>
    <x v="187"/>
    <x v="305"/>
    <x v="1"/>
    <x v="1"/>
    <x v="199"/>
    <x v="165"/>
    <x v="1"/>
    <x v="9"/>
    <x v="0"/>
    <x v="0"/>
    <x v="3"/>
    <x v="1"/>
    <x v="1"/>
    <x v="2"/>
    <x v="1"/>
    <x v="2"/>
    <x v="1"/>
    <x v="2"/>
    <x v="0"/>
    <x v="1"/>
    <x v="3"/>
    <x v="4"/>
    <x v="189"/>
    <x v="4"/>
    <x v="0"/>
    <x v="0"/>
    <x v="1"/>
    <x v="0"/>
    <x v="0"/>
    <x v="0"/>
    <x v="0"/>
  </r>
  <r>
    <x v="379"/>
    <x v="187"/>
    <x v="185"/>
    <x v="183"/>
    <x v="306"/>
    <x v="1"/>
    <x v="2"/>
    <x v="195"/>
    <x v="162"/>
    <x v="1"/>
    <x v="44"/>
    <x v="0"/>
    <x v="0"/>
    <x v="1"/>
    <x v="1"/>
    <x v="1"/>
    <x v="2"/>
    <x v="1"/>
    <x v="2"/>
    <x v="1"/>
    <x v="2"/>
    <x v="0"/>
    <x v="1"/>
    <x v="1"/>
    <x v="2"/>
    <x v="185"/>
    <x v="3"/>
    <x v="0"/>
    <x v="0"/>
    <x v="1"/>
    <x v="0"/>
    <x v="0"/>
    <x v="0"/>
    <x v="0"/>
  </r>
  <r>
    <x v="380"/>
    <x v="57"/>
    <x v="56"/>
    <x v="55"/>
    <x v="307"/>
    <x v="3"/>
    <x v="2"/>
    <x v="60"/>
    <x v="30"/>
    <x v="1"/>
    <x v="15"/>
    <x v="0"/>
    <x v="0"/>
    <x v="1"/>
    <x v="1"/>
    <x v="1"/>
    <x v="2"/>
    <x v="1"/>
    <x v="2"/>
    <x v="1"/>
    <x v="2"/>
    <x v="0"/>
    <x v="1"/>
    <x v="1"/>
    <x v="2"/>
    <x v="55"/>
    <x v="11"/>
    <x v="0"/>
    <x v="0"/>
    <x v="1"/>
    <x v="0"/>
    <x v="0"/>
    <x v="0"/>
    <x v="0"/>
  </r>
  <r>
    <x v="381"/>
    <x v="169"/>
    <x v="169"/>
    <x v="167"/>
    <x v="308"/>
    <x v="1"/>
    <x v="2"/>
    <x v="177"/>
    <x v="147"/>
    <x v="1"/>
    <x v="15"/>
    <x v="0"/>
    <x v="0"/>
    <x v="1"/>
    <x v="1"/>
    <x v="1"/>
    <x v="2"/>
    <x v="1"/>
    <x v="2"/>
    <x v="1"/>
    <x v="1"/>
    <x v="80"/>
    <x v="2"/>
    <x v="5"/>
    <x v="2"/>
    <x v="168"/>
    <x v="12"/>
    <x v="1"/>
    <x v="1"/>
    <x v="1"/>
    <x v="0"/>
    <x v="224"/>
    <x v="0"/>
    <x v="0"/>
  </r>
  <r>
    <x v="382"/>
    <x v="129"/>
    <x v="129"/>
    <x v="127"/>
    <x v="309"/>
    <x v="1"/>
    <x v="1"/>
    <x v="133"/>
    <x v="115"/>
    <x v="1"/>
    <x v="3"/>
    <x v="0"/>
    <x v="0"/>
    <x v="1"/>
    <x v="1"/>
    <x v="1"/>
    <x v="2"/>
    <x v="1"/>
    <x v="3"/>
    <x v="1"/>
    <x v="1"/>
    <x v="81"/>
    <x v="1"/>
    <x v="6"/>
    <x v="2"/>
    <x v="128"/>
    <x v="5"/>
    <x v="3"/>
    <x v="0"/>
    <x v="1"/>
    <x v="0"/>
    <x v="225"/>
    <x v="104"/>
    <x v="0"/>
  </r>
  <r>
    <x v="383"/>
    <x v="169"/>
    <x v="169"/>
    <x v="167"/>
    <x v="0"/>
    <x v="1"/>
    <x v="2"/>
    <x v="177"/>
    <x v="166"/>
    <x v="1"/>
    <x v="15"/>
    <x v="0"/>
    <x v="0"/>
    <x v="3"/>
    <x v="1"/>
    <x v="1"/>
    <x v="2"/>
    <x v="1"/>
    <x v="2"/>
    <x v="1"/>
    <x v="2"/>
    <x v="0"/>
    <x v="2"/>
    <x v="3"/>
    <x v="4"/>
    <x v="168"/>
    <x v="5"/>
    <x v="0"/>
    <x v="0"/>
    <x v="1"/>
    <x v="0"/>
    <x v="0"/>
    <x v="0"/>
    <x v="0"/>
  </r>
  <r>
    <x v="384"/>
    <x v="192"/>
    <x v="190"/>
    <x v="188"/>
    <x v="0"/>
    <x v="3"/>
    <x v="2"/>
    <x v="201"/>
    <x v="10"/>
    <x v="1"/>
    <x v="15"/>
    <x v="0"/>
    <x v="0"/>
    <x v="3"/>
    <x v="1"/>
    <x v="1"/>
    <x v="2"/>
    <x v="1"/>
    <x v="2"/>
    <x v="1"/>
    <x v="2"/>
    <x v="0"/>
    <x v="2"/>
    <x v="3"/>
    <x v="4"/>
    <x v="190"/>
    <x v="5"/>
    <x v="0"/>
    <x v="0"/>
    <x v="1"/>
    <x v="0"/>
    <x v="0"/>
    <x v="0"/>
    <x v="0"/>
  </r>
  <r>
    <x v="385"/>
    <x v="193"/>
    <x v="191"/>
    <x v="189"/>
    <x v="310"/>
    <x v="1"/>
    <x v="2"/>
    <x v="202"/>
    <x v="165"/>
    <x v="1"/>
    <x v="89"/>
    <x v="0"/>
    <x v="0"/>
    <x v="1"/>
    <x v="1"/>
    <x v="1"/>
    <x v="1"/>
    <x v="1"/>
    <x v="2"/>
    <x v="1"/>
    <x v="1"/>
    <x v="82"/>
    <x v="1"/>
    <x v="6"/>
    <x v="2"/>
    <x v="191"/>
    <x v="5"/>
    <x v="1"/>
    <x v="4"/>
    <x v="2"/>
    <x v="1"/>
    <x v="226"/>
    <x v="0"/>
    <x v="0"/>
  </r>
  <r>
    <x v="386"/>
    <x v="189"/>
    <x v="187"/>
    <x v="185"/>
    <x v="0"/>
    <x v="1"/>
    <x v="2"/>
    <x v="197"/>
    <x v="164"/>
    <x v="1"/>
    <x v="9"/>
    <x v="0"/>
    <x v="0"/>
    <x v="3"/>
    <x v="1"/>
    <x v="1"/>
    <x v="2"/>
    <x v="1"/>
    <x v="3"/>
    <x v="1"/>
    <x v="2"/>
    <x v="0"/>
    <x v="2"/>
    <x v="3"/>
    <x v="4"/>
    <x v="187"/>
    <x v="5"/>
    <x v="0"/>
    <x v="0"/>
    <x v="1"/>
    <x v="0"/>
    <x v="0"/>
    <x v="0"/>
    <x v="0"/>
  </r>
  <r>
    <x v="387"/>
    <x v="193"/>
    <x v="191"/>
    <x v="189"/>
    <x v="0"/>
    <x v="1"/>
    <x v="2"/>
    <x v="202"/>
    <x v="165"/>
    <x v="1"/>
    <x v="90"/>
    <x v="0"/>
    <x v="0"/>
    <x v="3"/>
    <x v="1"/>
    <x v="1"/>
    <x v="2"/>
    <x v="1"/>
    <x v="2"/>
    <x v="1"/>
    <x v="2"/>
    <x v="0"/>
    <x v="2"/>
    <x v="3"/>
    <x v="4"/>
    <x v="191"/>
    <x v="1"/>
    <x v="0"/>
    <x v="0"/>
    <x v="1"/>
    <x v="0"/>
    <x v="0"/>
    <x v="0"/>
    <x v="0"/>
  </r>
  <r>
    <x v="388"/>
    <x v="194"/>
    <x v="192"/>
    <x v="190"/>
    <x v="311"/>
    <x v="1"/>
    <x v="2"/>
    <x v="203"/>
    <x v="167"/>
    <x v="1"/>
    <x v="12"/>
    <x v="0"/>
    <x v="0"/>
    <x v="1"/>
    <x v="3"/>
    <x v="2"/>
    <x v="2"/>
    <x v="1"/>
    <x v="2"/>
    <x v="1"/>
    <x v="1"/>
    <x v="83"/>
    <x v="1"/>
    <x v="1"/>
    <x v="2"/>
    <x v="192"/>
    <x v="5"/>
    <x v="1"/>
    <x v="1"/>
    <x v="1"/>
    <x v="0"/>
    <x v="227"/>
    <x v="105"/>
    <x v="0"/>
  </r>
  <r>
    <x v="389"/>
    <x v="195"/>
    <x v="193"/>
    <x v="191"/>
    <x v="312"/>
    <x v="1"/>
    <x v="2"/>
    <x v="204"/>
    <x v="168"/>
    <x v="1"/>
    <x v="3"/>
    <x v="0"/>
    <x v="0"/>
    <x v="1"/>
    <x v="3"/>
    <x v="2"/>
    <x v="1"/>
    <x v="1"/>
    <x v="2"/>
    <x v="1"/>
    <x v="1"/>
    <x v="83"/>
    <x v="1"/>
    <x v="5"/>
    <x v="2"/>
    <x v="193"/>
    <x v="5"/>
    <x v="3"/>
    <x v="0"/>
    <x v="1"/>
    <x v="0"/>
    <x v="228"/>
    <x v="106"/>
    <x v="0"/>
  </r>
  <r>
    <x v="390"/>
    <x v="178"/>
    <x v="176"/>
    <x v="174"/>
    <x v="313"/>
    <x v="3"/>
    <x v="2"/>
    <x v="186"/>
    <x v="153"/>
    <x v="1"/>
    <x v="91"/>
    <x v="0"/>
    <x v="0"/>
    <x v="1"/>
    <x v="3"/>
    <x v="3"/>
    <x v="2"/>
    <x v="1"/>
    <x v="2"/>
    <x v="1"/>
    <x v="1"/>
    <x v="84"/>
    <x v="1"/>
    <x v="1"/>
    <x v="2"/>
    <x v="175"/>
    <x v="5"/>
    <x v="3"/>
    <x v="0"/>
    <x v="1"/>
    <x v="0"/>
    <x v="229"/>
    <x v="107"/>
    <x v="0"/>
  </r>
  <r>
    <x v="391"/>
    <x v="196"/>
    <x v="194"/>
    <x v="192"/>
    <x v="314"/>
    <x v="1"/>
    <x v="2"/>
    <x v="205"/>
    <x v="165"/>
    <x v="1"/>
    <x v="92"/>
    <x v="0"/>
    <x v="0"/>
    <x v="1"/>
    <x v="1"/>
    <x v="1"/>
    <x v="2"/>
    <x v="2"/>
    <x v="3"/>
    <x v="1"/>
    <x v="1"/>
    <x v="79"/>
    <x v="1"/>
    <x v="1"/>
    <x v="5"/>
    <x v="194"/>
    <x v="4"/>
    <x v="1"/>
    <x v="3"/>
    <x v="2"/>
    <x v="1"/>
    <x v="230"/>
    <x v="108"/>
    <x v="113"/>
  </r>
  <r>
    <x v="392"/>
    <x v="152"/>
    <x v="152"/>
    <x v="150"/>
    <x v="315"/>
    <x v="3"/>
    <x v="2"/>
    <x v="157"/>
    <x v="169"/>
    <x v="1"/>
    <x v="2"/>
    <x v="0"/>
    <x v="0"/>
    <x v="1"/>
    <x v="1"/>
    <x v="1"/>
    <x v="2"/>
    <x v="2"/>
    <x v="3"/>
    <x v="1"/>
    <x v="1"/>
    <x v="85"/>
    <x v="1"/>
    <x v="1"/>
    <x v="5"/>
    <x v="151"/>
    <x v="1"/>
    <x v="1"/>
    <x v="1"/>
    <x v="1"/>
    <x v="0"/>
    <x v="231"/>
    <x v="109"/>
    <x v="114"/>
  </r>
  <r>
    <x v="393"/>
    <x v="170"/>
    <x v="170"/>
    <x v="168"/>
    <x v="316"/>
    <x v="1"/>
    <x v="2"/>
    <x v="179"/>
    <x v="145"/>
    <x v="1"/>
    <x v="3"/>
    <x v="0"/>
    <x v="0"/>
    <x v="1"/>
    <x v="3"/>
    <x v="2"/>
    <x v="2"/>
    <x v="1"/>
    <x v="3"/>
    <x v="1"/>
    <x v="1"/>
    <x v="86"/>
    <x v="1"/>
    <x v="1"/>
    <x v="2"/>
    <x v="169"/>
    <x v="1"/>
    <x v="3"/>
    <x v="0"/>
    <x v="1"/>
    <x v="0"/>
    <x v="232"/>
    <x v="110"/>
    <x v="115"/>
  </r>
  <r>
    <x v="394"/>
    <x v="197"/>
    <x v="195"/>
    <x v="193"/>
    <x v="317"/>
    <x v="3"/>
    <x v="3"/>
    <x v="206"/>
    <x v="48"/>
    <x v="1"/>
    <x v="15"/>
    <x v="0"/>
    <x v="0"/>
    <x v="1"/>
    <x v="2"/>
    <x v="3"/>
    <x v="2"/>
    <x v="1"/>
    <x v="2"/>
    <x v="1"/>
    <x v="1"/>
    <x v="79"/>
    <x v="1"/>
    <x v="2"/>
    <x v="2"/>
    <x v="195"/>
    <x v="4"/>
    <x v="3"/>
    <x v="0"/>
    <x v="1"/>
    <x v="0"/>
    <x v="233"/>
    <x v="111"/>
    <x v="116"/>
  </r>
  <r>
    <x v="395"/>
    <x v="41"/>
    <x v="40"/>
    <x v="40"/>
    <x v="0"/>
    <x v="1"/>
    <x v="1"/>
    <x v="200"/>
    <x v="44"/>
    <x v="1"/>
    <x v="1"/>
    <x v="0"/>
    <x v="0"/>
    <x v="3"/>
    <x v="4"/>
    <x v="1"/>
    <x v="2"/>
    <x v="1"/>
    <x v="2"/>
    <x v="1"/>
    <x v="2"/>
    <x v="0"/>
    <x v="2"/>
    <x v="3"/>
    <x v="4"/>
    <x v="40"/>
    <x v="1"/>
    <x v="0"/>
    <x v="0"/>
    <x v="1"/>
    <x v="0"/>
    <x v="0"/>
    <x v="0"/>
    <x v="0"/>
  </r>
  <r>
    <x v="396"/>
    <x v="196"/>
    <x v="194"/>
    <x v="192"/>
    <x v="318"/>
    <x v="1"/>
    <x v="2"/>
    <x v="205"/>
    <x v="165"/>
    <x v="1"/>
    <x v="93"/>
    <x v="0"/>
    <x v="0"/>
    <x v="3"/>
    <x v="1"/>
    <x v="1"/>
    <x v="2"/>
    <x v="2"/>
    <x v="1"/>
    <x v="1"/>
    <x v="2"/>
    <x v="0"/>
    <x v="1"/>
    <x v="3"/>
    <x v="4"/>
    <x v="194"/>
    <x v="3"/>
    <x v="0"/>
    <x v="0"/>
    <x v="1"/>
    <x v="0"/>
    <x v="0"/>
    <x v="0"/>
    <x v="0"/>
  </r>
  <r>
    <x v="397"/>
    <x v="198"/>
    <x v="196"/>
    <x v="194"/>
    <x v="319"/>
    <x v="3"/>
    <x v="2"/>
    <x v="207"/>
    <x v="71"/>
    <x v="1"/>
    <x v="2"/>
    <x v="0"/>
    <x v="0"/>
    <x v="1"/>
    <x v="3"/>
    <x v="2"/>
    <x v="2"/>
    <x v="1"/>
    <x v="3"/>
    <x v="1"/>
    <x v="1"/>
    <x v="85"/>
    <x v="1"/>
    <x v="6"/>
    <x v="3"/>
    <x v="196"/>
    <x v="3"/>
    <x v="1"/>
    <x v="7"/>
    <x v="1"/>
    <x v="0"/>
    <x v="234"/>
    <x v="0"/>
    <x v="117"/>
  </r>
  <r>
    <x v="398"/>
    <x v="199"/>
    <x v="197"/>
    <x v="195"/>
    <x v="320"/>
    <x v="1"/>
    <x v="2"/>
    <x v="208"/>
    <x v="170"/>
    <x v="1"/>
    <x v="94"/>
    <x v="0"/>
    <x v="0"/>
    <x v="1"/>
    <x v="1"/>
    <x v="1"/>
    <x v="2"/>
    <x v="1"/>
    <x v="3"/>
    <x v="1"/>
    <x v="2"/>
    <x v="0"/>
    <x v="2"/>
    <x v="2"/>
    <x v="2"/>
    <x v="197"/>
    <x v="1"/>
    <x v="0"/>
    <x v="0"/>
    <x v="1"/>
    <x v="0"/>
    <x v="0"/>
    <x v="0"/>
    <x v="0"/>
  </r>
  <r>
    <x v="399"/>
    <x v="200"/>
    <x v="198"/>
    <x v="196"/>
    <x v="321"/>
    <x v="2"/>
    <x v="2"/>
    <x v="209"/>
    <x v="171"/>
    <x v="1"/>
    <x v="15"/>
    <x v="0"/>
    <x v="0"/>
    <x v="1"/>
    <x v="2"/>
    <x v="3"/>
    <x v="2"/>
    <x v="2"/>
    <x v="3"/>
    <x v="1"/>
    <x v="1"/>
    <x v="87"/>
    <x v="1"/>
    <x v="1"/>
    <x v="13"/>
    <x v="198"/>
    <x v="1"/>
    <x v="1"/>
    <x v="4"/>
    <x v="2"/>
    <x v="1"/>
    <x v="235"/>
    <x v="112"/>
    <x v="118"/>
  </r>
  <r>
    <x v="400"/>
    <x v="201"/>
    <x v="199"/>
    <x v="197"/>
    <x v="322"/>
    <x v="3"/>
    <x v="2"/>
    <x v="210"/>
    <x v="172"/>
    <x v="1"/>
    <x v="3"/>
    <x v="0"/>
    <x v="0"/>
    <x v="1"/>
    <x v="1"/>
    <x v="1"/>
    <x v="2"/>
    <x v="2"/>
    <x v="2"/>
    <x v="1"/>
    <x v="2"/>
    <x v="0"/>
    <x v="1"/>
    <x v="1"/>
    <x v="2"/>
    <x v="199"/>
    <x v="12"/>
    <x v="0"/>
    <x v="0"/>
    <x v="1"/>
    <x v="0"/>
    <x v="0"/>
    <x v="0"/>
    <x v="119"/>
  </r>
  <r>
    <x v="401"/>
    <x v="202"/>
    <x v="200"/>
    <x v="198"/>
    <x v="323"/>
    <x v="1"/>
    <x v="2"/>
    <x v="211"/>
    <x v="173"/>
    <x v="2"/>
    <x v="0"/>
    <x v="2"/>
    <x v="0"/>
    <x v="1"/>
    <x v="3"/>
    <x v="3"/>
    <x v="2"/>
    <x v="1"/>
    <x v="2"/>
    <x v="1"/>
    <x v="1"/>
    <x v="87"/>
    <x v="1"/>
    <x v="1"/>
    <x v="2"/>
    <x v="200"/>
    <x v="2"/>
    <x v="1"/>
    <x v="1"/>
    <x v="1"/>
    <x v="0"/>
    <x v="236"/>
    <x v="0"/>
    <x v="0"/>
  </r>
  <r>
    <x v="402"/>
    <x v="198"/>
    <x v="196"/>
    <x v="194"/>
    <x v="0"/>
    <x v="3"/>
    <x v="2"/>
    <x v="207"/>
    <x v="71"/>
    <x v="1"/>
    <x v="2"/>
    <x v="0"/>
    <x v="0"/>
    <x v="3"/>
    <x v="1"/>
    <x v="1"/>
    <x v="2"/>
    <x v="1"/>
    <x v="3"/>
    <x v="1"/>
    <x v="2"/>
    <x v="0"/>
    <x v="2"/>
    <x v="3"/>
    <x v="4"/>
    <x v="196"/>
    <x v="12"/>
    <x v="0"/>
    <x v="0"/>
    <x v="1"/>
    <x v="0"/>
    <x v="0"/>
    <x v="0"/>
    <x v="0"/>
  </r>
  <r>
    <x v="403"/>
    <x v="150"/>
    <x v="150"/>
    <x v="148"/>
    <x v="324"/>
    <x v="1"/>
    <x v="2"/>
    <x v="155"/>
    <x v="130"/>
    <x v="1"/>
    <x v="95"/>
    <x v="0"/>
    <x v="0"/>
    <x v="1"/>
    <x v="2"/>
    <x v="3"/>
    <x v="2"/>
    <x v="1"/>
    <x v="1"/>
    <x v="1"/>
    <x v="1"/>
    <x v="87"/>
    <x v="1"/>
    <x v="5"/>
    <x v="2"/>
    <x v="201"/>
    <x v="12"/>
    <x v="1"/>
    <x v="4"/>
    <x v="1"/>
    <x v="0"/>
    <x v="237"/>
    <x v="0"/>
    <x v="0"/>
  </r>
  <r>
    <x v="404"/>
    <x v="194"/>
    <x v="192"/>
    <x v="190"/>
    <x v="0"/>
    <x v="1"/>
    <x v="2"/>
    <x v="203"/>
    <x v="167"/>
    <x v="1"/>
    <x v="33"/>
    <x v="0"/>
    <x v="0"/>
    <x v="3"/>
    <x v="1"/>
    <x v="1"/>
    <x v="2"/>
    <x v="1"/>
    <x v="2"/>
    <x v="1"/>
    <x v="2"/>
    <x v="0"/>
    <x v="2"/>
    <x v="3"/>
    <x v="4"/>
    <x v="192"/>
    <x v="5"/>
    <x v="0"/>
    <x v="0"/>
    <x v="1"/>
    <x v="0"/>
    <x v="0"/>
    <x v="0"/>
    <x v="0"/>
  </r>
  <r>
    <x v="405"/>
    <x v="150"/>
    <x v="150"/>
    <x v="148"/>
    <x v="0"/>
    <x v="1"/>
    <x v="2"/>
    <x v="155"/>
    <x v="130"/>
    <x v="1"/>
    <x v="96"/>
    <x v="0"/>
    <x v="0"/>
    <x v="3"/>
    <x v="3"/>
    <x v="3"/>
    <x v="2"/>
    <x v="1"/>
    <x v="1"/>
    <x v="1"/>
    <x v="1"/>
    <x v="86"/>
    <x v="2"/>
    <x v="3"/>
    <x v="4"/>
    <x v="149"/>
    <x v="1"/>
    <x v="1"/>
    <x v="1"/>
    <x v="1"/>
    <x v="0"/>
    <x v="238"/>
    <x v="113"/>
    <x v="120"/>
  </r>
  <r>
    <x v="406"/>
    <x v="43"/>
    <x v="42"/>
    <x v="42"/>
    <x v="325"/>
    <x v="3"/>
    <x v="2"/>
    <x v="45"/>
    <x v="46"/>
    <x v="2"/>
    <x v="0"/>
    <x v="5"/>
    <x v="0"/>
    <x v="1"/>
    <x v="2"/>
    <x v="3"/>
    <x v="2"/>
    <x v="2"/>
    <x v="2"/>
    <x v="1"/>
    <x v="1"/>
    <x v="86"/>
    <x v="1"/>
    <x v="6"/>
    <x v="2"/>
    <x v="42"/>
    <x v="5"/>
    <x v="3"/>
    <x v="0"/>
    <x v="1"/>
    <x v="0"/>
    <x v="239"/>
    <x v="114"/>
    <x v="0"/>
  </r>
  <r>
    <x v="407"/>
    <x v="202"/>
    <x v="200"/>
    <x v="198"/>
    <x v="0"/>
    <x v="1"/>
    <x v="1"/>
    <x v="211"/>
    <x v="174"/>
    <x v="6"/>
    <x v="0"/>
    <x v="2"/>
    <x v="0"/>
    <x v="3"/>
    <x v="4"/>
    <x v="1"/>
    <x v="2"/>
    <x v="1"/>
    <x v="2"/>
    <x v="1"/>
    <x v="2"/>
    <x v="0"/>
    <x v="2"/>
    <x v="3"/>
    <x v="4"/>
    <x v="200"/>
    <x v="5"/>
    <x v="0"/>
    <x v="0"/>
    <x v="1"/>
    <x v="0"/>
    <x v="0"/>
    <x v="0"/>
    <x v="0"/>
  </r>
  <r>
    <x v="408"/>
    <x v="152"/>
    <x v="152"/>
    <x v="150"/>
    <x v="0"/>
    <x v="3"/>
    <x v="2"/>
    <x v="157"/>
    <x v="114"/>
    <x v="1"/>
    <x v="2"/>
    <x v="0"/>
    <x v="0"/>
    <x v="3"/>
    <x v="1"/>
    <x v="1"/>
    <x v="2"/>
    <x v="2"/>
    <x v="2"/>
    <x v="1"/>
    <x v="1"/>
    <x v="88"/>
    <x v="2"/>
    <x v="3"/>
    <x v="4"/>
    <x v="202"/>
    <x v="5"/>
    <x v="1"/>
    <x v="5"/>
    <x v="2"/>
    <x v="1"/>
    <x v="240"/>
    <x v="0"/>
    <x v="0"/>
  </r>
  <r>
    <x v="409"/>
    <x v="200"/>
    <x v="198"/>
    <x v="196"/>
    <x v="326"/>
    <x v="2"/>
    <x v="2"/>
    <x v="209"/>
    <x v="171"/>
    <x v="1"/>
    <x v="22"/>
    <x v="0"/>
    <x v="0"/>
    <x v="3"/>
    <x v="3"/>
    <x v="3"/>
    <x v="2"/>
    <x v="2"/>
    <x v="1"/>
    <x v="1"/>
    <x v="1"/>
    <x v="86"/>
    <x v="1"/>
    <x v="3"/>
    <x v="4"/>
    <x v="198"/>
    <x v="1"/>
    <x v="3"/>
    <x v="0"/>
    <x v="1"/>
    <x v="0"/>
    <x v="241"/>
    <x v="115"/>
    <x v="118"/>
  </r>
  <r>
    <x v="410"/>
    <x v="203"/>
    <x v="201"/>
    <x v="199"/>
    <x v="327"/>
    <x v="3"/>
    <x v="3"/>
    <x v="212"/>
    <x v="175"/>
    <x v="1"/>
    <x v="97"/>
    <x v="0"/>
    <x v="0"/>
    <x v="1"/>
    <x v="1"/>
    <x v="1"/>
    <x v="2"/>
    <x v="1"/>
    <x v="2"/>
    <x v="1"/>
    <x v="2"/>
    <x v="0"/>
    <x v="2"/>
    <x v="6"/>
    <x v="3"/>
    <x v="203"/>
    <x v="1"/>
    <x v="0"/>
    <x v="0"/>
    <x v="1"/>
    <x v="0"/>
    <x v="0"/>
    <x v="0"/>
    <x v="0"/>
  </r>
  <r>
    <x v="411"/>
    <x v="204"/>
    <x v="202"/>
    <x v="200"/>
    <x v="328"/>
    <x v="3"/>
    <x v="2"/>
    <x v="213"/>
    <x v="176"/>
    <x v="1"/>
    <x v="3"/>
    <x v="0"/>
    <x v="0"/>
    <x v="1"/>
    <x v="3"/>
    <x v="2"/>
    <x v="2"/>
    <x v="1"/>
    <x v="2"/>
    <x v="1"/>
    <x v="1"/>
    <x v="89"/>
    <x v="1"/>
    <x v="6"/>
    <x v="2"/>
    <x v="204"/>
    <x v="12"/>
    <x v="2"/>
    <x v="7"/>
    <x v="1"/>
    <x v="0"/>
    <x v="242"/>
    <x v="0"/>
    <x v="121"/>
  </r>
  <r>
    <x v="412"/>
    <x v="205"/>
    <x v="203"/>
    <x v="201"/>
    <x v="329"/>
    <x v="1"/>
    <x v="1"/>
    <x v="214"/>
    <x v="177"/>
    <x v="1"/>
    <x v="31"/>
    <x v="0"/>
    <x v="0"/>
    <x v="1"/>
    <x v="1"/>
    <x v="1"/>
    <x v="2"/>
    <x v="2"/>
    <x v="1"/>
    <x v="1"/>
    <x v="1"/>
    <x v="90"/>
    <x v="1"/>
    <x v="1"/>
    <x v="2"/>
    <x v="205"/>
    <x v="12"/>
    <x v="1"/>
    <x v="7"/>
    <x v="1"/>
    <x v="0"/>
    <x v="243"/>
    <x v="116"/>
    <x v="122"/>
  </r>
  <r>
    <x v="413"/>
    <x v="206"/>
    <x v="204"/>
    <x v="202"/>
    <x v="330"/>
    <x v="2"/>
    <x v="2"/>
    <x v="215"/>
    <x v="178"/>
    <x v="1"/>
    <x v="1"/>
    <x v="0"/>
    <x v="0"/>
    <x v="1"/>
    <x v="2"/>
    <x v="3"/>
    <x v="2"/>
    <x v="2"/>
    <x v="1"/>
    <x v="1"/>
    <x v="1"/>
    <x v="89"/>
    <x v="1"/>
    <x v="1"/>
    <x v="2"/>
    <x v="206"/>
    <x v="2"/>
    <x v="1"/>
    <x v="3"/>
    <x v="1"/>
    <x v="0"/>
    <x v="244"/>
    <x v="117"/>
    <x v="0"/>
  </r>
  <r>
    <x v="414"/>
    <x v="207"/>
    <x v="205"/>
    <x v="203"/>
    <x v="331"/>
    <x v="1"/>
    <x v="2"/>
    <x v="216"/>
    <x v="179"/>
    <x v="1"/>
    <x v="9"/>
    <x v="0"/>
    <x v="0"/>
    <x v="1"/>
    <x v="3"/>
    <x v="2"/>
    <x v="2"/>
    <x v="2"/>
    <x v="2"/>
    <x v="1"/>
    <x v="1"/>
    <x v="88"/>
    <x v="1"/>
    <x v="1"/>
    <x v="2"/>
    <x v="207"/>
    <x v="3"/>
    <x v="1"/>
    <x v="4"/>
    <x v="1"/>
    <x v="0"/>
    <x v="245"/>
    <x v="0"/>
    <x v="0"/>
  </r>
  <r>
    <x v="415"/>
    <x v="206"/>
    <x v="204"/>
    <x v="202"/>
    <x v="330"/>
    <x v="2"/>
    <x v="2"/>
    <x v="215"/>
    <x v="180"/>
    <x v="1"/>
    <x v="1"/>
    <x v="0"/>
    <x v="0"/>
    <x v="3"/>
    <x v="1"/>
    <x v="1"/>
    <x v="2"/>
    <x v="1"/>
    <x v="3"/>
    <x v="1"/>
    <x v="2"/>
    <x v="0"/>
    <x v="2"/>
    <x v="3"/>
    <x v="4"/>
    <x v="206"/>
    <x v="3"/>
    <x v="0"/>
    <x v="0"/>
    <x v="1"/>
    <x v="0"/>
    <x v="0"/>
    <x v="0"/>
    <x v="0"/>
  </r>
  <r>
    <x v="416"/>
    <x v="208"/>
    <x v="206"/>
    <x v="204"/>
    <x v="332"/>
    <x v="1"/>
    <x v="3"/>
    <x v="217"/>
    <x v="58"/>
    <x v="1"/>
    <x v="3"/>
    <x v="0"/>
    <x v="0"/>
    <x v="1"/>
    <x v="3"/>
    <x v="2"/>
    <x v="2"/>
    <x v="1"/>
    <x v="2"/>
    <x v="1"/>
    <x v="1"/>
    <x v="88"/>
    <x v="1"/>
    <x v="5"/>
    <x v="2"/>
    <x v="208"/>
    <x v="12"/>
    <x v="3"/>
    <x v="0"/>
    <x v="1"/>
    <x v="0"/>
    <x v="246"/>
    <x v="118"/>
    <x v="123"/>
  </r>
  <r>
    <x v="417"/>
    <x v="207"/>
    <x v="205"/>
    <x v="203"/>
    <x v="0"/>
    <x v="1"/>
    <x v="2"/>
    <x v="216"/>
    <x v="181"/>
    <x v="1"/>
    <x v="9"/>
    <x v="0"/>
    <x v="0"/>
    <x v="3"/>
    <x v="1"/>
    <x v="1"/>
    <x v="2"/>
    <x v="2"/>
    <x v="2"/>
    <x v="1"/>
    <x v="2"/>
    <x v="0"/>
    <x v="2"/>
    <x v="3"/>
    <x v="4"/>
    <x v="207"/>
    <x v="1"/>
    <x v="0"/>
    <x v="0"/>
    <x v="1"/>
    <x v="0"/>
    <x v="0"/>
    <x v="0"/>
    <x v="0"/>
  </r>
  <r>
    <x v="418"/>
    <x v="152"/>
    <x v="152"/>
    <x v="150"/>
    <x v="0"/>
    <x v="3"/>
    <x v="2"/>
    <x v="157"/>
    <x v="114"/>
    <x v="1"/>
    <x v="2"/>
    <x v="0"/>
    <x v="0"/>
    <x v="3"/>
    <x v="2"/>
    <x v="3"/>
    <x v="2"/>
    <x v="1"/>
    <x v="3"/>
    <x v="1"/>
    <x v="1"/>
    <x v="91"/>
    <x v="2"/>
    <x v="3"/>
    <x v="4"/>
    <x v="202"/>
    <x v="2"/>
    <x v="1"/>
    <x v="1"/>
    <x v="1"/>
    <x v="0"/>
    <x v="247"/>
    <x v="119"/>
    <x v="0"/>
  </r>
  <r>
    <x v="419"/>
    <x v="209"/>
    <x v="207"/>
    <x v="205"/>
    <x v="333"/>
    <x v="1"/>
    <x v="2"/>
    <x v="218"/>
    <x v="103"/>
    <x v="1"/>
    <x v="15"/>
    <x v="0"/>
    <x v="0"/>
    <x v="1"/>
    <x v="1"/>
    <x v="1"/>
    <x v="2"/>
    <x v="1"/>
    <x v="3"/>
    <x v="1"/>
    <x v="2"/>
    <x v="0"/>
    <x v="2"/>
    <x v="1"/>
    <x v="2"/>
    <x v="209"/>
    <x v="4"/>
    <x v="0"/>
    <x v="0"/>
    <x v="1"/>
    <x v="0"/>
    <x v="0"/>
    <x v="0"/>
    <x v="0"/>
  </r>
  <r>
    <x v="420"/>
    <x v="210"/>
    <x v="208"/>
    <x v="206"/>
    <x v="334"/>
    <x v="3"/>
    <x v="2"/>
    <x v="219"/>
    <x v="57"/>
    <x v="1"/>
    <x v="9"/>
    <x v="0"/>
    <x v="0"/>
    <x v="1"/>
    <x v="1"/>
    <x v="1"/>
    <x v="2"/>
    <x v="1"/>
    <x v="2"/>
    <x v="1"/>
    <x v="1"/>
    <x v="92"/>
    <x v="1"/>
    <x v="5"/>
    <x v="2"/>
    <x v="210"/>
    <x v="5"/>
    <x v="1"/>
    <x v="5"/>
    <x v="2"/>
    <x v="1"/>
    <x v="248"/>
    <x v="0"/>
    <x v="0"/>
  </r>
  <r>
    <x v="421"/>
    <x v="150"/>
    <x v="150"/>
    <x v="148"/>
    <x v="0"/>
    <x v="1"/>
    <x v="2"/>
    <x v="155"/>
    <x v="130"/>
    <x v="1"/>
    <x v="96"/>
    <x v="0"/>
    <x v="0"/>
    <x v="3"/>
    <x v="1"/>
    <x v="1"/>
    <x v="2"/>
    <x v="1"/>
    <x v="2"/>
    <x v="1"/>
    <x v="2"/>
    <x v="0"/>
    <x v="2"/>
    <x v="3"/>
    <x v="4"/>
    <x v="149"/>
    <x v="5"/>
    <x v="0"/>
    <x v="0"/>
    <x v="1"/>
    <x v="0"/>
    <x v="0"/>
    <x v="0"/>
    <x v="0"/>
  </r>
  <r>
    <x v="422"/>
    <x v="211"/>
    <x v="209"/>
    <x v="207"/>
    <x v="335"/>
    <x v="3"/>
    <x v="1"/>
    <x v="220"/>
    <x v="10"/>
    <x v="6"/>
    <x v="0"/>
    <x v="0"/>
    <x v="8"/>
    <x v="1"/>
    <x v="3"/>
    <x v="2"/>
    <x v="2"/>
    <x v="1"/>
    <x v="3"/>
    <x v="1"/>
    <x v="2"/>
    <x v="0"/>
    <x v="1"/>
    <x v="1"/>
    <x v="2"/>
    <x v="211"/>
    <x v="5"/>
    <x v="0"/>
    <x v="0"/>
    <x v="1"/>
    <x v="0"/>
    <x v="0"/>
    <x v="0"/>
    <x v="124"/>
  </r>
  <r>
    <x v="423"/>
    <x v="152"/>
    <x v="152"/>
    <x v="150"/>
    <x v="0"/>
    <x v="3"/>
    <x v="2"/>
    <x v="157"/>
    <x v="114"/>
    <x v="1"/>
    <x v="2"/>
    <x v="0"/>
    <x v="0"/>
    <x v="3"/>
    <x v="1"/>
    <x v="1"/>
    <x v="2"/>
    <x v="1"/>
    <x v="2"/>
    <x v="1"/>
    <x v="2"/>
    <x v="0"/>
    <x v="2"/>
    <x v="3"/>
    <x v="4"/>
    <x v="202"/>
    <x v="5"/>
    <x v="0"/>
    <x v="0"/>
    <x v="1"/>
    <x v="0"/>
    <x v="0"/>
    <x v="0"/>
    <x v="0"/>
  </r>
  <r>
    <x v="424"/>
    <x v="185"/>
    <x v="183"/>
    <x v="181"/>
    <x v="336"/>
    <x v="1"/>
    <x v="2"/>
    <x v="221"/>
    <x v="10"/>
    <x v="1"/>
    <x v="4"/>
    <x v="0"/>
    <x v="0"/>
    <x v="1"/>
    <x v="1"/>
    <x v="1"/>
    <x v="2"/>
    <x v="1"/>
    <x v="3"/>
    <x v="1"/>
    <x v="1"/>
    <x v="0"/>
    <x v="1"/>
    <x v="2"/>
    <x v="3"/>
    <x v="182"/>
    <x v="1"/>
    <x v="0"/>
    <x v="0"/>
    <x v="1"/>
    <x v="0"/>
    <x v="249"/>
    <x v="0"/>
    <x v="0"/>
  </r>
  <r>
    <x v="425"/>
    <x v="185"/>
    <x v="183"/>
    <x v="181"/>
    <x v="337"/>
    <x v="1"/>
    <x v="2"/>
    <x v="193"/>
    <x v="10"/>
    <x v="1"/>
    <x v="15"/>
    <x v="0"/>
    <x v="0"/>
    <x v="1"/>
    <x v="3"/>
    <x v="3"/>
    <x v="2"/>
    <x v="1"/>
    <x v="3"/>
    <x v="1"/>
    <x v="1"/>
    <x v="92"/>
    <x v="1"/>
    <x v="1"/>
    <x v="2"/>
    <x v="182"/>
    <x v="1"/>
    <x v="3"/>
    <x v="0"/>
    <x v="1"/>
    <x v="0"/>
    <x v="250"/>
    <x v="0"/>
    <x v="0"/>
  </r>
  <r>
    <x v="426"/>
    <x v="212"/>
    <x v="210"/>
    <x v="208"/>
    <x v="338"/>
    <x v="1"/>
    <x v="2"/>
    <x v="222"/>
    <x v="10"/>
    <x v="1"/>
    <x v="98"/>
    <x v="0"/>
    <x v="0"/>
    <x v="1"/>
    <x v="2"/>
    <x v="3"/>
    <x v="2"/>
    <x v="1"/>
    <x v="2"/>
    <x v="1"/>
    <x v="1"/>
    <x v="92"/>
    <x v="1"/>
    <x v="1"/>
    <x v="2"/>
    <x v="212"/>
    <x v="4"/>
    <x v="3"/>
    <x v="0"/>
    <x v="1"/>
    <x v="0"/>
    <x v="251"/>
    <x v="120"/>
    <x v="0"/>
  </r>
  <r>
    <x v="427"/>
    <x v="213"/>
    <x v="211"/>
    <x v="209"/>
    <x v="339"/>
    <x v="1"/>
    <x v="2"/>
    <x v="223"/>
    <x v="182"/>
    <x v="1"/>
    <x v="3"/>
    <x v="0"/>
    <x v="0"/>
    <x v="1"/>
    <x v="1"/>
    <x v="1"/>
    <x v="2"/>
    <x v="1"/>
    <x v="3"/>
    <x v="1"/>
    <x v="1"/>
    <x v="93"/>
    <x v="1"/>
    <x v="1"/>
    <x v="2"/>
    <x v="213"/>
    <x v="1"/>
    <x v="1"/>
    <x v="8"/>
    <x v="1"/>
    <x v="0"/>
    <x v="252"/>
    <x v="121"/>
    <x v="0"/>
  </r>
  <r>
    <x v="428"/>
    <x v="214"/>
    <x v="212"/>
    <x v="210"/>
    <x v="340"/>
    <x v="1"/>
    <x v="2"/>
    <x v="224"/>
    <x v="183"/>
    <x v="1"/>
    <x v="99"/>
    <x v="0"/>
    <x v="0"/>
    <x v="1"/>
    <x v="1"/>
    <x v="1"/>
    <x v="2"/>
    <x v="1"/>
    <x v="3"/>
    <x v="1"/>
    <x v="2"/>
    <x v="0"/>
    <x v="1"/>
    <x v="1"/>
    <x v="2"/>
    <x v="214"/>
    <x v="12"/>
    <x v="0"/>
    <x v="0"/>
    <x v="1"/>
    <x v="0"/>
    <x v="0"/>
    <x v="0"/>
    <x v="0"/>
  </r>
  <r>
    <x v="429"/>
    <x v="215"/>
    <x v="213"/>
    <x v="211"/>
    <x v="341"/>
    <x v="1"/>
    <x v="2"/>
    <x v="225"/>
    <x v="184"/>
    <x v="1"/>
    <x v="36"/>
    <x v="0"/>
    <x v="0"/>
    <x v="1"/>
    <x v="5"/>
    <x v="1"/>
    <x v="1"/>
    <x v="1"/>
    <x v="2"/>
    <x v="1"/>
    <x v="2"/>
    <x v="0"/>
    <x v="1"/>
    <x v="1"/>
    <x v="13"/>
    <x v="215"/>
    <x v="12"/>
    <x v="0"/>
    <x v="0"/>
    <x v="1"/>
    <x v="0"/>
    <x v="0"/>
    <x v="0"/>
    <x v="125"/>
  </r>
  <r>
    <x v="430"/>
    <x v="216"/>
    <x v="214"/>
    <x v="212"/>
    <x v="342"/>
    <x v="1"/>
    <x v="3"/>
    <x v="226"/>
    <x v="185"/>
    <x v="1"/>
    <x v="100"/>
    <x v="0"/>
    <x v="0"/>
    <x v="1"/>
    <x v="1"/>
    <x v="1"/>
    <x v="2"/>
    <x v="1"/>
    <x v="1"/>
    <x v="1"/>
    <x v="2"/>
    <x v="0"/>
    <x v="1"/>
    <x v="5"/>
    <x v="2"/>
    <x v="216"/>
    <x v="12"/>
    <x v="0"/>
    <x v="0"/>
    <x v="1"/>
    <x v="0"/>
    <x v="0"/>
    <x v="0"/>
    <x v="0"/>
  </r>
  <r>
    <x v="431"/>
    <x v="210"/>
    <x v="208"/>
    <x v="206"/>
    <x v="343"/>
    <x v="3"/>
    <x v="2"/>
    <x v="219"/>
    <x v="186"/>
    <x v="1"/>
    <x v="9"/>
    <x v="0"/>
    <x v="0"/>
    <x v="3"/>
    <x v="1"/>
    <x v="1"/>
    <x v="2"/>
    <x v="1"/>
    <x v="1"/>
    <x v="1"/>
    <x v="2"/>
    <x v="0"/>
    <x v="1"/>
    <x v="3"/>
    <x v="4"/>
    <x v="210"/>
    <x v="2"/>
    <x v="0"/>
    <x v="0"/>
    <x v="1"/>
    <x v="0"/>
    <x v="0"/>
    <x v="0"/>
    <x v="0"/>
  </r>
  <r>
    <x v="432"/>
    <x v="95"/>
    <x v="215"/>
    <x v="93"/>
    <x v="344"/>
    <x v="1"/>
    <x v="2"/>
    <x v="100"/>
    <x v="92"/>
    <x v="1"/>
    <x v="3"/>
    <x v="0"/>
    <x v="0"/>
    <x v="1"/>
    <x v="1"/>
    <x v="1"/>
    <x v="2"/>
    <x v="1"/>
    <x v="1"/>
    <x v="1"/>
    <x v="2"/>
    <x v="0"/>
    <x v="1"/>
    <x v="2"/>
    <x v="2"/>
    <x v="94"/>
    <x v="12"/>
    <x v="0"/>
    <x v="0"/>
    <x v="1"/>
    <x v="0"/>
    <x v="0"/>
    <x v="0"/>
    <x v="0"/>
  </r>
  <r>
    <x v="433"/>
    <x v="217"/>
    <x v="216"/>
    <x v="213"/>
    <x v="345"/>
    <x v="1"/>
    <x v="2"/>
    <x v="227"/>
    <x v="187"/>
    <x v="1"/>
    <x v="3"/>
    <x v="0"/>
    <x v="0"/>
    <x v="1"/>
    <x v="1"/>
    <x v="1"/>
    <x v="2"/>
    <x v="1"/>
    <x v="2"/>
    <x v="1"/>
    <x v="2"/>
    <x v="0"/>
    <x v="1"/>
    <x v="1"/>
    <x v="2"/>
    <x v="217"/>
    <x v="12"/>
    <x v="0"/>
    <x v="0"/>
    <x v="1"/>
    <x v="0"/>
    <x v="0"/>
    <x v="0"/>
    <x v="126"/>
  </r>
  <r>
    <x v="434"/>
    <x v="218"/>
    <x v="217"/>
    <x v="214"/>
    <x v="346"/>
    <x v="1"/>
    <x v="2"/>
    <x v="228"/>
    <x v="188"/>
    <x v="1"/>
    <x v="33"/>
    <x v="0"/>
    <x v="0"/>
    <x v="1"/>
    <x v="3"/>
    <x v="3"/>
    <x v="2"/>
    <x v="2"/>
    <x v="1"/>
    <x v="1"/>
    <x v="1"/>
    <x v="94"/>
    <x v="1"/>
    <x v="5"/>
    <x v="2"/>
    <x v="218"/>
    <x v="12"/>
    <x v="3"/>
    <x v="0"/>
    <x v="1"/>
    <x v="0"/>
    <x v="253"/>
    <x v="122"/>
    <x v="127"/>
  </r>
  <r>
    <x v="435"/>
    <x v="219"/>
    <x v="218"/>
    <x v="215"/>
    <x v="347"/>
    <x v="3"/>
    <x v="2"/>
    <x v="229"/>
    <x v="10"/>
    <x v="1"/>
    <x v="15"/>
    <x v="0"/>
    <x v="0"/>
    <x v="1"/>
    <x v="1"/>
    <x v="1"/>
    <x v="2"/>
    <x v="1"/>
    <x v="2"/>
    <x v="1"/>
    <x v="1"/>
    <x v="95"/>
    <x v="1"/>
    <x v="6"/>
    <x v="2"/>
    <x v="219"/>
    <x v="5"/>
    <x v="3"/>
    <x v="0"/>
    <x v="1"/>
    <x v="0"/>
    <x v="254"/>
    <x v="123"/>
    <x v="128"/>
  </r>
  <r>
    <x v="436"/>
    <x v="213"/>
    <x v="211"/>
    <x v="209"/>
    <x v="0"/>
    <x v="1"/>
    <x v="2"/>
    <x v="223"/>
    <x v="189"/>
    <x v="1"/>
    <x v="3"/>
    <x v="0"/>
    <x v="0"/>
    <x v="3"/>
    <x v="1"/>
    <x v="1"/>
    <x v="2"/>
    <x v="1"/>
    <x v="2"/>
    <x v="1"/>
    <x v="2"/>
    <x v="0"/>
    <x v="2"/>
    <x v="6"/>
    <x v="2"/>
    <x v="213"/>
    <x v="8"/>
    <x v="0"/>
    <x v="0"/>
    <x v="1"/>
    <x v="0"/>
    <x v="0"/>
    <x v="0"/>
    <x v="0"/>
  </r>
  <r>
    <x v="437"/>
    <x v="220"/>
    <x v="219"/>
    <x v="216"/>
    <x v="348"/>
    <x v="1"/>
    <x v="3"/>
    <x v="230"/>
    <x v="190"/>
    <x v="2"/>
    <x v="0"/>
    <x v="5"/>
    <x v="0"/>
    <x v="1"/>
    <x v="2"/>
    <x v="3"/>
    <x v="2"/>
    <x v="1"/>
    <x v="2"/>
    <x v="1"/>
    <x v="1"/>
    <x v="94"/>
    <x v="1"/>
    <x v="6"/>
    <x v="2"/>
    <x v="220"/>
    <x v="5"/>
    <x v="3"/>
    <x v="0"/>
    <x v="1"/>
    <x v="0"/>
    <x v="255"/>
    <x v="124"/>
    <x v="0"/>
  </r>
  <r>
    <x v="438"/>
    <x v="169"/>
    <x v="169"/>
    <x v="167"/>
    <x v="349"/>
    <x v="1"/>
    <x v="2"/>
    <x v="177"/>
    <x v="147"/>
    <x v="1"/>
    <x v="15"/>
    <x v="0"/>
    <x v="0"/>
    <x v="1"/>
    <x v="1"/>
    <x v="1"/>
    <x v="2"/>
    <x v="1"/>
    <x v="2"/>
    <x v="1"/>
    <x v="1"/>
    <x v="95"/>
    <x v="1"/>
    <x v="1"/>
    <x v="2"/>
    <x v="168"/>
    <x v="12"/>
    <x v="1"/>
    <x v="7"/>
    <x v="1"/>
    <x v="0"/>
    <x v="256"/>
    <x v="0"/>
    <x v="129"/>
  </r>
  <r>
    <x v="439"/>
    <x v="169"/>
    <x v="169"/>
    <x v="167"/>
    <x v="349"/>
    <x v="1"/>
    <x v="2"/>
    <x v="177"/>
    <x v="147"/>
    <x v="1"/>
    <x v="15"/>
    <x v="0"/>
    <x v="0"/>
    <x v="3"/>
    <x v="1"/>
    <x v="1"/>
    <x v="2"/>
    <x v="1"/>
    <x v="2"/>
    <x v="1"/>
    <x v="1"/>
    <x v="95"/>
    <x v="2"/>
    <x v="3"/>
    <x v="4"/>
    <x v="168"/>
    <x v="12"/>
    <x v="1"/>
    <x v="7"/>
    <x v="2"/>
    <x v="1"/>
    <x v="257"/>
    <x v="0"/>
    <x v="0"/>
  </r>
  <r>
    <x v="440"/>
    <x v="169"/>
    <x v="169"/>
    <x v="167"/>
    <x v="350"/>
    <x v="1"/>
    <x v="2"/>
    <x v="177"/>
    <x v="147"/>
    <x v="1"/>
    <x v="15"/>
    <x v="0"/>
    <x v="0"/>
    <x v="3"/>
    <x v="3"/>
    <x v="3"/>
    <x v="2"/>
    <x v="1"/>
    <x v="2"/>
    <x v="1"/>
    <x v="1"/>
    <x v="96"/>
    <x v="1"/>
    <x v="3"/>
    <x v="4"/>
    <x v="168"/>
    <x v="12"/>
    <x v="1"/>
    <x v="4"/>
    <x v="1"/>
    <x v="0"/>
    <x v="258"/>
    <x v="125"/>
    <x v="130"/>
  </r>
  <r>
    <x v="441"/>
    <x v="221"/>
    <x v="220"/>
    <x v="217"/>
    <x v="351"/>
    <x v="1"/>
    <x v="3"/>
    <x v="231"/>
    <x v="10"/>
    <x v="1"/>
    <x v="24"/>
    <x v="0"/>
    <x v="0"/>
    <x v="1"/>
    <x v="3"/>
    <x v="3"/>
    <x v="1"/>
    <x v="2"/>
    <x v="1"/>
    <x v="1"/>
    <x v="1"/>
    <x v="96"/>
    <x v="1"/>
    <x v="4"/>
    <x v="3"/>
    <x v="221"/>
    <x v="2"/>
    <x v="3"/>
    <x v="0"/>
    <x v="1"/>
    <x v="0"/>
    <x v="259"/>
    <x v="0"/>
    <x v="131"/>
  </r>
  <r>
    <x v="442"/>
    <x v="169"/>
    <x v="169"/>
    <x v="167"/>
    <x v="0"/>
    <x v="1"/>
    <x v="2"/>
    <x v="177"/>
    <x v="147"/>
    <x v="2"/>
    <x v="0"/>
    <x v="2"/>
    <x v="0"/>
    <x v="3"/>
    <x v="4"/>
    <x v="1"/>
    <x v="2"/>
    <x v="1"/>
    <x v="2"/>
    <x v="1"/>
    <x v="2"/>
    <x v="0"/>
    <x v="2"/>
    <x v="3"/>
    <x v="4"/>
    <x v="168"/>
    <x v="1"/>
    <x v="0"/>
    <x v="0"/>
    <x v="1"/>
    <x v="0"/>
    <x v="0"/>
    <x v="0"/>
    <x v="0"/>
  </r>
  <r>
    <x v="443"/>
    <x v="222"/>
    <x v="221"/>
    <x v="218"/>
    <x v="352"/>
    <x v="3"/>
    <x v="4"/>
    <x v="232"/>
    <x v="163"/>
    <x v="1"/>
    <x v="15"/>
    <x v="0"/>
    <x v="0"/>
    <x v="1"/>
    <x v="1"/>
    <x v="1"/>
    <x v="2"/>
    <x v="1"/>
    <x v="1"/>
    <x v="1"/>
    <x v="1"/>
    <x v="90"/>
    <x v="1"/>
    <x v="5"/>
    <x v="3"/>
    <x v="222"/>
    <x v="1"/>
    <x v="3"/>
    <x v="5"/>
    <x v="1"/>
    <x v="0"/>
    <x v="260"/>
    <x v="126"/>
    <x v="132"/>
  </r>
  <r>
    <x v="444"/>
    <x v="223"/>
    <x v="222"/>
    <x v="219"/>
    <x v="353"/>
    <x v="1"/>
    <x v="2"/>
    <x v="233"/>
    <x v="191"/>
    <x v="1"/>
    <x v="70"/>
    <x v="0"/>
    <x v="0"/>
    <x v="1"/>
    <x v="1"/>
    <x v="1"/>
    <x v="2"/>
    <x v="1"/>
    <x v="1"/>
    <x v="1"/>
    <x v="2"/>
    <x v="0"/>
    <x v="1"/>
    <x v="1"/>
    <x v="2"/>
    <x v="223"/>
    <x v="12"/>
    <x v="0"/>
    <x v="0"/>
    <x v="1"/>
    <x v="0"/>
    <x v="0"/>
    <x v="0"/>
    <x v="0"/>
  </r>
  <r>
    <x v="445"/>
    <x v="224"/>
    <x v="223"/>
    <x v="220"/>
    <x v="354"/>
    <x v="1"/>
    <x v="2"/>
    <x v="234"/>
    <x v="30"/>
    <x v="1"/>
    <x v="33"/>
    <x v="0"/>
    <x v="0"/>
    <x v="1"/>
    <x v="3"/>
    <x v="2"/>
    <x v="2"/>
    <x v="1"/>
    <x v="3"/>
    <x v="1"/>
    <x v="1"/>
    <x v="90"/>
    <x v="1"/>
    <x v="1"/>
    <x v="2"/>
    <x v="224"/>
    <x v="2"/>
    <x v="1"/>
    <x v="4"/>
    <x v="1"/>
    <x v="0"/>
    <x v="261"/>
    <x v="127"/>
    <x v="0"/>
  </r>
  <r>
    <x v="446"/>
    <x v="225"/>
    <x v="224"/>
    <x v="221"/>
    <x v="355"/>
    <x v="1"/>
    <x v="2"/>
    <x v="235"/>
    <x v="192"/>
    <x v="1"/>
    <x v="36"/>
    <x v="0"/>
    <x v="0"/>
    <x v="1"/>
    <x v="1"/>
    <x v="1"/>
    <x v="2"/>
    <x v="1"/>
    <x v="2"/>
    <x v="1"/>
    <x v="1"/>
    <x v="90"/>
    <x v="1"/>
    <x v="1"/>
    <x v="2"/>
    <x v="225"/>
    <x v="12"/>
    <x v="1"/>
    <x v="7"/>
    <x v="2"/>
    <x v="1"/>
    <x v="262"/>
    <x v="128"/>
    <x v="133"/>
  </r>
  <r>
    <x v="447"/>
    <x v="226"/>
    <x v="225"/>
    <x v="222"/>
    <x v="356"/>
    <x v="1"/>
    <x v="2"/>
    <x v="236"/>
    <x v="193"/>
    <x v="1"/>
    <x v="3"/>
    <x v="0"/>
    <x v="0"/>
    <x v="1"/>
    <x v="3"/>
    <x v="2"/>
    <x v="2"/>
    <x v="1"/>
    <x v="3"/>
    <x v="1"/>
    <x v="1"/>
    <x v="97"/>
    <x v="1"/>
    <x v="1"/>
    <x v="2"/>
    <x v="226"/>
    <x v="1"/>
    <x v="3"/>
    <x v="0"/>
    <x v="1"/>
    <x v="0"/>
    <x v="263"/>
    <x v="129"/>
    <x v="0"/>
  </r>
  <r>
    <x v="448"/>
    <x v="205"/>
    <x v="203"/>
    <x v="201"/>
    <x v="0"/>
    <x v="1"/>
    <x v="1"/>
    <x v="214"/>
    <x v="177"/>
    <x v="1"/>
    <x v="31"/>
    <x v="0"/>
    <x v="0"/>
    <x v="3"/>
    <x v="1"/>
    <x v="1"/>
    <x v="2"/>
    <x v="1"/>
    <x v="1"/>
    <x v="1"/>
    <x v="2"/>
    <x v="0"/>
    <x v="2"/>
    <x v="3"/>
    <x v="4"/>
    <x v="205"/>
    <x v="12"/>
    <x v="0"/>
    <x v="0"/>
    <x v="1"/>
    <x v="0"/>
    <x v="0"/>
    <x v="0"/>
    <x v="0"/>
  </r>
  <r>
    <x v="449"/>
    <x v="227"/>
    <x v="226"/>
    <x v="223"/>
    <x v="357"/>
    <x v="1"/>
    <x v="3"/>
    <x v="237"/>
    <x v="40"/>
    <x v="2"/>
    <x v="0"/>
    <x v="2"/>
    <x v="0"/>
    <x v="1"/>
    <x v="1"/>
    <x v="1"/>
    <x v="2"/>
    <x v="1"/>
    <x v="2"/>
    <x v="1"/>
    <x v="1"/>
    <x v="90"/>
    <x v="1"/>
    <x v="1"/>
    <x v="2"/>
    <x v="227"/>
    <x v="12"/>
    <x v="1"/>
    <x v="7"/>
    <x v="2"/>
    <x v="1"/>
    <x v="264"/>
    <x v="0"/>
    <x v="134"/>
  </r>
  <r>
    <x v="450"/>
    <x v="118"/>
    <x v="117"/>
    <x v="116"/>
    <x v="358"/>
    <x v="1"/>
    <x v="2"/>
    <x v="123"/>
    <x v="163"/>
    <x v="1"/>
    <x v="1"/>
    <x v="0"/>
    <x v="0"/>
    <x v="1"/>
    <x v="1"/>
    <x v="1"/>
    <x v="2"/>
    <x v="1"/>
    <x v="2"/>
    <x v="1"/>
    <x v="2"/>
    <x v="0"/>
    <x v="1"/>
    <x v="1"/>
    <x v="2"/>
    <x v="117"/>
    <x v="12"/>
    <x v="0"/>
    <x v="0"/>
    <x v="1"/>
    <x v="0"/>
    <x v="0"/>
    <x v="0"/>
    <x v="0"/>
  </r>
  <r>
    <x v="451"/>
    <x v="228"/>
    <x v="227"/>
    <x v="224"/>
    <x v="359"/>
    <x v="3"/>
    <x v="2"/>
    <x v="238"/>
    <x v="194"/>
    <x v="1"/>
    <x v="101"/>
    <x v="0"/>
    <x v="0"/>
    <x v="1"/>
    <x v="3"/>
    <x v="2"/>
    <x v="2"/>
    <x v="1"/>
    <x v="3"/>
    <x v="1"/>
    <x v="1"/>
    <x v="97"/>
    <x v="1"/>
    <x v="1"/>
    <x v="2"/>
    <x v="228"/>
    <x v="1"/>
    <x v="3"/>
    <x v="0"/>
    <x v="1"/>
    <x v="0"/>
    <x v="265"/>
    <x v="130"/>
    <x v="0"/>
  </r>
  <r>
    <x v="452"/>
    <x v="229"/>
    <x v="228"/>
    <x v="225"/>
    <x v="360"/>
    <x v="1"/>
    <x v="1"/>
    <x v="239"/>
    <x v="164"/>
    <x v="1"/>
    <x v="102"/>
    <x v="0"/>
    <x v="0"/>
    <x v="1"/>
    <x v="1"/>
    <x v="1"/>
    <x v="2"/>
    <x v="1"/>
    <x v="1"/>
    <x v="1"/>
    <x v="2"/>
    <x v="0"/>
    <x v="1"/>
    <x v="1"/>
    <x v="2"/>
    <x v="229"/>
    <x v="12"/>
    <x v="0"/>
    <x v="0"/>
    <x v="1"/>
    <x v="0"/>
    <x v="0"/>
    <x v="0"/>
    <x v="0"/>
  </r>
  <r>
    <x v="453"/>
    <x v="224"/>
    <x v="223"/>
    <x v="220"/>
    <x v="0"/>
    <x v="1"/>
    <x v="2"/>
    <x v="234"/>
    <x v="30"/>
    <x v="1"/>
    <x v="33"/>
    <x v="0"/>
    <x v="0"/>
    <x v="3"/>
    <x v="1"/>
    <x v="1"/>
    <x v="2"/>
    <x v="1"/>
    <x v="3"/>
    <x v="1"/>
    <x v="1"/>
    <x v="97"/>
    <x v="2"/>
    <x v="3"/>
    <x v="4"/>
    <x v="224"/>
    <x v="1"/>
    <x v="1"/>
    <x v="12"/>
    <x v="1"/>
    <x v="0"/>
    <x v="266"/>
    <x v="0"/>
    <x v="135"/>
  </r>
  <r>
    <x v="454"/>
    <x v="227"/>
    <x v="226"/>
    <x v="223"/>
    <x v="0"/>
    <x v="1"/>
    <x v="3"/>
    <x v="237"/>
    <x v="40"/>
    <x v="2"/>
    <x v="0"/>
    <x v="2"/>
    <x v="0"/>
    <x v="3"/>
    <x v="3"/>
    <x v="3"/>
    <x v="2"/>
    <x v="1"/>
    <x v="2"/>
    <x v="1"/>
    <x v="1"/>
    <x v="97"/>
    <x v="2"/>
    <x v="3"/>
    <x v="4"/>
    <x v="227"/>
    <x v="12"/>
    <x v="1"/>
    <x v="4"/>
    <x v="1"/>
    <x v="0"/>
    <x v="267"/>
    <x v="0"/>
    <x v="136"/>
  </r>
  <r>
    <x v="455"/>
    <x v="230"/>
    <x v="229"/>
    <x v="226"/>
    <x v="361"/>
    <x v="3"/>
    <x v="2"/>
    <x v="240"/>
    <x v="195"/>
    <x v="1"/>
    <x v="4"/>
    <x v="0"/>
    <x v="0"/>
    <x v="1"/>
    <x v="1"/>
    <x v="1"/>
    <x v="1"/>
    <x v="2"/>
    <x v="1"/>
    <x v="1"/>
    <x v="1"/>
    <x v="97"/>
    <x v="2"/>
    <x v="5"/>
    <x v="2"/>
    <x v="230"/>
    <x v="12"/>
    <x v="1"/>
    <x v="7"/>
    <x v="1"/>
    <x v="0"/>
    <x v="268"/>
    <x v="131"/>
    <x v="137"/>
  </r>
  <r>
    <x v="456"/>
    <x v="227"/>
    <x v="226"/>
    <x v="223"/>
    <x v="0"/>
    <x v="1"/>
    <x v="2"/>
    <x v="237"/>
    <x v="40"/>
    <x v="2"/>
    <x v="0"/>
    <x v="5"/>
    <x v="0"/>
    <x v="3"/>
    <x v="4"/>
    <x v="1"/>
    <x v="2"/>
    <x v="1"/>
    <x v="2"/>
    <x v="1"/>
    <x v="2"/>
    <x v="0"/>
    <x v="2"/>
    <x v="3"/>
    <x v="4"/>
    <x v="227"/>
    <x v="1"/>
    <x v="0"/>
    <x v="0"/>
    <x v="1"/>
    <x v="0"/>
    <x v="0"/>
    <x v="0"/>
    <x v="0"/>
  </r>
  <r>
    <x v="457"/>
    <x v="231"/>
    <x v="230"/>
    <x v="227"/>
    <x v="362"/>
    <x v="1"/>
    <x v="2"/>
    <x v="241"/>
    <x v="196"/>
    <x v="6"/>
    <x v="0"/>
    <x v="0"/>
    <x v="9"/>
    <x v="1"/>
    <x v="3"/>
    <x v="2"/>
    <x v="1"/>
    <x v="1"/>
    <x v="2"/>
    <x v="1"/>
    <x v="1"/>
    <x v="98"/>
    <x v="1"/>
    <x v="1"/>
    <x v="2"/>
    <x v="231"/>
    <x v="12"/>
    <x v="1"/>
    <x v="10"/>
    <x v="2"/>
    <x v="1"/>
    <x v="269"/>
    <x v="0"/>
    <x v="138"/>
  </r>
  <r>
    <x v="458"/>
    <x v="225"/>
    <x v="224"/>
    <x v="221"/>
    <x v="363"/>
    <x v="1"/>
    <x v="2"/>
    <x v="235"/>
    <x v="197"/>
    <x v="1"/>
    <x v="103"/>
    <x v="0"/>
    <x v="0"/>
    <x v="3"/>
    <x v="1"/>
    <x v="1"/>
    <x v="1"/>
    <x v="1"/>
    <x v="2"/>
    <x v="1"/>
    <x v="2"/>
    <x v="0"/>
    <x v="1"/>
    <x v="3"/>
    <x v="4"/>
    <x v="225"/>
    <x v="12"/>
    <x v="0"/>
    <x v="0"/>
    <x v="1"/>
    <x v="0"/>
    <x v="0"/>
    <x v="0"/>
    <x v="139"/>
  </r>
  <r>
    <x v="459"/>
    <x v="230"/>
    <x v="229"/>
    <x v="226"/>
    <x v="0"/>
    <x v="3"/>
    <x v="2"/>
    <x v="240"/>
    <x v="195"/>
    <x v="1"/>
    <x v="4"/>
    <x v="0"/>
    <x v="0"/>
    <x v="3"/>
    <x v="1"/>
    <x v="1"/>
    <x v="1"/>
    <x v="2"/>
    <x v="1"/>
    <x v="1"/>
    <x v="1"/>
    <x v="99"/>
    <x v="2"/>
    <x v="3"/>
    <x v="4"/>
    <x v="230"/>
    <x v="12"/>
    <x v="3"/>
    <x v="0"/>
    <x v="1"/>
    <x v="0"/>
    <x v="270"/>
    <x v="132"/>
    <x v="0"/>
  </r>
  <r>
    <x v="460"/>
    <x v="232"/>
    <x v="231"/>
    <x v="228"/>
    <x v="364"/>
    <x v="3"/>
    <x v="3"/>
    <x v="242"/>
    <x v="198"/>
    <x v="1"/>
    <x v="24"/>
    <x v="0"/>
    <x v="0"/>
    <x v="1"/>
    <x v="1"/>
    <x v="1"/>
    <x v="1"/>
    <x v="1"/>
    <x v="1"/>
    <x v="1"/>
    <x v="2"/>
    <x v="0"/>
    <x v="1"/>
    <x v="1"/>
    <x v="2"/>
    <x v="232"/>
    <x v="12"/>
    <x v="0"/>
    <x v="0"/>
    <x v="1"/>
    <x v="0"/>
    <x v="0"/>
    <x v="0"/>
    <x v="0"/>
  </r>
  <r>
    <x v="461"/>
    <x v="224"/>
    <x v="223"/>
    <x v="220"/>
    <x v="0"/>
    <x v="1"/>
    <x v="2"/>
    <x v="234"/>
    <x v="30"/>
    <x v="1"/>
    <x v="33"/>
    <x v="0"/>
    <x v="0"/>
    <x v="3"/>
    <x v="1"/>
    <x v="1"/>
    <x v="2"/>
    <x v="1"/>
    <x v="3"/>
    <x v="1"/>
    <x v="1"/>
    <x v="100"/>
    <x v="2"/>
    <x v="3"/>
    <x v="4"/>
    <x v="224"/>
    <x v="11"/>
    <x v="1"/>
    <x v="7"/>
    <x v="2"/>
    <x v="1"/>
    <x v="271"/>
    <x v="0"/>
    <x v="140"/>
  </r>
  <r>
    <x v="462"/>
    <x v="233"/>
    <x v="232"/>
    <x v="229"/>
    <x v="365"/>
    <x v="1"/>
    <x v="2"/>
    <x v="243"/>
    <x v="199"/>
    <x v="1"/>
    <x v="70"/>
    <x v="0"/>
    <x v="0"/>
    <x v="1"/>
    <x v="3"/>
    <x v="3"/>
    <x v="2"/>
    <x v="1"/>
    <x v="1"/>
    <x v="1"/>
    <x v="1"/>
    <x v="100"/>
    <x v="1"/>
    <x v="6"/>
    <x v="3"/>
    <x v="233"/>
    <x v="1"/>
    <x v="1"/>
    <x v="3"/>
    <x v="2"/>
    <x v="1"/>
    <x v="272"/>
    <x v="0"/>
    <x v="0"/>
  </r>
  <r>
    <x v="463"/>
    <x v="231"/>
    <x v="230"/>
    <x v="227"/>
    <x v="366"/>
    <x v="1"/>
    <x v="2"/>
    <x v="241"/>
    <x v="196"/>
    <x v="6"/>
    <x v="0"/>
    <x v="0"/>
    <x v="9"/>
    <x v="3"/>
    <x v="3"/>
    <x v="2"/>
    <x v="2"/>
    <x v="1"/>
    <x v="2"/>
    <x v="1"/>
    <x v="1"/>
    <x v="99"/>
    <x v="1"/>
    <x v="3"/>
    <x v="4"/>
    <x v="231"/>
    <x v="9"/>
    <x v="1"/>
    <x v="4"/>
    <x v="2"/>
    <x v="1"/>
    <x v="273"/>
    <x v="0"/>
    <x v="0"/>
  </r>
  <r>
    <x v="464"/>
    <x v="234"/>
    <x v="233"/>
    <x v="230"/>
    <x v="367"/>
    <x v="1"/>
    <x v="2"/>
    <x v="244"/>
    <x v="105"/>
    <x v="6"/>
    <x v="0"/>
    <x v="0"/>
    <x v="10"/>
    <x v="1"/>
    <x v="1"/>
    <x v="1"/>
    <x v="1"/>
    <x v="2"/>
    <x v="3"/>
    <x v="1"/>
    <x v="1"/>
    <x v="101"/>
    <x v="1"/>
    <x v="6"/>
    <x v="3"/>
    <x v="234"/>
    <x v="1"/>
    <x v="3"/>
    <x v="0"/>
    <x v="1"/>
    <x v="0"/>
    <x v="274"/>
    <x v="133"/>
    <x v="0"/>
  </r>
  <r>
    <x v="465"/>
    <x v="178"/>
    <x v="176"/>
    <x v="174"/>
    <x v="368"/>
    <x v="3"/>
    <x v="2"/>
    <x v="186"/>
    <x v="153"/>
    <x v="1"/>
    <x v="104"/>
    <x v="0"/>
    <x v="0"/>
    <x v="1"/>
    <x v="3"/>
    <x v="2"/>
    <x v="2"/>
    <x v="1"/>
    <x v="2"/>
    <x v="1"/>
    <x v="1"/>
    <x v="101"/>
    <x v="1"/>
    <x v="6"/>
    <x v="3"/>
    <x v="175"/>
    <x v="9"/>
    <x v="3"/>
    <x v="0"/>
    <x v="1"/>
    <x v="0"/>
    <x v="275"/>
    <x v="134"/>
    <x v="0"/>
  </r>
  <r>
    <x v="466"/>
    <x v="235"/>
    <x v="234"/>
    <x v="231"/>
    <x v="369"/>
    <x v="1"/>
    <x v="2"/>
    <x v="245"/>
    <x v="200"/>
    <x v="1"/>
    <x v="24"/>
    <x v="0"/>
    <x v="0"/>
    <x v="1"/>
    <x v="2"/>
    <x v="3"/>
    <x v="2"/>
    <x v="1"/>
    <x v="2"/>
    <x v="1"/>
    <x v="1"/>
    <x v="100"/>
    <x v="1"/>
    <x v="6"/>
    <x v="2"/>
    <x v="235"/>
    <x v="9"/>
    <x v="1"/>
    <x v="3"/>
    <x v="2"/>
    <x v="1"/>
    <x v="276"/>
    <x v="135"/>
    <x v="0"/>
  </r>
  <r>
    <x v="467"/>
    <x v="233"/>
    <x v="232"/>
    <x v="229"/>
    <x v="370"/>
    <x v="1"/>
    <x v="1"/>
    <x v="243"/>
    <x v="199"/>
    <x v="1"/>
    <x v="70"/>
    <x v="0"/>
    <x v="0"/>
    <x v="3"/>
    <x v="1"/>
    <x v="1"/>
    <x v="2"/>
    <x v="1"/>
    <x v="1"/>
    <x v="1"/>
    <x v="2"/>
    <x v="0"/>
    <x v="1"/>
    <x v="3"/>
    <x v="4"/>
    <x v="233"/>
    <x v="3"/>
    <x v="0"/>
    <x v="0"/>
    <x v="1"/>
    <x v="0"/>
    <x v="0"/>
    <x v="0"/>
    <x v="0"/>
  </r>
  <r>
    <x v="468"/>
    <x v="224"/>
    <x v="223"/>
    <x v="220"/>
    <x v="371"/>
    <x v="1"/>
    <x v="2"/>
    <x v="234"/>
    <x v="30"/>
    <x v="1"/>
    <x v="33"/>
    <x v="0"/>
    <x v="0"/>
    <x v="3"/>
    <x v="1"/>
    <x v="1"/>
    <x v="1"/>
    <x v="1"/>
    <x v="2"/>
    <x v="1"/>
    <x v="2"/>
    <x v="0"/>
    <x v="1"/>
    <x v="3"/>
    <x v="4"/>
    <x v="224"/>
    <x v="12"/>
    <x v="0"/>
    <x v="0"/>
    <x v="1"/>
    <x v="0"/>
    <x v="0"/>
    <x v="0"/>
    <x v="0"/>
  </r>
  <r>
    <x v="469"/>
    <x v="235"/>
    <x v="234"/>
    <x v="231"/>
    <x v="372"/>
    <x v="1"/>
    <x v="1"/>
    <x v="245"/>
    <x v="200"/>
    <x v="1"/>
    <x v="24"/>
    <x v="0"/>
    <x v="0"/>
    <x v="3"/>
    <x v="1"/>
    <x v="1"/>
    <x v="2"/>
    <x v="2"/>
    <x v="1"/>
    <x v="1"/>
    <x v="2"/>
    <x v="0"/>
    <x v="1"/>
    <x v="3"/>
    <x v="4"/>
    <x v="235"/>
    <x v="3"/>
    <x v="0"/>
    <x v="0"/>
    <x v="1"/>
    <x v="0"/>
    <x v="0"/>
    <x v="0"/>
    <x v="0"/>
  </r>
  <r>
    <x v="470"/>
    <x v="236"/>
    <x v="235"/>
    <x v="232"/>
    <x v="373"/>
    <x v="1"/>
    <x v="2"/>
    <x v="246"/>
    <x v="201"/>
    <x v="1"/>
    <x v="24"/>
    <x v="0"/>
    <x v="0"/>
    <x v="1"/>
    <x v="3"/>
    <x v="2"/>
    <x v="1"/>
    <x v="1"/>
    <x v="2"/>
    <x v="1"/>
    <x v="1"/>
    <x v="99"/>
    <x v="1"/>
    <x v="1"/>
    <x v="2"/>
    <x v="236"/>
    <x v="2"/>
    <x v="1"/>
    <x v="4"/>
    <x v="1"/>
    <x v="0"/>
    <x v="277"/>
    <x v="0"/>
    <x v="0"/>
  </r>
  <r>
    <x v="471"/>
    <x v="41"/>
    <x v="40"/>
    <x v="40"/>
    <x v="374"/>
    <x v="1"/>
    <x v="2"/>
    <x v="200"/>
    <x v="44"/>
    <x v="1"/>
    <x v="1"/>
    <x v="0"/>
    <x v="0"/>
    <x v="1"/>
    <x v="2"/>
    <x v="3"/>
    <x v="2"/>
    <x v="1"/>
    <x v="2"/>
    <x v="1"/>
    <x v="1"/>
    <x v="99"/>
    <x v="1"/>
    <x v="1"/>
    <x v="13"/>
    <x v="40"/>
    <x v="3"/>
    <x v="3"/>
    <x v="0"/>
    <x v="1"/>
    <x v="0"/>
    <x v="278"/>
    <x v="136"/>
    <x v="0"/>
  </r>
  <r>
    <x v="472"/>
    <x v="237"/>
    <x v="236"/>
    <x v="233"/>
    <x v="375"/>
    <x v="1"/>
    <x v="3"/>
    <x v="247"/>
    <x v="202"/>
    <x v="1"/>
    <x v="33"/>
    <x v="0"/>
    <x v="0"/>
    <x v="1"/>
    <x v="3"/>
    <x v="2"/>
    <x v="1"/>
    <x v="1"/>
    <x v="1"/>
    <x v="1"/>
    <x v="1"/>
    <x v="102"/>
    <x v="1"/>
    <x v="1"/>
    <x v="2"/>
    <x v="237"/>
    <x v="12"/>
    <x v="1"/>
    <x v="4"/>
    <x v="1"/>
    <x v="0"/>
    <x v="279"/>
    <x v="137"/>
    <x v="0"/>
  </r>
  <r>
    <x v="473"/>
    <x v="169"/>
    <x v="169"/>
    <x v="167"/>
    <x v="376"/>
    <x v="1"/>
    <x v="2"/>
    <x v="177"/>
    <x v="196"/>
    <x v="6"/>
    <x v="0"/>
    <x v="0"/>
    <x v="1"/>
    <x v="1"/>
    <x v="1"/>
    <x v="1"/>
    <x v="2"/>
    <x v="1"/>
    <x v="2"/>
    <x v="1"/>
    <x v="1"/>
    <x v="99"/>
    <x v="1"/>
    <x v="1"/>
    <x v="2"/>
    <x v="168"/>
    <x v="4"/>
    <x v="1"/>
    <x v="2"/>
    <x v="2"/>
    <x v="1"/>
    <x v="280"/>
    <x v="138"/>
    <x v="0"/>
  </r>
  <r>
    <x v="474"/>
    <x v="238"/>
    <x v="237"/>
    <x v="234"/>
    <x v="377"/>
    <x v="1"/>
    <x v="2"/>
    <x v="248"/>
    <x v="81"/>
    <x v="1"/>
    <x v="105"/>
    <x v="0"/>
    <x v="0"/>
    <x v="1"/>
    <x v="1"/>
    <x v="1"/>
    <x v="2"/>
    <x v="1"/>
    <x v="2"/>
    <x v="1"/>
    <x v="1"/>
    <x v="99"/>
    <x v="1"/>
    <x v="1"/>
    <x v="2"/>
    <x v="238"/>
    <x v="12"/>
    <x v="1"/>
    <x v="2"/>
    <x v="1"/>
    <x v="0"/>
    <x v="281"/>
    <x v="139"/>
    <x v="141"/>
  </r>
  <r>
    <x v="475"/>
    <x v="236"/>
    <x v="235"/>
    <x v="232"/>
    <x v="0"/>
    <x v="1"/>
    <x v="2"/>
    <x v="246"/>
    <x v="203"/>
    <x v="1"/>
    <x v="70"/>
    <x v="0"/>
    <x v="0"/>
    <x v="3"/>
    <x v="3"/>
    <x v="2"/>
    <x v="1"/>
    <x v="1"/>
    <x v="3"/>
    <x v="1"/>
    <x v="1"/>
    <x v="102"/>
    <x v="2"/>
    <x v="3"/>
    <x v="4"/>
    <x v="236"/>
    <x v="1"/>
    <x v="3"/>
    <x v="0"/>
    <x v="1"/>
    <x v="0"/>
    <x v="282"/>
    <x v="140"/>
    <x v="142"/>
  </r>
  <r>
    <x v="476"/>
    <x v="231"/>
    <x v="230"/>
    <x v="227"/>
    <x v="378"/>
    <x v="1"/>
    <x v="2"/>
    <x v="241"/>
    <x v="196"/>
    <x v="6"/>
    <x v="0"/>
    <x v="0"/>
    <x v="11"/>
    <x v="3"/>
    <x v="1"/>
    <x v="1"/>
    <x v="2"/>
    <x v="1"/>
    <x v="3"/>
    <x v="1"/>
    <x v="2"/>
    <x v="0"/>
    <x v="1"/>
    <x v="3"/>
    <x v="4"/>
    <x v="231"/>
    <x v="1"/>
    <x v="0"/>
    <x v="0"/>
    <x v="1"/>
    <x v="0"/>
    <x v="0"/>
    <x v="0"/>
    <x v="0"/>
  </r>
  <r>
    <x v="477"/>
    <x v="238"/>
    <x v="237"/>
    <x v="234"/>
    <x v="0"/>
    <x v="1"/>
    <x v="2"/>
    <x v="248"/>
    <x v="81"/>
    <x v="1"/>
    <x v="0"/>
    <x v="0"/>
    <x v="0"/>
    <x v="3"/>
    <x v="4"/>
    <x v="1"/>
    <x v="2"/>
    <x v="1"/>
    <x v="2"/>
    <x v="1"/>
    <x v="2"/>
    <x v="0"/>
    <x v="2"/>
    <x v="3"/>
    <x v="4"/>
    <x v="238"/>
    <x v="4"/>
    <x v="0"/>
    <x v="0"/>
    <x v="1"/>
    <x v="0"/>
    <x v="0"/>
    <x v="0"/>
    <x v="0"/>
  </r>
  <r>
    <x v="478"/>
    <x v="239"/>
    <x v="238"/>
    <x v="235"/>
    <x v="379"/>
    <x v="1"/>
    <x v="2"/>
    <x v="249"/>
    <x v="71"/>
    <x v="1"/>
    <x v="1"/>
    <x v="0"/>
    <x v="0"/>
    <x v="1"/>
    <x v="1"/>
    <x v="1"/>
    <x v="1"/>
    <x v="1"/>
    <x v="3"/>
    <x v="1"/>
    <x v="1"/>
    <x v="99"/>
    <x v="1"/>
    <x v="1"/>
    <x v="2"/>
    <x v="239"/>
    <x v="4"/>
    <x v="1"/>
    <x v="2"/>
    <x v="1"/>
    <x v="0"/>
    <x v="283"/>
    <x v="0"/>
    <x v="0"/>
  </r>
  <r>
    <x v="479"/>
    <x v="239"/>
    <x v="238"/>
    <x v="235"/>
    <x v="379"/>
    <x v="1"/>
    <x v="2"/>
    <x v="249"/>
    <x v="71"/>
    <x v="1"/>
    <x v="1"/>
    <x v="0"/>
    <x v="0"/>
    <x v="3"/>
    <x v="1"/>
    <x v="1"/>
    <x v="1"/>
    <x v="1"/>
    <x v="3"/>
    <x v="1"/>
    <x v="2"/>
    <x v="0"/>
    <x v="1"/>
    <x v="3"/>
    <x v="4"/>
    <x v="239"/>
    <x v="4"/>
    <x v="0"/>
    <x v="0"/>
    <x v="1"/>
    <x v="0"/>
    <x v="0"/>
    <x v="0"/>
    <x v="0"/>
  </r>
  <r>
    <x v="480"/>
    <x v="169"/>
    <x v="169"/>
    <x v="167"/>
    <x v="380"/>
    <x v="1"/>
    <x v="2"/>
    <x v="177"/>
    <x v="196"/>
    <x v="6"/>
    <x v="0"/>
    <x v="0"/>
    <x v="1"/>
    <x v="3"/>
    <x v="1"/>
    <x v="1"/>
    <x v="2"/>
    <x v="1"/>
    <x v="2"/>
    <x v="1"/>
    <x v="1"/>
    <x v="103"/>
    <x v="1"/>
    <x v="3"/>
    <x v="4"/>
    <x v="168"/>
    <x v="4"/>
    <x v="3"/>
    <x v="0"/>
    <x v="1"/>
    <x v="0"/>
    <x v="284"/>
    <x v="141"/>
    <x v="143"/>
  </r>
  <r>
    <x v="481"/>
    <x v="240"/>
    <x v="239"/>
    <x v="236"/>
    <x v="381"/>
    <x v="1"/>
    <x v="1"/>
    <x v="250"/>
    <x v="204"/>
    <x v="1"/>
    <x v="2"/>
    <x v="0"/>
    <x v="0"/>
    <x v="1"/>
    <x v="3"/>
    <x v="3"/>
    <x v="1"/>
    <x v="1"/>
    <x v="2"/>
    <x v="1"/>
    <x v="1"/>
    <x v="102"/>
    <x v="1"/>
    <x v="1"/>
    <x v="2"/>
    <x v="240"/>
    <x v="12"/>
    <x v="1"/>
    <x v="5"/>
    <x v="2"/>
    <x v="1"/>
    <x v="285"/>
    <x v="0"/>
    <x v="144"/>
  </r>
  <r>
    <x v="482"/>
    <x v="241"/>
    <x v="240"/>
    <x v="237"/>
    <x v="382"/>
    <x v="1"/>
    <x v="2"/>
    <x v="251"/>
    <x v="80"/>
    <x v="1"/>
    <x v="22"/>
    <x v="0"/>
    <x v="0"/>
    <x v="1"/>
    <x v="2"/>
    <x v="3"/>
    <x v="2"/>
    <x v="1"/>
    <x v="2"/>
    <x v="1"/>
    <x v="1"/>
    <x v="102"/>
    <x v="1"/>
    <x v="2"/>
    <x v="2"/>
    <x v="241"/>
    <x v="1"/>
    <x v="3"/>
    <x v="0"/>
    <x v="1"/>
    <x v="0"/>
    <x v="286"/>
    <x v="142"/>
    <x v="145"/>
  </r>
  <r>
    <x v="483"/>
    <x v="242"/>
    <x v="241"/>
    <x v="238"/>
    <x v="383"/>
    <x v="3"/>
    <x v="2"/>
    <x v="252"/>
    <x v="196"/>
    <x v="6"/>
    <x v="0"/>
    <x v="0"/>
    <x v="12"/>
    <x v="1"/>
    <x v="1"/>
    <x v="1"/>
    <x v="2"/>
    <x v="1"/>
    <x v="3"/>
    <x v="1"/>
    <x v="1"/>
    <x v="102"/>
    <x v="2"/>
    <x v="1"/>
    <x v="2"/>
    <x v="242"/>
    <x v="4"/>
    <x v="1"/>
    <x v="2"/>
    <x v="1"/>
    <x v="0"/>
    <x v="287"/>
    <x v="0"/>
    <x v="146"/>
  </r>
  <r>
    <x v="484"/>
    <x v="242"/>
    <x v="241"/>
    <x v="238"/>
    <x v="0"/>
    <x v="3"/>
    <x v="2"/>
    <x v="252"/>
    <x v="196"/>
    <x v="6"/>
    <x v="0"/>
    <x v="0"/>
    <x v="12"/>
    <x v="3"/>
    <x v="1"/>
    <x v="1"/>
    <x v="2"/>
    <x v="1"/>
    <x v="3"/>
    <x v="1"/>
    <x v="2"/>
    <x v="0"/>
    <x v="2"/>
    <x v="3"/>
    <x v="4"/>
    <x v="242"/>
    <x v="4"/>
    <x v="0"/>
    <x v="0"/>
    <x v="1"/>
    <x v="0"/>
    <x v="0"/>
    <x v="0"/>
    <x v="0"/>
  </r>
  <r>
    <x v="485"/>
    <x v="243"/>
    <x v="242"/>
    <x v="239"/>
    <x v="384"/>
    <x v="1"/>
    <x v="1"/>
    <x v="253"/>
    <x v="205"/>
    <x v="1"/>
    <x v="106"/>
    <x v="0"/>
    <x v="0"/>
    <x v="1"/>
    <x v="1"/>
    <x v="1"/>
    <x v="1"/>
    <x v="1"/>
    <x v="2"/>
    <x v="2"/>
    <x v="1"/>
    <x v="103"/>
    <x v="1"/>
    <x v="1"/>
    <x v="2"/>
    <x v="243"/>
    <x v="12"/>
    <x v="1"/>
    <x v="2"/>
    <x v="2"/>
    <x v="1"/>
    <x v="288"/>
    <x v="0"/>
    <x v="147"/>
  </r>
  <r>
    <x v="486"/>
    <x v="237"/>
    <x v="236"/>
    <x v="233"/>
    <x v="0"/>
    <x v="1"/>
    <x v="2"/>
    <x v="247"/>
    <x v="202"/>
    <x v="1"/>
    <x v="33"/>
    <x v="0"/>
    <x v="0"/>
    <x v="3"/>
    <x v="3"/>
    <x v="2"/>
    <x v="2"/>
    <x v="1"/>
    <x v="3"/>
    <x v="1"/>
    <x v="1"/>
    <x v="104"/>
    <x v="2"/>
    <x v="3"/>
    <x v="4"/>
    <x v="237"/>
    <x v="1"/>
    <x v="3"/>
    <x v="0"/>
    <x v="1"/>
    <x v="0"/>
    <x v="289"/>
    <x v="143"/>
    <x v="0"/>
  </r>
  <r>
    <x v="487"/>
    <x v="240"/>
    <x v="243"/>
    <x v="236"/>
    <x v="385"/>
    <x v="1"/>
    <x v="1"/>
    <x v="254"/>
    <x v="206"/>
    <x v="1"/>
    <x v="2"/>
    <x v="0"/>
    <x v="0"/>
    <x v="3"/>
    <x v="1"/>
    <x v="1"/>
    <x v="2"/>
    <x v="1"/>
    <x v="2"/>
    <x v="1"/>
    <x v="2"/>
    <x v="0"/>
    <x v="1"/>
    <x v="3"/>
    <x v="4"/>
    <x v="240"/>
    <x v="2"/>
    <x v="0"/>
    <x v="0"/>
    <x v="1"/>
    <x v="0"/>
    <x v="0"/>
    <x v="0"/>
    <x v="0"/>
  </r>
  <r>
    <x v="488"/>
    <x v="243"/>
    <x v="242"/>
    <x v="239"/>
    <x v="386"/>
    <x v="1"/>
    <x v="1"/>
    <x v="253"/>
    <x v="205"/>
    <x v="1"/>
    <x v="107"/>
    <x v="0"/>
    <x v="0"/>
    <x v="3"/>
    <x v="1"/>
    <x v="1"/>
    <x v="1"/>
    <x v="1"/>
    <x v="2"/>
    <x v="1"/>
    <x v="2"/>
    <x v="0"/>
    <x v="2"/>
    <x v="3"/>
    <x v="4"/>
    <x v="243"/>
    <x v="4"/>
    <x v="0"/>
    <x v="0"/>
    <x v="1"/>
    <x v="0"/>
    <x v="0"/>
    <x v="0"/>
    <x v="0"/>
  </r>
  <r>
    <x v="489"/>
    <x v="37"/>
    <x v="36"/>
    <x v="36"/>
    <x v="387"/>
    <x v="1"/>
    <x v="2"/>
    <x v="39"/>
    <x v="49"/>
    <x v="2"/>
    <x v="0"/>
    <x v="5"/>
    <x v="0"/>
    <x v="1"/>
    <x v="3"/>
    <x v="3"/>
    <x v="2"/>
    <x v="1"/>
    <x v="2"/>
    <x v="1"/>
    <x v="1"/>
    <x v="104"/>
    <x v="1"/>
    <x v="5"/>
    <x v="3"/>
    <x v="184"/>
    <x v="1"/>
    <x v="3"/>
    <x v="0"/>
    <x v="1"/>
    <x v="0"/>
    <x v="290"/>
    <x v="144"/>
    <x v="0"/>
  </r>
  <r>
    <x v="490"/>
    <x v="244"/>
    <x v="244"/>
    <x v="240"/>
    <x v="388"/>
    <x v="1"/>
    <x v="2"/>
    <x v="255"/>
    <x v="207"/>
    <x v="1"/>
    <x v="27"/>
    <x v="0"/>
    <x v="0"/>
    <x v="1"/>
    <x v="3"/>
    <x v="3"/>
    <x v="2"/>
    <x v="1"/>
    <x v="2"/>
    <x v="1"/>
    <x v="1"/>
    <x v="105"/>
    <x v="1"/>
    <x v="1"/>
    <x v="2"/>
    <x v="244"/>
    <x v="12"/>
    <x v="1"/>
    <x v="4"/>
    <x v="2"/>
    <x v="1"/>
    <x v="291"/>
    <x v="145"/>
    <x v="148"/>
  </r>
  <r>
    <x v="491"/>
    <x v="240"/>
    <x v="243"/>
    <x v="236"/>
    <x v="389"/>
    <x v="1"/>
    <x v="1"/>
    <x v="256"/>
    <x v="206"/>
    <x v="1"/>
    <x v="36"/>
    <x v="0"/>
    <x v="0"/>
    <x v="1"/>
    <x v="1"/>
    <x v="1"/>
    <x v="1"/>
    <x v="1"/>
    <x v="2"/>
    <x v="1"/>
    <x v="2"/>
    <x v="0"/>
    <x v="1"/>
    <x v="1"/>
    <x v="2"/>
    <x v="240"/>
    <x v="12"/>
    <x v="0"/>
    <x v="0"/>
    <x v="1"/>
    <x v="0"/>
    <x v="0"/>
    <x v="0"/>
    <x v="0"/>
  </r>
  <r>
    <x v="492"/>
    <x v="245"/>
    <x v="245"/>
    <x v="241"/>
    <x v="390"/>
    <x v="1"/>
    <x v="2"/>
    <x v="4"/>
    <x v="208"/>
    <x v="1"/>
    <x v="9"/>
    <x v="0"/>
    <x v="0"/>
    <x v="1"/>
    <x v="3"/>
    <x v="3"/>
    <x v="2"/>
    <x v="1"/>
    <x v="3"/>
    <x v="1"/>
    <x v="1"/>
    <x v="105"/>
    <x v="1"/>
    <x v="1"/>
    <x v="2"/>
    <x v="245"/>
    <x v="11"/>
    <x v="1"/>
    <x v="4"/>
    <x v="2"/>
    <x v="1"/>
    <x v="292"/>
    <x v="0"/>
    <x v="0"/>
  </r>
  <r>
    <x v="493"/>
    <x v="245"/>
    <x v="245"/>
    <x v="241"/>
    <x v="391"/>
    <x v="1"/>
    <x v="2"/>
    <x v="4"/>
    <x v="209"/>
    <x v="1"/>
    <x v="9"/>
    <x v="0"/>
    <x v="0"/>
    <x v="3"/>
    <x v="1"/>
    <x v="1"/>
    <x v="2"/>
    <x v="1"/>
    <x v="3"/>
    <x v="1"/>
    <x v="2"/>
    <x v="0"/>
    <x v="1"/>
    <x v="3"/>
    <x v="4"/>
    <x v="245"/>
    <x v="1"/>
    <x v="0"/>
    <x v="0"/>
    <x v="1"/>
    <x v="0"/>
    <x v="0"/>
    <x v="0"/>
    <x v="0"/>
  </r>
  <r>
    <x v="494"/>
    <x v="244"/>
    <x v="244"/>
    <x v="240"/>
    <x v="392"/>
    <x v="1"/>
    <x v="2"/>
    <x v="255"/>
    <x v="10"/>
    <x v="1"/>
    <x v="15"/>
    <x v="0"/>
    <x v="0"/>
    <x v="3"/>
    <x v="1"/>
    <x v="1"/>
    <x v="2"/>
    <x v="1"/>
    <x v="2"/>
    <x v="1"/>
    <x v="2"/>
    <x v="0"/>
    <x v="1"/>
    <x v="3"/>
    <x v="4"/>
    <x v="244"/>
    <x v="1"/>
    <x v="0"/>
    <x v="0"/>
    <x v="1"/>
    <x v="0"/>
    <x v="0"/>
    <x v="0"/>
    <x v="0"/>
  </r>
  <r>
    <x v="495"/>
    <x v="246"/>
    <x v="246"/>
    <x v="242"/>
    <x v="393"/>
    <x v="3"/>
    <x v="2"/>
    <x v="257"/>
    <x v="210"/>
    <x v="1"/>
    <x v="15"/>
    <x v="0"/>
    <x v="0"/>
    <x v="1"/>
    <x v="1"/>
    <x v="1"/>
    <x v="2"/>
    <x v="1"/>
    <x v="2"/>
    <x v="1"/>
    <x v="2"/>
    <x v="0"/>
    <x v="1"/>
    <x v="6"/>
    <x v="2"/>
    <x v="246"/>
    <x v="8"/>
    <x v="0"/>
    <x v="0"/>
    <x v="1"/>
    <x v="0"/>
    <x v="0"/>
    <x v="0"/>
    <x v="0"/>
  </r>
  <r>
    <x v="496"/>
    <x v="247"/>
    <x v="247"/>
    <x v="243"/>
    <x v="394"/>
    <x v="1"/>
    <x v="1"/>
    <x v="258"/>
    <x v="10"/>
    <x v="1"/>
    <x v="108"/>
    <x v="0"/>
    <x v="0"/>
    <x v="1"/>
    <x v="3"/>
    <x v="3"/>
    <x v="1"/>
    <x v="1"/>
    <x v="2"/>
    <x v="1"/>
    <x v="1"/>
    <x v="106"/>
    <x v="1"/>
    <x v="1"/>
    <x v="2"/>
    <x v="247"/>
    <x v="12"/>
    <x v="3"/>
    <x v="0"/>
    <x v="1"/>
    <x v="0"/>
    <x v="293"/>
    <x v="146"/>
    <x v="149"/>
  </r>
  <r>
    <x v="497"/>
    <x v="248"/>
    <x v="248"/>
    <x v="244"/>
    <x v="395"/>
    <x v="1"/>
    <x v="4"/>
    <x v="259"/>
    <x v="211"/>
    <x v="1"/>
    <x v="15"/>
    <x v="0"/>
    <x v="0"/>
    <x v="1"/>
    <x v="1"/>
    <x v="1"/>
    <x v="2"/>
    <x v="1"/>
    <x v="2"/>
    <x v="1"/>
    <x v="2"/>
    <x v="0"/>
    <x v="1"/>
    <x v="1"/>
    <x v="2"/>
    <x v="248"/>
    <x v="12"/>
    <x v="0"/>
    <x v="0"/>
    <x v="1"/>
    <x v="0"/>
    <x v="0"/>
    <x v="0"/>
    <x v="0"/>
  </r>
  <r>
    <x v="498"/>
    <x v="249"/>
    <x v="249"/>
    <x v="245"/>
    <x v="396"/>
    <x v="1"/>
    <x v="2"/>
    <x v="260"/>
    <x v="60"/>
    <x v="1"/>
    <x v="15"/>
    <x v="0"/>
    <x v="0"/>
    <x v="1"/>
    <x v="1"/>
    <x v="1"/>
    <x v="2"/>
    <x v="1"/>
    <x v="2"/>
    <x v="1"/>
    <x v="1"/>
    <x v="106"/>
    <x v="1"/>
    <x v="5"/>
    <x v="2"/>
    <x v="249"/>
    <x v="12"/>
    <x v="3"/>
    <x v="0"/>
    <x v="1"/>
    <x v="0"/>
    <x v="294"/>
    <x v="147"/>
    <x v="150"/>
  </r>
  <r>
    <x v="499"/>
    <x v="250"/>
    <x v="250"/>
    <x v="246"/>
    <x v="397"/>
    <x v="1"/>
    <x v="2"/>
    <x v="261"/>
    <x v="212"/>
    <x v="1"/>
    <x v="109"/>
    <x v="0"/>
    <x v="0"/>
    <x v="1"/>
    <x v="2"/>
    <x v="3"/>
    <x v="2"/>
    <x v="1"/>
    <x v="3"/>
    <x v="1"/>
    <x v="1"/>
    <x v="107"/>
    <x v="1"/>
    <x v="1"/>
    <x v="2"/>
    <x v="250"/>
    <x v="1"/>
    <x v="1"/>
    <x v="4"/>
    <x v="1"/>
    <x v="0"/>
    <x v="295"/>
    <x v="0"/>
    <x v="0"/>
  </r>
  <r>
    <x v="500"/>
    <x v="251"/>
    <x v="251"/>
    <x v="247"/>
    <x v="398"/>
    <x v="1"/>
    <x v="2"/>
    <x v="262"/>
    <x v="10"/>
    <x v="1"/>
    <x v="3"/>
    <x v="0"/>
    <x v="0"/>
    <x v="1"/>
    <x v="1"/>
    <x v="1"/>
    <x v="2"/>
    <x v="1"/>
    <x v="3"/>
    <x v="1"/>
    <x v="1"/>
    <x v="107"/>
    <x v="1"/>
    <x v="1"/>
    <x v="2"/>
    <x v="251"/>
    <x v="1"/>
    <x v="3"/>
    <x v="0"/>
    <x v="1"/>
    <x v="0"/>
    <x v="296"/>
    <x v="0"/>
    <x v="151"/>
  </r>
  <r>
    <x v="501"/>
    <x v="252"/>
    <x v="252"/>
    <x v="248"/>
    <x v="399"/>
    <x v="1"/>
    <x v="3"/>
    <x v="263"/>
    <x v="123"/>
    <x v="1"/>
    <x v="70"/>
    <x v="0"/>
    <x v="0"/>
    <x v="1"/>
    <x v="3"/>
    <x v="3"/>
    <x v="2"/>
    <x v="1"/>
    <x v="1"/>
    <x v="2"/>
    <x v="1"/>
    <x v="107"/>
    <x v="1"/>
    <x v="1"/>
    <x v="2"/>
    <x v="252"/>
    <x v="1"/>
    <x v="3"/>
    <x v="0"/>
    <x v="1"/>
    <x v="0"/>
    <x v="297"/>
    <x v="148"/>
    <x v="0"/>
  </r>
  <r>
    <x v="502"/>
    <x v="250"/>
    <x v="250"/>
    <x v="246"/>
    <x v="400"/>
    <x v="1"/>
    <x v="2"/>
    <x v="261"/>
    <x v="212"/>
    <x v="1"/>
    <x v="110"/>
    <x v="0"/>
    <x v="0"/>
    <x v="1"/>
    <x v="1"/>
    <x v="1"/>
    <x v="2"/>
    <x v="1"/>
    <x v="3"/>
    <x v="1"/>
    <x v="2"/>
    <x v="0"/>
    <x v="1"/>
    <x v="1"/>
    <x v="2"/>
    <x v="250"/>
    <x v="1"/>
    <x v="0"/>
    <x v="0"/>
    <x v="1"/>
    <x v="0"/>
    <x v="0"/>
    <x v="0"/>
    <x v="0"/>
  </r>
  <r>
    <x v="503"/>
    <x v="253"/>
    <x v="253"/>
    <x v="249"/>
    <x v="401"/>
    <x v="1"/>
    <x v="3"/>
    <x v="264"/>
    <x v="213"/>
    <x v="1"/>
    <x v="111"/>
    <x v="0"/>
    <x v="0"/>
    <x v="1"/>
    <x v="1"/>
    <x v="1"/>
    <x v="1"/>
    <x v="1"/>
    <x v="2"/>
    <x v="1"/>
    <x v="2"/>
    <x v="0"/>
    <x v="1"/>
    <x v="1"/>
    <x v="2"/>
    <x v="253"/>
    <x v="12"/>
    <x v="0"/>
    <x v="0"/>
    <x v="1"/>
    <x v="0"/>
    <x v="0"/>
    <x v="0"/>
    <x v="0"/>
  </r>
  <r>
    <x v="504"/>
    <x v="254"/>
    <x v="254"/>
    <x v="250"/>
    <x v="402"/>
    <x v="1"/>
    <x v="3"/>
    <x v="265"/>
    <x v="214"/>
    <x v="1"/>
    <x v="15"/>
    <x v="0"/>
    <x v="0"/>
    <x v="1"/>
    <x v="2"/>
    <x v="3"/>
    <x v="2"/>
    <x v="1"/>
    <x v="2"/>
    <x v="1"/>
    <x v="1"/>
    <x v="108"/>
    <x v="1"/>
    <x v="1"/>
    <x v="2"/>
    <x v="254"/>
    <x v="2"/>
    <x v="3"/>
    <x v="0"/>
    <x v="1"/>
    <x v="0"/>
    <x v="298"/>
    <x v="149"/>
    <x v="0"/>
  </r>
  <r>
    <x v="505"/>
    <x v="255"/>
    <x v="255"/>
    <x v="251"/>
    <x v="403"/>
    <x v="1"/>
    <x v="2"/>
    <x v="266"/>
    <x v="215"/>
    <x v="1"/>
    <x v="112"/>
    <x v="0"/>
    <x v="0"/>
    <x v="1"/>
    <x v="1"/>
    <x v="1"/>
    <x v="2"/>
    <x v="1"/>
    <x v="1"/>
    <x v="1"/>
    <x v="2"/>
    <x v="0"/>
    <x v="1"/>
    <x v="1"/>
    <x v="2"/>
    <x v="255"/>
    <x v="12"/>
    <x v="0"/>
    <x v="0"/>
    <x v="1"/>
    <x v="0"/>
    <x v="0"/>
    <x v="0"/>
    <x v="0"/>
  </r>
  <r>
    <x v="506"/>
    <x v="169"/>
    <x v="169"/>
    <x v="167"/>
    <x v="404"/>
    <x v="1"/>
    <x v="2"/>
    <x v="177"/>
    <x v="196"/>
    <x v="6"/>
    <x v="0"/>
    <x v="0"/>
    <x v="13"/>
    <x v="1"/>
    <x v="1"/>
    <x v="1"/>
    <x v="1"/>
    <x v="1"/>
    <x v="2"/>
    <x v="1"/>
    <x v="1"/>
    <x v="109"/>
    <x v="1"/>
    <x v="1"/>
    <x v="2"/>
    <x v="168"/>
    <x v="12"/>
    <x v="4"/>
    <x v="7"/>
    <x v="1"/>
    <x v="0"/>
    <x v="299"/>
    <x v="150"/>
    <x v="152"/>
  </r>
  <r>
    <x v="507"/>
    <x v="256"/>
    <x v="256"/>
    <x v="252"/>
    <x v="405"/>
    <x v="1"/>
    <x v="2"/>
    <x v="267"/>
    <x v="216"/>
    <x v="1"/>
    <x v="3"/>
    <x v="0"/>
    <x v="0"/>
    <x v="1"/>
    <x v="3"/>
    <x v="2"/>
    <x v="2"/>
    <x v="1"/>
    <x v="3"/>
    <x v="1"/>
    <x v="1"/>
    <x v="109"/>
    <x v="1"/>
    <x v="1"/>
    <x v="2"/>
    <x v="256"/>
    <x v="1"/>
    <x v="3"/>
    <x v="0"/>
    <x v="1"/>
    <x v="0"/>
    <x v="300"/>
    <x v="151"/>
    <x v="0"/>
  </r>
  <r>
    <x v="508"/>
    <x v="257"/>
    <x v="257"/>
    <x v="253"/>
    <x v="406"/>
    <x v="1"/>
    <x v="3"/>
    <x v="268"/>
    <x v="217"/>
    <x v="1"/>
    <x v="24"/>
    <x v="0"/>
    <x v="0"/>
    <x v="1"/>
    <x v="3"/>
    <x v="3"/>
    <x v="1"/>
    <x v="1"/>
    <x v="1"/>
    <x v="1"/>
    <x v="1"/>
    <x v="109"/>
    <x v="1"/>
    <x v="5"/>
    <x v="2"/>
    <x v="257"/>
    <x v="12"/>
    <x v="1"/>
    <x v="5"/>
    <x v="2"/>
    <x v="1"/>
    <x v="301"/>
    <x v="0"/>
    <x v="153"/>
  </r>
  <r>
    <x v="509"/>
    <x v="257"/>
    <x v="257"/>
    <x v="253"/>
    <x v="407"/>
    <x v="1"/>
    <x v="3"/>
    <x v="268"/>
    <x v="217"/>
    <x v="1"/>
    <x v="24"/>
    <x v="0"/>
    <x v="0"/>
    <x v="3"/>
    <x v="1"/>
    <x v="1"/>
    <x v="2"/>
    <x v="1"/>
    <x v="3"/>
    <x v="1"/>
    <x v="1"/>
    <x v="110"/>
    <x v="1"/>
    <x v="3"/>
    <x v="4"/>
    <x v="257"/>
    <x v="2"/>
    <x v="3"/>
    <x v="0"/>
    <x v="1"/>
    <x v="0"/>
    <x v="302"/>
    <x v="152"/>
    <x v="154"/>
  </r>
  <r>
    <x v="510"/>
    <x v="258"/>
    <x v="258"/>
    <x v="254"/>
    <x v="408"/>
    <x v="3"/>
    <x v="2"/>
    <x v="269"/>
    <x v="218"/>
    <x v="1"/>
    <x v="33"/>
    <x v="0"/>
    <x v="0"/>
    <x v="1"/>
    <x v="3"/>
    <x v="2"/>
    <x v="2"/>
    <x v="1"/>
    <x v="3"/>
    <x v="1"/>
    <x v="1"/>
    <x v="111"/>
    <x v="1"/>
    <x v="1"/>
    <x v="2"/>
    <x v="258"/>
    <x v="11"/>
    <x v="3"/>
    <x v="0"/>
    <x v="1"/>
    <x v="0"/>
    <x v="303"/>
    <x v="153"/>
    <x v="155"/>
  </r>
  <r>
    <x v="511"/>
    <x v="193"/>
    <x v="191"/>
    <x v="189"/>
    <x v="409"/>
    <x v="1"/>
    <x v="2"/>
    <x v="202"/>
    <x v="165"/>
    <x v="1"/>
    <x v="31"/>
    <x v="0"/>
    <x v="0"/>
    <x v="1"/>
    <x v="1"/>
    <x v="1"/>
    <x v="2"/>
    <x v="1"/>
    <x v="1"/>
    <x v="1"/>
    <x v="1"/>
    <x v="111"/>
    <x v="1"/>
    <x v="1"/>
    <x v="2"/>
    <x v="191"/>
    <x v="12"/>
    <x v="1"/>
    <x v="1"/>
    <x v="1"/>
    <x v="0"/>
    <x v="304"/>
    <x v="154"/>
    <x v="156"/>
  </r>
  <r>
    <x v="512"/>
    <x v="259"/>
    <x v="259"/>
    <x v="255"/>
    <x v="410"/>
    <x v="1"/>
    <x v="2"/>
    <x v="270"/>
    <x v="219"/>
    <x v="1"/>
    <x v="3"/>
    <x v="0"/>
    <x v="0"/>
    <x v="1"/>
    <x v="1"/>
    <x v="1"/>
    <x v="2"/>
    <x v="1"/>
    <x v="1"/>
    <x v="1"/>
    <x v="2"/>
    <x v="0"/>
    <x v="1"/>
    <x v="5"/>
    <x v="2"/>
    <x v="259"/>
    <x v="12"/>
    <x v="0"/>
    <x v="0"/>
    <x v="1"/>
    <x v="0"/>
    <x v="0"/>
    <x v="0"/>
    <x v="0"/>
  </r>
  <r>
    <x v="513"/>
    <x v="169"/>
    <x v="169"/>
    <x v="167"/>
    <x v="404"/>
    <x v="1"/>
    <x v="2"/>
    <x v="177"/>
    <x v="196"/>
    <x v="6"/>
    <x v="0"/>
    <x v="0"/>
    <x v="13"/>
    <x v="3"/>
    <x v="1"/>
    <x v="1"/>
    <x v="1"/>
    <x v="1"/>
    <x v="2"/>
    <x v="1"/>
    <x v="1"/>
    <x v="111"/>
    <x v="2"/>
    <x v="3"/>
    <x v="4"/>
    <x v="168"/>
    <x v="12"/>
    <x v="1"/>
    <x v="2"/>
    <x v="2"/>
    <x v="1"/>
    <x v="305"/>
    <x v="155"/>
    <x v="157"/>
  </r>
  <r>
    <x v="514"/>
    <x v="260"/>
    <x v="260"/>
    <x v="256"/>
    <x v="411"/>
    <x v="1"/>
    <x v="2"/>
    <x v="271"/>
    <x v="131"/>
    <x v="1"/>
    <x v="31"/>
    <x v="0"/>
    <x v="0"/>
    <x v="1"/>
    <x v="1"/>
    <x v="1"/>
    <x v="2"/>
    <x v="1"/>
    <x v="3"/>
    <x v="1"/>
    <x v="1"/>
    <x v="110"/>
    <x v="1"/>
    <x v="6"/>
    <x v="3"/>
    <x v="260"/>
    <x v="4"/>
    <x v="1"/>
    <x v="0"/>
    <x v="1"/>
    <x v="0"/>
    <x v="306"/>
    <x v="156"/>
    <x v="0"/>
  </r>
  <r>
    <x v="515"/>
    <x v="170"/>
    <x v="170"/>
    <x v="168"/>
    <x v="412"/>
    <x v="1"/>
    <x v="2"/>
    <x v="179"/>
    <x v="196"/>
    <x v="7"/>
    <x v="0"/>
    <x v="0"/>
    <x v="0"/>
    <x v="1"/>
    <x v="2"/>
    <x v="3"/>
    <x v="2"/>
    <x v="1"/>
    <x v="2"/>
    <x v="1"/>
    <x v="1"/>
    <x v="110"/>
    <x v="1"/>
    <x v="6"/>
    <x v="3"/>
    <x v="169"/>
    <x v="4"/>
    <x v="3"/>
    <x v="0"/>
    <x v="1"/>
    <x v="0"/>
    <x v="307"/>
    <x v="157"/>
    <x v="0"/>
  </r>
  <r>
    <x v="516"/>
    <x v="261"/>
    <x v="261"/>
    <x v="257"/>
    <x v="413"/>
    <x v="3"/>
    <x v="2"/>
    <x v="272"/>
    <x v="220"/>
    <x v="1"/>
    <x v="9"/>
    <x v="0"/>
    <x v="0"/>
    <x v="1"/>
    <x v="1"/>
    <x v="1"/>
    <x v="1"/>
    <x v="1"/>
    <x v="2"/>
    <x v="1"/>
    <x v="1"/>
    <x v="110"/>
    <x v="1"/>
    <x v="6"/>
    <x v="3"/>
    <x v="261"/>
    <x v="4"/>
    <x v="1"/>
    <x v="1"/>
    <x v="1"/>
    <x v="0"/>
    <x v="308"/>
    <x v="158"/>
    <x v="158"/>
  </r>
  <r>
    <x v="517"/>
    <x v="169"/>
    <x v="169"/>
    <x v="167"/>
    <x v="0"/>
    <x v="1"/>
    <x v="2"/>
    <x v="177"/>
    <x v="196"/>
    <x v="6"/>
    <x v="0"/>
    <x v="0"/>
    <x v="13"/>
    <x v="3"/>
    <x v="1"/>
    <x v="1"/>
    <x v="2"/>
    <x v="1"/>
    <x v="2"/>
    <x v="1"/>
    <x v="1"/>
    <x v="112"/>
    <x v="2"/>
    <x v="3"/>
    <x v="4"/>
    <x v="168"/>
    <x v="4"/>
    <x v="1"/>
    <x v="1"/>
    <x v="1"/>
    <x v="0"/>
    <x v="309"/>
    <x v="159"/>
    <x v="159"/>
  </r>
  <r>
    <x v="518"/>
    <x v="260"/>
    <x v="260"/>
    <x v="256"/>
    <x v="0"/>
    <x v="1"/>
    <x v="2"/>
    <x v="271"/>
    <x v="131"/>
    <x v="1"/>
    <x v="31"/>
    <x v="0"/>
    <x v="0"/>
    <x v="3"/>
    <x v="1"/>
    <x v="1"/>
    <x v="2"/>
    <x v="1"/>
    <x v="2"/>
    <x v="1"/>
    <x v="2"/>
    <x v="0"/>
    <x v="2"/>
    <x v="3"/>
    <x v="4"/>
    <x v="260"/>
    <x v="12"/>
    <x v="0"/>
    <x v="0"/>
    <x v="1"/>
    <x v="0"/>
    <x v="0"/>
    <x v="0"/>
    <x v="0"/>
  </r>
  <r>
    <x v="519"/>
    <x v="262"/>
    <x v="262"/>
    <x v="258"/>
    <x v="414"/>
    <x v="3"/>
    <x v="1"/>
    <x v="273"/>
    <x v="221"/>
    <x v="1"/>
    <x v="15"/>
    <x v="0"/>
    <x v="0"/>
    <x v="1"/>
    <x v="3"/>
    <x v="3"/>
    <x v="2"/>
    <x v="1"/>
    <x v="1"/>
    <x v="1"/>
    <x v="1"/>
    <x v="113"/>
    <x v="2"/>
    <x v="1"/>
    <x v="2"/>
    <x v="262"/>
    <x v="12"/>
    <x v="1"/>
    <x v="7"/>
    <x v="1"/>
    <x v="0"/>
    <x v="310"/>
    <x v="160"/>
    <x v="160"/>
  </r>
  <r>
    <x v="520"/>
    <x v="263"/>
    <x v="263"/>
    <x v="259"/>
    <x v="415"/>
    <x v="1"/>
    <x v="2"/>
    <x v="274"/>
    <x v="215"/>
    <x v="1"/>
    <x v="24"/>
    <x v="0"/>
    <x v="0"/>
    <x v="1"/>
    <x v="1"/>
    <x v="1"/>
    <x v="2"/>
    <x v="1"/>
    <x v="2"/>
    <x v="1"/>
    <x v="2"/>
    <x v="0"/>
    <x v="1"/>
    <x v="1"/>
    <x v="2"/>
    <x v="263"/>
    <x v="12"/>
    <x v="0"/>
    <x v="0"/>
    <x v="1"/>
    <x v="0"/>
    <x v="0"/>
    <x v="0"/>
    <x v="0"/>
  </r>
  <r>
    <x v="521"/>
    <x v="262"/>
    <x v="262"/>
    <x v="258"/>
    <x v="0"/>
    <x v="3"/>
    <x v="1"/>
    <x v="273"/>
    <x v="221"/>
    <x v="1"/>
    <x v="15"/>
    <x v="0"/>
    <x v="0"/>
    <x v="3"/>
    <x v="1"/>
    <x v="1"/>
    <x v="2"/>
    <x v="1"/>
    <x v="2"/>
    <x v="1"/>
    <x v="1"/>
    <x v="114"/>
    <x v="2"/>
    <x v="3"/>
    <x v="4"/>
    <x v="262"/>
    <x v="12"/>
    <x v="1"/>
    <x v="7"/>
    <x v="1"/>
    <x v="0"/>
    <x v="311"/>
    <x v="0"/>
    <x v="161"/>
  </r>
  <r>
    <x v="522"/>
    <x v="264"/>
    <x v="264"/>
    <x v="260"/>
    <x v="416"/>
    <x v="1"/>
    <x v="2"/>
    <x v="275"/>
    <x v="222"/>
    <x v="1"/>
    <x v="113"/>
    <x v="0"/>
    <x v="0"/>
    <x v="1"/>
    <x v="1"/>
    <x v="1"/>
    <x v="2"/>
    <x v="1"/>
    <x v="2"/>
    <x v="1"/>
    <x v="2"/>
    <x v="0"/>
    <x v="1"/>
    <x v="1"/>
    <x v="2"/>
    <x v="264"/>
    <x v="12"/>
    <x v="0"/>
    <x v="0"/>
    <x v="1"/>
    <x v="0"/>
    <x v="0"/>
    <x v="0"/>
    <x v="0"/>
  </r>
  <r>
    <x v="523"/>
    <x v="245"/>
    <x v="245"/>
    <x v="241"/>
    <x v="417"/>
    <x v="1"/>
    <x v="2"/>
    <x v="4"/>
    <x v="208"/>
    <x v="1"/>
    <x v="15"/>
    <x v="0"/>
    <x v="0"/>
    <x v="1"/>
    <x v="1"/>
    <x v="1"/>
    <x v="2"/>
    <x v="1"/>
    <x v="1"/>
    <x v="1"/>
    <x v="1"/>
    <x v="114"/>
    <x v="1"/>
    <x v="6"/>
    <x v="2"/>
    <x v="245"/>
    <x v="3"/>
    <x v="1"/>
    <x v="7"/>
    <x v="1"/>
    <x v="0"/>
    <x v="312"/>
    <x v="0"/>
    <x v="0"/>
  </r>
  <r>
    <x v="524"/>
    <x v="262"/>
    <x v="262"/>
    <x v="258"/>
    <x v="0"/>
    <x v="3"/>
    <x v="1"/>
    <x v="273"/>
    <x v="196"/>
    <x v="6"/>
    <x v="0"/>
    <x v="0"/>
    <x v="1"/>
    <x v="3"/>
    <x v="4"/>
    <x v="1"/>
    <x v="2"/>
    <x v="1"/>
    <x v="2"/>
    <x v="1"/>
    <x v="2"/>
    <x v="0"/>
    <x v="2"/>
    <x v="3"/>
    <x v="4"/>
    <x v="262"/>
    <x v="12"/>
    <x v="0"/>
    <x v="0"/>
    <x v="1"/>
    <x v="0"/>
    <x v="0"/>
    <x v="0"/>
    <x v="0"/>
  </r>
  <r>
    <x v="525"/>
    <x v="245"/>
    <x v="245"/>
    <x v="241"/>
    <x v="0"/>
    <x v="1"/>
    <x v="3"/>
    <x v="4"/>
    <x v="208"/>
    <x v="1"/>
    <x v="15"/>
    <x v="0"/>
    <x v="0"/>
    <x v="3"/>
    <x v="1"/>
    <x v="1"/>
    <x v="2"/>
    <x v="1"/>
    <x v="2"/>
    <x v="1"/>
    <x v="2"/>
    <x v="0"/>
    <x v="2"/>
    <x v="3"/>
    <x v="4"/>
    <x v="245"/>
    <x v="12"/>
    <x v="0"/>
    <x v="0"/>
    <x v="1"/>
    <x v="0"/>
    <x v="0"/>
    <x v="0"/>
    <x v="162"/>
  </r>
  <r>
    <x v="526"/>
    <x v="265"/>
    <x v="265"/>
    <x v="261"/>
    <x v="418"/>
    <x v="1"/>
    <x v="2"/>
    <x v="276"/>
    <x v="220"/>
    <x v="1"/>
    <x v="2"/>
    <x v="0"/>
    <x v="0"/>
    <x v="1"/>
    <x v="1"/>
    <x v="1"/>
    <x v="1"/>
    <x v="1"/>
    <x v="3"/>
    <x v="1"/>
    <x v="1"/>
    <x v="114"/>
    <x v="1"/>
    <x v="6"/>
    <x v="2"/>
    <x v="265"/>
    <x v="12"/>
    <x v="1"/>
    <x v="7"/>
    <x v="2"/>
    <x v="1"/>
    <x v="313"/>
    <x v="0"/>
    <x v="163"/>
  </r>
  <r>
    <x v="527"/>
    <x v="265"/>
    <x v="265"/>
    <x v="261"/>
    <x v="419"/>
    <x v="1"/>
    <x v="2"/>
    <x v="276"/>
    <x v="220"/>
    <x v="1"/>
    <x v="2"/>
    <x v="0"/>
    <x v="0"/>
    <x v="3"/>
    <x v="1"/>
    <x v="1"/>
    <x v="2"/>
    <x v="1"/>
    <x v="2"/>
    <x v="1"/>
    <x v="2"/>
    <x v="0"/>
    <x v="1"/>
    <x v="3"/>
    <x v="4"/>
    <x v="265"/>
    <x v="12"/>
    <x v="0"/>
    <x v="0"/>
    <x v="1"/>
    <x v="0"/>
    <x v="0"/>
    <x v="0"/>
    <x v="164"/>
  </r>
  <r>
    <x v="528"/>
    <x v="266"/>
    <x v="266"/>
    <x v="262"/>
    <x v="420"/>
    <x v="1"/>
    <x v="2"/>
    <x v="277"/>
    <x v="43"/>
    <x v="1"/>
    <x v="2"/>
    <x v="0"/>
    <x v="0"/>
    <x v="1"/>
    <x v="2"/>
    <x v="3"/>
    <x v="2"/>
    <x v="1"/>
    <x v="2"/>
    <x v="1"/>
    <x v="1"/>
    <x v="115"/>
    <x v="1"/>
    <x v="6"/>
    <x v="2"/>
    <x v="266"/>
    <x v="5"/>
    <x v="3"/>
    <x v="0"/>
    <x v="1"/>
    <x v="0"/>
    <x v="314"/>
    <x v="161"/>
    <x v="0"/>
  </r>
  <r>
    <x v="529"/>
    <x v="169"/>
    <x v="169"/>
    <x v="167"/>
    <x v="0"/>
    <x v="1"/>
    <x v="2"/>
    <x v="177"/>
    <x v="196"/>
    <x v="6"/>
    <x v="0"/>
    <x v="0"/>
    <x v="13"/>
    <x v="3"/>
    <x v="1"/>
    <x v="1"/>
    <x v="2"/>
    <x v="1"/>
    <x v="2"/>
    <x v="1"/>
    <x v="2"/>
    <x v="0"/>
    <x v="2"/>
    <x v="3"/>
    <x v="4"/>
    <x v="168"/>
    <x v="5"/>
    <x v="0"/>
    <x v="0"/>
    <x v="1"/>
    <x v="0"/>
    <x v="0"/>
    <x v="0"/>
    <x v="165"/>
  </r>
  <r>
    <x v="530"/>
    <x v="261"/>
    <x v="261"/>
    <x v="257"/>
    <x v="0"/>
    <x v="3"/>
    <x v="2"/>
    <x v="272"/>
    <x v="220"/>
    <x v="1"/>
    <x v="9"/>
    <x v="0"/>
    <x v="0"/>
    <x v="3"/>
    <x v="1"/>
    <x v="1"/>
    <x v="2"/>
    <x v="1"/>
    <x v="2"/>
    <x v="1"/>
    <x v="2"/>
    <x v="0"/>
    <x v="2"/>
    <x v="3"/>
    <x v="4"/>
    <x v="261"/>
    <x v="5"/>
    <x v="0"/>
    <x v="0"/>
    <x v="1"/>
    <x v="0"/>
    <x v="0"/>
    <x v="0"/>
    <x v="166"/>
  </r>
  <r>
    <x v="531"/>
    <x v="193"/>
    <x v="191"/>
    <x v="189"/>
    <x v="0"/>
    <x v="1"/>
    <x v="2"/>
    <x v="202"/>
    <x v="165"/>
    <x v="1"/>
    <x v="31"/>
    <x v="0"/>
    <x v="0"/>
    <x v="3"/>
    <x v="1"/>
    <x v="1"/>
    <x v="1"/>
    <x v="1"/>
    <x v="2"/>
    <x v="1"/>
    <x v="1"/>
    <x v="115"/>
    <x v="2"/>
    <x v="3"/>
    <x v="4"/>
    <x v="191"/>
    <x v="5"/>
    <x v="3"/>
    <x v="0"/>
    <x v="1"/>
    <x v="0"/>
    <x v="315"/>
    <x v="0"/>
    <x v="167"/>
  </r>
  <r>
    <x v="532"/>
    <x v="48"/>
    <x v="37"/>
    <x v="37"/>
    <x v="421"/>
    <x v="3"/>
    <x v="2"/>
    <x v="40"/>
    <x v="41"/>
    <x v="1"/>
    <x v="15"/>
    <x v="0"/>
    <x v="0"/>
    <x v="1"/>
    <x v="2"/>
    <x v="3"/>
    <x v="2"/>
    <x v="1"/>
    <x v="2"/>
    <x v="1"/>
    <x v="1"/>
    <x v="115"/>
    <x v="1"/>
    <x v="6"/>
    <x v="2"/>
    <x v="37"/>
    <x v="5"/>
    <x v="3"/>
    <x v="0"/>
    <x v="1"/>
    <x v="0"/>
    <x v="316"/>
    <x v="162"/>
    <x v="0"/>
  </r>
  <r>
    <x v="533"/>
    <x v="135"/>
    <x v="135"/>
    <x v="133"/>
    <x v="422"/>
    <x v="1"/>
    <x v="2"/>
    <x v="139"/>
    <x v="119"/>
    <x v="1"/>
    <x v="114"/>
    <x v="0"/>
    <x v="0"/>
    <x v="1"/>
    <x v="1"/>
    <x v="1"/>
    <x v="2"/>
    <x v="1"/>
    <x v="2"/>
    <x v="1"/>
    <x v="1"/>
    <x v="115"/>
    <x v="1"/>
    <x v="6"/>
    <x v="2"/>
    <x v="267"/>
    <x v="12"/>
    <x v="1"/>
    <x v="7"/>
    <x v="2"/>
    <x v="1"/>
    <x v="317"/>
    <x v="0"/>
    <x v="0"/>
  </r>
  <r>
    <x v="534"/>
    <x v="135"/>
    <x v="135"/>
    <x v="133"/>
    <x v="422"/>
    <x v="1"/>
    <x v="2"/>
    <x v="139"/>
    <x v="223"/>
    <x v="1"/>
    <x v="114"/>
    <x v="0"/>
    <x v="0"/>
    <x v="3"/>
    <x v="3"/>
    <x v="3"/>
    <x v="1"/>
    <x v="1"/>
    <x v="2"/>
    <x v="1"/>
    <x v="1"/>
    <x v="116"/>
    <x v="1"/>
    <x v="3"/>
    <x v="4"/>
    <x v="267"/>
    <x v="12"/>
    <x v="1"/>
    <x v="7"/>
    <x v="1"/>
    <x v="0"/>
    <x v="318"/>
    <x v="0"/>
    <x v="168"/>
  </r>
  <r>
    <x v="535"/>
    <x v="267"/>
    <x v="267"/>
    <x v="263"/>
    <x v="423"/>
    <x v="1"/>
    <x v="2"/>
    <x v="278"/>
    <x v="224"/>
    <x v="1"/>
    <x v="15"/>
    <x v="0"/>
    <x v="0"/>
    <x v="1"/>
    <x v="1"/>
    <x v="1"/>
    <x v="2"/>
    <x v="1"/>
    <x v="2"/>
    <x v="1"/>
    <x v="2"/>
    <x v="115"/>
    <x v="1"/>
    <x v="6"/>
    <x v="2"/>
    <x v="268"/>
    <x v="12"/>
    <x v="1"/>
    <x v="7"/>
    <x v="2"/>
    <x v="1"/>
    <x v="319"/>
    <x v="0"/>
    <x v="169"/>
  </r>
  <r>
    <x v="536"/>
    <x v="268"/>
    <x v="268"/>
    <x v="264"/>
    <x v="424"/>
    <x v="3"/>
    <x v="2"/>
    <x v="279"/>
    <x v="225"/>
    <x v="2"/>
    <x v="0"/>
    <x v="2"/>
    <x v="0"/>
    <x v="1"/>
    <x v="1"/>
    <x v="1"/>
    <x v="2"/>
    <x v="1"/>
    <x v="2"/>
    <x v="1"/>
    <x v="1"/>
    <x v="116"/>
    <x v="1"/>
    <x v="6"/>
    <x v="2"/>
    <x v="269"/>
    <x v="12"/>
    <x v="3"/>
    <x v="0"/>
    <x v="1"/>
    <x v="0"/>
    <x v="320"/>
    <x v="163"/>
    <x v="170"/>
  </r>
  <r>
    <x v="537"/>
    <x v="267"/>
    <x v="267"/>
    <x v="263"/>
    <x v="425"/>
    <x v="1"/>
    <x v="2"/>
    <x v="278"/>
    <x v="226"/>
    <x v="2"/>
    <x v="0"/>
    <x v="2"/>
    <x v="0"/>
    <x v="3"/>
    <x v="1"/>
    <x v="1"/>
    <x v="2"/>
    <x v="1"/>
    <x v="2"/>
    <x v="1"/>
    <x v="2"/>
    <x v="0"/>
    <x v="1"/>
    <x v="3"/>
    <x v="4"/>
    <x v="268"/>
    <x v="12"/>
    <x v="0"/>
    <x v="0"/>
    <x v="1"/>
    <x v="0"/>
    <x v="0"/>
    <x v="0"/>
    <x v="0"/>
  </r>
  <r>
    <x v="538"/>
    <x v="269"/>
    <x v="269"/>
    <x v="265"/>
    <x v="426"/>
    <x v="2"/>
    <x v="3"/>
    <x v="280"/>
    <x v="10"/>
    <x v="1"/>
    <x v="1"/>
    <x v="0"/>
    <x v="0"/>
    <x v="2"/>
    <x v="2"/>
    <x v="3"/>
    <x v="1"/>
    <x v="2"/>
    <x v="3"/>
    <x v="1"/>
    <x v="1"/>
    <x v="116"/>
    <x v="1"/>
    <x v="2"/>
    <x v="2"/>
    <x v="270"/>
    <x v="12"/>
    <x v="1"/>
    <x v="4"/>
    <x v="2"/>
    <x v="1"/>
    <x v="321"/>
    <x v="0"/>
    <x v="171"/>
  </r>
  <r>
    <x v="539"/>
    <x v="256"/>
    <x v="256"/>
    <x v="252"/>
    <x v="427"/>
    <x v="1"/>
    <x v="2"/>
    <x v="267"/>
    <x v="227"/>
    <x v="1"/>
    <x v="33"/>
    <x v="0"/>
    <x v="0"/>
    <x v="1"/>
    <x v="3"/>
    <x v="2"/>
    <x v="2"/>
    <x v="1"/>
    <x v="2"/>
    <x v="1"/>
    <x v="1"/>
    <x v="117"/>
    <x v="1"/>
    <x v="4"/>
    <x v="2"/>
    <x v="256"/>
    <x v="12"/>
    <x v="3"/>
    <x v="0"/>
    <x v="1"/>
    <x v="0"/>
    <x v="322"/>
    <x v="164"/>
    <x v="0"/>
  </r>
  <r>
    <x v="540"/>
    <x v="270"/>
    <x v="270"/>
    <x v="266"/>
    <x v="428"/>
    <x v="3"/>
    <x v="2"/>
    <x v="281"/>
    <x v="24"/>
    <x v="1"/>
    <x v="15"/>
    <x v="0"/>
    <x v="0"/>
    <x v="1"/>
    <x v="1"/>
    <x v="1"/>
    <x v="2"/>
    <x v="1"/>
    <x v="3"/>
    <x v="1"/>
    <x v="2"/>
    <x v="0"/>
    <x v="1"/>
    <x v="1"/>
    <x v="2"/>
    <x v="271"/>
    <x v="11"/>
    <x v="0"/>
    <x v="0"/>
    <x v="1"/>
    <x v="0"/>
    <x v="0"/>
    <x v="0"/>
    <x v="0"/>
  </r>
  <r>
    <x v="541"/>
    <x v="135"/>
    <x v="135"/>
    <x v="133"/>
    <x v="0"/>
    <x v="1"/>
    <x v="2"/>
    <x v="139"/>
    <x v="119"/>
    <x v="1"/>
    <x v="114"/>
    <x v="0"/>
    <x v="0"/>
    <x v="3"/>
    <x v="1"/>
    <x v="1"/>
    <x v="2"/>
    <x v="1"/>
    <x v="2"/>
    <x v="1"/>
    <x v="1"/>
    <x v="116"/>
    <x v="2"/>
    <x v="3"/>
    <x v="4"/>
    <x v="267"/>
    <x v="12"/>
    <x v="3"/>
    <x v="0"/>
    <x v="1"/>
    <x v="0"/>
    <x v="323"/>
    <x v="165"/>
    <x v="172"/>
  </r>
  <r>
    <x v="542"/>
    <x v="269"/>
    <x v="269"/>
    <x v="265"/>
    <x v="429"/>
    <x v="2"/>
    <x v="3"/>
    <x v="280"/>
    <x v="228"/>
    <x v="1"/>
    <x v="1"/>
    <x v="0"/>
    <x v="0"/>
    <x v="3"/>
    <x v="3"/>
    <x v="3"/>
    <x v="2"/>
    <x v="2"/>
    <x v="1"/>
    <x v="1"/>
    <x v="1"/>
    <x v="118"/>
    <x v="1"/>
    <x v="3"/>
    <x v="4"/>
    <x v="270"/>
    <x v="1"/>
    <x v="1"/>
    <x v="4"/>
    <x v="2"/>
    <x v="1"/>
    <x v="324"/>
    <x v="0"/>
    <x v="0"/>
  </r>
  <r>
    <x v="543"/>
    <x v="269"/>
    <x v="269"/>
    <x v="265"/>
    <x v="430"/>
    <x v="2"/>
    <x v="3"/>
    <x v="280"/>
    <x v="95"/>
    <x v="1"/>
    <x v="2"/>
    <x v="0"/>
    <x v="0"/>
    <x v="3"/>
    <x v="1"/>
    <x v="1"/>
    <x v="2"/>
    <x v="2"/>
    <x v="1"/>
    <x v="1"/>
    <x v="1"/>
    <x v="117"/>
    <x v="1"/>
    <x v="3"/>
    <x v="4"/>
    <x v="270"/>
    <x v="1"/>
    <x v="1"/>
    <x v="4"/>
    <x v="2"/>
    <x v="1"/>
    <x v="325"/>
    <x v="0"/>
    <x v="0"/>
  </r>
  <r>
    <x v="544"/>
    <x v="233"/>
    <x v="232"/>
    <x v="229"/>
    <x v="431"/>
    <x v="1"/>
    <x v="1"/>
    <x v="243"/>
    <x v="199"/>
    <x v="1"/>
    <x v="2"/>
    <x v="0"/>
    <x v="0"/>
    <x v="1"/>
    <x v="1"/>
    <x v="1"/>
    <x v="2"/>
    <x v="1"/>
    <x v="2"/>
    <x v="1"/>
    <x v="2"/>
    <x v="0"/>
    <x v="1"/>
    <x v="1"/>
    <x v="2"/>
    <x v="233"/>
    <x v="4"/>
    <x v="0"/>
    <x v="0"/>
    <x v="1"/>
    <x v="0"/>
    <x v="0"/>
    <x v="0"/>
    <x v="0"/>
  </r>
  <r>
    <x v="545"/>
    <x v="269"/>
    <x v="269"/>
    <x v="265"/>
    <x v="432"/>
    <x v="2"/>
    <x v="3"/>
    <x v="280"/>
    <x v="95"/>
    <x v="1"/>
    <x v="1"/>
    <x v="0"/>
    <x v="0"/>
    <x v="3"/>
    <x v="1"/>
    <x v="1"/>
    <x v="2"/>
    <x v="2"/>
    <x v="1"/>
    <x v="1"/>
    <x v="2"/>
    <x v="0"/>
    <x v="1"/>
    <x v="3"/>
    <x v="4"/>
    <x v="270"/>
    <x v="1"/>
    <x v="0"/>
    <x v="0"/>
    <x v="1"/>
    <x v="0"/>
    <x v="0"/>
    <x v="0"/>
    <x v="0"/>
  </r>
  <r>
    <x v="546"/>
    <x v="271"/>
    <x v="271"/>
    <x v="267"/>
    <x v="433"/>
    <x v="1"/>
    <x v="2"/>
    <x v="282"/>
    <x v="115"/>
    <x v="1"/>
    <x v="3"/>
    <x v="0"/>
    <x v="0"/>
    <x v="1"/>
    <x v="1"/>
    <x v="1"/>
    <x v="2"/>
    <x v="1"/>
    <x v="2"/>
    <x v="1"/>
    <x v="1"/>
    <x v="119"/>
    <x v="1"/>
    <x v="1"/>
    <x v="2"/>
    <x v="272"/>
    <x v="4"/>
    <x v="1"/>
    <x v="2"/>
    <x v="1"/>
    <x v="0"/>
    <x v="326"/>
    <x v="166"/>
    <x v="0"/>
  </r>
  <r>
    <x v="547"/>
    <x v="272"/>
    <x v="272"/>
    <x v="268"/>
    <x v="434"/>
    <x v="1"/>
    <x v="3"/>
    <x v="283"/>
    <x v="10"/>
    <x v="2"/>
    <x v="0"/>
    <x v="9"/>
    <x v="0"/>
    <x v="1"/>
    <x v="1"/>
    <x v="1"/>
    <x v="2"/>
    <x v="1"/>
    <x v="1"/>
    <x v="1"/>
    <x v="1"/>
    <x v="117"/>
    <x v="1"/>
    <x v="1"/>
    <x v="2"/>
    <x v="273"/>
    <x v="1"/>
    <x v="1"/>
    <x v="5"/>
    <x v="2"/>
    <x v="1"/>
    <x v="327"/>
    <x v="0"/>
    <x v="0"/>
  </r>
  <r>
    <x v="548"/>
    <x v="272"/>
    <x v="273"/>
    <x v="268"/>
    <x v="435"/>
    <x v="1"/>
    <x v="3"/>
    <x v="283"/>
    <x v="10"/>
    <x v="2"/>
    <x v="0"/>
    <x v="6"/>
    <x v="0"/>
    <x v="3"/>
    <x v="3"/>
    <x v="3"/>
    <x v="2"/>
    <x v="1"/>
    <x v="2"/>
    <x v="1"/>
    <x v="1"/>
    <x v="119"/>
    <x v="1"/>
    <x v="3"/>
    <x v="4"/>
    <x v="273"/>
    <x v="2"/>
    <x v="1"/>
    <x v="2"/>
    <x v="1"/>
    <x v="0"/>
    <x v="328"/>
    <x v="167"/>
    <x v="173"/>
  </r>
  <r>
    <x v="549"/>
    <x v="273"/>
    <x v="274"/>
    <x v="269"/>
    <x v="436"/>
    <x v="1"/>
    <x v="3"/>
    <x v="284"/>
    <x v="27"/>
    <x v="1"/>
    <x v="9"/>
    <x v="0"/>
    <x v="0"/>
    <x v="1"/>
    <x v="3"/>
    <x v="2"/>
    <x v="2"/>
    <x v="1"/>
    <x v="1"/>
    <x v="1"/>
    <x v="1"/>
    <x v="119"/>
    <x v="1"/>
    <x v="1"/>
    <x v="2"/>
    <x v="274"/>
    <x v="2"/>
    <x v="1"/>
    <x v="7"/>
    <x v="1"/>
    <x v="0"/>
    <x v="329"/>
    <x v="168"/>
    <x v="174"/>
  </r>
  <r>
    <x v="550"/>
    <x v="274"/>
    <x v="275"/>
    <x v="270"/>
    <x v="437"/>
    <x v="1"/>
    <x v="4"/>
    <x v="285"/>
    <x v="229"/>
    <x v="1"/>
    <x v="115"/>
    <x v="0"/>
    <x v="0"/>
    <x v="1"/>
    <x v="1"/>
    <x v="1"/>
    <x v="2"/>
    <x v="1"/>
    <x v="2"/>
    <x v="1"/>
    <x v="2"/>
    <x v="0"/>
    <x v="1"/>
    <x v="2"/>
    <x v="2"/>
    <x v="275"/>
    <x v="12"/>
    <x v="0"/>
    <x v="0"/>
    <x v="1"/>
    <x v="0"/>
    <x v="0"/>
    <x v="0"/>
    <x v="0"/>
  </r>
  <r>
    <x v="551"/>
    <x v="272"/>
    <x v="273"/>
    <x v="268"/>
    <x v="0"/>
    <x v="1"/>
    <x v="3"/>
    <x v="283"/>
    <x v="10"/>
    <x v="2"/>
    <x v="0"/>
    <x v="6"/>
    <x v="0"/>
    <x v="3"/>
    <x v="4"/>
    <x v="1"/>
    <x v="2"/>
    <x v="1"/>
    <x v="2"/>
    <x v="1"/>
    <x v="2"/>
    <x v="0"/>
    <x v="2"/>
    <x v="3"/>
    <x v="4"/>
    <x v="273"/>
    <x v="4"/>
    <x v="0"/>
    <x v="0"/>
    <x v="1"/>
    <x v="0"/>
    <x v="0"/>
    <x v="0"/>
    <x v="0"/>
  </r>
  <r>
    <x v="552"/>
    <x v="275"/>
    <x v="276"/>
    <x v="271"/>
    <x v="438"/>
    <x v="1"/>
    <x v="2"/>
    <x v="286"/>
    <x v="218"/>
    <x v="1"/>
    <x v="3"/>
    <x v="0"/>
    <x v="0"/>
    <x v="1"/>
    <x v="3"/>
    <x v="2"/>
    <x v="2"/>
    <x v="1"/>
    <x v="2"/>
    <x v="1"/>
    <x v="1"/>
    <x v="120"/>
    <x v="1"/>
    <x v="1"/>
    <x v="2"/>
    <x v="276"/>
    <x v="12"/>
    <x v="1"/>
    <x v="1"/>
    <x v="1"/>
    <x v="0"/>
    <x v="330"/>
    <x v="0"/>
    <x v="175"/>
  </r>
  <r>
    <x v="553"/>
    <x v="271"/>
    <x v="271"/>
    <x v="267"/>
    <x v="0"/>
    <x v="1"/>
    <x v="2"/>
    <x v="282"/>
    <x v="115"/>
    <x v="1"/>
    <x v="3"/>
    <x v="0"/>
    <x v="0"/>
    <x v="3"/>
    <x v="3"/>
    <x v="2"/>
    <x v="2"/>
    <x v="1"/>
    <x v="2"/>
    <x v="1"/>
    <x v="1"/>
    <x v="121"/>
    <x v="2"/>
    <x v="3"/>
    <x v="4"/>
    <x v="272"/>
    <x v="4"/>
    <x v="3"/>
    <x v="0"/>
    <x v="1"/>
    <x v="0"/>
    <x v="331"/>
    <x v="169"/>
    <x v="176"/>
  </r>
  <r>
    <x v="554"/>
    <x v="273"/>
    <x v="274"/>
    <x v="269"/>
    <x v="0"/>
    <x v="1"/>
    <x v="3"/>
    <x v="287"/>
    <x v="27"/>
    <x v="1"/>
    <x v="9"/>
    <x v="0"/>
    <x v="0"/>
    <x v="3"/>
    <x v="5"/>
    <x v="1"/>
    <x v="1"/>
    <x v="1"/>
    <x v="2"/>
    <x v="1"/>
    <x v="2"/>
    <x v="0"/>
    <x v="1"/>
    <x v="3"/>
    <x v="4"/>
    <x v="274"/>
    <x v="12"/>
    <x v="0"/>
    <x v="0"/>
    <x v="1"/>
    <x v="0"/>
    <x v="0"/>
    <x v="0"/>
    <x v="177"/>
  </r>
  <r>
    <x v="555"/>
    <x v="275"/>
    <x v="276"/>
    <x v="271"/>
    <x v="0"/>
    <x v="1"/>
    <x v="2"/>
    <x v="286"/>
    <x v="218"/>
    <x v="1"/>
    <x v="3"/>
    <x v="0"/>
    <x v="0"/>
    <x v="3"/>
    <x v="3"/>
    <x v="2"/>
    <x v="2"/>
    <x v="1"/>
    <x v="2"/>
    <x v="1"/>
    <x v="1"/>
    <x v="122"/>
    <x v="2"/>
    <x v="3"/>
    <x v="4"/>
    <x v="276"/>
    <x v="5"/>
    <x v="1"/>
    <x v="4"/>
    <x v="2"/>
    <x v="1"/>
    <x v="332"/>
    <x v="170"/>
    <x v="178"/>
  </r>
  <r>
    <x v="556"/>
    <x v="276"/>
    <x v="277"/>
    <x v="272"/>
    <x v="439"/>
    <x v="1"/>
    <x v="2"/>
    <x v="288"/>
    <x v="60"/>
    <x v="1"/>
    <x v="22"/>
    <x v="0"/>
    <x v="0"/>
    <x v="1"/>
    <x v="2"/>
    <x v="3"/>
    <x v="2"/>
    <x v="1"/>
    <x v="2"/>
    <x v="1"/>
    <x v="1"/>
    <x v="123"/>
    <x v="1"/>
    <x v="6"/>
    <x v="3"/>
    <x v="277"/>
    <x v="5"/>
    <x v="1"/>
    <x v="4"/>
    <x v="1"/>
    <x v="0"/>
    <x v="333"/>
    <x v="171"/>
    <x v="179"/>
  </r>
  <r>
    <x v="557"/>
    <x v="277"/>
    <x v="278"/>
    <x v="273"/>
    <x v="440"/>
    <x v="1"/>
    <x v="2"/>
    <x v="289"/>
    <x v="230"/>
    <x v="1"/>
    <x v="116"/>
    <x v="0"/>
    <x v="0"/>
    <x v="1"/>
    <x v="1"/>
    <x v="1"/>
    <x v="2"/>
    <x v="1"/>
    <x v="3"/>
    <x v="1"/>
    <x v="2"/>
    <x v="0"/>
    <x v="1"/>
    <x v="6"/>
    <x v="2"/>
    <x v="278"/>
    <x v="1"/>
    <x v="0"/>
    <x v="0"/>
    <x v="1"/>
    <x v="0"/>
    <x v="0"/>
    <x v="0"/>
    <x v="0"/>
  </r>
  <r>
    <x v="558"/>
    <x v="278"/>
    <x v="279"/>
    <x v="274"/>
    <x v="441"/>
    <x v="1"/>
    <x v="2"/>
    <x v="290"/>
    <x v="231"/>
    <x v="1"/>
    <x v="117"/>
    <x v="0"/>
    <x v="0"/>
    <x v="1"/>
    <x v="1"/>
    <x v="2"/>
    <x v="2"/>
    <x v="1"/>
    <x v="2"/>
    <x v="1"/>
    <x v="1"/>
    <x v="122"/>
    <x v="1"/>
    <x v="6"/>
    <x v="3"/>
    <x v="279"/>
    <x v="5"/>
    <x v="3"/>
    <x v="0"/>
    <x v="1"/>
    <x v="0"/>
    <x v="332"/>
    <x v="172"/>
    <x v="180"/>
  </r>
  <r>
    <x v="559"/>
    <x v="141"/>
    <x v="141"/>
    <x v="139"/>
    <x v="442"/>
    <x v="1"/>
    <x v="1"/>
    <x v="145"/>
    <x v="125"/>
    <x v="1"/>
    <x v="9"/>
    <x v="0"/>
    <x v="0"/>
    <x v="1"/>
    <x v="1"/>
    <x v="1"/>
    <x v="2"/>
    <x v="1"/>
    <x v="3"/>
    <x v="1"/>
    <x v="2"/>
    <x v="0"/>
    <x v="1"/>
    <x v="1"/>
    <x v="2"/>
    <x v="140"/>
    <x v="3"/>
    <x v="0"/>
    <x v="0"/>
    <x v="1"/>
    <x v="0"/>
    <x v="0"/>
    <x v="0"/>
    <x v="0"/>
  </r>
  <r>
    <x v="560"/>
    <x v="266"/>
    <x v="266"/>
    <x v="262"/>
    <x v="443"/>
    <x v="1"/>
    <x v="2"/>
    <x v="277"/>
    <x v="158"/>
    <x v="1"/>
    <x v="27"/>
    <x v="0"/>
    <x v="0"/>
    <x v="1"/>
    <x v="2"/>
    <x v="3"/>
    <x v="2"/>
    <x v="1"/>
    <x v="1"/>
    <x v="1"/>
    <x v="1"/>
    <x v="122"/>
    <x v="1"/>
    <x v="1"/>
    <x v="2"/>
    <x v="266"/>
    <x v="1"/>
    <x v="1"/>
    <x v="5"/>
    <x v="1"/>
    <x v="0"/>
    <x v="334"/>
    <x v="173"/>
    <x v="178"/>
  </r>
  <r>
    <x v="561"/>
    <x v="276"/>
    <x v="277"/>
    <x v="272"/>
    <x v="0"/>
    <x v="1"/>
    <x v="2"/>
    <x v="288"/>
    <x v="60"/>
    <x v="1"/>
    <x v="4"/>
    <x v="0"/>
    <x v="0"/>
    <x v="3"/>
    <x v="6"/>
    <x v="3"/>
    <x v="2"/>
    <x v="1"/>
    <x v="2"/>
    <x v="1"/>
    <x v="1"/>
    <x v="122"/>
    <x v="1"/>
    <x v="3"/>
    <x v="4"/>
    <x v="277"/>
    <x v="1"/>
    <x v="1"/>
    <x v="4"/>
    <x v="1"/>
    <x v="0"/>
    <x v="335"/>
    <x v="174"/>
    <x v="178"/>
  </r>
  <r>
    <x v="562"/>
    <x v="140"/>
    <x v="140"/>
    <x v="138"/>
    <x v="444"/>
    <x v="3"/>
    <x v="2"/>
    <x v="144"/>
    <x v="123"/>
    <x v="1"/>
    <x v="118"/>
    <x v="0"/>
    <x v="0"/>
    <x v="1"/>
    <x v="1"/>
    <x v="1"/>
    <x v="2"/>
    <x v="1"/>
    <x v="1"/>
    <x v="1"/>
    <x v="2"/>
    <x v="0"/>
    <x v="1"/>
    <x v="1"/>
    <x v="2"/>
    <x v="139"/>
    <x v="12"/>
    <x v="0"/>
    <x v="0"/>
    <x v="1"/>
    <x v="0"/>
    <x v="0"/>
    <x v="0"/>
    <x v="0"/>
  </r>
  <r>
    <x v="563"/>
    <x v="148"/>
    <x v="148"/>
    <x v="146"/>
    <x v="445"/>
    <x v="1"/>
    <x v="2"/>
    <x v="153"/>
    <x v="129"/>
    <x v="1"/>
    <x v="79"/>
    <x v="0"/>
    <x v="0"/>
    <x v="1"/>
    <x v="3"/>
    <x v="3"/>
    <x v="2"/>
    <x v="1"/>
    <x v="2"/>
    <x v="1"/>
    <x v="1"/>
    <x v="124"/>
    <x v="1"/>
    <x v="5"/>
    <x v="2"/>
    <x v="147"/>
    <x v="12"/>
    <x v="1"/>
    <x v="7"/>
    <x v="1"/>
    <x v="0"/>
    <x v="336"/>
    <x v="0"/>
    <x v="181"/>
  </r>
  <r>
    <x v="564"/>
    <x v="276"/>
    <x v="277"/>
    <x v="272"/>
    <x v="0"/>
    <x v="1"/>
    <x v="2"/>
    <x v="288"/>
    <x v="60"/>
    <x v="1"/>
    <x v="4"/>
    <x v="0"/>
    <x v="0"/>
    <x v="3"/>
    <x v="4"/>
    <x v="1"/>
    <x v="2"/>
    <x v="1"/>
    <x v="2"/>
    <x v="1"/>
    <x v="2"/>
    <x v="0"/>
    <x v="2"/>
    <x v="3"/>
    <x v="4"/>
    <x v="277"/>
    <x v="1"/>
    <x v="0"/>
    <x v="0"/>
    <x v="1"/>
    <x v="0"/>
    <x v="0"/>
    <x v="0"/>
    <x v="0"/>
  </r>
  <r>
    <x v="565"/>
    <x v="266"/>
    <x v="266"/>
    <x v="262"/>
    <x v="0"/>
    <x v="1"/>
    <x v="2"/>
    <x v="291"/>
    <x v="10"/>
    <x v="2"/>
    <x v="0"/>
    <x v="2"/>
    <x v="0"/>
    <x v="3"/>
    <x v="4"/>
    <x v="1"/>
    <x v="2"/>
    <x v="1"/>
    <x v="2"/>
    <x v="1"/>
    <x v="2"/>
    <x v="0"/>
    <x v="2"/>
    <x v="3"/>
    <x v="4"/>
    <x v="266"/>
    <x v="2"/>
    <x v="0"/>
    <x v="0"/>
    <x v="1"/>
    <x v="0"/>
    <x v="0"/>
    <x v="0"/>
    <x v="0"/>
  </r>
  <r>
    <x v="566"/>
    <x v="275"/>
    <x v="276"/>
    <x v="271"/>
    <x v="446"/>
    <x v="1"/>
    <x v="2"/>
    <x v="286"/>
    <x v="218"/>
    <x v="1"/>
    <x v="3"/>
    <x v="0"/>
    <x v="0"/>
    <x v="3"/>
    <x v="3"/>
    <x v="2"/>
    <x v="1"/>
    <x v="1"/>
    <x v="3"/>
    <x v="1"/>
    <x v="1"/>
    <x v="125"/>
    <x v="1"/>
    <x v="3"/>
    <x v="4"/>
    <x v="276"/>
    <x v="1"/>
    <x v="1"/>
    <x v="2"/>
    <x v="1"/>
    <x v="0"/>
    <x v="337"/>
    <x v="175"/>
    <x v="0"/>
  </r>
  <r>
    <x v="567"/>
    <x v="148"/>
    <x v="148"/>
    <x v="146"/>
    <x v="0"/>
    <x v="1"/>
    <x v="2"/>
    <x v="153"/>
    <x v="129"/>
    <x v="1"/>
    <x v="79"/>
    <x v="0"/>
    <x v="0"/>
    <x v="3"/>
    <x v="1"/>
    <x v="1"/>
    <x v="2"/>
    <x v="1"/>
    <x v="2"/>
    <x v="1"/>
    <x v="2"/>
    <x v="0"/>
    <x v="2"/>
    <x v="3"/>
    <x v="4"/>
    <x v="147"/>
    <x v="12"/>
    <x v="0"/>
    <x v="0"/>
    <x v="1"/>
    <x v="0"/>
    <x v="0"/>
    <x v="0"/>
    <x v="182"/>
  </r>
  <r>
    <x v="568"/>
    <x v="279"/>
    <x v="280"/>
    <x v="275"/>
    <x v="447"/>
    <x v="1"/>
    <x v="2"/>
    <x v="292"/>
    <x v="232"/>
    <x v="1"/>
    <x v="3"/>
    <x v="0"/>
    <x v="0"/>
    <x v="1"/>
    <x v="3"/>
    <x v="2"/>
    <x v="1"/>
    <x v="1"/>
    <x v="2"/>
    <x v="1"/>
    <x v="1"/>
    <x v="126"/>
    <x v="1"/>
    <x v="1"/>
    <x v="1"/>
    <x v="280"/>
    <x v="5"/>
    <x v="3"/>
    <x v="0"/>
    <x v="1"/>
    <x v="0"/>
    <x v="338"/>
    <x v="0"/>
    <x v="183"/>
  </r>
  <r>
    <x v="569"/>
    <x v="280"/>
    <x v="281"/>
    <x v="276"/>
    <x v="448"/>
    <x v="1"/>
    <x v="2"/>
    <x v="293"/>
    <x v="216"/>
    <x v="1"/>
    <x v="2"/>
    <x v="0"/>
    <x v="0"/>
    <x v="1"/>
    <x v="1"/>
    <x v="2"/>
    <x v="1"/>
    <x v="1"/>
    <x v="2"/>
    <x v="1"/>
    <x v="1"/>
    <x v="125"/>
    <x v="1"/>
    <x v="1"/>
    <x v="2"/>
    <x v="281"/>
    <x v="5"/>
    <x v="1"/>
    <x v="1"/>
    <x v="2"/>
    <x v="1"/>
    <x v="339"/>
    <x v="0"/>
    <x v="0"/>
  </r>
  <r>
    <x v="570"/>
    <x v="140"/>
    <x v="140"/>
    <x v="138"/>
    <x v="449"/>
    <x v="3"/>
    <x v="2"/>
    <x v="144"/>
    <x v="233"/>
    <x v="2"/>
    <x v="0"/>
    <x v="6"/>
    <x v="0"/>
    <x v="1"/>
    <x v="3"/>
    <x v="3"/>
    <x v="2"/>
    <x v="1"/>
    <x v="1"/>
    <x v="1"/>
    <x v="1"/>
    <x v="125"/>
    <x v="1"/>
    <x v="1"/>
    <x v="2"/>
    <x v="139"/>
    <x v="1"/>
    <x v="1"/>
    <x v="4"/>
    <x v="2"/>
    <x v="1"/>
    <x v="340"/>
    <x v="176"/>
    <x v="184"/>
  </r>
  <r>
    <x v="571"/>
    <x v="280"/>
    <x v="281"/>
    <x v="276"/>
    <x v="450"/>
    <x v="1"/>
    <x v="2"/>
    <x v="293"/>
    <x v="216"/>
    <x v="1"/>
    <x v="2"/>
    <x v="0"/>
    <x v="0"/>
    <x v="3"/>
    <x v="1"/>
    <x v="2"/>
    <x v="1"/>
    <x v="1"/>
    <x v="2"/>
    <x v="1"/>
    <x v="2"/>
    <x v="0"/>
    <x v="2"/>
    <x v="3"/>
    <x v="4"/>
    <x v="281"/>
    <x v="5"/>
    <x v="0"/>
    <x v="0"/>
    <x v="1"/>
    <x v="0"/>
    <x v="0"/>
    <x v="0"/>
    <x v="0"/>
  </r>
  <r>
    <x v="572"/>
    <x v="275"/>
    <x v="276"/>
    <x v="271"/>
    <x v="0"/>
    <x v="1"/>
    <x v="2"/>
    <x v="286"/>
    <x v="218"/>
    <x v="1"/>
    <x v="3"/>
    <x v="0"/>
    <x v="0"/>
    <x v="3"/>
    <x v="1"/>
    <x v="1"/>
    <x v="2"/>
    <x v="1"/>
    <x v="3"/>
    <x v="1"/>
    <x v="2"/>
    <x v="0"/>
    <x v="2"/>
    <x v="3"/>
    <x v="4"/>
    <x v="276"/>
    <x v="4"/>
    <x v="0"/>
    <x v="0"/>
    <x v="1"/>
    <x v="0"/>
    <x v="0"/>
    <x v="0"/>
    <x v="0"/>
  </r>
  <r>
    <x v="573"/>
    <x v="281"/>
    <x v="282"/>
    <x v="277"/>
    <x v="451"/>
    <x v="1"/>
    <x v="2"/>
    <x v="294"/>
    <x v="36"/>
    <x v="1"/>
    <x v="27"/>
    <x v="0"/>
    <x v="0"/>
    <x v="1"/>
    <x v="1"/>
    <x v="1"/>
    <x v="2"/>
    <x v="1"/>
    <x v="2"/>
    <x v="1"/>
    <x v="1"/>
    <x v="127"/>
    <x v="1"/>
    <x v="5"/>
    <x v="2"/>
    <x v="282"/>
    <x v="5"/>
    <x v="1"/>
    <x v="7"/>
    <x v="1"/>
    <x v="0"/>
    <x v="341"/>
    <x v="0"/>
    <x v="0"/>
  </r>
  <r>
    <x v="574"/>
    <x v="135"/>
    <x v="135"/>
    <x v="133"/>
    <x v="452"/>
    <x v="1"/>
    <x v="2"/>
    <x v="295"/>
    <x v="119"/>
    <x v="1"/>
    <x v="9"/>
    <x v="0"/>
    <x v="0"/>
    <x v="1"/>
    <x v="1"/>
    <x v="1"/>
    <x v="2"/>
    <x v="1"/>
    <x v="2"/>
    <x v="1"/>
    <x v="1"/>
    <x v="127"/>
    <x v="1"/>
    <x v="5"/>
    <x v="2"/>
    <x v="267"/>
    <x v="5"/>
    <x v="1"/>
    <x v="7"/>
    <x v="2"/>
    <x v="1"/>
    <x v="342"/>
    <x v="0"/>
    <x v="185"/>
  </r>
  <r>
    <x v="575"/>
    <x v="281"/>
    <x v="282"/>
    <x v="277"/>
    <x v="0"/>
    <x v="1"/>
    <x v="2"/>
    <x v="294"/>
    <x v="234"/>
    <x v="1"/>
    <x v="27"/>
    <x v="0"/>
    <x v="0"/>
    <x v="3"/>
    <x v="1"/>
    <x v="1"/>
    <x v="2"/>
    <x v="1"/>
    <x v="2"/>
    <x v="1"/>
    <x v="2"/>
    <x v="0"/>
    <x v="2"/>
    <x v="3"/>
    <x v="4"/>
    <x v="282"/>
    <x v="12"/>
    <x v="0"/>
    <x v="0"/>
    <x v="1"/>
    <x v="0"/>
    <x v="0"/>
    <x v="0"/>
    <x v="0"/>
  </r>
  <r>
    <x v="576"/>
    <x v="282"/>
    <x v="283"/>
    <x v="278"/>
    <x v="453"/>
    <x v="1"/>
    <x v="1"/>
    <x v="296"/>
    <x v="128"/>
    <x v="1"/>
    <x v="9"/>
    <x v="0"/>
    <x v="0"/>
    <x v="1"/>
    <x v="5"/>
    <x v="1"/>
    <x v="2"/>
    <x v="1"/>
    <x v="3"/>
    <x v="1"/>
    <x v="1"/>
    <x v="127"/>
    <x v="1"/>
    <x v="1"/>
    <x v="2"/>
    <x v="283"/>
    <x v="2"/>
    <x v="1"/>
    <x v="4"/>
    <x v="1"/>
    <x v="0"/>
    <x v="343"/>
    <x v="0"/>
    <x v="186"/>
  </r>
  <r>
    <x v="577"/>
    <x v="135"/>
    <x v="135"/>
    <x v="133"/>
    <x v="454"/>
    <x v="1"/>
    <x v="2"/>
    <x v="139"/>
    <x v="119"/>
    <x v="1"/>
    <x v="9"/>
    <x v="0"/>
    <x v="0"/>
    <x v="3"/>
    <x v="1"/>
    <x v="1"/>
    <x v="2"/>
    <x v="1"/>
    <x v="2"/>
    <x v="1"/>
    <x v="2"/>
    <x v="0"/>
    <x v="1"/>
    <x v="3"/>
    <x v="4"/>
    <x v="267"/>
    <x v="12"/>
    <x v="0"/>
    <x v="0"/>
    <x v="1"/>
    <x v="0"/>
    <x v="0"/>
    <x v="0"/>
    <x v="0"/>
  </r>
  <r>
    <x v="578"/>
    <x v="140"/>
    <x v="140"/>
    <x v="138"/>
    <x v="455"/>
    <x v="3"/>
    <x v="2"/>
    <x v="144"/>
    <x v="233"/>
    <x v="1"/>
    <x v="119"/>
    <x v="0"/>
    <x v="0"/>
    <x v="3"/>
    <x v="1"/>
    <x v="1"/>
    <x v="2"/>
    <x v="1"/>
    <x v="1"/>
    <x v="1"/>
    <x v="2"/>
    <x v="0"/>
    <x v="1"/>
    <x v="3"/>
    <x v="4"/>
    <x v="139"/>
    <x v="1"/>
    <x v="0"/>
    <x v="0"/>
    <x v="1"/>
    <x v="0"/>
    <x v="0"/>
    <x v="0"/>
    <x v="0"/>
  </r>
  <r>
    <x v="579"/>
    <x v="283"/>
    <x v="284"/>
    <x v="279"/>
    <x v="456"/>
    <x v="1"/>
    <x v="3"/>
    <x v="297"/>
    <x v="235"/>
    <x v="1"/>
    <x v="120"/>
    <x v="0"/>
    <x v="0"/>
    <x v="1"/>
    <x v="5"/>
    <x v="1"/>
    <x v="2"/>
    <x v="1"/>
    <x v="3"/>
    <x v="1"/>
    <x v="2"/>
    <x v="0"/>
    <x v="1"/>
    <x v="1"/>
    <x v="13"/>
    <x v="284"/>
    <x v="1"/>
    <x v="0"/>
    <x v="0"/>
    <x v="1"/>
    <x v="0"/>
    <x v="0"/>
    <x v="0"/>
    <x v="0"/>
  </r>
  <r>
    <x v="580"/>
    <x v="284"/>
    <x v="285"/>
    <x v="280"/>
    <x v="457"/>
    <x v="1"/>
    <x v="2"/>
    <x v="298"/>
    <x v="33"/>
    <x v="1"/>
    <x v="121"/>
    <x v="0"/>
    <x v="0"/>
    <x v="1"/>
    <x v="1"/>
    <x v="1"/>
    <x v="2"/>
    <x v="1"/>
    <x v="2"/>
    <x v="1"/>
    <x v="2"/>
    <x v="0"/>
    <x v="1"/>
    <x v="6"/>
    <x v="3"/>
    <x v="285"/>
    <x v="5"/>
    <x v="0"/>
    <x v="0"/>
    <x v="1"/>
    <x v="0"/>
    <x v="0"/>
    <x v="0"/>
    <x v="0"/>
  </r>
  <r>
    <x v="581"/>
    <x v="285"/>
    <x v="286"/>
    <x v="281"/>
    <x v="458"/>
    <x v="1"/>
    <x v="2"/>
    <x v="299"/>
    <x v="236"/>
    <x v="1"/>
    <x v="9"/>
    <x v="0"/>
    <x v="0"/>
    <x v="1"/>
    <x v="1"/>
    <x v="1"/>
    <x v="2"/>
    <x v="2"/>
    <x v="1"/>
    <x v="1"/>
    <x v="1"/>
    <x v="128"/>
    <x v="1"/>
    <x v="6"/>
    <x v="3"/>
    <x v="286"/>
    <x v="5"/>
    <x v="3"/>
    <x v="0"/>
    <x v="1"/>
    <x v="0"/>
    <x v="344"/>
    <x v="177"/>
    <x v="187"/>
  </r>
  <r>
    <x v="582"/>
    <x v="282"/>
    <x v="283"/>
    <x v="278"/>
    <x v="0"/>
    <x v="1"/>
    <x v="1"/>
    <x v="296"/>
    <x v="128"/>
    <x v="1"/>
    <x v="9"/>
    <x v="0"/>
    <x v="0"/>
    <x v="3"/>
    <x v="1"/>
    <x v="1"/>
    <x v="2"/>
    <x v="1"/>
    <x v="3"/>
    <x v="1"/>
    <x v="2"/>
    <x v="0"/>
    <x v="2"/>
    <x v="3"/>
    <x v="4"/>
    <x v="283"/>
    <x v="1"/>
    <x v="0"/>
    <x v="0"/>
    <x v="1"/>
    <x v="0"/>
    <x v="0"/>
    <x v="0"/>
    <x v="0"/>
  </r>
  <r>
    <x v="583"/>
    <x v="286"/>
    <x v="287"/>
    <x v="282"/>
    <x v="459"/>
    <x v="1"/>
    <x v="3"/>
    <x v="300"/>
    <x v="42"/>
    <x v="1"/>
    <x v="1"/>
    <x v="0"/>
    <x v="0"/>
    <x v="1"/>
    <x v="2"/>
    <x v="3"/>
    <x v="2"/>
    <x v="2"/>
    <x v="1"/>
    <x v="1"/>
    <x v="1"/>
    <x v="129"/>
    <x v="1"/>
    <x v="6"/>
    <x v="2"/>
    <x v="287"/>
    <x v="12"/>
    <x v="1"/>
    <x v="1"/>
    <x v="1"/>
    <x v="0"/>
    <x v="345"/>
    <x v="178"/>
    <x v="188"/>
  </r>
  <r>
    <x v="584"/>
    <x v="194"/>
    <x v="192"/>
    <x v="190"/>
    <x v="460"/>
    <x v="1"/>
    <x v="2"/>
    <x v="203"/>
    <x v="237"/>
    <x v="1"/>
    <x v="122"/>
    <x v="0"/>
    <x v="0"/>
    <x v="1"/>
    <x v="1"/>
    <x v="1"/>
    <x v="2"/>
    <x v="1"/>
    <x v="1"/>
    <x v="1"/>
    <x v="1"/>
    <x v="129"/>
    <x v="1"/>
    <x v="6"/>
    <x v="3"/>
    <x v="192"/>
    <x v="1"/>
    <x v="3"/>
    <x v="0"/>
    <x v="1"/>
    <x v="0"/>
    <x v="346"/>
    <x v="179"/>
    <x v="0"/>
  </r>
  <r>
    <x v="585"/>
    <x v="287"/>
    <x v="288"/>
    <x v="283"/>
    <x v="461"/>
    <x v="1"/>
    <x v="3"/>
    <x v="301"/>
    <x v="238"/>
    <x v="1"/>
    <x v="123"/>
    <x v="0"/>
    <x v="0"/>
    <x v="1"/>
    <x v="1"/>
    <x v="1"/>
    <x v="1"/>
    <x v="1"/>
    <x v="3"/>
    <x v="1"/>
    <x v="2"/>
    <x v="0"/>
    <x v="1"/>
    <x v="1"/>
    <x v="2"/>
    <x v="288"/>
    <x v="2"/>
    <x v="0"/>
    <x v="0"/>
    <x v="1"/>
    <x v="0"/>
    <x v="0"/>
    <x v="0"/>
    <x v="0"/>
  </r>
  <r>
    <x v="586"/>
    <x v="288"/>
    <x v="289"/>
    <x v="284"/>
    <x v="462"/>
    <x v="1"/>
    <x v="2"/>
    <x v="302"/>
    <x v="239"/>
    <x v="1"/>
    <x v="9"/>
    <x v="0"/>
    <x v="0"/>
    <x v="1"/>
    <x v="2"/>
    <x v="3"/>
    <x v="2"/>
    <x v="1"/>
    <x v="2"/>
    <x v="1"/>
    <x v="1"/>
    <x v="130"/>
    <x v="1"/>
    <x v="1"/>
    <x v="5"/>
    <x v="289"/>
    <x v="3"/>
    <x v="3"/>
    <x v="0"/>
    <x v="1"/>
    <x v="0"/>
    <x v="347"/>
    <x v="180"/>
    <x v="189"/>
  </r>
  <r>
    <x v="587"/>
    <x v="51"/>
    <x v="50"/>
    <x v="49"/>
    <x v="463"/>
    <x v="1"/>
    <x v="2"/>
    <x v="303"/>
    <x v="240"/>
    <x v="1"/>
    <x v="2"/>
    <x v="0"/>
    <x v="0"/>
    <x v="1"/>
    <x v="3"/>
    <x v="3"/>
    <x v="2"/>
    <x v="1"/>
    <x v="3"/>
    <x v="1"/>
    <x v="1"/>
    <x v="130"/>
    <x v="1"/>
    <x v="1"/>
    <x v="2"/>
    <x v="290"/>
    <x v="1"/>
    <x v="3"/>
    <x v="0"/>
    <x v="1"/>
    <x v="0"/>
    <x v="348"/>
    <x v="181"/>
    <x v="0"/>
  </r>
  <r>
    <x v="588"/>
    <x v="93"/>
    <x v="92"/>
    <x v="91"/>
    <x v="464"/>
    <x v="1"/>
    <x v="2"/>
    <x v="98"/>
    <x v="43"/>
    <x v="2"/>
    <x v="0"/>
    <x v="2"/>
    <x v="0"/>
    <x v="1"/>
    <x v="3"/>
    <x v="3"/>
    <x v="2"/>
    <x v="1"/>
    <x v="1"/>
    <x v="1"/>
    <x v="1"/>
    <x v="130"/>
    <x v="1"/>
    <x v="5"/>
    <x v="2"/>
    <x v="92"/>
    <x v="12"/>
    <x v="1"/>
    <x v="12"/>
    <x v="2"/>
    <x v="1"/>
    <x v="349"/>
    <x v="0"/>
    <x v="190"/>
  </r>
  <r>
    <x v="589"/>
    <x v="289"/>
    <x v="290"/>
    <x v="285"/>
    <x v="465"/>
    <x v="1"/>
    <x v="2"/>
    <x v="304"/>
    <x v="235"/>
    <x v="1"/>
    <x v="33"/>
    <x v="0"/>
    <x v="0"/>
    <x v="1"/>
    <x v="2"/>
    <x v="3"/>
    <x v="2"/>
    <x v="1"/>
    <x v="3"/>
    <x v="1"/>
    <x v="1"/>
    <x v="131"/>
    <x v="1"/>
    <x v="1"/>
    <x v="1"/>
    <x v="291"/>
    <x v="3"/>
    <x v="3"/>
    <x v="0"/>
    <x v="1"/>
    <x v="0"/>
    <x v="350"/>
    <x v="0"/>
    <x v="0"/>
  </r>
  <r>
    <x v="590"/>
    <x v="93"/>
    <x v="92"/>
    <x v="91"/>
    <x v="466"/>
    <x v="1"/>
    <x v="2"/>
    <x v="98"/>
    <x v="43"/>
    <x v="1"/>
    <x v="15"/>
    <x v="0"/>
    <x v="0"/>
    <x v="3"/>
    <x v="1"/>
    <x v="1"/>
    <x v="2"/>
    <x v="1"/>
    <x v="1"/>
    <x v="1"/>
    <x v="1"/>
    <x v="131"/>
    <x v="1"/>
    <x v="3"/>
    <x v="4"/>
    <x v="92"/>
    <x v="11"/>
    <x v="1"/>
    <x v="1"/>
    <x v="2"/>
    <x v="1"/>
    <x v="351"/>
    <x v="0"/>
    <x v="191"/>
  </r>
  <r>
    <x v="591"/>
    <x v="290"/>
    <x v="291"/>
    <x v="286"/>
    <x v="467"/>
    <x v="3"/>
    <x v="2"/>
    <x v="305"/>
    <x v="241"/>
    <x v="1"/>
    <x v="124"/>
    <x v="0"/>
    <x v="0"/>
    <x v="1"/>
    <x v="1"/>
    <x v="2"/>
    <x v="2"/>
    <x v="1"/>
    <x v="3"/>
    <x v="1"/>
    <x v="1"/>
    <x v="132"/>
    <x v="1"/>
    <x v="1"/>
    <x v="2"/>
    <x v="292"/>
    <x v="5"/>
    <x v="1"/>
    <x v="5"/>
    <x v="2"/>
    <x v="1"/>
    <x v="352"/>
    <x v="0"/>
    <x v="0"/>
  </r>
  <r>
    <x v="592"/>
    <x v="286"/>
    <x v="287"/>
    <x v="282"/>
    <x v="0"/>
    <x v="1"/>
    <x v="3"/>
    <x v="300"/>
    <x v="42"/>
    <x v="1"/>
    <x v="1"/>
    <x v="0"/>
    <x v="0"/>
    <x v="3"/>
    <x v="1"/>
    <x v="2"/>
    <x v="1"/>
    <x v="1"/>
    <x v="2"/>
    <x v="1"/>
    <x v="1"/>
    <x v="132"/>
    <x v="2"/>
    <x v="3"/>
    <x v="4"/>
    <x v="287"/>
    <x v="5"/>
    <x v="0"/>
    <x v="0"/>
    <x v="1"/>
    <x v="0"/>
    <x v="353"/>
    <x v="0"/>
    <x v="0"/>
  </r>
  <r>
    <x v="593"/>
    <x v="93"/>
    <x v="92"/>
    <x v="91"/>
    <x v="468"/>
    <x v="1"/>
    <x v="2"/>
    <x v="98"/>
    <x v="43"/>
    <x v="2"/>
    <x v="0"/>
    <x v="5"/>
    <x v="0"/>
    <x v="3"/>
    <x v="2"/>
    <x v="3"/>
    <x v="2"/>
    <x v="1"/>
    <x v="2"/>
    <x v="1"/>
    <x v="1"/>
    <x v="132"/>
    <x v="1"/>
    <x v="3"/>
    <x v="4"/>
    <x v="92"/>
    <x v="5"/>
    <x v="1"/>
    <x v="1"/>
    <x v="1"/>
    <x v="0"/>
    <x v="354"/>
    <x v="0"/>
    <x v="0"/>
  </r>
  <r>
    <x v="594"/>
    <x v="290"/>
    <x v="291"/>
    <x v="286"/>
    <x v="469"/>
    <x v="1"/>
    <x v="2"/>
    <x v="305"/>
    <x v="241"/>
    <x v="1"/>
    <x v="125"/>
    <x v="0"/>
    <x v="0"/>
    <x v="3"/>
    <x v="1"/>
    <x v="1"/>
    <x v="2"/>
    <x v="2"/>
    <x v="3"/>
    <x v="1"/>
    <x v="2"/>
    <x v="0"/>
    <x v="1"/>
    <x v="3"/>
    <x v="4"/>
    <x v="292"/>
    <x v="2"/>
    <x v="0"/>
    <x v="0"/>
    <x v="1"/>
    <x v="0"/>
    <x v="0"/>
    <x v="0"/>
    <x v="0"/>
  </r>
  <r>
    <x v="595"/>
    <x v="291"/>
    <x v="292"/>
    <x v="287"/>
    <x v="470"/>
    <x v="1"/>
    <x v="2"/>
    <x v="306"/>
    <x v="92"/>
    <x v="1"/>
    <x v="126"/>
    <x v="0"/>
    <x v="0"/>
    <x v="1"/>
    <x v="5"/>
    <x v="1"/>
    <x v="1"/>
    <x v="1"/>
    <x v="3"/>
    <x v="1"/>
    <x v="2"/>
    <x v="0"/>
    <x v="1"/>
    <x v="1"/>
    <x v="13"/>
    <x v="293"/>
    <x v="5"/>
    <x v="0"/>
    <x v="0"/>
    <x v="1"/>
    <x v="0"/>
    <x v="0"/>
    <x v="0"/>
    <x v="0"/>
  </r>
  <r>
    <x v="596"/>
    <x v="93"/>
    <x v="92"/>
    <x v="91"/>
    <x v="0"/>
    <x v="1"/>
    <x v="2"/>
    <x v="98"/>
    <x v="196"/>
    <x v="2"/>
    <x v="0"/>
    <x v="5"/>
    <x v="0"/>
    <x v="3"/>
    <x v="4"/>
    <x v="1"/>
    <x v="2"/>
    <x v="1"/>
    <x v="2"/>
    <x v="1"/>
    <x v="2"/>
    <x v="0"/>
    <x v="2"/>
    <x v="3"/>
    <x v="4"/>
    <x v="92"/>
    <x v="5"/>
    <x v="0"/>
    <x v="0"/>
    <x v="1"/>
    <x v="0"/>
    <x v="0"/>
    <x v="0"/>
    <x v="0"/>
  </r>
  <r>
    <x v="597"/>
    <x v="292"/>
    <x v="293"/>
    <x v="288"/>
    <x v="471"/>
    <x v="1"/>
    <x v="1"/>
    <x v="307"/>
    <x v="242"/>
    <x v="1"/>
    <x v="22"/>
    <x v="0"/>
    <x v="0"/>
    <x v="1"/>
    <x v="2"/>
    <x v="3"/>
    <x v="2"/>
    <x v="1"/>
    <x v="2"/>
    <x v="1"/>
    <x v="1"/>
    <x v="133"/>
    <x v="1"/>
    <x v="6"/>
    <x v="3"/>
    <x v="294"/>
    <x v="5"/>
    <x v="3"/>
    <x v="0"/>
    <x v="1"/>
    <x v="0"/>
    <x v="355"/>
    <x v="182"/>
    <x v="192"/>
  </r>
  <r>
    <x v="598"/>
    <x v="293"/>
    <x v="294"/>
    <x v="289"/>
    <x v="472"/>
    <x v="1"/>
    <x v="4"/>
    <x v="308"/>
    <x v="243"/>
    <x v="1"/>
    <x v="9"/>
    <x v="0"/>
    <x v="0"/>
    <x v="1"/>
    <x v="3"/>
    <x v="2"/>
    <x v="2"/>
    <x v="2"/>
    <x v="1"/>
    <x v="1"/>
    <x v="1"/>
    <x v="134"/>
    <x v="1"/>
    <x v="6"/>
    <x v="2"/>
    <x v="295"/>
    <x v="12"/>
    <x v="1"/>
    <x v="12"/>
    <x v="2"/>
    <x v="1"/>
    <x v="0"/>
    <x v="0"/>
    <x v="193"/>
  </r>
  <r>
    <x v="599"/>
    <x v="178"/>
    <x v="176"/>
    <x v="174"/>
    <x v="473"/>
    <x v="3"/>
    <x v="2"/>
    <x v="186"/>
    <x v="153"/>
    <x v="1"/>
    <x v="27"/>
    <x v="0"/>
    <x v="0"/>
    <x v="1"/>
    <x v="2"/>
    <x v="3"/>
    <x v="2"/>
    <x v="1"/>
    <x v="2"/>
    <x v="1"/>
    <x v="1"/>
    <x v="134"/>
    <x v="1"/>
    <x v="1"/>
    <x v="2"/>
    <x v="175"/>
    <x v="1"/>
    <x v="1"/>
    <x v="4"/>
    <x v="1"/>
    <x v="0"/>
    <x v="356"/>
    <x v="0"/>
    <x v="0"/>
  </r>
  <r>
    <x v="600"/>
    <x v="178"/>
    <x v="176"/>
    <x v="174"/>
    <x v="0"/>
    <x v="3"/>
    <x v="2"/>
    <x v="186"/>
    <x v="153"/>
    <x v="1"/>
    <x v="27"/>
    <x v="0"/>
    <x v="0"/>
    <x v="3"/>
    <x v="4"/>
    <x v="1"/>
    <x v="2"/>
    <x v="1"/>
    <x v="2"/>
    <x v="1"/>
    <x v="2"/>
    <x v="0"/>
    <x v="2"/>
    <x v="3"/>
    <x v="4"/>
    <x v="175"/>
    <x v="1"/>
    <x v="0"/>
    <x v="0"/>
    <x v="1"/>
    <x v="0"/>
    <x v="0"/>
    <x v="0"/>
    <x v="0"/>
  </r>
  <r>
    <x v="601"/>
    <x v="294"/>
    <x v="295"/>
    <x v="290"/>
    <x v="474"/>
    <x v="1"/>
    <x v="2"/>
    <x v="309"/>
    <x v="110"/>
    <x v="1"/>
    <x v="64"/>
    <x v="0"/>
    <x v="0"/>
    <x v="1"/>
    <x v="1"/>
    <x v="1"/>
    <x v="2"/>
    <x v="1"/>
    <x v="2"/>
    <x v="1"/>
    <x v="1"/>
    <x v="135"/>
    <x v="1"/>
    <x v="1"/>
    <x v="2"/>
    <x v="296"/>
    <x v="3"/>
    <x v="0"/>
    <x v="0"/>
    <x v="1"/>
    <x v="0"/>
    <x v="0"/>
    <x v="0"/>
    <x v="0"/>
  </r>
  <r>
    <x v="602"/>
    <x v="295"/>
    <x v="296"/>
    <x v="291"/>
    <x v="475"/>
    <x v="1"/>
    <x v="2"/>
    <x v="310"/>
    <x v="244"/>
    <x v="1"/>
    <x v="2"/>
    <x v="0"/>
    <x v="0"/>
    <x v="1"/>
    <x v="1"/>
    <x v="1"/>
    <x v="2"/>
    <x v="1"/>
    <x v="1"/>
    <x v="1"/>
    <x v="1"/>
    <x v="134"/>
    <x v="1"/>
    <x v="1"/>
    <x v="1"/>
    <x v="297"/>
    <x v="3"/>
    <x v="3"/>
    <x v="0"/>
    <x v="1"/>
    <x v="0"/>
    <x v="357"/>
    <x v="183"/>
    <x v="194"/>
  </r>
  <r>
    <x v="603"/>
    <x v="293"/>
    <x v="294"/>
    <x v="289"/>
    <x v="476"/>
    <x v="1"/>
    <x v="2"/>
    <x v="308"/>
    <x v="243"/>
    <x v="1"/>
    <x v="9"/>
    <x v="0"/>
    <x v="0"/>
    <x v="3"/>
    <x v="1"/>
    <x v="1"/>
    <x v="2"/>
    <x v="2"/>
    <x v="1"/>
    <x v="1"/>
    <x v="2"/>
    <x v="0"/>
    <x v="3"/>
    <x v="3"/>
    <x v="4"/>
    <x v="295"/>
    <x v="11"/>
    <x v="0"/>
    <x v="0"/>
    <x v="1"/>
    <x v="0"/>
    <x v="0"/>
    <x v="0"/>
    <x v="195"/>
  </r>
  <r>
    <x v="604"/>
    <x v="140"/>
    <x v="140"/>
    <x v="138"/>
    <x v="477"/>
    <x v="3"/>
    <x v="2"/>
    <x v="144"/>
    <x v="123"/>
    <x v="1"/>
    <x v="24"/>
    <x v="0"/>
    <x v="0"/>
    <x v="1"/>
    <x v="2"/>
    <x v="3"/>
    <x v="2"/>
    <x v="1"/>
    <x v="2"/>
    <x v="1"/>
    <x v="1"/>
    <x v="136"/>
    <x v="1"/>
    <x v="1"/>
    <x v="2"/>
    <x v="139"/>
    <x v="4"/>
    <x v="1"/>
    <x v="2"/>
    <x v="2"/>
    <x v="1"/>
    <x v="358"/>
    <x v="0"/>
    <x v="0"/>
  </r>
  <r>
    <x v="605"/>
    <x v="296"/>
    <x v="297"/>
    <x v="292"/>
    <x v="478"/>
    <x v="1"/>
    <x v="2"/>
    <x v="311"/>
    <x v="245"/>
    <x v="1"/>
    <x v="9"/>
    <x v="0"/>
    <x v="0"/>
    <x v="1"/>
    <x v="1"/>
    <x v="1"/>
    <x v="2"/>
    <x v="1"/>
    <x v="3"/>
    <x v="1"/>
    <x v="1"/>
    <x v="137"/>
    <x v="1"/>
    <x v="1"/>
    <x v="1"/>
    <x v="298"/>
    <x v="1"/>
    <x v="4"/>
    <x v="4"/>
    <x v="2"/>
    <x v="1"/>
    <x v="359"/>
    <x v="0"/>
    <x v="0"/>
  </r>
  <r>
    <x v="606"/>
    <x v="297"/>
    <x v="298"/>
    <x v="293"/>
    <x v="479"/>
    <x v="1"/>
    <x v="3"/>
    <x v="312"/>
    <x v="243"/>
    <x v="1"/>
    <x v="127"/>
    <x v="0"/>
    <x v="0"/>
    <x v="1"/>
    <x v="1"/>
    <x v="1"/>
    <x v="1"/>
    <x v="1"/>
    <x v="3"/>
    <x v="1"/>
    <x v="2"/>
    <x v="0"/>
    <x v="1"/>
    <x v="1"/>
    <x v="2"/>
    <x v="299"/>
    <x v="5"/>
    <x v="0"/>
    <x v="0"/>
    <x v="1"/>
    <x v="0"/>
    <x v="0"/>
    <x v="0"/>
    <x v="0"/>
  </r>
  <r>
    <x v="607"/>
    <x v="152"/>
    <x v="152"/>
    <x v="150"/>
    <x v="480"/>
    <x v="3"/>
    <x v="2"/>
    <x v="157"/>
    <x v="114"/>
    <x v="1"/>
    <x v="1"/>
    <x v="0"/>
    <x v="0"/>
    <x v="1"/>
    <x v="2"/>
    <x v="3"/>
    <x v="2"/>
    <x v="2"/>
    <x v="2"/>
    <x v="1"/>
    <x v="1"/>
    <x v="136"/>
    <x v="1"/>
    <x v="1"/>
    <x v="2"/>
    <x v="151"/>
    <x v="5"/>
    <x v="3"/>
    <x v="0"/>
    <x v="1"/>
    <x v="0"/>
    <x v="360"/>
    <x v="0"/>
    <x v="196"/>
  </r>
  <r>
    <x v="608"/>
    <x v="298"/>
    <x v="299"/>
    <x v="294"/>
    <x v="481"/>
    <x v="1"/>
    <x v="2"/>
    <x v="313"/>
    <x v="246"/>
    <x v="2"/>
    <x v="0"/>
    <x v="2"/>
    <x v="0"/>
    <x v="1"/>
    <x v="1"/>
    <x v="1"/>
    <x v="2"/>
    <x v="1"/>
    <x v="2"/>
    <x v="1"/>
    <x v="1"/>
    <x v="137"/>
    <x v="1"/>
    <x v="1"/>
    <x v="2"/>
    <x v="300"/>
    <x v="1"/>
    <x v="1"/>
    <x v="4"/>
    <x v="2"/>
    <x v="1"/>
    <x v="361"/>
    <x v="0"/>
    <x v="0"/>
  </r>
  <r>
    <x v="609"/>
    <x v="298"/>
    <x v="299"/>
    <x v="294"/>
    <x v="482"/>
    <x v="1"/>
    <x v="2"/>
    <x v="313"/>
    <x v="247"/>
    <x v="2"/>
    <x v="0"/>
    <x v="5"/>
    <x v="0"/>
    <x v="3"/>
    <x v="2"/>
    <x v="3"/>
    <x v="2"/>
    <x v="1"/>
    <x v="2"/>
    <x v="1"/>
    <x v="1"/>
    <x v="136"/>
    <x v="1"/>
    <x v="3"/>
    <x v="4"/>
    <x v="300"/>
    <x v="1"/>
    <x v="1"/>
    <x v="4"/>
    <x v="2"/>
    <x v="1"/>
    <x v="362"/>
    <x v="184"/>
    <x v="0"/>
  </r>
  <r>
    <x v="610"/>
    <x v="296"/>
    <x v="297"/>
    <x v="292"/>
    <x v="483"/>
    <x v="1"/>
    <x v="1"/>
    <x v="311"/>
    <x v="248"/>
    <x v="1"/>
    <x v="3"/>
    <x v="0"/>
    <x v="0"/>
    <x v="3"/>
    <x v="1"/>
    <x v="1"/>
    <x v="2"/>
    <x v="1"/>
    <x v="1"/>
    <x v="1"/>
    <x v="1"/>
    <x v="138"/>
    <x v="1"/>
    <x v="3"/>
    <x v="4"/>
    <x v="298"/>
    <x v="1"/>
    <x v="1"/>
    <x v="4"/>
    <x v="2"/>
    <x v="1"/>
    <x v="363"/>
    <x v="0"/>
    <x v="0"/>
  </r>
  <r>
    <x v="611"/>
    <x v="299"/>
    <x v="300"/>
    <x v="295"/>
    <x v="484"/>
    <x v="3"/>
    <x v="2"/>
    <x v="314"/>
    <x v="111"/>
    <x v="1"/>
    <x v="117"/>
    <x v="0"/>
    <x v="0"/>
    <x v="1"/>
    <x v="1"/>
    <x v="2"/>
    <x v="2"/>
    <x v="1"/>
    <x v="2"/>
    <x v="1"/>
    <x v="1"/>
    <x v="137"/>
    <x v="1"/>
    <x v="1"/>
    <x v="2"/>
    <x v="301"/>
    <x v="5"/>
    <x v="1"/>
    <x v="1"/>
    <x v="2"/>
    <x v="1"/>
    <x v="364"/>
    <x v="0"/>
    <x v="197"/>
  </r>
  <r>
    <x v="612"/>
    <x v="300"/>
    <x v="301"/>
    <x v="296"/>
    <x v="485"/>
    <x v="3"/>
    <x v="4"/>
    <x v="297"/>
    <x v="113"/>
    <x v="2"/>
    <x v="0"/>
    <x v="10"/>
    <x v="0"/>
    <x v="1"/>
    <x v="4"/>
    <x v="1"/>
    <x v="2"/>
    <x v="1"/>
    <x v="2"/>
    <x v="1"/>
    <x v="2"/>
    <x v="0"/>
    <x v="2"/>
    <x v="2"/>
    <x v="3"/>
    <x v="302"/>
    <x v="5"/>
    <x v="0"/>
    <x v="0"/>
    <x v="1"/>
    <x v="0"/>
    <x v="0"/>
    <x v="0"/>
    <x v="0"/>
  </r>
  <r>
    <x v="613"/>
    <x v="140"/>
    <x v="140"/>
    <x v="138"/>
    <x v="486"/>
    <x v="3"/>
    <x v="2"/>
    <x v="144"/>
    <x v="123"/>
    <x v="1"/>
    <x v="24"/>
    <x v="0"/>
    <x v="0"/>
    <x v="3"/>
    <x v="1"/>
    <x v="1"/>
    <x v="2"/>
    <x v="1"/>
    <x v="2"/>
    <x v="1"/>
    <x v="2"/>
    <x v="0"/>
    <x v="1"/>
    <x v="3"/>
    <x v="4"/>
    <x v="139"/>
    <x v="4"/>
    <x v="0"/>
    <x v="0"/>
    <x v="1"/>
    <x v="0"/>
    <x v="0"/>
    <x v="0"/>
    <x v="0"/>
  </r>
  <r>
    <x v="614"/>
    <x v="301"/>
    <x v="302"/>
    <x v="297"/>
    <x v="487"/>
    <x v="1"/>
    <x v="2"/>
    <x v="315"/>
    <x v="249"/>
    <x v="1"/>
    <x v="9"/>
    <x v="0"/>
    <x v="0"/>
    <x v="1"/>
    <x v="1"/>
    <x v="1"/>
    <x v="2"/>
    <x v="1"/>
    <x v="3"/>
    <x v="1"/>
    <x v="1"/>
    <x v="138"/>
    <x v="1"/>
    <x v="1"/>
    <x v="2"/>
    <x v="303"/>
    <x v="5"/>
    <x v="3"/>
    <x v="0"/>
    <x v="1"/>
    <x v="0"/>
    <x v="365"/>
    <x v="185"/>
    <x v="198"/>
  </r>
  <r>
    <x v="615"/>
    <x v="298"/>
    <x v="299"/>
    <x v="294"/>
    <x v="488"/>
    <x v="1"/>
    <x v="2"/>
    <x v="313"/>
    <x v="250"/>
    <x v="2"/>
    <x v="0"/>
    <x v="5"/>
    <x v="0"/>
    <x v="3"/>
    <x v="4"/>
    <x v="1"/>
    <x v="2"/>
    <x v="1"/>
    <x v="2"/>
    <x v="1"/>
    <x v="2"/>
    <x v="0"/>
    <x v="1"/>
    <x v="3"/>
    <x v="4"/>
    <x v="300"/>
    <x v="1"/>
    <x v="0"/>
    <x v="0"/>
    <x v="1"/>
    <x v="0"/>
    <x v="0"/>
    <x v="0"/>
    <x v="0"/>
  </r>
  <r>
    <x v="616"/>
    <x v="302"/>
    <x v="303"/>
    <x v="298"/>
    <x v="489"/>
    <x v="1"/>
    <x v="2"/>
    <x v="316"/>
    <x v="251"/>
    <x v="1"/>
    <x v="0"/>
    <x v="11"/>
    <x v="0"/>
    <x v="1"/>
    <x v="1"/>
    <x v="1"/>
    <x v="2"/>
    <x v="1"/>
    <x v="2"/>
    <x v="1"/>
    <x v="1"/>
    <x v="136"/>
    <x v="2"/>
    <x v="1"/>
    <x v="2"/>
    <x v="304"/>
    <x v="5"/>
    <x v="1"/>
    <x v="1"/>
    <x v="1"/>
    <x v="0"/>
    <x v="366"/>
    <x v="0"/>
    <x v="0"/>
  </r>
  <r>
    <x v="617"/>
    <x v="302"/>
    <x v="303"/>
    <x v="298"/>
    <x v="0"/>
    <x v="1"/>
    <x v="2"/>
    <x v="316"/>
    <x v="251"/>
    <x v="1"/>
    <x v="0"/>
    <x v="12"/>
    <x v="0"/>
    <x v="3"/>
    <x v="1"/>
    <x v="1"/>
    <x v="2"/>
    <x v="1"/>
    <x v="2"/>
    <x v="1"/>
    <x v="2"/>
    <x v="0"/>
    <x v="2"/>
    <x v="3"/>
    <x v="4"/>
    <x v="304"/>
    <x v="5"/>
    <x v="0"/>
    <x v="0"/>
    <x v="1"/>
    <x v="0"/>
    <x v="0"/>
    <x v="0"/>
    <x v="0"/>
  </r>
  <r>
    <x v="618"/>
    <x v="299"/>
    <x v="300"/>
    <x v="295"/>
    <x v="490"/>
    <x v="3"/>
    <x v="2"/>
    <x v="314"/>
    <x v="111"/>
    <x v="1"/>
    <x v="117"/>
    <x v="0"/>
    <x v="0"/>
    <x v="3"/>
    <x v="3"/>
    <x v="2"/>
    <x v="1"/>
    <x v="1"/>
    <x v="2"/>
    <x v="1"/>
    <x v="1"/>
    <x v="139"/>
    <x v="2"/>
    <x v="3"/>
    <x v="4"/>
    <x v="301"/>
    <x v="5"/>
    <x v="1"/>
    <x v="1"/>
    <x v="1"/>
    <x v="0"/>
    <x v="367"/>
    <x v="186"/>
    <x v="0"/>
  </r>
  <r>
    <x v="619"/>
    <x v="296"/>
    <x v="297"/>
    <x v="292"/>
    <x v="491"/>
    <x v="1"/>
    <x v="1"/>
    <x v="311"/>
    <x v="248"/>
    <x v="1"/>
    <x v="3"/>
    <x v="0"/>
    <x v="0"/>
    <x v="3"/>
    <x v="1"/>
    <x v="1"/>
    <x v="2"/>
    <x v="1"/>
    <x v="1"/>
    <x v="1"/>
    <x v="2"/>
    <x v="0"/>
    <x v="1"/>
    <x v="3"/>
    <x v="4"/>
    <x v="298"/>
    <x v="1"/>
    <x v="0"/>
    <x v="0"/>
    <x v="1"/>
    <x v="0"/>
    <x v="0"/>
    <x v="0"/>
    <x v="0"/>
  </r>
  <r>
    <x v="620"/>
    <x v="303"/>
    <x v="304"/>
    <x v="299"/>
    <x v="492"/>
    <x v="1"/>
    <x v="2"/>
    <x v="317"/>
    <x v="252"/>
    <x v="1"/>
    <x v="9"/>
    <x v="0"/>
    <x v="0"/>
    <x v="1"/>
    <x v="1"/>
    <x v="1"/>
    <x v="2"/>
    <x v="1"/>
    <x v="2"/>
    <x v="1"/>
    <x v="2"/>
    <x v="0"/>
    <x v="1"/>
    <x v="1"/>
    <x v="2"/>
    <x v="305"/>
    <x v="12"/>
    <x v="0"/>
    <x v="0"/>
    <x v="1"/>
    <x v="0"/>
    <x v="0"/>
    <x v="0"/>
    <x v="199"/>
  </r>
  <r>
    <x v="621"/>
    <x v="304"/>
    <x v="305"/>
    <x v="300"/>
    <x v="493"/>
    <x v="1"/>
    <x v="2"/>
    <x v="318"/>
    <x v="253"/>
    <x v="2"/>
    <x v="0"/>
    <x v="2"/>
    <x v="0"/>
    <x v="1"/>
    <x v="1"/>
    <x v="1"/>
    <x v="2"/>
    <x v="1"/>
    <x v="3"/>
    <x v="1"/>
    <x v="1"/>
    <x v="139"/>
    <x v="1"/>
    <x v="1"/>
    <x v="2"/>
    <x v="306"/>
    <x v="2"/>
    <x v="1"/>
    <x v="8"/>
    <x v="2"/>
    <x v="1"/>
    <x v="368"/>
    <x v="0"/>
    <x v="0"/>
  </r>
  <r>
    <x v="622"/>
    <x v="305"/>
    <x v="306"/>
    <x v="301"/>
    <x v="494"/>
    <x v="1"/>
    <x v="2"/>
    <x v="319"/>
    <x v="254"/>
    <x v="1"/>
    <x v="15"/>
    <x v="0"/>
    <x v="0"/>
    <x v="1"/>
    <x v="1"/>
    <x v="1"/>
    <x v="1"/>
    <x v="1"/>
    <x v="3"/>
    <x v="1"/>
    <x v="1"/>
    <x v="140"/>
    <x v="1"/>
    <x v="1"/>
    <x v="2"/>
    <x v="307"/>
    <x v="1"/>
    <x v="1"/>
    <x v="4"/>
    <x v="2"/>
    <x v="1"/>
    <x v="369"/>
    <x v="0"/>
    <x v="0"/>
  </r>
  <r>
    <x v="623"/>
    <x v="304"/>
    <x v="305"/>
    <x v="300"/>
    <x v="0"/>
    <x v="1"/>
    <x v="2"/>
    <x v="318"/>
    <x v="50"/>
    <x v="2"/>
    <x v="0"/>
    <x v="2"/>
    <x v="0"/>
    <x v="3"/>
    <x v="2"/>
    <x v="3"/>
    <x v="2"/>
    <x v="1"/>
    <x v="2"/>
    <x v="1"/>
    <x v="1"/>
    <x v="139"/>
    <x v="2"/>
    <x v="3"/>
    <x v="4"/>
    <x v="306"/>
    <x v="8"/>
    <x v="1"/>
    <x v="8"/>
    <x v="1"/>
    <x v="0"/>
    <x v="370"/>
    <x v="0"/>
    <x v="0"/>
  </r>
  <r>
    <x v="624"/>
    <x v="299"/>
    <x v="300"/>
    <x v="295"/>
    <x v="0"/>
    <x v="3"/>
    <x v="2"/>
    <x v="314"/>
    <x v="111"/>
    <x v="1"/>
    <x v="117"/>
    <x v="0"/>
    <x v="0"/>
    <x v="3"/>
    <x v="1"/>
    <x v="1"/>
    <x v="2"/>
    <x v="1"/>
    <x v="2"/>
    <x v="1"/>
    <x v="1"/>
    <x v="141"/>
    <x v="2"/>
    <x v="3"/>
    <x v="4"/>
    <x v="301"/>
    <x v="5"/>
    <x v="1"/>
    <x v="4"/>
    <x v="2"/>
    <x v="1"/>
    <x v="371"/>
    <x v="187"/>
    <x v="200"/>
  </r>
  <r>
    <x v="625"/>
    <x v="304"/>
    <x v="305"/>
    <x v="300"/>
    <x v="0"/>
    <x v="1"/>
    <x v="2"/>
    <x v="318"/>
    <x v="50"/>
    <x v="2"/>
    <x v="0"/>
    <x v="13"/>
    <x v="0"/>
    <x v="3"/>
    <x v="4"/>
    <x v="1"/>
    <x v="2"/>
    <x v="1"/>
    <x v="2"/>
    <x v="1"/>
    <x v="2"/>
    <x v="0"/>
    <x v="2"/>
    <x v="3"/>
    <x v="4"/>
    <x v="306"/>
    <x v="8"/>
    <x v="0"/>
    <x v="0"/>
    <x v="1"/>
    <x v="0"/>
    <x v="0"/>
    <x v="0"/>
    <x v="0"/>
  </r>
  <r>
    <x v="626"/>
    <x v="135"/>
    <x v="135"/>
    <x v="133"/>
    <x v="495"/>
    <x v="1"/>
    <x v="2"/>
    <x v="139"/>
    <x v="119"/>
    <x v="1"/>
    <x v="33"/>
    <x v="0"/>
    <x v="0"/>
    <x v="1"/>
    <x v="3"/>
    <x v="3"/>
    <x v="2"/>
    <x v="1"/>
    <x v="2"/>
    <x v="1"/>
    <x v="1"/>
    <x v="140"/>
    <x v="1"/>
    <x v="6"/>
    <x v="2"/>
    <x v="267"/>
    <x v="11"/>
    <x v="0"/>
    <x v="0"/>
    <x v="1"/>
    <x v="0"/>
    <x v="372"/>
    <x v="0"/>
    <x v="201"/>
  </r>
  <r>
    <x v="627"/>
    <x v="306"/>
    <x v="307"/>
    <x v="302"/>
    <x v="496"/>
    <x v="1"/>
    <x v="2"/>
    <x v="320"/>
    <x v="255"/>
    <x v="1"/>
    <x v="8"/>
    <x v="0"/>
    <x v="0"/>
    <x v="1"/>
    <x v="1"/>
    <x v="1"/>
    <x v="2"/>
    <x v="1"/>
    <x v="1"/>
    <x v="1"/>
    <x v="1"/>
    <x v="141"/>
    <x v="1"/>
    <x v="1"/>
    <x v="2"/>
    <x v="308"/>
    <x v="3"/>
    <x v="1"/>
    <x v="3"/>
    <x v="1"/>
    <x v="0"/>
    <x v="373"/>
    <x v="0"/>
    <x v="202"/>
  </r>
  <r>
    <x v="628"/>
    <x v="307"/>
    <x v="308"/>
    <x v="303"/>
    <x v="497"/>
    <x v="1"/>
    <x v="2"/>
    <x v="321"/>
    <x v="10"/>
    <x v="1"/>
    <x v="15"/>
    <x v="0"/>
    <x v="0"/>
    <x v="1"/>
    <x v="3"/>
    <x v="3"/>
    <x v="1"/>
    <x v="1"/>
    <x v="2"/>
    <x v="1"/>
    <x v="1"/>
    <x v="140"/>
    <x v="1"/>
    <x v="1"/>
    <x v="5"/>
    <x v="309"/>
    <x v="2"/>
    <x v="1"/>
    <x v="12"/>
    <x v="2"/>
    <x v="1"/>
    <x v="374"/>
    <x v="0"/>
    <x v="0"/>
  </r>
  <r>
    <x v="629"/>
    <x v="306"/>
    <x v="307"/>
    <x v="302"/>
    <x v="498"/>
    <x v="1"/>
    <x v="2"/>
    <x v="320"/>
    <x v="255"/>
    <x v="1"/>
    <x v="8"/>
    <x v="0"/>
    <x v="0"/>
    <x v="3"/>
    <x v="1"/>
    <x v="1"/>
    <x v="2"/>
    <x v="2"/>
    <x v="3"/>
    <x v="1"/>
    <x v="1"/>
    <x v="140"/>
    <x v="1"/>
    <x v="3"/>
    <x v="4"/>
    <x v="308"/>
    <x v="4"/>
    <x v="1"/>
    <x v="12"/>
    <x v="2"/>
    <x v="1"/>
    <x v="0"/>
    <x v="0"/>
    <x v="0"/>
  </r>
  <r>
    <x v="630"/>
    <x v="306"/>
    <x v="307"/>
    <x v="302"/>
    <x v="499"/>
    <x v="1"/>
    <x v="2"/>
    <x v="320"/>
    <x v="255"/>
    <x v="1"/>
    <x v="8"/>
    <x v="0"/>
    <x v="0"/>
    <x v="3"/>
    <x v="1"/>
    <x v="1"/>
    <x v="2"/>
    <x v="1"/>
    <x v="1"/>
    <x v="1"/>
    <x v="2"/>
    <x v="0"/>
    <x v="1"/>
    <x v="3"/>
    <x v="4"/>
    <x v="308"/>
    <x v="3"/>
    <x v="0"/>
    <x v="0"/>
    <x v="1"/>
    <x v="0"/>
    <x v="0"/>
    <x v="0"/>
    <x v="0"/>
  </r>
  <r>
    <x v="631"/>
    <x v="308"/>
    <x v="309"/>
    <x v="304"/>
    <x v="500"/>
    <x v="1"/>
    <x v="2"/>
    <x v="322"/>
    <x v="59"/>
    <x v="1"/>
    <x v="3"/>
    <x v="0"/>
    <x v="0"/>
    <x v="1"/>
    <x v="2"/>
    <x v="3"/>
    <x v="2"/>
    <x v="1"/>
    <x v="2"/>
    <x v="1"/>
    <x v="1"/>
    <x v="140"/>
    <x v="1"/>
    <x v="1"/>
    <x v="2"/>
    <x v="310"/>
    <x v="3"/>
    <x v="3"/>
    <x v="0"/>
    <x v="1"/>
    <x v="0"/>
    <x v="375"/>
    <x v="188"/>
    <x v="203"/>
  </r>
  <r>
    <x v="632"/>
    <x v="307"/>
    <x v="308"/>
    <x v="303"/>
    <x v="501"/>
    <x v="1"/>
    <x v="2"/>
    <x v="321"/>
    <x v="179"/>
    <x v="1"/>
    <x v="15"/>
    <x v="0"/>
    <x v="0"/>
    <x v="3"/>
    <x v="1"/>
    <x v="1"/>
    <x v="2"/>
    <x v="1"/>
    <x v="1"/>
    <x v="1"/>
    <x v="2"/>
    <x v="0"/>
    <x v="1"/>
    <x v="3"/>
    <x v="4"/>
    <x v="309"/>
    <x v="11"/>
    <x v="0"/>
    <x v="0"/>
    <x v="1"/>
    <x v="0"/>
    <x v="0"/>
    <x v="0"/>
    <x v="0"/>
  </r>
  <r>
    <x v="633"/>
    <x v="305"/>
    <x v="306"/>
    <x v="301"/>
    <x v="502"/>
    <x v="1"/>
    <x v="2"/>
    <x v="319"/>
    <x v="254"/>
    <x v="1"/>
    <x v="128"/>
    <x v="0"/>
    <x v="0"/>
    <x v="3"/>
    <x v="3"/>
    <x v="2"/>
    <x v="2"/>
    <x v="1"/>
    <x v="3"/>
    <x v="1"/>
    <x v="2"/>
    <x v="0"/>
    <x v="1"/>
    <x v="3"/>
    <x v="4"/>
    <x v="307"/>
    <x v="1"/>
    <x v="0"/>
    <x v="0"/>
    <x v="1"/>
    <x v="0"/>
    <x v="0"/>
    <x v="0"/>
    <x v="204"/>
  </r>
  <r>
    <x v="634"/>
    <x v="306"/>
    <x v="307"/>
    <x v="302"/>
    <x v="503"/>
    <x v="1"/>
    <x v="2"/>
    <x v="320"/>
    <x v="255"/>
    <x v="1"/>
    <x v="8"/>
    <x v="0"/>
    <x v="0"/>
    <x v="3"/>
    <x v="1"/>
    <x v="2"/>
    <x v="2"/>
    <x v="2"/>
    <x v="1"/>
    <x v="1"/>
    <x v="1"/>
    <x v="142"/>
    <x v="1"/>
    <x v="3"/>
    <x v="4"/>
    <x v="308"/>
    <x v="11"/>
    <x v="3"/>
    <x v="0"/>
    <x v="1"/>
    <x v="0"/>
    <x v="376"/>
    <x v="0"/>
    <x v="205"/>
  </r>
  <r>
    <x v="635"/>
    <x v="299"/>
    <x v="300"/>
    <x v="295"/>
    <x v="504"/>
    <x v="3"/>
    <x v="2"/>
    <x v="314"/>
    <x v="111"/>
    <x v="1"/>
    <x v="33"/>
    <x v="0"/>
    <x v="0"/>
    <x v="3"/>
    <x v="1"/>
    <x v="1"/>
    <x v="2"/>
    <x v="1"/>
    <x v="2"/>
    <x v="1"/>
    <x v="1"/>
    <x v="142"/>
    <x v="1"/>
    <x v="3"/>
    <x v="4"/>
    <x v="301"/>
    <x v="1"/>
    <x v="3"/>
    <x v="0"/>
    <x v="1"/>
    <x v="0"/>
    <x v="376"/>
    <x v="0"/>
    <x v="0"/>
  </r>
  <r>
    <x v="636"/>
    <x v="309"/>
    <x v="310"/>
    <x v="305"/>
    <x v="505"/>
    <x v="1"/>
    <x v="2"/>
    <x v="323"/>
    <x v="239"/>
    <x v="1"/>
    <x v="129"/>
    <x v="0"/>
    <x v="0"/>
    <x v="1"/>
    <x v="1"/>
    <x v="2"/>
    <x v="1"/>
    <x v="1"/>
    <x v="2"/>
    <x v="1"/>
    <x v="1"/>
    <x v="143"/>
    <x v="2"/>
    <x v="1"/>
    <x v="2"/>
    <x v="311"/>
    <x v="4"/>
    <x v="1"/>
    <x v="2"/>
    <x v="2"/>
    <x v="1"/>
    <x v="377"/>
    <x v="0"/>
    <x v="206"/>
  </r>
  <r>
    <x v="637"/>
    <x v="309"/>
    <x v="310"/>
    <x v="305"/>
    <x v="506"/>
    <x v="1"/>
    <x v="2"/>
    <x v="323"/>
    <x v="239"/>
    <x v="1"/>
    <x v="129"/>
    <x v="0"/>
    <x v="0"/>
    <x v="3"/>
    <x v="2"/>
    <x v="3"/>
    <x v="1"/>
    <x v="1"/>
    <x v="2"/>
    <x v="1"/>
    <x v="1"/>
    <x v="142"/>
    <x v="1"/>
    <x v="3"/>
    <x v="4"/>
    <x v="311"/>
    <x v="4"/>
    <x v="1"/>
    <x v="1"/>
    <x v="1"/>
    <x v="0"/>
    <x v="378"/>
    <x v="0"/>
    <x v="207"/>
  </r>
  <r>
    <x v="638"/>
    <x v="309"/>
    <x v="310"/>
    <x v="305"/>
    <x v="0"/>
    <x v="1"/>
    <x v="2"/>
    <x v="323"/>
    <x v="196"/>
    <x v="1"/>
    <x v="129"/>
    <x v="0"/>
    <x v="0"/>
    <x v="3"/>
    <x v="4"/>
    <x v="1"/>
    <x v="2"/>
    <x v="1"/>
    <x v="2"/>
    <x v="1"/>
    <x v="2"/>
    <x v="0"/>
    <x v="2"/>
    <x v="3"/>
    <x v="4"/>
    <x v="311"/>
    <x v="5"/>
    <x v="0"/>
    <x v="0"/>
    <x v="1"/>
    <x v="0"/>
    <x v="0"/>
    <x v="0"/>
    <x v="0"/>
  </r>
  <r>
    <x v="639"/>
    <x v="307"/>
    <x v="308"/>
    <x v="303"/>
    <x v="507"/>
    <x v="1"/>
    <x v="2"/>
    <x v="321"/>
    <x v="179"/>
    <x v="1"/>
    <x v="15"/>
    <x v="0"/>
    <x v="0"/>
    <x v="1"/>
    <x v="1"/>
    <x v="1"/>
    <x v="2"/>
    <x v="1"/>
    <x v="2"/>
    <x v="1"/>
    <x v="1"/>
    <x v="144"/>
    <x v="1"/>
    <x v="6"/>
    <x v="3"/>
    <x v="309"/>
    <x v="5"/>
    <x v="1"/>
    <x v="1"/>
    <x v="1"/>
    <x v="0"/>
    <x v="379"/>
    <x v="189"/>
    <x v="208"/>
  </r>
  <r>
    <x v="640"/>
    <x v="310"/>
    <x v="311"/>
    <x v="306"/>
    <x v="508"/>
    <x v="1"/>
    <x v="2"/>
    <x v="324"/>
    <x v="256"/>
    <x v="1"/>
    <x v="130"/>
    <x v="0"/>
    <x v="0"/>
    <x v="1"/>
    <x v="3"/>
    <x v="3"/>
    <x v="2"/>
    <x v="1"/>
    <x v="2"/>
    <x v="1"/>
    <x v="1"/>
    <x v="145"/>
    <x v="1"/>
    <x v="6"/>
    <x v="2"/>
    <x v="312"/>
    <x v="12"/>
    <x v="1"/>
    <x v="1"/>
    <x v="1"/>
    <x v="0"/>
    <x v="380"/>
    <x v="0"/>
    <x v="209"/>
  </r>
  <r>
    <x v="641"/>
    <x v="311"/>
    <x v="312"/>
    <x v="307"/>
    <x v="509"/>
    <x v="1"/>
    <x v="2"/>
    <x v="325"/>
    <x v="144"/>
    <x v="1"/>
    <x v="15"/>
    <x v="0"/>
    <x v="0"/>
    <x v="1"/>
    <x v="1"/>
    <x v="1"/>
    <x v="2"/>
    <x v="1"/>
    <x v="1"/>
    <x v="1"/>
    <x v="1"/>
    <x v="146"/>
    <x v="1"/>
    <x v="6"/>
    <x v="2"/>
    <x v="313"/>
    <x v="12"/>
    <x v="3"/>
    <x v="0"/>
    <x v="1"/>
    <x v="0"/>
    <x v="381"/>
    <x v="190"/>
    <x v="210"/>
  </r>
  <r>
    <x v="642"/>
    <x v="312"/>
    <x v="313"/>
    <x v="308"/>
    <x v="510"/>
    <x v="3"/>
    <x v="2"/>
    <x v="326"/>
    <x v="257"/>
    <x v="1"/>
    <x v="3"/>
    <x v="0"/>
    <x v="0"/>
    <x v="1"/>
    <x v="1"/>
    <x v="2"/>
    <x v="2"/>
    <x v="1"/>
    <x v="2"/>
    <x v="1"/>
    <x v="1"/>
    <x v="147"/>
    <x v="1"/>
    <x v="6"/>
    <x v="3"/>
    <x v="314"/>
    <x v="5"/>
    <x v="1"/>
    <x v="1"/>
    <x v="1"/>
    <x v="0"/>
    <x v="382"/>
    <x v="0"/>
    <x v="211"/>
  </r>
  <r>
    <x v="643"/>
    <x v="307"/>
    <x v="308"/>
    <x v="303"/>
    <x v="0"/>
    <x v="1"/>
    <x v="2"/>
    <x v="321"/>
    <x v="179"/>
    <x v="1"/>
    <x v="15"/>
    <x v="0"/>
    <x v="0"/>
    <x v="3"/>
    <x v="1"/>
    <x v="1"/>
    <x v="2"/>
    <x v="1"/>
    <x v="2"/>
    <x v="1"/>
    <x v="2"/>
    <x v="0"/>
    <x v="2"/>
    <x v="3"/>
    <x v="4"/>
    <x v="309"/>
    <x v="5"/>
    <x v="0"/>
    <x v="0"/>
    <x v="1"/>
    <x v="0"/>
    <x v="0"/>
    <x v="0"/>
    <x v="0"/>
  </r>
  <r>
    <x v="644"/>
    <x v="310"/>
    <x v="311"/>
    <x v="306"/>
    <x v="0"/>
    <x v="1"/>
    <x v="2"/>
    <x v="324"/>
    <x v="258"/>
    <x v="1"/>
    <x v="2"/>
    <x v="0"/>
    <x v="0"/>
    <x v="3"/>
    <x v="1"/>
    <x v="1"/>
    <x v="2"/>
    <x v="1"/>
    <x v="2"/>
    <x v="1"/>
    <x v="2"/>
    <x v="0"/>
    <x v="2"/>
    <x v="3"/>
    <x v="4"/>
    <x v="312"/>
    <x v="5"/>
    <x v="0"/>
    <x v="0"/>
    <x v="1"/>
    <x v="0"/>
    <x v="0"/>
    <x v="0"/>
    <x v="208"/>
  </r>
  <r>
    <x v="645"/>
    <x v="313"/>
    <x v="314"/>
    <x v="309"/>
    <x v="511"/>
    <x v="1"/>
    <x v="1"/>
    <x v="327"/>
    <x v="119"/>
    <x v="1"/>
    <x v="9"/>
    <x v="0"/>
    <x v="0"/>
    <x v="1"/>
    <x v="1"/>
    <x v="1"/>
    <x v="2"/>
    <x v="1"/>
    <x v="1"/>
    <x v="1"/>
    <x v="1"/>
    <x v="147"/>
    <x v="1"/>
    <x v="4"/>
    <x v="2"/>
    <x v="315"/>
    <x v="12"/>
    <x v="1"/>
    <x v="1"/>
    <x v="1"/>
    <x v="0"/>
    <x v="383"/>
    <x v="0"/>
    <x v="0"/>
  </r>
  <r>
    <x v="646"/>
    <x v="314"/>
    <x v="315"/>
    <x v="310"/>
    <x v="512"/>
    <x v="3"/>
    <x v="2"/>
    <x v="328"/>
    <x v="259"/>
    <x v="1"/>
    <x v="131"/>
    <x v="0"/>
    <x v="0"/>
    <x v="1"/>
    <x v="1"/>
    <x v="1"/>
    <x v="2"/>
    <x v="1"/>
    <x v="1"/>
    <x v="1"/>
    <x v="2"/>
    <x v="0"/>
    <x v="1"/>
    <x v="6"/>
    <x v="2"/>
    <x v="316"/>
    <x v="12"/>
    <x v="0"/>
    <x v="0"/>
    <x v="1"/>
    <x v="0"/>
    <x v="0"/>
    <x v="0"/>
    <x v="0"/>
  </r>
  <r>
    <x v="647"/>
    <x v="313"/>
    <x v="314"/>
    <x v="309"/>
    <x v="0"/>
    <x v="1"/>
    <x v="1"/>
    <x v="327"/>
    <x v="119"/>
    <x v="1"/>
    <x v="9"/>
    <x v="0"/>
    <x v="0"/>
    <x v="3"/>
    <x v="1"/>
    <x v="1"/>
    <x v="2"/>
    <x v="1"/>
    <x v="2"/>
    <x v="1"/>
    <x v="2"/>
    <x v="0"/>
    <x v="2"/>
    <x v="3"/>
    <x v="4"/>
    <x v="315"/>
    <x v="5"/>
    <x v="0"/>
    <x v="0"/>
    <x v="1"/>
    <x v="0"/>
    <x v="0"/>
    <x v="0"/>
    <x v="0"/>
  </r>
  <r>
    <x v="648"/>
    <x v="312"/>
    <x v="313"/>
    <x v="308"/>
    <x v="0"/>
    <x v="3"/>
    <x v="2"/>
    <x v="326"/>
    <x v="257"/>
    <x v="1"/>
    <x v="3"/>
    <x v="0"/>
    <x v="0"/>
    <x v="3"/>
    <x v="3"/>
    <x v="2"/>
    <x v="2"/>
    <x v="1"/>
    <x v="2"/>
    <x v="1"/>
    <x v="1"/>
    <x v="148"/>
    <x v="2"/>
    <x v="3"/>
    <x v="4"/>
    <x v="314"/>
    <x v="5"/>
    <x v="1"/>
    <x v="1"/>
    <x v="2"/>
    <x v="1"/>
    <x v="384"/>
    <x v="0"/>
    <x v="211"/>
  </r>
  <r>
    <x v="649"/>
    <x v="315"/>
    <x v="316"/>
    <x v="311"/>
    <x v="513"/>
    <x v="1"/>
    <x v="2"/>
    <x v="329"/>
    <x v="260"/>
    <x v="1"/>
    <x v="9"/>
    <x v="0"/>
    <x v="0"/>
    <x v="1"/>
    <x v="3"/>
    <x v="3"/>
    <x v="1"/>
    <x v="1"/>
    <x v="3"/>
    <x v="1"/>
    <x v="1"/>
    <x v="148"/>
    <x v="1"/>
    <x v="1"/>
    <x v="2"/>
    <x v="317"/>
    <x v="1"/>
    <x v="1"/>
    <x v="5"/>
    <x v="2"/>
    <x v="1"/>
    <x v="385"/>
    <x v="0"/>
    <x v="0"/>
  </r>
  <r>
    <x v="650"/>
    <x v="316"/>
    <x v="317"/>
    <x v="312"/>
    <x v="514"/>
    <x v="1"/>
    <x v="2"/>
    <x v="330"/>
    <x v="92"/>
    <x v="1"/>
    <x v="132"/>
    <x v="0"/>
    <x v="0"/>
    <x v="1"/>
    <x v="2"/>
    <x v="3"/>
    <x v="1"/>
    <x v="1"/>
    <x v="2"/>
    <x v="1"/>
    <x v="1"/>
    <x v="148"/>
    <x v="1"/>
    <x v="6"/>
    <x v="2"/>
    <x v="318"/>
    <x v="3"/>
    <x v="1"/>
    <x v="1"/>
    <x v="1"/>
    <x v="0"/>
    <x v="386"/>
    <x v="191"/>
    <x v="194"/>
  </r>
  <r>
    <x v="651"/>
    <x v="317"/>
    <x v="316"/>
    <x v="311"/>
    <x v="515"/>
    <x v="1"/>
    <x v="2"/>
    <x v="331"/>
    <x v="10"/>
    <x v="1"/>
    <x v="9"/>
    <x v="0"/>
    <x v="0"/>
    <x v="3"/>
    <x v="1"/>
    <x v="1"/>
    <x v="2"/>
    <x v="1"/>
    <x v="2"/>
    <x v="1"/>
    <x v="2"/>
    <x v="0"/>
    <x v="1"/>
    <x v="3"/>
    <x v="4"/>
    <x v="317"/>
    <x v="2"/>
    <x v="0"/>
    <x v="0"/>
    <x v="1"/>
    <x v="0"/>
    <x v="0"/>
    <x v="0"/>
    <x v="0"/>
  </r>
  <r>
    <x v="652"/>
    <x v="318"/>
    <x v="318"/>
    <x v="313"/>
    <x v="516"/>
    <x v="1"/>
    <x v="2"/>
    <x v="332"/>
    <x v="261"/>
    <x v="1"/>
    <x v="9"/>
    <x v="0"/>
    <x v="0"/>
    <x v="1"/>
    <x v="3"/>
    <x v="3"/>
    <x v="2"/>
    <x v="1"/>
    <x v="3"/>
    <x v="1"/>
    <x v="1"/>
    <x v="149"/>
    <x v="1"/>
    <x v="1"/>
    <x v="2"/>
    <x v="319"/>
    <x v="1"/>
    <x v="1"/>
    <x v="7"/>
    <x v="1"/>
    <x v="0"/>
    <x v="387"/>
    <x v="192"/>
    <x v="212"/>
  </r>
  <r>
    <x v="653"/>
    <x v="178"/>
    <x v="176"/>
    <x v="174"/>
    <x v="517"/>
    <x v="1"/>
    <x v="2"/>
    <x v="186"/>
    <x v="153"/>
    <x v="1"/>
    <x v="44"/>
    <x v="0"/>
    <x v="0"/>
    <x v="1"/>
    <x v="2"/>
    <x v="3"/>
    <x v="2"/>
    <x v="1"/>
    <x v="2"/>
    <x v="1"/>
    <x v="1"/>
    <x v="149"/>
    <x v="2"/>
    <x v="1"/>
    <x v="2"/>
    <x v="175"/>
    <x v="3"/>
    <x v="3"/>
    <x v="0"/>
    <x v="1"/>
    <x v="0"/>
    <x v="388"/>
    <x v="193"/>
    <x v="0"/>
  </r>
  <r>
    <x v="654"/>
    <x v="312"/>
    <x v="313"/>
    <x v="308"/>
    <x v="518"/>
    <x v="3"/>
    <x v="2"/>
    <x v="326"/>
    <x v="257"/>
    <x v="1"/>
    <x v="3"/>
    <x v="0"/>
    <x v="0"/>
    <x v="3"/>
    <x v="1"/>
    <x v="1"/>
    <x v="2"/>
    <x v="1"/>
    <x v="2"/>
    <x v="1"/>
    <x v="2"/>
    <x v="0"/>
    <x v="2"/>
    <x v="3"/>
    <x v="4"/>
    <x v="314"/>
    <x v="5"/>
    <x v="0"/>
    <x v="0"/>
    <x v="1"/>
    <x v="0"/>
    <x v="0"/>
    <x v="0"/>
    <x v="0"/>
  </r>
  <r>
    <x v="655"/>
    <x v="319"/>
    <x v="319"/>
    <x v="314"/>
    <x v="519"/>
    <x v="1"/>
    <x v="2"/>
    <x v="333"/>
    <x v="121"/>
    <x v="1"/>
    <x v="133"/>
    <x v="0"/>
    <x v="0"/>
    <x v="1"/>
    <x v="2"/>
    <x v="3"/>
    <x v="2"/>
    <x v="1"/>
    <x v="2"/>
    <x v="1"/>
    <x v="1"/>
    <x v="149"/>
    <x v="1"/>
    <x v="1"/>
    <x v="1"/>
    <x v="320"/>
    <x v="3"/>
    <x v="1"/>
    <x v="7"/>
    <x v="1"/>
    <x v="0"/>
    <x v="389"/>
    <x v="194"/>
    <x v="0"/>
  </r>
  <r>
    <x v="656"/>
    <x v="320"/>
    <x v="320"/>
    <x v="315"/>
    <x v="520"/>
    <x v="1"/>
    <x v="2"/>
    <x v="334"/>
    <x v="262"/>
    <x v="6"/>
    <x v="0"/>
    <x v="0"/>
    <x v="14"/>
    <x v="1"/>
    <x v="2"/>
    <x v="3"/>
    <x v="2"/>
    <x v="1"/>
    <x v="3"/>
    <x v="1"/>
    <x v="1"/>
    <x v="149"/>
    <x v="1"/>
    <x v="1"/>
    <x v="2"/>
    <x v="321"/>
    <x v="3"/>
    <x v="3"/>
    <x v="0"/>
    <x v="1"/>
    <x v="0"/>
    <x v="390"/>
    <x v="195"/>
    <x v="0"/>
  </r>
  <r>
    <x v="657"/>
    <x v="321"/>
    <x v="321"/>
    <x v="316"/>
    <x v="521"/>
    <x v="1"/>
    <x v="2"/>
    <x v="335"/>
    <x v="263"/>
    <x v="1"/>
    <x v="36"/>
    <x v="0"/>
    <x v="0"/>
    <x v="1"/>
    <x v="1"/>
    <x v="1"/>
    <x v="2"/>
    <x v="1"/>
    <x v="1"/>
    <x v="1"/>
    <x v="2"/>
    <x v="0"/>
    <x v="1"/>
    <x v="1"/>
    <x v="2"/>
    <x v="322"/>
    <x v="11"/>
    <x v="0"/>
    <x v="0"/>
    <x v="1"/>
    <x v="0"/>
    <x v="0"/>
    <x v="0"/>
    <x v="0"/>
  </r>
  <r>
    <x v="658"/>
    <x v="322"/>
    <x v="322"/>
    <x v="317"/>
    <x v="522"/>
    <x v="1"/>
    <x v="2"/>
    <x v="336"/>
    <x v="36"/>
    <x v="1"/>
    <x v="134"/>
    <x v="0"/>
    <x v="0"/>
    <x v="1"/>
    <x v="1"/>
    <x v="1"/>
    <x v="2"/>
    <x v="1"/>
    <x v="2"/>
    <x v="1"/>
    <x v="2"/>
    <x v="0"/>
    <x v="1"/>
    <x v="1"/>
    <x v="2"/>
    <x v="323"/>
    <x v="3"/>
    <x v="0"/>
    <x v="0"/>
    <x v="1"/>
    <x v="0"/>
    <x v="0"/>
    <x v="0"/>
    <x v="0"/>
  </r>
  <r>
    <x v="659"/>
    <x v="316"/>
    <x v="317"/>
    <x v="312"/>
    <x v="0"/>
    <x v="1"/>
    <x v="2"/>
    <x v="330"/>
    <x v="92"/>
    <x v="1"/>
    <x v="132"/>
    <x v="0"/>
    <x v="0"/>
    <x v="3"/>
    <x v="1"/>
    <x v="1"/>
    <x v="2"/>
    <x v="1"/>
    <x v="2"/>
    <x v="1"/>
    <x v="2"/>
    <x v="0"/>
    <x v="2"/>
    <x v="3"/>
    <x v="4"/>
    <x v="318"/>
    <x v="5"/>
    <x v="0"/>
    <x v="0"/>
    <x v="1"/>
    <x v="0"/>
    <x v="0"/>
    <x v="0"/>
    <x v="0"/>
  </r>
  <r>
    <x v="660"/>
    <x v="318"/>
    <x v="318"/>
    <x v="313"/>
    <x v="0"/>
    <x v="1"/>
    <x v="2"/>
    <x v="337"/>
    <x v="261"/>
    <x v="1"/>
    <x v="9"/>
    <x v="0"/>
    <x v="0"/>
    <x v="3"/>
    <x v="4"/>
    <x v="1"/>
    <x v="2"/>
    <x v="1"/>
    <x v="2"/>
    <x v="1"/>
    <x v="2"/>
    <x v="0"/>
    <x v="2"/>
    <x v="3"/>
    <x v="4"/>
    <x v="324"/>
    <x v="12"/>
    <x v="0"/>
    <x v="0"/>
    <x v="1"/>
    <x v="0"/>
    <x v="0"/>
    <x v="0"/>
    <x v="0"/>
  </r>
  <r>
    <x v="661"/>
    <x v="323"/>
    <x v="323"/>
    <x v="318"/>
    <x v="523"/>
    <x v="1"/>
    <x v="1"/>
    <x v="43"/>
    <x v="264"/>
    <x v="1"/>
    <x v="135"/>
    <x v="0"/>
    <x v="0"/>
    <x v="1"/>
    <x v="1"/>
    <x v="1"/>
    <x v="2"/>
    <x v="1"/>
    <x v="2"/>
    <x v="1"/>
    <x v="2"/>
    <x v="0"/>
    <x v="1"/>
    <x v="1"/>
    <x v="2"/>
    <x v="325"/>
    <x v="12"/>
    <x v="0"/>
    <x v="0"/>
    <x v="1"/>
    <x v="0"/>
    <x v="0"/>
    <x v="0"/>
    <x v="0"/>
  </r>
  <r>
    <x v="662"/>
    <x v="319"/>
    <x v="319"/>
    <x v="314"/>
    <x v="0"/>
    <x v="1"/>
    <x v="2"/>
    <x v="333"/>
    <x v="265"/>
    <x v="1"/>
    <x v="133"/>
    <x v="0"/>
    <x v="0"/>
    <x v="3"/>
    <x v="1"/>
    <x v="1"/>
    <x v="1"/>
    <x v="1"/>
    <x v="2"/>
    <x v="1"/>
    <x v="2"/>
    <x v="0"/>
    <x v="2"/>
    <x v="1"/>
    <x v="4"/>
    <x v="320"/>
    <x v="12"/>
    <x v="0"/>
    <x v="0"/>
    <x v="1"/>
    <x v="0"/>
    <x v="0"/>
    <x v="0"/>
    <x v="213"/>
  </r>
  <r>
    <x v="663"/>
    <x v="324"/>
    <x v="324"/>
    <x v="319"/>
    <x v="524"/>
    <x v="1"/>
    <x v="2"/>
    <x v="338"/>
    <x v="266"/>
    <x v="1"/>
    <x v="1"/>
    <x v="0"/>
    <x v="0"/>
    <x v="1"/>
    <x v="2"/>
    <x v="3"/>
    <x v="2"/>
    <x v="1"/>
    <x v="2"/>
    <x v="1"/>
    <x v="1"/>
    <x v="150"/>
    <x v="1"/>
    <x v="5"/>
    <x v="3"/>
    <x v="326"/>
    <x v="2"/>
    <x v="3"/>
    <x v="0"/>
    <x v="1"/>
    <x v="0"/>
    <x v="391"/>
    <x v="196"/>
    <x v="0"/>
  </r>
  <r>
    <x v="664"/>
    <x v="325"/>
    <x v="325"/>
    <x v="320"/>
    <x v="525"/>
    <x v="1"/>
    <x v="2"/>
    <x v="339"/>
    <x v="267"/>
    <x v="1"/>
    <x v="9"/>
    <x v="0"/>
    <x v="0"/>
    <x v="1"/>
    <x v="1"/>
    <x v="1"/>
    <x v="2"/>
    <x v="1"/>
    <x v="2"/>
    <x v="1"/>
    <x v="2"/>
    <x v="0"/>
    <x v="1"/>
    <x v="1"/>
    <x v="2"/>
    <x v="327"/>
    <x v="11"/>
    <x v="0"/>
    <x v="0"/>
    <x v="1"/>
    <x v="0"/>
    <x v="0"/>
    <x v="0"/>
    <x v="0"/>
  </r>
  <r>
    <x v="665"/>
    <x v="312"/>
    <x v="313"/>
    <x v="308"/>
    <x v="526"/>
    <x v="3"/>
    <x v="2"/>
    <x v="326"/>
    <x v="268"/>
    <x v="1"/>
    <x v="9"/>
    <x v="0"/>
    <x v="0"/>
    <x v="1"/>
    <x v="3"/>
    <x v="2"/>
    <x v="2"/>
    <x v="1"/>
    <x v="3"/>
    <x v="1"/>
    <x v="1"/>
    <x v="151"/>
    <x v="1"/>
    <x v="1"/>
    <x v="2"/>
    <x v="314"/>
    <x v="11"/>
    <x v="1"/>
    <x v="4"/>
    <x v="2"/>
    <x v="1"/>
    <x v="392"/>
    <x v="197"/>
    <x v="214"/>
  </r>
  <r>
    <x v="666"/>
    <x v="141"/>
    <x v="141"/>
    <x v="139"/>
    <x v="527"/>
    <x v="1"/>
    <x v="1"/>
    <x v="145"/>
    <x v="125"/>
    <x v="1"/>
    <x v="9"/>
    <x v="0"/>
    <x v="0"/>
    <x v="1"/>
    <x v="1"/>
    <x v="1"/>
    <x v="2"/>
    <x v="1"/>
    <x v="2"/>
    <x v="1"/>
    <x v="2"/>
    <x v="0"/>
    <x v="1"/>
    <x v="7"/>
    <x v="2"/>
    <x v="140"/>
    <x v="12"/>
    <x v="0"/>
    <x v="0"/>
    <x v="1"/>
    <x v="0"/>
    <x v="0"/>
    <x v="0"/>
    <x v="0"/>
  </r>
  <r>
    <x v="667"/>
    <x v="326"/>
    <x v="326"/>
    <x v="321"/>
    <x v="528"/>
    <x v="3"/>
    <x v="1"/>
    <x v="340"/>
    <x v="123"/>
    <x v="2"/>
    <x v="0"/>
    <x v="2"/>
    <x v="0"/>
    <x v="1"/>
    <x v="1"/>
    <x v="1"/>
    <x v="2"/>
    <x v="1"/>
    <x v="2"/>
    <x v="1"/>
    <x v="2"/>
    <x v="0"/>
    <x v="1"/>
    <x v="7"/>
    <x v="2"/>
    <x v="328"/>
    <x v="12"/>
    <x v="0"/>
    <x v="0"/>
    <x v="1"/>
    <x v="0"/>
    <x v="0"/>
    <x v="0"/>
    <x v="0"/>
  </r>
  <r>
    <x v="668"/>
    <x v="327"/>
    <x v="327"/>
    <x v="322"/>
    <x v="529"/>
    <x v="1"/>
    <x v="2"/>
    <x v="341"/>
    <x v="269"/>
    <x v="1"/>
    <x v="136"/>
    <x v="0"/>
    <x v="0"/>
    <x v="1"/>
    <x v="3"/>
    <x v="3"/>
    <x v="2"/>
    <x v="1"/>
    <x v="3"/>
    <x v="2"/>
    <x v="1"/>
    <x v="152"/>
    <x v="1"/>
    <x v="7"/>
    <x v="2"/>
    <x v="329"/>
    <x v="1"/>
    <x v="1"/>
    <x v="1"/>
    <x v="2"/>
    <x v="1"/>
    <x v="393"/>
    <x v="198"/>
    <x v="0"/>
  </r>
  <r>
    <x v="669"/>
    <x v="328"/>
    <x v="328"/>
    <x v="323"/>
    <x v="530"/>
    <x v="1"/>
    <x v="2"/>
    <x v="342"/>
    <x v="270"/>
    <x v="1"/>
    <x v="15"/>
    <x v="0"/>
    <x v="0"/>
    <x v="1"/>
    <x v="1"/>
    <x v="1"/>
    <x v="2"/>
    <x v="1"/>
    <x v="2"/>
    <x v="1"/>
    <x v="2"/>
    <x v="0"/>
    <x v="1"/>
    <x v="1"/>
    <x v="2"/>
    <x v="330"/>
    <x v="12"/>
    <x v="0"/>
    <x v="0"/>
    <x v="1"/>
    <x v="0"/>
    <x v="0"/>
    <x v="0"/>
    <x v="0"/>
  </r>
  <r>
    <x v="670"/>
    <x v="312"/>
    <x v="313"/>
    <x v="308"/>
    <x v="531"/>
    <x v="3"/>
    <x v="2"/>
    <x v="326"/>
    <x v="271"/>
    <x v="1"/>
    <x v="9"/>
    <x v="0"/>
    <x v="0"/>
    <x v="3"/>
    <x v="1"/>
    <x v="1"/>
    <x v="2"/>
    <x v="1"/>
    <x v="3"/>
    <x v="1"/>
    <x v="2"/>
    <x v="0"/>
    <x v="1"/>
    <x v="3"/>
    <x v="4"/>
    <x v="314"/>
    <x v="1"/>
    <x v="0"/>
    <x v="0"/>
    <x v="1"/>
    <x v="0"/>
    <x v="0"/>
    <x v="0"/>
    <x v="215"/>
  </r>
  <r>
    <x v="671"/>
    <x v="329"/>
    <x v="329"/>
    <x v="324"/>
    <x v="532"/>
    <x v="1"/>
    <x v="2"/>
    <x v="343"/>
    <x v="272"/>
    <x v="1"/>
    <x v="137"/>
    <x v="0"/>
    <x v="0"/>
    <x v="1"/>
    <x v="1"/>
    <x v="1"/>
    <x v="2"/>
    <x v="1"/>
    <x v="3"/>
    <x v="1"/>
    <x v="2"/>
    <x v="0"/>
    <x v="1"/>
    <x v="6"/>
    <x v="3"/>
    <x v="331"/>
    <x v="5"/>
    <x v="0"/>
    <x v="0"/>
    <x v="1"/>
    <x v="0"/>
    <x v="0"/>
    <x v="0"/>
    <x v="0"/>
  </r>
  <r>
    <x v="672"/>
    <x v="327"/>
    <x v="327"/>
    <x v="322"/>
    <x v="533"/>
    <x v="1"/>
    <x v="1"/>
    <x v="341"/>
    <x v="269"/>
    <x v="1"/>
    <x v="15"/>
    <x v="0"/>
    <x v="0"/>
    <x v="3"/>
    <x v="1"/>
    <x v="1"/>
    <x v="2"/>
    <x v="1"/>
    <x v="2"/>
    <x v="1"/>
    <x v="2"/>
    <x v="0"/>
    <x v="2"/>
    <x v="3"/>
    <x v="4"/>
    <x v="329"/>
    <x v="5"/>
    <x v="0"/>
    <x v="0"/>
    <x v="1"/>
    <x v="0"/>
    <x v="0"/>
    <x v="0"/>
    <x v="0"/>
  </r>
  <r>
    <x v="673"/>
    <x v="330"/>
    <x v="330"/>
    <x v="325"/>
    <x v="534"/>
    <x v="1"/>
    <x v="1"/>
    <x v="344"/>
    <x v="196"/>
    <x v="6"/>
    <x v="0"/>
    <x v="0"/>
    <x v="15"/>
    <x v="1"/>
    <x v="1"/>
    <x v="1"/>
    <x v="2"/>
    <x v="1"/>
    <x v="2"/>
    <x v="1"/>
    <x v="1"/>
    <x v="153"/>
    <x v="1"/>
    <x v="6"/>
    <x v="3"/>
    <x v="332"/>
    <x v="5"/>
    <x v="3"/>
    <x v="0"/>
    <x v="1"/>
    <x v="0"/>
    <x v="394"/>
    <x v="199"/>
    <x v="0"/>
  </r>
  <r>
    <x v="674"/>
    <x v="331"/>
    <x v="331"/>
    <x v="326"/>
    <x v="535"/>
    <x v="3"/>
    <x v="2"/>
    <x v="345"/>
    <x v="273"/>
    <x v="1"/>
    <x v="15"/>
    <x v="0"/>
    <x v="0"/>
    <x v="1"/>
    <x v="1"/>
    <x v="1"/>
    <x v="2"/>
    <x v="1"/>
    <x v="3"/>
    <x v="1"/>
    <x v="1"/>
    <x v="152"/>
    <x v="2"/>
    <x v="4"/>
    <x v="2"/>
    <x v="333"/>
    <x v="1"/>
    <x v="1"/>
    <x v="4"/>
    <x v="2"/>
    <x v="1"/>
    <x v="395"/>
    <x v="0"/>
    <x v="0"/>
  </r>
  <r>
    <x v="675"/>
    <x v="331"/>
    <x v="331"/>
    <x v="326"/>
    <x v="536"/>
    <x v="3"/>
    <x v="2"/>
    <x v="346"/>
    <x v="273"/>
    <x v="2"/>
    <x v="0"/>
    <x v="6"/>
    <x v="0"/>
    <x v="3"/>
    <x v="3"/>
    <x v="3"/>
    <x v="2"/>
    <x v="1"/>
    <x v="3"/>
    <x v="1"/>
    <x v="1"/>
    <x v="153"/>
    <x v="2"/>
    <x v="3"/>
    <x v="4"/>
    <x v="333"/>
    <x v="1"/>
    <x v="1"/>
    <x v="4"/>
    <x v="2"/>
    <x v="1"/>
    <x v="396"/>
    <x v="0"/>
    <x v="0"/>
  </r>
  <r>
    <x v="676"/>
    <x v="332"/>
    <x v="332"/>
    <x v="327"/>
    <x v="537"/>
    <x v="1"/>
    <x v="2"/>
    <x v="347"/>
    <x v="274"/>
    <x v="1"/>
    <x v="22"/>
    <x v="0"/>
    <x v="0"/>
    <x v="1"/>
    <x v="1"/>
    <x v="2"/>
    <x v="2"/>
    <x v="1"/>
    <x v="2"/>
    <x v="1"/>
    <x v="1"/>
    <x v="154"/>
    <x v="1"/>
    <x v="6"/>
    <x v="2"/>
    <x v="334"/>
    <x v="12"/>
    <x v="3"/>
    <x v="0"/>
    <x v="1"/>
    <x v="0"/>
    <x v="397"/>
    <x v="200"/>
    <x v="216"/>
  </r>
  <r>
    <x v="677"/>
    <x v="331"/>
    <x v="331"/>
    <x v="326"/>
    <x v="538"/>
    <x v="3"/>
    <x v="2"/>
    <x v="346"/>
    <x v="273"/>
    <x v="1"/>
    <x v="15"/>
    <x v="0"/>
    <x v="0"/>
    <x v="3"/>
    <x v="1"/>
    <x v="1"/>
    <x v="2"/>
    <x v="1"/>
    <x v="3"/>
    <x v="1"/>
    <x v="2"/>
    <x v="0"/>
    <x v="2"/>
    <x v="3"/>
    <x v="4"/>
    <x v="333"/>
    <x v="1"/>
    <x v="0"/>
    <x v="0"/>
    <x v="1"/>
    <x v="0"/>
    <x v="0"/>
    <x v="0"/>
    <x v="0"/>
  </r>
  <r>
    <x v="678"/>
    <x v="333"/>
    <x v="333"/>
    <x v="328"/>
    <x v="539"/>
    <x v="3"/>
    <x v="2"/>
    <x v="348"/>
    <x v="275"/>
    <x v="1"/>
    <x v="22"/>
    <x v="0"/>
    <x v="0"/>
    <x v="1"/>
    <x v="3"/>
    <x v="3"/>
    <x v="2"/>
    <x v="1"/>
    <x v="3"/>
    <x v="1"/>
    <x v="1"/>
    <x v="154"/>
    <x v="1"/>
    <x v="6"/>
    <x v="2"/>
    <x v="335"/>
    <x v="1"/>
    <x v="3"/>
    <x v="0"/>
    <x v="1"/>
    <x v="0"/>
    <x v="398"/>
    <x v="0"/>
    <x v="217"/>
  </r>
  <r>
    <x v="679"/>
    <x v="334"/>
    <x v="334"/>
    <x v="329"/>
    <x v="540"/>
    <x v="3"/>
    <x v="2"/>
    <x v="349"/>
    <x v="276"/>
    <x v="2"/>
    <x v="0"/>
    <x v="2"/>
    <x v="0"/>
    <x v="1"/>
    <x v="1"/>
    <x v="1"/>
    <x v="2"/>
    <x v="1"/>
    <x v="2"/>
    <x v="1"/>
    <x v="1"/>
    <x v="154"/>
    <x v="1"/>
    <x v="6"/>
    <x v="2"/>
    <x v="336"/>
    <x v="12"/>
    <x v="3"/>
    <x v="0"/>
    <x v="1"/>
    <x v="0"/>
    <x v="0"/>
    <x v="201"/>
    <x v="218"/>
  </r>
  <r>
    <x v="680"/>
    <x v="335"/>
    <x v="335"/>
    <x v="330"/>
    <x v="541"/>
    <x v="1"/>
    <x v="2"/>
    <x v="350"/>
    <x v="269"/>
    <x v="1"/>
    <x v="33"/>
    <x v="0"/>
    <x v="0"/>
    <x v="1"/>
    <x v="3"/>
    <x v="3"/>
    <x v="1"/>
    <x v="1"/>
    <x v="2"/>
    <x v="1"/>
    <x v="1"/>
    <x v="155"/>
    <x v="1"/>
    <x v="4"/>
    <x v="2"/>
    <x v="337"/>
    <x v="12"/>
    <x v="1"/>
    <x v="12"/>
    <x v="2"/>
    <x v="1"/>
    <x v="0"/>
    <x v="0"/>
    <x v="0"/>
  </r>
  <r>
    <x v="681"/>
    <x v="193"/>
    <x v="191"/>
    <x v="189"/>
    <x v="542"/>
    <x v="1"/>
    <x v="2"/>
    <x v="202"/>
    <x v="165"/>
    <x v="1"/>
    <x v="79"/>
    <x v="0"/>
    <x v="0"/>
    <x v="1"/>
    <x v="1"/>
    <x v="1"/>
    <x v="2"/>
    <x v="1"/>
    <x v="2"/>
    <x v="1"/>
    <x v="2"/>
    <x v="0"/>
    <x v="1"/>
    <x v="1"/>
    <x v="2"/>
    <x v="191"/>
    <x v="3"/>
    <x v="0"/>
    <x v="0"/>
    <x v="1"/>
    <x v="0"/>
    <x v="0"/>
    <x v="0"/>
    <x v="0"/>
  </r>
  <r>
    <x v="682"/>
    <x v="336"/>
    <x v="336"/>
    <x v="331"/>
    <x v="543"/>
    <x v="1"/>
    <x v="2"/>
    <x v="351"/>
    <x v="251"/>
    <x v="1"/>
    <x v="4"/>
    <x v="0"/>
    <x v="0"/>
    <x v="1"/>
    <x v="3"/>
    <x v="3"/>
    <x v="2"/>
    <x v="1"/>
    <x v="2"/>
    <x v="1"/>
    <x v="1"/>
    <x v="155"/>
    <x v="1"/>
    <x v="1"/>
    <x v="2"/>
    <x v="338"/>
    <x v="12"/>
    <x v="1"/>
    <x v="5"/>
    <x v="2"/>
    <x v="1"/>
    <x v="399"/>
    <x v="0"/>
    <x v="0"/>
  </r>
  <r>
    <x v="683"/>
    <x v="337"/>
    <x v="337"/>
    <x v="332"/>
    <x v="544"/>
    <x v="3"/>
    <x v="2"/>
    <x v="352"/>
    <x v="277"/>
    <x v="1"/>
    <x v="138"/>
    <x v="0"/>
    <x v="0"/>
    <x v="1"/>
    <x v="3"/>
    <x v="2"/>
    <x v="2"/>
    <x v="1"/>
    <x v="2"/>
    <x v="1"/>
    <x v="1"/>
    <x v="156"/>
    <x v="1"/>
    <x v="2"/>
    <x v="3"/>
    <x v="339"/>
    <x v="2"/>
    <x v="1"/>
    <x v="4"/>
    <x v="2"/>
    <x v="1"/>
    <x v="400"/>
    <x v="0"/>
    <x v="0"/>
  </r>
  <r>
    <x v="684"/>
    <x v="335"/>
    <x v="335"/>
    <x v="330"/>
    <x v="545"/>
    <x v="1"/>
    <x v="2"/>
    <x v="350"/>
    <x v="269"/>
    <x v="1"/>
    <x v="33"/>
    <x v="0"/>
    <x v="0"/>
    <x v="3"/>
    <x v="1"/>
    <x v="1"/>
    <x v="2"/>
    <x v="1"/>
    <x v="3"/>
    <x v="1"/>
    <x v="1"/>
    <x v="157"/>
    <x v="1"/>
    <x v="3"/>
    <x v="4"/>
    <x v="337"/>
    <x v="11"/>
    <x v="1"/>
    <x v="1"/>
    <x v="2"/>
    <x v="1"/>
    <x v="401"/>
    <x v="0"/>
    <x v="0"/>
  </r>
  <r>
    <x v="685"/>
    <x v="338"/>
    <x v="338"/>
    <x v="333"/>
    <x v="546"/>
    <x v="1"/>
    <x v="2"/>
    <x v="353"/>
    <x v="278"/>
    <x v="1"/>
    <x v="139"/>
    <x v="0"/>
    <x v="0"/>
    <x v="1"/>
    <x v="3"/>
    <x v="2"/>
    <x v="2"/>
    <x v="1"/>
    <x v="1"/>
    <x v="1"/>
    <x v="1"/>
    <x v="156"/>
    <x v="1"/>
    <x v="1"/>
    <x v="2"/>
    <x v="340"/>
    <x v="1"/>
    <x v="1"/>
    <x v="1"/>
    <x v="2"/>
    <x v="1"/>
    <x v="0"/>
    <x v="0"/>
    <x v="0"/>
  </r>
  <r>
    <x v="686"/>
    <x v="336"/>
    <x v="336"/>
    <x v="331"/>
    <x v="547"/>
    <x v="1"/>
    <x v="2"/>
    <x v="351"/>
    <x v="251"/>
    <x v="2"/>
    <x v="0"/>
    <x v="2"/>
    <x v="0"/>
    <x v="3"/>
    <x v="1"/>
    <x v="1"/>
    <x v="2"/>
    <x v="1"/>
    <x v="1"/>
    <x v="1"/>
    <x v="2"/>
    <x v="0"/>
    <x v="1"/>
    <x v="3"/>
    <x v="4"/>
    <x v="338"/>
    <x v="2"/>
    <x v="0"/>
    <x v="0"/>
    <x v="1"/>
    <x v="0"/>
    <x v="0"/>
    <x v="0"/>
    <x v="0"/>
  </r>
  <r>
    <x v="687"/>
    <x v="339"/>
    <x v="339"/>
    <x v="334"/>
    <x v="548"/>
    <x v="1"/>
    <x v="2"/>
    <x v="354"/>
    <x v="279"/>
    <x v="1"/>
    <x v="140"/>
    <x v="0"/>
    <x v="0"/>
    <x v="1"/>
    <x v="1"/>
    <x v="1"/>
    <x v="2"/>
    <x v="1"/>
    <x v="3"/>
    <x v="1"/>
    <x v="2"/>
    <x v="0"/>
    <x v="1"/>
    <x v="1"/>
    <x v="2"/>
    <x v="341"/>
    <x v="11"/>
    <x v="0"/>
    <x v="0"/>
    <x v="1"/>
    <x v="0"/>
    <x v="0"/>
    <x v="0"/>
    <x v="0"/>
  </r>
  <r>
    <x v="688"/>
    <x v="340"/>
    <x v="340"/>
    <x v="335"/>
    <x v="549"/>
    <x v="1"/>
    <x v="2"/>
    <x v="355"/>
    <x v="280"/>
    <x v="1"/>
    <x v="15"/>
    <x v="0"/>
    <x v="0"/>
    <x v="1"/>
    <x v="1"/>
    <x v="1"/>
    <x v="1"/>
    <x v="1"/>
    <x v="3"/>
    <x v="1"/>
    <x v="1"/>
    <x v="158"/>
    <x v="1"/>
    <x v="5"/>
    <x v="2"/>
    <x v="342"/>
    <x v="5"/>
    <x v="3"/>
    <x v="0"/>
    <x v="1"/>
    <x v="0"/>
    <x v="402"/>
    <x v="202"/>
    <x v="219"/>
  </r>
  <r>
    <x v="689"/>
    <x v="338"/>
    <x v="338"/>
    <x v="333"/>
    <x v="550"/>
    <x v="1"/>
    <x v="2"/>
    <x v="353"/>
    <x v="281"/>
    <x v="1"/>
    <x v="139"/>
    <x v="0"/>
    <x v="0"/>
    <x v="3"/>
    <x v="1"/>
    <x v="1"/>
    <x v="2"/>
    <x v="1"/>
    <x v="2"/>
    <x v="1"/>
    <x v="2"/>
    <x v="0"/>
    <x v="1"/>
    <x v="3"/>
    <x v="4"/>
    <x v="340"/>
    <x v="5"/>
    <x v="0"/>
    <x v="0"/>
    <x v="1"/>
    <x v="0"/>
    <x v="0"/>
    <x v="0"/>
    <x v="0"/>
  </r>
  <r>
    <x v="690"/>
    <x v="337"/>
    <x v="337"/>
    <x v="332"/>
    <x v="551"/>
    <x v="3"/>
    <x v="2"/>
    <x v="352"/>
    <x v="231"/>
    <x v="1"/>
    <x v="22"/>
    <x v="0"/>
    <x v="0"/>
    <x v="3"/>
    <x v="4"/>
    <x v="1"/>
    <x v="2"/>
    <x v="1"/>
    <x v="2"/>
    <x v="1"/>
    <x v="2"/>
    <x v="0"/>
    <x v="2"/>
    <x v="3"/>
    <x v="4"/>
    <x v="339"/>
    <x v="1"/>
    <x v="0"/>
    <x v="0"/>
    <x v="1"/>
    <x v="0"/>
    <x v="0"/>
    <x v="0"/>
    <x v="0"/>
  </r>
  <r>
    <x v="691"/>
    <x v="341"/>
    <x v="341"/>
    <x v="336"/>
    <x v="552"/>
    <x v="1"/>
    <x v="2"/>
    <x v="356"/>
    <x v="210"/>
    <x v="1"/>
    <x v="9"/>
    <x v="0"/>
    <x v="0"/>
    <x v="1"/>
    <x v="3"/>
    <x v="2"/>
    <x v="2"/>
    <x v="1"/>
    <x v="2"/>
    <x v="1"/>
    <x v="1"/>
    <x v="157"/>
    <x v="1"/>
    <x v="1"/>
    <x v="2"/>
    <x v="343"/>
    <x v="1"/>
    <x v="3"/>
    <x v="0"/>
    <x v="1"/>
    <x v="0"/>
    <x v="403"/>
    <x v="203"/>
    <x v="0"/>
  </r>
  <r>
    <x v="692"/>
    <x v="335"/>
    <x v="335"/>
    <x v="330"/>
    <x v="553"/>
    <x v="1"/>
    <x v="2"/>
    <x v="350"/>
    <x v="269"/>
    <x v="1"/>
    <x v="33"/>
    <x v="0"/>
    <x v="0"/>
    <x v="3"/>
    <x v="1"/>
    <x v="1"/>
    <x v="2"/>
    <x v="1"/>
    <x v="2"/>
    <x v="1"/>
    <x v="1"/>
    <x v="158"/>
    <x v="1"/>
    <x v="3"/>
    <x v="4"/>
    <x v="337"/>
    <x v="5"/>
    <x v="1"/>
    <x v="4"/>
    <x v="2"/>
    <x v="1"/>
    <x v="404"/>
    <x v="204"/>
    <x v="220"/>
  </r>
  <r>
    <x v="693"/>
    <x v="308"/>
    <x v="309"/>
    <x v="304"/>
    <x v="554"/>
    <x v="1"/>
    <x v="2"/>
    <x v="322"/>
    <x v="163"/>
    <x v="1"/>
    <x v="3"/>
    <x v="0"/>
    <x v="0"/>
    <x v="1"/>
    <x v="1"/>
    <x v="1"/>
    <x v="2"/>
    <x v="1"/>
    <x v="2"/>
    <x v="1"/>
    <x v="1"/>
    <x v="157"/>
    <x v="1"/>
    <x v="1"/>
    <x v="2"/>
    <x v="310"/>
    <x v="5"/>
    <x v="3"/>
    <x v="0"/>
    <x v="1"/>
    <x v="0"/>
    <x v="405"/>
    <x v="0"/>
    <x v="221"/>
  </r>
  <r>
    <x v="694"/>
    <x v="342"/>
    <x v="342"/>
    <x v="337"/>
    <x v="555"/>
    <x v="3"/>
    <x v="1"/>
    <x v="357"/>
    <x v="196"/>
    <x v="6"/>
    <x v="0"/>
    <x v="0"/>
    <x v="16"/>
    <x v="1"/>
    <x v="1"/>
    <x v="1"/>
    <x v="2"/>
    <x v="1"/>
    <x v="3"/>
    <x v="1"/>
    <x v="1"/>
    <x v="159"/>
    <x v="1"/>
    <x v="1"/>
    <x v="2"/>
    <x v="344"/>
    <x v="1"/>
    <x v="3"/>
    <x v="0"/>
    <x v="1"/>
    <x v="0"/>
    <x v="406"/>
    <x v="205"/>
    <x v="222"/>
  </r>
  <r>
    <x v="695"/>
    <x v="308"/>
    <x v="309"/>
    <x v="304"/>
    <x v="556"/>
    <x v="1"/>
    <x v="1"/>
    <x v="322"/>
    <x v="282"/>
    <x v="2"/>
    <x v="0"/>
    <x v="5"/>
    <x v="0"/>
    <x v="1"/>
    <x v="3"/>
    <x v="3"/>
    <x v="2"/>
    <x v="1"/>
    <x v="2"/>
    <x v="1"/>
    <x v="1"/>
    <x v="159"/>
    <x v="1"/>
    <x v="5"/>
    <x v="2"/>
    <x v="310"/>
    <x v="12"/>
    <x v="3"/>
    <x v="0"/>
    <x v="1"/>
    <x v="0"/>
    <x v="407"/>
    <x v="206"/>
    <x v="223"/>
  </r>
  <r>
    <x v="696"/>
    <x v="339"/>
    <x v="339"/>
    <x v="334"/>
    <x v="557"/>
    <x v="1"/>
    <x v="2"/>
    <x v="354"/>
    <x v="279"/>
    <x v="1"/>
    <x v="33"/>
    <x v="0"/>
    <x v="0"/>
    <x v="1"/>
    <x v="3"/>
    <x v="2"/>
    <x v="2"/>
    <x v="1"/>
    <x v="3"/>
    <x v="1"/>
    <x v="1"/>
    <x v="158"/>
    <x v="1"/>
    <x v="1"/>
    <x v="2"/>
    <x v="341"/>
    <x v="2"/>
    <x v="3"/>
    <x v="0"/>
    <x v="1"/>
    <x v="0"/>
    <x v="408"/>
    <x v="207"/>
    <x v="224"/>
  </r>
  <r>
    <x v="697"/>
    <x v="273"/>
    <x v="274"/>
    <x v="269"/>
    <x v="558"/>
    <x v="1"/>
    <x v="3"/>
    <x v="284"/>
    <x v="27"/>
    <x v="1"/>
    <x v="9"/>
    <x v="0"/>
    <x v="0"/>
    <x v="1"/>
    <x v="5"/>
    <x v="1"/>
    <x v="1"/>
    <x v="1"/>
    <x v="2"/>
    <x v="1"/>
    <x v="1"/>
    <x v="158"/>
    <x v="1"/>
    <x v="1"/>
    <x v="2"/>
    <x v="274"/>
    <x v="2"/>
    <x v="3"/>
    <x v="0"/>
    <x v="1"/>
    <x v="0"/>
    <x v="409"/>
    <x v="208"/>
    <x v="225"/>
  </r>
  <r>
    <x v="698"/>
    <x v="314"/>
    <x v="315"/>
    <x v="310"/>
    <x v="559"/>
    <x v="3"/>
    <x v="2"/>
    <x v="328"/>
    <x v="259"/>
    <x v="6"/>
    <x v="0"/>
    <x v="0"/>
    <x v="1"/>
    <x v="1"/>
    <x v="1"/>
    <x v="2"/>
    <x v="1"/>
    <x v="1"/>
    <x v="2"/>
    <x v="1"/>
    <x v="1"/>
    <x v="158"/>
    <x v="2"/>
    <x v="5"/>
    <x v="2"/>
    <x v="316"/>
    <x v="12"/>
    <x v="3"/>
    <x v="0"/>
    <x v="1"/>
    <x v="0"/>
    <x v="410"/>
    <x v="209"/>
    <x v="226"/>
  </r>
  <r>
    <x v="699"/>
    <x v="343"/>
    <x v="343"/>
    <x v="338"/>
    <x v="560"/>
    <x v="3"/>
    <x v="2"/>
    <x v="358"/>
    <x v="283"/>
    <x v="1"/>
    <x v="15"/>
    <x v="0"/>
    <x v="0"/>
    <x v="1"/>
    <x v="3"/>
    <x v="3"/>
    <x v="2"/>
    <x v="1"/>
    <x v="2"/>
    <x v="1"/>
    <x v="1"/>
    <x v="160"/>
    <x v="1"/>
    <x v="6"/>
    <x v="3"/>
    <x v="345"/>
    <x v="5"/>
    <x v="1"/>
    <x v="1"/>
    <x v="1"/>
    <x v="0"/>
    <x v="411"/>
    <x v="210"/>
    <x v="227"/>
  </r>
  <r>
    <x v="700"/>
    <x v="344"/>
    <x v="344"/>
    <x v="339"/>
    <x v="561"/>
    <x v="1"/>
    <x v="2"/>
    <x v="359"/>
    <x v="284"/>
    <x v="1"/>
    <x v="15"/>
    <x v="0"/>
    <x v="0"/>
    <x v="1"/>
    <x v="1"/>
    <x v="1"/>
    <x v="2"/>
    <x v="1"/>
    <x v="3"/>
    <x v="1"/>
    <x v="1"/>
    <x v="161"/>
    <x v="1"/>
    <x v="6"/>
    <x v="2"/>
    <x v="346"/>
    <x v="1"/>
    <x v="3"/>
    <x v="0"/>
    <x v="1"/>
    <x v="0"/>
    <x v="412"/>
    <x v="211"/>
    <x v="0"/>
  </r>
  <r>
    <x v="701"/>
    <x v="345"/>
    <x v="345"/>
    <x v="340"/>
    <x v="562"/>
    <x v="3"/>
    <x v="2"/>
    <x v="360"/>
    <x v="10"/>
    <x v="1"/>
    <x v="136"/>
    <x v="0"/>
    <x v="0"/>
    <x v="1"/>
    <x v="3"/>
    <x v="3"/>
    <x v="2"/>
    <x v="1"/>
    <x v="3"/>
    <x v="1"/>
    <x v="1"/>
    <x v="160"/>
    <x v="1"/>
    <x v="6"/>
    <x v="2"/>
    <x v="347"/>
    <x v="1"/>
    <x v="1"/>
    <x v="1"/>
    <x v="2"/>
    <x v="1"/>
    <x v="413"/>
    <x v="212"/>
    <x v="228"/>
  </r>
  <r>
    <x v="702"/>
    <x v="346"/>
    <x v="346"/>
    <x v="341"/>
    <x v="563"/>
    <x v="1"/>
    <x v="2"/>
    <x v="215"/>
    <x v="285"/>
    <x v="1"/>
    <x v="36"/>
    <x v="0"/>
    <x v="0"/>
    <x v="1"/>
    <x v="3"/>
    <x v="3"/>
    <x v="1"/>
    <x v="1"/>
    <x v="2"/>
    <x v="1"/>
    <x v="1"/>
    <x v="161"/>
    <x v="1"/>
    <x v="1"/>
    <x v="13"/>
    <x v="348"/>
    <x v="12"/>
    <x v="3"/>
    <x v="0"/>
    <x v="1"/>
    <x v="0"/>
    <x v="414"/>
    <x v="213"/>
    <x v="229"/>
  </r>
  <r>
    <x v="703"/>
    <x v="347"/>
    <x v="347"/>
    <x v="342"/>
    <x v="564"/>
    <x v="3"/>
    <x v="1"/>
    <x v="361"/>
    <x v="199"/>
    <x v="1"/>
    <x v="31"/>
    <x v="0"/>
    <x v="0"/>
    <x v="1"/>
    <x v="1"/>
    <x v="1"/>
    <x v="1"/>
    <x v="1"/>
    <x v="2"/>
    <x v="1"/>
    <x v="2"/>
    <x v="0"/>
    <x v="1"/>
    <x v="1"/>
    <x v="2"/>
    <x v="349"/>
    <x v="12"/>
    <x v="0"/>
    <x v="0"/>
    <x v="1"/>
    <x v="0"/>
    <x v="0"/>
    <x v="0"/>
    <x v="0"/>
  </r>
  <r>
    <x v="704"/>
    <x v="335"/>
    <x v="335"/>
    <x v="330"/>
    <x v="565"/>
    <x v="1"/>
    <x v="2"/>
    <x v="350"/>
    <x v="269"/>
    <x v="1"/>
    <x v="33"/>
    <x v="0"/>
    <x v="0"/>
    <x v="3"/>
    <x v="1"/>
    <x v="1"/>
    <x v="2"/>
    <x v="1"/>
    <x v="3"/>
    <x v="1"/>
    <x v="1"/>
    <x v="162"/>
    <x v="1"/>
    <x v="3"/>
    <x v="4"/>
    <x v="337"/>
    <x v="1"/>
    <x v="1"/>
    <x v="1"/>
    <x v="1"/>
    <x v="0"/>
    <x v="415"/>
    <x v="214"/>
    <x v="230"/>
  </r>
  <r>
    <x v="705"/>
    <x v="348"/>
    <x v="348"/>
    <x v="343"/>
    <x v="566"/>
    <x v="1"/>
    <x v="1"/>
    <x v="362"/>
    <x v="286"/>
    <x v="1"/>
    <x v="3"/>
    <x v="0"/>
    <x v="0"/>
    <x v="2"/>
    <x v="3"/>
    <x v="2"/>
    <x v="2"/>
    <x v="1"/>
    <x v="3"/>
    <x v="1"/>
    <x v="2"/>
    <x v="0"/>
    <x v="3"/>
    <x v="1"/>
    <x v="2"/>
    <x v="350"/>
    <x v="12"/>
    <x v="0"/>
    <x v="0"/>
    <x v="1"/>
    <x v="0"/>
    <x v="0"/>
    <x v="0"/>
    <x v="231"/>
  </r>
  <r>
    <x v="706"/>
    <x v="349"/>
    <x v="349"/>
    <x v="344"/>
    <x v="567"/>
    <x v="1"/>
    <x v="2"/>
    <x v="363"/>
    <x v="261"/>
    <x v="2"/>
    <x v="0"/>
    <x v="6"/>
    <x v="0"/>
    <x v="1"/>
    <x v="3"/>
    <x v="3"/>
    <x v="2"/>
    <x v="1"/>
    <x v="2"/>
    <x v="1"/>
    <x v="1"/>
    <x v="161"/>
    <x v="1"/>
    <x v="5"/>
    <x v="2"/>
    <x v="351"/>
    <x v="12"/>
    <x v="3"/>
    <x v="0"/>
    <x v="1"/>
    <x v="0"/>
    <x v="416"/>
    <x v="215"/>
    <x v="0"/>
  </r>
  <r>
    <x v="707"/>
    <x v="345"/>
    <x v="345"/>
    <x v="340"/>
    <x v="568"/>
    <x v="3"/>
    <x v="2"/>
    <x v="360"/>
    <x v="10"/>
    <x v="1"/>
    <x v="29"/>
    <x v="0"/>
    <x v="0"/>
    <x v="3"/>
    <x v="3"/>
    <x v="2"/>
    <x v="2"/>
    <x v="1"/>
    <x v="3"/>
    <x v="1"/>
    <x v="1"/>
    <x v="163"/>
    <x v="1"/>
    <x v="3"/>
    <x v="4"/>
    <x v="347"/>
    <x v="5"/>
    <x v="3"/>
    <x v="0"/>
    <x v="1"/>
    <x v="0"/>
    <x v="417"/>
    <x v="0"/>
    <x v="232"/>
  </r>
  <r>
    <x v="708"/>
    <x v="350"/>
    <x v="350"/>
    <x v="345"/>
    <x v="569"/>
    <x v="1"/>
    <x v="2"/>
    <x v="364"/>
    <x v="287"/>
    <x v="1"/>
    <x v="24"/>
    <x v="0"/>
    <x v="0"/>
    <x v="1"/>
    <x v="3"/>
    <x v="3"/>
    <x v="2"/>
    <x v="1"/>
    <x v="2"/>
    <x v="1"/>
    <x v="1"/>
    <x v="162"/>
    <x v="1"/>
    <x v="1"/>
    <x v="2"/>
    <x v="352"/>
    <x v="11"/>
    <x v="3"/>
    <x v="0"/>
    <x v="1"/>
    <x v="0"/>
    <x v="418"/>
    <x v="216"/>
    <x v="0"/>
  </r>
  <r>
    <x v="709"/>
    <x v="343"/>
    <x v="343"/>
    <x v="338"/>
    <x v="0"/>
    <x v="3"/>
    <x v="2"/>
    <x v="358"/>
    <x v="288"/>
    <x v="1"/>
    <x v="15"/>
    <x v="0"/>
    <x v="0"/>
    <x v="3"/>
    <x v="1"/>
    <x v="1"/>
    <x v="2"/>
    <x v="1"/>
    <x v="2"/>
    <x v="1"/>
    <x v="1"/>
    <x v="164"/>
    <x v="2"/>
    <x v="3"/>
    <x v="4"/>
    <x v="345"/>
    <x v="5"/>
    <x v="1"/>
    <x v="3"/>
    <x v="2"/>
    <x v="1"/>
    <x v="419"/>
    <x v="0"/>
    <x v="232"/>
  </r>
  <r>
    <x v="710"/>
    <x v="335"/>
    <x v="335"/>
    <x v="330"/>
    <x v="0"/>
    <x v="1"/>
    <x v="2"/>
    <x v="350"/>
    <x v="269"/>
    <x v="1"/>
    <x v="33"/>
    <x v="0"/>
    <x v="0"/>
    <x v="3"/>
    <x v="1"/>
    <x v="1"/>
    <x v="2"/>
    <x v="1"/>
    <x v="3"/>
    <x v="1"/>
    <x v="2"/>
    <x v="0"/>
    <x v="2"/>
    <x v="3"/>
    <x v="4"/>
    <x v="337"/>
    <x v="5"/>
    <x v="0"/>
    <x v="0"/>
    <x v="1"/>
    <x v="0"/>
    <x v="0"/>
    <x v="0"/>
    <x v="0"/>
  </r>
  <r>
    <x v="711"/>
    <x v="351"/>
    <x v="351"/>
    <x v="346"/>
    <x v="570"/>
    <x v="1"/>
    <x v="2"/>
    <x v="365"/>
    <x v="10"/>
    <x v="2"/>
    <x v="0"/>
    <x v="2"/>
    <x v="0"/>
    <x v="1"/>
    <x v="1"/>
    <x v="1"/>
    <x v="2"/>
    <x v="1"/>
    <x v="2"/>
    <x v="1"/>
    <x v="1"/>
    <x v="163"/>
    <x v="1"/>
    <x v="6"/>
    <x v="2"/>
    <x v="353"/>
    <x v="5"/>
    <x v="3"/>
    <x v="0"/>
    <x v="1"/>
    <x v="0"/>
    <x v="420"/>
    <x v="0"/>
    <x v="0"/>
  </r>
  <r>
    <x v="712"/>
    <x v="352"/>
    <x v="352"/>
    <x v="347"/>
    <x v="571"/>
    <x v="1"/>
    <x v="1"/>
    <x v="366"/>
    <x v="10"/>
    <x v="8"/>
    <x v="0"/>
    <x v="0"/>
    <x v="0"/>
    <x v="1"/>
    <x v="1"/>
    <x v="1"/>
    <x v="2"/>
    <x v="1"/>
    <x v="2"/>
    <x v="1"/>
    <x v="1"/>
    <x v="164"/>
    <x v="1"/>
    <x v="6"/>
    <x v="2"/>
    <x v="354"/>
    <x v="5"/>
    <x v="1"/>
    <x v="3"/>
    <x v="1"/>
    <x v="0"/>
    <x v="421"/>
    <x v="0"/>
    <x v="0"/>
  </r>
  <r>
    <x v="713"/>
    <x v="353"/>
    <x v="353"/>
    <x v="348"/>
    <x v="572"/>
    <x v="1"/>
    <x v="2"/>
    <x v="367"/>
    <x v="216"/>
    <x v="1"/>
    <x v="141"/>
    <x v="0"/>
    <x v="0"/>
    <x v="1"/>
    <x v="1"/>
    <x v="1"/>
    <x v="2"/>
    <x v="1"/>
    <x v="3"/>
    <x v="1"/>
    <x v="2"/>
    <x v="0"/>
    <x v="1"/>
    <x v="6"/>
    <x v="3"/>
    <x v="355"/>
    <x v="5"/>
    <x v="0"/>
    <x v="0"/>
    <x v="1"/>
    <x v="0"/>
    <x v="0"/>
    <x v="0"/>
    <x v="0"/>
  </r>
  <r>
    <x v="714"/>
    <x v="343"/>
    <x v="343"/>
    <x v="338"/>
    <x v="573"/>
    <x v="3"/>
    <x v="2"/>
    <x v="358"/>
    <x v="283"/>
    <x v="1"/>
    <x v="15"/>
    <x v="0"/>
    <x v="0"/>
    <x v="3"/>
    <x v="1"/>
    <x v="1"/>
    <x v="2"/>
    <x v="1"/>
    <x v="1"/>
    <x v="1"/>
    <x v="2"/>
    <x v="0"/>
    <x v="1"/>
    <x v="3"/>
    <x v="4"/>
    <x v="345"/>
    <x v="3"/>
    <x v="0"/>
    <x v="0"/>
    <x v="1"/>
    <x v="0"/>
    <x v="0"/>
    <x v="0"/>
    <x v="0"/>
  </r>
  <r>
    <x v="715"/>
    <x v="352"/>
    <x v="352"/>
    <x v="347"/>
    <x v="0"/>
    <x v="1"/>
    <x v="1"/>
    <x v="366"/>
    <x v="10"/>
    <x v="8"/>
    <x v="0"/>
    <x v="0"/>
    <x v="0"/>
    <x v="3"/>
    <x v="1"/>
    <x v="1"/>
    <x v="2"/>
    <x v="1"/>
    <x v="1"/>
    <x v="1"/>
    <x v="2"/>
    <x v="0"/>
    <x v="2"/>
    <x v="3"/>
    <x v="4"/>
    <x v="354"/>
    <x v="3"/>
    <x v="0"/>
    <x v="0"/>
    <x v="1"/>
    <x v="0"/>
    <x v="0"/>
    <x v="0"/>
    <x v="0"/>
  </r>
  <r>
    <x v="716"/>
    <x v="354"/>
    <x v="354"/>
    <x v="349"/>
    <x v="574"/>
    <x v="1"/>
    <x v="2"/>
    <x v="368"/>
    <x v="10"/>
    <x v="1"/>
    <x v="4"/>
    <x v="0"/>
    <x v="0"/>
    <x v="1"/>
    <x v="1"/>
    <x v="1"/>
    <x v="2"/>
    <x v="1"/>
    <x v="2"/>
    <x v="1"/>
    <x v="1"/>
    <x v="164"/>
    <x v="1"/>
    <x v="6"/>
    <x v="3"/>
    <x v="356"/>
    <x v="3"/>
    <x v="1"/>
    <x v="3"/>
    <x v="1"/>
    <x v="0"/>
    <x v="0"/>
    <x v="0"/>
    <x v="233"/>
  </r>
  <r>
    <x v="717"/>
    <x v="354"/>
    <x v="354"/>
    <x v="349"/>
    <x v="575"/>
    <x v="1"/>
    <x v="2"/>
    <x v="368"/>
    <x v="10"/>
    <x v="1"/>
    <x v="4"/>
    <x v="0"/>
    <x v="0"/>
    <x v="3"/>
    <x v="1"/>
    <x v="1"/>
    <x v="2"/>
    <x v="1"/>
    <x v="2"/>
    <x v="1"/>
    <x v="1"/>
    <x v="165"/>
    <x v="1"/>
    <x v="3"/>
    <x v="4"/>
    <x v="356"/>
    <x v="3"/>
    <x v="1"/>
    <x v="1"/>
    <x v="1"/>
    <x v="0"/>
    <x v="422"/>
    <x v="0"/>
    <x v="0"/>
  </r>
  <r>
    <x v="718"/>
    <x v="354"/>
    <x v="354"/>
    <x v="349"/>
    <x v="0"/>
    <x v="1"/>
    <x v="2"/>
    <x v="368"/>
    <x v="289"/>
    <x v="1"/>
    <x v="4"/>
    <x v="0"/>
    <x v="0"/>
    <x v="3"/>
    <x v="1"/>
    <x v="1"/>
    <x v="2"/>
    <x v="1"/>
    <x v="2"/>
    <x v="1"/>
    <x v="2"/>
    <x v="0"/>
    <x v="2"/>
    <x v="3"/>
    <x v="4"/>
    <x v="356"/>
    <x v="5"/>
    <x v="0"/>
    <x v="0"/>
    <x v="1"/>
    <x v="0"/>
    <x v="0"/>
    <x v="0"/>
    <x v="0"/>
  </r>
  <r>
    <x v="719"/>
    <x v="331"/>
    <x v="331"/>
    <x v="326"/>
    <x v="576"/>
    <x v="3"/>
    <x v="2"/>
    <x v="345"/>
    <x v="273"/>
    <x v="1"/>
    <x v="9"/>
    <x v="0"/>
    <x v="0"/>
    <x v="1"/>
    <x v="2"/>
    <x v="3"/>
    <x v="2"/>
    <x v="1"/>
    <x v="2"/>
    <x v="1"/>
    <x v="1"/>
    <x v="166"/>
    <x v="2"/>
    <x v="6"/>
    <x v="2"/>
    <x v="333"/>
    <x v="5"/>
    <x v="3"/>
    <x v="0"/>
    <x v="1"/>
    <x v="0"/>
    <x v="423"/>
    <x v="217"/>
    <x v="234"/>
  </r>
  <r>
    <x v="720"/>
    <x v="256"/>
    <x v="256"/>
    <x v="252"/>
    <x v="577"/>
    <x v="1"/>
    <x v="2"/>
    <x v="267"/>
    <x v="227"/>
    <x v="1"/>
    <x v="3"/>
    <x v="0"/>
    <x v="0"/>
    <x v="1"/>
    <x v="2"/>
    <x v="3"/>
    <x v="2"/>
    <x v="1"/>
    <x v="2"/>
    <x v="1"/>
    <x v="1"/>
    <x v="167"/>
    <x v="1"/>
    <x v="6"/>
    <x v="3"/>
    <x v="256"/>
    <x v="5"/>
    <x v="1"/>
    <x v="7"/>
    <x v="2"/>
    <x v="1"/>
    <x v="424"/>
    <x v="0"/>
    <x v="235"/>
  </r>
  <r>
    <x v="721"/>
    <x v="256"/>
    <x v="256"/>
    <x v="252"/>
    <x v="578"/>
    <x v="1"/>
    <x v="2"/>
    <x v="267"/>
    <x v="227"/>
    <x v="1"/>
    <x v="3"/>
    <x v="0"/>
    <x v="0"/>
    <x v="3"/>
    <x v="1"/>
    <x v="1"/>
    <x v="2"/>
    <x v="1"/>
    <x v="2"/>
    <x v="1"/>
    <x v="2"/>
    <x v="0"/>
    <x v="1"/>
    <x v="3"/>
    <x v="4"/>
    <x v="256"/>
    <x v="12"/>
    <x v="0"/>
    <x v="0"/>
    <x v="1"/>
    <x v="0"/>
    <x v="0"/>
    <x v="0"/>
    <x v="0"/>
  </r>
  <r>
    <x v="722"/>
    <x v="355"/>
    <x v="355"/>
    <x v="350"/>
    <x v="579"/>
    <x v="1"/>
    <x v="1"/>
    <x v="369"/>
    <x v="290"/>
    <x v="6"/>
    <x v="0"/>
    <x v="0"/>
    <x v="17"/>
    <x v="1"/>
    <x v="3"/>
    <x v="2"/>
    <x v="1"/>
    <x v="1"/>
    <x v="1"/>
    <x v="1"/>
    <x v="1"/>
    <x v="168"/>
    <x v="1"/>
    <x v="1"/>
    <x v="2"/>
    <x v="357"/>
    <x v="12"/>
    <x v="3"/>
    <x v="0"/>
    <x v="1"/>
    <x v="0"/>
    <x v="425"/>
    <x v="218"/>
    <x v="236"/>
  </r>
  <r>
    <x v="723"/>
    <x v="356"/>
    <x v="356"/>
    <x v="351"/>
    <x v="580"/>
    <x v="3"/>
    <x v="2"/>
    <x v="370"/>
    <x v="75"/>
    <x v="1"/>
    <x v="142"/>
    <x v="0"/>
    <x v="0"/>
    <x v="1"/>
    <x v="3"/>
    <x v="2"/>
    <x v="2"/>
    <x v="1"/>
    <x v="3"/>
    <x v="1"/>
    <x v="1"/>
    <x v="168"/>
    <x v="1"/>
    <x v="1"/>
    <x v="2"/>
    <x v="358"/>
    <x v="3"/>
    <x v="3"/>
    <x v="0"/>
    <x v="1"/>
    <x v="0"/>
    <x v="426"/>
    <x v="219"/>
    <x v="0"/>
  </r>
  <r>
    <x v="724"/>
    <x v="209"/>
    <x v="207"/>
    <x v="205"/>
    <x v="581"/>
    <x v="1"/>
    <x v="2"/>
    <x v="218"/>
    <x v="103"/>
    <x v="1"/>
    <x v="143"/>
    <x v="0"/>
    <x v="0"/>
    <x v="1"/>
    <x v="1"/>
    <x v="1"/>
    <x v="1"/>
    <x v="1"/>
    <x v="3"/>
    <x v="1"/>
    <x v="2"/>
    <x v="0"/>
    <x v="1"/>
    <x v="5"/>
    <x v="2"/>
    <x v="209"/>
    <x v="12"/>
    <x v="0"/>
    <x v="0"/>
    <x v="1"/>
    <x v="0"/>
    <x v="0"/>
    <x v="0"/>
    <x v="0"/>
  </r>
  <r>
    <x v="725"/>
    <x v="357"/>
    <x v="357"/>
    <x v="352"/>
    <x v="582"/>
    <x v="1"/>
    <x v="2"/>
    <x v="371"/>
    <x v="125"/>
    <x v="1"/>
    <x v="15"/>
    <x v="0"/>
    <x v="0"/>
    <x v="1"/>
    <x v="3"/>
    <x v="2"/>
    <x v="2"/>
    <x v="1"/>
    <x v="3"/>
    <x v="1"/>
    <x v="1"/>
    <x v="169"/>
    <x v="2"/>
    <x v="1"/>
    <x v="2"/>
    <x v="359"/>
    <x v="11"/>
    <x v="3"/>
    <x v="0"/>
    <x v="1"/>
    <x v="0"/>
    <x v="427"/>
    <x v="0"/>
    <x v="237"/>
  </r>
  <r>
    <x v="726"/>
    <x v="358"/>
    <x v="358"/>
    <x v="353"/>
    <x v="583"/>
    <x v="1"/>
    <x v="1"/>
    <x v="372"/>
    <x v="64"/>
    <x v="1"/>
    <x v="3"/>
    <x v="0"/>
    <x v="0"/>
    <x v="1"/>
    <x v="1"/>
    <x v="1"/>
    <x v="2"/>
    <x v="1"/>
    <x v="2"/>
    <x v="1"/>
    <x v="1"/>
    <x v="168"/>
    <x v="2"/>
    <x v="5"/>
    <x v="2"/>
    <x v="360"/>
    <x v="1"/>
    <x v="3"/>
    <x v="0"/>
    <x v="1"/>
    <x v="0"/>
    <x v="428"/>
    <x v="220"/>
    <x v="0"/>
  </r>
  <r>
    <x v="727"/>
    <x v="359"/>
    <x v="359"/>
    <x v="354"/>
    <x v="584"/>
    <x v="3"/>
    <x v="2"/>
    <x v="373"/>
    <x v="115"/>
    <x v="1"/>
    <x v="144"/>
    <x v="0"/>
    <x v="0"/>
    <x v="1"/>
    <x v="3"/>
    <x v="3"/>
    <x v="2"/>
    <x v="1"/>
    <x v="2"/>
    <x v="1"/>
    <x v="1"/>
    <x v="170"/>
    <x v="1"/>
    <x v="1"/>
    <x v="2"/>
    <x v="361"/>
    <x v="1"/>
    <x v="1"/>
    <x v="12"/>
    <x v="1"/>
    <x v="0"/>
    <x v="429"/>
    <x v="221"/>
    <x v="0"/>
  </r>
  <r>
    <x v="728"/>
    <x v="360"/>
    <x v="360"/>
    <x v="355"/>
    <x v="585"/>
    <x v="1"/>
    <x v="2"/>
    <x v="374"/>
    <x v="110"/>
    <x v="1"/>
    <x v="145"/>
    <x v="0"/>
    <x v="0"/>
    <x v="1"/>
    <x v="3"/>
    <x v="4"/>
    <x v="2"/>
    <x v="1"/>
    <x v="2"/>
    <x v="1"/>
    <x v="1"/>
    <x v="171"/>
    <x v="1"/>
    <x v="2"/>
    <x v="2"/>
    <x v="362"/>
    <x v="12"/>
    <x v="0"/>
    <x v="0"/>
    <x v="1"/>
    <x v="0"/>
    <x v="430"/>
    <x v="222"/>
    <x v="238"/>
  </r>
  <r>
    <x v="729"/>
    <x v="359"/>
    <x v="359"/>
    <x v="354"/>
    <x v="0"/>
    <x v="3"/>
    <x v="2"/>
    <x v="373"/>
    <x v="115"/>
    <x v="1"/>
    <x v="144"/>
    <x v="0"/>
    <x v="0"/>
    <x v="3"/>
    <x v="3"/>
    <x v="3"/>
    <x v="2"/>
    <x v="1"/>
    <x v="2"/>
    <x v="1"/>
    <x v="1"/>
    <x v="171"/>
    <x v="2"/>
    <x v="3"/>
    <x v="4"/>
    <x v="361"/>
    <x v="11"/>
    <x v="3"/>
    <x v="0"/>
    <x v="1"/>
    <x v="0"/>
    <x v="431"/>
    <x v="223"/>
    <x v="0"/>
  </r>
  <r>
    <x v="730"/>
    <x v="361"/>
    <x v="361"/>
    <x v="356"/>
    <x v="586"/>
    <x v="1"/>
    <x v="2"/>
    <x v="375"/>
    <x v="10"/>
    <x v="2"/>
    <x v="0"/>
    <x v="2"/>
    <x v="0"/>
    <x v="1"/>
    <x v="1"/>
    <x v="1"/>
    <x v="2"/>
    <x v="1"/>
    <x v="1"/>
    <x v="1"/>
    <x v="1"/>
    <x v="172"/>
    <x v="1"/>
    <x v="6"/>
    <x v="2"/>
    <x v="363"/>
    <x v="1"/>
    <x v="3"/>
    <x v="0"/>
    <x v="1"/>
    <x v="0"/>
    <x v="432"/>
    <x v="224"/>
    <x v="0"/>
  </r>
  <r>
    <x v="731"/>
    <x v="362"/>
    <x v="362"/>
    <x v="357"/>
    <x v="587"/>
    <x v="1"/>
    <x v="2"/>
    <x v="376"/>
    <x v="291"/>
    <x v="9"/>
    <x v="0"/>
    <x v="0"/>
    <x v="0"/>
    <x v="1"/>
    <x v="3"/>
    <x v="2"/>
    <x v="1"/>
    <x v="1"/>
    <x v="1"/>
    <x v="1"/>
    <x v="1"/>
    <x v="173"/>
    <x v="1"/>
    <x v="4"/>
    <x v="2"/>
    <x v="364"/>
    <x v="1"/>
    <x v="1"/>
    <x v="4"/>
    <x v="2"/>
    <x v="1"/>
    <x v="433"/>
    <x v="225"/>
    <x v="0"/>
  </r>
  <r>
    <x v="732"/>
    <x v="363"/>
    <x v="363"/>
    <x v="358"/>
    <x v="588"/>
    <x v="1"/>
    <x v="1"/>
    <x v="377"/>
    <x v="269"/>
    <x v="8"/>
    <x v="0"/>
    <x v="0"/>
    <x v="18"/>
    <x v="1"/>
    <x v="3"/>
    <x v="2"/>
    <x v="1"/>
    <x v="1"/>
    <x v="2"/>
    <x v="1"/>
    <x v="1"/>
    <x v="174"/>
    <x v="2"/>
    <x v="1"/>
    <x v="2"/>
    <x v="365"/>
    <x v="12"/>
    <x v="1"/>
    <x v="1"/>
    <x v="2"/>
    <x v="1"/>
    <x v="434"/>
    <x v="226"/>
    <x v="239"/>
  </r>
  <r>
    <x v="733"/>
    <x v="364"/>
    <x v="364"/>
    <x v="359"/>
    <x v="589"/>
    <x v="3"/>
    <x v="2"/>
    <x v="378"/>
    <x v="236"/>
    <x v="1"/>
    <x v="143"/>
    <x v="0"/>
    <x v="0"/>
    <x v="1"/>
    <x v="1"/>
    <x v="1"/>
    <x v="1"/>
    <x v="1"/>
    <x v="2"/>
    <x v="1"/>
    <x v="2"/>
    <x v="0"/>
    <x v="1"/>
    <x v="5"/>
    <x v="2"/>
    <x v="366"/>
    <x v="12"/>
    <x v="0"/>
    <x v="0"/>
    <x v="1"/>
    <x v="0"/>
    <x v="0"/>
    <x v="0"/>
    <x v="0"/>
  </r>
  <r>
    <x v="734"/>
    <x v="365"/>
    <x v="365"/>
    <x v="360"/>
    <x v="590"/>
    <x v="3"/>
    <x v="2"/>
    <x v="379"/>
    <x v="200"/>
    <x v="1"/>
    <x v="15"/>
    <x v="0"/>
    <x v="0"/>
    <x v="1"/>
    <x v="3"/>
    <x v="3"/>
    <x v="2"/>
    <x v="1"/>
    <x v="1"/>
    <x v="1"/>
    <x v="1"/>
    <x v="173"/>
    <x v="1"/>
    <x v="5"/>
    <x v="2"/>
    <x v="367"/>
    <x v="12"/>
    <x v="1"/>
    <x v="12"/>
    <x v="1"/>
    <x v="0"/>
    <x v="0"/>
    <x v="0"/>
    <x v="240"/>
  </r>
  <r>
    <x v="735"/>
    <x v="365"/>
    <x v="365"/>
    <x v="360"/>
    <x v="0"/>
    <x v="3"/>
    <x v="2"/>
    <x v="379"/>
    <x v="200"/>
    <x v="1"/>
    <x v="15"/>
    <x v="0"/>
    <x v="0"/>
    <x v="3"/>
    <x v="1"/>
    <x v="1"/>
    <x v="2"/>
    <x v="1"/>
    <x v="1"/>
    <x v="1"/>
    <x v="2"/>
    <x v="0"/>
    <x v="2"/>
    <x v="3"/>
    <x v="4"/>
    <x v="367"/>
    <x v="11"/>
    <x v="0"/>
    <x v="0"/>
    <x v="1"/>
    <x v="0"/>
    <x v="435"/>
    <x v="0"/>
    <x v="0"/>
  </r>
  <r>
    <x v="736"/>
    <x v="362"/>
    <x v="362"/>
    <x v="357"/>
    <x v="591"/>
    <x v="1"/>
    <x v="2"/>
    <x v="376"/>
    <x v="291"/>
    <x v="1"/>
    <x v="146"/>
    <x v="0"/>
    <x v="0"/>
    <x v="3"/>
    <x v="1"/>
    <x v="1"/>
    <x v="2"/>
    <x v="1"/>
    <x v="3"/>
    <x v="1"/>
    <x v="1"/>
    <x v="0"/>
    <x v="1"/>
    <x v="3"/>
    <x v="4"/>
    <x v="364"/>
    <x v="1"/>
    <x v="0"/>
    <x v="0"/>
    <x v="1"/>
    <x v="0"/>
    <x v="436"/>
    <x v="0"/>
    <x v="0"/>
  </r>
  <r>
    <x v="737"/>
    <x v="366"/>
    <x v="366"/>
    <x v="361"/>
    <x v="592"/>
    <x v="1"/>
    <x v="2"/>
    <x v="380"/>
    <x v="292"/>
    <x v="1"/>
    <x v="15"/>
    <x v="0"/>
    <x v="0"/>
    <x v="1"/>
    <x v="3"/>
    <x v="3"/>
    <x v="2"/>
    <x v="1"/>
    <x v="1"/>
    <x v="1"/>
    <x v="1"/>
    <x v="174"/>
    <x v="1"/>
    <x v="1"/>
    <x v="2"/>
    <x v="368"/>
    <x v="11"/>
    <x v="3"/>
    <x v="0"/>
    <x v="1"/>
    <x v="0"/>
    <x v="437"/>
    <x v="0"/>
    <x v="0"/>
  </r>
  <r>
    <x v="738"/>
    <x v="362"/>
    <x v="362"/>
    <x v="357"/>
    <x v="593"/>
    <x v="1"/>
    <x v="2"/>
    <x v="381"/>
    <x v="291"/>
    <x v="9"/>
    <x v="0"/>
    <x v="0"/>
    <x v="0"/>
    <x v="3"/>
    <x v="1"/>
    <x v="1"/>
    <x v="1"/>
    <x v="1"/>
    <x v="2"/>
    <x v="2"/>
    <x v="2"/>
    <x v="0"/>
    <x v="1"/>
    <x v="3"/>
    <x v="4"/>
    <x v="364"/>
    <x v="4"/>
    <x v="0"/>
    <x v="0"/>
    <x v="1"/>
    <x v="0"/>
    <x v="0"/>
    <x v="0"/>
    <x v="0"/>
  </r>
  <r>
    <x v="739"/>
    <x v="367"/>
    <x v="367"/>
    <x v="362"/>
    <x v="594"/>
    <x v="1"/>
    <x v="2"/>
    <x v="382"/>
    <x v="293"/>
    <x v="1"/>
    <x v="33"/>
    <x v="0"/>
    <x v="0"/>
    <x v="1"/>
    <x v="3"/>
    <x v="2"/>
    <x v="2"/>
    <x v="1"/>
    <x v="1"/>
    <x v="1"/>
    <x v="1"/>
    <x v="174"/>
    <x v="1"/>
    <x v="1"/>
    <x v="2"/>
    <x v="369"/>
    <x v="1"/>
    <x v="1"/>
    <x v="1"/>
    <x v="1"/>
    <x v="0"/>
    <x v="438"/>
    <x v="0"/>
    <x v="0"/>
  </r>
  <r>
    <x v="740"/>
    <x v="368"/>
    <x v="368"/>
    <x v="363"/>
    <x v="595"/>
    <x v="1"/>
    <x v="2"/>
    <x v="383"/>
    <x v="294"/>
    <x v="1"/>
    <x v="22"/>
    <x v="0"/>
    <x v="0"/>
    <x v="1"/>
    <x v="2"/>
    <x v="3"/>
    <x v="2"/>
    <x v="1"/>
    <x v="2"/>
    <x v="1"/>
    <x v="1"/>
    <x v="175"/>
    <x v="1"/>
    <x v="6"/>
    <x v="2"/>
    <x v="370"/>
    <x v="5"/>
    <x v="3"/>
    <x v="0"/>
    <x v="1"/>
    <x v="0"/>
    <x v="439"/>
    <x v="227"/>
    <x v="0"/>
  </r>
  <r>
    <x v="741"/>
    <x v="367"/>
    <x v="367"/>
    <x v="362"/>
    <x v="0"/>
    <x v="1"/>
    <x v="2"/>
    <x v="382"/>
    <x v="293"/>
    <x v="1"/>
    <x v="33"/>
    <x v="0"/>
    <x v="0"/>
    <x v="3"/>
    <x v="1"/>
    <x v="2"/>
    <x v="2"/>
    <x v="1"/>
    <x v="2"/>
    <x v="1"/>
    <x v="1"/>
    <x v="176"/>
    <x v="2"/>
    <x v="3"/>
    <x v="4"/>
    <x v="369"/>
    <x v="5"/>
    <x v="3"/>
    <x v="0"/>
    <x v="1"/>
    <x v="0"/>
    <x v="242"/>
    <x v="228"/>
    <x v="185"/>
  </r>
  <r>
    <x v="742"/>
    <x v="363"/>
    <x v="363"/>
    <x v="358"/>
    <x v="596"/>
    <x v="1"/>
    <x v="1"/>
    <x v="377"/>
    <x v="10"/>
    <x v="8"/>
    <x v="0"/>
    <x v="0"/>
    <x v="0"/>
    <x v="3"/>
    <x v="1"/>
    <x v="1"/>
    <x v="1"/>
    <x v="1"/>
    <x v="2"/>
    <x v="2"/>
    <x v="1"/>
    <x v="177"/>
    <x v="2"/>
    <x v="3"/>
    <x v="4"/>
    <x v="365"/>
    <x v="5"/>
    <x v="1"/>
    <x v="1"/>
    <x v="2"/>
    <x v="1"/>
    <x v="440"/>
    <x v="0"/>
    <x v="241"/>
  </r>
  <r>
    <x v="743"/>
    <x v="189"/>
    <x v="187"/>
    <x v="185"/>
    <x v="597"/>
    <x v="1"/>
    <x v="2"/>
    <x v="197"/>
    <x v="164"/>
    <x v="1"/>
    <x v="27"/>
    <x v="0"/>
    <x v="0"/>
    <x v="1"/>
    <x v="1"/>
    <x v="1"/>
    <x v="2"/>
    <x v="1"/>
    <x v="2"/>
    <x v="1"/>
    <x v="2"/>
    <x v="0"/>
    <x v="1"/>
    <x v="5"/>
    <x v="3"/>
    <x v="187"/>
    <x v="4"/>
    <x v="0"/>
    <x v="0"/>
    <x v="1"/>
    <x v="0"/>
    <x v="0"/>
    <x v="0"/>
    <x v="242"/>
  </r>
  <r>
    <x v="744"/>
    <x v="369"/>
    <x v="369"/>
    <x v="364"/>
    <x v="598"/>
    <x v="1"/>
    <x v="2"/>
    <x v="384"/>
    <x v="295"/>
    <x v="1"/>
    <x v="147"/>
    <x v="0"/>
    <x v="0"/>
    <x v="1"/>
    <x v="1"/>
    <x v="2"/>
    <x v="2"/>
    <x v="1"/>
    <x v="2"/>
    <x v="1"/>
    <x v="1"/>
    <x v="176"/>
    <x v="1"/>
    <x v="5"/>
    <x v="2"/>
    <x v="371"/>
    <x v="5"/>
    <x v="3"/>
    <x v="0"/>
    <x v="1"/>
    <x v="0"/>
    <x v="441"/>
    <x v="229"/>
    <x v="198"/>
  </r>
  <r>
    <x v="745"/>
    <x v="233"/>
    <x v="232"/>
    <x v="229"/>
    <x v="599"/>
    <x v="1"/>
    <x v="1"/>
    <x v="243"/>
    <x v="199"/>
    <x v="1"/>
    <x v="148"/>
    <x v="0"/>
    <x v="0"/>
    <x v="1"/>
    <x v="1"/>
    <x v="1"/>
    <x v="2"/>
    <x v="1"/>
    <x v="2"/>
    <x v="1"/>
    <x v="2"/>
    <x v="0"/>
    <x v="1"/>
    <x v="1"/>
    <x v="2"/>
    <x v="233"/>
    <x v="12"/>
    <x v="0"/>
    <x v="0"/>
    <x v="1"/>
    <x v="0"/>
    <x v="0"/>
    <x v="0"/>
    <x v="243"/>
  </r>
  <r>
    <x v="746"/>
    <x v="370"/>
    <x v="370"/>
    <x v="365"/>
    <x v="600"/>
    <x v="1"/>
    <x v="1"/>
    <x v="385"/>
    <x v="296"/>
    <x v="1"/>
    <x v="3"/>
    <x v="0"/>
    <x v="0"/>
    <x v="1"/>
    <x v="1"/>
    <x v="1"/>
    <x v="2"/>
    <x v="1"/>
    <x v="2"/>
    <x v="1"/>
    <x v="2"/>
    <x v="0"/>
    <x v="1"/>
    <x v="6"/>
    <x v="2"/>
    <x v="372"/>
    <x v="5"/>
    <x v="0"/>
    <x v="0"/>
    <x v="1"/>
    <x v="0"/>
    <x v="0"/>
    <x v="0"/>
    <x v="0"/>
  </r>
  <r>
    <x v="747"/>
    <x v="363"/>
    <x v="363"/>
    <x v="358"/>
    <x v="601"/>
    <x v="1"/>
    <x v="1"/>
    <x v="377"/>
    <x v="10"/>
    <x v="8"/>
    <x v="0"/>
    <x v="0"/>
    <x v="0"/>
    <x v="3"/>
    <x v="1"/>
    <x v="1"/>
    <x v="2"/>
    <x v="1"/>
    <x v="2"/>
    <x v="1"/>
    <x v="2"/>
    <x v="0"/>
    <x v="2"/>
    <x v="3"/>
    <x v="4"/>
    <x v="365"/>
    <x v="5"/>
    <x v="0"/>
    <x v="0"/>
    <x v="1"/>
    <x v="0"/>
    <x v="0"/>
    <x v="0"/>
    <x v="0"/>
  </r>
  <r>
    <x v="748"/>
    <x v="371"/>
    <x v="371"/>
    <x v="366"/>
    <x v="0"/>
    <x v="1"/>
    <x v="2"/>
    <x v="386"/>
    <x v="167"/>
    <x v="1"/>
    <x v="2"/>
    <x v="0"/>
    <x v="0"/>
    <x v="1"/>
    <x v="2"/>
    <x v="3"/>
    <x v="2"/>
    <x v="1"/>
    <x v="3"/>
    <x v="1"/>
    <x v="1"/>
    <x v="178"/>
    <x v="1"/>
    <x v="6"/>
    <x v="2"/>
    <x v="373"/>
    <x v="1"/>
    <x v="3"/>
    <x v="0"/>
    <x v="1"/>
    <x v="0"/>
    <x v="442"/>
    <x v="190"/>
    <x v="0"/>
  </r>
  <r>
    <x v="749"/>
    <x v="372"/>
    <x v="372"/>
    <x v="367"/>
    <x v="602"/>
    <x v="1"/>
    <x v="2"/>
    <x v="387"/>
    <x v="297"/>
    <x v="1"/>
    <x v="15"/>
    <x v="0"/>
    <x v="0"/>
    <x v="1"/>
    <x v="1"/>
    <x v="1"/>
    <x v="2"/>
    <x v="1"/>
    <x v="2"/>
    <x v="1"/>
    <x v="2"/>
    <x v="0"/>
    <x v="1"/>
    <x v="4"/>
    <x v="2"/>
    <x v="374"/>
    <x v="12"/>
    <x v="0"/>
    <x v="0"/>
    <x v="1"/>
    <x v="0"/>
    <x v="0"/>
    <x v="0"/>
    <x v="0"/>
  </r>
  <r>
    <x v="750"/>
    <x v="373"/>
    <x v="373"/>
    <x v="368"/>
    <x v="603"/>
    <x v="1"/>
    <x v="2"/>
    <x v="388"/>
    <x v="298"/>
    <x v="1"/>
    <x v="31"/>
    <x v="0"/>
    <x v="0"/>
    <x v="1"/>
    <x v="1"/>
    <x v="1"/>
    <x v="2"/>
    <x v="1"/>
    <x v="1"/>
    <x v="1"/>
    <x v="2"/>
    <x v="0"/>
    <x v="1"/>
    <x v="6"/>
    <x v="2"/>
    <x v="375"/>
    <x v="12"/>
    <x v="0"/>
    <x v="0"/>
    <x v="1"/>
    <x v="0"/>
    <x v="0"/>
    <x v="0"/>
    <x v="0"/>
  </r>
  <r>
    <x v="751"/>
    <x v="374"/>
    <x v="374"/>
    <x v="369"/>
    <x v="604"/>
    <x v="1"/>
    <x v="3"/>
    <x v="389"/>
    <x v="299"/>
    <x v="1"/>
    <x v="149"/>
    <x v="0"/>
    <x v="0"/>
    <x v="1"/>
    <x v="1"/>
    <x v="1"/>
    <x v="2"/>
    <x v="1"/>
    <x v="2"/>
    <x v="1"/>
    <x v="2"/>
    <x v="0"/>
    <x v="1"/>
    <x v="6"/>
    <x v="2"/>
    <x v="376"/>
    <x v="12"/>
    <x v="0"/>
    <x v="0"/>
    <x v="1"/>
    <x v="0"/>
    <x v="0"/>
    <x v="0"/>
    <x v="0"/>
  </r>
  <r>
    <x v="752"/>
    <x v="375"/>
    <x v="375"/>
    <x v="370"/>
    <x v="605"/>
    <x v="1"/>
    <x v="2"/>
    <x v="390"/>
    <x v="300"/>
    <x v="1"/>
    <x v="150"/>
    <x v="0"/>
    <x v="0"/>
    <x v="1"/>
    <x v="1"/>
    <x v="1"/>
    <x v="2"/>
    <x v="1"/>
    <x v="2"/>
    <x v="1"/>
    <x v="2"/>
    <x v="0"/>
    <x v="1"/>
    <x v="6"/>
    <x v="2"/>
    <x v="377"/>
    <x v="12"/>
    <x v="0"/>
    <x v="0"/>
    <x v="1"/>
    <x v="0"/>
    <x v="0"/>
    <x v="0"/>
    <x v="0"/>
  </r>
  <r>
    <x v="753"/>
    <x v="376"/>
    <x v="376"/>
    <x v="371"/>
    <x v="606"/>
    <x v="1"/>
    <x v="2"/>
    <x v="391"/>
    <x v="301"/>
    <x v="1"/>
    <x v="151"/>
    <x v="0"/>
    <x v="0"/>
    <x v="1"/>
    <x v="3"/>
    <x v="2"/>
    <x v="1"/>
    <x v="1"/>
    <x v="2"/>
    <x v="1"/>
    <x v="1"/>
    <x v="179"/>
    <x v="1"/>
    <x v="1"/>
    <x v="1"/>
    <x v="378"/>
    <x v="2"/>
    <x v="1"/>
    <x v="5"/>
    <x v="2"/>
    <x v="1"/>
    <x v="443"/>
    <x v="0"/>
    <x v="0"/>
  </r>
  <r>
    <x v="754"/>
    <x v="377"/>
    <x v="377"/>
    <x v="372"/>
    <x v="607"/>
    <x v="1"/>
    <x v="2"/>
    <x v="392"/>
    <x v="302"/>
    <x v="1"/>
    <x v="152"/>
    <x v="0"/>
    <x v="0"/>
    <x v="1"/>
    <x v="1"/>
    <x v="1"/>
    <x v="1"/>
    <x v="1"/>
    <x v="1"/>
    <x v="1"/>
    <x v="1"/>
    <x v="179"/>
    <x v="1"/>
    <x v="1"/>
    <x v="2"/>
    <x v="379"/>
    <x v="12"/>
    <x v="1"/>
    <x v="12"/>
    <x v="2"/>
    <x v="1"/>
    <x v="444"/>
    <x v="0"/>
    <x v="244"/>
  </r>
  <r>
    <x v="755"/>
    <x v="378"/>
    <x v="378"/>
    <x v="373"/>
    <x v="608"/>
    <x v="1"/>
    <x v="2"/>
    <x v="212"/>
    <x v="303"/>
    <x v="1"/>
    <x v="153"/>
    <x v="0"/>
    <x v="0"/>
    <x v="1"/>
    <x v="1"/>
    <x v="1"/>
    <x v="2"/>
    <x v="1"/>
    <x v="2"/>
    <x v="1"/>
    <x v="2"/>
    <x v="0"/>
    <x v="1"/>
    <x v="1"/>
    <x v="2"/>
    <x v="380"/>
    <x v="3"/>
    <x v="0"/>
    <x v="0"/>
    <x v="1"/>
    <x v="0"/>
    <x v="0"/>
    <x v="0"/>
    <x v="0"/>
  </r>
  <r>
    <x v="756"/>
    <x v="379"/>
    <x v="379"/>
    <x v="374"/>
    <x v="609"/>
    <x v="1"/>
    <x v="2"/>
    <x v="393"/>
    <x v="304"/>
    <x v="1"/>
    <x v="4"/>
    <x v="0"/>
    <x v="0"/>
    <x v="1"/>
    <x v="3"/>
    <x v="3"/>
    <x v="2"/>
    <x v="1"/>
    <x v="1"/>
    <x v="1"/>
    <x v="1"/>
    <x v="179"/>
    <x v="1"/>
    <x v="1"/>
    <x v="2"/>
    <x v="381"/>
    <x v="1"/>
    <x v="1"/>
    <x v="5"/>
    <x v="2"/>
    <x v="1"/>
    <x v="445"/>
    <x v="0"/>
    <x v="0"/>
  </r>
  <r>
    <x v="757"/>
    <x v="376"/>
    <x v="376"/>
    <x v="371"/>
    <x v="0"/>
    <x v="1"/>
    <x v="2"/>
    <x v="391"/>
    <x v="51"/>
    <x v="1"/>
    <x v="154"/>
    <x v="0"/>
    <x v="0"/>
    <x v="3"/>
    <x v="1"/>
    <x v="1"/>
    <x v="2"/>
    <x v="1"/>
    <x v="2"/>
    <x v="1"/>
    <x v="1"/>
    <x v="180"/>
    <x v="2"/>
    <x v="3"/>
    <x v="4"/>
    <x v="378"/>
    <x v="2"/>
    <x v="1"/>
    <x v="3"/>
    <x v="2"/>
    <x v="1"/>
    <x v="446"/>
    <x v="0"/>
    <x v="0"/>
  </r>
  <r>
    <x v="758"/>
    <x v="148"/>
    <x v="148"/>
    <x v="146"/>
    <x v="610"/>
    <x v="1"/>
    <x v="2"/>
    <x v="153"/>
    <x v="129"/>
    <x v="1"/>
    <x v="31"/>
    <x v="0"/>
    <x v="0"/>
    <x v="1"/>
    <x v="1"/>
    <x v="2"/>
    <x v="2"/>
    <x v="1"/>
    <x v="2"/>
    <x v="1"/>
    <x v="2"/>
    <x v="0"/>
    <x v="1"/>
    <x v="2"/>
    <x v="2"/>
    <x v="147"/>
    <x v="5"/>
    <x v="0"/>
    <x v="0"/>
    <x v="1"/>
    <x v="0"/>
    <x v="0"/>
    <x v="0"/>
    <x v="0"/>
  </r>
  <r>
    <x v="759"/>
    <x v="377"/>
    <x v="377"/>
    <x v="372"/>
    <x v="611"/>
    <x v="1"/>
    <x v="2"/>
    <x v="392"/>
    <x v="302"/>
    <x v="1"/>
    <x v="8"/>
    <x v="0"/>
    <x v="0"/>
    <x v="3"/>
    <x v="1"/>
    <x v="1"/>
    <x v="2"/>
    <x v="1"/>
    <x v="2"/>
    <x v="1"/>
    <x v="2"/>
    <x v="0"/>
    <x v="1"/>
    <x v="3"/>
    <x v="4"/>
    <x v="379"/>
    <x v="11"/>
    <x v="0"/>
    <x v="0"/>
    <x v="1"/>
    <x v="0"/>
    <x v="0"/>
    <x v="0"/>
    <x v="0"/>
  </r>
  <r>
    <x v="760"/>
    <x v="379"/>
    <x v="379"/>
    <x v="374"/>
    <x v="612"/>
    <x v="1"/>
    <x v="2"/>
    <x v="393"/>
    <x v="36"/>
    <x v="2"/>
    <x v="0"/>
    <x v="14"/>
    <x v="0"/>
    <x v="3"/>
    <x v="3"/>
    <x v="3"/>
    <x v="2"/>
    <x v="1"/>
    <x v="2"/>
    <x v="1"/>
    <x v="1"/>
    <x v="181"/>
    <x v="1"/>
    <x v="3"/>
    <x v="4"/>
    <x v="381"/>
    <x v="2"/>
    <x v="1"/>
    <x v="7"/>
    <x v="1"/>
    <x v="0"/>
    <x v="447"/>
    <x v="230"/>
    <x v="0"/>
  </r>
  <r>
    <x v="761"/>
    <x v="380"/>
    <x v="380"/>
    <x v="375"/>
    <x v="613"/>
    <x v="1"/>
    <x v="2"/>
    <x v="394"/>
    <x v="305"/>
    <x v="1"/>
    <x v="155"/>
    <x v="0"/>
    <x v="0"/>
    <x v="1"/>
    <x v="1"/>
    <x v="1"/>
    <x v="2"/>
    <x v="1"/>
    <x v="2"/>
    <x v="1"/>
    <x v="2"/>
    <x v="0"/>
    <x v="1"/>
    <x v="1"/>
    <x v="2"/>
    <x v="382"/>
    <x v="5"/>
    <x v="0"/>
    <x v="0"/>
    <x v="1"/>
    <x v="0"/>
    <x v="0"/>
    <x v="0"/>
    <x v="0"/>
  </r>
  <r>
    <x v="762"/>
    <x v="381"/>
    <x v="381"/>
    <x v="376"/>
    <x v="614"/>
    <x v="1"/>
    <x v="2"/>
    <x v="395"/>
    <x v="168"/>
    <x v="1"/>
    <x v="15"/>
    <x v="0"/>
    <x v="0"/>
    <x v="1"/>
    <x v="3"/>
    <x v="3"/>
    <x v="2"/>
    <x v="1"/>
    <x v="1"/>
    <x v="1"/>
    <x v="1"/>
    <x v="179"/>
    <x v="1"/>
    <x v="1"/>
    <x v="2"/>
    <x v="383"/>
    <x v="11"/>
    <x v="1"/>
    <x v="12"/>
    <x v="1"/>
    <x v="0"/>
    <x v="448"/>
    <x v="0"/>
    <x v="245"/>
  </r>
  <r>
    <x v="763"/>
    <x v="382"/>
    <x v="382"/>
    <x v="377"/>
    <x v="615"/>
    <x v="1"/>
    <x v="2"/>
    <x v="371"/>
    <x v="306"/>
    <x v="1"/>
    <x v="1"/>
    <x v="0"/>
    <x v="0"/>
    <x v="1"/>
    <x v="2"/>
    <x v="3"/>
    <x v="2"/>
    <x v="1"/>
    <x v="2"/>
    <x v="1"/>
    <x v="1"/>
    <x v="181"/>
    <x v="1"/>
    <x v="1"/>
    <x v="2"/>
    <x v="384"/>
    <x v="5"/>
    <x v="1"/>
    <x v="4"/>
    <x v="2"/>
    <x v="1"/>
    <x v="449"/>
    <x v="231"/>
    <x v="0"/>
  </r>
  <r>
    <x v="764"/>
    <x v="381"/>
    <x v="381"/>
    <x v="376"/>
    <x v="0"/>
    <x v="1"/>
    <x v="2"/>
    <x v="396"/>
    <x v="168"/>
    <x v="1"/>
    <x v="15"/>
    <x v="0"/>
    <x v="0"/>
    <x v="3"/>
    <x v="1"/>
    <x v="1"/>
    <x v="2"/>
    <x v="1"/>
    <x v="1"/>
    <x v="1"/>
    <x v="1"/>
    <x v="181"/>
    <x v="2"/>
    <x v="3"/>
    <x v="4"/>
    <x v="383"/>
    <x v="11"/>
    <x v="1"/>
    <x v="7"/>
    <x v="2"/>
    <x v="1"/>
    <x v="450"/>
    <x v="0"/>
    <x v="246"/>
  </r>
  <r>
    <x v="765"/>
    <x v="378"/>
    <x v="378"/>
    <x v="373"/>
    <x v="616"/>
    <x v="1"/>
    <x v="2"/>
    <x v="212"/>
    <x v="303"/>
    <x v="1"/>
    <x v="33"/>
    <x v="0"/>
    <x v="0"/>
    <x v="1"/>
    <x v="3"/>
    <x v="2"/>
    <x v="2"/>
    <x v="1"/>
    <x v="2"/>
    <x v="1"/>
    <x v="1"/>
    <x v="180"/>
    <x v="1"/>
    <x v="1"/>
    <x v="2"/>
    <x v="380"/>
    <x v="5"/>
    <x v="3"/>
    <x v="0"/>
    <x v="1"/>
    <x v="0"/>
    <x v="451"/>
    <x v="0"/>
    <x v="0"/>
  </r>
  <r>
    <x v="766"/>
    <x v="379"/>
    <x v="379"/>
    <x v="374"/>
    <x v="617"/>
    <x v="1"/>
    <x v="2"/>
    <x v="393"/>
    <x v="36"/>
    <x v="2"/>
    <x v="0"/>
    <x v="2"/>
    <x v="0"/>
    <x v="1"/>
    <x v="2"/>
    <x v="3"/>
    <x v="2"/>
    <x v="1"/>
    <x v="1"/>
    <x v="1"/>
    <x v="1"/>
    <x v="180"/>
    <x v="1"/>
    <x v="2"/>
    <x v="2"/>
    <x v="381"/>
    <x v="12"/>
    <x v="1"/>
    <x v="4"/>
    <x v="1"/>
    <x v="0"/>
    <x v="452"/>
    <x v="0"/>
    <x v="247"/>
  </r>
  <r>
    <x v="767"/>
    <x v="381"/>
    <x v="381"/>
    <x v="376"/>
    <x v="0"/>
    <x v="1"/>
    <x v="2"/>
    <x v="397"/>
    <x v="168"/>
    <x v="2"/>
    <x v="0"/>
    <x v="6"/>
    <x v="0"/>
    <x v="3"/>
    <x v="2"/>
    <x v="5"/>
    <x v="2"/>
    <x v="1"/>
    <x v="2"/>
    <x v="1"/>
    <x v="2"/>
    <x v="0"/>
    <x v="2"/>
    <x v="3"/>
    <x v="4"/>
    <x v="385"/>
    <x v="12"/>
    <x v="0"/>
    <x v="0"/>
    <x v="1"/>
    <x v="0"/>
    <x v="0"/>
    <x v="0"/>
    <x v="0"/>
  </r>
  <r>
    <x v="768"/>
    <x v="383"/>
    <x v="383"/>
    <x v="378"/>
    <x v="618"/>
    <x v="1"/>
    <x v="2"/>
    <x v="398"/>
    <x v="307"/>
    <x v="1"/>
    <x v="9"/>
    <x v="0"/>
    <x v="0"/>
    <x v="1"/>
    <x v="1"/>
    <x v="1"/>
    <x v="2"/>
    <x v="1"/>
    <x v="2"/>
    <x v="1"/>
    <x v="1"/>
    <x v="180"/>
    <x v="1"/>
    <x v="1"/>
    <x v="2"/>
    <x v="386"/>
    <x v="5"/>
    <x v="1"/>
    <x v="3"/>
    <x v="1"/>
    <x v="0"/>
    <x v="453"/>
    <x v="0"/>
    <x v="0"/>
  </r>
  <r>
    <x v="769"/>
    <x v="384"/>
    <x v="384"/>
    <x v="379"/>
    <x v="619"/>
    <x v="3"/>
    <x v="2"/>
    <x v="399"/>
    <x v="308"/>
    <x v="1"/>
    <x v="31"/>
    <x v="0"/>
    <x v="0"/>
    <x v="1"/>
    <x v="1"/>
    <x v="1"/>
    <x v="2"/>
    <x v="1"/>
    <x v="3"/>
    <x v="1"/>
    <x v="1"/>
    <x v="180"/>
    <x v="1"/>
    <x v="1"/>
    <x v="2"/>
    <x v="387"/>
    <x v="1"/>
    <x v="3"/>
    <x v="0"/>
    <x v="1"/>
    <x v="0"/>
    <x v="454"/>
    <x v="232"/>
    <x v="0"/>
  </r>
  <r>
    <x v="770"/>
    <x v="382"/>
    <x v="382"/>
    <x v="377"/>
    <x v="620"/>
    <x v="1"/>
    <x v="2"/>
    <x v="371"/>
    <x v="309"/>
    <x v="1"/>
    <x v="1"/>
    <x v="0"/>
    <x v="0"/>
    <x v="3"/>
    <x v="2"/>
    <x v="3"/>
    <x v="2"/>
    <x v="1"/>
    <x v="1"/>
    <x v="1"/>
    <x v="1"/>
    <x v="180"/>
    <x v="1"/>
    <x v="3"/>
    <x v="4"/>
    <x v="384"/>
    <x v="1"/>
    <x v="3"/>
    <x v="0"/>
    <x v="1"/>
    <x v="0"/>
    <x v="455"/>
    <x v="233"/>
    <x v="0"/>
  </r>
  <r>
    <x v="771"/>
    <x v="379"/>
    <x v="379"/>
    <x v="374"/>
    <x v="0"/>
    <x v="1"/>
    <x v="2"/>
    <x v="393"/>
    <x v="36"/>
    <x v="2"/>
    <x v="0"/>
    <x v="5"/>
    <x v="0"/>
    <x v="3"/>
    <x v="4"/>
    <x v="1"/>
    <x v="2"/>
    <x v="1"/>
    <x v="2"/>
    <x v="1"/>
    <x v="2"/>
    <x v="0"/>
    <x v="2"/>
    <x v="3"/>
    <x v="13"/>
    <x v="381"/>
    <x v="1"/>
    <x v="0"/>
    <x v="0"/>
    <x v="1"/>
    <x v="0"/>
    <x v="0"/>
    <x v="0"/>
    <x v="0"/>
  </r>
  <r>
    <x v="772"/>
    <x v="383"/>
    <x v="383"/>
    <x v="378"/>
    <x v="618"/>
    <x v="1"/>
    <x v="2"/>
    <x v="398"/>
    <x v="222"/>
    <x v="1"/>
    <x v="9"/>
    <x v="0"/>
    <x v="0"/>
    <x v="3"/>
    <x v="1"/>
    <x v="1"/>
    <x v="2"/>
    <x v="1"/>
    <x v="3"/>
    <x v="1"/>
    <x v="2"/>
    <x v="0"/>
    <x v="2"/>
    <x v="3"/>
    <x v="4"/>
    <x v="386"/>
    <x v="3"/>
    <x v="0"/>
    <x v="0"/>
    <x v="1"/>
    <x v="0"/>
    <x v="0"/>
    <x v="0"/>
    <x v="0"/>
  </r>
  <r>
    <x v="773"/>
    <x v="271"/>
    <x v="271"/>
    <x v="267"/>
    <x v="621"/>
    <x v="1"/>
    <x v="2"/>
    <x v="282"/>
    <x v="115"/>
    <x v="1"/>
    <x v="3"/>
    <x v="0"/>
    <x v="0"/>
    <x v="1"/>
    <x v="3"/>
    <x v="2"/>
    <x v="1"/>
    <x v="1"/>
    <x v="2"/>
    <x v="1"/>
    <x v="1"/>
    <x v="182"/>
    <x v="1"/>
    <x v="1"/>
    <x v="2"/>
    <x v="272"/>
    <x v="11"/>
    <x v="3"/>
    <x v="0"/>
    <x v="1"/>
    <x v="0"/>
    <x v="331"/>
    <x v="234"/>
    <x v="248"/>
  </r>
  <r>
    <x v="774"/>
    <x v="385"/>
    <x v="385"/>
    <x v="380"/>
    <x v="622"/>
    <x v="1"/>
    <x v="2"/>
    <x v="400"/>
    <x v="310"/>
    <x v="1"/>
    <x v="44"/>
    <x v="0"/>
    <x v="0"/>
    <x v="1"/>
    <x v="2"/>
    <x v="3"/>
    <x v="2"/>
    <x v="1"/>
    <x v="2"/>
    <x v="1"/>
    <x v="1"/>
    <x v="182"/>
    <x v="1"/>
    <x v="5"/>
    <x v="3"/>
    <x v="388"/>
    <x v="3"/>
    <x v="1"/>
    <x v="5"/>
    <x v="1"/>
    <x v="0"/>
    <x v="456"/>
    <x v="0"/>
    <x v="0"/>
  </r>
  <r>
    <x v="775"/>
    <x v="172"/>
    <x v="172"/>
    <x v="170"/>
    <x v="623"/>
    <x v="1"/>
    <x v="2"/>
    <x v="181"/>
    <x v="37"/>
    <x v="1"/>
    <x v="156"/>
    <x v="0"/>
    <x v="0"/>
    <x v="1"/>
    <x v="3"/>
    <x v="3"/>
    <x v="2"/>
    <x v="1"/>
    <x v="2"/>
    <x v="1"/>
    <x v="1"/>
    <x v="182"/>
    <x v="1"/>
    <x v="5"/>
    <x v="3"/>
    <x v="171"/>
    <x v="3"/>
    <x v="3"/>
    <x v="0"/>
    <x v="1"/>
    <x v="0"/>
    <x v="457"/>
    <x v="235"/>
    <x v="0"/>
  </r>
  <r>
    <x v="776"/>
    <x v="376"/>
    <x v="376"/>
    <x v="371"/>
    <x v="0"/>
    <x v="1"/>
    <x v="2"/>
    <x v="391"/>
    <x v="51"/>
    <x v="1"/>
    <x v="157"/>
    <x v="0"/>
    <x v="0"/>
    <x v="3"/>
    <x v="1"/>
    <x v="1"/>
    <x v="2"/>
    <x v="1"/>
    <x v="2"/>
    <x v="1"/>
    <x v="2"/>
    <x v="0"/>
    <x v="1"/>
    <x v="3"/>
    <x v="4"/>
    <x v="378"/>
    <x v="3"/>
    <x v="0"/>
    <x v="0"/>
    <x v="1"/>
    <x v="0"/>
    <x v="0"/>
    <x v="0"/>
    <x v="0"/>
  </r>
  <r>
    <x v="777"/>
    <x v="385"/>
    <x v="385"/>
    <x v="380"/>
    <x v="0"/>
    <x v="1"/>
    <x v="2"/>
    <x v="400"/>
    <x v="310"/>
    <x v="2"/>
    <x v="0"/>
    <x v="6"/>
    <x v="0"/>
    <x v="3"/>
    <x v="1"/>
    <x v="1"/>
    <x v="2"/>
    <x v="1"/>
    <x v="2"/>
    <x v="1"/>
    <x v="2"/>
    <x v="0"/>
    <x v="2"/>
    <x v="3"/>
    <x v="4"/>
    <x v="388"/>
    <x v="2"/>
    <x v="0"/>
    <x v="0"/>
    <x v="1"/>
    <x v="0"/>
    <x v="0"/>
    <x v="0"/>
    <x v="0"/>
  </r>
  <r>
    <x v="778"/>
    <x v="385"/>
    <x v="385"/>
    <x v="380"/>
    <x v="624"/>
    <x v="1"/>
    <x v="2"/>
    <x v="400"/>
    <x v="310"/>
    <x v="1"/>
    <x v="158"/>
    <x v="0"/>
    <x v="0"/>
    <x v="1"/>
    <x v="1"/>
    <x v="1"/>
    <x v="2"/>
    <x v="1"/>
    <x v="1"/>
    <x v="1"/>
    <x v="2"/>
    <x v="0"/>
    <x v="1"/>
    <x v="1"/>
    <x v="2"/>
    <x v="388"/>
    <x v="1"/>
    <x v="0"/>
    <x v="0"/>
    <x v="1"/>
    <x v="0"/>
    <x v="0"/>
    <x v="0"/>
    <x v="0"/>
  </r>
  <r>
    <x v="779"/>
    <x v="386"/>
    <x v="386"/>
    <x v="381"/>
    <x v="625"/>
    <x v="1"/>
    <x v="2"/>
    <x v="401"/>
    <x v="311"/>
    <x v="1"/>
    <x v="33"/>
    <x v="0"/>
    <x v="0"/>
    <x v="1"/>
    <x v="3"/>
    <x v="3"/>
    <x v="1"/>
    <x v="1"/>
    <x v="3"/>
    <x v="1"/>
    <x v="1"/>
    <x v="183"/>
    <x v="1"/>
    <x v="5"/>
    <x v="2"/>
    <x v="389"/>
    <x v="12"/>
    <x v="1"/>
    <x v="8"/>
    <x v="1"/>
    <x v="0"/>
    <x v="458"/>
    <x v="0"/>
    <x v="0"/>
  </r>
  <r>
    <x v="780"/>
    <x v="387"/>
    <x v="387"/>
    <x v="382"/>
    <x v="626"/>
    <x v="1"/>
    <x v="2"/>
    <x v="402"/>
    <x v="312"/>
    <x v="1"/>
    <x v="33"/>
    <x v="0"/>
    <x v="0"/>
    <x v="1"/>
    <x v="1"/>
    <x v="2"/>
    <x v="2"/>
    <x v="1"/>
    <x v="2"/>
    <x v="1"/>
    <x v="1"/>
    <x v="184"/>
    <x v="1"/>
    <x v="6"/>
    <x v="2"/>
    <x v="390"/>
    <x v="5"/>
    <x v="1"/>
    <x v="1"/>
    <x v="1"/>
    <x v="0"/>
    <x v="459"/>
    <x v="0"/>
    <x v="249"/>
  </r>
  <r>
    <x v="781"/>
    <x v="388"/>
    <x v="388"/>
    <x v="383"/>
    <x v="627"/>
    <x v="1"/>
    <x v="2"/>
    <x v="403"/>
    <x v="10"/>
    <x v="1"/>
    <x v="159"/>
    <x v="0"/>
    <x v="0"/>
    <x v="1"/>
    <x v="1"/>
    <x v="1"/>
    <x v="2"/>
    <x v="2"/>
    <x v="2"/>
    <x v="1"/>
    <x v="2"/>
    <x v="0"/>
    <x v="1"/>
    <x v="6"/>
    <x v="2"/>
    <x v="391"/>
    <x v="5"/>
    <x v="0"/>
    <x v="0"/>
    <x v="1"/>
    <x v="0"/>
    <x v="0"/>
    <x v="0"/>
    <x v="250"/>
  </r>
  <r>
    <x v="782"/>
    <x v="389"/>
    <x v="389"/>
    <x v="384"/>
    <x v="628"/>
    <x v="1"/>
    <x v="2"/>
    <x v="404"/>
    <x v="254"/>
    <x v="1"/>
    <x v="33"/>
    <x v="0"/>
    <x v="0"/>
    <x v="1"/>
    <x v="3"/>
    <x v="3"/>
    <x v="2"/>
    <x v="1"/>
    <x v="2"/>
    <x v="1"/>
    <x v="1"/>
    <x v="185"/>
    <x v="1"/>
    <x v="6"/>
    <x v="2"/>
    <x v="392"/>
    <x v="8"/>
    <x v="3"/>
    <x v="0"/>
    <x v="1"/>
    <x v="0"/>
    <x v="0"/>
    <x v="0"/>
    <x v="251"/>
  </r>
  <r>
    <x v="783"/>
    <x v="386"/>
    <x v="386"/>
    <x v="381"/>
    <x v="0"/>
    <x v="1"/>
    <x v="2"/>
    <x v="401"/>
    <x v="279"/>
    <x v="1"/>
    <x v="33"/>
    <x v="0"/>
    <x v="0"/>
    <x v="3"/>
    <x v="1"/>
    <x v="1"/>
    <x v="2"/>
    <x v="1"/>
    <x v="2"/>
    <x v="1"/>
    <x v="1"/>
    <x v="184"/>
    <x v="2"/>
    <x v="3"/>
    <x v="4"/>
    <x v="389"/>
    <x v="8"/>
    <x v="3"/>
    <x v="0"/>
    <x v="1"/>
    <x v="0"/>
    <x v="460"/>
    <x v="0"/>
    <x v="252"/>
  </r>
  <r>
    <x v="784"/>
    <x v="261"/>
    <x v="261"/>
    <x v="257"/>
    <x v="629"/>
    <x v="3"/>
    <x v="2"/>
    <x v="272"/>
    <x v="119"/>
    <x v="1"/>
    <x v="15"/>
    <x v="0"/>
    <x v="0"/>
    <x v="1"/>
    <x v="1"/>
    <x v="1"/>
    <x v="2"/>
    <x v="1"/>
    <x v="2"/>
    <x v="1"/>
    <x v="2"/>
    <x v="0"/>
    <x v="1"/>
    <x v="6"/>
    <x v="2"/>
    <x v="261"/>
    <x v="12"/>
    <x v="0"/>
    <x v="0"/>
    <x v="1"/>
    <x v="0"/>
    <x v="0"/>
    <x v="0"/>
    <x v="0"/>
  </r>
  <r>
    <x v="785"/>
    <x v="307"/>
    <x v="308"/>
    <x v="303"/>
    <x v="630"/>
    <x v="1"/>
    <x v="2"/>
    <x v="321"/>
    <x v="313"/>
    <x v="1"/>
    <x v="160"/>
    <x v="0"/>
    <x v="0"/>
    <x v="1"/>
    <x v="1"/>
    <x v="1"/>
    <x v="2"/>
    <x v="1"/>
    <x v="2"/>
    <x v="1"/>
    <x v="2"/>
    <x v="0"/>
    <x v="1"/>
    <x v="6"/>
    <x v="2"/>
    <x v="309"/>
    <x v="12"/>
    <x v="0"/>
    <x v="0"/>
    <x v="1"/>
    <x v="0"/>
    <x v="0"/>
    <x v="0"/>
    <x v="0"/>
  </r>
  <r>
    <x v="786"/>
    <x v="390"/>
    <x v="390"/>
    <x v="385"/>
    <x v="631"/>
    <x v="1"/>
    <x v="4"/>
    <x v="405"/>
    <x v="27"/>
    <x v="1"/>
    <x v="15"/>
    <x v="0"/>
    <x v="0"/>
    <x v="1"/>
    <x v="1"/>
    <x v="1"/>
    <x v="2"/>
    <x v="1"/>
    <x v="1"/>
    <x v="1"/>
    <x v="2"/>
    <x v="0"/>
    <x v="1"/>
    <x v="6"/>
    <x v="2"/>
    <x v="393"/>
    <x v="12"/>
    <x v="0"/>
    <x v="0"/>
    <x v="1"/>
    <x v="0"/>
    <x v="0"/>
    <x v="0"/>
    <x v="0"/>
  </r>
  <r>
    <x v="787"/>
    <x v="391"/>
    <x v="391"/>
    <x v="386"/>
    <x v="632"/>
    <x v="3"/>
    <x v="2"/>
    <x v="406"/>
    <x v="281"/>
    <x v="1"/>
    <x v="3"/>
    <x v="0"/>
    <x v="0"/>
    <x v="1"/>
    <x v="3"/>
    <x v="2"/>
    <x v="2"/>
    <x v="1"/>
    <x v="1"/>
    <x v="1"/>
    <x v="1"/>
    <x v="186"/>
    <x v="1"/>
    <x v="6"/>
    <x v="2"/>
    <x v="394"/>
    <x v="12"/>
    <x v="3"/>
    <x v="0"/>
    <x v="1"/>
    <x v="0"/>
    <x v="461"/>
    <x v="236"/>
    <x v="253"/>
  </r>
  <r>
    <x v="788"/>
    <x v="392"/>
    <x v="392"/>
    <x v="387"/>
    <x v="633"/>
    <x v="1"/>
    <x v="2"/>
    <x v="407"/>
    <x v="115"/>
    <x v="1"/>
    <x v="1"/>
    <x v="0"/>
    <x v="0"/>
    <x v="1"/>
    <x v="2"/>
    <x v="3"/>
    <x v="2"/>
    <x v="1"/>
    <x v="2"/>
    <x v="1"/>
    <x v="1"/>
    <x v="186"/>
    <x v="1"/>
    <x v="2"/>
    <x v="3"/>
    <x v="395"/>
    <x v="2"/>
    <x v="1"/>
    <x v="1"/>
    <x v="1"/>
    <x v="0"/>
    <x v="462"/>
    <x v="237"/>
    <x v="0"/>
  </r>
  <r>
    <x v="789"/>
    <x v="141"/>
    <x v="141"/>
    <x v="139"/>
    <x v="634"/>
    <x v="1"/>
    <x v="1"/>
    <x v="145"/>
    <x v="314"/>
    <x v="1"/>
    <x v="15"/>
    <x v="0"/>
    <x v="0"/>
    <x v="1"/>
    <x v="3"/>
    <x v="2"/>
    <x v="2"/>
    <x v="1"/>
    <x v="2"/>
    <x v="1"/>
    <x v="1"/>
    <x v="186"/>
    <x v="1"/>
    <x v="1"/>
    <x v="2"/>
    <x v="140"/>
    <x v="5"/>
    <x v="1"/>
    <x v="1"/>
    <x v="1"/>
    <x v="0"/>
    <x v="463"/>
    <x v="0"/>
    <x v="0"/>
  </r>
  <r>
    <x v="790"/>
    <x v="141"/>
    <x v="141"/>
    <x v="139"/>
    <x v="634"/>
    <x v="1"/>
    <x v="1"/>
    <x v="145"/>
    <x v="125"/>
    <x v="1"/>
    <x v="15"/>
    <x v="0"/>
    <x v="0"/>
    <x v="3"/>
    <x v="3"/>
    <x v="3"/>
    <x v="2"/>
    <x v="1"/>
    <x v="2"/>
    <x v="1"/>
    <x v="1"/>
    <x v="187"/>
    <x v="1"/>
    <x v="3"/>
    <x v="4"/>
    <x v="140"/>
    <x v="5"/>
    <x v="1"/>
    <x v="1"/>
    <x v="1"/>
    <x v="0"/>
    <x v="464"/>
    <x v="0"/>
    <x v="0"/>
  </r>
  <r>
    <x v="791"/>
    <x v="393"/>
    <x v="393"/>
    <x v="388"/>
    <x v="635"/>
    <x v="3"/>
    <x v="2"/>
    <x v="408"/>
    <x v="292"/>
    <x v="1"/>
    <x v="2"/>
    <x v="0"/>
    <x v="0"/>
    <x v="1"/>
    <x v="3"/>
    <x v="3"/>
    <x v="2"/>
    <x v="1"/>
    <x v="1"/>
    <x v="1"/>
    <x v="1"/>
    <x v="187"/>
    <x v="1"/>
    <x v="1"/>
    <x v="2"/>
    <x v="396"/>
    <x v="11"/>
    <x v="3"/>
    <x v="0"/>
    <x v="1"/>
    <x v="0"/>
    <x v="465"/>
    <x v="0"/>
    <x v="0"/>
  </r>
  <r>
    <x v="792"/>
    <x v="394"/>
    <x v="394"/>
    <x v="389"/>
    <x v="636"/>
    <x v="1"/>
    <x v="1"/>
    <x v="409"/>
    <x v="315"/>
    <x v="1"/>
    <x v="161"/>
    <x v="0"/>
    <x v="0"/>
    <x v="1"/>
    <x v="1"/>
    <x v="1"/>
    <x v="2"/>
    <x v="1"/>
    <x v="2"/>
    <x v="1"/>
    <x v="2"/>
    <x v="0"/>
    <x v="1"/>
    <x v="1"/>
    <x v="5"/>
    <x v="397"/>
    <x v="5"/>
    <x v="0"/>
    <x v="0"/>
    <x v="1"/>
    <x v="0"/>
    <x v="0"/>
    <x v="0"/>
    <x v="0"/>
  </r>
  <r>
    <x v="793"/>
    <x v="395"/>
    <x v="395"/>
    <x v="390"/>
    <x v="637"/>
    <x v="3"/>
    <x v="2"/>
    <x v="347"/>
    <x v="10"/>
    <x v="1"/>
    <x v="70"/>
    <x v="0"/>
    <x v="0"/>
    <x v="1"/>
    <x v="1"/>
    <x v="2"/>
    <x v="2"/>
    <x v="1"/>
    <x v="2"/>
    <x v="1"/>
    <x v="1"/>
    <x v="187"/>
    <x v="1"/>
    <x v="1"/>
    <x v="2"/>
    <x v="398"/>
    <x v="5"/>
    <x v="3"/>
    <x v="0"/>
    <x v="1"/>
    <x v="0"/>
    <x v="408"/>
    <x v="0"/>
    <x v="198"/>
  </r>
  <r>
    <x v="794"/>
    <x v="392"/>
    <x v="392"/>
    <x v="387"/>
    <x v="0"/>
    <x v="1"/>
    <x v="2"/>
    <x v="407"/>
    <x v="115"/>
    <x v="1"/>
    <x v="1"/>
    <x v="0"/>
    <x v="0"/>
    <x v="3"/>
    <x v="4"/>
    <x v="1"/>
    <x v="2"/>
    <x v="1"/>
    <x v="2"/>
    <x v="1"/>
    <x v="2"/>
    <x v="0"/>
    <x v="2"/>
    <x v="3"/>
    <x v="4"/>
    <x v="395"/>
    <x v="5"/>
    <x v="0"/>
    <x v="0"/>
    <x v="1"/>
    <x v="0"/>
    <x v="0"/>
    <x v="0"/>
    <x v="0"/>
  </r>
  <r>
    <x v="795"/>
    <x v="387"/>
    <x v="387"/>
    <x v="382"/>
    <x v="0"/>
    <x v="1"/>
    <x v="2"/>
    <x v="402"/>
    <x v="312"/>
    <x v="1"/>
    <x v="33"/>
    <x v="0"/>
    <x v="0"/>
    <x v="3"/>
    <x v="1"/>
    <x v="1"/>
    <x v="2"/>
    <x v="1"/>
    <x v="2"/>
    <x v="1"/>
    <x v="2"/>
    <x v="0"/>
    <x v="2"/>
    <x v="3"/>
    <x v="4"/>
    <x v="390"/>
    <x v="5"/>
    <x v="0"/>
    <x v="0"/>
    <x v="1"/>
    <x v="0"/>
    <x v="0"/>
    <x v="0"/>
    <x v="0"/>
  </r>
  <r>
    <x v="796"/>
    <x v="141"/>
    <x v="141"/>
    <x v="139"/>
    <x v="638"/>
    <x v="1"/>
    <x v="1"/>
    <x v="145"/>
    <x v="125"/>
    <x v="2"/>
    <x v="0"/>
    <x v="6"/>
    <x v="0"/>
    <x v="1"/>
    <x v="2"/>
    <x v="3"/>
    <x v="2"/>
    <x v="1"/>
    <x v="2"/>
    <x v="1"/>
    <x v="1"/>
    <x v="187"/>
    <x v="1"/>
    <x v="2"/>
    <x v="2"/>
    <x v="140"/>
    <x v="5"/>
    <x v="1"/>
    <x v="1"/>
    <x v="1"/>
    <x v="0"/>
    <x v="466"/>
    <x v="0"/>
    <x v="0"/>
  </r>
  <r>
    <x v="797"/>
    <x v="396"/>
    <x v="396"/>
    <x v="391"/>
    <x v="639"/>
    <x v="1"/>
    <x v="2"/>
    <x v="410"/>
    <x v="171"/>
    <x v="1"/>
    <x v="162"/>
    <x v="0"/>
    <x v="0"/>
    <x v="1"/>
    <x v="3"/>
    <x v="2"/>
    <x v="2"/>
    <x v="1"/>
    <x v="3"/>
    <x v="1"/>
    <x v="1"/>
    <x v="188"/>
    <x v="1"/>
    <x v="1"/>
    <x v="2"/>
    <x v="399"/>
    <x v="5"/>
    <x v="3"/>
    <x v="0"/>
    <x v="1"/>
    <x v="0"/>
    <x v="467"/>
    <x v="0"/>
    <x v="0"/>
  </r>
  <r>
    <x v="798"/>
    <x v="141"/>
    <x v="141"/>
    <x v="139"/>
    <x v="0"/>
    <x v="1"/>
    <x v="1"/>
    <x v="145"/>
    <x v="125"/>
    <x v="2"/>
    <x v="0"/>
    <x v="6"/>
    <x v="0"/>
    <x v="3"/>
    <x v="1"/>
    <x v="1"/>
    <x v="2"/>
    <x v="1"/>
    <x v="2"/>
    <x v="1"/>
    <x v="2"/>
    <x v="0"/>
    <x v="2"/>
    <x v="3"/>
    <x v="4"/>
    <x v="140"/>
    <x v="5"/>
    <x v="0"/>
    <x v="0"/>
    <x v="1"/>
    <x v="0"/>
    <x v="0"/>
    <x v="0"/>
    <x v="0"/>
  </r>
  <r>
    <x v="799"/>
    <x v="397"/>
    <x v="397"/>
    <x v="392"/>
    <x v="640"/>
    <x v="1"/>
    <x v="2"/>
    <x v="411"/>
    <x v="316"/>
    <x v="1"/>
    <x v="9"/>
    <x v="0"/>
    <x v="0"/>
    <x v="1"/>
    <x v="2"/>
    <x v="3"/>
    <x v="2"/>
    <x v="1"/>
    <x v="1"/>
    <x v="1"/>
    <x v="1"/>
    <x v="188"/>
    <x v="1"/>
    <x v="5"/>
    <x v="3"/>
    <x v="400"/>
    <x v="1"/>
    <x v="3"/>
    <x v="0"/>
    <x v="1"/>
    <x v="0"/>
    <x v="468"/>
    <x v="238"/>
    <x v="0"/>
  </r>
  <r>
    <x v="800"/>
    <x v="398"/>
    <x v="398"/>
    <x v="393"/>
    <x v="641"/>
    <x v="1"/>
    <x v="2"/>
    <x v="412"/>
    <x v="92"/>
    <x v="1"/>
    <x v="4"/>
    <x v="0"/>
    <x v="0"/>
    <x v="1"/>
    <x v="3"/>
    <x v="3"/>
    <x v="2"/>
    <x v="1"/>
    <x v="2"/>
    <x v="1"/>
    <x v="1"/>
    <x v="189"/>
    <x v="2"/>
    <x v="1"/>
    <x v="2"/>
    <x v="401"/>
    <x v="1"/>
    <x v="3"/>
    <x v="0"/>
    <x v="1"/>
    <x v="0"/>
    <x v="469"/>
    <x v="0"/>
    <x v="0"/>
  </r>
  <r>
    <x v="801"/>
    <x v="399"/>
    <x v="358"/>
    <x v="353"/>
    <x v="642"/>
    <x v="1"/>
    <x v="2"/>
    <x v="372"/>
    <x v="150"/>
    <x v="1"/>
    <x v="4"/>
    <x v="0"/>
    <x v="0"/>
    <x v="1"/>
    <x v="3"/>
    <x v="2"/>
    <x v="2"/>
    <x v="1"/>
    <x v="2"/>
    <x v="1"/>
    <x v="1"/>
    <x v="189"/>
    <x v="1"/>
    <x v="1"/>
    <x v="2"/>
    <x v="360"/>
    <x v="5"/>
    <x v="3"/>
    <x v="0"/>
    <x v="1"/>
    <x v="0"/>
    <x v="469"/>
    <x v="0"/>
    <x v="0"/>
  </r>
  <r>
    <x v="802"/>
    <x v="400"/>
    <x v="399"/>
    <x v="394"/>
    <x v="643"/>
    <x v="1"/>
    <x v="3"/>
    <x v="251"/>
    <x v="317"/>
    <x v="1"/>
    <x v="2"/>
    <x v="0"/>
    <x v="0"/>
    <x v="1"/>
    <x v="1"/>
    <x v="1"/>
    <x v="2"/>
    <x v="1"/>
    <x v="3"/>
    <x v="1"/>
    <x v="1"/>
    <x v="189"/>
    <x v="1"/>
    <x v="1"/>
    <x v="2"/>
    <x v="402"/>
    <x v="5"/>
    <x v="1"/>
    <x v="1"/>
    <x v="1"/>
    <x v="0"/>
    <x v="470"/>
    <x v="0"/>
    <x v="0"/>
  </r>
  <r>
    <x v="803"/>
    <x v="400"/>
    <x v="399"/>
    <x v="394"/>
    <x v="0"/>
    <x v="1"/>
    <x v="3"/>
    <x v="251"/>
    <x v="318"/>
    <x v="1"/>
    <x v="2"/>
    <x v="0"/>
    <x v="0"/>
    <x v="3"/>
    <x v="1"/>
    <x v="1"/>
    <x v="2"/>
    <x v="1"/>
    <x v="3"/>
    <x v="1"/>
    <x v="2"/>
    <x v="0"/>
    <x v="2"/>
    <x v="3"/>
    <x v="4"/>
    <x v="402"/>
    <x v="5"/>
    <x v="0"/>
    <x v="0"/>
    <x v="1"/>
    <x v="0"/>
    <x v="0"/>
    <x v="0"/>
    <x v="0"/>
  </r>
  <r>
    <x v="804"/>
    <x v="401"/>
    <x v="400"/>
    <x v="395"/>
    <x v="644"/>
    <x v="3"/>
    <x v="2"/>
    <x v="413"/>
    <x v="203"/>
    <x v="1"/>
    <x v="4"/>
    <x v="0"/>
    <x v="0"/>
    <x v="1"/>
    <x v="1"/>
    <x v="1"/>
    <x v="2"/>
    <x v="1"/>
    <x v="3"/>
    <x v="1"/>
    <x v="1"/>
    <x v="190"/>
    <x v="1"/>
    <x v="6"/>
    <x v="2"/>
    <x v="403"/>
    <x v="5"/>
    <x v="3"/>
    <x v="0"/>
    <x v="1"/>
    <x v="0"/>
    <x v="471"/>
    <x v="0"/>
    <x v="254"/>
  </r>
  <r>
    <x v="805"/>
    <x v="402"/>
    <x v="401"/>
    <x v="396"/>
    <x v="645"/>
    <x v="3"/>
    <x v="1"/>
    <x v="414"/>
    <x v="319"/>
    <x v="1"/>
    <x v="9"/>
    <x v="0"/>
    <x v="0"/>
    <x v="1"/>
    <x v="3"/>
    <x v="3"/>
    <x v="2"/>
    <x v="2"/>
    <x v="2"/>
    <x v="1"/>
    <x v="1"/>
    <x v="191"/>
    <x v="1"/>
    <x v="6"/>
    <x v="2"/>
    <x v="404"/>
    <x v="5"/>
    <x v="3"/>
    <x v="0"/>
    <x v="1"/>
    <x v="0"/>
    <x v="472"/>
    <x v="239"/>
    <x v="255"/>
  </r>
  <r>
    <x v="806"/>
    <x v="388"/>
    <x v="388"/>
    <x v="383"/>
    <x v="646"/>
    <x v="1"/>
    <x v="2"/>
    <x v="403"/>
    <x v="10"/>
    <x v="1"/>
    <x v="2"/>
    <x v="0"/>
    <x v="0"/>
    <x v="1"/>
    <x v="1"/>
    <x v="1"/>
    <x v="2"/>
    <x v="2"/>
    <x v="2"/>
    <x v="1"/>
    <x v="2"/>
    <x v="0"/>
    <x v="1"/>
    <x v="6"/>
    <x v="2"/>
    <x v="391"/>
    <x v="12"/>
    <x v="0"/>
    <x v="0"/>
    <x v="1"/>
    <x v="0"/>
    <x v="0"/>
    <x v="0"/>
    <x v="0"/>
  </r>
  <r>
    <x v="807"/>
    <x v="403"/>
    <x v="402"/>
    <x v="397"/>
    <x v="647"/>
    <x v="1"/>
    <x v="2"/>
    <x v="415"/>
    <x v="320"/>
    <x v="1"/>
    <x v="161"/>
    <x v="0"/>
    <x v="0"/>
    <x v="1"/>
    <x v="3"/>
    <x v="2"/>
    <x v="2"/>
    <x v="1"/>
    <x v="2"/>
    <x v="1"/>
    <x v="1"/>
    <x v="192"/>
    <x v="2"/>
    <x v="6"/>
    <x v="2"/>
    <x v="405"/>
    <x v="12"/>
    <x v="1"/>
    <x v="3"/>
    <x v="1"/>
    <x v="0"/>
    <x v="473"/>
    <x v="0"/>
    <x v="256"/>
  </r>
  <r>
    <x v="808"/>
    <x v="141"/>
    <x v="141"/>
    <x v="139"/>
    <x v="648"/>
    <x v="1"/>
    <x v="1"/>
    <x v="145"/>
    <x v="125"/>
    <x v="2"/>
    <x v="0"/>
    <x v="6"/>
    <x v="0"/>
    <x v="1"/>
    <x v="2"/>
    <x v="3"/>
    <x v="2"/>
    <x v="1"/>
    <x v="2"/>
    <x v="1"/>
    <x v="1"/>
    <x v="192"/>
    <x v="1"/>
    <x v="4"/>
    <x v="2"/>
    <x v="140"/>
    <x v="12"/>
    <x v="1"/>
    <x v="5"/>
    <x v="1"/>
    <x v="0"/>
    <x v="474"/>
    <x v="0"/>
    <x v="257"/>
  </r>
  <r>
    <x v="809"/>
    <x v="404"/>
    <x v="403"/>
    <x v="398"/>
    <x v="649"/>
    <x v="1"/>
    <x v="2"/>
    <x v="416"/>
    <x v="208"/>
    <x v="1"/>
    <x v="3"/>
    <x v="0"/>
    <x v="0"/>
    <x v="1"/>
    <x v="3"/>
    <x v="2"/>
    <x v="1"/>
    <x v="1"/>
    <x v="3"/>
    <x v="1"/>
    <x v="1"/>
    <x v="193"/>
    <x v="1"/>
    <x v="1"/>
    <x v="2"/>
    <x v="406"/>
    <x v="5"/>
    <x v="3"/>
    <x v="0"/>
    <x v="1"/>
    <x v="0"/>
    <x v="475"/>
    <x v="240"/>
    <x v="258"/>
  </r>
  <r>
    <x v="810"/>
    <x v="405"/>
    <x v="404"/>
    <x v="399"/>
    <x v="650"/>
    <x v="1"/>
    <x v="2"/>
    <x v="417"/>
    <x v="321"/>
    <x v="1"/>
    <x v="163"/>
    <x v="0"/>
    <x v="0"/>
    <x v="1"/>
    <x v="1"/>
    <x v="1"/>
    <x v="1"/>
    <x v="1"/>
    <x v="2"/>
    <x v="1"/>
    <x v="2"/>
    <x v="0"/>
    <x v="1"/>
    <x v="1"/>
    <x v="2"/>
    <x v="407"/>
    <x v="12"/>
    <x v="0"/>
    <x v="0"/>
    <x v="1"/>
    <x v="0"/>
    <x v="0"/>
    <x v="0"/>
    <x v="0"/>
  </r>
  <r>
    <x v="811"/>
    <x v="406"/>
    <x v="405"/>
    <x v="400"/>
    <x v="651"/>
    <x v="1"/>
    <x v="2"/>
    <x v="418"/>
    <x v="322"/>
    <x v="1"/>
    <x v="24"/>
    <x v="0"/>
    <x v="0"/>
    <x v="1"/>
    <x v="2"/>
    <x v="3"/>
    <x v="1"/>
    <x v="1"/>
    <x v="2"/>
    <x v="1"/>
    <x v="1"/>
    <x v="193"/>
    <x v="1"/>
    <x v="1"/>
    <x v="2"/>
    <x v="408"/>
    <x v="5"/>
    <x v="3"/>
    <x v="0"/>
    <x v="1"/>
    <x v="0"/>
    <x v="476"/>
    <x v="241"/>
    <x v="259"/>
  </r>
  <r>
    <x v="812"/>
    <x v="157"/>
    <x v="157"/>
    <x v="155"/>
    <x v="652"/>
    <x v="3"/>
    <x v="2"/>
    <x v="163"/>
    <x v="30"/>
    <x v="1"/>
    <x v="164"/>
    <x v="0"/>
    <x v="0"/>
    <x v="1"/>
    <x v="1"/>
    <x v="1"/>
    <x v="1"/>
    <x v="1"/>
    <x v="2"/>
    <x v="1"/>
    <x v="2"/>
    <x v="0"/>
    <x v="1"/>
    <x v="1"/>
    <x v="2"/>
    <x v="156"/>
    <x v="2"/>
    <x v="0"/>
    <x v="0"/>
    <x v="1"/>
    <x v="0"/>
    <x v="0"/>
    <x v="0"/>
    <x v="0"/>
  </r>
  <r>
    <x v="813"/>
    <x v="407"/>
    <x v="406"/>
    <x v="401"/>
    <x v="653"/>
    <x v="3"/>
    <x v="2"/>
    <x v="419"/>
    <x v="323"/>
    <x v="1"/>
    <x v="9"/>
    <x v="0"/>
    <x v="0"/>
    <x v="1"/>
    <x v="3"/>
    <x v="3"/>
    <x v="2"/>
    <x v="2"/>
    <x v="2"/>
    <x v="1"/>
    <x v="1"/>
    <x v="192"/>
    <x v="1"/>
    <x v="1"/>
    <x v="2"/>
    <x v="409"/>
    <x v="5"/>
    <x v="1"/>
    <x v="3"/>
    <x v="2"/>
    <x v="1"/>
    <x v="477"/>
    <x v="0"/>
    <x v="0"/>
  </r>
  <r>
    <x v="814"/>
    <x v="408"/>
    <x v="407"/>
    <x v="402"/>
    <x v="654"/>
    <x v="3"/>
    <x v="2"/>
    <x v="420"/>
    <x v="10"/>
    <x v="1"/>
    <x v="3"/>
    <x v="0"/>
    <x v="0"/>
    <x v="1"/>
    <x v="3"/>
    <x v="2"/>
    <x v="2"/>
    <x v="1"/>
    <x v="2"/>
    <x v="1"/>
    <x v="1"/>
    <x v="192"/>
    <x v="2"/>
    <x v="1"/>
    <x v="2"/>
    <x v="410"/>
    <x v="4"/>
    <x v="1"/>
    <x v="12"/>
    <x v="1"/>
    <x v="0"/>
    <x v="478"/>
    <x v="0"/>
    <x v="0"/>
  </r>
  <r>
    <x v="815"/>
    <x v="141"/>
    <x v="141"/>
    <x v="139"/>
    <x v="0"/>
    <x v="1"/>
    <x v="1"/>
    <x v="145"/>
    <x v="10"/>
    <x v="2"/>
    <x v="0"/>
    <x v="6"/>
    <x v="0"/>
    <x v="3"/>
    <x v="4"/>
    <x v="1"/>
    <x v="1"/>
    <x v="1"/>
    <x v="2"/>
    <x v="1"/>
    <x v="2"/>
    <x v="0"/>
    <x v="2"/>
    <x v="3"/>
    <x v="4"/>
    <x v="140"/>
    <x v="2"/>
    <x v="0"/>
    <x v="0"/>
    <x v="1"/>
    <x v="0"/>
    <x v="0"/>
    <x v="0"/>
    <x v="0"/>
  </r>
  <r>
    <x v="816"/>
    <x v="391"/>
    <x v="391"/>
    <x v="386"/>
    <x v="655"/>
    <x v="3"/>
    <x v="2"/>
    <x v="406"/>
    <x v="281"/>
    <x v="1"/>
    <x v="24"/>
    <x v="0"/>
    <x v="0"/>
    <x v="1"/>
    <x v="2"/>
    <x v="3"/>
    <x v="2"/>
    <x v="1"/>
    <x v="2"/>
    <x v="1"/>
    <x v="1"/>
    <x v="194"/>
    <x v="1"/>
    <x v="2"/>
    <x v="2"/>
    <x v="394"/>
    <x v="5"/>
    <x v="1"/>
    <x v="7"/>
    <x v="1"/>
    <x v="0"/>
    <x v="479"/>
    <x v="0"/>
    <x v="260"/>
  </r>
  <r>
    <x v="817"/>
    <x v="408"/>
    <x v="407"/>
    <x v="402"/>
    <x v="0"/>
    <x v="3"/>
    <x v="2"/>
    <x v="420"/>
    <x v="59"/>
    <x v="1"/>
    <x v="3"/>
    <x v="0"/>
    <x v="0"/>
    <x v="3"/>
    <x v="1"/>
    <x v="1"/>
    <x v="2"/>
    <x v="1"/>
    <x v="3"/>
    <x v="1"/>
    <x v="2"/>
    <x v="0"/>
    <x v="2"/>
    <x v="3"/>
    <x v="4"/>
    <x v="410"/>
    <x v="13"/>
    <x v="0"/>
    <x v="0"/>
    <x v="1"/>
    <x v="0"/>
    <x v="0"/>
    <x v="0"/>
    <x v="0"/>
  </r>
  <r>
    <x v="818"/>
    <x v="409"/>
    <x v="402"/>
    <x v="397"/>
    <x v="0"/>
    <x v="1"/>
    <x v="2"/>
    <x v="415"/>
    <x v="324"/>
    <x v="1"/>
    <x v="161"/>
    <x v="0"/>
    <x v="0"/>
    <x v="3"/>
    <x v="1"/>
    <x v="1"/>
    <x v="2"/>
    <x v="1"/>
    <x v="2"/>
    <x v="1"/>
    <x v="2"/>
    <x v="0"/>
    <x v="2"/>
    <x v="3"/>
    <x v="4"/>
    <x v="405"/>
    <x v="3"/>
    <x v="0"/>
    <x v="0"/>
    <x v="1"/>
    <x v="0"/>
    <x v="0"/>
    <x v="0"/>
    <x v="0"/>
  </r>
  <r>
    <x v="819"/>
    <x v="407"/>
    <x v="406"/>
    <x v="401"/>
    <x v="656"/>
    <x v="1"/>
    <x v="2"/>
    <x v="419"/>
    <x v="59"/>
    <x v="1"/>
    <x v="9"/>
    <x v="0"/>
    <x v="0"/>
    <x v="3"/>
    <x v="1"/>
    <x v="1"/>
    <x v="2"/>
    <x v="2"/>
    <x v="2"/>
    <x v="1"/>
    <x v="2"/>
    <x v="0"/>
    <x v="1"/>
    <x v="3"/>
    <x v="4"/>
    <x v="409"/>
    <x v="3"/>
    <x v="0"/>
    <x v="0"/>
    <x v="1"/>
    <x v="0"/>
    <x v="0"/>
    <x v="0"/>
    <x v="0"/>
  </r>
  <r>
    <x v="820"/>
    <x v="391"/>
    <x v="391"/>
    <x v="386"/>
    <x v="655"/>
    <x v="3"/>
    <x v="2"/>
    <x v="406"/>
    <x v="281"/>
    <x v="1"/>
    <x v="24"/>
    <x v="0"/>
    <x v="0"/>
    <x v="3"/>
    <x v="4"/>
    <x v="1"/>
    <x v="2"/>
    <x v="1"/>
    <x v="2"/>
    <x v="1"/>
    <x v="2"/>
    <x v="0"/>
    <x v="2"/>
    <x v="3"/>
    <x v="4"/>
    <x v="394"/>
    <x v="12"/>
    <x v="0"/>
    <x v="0"/>
    <x v="1"/>
    <x v="0"/>
    <x v="0"/>
    <x v="0"/>
    <x v="0"/>
  </r>
  <r>
    <x v="821"/>
    <x v="410"/>
    <x v="408"/>
    <x v="403"/>
    <x v="657"/>
    <x v="1"/>
    <x v="1"/>
    <x v="421"/>
    <x v="134"/>
    <x v="1"/>
    <x v="36"/>
    <x v="0"/>
    <x v="0"/>
    <x v="1"/>
    <x v="5"/>
    <x v="1"/>
    <x v="2"/>
    <x v="1"/>
    <x v="2"/>
    <x v="1"/>
    <x v="2"/>
    <x v="0"/>
    <x v="1"/>
    <x v="1"/>
    <x v="13"/>
    <x v="411"/>
    <x v="4"/>
    <x v="0"/>
    <x v="0"/>
    <x v="1"/>
    <x v="0"/>
    <x v="0"/>
    <x v="0"/>
    <x v="0"/>
  </r>
  <r>
    <x v="822"/>
    <x v="407"/>
    <x v="406"/>
    <x v="401"/>
    <x v="658"/>
    <x v="3"/>
    <x v="2"/>
    <x v="419"/>
    <x v="323"/>
    <x v="6"/>
    <x v="0"/>
    <x v="0"/>
    <x v="19"/>
    <x v="1"/>
    <x v="1"/>
    <x v="1"/>
    <x v="2"/>
    <x v="2"/>
    <x v="2"/>
    <x v="1"/>
    <x v="2"/>
    <x v="0"/>
    <x v="1"/>
    <x v="1"/>
    <x v="2"/>
    <x v="409"/>
    <x v="12"/>
    <x v="0"/>
    <x v="0"/>
    <x v="1"/>
    <x v="0"/>
    <x v="0"/>
    <x v="0"/>
    <x v="0"/>
  </r>
  <r>
    <x v="823"/>
    <x v="411"/>
    <x v="193"/>
    <x v="191"/>
    <x v="659"/>
    <x v="1"/>
    <x v="2"/>
    <x v="204"/>
    <x v="168"/>
    <x v="1"/>
    <x v="33"/>
    <x v="0"/>
    <x v="0"/>
    <x v="1"/>
    <x v="3"/>
    <x v="3"/>
    <x v="2"/>
    <x v="1"/>
    <x v="1"/>
    <x v="1"/>
    <x v="1"/>
    <x v="195"/>
    <x v="1"/>
    <x v="1"/>
    <x v="1"/>
    <x v="193"/>
    <x v="13"/>
    <x v="2"/>
    <x v="0"/>
    <x v="1"/>
    <x v="0"/>
    <x v="480"/>
    <x v="0"/>
    <x v="0"/>
  </r>
  <r>
    <x v="824"/>
    <x v="412"/>
    <x v="409"/>
    <x v="404"/>
    <x v="660"/>
    <x v="1"/>
    <x v="3"/>
    <x v="422"/>
    <x v="325"/>
    <x v="1"/>
    <x v="15"/>
    <x v="0"/>
    <x v="0"/>
    <x v="1"/>
    <x v="3"/>
    <x v="3"/>
    <x v="2"/>
    <x v="1"/>
    <x v="1"/>
    <x v="1"/>
    <x v="1"/>
    <x v="195"/>
    <x v="2"/>
    <x v="1"/>
    <x v="2"/>
    <x v="412"/>
    <x v="12"/>
    <x v="1"/>
    <x v="3"/>
    <x v="1"/>
    <x v="0"/>
    <x v="481"/>
    <x v="0"/>
    <x v="261"/>
  </r>
  <r>
    <x v="825"/>
    <x v="413"/>
    <x v="410"/>
    <x v="405"/>
    <x v="661"/>
    <x v="1"/>
    <x v="4"/>
    <x v="423"/>
    <x v="326"/>
    <x v="2"/>
    <x v="0"/>
    <x v="6"/>
    <x v="0"/>
    <x v="1"/>
    <x v="2"/>
    <x v="3"/>
    <x v="2"/>
    <x v="1"/>
    <x v="2"/>
    <x v="1"/>
    <x v="1"/>
    <x v="195"/>
    <x v="1"/>
    <x v="5"/>
    <x v="2"/>
    <x v="413"/>
    <x v="12"/>
    <x v="2"/>
    <x v="0"/>
    <x v="1"/>
    <x v="0"/>
    <x v="482"/>
    <x v="0"/>
    <x v="262"/>
  </r>
  <r>
    <x v="826"/>
    <x v="407"/>
    <x v="406"/>
    <x v="401"/>
    <x v="662"/>
    <x v="3"/>
    <x v="2"/>
    <x v="419"/>
    <x v="196"/>
    <x v="6"/>
    <x v="0"/>
    <x v="0"/>
    <x v="20"/>
    <x v="1"/>
    <x v="1"/>
    <x v="1"/>
    <x v="2"/>
    <x v="1"/>
    <x v="1"/>
    <x v="1"/>
    <x v="2"/>
    <x v="0"/>
    <x v="1"/>
    <x v="1"/>
    <x v="2"/>
    <x v="409"/>
    <x v="13"/>
    <x v="0"/>
    <x v="0"/>
    <x v="1"/>
    <x v="0"/>
    <x v="0"/>
    <x v="0"/>
    <x v="0"/>
  </r>
  <r>
    <x v="827"/>
    <x v="412"/>
    <x v="409"/>
    <x v="404"/>
    <x v="0"/>
    <x v="1"/>
    <x v="3"/>
    <x v="422"/>
    <x v="325"/>
    <x v="1"/>
    <x v="15"/>
    <x v="0"/>
    <x v="0"/>
    <x v="3"/>
    <x v="1"/>
    <x v="1"/>
    <x v="2"/>
    <x v="1"/>
    <x v="2"/>
    <x v="1"/>
    <x v="2"/>
    <x v="0"/>
    <x v="2"/>
    <x v="3"/>
    <x v="4"/>
    <x v="412"/>
    <x v="3"/>
    <x v="0"/>
    <x v="0"/>
    <x v="1"/>
    <x v="0"/>
    <x v="0"/>
    <x v="0"/>
    <x v="0"/>
  </r>
  <r>
    <x v="828"/>
    <x v="414"/>
    <x v="411"/>
    <x v="406"/>
    <x v="663"/>
    <x v="1"/>
    <x v="2"/>
    <x v="424"/>
    <x v="198"/>
    <x v="1"/>
    <x v="15"/>
    <x v="0"/>
    <x v="0"/>
    <x v="1"/>
    <x v="3"/>
    <x v="3"/>
    <x v="2"/>
    <x v="1"/>
    <x v="2"/>
    <x v="1"/>
    <x v="1"/>
    <x v="196"/>
    <x v="1"/>
    <x v="1"/>
    <x v="2"/>
    <x v="414"/>
    <x v="13"/>
    <x v="3"/>
    <x v="0"/>
    <x v="1"/>
    <x v="0"/>
    <x v="483"/>
    <x v="0"/>
    <x v="263"/>
  </r>
  <r>
    <x v="829"/>
    <x v="381"/>
    <x v="381"/>
    <x v="376"/>
    <x v="664"/>
    <x v="1"/>
    <x v="2"/>
    <x v="397"/>
    <x v="168"/>
    <x v="1"/>
    <x v="165"/>
    <x v="0"/>
    <x v="0"/>
    <x v="1"/>
    <x v="1"/>
    <x v="1"/>
    <x v="2"/>
    <x v="2"/>
    <x v="2"/>
    <x v="1"/>
    <x v="2"/>
    <x v="0"/>
    <x v="1"/>
    <x v="1"/>
    <x v="2"/>
    <x v="383"/>
    <x v="3"/>
    <x v="0"/>
    <x v="0"/>
    <x v="2"/>
    <x v="1"/>
    <x v="0"/>
    <x v="0"/>
    <x v="0"/>
  </r>
  <r>
    <x v="830"/>
    <x v="415"/>
    <x v="412"/>
    <x v="407"/>
    <x v="665"/>
    <x v="1"/>
    <x v="2"/>
    <x v="425"/>
    <x v="327"/>
    <x v="1"/>
    <x v="36"/>
    <x v="0"/>
    <x v="0"/>
    <x v="1"/>
    <x v="3"/>
    <x v="2"/>
    <x v="2"/>
    <x v="2"/>
    <x v="1"/>
    <x v="1"/>
    <x v="1"/>
    <x v="196"/>
    <x v="1"/>
    <x v="1"/>
    <x v="2"/>
    <x v="415"/>
    <x v="3"/>
    <x v="1"/>
    <x v="1"/>
    <x v="1"/>
    <x v="0"/>
    <x v="484"/>
    <x v="242"/>
    <x v="264"/>
  </r>
  <r>
    <x v="831"/>
    <x v="416"/>
    <x v="413"/>
    <x v="408"/>
    <x v="666"/>
    <x v="1"/>
    <x v="2"/>
    <x v="311"/>
    <x v="10"/>
    <x v="1"/>
    <x v="27"/>
    <x v="0"/>
    <x v="0"/>
    <x v="1"/>
    <x v="1"/>
    <x v="1"/>
    <x v="2"/>
    <x v="1"/>
    <x v="2"/>
    <x v="1"/>
    <x v="1"/>
    <x v="196"/>
    <x v="1"/>
    <x v="1"/>
    <x v="2"/>
    <x v="416"/>
    <x v="3"/>
    <x v="1"/>
    <x v="1"/>
    <x v="1"/>
    <x v="0"/>
    <x v="484"/>
    <x v="243"/>
    <x v="265"/>
  </r>
  <r>
    <x v="832"/>
    <x v="417"/>
    <x v="414"/>
    <x v="409"/>
    <x v="667"/>
    <x v="1"/>
    <x v="2"/>
    <x v="426"/>
    <x v="328"/>
    <x v="1"/>
    <x v="166"/>
    <x v="0"/>
    <x v="0"/>
    <x v="1"/>
    <x v="3"/>
    <x v="3"/>
    <x v="2"/>
    <x v="1"/>
    <x v="2"/>
    <x v="1"/>
    <x v="1"/>
    <x v="197"/>
    <x v="1"/>
    <x v="6"/>
    <x v="2"/>
    <x v="417"/>
    <x v="5"/>
    <x v="1"/>
    <x v="1"/>
    <x v="1"/>
    <x v="0"/>
    <x v="485"/>
    <x v="244"/>
    <x v="0"/>
  </r>
  <r>
    <x v="833"/>
    <x v="416"/>
    <x v="413"/>
    <x v="408"/>
    <x v="668"/>
    <x v="1"/>
    <x v="2"/>
    <x v="311"/>
    <x v="10"/>
    <x v="2"/>
    <x v="0"/>
    <x v="5"/>
    <x v="0"/>
    <x v="1"/>
    <x v="2"/>
    <x v="3"/>
    <x v="2"/>
    <x v="1"/>
    <x v="2"/>
    <x v="1"/>
    <x v="1"/>
    <x v="197"/>
    <x v="1"/>
    <x v="6"/>
    <x v="2"/>
    <x v="416"/>
    <x v="5"/>
    <x v="3"/>
    <x v="0"/>
    <x v="1"/>
    <x v="0"/>
    <x v="486"/>
    <x v="0"/>
    <x v="0"/>
  </r>
  <r>
    <x v="834"/>
    <x v="418"/>
    <x v="415"/>
    <x v="410"/>
    <x v="669"/>
    <x v="1"/>
    <x v="2"/>
    <x v="427"/>
    <x v="205"/>
    <x v="1"/>
    <x v="167"/>
    <x v="0"/>
    <x v="0"/>
    <x v="1"/>
    <x v="1"/>
    <x v="1"/>
    <x v="2"/>
    <x v="1"/>
    <x v="2"/>
    <x v="1"/>
    <x v="2"/>
    <x v="0"/>
    <x v="2"/>
    <x v="6"/>
    <x v="2"/>
    <x v="418"/>
    <x v="5"/>
    <x v="0"/>
    <x v="0"/>
    <x v="1"/>
    <x v="0"/>
    <x v="0"/>
    <x v="0"/>
    <x v="0"/>
  </r>
  <r>
    <x v="835"/>
    <x v="415"/>
    <x v="412"/>
    <x v="407"/>
    <x v="0"/>
    <x v="1"/>
    <x v="2"/>
    <x v="425"/>
    <x v="327"/>
    <x v="1"/>
    <x v="36"/>
    <x v="0"/>
    <x v="0"/>
    <x v="3"/>
    <x v="1"/>
    <x v="1"/>
    <x v="2"/>
    <x v="2"/>
    <x v="1"/>
    <x v="1"/>
    <x v="2"/>
    <x v="0"/>
    <x v="2"/>
    <x v="3"/>
    <x v="4"/>
    <x v="415"/>
    <x v="5"/>
    <x v="0"/>
    <x v="0"/>
    <x v="1"/>
    <x v="0"/>
    <x v="0"/>
    <x v="0"/>
    <x v="0"/>
  </r>
  <r>
    <x v="836"/>
    <x v="419"/>
    <x v="416"/>
    <x v="411"/>
    <x v="670"/>
    <x v="1"/>
    <x v="2"/>
    <x v="428"/>
    <x v="329"/>
    <x v="1"/>
    <x v="36"/>
    <x v="0"/>
    <x v="0"/>
    <x v="1"/>
    <x v="1"/>
    <x v="1"/>
    <x v="2"/>
    <x v="1"/>
    <x v="2"/>
    <x v="1"/>
    <x v="2"/>
    <x v="0"/>
    <x v="1"/>
    <x v="6"/>
    <x v="2"/>
    <x v="419"/>
    <x v="5"/>
    <x v="0"/>
    <x v="0"/>
    <x v="1"/>
    <x v="0"/>
    <x v="0"/>
    <x v="0"/>
    <x v="0"/>
  </r>
  <r>
    <x v="837"/>
    <x v="417"/>
    <x v="414"/>
    <x v="409"/>
    <x v="0"/>
    <x v="1"/>
    <x v="2"/>
    <x v="426"/>
    <x v="328"/>
    <x v="1"/>
    <x v="166"/>
    <x v="0"/>
    <x v="0"/>
    <x v="3"/>
    <x v="1"/>
    <x v="1"/>
    <x v="2"/>
    <x v="1"/>
    <x v="2"/>
    <x v="1"/>
    <x v="2"/>
    <x v="0"/>
    <x v="2"/>
    <x v="3"/>
    <x v="4"/>
    <x v="417"/>
    <x v="5"/>
    <x v="0"/>
    <x v="0"/>
    <x v="1"/>
    <x v="0"/>
    <x v="0"/>
    <x v="0"/>
    <x v="0"/>
  </r>
  <r>
    <x v="838"/>
    <x v="420"/>
    <x v="417"/>
    <x v="412"/>
    <x v="671"/>
    <x v="1"/>
    <x v="3"/>
    <x v="429"/>
    <x v="10"/>
    <x v="2"/>
    <x v="0"/>
    <x v="2"/>
    <x v="0"/>
    <x v="1"/>
    <x v="1"/>
    <x v="1"/>
    <x v="2"/>
    <x v="1"/>
    <x v="2"/>
    <x v="1"/>
    <x v="1"/>
    <x v="198"/>
    <x v="1"/>
    <x v="6"/>
    <x v="2"/>
    <x v="420"/>
    <x v="5"/>
    <x v="1"/>
    <x v="1"/>
    <x v="1"/>
    <x v="0"/>
    <x v="487"/>
    <x v="0"/>
    <x v="0"/>
  </r>
  <r>
    <x v="839"/>
    <x v="421"/>
    <x v="418"/>
    <x v="413"/>
    <x v="672"/>
    <x v="1"/>
    <x v="2"/>
    <x v="430"/>
    <x v="330"/>
    <x v="1"/>
    <x v="2"/>
    <x v="0"/>
    <x v="0"/>
    <x v="1"/>
    <x v="1"/>
    <x v="1"/>
    <x v="2"/>
    <x v="1"/>
    <x v="3"/>
    <x v="1"/>
    <x v="1"/>
    <x v="198"/>
    <x v="1"/>
    <x v="6"/>
    <x v="2"/>
    <x v="421"/>
    <x v="5"/>
    <x v="1"/>
    <x v="1"/>
    <x v="1"/>
    <x v="0"/>
    <x v="488"/>
    <x v="0"/>
    <x v="0"/>
  </r>
  <r>
    <x v="840"/>
    <x v="420"/>
    <x v="417"/>
    <x v="412"/>
    <x v="0"/>
    <x v="1"/>
    <x v="3"/>
    <x v="429"/>
    <x v="10"/>
    <x v="2"/>
    <x v="0"/>
    <x v="2"/>
    <x v="0"/>
    <x v="3"/>
    <x v="1"/>
    <x v="1"/>
    <x v="2"/>
    <x v="1"/>
    <x v="2"/>
    <x v="1"/>
    <x v="2"/>
    <x v="0"/>
    <x v="2"/>
    <x v="3"/>
    <x v="4"/>
    <x v="420"/>
    <x v="5"/>
    <x v="0"/>
    <x v="0"/>
    <x v="1"/>
    <x v="0"/>
    <x v="0"/>
    <x v="0"/>
    <x v="0"/>
  </r>
  <r>
    <x v="841"/>
    <x v="421"/>
    <x v="418"/>
    <x v="413"/>
    <x v="0"/>
    <x v="1"/>
    <x v="2"/>
    <x v="430"/>
    <x v="330"/>
    <x v="1"/>
    <x v="2"/>
    <x v="0"/>
    <x v="0"/>
    <x v="3"/>
    <x v="1"/>
    <x v="1"/>
    <x v="2"/>
    <x v="1"/>
    <x v="3"/>
    <x v="1"/>
    <x v="2"/>
    <x v="0"/>
    <x v="2"/>
    <x v="3"/>
    <x v="4"/>
    <x v="421"/>
    <x v="5"/>
    <x v="0"/>
    <x v="0"/>
    <x v="1"/>
    <x v="0"/>
    <x v="0"/>
    <x v="0"/>
    <x v="0"/>
  </r>
  <r>
    <x v="842"/>
    <x v="422"/>
    <x v="419"/>
    <x v="414"/>
    <x v="673"/>
    <x v="1"/>
    <x v="3"/>
    <x v="431"/>
    <x v="331"/>
    <x v="1"/>
    <x v="168"/>
    <x v="0"/>
    <x v="0"/>
    <x v="1"/>
    <x v="1"/>
    <x v="1"/>
    <x v="1"/>
    <x v="1"/>
    <x v="3"/>
    <x v="1"/>
    <x v="2"/>
    <x v="0"/>
    <x v="2"/>
    <x v="1"/>
    <x v="2"/>
    <x v="422"/>
    <x v="2"/>
    <x v="0"/>
    <x v="0"/>
    <x v="1"/>
    <x v="0"/>
    <x v="0"/>
    <x v="0"/>
    <x v="0"/>
  </r>
  <r>
    <x v="843"/>
    <x v="385"/>
    <x v="385"/>
    <x v="380"/>
    <x v="674"/>
    <x v="1"/>
    <x v="2"/>
    <x v="400"/>
    <x v="332"/>
    <x v="1"/>
    <x v="3"/>
    <x v="0"/>
    <x v="0"/>
    <x v="1"/>
    <x v="3"/>
    <x v="2"/>
    <x v="2"/>
    <x v="1"/>
    <x v="1"/>
    <x v="1"/>
    <x v="1"/>
    <x v="199"/>
    <x v="1"/>
    <x v="1"/>
    <x v="2"/>
    <x v="388"/>
    <x v="12"/>
    <x v="1"/>
    <x v="3"/>
    <x v="1"/>
    <x v="0"/>
    <x v="489"/>
    <x v="245"/>
    <x v="266"/>
  </r>
  <r>
    <x v="844"/>
    <x v="423"/>
    <x v="420"/>
    <x v="415"/>
    <x v="675"/>
    <x v="3"/>
    <x v="2"/>
    <x v="432"/>
    <x v="289"/>
    <x v="1"/>
    <x v="33"/>
    <x v="0"/>
    <x v="0"/>
    <x v="1"/>
    <x v="1"/>
    <x v="1"/>
    <x v="2"/>
    <x v="1"/>
    <x v="1"/>
    <x v="1"/>
    <x v="2"/>
    <x v="0"/>
    <x v="1"/>
    <x v="1"/>
    <x v="2"/>
    <x v="423"/>
    <x v="12"/>
    <x v="0"/>
    <x v="0"/>
    <x v="1"/>
    <x v="0"/>
    <x v="0"/>
    <x v="0"/>
    <x v="0"/>
  </r>
  <r>
    <x v="845"/>
    <x v="424"/>
    <x v="421"/>
    <x v="416"/>
    <x v="676"/>
    <x v="3"/>
    <x v="2"/>
    <x v="433"/>
    <x v="333"/>
    <x v="1"/>
    <x v="15"/>
    <x v="0"/>
    <x v="0"/>
    <x v="1"/>
    <x v="1"/>
    <x v="1"/>
    <x v="2"/>
    <x v="1"/>
    <x v="2"/>
    <x v="1"/>
    <x v="1"/>
    <x v="200"/>
    <x v="1"/>
    <x v="1"/>
    <x v="2"/>
    <x v="424"/>
    <x v="3"/>
    <x v="1"/>
    <x v="3"/>
    <x v="2"/>
    <x v="1"/>
    <x v="490"/>
    <x v="0"/>
    <x v="0"/>
  </r>
  <r>
    <x v="846"/>
    <x v="425"/>
    <x v="422"/>
    <x v="417"/>
    <x v="677"/>
    <x v="1"/>
    <x v="2"/>
    <x v="434"/>
    <x v="334"/>
    <x v="1"/>
    <x v="169"/>
    <x v="0"/>
    <x v="0"/>
    <x v="1"/>
    <x v="1"/>
    <x v="1"/>
    <x v="2"/>
    <x v="1"/>
    <x v="2"/>
    <x v="1"/>
    <x v="2"/>
    <x v="0"/>
    <x v="1"/>
    <x v="1"/>
    <x v="2"/>
    <x v="425"/>
    <x v="4"/>
    <x v="0"/>
    <x v="0"/>
    <x v="1"/>
    <x v="0"/>
    <x v="0"/>
    <x v="0"/>
    <x v="0"/>
  </r>
  <r>
    <x v="847"/>
    <x v="426"/>
    <x v="423"/>
    <x v="418"/>
    <x v="678"/>
    <x v="1"/>
    <x v="2"/>
    <x v="435"/>
    <x v="59"/>
    <x v="1"/>
    <x v="170"/>
    <x v="0"/>
    <x v="0"/>
    <x v="1"/>
    <x v="1"/>
    <x v="1"/>
    <x v="2"/>
    <x v="2"/>
    <x v="1"/>
    <x v="1"/>
    <x v="2"/>
    <x v="0"/>
    <x v="1"/>
    <x v="1"/>
    <x v="2"/>
    <x v="426"/>
    <x v="13"/>
    <x v="0"/>
    <x v="0"/>
    <x v="1"/>
    <x v="0"/>
    <x v="0"/>
    <x v="0"/>
    <x v="0"/>
  </r>
  <r>
    <x v="848"/>
    <x v="424"/>
    <x v="421"/>
    <x v="416"/>
    <x v="679"/>
    <x v="3"/>
    <x v="2"/>
    <x v="433"/>
    <x v="333"/>
    <x v="1"/>
    <x v="15"/>
    <x v="0"/>
    <x v="0"/>
    <x v="3"/>
    <x v="1"/>
    <x v="1"/>
    <x v="1"/>
    <x v="2"/>
    <x v="2"/>
    <x v="1"/>
    <x v="2"/>
    <x v="0"/>
    <x v="1"/>
    <x v="3"/>
    <x v="4"/>
    <x v="424"/>
    <x v="3"/>
    <x v="0"/>
    <x v="0"/>
    <x v="1"/>
    <x v="0"/>
    <x v="0"/>
    <x v="0"/>
    <x v="0"/>
  </r>
  <r>
    <x v="849"/>
    <x v="427"/>
    <x v="424"/>
    <x v="419"/>
    <x v="680"/>
    <x v="1"/>
    <x v="2"/>
    <x v="436"/>
    <x v="335"/>
    <x v="1"/>
    <x v="31"/>
    <x v="0"/>
    <x v="0"/>
    <x v="1"/>
    <x v="1"/>
    <x v="1"/>
    <x v="2"/>
    <x v="2"/>
    <x v="2"/>
    <x v="1"/>
    <x v="2"/>
    <x v="0"/>
    <x v="1"/>
    <x v="1"/>
    <x v="2"/>
    <x v="427"/>
    <x v="12"/>
    <x v="0"/>
    <x v="0"/>
    <x v="1"/>
    <x v="0"/>
    <x v="0"/>
    <x v="0"/>
    <x v="0"/>
  </r>
  <r>
    <x v="850"/>
    <x v="115"/>
    <x v="114"/>
    <x v="113"/>
    <x v="681"/>
    <x v="3"/>
    <x v="2"/>
    <x v="120"/>
    <x v="111"/>
    <x v="1"/>
    <x v="4"/>
    <x v="0"/>
    <x v="0"/>
    <x v="1"/>
    <x v="1"/>
    <x v="1"/>
    <x v="2"/>
    <x v="1"/>
    <x v="2"/>
    <x v="1"/>
    <x v="2"/>
    <x v="0"/>
    <x v="2"/>
    <x v="5"/>
    <x v="2"/>
    <x v="114"/>
    <x v="12"/>
    <x v="0"/>
    <x v="0"/>
    <x v="1"/>
    <x v="0"/>
    <x v="0"/>
    <x v="0"/>
    <x v="0"/>
  </r>
  <r>
    <x v="851"/>
    <x v="428"/>
    <x v="425"/>
    <x v="420"/>
    <x v="682"/>
    <x v="3"/>
    <x v="2"/>
    <x v="437"/>
    <x v="324"/>
    <x v="1"/>
    <x v="22"/>
    <x v="0"/>
    <x v="0"/>
    <x v="1"/>
    <x v="1"/>
    <x v="2"/>
    <x v="2"/>
    <x v="2"/>
    <x v="2"/>
    <x v="1"/>
    <x v="1"/>
    <x v="201"/>
    <x v="1"/>
    <x v="1"/>
    <x v="2"/>
    <x v="428"/>
    <x v="3"/>
    <x v="1"/>
    <x v="5"/>
    <x v="2"/>
    <x v="1"/>
    <x v="491"/>
    <x v="0"/>
    <x v="0"/>
  </r>
  <r>
    <x v="852"/>
    <x v="429"/>
    <x v="426"/>
    <x v="421"/>
    <x v="683"/>
    <x v="1"/>
    <x v="2"/>
    <x v="251"/>
    <x v="336"/>
    <x v="1"/>
    <x v="9"/>
    <x v="0"/>
    <x v="0"/>
    <x v="1"/>
    <x v="1"/>
    <x v="1"/>
    <x v="2"/>
    <x v="1"/>
    <x v="2"/>
    <x v="1"/>
    <x v="2"/>
    <x v="0"/>
    <x v="1"/>
    <x v="1"/>
    <x v="2"/>
    <x v="429"/>
    <x v="5"/>
    <x v="0"/>
    <x v="0"/>
    <x v="1"/>
    <x v="0"/>
    <x v="0"/>
    <x v="0"/>
    <x v="0"/>
  </r>
  <r>
    <x v="853"/>
    <x v="385"/>
    <x v="385"/>
    <x v="380"/>
    <x v="0"/>
    <x v="1"/>
    <x v="2"/>
    <x v="400"/>
    <x v="332"/>
    <x v="1"/>
    <x v="3"/>
    <x v="0"/>
    <x v="0"/>
    <x v="3"/>
    <x v="1"/>
    <x v="1"/>
    <x v="2"/>
    <x v="1"/>
    <x v="1"/>
    <x v="1"/>
    <x v="2"/>
    <x v="0"/>
    <x v="2"/>
    <x v="3"/>
    <x v="4"/>
    <x v="388"/>
    <x v="3"/>
    <x v="0"/>
    <x v="0"/>
    <x v="1"/>
    <x v="0"/>
    <x v="0"/>
    <x v="0"/>
    <x v="0"/>
  </r>
  <r>
    <x v="854"/>
    <x v="430"/>
    <x v="427"/>
    <x v="422"/>
    <x v="684"/>
    <x v="1"/>
    <x v="3"/>
    <x v="129"/>
    <x v="30"/>
    <x v="2"/>
    <x v="0"/>
    <x v="2"/>
    <x v="0"/>
    <x v="1"/>
    <x v="3"/>
    <x v="2"/>
    <x v="2"/>
    <x v="1"/>
    <x v="2"/>
    <x v="1"/>
    <x v="1"/>
    <x v="202"/>
    <x v="1"/>
    <x v="1"/>
    <x v="2"/>
    <x v="430"/>
    <x v="5"/>
    <x v="1"/>
    <x v="1"/>
    <x v="1"/>
    <x v="0"/>
    <x v="492"/>
    <x v="0"/>
    <x v="267"/>
  </r>
  <r>
    <x v="855"/>
    <x v="431"/>
    <x v="428"/>
    <x v="423"/>
    <x v="685"/>
    <x v="1"/>
    <x v="2"/>
    <x v="438"/>
    <x v="337"/>
    <x v="2"/>
    <x v="0"/>
    <x v="6"/>
    <x v="0"/>
    <x v="1"/>
    <x v="3"/>
    <x v="2"/>
    <x v="2"/>
    <x v="1"/>
    <x v="2"/>
    <x v="1"/>
    <x v="1"/>
    <x v="203"/>
    <x v="2"/>
    <x v="1"/>
    <x v="2"/>
    <x v="431"/>
    <x v="2"/>
    <x v="1"/>
    <x v="12"/>
    <x v="1"/>
    <x v="0"/>
    <x v="493"/>
    <x v="0"/>
    <x v="0"/>
  </r>
  <r>
    <x v="856"/>
    <x v="432"/>
    <x v="429"/>
    <x v="424"/>
    <x v="686"/>
    <x v="1"/>
    <x v="1"/>
    <x v="439"/>
    <x v="10"/>
    <x v="1"/>
    <x v="138"/>
    <x v="0"/>
    <x v="0"/>
    <x v="1"/>
    <x v="3"/>
    <x v="2"/>
    <x v="1"/>
    <x v="1"/>
    <x v="3"/>
    <x v="1"/>
    <x v="1"/>
    <x v="202"/>
    <x v="1"/>
    <x v="1"/>
    <x v="2"/>
    <x v="432"/>
    <x v="2"/>
    <x v="1"/>
    <x v="2"/>
    <x v="1"/>
    <x v="0"/>
    <x v="494"/>
    <x v="246"/>
    <x v="0"/>
  </r>
  <r>
    <x v="857"/>
    <x v="433"/>
    <x v="430"/>
    <x v="425"/>
    <x v="687"/>
    <x v="1"/>
    <x v="2"/>
    <x v="440"/>
    <x v="10"/>
    <x v="1"/>
    <x v="171"/>
    <x v="0"/>
    <x v="0"/>
    <x v="1"/>
    <x v="5"/>
    <x v="1"/>
    <x v="2"/>
    <x v="1"/>
    <x v="3"/>
    <x v="1"/>
    <x v="1"/>
    <x v="201"/>
    <x v="1"/>
    <x v="1"/>
    <x v="13"/>
    <x v="433"/>
    <x v="5"/>
    <x v="1"/>
    <x v="1"/>
    <x v="1"/>
    <x v="0"/>
    <x v="495"/>
    <x v="247"/>
    <x v="0"/>
  </r>
  <r>
    <x v="858"/>
    <x v="430"/>
    <x v="427"/>
    <x v="422"/>
    <x v="0"/>
    <x v="1"/>
    <x v="3"/>
    <x v="129"/>
    <x v="30"/>
    <x v="2"/>
    <x v="0"/>
    <x v="2"/>
    <x v="0"/>
    <x v="3"/>
    <x v="1"/>
    <x v="1"/>
    <x v="2"/>
    <x v="1"/>
    <x v="2"/>
    <x v="1"/>
    <x v="2"/>
    <x v="0"/>
    <x v="2"/>
    <x v="3"/>
    <x v="4"/>
    <x v="430"/>
    <x v="5"/>
    <x v="0"/>
    <x v="0"/>
    <x v="1"/>
    <x v="0"/>
    <x v="0"/>
    <x v="0"/>
    <x v="0"/>
  </r>
  <r>
    <x v="859"/>
    <x v="432"/>
    <x v="429"/>
    <x v="424"/>
    <x v="0"/>
    <x v="1"/>
    <x v="1"/>
    <x v="439"/>
    <x v="10"/>
    <x v="1"/>
    <x v="138"/>
    <x v="0"/>
    <x v="0"/>
    <x v="3"/>
    <x v="3"/>
    <x v="2"/>
    <x v="2"/>
    <x v="1"/>
    <x v="3"/>
    <x v="1"/>
    <x v="1"/>
    <x v="203"/>
    <x v="2"/>
    <x v="3"/>
    <x v="4"/>
    <x v="432"/>
    <x v="4"/>
    <x v="1"/>
    <x v="1"/>
    <x v="1"/>
    <x v="0"/>
    <x v="496"/>
    <x v="248"/>
    <x v="268"/>
  </r>
  <r>
    <x v="860"/>
    <x v="431"/>
    <x v="428"/>
    <x v="423"/>
    <x v="0"/>
    <x v="1"/>
    <x v="2"/>
    <x v="438"/>
    <x v="310"/>
    <x v="2"/>
    <x v="0"/>
    <x v="6"/>
    <x v="0"/>
    <x v="3"/>
    <x v="1"/>
    <x v="1"/>
    <x v="2"/>
    <x v="1"/>
    <x v="2"/>
    <x v="1"/>
    <x v="2"/>
    <x v="0"/>
    <x v="2"/>
    <x v="3"/>
    <x v="4"/>
    <x v="431"/>
    <x v="13"/>
    <x v="0"/>
    <x v="0"/>
    <x v="1"/>
    <x v="0"/>
    <x v="0"/>
    <x v="0"/>
    <x v="0"/>
  </r>
  <r>
    <x v="861"/>
    <x v="434"/>
    <x v="431"/>
    <x v="426"/>
    <x v="688"/>
    <x v="1"/>
    <x v="2"/>
    <x v="441"/>
    <x v="119"/>
    <x v="1"/>
    <x v="1"/>
    <x v="0"/>
    <x v="0"/>
    <x v="1"/>
    <x v="2"/>
    <x v="5"/>
    <x v="2"/>
    <x v="1"/>
    <x v="2"/>
    <x v="1"/>
    <x v="1"/>
    <x v="203"/>
    <x v="1"/>
    <x v="1"/>
    <x v="13"/>
    <x v="434"/>
    <x v="4"/>
    <x v="1"/>
    <x v="1"/>
    <x v="1"/>
    <x v="0"/>
    <x v="497"/>
    <x v="249"/>
    <x v="0"/>
  </r>
  <r>
    <x v="862"/>
    <x v="435"/>
    <x v="432"/>
    <x v="427"/>
    <x v="689"/>
    <x v="1"/>
    <x v="2"/>
    <x v="442"/>
    <x v="338"/>
    <x v="1"/>
    <x v="2"/>
    <x v="0"/>
    <x v="0"/>
    <x v="1"/>
    <x v="3"/>
    <x v="2"/>
    <x v="1"/>
    <x v="1"/>
    <x v="2"/>
    <x v="1"/>
    <x v="1"/>
    <x v="201"/>
    <x v="1"/>
    <x v="1"/>
    <x v="2"/>
    <x v="435"/>
    <x v="5"/>
    <x v="1"/>
    <x v="1"/>
    <x v="1"/>
    <x v="0"/>
    <x v="498"/>
    <x v="250"/>
    <x v="0"/>
  </r>
  <r>
    <x v="863"/>
    <x v="436"/>
    <x v="410"/>
    <x v="405"/>
    <x v="690"/>
    <x v="1"/>
    <x v="4"/>
    <x v="423"/>
    <x v="326"/>
    <x v="1"/>
    <x v="171"/>
    <x v="0"/>
    <x v="0"/>
    <x v="1"/>
    <x v="3"/>
    <x v="2"/>
    <x v="2"/>
    <x v="1"/>
    <x v="2"/>
    <x v="1"/>
    <x v="1"/>
    <x v="201"/>
    <x v="1"/>
    <x v="1"/>
    <x v="2"/>
    <x v="413"/>
    <x v="5"/>
    <x v="1"/>
    <x v="5"/>
    <x v="2"/>
    <x v="1"/>
    <x v="0"/>
    <x v="0"/>
    <x v="0"/>
  </r>
  <r>
    <x v="864"/>
    <x v="432"/>
    <x v="429"/>
    <x v="424"/>
    <x v="0"/>
    <x v="1"/>
    <x v="1"/>
    <x v="439"/>
    <x v="10"/>
    <x v="1"/>
    <x v="138"/>
    <x v="0"/>
    <x v="0"/>
    <x v="3"/>
    <x v="1"/>
    <x v="1"/>
    <x v="2"/>
    <x v="1"/>
    <x v="3"/>
    <x v="1"/>
    <x v="2"/>
    <x v="0"/>
    <x v="2"/>
    <x v="3"/>
    <x v="4"/>
    <x v="432"/>
    <x v="5"/>
    <x v="0"/>
    <x v="0"/>
    <x v="1"/>
    <x v="0"/>
    <x v="0"/>
    <x v="0"/>
    <x v="0"/>
  </r>
  <r>
    <x v="865"/>
    <x v="437"/>
    <x v="433"/>
    <x v="428"/>
    <x v="691"/>
    <x v="1"/>
    <x v="2"/>
    <x v="443"/>
    <x v="59"/>
    <x v="1"/>
    <x v="15"/>
    <x v="0"/>
    <x v="0"/>
    <x v="1"/>
    <x v="3"/>
    <x v="3"/>
    <x v="2"/>
    <x v="1"/>
    <x v="1"/>
    <x v="1"/>
    <x v="1"/>
    <x v="201"/>
    <x v="1"/>
    <x v="1"/>
    <x v="2"/>
    <x v="436"/>
    <x v="13"/>
    <x v="1"/>
    <x v="1"/>
    <x v="1"/>
    <x v="0"/>
    <x v="499"/>
    <x v="251"/>
    <x v="269"/>
  </r>
  <r>
    <x v="866"/>
    <x v="434"/>
    <x v="431"/>
    <x v="426"/>
    <x v="0"/>
    <x v="1"/>
    <x v="2"/>
    <x v="441"/>
    <x v="119"/>
    <x v="1"/>
    <x v="1"/>
    <x v="0"/>
    <x v="0"/>
    <x v="3"/>
    <x v="4"/>
    <x v="1"/>
    <x v="2"/>
    <x v="1"/>
    <x v="2"/>
    <x v="1"/>
    <x v="2"/>
    <x v="0"/>
    <x v="2"/>
    <x v="3"/>
    <x v="4"/>
    <x v="434"/>
    <x v="5"/>
    <x v="0"/>
    <x v="0"/>
    <x v="1"/>
    <x v="0"/>
    <x v="0"/>
    <x v="0"/>
    <x v="0"/>
  </r>
  <r>
    <x v="867"/>
    <x v="428"/>
    <x v="425"/>
    <x v="420"/>
    <x v="692"/>
    <x v="3"/>
    <x v="2"/>
    <x v="437"/>
    <x v="324"/>
    <x v="1"/>
    <x v="22"/>
    <x v="0"/>
    <x v="0"/>
    <x v="3"/>
    <x v="1"/>
    <x v="1"/>
    <x v="2"/>
    <x v="1"/>
    <x v="2"/>
    <x v="1"/>
    <x v="2"/>
    <x v="0"/>
    <x v="1"/>
    <x v="3"/>
    <x v="4"/>
    <x v="428"/>
    <x v="2"/>
    <x v="0"/>
    <x v="0"/>
    <x v="1"/>
    <x v="0"/>
    <x v="0"/>
    <x v="0"/>
    <x v="0"/>
  </r>
  <r>
    <x v="868"/>
    <x v="438"/>
    <x v="434"/>
    <x v="429"/>
    <x v="693"/>
    <x v="1"/>
    <x v="2"/>
    <x v="444"/>
    <x v="339"/>
    <x v="1"/>
    <x v="33"/>
    <x v="0"/>
    <x v="0"/>
    <x v="1"/>
    <x v="3"/>
    <x v="3"/>
    <x v="2"/>
    <x v="1"/>
    <x v="2"/>
    <x v="1"/>
    <x v="1"/>
    <x v="204"/>
    <x v="1"/>
    <x v="1"/>
    <x v="2"/>
    <x v="437"/>
    <x v="12"/>
    <x v="1"/>
    <x v="1"/>
    <x v="1"/>
    <x v="0"/>
    <x v="500"/>
    <x v="252"/>
    <x v="270"/>
  </r>
  <r>
    <x v="869"/>
    <x v="413"/>
    <x v="410"/>
    <x v="405"/>
    <x v="694"/>
    <x v="1"/>
    <x v="2"/>
    <x v="423"/>
    <x v="326"/>
    <x v="1"/>
    <x v="33"/>
    <x v="0"/>
    <x v="0"/>
    <x v="3"/>
    <x v="1"/>
    <x v="1"/>
    <x v="1"/>
    <x v="1"/>
    <x v="2"/>
    <x v="1"/>
    <x v="1"/>
    <x v="205"/>
    <x v="1"/>
    <x v="3"/>
    <x v="4"/>
    <x v="413"/>
    <x v="2"/>
    <x v="1"/>
    <x v="7"/>
    <x v="1"/>
    <x v="0"/>
    <x v="501"/>
    <x v="0"/>
    <x v="0"/>
  </r>
  <r>
    <x v="870"/>
    <x v="439"/>
    <x v="435"/>
    <x v="430"/>
    <x v="695"/>
    <x v="1"/>
    <x v="2"/>
    <x v="445"/>
    <x v="335"/>
    <x v="1"/>
    <x v="33"/>
    <x v="0"/>
    <x v="0"/>
    <x v="1"/>
    <x v="3"/>
    <x v="3"/>
    <x v="1"/>
    <x v="1"/>
    <x v="2"/>
    <x v="1"/>
    <x v="1"/>
    <x v="205"/>
    <x v="1"/>
    <x v="6"/>
    <x v="2"/>
    <x v="438"/>
    <x v="5"/>
    <x v="3"/>
    <x v="0"/>
    <x v="1"/>
    <x v="0"/>
    <x v="502"/>
    <x v="253"/>
    <x v="271"/>
  </r>
  <r>
    <x v="871"/>
    <x v="433"/>
    <x v="430"/>
    <x v="425"/>
    <x v="0"/>
    <x v="1"/>
    <x v="2"/>
    <x v="440"/>
    <x v="10"/>
    <x v="1"/>
    <x v="172"/>
    <x v="0"/>
    <x v="0"/>
    <x v="3"/>
    <x v="1"/>
    <x v="1"/>
    <x v="2"/>
    <x v="1"/>
    <x v="2"/>
    <x v="1"/>
    <x v="1"/>
    <x v="205"/>
    <x v="2"/>
    <x v="3"/>
    <x v="4"/>
    <x v="433"/>
    <x v="5"/>
    <x v="1"/>
    <x v="7"/>
    <x v="1"/>
    <x v="0"/>
    <x v="503"/>
    <x v="0"/>
    <x v="272"/>
  </r>
  <r>
    <x v="872"/>
    <x v="435"/>
    <x v="432"/>
    <x v="427"/>
    <x v="0"/>
    <x v="1"/>
    <x v="2"/>
    <x v="442"/>
    <x v="338"/>
    <x v="1"/>
    <x v="2"/>
    <x v="0"/>
    <x v="0"/>
    <x v="3"/>
    <x v="1"/>
    <x v="1"/>
    <x v="2"/>
    <x v="1"/>
    <x v="2"/>
    <x v="1"/>
    <x v="2"/>
    <x v="0"/>
    <x v="2"/>
    <x v="3"/>
    <x v="4"/>
    <x v="435"/>
    <x v="5"/>
    <x v="0"/>
    <x v="0"/>
    <x v="1"/>
    <x v="0"/>
    <x v="0"/>
    <x v="0"/>
    <x v="0"/>
  </r>
  <r>
    <x v="873"/>
    <x v="437"/>
    <x v="433"/>
    <x v="428"/>
    <x v="0"/>
    <x v="1"/>
    <x v="2"/>
    <x v="443"/>
    <x v="10"/>
    <x v="1"/>
    <x v="15"/>
    <x v="0"/>
    <x v="0"/>
    <x v="3"/>
    <x v="1"/>
    <x v="1"/>
    <x v="2"/>
    <x v="1"/>
    <x v="2"/>
    <x v="1"/>
    <x v="2"/>
    <x v="0"/>
    <x v="2"/>
    <x v="3"/>
    <x v="4"/>
    <x v="436"/>
    <x v="5"/>
    <x v="0"/>
    <x v="0"/>
    <x v="1"/>
    <x v="0"/>
    <x v="0"/>
    <x v="0"/>
    <x v="0"/>
  </r>
  <r>
    <x v="874"/>
    <x v="438"/>
    <x v="434"/>
    <x v="429"/>
    <x v="0"/>
    <x v="1"/>
    <x v="2"/>
    <x v="444"/>
    <x v="339"/>
    <x v="1"/>
    <x v="33"/>
    <x v="0"/>
    <x v="0"/>
    <x v="3"/>
    <x v="1"/>
    <x v="1"/>
    <x v="2"/>
    <x v="1"/>
    <x v="2"/>
    <x v="1"/>
    <x v="1"/>
    <x v="206"/>
    <x v="2"/>
    <x v="3"/>
    <x v="4"/>
    <x v="437"/>
    <x v="5"/>
    <x v="3"/>
    <x v="0"/>
    <x v="1"/>
    <x v="0"/>
    <x v="504"/>
    <x v="254"/>
    <x v="0"/>
  </r>
  <r>
    <x v="875"/>
    <x v="440"/>
    <x v="436"/>
    <x v="431"/>
    <x v="696"/>
    <x v="1"/>
    <x v="1"/>
    <x v="446"/>
    <x v="340"/>
    <x v="1"/>
    <x v="33"/>
    <x v="0"/>
    <x v="0"/>
    <x v="1"/>
    <x v="3"/>
    <x v="3"/>
    <x v="2"/>
    <x v="1"/>
    <x v="2"/>
    <x v="1"/>
    <x v="1"/>
    <x v="206"/>
    <x v="1"/>
    <x v="4"/>
    <x v="2"/>
    <x v="439"/>
    <x v="12"/>
    <x v="1"/>
    <x v="3"/>
    <x v="2"/>
    <x v="1"/>
    <x v="505"/>
    <x v="255"/>
    <x v="0"/>
  </r>
  <r>
    <x v="876"/>
    <x v="441"/>
    <x v="437"/>
    <x v="432"/>
    <x v="697"/>
    <x v="1"/>
    <x v="3"/>
    <x v="447"/>
    <x v="310"/>
    <x v="1"/>
    <x v="173"/>
    <x v="0"/>
    <x v="0"/>
    <x v="1"/>
    <x v="1"/>
    <x v="1"/>
    <x v="2"/>
    <x v="1"/>
    <x v="2"/>
    <x v="1"/>
    <x v="1"/>
    <x v="207"/>
    <x v="1"/>
    <x v="5"/>
    <x v="2"/>
    <x v="440"/>
    <x v="12"/>
    <x v="2"/>
    <x v="0"/>
    <x v="1"/>
    <x v="0"/>
    <x v="506"/>
    <x v="256"/>
    <x v="273"/>
  </r>
  <r>
    <x v="877"/>
    <x v="413"/>
    <x v="410"/>
    <x v="405"/>
    <x v="0"/>
    <x v="1"/>
    <x v="4"/>
    <x v="423"/>
    <x v="326"/>
    <x v="1"/>
    <x v="33"/>
    <x v="0"/>
    <x v="0"/>
    <x v="3"/>
    <x v="1"/>
    <x v="1"/>
    <x v="2"/>
    <x v="1"/>
    <x v="2"/>
    <x v="1"/>
    <x v="2"/>
    <x v="0"/>
    <x v="2"/>
    <x v="3"/>
    <x v="4"/>
    <x v="413"/>
    <x v="12"/>
    <x v="0"/>
    <x v="0"/>
    <x v="1"/>
    <x v="0"/>
    <x v="0"/>
    <x v="0"/>
    <x v="0"/>
  </r>
  <r>
    <x v="878"/>
    <x v="433"/>
    <x v="430"/>
    <x v="425"/>
    <x v="0"/>
    <x v="1"/>
    <x v="2"/>
    <x v="440"/>
    <x v="341"/>
    <x v="1"/>
    <x v="33"/>
    <x v="0"/>
    <x v="0"/>
    <x v="3"/>
    <x v="1"/>
    <x v="1"/>
    <x v="2"/>
    <x v="1"/>
    <x v="2"/>
    <x v="1"/>
    <x v="2"/>
    <x v="0"/>
    <x v="2"/>
    <x v="3"/>
    <x v="4"/>
    <x v="433"/>
    <x v="12"/>
    <x v="0"/>
    <x v="0"/>
    <x v="1"/>
    <x v="0"/>
    <x v="0"/>
    <x v="0"/>
    <x v="0"/>
  </r>
  <r>
    <x v="879"/>
    <x v="442"/>
    <x v="438"/>
    <x v="433"/>
    <x v="698"/>
    <x v="1"/>
    <x v="2"/>
    <x v="448"/>
    <x v="342"/>
    <x v="1"/>
    <x v="174"/>
    <x v="0"/>
    <x v="0"/>
    <x v="1"/>
    <x v="1"/>
    <x v="1"/>
    <x v="2"/>
    <x v="1"/>
    <x v="2"/>
    <x v="1"/>
    <x v="2"/>
    <x v="0"/>
    <x v="1"/>
    <x v="6"/>
    <x v="2"/>
    <x v="441"/>
    <x v="12"/>
    <x v="0"/>
    <x v="0"/>
    <x v="1"/>
    <x v="0"/>
    <x v="0"/>
    <x v="0"/>
    <x v="0"/>
  </r>
  <r>
    <x v="880"/>
    <x v="443"/>
    <x v="439"/>
    <x v="434"/>
    <x v="699"/>
    <x v="1"/>
    <x v="1"/>
    <x v="449"/>
    <x v="198"/>
    <x v="2"/>
    <x v="0"/>
    <x v="2"/>
    <x v="0"/>
    <x v="1"/>
    <x v="3"/>
    <x v="3"/>
    <x v="2"/>
    <x v="1"/>
    <x v="2"/>
    <x v="1"/>
    <x v="1"/>
    <x v="208"/>
    <x v="1"/>
    <x v="2"/>
    <x v="2"/>
    <x v="442"/>
    <x v="12"/>
    <x v="1"/>
    <x v="1"/>
    <x v="1"/>
    <x v="0"/>
    <x v="507"/>
    <x v="257"/>
    <x v="0"/>
  </r>
  <r>
    <x v="881"/>
    <x v="444"/>
    <x v="440"/>
    <x v="435"/>
    <x v="700"/>
    <x v="1"/>
    <x v="2"/>
    <x v="450"/>
    <x v="10"/>
    <x v="1"/>
    <x v="15"/>
    <x v="0"/>
    <x v="0"/>
    <x v="1"/>
    <x v="2"/>
    <x v="3"/>
    <x v="2"/>
    <x v="1"/>
    <x v="1"/>
    <x v="1"/>
    <x v="1"/>
    <x v="208"/>
    <x v="1"/>
    <x v="1"/>
    <x v="2"/>
    <x v="443"/>
    <x v="3"/>
    <x v="1"/>
    <x v="1"/>
    <x v="1"/>
    <x v="0"/>
    <x v="508"/>
    <x v="258"/>
    <x v="0"/>
  </r>
  <r>
    <x v="882"/>
    <x v="445"/>
    <x v="441"/>
    <x v="436"/>
    <x v="701"/>
    <x v="1"/>
    <x v="2"/>
    <x v="451"/>
    <x v="324"/>
    <x v="1"/>
    <x v="8"/>
    <x v="0"/>
    <x v="0"/>
    <x v="1"/>
    <x v="1"/>
    <x v="1"/>
    <x v="1"/>
    <x v="1"/>
    <x v="3"/>
    <x v="1"/>
    <x v="1"/>
    <x v="209"/>
    <x v="1"/>
    <x v="1"/>
    <x v="2"/>
    <x v="444"/>
    <x v="3"/>
    <x v="3"/>
    <x v="0"/>
    <x v="1"/>
    <x v="0"/>
    <x v="509"/>
    <x v="259"/>
    <x v="0"/>
  </r>
  <r>
    <x v="883"/>
    <x v="446"/>
    <x v="442"/>
    <x v="437"/>
    <x v="702"/>
    <x v="1"/>
    <x v="2"/>
    <x v="452"/>
    <x v="343"/>
    <x v="1"/>
    <x v="22"/>
    <x v="0"/>
    <x v="0"/>
    <x v="1"/>
    <x v="1"/>
    <x v="1"/>
    <x v="2"/>
    <x v="1"/>
    <x v="2"/>
    <x v="1"/>
    <x v="1"/>
    <x v="206"/>
    <x v="1"/>
    <x v="1"/>
    <x v="2"/>
    <x v="445"/>
    <x v="4"/>
    <x v="1"/>
    <x v="3"/>
    <x v="2"/>
    <x v="1"/>
    <x v="510"/>
    <x v="0"/>
    <x v="274"/>
  </r>
  <r>
    <x v="884"/>
    <x v="141"/>
    <x v="141"/>
    <x v="139"/>
    <x v="703"/>
    <x v="1"/>
    <x v="1"/>
    <x v="145"/>
    <x v="125"/>
    <x v="1"/>
    <x v="15"/>
    <x v="0"/>
    <x v="0"/>
    <x v="1"/>
    <x v="1"/>
    <x v="1"/>
    <x v="2"/>
    <x v="1"/>
    <x v="2"/>
    <x v="1"/>
    <x v="1"/>
    <x v="206"/>
    <x v="1"/>
    <x v="1"/>
    <x v="2"/>
    <x v="140"/>
    <x v="4"/>
    <x v="1"/>
    <x v="7"/>
    <x v="2"/>
    <x v="1"/>
    <x v="511"/>
    <x v="260"/>
    <x v="0"/>
  </r>
  <r>
    <x v="885"/>
    <x v="440"/>
    <x v="436"/>
    <x v="431"/>
    <x v="704"/>
    <x v="1"/>
    <x v="1"/>
    <x v="446"/>
    <x v="340"/>
    <x v="1"/>
    <x v="33"/>
    <x v="0"/>
    <x v="0"/>
    <x v="3"/>
    <x v="1"/>
    <x v="1"/>
    <x v="2"/>
    <x v="1"/>
    <x v="2"/>
    <x v="1"/>
    <x v="1"/>
    <x v="209"/>
    <x v="1"/>
    <x v="3"/>
    <x v="4"/>
    <x v="439"/>
    <x v="3"/>
    <x v="3"/>
    <x v="0"/>
    <x v="1"/>
    <x v="0"/>
    <x v="512"/>
    <x v="261"/>
    <x v="0"/>
  </r>
  <r>
    <x v="886"/>
    <x v="446"/>
    <x v="442"/>
    <x v="437"/>
    <x v="705"/>
    <x v="1"/>
    <x v="1"/>
    <x v="452"/>
    <x v="343"/>
    <x v="1"/>
    <x v="22"/>
    <x v="0"/>
    <x v="0"/>
    <x v="3"/>
    <x v="2"/>
    <x v="3"/>
    <x v="2"/>
    <x v="1"/>
    <x v="2"/>
    <x v="1"/>
    <x v="1"/>
    <x v="209"/>
    <x v="2"/>
    <x v="3"/>
    <x v="4"/>
    <x v="445"/>
    <x v="3"/>
    <x v="1"/>
    <x v="7"/>
    <x v="2"/>
    <x v="1"/>
    <x v="513"/>
    <x v="0"/>
    <x v="0"/>
  </r>
  <r>
    <x v="887"/>
    <x v="414"/>
    <x v="411"/>
    <x v="406"/>
    <x v="706"/>
    <x v="1"/>
    <x v="2"/>
    <x v="424"/>
    <x v="198"/>
    <x v="1"/>
    <x v="15"/>
    <x v="0"/>
    <x v="0"/>
    <x v="1"/>
    <x v="2"/>
    <x v="3"/>
    <x v="2"/>
    <x v="1"/>
    <x v="2"/>
    <x v="1"/>
    <x v="1"/>
    <x v="208"/>
    <x v="1"/>
    <x v="5"/>
    <x v="3"/>
    <x v="414"/>
    <x v="3"/>
    <x v="3"/>
    <x v="0"/>
    <x v="1"/>
    <x v="0"/>
    <x v="514"/>
    <x v="0"/>
    <x v="0"/>
  </r>
  <r>
    <x v="888"/>
    <x v="141"/>
    <x v="141"/>
    <x v="139"/>
    <x v="707"/>
    <x v="1"/>
    <x v="1"/>
    <x v="145"/>
    <x v="125"/>
    <x v="2"/>
    <x v="0"/>
    <x v="2"/>
    <x v="0"/>
    <x v="3"/>
    <x v="1"/>
    <x v="1"/>
    <x v="2"/>
    <x v="1"/>
    <x v="2"/>
    <x v="1"/>
    <x v="2"/>
    <x v="0"/>
    <x v="1"/>
    <x v="3"/>
    <x v="4"/>
    <x v="140"/>
    <x v="12"/>
    <x v="0"/>
    <x v="0"/>
    <x v="1"/>
    <x v="0"/>
    <x v="0"/>
    <x v="0"/>
    <x v="0"/>
  </r>
  <r>
    <x v="889"/>
    <x v="447"/>
    <x v="443"/>
    <x v="438"/>
    <x v="708"/>
    <x v="1"/>
    <x v="2"/>
    <x v="453"/>
    <x v="235"/>
    <x v="1"/>
    <x v="33"/>
    <x v="0"/>
    <x v="0"/>
    <x v="1"/>
    <x v="3"/>
    <x v="2"/>
    <x v="2"/>
    <x v="1"/>
    <x v="1"/>
    <x v="1"/>
    <x v="1"/>
    <x v="209"/>
    <x v="1"/>
    <x v="1"/>
    <x v="2"/>
    <x v="446"/>
    <x v="13"/>
    <x v="1"/>
    <x v="7"/>
    <x v="1"/>
    <x v="0"/>
    <x v="515"/>
    <x v="0"/>
    <x v="275"/>
  </r>
  <r>
    <x v="890"/>
    <x v="413"/>
    <x v="410"/>
    <x v="405"/>
    <x v="709"/>
    <x v="1"/>
    <x v="2"/>
    <x v="423"/>
    <x v="344"/>
    <x v="1"/>
    <x v="175"/>
    <x v="0"/>
    <x v="0"/>
    <x v="1"/>
    <x v="1"/>
    <x v="1"/>
    <x v="2"/>
    <x v="1"/>
    <x v="2"/>
    <x v="1"/>
    <x v="2"/>
    <x v="0"/>
    <x v="1"/>
    <x v="1"/>
    <x v="2"/>
    <x v="413"/>
    <x v="2"/>
    <x v="0"/>
    <x v="0"/>
    <x v="1"/>
    <x v="0"/>
    <x v="0"/>
    <x v="0"/>
    <x v="0"/>
  </r>
  <r>
    <x v="891"/>
    <x v="448"/>
    <x v="444"/>
    <x v="439"/>
    <x v="710"/>
    <x v="1"/>
    <x v="2"/>
    <x v="454"/>
    <x v="283"/>
    <x v="1"/>
    <x v="138"/>
    <x v="0"/>
    <x v="0"/>
    <x v="1"/>
    <x v="3"/>
    <x v="3"/>
    <x v="2"/>
    <x v="1"/>
    <x v="2"/>
    <x v="1"/>
    <x v="1"/>
    <x v="209"/>
    <x v="1"/>
    <x v="1"/>
    <x v="2"/>
    <x v="447"/>
    <x v="5"/>
    <x v="1"/>
    <x v="2"/>
    <x v="1"/>
    <x v="0"/>
    <x v="516"/>
    <x v="0"/>
    <x v="0"/>
  </r>
  <r>
    <x v="892"/>
    <x v="449"/>
    <x v="445"/>
    <x v="440"/>
    <x v="711"/>
    <x v="1"/>
    <x v="2"/>
    <x v="455"/>
    <x v="345"/>
    <x v="1"/>
    <x v="22"/>
    <x v="0"/>
    <x v="0"/>
    <x v="1"/>
    <x v="3"/>
    <x v="2"/>
    <x v="2"/>
    <x v="1"/>
    <x v="1"/>
    <x v="1"/>
    <x v="1"/>
    <x v="209"/>
    <x v="1"/>
    <x v="1"/>
    <x v="2"/>
    <x v="448"/>
    <x v="13"/>
    <x v="1"/>
    <x v="7"/>
    <x v="1"/>
    <x v="0"/>
    <x v="517"/>
    <x v="0"/>
    <x v="276"/>
  </r>
  <r>
    <x v="893"/>
    <x v="444"/>
    <x v="440"/>
    <x v="435"/>
    <x v="0"/>
    <x v="1"/>
    <x v="2"/>
    <x v="450"/>
    <x v="10"/>
    <x v="1"/>
    <x v="15"/>
    <x v="0"/>
    <x v="0"/>
    <x v="3"/>
    <x v="5"/>
    <x v="1"/>
    <x v="2"/>
    <x v="1"/>
    <x v="2"/>
    <x v="1"/>
    <x v="2"/>
    <x v="0"/>
    <x v="2"/>
    <x v="3"/>
    <x v="4"/>
    <x v="443"/>
    <x v="5"/>
    <x v="0"/>
    <x v="0"/>
    <x v="1"/>
    <x v="0"/>
    <x v="0"/>
    <x v="0"/>
    <x v="0"/>
  </r>
  <r>
    <x v="894"/>
    <x v="443"/>
    <x v="439"/>
    <x v="434"/>
    <x v="0"/>
    <x v="1"/>
    <x v="1"/>
    <x v="449"/>
    <x v="198"/>
    <x v="2"/>
    <x v="0"/>
    <x v="2"/>
    <x v="0"/>
    <x v="3"/>
    <x v="4"/>
    <x v="1"/>
    <x v="2"/>
    <x v="1"/>
    <x v="2"/>
    <x v="1"/>
    <x v="2"/>
    <x v="0"/>
    <x v="2"/>
    <x v="3"/>
    <x v="4"/>
    <x v="442"/>
    <x v="5"/>
    <x v="0"/>
    <x v="0"/>
    <x v="1"/>
    <x v="0"/>
    <x v="0"/>
    <x v="0"/>
    <x v="0"/>
  </r>
  <r>
    <x v="895"/>
    <x v="450"/>
    <x v="446"/>
    <x v="441"/>
    <x v="712"/>
    <x v="1"/>
    <x v="1"/>
    <x v="456"/>
    <x v="76"/>
    <x v="1"/>
    <x v="33"/>
    <x v="0"/>
    <x v="0"/>
    <x v="1"/>
    <x v="3"/>
    <x v="3"/>
    <x v="2"/>
    <x v="1"/>
    <x v="2"/>
    <x v="1"/>
    <x v="1"/>
    <x v="209"/>
    <x v="1"/>
    <x v="5"/>
    <x v="2"/>
    <x v="449"/>
    <x v="5"/>
    <x v="1"/>
    <x v="7"/>
    <x v="1"/>
    <x v="0"/>
    <x v="518"/>
    <x v="262"/>
    <x v="0"/>
  </r>
  <r>
    <x v="896"/>
    <x v="141"/>
    <x v="141"/>
    <x v="139"/>
    <x v="713"/>
    <x v="1"/>
    <x v="1"/>
    <x v="145"/>
    <x v="125"/>
    <x v="2"/>
    <x v="0"/>
    <x v="5"/>
    <x v="0"/>
    <x v="1"/>
    <x v="2"/>
    <x v="3"/>
    <x v="2"/>
    <x v="1"/>
    <x v="2"/>
    <x v="1"/>
    <x v="1"/>
    <x v="209"/>
    <x v="1"/>
    <x v="5"/>
    <x v="2"/>
    <x v="140"/>
    <x v="5"/>
    <x v="3"/>
    <x v="0"/>
    <x v="1"/>
    <x v="0"/>
    <x v="519"/>
    <x v="263"/>
    <x v="0"/>
  </r>
  <r>
    <x v="897"/>
    <x v="448"/>
    <x v="444"/>
    <x v="439"/>
    <x v="0"/>
    <x v="1"/>
    <x v="2"/>
    <x v="454"/>
    <x v="283"/>
    <x v="1"/>
    <x v="138"/>
    <x v="0"/>
    <x v="0"/>
    <x v="3"/>
    <x v="1"/>
    <x v="1"/>
    <x v="2"/>
    <x v="1"/>
    <x v="2"/>
    <x v="1"/>
    <x v="1"/>
    <x v="210"/>
    <x v="2"/>
    <x v="3"/>
    <x v="4"/>
    <x v="447"/>
    <x v="4"/>
    <x v="3"/>
    <x v="0"/>
    <x v="1"/>
    <x v="0"/>
    <x v="520"/>
    <x v="264"/>
    <x v="0"/>
  </r>
  <r>
    <x v="898"/>
    <x v="447"/>
    <x v="443"/>
    <x v="438"/>
    <x v="714"/>
    <x v="1"/>
    <x v="2"/>
    <x v="453"/>
    <x v="346"/>
    <x v="1"/>
    <x v="33"/>
    <x v="0"/>
    <x v="0"/>
    <x v="1"/>
    <x v="3"/>
    <x v="2"/>
    <x v="1"/>
    <x v="1"/>
    <x v="2"/>
    <x v="1"/>
    <x v="1"/>
    <x v="211"/>
    <x v="1"/>
    <x v="2"/>
    <x v="2"/>
    <x v="446"/>
    <x v="12"/>
    <x v="3"/>
    <x v="0"/>
    <x v="1"/>
    <x v="0"/>
    <x v="521"/>
    <x v="0"/>
    <x v="0"/>
  </r>
  <r>
    <x v="899"/>
    <x v="446"/>
    <x v="442"/>
    <x v="437"/>
    <x v="715"/>
    <x v="1"/>
    <x v="2"/>
    <x v="452"/>
    <x v="347"/>
    <x v="1"/>
    <x v="22"/>
    <x v="0"/>
    <x v="0"/>
    <x v="3"/>
    <x v="1"/>
    <x v="1"/>
    <x v="2"/>
    <x v="1"/>
    <x v="2"/>
    <x v="1"/>
    <x v="2"/>
    <x v="0"/>
    <x v="1"/>
    <x v="3"/>
    <x v="4"/>
    <x v="445"/>
    <x v="12"/>
    <x v="0"/>
    <x v="0"/>
    <x v="1"/>
    <x v="0"/>
    <x v="0"/>
    <x v="0"/>
    <x v="0"/>
  </r>
  <r>
    <x v="900"/>
    <x v="451"/>
    <x v="447"/>
    <x v="442"/>
    <x v="716"/>
    <x v="1"/>
    <x v="2"/>
    <x v="457"/>
    <x v="348"/>
    <x v="1"/>
    <x v="70"/>
    <x v="0"/>
    <x v="0"/>
    <x v="1"/>
    <x v="3"/>
    <x v="2"/>
    <x v="2"/>
    <x v="1"/>
    <x v="3"/>
    <x v="1"/>
    <x v="1"/>
    <x v="211"/>
    <x v="1"/>
    <x v="1"/>
    <x v="2"/>
    <x v="450"/>
    <x v="2"/>
    <x v="1"/>
    <x v="2"/>
    <x v="2"/>
    <x v="1"/>
    <x v="522"/>
    <x v="0"/>
    <x v="0"/>
  </r>
  <r>
    <x v="901"/>
    <x v="449"/>
    <x v="445"/>
    <x v="440"/>
    <x v="0"/>
    <x v="1"/>
    <x v="2"/>
    <x v="119"/>
    <x v="345"/>
    <x v="1"/>
    <x v="22"/>
    <x v="0"/>
    <x v="0"/>
    <x v="3"/>
    <x v="5"/>
    <x v="1"/>
    <x v="2"/>
    <x v="1"/>
    <x v="2"/>
    <x v="1"/>
    <x v="2"/>
    <x v="0"/>
    <x v="2"/>
    <x v="3"/>
    <x v="4"/>
    <x v="448"/>
    <x v="12"/>
    <x v="0"/>
    <x v="0"/>
    <x v="1"/>
    <x v="0"/>
    <x v="0"/>
    <x v="0"/>
    <x v="0"/>
  </r>
  <r>
    <x v="902"/>
    <x v="450"/>
    <x v="448"/>
    <x v="441"/>
    <x v="0"/>
    <x v="1"/>
    <x v="1"/>
    <x v="456"/>
    <x v="76"/>
    <x v="1"/>
    <x v="33"/>
    <x v="0"/>
    <x v="0"/>
    <x v="3"/>
    <x v="1"/>
    <x v="1"/>
    <x v="2"/>
    <x v="1"/>
    <x v="2"/>
    <x v="1"/>
    <x v="1"/>
    <x v="211"/>
    <x v="2"/>
    <x v="3"/>
    <x v="4"/>
    <x v="449"/>
    <x v="12"/>
    <x v="3"/>
    <x v="0"/>
    <x v="1"/>
    <x v="0"/>
    <x v="523"/>
    <x v="0"/>
    <x v="0"/>
  </r>
  <r>
    <x v="903"/>
    <x v="452"/>
    <x v="449"/>
    <x v="443"/>
    <x v="717"/>
    <x v="1"/>
    <x v="2"/>
    <x v="458"/>
    <x v="349"/>
    <x v="1"/>
    <x v="9"/>
    <x v="0"/>
    <x v="0"/>
    <x v="1"/>
    <x v="1"/>
    <x v="1"/>
    <x v="1"/>
    <x v="1"/>
    <x v="2"/>
    <x v="1"/>
    <x v="1"/>
    <x v="210"/>
    <x v="1"/>
    <x v="5"/>
    <x v="2"/>
    <x v="451"/>
    <x v="12"/>
    <x v="1"/>
    <x v="5"/>
    <x v="2"/>
    <x v="1"/>
    <x v="524"/>
    <x v="0"/>
    <x v="277"/>
  </r>
  <r>
    <x v="904"/>
    <x v="453"/>
    <x v="450"/>
    <x v="444"/>
    <x v="718"/>
    <x v="1"/>
    <x v="2"/>
    <x v="459"/>
    <x v="191"/>
    <x v="1"/>
    <x v="3"/>
    <x v="0"/>
    <x v="0"/>
    <x v="1"/>
    <x v="3"/>
    <x v="2"/>
    <x v="2"/>
    <x v="1"/>
    <x v="2"/>
    <x v="2"/>
    <x v="1"/>
    <x v="210"/>
    <x v="1"/>
    <x v="1"/>
    <x v="2"/>
    <x v="452"/>
    <x v="13"/>
    <x v="3"/>
    <x v="0"/>
    <x v="1"/>
    <x v="0"/>
    <x v="525"/>
    <x v="265"/>
    <x v="0"/>
  </r>
  <r>
    <x v="905"/>
    <x v="454"/>
    <x v="451"/>
    <x v="445"/>
    <x v="719"/>
    <x v="1"/>
    <x v="2"/>
    <x v="460"/>
    <x v="350"/>
    <x v="1"/>
    <x v="15"/>
    <x v="0"/>
    <x v="0"/>
    <x v="1"/>
    <x v="1"/>
    <x v="2"/>
    <x v="1"/>
    <x v="1"/>
    <x v="2"/>
    <x v="1"/>
    <x v="1"/>
    <x v="210"/>
    <x v="1"/>
    <x v="1"/>
    <x v="2"/>
    <x v="453"/>
    <x v="4"/>
    <x v="1"/>
    <x v="7"/>
    <x v="1"/>
    <x v="0"/>
    <x v="526"/>
    <x v="0"/>
    <x v="0"/>
  </r>
  <r>
    <x v="906"/>
    <x v="451"/>
    <x v="447"/>
    <x v="442"/>
    <x v="720"/>
    <x v="1"/>
    <x v="2"/>
    <x v="457"/>
    <x v="351"/>
    <x v="1"/>
    <x v="70"/>
    <x v="0"/>
    <x v="0"/>
    <x v="3"/>
    <x v="1"/>
    <x v="1"/>
    <x v="1"/>
    <x v="1"/>
    <x v="3"/>
    <x v="1"/>
    <x v="1"/>
    <x v="212"/>
    <x v="2"/>
    <x v="3"/>
    <x v="4"/>
    <x v="450"/>
    <x v="4"/>
    <x v="1"/>
    <x v="0"/>
    <x v="2"/>
    <x v="1"/>
    <x v="527"/>
    <x v="0"/>
    <x v="0"/>
  </r>
  <r>
    <x v="907"/>
    <x v="455"/>
    <x v="452"/>
    <x v="446"/>
    <x v="721"/>
    <x v="1"/>
    <x v="2"/>
    <x v="461"/>
    <x v="352"/>
    <x v="1"/>
    <x v="31"/>
    <x v="0"/>
    <x v="0"/>
    <x v="1"/>
    <x v="3"/>
    <x v="3"/>
    <x v="2"/>
    <x v="1"/>
    <x v="1"/>
    <x v="1"/>
    <x v="1"/>
    <x v="210"/>
    <x v="1"/>
    <x v="1"/>
    <x v="2"/>
    <x v="454"/>
    <x v="13"/>
    <x v="1"/>
    <x v="7"/>
    <x v="2"/>
    <x v="1"/>
    <x v="528"/>
    <x v="0"/>
    <x v="278"/>
  </r>
  <r>
    <x v="908"/>
    <x v="456"/>
    <x v="453"/>
    <x v="447"/>
    <x v="722"/>
    <x v="1"/>
    <x v="2"/>
    <x v="462"/>
    <x v="353"/>
    <x v="1"/>
    <x v="117"/>
    <x v="0"/>
    <x v="0"/>
    <x v="1"/>
    <x v="1"/>
    <x v="2"/>
    <x v="2"/>
    <x v="2"/>
    <x v="1"/>
    <x v="1"/>
    <x v="1"/>
    <x v="213"/>
    <x v="1"/>
    <x v="1"/>
    <x v="2"/>
    <x v="455"/>
    <x v="3"/>
    <x v="3"/>
    <x v="0"/>
    <x v="1"/>
    <x v="0"/>
    <x v="529"/>
    <x v="266"/>
    <x v="0"/>
  </r>
  <r>
    <x v="909"/>
    <x v="451"/>
    <x v="447"/>
    <x v="442"/>
    <x v="723"/>
    <x v="1"/>
    <x v="2"/>
    <x v="457"/>
    <x v="351"/>
    <x v="1"/>
    <x v="138"/>
    <x v="0"/>
    <x v="0"/>
    <x v="1"/>
    <x v="2"/>
    <x v="3"/>
    <x v="2"/>
    <x v="1"/>
    <x v="2"/>
    <x v="1"/>
    <x v="1"/>
    <x v="210"/>
    <x v="1"/>
    <x v="1"/>
    <x v="2"/>
    <x v="450"/>
    <x v="3"/>
    <x v="1"/>
    <x v="7"/>
    <x v="2"/>
    <x v="1"/>
    <x v="530"/>
    <x v="0"/>
    <x v="0"/>
  </r>
  <r>
    <x v="910"/>
    <x v="452"/>
    <x v="449"/>
    <x v="443"/>
    <x v="724"/>
    <x v="1"/>
    <x v="2"/>
    <x v="458"/>
    <x v="349"/>
    <x v="1"/>
    <x v="9"/>
    <x v="0"/>
    <x v="0"/>
    <x v="3"/>
    <x v="1"/>
    <x v="1"/>
    <x v="1"/>
    <x v="1"/>
    <x v="2"/>
    <x v="1"/>
    <x v="2"/>
    <x v="0"/>
    <x v="1"/>
    <x v="3"/>
    <x v="4"/>
    <x v="451"/>
    <x v="2"/>
    <x v="0"/>
    <x v="0"/>
    <x v="1"/>
    <x v="0"/>
    <x v="0"/>
    <x v="0"/>
    <x v="0"/>
  </r>
  <r>
    <x v="911"/>
    <x v="415"/>
    <x v="412"/>
    <x v="407"/>
    <x v="725"/>
    <x v="1"/>
    <x v="2"/>
    <x v="425"/>
    <x v="327"/>
    <x v="1"/>
    <x v="33"/>
    <x v="0"/>
    <x v="0"/>
    <x v="1"/>
    <x v="3"/>
    <x v="3"/>
    <x v="1"/>
    <x v="1"/>
    <x v="2"/>
    <x v="1"/>
    <x v="1"/>
    <x v="213"/>
    <x v="1"/>
    <x v="5"/>
    <x v="2"/>
    <x v="415"/>
    <x v="2"/>
    <x v="1"/>
    <x v="2"/>
    <x v="1"/>
    <x v="0"/>
    <x v="531"/>
    <x v="0"/>
    <x v="0"/>
  </r>
  <r>
    <x v="912"/>
    <x v="457"/>
    <x v="451"/>
    <x v="445"/>
    <x v="0"/>
    <x v="1"/>
    <x v="2"/>
    <x v="460"/>
    <x v="354"/>
    <x v="2"/>
    <x v="0"/>
    <x v="2"/>
    <x v="0"/>
    <x v="3"/>
    <x v="4"/>
    <x v="1"/>
    <x v="2"/>
    <x v="1"/>
    <x v="2"/>
    <x v="1"/>
    <x v="2"/>
    <x v="0"/>
    <x v="2"/>
    <x v="3"/>
    <x v="4"/>
    <x v="453"/>
    <x v="12"/>
    <x v="0"/>
    <x v="0"/>
    <x v="1"/>
    <x v="0"/>
    <x v="0"/>
    <x v="0"/>
    <x v="0"/>
  </r>
  <r>
    <x v="913"/>
    <x v="451"/>
    <x v="447"/>
    <x v="442"/>
    <x v="726"/>
    <x v="1"/>
    <x v="2"/>
    <x v="457"/>
    <x v="355"/>
    <x v="1"/>
    <x v="138"/>
    <x v="0"/>
    <x v="0"/>
    <x v="3"/>
    <x v="1"/>
    <x v="1"/>
    <x v="1"/>
    <x v="1"/>
    <x v="2"/>
    <x v="1"/>
    <x v="2"/>
    <x v="0"/>
    <x v="1"/>
    <x v="3"/>
    <x v="4"/>
    <x v="450"/>
    <x v="12"/>
    <x v="0"/>
    <x v="0"/>
    <x v="1"/>
    <x v="0"/>
    <x v="0"/>
    <x v="0"/>
    <x v="0"/>
  </r>
  <r>
    <x v="914"/>
    <x v="381"/>
    <x v="381"/>
    <x v="376"/>
    <x v="727"/>
    <x v="1"/>
    <x v="2"/>
    <x v="397"/>
    <x v="168"/>
    <x v="2"/>
    <x v="0"/>
    <x v="5"/>
    <x v="0"/>
    <x v="1"/>
    <x v="2"/>
    <x v="3"/>
    <x v="2"/>
    <x v="1"/>
    <x v="2"/>
    <x v="1"/>
    <x v="1"/>
    <x v="213"/>
    <x v="1"/>
    <x v="1"/>
    <x v="2"/>
    <x v="383"/>
    <x v="12"/>
    <x v="3"/>
    <x v="0"/>
    <x v="1"/>
    <x v="0"/>
    <x v="532"/>
    <x v="0"/>
    <x v="279"/>
  </r>
  <r>
    <x v="915"/>
    <x v="455"/>
    <x v="452"/>
    <x v="446"/>
    <x v="0"/>
    <x v="1"/>
    <x v="2"/>
    <x v="461"/>
    <x v="352"/>
    <x v="1"/>
    <x v="31"/>
    <x v="0"/>
    <x v="0"/>
    <x v="3"/>
    <x v="1"/>
    <x v="1"/>
    <x v="2"/>
    <x v="1"/>
    <x v="2"/>
    <x v="1"/>
    <x v="1"/>
    <x v="213"/>
    <x v="1"/>
    <x v="3"/>
    <x v="4"/>
    <x v="454"/>
    <x v="12"/>
    <x v="3"/>
    <x v="0"/>
    <x v="1"/>
    <x v="0"/>
    <x v="532"/>
    <x v="0"/>
    <x v="0"/>
  </r>
  <r>
    <x v="916"/>
    <x v="415"/>
    <x v="412"/>
    <x v="407"/>
    <x v="0"/>
    <x v="1"/>
    <x v="2"/>
    <x v="425"/>
    <x v="327"/>
    <x v="1"/>
    <x v="33"/>
    <x v="0"/>
    <x v="0"/>
    <x v="3"/>
    <x v="1"/>
    <x v="1"/>
    <x v="2"/>
    <x v="1"/>
    <x v="2"/>
    <x v="1"/>
    <x v="2"/>
    <x v="0"/>
    <x v="2"/>
    <x v="3"/>
    <x v="4"/>
    <x v="415"/>
    <x v="4"/>
    <x v="0"/>
    <x v="0"/>
    <x v="1"/>
    <x v="0"/>
    <x v="0"/>
    <x v="0"/>
    <x v="0"/>
  </r>
  <r>
    <x v="917"/>
    <x v="458"/>
    <x v="454"/>
    <x v="448"/>
    <x v="728"/>
    <x v="1"/>
    <x v="2"/>
    <x v="463"/>
    <x v="356"/>
    <x v="1"/>
    <x v="31"/>
    <x v="0"/>
    <x v="0"/>
    <x v="1"/>
    <x v="1"/>
    <x v="1"/>
    <x v="2"/>
    <x v="1"/>
    <x v="1"/>
    <x v="1"/>
    <x v="2"/>
    <x v="0"/>
    <x v="1"/>
    <x v="6"/>
    <x v="2"/>
    <x v="456"/>
    <x v="5"/>
    <x v="0"/>
    <x v="0"/>
    <x v="1"/>
    <x v="0"/>
    <x v="0"/>
    <x v="0"/>
    <x v="0"/>
  </r>
  <r>
    <x v="918"/>
    <x v="459"/>
    <x v="455"/>
    <x v="449"/>
    <x v="729"/>
    <x v="1"/>
    <x v="2"/>
    <x v="464"/>
    <x v="357"/>
    <x v="1"/>
    <x v="15"/>
    <x v="0"/>
    <x v="0"/>
    <x v="1"/>
    <x v="3"/>
    <x v="3"/>
    <x v="2"/>
    <x v="1"/>
    <x v="2"/>
    <x v="1"/>
    <x v="1"/>
    <x v="214"/>
    <x v="1"/>
    <x v="6"/>
    <x v="2"/>
    <x v="457"/>
    <x v="5"/>
    <x v="1"/>
    <x v="5"/>
    <x v="2"/>
    <x v="1"/>
    <x v="533"/>
    <x v="0"/>
    <x v="0"/>
  </r>
  <r>
    <x v="919"/>
    <x v="57"/>
    <x v="56"/>
    <x v="55"/>
    <x v="730"/>
    <x v="1"/>
    <x v="2"/>
    <x v="60"/>
    <x v="196"/>
    <x v="6"/>
    <x v="0"/>
    <x v="0"/>
    <x v="21"/>
    <x v="1"/>
    <x v="3"/>
    <x v="4"/>
    <x v="2"/>
    <x v="1"/>
    <x v="2"/>
    <x v="1"/>
    <x v="2"/>
    <x v="0"/>
    <x v="1"/>
    <x v="6"/>
    <x v="2"/>
    <x v="55"/>
    <x v="5"/>
    <x v="0"/>
    <x v="0"/>
    <x v="1"/>
    <x v="0"/>
    <x v="0"/>
    <x v="0"/>
    <x v="0"/>
  </r>
  <r>
    <x v="920"/>
    <x v="141"/>
    <x v="141"/>
    <x v="139"/>
    <x v="731"/>
    <x v="1"/>
    <x v="2"/>
    <x v="145"/>
    <x v="125"/>
    <x v="1"/>
    <x v="15"/>
    <x v="0"/>
    <x v="0"/>
    <x v="1"/>
    <x v="3"/>
    <x v="3"/>
    <x v="2"/>
    <x v="1"/>
    <x v="2"/>
    <x v="1"/>
    <x v="1"/>
    <x v="215"/>
    <x v="1"/>
    <x v="1"/>
    <x v="2"/>
    <x v="140"/>
    <x v="13"/>
    <x v="3"/>
    <x v="0"/>
    <x v="1"/>
    <x v="0"/>
    <x v="534"/>
    <x v="267"/>
    <x v="280"/>
  </r>
  <r>
    <x v="921"/>
    <x v="459"/>
    <x v="455"/>
    <x v="449"/>
    <x v="732"/>
    <x v="1"/>
    <x v="2"/>
    <x v="464"/>
    <x v="357"/>
    <x v="1"/>
    <x v="15"/>
    <x v="0"/>
    <x v="0"/>
    <x v="3"/>
    <x v="1"/>
    <x v="1"/>
    <x v="2"/>
    <x v="1"/>
    <x v="2"/>
    <x v="1"/>
    <x v="2"/>
    <x v="0"/>
    <x v="1"/>
    <x v="3"/>
    <x v="4"/>
    <x v="457"/>
    <x v="2"/>
    <x v="0"/>
    <x v="0"/>
    <x v="1"/>
    <x v="0"/>
    <x v="0"/>
    <x v="0"/>
    <x v="0"/>
  </r>
  <r>
    <x v="922"/>
    <x v="141"/>
    <x v="141"/>
    <x v="139"/>
    <x v="733"/>
    <x v="1"/>
    <x v="2"/>
    <x v="145"/>
    <x v="125"/>
    <x v="1"/>
    <x v="15"/>
    <x v="0"/>
    <x v="0"/>
    <x v="1"/>
    <x v="1"/>
    <x v="1"/>
    <x v="2"/>
    <x v="1"/>
    <x v="2"/>
    <x v="1"/>
    <x v="2"/>
    <x v="0"/>
    <x v="1"/>
    <x v="1"/>
    <x v="2"/>
    <x v="140"/>
    <x v="4"/>
    <x v="0"/>
    <x v="0"/>
    <x v="1"/>
    <x v="0"/>
    <x v="0"/>
    <x v="0"/>
    <x v="0"/>
  </r>
  <r>
    <x v="923"/>
    <x v="460"/>
    <x v="456"/>
    <x v="450"/>
    <x v="734"/>
    <x v="1"/>
    <x v="2"/>
    <x v="465"/>
    <x v="199"/>
    <x v="1"/>
    <x v="2"/>
    <x v="0"/>
    <x v="0"/>
    <x v="1"/>
    <x v="1"/>
    <x v="1"/>
    <x v="2"/>
    <x v="1"/>
    <x v="2"/>
    <x v="1"/>
    <x v="1"/>
    <x v="216"/>
    <x v="1"/>
    <x v="1"/>
    <x v="2"/>
    <x v="458"/>
    <x v="4"/>
    <x v="3"/>
    <x v="0"/>
    <x v="1"/>
    <x v="0"/>
    <x v="535"/>
    <x v="268"/>
    <x v="281"/>
  </r>
  <r>
    <x v="924"/>
    <x v="461"/>
    <x v="457"/>
    <x v="451"/>
    <x v="735"/>
    <x v="1"/>
    <x v="3"/>
    <x v="466"/>
    <x v="227"/>
    <x v="1"/>
    <x v="176"/>
    <x v="0"/>
    <x v="0"/>
    <x v="1"/>
    <x v="1"/>
    <x v="1"/>
    <x v="2"/>
    <x v="2"/>
    <x v="2"/>
    <x v="1"/>
    <x v="2"/>
    <x v="0"/>
    <x v="1"/>
    <x v="4"/>
    <x v="2"/>
    <x v="459"/>
    <x v="12"/>
    <x v="0"/>
    <x v="0"/>
    <x v="1"/>
    <x v="0"/>
    <x v="0"/>
    <x v="0"/>
    <x v="0"/>
  </r>
  <r>
    <x v="925"/>
    <x v="462"/>
    <x v="458"/>
    <x v="452"/>
    <x v="736"/>
    <x v="1"/>
    <x v="2"/>
    <x v="467"/>
    <x v="196"/>
    <x v="6"/>
    <x v="12"/>
    <x v="0"/>
    <x v="22"/>
    <x v="1"/>
    <x v="3"/>
    <x v="3"/>
    <x v="2"/>
    <x v="1"/>
    <x v="2"/>
    <x v="1"/>
    <x v="1"/>
    <x v="216"/>
    <x v="1"/>
    <x v="1"/>
    <x v="2"/>
    <x v="460"/>
    <x v="12"/>
    <x v="3"/>
    <x v="0"/>
    <x v="1"/>
    <x v="0"/>
    <x v="536"/>
    <x v="269"/>
    <x v="0"/>
  </r>
  <r>
    <x v="926"/>
    <x v="463"/>
    <x v="459"/>
    <x v="453"/>
    <x v="737"/>
    <x v="1"/>
    <x v="1"/>
    <x v="468"/>
    <x v="10"/>
    <x v="1"/>
    <x v="177"/>
    <x v="0"/>
    <x v="0"/>
    <x v="1"/>
    <x v="1"/>
    <x v="1"/>
    <x v="1"/>
    <x v="2"/>
    <x v="1"/>
    <x v="1"/>
    <x v="2"/>
    <x v="0"/>
    <x v="1"/>
    <x v="1"/>
    <x v="2"/>
    <x v="461"/>
    <x v="2"/>
    <x v="0"/>
    <x v="0"/>
    <x v="1"/>
    <x v="0"/>
    <x v="0"/>
    <x v="0"/>
    <x v="0"/>
  </r>
  <r>
    <x v="927"/>
    <x v="464"/>
    <x v="460"/>
    <x v="454"/>
    <x v="738"/>
    <x v="1"/>
    <x v="2"/>
    <x v="469"/>
    <x v="212"/>
    <x v="1"/>
    <x v="22"/>
    <x v="0"/>
    <x v="0"/>
    <x v="1"/>
    <x v="2"/>
    <x v="3"/>
    <x v="1"/>
    <x v="1"/>
    <x v="2"/>
    <x v="1"/>
    <x v="1"/>
    <x v="212"/>
    <x v="1"/>
    <x v="1"/>
    <x v="2"/>
    <x v="462"/>
    <x v="12"/>
    <x v="1"/>
    <x v="4"/>
    <x v="1"/>
    <x v="0"/>
    <x v="537"/>
    <x v="0"/>
    <x v="282"/>
  </r>
  <r>
    <x v="928"/>
    <x v="465"/>
    <x v="461"/>
    <x v="455"/>
    <x v="739"/>
    <x v="3"/>
    <x v="2"/>
    <x v="470"/>
    <x v="294"/>
    <x v="1"/>
    <x v="33"/>
    <x v="0"/>
    <x v="0"/>
    <x v="1"/>
    <x v="3"/>
    <x v="3"/>
    <x v="2"/>
    <x v="1"/>
    <x v="2"/>
    <x v="1"/>
    <x v="1"/>
    <x v="212"/>
    <x v="1"/>
    <x v="1"/>
    <x v="2"/>
    <x v="463"/>
    <x v="12"/>
    <x v="1"/>
    <x v="7"/>
    <x v="2"/>
    <x v="1"/>
    <x v="538"/>
    <x v="0"/>
    <x v="283"/>
  </r>
  <r>
    <x v="929"/>
    <x v="466"/>
    <x v="462"/>
    <x v="456"/>
    <x v="740"/>
    <x v="1"/>
    <x v="2"/>
    <x v="471"/>
    <x v="358"/>
    <x v="1"/>
    <x v="178"/>
    <x v="0"/>
    <x v="0"/>
    <x v="1"/>
    <x v="1"/>
    <x v="1"/>
    <x v="2"/>
    <x v="1"/>
    <x v="2"/>
    <x v="1"/>
    <x v="2"/>
    <x v="0"/>
    <x v="1"/>
    <x v="1"/>
    <x v="2"/>
    <x v="464"/>
    <x v="12"/>
    <x v="0"/>
    <x v="0"/>
    <x v="1"/>
    <x v="0"/>
    <x v="0"/>
    <x v="0"/>
    <x v="0"/>
  </r>
  <r>
    <x v="930"/>
    <x v="141"/>
    <x v="141"/>
    <x v="139"/>
    <x v="741"/>
    <x v="1"/>
    <x v="1"/>
    <x v="145"/>
    <x v="125"/>
    <x v="1"/>
    <x v="3"/>
    <x v="0"/>
    <x v="0"/>
    <x v="1"/>
    <x v="1"/>
    <x v="1"/>
    <x v="2"/>
    <x v="1"/>
    <x v="2"/>
    <x v="1"/>
    <x v="2"/>
    <x v="0"/>
    <x v="1"/>
    <x v="5"/>
    <x v="2"/>
    <x v="140"/>
    <x v="12"/>
    <x v="0"/>
    <x v="0"/>
    <x v="1"/>
    <x v="0"/>
    <x v="0"/>
    <x v="0"/>
    <x v="0"/>
  </r>
  <r>
    <x v="931"/>
    <x v="467"/>
    <x v="463"/>
    <x v="457"/>
    <x v="742"/>
    <x v="1"/>
    <x v="2"/>
    <x v="472"/>
    <x v="76"/>
    <x v="2"/>
    <x v="0"/>
    <x v="2"/>
    <x v="0"/>
    <x v="1"/>
    <x v="1"/>
    <x v="1"/>
    <x v="2"/>
    <x v="1"/>
    <x v="2"/>
    <x v="1"/>
    <x v="2"/>
    <x v="0"/>
    <x v="1"/>
    <x v="5"/>
    <x v="2"/>
    <x v="465"/>
    <x v="12"/>
    <x v="0"/>
    <x v="0"/>
    <x v="1"/>
    <x v="0"/>
    <x v="0"/>
    <x v="0"/>
    <x v="0"/>
  </r>
  <r>
    <x v="932"/>
    <x v="468"/>
    <x v="461"/>
    <x v="455"/>
    <x v="743"/>
    <x v="3"/>
    <x v="2"/>
    <x v="473"/>
    <x v="294"/>
    <x v="1"/>
    <x v="33"/>
    <x v="0"/>
    <x v="0"/>
    <x v="3"/>
    <x v="1"/>
    <x v="1"/>
    <x v="2"/>
    <x v="1"/>
    <x v="2"/>
    <x v="1"/>
    <x v="1"/>
    <x v="217"/>
    <x v="1"/>
    <x v="3"/>
    <x v="4"/>
    <x v="463"/>
    <x v="12"/>
    <x v="1"/>
    <x v="1"/>
    <x v="1"/>
    <x v="0"/>
    <x v="539"/>
    <x v="270"/>
    <x v="284"/>
  </r>
  <r>
    <x v="933"/>
    <x v="469"/>
    <x v="464"/>
    <x v="458"/>
    <x v="744"/>
    <x v="1"/>
    <x v="1"/>
    <x v="474"/>
    <x v="359"/>
    <x v="1"/>
    <x v="179"/>
    <x v="0"/>
    <x v="0"/>
    <x v="1"/>
    <x v="1"/>
    <x v="1"/>
    <x v="1"/>
    <x v="1"/>
    <x v="3"/>
    <x v="1"/>
    <x v="2"/>
    <x v="0"/>
    <x v="1"/>
    <x v="1"/>
    <x v="5"/>
    <x v="466"/>
    <x v="2"/>
    <x v="0"/>
    <x v="0"/>
    <x v="1"/>
    <x v="0"/>
    <x v="0"/>
    <x v="0"/>
    <x v="0"/>
  </r>
  <r>
    <x v="934"/>
    <x v="470"/>
    <x v="465"/>
    <x v="459"/>
    <x v="745"/>
    <x v="1"/>
    <x v="4"/>
    <x v="475"/>
    <x v="205"/>
    <x v="1"/>
    <x v="180"/>
    <x v="0"/>
    <x v="0"/>
    <x v="1"/>
    <x v="1"/>
    <x v="1"/>
    <x v="1"/>
    <x v="1"/>
    <x v="2"/>
    <x v="1"/>
    <x v="2"/>
    <x v="0"/>
    <x v="1"/>
    <x v="5"/>
    <x v="2"/>
    <x v="467"/>
    <x v="12"/>
    <x v="0"/>
    <x v="0"/>
    <x v="1"/>
    <x v="0"/>
    <x v="0"/>
    <x v="0"/>
    <x v="0"/>
  </r>
  <r>
    <x v="935"/>
    <x v="141"/>
    <x v="141"/>
    <x v="139"/>
    <x v="746"/>
    <x v="1"/>
    <x v="1"/>
    <x v="145"/>
    <x v="125"/>
    <x v="2"/>
    <x v="0"/>
    <x v="2"/>
    <x v="0"/>
    <x v="1"/>
    <x v="3"/>
    <x v="3"/>
    <x v="2"/>
    <x v="1"/>
    <x v="2"/>
    <x v="1"/>
    <x v="1"/>
    <x v="217"/>
    <x v="1"/>
    <x v="6"/>
    <x v="2"/>
    <x v="140"/>
    <x v="5"/>
    <x v="3"/>
    <x v="0"/>
    <x v="1"/>
    <x v="0"/>
    <x v="540"/>
    <x v="0"/>
    <x v="285"/>
  </r>
  <r>
    <x v="936"/>
    <x v="471"/>
    <x v="466"/>
    <x v="460"/>
    <x v="747"/>
    <x v="1"/>
    <x v="2"/>
    <x v="476"/>
    <x v="341"/>
    <x v="1"/>
    <x v="33"/>
    <x v="0"/>
    <x v="0"/>
    <x v="1"/>
    <x v="1"/>
    <x v="2"/>
    <x v="2"/>
    <x v="1"/>
    <x v="2"/>
    <x v="1"/>
    <x v="1"/>
    <x v="207"/>
    <x v="1"/>
    <x v="6"/>
    <x v="2"/>
    <x v="468"/>
    <x v="5"/>
    <x v="1"/>
    <x v="7"/>
    <x v="2"/>
    <x v="1"/>
    <x v="541"/>
    <x v="0"/>
    <x v="0"/>
  </r>
  <r>
    <x v="937"/>
    <x v="468"/>
    <x v="461"/>
    <x v="455"/>
    <x v="0"/>
    <x v="1"/>
    <x v="2"/>
    <x v="473"/>
    <x v="294"/>
    <x v="1"/>
    <x v="33"/>
    <x v="0"/>
    <x v="0"/>
    <x v="3"/>
    <x v="1"/>
    <x v="1"/>
    <x v="2"/>
    <x v="1"/>
    <x v="2"/>
    <x v="1"/>
    <x v="1"/>
    <x v="207"/>
    <x v="2"/>
    <x v="3"/>
    <x v="4"/>
    <x v="463"/>
    <x v="5"/>
    <x v="3"/>
    <x v="0"/>
    <x v="1"/>
    <x v="0"/>
    <x v="542"/>
    <x v="0"/>
    <x v="0"/>
  </r>
  <r>
    <x v="938"/>
    <x v="472"/>
    <x v="467"/>
    <x v="461"/>
    <x v="748"/>
    <x v="3"/>
    <x v="3"/>
    <x v="477"/>
    <x v="360"/>
    <x v="1"/>
    <x v="9"/>
    <x v="0"/>
    <x v="0"/>
    <x v="1"/>
    <x v="1"/>
    <x v="1"/>
    <x v="2"/>
    <x v="1"/>
    <x v="2"/>
    <x v="1"/>
    <x v="1"/>
    <x v="218"/>
    <x v="1"/>
    <x v="6"/>
    <x v="2"/>
    <x v="469"/>
    <x v="5"/>
    <x v="1"/>
    <x v="1"/>
    <x v="1"/>
    <x v="0"/>
    <x v="543"/>
    <x v="271"/>
    <x v="0"/>
  </r>
  <r>
    <x v="939"/>
    <x v="141"/>
    <x v="141"/>
    <x v="139"/>
    <x v="749"/>
    <x v="1"/>
    <x v="1"/>
    <x v="145"/>
    <x v="125"/>
    <x v="2"/>
    <x v="0"/>
    <x v="2"/>
    <x v="0"/>
    <x v="1"/>
    <x v="3"/>
    <x v="3"/>
    <x v="2"/>
    <x v="1"/>
    <x v="2"/>
    <x v="1"/>
    <x v="1"/>
    <x v="219"/>
    <x v="1"/>
    <x v="6"/>
    <x v="2"/>
    <x v="140"/>
    <x v="12"/>
    <x v="3"/>
    <x v="0"/>
    <x v="1"/>
    <x v="0"/>
    <x v="544"/>
    <x v="272"/>
    <x v="286"/>
  </r>
  <r>
    <x v="940"/>
    <x v="471"/>
    <x v="466"/>
    <x v="460"/>
    <x v="750"/>
    <x v="1"/>
    <x v="2"/>
    <x v="476"/>
    <x v="341"/>
    <x v="1"/>
    <x v="33"/>
    <x v="0"/>
    <x v="0"/>
    <x v="3"/>
    <x v="1"/>
    <x v="1"/>
    <x v="2"/>
    <x v="1"/>
    <x v="2"/>
    <x v="1"/>
    <x v="1"/>
    <x v="219"/>
    <x v="1"/>
    <x v="3"/>
    <x v="4"/>
    <x v="468"/>
    <x v="12"/>
    <x v="1"/>
    <x v="1"/>
    <x v="1"/>
    <x v="0"/>
    <x v="545"/>
    <x v="273"/>
    <x v="0"/>
  </r>
  <r>
    <x v="941"/>
    <x v="128"/>
    <x v="128"/>
    <x v="126"/>
    <x v="751"/>
    <x v="1"/>
    <x v="2"/>
    <x v="82"/>
    <x v="361"/>
    <x v="1"/>
    <x v="181"/>
    <x v="0"/>
    <x v="0"/>
    <x v="1"/>
    <x v="1"/>
    <x v="1"/>
    <x v="2"/>
    <x v="1"/>
    <x v="3"/>
    <x v="1"/>
    <x v="1"/>
    <x v="219"/>
    <x v="1"/>
    <x v="1"/>
    <x v="2"/>
    <x v="127"/>
    <x v="4"/>
    <x v="3"/>
    <x v="0"/>
    <x v="1"/>
    <x v="0"/>
    <x v="546"/>
    <x v="0"/>
    <x v="287"/>
  </r>
  <r>
    <x v="942"/>
    <x v="451"/>
    <x v="447"/>
    <x v="442"/>
    <x v="0"/>
    <x v="1"/>
    <x v="2"/>
    <x v="457"/>
    <x v="351"/>
    <x v="1"/>
    <x v="70"/>
    <x v="0"/>
    <x v="0"/>
    <x v="3"/>
    <x v="1"/>
    <x v="1"/>
    <x v="2"/>
    <x v="1"/>
    <x v="2"/>
    <x v="1"/>
    <x v="2"/>
    <x v="0"/>
    <x v="2"/>
    <x v="3"/>
    <x v="4"/>
    <x v="450"/>
    <x v="4"/>
    <x v="0"/>
    <x v="0"/>
    <x v="1"/>
    <x v="0"/>
    <x v="0"/>
    <x v="0"/>
    <x v="0"/>
  </r>
  <r>
    <x v="943"/>
    <x v="441"/>
    <x v="437"/>
    <x v="432"/>
    <x v="752"/>
    <x v="1"/>
    <x v="2"/>
    <x v="447"/>
    <x v="310"/>
    <x v="1"/>
    <x v="182"/>
    <x v="0"/>
    <x v="0"/>
    <x v="1"/>
    <x v="3"/>
    <x v="3"/>
    <x v="2"/>
    <x v="1"/>
    <x v="2"/>
    <x v="1"/>
    <x v="1"/>
    <x v="220"/>
    <x v="1"/>
    <x v="1"/>
    <x v="2"/>
    <x v="440"/>
    <x v="13"/>
    <x v="1"/>
    <x v="4"/>
    <x v="2"/>
    <x v="1"/>
    <x v="547"/>
    <x v="274"/>
    <x v="0"/>
  </r>
  <r>
    <x v="944"/>
    <x v="472"/>
    <x v="467"/>
    <x v="461"/>
    <x v="0"/>
    <x v="1"/>
    <x v="3"/>
    <x v="477"/>
    <x v="360"/>
    <x v="1"/>
    <x v="9"/>
    <x v="0"/>
    <x v="0"/>
    <x v="3"/>
    <x v="1"/>
    <x v="1"/>
    <x v="2"/>
    <x v="1"/>
    <x v="2"/>
    <x v="1"/>
    <x v="1"/>
    <x v="220"/>
    <x v="2"/>
    <x v="3"/>
    <x v="4"/>
    <x v="469"/>
    <x v="5"/>
    <x v="1"/>
    <x v="1"/>
    <x v="1"/>
    <x v="0"/>
    <x v="548"/>
    <x v="275"/>
    <x v="288"/>
  </r>
  <r>
    <x v="945"/>
    <x v="471"/>
    <x v="466"/>
    <x v="460"/>
    <x v="0"/>
    <x v="1"/>
    <x v="2"/>
    <x v="476"/>
    <x v="341"/>
    <x v="1"/>
    <x v="33"/>
    <x v="0"/>
    <x v="0"/>
    <x v="3"/>
    <x v="1"/>
    <x v="1"/>
    <x v="2"/>
    <x v="1"/>
    <x v="2"/>
    <x v="1"/>
    <x v="1"/>
    <x v="221"/>
    <x v="2"/>
    <x v="3"/>
    <x v="4"/>
    <x v="468"/>
    <x v="5"/>
    <x v="1"/>
    <x v="1"/>
    <x v="1"/>
    <x v="0"/>
    <x v="549"/>
    <x v="0"/>
    <x v="0"/>
  </r>
  <r>
    <x v="946"/>
    <x v="473"/>
    <x v="468"/>
    <x v="462"/>
    <x v="753"/>
    <x v="3"/>
    <x v="1"/>
    <x v="478"/>
    <x v="362"/>
    <x v="1"/>
    <x v="183"/>
    <x v="0"/>
    <x v="0"/>
    <x v="1"/>
    <x v="1"/>
    <x v="1"/>
    <x v="2"/>
    <x v="1"/>
    <x v="2"/>
    <x v="1"/>
    <x v="2"/>
    <x v="0"/>
    <x v="1"/>
    <x v="1"/>
    <x v="2"/>
    <x v="470"/>
    <x v="4"/>
    <x v="0"/>
    <x v="0"/>
    <x v="1"/>
    <x v="0"/>
    <x v="0"/>
    <x v="0"/>
    <x v="0"/>
  </r>
  <r>
    <x v="947"/>
    <x v="474"/>
    <x v="469"/>
    <x v="463"/>
    <x v="754"/>
    <x v="1"/>
    <x v="2"/>
    <x v="479"/>
    <x v="117"/>
    <x v="2"/>
    <x v="0"/>
    <x v="2"/>
    <x v="0"/>
    <x v="1"/>
    <x v="2"/>
    <x v="3"/>
    <x v="2"/>
    <x v="1"/>
    <x v="2"/>
    <x v="1"/>
    <x v="1"/>
    <x v="220"/>
    <x v="1"/>
    <x v="5"/>
    <x v="2"/>
    <x v="471"/>
    <x v="5"/>
    <x v="1"/>
    <x v="1"/>
    <x v="1"/>
    <x v="0"/>
    <x v="550"/>
    <x v="0"/>
    <x v="289"/>
  </r>
  <r>
    <x v="948"/>
    <x v="474"/>
    <x v="469"/>
    <x v="463"/>
    <x v="0"/>
    <x v="1"/>
    <x v="2"/>
    <x v="479"/>
    <x v="117"/>
    <x v="2"/>
    <x v="0"/>
    <x v="2"/>
    <x v="0"/>
    <x v="3"/>
    <x v="1"/>
    <x v="1"/>
    <x v="2"/>
    <x v="1"/>
    <x v="2"/>
    <x v="1"/>
    <x v="2"/>
    <x v="0"/>
    <x v="2"/>
    <x v="3"/>
    <x v="4"/>
    <x v="471"/>
    <x v="5"/>
    <x v="0"/>
    <x v="0"/>
    <x v="1"/>
    <x v="0"/>
    <x v="0"/>
    <x v="0"/>
    <x v="0"/>
  </r>
  <r>
    <x v="949"/>
    <x v="472"/>
    <x v="467"/>
    <x v="461"/>
    <x v="0"/>
    <x v="3"/>
    <x v="3"/>
    <x v="477"/>
    <x v="360"/>
    <x v="1"/>
    <x v="9"/>
    <x v="0"/>
    <x v="0"/>
    <x v="3"/>
    <x v="4"/>
    <x v="1"/>
    <x v="2"/>
    <x v="1"/>
    <x v="2"/>
    <x v="1"/>
    <x v="2"/>
    <x v="0"/>
    <x v="2"/>
    <x v="3"/>
    <x v="4"/>
    <x v="469"/>
    <x v="5"/>
    <x v="0"/>
    <x v="0"/>
    <x v="1"/>
    <x v="0"/>
    <x v="0"/>
    <x v="0"/>
    <x v="0"/>
  </r>
  <r>
    <x v="950"/>
    <x v="441"/>
    <x v="437"/>
    <x v="432"/>
    <x v="755"/>
    <x v="1"/>
    <x v="2"/>
    <x v="447"/>
    <x v="310"/>
    <x v="1"/>
    <x v="184"/>
    <x v="0"/>
    <x v="0"/>
    <x v="3"/>
    <x v="1"/>
    <x v="1"/>
    <x v="2"/>
    <x v="1"/>
    <x v="1"/>
    <x v="1"/>
    <x v="2"/>
    <x v="0"/>
    <x v="1"/>
    <x v="3"/>
    <x v="4"/>
    <x v="440"/>
    <x v="1"/>
    <x v="0"/>
    <x v="0"/>
    <x v="1"/>
    <x v="0"/>
    <x v="0"/>
    <x v="0"/>
    <x v="0"/>
  </r>
  <r>
    <x v="951"/>
    <x v="475"/>
    <x v="470"/>
    <x v="464"/>
    <x v="756"/>
    <x v="1"/>
    <x v="1"/>
    <x v="248"/>
    <x v="80"/>
    <x v="1"/>
    <x v="36"/>
    <x v="0"/>
    <x v="0"/>
    <x v="1"/>
    <x v="1"/>
    <x v="1"/>
    <x v="2"/>
    <x v="1"/>
    <x v="2"/>
    <x v="1"/>
    <x v="1"/>
    <x v="220"/>
    <x v="1"/>
    <x v="1"/>
    <x v="2"/>
    <x v="472"/>
    <x v="5"/>
    <x v="1"/>
    <x v="1"/>
    <x v="2"/>
    <x v="1"/>
    <x v="551"/>
    <x v="0"/>
    <x v="290"/>
  </r>
  <r>
    <x v="952"/>
    <x v="438"/>
    <x v="434"/>
    <x v="429"/>
    <x v="757"/>
    <x v="1"/>
    <x v="2"/>
    <x v="444"/>
    <x v="339"/>
    <x v="1"/>
    <x v="31"/>
    <x v="0"/>
    <x v="0"/>
    <x v="1"/>
    <x v="1"/>
    <x v="1"/>
    <x v="2"/>
    <x v="1"/>
    <x v="2"/>
    <x v="1"/>
    <x v="1"/>
    <x v="220"/>
    <x v="1"/>
    <x v="1"/>
    <x v="2"/>
    <x v="437"/>
    <x v="5"/>
    <x v="3"/>
    <x v="0"/>
    <x v="1"/>
    <x v="0"/>
    <x v="552"/>
    <x v="0"/>
    <x v="291"/>
  </r>
  <r>
    <x v="953"/>
    <x v="172"/>
    <x v="172"/>
    <x v="170"/>
    <x v="758"/>
    <x v="1"/>
    <x v="2"/>
    <x v="181"/>
    <x v="37"/>
    <x v="2"/>
    <x v="0"/>
    <x v="2"/>
    <x v="0"/>
    <x v="1"/>
    <x v="1"/>
    <x v="1"/>
    <x v="2"/>
    <x v="1"/>
    <x v="2"/>
    <x v="1"/>
    <x v="1"/>
    <x v="220"/>
    <x v="1"/>
    <x v="1"/>
    <x v="2"/>
    <x v="171"/>
    <x v="5"/>
    <x v="1"/>
    <x v="4"/>
    <x v="1"/>
    <x v="0"/>
    <x v="0"/>
    <x v="0"/>
    <x v="0"/>
  </r>
  <r>
    <x v="954"/>
    <x v="299"/>
    <x v="300"/>
    <x v="295"/>
    <x v="759"/>
    <x v="2"/>
    <x v="2"/>
    <x v="314"/>
    <x v="196"/>
    <x v="6"/>
    <x v="0"/>
    <x v="0"/>
    <x v="4"/>
    <x v="1"/>
    <x v="1"/>
    <x v="2"/>
    <x v="2"/>
    <x v="2"/>
    <x v="3"/>
    <x v="1"/>
    <x v="1"/>
    <x v="222"/>
    <x v="1"/>
    <x v="1"/>
    <x v="2"/>
    <x v="301"/>
    <x v="1"/>
    <x v="3"/>
    <x v="0"/>
    <x v="1"/>
    <x v="0"/>
    <x v="553"/>
    <x v="276"/>
    <x v="0"/>
  </r>
  <r>
    <x v="955"/>
    <x v="209"/>
    <x v="207"/>
    <x v="205"/>
    <x v="760"/>
    <x v="1"/>
    <x v="2"/>
    <x v="218"/>
    <x v="103"/>
    <x v="2"/>
    <x v="0"/>
    <x v="5"/>
    <x v="0"/>
    <x v="1"/>
    <x v="2"/>
    <x v="3"/>
    <x v="2"/>
    <x v="1"/>
    <x v="2"/>
    <x v="1"/>
    <x v="1"/>
    <x v="221"/>
    <x v="1"/>
    <x v="1"/>
    <x v="2"/>
    <x v="209"/>
    <x v="5"/>
    <x v="1"/>
    <x v="1"/>
    <x v="1"/>
    <x v="0"/>
    <x v="554"/>
    <x v="277"/>
    <x v="0"/>
  </r>
  <r>
    <x v="956"/>
    <x v="475"/>
    <x v="470"/>
    <x v="464"/>
    <x v="761"/>
    <x v="1"/>
    <x v="1"/>
    <x v="248"/>
    <x v="80"/>
    <x v="1"/>
    <x v="36"/>
    <x v="0"/>
    <x v="0"/>
    <x v="3"/>
    <x v="2"/>
    <x v="3"/>
    <x v="2"/>
    <x v="1"/>
    <x v="2"/>
    <x v="1"/>
    <x v="1"/>
    <x v="221"/>
    <x v="2"/>
    <x v="3"/>
    <x v="4"/>
    <x v="472"/>
    <x v="5"/>
    <x v="1"/>
    <x v="1"/>
    <x v="1"/>
    <x v="0"/>
    <x v="555"/>
    <x v="278"/>
    <x v="292"/>
  </r>
  <r>
    <x v="957"/>
    <x v="172"/>
    <x v="172"/>
    <x v="170"/>
    <x v="762"/>
    <x v="1"/>
    <x v="2"/>
    <x v="181"/>
    <x v="37"/>
    <x v="1"/>
    <x v="4"/>
    <x v="0"/>
    <x v="0"/>
    <x v="3"/>
    <x v="3"/>
    <x v="3"/>
    <x v="2"/>
    <x v="1"/>
    <x v="2"/>
    <x v="1"/>
    <x v="1"/>
    <x v="221"/>
    <x v="1"/>
    <x v="3"/>
    <x v="4"/>
    <x v="171"/>
    <x v="1"/>
    <x v="3"/>
    <x v="0"/>
    <x v="1"/>
    <x v="0"/>
    <x v="556"/>
    <x v="279"/>
    <x v="0"/>
  </r>
  <r>
    <x v="958"/>
    <x v="200"/>
    <x v="198"/>
    <x v="196"/>
    <x v="763"/>
    <x v="1"/>
    <x v="2"/>
    <x v="209"/>
    <x v="171"/>
    <x v="1"/>
    <x v="15"/>
    <x v="0"/>
    <x v="0"/>
    <x v="1"/>
    <x v="2"/>
    <x v="3"/>
    <x v="1"/>
    <x v="2"/>
    <x v="2"/>
    <x v="1"/>
    <x v="1"/>
    <x v="221"/>
    <x v="1"/>
    <x v="5"/>
    <x v="2"/>
    <x v="473"/>
    <x v="5"/>
    <x v="1"/>
    <x v="1"/>
    <x v="1"/>
    <x v="0"/>
    <x v="557"/>
    <x v="0"/>
    <x v="293"/>
  </r>
  <r>
    <x v="959"/>
    <x v="476"/>
    <x v="471"/>
    <x v="465"/>
    <x v="764"/>
    <x v="3"/>
    <x v="1"/>
    <x v="480"/>
    <x v="10"/>
    <x v="1"/>
    <x v="22"/>
    <x v="0"/>
    <x v="0"/>
    <x v="1"/>
    <x v="1"/>
    <x v="1"/>
    <x v="2"/>
    <x v="1"/>
    <x v="2"/>
    <x v="1"/>
    <x v="2"/>
    <x v="0"/>
    <x v="1"/>
    <x v="5"/>
    <x v="2"/>
    <x v="474"/>
    <x v="5"/>
    <x v="0"/>
    <x v="0"/>
    <x v="1"/>
    <x v="0"/>
    <x v="0"/>
    <x v="0"/>
    <x v="0"/>
  </r>
  <r>
    <x v="960"/>
    <x v="477"/>
    <x v="198"/>
    <x v="196"/>
    <x v="0"/>
    <x v="1"/>
    <x v="2"/>
    <x v="209"/>
    <x v="171"/>
    <x v="1"/>
    <x v="15"/>
    <x v="0"/>
    <x v="0"/>
    <x v="3"/>
    <x v="2"/>
    <x v="3"/>
    <x v="1"/>
    <x v="2"/>
    <x v="2"/>
    <x v="1"/>
    <x v="1"/>
    <x v="221"/>
    <x v="2"/>
    <x v="3"/>
    <x v="4"/>
    <x v="473"/>
    <x v="5"/>
    <x v="3"/>
    <x v="0"/>
    <x v="1"/>
    <x v="0"/>
    <x v="558"/>
    <x v="280"/>
    <x v="293"/>
  </r>
  <r>
    <x v="961"/>
    <x v="464"/>
    <x v="460"/>
    <x v="454"/>
    <x v="765"/>
    <x v="1"/>
    <x v="2"/>
    <x v="469"/>
    <x v="212"/>
    <x v="1"/>
    <x v="2"/>
    <x v="0"/>
    <x v="0"/>
    <x v="1"/>
    <x v="2"/>
    <x v="3"/>
    <x v="2"/>
    <x v="1"/>
    <x v="2"/>
    <x v="1"/>
    <x v="1"/>
    <x v="221"/>
    <x v="1"/>
    <x v="1"/>
    <x v="2"/>
    <x v="462"/>
    <x v="5"/>
    <x v="3"/>
    <x v="0"/>
    <x v="1"/>
    <x v="0"/>
    <x v="559"/>
    <x v="0"/>
    <x v="0"/>
  </r>
  <r>
    <x v="962"/>
    <x v="471"/>
    <x v="466"/>
    <x v="460"/>
    <x v="0"/>
    <x v="1"/>
    <x v="2"/>
    <x v="476"/>
    <x v="341"/>
    <x v="1"/>
    <x v="33"/>
    <x v="0"/>
    <x v="0"/>
    <x v="3"/>
    <x v="5"/>
    <x v="1"/>
    <x v="2"/>
    <x v="1"/>
    <x v="2"/>
    <x v="1"/>
    <x v="2"/>
    <x v="0"/>
    <x v="2"/>
    <x v="3"/>
    <x v="4"/>
    <x v="468"/>
    <x v="5"/>
    <x v="0"/>
    <x v="0"/>
    <x v="1"/>
    <x v="0"/>
    <x v="0"/>
    <x v="0"/>
    <x v="0"/>
  </r>
  <r>
    <x v="963"/>
    <x v="478"/>
    <x v="472"/>
    <x v="466"/>
    <x v="766"/>
    <x v="1"/>
    <x v="2"/>
    <x v="481"/>
    <x v="359"/>
    <x v="1"/>
    <x v="9"/>
    <x v="0"/>
    <x v="0"/>
    <x v="1"/>
    <x v="3"/>
    <x v="3"/>
    <x v="2"/>
    <x v="1"/>
    <x v="2"/>
    <x v="1"/>
    <x v="1"/>
    <x v="222"/>
    <x v="1"/>
    <x v="1"/>
    <x v="2"/>
    <x v="475"/>
    <x v="13"/>
    <x v="1"/>
    <x v="4"/>
    <x v="1"/>
    <x v="0"/>
    <x v="560"/>
    <x v="0"/>
    <x v="0"/>
  </r>
  <r>
    <x v="964"/>
    <x v="479"/>
    <x v="473"/>
    <x v="467"/>
    <x v="767"/>
    <x v="1"/>
    <x v="2"/>
    <x v="482"/>
    <x v="363"/>
    <x v="2"/>
    <x v="0"/>
    <x v="2"/>
    <x v="0"/>
    <x v="1"/>
    <x v="1"/>
    <x v="1"/>
    <x v="2"/>
    <x v="1"/>
    <x v="1"/>
    <x v="1"/>
    <x v="1"/>
    <x v="221"/>
    <x v="2"/>
    <x v="1"/>
    <x v="2"/>
    <x v="476"/>
    <x v="1"/>
    <x v="1"/>
    <x v="4"/>
    <x v="1"/>
    <x v="0"/>
    <x v="561"/>
    <x v="0"/>
    <x v="0"/>
  </r>
  <r>
    <x v="965"/>
    <x v="480"/>
    <x v="474"/>
    <x v="468"/>
    <x v="768"/>
    <x v="1"/>
    <x v="2"/>
    <x v="483"/>
    <x v="161"/>
    <x v="1"/>
    <x v="15"/>
    <x v="0"/>
    <x v="0"/>
    <x v="1"/>
    <x v="5"/>
    <x v="1"/>
    <x v="2"/>
    <x v="1"/>
    <x v="1"/>
    <x v="1"/>
    <x v="1"/>
    <x v="222"/>
    <x v="2"/>
    <x v="1"/>
    <x v="2"/>
    <x v="477"/>
    <x v="1"/>
    <x v="1"/>
    <x v="4"/>
    <x v="1"/>
    <x v="0"/>
    <x v="562"/>
    <x v="0"/>
    <x v="0"/>
  </r>
  <r>
    <x v="966"/>
    <x v="209"/>
    <x v="207"/>
    <x v="205"/>
    <x v="0"/>
    <x v="1"/>
    <x v="2"/>
    <x v="218"/>
    <x v="103"/>
    <x v="2"/>
    <x v="0"/>
    <x v="5"/>
    <x v="0"/>
    <x v="3"/>
    <x v="4"/>
    <x v="1"/>
    <x v="2"/>
    <x v="1"/>
    <x v="2"/>
    <x v="1"/>
    <x v="2"/>
    <x v="0"/>
    <x v="2"/>
    <x v="3"/>
    <x v="4"/>
    <x v="209"/>
    <x v="5"/>
    <x v="0"/>
    <x v="0"/>
    <x v="1"/>
    <x v="0"/>
    <x v="0"/>
    <x v="0"/>
    <x v="0"/>
  </r>
  <r>
    <x v="967"/>
    <x v="481"/>
    <x v="475"/>
    <x v="469"/>
    <x v="769"/>
    <x v="1"/>
    <x v="3"/>
    <x v="484"/>
    <x v="364"/>
    <x v="1"/>
    <x v="15"/>
    <x v="0"/>
    <x v="0"/>
    <x v="1"/>
    <x v="1"/>
    <x v="1"/>
    <x v="1"/>
    <x v="1"/>
    <x v="2"/>
    <x v="2"/>
    <x v="1"/>
    <x v="221"/>
    <x v="1"/>
    <x v="1"/>
    <x v="2"/>
    <x v="478"/>
    <x v="4"/>
    <x v="1"/>
    <x v="2"/>
    <x v="1"/>
    <x v="0"/>
    <x v="563"/>
    <x v="0"/>
    <x v="0"/>
  </r>
  <r>
    <x v="968"/>
    <x v="479"/>
    <x v="473"/>
    <x v="467"/>
    <x v="0"/>
    <x v="1"/>
    <x v="2"/>
    <x v="482"/>
    <x v="161"/>
    <x v="1"/>
    <x v="15"/>
    <x v="0"/>
    <x v="0"/>
    <x v="3"/>
    <x v="1"/>
    <x v="1"/>
    <x v="2"/>
    <x v="1"/>
    <x v="1"/>
    <x v="1"/>
    <x v="2"/>
    <x v="0"/>
    <x v="2"/>
    <x v="3"/>
    <x v="4"/>
    <x v="476"/>
    <x v="1"/>
    <x v="0"/>
    <x v="0"/>
    <x v="1"/>
    <x v="0"/>
    <x v="0"/>
    <x v="0"/>
    <x v="0"/>
  </r>
  <r>
    <x v="969"/>
    <x v="481"/>
    <x v="475"/>
    <x v="469"/>
    <x v="769"/>
    <x v="1"/>
    <x v="3"/>
    <x v="484"/>
    <x v="364"/>
    <x v="1"/>
    <x v="15"/>
    <x v="0"/>
    <x v="0"/>
    <x v="3"/>
    <x v="4"/>
    <x v="1"/>
    <x v="1"/>
    <x v="1"/>
    <x v="2"/>
    <x v="2"/>
    <x v="1"/>
    <x v="222"/>
    <x v="2"/>
    <x v="3"/>
    <x v="4"/>
    <x v="478"/>
    <x v="4"/>
    <x v="1"/>
    <x v="4"/>
    <x v="2"/>
    <x v="1"/>
    <x v="564"/>
    <x v="0"/>
    <x v="0"/>
  </r>
  <r>
    <x v="970"/>
    <x v="475"/>
    <x v="470"/>
    <x v="464"/>
    <x v="0"/>
    <x v="1"/>
    <x v="1"/>
    <x v="248"/>
    <x v="80"/>
    <x v="1"/>
    <x v="36"/>
    <x v="0"/>
    <x v="0"/>
    <x v="3"/>
    <x v="1"/>
    <x v="1"/>
    <x v="2"/>
    <x v="1"/>
    <x v="2"/>
    <x v="1"/>
    <x v="2"/>
    <x v="0"/>
    <x v="2"/>
    <x v="3"/>
    <x v="4"/>
    <x v="472"/>
    <x v="5"/>
    <x v="0"/>
    <x v="0"/>
    <x v="1"/>
    <x v="0"/>
    <x v="0"/>
    <x v="0"/>
    <x v="0"/>
  </r>
  <r>
    <x v="971"/>
    <x v="478"/>
    <x v="472"/>
    <x v="466"/>
    <x v="0"/>
    <x v="1"/>
    <x v="2"/>
    <x v="481"/>
    <x v="359"/>
    <x v="1"/>
    <x v="9"/>
    <x v="0"/>
    <x v="0"/>
    <x v="3"/>
    <x v="4"/>
    <x v="1"/>
    <x v="2"/>
    <x v="1"/>
    <x v="2"/>
    <x v="1"/>
    <x v="2"/>
    <x v="0"/>
    <x v="2"/>
    <x v="3"/>
    <x v="4"/>
    <x v="475"/>
    <x v="1"/>
    <x v="0"/>
    <x v="0"/>
    <x v="1"/>
    <x v="0"/>
    <x v="0"/>
    <x v="0"/>
    <x v="0"/>
  </r>
  <r>
    <x v="972"/>
    <x v="480"/>
    <x v="474"/>
    <x v="468"/>
    <x v="0"/>
    <x v="1"/>
    <x v="2"/>
    <x v="483"/>
    <x v="161"/>
    <x v="1"/>
    <x v="15"/>
    <x v="0"/>
    <x v="0"/>
    <x v="3"/>
    <x v="1"/>
    <x v="1"/>
    <x v="2"/>
    <x v="1"/>
    <x v="1"/>
    <x v="1"/>
    <x v="2"/>
    <x v="0"/>
    <x v="2"/>
    <x v="3"/>
    <x v="4"/>
    <x v="477"/>
    <x v="1"/>
    <x v="0"/>
    <x v="0"/>
    <x v="1"/>
    <x v="0"/>
    <x v="0"/>
    <x v="0"/>
    <x v="0"/>
  </r>
  <r>
    <x v="973"/>
    <x v="481"/>
    <x v="475"/>
    <x v="469"/>
    <x v="770"/>
    <x v="1"/>
    <x v="3"/>
    <x v="484"/>
    <x v="364"/>
    <x v="1"/>
    <x v="15"/>
    <x v="0"/>
    <x v="0"/>
    <x v="3"/>
    <x v="1"/>
    <x v="1"/>
    <x v="2"/>
    <x v="1"/>
    <x v="2"/>
    <x v="2"/>
    <x v="2"/>
    <x v="0"/>
    <x v="1"/>
    <x v="3"/>
    <x v="4"/>
    <x v="478"/>
    <x v="1"/>
    <x v="0"/>
    <x v="0"/>
    <x v="1"/>
    <x v="0"/>
    <x v="0"/>
    <x v="0"/>
    <x v="0"/>
  </r>
  <r>
    <x v="974"/>
    <x v="482"/>
    <x v="476"/>
    <x v="470"/>
    <x v="771"/>
    <x v="3"/>
    <x v="1"/>
    <x v="485"/>
    <x v="115"/>
    <x v="1"/>
    <x v="4"/>
    <x v="0"/>
    <x v="0"/>
    <x v="1"/>
    <x v="3"/>
    <x v="3"/>
    <x v="2"/>
    <x v="1"/>
    <x v="2"/>
    <x v="1"/>
    <x v="1"/>
    <x v="223"/>
    <x v="1"/>
    <x v="1"/>
    <x v="2"/>
    <x v="479"/>
    <x v="12"/>
    <x v="3"/>
    <x v="0"/>
    <x v="1"/>
    <x v="0"/>
    <x v="565"/>
    <x v="281"/>
    <x v="294"/>
  </r>
  <r>
    <x v="975"/>
    <x v="483"/>
    <x v="477"/>
    <x v="471"/>
    <x v="772"/>
    <x v="3"/>
    <x v="2"/>
    <x v="486"/>
    <x v="150"/>
    <x v="1"/>
    <x v="4"/>
    <x v="0"/>
    <x v="0"/>
    <x v="1"/>
    <x v="3"/>
    <x v="3"/>
    <x v="2"/>
    <x v="1"/>
    <x v="3"/>
    <x v="1"/>
    <x v="1"/>
    <x v="223"/>
    <x v="1"/>
    <x v="1"/>
    <x v="2"/>
    <x v="480"/>
    <x v="1"/>
    <x v="1"/>
    <x v="7"/>
    <x v="1"/>
    <x v="0"/>
    <x v="566"/>
    <x v="0"/>
    <x v="295"/>
  </r>
  <r>
    <x v="976"/>
    <x v="484"/>
    <x v="478"/>
    <x v="472"/>
    <x v="773"/>
    <x v="3"/>
    <x v="6"/>
    <x v="487"/>
    <x v="279"/>
    <x v="1"/>
    <x v="15"/>
    <x v="0"/>
    <x v="0"/>
    <x v="2"/>
    <x v="7"/>
    <x v="3"/>
    <x v="2"/>
    <x v="1"/>
    <x v="3"/>
    <x v="1"/>
    <x v="2"/>
    <x v="0"/>
    <x v="3"/>
    <x v="1"/>
    <x v="2"/>
    <x v="481"/>
    <x v="12"/>
    <x v="0"/>
    <x v="0"/>
    <x v="1"/>
    <x v="0"/>
    <x v="0"/>
    <x v="0"/>
    <x v="0"/>
  </r>
  <r>
    <x v="977"/>
    <x v="485"/>
    <x v="479"/>
    <x v="473"/>
    <x v="774"/>
    <x v="1"/>
    <x v="2"/>
    <x v="488"/>
    <x v="312"/>
    <x v="1"/>
    <x v="9"/>
    <x v="0"/>
    <x v="0"/>
    <x v="1"/>
    <x v="1"/>
    <x v="1"/>
    <x v="2"/>
    <x v="2"/>
    <x v="1"/>
    <x v="1"/>
    <x v="2"/>
    <x v="0"/>
    <x v="1"/>
    <x v="6"/>
    <x v="2"/>
    <x v="482"/>
    <x v="12"/>
    <x v="0"/>
    <x v="0"/>
    <x v="1"/>
    <x v="0"/>
    <x v="0"/>
    <x v="0"/>
    <x v="0"/>
  </r>
  <r>
    <x v="978"/>
    <x v="486"/>
    <x v="26"/>
    <x v="26"/>
    <x v="775"/>
    <x v="1"/>
    <x v="2"/>
    <x v="28"/>
    <x v="71"/>
    <x v="1"/>
    <x v="3"/>
    <x v="0"/>
    <x v="0"/>
    <x v="1"/>
    <x v="3"/>
    <x v="2"/>
    <x v="2"/>
    <x v="1"/>
    <x v="2"/>
    <x v="1"/>
    <x v="1"/>
    <x v="224"/>
    <x v="1"/>
    <x v="6"/>
    <x v="2"/>
    <x v="26"/>
    <x v="12"/>
    <x v="1"/>
    <x v="1"/>
    <x v="1"/>
    <x v="0"/>
    <x v="567"/>
    <x v="282"/>
    <x v="0"/>
  </r>
  <r>
    <x v="979"/>
    <x v="483"/>
    <x v="477"/>
    <x v="471"/>
    <x v="0"/>
    <x v="1"/>
    <x v="2"/>
    <x v="486"/>
    <x v="150"/>
    <x v="1"/>
    <x v="4"/>
    <x v="0"/>
    <x v="0"/>
    <x v="3"/>
    <x v="1"/>
    <x v="1"/>
    <x v="2"/>
    <x v="1"/>
    <x v="2"/>
    <x v="1"/>
    <x v="2"/>
    <x v="0"/>
    <x v="2"/>
    <x v="3"/>
    <x v="4"/>
    <x v="480"/>
    <x v="12"/>
    <x v="0"/>
    <x v="0"/>
    <x v="1"/>
    <x v="0"/>
    <x v="0"/>
    <x v="0"/>
    <x v="0"/>
  </r>
  <r>
    <x v="980"/>
    <x v="115"/>
    <x v="114"/>
    <x v="113"/>
    <x v="776"/>
    <x v="3"/>
    <x v="2"/>
    <x v="120"/>
    <x v="111"/>
    <x v="1"/>
    <x v="22"/>
    <x v="0"/>
    <x v="0"/>
    <x v="1"/>
    <x v="1"/>
    <x v="1"/>
    <x v="1"/>
    <x v="1"/>
    <x v="2"/>
    <x v="1"/>
    <x v="1"/>
    <x v="225"/>
    <x v="1"/>
    <x v="6"/>
    <x v="2"/>
    <x v="114"/>
    <x v="12"/>
    <x v="1"/>
    <x v="4"/>
    <x v="2"/>
    <x v="1"/>
    <x v="568"/>
    <x v="0"/>
    <x v="296"/>
  </r>
  <r>
    <x v="981"/>
    <x v="487"/>
    <x v="480"/>
    <x v="474"/>
    <x v="777"/>
    <x v="1"/>
    <x v="2"/>
    <x v="489"/>
    <x v="365"/>
    <x v="1"/>
    <x v="185"/>
    <x v="0"/>
    <x v="0"/>
    <x v="1"/>
    <x v="1"/>
    <x v="1"/>
    <x v="2"/>
    <x v="1"/>
    <x v="2"/>
    <x v="1"/>
    <x v="2"/>
    <x v="0"/>
    <x v="1"/>
    <x v="6"/>
    <x v="2"/>
    <x v="483"/>
    <x v="12"/>
    <x v="0"/>
    <x v="0"/>
    <x v="1"/>
    <x v="0"/>
    <x v="0"/>
    <x v="0"/>
    <x v="0"/>
  </r>
  <r>
    <x v="982"/>
    <x v="115"/>
    <x v="114"/>
    <x v="113"/>
    <x v="778"/>
    <x v="3"/>
    <x v="2"/>
    <x v="120"/>
    <x v="111"/>
    <x v="1"/>
    <x v="22"/>
    <x v="0"/>
    <x v="0"/>
    <x v="3"/>
    <x v="1"/>
    <x v="1"/>
    <x v="1"/>
    <x v="1"/>
    <x v="2"/>
    <x v="1"/>
    <x v="2"/>
    <x v="0"/>
    <x v="1"/>
    <x v="3"/>
    <x v="4"/>
    <x v="114"/>
    <x v="1"/>
    <x v="0"/>
    <x v="0"/>
    <x v="1"/>
    <x v="0"/>
    <x v="0"/>
    <x v="0"/>
    <x v="297"/>
  </r>
  <r>
    <x v="983"/>
    <x v="488"/>
    <x v="481"/>
    <x v="475"/>
    <x v="779"/>
    <x v="3"/>
    <x v="2"/>
    <x v="490"/>
    <x v="366"/>
    <x v="1"/>
    <x v="2"/>
    <x v="0"/>
    <x v="0"/>
    <x v="1"/>
    <x v="3"/>
    <x v="2"/>
    <x v="2"/>
    <x v="1"/>
    <x v="3"/>
    <x v="1"/>
    <x v="1"/>
    <x v="224"/>
    <x v="1"/>
    <x v="1"/>
    <x v="2"/>
    <x v="484"/>
    <x v="1"/>
    <x v="3"/>
    <x v="0"/>
    <x v="1"/>
    <x v="0"/>
    <x v="569"/>
    <x v="0"/>
    <x v="0"/>
  </r>
  <r>
    <x v="984"/>
    <x v="486"/>
    <x v="26"/>
    <x v="26"/>
    <x v="0"/>
    <x v="1"/>
    <x v="2"/>
    <x v="28"/>
    <x v="71"/>
    <x v="1"/>
    <x v="3"/>
    <x v="0"/>
    <x v="0"/>
    <x v="3"/>
    <x v="1"/>
    <x v="1"/>
    <x v="2"/>
    <x v="1"/>
    <x v="2"/>
    <x v="1"/>
    <x v="2"/>
    <x v="0"/>
    <x v="2"/>
    <x v="3"/>
    <x v="4"/>
    <x v="26"/>
    <x v="5"/>
    <x v="0"/>
    <x v="0"/>
    <x v="1"/>
    <x v="0"/>
    <x v="0"/>
    <x v="0"/>
    <x v="0"/>
  </r>
  <r>
    <x v="985"/>
    <x v="489"/>
    <x v="482"/>
    <x v="476"/>
    <x v="780"/>
    <x v="1"/>
    <x v="2"/>
    <x v="491"/>
    <x v="303"/>
    <x v="1"/>
    <x v="8"/>
    <x v="0"/>
    <x v="0"/>
    <x v="1"/>
    <x v="1"/>
    <x v="1"/>
    <x v="2"/>
    <x v="1"/>
    <x v="2"/>
    <x v="1"/>
    <x v="1"/>
    <x v="226"/>
    <x v="1"/>
    <x v="1"/>
    <x v="2"/>
    <x v="485"/>
    <x v="5"/>
    <x v="1"/>
    <x v="1"/>
    <x v="1"/>
    <x v="0"/>
    <x v="570"/>
    <x v="0"/>
    <x v="0"/>
  </r>
  <r>
    <x v="986"/>
    <x v="388"/>
    <x v="388"/>
    <x v="383"/>
    <x v="781"/>
    <x v="1"/>
    <x v="2"/>
    <x v="403"/>
    <x v="10"/>
    <x v="1"/>
    <x v="31"/>
    <x v="0"/>
    <x v="0"/>
    <x v="1"/>
    <x v="1"/>
    <x v="1"/>
    <x v="1"/>
    <x v="2"/>
    <x v="2"/>
    <x v="1"/>
    <x v="1"/>
    <x v="226"/>
    <x v="1"/>
    <x v="1"/>
    <x v="2"/>
    <x v="486"/>
    <x v="1"/>
    <x v="1"/>
    <x v="4"/>
    <x v="2"/>
    <x v="1"/>
    <x v="571"/>
    <x v="0"/>
    <x v="0"/>
  </r>
  <r>
    <x v="987"/>
    <x v="490"/>
    <x v="483"/>
    <x v="477"/>
    <x v="782"/>
    <x v="1"/>
    <x v="2"/>
    <x v="492"/>
    <x v="10"/>
    <x v="1"/>
    <x v="186"/>
    <x v="0"/>
    <x v="0"/>
    <x v="1"/>
    <x v="1"/>
    <x v="1"/>
    <x v="1"/>
    <x v="1"/>
    <x v="3"/>
    <x v="1"/>
    <x v="2"/>
    <x v="0"/>
    <x v="1"/>
    <x v="1"/>
    <x v="2"/>
    <x v="487"/>
    <x v="4"/>
    <x v="0"/>
    <x v="0"/>
    <x v="1"/>
    <x v="0"/>
    <x v="0"/>
    <x v="0"/>
    <x v="0"/>
  </r>
  <r>
    <x v="988"/>
    <x v="491"/>
    <x v="484"/>
    <x v="478"/>
    <x v="783"/>
    <x v="1"/>
    <x v="2"/>
    <x v="493"/>
    <x v="367"/>
    <x v="1"/>
    <x v="187"/>
    <x v="0"/>
    <x v="0"/>
    <x v="1"/>
    <x v="3"/>
    <x v="2"/>
    <x v="2"/>
    <x v="1"/>
    <x v="1"/>
    <x v="1"/>
    <x v="1"/>
    <x v="226"/>
    <x v="1"/>
    <x v="1"/>
    <x v="2"/>
    <x v="488"/>
    <x v="13"/>
    <x v="3"/>
    <x v="0"/>
    <x v="1"/>
    <x v="0"/>
    <x v="572"/>
    <x v="283"/>
    <x v="0"/>
  </r>
  <r>
    <x v="989"/>
    <x v="154"/>
    <x v="154"/>
    <x v="152"/>
    <x v="784"/>
    <x v="1"/>
    <x v="2"/>
    <x v="160"/>
    <x v="114"/>
    <x v="1"/>
    <x v="188"/>
    <x v="0"/>
    <x v="0"/>
    <x v="1"/>
    <x v="1"/>
    <x v="1"/>
    <x v="2"/>
    <x v="1"/>
    <x v="3"/>
    <x v="1"/>
    <x v="1"/>
    <x v="226"/>
    <x v="1"/>
    <x v="1"/>
    <x v="2"/>
    <x v="153"/>
    <x v="1"/>
    <x v="1"/>
    <x v="4"/>
    <x v="2"/>
    <x v="1"/>
    <x v="573"/>
    <x v="0"/>
    <x v="298"/>
  </r>
  <r>
    <x v="990"/>
    <x v="440"/>
    <x v="436"/>
    <x v="431"/>
    <x v="785"/>
    <x v="1"/>
    <x v="1"/>
    <x v="446"/>
    <x v="10"/>
    <x v="1"/>
    <x v="15"/>
    <x v="0"/>
    <x v="0"/>
    <x v="1"/>
    <x v="1"/>
    <x v="1"/>
    <x v="2"/>
    <x v="1"/>
    <x v="3"/>
    <x v="1"/>
    <x v="1"/>
    <x v="226"/>
    <x v="2"/>
    <x v="1"/>
    <x v="2"/>
    <x v="439"/>
    <x v="4"/>
    <x v="1"/>
    <x v="1"/>
    <x v="1"/>
    <x v="0"/>
    <x v="574"/>
    <x v="0"/>
    <x v="299"/>
  </r>
  <r>
    <x v="991"/>
    <x v="388"/>
    <x v="388"/>
    <x v="383"/>
    <x v="786"/>
    <x v="1"/>
    <x v="2"/>
    <x v="403"/>
    <x v="10"/>
    <x v="1"/>
    <x v="31"/>
    <x v="0"/>
    <x v="0"/>
    <x v="3"/>
    <x v="1"/>
    <x v="1"/>
    <x v="2"/>
    <x v="1"/>
    <x v="3"/>
    <x v="1"/>
    <x v="2"/>
    <x v="0"/>
    <x v="1"/>
    <x v="3"/>
    <x v="4"/>
    <x v="486"/>
    <x v="1"/>
    <x v="0"/>
    <x v="0"/>
    <x v="1"/>
    <x v="0"/>
    <x v="0"/>
    <x v="0"/>
    <x v="0"/>
  </r>
  <r>
    <x v="992"/>
    <x v="492"/>
    <x v="485"/>
    <x v="479"/>
    <x v="787"/>
    <x v="1"/>
    <x v="3"/>
    <x v="494"/>
    <x v="269"/>
    <x v="1"/>
    <x v="2"/>
    <x v="0"/>
    <x v="0"/>
    <x v="1"/>
    <x v="1"/>
    <x v="1"/>
    <x v="2"/>
    <x v="2"/>
    <x v="3"/>
    <x v="1"/>
    <x v="1"/>
    <x v="226"/>
    <x v="1"/>
    <x v="1"/>
    <x v="2"/>
    <x v="489"/>
    <x v="5"/>
    <x v="3"/>
    <x v="0"/>
    <x v="1"/>
    <x v="0"/>
    <x v="575"/>
    <x v="0"/>
    <x v="194"/>
  </r>
  <r>
    <x v="993"/>
    <x v="154"/>
    <x v="154"/>
    <x v="152"/>
    <x v="788"/>
    <x v="1"/>
    <x v="2"/>
    <x v="160"/>
    <x v="114"/>
    <x v="1"/>
    <x v="188"/>
    <x v="0"/>
    <x v="0"/>
    <x v="3"/>
    <x v="1"/>
    <x v="1"/>
    <x v="2"/>
    <x v="1"/>
    <x v="3"/>
    <x v="1"/>
    <x v="2"/>
    <x v="0"/>
    <x v="1"/>
    <x v="3"/>
    <x v="4"/>
    <x v="153"/>
    <x v="1"/>
    <x v="0"/>
    <x v="0"/>
    <x v="1"/>
    <x v="0"/>
    <x v="0"/>
    <x v="0"/>
    <x v="0"/>
  </r>
  <r>
    <x v="994"/>
    <x v="489"/>
    <x v="482"/>
    <x v="476"/>
    <x v="0"/>
    <x v="1"/>
    <x v="2"/>
    <x v="491"/>
    <x v="303"/>
    <x v="1"/>
    <x v="8"/>
    <x v="0"/>
    <x v="0"/>
    <x v="3"/>
    <x v="1"/>
    <x v="1"/>
    <x v="2"/>
    <x v="1"/>
    <x v="2"/>
    <x v="1"/>
    <x v="2"/>
    <x v="0"/>
    <x v="2"/>
    <x v="3"/>
    <x v="4"/>
    <x v="485"/>
    <x v="5"/>
    <x v="0"/>
    <x v="0"/>
    <x v="1"/>
    <x v="0"/>
    <x v="0"/>
    <x v="0"/>
    <x v="0"/>
  </r>
  <r>
    <x v="995"/>
    <x v="440"/>
    <x v="436"/>
    <x v="431"/>
    <x v="0"/>
    <x v="1"/>
    <x v="1"/>
    <x v="446"/>
    <x v="10"/>
    <x v="1"/>
    <x v="15"/>
    <x v="0"/>
    <x v="0"/>
    <x v="3"/>
    <x v="1"/>
    <x v="1"/>
    <x v="2"/>
    <x v="1"/>
    <x v="3"/>
    <x v="1"/>
    <x v="1"/>
    <x v="227"/>
    <x v="2"/>
    <x v="3"/>
    <x v="4"/>
    <x v="439"/>
    <x v="5"/>
    <x v="1"/>
    <x v="4"/>
    <x v="1"/>
    <x v="0"/>
    <x v="576"/>
    <x v="284"/>
    <x v="0"/>
  </r>
  <r>
    <x v="996"/>
    <x v="464"/>
    <x v="460"/>
    <x v="454"/>
    <x v="789"/>
    <x v="1"/>
    <x v="2"/>
    <x v="469"/>
    <x v="170"/>
    <x v="1"/>
    <x v="15"/>
    <x v="0"/>
    <x v="0"/>
    <x v="1"/>
    <x v="3"/>
    <x v="3"/>
    <x v="1"/>
    <x v="1"/>
    <x v="1"/>
    <x v="1"/>
    <x v="1"/>
    <x v="227"/>
    <x v="1"/>
    <x v="1"/>
    <x v="2"/>
    <x v="462"/>
    <x v="1"/>
    <x v="3"/>
    <x v="0"/>
    <x v="1"/>
    <x v="0"/>
    <x v="577"/>
    <x v="285"/>
    <x v="0"/>
  </r>
  <r>
    <x v="997"/>
    <x v="223"/>
    <x v="222"/>
    <x v="219"/>
    <x v="790"/>
    <x v="1"/>
    <x v="2"/>
    <x v="233"/>
    <x v="191"/>
    <x v="1"/>
    <x v="1"/>
    <x v="0"/>
    <x v="0"/>
    <x v="1"/>
    <x v="2"/>
    <x v="3"/>
    <x v="2"/>
    <x v="1"/>
    <x v="2"/>
    <x v="1"/>
    <x v="1"/>
    <x v="227"/>
    <x v="1"/>
    <x v="5"/>
    <x v="2"/>
    <x v="223"/>
    <x v="5"/>
    <x v="3"/>
    <x v="0"/>
    <x v="1"/>
    <x v="0"/>
    <x v="578"/>
    <x v="285"/>
    <x v="0"/>
  </r>
  <r>
    <x v="998"/>
    <x v="493"/>
    <x v="486"/>
    <x v="480"/>
    <x v="791"/>
    <x v="1"/>
    <x v="2"/>
    <x v="495"/>
    <x v="316"/>
    <x v="1"/>
    <x v="3"/>
    <x v="0"/>
    <x v="0"/>
    <x v="1"/>
    <x v="1"/>
    <x v="2"/>
    <x v="2"/>
    <x v="1"/>
    <x v="2"/>
    <x v="1"/>
    <x v="1"/>
    <x v="227"/>
    <x v="1"/>
    <x v="5"/>
    <x v="2"/>
    <x v="490"/>
    <x v="5"/>
    <x v="1"/>
    <x v="1"/>
    <x v="1"/>
    <x v="0"/>
    <x v="579"/>
    <x v="0"/>
    <x v="0"/>
  </r>
  <r>
    <x v="999"/>
    <x v="388"/>
    <x v="388"/>
    <x v="383"/>
    <x v="792"/>
    <x v="1"/>
    <x v="2"/>
    <x v="403"/>
    <x v="10"/>
    <x v="1"/>
    <x v="8"/>
    <x v="0"/>
    <x v="0"/>
    <x v="1"/>
    <x v="1"/>
    <x v="1"/>
    <x v="2"/>
    <x v="1"/>
    <x v="2"/>
    <x v="1"/>
    <x v="1"/>
    <x v="228"/>
    <x v="1"/>
    <x v="1"/>
    <x v="2"/>
    <x v="486"/>
    <x v="13"/>
    <x v="3"/>
    <x v="0"/>
    <x v="1"/>
    <x v="0"/>
    <x v="580"/>
    <x v="286"/>
    <x v="286"/>
  </r>
  <r>
    <x v="1000"/>
    <x v="438"/>
    <x v="434"/>
    <x v="429"/>
    <x v="793"/>
    <x v="1"/>
    <x v="2"/>
    <x v="444"/>
    <x v="339"/>
    <x v="1"/>
    <x v="9"/>
    <x v="0"/>
    <x v="0"/>
    <x v="1"/>
    <x v="3"/>
    <x v="3"/>
    <x v="2"/>
    <x v="1"/>
    <x v="2"/>
    <x v="1"/>
    <x v="1"/>
    <x v="227"/>
    <x v="2"/>
    <x v="1"/>
    <x v="2"/>
    <x v="437"/>
    <x v="5"/>
    <x v="3"/>
    <x v="0"/>
    <x v="1"/>
    <x v="0"/>
    <x v="581"/>
    <x v="287"/>
    <x v="0"/>
  </r>
  <r>
    <x v="1001"/>
    <x v="494"/>
    <x v="487"/>
    <x v="481"/>
    <x v="794"/>
    <x v="1"/>
    <x v="2"/>
    <x v="496"/>
    <x v="76"/>
    <x v="2"/>
    <x v="0"/>
    <x v="2"/>
    <x v="0"/>
    <x v="1"/>
    <x v="1"/>
    <x v="1"/>
    <x v="2"/>
    <x v="1"/>
    <x v="2"/>
    <x v="1"/>
    <x v="2"/>
    <x v="0"/>
    <x v="1"/>
    <x v="1"/>
    <x v="2"/>
    <x v="491"/>
    <x v="5"/>
    <x v="0"/>
    <x v="0"/>
    <x v="1"/>
    <x v="0"/>
    <x v="0"/>
    <x v="0"/>
    <x v="0"/>
  </r>
  <r>
    <x v="1002"/>
    <x v="440"/>
    <x v="436"/>
    <x v="431"/>
    <x v="0"/>
    <x v="1"/>
    <x v="1"/>
    <x v="446"/>
    <x v="10"/>
    <x v="1"/>
    <x v="15"/>
    <x v="0"/>
    <x v="0"/>
    <x v="3"/>
    <x v="1"/>
    <x v="1"/>
    <x v="2"/>
    <x v="1"/>
    <x v="3"/>
    <x v="1"/>
    <x v="2"/>
    <x v="0"/>
    <x v="2"/>
    <x v="3"/>
    <x v="4"/>
    <x v="439"/>
    <x v="1"/>
    <x v="0"/>
    <x v="0"/>
    <x v="1"/>
    <x v="0"/>
    <x v="0"/>
    <x v="0"/>
    <x v="0"/>
  </r>
  <r>
    <x v="1003"/>
    <x v="415"/>
    <x v="412"/>
    <x v="407"/>
    <x v="795"/>
    <x v="1"/>
    <x v="2"/>
    <x v="425"/>
    <x v="327"/>
    <x v="1"/>
    <x v="15"/>
    <x v="0"/>
    <x v="0"/>
    <x v="1"/>
    <x v="1"/>
    <x v="1"/>
    <x v="2"/>
    <x v="1"/>
    <x v="1"/>
    <x v="1"/>
    <x v="1"/>
    <x v="228"/>
    <x v="1"/>
    <x v="1"/>
    <x v="2"/>
    <x v="415"/>
    <x v="13"/>
    <x v="3"/>
    <x v="0"/>
    <x v="1"/>
    <x v="0"/>
    <x v="582"/>
    <x v="0"/>
    <x v="0"/>
  </r>
  <r>
    <x v="1004"/>
    <x v="495"/>
    <x v="488"/>
    <x v="482"/>
    <x v="796"/>
    <x v="1"/>
    <x v="1"/>
    <x v="497"/>
    <x v="177"/>
    <x v="1"/>
    <x v="15"/>
    <x v="0"/>
    <x v="0"/>
    <x v="1"/>
    <x v="3"/>
    <x v="2"/>
    <x v="1"/>
    <x v="1"/>
    <x v="2"/>
    <x v="1"/>
    <x v="1"/>
    <x v="227"/>
    <x v="1"/>
    <x v="1"/>
    <x v="2"/>
    <x v="492"/>
    <x v="5"/>
    <x v="1"/>
    <x v="1"/>
    <x v="1"/>
    <x v="0"/>
    <x v="583"/>
    <x v="0"/>
    <x v="300"/>
  </r>
  <r>
    <x v="1005"/>
    <x v="496"/>
    <x v="486"/>
    <x v="480"/>
    <x v="0"/>
    <x v="1"/>
    <x v="2"/>
    <x v="495"/>
    <x v="166"/>
    <x v="1"/>
    <x v="3"/>
    <x v="0"/>
    <x v="0"/>
    <x v="3"/>
    <x v="1"/>
    <x v="1"/>
    <x v="2"/>
    <x v="1"/>
    <x v="2"/>
    <x v="1"/>
    <x v="1"/>
    <x v="229"/>
    <x v="2"/>
    <x v="3"/>
    <x v="4"/>
    <x v="490"/>
    <x v="5"/>
    <x v="1"/>
    <x v="4"/>
    <x v="2"/>
    <x v="1"/>
    <x v="584"/>
    <x v="0"/>
    <x v="0"/>
  </r>
  <r>
    <x v="1006"/>
    <x v="497"/>
    <x v="489"/>
    <x v="483"/>
    <x v="797"/>
    <x v="1"/>
    <x v="1"/>
    <x v="498"/>
    <x v="368"/>
    <x v="1"/>
    <x v="189"/>
    <x v="0"/>
    <x v="0"/>
    <x v="1"/>
    <x v="1"/>
    <x v="1"/>
    <x v="2"/>
    <x v="1"/>
    <x v="2"/>
    <x v="1"/>
    <x v="2"/>
    <x v="0"/>
    <x v="1"/>
    <x v="1"/>
    <x v="2"/>
    <x v="493"/>
    <x v="12"/>
    <x v="0"/>
    <x v="0"/>
    <x v="1"/>
    <x v="0"/>
    <x v="0"/>
    <x v="0"/>
    <x v="0"/>
  </r>
  <r>
    <x v="1007"/>
    <x v="491"/>
    <x v="484"/>
    <x v="478"/>
    <x v="798"/>
    <x v="1"/>
    <x v="2"/>
    <x v="499"/>
    <x v="367"/>
    <x v="1"/>
    <x v="22"/>
    <x v="0"/>
    <x v="0"/>
    <x v="1"/>
    <x v="1"/>
    <x v="1"/>
    <x v="2"/>
    <x v="1"/>
    <x v="2"/>
    <x v="2"/>
    <x v="1"/>
    <x v="230"/>
    <x v="1"/>
    <x v="1"/>
    <x v="2"/>
    <x v="488"/>
    <x v="12"/>
    <x v="3"/>
    <x v="0"/>
    <x v="1"/>
    <x v="0"/>
    <x v="585"/>
    <x v="288"/>
    <x v="0"/>
  </r>
  <r>
    <x v="1008"/>
    <x v="498"/>
    <x v="490"/>
    <x v="450"/>
    <x v="799"/>
    <x v="1"/>
    <x v="3"/>
    <x v="465"/>
    <x v="199"/>
    <x v="1"/>
    <x v="64"/>
    <x v="0"/>
    <x v="0"/>
    <x v="1"/>
    <x v="3"/>
    <x v="2"/>
    <x v="2"/>
    <x v="2"/>
    <x v="3"/>
    <x v="1"/>
    <x v="1"/>
    <x v="229"/>
    <x v="1"/>
    <x v="1"/>
    <x v="2"/>
    <x v="458"/>
    <x v="1"/>
    <x v="3"/>
    <x v="0"/>
    <x v="1"/>
    <x v="0"/>
    <x v="586"/>
    <x v="289"/>
    <x v="0"/>
  </r>
  <r>
    <x v="1009"/>
    <x v="499"/>
    <x v="491"/>
    <x v="484"/>
    <x v="800"/>
    <x v="3"/>
    <x v="2"/>
    <x v="500"/>
    <x v="323"/>
    <x v="1"/>
    <x v="9"/>
    <x v="0"/>
    <x v="0"/>
    <x v="1"/>
    <x v="1"/>
    <x v="1"/>
    <x v="2"/>
    <x v="1"/>
    <x v="1"/>
    <x v="1"/>
    <x v="2"/>
    <x v="0"/>
    <x v="1"/>
    <x v="1"/>
    <x v="2"/>
    <x v="494"/>
    <x v="12"/>
    <x v="0"/>
    <x v="0"/>
    <x v="1"/>
    <x v="0"/>
    <x v="0"/>
    <x v="0"/>
    <x v="0"/>
  </r>
  <r>
    <x v="1010"/>
    <x v="495"/>
    <x v="488"/>
    <x v="482"/>
    <x v="0"/>
    <x v="1"/>
    <x v="1"/>
    <x v="497"/>
    <x v="177"/>
    <x v="1"/>
    <x v="15"/>
    <x v="0"/>
    <x v="0"/>
    <x v="3"/>
    <x v="1"/>
    <x v="1"/>
    <x v="2"/>
    <x v="1"/>
    <x v="2"/>
    <x v="1"/>
    <x v="2"/>
    <x v="0"/>
    <x v="2"/>
    <x v="3"/>
    <x v="4"/>
    <x v="492"/>
    <x v="5"/>
    <x v="0"/>
    <x v="0"/>
    <x v="1"/>
    <x v="0"/>
    <x v="0"/>
    <x v="0"/>
    <x v="301"/>
  </r>
  <r>
    <x v="1011"/>
    <x v="496"/>
    <x v="486"/>
    <x v="480"/>
    <x v="801"/>
    <x v="1"/>
    <x v="2"/>
    <x v="495"/>
    <x v="166"/>
    <x v="1"/>
    <x v="3"/>
    <x v="0"/>
    <x v="0"/>
    <x v="3"/>
    <x v="1"/>
    <x v="1"/>
    <x v="2"/>
    <x v="1"/>
    <x v="2"/>
    <x v="1"/>
    <x v="2"/>
    <x v="0"/>
    <x v="1"/>
    <x v="3"/>
    <x v="4"/>
    <x v="490"/>
    <x v="1"/>
    <x v="0"/>
    <x v="0"/>
    <x v="1"/>
    <x v="0"/>
    <x v="0"/>
    <x v="0"/>
    <x v="0"/>
  </r>
  <r>
    <x v="1012"/>
    <x v="500"/>
    <x v="492"/>
    <x v="485"/>
    <x v="802"/>
    <x v="1"/>
    <x v="2"/>
    <x v="501"/>
    <x v="10"/>
    <x v="1"/>
    <x v="190"/>
    <x v="0"/>
    <x v="0"/>
    <x v="1"/>
    <x v="1"/>
    <x v="2"/>
    <x v="1"/>
    <x v="2"/>
    <x v="3"/>
    <x v="2"/>
    <x v="1"/>
    <x v="231"/>
    <x v="1"/>
    <x v="6"/>
    <x v="2"/>
    <x v="495"/>
    <x v="1"/>
    <x v="1"/>
    <x v="4"/>
    <x v="2"/>
    <x v="1"/>
    <x v="587"/>
    <x v="0"/>
    <x v="302"/>
  </r>
  <r>
    <x v="1013"/>
    <x v="501"/>
    <x v="493"/>
    <x v="486"/>
    <x v="803"/>
    <x v="1"/>
    <x v="1"/>
    <x v="502"/>
    <x v="257"/>
    <x v="1"/>
    <x v="15"/>
    <x v="0"/>
    <x v="0"/>
    <x v="1"/>
    <x v="1"/>
    <x v="1"/>
    <x v="2"/>
    <x v="1"/>
    <x v="3"/>
    <x v="1"/>
    <x v="1"/>
    <x v="231"/>
    <x v="1"/>
    <x v="6"/>
    <x v="2"/>
    <x v="496"/>
    <x v="1"/>
    <x v="1"/>
    <x v="4"/>
    <x v="2"/>
    <x v="1"/>
    <x v="588"/>
    <x v="0"/>
    <x v="0"/>
  </r>
  <r>
    <x v="1014"/>
    <x v="502"/>
    <x v="494"/>
    <x v="487"/>
    <x v="804"/>
    <x v="2"/>
    <x v="1"/>
    <x v="503"/>
    <x v="369"/>
    <x v="1"/>
    <x v="191"/>
    <x v="0"/>
    <x v="0"/>
    <x v="1"/>
    <x v="1"/>
    <x v="2"/>
    <x v="2"/>
    <x v="2"/>
    <x v="1"/>
    <x v="2"/>
    <x v="1"/>
    <x v="231"/>
    <x v="1"/>
    <x v="6"/>
    <x v="2"/>
    <x v="497"/>
    <x v="1"/>
    <x v="3"/>
    <x v="0"/>
    <x v="1"/>
    <x v="0"/>
    <x v="589"/>
    <x v="290"/>
    <x v="303"/>
  </r>
  <r>
    <x v="1015"/>
    <x v="503"/>
    <x v="495"/>
    <x v="488"/>
    <x v="805"/>
    <x v="1"/>
    <x v="2"/>
    <x v="504"/>
    <x v="370"/>
    <x v="10"/>
    <x v="0"/>
    <x v="0"/>
    <x v="0"/>
    <x v="1"/>
    <x v="1"/>
    <x v="1"/>
    <x v="2"/>
    <x v="1"/>
    <x v="1"/>
    <x v="1"/>
    <x v="2"/>
    <x v="0"/>
    <x v="1"/>
    <x v="4"/>
    <x v="2"/>
    <x v="498"/>
    <x v="12"/>
    <x v="0"/>
    <x v="0"/>
    <x v="1"/>
    <x v="0"/>
    <x v="0"/>
    <x v="0"/>
    <x v="0"/>
  </r>
  <r>
    <x v="1016"/>
    <x v="504"/>
    <x v="496"/>
    <x v="489"/>
    <x v="806"/>
    <x v="1"/>
    <x v="2"/>
    <x v="505"/>
    <x v="10"/>
    <x v="1"/>
    <x v="4"/>
    <x v="0"/>
    <x v="0"/>
    <x v="1"/>
    <x v="1"/>
    <x v="1"/>
    <x v="2"/>
    <x v="1"/>
    <x v="3"/>
    <x v="1"/>
    <x v="1"/>
    <x v="231"/>
    <x v="1"/>
    <x v="1"/>
    <x v="2"/>
    <x v="499"/>
    <x v="1"/>
    <x v="3"/>
    <x v="0"/>
    <x v="1"/>
    <x v="0"/>
    <x v="590"/>
    <x v="0"/>
    <x v="304"/>
  </r>
  <r>
    <x v="1017"/>
    <x v="500"/>
    <x v="492"/>
    <x v="485"/>
    <x v="807"/>
    <x v="1"/>
    <x v="2"/>
    <x v="506"/>
    <x v="10"/>
    <x v="1"/>
    <x v="192"/>
    <x v="0"/>
    <x v="0"/>
    <x v="3"/>
    <x v="1"/>
    <x v="2"/>
    <x v="2"/>
    <x v="2"/>
    <x v="3"/>
    <x v="1"/>
    <x v="1"/>
    <x v="232"/>
    <x v="1"/>
    <x v="3"/>
    <x v="4"/>
    <x v="495"/>
    <x v="1"/>
    <x v="1"/>
    <x v="1"/>
    <x v="1"/>
    <x v="0"/>
    <x v="591"/>
    <x v="0"/>
    <x v="0"/>
  </r>
  <r>
    <x v="1018"/>
    <x v="501"/>
    <x v="493"/>
    <x v="486"/>
    <x v="808"/>
    <x v="1"/>
    <x v="1"/>
    <x v="502"/>
    <x v="257"/>
    <x v="1"/>
    <x v="15"/>
    <x v="0"/>
    <x v="0"/>
    <x v="3"/>
    <x v="1"/>
    <x v="1"/>
    <x v="2"/>
    <x v="1"/>
    <x v="3"/>
    <x v="1"/>
    <x v="2"/>
    <x v="0"/>
    <x v="1"/>
    <x v="3"/>
    <x v="4"/>
    <x v="496"/>
    <x v="1"/>
    <x v="0"/>
    <x v="0"/>
    <x v="1"/>
    <x v="0"/>
    <x v="0"/>
    <x v="0"/>
    <x v="0"/>
  </r>
  <r>
    <x v="1019"/>
    <x v="505"/>
    <x v="497"/>
    <x v="490"/>
    <x v="809"/>
    <x v="1"/>
    <x v="3"/>
    <x v="507"/>
    <x v="371"/>
    <x v="1"/>
    <x v="22"/>
    <x v="0"/>
    <x v="0"/>
    <x v="1"/>
    <x v="1"/>
    <x v="1"/>
    <x v="1"/>
    <x v="1"/>
    <x v="2"/>
    <x v="1"/>
    <x v="1"/>
    <x v="232"/>
    <x v="1"/>
    <x v="5"/>
    <x v="2"/>
    <x v="500"/>
    <x v="12"/>
    <x v="1"/>
    <x v="1"/>
    <x v="2"/>
    <x v="1"/>
    <x v="592"/>
    <x v="0"/>
    <x v="0"/>
  </r>
  <r>
    <x v="1020"/>
    <x v="506"/>
    <x v="243"/>
    <x v="236"/>
    <x v="810"/>
    <x v="1"/>
    <x v="2"/>
    <x v="256"/>
    <x v="372"/>
    <x v="1"/>
    <x v="15"/>
    <x v="0"/>
    <x v="0"/>
    <x v="1"/>
    <x v="3"/>
    <x v="3"/>
    <x v="2"/>
    <x v="1"/>
    <x v="2"/>
    <x v="1"/>
    <x v="1"/>
    <x v="232"/>
    <x v="1"/>
    <x v="1"/>
    <x v="2"/>
    <x v="240"/>
    <x v="1"/>
    <x v="1"/>
    <x v="4"/>
    <x v="2"/>
    <x v="1"/>
    <x v="593"/>
    <x v="0"/>
    <x v="0"/>
  </r>
  <r>
    <x v="1021"/>
    <x v="507"/>
    <x v="498"/>
    <x v="491"/>
    <x v="811"/>
    <x v="1"/>
    <x v="1"/>
    <x v="132"/>
    <x v="373"/>
    <x v="1"/>
    <x v="36"/>
    <x v="0"/>
    <x v="0"/>
    <x v="1"/>
    <x v="3"/>
    <x v="2"/>
    <x v="1"/>
    <x v="1"/>
    <x v="2"/>
    <x v="1"/>
    <x v="1"/>
    <x v="232"/>
    <x v="1"/>
    <x v="1"/>
    <x v="2"/>
    <x v="501"/>
    <x v="3"/>
    <x v="1"/>
    <x v="1"/>
    <x v="1"/>
    <x v="0"/>
    <x v="594"/>
    <x v="0"/>
    <x v="305"/>
  </r>
  <r>
    <x v="1022"/>
    <x v="500"/>
    <x v="492"/>
    <x v="485"/>
    <x v="0"/>
    <x v="1"/>
    <x v="2"/>
    <x v="501"/>
    <x v="10"/>
    <x v="10"/>
    <x v="0"/>
    <x v="0"/>
    <x v="0"/>
    <x v="3"/>
    <x v="1"/>
    <x v="1"/>
    <x v="1"/>
    <x v="1"/>
    <x v="3"/>
    <x v="1"/>
    <x v="1"/>
    <x v="233"/>
    <x v="2"/>
    <x v="3"/>
    <x v="4"/>
    <x v="495"/>
    <x v="5"/>
    <x v="1"/>
    <x v="1"/>
    <x v="1"/>
    <x v="0"/>
    <x v="595"/>
    <x v="0"/>
    <x v="306"/>
  </r>
  <r>
    <x v="1023"/>
    <x v="505"/>
    <x v="497"/>
    <x v="490"/>
    <x v="812"/>
    <x v="1"/>
    <x v="3"/>
    <x v="507"/>
    <x v="371"/>
    <x v="1"/>
    <x v="22"/>
    <x v="0"/>
    <x v="0"/>
    <x v="3"/>
    <x v="1"/>
    <x v="1"/>
    <x v="2"/>
    <x v="1"/>
    <x v="2"/>
    <x v="1"/>
    <x v="1"/>
    <x v="234"/>
    <x v="1"/>
    <x v="3"/>
    <x v="4"/>
    <x v="500"/>
    <x v="5"/>
    <x v="1"/>
    <x v="7"/>
    <x v="2"/>
    <x v="1"/>
    <x v="596"/>
    <x v="0"/>
    <x v="0"/>
  </r>
  <r>
    <x v="1024"/>
    <x v="506"/>
    <x v="243"/>
    <x v="236"/>
    <x v="813"/>
    <x v="1"/>
    <x v="2"/>
    <x v="256"/>
    <x v="372"/>
    <x v="1"/>
    <x v="15"/>
    <x v="0"/>
    <x v="0"/>
    <x v="3"/>
    <x v="1"/>
    <x v="1"/>
    <x v="2"/>
    <x v="2"/>
    <x v="2"/>
    <x v="1"/>
    <x v="2"/>
    <x v="0"/>
    <x v="1"/>
    <x v="3"/>
    <x v="4"/>
    <x v="240"/>
    <x v="1"/>
    <x v="0"/>
    <x v="0"/>
    <x v="1"/>
    <x v="0"/>
    <x v="0"/>
    <x v="0"/>
    <x v="0"/>
  </r>
  <r>
    <x v="1025"/>
    <x v="200"/>
    <x v="499"/>
    <x v="196"/>
    <x v="814"/>
    <x v="1"/>
    <x v="2"/>
    <x v="209"/>
    <x v="374"/>
    <x v="1"/>
    <x v="2"/>
    <x v="0"/>
    <x v="0"/>
    <x v="1"/>
    <x v="2"/>
    <x v="3"/>
    <x v="2"/>
    <x v="1"/>
    <x v="2"/>
    <x v="1"/>
    <x v="1"/>
    <x v="235"/>
    <x v="1"/>
    <x v="1"/>
    <x v="2"/>
    <x v="473"/>
    <x v="5"/>
    <x v="1"/>
    <x v="1"/>
    <x v="2"/>
    <x v="1"/>
    <x v="597"/>
    <x v="291"/>
    <x v="307"/>
  </r>
  <r>
    <x v="1026"/>
    <x v="507"/>
    <x v="498"/>
    <x v="491"/>
    <x v="0"/>
    <x v="1"/>
    <x v="1"/>
    <x v="132"/>
    <x v="212"/>
    <x v="1"/>
    <x v="36"/>
    <x v="0"/>
    <x v="0"/>
    <x v="3"/>
    <x v="1"/>
    <x v="1"/>
    <x v="2"/>
    <x v="1"/>
    <x v="2"/>
    <x v="1"/>
    <x v="2"/>
    <x v="0"/>
    <x v="2"/>
    <x v="3"/>
    <x v="4"/>
    <x v="501"/>
    <x v="5"/>
    <x v="0"/>
    <x v="0"/>
    <x v="1"/>
    <x v="0"/>
    <x v="0"/>
    <x v="0"/>
    <x v="0"/>
  </r>
  <r>
    <x v="1027"/>
    <x v="508"/>
    <x v="500"/>
    <x v="492"/>
    <x v="815"/>
    <x v="1"/>
    <x v="2"/>
    <x v="508"/>
    <x v="80"/>
    <x v="1"/>
    <x v="193"/>
    <x v="0"/>
    <x v="0"/>
    <x v="1"/>
    <x v="1"/>
    <x v="1"/>
    <x v="2"/>
    <x v="1"/>
    <x v="2"/>
    <x v="1"/>
    <x v="2"/>
    <x v="0"/>
    <x v="1"/>
    <x v="1"/>
    <x v="2"/>
    <x v="502"/>
    <x v="5"/>
    <x v="0"/>
    <x v="0"/>
    <x v="1"/>
    <x v="0"/>
    <x v="0"/>
    <x v="0"/>
    <x v="0"/>
  </r>
  <r>
    <x v="1028"/>
    <x v="509"/>
    <x v="501"/>
    <x v="493"/>
    <x v="816"/>
    <x v="1"/>
    <x v="3"/>
    <x v="509"/>
    <x v="375"/>
    <x v="1"/>
    <x v="3"/>
    <x v="0"/>
    <x v="0"/>
    <x v="1"/>
    <x v="1"/>
    <x v="2"/>
    <x v="1"/>
    <x v="1"/>
    <x v="2"/>
    <x v="1"/>
    <x v="1"/>
    <x v="236"/>
    <x v="1"/>
    <x v="1"/>
    <x v="2"/>
    <x v="503"/>
    <x v="5"/>
    <x v="1"/>
    <x v="7"/>
    <x v="2"/>
    <x v="1"/>
    <x v="0"/>
    <x v="0"/>
    <x v="308"/>
  </r>
  <r>
    <x v="1029"/>
    <x v="483"/>
    <x v="477"/>
    <x v="471"/>
    <x v="817"/>
    <x v="3"/>
    <x v="2"/>
    <x v="486"/>
    <x v="150"/>
    <x v="1"/>
    <x v="15"/>
    <x v="0"/>
    <x v="0"/>
    <x v="1"/>
    <x v="3"/>
    <x v="3"/>
    <x v="2"/>
    <x v="1"/>
    <x v="3"/>
    <x v="1"/>
    <x v="1"/>
    <x v="236"/>
    <x v="1"/>
    <x v="1"/>
    <x v="2"/>
    <x v="480"/>
    <x v="13"/>
    <x v="3"/>
    <x v="0"/>
    <x v="1"/>
    <x v="0"/>
    <x v="598"/>
    <x v="292"/>
    <x v="0"/>
  </r>
  <r>
    <x v="1030"/>
    <x v="200"/>
    <x v="499"/>
    <x v="196"/>
    <x v="818"/>
    <x v="1"/>
    <x v="2"/>
    <x v="209"/>
    <x v="374"/>
    <x v="1"/>
    <x v="2"/>
    <x v="0"/>
    <x v="0"/>
    <x v="3"/>
    <x v="3"/>
    <x v="2"/>
    <x v="2"/>
    <x v="1"/>
    <x v="2"/>
    <x v="1"/>
    <x v="1"/>
    <x v="236"/>
    <x v="2"/>
    <x v="3"/>
    <x v="4"/>
    <x v="473"/>
    <x v="5"/>
    <x v="1"/>
    <x v="4"/>
    <x v="1"/>
    <x v="0"/>
    <x v="599"/>
    <x v="293"/>
    <x v="293"/>
  </r>
  <r>
    <x v="1031"/>
    <x v="510"/>
    <x v="502"/>
    <x v="494"/>
    <x v="819"/>
    <x v="1"/>
    <x v="2"/>
    <x v="510"/>
    <x v="281"/>
    <x v="1"/>
    <x v="36"/>
    <x v="0"/>
    <x v="0"/>
    <x v="1"/>
    <x v="1"/>
    <x v="1"/>
    <x v="2"/>
    <x v="1"/>
    <x v="3"/>
    <x v="1"/>
    <x v="1"/>
    <x v="237"/>
    <x v="1"/>
    <x v="1"/>
    <x v="1"/>
    <x v="504"/>
    <x v="1"/>
    <x v="1"/>
    <x v="4"/>
    <x v="1"/>
    <x v="0"/>
    <x v="600"/>
    <x v="0"/>
    <x v="0"/>
  </r>
  <r>
    <x v="1032"/>
    <x v="511"/>
    <x v="503"/>
    <x v="495"/>
    <x v="820"/>
    <x v="1"/>
    <x v="2"/>
    <x v="511"/>
    <x v="222"/>
    <x v="1"/>
    <x v="3"/>
    <x v="0"/>
    <x v="0"/>
    <x v="1"/>
    <x v="1"/>
    <x v="1"/>
    <x v="2"/>
    <x v="1"/>
    <x v="1"/>
    <x v="1"/>
    <x v="2"/>
    <x v="0"/>
    <x v="1"/>
    <x v="1"/>
    <x v="2"/>
    <x v="505"/>
    <x v="12"/>
    <x v="0"/>
    <x v="0"/>
    <x v="1"/>
    <x v="0"/>
    <x v="0"/>
    <x v="0"/>
    <x v="0"/>
  </r>
  <r>
    <x v="1033"/>
    <x v="464"/>
    <x v="460"/>
    <x v="454"/>
    <x v="821"/>
    <x v="1"/>
    <x v="2"/>
    <x v="469"/>
    <x v="376"/>
    <x v="1"/>
    <x v="31"/>
    <x v="0"/>
    <x v="0"/>
    <x v="1"/>
    <x v="3"/>
    <x v="2"/>
    <x v="2"/>
    <x v="1"/>
    <x v="2"/>
    <x v="1"/>
    <x v="1"/>
    <x v="238"/>
    <x v="1"/>
    <x v="1"/>
    <x v="2"/>
    <x v="462"/>
    <x v="1"/>
    <x v="3"/>
    <x v="0"/>
    <x v="1"/>
    <x v="0"/>
    <x v="601"/>
    <x v="294"/>
    <x v="0"/>
  </r>
  <r>
    <x v="1034"/>
    <x v="512"/>
    <x v="504"/>
    <x v="496"/>
    <x v="822"/>
    <x v="1"/>
    <x v="4"/>
    <x v="512"/>
    <x v="377"/>
    <x v="1"/>
    <x v="194"/>
    <x v="0"/>
    <x v="0"/>
    <x v="1"/>
    <x v="1"/>
    <x v="1"/>
    <x v="2"/>
    <x v="1"/>
    <x v="2"/>
    <x v="1"/>
    <x v="2"/>
    <x v="0"/>
    <x v="1"/>
    <x v="1"/>
    <x v="2"/>
    <x v="506"/>
    <x v="12"/>
    <x v="0"/>
    <x v="0"/>
    <x v="1"/>
    <x v="0"/>
    <x v="0"/>
    <x v="0"/>
    <x v="0"/>
  </r>
  <r>
    <x v="1035"/>
    <x v="200"/>
    <x v="499"/>
    <x v="196"/>
    <x v="0"/>
    <x v="1"/>
    <x v="2"/>
    <x v="209"/>
    <x v="374"/>
    <x v="1"/>
    <x v="2"/>
    <x v="0"/>
    <x v="0"/>
    <x v="3"/>
    <x v="3"/>
    <x v="2"/>
    <x v="2"/>
    <x v="1"/>
    <x v="2"/>
    <x v="1"/>
    <x v="1"/>
    <x v="238"/>
    <x v="2"/>
    <x v="3"/>
    <x v="4"/>
    <x v="473"/>
    <x v="1"/>
    <x v="3"/>
    <x v="0"/>
    <x v="1"/>
    <x v="0"/>
    <x v="602"/>
    <x v="0"/>
    <x v="293"/>
  </r>
  <r>
    <x v="1036"/>
    <x v="509"/>
    <x v="501"/>
    <x v="493"/>
    <x v="823"/>
    <x v="1"/>
    <x v="3"/>
    <x v="513"/>
    <x v="375"/>
    <x v="1"/>
    <x v="1"/>
    <x v="0"/>
    <x v="0"/>
    <x v="3"/>
    <x v="3"/>
    <x v="3"/>
    <x v="1"/>
    <x v="1"/>
    <x v="1"/>
    <x v="1"/>
    <x v="1"/>
    <x v="238"/>
    <x v="1"/>
    <x v="3"/>
    <x v="4"/>
    <x v="503"/>
    <x v="12"/>
    <x v="1"/>
    <x v="4"/>
    <x v="2"/>
    <x v="1"/>
    <x v="603"/>
    <x v="0"/>
    <x v="309"/>
  </r>
  <r>
    <x v="1037"/>
    <x v="513"/>
    <x v="505"/>
    <x v="497"/>
    <x v="824"/>
    <x v="3"/>
    <x v="2"/>
    <x v="514"/>
    <x v="310"/>
    <x v="1"/>
    <x v="1"/>
    <x v="0"/>
    <x v="0"/>
    <x v="1"/>
    <x v="2"/>
    <x v="3"/>
    <x v="2"/>
    <x v="1"/>
    <x v="2"/>
    <x v="1"/>
    <x v="1"/>
    <x v="238"/>
    <x v="1"/>
    <x v="6"/>
    <x v="2"/>
    <x v="507"/>
    <x v="5"/>
    <x v="1"/>
    <x v="1"/>
    <x v="1"/>
    <x v="0"/>
    <x v="604"/>
    <x v="295"/>
    <x v="194"/>
  </r>
  <r>
    <x v="1038"/>
    <x v="509"/>
    <x v="501"/>
    <x v="493"/>
    <x v="825"/>
    <x v="1"/>
    <x v="3"/>
    <x v="513"/>
    <x v="375"/>
    <x v="1"/>
    <x v="2"/>
    <x v="0"/>
    <x v="0"/>
    <x v="3"/>
    <x v="1"/>
    <x v="1"/>
    <x v="1"/>
    <x v="1"/>
    <x v="1"/>
    <x v="1"/>
    <x v="1"/>
    <x v="238"/>
    <x v="1"/>
    <x v="3"/>
    <x v="4"/>
    <x v="503"/>
    <x v="1"/>
    <x v="1"/>
    <x v="4"/>
    <x v="2"/>
    <x v="1"/>
    <x v="0"/>
    <x v="0"/>
    <x v="0"/>
  </r>
  <r>
    <x v="1039"/>
    <x v="513"/>
    <x v="505"/>
    <x v="497"/>
    <x v="0"/>
    <x v="3"/>
    <x v="2"/>
    <x v="514"/>
    <x v="310"/>
    <x v="1"/>
    <x v="1"/>
    <x v="0"/>
    <x v="0"/>
    <x v="3"/>
    <x v="4"/>
    <x v="1"/>
    <x v="2"/>
    <x v="1"/>
    <x v="2"/>
    <x v="1"/>
    <x v="2"/>
    <x v="0"/>
    <x v="2"/>
    <x v="3"/>
    <x v="4"/>
    <x v="507"/>
    <x v="5"/>
    <x v="0"/>
    <x v="0"/>
    <x v="1"/>
    <x v="0"/>
    <x v="0"/>
    <x v="0"/>
    <x v="0"/>
  </r>
  <r>
    <x v="1040"/>
    <x v="509"/>
    <x v="501"/>
    <x v="493"/>
    <x v="826"/>
    <x v="1"/>
    <x v="3"/>
    <x v="513"/>
    <x v="375"/>
    <x v="1"/>
    <x v="2"/>
    <x v="0"/>
    <x v="0"/>
    <x v="3"/>
    <x v="1"/>
    <x v="1"/>
    <x v="2"/>
    <x v="1"/>
    <x v="1"/>
    <x v="1"/>
    <x v="2"/>
    <x v="0"/>
    <x v="1"/>
    <x v="3"/>
    <x v="4"/>
    <x v="503"/>
    <x v="1"/>
    <x v="0"/>
    <x v="0"/>
    <x v="1"/>
    <x v="0"/>
    <x v="0"/>
    <x v="0"/>
    <x v="0"/>
  </r>
  <r>
    <x v="1041"/>
    <x v="514"/>
    <x v="506"/>
    <x v="498"/>
    <x v="827"/>
    <x v="1"/>
    <x v="1"/>
    <x v="515"/>
    <x v="378"/>
    <x v="1"/>
    <x v="9"/>
    <x v="0"/>
    <x v="0"/>
    <x v="1"/>
    <x v="3"/>
    <x v="3"/>
    <x v="2"/>
    <x v="1"/>
    <x v="1"/>
    <x v="1"/>
    <x v="1"/>
    <x v="237"/>
    <x v="1"/>
    <x v="6"/>
    <x v="3"/>
    <x v="508"/>
    <x v="1"/>
    <x v="3"/>
    <x v="0"/>
    <x v="2"/>
    <x v="1"/>
    <x v="605"/>
    <x v="296"/>
    <x v="310"/>
  </r>
  <r>
    <x v="1042"/>
    <x v="515"/>
    <x v="507"/>
    <x v="499"/>
    <x v="828"/>
    <x v="1"/>
    <x v="2"/>
    <x v="516"/>
    <x v="10"/>
    <x v="1"/>
    <x v="2"/>
    <x v="0"/>
    <x v="0"/>
    <x v="1"/>
    <x v="1"/>
    <x v="1"/>
    <x v="2"/>
    <x v="2"/>
    <x v="1"/>
    <x v="1"/>
    <x v="1"/>
    <x v="237"/>
    <x v="1"/>
    <x v="6"/>
    <x v="3"/>
    <x v="509"/>
    <x v="1"/>
    <x v="1"/>
    <x v="1"/>
    <x v="1"/>
    <x v="0"/>
    <x v="606"/>
    <x v="0"/>
    <x v="311"/>
  </r>
  <r>
    <x v="1043"/>
    <x v="510"/>
    <x v="502"/>
    <x v="494"/>
    <x v="829"/>
    <x v="1"/>
    <x v="2"/>
    <x v="510"/>
    <x v="281"/>
    <x v="1"/>
    <x v="36"/>
    <x v="0"/>
    <x v="0"/>
    <x v="3"/>
    <x v="1"/>
    <x v="1"/>
    <x v="1"/>
    <x v="1"/>
    <x v="3"/>
    <x v="1"/>
    <x v="2"/>
    <x v="0"/>
    <x v="1"/>
    <x v="3"/>
    <x v="4"/>
    <x v="510"/>
    <x v="1"/>
    <x v="0"/>
    <x v="0"/>
    <x v="1"/>
    <x v="0"/>
    <x v="0"/>
    <x v="0"/>
    <x v="0"/>
  </r>
  <r>
    <x v="1044"/>
    <x v="515"/>
    <x v="507"/>
    <x v="499"/>
    <x v="0"/>
    <x v="1"/>
    <x v="2"/>
    <x v="516"/>
    <x v="10"/>
    <x v="1"/>
    <x v="2"/>
    <x v="0"/>
    <x v="0"/>
    <x v="3"/>
    <x v="1"/>
    <x v="1"/>
    <x v="2"/>
    <x v="1"/>
    <x v="3"/>
    <x v="1"/>
    <x v="2"/>
    <x v="0"/>
    <x v="2"/>
    <x v="3"/>
    <x v="4"/>
    <x v="509"/>
    <x v="5"/>
    <x v="0"/>
    <x v="0"/>
    <x v="1"/>
    <x v="0"/>
    <x v="0"/>
    <x v="0"/>
    <x v="0"/>
  </r>
  <r>
    <x v="1045"/>
    <x v="516"/>
    <x v="508"/>
    <x v="500"/>
    <x v="830"/>
    <x v="1"/>
    <x v="2"/>
    <x v="517"/>
    <x v="55"/>
    <x v="1"/>
    <x v="4"/>
    <x v="0"/>
    <x v="0"/>
    <x v="1"/>
    <x v="1"/>
    <x v="1"/>
    <x v="2"/>
    <x v="1"/>
    <x v="3"/>
    <x v="1"/>
    <x v="1"/>
    <x v="239"/>
    <x v="1"/>
    <x v="1"/>
    <x v="1"/>
    <x v="511"/>
    <x v="1"/>
    <x v="1"/>
    <x v="4"/>
    <x v="2"/>
    <x v="1"/>
    <x v="607"/>
    <x v="0"/>
    <x v="0"/>
  </r>
  <r>
    <x v="1046"/>
    <x v="517"/>
    <x v="509"/>
    <x v="501"/>
    <x v="831"/>
    <x v="1"/>
    <x v="2"/>
    <x v="518"/>
    <x v="379"/>
    <x v="1"/>
    <x v="15"/>
    <x v="0"/>
    <x v="0"/>
    <x v="1"/>
    <x v="3"/>
    <x v="2"/>
    <x v="2"/>
    <x v="1"/>
    <x v="2"/>
    <x v="1"/>
    <x v="1"/>
    <x v="239"/>
    <x v="1"/>
    <x v="1"/>
    <x v="2"/>
    <x v="512"/>
    <x v="3"/>
    <x v="1"/>
    <x v="3"/>
    <x v="2"/>
    <x v="1"/>
    <x v="0"/>
    <x v="0"/>
    <x v="312"/>
  </r>
  <r>
    <x v="1047"/>
    <x v="518"/>
    <x v="510"/>
    <x v="502"/>
    <x v="832"/>
    <x v="1"/>
    <x v="1"/>
    <x v="519"/>
    <x v="356"/>
    <x v="1"/>
    <x v="195"/>
    <x v="0"/>
    <x v="0"/>
    <x v="1"/>
    <x v="1"/>
    <x v="1"/>
    <x v="2"/>
    <x v="1"/>
    <x v="1"/>
    <x v="1"/>
    <x v="2"/>
    <x v="0"/>
    <x v="1"/>
    <x v="1"/>
    <x v="2"/>
    <x v="513"/>
    <x v="3"/>
    <x v="0"/>
    <x v="0"/>
    <x v="1"/>
    <x v="0"/>
    <x v="0"/>
    <x v="0"/>
    <x v="0"/>
  </r>
  <r>
    <x v="1048"/>
    <x v="516"/>
    <x v="508"/>
    <x v="500"/>
    <x v="833"/>
    <x v="1"/>
    <x v="2"/>
    <x v="520"/>
    <x v="55"/>
    <x v="1"/>
    <x v="4"/>
    <x v="0"/>
    <x v="0"/>
    <x v="3"/>
    <x v="3"/>
    <x v="3"/>
    <x v="2"/>
    <x v="1"/>
    <x v="1"/>
    <x v="1"/>
    <x v="1"/>
    <x v="233"/>
    <x v="1"/>
    <x v="3"/>
    <x v="4"/>
    <x v="511"/>
    <x v="1"/>
    <x v="3"/>
    <x v="0"/>
    <x v="1"/>
    <x v="0"/>
    <x v="608"/>
    <x v="297"/>
    <x v="0"/>
  </r>
  <r>
    <x v="1049"/>
    <x v="517"/>
    <x v="509"/>
    <x v="501"/>
    <x v="834"/>
    <x v="1"/>
    <x v="2"/>
    <x v="518"/>
    <x v="379"/>
    <x v="1"/>
    <x v="15"/>
    <x v="0"/>
    <x v="0"/>
    <x v="3"/>
    <x v="1"/>
    <x v="1"/>
    <x v="2"/>
    <x v="1"/>
    <x v="1"/>
    <x v="1"/>
    <x v="2"/>
    <x v="0"/>
    <x v="1"/>
    <x v="3"/>
    <x v="4"/>
    <x v="512"/>
    <x v="3"/>
    <x v="0"/>
    <x v="0"/>
    <x v="1"/>
    <x v="0"/>
    <x v="0"/>
    <x v="0"/>
    <x v="0"/>
  </r>
  <r>
    <x v="1050"/>
    <x v="141"/>
    <x v="141"/>
    <x v="139"/>
    <x v="835"/>
    <x v="1"/>
    <x v="2"/>
    <x v="145"/>
    <x v="10"/>
    <x v="6"/>
    <x v="0"/>
    <x v="0"/>
    <x v="10"/>
    <x v="1"/>
    <x v="1"/>
    <x v="1"/>
    <x v="2"/>
    <x v="1"/>
    <x v="2"/>
    <x v="1"/>
    <x v="1"/>
    <x v="233"/>
    <x v="1"/>
    <x v="5"/>
    <x v="2"/>
    <x v="140"/>
    <x v="3"/>
    <x v="3"/>
    <x v="0"/>
    <x v="1"/>
    <x v="0"/>
    <x v="609"/>
    <x v="298"/>
    <x v="313"/>
  </r>
  <r>
    <x v="1051"/>
    <x v="500"/>
    <x v="492"/>
    <x v="485"/>
    <x v="0"/>
    <x v="1"/>
    <x v="2"/>
    <x v="501"/>
    <x v="10"/>
    <x v="10"/>
    <x v="0"/>
    <x v="0"/>
    <x v="0"/>
    <x v="3"/>
    <x v="1"/>
    <x v="1"/>
    <x v="2"/>
    <x v="1"/>
    <x v="2"/>
    <x v="1"/>
    <x v="2"/>
    <x v="0"/>
    <x v="2"/>
    <x v="3"/>
    <x v="4"/>
    <x v="495"/>
    <x v="5"/>
    <x v="0"/>
    <x v="0"/>
    <x v="1"/>
    <x v="0"/>
    <x v="0"/>
    <x v="0"/>
    <x v="0"/>
  </r>
  <r>
    <x v="1052"/>
    <x v="519"/>
    <x v="511"/>
    <x v="503"/>
    <x v="836"/>
    <x v="1"/>
    <x v="2"/>
    <x v="521"/>
    <x v="245"/>
    <x v="1"/>
    <x v="3"/>
    <x v="0"/>
    <x v="0"/>
    <x v="1"/>
    <x v="3"/>
    <x v="3"/>
    <x v="2"/>
    <x v="2"/>
    <x v="2"/>
    <x v="1"/>
    <x v="1"/>
    <x v="240"/>
    <x v="1"/>
    <x v="1"/>
    <x v="5"/>
    <x v="514"/>
    <x v="5"/>
    <x v="3"/>
    <x v="0"/>
    <x v="1"/>
    <x v="0"/>
    <x v="610"/>
    <x v="299"/>
    <x v="0"/>
  </r>
  <r>
    <x v="1053"/>
    <x v="458"/>
    <x v="454"/>
    <x v="448"/>
    <x v="837"/>
    <x v="1"/>
    <x v="2"/>
    <x v="522"/>
    <x v="356"/>
    <x v="1"/>
    <x v="2"/>
    <x v="0"/>
    <x v="0"/>
    <x v="1"/>
    <x v="3"/>
    <x v="2"/>
    <x v="1"/>
    <x v="1"/>
    <x v="1"/>
    <x v="1"/>
    <x v="1"/>
    <x v="240"/>
    <x v="1"/>
    <x v="1"/>
    <x v="2"/>
    <x v="456"/>
    <x v="1"/>
    <x v="1"/>
    <x v="7"/>
    <x v="2"/>
    <x v="1"/>
    <x v="611"/>
    <x v="0"/>
    <x v="0"/>
  </r>
  <r>
    <x v="1054"/>
    <x v="458"/>
    <x v="454"/>
    <x v="448"/>
    <x v="838"/>
    <x v="1"/>
    <x v="2"/>
    <x v="463"/>
    <x v="356"/>
    <x v="1"/>
    <x v="2"/>
    <x v="0"/>
    <x v="0"/>
    <x v="3"/>
    <x v="1"/>
    <x v="1"/>
    <x v="1"/>
    <x v="1"/>
    <x v="2"/>
    <x v="1"/>
    <x v="2"/>
    <x v="0"/>
    <x v="1"/>
    <x v="3"/>
    <x v="4"/>
    <x v="456"/>
    <x v="12"/>
    <x v="0"/>
    <x v="0"/>
    <x v="1"/>
    <x v="0"/>
    <x v="0"/>
    <x v="0"/>
    <x v="0"/>
  </r>
  <r>
    <x v="1055"/>
    <x v="512"/>
    <x v="504"/>
    <x v="496"/>
    <x v="839"/>
    <x v="1"/>
    <x v="4"/>
    <x v="512"/>
    <x v="377"/>
    <x v="1"/>
    <x v="196"/>
    <x v="0"/>
    <x v="0"/>
    <x v="1"/>
    <x v="1"/>
    <x v="1"/>
    <x v="1"/>
    <x v="1"/>
    <x v="2"/>
    <x v="1"/>
    <x v="2"/>
    <x v="0"/>
    <x v="1"/>
    <x v="2"/>
    <x v="2"/>
    <x v="506"/>
    <x v="12"/>
    <x v="0"/>
    <x v="0"/>
    <x v="1"/>
    <x v="0"/>
    <x v="0"/>
    <x v="0"/>
    <x v="0"/>
  </r>
  <r>
    <x v="1056"/>
    <x v="428"/>
    <x v="425"/>
    <x v="420"/>
    <x v="840"/>
    <x v="3"/>
    <x v="2"/>
    <x v="437"/>
    <x v="324"/>
    <x v="1"/>
    <x v="197"/>
    <x v="0"/>
    <x v="0"/>
    <x v="1"/>
    <x v="1"/>
    <x v="1"/>
    <x v="1"/>
    <x v="2"/>
    <x v="2"/>
    <x v="1"/>
    <x v="2"/>
    <x v="0"/>
    <x v="1"/>
    <x v="1"/>
    <x v="2"/>
    <x v="428"/>
    <x v="12"/>
    <x v="0"/>
    <x v="0"/>
    <x v="1"/>
    <x v="0"/>
    <x v="0"/>
    <x v="0"/>
    <x v="0"/>
  </r>
  <r>
    <x v="1057"/>
    <x v="520"/>
    <x v="512"/>
    <x v="504"/>
    <x v="841"/>
    <x v="1"/>
    <x v="2"/>
    <x v="523"/>
    <x v="380"/>
    <x v="10"/>
    <x v="0"/>
    <x v="0"/>
    <x v="0"/>
    <x v="1"/>
    <x v="1"/>
    <x v="1"/>
    <x v="2"/>
    <x v="2"/>
    <x v="1"/>
    <x v="1"/>
    <x v="1"/>
    <x v="234"/>
    <x v="1"/>
    <x v="1"/>
    <x v="5"/>
    <x v="515"/>
    <x v="1"/>
    <x v="1"/>
    <x v="7"/>
    <x v="2"/>
    <x v="1"/>
    <x v="612"/>
    <x v="0"/>
    <x v="0"/>
  </r>
  <r>
    <x v="1058"/>
    <x v="235"/>
    <x v="234"/>
    <x v="231"/>
    <x v="842"/>
    <x v="1"/>
    <x v="2"/>
    <x v="245"/>
    <x v="200"/>
    <x v="1"/>
    <x v="198"/>
    <x v="0"/>
    <x v="0"/>
    <x v="1"/>
    <x v="1"/>
    <x v="1"/>
    <x v="2"/>
    <x v="1"/>
    <x v="2"/>
    <x v="1"/>
    <x v="2"/>
    <x v="0"/>
    <x v="1"/>
    <x v="1"/>
    <x v="2"/>
    <x v="235"/>
    <x v="12"/>
    <x v="0"/>
    <x v="0"/>
    <x v="1"/>
    <x v="0"/>
    <x v="0"/>
    <x v="0"/>
    <x v="0"/>
  </r>
  <r>
    <x v="1059"/>
    <x v="521"/>
    <x v="513"/>
    <x v="505"/>
    <x v="843"/>
    <x v="1"/>
    <x v="2"/>
    <x v="358"/>
    <x v="10"/>
    <x v="10"/>
    <x v="0"/>
    <x v="0"/>
    <x v="0"/>
    <x v="1"/>
    <x v="3"/>
    <x v="3"/>
    <x v="1"/>
    <x v="1"/>
    <x v="2"/>
    <x v="1"/>
    <x v="1"/>
    <x v="241"/>
    <x v="1"/>
    <x v="5"/>
    <x v="2"/>
    <x v="516"/>
    <x v="12"/>
    <x v="1"/>
    <x v="8"/>
    <x v="1"/>
    <x v="0"/>
    <x v="613"/>
    <x v="0"/>
    <x v="314"/>
  </r>
  <r>
    <x v="1060"/>
    <x v="522"/>
    <x v="514"/>
    <x v="506"/>
    <x v="844"/>
    <x v="3"/>
    <x v="3"/>
    <x v="524"/>
    <x v="381"/>
    <x v="6"/>
    <x v="0"/>
    <x v="0"/>
    <x v="23"/>
    <x v="1"/>
    <x v="1"/>
    <x v="1"/>
    <x v="2"/>
    <x v="1"/>
    <x v="3"/>
    <x v="1"/>
    <x v="2"/>
    <x v="0"/>
    <x v="1"/>
    <x v="5"/>
    <x v="2"/>
    <x v="517"/>
    <x v="12"/>
    <x v="0"/>
    <x v="0"/>
    <x v="1"/>
    <x v="0"/>
    <x v="0"/>
    <x v="0"/>
    <x v="0"/>
  </r>
  <r>
    <x v="1061"/>
    <x v="521"/>
    <x v="513"/>
    <x v="505"/>
    <x v="0"/>
    <x v="1"/>
    <x v="2"/>
    <x v="358"/>
    <x v="10"/>
    <x v="11"/>
    <x v="0"/>
    <x v="0"/>
    <x v="0"/>
    <x v="3"/>
    <x v="1"/>
    <x v="2"/>
    <x v="2"/>
    <x v="1"/>
    <x v="2"/>
    <x v="2"/>
    <x v="2"/>
    <x v="0"/>
    <x v="2"/>
    <x v="3"/>
    <x v="4"/>
    <x v="516"/>
    <x v="8"/>
    <x v="0"/>
    <x v="0"/>
    <x v="1"/>
    <x v="0"/>
    <x v="0"/>
    <x v="0"/>
    <x v="0"/>
  </r>
  <r>
    <x v="1062"/>
    <x v="523"/>
    <x v="515"/>
    <x v="507"/>
    <x v="845"/>
    <x v="1"/>
    <x v="2"/>
    <x v="525"/>
    <x v="299"/>
    <x v="1"/>
    <x v="2"/>
    <x v="0"/>
    <x v="0"/>
    <x v="1"/>
    <x v="3"/>
    <x v="3"/>
    <x v="2"/>
    <x v="1"/>
    <x v="2"/>
    <x v="1"/>
    <x v="1"/>
    <x v="242"/>
    <x v="1"/>
    <x v="6"/>
    <x v="2"/>
    <x v="518"/>
    <x v="8"/>
    <x v="1"/>
    <x v="3"/>
    <x v="2"/>
    <x v="1"/>
    <x v="614"/>
    <x v="0"/>
    <x v="0"/>
  </r>
  <r>
    <x v="1063"/>
    <x v="523"/>
    <x v="515"/>
    <x v="507"/>
    <x v="846"/>
    <x v="1"/>
    <x v="2"/>
    <x v="525"/>
    <x v="299"/>
    <x v="1"/>
    <x v="2"/>
    <x v="0"/>
    <x v="0"/>
    <x v="3"/>
    <x v="4"/>
    <x v="1"/>
    <x v="2"/>
    <x v="1"/>
    <x v="2"/>
    <x v="1"/>
    <x v="2"/>
    <x v="0"/>
    <x v="1"/>
    <x v="3"/>
    <x v="4"/>
    <x v="518"/>
    <x v="3"/>
    <x v="0"/>
    <x v="0"/>
    <x v="1"/>
    <x v="0"/>
    <x v="0"/>
    <x v="0"/>
    <x v="0"/>
  </r>
  <r>
    <x v="1064"/>
    <x v="524"/>
    <x v="516"/>
    <x v="508"/>
    <x v="847"/>
    <x v="1"/>
    <x v="2"/>
    <x v="526"/>
    <x v="371"/>
    <x v="1"/>
    <x v="31"/>
    <x v="0"/>
    <x v="0"/>
    <x v="1"/>
    <x v="3"/>
    <x v="3"/>
    <x v="2"/>
    <x v="1"/>
    <x v="2"/>
    <x v="1"/>
    <x v="1"/>
    <x v="243"/>
    <x v="1"/>
    <x v="1"/>
    <x v="2"/>
    <x v="519"/>
    <x v="5"/>
    <x v="1"/>
    <x v="3"/>
    <x v="2"/>
    <x v="1"/>
    <x v="615"/>
    <x v="0"/>
    <x v="0"/>
  </r>
  <r>
    <x v="1065"/>
    <x v="491"/>
    <x v="484"/>
    <x v="478"/>
    <x v="848"/>
    <x v="1"/>
    <x v="2"/>
    <x v="499"/>
    <x v="367"/>
    <x v="1"/>
    <x v="199"/>
    <x v="0"/>
    <x v="0"/>
    <x v="1"/>
    <x v="1"/>
    <x v="1"/>
    <x v="2"/>
    <x v="1"/>
    <x v="3"/>
    <x v="1"/>
    <x v="2"/>
    <x v="0"/>
    <x v="1"/>
    <x v="1"/>
    <x v="2"/>
    <x v="488"/>
    <x v="3"/>
    <x v="0"/>
    <x v="0"/>
    <x v="1"/>
    <x v="0"/>
    <x v="0"/>
    <x v="0"/>
    <x v="0"/>
  </r>
  <r>
    <x v="1066"/>
    <x v="524"/>
    <x v="516"/>
    <x v="508"/>
    <x v="849"/>
    <x v="1"/>
    <x v="2"/>
    <x v="526"/>
    <x v="371"/>
    <x v="1"/>
    <x v="31"/>
    <x v="0"/>
    <x v="0"/>
    <x v="3"/>
    <x v="2"/>
    <x v="3"/>
    <x v="2"/>
    <x v="1"/>
    <x v="2"/>
    <x v="1"/>
    <x v="2"/>
    <x v="0"/>
    <x v="1"/>
    <x v="3"/>
    <x v="4"/>
    <x v="519"/>
    <x v="3"/>
    <x v="0"/>
    <x v="0"/>
    <x v="1"/>
    <x v="0"/>
    <x v="0"/>
    <x v="0"/>
    <x v="0"/>
  </r>
  <r>
    <x v="1067"/>
    <x v="525"/>
    <x v="517"/>
    <x v="509"/>
    <x v="850"/>
    <x v="1"/>
    <x v="2"/>
    <x v="527"/>
    <x v="360"/>
    <x v="1"/>
    <x v="33"/>
    <x v="0"/>
    <x v="0"/>
    <x v="1"/>
    <x v="3"/>
    <x v="2"/>
    <x v="2"/>
    <x v="1"/>
    <x v="1"/>
    <x v="1"/>
    <x v="1"/>
    <x v="234"/>
    <x v="1"/>
    <x v="1"/>
    <x v="2"/>
    <x v="520"/>
    <x v="1"/>
    <x v="1"/>
    <x v="4"/>
    <x v="2"/>
    <x v="1"/>
    <x v="616"/>
    <x v="0"/>
    <x v="0"/>
  </r>
  <r>
    <x v="1068"/>
    <x v="526"/>
    <x v="518"/>
    <x v="510"/>
    <x v="851"/>
    <x v="3"/>
    <x v="2"/>
    <x v="528"/>
    <x v="227"/>
    <x v="1"/>
    <x v="22"/>
    <x v="0"/>
    <x v="0"/>
    <x v="1"/>
    <x v="1"/>
    <x v="1"/>
    <x v="2"/>
    <x v="1"/>
    <x v="3"/>
    <x v="1"/>
    <x v="1"/>
    <x v="244"/>
    <x v="1"/>
    <x v="1"/>
    <x v="2"/>
    <x v="521"/>
    <x v="3"/>
    <x v="3"/>
    <x v="0"/>
    <x v="1"/>
    <x v="0"/>
    <x v="617"/>
    <x v="300"/>
    <x v="315"/>
  </r>
  <r>
    <x v="1069"/>
    <x v="200"/>
    <x v="198"/>
    <x v="196"/>
    <x v="852"/>
    <x v="1"/>
    <x v="2"/>
    <x v="209"/>
    <x v="322"/>
    <x v="1"/>
    <x v="200"/>
    <x v="0"/>
    <x v="0"/>
    <x v="1"/>
    <x v="1"/>
    <x v="1"/>
    <x v="2"/>
    <x v="1"/>
    <x v="2"/>
    <x v="1"/>
    <x v="2"/>
    <x v="0"/>
    <x v="1"/>
    <x v="1"/>
    <x v="2"/>
    <x v="473"/>
    <x v="3"/>
    <x v="0"/>
    <x v="0"/>
    <x v="1"/>
    <x v="0"/>
    <x v="0"/>
    <x v="0"/>
    <x v="0"/>
  </r>
  <r>
    <x v="1070"/>
    <x v="527"/>
    <x v="519"/>
    <x v="511"/>
    <x v="853"/>
    <x v="1"/>
    <x v="2"/>
    <x v="529"/>
    <x v="325"/>
    <x v="1"/>
    <x v="201"/>
    <x v="0"/>
    <x v="0"/>
    <x v="1"/>
    <x v="1"/>
    <x v="1"/>
    <x v="1"/>
    <x v="1"/>
    <x v="2"/>
    <x v="1"/>
    <x v="1"/>
    <x v="234"/>
    <x v="1"/>
    <x v="5"/>
    <x v="2"/>
    <x v="522"/>
    <x v="3"/>
    <x v="1"/>
    <x v="7"/>
    <x v="1"/>
    <x v="0"/>
    <x v="618"/>
    <x v="0"/>
    <x v="0"/>
  </r>
  <r>
    <x v="1071"/>
    <x v="499"/>
    <x v="491"/>
    <x v="484"/>
    <x v="854"/>
    <x v="3"/>
    <x v="2"/>
    <x v="500"/>
    <x v="382"/>
    <x v="1"/>
    <x v="33"/>
    <x v="0"/>
    <x v="0"/>
    <x v="1"/>
    <x v="3"/>
    <x v="2"/>
    <x v="2"/>
    <x v="1"/>
    <x v="1"/>
    <x v="1"/>
    <x v="1"/>
    <x v="244"/>
    <x v="1"/>
    <x v="2"/>
    <x v="2"/>
    <x v="494"/>
    <x v="1"/>
    <x v="3"/>
    <x v="0"/>
    <x v="1"/>
    <x v="0"/>
    <x v="619"/>
    <x v="301"/>
    <x v="0"/>
  </r>
  <r>
    <x v="1072"/>
    <x v="505"/>
    <x v="497"/>
    <x v="490"/>
    <x v="855"/>
    <x v="1"/>
    <x v="3"/>
    <x v="507"/>
    <x v="383"/>
    <x v="1"/>
    <x v="22"/>
    <x v="0"/>
    <x v="0"/>
    <x v="3"/>
    <x v="1"/>
    <x v="1"/>
    <x v="1"/>
    <x v="1"/>
    <x v="2"/>
    <x v="1"/>
    <x v="2"/>
    <x v="0"/>
    <x v="1"/>
    <x v="3"/>
    <x v="4"/>
    <x v="500"/>
    <x v="12"/>
    <x v="0"/>
    <x v="0"/>
    <x v="1"/>
    <x v="0"/>
    <x v="0"/>
    <x v="0"/>
    <x v="0"/>
  </r>
  <r>
    <x v="1073"/>
    <x v="525"/>
    <x v="517"/>
    <x v="509"/>
    <x v="856"/>
    <x v="1"/>
    <x v="2"/>
    <x v="527"/>
    <x v="360"/>
    <x v="1"/>
    <x v="33"/>
    <x v="0"/>
    <x v="0"/>
    <x v="3"/>
    <x v="3"/>
    <x v="3"/>
    <x v="2"/>
    <x v="1"/>
    <x v="1"/>
    <x v="1"/>
    <x v="1"/>
    <x v="244"/>
    <x v="1"/>
    <x v="3"/>
    <x v="4"/>
    <x v="520"/>
    <x v="1"/>
    <x v="1"/>
    <x v="4"/>
    <x v="2"/>
    <x v="1"/>
    <x v="620"/>
    <x v="302"/>
    <x v="0"/>
  </r>
  <r>
    <x v="1074"/>
    <x v="520"/>
    <x v="512"/>
    <x v="504"/>
    <x v="857"/>
    <x v="1"/>
    <x v="2"/>
    <x v="523"/>
    <x v="380"/>
    <x v="1"/>
    <x v="31"/>
    <x v="0"/>
    <x v="0"/>
    <x v="3"/>
    <x v="3"/>
    <x v="3"/>
    <x v="2"/>
    <x v="2"/>
    <x v="2"/>
    <x v="1"/>
    <x v="1"/>
    <x v="245"/>
    <x v="1"/>
    <x v="3"/>
    <x v="4"/>
    <x v="515"/>
    <x v="12"/>
    <x v="1"/>
    <x v="7"/>
    <x v="1"/>
    <x v="0"/>
    <x v="621"/>
    <x v="0"/>
    <x v="168"/>
  </r>
  <r>
    <x v="1075"/>
    <x v="528"/>
    <x v="520"/>
    <x v="512"/>
    <x v="858"/>
    <x v="1"/>
    <x v="2"/>
    <x v="530"/>
    <x v="384"/>
    <x v="6"/>
    <x v="0"/>
    <x v="0"/>
    <x v="24"/>
    <x v="1"/>
    <x v="1"/>
    <x v="1"/>
    <x v="2"/>
    <x v="1"/>
    <x v="3"/>
    <x v="1"/>
    <x v="2"/>
    <x v="0"/>
    <x v="1"/>
    <x v="1"/>
    <x v="2"/>
    <x v="523"/>
    <x v="1"/>
    <x v="0"/>
    <x v="0"/>
    <x v="1"/>
    <x v="0"/>
    <x v="0"/>
    <x v="0"/>
    <x v="0"/>
  </r>
  <r>
    <x v="1076"/>
    <x v="529"/>
    <x v="521"/>
    <x v="513"/>
    <x v="859"/>
    <x v="1"/>
    <x v="1"/>
    <x v="531"/>
    <x v="10"/>
    <x v="1"/>
    <x v="202"/>
    <x v="0"/>
    <x v="0"/>
    <x v="1"/>
    <x v="1"/>
    <x v="1"/>
    <x v="1"/>
    <x v="1"/>
    <x v="1"/>
    <x v="1"/>
    <x v="1"/>
    <x v="245"/>
    <x v="1"/>
    <x v="1"/>
    <x v="2"/>
    <x v="524"/>
    <x v="1"/>
    <x v="3"/>
    <x v="0"/>
    <x v="1"/>
    <x v="0"/>
    <x v="622"/>
    <x v="303"/>
    <x v="0"/>
  </r>
  <r>
    <x v="1077"/>
    <x v="527"/>
    <x v="519"/>
    <x v="511"/>
    <x v="0"/>
    <x v="1"/>
    <x v="2"/>
    <x v="529"/>
    <x v="325"/>
    <x v="1"/>
    <x v="36"/>
    <x v="0"/>
    <x v="0"/>
    <x v="3"/>
    <x v="4"/>
    <x v="1"/>
    <x v="2"/>
    <x v="1"/>
    <x v="2"/>
    <x v="1"/>
    <x v="2"/>
    <x v="0"/>
    <x v="2"/>
    <x v="3"/>
    <x v="4"/>
    <x v="522"/>
    <x v="12"/>
    <x v="0"/>
    <x v="0"/>
    <x v="1"/>
    <x v="0"/>
    <x v="0"/>
    <x v="0"/>
    <x v="0"/>
  </r>
  <r>
    <x v="1078"/>
    <x v="530"/>
    <x v="522"/>
    <x v="514"/>
    <x v="860"/>
    <x v="1"/>
    <x v="2"/>
    <x v="532"/>
    <x v="171"/>
    <x v="1"/>
    <x v="2"/>
    <x v="0"/>
    <x v="0"/>
    <x v="1"/>
    <x v="1"/>
    <x v="1"/>
    <x v="2"/>
    <x v="1"/>
    <x v="2"/>
    <x v="1"/>
    <x v="1"/>
    <x v="244"/>
    <x v="2"/>
    <x v="2"/>
    <x v="2"/>
    <x v="525"/>
    <x v="3"/>
    <x v="1"/>
    <x v="4"/>
    <x v="1"/>
    <x v="0"/>
    <x v="623"/>
    <x v="0"/>
    <x v="316"/>
  </r>
  <r>
    <x v="1079"/>
    <x v="530"/>
    <x v="522"/>
    <x v="514"/>
    <x v="861"/>
    <x v="1"/>
    <x v="2"/>
    <x v="532"/>
    <x v="171"/>
    <x v="1"/>
    <x v="2"/>
    <x v="0"/>
    <x v="0"/>
    <x v="3"/>
    <x v="1"/>
    <x v="1"/>
    <x v="2"/>
    <x v="1"/>
    <x v="3"/>
    <x v="1"/>
    <x v="1"/>
    <x v="244"/>
    <x v="2"/>
    <x v="3"/>
    <x v="4"/>
    <x v="525"/>
    <x v="1"/>
    <x v="1"/>
    <x v="3"/>
    <x v="1"/>
    <x v="0"/>
    <x v="624"/>
    <x v="0"/>
    <x v="0"/>
  </r>
  <r>
    <x v="1080"/>
    <x v="525"/>
    <x v="517"/>
    <x v="509"/>
    <x v="862"/>
    <x v="1"/>
    <x v="2"/>
    <x v="527"/>
    <x v="360"/>
    <x v="1"/>
    <x v="33"/>
    <x v="0"/>
    <x v="0"/>
    <x v="3"/>
    <x v="1"/>
    <x v="1"/>
    <x v="2"/>
    <x v="1"/>
    <x v="1"/>
    <x v="1"/>
    <x v="2"/>
    <x v="0"/>
    <x v="1"/>
    <x v="3"/>
    <x v="4"/>
    <x v="520"/>
    <x v="1"/>
    <x v="0"/>
    <x v="0"/>
    <x v="1"/>
    <x v="0"/>
    <x v="0"/>
    <x v="0"/>
    <x v="0"/>
  </r>
  <r>
    <x v="1081"/>
    <x v="531"/>
    <x v="523"/>
    <x v="515"/>
    <x v="863"/>
    <x v="3"/>
    <x v="2"/>
    <x v="533"/>
    <x v="385"/>
    <x v="1"/>
    <x v="203"/>
    <x v="0"/>
    <x v="0"/>
    <x v="1"/>
    <x v="2"/>
    <x v="3"/>
    <x v="2"/>
    <x v="1"/>
    <x v="2"/>
    <x v="1"/>
    <x v="1"/>
    <x v="244"/>
    <x v="1"/>
    <x v="1"/>
    <x v="2"/>
    <x v="526"/>
    <x v="6"/>
    <x v="3"/>
    <x v="0"/>
    <x v="1"/>
    <x v="0"/>
    <x v="625"/>
    <x v="304"/>
    <x v="0"/>
  </r>
  <r>
    <x v="1082"/>
    <x v="530"/>
    <x v="522"/>
    <x v="514"/>
    <x v="0"/>
    <x v="1"/>
    <x v="2"/>
    <x v="532"/>
    <x v="171"/>
    <x v="1"/>
    <x v="2"/>
    <x v="0"/>
    <x v="0"/>
    <x v="3"/>
    <x v="3"/>
    <x v="3"/>
    <x v="2"/>
    <x v="1"/>
    <x v="2"/>
    <x v="1"/>
    <x v="1"/>
    <x v="245"/>
    <x v="2"/>
    <x v="3"/>
    <x v="4"/>
    <x v="525"/>
    <x v="3"/>
    <x v="1"/>
    <x v="5"/>
    <x v="1"/>
    <x v="0"/>
    <x v="626"/>
    <x v="0"/>
    <x v="317"/>
  </r>
  <r>
    <x v="1083"/>
    <x v="520"/>
    <x v="512"/>
    <x v="504"/>
    <x v="0"/>
    <x v="1"/>
    <x v="2"/>
    <x v="523"/>
    <x v="386"/>
    <x v="1"/>
    <x v="3"/>
    <x v="0"/>
    <x v="0"/>
    <x v="3"/>
    <x v="3"/>
    <x v="3"/>
    <x v="2"/>
    <x v="2"/>
    <x v="2"/>
    <x v="1"/>
    <x v="1"/>
    <x v="246"/>
    <x v="2"/>
    <x v="3"/>
    <x v="4"/>
    <x v="515"/>
    <x v="12"/>
    <x v="1"/>
    <x v="7"/>
    <x v="1"/>
    <x v="0"/>
    <x v="627"/>
    <x v="0"/>
    <x v="0"/>
  </r>
  <r>
    <x v="1084"/>
    <x v="532"/>
    <x v="524"/>
    <x v="516"/>
    <x v="864"/>
    <x v="1"/>
    <x v="2"/>
    <x v="534"/>
    <x v="196"/>
    <x v="6"/>
    <x v="0"/>
    <x v="0"/>
    <x v="4"/>
    <x v="1"/>
    <x v="1"/>
    <x v="2"/>
    <x v="2"/>
    <x v="1"/>
    <x v="3"/>
    <x v="1"/>
    <x v="2"/>
    <x v="0"/>
    <x v="1"/>
    <x v="1"/>
    <x v="2"/>
    <x v="527"/>
    <x v="1"/>
    <x v="0"/>
    <x v="0"/>
    <x v="1"/>
    <x v="0"/>
    <x v="0"/>
    <x v="0"/>
    <x v="0"/>
  </r>
  <r>
    <x v="1085"/>
    <x v="530"/>
    <x v="522"/>
    <x v="514"/>
    <x v="0"/>
    <x v="1"/>
    <x v="2"/>
    <x v="532"/>
    <x v="171"/>
    <x v="1"/>
    <x v="2"/>
    <x v="0"/>
    <x v="0"/>
    <x v="3"/>
    <x v="1"/>
    <x v="1"/>
    <x v="2"/>
    <x v="1"/>
    <x v="2"/>
    <x v="1"/>
    <x v="2"/>
    <x v="0"/>
    <x v="2"/>
    <x v="3"/>
    <x v="4"/>
    <x v="525"/>
    <x v="2"/>
    <x v="0"/>
    <x v="0"/>
    <x v="1"/>
    <x v="0"/>
    <x v="0"/>
    <x v="0"/>
    <x v="0"/>
  </r>
  <r>
    <x v="1086"/>
    <x v="533"/>
    <x v="525"/>
    <x v="517"/>
    <x v="865"/>
    <x v="1"/>
    <x v="2"/>
    <x v="535"/>
    <x v="387"/>
    <x v="1"/>
    <x v="9"/>
    <x v="0"/>
    <x v="0"/>
    <x v="1"/>
    <x v="1"/>
    <x v="1"/>
    <x v="2"/>
    <x v="1"/>
    <x v="2"/>
    <x v="1"/>
    <x v="2"/>
    <x v="0"/>
    <x v="1"/>
    <x v="6"/>
    <x v="2"/>
    <x v="528"/>
    <x v="12"/>
    <x v="0"/>
    <x v="0"/>
    <x v="1"/>
    <x v="0"/>
    <x v="0"/>
    <x v="0"/>
    <x v="0"/>
  </r>
  <r>
    <x v="1087"/>
    <x v="223"/>
    <x v="222"/>
    <x v="219"/>
    <x v="866"/>
    <x v="1"/>
    <x v="2"/>
    <x v="233"/>
    <x v="377"/>
    <x v="6"/>
    <x v="0"/>
    <x v="0"/>
    <x v="25"/>
    <x v="1"/>
    <x v="1"/>
    <x v="1"/>
    <x v="2"/>
    <x v="1"/>
    <x v="3"/>
    <x v="1"/>
    <x v="2"/>
    <x v="0"/>
    <x v="1"/>
    <x v="4"/>
    <x v="2"/>
    <x v="223"/>
    <x v="12"/>
    <x v="0"/>
    <x v="0"/>
    <x v="1"/>
    <x v="0"/>
    <x v="0"/>
    <x v="0"/>
    <x v="0"/>
  </r>
  <r>
    <x v="1088"/>
    <x v="520"/>
    <x v="512"/>
    <x v="504"/>
    <x v="867"/>
    <x v="1"/>
    <x v="2"/>
    <x v="523"/>
    <x v="380"/>
    <x v="1"/>
    <x v="3"/>
    <x v="0"/>
    <x v="0"/>
    <x v="3"/>
    <x v="1"/>
    <x v="1"/>
    <x v="2"/>
    <x v="2"/>
    <x v="2"/>
    <x v="1"/>
    <x v="2"/>
    <x v="0"/>
    <x v="2"/>
    <x v="3"/>
    <x v="4"/>
    <x v="515"/>
    <x v="12"/>
    <x v="0"/>
    <x v="0"/>
    <x v="1"/>
    <x v="0"/>
    <x v="0"/>
    <x v="0"/>
    <x v="0"/>
  </r>
  <r>
    <x v="1089"/>
    <x v="534"/>
    <x v="526"/>
    <x v="518"/>
    <x v="868"/>
    <x v="1"/>
    <x v="1"/>
    <x v="536"/>
    <x v="388"/>
    <x v="1"/>
    <x v="36"/>
    <x v="0"/>
    <x v="0"/>
    <x v="1"/>
    <x v="1"/>
    <x v="1"/>
    <x v="2"/>
    <x v="1"/>
    <x v="2"/>
    <x v="1"/>
    <x v="2"/>
    <x v="0"/>
    <x v="1"/>
    <x v="6"/>
    <x v="2"/>
    <x v="529"/>
    <x v="12"/>
    <x v="0"/>
    <x v="0"/>
    <x v="1"/>
    <x v="0"/>
    <x v="0"/>
    <x v="0"/>
    <x v="0"/>
  </r>
  <r>
    <x v="1090"/>
    <x v="530"/>
    <x v="522"/>
    <x v="514"/>
    <x v="869"/>
    <x v="1"/>
    <x v="2"/>
    <x v="537"/>
    <x v="171"/>
    <x v="1"/>
    <x v="4"/>
    <x v="0"/>
    <x v="0"/>
    <x v="1"/>
    <x v="3"/>
    <x v="3"/>
    <x v="2"/>
    <x v="1"/>
    <x v="2"/>
    <x v="1"/>
    <x v="1"/>
    <x v="247"/>
    <x v="2"/>
    <x v="6"/>
    <x v="2"/>
    <x v="525"/>
    <x v="1"/>
    <x v="1"/>
    <x v="7"/>
    <x v="1"/>
    <x v="0"/>
    <x v="628"/>
    <x v="305"/>
    <x v="0"/>
  </r>
  <r>
    <x v="1091"/>
    <x v="193"/>
    <x v="191"/>
    <x v="189"/>
    <x v="870"/>
    <x v="1"/>
    <x v="2"/>
    <x v="202"/>
    <x v="165"/>
    <x v="1"/>
    <x v="44"/>
    <x v="0"/>
    <x v="0"/>
    <x v="1"/>
    <x v="1"/>
    <x v="1"/>
    <x v="2"/>
    <x v="1"/>
    <x v="2"/>
    <x v="1"/>
    <x v="1"/>
    <x v="247"/>
    <x v="1"/>
    <x v="1"/>
    <x v="2"/>
    <x v="191"/>
    <x v="3"/>
    <x v="1"/>
    <x v="3"/>
    <x v="1"/>
    <x v="0"/>
    <x v="629"/>
    <x v="306"/>
    <x v="318"/>
  </r>
  <r>
    <x v="1092"/>
    <x v="535"/>
    <x v="527"/>
    <x v="519"/>
    <x v="871"/>
    <x v="1"/>
    <x v="1"/>
    <x v="38"/>
    <x v="280"/>
    <x v="1"/>
    <x v="13"/>
    <x v="0"/>
    <x v="0"/>
    <x v="1"/>
    <x v="1"/>
    <x v="1"/>
    <x v="2"/>
    <x v="1"/>
    <x v="3"/>
    <x v="1"/>
    <x v="1"/>
    <x v="247"/>
    <x v="1"/>
    <x v="1"/>
    <x v="2"/>
    <x v="530"/>
    <x v="1"/>
    <x v="1"/>
    <x v="4"/>
    <x v="2"/>
    <x v="1"/>
    <x v="630"/>
    <x v="0"/>
    <x v="319"/>
  </r>
  <r>
    <x v="1093"/>
    <x v="536"/>
    <x v="528"/>
    <x v="520"/>
    <x v="872"/>
    <x v="1"/>
    <x v="2"/>
    <x v="538"/>
    <x v="203"/>
    <x v="1"/>
    <x v="15"/>
    <x v="0"/>
    <x v="0"/>
    <x v="1"/>
    <x v="1"/>
    <x v="1"/>
    <x v="2"/>
    <x v="1"/>
    <x v="2"/>
    <x v="1"/>
    <x v="1"/>
    <x v="247"/>
    <x v="1"/>
    <x v="1"/>
    <x v="2"/>
    <x v="531"/>
    <x v="12"/>
    <x v="1"/>
    <x v="3"/>
    <x v="1"/>
    <x v="0"/>
    <x v="631"/>
    <x v="0"/>
    <x v="320"/>
  </r>
  <r>
    <x v="1094"/>
    <x v="193"/>
    <x v="191"/>
    <x v="189"/>
    <x v="0"/>
    <x v="1"/>
    <x v="2"/>
    <x v="202"/>
    <x v="165"/>
    <x v="1"/>
    <x v="44"/>
    <x v="0"/>
    <x v="0"/>
    <x v="3"/>
    <x v="1"/>
    <x v="1"/>
    <x v="2"/>
    <x v="1"/>
    <x v="2"/>
    <x v="1"/>
    <x v="2"/>
    <x v="0"/>
    <x v="2"/>
    <x v="3"/>
    <x v="4"/>
    <x v="191"/>
    <x v="3"/>
    <x v="0"/>
    <x v="0"/>
    <x v="1"/>
    <x v="0"/>
    <x v="0"/>
    <x v="0"/>
    <x v="0"/>
  </r>
  <r>
    <x v="1095"/>
    <x v="535"/>
    <x v="527"/>
    <x v="519"/>
    <x v="873"/>
    <x v="1"/>
    <x v="1"/>
    <x v="38"/>
    <x v="280"/>
    <x v="1"/>
    <x v="136"/>
    <x v="0"/>
    <x v="0"/>
    <x v="3"/>
    <x v="1"/>
    <x v="1"/>
    <x v="2"/>
    <x v="1"/>
    <x v="3"/>
    <x v="1"/>
    <x v="2"/>
    <x v="0"/>
    <x v="1"/>
    <x v="3"/>
    <x v="4"/>
    <x v="530"/>
    <x v="1"/>
    <x v="0"/>
    <x v="0"/>
    <x v="1"/>
    <x v="0"/>
    <x v="0"/>
    <x v="0"/>
    <x v="0"/>
  </r>
  <r>
    <x v="1096"/>
    <x v="530"/>
    <x v="522"/>
    <x v="514"/>
    <x v="0"/>
    <x v="1"/>
    <x v="2"/>
    <x v="532"/>
    <x v="171"/>
    <x v="1"/>
    <x v="4"/>
    <x v="0"/>
    <x v="0"/>
    <x v="3"/>
    <x v="1"/>
    <x v="1"/>
    <x v="2"/>
    <x v="1"/>
    <x v="2"/>
    <x v="1"/>
    <x v="2"/>
    <x v="0"/>
    <x v="2"/>
    <x v="3"/>
    <x v="4"/>
    <x v="525"/>
    <x v="12"/>
    <x v="0"/>
    <x v="0"/>
    <x v="1"/>
    <x v="0"/>
    <x v="0"/>
    <x v="0"/>
    <x v="0"/>
  </r>
  <r>
    <x v="1097"/>
    <x v="536"/>
    <x v="528"/>
    <x v="520"/>
    <x v="0"/>
    <x v="1"/>
    <x v="2"/>
    <x v="538"/>
    <x v="203"/>
    <x v="1"/>
    <x v="15"/>
    <x v="0"/>
    <x v="0"/>
    <x v="3"/>
    <x v="1"/>
    <x v="1"/>
    <x v="2"/>
    <x v="1"/>
    <x v="2"/>
    <x v="1"/>
    <x v="2"/>
    <x v="0"/>
    <x v="2"/>
    <x v="3"/>
    <x v="4"/>
    <x v="531"/>
    <x v="3"/>
    <x v="0"/>
    <x v="0"/>
    <x v="1"/>
    <x v="0"/>
    <x v="0"/>
    <x v="0"/>
    <x v="0"/>
  </r>
  <r>
    <x v="1098"/>
    <x v="530"/>
    <x v="522"/>
    <x v="514"/>
    <x v="874"/>
    <x v="1"/>
    <x v="2"/>
    <x v="532"/>
    <x v="171"/>
    <x v="1"/>
    <x v="15"/>
    <x v="0"/>
    <x v="0"/>
    <x v="1"/>
    <x v="1"/>
    <x v="1"/>
    <x v="2"/>
    <x v="1"/>
    <x v="2"/>
    <x v="1"/>
    <x v="1"/>
    <x v="248"/>
    <x v="2"/>
    <x v="5"/>
    <x v="2"/>
    <x v="525"/>
    <x v="3"/>
    <x v="1"/>
    <x v="7"/>
    <x v="1"/>
    <x v="0"/>
    <x v="632"/>
    <x v="0"/>
    <x v="0"/>
  </r>
  <r>
    <x v="1099"/>
    <x v="537"/>
    <x v="529"/>
    <x v="521"/>
    <x v="875"/>
    <x v="3"/>
    <x v="2"/>
    <x v="539"/>
    <x v="389"/>
    <x v="1"/>
    <x v="204"/>
    <x v="0"/>
    <x v="0"/>
    <x v="1"/>
    <x v="1"/>
    <x v="1"/>
    <x v="1"/>
    <x v="1"/>
    <x v="3"/>
    <x v="1"/>
    <x v="2"/>
    <x v="0"/>
    <x v="1"/>
    <x v="5"/>
    <x v="2"/>
    <x v="532"/>
    <x v="3"/>
    <x v="0"/>
    <x v="0"/>
    <x v="1"/>
    <x v="0"/>
    <x v="0"/>
    <x v="0"/>
    <x v="0"/>
  </r>
  <r>
    <x v="1100"/>
    <x v="530"/>
    <x v="522"/>
    <x v="514"/>
    <x v="0"/>
    <x v="1"/>
    <x v="2"/>
    <x v="532"/>
    <x v="171"/>
    <x v="1"/>
    <x v="15"/>
    <x v="0"/>
    <x v="0"/>
    <x v="3"/>
    <x v="1"/>
    <x v="1"/>
    <x v="2"/>
    <x v="1"/>
    <x v="2"/>
    <x v="1"/>
    <x v="2"/>
    <x v="0"/>
    <x v="2"/>
    <x v="3"/>
    <x v="4"/>
    <x v="525"/>
    <x v="12"/>
    <x v="0"/>
    <x v="0"/>
    <x v="1"/>
    <x v="0"/>
    <x v="0"/>
    <x v="0"/>
    <x v="0"/>
  </r>
  <r>
    <x v="1101"/>
    <x v="538"/>
    <x v="530"/>
    <x v="522"/>
    <x v="876"/>
    <x v="3"/>
    <x v="3"/>
    <x v="540"/>
    <x v="343"/>
    <x v="1"/>
    <x v="2"/>
    <x v="0"/>
    <x v="0"/>
    <x v="1"/>
    <x v="2"/>
    <x v="3"/>
    <x v="2"/>
    <x v="1"/>
    <x v="2"/>
    <x v="1"/>
    <x v="1"/>
    <x v="249"/>
    <x v="1"/>
    <x v="1"/>
    <x v="2"/>
    <x v="533"/>
    <x v="5"/>
    <x v="1"/>
    <x v="1"/>
    <x v="2"/>
    <x v="1"/>
    <x v="633"/>
    <x v="307"/>
    <x v="0"/>
  </r>
  <r>
    <x v="1102"/>
    <x v="529"/>
    <x v="521"/>
    <x v="513"/>
    <x v="877"/>
    <x v="1"/>
    <x v="1"/>
    <x v="531"/>
    <x v="10"/>
    <x v="1"/>
    <x v="205"/>
    <x v="0"/>
    <x v="0"/>
    <x v="1"/>
    <x v="1"/>
    <x v="1"/>
    <x v="2"/>
    <x v="1"/>
    <x v="2"/>
    <x v="1"/>
    <x v="2"/>
    <x v="0"/>
    <x v="1"/>
    <x v="1"/>
    <x v="2"/>
    <x v="524"/>
    <x v="4"/>
    <x v="0"/>
    <x v="0"/>
    <x v="1"/>
    <x v="0"/>
    <x v="0"/>
    <x v="0"/>
    <x v="0"/>
  </r>
  <r>
    <x v="1103"/>
    <x v="539"/>
    <x v="531"/>
    <x v="523"/>
    <x v="878"/>
    <x v="1"/>
    <x v="2"/>
    <x v="541"/>
    <x v="390"/>
    <x v="1"/>
    <x v="206"/>
    <x v="0"/>
    <x v="0"/>
    <x v="1"/>
    <x v="1"/>
    <x v="1"/>
    <x v="2"/>
    <x v="2"/>
    <x v="2"/>
    <x v="1"/>
    <x v="2"/>
    <x v="0"/>
    <x v="1"/>
    <x v="1"/>
    <x v="2"/>
    <x v="534"/>
    <x v="12"/>
    <x v="0"/>
    <x v="0"/>
    <x v="1"/>
    <x v="0"/>
    <x v="0"/>
    <x v="0"/>
    <x v="0"/>
  </r>
  <r>
    <x v="1104"/>
    <x v="335"/>
    <x v="335"/>
    <x v="330"/>
    <x v="879"/>
    <x v="1"/>
    <x v="2"/>
    <x v="350"/>
    <x v="269"/>
    <x v="1"/>
    <x v="22"/>
    <x v="0"/>
    <x v="0"/>
    <x v="1"/>
    <x v="1"/>
    <x v="1"/>
    <x v="2"/>
    <x v="1"/>
    <x v="2"/>
    <x v="1"/>
    <x v="2"/>
    <x v="0"/>
    <x v="1"/>
    <x v="5"/>
    <x v="2"/>
    <x v="337"/>
    <x v="12"/>
    <x v="0"/>
    <x v="0"/>
    <x v="1"/>
    <x v="0"/>
    <x v="0"/>
    <x v="0"/>
    <x v="0"/>
  </r>
  <r>
    <x v="1105"/>
    <x v="538"/>
    <x v="530"/>
    <x v="522"/>
    <x v="880"/>
    <x v="3"/>
    <x v="3"/>
    <x v="540"/>
    <x v="391"/>
    <x v="1"/>
    <x v="2"/>
    <x v="0"/>
    <x v="0"/>
    <x v="3"/>
    <x v="3"/>
    <x v="2"/>
    <x v="2"/>
    <x v="1"/>
    <x v="2"/>
    <x v="1"/>
    <x v="1"/>
    <x v="249"/>
    <x v="2"/>
    <x v="3"/>
    <x v="4"/>
    <x v="533"/>
    <x v="5"/>
    <x v="1"/>
    <x v="2"/>
    <x v="2"/>
    <x v="1"/>
    <x v="634"/>
    <x v="0"/>
    <x v="0"/>
  </r>
  <r>
    <x v="1106"/>
    <x v="538"/>
    <x v="530"/>
    <x v="522"/>
    <x v="881"/>
    <x v="3"/>
    <x v="3"/>
    <x v="542"/>
    <x v="392"/>
    <x v="1"/>
    <x v="2"/>
    <x v="0"/>
    <x v="0"/>
    <x v="3"/>
    <x v="1"/>
    <x v="1"/>
    <x v="2"/>
    <x v="1"/>
    <x v="2"/>
    <x v="1"/>
    <x v="1"/>
    <x v="250"/>
    <x v="2"/>
    <x v="3"/>
    <x v="4"/>
    <x v="533"/>
    <x v="4"/>
    <x v="3"/>
    <x v="0"/>
    <x v="1"/>
    <x v="0"/>
    <x v="635"/>
    <x v="0"/>
    <x v="0"/>
  </r>
  <r>
    <x v="1107"/>
    <x v="540"/>
    <x v="532"/>
    <x v="524"/>
    <x v="882"/>
    <x v="1"/>
    <x v="2"/>
    <x v="543"/>
    <x v="393"/>
    <x v="1"/>
    <x v="2"/>
    <x v="0"/>
    <x v="0"/>
    <x v="1"/>
    <x v="1"/>
    <x v="1"/>
    <x v="2"/>
    <x v="1"/>
    <x v="3"/>
    <x v="1"/>
    <x v="1"/>
    <x v="251"/>
    <x v="1"/>
    <x v="5"/>
    <x v="2"/>
    <x v="535"/>
    <x v="5"/>
    <x v="1"/>
    <x v="7"/>
    <x v="2"/>
    <x v="1"/>
    <x v="636"/>
    <x v="0"/>
    <x v="211"/>
  </r>
  <r>
    <x v="1108"/>
    <x v="541"/>
    <x v="533"/>
    <x v="525"/>
    <x v="883"/>
    <x v="1"/>
    <x v="2"/>
    <x v="171"/>
    <x v="394"/>
    <x v="1"/>
    <x v="207"/>
    <x v="0"/>
    <x v="0"/>
    <x v="1"/>
    <x v="1"/>
    <x v="1"/>
    <x v="1"/>
    <x v="2"/>
    <x v="2"/>
    <x v="1"/>
    <x v="2"/>
    <x v="0"/>
    <x v="1"/>
    <x v="6"/>
    <x v="2"/>
    <x v="536"/>
    <x v="12"/>
    <x v="0"/>
    <x v="0"/>
    <x v="1"/>
    <x v="0"/>
    <x v="0"/>
    <x v="0"/>
    <x v="0"/>
  </r>
  <r>
    <x v="1109"/>
    <x v="502"/>
    <x v="494"/>
    <x v="487"/>
    <x v="884"/>
    <x v="2"/>
    <x v="1"/>
    <x v="503"/>
    <x v="369"/>
    <x v="1"/>
    <x v="9"/>
    <x v="0"/>
    <x v="0"/>
    <x v="1"/>
    <x v="1"/>
    <x v="1"/>
    <x v="2"/>
    <x v="2"/>
    <x v="1"/>
    <x v="1"/>
    <x v="2"/>
    <x v="0"/>
    <x v="1"/>
    <x v="6"/>
    <x v="2"/>
    <x v="497"/>
    <x v="12"/>
    <x v="0"/>
    <x v="0"/>
    <x v="1"/>
    <x v="0"/>
    <x v="0"/>
    <x v="0"/>
    <x v="0"/>
  </r>
  <r>
    <x v="1110"/>
    <x v="540"/>
    <x v="532"/>
    <x v="524"/>
    <x v="885"/>
    <x v="1"/>
    <x v="2"/>
    <x v="543"/>
    <x v="393"/>
    <x v="1"/>
    <x v="208"/>
    <x v="0"/>
    <x v="0"/>
    <x v="3"/>
    <x v="1"/>
    <x v="1"/>
    <x v="2"/>
    <x v="1"/>
    <x v="2"/>
    <x v="1"/>
    <x v="2"/>
    <x v="0"/>
    <x v="1"/>
    <x v="3"/>
    <x v="4"/>
    <x v="535"/>
    <x v="12"/>
    <x v="0"/>
    <x v="0"/>
    <x v="1"/>
    <x v="0"/>
    <x v="0"/>
    <x v="0"/>
    <x v="0"/>
  </r>
  <r>
    <x v="1111"/>
    <x v="542"/>
    <x v="534"/>
    <x v="526"/>
    <x v="886"/>
    <x v="1"/>
    <x v="2"/>
    <x v="544"/>
    <x v="171"/>
    <x v="2"/>
    <x v="0"/>
    <x v="2"/>
    <x v="0"/>
    <x v="1"/>
    <x v="1"/>
    <x v="1"/>
    <x v="2"/>
    <x v="1"/>
    <x v="2"/>
    <x v="1"/>
    <x v="1"/>
    <x v="250"/>
    <x v="1"/>
    <x v="6"/>
    <x v="2"/>
    <x v="537"/>
    <x v="5"/>
    <x v="1"/>
    <x v="1"/>
    <x v="1"/>
    <x v="0"/>
    <x v="637"/>
    <x v="0"/>
    <x v="0"/>
  </r>
  <r>
    <x v="1112"/>
    <x v="542"/>
    <x v="534"/>
    <x v="526"/>
    <x v="886"/>
    <x v="1"/>
    <x v="2"/>
    <x v="544"/>
    <x v="171"/>
    <x v="2"/>
    <x v="0"/>
    <x v="2"/>
    <x v="0"/>
    <x v="3"/>
    <x v="2"/>
    <x v="3"/>
    <x v="2"/>
    <x v="1"/>
    <x v="2"/>
    <x v="1"/>
    <x v="1"/>
    <x v="252"/>
    <x v="1"/>
    <x v="3"/>
    <x v="4"/>
    <x v="537"/>
    <x v="5"/>
    <x v="3"/>
    <x v="0"/>
    <x v="1"/>
    <x v="0"/>
    <x v="638"/>
    <x v="308"/>
    <x v="0"/>
  </r>
  <r>
    <x v="1113"/>
    <x v="543"/>
    <x v="535"/>
    <x v="527"/>
    <x v="887"/>
    <x v="3"/>
    <x v="1"/>
    <x v="545"/>
    <x v="395"/>
    <x v="2"/>
    <x v="0"/>
    <x v="6"/>
    <x v="0"/>
    <x v="1"/>
    <x v="2"/>
    <x v="3"/>
    <x v="2"/>
    <x v="1"/>
    <x v="2"/>
    <x v="1"/>
    <x v="1"/>
    <x v="252"/>
    <x v="1"/>
    <x v="6"/>
    <x v="2"/>
    <x v="538"/>
    <x v="5"/>
    <x v="1"/>
    <x v="7"/>
    <x v="1"/>
    <x v="0"/>
    <x v="639"/>
    <x v="309"/>
    <x v="0"/>
  </r>
  <r>
    <x v="1114"/>
    <x v="530"/>
    <x v="522"/>
    <x v="514"/>
    <x v="888"/>
    <x v="1"/>
    <x v="2"/>
    <x v="532"/>
    <x v="171"/>
    <x v="2"/>
    <x v="0"/>
    <x v="2"/>
    <x v="0"/>
    <x v="1"/>
    <x v="1"/>
    <x v="1"/>
    <x v="2"/>
    <x v="1"/>
    <x v="2"/>
    <x v="1"/>
    <x v="1"/>
    <x v="252"/>
    <x v="2"/>
    <x v="6"/>
    <x v="2"/>
    <x v="525"/>
    <x v="5"/>
    <x v="1"/>
    <x v="7"/>
    <x v="1"/>
    <x v="0"/>
    <x v="640"/>
    <x v="0"/>
    <x v="0"/>
  </r>
  <r>
    <x v="1115"/>
    <x v="544"/>
    <x v="536"/>
    <x v="528"/>
    <x v="889"/>
    <x v="3"/>
    <x v="2"/>
    <x v="546"/>
    <x v="10"/>
    <x v="1"/>
    <x v="4"/>
    <x v="0"/>
    <x v="0"/>
    <x v="1"/>
    <x v="3"/>
    <x v="3"/>
    <x v="2"/>
    <x v="1"/>
    <x v="2"/>
    <x v="1"/>
    <x v="1"/>
    <x v="252"/>
    <x v="1"/>
    <x v="6"/>
    <x v="2"/>
    <x v="539"/>
    <x v="5"/>
    <x v="1"/>
    <x v="7"/>
    <x v="1"/>
    <x v="0"/>
    <x v="641"/>
    <x v="0"/>
    <x v="0"/>
  </r>
  <r>
    <x v="1116"/>
    <x v="530"/>
    <x v="522"/>
    <x v="514"/>
    <x v="0"/>
    <x v="1"/>
    <x v="2"/>
    <x v="532"/>
    <x v="171"/>
    <x v="1"/>
    <x v="15"/>
    <x v="0"/>
    <x v="0"/>
    <x v="3"/>
    <x v="1"/>
    <x v="1"/>
    <x v="2"/>
    <x v="1"/>
    <x v="2"/>
    <x v="1"/>
    <x v="2"/>
    <x v="0"/>
    <x v="2"/>
    <x v="3"/>
    <x v="4"/>
    <x v="525"/>
    <x v="12"/>
    <x v="0"/>
    <x v="0"/>
    <x v="1"/>
    <x v="0"/>
    <x v="0"/>
    <x v="0"/>
    <x v="0"/>
  </r>
  <r>
    <x v="1117"/>
    <x v="303"/>
    <x v="304"/>
    <x v="529"/>
    <x v="890"/>
    <x v="1"/>
    <x v="2"/>
    <x v="317"/>
    <x v="396"/>
    <x v="1"/>
    <x v="209"/>
    <x v="0"/>
    <x v="0"/>
    <x v="1"/>
    <x v="1"/>
    <x v="1"/>
    <x v="2"/>
    <x v="1"/>
    <x v="2"/>
    <x v="1"/>
    <x v="2"/>
    <x v="0"/>
    <x v="1"/>
    <x v="6"/>
    <x v="2"/>
    <x v="540"/>
    <x v="12"/>
    <x v="0"/>
    <x v="0"/>
    <x v="1"/>
    <x v="0"/>
    <x v="0"/>
    <x v="0"/>
    <x v="0"/>
  </r>
  <r>
    <x v="1118"/>
    <x v="545"/>
    <x v="537"/>
    <x v="530"/>
    <x v="891"/>
    <x v="1"/>
    <x v="2"/>
    <x v="504"/>
    <x v="379"/>
    <x v="1"/>
    <x v="15"/>
    <x v="0"/>
    <x v="0"/>
    <x v="1"/>
    <x v="3"/>
    <x v="3"/>
    <x v="1"/>
    <x v="2"/>
    <x v="1"/>
    <x v="1"/>
    <x v="1"/>
    <x v="253"/>
    <x v="1"/>
    <x v="6"/>
    <x v="2"/>
    <x v="541"/>
    <x v="12"/>
    <x v="3"/>
    <x v="0"/>
    <x v="1"/>
    <x v="0"/>
    <x v="642"/>
    <x v="0"/>
    <x v="321"/>
  </r>
  <r>
    <x v="1119"/>
    <x v="546"/>
    <x v="538"/>
    <x v="531"/>
    <x v="892"/>
    <x v="1"/>
    <x v="1"/>
    <x v="547"/>
    <x v="397"/>
    <x v="1"/>
    <x v="210"/>
    <x v="0"/>
    <x v="0"/>
    <x v="1"/>
    <x v="3"/>
    <x v="3"/>
    <x v="2"/>
    <x v="2"/>
    <x v="2"/>
    <x v="1"/>
    <x v="1"/>
    <x v="253"/>
    <x v="1"/>
    <x v="6"/>
    <x v="2"/>
    <x v="542"/>
    <x v="12"/>
    <x v="1"/>
    <x v="1"/>
    <x v="2"/>
    <x v="1"/>
    <x v="643"/>
    <x v="0"/>
    <x v="322"/>
  </r>
  <r>
    <x v="1120"/>
    <x v="547"/>
    <x v="539"/>
    <x v="532"/>
    <x v="893"/>
    <x v="3"/>
    <x v="2"/>
    <x v="548"/>
    <x v="346"/>
    <x v="1"/>
    <x v="211"/>
    <x v="0"/>
    <x v="0"/>
    <x v="1"/>
    <x v="3"/>
    <x v="4"/>
    <x v="2"/>
    <x v="1"/>
    <x v="2"/>
    <x v="1"/>
    <x v="1"/>
    <x v="253"/>
    <x v="1"/>
    <x v="6"/>
    <x v="2"/>
    <x v="543"/>
    <x v="12"/>
    <x v="3"/>
    <x v="0"/>
    <x v="1"/>
    <x v="0"/>
    <x v="644"/>
    <x v="0"/>
    <x v="323"/>
  </r>
  <r>
    <x v="1121"/>
    <x v="544"/>
    <x v="536"/>
    <x v="528"/>
    <x v="894"/>
    <x v="3"/>
    <x v="2"/>
    <x v="546"/>
    <x v="165"/>
    <x v="1"/>
    <x v="4"/>
    <x v="0"/>
    <x v="0"/>
    <x v="3"/>
    <x v="1"/>
    <x v="1"/>
    <x v="2"/>
    <x v="1"/>
    <x v="2"/>
    <x v="1"/>
    <x v="2"/>
    <x v="0"/>
    <x v="2"/>
    <x v="3"/>
    <x v="4"/>
    <x v="539"/>
    <x v="12"/>
    <x v="0"/>
    <x v="0"/>
    <x v="1"/>
    <x v="0"/>
    <x v="0"/>
    <x v="0"/>
    <x v="0"/>
  </r>
  <r>
    <x v="1122"/>
    <x v="543"/>
    <x v="535"/>
    <x v="527"/>
    <x v="0"/>
    <x v="3"/>
    <x v="1"/>
    <x v="545"/>
    <x v="395"/>
    <x v="1"/>
    <x v="15"/>
    <x v="0"/>
    <x v="0"/>
    <x v="3"/>
    <x v="1"/>
    <x v="1"/>
    <x v="2"/>
    <x v="1"/>
    <x v="2"/>
    <x v="1"/>
    <x v="2"/>
    <x v="0"/>
    <x v="2"/>
    <x v="3"/>
    <x v="4"/>
    <x v="538"/>
    <x v="12"/>
    <x v="0"/>
    <x v="0"/>
    <x v="1"/>
    <x v="0"/>
    <x v="0"/>
    <x v="0"/>
    <x v="0"/>
  </r>
  <r>
    <x v="1123"/>
    <x v="548"/>
    <x v="540"/>
    <x v="533"/>
    <x v="895"/>
    <x v="3"/>
    <x v="2"/>
    <x v="549"/>
    <x v="206"/>
    <x v="2"/>
    <x v="0"/>
    <x v="5"/>
    <x v="0"/>
    <x v="1"/>
    <x v="2"/>
    <x v="3"/>
    <x v="2"/>
    <x v="1"/>
    <x v="2"/>
    <x v="1"/>
    <x v="1"/>
    <x v="254"/>
    <x v="1"/>
    <x v="6"/>
    <x v="2"/>
    <x v="544"/>
    <x v="5"/>
    <x v="1"/>
    <x v="1"/>
    <x v="1"/>
    <x v="0"/>
    <x v="645"/>
    <x v="0"/>
    <x v="0"/>
  </r>
  <r>
    <x v="1124"/>
    <x v="546"/>
    <x v="538"/>
    <x v="531"/>
    <x v="896"/>
    <x v="1"/>
    <x v="1"/>
    <x v="547"/>
    <x v="397"/>
    <x v="1"/>
    <x v="212"/>
    <x v="0"/>
    <x v="0"/>
    <x v="3"/>
    <x v="1"/>
    <x v="1"/>
    <x v="2"/>
    <x v="1"/>
    <x v="2"/>
    <x v="1"/>
    <x v="2"/>
    <x v="0"/>
    <x v="1"/>
    <x v="3"/>
    <x v="4"/>
    <x v="542"/>
    <x v="5"/>
    <x v="0"/>
    <x v="0"/>
    <x v="1"/>
    <x v="0"/>
    <x v="0"/>
    <x v="0"/>
    <x v="0"/>
  </r>
  <r>
    <x v="1125"/>
    <x v="549"/>
    <x v="541"/>
    <x v="534"/>
    <x v="897"/>
    <x v="1"/>
    <x v="2"/>
    <x v="550"/>
    <x v="398"/>
    <x v="1"/>
    <x v="9"/>
    <x v="0"/>
    <x v="0"/>
    <x v="1"/>
    <x v="1"/>
    <x v="1"/>
    <x v="2"/>
    <x v="1"/>
    <x v="2"/>
    <x v="1"/>
    <x v="1"/>
    <x v="254"/>
    <x v="1"/>
    <x v="6"/>
    <x v="2"/>
    <x v="545"/>
    <x v="5"/>
    <x v="1"/>
    <x v="1"/>
    <x v="1"/>
    <x v="0"/>
    <x v="646"/>
    <x v="0"/>
    <x v="194"/>
  </r>
  <r>
    <x v="1126"/>
    <x v="548"/>
    <x v="540"/>
    <x v="533"/>
    <x v="0"/>
    <x v="3"/>
    <x v="2"/>
    <x v="549"/>
    <x v="206"/>
    <x v="2"/>
    <x v="0"/>
    <x v="5"/>
    <x v="0"/>
    <x v="3"/>
    <x v="4"/>
    <x v="1"/>
    <x v="2"/>
    <x v="1"/>
    <x v="2"/>
    <x v="1"/>
    <x v="2"/>
    <x v="0"/>
    <x v="2"/>
    <x v="3"/>
    <x v="4"/>
    <x v="544"/>
    <x v="5"/>
    <x v="0"/>
    <x v="0"/>
    <x v="1"/>
    <x v="0"/>
    <x v="0"/>
    <x v="0"/>
    <x v="0"/>
  </r>
  <r>
    <x v="1127"/>
    <x v="550"/>
    <x v="542"/>
    <x v="535"/>
    <x v="898"/>
    <x v="1"/>
    <x v="1"/>
    <x v="551"/>
    <x v="280"/>
    <x v="1"/>
    <x v="8"/>
    <x v="0"/>
    <x v="0"/>
    <x v="1"/>
    <x v="1"/>
    <x v="1"/>
    <x v="2"/>
    <x v="1"/>
    <x v="2"/>
    <x v="1"/>
    <x v="1"/>
    <x v="255"/>
    <x v="1"/>
    <x v="6"/>
    <x v="2"/>
    <x v="546"/>
    <x v="5"/>
    <x v="3"/>
    <x v="0"/>
    <x v="1"/>
    <x v="0"/>
    <x v="647"/>
    <x v="0"/>
    <x v="211"/>
  </r>
  <r>
    <x v="1128"/>
    <x v="549"/>
    <x v="541"/>
    <x v="534"/>
    <x v="899"/>
    <x v="1"/>
    <x v="2"/>
    <x v="550"/>
    <x v="398"/>
    <x v="1"/>
    <x v="9"/>
    <x v="0"/>
    <x v="0"/>
    <x v="3"/>
    <x v="1"/>
    <x v="1"/>
    <x v="2"/>
    <x v="1"/>
    <x v="2"/>
    <x v="1"/>
    <x v="2"/>
    <x v="0"/>
    <x v="2"/>
    <x v="3"/>
    <x v="4"/>
    <x v="545"/>
    <x v="5"/>
    <x v="0"/>
    <x v="0"/>
    <x v="1"/>
    <x v="0"/>
    <x v="0"/>
    <x v="0"/>
    <x v="0"/>
  </r>
  <r>
    <x v="1129"/>
    <x v="551"/>
    <x v="543"/>
    <x v="536"/>
    <x v="900"/>
    <x v="1"/>
    <x v="2"/>
    <x v="552"/>
    <x v="196"/>
    <x v="6"/>
    <x v="0"/>
    <x v="0"/>
    <x v="26"/>
    <x v="1"/>
    <x v="3"/>
    <x v="3"/>
    <x v="2"/>
    <x v="1"/>
    <x v="2"/>
    <x v="1"/>
    <x v="1"/>
    <x v="256"/>
    <x v="1"/>
    <x v="6"/>
    <x v="2"/>
    <x v="547"/>
    <x v="5"/>
    <x v="1"/>
    <x v="2"/>
    <x v="1"/>
    <x v="0"/>
    <x v="648"/>
    <x v="0"/>
    <x v="0"/>
  </r>
  <r>
    <x v="1130"/>
    <x v="551"/>
    <x v="543"/>
    <x v="536"/>
    <x v="0"/>
    <x v="1"/>
    <x v="2"/>
    <x v="552"/>
    <x v="196"/>
    <x v="6"/>
    <x v="0"/>
    <x v="0"/>
    <x v="26"/>
    <x v="3"/>
    <x v="1"/>
    <x v="1"/>
    <x v="2"/>
    <x v="1"/>
    <x v="2"/>
    <x v="1"/>
    <x v="2"/>
    <x v="0"/>
    <x v="2"/>
    <x v="3"/>
    <x v="4"/>
    <x v="547"/>
    <x v="4"/>
    <x v="0"/>
    <x v="0"/>
    <x v="1"/>
    <x v="0"/>
    <x v="0"/>
    <x v="0"/>
    <x v="0"/>
  </r>
  <r>
    <x v="1131"/>
    <x v="552"/>
    <x v="544"/>
    <x v="537"/>
    <x v="901"/>
    <x v="3"/>
    <x v="2"/>
    <x v="553"/>
    <x v="360"/>
    <x v="1"/>
    <x v="213"/>
    <x v="0"/>
    <x v="0"/>
    <x v="1"/>
    <x v="2"/>
    <x v="3"/>
    <x v="2"/>
    <x v="1"/>
    <x v="1"/>
    <x v="1"/>
    <x v="1"/>
    <x v="257"/>
    <x v="1"/>
    <x v="5"/>
    <x v="3"/>
    <x v="548"/>
    <x v="1"/>
    <x v="3"/>
    <x v="0"/>
    <x v="1"/>
    <x v="0"/>
    <x v="649"/>
    <x v="310"/>
    <x v="0"/>
  </r>
  <r>
    <x v="1132"/>
    <x v="553"/>
    <x v="545"/>
    <x v="538"/>
    <x v="902"/>
    <x v="1"/>
    <x v="2"/>
    <x v="554"/>
    <x v="208"/>
    <x v="1"/>
    <x v="214"/>
    <x v="0"/>
    <x v="0"/>
    <x v="1"/>
    <x v="1"/>
    <x v="2"/>
    <x v="1"/>
    <x v="1"/>
    <x v="2"/>
    <x v="1"/>
    <x v="1"/>
    <x v="257"/>
    <x v="1"/>
    <x v="5"/>
    <x v="2"/>
    <x v="549"/>
    <x v="5"/>
    <x v="3"/>
    <x v="0"/>
    <x v="1"/>
    <x v="0"/>
    <x v="650"/>
    <x v="311"/>
    <x v="324"/>
  </r>
  <r>
    <x v="1133"/>
    <x v="554"/>
    <x v="546"/>
    <x v="539"/>
    <x v="903"/>
    <x v="1"/>
    <x v="2"/>
    <x v="555"/>
    <x v="238"/>
    <x v="1"/>
    <x v="8"/>
    <x v="0"/>
    <x v="0"/>
    <x v="1"/>
    <x v="1"/>
    <x v="1"/>
    <x v="2"/>
    <x v="1"/>
    <x v="2"/>
    <x v="1"/>
    <x v="1"/>
    <x v="258"/>
    <x v="1"/>
    <x v="2"/>
    <x v="2"/>
    <x v="550"/>
    <x v="1"/>
    <x v="3"/>
    <x v="0"/>
    <x v="1"/>
    <x v="0"/>
    <x v="651"/>
    <x v="0"/>
    <x v="0"/>
  </r>
  <r>
    <x v="1134"/>
    <x v="555"/>
    <x v="547"/>
    <x v="540"/>
    <x v="904"/>
    <x v="3"/>
    <x v="2"/>
    <x v="556"/>
    <x v="399"/>
    <x v="1"/>
    <x v="9"/>
    <x v="0"/>
    <x v="0"/>
    <x v="1"/>
    <x v="1"/>
    <x v="1"/>
    <x v="2"/>
    <x v="2"/>
    <x v="1"/>
    <x v="1"/>
    <x v="2"/>
    <x v="0"/>
    <x v="1"/>
    <x v="4"/>
    <x v="2"/>
    <x v="551"/>
    <x v="12"/>
    <x v="0"/>
    <x v="0"/>
    <x v="1"/>
    <x v="0"/>
    <x v="0"/>
    <x v="0"/>
    <x v="0"/>
  </r>
  <r>
    <x v="1135"/>
    <x v="556"/>
    <x v="548"/>
    <x v="541"/>
    <x v="905"/>
    <x v="1"/>
    <x v="3"/>
    <x v="152"/>
    <x v="352"/>
    <x v="1"/>
    <x v="15"/>
    <x v="0"/>
    <x v="0"/>
    <x v="1"/>
    <x v="1"/>
    <x v="1"/>
    <x v="2"/>
    <x v="1"/>
    <x v="2"/>
    <x v="1"/>
    <x v="2"/>
    <x v="0"/>
    <x v="1"/>
    <x v="1"/>
    <x v="2"/>
    <x v="552"/>
    <x v="12"/>
    <x v="0"/>
    <x v="0"/>
    <x v="1"/>
    <x v="0"/>
    <x v="0"/>
    <x v="0"/>
    <x v="0"/>
  </r>
  <r>
    <x v="1136"/>
    <x v="557"/>
    <x v="549"/>
    <x v="542"/>
    <x v="906"/>
    <x v="1"/>
    <x v="2"/>
    <x v="557"/>
    <x v="315"/>
    <x v="1"/>
    <x v="215"/>
    <x v="0"/>
    <x v="0"/>
    <x v="1"/>
    <x v="1"/>
    <x v="1"/>
    <x v="2"/>
    <x v="1"/>
    <x v="3"/>
    <x v="1"/>
    <x v="2"/>
    <x v="0"/>
    <x v="2"/>
    <x v="1"/>
    <x v="5"/>
    <x v="553"/>
    <x v="1"/>
    <x v="0"/>
    <x v="0"/>
    <x v="1"/>
    <x v="0"/>
    <x v="0"/>
    <x v="0"/>
    <x v="0"/>
  </r>
  <r>
    <x v="1137"/>
    <x v="555"/>
    <x v="547"/>
    <x v="540"/>
    <x v="907"/>
    <x v="3"/>
    <x v="2"/>
    <x v="556"/>
    <x v="399"/>
    <x v="1"/>
    <x v="9"/>
    <x v="0"/>
    <x v="0"/>
    <x v="1"/>
    <x v="3"/>
    <x v="3"/>
    <x v="2"/>
    <x v="2"/>
    <x v="2"/>
    <x v="1"/>
    <x v="1"/>
    <x v="259"/>
    <x v="1"/>
    <x v="6"/>
    <x v="2"/>
    <x v="551"/>
    <x v="5"/>
    <x v="1"/>
    <x v="7"/>
    <x v="2"/>
    <x v="1"/>
    <x v="638"/>
    <x v="312"/>
    <x v="325"/>
  </r>
  <r>
    <x v="1138"/>
    <x v="558"/>
    <x v="550"/>
    <x v="543"/>
    <x v="908"/>
    <x v="3"/>
    <x v="1"/>
    <x v="558"/>
    <x v="298"/>
    <x v="1"/>
    <x v="216"/>
    <x v="0"/>
    <x v="0"/>
    <x v="1"/>
    <x v="3"/>
    <x v="3"/>
    <x v="2"/>
    <x v="1"/>
    <x v="2"/>
    <x v="1"/>
    <x v="1"/>
    <x v="259"/>
    <x v="1"/>
    <x v="6"/>
    <x v="2"/>
    <x v="554"/>
    <x v="5"/>
    <x v="3"/>
    <x v="0"/>
    <x v="1"/>
    <x v="0"/>
    <x v="639"/>
    <x v="313"/>
    <x v="326"/>
  </r>
  <r>
    <x v="1139"/>
    <x v="559"/>
    <x v="551"/>
    <x v="544"/>
    <x v="909"/>
    <x v="3"/>
    <x v="2"/>
    <x v="559"/>
    <x v="358"/>
    <x v="2"/>
    <x v="0"/>
    <x v="5"/>
    <x v="0"/>
    <x v="1"/>
    <x v="3"/>
    <x v="3"/>
    <x v="2"/>
    <x v="1"/>
    <x v="1"/>
    <x v="1"/>
    <x v="1"/>
    <x v="260"/>
    <x v="1"/>
    <x v="6"/>
    <x v="2"/>
    <x v="555"/>
    <x v="12"/>
    <x v="1"/>
    <x v="3"/>
    <x v="1"/>
    <x v="0"/>
    <x v="652"/>
    <x v="314"/>
    <x v="0"/>
  </r>
  <r>
    <x v="1140"/>
    <x v="555"/>
    <x v="547"/>
    <x v="540"/>
    <x v="910"/>
    <x v="3"/>
    <x v="2"/>
    <x v="556"/>
    <x v="399"/>
    <x v="1"/>
    <x v="9"/>
    <x v="0"/>
    <x v="0"/>
    <x v="3"/>
    <x v="1"/>
    <x v="1"/>
    <x v="2"/>
    <x v="2"/>
    <x v="2"/>
    <x v="1"/>
    <x v="1"/>
    <x v="261"/>
    <x v="1"/>
    <x v="3"/>
    <x v="4"/>
    <x v="551"/>
    <x v="12"/>
    <x v="1"/>
    <x v="4"/>
    <x v="2"/>
    <x v="1"/>
    <x v="653"/>
    <x v="315"/>
    <x v="327"/>
  </r>
  <r>
    <x v="1141"/>
    <x v="557"/>
    <x v="549"/>
    <x v="542"/>
    <x v="911"/>
    <x v="1"/>
    <x v="2"/>
    <x v="557"/>
    <x v="171"/>
    <x v="1"/>
    <x v="4"/>
    <x v="0"/>
    <x v="0"/>
    <x v="1"/>
    <x v="1"/>
    <x v="1"/>
    <x v="1"/>
    <x v="1"/>
    <x v="2"/>
    <x v="1"/>
    <x v="1"/>
    <x v="260"/>
    <x v="2"/>
    <x v="1"/>
    <x v="2"/>
    <x v="556"/>
    <x v="3"/>
    <x v="1"/>
    <x v="3"/>
    <x v="1"/>
    <x v="0"/>
    <x v="654"/>
    <x v="316"/>
    <x v="328"/>
  </r>
  <r>
    <x v="1142"/>
    <x v="200"/>
    <x v="198"/>
    <x v="196"/>
    <x v="912"/>
    <x v="1"/>
    <x v="3"/>
    <x v="209"/>
    <x v="10"/>
    <x v="1"/>
    <x v="15"/>
    <x v="0"/>
    <x v="0"/>
    <x v="1"/>
    <x v="3"/>
    <x v="3"/>
    <x v="2"/>
    <x v="1"/>
    <x v="2"/>
    <x v="1"/>
    <x v="1"/>
    <x v="261"/>
    <x v="1"/>
    <x v="1"/>
    <x v="1"/>
    <x v="556"/>
    <x v="2"/>
    <x v="1"/>
    <x v="4"/>
    <x v="1"/>
    <x v="0"/>
    <x v="655"/>
    <x v="317"/>
    <x v="0"/>
  </r>
  <r>
    <x v="1143"/>
    <x v="559"/>
    <x v="551"/>
    <x v="544"/>
    <x v="0"/>
    <x v="3"/>
    <x v="2"/>
    <x v="559"/>
    <x v="358"/>
    <x v="1"/>
    <x v="217"/>
    <x v="0"/>
    <x v="0"/>
    <x v="3"/>
    <x v="1"/>
    <x v="1"/>
    <x v="2"/>
    <x v="1"/>
    <x v="2"/>
    <x v="1"/>
    <x v="2"/>
    <x v="0"/>
    <x v="2"/>
    <x v="3"/>
    <x v="4"/>
    <x v="555"/>
    <x v="3"/>
    <x v="0"/>
    <x v="0"/>
    <x v="1"/>
    <x v="0"/>
    <x v="0"/>
    <x v="0"/>
    <x v="0"/>
  </r>
  <r>
    <x v="1144"/>
    <x v="557"/>
    <x v="549"/>
    <x v="542"/>
    <x v="913"/>
    <x v="1"/>
    <x v="2"/>
    <x v="557"/>
    <x v="400"/>
    <x v="1"/>
    <x v="4"/>
    <x v="0"/>
    <x v="0"/>
    <x v="3"/>
    <x v="3"/>
    <x v="3"/>
    <x v="1"/>
    <x v="1"/>
    <x v="2"/>
    <x v="1"/>
    <x v="1"/>
    <x v="261"/>
    <x v="2"/>
    <x v="3"/>
    <x v="4"/>
    <x v="556"/>
    <x v="3"/>
    <x v="3"/>
    <x v="0"/>
    <x v="1"/>
    <x v="0"/>
    <x v="656"/>
    <x v="318"/>
    <x v="0"/>
  </r>
  <r>
    <x v="1145"/>
    <x v="499"/>
    <x v="491"/>
    <x v="484"/>
    <x v="914"/>
    <x v="1"/>
    <x v="2"/>
    <x v="500"/>
    <x v="323"/>
    <x v="1"/>
    <x v="2"/>
    <x v="0"/>
    <x v="0"/>
    <x v="1"/>
    <x v="1"/>
    <x v="1"/>
    <x v="2"/>
    <x v="1"/>
    <x v="3"/>
    <x v="2"/>
    <x v="1"/>
    <x v="261"/>
    <x v="1"/>
    <x v="5"/>
    <x v="2"/>
    <x v="494"/>
    <x v="3"/>
    <x v="1"/>
    <x v="3"/>
    <x v="1"/>
    <x v="0"/>
    <x v="657"/>
    <x v="319"/>
    <x v="329"/>
  </r>
  <r>
    <x v="1146"/>
    <x v="464"/>
    <x v="460"/>
    <x v="454"/>
    <x v="915"/>
    <x v="1"/>
    <x v="2"/>
    <x v="469"/>
    <x v="373"/>
    <x v="1"/>
    <x v="44"/>
    <x v="0"/>
    <x v="0"/>
    <x v="1"/>
    <x v="1"/>
    <x v="1"/>
    <x v="2"/>
    <x v="1"/>
    <x v="2"/>
    <x v="1"/>
    <x v="2"/>
    <x v="0"/>
    <x v="1"/>
    <x v="1"/>
    <x v="2"/>
    <x v="462"/>
    <x v="3"/>
    <x v="0"/>
    <x v="0"/>
    <x v="1"/>
    <x v="0"/>
    <x v="0"/>
    <x v="0"/>
    <x v="0"/>
  </r>
  <r>
    <x v="1147"/>
    <x v="560"/>
    <x v="552"/>
    <x v="545"/>
    <x v="916"/>
    <x v="1"/>
    <x v="2"/>
    <x v="560"/>
    <x v="401"/>
    <x v="1"/>
    <x v="138"/>
    <x v="0"/>
    <x v="0"/>
    <x v="1"/>
    <x v="3"/>
    <x v="3"/>
    <x v="2"/>
    <x v="1"/>
    <x v="2"/>
    <x v="1"/>
    <x v="1"/>
    <x v="262"/>
    <x v="1"/>
    <x v="1"/>
    <x v="2"/>
    <x v="557"/>
    <x v="2"/>
    <x v="1"/>
    <x v="4"/>
    <x v="2"/>
    <x v="1"/>
    <x v="658"/>
    <x v="320"/>
    <x v="0"/>
  </r>
  <r>
    <x v="1148"/>
    <x v="555"/>
    <x v="547"/>
    <x v="540"/>
    <x v="917"/>
    <x v="3"/>
    <x v="2"/>
    <x v="556"/>
    <x v="402"/>
    <x v="1"/>
    <x v="9"/>
    <x v="0"/>
    <x v="0"/>
    <x v="3"/>
    <x v="3"/>
    <x v="3"/>
    <x v="2"/>
    <x v="1"/>
    <x v="2"/>
    <x v="2"/>
    <x v="1"/>
    <x v="262"/>
    <x v="1"/>
    <x v="3"/>
    <x v="4"/>
    <x v="551"/>
    <x v="1"/>
    <x v="1"/>
    <x v="1"/>
    <x v="1"/>
    <x v="0"/>
    <x v="659"/>
    <x v="321"/>
    <x v="0"/>
  </r>
  <r>
    <x v="1149"/>
    <x v="200"/>
    <x v="198"/>
    <x v="196"/>
    <x v="0"/>
    <x v="1"/>
    <x v="3"/>
    <x v="209"/>
    <x v="403"/>
    <x v="1"/>
    <x v="15"/>
    <x v="0"/>
    <x v="0"/>
    <x v="3"/>
    <x v="1"/>
    <x v="1"/>
    <x v="2"/>
    <x v="1"/>
    <x v="2"/>
    <x v="1"/>
    <x v="2"/>
    <x v="0"/>
    <x v="2"/>
    <x v="3"/>
    <x v="4"/>
    <x v="556"/>
    <x v="1"/>
    <x v="0"/>
    <x v="0"/>
    <x v="1"/>
    <x v="0"/>
    <x v="0"/>
    <x v="0"/>
    <x v="0"/>
  </r>
  <r>
    <x v="1150"/>
    <x v="561"/>
    <x v="553"/>
    <x v="546"/>
    <x v="918"/>
    <x v="1"/>
    <x v="2"/>
    <x v="561"/>
    <x v="404"/>
    <x v="1"/>
    <x v="15"/>
    <x v="0"/>
    <x v="0"/>
    <x v="1"/>
    <x v="1"/>
    <x v="1"/>
    <x v="2"/>
    <x v="1"/>
    <x v="2"/>
    <x v="1"/>
    <x v="2"/>
    <x v="0"/>
    <x v="2"/>
    <x v="1"/>
    <x v="2"/>
    <x v="558"/>
    <x v="4"/>
    <x v="0"/>
    <x v="0"/>
    <x v="1"/>
    <x v="0"/>
    <x v="0"/>
    <x v="0"/>
    <x v="0"/>
  </r>
  <r>
    <x v="1151"/>
    <x v="446"/>
    <x v="442"/>
    <x v="437"/>
    <x v="919"/>
    <x v="1"/>
    <x v="2"/>
    <x v="452"/>
    <x v="343"/>
    <x v="1"/>
    <x v="15"/>
    <x v="0"/>
    <x v="0"/>
    <x v="1"/>
    <x v="2"/>
    <x v="3"/>
    <x v="2"/>
    <x v="1"/>
    <x v="1"/>
    <x v="1"/>
    <x v="1"/>
    <x v="263"/>
    <x v="1"/>
    <x v="1"/>
    <x v="2"/>
    <x v="445"/>
    <x v="1"/>
    <x v="1"/>
    <x v="4"/>
    <x v="2"/>
    <x v="1"/>
    <x v="660"/>
    <x v="0"/>
    <x v="0"/>
  </r>
  <r>
    <x v="1152"/>
    <x v="555"/>
    <x v="547"/>
    <x v="540"/>
    <x v="0"/>
    <x v="3"/>
    <x v="2"/>
    <x v="556"/>
    <x v="196"/>
    <x v="8"/>
    <x v="0"/>
    <x v="0"/>
    <x v="0"/>
    <x v="3"/>
    <x v="1"/>
    <x v="1"/>
    <x v="2"/>
    <x v="1"/>
    <x v="2"/>
    <x v="1"/>
    <x v="2"/>
    <x v="0"/>
    <x v="2"/>
    <x v="3"/>
    <x v="4"/>
    <x v="551"/>
    <x v="5"/>
    <x v="0"/>
    <x v="0"/>
    <x v="1"/>
    <x v="0"/>
    <x v="0"/>
    <x v="0"/>
    <x v="0"/>
  </r>
  <r>
    <x v="1153"/>
    <x v="560"/>
    <x v="552"/>
    <x v="545"/>
    <x v="920"/>
    <x v="1"/>
    <x v="2"/>
    <x v="560"/>
    <x v="401"/>
    <x v="1"/>
    <x v="22"/>
    <x v="0"/>
    <x v="0"/>
    <x v="3"/>
    <x v="1"/>
    <x v="1"/>
    <x v="2"/>
    <x v="1"/>
    <x v="2"/>
    <x v="1"/>
    <x v="1"/>
    <x v="264"/>
    <x v="1"/>
    <x v="3"/>
    <x v="4"/>
    <x v="557"/>
    <x v="1"/>
    <x v="3"/>
    <x v="0"/>
    <x v="1"/>
    <x v="0"/>
    <x v="661"/>
    <x v="0"/>
    <x v="0"/>
  </r>
  <r>
    <x v="1154"/>
    <x v="446"/>
    <x v="442"/>
    <x v="437"/>
    <x v="921"/>
    <x v="1"/>
    <x v="2"/>
    <x v="452"/>
    <x v="343"/>
    <x v="1"/>
    <x v="15"/>
    <x v="0"/>
    <x v="0"/>
    <x v="3"/>
    <x v="1"/>
    <x v="1"/>
    <x v="2"/>
    <x v="1"/>
    <x v="1"/>
    <x v="1"/>
    <x v="1"/>
    <x v="265"/>
    <x v="1"/>
    <x v="3"/>
    <x v="4"/>
    <x v="445"/>
    <x v="1"/>
    <x v="1"/>
    <x v="4"/>
    <x v="2"/>
    <x v="1"/>
    <x v="662"/>
    <x v="0"/>
    <x v="0"/>
  </r>
  <r>
    <x v="1155"/>
    <x v="533"/>
    <x v="525"/>
    <x v="517"/>
    <x v="922"/>
    <x v="1"/>
    <x v="2"/>
    <x v="535"/>
    <x v="405"/>
    <x v="1"/>
    <x v="218"/>
    <x v="0"/>
    <x v="0"/>
    <x v="1"/>
    <x v="2"/>
    <x v="3"/>
    <x v="2"/>
    <x v="1"/>
    <x v="2"/>
    <x v="1"/>
    <x v="1"/>
    <x v="266"/>
    <x v="1"/>
    <x v="1"/>
    <x v="2"/>
    <x v="528"/>
    <x v="6"/>
    <x v="1"/>
    <x v="4"/>
    <x v="2"/>
    <x v="1"/>
    <x v="663"/>
    <x v="0"/>
    <x v="0"/>
  </r>
  <r>
    <x v="1156"/>
    <x v="562"/>
    <x v="491"/>
    <x v="484"/>
    <x v="0"/>
    <x v="3"/>
    <x v="2"/>
    <x v="500"/>
    <x v="323"/>
    <x v="1"/>
    <x v="2"/>
    <x v="0"/>
    <x v="0"/>
    <x v="3"/>
    <x v="1"/>
    <x v="1"/>
    <x v="1"/>
    <x v="1"/>
    <x v="2"/>
    <x v="1"/>
    <x v="2"/>
    <x v="0"/>
    <x v="2"/>
    <x v="3"/>
    <x v="4"/>
    <x v="494"/>
    <x v="3"/>
    <x v="0"/>
    <x v="0"/>
    <x v="1"/>
    <x v="0"/>
    <x v="664"/>
    <x v="0"/>
    <x v="0"/>
  </r>
  <r>
    <x v="1157"/>
    <x v="446"/>
    <x v="442"/>
    <x v="437"/>
    <x v="923"/>
    <x v="1"/>
    <x v="2"/>
    <x v="452"/>
    <x v="343"/>
    <x v="1"/>
    <x v="219"/>
    <x v="0"/>
    <x v="0"/>
    <x v="1"/>
    <x v="1"/>
    <x v="1"/>
    <x v="2"/>
    <x v="1"/>
    <x v="2"/>
    <x v="1"/>
    <x v="1"/>
    <x v="266"/>
    <x v="1"/>
    <x v="5"/>
    <x v="2"/>
    <x v="445"/>
    <x v="3"/>
    <x v="1"/>
    <x v="7"/>
    <x v="2"/>
    <x v="1"/>
    <x v="665"/>
    <x v="0"/>
    <x v="0"/>
  </r>
  <r>
    <x v="1158"/>
    <x v="533"/>
    <x v="525"/>
    <x v="517"/>
    <x v="924"/>
    <x v="1"/>
    <x v="2"/>
    <x v="535"/>
    <x v="405"/>
    <x v="1"/>
    <x v="218"/>
    <x v="0"/>
    <x v="0"/>
    <x v="3"/>
    <x v="1"/>
    <x v="1"/>
    <x v="2"/>
    <x v="1"/>
    <x v="2"/>
    <x v="1"/>
    <x v="2"/>
    <x v="0"/>
    <x v="1"/>
    <x v="3"/>
    <x v="4"/>
    <x v="528"/>
    <x v="1"/>
    <x v="0"/>
    <x v="0"/>
    <x v="1"/>
    <x v="0"/>
    <x v="0"/>
    <x v="0"/>
    <x v="0"/>
  </r>
  <r>
    <x v="1159"/>
    <x v="303"/>
    <x v="304"/>
    <x v="529"/>
    <x v="925"/>
    <x v="1"/>
    <x v="2"/>
    <x v="317"/>
    <x v="137"/>
    <x v="1"/>
    <x v="220"/>
    <x v="0"/>
    <x v="0"/>
    <x v="1"/>
    <x v="2"/>
    <x v="4"/>
    <x v="2"/>
    <x v="1"/>
    <x v="3"/>
    <x v="1"/>
    <x v="1"/>
    <x v="267"/>
    <x v="1"/>
    <x v="1"/>
    <x v="2"/>
    <x v="540"/>
    <x v="1"/>
    <x v="3"/>
    <x v="0"/>
    <x v="1"/>
    <x v="0"/>
    <x v="666"/>
    <x v="0"/>
    <x v="0"/>
  </r>
  <r>
    <x v="1160"/>
    <x v="446"/>
    <x v="442"/>
    <x v="437"/>
    <x v="926"/>
    <x v="1"/>
    <x v="2"/>
    <x v="452"/>
    <x v="347"/>
    <x v="1"/>
    <x v="22"/>
    <x v="0"/>
    <x v="0"/>
    <x v="3"/>
    <x v="1"/>
    <x v="1"/>
    <x v="2"/>
    <x v="1"/>
    <x v="2"/>
    <x v="1"/>
    <x v="2"/>
    <x v="0"/>
    <x v="1"/>
    <x v="3"/>
    <x v="4"/>
    <x v="445"/>
    <x v="12"/>
    <x v="0"/>
    <x v="0"/>
    <x v="1"/>
    <x v="0"/>
    <x v="0"/>
    <x v="0"/>
    <x v="0"/>
  </r>
  <r>
    <x v="1161"/>
    <x v="289"/>
    <x v="290"/>
    <x v="285"/>
    <x v="927"/>
    <x v="1"/>
    <x v="2"/>
    <x v="304"/>
    <x v="367"/>
    <x v="1"/>
    <x v="15"/>
    <x v="0"/>
    <x v="0"/>
    <x v="1"/>
    <x v="1"/>
    <x v="1"/>
    <x v="2"/>
    <x v="1"/>
    <x v="2"/>
    <x v="1"/>
    <x v="1"/>
    <x v="266"/>
    <x v="1"/>
    <x v="1"/>
    <x v="2"/>
    <x v="559"/>
    <x v="12"/>
    <x v="3"/>
    <x v="0"/>
    <x v="1"/>
    <x v="0"/>
    <x v="667"/>
    <x v="322"/>
    <x v="330"/>
  </r>
  <r>
    <x v="1162"/>
    <x v="563"/>
    <x v="554"/>
    <x v="547"/>
    <x v="928"/>
    <x v="3"/>
    <x v="1"/>
    <x v="562"/>
    <x v="227"/>
    <x v="1"/>
    <x v="9"/>
    <x v="0"/>
    <x v="0"/>
    <x v="1"/>
    <x v="1"/>
    <x v="1"/>
    <x v="2"/>
    <x v="1"/>
    <x v="2"/>
    <x v="1"/>
    <x v="2"/>
    <x v="0"/>
    <x v="1"/>
    <x v="6"/>
    <x v="2"/>
    <x v="560"/>
    <x v="5"/>
    <x v="0"/>
    <x v="0"/>
    <x v="1"/>
    <x v="0"/>
    <x v="0"/>
    <x v="0"/>
    <x v="0"/>
  </r>
  <r>
    <x v="1163"/>
    <x v="533"/>
    <x v="525"/>
    <x v="517"/>
    <x v="929"/>
    <x v="1"/>
    <x v="2"/>
    <x v="535"/>
    <x v="405"/>
    <x v="1"/>
    <x v="221"/>
    <x v="0"/>
    <x v="0"/>
    <x v="1"/>
    <x v="1"/>
    <x v="1"/>
    <x v="2"/>
    <x v="1"/>
    <x v="2"/>
    <x v="1"/>
    <x v="1"/>
    <x v="265"/>
    <x v="1"/>
    <x v="6"/>
    <x v="2"/>
    <x v="528"/>
    <x v="5"/>
    <x v="1"/>
    <x v="4"/>
    <x v="2"/>
    <x v="1"/>
    <x v="668"/>
    <x v="323"/>
    <x v="0"/>
  </r>
  <r>
    <x v="1164"/>
    <x v="564"/>
    <x v="555"/>
    <x v="548"/>
    <x v="930"/>
    <x v="1"/>
    <x v="2"/>
    <x v="563"/>
    <x v="406"/>
    <x v="1"/>
    <x v="33"/>
    <x v="0"/>
    <x v="0"/>
    <x v="1"/>
    <x v="3"/>
    <x v="3"/>
    <x v="2"/>
    <x v="2"/>
    <x v="1"/>
    <x v="1"/>
    <x v="1"/>
    <x v="268"/>
    <x v="1"/>
    <x v="4"/>
    <x v="2"/>
    <x v="561"/>
    <x v="1"/>
    <x v="1"/>
    <x v="7"/>
    <x v="1"/>
    <x v="0"/>
    <x v="669"/>
    <x v="324"/>
    <x v="0"/>
  </r>
  <r>
    <x v="1165"/>
    <x v="446"/>
    <x v="442"/>
    <x v="437"/>
    <x v="931"/>
    <x v="1"/>
    <x v="2"/>
    <x v="452"/>
    <x v="343"/>
    <x v="1"/>
    <x v="15"/>
    <x v="0"/>
    <x v="0"/>
    <x v="3"/>
    <x v="1"/>
    <x v="1"/>
    <x v="2"/>
    <x v="1"/>
    <x v="1"/>
    <x v="2"/>
    <x v="1"/>
    <x v="269"/>
    <x v="1"/>
    <x v="3"/>
    <x v="4"/>
    <x v="445"/>
    <x v="1"/>
    <x v="1"/>
    <x v="4"/>
    <x v="2"/>
    <x v="1"/>
    <x v="670"/>
    <x v="0"/>
    <x v="0"/>
  </r>
  <r>
    <x v="1166"/>
    <x v="565"/>
    <x v="556"/>
    <x v="549"/>
    <x v="932"/>
    <x v="3"/>
    <x v="2"/>
    <x v="564"/>
    <x v="10"/>
    <x v="1"/>
    <x v="222"/>
    <x v="0"/>
    <x v="0"/>
    <x v="1"/>
    <x v="1"/>
    <x v="1"/>
    <x v="2"/>
    <x v="2"/>
    <x v="2"/>
    <x v="1"/>
    <x v="2"/>
    <x v="0"/>
    <x v="1"/>
    <x v="6"/>
    <x v="2"/>
    <x v="562"/>
    <x v="1"/>
    <x v="0"/>
    <x v="0"/>
    <x v="1"/>
    <x v="0"/>
    <x v="0"/>
    <x v="0"/>
    <x v="0"/>
  </r>
  <r>
    <x v="1167"/>
    <x v="533"/>
    <x v="525"/>
    <x v="517"/>
    <x v="933"/>
    <x v="1"/>
    <x v="2"/>
    <x v="535"/>
    <x v="405"/>
    <x v="1"/>
    <x v="221"/>
    <x v="0"/>
    <x v="0"/>
    <x v="3"/>
    <x v="1"/>
    <x v="1"/>
    <x v="2"/>
    <x v="1"/>
    <x v="2"/>
    <x v="1"/>
    <x v="2"/>
    <x v="0"/>
    <x v="1"/>
    <x v="3"/>
    <x v="4"/>
    <x v="528"/>
    <x v="1"/>
    <x v="0"/>
    <x v="0"/>
    <x v="1"/>
    <x v="0"/>
    <x v="0"/>
    <x v="0"/>
    <x v="0"/>
  </r>
  <r>
    <x v="1168"/>
    <x v="566"/>
    <x v="557"/>
    <x v="550"/>
    <x v="934"/>
    <x v="1"/>
    <x v="2"/>
    <x v="565"/>
    <x v="407"/>
    <x v="1"/>
    <x v="223"/>
    <x v="0"/>
    <x v="0"/>
    <x v="1"/>
    <x v="1"/>
    <x v="1"/>
    <x v="1"/>
    <x v="1"/>
    <x v="3"/>
    <x v="1"/>
    <x v="2"/>
    <x v="0"/>
    <x v="2"/>
    <x v="1"/>
    <x v="1"/>
    <x v="563"/>
    <x v="2"/>
    <x v="0"/>
    <x v="0"/>
    <x v="1"/>
    <x v="0"/>
    <x v="0"/>
    <x v="0"/>
    <x v="0"/>
  </r>
  <r>
    <x v="1169"/>
    <x v="564"/>
    <x v="555"/>
    <x v="548"/>
    <x v="0"/>
    <x v="1"/>
    <x v="2"/>
    <x v="563"/>
    <x v="406"/>
    <x v="1"/>
    <x v="33"/>
    <x v="0"/>
    <x v="0"/>
    <x v="3"/>
    <x v="1"/>
    <x v="1"/>
    <x v="2"/>
    <x v="2"/>
    <x v="1"/>
    <x v="1"/>
    <x v="1"/>
    <x v="270"/>
    <x v="2"/>
    <x v="3"/>
    <x v="4"/>
    <x v="561"/>
    <x v="12"/>
    <x v="1"/>
    <x v="4"/>
    <x v="2"/>
    <x v="1"/>
    <x v="0"/>
    <x v="0"/>
    <x v="331"/>
  </r>
  <r>
    <x v="1170"/>
    <x v="404"/>
    <x v="403"/>
    <x v="398"/>
    <x v="935"/>
    <x v="1"/>
    <x v="2"/>
    <x v="416"/>
    <x v="208"/>
    <x v="1"/>
    <x v="1"/>
    <x v="0"/>
    <x v="0"/>
    <x v="1"/>
    <x v="2"/>
    <x v="3"/>
    <x v="2"/>
    <x v="1"/>
    <x v="2"/>
    <x v="1"/>
    <x v="1"/>
    <x v="268"/>
    <x v="1"/>
    <x v="1"/>
    <x v="2"/>
    <x v="406"/>
    <x v="6"/>
    <x v="3"/>
    <x v="0"/>
    <x v="1"/>
    <x v="0"/>
    <x v="671"/>
    <x v="325"/>
    <x v="332"/>
  </r>
  <r>
    <x v="1171"/>
    <x v="562"/>
    <x v="491"/>
    <x v="484"/>
    <x v="936"/>
    <x v="3"/>
    <x v="2"/>
    <x v="500"/>
    <x v="323"/>
    <x v="1"/>
    <x v="224"/>
    <x v="0"/>
    <x v="0"/>
    <x v="1"/>
    <x v="1"/>
    <x v="2"/>
    <x v="1"/>
    <x v="1"/>
    <x v="2"/>
    <x v="2"/>
    <x v="2"/>
    <x v="0"/>
    <x v="1"/>
    <x v="1"/>
    <x v="2"/>
    <x v="494"/>
    <x v="3"/>
    <x v="0"/>
    <x v="0"/>
    <x v="1"/>
    <x v="0"/>
    <x v="0"/>
    <x v="0"/>
    <x v="0"/>
  </r>
  <r>
    <x v="1172"/>
    <x v="446"/>
    <x v="442"/>
    <x v="437"/>
    <x v="937"/>
    <x v="1"/>
    <x v="2"/>
    <x v="452"/>
    <x v="347"/>
    <x v="1"/>
    <x v="15"/>
    <x v="0"/>
    <x v="0"/>
    <x v="1"/>
    <x v="3"/>
    <x v="3"/>
    <x v="1"/>
    <x v="1"/>
    <x v="2"/>
    <x v="1"/>
    <x v="1"/>
    <x v="270"/>
    <x v="1"/>
    <x v="5"/>
    <x v="2"/>
    <x v="445"/>
    <x v="12"/>
    <x v="1"/>
    <x v="4"/>
    <x v="2"/>
    <x v="1"/>
    <x v="672"/>
    <x v="0"/>
    <x v="333"/>
  </r>
  <r>
    <x v="1173"/>
    <x v="561"/>
    <x v="553"/>
    <x v="546"/>
    <x v="938"/>
    <x v="1"/>
    <x v="2"/>
    <x v="561"/>
    <x v="404"/>
    <x v="1"/>
    <x v="193"/>
    <x v="0"/>
    <x v="0"/>
    <x v="1"/>
    <x v="1"/>
    <x v="1"/>
    <x v="2"/>
    <x v="1"/>
    <x v="2"/>
    <x v="1"/>
    <x v="2"/>
    <x v="0"/>
    <x v="2"/>
    <x v="2"/>
    <x v="2"/>
    <x v="558"/>
    <x v="3"/>
    <x v="0"/>
    <x v="0"/>
    <x v="1"/>
    <x v="0"/>
    <x v="0"/>
    <x v="0"/>
    <x v="0"/>
  </r>
  <r>
    <x v="1174"/>
    <x v="446"/>
    <x v="442"/>
    <x v="437"/>
    <x v="939"/>
    <x v="1"/>
    <x v="2"/>
    <x v="452"/>
    <x v="347"/>
    <x v="1"/>
    <x v="15"/>
    <x v="0"/>
    <x v="0"/>
    <x v="3"/>
    <x v="1"/>
    <x v="1"/>
    <x v="2"/>
    <x v="1"/>
    <x v="2"/>
    <x v="2"/>
    <x v="2"/>
    <x v="0"/>
    <x v="1"/>
    <x v="3"/>
    <x v="4"/>
    <x v="445"/>
    <x v="1"/>
    <x v="0"/>
    <x v="0"/>
    <x v="1"/>
    <x v="0"/>
    <x v="0"/>
    <x v="0"/>
    <x v="0"/>
  </r>
  <r>
    <x v="1175"/>
    <x v="564"/>
    <x v="555"/>
    <x v="548"/>
    <x v="940"/>
    <x v="1"/>
    <x v="2"/>
    <x v="563"/>
    <x v="406"/>
    <x v="1"/>
    <x v="33"/>
    <x v="0"/>
    <x v="0"/>
    <x v="3"/>
    <x v="1"/>
    <x v="1"/>
    <x v="2"/>
    <x v="2"/>
    <x v="1"/>
    <x v="1"/>
    <x v="1"/>
    <x v="269"/>
    <x v="1"/>
    <x v="3"/>
    <x v="4"/>
    <x v="561"/>
    <x v="1"/>
    <x v="3"/>
    <x v="0"/>
    <x v="1"/>
    <x v="0"/>
    <x v="673"/>
    <x v="326"/>
    <x v="0"/>
  </r>
  <r>
    <x v="1176"/>
    <x v="567"/>
    <x v="558"/>
    <x v="551"/>
    <x v="941"/>
    <x v="3"/>
    <x v="4"/>
    <x v="566"/>
    <x v="408"/>
    <x v="1"/>
    <x v="15"/>
    <x v="0"/>
    <x v="0"/>
    <x v="1"/>
    <x v="1"/>
    <x v="1"/>
    <x v="2"/>
    <x v="1"/>
    <x v="1"/>
    <x v="1"/>
    <x v="1"/>
    <x v="270"/>
    <x v="1"/>
    <x v="1"/>
    <x v="2"/>
    <x v="564"/>
    <x v="4"/>
    <x v="3"/>
    <x v="0"/>
    <x v="1"/>
    <x v="0"/>
    <x v="674"/>
    <x v="327"/>
    <x v="334"/>
  </r>
  <r>
    <x v="1177"/>
    <x v="568"/>
    <x v="559"/>
    <x v="552"/>
    <x v="942"/>
    <x v="1"/>
    <x v="2"/>
    <x v="567"/>
    <x v="203"/>
    <x v="1"/>
    <x v="36"/>
    <x v="0"/>
    <x v="0"/>
    <x v="1"/>
    <x v="1"/>
    <x v="1"/>
    <x v="1"/>
    <x v="1"/>
    <x v="2"/>
    <x v="1"/>
    <x v="2"/>
    <x v="0"/>
    <x v="1"/>
    <x v="1"/>
    <x v="2"/>
    <x v="565"/>
    <x v="5"/>
    <x v="0"/>
    <x v="0"/>
    <x v="1"/>
    <x v="0"/>
    <x v="0"/>
    <x v="0"/>
    <x v="0"/>
  </r>
  <r>
    <x v="1178"/>
    <x v="446"/>
    <x v="442"/>
    <x v="437"/>
    <x v="943"/>
    <x v="1"/>
    <x v="2"/>
    <x v="452"/>
    <x v="343"/>
    <x v="1"/>
    <x v="225"/>
    <x v="0"/>
    <x v="0"/>
    <x v="1"/>
    <x v="1"/>
    <x v="1"/>
    <x v="1"/>
    <x v="1"/>
    <x v="2"/>
    <x v="1"/>
    <x v="2"/>
    <x v="0"/>
    <x v="1"/>
    <x v="1"/>
    <x v="1"/>
    <x v="445"/>
    <x v="2"/>
    <x v="0"/>
    <x v="0"/>
    <x v="1"/>
    <x v="0"/>
    <x v="0"/>
    <x v="0"/>
    <x v="0"/>
  </r>
  <r>
    <x v="1179"/>
    <x v="569"/>
    <x v="560"/>
    <x v="553"/>
    <x v="944"/>
    <x v="1"/>
    <x v="2"/>
    <x v="568"/>
    <x v="409"/>
    <x v="1"/>
    <x v="15"/>
    <x v="0"/>
    <x v="0"/>
    <x v="1"/>
    <x v="1"/>
    <x v="1"/>
    <x v="2"/>
    <x v="1"/>
    <x v="2"/>
    <x v="1"/>
    <x v="1"/>
    <x v="269"/>
    <x v="1"/>
    <x v="1"/>
    <x v="2"/>
    <x v="566"/>
    <x v="5"/>
    <x v="1"/>
    <x v="7"/>
    <x v="1"/>
    <x v="0"/>
    <x v="675"/>
    <x v="328"/>
    <x v="335"/>
  </r>
  <r>
    <x v="1180"/>
    <x v="570"/>
    <x v="561"/>
    <x v="554"/>
    <x v="945"/>
    <x v="1"/>
    <x v="2"/>
    <x v="569"/>
    <x v="79"/>
    <x v="1"/>
    <x v="226"/>
    <x v="0"/>
    <x v="0"/>
    <x v="1"/>
    <x v="1"/>
    <x v="1"/>
    <x v="2"/>
    <x v="1"/>
    <x v="2"/>
    <x v="1"/>
    <x v="2"/>
    <x v="0"/>
    <x v="1"/>
    <x v="1"/>
    <x v="2"/>
    <x v="567"/>
    <x v="4"/>
    <x v="0"/>
    <x v="0"/>
    <x v="1"/>
    <x v="0"/>
    <x v="0"/>
    <x v="0"/>
    <x v="0"/>
  </r>
  <r>
    <x v="1181"/>
    <x v="440"/>
    <x v="436"/>
    <x v="431"/>
    <x v="946"/>
    <x v="1"/>
    <x v="1"/>
    <x v="446"/>
    <x v="340"/>
    <x v="1"/>
    <x v="227"/>
    <x v="0"/>
    <x v="0"/>
    <x v="1"/>
    <x v="1"/>
    <x v="1"/>
    <x v="2"/>
    <x v="1"/>
    <x v="2"/>
    <x v="1"/>
    <x v="2"/>
    <x v="0"/>
    <x v="1"/>
    <x v="1"/>
    <x v="2"/>
    <x v="439"/>
    <x v="6"/>
    <x v="0"/>
    <x v="0"/>
    <x v="1"/>
    <x v="0"/>
    <x v="0"/>
    <x v="0"/>
    <x v="0"/>
  </r>
  <r>
    <x v="1182"/>
    <x v="515"/>
    <x v="507"/>
    <x v="499"/>
    <x v="947"/>
    <x v="1"/>
    <x v="2"/>
    <x v="516"/>
    <x v="410"/>
    <x v="1"/>
    <x v="2"/>
    <x v="0"/>
    <x v="0"/>
    <x v="1"/>
    <x v="1"/>
    <x v="1"/>
    <x v="1"/>
    <x v="2"/>
    <x v="3"/>
    <x v="2"/>
    <x v="1"/>
    <x v="271"/>
    <x v="1"/>
    <x v="1"/>
    <x v="2"/>
    <x v="509"/>
    <x v="5"/>
    <x v="1"/>
    <x v="0"/>
    <x v="1"/>
    <x v="0"/>
    <x v="676"/>
    <x v="329"/>
    <x v="336"/>
  </r>
  <r>
    <x v="1183"/>
    <x v="515"/>
    <x v="507"/>
    <x v="499"/>
    <x v="0"/>
    <x v="1"/>
    <x v="2"/>
    <x v="516"/>
    <x v="410"/>
    <x v="1"/>
    <x v="2"/>
    <x v="0"/>
    <x v="0"/>
    <x v="3"/>
    <x v="1"/>
    <x v="1"/>
    <x v="2"/>
    <x v="2"/>
    <x v="3"/>
    <x v="2"/>
    <x v="2"/>
    <x v="0"/>
    <x v="2"/>
    <x v="3"/>
    <x v="4"/>
    <x v="509"/>
    <x v="5"/>
    <x v="0"/>
    <x v="0"/>
    <x v="1"/>
    <x v="0"/>
    <x v="0"/>
    <x v="0"/>
    <x v="0"/>
  </r>
  <r>
    <x v="1184"/>
    <x v="571"/>
    <x v="562"/>
    <x v="555"/>
    <x v="948"/>
    <x v="1"/>
    <x v="3"/>
    <x v="570"/>
    <x v="398"/>
    <x v="1"/>
    <x v="70"/>
    <x v="0"/>
    <x v="0"/>
    <x v="1"/>
    <x v="1"/>
    <x v="1"/>
    <x v="2"/>
    <x v="1"/>
    <x v="1"/>
    <x v="1"/>
    <x v="2"/>
    <x v="0"/>
    <x v="1"/>
    <x v="2"/>
    <x v="3"/>
    <x v="568"/>
    <x v="12"/>
    <x v="0"/>
    <x v="0"/>
    <x v="1"/>
    <x v="0"/>
    <x v="0"/>
    <x v="0"/>
    <x v="0"/>
  </r>
  <r>
    <x v="1185"/>
    <x v="446"/>
    <x v="442"/>
    <x v="437"/>
    <x v="949"/>
    <x v="1"/>
    <x v="2"/>
    <x v="452"/>
    <x v="343"/>
    <x v="1"/>
    <x v="15"/>
    <x v="0"/>
    <x v="0"/>
    <x v="3"/>
    <x v="1"/>
    <x v="1"/>
    <x v="2"/>
    <x v="1"/>
    <x v="1"/>
    <x v="2"/>
    <x v="2"/>
    <x v="0"/>
    <x v="1"/>
    <x v="3"/>
    <x v="4"/>
    <x v="445"/>
    <x v="1"/>
    <x v="0"/>
    <x v="0"/>
    <x v="1"/>
    <x v="0"/>
    <x v="0"/>
    <x v="0"/>
    <x v="0"/>
  </r>
  <r>
    <x v="1186"/>
    <x v="301"/>
    <x v="302"/>
    <x v="297"/>
    <x v="950"/>
    <x v="1"/>
    <x v="2"/>
    <x v="315"/>
    <x v="411"/>
    <x v="1"/>
    <x v="33"/>
    <x v="0"/>
    <x v="0"/>
    <x v="1"/>
    <x v="3"/>
    <x v="3"/>
    <x v="1"/>
    <x v="2"/>
    <x v="2"/>
    <x v="1"/>
    <x v="1"/>
    <x v="269"/>
    <x v="1"/>
    <x v="2"/>
    <x v="3"/>
    <x v="303"/>
    <x v="2"/>
    <x v="1"/>
    <x v="5"/>
    <x v="1"/>
    <x v="1"/>
    <x v="677"/>
    <x v="0"/>
    <x v="0"/>
  </r>
  <r>
    <x v="1187"/>
    <x v="442"/>
    <x v="438"/>
    <x v="433"/>
    <x v="951"/>
    <x v="1"/>
    <x v="2"/>
    <x v="448"/>
    <x v="412"/>
    <x v="1"/>
    <x v="33"/>
    <x v="0"/>
    <x v="0"/>
    <x v="1"/>
    <x v="3"/>
    <x v="3"/>
    <x v="2"/>
    <x v="1"/>
    <x v="1"/>
    <x v="1"/>
    <x v="1"/>
    <x v="264"/>
    <x v="1"/>
    <x v="1"/>
    <x v="2"/>
    <x v="441"/>
    <x v="1"/>
    <x v="1"/>
    <x v="1"/>
    <x v="1"/>
    <x v="0"/>
    <x v="678"/>
    <x v="330"/>
    <x v="0"/>
  </r>
  <r>
    <x v="1188"/>
    <x v="569"/>
    <x v="560"/>
    <x v="553"/>
    <x v="0"/>
    <x v="1"/>
    <x v="2"/>
    <x v="568"/>
    <x v="409"/>
    <x v="1"/>
    <x v="15"/>
    <x v="0"/>
    <x v="0"/>
    <x v="3"/>
    <x v="1"/>
    <x v="1"/>
    <x v="1"/>
    <x v="1"/>
    <x v="2"/>
    <x v="1"/>
    <x v="2"/>
    <x v="0"/>
    <x v="2"/>
    <x v="3"/>
    <x v="4"/>
    <x v="566"/>
    <x v="12"/>
    <x v="0"/>
    <x v="0"/>
    <x v="1"/>
    <x v="0"/>
    <x v="0"/>
    <x v="0"/>
    <x v="0"/>
  </r>
  <r>
    <x v="1189"/>
    <x v="301"/>
    <x v="302"/>
    <x v="297"/>
    <x v="0"/>
    <x v="1"/>
    <x v="2"/>
    <x v="315"/>
    <x v="249"/>
    <x v="1"/>
    <x v="33"/>
    <x v="0"/>
    <x v="0"/>
    <x v="3"/>
    <x v="1"/>
    <x v="1"/>
    <x v="1"/>
    <x v="2"/>
    <x v="2"/>
    <x v="1"/>
    <x v="1"/>
    <x v="272"/>
    <x v="1"/>
    <x v="3"/>
    <x v="4"/>
    <x v="303"/>
    <x v="2"/>
    <x v="1"/>
    <x v="1"/>
    <x v="1"/>
    <x v="0"/>
    <x v="484"/>
    <x v="331"/>
    <x v="0"/>
  </r>
  <r>
    <x v="1190"/>
    <x v="572"/>
    <x v="194"/>
    <x v="192"/>
    <x v="952"/>
    <x v="1"/>
    <x v="2"/>
    <x v="205"/>
    <x v="413"/>
    <x v="1"/>
    <x v="228"/>
    <x v="0"/>
    <x v="0"/>
    <x v="1"/>
    <x v="1"/>
    <x v="1"/>
    <x v="2"/>
    <x v="1"/>
    <x v="1"/>
    <x v="1"/>
    <x v="2"/>
    <x v="0"/>
    <x v="1"/>
    <x v="5"/>
    <x v="2"/>
    <x v="194"/>
    <x v="12"/>
    <x v="0"/>
    <x v="0"/>
    <x v="1"/>
    <x v="0"/>
    <x v="0"/>
    <x v="0"/>
    <x v="0"/>
  </r>
  <r>
    <x v="1191"/>
    <x v="573"/>
    <x v="563"/>
    <x v="556"/>
    <x v="953"/>
    <x v="1"/>
    <x v="2"/>
    <x v="571"/>
    <x v="414"/>
    <x v="1"/>
    <x v="22"/>
    <x v="0"/>
    <x v="0"/>
    <x v="1"/>
    <x v="3"/>
    <x v="3"/>
    <x v="2"/>
    <x v="1"/>
    <x v="2"/>
    <x v="1"/>
    <x v="1"/>
    <x v="273"/>
    <x v="1"/>
    <x v="6"/>
    <x v="2"/>
    <x v="569"/>
    <x v="5"/>
    <x v="1"/>
    <x v="3"/>
    <x v="2"/>
    <x v="1"/>
    <x v="679"/>
    <x v="0"/>
    <x v="0"/>
  </r>
  <r>
    <x v="1192"/>
    <x v="544"/>
    <x v="536"/>
    <x v="528"/>
    <x v="954"/>
    <x v="3"/>
    <x v="2"/>
    <x v="546"/>
    <x v="10"/>
    <x v="1"/>
    <x v="229"/>
    <x v="0"/>
    <x v="0"/>
    <x v="1"/>
    <x v="1"/>
    <x v="1"/>
    <x v="2"/>
    <x v="2"/>
    <x v="2"/>
    <x v="1"/>
    <x v="2"/>
    <x v="0"/>
    <x v="1"/>
    <x v="6"/>
    <x v="4"/>
    <x v="539"/>
    <x v="5"/>
    <x v="0"/>
    <x v="0"/>
    <x v="1"/>
    <x v="0"/>
    <x v="0"/>
    <x v="0"/>
    <x v="0"/>
  </r>
  <r>
    <x v="1193"/>
    <x v="391"/>
    <x v="391"/>
    <x v="386"/>
    <x v="955"/>
    <x v="3"/>
    <x v="2"/>
    <x v="406"/>
    <x v="281"/>
    <x v="1"/>
    <x v="89"/>
    <x v="0"/>
    <x v="0"/>
    <x v="1"/>
    <x v="1"/>
    <x v="1"/>
    <x v="2"/>
    <x v="1"/>
    <x v="2"/>
    <x v="1"/>
    <x v="1"/>
    <x v="264"/>
    <x v="1"/>
    <x v="6"/>
    <x v="2"/>
    <x v="570"/>
    <x v="5"/>
    <x v="1"/>
    <x v="1"/>
    <x v="1"/>
    <x v="0"/>
    <x v="680"/>
    <x v="0"/>
    <x v="0"/>
  </r>
  <r>
    <x v="1194"/>
    <x v="442"/>
    <x v="438"/>
    <x v="433"/>
    <x v="0"/>
    <x v="1"/>
    <x v="2"/>
    <x v="448"/>
    <x v="412"/>
    <x v="1"/>
    <x v="33"/>
    <x v="0"/>
    <x v="0"/>
    <x v="3"/>
    <x v="1"/>
    <x v="1"/>
    <x v="2"/>
    <x v="1"/>
    <x v="2"/>
    <x v="1"/>
    <x v="1"/>
    <x v="273"/>
    <x v="2"/>
    <x v="3"/>
    <x v="4"/>
    <x v="441"/>
    <x v="5"/>
    <x v="1"/>
    <x v="5"/>
    <x v="2"/>
    <x v="1"/>
    <x v="681"/>
    <x v="0"/>
    <x v="0"/>
  </r>
  <r>
    <x v="1195"/>
    <x v="391"/>
    <x v="391"/>
    <x v="386"/>
    <x v="955"/>
    <x v="3"/>
    <x v="2"/>
    <x v="406"/>
    <x v="281"/>
    <x v="1"/>
    <x v="89"/>
    <x v="0"/>
    <x v="0"/>
    <x v="3"/>
    <x v="3"/>
    <x v="3"/>
    <x v="2"/>
    <x v="1"/>
    <x v="2"/>
    <x v="1"/>
    <x v="1"/>
    <x v="272"/>
    <x v="1"/>
    <x v="3"/>
    <x v="4"/>
    <x v="570"/>
    <x v="5"/>
    <x v="3"/>
    <x v="0"/>
    <x v="1"/>
    <x v="0"/>
    <x v="682"/>
    <x v="0"/>
    <x v="0"/>
  </r>
  <r>
    <x v="1196"/>
    <x v="574"/>
    <x v="564"/>
    <x v="557"/>
    <x v="956"/>
    <x v="3"/>
    <x v="2"/>
    <x v="160"/>
    <x v="10"/>
    <x v="1"/>
    <x v="3"/>
    <x v="0"/>
    <x v="0"/>
    <x v="1"/>
    <x v="1"/>
    <x v="2"/>
    <x v="2"/>
    <x v="1"/>
    <x v="2"/>
    <x v="1"/>
    <x v="1"/>
    <x v="273"/>
    <x v="1"/>
    <x v="6"/>
    <x v="2"/>
    <x v="571"/>
    <x v="5"/>
    <x v="3"/>
    <x v="0"/>
    <x v="1"/>
    <x v="0"/>
    <x v="683"/>
    <x v="332"/>
    <x v="0"/>
  </r>
  <r>
    <x v="1197"/>
    <x v="200"/>
    <x v="198"/>
    <x v="196"/>
    <x v="957"/>
    <x v="1"/>
    <x v="2"/>
    <x v="209"/>
    <x v="374"/>
    <x v="1"/>
    <x v="2"/>
    <x v="0"/>
    <x v="0"/>
    <x v="1"/>
    <x v="2"/>
    <x v="3"/>
    <x v="1"/>
    <x v="1"/>
    <x v="2"/>
    <x v="1"/>
    <x v="1"/>
    <x v="273"/>
    <x v="1"/>
    <x v="4"/>
    <x v="2"/>
    <x v="556"/>
    <x v="5"/>
    <x v="3"/>
    <x v="0"/>
    <x v="1"/>
    <x v="0"/>
    <x v="684"/>
    <x v="333"/>
    <x v="0"/>
  </r>
  <r>
    <x v="1198"/>
    <x v="301"/>
    <x v="302"/>
    <x v="297"/>
    <x v="0"/>
    <x v="1"/>
    <x v="2"/>
    <x v="315"/>
    <x v="249"/>
    <x v="1"/>
    <x v="33"/>
    <x v="0"/>
    <x v="0"/>
    <x v="3"/>
    <x v="1"/>
    <x v="1"/>
    <x v="2"/>
    <x v="2"/>
    <x v="2"/>
    <x v="1"/>
    <x v="1"/>
    <x v="274"/>
    <x v="2"/>
    <x v="3"/>
    <x v="4"/>
    <x v="303"/>
    <x v="5"/>
    <x v="3"/>
    <x v="0"/>
    <x v="1"/>
    <x v="0"/>
    <x v="685"/>
    <x v="334"/>
    <x v="337"/>
  </r>
  <r>
    <x v="1199"/>
    <x v="575"/>
    <x v="563"/>
    <x v="556"/>
    <x v="958"/>
    <x v="1"/>
    <x v="2"/>
    <x v="571"/>
    <x v="414"/>
    <x v="1"/>
    <x v="22"/>
    <x v="0"/>
    <x v="0"/>
    <x v="3"/>
    <x v="1"/>
    <x v="1"/>
    <x v="2"/>
    <x v="1"/>
    <x v="2"/>
    <x v="1"/>
    <x v="1"/>
    <x v="275"/>
    <x v="1"/>
    <x v="3"/>
    <x v="4"/>
    <x v="569"/>
    <x v="3"/>
    <x v="1"/>
    <x v="13"/>
    <x v="2"/>
    <x v="1"/>
    <x v="686"/>
    <x v="0"/>
    <x v="338"/>
  </r>
  <r>
    <x v="1200"/>
    <x v="576"/>
    <x v="565"/>
    <x v="558"/>
    <x v="959"/>
    <x v="1"/>
    <x v="3"/>
    <x v="572"/>
    <x v="415"/>
    <x v="1"/>
    <x v="31"/>
    <x v="0"/>
    <x v="0"/>
    <x v="1"/>
    <x v="1"/>
    <x v="1"/>
    <x v="2"/>
    <x v="1"/>
    <x v="2"/>
    <x v="1"/>
    <x v="2"/>
    <x v="0"/>
    <x v="1"/>
    <x v="4"/>
    <x v="2"/>
    <x v="572"/>
    <x v="12"/>
    <x v="0"/>
    <x v="0"/>
    <x v="1"/>
    <x v="0"/>
    <x v="0"/>
    <x v="0"/>
    <x v="0"/>
  </r>
  <r>
    <x v="1201"/>
    <x v="442"/>
    <x v="438"/>
    <x v="433"/>
    <x v="0"/>
    <x v="1"/>
    <x v="2"/>
    <x v="448"/>
    <x v="412"/>
    <x v="1"/>
    <x v="33"/>
    <x v="0"/>
    <x v="0"/>
    <x v="3"/>
    <x v="1"/>
    <x v="1"/>
    <x v="2"/>
    <x v="1"/>
    <x v="2"/>
    <x v="1"/>
    <x v="1"/>
    <x v="274"/>
    <x v="1"/>
    <x v="3"/>
    <x v="4"/>
    <x v="441"/>
    <x v="2"/>
    <x v="1"/>
    <x v="5"/>
    <x v="2"/>
    <x v="1"/>
    <x v="687"/>
    <x v="0"/>
    <x v="0"/>
  </r>
  <r>
    <x v="1202"/>
    <x v="464"/>
    <x v="460"/>
    <x v="454"/>
    <x v="960"/>
    <x v="1"/>
    <x v="2"/>
    <x v="469"/>
    <x v="212"/>
    <x v="6"/>
    <x v="0"/>
    <x v="0"/>
    <x v="10"/>
    <x v="1"/>
    <x v="1"/>
    <x v="1"/>
    <x v="1"/>
    <x v="1"/>
    <x v="2"/>
    <x v="1"/>
    <x v="1"/>
    <x v="274"/>
    <x v="1"/>
    <x v="1"/>
    <x v="2"/>
    <x v="462"/>
    <x v="3"/>
    <x v="1"/>
    <x v="3"/>
    <x v="2"/>
    <x v="1"/>
    <x v="688"/>
    <x v="335"/>
    <x v="0"/>
  </r>
  <r>
    <x v="1203"/>
    <x v="433"/>
    <x v="430"/>
    <x v="425"/>
    <x v="961"/>
    <x v="1"/>
    <x v="2"/>
    <x v="440"/>
    <x v="341"/>
    <x v="1"/>
    <x v="230"/>
    <x v="0"/>
    <x v="0"/>
    <x v="1"/>
    <x v="1"/>
    <x v="1"/>
    <x v="2"/>
    <x v="1"/>
    <x v="2"/>
    <x v="1"/>
    <x v="2"/>
    <x v="0"/>
    <x v="1"/>
    <x v="1"/>
    <x v="2"/>
    <x v="433"/>
    <x v="12"/>
    <x v="0"/>
    <x v="0"/>
    <x v="1"/>
    <x v="0"/>
    <x v="0"/>
    <x v="0"/>
    <x v="0"/>
  </r>
  <r>
    <x v="1204"/>
    <x v="461"/>
    <x v="457"/>
    <x v="451"/>
    <x v="962"/>
    <x v="3"/>
    <x v="3"/>
    <x v="466"/>
    <x v="227"/>
    <x v="1"/>
    <x v="231"/>
    <x v="0"/>
    <x v="0"/>
    <x v="1"/>
    <x v="1"/>
    <x v="1"/>
    <x v="2"/>
    <x v="1"/>
    <x v="2"/>
    <x v="1"/>
    <x v="2"/>
    <x v="0"/>
    <x v="1"/>
    <x v="1"/>
    <x v="2"/>
    <x v="459"/>
    <x v="12"/>
    <x v="0"/>
    <x v="0"/>
    <x v="1"/>
    <x v="0"/>
    <x v="0"/>
    <x v="0"/>
    <x v="0"/>
  </r>
  <r>
    <x v="1205"/>
    <x v="366"/>
    <x v="366"/>
    <x v="361"/>
    <x v="963"/>
    <x v="1"/>
    <x v="2"/>
    <x v="380"/>
    <x v="292"/>
    <x v="1"/>
    <x v="33"/>
    <x v="0"/>
    <x v="0"/>
    <x v="1"/>
    <x v="3"/>
    <x v="2"/>
    <x v="2"/>
    <x v="1"/>
    <x v="2"/>
    <x v="1"/>
    <x v="1"/>
    <x v="276"/>
    <x v="1"/>
    <x v="2"/>
    <x v="2"/>
    <x v="368"/>
    <x v="5"/>
    <x v="3"/>
    <x v="0"/>
    <x v="1"/>
    <x v="0"/>
    <x v="689"/>
    <x v="0"/>
    <x v="0"/>
  </r>
  <r>
    <x v="1206"/>
    <x v="442"/>
    <x v="438"/>
    <x v="433"/>
    <x v="964"/>
    <x v="1"/>
    <x v="2"/>
    <x v="448"/>
    <x v="412"/>
    <x v="1"/>
    <x v="33"/>
    <x v="0"/>
    <x v="0"/>
    <x v="3"/>
    <x v="1"/>
    <x v="1"/>
    <x v="2"/>
    <x v="1"/>
    <x v="3"/>
    <x v="1"/>
    <x v="1"/>
    <x v="277"/>
    <x v="1"/>
    <x v="3"/>
    <x v="4"/>
    <x v="441"/>
    <x v="2"/>
    <x v="1"/>
    <x v="4"/>
    <x v="2"/>
    <x v="1"/>
    <x v="690"/>
    <x v="0"/>
    <x v="0"/>
  </r>
  <r>
    <x v="1207"/>
    <x v="577"/>
    <x v="566"/>
    <x v="559"/>
    <x v="965"/>
    <x v="1"/>
    <x v="2"/>
    <x v="573"/>
    <x v="416"/>
    <x v="1"/>
    <x v="2"/>
    <x v="0"/>
    <x v="0"/>
    <x v="1"/>
    <x v="1"/>
    <x v="1"/>
    <x v="1"/>
    <x v="1"/>
    <x v="3"/>
    <x v="2"/>
    <x v="1"/>
    <x v="274"/>
    <x v="1"/>
    <x v="1"/>
    <x v="2"/>
    <x v="573"/>
    <x v="1"/>
    <x v="1"/>
    <x v="13"/>
    <x v="1"/>
    <x v="0"/>
    <x v="691"/>
    <x v="0"/>
    <x v="339"/>
  </r>
  <r>
    <x v="1208"/>
    <x v="464"/>
    <x v="460"/>
    <x v="454"/>
    <x v="966"/>
    <x v="1"/>
    <x v="2"/>
    <x v="469"/>
    <x v="212"/>
    <x v="6"/>
    <x v="0"/>
    <x v="0"/>
    <x v="10"/>
    <x v="3"/>
    <x v="1"/>
    <x v="1"/>
    <x v="1"/>
    <x v="1"/>
    <x v="2"/>
    <x v="1"/>
    <x v="1"/>
    <x v="276"/>
    <x v="1"/>
    <x v="3"/>
    <x v="4"/>
    <x v="462"/>
    <x v="3"/>
    <x v="1"/>
    <x v="1"/>
    <x v="1"/>
    <x v="0"/>
    <x v="692"/>
    <x v="336"/>
    <x v="0"/>
  </r>
  <r>
    <x v="1209"/>
    <x v="577"/>
    <x v="566"/>
    <x v="559"/>
    <x v="967"/>
    <x v="1"/>
    <x v="2"/>
    <x v="573"/>
    <x v="416"/>
    <x v="1"/>
    <x v="2"/>
    <x v="0"/>
    <x v="0"/>
    <x v="3"/>
    <x v="3"/>
    <x v="2"/>
    <x v="2"/>
    <x v="1"/>
    <x v="2"/>
    <x v="2"/>
    <x v="1"/>
    <x v="276"/>
    <x v="1"/>
    <x v="3"/>
    <x v="4"/>
    <x v="573"/>
    <x v="14"/>
    <x v="3"/>
    <x v="0"/>
    <x v="1"/>
    <x v="0"/>
    <x v="689"/>
    <x v="0"/>
    <x v="0"/>
  </r>
  <r>
    <x v="1210"/>
    <x v="43"/>
    <x v="42"/>
    <x v="42"/>
    <x v="968"/>
    <x v="1"/>
    <x v="2"/>
    <x v="45"/>
    <x v="417"/>
    <x v="1"/>
    <x v="2"/>
    <x v="0"/>
    <x v="0"/>
    <x v="1"/>
    <x v="3"/>
    <x v="2"/>
    <x v="1"/>
    <x v="2"/>
    <x v="2"/>
    <x v="1"/>
    <x v="1"/>
    <x v="276"/>
    <x v="2"/>
    <x v="1"/>
    <x v="2"/>
    <x v="574"/>
    <x v="5"/>
    <x v="3"/>
    <x v="0"/>
    <x v="1"/>
    <x v="0"/>
    <x v="689"/>
    <x v="0"/>
    <x v="340"/>
  </r>
  <r>
    <x v="1211"/>
    <x v="578"/>
    <x v="567"/>
    <x v="560"/>
    <x v="969"/>
    <x v="3"/>
    <x v="2"/>
    <x v="574"/>
    <x v="418"/>
    <x v="1"/>
    <x v="3"/>
    <x v="0"/>
    <x v="0"/>
    <x v="1"/>
    <x v="1"/>
    <x v="2"/>
    <x v="2"/>
    <x v="1"/>
    <x v="2"/>
    <x v="1"/>
    <x v="1"/>
    <x v="277"/>
    <x v="1"/>
    <x v="6"/>
    <x v="2"/>
    <x v="575"/>
    <x v="5"/>
    <x v="1"/>
    <x v="1"/>
    <x v="1"/>
    <x v="0"/>
    <x v="693"/>
    <x v="337"/>
    <x v="0"/>
  </r>
  <r>
    <x v="1212"/>
    <x v="579"/>
    <x v="568"/>
    <x v="561"/>
    <x v="970"/>
    <x v="1"/>
    <x v="2"/>
    <x v="575"/>
    <x v="218"/>
    <x v="1"/>
    <x v="4"/>
    <x v="0"/>
    <x v="0"/>
    <x v="1"/>
    <x v="1"/>
    <x v="1"/>
    <x v="2"/>
    <x v="1"/>
    <x v="2"/>
    <x v="1"/>
    <x v="1"/>
    <x v="276"/>
    <x v="1"/>
    <x v="6"/>
    <x v="2"/>
    <x v="576"/>
    <x v="5"/>
    <x v="3"/>
    <x v="0"/>
    <x v="1"/>
    <x v="0"/>
    <x v="694"/>
    <x v="0"/>
    <x v="198"/>
  </r>
  <r>
    <x v="1213"/>
    <x v="580"/>
    <x v="569"/>
    <x v="562"/>
    <x v="971"/>
    <x v="1"/>
    <x v="2"/>
    <x v="576"/>
    <x v="369"/>
    <x v="1"/>
    <x v="8"/>
    <x v="0"/>
    <x v="0"/>
    <x v="1"/>
    <x v="1"/>
    <x v="1"/>
    <x v="2"/>
    <x v="1"/>
    <x v="2"/>
    <x v="1"/>
    <x v="1"/>
    <x v="277"/>
    <x v="2"/>
    <x v="6"/>
    <x v="2"/>
    <x v="577"/>
    <x v="5"/>
    <x v="3"/>
    <x v="0"/>
    <x v="1"/>
    <x v="0"/>
    <x v="695"/>
    <x v="0"/>
    <x v="341"/>
  </r>
  <r>
    <x v="1214"/>
    <x v="464"/>
    <x v="460"/>
    <x v="454"/>
    <x v="0"/>
    <x v="1"/>
    <x v="2"/>
    <x v="469"/>
    <x v="196"/>
    <x v="6"/>
    <x v="0"/>
    <x v="0"/>
    <x v="10"/>
    <x v="3"/>
    <x v="1"/>
    <x v="1"/>
    <x v="2"/>
    <x v="1"/>
    <x v="2"/>
    <x v="1"/>
    <x v="2"/>
    <x v="0"/>
    <x v="2"/>
    <x v="3"/>
    <x v="4"/>
    <x v="462"/>
    <x v="5"/>
    <x v="0"/>
    <x v="0"/>
    <x v="1"/>
    <x v="0"/>
    <x v="0"/>
    <x v="0"/>
    <x v="0"/>
  </r>
  <r>
    <x v="1215"/>
    <x v="442"/>
    <x v="438"/>
    <x v="433"/>
    <x v="972"/>
    <x v="1"/>
    <x v="2"/>
    <x v="448"/>
    <x v="412"/>
    <x v="1"/>
    <x v="33"/>
    <x v="0"/>
    <x v="0"/>
    <x v="3"/>
    <x v="1"/>
    <x v="1"/>
    <x v="2"/>
    <x v="1"/>
    <x v="3"/>
    <x v="1"/>
    <x v="1"/>
    <x v="278"/>
    <x v="1"/>
    <x v="3"/>
    <x v="4"/>
    <x v="441"/>
    <x v="1"/>
    <x v="3"/>
    <x v="0"/>
    <x v="1"/>
    <x v="0"/>
    <x v="696"/>
    <x v="338"/>
    <x v="0"/>
  </r>
  <r>
    <x v="1216"/>
    <x v="581"/>
    <x v="570"/>
    <x v="563"/>
    <x v="973"/>
    <x v="3"/>
    <x v="4"/>
    <x v="577"/>
    <x v="419"/>
    <x v="1"/>
    <x v="232"/>
    <x v="0"/>
    <x v="0"/>
    <x v="1"/>
    <x v="2"/>
    <x v="3"/>
    <x v="2"/>
    <x v="1"/>
    <x v="2"/>
    <x v="1"/>
    <x v="1"/>
    <x v="277"/>
    <x v="1"/>
    <x v="1"/>
    <x v="2"/>
    <x v="578"/>
    <x v="6"/>
    <x v="1"/>
    <x v="1"/>
    <x v="2"/>
    <x v="1"/>
    <x v="697"/>
    <x v="0"/>
    <x v="342"/>
  </r>
  <r>
    <x v="1217"/>
    <x v="582"/>
    <x v="571"/>
    <x v="564"/>
    <x v="974"/>
    <x v="3"/>
    <x v="2"/>
    <x v="578"/>
    <x v="10"/>
    <x v="1"/>
    <x v="22"/>
    <x v="0"/>
    <x v="0"/>
    <x v="1"/>
    <x v="1"/>
    <x v="1"/>
    <x v="2"/>
    <x v="1"/>
    <x v="2"/>
    <x v="1"/>
    <x v="1"/>
    <x v="279"/>
    <x v="1"/>
    <x v="1"/>
    <x v="2"/>
    <x v="579"/>
    <x v="1"/>
    <x v="1"/>
    <x v="7"/>
    <x v="1"/>
    <x v="0"/>
    <x v="698"/>
    <x v="339"/>
    <x v="0"/>
  </r>
  <r>
    <x v="1218"/>
    <x v="581"/>
    <x v="570"/>
    <x v="563"/>
    <x v="975"/>
    <x v="3"/>
    <x v="4"/>
    <x v="577"/>
    <x v="419"/>
    <x v="1"/>
    <x v="233"/>
    <x v="0"/>
    <x v="0"/>
    <x v="3"/>
    <x v="1"/>
    <x v="1"/>
    <x v="2"/>
    <x v="1"/>
    <x v="2"/>
    <x v="1"/>
    <x v="1"/>
    <x v="279"/>
    <x v="2"/>
    <x v="3"/>
    <x v="4"/>
    <x v="578"/>
    <x v="5"/>
    <x v="1"/>
    <x v="7"/>
    <x v="2"/>
    <x v="1"/>
    <x v="699"/>
    <x v="0"/>
    <x v="0"/>
  </r>
  <r>
    <x v="1219"/>
    <x v="578"/>
    <x v="567"/>
    <x v="560"/>
    <x v="0"/>
    <x v="3"/>
    <x v="2"/>
    <x v="574"/>
    <x v="418"/>
    <x v="1"/>
    <x v="3"/>
    <x v="0"/>
    <x v="0"/>
    <x v="3"/>
    <x v="1"/>
    <x v="1"/>
    <x v="2"/>
    <x v="1"/>
    <x v="2"/>
    <x v="1"/>
    <x v="2"/>
    <x v="0"/>
    <x v="2"/>
    <x v="3"/>
    <x v="4"/>
    <x v="575"/>
    <x v="5"/>
    <x v="0"/>
    <x v="0"/>
    <x v="1"/>
    <x v="0"/>
    <x v="0"/>
    <x v="0"/>
    <x v="0"/>
  </r>
  <r>
    <x v="1220"/>
    <x v="583"/>
    <x v="572"/>
    <x v="565"/>
    <x v="976"/>
    <x v="1"/>
    <x v="3"/>
    <x v="46"/>
    <x v="420"/>
    <x v="1"/>
    <x v="234"/>
    <x v="0"/>
    <x v="0"/>
    <x v="1"/>
    <x v="1"/>
    <x v="1"/>
    <x v="1"/>
    <x v="1"/>
    <x v="2"/>
    <x v="1"/>
    <x v="2"/>
    <x v="0"/>
    <x v="1"/>
    <x v="1"/>
    <x v="2"/>
    <x v="580"/>
    <x v="12"/>
    <x v="0"/>
    <x v="0"/>
    <x v="1"/>
    <x v="0"/>
    <x v="0"/>
    <x v="0"/>
    <x v="0"/>
  </r>
  <r>
    <x v="1221"/>
    <x v="581"/>
    <x v="570"/>
    <x v="563"/>
    <x v="977"/>
    <x v="3"/>
    <x v="4"/>
    <x v="577"/>
    <x v="419"/>
    <x v="1"/>
    <x v="235"/>
    <x v="0"/>
    <x v="0"/>
    <x v="3"/>
    <x v="1"/>
    <x v="1"/>
    <x v="2"/>
    <x v="1"/>
    <x v="2"/>
    <x v="1"/>
    <x v="1"/>
    <x v="275"/>
    <x v="1"/>
    <x v="3"/>
    <x v="4"/>
    <x v="578"/>
    <x v="12"/>
    <x v="1"/>
    <x v="4"/>
    <x v="1"/>
    <x v="0"/>
    <x v="700"/>
    <x v="0"/>
    <x v="0"/>
  </r>
  <r>
    <x v="1222"/>
    <x v="582"/>
    <x v="571"/>
    <x v="564"/>
    <x v="0"/>
    <x v="3"/>
    <x v="1"/>
    <x v="578"/>
    <x v="151"/>
    <x v="1"/>
    <x v="22"/>
    <x v="0"/>
    <x v="0"/>
    <x v="3"/>
    <x v="1"/>
    <x v="1"/>
    <x v="2"/>
    <x v="1"/>
    <x v="2"/>
    <x v="1"/>
    <x v="2"/>
    <x v="0"/>
    <x v="2"/>
    <x v="3"/>
    <x v="4"/>
    <x v="579"/>
    <x v="12"/>
    <x v="0"/>
    <x v="0"/>
    <x v="1"/>
    <x v="0"/>
    <x v="0"/>
    <x v="0"/>
    <x v="0"/>
  </r>
  <r>
    <x v="1223"/>
    <x v="584"/>
    <x v="573"/>
    <x v="566"/>
    <x v="978"/>
    <x v="3"/>
    <x v="6"/>
    <x v="579"/>
    <x v="340"/>
    <x v="1"/>
    <x v="57"/>
    <x v="0"/>
    <x v="0"/>
    <x v="1"/>
    <x v="1"/>
    <x v="1"/>
    <x v="1"/>
    <x v="1"/>
    <x v="2"/>
    <x v="1"/>
    <x v="2"/>
    <x v="0"/>
    <x v="1"/>
    <x v="5"/>
    <x v="2"/>
    <x v="581"/>
    <x v="12"/>
    <x v="0"/>
    <x v="0"/>
    <x v="1"/>
    <x v="0"/>
    <x v="0"/>
    <x v="0"/>
    <x v="0"/>
  </r>
  <r>
    <x v="1224"/>
    <x v="575"/>
    <x v="563"/>
    <x v="556"/>
    <x v="979"/>
    <x v="1"/>
    <x v="2"/>
    <x v="571"/>
    <x v="414"/>
    <x v="1"/>
    <x v="22"/>
    <x v="0"/>
    <x v="0"/>
    <x v="3"/>
    <x v="1"/>
    <x v="1"/>
    <x v="2"/>
    <x v="1"/>
    <x v="2"/>
    <x v="1"/>
    <x v="1"/>
    <x v="280"/>
    <x v="1"/>
    <x v="3"/>
    <x v="4"/>
    <x v="569"/>
    <x v="14"/>
    <x v="1"/>
    <x v="4"/>
    <x v="1"/>
    <x v="0"/>
    <x v="701"/>
    <x v="0"/>
    <x v="343"/>
  </r>
  <r>
    <x v="1225"/>
    <x v="446"/>
    <x v="442"/>
    <x v="437"/>
    <x v="980"/>
    <x v="1"/>
    <x v="3"/>
    <x v="452"/>
    <x v="343"/>
    <x v="1"/>
    <x v="120"/>
    <x v="0"/>
    <x v="0"/>
    <x v="1"/>
    <x v="2"/>
    <x v="4"/>
    <x v="2"/>
    <x v="1"/>
    <x v="2"/>
    <x v="1"/>
    <x v="1"/>
    <x v="278"/>
    <x v="1"/>
    <x v="3"/>
    <x v="4"/>
    <x v="445"/>
    <x v="14"/>
    <x v="1"/>
    <x v="7"/>
    <x v="2"/>
    <x v="1"/>
    <x v="702"/>
    <x v="340"/>
    <x v="344"/>
  </r>
  <r>
    <x v="1226"/>
    <x v="581"/>
    <x v="570"/>
    <x v="563"/>
    <x v="0"/>
    <x v="3"/>
    <x v="4"/>
    <x v="577"/>
    <x v="419"/>
    <x v="1"/>
    <x v="235"/>
    <x v="0"/>
    <x v="0"/>
    <x v="3"/>
    <x v="1"/>
    <x v="1"/>
    <x v="2"/>
    <x v="1"/>
    <x v="2"/>
    <x v="1"/>
    <x v="1"/>
    <x v="278"/>
    <x v="2"/>
    <x v="3"/>
    <x v="4"/>
    <x v="578"/>
    <x v="1"/>
    <x v="3"/>
    <x v="0"/>
    <x v="1"/>
    <x v="0"/>
    <x v="703"/>
    <x v="341"/>
    <x v="0"/>
  </r>
  <r>
    <x v="1227"/>
    <x v="585"/>
    <x v="574"/>
    <x v="567"/>
    <x v="981"/>
    <x v="1"/>
    <x v="2"/>
    <x v="580"/>
    <x v="283"/>
    <x v="1"/>
    <x v="3"/>
    <x v="0"/>
    <x v="0"/>
    <x v="1"/>
    <x v="3"/>
    <x v="2"/>
    <x v="2"/>
    <x v="1"/>
    <x v="2"/>
    <x v="1"/>
    <x v="1"/>
    <x v="281"/>
    <x v="1"/>
    <x v="3"/>
    <x v="4"/>
    <x v="582"/>
    <x v="0"/>
    <x v="1"/>
    <x v="4"/>
    <x v="2"/>
    <x v="1"/>
    <x v="704"/>
    <x v="0"/>
    <x v="345"/>
  </r>
  <r>
    <x v="1228"/>
    <x v="446"/>
    <x v="442"/>
    <x v="437"/>
    <x v="982"/>
    <x v="1"/>
    <x v="2"/>
    <x v="452"/>
    <x v="347"/>
    <x v="1"/>
    <x v="161"/>
    <x v="0"/>
    <x v="0"/>
    <x v="3"/>
    <x v="1"/>
    <x v="1"/>
    <x v="2"/>
    <x v="1"/>
    <x v="2"/>
    <x v="1"/>
    <x v="1"/>
    <x v="281"/>
    <x v="1"/>
    <x v="3"/>
    <x v="4"/>
    <x v="445"/>
    <x v="12"/>
    <x v="1"/>
    <x v="4"/>
    <x v="2"/>
    <x v="1"/>
    <x v="705"/>
    <x v="0"/>
    <x v="346"/>
  </r>
  <r>
    <x v="1229"/>
    <x v="585"/>
    <x v="574"/>
    <x v="567"/>
    <x v="983"/>
    <x v="1"/>
    <x v="2"/>
    <x v="580"/>
    <x v="283"/>
    <x v="1"/>
    <x v="3"/>
    <x v="0"/>
    <x v="0"/>
    <x v="3"/>
    <x v="3"/>
    <x v="2"/>
    <x v="2"/>
    <x v="1"/>
    <x v="2"/>
    <x v="1"/>
    <x v="1"/>
    <x v="282"/>
    <x v="1"/>
    <x v="3"/>
    <x v="4"/>
    <x v="582"/>
    <x v="1"/>
    <x v="1"/>
    <x v="1"/>
    <x v="1"/>
    <x v="0"/>
    <x v="706"/>
    <x v="342"/>
    <x v="0"/>
  </r>
  <r>
    <x v="1230"/>
    <x v="446"/>
    <x v="442"/>
    <x v="437"/>
    <x v="0"/>
    <x v="1"/>
    <x v="2"/>
    <x v="452"/>
    <x v="421"/>
    <x v="1"/>
    <x v="161"/>
    <x v="0"/>
    <x v="0"/>
    <x v="3"/>
    <x v="1"/>
    <x v="1"/>
    <x v="2"/>
    <x v="1"/>
    <x v="2"/>
    <x v="1"/>
    <x v="2"/>
    <x v="0"/>
    <x v="2"/>
    <x v="3"/>
    <x v="4"/>
    <x v="445"/>
    <x v="1"/>
    <x v="0"/>
    <x v="0"/>
    <x v="1"/>
    <x v="0"/>
    <x v="0"/>
    <x v="0"/>
    <x v="0"/>
  </r>
  <r>
    <x v="1231"/>
    <x v="586"/>
    <x v="575"/>
    <x v="568"/>
    <x v="984"/>
    <x v="3"/>
    <x v="2"/>
    <x v="437"/>
    <x v="353"/>
    <x v="1"/>
    <x v="33"/>
    <x v="0"/>
    <x v="0"/>
    <x v="1"/>
    <x v="3"/>
    <x v="2"/>
    <x v="2"/>
    <x v="1"/>
    <x v="2"/>
    <x v="1"/>
    <x v="1"/>
    <x v="283"/>
    <x v="2"/>
    <x v="1"/>
    <x v="2"/>
    <x v="583"/>
    <x v="3"/>
    <x v="3"/>
    <x v="0"/>
    <x v="1"/>
    <x v="0"/>
    <x v="707"/>
    <x v="343"/>
    <x v="0"/>
  </r>
  <r>
    <x v="1232"/>
    <x v="554"/>
    <x v="546"/>
    <x v="539"/>
    <x v="985"/>
    <x v="1"/>
    <x v="2"/>
    <x v="555"/>
    <x v="238"/>
    <x v="1"/>
    <x v="15"/>
    <x v="0"/>
    <x v="0"/>
    <x v="1"/>
    <x v="3"/>
    <x v="2"/>
    <x v="2"/>
    <x v="1"/>
    <x v="2"/>
    <x v="1"/>
    <x v="1"/>
    <x v="282"/>
    <x v="1"/>
    <x v="2"/>
    <x v="2"/>
    <x v="550"/>
    <x v="3"/>
    <x v="3"/>
    <x v="0"/>
    <x v="1"/>
    <x v="0"/>
    <x v="708"/>
    <x v="0"/>
    <x v="0"/>
  </r>
  <r>
    <x v="1233"/>
    <x v="587"/>
    <x v="576"/>
    <x v="569"/>
    <x v="986"/>
    <x v="2"/>
    <x v="4"/>
    <x v="581"/>
    <x v="269"/>
    <x v="1"/>
    <x v="236"/>
    <x v="0"/>
    <x v="0"/>
    <x v="1"/>
    <x v="1"/>
    <x v="1"/>
    <x v="2"/>
    <x v="2"/>
    <x v="1"/>
    <x v="1"/>
    <x v="1"/>
    <x v="282"/>
    <x v="1"/>
    <x v="1"/>
    <x v="2"/>
    <x v="584"/>
    <x v="4"/>
    <x v="1"/>
    <x v="1"/>
    <x v="2"/>
    <x v="1"/>
    <x v="709"/>
    <x v="344"/>
    <x v="0"/>
  </r>
  <r>
    <x v="1234"/>
    <x v="588"/>
    <x v="577"/>
    <x v="570"/>
    <x v="987"/>
    <x v="1"/>
    <x v="2"/>
    <x v="582"/>
    <x v="374"/>
    <x v="1"/>
    <x v="237"/>
    <x v="0"/>
    <x v="0"/>
    <x v="1"/>
    <x v="1"/>
    <x v="1"/>
    <x v="2"/>
    <x v="1"/>
    <x v="2"/>
    <x v="1"/>
    <x v="2"/>
    <x v="0"/>
    <x v="1"/>
    <x v="1"/>
    <x v="2"/>
    <x v="585"/>
    <x v="5"/>
    <x v="0"/>
    <x v="0"/>
    <x v="1"/>
    <x v="0"/>
    <x v="0"/>
    <x v="0"/>
    <x v="0"/>
  </r>
  <r>
    <x v="1235"/>
    <x v="589"/>
    <x v="576"/>
    <x v="569"/>
    <x v="988"/>
    <x v="2"/>
    <x v="4"/>
    <x v="581"/>
    <x v="269"/>
    <x v="1"/>
    <x v="236"/>
    <x v="0"/>
    <x v="0"/>
    <x v="3"/>
    <x v="1"/>
    <x v="1"/>
    <x v="2"/>
    <x v="2"/>
    <x v="2"/>
    <x v="1"/>
    <x v="1"/>
    <x v="284"/>
    <x v="2"/>
    <x v="3"/>
    <x v="4"/>
    <x v="584"/>
    <x v="5"/>
    <x v="1"/>
    <x v="7"/>
    <x v="1"/>
    <x v="0"/>
    <x v="710"/>
    <x v="0"/>
    <x v="0"/>
  </r>
  <r>
    <x v="1236"/>
    <x v="445"/>
    <x v="441"/>
    <x v="436"/>
    <x v="989"/>
    <x v="1"/>
    <x v="2"/>
    <x v="451"/>
    <x v="324"/>
    <x v="1"/>
    <x v="15"/>
    <x v="0"/>
    <x v="0"/>
    <x v="1"/>
    <x v="1"/>
    <x v="1"/>
    <x v="1"/>
    <x v="1"/>
    <x v="2"/>
    <x v="1"/>
    <x v="2"/>
    <x v="0"/>
    <x v="1"/>
    <x v="1"/>
    <x v="2"/>
    <x v="444"/>
    <x v="2"/>
    <x v="0"/>
    <x v="0"/>
    <x v="1"/>
    <x v="0"/>
    <x v="0"/>
    <x v="0"/>
    <x v="0"/>
  </r>
  <r>
    <x v="1237"/>
    <x v="590"/>
    <x v="578"/>
    <x v="571"/>
    <x v="990"/>
    <x v="1"/>
    <x v="1"/>
    <x v="583"/>
    <x v="422"/>
    <x v="1"/>
    <x v="27"/>
    <x v="0"/>
    <x v="0"/>
    <x v="1"/>
    <x v="3"/>
    <x v="3"/>
    <x v="2"/>
    <x v="1"/>
    <x v="2"/>
    <x v="1"/>
    <x v="1"/>
    <x v="285"/>
    <x v="2"/>
    <x v="1"/>
    <x v="2"/>
    <x v="586"/>
    <x v="15"/>
    <x v="1"/>
    <x v="1"/>
    <x v="1"/>
    <x v="0"/>
    <x v="711"/>
    <x v="0"/>
    <x v="0"/>
  </r>
  <r>
    <x v="1238"/>
    <x v="585"/>
    <x v="574"/>
    <x v="567"/>
    <x v="0"/>
    <x v="1"/>
    <x v="2"/>
    <x v="580"/>
    <x v="283"/>
    <x v="1"/>
    <x v="3"/>
    <x v="0"/>
    <x v="0"/>
    <x v="3"/>
    <x v="1"/>
    <x v="1"/>
    <x v="2"/>
    <x v="1"/>
    <x v="2"/>
    <x v="1"/>
    <x v="2"/>
    <x v="0"/>
    <x v="2"/>
    <x v="3"/>
    <x v="4"/>
    <x v="582"/>
    <x v="5"/>
    <x v="0"/>
    <x v="0"/>
    <x v="1"/>
    <x v="0"/>
    <x v="0"/>
    <x v="0"/>
    <x v="0"/>
  </r>
  <r>
    <x v="1239"/>
    <x v="591"/>
    <x v="579"/>
    <x v="572"/>
    <x v="991"/>
    <x v="1"/>
    <x v="2"/>
    <x v="584"/>
    <x v="293"/>
    <x v="1"/>
    <x v="33"/>
    <x v="0"/>
    <x v="0"/>
    <x v="1"/>
    <x v="1"/>
    <x v="1"/>
    <x v="2"/>
    <x v="1"/>
    <x v="1"/>
    <x v="1"/>
    <x v="1"/>
    <x v="284"/>
    <x v="1"/>
    <x v="5"/>
    <x v="2"/>
    <x v="587"/>
    <x v="14"/>
    <x v="3"/>
    <x v="0"/>
    <x v="1"/>
    <x v="0"/>
    <x v="712"/>
    <x v="345"/>
    <x v="0"/>
  </r>
  <r>
    <x v="1240"/>
    <x v="590"/>
    <x v="578"/>
    <x v="571"/>
    <x v="0"/>
    <x v="1"/>
    <x v="1"/>
    <x v="583"/>
    <x v="422"/>
    <x v="1"/>
    <x v="27"/>
    <x v="0"/>
    <x v="0"/>
    <x v="3"/>
    <x v="4"/>
    <x v="1"/>
    <x v="2"/>
    <x v="1"/>
    <x v="2"/>
    <x v="1"/>
    <x v="1"/>
    <x v="286"/>
    <x v="2"/>
    <x v="3"/>
    <x v="4"/>
    <x v="586"/>
    <x v="5"/>
    <x v="1"/>
    <x v="4"/>
    <x v="2"/>
    <x v="1"/>
    <x v="713"/>
    <x v="346"/>
    <x v="0"/>
  </r>
  <r>
    <x v="1241"/>
    <x v="464"/>
    <x v="460"/>
    <x v="454"/>
    <x v="992"/>
    <x v="1"/>
    <x v="2"/>
    <x v="469"/>
    <x v="384"/>
    <x v="6"/>
    <x v="0"/>
    <x v="0"/>
    <x v="10"/>
    <x v="1"/>
    <x v="3"/>
    <x v="3"/>
    <x v="2"/>
    <x v="1"/>
    <x v="2"/>
    <x v="1"/>
    <x v="1"/>
    <x v="284"/>
    <x v="1"/>
    <x v="1"/>
    <x v="2"/>
    <x v="462"/>
    <x v="14"/>
    <x v="1"/>
    <x v="4"/>
    <x v="1"/>
    <x v="0"/>
    <x v="714"/>
    <x v="347"/>
    <x v="0"/>
  </r>
  <r>
    <x v="1242"/>
    <x v="592"/>
    <x v="580"/>
    <x v="573"/>
    <x v="993"/>
    <x v="1"/>
    <x v="1"/>
    <x v="585"/>
    <x v="389"/>
    <x v="1"/>
    <x v="238"/>
    <x v="0"/>
    <x v="0"/>
    <x v="1"/>
    <x v="2"/>
    <x v="4"/>
    <x v="2"/>
    <x v="1"/>
    <x v="2"/>
    <x v="1"/>
    <x v="2"/>
    <x v="0"/>
    <x v="1"/>
    <x v="1"/>
    <x v="5"/>
    <x v="588"/>
    <x v="16"/>
    <x v="0"/>
    <x v="0"/>
    <x v="1"/>
    <x v="0"/>
    <x v="0"/>
    <x v="0"/>
    <x v="0"/>
  </r>
  <r>
    <x v="1243"/>
    <x v="593"/>
    <x v="581"/>
    <x v="574"/>
    <x v="994"/>
    <x v="1"/>
    <x v="2"/>
    <x v="586"/>
    <x v="10"/>
    <x v="1"/>
    <x v="33"/>
    <x v="0"/>
    <x v="0"/>
    <x v="1"/>
    <x v="3"/>
    <x v="3"/>
    <x v="2"/>
    <x v="1"/>
    <x v="2"/>
    <x v="1"/>
    <x v="1"/>
    <x v="284"/>
    <x v="1"/>
    <x v="1"/>
    <x v="2"/>
    <x v="589"/>
    <x v="14"/>
    <x v="1"/>
    <x v="4"/>
    <x v="2"/>
    <x v="1"/>
    <x v="715"/>
    <x v="0"/>
    <x v="0"/>
  </r>
  <r>
    <x v="1244"/>
    <x v="594"/>
    <x v="582"/>
    <x v="575"/>
    <x v="995"/>
    <x v="1"/>
    <x v="3"/>
    <x v="587"/>
    <x v="10"/>
    <x v="1"/>
    <x v="161"/>
    <x v="0"/>
    <x v="0"/>
    <x v="1"/>
    <x v="2"/>
    <x v="4"/>
    <x v="2"/>
    <x v="1"/>
    <x v="2"/>
    <x v="1"/>
    <x v="1"/>
    <x v="284"/>
    <x v="1"/>
    <x v="5"/>
    <x v="2"/>
    <x v="590"/>
    <x v="5"/>
    <x v="1"/>
    <x v="4"/>
    <x v="2"/>
    <x v="1"/>
    <x v="716"/>
    <x v="348"/>
    <x v="0"/>
  </r>
  <r>
    <x v="1245"/>
    <x v="589"/>
    <x v="576"/>
    <x v="569"/>
    <x v="0"/>
    <x v="2"/>
    <x v="4"/>
    <x v="581"/>
    <x v="269"/>
    <x v="1"/>
    <x v="239"/>
    <x v="0"/>
    <x v="0"/>
    <x v="3"/>
    <x v="1"/>
    <x v="1"/>
    <x v="2"/>
    <x v="1"/>
    <x v="2"/>
    <x v="1"/>
    <x v="2"/>
    <x v="0"/>
    <x v="2"/>
    <x v="3"/>
    <x v="4"/>
    <x v="584"/>
    <x v="12"/>
    <x v="0"/>
    <x v="0"/>
    <x v="1"/>
    <x v="0"/>
    <x v="0"/>
    <x v="0"/>
    <x v="0"/>
  </r>
  <r>
    <x v="1246"/>
    <x v="593"/>
    <x v="581"/>
    <x v="574"/>
    <x v="996"/>
    <x v="1"/>
    <x v="2"/>
    <x v="586"/>
    <x v="158"/>
    <x v="1"/>
    <x v="33"/>
    <x v="0"/>
    <x v="0"/>
    <x v="3"/>
    <x v="1"/>
    <x v="1"/>
    <x v="2"/>
    <x v="1"/>
    <x v="2"/>
    <x v="1"/>
    <x v="1"/>
    <x v="287"/>
    <x v="1"/>
    <x v="3"/>
    <x v="4"/>
    <x v="589"/>
    <x v="1"/>
    <x v="3"/>
    <x v="0"/>
    <x v="1"/>
    <x v="0"/>
    <x v="717"/>
    <x v="349"/>
    <x v="0"/>
  </r>
  <r>
    <x v="1247"/>
    <x v="595"/>
    <x v="583"/>
    <x v="576"/>
    <x v="997"/>
    <x v="1"/>
    <x v="2"/>
    <x v="588"/>
    <x v="203"/>
    <x v="2"/>
    <x v="0"/>
    <x v="2"/>
    <x v="0"/>
    <x v="1"/>
    <x v="1"/>
    <x v="1"/>
    <x v="2"/>
    <x v="1"/>
    <x v="2"/>
    <x v="1"/>
    <x v="2"/>
    <x v="0"/>
    <x v="1"/>
    <x v="1"/>
    <x v="2"/>
    <x v="591"/>
    <x v="12"/>
    <x v="0"/>
    <x v="0"/>
    <x v="1"/>
    <x v="0"/>
    <x v="0"/>
    <x v="0"/>
    <x v="0"/>
  </r>
  <r>
    <x v="1248"/>
    <x v="596"/>
    <x v="582"/>
    <x v="575"/>
    <x v="998"/>
    <x v="1"/>
    <x v="3"/>
    <x v="587"/>
    <x v="10"/>
    <x v="1"/>
    <x v="161"/>
    <x v="0"/>
    <x v="0"/>
    <x v="3"/>
    <x v="1"/>
    <x v="1"/>
    <x v="2"/>
    <x v="1"/>
    <x v="2"/>
    <x v="1"/>
    <x v="1"/>
    <x v="286"/>
    <x v="1"/>
    <x v="3"/>
    <x v="4"/>
    <x v="590"/>
    <x v="1"/>
    <x v="1"/>
    <x v="4"/>
    <x v="1"/>
    <x v="0"/>
    <x v="718"/>
    <x v="0"/>
    <x v="0"/>
  </r>
  <r>
    <x v="1249"/>
    <x v="464"/>
    <x v="460"/>
    <x v="454"/>
    <x v="0"/>
    <x v="1"/>
    <x v="2"/>
    <x v="469"/>
    <x v="423"/>
    <x v="6"/>
    <x v="0"/>
    <x v="0"/>
    <x v="10"/>
    <x v="3"/>
    <x v="4"/>
    <x v="1"/>
    <x v="2"/>
    <x v="1"/>
    <x v="2"/>
    <x v="1"/>
    <x v="2"/>
    <x v="0"/>
    <x v="2"/>
    <x v="3"/>
    <x v="4"/>
    <x v="462"/>
    <x v="1"/>
    <x v="0"/>
    <x v="0"/>
    <x v="1"/>
    <x v="0"/>
    <x v="0"/>
    <x v="0"/>
    <x v="0"/>
  </r>
  <r>
    <x v="1250"/>
    <x v="596"/>
    <x v="582"/>
    <x v="575"/>
    <x v="0"/>
    <x v="1"/>
    <x v="3"/>
    <x v="587"/>
    <x v="10"/>
    <x v="1"/>
    <x v="161"/>
    <x v="0"/>
    <x v="0"/>
    <x v="3"/>
    <x v="1"/>
    <x v="1"/>
    <x v="2"/>
    <x v="1"/>
    <x v="2"/>
    <x v="1"/>
    <x v="2"/>
    <x v="0"/>
    <x v="2"/>
    <x v="3"/>
    <x v="4"/>
    <x v="590"/>
    <x v="1"/>
    <x v="0"/>
    <x v="0"/>
    <x v="1"/>
    <x v="0"/>
    <x v="0"/>
    <x v="0"/>
    <x v="0"/>
  </r>
  <r>
    <x v="1251"/>
    <x v="590"/>
    <x v="578"/>
    <x v="571"/>
    <x v="999"/>
    <x v="1"/>
    <x v="1"/>
    <x v="583"/>
    <x v="422"/>
    <x v="1"/>
    <x v="27"/>
    <x v="0"/>
    <x v="0"/>
    <x v="3"/>
    <x v="1"/>
    <x v="1"/>
    <x v="2"/>
    <x v="1"/>
    <x v="2"/>
    <x v="1"/>
    <x v="2"/>
    <x v="0"/>
    <x v="2"/>
    <x v="3"/>
    <x v="4"/>
    <x v="586"/>
    <x v="1"/>
    <x v="0"/>
    <x v="0"/>
    <x v="1"/>
    <x v="0"/>
    <x v="0"/>
    <x v="0"/>
    <x v="0"/>
  </r>
  <r>
    <x v="1252"/>
    <x v="597"/>
    <x v="584"/>
    <x v="577"/>
    <x v="1000"/>
    <x v="1"/>
    <x v="2"/>
    <x v="589"/>
    <x v="10"/>
    <x v="1"/>
    <x v="31"/>
    <x v="0"/>
    <x v="0"/>
    <x v="1"/>
    <x v="7"/>
    <x v="3"/>
    <x v="2"/>
    <x v="1"/>
    <x v="1"/>
    <x v="1"/>
    <x v="1"/>
    <x v="287"/>
    <x v="1"/>
    <x v="6"/>
    <x v="3"/>
    <x v="592"/>
    <x v="14"/>
    <x v="3"/>
    <x v="0"/>
    <x v="1"/>
    <x v="0"/>
    <x v="719"/>
    <x v="350"/>
    <x v="0"/>
  </r>
  <r>
    <x v="1253"/>
    <x v="491"/>
    <x v="484"/>
    <x v="478"/>
    <x v="1001"/>
    <x v="1"/>
    <x v="2"/>
    <x v="499"/>
    <x v="384"/>
    <x v="6"/>
    <x v="0"/>
    <x v="0"/>
    <x v="27"/>
    <x v="1"/>
    <x v="1"/>
    <x v="1"/>
    <x v="2"/>
    <x v="1"/>
    <x v="2"/>
    <x v="1"/>
    <x v="1"/>
    <x v="287"/>
    <x v="1"/>
    <x v="6"/>
    <x v="3"/>
    <x v="488"/>
    <x v="14"/>
    <x v="3"/>
    <x v="0"/>
    <x v="1"/>
    <x v="0"/>
    <x v="720"/>
    <x v="351"/>
    <x v="0"/>
  </r>
  <r>
    <x v="1254"/>
    <x v="598"/>
    <x v="585"/>
    <x v="578"/>
    <x v="1002"/>
    <x v="1"/>
    <x v="2"/>
    <x v="590"/>
    <x v="424"/>
    <x v="1"/>
    <x v="3"/>
    <x v="0"/>
    <x v="0"/>
    <x v="1"/>
    <x v="3"/>
    <x v="2"/>
    <x v="1"/>
    <x v="1"/>
    <x v="2"/>
    <x v="1"/>
    <x v="1"/>
    <x v="288"/>
    <x v="1"/>
    <x v="4"/>
    <x v="2"/>
    <x v="593"/>
    <x v="3"/>
    <x v="1"/>
    <x v="1"/>
    <x v="1"/>
    <x v="0"/>
    <x v="721"/>
    <x v="352"/>
    <x v="0"/>
  </r>
  <r>
    <x v="1255"/>
    <x v="562"/>
    <x v="491"/>
    <x v="484"/>
    <x v="1003"/>
    <x v="3"/>
    <x v="2"/>
    <x v="500"/>
    <x v="323"/>
    <x v="1"/>
    <x v="2"/>
    <x v="0"/>
    <x v="0"/>
    <x v="1"/>
    <x v="1"/>
    <x v="1"/>
    <x v="1"/>
    <x v="2"/>
    <x v="2"/>
    <x v="1"/>
    <x v="2"/>
    <x v="0"/>
    <x v="1"/>
    <x v="5"/>
    <x v="2"/>
    <x v="494"/>
    <x v="3"/>
    <x v="0"/>
    <x v="0"/>
    <x v="1"/>
    <x v="0"/>
    <x v="0"/>
    <x v="0"/>
    <x v="0"/>
  </r>
  <r>
    <x v="1256"/>
    <x v="575"/>
    <x v="563"/>
    <x v="556"/>
    <x v="0"/>
    <x v="1"/>
    <x v="2"/>
    <x v="571"/>
    <x v="414"/>
    <x v="1"/>
    <x v="22"/>
    <x v="0"/>
    <x v="0"/>
    <x v="3"/>
    <x v="1"/>
    <x v="1"/>
    <x v="2"/>
    <x v="1"/>
    <x v="2"/>
    <x v="1"/>
    <x v="2"/>
    <x v="0"/>
    <x v="2"/>
    <x v="3"/>
    <x v="4"/>
    <x v="569"/>
    <x v="1"/>
    <x v="0"/>
    <x v="0"/>
    <x v="1"/>
    <x v="0"/>
    <x v="0"/>
    <x v="0"/>
    <x v="0"/>
  </r>
  <r>
    <x v="1257"/>
    <x v="460"/>
    <x v="456"/>
    <x v="450"/>
    <x v="1004"/>
    <x v="1"/>
    <x v="2"/>
    <x v="465"/>
    <x v="199"/>
    <x v="1"/>
    <x v="2"/>
    <x v="0"/>
    <x v="0"/>
    <x v="1"/>
    <x v="3"/>
    <x v="3"/>
    <x v="1"/>
    <x v="1"/>
    <x v="2"/>
    <x v="1"/>
    <x v="1"/>
    <x v="280"/>
    <x v="1"/>
    <x v="1"/>
    <x v="2"/>
    <x v="458"/>
    <x v="2"/>
    <x v="3"/>
    <x v="0"/>
    <x v="1"/>
    <x v="0"/>
    <x v="722"/>
    <x v="353"/>
    <x v="347"/>
  </r>
  <r>
    <x v="1258"/>
    <x v="599"/>
    <x v="586"/>
    <x v="579"/>
    <x v="1005"/>
    <x v="1"/>
    <x v="1"/>
    <x v="347"/>
    <x v="425"/>
    <x v="1"/>
    <x v="2"/>
    <x v="0"/>
    <x v="0"/>
    <x v="1"/>
    <x v="2"/>
    <x v="3"/>
    <x v="1"/>
    <x v="1"/>
    <x v="2"/>
    <x v="1"/>
    <x v="1"/>
    <x v="289"/>
    <x v="1"/>
    <x v="1"/>
    <x v="2"/>
    <x v="594"/>
    <x v="2"/>
    <x v="1"/>
    <x v="1"/>
    <x v="1"/>
    <x v="0"/>
    <x v="723"/>
    <x v="0"/>
    <x v="0"/>
  </r>
  <r>
    <x v="1259"/>
    <x v="335"/>
    <x v="335"/>
    <x v="330"/>
    <x v="1006"/>
    <x v="1"/>
    <x v="2"/>
    <x v="350"/>
    <x v="269"/>
    <x v="1"/>
    <x v="3"/>
    <x v="0"/>
    <x v="0"/>
    <x v="1"/>
    <x v="3"/>
    <x v="2"/>
    <x v="1"/>
    <x v="1"/>
    <x v="2"/>
    <x v="1"/>
    <x v="1"/>
    <x v="289"/>
    <x v="1"/>
    <x v="1"/>
    <x v="2"/>
    <x v="337"/>
    <x v="5"/>
    <x v="3"/>
    <x v="0"/>
    <x v="1"/>
    <x v="0"/>
    <x v="724"/>
    <x v="354"/>
    <x v="0"/>
  </r>
  <r>
    <x v="1260"/>
    <x v="599"/>
    <x v="586"/>
    <x v="579"/>
    <x v="0"/>
    <x v="1"/>
    <x v="1"/>
    <x v="347"/>
    <x v="425"/>
    <x v="1"/>
    <x v="2"/>
    <x v="0"/>
    <x v="0"/>
    <x v="3"/>
    <x v="4"/>
    <x v="1"/>
    <x v="2"/>
    <x v="1"/>
    <x v="2"/>
    <x v="1"/>
    <x v="2"/>
    <x v="0"/>
    <x v="2"/>
    <x v="3"/>
    <x v="4"/>
    <x v="594"/>
    <x v="5"/>
    <x v="0"/>
    <x v="0"/>
    <x v="1"/>
    <x v="0"/>
    <x v="0"/>
    <x v="0"/>
    <x v="0"/>
  </r>
  <r>
    <x v="1261"/>
    <x v="600"/>
    <x v="587"/>
    <x v="580"/>
    <x v="1007"/>
    <x v="3"/>
    <x v="4"/>
    <x v="591"/>
    <x v="359"/>
    <x v="1"/>
    <x v="15"/>
    <x v="0"/>
    <x v="0"/>
    <x v="1"/>
    <x v="3"/>
    <x v="3"/>
    <x v="2"/>
    <x v="2"/>
    <x v="2"/>
    <x v="1"/>
    <x v="1"/>
    <x v="288"/>
    <x v="1"/>
    <x v="5"/>
    <x v="2"/>
    <x v="595"/>
    <x v="5"/>
    <x v="3"/>
    <x v="0"/>
    <x v="1"/>
    <x v="0"/>
    <x v="725"/>
    <x v="355"/>
    <x v="348"/>
  </r>
  <r>
    <x v="1262"/>
    <x v="471"/>
    <x v="466"/>
    <x v="460"/>
    <x v="1008"/>
    <x v="1"/>
    <x v="2"/>
    <x v="476"/>
    <x v="341"/>
    <x v="1"/>
    <x v="33"/>
    <x v="0"/>
    <x v="0"/>
    <x v="1"/>
    <x v="3"/>
    <x v="2"/>
    <x v="2"/>
    <x v="1"/>
    <x v="3"/>
    <x v="1"/>
    <x v="1"/>
    <x v="288"/>
    <x v="1"/>
    <x v="2"/>
    <x v="3"/>
    <x v="468"/>
    <x v="5"/>
    <x v="1"/>
    <x v="1"/>
    <x v="1"/>
    <x v="0"/>
    <x v="726"/>
    <x v="0"/>
    <x v="194"/>
  </r>
  <r>
    <x v="1263"/>
    <x v="601"/>
    <x v="588"/>
    <x v="581"/>
    <x v="1009"/>
    <x v="1"/>
    <x v="2"/>
    <x v="592"/>
    <x v="10"/>
    <x v="2"/>
    <x v="0"/>
    <x v="2"/>
    <x v="0"/>
    <x v="1"/>
    <x v="3"/>
    <x v="3"/>
    <x v="2"/>
    <x v="1"/>
    <x v="1"/>
    <x v="1"/>
    <x v="1"/>
    <x v="288"/>
    <x v="2"/>
    <x v="1"/>
    <x v="2"/>
    <x v="596"/>
    <x v="14"/>
    <x v="1"/>
    <x v="13"/>
    <x v="1"/>
    <x v="0"/>
    <x v="727"/>
    <x v="0"/>
    <x v="349"/>
  </r>
  <r>
    <x v="1264"/>
    <x v="602"/>
    <x v="589"/>
    <x v="582"/>
    <x v="1010"/>
    <x v="1"/>
    <x v="2"/>
    <x v="593"/>
    <x v="351"/>
    <x v="1"/>
    <x v="240"/>
    <x v="0"/>
    <x v="0"/>
    <x v="1"/>
    <x v="5"/>
    <x v="4"/>
    <x v="1"/>
    <x v="1"/>
    <x v="2"/>
    <x v="1"/>
    <x v="1"/>
    <x v="290"/>
    <x v="1"/>
    <x v="1"/>
    <x v="13"/>
    <x v="597"/>
    <x v="15"/>
    <x v="3"/>
    <x v="0"/>
    <x v="1"/>
    <x v="0"/>
    <x v="728"/>
    <x v="356"/>
    <x v="350"/>
  </r>
  <r>
    <x v="1265"/>
    <x v="471"/>
    <x v="466"/>
    <x v="460"/>
    <x v="0"/>
    <x v="1"/>
    <x v="2"/>
    <x v="476"/>
    <x v="341"/>
    <x v="1"/>
    <x v="33"/>
    <x v="0"/>
    <x v="0"/>
    <x v="3"/>
    <x v="1"/>
    <x v="2"/>
    <x v="2"/>
    <x v="1"/>
    <x v="3"/>
    <x v="1"/>
    <x v="1"/>
    <x v="291"/>
    <x v="2"/>
    <x v="3"/>
    <x v="4"/>
    <x v="468"/>
    <x v="5"/>
    <x v="1"/>
    <x v="5"/>
    <x v="1"/>
    <x v="1"/>
    <x v="729"/>
    <x v="357"/>
    <x v="198"/>
  </r>
  <r>
    <x v="1266"/>
    <x v="601"/>
    <x v="588"/>
    <x v="581"/>
    <x v="0"/>
    <x v="1"/>
    <x v="2"/>
    <x v="592"/>
    <x v="10"/>
    <x v="2"/>
    <x v="0"/>
    <x v="2"/>
    <x v="0"/>
    <x v="3"/>
    <x v="4"/>
    <x v="1"/>
    <x v="2"/>
    <x v="1"/>
    <x v="2"/>
    <x v="1"/>
    <x v="2"/>
    <x v="0"/>
    <x v="2"/>
    <x v="3"/>
    <x v="4"/>
    <x v="598"/>
    <x v="14"/>
    <x v="0"/>
    <x v="0"/>
    <x v="1"/>
    <x v="0"/>
    <x v="0"/>
    <x v="0"/>
    <x v="0"/>
  </r>
  <r>
    <x v="1267"/>
    <x v="598"/>
    <x v="585"/>
    <x v="578"/>
    <x v="0"/>
    <x v="1"/>
    <x v="2"/>
    <x v="590"/>
    <x v="424"/>
    <x v="1"/>
    <x v="3"/>
    <x v="0"/>
    <x v="0"/>
    <x v="3"/>
    <x v="6"/>
    <x v="2"/>
    <x v="2"/>
    <x v="1"/>
    <x v="2"/>
    <x v="1"/>
    <x v="1"/>
    <x v="292"/>
    <x v="2"/>
    <x v="3"/>
    <x v="4"/>
    <x v="593"/>
    <x v="5"/>
    <x v="1"/>
    <x v="1"/>
    <x v="1"/>
    <x v="0"/>
    <x v="730"/>
    <x v="0"/>
    <x v="0"/>
  </r>
  <r>
    <x v="1268"/>
    <x v="603"/>
    <x v="590"/>
    <x v="583"/>
    <x v="1011"/>
    <x v="1"/>
    <x v="2"/>
    <x v="594"/>
    <x v="244"/>
    <x v="1"/>
    <x v="241"/>
    <x v="0"/>
    <x v="0"/>
    <x v="1"/>
    <x v="1"/>
    <x v="2"/>
    <x v="1"/>
    <x v="1"/>
    <x v="2"/>
    <x v="1"/>
    <x v="2"/>
    <x v="0"/>
    <x v="1"/>
    <x v="5"/>
    <x v="2"/>
    <x v="599"/>
    <x v="5"/>
    <x v="0"/>
    <x v="0"/>
    <x v="1"/>
    <x v="0"/>
    <x v="0"/>
    <x v="0"/>
    <x v="0"/>
  </r>
  <r>
    <x v="1269"/>
    <x v="604"/>
    <x v="591"/>
    <x v="584"/>
    <x v="1012"/>
    <x v="1"/>
    <x v="2"/>
    <x v="595"/>
    <x v="426"/>
    <x v="1"/>
    <x v="22"/>
    <x v="0"/>
    <x v="0"/>
    <x v="1"/>
    <x v="2"/>
    <x v="3"/>
    <x v="1"/>
    <x v="1"/>
    <x v="2"/>
    <x v="1"/>
    <x v="1"/>
    <x v="291"/>
    <x v="1"/>
    <x v="1"/>
    <x v="2"/>
    <x v="600"/>
    <x v="17"/>
    <x v="3"/>
    <x v="0"/>
    <x v="1"/>
    <x v="0"/>
    <x v="729"/>
    <x v="358"/>
    <x v="0"/>
  </r>
  <r>
    <x v="1270"/>
    <x v="471"/>
    <x v="466"/>
    <x v="460"/>
    <x v="1013"/>
    <x v="1"/>
    <x v="2"/>
    <x v="476"/>
    <x v="341"/>
    <x v="1"/>
    <x v="33"/>
    <x v="0"/>
    <x v="0"/>
    <x v="3"/>
    <x v="1"/>
    <x v="1"/>
    <x v="2"/>
    <x v="1"/>
    <x v="3"/>
    <x v="1"/>
    <x v="1"/>
    <x v="293"/>
    <x v="1"/>
    <x v="3"/>
    <x v="4"/>
    <x v="468"/>
    <x v="2"/>
    <x v="3"/>
    <x v="0"/>
    <x v="1"/>
    <x v="0"/>
    <x v="731"/>
    <x v="359"/>
    <x v="0"/>
  </r>
  <r>
    <x v="1271"/>
    <x v="605"/>
    <x v="592"/>
    <x v="585"/>
    <x v="1014"/>
    <x v="1"/>
    <x v="2"/>
    <x v="101"/>
    <x v="255"/>
    <x v="1"/>
    <x v="242"/>
    <x v="0"/>
    <x v="0"/>
    <x v="1"/>
    <x v="1"/>
    <x v="1"/>
    <x v="2"/>
    <x v="1"/>
    <x v="3"/>
    <x v="1"/>
    <x v="2"/>
    <x v="0"/>
    <x v="1"/>
    <x v="5"/>
    <x v="3"/>
    <x v="601"/>
    <x v="18"/>
    <x v="0"/>
    <x v="0"/>
    <x v="0"/>
    <x v="0"/>
    <x v="0"/>
    <x v="0"/>
    <x v="0"/>
  </r>
  <r>
    <x v="1272"/>
    <x v="428"/>
    <x v="425"/>
    <x v="420"/>
    <x v="1015"/>
    <x v="3"/>
    <x v="3"/>
    <x v="437"/>
    <x v="324"/>
    <x v="1"/>
    <x v="2"/>
    <x v="0"/>
    <x v="0"/>
    <x v="1"/>
    <x v="1"/>
    <x v="1"/>
    <x v="2"/>
    <x v="1"/>
    <x v="3"/>
    <x v="1"/>
    <x v="2"/>
    <x v="0"/>
    <x v="1"/>
    <x v="5"/>
    <x v="3"/>
    <x v="428"/>
    <x v="18"/>
    <x v="0"/>
    <x v="0"/>
    <x v="0"/>
    <x v="0"/>
    <x v="0"/>
    <x v="0"/>
    <x v="0"/>
  </r>
  <r>
    <x v="1273"/>
    <x v="540"/>
    <x v="532"/>
    <x v="524"/>
    <x v="1016"/>
    <x v="1"/>
    <x v="2"/>
    <x v="543"/>
    <x v="427"/>
    <x v="1"/>
    <x v="33"/>
    <x v="0"/>
    <x v="0"/>
    <x v="1"/>
    <x v="2"/>
    <x v="3"/>
    <x v="2"/>
    <x v="1"/>
    <x v="3"/>
    <x v="1"/>
    <x v="1"/>
    <x v="293"/>
    <x v="1"/>
    <x v="6"/>
    <x v="3"/>
    <x v="535"/>
    <x v="19"/>
    <x v="1"/>
    <x v="13"/>
    <x v="2"/>
    <x v="1"/>
    <x v="0"/>
    <x v="0"/>
    <x v="351"/>
  </r>
  <r>
    <x v="1274"/>
    <x v="598"/>
    <x v="585"/>
    <x v="578"/>
    <x v="0"/>
    <x v="1"/>
    <x v="2"/>
    <x v="590"/>
    <x v="424"/>
    <x v="1"/>
    <x v="3"/>
    <x v="0"/>
    <x v="0"/>
    <x v="3"/>
    <x v="1"/>
    <x v="2"/>
    <x v="2"/>
    <x v="1"/>
    <x v="2"/>
    <x v="1"/>
    <x v="1"/>
    <x v="290"/>
    <x v="2"/>
    <x v="3"/>
    <x v="4"/>
    <x v="593"/>
    <x v="5"/>
    <x v="1"/>
    <x v="3"/>
    <x v="1"/>
    <x v="0"/>
    <x v="732"/>
    <x v="0"/>
    <x v="0"/>
  </r>
  <r>
    <x v="1275"/>
    <x v="606"/>
    <x v="395"/>
    <x v="390"/>
    <x v="1017"/>
    <x v="3"/>
    <x v="2"/>
    <x v="347"/>
    <x v="374"/>
    <x v="1"/>
    <x v="243"/>
    <x v="0"/>
    <x v="0"/>
    <x v="1"/>
    <x v="2"/>
    <x v="3"/>
    <x v="2"/>
    <x v="1"/>
    <x v="3"/>
    <x v="1"/>
    <x v="1"/>
    <x v="293"/>
    <x v="1"/>
    <x v="6"/>
    <x v="3"/>
    <x v="398"/>
    <x v="19"/>
    <x v="3"/>
    <x v="0"/>
    <x v="1"/>
    <x v="0"/>
    <x v="733"/>
    <x v="360"/>
    <x v="0"/>
  </r>
  <r>
    <x v="1276"/>
    <x v="540"/>
    <x v="532"/>
    <x v="524"/>
    <x v="1018"/>
    <x v="1"/>
    <x v="2"/>
    <x v="543"/>
    <x v="428"/>
    <x v="1"/>
    <x v="33"/>
    <x v="0"/>
    <x v="0"/>
    <x v="3"/>
    <x v="1"/>
    <x v="1"/>
    <x v="2"/>
    <x v="1"/>
    <x v="2"/>
    <x v="1"/>
    <x v="1"/>
    <x v="294"/>
    <x v="1"/>
    <x v="3"/>
    <x v="4"/>
    <x v="535"/>
    <x v="14"/>
    <x v="1"/>
    <x v="1"/>
    <x v="1"/>
    <x v="0"/>
    <x v="734"/>
    <x v="361"/>
    <x v="351"/>
  </r>
  <r>
    <x v="1277"/>
    <x v="607"/>
    <x v="593"/>
    <x v="586"/>
    <x v="1019"/>
    <x v="3"/>
    <x v="2"/>
    <x v="596"/>
    <x v="429"/>
    <x v="1"/>
    <x v="9"/>
    <x v="0"/>
    <x v="0"/>
    <x v="1"/>
    <x v="1"/>
    <x v="1"/>
    <x v="2"/>
    <x v="1"/>
    <x v="1"/>
    <x v="1"/>
    <x v="1"/>
    <x v="294"/>
    <x v="1"/>
    <x v="6"/>
    <x v="3"/>
    <x v="602"/>
    <x v="14"/>
    <x v="1"/>
    <x v="14"/>
    <x v="1"/>
    <x v="0"/>
    <x v="735"/>
    <x v="362"/>
    <x v="0"/>
  </r>
  <r>
    <x v="1278"/>
    <x v="608"/>
    <x v="594"/>
    <x v="587"/>
    <x v="1020"/>
    <x v="3"/>
    <x v="1"/>
    <x v="597"/>
    <x v="430"/>
    <x v="1"/>
    <x v="33"/>
    <x v="0"/>
    <x v="0"/>
    <x v="1"/>
    <x v="3"/>
    <x v="2"/>
    <x v="2"/>
    <x v="1"/>
    <x v="3"/>
    <x v="1"/>
    <x v="1"/>
    <x v="295"/>
    <x v="1"/>
    <x v="2"/>
    <x v="2"/>
    <x v="603"/>
    <x v="5"/>
    <x v="1"/>
    <x v="3"/>
    <x v="2"/>
    <x v="1"/>
    <x v="736"/>
    <x v="0"/>
    <x v="0"/>
  </r>
  <r>
    <x v="1279"/>
    <x v="609"/>
    <x v="595"/>
    <x v="588"/>
    <x v="1021"/>
    <x v="3"/>
    <x v="2"/>
    <x v="598"/>
    <x v="196"/>
    <x v="6"/>
    <x v="0"/>
    <x v="0"/>
    <x v="4"/>
    <x v="1"/>
    <x v="3"/>
    <x v="2"/>
    <x v="1"/>
    <x v="1"/>
    <x v="3"/>
    <x v="1"/>
    <x v="1"/>
    <x v="295"/>
    <x v="1"/>
    <x v="1"/>
    <x v="2"/>
    <x v="604"/>
    <x v="2"/>
    <x v="1"/>
    <x v="3"/>
    <x v="2"/>
    <x v="1"/>
    <x v="737"/>
    <x v="363"/>
    <x v="352"/>
  </r>
  <r>
    <x v="1280"/>
    <x v="540"/>
    <x v="532"/>
    <x v="524"/>
    <x v="0"/>
    <x v="1"/>
    <x v="2"/>
    <x v="543"/>
    <x v="428"/>
    <x v="1"/>
    <x v="33"/>
    <x v="0"/>
    <x v="0"/>
    <x v="3"/>
    <x v="1"/>
    <x v="1"/>
    <x v="1"/>
    <x v="1"/>
    <x v="2"/>
    <x v="1"/>
    <x v="1"/>
    <x v="295"/>
    <x v="2"/>
    <x v="3"/>
    <x v="4"/>
    <x v="535"/>
    <x v="5"/>
    <x v="1"/>
    <x v="15"/>
    <x v="2"/>
    <x v="1"/>
    <x v="738"/>
    <x v="0"/>
    <x v="351"/>
  </r>
  <r>
    <x v="1281"/>
    <x v="607"/>
    <x v="593"/>
    <x v="586"/>
    <x v="0"/>
    <x v="3"/>
    <x v="1"/>
    <x v="596"/>
    <x v="429"/>
    <x v="1"/>
    <x v="9"/>
    <x v="0"/>
    <x v="0"/>
    <x v="3"/>
    <x v="1"/>
    <x v="1"/>
    <x v="2"/>
    <x v="1"/>
    <x v="1"/>
    <x v="1"/>
    <x v="2"/>
    <x v="0"/>
    <x v="2"/>
    <x v="3"/>
    <x v="4"/>
    <x v="602"/>
    <x v="15"/>
    <x v="1"/>
    <x v="0"/>
    <x v="1"/>
    <x v="0"/>
    <x v="0"/>
    <x v="0"/>
    <x v="0"/>
  </r>
  <r>
    <x v="1282"/>
    <x v="576"/>
    <x v="565"/>
    <x v="558"/>
    <x v="1022"/>
    <x v="3"/>
    <x v="3"/>
    <x v="572"/>
    <x v="415"/>
    <x v="6"/>
    <x v="0"/>
    <x v="0"/>
    <x v="10"/>
    <x v="1"/>
    <x v="1"/>
    <x v="1"/>
    <x v="1"/>
    <x v="1"/>
    <x v="2"/>
    <x v="1"/>
    <x v="1"/>
    <x v="290"/>
    <x v="1"/>
    <x v="1"/>
    <x v="2"/>
    <x v="572"/>
    <x v="15"/>
    <x v="1"/>
    <x v="14"/>
    <x v="2"/>
    <x v="1"/>
    <x v="0"/>
    <x v="0"/>
    <x v="0"/>
  </r>
  <r>
    <x v="1283"/>
    <x v="446"/>
    <x v="442"/>
    <x v="437"/>
    <x v="1023"/>
    <x v="1"/>
    <x v="6"/>
    <x v="452"/>
    <x v="343"/>
    <x v="6"/>
    <x v="0"/>
    <x v="0"/>
    <x v="28"/>
    <x v="1"/>
    <x v="2"/>
    <x v="3"/>
    <x v="2"/>
    <x v="1"/>
    <x v="2"/>
    <x v="2"/>
    <x v="1"/>
    <x v="290"/>
    <x v="1"/>
    <x v="1"/>
    <x v="2"/>
    <x v="445"/>
    <x v="19"/>
    <x v="1"/>
    <x v="14"/>
    <x v="1"/>
    <x v="0"/>
    <x v="0"/>
    <x v="0"/>
    <x v="0"/>
  </r>
  <r>
    <x v="1284"/>
    <x v="608"/>
    <x v="594"/>
    <x v="587"/>
    <x v="1024"/>
    <x v="3"/>
    <x v="2"/>
    <x v="597"/>
    <x v="430"/>
    <x v="1"/>
    <x v="15"/>
    <x v="0"/>
    <x v="0"/>
    <x v="3"/>
    <x v="2"/>
    <x v="3"/>
    <x v="2"/>
    <x v="1"/>
    <x v="1"/>
    <x v="1"/>
    <x v="1"/>
    <x v="290"/>
    <x v="1"/>
    <x v="3"/>
    <x v="4"/>
    <x v="603"/>
    <x v="3"/>
    <x v="1"/>
    <x v="14"/>
    <x v="2"/>
    <x v="1"/>
    <x v="0"/>
    <x v="0"/>
    <x v="0"/>
  </r>
  <r>
    <x v="1285"/>
    <x v="610"/>
    <x v="596"/>
    <x v="589"/>
    <x v="1025"/>
    <x v="1"/>
    <x v="2"/>
    <x v="599"/>
    <x v="431"/>
    <x v="1"/>
    <x v="15"/>
    <x v="0"/>
    <x v="0"/>
    <x v="1"/>
    <x v="2"/>
    <x v="3"/>
    <x v="2"/>
    <x v="1"/>
    <x v="1"/>
    <x v="1"/>
    <x v="1"/>
    <x v="290"/>
    <x v="1"/>
    <x v="1"/>
    <x v="2"/>
    <x v="605"/>
    <x v="3"/>
    <x v="1"/>
    <x v="3"/>
    <x v="2"/>
    <x v="1"/>
    <x v="739"/>
    <x v="0"/>
    <x v="0"/>
  </r>
  <r>
    <x v="1286"/>
    <x v="540"/>
    <x v="532"/>
    <x v="524"/>
    <x v="1026"/>
    <x v="1"/>
    <x v="6"/>
    <x v="543"/>
    <x v="428"/>
    <x v="1"/>
    <x v="33"/>
    <x v="0"/>
    <x v="0"/>
    <x v="3"/>
    <x v="1"/>
    <x v="1"/>
    <x v="2"/>
    <x v="1"/>
    <x v="2"/>
    <x v="1"/>
    <x v="1"/>
    <x v="290"/>
    <x v="1"/>
    <x v="1"/>
    <x v="2"/>
    <x v="535"/>
    <x v="19"/>
    <x v="1"/>
    <x v="16"/>
    <x v="2"/>
    <x v="1"/>
    <x v="740"/>
    <x v="0"/>
    <x v="351"/>
  </r>
  <r>
    <x v="1287"/>
    <x v="609"/>
    <x v="595"/>
    <x v="588"/>
    <x v="1027"/>
    <x v="3"/>
    <x v="2"/>
    <x v="598"/>
    <x v="79"/>
    <x v="6"/>
    <x v="0"/>
    <x v="0"/>
    <x v="4"/>
    <x v="3"/>
    <x v="3"/>
    <x v="3"/>
    <x v="1"/>
    <x v="1"/>
    <x v="2"/>
    <x v="1"/>
    <x v="1"/>
    <x v="290"/>
    <x v="1"/>
    <x v="3"/>
    <x v="4"/>
    <x v="604"/>
    <x v="3"/>
    <x v="1"/>
    <x v="14"/>
    <x v="2"/>
    <x v="1"/>
    <x v="741"/>
    <x v="0"/>
    <x v="0"/>
  </r>
  <r>
    <x v="1288"/>
    <x v="598"/>
    <x v="585"/>
    <x v="578"/>
    <x v="0"/>
    <x v="1"/>
    <x v="2"/>
    <x v="590"/>
    <x v="424"/>
    <x v="1"/>
    <x v="3"/>
    <x v="0"/>
    <x v="0"/>
    <x v="3"/>
    <x v="5"/>
    <x v="1"/>
    <x v="2"/>
    <x v="1"/>
    <x v="1"/>
    <x v="1"/>
    <x v="2"/>
    <x v="0"/>
    <x v="2"/>
    <x v="3"/>
    <x v="4"/>
    <x v="593"/>
    <x v="3"/>
    <x v="0"/>
    <x v="0"/>
    <x v="1"/>
    <x v="0"/>
    <x v="0"/>
    <x v="0"/>
    <x v="0"/>
  </r>
  <r>
    <x v="1289"/>
    <x v="576"/>
    <x v="565"/>
    <x v="558"/>
    <x v="0"/>
    <x v="3"/>
    <x v="3"/>
    <x v="572"/>
    <x v="415"/>
    <x v="6"/>
    <x v="0"/>
    <x v="0"/>
    <x v="10"/>
    <x v="3"/>
    <x v="1"/>
    <x v="1"/>
    <x v="2"/>
    <x v="1"/>
    <x v="2"/>
    <x v="1"/>
    <x v="2"/>
    <x v="0"/>
    <x v="2"/>
    <x v="1"/>
    <x v="4"/>
    <x v="572"/>
    <x v="15"/>
    <x v="0"/>
    <x v="0"/>
    <x v="1"/>
    <x v="0"/>
    <x v="0"/>
    <x v="0"/>
    <x v="0"/>
  </r>
  <r>
    <x v="1290"/>
    <x v="611"/>
    <x v="597"/>
    <x v="590"/>
    <x v="1028"/>
    <x v="1"/>
    <x v="3"/>
    <x v="600"/>
    <x v="432"/>
    <x v="1"/>
    <x v="244"/>
    <x v="0"/>
    <x v="0"/>
    <x v="1"/>
    <x v="1"/>
    <x v="1"/>
    <x v="2"/>
    <x v="1"/>
    <x v="2"/>
    <x v="1"/>
    <x v="2"/>
    <x v="0"/>
    <x v="1"/>
    <x v="1"/>
    <x v="2"/>
    <x v="606"/>
    <x v="3"/>
    <x v="0"/>
    <x v="0"/>
    <x v="1"/>
    <x v="0"/>
    <x v="0"/>
    <x v="0"/>
    <x v="0"/>
  </r>
  <r>
    <x v="1291"/>
    <x v="612"/>
    <x v="598"/>
    <x v="591"/>
    <x v="1029"/>
    <x v="3"/>
    <x v="2"/>
    <x v="601"/>
    <x v="409"/>
    <x v="1"/>
    <x v="245"/>
    <x v="0"/>
    <x v="0"/>
    <x v="1"/>
    <x v="3"/>
    <x v="2"/>
    <x v="2"/>
    <x v="1"/>
    <x v="3"/>
    <x v="1"/>
    <x v="1"/>
    <x v="296"/>
    <x v="1"/>
    <x v="1"/>
    <x v="2"/>
    <x v="607"/>
    <x v="3"/>
    <x v="3"/>
    <x v="0"/>
    <x v="1"/>
    <x v="0"/>
    <x v="742"/>
    <x v="364"/>
    <x v="0"/>
  </r>
  <r>
    <x v="1292"/>
    <x v="446"/>
    <x v="442"/>
    <x v="437"/>
    <x v="0"/>
    <x v="1"/>
    <x v="2"/>
    <x v="452"/>
    <x v="433"/>
    <x v="6"/>
    <x v="0"/>
    <x v="0"/>
    <x v="29"/>
    <x v="3"/>
    <x v="1"/>
    <x v="1"/>
    <x v="2"/>
    <x v="1"/>
    <x v="2"/>
    <x v="1"/>
    <x v="2"/>
    <x v="0"/>
    <x v="2"/>
    <x v="3"/>
    <x v="4"/>
    <x v="445"/>
    <x v="15"/>
    <x v="0"/>
    <x v="0"/>
    <x v="1"/>
    <x v="0"/>
    <x v="0"/>
    <x v="0"/>
    <x v="0"/>
  </r>
  <r>
    <x v="1293"/>
    <x v="613"/>
    <x v="594"/>
    <x v="587"/>
    <x v="1030"/>
    <x v="3"/>
    <x v="2"/>
    <x v="597"/>
    <x v="430"/>
    <x v="1"/>
    <x v="15"/>
    <x v="0"/>
    <x v="0"/>
    <x v="3"/>
    <x v="1"/>
    <x v="3"/>
    <x v="2"/>
    <x v="2"/>
    <x v="1"/>
    <x v="1"/>
    <x v="1"/>
    <x v="296"/>
    <x v="2"/>
    <x v="3"/>
    <x v="4"/>
    <x v="603"/>
    <x v="15"/>
    <x v="3"/>
    <x v="0"/>
    <x v="1"/>
    <x v="0"/>
    <x v="743"/>
    <x v="365"/>
    <x v="0"/>
  </r>
  <r>
    <x v="1294"/>
    <x v="562"/>
    <x v="491"/>
    <x v="484"/>
    <x v="1031"/>
    <x v="3"/>
    <x v="3"/>
    <x v="500"/>
    <x v="323"/>
    <x v="1"/>
    <x v="246"/>
    <x v="0"/>
    <x v="0"/>
    <x v="1"/>
    <x v="1"/>
    <x v="1"/>
    <x v="2"/>
    <x v="1"/>
    <x v="2"/>
    <x v="1"/>
    <x v="2"/>
    <x v="0"/>
    <x v="1"/>
    <x v="1"/>
    <x v="2"/>
    <x v="494"/>
    <x v="3"/>
    <x v="0"/>
    <x v="0"/>
    <x v="1"/>
    <x v="0"/>
    <x v="0"/>
    <x v="0"/>
    <x v="0"/>
  </r>
  <r>
    <x v="1295"/>
    <x v="614"/>
    <x v="599"/>
    <x v="592"/>
    <x v="1032"/>
    <x v="1"/>
    <x v="1"/>
    <x v="40"/>
    <x v="434"/>
    <x v="1"/>
    <x v="15"/>
    <x v="0"/>
    <x v="0"/>
    <x v="1"/>
    <x v="1"/>
    <x v="1"/>
    <x v="2"/>
    <x v="1"/>
    <x v="2"/>
    <x v="1"/>
    <x v="2"/>
    <x v="0"/>
    <x v="1"/>
    <x v="1"/>
    <x v="2"/>
    <x v="608"/>
    <x v="3"/>
    <x v="0"/>
    <x v="0"/>
    <x v="1"/>
    <x v="0"/>
    <x v="0"/>
    <x v="0"/>
    <x v="0"/>
  </r>
  <r>
    <x v="1296"/>
    <x v="609"/>
    <x v="595"/>
    <x v="588"/>
    <x v="0"/>
    <x v="3"/>
    <x v="2"/>
    <x v="598"/>
    <x v="79"/>
    <x v="6"/>
    <x v="0"/>
    <x v="0"/>
    <x v="4"/>
    <x v="3"/>
    <x v="1"/>
    <x v="1"/>
    <x v="1"/>
    <x v="1"/>
    <x v="1"/>
    <x v="1"/>
    <x v="1"/>
    <x v="297"/>
    <x v="2"/>
    <x v="3"/>
    <x v="4"/>
    <x v="604"/>
    <x v="15"/>
    <x v="1"/>
    <x v="5"/>
    <x v="2"/>
    <x v="1"/>
    <x v="744"/>
    <x v="366"/>
    <x v="0"/>
  </r>
  <r>
    <x v="1297"/>
    <x v="540"/>
    <x v="532"/>
    <x v="524"/>
    <x v="1033"/>
    <x v="1"/>
    <x v="2"/>
    <x v="543"/>
    <x v="435"/>
    <x v="1"/>
    <x v="33"/>
    <x v="0"/>
    <x v="0"/>
    <x v="3"/>
    <x v="2"/>
    <x v="3"/>
    <x v="1"/>
    <x v="1"/>
    <x v="2"/>
    <x v="1"/>
    <x v="1"/>
    <x v="297"/>
    <x v="1"/>
    <x v="3"/>
    <x v="4"/>
    <x v="535"/>
    <x v="17"/>
    <x v="1"/>
    <x v="1"/>
    <x v="1"/>
    <x v="0"/>
    <x v="745"/>
    <x v="367"/>
    <x v="351"/>
  </r>
  <r>
    <x v="1298"/>
    <x v="615"/>
    <x v="600"/>
    <x v="593"/>
    <x v="1034"/>
    <x v="1"/>
    <x v="6"/>
    <x v="602"/>
    <x v="268"/>
    <x v="1"/>
    <x v="247"/>
    <x v="0"/>
    <x v="0"/>
    <x v="1"/>
    <x v="1"/>
    <x v="1"/>
    <x v="2"/>
    <x v="2"/>
    <x v="2"/>
    <x v="1"/>
    <x v="2"/>
    <x v="0"/>
    <x v="1"/>
    <x v="1"/>
    <x v="2"/>
    <x v="609"/>
    <x v="15"/>
    <x v="0"/>
    <x v="0"/>
    <x v="1"/>
    <x v="0"/>
    <x v="0"/>
    <x v="0"/>
    <x v="0"/>
  </r>
  <r>
    <x v="1299"/>
    <x v="610"/>
    <x v="596"/>
    <x v="589"/>
    <x v="1035"/>
    <x v="1"/>
    <x v="2"/>
    <x v="599"/>
    <x v="431"/>
    <x v="1"/>
    <x v="15"/>
    <x v="0"/>
    <x v="0"/>
    <x v="3"/>
    <x v="1"/>
    <x v="1"/>
    <x v="1"/>
    <x v="1"/>
    <x v="2"/>
    <x v="2"/>
    <x v="2"/>
    <x v="0"/>
    <x v="1"/>
    <x v="3"/>
    <x v="4"/>
    <x v="605"/>
    <x v="3"/>
    <x v="0"/>
    <x v="0"/>
    <x v="1"/>
    <x v="0"/>
    <x v="0"/>
    <x v="0"/>
    <x v="0"/>
  </r>
  <r>
    <x v="1300"/>
    <x v="616"/>
    <x v="601"/>
    <x v="594"/>
    <x v="1036"/>
    <x v="3"/>
    <x v="1"/>
    <x v="248"/>
    <x v="436"/>
    <x v="1"/>
    <x v="15"/>
    <x v="0"/>
    <x v="0"/>
    <x v="1"/>
    <x v="1"/>
    <x v="1"/>
    <x v="2"/>
    <x v="1"/>
    <x v="2"/>
    <x v="1"/>
    <x v="1"/>
    <x v="297"/>
    <x v="1"/>
    <x v="5"/>
    <x v="2"/>
    <x v="610"/>
    <x v="3"/>
    <x v="3"/>
    <x v="0"/>
    <x v="1"/>
    <x v="0"/>
    <x v="746"/>
    <x v="0"/>
    <x v="0"/>
  </r>
  <r>
    <x v="1301"/>
    <x v="617"/>
    <x v="602"/>
    <x v="595"/>
    <x v="1037"/>
    <x v="3"/>
    <x v="2"/>
    <x v="603"/>
    <x v="428"/>
    <x v="1"/>
    <x v="248"/>
    <x v="0"/>
    <x v="0"/>
    <x v="1"/>
    <x v="1"/>
    <x v="1"/>
    <x v="2"/>
    <x v="1"/>
    <x v="2"/>
    <x v="1"/>
    <x v="1"/>
    <x v="297"/>
    <x v="1"/>
    <x v="5"/>
    <x v="2"/>
    <x v="611"/>
    <x v="3"/>
    <x v="1"/>
    <x v="1"/>
    <x v="2"/>
    <x v="1"/>
    <x v="747"/>
    <x v="0"/>
    <x v="0"/>
  </r>
  <r>
    <x v="1302"/>
    <x v="618"/>
    <x v="603"/>
    <x v="596"/>
    <x v="0"/>
    <x v="1"/>
    <x v="2"/>
    <x v="604"/>
    <x v="396"/>
    <x v="1"/>
    <x v="15"/>
    <x v="0"/>
    <x v="0"/>
    <x v="1"/>
    <x v="1"/>
    <x v="1"/>
    <x v="1"/>
    <x v="1"/>
    <x v="2"/>
    <x v="1"/>
    <x v="1"/>
    <x v="298"/>
    <x v="1"/>
    <x v="5"/>
    <x v="2"/>
    <x v="612"/>
    <x v="17"/>
    <x v="3"/>
    <x v="0"/>
    <x v="1"/>
    <x v="0"/>
    <x v="748"/>
    <x v="368"/>
    <x v="0"/>
  </r>
  <r>
    <x v="1303"/>
    <x v="619"/>
    <x v="604"/>
    <x v="597"/>
    <x v="1038"/>
    <x v="1"/>
    <x v="2"/>
    <x v="605"/>
    <x v="281"/>
    <x v="1"/>
    <x v="31"/>
    <x v="0"/>
    <x v="0"/>
    <x v="1"/>
    <x v="1"/>
    <x v="1"/>
    <x v="2"/>
    <x v="1"/>
    <x v="2"/>
    <x v="1"/>
    <x v="1"/>
    <x v="296"/>
    <x v="1"/>
    <x v="4"/>
    <x v="3"/>
    <x v="613"/>
    <x v="14"/>
    <x v="1"/>
    <x v="13"/>
    <x v="2"/>
    <x v="1"/>
    <x v="749"/>
    <x v="0"/>
    <x v="353"/>
  </r>
  <r>
    <x v="1304"/>
    <x v="560"/>
    <x v="552"/>
    <x v="545"/>
    <x v="1039"/>
    <x v="1"/>
    <x v="2"/>
    <x v="606"/>
    <x v="401"/>
    <x v="1"/>
    <x v="2"/>
    <x v="0"/>
    <x v="0"/>
    <x v="1"/>
    <x v="2"/>
    <x v="3"/>
    <x v="2"/>
    <x v="1"/>
    <x v="1"/>
    <x v="1"/>
    <x v="1"/>
    <x v="297"/>
    <x v="1"/>
    <x v="6"/>
    <x v="3"/>
    <x v="557"/>
    <x v="14"/>
    <x v="3"/>
    <x v="0"/>
    <x v="1"/>
    <x v="0"/>
    <x v="750"/>
    <x v="0"/>
    <x v="0"/>
  </r>
  <r>
    <x v="1305"/>
    <x v="620"/>
    <x v="605"/>
    <x v="598"/>
    <x v="1040"/>
    <x v="1"/>
    <x v="2"/>
    <x v="607"/>
    <x v="437"/>
    <x v="1"/>
    <x v="249"/>
    <x v="0"/>
    <x v="0"/>
    <x v="1"/>
    <x v="1"/>
    <x v="1"/>
    <x v="2"/>
    <x v="1"/>
    <x v="1"/>
    <x v="1"/>
    <x v="2"/>
    <x v="0"/>
    <x v="1"/>
    <x v="6"/>
    <x v="3"/>
    <x v="614"/>
    <x v="14"/>
    <x v="0"/>
    <x v="0"/>
    <x v="1"/>
    <x v="0"/>
    <x v="0"/>
    <x v="0"/>
    <x v="0"/>
  </r>
  <r>
    <x v="1306"/>
    <x v="619"/>
    <x v="604"/>
    <x v="597"/>
    <x v="0"/>
    <x v="1"/>
    <x v="2"/>
    <x v="605"/>
    <x v="438"/>
    <x v="1"/>
    <x v="2"/>
    <x v="0"/>
    <x v="0"/>
    <x v="3"/>
    <x v="3"/>
    <x v="3"/>
    <x v="2"/>
    <x v="1"/>
    <x v="2"/>
    <x v="1"/>
    <x v="1"/>
    <x v="297"/>
    <x v="2"/>
    <x v="3"/>
    <x v="4"/>
    <x v="613"/>
    <x v="14"/>
    <x v="1"/>
    <x v="1"/>
    <x v="1"/>
    <x v="0"/>
    <x v="751"/>
    <x v="0"/>
    <x v="0"/>
  </r>
  <r>
    <x v="1307"/>
    <x v="609"/>
    <x v="595"/>
    <x v="588"/>
    <x v="1041"/>
    <x v="3"/>
    <x v="2"/>
    <x v="598"/>
    <x v="196"/>
    <x v="6"/>
    <x v="0"/>
    <x v="0"/>
    <x v="0"/>
    <x v="3"/>
    <x v="1"/>
    <x v="1"/>
    <x v="2"/>
    <x v="1"/>
    <x v="2"/>
    <x v="1"/>
    <x v="1"/>
    <x v="298"/>
    <x v="1"/>
    <x v="3"/>
    <x v="4"/>
    <x v="604"/>
    <x v="2"/>
    <x v="1"/>
    <x v="4"/>
    <x v="2"/>
    <x v="1"/>
    <x v="752"/>
    <x v="369"/>
    <x v="0"/>
  </r>
  <r>
    <x v="1308"/>
    <x v="617"/>
    <x v="602"/>
    <x v="595"/>
    <x v="1042"/>
    <x v="3"/>
    <x v="2"/>
    <x v="603"/>
    <x v="428"/>
    <x v="1"/>
    <x v="248"/>
    <x v="0"/>
    <x v="0"/>
    <x v="3"/>
    <x v="3"/>
    <x v="3"/>
    <x v="2"/>
    <x v="1"/>
    <x v="2"/>
    <x v="1"/>
    <x v="1"/>
    <x v="299"/>
    <x v="2"/>
    <x v="3"/>
    <x v="4"/>
    <x v="611"/>
    <x v="5"/>
    <x v="3"/>
    <x v="0"/>
    <x v="1"/>
    <x v="0"/>
    <x v="753"/>
    <x v="370"/>
    <x v="0"/>
  </r>
  <r>
    <x v="1309"/>
    <x v="619"/>
    <x v="604"/>
    <x v="597"/>
    <x v="0"/>
    <x v="1"/>
    <x v="2"/>
    <x v="605"/>
    <x v="281"/>
    <x v="1"/>
    <x v="2"/>
    <x v="0"/>
    <x v="0"/>
    <x v="3"/>
    <x v="1"/>
    <x v="1"/>
    <x v="2"/>
    <x v="1"/>
    <x v="2"/>
    <x v="1"/>
    <x v="2"/>
    <x v="0"/>
    <x v="2"/>
    <x v="3"/>
    <x v="4"/>
    <x v="613"/>
    <x v="5"/>
    <x v="0"/>
    <x v="0"/>
    <x v="1"/>
    <x v="0"/>
    <x v="0"/>
    <x v="0"/>
    <x v="0"/>
  </r>
  <r>
    <x v="1310"/>
    <x v="384"/>
    <x v="384"/>
    <x v="379"/>
    <x v="1043"/>
    <x v="3"/>
    <x v="2"/>
    <x v="399"/>
    <x v="308"/>
    <x v="1"/>
    <x v="250"/>
    <x v="0"/>
    <x v="0"/>
    <x v="1"/>
    <x v="3"/>
    <x v="3"/>
    <x v="2"/>
    <x v="1"/>
    <x v="2"/>
    <x v="1"/>
    <x v="2"/>
    <x v="0"/>
    <x v="1"/>
    <x v="6"/>
    <x v="3"/>
    <x v="387"/>
    <x v="2"/>
    <x v="0"/>
    <x v="0"/>
    <x v="1"/>
    <x v="0"/>
    <x v="0"/>
    <x v="0"/>
    <x v="0"/>
  </r>
  <r>
    <x v="1311"/>
    <x v="391"/>
    <x v="391"/>
    <x v="599"/>
    <x v="1044"/>
    <x v="1"/>
    <x v="2"/>
    <x v="406"/>
    <x v="281"/>
    <x v="2"/>
    <x v="0"/>
    <x v="5"/>
    <x v="0"/>
    <x v="1"/>
    <x v="2"/>
    <x v="3"/>
    <x v="2"/>
    <x v="1"/>
    <x v="2"/>
    <x v="1"/>
    <x v="1"/>
    <x v="299"/>
    <x v="1"/>
    <x v="6"/>
    <x v="2"/>
    <x v="570"/>
    <x v="5"/>
    <x v="1"/>
    <x v="13"/>
    <x v="1"/>
    <x v="0"/>
    <x v="0"/>
    <x v="0"/>
    <x v="354"/>
  </r>
  <r>
    <x v="1312"/>
    <x v="540"/>
    <x v="532"/>
    <x v="524"/>
    <x v="1045"/>
    <x v="1"/>
    <x v="2"/>
    <x v="543"/>
    <x v="428"/>
    <x v="1"/>
    <x v="33"/>
    <x v="0"/>
    <x v="0"/>
    <x v="3"/>
    <x v="3"/>
    <x v="3"/>
    <x v="2"/>
    <x v="1"/>
    <x v="2"/>
    <x v="1"/>
    <x v="1"/>
    <x v="300"/>
    <x v="1"/>
    <x v="3"/>
    <x v="4"/>
    <x v="535"/>
    <x v="5"/>
    <x v="1"/>
    <x v="15"/>
    <x v="2"/>
    <x v="1"/>
    <x v="754"/>
    <x v="0"/>
    <x v="351"/>
  </r>
  <r>
    <x v="1313"/>
    <x v="621"/>
    <x v="606"/>
    <x v="600"/>
    <x v="1046"/>
    <x v="1"/>
    <x v="3"/>
    <x v="608"/>
    <x v="10"/>
    <x v="1"/>
    <x v="251"/>
    <x v="0"/>
    <x v="0"/>
    <x v="1"/>
    <x v="1"/>
    <x v="2"/>
    <x v="2"/>
    <x v="1"/>
    <x v="2"/>
    <x v="1"/>
    <x v="1"/>
    <x v="298"/>
    <x v="1"/>
    <x v="4"/>
    <x v="3"/>
    <x v="615"/>
    <x v="14"/>
    <x v="1"/>
    <x v="4"/>
    <x v="2"/>
    <x v="1"/>
    <x v="755"/>
    <x v="0"/>
    <x v="355"/>
  </r>
  <r>
    <x v="1314"/>
    <x v="391"/>
    <x v="391"/>
    <x v="599"/>
    <x v="0"/>
    <x v="1"/>
    <x v="2"/>
    <x v="406"/>
    <x v="281"/>
    <x v="6"/>
    <x v="0"/>
    <x v="5"/>
    <x v="0"/>
    <x v="3"/>
    <x v="4"/>
    <x v="1"/>
    <x v="2"/>
    <x v="1"/>
    <x v="2"/>
    <x v="1"/>
    <x v="2"/>
    <x v="0"/>
    <x v="2"/>
    <x v="3"/>
    <x v="4"/>
    <x v="570"/>
    <x v="14"/>
    <x v="0"/>
    <x v="0"/>
    <x v="1"/>
    <x v="0"/>
    <x v="0"/>
    <x v="0"/>
    <x v="0"/>
  </r>
  <r>
    <x v="1315"/>
    <x v="622"/>
    <x v="607"/>
    <x v="601"/>
    <x v="1047"/>
    <x v="1"/>
    <x v="3"/>
    <x v="609"/>
    <x v="335"/>
    <x v="1"/>
    <x v="252"/>
    <x v="0"/>
    <x v="0"/>
    <x v="1"/>
    <x v="1"/>
    <x v="2"/>
    <x v="2"/>
    <x v="1"/>
    <x v="2"/>
    <x v="1"/>
    <x v="1"/>
    <x v="298"/>
    <x v="1"/>
    <x v="6"/>
    <x v="3"/>
    <x v="616"/>
    <x v="14"/>
    <x v="3"/>
    <x v="0"/>
    <x v="1"/>
    <x v="0"/>
    <x v="756"/>
    <x v="0"/>
    <x v="0"/>
  </r>
  <r>
    <x v="1316"/>
    <x v="623"/>
    <x v="608"/>
    <x v="602"/>
    <x v="1048"/>
    <x v="1"/>
    <x v="6"/>
    <x v="610"/>
    <x v="439"/>
    <x v="1"/>
    <x v="253"/>
    <x v="0"/>
    <x v="0"/>
    <x v="1"/>
    <x v="1"/>
    <x v="3"/>
    <x v="2"/>
    <x v="1"/>
    <x v="3"/>
    <x v="1"/>
    <x v="1"/>
    <x v="298"/>
    <x v="1"/>
    <x v="6"/>
    <x v="3"/>
    <x v="617"/>
    <x v="19"/>
    <x v="3"/>
    <x v="0"/>
    <x v="1"/>
    <x v="0"/>
    <x v="757"/>
    <x v="371"/>
    <x v="0"/>
  </r>
  <r>
    <x v="1317"/>
    <x v="540"/>
    <x v="532"/>
    <x v="524"/>
    <x v="1049"/>
    <x v="1"/>
    <x v="6"/>
    <x v="543"/>
    <x v="428"/>
    <x v="1"/>
    <x v="3"/>
    <x v="0"/>
    <x v="0"/>
    <x v="3"/>
    <x v="3"/>
    <x v="2"/>
    <x v="2"/>
    <x v="1"/>
    <x v="3"/>
    <x v="1"/>
    <x v="1"/>
    <x v="298"/>
    <x v="1"/>
    <x v="6"/>
    <x v="3"/>
    <x v="535"/>
    <x v="19"/>
    <x v="3"/>
    <x v="0"/>
    <x v="1"/>
    <x v="0"/>
    <x v="758"/>
    <x v="0"/>
    <x v="351"/>
  </r>
  <r>
    <x v="1318"/>
    <x v="624"/>
    <x v="609"/>
    <x v="603"/>
    <x v="1050"/>
    <x v="1"/>
    <x v="1"/>
    <x v="611"/>
    <x v="440"/>
    <x v="1"/>
    <x v="254"/>
    <x v="0"/>
    <x v="0"/>
    <x v="1"/>
    <x v="1"/>
    <x v="1"/>
    <x v="1"/>
    <x v="1"/>
    <x v="3"/>
    <x v="1"/>
    <x v="2"/>
    <x v="0"/>
    <x v="1"/>
    <x v="1"/>
    <x v="2"/>
    <x v="618"/>
    <x v="2"/>
    <x v="0"/>
    <x v="0"/>
    <x v="1"/>
    <x v="0"/>
    <x v="0"/>
    <x v="0"/>
    <x v="0"/>
  </r>
  <r>
    <x v="1319"/>
    <x v="625"/>
    <x v="610"/>
    <x v="604"/>
    <x v="1051"/>
    <x v="1"/>
    <x v="2"/>
    <x v="612"/>
    <x v="441"/>
    <x v="1"/>
    <x v="31"/>
    <x v="0"/>
    <x v="0"/>
    <x v="1"/>
    <x v="1"/>
    <x v="1"/>
    <x v="2"/>
    <x v="1"/>
    <x v="3"/>
    <x v="1"/>
    <x v="2"/>
    <x v="0"/>
    <x v="1"/>
    <x v="1"/>
    <x v="2"/>
    <x v="619"/>
    <x v="2"/>
    <x v="0"/>
    <x v="0"/>
    <x v="1"/>
    <x v="0"/>
    <x v="0"/>
    <x v="0"/>
    <x v="0"/>
  </r>
  <r>
    <x v="1320"/>
    <x v="626"/>
    <x v="611"/>
    <x v="605"/>
    <x v="1052"/>
    <x v="1"/>
    <x v="2"/>
    <x v="613"/>
    <x v="442"/>
    <x v="1"/>
    <x v="33"/>
    <x v="0"/>
    <x v="0"/>
    <x v="1"/>
    <x v="3"/>
    <x v="2"/>
    <x v="2"/>
    <x v="1"/>
    <x v="3"/>
    <x v="1"/>
    <x v="1"/>
    <x v="301"/>
    <x v="1"/>
    <x v="1"/>
    <x v="2"/>
    <x v="620"/>
    <x v="1"/>
    <x v="1"/>
    <x v="4"/>
    <x v="2"/>
    <x v="1"/>
    <x v="759"/>
    <x v="0"/>
    <x v="0"/>
  </r>
  <r>
    <x v="1321"/>
    <x v="627"/>
    <x v="612"/>
    <x v="606"/>
    <x v="1053"/>
    <x v="1"/>
    <x v="2"/>
    <x v="614"/>
    <x v="443"/>
    <x v="1"/>
    <x v="15"/>
    <x v="0"/>
    <x v="0"/>
    <x v="1"/>
    <x v="1"/>
    <x v="1"/>
    <x v="2"/>
    <x v="1"/>
    <x v="3"/>
    <x v="1"/>
    <x v="1"/>
    <x v="298"/>
    <x v="1"/>
    <x v="1"/>
    <x v="2"/>
    <x v="621"/>
    <x v="1"/>
    <x v="3"/>
    <x v="0"/>
    <x v="1"/>
    <x v="0"/>
    <x v="760"/>
    <x v="0"/>
    <x v="0"/>
  </r>
  <r>
    <x v="1322"/>
    <x v="628"/>
    <x v="613"/>
    <x v="607"/>
    <x v="1054"/>
    <x v="1"/>
    <x v="1"/>
    <x v="615"/>
    <x v="444"/>
    <x v="1"/>
    <x v="2"/>
    <x v="0"/>
    <x v="0"/>
    <x v="1"/>
    <x v="2"/>
    <x v="3"/>
    <x v="1"/>
    <x v="1"/>
    <x v="2"/>
    <x v="2"/>
    <x v="1"/>
    <x v="301"/>
    <x v="1"/>
    <x v="1"/>
    <x v="2"/>
    <x v="622"/>
    <x v="3"/>
    <x v="1"/>
    <x v="3"/>
    <x v="2"/>
    <x v="1"/>
    <x v="761"/>
    <x v="0"/>
    <x v="356"/>
  </r>
  <r>
    <x v="1323"/>
    <x v="609"/>
    <x v="595"/>
    <x v="588"/>
    <x v="1055"/>
    <x v="3"/>
    <x v="2"/>
    <x v="598"/>
    <x v="196"/>
    <x v="6"/>
    <x v="0"/>
    <x v="0"/>
    <x v="4"/>
    <x v="3"/>
    <x v="1"/>
    <x v="1"/>
    <x v="2"/>
    <x v="2"/>
    <x v="3"/>
    <x v="1"/>
    <x v="2"/>
    <x v="0"/>
    <x v="1"/>
    <x v="3"/>
    <x v="4"/>
    <x v="604"/>
    <x v="1"/>
    <x v="0"/>
    <x v="0"/>
    <x v="1"/>
    <x v="0"/>
    <x v="0"/>
    <x v="0"/>
    <x v="0"/>
  </r>
  <r>
    <x v="1324"/>
    <x v="621"/>
    <x v="606"/>
    <x v="600"/>
    <x v="0"/>
    <x v="1"/>
    <x v="3"/>
    <x v="608"/>
    <x v="10"/>
    <x v="1"/>
    <x v="251"/>
    <x v="0"/>
    <x v="0"/>
    <x v="3"/>
    <x v="1"/>
    <x v="1"/>
    <x v="2"/>
    <x v="1"/>
    <x v="2"/>
    <x v="1"/>
    <x v="1"/>
    <x v="301"/>
    <x v="2"/>
    <x v="3"/>
    <x v="4"/>
    <x v="615"/>
    <x v="1"/>
    <x v="3"/>
    <x v="0"/>
    <x v="1"/>
    <x v="0"/>
    <x v="762"/>
    <x v="0"/>
    <x v="0"/>
  </r>
  <r>
    <x v="1325"/>
    <x v="629"/>
    <x v="614"/>
    <x v="608"/>
    <x v="1056"/>
    <x v="1"/>
    <x v="3"/>
    <x v="616"/>
    <x v="445"/>
    <x v="1"/>
    <x v="3"/>
    <x v="0"/>
    <x v="0"/>
    <x v="1"/>
    <x v="1"/>
    <x v="1"/>
    <x v="1"/>
    <x v="1"/>
    <x v="3"/>
    <x v="1"/>
    <x v="2"/>
    <x v="0"/>
    <x v="1"/>
    <x v="1"/>
    <x v="2"/>
    <x v="623"/>
    <x v="18"/>
    <x v="0"/>
    <x v="0"/>
    <x v="1"/>
    <x v="0"/>
    <x v="0"/>
    <x v="0"/>
    <x v="0"/>
  </r>
  <r>
    <x v="1326"/>
    <x v="630"/>
    <x v="615"/>
    <x v="609"/>
    <x v="1057"/>
    <x v="1"/>
    <x v="1"/>
    <x v="389"/>
    <x v="446"/>
    <x v="1"/>
    <x v="249"/>
    <x v="0"/>
    <x v="0"/>
    <x v="1"/>
    <x v="1"/>
    <x v="1"/>
    <x v="2"/>
    <x v="1"/>
    <x v="2"/>
    <x v="1"/>
    <x v="2"/>
    <x v="0"/>
    <x v="2"/>
    <x v="1"/>
    <x v="2"/>
    <x v="624"/>
    <x v="3"/>
    <x v="0"/>
    <x v="0"/>
    <x v="1"/>
    <x v="0"/>
    <x v="0"/>
    <x v="0"/>
    <x v="0"/>
  </r>
  <r>
    <x v="1327"/>
    <x v="626"/>
    <x v="611"/>
    <x v="605"/>
    <x v="1058"/>
    <x v="1"/>
    <x v="2"/>
    <x v="613"/>
    <x v="442"/>
    <x v="1"/>
    <x v="33"/>
    <x v="0"/>
    <x v="0"/>
    <x v="3"/>
    <x v="1"/>
    <x v="1"/>
    <x v="2"/>
    <x v="1"/>
    <x v="3"/>
    <x v="1"/>
    <x v="1"/>
    <x v="302"/>
    <x v="1"/>
    <x v="3"/>
    <x v="4"/>
    <x v="620"/>
    <x v="1"/>
    <x v="1"/>
    <x v="4"/>
    <x v="2"/>
    <x v="1"/>
    <x v="763"/>
    <x v="372"/>
    <x v="0"/>
  </r>
  <r>
    <x v="1328"/>
    <x v="618"/>
    <x v="603"/>
    <x v="596"/>
    <x v="1059"/>
    <x v="1"/>
    <x v="2"/>
    <x v="604"/>
    <x v="447"/>
    <x v="1"/>
    <x v="255"/>
    <x v="0"/>
    <x v="0"/>
    <x v="1"/>
    <x v="1"/>
    <x v="2"/>
    <x v="2"/>
    <x v="1"/>
    <x v="2"/>
    <x v="1"/>
    <x v="2"/>
    <x v="0"/>
    <x v="1"/>
    <x v="1"/>
    <x v="2"/>
    <x v="612"/>
    <x v="2"/>
    <x v="0"/>
    <x v="0"/>
    <x v="1"/>
    <x v="0"/>
    <x v="0"/>
    <x v="0"/>
    <x v="0"/>
  </r>
  <r>
    <x v="1329"/>
    <x v="628"/>
    <x v="613"/>
    <x v="607"/>
    <x v="1060"/>
    <x v="1"/>
    <x v="1"/>
    <x v="615"/>
    <x v="444"/>
    <x v="1"/>
    <x v="2"/>
    <x v="0"/>
    <x v="0"/>
    <x v="3"/>
    <x v="1"/>
    <x v="1"/>
    <x v="2"/>
    <x v="1"/>
    <x v="2"/>
    <x v="2"/>
    <x v="1"/>
    <x v="303"/>
    <x v="1"/>
    <x v="3"/>
    <x v="4"/>
    <x v="622"/>
    <x v="3"/>
    <x v="3"/>
    <x v="0"/>
    <x v="1"/>
    <x v="0"/>
    <x v="764"/>
    <x v="373"/>
    <x v="0"/>
  </r>
  <r>
    <x v="1330"/>
    <x v="631"/>
    <x v="616"/>
    <x v="610"/>
    <x v="1061"/>
    <x v="1"/>
    <x v="2"/>
    <x v="617"/>
    <x v="448"/>
    <x v="1"/>
    <x v="256"/>
    <x v="0"/>
    <x v="0"/>
    <x v="1"/>
    <x v="1"/>
    <x v="1"/>
    <x v="2"/>
    <x v="1"/>
    <x v="2"/>
    <x v="1"/>
    <x v="2"/>
    <x v="0"/>
    <x v="1"/>
    <x v="2"/>
    <x v="2"/>
    <x v="625"/>
    <x v="5"/>
    <x v="0"/>
    <x v="0"/>
    <x v="1"/>
    <x v="0"/>
    <x v="0"/>
    <x v="0"/>
    <x v="0"/>
  </r>
  <r>
    <x v="1331"/>
    <x v="632"/>
    <x v="617"/>
    <x v="611"/>
    <x v="1062"/>
    <x v="1"/>
    <x v="2"/>
    <x v="542"/>
    <x v="449"/>
    <x v="1"/>
    <x v="9"/>
    <x v="0"/>
    <x v="0"/>
    <x v="1"/>
    <x v="1"/>
    <x v="1"/>
    <x v="2"/>
    <x v="1"/>
    <x v="2"/>
    <x v="1"/>
    <x v="1"/>
    <x v="302"/>
    <x v="1"/>
    <x v="2"/>
    <x v="2"/>
    <x v="626"/>
    <x v="5"/>
    <x v="1"/>
    <x v="13"/>
    <x v="2"/>
    <x v="1"/>
    <x v="765"/>
    <x v="0"/>
    <x v="0"/>
  </r>
  <r>
    <x v="1332"/>
    <x v="627"/>
    <x v="612"/>
    <x v="606"/>
    <x v="1063"/>
    <x v="1"/>
    <x v="2"/>
    <x v="614"/>
    <x v="443"/>
    <x v="1"/>
    <x v="15"/>
    <x v="0"/>
    <x v="0"/>
    <x v="1"/>
    <x v="1"/>
    <x v="1"/>
    <x v="2"/>
    <x v="1"/>
    <x v="2"/>
    <x v="2"/>
    <x v="2"/>
    <x v="0"/>
    <x v="1"/>
    <x v="1"/>
    <x v="2"/>
    <x v="621"/>
    <x v="1"/>
    <x v="0"/>
    <x v="0"/>
    <x v="1"/>
    <x v="0"/>
    <x v="0"/>
    <x v="0"/>
    <x v="0"/>
  </r>
  <r>
    <x v="1333"/>
    <x v="624"/>
    <x v="609"/>
    <x v="603"/>
    <x v="1064"/>
    <x v="1"/>
    <x v="1"/>
    <x v="611"/>
    <x v="450"/>
    <x v="1"/>
    <x v="1"/>
    <x v="0"/>
    <x v="0"/>
    <x v="1"/>
    <x v="2"/>
    <x v="3"/>
    <x v="1"/>
    <x v="1"/>
    <x v="2"/>
    <x v="1"/>
    <x v="1"/>
    <x v="302"/>
    <x v="1"/>
    <x v="2"/>
    <x v="2"/>
    <x v="618"/>
    <x v="5"/>
    <x v="1"/>
    <x v="1"/>
    <x v="2"/>
    <x v="1"/>
    <x v="766"/>
    <x v="0"/>
    <x v="0"/>
  </r>
  <r>
    <x v="1334"/>
    <x v="632"/>
    <x v="617"/>
    <x v="611"/>
    <x v="0"/>
    <x v="1"/>
    <x v="2"/>
    <x v="542"/>
    <x v="449"/>
    <x v="1"/>
    <x v="9"/>
    <x v="0"/>
    <x v="0"/>
    <x v="3"/>
    <x v="1"/>
    <x v="2"/>
    <x v="2"/>
    <x v="1"/>
    <x v="1"/>
    <x v="1"/>
    <x v="1"/>
    <x v="303"/>
    <x v="2"/>
    <x v="3"/>
    <x v="4"/>
    <x v="626"/>
    <x v="14"/>
    <x v="1"/>
    <x v="5"/>
    <x v="2"/>
    <x v="1"/>
    <x v="767"/>
    <x v="0"/>
    <x v="0"/>
  </r>
  <r>
    <x v="1335"/>
    <x v="626"/>
    <x v="611"/>
    <x v="605"/>
    <x v="1065"/>
    <x v="1"/>
    <x v="2"/>
    <x v="613"/>
    <x v="442"/>
    <x v="1"/>
    <x v="33"/>
    <x v="0"/>
    <x v="0"/>
    <x v="3"/>
    <x v="1"/>
    <x v="1"/>
    <x v="2"/>
    <x v="1"/>
    <x v="3"/>
    <x v="1"/>
    <x v="2"/>
    <x v="0"/>
    <x v="1"/>
    <x v="3"/>
    <x v="4"/>
    <x v="620"/>
    <x v="1"/>
    <x v="0"/>
    <x v="0"/>
    <x v="1"/>
    <x v="0"/>
    <x v="0"/>
    <x v="0"/>
    <x v="0"/>
  </r>
  <r>
    <x v="1336"/>
    <x v="633"/>
    <x v="618"/>
    <x v="612"/>
    <x v="1066"/>
    <x v="1"/>
    <x v="2"/>
    <x v="618"/>
    <x v="451"/>
    <x v="1"/>
    <x v="33"/>
    <x v="0"/>
    <x v="0"/>
    <x v="1"/>
    <x v="3"/>
    <x v="3"/>
    <x v="1"/>
    <x v="1"/>
    <x v="2"/>
    <x v="1"/>
    <x v="1"/>
    <x v="303"/>
    <x v="1"/>
    <x v="1"/>
    <x v="2"/>
    <x v="627"/>
    <x v="14"/>
    <x v="1"/>
    <x v="7"/>
    <x v="1"/>
    <x v="0"/>
    <x v="768"/>
    <x v="0"/>
    <x v="0"/>
  </r>
  <r>
    <x v="1337"/>
    <x v="624"/>
    <x v="609"/>
    <x v="603"/>
    <x v="1067"/>
    <x v="1"/>
    <x v="2"/>
    <x v="611"/>
    <x v="440"/>
    <x v="1"/>
    <x v="1"/>
    <x v="0"/>
    <x v="0"/>
    <x v="3"/>
    <x v="1"/>
    <x v="1"/>
    <x v="1"/>
    <x v="1"/>
    <x v="2"/>
    <x v="1"/>
    <x v="2"/>
    <x v="0"/>
    <x v="1"/>
    <x v="3"/>
    <x v="4"/>
    <x v="618"/>
    <x v="5"/>
    <x v="0"/>
    <x v="0"/>
    <x v="1"/>
    <x v="0"/>
    <x v="0"/>
    <x v="0"/>
    <x v="0"/>
  </r>
  <r>
    <x v="1338"/>
    <x v="634"/>
    <x v="619"/>
    <x v="613"/>
    <x v="1068"/>
    <x v="3"/>
    <x v="2"/>
    <x v="190"/>
    <x v="452"/>
    <x v="1"/>
    <x v="161"/>
    <x v="0"/>
    <x v="0"/>
    <x v="1"/>
    <x v="2"/>
    <x v="4"/>
    <x v="2"/>
    <x v="1"/>
    <x v="3"/>
    <x v="1"/>
    <x v="1"/>
    <x v="303"/>
    <x v="1"/>
    <x v="5"/>
    <x v="2"/>
    <x v="628"/>
    <x v="5"/>
    <x v="3"/>
    <x v="0"/>
    <x v="1"/>
    <x v="0"/>
    <x v="769"/>
    <x v="374"/>
    <x v="0"/>
  </r>
  <r>
    <x v="1339"/>
    <x v="632"/>
    <x v="617"/>
    <x v="611"/>
    <x v="1069"/>
    <x v="1"/>
    <x v="2"/>
    <x v="542"/>
    <x v="449"/>
    <x v="1"/>
    <x v="9"/>
    <x v="0"/>
    <x v="0"/>
    <x v="3"/>
    <x v="1"/>
    <x v="1"/>
    <x v="1"/>
    <x v="1"/>
    <x v="3"/>
    <x v="1"/>
    <x v="1"/>
    <x v="304"/>
    <x v="1"/>
    <x v="3"/>
    <x v="4"/>
    <x v="626"/>
    <x v="2"/>
    <x v="1"/>
    <x v="13"/>
    <x v="2"/>
    <x v="1"/>
    <x v="770"/>
    <x v="375"/>
    <x v="357"/>
  </r>
  <r>
    <x v="1340"/>
    <x v="633"/>
    <x v="618"/>
    <x v="612"/>
    <x v="0"/>
    <x v="1"/>
    <x v="2"/>
    <x v="618"/>
    <x v="451"/>
    <x v="1"/>
    <x v="33"/>
    <x v="0"/>
    <x v="0"/>
    <x v="3"/>
    <x v="5"/>
    <x v="1"/>
    <x v="1"/>
    <x v="1"/>
    <x v="2"/>
    <x v="1"/>
    <x v="1"/>
    <x v="304"/>
    <x v="2"/>
    <x v="3"/>
    <x v="4"/>
    <x v="627"/>
    <x v="12"/>
    <x v="3"/>
    <x v="0"/>
    <x v="1"/>
    <x v="0"/>
    <x v="770"/>
    <x v="376"/>
    <x v="0"/>
  </r>
  <r>
    <x v="1341"/>
    <x v="632"/>
    <x v="617"/>
    <x v="611"/>
    <x v="0"/>
    <x v="1"/>
    <x v="2"/>
    <x v="542"/>
    <x v="449"/>
    <x v="1"/>
    <x v="9"/>
    <x v="0"/>
    <x v="0"/>
    <x v="3"/>
    <x v="1"/>
    <x v="1"/>
    <x v="2"/>
    <x v="1"/>
    <x v="1"/>
    <x v="1"/>
    <x v="1"/>
    <x v="305"/>
    <x v="2"/>
    <x v="3"/>
    <x v="4"/>
    <x v="626"/>
    <x v="14"/>
    <x v="3"/>
    <x v="0"/>
    <x v="1"/>
    <x v="0"/>
    <x v="771"/>
    <x v="377"/>
    <x v="0"/>
  </r>
  <r>
    <x v="1342"/>
    <x v="635"/>
    <x v="620"/>
    <x v="614"/>
    <x v="1070"/>
    <x v="3"/>
    <x v="6"/>
    <x v="619"/>
    <x v="453"/>
    <x v="1"/>
    <x v="33"/>
    <x v="0"/>
    <x v="0"/>
    <x v="1"/>
    <x v="3"/>
    <x v="2"/>
    <x v="2"/>
    <x v="1"/>
    <x v="3"/>
    <x v="1"/>
    <x v="1"/>
    <x v="306"/>
    <x v="1"/>
    <x v="4"/>
    <x v="3"/>
    <x v="629"/>
    <x v="19"/>
    <x v="3"/>
    <x v="0"/>
    <x v="1"/>
    <x v="0"/>
    <x v="772"/>
    <x v="378"/>
    <x v="358"/>
  </r>
  <r>
    <x v="1343"/>
    <x v="636"/>
    <x v="621"/>
    <x v="615"/>
    <x v="1071"/>
    <x v="3"/>
    <x v="6"/>
    <x v="620"/>
    <x v="454"/>
    <x v="1"/>
    <x v="22"/>
    <x v="0"/>
    <x v="0"/>
    <x v="1"/>
    <x v="3"/>
    <x v="3"/>
    <x v="2"/>
    <x v="1"/>
    <x v="3"/>
    <x v="1"/>
    <x v="1"/>
    <x v="306"/>
    <x v="1"/>
    <x v="6"/>
    <x v="3"/>
    <x v="630"/>
    <x v="19"/>
    <x v="1"/>
    <x v="3"/>
    <x v="2"/>
    <x v="1"/>
    <x v="0"/>
    <x v="0"/>
    <x v="359"/>
  </r>
  <r>
    <x v="1344"/>
    <x v="637"/>
    <x v="622"/>
    <x v="616"/>
    <x v="1072"/>
    <x v="1"/>
    <x v="6"/>
    <x v="621"/>
    <x v="10"/>
    <x v="1"/>
    <x v="33"/>
    <x v="0"/>
    <x v="0"/>
    <x v="1"/>
    <x v="3"/>
    <x v="2"/>
    <x v="2"/>
    <x v="1"/>
    <x v="3"/>
    <x v="1"/>
    <x v="1"/>
    <x v="306"/>
    <x v="1"/>
    <x v="6"/>
    <x v="3"/>
    <x v="631"/>
    <x v="19"/>
    <x v="3"/>
    <x v="0"/>
    <x v="1"/>
    <x v="0"/>
    <x v="773"/>
    <x v="379"/>
    <x v="360"/>
  </r>
  <r>
    <x v="1345"/>
    <x v="638"/>
    <x v="623"/>
    <x v="617"/>
    <x v="1073"/>
    <x v="1"/>
    <x v="6"/>
    <x v="200"/>
    <x v="455"/>
    <x v="1"/>
    <x v="257"/>
    <x v="0"/>
    <x v="0"/>
    <x v="1"/>
    <x v="2"/>
    <x v="3"/>
    <x v="2"/>
    <x v="1"/>
    <x v="3"/>
    <x v="1"/>
    <x v="1"/>
    <x v="306"/>
    <x v="1"/>
    <x v="6"/>
    <x v="3"/>
    <x v="632"/>
    <x v="19"/>
    <x v="3"/>
    <x v="0"/>
    <x v="1"/>
    <x v="0"/>
    <x v="774"/>
    <x v="380"/>
    <x v="0"/>
  </r>
  <r>
    <x v="1346"/>
    <x v="636"/>
    <x v="621"/>
    <x v="615"/>
    <x v="1074"/>
    <x v="3"/>
    <x v="2"/>
    <x v="620"/>
    <x v="454"/>
    <x v="1"/>
    <x v="22"/>
    <x v="0"/>
    <x v="0"/>
    <x v="3"/>
    <x v="3"/>
    <x v="2"/>
    <x v="1"/>
    <x v="1"/>
    <x v="2"/>
    <x v="1"/>
    <x v="1"/>
    <x v="306"/>
    <x v="1"/>
    <x v="3"/>
    <x v="4"/>
    <x v="630"/>
    <x v="3"/>
    <x v="1"/>
    <x v="3"/>
    <x v="2"/>
    <x v="1"/>
    <x v="775"/>
    <x v="0"/>
    <x v="361"/>
  </r>
  <r>
    <x v="1347"/>
    <x v="639"/>
    <x v="624"/>
    <x v="618"/>
    <x v="1075"/>
    <x v="1"/>
    <x v="2"/>
    <x v="622"/>
    <x v="456"/>
    <x v="1"/>
    <x v="31"/>
    <x v="0"/>
    <x v="0"/>
    <x v="1"/>
    <x v="1"/>
    <x v="1"/>
    <x v="2"/>
    <x v="1"/>
    <x v="3"/>
    <x v="1"/>
    <x v="1"/>
    <x v="307"/>
    <x v="1"/>
    <x v="1"/>
    <x v="2"/>
    <x v="633"/>
    <x v="1"/>
    <x v="1"/>
    <x v="1"/>
    <x v="2"/>
    <x v="1"/>
    <x v="776"/>
    <x v="381"/>
    <x v="0"/>
  </r>
  <r>
    <x v="1348"/>
    <x v="640"/>
    <x v="625"/>
    <x v="619"/>
    <x v="1076"/>
    <x v="1"/>
    <x v="1"/>
    <x v="623"/>
    <x v="457"/>
    <x v="1"/>
    <x v="15"/>
    <x v="0"/>
    <x v="0"/>
    <x v="1"/>
    <x v="1"/>
    <x v="1"/>
    <x v="2"/>
    <x v="1"/>
    <x v="3"/>
    <x v="1"/>
    <x v="1"/>
    <x v="305"/>
    <x v="1"/>
    <x v="1"/>
    <x v="2"/>
    <x v="634"/>
    <x v="18"/>
    <x v="3"/>
    <x v="0"/>
    <x v="1"/>
    <x v="0"/>
    <x v="777"/>
    <x v="382"/>
    <x v="0"/>
  </r>
  <r>
    <x v="1349"/>
    <x v="636"/>
    <x v="621"/>
    <x v="615"/>
    <x v="1077"/>
    <x v="3"/>
    <x v="2"/>
    <x v="620"/>
    <x v="454"/>
    <x v="1"/>
    <x v="22"/>
    <x v="0"/>
    <x v="0"/>
    <x v="3"/>
    <x v="1"/>
    <x v="1"/>
    <x v="2"/>
    <x v="1"/>
    <x v="2"/>
    <x v="1"/>
    <x v="1"/>
    <x v="308"/>
    <x v="1"/>
    <x v="3"/>
    <x v="4"/>
    <x v="630"/>
    <x v="3"/>
    <x v="3"/>
    <x v="0"/>
    <x v="1"/>
    <x v="0"/>
    <x v="778"/>
    <x v="383"/>
    <x v="0"/>
  </r>
  <r>
    <x v="1350"/>
    <x v="509"/>
    <x v="501"/>
    <x v="493"/>
    <x v="1078"/>
    <x v="1"/>
    <x v="3"/>
    <x v="513"/>
    <x v="458"/>
    <x v="1"/>
    <x v="258"/>
    <x v="0"/>
    <x v="0"/>
    <x v="1"/>
    <x v="1"/>
    <x v="1"/>
    <x v="2"/>
    <x v="1"/>
    <x v="1"/>
    <x v="1"/>
    <x v="1"/>
    <x v="309"/>
    <x v="1"/>
    <x v="5"/>
    <x v="2"/>
    <x v="503"/>
    <x v="12"/>
    <x v="1"/>
    <x v="3"/>
    <x v="2"/>
    <x v="1"/>
    <x v="779"/>
    <x v="0"/>
    <x v="362"/>
  </r>
  <r>
    <x v="1351"/>
    <x v="641"/>
    <x v="626"/>
    <x v="620"/>
    <x v="1079"/>
    <x v="1"/>
    <x v="2"/>
    <x v="624"/>
    <x v="459"/>
    <x v="1"/>
    <x v="2"/>
    <x v="0"/>
    <x v="0"/>
    <x v="1"/>
    <x v="1"/>
    <x v="1"/>
    <x v="1"/>
    <x v="1"/>
    <x v="3"/>
    <x v="1"/>
    <x v="2"/>
    <x v="0"/>
    <x v="1"/>
    <x v="2"/>
    <x v="2"/>
    <x v="635"/>
    <x v="3"/>
    <x v="0"/>
    <x v="0"/>
    <x v="1"/>
    <x v="0"/>
    <x v="0"/>
    <x v="0"/>
    <x v="0"/>
  </r>
  <r>
    <x v="1352"/>
    <x v="509"/>
    <x v="501"/>
    <x v="493"/>
    <x v="1080"/>
    <x v="1"/>
    <x v="3"/>
    <x v="513"/>
    <x v="458"/>
    <x v="1"/>
    <x v="258"/>
    <x v="0"/>
    <x v="0"/>
    <x v="3"/>
    <x v="1"/>
    <x v="1"/>
    <x v="2"/>
    <x v="1"/>
    <x v="2"/>
    <x v="1"/>
    <x v="1"/>
    <x v="310"/>
    <x v="1"/>
    <x v="3"/>
    <x v="4"/>
    <x v="503"/>
    <x v="3"/>
    <x v="1"/>
    <x v="7"/>
    <x v="2"/>
    <x v="1"/>
    <x v="780"/>
    <x v="0"/>
    <x v="363"/>
  </r>
  <r>
    <x v="1353"/>
    <x v="642"/>
    <x v="627"/>
    <x v="621"/>
    <x v="1081"/>
    <x v="3"/>
    <x v="1"/>
    <x v="625"/>
    <x v="460"/>
    <x v="1"/>
    <x v="2"/>
    <x v="0"/>
    <x v="0"/>
    <x v="1"/>
    <x v="2"/>
    <x v="3"/>
    <x v="1"/>
    <x v="1"/>
    <x v="2"/>
    <x v="1"/>
    <x v="1"/>
    <x v="307"/>
    <x v="1"/>
    <x v="5"/>
    <x v="2"/>
    <x v="636"/>
    <x v="3"/>
    <x v="3"/>
    <x v="0"/>
    <x v="1"/>
    <x v="0"/>
    <x v="781"/>
    <x v="384"/>
    <x v="0"/>
  </r>
  <r>
    <x v="1354"/>
    <x v="335"/>
    <x v="335"/>
    <x v="330"/>
    <x v="1082"/>
    <x v="1"/>
    <x v="6"/>
    <x v="350"/>
    <x v="461"/>
    <x v="1"/>
    <x v="259"/>
    <x v="0"/>
    <x v="0"/>
    <x v="1"/>
    <x v="2"/>
    <x v="3"/>
    <x v="2"/>
    <x v="1"/>
    <x v="3"/>
    <x v="1"/>
    <x v="1"/>
    <x v="307"/>
    <x v="1"/>
    <x v="5"/>
    <x v="3"/>
    <x v="337"/>
    <x v="19"/>
    <x v="1"/>
    <x v="1"/>
    <x v="1"/>
    <x v="0"/>
    <x v="782"/>
    <x v="385"/>
    <x v="0"/>
  </r>
  <r>
    <x v="1355"/>
    <x v="639"/>
    <x v="624"/>
    <x v="618"/>
    <x v="1083"/>
    <x v="1"/>
    <x v="2"/>
    <x v="622"/>
    <x v="456"/>
    <x v="1"/>
    <x v="31"/>
    <x v="0"/>
    <x v="0"/>
    <x v="3"/>
    <x v="1"/>
    <x v="1"/>
    <x v="1"/>
    <x v="1"/>
    <x v="3"/>
    <x v="1"/>
    <x v="2"/>
    <x v="0"/>
    <x v="1"/>
    <x v="3"/>
    <x v="4"/>
    <x v="633"/>
    <x v="5"/>
    <x v="0"/>
    <x v="0"/>
    <x v="1"/>
    <x v="0"/>
    <x v="0"/>
    <x v="0"/>
    <x v="0"/>
  </r>
  <r>
    <x v="1356"/>
    <x v="335"/>
    <x v="335"/>
    <x v="330"/>
    <x v="0"/>
    <x v="1"/>
    <x v="2"/>
    <x v="350"/>
    <x v="461"/>
    <x v="1"/>
    <x v="259"/>
    <x v="0"/>
    <x v="0"/>
    <x v="3"/>
    <x v="1"/>
    <x v="1"/>
    <x v="1"/>
    <x v="1"/>
    <x v="2"/>
    <x v="3"/>
    <x v="2"/>
    <x v="0"/>
    <x v="2"/>
    <x v="3"/>
    <x v="4"/>
    <x v="337"/>
    <x v="5"/>
    <x v="0"/>
    <x v="0"/>
    <x v="1"/>
    <x v="0"/>
    <x v="0"/>
    <x v="0"/>
    <x v="0"/>
  </r>
  <r>
    <x v="1357"/>
    <x v="335"/>
    <x v="335"/>
    <x v="330"/>
    <x v="0"/>
    <x v="1"/>
    <x v="2"/>
    <x v="626"/>
    <x v="461"/>
    <x v="1"/>
    <x v="260"/>
    <x v="0"/>
    <x v="0"/>
    <x v="1"/>
    <x v="1"/>
    <x v="1"/>
    <x v="1"/>
    <x v="1"/>
    <x v="2"/>
    <x v="1"/>
    <x v="1"/>
    <x v="310"/>
    <x v="2"/>
    <x v="1"/>
    <x v="2"/>
    <x v="337"/>
    <x v="17"/>
    <x v="3"/>
    <x v="0"/>
    <x v="1"/>
    <x v="0"/>
    <x v="783"/>
    <x v="0"/>
    <x v="0"/>
  </r>
  <r>
    <x v="1358"/>
    <x v="509"/>
    <x v="501"/>
    <x v="493"/>
    <x v="0"/>
    <x v="1"/>
    <x v="3"/>
    <x v="513"/>
    <x v="458"/>
    <x v="1"/>
    <x v="33"/>
    <x v="0"/>
    <x v="0"/>
    <x v="3"/>
    <x v="3"/>
    <x v="2"/>
    <x v="2"/>
    <x v="1"/>
    <x v="2"/>
    <x v="1"/>
    <x v="1"/>
    <x v="305"/>
    <x v="1"/>
    <x v="3"/>
    <x v="4"/>
    <x v="503"/>
    <x v="12"/>
    <x v="1"/>
    <x v="13"/>
    <x v="2"/>
    <x v="1"/>
    <x v="784"/>
    <x v="386"/>
    <x v="364"/>
  </r>
  <r>
    <x v="1359"/>
    <x v="639"/>
    <x v="624"/>
    <x v="618"/>
    <x v="1084"/>
    <x v="1"/>
    <x v="2"/>
    <x v="622"/>
    <x v="456"/>
    <x v="1"/>
    <x v="31"/>
    <x v="0"/>
    <x v="0"/>
    <x v="1"/>
    <x v="1"/>
    <x v="1"/>
    <x v="1"/>
    <x v="1"/>
    <x v="1"/>
    <x v="4"/>
    <x v="1"/>
    <x v="305"/>
    <x v="1"/>
    <x v="1"/>
    <x v="2"/>
    <x v="633"/>
    <x v="12"/>
    <x v="3"/>
    <x v="0"/>
    <x v="1"/>
    <x v="0"/>
    <x v="785"/>
    <x v="387"/>
    <x v="0"/>
  </r>
  <r>
    <x v="1360"/>
    <x v="603"/>
    <x v="590"/>
    <x v="583"/>
    <x v="1085"/>
    <x v="1"/>
    <x v="2"/>
    <x v="594"/>
    <x v="462"/>
    <x v="1"/>
    <x v="1"/>
    <x v="0"/>
    <x v="0"/>
    <x v="1"/>
    <x v="2"/>
    <x v="3"/>
    <x v="2"/>
    <x v="1"/>
    <x v="2"/>
    <x v="1"/>
    <x v="1"/>
    <x v="305"/>
    <x v="1"/>
    <x v="2"/>
    <x v="3"/>
    <x v="637"/>
    <x v="2"/>
    <x v="1"/>
    <x v="13"/>
    <x v="1"/>
    <x v="0"/>
    <x v="786"/>
    <x v="388"/>
    <x v="365"/>
  </r>
  <r>
    <x v="1361"/>
    <x v="339"/>
    <x v="339"/>
    <x v="334"/>
    <x v="1086"/>
    <x v="1"/>
    <x v="2"/>
    <x v="354"/>
    <x v="463"/>
    <x v="2"/>
    <x v="0"/>
    <x v="2"/>
    <x v="0"/>
    <x v="1"/>
    <x v="2"/>
    <x v="3"/>
    <x v="2"/>
    <x v="1"/>
    <x v="2"/>
    <x v="1"/>
    <x v="1"/>
    <x v="311"/>
    <x v="1"/>
    <x v="1"/>
    <x v="2"/>
    <x v="341"/>
    <x v="18"/>
    <x v="2"/>
    <x v="0"/>
    <x v="1"/>
    <x v="0"/>
    <x v="0"/>
    <x v="0"/>
    <x v="0"/>
  </r>
  <r>
    <x v="1362"/>
    <x v="509"/>
    <x v="501"/>
    <x v="493"/>
    <x v="1087"/>
    <x v="1"/>
    <x v="2"/>
    <x v="513"/>
    <x v="458"/>
    <x v="1"/>
    <x v="33"/>
    <x v="0"/>
    <x v="0"/>
    <x v="3"/>
    <x v="1"/>
    <x v="1"/>
    <x v="2"/>
    <x v="1"/>
    <x v="2"/>
    <x v="4"/>
    <x v="1"/>
    <x v="311"/>
    <x v="1"/>
    <x v="3"/>
    <x v="4"/>
    <x v="503"/>
    <x v="14"/>
    <x v="1"/>
    <x v="13"/>
    <x v="2"/>
    <x v="1"/>
    <x v="787"/>
    <x v="0"/>
    <x v="366"/>
  </r>
  <r>
    <x v="1363"/>
    <x v="603"/>
    <x v="590"/>
    <x v="583"/>
    <x v="0"/>
    <x v="1"/>
    <x v="2"/>
    <x v="594"/>
    <x v="462"/>
    <x v="1"/>
    <x v="1"/>
    <x v="0"/>
    <x v="0"/>
    <x v="3"/>
    <x v="4"/>
    <x v="1"/>
    <x v="2"/>
    <x v="1"/>
    <x v="2"/>
    <x v="1"/>
    <x v="2"/>
    <x v="0"/>
    <x v="2"/>
    <x v="3"/>
    <x v="4"/>
    <x v="637"/>
    <x v="14"/>
    <x v="0"/>
    <x v="0"/>
    <x v="1"/>
    <x v="0"/>
    <x v="0"/>
    <x v="0"/>
    <x v="0"/>
  </r>
  <r>
    <x v="1364"/>
    <x v="636"/>
    <x v="621"/>
    <x v="615"/>
    <x v="1088"/>
    <x v="3"/>
    <x v="2"/>
    <x v="620"/>
    <x v="454"/>
    <x v="1"/>
    <x v="261"/>
    <x v="0"/>
    <x v="0"/>
    <x v="1"/>
    <x v="2"/>
    <x v="3"/>
    <x v="2"/>
    <x v="1"/>
    <x v="2"/>
    <x v="1"/>
    <x v="1"/>
    <x v="311"/>
    <x v="1"/>
    <x v="6"/>
    <x v="3"/>
    <x v="630"/>
    <x v="14"/>
    <x v="1"/>
    <x v="13"/>
    <x v="1"/>
    <x v="0"/>
    <x v="788"/>
    <x v="389"/>
    <x v="0"/>
  </r>
  <r>
    <x v="1365"/>
    <x v="639"/>
    <x v="624"/>
    <x v="618"/>
    <x v="1089"/>
    <x v="1"/>
    <x v="3"/>
    <x v="622"/>
    <x v="456"/>
    <x v="1"/>
    <x v="31"/>
    <x v="0"/>
    <x v="0"/>
    <x v="1"/>
    <x v="1"/>
    <x v="1"/>
    <x v="2"/>
    <x v="1"/>
    <x v="2"/>
    <x v="1"/>
    <x v="2"/>
    <x v="0"/>
    <x v="1"/>
    <x v="6"/>
    <x v="3"/>
    <x v="633"/>
    <x v="14"/>
    <x v="0"/>
    <x v="0"/>
    <x v="1"/>
    <x v="0"/>
    <x v="0"/>
    <x v="0"/>
    <x v="0"/>
  </r>
  <r>
    <x v="1366"/>
    <x v="509"/>
    <x v="501"/>
    <x v="493"/>
    <x v="0"/>
    <x v="1"/>
    <x v="2"/>
    <x v="513"/>
    <x v="458"/>
    <x v="1"/>
    <x v="33"/>
    <x v="0"/>
    <x v="0"/>
    <x v="3"/>
    <x v="1"/>
    <x v="1"/>
    <x v="2"/>
    <x v="1"/>
    <x v="2"/>
    <x v="1"/>
    <x v="1"/>
    <x v="312"/>
    <x v="2"/>
    <x v="3"/>
    <x v="4"/>
    <x v="503"/>
    <x v="14"/>
    <x v="1"/>
    <x v="1"/>
    <x v="1"/>
    <x v="0"/>
    <x v="789"/>
    <x v="390"/>
    <x v="0"/>
  </r>
  <r>
    <x v="1367"/>
    <x v="643"/>
    <x v="628"/>
    <x v="622"/>
    <x v="1090"/>
    <x v="1"/>
    <x v="2"/>
    <x v="627"/>
    <x v="462"/>
    <x v="2"/>
    <x v="0"/>
    <x v="2"/>
    <x v="0"/>
    <x v="1"/>
    <x v="1"/>
    <x v="1"/>
    <x v="2"/>
    <x v="1"/>
    <x v="3"/>
    <x v="1"/>
    <x v="1"/>
    <x v="313"/>
    <x v="1"/>
    <x v="2"/>
    <x v="2"/>
    <x v="638"/>
    <x v="5"/>
    <x v="1"/>
    <x v="1"/>
    <x v="1"/>
    <x v="0"/>
    <x v="790"/>
    <x v="0"/>
    <x v="0"/>
  </r>
  <r>
    <x v="1368"/>
    <x v="644"/>
    <x v="629"/>
    <x v="623"/>
    <x v="1091"/>
    <x v="1"/>
    <x v="2"/>
    <x v="628"/>
    <x v="464"/>
    <x v="1"/>
    <x v="31"/>
    <x v="0"/>
    <x v="0"/>
    <x v="1"/>
    <x v="1"/>
    <x v="1"/>
    <x v="1"/>
    <x v="1"/>
    <x v="2"/>
    <x v="1"/>
    <x v="1"/>
    <x v="314"/>
    <x v="1"/>
    <x v="1"/>
    <x v="2"/>
    <x v="639"/>
    <x v="12"/>
    <x v="1"/>
    <x v="1"/>
    <x v="2"/>
    <x v="1"/>
    <x v="791"/>
    <x v="0"/>
    <x v="367"/>
  </r>
  <r>
    <x v="1369"/>
    <x v="643"/>
    <x v="628"/>
    <x v="622"/>
    <x v="1090"/>
    <x v="1"/>
    <x v="2"/>
    <x v="627"/>
    <x v="462"/>
    <x v="2"/>
    <x v="0"/>
    <x v="2"/>
    <x v="0"/>
    <x v="3"/>
    <x v="1"/>
    <x v="1"/>
    <x v="2"/>
    <x v="1"/>
    <x v="2"/>
    <x v="1"/>
    <x v="1"/>
    <x v="315"/>
    <x v="2"/>
    <x v="3"/>
    <x v="4"/>
    <x v="638"/>
    <x v="5"/>
    <x v="3"/>
    <x v="0"/>
    <x v="1"/>
    <x v="0"/>
    <x v="792"/>
    <x v="0"/>
    <x v="0"/>
  </r>
  <r>
    <x v="1370"/>
    <x v="438"/>
    <x v="434"/>
    <x v="429"/>
    <x v="1092"/>
    <x v="1"/>
    <x v="2"/>
    <x v="444"/>
    <x v="460"/>
    <x v="1"/>
    <x v="33"/>
    <x v="0"/>
    <x v="0"/>
    <x v="1"/>
    <x v="3"/>
    <x v="2"/>
    <x v="2"/>
    <x v="1"/>
    <x v="3"/>
    <x v="1"/>
    <x v="1"/>
    <x v="314"/>
    <x v="2"/>
    <x v="1"/>
    <x v="2"/>
    <x v="437"/>
    <x v="5"/>
    <x v="3"/>
    <x v="0"/>
    <x v="1"/>
    <x v="0"/>
    <x v="793"/>
    <x v="391"/>
    <x v="0"/>
  </r>
  <r>
    <x v="1371"/>
    <x v="509"/>
    <x v="501"/>
    <x v="493"/>
    <x v="0"/>
    <x v="1"/>
    <x v="3"/>
    <x v="513"/>
    <x v="458"/>
    <x v="1"/>
    <x v="33"/>
    <x v="0"/>
    <x v="0"/>
    <x v="3"/>
    <x v="1"/>
    <x v="1"/>
    <x v="2"/>
    <x v="1"/>
    <x v="2"/>
    <x v="1"/>
    <x v="2"/>
    <x v="0"/>
    <x v="2"/>
    <x v="3"/>
    <x v="4"/>
    <x v="503"/>
    <x v="5"/>
    <x v="0"/>
    <x v="0"/>
    <x v="1"/>
    <x v="0"/>
    <x v="0"/>
    <x v="0"/>
    <x v="0"/>
  </r>
  <r>
    <x v="1372"/>
    <x v="644"/>
    <x v="629"/>
    <x v="623"/>
    <x v="0"/>
    <x v="1"/>
    <x v="2"/>
    <x v="628"/>
    <x v="464"/>
    <x v="1"/>
    <x v="31"/>
    <x v="0"/>
    <x v="0"/>
    <x v="3"/>
    <x v="1"/>
    <x v="1"/>
    <x v="1"/>
    <x v="1"/>
    <x v="2"/>
    <x v="3"/>
    <x v="2"/>
    <x v="0"/>
    <x v="2"/>
    <x v="3"/>
    <x v="4"/>
    <x v="639"/>
    <x v="5"/>
    <x v="0"/>
    <x v="0"/>
    <x v="1"/>
    <x v="0"/>
    <x v="794"/>
    <x v="0"/>
    <x v="0"/>
  </r>
  <r>
    <x v="1373"/>
    <x v="645"/>
    <x v="630"/>
    <x v="624"/>
    <x v="1093"/>
    <x v="1"/>
    <x v="2"/>
    <x v="318"/>
    <x v="158"/>
    <x v="1"/>
    <x v="15"/>
    <x v="0"/>
    <x v="0"/>
    <x v="1"/>
    <x v="1"/>
    <x v="1"/>
    <x v="1"/>
    <x v="1"/>
    <x v="3"/>
    <x v="1"/>
    <x v="1"/>
    <x v="315"/>
    <x v="2"/>
    <x v="2"/>
    <x v="3"/>
    <x v="640"/>
    <x v="20"/>
    <x v="1"/>
    <x v="17"/>
    <x v="1"/>
    <x v="0"/>
    <x v="795"/>
    <x v="0"/>
    <x v="0"/>
  </r>
  <r>
    <x v="1374"/>
    <x v="646"/>
    <x v="631"/>
    <x v="625"/>
    <x v="1094"/>
    <x v="1"/>
    <x v="2"/>
    <x v="629"/>
    <x v="465"/>
    <x v="1"/>
    <x v="27"/>
    <x v="0"/>
    <x v="0"/>
    <x v="1"/>
    <x v="1"/>
    <x v="1"/>
    <x v="2"/>
    <x v="1"/>
    <x v="2"/>
    <x v="1"/>
    <x v="1"/>
    <x v="315"/>
    <x v="1"/>
    <x v="5"/>
    <x v="2"/>
    <x v="641"/>
    <x v="5"/>
    <x v="1"/>
    <x v="1"/>
    <x v="1"/>
    <x v="0"/>
    <x v="796"/>
    <x v="0"/>
    <x v="198"/>
  </r>
  <r>
    <x v="1375"/>
    <x v="645"/>
    <x v="630"/>
    <x v="624"/>
    <x v="1095"/>
    <x v="1"/>
    <x v="2"/>
    <x v="318"/>
    <x v="10"/>
    <x v="2"/>
    <x v="0"/>
    <x v="6"/>
    <x v="0"/>
    <x v="3"/>
    <x v="3"/>
    <x v="3"/>
    <x v="2"/>
    <x v="1"/>
    <x v="3"/>
    <x v="4"/>
    <x v="1"/>
    <x v="316"/>
    <x v="1"/>
    <x v="3"/>
    <x v="4"/>
    <x v="640"/>
    <x v="2"/>
    <x v="1"/>
    <x v="1"/>
    <x v="2"/>
    <x v="1"/>
    <x v="797"/>
    <x v="392"/>
    <x v="0"/>
  </r>
  <r>
    <x v="1376"/>
    <x v="646"/>
    <x v="631"/>
    <x v="625"/>
    <x v="1094"/>
    <x v="1"/>
    <x v="2"/>
    <x v="629"/>
    <x v="465"/>
    <x v="1"/>
    <x v="27"/>
    <x v="0"/>
    <x v="0"/>
    <x v="3"/>
    <x v="2"/>
    <x v="3"/>
    <x v="2"/>
    <x v="1"/>
    <x v="2"/>
    <x v="1"/>
    <x v="1"/>
    <x v="316"/>
    <x v="1"/>
    <x v="3"/>
    <x v="4"/>
    <x v="641"/>
    <x v="5"/>
    <x v="3"/>
    <x v="0"/>
    <x v="1"/>
    <x v="0"/>
    <x v="798"/>
    <x v="393"/>
    <x v="0"/>
  </r>
  <r>
    <x v="1377"/>
    <x v="647"/>
    <x v="632"/>
    <x v="626"/>
    <x v="1096"/>
    <x v="1"/>
    <x v="1"/>
    <x v="630"/>
    <x v="10"/>
    <x v="1"/>
    <x v="3"/>
    <x v="0"/>
    <x v="0"/>
    <x v="1"/>
    <x v="3"/>
    <x v="2"/>
    <x v="2"/>
    <x v="1"/>
    <x v="1"/>
    <x v="1"/>
    <x v="1"/>
    <x v="316"/>
    <x v="1"/>
    <x v="1"/>
    <x v="2"/>
    <x v="642"/>
    <x v="2"/>
    <x v="3"/>
    <x v="0"/>
    <x v="1"/>
    <x v="0"/>
    <x v="799"/>
    <x v="394"/>
    <x v="0"/>
  </r>
  <r>
    <x v="1378"/>
    <x v="636"/>
    <x v="621"/>
    <x v="615"/>
    <x v="0"/>
    <x v="3"/>
    <x v="2"/>
    <x v="620"/>
    <x v="454"/>
    <x v="1"/>
    <x v="262"/>
    <x v="0"/>
    <x v="0"/>
    <x v="3"/>
    <x v="4"/>
    <x v="3"/>
    <x v="2"/>
    <x v="1"/>
    <x v="2"/>
    <x v="1"/>
    <x v="2"/>
    <x v="0"/>
    <x v="2"/>
    <x v="3"/>
    <x v="4"/>
    <x v="630"/>
    <x v="14"/>
    <x v="0"/>
    <x v="0"/>
    <x v="1"/>
    <x v="0"/>
    <x v="0"/>
    <x v="0"/>
    <x v="368"/>
  </r>
  <r>
    <x v="1379"/>
    <x v="645"/>
    <x v="630"/>
    <x v="624"/>
    <x v="1097"/>
    <x v="1"/>
    <x v="2"/>
    <x v="318"/>
    <x v="10"/>
    <x v="1"/>
    <x v="15"/>
    <x v="0"/>
    <x v="0"/>
    <x v="3"/>
    <x v="2"/>
    <x v="3"/>
    <x v="1"/>
    <x v="1"/>
    <x v="2"/>
    <x v="1"/>
    <x v="1"/>
    <x v="308"/>
    <x v="2"/>
    <x v="3"/>
    <x v="4"/>
    <x v="640"/>
    <x v="5"/>
    <x v="3"/>
    <x v="0"/>
    <x v="1"/>
    <x v="0"/>
    <x v="800"/>
    <x v="395"/>
    <x v="0"/>
  </r>
  <r>
    <x v="1380"/>
    <x v="648"/>
    <x v="633"/>
    <x v="627"/>
    <x v="1098"/>
    <x v="1"/>
    <x v="2"/>
    <x v="631"/>
    <x v="466"/>
    <x v="1"/>
    <x v="15"/>
    <x v="0"/>
    <x v="0"/>
    <x v="1"/>
    <x v="1"/>
    <x v="1"/>
    <x v="2"/>
    <x v="1"/>
    <x v="2"/>
    <x v="4"/>
    <x v="1"/>
    <x v="308"/>
    <x v="1"/>
    <x v="5"/>
    <x v="2"/>
    <x v="643"/>
    <x v="5"/>
    <x v="1"/>
    <x v="7"/>
    <x v="2"/>
    <x v="1"/>
    <x v="801"/>
    <x v="0"/>
    <x v="0"/>
  </r>
  <r>
    <x v="1381"/>
    <x v="644"/>
    <x v="629"/>
    <x v="628"/>
    <x v="0"/>
    <x v="1"/>
    <x v="6"/>
    <x v="628"/>
    <x v="464"/>
    <x v="1"/>
    <x v="263"/>
    <x v="0"/>
    <x v="0"/>
    <x v="1"/>
    <x v="1"/>
    <x v="1"/>
    <x v="1"/>
    <x v="1"/>
    <x v="3"/>
    <x v="5"/>
    <x v="1"/>
    <x v="308"/>
    <x v="2"/>
    <x v="5"/>
    <x v="2"/>
    <x v="639"/>
    <x v="20"/>
    <x v="1"/>
    <x v="17"/>
    <x v="1"/>
    <x v="0"/>
    <x v="802"/>
    <x v="0"/>
    <x v="0"/>
  </r>
  <r>
    <x v="1382"/>
    <x v="648"/>
    <x v="633"/>
    <x v="627"/>
    <x v="1099"/>
    <x v="1"/>
    <x v="2"/>
    <x v="631"/>
    <x v="466"/>
    <x v="1"/>
    <x v="15"/>
    <x v="0"/>
    <x v="0"/>
    <x v="3"/>
    <x v="1"/>
    <x v="1"/>
    <x v="1"/>
    <x v="1"/>
    <x v="2"/>
    <x v="1"/>
    <x v="2"/>
    <x v="0"/>
    <x v="1"/>
    <x v="3"/>
    <x v="4"/>
    <x v="643"/>
    <x v="12"/>
    <x v="0"/>
    <x v="0"/>
    <x v="1"/>
    <x v="0"/>
    <x v="0"/>
    <x v="0"/>
    <x v="0"/>
  </r>
  <r>
    <x v="1383"/>
    <x v="649"/>
    <x v="634"/>
    <x v="629"/>
    <x v="1100"/>
    <x v="1"/>
    <x v="2"/>
    <x v="632"/>
    <x v="467"/>
    <x v="1"/>
    <x v="3"/>
    <x v="0"/>
    <x v="0"/>
    <x v="2"/>
    <x v="1"/>
    <x v="2"/>
    <x v="2"/>
    <x v="1"/>
    <x v="1"/>
    <x v="1"/>
    <x v="2"/>
    <x v="0"/>
    <x v="1"/>
    <x v="6"/>
    <x v="3"/>
    <x v="644"/>
    <x v="14"/>
    <x v="0"/>
    <x v="0"/>
    <x v="1"/>
    <x v="0"/>
    <x v="0"/>
    <x v="0"/>
    <x v="369"/>
  </r>
  <r>
    <x v="1384"/>
    <x v="650"/>
    <x v="635"/>
    <x v="630"/>
    <x v="1101"/>
    <x v="1"/>
    <x v="2"/>
    <x v="633"/>
    <x v="468"/>
    <x v="2"/>
    <x v="0"/>
    <x v="6"/>
    <x v="0"/>
    <x v="1"/>
    <x v="3"/>
    <x v="3"/>
    <x v="2"/>
    <x v="1"/>
    <x v="2"/>
    <x v="1"/>
    <x v="1"/>
    <x v="317"/>
    <x v="1"/>
    <x v="1"/>
    <x v="2"/>
    <x v="645"/>
    <x v="12"/>
    <x v="1"/>
    <x v="13"/>
    <x v="1"/>
    <x v="0"/>
    <x v="803"/>
    <x v="396"/>
    <x v="370"/>
  </r>
  <r>
    <x v="1385"/>
    <x v="641"/>
    <x v="626"/>
    <x v="620"/>
    <x v="1102"/>
    <x v="1"/>
    <x v="2"/>
    <x v="624"/>
    <x v="459"/>
    <x v="1"/>
    <x v="3"/>
    <x v="0"/>
    <x v="0"/>
    <x v="1"/>
    <x v="1"/>
    <x v="1"/>
    <x v="2"/>
    <x v="1"/>
    <x v="2"/>
    <x v="1"/>
    <x v="2"/>
    <x v="0"/>
    <x v="1"/>
    <x v="5"/>
    <x v="2"/>
    <x v="635"/>
    <x v="12"/>
    <x v="0"/>
    <x v="0"/>
    <x v="1"/>
    <x v="0"/>
    <x v="0"/>
    <x v="0"/>
    <x v="0"/>
  </r>
  <r>
    <x v="1386"/>
    <x v="651"/>
    <x v="636"/>
    <x v="631"/>
    <x v="1103"/>
    <x v="1"/>
    <x v="3"/>
    <x v="634"/>
    <x v="469"/>
    <x v="2"/>
    <x v="0"/>
    <x v="6"/>
    <x v="0"/>
    <x v="1"/>
    <x v="2"/>
    <x v="3"/>
    <x v="2"/>
    <x v="1"/>
    <x v="1"/>
    <x v="1"/>
    <x v="1"/>
    <x v="317"/>
    <x v="1"/>
    <x v="6"/>
    <x v="3"/>
    <x v="646"/>
    <x v="14"/>
    <x v="1"/>
    <x v="13"/>
    <x v="2"/>
    <x v="1"/>
    <x v="804"/>
    <x v="0"/>
    <x v="371"/>
  </r>
  <r>
    <x v="1387"/>
    <x v="603"/>
    <x v="590"/>
    <x v="583"/>
    <x v="1104"/>
    <x v="1"/>
    <x v="2"/>
    <x v="594"/>
    <x v="462"/>
    <x v="6"/>
    <x v="0"/>
    <x v="0"/>
    <x v="4"/>
    <x v="1"/>
    <x v="1"/>
    <x v="2"/>
    <x v="2"/>
    <x v="1"/>
    <x v="2"/>
    <x v="1"/>
    <x v="1"/>
    <x v="318"/>
    <x v="1"/>
    <x v="6"/>
    <x v="3"/>
    <x v="599"/>
    <x v="14"/>
    <x v="3"/>
    <x v="0"/>
    <x v="1"/>
    <x v="0"/>
    <x v="805"/>
    <x v="397"/>
    <x v="185"/>
  </r>
  <r>
    <x v="1388"/>
    <x v="650"/>
    <x v="635"/>
    <x v="630"/>
    <x v="0"/>
    <x v="1"/>
    <x v="2"/>
    <x v="633"/>
    <x v="468"/>
    <x v="1"/>
    <x v="264"/>
    <x v="0"/>
    <x v="0"/>
    <x v="3"/>
    <x v="4"/>
    <x v="1"/>
    <x v="2"/>
    <x v="1"/>
    <x v="2"/>
    <x v="1"/>
    <x v="2"/>
    <x v="0"/>
    <x v="2"/>
    <x v="3"/>
    <x v="4"/>
    <x v="645"/>
    <x v="14"/>
    <x v="0"/>
    <x v="0"/>
    <x v="1"/>
    <x v="0"/>
    <x v="0"/>
    <x v="0"/>
    <x v="0"/>
  </r>
  <r>
    <x v="1389"/>
    <x v="651"/>
    <x v="636"/>
    <x v="631"/>
    <x v="0"/>
    <x v="1"/>
    <x v="2"/>
    <x v="634"/>
    <x v="469"/>
    <x v="2"/>
    <x v="0"/>
    <x v="6"/>
    <x v="0"/>
    <x v="3"/>
    <x v="2"/>
    <x v="3"/>
    <x v="2"/>
    <x v="1"/>
    <x v="1"/>
    <x v="1"/>
    <x v="1"/>
    <x v="319"/>
    <x v="2"/>
    <x v="3"/>
    <x v="4"/>
    <x v="646"/>
    <x v="14"/>
    <x v="1"/>
    <x v="1"/>
    <x v="2"/>
    <x v="1"/>
    <x v="806"/>
    <x v="0"/>
    <x v="372"/>
  </r>
  <r>
    <x v="1390"/>
    <x v="652"/>
    <x v="637"/>
    <x v="632"/>
    <x v="1105"/>
    <x v="1"/>
    <x v="2"/>
    <x v="635"/>
    <x v="10"/>
    <x v="1"/>
    <x v="22"/>
    <x v="0"/>
    <x v="0"/>
    <x v="1"/>
    <x v="2"/>
    <x v="3"/>
    <x v="2"/>
    <x v="1"/>
    <x v="1"/>
    <x v="5"/>
    <x v="1"/>
    <x v="318"/>
    <x v="1"/>
    <x v="6"/>
    <x v="2"/>
    <x v="647"/>
    <x v="5"/>
    <x v="1"/>
    <x v="5"/>
    <x v="2"/>
    <x v="1"/>
    <x v="807"/>
    <x v="398"/>
    <x v="373"/>
  </r>
  <r>
    <x v="1391"/>
    <x v="651"/>
    <x v="636"/>
    <x v="631"/>
    <x v="0"/>
    <x v="1"/>
    <x v="2"/>
    <x v="634"/>
    <x v="469"/>
    <x v="2"/>
    <x v="0"/>
    <x v="6"/>
    <x v="0"/>
    <x v="3"/>
    <x v="2"/>
    <x v="3"/>
    <x v="2"/>
    <x v="1"/>
    <x v="2"/>
    <x v="1"/>
    <x v="1"/>
    <x v="318"/>
    <x v="2"/>
    <x v="3"/>
    <x v="4"/>
    <x v="646"/>
    <x v="5"/>
    <x v="1"/>
    <x v="4"/>
    <x v="1"/>
    <x v="0"/>
    <x v="808"/>
    <x v="399"/>
    <x v="0"/>
  </r>
  <r>
    <x v="1392"/>
    <x v="644"/>
    <x v="629"/>
    <x v="628"/>
    <x v="0"/>
    <x v="1"/>
    <x v="2"/>
    <x v="628"/>
    <x v="464"/>
    <x v="1"/>
    <x v="263"/>
    <x v="0"/>
    <x v="0"/>
    <x v="3"/>
    <x v="1"/>
    <x v="1"/>
    <x v="1"/>
    <x v="1"/>
    <x v="3"/>
    <x v="5"/>
    <x v="2"/>
    <x v="0"/>
    <x v="2"/>
    <x v="5"/>
    <x v="3"/>
    <x v="639"/>
    <x v="20"/>
    <x v="0"/>
    <x v="0"/>
    <x v="1"/>
    <x v="0"/>
    <x v="0"/>
    <x v="0"/>
    <x v="0"/>
  </r>
  <r>
    <x v="1393"/>
    <x v="653"/>
    <x v="566"/>
    <x v="559"/>
    <x v="1106"/>
    <x v="1"/>
    <x v="1"/>
    <x v="573"/>
    <x v="470"/>
    <x v="1"/>
    <x v="265"/>
    <x v="0"/>
    <x v="0"/>
    <x v="1"/>
    <x v="1"/>
    <x v="1"/>
    <x v="2"/>
    <x v="1"/>
    <x v="1"/>
    <x v="1"/>
    <x v="2"/>
    <x v="0"/>
    <x v="1"/>
    <x v="4"/>
    <x v="2"/>
    <x v="573"/>
    <x v="12"/>
    <x v="0"/>
    <x v="0"/>
    <x v="1"/>
    <x v="0"/>
    <x v="0"/>
    <x v="0"/>
    <x v="0"/>
  </r>
  <r>
    <x v="1394"/>
    <x v="654"/>
    <x v="638"/>
    <x v="633"/>
    <x v="1107"/>
    <x v="1"/>
    <x v="2"/>
    <x v="407"/>
    <x v="471"/>
    <x v="1"/>
    <x v="266"/>
    <x v="0"/>
    <x v="0"/>
    <x v="1"/>
    <x v="1"/>
    <x v="1"/>
    <x v="1"/>
    <x v="1"/>
    <x v="2"/>
    <x v="1"/>
    <x v="2"/>
    <x v="0"/>
    <x v="1"/>
    <x v="1"/>
    <x v="13"/>
    <x v="648"/>
    <x v="3"/>
    <x v="0"/>
    <x v="0"/>
    <x v="1"/>
    <x v="0"/>
    <x v="0"/>
    <x v="0"/>
    <x v="0"/>
  </r>
  <r>
    <x v="1395"/>
    <x v="655"/>
    <x v="639"/>
    <x v="634"/>
    <x v="1108"/>
    <x v="1"/>
    <x v="2"/>
    <x v="636"/>
    <x v="472"/>
    <x v="1"/>
    <x v="9"/>
    <x v="0"/>
    <x v="0"/>
    <x v="1"/>
    <x v="1"/>
    <x v="1"/>
    <x v="2"/>
    <x v="1"/>
    <x v="2"/>
    <x v="1"/>
    <x v="2"/>
    <x v="0"/>
    <x v="1"/>
    <x v="1"/>
    <x v="2"/>
    <x v="649"/>
    <x v="12"/>
    <x v="0"/>
    <x v="0"/>
    <x v="1"/>
    <x v="0"/>
    <x v="0"/>
    <x v="0"/>
    <x v="0"/>
  </r>
  <r>
    <x v="1396"/>
    <x v="652"/>
    <x v="637"/>
    <x v="632"/>
    <x v="0"/>
    <x v="1"/>
    <x v="2"/>
    <x v="635"/>
    <x v="473"/>
    <x v="1"/>
    <x v="15"/>
    <x v="0"/>
    <x v="0"/>
    <x v="3"/>
    <x v="3"/>
    <x v="3"/>
    <x v="1"/>
    <x v="1"/>
    <x v="2"/>
    <x v="1"/>
    <x v="1"/>
    <x v="318"/>
    <x v="2"/>
    <x v="3"/>
    <x v="4"/>
    <x v="647"/>
    <x v="2"/>
    <x v="1"/>
    <x v="4"/>
    <x v="2"/>
    <x v="1"/>
    <x v="809"/>
    <x v="0"/>
    <x v="374"/>
  </r>
  <r>
    <x v="1397"/>
    <x v="655"/>
    <x v="639"/>
    <x v="634"/>
    <x v="1109"/>
    <x v="1"/>
    <x v="2"/>
    <x v="636"/>
    <x v="472"/>
    <x v="1"/>
    <x v="9"/>
    <x v="0"/>
    <x v="0"/>
    <x v="1"/>
    <x v="1"/>
    <x v="1"/>
    <x v="2"/>
    <x v="1"/>
    <x v="2"/>
    <x v="1"/>
    <x v="2"/>
    <x v="0"/>
    <x v="1"/>
    <x v="1"/>
    <x v="2"/>
    <x v="649"/>
    <x v="3"/>
    <x v="0"/>
    <x v="0"/>
    <x v="1"/>
    <x v="0"/>
    <x v="0"/>
    <x v="0"/>
    <x v="0"/>
  </r>
  <r>
    <x v="1398"/>
    <x v="652"/>
    <x v="637"/>
    <x v="632"/>
    <x v="1110"/>
    <x v="1"/>
    <x v="2"/>
    <x v="635"/>
    <x v="10"/>
    <x v="1"/>
    <x v="15"/>
    <x v="0"/>
    <x v="0"/>
    <x v="3"/>
    <x v="2"/>
    <x v="3"/>
    <x v="2"/>
    <x v="1"/>
    <x v="2"/>
    <x v="1"/>
    <x v="1"/>
    <x v="318"/>
    <x v="1"/>
    <x v="3"/>
    <x v="4"/>
    <x v="647"/>
    <x v="1"/>
    <x v="3"/>
    <x v="0"/>
    <x v="1"/>
    <x v="0"/>
    <x v="810"/>
    <x v="400"/>
    <x v="0"/>
  </r>
  <r>
    <x v="1399"/>
    <x v="651"/>
    <x v="636"/>
    <x v="631"/>
    <x v="0"/>
    <x v="1"/>
    <x v="2"/>
    <x v="634"/>
    <x v="469"/>
    <x v="2"/>
    <x v="0"/>
    <x v="6"/>
    <x v="0"/>
    <x v="3"/>
    <x v="4"/>
    <x v="1"/>
    <x v="2"/>
    <x v="1"/>
    <x v="2"/>
    <x v="1"/>
    <x v="2"/>
    <x v="0"/>
    <x v="2"/>
    <x v="3"/>
    <x v="4"/>
    <x v="646"/>
    <x v="1"/>
    <x v="0"/>
    <x v="0"/>
    <x v="1"/>
    <x v="0"/>
    <x v="0"/>
    <x v="0"/>
    <x v="0"/>
  </r>
  <r>
    <x v="1400"/>
    <x v="656"/>
    <x v="640"/>
    <x v="635"/>
    <x v="1111"/>
    <x v="1"/>
    <x v="3"/>
    <x v="210"/>
    <x v="474"/>
    <x v="1"/>
    <x v="15"/>
    <x v="0"/>
    <x v="0"/>
    <x v="1"/>
    <x v="2"/>
    <x v="3"/>
    <x v="2"/>
    <x v="1"/>
    <x v="2"/>
    <x v="1"/>
    <x v="1"/>
    <x v="320"/>
    <x v="1"/>
    <x v="1"/>
    <x v="2"/>
    <x v="650"/>
    <x v="3"/>
    <x v="3"/>
    <x v="0"/>
    <x v="1"/>
    <x v="0"/>
    <x v="811"/>
    <x v="401"/>
    <x v="0"/>
  </r>
  <r>
    <x v="1401"/>
    <x v="566"/>
    <x v="557"/>
    <x v="550"/>
    <x v="1112"/>
    <x v="1"/>
    <x v="2"/>
    <x v="565"/>
    <x v="475"/>
    <x v="1"/>
    <x v="267"/>
    <x v="0"/>
    <x v="0"/>
    <x v="1"/>
    <x v="1"/>
    <x v="1"/>
    <x v="2"/>
    <x v="1"/>
    <x v="3"/>
    <x v="1"/>
    <x v="2"/>
    <x v="0"/>
    <x v="2"/>
    <x v="1"/>
    <x v="2"/>
    <x v="563"/>
    <x v="3"/>
    <x v="0"/>
    <x v="0"/>
    <x v="1"/>
    <x v="0"/>
    <x v="0"/>
    <x v="0"/>
    <x v="0"/>
  </r>
  <r>
    <x v="1402"/>
    <x v="657"/>
    <x v="641"/>
    <x v="636"/>
    <x v="1113"/>
    <x v="1"/>
    <x v="3"/>
    <x v="637"/>
    <x v="449"/>
    <x v="1"/>
    <x v="268"/>
    <x v="0"/>
    <x v="0"/>
    <x v="1"/>
    <x v="2"/>
    <x v="3"/>
    <x v="2"/>
    <x v="2"/>
    <x v="1"/>
    <x v="1"/>
    <x v="1"/>
    <x v="321"/>
    <x v="1"/>
    <x v="1"/>
    <x v="2"/>
    <x v="651"/>
    <x v="14"/>
    <x v="3"/>
    <x v="0"/>
    <x v="1"/>
    <x v="0"/>
    <x v="812"/>
    <x v="402"/>
    <x v="0"/>
  </r>
  <r>
    <x v="1403"/>
    <x v="546"/>
    <x v="538"/>
    <x v="531"/>
    <x v="1114"/>
    <x v="1"/>
    <x v="2"/>
    <x v="547"/>
    <x v="476"/>
    <x v="1"/>
    <x v="269"/>
    <x v="0"/>
    <x v="0"/>
    <x v="1"/>
    <x v="1"/>
    <x v="1"/>
    <x v="2"/>
    <x v="1"/>
    <x v="3"/>
    <x v="1"/>
    <x v="1"/>
    <x v="321"/>
    <x v="1"/>
    <x v="1"/>
    <x v="2"/>
    <x v="542"/>
    <x v="14"/>
    <x v="1"/>
    <x v="4"/>
    <x v="1"/>
    <x v="0"/>
    <x v="813"/>
    <x v="403"/>
    <x v="0"/>
  </r>
  <r>
    <x v="1404"/>
    <x v="315"/>
    <x v="316"/>
    <x v="311"/>
    <x v="1115"/>
    <x v="1"/>
    <x v="2"/>
    <x v="329"/>
    <x v="10"/>
    <x v="1"/>
    <x v="24"/>
    <x v="0"/>
    <x v="0"/>
    <x v="1"/>
    <x v="1"/>
    <x v="1"/>
    <x v="2"/>
    <x v="1"/>
    <x v="2"/>
    <x v="1"/>
    <x v="1"/>
    <x v="321"/>
    <x v="1"/>
    <x v="1"/>
    <x v="2"/>
    <x v="317"/>
    <x v="14"/>
    <x v="1"/>
    <x v="4"/>
    <x v="1"/>
    <x v="0"/>
    <x v="814"/>
    <x v="0"/>
    <x v="0"/>
  </r>
  <r>
    <x v="1405"/>
    <x v="315"/>
    <x v="316"/>
    <x v="311"/>
    <x v="0"/>
    <x v="1"/>
    <x v="2"/>
    <x v="329"/>
    <x v="10"/>
    <x v="1"/>
    <x v="24"/>
    <x v="0"/>
    <x v="0"/>
    <x v="3"/>
    <x v="1"/>
    <x v="1"/>
    <x v="2"/>
    <x v="1"/>
    <x v="2"/>
    <x v="1"/>
    <x v="1"/>
    <x v="322"/>
    <x v="2"/>
    <x v="3"/>
    <x v="4"/>
    <x v="317"/>
    <x v="1"/>
    <x v="1"/>
    <x v="4"/>
    <x v="1"/>
    <x v="0"/>
    <x v="815"/>
    <x v="404"/>
    <x v="0"/>
  </r>
  <r>
    <x v="1406"/>
    <x v="658"/>
    <x v="642"/>
    <x v="637"/>
    <x v="1116"/>
    <x v="3"/>
    <x v="1"/>
    <x v="638"/>
    <x v="477"/>
    <x v="1"/>
    <x v="193"/>
    <x v="0"/>
    <x v="0"/>
    <x v="1"/>
    <x v="1"/>
    <x v="1"/>
    <x v="2"/>
    <x v="1"/>
    <x v="2"/>
    <x v="1"/>
    <x v="2"/>
    <x v="0"/>
    <x v="2"/>
    <x v="2"/>
    <x v="2"/>
    <x v="652"/>
    <x v="3"/>
    <x v="0"/>
    <x v="0"/>
    <x v="1"/>
    <x v="0"/>
    <x v="0"/>
    <x v="0"/>
    <x v="0"/>
  </r>
  <r>
    <x v="1407"/>
    <x v="659"/>
    <x v="643"/>
    <x v="638"/>
    <x v="1117"/>
    <x v="1"/>
    <x v="2"/>
    <x v="639"/>
    <x v="478"/>
    <x v="1"/>
    <x v="217"/>
    <x v="0"/>
    <x v="0"/>
    <x v="1"/>
    <x v="2"/>
    <x v="3"/>
    <x v="2"/>
    <x v="2"/>
    <x v="1"/>
    <x v="1"/>
    <x v="1"/>
    <x v="322"/>
    <x v="1"/>
    <x v="1"/>
    <x v="2"/>
    <x v="653"/>
    <x v="3"/>
    <x v="3"/>
    <x v="0"/>
    <x v="1"/>
    <x v="0"/>
    <x v="816"/>
    <x v="405"/>
    <x v="0"/>
  </r>
  <r>
    <x v="1408"/>
    <x v="546"/>
    <x v="538"/>
    <x v="531"/>
    <x v="0"/>
    <x v="1"/>
    <x v="2"/>
    <x v="547"/>
    <x v="476"/>
    <x v="1"/>
    <x v="8"/>
    <x v="0"/>
    <x v="0"/>
    <x v="3"/>
    <x v="1"/>
    <x v="1"/>
    <x v="2"/>
    <x v="1"/>
    <x v="2"/>
    <x v="1"/>
    <x v="2"/>
    <x v="0"/>
    <x v="2"/>
    <x v="3"/>
    <x v="4"/>
    <x v="542"/>
    <x v="1"/>
    <x v="0"/>
    <x v="0"/>
    <x v="1"/>
    <x v="0"/>
    <x v="0"/>
    <x v="0"/>
    <x v="0"/>
  </r>
  <r>
    <x v="1409"/>
    <x v="660"/>
    <x v="644"/>
    <x v="639"/>
    <x v="1118"/>
    <x v="1"/>
    <x v="1"/>
    <x v="640"/>
    <x v="479"/>
    <x v="1"/>
    <x v="9"/>
    <x v="0"/>
    <x v="0"/>
    <x v="1"/>
    <x v="2"/>
    <x v="3"/>
    <x v="2"/>
    <x v="1"/>
    <x v="2"/>
    <x v="1"/>
    <x v="1"/>
    <x v="323"/>
    <x v="1"/>
    <x v="1"/>
    <x v="2"/>
    <x v="654"/>
    <x v="3"/>
    <x v="3"/>
    <x v="0"/>
    <x v="1"/>
    <x v="0"/>
    <x v="817"/>
    <x v="406"/>
    <x v="0"/>
  </r>
  <r>
    <x v="1410"/>
    <x v="661"/>
    <x v="645"/>
    <x v="640"/>
    <x v="1119"/>
    <x v="1"/>
    <x v="3"/>
    <x v="641"/>
    <x v="480"/>
    <x v="1"/>
    <x v="3"/>
    <x v="0"/>
    <x v="0"/>
    <x v="1"/>
    <x v="3"/>
    <x v="2"/>
    <x v="2"/>
    <x v="1"/>
    <x v="2"/>
    <x v="1"/>
    <x v="1"/>
    <x v="323"/>
    <x v="1"/>
    <x v="1"/>
    <x v="5"/>
    <x v="655"/>
    <x v="14"/>
    <x v="3"/>
    <x v="0"/>
    <x v="1"/>
    <x v="0"/>
    <x v="818"/>
    <x v="407"/>
    <x v="375"/>
  </r>
  <r>
    <x v="1411"/>
    <x v="662"/>
    <x v="646"/>
    <x v="641"/>
    <x v="1120"/>
    <x v="1"/>
    <x v="2"/>
    <x v="642"/>
    <x v="158"/>
    <x v="1"/>
    <x v="270"/>
    <x v="0"/>
    <x v="0"/>
    <x v="1"/>
    <x v="1"/>
    <x v="1"/>
    <x v="2"/>
    <x v="2"/>
    <x v="1"/>
    <x v="1"/>
    <x v="2"/>
    <x v="0"/>
    <x v="1"/>
    <x v="1"/>
    <x v="2"/>
    <x v="656"/>
    <x v="1"/>
    <x v="0"/>
    <x v="0"/>
    <x v="1"/>
    <x v="0"/>
    <x v="0"/>
    <x v="0"/>
    <x v="0"/>
  </r>
  <r>
    <x v="1412"/>
    <x v="315"/>
    <x v="316"/>
    <x v="311"/>
    <x v="0"/>
    <x v="1"/>
    <x v="2"/>
    <x v="643"/>
    <x v="10"/>
    <x v="1"/>
    <x v="24"/>
    <x v="0"/>
    <x v="0"/>
    <x v="3"/>
    <x v="1"/>
    <x v="1"/>
    <x v="2"/>
    <x v="1"/>
    <x v="2"/>
    <x v="1"/>
    <x v="2"/>
    <x v="0"/>
    <x v="2"/>
    <x v="3"/>
    <x v="4"/>
    <x v="317"/>
    <x v="1"/>
    <x v="0"/>
    <x v="0"/>
    <x v="1"/>
    <x v="0"/>
    <x v="0"/>
    <x v="0"/>
    <x v="0"/>
  </r>
  <r>
    <x v="1413"/>
    <x v="663"/>
    <x v="647"/>
    <x v="642"/>
    <x v="1121"/>
    <x v="3"/>
    <x v="2"/>
    <x v="644"/>
    <x v="481"/>
    <x v="1"/>
    <x v="9"/>
    <x v="0"/>
    <x v="0"/>
    <x v="1"/>
    <x v="1"/>
    <x v="1"/>
    <x v="2"/>
    <x v="2"/>
    <x v="1"/>
    <x v="3"/>
    <x v="1"/>
    <x v="323"/>
    <x v="1"/>
    <x v="6"/>
    <x v="3"/>
    <x v="657"/>
    <x v="14"/>
    <x v="1"/>
    <x v="5"/>
    <x v="2"/>
    <x v="1"/>
    <x v="819"/>
    <x v="0"/>
    <x v="0"/>
  </r>
  <r>
    <x v="1414"/>
    <x v="663"/>
    <x v="647"/>
    <x v="642"/>
    <x v="1122"/>
    <x v="3"/>
    <x v="2"/>
    <x v="645"/>
    <x v="481"/>
    <x v="1"/>
    <x v="9"/>
    <x v="0"/>
    <x v="0"/>
    <x v="3"/>
    <x v="1"/>
    <x v="2"/>
    <x v="1"/>
    <x v="2"/>
    <x v="3"/>
    <x v="1"/>
    <x v="2"/>
    <x v="0"/>
    <x v="1"/>
    <x v="3"/>
    <x v="4"/>
    <x v="657"/>
    <x v="2"/>
    <x v="0"/>
    <x v="0"/>
    <x v="1"/>
    <x v="0"/>
    <x v="0"/>
    <x v="0"/>
    <x v="0"/>
  </r>
  <r>
    <x v="1415"/>
    <x v="435"/>
    <x v="432"/>
    <x v="427"/>
    <x v="1123"/>
    <x v="1"/>
    <x v="2"/>
    <x v="442"/>
    <x v="482"/>
    <x v="1"/>
    <x v="271"/>
    <x v="0"/>
    <x v="0"/>
    <x v="1"/>
    <x v="1"/>
    <x v="1"/>
    <x v="2"/>
    <x v="1"/>
    <x v="2"/>
    <x v="1"/>
    <x v="1"/>
    <x v="324"/>
    <x v="1"/>
    <x v="1"/>
    <x v="2"/>
    <x v="435"/>
    <x v="12"/>
    <x v="3"/>
    <x v="0"/>
    <x v="1"/>
    <x v="0"/>
    <x v="820"/>
    <x v="408"/>
    <x v="0"/>
  </r>
  <r>
    <x v="1416"/>
    <x v="652"/>
    <x v="637"/>
    <x v="632"/>
    <x v="1124"/>
    <x v="1"/>
    <x v="2"/>
    <x v="635"/>
    <x v="473"/>
    <x v="1"/>
    <x v="31"/>
    <x v="0"/>
    <x v="0"/>
    <x v="1"/>
    <x v="1"/>
    <x v="1"/>
    <x v="2"/>
    <x v="1"/>
    <x v="3"/>
    <x v="4"/>
    <x v="1"/>
    <x v="324"/>
    <x v="1"/>
    <x v="1"/>
    <x v="2"/>
    <x v="658"/>
    <x v="1"/>
    <x v="1"/>
    <x v="13"/>
    <x v="1"/>
    <x v="0"/>
    <x v="821"/>
    <x v="0"/>
    <x v="376"/>
  </r>
  <r>
    <x v="1417"/>
    <x v="664"/>
    <x v="648"/>
    <x v="643"/>
    <x v="1125"/>
    <x v="1"/>
    <x v="2"/>
    <x v="646"/>
    <x v="483"/>
    <x v="1"/>
    <x v="272"/>
    <x v="0"/>
    <x v="0"/>
    <x v="1"/>
    <x v="3"/>
    <x v="4"/>
    <x v="2"/>
    <x v="1"/>
    <x v="2"/>
    <x v="1"/>
    <x v="2"/>
    <x v="324"/>
    <x v="1"/>
    <x v="1"/>
    <x v="2"/>
    <x v="659"/>
    <x v="12"/>
    <x v="3"/>
    <x v="0"/>
    <x v="1"/>
    <x v="0"/>
    <x v="822"/>
    <x v="409"/>
    <x v="0"/>
  </r>
  <r>
    <x v="1418"/>
    <x v="665"/>
    <x v="649"/>
    <x v="644"/>
    <x v="1126"/>
    <x v="1"/>
    <x v="2"/>
    <x v="647"/>
    <x v="484"/>
    <x v="1"/>
    <x v="9"/>
    <x v="0"/>
    <x v="0"/>
    <x v="1"/>
    <x v="2"/>
    <x v="3"/>
    <x v="2"/>
    <x v="1"/>
    <x v="1"/>
    <x v="1"/>
    <x v="1"/>
    <x v="324"/>
    <x v="1"/>
    <x v="6"/>
    <x v="3"/>
    <x v="660"/>
    <x v="14"/>
    <x v="3"/>
    <x v="0"/>
    <x v="1"/>
    <x v="0"/>
    <x v="823"/>
    <x v="410"/>
    <x v="377"/>
  </r>
  <r>
    <x v="1419"/>
    <x v="666"/>
    <x v="637"/>
    <x v="632"/>
    <x v="0"/>
    <x v="1"/>
    <x v="2"/>
    <x v="635"/>
    <x v="473"/>
    <x v="1"/>
    <x v="31"/>
    <x v="0"/>
    <x v="0"/>
    <x v="3"/>
    <x v="1"/>
    <x v="1"/>
    <x v="2"/>
    <x v="1"/>
    <x v="2"/>
    <x v="1"/>
    <x v="2"/>
    <x v="0"/>
    <x v="2"/>
    <x v="3"/>
    <x v="4"/>
    <x v="658"/>
    <x v="14"/>
    <x v="0"/>
    <x v="0"/>
    <x v="1"/>
    <x v="0"/>
    <x v="0"/>
    <x v="0"/>
    <x v="0"/>
  </r>
  <r>
    <x v="1420"/>
    <x v="639"/>
    <x v="624"/>
    <x v="618"/>
    <x v="1127"/>
    <x v="1"/>
    <x v="3"/>
    <x v="622"/>
    <x v="456"/>
    <x v="1"/>
    <x v="273"/>
    <x v="0"/>
    <x v="0"/>
    <x v="1"/>
    <x v="1"/>
    <x v="2"/>
    <x v="2"/>
    <x v="1"/>
    <x v="2"/>
    <x v="1"/>
    <x v="1"/>
    <x v="325"/>
    <x v="1"/>
    <x v="6"/>
    <x v="3"/>
    <x v="633"/>
    <x v="14"/>
    <x v="1"/>
    <x v="3"/>
    <x v="2"/>
    <x v="1"/>
    <x v="824"/>
    <x v="0"/>
    <x v="0"/>
  </r>
  <r>
    <x v="1421"/>
    <x v="667"/>
    <x v="650"/>
    <x v="645"/>
    <x v="1128"/>
    <x v="1"/>
    <x v="3"/>
    <x v="648"/>
    <x v="485"/>
    <x v="2"/>
    <x v="0"/>
    <x v="5"/>
    <x v="0"/>
    <x v="1"/>
    <x v="2"/>
    <x v="3"/>
    <x v="2"/>
    <x v="1"/>
    <x v="2"/>
    <x v="1"/>
    <x v="1"/>
    <x v="325"/>
    <x v="1"/>
    <x v="6"/>
    <x v="2"/>
    <x v="661"/>
    <x v="12"/>
    <x v="1"/>
    <x v="3"/>
    <x v="1"/>
    <x v="0"/>
    <x v="825"/>
    <x v="0"/>
    <x v="0"/>
  </r>
  <r>
    <x v="1422"/>
    <x v="668"/>
    <x v="651"/>
    <x v="646"/>
    <x v="1128"/>
    <x v="1"/>
    <x v="2"/>
    <x v="649"/>
    <x v="486"/>
    <x v="1"/>
    <x v="2"/>
    <x v="0"/>
    <x v="0"/>
    <x v="1"/>
    <x v="1"/>
    <x v="1"/>
    <x v="1"/>
    <x v="1"/>
    <x v="2"/>
    <x v="1"/>
    <x v="1"/>
    <x v="326"/>
    <x v="1"/>
    <x v="6"/>
    <x v="2"/>
    <x v="662"/>
    <x v="12"/>
    <x v="1"/>
    <x v="7"/>
    <x v="2"/>
    <x v="1"/>
    <x v="826"/>
    <x v="0"/>
    <x v="0"/>
  </r>
  <r>
    <x v="1423"/>
    <x v="668"/>
    <x v="651"/>
    <x v="646"/>
    <x v="1129"/>
    <x v="1"/>
    <x v="2"/>
    <x v="649"/>
    <x v="486"/>
    <x v="1"/>
    <x v="2"/>
    <x v="0"/>
    <x v="0"/>
    <x v="3"/>
    <x v="1"/>
    <x v="1"/>
    <x v="2"/>
    <x v="1"/>
    <x v="2"/>
    <x v="1"/>
    <x v="2"/>
    <x v="0"/>
    <x v="1"/>
    <x v="3"/>
    <x v="4"/>
    <x v="662"/>
    <x v="12"/>
    <x v="0"/>
    <x v="0"/>
    <x v="1"/>
    <x v="0"/>
    <x v="0"/>
    <x v="0"/>
    <x v="0"/>
  </r>
  <r>
    <x v="1424"/>
    <x v="667"/>
    <x v="650"/>
    <x v="645"/>
    <x v="0"/>
    <x v="1"/>
    <x v="3"/>
    <x v="648"/>
    <x v="485"/>
    <x v="1"/>
    <x v="217"/>
    <x v="0"/>
    <x v="0"/>
    <x v="3"/>
    <x v="4"/>
    <x v="1"/>
    <x v="2"/>
    <x v="1"/>
    <x v="2"/>
    <x v="1"/>
    <x v="2"/>
    <x v="0"/>
    <x v="2"/>
    <x v="3"/>
    <x v="4"/>
    <x v="661"/>
    <x v="3"/>
    <x v="0"/>
    <x v="0"/>
    <x v="1"/>
    <x v="0"/>
    <x v="0"/>
    <x v="0"/>
    <x v="0"/>
  </r>
  <r>
    <x v="1425"/>
    <x v="639"/>
    <x v="624"/>
    <x v="618"/>
    <x v="1130"/>
    <x v="1"/>
    <x v="2"/>
    <x v="650"/>
    <x v="456"/>
    <x v="1"/>
    <x v="31"/>
    <x v="0"/>
    <x v="0"/>
    <x v="3"/>
    <x v="1"/>
    <x v="1"/>
    <x v="2"/>
    <x v="1"/>
    <x v="2"/>
    <x v="1"/>
    <x v="2"/>
    <x v="0"/>
    <x v="1"/>
    <x v="3"/>
    <x v="4"/>
    <x v="633"/>
    <x v="3"/>
    <x v="0"/>
    <x v="0"/>
    <x v="1"/>
    <x v="0"/>
    <x v="0"/>
    <x v="0"/>
    <x v="0"/>
  </r>
  <r>
    <x v="1426"/>
    <x v="669"/>
    <x v="652"/>
    <x v="647"/>
    <x v="1131"/>
    <x v="3"/>
    <x v="2"/>
    <x v="651"/>
    <x v="484"/>
    <x v="1"/>
    <x v="2"/>
    <x v="0"/>
    <x v="0"/>
    <x v="1"/>
    <x v="3"/>
    <x v="2"/>
    <x v="1"/>
    <x v="1"/>
    <x v="3"/>
    <x v="1"/>
    <x v="1"/>
    <x v="327"/>
    <x v="2"/>
    <x v="1"/>
    <x v="2"/>
    <x v="663"/>
    <x v="3"/>
    <x v="1"/>
    <x v="13"/>
    <x v="2"/>
    <x v="1"/>
    <x v="827"/>
    <x v="0"/>
    <x v="378"/>
  </r>
  <r>
    <x v="1427"/>
    <x v="670"/>
    <x v="653"/>
    <x v="648"/>
    <x v="1132"/>
    <x v="3"/>
    <x v="2"/>
    <x v="652"/>
    <x v="487"/>
    <x v="1"/>
    <x v="9"/>
    <x v="0"/>
    <x v="0"/>
    <x v="1"/>
    <x v="3"/>
    <x v="3"/>
    <x v="2"/>
    <x v="1"/>
    <x v="2"/>
    <x v="1"/>
    <x v="1"/>
    <x v="327"/>
    <x v="1"/>
    <x v="6"/>
    <x v="2"/>
    <x v="664"/>
    <x v="5"/>
    <x v="3"/>
    <x v="0"/>
    <x v="1"/>
    <x v="0"/>
    <x v="828"/>
    <x v="0"/>
    <x v="241"/>
  </r>
  <r>
    <x v="1428"/>
    <x v="671"/>
    <x v="15"/>
    <x v="15"/>
    <x v="1133"/>
    <x v="1"/>
    <x v="2"/>
    <x v="17"/>
    <x v="488"/>
    <x v="1"/>
    <x v="31"/>
    <x v="0"/>
    <x v="0"/>
    <x v="1"/>
    <x v="2"/>
    <x v="3"/>
    <x v="2"/>
    <x v="1"/>
    <x v="2"/>
    <x v="1"/>
    <x v="1"/>
    <x v="327"/>
    <x v="1"/>
    <x v="1"/>
    <x v="2"/>
    <x v="15"/>
    <x v="14"/>
    <x v="1"/>
    <x v="13"/>
    <x v="2"/>
    <x v="1"/>
    <x v="827"/>
    <x v="0"/>
    <x v="379"/>
  </r>
  <r>
    <x v="1429"/>
    <x v="669"/>
    <x v="652"/>
    <x v="647"/>
    <x v="0"/>
    <x v="3"/>
    <x v="2"/>
    <x v="651"/>
    <x v="484"/>
    <x v="1"/>
    <x v="2"/>
    <x v="0"/>
    <x v="0"/>
    <x v="3"/>
    <x v="3"/>
    <x v="3"/>
    <x v="2"/>
    <x v="1"/>
    <x v="3"/>
    <x v="1"/>
    <x v="1"/>
    <x v="328"/>
    <x v="2"/>
    <x v="3"/>
    <x v="4"/>
    <x v="663"/>
    <x v="14"/>
    <x v="1"/>
    <x v="5"/>
    <x v="1"/>
    <x v="0"/>
    <x v="829"/>
    <x v="0"/>
    <x v="380"/>
  </r>
  <r>
    <x v="1430"/>
    <x v="652"/>
    <x v="637"/>
    <x v="632"/>
    <x v="1134"/>
    <x v="1"/>
    <x v="2"/>
    <x v="635"/>
    <x v="10"/>
    <x v="1"/>
    <x v="31"/>
    <x v="0"/>
    <x v="0"/>
    <x v="1"/>
    <x v="2"/>
    <x v="3"/>
    <x v="2"/>
    <x v="1"/>
    <x v="2"/>
    <x v="1"/>
    <x v="1"/>
    <x v="327"/>
    <x v="1"/>
    <x v="1"/>
    <x v="2"/>
    <x v="658"/>
    <x v="14"/>
    <x v="1"/>
    <x v="1"/>
    <x v="1"/>
    <x v="0"/>
    <x v="830"/>
    <x v="411"/>
    <x v="381"/>
  </r>
  <r>
    <x v="1431"/>
    <x v="672"/>
    <x v="654"/>
    <x v="649"/>
    <x v="1135"/>
    <x v="3"/>
    <x v="2"/>
    <x v="653"/>
    <x v="10"/>
    <x v="1"/>
    <x v="1"/>
    <x v="0"/>
    <x v="0"/>
    <x v="1"/>
    <x v="2"/>
    <x v="3"/>
    <x v="2"/>
    <x v="1"/>
    <x v="2"/>
    <x v="1"/>
    <x v="1"/>
    <x v="328"/>
    <x v="1"/>
    <x v="1"/>
    <x v="2"/>
    <x v="665"/>
    <x v="14"/>
    <x v="3"/>
    <x v="0"/>
    <x v="1"/>
    <x v="0"/>
    <x v="831"/>
    <x v="412"/>
    <x v="0"/>
  </r>
  <r>
    <x v="1432"/>
    <x v="652"/>
    <x v="637"/>
    <x v="632"/>
    <x v="0"/>
    <x v="1"/>
    <x v="2"/>
    <x v="635"/>
    <x v="10"/>
    <x v="1"/>
    <x v="31"/>
    <x v="0"/>
    <x v="0"/>
    <x v="3"/>
    <x v="4"/>
    <x v="1"/>
    <x v="2"/>
    <x v="1"/>
    <x v="2"/>
    <x v="1"/>
    <x v="1"/>
    <x v="328"/>
    <x v="2"/>
    <x v="3"/>
    <x v="4"/>
    <x v="658"/>
    <x v="5"/>
    <x v="1"/>
    <x v="4"/>
    <x v="2"/>
    <x v="1"/>
    <x v="832"/>
    <x v="413"/>
    <x v="0"/>
  </r>
  <r>
    <x v="1433"/>
    <x v="671"/>
    <x v="15"/>
    <x v="15"/>
    <x v="0"/>
    <x v="1"/>
    <x v="2"/>
    <x v="17"/>
    <x v="488"/>
    <x v="1"/>
    <x v="31"/>
    <x v="0"/>
    <x v="0"/>
    <x v="3"/>
    <x v="4"/>
    <x v="3"/>
    <x v="2"/>
    <x v="1"/>
    <x v="2"/>
    <x v="1"/>
    <x v="1"/>
    <x v="328"/>
    <x v="2"/>
    <x v="3"/>
    <x v="4"/>
    <x v="15"/>
    <x v="14"/>
    <x v="3"/>
    <x v="0"/>
    <x v="1"/>
    <x v="0"/>
    <x v="833"/>
    <x v="414"/>
    <x v="0"/>
  </r>
  <r>
    <x v="1434"/>
    <x v="673"/>
    <x v="655"/>
    <x v="650"/>
    <x v="1136"/>
    <x v="3"/>
    <x v="1"/>
    <x v="654"/>
    <x v="489"/>
    <x v="1"/>
    <x v="274"/>
    <x v="0"/>
    <x v="0"/>
    <x v="1"/>
    <x v="2"/>
    <x v="3"/>
    <x v="2"/>
    <x v="1"/>
    <x v="2"/>
    <x v="1"/>
    <x v="1"/>
    <x v="328"/>
    <x v="2"/>
    <x v="5"/>
    <x v="2"/>
    <x v="666"/>
    <x v="5"/>
    <x v="3"/>
    <x v="0"/>
    <x v="1"/>
    <x v="0"/>
    <x v="834"/>
    <x v="412"/>
    <x v="0"/>
  </r>
  <r>
    <x v="1435"/>
    <x v="669"/>
    <x v="652"/>
    <x v="647"/>
    <x v="0"/>
    <x v="3"/>
    <x v="2"/>
    <x v="651"/>
    <x v="484"/>
    <x v="1"/>
    <x v="2"/>
    <x v="0"/>
    <x v="0"/>
    <x v="3"/>
    <x v="1"/>
    <x v="1"/>
    <x v="2"/>
    <x v="1"/>
    <x v="3"/>
    <x v="1"/>
    <x v="2"/>
    <x v="0"/>
    <x v="2"/>
    <x v="3"/>
    <x v="4"/>
    <x v="663"/>
    <x v="2"/>
    <x v="0"/>
    <x v="0"/>
    <x v="1"/>
    <x v="0"/>
    <x v="0"/>
    <x v="0"/>
    <x v="0"/>
  </r>
  <r>
    <x v="1436"/>
    <x v="674"/>
    <x v="656"/>
    <x v="651"/>
    <x v="1137"/>
    <x v="1"/>
    <x v="1"/>
    <x v="181"/>
    <x v="490"/>
    <x v="1"/>
    <x v="24"/>
    <x v="0"/>
    <x v="0"/>
    <x v="1"/>
    <x v="3"/>
    <x v="2"/>
    <x v="2"/>
    <x v="1"/>
    <x v="3"/>
    <x v="1"/>
    <x v="1"/>
    <x v="329"/>
    <x v="1"/>
    <x v="1"/>
    <x v="2"/>
    <x v="667"/>
    <x v="2"/>
    <x v="1"/>
    <x v="1"/>
    <x v="2"/>
    <x v="1"/>
    <x v="835"/>
    <x v="0"/>
    <x v="0"/>
  </r>
  <r>
    <x v="1437"/>
    <x v="675"/>
    <x v="657"/>
    <x v="652"/>
    <x v="1138"/>
    <x v="1"/>
    <x v="3"/>
    <x v="655"/>
    <x v="491"/>
    <x v="1"/>
    <x v="9"/>
    <x v="0"/>
    <x v="0"/>
    <x v="1"/>
    <x v="3"/>
    <x v="3"/>
    <x v="1"/>
    <x v="2"/>
    <x v="1"/>
    <x v="1"/>
    <x v="1"/>
    <x v="329"/>
    <x v="1"/>
    <x v="1"/>
    <x v="2"/>
    <x v="668"/>
    <x v="15"/>
    <x v="1"/>
    <x v="1"/>
    <x v="2"/>
    <x v="1"/>
    <x v="836"/>
    <x v="0"/>
    <x v="382"/>
  </r>
  <r>
    <x v="1438"/>
    <x v="652"/>
    <x v="637"/>
    <x v="632"/>
    <x v="1139"/>
    <x v="1"/>
    <x v="2"/>
    <x v="635"/>
    <x v="10"/>
    <x v="1"/>
    <x v="31"/>
    <x v="0"/>
    <x v="0"/>
    <x v="3"/>
    <x v="1"/>
    <x v="1"/>
    <x v="2"/>
    <x v="1"/>
    <x v="2"/>
    <x v="4"/>
    <x v="2"/>
    <x v="0"/>
    <x v="1"/>
    <x v="3"/>
    <x v="4"/>
    <x v="658"/>
    <x v="1"/>
    <x v="0"/>
    <x v="0"/>
    <x v="1"/>
    <x v="0"/>
    <x v="0"/>
    <x v="0"/>
    <x v="0"/>
  </r>
  <r>
    <x v="1439"/>
    <x v="458"/>
    <x v="454"/>
    <x v="448"/>
    <x v="1140"/>
    <x v="1"/>
    <x v="2"/>
    <x v="463"/>
    <x v="492"/>
    <x v="1"/>
    <x v="275"/>
    <x v="0"/>
    <x v="0"/>
    <x v="1"/>
    <x v="1"/>
    <x v="1"/>
    <x v="2"/>
    <x v="1"/>
    <x v="2"/>
    <x v="1"/>
    <x v="2"/>
    <x v="0"/>
    <x v="1"/>
    <x v="1"/>
    <x v="2"/>
    <x v="456"/>
    <x v="12"/>
    <x v="0"/>
    <x v="0"/>
    <x v="1"/>
    <x v="0"/>
    <x v="0"/>
    <x v="0"/>
    <x v="0"/>
  </r>
  <r>
    <x v="1440"/>
    <x v="676"/>
    <x v="658"/>
    <x v="653"/>
    <x v="1141"/>
    <x v="1"/>
    <x v="2"/>
    <x v="656"/>
    <x v="493"/>
    <x v="1"/>
    <x v="9"/>
    <x v="0"/>
    <x v="0"/>
    <x v="1"/>
    <x v="3"/>
    <x v="3"/>
    <x v="2"/>
    <x v="1"/>
    <x v="1"/>
    <x v="1"/>
    <x v="1"/>
    <x v="329"/>
    <x v="1"/>
    <x v="1"/>
    <x v="2"/>
    <x v="669"/>
    <x v="1"/>
    <x v="3"/>
    <x v="0"/>
    <x v="1"/>
    <x v="0"/>
    <x v="837"/>
    <x v="0"/>
    <x v="0"/>
  </r>
  <r>
    <x v="1441"/>
    <x v="674"/>
    <x v="656"/>
    <x v="651"/>
    <x v="1142"/>
    <x v="1"/>
    <x v="1"/>
    <x v="181"/>
    <x v="490"/>
    <x v="1"/>
    <x v="24"/>
    <x v="0"/>
    <x v="0"/>
    <x v="3"/>
    <x v="1"/>
    <x v="1"/>
    <x v="2"/>
    <x v="1"/>
    <x v="2"/>
    <x v="1"/>
    <x v="2"/>
    <x v="0"/>
    <x v="1"/>
    <x v="3"/>
    <x v="4"/>
    <x v="667"/>
    <x v="5"/>
    <x v="0"/>
    <x v="0"/>
    <x v="1"/>
    <x v="0"/>
    <x v="0"/>
    <x v="0"/>
    <x v="0"/>
  </r>
  <r>
    <x v="1442"/>
    <x v="677"/>
    <x v="657"/>
    <x v="652"/>
    <x v="1143"/>
    <x v="1"/>
    <x v="3"/>
    <x v="655"/>
    <x v="491"/>
    <x v="1"/>
    <x v="9"/>
    <x v="0"/>
    <x v="0"/>
    <x v="3"/>
    <x v="3"/>
    <x v="3"/>
    <x v="2"/>
    <x v="1"/>
    <x v="2"/>
    <x v="1"/>
    <x v="1"/>
    <x v="330"/>
    <x v="2"/>
    <x v="3"/>
    <x v="4"/>
    <x v="668"/>
    <x v="5"/>
    <x v="3"/>
    <x v="0"/>
    <x v="1"/>
    <x v="0"/>
    <x v="838"/>
    <x v="415"/>
    <x v="0"/>
  </r>
  <r>
    <x v="1443"/>
    <x v="678"/>
    <x v="659"/>
    <x v="654"/>
    <x v="1144"/>
    <x v="1"/>
    <x v="2"/>
    <x v="657"/>
    <x v="10"/>
    <x v="1"/>
    <x v="4"/>
    <x v="0"/>
    <x v="0"/>
    <x v="1"/>
    <x v="1"/>
    <x v="1"/>
    <x v="2"/>
    <x v="1"/>
    <x v="2"/>
    <x v="1"/>
    <x v="1"/>
    <x v="330"/>
    <x v="1"/>
    <x v="6"/>
    <x v="3"/>
    <x v="670"/>
    <x v="14"/>
    <x v="1"/>
    <x v="13"/>
    <x v="2"/>
    <x v="1"/>
    <x v="839"/>
    <x v="0"/>
    <x v="0"/>
  </r>
  <r>
    <x v="1444"/>
    <x v="678"/>
    <x v="659"/>
    <x v="654"/>
    <x v="1145"/>
    <x v="1"/>
    <x v="2"/>
    <x v="657"/>
    <x v="10"/>
    <x v="1"/>
    <x v="4"/>
    <x v="0"/>
    <x v="0"/>
    <x v="3"/>
    <x v="2"/>
    <x v="3"/>
    <x v="2"/>
    <x v="1"/>
    <x v="2"/>
    <x v="1"/>
    <x v="1"/>
    <x v="331"/>
    <x v="1"/>
    <x v="3"/>
    <x v="4"/>
    <x v="670"/>
    <x v="14"/>
    <x v="1"/>
    <x v="4"/>
    <x v="2"/>
    <x v="1"/>
    <x v="840"/>
    <x v="416"/>
    <x v="0"/>
  </r>
  <r>
    <x v="1445"/>
    <x v="679"/>
    <x v="660"/>
    <x v="655"/>
    <x v="1146"/>
    <x v="1"/>
    <x v="2"/>
    <x v="658"/>
    <x v="494"/>
    <x v="1"/>
    <x v="276"/>
    <x v="0"/>
    <x v="0"/>
    <x v="1"/>
    <x v="1"/>
    <x v="1"/>
    <x v="2"/>
    <x v="1"/>
    <x v="3"/>
    <x v="1"/>
    <x v="1"/>
    <x v="332"/>
    <x v="1"/>
    <x v="1"/>
    <x v="2"/>
    <x v="671"/>
    <x v="12"/>
    <x v="1"/>
    <x v="14"/>
    <x v="1"/>
    <x v="0"/>
    <x v="841"/>
    <x v="0"/>
    <x v="383"/>
  </r>
  <r>
    <x v="1446"/>
    <x v="678"/>
    <x v="659"/>
    <x v="654"/>
    <x v="0"/>
    <x v="1"/>
    <x v="2"/>
    <x v="657"/>
    <x v="495"/>
    <x v="1"/>
    <x v="4"/>
    <x v="0"/>
    <x v="0"/>
    <x v="3"/>
    <x v="1"/>
    <x v="1"/>
    <x v="2"/>
    <x v="1"/>
    <x v="2"/>
    <x v="1"/>
    <x v="2"/>
    <x v="0"/>
    <x v="2"/>
    <x v="3"/>
    <x v="4"/>
    <x v="670"/>
    <x v="1"/>
    <x v="0"/>
    <x v="0"/>
    <x v="1"/>
    <x v="0"/>
    <x v="0"/>
    <x v="0"/>
    <x v="0"/>
  </r>
  <r>
    <x v="1447"/>
    <x v="614"/>
    <x v="599"/>
    <x v="592"/>
    <x v="1147"/>
    <x v="1"/>
    <x v="2"/>
    <x v="40"/>
    <x v="496"/>
    <x v="1"/>
    <x v="277"/>
    <x v="0"/>
    <x v="0"/>
    <x v="1"/>
    <x v="1"/>
    <x v="1"/>
    <x v="2"/>
    <x v="1"/>
    <x v="3"/>
    <x v="4"/>
    <x v="2"/>
    <x v="0"/>
    <x v="1"/>
    <x v="1"/>
    <x v="2"/>
    <x v="608"/>
    <x v="2"/>
    <x v="0"/>
    <x v="0"/>
    <x v="1"/>
    <x v="0"/>
    <x v="0"/>
    <x v="0"/>
    <x v="0"/>
  </r>
  <r>
    <x v="1448"/>
    <x v="438"/>
    <x v="434"/>
    <x v="429"/>
    <x v="1148"/>
    <x v="1"/>
    <x v="2"/>
    <x v="444"/>
    <x v="460"/>
    <x v="1"/>
    <x v="15"/>
    <x v="0"/>
    <x v="0"/>
    <x v="1"/>
    <x v="1"/>
    <x v="1"/>
    <x v="2"/>
    <x v="1"/>
    <x v="2"/>
    <x v="1"/>
    <x v="1"/>
    <x v="333"/>
    <x v="2"/>
    <x v="1"/>
    <x v="2"/>
    <x v="437"/>
    <x v="15"/>
    <x v="1"/>
    <x v="14"/>
    <x v="2"/>
    <x v="1"/>
    <x v="842"/>
    <x v="0"/>
    <x v="194"/>
  </r>
  <r>
    <x v="1449"/>
    <x v="438"/>
    <x v="434"/>
    <x v="429"/>
    <x v="1149"/>
    <x v="1"/>
    <x v="2"/>
    <x v="444"/>
    <x v="460"/>
    <x v="1"/>
    <x v="15"/>
    <x v="0"/>
    <x v="0"/>
    <x v="3"/>
    <x v="1"/>
    <x v="1"/>
    <x v="2"/>
    <x v="1"/>
    <x v="2"/>
    <x v="3"/>
    <x v="2"/>
    <x v="0"/>
    <x v="2"/>
    <x v="1"/>
    <x v="2"/>
    <x v="437"/>
    <x v="15"/>
    <x v="0"/>
    <x v="0"/>
    <x v="1"/>
    <x v="0"/>
    <x v="0"/>
    <x v="0"/>
    <x v="0"/>
  </r>
  <r>
    <x v="1450"/>
    <x v="438"/>
    <x v="434"/>
    <x v="429"/>
    <x v="1150"/>
    <x v="1"/>
    <x v="2"/>
    <x v="444"/>
    <x v="460"/>
    <x v="1"/>
    <x v="22"/>
    <x v="0"/>
    <x v="0"/>
    <x v="1"/>
    <x v="1"/>
    <x v="1"/>
    <x v="1"/>
    <x v="1"/>
    <x v="2"/>
    <x v="1"/>
    <x v="1"/>
    <x v="334"/>
    <x v="2"/>
    <x v="1"/>
    <x v="2"/>
    <x v="437"/>
    <x v="17"/>
    <x v="3"/>
    <x v="0"/>
    <x v="1"/>
    <x v="0"/>
    <x v="843"/>
    <x v="417"/>
    <x v="0"/>
  </r>
  <r>
    <x v="1451"/>
    <x v="680"/>
    <x v="661"/>
    <x v="656"/>
    <x v="1151"/>
    <x v="1"/>
    <x v="3"/>
    <x v="659"/>
    <x v="497"/>
    <x v="1"/>
    <x v="36"/>
    <x v="0"/>
    <x v="0"/>
    <x v="1"/>
    <x v="3"/>
    <x v="2"/>
    <x v="2"/>
    <x v="1"/>
    <x v="3"/>
    <x v="1"/>
    <x v="1"/>
    <x v="335"/>
    <x v="1"/>
    <x v="1"/>
    <x v="2"/>
    <x v="672"/>
    <x v="5"/>
    <x v="1"/>
    <x v="1"/>
    <x v="1"/>
    <x v="0"/>
    <x v="844"/>
    <x v="0"/>
    <x v="0"/>
  </r>
  <r>
    <x v="1452"/>
    <x v="681"/>
    <x v="662"/>
    <x v="657"/>
    <x v="1152"/>
    <x v="1"/>
    <x v="2"/>
    <x v="660"/>
    <x v="10"/>
    <x v="1"/>
    <x v="278"/>
    <x v="0"/>
    <x v="0"/>
    <x v="1"/>
    <x v="2"/>
    <x v="3"/>
    <x v="1"/>
    <x v="1"/>
    <x v="2"/>
    <x v="1"/>
    <x v="1"/>
    <x v="336"/>
    <x v="1"/>
    <x v="1"/>
    <x v="2"/>
    <x v="673"/>
    <x v="2"/>
    <x v="1"/>
    <x v="13"/>
    <x v="2"/>
    <x v="1"/>
    <x v="845"/>
    <x v="0"/>
    <x v="0"/>
  </r>
  <r>
    <x v="1453"/>
    <x v="682"/>
    <x v="663"/>
    <x v="658"/>
    <x v="1153"/>
    <x v="1"/>
    <x v="1"/>
    <x v="661"/>
    <x v="498"/>
    <x v="1"/>
    <x v="279"/>
    <x v="0"/>
    <x v="0"/>
    <x v="1"/>
    <x v="1"/>
    <x v="1"/>
    <x v="2"/>
    <x v="1"/>
    <x v="2"/>
    <x v="4"/>
    <x v="1"/>
    <x v="336"/>
    <x v="1"/>
    <x v="1"/>
    <x v="2"/>
    <x v="674"/>
    <x v="5"/>
    <x v="3"/>
    <x v="0"/>
    <x v="1"/>
    <x v="0"/>
    <x v="846"/>
    <x v="418"/>
    <x v="0"/>
  </r>
  <r>
    <x v="1454"/>
    <x v="680"/>
    <x v="661"/>
    <x v="656"/>
    <x v="0"/>
    <x v="1"/>
    <x v="3"/>
    <x v="659"/>
    <x v="497"/>
    <x v="1"/>
    <x v="36"/>
    <x v="0"/>
    <x v="0"/>
    <x v="3"/>
    <x v="1"/>
    <x v="1"/>
    <x v="1"/>
    <x v="1"/>
    <x v="2"/>
    <x v="1"/>
    <x v="1"/>
    <x v="332"/>
    <x v="2"/>
    <x v="3"/>
    <x v="4"/>
    <x v="672"/>
    <x v="5"/>
    <x v="1"/>
    <x v="1"/>
    <x v="2"/>
    <x v="1"/>
    <x v="847"/>
    <x v="0"/>
    <x v="0"/>
  </r>
  <r>
    <x v="1455"/>
    <x v="683"/>
    <x v="664"/>
    <x v="659"/>
    <x v="1154"/>
    <x v="3"/>
    <x v="2"/>
    <x v="281"/>
    <x v="475"/>
    <x v="1"/>
    <x v="280"/>
    <x v="0"/>
    <x v="0"/>
    <x v="1"/>
    <x v="1"/>
    <x v="1"/>
    <x v="1"/>
    <x v="1"/>
    <x v="3"/>
    <x v="1"/>
    <x v="1"/>
    <x v="336"/>
    <x v="1"/>
    <x v="5"/>
    <x v="2"/>
    <x v="675"/>
    <x v="17"/>
    <x v="3"/>
    <x v="0"/>
    <x v="1"/>
    <x v="0"/>
    <x v="848"/>
    <x v="419"/>
    <x v="384"/>
  </r>
  <r>
    <x v="1456"/>
    <x v="684"/>
    <x v="665"/>
    <x v="660"/>
    <x v="1155"/>
    <x v="3"/>
    <x v="1"/>
    <x v="662"/>
    <x v="440"/>
    <x v="6"/>
    <x v="0"/>
    <x v="0"/>
    <x v="30"/>
    <x v="1"/>
    <x v="2"/>
    <x v="3"/>
    <x v="1"/>
    <x v="1"/>
    <x v="2"/>
    <x v="5"/>
    <x v="1"/>
    <x v="336"/>
    <x v="1"/>
    <x v="5"/>
    <x v="2"/>
    <x v="676"/>
    <x v="5"/>
    <x v="1"/>
    <x v="4"/>
    <x v="1"/>
    <x v="0"/>
    <x v="849"/>
    <x v="0"/>
    <x v="0"/>
  </r>
  <r>
    <x v="1457"/>
    <x v="685"/>
    <x v="666"/>
    <x v="661"/>
    <x v="1156"/>
    <x v="1"/>
    <x v="1"/>
    <x v="663"/>
    <x v="10"/>
    <x v="1"/>
    <x v="281"/>
    <x v="0"/>
    <x v="0"/>
    <x v="1"/>
    <x v="1"/>
    <x v="1"/>
    <x v="1"/>
    <x v="1"/>
    <x v="2"/>
    <x v="1"/>
    <x v="2"/>
    <x v="0"/>
    <x v="1"/>
    <x v="5"/>
    <x v="2"/>
    <x v="677"/>
    <x v="17"/>
    <x v="0"/>
    <x v="0"/>
    <x v="1"/>
    <x v="0"/>
    <x v="0"/>
    <x v="0"/>
    <x v="0"/>
  </r>
  <r>
    <x v="1458"/>
    <x v="686"/>
    <x v="667"/>
    <x v="662"/>
    <x v="1157"/>
    <x v="1"/>
    <x v="1"/>
    <x v="664"/>
    <x v="499"/>
    <x v="1"/>
    <x v="15"/>
    <x v="0"/>
    <x v="0"/>
    <x v="1"/>
    <x v="1"/>
    <x v="1"/>
    <x v="1"/>
    <x v="1"/>
    <x v="2"/>
    <x v="1"/>
    <x v="1"/>
    <x v="336"/>
    <x v="1"/>
    <x v="5"/>
    <x v="2"/>
    <x v="678"/>
    <x v="5"/>
    <x v="1"/>
    <x v="1"/>
    <x v="1"/>
    <x v="0"/>
    <x v="850"/>
    <x v="0"/>
    <x v="194"/>
  </r>
  <r>
    <x v="1459"/>
    <x v="681"/>
    <x v="662"/>
    <x v="657"/>
    <x v="0"/>
    <x v="1"/>
    <x v="2"/>
    <x v="660"/>
    <x v="500"/>
    <x v="1"/>
    <x v="282"/>
    <x v="0"/>
    <x v="0"/>
    <x v="3"/>
    <x v="4"/>
    <x v="1"/>
    <x v="2"/>
    <x v="1"/>
    <x v="2"/>
    <x v="1"/>
    <x v="2"/>
    <x v="0"/>
    <x v="2"/>
    <x v="3"/>
    <x v="4"/>
    <x v="673"/>
    <x v="14"/>
    <x v="0"/>
    <x v="0"/>
    <x v="1"/>
    <x v="0"/>
    <x v="0"/>
    <x v="0"/>
    <x v="0"/>
  </r>
  <r>
    <x v="1460"/>
    <x v="687"/>
    <x v="668"/>
    <x v="663"/>
    <x v="1158"/>
    <x v="1"/>
    <x v="1"/>
    <x v="665"/>
    <x v="455"/>
    <x v="1"/>
    <x v="2"/>
    <x v="0"/>
    <x v="0"/>
    <x v="1"/>
    <x v="3"/>
    <x v="2"/>
    <x v="2"/>
    <x v="1"/>
    <x v="2"/>
    <x v="5"/>
    <x v="1"/>
    <x v="336"/>
    <x v="1"/>
    <x v="2"/>
    <x v="2"/>
    <x v="679"/>
    <x v="5"/>
    <x v="1"/>
    <x v="1"/>
    <x v="1"/>
    <x v="0"/>
    <x v="851"/>
    <x v="0"/>
    <x v="0"/>
  </r>
  <r>
    <x v="1461"/>
    <x v="688"/>
    <x v="669"/>
    <x v="664"/>
    <x v="1159"/>
    <x v="1"/>
    <x v="2"/>
    <x v="666"/>
    <x v="501"/>
    <x v="1"/>
    <x v="15"/>
    <x v="0"/>
    <x v="0"/>
    <x v="1"/>
    <x v="1"/>
    <x v="1"/>
    <x v="1"/>
    <x v="1"/>
    <x v="1"/>
    <x v="1"/>
    <x v="1"/>
    <x v="337"/>
    <x v="1"/>
    <x v="1"/>
    <x v="2"/>
    <x v="680"/>
    <x v="14"/>
    <x v="3"/>
    <x v="0"/>
    <x v="1"/>
    <x v="0"/>
    <x v="852"/>
    <x v="420"/>
    <x v="0"/>
  </r>
  <r>
    <x v="1462"/>
    <x v="684"/>
    <x v="665"/>
    <x v="660"/>
    <x v="0"/>
    <x v="3"/>
    <x v="1"/>
    <x v="662"/>
    <x v="196"/>
    <x v="6"/>
    <x v="0"/>
    <x v="0"/>
    <x v="31"/>
    <x v="3"/>
    <x v="1"/>
    <x v="1"/>
    <x v="1"/>
    <x v="1"/>
    <x v="2"/>
    <x v="5"/>
    <x v="2"/>
    <x v="0"/>
    <x v="2"/>
    <x v="3"/>
    <x v="4"/>
    <x v="676"/>
    <x v="1"/>
    <x v="0"/>
    <x v="0"/>
    <x v="1"/>
    <x v="0"/>
    <x v="0"/>
    <x v="0"/>
    <x v="0"/>
  </r>
  <r>
    <x v="1463"/>
    <x v="689"/>
    <x v="670"/>
    <x v="665"/>
    <x v="1160"/>
    <x v="1"/>
    <x v="2"/>
    <x v="667"/>
    <x v="502"/>
    <x v="1"/>
    <x v="15"/>
    <x v="0"/>
    <x v="0"/>
    <x v="1"/>
    <x v="1"/>
    <x v="1"/>
    <x v="2"/>
    <x v="2"/>
    <x v="1"/>
    <x v="1"/>
    <x v="1"/>
    <x v="337"/>
    <x v="1"/>
    <x v="1"/>
    <x v="2"/>
    <x v="681"/>
    <x v="14"/>
    <x v="1"/>
    <x v="7"/>
    <x v="1"/>
    <x v="0"/>
    <x v="853"/>
    <x v="0"/>
    <x v="0"/>
  </r>
  <r>
    <x v="1464"/>
    <x v="687"/>
    <x v="668"/>
    <x v="663"/>
    <x v="0"/>
    <x v="1"/>
    <x v="1"/>
    <x v="665"/>
    <x v="455"/>
    <x v="1"/>
    <x v="2"/>
    <x v="0"/>
    <x v="0"/>
    <x v="3"/>
    <x v="1"/>
    <x v="1"/>
    <x v="2"/>
    <x v="1"/>
    <x v="2"/>
    <x v="1"/>
    <x v="2"/>
    <x v="0"/>
    <x v="2"/>
    <x v="3"/>
    <x v="4"/>
    <x v="679"/>
    <x v="5"/>
    <x v="0"/>
    <x v="0"/>
    <x v="1"/>
    <x v="0"/>
    <x v="0"/>
    <x v="0"/>
    <x v="0"/>
  </r>
  <r>
    <x v="1465"/>
    <x v="686"/>
    <x v="667"/>
    <x v="662"/>
    <x v="0"/>
    <x v="1"/>
    <x v="1"/>
    <x v="664"/>
    <x v="298"/>
    <x v="1"/>
    <x v="15"/>
    <x v="0"/>
    <x v="0"/>
    <x v="3"/>
    <x v="1"/>
    <x v="1"/>
    <x v="2"/>
    <x v="1"/>
    <x v="1"/>
    <x v="1"/>
    <x v="2"/>
    <x v="0"/>
    <x v="2"/>
    <x v="3"/>
    <x v="4"/>
    <x v="678"/>
    <x v="5"/>
    <x v="0"/>
    <x v="0"/>
    <x v="1"/>
    <x v="0"/>
    <x v="0"/>
    <x v="0"/>
    <x v="0"/>
  </r>
  <r>
    <x v="1466"/>
    <x v="690"/>
    <x v="671"/>
    <x v="666"/>
    <x v="1161"/>
    <x v="1"/>
    <x v="2"/>
    <x v="668"/>
    <x v="268"/>
    <x v="1"/>
    <x v="283"/>
    <x v="0"/>
    <x v="0"/>
    <x v="1"/>
    <x v="1"/>
    <x v="1"/>
    <x v="2"/>
    <x v="1"/>
    <x v="2"/>
    <x v="1"/>
    <x v="2"/>
    <x v="0"/>
    <x v="1"/>
    <x v="1"/>
    <x v="2"/>
    <x v="682"/>
    <x v="14"/>
    <x v="0"/>
    <x v="0"/>
    <x v="1"/>
    <x v="0"/>
    <x v="0"/>
    <x v="0"/>
    <x v="0"/>
  </r>
  <r>
    <x v="1467"/>
    <x v="689"/>
    <x v="670"/>
    <x v="665"/>
    <x v="0"/>
    <x v="1"/>
    <x v="2"/>
    <x v="667"/>
    <x v="503"/>
    <x v="1"/>
    <x v="15"/>
    <x v="0"/>
    <x v="0"/>
    <x v="3"/>
    <x v="1"/>
    <x v="1"/>
    <x v="2"/>
    <x v="1"/>
    <x v="2"/>
    <x v="1"/>
    <x v="2"/>
    <x v="0"/>
    <x v="2"/>
    <x v="3"/>
    <x v="4"/>
    <x v="681"/>
    <x v="12"/>
    <x v="0"/>
    <x v="0"/>
    <x v="1"/>
    <x v="0"/>
    <x v="0"/>
    <x v="0"/>
    <x v="0"/>
  </r>
  <r>
    <x v="1468"/>
    <x v="691"/>
    <x v="672"/>
    <x v="667"/>
    <x v="1162"/>
    <x v="3"/>
    <x v="2"/>
    <x v="243"/>
    <x v="280"/>
    <x v="1"/>
    <x v="3"/>
    <x v="0"/>
    <x v="0"/>
    <x v="1"/>
    <x v="1"/>
    <x v="1"/>
    <x v="2"/>
    <x v="1"/>
    <x v="2"/>
    <x v="1"/>
    <x v="2"/>
    <x v="0"/>
    <x v="1"/>
    <x v="1"/>
    <x v="2"/>
    <x v="683"/>
    <x v="12"/>
    <x v="0"/>
    <x v="0"/>
    <x v="1"/>
    <x v="0"/>
    <x v="0"/>
    <x v="0"/>
    <x v="0"/>
  </r>
  <r>
    <x v="1469"/>
    <x v="692"/>
    <x v="673"/>
    <x v="668"/>
    <x v="1163"/>
    <x v="1"/>
    <x v="2"/>
    <x v="669"/>
    <x v="504"/>
    <x v="1"/>
    <x v="284"/>
    <x v="0"/>
    <x v="0"/>
    <x v="1"/>
    <x v="3"/>
    <x v="2"/>
    <x v="2"/>
    <x v="1"/>
    <x v="1"/>
    <x v="1"/>
    <x v="1"/>
    <x v="338"/>
    <x v="1"/>
    <x v="1"/>
    <x v="2"/>
    <x v="684"/>
    <x v="15"/>
    <x v="1"/>
    <x v="14"/>
    <x v="1"/>
    <x v="0"/>
    <x v="854"/>
    <x v="0"/>
    <x v="308"/>
  </r>
  <r>
    <x v="1470"/>
    <x v="435"/>
    <x v="432"/>
    <x v="427"/>
    <x v="1164"/>
    <x v="1"/>
    <x v="2"/>
    <x v="442"/>
    <x v="505"/>
    <x v="1"/>
    <x v="285"/>
    <x v="0"/>
    <x v="0"/>
    <x v="1"/>
    <x v="1"/>
    <x v="1"/>
    <x v="2"/>
    <x v="1"/>
    <x v="2"/>
    <x v="1"/>
    <x v="2"/>
    <x v="0"/>
    <x v="1"/>
    <x v="5"/>
    <x v="2"/>
    <x v="435"/>
    <x v="12"/>
    <x v="0"/>
    <x v="0"/>
    <x v="1"/>
    <x v="0"/>
    <x v="0"/>
    <x v="0"/>
    <x v="0"/>
  </r>
  <r>
    <x v="1471"/>
    <x v="655"/>
    <x v="639"/>
    <x v="634"/>
    <x v="1165"/>
    <x v="1"/>
    <x v="2"/>
    <x v="636"/>
    <x v="506"/>
    <x v="1"/>
    <x v="9"/>
    <x v="0"/>
    <x v="0"/>
    <x v="1"/>
    <x v="3"/>
    <x v="3"/>
    <x v="2"/>
    <x v="1"/>
    <x v="2"/>
    <x v="1"/>
    <x v="1"/>
    <x v="339"/>
    <x v="1"/>
    <x v="6"/>
    <x v="3"/>
    <x v="649"/>
    <x v="14"/>
    <x v="1"/>
    <x v="4"/>
    <x v="1"/>
    <x v="0"/>
    <x v="855"/>
    <x v="0"/>
    <x v="0"/>
  </r>
  <r>
    <x v="1472"/>
    <x v="693"/>
    <x v="674"/>
    <x v="669"/>
    <x v="1166"/>
    <x v="1"/>
    <x v="2"/>
    <x v="670"/>
    <x v="302"/>
    <x v="2"/>
    <x v="0"/>
    <x v="2"/>
    <x v="0"/>
    <x v="1"/>
    <x v="1"/>
    <x v="1"/>
    <x v="2"/>
    <x v="1"/>
    <x v="2"/>
    <x v="1"/>
    <x v="1"/>
    <x v="339"/>
    <x v="1"/>
    <x v="6"/>
    <x v="3"/>
    <x v="685"/>
    <x v="14"/>
    <x v="1"/>
    <x v="4"/>
    <x v="2"/>
    <x v="1"/>
    <x v="856"/>
    <x v="421"/>
    <x v="0"/>
  </r>
  <r>
    <x v="1473"/>
    <x v="694"/>
    <x v="675"/>
    <x v="670"/>
    <x v="1167"/>
    <x v="1"/>
    <x v="2"/>
    <x v="671"/>
    <x v="10"/>
    <x v="1"/>
    <x v="22"/>
    <x v="0"/>
    <x v="0"/>
    <x v="1"/>
    <x v="1"/>
    <x v="2"/>
    <x v="1"/>
    <x v="1"/>
    <x v="2"/>
    <x v="4"/>
    <x v="1"/>
    <x v="338"/>
    <x v="1"/>
    <x v="6"/>
    <x v="3"/>
    <x v="686"/>
    <x v="14"/>
    <x v="3"/>
    <x v="0"/>
    <x v="1"/>
    <x v="0"/>
    <x v="857"/>
    <x v="422"/>
    <x v="385"/>
  </r>
  <r>
    <x v="1474"/>
    <x v="655"/>
    <x v="639"/>
    <x v="634"/>
    <x v="0"/>
    <x v="1"/>
    <x v="2"/>
    <x v="636"/>
    <x v="506"/>
    <x v="1"/>
    <x v="9"/>
    <x v="0"/>
    <x v="0"/>
    <x v="3"/>
    <x v="4"/>
    <x v="1"/>
    <x v="2"/>
    <x v="1"/>
    <x v="2"/>
    <x v="1"/>
    <x v="2"/>
    <x v="0"/>
    <x v="2"/>
    <x v="3"/>
    <x v="4"/>
    <x v="649"/>
    <x v="1"/>
    <x v="0"/>
    <x v="0"/>
    <x v="1"/>
    <x v="0"/>
    <x v="0"/>
    <x v="0"/>
    <x v="0"/>
  </r>
  <r>
    <x v="1475"/>
    <x v="695"/>
    <x v="676"/>
    <x v="671"/>
    <x v="1168"/>
    <x v="1"/>
    <x v="1"/>
    <x v="672"/>
    <x v="389"/>
    <x v="1"/>
    <x v="286"/>
    <x v="0"/>
    <x v="0"/>
    <x v="1"/>
    <x v="1"/>
    <x v="1"/>
    <x v="2"/>
    <x v="1"/>
    <x v="2"/>
    <x v="1"/>
    <x v="1"/>
    <x v="338"/>
    <x v="1"/>
    <x v="5"/>
    <x v="2"/>
    <x v="687"/>
    <x v="12"/>
    <x v="1"/>
    <x v="7"/>
    <x v="2"/>
    <x v="1"/>
    <x v="858"/>
    <x v="0"/>
    <x v="386"/>
  </r>
  <r>
    <x v="1476"/>
    <x v="696"/>
    <x v="677"/>
    <x v="672"/>
    <x v="1169"/>
    <x v="1"/>
    <x v="2"/>
    <x v="673"/>
    <x v="507"/>
    <x v="1"/>
    <x v="31"/>
    <x v="0"/>
    <x v="0"/>
    <x v="1"/>
    <x v="1"/>
    <x v="1"/>
    <x v="2"/>
    <x v="1"/>
    <x v="3"/>
    <x v="1"/>
    <x v="2"/>
    <x v="0"/>
    <x v="1"/>
    <x v="1"/>
    <x v="2"/>
    <x v="688"/>
    <x v="3"/>
    <x v="0"/>
    <x v="0"/>
    <x v="1"/>
    <x v="0"/>
    <x v="0"/>
    <x v="0"/>
    <x v="0"/>
  </r>
  <r>
    <x v="1477"/>
    <x v="697"/>
    <x v="678"/>
    <x v="673"/>
    <x v="1170"/>
    <x v="1"/>
    <x v="2"/>
    <x v="674"/>
    <x v="318"/>
    <x v="1"/>
    <x v="287"/>
    <x v="0"/>
    <x v="0"/>
    <x v="1"/>
    <x v="1"/>
    <x v="1"/>
    <x v="2"/>
    <x v="1"/>
    <x v="2"/>
    <x v="1"/>
    <x v="2"/>
    <x v="0"/>
    <x v="1"/>
    <x v="1"/>
    <x v="2"/>
    <x v="689"/>
    <x v="15"/>
    <x v="0"/>
    <x v="0"/>
    <x v="1"/>
    <x v="0"/>
    <x v="0"/>
    <x v="0"/>
    <x v="0"/>
  </r>
  <r>
    <x v="1478"/>
    <x v="695"/>
    <x v="676"/>
    <x v="671"/>
    <x v="1171"/>
    <x v="1"/>
    <x v="1"/>
    <x v="672"/>
    <x v="389"/>
    <x v="1"/>
    <x v="288"/>
    <x v="0"/>
    <x v="0"/>
    <x v="3"/>
    <x v="1"/>
    <x v="1"/>
    <x v="2"/>
    <x v="1"/>
    <x v="2"/>
    <x v="1"/>
    <x v="2"/>
    <x v="0"/>
    <x v="1"/>
    <x v="3"/>
    <x v="4"/>
    <x v="687"/>
    <x v="12"/>
    <x v="0"/>
    <x v="0"/>
    <x v="1"/>
    <x v="0"/>
    <x v="0"/>
    <x v="0"/>
    <x v="0"/>
  </r>
  <r>
    <x v="1479"/>
    <x v="335"/>
    <x v="335"/>
    <x v="330"/>
    <x v="1172"/>
    <x v="1"/>
    <x v="2"/>
    <x v="350"/>
    <x v="269"/>
    <x v="2"/>
    <x v="0"/>
    <x v="6"/>
    <x v="0"/>
    <x v="1"/>
    <x v="3"/>
    <x v="3"/>
    <x v="2"/>
    <x v="1"/>
    <x v="2"/>
    <x v="1"/>
    <x v="1"/>
    <x v="340"/>
    <x v="1"/>
    <x v="1"/>
    <x v="2"/>
    <x v="337"/>
    <x v="12"/>
    <x v="1"/>
    <x v="4"/>
    <x v="2"/>
    <x v="1"/>
    <x v="859"/>
    <x v="0"/>
    <x v="0"/>
  </r>
  <r>
    <x v="1480"/>
    <x v="652"/>
    <x v="637"/>
    <x v="632"/>
    <x v="1173"/>
    <x v="1"/>
    <x v="2"/>
    <x v="635"/>
    <x v="390"/>
    <x v="1"/>
    <x v="289"/>
    <x v="0"/>
    <x v="0"/>
    <x v="1"/>
    <x v="1"/>
    <x v="1"/>
    <x v="2"/>
    <x v="1"/>
    <x v="3"/>
    <x v="1"/>
    <x v="2"/>
    <x v="0"/>
    <x v="1"/>
    <x v="1"/>
    <x v="2"/>
    <x v="658"/>
    <x v="15"/>
    <x v="0"/>
    <x v="0"/>
    <x v="1"/>
    <x v="0"/>
    <x v="0"/>
    <x v="0"/>
    <x v="0"/>
  </r>
  <r>
    <x v="1481"/>
    <x v="692"/>
    <x v="673"/>
    <x v="668"/>
    <x v="0"/>
    <x v="1"/>
    <x v="2"/>
    <x v="669"/>
    <x v="504"/>
    <x v="1"/>
    <x v="284"/>
    <x v="0"/>
    <x v="0"/>
    <x v="3"/>
    <x v="1"/>
    <x v="1"/>
    <x v="2"/>
    <x v="1"/>
    <x v="1"/>
    <x v="1"/>
    <x v="2"/>
    <x v="0"/>
    <x v="2"/>
    <x v="3"/>
    <x v="4"/>
    <x v="684"/>
    <x v="15"/>
    <x v="0"/>
    <x v="0"/>
    <x v="1"/>
    <x v="0"/>
    <x v="0"/>
    <x v="0"/>
    <x v="0"/>
  </r>
  <r>
    <x v="1482"/>
    <x v="693"/>
    <x v="674"/>
    <x v="669"/>
    <x v="1174"/>
    <x v="1"/>
    <x v="2"/>
    <x v="670"/>
    <x v="302"/>
    <x v="2"/>
    <x v="0"/>
    <x v="5"/>
    <x v="0"/>
    <x v="3"/>
    <x v="2"/>
    <x v="3"/>
    <x v="1"/>
    <x v="1"/>
    <x v="2"/>
    <x v="1"/>
    <x v="1"/>
    <x v="340"/>
    <x v="1"/>
    <x v="3"/>
    <x v="4"/>
    <x v="685"/>
    <x v="1"/>
    <x v="3"/>
    <x v="0"/>
    <x v="1"/>
    <x v="0"/>
    <x v="860"/>
    <x v="423"/>
    <x v="0"/>
  </r>
  <r>
    <x v="1483"/>
    <x v="698"/>
    <x v="679"/>
    <x v="674"/>
    <x v="1175"/>
    <x v="1"/>
    <x v="2"/>
    <x v="675"/>
    <x v="508"/>
    <x v="1"/>
    <x v="9"/>
    <x v="0"/>
    <x v="0"/>
    <x v="1"/>
    <x v="1"/>
    <x v="1"/>
    <x v="2"/>
    <x v="1"/>
    <x v="2"/>
    <x v="1"/>
    <x v="2"/>
    <x v="0"/>
    <x v="1"/>
    <x v="5"/>
    <x v="2"/>
    <x v="690"/>
    <x v="12"/>
    <x v="0"/>
    <x v="0"/>
    <x v="1"/>
    <x v="0"/>
    <x v="0"/>
    <x v="0"/>
    <x v="0"/>
  </r>
  <r>
    <x v="1484"/>
    <x v="699"/>
    <x v="633"/>
    <x v="627"/>
    <x v="1176"/>
    <x v="1"/>
    <x v="2"/>
    <x v="631"/>
    <x v="509"/>
    <x v="1"/>
    <x v="9"/>
    <x v="0"/>
    <x v="0"/>
    <x v="1"/>
    <x v="1"/>
    <x v="1"/>
    <x v="2"/>
    <x v="1"/>
    <x v="2"/>
    <x v="1"/>
    <x v="2"/>
    <x v="0"/>
    <x v="1"/>
    <x v="1"/>
    <x v="2"/>
    <x v="643"/>
    <x v="3"/>
    <x v="0"/>
    <x v="0"/>
    <x v="1"/>
    <x v="0"/>
    <x v="0"/>
    <x v="0"/>
    <x v="0"/>
  </r>
  <r>
    <x v="1485"/>
    <x v="700"/>
    <x v="680"/>
    <x v="675"/>
    <x v="1177"/>
    <x v="1"/>
    <x v="2"/>
    <x v="676"/>
    <x v="510"/>
    <x v="1"/>
    <x v="15"/>
    <x v="0"/>
    <x v="0"/>
    <x v="1"/>
    <x v="3"/>
    <x v="3"/>
    <x v="2"/>
    <x v="1"/>
    <x v="2"/>
    <x v="1"/>
    <x v="1"/>
    <x v="340"/>
    <x v="1"/>
    <x v="1"/>
    <x v="2"/>
    <x v="691"/>
    <x v="15"/>
    <x v="1"/>
    <x v="14"/>
    <x v="1"/>
    <x v="0"/>
    <x v="861"/>
    <x v="0"/>
    <x v="387"/>
  </r>
  <r>
    <x v="1486"/>
    <x v="335"/>
    <x v="335"/>
    <x v="330"/>
    <x v="0"/>
    <x v="1"/>
    <x v="2"/>
    <x v="350"/>
    <x v="511"/>
    <x v="2"/>
    <x v="0"/>
    <x v="6"/>
    <x v="0"/>
    <x v="3"/>
    <x v="4"/>
    <x v="1"/>
    <x v="2"/>
    <x v="1"/>
    <x v="2"/>
    <x v="1"/>
    <x v="2"/>
    <x v="0"/>
    <x v="2"/>
    <x v="3"/>
    <x v="4"/>
    <x v="337"/>
    <x v="1"/>
    <x v="0"/>
    <x v="0"/>
    <x v="1"/>
    <x v="0"/>
    <x v="0"/>
    <x v="0"/>
    <x v="0"/>
  </r>
  <r>
    <x v="1487"/>
    <x v="701"/>
    <x v="681"/>
    <x v="676"/>
    <x v="1178"/>
    <x v="1"/>
    <x v="2"/>
    <x v="677"/>
    <x v="512"/>
    <x v="1"/>
    <x v="290"/>
    <x v="0"/>
    <x v="0"/>
    <x v="1"/>
    <x v="1"/>
    <x v="1"/>
    <x v="2"/>
    <x v="1"/>
    <x v="3"/>
    <x v="1"/>
    <x v="1"/>
    <x v="332"/>
    <x v="1"/>
    <x v="1"/>
    <x v="2"/>
    <x v="692"/>
    <x v="1"/>
    <x v="1"/>
    <x v="4"/>
    <x v="2"/>
    <x v="1"/>
    <x v="862"/>
    <x v="0"/>
    <x v="0"/>
  </r>
  <r>
    <x v="1488"/>
    <x v="699"/>
    <x v="633"/>
    <x v="627"/>
    <x v="1179"/>
    <x v="1"/>
    <x v="2"/>
    <x v="631"/>
    <x v="513"/>
    <x v="1"/>
    <x v="291"/>
    <x v="0"/>
    <x v="0"/>
    <x v="1"/>
    <x v="2"/>
    <x v="3"/>
    <x v="2"/>
    <x v="1"/>
    <x v="2"/>
    <x v="1"/>
    <x v="1"/>
    <x v="332"/>
    <x v="1"/>
    <x v="1"/>
    <x v="2"/>
    <x v="643"/>
    <x v="3"/>
    <x v="1"/>
    <x v="4"/>
    <x v="2"/>
    <x v="1"/>
    <x v="863"/>
    <x v="0"/>
    <x v="0"/>
  </r>
  <r>
    <x v="1489"/>
    <x v="702"/>
    <x v="682"/>
    <x v="677"/>
    <x v="1180"/>
    <x v="1"/>
    <x v="2"/>
    <x v="678"/>
    <x v="514"/>
    <x v="1"/>
    <x v="292"/>
    <x v="0"/>
    <x v="0"/>
    <x v="1"/>
    <x v="1"/>
    <x v="1"/>
    <x v="1"/>
    <x v="1"/>
    <x v="2"/>
    <x v="1"/>
    <x v="1"/>
    <x v="334"/>
    <x v="1"/>
    <x v="1"/>
    <x v="2"/>
    <x v="693"/>
    <x v="3"/>
    <x v="1"/>
    <x v="4"/>
    <x v="2"/>
    <x v="1"/>
    <x v="864"/>
    <x v="424"/>
    <x v="388"/>
  </r>
  <r>
    <x v="1490"/>
    <x v="703"/>
    <x v="683"/>
    <x v="678"/>
    <x v="1181"/>
    <x v="3"/>
    <x v="2"/>
    <x v="679"/>
    <x v="431"/>
    <x v="1"/>
    <x v="4"/>
    <x v="0"/>
    <x v="0"/>
    <x v="1"/>
    <x v="3"/>
    <x v="3"/>
    <x v="2"/>
    <x v="1"/>
    <x v="1"/>
    <x v="1"/>
    <x v="1"/>
    <x v="332"/>
    <x v="1"/>
    <x v="1"/>
    <x v="2"/>
    <x v="694"/>
    <x v="15"/>
    <x v="1"/>
    <x v="14"/>
    <x v="2"/>
    <x v="1"/>
    <x v="865"/>
    <x v="0"/>
    <x v="0"/>
  </r>
  <r>
    <x v="1491"/>
    <x v="362"/>
    <x v="362"/>
    <x v="357"/>
    <x v="1182"/>
    <x v="1"/>
    <x v="2"/>
    <x v="381"/>
    <x v="291"/>
    <x v="1"/>
    <x v="44"/>
    <x v="0"/>
    <x v="0"/>
    <x v="1"/>
    <x v="1"/>
    <x v="1"/>
    <x v="2"/>
    <x v="1"/>
    <x v="3"/>
    <x v="1"/>
    <x v="2"/>
    <x v="0"/>
    <x v="1"/>
    <x v="1"/>
    <x v="2"/>
    <x v="364"/>
    <x v="3"/>
    <x v="0"/>
    <x v="0"/>
    <x v="1"/>
    <x v="0"/>
    <x v="0"/>
    <x v="0"/>
    <x v="0"/>
  </r>
  <r>
    <x v="1492"/>
    <x v="676"/>
    <x v="658"/>
    <x v="653"/>
    <x v="1183"/>
    <x v="1"/>
    <x v="2"/>
    <x v="656"/>
    <x v="515"/>
    <x v="1"/>
    <x v="9"/>
    <x v="0"/>
    <x v="0"/>
    <x v="1"/>
    <x v="1"/>
    <x v="1"/>
    <x v="2"/>
    <x v="1"/>
    <x v="1"/>
    <x v="1"/>
    <x v="2"/>
    <x v="0"/>
    <x v="1"/>
    <x v="1"/>
    <x v="2"/>
    <x v="669"/>
    <x v="15"/>
    <x v="0"/>
    <x v="0"/>
    <x v="1"/>
    <x v="0"/>
    <x v="0"/>
    <x v="0"/>
    <x v="0"/>
  </r>
  <r>
    <x v="1493"/>
    <x v="654"/>
    <x v="638"/>
    <x v="633"/>
    <x v="1184"/>
    <x v="1"/>
    <x v="2"/>
    <x v="407"/>
    <x v="516"/>
    <x v="1"/>
    <x v="293"/>
    <x v="0"/>
    <x v="0"/>
    <x v="1"/>
    <x v="1"/>
    <x v="1"/>
    <x v="1"/>
    <x v="1"/>
    <x v="2"/>
    <x v="1"/>
    <x v="1"/>
    <x v="340"/>
    <x v="1"/>
    <x v="1"/>
    <x v="2"/>
    <x v="648"/>
    <x v="3"/>
    <x v="1"/>
    <x v="16"/>
    <x v="1"/>
    <x v="0"/>
    <x v="866"/>
    <x v="0"/>
    <x v="0"/>
  </r>
  <r>
    <x v="1494"/>
    <x v="696"/>
    <x v="677"/>
    <x v="672"/>
    <x v="1185"/>
    <x v="1"/>
    <x v="1"/>
    <x v="673"/>
    <x v="507"/>
    <x v="1"/>
    <x v="31"/>
    <x v="0"/>
    <x v="0"/>
    <x v="1"/>
    <x v="1"/>
    <x v="1"/>
    <x v="1"/>
    <x v="1"/>
    <x v="3"/>
    <x v="1"/>
    <x v="2"/>
    <x v="0"/>
    <x v="1"/>
    <x v="1"/>
    <x v="2"/>
    <x v="688"/>
    <x v="17"/>
    <x v="0"/>
    <x v="0"/>
    <x v="1"/>
    <x v="0"/>
    <x v="0"/>
    <x v="0"/>
    <x v="0"/>
  </r>
  <r>
    <x v="1495"/>
    <x v="700"/>
    <x v="680"/>
    <x v="675"/>
    <x v="0"/>
    <x v="1"/>
    <x v="2"/>
    <x v="676"/>
    <x v="510"/>
    <x v="1"/>
    <x v="15"/>
    <x v="0"/>
    <x v="0"/>
    <x v="3"/>
    <x v="1"/>
    <x v="1"/>
    <x v="2"/>
    <x v="1"/>
    <x v="2"/>
    <x v="1"/>
    <x v="2"/>
    <x v="0"/>
    <x v="2"/>
    <x v="3"/>
    <x v="4"/>
    <x v="691"/>
    <x v="15"/>
    <x v="0"/>
    <x v="0"/>
    <x v="1"/>
    <x v="0"/>
    <x v="0"/>
    <x v="0"/>
    <x v="0"/>
  </r>
  <r>
    <x v="1496"/>
    <x v="704"/>
    <x v="684"/>
    <x v="679"/>
    <x v="1186"/>
    <x v="3"/>
    <x v="2"/>
    <x v="680"/>
    <x v="288"/>
    <x v="1"/>
    <x v="294"/>
    <x v="0"/>
    <x v="0"/>
    <x v="1"/>
    <x v="2"/>
    <x v="3"/>
    <x v="2"/>
    <x v="1"/>
    <x v="2"/>
    <x v="1"/>
    <x v="1"/>
    <x v="332"/>
    <x v="1"/>
    <x v="1"/>
    <x v="2"/>
    <x v="695"/>
    <x v="3"/>
    <x v="3"/>
    <x v="0"/>
    <x v="1"/>
    <x v="0"/>
    <x v="867"/>
    <x v="425"/>
    <x v="0"/>
  </r>
  <r>
    <x v="1497"/>
    <x v="705"/>
    <x v="685"/>
    <x v="680"/>
    <x v="1187"/>
    <x v="1"/>
    <x v="2"/>
    <x v="681"/>
    <x v="196"/>
    <x v="6"/>
    <x v="0"/>
    <x v="0"/>
    <x v="10"/>
    <x v="1"/>
    <x v="3"/>
    <x v="1"/>
    <x v="1"/>
    <x v="2"/>
    <x v="1"/>
    <x v="1"/>
    <x v="1"/>
    <x v="334"/>
    <x v="1"/>
    <x v="5"/>
    <x v="2"/>
    <x v="696"/>
    <x v="3"/>
    <x v="1"/>
    <x v="4"/>
    <x v="2"/>
    <x v="1"/>
    <x v="868"/>
    <x v="0"/>
    <x v="0"/>
  </r>
  <r>
    <x v="1498"/>
    <x v="654"/>
    <x v="638"/>
    <x v="633"/>
    <x v="0"/>
    <x v="1"/>
    <x v="2"/>
    <x v="407"/>
    <x v="516"/>
    <x v="1"/>
    <x v="295"/>
    <x v="0"/>
    <x v="0"/>
    <x v="3"/>
    <x v="1"/>
    <x v="1"/>
    <x v="1"/>
    <x v="1"/>
    <x v="2"/>
    <x v="1"/>
    <x v="2"/>
    <x v="0"/>
    <x v="2"/>
    <x v="1"/>
    <x v="4"/>
    <x v="648"/>
    <x v="17"/>
    <x v="0"/>
    <x v="0"/>
    <x v="1"/>
    <x v="0"/>
    <x v="0"/>
    <x v="0"/>
    <x v="0"/>
  </r>
  <r>
    <x v="1499"/>
    <x v="701"/>
    <x v="681"/>
    <x v="676"/>
    <x v="1188"/>
    <x v="1"/>
    <x v="2"/>
    <x v="677"/>
    <x v="517"/>
    <x v="1"/>
    <x v="296"/>
    <x v="0"/>
    <x v="0"/>
    <x v="3"/>
    <x v="1"/>
    <x v="1"/>
    <x v="2"/>
    <x v="1"/>
    <x v="3"/>
    <x v="1"/>
    <x v="2"/>
    <x v="0"/>
    <x v="1"/>
    <x v="3"/>
    <x v="4"/>
    <x v="692"/>
    <x v="1"/>
    <x v="0"/>
    <x v="0"/>
    <x v="1"/>
    <x v="0"/>
    <x v="0"/>
    <x v="0"/>
    <x v="0"/>
  </r>
  <r>
    <x v="1500"/>
    <x v="706"/>
    <x v="686"/>
    <x v="681"/>
    <x v="1189"/>
    <x v="3"/>
    <x v="2"/>
    <x v="682"/>
    <x v="518"/>
    <x v="1"/>
    <x v="33"/>
    <x v="0"/>
    <x v="0"/>
    <x v="1"/>
    <x v="1"/>
    <x v="1"/>
    <x v="2"/>
    <x v="1"/>
    <x v="2"/>
    <x v="1"/>
    <x v="1"/>
    <x v="334"/>
    <x v="1"/>
    <x v="2"/>
    <x v="2"/>
    <x v="697"/>
    <x v="5"/>
    <x v="3"/>
    <x v="0"/>
    <x v="1"/>
    <x v="0"/>
    <x v="869"/>
    <x v="426"/>
    <x v="389"/>
  </r>
  <r>
    <x v="1501"/>
    <x v="699"/>
    <x v="633"/>
    <x v="627"/>
    <x v="1190"/>
    <x v="1"/>
    <x v="2"/>
    <x v="631"/>
    <x v="513"/>
    <x v="1"/>
    <x v="291"/>
    <x v="0"/>
    <x v="0"/>
    <x v="3"/>
    <x v="1"/>
    <x v="1"/>
    <x v="2"/>
    <x v="1"/>
    <x v="2"/>
    <x v="1"/>
    <x v="2"/>
    <x v="0"/>
    <x v="1"/>
    <x v="3"/>
    <x v="4"/>
    <x v="643"/>
    <x v="1"/>
    <x v="0"/>
    <x v="0"/>
    <x v="1"/>
    <x v="0"/>
    <x v="0"/>
    <x v="0"/>
    <x v="0"/>
  </r>
  <r>
    <x v="1502"/>
    <x v="679"/>
    <x v="660"/>
    <x v="655"/>
    <x v="0"/>
    <x v="1"/>
    <x v="2"/>
    <x v="658"/>
    <x v="519"/>
    <x v="1"/>
    <x v="22"/>
    <x v="0"/>
    <x v="0"/>
    <x v="3"/>
    <x v="1"/>
    <x v="1"/>
    <x v="2"/>
    <x v="1"/>
    <x v="1"/>
    <x v="1"/>
    <x v="2"/>
    <x v="0"/>
    <x v="2"/>
    <x v="3"/>
    <x v="4"/>
    <x v="671"/>
    <x v="15"/>
    <x v="0"/>
    <x v="0"/>
    <x v="1"/>
    <x v="0"/>
    <x v="0"/>
    <x v="0"/>
    <x v="0"/>
  </r>
  <r>
    <x v="1503"/>
    <x v="707"/>
    <x v="430"/>
    <x v="425"/>
    <x v="1191"/>
    <x v="1"/>
    <x v="2"/>
    <x v="440"/>
    <x v="341"/>
    <x v="1"/>
    <x v="33"/>
    <x v="0"/>
    <x v="0"/>
    <x v="1"/>
    <x v="1"/>
    <x v="2"/>
    <x v="2"/>
    <x v="1"/>
    <x v="2"/>
    <x v="1"/>
    <x v="1"/>
    <x v="334"/>
    <x v="1"/>
    <x v="1"/>
    <x v="2"/>
    <x v="433"/>
    <x v="5"/>
    <x v="3"/>
    <x v="0"/>
    <x v="1"/>
    <x v="0"/>
    <x v="870"/>
    <x v="427"/>
    <x v="0"/>
  </r>
  <r>
    <x v="1504"/>
    <x v="703"/>
    <x v="683"/>
    <x v="678"/>
    <x v="1192"/>
    <x v="3"/>
    <x v="2"/>
    <x v="679"/>
    <x v="431"/>
    <x v="1"/>
    <x v="4"/>
    <x v="0"/>
    <x v="0"/>
    <x v="3"/>
    <x v="1"/>
    <x v="1"/>
    <x v="2"/>
    <x v="1"/>
    <x v="1"/>
    <x v="1"/>
    <x v="2"/>
    <x v="0"/>
    <x v="1"/>
    <x v="3"/>
    <x v="4"/>
    <x v="694"/>
    <x v="15"/>
    <x v="0"/>
    <x v="0"/>
    <x v="1"/>
    <x v="0"/>
    <x v="0"/>
    <x v="0"/>
    <x v="0"/>
  </r>
  <r>
    <x v="1505"/>
    <x v="680"/>
    <x v="661"/>
    <x v="656"/>
    <x v="1193"/>
    <x v="1"/>
    <x v="3"/>
    <x v="659"/>
    <x v="340"/>
    <x v="1"/>
    <x v="36"/>
    <x v="0"/>
    <x v="0"/>
    <x v="3"/>
    <x v="1"/>
    <x v="1"/>
    <x v="2"/>
    <x v="1"/>
    <x v="2"/>
    <x v="1"/>
    <x v="2"/>
    <x v="0"/>
    <x v="2"/>
    <x v="3"/>
    <x v="4"/>
    <x v="672"/>
    <x v="5"/>
    <x v="0"/>
    <x v="0"/>
    <x v="1"/>
    <x v="0"/>
    <x v="0"/>
    <x v="0"/>
    <x v="0"/>
  </r>
  <r>
    <x v="1506"/>
    <x v="440"/>
    <x v="436"/>
    <x v="431"/>
    <x v="1194"/>
    <x v="1"/>
    <x v="1"/>
    <x v="446"/>
    <x v="340"/>
    <x v="1"/>
    <x v="70"/>
    <x v="0"/>
    <x v="0"/>
    <x v="1"/>
    <x v="1"/>
    <x v="1"/>
    <x v="1"/>
    <x v="1"/>
    <x v="3"/>
    <x v="3"/>
    <x v="2"/>
    <x v="0"/>
    <x v="1"/>
    <x v="2"/>
    <x v="2"/>
    <x v="439"/>
    <x v="5"/>
    <x v="0"/>
    <x v="0"/>
    <x v="1"/>
    <x v="0"/>
    <x v="0"/>
    <x v="0"/>
    <x v="0"/>
  </r>
  <r>
    <x v="1507"/>
    <x v="705"/>
    <x v="685"/>
    <x v="680"/>
    <x v="1195"/>
    <x v="1"/>
    <x v="2"/>
    <x v="681"/>
    <x v="196"/>
    <x v="6"/>
    <x v="0"/>
    <x v="0"/>
    <x v="10"/>
    <x v="3"/>
    <x v="1"/>
    <x v="1"/>
    <x v="2"/>
    <x v="2"/>
    <x v="3"/>
    <x v="4"/>
    <x v="2"/>
    <x v="0"/>
    <x v="1"/>
    <x v="3"/>
    <x v="4"/>
    <x v="696"/>
    <x v="1"/>
    <x v="0"/>
    <x v="0"/>
    <x v="1"/>
    <x v="0"/>
    <x v="0"/>
    <x v="0"/>
    <x v="0"/>
  </r>
  <r>
    <x v="1508"/>
    <x v="708"/>
    <x v="687"/>
    <x v="682"/>
    <x v="1196"/>
    <x v="1"/>
    <x v="2"/>
    <x v="683"/>
    <x v="236"/>
    <x v="1"/>
    <x v="297"/>
    <x v="0"/>
    <x v="0"/>
    <x v="1"/>
    <x v="1"/>
    <x v="1"/>
    <x v="2"/>
    <x v="1"/>
    <x v="2"/>
    <x v="1"/>
    <x v="2"/>
    <x v="0"/>
    <x v="1"/>
    <x v="1"/>
    <x v="2"/>
    <x v="698"/>
    <x v="1"/>
    <x v="0"/>
    <x v="0"/>
    <x v="1"/>
    <x v="0"/>
    <x v="0"/>
    <x v="0"/>
    <x v="0"/>
  </r>
  <r>
    <x v="1509"/>
    <x v="440"/>
    <x v="436"/>
    <x v="431"/>
    <x v="1197"/>
    <x v="1"/>
    <x v="1"/>
    <x v="446"/>
    <x v="340"/>
    <x v="1"/>
    <x v="79"/>
    <x v="0"/>
    <x v="0"/>
    <x v="1"/>
    <x v="1"/>
    <x v="1"/>
    <x v="2"/>
    <x v="1"/>
    <x v="2"/>
    <x v="1"/>
    <x v="2"/>
    <x v="0"/>
    <x v="1"/>
    <x v="2"/>
    <x v="3"/>
    <x v="439"/>
    <x v="17"/>
    <x v="0"/>
    <x v="0"/>
    <x v="1"/>
    <x v="0"/>
    <x v="0"/>
    <x v="0"/>
    <x v="0"/>
  </r>
  <r>
    <x v="1510"/>
    <x v="702"/>
    <x v="682"/>
    <x v="677"/>
    <x v="1198"/>
    <x v="1"/>
    <x v="2"/>
    <x v="678"/>
    <x v="514"/>
    <x v="1"/>
    <x v="292"/>
    <x v="0"/>
    <x v="0"/>
    <x v="3"/>
    <x v="1"/>
    <x v="1"/>
    <x v="1"/>
    <x v="1"/>
    <x v="2"/>
    <x v="4"/>
    <x v="1"/>
    <x v="341"/>
    <x v="1"/>
    <x v="3"/>
    <x v="4"/>
    <x v="693"/>
    <x v="1"/>
    <x v="1"/>
    <x v="14"/>
    <x v="2"/>
    <x v="1"/>
    <x v="871"/>
    <x v="0"/>
    <x v="0"/>
  </r>
  <r>
    <x v="1511"/>
    <x v="709"/>
    <x v="688"/>
    <x v="683"/>
    <x v="1199"/>
    <x v="1"/>
    <x v="2"/>
    <x v="684"/>
    <x v="520"/>
    <x v="1"/>
    <x v="15"/>
    <x v="0"/>
    <x v="0"/>
    <x v="1"/>
    <x v="1"/>
    <x v="1"/>
    <x v="2"/>
    <x v="1"/>
    <x v="2"/>
    <x v="1"/>
    <x v="1"/>
    <x v="342"/>
    <x v="1"/>
    <x v="5"/>
    <x v="3"/>
    <x v="699"/>
    <x v="14"/>
    <x v="1"/>
    <x v="4"/>
    <x v="1"/>
    <x v="0"/>
    <x v="872"/>
    <x v="0"/>
    <x v="0"/>
  </r>
  <r>
    <x v="1512"/>
    <x v="708"/>
    <x v="687"/>
    <x v="682"/>
    <x v="1200"/>
    <x v="1"/>
    <x v="2"/>
    <x v="683"/>
    <x v="236"/>
    <x v="1"/>
    <x v="298"/>
    <x v="0"/>
    <x v="0"/>
    <x v="1"/>
    <x v="1"/>
    <x v="1"/>
    <x v="2"/>
    <x v="1"/>
    <x v="2"/>
    <x v="4"/>
    <x v="1"/>
    <x v="343"/>
    <x v="1"/>
    <x v="1"/>
    <x v="2"/>
    <x v="698"/>
    <x v="1"/>
    <x v="3"/>
    <x v="0"/>
    <x v="1"/>
    <x v="0"/>
    <x v="873"/>
    <x v="0"/>
    <x v="0"/>
  </r>
  <r>
    <x v="1513"/>
    <x v="709"/>
    <x v="688"/>
    <x v="683"/>
    <x v="0"/>
    <x v="1"/>
    <x v="2"/>
    <x v="684"/>
    <x v="520"/>
    <x v="1"/>
    <x v="15"/>
    <x v="0"/>
    <x v="0"/>
    <x v="3"/>
    <x v="1"/>
    <x v="1"/>
    <x v="2"/>
    <x v="1"/>
    <x v="2"/>
    <x v="1"/>
    <x v="2"/>
    <x v="0"/>
    <x v="2"/>
    <x v="3"/>
    <x v="4"/>
    <x v="699"/>
    <x v="1"/>
    <x v="0"/>
    <x v="0"/>
    <x v="1"/>
    <x v="0"/>
    <x v="0"/>
    <x v="0"/>
    <x v="0"/>
  </r>
  <r>
    <x v="1514"/>
    <x v="692"/>
    <x v="673"/>
    <x v="668"/>
    <x v="1201"/>
    <x v="1"/>
    <x v="2"/>
    <x v="669"/>
    <x v="504"/>
    <x v="1"/>
    <x v="123"/>
    <x v="0"/>
    <x v="0"/>
    <x v="1"/>
    <x v="1"/>
    <x v="1"/>
    <x v="1"/>
    <x v="1"/>
    <x v="3"/>
    <x v="1"/>
    <x v="2"/>
    <x v="0"/>
    <x v="1"/>
    <x v="1"/>
    <x v="2"/>
    <x v="684"/>
    <x v="2"/>
    <x v="0"/>
    <x v="0"/>
    <x v="1"/>
    <x v="0"/>
    <x v="0"/>
    <x v="0"/>
    <x v="0"/>
  </r>
  <r>
    <x v="1515"/>
    <x v="674"/>
    <x v="656"/>
    <x v="651"/>
    <x v="1202"/>
    <x v="1"/>
    <x v="1"/>
    <x v="181"/>
    <x v="406"/>
    <x v="1"/>
    <x v="15"/>
    <x v="0"/>
    <x v="0"/>
    <x v="1"/>
    <x v="1"/>
    <x v="1"/>
    <x v="1"/>
    <x v="1"/>
    <x v="1"/>
    <x v="1"/>
    <x v="1"/>
    <x v="342"/>
    <x v="1"/>
    <x v="1"/>
    <x v="2"/>
    <x v="667"/>
    <x v="12"/>
    <x v="1"/>
    <x v="7"/>
    <x v="2"/>
    <x v="1"/>
    <x v="874"/>
    <x v="0"/>
    <x v="390"/>
  </r>
  <r>
    <x v="1516"/>
    <x v="710"/>
    <x v="689"/>
    <x v="684"/>
    <x v="1203"/>
    <x v="3"/>
    <x v="2"/>
    <x v="516"/>
    <x v="59"/>
    <x v="1"/>
    <x v="27"/>
    <x v="0"/>
    <x v="0"/>
    <x v="1"/>
    <x v="1"/>
    <x v="1"/>
    <x v="2"/>
    <x v="1"/>
    <x v="2"/>
    <x v="1"/>
    <x v="2"/>
    <x v="0"/>
    <x v="1"/>
    <x v="1"/>
    <x v="2"/>
    <x v="700"/>
    <x v="15"/>
    <x v="0"/>
    <x v="0"/>
    <x v="1"/>
    <x v="0"/>
    <x v="0"/>
    <x v="0"/>
    <x v="0"/>
  </r>
  <r>
    <x v="1517"/>
    <x v="696"/>
    <x v="677"/>
    <x v="672"/>
    <x v="1204"/>
    <x v="1"/>
    <x v="2"/>
    <x v="673"/>
    <x v="449"/>
    <x v="1"/>
    <x v="299"/>
    <x v="0"/>
    <x v="0"/>
    <x v="1"/>
    <x v="1"/>
    <x v="2"/>
    <x v="1"/>
    <x v="1"/>
    <x v="3"/>
    <x v="1"/>
    <x v="1"/>
    <x v="341"/>
    <x v="1"/>
    <x v="1"/>
    <x v="2"/>
    <x v="688"/>
    <x v="1"/>
    <x v="3"/>
    <x v="0"/>
    <x v="1"/>
    <x v="0"/>
    <x v="875"/>
    <x v="428"/>
    <x v="0"/>
  </r>
  <r>
    <x v="1518"/>
    <x v="674"/>
    <x v="656"/>
    <x v="651"/>
    <x v="0"/>
    <x v="1"/>
    <x v="1"/>
    <x v="181"/>
    <x v="406"/>
    <x v="1"/>
    <x v="15"/>
    <x v="0"/>
    <x v="0"/>
    <x v="3"/>
    <x v="1"/>
    <x v="1"/>
    <x v="1"/>
    <x v="1"/>
    <x v="2"/>
    <x v="1"/>
    <x v="1"/>
    <x v="343"/>
    <x v="2"/>
    <x v="3"/>
    <x v="4"/>
    <x v="667"/>
    <x v="12"/>
    <x v="1"/>
    <x v="1"/>
    <x v="1"/>
    <x v="0"/>
    <x v="876"/>
    <x v="0"/>
    <x v="391"/>
  </r>
  <r>
    <x v="1519"/>
    <x v="711"/>
    <x v="690"/>
    <x v="685"/>
    <x v="1205"/>
    <x v="1"/>
    <x v="2"/>
    <x v="685"/>
    <x v="521"/>
    <x v="1"/>
    <x v="15"/>
    <x v="0"/>
    <x v="0"/>
    <x v="1"/>
    <x v="1"/>
    <x v="1"/>
    <x v="1"/>
    <x v="1"/>
    <x v="2"/>
    <x v="1"/>
    <x v="1"/>
    <x v="343"/>
    <x v="1"/>
    <x v="5"/>
    <x v="2"/>
    <x v="701"/>
    <x v="12"/>
    <x v="1"/>
    <x v="1"/>
    <x v="1"/>
    <x v="0"/>
    <x v="877"/>
    <x v="0"/>
    <x v="0"/>
  </r>
  <r>
    <x v="1520"/>
    <x v="712"/>
    <x v="691"/>
    <x v="686"/>
    <x v="1206"/>
    <x v="1"/>
    <x v="2"/>
    <x v="686"/>
    <x v="522"/>
    <x v="1"/>
    <x v="15"/>
    <x v="0"/>
    <x v="0"/>
    <x v="1"/>
    <x v="1"/>
    <x v="1"/>
    <x v="2"/>
    <x v="1"/>
    <x v="2"/>
    <x v="1"/>
    <x v="1"/>
    <x v="343"/>
    <x v="1"/>
    <x v="6"/>
    <x v="2"/>
    <x v="702"/>
    <x v="5"/>
    <x v="1"/>
    <x v="1"/>
    <x v="1"/>
    <x v="0"/>
    <x v="878"/>
    <x v="0"/>
    <x v="0"/>
  </r>
  <r>
    <x v="1521"/>
    <x v="674"/>
    <x v="656"/>
    <x v="651"/>
    <x v="0"/>
    <x v="1"/>
    <x v="1"/>
    <x v="181"/>
    <x v="406"/>
    <x v="1"/>
    <x v="15"/>
    <x v="0"/>
    <x v="0"/>
    <x v="3"/>
    <x v="1"/>
    <x v="1"/>
    <x v="2"/>
    <x v="1"/>
    <x v="2"/>
    <x v="1"/>
    <x v="1"/>
    <x v="344"/>
    <x v="2"/>
    <x v="3"/>
    <x v="4"/>
    <x v="667"/>
    <x v="5"/>
    <x v="1"/>
    <x v="5"/>
    <x v="2"/>
    <x v="1"/>
    <x v="879"/>
    <x v="0"/>
    <x v="0"/>
  </r>
  <r>
    <x v="1522"/>
    <x v="713"/>
    <x v="692"/>
    <x v="687"/>
    <x v="1207"/>
    <x v="3"/>
    <x v="2"/>
    <x v="73"/>
    <x v="299"/>
    <x v="1"/>
    <x v="2"/>
    <x v="0"/>
    <x v="0"/>
    <x v="1"/>
    <x v="2"/>
    <x v="3"/>
    <x v="1"/>
    <x v="1"/>
    <x v="2"/>
    <x v="4"/>
    <x v="1"/>
    <x v="345"/>
    <x v="1"/>
    <x v="6"/>
    <x v="2"/>
    <x v="703"/>
    <x v="5"/>
    <x v="3"/>
    <x v="0"/>
    <x v="1"/>
    <x v="0"/>
    <x v="880"/>
    <x v="429"/>
    <x v="0"/>
  </r>
  <r>
    <x v="1523"/>
    <x v="712"/>
    <x v="691"/>
    <x v="686"/>
    <x v="1206"/>
    <x v="1"/>
    <x v="2"/>
    <x v="686"/>
    <x v="522"/>
    <x v="1"/>
    <x v="15"/>
    <x v="0"/>
    <x v="0"/>
    <x v="3"/>
    <x v="3"/>
    <x v="3"/>
    <x v="2"/>
    <x v="1"/>
    <x v="2"/>
    <x v="1"/>
    <x v="1"/>
    <x v="345"/>
    <x v="1"/>
    <x v="3"/>
    <x v="4"/>
    <x v="702"/>
    <x v="5"/>
    <x v="3"/>
    <x v="0"/>
    <x v="1"/>
    <x v="0"/>
    <x v="881"/>
    <x v="430"/>
    <x v="0"/>
  </r>
  <r>
    <x v="1524"/>
    <x v="711"/>
    <x v="690"/>
    <x v="685"/>
    <x v="0"/>
    <x v="1"/>
    <x v="2"/>
    <x v="685"/>
    <x v="523"/>
    <x v="1"/>
    <x v="15"/>
    <x v="0"/>
    <x v="0"/>
    <x v="3"/>
    <x v="4"/>
    <x v="1"/>
    <x v="2"/>
    <x v="1"/>
    <x v="2"/>
    <x v="1"/>
    <x v="2"/>
    <x v="0"/>
    <x v="2"/>
    <x v="3"/>
    <x v="4"/>
    <x v="701"/>
    <x v="5"/>
    <x v="0"/>
    <x v="0"/>
    <x v="1"/>
    <x v="0"/>
    <x v="0"/>
    <x v="0"/>
    <x v="0"/>
  </r>
  <r>
    <x v="1525"/>
    <x v="674"/>
    <x v="656"/>
    <x v="651"/>
    <x v="1208"/>
    <x v="1"/>
    <x v="1"/>
    <x v="181"/>
    <x v="406"/>
    <x v="1"/>
    <x v="15"/>
    <x v="0"/>
    <x v="0"/>
    <x v="3"/>
    <x v="1"/>
    <x v="1"/>
    <x v="1"/>
    <x v="1"/>
    <x v="3"/>
    <x v="1"/>
    <x v="2"/>
    <x v="0"/>
    <x v="1"/>
    <x v="3"/>
    <x v="4"/>
    <x v="667"/>
    <x v="2"/>
    <x v="0"/>
    <x v="0"/>
    <x v="1"/>
    <x v="0"/>
    <x v="0"/>
    <x v="0"/>
    <x v="0"/>
  </r>
  <r>
    <x v="1526"/>
    <x v="440"/>
    <x v="436"/>
    <x v="431"/>
    <x v="1209"/>
    <x v="1"/>
    <x v="1"/>
    <x v="446"/>
    <x v="340"/>
    <x v="1"/>
    <x v="57"/>
    <x v="0"/>
    <x v="0"/>
    <x v="1"/>
    <x v="3"/>
    <x v="3"/>
    <x v="1"/>
    <x v="1"/>
    <x v="2"/>
    <x v="1"/>
    <x v="1"/>
    <x v="344"/>
    <x v="1"/>
    <x v="1"/>
    <x v="2"/>
    <x v="439"/>
    <x v="12"/>
    <x v="1"/>
    <x v="7"/>
    <x v="1"/>
    <x v="0"/>
    <x v="882"/>
    <x v="0"/>
    <x v="392"/>
  </r>
  <r>
    <x v="1527"/>
    <x v="714"/>
    <x v="693"/>
    <x v="688"/>
    <x v="1210"/>
    <x v="3"/>
    <x v="1"/>
    <x v="687"/>
    <x v="524"/>
    <x v="1"/>
    <x v="9"/>
    <x v="0"/>
    <x v="0"/>
    <x v="1"/>
    <x v="1"/>
    <x v="1"/>
    <x v="2"/>
    <x v="1"/>
    <x v="1"/>
    <x v="1"/>
    <x v="2"/>
    <x v="0"/>
    <x v="1"/>
    <x v="1"/>
    <x v="2"/>
    <x v="704"/>
    <x v="15"/>
    <x v="0"/>
    <x v="0"/>
    <x v="1"/>
    <x v="0"/>
    <x v="0"/>
    <x v="0"/>
    <x v="0"/>
  </r>
  <r>
    <x v="1528"/>
    <x v="696"/>
    <x v="677"/>
    <x v="672"/>
    <x v="1211"/>
    <x v="1"/>
    <x v="2"/>
    <x v="688"/>
    <x v="507"/>
    <x v="1"/>
    <x v="2"/>
    <x v="0"/>
    <x v="0"/>
    <x v="1"/>
    <x v="1"/>
    <x v="1"/>
    <x v="2"/>
    <x v="1"/>
    <x v="3"/>
    <x v="1"/>
    <x v="1"/>
    <x v="344"/>
    <x v="1"/>
    <x v="1"/>
    <x v="2"/>
    <x v="688"/>
    <x v="1"/>
    <x v="3"/>
    <x v="0"/>
    <x v="1"/>
    <x v="0"/>
    <x v="883"/>
    <x v="431"/>
    <x v="0"/>
  </r>
  <r>
    <x v="1529"/>
    <x v="440"/>
    <x v="436"/>
    <x v="431"/>
    <x v="0"/>
    <x v="1"/>
    <x v="1"/>
    <x v="446"/>
    <x v="340"/>
    <x v="1"/>
    <x v="57"/>
    <x v="0"/>
    <x v="0"/>
    <x v="3"/>
    <x v="4"/>
    <x v="1"/>
    <x v="1"/>
    <x v="1"/>
    <x v="2"/>
    <x v="1"/>
    <x v="2"/>
    <x v="0"/>
    <x v="2"/>
    <x v="3"/>
    <x v="4"/>
    <x v="439"/>
    <x v="12"/>
    <x v="0"/>
    <x v="0"/>
    <x v="1"/>
    <x v="0"/>
    <x v="0"/>
    <x v="0"/>
    <x v="0"/>
  </r>
  <r>
    <x v="1530"/>
    <x v="715"/>
    <x v="531"/>
    <x v="523"/>
    <x v="1212"/>
    <x v="1"/>
    <x v="2"/>
    <x v="541"/>
    <x v="525"/>
    <x v="1"/>
    <x v="4"/>
    <x v="0"/>
    <x v="0"/>
    <x v="1"/>
    <x v="1"/>
    <x v="1"/>
    <x v="1"/>
    <x v="1"/>
    <x v="3"/>
    <x v="1"/>
    <x v="2"/>
    <x v="0"/>
    <x v="1"/>
    <x v="1"/>
    <x v="2"/>
    <x v="534"/>
    <x v="2"/>
    <x v="0"/>
    <x v="0"/>
    <x v="1"/>
    <x v="0"/>
    <x v="0"/>
    <x v="0"/>
    <x v="0"/>
  </r>
  <r>
    <x v="1531"/>
    <x v="716"/>
    <x v="694"/>
    <x v="689"/>
    <x v="1213"/>
    <x v="1"/>
    <x v="3"/>
    <x v="689"/>
    <x v="395"/>
    <x v="1"/>
    <x v="300"/>
    <x v="0"/>
    <x v="0"/>
    <x v="1"/>
    <x v="1"/>
    <x v="1"/>
    <x v="2"/>
    <x v="1"/>
    <x v="2"/>
    <x v="1"/>
    <x v="2"/>
    <x v="0"/>
    <x v="1"/>
    <x v="1"/>
    <x v="2"/>
    <x v="705"/>
    <x v="3"/>
    <x v="0"/>
    <x v="0"/>
    <x v="1"/>
    <x v="0"/>
    <x v="0"/>
    <x v="0"/>
    <x v="0"/>
  </r>
  <r>
    <x v="1532"/>
    <x v="702"/>
    <x v="682"/>
    <x v="677"/>
    <x v="1214"/>
    <x v="1"/>
    <x v="1"/>
    <x v="678"/>
    <x v="514"/>
    <x v="1"/>
    <x v="301"/>
    <x v="0"/>
    <x v="0"/>
    <x v="3"/>
    <x v="3"/>
    <x v="3"/>
    <x v="1"/>
    <x v="1"/>
    <x v="1"/>
    <x v="1"/>
    <x v="1"/>
    <x v="346"/>
    <x v="2"/>
    <x v="3"/>
    <x v="4"/>
    <x v="706"/>
    <x v="15"/>
    <x v="1"/>
    <x v="13"/>
    <x v="1"/>
    <x v="0"/>
    <x v="884"/>
    <x v="0"/>
    <x v="393"/>
  </r>
  <r>
    <x v="1533"/>
    <x v="698"/>
    <x v="679"/>
    <x v="674"/>
    <x v="1215"/>
    <x v="1"/>
    <x v="2"/>
    <x v="675"/>
    <x v="508"/>
    <x v="1"/>
    <x v="9"/>
    <x v="0"/>
    <x v="0"/>
    <x v="1"/>
    <x v="2"/>
    <x v="3"/>
    <x v="2"/>
    <x v="1"/>
    <x v="2"/>
    <x v="1"/>
    <x v="1"/>
    <x v="346"/>
    <x v="1"/>
    <x v="5"/>
    <x v="2"/>
    <x v="690"/>
    <x v="3"/>
    <x v="3"/>
    <x v="0"/>
    <x v="1"/>
    <x v="0"/>
    <x v="885"/>
    <x v="432"/>
    <x v="54"/>
  </r>
  <r>
    <x v="1534"/>
    <x v="702"/>
    <x v="682"/>
    <x v="677"/>
    <x v="0"/>
    <x v="1"/>
    <x v="2"/>
    <x v="678"/>
    <x v="514"/>
    <x v="1"/>
    <x v="27"/>
    <x v="0"/>
    <x v="0"/>
    <x v="3"/>
    <x v="1"/>
    <x v="2"/>
    <x v="2"/>
    <x v="1"/>
    <x v="2"/>
    <x v="1"/>
    <x v="1"/>
    <x v="347"/>
    <x v="2"/>
    <x v="3"/>
    <x v="4"/>
    <x v="706"/>
    <x v="14"/>
    <x v="1"/>
    <x v="14"/>
    <x v="1"/>
    <x v="0"/>
    <x v="886"/>
    <x v="0"/>
    <x v="394"/>
  </r>
  <r>
    <x v="1535"/>
    <x v="708"/>
    <x v="687"/>
    <x v="682"/>
    <x v="1216"/>
    <x v="1"/>
    <x v="2"/>
    <x v="683"/>
    <x v="236"/>
    <x v="6"/>
    <x v="0"/>
    <x v="0"/>
    <x v="32"/>
    <x v="1"/>
    <x v="1"/>
    <x v="1"/>
    <x v="2"/>
    <x v="1"/>
    <x v="2"/>
    <x v="1"/>
    <x v="2"/>
    <x v="0"/>
    <x v="1"/>
    <x v="1"/>
    <x v="2"/>
    <x v="698"/>
    <x v="14"/>
    <x v="0"/>
    <x v="0"/>
    <x v="1"/>
    <x v="0"/>
    <x v="0"/>
    <x v="0"/>
    <x v="0"/>
  </r>
  <r>
    <x v="1536"/>
    <x v="717"/>
    <x v="695"/>
    <x v="690"/>
    <x v="1217"/>
    <x v="1"/>
    <x v="2"/>
    <x v="690"/>
    <x v="526"/>
    <x v="2"/>
    <x v="0"/>
    <x v="2"/>
    <x v="0"/>
    <x v="1"/>
    <x v="1"/>
    <x v="1"/>
    <x v="2"/>
    <x v="1"/>
    <x v="2"/>
    <x v="1"/>
    <x v="2"/>
    <x v="0"/>
    <x v="1"/>
    <x v="1"/>
    <x v="2"/>
    <x v="707"/>
    <x v="14"/>
    <x v="0"/>
    <x v="0"/>
    <x v="1"/>
    <x v="0"/>
    <x v="0"/>
    <x v="0"/>
    <x v="0"/>
  </r>
  <r>
    <x v="1537"/>
    <x v="687"/>
    <x v="668"/>
    <x v="663"/>
    <x v="1218"/>
    <x v="1"/>
    <x v="1"/>
    <x v="665"/>
    <x v="527"/>
    <x v="1"/>
    <x v="126"/>
    <x v="0"/>
    <x v="0"/>
    <x v="1"/>
    <x v="3"/>
    <x v="3"/>
    <x v="1"/>
    <x v="1"/>
    <x v="2"/>
    <x v="4"/>
    <x v="1"/>
    <x v="348"/>
    <x v="2"/>
    <x v="1"/>
    <x v="1"/>
    <x v="679"/>
    <x v="2"/>
    <x v="3"/>
    <x v="0"/>
    <x v="1"/>
    <x v="0"/>
    <x v="887"/>
    <x v="433"/>
    <x v="0"/>
  </r>
  <r>
    <x v="1538"/>
    <x v="718"/>
    <x v="696"/>
    <x v="691"/>
    <x v="1219"/>
    <x v="1"/>
    <x v="2"/>
    <x v="691"/>
    <x v="524"/>
    <x v="1"/>
    <x v="9"/>
    <x v="0"/>
    <x v="0"/>
    <x v="1"/>
    <x v="1"/>
    <x v="1"/>
    <x v="1"/>
    <x v="1"/>
    <x v="3"/>
    <x v="1"/>
    <x v="1"/>
    <x v="348"/>
    <x v="1"/>
    <x v="5"/>
    <x v="3"/>
    <x v="708"/>
    <x v="3"/>
    <x v="1"/>
    <x v="3"/>
    <x v="1"/>
    <x v="0"/>
    <x v="888"/>
    <x v="0"/>
    <x v="395"/>
  </r>
  <r>
    <x v="1539"/>
    <x v="719"/>
    <x v="697"/>
    <x v="692"/>
    <x v="1220"/>
    <x v="1"/>
    <x v="1"/>
    <x v="692"/>
    <x v="528"/>
    <x v="1"/>
    <x v="31"/>
    <x v="0"/>
    <x v="0"/>
    <x v="1"/>
    <x v="1"/>
    <x v="1"/>
    <x v="1"/>
    <x v="1"/>
    <x v="2"/>
    <x v="1"/>
    <x v="1"/>
    <x v="348"/>
    <x v="1"/>
    <x v="1"/>
    <x v="2"/>
    <x v="709"/>
    <x v="3"/>
    <x v="3"/>
    <x v="0"/>
    <x v="1"/>
    <x v="0"/>
    <x v="889"/>
    <x v="434"/>
    <x v="396"/>
  </r>
  <r>
    <x v="1540"/>
    <x v="632"/>
    <x v="617"/>
    <x v="611"/>
    <x v="1221"/>
    <x v="1"/>
    <x v="2"/>
    <x v="542"/>
    <x v="10"/>
    <x v="1"/>
    <x v="9"/>
    <x v="0"/>
    <x v="0"/>
    <x v="1"/>
    <x v="2"/>
    <x v="3"/>
    <x v="2"/>
    <x v="1"/>
    <x v="2"/>
    <x v="1"/>
    <x v="1"/>
    <x v="347"/>
    <x v="1"/>
    <x v="1"/>
    <x v="2"/>
    <x v="626"/>
    <x v="1"/>
    <x v="1"/>
    <x v="14"/>
    <x v="1"/>
    <x v="0"/>
    <x v="890"/>
    <x v="0"/>
    <x v="0"/>
  </r>
  <r>
    <x v="1541"/>
    <x v="720"/>
    <x v="698"/>
    <x v="693"/>
    <x v="1222"/>
    <x v="1"/>
    <x v="2"/>
    <x v="693"/>
    <x v="525"/>
    <x v="1"/>
    <x v="3"/>
    <x v="0"/>
    <x v="0"/>
    <x v="1"/>
    <x v="3"/>
    <x v="2"/>
    <x v="2"/>
    <x v="1"/>
    <x v="3"/>
    <x v="1"/>
    <x v="1"/>
    <x v="349"/>
    <x v="1"/>
    <x v="1"/>
    <x v="2"/>
    <x v="710"/>
    <x v="1"/>
    <x v="3"/>
    <x v="0"/>
    <x v="1"/>
    <x v="0"/>
    <x v="891"/>
    <x v="435"/>
    <x v="0"/>
  </r>
  <r>
    <x v="1542"/>
    <x v="718"/>
    <x v="696"/>
    <x v="691"/>
    <x v="1219"/>
    <x v="1"/>
    <x v="2"/>
    <x v="691"/>
    <x v="524"/>
    <x v="1"/>
    <x v="9"/>
    <x v="0"/>
    <x v="0"/>
    <x v="3"/>
    <x v="1"/>
    <x v="1"/>
    <x v="2"/>
    <x v="1"/>
    <x v="3"/>
    <x v="1"/>
    <x v="2"/>
    <x v="0"/>
    <x v="1"/>
    <x v="3"/>
    <x v="4"/>
    <x v="708"/>
    <x v="3"/>
    <x v="0"/>
    <x v="0"/>
    <x v="1"/>
    <x v="0"/>
    <x v="0"/>
    <x v="0"/>
    <x v="0"/>
  </r>
  <r>
    <x v="1543"/>
    <x v="721"/>
    <x v="699"/>
    <x v="694"/>
    <x v="1223"/>
    <x v="1"/>
    <x v="2"/>
    <x v="694"/>
    <x v="529"/>
    <x v="1"/>
    <x v="193"/>
    <x v="0"/>
    <x v="0"/>
    <x v="1"/>
    <x v="1"/>
    <x v="1"/>
    <x v="2"/>
    <x v="1"/>
    <x v="2"/>
    <x v="1"/>
    <x v="2"/>
    <x v="0"/>
    <x v="1"/>
    <x v="1"/>
    <x v="2"/>
    <x v="711"/>
    <x v="3"/>
    <x v="0"/>
    <x v="0"/>
    <x v="1"/>
    <x v="0"/>
    <x v="0"/>
    <x v="0"/>
    <x v="0"/>
  </r>
  <r>
    <x v="1544"/>
    <x v="340"/>
    <x v="340"/>
    <x v="335"/>
    <x v="1224"/>
    <x v="1"/>
    <x v="2"/>
    <x v="355"/>
    <x v="280"/>
    <x v="2"/>
    <x v="0"/>
    <x v="2"/>
    <x v="0"/>
    <x v="1"/>
    <x v="1"/>
    <x v="2"/>
    <x v="1"/>
    <x v="1"/>
    <x v="2"/>
    <x v="4"/>
    <x v="1"/>
    <x v="347"/>
    <x v="1"/>
    <x v="1"/>
    <x v="1"/>
    <x v="342"/>
    <x v="14"/>
    <x v="3"/>
    <x v="7"/>
    <x v="1"/>
    <x v="0"/>
    <x v="892"/>
    <x v="436"/>
    <x v="0"/>
  </r>
  <r>
    <x v="1545"/>
    <x v="696"/>
    <x v="677"/>
    <x v="672"/>
    <x v="1225"/>
    <x v="1"/>
    <x v="1"/>
    <x v="673"/>
    <x v="507"/>
    <x v="1"/>
    <x v="2"/>
    <x v="0"/>
    <x v="0"/>
    <x v="1"/>
    <x v="2"/>
    <x v="3"/>
    <x v="1"/>
    <x v="1"/>
    <x v="3"/>
    <x v="1"/>
    <x v="1"/>
    <x v="350"/>
    <x v="1"/>
    <x v="1"/>
    <x v="2"/>
    <x v="688"/>
    <x v="2"/>
    <x v="3"/>
    <x v="0"/>
    <x v="1"/>
    <x v="0"/>
    <x v="893"/>
    <x v="437"/>
    <x v="0"/>
  </r>
  <r>
    <x v="1546"/>
    <x v="722"/>
    <x v="700"/>
    <x v="695"/>
    <x v="1226"/>
    <x v="3"/>
    <x v="2"/>
    <x v="695"/>
    <x v="530"/>
    <x v="1"/>
    <x v="24"/>
    <x v="0"/>
    <x v="0"/>
    <x v="1"/>
    <x v="1"/>
    <x v="1"/>
    <x v="2"/>
    <x v="1"/>
    <x v="2"/>
    <x v="1"/>
    <x v="2"/>
    <x v="0"/>
    <x v="1"/>
    <x v="1"/>
    <x v="2"/>
    <x v="712"/>
    <x v="12"/>
    <x v="0"/>
    <x v="0"/>
    <x v="1"/>
    <x v="0"/>
    <x v="0"/>
    <x v="0"/>
    <x v="0"/>
  </r>
  <r>
    <x v="1547"/>
    <x v="702"/>
    <x v="682"/>
    <x v="677"/>
    <x v="0"/>
    <x v="1"/>
    <x v="2"/>
    <x v="678"/>
    <x v="514"/>
    <x v="1"/>
    <x v="27"/>
    <x v="0"/>
    <x v="0"/>
    <x v="3"/>
    <x v="1"/>
    <x v="1"/>
    <x v="2"/>
    <x v="1"/>
    <x v="3"/>
    <x v="1"/>
    <x v="2"/>
    <x v="0"/>
    <x v="2"/>
    <x v="3"/>
    <x v="4"/>
    <x v="706"/>
    <x v="15"/>
    <x v="0"/>
    <x v="0"/>
    <x v="1"/>
    <x v="0"/>
    <x v="0"/>
    <x v="0"/>
    <x v="0"/>
  </r>
  <r>
    <x v="1548"/>
    <x v="689"/>
    <x v="670"/>
    <x v="665"/>
    <x v="1227"/>
    <x v="1"/>
    <x v="2"/>
    <x v="667"/>
    <x v="531"/>
    <x v="1"/>
    <x v="9"/>
    <x v="0"/>
    <x v="0"/>
    <x v="1"/>
    <x v="1"/>
    <x v="1"/>
    <x v="2"/>
    <x v="1"/>
    <x v="2"/>
    <x v="1"/>
    <x v="1"/>
    <x v="350"/>
    <x v="1"/>
    <x v="1"/>
    <x v="2"/>
    <x v="681"/>
    <x v="12"/>
    <x v="1"/>
    <x v="13"/>
    <x v="2"/>
    <x v="1"/>
    <x v="894"/>
    <x v="438"/>
    <x v="397"/>
  </r>
  <r>
    <x v="1549"/>
    <x v="723"/>
    <x v="701"/>
    <x v="696"/>
    <x v="1228"/>
    <x v="1"/>
    <x v="2"/>
    <x v="696"/>
    <x v="353"/>
    <x v="1"/>
    <x v="24"/>
    <x v="0"/>
    <x v="0"/>
    <x v="1"/>
    <x v="3"/>
    <x v="2"/>
    <x v="1"/>
    <x v="1"/>
    <x v="3"/>
    <x v="1"/>
    <x v="1"/>
    <x v="350"/>
    <x v="1"/>
    <x v="1"/>
    <x v="2"/>
    <x v="713"/>
    <x v="2"/>
    <x v="3"/>
    <x v="0"/>
    <x v="1"/>
    <x v="0"/>
    <x v="895"/>
    <x v="439"/>
    <x v="0"/>
  </r>
  <r>
    <x v="1550"/>
    <x v="632"/>
    <x v="617"/>
    <x v="611"/>
    <x v="0"/>
    <x v="1"/>
    <x v="2"/>
    <x v="542"/>
    <x v="10"/>
    <x v="1"/>
    <x v="9"/>
    <x v="0"/>
    <x v="0"/>
    <x v="3"/>
    <x v="4"/>
    <x v="1"/>
    <x v="2"/>
    <x v="1"/>
    <x v="3"/>
    <x v="1"/>
    <x v="1"/>
    <x v="350"/>
    <x v="2"/>
    <x v="3"/>
    <x v="4"/>
    <x v="626"/>
    <x v="15"/>
    <x v="1"/>
    <x v="13"/>
    <x v="2"/>
    <x v="1"/>
    <x v="896"/>
    <x v="0"/>
    <x v="0"/>
  </r>
  <r>
    <x v="1551"/>
    <x v="724"/>
    <x v="702"/>
    <x v="697"/>
    <x v="1229"/>
    <x v="1"/>
    <x v="3"/>
    <x v="697"/>
    <x v="436"/>
    <x v="1"/>
    <x v="302"/>
    <x v="0"/>
    <x v="0"/>
    <x v="1"/>
    <x v="1"/>
    <x v="3"/>
    <x v="1"/>
    <x v="1"/>
    <x v="1"/>
    <x v="1"/>
    <x v="1"/>
    <x v="350"/>
    <x v="2"/>
    <x v="5"/>
    <x v="2"/>
    <x v="714"/>
    <x v="12"/>
    <x v="1"/>
    <x v="13"/>
    <x v="2"/>
    <x v="1"/>
    <x v="897"/>
    <x v="0"/>
    <x v="398"/>
  </r>
  <r>
    <x v="1552"/>
    <x v="725"/>
    <x v="703"/>
    <x v="698"/>
    <x v="1230"/>
    <x v="1"/>
    <x v="2"/>
    <x v="427"/>
    <x v="532"/>
    <x v="1"/>
    <x v="120"/>
    <x v="0"/>
    <x v="0"/>
    <x v="1"/>
    <x v="1"/>
    <x v="4"/>
    <x v="2"/>
    <x v="1"/>
    <x v="1"/>
    <x v="1"/>
    <x v="1"/>
    <x v="351"/>
    <x v="1"/>
    <x v="6"/>
    <x v="3"/>
    <x v="715"/>
    <x v="14"/>
    <x v="3"/>
    <x v="0"/>
    <x v="1"/>
    <x v="0"/>
    <x v="898"/>
    <x v="440"/>
    <x v="0"/>
  </r>
  <r>
    <x v="1553"/>
    <x v="726"/>
    <x v="704"/>
    <x v="699"/>
    <x v="1231"/>
    <x v="3"/>
    <x v="2"/>
    <x v="698"/>
    <x v="338"/>
    <x v="1"/>
    <x v="273"/>
    <x v="0"/>
    <x v="0"/>
    <x v="1"/>
    <x v="1"/>
    <x v="1"/>
    <x v="2"/>
    <x v="1"/>
    <x v="2"/>
    <x v="1"/>
    <x v="2"/>
    <x v="0"/>
    <x v="1"/>
    <x v="4"/>
    <x v="3"/>
    <x v="716"/>
    <x v="14"/>
    <x v="0"/>
    <x v="0"/>
    <x v="1"/>
    <x v="0"/>
    <x v="0"/>
    <x v="0"/>
    <x v="0"/>
  </r>
  <r>
    <x v="1554"/>
    <x v="632"/>
    <x v="617"/>
    <x v="611"/>
    <x v="0"/>
    <x v="1"/>
    <x v="2"/>
    <x v="542"/>
    <x v="10"/>
    <x v="1"/>
    <x v="9"/>
    <x v="0"/>
    <x v="0"/>
    <x v="3"/>
    <x v="1"/>
    <x v="1"/>
    <x v="2"/>
    <x v="1"/>
    <x v="1"/>
    <x v="1"/>
    <x v="1"/>
    <x v="351"/>
    <x v="2"/>
    <x v="3"/>
    <x v="4"/>
    <x v="626"/>
    <x v="14"/>
    <x v="3"/>
    <x v="0"/>
    <x v="1"/>
    <x v="0"/>
    <x v="898"/>
    <x v="440"/>
    <x v="0"/>
  </r>
  <r>
    <x v="1555"/>
    <x v="724"/>
    <x v="702"/>
    <x v="697"/>
    <x v="0"/>
    <x v="1"/>
    <x v="3"/>
    <x v="697"/>
    <x v="436"/>
    <x v="1"/>
    <x v="303"/>
    <x v="0"/>
    <x v="0"/>
    <x v="3"/>
    <x v="3"/>
    <x v="3"/>
    <x v="2"/>
    <x v="1"/>
    <x v="1"/>
    <x v="1"/>
    <x v="1"/>
    <x v="351"/>
    <x v="2"/>
    <x v="3"/>
    <x v="4"/>
    <x v="714"/>
    <x v="14"/>
    <x v="3"/>
    <x v="0"/>
    <x v="1"/>
    <x v="0"/>
    <x v="898"/>
    <x v="440"/>
    <x v="0"/>
  </r>
  <r>
    <x v="1556"/>
    <x v="689"/>
    <x v="670"/>
    <x v="665"/>
    <x v="1232"/>
    <x v="1"/>
    <x v="2"/>
    <x v="667"/>
    <x v="533"/>
    <x v="1"/>
    <x v="9"/>
    <x v="0"/>
    <x v="0"/>
    <x v="3"/>
    <x v="1"/>
    <x v="2"/>
    <x v="2"/>
    <x v="1"/>
    <x v="2"/>
    <x v="1"/>
    <x v="1"/>
    <x v="349"/>
    <x v="1"/>
    <x v="3"/>
    <x v="4"/>
    <x v="681"/>
    <x v="14"/>
    <x v="3"/>
    <x v="0"/>
    <x v="1"/>
    <x v="0"/>
    <x v="899"/>
    <x v="441"/>
    <x v="0"/>
  </r>
  <r>
    <x v="1557"/>
    <x v="727"/>
    <x v="705"/>
    <x v="700"/>
    <x v="1233"/>
    <x v="3"/>
    <x v="2"/>
    <x v="699"/>
    <x v="10"/>
    <x v="1"/>
    <x v="15"/>
    <x v="0"/>
    <x v="0"/>
    <x v="1"/>
    <x v="1"/>
    <x v="1"/>
    <x v="2"/>
    <x v="1"/>
    <x v="2"/>
    <x v="1"/>
    <x v="1"/>
    <x v="351"/>
    <x v="1"/>
    <x v="6"/>
    <x v="3"/>
    <x v="717"/>
    <x v="14"/>
    <x v="3"/>
    <x v="0"/>
    <x v="1"/>
    <x v="0"/>
    <x v="898"/>
    <x v="440"/>
    <x v="0"/>
  </r>
  <r>
    <x v="1558"/>
    <x v="728"/>
    <x v="706"/>
    <x v="701"/>
    <x v="1234"/>
    <x v="1"/>
    <x v="2"/>
    <x v="700"/>
    <x v="534"/>
    <x v="1"/>
    <x v="31"/>
    <x v="0"/>
    <x v="0"/>
    <x v="1"/>
    <x v="2"/>
    <x v="3"/>
    <x v="2"/>
    <x v="1"/>
    <x v="2"/>
    <x v="1"/>
    <x v="1"/>
    <x v="351"/>
    <x v="2"/>
    <x v="6"/>
    <x v="3"/>
    <x v="718"/>
    <x v="14"/>
    <x v="3"/>
    <x v="0"/>
    <x v="1"/>
    <x v="0"/>
    <x v="898"/>
    <x v="442"/>
    <x v="0"/>
  </r>
  <r>
    <x v="1559"/>
    <x v="384"/>
    <x v="384"/>
    <x v="379"/>
    <x v="1235"/>
    <x v="3"/>
    <x v="2"/>
    <x v="399"/>
    <x v="308"/>
    <x v="1"/>
    <x v="33"/>
    <x v="0"/>
    <x v="0"/>
    <x v="1"/>
    <x v="3"/>
    <x v="3"/>
    <x v="2"/>
    <x v="1"/>
    <x v="2"/>
    <x v="1"/>
    <x v="1"/>
    <x v="349"/>
    <x v="1"/>
    <x v="6"/>
    <x v="2"/>
    <x v="387"/>
    <x v="12"/>
    <x v="3"/>
    <x v="0"/>
    <x v="1"/>
    <x v="0"/>
    <x v="900"/>
    <x v="443"/>
    <x v="0"/>
  </r>
  <r>
    <x v="1560"/>
    <x v="729"/>
    <x v="707"/>
    <x v="702"/>
    <x v="1236"/>
    <x v="1"/>
    <x v="2"/>
    <x v="701"/>
    <x v="535"/>
    <x v="1"/>
    <x v="3"/>
    <x v="0"/>
    <x v="0"/>
    <x v="1"/>
    <x v="3"/>
    <x v="2"/>
    <x v="2"/>
    <x v="1"/>
    <x v="2"/>
    <x v="1"/>
    <x v="1"/>
    <x v="349"/>
    <x v="2"/>
    <x v="6"/>
    <x v="2"/>
    <x v="719"/>
    <x v="12"/>
    <x v="1"/>
    <x v="7"/>
    <x v="1"/>
    <x v="0"/>
    <x v="901"/>
    <x v="444"/>
    <x v="0"/>
  </r>
  <r>
    <x v="1561"/>
    <x v="726"/>
    <x v="704"/>
    <x v="699"/>
    <x v="1237"/>
    <x v="3"/>
    <x v="1"/>
    <x v="698"/>
    <x v="338"/>
    <x v="1"/>
    <x v="304"/>
    <x v="0"/>
    <x v="0"/>
    <x v="1"/>
    <x v="3"/>
    <x v="3"/>
    <x v="2"/>
    <x v="1"/>
    <x v="2"/>
    <x v="1"/>
    <x v="1"/>
    <x v="349"/>
    <x v="1"/>
    <x v="6"/>
    <x v="2"/>
    <x v="720"/>
    <x v="12"/>
    <x v="3"/>
    <x v="0"/>
    <x v="1"/>
    <x v="0"/>
    <x v="902"/>
    <x v="445"/>
    <x v="270"/>
  </r>
  <r>
    <x v="1562"/>
    <x v="730"/>
    <x v="708"/>
    <x v="703"/>
    <x v="1238"/>
    <x v="1"/>
    <x v="2"/>
    <x v="702"/>
    <x v="298"/>
    <x v="1"/>
    <x v="305"/>
    <x v="0"/>
    <x v="0"/>
    <x v="1"/>
    <x v="1"/>
    <x v="1"/>
    <x v="2"/>
    <x v="1"/>
    <x v="2"/>
    <x v="1"/>
    <x v="2"/>
    <x v="0"/>
    <x v="1"/>
    <x v="6"/>
    <x v="2"/>
    <x v="721"/>
    <x v="12"/>
    <x v="0"/>
    <x v="0"/>
    <x v="1"/>
    <x v="0"/>
    <x v="0"/>
    <x v="0"/>
    <x v="399"/>
  </r>
  <r>
    <x v="1563"/>
    <x v="708"/>
    <x v="687"/>
    <x v="682"/>
    <x v="1239"/>
    <x v="1"/>
    <x v="1"/>
    <x v="683"/>
    <x v="196"/>
    <x v="6"/>
    <x v="0"/>
    <x v="0"/>
    <x v="16"/>
    <x v="1"/>
    <x v="3"/>
    <x v="3"/>
    <x v="1"/>
    <x v="1"/>
    <x v="2"/>
    <x v="1"/>
    <x v="1"/>
    <x v="352"/>
    <x v="1"/>
    <x v="1"/>
    <x v="2"/>
    <x v="698"/>
    <x v="12"/>
    <x v="3"/>
    <x v="0"/>
    <x v="1"/>
    <x v="0"/>
    <x v="903"/>
    <x v="446"/>
    <x v="0"/>
  </r>
  <r>
    <x v="1564"/>
    <x v="731"/>
    <x v="709"/>
    <x v="704"/>
    <x v="1240"/>
    <x v="1"/>
    <x v="2"/>
    <x v="703"/>
    <x v="536"/>
    <x v="1"/>
    <x v="27"/>
    <x v="0"/>
    <x v="0"/>
    <x v="1"/>
    <x v="2"/>
    <x v="5"/>
    <x v="2"/>
    <x v="1"/>
    <x v="2"/>
    <x v="1"/>
    <x v="1"/>
    <x v="352"/>
    <x v="1"/>
    <x v="1"/>
    <x v="2"/>
    <x v="722"/>
    <x v="3"/>
    <x v="1"/>
    <x v="3"/>
    <x v="2"/>
    <x v="1"/>
    <x v="904"/>
    <x v="0"/>
    <x v="0"/>
  </r>
  <r>
    <x v="1565"/>
    <x v="732"/>
    <x v="710"/>
    <x v="705"/>
    <x v="1241"/>
    <x v="1"/>
    <x v="2"/>
    <x v="704"/>
    <x v="537"/>
    <x v="6"/>
    <x v="0"/>
    <x v="0"/>
    <x v="33"/>
    <x v="1"/>
    <x v="1"/>
    <x v="1"/>
    <x v="2"/>
    <x v="1"/>
    <x v="2"/>
    <x v="1"/>
    <x v="2"/>
    <x v="0"/>
    <x v="1"/>
    <x v="1"/>
    <x v="2"/>
    <x v="723"/>
    <x v="15"/>
    <x v="0"/>
    <x v="0"/>
    <x v="1"/>
    <x v="0"/>
    <x v="0"/>
    <x v="0"/>
    <x v="0"/>
  </r>
  <r>
    <x v="1566"/>
    <x v="733"/>
    <x v="711"/>
    <x v="706"/>
    <x v="1242"/>
    <x v="1"/>
    <x v="2"/>
    <x v="126"/>
    <x v="538"/>
    <x v="12"/>
    <x v="0"/>
    <x v="0"/>
    <x v="0"/>
    <x v="1"/>
    <x v="1"/>
    <x v="4"/>
    <x v="2"/>
    <x v="1"/>
    <x v="3"/>
    <x v="1"/>
    <x v="2"/>
    <x v="0"/>
    <x v="1"/>
    <x v="5"/>
    <x v="2"/>
    <x v="724"/>
    <x v="3"/>
    <x v="0"/>
    <x v="0"/>
    <x v="1"/>
    <x v="0"/>
    <x v="0"/>
    <x v="0"/>
    <x v="0"/>
  </r>
  <r>
    <x v="1567"/>
    <x v="729"/>
    <x v="707"/>
    <x v="702"/>
    <x v="0"/>
    <x v="1"/>
    <x v="2"/>
    <x v="701"/>
    <x v="535"/>
    <x v="1"/>
    <x v="3"/>
    <x v="0"/>
    <x v="0"/>
    <x v="3"/>
    <x v="3"/>
    <x v="2"/>
    <x v="2"/>
    <x v="1"/>
    <x v="2"/>
    <x v="1"/>
    <x v="2"/>
    <x v="0"/>
    <x v="2"/>
    <x v="3"/>
    <x v="4"/>
    <x v="719"/>
    <x v="12"/>
    <x v="0"/>
    <x v="0"/>
    <x v="1"/>
    <x v="0"/>
    <x v="0"/>
    <x v="0"/>
    <x v="0"/>
  </r>
  <r>
    <x v="1568"/>
    <x v="731"/>
    <x v="709"/>
    <x v="704"/>
    <x v="1243"/>
    <x v="1"/>
    <x v="2"/>
    <x v="703"/>
    <x v="536"/>
    <x v="1"/>
    <x v="27"/>
    <x v="0"/>
    <x v="0"/>
    <x v="3"/>
    <x v="4"/>
    <x v="1"/>
    <x v="1"/>
    <x v="1"/>
    <x v="2"/>
    <x v="1"/>
    <x v="2"/>
    <x v="0"/>
    <x v="1"/>
    <x v="3"/>
    <x v="4"/>
    <x v="722"/>
    <x v="3"/>
    <x v="0"/>
    <x v="0"/>
    <x v="1"/>
    <x v="0"/>
    <x v="0"/>
    <x v="0"/>
    <x v="0"/>
  </r>
  <r>
    <x v="1569"/>
    <x v="734"/>
    <x v="712"/>
    <x v="707"/>
    <x v="1244"/>
    <x v="3"/>
    <x v="2"/>
    <x v="705"/>
    <x v="335"/>
    <x v="1"/>
    <x v="33"/>
    <x v="0"/>
    <x v="0"/>
    <x v="1"/>
    <x v="3"/>
    <x v="3"/>
    <x v="2"/>
    <x v="1"/>
    <x v="2"/>
    <x v="1"/>
    <x v="1"/>
    <x v="353"/>
    <x v="1"/>
    <x v="1"/>
    <x v="2"/>
    <x v="725"/>
    <x v="15"/>
    <x v="3"/>
    <x v="13"/>
    <x v="1"/>
    <x v="0"/>
    <x v="905"/>
    <x v="447"/>
    <x v="0"/>
  </r>
  <r>
    <x v="1570"/>
    <x v="735"/>
    <x v="713"/>
    <x v="708"/>
    <x v="1245"/>
    <x v="1"/>
    <x v="2"/>
    <x v="706"/>
    <x v="10"/>
    <x v="1"/>
    <x v="298"/>
    <x v="0"/>
    <x v="0"/>
    <x v="1"/>
    <x v="1"/>
    <x v="1"/>
    <x v="2"/>
    <x v="1"/>
    <x v="3"/>
    <x v="1"/>
    <x v="1"/>
    <x v="352"/>
    <x v="1"/>
    <x v="1"/>
    <x v="2"/>
    <x v="726"/>
    <x v="1"/>
    <x v="1"/>
    <x v="4"/>
    <x v="2"/>
    <x v="1"/>
    <x v="906"/>
    <x v="0"/>
    <x v="0"/>
  </r>
  <r>
    <x v="1571"/>
    <x v="735"/>
    <x v="713"/>
    <x v="708"/>
    <x v="1246"/>
    <x v="1"/>
    <x v="2"/>
    <x v="706"/>
    <x v="10"/>
    <x v="1"/>
    <x v="222"/>
    <x v="0"/>
    <x v="0"/>
    <x v="3"/>
    <x v="1"/>
    <x v="1"/>
    <x v="2"/>
    <x v="1"/>
    <x v="3"/>
    <x v="1"/>
    <x v="1"/>
    <x v="354"/>
    <x v="1"/>
    <x v="3"/>
    <x v="4"/>
    <x v="726"/>
    <x v="1"/>
    <x v="3"/>
    <x v="0"/>
    <x v="1"/>
    <x v="0"/>
    <x v="907"/>
    <x v="448"/>
    <x v="400"/>
  </r>
  <r>
    <x v="1572"/>
    <x v="736"/>
    <x v="714"/>
    <x v="709"/>
    <x v="1247"/>
    <x v="1"/>
    <x v="1"/>
    <x v="707"/>
    <x v="524"/>
    <x v="1"/>
    <x v="3"/>
    <x v="0"/>
    <x v="0"/>
    <x v="1"/>
    <x v="1"/>
    <x v="2"/>
    <x v="2"/>
    <x v="1"/>
    <x v="3"/>
    <x v="1"/>
    <x v="1"/>
    <x v="353"/>
    <x v="1"/>
    <x v="5"/>
    <x v="2"/>
    <x v="727"/>
    <x v="5"/>
    <x v="3"/>
    <x v="13"/>
    <x v="1"/>
    <x v="0"/>
    <x v="908"/>
    <x v="449"/>
    <x v="0"/>
  </r>
  <r>
    <x v="1573"/>
    <x v="362"/>
    <x v="362"/>
    <x v="357"/>
    <x v="1248"/>
    <x v="1"/>
    <x v="2"/>
    <x v="381"/>
    <x v="539"/>
    <x v="1"/>
    <x v="50"/>
    <x v="0"/>
    <x v="0"/>
    <x v="1"/>
    <x v="3"/>
    <x v="2"/>
    <x v="1"/>
    <x v="1"/>
    <x v="2"/>
    <x v="1"/>
    <x v="1"/>
    <x v="355"/>
    <x v="2"/>
    <x v="5"/>
    <x v="2"/>
    <x v="364"/>
    <x v="3"/>
    <x v="3"/>
    <x v="0"/>
    <x v="1"/>
    <x v="0"/>
    <x v="909"/>
    <x v="0"/>
    <x v="0"/>
  </r>
  <r>
    <x v="1574"/>
    <x v="737"/>
    <x v="715"/>
    <x v="710"/>
    <x v="1249"/>
    <x v="3"/>
    <x v="2"/>
    <x v="708"/>
    <x v="540"/>
    <x v="1"/>
    <x v="15"/>
    <x v="0"/>
    <x v="0"/>
    <x v="1"/>
    <x v="1"/>
    <x v="1"/>
    <x v="1"/>
    <x v="1"/>
    <x v="3"/>
    <x v="1"/>
    <x v="2"/>
    <x v="0"/>
    <x v="1"/>
    <x v="1"/>
    <x v="2"/>
    <x v="728"/>
    <x v="1"/>
    <x v="0"/>
    <x v="0"/>
    <x v="1"/>
    <x v="0"/>
    <x v="0"/>
    <x v="0"/>
    <x v="0"/>
  </r>
  <r>
    <x v="1575"/>
    <x v="509"/>
    <x v="501"/>
    <x v="493"/>
    <x v="1250"/>
    <x v="1"/>
    <x v="2"/>
    <x v="513"/>
    <x v="10"/>
    <x v="1"/>
    <x v="306"/>
    <x v="0"/>
    <x v="0"/>
    <x v="1"/>
    <x v="1"/>
    <x v="1"/>
    <x v="2"/>
    <x v="1"/>
    <x v="1"/>
    <x v="1"/>
    <x v="1"/>
    <x v="355"/>
    <x v="1"/>
    <x v="1"/>
    <x v="2"/>
    <x v="503"/>
    <x v="14"/>
    <x v="1"/>
    <x v="1"/>
    <x v="1"/>
    <x v="0"/>
    <x v="910"/>
    <x v="450"/>
    <x v="0"/>
  </r>
  <r>
    <x v="1576"/>
    <x v="738"/>
    <x v="716"/>
    <x v="711"/>
    <x v="1251"/>
    <x v="1"/>
    <x v="2"/>
    <x v="709"/>
    <x v="10"/>
    <x v="1"/>
    <x v="307"/>
    <x v="0"/>
    <x v="0"/>
    <x v="1"/>
    <x v="1"/>
    <x v="1"/>
    <x v="2"/>
    <x v="1"/>
    <x v="1"/>
    <x v="1"/>
    <x v="2"/>
    <x v="0"/>
    <x v="1"/>
    <x v="1"/>
    <x v="2"/>
    <x v="729"/>
    <x v="14"/>
    <x v="0"/>
    <x v="0"/>
    <x v="1"/>
    <x v="0"/>
    <x v="0"/>
    <x v="0"/>
    <x v="0"/>
  </r>
  <r>
    <x v="1577"/>
    <x v="739"/>
    <x v="717"/>
    <x v="712"/>
    <x v="1252"/>
    <x v="3"/>
    <x v="2"/>
    <x v="40"/>
    <x v="10"/>
    <x v="1"/>
    <x v="2"/>
    <x v="0"/>
    <x v="0"/>
    <x v="1"/>
    <x v="1"/>
    <x v="1"/>
    <x v="2"/>
    <x v="1"/>
    <x v="3"/>
    <x v="1"/>
    <x v="1"/>
    <x v="353"/>
    <x v="1"/>
    <x v="1"/>
    <x v="2"/>
    <x v="730"/>
    <x v="1"/>
    <x v="1"/>
    <x v="4"/>
    <x v="2"/>
    <x v="1"/>
    <x v="911"/>
    <x v="451"/>
    <x v="401"/>
  </r>
  <r>
    <x v="1578"/>
    <x v="739"/>
    <x v="717"/>
    <x v="712"/>
    <x v="1253"/>
    <x v="3"/>
    <x v="2"/>
    <x v="40"/>
    <x v="10"/>
    <x v="1"/>
    <x v="2"/>
    <x v="0"/>
    <x v="0"/>
    <x v="3"/>
    <x v="1"/>
    <x v="1"/>
    <x v="2"/>
    <x v="1"/>
    <x v="3"/>
    <x v="1"/>
    <x v="2"/>
    <x v="0"/>
    <x v="1"/>
    <x v="3"/>
    <x v="4"/>
    <x v="730"/>
    <x v="1"/>
    <x v="0"/>
    <x v="0"/>
    <x v="1"/>
    <x v="0"/>
    <x v="0"/>
    <x v="0"/>
    <x v="0"/>
  </r>
  <r>
    <x v="1579"/>
    <x v="740"/>
    <x v="718"/>
    <x v="713"/>
    <x v="1254"/>
    <x v="1"/>
    <x v="2"/>
    <x v="710"/>
    <x v="426"/>
    <x v="1"/>
    <x v="3"/>
    <x v="0"/>
    <x v="0"/>
    <x v="1"/>
    <x v="1"/>
    <x v="2"/>
    <x v="2"/>
    <x v="1"/>
    <x v="2"/>
    <x v="1"/>
    <x v="1"/>
    <x v="356"/>
    <x v="1"/>
    <x v="1"/>
    <x v="1"/>
    <x v="731"/>
    <x v="14"/>
    <x v="3"/>
    <x v="0"/>
    <x v="1"/>
    <x v="0"/>
    <x v="912"/>
    <x v="452"/>
    <x v="0"/>
  </r>
  <r>
    <x v="1580"/>
    <x v="509"/>
    <x v="501"/>
    <x v="493"/>
    <x v="0"/>
    <x v="1"/>
    <x v="3"/>
    <x v="513"/>
    <x v="375"/>
    <x v="1"/>
    <x v="8"/>
    <x v="0"/>
    <x v="0"/>
    <x v="3"/>
    <x v="1"/>
    <x v="1"/>
    <x v="2"/>
    <x v="1"/>
    <x v="2"/>
    <x v="1"/>
    <x v="2"/>
    <x v="0"/>
    <x v="2"/>
    <x v="3"/>
    <x v="4"/>
    <x v="503"/>
    <x v="5"/>
    <x v="0"/>
    <x v="0"/>
    <x v="1"/>
    <x v="0"/>
    <x v="0"/>
    <x v="0"/>
    <x v="0"/>
  </r>
  <r>
    <x v="1581"/>
    <x v="658"/>
    <x v="642"/>
    <x v="637"/>
    <x v="1255"/>
    <x v="3"/>
    <x v="1"/>
    <x v="638"/>
    <x v="10"/>
    <x v="1"/>
    <x v="31"/>
    <x v="0"/>
    <x v="0"/>
    <x v="1"/>
    <x v="2"/>
    <x v="3"/>
    <x v="2"/>
    <x v="1"/>
    <x v="2"/>
    <x v="1"/>
    <x v="1"/>
    <x v="354"/>
    <x v="1"/>
    <x v="1"/>
    <x v="2"/>
    <x v="652"/>
    <x v="14"/>
    <x v="3"/>
    <x v="0"/>
    <x v="1"/>
    <x v="0"/>
    <x v="913"/>
    <x v="453"/>
    <x v="402"/>
  </r>
  <r>
    <x v="1582"/>
    <x v="301"/>
    <x v="719"/>
    <x v="297"/>
    <x v="1256"/>
    <x v="1"/>
    <x v="2"/>
    <x v="315"/>
    <x v="384"/>
    <x v="6"/>
    <x v="0"/>
    <x v="0"/>
    <x v="10"/>
    <x v="1"/>
    <x v="3"/>
    <x v="3"/>
    <x v="2"/>
    <x v="1"/>
    <x v="2"/>
    <x v="1"/>
    <x v="1"/>
    <x v="354"/>
    <x v="1"/>
    <x v="5"/>
    <x v="3"/>
    <x v="303"/>
    <x v="14"/>
    <x v="3"/>
    <x v="0"/>
    <x v="1"/>
    <x v="0"/>
    <x v="914"/>
    <x v="454"/>
    <x v="403"/>
  </r>
  <r>
    <x v="1583"/>
    <x v="729"/>
    <x v="707"/>
    <x v="702"/>
    <x v="1257"/>
    <x v="1"/>
    <x v="2"/>
    <x v="701"/>
    <x v="535"/>
    <x v="1"/>
    <x v="4"/>
    <x v="0"/>
    <x v="0"/>
    <x v="1"/>
    <x v="1"/>
    <x v="1"/>
    <x v="2"/>
    <x v="1"/>
    <x v="2"/>
    <x v="1"/>
    <x v="1"/>
    <x v="355"/>
    <x v="1"/>
    <x v="5"/>
    <x v="2"/>
    <x v="719"/>
    <x v="5"/>
    <x v="1"/>
    <x v="1"/>
    <x v="1"/>
    <x v="0"/>
    <x v="915"/>
    <x v="0"/>
    <x v="0"/>
  </r>
  <r>
    <x v="1584"/>
    <x v="729"/>
    <x v="707"/>
    <x v="702"/>
    <x v="1257"/>
    <x v="1"/>
    <x v="2"/>
    <x v="701"/>
    <x v="535"/>
    <x v="1"/>
    <x v="4"/>
    <x v="0"/>
    <x v="0"/>
    <x v="3"/>
    <x v="1"/>
    <x v="1"/>
    <x v="2"/>
    <x v="1"/>
    <x v="2"/>
    <x v="1"/>
    <x v="2"/>
    <x v="0"/>
    <x v="1"/>
    <x v="3"/>
    <x v="4"/>
    <x v="719"/>
    <x v="5"/>
    <x v="0"/>
    <x v="0"/>
    <x v="1"/>
    <x v="0"/>
    <x v="0"/>
    <x v="0"/>
    <x v="0"/>
  </r>
  <r>
    <x v="1585"/>
    <x v="741"/>
    <x v="720"/>
    <x v="714"/>
    <x v="1258"/>
    <x v="3"/>
    <x v="2"/>
    <x v="711"/>
    <x v="352"/>
    <x v="1"/>
    <x v="308"/>
    <x v="0"/>
    <x v="0"/>
    <x v="1"/>
    <x v="1"/>
    <x v="1"/>
    <x v="2"/>
    <x v="1"/>
    <x v="2"/>
    <x v="1"/>
    <x v="1"/>
    <x v="354"/>
    <x v="1"/>
    <x v="6"/>
    <x v="3"/>
    <x v="732"/>
    <x v="3"/>
    <x v="1"/>
    <x v="3"/>
    <x v="1"/>
    <x v="0"/>
    <x v="916"/>
    <x v="0"/>
    <x v="404"/>
  </r>
  <r>
    <x v="1586"/>
    <x v="742"/>
    <x v="721"/>
    <x v="715"/>
    <x v="1259"/>
    <x v="1"/>
    <x v="3"/>
    <x v="712"/>
    <x v="384"/>
    <x v="6"/>
    <x v="0"/>
    <x v="0"/>
    <x v="34"/>
    <x v="1"/>
    <x v="1"/>
    <x v="2"/>
    <x v="2"/>
    <x v="1"/>
    <x v="2"/>
    <x v="1"/>
    <x v="1"/>
    <x v="357"/>
    <x v="1"/>
    <x v="6"/>
    <x v="3"/>
    <x v="733"/>
    <x v="14"/>
    <x v="3"/>
    <x v="0"/>
    <x v="1"/>
    <x v="0"/>
    <x v="917"/>
    <x v="455"/>
    <x v="0"/>
  </r>
  <r>
    <x v="1587"/>
    <x v="743"/>
    <x v="633"/>
    <x v="627"/>
    <x v="1260"/>
    <x v="1"/>
    <x v="2"/>
    <x v="631"/>
    <x v="10"/>
    <x v="1"/>
    <x v="22"/>
    <x v="0"/>
    <x v="0"/>
    <x v="1"/>
    <x v="1"/>
    <x v="3"/>
    <x v="2"/>
    <x v="1"/>
    <x v="2"/>
    <x v="1"/>
    <x v="1"/>
    <x v="356"/>
    <x v="1"/>
    <x v="6"/>
    <x v="3"/>
    <x v="643"/>
    <x v="14"/>
    <x v="1"/>
    <x v="1"/>
    <x v="1"/>
    <x v="0"/>
    <x v="918"/>
    <x v="0"/>
    <x v="0"/>
  </r>
  <r>
    <x v="1588"/>
    <x v="744"/>
    <x v="722"/>
    <x v="716"/>
    <x v="1261"/>
    <x v="1"/>
    <x v="1"/>
    <x v="713"/>
    <x v="196"/>
    <x v="6"/>
    <x v="0"/>
    <x v="0"/>
    <x v="10"/>
    <x v="1"/>
    <x v="1"/>
    <x v="1"/>
    <x v="2"/>
    <x v="2"/>
    <x v="2"/>
    <x v="1"/>
    <x v="1"/>
    <x v="358"/>
    <x v="1"/>
    <x v="6"/>
    <x v="2"/>
    <x v="734"/>
    <x v="12"/>
    <x v="1"/>
    <x v="3"/>
    <x v="2"/>
    <x v="1"/>
    <x v="919"/>
    <x v="0"/>
    <x v="405"/>
  </r>
  <r>
    <x v="1589"/>
    <x v="745"/>
    <x v="723"/>
    <x v="717"/>
    <x v="1262"/>
    <x v="1"/>
    <x v="2"/>
    <x v="714"/>
    <x v="533"/>
    <x v="1"/>
    <x v="3"/>
    <x v="0"/>
    <x v="0"/>
    <x v="1"/>
    <x v="1"/>
    <x v="1"/>
    <x v="2"/>
    <x v="1"/>
    <x v="2"/>
    <x v="1"/>
    <x v="2"/>
    <x v="0"/>
    <x v="1"/>
    <x v="6"/>
    <x v="2"/>
    <x v="735"/>
    <x v="12"/>
    <x v="0"/>
    <x v="0"/>
    <x v="1"/>
    <x v="0"/>
    <x v="0"/>
    <x v="0"/>
    <x v="0"/>
  </r>
  <r>
    <x v="1590"/>
    <x v="743"/>
    <x v="633"/>
    <x v="627"/>
    <x v="0"/>
    <x v="1"/>
    <x v="2"/>
    <x v="631"/>
    <x v="541"/>
    <x v="1"/>
    <x v="22"/>
    <x v="0"/>
    <x v="0"/>
    <x v="3"/>
    <x v="1"/>
    <x v="1"/>
    <x v="2"/>
    <x v="1"/>
    <x v="2"/>
    <x v="1"/>
    <x v="1"/>
    <x v="359"/>
    <x v="2"/>
    <x v="3"/>
    <x v="4"/>
    <x v="643"/>
    <x v="5"/>
    <x v="0"/>
    <x v="0"/>
    <x v="1"/>
    <x v="0"/>
    <x v="498"/>
    <x v="0"/>
    <x v="0"/>
  </r>
  <r>
    <x v="1591"/>
    <x v="746"/>
    <x v="724"/>
    <x v="718"/>
    <x v="1263"/>
    <x v="3"/>
    <x v="2"/>
    <x v="715"/>
    <x v="280"/>
    <x v="1"/>
    <x v="9"/>
    <x v="0"/>
    <x v="0"/>
    <x v="1"/>
    <x v="4"/>
    <x v="1"/>
    <x v="2"/>
    <x v="1"/>
    <x v="3"/>
    <x v="1"/>
    <x v="1"/>
    <x v="360"/>
    <x v="1"/>
    <x v="1"/>
    <x v="2"/>
    <x v="736"/>
    <x v="15"/>
    <x v="4"/>
    <x v="5"/>
    <x v="2"/>
    <x v="1"/>
    <x v="920"/>
    <x v="0"/>
    <x v="0"/>
  </r>
  <r>
    <x v="1592"/>
    <x v="747"/>
    <x v="725"/>
    <x v="719"/>
    <x v="1264"/>
    <x v="3"/>
    <x v="2"/>
    <x v="716"/>
    <x v="542"/>
    <x v="1"/>
    <x v="15"/>
    <x v="0"/>
    <x v="0"/>
    <x v="1"/>
    <x v="1"/>
    <x v="1"/>
    <x v="2"/>
    <x v="1"/>
    <x v="2"/>
    <x v="1"/>
    <x v="2"/>
    <x v="0"/>
    <x v="1"/>
    <x v="1"/>
    <x v="2"/>
    <x v="737"/>
    <x v="15"/>
    <x v="0"/>
    <x v="0"/>
    <x v="1"/>
    <x v="0"/>
    <x v="0"/>
    <x v="0"/>
    <x v="0"/>
  </r>
  <r>
    <x v="1593"/>
    <x v="438"/>
    <x v="434"/>
    <x v="429"/>
    <x v="1265"/>
    <x v="1"/>
    <x v="2"/>
    <x v="444"/>
    <x v="339"/>
    <x v="1"/>
    <x v="33"/>
    <x v="0"/>
    <x v="0"/>
    <x v="1"/>
    <x v="3"/>
    <x v="2"/>
    <x v="2"/>
    <x v="1"/>
    <x v="3"/>
    <x v="1"/>
    <x v="2"/>
    <x v="0"/>
    <x v="2"/>
    <x v="1"/>
    <x v="2"/>
    <x v="437"/>
    <x v="2"/>
    <x v="0"/>
    <x v="0"/>
    <x v="1"/>
    <x v="0"/>
    <x v="0"/>
    <x v="0"/>
    <x v="406"/>
  </r>
  <r>
    <x v="1594"/>
    <x v="748"/>
    <x v="726"/>
    <x v="720"/>
    <x v="1266"/>
    <x v="1"/>
    <x v="2"/>
    <x v="717"/>
    <x v="543"/>
    <x v="2"/>
    <x v="0"/>
    <x v="2"/>
    <x v="0"/>
    <x v="1"/>
    <x v="3"/>
    <x v="3"/>
    <x v="2"/>
    <x v="1"/>
    <x v="2"/>
    <x v="1"/>
    <x v="1"/>
    <x v="360"/>
    <x v="1"/>
    <x v="5"/>
    <x v="2"/>
    <x v="738"/>
    <x v="5"/>
    <x v="3"/>
    <x v="0"/>
    <x v="1"/>
    <x v="0"/>
    <x v="921"/>
    <x v="456"/>
    <x v="0"/>
  </r>
  <r>
    <x v="1595"/>
    <x v="741"/>
    <x v="720"/>
    <x v="714"/>
    <x v="0"/>
    <x v="3"/>
    <x v="2"/>
    <x v="711"/>
    <x v="352"/>
    <x v="1"/>
    <x v="308"/>
    <x v="0"/>
    <x v="0"/>
    <x v="3"/>
    <x v="1"/>
    <x v="1"/>
    <x v="2"/>
    <x v="1"/>
    <x v="2"/>
    <x v="1"/>
    <x v="2"/>
    <x v="0"/>
    <x v="1"/>
    <x v="3"/>
    <x v="4"/>
    <x v="732"/>
    <x v="3"/>
    <x v="0"/>
    <x v="0"/>
    <x v="1"/>
    <x v="0"/>
    <x v="0"/>
    <x v="0"/>
    <x v="0"/>
  </r>
  <r>
    <x v="1596"/>
    <x v="327"/>
    <x v="327"/>
    <x v="322"/>
    <x v="1267"/>
    <x v="3"/>
    <x v="2"/>
    <x v="341"/>
    <x v="544"/>
    <x v="1"/>
    <x v="309"/>
    <x v="0"/>
    <x v="0"/>
    <x v="1"/>
    <x v="2"/>
    <x v="3"/>
    <x v="2"/>
    <x v="1"/>
    <x v="2"/>
    <x v="1"/>
    <x v="1"/>
    <x v="358"/>
    <x v="1"/>
    <x v="1"/>
    <x v="2"/>
    <x v="329"/>
    <x v="1"/>
    <x v="1"/>
    <x v="14"/>
    <x v="1"/>
    <x v="0"/>
    <x v="922"/>
    <x v="0"/>
    <x v="407"/>
  </r>
  <r>
    <x v="1597"/>
    <x v="749"/>
    <x v="727"/>
    <x v="721"/>
    <x v="1268"/>
    <x v="1"/>
    <x v="2"/>
    <x v="718"/>
    <x v="545"/>
    <x v="1"/>
    <x v="2"/>
    <x v="0"/>
    <x v="0"/>
    <x v="1"/>
    <x v="1"/>
    <x v="1"/>
    <x v="2"/>
    <x v="1"/>
    <x v="3"/>
    <x v="1"/>
    <x v="1"/>
    <x v="361"/>
    <x v="1"/>
    <x v="5"/>
    <x v="2"/>
    <x v="739"/>
    <x v="3"/>
    <x v="0"/>
    <x v="0"/>
    <x v="1"/>
    <x v="0"/>
    <x v="0"/>
    <x v="0"/>
    <x v="0"/>
  </r>
  <r>
    <x v="1598"/>
    <x v="327"/>
    <x v="327"/>
    <x v="322"/>
    <x v="0"/>
    <x v="3"/>
    <x v="2"/>
    <x v="341"/>
    <x v="544"/>
    <x v="1"/>
    <x v="310"/>
    <x v="0"/>
    <x v="0"/>
    <x v="3"/>
    <x v="4"/>
    <x v="1"/>
    <x v="2"/>
    <x v="1"/>
    <x v="2"/>
    <x v="1"/>
    <x v="2"/>
    <x v="0"/>
    <x v="2"/>
    <x v="3"/>
    <x v="4"/>
    <x v="329"/>
    <x v="15"/>
    <x v="0"/>
    <x v="0"/>
    <x v="1"/>
    <x v="0"/>
    <x v="0"/>
    <x v="0"/>
    <x v="0"/>
  </r>
  <r>
    <x v="1599"/>
    <x v="744"/>
    <x v="722"/>
    <x v="716"/>
    <x v="1269"/>
    <x v="1"/>
    <x v="1"/>
    <x v="713"/>
    <x v="196"/>
    <x v="6"/>
    <x v="0"/>
    <x v="0"/>
    <x v="10"/>
    <x v="3"/>
    <x v="1"/>
    <x v="1"/>
    <x v="2"/>
    <x v="1"/>
    <x v="2"/>
    <x v="1"/>
    <x v="1"/>
    <x v="361"/>
    <x v="1"/>
    <x v="3"/>
    <x v="4"/>
    <x v="734"/>
    <x v="3"/>
    <x v="0"/>
    <x v="0"/>
    <x v="1"/>
    <x v="0"/>
    <x v="0"/>
    <x v="0"/>
    <x v="0"/>
  </r>
  <r>
    <x v="1600"/>
    <x v="750"/>
    <x v="728"/>
    <x v="722"/>
    <x v="1270"/>
    <x v="1"/>
    <x v="2"/>
    <x v="719"/>
    <x v="546"/>
    <x v="1"/>
    <x v="3"/>
    <x v="0"/>
    <x v="0"/>
    <x v="1"/>
    <x v="3"/>
    <x v="2"/>
    <x v="1"/>
    <x v="1"/>
    <x v="3"/>
    <x v="1"/>
    <x v="1"/>
    <x v="361"/>
    <x v="1"/>
    <x v="1"/>
    <x v="2"/>
    <x v="740"/>
    <x v="15"/>
    <x v="0"/>
    <x v="0"/>
    <x v="1"/>
    <x v="0"/>
    <x v="0"/>
    <x v="0"/>
    <x v="0"/>
  </r>
  <r>
    <x v="1601"/>
    <x v="751"/>
    <x v="729"/>
    <x v="723"/>
    <x v="1271"/>
    <x v="1"/>
    <x v="1"/>
    <x v="720"/>
    <x v="547"/>
    <x v="1"/>
    <x v="1"/>
    <x v="0"/>
    <x v="0"/>
    <x v="1"/>
    <x v="2"/>
    <x v="3"/>
    <x v="2"/>
    <x v="1"/>
    <x v="2"/>
    <x v="1"/>
    <x v="1"/>
    <x v="359"/>
    <x v="1"/>
    <x v="1"/>
    <x v="2"/>
    <x v="741"/>
    <x v="3"/>
    <x v="0"/>
    <x v="0"/>
    <x v="1"/>
    <x v="0"/>
    <x v="0"/>
    <x v="0"/>
    <x v="0"/>
  </r>
  <r>
    <x v="1602"/>
    <x v="752"/>
    <x v="730"/>
    <x v="724"/>
    <x v="1272"/>
    <x v="1"/>
    <x v="2"/>
    <x v="721"/>
    <x v="340"/>
    <x v="2"/>
    <x v="0"/>
    <x v="2"/>
    <x v="0"/>
    <x v="1"/>
    <x v="3"/>
    <x v="2"/>
    <x v="1"/>
    <x v="1"/>
    <x v="3"/>
    <x v="1"/>
    <x v="1"/>
    <x v="359"/>
    <x v="2"/>
    <x v="1"/>
    <x v="2"/>
    <x v="742"/>
    <x v="2"/>
    <x v="0"/>
    <x v="0"/>
    <x v="1"/>
    <x v="0"/>
    <x v="0"/>
    <x v="0"/>
    <x v="0"/>
  </r>
  <r>
    <x v="1603"/>
    <x v="0"/>
    <x v="0"/>
    <x v="0"/>
    <x v="0"/>
    <x v="0"/>
    <x v="0"/>
    <x v="0"/>
    <x v="0"/>
    <x v="0"/>
    <x v="0"/>
    <x v="0"/>
    <x v="0"/>
    <x v="0"/>
    <x v="0"/>
    <x v="0"/>
    <x v="0"/>
    <x v="0"/>
    <x v="0"/>
    <x v="0"/>
    <x v="0"/>
    <x v="0"/>
    <x v="0"/>
    <x v="0"/>
    <x v="0"/>
    <x v="0"/>
    <x v="0"/>
    <x v="0"/>
    <x v="0"/>
    <x v="1"/>
    <x v="0"/>
    <x v="0"/>
    <x v="457"/>
    <x v="0"/>
  </r>
  <r>
    <x v="1604"/>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408"/>
  </r>
  <r>
    <x v="1603"/>
    <x v="0"/>
    <x v="0"/>
    <x v="0"/>
    <x v="0"/>
    <x v="0"/>
    <x v="0"/>
    <x v="0"/>
    <x v="0"/>
    <x v="0"/>
    <x v="0"/>
    <x v="0"/>
    <x v="0"/>
    <x v="0"/>
    <x v="0"/>
    <x v="0"/>
    <x v="0"/>
    <x v="0"/>
    <x v="0"/>
    <x v="0"/>
    <x v="0"/>
    <x v="0"/>
    <x v="0"/>
    <x v="0"/>
    <x v="0"/>
    <x v="0"/>
    <x v="21"/>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753"/>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pivotCacheRecords>
</file>

<file path=xl/pivotCache/pivotCacheRecords3.xml><?xml version="1.0" encoding="utf-8"?>
<pivotCacheRecords xmlns="http://schemas.openxmlformats.org/spreadsheetml/2006/main" xmlns:r="http://schemas.openxmlformats.org/officeDocument/2006/relationships" count="1676">
  <r>
    <x v="0"/>
    <x v="0"/>
    <x v="0"/>
    <x v="0"/>
    <x v="0"/>
    <x v="0"/>
    <x v="0"/>
    <x v="0"/>
    <x v="0"/>
    <x v="0"/>
    <x v="0"/>
    <x v="0"/>
    <x v="0"/>
    <x v="0"/>
    <x v="0"/>
    <x v="0"/>
    <x v="0"/>
    <x v="0"/>
    <x v="0"/>
    <x v="0"/>
    <x v="0"/>
    <x v="0"/>
    <x v="0"/>
    <x v="0"/>
    <x v="0"/>
    <x v="0"/>
    <x v="0"/>
    <x v="0"/>
    <x v="0"/>
    <x v="0"/>
    <x v="0"/>
    <x v="0"/>
    <x v="0"/>
    <x v="0"/>
  </r>
  <r>
    <x v="1"/>
    <x v="0"/>
    <x v="0"/>
    <x v="0"/>
    <x v="0"/>
    <x v="0"/>
    <x v="0"/>
    <x v="0"/>
    <x v="0"/>
    <x v="0"/>
    <x v="0"/>
    <x v="0"/>
    <x v="0"/>
    <x v="0"/>
    <x v="0"/>
    <x v="0"/>
    <x v="0"/>
    <x v="0"/>
    <x v="0"/>
    <x v="0"/>
    <x v="0"/>
    <x v="0"/>
    <x v="0"/>
    <x v="0"/>
    <x v="0"/>
    <x v="0"/>
    <x v="0"/>
    <x v="0"/>
    <x v="0"/>
    <x v="0"/>
    <x v="0"/>
    <x v="0"/>
    <x v="0"/>
    <x v="0"/>
  </r>
  <r>
    <x v="2"/>
    <x v="0"/>
    <x v="0"/>
    <x v="0"/>
    <x v="0"/>
    <x v="0"/>
    <x v="0"/>
    <x v="0"/>
    <x v="0"/>
    <x v="0"/>
    <x v="0"/>
    <x v="0"/>
    <x v="0"/>
    <x v="0"/>
    <x v="0"/>
    <x v="0"/>
    <x v="0"/>
    <x v="0"/>
    <x v="0"/>
    <x v="0"/>
    <x v="0"/>
    <x v="0"/>
    <x v="0"/>
    <x v="0"/>
    <x v="0"/>
    <x v="0"/>
    <x v="0"/>
    <x v="0"/>
    <x v="0"/>
    <x v="0"/>
    <x v="0"/>
    <x v="0"/>
    <x v="0"/>
    <x v="0"/>
  </r>
  <r>
    <x v="3"/>
    <x v="1"/>
    <x v="1"/>
    <x v="1"/>
    <x v="1"/>
    <x v="1"/>
    <x v="1"/>
    <x v="1"/>
    <x v="0"/>
    <x v="1"/>
    <x v="0"/>
    <x v="0"/>
    <x v="0"/>
    <x v="1"/>
    <x v="1"/>
    <x v="1"/>
    <x v="1"/>
    <x v="1"/>
    <x v="1"/>
    <x v="1"/>
    <x v="1"/>
    <x v="1"/>
    <x v="1"/>
    <x v="1"/>
    <x v="1"/>
    <x v="1"/>
    <x v="0"/>
    <x v="1"/>
    <x v="1"/>
    <x v="1"/>
    <x v="0"/>
    <x v="1"/>
    <x v="0"/>
    <x v="0"/>
  </r>
  <r>
    <x v="4"/>
    <x v="2"/>
    <x v="2"/>
    <x v="2"/>
    <x v="2"/>
    <x v="1"/>
    <x v="2"/>
    <x v="2"/>
    <x v="1"/>
    <x v="1"/>
    <x v="1"/>
    <x v="0"/>
    <x v="0"/>
    <x v="1"/>
    <x v="1"/>
    <x v="2"/>
    <x v="1"/>
    <x v="1"/>
    <x v="1"/>
    <x v="1"/>
    <x v="1"/>
    <x v="2"/>
    <x v="2"/>
    <x v="1"/>
    <x v="2"/>
    <x v="2"/>
    <x v="0"/>
    <x v="1"/>
    <x v="1"/>
    <x v="1"/>
    <x v="0"/>
    <x v="2"/>
    <x v="1"/>
    <x v="0"/>
  </r>
  <r>
    <x v="5"/>
    <x v="3"/>
    <x v="3"/>
    <x v="3"/>
    <x v="3"/>
    <x v="1"/>
    <x v="2"/>
    <x v="3"/>
    <x v="0"/>
    <x v="1"/>
    <x v="2"/>
    <x v="0"/>
    <x v="0"/>
    <x v="2"/>
    <x v="2"/>
    <x v="3"/>
    <x v="2"/>
    <x v="1"/>
    <x v="1"/>
    <x v="1"/>
    <x v="1"/>
    <x v="3"/>
    <x v="2"/>
    <x v="2"/>
    <x v="3"/>
    <x v="3"/>
    <x v="0"/>
    <x v="2"/>
    <x v="0"/>
    <x v="1"/>
    <x v="0"/>
    <x v="3"/>
    <x v="0"/>
    <x v="0"/>
  </r>
  <r>
    <x v="6"/>
    <x v="4"/>
    <x v="4"/>
    <x v="4"/>
    <x v="4"/>
    <x v="1"/>
    <x v="1"/>
    <x v="4"/>
    <x v="0"/>
    <x v="1"/>
    <x v="3"/>
    <x v="0"/>
    <x v="0"/>
    <x v="1"/>
    <x v="1"/>
    <x v="1"/>
    <x v="2"/>
    <x v="1"/>
    <x v="2"/>
    <x v="1"/>
    <x v="1"/>
    <x v="4"/>
    <x v="1"/>
    <x v="2"/>
    <x v="2"/>
    <x v="4"/>
    <x v="0"/>
    <x v="1"/>
    <x v="2"/>
    <x v="1"/>
    <x v="0"/>
    <x v="4"/>
    <x v="2"/>
    <x v="1"/>
  </r>
  <r>
    <x v="7"/>
    <x v="5"/>
    <x v="5"/>
    <x v="5"/>
    <x v="5"/>
    <x v="1"/>
    <x v="2"/>
    <x v="5"/>
    <x v="2"/>
    <x v="2"/>
    <x v="0"/>
    <x v="1"/>
    <x v="0"/>
    <x v="1"/>
    <x v="1"/>
    <x v="1"/>
    <x v="2"/>
    <x v="1"/>
    <x v="3"/>
    <x v="1"/>
    <x v="1"/>
    <x v="5"/>
    <x v="2"/>
    <x v="1"/>
    <x v="2"/>
    <x v="5"/>
    <x v="0"/>
    <x v="1"/>
    <x v="3"/>
    <x v="1"/>
    <x v="0"/>
    <x v="4"/>
    <x v="3"/>
    <x v="0"/>
  </r>
  <r>
    <x v="8"/>
    <x v="6"/>
    <x v="6"/>
    <x v="6"/>
    <x v="6"/>
    <x v="1"/>
    <x v="3"/>
    <x v="6"/>
    <x v="3"/>
    <x v="1"/>
    <x v="4"/>
    <x v="0"/>
    <x v="0"/>
    <x v="1"/>
    <x v="1"/>
    <x v="1"/>
    <x v="2"/>
    <x v="1"/>
    <x v="2"/>
    <x v="1"/>
    <x v="1"/>
    <x v="6"/>
    <x v="2"/>
    <x v="1"/>
    <x v="2"/>
    <x v="6"/>
    <x v="1"/>
    <x v="1"/>
    <x v="4"/>
    <x v="1"/>
    <x v="0"/>
    <x v="5"/>
    <x v="0"/>
    <x v="0"/>
  </r>
  <r>
    <x v="9"/>
    <x v="6"/>
    <x v="6"/>
    <x v="6"/>
    <x v="0"/>
    <x v="1"/>
    <x v="3"/>
    <x v="6"/>
    <x v="4"/>
    <x v="1"/>
    <x v="4"/>
    <x v="0"/>
    <x v="0"/>
    <x v="3"/>
    <x v="3"/>
    <x v="2"/>
    <x v="1"/>
    <x v="1"/>
    <x v="2"/>
    <x v="1"/>
    <x v="1"/>
    <x v="7"/>
    <x v="2"/>
    <x v="3"/>
    <x v="4"/>
    <x v="6"/>
    <x v="1"/>
    <x v="3"/>
    <x v="0"/>
    <x v="1"/>
    <x v="0"/>
    <x v="0"/>
    <x v="0"/>
    <x v="0"/>
  </r>
  <r>
    <x v="10"/>
    <x v="7"/>
    <x v="7"/>
    <x v="7"/>
    <x v="7"/>
    <x v="1"/>
    <x v="1"/>
    <x v="7"/>
    <x v="5"/>
    <x v="3"/>
    <x v="0"/>
    <x v="0"/>
    <x v="0"/>
    <x v="1"/>
    <x v="1"/>
    <x v="1"/>
    <x v="2"/>
    <x v="1"/>
    <x v="1"/>
    <x v="1"/>
    <x v="1"/>
    <x v="8"/>
    <x v="1"/>
    <x v="1"/>
    <x v="2"/>
    <x v="7"/>
    <x v="2"/>
    <x v="0"/>
    <x v="0"/>
    <x v="1"/>
    <x v="0"/>
    <x v="0"/>
    <x v="0"/>
    <x v="0"/>
  </r>
  <r>
    <x v="11"/>
    <x v="7"/>
    <x v="7"/>
    <x v="7"/>
    <x v="8"/>
    <x v="1"/>
    <x v="1"/>
    <x v="8"/>
    <x v="5"/>
    <x v="1"/>
    <x v="4"/>
    <x v="0"/>
    <x v="0"/>
    <x v="1"/>
    <x v="2"/>
    <x v="3"/>
    <x v="2"/>
    <x v="1"/>
    <x v="2"/>
    <x v="1"/>
    <x v="1"/>
    <x v="8"/>
    <x v="1"/>
    <x v="1"/>
    <x v="2"/>
    <x v="7"/>
    <x v="3"/>
    <x v="1"/>
    <x v="5"/>
    <x v="1"/>
    <x v="0"/>
    <x v="6"/>
    <x v="4"/>
    <x v="0"/>
  </r>
  <r>
    <x v="12"/>
    <x v="2"/>
    <x v="2"/>
    <x v="2"/>
    <x v="0"/>
    <x v="1"/>
    <x v="2"/>
    <x v="2"/>
    <x v="1"/>
    <x v="1"/>
    <x v="1"/>
    <x v="0"/>
    <x v="0"/>
    <x v="3"/>
    <x v="1"/>
    <x v="1"/>
    <x v="2"/>
    <x v="1"/>
    <x v="1"/>
    <x v="1"/>
    <x v="2"/>
    <x v="0"/>
    <x v="2"/>
    <x v="3"/>
    <x v="4"/>
    <x v="2"/>
    <x v="0"/>
    <x v="0"/>
    <x v="0"/>
    <x v="1"/>
    <x v="0"/>
    <x v="0"/>
    <x v="0"/>
    <x v="0"/>
  </r>
  <r>
    <x v="13"/>
    <x v="5"/>
    <x v="5"/>
    <x v="5"/>
    <x v="0"/>
    <x v="1"/>
    <x v="2"/>
    <x v="5"/>
    <x v="2"/>
    <x v="2"/>
    <x v="0"/>
    <x v="2"/>
    <x v="0"/>
    <x v="3"/>
    <x v="1"/>
    <x v="1"/>
    <x v="2"/>
    <x v="1"/>
    <x v="3"/>
    <x v="1"/>
    <x v="2"/>
    <x v="0"/>
    <x v="2"/>
    <x v="3"/>
    <x v="4"/>
    <x v="5"/>
    <x v="0"/>
    <x v="0"/>
    <x v="0"/>
    <x v="1"/>
    <x v="0"/>
    <x v="0"/>
    <x v="0"/>
    <x v="0"/>
  </r>
  <r>
    <x v="14"/>
    <x v="4"/>
    <x v="4"/>
    <x v="4"/>
    <x v="0"/>
    <x v="1"/>
    <x v="1"/>
    <x v="4"/>
    <x v="0"/>
    <x v="1"/>
    <x v="3"/>
    <x v="0"/>
    <x v="0"/>
    <x v="3"/>
    <x v="1"/>
    <x v="1"/>
    <x v="2"/>
    <x v="1"/>
    <x v="2"/>
    <x v="1"/>
    <x v="2"/>
    <x v="0"/>
    <x v="2"/>
    <x v="3"/>
    <x v="4"/>
    <x v="4"/>
    <x v="0"/>
    <x v="0"/>
    <x v="0"/>
    <x v="1"/>
    <x v="0"/>
    <x v="0"/>
    <x v="0"/>
    <x v="0"/>
  </r>
  <r>
    <x v="15"/>
    <x v="7"/>
    <x v="7"/>
    <x v="7"/>
    <x v="0"/>
    <x v="1"/>
    <x v="1"/>
    <x v="7"/>
    <x v="5"/>
    <x v="2"/>
    <x v="0"/>
    <x v="2"/>
    <x v="0"/>
    <x v="3"/>
    <x v="2"/>
    <x v="3"/>
    <x v="2"/>
    <x v="1"/>
    <x v="1"/>
    <x v="1"/>
    <x v="1"/>
    <x v="9"/>
    <x v="2"/>
    <x v="3"/>
    <x v="4"/>
    <x v="7"/>
    <x v="2"/>
    <x v="1"/>
    <x v="2"/>
    <x v="1"/>
    <x v="0"/>
    <x v="7"/>
    <x v="5"/>
    <x v="0"/>
  </r>
  <r>
    <x v="16"/>
    <x v="7"/>
    <x v="7"/>
    <x v="7"/>
    <x v="0"/>
    <x v="1"/>
    <x v="1"/>
    <x v="7"/>
    <x v="5"/>
    <x v="2"/>
    <x v="0"/>
    <x v="2"/>
    <x v="0"/>
    <x v="3"/>
    <x v="2"/>
    <x v="3"/>
    <x v="2"/>
    <x v="1"/>
    <x v="2"/>
    <x v="1"/>
    <x v="1"/>
    <x v="10"/>
    <x v="2"/>
    <x v="3"/>
    <x v="4"/>
    <x v="7"/>
    <x v="4"/>
    <x v="1"/>
    <x v="1"/>
    <x v="1"/>
    <x v="0"/>
    <x v="8"/>
    <x v="0"/>
    <x v="0"/>
  </r>
  <r>
    <x v="17"/>
    <x v="7"/>
    <x v="7"/>
    <x v="7"/>
    <x v="0"/>
    <x v="1"/>
    <x v="1"/>
    <x v="7"/>
    <x v="5"/>
    <x v="2"/>
    <x v="0"/>
    <x v="2"/>
    <x v="0"/>
    <x v="3"/>
    <x v="1"/>
    <x v="1"/>
    <x v="2"/>
    <x v="1"/>
    <x v="2"/>
    <x v="1"/>
    <x v="2"/>
    <x v="0"/>
    <x v="2"/>
    <x v="3"/>
    <x v="4"/>
    <x v="7"/>
    <x v="5"/>
    <x v="0"/>
    <x v="0"/>
    <x v="1"/>
    <x v="0"/>
    <x v="0"/>
    <x v="0"/>
    <x v="0"/>
  </r>
  <r>
    <x v="18"/>
    <x v="8"/>
    <x v="8"/>
    <x v="8"/>
    <x v="9"/>
    <x v="1"/>
    <x v="2"/>
    <x v="9"/>
    <x v="6"/>
    <x v="2"/>
    <x v="0"/>
    <x v="3"/>
    <x v="0"/>
    <x v="1"/>
    <x v="1"/>
    <x v="1"/>
    <x v="2"/>
    <x v="1"/>
    <x v="2"/>
    <x v="1"/>
    <x v="2"/>
    <x v="0"/>
    <x v="2"/>
    <x v="1"/>
    <x v="2"/>
    <x v="8"/>
    <x v="5"/>
    <x v="0"/>
    <x v="0"/>
    <x v="1"/>
    <x v="0"/>
    <x v="0"/>
    <x v="0"/>
    <x v="0"/>
  </r>
  <r>
    <x v="19"/>
    <x v="9"/>
    <x v="9"/>
    <x v="9"/>
    <x v="10"/>
    <x v="1"/>
    <x v="2"/>
    <x v="10"/>
    <x v="7"/>
    <x v="1"/>
    <x v="5"/>
    <x v="0"/>
    <x v="0"/>
    <x v="1"/>
    <x v="2"/>
    <x v="3"/>
    <x v="2"/>
    <x v="1"/>
    <x v="2"/>
    <x v="1"/>
    <x v="1"/>
    <x v="11"/>
    <x v="1"/>
    <x v="1"/>
    <x v="2"/>
    <x v="9"/>
    <x v="5"/>
    <x v="1"/>
    <x v="1"/>
    <x v="1"/>
    <x v="0"/>
    <x v="9"/>
    <x v="0"/>
    <x v="2"/>
  </r>
  <r>
    <x v="20"/>
    <x v="9"/>
    <x v="9"/>
    <x v="9"/>
    <x v="0"/>
    <x v="1"/>
    <x v="2"/>
    <x v="10"/>
    <x v="8"/>
    <x v="1"/>
    <x v="5"/>
    <x v="0"/>
    <x v="0"/>
    <x v="3"/>
    <x v="4"/>
    <x v="1"/>
    <x v="2"/>
    <x v="1"/>
    <x v="2"/>
    <x v="1"/>
    <x v="1"/>
    <x v="12"/>
    <x v="2"/>
    <x v="3"/>
    <x v="4"/>
    <x v="9"/>
    <x v="5"/>
    <x v="1"/>
    <x v="1"/>
    <x v="1"/>
    <x v="0"/>
    <x v="10"/>
    <x v="0"/>
    <x v="0"/>
  </r>
  <r>
    <x v="21"/>
    <x v="9"/>
    <x v="9"/>
    <x v="9"/>
    <x v="0"/>
    <x v="1"/>
    <x v="2"/>
    <x v="10"/>
    <x v="9"/>
    <x v="1"/>
    <x v="6"/>
    <x v="0"/>
    <x v="0"/>
    <x v="3"/>
    <x v="2"/>
    <x v="3"/>
    <x v="2"/>
    <x v="1"/>
    <x v="2"/>
    <x v="1"/>
    <x v="1"/>
    <x v="13"/>
    <x v="2"/>
    <x v="3"/>
    <x v="4"/>
    <x v="9"/>
    <x v="5"/>
    <x v="1"/>
    <x v="3"/>
    <x v="1"/>
    <x v="0"/>
    <x v="11"/>
    <x v="0"/>
    <x v="0"/>
  </r>
  <r>
    <x v="22"/>
    <x v="9"/>
    <x v="9"/>
    <x v="9"/>
    <x v="0"/>
    <x v="1"/>
    <x v="2"/>
    <x v="10"/>
    <x v="9"/>
    <x v="1"/>
    <x v="7"/>
    <x v="0"/>
    <x v="0"/>
    <x v="3"/>
    <x v="1"/>
    <x v="1"/>
    <x v="2"/>
    <x v="1"/>
    <x v="2"/>
    <x v="1"/>
    <x v="2"/>
    <x v="0"/>
    <x v="2"/>
    <x v="3"/>
    <x v="4"/>
    <x v="9"/>
    <x v="3"/>
    <x v="0"/>
    <x v="0"/>
    <x v="1"/>
    <x v="0"/>
    <x v="0"/>
    <x v="0"/>
    <x v="0"/>
  </r>
  <r>
    <x v="23"/>
    <x v="10"/>
    <x v="10"/>
    <x v="10"/>
    <x v="11"/>
    <x v="1"/>
    <x v="4"/>
    <x v="11"/>
    <x v="10"/>
    <x v="1"/>
    <x v="3"/>
    <x v="0"/>
    <x v="0"/>
    <x v="1"/>
    <x v="3"/>
    <x v="2"/>
    <x v="2"/>
    <x v="1"/>
    <x v="3"/>
    <x v="1"/>
    <x v="1"/>
    <x v="14"/>
    <x v="1"/>
    <x v="1"/>
    <x v="2"/>
    <x v="10"/>
    <x v="4"/>
    <x v="1"/>
    <x v="1"/>
    <x v="2"/>
    <x v="1"/>
    <x v="12"/>
    <x v="0"/>
    <x v="0"/>
  </r>
  <r>
    <x v="24"/>
    <x v="10"/>
    <x v="10"/>
    <x v="10"/>
    <x v="12"/>
    <x v="1"/>
    <x v="4"/>
    <x v="12"/>
    <x v="11"/>
    <x v="1"/>
    <x v="3"/>
    <x v="0"/>
    <x v="0"/>
    <x v="3"/>
    <x v="1"/>
    <x v="1"/>
    <x v="2"/>
    <x v="1"/>
    <x v="2"/>
    <x v="1"/>
    <x v="2"/>
    <x v="0"/>
    <x v="1"/>
    <x v="3"/>
    <x v="4"/>
    <x v="10"/>
    <x v="5"/>
    <x v="0"/>
    <x v="0"/>
    <x v="1"/>
    <x v="0"/>
    <x v="0"/>
    <x v="0"/>
    <x v="0"/>
  </r>
  <r>
    <x v="25"/>
    <x v="11"/>
    <x v="11"/>
    <x v="11"/>
    <x v="13"/>
    <x v="1"/>
    <x v="2"/>
    <x v="13"/>
    <x v="12"/>
    <x v="4"/>
    <x v="0"/>
    <x v="0"/>
    <x v="0"/>
    <x v="1"/>
    <x v="1"/>
    <x v="1"/>
    <x v="2"/>
    <x v="1"/>
    <x v="2"/>
    <x v="1"/>
    <x v="2"/>
    <x v="0"/>
    <x v="1"/>
    <x v="1"/>
    <x v="2"/>
    <x v="11"/>
    <x v="3"/>
    <x v="0"/>
    <x v="0"/>
    <x v="1"/>
    <x v="0"/>
    <x v="0"/>
    <x v="0"/>
    <x v="0"/>
  </r>
  <r>
    <x v="26"/>
    <x v="12"/>
    <x v="12"/>
    <x v="12"/>
    <x v="14"/>
    <x v="1"/>
    <x v="2"/>
    <x v="14"/>
    <x v="13"/>
    <x v="1"/>
    <x v="8"/>
    <x v="0"/>
    <x v="0"/>
    <x v="1"/>
    <x v="1"/>
    <x v="1"/>
    <x v="2"/>
    <x v="1"/>
    <x v="3"/>
    <x v="1"/>
    <x v="1"/>
    <x v="15"/>
    <x v="1"/>
    <x v="1"/>
    <x v="2"/>
    <x v="12"/>
    <x v="2"/>
    <x v="1"/>
    <x v="2"/>
    <x v="2"/>
    <x v="1"/>
    <x v="13"/>
    <x v="0"/>
    <x v="0"/>
  </r>
  <r>
    <x v="27"/>
    <x v="12"/>
    <x v="12"/>
    <x v="12"/>
    <x v="15"/>
    <x v="1"/>
    <x v="2"/>
    <x v="14"/>
    <x v="13"/>
    <x v="1"/>
    <x v="8"/>
    <x v="0"/>
    <x v="0"/>
    <x v="3"/>
    <x v="1"/>
    <x v="1"/>
    <x v="2"/>
    <x v="1"/>
    <x v="3"/>
    <x v="1"/>
    <x v="2"/>
    <x v="0"/>
    <x v="1"/>
    <x v="3"/>
    <x v="4"/>
    <x v="12"/>
    <x v="4"/>
    <x v="0"/>
    <x v="0"/>
    <x v="1"/>
    <x v="0"/>
    <x v="0"/>
    <x v="0"/>
    <x v="0"/>
  </r>
  <r>
    <x v="28"/>
    <x v="13"/>
    <x v="13"/>
    <x v="13"/>
    <x v="16"/>
    <x v="1"/>
    <x v="2"/>
    <x v="15"/>
    <x v="7"/>
    <x v="1"/>
    <x v="9"/>
    <x v="0"/>
    <x v="0"/>
    <x v="1"/>
    <x v="3"/>
    <x v="3"/>
    <x v="2"/>
    <x v="1"/>
    <x v="2"/>
    <x v="1"/>
    <x v="1"/>
    <x v="16"/>
    <x v="1"/>
    <x v="4"/>
    <x v="2"/>
    <x v="13"/>
    <x v="5"/>
    <x v="1"/>
    <x v="3"/>
    <x v="2"/>
    <x v="1"/>
    <x v="14"/>
    <x v="6"/>
    <x v="0"/>
  </r>
  <r>
    <x v="29"/>
    <x v="13"/>
    <x v="13"/>
    <x v="13"/>
    <x v="0"/>
    <x v="1"/>
    <x v="2"/>
    <x v="15"/>
    <x v="7"/>
    <x v="1"/>
    <x v="0"/>
    <x v="0"/>
    <x v="0"/>
    <x v="3"/>
    <x v="1"/>
    <x v="1"/>
    <x v="2"/>
    <x v="1"/>
    <x v="3"/>
    <x v="1"/>
    <x v="2"/>
    <x v="0"/>
    <x v="2"/>
    <x v="3"/>
    <x v="4"/>
    <x v="13"/>
    <x v="3"/>
    <x v="0"/>
    <x v="0"/>
    <x v="1"/>
    <x v="0"/>
    <x v="0"/>
    <x v="0"/>
    <x v="0"/>
  </r>
  <r>
    <x v="30"/>
    <x v="12"/>
    <x v="12"/>
    <x v="12"/>
    <x v="17"/>
    <x v="1"/>
    <x v="2"/>
    <x v="14"/>
    <x v="13"/>
    <x v="1"/>
    <x v="10"/>
    <x v="0"/>
    <x v="0"/>
    <x v="1"/>
    <x v="3"/>
    <x v="2"/>
    <x v="2"/>
    <x v="1"/>
    <x v="1"/>
    <x v="1"/>
    <x v="1"/>
    <x v="17"/>
    <x v="1"/>
    <x v="1"/>
    <x v="2"/>
    <x v="12"/>
    <x v="1"/>
    <x v="1"/>
    <x v="4"/>
    <x v="2"/>
    <x v="1"/>
    <x v="15"/>
    <x v="0"/>
    <x v="3"/>
  </r>
  <r>
    <x v="31"/>
    <x v="12"/>
    <x v="12"/>
    <x v="12"/>
    <x v="18"/>
    <x v="1"/>
    <x v="2"/>
    <x v="14"/>
    <x v="13"/>
    <x v="1"/>
    <x v="11"/>
    <x v="0"/>
    <x v="0"/>
    <x v="3"/>
    <x v="3"/>
    <x v="2"/>
    <x v="2"/>
    <x v="1"/>
    <x v="1"/>
    <x v="1"/>
    <x v="1"/>
    <x v="18"/>
    <x v="1"/>
    <x v="3"/>
    <x v="4"/>
    <x v="12"/>
    <x v="1"/>
    <x v="1"/>
    <x v="4"/>
    <x v="2"/>
    <x v="1"/>
    <x v="16"/>
    <x v="0"/>
    <x v="0"/>
  </r>
  <r>
    <x v="32"/>
    <x v="12"/>
    <x v="12"/>
    <x v="12"/>
    <x v="19"/>
    <x v="1"/>
    <x v="2"/>
    <x v="14"/>
    <x v="14"/>
    <x v="1"/>
    <x v="12"/>
    <x v="0"/>
    <x v="0"/>
    <x v="3"/>
    <x v="1"/>
    <x v="1"/>
    <x v="2"/>
    <x v="1"/>
    <x v="1"/>
    <x v="1"/>
    <x v="2"/>
    <x v="0"/>
    <x v="1"/>
    <x v="3"/>
    <x v="4"/>
    <x v="12"/>
    <x v="1"/>
    <x v="0"/>
    <x v="0"/>
    <x v="1"/>
    <x v="0"/>
    <x v="0"/>
    <x v="0"/>
    <x v="0"/>
  </r>
  <r>
    <x v="33"/>
    <x v="14"/>
    <x v="14"/>
    <x v="14"/>
    <x v="20"/>
    <x v="1"/>
    <x v="2"/>
    <x v="16"/>
    <x v="15"/>
    <x v="1"/>
    <x v="3"/>
    <x v="0"/>
    <x v="0"/>
    <x v="1"/>
    <x v="1"/>
    <x v="1"/>
    <x v="2"/>
    <x v="1"/>
    <x v="2"/>
    <x v="1"/>
    <x v="2"/>
    <x v="0"/>
    <x v="2"/>
    <x v="1"/>
    <x v="2"/>
    <x v="14"/>
    <x v="5"/>
    <x v="0"/>
    <x v="0"/>
    <x v="1"/>
    <x v="0"/>
    <x v="0"/>
    <x v="0"/>
    <x v="0"/>
  </r>
  <r>
    <x v="34"/>
    <x v="15"/>
    <x v="15"/>
    <x v="15"/>
    <x v="21"/>
    <x v="1"/>
    <x v="2"/>
    <x v="17"/>
    <x v="16"/>
    <x v="1"/>
    <x v="13"/>
    <x v="0"/>
    <x v="0"/>
    <x v="1"/>
    <x v="2"/>
    <x v="3"/>
    <x v="2"/>
    <x v="1"/>
    <x v="1"/>
    <x v="1"/>
    <x v="1"/>
    <x v="19"/>
    <x v="2"/>
    <x v="4"/>
    <x v="2"/>
    <x v="15"/>
    <x v="1"/>
    <x v="1"/>
    <x v="3"/>
    <x v="1"/>
    <x v="0"/>
    <x v="17"/>
    <x v="7"/>
    <x v="2"/>
  </r>
  <r>
    <x v="35"/>
    <x v="16"/>
    <x v="16"/>
    <x v="16"/>
    <x v="22"/>
    <x v="1"/>
    <x v="2"/>
    <x v="18"/>
    <x v="17"/>
    <x v="1"/>
    <x v="1"/>
    <x v="0"/>
    <x v="0"/>
    <x v="1"/>
    <x v="1"/>
    <x v="1"/>
    <x v="1"/>
    <x v="1"/>
    <x v="3"/>
    <x v="1"/>
    <x v="1"/>
    <x v="20"/>
    <x v="1"/>
    <x v="1"/>
    <x v="2"/>
    <x v="16"/>
    <x v="3"/>
    <x v="3"/>
    <x v="0"/>
    <x v="1"/>
    <x v="0"/>
    <x v="0"/>
    <x v="0"/>
    <x v="0"/>
  </r>
  <r>
    <x v="36"/>
    <x v="15"/>
    <x v="15"/>
    <x v="15"/>
    <x v="21"/>
    <x v="1"/>
    <x v="2"/>
    <x v="17"/>
    <x v="16"/>
    <x v="1"/>
    <x v="2"/>
    <x v="0"/>
    <x v="0"/>
    <x v="3"/>
    <x v="2"/>
    <x v="3"/>
    <x v="2"/>
    <x v="1"/>
    <x v="2"/>
    <x v="1"/>
    <x v="1"/>
    <x v="21"/>
    <x v="2"/>
    <x v="3"/>
    <x v="4"/>
    <x v="15"/>
    <x v="3"/>
    <x v="3"/>
    <x v="0"/>
    <x v="1"/>
    <x v="0"/>
    <x v="18"/>
    <x v="0"/>
    <x v="0"/>
  </r>
  <r>
    <x v="37"/>
    <x v="17"/>
    <x v="17"/>
    <x v="17"/>
    <x v="23"/>
    <x v="1"/>
    <x v="2"/>
    <x v="19"/>
    <x v="18"/>
    <x v="1"/>
    <x v="0"/>
    <x v="0"/>
    <x v="0"/>
    <x v="1"/>
    <x v="3"/>
    <x v="2"/>
    <x v="2"/>
    <x v="2"/>
    <x v="1"/>
    <x v="1"/>
    <x v="1"/>
    <x v="20"/>
    <x v="1"/>
    <x v="1"/>
    <x v="5"/>
    <x v="17"/>
    <x v="1"/>
    <x v="3"/>
    <x v="0"/>
    <x v="1"/>
    <x v="0"/>
    <x v="19"/>
    <x v="8"/>
    <x v="0"/>
  </r>
  <r>
    <x v="38"/>
    <x v="18"/>
    <x v="18"/>
    <x v="18"/>
    <x v="24"/>
    <x v="1"/>
    <x v="5"/>
    <x v="20"/>
    <x v="19"/>
    <x v="1"/>
    <x v="14"/>
    <x v="0"/>
    <x v="0"/>
    <x v="1"/>
    <x v="1"/>
    <x v="1"/>
    <x v="1"/>
    <x v="1"/>
    <x v="2"/>
    <x v="1"/>
    <x v="1"/>
    <x v="22"/>
    <x v="3"/>
    <x v="1"/>
    <x v="2"/>
    <x v="18"/>
    <x v="3"/>
    <x v="0"/>
    <x v="0"/>
    <x v="1"/>
    <x v="0"/>
    <x v="20"/>
    <x v="0"/>
    <x v="4"/>
  </r>
  <r>
    <x v="39"/>
    <x v="19"/>
    <x v="19"/>
    <x v="19"/>
    <x v="25"/>
    <x v="1"/>
    <x v="2"/>
    <x v="21"/>
    <x v="20"/>
    <x v="2"/>
    <x v="0"/>
    <x v="2"/>
    <x v="0"/>
    <x v="1"/>
    <x v="1"/>
    <x v="1"/>
    <x v="2"/>
    <x v="1"/>
    <x v="2"/>
    <x v="1"/>
    <x v="2"/>
    <x v="0"/>
    <x v="1"/>
    <x v="1"/>
    <x v="2"/>
    <x v="19"/>
    <x v="2"/>
    <x v="0"/>
    <x v="0"/>
    <x v="1"/>
    <x v="0"/>
    <x v="0"/>
    <x v="0"/>
    <x v="5"/>
  </r>
  <r>
    <x v="40"/>
    <x v="20"/>
    <x v="20"/>
    <x v="20"/>
    <x v="26"/>
    <x v="1"/>
    <x v="5"/>
    <x v="22"/>
    <x v="21"/>
    <x v="1"/>
    <x v="15"/>
    <x v="0"/>
    <x v="0"/>
    <x v="1"/>
    <x v="1"/>
    <x v="1"/>
    <x v="2"/>
    <x v="1"/>
    <x v="2"/>
    <x v="1"/>
    <x v="2"/>
    <x v="0"/>
    <x v="1"/>
    <x v="5"/>
    <x v="2"/>
    <x v="20"/>
    <x v="3"/>
    <x v="0"/>
    <x v="0"/>
    <x v="1"/>
    <x v="0"/>
    <x v="0"/>
    <x v="0"/>
    <x v="0"/>
  </r>
  <r>
    <x v="41"/>
    <x v="21"/>
    <x v="21"/>
    <x v="21"/>
    <x v="27"/>
    <x v="1"/>
    <x v="3"/>
    <x v="23"/>
    <x v="22"/>
    <x v="1"/>
    <x v="16"/>
    <x v="0"/>
    <x v="0"/>
    <x v="1"/>
    <x v="1"/>
    <x v="1"/>
    <x v="2"/>
    <x v="1"/>
    <x v="2"/>
    <x v="1"/>
    <x v="1"/>
    <x v="23"/>
    <x v="1"/>
    <x v="5"/>
    <x v="2"/>
    <x v="21"/>
    <x v="3"/>
    <x v="3"/>
    <x v="0"/>
    <x v="1"/>
    <x v="0"/>
    <x v="0"/>
    <x v="9"/>
    <x v="6"/>
  </r>
  <r>
    <x v="42"/>
    <x v="22"/>
    <x v="22"/>
    <x v="22"/>
    <x v="28"/>
    <x v="1"/>
    <x v="2"/>
    <x v="24"/>
    <x v="23"/>
    <x v="1"/>
    <x v="9"/>
    <x v="0"/>
    <x v="0"/>
    <x v="1"/>
    <x v="1"/>
    <x v="1"/>
    <x v="2"/>
    <x v="2"/>
    <x v="1"/>
    <x v="1"/>
    <x v="1"/>
    <x v="24"/>
    <x v="1"/>
    <x v="1"/>
    <x v="2"/>
    <x v="22"/>
    <x v="4"/>
    <x v="1"/>
    <x v="1"/>
    <x v="2"/>
    <x v="1"/>
    <x v="21"/>
    <x v="0"/>
    <x v="7"/>
  </r>
  <r>
    <x v="43"/>
    <x v="23"/>
    <x v="23"/>
    <x v="23"/>
    <x v="29"/>
    <x v="2"/>
    <x v="2"/>
    <x v="25"/>
    <x v="24"/>
    <x v="1"/>
    <x v="17"/>
    <x v="0"/>
    <x v="0"/>
    <x v="1"/>
    <x v="2"/>
    <x v="3"/>
    <x v="1"/>
    <x v="1"/>
    <x v="2"/>
    <x v="1"/>
    <x v="1"/>
    <x v="25"/>
    <x v="1"/>
    <x v="1"/>
    <x v="2"/>
    <x v="23"/>
    <x v="5"/>
    <x v="1"/>
    <x v="6"/>
    <x v="2"/>
    <x v="1"/>
    <x v="22"/>
    <x v="0"/>
    <x v="0"/>
  </r>
  <r>
    <x v="44"/>
    <x v="24"/>
    <x v="24"/>
    <x v="24"/>
    <x v="30"/>
    <x v="3"/>
    <x v="2"/>
    <x v="26"/>
    <x v="25"/>
    <x v="1"/>
    <x v="12"/>
    <x v="0"/>
    <x v="0"/>
    <x v="1"/>
    <x v="2"/>
    <x v="3"/>
    <x v="2"/>
    <x v="1"/>
    <x v="2"/>
    <x v="1"/>
    <x v="1"/>
    <x v="24"/>
    <x v="1"/>
    <x v="1"/>
    <x v="2"/>
    <x v="24"/>
    <x v="5"/>
    <x v="1"/>
    <x v="1"/>
    <x v="2"/>
    <x v="1"/>
    <x v="23"/>
    <x v="0"/>
    <x v="8"/>
  </r>
  <r>
    <x v="45"/>
    <x v="25"/>
    <x v="25"/>
    <x v="25"/>
    <x v="31"/>
    <x v="1"/>
    <x v="2"/>
    <x v="27"/>
    <x v="26"/>
    <x v="1"/>
    <x v="1"/>
    <x v="0"/>
    <x v="0"/>
    <x v="1"/>
    <x v="2"/>
    <x v="3"/>
    <x v="2"/>
    <x v="1"/>
    <x v="2"/>
    <x v="1"/>
    <x v="1"/>
    <x v="23"/>
    <x v="3"/>
    <x v="1"/>
    <x v="5"/>
    <x v="25"/>
    <x v="6"/>
    <x v="3"/>
    <x v="0"/>
    <x v="1"/>
    <x v="0"/>
    <x v="24"/>
    <x v="0"/>
    <x v="0"/>
  </r>
  <r>
    <x v="46"/>
    <x v="26"/>
    <x v="26"/>
    <x v="26"/>
    <x v="32"/>
    <x v="1"/>
    <x v="2"/>
    <x v="28"/>
    <x v="27"/>
    <x v="1"/>
    <x v="18"/>
    <x v="0"/>
    <x v="0"/>
    <x v="1"/>
    <x v="1"/>
    <x v="2"/>
    <x v="2"/>
    <x v="1"/>
    <x v="3"/>
    <x v="1"/>
    <x v="1"/>
    <x v="26"/>
    <x v="1"/>
    <x v="1"/>
    <x v="2"/>
    <x v="26"/>
    <x v="1"/>
    <x v="1"/>
    <x v="4"/>
    <x v="2"/>
    <x v="1"/>
    <x v="25"/>
    <x v="0"/>
    <x v="0"/>
  </r>
  <r>
    <x v="47"/>
    <x v="22"/>
    <x v="22"/>
    <x v="22"/>
    <x v="33"/>
    <x v="1"/>
    <x v="2"/>
    <x v="24"/>
    <x v="28"/>
    <x v="1"/>
    <x v="9"/>
    <x v="0"/>
    <x v="0"/>
    <x v="3"/>
    <x v="1"/>
    <x v="1"/>
    <x v="2"/>
    <x v="2"/>
    <x v="1"/>
    <x v="1"/>
    <x v="2"/>
    <x v="0"/>
    <x v="1"/>
    <x v="1"/>
    <x v="2"/>
    <x v="22"/>
    <x v="5"/>
    <x v="0"/>
    <x v="0"/>
    <x v="1"/>
    <x v="0"/>
    <x v="0"/>
    <x v="0"/>
    <x v="0"/>
  </r>
  <r>
    <x v="48"/>
    <x v="23"/>
    <x v="23"/>
    <x v="23"/>
    <x v="34"/>
    <x v="2"/>
    <x v="5"/>
    <x v="25"/>
    <x v="24"/>
    <x v="1"/>
    <x v="2"/>
    <x v="0"/>
    <x v="0"/>
    <x v="3"/>
    <x v="2"/>
    <x v="3"/>
    <x v="2"/>
    <x v="1"/>
    <x v="2"/>
    <x v="1"/>
    <x v="1"/>
    <x v="24"/>
    <x v="1"/>
    <x v="3"/>
    <x v="4"/>
    <x v="23"/>
    <x v="6"/>
    <x v="3"/>
    <x v="0"/>
    <x v="1"/>
    <x v="0"/>
    <x v="26"/>
    <x v="0"/>
    <x v="0"/>
  </r>
  <r>
    <x v="49"/>
    <x v="27"/>
    <x v="27"/>
    <x v="27"/>
    <x v="35"/>
    <x v="1"/>
    <x v="2"/>
    <x v="29"/>
    <x v="29"/>
    <x v="1"/>
    <x v="9"/>
    <x v="0"/>
    <x v="0"/>
    <x v="1"/>
    <x v="1"/>
    <x v="1"/>
    <x v="2"/>
    <x v="2"/>
    <x v="1"/>
    <x v="1"/>
    <x v="1"/>
    <x v="26"/>
    <x v="1"/>
    <x v="1"/>
    <x v="2"/>
    <x v="27"/>
    <x v="5"/>
    <x v="1"/>
    <x v="1"/>
    <x v="2"/>
    <x v="1"/>
    <x v="27"/>
    <x v="10"/>
    <x v="9"/>
  </r>
  <r>
    <x v="50"/>
    <x v="28"/>
    <x v="25"/>
    <x v="25"/>
    <x v="36"/>
    <x v="1"/>
    <x v="2"/>
    <x v="27"/>
    <x v="10"/>
    <x v="1"/>
    <x v="19"/>
    <x v="0"/>
    <x v="0"/>
    <x v="1"/>
    <x v="2"/>
    <x v="3"/>
    <x v="2"/>
    <x v="2"/>
    <x v="3"/>
    <x v="1"/>
    <x v="1"/>
    <x v="26"/>
    <x v="1"/>
    <x v="1"/>
    <x v="2"/>
    <x v="25"/>
    <x v="1"/>
    <x v="3"/>
    <x v="0"/>
    <x v="1"/>
    <x v="0"/>
    <x v="28"/>
    <x v="0"/>
    <x v="0"/>
  </r>
  <r>
    <x v="51"/>
    <x v="24"/>
    <x v="24"/>
    <x v="24"/>
    <x v="37"/>
    <x v="3"/>
    <x v="2"/>
    <x v="26"/>
    <x v="25"/>
    <x v="1"/>
    <x v="12"/>
    <x v="0"/>
    <x v="0"/>
    <x v="3"/>
    <x v="2"/>
    <x v="3"/>
    <x v="2"/>
    <x v="1"/>
    <x v="2"/>
    <x v="1"/>
    <x v="1"/>
    <x v="26"/>
    <x v="1"/>
    <x v="1"/>
    <x v="2"/>
    <x v="24"/>
    <x v="5"/>
    <x v="1"/>
    <x v="7"/>
    <x v="2"/>
    <x v="1"/>
    <x v="29"/>
    <x v="0"/>
    <x v="0"/>
  </r>
  <r>
    <x v="52"/>
    <x v="29"/>
    <x v="28"/>
    <x v="28"/>
    <x v="38"/>
    <x v="3"/>
    <x v="1"/>
    <x v="30"/>
    <x v="30"/>
    <x v="5"/>
    <x v="0"/>
    <x v="0"/>
    <x v="0"/>
    <x v="1"/>
    <x v="1"/>
    <x v="1"/>
    <x v="2"/>
    <x v="2"/>
    <x v="1"/>
    <x v="1"/>
    <x v="2"/>
    <x v="0"/>
    <x v="1"/>
    <x v="5"/>
    <x v="2"/>
    <x v="28"/>
    <x v="5"/>
    <x v="0"/>
    <x v="0"/>
    <x v="1"/>
    <x v="0"/>
    <x v="0"/>
    <x v="0"/>
    <x v="10"/>
  </r>
  <r>
    <x v="53"/>
    <x v="30"/>
    <x v="29"/>
    <x v="29"/>
    <x v="39"/>
    <x v="1"/>
    <x v="3"/>
    <x v="31"/>
    <x v="31"/>
    <x v="2"/>
    <x v="0"/>
    <x v="2"/>
    <x v="0"/>
    <x v="1"/>
    <x v="2"/>
    <x v="3"/>
    <x v="2"/>
    <x v="1"/>
    <x v="3"/>
    <x v="1"/>
    <x v="1"/>
    <x v="27"/>
    <x v="2"/>
    <x v="1"/>
    <x v="2"/>
    <x v="29"/>
    <x v="2"/>
    <x v="1"/>
    <x v="1"/>
    <x v="2"/>
    <x v="1"/>
    <x v="30"/>
    <x v="0"/>
    <x v="0"/>
  </r>
  <r>
    <x v="54"/>
    <x v="31"/>
    <x v="30"/>
    <x v="30"/>
    <x v="40"/>
    <x v="1"/>
    <x v="2"/>
    <x v="32"/>
    <x v="32"/>
    <x v="1"/>
    <x v="20"/>
    <x v="0"/>
    <x v="0"/>
    <x v="1"/>
    <x v="2"/>
    <x v="3"/>
    <x v="2"/>
    <x v="1"/>
    <x v="2"/>
    <x v="1"/>
    <x v="1"/>
    <x v="27"/>
    <x v="1"/>
    <x v="1"/>
    <x v="2"/>
    <x v="30"/>
    <x v="7"/>
    <x v="1"/>
    <x v="8"/>
    <x v="2"/>
    <x v="1"/>
    <x v="31"/>
    <x v="11"/>
    <x v="0"/>
  </r>
  <r>
    <x v="55"/>
    <x v="26"/>
    <x v="26"/>
    <x v="26"/>
    <x v="41"/>
    <x v="1"/>
    <x v="2"/>
    <x v="28"/>
    <x v="27"/>
    <x v="1"/>
    <x v="21"/>
    <x v="0"/>
    <x v="0"/>
    <x v="3"/>
    <x v="1"/>
    <x v="1"/>
    <x v="2"/>
    <x v="1"/>
    <x v="1"/>
    <x v="1"/>
    <x v="1"/>
    <x v="28"/>
    <x v="1"/>
    <x v="3"/>
    <x v="4"/>
    <x v="26"/>
    <x v="1"/>
    <x v="3"/>
    <x v="0"/>
    <x v="1"/>
    <x v="0"/>
    <x v="0"/>
    <x v="0"/>
    <x v="0"/>
  </r>
  <r>
    <x v="56"/>
    <x v="32"/>
    <x v="31"/>
    <x v="31"/>
    <x v="42"/>
    <x v="3"/>
    <x v="5"/>
    <x v="33"/>
    <x v="33"/>
    <x v="1"/>
    <x v="22"/>
    <x v="0"/>
    <x v="0"/>
    <x v="1"/>
    <x v="1"/>
    <x v="1"/>
    <x v="2"/>
    <x v="1"/>
    <x v="3"/>
    <x v="1"/>
    <x v="1"/>
    <x v="29"/>
    <x v="1"/>
    <x v="1"/>
    <x v="2"/>
    <x v="31"/>
    <x v="2"/>
    <x v="3"/>
    <x v="0"/>
    <x v="1"/>
    <x v="0"/>
    <x v="32"/>
    <x v="12"/>
    <x v="11"/>
  </r>
  <r>
    <x v="57"/>
    <x v="24"/>
    <x v="24"/>
    <x v="24"/>
    <x v="43"/>
    <x v="3"/>
    <x v="2"/>
    <x v="26"/>
    <x v="34"/>
    <x v="1"/>
    <x v="12"/>
    <x v="0"/>
    <x v="0"/>
    <x v="3"/>
    <x v="1"/>
    <x v="1"/>
    <x v="2"/>
    <x v="1"/>
    <x v="3"/>
    <x v="1"/>
    <x v="1"/>
    <x v="29"/>
    <x v="1"/>
    <x v="3"/>
    <x v="4"/>
    <x v="24"/>
    <x v="7"/>
    <x v="1"/>
    <x v="4"/>
    <x v="2"/>
    <x v="1"/>
    <x v="33"/>
    <x v="13"/>
    <x v="0"/>
  </r>
  <r>
    <x v="58"/>
    <x v="30"/>
    <x v="29"/>
    <x v="29"/>
    <x v="44"/>
    <x v="1"/>
    <x v="3"/>
    <x v="31"/>
    <x v="31"/>
    <x v="1"/>
    <x v="15"/>
    <x v="0"/>
    <x v="0"/>
    <x v="3"/>
    <x v="1"/>
    <x v="1"/>
    <x v="2"/>
    <x v="1"/>
    <x v="2"/>
    <x v="1"/>
    <x v="2"/>
    <x v="0"/>
    <x v="2"/>
    <x v="4"/>
    <x v="2"/>
    <x v="29"/>
    <x v="5"/>
    <x v="0"/>
    <x v="0"/>
    <x v="1"/>
    <x v="0"/>
    <x v="0"/>
    <x v="0"/>
    <x v="0"/>
  </r>
  <r>
    <x v="59"/>
    <x v="27"/>
    <x v="27"/>
    <x v="27"/>
    <x v="45"/>
    <x v="1"/>
    <x v="2"/>
    <x v="34"/>
    <x v="29"/>
    <x v="1"/>
    <x v="9"/>
    <x v="0"/>
    <x v="0"/>
    <x v="3"/>
    <x v="1"/>
    <x v="1"/>
    <x v="2"/>
    <x v="2"/>
    <x v="1"/>
    <x v="1"/>
    <x v="1"/>
    <x v="30"/>
    <x v="2"/>
    <x v="3"/>
    <x v="4"/>
    <x v="27"/>
    <x v="5"/>
    <x v="2"/>
    <x v="0"/>
    <x v="1"/>
    <x v="0"/>
    <x v="34"/>
    <x v="0"/>
    <x v="0"/>
  </r>
  <r>
    <x v="60"/>
    <x v="31"/>
    <x v="30"/>
    <x v="30"/>
    <x v="46"/>
    <x v="1"/>
    <x v="2"/>
    <x v="32"/>
    <x v="35"/>
    <x v="1"/>
    <x v="23"/>
    <x v="0"/>
    <x v="0"/>
    <x v="3"/>
    <x v="1"/>
    <x v="2"/>
    <x v="1"/>
    <x v="1"/>
    <x v="2"/>
    <x v="1"/>
    <x v="1"/>
    <x v="30"/>
    <x v="1"/>
    <x v="3"/>
    <x v="4"/>
    <x v="30"/>
    <x v="8"/>
    <x v="3"/>
    <x v="0"/>
    <x v="1"/>
    <x v="0"/>
    <x v="0"/>
    <x v="14"/>
    <x v="12"/>
  </r>
  <r>
    <x v="61"/>
    <x v="33"/>
    <x v="32"/>
    <x v="32"/>
    <x v="47"/>
    <x v="1"/>
    <x v="1"/>
    <x v="35"/>
    <x v="36"/>
    <x v="1"/>
    <x v="24"/>
    <x v="0"/>
    <x v="0"/>
    <x v="1"/>
    <x v="2"/>
    <x v="3"/>
    <x v="2"/>
    <x v="1"/>
    <x v="2"/>
    <x v="1"/>
    <x v="1"/>
    <x v="29"/>
    <x v="1"/>
    <x v="6"/>
    <x v="2"/>
    <x v="32"/>
    <x v="8"/>
    <x v="1"/>
    <x v="7"/>
    <x v="1"/>
    <x v="0"/>
    <x v="35"/>
    <x v="15"/>
    <x v="0"/>
  </r>
  <r>
    <x v="62"/>
    <x v="34"/>
    <x v="33"/>
    <x v="33"/>
    <x v="48"/>
    <x v="1"/>
    <x v="2"/>
    <x v="36"/>
    <x v="37"/>
    <x v="1"/>
    <x v="2"/>
    <x v="0"/>
    <x v="0"/>
    <x v="1"/>
    <x v="1"/>
    <x v="1"/>
    <x v="1"/>
    <x v="1"/>
    <x v="3"/>
    <x v="1"/>
    <x v="2"/>
    <x v="0"/>
    <x v="1"/>
    <x v="6"/>
    <x v="2"/>
    <x v="33"/>
    <x v="1"/>
    <x v="0"/>
    <x v="0"/>
    <x v="1"/>
    <x v="0"/>
    <x v="0"/>
    <x v="0"/>
    <x v="0"/>
  </r>
  <r>
    <x v="63"/>
    <x v="24"/>
    <x v="24"/>
    <x v="24"/>
    <x v="49"/>
    <x v="3"/>
    <x v="2"/>
    <x v="26"/>
    <x v="25"/>
    <x v="1"/>
    <x v="25"/>
    <x v="0"/>
    <x v="0"/>
    <x v="3"/>
    <x v="1"/>
    <x v="1"/>
    <x v="2"/>
    <x v="2"/>
    <x v="3"/>
    <x v="1"/>
    <x v="1"/>
    <x v="31"/>
    <x v="1"/>
    <x v="3"/>
    <x v="4"/>
    <x v="24"/>
    <x v="1"/>
    <x v="3"/>
    <x v="0"/>
    <x v="1"/>
    <x v="0"/>
    <x v="0"/>
    <x v="16"/>
    <x v="0"/>
  </r>
  <r>
    <x v="64"/>
    <x v="33"/>
    <x v="32"/>
    <x v="32"/>
    <x v="0"/>
    <x v="1"/>
    <x v="1"/>
    <x v="35"/>
    <x v="36"/>
    <x v="1"/>
    <x v="24"/>
    <x v="0"/>
    <x v="0"/>
    <x v="3"/>
    <x v="1"/>
    <x v="1"/>
    <x v="2"/>
    <x v="1"/>
    <x v="3"/>
    <x v="1"/>
    <x v="1"/>
    <x v="31"/>
    <x v="2"/>
    <x v="3"/>
    <x v="4"/>
    <x v="32"/>
    <x v="7"/>
    <x v="3"/>
    <x v="0"/>
    <x v="1"/>
    <x v="0"/>
    <x v="0"/>
    <x v="17"/>
    <x v="13"/>
  </r>
  <r>
    <x v="65"/>
    <x v="35"/>
    <x v="34"/>
    <x v="34"/>
    <x v="50"/>
    <x v="1"/>
    <x v="2"/>
    <x v="37"/>
    <x v="38"/>
    <x v="1"/>
    <x v="12"/>
    <x v="0"/>
    <x v="0"/>
    <x v="1"/>
    <x v="2"/>
    <x v="2"/>
    <x v="2"/>
    <x v="2"/>
    <x v="3"/>
    <x v="1"/>
    <x v="1"/>
    <x v="28"/>
    <x v="1"/>
    <x v="4"/>
    <x v="2"/>
    <x v="34"/>
    <x v="7"/>
    <x v="1"/>
    <x v="1"/>
    <x v="2"/>
    <x v="1"/>
    <x v="36"/>
    <x v="0"/>
    <x v="14"/>
  </r>
  <r>
    <x v="66"/>
    <x v="36"/>
    <x v="35"/>
    <x v="35"/>
    <x v="51"/>
    <x v="1"/>
    <x v="2"/>
    <x v="38"/>
    <x v="39"/>
    <x v="1"/>
    <x v="15"/>
    <x v="0"/>
    <x v="0"/>
    <x v="1"/>
    <x v="2"/>
    <x v="3"/>
    <x v="2"/>
    <x v="1"/>
    <x v="3"/>
    <x v="1"/>
    <x v="1"/>
    <x v="31"/>
    <x v="1"/>
    <x v="1"/>
    <x v="2"/>
    <x v="35"/>
    <x v="2"/>
    <x v="1"/>
    <x v="5"/>
    <x v="2"/>
    <x v="1"/>
    <x v="37"/>
    <x v="0"/>
    <x v="0"/>
  </r>
  <r>
    <x v="67"/>
    <x v="37"/>
    <x v="36"/>
    <x v="36"/>
    <x v="52"/>
    <x v="1"/>
    <x v="2"/>
    <x v="39"/>
    <x v="40"/>
    <x v="1"/>
    <x v="26"/>
    <x v="0"/>
    <x v="0"/>
    <x v="1"/>
    <x v="2"/>
    <x v="3"/>
    <x v="2"/>
    <x v="1"/>
    <x v="2"/>
    <x v="1"/>
    <x v="1"/>
    <x v="31"/>
    <x v="1"/>
    <x v="5"/>
    <x v="2"/>
    <x v="36"/>
    <x v="7"/>
    <x v="1"/>
    <x v="3"/>
    <x v="2"/>
    <x v="1"/>
    <x v="38"/>
    <x v="0"/>
    <x v="0"/>
  </r>
  <r>
    <x v="68"/>
    <x v="38"/>
    <x v="37"/>
    <x v="37"/>
    <x v="53"/>
    <x v="3"/>
    <x v="5"/>
    <x v="40"/>
    <x v="41"/>
    <x v="1"/>
    <x v="15"/>
    <x v="0"/>
    <x v="0"/>
    <x v="1"/>
    <x v="1"/>
    <x v="1"/>
    <x v="1"/>
    <x v="2"/>
    <x v="1"/>
    <x v="2"/>
    <x v="1"/>
    <x v="31"/>
    <x v="2"/>
    <x v="5"/>
    <x v="2"/>
    <x v="37"/>
    <x v="3"/>
    <x v="1"/>
    <x v="3"/>
    <x v="2"/>
    <x v="1"/>
    <x v="0"/>
    <x v="18"/>
    <x v="15"/>
  </r>
  <r>
    <x v="69"/>
    <x v="39"/>
    <x v="38"/>
    <x v="38"/>
    <x v="54"/>
    <x v="1"/>
    <x v="2"/>
    <x v="41"/>
    <x v="42"/>
    <x v="1"/>
    <x v="15"/>
    <x v="0"/>
    <x v="0"/>
    <x v="1"/>
    <x v="1"/>
    <x v="1"/>
    <x v="2"/>
    <x v="1"/>
    <x v="2"/>
    <x v="1"/>
    <x v="2"/>
    <x v="0"/>
    <x v="1"/>
    <x v="5"/>
    <x v="2"/>
    <x v="38"/>
    <x v="3"/>
    <x v="0"/>
    <x v="0"/>
    <x v="1"/>
    <x v="0"/>
    <x v="0"/>
    <x v="0"/>
    <x v="0"/>
  </r>
  <r>
    <x v="70"/>
    <x v="40"/>
    <x v="39"/>
    <x v="39"/>
    <x v="55"/>
    <x v="1"/>
    <x v="2"/>
    <x v="42"/>
    <x v="43"/>
    <x v="1"/>
    <x v="3"/>
    <x v="0"/>
    <x v="0"/>
    <x v="1"/>
    <x v="1"/>
    <x v="1"/>
    <x v="2"/>
    <x v="1"/>
    <x v="2"/>
    <x v="1"/>
    <x v="2"/>
    <x v="0"/>
    <x v="1"/>
    <x v="5"/>
    <x v="2"/>
    <x v="39"/>
    <x v="7"/>
    <x v="0"/>
    <x v="0"/>
    <x v="1"/>
    <x v="0"/>
    <x v="0"/>
    <x v="0"/>
    <x v="0"/>
  </r>
  <r>
    <x v="71"/>
    <x v="41"/>
    <x v="40"/>
    <x v="40"/>
    <x v="56"/>
    <x v="1"/>
    <x v="1"/>
    <x v="43"/>
    <x v="44"/>
    <x v="1"/>
    <x v="1"/>
    <x v="0"/>
    <x v="0"/>
    <x v="1"/>
    <x v="3"/>
    <x v="2"/>
    <x v="2"/>
    <x v="1"/>
    <x v="3"/>
    <x v="1"/>
    <x v="1"/>
    <x v="28"/>
    <x v="1"/>
    <x v="1"/>
    <x v="2"/>
    <x v="40"/>
    <x v="1"/>
    <x v="3"/>
    <x v="0"/>
    <x v="1"/>
    <x v="0"/>
    <x v="0"/>
    <x v="0"/>
    <x v="0"/>
  </r>
  <r>
    <x v="72"/>
    <x v="42"/>
    <x v="41"/>
    <x v="41"/>
    <x v="57"/>
    <x v="1"/>
    <x v="2"/>
    <x v="44"/>
    <x v="45"/>
    <x v="2"/>
    <x v="0"/>
    <x v="4"/>
    <x v="0"/>
    <x v="1"/>
    <x v="1"/>
    <x v="1"/>
    <x v="1"/>
    <x v="1"/>
    <x v="3"/>
    <x v="1"/>
    <x v="1"/>
    <x v="31"/>
    <x v="1"/>
    <x v="1"/>
    <x v="2"/>
    <x v="41"/>
    <x v="2"/>
    <x v="1"/>
    <x v="4"/>
    <x v="2"/>
    <x v="1"/>
    <x v="39"/>
    <x v="19"/>
    <x v="0"/>
  </r>
  <r>
    <x v="73"/>
    <x v="43"/>
    <x v="42"/>
    <x v="42"/>
    <x v="58"/>
    <x v="1"/>
    <x v="2"/>
    <x v="45"/>
    <x v="46"/>
    <x v="1"/>
    <x v="27"/>
    <x v="0"/>
    <x v="0"/>
    <x v="1"/>
    <x v="3"/>
    <x v="2"/>
    <x v="1"/>
    <x v="1"/>
    <x v="3"/>
    <x v="1"/>
    <x v="1"/>
    <x v="28"/>
    <x v="1"/>
    <x v="1"/>
    <x v="2"/>
    <x v="42"/>
    <x v="1"/>
    <x v="1"/>
    <x v="4"/>
    <x v="2"/>
    <x v="1"/>
    <x v="40"/>
    <x v="0"/>
    <x v="0"/>
  </r>
  <r>
    <x v="74"/>
    <x v="44"/>
    <x v="43"/>
    <x v="43"/>
    <x v="59"/>
    <x v="1"/>
    <x v="2"/>
    <x v="46"/>
    <x v="47"/>
    <x v="1"/>
    <x v="12"/>
    <x v="0"/>
    <x v="0"/>
    <x v="1"/>
    <x v="3"/>
    <x v="2"/>
    <x v="2"/>
    <x v="1"/>
    <x v="2"/>
    <x v="1"/>
    <x v="1"/>
    <x v="32"/>
    <x v="1"/>
    <x v="1"/>
    <x v="2"/>
    <x v="43"/>
    <x v="3"/>
    <x v="1"/>
    <x v="1"/>
    <x v="1"/>
    <x v="0"/>
    <x v="41"/>
    <x v="0"/>
    <x v="0"/>
  </r>
  <r>
    <x v="75"/>
    <x v="45"/>
    <x v="44"/>
    <x v="44"/>
    <x v="60"/>
    <x v="3"/>
    <x v="2"/>
    <x v="47"/>
    <x v="17"/>
    <x v="1"/>
    <x v="28"/>
    <x v="0"/>
    <x v="0"/>
    <x v="1"/>
    <x v="1"/>
    <x v="1"/>
    <x v="2"/>
    <x v="1"/>
    <x v="2"/>
    <x v="1"/>
    <x v="1"/>
    <x v="28"/>
    <x v="1"/>
    <x v="1"/>
    <x v="1"/>
    <x v="44"/>
    <x v="4"/>
    <x v="3"/>
    <x v="0"/>
    <x v="1"/>
    <x v="0"/>
    <x v="0"/>
    <x v="0"/>
    <x v="16"/>
  </r>
  <r>
    <x v="76"/>
    <x v="46"/>
    <x v="45"/>
    <x v="45"/>
    <x v="61"/>
    <x v="1"/>
    <x v="2"/>
    <x v="48"/>
    <x v="48"/>
    <x v="1"/>
    <x v="15"/>
    <x v="0"/>
    <x v="0"/>
    <x v="1"/>
    <x v="2"/>
    <x v="3"/>
    <x v="1"/>
    <x v="1"/>
    <x v="3"/>
    <x v="1"/>
    <x v="1"/>
    <x v="28"/>
    <x v="1"/>
    <x v="1"/>
    <x v="1"/>
    <x v="45"/>
    <x v="2"/>
    <x v="1"/>
    <x v="1"/>
    <x v="2"/>
    <x v="1"/>
    <x v="42"/>
    <x v="0"/>
    <x v="0"/>
  </r>
  <r>
    <x v="77"/>
    <x v="37"/>
    <x v="36"/>
    <x v="36"/>
    <x v="62"/>
    <x v="1"/>
    <x v="2"/>
    <x v="39"/>
    <x v="49"/>
    <x v="1"/>
    <x v="26"/>
    <x v="0"/>
    <x v="0"/>
    <x v="3"/>
    <x v="1"/>
    <x v="1"/>
    <x v="2"/>
    <x v="1"/>
    <x v="2"/>
    <x v="1"/>
    <x v="2"/>
    <x v="0"/>
    <x v="1"/>
    <x v="3"/>
    <x v="4"/>
    <x v="36"/>
    <x v="3"/>
    <x v="0"/>
    <x v="0"/>
    <x v="1"/>
    <x v="0"/>
    <x v="0"/>
    <x v="0"/>
    <x v="0"/>
  </r>
  <r>
    <x v="78"/>
    <x v="47"/>
    <x v="46"/>
    <x v="46"/>
    <x v="63"/>
    <x v="1"/>
    <x v="2"/>
    <x v="49"/>
    <x v="10"/>
    <x v="1"/>
    <x v="1"/>
    <x v="0"/>
    <x v="0"/>
    <x v="1"/>
    <x v="1"/>
    <x v="3"/>
    <x v="2"/>
    <x v="1"/>
    <x v="2"/>
    <x v="1"/>
    <x v="1"/>
    <x v="28"/>
    <x v="2"/>
    <x v="1"/>
    <x v="2"/>
    <x v="46"/>
    <x v="4"/>
    <x v="3"/>
    <x v="0"/>
    <x v="1"/>
    <x v="0"/>
    <x v="0"/>
    <x v="0"/>
    <x v="0"/>
  </r>
  <r>
    <x v="79"/>
    <x v="42"/>
    <x v="41"/>
    <x v="41"/>
    <x v="64"/>
    <x v="1"/>
    <x v="2"/>
    <x v="50"/>
    <x v="45"/>
    <x v="1"/>
    <x v="4"/>
    <x v="0"/>
    <x v="0"/>
    <x v="3"/>
    <x v="2"/>
    <x v="3"/>
    <x v="2"/>
    <x v="1"/>
    <x v="2"/>
    <x v="1"/>
    <x v="1"/>
    <x v="28"/>
    <x v="1"/>
    <x v="3"/>
    <x v="4"/>
    <x v="41"/>
    <x v="1"/>
    <x v="1"/>
    <x v="4"/>
    <x v="1"/>
    <x v="0"/>
    <x v="43"/>
    <x v="0"/>
    <x v="0"/>
  </r>
  <r>
    <x v="80"/>
    <x v="20"/>
    <x v="47"/>
    <x v="20"/>
    <x v="65"/>
    <x v="1"/>
    <x v="2"/>
    <x v="22"/>
    <x v="21"/>
    <x v="2"/>
    <x v="0"/>
    <x v="2"/>
    <x v="0"/>
    <x v="1"/>
    <x v="1"/>
    <x v="1"/>
    <x v="2"/>
    <x v="1"/>
    <x v="2"/>
    <x v="1"/>
    <x v="1"/>
    <x v="28"/>
    <x v="1"/>
    <x v="1"/>
    <x v="2"/>
    <x v="20"/>
    <x v="9"/>
    <x v="1"/>
    <x v="2"/>
    <x v="1"/>
    <x v="0"/>
    <x v="44"/>
    <x v="0"/>
    <x v="0"/>
  </r>
  <r>
    <x v="81"/>
    <x v="48"/>
    <x v="37"/>
    <x v="37"/>
    <x v="66"/>
    <x v="3"/>
    <x v="2"/>
    <x v="40"/>
    <x v="41"/>
    <x v="1"/>
    <x v="29"/>
    <x v="0"/>
    <x v="0"/>
    <x v="3"/>
    <x v="1"/>
    <x v="1"/>
    <x v="1"/>
    <x v="2"/>
    <x v="1"/>
    <x v="2"/>
    <x v="2"/>
    <x v="0"/>
    <x v="1"/>
    <x v="3"/>
    <x v="4"/>
    <x v="37"/>
    <x v="3"/>
    <x v="0"/>
    <x v="0"/>
    <x v="1"/>
    <x v="0"/>
    <x v="0"/>
    <x v="0"/>
    <x v="17"/>
  </r>
  <r>
    <x v="82"/>
    <x v="49"/>
    <x v="48"/>
    <x v="47"/>
    <x v="67"/>
    <x v="1"/>
    <x v="1"/>
    <x v="51"/>
    <x v="50"/>
    <x v="1"/>
    <x v="30"/>
    <x v="0"/>
    <x v="0"/>
    <x v="1"/>
    <x v="3"/>
    <x v="2"/>
    <x v="2"/>
    <x v="1"/>
    <x v="3"/>
    <x v="1"/>
    <x v="1"/>
    <x v="28"/>
    <x v="1"/>
    <x v="1"/>
    <x v="2"/>
    <x v="47"/>
    <x v="3"/>
    <x v="1"/>
    <x v="1"/>
    <x v="1"/>
    <x v="0"/>
    <x v="45"/>
    <x v="0"/>
    <x v="0"/>
  </r>
  <r>
    <x v="83"/>
    <x v="50"/>
    <x v="49"/>
    <x v="48"/>
    <x v="68"/>
    <x v="1"/>
    <x v="2"/>
    <x v="52"/>
    <x v="51"/>
    <x v="1"/>
    <x v="15"/>
    <x v="0"/>
    <x v="0"/>
    <x v="1"/>
    <x v="1"/>
    <x v="1"/>
    <x v="2"/>
    <x v="1"/>
    <x v="2"/>
    <x v="1"/>
    <x v="2"/>
    <x v="0"/>
    <x v="1"/>
    <x v="2"/>
    <x v="2"/>
    <x v="48"/>
    <x v="5"/>
    <x v="0"/>
    <x v="0"/>
    <x v="1"/>
    <x v="0"/>
    <x v="0"/>
    <x v="0"/>
    <x v="0"/>
  </r>
  <r>
    <x v="84"/>
    <x v="51"/>
    <x v="50"/>
    <x v="49"/>
    <x v="69"/>
    <x v="1"/>
    <x v="2"/>
    <x v="53"/>
    <x v="52"/>
    <x v="1"/>
    <x v="31"/>
    <x v="0"/>
    <x v="0"/>
    <x v="1"/>
    <x v="1"/>
    <x v="1"/>
    <x v="2"/>
    <x v="1"/>
    <x v="3"/>
    <x v="1"/>
    <x v="1"/>
    <x v="33"/>
    <x v="1"/>
    <x v="1"/>
    <x v="2"/>
    <x v="49"/>
    <x v="4"/>
    <x v="3"/>
    <x v="0"/>
    <x v="1"/>
    <x v="0"/>
    <x v="46"/>
    <x v="20"/>
    <x v="0"/>
  </r>
  <r>
    <x v="85"/>
    <x v="46"/>
    <x v="45"/>
    <x v="45"/>
    <x v="70"/>
    <x v="0"/>
    <x v="2"/>
    <x v="48"/>
    <x v="48"/>
    <x v="1"/>
    <x v="15"/>
    <x v="0"/>
    <x v="0"/>
    <x v="3"/>
    <x v="1"/>
    <x v="1"/>
    <x v="1"/>
    <x v="1"/>
    <x v="3"/>
    <x v="1"/>
    <x v="2"/>
    <x v="0"/>
    <x v="2"/>
    <x v="3"/>
    <x v="4"/>
    <x v="45"/>
    <x v="5"/>
    <x v="0"/>
    <x v="0"/>
    <x v="1"/>
    <x v="0"/>
    <x v="0"/>
    <x v="0"/>
    <x v="0"/>
  </r>
  <r>
    <x v="86"/>
    <x v="20"/>
    <x v="47"/>
    <x v="20"/>
    <x v="0"/>
    <x v="1"/>
    <x v="2"/>
    <x v="22"/>
    <x v="21"/>
    <x v="2"/>
    <x v="0"/>
    <x v="2"/>
    <x v="0"/>
    <x v="3"/>
    <x v="1"/>
    <x v="3"/>
    <x v="2"/>
    <x v="1"/>
    <x v="2"/>
    <x v="1"/>
    <x v="1"/>
    <x v="32"/>
    <x v="2"/>
    <x v="3"/>
    <x v="4"/>
    <x v="20"/>
    <x v="4"/>
    <x v="1"/>
    <x v="8"/>
    <x v="1"/>
    <x v="0"/>
    <x v="47"/>
    <x v="0"/>
    <x v="18"/>
  </r>
  <r>
    <x v="87"/>
    <x v="43"/>
    <x v="42"/>
    <x v="42"/>
    <x v="71"/>
    <x v="1"/>
    <x v="2"/>
    <x v="45"/>
    <x v="46"/>
    <x v="1"/>
    <x v="27"/>
    <x v="0"/>
    <x v="0"/>
    <x v="3"/>
    <x v="1"/>
    <x v="1"/>
    <x v="2"/>
    <x v="1"/>
    <x v="2"/>
    <x v="1"/>
    <x v="2"/>
    <x v="0"/>
    <x v="2"/>
    <x v="3"/>
    <x v="4"/>
    <x v="42"/>
    <x v="1"/>
    <x v="0"/>
    <x v="0"/>
    <x v="1"/>
    <x v="0"/>
    <x v="0"/>
    <x v="0"/>
    <x v="0"/>
  </r>
  <r>
    <x v="88"/>
    <x v="35"/>
    <x v="34"/>
    <x v="34"/>
    <x v="0"/>
    <x v="1"/>
    <x v="2"/>
    <x v="37"/>
    <x v="53"/>
    <x v="1"/>
    <x v="12"/>
    <x v="0"/>
    <x v="0"/>
    <x v="3"/>
    <x v="1"/>
    <x v="1"/>
    <x v="2"/>
    <x v="2"/>
    <x v="1"/>
    <x v="1"/>
    <x v="2"/>
    <x v="0"/>
    <x v="2"/>
    <x v="3"/>
    <x v="4"/>
    <x v="34"/>
    <x v="5"/>
    <x v="0"/>
    <x v="0"/>
    <x v="1"/>
    <x v="0"/>
    <x v="0"/>
    <x v="0"/>
    <x v="0"/>
  </r>
  <r>
    <x v="89"/>
    <x v="52"/>
    <x v="51"/>
    <x v="50"/>
    <x v="72"/>
    <x v="1"/>
    <x v="2"/>
    <x v="54"/>
    <x v="54"/>
    <x v="1"/>
    <x v="3"/>
    <x v="0"/>
    <x v="0"/>
    <x v="1"/>
    <x v="1"/>
    <x v="1"/>
    <x v="2"/>
    <x v="1"/>
    <x v="2"/>
    <x v="1"/>
    <x v="1"/>
    <x v="34"/>
    <x v="1"/>
    <x v="1"/>
    <x v="2"/>
    <x v="50"/>
    <x v="1"/>
    <x v="1"/>
    <x v="7"/>
    <x v="2"/>
    <x v="1"/>
    <x v="48"/>
    <x v="0"/>
    <x v="0"/>
  </r>
  <r>
    <x v="90"/>
    <x v="53"/>
    <x v="52"/>
    <x v="51"/>
    <x v="73"/>
    <x v="2"/>
    <x v="5"/>
    <x v="55"/>
    <x v="55"/>
    <x v="1"/>
    <x v="3"/>
    <x v="0"/>
    <x v="0"/>
    <x v="2"/>
    <x v="3"/>
    <x v="2"/>
    <x v="2"/>
    <x v="2"/>
    <x v="1"/>
    <x v="1"/>
    <x v="1"/>
    <x v="33"/>
    <x v="1"/>
    <x v="1"/>
    <x v="2"/>
    <x v="51"/>
    <x v="2"/>
    <x v="3"/>
    <x v="0"/>
    <x v="1"/>
    <x v="0"/>
    <x v="49"/>
    <x v="21"/>
    <x v="0"/>
  </r>
  <r>
    <x v="91"/>
    <x v="54"/>
    <x v="53"/>
    <x v="52"/>
    <x v="74"/>
    <x v="1"/>
    <x v="2"/>
    <x v="56"/>
    <x v="56"/>
    <x v="1"/>
    <x v="32"/>
    <x v="0"/>
    <x v="0"/>
    <x v="1"/>
    <x v="1"/>
    <x v="1"/>
    <x v="2"/>
    <x v="1"/>
    <x v="2"/>
    <x v="1"/>
    <x v="2"/>
    <x v="0"/>
    <x v="2"/>
    <x v="1"/>
    <x v="2"/>
    <x v="52"/>
    <x v="5"/>
    <x v="0"/>
    <x v="0"/>
    <x v="1"/>
    <x v="0"/>
    <x v="0"/>
    <x v="0"/>
    <x v="0"/>
  </r>
  <r>
    <x v="92"/>
    <x v="55"/>
    <x v="54"/>
    <x v="53"/>
    <x v="75"/>
    <x v="1"/>
    <x v="2"/>
    <x v="57"/>
    <x v="57"/>
    <x v="1"/>
    <x v="3"/>
    <x v="0"/>
    <x v="0"/>
    <x v="1"/>
    <x v="3"/>
    <x v="3"/>
    <x v="2"/>
    <x v="1"/>
    <x v="2"/>
    <x v="1"/>
    <x v="1"/>
    <x v="32"/>
    <x v="2"/>
    <x v="1"/>
    <x v="2"/>
    <x v="53"/>
    <x v="5"/>
    <x v="3"/>
    <x v="0"/>
    <x v="1"/>
    <x v="0"/>
    <x v="0"/>
    <x v="0"/>
    <x v="0"/>
  </r>
  <r>
    <x v="93"/>
    <x v="36"/>
    <x v="35"/>
    <x v="35"/>
    <x v="76"/>
    <x v="1"/>
    <x v="2"/>
    <x v="38"/>
    <x v="39"/>
    <x v="1"/>
    <x v="33"/>
    <x v="0"/>
    <x v="0"/>
    <x v="3"/>
    <x v="1"/>
    <x v="1"/>
    <x v="2"/>
    <x v="1"/>
    <x v="3"/>
    <x v="1"/>
    <x v="2"/>
    <x v="0"/>
    <x v="1"/>
    <x v="3"/>
    <x v="4"/>
    <x v="35"/>
    <x v="2"/>
    <x v="0"/>
    <x v="0"/>
    <x v="1"/>
    <x v="0"/>
    <x v="0"/>
    <x v="0"/>
    <x v="0"/>
  </r>
  <r>
    <x v="94"/>
    <x v="49"/>
    <x v="48"/>
    <x v="47"/>
    <x v="0"/>
    <x v="1"/>
    <x v="1"/>
    <x v="51"/>
    <x v="50"/>
    <x v="1"/>
    <x v="34"/>
    <x v="0"/>
    <x v="0"/>
    <x v="3"/>
    <x v="1"/>
    <x v="1"/>
    <x v="2"/>
    <x v="1"/>
    <x v="3"/>
    <x v="1"/>
    <x v="1"/>
    <x v="35"/>
    <x v="2"/>
    <x v="3"/>
    <x v="4"/>
    <x v="47"/>
    <x v="5"/>
    <x v="1"/>
    <x v="1"/>
    <x v="2"/>
    <x v="1"/>
    <x v="0"/>
    <x v="22"/>
    <x v="0"/>
  </r>
  <r>
    <x v="95"/>
    <x v="56"/>
    <x v="55"/>
    <x v="54"/>
    <x v="77"/>
    <x v="2"/>
    <x v="2"/>
    <x v="58"/>
    <x v="58"/>
    <x v="1"/>
    <x v="12"/>
    <x v="0"/>
    <x v="0"/>
    <x v="1"/>
    <x v="2"/>
    <x v="3"/>
    <x v="2"/>
    <x v="1"/>
    <x v="1"/>
    <x v="1"/>
    <x v="1"/>
    <x v="32"/>
    <x v="2"/>
    <x v="5"/>
    <x v="2"/>
    <x v="54"/>
    <x v="5"/>
    <x v="1"/>
    <x v="1"/>
    <x v="1"/>
    <x v="0"/>
    <x v="50"/>
    <x v="0"/>
    <x v="0"/>
  </r>
  <r>
    <x v="96"/>
    <x v="44"/>
    <x v="43"/>
    <x v="43"/>
    <x v="0"/>
    <x v="1"/>
    <x v="2"/>
    <x v="59"/>
    <x v="47"/>
    <x v="1"/>
    <x v="12"/>
    <x v="0"/>
    <x v="0"/>
    <x v="3"/>
    <x v="1"/>
    <x v="1"/>
    <x v="2"/>
    <x v="1"/>
    <x v="2"/>
    <x v="1"/>
    <x v="1"/>
    <x v="35"/>
    <x v="2"/>
    <x v="3"/>
    <x v="4"/>
    <x v="43"/>
    <x v="5"/>
    <x v="3"/>
    <x v="0"/>
    <x v="1"/>
    <x v="0"/>
    <x v="51"/>
    <x v="23"/>
    <x v="0"/>
  </r>
  <r>
    <x v="97"/>
    <x v="20"/>
    <x v="47"/>
    <x v="20"/>
    <x v="0"/>
    <x v="1"/>
    <x v="2"/>
    <x v="22"/>
    <x v="21"/>
    <x v="6"/>
    <x v="0"/>
    <x v="0"/>
    <x v="1"/>
    <x v="3"/>
    <x v="4"/>
    <x v="1"/>
    <x v="2"/>
    <x v="1"/>
    <x v="2"/>
    <x v="1"/>
    <x v="2"/>
    <x v="0"/>
    <x v="2"/>
    <x v="3"/>
    <x v="4"/>
    <x v="20"/>
    <x v="8"/>
    <x v="0"/>
    <x v="0"/>
    <x v="1"/>
    <x v="0"/>
    <x v="0"/>
    <x v="0"/>
    <x v="0"/>
  </r>
  <r>
    <x v="98"/>
    <x v="56"/>
    <x v="55"/>
    <x v="54"/>
    <x v="0"/>
    <x v="2"/>
    <x v="2"/>
    <x v="58"/>
    <x v="58"/>
    <x v="1"/>
    <x v="12"/>
    <x v="0"/>
    <x v="0"/>
    <x v="3"/>
    <x v="1"/>
    <x v="2"/>
    <x v="2"/>
    <x v="1"/>
    <x v="2"/>
    <x v="1"/>
    <x v="1"/>
    <x v="35"/>
    <x v="2"/>
    <x v="3"/>
    <x v="4"/>
    <x v="54"/>
    <x v="5"/>
    <x v="1"/>
    <x v="1"/>
    <x v="1"/>
    <x v="0"/>
    <x v="52"/>
    <x v="24"/>
    <x v="0"/>
  </r>
  <r>
    <x v="99"/>
    <x v="57"/>
    <x v="56"/>
    <x v="55"/>
    <x v="78"/>
    <x v="3"/>
    <x v="2"/>
    <x v="60"/>
    <x v="30"/>
    <x v="1"/>
    <x v="2"/>
    <x v="0"/>
    <x v="0"/>
    <x v="1"/>
    <x v="2"/>
    <x v="3"/>
    <x v="2"/>
    <x v="1"/>
    <x v="2"/>
    <x v="1"/>
    <x v="1"/>
    <x v="33"/>
    <x v="1"/>
    <x v="6"/>
    <x v="2"/>
    <x v="55"/>
    <x v="8"/>
    <x v="1"/>
    <x v="4"/>
    <x v="2"/>
    <x v="1"/>
    <x v="53"/>
    <x v="0"/>
    <x v="19"/>
  </r>
  <r>
    <x v="100"/>
    <x v="58"/>
    <x v="57"/>
    <x v="56"/>
    <x v="79"/>
    <x v="3"/>
    <x v="1"/>
    <x v="61"/>
    <x v="59"/>
    <x v="1"/>
    <x v="35"/>
    <x v="0"/>
    <x v="0"/>
    <x v="1"/>
    <x v="1"/>
    <x v="2"/>
    <x v="1"/>
    <x v="1"/>
    <x v="2"/>
    <x v="1"/>
    <x v="1"/>
    <x v="35"/>
    <x v="1"/>
    <x v="6"/>
    <x v="2"/>
    <x v="56"/>
    <x v="5"/>
    <x v="1"/>
    <x v="9"/>
    <x v="1"/>
    <x v="0"/>
    <x v="52"/>
    <x v="25"/>
    <x v="0"/>
  </r>
  <r>
    <x v="101"/>
    <x v="59"/>
    <x v="58"/>
    <x v="57"/>
    <x v="80"/>
    <x v="1"/>
    <x v="2"/>
    <x v="62"/>
    <x v="59"/>
    <x v="1"/>
    <x v="36"/>
    <x v="0"/>
    <x v="0"/>
    <x v="1"/>
    <x v="1"/>
    <x v="2"/>
    <x v="2"/>
    <x v="1"/>
    <x v="1"/>
    <x v="1"/>
    <x v="1"/>
    <x v="35"/>
    <x v="2"/>
    <x v="6"/>
    <x v="2"/>
    <x v="57"/>
    <x v="5"/>
    <x v="3"/>
    <x v="0"/>
    <x v="1"/>
    <x v="0"/>
    <x v="54"/>
    <x v="26"/>
    <x v="20"/>
  </r>
  <r>
    <x v="102"/>
    <x v="60"/>
    <x v="59"/>
    <x v="58"/>
    <x v="81"/>
    <x v="1"/>
    <x v="2"/>
    <x v="63"/>
    <x v="60"/>
    <x v="1"/>
    <x v="15"/>
    <x v="0"/>
    <x v="0"/>
    <x v="1"/>
    <x v="2"/>
    <x v="3"/>
    <x v="1"/>
    <x v="1"/>
    <x v="1"/>
    <x v="1"/>
    <x v="1"/>
    <x v="33"/>
    <x v="1"/>
    <x v="6"/>
    <x v="2"/>
    <x v="58"/>
    <x v="8"/>
    <x v="3"/>
    <x v="0"/>
    <x v="1"/>
    <x v="0"/>
    <x v="55"/>
    <x v="27"/>
    <x v="0"/>
  </r>
  <r>
    <x v="103"/>
    <x v="30"/>
    <x v="29"/>
    <x v="29"/>
    <x v="82"/>
    <x v="1"/>
    <x v="2"/>
    <x v="31"/>
    <x v="31"/>
    <x v="1"/>
    <x v="1"/>
    <x v="0"/>
    <x v="0"/>
    <x v="1"/>
    <x v="2"/>
    <x v="3"/>
    <x v="2"/>
    <x v="1"/>
    <x v="2"/>
    <x v="1"/>
    <x v="1"/>
    <x v="33"/>
    <x v="2"/>
    <x v="6"/>
    <x v="2"/>
    <x v="29"/>
    <x v="5"/>
    <x v="3"/>
    <x v="0"/>
    <x v="1"/>
    <x v="0"/>
    <x v="55"/>
    <x v="28"/>
    <x v="0"/>
  </r>
  <r>
    <x v="104"/>
    <x v="61"/>
    <x v="60"/>
    <x v="59"/>
    <x v="83"/>
    <x v="1"/>
    <x v="1"/>
    <x v="25"/>
    <x v="61"/>
    <x v="1"/>
    <x v="37"/>
    <x v="0"/>
    <x v="0"/>
    <x v="1"/>
    <x v="2"/>
    <x v="3"/>
    <x v="2"/>
    <x v="1"/>
    <x v="2"/>
    <x v="1"/>
    <x v="1"/>
    <x v="33"/>
    <x v="1"/>
    <x v="6"/>
    <x v="2"/>
    <x v="59"/>
    <x v="5"/>
    <x v="1"/>
    <x v="7"/>
    <x v="1"/>
    <x v="0"/>
    <x v="56"/>
    <x v="0"/>
    <x v="21"/>
  </r>
  <r>
    <x v="105"/>
    <x v="62"/>
    <x v="61"/>
    <x v="60"/>
    <x v="84"/>
    <x v="1"/>
    <x v="2"/>
    <x v="64"/>
    <x v="62"/>
    <x v="1"/>
    <x v="15"/>
    <x v="0"/>
    <x v="0"/>
    <x v="1"/>
    <x v="1"/>
    <x v="1"/>
    <x v="2"/>
    <x v="1"/>
    <x v="2"/>
    <x v="1"/>
    <x v="2"/>
    <x v="0"/>
    <x v="1"/>
    <x v="4"/>
    <x v="2"/>
    <x v="60"/>
    <x v="8"/>
    <x v="0"/>
    <x v="0"/>
    <x v="1"/>
    <x v="0"/>
    <x v="0"/>
    <x v="0"/>
    <x v="22"/>
  </r>
  <r>
    <x v="106"/>
    <x v="51"/>
    <x v="50"/>
    <x v="49"/>
    <x v="85"/>
    <x v="1"/>
    <x v="2"/>
    <x v="65"/>
    <x v="52"/>
    <x v="1"/>
    <x v="2"/>
    <x v="0"/>
    <x v="0"/>
    <x v="1"/>
    <x v="2"/>
    <x v="3"/>
    <x v="2"/>
    <x v="1"/>
    <x v="2"/>
    <x v="1"/>
    <x v="1"/>
    <x v="33"/>
    <x v="1"/>
    <x v="6"/>
    <x v="3"/>
    <x v="49"/>
    <x v="8"/>
    <x v="3"/>
    <x v="0"/>
    <x v="1"/>
    <x v="0"/>
    <x v="57"/>
    <x v="28"/>
    <x v="0"/>
  </r>
  <r>
    <x v="107"/>
    <x v="57"/>
    <x v="56"/>
    <x v="55"/>
    <x v="86"/>
    <x v="3"/>
    <x v="2"/>
    <x v="60"/>
    <x v="30"/>
    <x v="1"/>
    <x v="25"/>
    <x v="0"/>
    <x v="0"/>
    <x v="3"/>
    <x v="3"/>
    <x v="2"/>
    <x v="2"/>
    <x v="2"/>
    <x v="3"/>
    <x v="1"/>
    <x v="1"/>
    <x v="35"/>
    <x v="1"/>
    <x v="3"/>
    <x v="4"/>
    <x v="55"/>
    <x v="1"/>
    <x v="1"/>
    <x v="1"/>
    <x v="2"/>
    <x v="1"/>
    <x v="58"/>
    <x v="0"/>
    <x v="23"/>
  </r>
  <r>
    <x v="108"/>
    <x v="63"/>
    <x v="62"/>
    <x v="61"/>
    <x v="87"/>
    <x v="1"/>
    <x v="1"/>
    <x v="66"/>
    <x v="16"/>
    <x v="1"/>
    <x v="38"/>
    <x v="0"/>
    <x v="0"/>
    <x v="1"/>
    <x v="1"/>
    <x v="1"/>
    <x v="2"/>
    <x v="1"/>
    <x v="2"/>
    <x v="1"/>
    <x v="1"/>
    <x v="33"/>
    <x v="1"/>
    <x v="2"/>
    <x v="2"/>
    <x v="61"/>
    <x v="7"/>
    <x v="1"/>
    <x v="7"/>
    <x v="2"/>
    <x v="1"/>
    <x v="59"/>
    <x v="0"/>
    <x v="0"/>
  </r>
  <r>
    <x v="109"/>
    <x v="64"/>
    <x v="63"/>
    <x v="62"/>
    <x v="88"/>
    <x v="1"/>
    <x v="2"/>
    <x v="67"/>
    <x v="63"/>
    <x v="1"/>
    <x v="39"/>
    <x v="0"/>
    <x v="0"/>
    <x v="1"/>
    <x v="1"/>
    <x v="1"/>
    <x v="2"/>
    <x v="1"/>
    <x v="3"/>
    <x v="1"/>
    <x v="1"/>
    <x v="36"/>
    <x v="1"/>
    <x v="1"/>
    <x v="2"/>
    <x v="62"/>
    <x v="1"/>
    <x v="1"/>
    <x v="4"/>
    <x v="2"/>
    <x v="1"/>
    <x v="60"/>
    <x v="0"/>
    <x v="24"/>
  </r>
  <r>
    <x v="110"/>
    <x v="65"/>
    <x v="64"/>
    <x v="63"/>
    <x v="89"/>
    <x v="3"/>
    <x v="2"/>
    <x v="68"/>
    <x v="64"/>
    <x v="1"/>
    <x v="31"/>
    <x v="0"/>
    <x v="0"/>
    <x v="1"/>
    <x v="1"/>
    <x v="1"/>
    <x v="2"/>
    <x v="1"/>
    <x v="3"/>
    <x v="1"/>
    <x v="2"/>
    <x v="0"/>
    <x v="1"/>
    <x v="1"/>
    <x v="2"/>
    <x v="63"/>
    <x v="1"/>
    <x v="0"/>
    <x v="0"/>
    <x v="1"/>
    <x v="0"/>
    <x v="0"/>
    <x v="0"/>
    <x v="0"/>
  </r>
  <r>
    <x v="111"/>
    <x v="66"/>
    <x v="65"/>
    <x v="64"/>
    <x v="90"/>
    <x v="1"/>
    <x v="2"/>
    <x v="69"/>
    <x v="65"/>
    <x v="1"/>
    <x v="15"/>
    <x v="0"/>
    <x v="0"/>
    <x v="1"/>
    <x v="1"/>
    <x v="1"/>
    <x v="2"/>
    <x v="1"/>
    <x v="1"/>
    <x v="1"/>
    <x v="2"/>
    <x v="0"/>
    <x v="1"/>
    <x v="1"/>
    <x v="2"/>
    <x v="64"/>
    <x v="1"/>
    <x v="0"/>
    <x v="0"/>
    <x v="1"/>
    <x v="0"/>
    <x v="0"/>
    <x v="0"/>
    <x v="0"/>
  </r>
  <r>
    <x v="112"/>
    <x v="61"/>
    <x v="60"/>
    <x v="59"/>
    <x v="0"/>
    <x v="1"/>
    <x v="2"/>
    <x v="25"/>
    <x v="61"/>
    <x v="1"/>
    <x v="40"/>
    <x v="0"/>
    <x v="0"/>
    <x v="3"/>
    <x v="1"/>
    <x v="1"/>
    <x v="2"/>
    <x v="1"/>
    <x v="2"/>
    <x v="1"/>
    <x v="2"/>
    <x v="0"/>
    <x v="2"/>
    <x v="3"/>
    <x v="4"/>
    <x v="59"/>
    <x v="7"/>
    <x v="0"/>
    <x v="0"/>
    <x v="1"/>
    <x v="0"/>
    <x v="0"/>
    <x v="0"/>
    <x v="0"/>
  </r>
  <r>
    <x v="113"/>
    <x v="67"/>
    <x v="66"/>
    <x v="65"/>
    <x v="91"/>
    <x v="1"/>
    <x v="2"/>
    <x v="70"/>
    <x v="66"/>
    <x v="1"/>
    <x v="41"/>
    <x v="0"/>
    <x v="0"/>
    <x v="1"/>
    <x v="1"/>
    <x v="1"/>
    <x v="2"/>
    <x v="1"/>
    <x v="3"/>
    <x v="1"/>
    <x v="2"/>
    <x v="0"/>
    <x v="1"/>
    <x v="1"/>
    <x v="2"/>
    <x v="65"/>
    <x v="1"/>
    <x v="0"/>
    <x v="0"/>
    <x v="1"/>
    <x v="0"/>
    <x v="0"/>
    <x v="0"/>
    <x v="0"/>
  </r>
  <r>
    <x v="114"/>
    <x v="68"/>
    <x v="67"/>
    <x v="66"/>
    <x v="92"/>
    <x v="1"/>
    <x v="2"/>
    <x v="71"/>
    <x v="67"/>
    <x v="1"/>
    <x v="42"/>
    <x v="0"/>
    <x v="0"/>
    <x v="1"/>
    <x v="3"/>
    <x v="2"/>
    <x v="1"/>
    <x v="1"/>
    <x v="2"/>
    <x v="1"/>
    <x v="2"/>
    <x v="33"/>
    <x v="1"/>
    <x v="1"/>
    <x v="2"/>
    <x v="66"/>
    <x v="2"/>
    <x v="2"/>
    <x v="0"/>
    <x v="1"/>
    <x v="0"/>
    <x v="61"/>
    <x v="0"/>
    <x v="25"/>
  </r>
  <r>
    <x v="115"/>
    <x v="69"/>
    <x v="68"/>
    <x v="67"/>
    <x v="93"/>
    <x v="3"/>
    <x v="2"/>
    <x v="72"/>
    <x v="68"/>
    <x v="1"/>
    <x v="3"/>
    <x v="0"/>
    <x v="0"/>
    <x v="1"/>
    <x v="3"/>
    <x v="3"/>
    <x v="1"/>
    <x v="1"/>
    <x v="2"/>
    <x v="1"/>
    <x v="1"/>
    <x v="36"/>
    <x v="1"/>
    <x v="2"/>
    <x v="1"/>
    <x v="67"/>
    <x v="7"/>
    <x v="3"/>
    <x v="0"/>
    <x v="1"/>
    <x v="0"/>
    <x v="62"/>
    <x v="29"/>
    <x v="26"/>
  </r>
  <r>
    <x v="116"/>
    <x v="70"/>
    <x v="69"/>
    <x v="68"/>
    <x v="94"/>
    <x v="1"/>
    <x v="2"/>
    <x v="73"/>
    <x v="69"/>
    <x v="2"/>
    <x v="0"/>
    <x v="5"/>
    <x v="0"/>
    <x v="1"/>
    <x v="2"/>
    <x v="3"/>
    <x v="2"/>
    <x v="1"/>
    <x v="2"/>
    <x v="1"/>
    <x v="1"/>
    <x v="35"/>
    <x v="1"/>
    <x v="1"/>
    <x v="2"/>
    <x v="68"/>
    <x v="1"/>
    <x v="1"/>
    <x v="1"/>
    <x v="2"/>
    <x v="1"/>
    <x v="63"/>
    <x v="0"/>
    <x v="0"/>
  </r>
  <r>
    <x v="117"/>
    <x v="71"/>
    <x v="70"/>
    <x v="69"/>
    <x v="95"/>
    <x v="1"/>
    <x v="2"/>
    <x v="74"/>
    <x v="70"/>
    <x v="2"/>
    <x v="0"/>
    <x v="6"/>
    <x v="0"/>
    <x v="1"/>
    <x v="2"/>
    <x v="3"/>
    <x v="1"/>
    <x v="1"/>
    <x v="2"/>
    <x v="1"/>
    <x v="1"/>
    <x v="35"/>
    <x v="1"/>
    <x v="1"/>
    <x v="2"/>
    <x v="69"/>
    <x v="2"/>
    <x v="3"/>
    <x v="0"/>
    <x v="1"/>
    <x v="0"/>
    <x v="64"/>
    <x v="30"/>
    <x v="0"/>
  </r>
  <r>
    <x v="118"/>
    <x v="63"/>
    <x v="62"/>
    <x v="61"/>
    <x v="96"/>
    <x v="1"/>
    <x v="1"/>
    <x v="66"/>
    <x v="16"/>
    <x v="1"/>
    <x v="43"/>
    <x v="0"/>
    <x v="0"/>
    <x v="3"/>
    <x v="2"/>
    <x v="3"/>
    <x v="2"/>
    <x v="1"/>
    <x v="2"/>
    <x v="1"/>
    <x v="1"/>
    <x v="35"/>
    <x v="1"/>
    <x v="3"/>
    <x v="4"/>
    <x v="61"/>
    <x v="7"/>
    <x v="1"/>
    <x v="1"/>
    <x v="2"/>
    <x v="1"/>
    <x v="65"/>
    <x v="0"/>
    <x v="0"/>
  </r>
  <r>
    <x v="119"/>
    <x v="72"/>
    <x v="71"/>
    <x v="70"/>
    <x v="97"/>
    <x v="1"/>
    <x v="1"/>
    <x v="75"/>
    <x v="37"/>
    <x v="1"/>
    <x v="24"/>
    <x v="0"/>
    <x v="0"/>
    <x v="1"/>
    <x v="2"/>
    <x v="3"/>
    <x v="2"/>
    <x v="2"/>
    <x v="1"/>
    <x v="1"/>
    <x v="1"/>
    <x v="35"/>
    <x v="1"/>
    <x v="5"/>
    <x v="2"/>
    <x v="70"/>
    <x v="7"/>
    <x v="1"/>
    <x v="9"/>
    <x v="1"/>
    <x v="0"/>
    <x v="66"/>
    <x v="31"/>
    <x v="27"/>
  </r>
  <r>
    <x v="120"/>
    <x v="70"/>
    <x v="69"/>
    <x v="68"/>
    <x v="98"/>
    <x v="1"/>
    <x v="2"/>
    <x v="73"/>
    <x v="69"/>
    <x v="2"/>
    <x v="0"/>
    <x v="5"/>
    <x v="0"/>
    <x v="3"/>
    <x v="1"/>
    <x v="1"/>
    <x v="2"/>
    <x v="1"/>
    <x v="2"/>
    <x v="1"/>
    <x v="1"/>
    <x v="35"/>
    <x v="1"/>
    <x v="3"/>
    <x v="4"/>
    <x v="68"/>
    <x v="5"/>
    <x v="1"/>
    <x v="9"/>
    <x v="2"/>
    <x v="1"/>
    <x v="67"/>
    <x v="32"/>
    <x v="0"/>
  </r>
  <r>
    <x v="121"/>
    <x v="26"/>
    <x v="26"/>
    <x v="26"/>
    <x v="99"/>
    <x v="1"/>
    <x v="2"/>
    <x v="28"/>
    <x v="71"/>
    <x v="1"/>
    <x v="15"/>
    <x v="0"/>
    <x v="0"/>
    <x v="1"/>
    <x v="1"/>
    <x v="1"/>
    <x v="2"/>
    <x v="1"/>
    <x v="2"/>
    <x v="1"/>
    <x v="1"/>
    <x v="37"/>
    <x v="1"/>
    <x v="2"/>
    <x v="3"/>
    <x v="26"/>
    <x v="10"/>
    <x v="1"/>
    <x v="4"/>
    <x v="2"/>
    <x v="1"/>
    <x v="68"/>
    <x v="33"/>
    <x v="0"/>
  </r>
  <r>
    <x v="122"/>
    <x v="73"/>
    <x v="72"/>
    <x v="71"/>
    <x v="100"/>
    <x v="2"/>
    <x v="1"/>
    <x v="76"/>
    <x v="10"/>
    <x v="6"/>
    <x v="0"/>
    <x v="0"/>
    <x v="2"/>
    <x v="1"/>
    <x v="1"/>
    <x v="1"/>
    <x v="2"/>
    <x v="1"/>
    <x v="3"/>
    <x v="1"/>
    <x v="1"/>
    <x v="36"/>
    <x v="1"/>
    <x v="6"/>
    <x v="2"/>
    <x v="71"/>
    <x v="10"/>
    <x v="3"/>
    <x v="0"/>
    <x v="1"/>
    <x v="0"/>
    <x v="69"/>
    <x v="34"/>
    <x v="28"/>
  </r>
  <r>
    <x v="123"/>
    <x v="63"/>
    <x v="62"/>
    <x v="61"/>
    <x v="101"/>
    <x v="1"/>
    <x v="1"/>
    <x v="66"/>
    <x v="16"/>
    <x v="1"/>
    <x v="43"/>
    <x v="0"/>
    <x v="0"/>
    <x v="3"/>
    <x v="1"/>
    <x v="1"/>
    <x v="1"/>
    <x v="1"/>
    <x v="2"/>
    <x v="1"/>
    <x v="2"/>
    <x v="0"/>
    <x v="1"/>
    <x v="3"/>
    <x v="4"/>
    <x v="61"/>
    <x v="5"/>
    <x v="0"/>
    <x v="0"/>
    <x v="1"/>
    <x v="0"/>
    <x v="0"/>
    <x v="0"/>
    <x v="0"/>
  </r>
  <r>
    <x v="124"/>
    <x v="74"/>
    <x v="73"/>
    <x v="72"/>
    <x v="102"/>
    <x v="3"/>
    <x v="2"/>
    <x v="77"/>
    <x v="72"/>
    <x v="1"/>
    <x v="4"/>
    <x v="0"/>
    <x v="0"/>
    <x v="1"/>
    <x v="1"/>
    <x v="1"/>
    <x v="2"/>
    <x v="1"/>
    <x v="3"/>
    <x v="1"/>
    <x v="1"/>
    <x v="35"/>
    <x v="1"/>
    <x v="6"/>
    <x v="2"/>
    <x v="72"/>
    <x v="10"/>
    <x v="3"/>
    <x v="0"/>
    <x v="1"/>
    <x v="0"/>
    <x v="70"/>
    <x v="30"/>
    <x v="0"/>
  </r>
  <r>
    <x v="125"/>
    <x v="75"/>
    <x v="74"/>
    <x v="73"/>
    <x v="103"/>
    <x v="1"/>
    <x v="1"/>
    <x v="78"/>
    <x v="73"/>
    <x v="2"/>
    <x v="0"/>
    <x v="5"/>
    <x v="0"/>
    <x v="1"/>
    <x v="2"/>
    <x v="3"/>
    <x v="2"/>
    <x v="1"/>
    <x v="2"/>
    <x v="1"/>
    <x v="1"/>
    <x v="37"/>
    <x v="2"/>
    <x v="6"/>
    <x v="2"/>
    <x v="73"/>
    <x v="5"/>
    <x v="1"/>
    <x v="4"/>
    <x v="2"/>
    <x v="1"/>
    <x v="71"/>
    <x v="0"/>
    <x v="0"/>
  </r>
  <r>
    <x v="126"/>
    <x v="70"/>
    <x v="69"/>
    <x v="68"/>
    <x v="104"/>
    <x v="1"/>
    <x v="6"/>
    <x v="73"/>
    <x v="69"/>
    <x v="1"/>
    <x v="4"/>
    <x v="0"/>
    <x v="0"/>
    <x v="3"/>
    <x v="2"/>
    <x v="3"/>
    <x v="2"/>
    <x v="1"/>
    <x v="2"/>
    <x v="1"/>
    <x v="1"/>
    <x v="37"/>
    <x v="1"/>
    <x v="3"/>
    <x v="4"/>
    <x v="68"/>
    <x v="10"/>
    <x v="1"/>
    <x v="10"/>
    <x v="2"/>
    <x v="1"/>
    <x v="72"/>
    <x v="0"/>
    <x v="0"/>
  </r>
  <r>
    <x v="127"/>
    <x v="19"/>
    <x v="19"/>
    <x v="19"/>
    <x v="105"/>
    <x v="1"/>
    <x v="2"/>
    <x v="21"/>
    <x v="20"/>
    <x v="1"/>
    <x v="44"/>
    <x v="0"/>
    <x v="0"/>
    <x v="1"/>
    <x v="1"/>
    <x v="1"/>
    <x v="2"/>
    <x v="1"/>
    <x v="2"/>
    <x v="1"/>
    <x v="2"/>
    <x v="0"/>
    <x v="1"/>
    <x v="6"/>
    <x v="2"/>
    <x v="19"/>
    <x v="5"/>
    <x v="0"/>
    <x v="0"/>
    <x v="1"/>
    <x v="0"/>
    <x v="0"/>
    <x v="0"/>
    <x v="0"/>
  </r>
  <r>
    <x v="128"/>
    <x v="76"/>
    <x v="75"/>
    <x v="74"/>
    <x v="106"/>
    <x v="1"/>
    <x v="6"/>
    <x v="79"/>
    <x v="74"/>
    <x v="1"/>
    <x v="45"/>
    <x v="0"/>
    <x v="0"/>
    <x v="1"/>
    <x v="1"/>
    <x v="1"/>
    <x v="2"/>
    <x v="1"/>
    <x v="3"/>
    <x v="1"/>
    <x v="1"/>
    <x v="37"/>
    <x v="1"/>
    <x v="6"/>
    <x v="2"/>
    <x v="74"/>
    <x v="10"/>
    <x v="3"/>
    <x v="0"/>
    <x v="1"/>
    <x v="0"/>
    <x v="73"/>
    <x v="35"/>
    <x v="0"/>
  </r>
  <r>
    <x v="129"/>
    <x v="57"/>
    <x v="56"/>
    <x v="55"/>
    <x v="107"/>
    <x v="3"/>
    <x v="2"/>
    <x v="60"/>
    <x v="30"/>
    <x v="1"/>
    <x v="33"/>
    <x v="0"/>
    <x v="0"/>
    <x v="3"/>
    <x v="1"/>
    <x v="2"/>
    <x v="2"/>
    <x v="2"/>
    <x v="3"/>
    <x v="1"/>
    <x v="1"/>
    <x v="36"/>
    <x v="1"/>
    <x v="3"/>
    <x v="4"/>
    <x v="55"/>
    <x v="5"/>
    <x v="1"/>
    <x v="3"/>
    <x v="2"/>
    <x v="1"/>
    <x v="74"/>
    <x v="0"/>
    <x v="0"/>
  </r>
  <r>
    <x v="130"/>
    <x v="77"/>
    <x v="76"/>
    <x v="75"/>
    <x v="108"/>
    <x v="1"/>
    <x v="2"/>
    <x v="80"/>
    <x v="74"/>
    <x v="1"/>
    <x v="2"/>
    <x v="0"/>
    <x v="0"/>
    <x v="1"/>
    <x v="1"/>
    <x v="1"/>
    <x v="2"/>
    <x v="1"/>
    <x v="2"/>
    <x v="1"/>
    <x v="2"/>
    <x v="0"/>
    <x v="1"/>
    <x v="6"/>
    <x v="2"/>
    <x v="75"/>
    <x v="5"/>
    <x v="0"/>
    <x v="0"/>
    <x v="1"/>
    <x v="0"/>
    <x v="0"/>
    <x v="0"/>
    <x v="0"/>
  </r>
  <r>
    <x v="131"/>
    <x v="78"/>
    <x v="77"/>
    <x v="76"/>
    <x v="109"/>
    <x v="1"/>
    <x v="6"/>
    <x v="81"/>
    <x v="30"/>
    <x v="1"/>
    <x v="22"/>
    <x v="0"/>
    <x v="0"/>
    <x v="1"/>
    <x v="1"/>
    <x v="1"/>
    <x v="2"/>
    <x v="1"/>
    <x v="3"/>
    <x v="1"/>
    <x v="1"/>
    <x v="37"/>
    <x v="1"/>
    <x v="6"/>
    <x v="2"/>
    <x v="76"/>
    <x v="10"/>
    <x v="1"/>
    <x v="4"/>
    <x v="2"/>
    <x v="1"/>
    <x v="75"/>
    <x v="0"/>
    <x v="29"/>
  </r>
  <r>
    <x v="132"/>
    <x v="45"/>
    <x v="44"/>
    <x v="44"/>
    <x v="110"/>
    <x v="3"/>
    <x v="6"/>
    <x v="47"/>
    <x v="17"/>
    <x v="1"/>
    <x v="1"/>
    <x v="0"/>
    <x v="0"/>
    <x v="1"/>
    <x v="1"/>
    <x v="1"/>
    <x v="2"/>
    <x v="1"/>
    <x v="2"/>
    <x v="2"/>
    <x v="1"/>
    <x v="37"/>
    <x v="1"/>
    <x v="6"/>
    <x v="2"/>
    <x v="44"/>
    <x v="10"/>
    <x v="3"/>
    <x v="0"/>
    <x v="1"/>
    <x v="0"/>
    <x v="76"/>
    <x v="36"/>
    <x v="30"/>
  </r>
  <r>
    <x v="133"/>
    <x v="79"/>
    <x v="78"/>
    <x v="77"/>
    <x v="111"/>
    <x v="3"/>
    <x v="2"/>
    <x v="82"/>
    <x v="59"/>
    <x v="6"/>
    <x v="0"/>
    <x v="0"/>
    <x v="3"/>
    <x v="1"/>
    <x v="1"/>
    <x v="1"/>
    <x v="1"/>
    <x v="1"/>
    <x v="2"/>
    <x v="2"/>
    <x v="2"/>
    <x v="0"/>
    <x v="1"/>
    <x v="6"/>
    <x v="2"/>
    <x v="77"/>
    <x v="5"/>
    <x v="0"/>
    <x v="0"/>
    <x v="1"/>
    <x v="0"/>
    <x v="0"/>
    <x v="0"/>
    <x v="31"/>
  </r>
  <r>
    <x v="134"/>
    <x v="49"/>
    <x v="48"/>
    <x v="47"/>
    <x v="112"/>
    <x v="1"/>
    <x v="1"/>
    <x v="51"/>
    <x v="50"/>
    <x v="1"/>
    <x v="34"/>
    <x v="0"/>
    <x v="0"/>
    <x v="3"/>
    <x v="1"/>
    <x v="1"/>
    <x v="2"/>
    <x v="1"/>
    <x v="3"/>
    <x v="1"/>
    <x v="2"/>
    <x v="0"/>
    <x v="1"/>
    <x v="3"/>
    <x v="4"/>
    <x v="47"/>
    <x v="5"/>
    <x v="0"/>
    <x v="0"/>
    <x v="1"/>
    <x v="0"/>
    <x v="0"/>
    <x v="0"/>
    <x v="0"/>
  </r>
  <r>
    <x v="135"/>
    <x v="72"/>
    <x v="71"/>
    <x v="70"/>
    <x v="0"/>
    <x v="1"/>
    <x v="6"/>
    <x v="75"/>
    <x v="37"/>
    <x v="1"/>
    <x v="24"/>
    <x v="0"/>
    <x v="0"/>
    <x v="3"/>
    <x v="1"/>
    <x v="1"/>
    <x v="2"/>
    <x v="1"/>
    <x v="2"/>
    <x v="1"/>
    <x v="1"/>
    <x v="38"/>
    <x v="2"/>
    <x v="3"/>
    <x v="4"/>
    <x v="78"/>
    <x v="10"/>
    <x v="3"/>
    <x v="0"/>
    <x v="1"/>
    <x v="0"/>
    <x v="77"/>
    <x v="37"/>
    <x v="32"/>
  </r>
  <r>
    <x v="136"/>
    <x v="56"/>
    <x v="55"/>
    <x v="54"/>
    <x v="0"/>
    <x v="3"/>
    <x v="2"/>
    <x v="58"/>
    <x v="58"/>
    <x v="1"/>
    <x v="12"/>
    <x v="0"/>
    <x v="0"/>
    <x v="3"/>
    <x v="1"/>
    <x v="2"/>
    <x v="2"/>
    <x v="1"/>
    <x v="2"/>
    <x v="1"/>
    <x v="1"/>
    <x v="36"/>
    <x v="2"/>
    <x v="3"/>
    <x v="4"/>
    <x v="54"/>
    <x v="5"/>
    <x v="3"/>
    <x v="0"/>
    <x v="1"/>
    <x v="0"/>
    <x v="78"/>
    <x v="38"/>
    <x v="0"/>
  </r>
  <r>
    <x v="137"/>
    <x v="58"/>
    <x v="57"/>
    <x v="56"/>
    <x v="0"/>
    <x v="3"/>
    <x v="6"/>
    <x v="61"/>
    <x v="75"/>
    <x v="1"/>
    <x v="3"/>
    <x v="0"/>
    <x v="0"/>
    <x v="3"/>
    <x v="3"/>
    <x v="2"/>
    <x v="2"/>
    <x v="1"/>
    <x v="3"/>
    <x v="1"/>
    <x v="1"/>
    <x v="39"/>
    <x v="2"/>
    <x v="3"/>
    <x v="4"/>
    <x v="56"/>
    <x v="10"/>
    <x v="3"/>
    <x v="0"/>
    <x v="1"/>
    <x v="0"/>
    <x v="79"/>
    <x v="39"/>
    <x v="0"/>
  </r>
  <r>
    <x v="138"/>
    <x v="80"/>
    <x v="79"/>
    <x v="78"/>
    <x v="113"/>
    <x v="1"/>
    <x v="2"/>
    <x v="83"/>
    <x v="72"/>
    <x v="1"/>
    <x v="3"/>
    <x v="0"/>
    <x v="0"/>
    <x v="1"/>
    <x v="3"/>
    <x v="3"/>
    <x v="2"/>
    <x v="1"/>
    <x v="2"/>
    <x v="1"/>
    <x v="1"/>
    <x v="36"/>
    <x v="1"/>
    <x v="6"/>
    <x v="2"/>
    <x v="79"/>
    <x v="5"/>
    <x v="1"/>
    <x v="7"/>
    <x v="1"/>
    <x v="0"/>
    <x v="80"/>
    <x v="40"/>
    <x v="0"/>
  </r>
  <r>
    <x v="139"/>
    <x v="81"/>
    <x v="80"/>
    <x v="79"/>
    <x v="114"/>
    <x v="3"/>
    <x v="2"/>
    <x v="84"/>
    <x v="76"/>
    <x v="1"/>
    <x v="24"/>
    <x v="0"/>
    <x v="0"/>
    <x v="1"/>
    <x v="3"/>
    <x v="3"/>
    <x v="2"/>
    <x v="1"/>
    <x v="3"/>
    <x v="1"/>
    <x v="1"/>
    <x v="36"/>
    <x v="1"/>
    <x v="4"/>
    <x v="2"/>
    <x v="80"/>
    <x v="1"/>
    <x v="3"/>
    <x v="0"/>
    <x v="1"/>
    <x v="0"/>
    <x v="81"/>
    <x v="41"/>
    <x v="0"/>
  </r>
  <r>
    <x v="140"/>
    <x v="75"/>
    <x v="74"/>
    <x v="73"/>
    <x v="115"/>
    <x v="1"/>
    <x v="2"/>
    <x v="78"/>
    <x v="77"/>
    <x v="2"/>
    <x v="0"/>
    <x v="5"/>
    <x v="0"/>
    <x v="3"/>
    <x v="2"/>
    <x v="3"/>
    <x v="2"/>
    <x v="1"/>
    <x v="2"/>
    <x v="1"/>
    <x v="1"/>
    <x v="37"/>
    <x v="2"/>
    <x v="3"/>
    <x v="4"/>
    <x v="73"/>
    <x v="1"/>
    <x v="1"/>
    <x v="4"/>
    <x v="2"/>
    <x v="1"/>
    <x v="82"/>
    <x v="42"/>
    <x v="0"/>
  </r>
  <r>
    <x v="141"/>
    <x v="70"/>
    <x v="69"/>
    <x v="68"/>
    <x v="116"/>
    <x v="1"/>
    <x v="2"/>
    <x v="73"/>
    <x v="69"/>
    <x v="1"/>
    <x v="4"/>
    <x v="0"/>
    <x v="0"/>
    <x v="3"/>
    <x v="1"/>
    <x v="1"/>
    <x v="2"/>
    <x v="1"/>
    <x v="2"/>
    <x v="1"/>
    <x v="1"/>
    <x v="38"/>
    <x v="1"/>
    <x v="3"/>
    <x v="4"/>
    <x v="74"/>
    <x v="9"/>
    <x v="3"/>
    <x v="0"/>
    <x v="1"/>
    <x v="0"/>
    <x v="83"/>
    <x v="43"/>
    <x v="0"/>
  </r>
  <r>
    <x v="142"/>
    <x v="82"/>
    <x v="81"/>
    <x v="80"/>
    <x v="117"/>
    <x v="1"/>
    <x v="2"/>
    <x v="85"/>
    <x v="10"/>
    <x v="2"/>
    <x v="0"/>
    <x v="5"/>
    <x v="0"/>
    <x v="1"/>
    <x v="2"/>
    <x v="3"/>
    <x v="2"/>
    <x v="1"/>
    <x v="1"/>
    <x v="1"/>
    <x v="1"/>
    <x v="37"/>
    <x v="1"/>
    <x v="6"/>
    <x v="2"/>
    <x v="81"/>
    <x v="9"/>
    <x v="1"/>
    <x v="10"/>
    <x v="2"/>
    <x v="1"/>
    <x v="84"/>
    <x v="0"/>
    <x v="33"/>
  </r>
  <r>
    <x v="143"/>
    <x v="78"/>
    <x v="77"/>
    <x v="76"/>
    <x v="118"/>
    <x v="1"/>
    <x v="2"/>
    <x v="81"/>
    <x v="78"/>
    <x v="1"/>
    <x v="22"/>
    <x v="0"/>
    <x v="0"/>
    <x v="3"/>
    <x v="2"/>
    <x v="3"/>
    <x v="2"/>
    <x v="1"/>
    <x v="3"/>
    <x v="1"/>
    <x v="1"/>
    <x v="36"/>
    <x v="1"/>
    <x v="3"/>
    <x v="4"/>
    <x v="76"/>
    <x v="1"/>
    <x v="1"/>
    <x v="7"/>
    <x v="2"/>
    <x v="1"/>
    <x v="85"/>
    <x v="0"/>
    <x v="0"/>
  </r>
  <r>
    <x v="144"/>
    <x v="83"/>
    <x v="82"/>
    <x v="81"/>
    <x v="119"/>
    <x v="1"/>
    <x v="3"/>
    <x v="86"/>
    <x v="10"/>
    <x v="1"/>
    <x v="46"/>
    <x v="0"/>
    <x v="0"/>
    <x v="1"/>
    <x v="1"/>
    <x v="1"/>
    <x v="2"/>
    <x v="1"/>
    <x v="1"/>
    <x v="1"/>
    <x v="1"/>
    <x v="40"/>
    <x v="1"/>
    <x v="6"/>
    <x v="3"/>
    <x v="82"/>
    <x v="9"/>
    <x v="3"/>
    <x v="0"/>
    <x v="1"/>
    <x v="0"/>
    <x v="86"/>
    <x v="44"/>
    <x v="0"/>
  </r>
  <r>
    <x v="145"/>
    <x v="26"/>
    <x v="26"/>
    <x v="26"/>
    <x v="120"/>
    <x v="1"/>
    <x v="2"/>
    <x v="28"/>
    <x v="79"/>
    <x v="1"/>
    <x v="22"/>
    <x v="0"/>
    <x v="0"/>
    <x v="3"/>
    <x v="1"/>
    <x v="1"/>
    <x v="2"/>
    <x v="1"/>
    <x v="3"/>
    <x v="1"/>
    <x v="2"/>
    <x v="0"/>
    <x v="1"/>
    <x v="3"/>
    <x v="4"/>
    <x v="26"/>
    <x v="1"/>
    <x v="0"/>
    <x v="0"/>
    <x v="1"/>
    <x v="0"/>
    <x v="0"/>
    <x v="0"/>
    <x v="0"/>
  </r>
  <r>
    <x v="146"/>
    <x v="75"/>
    <x v="74"/>
    <x v="73"/>
    <x v="0"/>
    <x v="1"/>
    <x v="2"/>
    <x v="78"/>
    <x v="77"/>
    <x v="2"/>
    <x v="0"/>
    <x v="5"/>
    <x v="0"/>
    <x v="3"/>
    <x v="4"/>
    <x v="1"/>
    <x v="2"/>
    <x v="1"/>
    <x v="2"/>
    <x v="1"/>
    <x v="1"/>
    <x v="36"/>
    <x v="2"/>
    <x v="3"/>
    <x v="4"/>
    <x v="73"/>
    <x v="1"/>
    <x v="3"/>
    <x v="0"/>
    <x v="1"/>
    <x v="0"/>
    <x v="87"/>
    <x v="45"/>
    <x v="34"/>
  </r>
  <r>
    <x v="147"/>
    <x v="84"/>
    <x v="83"/>
    <x v="82"/>
    <x v="121"/>
    <x v="1"/>
    <x v="6"/>
    <x v="87"/>
    <x v="80"/>
    <x v="1"/>
    <x v="47"/>
    <x v="0"/>
    <x v="0"/>
    <x v="1"/>
    <x v="1"/>
    <x v="1"/>
    <x v="2"/>
    <x v="2"/>
    <x v="1"/>
    <x v="1"/>
    <x v="2"/>
    <x v="0"/>
    <x v="1"/>
    <x v="6"/>
    <x v="2"/>
    <x v="83"/>
    <x v="9"/>
    <x v="0"/>
    <x v="0"/>
    <x v="1"/>
    <x v="0"/>
    <x v="0"/>
    <x v="0"/>
    <x v="0"/>
  </r>
  <r>
    <x v="148"/>
    <x v="57"/>
    <x v="56"/>
    <x v="55"/>
    <x v="122"/>
    <x v="3"/>
    <x v="2"/>
    <x v="88"/>
    <x v="30"/>
    <x v="1"/>
    <x v="33"/>
    <x v="0"/>
    <x v="0"/>
    <x v="3"/>
    <x v="1"/>
    <x v="1"/>
    <x v="2"/>
    <x v="1"/>
    <x v="3"/>
    <x v="1"/>
    <x v="2"/>
    <x v="0"/>
    <x v="1"/>
    <x v="3"/>
    <x v="4"/>
    <x v="55"/>
    <x v="3"/>
    <x v="0"/>
    <x v="0"/>
    <x v="1"/>
    <x v="0"/>
    <x v="0"/>
    <x v="0"/>
    <x v="0"/>
  </r>
  <r>
    <x v="149"/>
    <x v="85"/>
    <x v="84"/>
    <x v="83"/>
    <x v="123"/>
    <x v="3"/>
    <x v="2"/>
    <x v="89"/>
    <x v="81"/>
    <x v="1"/>
    <x v="8"/>
    <x v="0"/>
    <x v="0"/>
    <x v="1"/>
    <x v="1"/>
    <x v="1"/>
    <x v="2"/>
    <x v="1"/>
    <x v="2"/>
    <x v="1"/>
    <x v="1"/>
    <x v="39"/>
    <x v="2"/>
    <x v="1"/>
    <x v="2"/>
    <x v="84"/>
    <x v="3"/>
    <x v="1"/>
    <x v="5"/>
    <x v="2"/>
    <x v="1"/>
    <x v="88"/>
    <x v="0"/>
    <x v="0"/>
  </r>
  <r>
    <x v="150"/>
    <x v="64"/>
    <x v="63"/>
    <x v="62"/>
    <x v="124"/>
    <x v="1"/>
    <x v="2"/>
    <x v="67"/>
    <x v="82"/>
    <x v="1"/>
    <x v="48"/>
    <x v="0"/>
    <x v="0"/>
    <x v="3"/>
    <x v="1"/>
    <x v="1"/>
    <x v="2"/>
    <x v="1"/>
    <x v="2"/>
    <x v="1"/>
    <x v="2"/>
    <x v="0"/>
    <x v="1"/>
    <x v="3"/>
    <x v="4"/>
    <x v="62"/>
    <x v="1"/>
    <x v="0"/>
    <x v="0"/>
    <x v="1"/>
    <x v="0"/>
    <x v="0"/>
    <x v="0"/>
    <x v="0"/>
  </r>
  <r>
    <x v="151"/>
    <x v="86"/>
    <x v="85"/>
    <x v="84"/>
    <x v="125"/>
    <x v="1"/>
    <x v="2"/>
    <x v="90"/>
    <x v="83"/>
    <x v="6"/>
    <x v="0"/>
    <x v="0"/>
    <x v="4"/>
    <x v="1"/>
    <x v="1"/>
    <x v="1"/>
    <x v="2"/>
    <x v="2"/>
    <x v="3"/>
    <x v="1"/>
    <x v="1"/>
    <x v="41"/>
    <x v="1"/>
    <x v="1"/>
    <x v="2"/>
    <x v="85"/>
    <x v="1"/>
    <x v="1"/>
    <x v="4"/>
    <x v="1"/>
    <x v="0"/>
    <x v="89"/>
    <x v="46"/>
    <x v="0"/>
  </r>
  <r>
    <x v="152"/>
    <x v="78"/>
    <x v="77"/>
    <x v="76"/>
    <x v="126"/>
    <x v="1"/>
    <x v="2"/>
    <x v="81"/>
    <x v="30"/>
    <x v="1"/>
    <x v="22"/>
    <x v="0"/>
    <x v="0"/>
    <x v="3"/>
    <x v="3"/>
    <x v="2"/>
    <x v="2"/>
    <x v="1"/>
    <x v="2"/>
    <x v="1"/>
    <x v="1"/>
    <x v="34"/>
    <x v="1"/>
    <x v="1"/>
    <x v="2"/>
    <x v="76"/>
    <x v="7"/>
    <x v="1"/>
    <x v="4"/>
    <x v="1"/>
    <x v="0"/>
    <x v="90"/>
    <x v="0"/>
    <x v="0"/>
  </r>
  <r>
    <x v="153"/>
    <x v="87"/>
    <x v="86"/>
    <x v="85"/>
    <x v="127"/>
    <x v="1"/>
    <x v="2"/>
    <x v="91"/>
    <x v="84"/>
    <x v="1"/>
    <x v="1"/>
    <x v="0"/>
    <x v="0"/>
    <x v="1"/>
    <x v="5"/>
    <x v="3"/>
    <x v="1"/>
    <x v="1"/>
    <x v="1"/>
    <x v="1"/>
    <x v="1"/>
    <x v="39"/>
    <x v="1"/>
    <x v="1"/>
    <x v="6"/>
    <x v="86"/>
    <x v="3"/>
    <x v="1"/>
    <x v="3"/>
    <x v="2"/>
    <x v="1"/>
    <x v="91"/>
    <x v="0"/>
    <x v="0"/>
  </r>
  <r>
    <x v="154"/>
    <x v="88"/>
    <x v="87"/>
    <x v="86"/>
    <x v="128"/>
    <x v="1"/>
    <x v="1"/>
    <x v="92"/>
    <x v="85"/>
    <x v="1"/>
    <x v="49"/>
    <x v="0"/>
    <x v="0"/>
    <x v="1"/>
    <x v="1"/>
    <x v="1"/>
    <x v="2"/>
    <x v="1"/>
    <x v="2"/>
    <x v="1"/>
    <x v="2"/>
    <x v="0"/>
    <x v="1"/>
    <x v="1"/>
    <x v="2"/>
    <x v="87"/>
    <x v="4"/>
    <x v="0"/>
    <x v="0"/>
    <x v="1"/>
    <x v="0"/>
    <x v="0"/>
    <x v="0"/>
    <x v="0"/>
  </r>
  <r>
    <x v="155"/>
    <x v="65"/>
    <x v="64"/>
    <x v="63"/>
    <x v="129"/>
    <x v="3"/>
    <x v="2"/>
    <x v="68"/>
    <x v="86"/>
    <x v="1"/>
    <x v="3"/>
    <x v="0"/>
    <x v="0"/>
    <x v="1"/>
    <x v="1"/>
    <x v="1"/>
    <x v="2"/>
    <x v="1"/>
    <x v="3"/>
    <x v="1"/>
    <x v="1"/>
    <x v="39"/>
    <x v="1"/>
    <x v="1"/>
    <x v="2"/>
    <x v="63"/>
    <x v="1"/>
    <x v="3"/>
    <x v="0"/>
    <x v="1"/>
    <x v="0"/>
    <x v="92"/>
    <x v="47"/>
    <x v="0"/>
  </r>
  <r>
    <x v="156"/>
    <x v="80"/>
    <x v="79"/>
    <x v="78"/>
    <x v="0"/>
    <x v="1"/>
    <x v="2"/>
    <x v="83"/>
    <x v="72"/>
    <x v="1"/>
    <x v="3"/>
    <x v="0"/>
    <x v="0"/>
    <x v="3"/>
    <x v="1"/>
    <x v="1"/>
    <x v="2"/>
    <x v="1"/>
    <x v="2"/>
    <x v="1"/>
    <x v="2"/>
    <x v="0"/>
    <x v="2"/>
    <x v="3"/>
    <x v="4"/>
    <x v="79"/>
    <x v="7"/>
    <x v="0"/>
    <x v="0"/>
    <x v="1"/>
    <x v="0"/>
    <x v="0"/>
    <x v="0"/>
    <x v="0"/>
  </r>
  <r>
    <x v="157"/>
    <x v="89"/>
    <x v="88"/>
    <x v="87"/>
    <x v="130"/>
    <x v="1"/>
    <x v="2"/>
    <x v="93"/>
    <x v="87"/>
    <x v="1"/>
    <x v="50"/>
    <x v="0"/>
    <x v="0"/>
    <x v="1"/>
    <x v="1"/>
    <x v="1"/>
    <x v="2"/>
    <x v="1"/>
    <x v="3"/>
    <x v="1"/>
    <x v="2"/>
    <x v="0"/>
    <x v="1"/>
    <x v="2"/>
    <x v="2"/>
    <x v="88"/>
    <x v="1"/>
    <x v="0"/>
    <x v="0"/>
    <x v="1"/>
    <x v="0"/>
    <x v="0"/>
    <x v="0"/>
    <x v="0"/>
  </r>
  <r>
    <x v="158"/>
    <x v="90"/>
    <x v="89"/>
    <x v="88"/>
    <x v="131"/>
    <x v="1"/>
    <x v="2"/>
    <x v="94"/>
    <x v="10"/>
    <x v="1"/>
    <x v="15"/>
    <x v="0"/>
    <x v="0"/>
    <x v="1"/>
    <x v="3"/>
    <x v="2"/>
    <x v="2"/>
    <x v="1"/>
    <x v="2"/>
    <x v="1"/>
    <x v="1"/>
    <x v="34"/>
    <x v="1"/>
    <x v="1"/>
    <x v="2"/>
    <x v="89"/>
    <x v="2"/>
    <x v="1"/>
    <x v="1"/>
    <x v="2"/>
    <x v="1"/>
    <x v="93"/>
    <x v="48"/>
    <x v="35"/>
  </r>
  <r>
    <x v="159"/>
    <x v="85"/>
    <x v="84"/>
    <x v="83"/>
    <x v="132"/>
    <x v="3"/>
    <x v="1"/>
    <x v="95"/>
    <x v="88"/>
    <x v="1"/>
    <x v="8"/>
    <x v="0"/>
    <x v="0"/>
    <x v="3"/>
    <x v="1"/>
    <x v="1"/>
    <x v="2"/>
    <x v="1"/>
    <x v="2"/>
    <x v="1"/>
    <x v="2"/>
    <x v="0"/>
    <x v="1"/>
    <x v="1"/>
    <x v="4"/>
    <x v="84"/>
    <x v="2"/>
    <x v="0"/>
    <x v="0"/>
    <x v="1"/>
    <x v="0"/>
    <x v="0"/>
    <x v="0"/>
    <x v="0"/>
  </r>
  <r>
    <x v="160"/>
    <x v="91"/>
    <x v="90"/>
    <x v="89"/>
    <x v="133"/>
    <x v="1"/>
    <x v="2"/>
    <x v="96"/>
    <x v="89"/>
    <x v="1"/>
    <x v="15"/>
    <x v="0"/>
    <x v="0"/>
    <x v="1"/>
    <x v="3"/>
    <x v="2"/>
    <x v="2"/>
    <x v="1"/>
    <x v="3"/>
    <x v="1"/>
    <x v="1"/>
    <x v="34"/>
    <x v="2"/>
    <x v="1"/>
    <x v="2"/>
    <x v="90"/>
    <x v="2"/>
    <x v="3"/>
    <x v="0"/>
    <x v="1"/>
    <x v="0"/>
    <x v="94"/>
    <x v="49"/>
    <x v="35"/>
  </r>
  <r>
    <x v="161"/>
    <x v="92"/>
    <x v="91"/>
    <x v="90"/>
    <x v="134"/>
    <x v="1"/>
    <x v="2"/>
    <x v="97"/>
    <x v="90"/>
    <x v="1"/>
    <x v="2"/>
    <x v="0"/>
    <x v="0"/>
    <x v="1"/>
    <x v="3"/>
    <x v="3"/>
    <x v="1"/>
    <x v="1"/>
    <x v="1"/>
    <x v="1"/>
    <x v="2"/>
    <x v="0"/>
    <x v="1"/>
    <x v="1"/>
    <x v="7"/>
    <x v="91"/>
    <x v="3"/>
    <x v="0"/>
    <x v="0"/>
    <x v="1"/>
    <x v="0"/>
    <x v="95"/>
    <x v="0"/>
    <x v="0"/>
  </r>
  <r>
    <x v="162"/>
    <x v="45"/>
    <x v="44"/>
    <x v="44"/>
    <x v="135"/>
    <x v="3"/>
    <x v="2"/>
    <x v="47"/>
    <x v="17"/>
    <x v="2"/>
    <x v="0"/>
    <x v="2"/>
    <x v="0"/>
    <x v="1"/>
    <x v="3"/>
    <x v="3"/>
    <x v="2"/>
    <x v="1"/>
    <x v="2"/>
    <x v="1"/>
    <x v="1"/>
    <x v="34"/>
    <x v="1"/>
    <x v="1"/>
    <x v="2"/>
    <x v="44"/>
    <x v="1"/>
    <x v="1"/>
    <x v="4"/>
    <x v="2"/>
    <x v="1"/>
    <x v="96"/>
    <x v="0"/>
    <x v="0"/>
  </r>
  <r>
    <x v="163"/>
    <x v="93"/>
    <x v="92"/>
    <x v="91"/>
    <x v="136"/>
    <x v="1"/>
    <x v="2"/>
    <x v="98"/>
    <x v="91"/>
    <x v="1"/>
    <x v="3"/>
    <x v="0"/>
    <x v="0"/>
    <x v="1"/>
    <x v="3"/>
    <x v="2"/>
    <x v="1"/>
    <x v="1"/>
    <x v="3"/>
    <x v="1"/>
    <x v="1"/>
    <x v="41"/>
    <x v="1"/>
    <x v="1"/>
    <x v="2"/>
    <x v="92"/>
    <x v="4"/>
    <x v="3"/>
    <x v="0"/>
    <x v="1"/>
    <x v="0"/>
    <x v="89"/>
    <x v="50"/>
    <x v="0"/>
  </r>
  <r>
    <x v="164"/>
    <x v="94"/>
    <x v="93"/>
    <x v="92"/>
    <x v="137"/>
    <x v="1"/>
    <x v="3"/>
    <x v="99"/>
    <x v="10"/>
    <x v="1"/>
    <x v="1"/>
    <x v="0"/>
    <x v="0"/>
    <x v="1"/>
    <x v="2"/>
    <x v="3"/>
    <x v="1"/>
    <x v="1"/>
    <x v="3"/>
    <x v="1"/>
    <x v="1"/>
    <x v="34"/>
    <x v="1"/>
    <x v="1"/>
    <x v="8"/>
    <x v="93"/>
    <x v="4"/>
    <x v="3"/>
    <x v="0"/>
    <x v="1"/>
    <x v="0"/>
    <x v="97"/>
    <x v="51"/>
    <x v="0"/>
  </r>
  <r>
    <x v="165"/>
    <x v="87"/>
    <x v="86"/>
    <x v="85"/>
    <x v="138"/>
    <x v="1"/>
    <x v="2"/>
    <x v="91"/>
    <x v="84"/>
    <x v="1"/>
    <x v="1"/>
    <x v="0"/>
    <x v="0"/>
    <x v="3"/>
    <x v="4"/>
    <x v="1"/>
    <x v="2"/>
    <x v="1"/>
    <x v="2"/>
    <x v="1"/>
    <x v="2"/>
    <x v="0"/>
    <x v="1"/>
    <x v="3"/>
    <x v="4"/>
    <x v="86"/>
    <x v="3"/>
    <x v="0"/>
    <x v="0"/>
    <x v="1"/>
    <x v="0"/>
    <x v="0"/>
    <x v="0"/>
    <x v="0"/>
  </r>
  <r>
    <x v="166"/>
    <x v="95"/>
    <x v="94"/>
    <x v="93"/>
    <x v="139"/>
    <x v="1"/>
    <x v="2"/>
    <x v="100"/>
    <x v="92"/>
    <x v="1"/>
    <x v="51"/>
    <x v="0"/>
    <x v="0"/>
    <x v="1"/>
    <x v="1"/>
    <x v="1"/>
    <x v="2"/>
    <x v="1"/>
    <x v="3"/>
    <x v="1"/>
    <x v="2"/>
    <x v="0"/>
    <x v="1"/>
    <x v="1"/>
    <x v="2"/>
    <x v="94"/>
    <x v="1"/>
    <x v="0"/>
    <x v="0"/>
    <x v="1"/>
    <x v="0"/>
    <x v="0"/>
    <x v="0"/>
    <x v="0"/>
  </r>
  <r>
    <x v="167"/>
    <x v="18"/>
    <x v="18"/>
    <x v="18"/>
    <x v="140"/>
    <x v="1"/>
    <x v="1"/>
    <x v="20"/>
    <x v="19"/>
    <x v="1"/>
    <x v="52"/>
    <x v="0"/>
    <x v="0"/>
    <x v="1"/>
    <x v="1"/>
    <x v="1"/>
    <x v="2"/>
    <x v="1"/>
    <x v="2"/>
    <x v="1"/>
    <x v="1"/>
    <x v="34"/>
    <x v="1"/>
    <x v="5"/>
    <x v="2"/>
    <x v="18"/>
    <x v="3"/>
    <x v="3"/>
    <x v="0"/>
    <x v="1"/>
    <x v="0"/>
    <x v="98"/>
    <x v="52"/>
    <x v="0"/>
  </r>
  <r>
    <x v="168"/>
    <x v="16"/>
    <x v="16"/>
    <x v="94"/>
    <x v="141"/>
    <x v="1"/>
    <x v="2"/>
    <x v="18"/>
    <x v="93"/>
    <x v="2"/>
    <x v="0"/>
    <x v="2"/>
    <x v="0"/>
    <x v="1"/>
    <x v="2"/>
    <x v="3"/>
    <x v="2"/>
    <x v="1"/>
    <x v="2"/>
    <x v="1"/>
    <x v="1"/>
    <x v="34"/>
    <x v="1"/>
    <x v="1"/>
    <x v="2"/>
    <x v="16"/>
    <x v="4"/>
    <x v="1"/>
    <x v="4"/>
    <x v="2"/>
    <x v="1"/>
    <x v="99"/>
    <x v="53"/>
    <x v="36"/>
  </r>
  <r>
    <x v="169"/>
    <x v="52"/>
    <x v="51"/>
    <x v="50"/>
    <x v="142"/>
    <x v="1"/>
    <x v="1"/>
    <x v="54"/>
    <x v="54"/>
    <x v="1"/>
    <x v="53"/>
    <x v="0"/>
    <x v="0"/>
    <x v="3"/>
    <x v="1"/>
    <x v="1"/>
    <x v="2"/>
    <x v="1"/>
    <x v="2"/>
    <x v="1"/>
    <x v="1"/>
    <x v="34"/>
    <x v="1"/>
    <x v="3"/>
    <x v="4"/>
    <x v="50"/>
    <x v="7"/>
    <x v="3"/>
    <x v="0"/>
    <x v="1"/>
    <x v="0"/>
    <x v="100"/>
    <x v="54"/>
    <x v="37"/>
  </r>
  <r>
    <x v="170"/>
    <x v="45"/>
    <x v="44"/>
    <x v="44"/>
    <x v="143"/>
    <x v="3"/>
    <x v="2"/>
    <x v="47"/>
    <x v="17"/>
    <x v="1"/>
    <x v="4"/>
    <x v="0"/>
    <x v="0"/>
    <x v="3"/>
    <x v="4"/>
    <x v="1"/>
    <x v="2"/>
    <x v="1"/>
    <x v="2"/>
    <x v="1"/>
    <x v="1"/>
    <x v="41"/>
    <x v="1"/>
    <x v="3"/>
    <x v="4"/>
    <x v="44"/>
    <x v="1"/>
    <x v="3"/>
    <x v="0"/>
    <x v="1"/>
    <x v="0"/>
    <x v="101"/>
    <x v="55"/>
    <x v="38"/>
  </r>
  <r>
    <x v="171"/>
    <x v="96"/>
    <x v="95"/>
    <x v="95"/>
    <x v="144"/>
    <x v="1"/>
    <x v="1"/>
    <x v="101"/>
    <x v="94"/>
    <x v="1"/>
    <x v="2"/>
    <x v="0"/>
    <x v="0"/>
    <x v="1"/>
    <x v="1"/>
    <x v="2"/>
    <x v="2"/>
    <x v="1"/>
    <x v="3"/>
    <x v="1"/>
    <x v="1"/>
    <x v="38"/>
    <x v="2"/>
    <x v="1"/>
    <x v="1"/>
    <x v="95"/>
    <x v="4"/>
    <x v="1"/>
    <x v="4"/>
    <x v="2"/>
    <x v="1"/>
    <x v="102"/>
    <x v="0"/>
    <x v="39"/>
  </r>
  <r>
    <x v="172"/>
    <x v="78"/>
    <x v="77"/>
    <x v="76"/>
    <x v="0"/>
    <x v="1"/>
    <x v="2"/>
    <x v="81"/>
    <x v="30"/>
    <x v="1"/>
    <x v="3"/>
    <x v="0"/>
    <x v="0"/>
    <x v="3"/>
    <x v="1"/>
    <x v="1"/>
    <x v="2"/>
    <x v="1"/>
    <x v="2"/>
    <x v="1"/>
    <x v="2"/>
    <x v="0"/>
    <x v="2"/>
    <x v="3"/>
    <x v="4"/>
    <x v="76"/>
    <x v="1"/>
    <x v="0"/>
    <x v="0"/>
    <x v="1"/>
    <x v="0"/>
    <x v="0"/>
    <x v="0"/>
    <x v="0"/>
  </r>
  <r>
    <x v="173"/>
    <x v="97"/>
    <x v="96"/>
    <x v="96"/>
    <x v="145"/>
    <x v="1"/>
    <x v="1"/>
    <x v="102"/>
    <x v="95"/>
    <x v="1"/>
    <x v="3"/>
    <x v="0"/>
    <x v="0"/>
    <x v="1"/>
    <x v="3"/>
    <x v="2"/>
    <x v="2"/>
    <x v="1"/>
    <x v="1"/>
    <x v="1"/>
    <x v="1"/>
    <x v="41"/>
    <x v="1"/>
    <x v="1"/>
    <x v="2"/>
    <x v="96"/>
    <x v="7"/>
    <x v="1"/>
    <x v="1"/>
    <x v="2"/>
    <x v="1"/>
    <x v="103"/>
    <x v="0"/>
    <x v="40"/>
  </r>
  <r>
    <x v="174"/>
    <x v="98"/>
    <x v="97"/>
    <x v="97"/>
    <x v="146"/>
    <x v="1"/>
    <x v="2"/>
    <x v="103"/>
    <x v="96"/>
    <x v="1"/>
    <x v="54"/>
    <x v="0"/>
    <x v="0"/>
    <x v="1"/>
    <x v="2"/>
    <x v="3"/>
    <x v="2"/>
    <x v="1"/>
    <x v="1"/>
    <x v="1"/>
    <x v="1"/>
    <x v="41"/>
    <x v="1"/>
    <x v="1"/>
    <x v="2"/>
    <x v="97"/>
    <x v="7"/>
    <x v="3"/>
    <x v="0"/>
    <x v="1"/>
    <x v="0"/>
    <x v="104"/>
    <x v="56"/>
    <x v="41"/>
  </r>
  <r>
    <x v="175"/>
    <x v="16"/>
    <x v="16"/>
    <x v="16"/>
    <x v="0"/>
    <x v="1"/>
    <x v="2"/>
    <x v="18"/>
    <x v="97"/>
    <x v="2"/>
    <x v="0"/>
    <x v="2"/>
    <x v="0"/>
    <x v="3"/>
    <x v="4"/>
    <x v="1"/>
    <x v="2"/>
    <x v="1"/>
    <x v="2"/>
    <x v="1"/>
    <x v="2"/>
    <x v="0"/>
    <x v="2"/>
    <x v="3"/>
    <x v="4"/>
    <x v="16"/>
    <x v="1"/>
    <x v="0"/>
    <x v="0"/>
    <x v="1"/>
    <x v="0"/>
    <x v="0"/>
    <x v="0"/>
    <x v="0"/>
  </r>
  <r>
    <x v="176"/>
    <x v="99"/>
    <x v="98"/>
    <x v="98"/>
    <x v="147"/>
    <x v="1"/>
    <x v="2"/>
    <x v="104"/>
    <x v="98"/>
    <x v="1"/>
    <x v="9"/>
    <x v="0"/>
    <x v="0"/>
    <x v="2"/>
    <x v="3"/>
    <x v="3"/>
    <x v="2"/>
    <x v="1"/>
    <x v="3"/>
    <x v="1"/>
    <x v="1"/>
    <x v="41"/>
    <x v="2"/>
    <x v="1"/>
    <x v="2"/>
    <x v="98"/>
    <x v="2"/>
    <x v="3"/>
    <x v="0"/>
    <x v="1"/>
    <x v="0"/>
    <x v="105"/>
    <x v="57"/>
    <x v="42"/>
  </r>
  <r>
    <x v="177"/>
    <x v="100"/>
    <x v="99"/>
    <x v="99"/>
    <x v="148"/>
    <x v="1"/>
    <x v="4"/>
    <x v="105"/>
    <x v="99"/>
    <x v="1"/>
    <x v="55"/>
    <x v="0"/>
    <x v="0"/>
    <x v="1"/>
    <x v="1"/>
    <x v="1"/>
    <x v="2"/>
    <x v="1"/>
    <x v="2"/>
    <x v="1"/>
    <x v="2"/>
    <x v="0"/>
    <x v="1"/>
    <x v="5"/>
    <x v="2"/>
    <x v="99"/>
    <x v="7"/>
    <x v="0"/>
    <x v="0"/>
    <x v="1"/>
    <x v="0"/>
    <x v="0"/>
    <x v="0"/>
    <x v="0"/>
  </r>
  <r>
    <x v="178"/>
    <x v="101"/>
    <x v="100"/>
    <x v="100"/>
    <x v="149"/>
    <x v="2"/>
    <x v="1"/>
    <x v="106"/>
    <x v="100"/>
    <x v="1"/>
    <x v="56"/>
    <x v="0"/>
    <x v="0"/>
    <x v="1"/>
    <x v="3"/>
    <x v="3"/>
    <x v="2"/>
    <x v="2"/>
    <x v="1"/>
    <x v="1"/>
    <x v="2"/>
    <x v="38"/>
    <x v="1"/>
    <x v="5"/>
    <x v="2"/>
    <x v="100"/>
    <x v="7"/>
    <x v="3"/>
    <x v="0"/>
    <x v="1"/>
    <x v="0"/>
    <x v="106"/>
    <x v="43"/>
    <x v="43"/>
  </r>
  <r>
    <x v="179"/>
    <x v="97"/>
    <x v="96"/>
    <x v="96"/>
    <x v="150"/>
    <x v="1"/>
    <x v="1"/>
    <x v="102"/>
    <x v="95"/>
    <x v="1"/>
    <x v="3"/>
    <x v="0"/>
    <x v="0"/>
    <x v="3"/>
    <x v="3"/>
    <x v="2"/>
    <x v="2"/>
    <x v="1"/>
    <x v="2"/>
    <x v="1"/>
    <x v="1"/>
    <x v="41"/>
    <x v="2"/>
    <x v="3"/>
    <x v="4"/>
    <x v="96"/>
    <x v="5"/>
    <x v="1"/>
    <x v="1"/>
    <x v="1"/>
    <x v="0"/>
    <x v="107"/>
    <x v="0"/>
    <x v="0"/>
  </r>
  <r>
    <x v="180"/>
    <x v="90"/>
    <x v="89"/>
    <x v="88"/>
    <x v="151"/>
    <x v="1"/>
    <x v="2"/>
    <x v="94"/>
    <x v="10"/>
    <x v="1"/>
    <x v="15"/>
    <x v="0"/>
    <x v="0"/>
    <x v="3"/>
    <x v="1"/>
    <x v="1"/>
    <x v="2"/>
    <x v="1"/>
    <x v="2"/>
    <x v="1"/>
    <x v="2"/>
    <x v="0"/>
    <x v="1"/>
    <x v="3"/>
    <x v="4"/>
    <x v="89"/>
    <x v="5"/>
    <x v="0"/>
    <x v="0"/>
    <x v="1"/>
    <x v="0"/>
    <x v="0"/>
    <x v="0"/>
    <x v="44"/>
  </r>
  <r>
    <x v="181"/>
    <x v="86"/>
    <x v="85"/>
    <x v="84"/>
    <x v="0"/>
    <x v="1"/>
    <x v="2"/>
    <x v="90"/>
    <x v="101"/>
    <x v="6"/>
    <x v="0"/>
    <x v="0"/>
    <x v="1"/>
    <x v="3"/>
    <x v="1"/>
    <x v="1"/>
    <x v="2"/>
    <x v="1"/>
    <x v="3"/>
    <x v="1"/>
    <x v="2"/>
    <x v="0"/>
    <x v="2"/>
    <x v="3"/>
    <x v="4"/>
    <x v="85"/>
    <x v="1"/>
    <x v="0"/>
    <x v="0"/>
    <x v="1"/>
    <x v="0"/>
    <x v="0"/>
    <x v="0"/>
    <x v="0"/>
  </r>
  <r>
    <x v="182"/>
    <x v="97"/>
    <x v="96"/>
    <x v="96"/>
    <x v="0"/>
    <x v="1"/>
    <x v="1"/>
    <x v="102"/>
    <x v="95"/>
    <x v="1"/>
    <x v="3"/>
    <x v="0"/>
    <x v="0"/>
    <x v="3"/>
    <x v="3"/>
    <x v="3"/>
    <x v="2"/>
    <x v="1"/>
    <x v="2"/>
    <x v="1"/>
    <x v="1"/>
    <x v="38"/>
    <x v="2"/>
    <x v="3"/>
    <x v="4"/>
    <x v="96"/>
    <x v="5"/>
    <x v="1"/>
    <x v="7"/>
    <x v="1"/>
    <x v="0"/>
    <x v="108"/>
    <x v="58"/>
    <x v="45"/>
  </r>
  <r>
    <x v="183"/>
    <x v="102"/>
    <x v="101"/>
    <x v="101"/>
    <x v="152"/>
    <x v="1"/>
    <x v="2"/>
    <x v="107"/>
    <x v="102"/>
    <x v="1"/>
    <x v="15"/>
    <x v="0"/>
    <x v="0"/>
    <x v="1"/>
    <x v="1"/>
    <x v="1"/>
    <x v="2"/>
    <x v="1"/>
    <x v="1"/>
    <x v="1"/>
    <x v="2"/>
    <x v="0"/>
    <x v="1"/>
    <x v="5"/>
    <x v="3"/>
    <x v="101"/>
    <x v="5"/>
    <x v="0"/>
    <x v="0"/>
    <x v="1"/>
    <x v="0"/>
    <x v="0"/>
    <x v="0"/>
    <x v="0"/>
  </r>
  <r>
    <x v="184"/>
    <x v="103"/>
    <x v="102"/>
    <x v="102"/>
    <x v="153"/>
    <x v="1"/>
    <x v="2"/>
    <x v="108"/>
    <x v="103"/>
    <x v="1"/>
    <x v="57"/>
    <x v="0"/>
    <x v="0"/>
    <x v="1"/>
    <x v="1"/>
    <x v="1"/>
    <x v="2"/>
    <x v="1"/>
    <x v="1"/>
    <x v="1"/>
    <x v="2"/>
    <x v="0"/>
    <x v="1"/>
    <x v="2"/>
    <x v="2"/>
    <x v="102"/>
    <x v="2"/>
    <x v="0"/>
    <x v="0"/>
    <x v="1"/>
    <x v="0"/>
    <x v="0"/>
    <x v="0"/>
    <x v="0"/>
  </r>
  <r>
    <x v="185"/>
    <x v="96"/>
    <x v="95"/>
    <x v="95"/>
    <x v="154"/>
    <x v="1"/>
    <x v="2"/>
    <x v="101"/>
    <x v="94"/>
    <x v="1"/>
    <x v="2"/>
    <x v="0"/>
    <x v="0"/>
    <x v="3"/>
    <x v="1"/>
    <x v="1"/>
    <x v="2"/>
    <x v="1"/>
    <x v="3"/>
    <x v="1"/>
    <x v="2"/>
    <x v="0"/>
    <x v="2"/>
    <x v="3"/>
    <x v="4"/>
    <x v="95"/>
    <x v="1"/>
    <x v="0"/>
    <x v="0"/>
    <x v="1"/>
    <x v="0"/>
    <x v="0"/>
    <x v="0"/>
    <x v="0"/>
  </r>
  <r>
    <x v="186"/>
    <x v="104"/>
    <x v="103"/>
    <x v="103"/>
    <x v="155"/>
    <x v="1"/>
    <x v="1"/>
    <x v="109"/>
    <x v="10"/>
    <x v="2"/>
    <x v="0"/>
    <x v="6"/>
    <x v="0"/>
    <x v="1"/>
    <x v="2"/>
    <x v="3"/>
    <x v="1"/>
    <x v="1"/>
    <x v="2"/>
    <x v="1"/>
    <x v="1"/>
    <x v="42"/>
    <x v="1"/>
    <x v="1"/>
    <x v="2"/>
    <x v="103"/>
    <x v="2"/>
    <x v="1"/>
    <x v="1"/>
    <x v="2"/>
    <x v="1"/>
    <x v="109"/>
    <x v="0"/>
    <x v="0"/>
  </r>
  <r>
    <x v="187"/>
    <x v="45"/>
    <x v="44"/>
    <x v="44"/>
    <x v="156"/>
    <x v="3"/>
    <x v="2"/>
    <x v="47"/>
    <x v="93"/>
    <x v="2"/>
    <x v="0"/>
    <x v="7"/>
    <x v="0"/>
    <x v="1"/>
    <x v="2"/>
    <x v="3"/>
    <x v="2"/>
    <x v="1"/>
    <x v="2"/>
    <x v="1"/>
    <x v="1"/>
    <x v="42"/>
    <x v="1"/>
    <x v="1"/>
    <x v="9"/>
    <x v="44"/>
    <x v="1"/>
    <x v="3"/>
    <x v="0"/>
    <x v="1"/>
    <x v="0"/>
    <x v="110"/>
    <x v="0"/>
    <x v="0"/>
  </r>
  <r>
    <x v="188"/>
    <x v="105"/>
    <x v="104"/>
    <x v="104"/>
    <x v="157"/>
    <x v="3"/>
    <x v="1"/>
    <x v="110"/>
    <x v="104"/>
    <x v="1"/>
    <x v="58"/>
    <x v="0"/>
    <x v="0"/>
    <x v="1"/>
    <x v="1"/>
    <x v="2"/>
    <x v="1"/>
    <x v="2"/>
    <x v="1"/>
    <x v="1"/>
    <x v="1"/>
    <x v="43"/>
    <x v="1"/>
    <x v="1"/>
    <x v="2"/>
    <x v="104"/>
    <x v="7"/>
    <x v="1"/>
    <x v="7"/>
    <x v="1"/>
    <x v="0"/>
    <x v="111"/>
    <x v="59"/>
    <x v="46"/>
  </r>
  <r>
    <x v="189"/>
    <x v="106"/>
    <x v="105"/>
    <x v="105"/>
    <x v="158"/>
    <x v="3"/>
    <x v="1"/>
    <x v="111"/>
    <x v="105"/>
    <x v="2"/>
    <x v="0"/>
    <x v="5"/>
    <x v="0"/>
    <x v="1"/>
    <x v="2"/>
    <x v="3"/>
    <x v="2"/>
    <x v="1"/>
    <x v="2"/>
    <x v="1"/>
    <x v="1"/>
    <x v="42"/>
    <x v="2"/>
    <x v="1"/>
    <x v="2"/>
    <x v="105"/>
    <x v="1"/>
    <x v="1"/>
    <x v="4"/>
    <x v="1"/>
    <x v="0"/>
    <x v="112"/>
    <x v="0"/>
    <x v="0"/>
  </r>
  <r>
    <x v="190"/>
    <x v="107"/>
    <x v="106"/>
    <x v="0"/>
    <x v="159"/>
    <x v="1"/>
    <x v="2"/>
    <x v="112"/>
    <x v="106"/>
    <x v="1"/>
    <x v="31"/>
    <x v="0"/>
    <x v="0"/>
    <x v="1"/>
    <x v="2"/>
    <x v="3"/>
    <x v="2"/>
    <x v="1"/>
    <x v="2"/>
    <x v="1"/>
    <x v="1"/>
    <x v="42"/>
    <x v="1"/>
    <x v="5"/>
    <x v="2"/>
    <x v="106"/>
    <x v="2"/>
    <x v="3"/>
    <x v="0"/>
    <x v="1"/>
    <x v="0"/>
    <x v="113"/>
    <x v="0"/>
    <x v="47"/>
  </r>
  <r>
    <x v="191"/>
    <x v="97"/>
    <x v="96"/>
    <x v="96"/>
    <x v="0"/>
    <x v="3"/>
    <x v="1"/>
    <x v="102"/>
    <x v="95"/>
    <x v="1"/>
    <x v="3"/>
    <x v="0"/>
    <x v="0"/>
    <x v="3"/>
    <x v="1"/>
    <x v="1"/>
    <x v="2"/>
    <x v="1"/>
    <x v="2"/>
    <x v="1"/>
    <x v="2"/>
    <x v="0"/>
    <x v="2"/>
    <x v="3"/>
    <x v="4"/>
    <x v="96"/>
    <x v="7"/>
    <x v="0"/>
    <x v="0"/>
    <x v="1"/>
    <x v="0"/>
    <x v="0"/>
    <x v="0"/>
    <x v="0"/>
  </r>
  <r>
    <x v="192"/>
    <x v="104"/>
    <x v="103"/>
    <x v="103"/>
    <x v="160"/>
    <x v="1"/>
    <x v="1"/>
    <x v="109"/>
    <x v="10"/>
    <x v="2"/>
    <x v="0"/>
    <x v="6"/>
    <x v="0"/>
    <x v="3"/>
    <x v="4"/>
    <x v="1"/>
    <x v="2"/>
    <x v="1"/>
    <x v="2"/>
    <x v="1"/>
    <x v="2"/>
    <x v="0"/>
    <x v="2"/>
    <x v="3"/>
    <x v="4"/>
    <x v="103"/>
    <x v="5"/>
    <x v="0"/>
    <x v="0"/>
    <x v="1"/>
    <x v="0"/>
    <x v="0"/>
    <x v="0"/>
    <x v="0"/>
  </r>
  <r>
    <x v="193"/>
    <x v="106"/>
    <x v="105"/>
    <x v="105"/>
    <x v="0"/>
    <x v="3"/>
    <x v="1"/>
    <x v="111"/>
    <x v="105"/>
    <x v="2"/>
    <x v="0"/>
    <x v="5"/>
    <x v="0"/>
    <x v="3"/>
    <x v="4"/>
    <x v="1"/>
    <x v="2"/>
    <x v="1"/>
    <x v="2"/>
    <x v="1"/>
    <x v="2"/>
    <x v="0"/>
    <x v="2"/>
    <x v="3"/>
    <x v="4"/>
    <x v="105"/>
    <x v="1"/>
    <x v="0"/>
    <x v="0"/>
    <x v="1"/>
    <x v="0"/>
    <x v="0"/>
    <x v="0"/>
    <x v="0"/>
  </r>
  <r>
    <x v="194"/>
    <x v="108"/>
    <x v="107"/>
    <x v="106"/>
    <x v="161"/>
    <x v="1"/>
    <x v="2"/>
    <x v="113"/>
    <x v="107"/>
    <x v="1"/>
    <x v="31"/>
    <x v="0"/>
    <x v="0"/>
    <x v="1"/>
    <x v="1"/>
    <x v="1"/>
    <x v="2"/>
    <x v="1"/>
    <x v="1"/>
    <x v="1"/>
    <x v="1"/>
    <x v="44"/>
    <x v="1"/>
    <x v="6"/>
    <x v="3"/>
    <x v="107"/>
    <x v="5"/>
    <x v="3"/>
    <x v="0"/>
    <x v="1"/>
    <x v="0"/>
    <x v="114"/>
    <x v="60"/>
    <x v="0"/>
  </r>
  <r>
    <x v="195"/>
    <x v="109"/>
    <x v="108"/>
    <x v="107"/>
    <x v="162"/>
    <x v="1"/>
    <x v="2"/>
    <x v="114"/>
    <x v="99"/>
    <x v="1"/>
    <x v="27"/>
    <x v="0"/>
    <x v="0"/>
    <x v="1"/>
    <x v="3"/>
    <x v="3"/>
    <x v="2"/>
    <x v="2"/>
    <x v="2"/>
    <x v="1"/>
    <x v="1"/>
    <x v="45"/>
    <x v="1"/>
    <x v="6"/>
    <x v="2"/>
    <x v="108"/>
    <x v="7"/>
    <x v="1"/>
    <x v="4"/>
    <x v="1"/>
    <x v="0"/>
    <x v="115"/>
    <x v="61"/>
    <x v="48"/>
  </r>
  <r>
    <x v="196"/>
    <x v="110"/>
    <x v="109"/>
    <x v="108"/>
    <x v="163"/>
    <x v="1"/>
    <x v="2"/>
    <x v="115"/>
    <x v="108"/>
    <x v="1"/>
    <x v="59"/>
    <x v="0"/>
    <x v="0"/>
    <x v="1"/>
    <x v="2"/>
    <x v="3"/>
    <x v="2"/>
    <x v="2"/>
    <x v="1"/>
    <x v="1"/>
    <x v="1"/>
    <x v="45"/>
    <x v="1"/>
    <x v="6"/>
    <x v="2"/>
    <x v="109"/>
    <x v="7"/>
    <x v="1"/>
    <x v="1"/>
    <x v="1"/>
    <x v="0"/>
    <x v="116"/>
    <x v="62"/>
    <x v="49"/>
  </r>
  <r>
    <x v="197"/>
    <x v="111"/>
    <x v="110"/>
    <x v="109"/>
    <x v="164"/>
    <x v="1"/>
    <x v="3"/>
    <x v="116"/>
    <x v="10"/>
    <x v="1"/>
    <x v="9"/>
    <x v="0"/>
    <x v="0"/>
    <x v="1"/>
    <x v="3"/>
    <x v="3"/>
    <x v="2"/>
    <x v="1"/>
    <x v="2"/>
    <x v="1"/>
    <x v="1"/>
    <x v="45"/>
    <x v="1"/>
    <x v="2"/>
    <x v="3"/>
    <x v="110"/>
    <x v="5"/>
    <x v="1"/>
    <x v="1"/>
    <x v="2"/>
    <x v="1"/>
    <x v="117"/>
    <x v="0"/>
    <x v="0"/>
  </r>
  <r>
    <x v="198"/>
    <x v="84"/>
    <x v="83"/>
    <x v="82"/>
    <x v="165"/>
    <x v="1"/>
    <x v="1"/>
    <x v="87"/>
    <x v="109"/>
    <x v="1"/>
    <x v="60"/>
    <x v="0"/>
    <x v="0"/>
    <x v="1"/>
    <x v="3"/>
    <x v="3"/>
    <x v="2"/>
    <x v="2"/>
    <x v="1"/>
    <x v="1"/>
    <x v="1"/>
    <x v="46"/>
    <x v="1"/>
    <x v="1"/>
    <x v="2"/>
    <x v="83"/>
    <x v="5"/>
    <x v="1"/>
    <x v="1"/>
    <x v="1"/>
    <x v="0"/>
    <x v="118"/>
    <x v="0"/>
    <x v="50"/>
  </r>
  <r>
    <x v="199"/>
    <x v="112"/>
    <x v="111"/>
    <x v="110"/>
    <x v="166"/>
    <x v="3"/>
    <x v="2"/>
    <x v="117"/>
    <x v="52"/>
    <x v="1"/>
    <x v="2"/>
    <x v="0"/>
    <x v="0"/>
    <x v="1"/>
    <x v="3"/>
    <x v="2"/>
    <x v="1"/>
    <x v="1"/>
    <x v="3"/>
    <x v="1"/>
    <x v="1"/>
    <x v="45"/>
    <x v="1"/>
    <x v="1"/>
    <x v="2"/>
    <x v="111"/>
    <x v="5"/>
    <x v="1"/>
    <x v="1"/>
    <x v="1"/>
    <x v="0"/>
    <x v="119"/>
    <x v="0"/>
    <x v="0"/>
  </r>
  <r>
    <x v="200"/>
    <x v="113"/>
    <x v="112"/>
    <x v="111"/>
    <x v="167"/>
    <x v="3"/>
    <x v="2"/>
    <x v="118"/>
    <x v="110"/>
    <x v="1"/>
    <x v="15"/>
    <x v="0"/>
    <x v="0"/>
    <x v="1"/>
    <x v="5"/>
    <x v="1"/>
    <x v="1"/>
    <x v="1"/>
    <x v="2"/>
    <x v="1"/>
    <x v="2"/>
    <x v="0"/>
    <x v="1"/>
    <x v="1"/>
    <x v="4"/>
    <x v="112"/>
    <x v="5"/>
    <x v="0"/>
    <x v="0"/>
    <x v="1"/>
    <x v="0"/>
    <x v="0"/>
    <x v="0"/>
    <x v="51"/>
  </r>
  <r>
    <x v="201"/>
    <x v="114"/>
    <x v="113"/>
    <x v="112"/>
    <x v="168"/>
    <x v="1"/>
    <x v="3"/>
    <x v="119"/>
    <x v="107"/>
    <x v="1"/>
    <x v="57"/>
    <x v="0"/>
    <x v="0"/>
    <x v="1"/>
    <x v="1"/>
    <x v="1"/>
    <x v="2"/>
    <x v="1"/>
    <x v="3"/>
    <x v="1"/>
    <x v="2"/>
    <x v="0"/>
    <x v="2"/>
    <x v="1"/>
    <x v="2"/>
    <x v="113"/>
    <x v="5"/>
    <x v="0"/>
    <x v="0"/>
    <x v="1"/>
    <x v="0"/>
    <x v="0"/>
    <x v="0"/>
    <x v="0"/>
  </r>
  <r>
    <x v="202"/>
    <x v="115"/>
    <x v="114"/>
    <x v="113"/>
    <x v="169"/>
    <x v="2"/>
    <x v="2"/>
    <x v="120"/>
    <x v="111"/>
    <x v="1"/>
    <x v="15"/>
    <x v="0"/>
    <x v="0"/>
    <x v="1"/>
    <x v="1"/>
    <x v="2"/>
    <x v="2"/>
    <x v="1"/>
    <x v="3"/>
    <x v="1"/>
    <x v="1"/>
    <x v="46"/>
    <x v="1"/>
    <x v="1"/>
    <x v="2"/>
    <x v="114"/>
    <x v="4"/>
    <x v="3"/>
    <x v="0"/>
    <x v="1"/>
    <x v="0"/>
    <x v="120"/>
    <x v="0"/>
    <x v="0"/>
  </r>
  <r>
    <x v="203"/>
    <x v="116"/>
    <x v="115"/>
    <x v="114"/>
    <x v="170"/>
    <x v="1"/>
    <x v="1"/>
    <x v="121"/>
    <x v="112"/>
    <x v="1"/>
    <x v="15"/>
    <x v="0"/>
    <x v="0"/>
    <x v="1"/>
    <x v="1"/>
    <x v="1"/>
    <x v="2"/>
    <x v="1"/>
    <x v="2"/>
    <x v="1"/>
    <x v="2"/>
    <x v="0"/>
    <x v="2"/>
    <x v="1"/>
    <x v="2"/>
    <x v="115"/>
    <x v="4"/>
    <x v="0"/>
    <x v="0"/>
    <x v="1"/>
    <x v="0"/>
    <x v="0"/>
    <x v="0"/>
    <x v="0"/>
  </r>
  <r>
    <x v="204"/>
    <x v="117"/>
    <x v="116"/>
    <x v="115"/>
    <x v="171"/>
    <x v="1"/>
    <x v="2"/>
    <x v="122"/>
    <x v="50"/>
    <x v="1"/>
    <x v="15"/>
    <x v="0"/>
    <x v="0"/>
    <x v="1"/>
    <x v="3"/>
    <x v="2"/>
    <x v="2"/>
    <x v="1"/>
    <x v="2"/>
    <x v="1"/>
    <x v="1"/>
    <x v="12"/>
    <x v="1"/>
    <x v="1"/>
    <x v="2"/>
    <x v="116"/>
    <x v="5"/>
    <x v="0"/>
    <x v="0"/>
    <x v="1"/>
    <x v="0"/>
    <x v="0"/>
    <x v="0"/>
    <x v="0"/>
  </r>
  <r>
    <x v="205"/>
    <x v="109"/>
    <x v="108"/>
    <x v="107"/>
    <x v="172"/>
    <x v="1"/>
    <x v="2"/>
    <x v="114"/>
    <x v="99"/>
    <x v="2"/>
    <x v="0"/>
    <x v="5"/>
    <x v="0"/>
    <x v="3"/>
    <x v="2"/>
    <x v="3"/>
    <x v="3"/>
    <x v="1"/>
    <x v="2"/>
    <x v="1"/>
    <x v="1"/>
    <x v="47"/>
    <x v="1"/>
    <x v="3"/>
    <x v="4"/>
    <x v="108"/>
    <x v="1"/>
    <x v="1"/>
    <x v="4"/>
    <x v="1"/>
    <x v="0"/>
    <x v="121"/>
    <x v="63"/>
    <x v="0"/>
  </r>
  <r>
    <x v="206"/>
    <x v="118"/>
    <x v="117"/>
    <x v="116"/>
    <x v="173"/>
    <x v="1"/>
    <x v="2"/>
    <x v="123"/>
    <x v="10"/>
    <x v="1"/>
    <x v="15"/>
    <x v="0"/>
    <x v="0"/>
    <x v="1"/>
    <x v="1"/>
    <x v="1"/>
    <x v="2"/>
    <x v="1"/>
    <x v="3"/>
    <x v="1"/>
    <x v="1"/>
    <x v="47"/>
    <x v="1"/>
    <x v="1"/>
    <x v="2"/>
    <x v="117"/>
    <x v="4"/>
    <x v="1"/>
    <x v="2"/>
    <x v="2"/>
    <x v="1"/>
    <x v="122"/>
    <x v="64"/>
    <x v="52"/>
  </r>
  <r>
    <x v="207"/>
    <x v="110"/>
    <x v="109"/>
    <x v="108"/>
    <x v="0"/>
    <x v="1"/>
    <x v="2"/>
    <x v="115"/>
    <x v="108"/>
    <x v="1"/>
    <x v="15"/>
    <x v="0"/>
    <x v="0"/>
    <x v="3"/>
    <x v="2"/>
    <x v="3"/>
    <x v="2"/>
    <x v="2"/>
    <x v="2"/>
    <x v="1"/>
    <x v="1"/>
    <x v="47"/>
    <x v="2"/>
    <x v="3"/>
    <x v="4"/>
    <x v="109"/>
    <x v="5"/>
    <x v="3"/>
    <x v="0"/>
    <x v="1"/>
    <x v="0"/>
    <x v="123"/>
    <x v="65"/>
    <x v="0"/>
  </r>
  <r>
    <x v="208"/>
    <x v="112"/>
    <x v="118"/>
    <x v="110"/>
    <x v="0"/>
    <x v="3"/>
    <x v="2"/>
    <x v="117"/>
    <x v="52"/>
    <x v="1"/>
    <x v="2"/>
    <x v="0"/>
    <x v="0"/>
    <x v="3"/>
    <x v="4"/>
    <x v="1"/>
    <x v="2"/>
    <x v="1"/>
    <x v="2"/>
    <x v="1"/>
    <x v="2"/>
    <x v="0"/>
    <x v="2"/>
    <x v="3"/>
    <x v="4"/>
    <x v="111"/>
    <x v="5"/>
    <x v="0"/>
    <x v="0"/>
    <x v="1"/>
    <x v="0"/>
    <x v="0"/>
    <x v="0"/>
    <x v="0"/>
  </r>
  <r>
    <x v="209"/>
    <x v="111"/>
    <x v="110"/>
    <x v="109"/>
    <x v="174"/>
    <x v="1"/>
    <x v="2"/>
    <x v="116"/>
    <x v="10"/>
    <x v="1"/>
    <x v="9"/>
    <x v="0"/>
    <x v="0"/>
    <x v="3"/>
    <x v="1"/>
    <x v="1"/>
    <x v="2"/>
    <x v="1"/>
    <x v="2"/>
    <x v="1"/>
    <x v="2"/>
    <x v="0"/>
    <x v="2"/>
    <x v="3"/>
    <x v="4"/>
    <x v="110"/>
    <x v="5"/>
    <x v="0"/>
    <x v="0"/>
    <x v="1"/>
    <x v="0"/>
    <x v="0"/>
    <x v="0"/>
    <x v="0"/>
  </r>
  <r>
    <x v="210"/>
    <x v="119"/>
    <x v="119"/>
    <x v="117"/>
    <x v="175"/>
    <x v="1"/>
    <x v="2"/>
    <x v="124"/>
    <x v="40"/>
    <x v="1"/>
    <x v="22"/>
    <x v="0"/>
    <x v="0"/>
    <x v="1"/>
    <x v="1"/>
    <x v="1"/>
    <x v="1"/>
    <x v="1"/>
    <x v="3"/>
    <x v="2"/>
    <x v="1"/>
    <x v="48"/>
    <x v="1"/>
    <x v="1"/>
    <x v="2"/>
    <x v="118"/>
    <x v="4"/>
    <x v="1"/>
    <x v="2"/>
    <x v="2"/>
    <x v="1"/>
    <x v="124"/>
    <x v="0"/>
    <x v="17"/>
  </r>
  <r>
    <x v="211"/>
    <x v="120"/>
    <x v="120"/>
    <x v="118"/>
    <x v="176"/>
    <x v="2"/>
    <x v="2"/>
    <x v="125"/>
    <x v="10"/>
    <x v="1"/>
    <x v="31"/>
    <x v="0"/>
    <x v="0"/>
    <x v="1"/>
    <x v="1"/>
    <x v="1"/>
    <x v="2"/>
    <x v="1"/>
    <x v="3"/>
    <x v="1"/>
    <x v="1"/>
    <x v="46"/>
    <x v="1"/>
    <x v="1"/>
    <x v="10"/>
    <x v="119"/>
    <x v="1"/>
    <x v="3"/>
    <x v="0"/>
    <x v="1"/>
    <x v="0"/>
    <x v="125"/>
    <x v="66"/>
    <x v="53"/>
  </r>
  <r>
    <x v="212"/>
    <x v="118"/>
    <x v="117"/>
    <x v="116"/>
    <x v="177"/>
    <x v="1"/>
    <x v="2"/>
    <x v="123"/>
    <x v="10"/>
    <x v="1"/>
    <x v="15"/>
    <x v="0"/>
    <x v="0"/>
    <x v="3"/>
    <x v="1"/>
    <x v="1"/>
    <x v="2"/>
    <x v="1"/>
    <x v="3"/>
    <x v="1"/>
    <x v="2"/>
    <x v="0"/>
    <x v="1"/>
    <x v="3"/>
    <x v="4"/>
    <x v="117"/>
    <x v="4"/>
    <x v="0"/>
    <x v="0"/>
    <x v="1"/>
    <x v="0"/>
    <x v="0"/>
    <x v="0"/>
    <x v="0"/>
  </r>
  <r>
    <x v="213"/>
    <x v="15"/>
    <x v="15"/>
    <x v="15"/>
    <x v="178"/>
    <x v="1"/>
    <x v="2"/>
    <x v="17"/>
    <x v="16"/>
    <x v="1"/>
    <x v="44"/>
    <x v="0"/>
    <x v="0"/>
    <x v="1"/>
    <x v="2"/>
    <x v="3"/>
    <x v="2"/>
    <x v="1"/>
    <x v="2"/>
    <x v="1"/>
    <x v="1"/>
    <x v="46"/>
    <x v="2"/>
    <x v="1"/>
    <x v="2"/>
    <x v="15"/>
    <x v="3"/>
    <x v="1"/>
    <x v="2"/>
    <x v="1"/>
    <x v="0"/>
    <x v="126"/>
    <x v="0"/>
    <x v="54"/>
  </r>
  <r>
    <x v="214"/>
    <x v="109"/>
    <x v="108"/>
    <x v="107"/>
    <x v="0"/>
    <x v="1"/>
    <x v="2"/>
    <x v="114"/>
    <x v="99"/>
    <x v="2"/>
    <x v="0"/>
    <x v="2"/>
    <x v="0"/>
    <x v="3"/>
    <x v="4"/>
    <x v="1"/>
    <x v="2"/>
    <x v="1"/>
    <x v="2"/>
    <x v="1"/>
    <x v="2"/>
    <x v="0"/>
    <x v="2"/>
    <x v="3"/>
    <x v="4"/>
    <x v="108"/>
    <x v="1"/>
    <x v="0"/>
    <x v="0"/>
    <x v="1"/>
    <x v="0"/>
    <x v="0"/>
    <x v="0"/>
    <x v="0"/>
  </r>
  <r>
    <x v="215"/>
    <x v="121"/>
    <x v="121"/>
    <x v="119"/>
    <x v="179"/>
    <x v="2"/>
    <x v="1"/>
    <x v="126"/>
    <x v="113"/>
    <x v="1"/>
    <x v="61"/>
    <x v="0"/>
    <x v="0"/>
    <x v="1"/>
    <x v="1"/>
    <x v="1"/>
    <x v="2"/>
    <x v="2"/>
    <x v="1"/>
    <x v="1"/>
    <x v="2"/>
    <x v="0"/>
    <x v="1"/>
    <x v="5"/>
    <x v="11"/>
    <x v="120"/>
    <x v="3"/>
    <x v="0"/>
    <x v="0"/>
    <x v="1"/>
    <x v="0"/>
    <x v="0"/>
    <x v="67"/>
    <x v="55"/>
  </r>
  <r>
    <x v="216"/>
    <x v="84"/>
    <x v="83"/>
    <x v="82"/>
    <x v="0"/>
    <x v="1"/>
    <x v="1"/>
    <x v="87"/>
    <x v="80"/>
    <x v="1"/>
    <x v="33"/>
    <x v="0"/>
    <x v="0"/>
    <x v="3"/>
    <x v="3"/>
    <x v="3"/>
    <x v="2"/>
    <x v="2"/>
    <x v="1"/>
    <x v="1"/>
    <x v="1"/>
    <x v="49"/>
    <x v="2"/>
    <x v="3"/>
    <x v="4"/>
    <x v="83"/>
    <x v="5"/>
    <x v="1"/>
    <x v="4"/>
    <x v="2"/>
    <x v="1"/>
    <x v="127"/>
    <x v="0"/>
    <x v="50"/>
  </r>
  <r>
    <x v="217"/>
    <x v="15"/>
    <x v="15"/>
    <x v="15"/>
    <x v="0"/>
    <x v="1"/>
    <x v="2"/>
    <x v="17"/>
    <x v="16"/>
    <x v="1"/>
    <x v="62"/>
    <x v="0"/>
    <x v="0"/>
    <x v="3"/>
    <x v="1"/>
    <x v="1"/>
    <x v="2"/>
    <x v="1"/>
    <x v="2"/>
    <x v="1"/>
    <x v="2"/>
    <x v="0"/>
    <x v="2"/>
    <x v="3"/>
    <x v="4"/>
    <x v="15"/>
    <x v="4"/>
    <x v="0"/>
    <x v="0"/>
    <x v="1"/>
    <x v="0"/>
    <x v="0"/>
    <x v="0"/>
    <x v="0"/>
  </r>
  <r>
    <x v="218"/>
    <x v="122"/>
    <x v="122"/>
    <x v="120"/>
    <x v="180"/>
    <x v="1"/>
    <x v="2"/>
    <x v="127"/>
    <x v="37"/>
    <x v="1"/>
    <x v="63"/>
    <x v="0"/>
    <x v="0"/>
    <x v="1"/>
    <x v="3"/>
    <x v="2"/>
    <x v="2"/>
    <x v="1"/>
    <x v="3"/>
    <x v="1"/>
    <x v="1"/>
    <x v="48"/>
    <x v="1"/>
    <x v="1"/>
    <x v="2"/>
    <x v="121"/>
    <x v="5"/>
    <x v="3"/>
    <x v="0"/>
    <x v="1"/>
    <x v="0"/>
    <x v="128"/>
    <x v="0"/>
    <x v="56"/>
  </r>
  <r>
    <x v="219"/>
    <x v="123"/>
    <x v="123"/>
    <x v="121"/>
    <x v="181"/>
    <x v="1"/>
    <x v="1"/>
    <x v="128"/>
    <x v="10"/>
    <x v="1"/>
    <x v="22"/>
    <x v="0"/>
    <x v="0"/>
    <x v="1"/>
    <x v="1"/>
    <x v="1"/>
    <x v="2"/>
    <x v="2"/>
    <x v="1"/>
    <x v="1"/>
    <x v="1"/>
    <x v="48"/>
    <x v="1"/>
    <x v="1"/>
    <x v="2"/>
    <x v="122"/>
    <x v="4"/>
    <x v="1"/>
    <x v="1"/>
    <x v="1"/>
    <x v="0"/>
    <x v="129"/>
    <x v="0"/>
    <x v="0"/>
  </r>
  <r>
    <x v="220"/>
    <x v="124"/>
    <x v="124"/>
    <x v="122"/>
    <x v="182"/>
    <x v="1"/>
    <x v="2"/>
    <x v="129"/>
    <x v="48"/>
    <x v="1"/>
    <x v="24"/>
    <x v="0"/>
    <x v="0"/>
    <x v="1"/>
    <x v="3"/>
    <x v="2"/>
    <x v="1"/>
    <x v="1"/>
    <x v="3"/>
    <x v="2"/>
    <x v="1"/>
    <x v="48"/>
    <x v="1"/>
    <x v="1"/>
    <x v="2"/>
    <x v="123"/>
    <x v="5"/>
    <x v="1"/>
    <x v="1"/>
    <x v="2"/>
    <x v="1"/>
    <x v="130"/>
    <x v="0"/>
    <x v="0"/>
  </r>
  <r>
    <x v="221"/>
    <x v="125"/>
    <x v="125"/>
    <x v="123"/>
    <x v="183"/>
    <x v="3"/>
    <x v="2"/>
    <x v="130"/>
    <x v="10"/>
    <x v="1"/>
    <x v="36"/>
    <x v="0"/>
    <x v="0"/>
    <x v="1"/>
    <x v="1"/>
    <x v="1"/>
    <x v="2"/>
    <x v="2"/>
    <x v="2"/>
    <x v="1"/>
    <x v="2"/>
    <x v="0"/>
    <x v="1"/>
    <x v="2"/>
    <x v="2"/>
    <x v="124"/>
    <x v="5"/>
    <x v="0"/>
    <x v="0"/>
    <x v="1"/>
    <x v="0"/>
    <x v="0"/>
    <x v="0"/>
    <x v="0"/>
  </r>
  <r>
    <x v="222"/>
    <x v="123"/>
    <x v="123"/>
    <x v="121"/>
    <x v="0"/>
    <x v="1"/>
    <x v="1"/>
    <x v="128"/>
    <x v="10"/>
    <x v="1"/>
    <x v="22"/>
    <x v="0"/>
    <x v="0"/>
    <x v="3"/>
    <x v="1"/>
    <x v="1"/>
    <x v="2"/>
    <x v="2"/>
    <x v="1"/>
    <x v="1"/>
    <x v="1"/>
    <x v="48"/>
    <x v="2"/>
    <x v="3"/>
    <x v="4"/>
    <x v="122"/>
    <x v="5"/>
    <x v="3"/>
    <x v="0"/>
    <x v="1"/>
    <x v="0"/>
    <x v="131"/>
    <x v="0"/>
    <x v="56"/>
  </r>
  <r>
    <x v="223"/>
    <x v="119"/>
    <x v="119"/>
    <x v="117"/>
    <x v="184"/>
    <x v="1"/>
    <x v="2"/>
    <x v="124"/>
    <x v="40"/>
    <x v="1"/>
    <x v="22"/>
    <x v="0"/>
    <x v="0"/>
    <x v="3"/>
    <x v="1"/>
    <x v="1"/>
    <x v="1"/>
    <x v="1"/>
    <x v="3"/>
    <x v="1"/>
    <x v="2"/>
    <x v="0"/>
    <x v="1"/>
    <x v="3"/>
    <x v="4"/>
    <x v="118"/>
    <x v="4"/>
    <x v="0"/>
    <x v="0"/>
    <x v="1"/>
    <x v="0"/>
    <x v="0"/>
    <x v="0"/>
    <x v="0"/>
  </r>
  <r>
    <x v="224"/>
    <x v="126"/>
    <x v="126"/>
    <x v="124"/>
    <x v="185"/>
    <x v="3"/>
    <x v="1"/>
    <x v="131"/>
    <x v="42"/>
    <x v="1"/>
    <x v="1"/>
    <x v="0"/>
    <x v="0"/>
    <x v="1"/>
    <x v="3"/>
    <x v="2"/>
    <x v="1"/>
    <x v="1"/>
    <x v="2"/>
    <x v="1"/>
    <x v="1"/>
    <x v="49"/>
    <x v="2"/>
    <x v="1"/>
    <x v="2"/>
    <x v="125"/>
    <x v="5"/>
    <x v="3"/>
    <x v="0"/>
    <x v="1"/>
    <x v="0"/>
    <x v="132"/>
    <x v="0"/>
    <x v="0"/>
  </r>
  <r>
    <x v="225"/>
    <x v="127"/>
    <x v="127"/>
    <x v="125"/>
    <x v="186"/>
    <x v="1"/>
    <x v="2"/>
    <x v="132"/>
    <x v="17"/>
    <x v="1"/>
    <x v="15"/>
    <x v="0"/>
    <x v="0"/>
    <x v="1"/>
    <x v="1"/>
    <x v="1"/>
    <x v="2"/>
    <x v="1"/>
    <x v="3"/>
    <x v="1"/>
    <x v="1"/>
    <x v="48"/>
    <x v="1"/>
    <x v="1"/>
    <x v="2"/>
    <x v="126"/>
    <x v="4"/>
    <x v="3"/>
    <x v="0"/>
    <x v="1"/>
    <x v="0"/>
    <x v="133"/>
    <x v="68"/>
    <x v="56"/>
  </r>
  <r>
    <x v="226"/>
    <x v="128"/>
    <x v="128"/>
    <x v="126"/>
    <x v="187"/>
    <x v="1"/>
    <x v="2"/>
    <x v="82"/>
    <x v="114"/>
    <x v="1"/>
    <x v="64"/>
    <x v="0"/>
    <x v="0"/>
    <x v="1"/>
    <x v="1"/>
    <x v="1"/>
    <x v="2"/>
    <x v="2"/>
    <x v="1"/>
    <x v="1"/>
    <x v="2"/>
    <x v="0"/>
    <x v="1"/>
    <x v="1"/>
    <x v="2"/>
    <x v="127"/>
    <x v="5"/>
    <x v="0"/>
    <x v="0"/>
    <x v="1"/>
    <x v="0"/>
    <x v="0"/>
    <x v="0"/>
    <x v="0"/>
  </r>
  <r>
    <x v="227"/>
    <x v="129"/>
    <x v="129"/>
    <x v="127"/>
    <x v="188"/>
    <x v="1"/>
    <x v="2"/>
    <x v="133"/>
    <x v="115"/>
    <x v="1"/>
    <x v="15"/>
    <x v="0"/>
    <x v="0"/>
    <x v="1"/>
    <x v="2"/>
    <x v="3"/>
    <x v="2"/>
    <x v="1"/>
    <x v="2"/>
    <x v="1"/>
    <x v="1"/>
    <x v="49"/>
    <x v="1"/>
    <x v="1"/>
    <x v="2"/>
    <x v="128"/>
    <x v="4"/>
    <x v="3"/>
    <x v="0"/>
    <x v="1"/>
    <x v="0"/>
    <x v="134"/>
    <x v="0"/>
    <x v="0"/>
  </r>
  <r>
    <x v="228"/>
    <x v="130"/>
    <x v="130"/>
    <x v="128"/>
    <x v="189"/>
    <x v="2"/>
    <x v="2"/>
    <x v="134"/>
    <x v="116"/>
    <x v="2"/>
    <x v="0"/>
    <x v="2"/>
    <x v="0"/>
    <x v="1"/>
    <x v="3"/>
    <x v="3"/>
    <x v="2"/>
    <x v="1"/>
    <x v="2"/>
    <x v="1"/>
    <x v="1"/>
    <x v="49"/>
    <x v="1"/>
    <x v="1"/>
    <x v="2"/>
    <x v="129"/>
    <x v="1"/>
    <x v="3"/>
    <x v="0"/>
    <x v="1"/>
    <x v="0"/>
    <x v="135"/>
    <x v="0"/>
    <x v="14"/>
  </r>
  <r>
    <x v="229"/>
    <x v="124"/>
    <x v="124"/>
    <x v="122"/>
    <x v="190"/>
    <x v="1"/>
    <x v="2"/>
    <x v="129"/>
    <x v="48"/>
    <x v="1"/>
    <x v="24"/>
    <x v="0"/>
    <x v="0"/>
    <x v="3"/>
    <x v="1"/>
    <x v="2"/>
    <x v="2"/>
    <x v="1"/>
    <x v="2"/>
    <x v="2"/>
    <x v="1"/>
    <x v="50"/>
    <x v="1"/>
    <x v="3"/>
    <x v="4"/>
    <x v="123"/>
    <x v="5"/>
    <x v="1"/>
    <x v="7"/>
    <x v="2"/>
    <x v="1"/>
    <x v="136"/>
    <x v="0"/>
    <x v="57"/>
  </r>
  <r>
    <x v="230"/>
    <x v="123"/>
    <x v="123"/>
    <x v="121"/>
    <x v="191"/>
    <x v="1"/>
    <x v="1"/>
    <x v="128"/>
    <x v="59"/>
    <x v="1"/>
    <x v="22"/>
    <x v="0"/>
    <x v="0"/>
    <x v="1"/>
    <x v="1"/>
    <x v="1"/>
    <x v="2"/>
    <x v="2"/>
    <x v="1"/>
    <x v="1"/>
    <x v="1"/>
    <x v="50"/>
    <x v="1"/>
    <x v="4"/>
    <x v="12"/>
    <x v="122"/>
    <x v="3"/>
    <x v="3"/>
    <x v="0"/>
    <x v="1"/>
    <x v="0"/>
    <x v="137"/>
    <x v="69"/>
    <x v="58"/>
  </r>
  <r>
    <x v="231"/>
    <x v="84"/>
    <x v="83"/>
    <x v="82"/>
    <x v="192"/>
    <x v="1"/>
    <x v="2"/>
    <x v="87"/>
    <x v="80"/>
    <x v="1"/>
    <x v="33"/>
    <x v="0"/>
    <x v="0"/>
    <x v="3"/>
    <x v="1"/>
    <x v="1"/>
    <x v="2"/>
    <x v="2"/>
    <x v="1"/>
    <x v="1"/>
    <x v="1"/>
    <x v="51"/>
    <x v="1"/>
    <x v="3"/>
    <x v="4"/>
    <x v="83"/>
    <x v="1"/>
    <x v="1"/>
    <x v="4"/>
    <x v="2"/>
    <x v="1"/>
    <x v="138"/>
    <x v="0"/>
    <x v="0"/>
  </r>
  <r>
    <x v="232"/>
    <x v="131"/>
    <x v="131"/>
    <x v="129"/>
    <x v="193"/>
    <x v="1"/>
    <x v="2"/>
    <x v="135"/>
    <x v="117"/>
    <x v="1"/>
    <x v="3"/>
    <x v="0"/>
    <x v="0"/>
    <x v="1"/>
    <x v="3"/>
    <x v="3"/>
    <x v="2"/>
    <x v="1"/>
    <x v="2"/>
    <x v="1"/>
    <x v="1"/>
    <x v="50"/>
    <x v="1"/>
    <x v="6"/>
    <x v="2"/>
    <x v="130"/>
    <x v="7"/>
    <x v="3"/>
    <x v="0"/>
    <x v="1"/>
    <x v="0"/>
    <x v="139"/>
    <x v="70"/>
    <x v="0"/>
  </r>
  <r>
    <x v="233"/>
    <x v="132"/>
    <x v="132"/>
    <x v="130"/>
    <x v="194"/>
    <x v="1"/>
    <x v="3"/>
    <x v="136"/>
    <x v="118"/>
    <x v="1"/>
    <x v="3"/>
    <x v="0"/>
    <x v="0"/>
    <x v="1"/>
    <x v="3"/>
    <x v="3"/>
    <x v="2"/>
    <x v="1"/>
    <x v="3"/>
    <x v="1"/>
    <x v="2"/>
    <x v="0"/>
    <x v="1"/>
    <x v="6"/>
    <x v="2"/>
    <x v="131"/>
    <x v="5"/>
    <x v="0"/>
    <x v="0"/>
    <x v="1"/>
    <x v="0"/>
    <x v="0"/>
    <x v="0"/>
    <x v="59"/>
  </r>
  <r>
    <x v="234"/>
    <x v="133"/>
    <x v="133"/>
    <x v="131"/>
    <x v="195"/>
    <x v="3"/>
    <x v="1"/>
    <x v="137"/>
    <x v="53"/>
    <x v="1"/>
    <x v="15"/>
    <x v="0"/>
    <x v="0"/>
    <x v="1"/>
    <x v="3"/>
    <x v="3"/>
    <x v="2"/>
    <x v="1"/>
    <x v="2"/>
    <x v="1"/>
    <x v="1"/>
    <x v="51"/>
    <x v="1"/>
    <x v="6"/>
    <x v="2"/>
    <x v="132"/>
    <x v="5"/>
    <x v="1"/>
    <x v="4"/>
    <x v="1"/>
    <x v="0"/>
    <x v="140"/>
    <x v="0"/>
    <x v="0"/>
  </r>
  <r>
    <x v="235"/>
    <x v="119"/>
    <x v="119"/>
    <x v="117"/>
    <x v="196"/>
    <x v="1"/>
    <x v="2"/>
    <x v="124"/>
    <x v="10"/>
    <x v="1"/>
    <x v="31"/>
    <x v="0"/>
    <x v="0"/>
    <x v="1"/>
    <x v="2"/>
    <x v="3"/>
    <x v="2"/>
    <x v="1"/>
    <x v="3"/>
    <x v="2"/>
    <x v="1"/>
    <x v="50"/>
    <x v="1"/>
    <x v="6"/>
    <x v="2"/>
    <x v="118"/>
    <x v="1"/>
    <x v="3"/>
    <x v="0"/>
    <x v="1"/>
    <x v="0"/>
    <x v="141"/>
    <x v="71"/>
    <x v="17"/>
  </r>
  <r>
    <x v="236"/>
    <x v="84"/>
    <x v="83"/>
    <x v="82"/>
    <x v="197"/>
    <x v="1"/>
    <x v="2"/>
    <x v="87"/>
    <x v="80"/>
    <x v="1"/>
    <x v="11"/>
    <x v="0"/>
    <x v="0"/>
    <x v="3"/>
    <x v="1"/>
    <x v="1"/>
    <x v="2"/>
    <x v="2"/>
    <x v="3"/>
    <x v="1"/>
    <x v="2"/>
    <x v="0"/>
    <x v="1"/>
    <x v="3"/>
    <x v="4"/>
    <x v="83"/>
    <x v="1"/>
    <x v="0"/>
    <x v="0"/>
    <x v="1"/>
    <x v="0"/>
    <x v="0"/>
    <x v="0"/>
    <x v="0"/>
  </r>
  <r>
    <x v="237"/>
    <x v="133"/>
    <x v="133"/>
    <x v="131"/>
    <x v="0"/>
    <x v="3"/>
    <x v="1"/>
    <x v="137"/>
    <x v="53"/>
    <x v="1"/>
    <x v="15"/>
    <x v="0"/>
    <x v="0"/>
    <x v="3"/>
    <x v="4"/>
    <x v="1"/>
    <x v="2"/>
    <x v="1"/>
    <x v="2"/>
    <x v="1"/>
    <x v="2"/>
    <x v="0"/>
    <x v="2"/>
    <x v="3"/>
    <x v="4"/>
    <x v="132"/>
    <x v="1"/>
    <x v="0"/>
    <x v="0"/>
    <x v="1"/>
    <x v="0"/>
    <x v="0"/>
    <x v="0"/>
    <x v="0"/>
  </r>
  <r>
    <x v="238"/>
    <x v="134"/>
    <x v="134"/>
    <x v="132"/>
    <x v="198"/>
    <x v="1"/>
    <x v="2"/>
    <x v="138"/>
    <x v="71"/>
    <x v="1"/>
    <x v="9"/>
    <x v="0"/>
    <x v="0"/>
    <x v="1"/>
    <x v="2"/>
    <x v="3"/>
    <x v="2"/>
    <x v="1"/>
    <x v="1"/>
    <x v="1"/>
    <x v="1"/>
    <x v="40"/>
    <x v="1"/>
    <x v="1"/>
    <x v="2"/>
    <x v="133"/>
    <x v="2"/>
    <x v="1"/>
    <x v="1"/>
    <x v="1"/>
    <x v="0"/>
    <x v="142"/>
    <x v="0"/>
    <x v="60"/>
  </r>
  <r>
    <x v="239"/>
    <x v="135"/>
    <x v="135"/>
    <x v="133"/>
    <x v="199"/>
    <x v="1"/>
    <x v="2"/>
    <x v="139"/>
    <x v="119"/>
    <x v="1"/>
    <x v="31"/>
    <x v="0"/>
    <x v="0"/>
    <x v="1"/>
    <x v="3"/>
    <x v="3"/>
    <x v="2"/>
    <x v="2"/>
    <x v="2"/>
    <x v="1"/>
    <x v="1"/>
    <x v="40"/>
    <x v="1"/>
    <x v="1"/>
    <x v="2"/>
    <x v="134"/>
    <x v="7"/>
    <x v="3"/>
    <x v="0"/>
    <x v="1"/>
    <x v="0"/>
    <x v="143"/>
    <x v="0"/>
    <x v="61"/>
  </r>
  <r>
    <x v="240"/>
    <x v="136"/>
    <x v="136"/>
    <x v="134"/>
    <x v="200"/>
    <x v="3"/>
    <x v="2"/>
    <x v="140"/>
    <x v="120"/>
    <x v="1"/>
    <x v="22"/>
    <x v="0"/>
    <x v="0"/>
    <x v="1"/>
    <x v="1"/>
    <x v="1"/>
    <x v="2"/>
    <x v="2"/>
    <x v="1"/>
    <x v="1"/>
    <x v="1"/>
    <x v="52"/>
    <x v="1"/>
    <x v="1"/>
    <x v="5"/>
    <x v="135"/>
    <x v="4"/>
    <x v="3"/>
    <x v="0"/>
    <x v="1"/>
    <x v="0"/>
    <x v="144"/>
    <x v="72"/>
    <x v="0"/>
  </r>
  <r>
    <x v="241"/>
    <x v="124"/>
    <x v="124"/>
    <x v="122"/>
    <x v="0"/>
    <x v="1"/>
    <x v="2"/>
    <x v="129"/>
    <x v="48"/>
    <x v="1"/>
    <x v="24"/>
    <x v="0"/>
    <x v="0"/>
    <x v="3"/>
    <x v="1"/>
    <x v="1"/>
    <x v="1"/>
    <x v="1"/>
    <x v="1"/>
    <x v="2"/>
    <x v="2"/>
    <x v="0"/>
    <x v="2"/>
    <x v="3"/>
    <x v="4"/>
    <x v="123"/>
    <x v="7"/>
    <x v="0"/>
    <x v="0"/>
    <x v="1"/>
    <x v="0"/>
    <x v="0"/>
    <x v="0"/>
    <x v="17"/>
  </r>
  <r>
    <x v="242"/>
    <x v="134"/>
    <x v="134"/>
    <x v="132"/>
    <x v="0"/>
    <x v="1"/>
    <x v="2"/>
    <x v="138"/>
    <x v="71"/>
    <x v="1"/>
    <x v="9"/>
    <x v="0"/>
    <x v="0"/>
    <x v="3"/>
    <x v="4"/>
    <x v="1"/>
    <x v="2"/>
    <x v="2"/>
    <x v="1"/>
    <x v="1"/>
    <x v="2"/>
    <x v="0"/>
    <x v="2"/>
    <x v="3"/>
    <x v="4"/>
    <x v="133"/>
    <x v="5"/>
    <x v="0"/>
    <x v="0"/>
    <x v="1"/>
    <x v="0"/>
    <x v="0"/>
    <x v="0"/>
    <x v="0"/>
  </r>
  <r>
    <x v="243"/>
    <x v="137"/>
    <x v="137"/>
    <x v="135"/>
    <x v="201"/>
    <x v="1"/>
    <x v="2"/>
    <x v="141"/>
    <x v="121"/>
    <x v="1"/>
    <x v="65"/>
    <x v="0"/>
    <x v="0"/>
    <x v="1"/>
    <x v="1"/>
    <x v="1"/>
    <x v="2"/>
    <x v="1"/>
    <x v="3"/>
    <x v="1"/>
    <x v="2"/>
    <x v="0"/>
    <x v="1"/>
    <x v="1"/>
    <x v="2"/>
    <x v="136"/>
    <x v="1"/>
    <x v="0"/>
    <x v="0"/>
    <x v="1"/>
    <x v="0"/>
    <x v="0"/>
    <x v="0"/>
    <x v="0"/>
  </r>
  <r>
    <x v="244"/>
    <x v="138"/>
    <x v="138"/>
    <x v="136"/>
    <x v="202"/>
    <x v="3"/>
    <x v="2"/>
    <x v="142"/>
    <x v="81"/>
    <x v="1"/>
    <x v="24"/>
    <x v="0"/>
    <x v="0"/>
    <x v="1"/>
    <x v="2"/>
    <x v="3"/>
    <x v="1"/>
    <x v="1"/>
    <x v="1"/>
    <x v="1"/>
    <x v="1"/>
    <x v="52"/>
    <x v="2"/>
    <x v="1"/>
    <x v="2"/>
    <x v="137"/>
    <x v="5"/>
    <x v="3"/>
    <x v="0"/>
    <x v="1"/>
    <x v="0"/>
    <x v="145"/>
    <x v="73"/>
    <x v="62"/>
  </r>
  <r>
    <x v="245"/>
    <x v="139"/>
    <x v="139"/>
    <x v="137"/>
    <x v="203"/>
    <x v="1"/>
    <x v="2"/>
    <x v="143"/>
    <x v="122"/>
    <x v="1"/>
    <x v="3"/>
    <x v="0"/>
    <x v="0"/>
    <x v="1"/>
    <x v="1"/>
    <x v="1"/>
    <x v="2"/>
    <x v="1"/>
    <x v="2"/>
    <x v="1"/>
    <x v="1"/>
    <x v="53"/>
    <x v="1"/>
    <x v="5"/>
    <x v="2"/>
    <x v="138"/>
    <x v="5"/>
    <x v="1"/>
    <x v="1"/>
    <x v="2"/>
    <x v="1"/>
    <x v="146"/>
    <x v="0"/>
    <x v="0"/>
  </r>
  <r>
    <x v="246"/>
    <x v="139"/>
    <x v="139"/>
    <x v="137"/>
    <x v="204"/>
    <x v="1"/>
    <x v="2"/>
    <x v="143"/>
    <x v="122"/>
    <x v="1"/>
    <x v="3"/>
    <x v="0"/>
    <x v="0"/>
    <x v="3"/>
    <x v="3"/>
    <x v="2"/>
    <x v="2"/>
    <x v="1"/>
    <x v="2"/>
    <x v="1"/>
    <x v="1"/>
    <x v="54"/>
    <x v="1"/>
    <x v="3"/>
    <x v="4"/>
    <x v="138"/>
    <x v="5"/>
    <x v="3"/>
    <x v="0"/>
    <x v="1"/>
    <x v="0"/>
    <x v="147"/>
    <x v="0"/>
    <x v="63"/>
  </r>
  <r>
    <x v="247"/>
    <x v="140"/>
    <x v="140"/>
    <x v="138"/>
    <x v="205"/>
    <x v="3"/>
    <x v="4"/>
    <x v="144"/>
    <x v="123"/>
    <x v="1"/>
    <x v="15"/>
    <x v="0"/>
    <x v="0"/>
    <x v="1"/>
    <x v="1"/>
    <x v="1"/>
    <x v="2"/>
    <x v="1"/>
    <x v="1"/>
    <x v="1"/>
    <x v="1"/>
    <x v="52"/>
    <x v="1"/>
    <x v="1"/>
    <x v="2"/>
    <x v="139"/>
    <x v="7"/>
    <x v="1"/>
    <x v="5"/>
    <x v="2"/>
    <x v="1"/>
    <x v="148"/>
    <x v="0"/>
    <x v="0"/>
  </r>
  <r>
    <x v="248"/>
    <x v="69"/>
    <x v="68"/>
    <x v="67"/>
    <x v="206"/>
    <x v="3"/>
    <x v="2"/>
    <x v="72"/>
    <x v="124"/>
    <x v="2"/>
    <x v="0"/>
    <x v="6"/>
    <x v="0"/>
    <x v="1"/>
    <x v="3"/>
    <x v="3"/>
    <x v="2"/>
    <x v="1"/>
    <x v="2"/>
    <x v="1"/>
    <x v="1"/>
    <x v="55"/>
    <x v="1"/>
    <x v="1"/>
    <x v="2"/>
    <x v="67"/>
    <x v="7"/>
    <x v="1"/>
    <x v="4"/>
    <x v="1"/>
    <x v="0"/>
    <x v="149"/>
    <x v="74"/>
    <x v="64"/>
  </r>
  <r>
    <x v="249"/>
    <x v="140"/>
    <x v="140"/>
    <x v="138"/>
    <x v="0"/>
    <x v="3"/>
    <x v="4"/>
    <x v="144"/>
    <x v="123"/>
    <x v="1"/>
    <x v="15"/>
    <x v="0"/>
    <x v="0"/>
    <x v="3"/>
    <x v="2"/>
    <x v="3"/>
    <x v="2"/>
    <x v="1"/>
    <x v="2"/>
    <x v="1"/>
    <x v="1"/>
    <x v="55"/>
    <x v="2"/>
    <x v="3"/>
    <x v="4"/>
    <x v="139"/>
    <x v="2"/>
    <x v="1"/>
    <x v="2"/>
    <x v="1"/>
    <x v="0"/>
    <x v="150"/>
    <x v="0"/>
    <x v="65"/>
  </r>
  <r>
    <x v="250"/>
    <x v="141"/>
    <x v="141"/>
    <x v="139"/>
    <x v="207"/>
    <x v="1"/>
    <x v="1"/>
    <x v="145"/>
    <x v="125"/>
    <x v="1"/>
    <x v="3"/>
    <x v="0"/>
    <x v="0"/>
    <x v="1"/>
    <x v="3"/>
    <x v="3"/>
    <x v="2"/>
    <x v="2"/>
    <x v="1"/>
    <x v="1"/>
    <x v="1"/>
    <x v="55"/>
    <x v="1"/>
    <x v="5"/>
    <x v="2"/>
    <x v="140"/>
    <x v="7"/>
    <x v="1"/>
    <x v="2"/>
    <x v="2"/>
    <x v="1"/>
    <x v="151"/>
    <x v="75"/>
    <x v="0"/>
  </r>
  <r>
    <x v="251"/>
    <x v="142"/>
    <x v="142"/>
    <x v="140"/>
    <x v="208"/>
    <x v="3"/>
    <x v="2"/>
    <x v="146"/>
    <x v="126"/>
    <x v="1"/>
    <x v="9"/>
    <x v="0"/>
    <x v="0"/>
    <x v="1"/>
    <x v="3"/>
    <x v="2"/>
    <x v="2"/>
    <x v="2"/>
    <x v="1"/>
    <x v="1"/>
    <x v="1"/>
    <x v="43"/>
    <x v="1"/>
    <x v="1"/>
    <x v="2"/>
    <x v="141"/>
    <x v="5"/>
    <x v="1"/>
    <x v="1"/>
    <x v="1"/>
    <x v="0"/>
    <x v="152"/>
    <x v="76"/>
    <x v="66"/>
  </r>
  <r>
    <x v="252"/>
    <x v="140"/>
    <x v="140"/>
    <x v="138"/>
    <x v="0"/>
    <x v="3"/>
    <x v="4"/>
    <x v="144"/>
    <x v="123"/>
    <x v="1"/>
    <x v="15"/>
    <x v="0"/>
    <x v="0"/>
    <x v="3"/>
    <x v="2"/>
    <x v="3"/>
    <x v="2"/>
    <x v="1"/>
    <x v="2"/>
    <x v="1"/>
    <x v="1"/>
    <x v="43"/>
    <x v="2"/>
    <x v="3"/>
    <x v="4"/>
    <x v="139"/>
    <x v="4"/>
    <x v="1"/>
    <x v="1"/>
    <x v="2"/>
    <x v="1"/>
    <x v="153"/>
    <x v="0"/>
    <x v="67"/>
  </r>
  <r>
    <x v="253"/>
    <x v="69"/>
    <x v="68"/>
    <x v="67"/>
    <x v="209"/>
    <x v="3"/>
    <x v="2"/>
    <x v="72"/>
    <x v="68"/>
    <x v="1"/>
    <x v="15"/>
    <x v="0"/>
    <x v="0"/>
    <x v="3"/>
    <x v="1"/>
    <x v="1"/>
    <x v="2"/>
    <x v="1"/>
    <x v="2"/>
    <x v="1"/>
    <x v="1"/>
    <x v="43"/>
    <x v="1"/>
    <x v="3"/>
    <x v="4"/>
    <x v="67"/>
    <x v="1"/>
    <x v="1"/>
    <x v="4"/>
    <x v="1"/>
    <x v="0"/>
    <x v="154"/>
    <x v="0"/>
    <x v="68"/>
  </r>
  <r>
    <x v="254"/>
    <x v="141"/>
    <x v="141"/>
    <x v="139"/>
    <x v="210"/>
    <x v="1"/>
    <x v="1"/>
    <x v="145"/>
    <x v="125"/>
    <x v="1"/>
    <x v="9"/>
    <x v="0"/>
    <x v="0"/>
    <x v="3"/>
    <x v="2"/>
    <x v="3"/>
    <x v="2"/>
    <x v="1"/>
    <x v="2"/>
    <x v="1"/>
    <x v="1"/>
    <x v="43"/>
    <x v="1"/>
    <x v="3"/>
    <x v="4"/>
    <x v="140"/>
    <x v="4"/>
    <x v="3"/>
    <x v="0"/>
    <x v="1"/>
    <x v="0"/>
    <x v="155"/>
    <x v="77"/>
    <x v="69"/>
  </r>
  <r>
    <x v="255"/>
    <x v="143"/>
    <x v="143"/>
    <x v="141"/>
    <x v="211"/>
    <x v="1"/>
    <x v="1"/>
    <x v="147"/>
    <x v="70"/>
    <x v="1"/>
    <x v="4"/>
    <x v="0"/>
    <x v="0"/>
    <x v="1"/>
    <x v="1"/>
    <x v="1"/>
    <x v="2"/>
    <x v="1"/>
    <x v="3"/>
    <x v="1"/>
    <x v="1"/>
    <x v="55"/>
    <x v="1"/>
    <x v="5"/>
    <x v="2"/>
    <x v="142"/>
    <x v="5"/>
    <x v="1"/>
    <x v="1"/>
    <x v="2"/>
    <x v="1"/>
    <x v="156"/>
    <x v="0"/>
    <x v="0"/>
  </r>
  <r>
    <x v="256"/>
    <x v="144"/>
    <x v="144"/>
    <x v="142"/>
    <x v="212"/>
    <x v="1"/>
    <x v="1"/>
    <x v="148"/>
    <x v="29"/>
    <x v="1"/>
    <x v="66"/>
    <x v="0"/>
    <x v="0"/>
    <x v="1"/>
    <x v="2"/>
    <x v="3"/>
    <x v="2"/>
    <x v="1"/>
    <x v="1"/>
    <x v="1"/>
    <x v="1"/>
    <x v="43"/>
    <x v="1"/>
    <x v="5"/>
    <x v="2"/>
    <x v="143"/>
    <x v="5"/>
    <x v="1"/>
    <x v="1"/>
    <x v="1"/>
    <x v="0"/>
    <x v="157"/>
    <x v="78"/>
    <x v="70"/>
  </r>
  <r>
    <x v="257"/>
    <x v="143"/>
    <x v="143"/>
    <x v="141"/>
    <x v="213"/>
    <x v="1"/>
    <x v="1"/>
    <x v="149"/>
    <x v="127"/>
    <x v="1"/>
    <x v="4"/>
    <x v="0"/>
    <x v="0"/>
    <x v="3"/>
    <x v="1"/>
    <x v="2"/>
    <x v="2"/>
    <x v="1"/>
    <x v="2"/>
    <x v="1"/>
    <x v="1"/>
    <x v="43"/>
    <x v="1"/>
    <x v="5"/>
    <x v="2"/>
    <x v="142"/>
    <x v="5"/>
    <x v="1"/>
    <x v="7"/>
    <x v="2"/>
    <x v="1"/>
    <x v="158"/>
    <x v="0"/>
    <x v="71"/>
  </r>
  <r>
    <x v="258"/>
    <x v="140"/>
    <x v="140"/>
    <x v="138"/>
    <x v="0"/>
    <x v="3"/>
    <x v="4"/>
    <x v="144"/>
    <x v="123"/>
    <x v="1"/>
    <x v="15"/>
    <x v="0"/>
    <x v="0"/>
    <x v="3"/>
    <x v="3"/>
    <x v="3"/>
    <x v="2"/>
    <x v="1"/>
    <x v="1"/>
    <x v="1"/>
    <x v="1"/>
    <x v="54"/>
    <x v="2"/>
    <x v="3"/>
    <x v="4"/>
    <x v="139"/>
    <x v="5"/>
    <x v="3"/>
    <x v="0"/>
    <x v="1"/>
    <x v="0"/>
    <x v="159"/>
    <x v="79"/>
    <x v="72"/>
  </r>
  <r>
    <x v="259"/>
    <x v="145"/>
    <x v="145"/>
    <x v="143"/>
    <x v="214"/>
    <x v="1"/>
    <x v="1"/>
    <x v="150"/>
    <x v="128"/>
    <x v="1"/>
    <x v="67"/>
    <x v="0"/>
    <x v="0"/>
    <x v="1"/>
    <x v="3"/>
    <x v="3"/>
    <x v="2"/>
    <x v="1"/>
    <x v="2"/>
    <x v="2"/>
    <x v="1"/>
    <x v="54"/>
    <x v="1"/>
    <x v="1"/>
    <x v="2"/>
    <x v="144"/>
    <x v="7"/>
    <x v="3"/>
    <x v="0"/>
    <x v="1"/>
    <x v="0"/>
    <x v="160"/>
    <x v="0"/>
    <x v="17"/>
  </r>
  <r>
    <x v="260"/>
    <x v="69"/>
    <x v="68"/>
    <x v="67"/>
    <x v="0"/>
    <x v="3"/>
    <x v="2"/>
    <x v="72"/>
    <x v="68"/>
    <x v="1"/>
    <x v="27"/>
    <x v="0"/>
    <x v="0"/>
    <x v="3"/>
    <x v="4"/>
    <x v="1"/>
    <x v="2"/>
    <x v="1"/>
    <x v="2"/>
    <x v="1"/>
    <x v="2"/>
    <x v="0"/>
    <x v="2"/>
    <x v="3"/>
    <x v="4"/>
    <x v="67"/>
    <x v="1"/>
    <x v="0"/>
    <x v="0"/>
    <x v="1"/>
    <x v="0"/>
    <x v="0"/>
    <x v="0"/>
    <x v="0"/>
  </r>
  <r>
    <x v="261"/>
    <x v="105"/>
    <x v="104"/>
    <x v="104"/>
    <x v="0"/>
    <x v="3"/>
    <x v="1"/>
    <x v="110"/>
    <x v="104"/>
    <x v="1"/>
    <x v="68"/>
    <x v="0"/>
    <x v="0"/>
    <x v="3"/>
    <x v="1"/>
    <x v="1"/>
    <x v="2"/>
    <x v="1"/>
    <x v="1"/>
    <x v="1"/>
    <x v="2"/>
    <x v="0"/>
    <x v="2"/>
    <x v="3"/>
    <x v="4"/>
    <x v="104"/>
    <x v="7"/>
    <x v="0"/>
    <x v="0"/>
    <x v="1"/>
    <x v="0"/>
    <x v="0"/>
    <x v="0"/>
    <x v="0"/>
  </r>
  <r>
    <x v="262"/>
    <x v="143"/>
    <x v="143"/>
    <x v="141"/>
    <x v="215"/>
    <x v="1"/>
    <x v="1"/>
    <x v="147"/>
    <x v="70"/>
    <x v="1"/>
    <x v="4"/>
    <x v="0"/>
    <x v="0"/>
    <x v="3"/>
    <x v="1"/>
    <x v="1"/>
    <x v="2"/>
    <x v="1"/>
    <x v="3"/>
    <x v="1"/>
    <x v="1"/>
    <x v="56"/>
    <x v="1"/>
    <x v="3"/>
    <x v="4"/>
    <x v="142"/>
    <x v="7"/>
    <x v="1"/>
    <x v="1"/>
    <x v="1"/>
    <x v="0"/>
    <x v="161"/>
    <x v="0"/>
    <x v="73"/>
  </r>
  <r>
    <x v="263"/>
    <x v="46"/>
    <x v="45"/>
    <x v="45"/>
    <x v="216"/>
    <x v="1"/>
    <x v="2"/>
    <x v="48"/>
    <x v="48"/>
    <x v="1"/>
    <x v="15"/>
    <x v="0"/>
    <x v="0"/>
    <x v="1"/>
    <x v="3"/>
    <x v="3"/>
    <x v="2"/>
    <x v="1"/>
    <x v="2"/>
    <x v="1"/>
    <x v="1"/>
    <x v="57"/>
    <x v="1"/>
    <x v="2"/>
    <x v="2"/>
    <x v="45"/>
    <x v="5"/>
    <x v="1"/>
    <x v="4"/>
    <x v="1"/>
    <x v="0"/>
    <x v="162"/>
    <x v="0"/>
    <x v="74"/>
  </r>
  <r>
    <x v="264"/>
    <x v="146"/>
    <x v="146"/>
    <x v="144"/>
    <x v="217"/>
    <x v="1"/>
    <x v="2"/>
    <x v="151"/>
    <x v="10"/>
    <x v="1"/>
    <x v="3"/>
    <x v="0"/>
    <x v="0"/>
    <x v="1"/>
    <x v="2"/>
    <x v="3"/>
    <x v="2"/>
    <x v="1"/>
    <x v="1"/>
    <x v="1"/>
    <x v="1"/>
    <x v="57"/>
    <x v="1"/>
    <x v="6"/>
    <x v="2"/>
    <x v="145"/>
    <x v="5"/>
    <x v="3"/>
    <x v="0"/>
    <x v="1"/>
    <x v="0"/>
    <x v="163"/>
    <x v="80"/>
    <x v="75"/>
  </r>
  <r>
    <x v="265"/>
    <x v="125"/>
    <x v="125"/>
    <x v="123"/>
    <x v="218"/>
    <x v="3"/>
    <x v="2"/>
    <x v="130"/>
    <x v="56"/>
    <x v="6"/>
    <x v="0"/>
    <x v="0"/>
    <x v="5"/>
    <x v="1"/>
    <x v="3"/>
    <x v="3"/>
    <x v="2"/>
    <x v="2"/>
    <x v="1"/>
    <x v="1"/>
    <x v="1"/>
    <x v="57"/>
    <x v="1"/>
    <x v="6"/>
    <x v="2"/>
    <x v="124"/>
    <x v="5"/>
    <x v="1"/>
    <x v="4"/>
    <x v="1"/>
    <x v="0"/>
    <x v="164"/>
    <x v="81"/>
    <x v="76"/>
  </r>
  <r>
    <x v="266"/>
    <x v="144"/>
    <x v="144"/>
    <x v="142"/>
    <x v="0"/>
    <x v="1"/>
    <x v="1"/>
    <x v="148"/>
    <x v="29"/>
    <x v="1"/>
    <x v="66"/>
    <x v="0"/>
    <x v="0"/>
    <x v="3"/>
    <x v="1"/>
    <x v="1"/>
    <x v="2"/>
    <x v="1"/>
    <x v="2"/>
    <x v="1"/>
    <x v="2"/>
    <x v="0"/>
    <x v="2"/>
    <x v="3"/>
    <x v="4"/>
    <x v="143"/>
    <x v="5"/>
    <x v="0"/>
    <x v="0"/>
    <x v="1"/>
    <x v="0"/>
    <x v="0"/>
    <x v="0"/>
    <x v="77"/>
  </r>
  <r>
    <x v="267"/>
    <x v="142"/>
    <x v="142"/>
    <x v="140"/>
    <x v="0"/>
    <x v="3"/>
    <x v="2"/>
    <x v="146"/>
    <x v="126"/>
    <x v="1"/>
    <x v="9"/>
    <x v="0"/>
    <x v="0"/>
    <x v="3"/>
    <x v="1"/>
    <x v="1"/>
    <x v="2"/>
    <x v="1"/>
    <x v="2"/>
    <x v="1"/>
    <x v="2"/>
    <x v="0"/>
    <x v="2"/>
    <x v="3"/>
    <x v="4"/>
    <x v="141"/>
    <x v="5"/>
    <x v="0"/>
    <x v="0"/>
    <x v="1"/>
    <x v="0"/>
    <x v="0"/>
    <x v="0"/>
    <x v="77"/>
  </r>
  <r>
    <x v="268"/>
    <x v="147"/>
    <x v="147"/>
    <x v="145"/>
    <x v="219"/>
    <x v="3"/>
    <x v="2"/>
    <x v="152"/>
    <x v="65"/>
    <x v="2"/>
    <x v="0"/>
    <x v="2"/>
    <x v="0"/>
    <x v="1"/>
    <x v="3"/>
    <x v="3"/>
    <x v="2"/>
    <x v="1"/>
    <x v="2"/>
    <x v="2"/>
    <x v="1"/>
    <x v="58"/>
    <x v="1"/>
    <x v="6"/>
    <x v="2"/>
    <x v="146"/>
    <x v="7"/>
    <x v="3"/>
    <x v="0"/>
    <x v="1"/>
    <x v="0"/>
    <x v="165"/>
    <x v="82"/>
    <x v="78"/>
  </r>
  <r>
    <x v="269"/>
    <x v="46"/>
    <x v="45"/>
    <x v="45"/>
    <x v="0"/>
    <x v="1"/>
    <x v="2"/>
    <x v="48"/>
    <x v="48"/>
    <x v="1"/>
    <x v="3"/>
    <x v="0"/>
    <x v="0"/>
    <x v="3"/>
    <x v="1"/>
    <x v="1"/>
    <x v="2"/>
    <x v="1"/>
    <x v="3"/>
    <x v="1"/>
    <x v="1"/>
    <x v="56"/>
    <x v="2"/>
    <x v="3"/>
    <x v="4"/>
    <x v="45"/>
    <x v="1"/>
    <x v="1"/>
    <x v="1"/>
    <x v="1"/>
    <x v="0"/>
    <x v="166"/>
    <x v="83"/>
    <x v="79"/>
  </r>
  <r>
    <x v="270"/>
    <x v="125"/>
    <x v="125"/>
    <x v="123"/>
    <x v="0"/>
    <x v="3"/>
    <x v="2"/>
    <x v="130"/>
    <x v="56"/>
    <x v="6"/>
    <x v="0"/>
    <x v="0"/>
    <x v="6"/>
    <x v="3"/>
    <x v="4"/>
    <x v="1"/>
    <x v="2"/>
    <x v="2"/>
    <x v="3"/>
    <x v="1"/>
    <x v="2"/>
    <x v="0"/>
    <x v="2"/>
    <x v="3"/>
    <x v="4"/>
    <x v="124"/>
    <x v="1"/>
    <x v="0"/>
    <x v="0"/>
    <x v="1"/>
    <x v="0"/>
    <x v="0"/>
    <x v="0"/>
    <x v="0"/>
  </r>
  <r>
    <x v="271"/>
    <x v="134"/>
    <x v="134"/>
    <x v="132"/>
    <x v="220"/>
    <x v="1"/>
    <x v="2"/>
    <x v="138"/>
    <x v="71"/>
    <x v="6"/>
    <x v="0"/>
    <x v="0"/>
    <x v="7"/>
    <x v="1"/>
    <x v="1"/>
    <x v="2"/>
    <x v="2"/>
    <x v="2"/>
    <x v="3"/>
    <x v="1"/>
    <x v="2"/>
    <x v="0"/>
    <x v="1"/>
    <x v="4"/>
    <x v="2"/>
    <x v="133"/>
    <x v="7"/>
    <x v="0"/>
    <x v="0"/>
    <x v="1"/>
    <x v="0"/>
    <x v="0"/>
    <x v="0"/>
    <x v="0"/>
  </r>
  <r>
    <x v="272"/>
    <x v="84"/>
    <x v="83"/>
    <x v="82"/>
    <x v="221"/>
    <x v="1"/>
    <x v="4"/>
    <x v="87"/>
    <x v="80"/>
    <x v="1"/>
    <x v="31"/>
    <x v="0"/>
    <x v="0"/>
    <x v="1"/>
    <x v="1"/>
    <x v="1"/>
    <x v="2"/>
    <x v="2"/>
    <x v="3"/>
    <x v="1"/>
    <x v="2"/>
    <x v="0"/>
    <x v="1"/>
    <x v="3"/>
    <x v="2"/>
    <x v="83"/>
    <x v="7"/>
    <x v="0"/>
    <x v="0"/>
    <x v="1"/>
    <x v="0"/>
    <x v="0"/>
    <x v="0"/>
    <x v="0"/>
  </r>
  <r>
    <x v="273"/>
    <x v="48"/>
    <x v="37"/>
    <x v="37"/>
    <x v="222"/>
    <x v="3"/>
    <x v="2"/>
    <x v="40"/>
    <x v="41"/>
    <x v="1"/>
    <x v="69"/>
    <x v="0"/>
    <x v="0"/>
    <x v="1"/>
    <x v="3"/>
    <x v="3"/>
    <x v="2"/>
    <x v="1"/>
    <x v="2"/>
    <x v="1"/>
    <x v="1"/>
    <x v="56"/>
    <x v="1"/>
    <x v="5"/>
    <x v="2"/>
    <x v="37"/>
    <x v="7"/>
    <x v="3"/>
    <x v="0"/>
    <x v="1"/>
    <x v="0"/>
    <x v="167"/>
    <x v="83"/>
    <x v="80"/>
  </r>
  <r>
    <x v="274"/>
    <x v="148"/>
    <x v="148"/>
    <x v="146"/>
    <x v="223"/>
    <x v="1"/>
    <x v="2"/>
    <x v="153"/>
    <x v="129"/>
    <x v="1"/>
    <x v="70"/>
    <x v="0"/>
    <x v="0"/>
    <x v="1"/>
    <x v="5"/>
    <x v="1"/>
    <x v="1"/>
    <x v="1"/>
    <x v="3"/>
    <x v="1"/>
    <x v="1"/>
    <x v="59"/>
    <x v="1"/>
    <x v="1"/>
    <x v="2"/>
    <x v="147"/>
    <x v="5"/>
    <x v="1"/>
    <x v="1"/>
    <x v="1"/>
    <x v="0"/>
    <x v="168"/>
    <x v="0"/>
    <x v="0"/>
  </r>
  <r>
    <x v="275"/>
    <x v="149"/>
    <x v="149"/>
    <x v="147"/>
    <x v="224"/>
    <x v="3"/>
    <x v="2"/>
    <x v="154"/>
    <x v="119"/>
    <x v="1"/>
    <x v="71"/>
    <x v="0"/>
    <x v="0"/>
    <x v="1"/>
    <x v="2"/>
    <x v="3"/>
    <x v="2"/>
    <x v="1"/>
    <x v="2"/>
    <x v="1"/>
    <x v="1"/>
    <x v="59"/>
    <x v="1"/>
    <x v="1"/>
    <x v="2"/>
    <x v="148"/>
    <x v="5"/>
    <x v="1"/>
    <x v="4"/>
    <x v="2"/>
    <x v="1"/>
    <x v="169"/>
    <x v="84"/>
    <x v="0"/>
  </r>
  <r>
    <x v="276"/>
    <x v="150"/>
    <x v="150"/>
    <x v="148"/>
    <x v="225"/>
    <x v="1"/>
    <x v="2"/>
    <x v="155"/>
    <x v="130"/>
    <x v="1"/>
    <x v="3"/>
    <x v="0"/>
    <x v="0"/>
    <x v="1"/>
    <x v="1"/>
    <x v="1"/>
    <x v="2"/>
    <x v="1"/>
    <x v="2"/>
    <x v="1"/>
    <x v="1"/>
    <x v="60"/>
    <x v="1"/>
    <x v="1"/>
    <x v="2"/>
    <x v="149"/>
    <x v="5"/>
    <x v="1"/>
    <x v="7"/>
    <x v="2"/>
    <x v="1"/>
    <x v="170"/>
    <x v="0"/>
    <x v="81"/>
  </r>
  <r>
    <x v="277"/>
    <x v="151"/>
    <x v="151"/>
    <x v="149"/>
    <x v="226"/>
    <x v="1"/>
    <x v="1"/>
    <x v="156"/>
    <x v="131"/>
    <x v="1"/>
    <x v="9"/>
    <x v="0"/>
    <x v="0"/>
    <x v="1"/>
    <x v="1"/>
    <x v="1"/>
    <x v="2"/>
    <x v="1"/>
    <x v="2"/>
    <x v="1"/>
    <x v="2"/>
    <x v="0"/>
    <x v="1"/>
    <x v="1"/>
    <x v="5"/>
    <x v="150"/>
    <x v="4"/>
    <x v="0"/>
    <x v="0"/>
    <x v="1"/>
    <x v="0"/>
    <x v="0"/>
    <x v="0"/>
    <x v="0"/>
  </r>
  <r>
    <x v="278"/>
    <x v="152"/>
    <x v="152"/>
    <x v="150"/>
    <x v="227"/>
    <x v="3"/>
    <x v="2"/>
    <x v="157"/>
    <x v="132"/>
    <x v="1"/>
    <x v="31"/>
    <x v="0"/>
    <x v="0"/>
    <x v="1"/>
    <x v="1"/>
    <x v="1"/>
    <x v="2"/>
    <x v="2"/>
    <x v="1"/>
    <x v="1"/>
    <x v="2"/>
    <x v="0"/>
    <x v="1"/>
    <x v="1"/>
    <x v="5"/>
    <x v="151"/>
    <x v="4"/>
    <x v="0"/>
    <x v="0"/>
    <x v="1"/>
    <x v="0"/>
    <x v="0"/>
    <x v="0"/>
    <x v="0"/>
  </r>
  <r>
    <x v="279"/>
    <x v="151"/>
    <x v="151"/>
    <x v="149"/>
    <x v="228"/>
    <x v="1"/>
    <x v="1"/>
    <x v="156"/>
    <x v="131"/>
    <x v="1"/>
    <x v="9"/>
    <x v="0"/>
    <x v="0"/>
    <x v="1"/>
    <x v="3"/>
    <x v="2"/>
    <x v="2"/>
    <x v="1"/>
    <x v="2"/>
    <x v="1"/>
    <x v="1"/>
    <x v="60"/>
    <x v="1"/>
    <x v="2"/>
    <x v="2"/>
    <x v="150"/>
    <x v="5"/>
    <x v="3"/>
    <x v="0"/>
    <x v="1"/>
    <x v="0"/>
    <x v="171"/>
    <x v="0"/>
    <x v="0"/>
  </r>
  <r>
    <x v="280"/>
    <x v="143"/>
    <x v="143"/>
    <x v="141"/>
    <x v="0"/>
    <x v="1"/>
    <x v="1"/>
    <x v="147"/>
    <x v="70"/>
    <x v="1"/>
    <x v="4"/>
    <x v="0"/>
    <x v="0"/>
    <x v="3"/>
    <x v="1"/>
    <x v="1"/>
    <x v="2"/>
    <x v="1"/>
    <x v="2"/>
    <x v="1"/>
    <x v="2"/>
    <x v="0"/>
    <x v="2"/>
    <x v="3"/>
    <x v="4"/>
    <x v="142"/>
    <x v="5"/>
    <x v="0"/>
    <x v="0"/>
    <x v="1"/>
    <x v="0"/>
    <x v="0"/>
    <x v="0"/>
    <x v="0"/>
  </r>
  <r>
    <x v="281"/>
    <x v="52"/>
    <x v="51"/>
    <x v="50"/>
    <x v="229"/>
    <x v="1"/>
    <x v="1"/>
    <x v="54"/>
    <x v="133"/>
    <x v="1"/>
    <x v="72"/>
    <x v="0"/>
    <x v="0"/>
    <x v="1"/>
    <x v="2"/>
    <x v="2"/>
    <x v="2"/>
    <x v="1"/>
    <x v="3"/>
    <x v="1"/>
    <x v="2"/>
    <x v="0"/>
    <x v="1"/>
    <x v="1"/>
    <x v="2"/>
    <x v="50"/>
    <x v="4"/>
    <x v="0"/>
    <x v="0"/>
    <x v="1"/>
    <x v="0"/>
    <x v="0"/>
    <x v="0"/>
    <x v="0"/>
  </r>
  <r>
    <x v="282"/>
    <x v="148"/>
    <x v="148"/>
    <x v="146"/>
    <x v="0"/>
    <x v="1"/>
    <x v="2"/>
    <x v="158"/>
    <x v="129"/>
    <x v="1"/>
    <x v="70"/>
    <x v="0"/>
    <x v="0"/>
    <x v="3"/>
    <x v="1"/>
    <x v="1"/>
    <x v="1"/>
    <x v="1"/>
    <x v="2"/>
    <x v="1"/>
    <x v="2"/>
    <x v="0"/>
    <x v="2"/>
    <x v="3"/>
    <x v="4"/>
    <x v="147"/>
    <x v="5"/>
    <x v="0"/>
    <x v="0"/>
    <x v="1"/>
    <x v="0"/>
    <x v="0"/>
    <x v="0"/>
    <x v="0"/>
  </r>
  <r>
    <x v="283"/>
    <x v="153"/>
    <x v="153"/>
    <x v="151"/>
    <x v="230"/>
    <x v="1"/>
    <x v="2"/>
    <x v="159"/>
    <x v="134"/>
    <x v="1"/>
    <x v="73"/>
    <x v="0"/>
    <x v="0"/>
    <x v="1"/>
    <x v="1"/>
    <x v="3"/>
    <x v="2"/>
    <x v="1"/>
    <x v="2"/>
    <x v="1"/>
    <x v="1"/>
    <x v="61"/>
    <x v="1"/>
    <x v="1"/>
    <x v="2"/>
    <x v="152"/>
    <x v="4"/>
    <x v="3"/>
    <x v="0"/>
    <x v="1"/>
    <x v="0"/>
    <x v="172"/>
    <x v="85"/>
    <x v="0"/>
  </r>
  <r>
    <x v="284"/>
    <x v="110"/>
    <x v="109"/>
    <x v="108"/>
    <x v="231"/>
    <x v="1"/>
    <x v="2"/>
    <x v="115"/>
    <x v="108"/>
    <x v="1"/>
    <x v="15"/>
    <x v="0"/>
    <x v="0"/>
    <x v="1"/>
    <x v="3"/>
    <x v="3"/>
    <x v="2"/>
    <x v="2"/>
    <x v="2"/>
    <x v="1"/>
    <x v="1"/>
    <x v="60"/>
    <x v="1"/>
    <x v="1"/>
    <x v="2"/>
    <x v="109"/>
    <x v="5"/>
    <x v="1"/>
    <x v="1"/>
    <x v="1"/>
    <x v="0"/>
    <x v="173"/>
    <x v="0"/>
    <x v="82"/>
  </r>
  <r>
    <x v="285"/>
    <x v="46"/>
    <x v="45"/>
    <x v="45"/>
    <x v="0"/>
    <x v="1"/>
    <x v="2"/>
    <x v="48"/>
    <x v="48"/>
    <x v="1"/>
    <x v="3"/>
    <x v="0"/>
    <x v="0"/>
    <x v="3"/>
    <x v="1"/>
    <x v="1"/>
    <x v="2"/>
    <x v="1"/>
    <x v="2"/>
    <x v="1"/>
    <x v="2"/>
    <x v="0"/>
    <x v="2"/>
    <x v="3"/>
    <x v="4"/>
    <x v="45"/>
    <x v="5"/>
    <x v="0"/>
    <x v="0"/>
    <x v="1"/>
    <x v="0"/>
    <x v="0"/>
    <x v="0"/>
    <x v="0"/>
  </r>
  <r>
    <x v="286"/>
    <x v="154"/>
    <x v="154"/>
    <x v="152"/>
    <x v="232"/>
    <x v="1"/>
    <x v="3"/>
    <x v="160"/>
    <x v="114"/>
    <x v="1"/>
    <x v="15"/>
    <x v="0"/>
    <x v="0"/>
    <x v="1"/>
    <x v="1"/>
    <x v="1"/>
    <x v="2"/>
    <x v="1"/>
    <x v="2"/>
    <x v="1"/>
    <x v="2"/>
    <x v="0"/>
    <x v="1"/>
    <x v="1"/>
    <x v="2"/>
    <x v="153"/>
    <x v="5"/>
    <x v="0"/>
    <x v="0"/>
    <x v="1"/>
    <x v="0"/>
    <x v="0"/>
    <x v="0"/>
    <x v="83"/>
  </r>
  <r>
    <x v="287"/>
    <x v="149"/>
    <x v="149"/>
    <x v="147"/>
    <x v="233"/>
    <x v="3"/>
    <x v="2"/>
    <x v="154"/>
    <x v="119"/>
    <x v="1"/>
    <x v="71"/>
    <x v="0"/>
    <x v="0"/>
    <x v="3"/>
    <x v="1"/>
    <x v="1"/>
    <x v="2"/>
    <x v="1"/>
    <x v="2"/>
    <x v="1"/>
    <x v="2"/>
    <x v="0"/>
    <x v="1"/>
    <x v="3"/>
    <x v="4"/>
    <x v="148"/>
    <x v="1"/>
    <x v="0"/>
    <x v="0"/>
    <x v="1"/>
    <x v="0"/>
    <x v="0"/>
    <x v="0"/>
    <x v="0"/>
  </r>
  <r>
    <x v="288"/>
    <x v="152"/>
    <x v="152"/>
    <x v="150"/>
    <x v="234"/>
    <x v="3"/>
    <x v="2"/>
    <x v="157"/>
    <x v="114"/>
    <x v="1"/>
    <x v="74"/>
    <x v="0"/>
    <x v="0"/>
    <x v="1"/>
    <x v="1"/>
    <x v="2"/>
    <x v="2"/>
    <x v="2"/>
    <x v="2"/>
    <x v="2"/>
    <x v="2"/>
    <x v="0"/>
    <x v="1"/>
    <x v="5"/>
    <x v="2"/>
    <x v="151"/>
    <x v="5"/>
    <x v="0"/>
    <x v="0"/>
    <x v="1"/>
    <x v="0"/>
    <x v="0"/>
    <x v="86"/>
    <x v="84"/>
  </r>
  <r>
    <x v="289"/>
    <x v="150"/>
    <x v="150"/>
    <x v="148"/>
    <x v="235"/>
    <x v="1"/>
    <x v="2"/>
    <x v="155"/>
    <x v="130"/>
    <x v="1"/>
    <x v="3"/>
    <x v="0"/>
    <x v="0"/>
    <x v="3"/>
    <x v="1"/>
    <x v="1"/>
    <x v="2"/>
    <x v="1"/>
    <x v="3"/>
    <x v="1"/>
    <x v="1"/>
    <x v="62"/>
    <x v="1"/>
    <x v="3"/>
    <x v="4"/>
    <x v="149"/>
    <x v="7"/>
    <x v="1"/>
    <x v="4"/>
    <x v="2"/>
    <x v="1"/>
    <x v="0"/>
    <x v="87"/>
    <x v="85"/>
  </r>
  <r>
    <x v="290"/>
    <x v="155"/>
    <x v="155"/>
    <x v="153"/>
    <x v="236"/>
    <x v="1"/>
    <x v="1"/>
    <x v="161"/>
    <x v="135"/>
    <x v="1"/>
    <x v="75"/>
    <x v="0"/>
    <x v="0"/>
    <x v="1"/>
    <x v="1"/>
    <x v="1"/>
    <x v="2"/>
    <x v="1"/>
    <x v="2"/>
    <x v="1"/>
    <x v="2"/>
    <x v="0"/>
    <x v="1"/>
    <x v="1"/>
    <x v="2"/>
    <x v="154"/>
    <x v="5"/>
    <x v="0"/>
    <x v="0"/>
    <x v="1"/>
    <x v="0"/>
    <x v="0"/>
    <x v="0"/>
    <x v="0"/>
  </r>
  <r>
    <x v="291"/>
    <x v="156"/>
    <x v="156"/>
    <x v="154"/>
    <x v="237"/>
    <x v="1"/>
    <x v="1"/>
    <x v="162"/>
    <x v="35"/>
    <x v="1"/>
    <x v="4"/>
    <x v="0"/>
    <x v="0"/>
    <x v="1"/>
    <x v="2"/>
    <x v="3"/>
    <x v="2"/>
    <x v="1"/>
    <x v="2"/>
    <x v="1"/>
    <x v="1"/>
    <x v="61"/>
    <x v="1"/>
    <x v="1"/>
    <x v="2"/>
    <x v="155"/>
    <x v="5"/>
    <x v="1"/>
    <x v="7"/>
    <x v="1"/>
    <x v="0"/>
    <x v="174"/>
    <x v="0"/>
    <x v="0"/>
  </r>
  <r>
    <x v="292"/>
    <x v="110"/>
    <x v="109"/>
    <x v="108"/>
    <x v="0"/>
    <x v="1"/>
    <x v="2"/>
    <x v="115"/>
    <x v="136"/>
    <x v="1"/>
    <x v="15"/>
    <x v="0"/>
    <x v="0"/>
    <x v="3"/>
    <x v="4"/>
    <x v="1"/>
    <x v="2"/>
    <x v="2"/>
    <x v="2"/>
    <x v="1"/>
    <x v="2"/>
    <x v="0"/>
    <x v="2"/>
    <x v="3"/>
    <x v="4"/>
    <x v="109"/>
    <x v="5"/>
    <x v="0"/>
    <x v="0"/>
    <x v="1"/>
    <x v="0"/>
    <x v="0"/>
    <x v="0"/>
    <x v="0"/>
  </r>
  <r>
    <x v="293"/>
    <x v="69"/>
    <x v="68"/>
    <x v="67"/>
    <x v="238"/>
    <x v="3"/>
    <x v="2"/>
    <x v="72"/>
    <x v="68"/>
    <x v="1"/>
    <x v="4"/>
    <x v="0"/>
    <x v="0"/>
    <x v="1"/>
    <x v="3"/>
    <x v="2"/>
    <x v="2"/>
    <x v="1"/>
    <x v="3"/>
    <x v="1"/>
    <x v="1"/>
    <x v="61"/>
    <x v="1"/>
    <x v="1"/>
    <x v="2"/>
    <x v="67"/>
    <x v="1"/>
    <x v="3"/>
    <x v="11"/>
    <x v="1"/>
    <x v="0"/>
    <x v="175"/>
    <x v="88"/>
    <x v="0"/>
  </r>
  <r>
    <x v="294"/>
    <x v="52"/>
    <x v="51"/>
    <x v="50"/>
    <x v="239"/>
    <x v="1"/>
    <x v="1"/>
    <x v="54"/>
    <x v="54"/>
    <x v="1"/>
    <x v="76"/>
    <x v="0"/>
    <x v="0"/>
    <x v="1"/>
    <x v="3"/>
    <x v="3"/>
    <x v="2"/>
    <x v="1"/>
    <x v="2"/>
    <x v="1"/>
    <x v="1"/>
    <x v="61"/>
    <x v="1"/>
    <x v="5"/>
    <x v="2"/>
    <x v="50"/>
    <x v="7"/>
    <x v="1"/>
    <x v="4"/>
    <x v="2"/>
    <x v="1"/>
    <x v="176"/>
    <x v="89"/>
    <x v="86"/>
  </r>
  <r>
    <x v="295"/>
    <x v="156"/>
    <x v="156"/>
    <x v="154"/>
    <x v="237"/>
    <x v="1"/>
    <x v="1"/>
    <x v="162"/>
    <x v="35"/>
    <x v="1"/>
    <x v="4"/>
    <x v="0"/>
    <x v="0"/>
    <x v="3"/>
    <x v="4"/>
    <x v="1"/>
    <x v="2"/>
    <x v="1"/>
    <x v="2"/>
    <x v="1"/>
    <x v="2"/>
    <x v="0"/>
    <x v="2"/>
    <x v="3"/>
    <x v="4"/>
    <x v="155"/>
    <x v="7"/>
    <x v="0"/>
    <x v="0"/>
    <x v="1"/>
    <x v="0"/>
    <x v="0"/>
    <x v="0"/>
    <x v="0"/>
  </r>
  <r>
    <x v="296"/>
    <x v="52"/>
    <x v="51"/>
    <x v="50"/>
    <x v="240"/>
    <x v="1"/>
    <x v="2"/>
    <x v="54"/>
    <x v="54"/>
    <x v="1"/>
    <x v="72"/>
    <x v="0"/>
    <x v="0"/>
    <x v="3"/>
    <x v="1"/>
    <x v="1"/>
    <x v="2"/>
    <x v="1"/>
    <x v="3"/>
    <x v="1"/>
    <x v="2"/>
    <x v="0"/>
    <x v="1"/>
    <x v="3"/>
    <x v="4"/>
    <x v="50"/>
    <x v="1"/>
    <x v="0"/>
    <x v="0"/>
    <x v="1"/>
    <x v="0"/>
    <x v="0"/>
    <x v="0"/>
    <x v="0"/>
  </r>
  <r>
    <x v="297"/>
    <x v="157"/>
    <x v="157"/>
    <x v="155"/>
    <x v="241"/>
    <x v="3"/>
    <x v="4"/>
    <x v="163"/>
    <x v="30"/>
    <x v="1"/>
    <x v="15"/>
    <x v="0"/>
    <x v="0"/>
    <x v="1"/>
    <x v="1"/>
    <x v="1"/>
    <x v="1"/>
    <x v="1"/>
    <x v="2"/>
    <x v="1"/>
    <x v="1"/>
    <x v="63"/>
    <x v="1"/>
    <x v="1"/>
    <x v="2"/>
    <x v="156"/>
    <x v="7"/>
    <x v="1"/>
    <x v="1"/>
    <x v="1"/>
    <x v="0"/>
    <x v="177"/>
    <x v="0"/>
    <x v="87"/>
  </r>
  <r>
    <x v="298"/>
    <x v="158"/>
    <x v="158"/>
    <x v="156"/>
    <x v="242"/>
    <x v="1"/>
    <x v="2"/>
    <x v="164"/>
    <x v="137"/>
    <x v="1"/>
    <x v="31"/>
    <x v="0"/>
    <x v="0"/>
    <x v="1"/>
    <x v="1"/>
    <x v="1"/>
    <x v="2"/>
    <x v="1"/>
    <x v="2"/>
    <x v="2"/>
    <x v="1"/>
    <x v="63"/>
    <x v="1"/>
    <x v="6"/>
    <x v="2"/>
    <x v="157"/>
    <x v="5"/>
    <x v="1"/>
    <x v="8"/>
    <x v="2"/>
    <x v="1"/>
    <x v="178"/>
    <x v="0"/>
    <x v="88"/>
  </r>
  <r>
    <x v="299"/>
    <x v="157"/>
    <x v="157"/>
    <x v="155"/>
    <x v="0"/>
    <x v="3"/>
    <x v="4"/>
    <x v="163"/>
    <x v="30"/>
    <x v="1"/>
    <x v="15"/>
    <x v="0"/>
    <x v="0"/>
    <x v="3"/>
    <x v="3"/>
    <x v="3"/>
    <x v="2"/>
    <x v="1"/>
    <x v="2"/>
    <x v="1"/>
    <x v="1"/>
    <x v="62"/>
    <x v="2"/>
    <x v="3"/>
    <x v="4"/>
    <x v="156"/>
    <x v="5"/>
    <x v="3"/>
    <x v="0"/>
    <x v="1"/>
    <x v="0"/>
    <x v="179"/>
    <x v="0"/>
    <x v="0"/>
  </r>
  <r>
    <x v="300"/>
    <x v="158"/>
    <x v="158"/>
    <x v="156"/>
    <x v="243"/>
    <x v="1"/>
    <x v="2"/>
    <x v="164"/>
    <x v="137"/>
    <x v="1"/>
    <x v="31"/>
    <x v="0"/>
    <x v="0"/>
    <x v="3"/>
    <x v="1"/>
    <x v="1"/>
    <x v="2"/>
    <x v="1"/>
    <x v="2"/>
    <x v="2"/>
    <x v="2"/>
    <x v="0"/>
    <x v="1"/>
    <x v="3"/>
    <x v="4"/>
    <x v="157"/>
    <x v="8"/>
    <x v="0"/>
    <x v="0"/>
    <x v="1"/>
    <x v="0"/>
    <x v="0"/>
    <x v="0"/>
    <x v="0"/>
  </r>
  <r>
    <x v="301"/>
    <x v="46"/>
    <x v="45"/>
    <x v="45"/>
    <x v="244"/>
    <x v="1"/>
    <x v="2"/>
    <x v="48"/>
    <x v="48"/>
    <x v="1"/>
    <x v="70"/>
    <x v="0"/>
    <x v="0"/>
    <x v="1"/>
    <x v="1"/>
    <x v="1"/>
    <x v="2"/>
    <x v="1"/>
    <x v="2"/>
    <x v="1"/>
    <x v="2"/>
    <x v="0"/>
    <x v="1"/>
    <x v="6"/>
    <x v="2"/>
    <x v="45"/>
    <x v="8"/>
    <x v="0"/>
    <x v="0"/>
    <x v="1"/>
    <x v="0"/>
    <x v="0"/>
    <x v="0"/>
    <x v="89"/>
  </r>
  <r>
    <x v="302"/>
    <x v="150"/>
    <x v="150"/>
    <x v="148"/>
    <x v="245"/>
    <x v="1"/>
    <x v="2"/>
    <x v="155"/>
    <x v="130"/>
    <x v="1"/>
    <x v="3"/>
    <x v="0"/>
    <x v="0"/>
    <x v="3"/>
    <x v="1"/>
    <x v="1"/>
    <x v="2"/>
    <x v="1"/>
    <x v="3"/>
    <x v="1"/>
    <x v="2"/>
    <x v="0"/>
    <x v="1"/>
    <x v="3"/>
    <x v="4"/>
    <x v="149"/>
    <x v="1"/>
    <x v="0"/>
    <x v="0"/>
    <x v="1"/>
    <x v="0"/>
    <x v="0"/>
    <x v="0"/>
    <x v="0"/>
  </r>
  <r>
    <x v="303"/>
    <x v="159"/>
    <x v="159"/>
    <x v="157"/>
    <x v="246"/>
    <x v="1"/>
    <x v="2"/>
    <x v="165"/>
    <x v="95"/>
    <x v="1"/>
    <x v="77"/>
    <x v="0"/>
    <x v="0"/>
    <x v="1"/>
    <x v="1"/>
    <x v="1"/>
    <x v="2"/>
    <x v="1"/>
    <x v="2"/>
    <x v="1"/>
    <x v="2"/>
    <x v="0"/>
    <x v="1"/>
    <x v="4"/>
    <x v="2"/>
    <x v="158"/>
    <x v="7"/>
    <x v="0"/>
    <x v="0"/>
    <x v="1"/>
    <x v="0"/>
    <x v="0"/>
    <x v="0"/>
    <x v="0"/>
  </r>
  <r>
    <x v="304"/>
    <x v="160"/>
    <x v="160"/>
    <x v="158"/>
    <x v="247"/>
    <x v="1"/>
    <x v="1"/>
    <x v="166"/>
    <x v="138"/>
    <x v="1"/>
    <x v="78"/>
    <x v="0"/>
    <x v="0"/>
    <x v="1"/>
    <x v="5"/>
    <x v="1"/>
    <x v="2"/>
    <x v="1"/>
    <x v="3"/>
    <x v="2"/>
    <x v="1"/>
    <x v="64"/>
    <x v="1"/>
    <x v="1"/>
    <x v="13"/>
    <x v="159"/>
    <x v="4"/>
    <x v="1"/>
    <x v="1"/>
    <x v="1"/>
    <x v="0"/>
    <x v="180"/>
    <x v="0"/>
    <x v="90"/>
  </r>
  <r>
    <x v="305"/>
    <x v="161"/>
    <x v="161"/>
    <x v="159"/>
    <x v="248"/>
    <x v="3"/>
    <x v="2"/>
    <x v="167"/>
    <x v="139"/>
    <x v="1"/>
    <x v="22"/>
    <x v="0"/>
    <x v="0"/>
    <x v="1"/>
    <x v="1"/>
    <x v="3"/>
    <x v="2"/>
    <x v="1"/>
    <x v="2"/>
    <x v="1"/>
    <x v="1"/>
    <x v="65"/>
    <x v="1"/>
    <x v="1"/>
    <x v="2"/>
    <x v="160"/>
    <x v="4"/>
    <x v="1"/>
    <x v="4"/>
    <x v="1"/>
    <x v="0"/>
    <x v="181"/>
    <x v="0"/>
    <x v="91"/>
  </r>
  <r>
    <x v="306"/>
    <x v="162"/>
    <x v="162"/>
    <x v="160"/>
    <x v="249"/>
    <x v="1"/>
    <x v="2"/>
    <x v="168"/>
    <x v="140"/>
    <x v="1"/>
    <x v="15"/>
    <x v="0"/>
    <x v="0"/>
    <x v="1"/>
    <x v="1"/>
    <x v="2"/>
    <x v="2"/>
    <x v="1"/>
    <x v="2"/>
    <x v="1"/>
    <x v="1"/>
    <x v="65"/>
    <x v="1"/>
    <x v="1"/>
    <x v="2"/>
    <x v="161"/>
    <x v="4"/>
    <x v="1"/>
    <x v="4"/>
    <x v="2"/>
    <x v="1"/>
    <x v="182"/>
    <x v="0"/>
    <x v="92"/>
  </r>
  <r>
    <x v="307"/>
    <x v="163"/>
    <x v="163"/>
    <x v="161"/>
    <x v="250"/>
    <x v="1"/>
    <x v="2"/>
    <x v="169"/>
    <x v="141"/>
    <x v="2"/>
    <x v="0"/>
    <x v="6"/>
    <x v="0"/>
    <x v="1"/>
    <x v="2"/>
    <x v="3"/>
    <x v="2"/>
    <x v="1"/>
    <x v="2"/>
    <x v="1"/>
    <x v="1"/>
    <x v="65"/>
    <x v="1"/>
    <x v="1"/>
    <x v="2"/>
    <x v="162"/>
    <x v="1"/>
    <x v="1"/>
    <x v="4"/>
    <x v="2"/>
    <x v="1"/>
    <x v="183"/>
    <x v="90"/>
    <x v="93"/>
  </r>
  <r>
    <x v="308"/>
    <x v="164"/>
    <x v="164"/>
    <x v="162"/>
    <x v="251"/>
    <x v="1"/>
    <x v="2"/>
    <x v="170"/>
    <x v="142"/>
    <x v="1"/>
    <x v="79"/>
    <x v="0"/>
    <x v="0"/>
    <x v="1"/>
    <x v="1"/>
    <x v="1"/>
    <x v="2"/>
    <x v="1"/>
    <x v="2"/>
    <x v="1"/>
    <x v="1"/>
    <x v="65"/>
    <x v="1"/>
    <x v="1"/>
    <x v="2"/>
    <x v="163"/>
    <x v="3"/>
    <x v="1"/>
    <x v="3"/>
    <x v="2"/>
    <x v="1"/>
    <x v="184"/>
    <x v="0"/>
    <x v="94"/>
  </r>
  <r>
    <x v="309"/>
    <x v="161"/>
    <x v="161"/>
    <x v="159"/>
    <x v="0"/>
    <x v="3"/>
    <x v="2"/>
    <x v="167"/>
    <x v="143"/>
    <x v="2"/>
    <x v="0"/>
    <x v="5"/>
    <x v="0"/>
    <x v="3"/>
    <x v="4"/>
    <x v="1"/>
    <x v="2"/>
    <x v="1"/>
    <x v="2"/>
    <x v="1"/>
    <x v="2"/>
    <x v="0"/>
    <x v="2"/>
    <x v="3"/>
    <x v="4"/>
    <x v="160"/>
    <x v="1"/>
    <x v="0"/>
    <x v="0"/>
    <x v="1"/>
    <x v="0"/>
    <x v="0"/>
    <x v="0"/>
    <x v="0"/>
  </r>
  <r>
    <x v="310"/>
    <x v="162"/>
    <x v="162"/>
    <x v="160"/>
    <x v="252"/>
    <x v="1"/>
    <x v="2"/>
    <x v="171"/>
    <x v="140"/>
    <x v="1"/>
    <x v="22"/>
    <x v="0"/>
    <x v="0"/>
    <x v="3"/>
    <x v="1"/>
    <x v="1"/>
    <x v="2"/>
    <x v="1"/>
    <x v="2"/>
    <x v="1"/>
    <x v="1"/>
    <x v="66"/>
    <x v="1"/>
    <x v="3"/>
    <x v="4"/>
    <x v="161"/>
    <x v="1"/>
    <x v="1"/>
    <x v="4"/>
    <x v="2"/>
    <x v="1"/>
    <x v="185"/>
    <x v="91"/>
    <x v="95"/>
  </r>
  <r>
    <x v="311"/>
    <x v="162"/>
    <x v="162"/>
    <x v="160"/>
    <x v="249"/>
    <x v="1"/>
    <x v="2"/>
    <x v="168"/>
    <x v="140"/>
    <x v="1"/>
    <x v="22"/>
    <x v="0"/>
    <x v="0"/>
    <x v="1"/>
    <x v="1"/>
    <x v="2"/>
    <x v="2"/>
    <x v="1"/>
    <x v="3"/>
    <x v="1"/>
    <x v="2"/>
    <x v="0"/>
    <x v="1"/>
    <x v="1"/>
    <x v="2"/>
    <x v="161"/>
    <x v="1"/>
    <x v="0"/>
    <x v="0"/>
    <x v="1"/>
    <x v="0"/>
    <x v="0"/>
    <x v="0"/>
    <x v="96"/>
  </r>
  <r>
    <x v="312"/>
    <x v="165"/>
    <x v="165"/>
    <x v="163"/>
    <x v="253"/>
    <x v="2"/>
    <x v="1"/>
    <x v="172"/>
    <x v="71"/>
    <x v="1"/>
    <x v="9"/>
    <x v="0"/>
    <x v="0"/>
    <x v="1"/>
    <x v="2"/>
    <x v="3"/>
    <x v="2"/>
    <x v="1"/>
    <x v="1"/>
    <x v="1"/>
    <x v="1"/>
    <x v="64"/>
    <x v="1"/>
    <x v="1"/>
    <x v="2"/>
    <x v="164"/>
    <x v="3"/>
    <x v="1"/>
    <x v="1"/>
    <x v="1"/>
    <x v="0"/>
    <x v="186"/>
    <x v="0"/>
    <x v="97"/>
  </r>
  <r>
    <x v="313"/>
    <x v="163"/>
    <x v="163"/>
    <x v="161"/>
    <x v="254"/>
    <x v="1"/>
    <x v="2"/>
    <x v="169"/>
    <x v="141"/>
    <x v="1"/>
    <x v="15"/>
    <x v="0"/>
    <x v="0"/>
    <x v="3"/>
    <x v="1"/>
    <x v="1"/>
    <x v="2"/>
    <x v="1"/>
    <x v="2"/>
    <x v="1"/>
    <x v="2"/>
    <x v="0"/>
    <x v="1"/>
    <x v="3"/>
    <x v="4"/>
    <x v="162"/>
    <x v="1"/>
    <x v="0"/>
    <x v="0"/>
    <x v="1"/>
    <x v="0"/>
    <x v="0"/>
    <x v="0"/>
    <x v="0"/>
  </r>
  <r>
    <x v="314"/>
    <x v="164"/>
    <x v="164"/>
    <x v="162"/>
    <x v="255"/>
    <x v="1"/>
    <x v="2"/>
    <x v="173"/>
    <x v="144"/>
    <x v="1"/>
    <x v="79"/>
    <x v="0"/>
    <x v="0"/>
    <x v="3"/>
    <x v="1"/>
    <x v="1"/>
    <x v="2"/>
    <x v="1"/>
    <x v="2"/>
    <x v="1"/>
    <x v="2"/>
    <x v="0"/>
    <x v="2"/>
    <x v="3"/>
    <x v="4"/>
    <x v="163"/>
    <x v="3"/>
    <x v="0"/>
    <x v="0"/>
    <x v="1"/>
    <x v="0"/>
    <x v="0"/>
    <x v="0"/>
    <x v="0"/>
  </r>
  <r>
    <x v="315"/>
    <x v="166"/>
    <x v="166"/>
    <x v="164"/>
    <x v="256"/>
    <x v="1"/>
    <x v="2"/>
    <x v="174"/>
    <x v="145"/>
    <x v="1"/>
    <x v="2"/>
    <x v="0"/>
    <x v="0"/>
    <x v="1"/>
    <x v="1"/>
    <x v="1"/>
    <x v="2"/>
    <x v="1"/>
    <x v="1"/>
    <x v="1"/>
    <x v="2"/>
    <x v="0"/>
    <x v="1"/>
    <x v="1"/>
    <x v="5"/>
    <x v="165"/>
    <x v="3"/>
    <x v="0"/>
    <x v="0"/>
    <x v="1"/>
    <x v="0"/>
    <x v="0"/>
    <x v="0"/>
    <x v="0"/>
  </r>
  <r>
    <x v="316"/>
    <x v="78"/>
    <x v="77"/>
    <x v="76"/>
    <x v="257"/>
    <x v="1"/>
    <x v="2"/>
    <x v="81"/>
    <x v="78"/>
    <x v="1"/>
    <x v="2"/>
    <x v="0"/>
    <x v="0"/>
    <x v="1"/>
    <x v="3"/>
    <x v="3"/>
    <x v="2"/>
    <x v="1"/>
    <x v="2"/>
    <x v="1"/>
    <x v="1"/>
    <x v="64"/>
    <x v="1"/>
    <x v="1"/>
    <x v="2"/>
    <x v="76"/>
    <x v="1"/>
    <x v="1"/>
    <x v="4"/>
    <x v="2"/>
    <x v="1"/>
    <x v="187"/>
    <x v="0"/>
    <x v="98"/>
  </r>
  <r>
    <x v="317"/>
    <x v="167"/>
    <x v="167"/>
    <x v="165"/>
    <x v="258"/>
    <x v="1"/>
    <x v="2"/>
    <x v="175"/>
    <x v="10"/>
    <x v="1"/>
    <x v="15"/>
    <x v="0"/>
    <x v="0"/>
    <x v="1"/>
    <x v="3"/>
    <x v="2"/>
    <x v="2"/>
    <x v="1"/>
    <x v="1"/>
    <x v="1"/>
    <x v="1"/>
    <x v="67"/>
    <x v="1"/>
    <x v="1"/>
    <x v="1"/>
    <x v="166"/>
    <x v="1"/>
    <x v="3"/>
    <x v="0"/>
    <x v="1"/>
    <x v="0"/>
    <x v="188"/>
    <x v="92"/>
    <x v="0"/>
  </r>
  <r>
    <x v="318"/>
    <x v="141"/>
    <x v="141"/>
    <x v="139"/>
    <x v="259"/>
    <x v="1"/>
    <x v="1"/>
    <x v="145"/>
    <x v="125"/>
    <x v="1"/>
    <x v="3"/>
    <x v="0"/>
    <x v="0"/>
    <x v="1"/>
    <x v="3"/>
    <x v="2"/>
    <x v="2"/>
    <x v="2"/>
    <x v="2"/>
    <x v="1"/>
    <x v="1"/>
    <x v="66"/>
    <x v="1"/>
    <x v="1"/>
    <x v="2"/>
    <x v="140"/>
    <x v="5"/>
    <x v="1"/>
    <x v="1"/>
    <x v="2"/>
    <x v="1"/>
    <x v="189"/>
    <x v="0"/>
    <x v="0"/>
  </r>
  <r>
    <x v="319"/>
    <x v="165"/>
    <x v="165"/>
    <x v="163"/>
    <x v="0"/>
    <x v="2"/>
    <x v="1"/>
    <x v="172"/>
    <x v="71"/>
    <x v="1"/>
    <x v="9"/>
    <x v="0"/>
    <x v="0"/>
    <x v="3"/>
    <x v="1"/>
    <x v="1"/>
    <x v="1"/>
    <x v="1"/>
    <x v="2"/>
    <x v="1"/>
    <x v="2"/>
    <x v="0"/>
    <x v="2"/>
    <x v="3"/>
    <x v="4"/>
    <x v="164"/>
    <x v="5"/>
    <x v="0"/>
    <x v="0"/>
    <x v="1"/>
    <x v="0"/>
    <x v="0"/>
    <x v="0"/>
    <x v="0"/>
  </r>
  <r>
    <x v="320"/>
    <x v="78"/>
    <x v="77"/>
    <x v="76"/>
    <x v="260"/>
    <x v="1"/>
    <x v="2"/>
    <x v="81"/>
    <x v="30"/>
    <x v="1"/>
    <x v="2"/>
    <x v="0"/>
    <x v="0"/>
    <x v="3"/>
    <x v="3"/>
    <x v="2"/>
    <x v="2"/>
    <x v="1"/>
    <x v="2"/>
    <x v="1"/>
    <x v="1"/>
    <x v="66"/>
    <x v="1"/>
    <x v="3"/>
    <x v="4"/>
    <x v="76"/>
    <x v="1"/>
    <x v="3"/>
    <x v="0"/>
    <x v="1"/>
    <x v="0"/>
    <x v="190"/>
    <x v="0"/>
    <x v="99"/>
  </r>
  <r>
    <x v="321"/>
    <x v="160"/>
    <x v="160"/>
    <x v="158"/>
    <x v="0"/>
    <x v="1"/>
    <x v="1"/>
    <x v="166"/>
    <x v="10"/>
    <x v="1"/>
    <x v="80"/>
    <x v="0"/>
    <x v="0"/>
    <x v="3"/>
    <x v="1"/>
    <x v="2"/>
    <x v="2"/>
    <x v="1"/>
    <x v="1"/>
    <x v="1"/>
    <x v="1"/>
    <x v="67"/>
    <x v="2"/>
    <x v="3"/>
    <x v="4"/>
    <x v="159"/>
    <x v="5"/>
    <x v="1"/>
    <x v="7"/>
    <x v="2"/>
    <x v="1"/>
    <x v="191"/>
    <x v="0"/>
    <x v="0"/>
  </r>
  <r>
    <x v="322"/>
    <x v="168"/>
    <x v="168"/>
    <x v="166"/>
    <x v="261"/>
    <x v="1"/>
    <x v="3"/>
    <x v="176"/>
    <x v="146"/>
    <x v="1"/>
    <x v="3"/>
    <x v="0"/>
    <x v="0"/>
    <x v="1"/>
    <x v="1"/>
    <x v="1"/>
    <x v="2"/>
    <x v="1"/>
    <x v="2"/>
    <x v="1"/>
    <x v="1"/>
    <x v="66"/>
    <x v="1"/>
    <x v="2"/>
    <x v="2"/>
    <x v="167"/>
    <x v="5"/>
    <x v="1"/>
    <x v="2"/>
    <x v="2"/>
    <x v="1"/>
    <x v="192"/>
    <x v="0"/>
    <x v="0"/>
  </r>
  <r>
    <x v="323"/>
    <x v="169"/>
    <x v="169"/>
    <x v="167"/>
    <x v="262"/>
    <x v="1"/>
    <x v="2"/>
    <x v="177"/>
    <x v="147"/>
    <x v="1"/>
    <x v="15"/>
    <x v="0"/>
    <x v="0"/>
    <x v="1"/>
    <x v="1"/>
    <x v="1"/>
    <x v="2"/>
    <x v="1"/>
    <x v="2"/>
    <x v="1"/>
    <x v="2"/>
    <x v="0"/>
    <x v="2"/>
    <x v="2"/>
    <x v="2"/>
    <x v="168"/>
    <x v="5"/>
    <x v="0"/>
    <x v="0"/>
    <x v="1"/>
    <x v="0"/>
    <x v="0"/>
    <x v="0"/>
    <x v="0"/>
  </r>
  <r>
    <x v="324"/>
    <x v="168"/>
    <x v="168"/>
    <x v="166"/>
    <x v="263"/>
    <x v="1"/>
    <x v="3"/>
    <x v="178"/>
    <x v="146"/>
    <x v="1"/>
    <x v="3"/>
    <x v="0"/>
    <x v="0"/>
    <x v="3"/>
    <x v="1"/>
    <x v="1"/>
    <x v="1"/>
    <x v="1"/>
    <x v="2"/>
    <x v="1"/>
    <x v="1"/>
    <x v="68"/>
    <x v="1"/>
    <x v="3"/>
    <x v="4"/>
    <x v="167"/>
    <x v="4"/>
    <x v="3"/>
    <x v="0"/>
    <x v="1"/>
    <x v="0"/>
    <x v="193"/>
    <x v="93"/>
    <x v="0"/>
  </r>
  <r>
    <x v="325"/>
    <x v="141"/>
    <x v="141"/>
    <x v="139"/>
    <x v="264"/>
    <x v="1"/>
    <x v="1"/>
    <x v="145"/>
    <x v="125"/>
    <x v="1"/>
    <x v="3"/>
    <x v="0"/>
    <x v="0"/>
    <x v="3"/>
    <x v="3"/>
    <x v="3"/>
    <x v="2"/>
    <x v="2"/>
    <x v="2"/>
    <x v="1"/>
    <x v="1"/>
    <x v="69"/>
    <x v="1"/>
    <x v="3"/>
    <x v="4"/>
    <x v="140"/>
    <x v="5"/>
    <x v="3"/>
    <x v="0"/>
    <x v="1"/>
    <x v="0"/>
    <x v="194"/>
    <x v="0"/>
    <x v="0"/>
  </r>
  <r>
    <x v="326"/>
    <x v="162"/>
    <x v="162"/>
    <x v="160"/>
    <x v="265"/>
    <x v="1"/>
    <x v="2"/>
    <x v="168"/>
    <x v="33"/>
    <x v="1"/>
    <x v="22"/>
    <x v="0"/>
    <x v="0"/>
    <x v="3"/>
    <x v="1"/>
    <x v="1"/>
    <x v="2"/>
    <x v="1"/>
    <x v="3"/>
    <x v="1"/>
    <x v="1"/>
    <x v="70"/>
    <x v="1"/>
    <x v="3"/>
    <x v="4"/>
    <x v="161"/>
    <x v="1"/>
    <x v="3"/>
    <x v="0"/>
    <x v="1"/>
    <x v="0"/>
    <x v="195"/>
    <x v="94"/>
    <x v="0"/>
  </r>
  <r>
    <x v="327"/>
    <x v="170"/>
    <x v="170"/>
    <x v="168"/>
    <x v="266"/>
    <x v="1"/>
    <x v="2"/>
    <x v="179"/>
    <x v="145"/>
    <x v="1"/>
    <x v="3"/>
    <x v="0"/>
    <x v="0"/>
    <x v="1"/>
    <x v="3"/>
    <x v="2"/>
    <x v="2"/>
    <x v="1"/>
    <x v="1"/>
    <x v="1"/>
    <x v="1"/>
    <x v="69"/>
    <x v="1"/>
    <x v="1"/>
    <x v="2"/>
    <x v="169"/>
    <x v="1"/>
    <x v="3"/>
    <x v="0"/>
    <x v="1"/>
    <x v="0"/>
    <x v="196"/>
    <x v="0"/>
    <x v="100"/>
  </r>
  <r>
    <x v="328"/>
    <x v="171"/>
    <x v="171"/>
    <x v="169"/>
    <x v="267"/>
    <x v="1"/>
    <x v="3"/>
    <x v="180"/>
    <x v="148"/>
    <x v="1"/>
    <x v="81"/>
    <x v="0"/>
    <x v="0"/>
    <x v="1"/>
    <x v="5"/>
    <x v="1"/>
    <x v="2"/>
    <x v="1"/>
    <x v="3"/>
    <x v="1"/>
    <x v="1"/>
    <x v="69"/>
    <x v="2"/>
    <x v="1"/>
    <x v="13"/>
    <x v="170"/>
    <x v="4"/>
    <x v="1"/>
    <x v="1"/>
    <x v="1"/>
    <x v="0"/>
    <x v="197"/>
    <x v="0"/>
    <x v="0"/>
  </r>
  <r>
    <x v="329"/>
    <x v="172"/>
    <x v="172"/>
    <x v="170"/>
    <x v="268"/>
    <x v="1"/>
    <x v="2"/>
    <x v="181"/>
    <x v="37"/>
    <x v="1"/>
    <x v="2"/>
    <x v="0"/>
    <x v="0"/>
    <x v="1"/>
    <x v="1"/>
    <x v="1"/>
    <x v="2"/>
    <x v="1"/>
    <x v="2"/>
    <x v="1"/>
    <x v="1"/>
    <x v="67"/>
    <x v="1"/>
    <x v="5"/>
    <x v="2"/>
    <x v="171"/>
    <x v="5"/>
    <x v="1"/>
    <x v="4"/>
    <x v="1"/>
    <x v="0"/>
    <x v="198"/>
    <x v="0"/>
    <x v="0"/>
  </r>
  <r>
    <x v="330"/>
    <x v="173"/>
    <x v="56"/>
    <x v="55"/>
    <x v="269"/>
    <x v="3"/>
    <x v="2"/>
    <x v="60"/>
    <x v="30"/>
    <x v="1"/>
    <x v="82"/>
    <x v="0"/>
    <x v="0"/>
    <x v="1"/>
    <x v="1"/>
    <x v="1"/>
    <x v="2"/>
    <x v="1"/>
    <x v="2"/>
    <x v="1"/>
    <x v="2"/>
    <x v="0"/>
    <x v="1"/>
    <x v="5"/>
    <x v="2"/>
    <x v="55"/>
    <x v="5"/>
    <x v="0"/>
    <x v="0"/>
    <x v="1"/>
    <x v="0"/>
    <x v="0"/>
    <x v="0"/>
    <x v="0"/>
  </r>
  <r>
    <x v="331"/>
    <x v="172"/>
    <x v="172"/>
    <x v="170"/>
    <x v="0"/>
    <x v="1"/>
    <x v="2"/>
    <x v="182"/>
    <x v="37"/>
    <x v="1"/>
    <x v="2"/>
    <x v="0"/>
    <x v="0"/>
    <x v="3"/>
    <x v="1"/>
    <x v="1"/>
    <x v="2"/>
    <x v="1"/>
    <x v="2"/>
    <x v="1"/>
    <x v="2"/>
    <x v="0"/>
    <x v="2"/>
    <x v="3"/>
    <x v="4"/>
    <x v="171"/>
    <x v="1"/>
    <x v="0"/>
    <x v="0"/>
    <x v="1"/>
    <x v="0"/>
    <x v="0"/>
    <x v="0"/>
    <x v="0"/>
  </r>
  <r>
    <x v="332"/>
    <x v="160"/>
    <x v="160"/>
    <x v="158"/>
    <x v="270"/>
    <x v="1"/>
    <x v="1"/>
    <x v="166"/>
    <x v="149"/>
    <x v="1"/>
    <x v="80"/>
    <x v="0"/>
    <x v="0"/>
    <x v="3"/>
    <x v="1"/>
    <x v="1"/>
    <x v="2"/>
    <x v="1"/>
    <x v="2"/>
    <x v="1"/>
    <x v="2"/>
    <x v="0"/>
    <x v="1"/>
    <x v="3"/>
    <x v="4"/>
    <x v="159"/>
    <x v="7"/>
    <x v="0"/>
    <x v="0"/>
    <x v="1"/>
    <x v="0"/>
    <x v="0"/>
    <x v="0"/>
    <x v="0"/>
  </r>
  <r>
    <x v="333"/>
    <x v="174"/>
    <x v="173"/>
    <x v="171"/>
    <x v="271"/>
    <x v="1"/>
    <x v="1"/>
    <x v="183"/>
    <x v="150"/>
    <x v="1"/>
    <x v="22"/>
    <x v="0"/>
    <x v="0"/>
    <x v="1"/>
    <x v="3"/>
    <x v="3"/>
    <x v="2"/>
    <x v="1"/>
    <x v="1"/>
    <x v="1"/>
    <x v="1"/>
    <x v="69"/>
    <x v="1"/>
    <x v="1"/>
    <x v="2"/>
    <x v="172"/>
    <x v="7"/>
    <x v="1"/>
    <x v="1"/>
    <x v="1"/>
    <x v="0"/>
    <x v="199"/>
    <x v="0"/>
    <x v="101"/>
  </r>
  <r>
    <x v="334"/>
    <x v="175"/>
    <x v="174"/>
    <x v="172"/>
    <x v="272"/>
    <x v="1"/>
    <x v="2"/>
    <x v="184"/>
    <x v="91"/>
    <x v="1"/>
    <x v="15"/>
    <x v="0"/>
    <x v="0"/>
    <x v="1"/>
    <x v="3"/>
    <x v="3"/>
    <x v="2"/>
    <x v="1"/>
    <x v="2"/>
    <x v="1"/>
    <x v="1"/>
    <x v="69"/>
    <x v="1"/>
    <x v="1"/>
    <x v="2"/>
    <x v="173"/>
    <x v="11"/>
    <x v="3"/>
    <x v="0"/>
    <x v="1"/>
    <x v="0"/>
    <x v="200"/>
    <x v="0"/>
    <x v="0"/>
  </r>
  <r>
    <x v="335"/>
    <x v="174"/>
    <x v="173"/>
    <x v="171"/>
    <x v="0"/>
    <x v="1"/>
    <x v="1"/>
    <x v="183"/>
    <x v="150"/>
    <x v="1"/>
    <x v="22"/>
    <x v="0"/>
    <x v="0"/>
    <x v="3"/>
    <x v="1"/>
    <x v="1"/>
    <x v="2"/>
    <x v="1"/>
    <x v="2"/>
    <x v="1"/>
    <x v="2"/>
    <x v="0"/>
    <x v="2"/>
    <x v="3"/>
    <x v="4"/>
    <x v="172"/>
    <x v="5"/>
    <x v="0"/>
    <x v="0"/>
    <x v="1"/>
    <x v="0"/>
    <x v="0"/>
    <x v="0"/>
    <x v="0"/>
  </r>
  <r>
    <x v="336"/>
    <x v="160"/>
    <x v="160"/>
    <x v="158"/>
    <x v="273"/>
    <x v="1"/>
    <x v="1"/>
    <x v="166"/>
    <x v="10"/>
    <x v="1"/>
    <x v="31"/>
    <x v="0"/>
    <x v="0"/>
    <x v="1"/>
    <x v="2"/>
    <x v="3"/>
    <x v="2"/>
    <x v="1"/>
    <x v="2"/>
    <x v="1"/>
    <x v="1"/>
    <x v="71"/>
    <x v="1"/>
    <x v="6"/>
    <x v="2"/>
    <x v="159"/>
    <x v="5"/>
    <x v="1"/>
    <x v="7"/>
    <x v="1"/>
    <x v="0"/>
    <x v="201"/>
    <x v="0"/>
    <x v="0"/>
  </r>
  <r>
    <x v="337"/>
    <x v="171"/>
    <x v="171"/>
    <x v="169"/>
    <x v="274"/>
    <x v="1"/>
    <x v="3"/>
    <x v="180"/>
    <x v="151"/>
    <x v="1"/>
    <x v="31"/>
    <x v="0"/>
    <x v="0"/>
    <x v="3"/>
    <x v="3"/>
    <x v="3"/>
    <x v="2"/>
    <x v="1"/>
    <x v="2"/>
    <x v="1"/>
    <x v="1"/>
    <x v="71"/>
    <x v="1"/>
    <x v="6"/>
    <x v="2"/>
    <x v="170"/>
    <x v="5"/>
    <x v="3"/>
    <x v="0"/>
    <x v="1"/>
    <x v="0"/>
    <x v="202"/>
    <x v="95"/>
    <x v="0"/>
  </r>
  <r>
    <x v="338"/>
    <x v="152"/>
    <x v="152"/>
    <x v="150"/>
    <x v="275"/>
    <x v="3"/>
    <x v="2"/>
    <x v="157"/>
    <x v="114"/>
    <x v="1"/>
    <x v="36"/>
    <x v="0"/>
    <x v="0"/>
    <x v="1"/>
    <x v="1"/>
    <x v="1"/>
    <x v="2"/>
    <x v="2"/>
    <x v="1"/>
    <x v="1"/>
    <x v="2"/>
    <x v="0"/>
    <x v="1"/>
    <x v="6"/>
    <x v="2"/>
    <x v="151"/>
    <x v="5"/>
    <x v="0"/>
    <x v="0"/>
    <x v="1"/>
    <x v="0"/>
    <x v="0"/>
    <x v="0"/>
    <x v="102"/>
  </r>
  <r>
    <x v="339"/>
    <x v="176"/>
    <x v="175"/>
    <x v="173"/>
    <x v="276"/>
    <x v="1"/>
    <x v="1"/>
    <x v="185"/>
    <x v="152"/>
    <x v="1"/>
    <x v="31"/>
    <x v="0"/>
    <x v="0"/>
    <x v="1"/>
    <x v="1"/>
    <x v="1"/>
    <x v="2"/>
    <x v="1"/>
    <x v="2"/>
    <x v="1"/>
    <x v="1"/>
    <x v="68"/>
    <x v="1"/>
    <x v="6"/>
    <x v="2"/>
    <x v="174"/>
    <x v="7"/>
    <x v="1"/>
    <x v="4"/>
    <x v="2"/>
    <x v="1"/>
    <x v="203"/>
    <x v="0"/>
    <x v="0"/>
  </r>
  <r>
    <x v="340"/>
    <x v="111"/>
    <x v="110"/>
    <x v="109"/>
    <x v="277"/>
    <x v="1"/>
    <x v="2"/>
    <x v="116"/>
    <x v="81"/>
    <x v="1"/>
    <x v="24"/>
    <x v="0"/>
    <x v="0"/>
    <x v="1"/>
    <x v="2"/>
    <x v="3"/>
    <x v="2"/>
    <x v="1"/>
    <x v="2"/>
    <x v="1"/>
    <x v="1"/>
    <x v="71"/>
    <x v="1"/>
    <x v="6"/>
    <x v="2"/>
    <x v="110"/>
    <x v="9"/>
    <x v="1"/>
    <x v="1"/>
    <x v="1"/>
    <x v="0"/>
    <x v="204"/>
    <x v="96"/>
    <x v="103"/>
  </r>
  <r>
    <x v="341"/>
    <x v="177"/>
    <x v="160"/>
    <x v="158"/>
    <x v="0"/>
    <x v="1"/>
    <x v="1"/>
    <x v="166"/>
    <x v="10"/>
    <x v="1"/>
    <x v="31"/>
    <x v="0"/>
    <x v="0"/>
    <x v="3"/>
    <x v="4"/>
    <x v="1"/>
    <x v="2"/>
    <x v="1"/>
    <x v="2"/>
    <x v="1"/>
    <x v="2"/>
    <x v="0"/>
    <x v="2"/>
    <x v="3"/>
    <x v="4"/>
    <x v="159"/>
    <x v="7"/>
    <x v="0"/>
    <x v="0"/>
    <x v="1"/>
    <x v="0"/>
    <x v="0"/>
    <x v="0"/>
    <x v="0"/>
  </r>
  <r>
    <x v="342"/>
    <x v="178"/>
    <x v="176"/>
    <x v="174"/>
    <x v="278"/>
    <x v="3"/>
    <x v="2"/>
    <x v="186"/>
    <x v="153"/>
    <x v="1"/>
    <x v="15"/>
    <x v="0"/>
    <x v="0"/>
    <x v="1"/>
    <x v="1"/>
    <x v="1"/>
    <x v="2"/>
    <x v="1"/>
    <x v="2"/>
    <x v="1"/>
    <x v="1"/>
    <x v="68"/>
    <x v="1"/>
    <x v="6"/>
    <x v="2"/>
    <x v="175"/>
    <x v="9"/>
    <x v="3"/>
    <x v="0"/>
    <x v="1"/>
    <x v="0"/>
    <x v="205"/>
    <x v="97"/>
    <x v="0"/>
  </r>
  <r>
    <x v="343"/>
    <x v="176"/>
    <x v="175"/>
    <x v="173"/>
    <x v="279"/>
    <x v="1"/>
    <x v="1"/>
    <x v="185"/>
    <x v="154"/>
    <x v="1"/>
    <x v="31"/>
    <x v="0"/>
    <x v="0"/>
    <x v="3"/>
    <x v="1"/>
    <x v="1"/>
    <x v="2"/>
    <x v="1"/>
    <x v="3"/>
    <x v="1"/>
    <x v="2"/>
    <x v="0"/>
    <x v="1"/>
    <x v="3"/>
    <x v="4"/>
    <x v="174"/>
    <x v="1"/>
    <x v="0"/>
    <x v="0"/>
    <x v="1"/>
    <x v="0"/>
    <x v="0"/>
    <x v="0"/>
    <x v="0"/>
  </r>
  <r>
    <x v="344"/>
    <x v="111"/>
    <x v="110"/>
    <x v="109"/>
    <x v="0"/>
    <x v="1"/>
    <x v="2"/>
    <x v="116"/>
    <x v="155"/>
    <x v="1"/>
    <x v="24"/>
    <x v="0"/>
    <x v="0"/>
    <x v="3"/>
    <x v="4"/>
    <x v="1"/>
    <x v="2"/>
    <x v="1"/>
    <x v="2"/>
    <x v="1"/>
    <x v="2"/>
    <x v="0"/>
    <x v="2"/>
    <x v="3"/>
    <x v="4"/>
    <x v="110"/>
    <x v="1"/>
    <x v="0"/>
    <x v="0"/>
    <x v="1"/>
    <x v="0"/>
    <x v="0"/>
    <x v="0"/>
    <x v="104"/>
  </r>
  <r>
    <x v="345"/>
    <x v="179"/>
    <x v="177"/>
    <x v="175"/>
    <x v="280"/>
    <x v="1"/>
    <x v="2"/>
    <x v="187"/>
    <x v="156"/>
    <x v="1"/>
    <x v="3"/>
    <x v="0"/>
    <x v="0"/>
    <x v="1"/>
    <x v="3"/>
    <x v="2"/>
    <x v="2"/>
    <x v="1"/>
    <x v="2"/>
    <x v="1"/>
    <x v="2"/>
    <x v="0"/>
    <x v="1"/>
    <x v="1"/>
    <x v="2"/>
    <x v="176"/>
    <x v="3"/>
    <x v="0"/>
    <x v="0"/>
    <x v="1"/>
    <x v="0"/>
    <x v="0"/>
    <x v="0"/>
    <x v="0"/>
  </r>
  <r>
    <x v="346"/>
    <x v="175"/>
    <x v="174"/>
    <x v="172"/>
    <x v="281"/>
    <x v="1"/>
    <x v="2"/>
    <x v="184"/>
    <x v="43"/>
    <x v="1"/>
    <x v="15"/>
    <x v="0"/>
    <x v="0"/>
    <x v="1"/>
    <x v="3"/>
    <x v="3"/>
    <x v="1"/>
    <x v="1"/>
    <x v="2"/>
    <x v="1"/>
    <x v="1"/>
    <x v="72"/>
    <x v="1"/>
    <x v="1"/>
    <x v="2"/>
    <x v="173"/>
    <x v="7"/>
    <x v="3"/>
    <x v="0"/>
    <x v="1"/>
    <x v="0"/>
    <x v="206"/>
    <x v="98"/>
    <x v="0"/>
  </r>
  <r>
    <x v="347"/>
    <x v="180"/>
    <x v="178"/>
    <x v="176"/>
    <x v="282"/>
    <x v="1"/>
    <x v="1"/>
    <x v="188"/>
    <x v="157"/>
    <x v="1"/>
    <x v="83"/>
    <x v="0"/>
    <x v="0"/>
    <x v="1"/>
    <x v="1"/>
    <x v="1"/>
    <x v="2"/>
    <x v="1"/>
    <x v="2"/>
    <x v="1"/>
    <x v="2"/>
    <x v="0"/>
    <x v="1"/>
    <x v="1"/>
    <x v="2"/>
    <x v="177"/>
    <x v="3"/>
    <x v="0"/>
    <x v="0"/>
    <x v="1"/>
    <x v="0"/>
    <x v="0"/>
    <x v="0"/>
    <x v="0"/>
  </r>
  <r>
    <x v="348"/>
    <x v="181"/>
    <x v="179"/>
    <x v="177"/>
    <x v="283"/>
    <x v="1"/>
    <x v="3"/>
    <x v="189"/>
    <x v="10"/>
    <x v="1"/>
    <x v="27"/>
    <x v="0"/>
    <x v="0"/>
    <x v="1"/>
    <x v="1"/>
    <x v="1"/>
    <x v="2"/>
    <x v="1"/>
    <x v="1"/>
    <x v="1"/>
    <x v="1"/>
    <x v="72"/>
    <x v="1"/>
    <x v="1"/>
    <x v="2"/>
    <x v="178"/>
    <x v="1"/>
    <x v="1"/>
    <x v="4"/>
    <x v="2"/>
    <x v="1"/>
    <x v="207"/>
    <x v="0"/>
    <x v="105"/>
  </r>
  <r>
    <x v="349"/>
    <x v="181"/>
    <x v="179"/>
    <x v="177"/>
    <x v="284"/>
    <x v="1"/>
    <x v="3"/>
    <x v="189"/>
    <x v="158"/>
    <x v="1"/>
    <x v="15"/>
    <x v="0"/>
    <x v="0"/>
    <x v="3"/>
    <x v="3"/>
    <x v="3"/>
    <x v="2"/>
    <x v="1"/>
    <x v="1"/>
    <x v="1"/>
    <x v="1"/>
    <x v="73"/>
    <x v="1"/>
    <x v="3"/>
    <x v="4"/>
    <x v="178"/>
    <x v="1"/>
    <x v="3"/>
    <x v="0"/>
    <x v="1"/>
    <x v="0"/>
    <x v="208"/>
    <x v="0"/>
    <x v="105"/>
  </r>
  <r>
    <x v="350"/>
    <x v="157"/>
    <x v="157"/>
    <x v="155"/>
    <x v="285"/>
    <x v="3"/>
    <x v="2"/>
    <x v="163"/>
    <x v="30"/>
    <x v="1"/>
    <x v="15"/>
    <x v="0"/>
    <x v="0"/>
    <x v="1"/>
    <x v="1"/>
    <x v="1"/>
    <x v="2"/>
    <x v="1"/>
    <x v="2"/>
    <x v="1"/>
    <x v="1"/>
    <x v="73"/>
    <x v="1"/>
    <x v="1"/>
    <x v="2"/>
    <x v="156"/>
    <x v="3"/>
    <x v="1"/>
    <x v="1"/>
    <x v="1"/>
    <x v="0"/>
    <x v="209"/>
    <x v="0"/>
    <x v="106"/>
  </r>
  <r>
    <x v="351"/>
    <x v="182"/>
    <x v="180"/>
    <x v="178"/>
    <x v="286"/>
    <x v="1"/>
    <x v="1"/>
    <x v="190"/>
    <x v="113"/>
    <x v="1"/>
    <x v="84"/>
    <x v="0"/>
    <x v="0"/>
    <x v="1"/>
    <x v="1"/>
    <x v="1"/>
    <x v="2"/>
    <x v="1"/>
    <x v="3"/>
    <x v="1"/>
    <x v="2"/>
    <x v="0"/>
    <x v="1"/>
    <x v="2"/>
    <x v="2"/>
    <x v="179"/>
    <x v="5"/>
    <x v="0"/>
    <x v="0"/>
    <x v="1"/>
    <x v="0"/>
    <x v="0"/>
    <x v="0"/>
    <x v="0"/>
  </r>
  <r>
    <x v="352"/>
    <x v="157"/>
    <x v="157"/>
    <x v="155"/>
    <x v="287"/>
    <x v="3"/>
    <x v="4"/>
    <x v="163"/>
    <x v="30"/>
    <x v="1"/>
    <x v="15"/>
    <x v="0"/>
    <x v="0"/>
    <x v="3"/>
    <x v="1"/>
    <x v="1"/>
    <x v="2"/>
    <x v="1"/>
    <x v="2"/>
    <x v="2"/>
    <x v="1"/>
    <x v="70"/>
    <x v="1"/>
    <x v="3"/>
    <x v="4"/>
    <x v="156"/>
    <x v="5"/>
    <x v="1"/>
    <x v="12"/>
    <x v="2"/>
    <x v="1"/>
    <x v="210"/>
    <x v="0"/>
    <x v="107"/>
  </r>
  <r>
    <x v="353"/>
    <x v="111"/>
    <x v="110"/>
    <x v="109"/>
    <x v="0"/>
    <x v="1"/>
    <x v="2"/>
    <x v="116"/>
    <x v="81"/>
    <x v="1"/>
    <x v="24"/>
    <x v="0"/>
    <x v="0"/>
    <x v="3"/>
    <x v="1"/>
    <x v="1"/>
    <x v="2"/>
    <x v="1"/>
    <x v="2"/>
    <x v="1"/>
    <x v="2"/>
    <x v="0"/>
    <x v="2"/>
    <x v="3"/>
    <x v="4"/>
    <x v="110"/>
    <x v="5"/>
    <x v="0"/>
    <x v="0"/>
    <x v="1"/>
    <x v="0"/>
    <x v="0"/>
    <x v="0"/>
    <x v="0"/>
  </r>
  <r>
    <x v="354"/>
    <x v="183"/>
    <x v="181"/>
    <x v="179"/>
    <x v="288"/>
    <x v="1"/>
    <x v="2"/>
    <x v="191"/>
    <x v="46"/>
    <x v="2"/>
    <x v="0"/>
    <x v="8"/>
    <x v="0"/>
    <x v="1"/>
    <x v="2"/>
    <x v="3"/>
    <x v="2"/>
    <x v="1"/>
    <x v="1"/>
    <x v="1"/>
    <x v="1"/>
    <x v="74"/>
    <x v="1"/>
    <x v="1"/>
    <x v="2"/>
    <x v="180"/>
    <x v="1"/>
    <x v="3"/>
    <x v="0"/>
    <x v="1"/>
    <x v="0"/>
    <x v="211"/>
    <x v="0"/>
    <x v="108"/>
  </r>
  <r>
    <x v="355"/>
    <x v="184"/>
    <x v="182"/>
    <x v="180"/>
    <x v="289"/>
    <x v="3"/>
    <x v="2"/>
    <x v="192"/>
    <x v="159"/>
    <x v="1"/>
    <x v="36"/>
    <x v="0"/>
    <x v="0"/>
    <x v="1"/>
    <x v="1"/>
    <x v="2"/>
    <x v="2"/>
    <x v="2"/>
    <x v="1"/>
    <x v="1"/>
    <x v="1"/>
    <x v="75"/>
    <x v="1"/>
    <x v="1"/>
    <x v="2"/>
    <x v="181"/>
    <x v="5"/>
    <x v="1"/>
    <x v="1"/>
    <x v="1"/>
    <x v="0"/>
    <x v="212"/>
    <x v="0"/>
    <x v="14"/>
  </r>
  <r>
    <x v="356"/>
    <x v="185"/>
    <x v="183"/>
    <x v="181"/>
    <x v="290"/>
    <x v="1"/>
    <x v="1"/>
    <x v="193"/>
    <x v="10"/>
    <x v="1"/>
    <x v="85"/>
    <x v="0"/>
    <x v="0"/>
    <x v="1"/>
    <x v="1"/>
    <x v="2"/>
    <x v="2"/>
    <x v="1"/>
    <x v="2"/>
    <x v="1"/>
    <x v="1"/>
    <x v="74"/>
    <x v="1"/>
    <x v="1"/>
    <x v="2"/>
    <x v="182"/>
    <x v="5"/>
    <x v="1"/>
    <x v="1"/>
    <x v="1"/>
    <x v="0"/>
    <x v="213"/>
    <x v="0"/>
    <x v="109"/>
  </r>
  <r>
    <x v="357"/>
    <x v="185"/>
    <x v="183"/>
    <x v="181"/>
    <x v="0"/>
    <x v="1"/>
    <x v="1"/>
    <x v="193"/>
    <x v="160"/>
    <x v="1"/>
    <x v="85"/>
    <x v="0"/>
    <x v="0"/>
    <x v="3"/>
    <x v="1"/>
    <x v="1"/>
    <x v="2"/>
    <x v="1"/>
    <x v="2"/>
    <x v="1"/>
    <x v="2"/>
    <x v="0"/>
    <x v="2"/>
    <x v="3"/>
    <x v="4"/>
    <x v="182"/>
    <x v="5"/>
    <x v="0"/>
    <x v="0"/>
    <x v="1"/>
    <x v="0"/>
    <x v="0"/>
    <x v="0"/>
    <x v="0"/>
  </r>
  <r>
    <x v="358"/>
    <x v="136"/>
    <x v="136"/>
    <x v="134"/>
    <x v="291"/>
    <x v="3"/>
    <x v="2"/>
    <x v="140"/>
    <x v="120"/>
    <x v="1"/>
    <x v="22"/>
    <x v="0"/>
    <x v="0"/>
    <x v="1"/>
    <x v="2"/>
    <x v="3"/>
    <x v="2"/>
    <x v="2"/>
    <x v="2"/>
    <x v="1"/>
    <x v="1"/>
    <x v="75"/>
    <x v="1"/>
    <x v="5"/>
    <x v="2"/>
    <x v="135"/>
    <x v="5"/>
    <x v="1"/>
    <x v="1"/>
    <x v="1"/>
    <x v="0"/>
    <x v="214"/>
    <x v="0"/>
    <x v="110"/>
  </r>
  <r>
    <x v="359"/>
    <x v="157"/>
    <x v="157"/>
    <x v="155"/>
    <x v="292"/>
    <x v="3"/>
    <x v="2"/>
    <x v="163"/>
    <x v="30"/>
    <x v="1"/>
    <x v="15"/>
    <x v="0"/>
    <x v="0"/>
    <x v="3"/>
    <x v="1"/>
    <x v="1"/>
    <x v="2"/>
    <x v="1"/>
    <x v="2"/>
    <x v="1"/>
    <x v="2"/>
    <x v="0"/>
    <x v="1"/>
    <x v="3"/>
    <x v="4"/>
    <x v="156"/>
    <x v="11"/>
    <x v="0"/>
    <x v="0"/>
    <x v="1"/>
    <x v="0"/>
    <x v="0"/>
    <x v="0"/>
    <x v="0"/>
  </r>
  <r>
    <x v="360"/>
    <x v="57"/>
    <x v="56"/>
    <x v="55"/>
    <x v="293"/>
    <x v="3"/>
    <x v="2"/>
    <x v="60"/>
    <x v="30"/>
    <x v="1"/>
    <x v="86"/>
    <x v="0"/>
    <x v="0"/>
    <x v="1"/>
    <x v="1"/>
    <x v="1"/>
    <x v="2"/>
    <x v="1"/>
    <x v="2"/>
    <x v="1"/>
    <x v="2"/>
    <x v="0"/>
    <x v="1"/>
    <x v="1"/>
    <x v="2"/>
    <x v="55"/>
    <x v="11"/>
    <x v="0"/>
    <x v="0"/>
    <x v="1"/>
    <x v="0"/>
    <x v="0"/>
    <x v="0"/>
    <x v="0"/>
  </r>
  <r>
    <x v="361"/>
    <x v="136"/>
    <x v="136"/>
    <x v="134"/>
    <x v="0"/>
    <x v="3"/>
    <x v="2"/>
    <x v="140"/>
    <x v="120"/>
    <x v="1"/>
    <x v="22"/>
    <x v="0"/>
    <x v="0"/>
    <x v="3"/>
    <x v="1"/>
    <x v="1"/>
    <x v="2"/>
    <x v="2"/>
    <x v="2"/>
    <x v="1"/>
    <x v="2"/>
    <x v="0"/>
    <x v="2"/>
    <x v="3"/>
    <x v="4"/>
    <x v="135"/>
    <x v="5"/>
    <x v="0"/>
    <x v="0"/>
    <x v="1"/>
    <x v="0"/>
    <x v="0"/>
    <x v="0"/>
    <x v="0"/>
  </r>
  <r>
    <x v="362"/>
    <x v="186"/>
    <x v="184"/>
    <x v="182"/>
    <x v="294"/>
    <x v="1"/>
    <x v="6"/>
    <x v="194"/>
    <x v="161"/>
    <x v="1"/>
    <x v="9"/>
    <x v="0"/>
    <x v="0"/>
    <x v="1"/>
    <x v="1"/>
    <x v="1"/>
    <x v="2"/>
    <x v="1"/>
    <x v="2"/>
    <x v="1"/>
    <x v="1"/>
    <x v="76"/>
    <x v="1"/>
    <x v="6"/>
    <x v="3"/>
    <x v="183"/>
    <x v="10"/>
    <x v="1"/>
    <x v="7"/>
    <x v="1"/>
    <x v="0"/>
    <x v="215"/>
    <x v="99"/>
    <x v="0"/>
  </r>
  <r>
    <x v="363"/>
    <x v="37"/>
    <x v="36"/>
    <x v="36"/>
    <x v="295"/>
    <x v="1"/>
    <x v="2"/>
    <x v="39"/>
    <x v="40"/>
    <x v="1"/>
    <x v="15"/>
    <x v="0"/>
    <x v="0"/>
    <x v="1"/>
    <x v="2"/>
    <x v="3"/>
    <x v="2"/>
    <x v="1"/>
    <x v="2"/>
    <x v="1"/>
    <x v="1"/>
    <x v="76"/>
    <x v="1"/>
    <x v="6"/>
    <x v="2"/>
    <x v="184"/>
    <x v="5"/>
    <x v="1"/>
    <x v="7"/>
    <x v="1"/>
    <x v="0"/>
    <x v="216"/>
    <x v="0"/>
    <x v="0"/>
  </r>
  <r>
    <x v="364"/>
    <x v="184"/>
    <x v="182"/>
    <x v="180"/>
    <x v="0"/>
    <x v="3"/>
    <x v="2"/>
    <x v="192"/>
    <x v="159"/>
    <x v="1"/>
    <x v="36"/>
    <x v="0"/>
    <x v="0"/>
    <x v="3"/>
    <x v="1"/>
    <x v="1"/>
    <x v="2"/>
    <x v="2"/>
    <x v="1"/>
    <x v="1"/>
    <x v="2"/>
    <x v="0"/>
    <x v="2"/>
    <x v="3"/>
    <x v="4"/>
    <x v="181"/>
    <x v="5"/>
    <x v="0"/>
    <x v="0"/>
    <x v="1"/>
    <x v="0"/>
    <x v="0"/>
    <x v="0"/>
    <x v="14"/>
  </r>
  <r>
    <x v="365"/>
    <x v="187"/>
    <x v="185"/>
    <x v="183"/>
    <x v="296"/>
    <x v="1"/>
    <x v="2"/>
    <x v="195"/>
    <x v="162"/>
    <x v="1"/>
    <x v="87"/>
    <x v="0"/>
    <x v="0"/>
    <x v="1"/>
    <x v="1"/>
    <x v="1"/>
    <x v="2"/>
    <x v="1"/>
    <x v="2"/>
    <x v="1"/>
    <x v="1"/>
    <x v="76"/>
    <x v="1"/>
    <x v="6"/>
    <x v="2"/>
    <x v="185"/>
    <x v="10"/>
    <x v="3"/>
    <x v="0"/>
    <x v="1"/>
    <x v="0"/>
    <x v="217"/>
    <x v="100"/>
    <x v="111"/>
  </r>
  <r>
    <x v="366"/>
    <x v="37"/>
    <x v="36"/>
    <x v="36"/>
    <x v="0"/>
    <x v="1"/>
    <x v="2"/>
    <x v="39"/>
    <x v="40"/>
    <x v="1"/>
    <x v="15"/>
    <x v="0"/>
    <x v="0"/>
    <x v="3"/>
    <x v="1"/>
    <x v="1"/>
    <x v="2"/>
    <x v="1"/>
    <x v="2"/>
    <x v="1"/>
    <x v="2"/>
    <x v="0"/>
    <x v="2"/>
    <x v="3"/>
    <x v="4"/>
    <x v="184"/>
    <x v="12"/>
    <x v="0"/>
    <x v="0"/>
    <x v="1"/>
    <x v="0"/>
    <x v="0"/>
    <x v="0"/>
    <x v="0"/>
  </r>
  <r>
    <x v="367"/>
    <x v="186"/>
    <x v="184"/>
    <x v="182"/>
    <x v="0"/>
    <x v="1"/>
    <x v="2"/>
    <x v="194"/>
    <x v="161"/>
    <x v="1"/>
    <x v="9"/>
    <x v="0"/>
    <x v="0"/>
    <x v="3"/>
    <x v="1"/>
    <x v="1"/>
    <x v="2"/>
    <x v="1"/>
    <x v="3"/>
    <x v="1"/>
    <x v="2"/>
    <x v="0"/>
    <x v="2"/>
    <x v="3"/>
    <x v="4"/>
    <x v="183"/>
    <x v="12"/>
    <x v="0"/>
    <x v="0"/>
    <x v="1"/>
    <x v="0"/>
    <x v="0"/>
    <x v="0"/>
    <x v="0"/>
  </r>
  <r>
    <x v="368"/>
    <x v="188"/>
    <x v="186"/>
    <x v="184"/>
    <x v="297"/>
    <x v="3"/>
    <x v="2"/>
    <x v="196"/>
    <x v="163"/>
    <x v="1"/>
    <x v="3"/>
    <x v="0"/>
    <x v="0"/>
    <x v="1"/>
    <x v="1"/>
    <x v="1"/>
    <x v="2"/>
    <x v="1"/>
    <x v="3"/>
    <x v="1"/>
    <x v="2"/>
    <x v="0"/>
    <x v="1"/>
    <x v="1"/>
    <x v="2"/>
    <x v="186"/>
    <x v="4"/>
    <x v="0"/>
    <x v="0"/>
    <x v="1"/>
    <x v="0"/>
    <x v="0"/>
    <x v="0"/>
    <x v="0"/>
  </r>
  <r>
    <x v="369"/>
    <x v="189"/>
    <x v="187"/>
    <x v="185"/>
    <x v="298"/>
    <x v="1"/>
    <x v="2"/>
    <x v="197"/>
    <x v="164"/>
    <x v="1"/>
    <x v="9"/>
    <x v="0"/>
    <x v="0"/>
    <x v="1"/>
    <x v="1"/>
    <x v="1"/>
    <x v="2"/>
    <x v="1"/>
    <x v="3"/>
    <x v="1"/>
    <x v="1"/>
    <x v="77"/>
    <x v="1"/>
    <x v="1"/>
    <x v="2"/>
    <x v="187"/>
    <x v="4"/>
    <x v="1"/>
    <x v="1"/>
    <x v="1"/>
    <x v="0"/>
    <x v="218"/>
    <x v="101"/>
    <x v="0"/>
  </r>
  <r>
    <x v="370"/>
    <x v="190"/>
    <x v="188"/>
    <x v="186"/>
    <x v="299"/>
    <x v="1"/>
    <x v="2"/>
    <x v="198"/>
    <x v="10"/>
    <x v="1"/>
    <x v="88"/>
    <x v="0"/>
    <x v="0"/>
    <x v="1"/>
    <x v="5"/>
    <x v="1"/>
    <x v="2"/>
    <x v="1"/>
    <x v="2"/>
    <x v="1"/>
    <x v="1"/>
    <x v="78"/>
    <x v="1"/>
    <x v="1"/>
    <x v="13"/>
    <x v="188"/>
    <x v="4"/>
    <x v="1"/>
    <x v="2"/>
    <x v="1"/>
    <x v="0"/>
    <x v="219"/>
    <x v="0"/>
    <x v="0"/>
  </r>
  <r>
    <x v="371"/>
    <x v="191"/>
    <x v="189"/>
    <x v="187"/>
    <x v="300"/>
    <x v="1"/>
    <x v="1"/>
    <x v="199"/>
    <x v="165"/>
    <x v="1"/>
    <x v="9"/>
    <x v="0"/>
    <x v="0"/>
    <x v="1"/>
    <x v="1"/>
    <x v="1"/>
    <x v="2"/>
    <x v="1"/>
    <x v="2"/>
    <x v="2"/>
    <x v="1"/>
    <x v="78"/>
    <x v="1"/>
    <x v="1"/>
    <x v="2"/>
    <x v="189"/>
    <x v="4"/>
    <x v="1"/>
    <x v="2"/>
    <x v="2"/>
    <x v="1"/>
    <x v="220"/>
    <x v="102"/>
    <x v="17"/>
  </r>
  <r>
    <x v="372"/>
    <x v="41"/>
    <x v="40"/>
    <x v="40"/>
    <x v="301"/>
    <x v="1"/>
    <x v="1"/>
    <x v="200"/>
    <x v="44"/>
    <x v="1"/>
    <x v="2"/>
    <x v="0"/>
    <x v="0"/>
    <x v="1"/>
    <x v="2"/>
    <x v="3"/>
    <x v="2"/>
    <x v="1"/>
    <x v="2"/>
    <x v="1"/>
    <x v="1"/>
    <x v="78"/>
    <x v="1"/>
    <x v="1"/>
    <x v="2"/>
    <x v="40"/>
    <x v="4"/>
    <x v="1"/>
    <x v="2"/>
    <x v="1"/>
    <x v="0"/>
    <x v="221"/>
    <x v="0"/>
    <x v="112"/>
  </r>
  <r>
    <x v="373"/>
    <x v="192"/>
    <x v="190"/>
    <x v="188"/>
    <x v="302"/>
    <x v="3"/>
    <x v="2"/>
    <x v="201"/>
    <x v="10"/>
    <x v="1"/>
    <x v="15"/>
    <x v="0"/>
    <x v="0"/>
    <x v="1"/>
    <x v="1"/>
    <x v="1"/>
    <x v="2"/>
    <x v="1"/>
    <x v="2"/>
    <x v="1"/>
    <x v="1"/>
    <x v="77"/>
    <x v="1"/>
    <x v="1"/>
    <x v="2"/>
    <x v="190"/>
    <x v="5"/>
    <x v="1"/>
    <x v="1"/>
    <x v="1"/>
    <x v="0"/>
    <x v="222"/>
    <x v="103"/>
    <x v="0"/>
  </r>
  <r>
    <x v="374"/>
    <x v="154"/>
    <x v="154"/>
    <x v="152"/>
    <x v="303"/>
    <x v="1"/>
    <x v="3"/>
    <x v="160"/>
    <x v="114"/>
    <x v="1"/>
    <x v="15"/>
    <x v="0"/>
    <x v="0"/>
    <x v="1"/>
    <x v="1"/>
    <x v="1"/>
    <x v="2"/>
    <x v="1"/>
    <x v="3"/>
    <x v="1"/>
    <x v="2"/>
    <x v="0"/>
    <x v="1"/>
    <x v="1"/>
    <x v="2"/>
    <x v="153"/>
    <x v="4"/>
    <x v="0"/>
    <x v="0"/>
    <x v="1"/>
    <x v="0"/>
    <x v="0"/>
    <x v="0"/>
    <x v="0"/>
  </r>
  <r>
    <x v="375"/>
    <x v="185"/>
    <x v="183"/>
    <x v="181"/>
    <x v="304"/>
    <x v="1"/>
    <x v="1"/>
    <x v="193"/>
    <x v="10"/>
    <x v="1"/>
    <x v="36"/>
    <x v="0"/>
    <x v="0"/>
    <x v="1"/>
    <x v="1"/>
    <x v="1"/>
    <x v="2"/>
    <x v="1"/>
    <x v="2"/>
    <x v="1"/>
    <x v="2"/>
    <x v="0"/>
    <x v="1"/>
    <x v="5"/>
    <x v="2"/>
    <x v="182"/>
    <x v="5"/>
    <x v="0"/>
    <x v="0"/>
    <x v="1"/>
    <x v="0"/>
    <x v="0"/>
    <x v="0"/>
    <x v="0"/>
  </r>
  <r>
    <x v="376"/>
    <x v="190"/>
    <x v="188"/>
    <x v="186"/>
    <x v="0"/>
    <x v="1"/>
    <x v="2"/>
    <x v="198"/>
    <x v="134"/>
    <x v="1"/>
    <x v="88"/>
    <x v="0"/>
    <x v="0"/>
    <x v="3"/>
    <x v="1"/>
    <x v="1"/>
    <x v="2"/>
    <x v="1"/>
    <x v="2"/>
    <x v="1"/>
    <x v="2"/>
    <x v="0"/>
    <x v="2"/>
    <x v="3"/>
    <x v="4"/>
    <x v="188"/>
    <x v="4"/>
    <x v="0"/>
    <x v="0"/>
    <x v="1"/>
    <x v="0"/>
    <x v="0"/>
    <x v="0"/>
    <x v="0"/>
  </r>
  <r>
    <x v="377"/>
    <x v="41"/>
    <x v="40"/>
    <x v="40"/>
    <x v="0"/>
    <x v="1"/>
    <x v="1"/>
    <x v="200"/>
    <x v="44"/>
    <x v="1"/>
    <x v="2"/>
    <x v="0"/>
    <x v="0"/>
    <x v="3"/>
    <x v="4"/>
    <x v="1"/>
    <x v="2"/>
    <x v="1"/>
    <x v="2"/>
    <x v="1"/>
    <x v="1"/>
    <x v="79"/>
    <x v="2"/>
    <x v="3"/>
    <x v="4"/>
    <x v="40"/>
    <x v="4"/>
    <x v="1"/>
    <x v="4"/>
    <x v="1"/>
    <x v="0"/>
    <x v="223"/>
    <x v="0"/>
    <x v="112"/>
  </r>
  <r>
    <x v="378"/>
    <x v="191"/>
    <x v="189"/>
    <x v="187"/>
    <x v="305"/>
    <x v="1"/>
    <x v="1"/>
    <x v="199"/>
    <x v="165"/>
    <x v="1"/>
    <x v="9"/>
    <x v="0"/>
    <x v="0"/>
    <x v="3"/>
    <x v="1"/>
    <x v="1"/>
    <x v="2"/>
    <x v="1"/>
    <x v="2"/>
    <x v="1"/>
    <x v="2"/>
    <x v="0"/>
    <x v="1"/>
    <x v="3"/>
    <x v="4"/>
    <x v="189"/>
    <x v="4"/>
    <x v="0"/>
    <x v="0"/>
    <x v="1"/>
    <x v="0"/>
    <x v="0"/>
    <x v="0"/>
    <x v="0"/>
  </r>
  <r>
    <x v="379"/>
    <x v="187"/>
    <x v="185"/>
    <x v="183"/>
    <x v="306"/>
    <x v="1"/>
    <x v="2"/>
    <x v="195"/>
    <x v="162"/>
    <x v="1"/>
    <x v="44"/>
    <x v="0"/>
    <x v="0"/>
    <x v="1"/>
    <x v="1"/>
    <x v="1"/>
    <x v="2"/>
    <x v="1"/>
    <x v="2"/>
    <x v="1"/>
    <x v="2"/>
    <x v="0"/>
    <x v="1"/>
    <x v="1"/>
    <x v="2"/>
    <x v="185"/>
    <x v="3"/>
    <x v="0"/>
    <x v="0"/>
    <x v="1"/>
    <x v="0"/>
    <x v="0"/>
    <x v="0"/>
    <x v="0"/>
  </r>
  <r>
    <x v="380"/>
    <x v="57"/>
    <x v="56"/>
    <x v="55"/>
    <x v="307"/>
    <x v="3"/>
    <x v="2"/>
    <x v="60"/>
    <x v="30"/>
    <x v="1"/>
    <x v="15"/>
    <x v="0"/>
    <x v="0"/>
    <x v="1"/>
    <x v="1"/>
    <x v="1"/>
    <x v="2"/>
    <x v="1"/>
    <x v="2"/>
    <x v="1"/>
    <x v="2"/>
    <x v="0"/>
    <x v="1"/>
    <x v="1"/>
    <x v="2"/>
    <x v="55"/>
    <x v="11"/>
    <x v="0"/>
    <x v="0"/>
    <x v="1"/>
    <x v="0"/>
    <x v="0"/>
    <x v="0"/>
    <x v="0"/>
  </r>
  <r>
    <x v="381"/>
    <x v="169"/>
    <x v="169"/>
    <x v="167"/>
    <x v="308"/>
    <x v="1"/>
    <x v="2"/>
    <x v="177"/>
    <x v="147"/>
    <x v="1"/>
    <x v="15"/>
    <x v="0"/>
    <x v="0"/>
    <x v="1"/>
    <x v="1"/>
    <x v="1"/>
    <x v="2"/>
    <x v="1"/>
    <x v="2"/>
    <x v="1"/>
    <x v="1"/>
    <x v="80"/>
    <x v="2"/>
    <x v="5"/>
    <x v="2"/>
    <x v="168"/>
    <x v="12"/>
    <x v="1"/>
    <x v="1"/>
    <x v="1"/>
    <x v="0"/>
    <x v="224"/>
    <x v="0"/>
    <x v="0"/>
  </r>
  <r>
    <x v="382"/>
    <x v="129"/>
    <x v="129"/>
    <x v="127"/>
    <x v="309"/>
    <x v="1"/>
    <x v="1"/>
    <x v="133"/>
    <x v="115"/>
    <x v="1"/>
    <x v="3"/>
    <x v="0"/>
    <x v="0"/>
    <x v="1"/>
    <x v="1"/>
    <x v="1"/>
    <x v="2"/>
    <x v="1"/>
    <x v="3"/>
    <x v="1"/>
    <x v="1"/>
    <x v="81"/>
    <x v="1"/>
    <x v="6"/>
    <x v="2"/>
    <x v="128"/>
    <x v="5"/>
    <x v="3"/>
    <x v="0"/>
    <x v="1"/>
    <x v="0"/>
    <x v="225"/>
    <x v="104"/>
    <x v="0"/>
  </r>
  <r>
    <x v="383"/>
    <x v="169"/>
    <x v="169"/>
    <x v="167"/>
    <x v="0"/>
    <x v="1"/>
    <x v="2"/>
    <x v="177"/>
    <x v="166"/>
    <x v="1"/>
    <x v="15"/>
    <x v="0"/>
    <x v="0"/>
    <x v="3"/>
    <x v="1"/>
    <x v="1"/>
    <x v="2"/>
    <x v="1"/>
    <x v="2"/>
    <x v="1"/>
    <x v="2"/>
    <x v="0"/>
    <x v="2"/>
    <x v="3"/>
    <x v="4"/>
    <x v="168"/>
    <x v="5"/>
    <x v="0"/>
    <x v="0"/>
    <x v="1"/>
    <x v="0"/>
    <x v="0"/>
    <x v="0"/>
    <x v="0"/>
  </r>
  <r>
    <x v="384"/>
    <x v="192"/>
    <x v="190"/>
    <x v="188"/>
    <x v="0"/>
    <x v="3"/>
    <x v="2"/>
    <x v="201"/>
    <x v="10"/>
    <x v="1"/>
    <x v="15"/>
    <x v="0"/>
    <x v="0"/>
    <x v="3"/>
    <x v="1"/>
    <x v="1"/>
    <x v="2"/>
    <x v="1"/>
    <x v="2"/>
    <x v="1"/>
    <x v="2"/>
    <x v="0"/>
    <x v="2"/>
    <x v="3"/>
    <x v="4"/>
    <x v="190"/>
    <x v="5"/>
    <x v="0"/>
    <x v="0"/>
    <x v="1"/>
    <x v="0"/>
    <x v="0"/>
    <x v="0"/>
    <x v="0"/>
  </r>
  <r>
    <x v="385"/>
    <x v="193"/>
    <x v="191"/>
    <x v="189"/>
    <x v="310"/>
    <x v="1"/>
    <x v="2"/>
    <x v="202"/>
    <x v="165"/>
    <x v="1"/>
    <x v="89"/>
    <x v="0"/>
    <x v="0"/>
    <x v="1"/>
    <x v="1"/>
    <x v="1"/>
    <x v="1"/>
    <x v="1"/>
    <x v="2"/>
    <x v="1"/>
    <x v="1"/>
    <x v="82"/>
    <x v="1"/>
    <x v="6"/>
    <x v="2"/>
    <x v="191"/>
    <x v="5"/>
    <x v="1"/>
    <x v="4"/>
    <x v="2"/>
    <x v="1"/>
    <x v="226"/>
    <x v="0"/>
    <x v="0"/>
  </r>
  <r>
    <x v="386"/>
    <x v="189"/>
    <x v="187"/>
    <x v="185"/>
    <x v="0"/>
    <x v="1"/>
    <x v="2"/>
    <x v="197"/>
    <x v="164"/>
    <x v="1"/>
    <x v="9"/>
    <x v="0"/>
    <x v="0"/>
    <x v="3"/>
    <x v="1"/>
    <x v="1"/>
    <x v="2"/>
    <x v="1"/>
    <x v="3"/>
    <x v="1"/>
    <x v="2"/>
    <x v="0"/>
    <x v="2"/>
    <x v="3"/>
    <x v="4"/>
    <x v="187"/>
    <x v="5"/>
    <x v="0"/>
    <x v="0"/>
    <x v="1"/>
    <x v="0"/>
    <x v="0"/>
    <x v="0"/>
    <x v="0"/>
  </r>
  <r>
    <x v="387"/>
    <x v="193"/>
    <x v="191"/>
    <x v="189"/>
    <x v="0"/>
    <x v="1"/>
    <x v="2"/>
    <x v="202"/>
    <x v="165"/>
    <x v="1"/>
    <x v="90"/>
    <x v="0"/>
    <x v="0"/>
    <x v="3"/>
    <x v="1"/>
    <x v="1"/>
    <x v="2"/>
    <x v="1"/>
    <x v="2"/>
    <x v="1"/>
    <x v="2"/>
    <x v="0"/>
    <x v="2"/>
    <x v="3"/>
    <x v="4"/>
    <x v="191"/>
    <x v="1"/>
    <x v="0"/>
    <x v="0"/>
    <x v="1"/>
    <x v="0"/>
    <x v="0"/>
    <x v="0"/>
    <x v="0"/>
  </r>
  <r>
    <x v="388"/>
    <x v="194"/>
    <x v="192"/>
    <x v="190"/>
    <x v="311"/>
    <x v="1"/>
    <x v="2"/>
    <x v="203"/>
    <x v="167"/>
    <x v="1"/>
    <x v="12"/>
    <x v="0"/>
    <x v="0"/>
    <x v="1"/>
    <x v="3"/>
    <x v="2"/>
    <x v="2"/>
    <x v="1"/>
    <x v="2"/>
    <x v="1"/>
    <x v="1"/>
    <x v="83"/>
    <x v="1"/>
    <x v="1"/>
    <x v="2"/>
    <x v="192"/>
    <x v="5"/>
    <x v="1"/>
    <x v="1"/>
    <x v="1"/>
    <x v="0"/>
    <x v="227"/>
    <x v="105"/>
    <x v="0"/>
  </r>
  <r>
    <x v="389"/>
    <x v="195"/>
    <x v="193"/>
    <x v="191"/>
    <x v="312"/>
    <x v="1"/>
    <x v="2"/>
    <x v="204"/>
    <x v="168"/>
    <x v="1"/>
    <x v="3"/>
    <x v="0"/>
    <x v="0"/>
    <x v="1"/>
    <x v="3"/>
    <x v="2"/>
    <x v="1"/>
    <x v="1"/>
    <x v="2"/>
    <x v="1"/>
    <x v="1"/>
    <x v="83"/>
    <x v="1"/>
    <x v="5"/>
    <x v="2"/>
    <x v="193"/>
    <x v="5"/>
    <x v="3"/>
    <x v="0"/>
    <x v="1"/>
    <x v="0"/>
    <x v="228"/>
    <x v="106"/>
    <x v="0"/>
  </r>
  <r>
    <x v="390"/>
    <x v="178"/>
    <x v="176"/>
    <x v="174"/>
    <x v="313"/>
    <x v="3"/>
    <x v="2"/>
    <x v="186"/>
    <x v="153"/>
    <x v="1"/>
    <x v="91"/>
    <x v="0"/>
    <x v="0"/>
    <x v="1"/>
    <x v="3"/>
    <x v="3"/>
    <x v="2"/>
    <x v="1"/>
    <x v="2"/>
    <x v="1"/>
    <x v="1"/>
    <x v="84"/>
    <x v="1"/>
    <x v="1"/>
    <x v="2"/>
    <x v="175"/>
    <x v="5"/>
    <x v="3"/>
    <x v="0"/>
    <x v="1"/>
    <x v="0"/>
    <x v="229"/>
    <x v="107"/>
    <x v="0"/>
  </r>
  <r>
    <x v="391"/>
    <x v="196"/>
    <x v="194"/>
    <x v="192"/>
    <x v="314"/>
    <x v="1"/>
    <x v="2"/>
    <x v="205"/>
    <x v="165"/>
    <x v="1"/>
    <x v="92"/>
    <x v="0"/>
    <x v="0"/>
    <x v="1"/>
    <x v="1"/>
    <x v="1"/>
    <x v="2"/>
    <x v="2"/>
    <x v="3"/>
    <x v="1"/>
    <x v="1"/>
    <x v="79"/>
    <x v="1"/>
    <x v="1"/>
    <x v="5"/>
    <x v="194"/>
    <x v="4"/>
    <x v="1"/>
    <x v="3"/>
    <x v="2"/>
    <x v="1"/>
    <x v="230"/>
    <x v="108"/>
    <x v="113"/>
  </r>
  <r>
    <x v="392"/>
    <x v="152"/>
    <x v="152"/>
    <x v="150"/>
    <x v="315"/>
    <x v="3"/>
    <x v="2"/>
    <x v="157"/>
    <x v="169"/>
    <x v="1"/>
    <x v="2"/>
    <x v="0"/>
    <x v="0"/>
    <x v="1"/>
    <x v="1"/>
    <x v="1"/>
    <x v="2"/>
    <x v="2"/>
    <x v="3"/>
    <x v="1"/>
    <x v="1"/>
    <x v="85"/>
    <x v="1"/>
    <x v="1"/>
    <x v="5"/>
    <x v="151"/>
    <x v="1"/>
    <x v="1"/>
    <x v="1"/>
    <x v="1"/>
    <x v="0"/>
    <x v="231"/>
    <x v="109"/>
    <x v="114"/>
  </r>
  <r>
    <x v="393"/>
    <x v="170"/>
    <x v="170"/>
    <x v="168"/>
    <x v="316"/>
    <x v="1"/>
    <x v="2"/>
    <x v="179"/>
    <x v="145"/>
    <x v="1"/>
    <x v="3"/>
    <x v="0"/>
    <x v="0"/>
    <x v="1"/>
    <x v="3"/>
    <x v="2"/>
    <x v="2"/>
    <x v="1"/>
    <x v="3"/>
    <x v="1"/>
    <x v="1"/>
    <x v="86"/>
    <x v="1"/>
    <x v="1"/>
    <x v="2"/>
    <x v="169"/>
    <x v="1"/>
    <x v="3"/>
    <x v="0"/>
    <x v="1"/>
    <x v="0"/>
    <x v="232"/>
    <x v="110"/>
    <x v="115"/>
  </r>
  <r>
    <x v="394"/>
    <x v="197"/>
    <x v="195"/>
    <x v="193"/>
    <x v="317"/>
    <x v="3"/>
    <x v="3"/>
    <x v="206"/>
    <x v="48"/>
    <x v="1"/>
    <x v="15"/>
    <x v="0"/>
    <x v="0"/>
    <x v="1"/>
    <x v="2"/>
    <x v="3"/>
    <x v="2"/>
    <x v="1"/>
    <x v="2"/>
    <x v="1"/>
    <x v="1"/>
    <x v="79"/>
    <x v="1"/>
    <x v="2"/>
    <x v="2"/>
    <x v="195"/>
    <x v="4"/>
    <x v="3"/>
    <x v="0"/>
    <x v="1"/>
    <x v="0"/>
    <x v="233"/>
    <x v="111"/>
    <x v="116"/>
  </r>
  <r>
    <x v="395"/>
    <x v="41"/>
    <x v="40"/>
    <x v="40"/>
    <x v="0"/>
    <x v="1"/>
    <x v="1"/>
    <x v="200"/>
    <x v="44"/>
    <x v="1"/>
    <x v="1"/>
    <x v="0"/>
    <x v="0"/>
    <x v="3"/>
    <x v="4"/>
    <x v="1"/>
    <x v="2"/>
    <x v="1"/>
    <x v="2"/>
    <x v="1"/>
    <x v="2"/>
    <x v="0"/>
    <x v="2"/>
    <x v="3"/>
    <x v="4"/>
    <x v="40"/>
    <x v="1"/>
    <x v="0"/>
    <x v="0"/>
    <x v="1"/>
    <x v="0"/>
    <x v="0"/>
    <x v="0"/>
    <x v="0"/>
  </r>
  <r>
    <x v="396"/>
    <x v="196"/>
    <x v="194"/>
    <x v="192"/>
    <x v="318"/>
    <x v="1"/>
    <x v="2"/>
    <x v="205"/>
    <x v="165"/>
    <x v="1"/>
    <x v="93"/>
    <x v="0"/>
    <x v="0"/>
    <x v="3"/>
    <x v="1"/>
    <x v="1"/>
    <x v="2"/>
    <x v="2"/>
    <x v="1"/>
    <x v="1"/>
    <x v="2"/>
    <x v="0"/>
    <x v="1"/>
    <x v="3"/>
    <x v="4"/>
    <x v="194"/>
    <x v="3"/>
    <x v="0"/>
    <x v="0"/>
    <x v="1"/>
    <x v="0"/>
    <x v="0"/>
    <x v="0"/>
    <x v="0"/>
  </r>
  <r>
    <x v="397"/>
    <x v="198"/>
    <x v="196"/>
    <x v="194"/>
    <x v="319"/>
    <x v="3"/>
    <x v="2"/>
    <x v="207"/>
    <x v="71"/>
    <x v="1"/>
    <x v="2"/>
    <x v="0"/>
    <x v="0"/>
    <x v="1"/>
    <x v="3"/>
    <x v="2"/>
    <x v="2"/>
    <x v="1"/>
    <x v="3"/>
    <x v="1"/>
    <x v="1"/>
    <x v="85"/>
    <x v="1"/>
    <x v="6"/>
    <x v="3"/>
    <x v="196"/>
    <x v="3"/>
    <x v="1"/>
    <x v="7"/>
    <x v="1"/>
    <x v="0"/>
    <x v="234"/>
    <x v="0"/>
    <x v="117"/>
  </r>
  <r>
    <x v="398"/>
    <x v="199"/>
    <x v="197"/>
    <x v="195"/>
    <x v="320"/>
    <x v="1"/>
    <x v="2"/>
    <x v="208"/>
    <x v="170"/>
    <x v="1"/>
    <x v="94"/>
    <x v="0"/>
    <x v="0"/>
    <x v="1"/>
    <x v="1"/>
    <x v="1"/>
    <x v="2"/>
    <x v="1"/>
    <x v="3"/>
    <x v="1"/>
    <x v="2"/>
    <x v="0"/>
    <x v="2"/>
    <x v="2"/>
    <x v="2"/>
    <x v="197"/>
    <x v="1"/>
    <x v="0"/>
    <x v="0"/>
    <x v="1"/>
    <x v="0"/>
    <x v="0"/>
    <x v="0"/>
    <x v="0"/>
  </r>
  <r>
    <x v="399"/>
    <x v="200"/>
    <x v="198"/>
    <x v="196"/>
    <x v="321"/>
    <x v="2"/>
    <x v="2"/>
    <x v="209"/>
    <x v="171"/>
    <x v="1"/>
    <x v="15"/>
    <x v="0"/>
    <x v="0"/>
    <x v="1"/>
    <x v="2"/>
    <x v="3"/>
    <x v="2"/>
    <x v="2"/>
    <x v="3"/>
    <x v="1"/>
    <x v="1"/>
    <x v="87"/>
    <x v="1"/>
    <x v="1"/>
    <x v="13"/>
    <x v="198"/>
    <x v="1"/>
    <x v="1"/>
    <x v="4"/>
    <x v="2"/>
    <x v="1"/>
    <x v="235"/>
    <x v="112"/>
    <x v="118"/>
  </r>
  <r>
    <x v="400"/>
    <x v="201"/>
    <x v="199"/>
    <x v="197"/>
    <x v="322"/>
    <x v="3"/>
    <x v="2"/>
    <x v="210"/>
    <x v="172"/>
    <x v="1"/>
    <x v="3"/>
    <x v="0"/>
    <x v="0"/>
    <x v="1"/>
    <x v="1"/>
    <x v="1"/>
    <x v="2"/>
    <x v="2"/>
    <x v="2"/>
    <x v="1"/>
    <x v="2"/>
    <x v="0"/>
    <x v="1"/>
    <x v="1"/>
    <x v="2"/>
    <x v="199"/>
    <x v="12"/>
    <x v="0"/>
    <x v="0"/>
    <x v="1"/>
    <x v="0"/>
    <x v="0"/>
    <x v="0"/>
    <x v="119"/>
  </r>
  <r>
    <x v="401"/>
    <x v="202"/>
    <x v="200"/>
    <x v="198"/>
    <x v="323"/>
    <x v="1"/>
    <x v="2"/>
    <x v="211"/>
    <x v="173"/>
    <x v="2"/>
    <x v="0"/>
    <x v="2"/>
    <x v="0"/>
    <x v="1"/>
    <x v="3"/>
    <x v="3"/>
    <x v="2"/>
    <x v="1"/>
    <x v="2"/>
    <x v="1"/>
    <x v="1"/>
    <x v="87"/>
    <x v="1"/>
    <x v="1"/>
    <x v="2"/>
    <x v="200"/>
    <x v="2"/>
    <x v="1"/>
    <x v="1"/>
    <x v="1"/>
    <x v="0"/>
    <x v="236"/>
    <x v="0"/>
    <x v="0"/>
  </r>
  <r>
    <x v="402"/>
    <x v="198"/>
    <x v="196"/>
    <x v="194"/>
    <x v="0"/>
    <x v="3"/>
    <x v="2"/>
    <x v="207"/>
    <x v="71"/>
    <x v="1"/>
    <x v="2"/>
    <x v="0"/>
    <x v="0"/>
    <x v="3"/>
    <x v="1"/>
    <x v="1"/>
    <x v="2"/>
    <x v="1"/>
    <x v="3"/>
    <x v="1"/>
    <x v="2"/>
    <x v="0"/>
    <x v="2"/>
    <x v="3"/>
    <x v="4"/>
    <x v="196"/>
    <x v="12"/>
    <x v="0"/>
    <x v="0"/>
    <x v="1"/>
    <x v="0"/>
    <x v="0"/>
    <x v="0"/>
    <x v="0"/>
  </r>
  <r>
    <x v="403"/>
    <x v="150"/>
    <x v="150"/>
    <x v="148"/>
    <x v="324"/>
    <x v="1"/>
    <x v="2"/>
    <x v="155"/>
    <x v="130"/>
    <x v="1"/>
    <x v="95"/>
    <x v="0"/>
    <x v="0"/>
    <x v="1"/>
    <x v="2"/>
    <x v="3"/>
    <x v="2"/>
    <x v="1"/>
    <x v="1"/>
    <x v="1"/>
    <x v="1"/>
    <x v="87"/>
    <x v="1"/>
    <x v="5"/>
    <x v="2"/>
    <x v="201"/>
    <x v="12"/>
    <x v="1"/>
    <x v="4"/>
    <x v="1"/>
    <x v="0"/>
    <x v="237"/>
    <x v="0"/>
    <x v="0"/>
  </r>
  <r>
    <x v="404"/>
    <x v="194"/>
    <x v="192"/>
    <x v="190"/>
    <x v="0"/>
    <x v="1"/>
    <x v="2"/>
    <x v="203"/>
    <x v="167"/>
    <x v="1"/>
    <x v="33"/>
    <x v="0"/>
    <x v="0"/>
    <x v="3"/>
    <x v="1"/>
    <x v="1"/>
    <x v="2"/>
    <x v="1"/>
    <x v="2"/>
    <x v="1"/>
    <x v="2"/>
    <x v="0"/>
    <x v="2"/>
    <x v="3"/>
    <x v="4"/>
    <x v="192"/>
    <x v="5"/>
    <x v="0"/>
    <x v="0"/>
    <x v="1"/>
    <x v="0"/>
    <x v="0"/>
    <x v="0"/>
    <x v="0"/>
  </r>
  <r>
    <x v="405"/>
    <x v="150"/>
    <x v="150"/>
    <x v="148"/>
    <x v="0"/>
    <x v="1"/>
    <x v="2"/>
    <x v="155"/>
    <x v="130"/>
    <x v="1"/>
    <x v="96"/>
    <x v="0"/>
    <x v="0"/>
    <x v="3"/>
    <x v="3"/>
    <x v="3"/>
    <x v="2"/>
    <x v="1"/>
    <x v="1"/>
    <x v="1"/>
    <x v="1"/>
    <x v="86"/>
    <x v="2"/>
    <x v="3"/>
    <x v="4"/>
    <x v="149"/>
    <x v="1"/>
    <x v="1"/>
    <x v="1"/>
    <x v="1"/>
    <x v="0"/>
    <x v="238"/>
    <x v="113"/>
    <x v="120"/>
  </r>
  <r>
    <x v="406"/>
    <x v="43"/>
    <x v="42"/>
    <x v="42"/>
    <x v="325"/>
    <x v="3"/>
    <x v="2"/>
    <x v="45"/>
    <x v="46"/>
    <x v="2"/>
    <x v="0"/>
    <x v="5"/>
    <x v="0"/>
    <x v="1"/>
    <x v="2"/>
    <x v="3"/>
    <x v="2"/>
    <x v="2"/>
    <x v="2"/>
    <x v="1"/>
    <x v="1"/>
    <x v="86"/>
    <x v="1"/>
    <x v="6"/>
    <x v="2"/>
    <x v="42"/>
    <x v="5"/>
    <x v="3"/>
    <x v="0"/>
    <x v="1"/>
    <x v="0"/>
    <x v="239"/>
    <x v="114"/>
    <x v="0"/>
  </r>
  <r>
    <x v="407"/>
    <x v="202"/>
    <x v="200"/>
    <x v="198"/>
    <x v="0"/>
    <x v="1"/>
    <x v="1"/>
    <x v="211"/>
    <x v="174"/>
    <x v="6"/>
    <x v="0"/>
    <x v="2"/>
    <x v="0"/>
    <x v="3"/>
    <x v="4"/>
    <x v="1"/>
    <x v="2"/>
    <x v="1"/>
    <x v="2"/>
    <x v="1"/>
    <x v="2"/>
    <x v="0"/>
    <x v="2"/>
    <x v="3"/>
    <x v="4"/>
    <x v="200"/>
    <x v="5"/>
    <x v="0"/>
    <x v="0"/>
    <x v="1"/>
    <x v="0"/>
    <x v="0"/>
    <x v="0"/>
    <x v="0"/>
  </r>
  <r>
    <x v="408"/>
    <x v="152"/>
    <x v="152"/>
    <x v="150"/>
    <x v="0"/>
    <x v="3"/>
    <x v="2"/>
    <x v="157"/>
    <x v="114"/>
    <x v="1"/>
    <x v="2"/>
    <x v="0"/>
    <x v="0"/>
    <x v="3"/>
    <x v="1"/>
    <x v="1"/>
    <x v="2"/>
    <x v="2"/>
    <x v="2"/>
    <x v="1"/>
    <x v="1"/>
    <x v="88"/>
    <x v="2"/>
    <x v="3"/>
    <x v="4"/>
    <x v="202"/>
    <x v="5"/>
    <x v="1"/>
    <x v="5"/>
    <x v="2"/>
    <x v="1"/>
    <x v="240"/>
    <x v="0"/>
    <x v="0"/>
  </r>
  <r>
    <x v="409"/>
    <x v="200"/>
    <x v="198"/>
    <x v="196"/>
    <x v="326"/>
    <x v="2"/>
    <x v="2"/>
    <x v="209"/>
    <x v="171"/>
    <x v="1"/>
    <x v="22"/>
    <x v="0"/>
    <x v="0"/>
    <x v="3"/>
    <x v="3"/>
    <x v="3"/>
    <x v="2"/>
    <x v="2"/>
    <x v="1"/>
    <x v="1"/>
    <x v="1"/>
    <x v="86"/>
    <x v="1"/>
    <x v="3"/>
    <x v="4"/>
    <x v="198"/>
    <x v="1"/>
    <x v="3"/>
    <x v="0"/>
    <x v="1"/>
    <x v="0"/>
    <x v="241"/>
    <x v="115"/>
    <x v="118"/>
  </r>
  <r>
    <x v="410"/>
    <x v="203"/>
    <x v="201"/>
    <x v="199"/>
    <x v="327"/>
    <x v="3"/>
    <x v="3"/>
    <x v="212"/>
    <x v="175"/>
    <x v="1"/>
    <x v="97"/>
    <x v="0"/>
    <x v="0"/>
    <x v="1"/>
    <x v="1"/>
    <x v="1"/>
    <x v="2"/>
    <x v="1"/>
    <x v="2"/>
    <x v="1"/>
    <x v="2"/>
    <x v="0"/>
    <x v="2"/>
    <x v="6"/>
    <x v="3"/>
    <x v="203"/>
    <x v="1"/>
    <x v="0"/>
    <x v="0"/>
    <x v="1"/>
    <x v="0"/>
    <x v="0"/>
    <x v="0"/>
    <x v="0"/>
  </r>
  <r>
    <x v="411"/>
    <x v="204"/>
    <x v="202"/>
    <x v="200"/>
    <x v="328"/>
    <x v="3"/>
    <x v="2"/>
    <x v="213"/>
    <x v="176"/>
    <x v="1"/>
    <x v="3"/>
    <x v="0"/>
    <x v="0"/>
    <x v="1"/>
    <x v="3"/>
    <x v="2"/>
    <x v="2"/>
    <x v="1"/>
    <x v="2"/>
    <x v="1"/>
    <x v="1"/>
    <x v="89"/>
    <x v="1"/>
    <x v="6"/>
    <x v="2"/>
    <x v="204"/>
    <x v="12"/>
    <x v="2"/>
    <x v="7"/>
    <x v="1"/>
    <x v="0"/>
    <x v="242"/>
    <x v="0"/>
    <x v="121"/>
  </r>
  <r>
    <x v="412"/>
    <x v="205"/>
    <x v="203"/>
    <x v="201"/>
    <x v="329"/>
    <x v="1"/>
    <x v="1"/>
    <x v="214"/>
    <x v="177"/>
    <x v="1"/>
    <x v="31"/>
    <x v="0"/>
    <x v="0"/>
    <x v="1"/>
    <x v="1"/>
    <x v="1"/>
    <x v="2"/>
    <x v="2"/>
    <x v="1"/>
    <x v="1"/>
    <x v="1"/>
    <x v="90"/>
    <x v="1"/>
    <x v="1"/>
    <x v="2"/>
    <x v="205"/>
    <x v="12"/>
    <x v="1"/>
    <x v="7"/>
    <x v="1"/>
    <x v="0"/>
    <x v="243"/>
    <x v="116"/>
    <x v="122"/>
  </r>
  <r>
    <x v="413"/>
    <x v="206"/>
    <x v="204"/>
    <x v="202"/>
    <x v="330"/>
    <x v="2"/>
    <x v="2"/>
    <x v="215"/>
    <x v="178"/>
    <x v="1"/>
    <x v="1"/>
    <x v="0"/>
    <x v="0"/>
    <x v="1"/>
    <x v="2"/>
    <x v="3"/>
    <x v="2"/>
    <x v="2"/>
    <x v="1"/>
    <x v="1"/>
    <x v="1"/>
    <x v="89"/>
    <x v="1"/>
    <x v="1"/>
    <x v="2"/>
    <x v="206"/>
    <x v="2"/>
    <x v="1"/>
    <x v="3"/>
    <x v="1"/>
    <x v="0"/>
    <x v="244"/>
    <x v="117"/>
    <x v="0"/>
  </r>
  <r>
    <x v="414"/>
    <x v="207"/>
    <x v="205"/>
    <x v="203"/>
    <x v="331"/>
    <x v="1"/>
    <x v="2"/>
    <x v="216"/>
    <x v="179"/>
    <x v="1"/>
    <x v="9"/>
    <x v="0"/>
    <x v="0"/>
    <x v="1"/>
    <x v="3"/>
    <x v="2"/>
    <x v="2"/>
    <x v="2"/>
    <x v="2"/>
    <x v="1"/>
    <x v="1"/>
    <x v="88"/>
    <x v="1"/>
    <x v="1"/>
    <x v="2"/>
    <x v="207"/>
    <x v="3"/>
    <x v="1"/>
    <x v="4"/>
    <x v="1"/>
    <x v="0"/>
    <x v="245"/>
    <x v="0"/>
    <x v="0"/>
  </r>
  <r>
    <x v="415"/>
    <x v="206"/>
    <x v="204"/>
    <x v="202"/>
    <x v="330"/>
    <x v="2"/>
    <x v="2"/>
    <x v="215"/>
    <x v="180"/>
    <x v="1"/>
    <x v="1"/>
    <x v="0"/>
    <x v="0"/>
    <x v="3"/>
    <x v="1"/>
    <x v="1"/>
    <x v="2"/>
    <x v="1"/>
    <x v="3"/>
    <x v="1"/>
    <x v="2"/>
    <x v="0"/>
    <x v="2"/>
    <x v="3"/>
    <x v="4"/>
    <x v="206"/>
    <x v="3"/>
    <x v="0"/>
    <x v="0"/>
    <x v="1"/>
    <x v="0"/>
    <x v="0"/>
    <x v="0"/>
    <x v="0"/>
  </r>
  <r>
    <x v="416"/>
    <x v="208"/>
    <x v="206"/>
    <x v="204"/>
    <x v="332"/>
    <x v="1"/>
    <x v="3"/>
    <x v="217"/>
    <x v="58"/>
    <x v="1"/>
    <x v="3"/>
    <x v="0"/>
    <x v="0"/>
    <x v="1"/>
    <x v="3"/>
    <x v="2"/>
    <x v="2"/>
    <x v="1"/>
    <x v="2"/>
    <x v="1"/>
    <x v="1"/>
    <x v="88"/>
    <x v="1"/>
    <x v="5"/>
    <x v="2"/>
    <x v="208"/>
    <x v="12"/>
    <x v="3"/>
    <x v="0"/>
    <x v="1"/>
    <x v="0"/>
    <x v="246"/>
    <x v="118"/>
    <x v="123"/>
  </r>
  <r>
    <x v="417"/>
    <x v="207"/>
    <x v="205"/>
    <x v="203"/>
    <x v="0"/>
    <x v="1"/>
    <x v="2"/>
    <x v="216"/>
    <x v="181"/>
    <x v="1"/>
    <x v="9"/>
    <x v="0"/>
    <x v="0"/>
    <x v="3"/>
    <x v="1"/>
    <x v="1"/>
    <x v="2"/>
    <x v="2"/>
    <x v="2"/>
    <x v="1"/>
    <x v="2"/>
    <x v="0"/>
    <x v="2"/>
    <x v="3"/>
    <x v="4"/>
    <x v="207"/>
    <x v="1"/>
    <x v="0"/>
    <x v="0"/>
    <x v="1"/>
    <x v="0"/>
    <x v="0"/>
    <x v="0"/>
    <x v="0"/>
  </r>
  <r>
    <x v="418"/>
    <x v="152"/>
    <x v="152"/>
    <x v="150"/>
    <x v="0"/>
    <x v="3"/>
    <x v="2"/>
    <x v="157"/>
    <x v="114"/>
    <x v="1"/>
    <x v="2"/>
    <x v="0"/>
    <x v="0"/>
    <x v="3"/>
    <x v="2"/>
    <x v="3"/>
    <x v="2"/>
    <x v="1"/>
    <x v="3"/>
    <x v="1"/>
    <x v="1"/>
    <x v="91"/>
    <x v="2"/>
    <x v="3"/>
    <x v="4"/>
    <x v="202"/>
    <x v="2"/>
    <x v="1"/>
    <x v="1"/>
    <x v="1"/>
    <x v="0"/>
    <x v="247"/>
    <x v="119"/>
    <x v="0"/>
  </r>
  <r>
    <x v="419"/>
    <x v="209"/>
    <x v="207"/>
    <x v="205"/>
    <x v="333"/>
    <x v="1"/>
    <x v="2"/>
    <x v="218"/>
    <x v="103"/>
    <x v="1"/>
    <x v="15"/>
    <x v="0"/>
    <x v="0"/>
    <x v="1"/>
    <x v="1"/>
    <x v="1"/>
    <x v="2"/>
    <x v="1"/>
    <x v="3"/>
    <x v="1"/>
    <x v="2"/>
    <x v="0"/>
    <x v="2"/>
    <x v="1"/>
    <x v="2"/>
    <x v="209"/>
    <x v="4"/>
    <x v="0"/>
    <x v="0"/>
    <x v="1"/>
    <x v="0"/>
    <x v="0"/>
    <x v="0"/>
    <x v="0"/>
  </r>
  <r>
    <x v="420"/>
    <x v="210"/>
    <x v="208"/>
    <x v="206"/>
    <x v="334"/>
    <x v="3"/>
    <x v="2"/>
    <x v="219"/>
    <x v="57"/>
    <x v="1"/>
    <x v="9"/>
    <x v="0"/>
    <x v="0"/>
    <x v="1"/>
    <x v="1"/>
    <x v="1"/>
    <x v="2"/>
    <x v="1"/>
    <x v="2"/>
    <x v="1"/>
    <x v="1"/>
    <x v="92"/>
    <x v="1"/>
    <x v="5"/>
    <x v="2"/>
    <x v="210"/>
    <x v="5"/>
    <x v="1"/>
    <x v="5"/>
    <x v="2"/>
    <x v="1"/>
    <x v="248"/>
    <x v="0"/>
    <x v="0"/>
  </r>
  <r>
    <x v="421"/>
    <x v="150"/>
    <x v="150"/>
    <x v="148"/>
    <x v="0"/>
    <x v="1"/>
    <x v="2"/>
    <x v="155"/>
    <x v="130"/>
    <x v="1"/>
    <x v="96"/>
    <x v="0"/>
    <x v="0"/>
    <x v="3"/>
    <x v="1"/>
    <x v="1"/>
    <x v="2"/>
    <x v="1"/>
    <x v="2"/>
    <x v="1"/>
    <x v="2"/>
    <x v="0"/>
    <x v="2"/>
    <x v="3"/>
    <x v="4"/>
    <x v="149"/>
    <x v="5"/>
    <x v="0"/>
    <x v="0"/>
    <x v="1"/>
    <x v="0"/>
    <x v="0"/>
    <x v="0"/>
    <x v="0"/>
  </r>
  <r>
    <x v="422"/>
    <x v="211"/>
    <x v="209"/>
    <x v="207"/>
    <x v="335"/>
    <x v="3"/>
    <x v="1"/>
    <x v="220"/>
    <x v="10"/>
    <x v="6"/>
    <x v="0"/>
    <x v="0"/>
    <x v="8"/>
    <x v="1"/>
    <x v="3"/>
    <x v="2"/>
    <x v="2"/>
    <x v="1"/>
    <x v="3"/>
    <x v="1"/>
    <x v="2"/>
    <x v="0"/>
    <x v="1"/>
    <x v="1"/>
    <x v="2"/>
    <x v="211"/>
    <x v="5"/>
    <x v="0"/>
    <x v="0"/>
    <x v="1"/>
    <x v="0"/>
    <x v="0"/>
    <x v="0"/>
    <x v="124"/>
  </r>
  <r>
    <x v="423"/>
    <x v="152"/>
    <x v="152"/>
    <x v="150"/>
    <x v="0"/>
    <x v="3"/>
    <x v="2"/>
    <x v="157"/>
    <x v="114"/>
    <x v="1"/>
    <x v="2"/>
    <x v="0"/>
    <x v="0"/>
    <x v="3"/>
    <x v="1"/>
    <x v="1"/>
    <x v="2"/>
    <x v="1"/>
    <x v="2"/>
    <x v="1"/>
    <x v="2"/>
    <x v="0"/>
    <x v="2"/>
    <x v="3"/>
    <x v="4"/>
    <x v="202"/>
    <x v="5"/>
    <x v="0"/>
    <x v="0"/>
    <x v="1"/>
    <x v="0"/>
    <x v="0"/>
    <x v="0"/>
    <x v="0"/>
  </r>
  <r>
    <x v="424"/>
    <x v="185"/>
    <x v="183"/>
    <x v="181"/>
    <x v="336"/>
    <x v="1"/>
    <x v="2"/>
    <x v="221"/>
    <x v="10"/>
    <x v="1"/>
    <x v="4"/>
    <x v="0"/>
    <x v="0"/>
    <x v="1"/>
    <x v="1"/>
    <x v="1"/>
    <x v="2"/>
    <x v="1"/>
    <x v="3"/>
    <x v="1"/>
    <x v="1"/>
    <x v="0"/>
    <x v="1"/>
    <x v="2"/>
    <x v="3"/>
    <x v="182"/>
    <x v="1"/>
    <x v="0"/>
    <x v="0"/>
    <x v="1"/>
    <x v="0"/>
    <x v="249"/>
    <x v="0"/>
    <x v="0"/>
  </r>
  <r>
    <x v="425"/>
    <x v="185"/>
    <x v="183"/>
    <x v="181"/>
    <x v="337"/>
    <x v="1"/>
    <x v="2"/>
    <x v="193"/>
    <x v="10"/>
    <x v="1"/>
    <x v="15"/>
    <x v="0"/>
    <x v="0"/>
    <x v="1"/>
    <x v="3"/>
    <x v="3"/>
    <x v="2"/>
    <x v="1"/>
    <x v="3"/>
    <x v="1"/>
    <x v="1"/>
    <x v="92"/>
    <x v="1"/>
    <x v="1"/>
    <x v="2"/>
    <x v="182"/>
    <x v="1"/>
    <x v="3"/>
    <x v="0"/>
    <x v="1"/>
    <x v="0"/>
    <x v="250"/>
    <x v="0"/>
    <x v="0"/>
  </r>
  <r>
    <x v="426"/>
    <x v="212"/>
    <x v="210"/>
    <x v="208"/>
    <x v="338"/>
    <x v="1"/>
    <x v="2"/>
    <x v="222"/>
    <x v="10"/>
    <x v="1"/>
    <x v="98"/>
    <x v="0"/>
    <x v="0"/>
    <x v="1"/>
    <x v="2"/>
    <x v="3"/>
    <x v="2"/>
    <x v="1"/>
    <x v="2"/>
    <x v="1"/>
    <x v="1"/>
    <x v="92"/>
    <x v="1"/>
    <x v="1"/>
    <x v="2"/>
    <x v="212"/>
    <x v="4"/>
    <x v="3"/>
    <x v="0"/>
    <x v="1"/>
    <x v="0"/>
    <x v="251"/>
    <x v="120"/>
    <x v="0"/>
  </r>
  <r>
    <x v="427"/>
    <x v="213"/>
    <x v="211"/>
    <x v="209"/>
    <x v="339"/>
    <x v="1"/>
    <x v="2"/>
    <x v="223"/>
    <x v="182"/>
    <x v="1"/>
    <x v="3"/>
    <x v="0"/>
    <x v="0"/>
    <x v="1"/>
    <x v="1"/>
    <x v="1"/>
    <x v="2"/>
    <x v="1"/>
    <x v="3"/>
    <x v="1"/>
    <x v="1"/>
    <x v="93"/>
    <x v="1"/>
    <x v="1"/>
    <x v="2"/>
    <x v="213"/>
    <x v="1"/>
    <x v="1"/>
    <x v="8"/>
    <x v="1"/>
    <x v="0"/>
    <x v="252"/>
    <x v="121"/>
    <x v="0"/>
  </r>
  <r>
    <x v="428"/>
    <x v="214"/>
    <x v="212"/>
    <x v="210"/>
    <x v="340"/>
    <x v="1"/>
    <x v="2"/>
    <x v="224"/>
    <x v="183"/>
    <x v="1"/>
    <x v="99"/>
    <x v="0"/>
    <x v="0"/>
    <x v="1"/>
    <x v="1"/>
    <x v="1"/>
    <x v="2"/>
    <x v="1"/>
    <x v="3"/>
    <x v="1"/>
    <x v="2"/>
    <x v="0"/>
    <x v="1"/>
    <x v="1"/>
    <x v="2"/>
    <x v="214"/>
    <x v="12"/>
    <x v="0"/>
    <x v="0"/>
    <x v="1"/>
    <x v="0"/>
    <x v="0"/>
    <x v="0"/>
    <x v="0"/>
  </r>
  <r>
    <x v="429"/>
    <x v="215"/>
    <x v="213"/>
    <x v="211"/>
    <x v="341"/>
    <x v="1"/>
    <x v="2"/>
    <x v="225"/>
    <x v="184"/>
    <x v="1"/>
    <x v="36"/>
    <x v="0"/>
    <x v="0"/>
    <x v="1"/>
    <x v="5"/>
    <x v="1"/>
    <x v="1"/>
    <x v="1"/>
    <x v="2"/>
    <x v="1"/>
    <x v="2"/>
    <x v="0"/>
    <x v="1"/>
    <x v="1"/>
    <x v="13"/>
    <x v="215"/>
    <x v="12"/>
    <x v="0"/>
    <x v="0"/>
    <x v="1"/>
    <x v="0"/>
    <x v="0"/>
    <x v="0"/>
    <x v="125"/>
  </r>
  <r>
    <x v="430"/>
    <x v="216"/>
    <x v="214"/>
    <x v="212"/>
    <x v="342"/>
    <x v="1"/>
    <x v="3"/>
    <x v="226"/>
    <x v="185"/>
    <x v="1"/>
    <x v="100"/>
    <x v="0"/>
    <x v="0"/>
    <x v="1"/>
    <x v="1"/>
    <x v="1"/>
    <x v="2"/>
    <x v="1"/>
    <x v="1"/>
    <x v="1"/>
    <x v="2"/>
    <x v="0"/>
    <x v="1"/>
    <x v="5"/>
    <x v="2"/>
    <x v="216"/>
    <x v="12"/>
    <x v="0"/>
    <x v="0"/>
    <x v="1"/>
    <x v="0"/>
    <x v="0"/>
    <x v="0"/>
    <x v="0"/>
  </r>
  <r>
    <x v="431"/>
    <x v="210"/>
    <x v="208"/>
    <x v="206"/>
    <x v="343"/>
    <x v="3"/>
    <x v="2"/>
    <x v="219"/>
    <x v="186"/>
    <x v="1"/>
    <x v="9"/>
    <x v="0"/>
    <x v="0"/>
    <x v="3"/>
    <x v="1"/>
    <x v="1"/>
    <x v="2"/>
    <x v="1"/>
    <x v="1"/>
    <x v="1"/>
    <x v="2"/>
    <x v="0"/>
    <x v="1"/>
    <x v="3"/>
    <x v="4"/>
    <x v="210"/>
    <x v="2"/>
    <x v="0"/>
    <x v="0"/>
    <x v="1"/>
    <x v="0"/>
    <x v="0"/>
    <x v="0"/>
    <x v="0"/>
  </r>
  <r>
    <x v="432"/>
    <x v="95"/>
    <x v="215"/>
    <x v="93"/>
    <x v="344"/>
    <x v="1"/>
    <x v="2"/>
    <x v="100"/>
    <x v="92"/>
    <x v="1"/>
    <x v="3"/>
    <x v="0"/>
    <x v="0"/>
    <x v="1"/>
    <x v="1"/>
    <x v="1"/>
    <x v="2"/>
    <x v="1"/>
    <x v="1"/>
    <x v="1"/>
    <x v="2"/>
    <x v="0"/>
    <x v="1"/>
    <x v="2"/>
    <x v="2"/>
    <x v="94"/>
    <x v="12"/>
    <x v="0"/>
    <x v="0"/>
    <x v="1"/>
    <x v="0"/>
    <x v="0"/>
    <x v="0"/>
    <x v="0"/>
  </r>
  <r>
    <x v="433"/>
    <x v="217"/>
    <x v="216"/>
    <x v="213"/>
    <x v="345"/>
    <x v="1"/>
    <x v="2"/>
    <x v="227"/>
    <x v="187"/>
    <x v="1"/>
    <x v="3"/>
    <x v="0"/>
    <x v="0"/>
    <x v="1"/>
    <x v="1"/>
    <x v="1"/>
    <x v="2"/>
    <x v="1"/>
    <x v="2"/>
    <x v="1"/>
    <x v="2"/>
    <x v="0"/>
    <x v="1"/>
    <x v="1"/>
    <x v="2"/>
    <x v="217"/>
    <x v="12"/>
    <x v="0"/>
    <x v="0"/>
    <x v="1"/>
    <x v="0"/>
    <x v="0"/>
    <x v="0"/>
    <x v="126"/>
  </r>
  <r>
    <x v="434"/>
    <x v="218"/>
    <x v="217"/>
    <x v="214"/>
    <x v="346"/>
    <x v="1"/>
    <x v="2"/>
    <x v="228"/>
    <x v="188"/>
    <x v="1"/>
    <x v="33"/>
    <x v="0"/>
    <x v="0"/>
    <x v="1"/>
    <x v="3"/>
    <x v="3"/>
    <x v="2"/>
    <x v="2"/>
    <x v="1"/>
    <x v="1"/>
    <x v="1"/>
    <x v="94"/>
    <x v="1"/>
    <x v="5"/>
    <x v="2"/>
    <x v="218"/>
    <x v="12"/>
    <x v="3"/>
    <x v="0"/>
    <x v="1"/>
    <x v="0"/>
    <x v="253"/>
    <x v="122"/>
    <x v="127"/>
  </r>
  <r>
    <x v="435"/>
    <x v="219"/>
    <x v="218"/>
    <x v="215"/>
    <x v="347"/>
    <x v="3"/>
    <x v="2"/>
    <x v="229"/>
    <x v="10"/>
    <x v="1"/>
    <x v="15"/>
    <x v="0"/>
    <x v="0"/>
    <x v="1"/>
    <x v="1"/>
    <x v="1"/>
    <x v="2"/>
    <x v="1"/>
    <x v="2"/>
    <x v="1"/>
    <x v="1"/>
    <x v="95"/>
    <x v="1"/>
    <x v="6"/>
    <x v="2"/>
    <x v="219"/>
    <x v="5"/>
    <x v="3"/>
    <x v="0"/>
    <x v="1"/>
    <x v="0"/>
    <x v="254"/>
    <x v="123"/>
    <x v="128"/>
  </r>
  <r>
    <x v="436"/>
    <x v="213"/>
    <x v="211"/>
    <x v="209"/>
    <x v="0"/>
    <x v="1"/>
    <x v="2"/>
    <x v="223"/>
    <x v="189"/>
    <x v="1"/>
    <x v="3"/>
    <x v="0"/>
    <x v="0"/>
    <x v="3"/>
    <x v="1"/>
    <x v="1"/>
    <x v="2"/>
    <x v="1"/>
    <x v="2"/>
    <x v="1"/>
    <x v="2"/>
    <x v="0"/>
    <x v="2"/>
    <x v="6"/>
    <x v="2"/>
    <x v="213"/>
    <x v="8"/>
    <x v="0"/>
    <x v="0"/>
    <x v="1"/>
    <x v="0"/>
    <x v="0"/>
    <x v="0"/>
    <x v="0"/>
  </r>
  <r>
    <x v="437"/>
    <x v="220"/>
    <x v="219"/>
    <x v="216"/>
    <x v="348"/>
    <x v="1"/>
    <x v="3"/>
    <x v="230"/>
    <x v="190"/>
    <x v="2"/>
    <x v="0"/>
    <x v="5"/>
    <x v="0"/>
    <x v="1"/>
    <x v="2"/>
    <x v="3"/>
    <x v="2"/>
    <x v="1"/>
    <x v="2"/>
    <x v="1"/>
    <x v="1"/>
    <x v="94"/>
    <x v="1"/>
    <x v="6"/>
    <x v="2"/>
    <x v="220"/>
    <x v="5"/>
    <x v="3"/>
    <x v="0"/>
    <x v="1"/>
    <x v="0"/>
    <x v="255"/>
    <x v="124"/>
    <x v="0"/>
  </r>
  <r>
    <x v="438"/>
    <x v="169"/>
    <x v="169"/>
    <x v="167"/>
    <x v="349"/>
    <x v="1"/>
    <x v="2"/>
    <x v="177"/>
    <x v="147"/>
    <x v="1"/>
    <x v="15"/>
    <x v="0"/>
    <x v="0"/>
    <x v="1"/>
    <x v="1"/>
    <x v="1"/>
    <x v="2"/>
    <x v="1"/>
    <x v="2"/>
    <x v="1"/>
    <x v="1"/>
    <x v="95"/>
    <x v="1"/>
    <x v="1"/>
    <x v="2"/>
    <x v="168"/>
    <x v="12"/>
    <x v="1"/>
    <x v="7"/>
    <x v="1"/>
    <x v="0"/>
    <x v="256"/>
    <x v="0"/>
    <x v="129"/>
  </r>
  <r>
    <x v="439"/>
    <x v="169"/>
    <x v="169"/>
    <x v="167"/>
    <x v="349"/>
    <x v="1"/>
    <x v="2"/>
    <x v="177"/>
    <x v="147"/>
    <x v="1"/>
    <x v="15"/>
    <x v="0"/>
    <x v="0"/>
    <x v="3"/>
    <x v="1"/>
    <x v="1"/>
    <x v="2"/>
    <x v="1"/>
    <x v="2"/>
    <x v="1"/>
    <x v="1"/>
    <x v="95"/>
    <x v="2"/>
    <x v="3"/>
    <x v="4"/>
    <x v="168"/>
    <x v="12"/>
    <x v="1"/>
    <x v="7"/>
    <x v="2"/>
    <x v="1"/>
    <x v="257"/>
    <x v="0"/>
    <x v="0"/>
  </r>
  <r>
    <x v="440"/>
    <x v="169"/>
    <x v="169"/>
    <x v="167"/>
    <x v="350"/>
    <x v="1"/>
    <x v="2"/>
    <x v="177"/>
    <x v="147"/>
    <x v="1"/>
    <x v="15"/>
    <x v="0"/>
    <x v="0"/>
    <x v="3"/>
    <x v="3"/>
    <x v="3"/>
    <x v="2"/>
    <x v="1"/>
    <x v="2"/>
    <x v="1"/>
    <x v="1"/>
    <x v="96"/>
    <x v="1"/>
    <x v="3"/>
    <x v="4"/>
    <x v="168"/>
    <x v="12"/>
    <x v="1"/>
    <x v="4"/>
    <x v="1"/>
    <x v="0"/>
    <x v="258"/>
    <x v="125"/>
    <x v="130"/>
  </r>
  <r>
    <x v="441"/>
    <x v="221"/>
    <x v="220"/>
    <x v="217"/>
    <x v="351"/>
    <x v="1"/>
    <x v="3"/>
    <x v="231"/>
    <x v="10"/>
    <x v="1"/>
    <x v="24"/>
    <x v="0"/>
    <x v="0"/>
    <x v="1"/>
    <x v="3"/>
    <x v="3"/>
    <x v="1"/>
    <x v="2"/>
    <x v="1"/>
    <x v="1"/>
    <x v="1"/>
    <x v="96"/>
    <x v="1"/>
    <x v="4"/>
    <x v="3"/>
    <x v="221"/>
    <x v="2"/>
    <x v="3"/>
    <x v="0"/>
    <x v="1"/>
    <x v="0"/>
    <x v="259"/>
    <x v="0"/>
    <x v="131"/>
  </r>
  <r>
    <x v="442"/>
    <x v="169"/>
    <x v="169"/>
    <x v="167"/>
    <x v="0"/>
    <x v="1"/>
    <x v="2"/>
    <x v="177"/>
    <x v="147"/>
    <x v="2"/>
    <x v="0"/>
    <x v="2"/>
    <x v="0"/>
    <x v="3"/>
    <x v="4"/>
    <x v="1"/>
    <x v="2"/>
    <x v="1"/>
    <x v="2"/>
    <x v="1"/>
    <x v="2"/>
    <x v="0"/>
    <x v="2"/>
    <x v="3"/>
    <x v="4"/>
    <x v="168"/>
    <x v="1"/>
    <x v="0"/>
    <x v="0"/>
    <x v="1"/>
    <x v="0"/>
    <x v="0"/>
    <x v="0"/>
    <x v="0"/>
  </r>
  <r>
    <x v="443"/>
    <x v="222"/>
    <x v="221"/>
    <x v="218"/>
    <x v="352"/>
    <x v="3"/>
    <x v="4"/>
    <x v="232"/>
    <x v="163"/>
    <x v="1"/>
    <x v="15"/>
    <x v="0"/>
    <x v="0"/>
    <x v="1"/>
    <x v="1"/>
    <x v="1"/>
    <x v="2"/>
    <x v="1"/>
    <x v="1"/>
    <x v="1"/>
    <x v="1"/>
    <x v="90"/>
    <x v="1"/>
    <x v="5"/>
    <x v="3"/>
    <x v="222"/>
    <x v="1"/>
    <x v="3"/>
    <x v="5"/>
    <x v="1"/>
    <x v="0"/>
    <x v="260"/>
    <x v="126"/>
    <x v="132"/>
  </r>
  <r>
    <x v="444"/>
    <x v="223"/>
    <x v="222"/>
    <x v="219"/>
    <x v="353"/>
    <x v="1"/>
    <x v="2"/>
    <x v="233"/>
    <x v="191"/>
    <x v="1"/>
    <x v="70"/>
    <x v="0"/>
    <x v="0"/>
    <x v="1"/>
    <x v="1"/>
    <x v="1"/>
    <x v="2"/>
    <x v="1"/>
    <x v="1"/>
    <x v="1"/>
    <x v="2"/>
    <x v="0"/>
    <x v="1"/>
    <x v="1"/>
    <x v="2"/>
    <x v="223"/>
    <x v="12"/>
    <x v="0"/>
    <x v="0"/>
    <x v="1"/>
    <x v="0"/>
    <x v="0"/>
    <x v="0"/>
    <x v="0"/>
  </r>
  <r>
    <x v="445"/>
    <x v="224"/>
    <x v="223"/>
    <x v="220"/>
    <x v="354"/>
    <x v="1"/>
    <x v="2"/>
    <x v="234"/>
    <x v="30"/>
    <x v="1"/>
    <x v="33"/>
    <x v="0"/>
    <x v="0"/>
    <x v="1"/>
    <x v="3"/>
    <x v="2"/>
    <x v="2"/>
    <x v="1"/>
    <x v="3"/>
    <x v="1"/>
    <x v="1"/>
    <x v="90"/>
    <x v="1"/>
    <x v="1"/>
    <x v="2"/>
    <x v="224"/>
    <x v="2"/>
    <x v="1"/>
    <x v="4"/>
    <x v="1"/>
    <x v="0"/>
    <x v="261"/>
    <x v="127"/>
    <x v="0"/>
  </r>
  <r>
    <x v="446"/>
    <x v="225"/>
    <x v="224"/>
    <x v="221"/>
    <x v="355"/>
    <x v="1"/>
    <x v="2"/>
    <x v="235"/>
    <x v="192"/>
    <x v="1"/>
    <x v="36"/>
    <x v="0"/>
    <x v="0"/>
    <x v="1"/>
    <x v="1"/>
    <x v="1"/>
    <x v="2"/>
    <x v="1"/>
    <x v="2"/>
    <x v="1"/>
    <x v="1"/>
    <x v="90"/>
    <x v="1"/>
    <x v="1"/>
    <x v="2"/>
    <x v="225"/>
    <x v="12"/>
    <x v="1"/>
    <x v="7"/>
    <x v="2"/>
    <x v="1"/>
    <x v="262"/>
    <x v="128"/>
    <x v="133"/>
  </r>
  <r>
    <x v="447"/>
    <x v="226"/>
    <x v="225"/>
    <x v="222"/>
    <x v="356"/>
    <x v="1"/>
    <x v="2"/>
    <x v="236"/>
    <x v="193"/>
    <x v="1"/>
    <x v="3"/>
    <x v="0"/>
    <x v="0"/>
    <x v="1"/>
    <x v="3"/>
    <x v="2"/>
    <x v="2"/>
    <x v="1"/>
    <x v="3"/>
    <x v="1"/>
    <x v="1"/>
    <x v="97"/>
    <x v="1"/>
    <x v="1"/>
    <x v="2"/>
    <x v="226"/>
    <x v="1"/>
    <x v="3"/>
    <x v="0"/>
    <x v="1"/>
    <x v="0"/>
    <x v="263"/>
    <x v="129"/>
    <x v="0"/>
  </r>
  <r>
    <x v="448"/>
    <x v="205"/>
    <x v="203"/>
    <x v="201"/>
    <x v="0"/>
    <x v="1"/>
    <x v="1"/>
    <x v="214"/>
    <x v="177"/>
    <x v="1"/>
    <x v="31"/>
    <x v="0"/>
    <x v="0"/>
    <x v="3"/>
    <x v="1"/>
    <x v="1"/>
    <x v="2"/>
    <x v="1"/>
    <x v="1"/>
    <x v="1"/>
    <x v="2"/>
    <x v="0"/>
    <x v="2"/>
    <x v="3"/>
    <x v="4"/>
    <x v="205"/>
    <x v="12"/>
    <x v="0"/>
    <x v="0"/>
    <x v="1"/>
    <x v="0"/>
    <x v="0"/>
    <x v="0"/>
    <x v="0"/>
  </r>
  <r>
    <x v="449"/>
    <x v="227"/>
    <x v="226"/>
    <x v="223"/>
    <x v="357"/>
    <x v="1"/>
    <x v="3"/>
    <x v="237"/>
    <x v="40"/>
    <x v="2"/>
    <x v="0"/>
    <x v="2"/>
    <x v="0"/>
    <x v="1"/>
    <x v="1"/>
    <x v="1"/>
    <x v="2"/>
    <x v="1"/>
    <x v="2"/>
    <x v="1"/>
    <x v="1"/>
    <x v="90"/>
    <x v="1"/>
    <x v="1"/>
    <x v="2"/>
    <x v="227"/>
    <x v="12"/>
    <x v="1"/>
    <x v="7"/>
    <x v="2"/>
    <x v="1"/>
    <x v="264"/>
    <x v="0"/>
    <x v="134"/>
  </r>
  <r>
    <x v="450"/>
    <x v="118"/>
    <x v="117"/>
    <x v="116"/>
    <x v="358"/>
    <x v="1"/>
    <x v="2"/>
    <x v="123"/>
    <x v="163"/>
    <x v="1"/>
    <x v="1"/>
    <x v="0"/>
    <x v="0"/>
    <x v="1"/>
    <x v="1"/>
    <x v="1"/>
    <x v="2"/>
    <x v="1"/>
    <x v="2"/>
    <x v="1"/>
    <x v="2"/>
    <x v="0"/>
    <x v="1"/>
    <x v="1"/>
    <x v="2"/>
    <x v="117"/>
    <x v="12"/>
    <x v="0"/>
    <x v="0"/>
    <x v="1"/>
    <x v="0"/>
    <x v="0"/>
    <x v="0"/>
    <x v="0"/>
  </r>
  <r>
    <x v="451"/>
    <x v="228"/>
    <x v="227"/>
    <x v="224"/>
    <x v="359"/>
    <x v="3"/>
    <x v="2"/>
    <x v="238"/>
    <x v="194"/>
    <x v="1"/>
    <x v="101"/>
    <x v="0"/>
    <x v="0"/>
    <x v="1"/>
    <x v="3"/>
    <x v="2"/>
    <x v="2"/>
    <x v="1"/>
    <x v="3"/>
    <x v="1"/>
    <x v="1"/>
    <x v="97"/>
    <x v="1"/>
    <x v="1"/>
    <x v="2"/>
    <x v="228"/>
    <x v="1"/>
    <x v="3"/>
    <x v="0"/>
    <x v="1"/>
    <x v="0"/>
    <x v="265"/>
    <x v="130"/>
    <x v="0"/>
  </r>
  <r>
    <x v="452"/>
    <x v="229"/>
    <x v="228"/>
    <x v="225"/>
    <x v="360"/>
    <x v="1"/>
    <x v="1"/>
    <x v="239"/>
    <x v="164"/>
    <x v="1"/>
    <x v="102"/>
    <x v="0"/>
    <x v="0"/>
    <x v="1"/>
    <x v="1"/>
    <x v="1"/>
    <x v="2"/>
    <x v="1"/>
    <x v="1"/>
    <x v="1"/>
    <x v="2"/>
    <x v="0"/>
    <x v="1"/>
    <x v="1"/>
    <x v="2"/>
    <x v="229"/>
    <x v="12"/>
    <x v="0"/>
    <x v="0"/>
    <x v="1"/>
    <x v="0"/>
    <x v="0"/>
    <x v="0"/>
    <x v="0"/>
  </r>
  <r>
    <x v="453"/>
    <x v="224"/>
    <x v="223"/>
    <x v="220"/>
    <x v="0"/>
    <x v="1"/>
    <x v="2"/>
    <x v="234"/>
    <x v="30"/>
    <x v="1"/>
    <x v="33"/>
    <x v="0"/>
    <x v="0"/>
    <x v="3"/>
    <x v="1"/>
    <x v="1"/>
    <x v="2"/>
    <x v="1"/>
    <x v="3"/>
    <x v="1"/>
    <x v="1"/>
    <x v="97"/>
    <x v="2"/>
    <x v="3"/>
    <x v="4"/>
    <x v="224"/>
    <x v="1"/>
    <x v="1"/>
    <x v="12"/>
    <x v="1"/>
    <x v="0"/>
    <x v="266"/>
    <x v="0"/>
    <x v="135"/>
  </r>
  <r>
    <x v="454"/>
    <x v="227"/>
    <x v="226"/>
    <x v="223"/>
    <x v="0"/>
    <x v="1"/>
    <x v="3"/>
    <x v="237"/>
    <x v="40"/>
    <x v="2"/>
    <x v="0"/>
    <x v="2"/>
    <x v="0"/>
    <x v="3"/>
    <x v="3"/>
    <x v="3"/>
    <x v="2"/>
    <x v="1"/>
    <x v="2"/>
    <x v="1"/>
    <x v="1"/>
    <x v="97"/>
    <x v="2"/>
    <x v="3"/>
    <x v="4"/>
    <x v="227"/>
    <x v="12"/>
    <x v="1"/>
    <x v="4"/>
    <x v="1"/>
    <x v="0"/>
    <x v="267"/>
    <x v="0"/>
    <x v="136"/>
  </r>
  <r>
    <x v="455"/>
    <x v="230"/>
    <x v="229"/>
    <x v="226"/>
    <x v="361"/>
    <x v="3"/>
    <x v="2"/>
    <x v="240"/>
    <x v="195"/>
    <x v="1"/>
    <x v="4"/>
    <x v="0"/>
    <x v="0"/>
    <x v="1"/>
    <x v="1"/>
    <x v="1"/>
    <x v="1"/>
    <x v="2"/>
    <x v="1"/>
    <x v="1"/>
    <x v="1"/>
    <x v="97"/>
    <x v="2"/>
    <x v="5"/>
    <x v="2"/>
    <x v="230"/>
    <x v="12"/>
    <x v="1"/>
    <x v="7"/>
    <x v="1"/>
    <x v="0"/>
    <x v="268"/>
    <x v="131"/>
    <x v="137"/>
  </r>
  <r>
    <x v="456"/>
    <x v="227"/>
    <x v="226"/>
    <x v="223"/>
    <x v="0"/>
    <x v="1"/>
    <x v="2"/>
    <x v="237"/>
    <x v="40"/>
    <x v="2"/>
    <x v="0"/>
    <x v="5"/>
    <x v="0"/>
    <x v="3"/>
    <x v="4"/>
    <x v="1"/>
    <x v="2"/>
    <x v="1"/>
    <x v="2"/>
    <x v="1"/>
    <x v="2"/>
    <x v="0"/>
    <x v="2"/>
    <x v="3"/>
    <x v="4"/>
    <x v="227"/>
    <x v="1"/>
    <x v="0"/>
    <x v="0"/>
    <x v="1"/>
    <x v="0"/>
    <x v="0"/>
    <x v="0"/>
    <x v="0"/>
  </r>
  <r>
    <x v="457"/>
    <x v="231"/>
    <x v="230"/>
    <x v="227"/>
    <x v="362"/>
    <x v="1"/>
    <x v="2"/>
    <x v="241"/>
    <x v="196"/>
    <x v="6"/>
    <x v="0"/>
    <x v="0"/>
    <x v="9"/>
    <x v="1"/>
    <x v="3"/>
    <x v="2"/>
    <x v="1"/>
    <x v="1"/>
    <x v="2"/>
    <x v="1"/>
    <x v="1"/>
    <x v="98"/>
    <x v="1"/>
    <x v="1"/>
    <x v="2"/>
    <x v="231"/>
    <x v="12"/>
    <x v="1"/>
    <x v="10"/>
    <x v="2"/>
    <x v="1"/>
    <x v="269"/>
    <x v="0"/>
    <x v="138"/>
  </r>
  <r>
    <x v="458"/>
    <x v="225"/>
    <x v="224"/>
    <x v="221"/>
    <x v="363"/>
    <x v="1"/>
    <x v="2"/>
    <x v="235"/>
    <x v="197"/>
    <x v="1"/>
    <x v="103"/>
    <x v="0"/>
    <x v="0"/>
    <x v="3"/>
    <x v="1"/>
    <x v="1"/>
    <x v="1"/>
    <x v="1"/>
    <x v="2"/>
    <x v="1"/>
    <x v="2"/>
    <x v="0"/>
    <x v="1"/>
    <x v="3"/>
    <x v="4"/>
    <x v="225"/>
    <x v="12"/>
    <x v="0"/>
    <x v="0"/>
    <x v="1"/>
    <x v="0"/>
    <x v="0"/>
    <x v="0"/>
    <x v="139"/>
  </r>
  <r>
    <x v="459"/>
    <x v="230"/>
    <x v="229"/>
    <x v="226"/>
    <x v="0"/>
    <x v="3"/>
    <x v="2"/>
    <x v="240"/>
    <x v="195"/>
    <x v="1"/>
    <x v="4"/>
    <x v="0"/>
    <x v="0"/>
    <x v="3"/>
    <x v="1"/>
    <x v="1"/>
    <x v="1"/>
    <x v="2"/>
    <x v="1"/>
    <x v="1"/>
    <x v="1"/>
    <x v="99"/>
    <x v="2"/>
    <x v="3"/>
    <x v="4"/>
    <x v="230"/>
    <x v="12"/>
    <x v="3"/>
    <x v="0"/>
    <x v="1"/>
    <x v="0"/>
    <x v="270"/>
    <x v="132"/>
    <x v="0"/>
  </r>
  <r>
    <x v="460"/>
    <x v="232"/>
    <x v="231"/>
    <x v="228"/>
    <x v="364"/>
    <x v="3"/>
    <x v="3"/>
    <x v="242"/>
    <x v="198"/>
    <x v="1"/>
    <x v="24"/>
    <x v="0"/>
    <x v="0"/>
    <x v="1"/>
    <x v="1"/>
    <x v="1"/>
    <x v="1"/>
    <x v="1"/>
    <x v="1"/>
    <x v="1"/>
    <x v="2"/>
    <x v="0"/>
    <x v="1"/>
    <x v="1"/>
    <x v="2"/>
    <x v="232"/>
    <x v="12"/>
    <x v="0"/>
    <x v="0"/>
    <x v="1"/>
    <x v="0"/>
    <x v="0"/>
    <x v="0"/>
    <x v="0"/>
  </r>
  <r>
    <x v="461"/>
    <x v="224"/>
    <x v="223"/>
    <x v="220"/>
    <x v="0"/>
    <x v="1"/>
    <x v="2"/>
    <x v="234"/>
    <x v="30"/>
    <x v="1"/>
    <x v="33"/>
    <x v="0"/>
    <x v="0"/>
    <x v="3"/>
    <x v="1"/>
    <x v="1"/>
    <x v="2"/>
    <x v="1"/>
    <x v="3"/>
    <x v="1"/>
    <x v="1"/>
    <x v="100"/>
    <x v="2"/>
    <x v="3"/>
    <x v="4"/>
    <x v="224"/>
    <x v="11"/>
    <x v="1"/>
    <x v="7"/>
    <x v="2"/>
    <x v="1"/>
    <x v="271"/>
    <x v="0"/>
    <x v="140"/>
  </r>
  <r>
    <x v="462"/>
    <x v="233"/>
    <x v="232"/>
    <x v="229"/>
    <x v="365"/>
    <x v="1"/>
    <x v="2"/>
    <x v="243"/>
    <x v="199"/>
    <x v="1"/>
    <x v="70"/>
    <x v="0"/>
    <x v="0"/>
    <x v="1"/>
    <x v="3"/>
    <x v="3"/>
    <x v="2"/>
    <x v="1"/>
    <x v="1"/>
    <x v="1"/>
    <x v="1"/>
    <x v="100"/>
    <x v="1"/>
    <x v="6"/>
    <x v="3"/>
    <x v="233"/>
    <x v="1"/>
    <x v="1"/>
    <x v="3"/>
    <x v="2"/>
    <x v="1"/>
    <x v="272"/>
    <x v="0"/>
    <x v="0"/>
  </r>
  <r>
    <x v="463"/>
    <x v="231"/>
    <x v="230"/>
    <x v="227"/>
    <x v="366"/>
    <x v="1"/>
    <x v="2"/>
    <x v="241"/>
    <x v="196"/>
    <x v="6"/>
    <x v="0"/>
    <x v="0"/>
    <x v="9"/>
    <x v="3"/>
    <x v="3"/>
    <x v="2"/>
    <x v="2"/>
    <x v="1"/>
    <x v="2"/>
    <x v="1"/>
    <x v="1"/>
    <x v="99"/>
    <x v="1"/>
    <x v="3"/>
    <x v="4"/>
    <x v="231"/>
    <x v="9"/>
    <x v="1"/>
    <x v="4"/>
    <x v="2"/>
    <x v="1"/>
    <x v="273"/>
    <x v="0"/>
    <x v="0"/>
  </r>
  <r>
    <x v="464"/>
    <x v="234"/>
    <x v="233"/>
    <x v="230"/>
    <x v="367"/>
    <x v="1"/>
    <x v="2"/>
    <x v="244"/>
    <x v="105"/>
    <x v="6"/>
    <x v="0"/>
    <x v="0"/>
    <x v="10"/>
    <x v="1"/>
    <x v="1"/>
    <x v="1"/>
    <x v="1"/>
    <x v="2"/>
    <x v="3"/>
    <x v="1"/>
    <x v="1"/>
    <x v="101"/>
    <x v="1"/>
    <x v="6"/>
    <x v="3"/>
    <x v="234"/>
    <x v="1"/>
    <x v="3"/>
    <x v="0"/>
    <x v="1"/>
    <x v="0"/>
    <x v="274"/>
    <x v="133"/>
    <x v="0"/>
  </r>
  <r>
    <x v="465"/>
    <x v="178"/>
    <x v="176"/>
    <x v="174"/>
    <x v="368"/>
    <x v="3"/>
    <x v="2"/>
    <x v="186"/>
    <x v="153"/>
    <x v="1"/>
    <x v="104"/>
    <x v="0"/>
    <x v="0"/>
    <x v="1"/>
    <x v="3"/>
    <x v="2"/>
    <x v="2"/>
    <x v="1"/>
    <x v="2"/>
    <x v="1"/>
    <x v="1"/>
    <x v="101"/>
    <x v="1"/>
    <x v="6"/>
    <x v="3"/>
    <x v="175"/>
    <x v="9"/>
    <x v="3"/>
    <x v="0"/>
    <x v="1"/>
    <x v="0"/>
    <x v="275"/>
    <x v="134"/>
    <x v="0"/>
  </r>
  <r>
    <x v="466"/>
    <x v="235"/>
    <x v="234"/>
    <x v="231"/>
    <x v="369"/>
    <x v="1"/>
    <x v="2"/>
    <x v="245"/>
    <x v="200"/>
    <x v="1"/>
    <x v="24"/>
    <x v="0"/>
    <x v="0"/>
    <x v="1"/>
    <x v="2"/>
    <x v="3"/>
    <x v="2"/>
    <x v="1"/>
    <x v="2"/>
    <x v="1"/>
    <x v="1"/>
    <x v="100"/>
    <x v="1"/>
    <x v="6"/>
    <x v="2"/>
    <x v="235"/>
    <x v="9"/>
    <x v="1"/>
    <x v="3"/>
    <x v="2"/>
    <x v="1"/>
    <x v="276"/>
    <x v="135"/>
    <x v="0"/>
  </r>
  <r>
    <x v="467"/>
    <x v="233"/>
    <x v="232"/>
    <x v="229"/>
    <x v="370"/>
    <x v="1"/>
    <x v="1"/>
    <x v="243"/>
    <x v="199"/>
    <x v="1"/>
    <x v="70"/>
    <x v="0"/>
    <x v="0"/>
    <x v="3"/>
    <x v="1"/>
    <x v="1"/>
    <x v="2"/>
    <x v="1"/>
    <x v="1"/>
    <x v="1"/>
    <x v="2"/>
    <x v="0"/>
    <x v="1"/>
    <x v="3"/>
    <x v="4"/>
    <x v="233"/>
    <x v="3"/>
    <x v="0"/>
    <x v="0"/>
    <x v="1"/>
    <x v="0"/>
    <x v="0"/>
    <x v="0"/>
    <x v="0"/>
  </r>
  <r>
    <x v="468"/>
    <x v="224"/>
    <x v="223"/>
    <x v="220"/>
    <x v="371"/>
    <x v="1"/>
    <x v="2"/>
    <x v="234"/>
    <x v="30"/>
    <x v="1"/>
    <x v="33"/>
    <x v="0"/>
    <x v="0"/>
    <x v="3"/>
    <x v="1"/>
    <x v="1"/>
    <x v="1"/>
    <x v="1"/>
    <x v="2"/>
    <x v="1"/>
    <x v="2"/>
    <x v="0"/>
    <x v="1"/>
    <x v="3"/>
    <x v="4"/>
    <x v="224"/>
    <x v="12"/>
    <x v="0"/>
    <x v="0"/>
    <x v="1"/>
    <x v="0"/>
    <x v="0"/>
    <x v="0"/>
    <x v="0"/>
  </r>
  <r>
    <x v="469"/>
    <x v="235"/>
    <x v="234"/>
    <x v="231"/>
    <x v="372"/>
    <x v="1"/>
    <x v="1"/>
    <x v="245"/>
    <x v="200"/>
    <x v="1"/>
    <x v="24"/>
    <x v="0"/>
    <x v="0"/>
    <x v="3"/>
    <x v="1"/>
    <x v="1"/>
    <x v="2"/>
    <x v="2"/>
    <x v="1"/>
    <x v="1"/>
    <x v="2"/>
    <x v="0"/>
    <x v="1"/>
    <x v="3"/>
    <x v="4"/>
    <x v="235"/>
    <x v="3"/>
    <x v="0"/>
    <x v="0"/>
    <x v="1"/>
    <x v="0"/>
    <x v="0"/>
    <x v="0"/>
    <x v="0"/>
  </r>
  <r>
    <x v="470"/>
    <x v="236"/>
    <x v="235"/>
    <x v="232"/>
    <x v="373"/>
    <x v="1"/>
    <x v="2"/>
    <x v="246"/>
    <x v="201"/>
    <x v="1"/>
    <x v="24"/>
    <x v="0"/>
    <x v="0"/>
    <x v="1"/>
    <x v="3"/>
    <x v="2"/>
    <x v="1"/>
    <x v="1"/>
    <x v="2"/>
    <x v="1"/>
    <x v="1"/>
    <x v="99"/>
    <x v="1"/>
    <x v="1"/>
    <x v="2"/>
    <x v="236"/>
    <x v="2"/>
    <x v="1"/>
    <x v="4"/>
    <x v="1"/>
    <x v="0"/>
    <x v="277"/>
    <x v="0"/>
    <x v="0"/>
  </r>
  <r>
    <x v="471"/>
    <x v="41"/>
    <x v="40"/>
    <x v="40"/>
    <x v="374"/>
    <x v="1"/>
    <x v="2"/>
    <x v="200"/>
    <x v="44"/>
    <x v="1"/>
    <x v="1"/>
    <x v="0"/>
    <x v="0"/>
    <x v="1"/>
    <x v="2"/>
    <x v="3"/>
    <x v="2"/>
    <x v="1"/>
    <x v="2"/>
    <x v="1"/>
    <x v="1"/>
    <x v="99"/>
    <x v="1"/>
    <x v="1"/>
    <x v="13"/>
    <x v="40"/>
    <x v="3"/>
    <x v="3"/>
    <x v="0"/>
    <x v="1"/>
    <x v="0"/>
    <x v="278"/>
    <x v="136"/>
    <x v="0"/>
  </r>
  <r>
    <x v="472"/>
    <x v="237"/>
    <x v="236"/>
    <x v="233"/>
    <x v="375"/>
    <x v="1"/>
    <x v="3"/>
    <x v="247"/>
    <x v="202"/>
    <x v="1"/>
    <x v="33"/>
    <x v="0"/>
    <x v="0"/>
    <x v="1"/>
    <x v="3"/>
    <x v="2"/>
    <x v="1"/>
    <x v="1"/>
    <x v="1"/>
    <x v="1"/>
    <x v="1"/>
    <x v="102"/>
    <x v="1"/>
    <x v="1"/>
    <x v="2"/>
    <x v="237"/>
    <x v="12"/>
    <x v="1"/>
    <x v="4"/>
    <x v="1"/>
    <x v="0"/>
    <x v="279"/>
    <x v="137"/>
    <x v="0"/>
  </r>
  <r>
    <x v="473"/>
    <x v="169"/>
    <x v="169"/>
    <x v="167"/>
    <x v="376"/>
    <x v="1"/>
    <x v="2"/>
    <x v="177"/>
    <x v="196"/>
    <x v="6"/>
    <x v="0"/>
    <x v="0"/>
    <x v="1"/>
    <x v="1"/>
    <x v="1"/>
    <x v="1"/>
    <x v="2"/>
    <x v="1"/>
    <x v="2"/>
    <x v="1"/>
    <x v="1"/>
    <x v="99"/>
    <x v="1"/>
    <x v="1"/>
    <x v="2"/>
    <x v="168"/>
    <x v="4"/>
    <x v="1"/>
    <x v="2"/>
    <x v="2"/>
    <x v="1"/>
    <x v="280"/>
    <x v="138"/>
    <x v="0"/>
  </r>
  <r>
    <x v="474"/>
    <x v="238"/>
    <x v="237"/>
    <x v="234"/>
    <x v="377"/>
    <x v="1"/>
    <x v="2"/>
    <x v="248"/>
    <x v="81"/>
    <x v="1"/>
    <x v="105"/>
    <x v="0"/>
    <x v="0"/>
    <x v="1"/>
    <x v="1"/>
    <x v="1"/>
    <x v="2"/>
    <x v="1"/>
    <x v="2"/>
    <x v="1"/>
    <x v="1"/>
    <x v="99"/>
    <x v="1"/>
    <x v="1"/>
    <x v="2"/>
    <x v="238"/>
    <x v="12"/>
    <x v="1"/>
    <x v="2"/>
    <x v="1"/>
    <x v="0"/>
    <x v="281"/>
    <x v="139"/>
    <x v="141"/>
  </r>
  <r>
    <x v="475"/>
    <x v="236"/>
    <x v="235"/>
    <x v="232"/>
    <x v="0"/>
    <x v="1"/>
    <x v="2"/>
    <x v="246"/>
    <x v="203"/>
    <x v="1"/>
    <x v="70"/>
    <x v="0"/>
    <x v="0"/>
    <x v="3"/>
    <x v="3"/>
    <x v="2"/>
    <x v="1"/>
    <x v="1"/>
    <x v="3"/>
    <x v="1"/>
    <x v="1"/>
    <x v="102"/>
    <x v="2"/>
    <x v="3"/>
    <x v="4"/>
    <x v="236"/>
    <x v="1"/>
    <x v="3"/>
    <x v="0"/>
    <x v="1"/>
    <x v="0"/>
    <x v="282"/>
    <x v="140"/>
    <x v="142"/>
  </r>
  <r>
    <x v="476"/>
    <x v="231"/>
    <x v="230"/>
    <x v="227"/>
    <x v="378"/>
    <x v="1"/>
    <x v="2"/>
    <x v="241"/>
    <x v="196"/>
    <x v="6"/>
    <x v="0"/>
    <x v="0"/>
    <x v="11"/>
    <x v="3"/>
    <x v="1"/>
    <x v="1"/>
    <x v="2"/>
    <x v="1"/>
    <x v="3"/>
    <x v="1"/>
    <x v="2"/>
    <x v="0"/>
    <x v="1"/>
    <x v="3"/>
    <x v="4"/>
    <x v="231"/>
    <x v="1"/>
    <x v="0"/>
    <x v="0"/>
    <x v="1"/>
    <x v="0"/>
    <x v="0"/>
    <x v="0"/>
    <x v="0"/>
  </r>
  <r>
    <x v="477"/>
    <x v="238"/>
    <x v="237"/>
    <x v="234"/>
    <x v="0"/>
    <x v="1"/>
    <x v="2"/>
    <x v="248"/>
    <x v="81"/>
    <x v="1"/>
    <x v="0"/>
    <x v="0"/>
    <x v="0"/>
    <x v="3"/>
    <x v="4"/>
    <x v="1"/>
    <x v="2"/>
    <x v="1"/>
    <x v="2"/>
    <x v="1"/>
    <x v="2"/>
    <x v="0"/>
    <x v="2"/>
    <x v="3"/>
    <x v="4"/>
    <x v="238"/>
    <x v="4"/>
    <x v="0"/>
    <x v="0"/>
    <x v="1"/>
    <x v="0"/>
    <x v="0"/>
    <x v="0"/>
    <x v="0"/>
  </r>
  <r>
    <x v="478"/>
    <x v="239"/>
    <x v="238"/>
    <x v="235"/>
    <x v="379"/>
    <x v="1"/>
    <x v="2"/>
    <x v="249"/>
    <x v="71"/>
    <x v="1"/>
    <x v="1"/>
    <x v="0"/>
    <x v="0"/>
    <x v="1"/>
    <x v="1"/>
    <x v="1"/>
    <x v="1"/>
    <x v="1"/>
    <x v="3"/>
    <x v="1"/>
    <x v="1"/>
    <x v="99"/>
    <x v="1"/>
    <x v="1"/>
    <x v="2"/>
    <x v="239"/>
    <x v="4"/>
    <x v="1"/>
    <x v="2"/>
    <x v="1"/>
    <x v="0"/>
    <x v="283"/>
    <x v="0"/>
    <x v="0"/>
  </r>
  <r>
    <x v="479"/>
    <x v="239"/>
    <x v="238"/>
    <x v="235"/>
    <x v="379"/>
    <x v="1"/>
    <x v="2"/>
    <x v="249"/>
    <x v="71"/>
    <x v="1"/>
    <x v="1"/>
    <x v="0"/>
    <x v="0"/>
    <x v="3"/>
    <x v="1"/>
    <x v="1"/>
    <x v="1"/>
    <x v="1"/>
    <x v="3"/>
    <x v="1"/>
    <x v="2"/>
    <x v="0"/>
    <x v="1"/>
    <x v="3"/>
    <x v="4"/>
    <x v="239"/>
    <x v="4"/>
    <x v="0"/>
    <x v="0"/>
    <x v="1"/>
    <x v="0"/>
    <x v="0"/>
    <x v="0"/>
    <x v="0"/>
  </r>
  <r>
    <x v="480"/>
    <x v="169"/>
    <x v="169"/>
    <x v="167"/>
    <x v="380"/>
    <x v="1"/>
    <x v="2"/>
    <x v="177"/>
    <x v="196"/>
    <x v="6"/>
    <x v="0"/>
    <x v="0"/>
    <x v="1"/>
    <x v="3"/>
    <x v="1"/>
    <x v="1"/>
    <x v="2"/>
    <x v="1"/>
    <x v="2"/>
    <x v="1"/>
    <x v="1"/>
    <x v="103"/>
    <x v="1"/>
    <x v="3"/>
    <x v="4"/>
    <x v="168"/>
    <x v="4"/>
    <x v="3"/>
    <x v="0"/>
    <x v="1"/>
    <x v="0"/>
    <x v="284"/>
    <x v="141"/>
    <x v="143"/>
  </r>
  <r>
    <x v="481"/>
    <x v="240"/>
    <x v="239"/>
    <x v="236"/>
    <x v="381"/>
    <x v="1"/>
    <x v="1"/>
    <x v="250"/>
    <x v="204"/>
    <x v="1"/>
    <x v="2"/>
    <x v="0"/>
    <x v="0"/>
    <x v="1"/>
    <x v="3"/>
    <x v="3"/>
    <x v="1"/>
    <x v="1"/>
    <x v="2"/>
    <x v="1"/>
    <x v="1"/>
    <x v="102"/>
    <x v="1"/>
    <x v="1"/>
    <x v="2"/>
    <x v="240"/>
    <x v="12"/>
    <x v="1"/>
    <x v="5"/>
    <x v="2"/>
    <x v="1"/>
    <x v="285"/>
    <x v="0"/>
    <x v="144"/>
  </r>
  <r>
    <x v="482"/>
    <x v="241"/>
    <x v="240"/>
    <x v="237"/>
    <x v="382"/>
    <x v="1"/>
    <x v="2"/>
    <x v="251"/>
    <x v="80"/>
    <x v="1"/>
    <x v="22"/>
    <x v="0"/>
    <x v="0"/>
    <x v="1"/>
    <x v="2"/>
    <x v="3"/>
    <x v="2"/>
    <x v="1"/>
    <x v="2"/>
    <x v="1"/>
    <x v="1"/>
    <x v="102"/>
    <x v="1"/>
    <x v="2"/>
    <x v="2"/>
    <x v="241"/>
    <x v="1"/>
    <x v="3"/>
    <x v="0"/>
    <x v="1"/>
    <x v="0"/>
    <x v="286"/>
    <x v="142"/>
    <x v="145"/>
  </r>
  <r>
    <x v="483"/>
    <x v="242"/>
    <x v="241"/>
    <x v="238"/>
    <x v="383"/>
    <x v="3"/>
    <x v="2"/>
    <x v="252"/>
    <x v="196"/>
    <x v="6"/>
    <x v="0"/>
    <x v="0"/>
    <x v="12"/>
    <x v="1"/>
    <x v="1"/>
    <x v="1"/>
    <x v="2"/>
    <x v="1"/>
    <x v="3"/>
    <x v="1"/>
    <x v="1"/>
    <x v="102"/>
    <x v="2"/>
    <x v="1"/>
    <x v="2"/>
    <x v="242"/>
    <x v="4"/>
    <x v="1"/>
    <x v="2"/>
    <x v="1"/>
    <x v="0"/>
    <x v="287"/>
    <x v="0"/>
    <x v="146"/>
  </r>
  <r>
    <x v="484"/>
    <x v="242"/>
    <x v="241"/>
    <x v="238"/>
    <x v="0"/>
    <x v="3"/>
    <x v="2"/>
    <x v="252"/>
    <x v="196"/>
    <x v="6"/>
    <x v="0"/>
    <x v="0"/>
    <x v="12"/>
    <x v="3"/>
    <x v="1"/>
    <x v="1"/>
    <x v="2"/>
    <x v="1"/>
    <x v="3"/>
    <x v="1"/>
    <x v="2"/>
    <x v="0"/>
    <x v="2"/>
    <x v="3"/>
    <x v="4"/>
    <x v="242"/>
    <x v="4"/>
    <x v="0"/>
    <x v="0"/>
    <x v="1"/>
    <x v="0"/>
    <x v="0"/>
    <x v="0"/>
    <x v="0"/>
  </r>
  <r>
    <x v="485"/>
    <x v="243"/>
    <x v="242"/>
    <x v="239"/>
    <x v="384"/>
    <x v="1"/>
    <x v="1"/>
    <x v="253"/>
    <x v="205"/>
    <x v="1"/>
    <x v="106"/>
    <x v="0"/>
    <x v="0"/>
    <x v="1"/>
    <x v="1"/>
    <x v="1"/>
    <x v="1"/>
    <x v="1"/>
    <x v="2"/>
    <x v="2"/>
    <x v="1"/>
    <x v="103"/>
    <x v="1"/>
    <x v="1"/>
    <x v="2"/>
    <x v="243"/>
    <x v="12"/>
    <x v="1"/>
    <x v="2"/>
    <x v="2"/>
    <x v="1"/>
    <x v="288"/>
    <x v="0"/>
    <x v="147"/>
  </r>
  <r>
    <x v="486"/>
    <x v="237"/>
    <x v="236"/>
    <x v="233"/>
    <x v="0"/>
    <x v="1"/>
    <x v="2"/>
    <x v="247"/>
    <x v="202"/>
    <x v="1"/>
    <x v="33"/>
    <x v="0"/>
    <x v="0"/>
    <x v="3"/>
    <x v="3"/>
    <x v="2"/>
    <x v="2"/>
    <x v="1"/>
    <x v="3"/>
    <x v="1"/>
    <x v="1"/>
    <x v="104"/>
    <x v="2"/>
    <x v="3"/>
    <x v="4"/>
    <x v="237"/>
    <x v="1"/>
    <x v="3"/>
    <x v="0"/>
    <x v="1"/>
    <x v="0"/>
    <x v="289"/>
    <x v="143"/>
    <x v="0"/>
  </r>
  <r>
    <x v="487"/>
    <x v="240"/>
    <x v="243"/>
    <x v="236"/>
    <x v="385"/>
    <x v="1"/>
    <x v="1"/>
    <x v="254"/>
    <x v="206"/>
    <x v="1"/>
    <x v="2"/>
    <x v="0"/>
    <x v="0"/>
    <x v="3"/>
    <x v="1"/>
    <x v="1"/>
    <x v="2"/>
    <x v="1"/>
    <x v="2"/>
    <x v="1"/>
    <x v="2"/>
    <x v="0"/>
    <x v="1"/>
    <x v="3"/>
    <x v="4"/>
    <x v="240"/>
    <x v="2"/>
    <x v="0"/>
    <x v="0"/>
    <x v="1"/>
    <x v="0"/>
    <x v="0"/>
    <x v="0"/>
    <x v="0"/>
  </r>
  <r>
    <x v="488"/>
    <x v="243"/>
    <x v="242"/>
    <x v="239"/>
    <x v="386"/>
    <x v="1"/>
    <x v="1"/>
    <x v="253"/>
    <x v="205"/>
    <x v="1"/>
    <x v="107"/>
    <x v="0"/>
    <x v="0"/>
    <x v="3"/>
    <x v="1"/>
    <x v="1"/>
    <x v="1"/>
    <x v="1"/>
    <x v="2"/>
    <x v="1"/>
    <x v="2"/>
    <x v="0"/>
    <x v="2"/>
    <x v="3"/>
    <x v="4"/>
    <x v="243"/>
    <x v="4"/>
    <x v="0"/>
    <x v="0"/>
    <x v="1"/>
    <x v="0"/>
    <x v="0"/>
    <x v="0"/>
    <x v="0"/>
  </r>
  <r>
    <x v="489"/>
    <x v="37"/>
    <x v="36"/>
    <x v="36"/>
    <x v="387"/>
    <x v="1"/>
    <x v="2"/>
    <x v="39"/>
    <x v="49"/>
    <x v="2"/>
    <x v="0"/>
    <x v="5"/>
    <x v="0"/>
    <x v="1"/>
    <x v="3"/>
    <x v="3"/>
    <x v="2"/>
    <x v="1"/>
    <x v="2"/>
    <x v="1"/>
    <x v="1"/>
    <x v="104"/>
    <x v="1"/>
    <x v="5"/>
    <x v="3"/>
    <x v="184"/>
    <x v="1"/>
    <x v="3"/>
    <x v="0"/>
    <x v="1"/>
    <x v="0"/>
    <x v="290"/>
    <x v="144"/>
    <x v="0"/>
  </r>
  <r>
    <x v="490"/>
    <x v="244"/>
    <x v="244"/>
    <x v="240"/>
    <x v="388"/>
    <x v="1"/>
    <x v="2"/>
    <x v="255"/>
    <x v="207"/>
    <x v="1"/>
    <x v="27"/>
    <x v="0"/>
    <x v="0"/>
    <x v="1"/>
    <x v="3"/>
    <x v="3"/>
    <x v="2"/>
    <x v="1"/>
    <x v="2"/>
    <x v="1"/>
    <x v="1"/>
    <x v="105"/>
    <x v="1"/>
    <x v="1"/>
    <x v="2"/>
    <x v="244"/>
    <x v="12"/>
    <x v="1"/>
    <x v="4"/>
    <x v="2"/>
    <x v="1"/>
    <x v="291"/>
    <x v="145"/>
    <x v="148"/>
  </r>
  <r>
    <x v="491"/>
    <x v="240"/>
    <x v="243"/>
    <x v="236"/>
    <x v="389"/>
    <x v="1"/>
    <x v="1"/>
    <x v="256"/>
    <x v="206"/>
    <x v="1"/>
    <x v="36"/>
    <x v="0"/>
    <x v="0"/>
    <x v="1"/>
    <x v="1"/>
    <x v="1"/>
    <x v="1"/>
    <x v="1"/>
    <x v="2"/>
    <x v="1"/>
    <x v="2"/>
    <x v="0"/>
    <x v="1"/>
    <x v="1"/>
    <x v="2"/>
    <x v="240"/>
    <x v="12"/>
    <x v="0"/>
    <x v="0"/>
    <x v="1"/>
    <x v="0"/>
    <x v="0"/>
    <x v="0"/>
    <x v="0"/>
  </r>
  <r>
    <x v="492"/>
    <x v="245"/>
    <x v="245"/>
    <x v="241"/>
    <x v="390"/>
    <x v="1"/>
    <x v="2"/>
    <x v="4"/>
    <x v="208"/>
    <x v="1"/>
    <x v="9"/>
    <x v="0"/>
    <x v="0"/>
    <x v="1"/>
    <x v="3"/>
    <x v="3"/>
    <x v="2"/>
    <x v="1"/>
    <x v="3"/>
    <x v="1"/>
    <x v="1"/>
    <x v="105"/>
    <x v="1"/>
    <x v="1"/>
    <x v="2"/>
    <x v="245"/>
    <x v="11"/>
    <x v="1"/>
    <x v="4"/>
    <x v="2"/>
    <x v="1"/>
    <x v="292"/>
    <x v="0"/>
    <x v="0"/>
  </r>
  <r>
    <x v="493"/>
    <x v="245"/>
    <x v="245"/>
    <x v="241"/>
    <x v="391"/>
    <x v="1"/>
    <x v="2"/>
    <x v="4"/>
    <x v="209"/>
    <x v="1"/>
    <x v="9"/>
    <x v="0"/>
    <x v="0"/>
    <x v="3"/>
    <x v="1"/>
    <x v="1"/>
    <x v="2"/>
    <x v="1"/>
    <x v="3"/>
    <x v="1"/>
    <x v="2"/>
    <x v="0"/>
    <x v="1"/>
    <x v="3"/>
    <x v="4"/>
    <x v="245"/>
    <x v="1"/>
    <x v="0"/>
    <x v="0"/>
    <x v="1"/>
    <x v="0"/>
    <x v="0"/>
    <x v="0"/>
    <x v="0"/>
  </r>
  <r>
    <x v="494"/>
    <x v="244"/>
    <x v="244"/>
    <x v="240"/>
    <x v="392"/>
    <x v="1"/>
    <x v="2"/>
    <x v="255"/>
    <x v="10"/>
    <x v="1"/>
    <x v="15"/>
    <x v="0"/>
    <x v="0"/>
    <x v="3"/>
    <x v="1"/>
    <x v="1"/>
    <x v="2"/>
    <x v="1"/>
    <x v="2"/>
    <x v="1"/>
    <x v="2"/>
    <x v="0"/>
    <x v="1"/>
    <x v="3"/>
    <x v="4"/>
    <x v="244"/>
    <x v="1"/>
    <x v="0"/>
    <x v="0"/>
    <x v="1"/>
    <x v="0"/>
    <x v="0"/>
    <x v="0"/>
    <x v="0"/>
  </r>
  <r>
    <x v="495"/>
    <x v="246"/>
    <x v="246"/>
    <x v="242"/>
    <x v="393"/>
    <x v="3"/>
    <x v="2"/>
    <x v="257"/>
    <x v="210"/>
    <x v="1"/>
    <x v="15"/>
    <x v="0"/>
    <x v="0"/>
    <x v="1"/>
    <x v="1"/>
    <x v="1"/>
    <x v="2"/>
    <x v="1"/>
    <x v="2"/>
    <x v="1"/>
    <x v="2"/>
    <x v="0"/>
    <x v="1"/>
    <x v="6"/>
    <x v="2"/>
    <x v="246"/>
    <x v="8"/>
    <x v="0"/>
    <x v="0"/>
    <x v="1"/>
    <x v="0"/>
    <x v="0"/>
    <x v="0"/>
    <x v="0"/>
  </r>
  <r>
    <x v="496"/>
    <x v="247"/>
    <x v="247"/>
    <x v="243"/>
    <x v="394"/>
    <x v="1"/>
    <x v="1"/>
    <x v="258"/>
    <x v="10"/>
    <x v="1"/>
    <x v="108"/>
    <x v="0"/>
    <x v="0"/>
    <x v="1"/>
    <x v="3"/>
    <x v="3"/>
    <x v="1"/>
    <x v="1"/>
    <x v="2"/>
    <x v="1"/>
    <x v="1"/>
    <x v="106"/>
    <x v="1"/>
    <x v="1"/>
    <x v="2"/>
    <x v="247"/>
    <x v="12"/>
    <x v="3"/>
    <x v="0"/>
    <x v="1"/>
    <x v="0"/>
    <x v="293"/>
    <x v="146"/>
    <x v="149"/>
  </r>
  <r>
    <x v="497"/>
    <x v="248"/>
    <x v="248"/>
    <x v="244"/>
    <x v="395"/>
    <x v="1"/>
    <x v="4"/>
    <x v="259"/>
    <x v="211"/>
    <x v="1"/>
    <x v="15"/>
    <x v="0"/>
    <x v="0"/>
    <x v="1"/>
    <x v="1"/>
    <x v="1"/>
    <x v="2"/>
    <x v="1"/>
    <x v="2"/>
    <x v="1"/>
    <x v="2"/>
    <x v="0"/>
    <x v="1"/>
    <x v="1"/>
    <x v="2"/>
    <x v="248"/>
    <x v="12"/>
    <x v="0"/>
    <x v="0"/>
    <x v="1"/>
    <x v="0"/>
    <x v="0"/>
    <x v="0"/>
    <x v="0"/>
  </r>
  <r>
    <x v="498"/>
    <x v="249"/>
    <x v="249"/>
    <x v="245"/>
    <x v="396"/>
    <x v="1"/>
    <x v="2"/>
    <x v="260"/>
    <x v="60"/>
    <x v="1"/>
    <x v="15"/>
    <x v="0"/>
    <x v="0"/>
    <x v="1"/>
    <x v="1"/>
    <x v="1"/>
    <x v="2"/>
    <x v="1"/>
    <x v="2"/>
    <x v="1"/>
    <x v="1"/>
    <x v="106"/>
    <x v="1"/>
    <x v="5"/>
    <x v="2"/>
    <x v="249"/>
    <x v="12"/>
    <x v="3"/>
    <x v="0"/>
    <x v="1"/>
    <x v="0"/>
    <x v="294"/>
    <x v="147"/>
    <x v="150"/>
  </r>
  <r>
    <x v="499"/>
    <x v="250"/>
    <x v="250"/>
    <x v="246"/>
    <x v="397"/>
    <x v="1"/>
    <x v="2"/>
    <x v="261"/>
    <x v="212"/>
    <x v="1"/>
    <x v="109"/>
    <x v="0"/>
    <x v="0"/>
    <x v="1"/>
    <x v="2"/>
    <x v="3"/>
    <x v="2"/>
    <x v="1"/>
    <x v="3"/>
    <x v="1"/>
    <x v="1"/>
    <x v="107"/>
    <x v="1"/>
    <x v="1"/>
    <x v="2"/>
    <x v="250"/>
    <x v="1"/>
    <x v="1"/>
    <x v="4"/>
    <x v="1"/>
    <x v="0"/>
    <x v="295"/>
    <x v="0"/>
    <x v="0"/>
  </r>
  <r>
    <x v="500"/>
    <x v="251"/>
    <x v="251"/>
    <x v="247"/>
    <x v="398"/>
    <x v="1"/>
    <x v="2"/>
    <x v="262"/>
    <x v="10"/>
    <x v="1"/>
    <x v="3"/>
    <x v="0"/>
    <x v="0"/>
    <x v="1"/>
    <x v="1"/>
    <x v="1"/>
    <x v="2"/>
    <x v="1"/>
    <x v="3"/>
    <x v="1"/>
    <x v="1"/>
    <x v="107"/>
    <x v="1"/>
    <x v="1"/>
    <x v="2"/>
    <x v="251"/>
    <x v="1"/>
    <x v="3"/>
    <x v="0"/>
    <x v="1"/>
    <x v="0"/>
    <x v="296"/>
    <x v="0"/>
    <x v="151"/>
  </r>
  <r>
    <x v="501"/>
    <x v="252"/>
    <x v="252"/>
    <x v="248"/>
    <x v="399"/>
    <x v="1"/>
    <x v="3"/>
    <x v="263"/>
    <x v="123"/>
    <x v="1"/>
    <x v="70"/>
    <x v="0"/>
    <x v="0"/>
    <x v="1"/>
    <x v="3"/>
    <x v="3"/>
    <x v="2"/>
    <x v="1"/>
    <x v="1"/>
    <x v="2"/>
    <x v="1"/>
    <x v="107"/>
    <x v="1"/>
    <x v="1"/>
    <x v="2"/>
    <x v="252"/>
    <x v="1"/>
    <x v="3"/>
    <x v="0"/>
    <x v="1"/>
    <x v="0"/>
    <x v="297"/>
    <x v="148"/>
    <x v="0"/>
  </r>
  <r>
    <x v="502"/>
    <x v="250"/>
    <x v="250"/>
    <x v="246"/>
    <x v="400"/>
    <x v="1"/>
    <x v="2"/>
    <x v="261"/>
    <x v="212"/>
    <x v="1"/>
    <x v="110"/>
    <x v="0"/>
    <x v="0"/>
    <x v="1"/>
    <x v="1"/>
    <x v="1"/>
    <x v="2"/>
    <x v="1"/>
    <x v="3"/>
    <x v="1"/>
    <x v="2"/>
    <x v="0"/>
    <x v="1"/>
    <x v="1"/>
    <x v="2"/>
    <x v="250"/>
    <x v="1"/>
    <x v="0"/>
    <x v="0"/>
    <x v="1"/>
    <x v="0"/>
    <x v="0"/>
    <x v="0"/>
    <x v="0"/>
  </r>
  <r>
    <x v="503"/>
    <x v="253"/>
    <x v="253"/>
    <x v="249"/>
    <x v="401"/>
    <x v="1"/>
    <x v="3"/>
    <x v="264"/>
    <x v="213"/>
    <x v="1"/>
    <x v="111"/>
    <x v="0"/>
    <x v="0"/>
    <x v="1"/>
    <x v="1"/>
    <x v="1"/>
    <x v="1"/>
    <x v="1"/>
    <x v="2"/>
    <x v="1"/>
    <x v="2"/>
    <x v="0"/>
    <x v="1"/>
    <x v="1"/>
    <x v="2"/>
    <x v="253"/>
    <x v="12"/>
    <x v="0"/>
    <x v="0"/>
    <x v="1"/>
    <x v="0"/>
    <x v="0"/>
    <x v="0"/>
    <x v="0"/>
  </r>
  <r>
    <x v="504"/>
    <x v="254"/>
    <x v="254"/>
    <x v="250"/>
    <x v="402"/>
    <x v="1"/>
    <x v="3"/>
    <x v="265"/>
    <x v="214"/>
    <x v="1"/>
    <x v="15"/>
    <x v="0"/>
    <x v="0"/>
    <x v="1"/>
    <x v="2"/>
    <x v="3"/>
    <x v="2"/>
    <x v="1"/>
    <x v="2"/>
    <x v="1"/>
    <x v="1"/>
    <x v="108"/>
    <x v="1"/>
    <x v="1"/>
    <x v="2"/>
    <x v="254"/>
    <x v="2"/>
    <x v="3"/>
    <x v="0"/>
    <x v="1"/>
    <x v="0"/>
    <x v="298"/>
    <x v="149"/>
    <x v="0"/>
  </r>
  <r>
    <x v="505"/>
    <x v="255"/>
    <x v="255"/>
    <x v="251"/>
    <x v="403"/>
    <x v="1"/>
    <x v="2"/>
    <x v="266"/>
    <x v="215"/>
    <x v="1"/>
    <x v="112"/>
    <x v="0"/>
    <x v="0"/>
    <x v="1"/>
    <x v="1"/>
    <x v="1"/>
    <x v="2"/>
    <x v="1"/>
    <x v="1"/>
    <x v="1"/>
    <x v="2"/>
    <x v="0"/>
    <x v="1"/>
    <x v="1"/>
    <x v="2"/>
    <x v="255"/>
    <x v="12"/>
    <x v="0"/>
    <x v="0"/>
    <x v="1"/>
    <x v="0"/>
    <x v="0"/>
    <x v="0"/>
    <x v="0"/>
  </r>
  <r>
    <x v="506"/>
    <x v="169"/>
    <x v="169"/>
    <x v="167"/>
    <x v="404"/>
    <x v="1"/>
    <x v="2"/>
    <x v="177"/>
    <x v="196"/>
    <x v="6"/>
    <x v="0"/>
    <x v="0"/>
    <x v="13"/>
    <x v="1"/>
    <x v="1"/>
    <x v="1"/>
    <x v="1"/>
    <x v="1"/>
    <x v="2"/>
    <x v="1"/>
    <x v="1"/>
    <x v="109"/>
    <x v="1"/>
    <x v="1"/>
    <x v="2"/>
    <x v="168"/>
    <x v="12"/>
    <x v="4"/>
    <x v="7"/>
    <x v="1"/>
    <x v="0"/>
    <x v="299"/>
    <x v="150"/>
    <x v="152"/>
  </r>
  <r>
    <x v="507"/>
    <x v="256"/>
    <x v="256"/>
    <x v="252"/>
    <x v="405"/>
    <x v="1"/>
    <x v="2"/>
    <x v="267"/>
    <x v="216"/>
    <x v="1"/>
    <x v="3"/>
    <x v="0"/>
    <x v="0"/>
    <x v="1"/>
    <x v="3"/>
    <x v="2"/>
    <x v="2"/>
    <x v="1"/>
    <x v="3"/>
    <x v="1"/>
    <x v="1"/>
    <x v="109"/>
    <x v="1"/>
    <x v="1"/>
    <x v="2"/>
    <x v="256"/>
    <x v="1"/>
    <x v="3"/>
    <x v="0"/>
    <x v="1"/>
    <x v="0"/>
    <x v="300"/>
    <x v="151"/>
    <x v="0"/>
  </r>
  <r>
    <x v="508"/>
    <x v="257"/>
    <x v="257"/>
    <x v="253"/>
    <x v="406"/>
    <x v="1"/>
    <x v="3"/>
    <x v="268"/>
    <x v="217"/>
    <x v="1"/>
    <x v="24"/>
    <x v="0"/>
    <x v="0"/>
    <x v="1"/>
    <x v="3"/>
    <x v="3"/>
    <x v="1"/>
    <x v="1"/>
    <x v="1"/>
    <x v="1"/>
    <x v="1"/>
    <x v="109"/>
    <x v="1"/>
    <x v="5"/>
    <x v="2"/>
    <x v="257"/>
    <x v="12"/>
    <x v="1"/>
    <x v="5"/>
    <x v="2"/>
    <x v="1"/>
    <x v="301"/>
    <x v="0"/>
    <x v="153"/>
  </r>
  <r>
    <x v="509"/>
    <x v="257"/>
    <x v="257"/>
    <x v="253"/>
    <x v="407"/>
    <x v="1"/>
    <x v="3"/>
    <x v="268"/>
    <x v="217"/>
    <x v="1"/>
    <x v="24"/>
    <x v="0"/>
    <x v="0"/>
    <x v="3"/>
    <x v="1"/>
    <x v="1"/>
    <x v="2"/>
    <x v="1"/>
    <x v="3"/>
    <x v="1"/>
    <x v="1"/>
    <x v="110"/>
    <x v="1"/>
    <x v="3"/>
    <x v="4"/>
    <x v="257"/>
    <x v="2"/>
    <x v="3"/>
    <x v="0"/>
    <x v="1"/>
    <x v="0"/>
    <x v="302"/>
    <x v="152"/>
    <x v="154"/>
  </r>
  <r>
    <x v="510"/>
    <x v="258"/>
    <x v="258"/>
    <x v="254"/>
    <x v="408"/>
    <x v="3"/>
    <x v="2"/>
    <x v="269"/>
    <x v="218"/>
    <x v="1"/>
    <x v="33"/>
    <x v="0"/>
    <x v="0"/>
    <x v="1"/>
    <x v="3"/>
    <x v="2"/>
    <x v="2"/>
    <x v="1"/>
    <x v="3"/>
    <x v="1"/>
    <x v="1"/>
    <x v="111"/>
    <x v="1"/>
    <x v="1"/>
    <x v="2"/>
    <x v="258"/>
    <x v="11"/>
    <x v="3"/>
    <x v="0"/>
    <x v="1"/>
    <x v="0"/>
    <x v="303"/>
    <x v="153"/>
    <x v="155"/>
  </r>
  <r>
    <x v="511"/>
    <x v="193"/>
    <x v="191"/>
    <x v="189"/>
    <x v="409"/>
    <x v="1"/>
    <x v="2"/>
    <x v="202"/>
    <x v="165"/>
    <x v="1"/>
    <x v="31"/>
    <x v="0"/>
    <x v="0"/>
    <x v="1"/>
    <x v="1"/>
    <x v="1"/>
    <x v="2"/>
    <x v="1"/>
    <x v="1"/>
    <x v="1"/>
    <x v="1"/>
    <x v="111"/>
    <x v="1"/>
    <x v="1"/>
    <x v="2"/>
    <x v="191"/>
    <x v="12"/>
    <x v="1"/>
    <x v="1"/>
    <x v="1"/>
    <x v="0"/>
    <x v="304"/>
    <x v="154"/>
    <x v="156"/>
  </r>
  <r>
    <x v="512"/>
    <x v="259"/>
    <x v="259"/>
    <x v="255"/>
    <x v="410"/>
    <x v="1"/>
    <x v="2"/>
    <x v="270"/>
    <x v="219"/>
    <x v="1"/>
    <x v="3"/>
    <x v="0"/>
    <x v="0"/>
    <x v="1"/>
    <x v="1"/>
    <x v="1"/>
    <x v="2"/>
    <x v="1"/>
    <x v="1"/>
    <x v="1"/>
    <x v="2"/>
    <x v="0"/>
    <x v="1"/>
    <x v="5"/>
    <x v="2"/>
    <x v="259"/>
    <x v="12"/>
    <x v="0"/>
    <x v="0"/>
    <x v="1"/>
    <x v="0"/>
    <x v="0"/>
    <x v="0"/>
    <x v="0"/>
  </r>
  <r>
    <x v="513"/>
    <x v="169"/>
    <x v="169"/>
    <x v="167"/>
    <x v="404"/>
    <x v="1"/>
    <x v="2"/>
    <x v="177"/>
    <x v="196"/>
    <x v="6"/>
    <x v="0"/>
    <x v="0"/>
    <x v="13"/>
    <x v="3"/>
    <x v="1"/>
    <x v="1"/>
    <x v="1"/>
    <x v="1"/>
    <x v="2"/>
    <x v="1"/>
    <x v="1"/>
    <x v="111"/>
    <x v="2"/>
    <x v="3"/>
    <x v="4"/>
    <x v="168"/>
    <x v="12"/>
    <x v="1"/>
    <x v="2"/>
    <x v="2"/>
    <x v="1"/>
    <x v="305"/>
    <x v="155"/>
    <x v="157"/>
  </r>
  <r>
    <x v="514"/>
    <x v="260"/>
    <x v="260"/>
    <x v="256"/>
    <x v="411"/>
    <x v="1"/>
    <x v="2"/>
    <x v="271"/>
    <x v="131"/>
    <x v="1"/>
    <x v="31"/>
    <x v="0"/>
    <x v="0"/>
    <x v="1"/>
    <x v="1"/>
    <x v="1"/>
    <x v="2"/>
    <x v="1"/>
    <x v="3"/>
    <x v="1"/>
    <x v="1"/>
    <x v="110"/>
    <x v="1"/>
    <x v="6"/>
    <x v="3"/>
    <x v="260"/>
    <x v="4"/>
    <x v="1"/>
    <x v="0"/>
    <x v="1"/>
    <x v="0"/>
    <x v="306"/>
    <x v="156"/>
    <x v="0"/>
  </r>
  <r>
    <x v="515"/>
    <x v="170"/>
    <x v="170"/>
    <x v="168"/>
    <x v="412"/>
    <x v="1"/>
    <x v="2"/>
    <x v="179"/>
    <x v="196"/>
    <x v="7"/>
    <x v="0"/>
    <x v="0"/>
    <x v="0"/>
    <x v="1"/>
    <x v="2"/>
    <x v="3"/>
    <x v="2"/>
    <x v="1"/>
    <x v="2"/>
    <x v="1"/>
    <x v="1"/>
    <x v="110"/>
    <x v="1"/>
    <x v="6"/>
    <x v="3"/>
    <x v="169"/>
    <x v="4"/>
    <x v="3"/>
    <x v="0"/>
    <x v="1"/>
    <x v="0"/>
    <x v="307"/>
    <x v="157"/>
    <x v="0"/>
  </r>
  <r>
    <x v="516"/>
    <x v="261"/>
    <x v="261"/>
    <x v="257"/>
    <x v="413"/>
    <x v="3"/>
    <x v="2"/>
    <x v="272"/>
    <x v="220"/>
    <x v="1"/>
    <x v="9"/>
    <x v="0"/>
    <x v="0"/>
    <x v="1"/>
    <x v="1"/>
    <x v="1"/>
    <x v="1"/>
    <x v="1"/>
    <x v="2"/>
    <x v="1"/>
    <x v="1"/>
    <x v="110"/>
    <x v="1"/>
    <x v="6"/>
    <x v="3"/>
    <x v="261"/>
    <x v="4"/>
    <x v="1"/>
    <x v="1"/>
    <x v="1"/>
    <x v="0"/>
    <x v="308"/>
    <x v="158"/>
    <x v="158"/>
  </r>
  <r>
    <x v="517"/>
    <x v="169"/>
    <x v="169"/>
    <x v="167"/>
    <x v="0"/>
    <x v="1"/>
    <x v="2"/>
    <x v="177"/>
    <x v="196"/>
    <x v="6"/>
    <x v="0"/>
    <x v="0"/>
    <x v="13"/>
    <x v="3"/>
    <x v="1"/>
    <x v="1"/>
    <x v="2"/>
    <x v="1"/>
    <x v="2"/>
    <x v="1"/>
    <x v="1"/>
    <x v="112"/>
    <x v="2"/>
    <x v="3"/>
    <x v="4"/>
    <x v="168"/>
    <x v="4"/>
    <x v="1"/>
    <x v="1"/>
    <x v="1"/>
    <x v="0"/>
    <x v="309"/>
    <x v="159"/>
    <x v="159"/>
  </r>
  <r>
    <x v="518"/>
    <x v="260"/>
    <x v="260"/>
    <x v="256"/>
    <x v="0"/>
    <x v="1"/>
    <x v="2"/>
    <x v="271"/>
    <x v="131"/>
    <x v="1"/>
    <x v="31"/>
    <x v="0"/>
    <x v="0"/>
    <x v="3"/>
    <x v="1"/>
    <x v="1"/>
    <x v="2"/>
    <x v="1"/>
    <x v="2"/>
    <x v="1"/>
    <x v="2"/>
    <x v="0"/>
    <x v="2"/>
    <x v="3"/>
    <x v="4"/>
    <x v="260"/>
    <x v="12"/>
    <x v="0"/>
    <x v="0"/>
    <x v="1"/>
    <x v="0"/>
    <x v="0"/>
    <x v="0"/>
    <x v="0"/>
  </r>
  <r>
    <x v="519"/>
    <x v="262"/>
    <x v="262"/>
    <x v="258"/>
    <x v="414"/>
    <x v="3"/>
    <x v="1"/>
    <x v="273"/>
    <x v="221"/>
    <x v="1"/>
    <x v="15"/>
    <x v="0"/>
    <x v="0"/>
    <x v="1"/>
    <x v="3"/>
    <x v="3"/>
    <x v="2"/>
    <x v="1"/>
    <x v="1"/>
    <x v="1"/>
    <x v="1"/>
    <x v="113"/>
    <x v="2"/>
    <x v="1"/>
    <x v="2"/>
    <x v="262"/>
    <x v="12"/>
    <x v="1"/>
    <x v="7"/>
    <x v="1"/>
    <x v="0"/>
    <x v="310"/>
    <x v="160"/>
    <x v="160"/>
  </r>
  <r>
    <x v="520"/>
    <x v="263"/>
    <x v="263"/>
    <x v="259"/>
    <x v="415"/>
    <x v="1"/>
    <x v="2"/>
    <x v="274"/>
    <x v="215"/>
    <x v="1"/>
    <x v="24"/>
    <x v="0"/>
    <x v="0"/>
    <x v="1"/>
    <x v="1"/>
    <x v="1"/>
    <x v="2"/>
    <x v="1"/>
    <x v="2"/>
    <x v="1"/>
    <x v="2"/>
    <x v="0"/>
    <x v="1"/>
    <x v="1"/>
    <x v="2"/>
    <x v="263"/>
    <x v="12"/>
    <x v="0"/>
    <x v="0"/>
    <x v="1"/>
    <x v="0"/>
    <x v="0"/>
    <x v="0"/>
    <x v="0"/>
  </r>
  <r>
    <x v="521"/>
    <x v="262"/>
    <x v="262"/>
    <x v="258"/>
    <x v="0"/>
    <x v="3"/>
    <x v="1"/>
    <x v="273"/>
    <x v="221"/>
    <x v="1"/>
    <x v="15"/>
    <x v="0"/>
    <x v="0"/>
    <x v="3"/>
    <x v="1"/>
    <x v="1"/>
    <x v="2"/>
    <x v="1"/>
    <x v="2"/>
    <x v="1"/>
    <x v="1"/>
    <x v="114"/>
    <x v="2"/>
    <x v="3"/>
    <x v="4"/>
    <x v="262"/>
    <x v="12"/>
    <x v="1"/>
    <x v="7"/>
    <x v="1"/>
    <x v="0"/>
    <x v="311"/>
    <x v="0"/>
    <x v="161"/>
  </r>
  <r>
    <x v="522"/>
    <x v="264"/>
    <x v="264"/>
    <x v="260"/>
    <x v="416"/>
    <x v="1"/>
    <x v="2"/>
    <x v="275"/>
    <x v="222"/>
    <x v="1"/>
    <x v="113"/>
    <x v="0"/>
    <x v="0"/>
    <x v="1"/>
    <x v="1"/>
    <x v="1"/>
    <x v="2"/>
    <x v="1"/>
    <x v="2"/>
    <x v="1"/>
    <x v="2"/>
    <x v="0"/>
    <x v="1"/>
    <x v="1"/>
    <x v="2"/>
    <x v="264"/>
    <x v="12"/>
    <x v="0"/>
    <x v="0"/>
    <x v="1"/>
    <x v="0"/>
    <x v="0"/>
    <x v="0"/>
    <x v="0"/>
  </r>
  <r>
    <x v="523"/>
    <x v="245"/>
    <x v="245"/>
    <x v="241"/>
    <x v="417"/>
    <x v="1"/>
    <x v="2"/>
    <x v="4"/>
    <x v="208"/>
    <x v="1"/>
    <x v="15"/>
    <x v="0"/>
    <x v="0"/>
    <x v="1"/>
    <x v="1"/>
    <x v="1"/>
    <x v="2"/>
    <x v="1"/>
    <x v="1"/>
    <x v="1"/>
    <x v="1"/>
    <x v="114"/>
    <x v="1"/>
    <x v="6"/>
    <x v="2"/>
    <x v="245"/>
    <x v="3"/>
    <x v="1"/>
    <x v="7"/>
    <x v="1"/>
    <x v="0"/>
    <x v="312"/>
    <x v="0"/>
    <x v="0"/>
  </r>
  <r>
    <x v="524"/>
    <x v="262"/>
    <x v="262"/>
    <x v="258"/>
    <x v="0"/>
    <x v="3"/>
    <x v="1"/>
    <x v="273"/>
    <x v="196"/>
    <x v="6"/>
    <x v="0"/>
    <x v="0"/>
    <x v="1"/>
    <x v="3"/>
    <x v="4"/>
    <x v="1"/>
    <x v="2"/>
    <x v="1"/>
    <x v="2"/>
    <x v="1"/>
    <x v="2"/>
    <x v="0"/>
    <x v="2"/>
    <x v="3"/>
    <x v="4"/>
    <x v="262"/>
    <x v="12"/>
    <x v="0"/>
    <x v="0"/>
    <x v="1"/>
    <x v="0"/>
    <x v="0"/>
    <x v="0"/>
    <x v="0"/>
  </r>
  <r>
    <x v="525"/>
    <x v="245"/>
    <x v="245"/>
    <x v="241"/>
    <x v="0"/>
    <x v="1"/>
    <x v="3"/>
    <x v="4"/>
    <x v="208"/>
    <x v="1"/>
    <x v="15"/>
    <x v="0"/>
    <x v="0"/>
    <x v="3"/>
    <x v="1"/>
    <x v="1"/>
    <x v="2"/>
    <x v="1"/>
    <x v="2"/>
    <x v="1"/>
    <x v="2"/>
    <x v="0"/>
    <x v="2"/>
    <x v="3"/>
    <x v="4"/>
    <x v="245"/>
    <x v="12"/>
    <x v="0"/>
    <x v="0"/>
    <x v="1"/>
    <x v="0"/>
    <x v="0"/>
    <x v="0"/>
    <x v="162"/>
  </r>
  <r>
    <x v="526"/>
    <x v="265"/>
    <x v="265"/>
    <x v="261"/>
    <x v="418"/>
    <x v="1"/>
    <x v="2"/>
    <x v="276"/>
    <x v="220"/>
    <x v="1"/>
    <x v="2"/>
    <x v="0"/>
    <x v="0"/>
    <x v="1"/>
    <x v="1"/>
    <x v="1"/>
    <x v="1"/>
    <x v="1"/>
    <x v="3"/>
    <x v="1"/>
    <x v="1"/>
    <x v="114"/>
    <x v="1"/>
    <x v="6"/>
    <x v="2"/>
    <x v="265"/>
    <x v="12"/>
    <x v="1"/>
    <x v="7"/>
    <x v="2"/>
    <x v="1"/>
    <x v="313"/>
    <x v="0"/>
    <x v="163"/>
  </r>
  <r>
    <x v="527"/>
    <x v="265"/>
    <x v="265"/>
    <x v="261"/>
    <x v="419"/>
    <x v="1"/>
    <x v="2"/>
    <x v="276"/>
    <x v="220"/>
    <x v="1"/>
    <x v="2"/>
    <x v="0"/>
    <x v="0"/>
    <x v="3"/>
    <x v="1"/>
    <x v="1"/>
    <x v="2"/>
    <x v="1"/>
    <x v="2"/>
    <x v="1"/>
    <x v="2"/>
    <x v="0"/>
    <x v="1"/>
    <x v="3"/>
    <x v="4"/>
    <x v="265"/>
    <x v="12"/>
    <x v="0"/>
    <x v="0"/>
    <x v="1"/>
    <x v="0"/>
    <x v="0"/>
    <x v="0"/>
    <x v="164"/>
  </r>
  <r>
    <x v="528"/>
    <x v="266"/>
    <x v="266"/>
    <x v="262"/>
    <x v="420"/>
    <x v="1"/>
    <x v="2"/>
    <x v="277"/>
    <x v="43"/>
    <x v="1"/>
    <x v="2"/>
    <x v="0"/>
    <x v="0"/>
    <x v="1"/>
    <x v="2"/>
    <x v="3"/>
    <x v="2"/>
    <x v="1"/>
    <x v="2"/>
    <x v="1"/>
    <x v="1"/>
    <x v="115"/>
    <x v="1"/>
    <x v="6"/>
    <x v="2"/>
    <x v="266"/>
    <x v="5"/>
    <x v="3"/>
    <x v="0"/>
    <x v="1"/>
    <x v="0"/>
    <x v="314"/>
    <x v="161"/>
    <x v="0"/>
  </r>
  <r>
    <x v="529"/>
    <x v="169"/>
    <x v="169"/>
    <x v="167"/>
    <x v="0"/>
    <x v="1"/>
    <x v="2"/>
    <x v="177"/>
    <x v="196"/>
    <x v="6"/>
    <x v="0"/>
    <x v="0"/>
    <x v="13"/>
    <x v="3"/>
    <x v="1"/>
    <x v="1"/>
    <x v="2"/>
    <x v="1"/>
    <x v="2"/>
    <x v="1"/>
    <x v="2"/>
    <x v="0"/>
    <x v="2"/>
    <x v="3"/>
    <x v="4"/>
    <x v="168"/>
    <x v="5"/>
    <x v="0"/>
    <x v="0"/>
    <x v="1"/>
    <x v="0"/>
    <x v="0"/>
    <x v="0"/>
    <x v="165"/>
  </r>
  <r>
    <x v="530"/>
    <x v="261"/>
    <x v="261"/>
    <x v="257"/>
    <x v="0"/>
    <x v="3"/>
    <x v="2"/>
    <x v="272"/>
    <x v="220"/>
    <x v="1"/>
    <x v="9"/>
    <x v="0"/>
    <x v="0"/>
    <x v="3"/>
    <x v="1"/>
    <x v="1"/>
    <x v="2"/>
    <x v="1"/>
    <x v="2"/>
    <x v="1"/>
    <x v="2"/>
    <x v="0"/>
    <x v="2"/>
    <x v="3"/>
    <x v="4"/>
    <x v="261"/>
    <x v="5"/>
    <x v="0"/>
    <x v="0"/>
    <x v="1"/>
    <x v="0"/>
    <x v="0"/>
    <x v="0"/>
    <x v="166"/>
  </r>
  <r>
    <x v="531"/>
    <x v="193"/>
    <x v="191"/>
    <x v="189"/>
    <x v="0"/>
    <x v="1"/>
    <x v="2"/>
    <x v="202"/>
    <x v="165"/>
    <x v="1"/>
    <x v="31"/>
    <x v="0"/>
    <x v="0"/>
    <x v="3"/>
    <x v="1"/>
    <x v="1"/>
    <x v="1"/>
    <x v="1"/>
    <x v="2"/>
    <x v="1"/>
    <x v="1"/>
    <x v="115"/>
    <x v="2"/>
    <x v="3"/>
    <x v="4"/>
    <x v="191"/>
    <x v="5"/>
    <x v="3"/>
    <x v="0"/>
    <x v="1"/>
    <x v="0"/>
    <x v="315"/>
    <x v="0"/>
    <x v="167"/>
  </r>
  <r>
    <x v="532"/>
    <x v="48"/>
    <x v="37"/>
    <x v="37"/>
    <x v="421"/>
    <x v="3"/>
    <x v="2"/>
    <x v="40"/>
    <x v="41"/>
    <x v="1"/>
    <x v="15"/>
    <x v="0"/>
    <x v="0"/>
    <x v="1"/>
    <x v="2"/>
    <x v="3"/>
    <x v="2"/>
    <x v="1"/>
    <x v="2"/>
    <x v="1"/>
    <x v="1"/>
    <x v="115"/>
    <x v="1"/>
    <x v="6"/>
    <x v="2"/>
    <x v="37"/>
    <x v="5"/>
    <x v="3"/>
    <x v="0"/>
    <x v="1"/>
    <x v="0"/>
    <x v="316"/>
    <x v="162"/>
    <x v="0"/>
  </r>
  <r>
    <x v="533"/>
    <x v="135"/>
    <x v="135"/>
    <x v="133"/>
    <x v="422"/>
    <x v="1"/>
    <x v="2"/>
    <x v="139"/>
    <x v="119"/>
    <x v="1"/>
    <x v="114"/>
    <x v="0"/>
    <x v="0"/>
    <x v="1"/>
    <x v="1"/>
    <x v="1"/>
    <x v="2"/>
    <x v="1"/>
    <x v="2"/>
    <x v="1"/>
    <x v="1"/>
    <x v="115"/>
    <x v="1"/>
    <x v="6"/>
    <x v="2"/>
    <x v="267"/>
    <x v="12"/>
    <x v="1"/>
    <x v="7"/>
    <x v="2"/>
    <x v="1"/>
    <x v="317"/>
    <x v="0"/>
    <x v="0"/>
  </r>
  <r>
    <x v="534"/>
    <x v="135"/>
    <x v="135"/>
    <x v="133"/>
    <x v="422"/>
    <x v="1"/>
    <x v="2"/>
    <x v="139"/>
    <x v="223"/>
    <x v="1"/>
    <x v="114"/>
    <x v="0"/>
    <x v="0"/>
    <x v="3"/>
    <x v="3"/>
    <x v="3"/>
    <x v="1"/>
    <x v="1"/>
    <x v="2"/>
    <x v="1"/>
    <x v="1"/>
    <x v="116"/>
    <x v="1"/>
    <x v="3"/>
    <x v="4"/>
    <x v="267"/>
    <x v="12"/>
    <x v="1"/>
    <x v="7"/>
    <x v="1"/>
    <x v="0"/>
    <x v="318"/>
    <x v="0"/>
    <x v="168"/>
  </r>
  <r>
    <x v="535"/>
    <x v="267"/>
    <x v="267"/>
    <x v="263"/>
    <x v="423"/>
    <x v="1"/>
    <x v="2"/>
    <x v="278"/>
    <x v="224"/>
    <x v="1"/>
    <x v="15"/>
    <x v="0"/>
    <x v="0"/>
    <x v="1"/>
    <x v="1"/>
    <x v="1"/>
    <x v="2"/>
    <x v="1"/>
    <x v="2"/>
    <x v="1"/>
    <x v="2"/>
    <x v="115"/>
    <x v="1"/>
    <x v="6"/>
    <x v="2"/>
    <x v="268"/>
    <x v="12"/>
    <x v="1"/>
    <x v="7"/>
    <x v="2"/>
    <x v="1"/>
    <x v="319"/>
    <x v="0"/>
    <x v="169"/>
  </r>
  <r>
    <x v="536"/>
    <x v="268"/>
    <x v="268"/>
    <x v="264"/>
    <x v="424"/>
    <x v="3"/>
    <x v="2"/>
    <x v="279"/>
    <x v="225"/>
    <x v="2"/>
    <x v="0"/>
    <x v="2"/>
    <x v="0"/>
    <x v="1"/>
    <x v="1"/>
    <x v="1"/>
    <x v="2"/>
    <x v="1"/>
    <x v="2"/>
    <x v="1"/>
    <x v="1"/>
    <x v="116"/>
    <x v="1"/>
    <x v="6"/>
    <x v="2"/>
    <x v="269"/>
    <x v="12"/>
    <x v="3"/>
    <x v="0"/>
    <x v="1"/>
    <x v="0"/>
    <x v="320"/>
    <x v="163"/>
    <x v="170"/>
  </r>
  <r>
    <x v="537"/>
    <x v="267"/>
    <x v="267"/>
    <x v="263"/>
    <x v="425"/>
    <x v="1"/>
    <x v="2"/>
    <x v="278"/>
    <x v="226"/>
    <x v="2"/>
    <x v="0"/>
    <x v="2"/>
    <x v="0"/>
    <x v="3"/>
    <x v="1"/>
    <x v="1"/>
    <x v="2"/>
    <x v="1"/>
    <x v="2"/>
    <x v="1"/>
    <x v="2"/>
    <x v="0"/>
    <x v="1"/>
    <x v="3"/>
    <x v="4"/>
    <x v="268"/>
    <x v="12"/>
    <x v="0"/>
    <x v="0"/>
    <x v="1"/>
    <x v="0"/>
    <x v="0"/>
    <x v="0"/>
    <x v="0"/>
  </r>
  <r>
    <x v="538"/>
    <x v="269"/>
    <x v="269"/>
    <x v="265"/>
    <x v="426"/>
    <x v="2"/>
    <x v="3"/>
    <x v="280"/>
    <x v="10"/>
    <x v="1"/>
    <x v="1"/>
    <x v="0"/>
    <x v="0"/>
    <x v="2"/>
    <x v="2"/>
    <x v="3"/>
    <x v="1"/>
    <x v="2"/>
    <x v="3"/>
    <x v="1"/>
    <x v="1"/>
    <x v="116"/>
    <x v="1"/>
    <x v="2"/>
    <x v="2"/>
    <x v="270"/>
    <x v="12"/>
    <x v="1"/>
    <x v="4"/>
    <x v="2"/>
    <x v="1"/>
    <x v="321"/>
    <x v="0"/>
    <x v="171"/>
  </r>
  <r>
    <x v="539"/>
    <x v="256"/>
    <x v="256"/>
    <x v="252"/>
    <x v="427"/>
    <x v="1"/>
    <x v="2"/>
    <x v="267"/>
    <x v="227"/>
    <x v="1"/>
    <x v="33"/>
    <x v="0"/>
    <x v="0"/>
    <x v="1"/>
    <x v="3"/>
    <x v="2"/>
    <x v="2"/>
    <x v="1"/>
    <x v="2"/>
    <x v="1"/>
    <x v="1"/>
    <x v="117"/>
    <x v="1"/>
    <x v="4"/>
    <x v="2"/>
    <x v="256"/>
    <x v="12"/>
    <x v="3"/>
    <x v="0"/>
    <x v="1"/>
    <x v="0"/>
    <x v="322"/>
    <x v="164"/>
    <x v="0"/>
  </r>
  <r>
    <x v="540"/>
    <x v="270"/>
    <x v="270"/>
    <x v="266"/>
    <x v="428"/>
    <x v="3"/>
    <x v="2"/>
    <x v="281"/>
    <x v="24"/>
    <x v="1"/>
    <x v="15"/>
    <x v="0"/>
    <x v="0"/>
    <x v="1"/>
    <x v="1"/>
    <x v="1"/>
    <x v="2"/>
    <x v="1"/>
    <x v="3"/>
    <x v="1"/>
    <x v="2"/>
    <x v="0"/>
    <x v="1"/>
    <x v="1"/>
    <x v="2"/>
    <x v="271"/>
    <x v="11"/>
    <x v="0"/>
    <x v="0"/>
    <x v="1"/>
    <x v="0"/>
    <x v="0"/>
    <x v="0"/>
    <x v="0"/>
  </r>
  <r>
    <x v="541"/>
    <x v="135"/>
    <x v="135"/>
    <x v="133"/>
    <x v="0"/>
    <x v="1"/>
    <x v="2"/>
    <x v="139"/>
    <x v="119"/>
    <x v="1"/>
    <x v="114"/>
    <x v="0"/>
    <x v="0"/>
    <x v="3"/>
    <x v="1"/>
    <x v="1"/>
    <x v="2"/>
    <x v="1"/>
    <x v="2"/>
    <x v="1"/>
    <x v="1"/>
    <x v="116"/>
    <x v="2"/>
    <x v="3"/>
    <x v="4"/>
    <x v="267"/>
    <x v="12"/>
    <x v="3"/>
    <x v="0"/>
    <x v="1"/>
    <x v="0"/>
    <x v="323"/>
    <x v="165"/>
    <x v="172"/>
  </r>
  <r>
    <x v="542"/>
    <x v="269"/>
    <x v="269"/>
    <x v="265"/>
    <x v="429"/>
    <x v="2"/>
    <x v="3"/>
    <x v="280"/>
    <x v="228"/>
    <x v="1"/>
    <x v="1"/>
    <x v="0"/>
    <x v="0"/>
    <x v="3"/>
    <x v="3"/>
    <x v="3"/>
    <x v="2"/>
    <x v="2"/>
    <x v="1"/>
    <x v="1"/>
    <x v="1"/>
    <x v="118"/>
    <x v="1"/>
    <x v="3"/>
    <x v="4"/>
    <x v="270"/>
    <x v="1"/>
    <x v="1"/>
    <x v="4"/>
    <x v="2"/>
    <x v="1"/>
    <x v="324"/>
    <x v="0"/>
    <x v="0"/>
  </r>
  <r>
    <x v="543"/>
    <x v="269"/>
    <x v="269"/>
    <x v="265"/>
    <x v="430"/>
    <x v="2"/>
    <x v="3"/>
    <x v="280"/>
    <x v="95"/>
    <x v="1"/>
    <x v="2"/>
    <x v="0"/>
    <x v="0"/>
    <x v="3"/>
    <x v="1"/>
    <x v="1"/>
    <x v="2"/>
    <x v="2"/>
    <x v="1"/>
    <x v="1"/>
    <x v="1"/>
    <x v="117"/>
    <x v="1"/>
    <x v="3"/>
    <x v="4"/>
    <x v="270"/>
    <x v="1"/>
    <x v="1"/>
    <x v="4"/>
    <x v="2"/>
    <x v="1"/>
    <x v="325"/>
    <x v="0"/>
    <x v="0"/>
  </r>
  <r>
    <x v="544"/>
    <x v="233"/>
    <x v="232"/>
    <x v="229"/>
    <x v="431"/>
    <x v="1"/>
    <x v="1"/>
    <x v="243"/>
    <x v="199"/>
    <x v="1"/>
    <x v="2"/>
    <x v="0"/>
    <x v="0"/>
    <x v="1"/>
    <x v="1"/>
    <x v="1"/>
    <x v="2"/>
    <x v="1"/>
    <x v="2"/>
    <x v="1"/>
    <x v="2"/>
    <x v="0"/>
    <x v="1"/>
    <x v="1"/>
    <x v="2"/>
    <x v="233"/>
    <x v="4"/>
    <x v="0"/>
    <x v="0"/>
    <x v="1"/>
    <x v="0"/>
    <x v="0"/>
    <x v="0"/>
    <x v="0"/>
  </r>
  <r>
    <x v="545"/>
    <x v="269"/>
    <x v="269"/>
    <x v="265"/>
    <x v="432"/>
    <x v="2"/>
    <x v="3"/>
    <x v="280"/>
    <x v="95"/>
    <x v="1"/>
    <x v="1"/>
    <x v="0"/>
    <x v="0"/>
    <x v="3"/>
    <x v="1"/>
    <x v="1"/>
    <x v="2"/>
    <x v="2"/>
    <x v="1"/>
    <x v="1"/>
    <x v="2"/>
    <x v="0"/>
    <x v="1"/>
    <x v="3"/>
    <x v="4"/>
    <x v="270"/>
    <x v="1"/>
    <x v="0"/>
    <x v="0"/>
    <x v="1"/>
    <x v="0"/>
    <x v="0"/>
    <x v="0"/>
    <x v="0"/>
  </r>
  <r>
    <x v="546"/>
    <x v="271"/>
    <x v="271"/>
    <x v="267"/>
    <x v="433"/>
    <x v="1"/>
    <x v="2"/>
    <x v="282"/>
    <x v="115"/>
    <x v="1"/>
    <x v="3"/>
    <x v="0"/>
    <x v="0"/>
    <x v="1"/>
    <x v="1"/>
    <x v="1"/>
    <x v="2"/>
    <x v="1"/>
    <x v="2"/>
    <x v="1"/>
    <x v="1"/>
    <x v="119"/>
    <x v="1"/>
    <x v="1"/>
    <x v="2"/>
    <x v="272"/>
    <x v="4"/>
    <x v="1"/>
    <x v="2"/>
    <x v="1"/>
    <x v="0"/>
    <x v="326"/>
    <x v="166"/>
    <x v="0"/>
  </r>
  <r>
    <x v="547"/>
    <x v="272"/>
    <x v="272"/>
    <x v="268"/>
    <x v="434"/>
    <x v="1"/>
    <x v="3"/>
    <x v="283"/>
    <x v="10"/>
    <x v="2"/>
    <x v="0"/>
    <x v="9"/>
    <x v="0"/>
    <x v="1"/>
    <x v="1"/>
    <x v="1"/>
    <x v="2"/>
    <x v="1"/>
    <x v="1"/>
    <x v="1"/>
    <x v="1"/>
    <x v="117"/>
    <x v="1"/>
    <x v="1"/>
    <x v="2"/>
    <x v="273"/>
    <x v="1"/>
    <x v="1"/>
    <x v="5"/>
    <x v="2"/>
    <x v="1"/>
    <x v="327"/>
    <x v="0"/>
    <x v="0"/>
  </r>
  <r>
    <x v="548"/>
    <x v="272"/>
    <x v="273"/>
    <x v="268"/>
    <x v="435"/>
    <x v="1"/>
    <x v="3"/>
    <x v="283"/>
    <x v="10"/>
    <x v="2"/>
    <x v="0"/>
    <x v="6"/>
    <x v="0"/>
    <x v="3"/>
    <x v="3"/>
    <x v="3"/>
    <x v="2"/>
    <x v="1"/>
    <x v="2"/>
    <x v="1"/>
    <x v="1"/>
    <x v="119"/>
    <x v="1"/>
    <x v="3"/>
    <x v="4"/>
    <x v="273"/>
    <x v="2"/>
    <x v="1"/>
    <x v="2"/>
    <x v="1"/>
    <x v="0"/>
    <x v="328"/>
    <x v="167"/>
    <x v="173"/>
  </r>
  <r>
    <x v="549"/>
    <x v="273"/>
    <x v="274"/>
    <x v="269"/>
    <x v="436"/>
    <x v="1"/>
    <x v="3"/>
    <x v="284"/>
    <x v="27"/>
    <x v="1"/>
    <x v="9"/>
    <x v="0"/>
    <x v="0"/>
    <x v="1"/>
    <x v="3"/>
    <x v="2"/>
    <x v="2"/>
    <x v="1"/>
    <x v="1"/>
    <x v="1"/>
    <x v="1"/>
    <x v="119"/>
    <x v="1"/>
    <x v="1"/>
    <x v="2"/>
    <x v="274"/>
    <x v="2"/>
    <x v="1"/>
    <x v="7"/>
    <x v="1"/>
    <x v="0"/>
    <x v="329"/>
    <x v="168"/>
    <x v="174"/>
  </r>
  <r>
    <x v="550"/>
    <x v="274"/>
    <x v="275"/>
    <x v="270"/>
    <x v="437"/>
    <x v="1"/>
    <x v="4"/>
    <x v="285"/>
    <x v="229"/>
    <x v="1"/>
    <x v="115"/>
    <x v="0"/>
    <x v="0"/>
    <x v="1"/>
    <x v="1"/>
    <x v="1"/>
    <x v="2"/>
    <x v="1"/>
    <x v="2"/>
    <x v="1"/>
    <x v="2"/>
    <x v="0"/>
    <x v="1"/>
    <x v="2"/>
    <x v="2"/>
    <x v="275"/>
    <x v="12"/>
    <x v="0"/>
    <x v="0"/>
    <x v="1"/>
    <x v="0"/>
    <x v="0"/>
    <x v="0"/>
    <x v="0"/>
  </r>
  <r>
    <x v="551"/>
    <x v="272"/>
    <x v="273"/>
    <x v="268"/>
    <x v="0"/>
    <x v="1"/>
    <x v="3"/>
    <x v="283"/>
    <x v="10"/>
    <x v="2"/>
    <x v="0"/>
    <x v="6"/>
    <x v="0"/>
    <x v="3"/>
    <x v="4"/>
    <x v="1"/>
    <x v="2"/>
    <x v="1"/>
    <x v="2"/>
    <x v="1"/>
    <x v="2"/>
    <x v="0"/>
    <x v="2"/>
    <x v="3"/>
    <x v="4"/>
    <x v="273"/>
    <x v="4"/>
    <x v="0"/>
    <x v="0"/>
    <x v="1"/>
    <x v="0"/>
    <x v="0"/>
    <x v="0"/>
    <x v="0"/>
  </r>
  <r>
    <x v="552"/>
    <x v="275"/>
    <x v="276"/>
    <x v="271"/>
    <x v="438"/>
    <x v="1"/>
    <x v="2"/>
    <x v="286"/>
    <x v="218"/>
    <x v="1"/>
    <x v="3"/>
    <x v="0"/>
    <x v="0"/>
    <x v="1"/>
    <x v="3"/>
    <x v="2"/>
    <x v="2"/>
    <x v="1"/>
    <x v="2"/>
    <x v="1"/>
    <x v="1"/>
    <x v="120"/>
    <x v="1"/>
    <x v="1"/>
    <x v="2"/>
    <x v="276"/>
    <x v="12"/>
    <x v="1"/>
    <x v="1"/>
    <x v="1"/>
    <x v="0"/>
    <x v="330"/>
    <x v="0"/>
    <x v="175"/>
  </r>
  <r>
    <x v="553"/>
    <x v="271"/>
    <x v="271"/>
    <x v="267"/>
    <x v="0"/>
    <x v="1"/>
    <x v="2"/>
    <x v="282"/>
    <x v="115"/>
    <x v="1"/>
    <x v="3"/>
    <x v="0"/>
    <x v="0"/>
    <x v="3"/>
    <x v="3"/>
    <x v="2"/>
    <x v="2"/>
    <x v="1"/>
    <x v="2"/>
    <x v="1"/>
    <x v="1"/>
    <x v="121"/>
    <x v="2"/>
    <x v="3"/>
    <x v="4"/>
    <x v="272"/>
    <x v="4"/>
    <x v="3"/>
    <x v="0"/>
    <x v="1"/>
    <x v="0"/>
    <x v="331"/>
    <x v="169"/>
    <x v="176"/>
  </r>
  <r>
    <x v="554"/>
    <x v="273"/>
    <x v="274"/>
    <x v="269"/>
    <x v="0"/>
    <x v="1"/>
    <x v="3"/>
    <x v="287"/>
    <x v="27"/>
    <x v="1"/>
    <x v="9"/>
    <x v="0"/>
    <x v="0"/>
    <x v="3"/>
    <x v="5"/>
    <x v="1"/>
    <x v="1"/>
    <x v="1"/>
    <x v="2"/>
    <x v="1"/>
    <x v="2"/>
    <x v="0"/>
    <x v="1"/>
    <x v="3"/>
    <x v="4"/>
    <x v="274"/>
    <x v="12"/>
    <x v="0"/>
    <x v="0"/>
    <x v="1"/>
    <x v="0"/>
    <x v="0"/>
    <x v="0"/>
    <x v="177"/>
  </r>
  <r>
    <x v="555"/>
    <x v="275"/>
    <x v="276"/>
    <x v="271"/>
    <x v="0"/>
    <x v="1"/>
    <x v="2"/>
    <x v="286"/>
    <x v="218"/>
    <x v="1"/>
    <x v="3"/>
    <x v="0"/>
    <x v="0"/>
    <x v="3"/>
    <x v="3"/>
    <x v="2"/>
    <x v="2"/>
    <x v="1"/>
    <x v="2"/>
    <x v="1"/>
    <x v="1"/>
    <x v="122"/>
    <x v="2"/>
    <x v="3"/>
    <x v="4"/>
    <x v="276"/>
    <x v="5"/>
    <x v="1"/>
    <x v="4"/>
    <x v="2"/>
    <x v="1"/>
    <x v="332"/>
    <x v="170"/>
    <x v="178"/>
  </r>
  <r>
    <x v="556"/>
    <x v="276"/>
    <x v="277"/>
    <x v="272"/>
    <x v="439"/>
    <x v="1"/>
    <x v="2"/>
    <x v="288"/>
    <x v="60"/>
    <x v="1"/>
    <x v="22"/>
    <x v="0"/>
    <x v="0"/>
    <x v="1"/>
    <x v="2"/>
    <x v="3"/>
    <x v="2"/>
    <x v="1"/>
    <x v="2"/>
    <x v="1"/>
    <x v="1"/>
    <x v="123"/>
    <x v="1"/>
    <x v="6"/>
    <x v="3"/>
    <x v="277"/>
    <x v="5"/>
    <x v="1"/>
    <x v="4"/>
    <x v="1"/>
    <x v="0"/>
    <x v="333"/>
    <x v="171"/>
    <x v="179"/>
  </r>
  <r>
    <x v="557"/>
    <x v="277"/>
    <x v="278"/>
    <x v="273"/>
    <x v="440"/>
    <x v="1"/>
    <x v="2"/>
    <x v="289"/>
    <x v="230"/>
    <x v="1"/>
    <x v="116"/>
    <x v="0"/>
    <x v="0"/>
    <x v="1"/>
    <x v="1"/>
    <x v="1"/>
    <x v="2"/>
    <x v="1"/>
    <x v="3"/>
    <x v="1"/>
    <x v="2"/>
    <x v="0"/>
    <x v="1"/>
    <x v="6"/>
    <x v="2"/>
    <x v="278"/>
    <x v="1"/>
    <x v="0"/>
    <x v="0"/>
    <x v="1"/>
    <x v="0"/>
    <x v="0"/>
    <x v="0"/>
    <x v="0"/>
  </r>
  <r>
    <x v="558"/>
    <x v="278"/>
    <x v="279"/>
    <x v="274"/>
    <x v="441"/>
    <x v="1"/>
    <x v="2"/>
    <x v="290"/>
    <x v="231"/>
    <x v="1"/>
    <x v="117"/>
    <x v="0"/>
    <x v="0"/>
    <x v="1"/>
    <x v="1"/>
    <x v="2"/>
    <x v="2"/>
    <x v="1"/>
    <x v="2"/>
    <x v="1"/>
    <x v="1"/>
    <x v="122"/>
    <x v="1"/>
    <x v="6"/>
    <x v="3"/>
    <x v="279"/>
    <x v="5"/>
    <x v="3"/>
    <x v="0"/>
    <x v="1"/>
    <x v="0"/>
    <x v="332"/>
    <x v="172"/>
    <x v="180"/>
  </r>
  <r>
    <x v="559"/>
    <x v="141"/>
    <x v="141"/>
    <x v="139"/>
    <x v="442"/>
    <x v="1"/>
    <x v="1"/>
    <x v="145"/>
    <x v="125"/>
    <x v="1"/>
    <x v="9"/>
    <x v="0"/>
    <x v="0"/>
    <x v="1"/>
    <x v="1"/>
    <x v="1"/>
    <x v="2"/>
    <x v="1"/>
    <x v="3"/>
    <x v="1"/>
    <x v="2"/>
    <x v="0"/>
    <x v="1"/>
    <x v="1"/>
    <x v="2"/>
    <x v="140"/>
    <x v="3"/>
    <x v="0"/>
    <x v="0"/>
    <x v="1"/>
    <x v="0"/>
    <x v="0"/>
    <x v="0"/>
    <x v="0"/>
  </r>
  <r>
    <x v="560"/>
    <x v="266"/>
    <x v="266"/>
    <x v="262"/>
    <x v="443"/>
    <x v="1"/>
    <x v="2"/>
    <x v="277"/>
    <x v="158"/>
    <x v="1"/>
    <x v="27"/>
    <x v="0"/>
    <x v="0"/>
    <x v="1"/>
    <x v="2"/>
    <x v="3"/>
    <x v="2"/>
    <x v="1"/>
    <x v="1"/>
    <x v="1"/>
    <x v="1"/>
    <x v="122"/>
    <x v="1"/>
    <x v="1"/>
    <x v="2"/>
    <x v="266"/>
    <x v="1"/>
    <x v="1"/>
    <x v="5"/>
    <x v="1"/>
    <x v="0"/>
    <x v="334"/>
    <x v="173"/>
    <x v="178"/>
  </r>
  <r>
    <x v="561"/>
    <x v="276"/>
    <x v="277"/>
    <x v="272"/>
    <x v="0"/>
    <x v="1"/>
    <x v="2"/>
    <x v="288"/>
    <x v="60"/>
    <x v="1"/>
    <x v="4"/>
    <x v="0"/>
    <x v="0"/>
    <x v="3"/>
    <x v="6"/>
    <x v="3"/>
    <x v="2"/>
    <x v="1"/>
    <x v="2"/>
    <x v="1"/>
    <x v="1"/>
    <x v="122"/>
    <x v="1"/>
    <x v="3"/>
    <x v="4"/>
    <x v="277"/>
    <x v="1"/>
    <x v="1"/>
    <x v="4"/>
    <x v="1"/>
    <x v="0"/>
    <x v="335"/>
    <x v="174"/>
    <x v="178"/>
  </r>
  <r>
    <x v="562"/>
    <x v="140"/>
    <x v="140"/>
    <x v="138"/>
    <x v="444"/>
    <x v="3"/>
    <x v="2"/>
    <x v="144"/>
    <x v="123"/>
    <x v="1"/>
    <x v="118"/>
    <x v="0"/>
    <x v="0"/>
    <x v="1"/>
    <x v="1"/>
    <x v="1"/>
    <x v="2"/>
    <x v="1"/>
    <x v="1"/>
    <x v="1"/>
    <x v="2"/>
    <x v="0"/>
    <x v="1"/>
    <x v="1"/>
    <x v="2"/>
    <x v="139"/>
    <x v="12"/>
    <x v="0"/>
    <x v="0"/>
    <x v="1"/>
    <x v="0"/>
    <x v="0"/>
    <x v="0"/>
    <x v="0"/>
  </r>
  <r>
    <x v="563"/>
    <x v="148"/>
    <x v="148"/>
    <x v="146"/>
    <x v="445"/>
    <x v="1"/>
    <x v="2"/>
    <x v="153"/>
    <x v="129"/>
    <x v="1"/>
    <x v="79"/>
    <x v="0"/>
    <x v="0"/>
    <x v="1"/>
    <x v="3"/>
    <x v="3"/>
    <x v="2"/>
    <x v="1"/>
    <x v="2"/>
    <x v="1"/>
    <x v="1"/>
    <x v="124"/>
    <x v="1"/>
    <x v="5"/>
    <x v="2"/>
    <x v="147"/>
    <x v="12"/>
    <x v="1"/>
    <x v="7"/>
    <x v="1"/>
    <x v="0"/>
    <x v="336"/>
    <x v="0"/>
    <x v="181"/>
  </r>
  <r>
    <x v="564"/>
    <x v="276"/>
    <x v="277"/>
    <x v="272"/>
    <x v="0"/>
    <x v="1"/>
    <x v="2"/>
    <x v="288"/>
    <x v="60"/>
    <x v="1"/>
    <x v="4"/>
    <x v="0"/>
    <x v="0"/>
    <x v="3"/>
    <x v="4"/>
    <x v="1"/>
    <x v="2"/>
    <x v="1"/>
    <x v="2"/>
    <x v="1"/>
    <x v="2"/>
    <x v="0"/>
    <x v="2"/>
    <x v="3"/>
    <x v="4"/>
    <x v="277"/>
    <x v="1"/>
    <x v="0"/>
    <x v="0"/>
    <x v="1"/>
    <x v="0"/>
    <x v="0"/>
    <x v="0"/>
    <x v="0"/>
  </r>
  <r>
    <x v="565"/>
    <x v="266"/>
    <x v="266"/>
    <x v="262"/>
    <x v="0"/>
    <x v="1"/>
    <x v="2"/>
    <x v="291"/>
    <x v="10"/>
    <x v="2"/>
    <x v="0"/>
    <x v="2"/>
    <x v="0"/>
    <x v="3"/>
    <x v="4"/>
    <x v="1"/>
    <x v="2"/>
    <x v="1"/>
    <x v="2"/>
    <x v="1"/>
    <x v="2"/>
    <x v="0"/>
    <x v="2"/>
    <x v="3"/>
    <x v="4"/>
    <x v="266"/>
    <x v="2"/>
    <x v="0"/>
    <x v="0"/>
    <x v="1"/>
    <x v="0"/>
    <x v="0"/>
    <x v="0"/>
    <x v="0"/>
  </r>
  <r>
    <x v="566"/>
    <x v="275"/>
    <x v="276"/>
    <x v="271"/>
    <x v="446"/>
    <x v="1"/>
    <x v="2"/>
    <x v="286"/>
    <x v="218"/>
    <x v="1"/>
    <x v="3"/>
    <x v="0"/>
    <x v="0"/>
    <x v="3"/>
    <x v="3"/>
    <x v="2"/>
    <x v="1"/>
    <x v="1"/>
    <x v="3"/>
    <x v="1"/>
    <x v="1"/>
    <x v="125"/>
    <x v="1"/>
    <x v="3"/>
    <x v="4"/>
    <x v="276"/>
    <x v="1"/>
    <x v="1"/>
    <x v="2"/>
    <x v="1"/>
    <x v="0"/>
    <x v="337"/>
    <x v="175"/>
    <x v="0"/>
  </r>
  <r>
    <x v="567"/>
    <x v="148"/>
    <x v="148"/>
    <x v="146"/>
    <x v="0"/>
    <x v="1"/>
    <x v="2"/>
    <x v="153"/>
    <x v="129"/>
    <x v="1"/>
    <x v="79"/>
    <x v="0"/>
    <x v="0"/>
    <x v="3"/>
    <x v="1"/>
    <x v="1"/>
    <x v="2"/>
    <x v="1"/>
    <x v="2"/>
    <x v="1"/>
    <x v="2"/>
    <x v="0"/>
    <x v="2"/>
    <x v="3"/>
    <x v="4"/>
    <x v="147"/>
    <x v="12"/>
    <x v="0"/>
    <x v="0"/>
    <x v="1"/>
    <x v="0"/>
    <x v="0"/>
    <x v="0"/>
    <x v="182"/>
  </r>
  <r>
    <x v="568"/>
    <x v="279"/>
    <x v="280"/>
    <x v="275"/>
    <x v="447"/>
    <x v="1"/>
    <x v="2"/>
    <x v="292"/>
    <x v="232"/>
    <x v="1"/>
    <x v="3"/>
    <x v="0"/>
    <x v="0"/>
    <x v="1"/>
    <x v="3"/>
    <x v="2"/>
    <x v="1"/>
    <x v="1"/>
    <x v="2"/>
    <x v="1"/>
    <x v="1"/>
    <x v="126"/>
    <x v="1"/>
    <x v="1"/>
    <x v="1"/>
    <x v="280"/>
    <x v="5"/>
    <x v="3"/>
    <x v="0"/>
    <x v="1"/>
    <x v="0"/>
    <x v="338"/>
    <x v="0"/>
    <x v="183"/>
  </r>
  <r>
    <x v="569"/>
    <x v="280"/>
    <x v="281"/>
    <x v="276"/>
    <x v="448"/>
    <x v="1"/>
    <x v="2"/>
    <x v="293"/>
    <x v="216"/>
    <x v="1"/>
    <x v="2"/>
    <x v="0"/>
    <x v="0"/>
    <x v="1"/>
    <x v="1"/>
    <x v="2"/>
    <x v="1"/>
    <x v="1"/>
    <x v="2"/>
    <x v="1"/>
    <x v="1"/>
    <x v="125"/>
    <x v="1"/>
    <x v="1"/>
    <x v="2"/>
    <x v="281"/>
    <x v="5"/>
    <x v="1"/>
    <x v="1"/>
    <x v="2"/>
    <x v="1"/>
    <x v="339"/>
    <x v="0"/>
    <x v="0"/>
  </r>
  <r>
    <x v="570"/>
    <x v="140"/>
    <x v="140"/>
    <x v="138"/>
    <x v="449"/>
    <x v="3"/>
    <x v="2"/>
    <x v="144"/>
    <x v="233"/>
    <x v="2"/>
    <x v="0"/>
    <x v="6"/>
    <x v="0"/>
    <x v="1"/>
    <x v="3"/>
    <x v="3"/>
    <x v="2"/>
    <x v="1"/>
    <x v="1"/>
    <x v="1"/>
    <x v="1"/>
    <x v="125"/>
    <x v="1"/>
    <x v="1"/>
    <x v="2"/>
    <x v="139"/>
    <x v="1"/>
    <x v="1"/>
    <x v="4"/>
    <x v="2"/>
    <x v="1"/>
    <x v="340"/>
    <x v="176"/>
    <x v="184"/>
  </r>
  <r>
    <x v="571"/>
    <x v="280"/>
    <x v="281"/>
    <x v="276"/>
    <x v="450"/>
    <x v="1"/>
    <x v="2"/>
    <x v="293"/>
    <x v="216"/>
    <x v="1"/>
    <x v="2"/>
    <x v="0"/>
    <x v="0"/>
    <x v="3"/>
    <x v="1"/>
    <x v="2"/>
    <x v="1"/>
    <x v="1"/>
    <x v="2"/>
    <x v="1"/>
    <x v="2"/>
    <x v="0"/>
    <x v="2"/>
    <x v="3"/>
    <x v="4"/>
    <x v="281"/>
    <x v="5"/>
    <x v="0"/>
    <x v="0"/>
    <x v="1"/>
    <x v="0"/>
    <x v="0"/>
    <x v="0"/>
    <x v="0"/>
  </r>
  <r>
    <x v="572"/>
    <x v="275"/>
    <x v="276"/>
    <x v="271"/>
    <x v="0"/>
    <x v="1"/>
    <x v="2"/>
    <x v="286"/>
    <x v="218"/>
    <x v="1"/>
    <x v="3"/>
    <x v="0"/>
    <x v="0"/>
    <x v="3"/>
    <x v="1"/>
    <x v="1"/>
    <x v="2"/>
    <x v="1"/>
    <x v="3"/>
    <x v="1"/>
    <x v="2"/>
    <x v="0"/>
    <x v="2"/>
    <x v="3"/>
    <x v="4"/>
    <x v="276"/>
    <x v="4"/>
    <x v="0"/>
    <x v="0"/>
    <x v="1"/>
    <x v="0"/>
    <x v="0"/>
    <x v="0"/>
    <x v="0"/>
  </r>
  <r>
    <x v="573"/>
    <x v="281"/>
    <x v="282"/>
    <x v="277"/>
    <x v="451"/>
    <x v="1"/>
    <x v="2"/>
    <x v="294"/>
    <x v="36"/>
    <x v="1"/>
    <x v="27"/>
    <x v="0"/>
    <x v="0"/>
    <x v="1"/>
    <x v="1"/>
    <x v="1"/>
    <x v="2"/>
    <x v="1"/>
    <x v="2"/>
    <x v="1"/>
    <x v="1"/>
    <x v="127"/>
    <x v="1"/>
    <x v="5"/>
    <x v="2"/>
    <x v="282"/>
    <x v="5"/>
    <x v="1"/>
    <x v="7"/>
    <x v="1"/>
    <x v="0"/>
    <x v="341"/>
    <x v="0"/>
    <x v="0"/>
  </r>
  <r>
    <x v="574"/>
    <x v="135"/>
    <x v="135"/>
    <x v="133"/>
    <x v="452"/>
    <x v="1"/>
    <x v="2"/>
    <x v="295"/>
    <x v="119"/>
    <x v="1"/>
    <x v="9"/>
    <x v="0"/>
    <x v="0"/>
    <x v="1"/>
    <x v="1"/>
    <x v="1"/>
    <x v="2"/>
    <x v="1"/>
    <x v="2"/>
    <x v="1"/>
    <x v="1"/>
    <x v="127"/>
    <x v="1"/>
    <x v="5"/>
    <x v="2"/>
    <x v="267"/>
    <x v="5"/>
    <x v="1"/>
    <x v="7"/>
    <x v="2"/>
    <x v="1"/>
    <x v="342"/>
    <x v="0"/>
    <x v="185"/>
  </r>
  <r>
    <x v="575"/>
    <x v="281"/>
    <x v="282"/>
    <x v="277"/>
    <x v="0"/>
    <x v="1"/>
    <x v="2"/>
    <x v="294"/>
    <x v="234"/>
    <x v="1"/>
    <x v="27"/>
    <x v="0"/>
    <x v="0"/>
    <x v="3"/>
    <x v="1"/>
    <x v="1"/>
    <x v="2"/>
    <x v="1"/>
    <x v="2"/>
    <x v="1"/>
    <x v="2"/>
    <x v="0"/>
    <x v="2"/>
    <x v="3"/>
    <x v="4"/>
    <x v="282"/>
    <x v="12"/>
    <x v="0"/>
    <x v="0"/>
    <x v="1"/>
    <x v="0"/>
    <x v="0"/>
    <x v="0"/>
    <x v="0"/>
  </r>
  <r>
    <x v="576"/>
    <x v="282"/>
    <x v="283"/>
    <x v="278"/>
    <x v="453"/>
    <x v="1"/>
    <x v="1"/>
    <x v="296"/>
    <x v="128"/>
    <x v="1"/>
    <x v="9"/>
    <x v="0"/>
    <x v="0"/>
    <x v="1"/>
    <x v="5"/>
    <x v="1"/>
    <x v="2"/>
    <x v="1"/>
    <x v="3"/>
    <x v="1"/>
    <x v="1"/>
    <x v="127"/>
    <x v="1"/>
    <x v="1"/>
    <x v="2"/>
    <x v="283"/>
    <x v="2"/>
    <x v="1"/>
    <x v="4"/>
    <x v="1"/>
    <x v="0"/>
    <x v="343"/>
    <x v="0"/>
    <x v="186"/>
  </r>
  <r>
    <x v="577"/>
    <x v="135"/>
    <x v="135"/>
    <x v="133"/>
    <x v="454"/>
    <x v="1"/>
    <x v="2"/>
    <x v="139"/>
    <x v="119"/>
    <x v="1"/>
    <x v="9"/>
    <x v="0"/>
    <x v="0"/>
    <x v="3"/>
    <x v="1"/>
    <x v="1"/>
    <x v="2"/>
    <x v="1"/>
    <x v="2"/>
    <x v="1"/>
    <x v="2"/>
    <x v="0"/>
    <x v="1"/>
    <x v="3"/>
    <x v="4"/>
    <x v="267"/>
    <x v="12"/>
    <x v="0"/>
    <x v="0"/>
    <x v="1"/>
    <x v="0"/>
    <x v="0"/>
    <x v="0"/>
    <x v="0"/>
  </r>
  <r>
    <x v="578"/>
    <x v="140"/>
    <x v="140"/>
    <x v="138"/>
    <x v="455"/>
    <x v="3"/>
    <x v="2"/>
    <x v="144"/>
    <x v="233"/>
    <x v="1"/>
    <x v="119"/>
    <x v="0"/>
    <x v="0"/>
    <x v="3"/>
    <x v="1"/>
    <x v="1"/>
    <x v="2"/>
    <x v="1"/>
    <x v="1"/>
    <x v="1"/>
    <x v="2"/>
    <x v="0"/>
    <x v="1"/>
    <x v="3"/>
    <x v="4"/>
    <x v="139"/>
    <x v="1"/>
    <x v="0"/>
    <x v="0"/>
    <x v="1"/>
    <x v="0"/>
    <x v="0"/>
    <x v="0"/>
    <x v="0"/>
  </r>
  <r>
    <x v="579"/>
    <x v="283"/>
    <x v="284"/>
    <x v="279"/>
    <x v="456"/>
    <x v="1"/>
    <x v="3"/>
    <x v="297"/>
    <x v="235"/>
    <x v="1"/>
    <x v="120"/>
    <x v="0"/>
    <x v="0"/>
    <x v="1"/>
    <x v="5"/>
    <x v="1"/>
    <x v="2"/>
    <x v="1"/>
    <x v="3"/>
    <x v="1"/>
    <x v="2"/>
    <x v="0"/>
    <x v="1"/>
    <x v="1"/>
    <x v="13"/>
    <x v="284"/>
    <x v="1"/>
    <x v="0"/>
    <x v="0"/>
    <x v="1"/>
    <x v="0"/>
    <x v="0"/>
    <x v="0"/>
    <x v="0"/>
  </r>
  <r>
    <x v="580"/>
    <x v="284"/>
    <x v="285"/>
    <x v="280"/>
    <x v="457"/>
    <x v="1"/>
    <x v="2"/>
    <x v="298"/>
    <x v="33"/>
    <x v="1"/>
    <x v="121"/>
    <x v="0"/>
    <x v="0"/>
    <x v="1"/>
    <x v="1"/>
    <x v="1"/>
    <x v="2"/>
    <x v="1"/>
    <x v="2"/>
    <x v="1"/>
    <x v="2"/>
    <x v="0"/>
    <x v="1"/>
    <x v="6"/>
    <x v="3"/>
    <x v="285"/>
    <x v="5"/>
    <x v="0"/>
    <x v="0"/>
    <x v="1"/>
    <x v="0"/>
    <x v="0"/>
    <x v="0"/>
    <x v="0"/>
  </r>
  <r>
    <x v="581"/>
    <x v="285"/>
    <x v="286"/>
    <x v="281"/>
    <x v="458"/>
    <x v="1"/>
    <x v="2"/>
    <x v="299"/>
    <x v="236"/>
    <x v="1"/>
    <x v="9"/>
    <x v="0"/>
    <x v="0"/>
    <x v="1"/>
    <x v="1"/>
    <x v="1"/>
    <x v="2"/>
    <x v="2"/>
    <x v="1"/>
    <x v="1"/>
    <x v="1"/>
    <x v="128"/>
    <x v="1"/>
    <x v="6"/>
    <x v="3"/>
    <x v="286"/>
    <x v="5"/>
    <x v="3"/>
    <x v="0"/>
    <x v="1"/>
    <x v="0"/>
    <x v="344"/>
    <x v="177"/>
    <x v="187"/>
  </r>
  <r>
    <x v="582"/>
    <x v="282"/>
    <x v="283"/>
    <x v="278"/>
    <x v="0"/>
    <x v="1"/>
    <x v="1"/>
    <x v="296"/>
    <x v="128"/>
    <x v="1"/>
    <x v="9"/>
    <x v="0"/>
    <x v="0"/>
    <x v="3"/>
    <x v="1"/>
    <x v="1"/>
    <x v="2"/>
    <x v="1"/>
    <x v="3"/>
    <x v="1"/>
    <x v="2"/>
    <x v="0"/>
    <x v="2"/>
    <x v="3"/>
    <x v="4"/>
    <x v="283"/>
    <x v="1"/>
    <x v="0"/>
    <x v="0"/>
    <x v="1"/>
    <x v="0"/>
    <x v="0"/>
    <x v="0"/>
    <x v="0"/>
  </r>
  <r>
    <x v="583"/>
    <x v="286"/>
    <x v="287"/>
    <x v="282"/>
    <x v="459"/>
    <x v="1"/>
    <x v="3"/>
    <x v="300"/>
    <x v="42"/>
    <x v="1"/>
    <x v="1"/>
    <x v="0"/>
    <x v="0"/>
    <x v="1"/>
    <x v="2"/>
    <x v="3"/>
    <x v="2"/>
    <x v="2"/>
    <x v="1"/>
    <x v="1"/>
    <x v="1"/>
    <x v="129"/>
    <x v="1"/>
    <x v="6"/>
    <x v="2"/>
    <x v="287"/>
    <x v="12"/>
    <x v="1"/>
    <x v="1"/>
    <x v="1"/>
    <x v="0"/>
    <x v="345"/>
    <x v="178"/>
    <x v="188"/>
  </r>
  <r>
    <x v="584"/>
    <x v="194"/>
    <x v="192"/>
    <x v="190"/>
    <x v="460"/>
    <x v="1"/>
    <x v="2"/>
    <x v="203"/>
    <x v="237"/>
    <x v="1"/>
    <x v="122"/>
    <x v="0"/>
    <x v="0"/>
    <x v="1"/>
    <x v="1"/>
    <x v="1"/>
    <x v="2"/>
    <x v="1"/>
    <x v="1"/>
    <x v="1"/>
    <x v="1"/>
    <x v="129"/>
    <x v="1"/>
    <x v="6"/>
    <x v="3"/>
    <x v="192"/>
    <x v="1"/>
    <x v="3"/>
    <x v="0"/>
    <x v="1"/>
    <x v="0"/>
    <x v="346"/>
    <x v="179"/>
    <x v="0"/>
  </r>
  <r>
    <x v="585"/>
    <x v="287"/>
    <x v="288"/>
    <x v="283"/>
    <x v="461"/>
    <x v="1"/>
    <x v="3"/>
    <x v="301"/>
    <x v="238"/>
    <x v="1"/>
    <x v="123"/>
    <x v="0"/>
    <x v="0"/>
    <x v="1"/>
    <x v="1"/>
    <x v="1"/>
    <x v="1"/>
    <x v="1"/>
    <x v="3"/>
    <x v="1"/>
    <x v="2"/>
    <x v="0"/>
    <x v="1"/>
    <x v="1"/>
    <x v="2"/>
    <x v="288"/>
    <x v="2"/>
    <x v="0"/>
    <x v="0"/>
    <x v="1"/>
    <x v="0"/>
    <x v="0"/>
    <x v="0"/>
    <x v="0"/>
  </r>
  <r>
    <x v="586"/>
    <x v="288"/>
    <x v="289"/>
    <x v="284"/>
    <x v="462"/>
    <x v="1"/>
    <x v="2"/>
    <x v="302"/>
    <x v="239"/>
    <x v="1"/>
    <x v="9"/>
    <x v="0"/>
    <x v="0"/>
    <x v="1"/>
    <x v="2"/>
    <x v="3"/>
    <x v="2"/>
    <x v="1"/>
    <x v="2"/>
    <x v="1"/>
    <x v="1"/>
    <x v="130"/>
    <x v="1"/>
    <x v="1"/>
    <x v="5"/>
    <x v="289"/>
    <x v="3"/>
    <x v="3"/>
    <x v="0"/>
    <x v="1"/>
    <x v="0"/>
    <x v="347"/>
    <x v="180"/>
    <x v="189"/>
  </r>
  <r>
    <x v="587"/>
    <x v="51"/>
    <x v="50"/>
    <x v="49"/>
    <x v="463"/>
    <x v="1"/>
    <x v="2"/>
    <x v="303"/>
    <x v="240"/>
    <x v="1"/>
    <x v="2"/>
    <x v="0"/>
    <x v="0"/>
    <x v="1"/>
    <x v="3"/>
    <x v="3"/>
    <x v="2"/>
    <x v="1"/>
    <x v="3"/>
    <x v="1"/>
    <x v="1"/>
    <x v="130"/>
    <x v="1"/>
    <x v="1"/>
    <x v="2"/>
    <x v="290"/>
    <x v="1"/>
    <x v="3"/>
    <x v="0"/>
    <x v="1"/>
    <x v="0"/>
    <x v="348"/>
    <x v="181"/>
    <x v="0"/>
  </r>
  <r>
    <x v="588"/>
    <x v="93"/>
    <x v="92"/>
    <x v="91"/>
    <x v="464"/>
    <x v="1"/>
    <x v="2"/>
    <x v="98"/>
    <x v="43"/>
    <x v="2"/>
    <x v="0"/>
    <x v="2"/>
    <x v="0"/>
    <x v="1"/>
    <x v="3"/>
    <x v="3"/>
    <x v="2"/>
    <x v="1"/>
    <x v="1"/>
    <x v="1"/>
    <x v="1"/>
    <x v="130"/>
    <x v="1"/>
    <x v="5"/>
    <x v="2"/>
    <x v="92"/>
    <x v="12"/>
    <x v="1"/>
    <x v="12"/>
    <x v="2"/>
    <x v="1"/>
    <x v="349"/>
    <x v="0"/>
    <x v="190"/>
  </r>
  <r>
    <x v="589"/>
    <x v="289"/>
    <x v="290"/>
    <x v="285"/>
    <x v="465"/>
    <x v="1"/>
    <x v="2"/>
    <x v="304"/>
    <x v="235"/>
    <x v="1"/>
    <x v="33"/>
    <x v="0"/>
    <x v="0"/>
    <x v="1"/>
    <x v="2"/>
    <x v="3"/>
    <x v="2"/>
    <x v="1"/>
    <x v="3"/>
    <x v="1"/>
    <x v="1"/>
    <x v="131"/>
    <x v="1"/>
    <x v="1"/>
    <x v="1"/>
    <x v="291"/>
    <x v="3"/>
    <x v="3"/>
    <x v="0"/>
    <x v="1"/>
    <x v="0"/>
    <x v="350"/>
    <x v="0"/>
    <x v="0"/>
  </r>
  <r>
    <x v="590"/>
    <x v="93"/>
    <x v="92"/>
    <x v="91"/>
    <x v="466"/>
    <x v="1"/>
    <x v="2"/>
    <x v="98"/>
    <x v="43"/>
    <x v="1"/>
    <x v="15"/>
    <x v="0"/>
    <x v="0"/>
    <x v="3"/>
    <x v="1"/>
    <x v="1"/>
    <x v="2"/>
    <x v="1"/>
    <x v="1"/>
    <x v="1"/>
    <x v="1"/>
    <x v="131"/>
    <x v="1"/>
    <x v="3"/>
    <x v="4"/>
    <x v="92"/>
    <x v="11"/>
    <x v="1"/>
    <x v="1"/>
    <x v="2"/>
    <x v="1"/>
    <x v="351"/>
    <x v="0"/>
    <x v="191"/>
  </r>
  <r>
    <x v="591"/>
    <x v="290"/>
    <x v="291"/>
    <x v="286"/>
    <x v="467"/>
    <x v="3"/>
    <x v="2"/>
    <x v="305"/>
    <x v="241"/>
    <x v="1"/>
    <x v="124"/>
    <x v="0"/>
    <x v="0"/>
    <x v="1"/>
    <x v="1"/>
    <x v="2"/>
    <x v="2"/>
    <x v="1"/>
    <x v="3"/>
    <x v="1"/>
    <x v="1"/>
    <x v="132"/>
    <x v="1"/>
    <x v="1"/>
    <x v="2"/>
    <x v="292"/>
    <x v="5"/>
    <x v="1"/>
    <x v="5"/>
    <x v="2"/>
    <x v="1"/>
    <x v="352"/>
    <x v="0"/>
    <x v="0"/>
  </r>
  <r>
    <x v="592"/>
    <x v="286"/>
    <x v="287"/>
    <x v="282"/>
    <x v="0"/>
    <x v="1"/>
    <x v="3"/>
    <x v="300"/>
    <x v="42"/>
    <x v="1"/>
    <x v="1"/>
    <x v="0"/>
    <x v="0"/>
    <x v="3"/>
    <x v="1"/>
    <x v="2"/>
    <x v="1"/>
    <x v="1"/>
    <x v="2"/>
    <x v="1"/>
    <x v="1"/>
    <x v="132"/>
    <x v="2"/>
    <x v="3"/>
    <x v="4"/>
    <x v="287"/>
    <x v="5"/>
    <x v="0"/>
    <x v="0"/>
    <x v="1"/>
    <x v="0"/>
    <x v="353"/>
    <x v="0"/>
    <x v="0"/>
  </r>
  <r>
    <x v="593"/>
    <x v="93"/>
    <x v="92"/>
    <x v="91"/>
    <x v="468"/>
    <x v="1"/>
    <x v="2"/>
    <x v="98"/>
    <x v="43"/>
    <x v="2"/>
    <x v="0"/>
    <x v="5"/>
    <x v="0"/>
    <x v="3"/>
    <x v="2"/>
    <x v="3"/>
    <x v="2"/>
    <x v="1"/>
    <x v="2"/>
    <x v="1"/>
    <x v="1"/>
    <x v="132"/>
    <x v="1"/>
    <x v="3"/>
    <x v="4"/>
    <x v="92"/>
    <x v="5"/>
    <x v="1"/>
    <x v="1"/>
    <x v="1"/>
    <x v="0"/>
    <x v="354"/>
    <x v="0"/>
    <x v="0"/>
  </r>
  <r>
    <x v="594"/>
    <x v="290"/>
    <x v="291"/>
    <x v="286"/>
    <x v="469"/>
    <x v="1"/>
    <x v="2"/>
    <x v="305"/>
    <x v="241"/>
    <x v="1"/>
    <x v="125"/>
    <x v="0"/>
    <x v="0"/>
    <x v="3"/>
    <x v="1"/>
    <x v="1"/>
    <x v="2"/>
    <x v="2"/>
    <x v="3"/>
    <x v="1"/>
    <x v="2"/>
    <x v="0"/>
    <x v="1"/>
    <x v="3"/>
    <x v="4"/>
    <x v="292"/>
    <x v="2"/>
    <x v="0"/>
    <x v="0"/>
    <x v="1"/>
    <x v="0"/>
    <x v="0"/>
    <x v="0"/>
    <x v="0"/>
  </r>
  <r>
    <x v="595"/>
    <x v="291"/>
    <x v="292"/>
    <x v="287"/>
    <x v="470"/>
    <x v="1"/>
    <x v="2"/>
    <x v="306"/>
    <x v="92"/>
    <x v="1"/>
    <x v="126"/>
    <x v="0"/>
    <x v="0"/>
    <x v="1"/>
    <x v="5"/>
    <x v="1"/>
    <x v="1"/>
    <x v="1"/>
    <x v="3"/>
    <x v="1"/>
    <x v="2"/>
    <x v="0"/>
    <x v="1"/>
    <x v="1"/>
    <x v="13"/>
    <x v="293"/>
    <x v="5"/>
    <x v="0"/>
    <x v="0"/>
    <x v="1"/>
    <x v="0"/>
    <x v="0"/>
    <x v="0"/>
    <x v="0"/>
  </r>
  <r>
    <x v="596"/>
    <x v="93"/>
    <x v="92"/>
    <x v="91"/>
    <x v="0"/>
    <x v="1"/>
    <x v="2"/>
    <x v="98"/>
    <x v="196"/>
    <x v="2"/>
    <x v="0"/>
    <x v="5"/>
    <x v="0"/>
    <x v="3"/>
    <x v="4"/>
    <x v="1"/>
    <x v="2"/>
    <x v="1"/>
    <x v="2"/>
    <x v="1"/>
    <x v="2"/>
    <x v="0"/>
    <x v="2"/>
    <x v="3"/>
    <x v="4"/>
    <x v="92"/>
    <x v="5"/>
    <x v="0"/>
    <x v="0"/>
    <x v="1"/>
    <x v="0"/>
    <x v="0"/>
    <x v="0"/>
    <x v="0"/>
  </r>
  <r>
    <x v="597"/>
    <x v="292"/>
    <x v="293"/>
    <x v="288"/>
    <x v="471"/>
    <x v="1"/>
    <x v="1"/>
    <x v="307"/>
    <x v="242"/>
    <x v="1"/>
    <x v="22"/>
    <x v="0"/>
    <x v="0"/>
    <x v="1"/>
    <x v="2"/>
    <x v="3"/>
    <x v="2"/>
    <x v="1"/>
    <x v="2"/>
    <x v="1"/>
    <x v="1"/>
    <x v="133"/>
    <x v="1"/>
    <x v="6"/>
    <x v="3"/>
    <x v="294"/>
    <x v="5"/>
    <x v="3"/>
    <x v="0"/>
    <x v="1"/>
    <x v="0"/>
    <x v="355"/>
    <x v="182"/>
    <x v="192"/>
  </r>
  <r>
    <x v="598"/>
    <x v="293"/>
    <x v="294"/>
    <x v="289"/>
    <x v="472"/>
    <x v="1"/>
    <x v="4"/>
    <x v="308"/>
    <x v="243"/>
    <x v="1"/>
    <x v="9"/>
    <x v="0"/>
    <x v="0"/>
    <x v="1"/>
    <x v="3"/>
    <x v="2"/>
    <x v="2"/>
    <x v="2"/>
    <x v="1"/>
    <x v="1"/>
    <x v="1"/>
    <x v="134"/>
    <x v="1"/>
    <x v="6"/>
    <x v="2"/>
    <x v="295"/>
    <x v="12"/>
    <x v="1"/>
    <x v="12"/>
    <x v="2"/>
    <x v="1"/>
    <x v="0"/>
    <x v="0"/>
    <x v="193"/>
  </r>
  <r>
    <x v="599"/>
    <x v="178"/>
    <x v="176"/>
    <x v="174"/>
    <x v="473"/>
    <x v="3"/>
    <x v="2"/>
    <x v="186"/>
    <x v="153"/>
    <x v="1"/>
    <x v="27"/>
    <x v="0"/>
    <x v="0"/>
    <x v="1"/>
    <x v="2"/>
    <x v="3"/>
    <x v="2"/>
    <x v="1"/>
    <x v="2"/>
    <x v="1"/>
    <x v="1"/>
    <x v="134"/>
    <x v="1"/>
    <x v="1"/>
    <x v="2"/>
    <x v="175"/>
    <x v="1"/>
    <x v="1"/>
    <x v="4"/>
    <x v="1"/>
    <x v="0"/>
    <x v="356"/>
    <x v="0"/>
    <x v="0"/>
  </r>
  <r>
    <x v="600"/>
    <x v="178"/>
    <x v="176"/>
    <x v="174"/>
    <x v="0"/>
    <x v="3"/>
    <x v="2"/>
    <x v="186"/>
    <x v="153"/>
    <x v="1"/>
    <x v="27"/>
    <x v="0"/>
    <x v="0"/>
    <x v="3"/>
    <x v="4"/>
    <x v="1"/>
    <x v="2"/>
    <x v="1"/>
    <x v="2"/>
    <x v="1"/>
    <x v="2"/>
    <x v="0"/>
    <x v="2"/>
    <x v="3"/>
    <x v="4"/>
    <x v="175"/>
    <x v="1"/>
    <x v="0"/>
    <x v="0"/>
    <x v="1"/>
    <x v="0"/>
    <x v="0"/>
    <x v="0"/>
    <x v="0"/>
  </r>
  <r>
    <x v="601"/>
    <x v="294"/>
    <x v="295"/>
    <x v="290"/>
    <x v="474"/>
    <x v="1"/>
    <x v="2"/>
    <x v="309"/>
    <x v="110"/>
    <x v="1"/>
    <x v="64"/>
    <x v="0"/>
    <x v="0"/>
    <x v="1"/>
    <x v="1"/>
    <x v="1"/>
    <x v="2"/>
    <x v="1"/>
    <x v="2"/>
    <x v="1"/>
    <x v="1"/>
    <x v="135"/>
    <x v="1"/>
    <x v="1"/>
    <x v="2"/>
    <x v="296"/>
    <x v="3"/>
    <x v="0"/>
    <x v="0"/>
    <x v="1"/>
    <x v="0"/>
    <x v="0"/>
    <x v="0"/>
    <x v="0"/>
  </r>
  <r>
    <x v="602"/>
    <x v="295"/>
    <x v="296"/>
    <x v="291"/>
    <x v="475"/>
    <x v="1"/>
    <x v="2"/>
    <x v="310"/>
    <x v="244"/>
    <x v="1"/>
    <x v="2"/>
    <x v="0"/>
    <x v="0"/>
    <x v="1"/>
    <x v="1"/>
    <x v="1"/>
    <x v="2"/>
    <x v="1"/>
    <x v="1"/>
    <x v="1"/>
    <x v="1"/>
    <x v="134"/>
    <x v="1"/>
    <x v="1"/>
    <x v="1"/>
    <x v="297"/>
    <x v="3"/>
    <x v="3"/>
    <x v="0"/>
    <x v="1"/>
    <x v="0"/>
    <x v="357"/>
    <x v="183"/>
    <x v="194"/>
  </r>
  <r>
    <x v="603"/>
    <x v="293"/>
    <x v="294"/>
    <x v="289"/>
    <x v="476"/>
    <x v="1"/>
    <x v="2"/>
    <x v="308"/>
    <x v="243"/>
    <x v="1"/>
    <x v="9"/>
    <x v="0"/>
    <x v="0"/>
    <x v="3"/>
    <x v="1"/>
    <x v="1"/>
    <x v="2"/>
    <x v="2"/>
    <x v="1"/>
    <x v="1"/>
    <x v="2"/>
    <x v="0"/>
    <x v="3"/>
    <x v="3"/>
    <x v="4"/>
    <x v="295"/>
    <x v="11"/>
    <x v="0"/>
    <x v="0"/>
    <x v="1"/>
    <x v="0"/>
    <x v="0"/>
    <x v="0"/>
    <x v="195"/>
  </r>
  <r>
    <x v="604"/>
    <x v="140"/>
    <x v="140"/>
    <x v="138"/>
    <x v="477"/>
    <x v="3"/>
    <x v="2"/>
    <x v="144"/>
    <x v="123"/>
    <x v="1"/>
    <x v="24"/>
    <x v="0"/>
    <x v="0"/>
    <x v="1"/>
    <x v="2"/>
    <x v="3"/>
    <x v="2"/>
    <x v="1"/>
    <x v="2"/>
    <x v="1"/>
    <x v="1"/>
    <x v="136"/>
    <x v="1"/>
    <x v="1"/>
    <x v="2"/>
    <x v="139"/>
    <x v="4"/>
    <x v="1"/>
    <x v="2"/>
    <x v="2"/>
    <x v="1"/>
    <x v="358"/>
    <x v="0"/>
    <x v="0"/>
  </r>
  <r>
    <x v="605"/>
    <x v="296"/>
    <x v="297"/>
    <x v="292"/>
    <x v="478"/>
    <x v="1"/>
    <x v="2"/>
    <x v="311"/>
    <x v="245"/>
    <x v="1"/>
    <x v="9"/>
    <x v="0"/>
    <x v="0"/>
    <x v="1"/>
    <x v="1"/>
    <x v="1"/>
    <x v="2"/>
    <x v="1"/>
    <x v="3"/>
    <x v="1"/>
    <x v="1"/>
    <x v="137"/>
    <x v="1"/>
    <x v="1"/>
    <x v="1"/>
    <x v="298"/>
    <x v="1"/>
    <x v="4"/>
    <x v="4"/>
    <x v="2"/>
    <x v="1"/>
    <x v="359"/>
    <x v="0"/>
    <x v="0"/>
  </r>
  <r>
    <x v="606"/>
    <x v="297"/>
    <x v="298"/>
    <x v="293"/>
    <x v="479"/>
    <x v="1"/>
    <x v="3"/>
    <x v="312"/>
    <x v="243"/>
    <x v="1"/>
    <x v="127"/>
    <x v="0"/>
    <x v="0"/>
    <x v="1"/>
    <x v="1"/>
    <x v="1"/>
    <x v="1"/>
    <x v="1"/>
    <x v="3"/>
    <x v="1"/>
    <x v="2"/>
    <x v="0"/>
    <x v="1"/>
    <x v="1"/>
    <x v="2"/>
    <x v="299"/>
    <x v="5"/>
    <x v="0"/>
    <x v="0"/>
    <x v="1"/>
    <x v="0"/>
    <x v="0"/>
    <x v="0"/>
    <x v="0"/>
  </r>
  <r>
    <x v="607"/>
    <x v="152"/>
    <x v="152"/>
    <x v="150"/>
    <x v="480"/>
    <x v="3"/>
    <x v="2"/>
    <x v="157"/>
    <x v="114"/>
    <x v="1"/>
    <x v="1"/>
    <x v="0"/>
    <x v="0"/>
    <x v="1"/>
    <x v="2"/>
    <x v="3"/>
    <x v="2"/>
    <x v="2"/>
    <x v="2"/>
    <x v="1"/>
    <x v="1"/>
    <x v="136"/>
    <x v="1"/>
    <x v="1"/>
    <x v="2"/>
    <x v="151"/>
    <x v="5"/>
    <x v="3"/>
    <x v="0"/>
    <x v="1"/>
    <x v="0"/>
    <x v="360"/>
    <x v="0"/>
    <x v="196"/>
  </r>
  <r>
    <x v="608"/>
    <x v="298"/>
    <x v="299"/>
    <x v="294"/>
    <x v="481"/>
    <x v="1"/>
    <x v="2"/>
    <x v="313"/>
    <x v="246"/>
    <x v="2"/>
    <x v="0"/>
    <x v="2"/>
    <x v="0"/>
    <x v="1"/>
    <x v="1"/>
    <x v="1"/>
    <x v="2"/>
    <x v="1"/>
    <x v="2"/>
    <x v="1"/>
    <x v="1"/>
    <x v="137"/>
    <x v="1"/>
    <x v="1"/>
    <x v="2"/>
    <x v="300"/>
    <x v="1"/>
    <x v="1"/>
    <x v="4"/>
    <x v="2"/>
    <x v="1"/>
    <x v="361"/>
    <x v="0"/>
    <x v="0"/>
  </r>
  <r>
    <x v="609"/>
    <x v="298"/>
    <x v="299"/>
    <x v="294"/>
    <x v="482"/>
    <x v="1"/>
    <x v="2"/>
    <x v="313"/>
    <x v="247"/>
    <x v="2"/>
    <x v="0"/>
    <x v="5"/>
    <x v="0"/>
    <x v="3"/>
    <x v="2"/>
    <x v="3"/>
    <x v="2"/>
    <x v="1"/>
    <x v="2"/>
    <x v="1"/>
    <x v="1"/>
    <x v="136"/>
    <x v="1"/>
    <x v="3"/>
    <x v="4"/>
    <x v="300"/>
    <x v="1"/>
    <x v="1"/>
    <x v="4"/>
    <x v="2"/>
    <x v="1"/>
    <x v="362"/>
    <x v="184"/>
    <x v="0"/>
  </r>
  <r>
    <x v="610"/>
    <x v="296"/>
    <x v="297"/>
    <x v="292"/>
    <x v="483"/>
    <x v="1"/>
    <x v="1"/>
    <x v="311"/>
    <x v="248"/>
    <x v="1"/>
    <x v="3"/>
    <x v="0"/>
    <x v="0"/>
    <x v="3"/>
    <x v="1"/>
    <x v="1"/>
    <x v="2"/>
    <x v="1"/>
    <x v="1"/>
    <x v="1"/>
    <x v="1"/>
    <x v="138"/>
    <x v="1"/>
    <x v="3"/>
    <x v="4"/>
    <x v="298"/>
    <x v="1"/>
    <x v="1"/>
    <x v="4"/>
    <x v="2"/>
    <x v="1"/>
    <x v="363"/>
    <x v="0"/>
    <x v="0"/>
  </r>
  <r>
    <x v="611"/>
    <x v="299"/>
    <x v="300"/>
    <x v="295"/>
    <x v="484"/>
    <x v="3"/>
    <x v="2"/>
    <x v="314"/>
    <x v="111"/>
    <x v="1"/>
    <x v="117"/>
    <x v="0"/>
    <x v="0"/>
    <x v="1"/>
    <x v="1"/>
    <x v="2"/>
    <x v="2"/>
    <x v="1"/>
    <x v="2"/>
    <x v="1"/>
    <x v="1"/>
    <x v="137"/>
    <x v="1"/>
    <x v="1"/>
    <x v="2"/>
    <x v="301"/>
    <x v="5"/>
    <x v="1"/>
    <x v="1"/>
    <x v="2"/>
    <x v="1"/>
    <x v="364"/>
    <x v="0"/>
    <x v="197"/>
  </r>
  <r>
    <x v="612"/>
    <x v="300"/>
    <x v="301"/>
    <x v="296"/>
    <x v="485"/>
    <x v="3"/>
    <x v="4"/>
    <x v="297"/>
    <x v="113"/>
    <x v="2"/>
    <x v="0"/>
    <x v="10"/>
    <x v="0"/>
    <x v="1"/>
    <x v="4"/>
    <x v="1"/>
    <x v="2"/>
    <x v="1"/>
    <x v="2"/>
    <x v="1"/>
    <x v="2"/>
    <x v="0"/>
    <x v="2"/>
    <x v="2"/>
    <x v="3"/>
    <x v="302"/>
    <x v="5"/>
    <x v="0"/>
    <x v="0"/>
    <x v="1"/>
    <x v="0"/>
    <x v="0"/>
    <x v="0"/>
    <x v="0"/>
  </r>
  <r>
    <x v="613"/>
    <x v="140"/>
    <x v="140"/>
    <x v="138"/>
    <x v="486"/>
    <x v="3"/>
    <x v="2"/>
    <x v="144"/>
    <x v="123"/>
    <x v="1"/>
    <x v="24"/>
    <x v="0"/>
    <x v="0"/>
    <x v="3"/>
    <x v="1"/>
    <x v="1"/>
    <x v="2"/>
    <x v="1"/>
    <x v="2"/>
    <x v="1"/>
    <x v="2"/>
    <x v="0"/>
    <x v="1"/>
    <x v="3"/>
    <x v="4"/>
    <x v="139"/>
    <x v="4"/>
    <x v="0"/>
    <x v="0"/>
    <x v="1"/>
    <x v="0"/>
    <x v="0"/>
    <x v="0"/>
    <x v="0"/>
  </r>
  <r>
    <x v="614"/>
    <x v="301"/>
    <x v="302"/>
    <x v="297"/>
    <x v="487"/>
    <x v="1"/>
    <x v="2"/>
    <x v="315"/>
    <x v="249"/>
    <x v="1"/>
    <x v="9"/>
    <x v="0"/>
    <x v="0"/>
    <x v="1"/>
    <x v="1"/>
    <x v="1"/>
    <x v="2"/>
    <x v="1"/>
    <x v="3"/>
    <x v="1"/>
    <x v="1"/>
    <x v="138"/>
    <x v="1"/>
    <x v="1"/>
    <x v="2"/>
    <x v="303"/>
    <x v="5"/>
    <x v="3"/>
    <x v="0"/>
    <x v="1"/>
    <x v="0"/>
    <x v="365"/>
    <x v="185"/>
    <x v="198"/>
  </r>
  <r>
    <x v="615"/>
    <x v="298"/>
    <x v="299"/>
    <x v="294"/>
    <x v="488"/>
    <x v="1"/>
    <x v="2"/>
    <x v="313"/>
    <x v="250"/>
    <x v="2"/>
    <x v="0"/>
    <x v="5"/>
    <x v="0"/>
    <x v="3"/>
    <x v="4"/>
    <x v="1"/>
    <x v="2"/>
    <x v="1"/>
    <x v="2"/>
    <x v="1"/>
    <x v="2"/>
    <x v="0"/>
    <x v="1"/>
    <x v="3"/>
    <x v="4"/>
    <x v="300"/>
    <x v="1"/>
    <x v="0"/>
    <x v="0"/>
    <x v="1"/>
    <x v="0"/>
    <x v="0"/>
    <x v="0"/>
    <x v="0"/>
  </r>
  <r>
    <x v="616"/>
    <x v="302"/>
    <x v="303"/>
    <x v="298"/>
    <x v="489"/>
    <x v="1"/>
    <x v="2"/>
    <x v="316"/>
    <x v="251"/>
    <x v="1"/>
    <x v="0"/>
    <x v="11"/>
    <x v="0"/>
    <x v="1"/>
    <x v="1"/>
    <x v="1"/>
    <x v="2"/>
    <x v="1"/>
    <x v="2"/>
    <x v="1"/>
    <x v="1"/>
    <x v="136"/>
    <x v="2"/>
    <x v="1"/>
    <x v="2"/>
    <x v="304"/>
    <x v="5"/>
    <x v="1"/>
    <x v="1"/>
    <x v="1"/>
    <x v="0"/>
    <x v="366"/>
    <x v="0"/>
    <x v="0"/>
  </r>
  <r>
    <x v="617"/>
    <x v="302"/>
    <x v="303"/>
    <x v="298"/>
    <x v="0"/>
    <x v="1"/>
    <x v="2"/>
    <x v="316"/>
    <x v="251"/>
    <x v="1"/>
    <x v="0"/>
    <x v="12"/>
    <x v="0"/>
    <x v="3"/>
    <x v="1"/>
    <x v="1"/>
    <x v="2"/>
    <x v="1"/>
    <x v="2"/>
    <x v="1"/>
    <x v="2"/>
    <x v="0"/>
    <x v="2"/>
    <x v="3"/>
    <x v="4"/>
    <x v="304"/>
    <x v="5"/>
    <x v="0"/>
    <x v="0"/>
    <x v="1"/>
    <x v="0"/>
    <x v="0"/>
    <x v="0"/>
    <x v="0"/>
  </r>
  <r>
    <x v="618"/>
    <x v="299"/>
    <x v="300"/>
    <x v="295"/>
    <x v="490"/>
    <x v="3"/>
    <x v="2"/>
    <x v="314"/>
    <x v="111"/>
    <x v="1"/>
    <x v="117"/>
    <x v="0"/>
    <x v="0"/>
    <x v="3"/>
    <x v="3"/>
    <x v="2"/>
    <x v="1"/>
    <x v="1"/>
    <x v="2"/>
    <x v="1"/>
    <x v="1"/>
    <x v="139"/>
    <x v="2"/>
    <x v="3"/>
    <x v="4"/>
    <x v="301"/>
    <x v="5"/>
    <x v="1"/>
    <x v="1"/>
    <x v="1"/>
    <x v="0"/>
    <x v="367"/>
    <x v="186"/>
    <x v="0"/>
  </r>
  <r>
    <x v="619"/>
    <x v="296"/>
    <x v="297"/>
    <x v="292"/>
    <x v="491"/>
    <x v="1"/>
    <x v="1"/>
    <x v="311"/>
    <x v="248"/>
    <x v="1"/>
    <x v="3"/>
    <x v="0"/>
    <x v="0"/>
    <x v="3"/>
    <x v="1"/>
    <x v="1"/>
    <x v="2"/>
    <x v="1"/>
    <x v="1"/>
    <x v="1"/>
    <x v="2"/>
    <x v="0"/>
    <x v="1"/>
    <x v="3"/>
    <x v="4"/>
    <x v="298"/>
    <x v="1"/>
    <x v="0"/>
    <x v="0"/>
    <x v="1"/>
    <x v="0"/>
    <x v="0"/>
    <x v="0"/>
    <x v="0"/>
  </r>
  <r>
    <x v="620"/>
    <x v="303"/>
    <x v="304"/>
    <x v="299"/>
    <x v="492"/>
    <x v="1"/>
    <x v="2"/>
    <x v="317"/>
    <x v="252"/>
    <x v="1"/>
    <x v="9"/>
    <x v="0"/>
    <x v="0"/>
    <x v="1"/>
    <x v="1"/>
    <x v="1"/>
    <x v="2"/>
    <x v="1"/>
    <x v="2"/>
    <x v="1"/>
    <x v="2"/>
    <x v="0"/>
    <x v="1"/>
    <x v="1"/>
    <x v="2"/>
    <x v="305"/>
    <x v="12"/>
    <x v="0"/>
    <x v="0"/>
    <x v="1"/>
    <x v="0"/>
    <x v="0"/>
    <x v="0"/>
    <x v="199"/>
  </r>
  <r>
    <x v="621"/>
    <x v="304"/>
    <x v="305"/>
    <x v="300"/>
    <x v="493"/>
    <x v="1"/>
    <x v="2"/>
    <x v="318"/>
    <x v="253"/>
    <x v="2"/>
    <x v="0"/>
    <x v="2"/>
    <x v="0"/>
    <x v="1"/>
    <x v="1"/>
    <x v="1"/>
    <x v="2"/>
    <x v="1"/>
    <x v="3"/>
    <x v="1"/>
    <x v="1"/>
    <x v="139"/>
    <x v="1"/>
    <x v="1"/>
    <x v="2"/>
    <x v="306"/>
    <x v="2"/>
    <x v="1"/>
    <x v="8"/>
    <x v="2"/>
    <x v="1"/>
    <x v="368"/>
    <x v="0"/>
    <x v="0"/>
  </r>
  <r>
    <x v="622"/>
    <x v="305"/>
    <x v="306"/>
    <x v="301"/>
    <x v="494"/>
    <x v="1"/>
    <x v="2"/>
    <x v="319"/>
    <x v="254"/>
    <x v="1"/>
    <x v="15"/>
    <x v="0"/>
    <x v="0"/>
    <x v="1"/>
    <x v="1"/>
    <x v="1"/>
    <x v="1"/>
    <x v="1"/>
    <x v="3"/>
    <x v="1"/>
    <x v="1"/>
    <x v="140"/>
    <x v="1"/>
    <x v="1"/>
    <x v="2"/>
    <x v="307"/>
    <x v="1"/>
    <x v="1"/>
    <x v="4"/>
    <x v="2"/>
    <x v="1"/>
    <x v="369"/>
    <x v="0"/>
    <x v="0"/>
  </r>
  <r>
    <x v="623"/>
    <x v="304"/>
    <x v="305"/>
    <x v="300"/>
    <x v="0"/>
    <x v="1"/>
    <x v="2"/>
    <x v="318"/>
    <x v="50"/>
    <x v="2"/>
    <x v="0"/>
    <x v="2"/>
    <x v="0"/>
    <x v="3"/>
    <x v="2"/>
    <x v="3"/>
    <x v="2"/>
    <x v="1"/>
    <x v="2"/>
    <x v="1"/>
    <x v="1"/>
    <x v="139"/>
    <x v="2"/>
    <x v="3"/>
    <x v="4"/>
    <x v="306"/>
    <x v="8"/>
    <x v="1"/>
    <x v="8"/>
    <x v="1"/>
    <x v="0"/>
    <x v="370"/>
    <x v="0"/>
    <x v="0"/>
  </r>
  <r>
    <x v="624"/>
    <x v="299"/>
    <x v="300"/>
    <x v="295"/>
    <x v="0"/>
    <x v="3"/>
    <x v="2"/>
    <x v="314"/>
    <x v="111"/>
    <x v="1"/>
    <x v="117"/>
    <x v="0"/>
    <x v="0"/>
    <x v="3"/>
    <x v="1"/>
    <x v="1"/>
    <x v="2"/>
    <x v="1"/>
    <x v="2"/>
    <x v="1"/>
    <x v="1"/>
    <x v="141"/>
    <x v="2"/>
    <x v="3"/>
    <x v="4"/>
    <x v="301"/>
    <x v="5"/>
    <x v="1"/>
    <x v="4"/>
    <x v="2"/>
    <x v="1"/>
    <x v="371"/>
    <x v="187"/>
    <x v="200"/>
  </r>
  <r>
    <x v="625"/>
    <x v="304"/>
    <x v="305"/>
    <x v="300"/>
    <x v="0"/>
    <x v="1"/>
    <x v="2"/>
    <x v="318"/>
    <x v="50"/>
    <x v="2"/>
    <x v="0"/>
    <x v="13"/>
    <x v="0"/>
    <x v="3"/>
    <x v="4"/>
    <x v="1"/>
    <x v="2"/>
    <x v="1"/>
    <x v="2"/>
    <x v="1"/>
    <x v="2"/>
    <x v="0"/>
    <x v="2"/>
    <x v="3"/>
    <x v="4"/>
    <x v="306"/>
    <x v="8"/>
    <x v="0"/>
    <x v="0"/>
    <x v="1"/>
    <x v="0"/>
    <x v="0"/>
    <x v="0"/>
    <x v="0"/>
  </r>
  <r>
    <x v="626"/>
    <x v="135"/>
    <x v="135"/>
    <x v="133"/>
    <x v="495"/>
    <x v="1"/>
    <x v="2"/>
    <x v="139"/>
    <x v="119"/>
    <x v="1"/>
    <x v="33"/>
    <x v="0"/>
    <x v="0"/>
    <x v="1"/>
    <x v="3"/>
    <x v="3"/>
    <x v="2"/>
    <x v="1"/>
    <x v="2"/>
    <x v="1"/>
    <x v="1"/>
    <x v="140"/>
    <x v="1"/>
    <x v="6"/>
    <x v="2"/>
    <x v="267"/>
    <x v="11"/>
    <x v="0"/>
    <x v="0"/>
    <x v="1"/>
    <x v="0"/>
    <x v="372"/>
    <x v="0"/>
    <x v="201"/>
  </r>
  <r>
    <x v="627"/>
    <x v="306"/>
    <x v="307"/>
    <x v="302"/>
    <x v="496"/>
    <x v="1"/>
    <x v="2"/>
    <x v="320"/>
    <x v="255"/>
    <x v="1"/>
    <x v="8"/>
    <x v="0"/>
    <x v="0"/>
    <x v="1"/>
    <x v="1"/>
    <x v="1"/>
    <x v="2"/>
    <x v="1"/>
    <x v="1"/>
    <x v="1"/>
    <x v="1"/>
    <x v="141"/>
    <x v="1"/>
    <x v="1"/>
    <x v="2"/>
    <x v="308"/>
    <x v="3"/>
    <x v="1"/>
    <x v="3"/>
    <x v="1"/>
    <x v="0"/>
    <x v="373"/>
    <x v="0"/>
    <x v="202"/>
  </r>
  <r>
    <x v="628"/>
    <x v="307"/>
    <x v="308"/>
    <x v="303"/>
    <x v="497"/>
    <x v="1"/>
    <x v="2"/>
    <x v="321"/>
    <x v="10"/>
    <x v="1"/>
    <x v="15"/>
    <x v="0"/>
    <x v="0"/>
    <x v="1"/>
    <x v="3"/>
    <x v="3"/>
    <x v="1"/>
    <x v="1"/>
    <x v="2"/>
    <x v="1"/>
    <x v="1"/>
    <x v="140"/>
    <x v="1"/>
    <x v="1"/>
    <x v="5"/>
    <x v="309"/>
    <x v="2"/>
    <x v="1"/>
    <x v="12"/>
    <x v="2"/>
    <x v="1"/>
    <x v="374"/>
    <x v="0"/>
    <x v="0"/>
  </r>
  <r>
    <x v="629"/>
    <x v="306"/>
    <x v="307"/>
    <x v="302"/>
    <x v="498"/>
    <x v="1"/>
    <x v="2"/>
    <x v="320"/>
    <x v="255"/>
    <x v="1"/>
    <x v="8"/>
    <x v="0"/>
    <x v="0"/>
    <x v="3"/>
    <x v="1"/>
    <x v="1"/>
    <x v="2"/>
    <x v="2"/>
    <x v="3"/>
    <x v="1"/>
    <x v="1"/>
    <x v="140"/>
    <x v="1"/>
    <x v="3"/>
    <x v="4"/>
    <x v="308"/>
    <x v="4"/>
    <x v="1"/>
    <x v="12"/>
    <x v="2"/>
    <x v="1"/>
    <x v="0"/>
    <x v="0"/>
    <x v="0"/>
  </r>
  <r>
    <x v="630"/>
    <x v="306"/>
    <x v="307"/>
    <x v="302"/>
    <x v="499"/>
    <x v="1"/>
    <x v="2"/>
    <x v="320"/>
    <x v="255"/>
    <x v="1"/>
    <x v="8"/>
    <x v="0"/>
    <x v="0"/>
    <x v="3"/>
    <x v="1"/>
    <x v="1"/>
    <x v="2"/>
    <x v="1"/>
    <x v="1"/>
    <x v="1"/>
    <x v="2"/>
    <x v="0"/>
    <x v="1"/>
    <x v="3"/>
    <x v="4"/>
    <x v="308"/>
    <x v="3"/>
    <x v="0"/>
    <x v="0"/>
    <x v="1"/>
    <x v="0"/>
    <x v="0"/>
    <x v="0"/>
    <x v="0"/>
  </r>
  <r>
    <x v="631"/>
    <x v="308"/>
    <x v="309"/>
    <x v="304"/>
    <x v="500"/>
    <x v="1"/>
    <x v="2"/>
    <x v="322"/>
    <x v="59"/>
    <x v="1"/>
    <x v="3"/>
    <x v="0"/>
    <x v="0"/>
    <x v="1"/>
    <x v="2"/>
    <x v="3"/>
    <x v="2"/>
    <x v="1"/>
    <x v="2"/>
    <x v="1"/>
    <x v="1"/>
    <x v="140"/>
    <x v="1"/>
    <x v="1"/>
    <x v="2"/>
    <x v="310"/>
    <x v="3"/>
    <x v="3"/>
    <x v="0"/>
    <x v="1"/>
    <x v="0"/>
    <x v="375"/>
    <x v="188"/>
    <x v="203"/>
  </r>
  <r>
    <x v="632"/>
    <x v="307"/>
    <x v="308"/>
    <x v="303"/>
    <x v="501"/>
    <x v="1"/>
    <x v="2"/>
    <x v="321"/>
    <x v="179"/>
    <x v="1"/>
    <x v="15"/>
    <x v="0"/>
    <x v="0"/>
    <x v="3"/>
    <x v="1"/>
    <x v="1"/>
    <x v="2"/>
    <x v="1"/>
    <x v="1"/>
    <x v="1"/>
    <x v="2"/>
    <x v="0"/>
    <x v="1"/>
    <x v="3"/>
    <x v="4"/>
    <x v="309"/>
    <x v="11"/>
    <x v="0"/>
    <x v="0"/>
    <x v="1"/>
    <x v="0"/>
    <x v="0"/>
    <x v="0"/>
    <x v="0"/>
  </r>
  <r>
    <x v="633"/>
    <x v="305"/>
    <x v="306"/>
    <x v="301"/>
    <x v="502"/>
    <x v="1"/>
    <x v="2"/>
    <x v="319"/>
    <x v="254"/>
    <x v="1"/>
    <x v="128"/>
    <x v="0"/>
    <x v="0"/>
    <x v="3"/>
    <x v="3"/>
    <x v="2"/>
    <x v="2"/>
    <x v="1"/>
    <x v="3"/>
    <x v="1"/>
    <x v="2"/>
    <x v="0"/>
    <x v="1"/>
    <x v="3"/>
    <x v="4"/>
    <x v="307"/>
    <x v="1"/>
    <x v="0"/>
    <x v="0"/>
    <x v="1"/>
    <x v="0"/>
    <x v="0"/>
    <x v="0"/>
    <x v="204"/>
  </r>
  <r>
    <x v="634"/>
    <x v="306"/>
    <x v="307"/>
    <x v="302"/>
    <x v="503"/>
    <x v="1"/>
    <x v="2"/>
    <x v="320"/>
    <x v="255"/>
    <x v="1"/>
    <x v="8"/>
    <x v="0"/>
    <x v="0"/>
    <x v="3"/>
    <x v="1"/>
    <x v="2"/>
    <x v="2"/>
    <x v="2"/>
    <x v="1"/>
    <x v="1"/>
    <x v="1"/>
    <x v="142"/>
    <x v="1"/>
    <x v="3"/>
    <x v="4"/>
    <x v="308"/>
    <x v="11"/>
    <x v="3"/>
    <x v="0"/>
    <x v="1"/>
    <x v="0"/>
    <x v="376"/>
    <x v="0"/>
    <x v="205"/>
  </r>
  <r>
    <x v="635"/>
    <x v="299"/>
    <x v="300"/>
    <x v="295"/>
    <x v="504"/>
    <x v="3"/>
    <x v="2"/>
    <x v="314"/>
    <x v="111"/>
    <x v="1"/>
    <x v="33"/>
    <x v="0"/>
    <x v="0"/>
    <x v="3"/>
    <x v="1"/>
    <x v="1"/>
    <x v="2"/>
    <x v="1"/>
    <x v="2"/>
    <x v="1"/>
    <x v="1"/>
    <x v="142"/>
    <x v="1"/>
    <x v="3"/>
    <x v="4"/>
    <x v="301"/>
    <x v="1"/>
    <x v="3"/>
    <x v="0"/>
    <x v="1"/>
    <x v="0"/>
    <x v="376"/>
    <x v="0"/>
    <x v="0"/>
  </r>
  <r>
    <x v="636"/>
    <x v="309"/>
    <x v="310"/>
    <x v="305"/>
    <x v="505"/>
    <x v="1"/>
    <x v="2"/>
    <x v="323"/>
    <x v="239"/>
    <x v="1"/>
    <x v="129"/>
    <x v="0"/>
    <x v="0"/>
    <x v="1"/>
    <x v="1"/>
    <x v="2"/>
    <x v="1"/>
    <x v="1"/>
    <x v="2"/>
    <x v="1"/>
    <x v="1"/>
    <x v="143"/>
    <x v="2"/>
    <x v="1"/>
    <x v="2"/>
    <x v="311"/>
    <x v="4"/>
    <x v="1"/>
    <x v="2"/>
    <x v="2"/>
    <x v="1"/>
    <x v="377"/>
    <x v="0"/>
    <x v="206"/>
  </r>
  <r>
    <x v="637"/>
    <x v="309"/>
    <x v="310"/>
    <x v="305"/>
    <x v="506"/>
    <x v="1"/>
    <x v="2"/>
    <x v="323"/>
    <x v="239"/>
    <x v="1"/>
    <x v="129"/>
    <x v="0"/>
    <x v="0"/>
    <x v="3"/>
    <x v="2"/>
    <x v="3"/>
    <x v="1"/>
    <x v="1"/>
    <x v="2"/>
    <x v="1"/>
    <x v="1"/>
    <x v="142"/>
    <x v="1"/>
    <x v="3"/>
    <x v="4"/>
    <x v="311"/>
    <x v="4"/>
    <x v="1"/>
    <x v="1"/>
    <x v="1"/>
    <x v="0"/>
    <x v="378"/>
    <x v="0"/>
    <x v="207"/>
  </r>
  <r>
    <x v="638"/>
    <x v="309"/>
    <x v="310"/>
    <x v="305"/>
    <x v="0"/>
    <x v="1"/>
    <x v="2"/>
    <x v="323"/>
    <x v="196"/>
    <x v="1"/>
    <x v="129"/>
    <x v="0"/>
    <x v="0"/>
    <x v="3"/>
    <x v="4"/>
    <x v="1"/>
    <x v="2"/>
    <x v="1"/>
    <x v="2"/>
    <x v="1"/>
    <x v="2"/>
    <x v="0"/>
    <x v="2"/>
    <x v="3"/>
    <x v="4"/>
    <x v="311"/>
    <x v="5"/>
    <x v="0"/>
    <x v="0"/>
    <x v="1"/>
    <x v="0"/>
    <x v="0"/>
    <x v="0"/>
    <x v="0"/>
  </r>
  <r>
    <x v="639"/>
    <x v="307"/>
    <x v="308"/>
    <x v="303"/>
    <x v="507"/>
    <x v="1"/>
    <x v="2"/>
    <x v="321"/>
    <x v="179"/>
    <x v="1"/>
    <x v="15"/>
    <x v="0"/>
    <x v="0"/>
    <x v="1"/>
    <x v="1"/>
    <x v="1"/>
    <x v="2"/>
    <x v="1"/>
    <x v="2"/>
    <x v="1"/>
    <x v="1"/>
    <x v="144"/>
    <x v="1"/>
    <x v="6"/>
    <x v="3"/>
    <x v="309"/>
    <x v="5"/>
    <x v="1"/>
    <x v="1"/>
    <x v="1"/>
    <x v="0"/>
    <x v="379"/>
    <x v="189"/>
    <x v="208"/>
  </r>
  <r>
    <x v="640"/>
    <x v="310"/>
    <x v="311"/>
    <x v="306"/>
    <x v="508"/>
    <x v="1"/>
    <x v="2"/>
    <x v="324"/>
    <x v="256"/>
    <x v="1"/>
    <x v="130"/>
    <x v="0"/>
    <x v="0"/>
    <x v="1"/>
    <x v="3"/>
    <x v="3"/>
    <x v="2"/>
    <x v="1"/>
    <x v="2"/>
    <x v="1"/>
    <x v="1"/>
    <x v="145"/>
    <x v="1"/>
    <x v="6"/>
    <x v="2"/>
    <x v="312"/>
    <x v="12"/>
    <x v="1"/>
    <x v="1"/>
    <x v="1"/>
    <x v="0"/>
    <x v="380"/>
    <x v="0"/>
    <x v="209"/>
  </r>
  <r>
    <x v="641"/>
    <x v="311"/>
    <x v="312"/>
    <x v="307"/>
    <x v="509"/>
    <x v="1"/>
    <x v="2"/>
    <x v="325"/>
    <x v="144"/>
    <x v="1"/>
    <x v="15"/>
    <x v="0"/>
    <x v="0"/>
    <x v="1"/>
    <x v="1"/>
    <x v="1"/>
    <x v="2"/>
    <x v="1"/>
    <x v="1"/>
    <x v="1"/>
    <x v="1"/>
    <x v="146"/>
    <x v="1"/>
    <x v="6"/>
    <x v="2"/>
    <x v="313"/>
    <x v="12"/>
    <x v="3"/>
    <x v="0"/>
    <x v="1"/>
    <x v="0"/>
    <x v="381"/>
    <x v="190"/>
    <x v="210"/>
  </r>
  <r>
    <x v="642"/>
    <x v="312"/>
    <x v="313"/>
    <x v="308"/>
    <x v="510"/>
    <x v="3"/>
    <x v="2"/>
    <x v="326"/>
    <x v="257"/>
    <x v="1"/>
    <x v="3"/>
    <x v="0"/>
    <x v="0"/>
    <x v="1"/>
    <x v="1"/>
    <x v="2"/>
    <x v="2"/>
    <x v="1"/>
    <x v="2"/>
    <x v="1"/>
    <x v="1"/>
    <x v="147"/>
    <x v="1"/>
    <x v="6"/>
    <x v="3"/>
    <x v="314"/>
    <x v="5"/>
    <x v="1"/>
    <x v="1"/>
    <x v="1"/>
    <x v="0"/>
    <x v="382"/>
    <x v="0"/>
    <x v="211"/>
  </r>
  <r>
    <x v="643"/>
    <x v="307"/>
    <x v="308"/>
    <x v="303"/>
    <x v="0"/>
    <x v="1"/>
    <x v="2"/>
    <x v="321"/>
    <x v="179"/>
    <x v="1"/>
    <x v="15"/>
    <x v="0"/>
    <x v="0"/>
    <x v="3"/>
    <x v="1"/>
    <x v="1"/>
    <x v="2"/>
    <x v="1"/>
    <x v="2"/>
    <x v="1"/>
    <x v="2"/>
    <x v="0"/>
    <x v="2"/>
    <x v="3"/>
    <x v="4"/>
    <x v="309"/>
    <x v="5"/>
    <x v="0"/>
    <x v="0"/>
    <x v="1"/>
    <x v="0"/>
    <x v="0"/>
    <x v="0"/>
    <x v="0"/>
  </r>
  <r>
    <x v="644"/>
    <x v="310"/>
    <x v="311"/>
    <x v="306"/>
    <x v="0"/>
    <x v="1"/>
    <x v="2"/>
    <x v="324"/>
    <x v="258"/>
    <x v="1"/>
    <x v="2"/>
    <x v="0"/>
    <x v="0"/>
    <x v="3"/>
    <x v="1"/>
    <x v="1"/>
    <x v="2"/>
    <x v="1"/>
    <x v="2"/>
    <x v="1"/>
    <x v="2"/>
    <x v="0"/>
    <x v="2"/>
    <x v="3"/>
    <x v="4"/>
    <x v="312"/>
    <x v="5"/>
    <x v="0"/>
    <x v="0"/>
    <x v="1"/>
    <x v="0"/>
    <x v="0"/>
    <x v="0"/>
    <x v="208"/>
  </r>
  <r>
    <x v="645"/>
    <x v="313"/>
    <x v="314"/>
    <x v="309"/>
    <x v="511"/>
    <x v="1"/>
    <x v="1"/>
    <x v="327"/>
    <x v="119"/>
    <x v="1"/>
    <x v="9"/>
    <x v="0"/>
    <x v="0"/>
    <x v="1"/>
    <x v="1"/>
    <x v="1"/>
    <x v="2"/>
    <x v="1"/>
    <x v="1"/>
    <x v="1"/>
    <x v="1"/>
    <x v="147"/>
    <x v="1"/>
    <x v="4"/>
    <x v="2"/>
    <x v="315"/>
    <x v="12"/>
    <x v="1"/>
    <x v="1"/>
    <x v="1"/>
    <x v="0"/>
    <x v="383"/>
    <x v="0"/>
    <x v="0"/>
  </r>
  <r>
    <x v="646"/>
    <x v="314"/>
    <x v="315"/>
    <x v="310"/>
    <x v="512"/>
    <x v="3"/>
    <x v="2"/>
    <x v="328"/>
    <x v="259"/>
    <x v="1"/>
    <x v="131"/>
    <x v="0"/>
    <x v="0"/>
    <x v="1"/>
    <x v="1"/>
    <x v="1"/>
    <x v="2"/>
    <x v="1"/>
    <x v="1"/>
    <x v="1"/>
    <x v="2"/>
    <x v="0"/>
    <x v="1"/>
    <x v="6"/>
    <x v="2"/>
    <x v="316"/>
    <x v="12"/>
    <x v="0"/>
    <x v="0"/>
    <x v="1"/>
    <x v="0"/>
    <x v="0"/>
    <x v="0"/>
    <x v="0"/>
  </r>
  <r>
    <x v="647"/>
    <x v="313"/>
    <x v="314"/>
    <x v="309"/>
    <x v="0"/>
    <x v="1"/>
    <x v="1"/>
    <x v="327"/>
    <x v="119"/>
    <x v="1"/>
    <x v="9"/>
    <x v="0"/>
    <x v="0"/>
    <x v="3"/>
    <x v="1"/>
    <x v="1"/>
    <x v="2"/>
    <x v="1"/>
    <x v="2"/>
    <x v="1"/>
    <x v="2"/>
    <x v="0"/>
    <x v="2"/>
    <x v="3"/>
    <x v="4"/>
    <x v="315"/>
    <x v="5"/>
    <x v="0"/>
    <x v="0"/>
    <x v="1"/>
    <x v="0"/>
    <x v="0"/>
    <x v="0"/>
    <x v="0"/>
  </r>
  <r>
    <x v="648"/>
    <x v="312"/>
    <x v="313"/>
    <x v="308"/>
    <x v="0"/>
    <x v="3"/>
    <x v="2"/>
    <x v="326"/>
    <x v="257"/>
    <x v="1"/>
    <x v="3"/>
    <x v="0"/>
    <x v="0"/>
    <x v="3"/>
    <x v="3"/>
    <x v="2"/>
    <x v="2"/>
    <x v="1"/>
    <x v="2"/>
    <x v="1"/>
    <x v="1"/>
    <x v="148"/>
    <x v="2"/>
    <x v="3"/>
    <x v="4"/>
    <x v="314"/>
    <x v="5"/>
    <x v="1"/>
    <x v="1"/>
    <x v="2"/>
    <x v="1"/>
    <x v="384"/>
    <x v="0"/>
    <x v="211"/>
  </r>
  <r>
    <x v="649"/>
    <x v="315"/>
    <x v="316"/>
    <x v="311"/>
    <x v="513"/>
    <x v="1"/>
    <x v="2"/>
    <x v="329"/>
    <x v="260"/>
    <x v="1"/>
    <x v="9"/>
    <x v="0"/>
    <x v="0"/>
    <x v="1"/>
    <x v="3"/>
    <x v="3"/>
    <x v="1"/>
    <x v="1"/>
    <x v="3"/>
    <x v="1"/>
    <x v="1"/>
    <x v="148"/>
    <x v="1"/>
    <x v="1"/>
    <x v="2"/>
    <x v="317"/>
    <x v="1"/>
    <x v="1"/>
    <x v="5"/>
    <x v="2"/>
    <x v="1"/>
    <x v="385"/>
    <x v="0"/>
    <x v="0"/>
  </r>
  <r>
    <x v="650"/>
    <x v="316"/>
    <x v="317"/>
    <x v="312"/>
    <x v="514"/>
    <x v="1"/>
    <x v="2"/>
    <x v="330"/>
    <x v="92"/>
    <x v="1"/>
    <x v="132"/>
    <x v="0"/>
    <x v="0"/>
    <x v="1"/>
    <x v="2"/>
    <x v="3"/>
    <x v="1"/>
    <x v="1"/>
    <x v="2"/>
    <x v="1"/>
    <x v="1"/>
    <x v="148"/>
    <x v="1"/>
    <x v="6"/>
    <x v="2"/>
    <x v="318"/>
    <x v="3"/>
    <x v="1"/>
    <x v="1"/>
    <x v="1"/>
    <x v="0"/>
    <x v="386"/>
    <x v="191"/>
    <x v="194"/>
  </r>
  <r>
    <x v="651"/>
    <x v="317"/>
    <x v="316"/>
    <x v="311"/>
    <x v="515"/>
    <x v="1"/>
    <x v="2"/>
    <x v="331"/>
    <x v="10"/>
    <x v="1"/>
    <x v="9"/>
    <x v="0"/>
    <x v="0"/>
    <x v="3"/>
    <x v="1"/>
    <x v="1"/>
    <x v="2"/>
    <x v="1"/>
    <x v="2"/>
    <x v="1"/>
    <x v="2"/>
    <x v="0"/>
    <x v="1"/>
    <x v="3"/>
    <x v="4"/>
    <x v="317"/>
    <x v="2"/>
    <x v="0"/>
    <x v="0"/>
    <x v="1"/>
    <x v="0"/>
    <x v="0"/>
    <x v="0"/>
    <x v="0"/>
  </r>
  <r>
    <x v="652"/>
    <x v="318"/>
    <x v="318"/>
    <x v="313"/>
    <x v="516"/>
    <x v="1"/>
    <x v="2"/>
    <x v="332"/>
    <x v="261"/>
    <x v="1"/>
    <x v="9"/>
    <x v="0"/>
    <x v="0"/>
    <x v="1"/>
    <x v="3"/>
    <x v="3"/>
    <x v="2"/>
    <x v="1"/>
    <x v="3"/>
    <x v="1"/>
    <x v="1"/>
    <x v="149"/>
    <x v="1"/>
    <x v="1"/>
    <x v="2"/>
    <x v="319"/>
    <x v="1"/>
    <x v="1"/>
    <x v="7"/>
    <x v="1"/>
    <x v="0"/>
    <x v="387"/>
    <x v="192"/>
    <x v="212"/>
  </r>
  <r>
    <x v="653"/>
    <x v="178"/>
    <x v="176"/>
    <x v="174"/>
    <x v="517"/>
    <x v="1"/>
    <x v="2"/>
    <x v="186"/>
    <x v="153"/>
    <x v="1"/>
    <x v="44"/>
    <x v="0"/>
    <x v="0"/>
    <x v="1"/>
    <x v="2"/>
    <x v="3"/>
    <x v="2"/>
    <x v="1"/>
    <x v="2"/>
    <x v="1"/>
    <x v="1"/>
    <x v="149"/>
    <x v="2"/>
    <x v="1"/>
    <x v="2"/>
    <x v="175"/>
    <x v="3"/>
    <x v="3"/>
    <x v="0"/>
    <x v="1"/>
    <x v="0"/>
    <x v="388"/>
    <x v="193"/>
    <x v="0"/>
  </r>
  <r>
    <x v="654"/>
    <x v="312"/>
    <x v="313"/>
    <x v="308"/>
    <x v="518"/>
    <x v="3"/>
    <x v="2"/>
    <x v="326"/>
    <x v="257"/>
    <x v="1"/>
    <x v="3"/>
    <x v="0"/>
    <x v="0"/>
    <x v="3"/>
    <x v="1"/>
    <x v="1"/>
    <x v="2"/>
    <x v="1"/>
    <x v="2"/>
    <x v="1"/>
    <x v="2"/>
    <x v="0"/>
    <x v="2"/>
    <x v="3"/>
    <x v="4"/>
    <x v="314"/>
    <x v="5"/>
    <x v="0"/>
    <x v="0"/>
    <x v="1"/>
    <x v="0"/>
    <x v="0"/>
    <x v="0"/>
    <x v="0"/>
  </r>
  <r>
    <x v="655"/>
    <x v="319"/>
    <x v="319"/>
    <x v="314"/>
    <x v="519"/>
    <x v="1"/>
    <x v="2"/>
    <x v="333"/>
    <x v="121"/>
    <x v="1"/>
    <x v="133"/>
    <x v="0"/>
    <x v="0"/>
    <x v="1"/>
    <x v="2"/>
    <x v="3"/>
    <x v="2"/>
    <x v="1"/>
    <x v="2"/>
    <x v="1"/>
    <x v="1"/>
    <x v="149"/>
    <x v="1"/>
    <x v="1"/>
    <x v="1"/>
    <x v="320"/>
    <x v="3"/>
    <x v="1"/>
    <x v="7"/>
    <x v="1"/>
    <x v="0"/>
    <x v="389"/>
    <x v="194"/>
    <x v="0"/>
  </r>
  <r>
    <x v="656"/>
    <x v="320"/>
    <x v="320"/>
    <x v="315"/>
    <x v="520"/>
    <x v="1"/>
    <x v="2"/>
    <x v="334"/>
    <x v="262"/>
    <x v="6"/>
    <x v="0"/>
    <x v="0"/>
    <x v="14"/>
    <x v="1"/>
    <x v="2"/>
    <x v="3"/>
    <x v="2"/>
    <x v="1"/>
    <x v="3"/>
    <x v="1"/>
    <x v="1"/>
    <x v="149"/>
    <x v="1"/>
    <x v="1"/>
    <x v="2"/>
    <x v="321"/>
    <x v="3"/>
    <x v="3"/>
    <x v="0"/>
    <x v="1"/>
    <x v="0"/>
    <x v="390"/>
    <x v="195"/>
    <x v="0"/>
  </r>
  <r>
    <x v="657"/>
    <x v="321"/>
    <x v="321"/>
    <x v="316"/>
    <x v="521"/>
    <x v="1"/>
    <x v="2"/>
    <x v="335"/>
    <x v="263"/>
    <x v="1"/>
    <x v="36"/>
    <x v="0"/>
    <x v="0"/>
    <x v="1"/>
    <x v="1"/>
    <x v="1"/>
    <x v="2"/>
    <x v="1"/>
    <x v="1"/>
    <x v="1"/>
    <x v="2"/>
    <x v="0"/>
    <x v="1"/>
    <x v="1"/>
    <x v="2"/>
    <x v="322"/>
    <x v="11"/>
    <x v="0"/>
    <x v="0"/>
    <x v="1"/>
    <x v="0"/>
    <x v="0"/>
    <x v="0"/>
    <x v="0"/>
  </r>
  <r>
    <x v="658"/>
    <x v="322"/>
    <x v="322"/>
    <x v="317"/>
    <x v="522"/>
    <x v="1"/>
    <x v="2"/>
    <x v="336"/>
    <x v="36"/>
    <x v="1"/>
    <x v="134"/>
    <x v="0"/>
    <x v="0"/>
    <x v="1"/>
    <x v="1"/>
    <x v="1"/>
    <x v="2"/>
    <x v="1"/>
    <x v="2"/>
    <x v="1"/>
    <x v="2"/>
    <x v="0"/>
    <x v="1"/>
    <x v="1"/>
    <x v="2"/>
    <x v="323"/>
    <x v="3"/>
    <x v="0"/>
    <x v="0"/>
    <x v="1"/>
    <x v="0"/>
    <x v="0"/>
    <x v="0"/>
    <x v="0"/>
  </r>
  <r>
    <x v="659"/>
    <x v="316"/>
    <x v="317"/>
    <x v="312"/>
    <x v="0"/>
    <x v="1"/>
    <x v="2"/>
    <x v="330"/>
    <x v="92"/>
    <x v="1"/>
    <x v="132"/>
    <x v="0"/>
    <x v="0"/>
    <x v="3"/>
    <x v="1"/>
    <x v="1"/>
    <x v="2"/>
    <x v="1"/>
    <x v="2"/>
    <x v="1"/>
    <x v="2"/>
    <x v="0"/>
    <x v="2"/>
    <x v="3"/>
    <x v="4"/>
    <x v="318"/>
    <x v="5"/>
    <x v="0"/>
    <x v="0"/>
    <x v="1"/>
    <x v="0"/>
    <x v="0"/>
    <x v="0"/>
    <x v="0"/>
  </r>
  <r>
    <x v="660"/>
    <x v="318"/>
    <x v="318"/>
    <x v="313"/>
    <x v="0"/>
    <x v="1"/>
    <x v="2"/>
    <x v="337"/>
    <x v="261"/>
    <x v="1"/>
    <x v="9"/>
    <x v="0"/>
    <x v="0"/>
    <x v="3"/>
    <x v="4"/>
    <x v="1"/>
    <x v="2"/>
    <x v="1"/>
    <x v="2"/>
    <x v="1"/>
    <x v="2"/>
    <x v="0"/>
    <x v="2"/>
    <x v="3"/>
    <x v="4"/>
    <x v="324"/>
    <x v="12"/>
    <x v="0"/>
    <x v="0"/>
    <x v="1"/>
    <x v="0"/>
    <x v="0"/>
    <x v="0"/>
    <x v="0"/>
  </r>
  <r>
    <x v="661"/>
    <x v="323"/>
    <x v="323"/>
    <x v="318"/>
    <x v="523"/>
    <x v="1"/>
    <x v="1"/>
    <x v="43"/>
    <x v="264"/>
    <x v="1"/>
    <x v="135"/>
    <x v="0"/>
    <x v="0"/>
    <x v="1"/>
    <x v="1"/>
    <x v="1"/>
    <x v="2"/>
    <x v="1"/>
    <x v="2"/>
    <x v="1"/>
    <x v="2"/>
    <x v="0"/>
    <x v="1"/>
    <x v="1"/>
    <x v="2"/>
    <x v="325"/>
    <x v="12"/>
    <x v="0"/>
    <x v="0"/>
    <x v="1"/>
    <x v="0"/>
    <x v="0"/>
    <x v="0"/>
    <x v="0"/>
  </r>
  <r>
    <x v="662"/>
    <x v="319"/>
    <x v="319"/>
    <x v="314"/>
    <x v="0"/>
    <x v="1"/>
    <x v="2"/>
    <x v="333"/>
    <x v="265"/>
    <x v="1"/>
    <x v="133"/>
    <x v="0"/>
    <x v="0"/>
    <x v="3"/>
    <x v="1"/>
    <x v="1"/>
    <x v="1"/>
    <x v="1"/>
    <x v="2"/>
    <x v="1"/>
    <x v="2"/>
    <x v="0"/>
    <x v="2"/>
    <x v="1"/>
    <x v="4"/>
    <x v="320"/>
    <x v="12"/>
    <x v="0"/>
    <x v="0"/>
    <x v="1"/>
    <x v="0"/>
    <x v="0"/>
    <x v="0"/>
    <x v="213"/>
  </r>
  <r>
    <x v="663"/>
    <x v="324"/>
    <x v="324"/>
    <x v="319"/>
    <x v="524"/>
    <x v="1"/>
    <x v="2"/>
    <x v="338"/>
    <x v="266"/>
    <x v="1"/>
    <x v="1"/>
    <x v="0"/>
    <x v="0"/>
    <x v="1"/>
    <x v="2"/>
    <x v="3"/>
    <x v="2"/>
    <x v="1"/>
    <x v="2"/>
    <x v="1"/>
    <x v="1"/>
    <x v="150"/>
    <x v="1"/>
    <x v="5"/>
    <x v="3"/>
    <x v="326"/>
    <x v="2"/>
    <x v="3"/>
    <x v="0"/>
    <x v="1"/>
    <x v="0"/>
    <x v="391"/>
    <x v="196"/>
    <x v="0"/>
  </r>
  <r>
    <x v="664"/>
    <x v="325"/>
    <x v="325"/>
    <x v="320"/>
    <x v="525"/>
    <x v="1"/>
    <x v="2"/>
    <x v="339"/>
    <x v="267"/>
    <x v="1"/>
    <x v="9"/>
    <x v="0"/>
    <x v="0"/>
    <x v="1"/>
    <x v="1"/>
    <x v="1"/>
    <x v="2"/>
    <x v="1"/>
    <x v="2"/>
    <x v="1"/>
    <x v="2"/>
    <x v="0"/>
    <x v="1"/>
    <x v="1"/>
    <x v="2"/>
    <x v="327"/>
    <x v="11"/>
    <x v="0"/>
    <x v="0"/>
    <x v="1"/>
    <x v="0"/>
    <x v="0"/>
    <x v="0"/>
    <x v="0"/>
  </r>
  <r>
    <x v="665"/>
    <x v="312"/>
    <x v="313"/>
    <x v="308"/>
    <x v="526"/>
    <x v="3"/>
    <x v="2"/>
    <x v="326"/>
    <x v="268"/>
    <x v="1"/>
    <x v="9"/>
    <x v="0"/>
    <x v="0"/>
    <x v="1"/>
    <x v="3"/>
    <x v="2"/>
    <x v="2"/>
    <x v="1"/>
    <x v="3"/>
    <x v="1"/>
    <x v="1"/>
    <x v="151"/>
    <x v="1"/>
    <x v="1"/>
    <x v="2"/>
    <x v="314"/>
    <x v="11"/>
    <x v="1"/>
    <x v="4"/>
    <x v="2"/>
    <x v="1"/>
    <x v="392"/>
    <x v="197"/>
    <x v="214"/>
  </r>
  <r>
    <x v="666"/>
    <x v="141"/>
    <x v="141"/>
    <x v="139"/>
    <x v="527"/>
    <x v="1"/>
    <x v="1"/>
    <x v="145"/>
    <x v="125"/>
    <x v="1"/>
    <x v="9"/>
    <x v="0"/>
    <x v="0"/>
    <x v="1"/>
    <x v="1"/>
    <x v="1"/>
    <x v="2"/>
    <x v="1"/>
    <x v="2"/>
    <x v="1"/>
    <x v="2"/>
    <x v="0"/>
    <x v="1"/>
    <x v="7"/>
    <x v="2"/>
    <x v="140"/>
    <x v="12"/>
    <x v="0"/>
    <x v="0"/>
    <x v="1"/>
    <x v="0"/>
    <x v="0"/>
    <x v="0"/>
    <x v="0"/>
  </r>
  <r>
    <x v="667"/>
    <x v="326"/>
    <x v="326"/>
    <x v="321"/>
    <x v="528"/>
    <x v="3"/>
    <x v="1"/>
    <x v="340"/>
    <x v="123"/>
    <x v="2"/>
    <x v="0"/>
    <x v="2"/>
    <x v="0"/>
    <x v="1"/>
    <x v="1"/>
    <x v="1"/>
    <x v="2"/>
    <x v="1"/>
    <x v="2"/>
    <x v="1"/>
    <x v="2"/>
    <x v="0"/>
    <x v="1"/>
    <x v="7"/>
    <x v="2"/>
    <x v="328"/>
    <x v="12"/>
    <x v="0"/>
    <x v="0"/>
    <x v="1"/>
    <x v="0"/>
    <x v="0"/>
    <x v="0"/>
    <x v="0"/>
  </r>
  <r>
    <x v="668"/>
    <x v="327"/>
    <x v="327"/>
    <x v="322"/>
    <x v="529"/>
    <x v="1"/>
    <x v="2"/>
    <x v="341"/>
    <x v="269"/>
    <x v="1"/>
    <x v="136"/>
    <x v="0"/>
    <x v="0"/>
    <x v="1"/>
    <x v="3"/>
    <x v="3"/>
    <x v="2"/>
    <x v="1"/>
    <x v="3"/>
    <x v="2"/>
    <x v="1"/>
    <x v="152"/>
    <x v="1"/>
    <x v="7"/>
    <x v="2"/>
    <x v="329"/>
    <x v="1"/>
    <x v="1"/>
    <x v="1"/>
    <x v="2"/>
    <x v="1"/>
    <x v="393"/>
    <x v="198"/>
    <x v="0"/>
  </r>
  <r>
    <x v="669"/>
    <x v="328"/>
    <x v="328"/>
    <x v="323"/>
    <x v="530"/>
    <x v="1"/>
    <x v="2"/>
    <x v="342"/>
    <x v="270"/>
    <x v="1"/>
    <x v="15"/>
    <x v="0"/>
    <x v="0"/>
    <x v="1"/>
    <x v="1"/>
    <x v="1"/>
    <x v="2"/>
    <x v="1"/>
    <x v="2"/>
    <x v="1"/>
    <x v="2"/>
    <x v="0"/>
    <x v="1"/>
    <x v="1"/>
    <x v="2"/>
    <x v="330"/>
    <x v="12"/>
    <x v="0"/>
    <x v="0"/>
    <x v="1"/>
    <x v="0"/>
    <x v="0"/>
    <x v="0"/>
    <x v="0"/>
  </r>
  <r>
    <x v="670"/>
    <x v="312"/>
    <x v="313"/>
    <x v="308"/>
    <x v="531"/>
    <x v="3"/>
    <x v="2"/>
    <x v="326"/>
    <x v="271"/>
    <x v="1"/>
    <x v="9"/>
    <x v="0"/>
    <x v="0"/>
    <x v="3"/>
    <x v="1"/>
    <x v="1"/>
    <x v="2"/>
    <x v="1"/>
    <x v="3"/>
    <x v="1"/>
    <x v="2"/>
    <x v="0"/>
    <x v="1"/>
    <x v="3"/>
    <x v="4"/>
    <x v="314"/>
    <x v="1"/>
    <x v="0"/>
    <x v="0"/>
    <x v="1"/>
    <x v="0"/>
    <x v="0"/>
    <x v="0"/>
    <x v="215"/>
  </r>
  <r>
    <x v="671"/>
    <x v="329"/>
    <x v="329"/>
    <x v="324"/>
    <x v="532"/>
    <x v="1"/>
    <x v="2"/>
    <x v="343"/>
    <x v="272"/>
    <x v="1"/>
    <x v="137"/>
    <x v="0"/>
    <x v="0"/>
    <x v="1"/>
    <x v="1"/>
    <x v="1"/>
    <x v="2"/>
    <x v="1"/>
    <x v="3"/>
    <x v="1"/>
    <x v="2"/>
    <x v="0"/>
    <x v="1"/>
    <x v="6"/>
    <x v="3"/>
    <x v="331"/>
    <x v="5"/>
    <x v="0"/>
    <x v="0"/>
    <x v="1"/>
    <x v="0"/>
    <x v="0"/>
    <x v="0"/>
    <x v="0"/>
  </r>
  <r>
    <x v="672"/>
    <x v="327"/>
    <x v="327"/>
    <x v="322"/>
    <x v="533"/>
    <x v="1"/>
    <x v="1"/>
    <x v="341"/>
    <x v="269"/>
    <x v="1"/>
    <x v="15"/>
    <x v="0"/>
    <x v="0"/>
    <x v="3"/>
    <x v="1"/>
    <x v="1"/>
    <x v="2"/>
    <x v="1"/>
    <x v="2"/>
    <x v="1"/>
    <x v="2"/>
    <x v="0"/>
    <x v="2"/>
    <x v="3"/>
    <x v="4"/>
    <x v="329"/>
    <x v="5"/>
    <x v="0"/>
    <x v="0"/>
    <x v="1"/>
    <x v="0"/>
    <x v="0"/>
    <x v="0"/>
    <x v="0"/>
  </r>
  <r>
    <x v="673"/>
    <x v="330"/>
    <x v="330"/>
    <x v="325"/>
    <x v="534"/>
    <x v="1"/>
    <x v="1"/>
    <x v="344"/>
    <x v="196"/>
    <x v="6"/>
    <x v="0"/>
    <x v="0"/>
    <x v="15"/>
    <x v="1"/>
    <x v="1"/>
    <x v="1"/>
    <x v="2"/>
    <x v="1"/>
    <x v="2"/>
    <x v="1"/>
    <x v="1"/>
    <x v="153"/>
    <x v="1"/>
    <x v="6"/>
    <x v="3"/>
    <x v="332"/>
    <x v="5"/>
    <x v="3"/>
    <x v="0"/>
    <x v="1"/>
    <x v="0"/>
    <x v="394"/>
    <x v="199"/>
    <x v="0"/>
  </r>
  <r>
    <x v="674"/>
    <x v="331"/>
    <x v="331"/>
    <x v="326"/>
    <x v="535"/>
    <x v="3"/>
    <x v="2"/>
    <x v="345"/>
    <x v="273"/>
    <x v="1"/>
    <x v="15"/>
    <x v="0"/>
    <x v="0"/>
    <x v="1"/>
    <x v="1"/>
    <x v="1"/>
    <x v="2"/>
    <x v="1"/>
    <x v="3"/>
    <x v="1"/>
    <x v="1"/>
    <x v="152"/>
    <x v="2"/>
    <x v="4"/>
    <x v="2"/>
    <x v="333"/>
    <x v="1"/>
    <x v="1"/>
    <x v="4"/>
    <x v="2"/>
    <x v="1"/>
    <x v="395"/>
    <x v="0"/>
    <x v="0"/>
  </r>
  <r>
    <x v="675"/>
    <x v="331"/>
    <x v="331"/>
    <x v="326"/>
    <x v="536"/>
    <x v="3"/>
    <x v="2"/>
    <x v="346"/>
    <x v="273"/>
    <x v="2"/>
    <x v="0"/>
    <x v="6"/>
    <x v="0"/>
    <x v="3"/>
    <x v="3"/>
    <x v="3"/>
    <x v="2"/>
    <x v="1"/>
    <x v="3"/>
    <x v="1"/>
    <x v="1"/>
    <x v="153"/>
    <x v="2"/>
    <x v="3"/>
    <x v="4"/>
    <x v="333"/>
    <x v="1"/>
    <x v="1"/>
    <x v="4"/>
    <x v="2"/>
    <x v="1"/>
    <x v="396"/>
    <x v="0"/>
    <x v="0"/>
  </r>
  <r>
    <x v="676"/>
    <x v="332"/>
    <x v="332"/>
    <x v="327"/>
    <x v="537"/>
    <x v="1"/>
    <x v="2"/>
    <x v="347"/>
    <x v="274"/>
    <x v="1"/>
    <x v="22"/>
    <x v="0"/>
    <x v="0"/>
    <x v="1"/>
    <x v="1"/>
    <x v="2"/>
    <x v="2"/>
    <x v="1"/>
    <x v="2"/>
    <x v="1"/>
    <x v="1"/>
    <x v="154"/>
    <x v="1"/>
    <x v="6"/>
    <x v="2"/>
    <x v="334"/>
    <x v="12"/>
    <x v="3"/>
    <x v="0"/>
    <x v="1"/>
    <x v="0"/>
    <x v="397"/>
    <x v="200"/>
    <x v="216"/>
  </r>
  <r>
    <x v="677"/>
    <x v="331"/>
    <x v="331"/>
    <x v="326"/>
    <x v="538"/>
    <x v="3"/>
    <x v="2"/>
    <x v="346"/>
    <x v="273"/>
    <x v="1"/>
    <x v="15"/>
    <x v="0"/>
    <x v="0"/>
    <x v="3"/>
    <x v="1"/>
    <x v="1"/>
    <x v="2"/>
    <x v="1"/>
    <x v="3"/>
    <x v="1"/>
    <x v="2"/>
    <x v="0"/>
    <x v="2"/>
    <x v="3"/>
    <x v="4"/>
    <x v="333"/>
    <x v="1"/>
    <x v="0"/>
    <x v="0"/>
    <x v="1"/>
    <x v="0"/>
    <x v="0"/>
    <x v="0"/>
    <x v="0"/>
  </r>
  <r>
    <x v="678"/>
    <x v="333"/>
    <x v="333"/>
    <x v="328"/>
    <x v="539"/>
    <x v="3"/>
    <x v="2"/>
    <x v="348"/>
    <x v="275"/>
    <x v="1"/>
    <x v="22"/>
    <x v="0"/>
    <x v="0"/>
    <x v="1"/>
    <x v="3"/>
    <x v="3"/>
    <x v="2"/>
    <x v="1"/>
    <x v="3"/>
    <x v="1"/>
    <x v="1"/>
    <x v="154"/>
    <x v="1"/>
    <x v="6"/>
    <x v="2"/>
    <x v="335"/>
    <x v="1"/>
    <x v="3"/>
    <x v="0"/>
    <x v="1"/>
    <x v="0"/>
    <x v="398"/>
    <x v="0"/>
    <x v="217"/>
  </r>
  <r>
    <x v="679"/>
    <x v="334"/>
    <x v="334"/>
    <x v="329"/>
    <x v="540"/>
    <x v="3"/>
    <x v="2"/>
    <x v="349"/>
    <x v="276"/>
    <x v="2"/>
    <x v="0"/>
    <x v="2"/>
    <x v="0"/>
    <x v="1"/>
    <x v="1"/>
    <x v="1"/>
    <x v="2"/>
    <x v="1"/>
    <x v="2"/>
    <x v="1"/>
    <x v="1"/>
    <x v="154"/>
    <x v="1"/>
    <x v="6"/>
    <x v="2"/>
    <x v="336"/>
    <x v="12"/>
    <x v="3"/>
    <x v="0"/>
    <x v="1"/>
    <x v="0"/>
    <x v="0"/>
    <x v="201"/>
    <x v="218"/>
  </r>
  <r>
    <x v="680"/>
    <x v="335"/>
    <x v="335"/>
    <x v="330"/>
    <x v="541"/>
    <x v="1"/>
    <x v="2"/>
    <x v="350"/>
    <x v="269"/>
    <x v="1"/>
    <x v="33"/>
    <x v="0"/>
    <x v="0"/>
    <x v="1"/>
    <x v="3"/>
    <x v="3"/>
    <x v="1"/>
    <x v="1"/>
    <x v="2"/>
    <x v="1"/>
    <x v="1"/>
    <x v="155"/>
    <x v="1"/>
    <x v="4"/>
    <x v="2"/>
    <x v="337"/>
    <x v="12"/>
    <x v="1"/>
    <x v="12"/>
    <x v="2"/>
    <x v="1"/>
    <x v="0"/>
    <x v="0"/>
    <x v="0"/>
  </r>
  <r>
    <x v="681"/>
    <x v="193"/>
    <x v="191"/>
    <x v="189"/>
    <x v="542"/>
    <x v="1"/>
    <x v="2"/>
    <x v="202"/>
    <x v="165"/>
    <x v="1"/>
    <x v="79"/>
    <x v="0"/>
    <x v="0"/>
    <x v="1"/>
    <x v="1"/>
    <x v="1"/>
    <x v="2"/>
    <x v="1"/>
    <x v="2"/>
    <x v="1"/>
    <x v="2"/>
    <x v="0"/>
    <x v="1"/>
    <x v="1"/>
    <x v="2"/>
    <x v="191"/>
    <x v="3"/>
    <x v="0"/>
    <x v="0"/>
    <x v="1"/>
    <x v="0"/>
    <x v="0"/>
    <x v="0"/>
    <x v="0"/>
  </r>
  <r>
    <x v="682"/>
    <x v="336"/>
    <x v="336"/>
    <x v="331"/>
    <x v="543"/>
    <x v="1"/>
    <x v="2"/>
    <x v="351"/>
    <x v="251"/>
    <x v="1"/>
    <x v="4"/>
    <x v="0"/>
    <x v="0"/>
    <x v="1"/>
    <x v="3"/>
    <x v="3"/>
    <x v="2"/>
    <x v="1"/>
    <x v="2"/>
    <x v="1"/>
    <x v="1"/>
    <x v="155"/>
    <x v="1"/>
    <x v="1"/>
    <x v="2"/>
    <x v="338"/>
    <x v="12"/>
    <x v="1"/>
    <x v="5"/>
    <x v="2"/>
    <x v="1"/>
    <x v="399"/>
    <x v="0"/>
    <x v="0"/>
  </r>
  <r>
    <x v="683"/>
    <x v="337"/>
    <x v="337"/>
    <x v="332"/>
    <x v="544"/>
    <x v="3"/>
    <x v="2"/>
    <x v="352"/>
    <x v="277"/>
    <x v="1"/>
    <x v="138"/>
    <x v="0"/>
    <x v="0"/>
    <x v="1"/>
    <x v="3"/>
    <x v="2"/>
    <x v="2"/>
    <x v="1"/>
    <x v="2"/>
    <x v="1"/>
    <x v="1"/>
    <x v="156"/>
    <x v="1"/>
    <x v="2"/>
    <x v="3"/>
    <x v="339"/>
    <x v="2"/>
    <x v="1"/>
    <x v="4"/>
    <x v="2"/>
    <x v="1"/>
    <x v="400"/>
    <x v="0"/>
    <x v="0"/>
  </r>
  <r>
    <x v="684"/>
    <x v="335"/>
    <x v="335"/>
    <x v="330"/>
    <x v="545"/>
    <x v="1"/>
    <x v="2"/>
    <x v="350"/>
    <x v="269"/>
    <x v="1"/>
    <x v="33"/>
    <x v="0"/>
    <x v="0"/>
    <x v="3"/>
    <x v="1"/>
    <x v="1"/>
    <x v="2"/>
    <x v="1"/>
    <x v="3"/>
    <x v="1"/>
    <x v="1"/>
    <x v="157"/>
    <x v="1"/>
    <x v="3"/>
    <x v="4"/>
    <x v="337"/>
    <x v="11"/>
    <x v="1"/>
    <x v="1"/>
    <x v="2"/>
    <x v="1"/>
    <x v="401"/>
    <x v="0"/>
    <x v="0"/>
  </r>
  <r>
    <x v="685"/>
    <x v="338"/>
    <x v="338"/>
    <x v="333"/>
    <x v="546"/>
    <x v="1"/>
    <x v="2"/>
    <x v="353"/>
    <x v="278"/>
    <x v="1"/>
    <x v="139"/>
    <x v="0"/>
    <x v="0"/>
    <x v="1"/>
    <x v="3"/>
    <x v="2"/>
    <x v="2"/>
    <x v="1"/>
    <x v="1"/>
    <x v="1"/>
    <x v="1"/>
    <x v="156"/>
    <x v="1"/>
    <x v="1"/>
    <x v="2"/>
    <x v="340"/>
    <x v="1"/>
    <x v="1"/>
    <x v="1"/>
    <x v="2"/>
    <x v="1"/>
    <x v="0"/>
    <x v="0"/>
    <x v="0"/>
  </r>
  <r>
    <x v="686"/>
    <x v="336"/>
    <x v="336"/>
    <x v="331"/>
    <x v="547"/>
    <x v="1"/>
    <x v="2"/>
    <x v="351"/>
    <x v="251"/>
    <x v="2"/>
    <x v="0"/>
    <x v="2"/>
    <x v="0"/>
    <x v="3"/>
    <x v="1"/>
    <x v="1"/>
    <x v="2"/>
    <x v="1"/>
    <x v="1"/>
    <x v="1"/>
    <x v="2"/>
    <x v="0"/>
    <x v="1"/>
    <x v="3"/>
    <x v="4"/>
    <x v="338"/>
    <x v="2"/>
    <x v="0"/>
    <x v="0"/>
    <x v="1"/>
    <x v="0"/>
    <x v="0"/>
    <x v="0"/>
    <x v="0"/>
  </r>
  <r>
    <x v="687"/>
    <x v="339"/>
    <x v="339"/>
    <x v="334"/>
    <x v="548"/>
    <x v="1"/>
    <x v="2"/>
    <x v="354"/>
    <x v="279"/>
    <x v="1"/>
    <x v="140"/>
    <x v="0"/>
    <x v="0"/>
    <x v="1"/>
    <x v="1"/>
    <x v="1"/>
    <x v="2"/>
    <x v="1"/>
    <x v="3"/>
    <x v="1"/>
    <x v="2"/>
    <x v="0"/>
    <x v="1"/>
    <x v="1"/>
    <x v="2"/>
    <x v="341"/>
    <x v="11"/>
    <x v="0"/>
    <x v="0"/>
    <x v="1"/>
    <x v="0"/>
    <x v="0"/>
    <x v="0"/>
    <x v="0"/>
  </r>
  <r>
    <x v="688"/>
    <x v="340"/>
    <x v="340"/>
    <x v="335"/>
    <x v="549"/>
    <x v="1"/>
    <x v="2"/>
    <x v="355"/>
    <x v="280"/>
    <x v="1"/>
    <x v="15"/>
    <x v="0"/>
    <x v="0"/>
    <x v="1"/>
    <x v="1"/>
    <x v="1"/>
    <x v="1"/>
    <x v="1"/>
    <x v="3"/>
    <x v="1"/>
    <x v="1"/>
    <x v="158"/>
    <x v="1"/>
    <x v="5"/>
    <x v="2"/>
    <x v="342"/>
    <x v="5"/>
    <x v="3"/>
    <x v="0"/>
    <x v="1"/>
    <x v="0"/>
    <x v="402"/>
    <x v="202"/>
    <x v="219"/>
  </r>
  <r>
    <x v="689"/>
    <x v="338"/>
    <x v="338"/>
    <x v="333"/>
    <x v="550"/>
    <x v="1"/>
    <x v="2"/>
    <x v="353"/>
    <x v="281"/>
    <x v="1"/>
    <x v="139"/>
    <x v="0"/>
    <x v="0"/>
    <x v="3"/>
    <x v="1"/>
    <x v="1"/>
    <x v="2"/>
    <x v="1"/>
    <x v="2"/>
    <x v="1"/>
    <x v="2"/>
    <x v="0"/>
    <x v="1"/>
    <x v="3"/>
    <x v="4"/>
    <x v="340"/>
    <x v="5"/>
    <x v="0"/>
    <x v="0"/>
    <x v="1"/>
    <x v="0"/>
    <x v="0"/>
    <x v="0"/>
    <x v="0"/>
  </r>
  <r>
    <x v="690"/>
    <x v="337"/>
    <x v="337"/>
    <x v="332"/>
    <x v="551"/>
    <x v="3"/>
    <x v="2"/>
    <x v="352"/>
    <x v="231"/>
    <x v="1"/>
    <x v="22"/>
    <x v="0"/>
    <x v="0"/>
    <x v="3"/>
    <x v="4"/>
    <x v="1"/>
    <x v="2"/>
    <x v="1"/>
    <x v="2"/>
    <x v="1"/>
    <x v="2"/>
    <x v="0"/>
    <x v="2"/>
    <x v="3"/>
    <x v="4"/>
    <x v="339"/>
    <x v="1"/>
    <x v="0"/>
    <x v="0"/>
    <x v="1"/>
    <x v="0"/>
    <x v="0"/>
    <x v="0"/>
    <x v="0"/>
  </r>
  <r>
    <x v="691"/>
    <x v="341"/>
    <x v="341"/>
    <x v="336"/>
    <x v="552"/>
    <x v="1"/>
    <x v="2"/>
    <x v="356"/>
    <x v="210"/>
    <x v="1"/>
    <x v="9"/>
    <x v="0"/>
    <x v="0"/>
    <x v="1"/>
    <x v="3"/>
    <x v="2"/>
    <x v="2"/>
    <x v="1"/>
    <x v="2"/>
    <x v="1"/>
    <x v="1"/>
    <x v="157"/>
    <x v="1"/>
    <x v="1"/>
    <x v="2"/>
    <x v="343"/>
    <x v="1"/>
    <x v="3"/>
    <x v="0"/>
    <x v="1"/>
    <x v="0"/>
    <x v="403"/>
    <x v="203"/>
    <x v="0"/>
  </r>
  <r>
    <x v="692"/>
    <x v="335"/>
    <x v="335"/>
    <x v="330"/>
    <x v="553"/>
    <x v="1"/>
    <x v="2"/>
    <x v="350"/>
    <x v="269"/>
    <x v="1"/>
    <x v="33"/>
    <x v="0"/>
    <x v="0"/>
    <x v="3"/>
    <x v="1"/>
    <x v="1"/>
    <x v="2"/>
    <x v="1"/>
    <x v="2"/>
    <x v="1"/>
    <x v="1"/>
    <x v="158"/>
    <x v="1"/>
    <x v="3"/>
    <x v="4"/>
    <x v="337"/>
    <x v="5"/>
    <x v="1"/>
    <x v="4"/>
    <x v="2"/>
    <x v="1"/>
    <x v="404"/>
    <x v="204"/>
    <x v="220"/>
  </r>
  <r>
    <x v="693"/>
    <x v="308"/>
    <x v="309"/>
    <x v="304"/>
    <x v="554"/>
    <x v="1"/>
    <x v="2"/>
    <x v="322"/>
    <x v="163"/>
    <x v="1"/>
    <x v="3"/>
    <x v="0"/>
    <x v="0"/>
    <x v="1"/>
    <x v="1"/>
    <x v="1"/>
    <x v="2"/>
    <x v="1"/>
    <x v="2"/>
    <x v="1"/>
    <x v="1"/>
    <x v="157"/>
    <x v="1"/>
    <x v="1"/>
    <x v="2"/>
    <x v="310"/>
    <x v="5"/>
    <x v="3"/>
    <x v="0"/>
    <x v="1"/>
    <x v="0"/>
    <x v="405"/>
    <x v="0"/>
    <x v="221"/>
  </r>
  <r>
    <x v="694"/>
    <x v="342"/>
    <x v="342"/>
    <x v="337"/>
    <x v="555"/>
    <x v="3"/>
    <x v="1"/>
    <x v="357"/>
    <x v="196"/>
    <x v="6"/>
    <x v="0"/>
    <x v="0"/>
    <x v="16"/>
    <x v="1"/>
    <x v="1"/>
    <x v="1"/>
    <x v="2"/>
    <x v="1"/>
    <x v="3"/>
    <x v="1"/>
    <x v="1"/>
    <x v="159"/>
    <x v="1"/>
    <x v="1"/>
    <x v="2"/>
    <x v="344"/>
    <x v="1"/>
    <x v="3"/>
    <x v="0"/>
    <x v="1"/>
    <x v="0"/>
    <x v="406"/>
    <x v="205"/>
    <x v="222"/>
  </r>
  <r>
    <x v="695"/>
    <x v="308"/>
    <x v="309"/>
    <x v="304"/>
    <x v="556"/>
    <x v="1"/>
    <x v="1"/>
    <x v="322"/>
    <x v="282"/>
    <x v="2"/>
    <x v="0"/>
    <x v="5"/>
    <x v="0"/>
    <x v="1"/>
    <x v="3"/>
    <x v="3"/>
    <x v="2"/>
    <x v="1"/>
    <x v="2"/>
    <x v="1"/>
    <x v="1"/>
    <x v="159"/>
    <x v="1"/>
    <x v="5"/>
    <x v="2"/>
    <x v="310"/>
    <x v="12"/>
    <x v="3"/>
    <x v="0"/>
    <x v="1"/>
    <x v="0"/>
    <x v="407"/>
    <x v="206"/>
    <x v="223"/>
  </r>
  <r>
    <x v="696"/>
    <x v="339"/>
    <x v="339"/>
    <x v="334"/>
    <x v="557"/>
    <x v="1"/>
    <x v="2"/>
    <x v="354"/>
    <x v="279"/>
    <x v="1"/>
    <x v="33"/>
    <x v="0"/>
    <x v="0"/>
    <x v="1"/>
    <x v="3"/>
    <x v="2"/>
    <x v="2"/>
    <x v="1"/>
    <x v="3"/>
    <x v="1"/>
    <x v="1"/>
    <x v="158"/>
    <x v="1"/>
    <x v="1"/>
    <x v="2"/>
    <x v="341"/>
    <x v="2"/>
    <x v="3"/>
    <x v="0"/>
    <x v="1"/>
    <x v="0"/>
    <x v="408"/>
    <x v="207"/>
    <x v="224"/>
  </r>
  <r>
    <x v="697"/>
    <x v="273"/>
    <x v="274"/>
    <x v="269"/>
    <x v="558"/>
    <x v="1"/>
    <x v="3"/>
    <x v="284"/>
    <x v="27"/>
    <x v="1"/>
    <x v="9"/>
    <x v="0"/>
    <x v="0"/>
    <x v="1"/>
    <x v="5"/>
    <x v="1"/>
    <x v="1"/>
    <x v="1"/>
    <x v="2"/>
    <x v="1"/>
    <x v="1"/>
    <x v="158"/>
    <x v="1"/>
    <x v="1"/>
    <x v="2"/>
    <x v="274"/>
    <x v="2"/>
    <x v="3"/>
    <x v="0"/>
    <x v="1"/>
    <x v="0"/>
    <x v="409"/>
    <x v="208"/>
    <x v="225"/>
  </r>
  <r>
    <x v="698"/>
    <x v="314"/>
    <x v="315"/>
    <x v="310"/>
    <x v="559"/>
    <x v="3"/>
    <x v="2"/>
    <x v="328"/>
    <x v="259"/>
    <x v="6"/>
    <x v="0"/>
    <x v="0"/>
    <x v="1"/>
    <x v="1"/>
    <x v="1"/>
    <x v="2"/>
    <x v="1"/>
    <x v="1"/>
    <x v="2"/>
    <x v="1"/>
    <x v="1"/>
    <x v="158"/>
    <x v="2"/>
    <x v="5"/>
    <x v="2"/>
    <x v="316"/>
    <x v="12"/>
    <x v="3"/>
    <x v="0"/>
    <x v="1"/>
    <x v="0"/>
    <x v="410"/>
    <x v="209"/>
    <x v="226"/>
  </r>
  <r>
    <x v="699"/>
    <x v="343"/>
    <x v="343"/>
    <x v="338"/>
    <x v="560"/>
    <x v="3"/>
    <x v="2"/>
    <x v="358"/>
    <x v="283"/>
    <x v="1"/>
    <x v="15"/>
    <x v="0"/>
    <x v="0"/>
    <x v="1"/>
    <x v="3"/>
    <x v="3"/>
    <x v="2"/>
    <x v="1"/>
    <x v="2"/>
    <x v="1"/>
    <x v="1"/>
    <x v="160"/>
    <x v="1"/>
    <x v="6"/>
    <x v="3"/>
    <x v="345"/>
    <x v="5"/>
    <x v="1"/>
    <x v="1"/>
    <x v="1"/>
    <x v="0"/>
    <x v="411"/>
    <x v="210"/>
    <x v="227"/>
  </r>
  <r>
    <x v="700"/>
    <x v="344"/>
    <x v="344"/>
    <x v="339"/>
    <x v="561"/>
    <x v="1"/>
    <x v="2"/>
    <x v="359"/>
    <x v="284"/>
    <x v="1"/>
    <x v="15"/>
    <x v="0"/>
    <x v="0"/>
    <x v="1"/>
    <x v="1"/>
    <x v="1"/>
    <x v="2"/>
    <x v="1"/>
    <x v="3"/>
    <x v="1"/>
    <x v="1"/>
    <x v="161"/>
    <x v="1"/>
    <x v="6"/>
    <x v="2"/>
    <x v="346"/>
    <x v="1"/>
    <x v="3"/>
    <x v="0"/>
    <x v="1"/>
    <x v="0"/>
    <x v="412"/>
    <x v="211"/>
    <x v="0"/>
  </r>
  <r>
    <x v="701"/>
    <x v="345"/>
    <x v="345"/>
    <x v="340"/>
    <x v="562"/>
    <x v="3"/>
    <x v="2"/>
    <x v="360"/>
    <x v="10"/>
    <x v="1"/>
    <x v="136"/>
    <x v="0"/>
    <x v="0"/>
    <x v="1"/>
    <x v="3"/>
    <x v="3"/>
    <x v="2"/>
    <x v="1"/>
    <x v="3"/>
    <x v="1"/>
    <x v="1"/>
    <x v="160"/>
    <x v="1"/>
    <x v="6"/>
    <x v="2"/>
    <x v="347"/>
    <x v="1"/>
    <x v="1"/>
    <x v="1"/>
    <x v="2"/>
    <x v="1"/>
    <x v="413"/>
    <x v="212"/>
    <x v="228"/>
  </r>
  <r>
    <x v="702"/>
    <x v="346"/>
    <x v="346"/>
    <x v="341"/>
    <x v="563"/>
    <x v="1"/>
    <x v="2"/>
    <x v="215"/>
    <x v="285"/>
    <x v="1"/>
    <x v="36"/>
    <x v="0"/>
    <x v="0"/>
    <x v="1"/>
    <x v="3"/>
    <x v="3"/>
    <x v="1"/>
    <x v="1"/>
    <x v="2"/>
    <x v="1"/>
    <x v="1"/>
    <x v="161"/>
    <x v="1"/>
    <x v="1"/>
    <x v="13"/>
    <x v="348"/>
    <x v="12"/>
    <x v="3"/>
    <x v="0"/>
    <x v="1"/>
    <x v="0"/>
    <x v="414"/>
    <x v="213"/>
    <x v="229"/>
  </r>
  <r>
    <x v="703"/>
    <x v="347"/>
    <x v="347"/>
    <x v="342"/>
    <x v="564"/>
    <x v="3"/>
    <x v="1"/>
    <x v="361"/>
    <x v="199"/>
    <x v="1"/>
    <x v="31"/>
    <x v="0"/>
    <x v="0"/>
    <x v="1"/>
    <x v="1"/>
    <x v="1"/>
    <x v="1"/>
    <x v="1"/>
    <x v="2"/>
    <x v="1"/>
    <x v="2"/>
    <x v="0"/>
    <x v="1"/>
    <x v="1"/>
    <x v="2"/>
    <x v="349"/>
    <x v="12"/>
    <x v="0"/>
    <x v="0"/>
    <x v="1"/>
    <x v="0"/>
    <x v="0"/>
    <x v="0"/>
    <x v="0"/>
  </r>
  <r>
    <x v="704"/>
    <x v="335"/>
    <x v="335"/>
    <x v="330"/>
    <x v="565"/>
    <x v="1"/>
    <x v="2"/>
    <x v="350"/>
    <x v="269"/>
    <x v="1"/>
    <x v="33"/>
    <x v="0"/>
    <x v="0"/>
    <x v="3"/>
    <x v="1"/>
    <x v="1"/>
    <x v="2"/>
    <x v="1"/>
    <x v="3"/>
    <x v="1"/>
    <x v="1"/>
    <x v="162"/>
    <x v="1"/>
    <x v="3"/>
    <x v="4"/>
    <x v="337"/>
    <x v="1"/>
    <x v="1"/>
    <x v="1"/>
    <x v="1"/>
    <x v="0"/>
    <x v="415"/>
    <x v="214"/>
    <x v="230"/>
  </r>
  <r>
    <x v="705"/>
    <x v="348"/>
    <x v="348"/>
    <x v="343"/>
    <x v="566"/>
    <x v="1"/>
    <x v="1"/>
    <x v="362"/>
    <x v="286"/>
    <x v="1"/>
    <x v="3"/>
    <x v="0"/>
    <x v="0"/>
    <x v="2"/>
    <x v="3"/>
    <x v="2"/>
    <x v="2"/>
    <x v="1"/>
    <x v="3"/>
    <x v="1"/>
    <x v="2"/>
    <x v="0"/>
    <x v="3"/>
    <x v="1"/>
    <x v="2"/>
    <x v="350"/>
    <x v="12"/>
    <x v="0"/>
    <x v="0"/>
    <x v="1"/>
    <x v="0"/>
    <x v="0"/>
    <x v="0"/>
    <x v="231"/>
  </r>
  <r>
    <x v="706"/>
    <x v="349"/>
    <x v="349"/>
    <x v="344"/>
    <x v="567"/>
    <x v="1"/>
    <x v="2"/>
    <x v="363"/>
    <x v="261"/>
    <x v="2"/>
    <x v="0"/>
    <x v="6"/>
    <x v="0"/>
    <x v="1"/>
    <x v="3"/>
    <x v="3"/>
    <x v="2"/>
    <x v="1"/>
    <x v="2"/>
    <x v="1"/>
    <x v="1"/>
    <x v="161"/>
    <x v="1"/>
    <x v="5"/>
    <x v="2"/>
    <x v="351"/>
    <x v="12"/>
    <x v="3"/>
    <x v="0"/>
    <x v="1"/>
    <x v="0"/>
    <x v="416"/>
    <x v="215"/>
    <x v="0"/>
  </r>
  <r>
    <x v="707"/>
    <x v="345"/>
    <x v="345"/>
    <x v="340"/>
    <x v="568"/>
    <x v="3"/>
    <x v="2"/>
    <x v="360"/>
    <x v="10"/>
    <x v="1"/>
    <x v="29"/>
    <x v="0"/>
    <x v="0"/>
    <x v="3"/>
    <x v="3"/>
    <x v="2"/>
    <x v="2"/>
    <x v="1"/>
    <x v="3"/>
    <x v="1"/>
    <x v="1"/>
    <x v="163"/>
    <x v="1"/>
    <x v="3"/>
    <x v="4"/>
    <x v="347"/>
    <x v="5"/>
    <x v="3"/>
    <x v="0"/>
    <x v="1"/>
    <x v="0"/>
    <x v="417"/>
    <x v="0"/>
    <x v="232"/>
  </r>
  <r>
    <x v="708"/>
    <x v="350"/>
    <x v="350"/>
    <x v="345"/>
    <x v="569"/>
    <x v="1"/>
    <x v="2"/>
    <x v="364"/>
    <x v="287"/>
    <x v="1"/>
    <x v="24"/>
    <x v="0"/>
    <x v="0"/>
    <x v="1"/>
    <x v="3"/>
    <x v="3"/>
    <x v="2"/>
    <x v="1"/>
    <x v="2"/>
    <x v="1"/>
    <x v="1"/>
    <x v="162"/>
    <x v="1"/>
    <x v="1"/>
    <x v="2"/>
    <x v="352"/>
    <x v="11"/>
    <x v="3"/>
    <x v="0"/>
    <x v="1"/>
    <x v="0"/>
    <x v="418"/>
    <x v="216"/>
    <x v="0"/>
  </r>
  <r>
    <x v="709"/>
    <x v="343"/>
    <x v="343"/>
    <x v="338"/>
    <x v="0"/>
    <x v="3"/>
    <x v="2"/>
    <x v="358"/>
    <x v="288"/>
    <x v="1"/>
    <x v="15"/>
    <x v="0"/>
    <x v="0"/>
    <x v="3"/>
    <x v="1"/>
    <x v="1"/>
    <x v="2"/>
    <x v="1"/>
    <x v="2"/>
    <x v="1"/>
    <x v="1"/>
    <x v="164"/>
    <x v="2"/>
    <x v="3"/>
    <x v="4"/>
    <x v="345"/>
    <x v="5"/>
    <x v="1"/>
    <x v="3"/>
    <x v="2"/>
    <x v="1"/>
    <x v="419"/>
    <x v="0"/>
    <x v="232"/>
  </r>
  <r>
    <x v="710"/>
    <x v="335"/>
    <x v="335"/>
    <x v="330"/>
    <x v="0"/>
    <x v="1"/>
    <x v="2"/>
    <x v="350"/>
    <x v="269"/>
    <x v="1"/>
    <x v="33"/>
    <x v="0"/>
    <x v="0"/>
    <x v="3"/>
    <x v="1"/>
    <x v="1"/>
    <x v="2"/>
    <x v="1"/>
    <x v="3"/>
    <x v="1"/>
    <x v="2"/>
    <x v="0"/>
    <x v="2"/>
    <x v="3"/>
    <x v="4"/>
    <x v="337"/>
    <x v="5"/>
    <x v="0"/>
    <x v="0"/>
    <x v="1"/>
    <x v="0"/>
    <x v="0"/>
    <x v="0"/>
    <x v="0"/>
  </r>
  <r>
    <x v="711"/>
    <x v="351"/>
    <x v="351"/>
    <x v="346"/>
    <x v="570"/>
    <x v="1"/>
    <x v="2"/>
    <x v="365"/>
    <x v="10"/>
    <x v="2"/>
    <x v="0"/>
    <x v="2"/>
    <x v="0"/>
    <x v="1"/>
    <x v="1"/>
    <x v="1"/>
    <x v="2"/>
    <x v="1"/>
    <x v="2"/>
    <x v="1"/>
    <x v="1"/>
    <x v="163"/>
    <x v="1"/>
    <x v="6"/>
    <x v="2"/>
    <x v="353"/>
    <x v="5"/>
    <x v="3"/>
    <x v="0"/>
    <x v="1"/>
    <x v="0"/>
    <x v="420"/>
    <x v="0"/>
    <x v="0"/>
  </r>
  <r>
    <x v="712"/>
    <x v="352"/>
    <x v="352"/>
    <x v="347"/>
    <x v="571"/>
    <x v="1"/>
    <x v="1"/>
    <x v="366"/>
    <x v="10"/>
    <x v="8"/>
    <x v="0"/>
    <x v="0"/>
    <x v="0"/>
    <x v="1"/>
    <x v="1"/>
    <x v="1"/>
    <x v="2"/>
    <x v="1"/>
    <x v="2"/>
    <x v="1"/>
    <x v="1"/>
    <x v="164"/>
    <x v="1"/>
    <x v="6"/>
    <x v="2"/>
    <x v="354"/>
    <x v="5"/>
    <x v="1"/>
    <x v="3"/>
    <x v="1"/>
    <x v="0"/>
    <x v="421"/>
    <x v="0"/>
    <x v="0"/>
  </r>
  <r>
    <x v="713"/>
    <x v="353"/>
    <x v="353"/>
    <x v="348"/>
    <x v="572"/>
    <x v="1"/>
    <x v="2"/>
    <x v="367"/>
    <x v="216"/>
    <x v="1"/>
    <x v="141"/>
    <x v="0"/>
    <x v="0"/>
    <x v="1"/>
    <x v="1"/>
    <x v="1"/>
    <x v="2"/>
    <x v="1"/>
    <x v="3"/>
    <x v="1"/>
    <x v="2"/>
    <x v="0"/>
    <x v="1"/>
    <x v="6"/>
    <x v="3"/>
    <x v="355"/>
    <x v="5"/>
    <x v="0"/>
    <x v="0"/>
    <x v="1"/>
    <x v="0"/>
    <x v="0"/>
    <x v="0"/>
    <x v="0"/>
  </r>
  <r>
    <x v="714"/>
    <x v="343"/>
    <x v="343"/>
    <x v="338"/>
    <x v="573"/>
    <x v="3"/>
    <x v="2"/>
    <x v="358"/>
    <x v="283"/>
    <x v="1"/>
    <x v="15"/>
    <x v="0"/>
    <x v="0"/>
    <x v="3"/>
    <x v="1"/>
    <x v="1"/>
    <x v="2"/>
    <x v="1"/>
    <x v="1"/>
    <x v="1"/>
    <x v="2"/>
    <x v="0"/>
    <x v="1"/>
    <x v="3"/>
    <x v="4"/>
    <x v="345"/>
    <x v="3"/>
    <x v="0"/>
    <x v="0"/>
    <x v="1"/>
    <x v="0"/>
    <x v="0"/>
    <x v="0"/>
    <x v="0"/>
  </r>
  <r>
    <x v="715"/>
    <x v="352"/>
    <x v="352"/>
    <x v="347"/>
    <x v="0"/>
    <x v="1"/>
    <x v="1"/>
    <x v="366"/>
    <x v="10"/>
    <x v="8"/>
    <x v="0"/>
    <x v="0"/>
    <x v="0"/>
    <x v="3"/>
    <x v="1"/>
    <x v="1"/>
    <x v="2"/>
    <x v="1"/>
    <x v="1"/>
    <x v="1"/>
    <x v="2"/>
    <x v="0"/>
    <x v="2"/>
    <x v="3"/>
    <x v="4"/>
    <x v="354"/>
    <x v="3"/>
    <x v="0"/>
    <x v="0"/>
    <x v="1"/>
    <x v="0"/>
    <x v="0"/>
    <x v="0"/>
    <x v="0"/>
  </r>
  <r>
    <x v="716"/>
    <x v="354"/>
    <x v="354"/>
    <x v="349"/>
    <x v="574"/>
    <x v="1"/>
    <x v="2"/>
    <x v="368"/>
    <x v="10"/>
    <x v="1"/>
    <x v="4"/>
    <x v="0"/>
    <x v="0"/>
    <x v="1"/>
    <x v="1"/>
    <x v="1"/>
    <x v="2"/>
    <x v="1"/>
    <x v="2"/>
    <x v="1"/>
    <x v="1"/>
    <x v="164"/>
    <x v="1"/>
    <x v="6"/>
    <x v="3"/>
    <x v="356"/>
    <x v="3"/>
    <x v="1"/>
    <x v="3"/>
    <x v="1"/>
    <x v="0"/>
    <x v="0"/>
    <x v="0"/>
    <x v="233"/>
  </r>
  <r>
    <x v="717"/>
    <x v="354"/>
    <x v="354"/>
    <x v="349"/>
    <x v="575"/>
    <x v="1"/>
    <x v="2"/>
    <x v="368"/>
    <x v="10"/>
    <x v="1"/>
    <x v="4"/>
    <x v="0"/>
    <x v="0"/>
    <x v="3"/>
    <x v="1"/>
    <x v="1"/>
    <x v="2"/>
    <x v="1"/>
    <x v="2"/>
    <x v="1"/>
    <x v="1"/>
    <x v="165"/>
    <x v="1"/>
    <x v="3"/>
    <x v="4"/>
    <x v="356"/>
    <x v="3"/>
    <x v="1"/>
    <x v="1"/>
    <x v="1"/>
    <x v="0"/>
    <x v="422"/>
    <x v="0"/>
    <x v="0"/>
  </r>
  <r>
    <x v="718"/>
    <x v="354"/>
    <x v="354"/>
    <x v="349"/>
    <x v="0"/>
    <x v="1"/>
    <x v="2"/>
    <x v="368"/>
    <x v="289"/>
    <x v="1"/>
    <x v="4"/>
    <x v="0"/>
    <x v="0"/>
    <x v="3"/>
    <x v="1"/>
    <x v="1"/>
    <x v="2"/>
    <x v="1"/>
    <x v="2"/>
    <x v="1"/>
    <x v="2"/>
    <x v="0"/>
    <x v="2"/>
    <x v="3"/>
    <x v="4"/>
    <x v="356"/>
    <x v="5"/>
    <x v="0"/>
    <x v="0"/>
    <x v="1"/>
    <x v="0"/>
    <x v="0"/>
    <x v="0"/>
    <x v="0"/>
  </r>
  <r>
    <x v="719"/>
    <x v="331"/>
    <x v="331"/>
    <x v="326"/>
    <x v="576"/>
    <x v="3"/>
    <x v="2"/>
    <x v="345"/>
    <x v="273"/>
    <x v="1"/>
    <x v="9"/>
    <x v="0"/>
    <x v="0"/>
    <x v="1"/>
    <x v="2"/>
    <x v="3"/>
    <x v="2"/>
    <x v="1"/>
    <x v="2"/>
    <x v="1"/>
    <x v="1"/>
    <x v="166"/>
    <x v="2"/>
    <x v="6"/>
    <x v="2"/>
    <x v="333"/>
    <x v="5"/>
    <x v="3"/>
    <x v="0"/>
    <x v="1"/>
    <x v="0"/>
    <x v="423"/>
    <x v="217"/>
    <x v="234"/>
  </r>
  <r>
    <x v="720"/>
    <x v="256"/>
    <x v="256"/>
    <x v="252"/>
    <x v="577"/>
    <x v="1"/>
    <x v="2"/>
    <x v="267"/>
    <x v="227"/>
    <x v="1"/>
    <x v="3"/>
    <x v="0"/>
    <x v="0"/>
    <x v="1"/>
    <x v="2"/>
    <x v="3"/>
    <x v="2"/>
    <x v="1"/>
    <x v="2"/>
    <x v="1"/>
    <x v="1"/>
    <x v="167"/>
    <x v="1"/>
    <x v="6"/>
    <x v="3"/>
    <x v="256"/>
    <x v="5"/>
    <x v="1"/>
    <x v="7"/>
    <x v="2"/>
    <x v="1"/>
    <x v="424"/>
    <x v="0"/>
    <x v="235"/>
  </r>
  <r>
    <x v="721"/>
    <x v="256"/>
    <x v="256"/>
    <x v="252"/>
    <x v="578"/>
    <x v="1"/>
    <x v="2"/>
    <x v="267"/>
    <x v="227"/>
    <x v="1"/>
    <x v="3"/>
    <x v="0"/>
    <x v="0"/>
    <x v="3"/>
    <x v="1"/>
    <x v="1"/>
    <x v="2"/>
    <x v="1"/>
    <x v="2"/>
    <x v="1"/>
    <x v="2"/>
    <x v="0"/>
    <x v="1"/>
    <x v="3"/>
    <x v="4"/>
    <x v="256"/>
    <x v="12"/>
    <x v="0"/>
    <x v="0"/>
    <x v="1"/>
    <x v="0"/>
    <x v="0"/>
    <x v="0"/>
    <x v="0"/>
  </r>
  <r>
    <x v="722"/>
    <x v="355"/>
    <x v="355"/>
    <x v="350"/>
    <x v="579"/>
    <x v="1"/>
    <x v="1"/>
    <x v="369"/>
    <x v="290"/>
    <x v="6"/>
    <x v="0"/>
    <x v="0"/>
    <x v="17"/>
    <x v="1"/>
    <x v="3"/>
    <x v="2"/>
    <x v="1"/>
    <x v="1"/>
    <x v="1"/>
    <x v="1"/>
    <x v="1"/>
    <x v="168"/>
    <x v="1"/>
    <x v="1"/>
    <x v="2"/>
    <x v="357"/>
    <x v="12"/>
    <x v="3"/>
    <x v="0"/>
    <x v="1"/>
    <x v="0"/>
    <x v="425"/>
    <x v="218"/>
    <x v="236"/>
  </r>
  <r>
    <x v="723"/>
    <x v="356"/>
    <x v="356"/>
    <x v="351"/>
    <x v="580"/>
    <x v="3"/>
    <x v="2"/>
    <x v="370"/>
    <x v="75"/>
    <x v="1"/>
    <x v="142"/>
    <x v="0"/>
    <x v="0"/>
    <x v="1"/>
    <x v="3"/>
    <x v="2"/>
    <x v="2"/>
    <x v="1"/>
    <x v="3"/>
    <x v="1"/>
    <x v="1"/>
    <x v="168"/>
    <x v="1"/>
    <x v="1"/>
    <x v="2"/>
    <x v="358"/>
    <x v="3"/>
    <x v="3"/>
    <x v="0"/>
    <x v="1"/>
    <x v="0"/>
    <x v="426"/>
    <x v="219"/>
    <x v="0"/>
  </r>
  <r>
    <x v="724"/>
    <x v="209"/>
    <x v="207"/>
    <x v="205"/>
    <x v="581"/>
    <x v="1"/>
    <x v="2"/>
    <x v="218"/>
    <x v="103"/>
    <x v="1"/>
    <x v="143"/>
    <x v="0"/>
    <x v="0"/>
    <x v="1"/>
    <x v="1"/>
    <x v="1"/>
    <x v="1"/>
    <x v="1"/>
    <x v="3"/>
    <x v="1"/>
    <x v="2"/>
    <x v="0"/>
    <x v="1"/>
    <x v="5"/>
    <x v="2"/>
    <x v="209"/>
    <x v="12"/>
    <x v="0"/>
    <x v="0"/>
    <x v="1"/>
    <x v="0"/>
    <x v="0"/>
    <x v="0"/>
    <x v="0"/>
  </r>
  <r>
    <x v="725"/>
    <x v="357"/>
    <x v="357"/>
    <x v="352"/>
    <x v="582"/>
    <x v="1"/>
    <x v="2"/>
    <x v="371"/>
    <x v="125"/>
    <x v="1"/>
    <x v="15"/>
    <x v="0"/>
    <x v="0"/>
    <x v="1"/>
    <x v="3"/>
    <x v="2"/>
    <x v="2"/>
    <x v="1"/>
    <x v="3"/>
    <x v="1"/>
    <x v="1"/>
    <x v="169"/>
    <x v="2"/>
    <x v="1"/>
    <x v="2"/>
    <x v="359"/>
    <x v="11"/>
    <x v="3"/>
    <x v="0"/>
    <x v="1"/>
    <x v="0"/>
    <x v="427"/>
    <x v="0"/>
    <x v="237"/>
  </r>
  <r>
    <x v="726"/>
    <x v="358"/>
    <x v="358"/>
    <x v="353"/>
    <x v="583"/>
    <x v="1"/>
    <x v="1"/>
    <x v="372"/>
    <x v="64"/>
    <x v="1"/>
    <x v="3"/>
    <x v="0"/>
    <x v="0"/>
    <x v="1"/>
    <x v="1"/>
    <x v="1"/>
    <x v="2"/>
    <x v="1"/>
    <x v="2"/>
    <x v="1"/>
    <x v="1"/>
    <x v="168"/>
    <x v="2"/>
    <x v="5"/>
    <x v="2"/>
    <x v="360"/>
    <x v="1"/>
    <x v="3"/>
    <x v="0"/>
    <x v="1"/>
    <x v="0"/>
    <x v="428"/>
    <x v="220"/>
    <x v="0"/>
  </r>
  <r>
    <x v="727"/>
    <x v="359"/>
    <x v="359"/>
    <x v="354"/>
    <x v="584"/>
    <x v="3"/>
    <x v="2"/>
    <x v="373"/>
    <x v="115"/>
    <x v="1"/>
    <x v="144"/>
    <x v="0"/>
    <x v="0"/>
    <x v="1"/>
    <x v="3"/>
    <x v="3"/>
    <x v="2"/>
    <x v="1"/>
    <x v="2"/>
    <x v="1"/>
    <x v="1"/>
    <x v="170"/>
    <x v="1"/>
    <x v="1"/>
    <x v="2"/>
    <x v="361"/>
    <x v="1"/>
    <x v="1"/>
    <x v="12"/>
    <x v="1"/>
    <x v="0"/>
    <x v="429"/>
    <x v="221"/>
    <x v="0"/>
  </r>
  <r>
    <x v="728"/>
    <x v="360"/>
    <x v="360"/>
    <x v="355"/>
    <x v="585"/>
    <x v="1"/>
    <x v="2"/>
    <x v="374"/>
    <x v="110"/>
    <x v="1"/>
    <x v="145"/>
    <x v="0"/>
    <x v="0"/>
    <x v="1"/>
    <x v="3"/>
    <x v="4"/>
    <x v="2"/>
    <x v="1"/>
    <x v="2"/>
    <x v="1"/>
    <x v="1"/>
    <x v="171"/>
    <x v="1"/>
    <x v="2"/>
    <x v="2"/>
    <x v="362"/>
    <x v="12"/>
    <x v="0"/>
    <x v="0"/>
    <x v="1"/>
    <x v="0"/>
    <x v="430"/>
    <x v="222"/>
    <x v="238"/>
  </r>
  <r>
    <x v="729"/>
    <x v="359"/>
    <x v="359"/>
    <x v="354"/>
    <x v="0"/>
    <x v="3"/>
    <x v="2"/>
    <x v="373"/>
    <x v="115"/>
    <x v="1"/>
    <x v="144"/>
    <x v="0"/>
    <x v="0"/>
    <x v="3"/>
    <x v="3"/>
    <x v="3"/>
    <x v="2"/>
    <x v="1"/>
    <x v="2"/>
    <x v="1"/>
    <x v="1"/>
    <x v="171"/>
    <x v="2"/>
    <x v="3"/>
    <x v="4"/>
    <x v="361"/>
    <x v="11"/>
    <x v="3"/>
    <x v="0"/>
    <x v="1"/>
    <x v="0"/>
    <x v="431"/>
    <x v="223"/>
    <x v="0"/>
  </r>
  <r>
    <x v="730"/>
    <x v="361"/>
    <x v="361"/>
    <x v="356"/>
    <x v="586"/>
    <x v="1"/>
    <x v="2"/>
    <x v="375"/>
    <x v="10"/>
    <x v="2"/>
    <x v="0"/>
    <x v="2"/>
    <x v="0"/>
    <x v="1"/>
    <x v="1"/>
    <x v="1"/>
    <x v="2"/>
    <x v="1"/>
    <x v="1"/>
    <x v="1"/>
    <x v="1"/>
    <x v="172"/>
    <x v="1"/>
    <x v="6"/>
    <x v="2"/>
    <x v="363"/>
    <x v="1"/>
    <x v="3"/>
    <x v="0"/>
    <x v="1"/>
    <x v="0"/>
    <x v="432"/>
    <x v="224"/>
    <x v="0"/>
  </r>
  <r>
    <x v="731"/>
    <x v="362"/>
    <x v="362"/>
    <x v="357"/>
    <x v="587"/>
    <x v="1"/>
    <x v="2"/>
    <x v="376"/>
    <x v="291"/>
    <x v="9"/>
    <x v="0"/>
    <x v="0"/>
    <x v="0"/>
    <x v="1"/>
    <x v="3"/>
    <x v="2"/>
    <x v="1"/>
    <x v="1"/>
    <x v="1"/>
    <x v="1"/>
    <x v="1"/>
    <x v="173"/>
    <x v="1"/>
    <x v="4"/>
    <x v="2"/>
    <x v="364"/>
    <x v="1"/>
    <x v="1"/>
    <x v="4"/>
    <x v="2"/>
    <x v="1"/>
    <x v="433"/>
    <x v="225"/>
    <x v="0"/>
  </r>
  <r>
    <x v="732"/>
    <x v="363"/>
    <x v="363"/>
    <x v="358"/>
    <x v="588"/>
    <x v="1"/>
    <x v="1"/>
    <x v="377"/>
    <x v="269"/>
    <x v="8"/>
    <x v="0"/>
    <x v="0"/>
    <x v="18"/>
    <x v="1"/>
    <x v="3"/>
    <x v="2"/>
    <x v="1"/>
    <x v="1"/>
    <x v="2"/>
    <x v="1"/>
    <x v="1"/>
    <x v="174"/>
    <x v="2"/>
    <x v="1"/>
    <x v="2"/>
    <x v="365"/>
    <x v="12"/>
    <x v="1"/>
    <x v="1"/>
    <x v="2"/>
    <x v="1"/>
    <x v="434"/>
    <x v="226"/>
    <x v="239"/>
  </r>
  <r>
    <x v="733"/>
    <x v="364"/>
    <x v="364"/>
    <x v="359"/>
    <x v="589"/>
    <x v="3"/>
    <x v="2"/>
    <x v="378"/>
    <x v="236"/>
    <x v="1"/>
    <x v="143"/>
    <x v="0"/>
    <x v="0"/>
    <x v="1"/>
    <x v="1"/>
    <x v="1"/>
    <x v="1"/>
    <x v="1"/>
    <x v="2"/>
    <x v="1"/>
    <x v="2"/>
    <x v="0"/>
    <x v="1"/>
    <x v="5"/>
    <x v="2"/>
    <x v="366"/>
    <x v="12"/>
    <x v="0"/>
    <x v="0"/>
    <x v="1"/>
    <x v="0"/>
    <x v="0"/>
    <x v="0"/>
    <x v="0"/>
  </r>
  <r>
    <x v="734"/>
    <x v="365"/>
    <x v="365"/>
    <x v="360"/>
    <x v="590"/>
    <x v="3"/>
    <x v="2"/>
    <x v="379"/>
    <x v="200"/>
    <x v="1"/>
    <x v="15"/>
    <x v="0"/>
    <x v="0"/>
    <x v="1"/>
    <x v="3"/>
    <x v="3"/>
    <x v="2"/>
    <x v="1"/>
    <x v="1"/>
    <x v="1"/>
    <x v="1"/>
    <x v="173"/>
    <x v="1"/>
    <x v="5"/>
    <x v="2"/>
    <x v="367"/>
    <x v="12"/>
    <x v="1"/>
    <x v="12"/>
    <x v="1"/>
    <x v="0"/>
    <x v="0"/>
    <x v="0"/>
    <x v="240"/>
  </r>
  <r>
    <x v="735"/>
    <x v="365"/>
    <x v="365"/>
    <x v="360"/>
    <x v="0"/>
    <x v="3"/>
    <x v="2"/>
    <x v="379"/>
    <x v="200"/>
    <x v="1"/>
    <x v="15"/>
    <x v="0"/>
    <x v="0"/>
    <x v="3"/>
    <x v="1"/>
    <x v="1"/>
    <x v="2"/>
    <x v="1"/>
    <x v="1"/>
    <x v="1"/>
    <x v="2"/>
    <x v="0"/>
    <x v="2"/>
    <x v="3"/>
    <x v="4"/>
    <x v="367"/>
    <x v="11"/>
    <x v="0"/>
    <x v="0"/>
    <x v="1"/>
    <x v="0"/>
    <x v="435"/>
    <x v="0"/>
    <x v="0"/>
  </r>
  <r>
    <x v="736"/>
    <x v="362"/>
    <x v="362"/>
    <x v="357"/>
    <x v="591"/>
    <x v="1"/>
    <x v="2"/>
    <x v="376"/>
    <x v="291"/>
    <x v="1"/>
    <x v="146"/>
    <x v="0"/>
    <x v="0"/>
    <x v="3"/>
    <x v="1"/>
    <x v="1"/>
    <x v="2"/>
    <x v="1"/>
    <x v="3"/>
    <x v="1"/>
    <x v="1"/>
    <x v="0"/>
    <x v="1"/>
    <x v="3"/>
    <x v="4"/>
    <x v="364"/>
    <x v="1"/>
    <x v="0"/>
    <x v="0"/>
    <x v="1"/>
    <x v="0"/>
    <x v="436"/>
    <x v="0"/>
    <x v="0"/>
  </r>
  <r>
    <x v="737"/>
    <x v="366"/>
    <x v="366"/>
    <x v="361"/>
    <x v="592"/>
    <x v="1"/>
    <x v="2"/>
    <x v="380"/>
    <x v="292"/>
    <x v="1"/>
    <x v="15"/>
    <x v="0"/>
    <x v="0"/>
    <x v="1"/>
    <x v="3"/>
    <x v="3"/>
    <x v="2"/>
    <x v="1"/>
    <x v="1"/>
    <x v="1"/>
    <x v="1"/>
    <x v="174"/>
    <x v="1"/>
    <x v="1"/>
    <x v="2"/>
    <x v="368"/>
    <x v="11"/>
    <x v="3"/>
    <x v="0"/>
    <x v="1"/>
    <x v="0"/>
    <x v="437"/>
    <x v="0"/>
    <x v="0"/>
  </r>
  <r>
    <x v="738"/>
    <x v="362"/>
    <x v="362"/>
    <x v="357"/>
    <x v="593"/>
    <x v="1"/>
    <x v="2"/>
    <x v="381"/>
    <x v="291"/>
    <x v="9"/>
    <x v="0"/>
    <x v="0"/>
    <x v="0"/>
    <x v="3"/>
    <x v="1"/>
    <x v="1"/>
    <x v="1"/>
    <x v="1"/>
    <x v="2"/>
    <x v="2"/>
    <x v="2"/>
    <x v="0"/>
    <x v="1"/>
    <x v="3"/>
    <x v="4"/>
    <x v="364"/>
    <x v="4"/>
    <x v="0"/>
    <x v="0"/>
    <x v="1"/>
    <x v="0"/>
    <x v="0"/>
    <x v="0"/>
    <x v="0"/>
  </r>
  <r>
    <x v="739"/>
    <x v="367"/>
    <x v="367"/>
    <x v="362"/>
    <x v="594"/>
    <x v="1"/>
    <x v="2"/>
    <x v="382"/>
    <x v="293"/>
    <x v="1"/>
    <x v="33"/>
    <x v="0"/>
    <x v="0"/>
    <x v="1"/>
    <x v="3"/>
    <x v="2"/>
    <x v="2"/>
    <x v="1"/>
    <x v="1"/>
    <x v="1"/>
    <x v="1"/>
    <x v="174"/>
    <x v="1"/>
    <x v="1"/>
    <x v="2"/>
    <x v="369"/>
    <x v="1"/>
    <x v="1"/>
    <x v="1"/>
    <x v="1"/>
    <x v="0"/>
    <x v="438"/>
    <x v="0"/>
    <x v="0"/>
  </r>
  <r>
    <x v="740"/>
    <x v="368"/>
    <x v="368"/>
    <x v="363"/>
    <x v="595"/>
    <x v="1"/>
    <x v="2"/>
    <x v="383"/>
    <x v="294"/>
    <x v="1"/>
    <x v="22"/>
    <x v="0"/>
    <x v="0"/>
    <x v="1"/>
    <x v="2"/>
    <x v="3"/>
    <x v="2"/>
    <x v="1"/>
    <x v="2"/>
    <x v="1"/>
    <x v="1"/>
    <x v="175"/>
    <x v="1"/>
    <x v="6"/>
    <x v="2"/>
    <x v="370"/>
    <x v="5"/>
    <x v="3"/>
    <x v="0"/>
    <x v="1"/>
    <x v="0"/>
    <x v="439"/>
    <x v="227"/>
    <x v="0"/>
  </r>
  <r>
    <x v="741"/>
    <x v="367"/>
    <x v="367"/>
    <x v="362"/>
    <x v="0"/>
    <x v="1"/>
    <x v="2"/>
    <x v="382"/>
    <x v="293"/>
    <x v="1"/>
    <x v="33"/>
    <x v="0"/>
    <x v="0"/>
    <x v="3"/>
    <x v="1"/>
    <x v="2"/>
    <x v="2"/>
    <x v="1"/>
    <x v="2"/>
    <x v="1"/>
    <x v="1"/>
    <x v="176"/>
    <x v="2"/>
    <x v="3"/>
    <x v="4"/>
    <x v="369"/>
    <x v="5"/>
    <x v="3"/>
    <x v="0"/>
    <x v="1"/>
    <x v="0"/>
    <x v="242"/>
    <x v="228"/>
    <x v="185"/>
  </r>
  <r>
    <x v="742"/>
    <x v="363"/>
    <x v="363"/>
    <x v="358"/>
    <x v="596"/>
    <x v="1"/>
    <x v="1"/>
    <x v="377"/>
    <x v="10"/>
    <x v="8"/>
    <x v="0"/>
    <x v="0"/>
    <x v="0"/>
    <x v="3"/>
    <x v="1"/>
    <x v="1"/>
    <x v="1"/>
    <x v="1"/>
    <x v="2"/>
    <x v="2"/>
    <x v="1"/>
    <x v="177"/>
    <x v="2"/>
    <x v="3"/>
    <x v="4"/>
    <x v="365"/>
    <x v="5"/>
    <x v="1"/>
    <x v="1"/>
    <x v="2"/>
    <x v="1"/>
    <x v="440"/>
    <x v="0"/>
    <x v="241"/>
  </r>
  <r>
    <x v="743"/>
    <x v="189"/>
    <x v="187"/>
    <x v="185"/>
    <x v="597"/>
    <x v="1"/>
    <x v="2"/>
    <x v="197"/>
    <x v="164"/>
    <x v="1"/>
    <x v="27"/>
    <x v="0"/>
    <x v="0"/>
    <x v="1"/>
    <x v="1"/>
    <x v="1"/>
    <x v="2"/>
    <x v="1"/>
    <x v="2"/>
    <x v="1"/>
    <x v="2"/>
    <x v="0"/>
    <x v="1"/>
    <x v="5"/>
    <x v="3"/>
    <x v="187"/>
    <x v="4"/>
    <x v="0"/>
    <x v="0"/>
    <x v="1"/>
    <x v="0"/>
    <x v="0"/>
    <x v="0"/>
    <x v="242"/>
  </r>
  <r>
    <x v="744"/>
    <x v="369"/>
    <x v="369"/>
    <x v="364"/>
    <x v="598"/>
    <x v="1"/>
    <x v="2"/>
    <x v="384"/>
    <x v="295"/>
    <x v="1"/>
    <x v="147"/>
    <x v="0"/>
    <x v="0"/>
    <x v="1"/>
    <x v="1"/>
    <x v="2"/>
    <x v="2"/>
    <x v="1"/>
    <x v="2"/>
    <x v="1"/>
    <x v="1"/>
    <x v="176"/>
    <x v="1"/>
    <x v="5"/>
    <x v="2"/>
    <x v="371"/>
    <x v="5"/>
    <x v="3"/>
    <x v="0"/>
    <x v="1"/>
    <x v="0"/>
    <x v="441"/>
    <x v="229"/>
    <x v="198"/>
  </r>
  <r>
    <x v="745"/>
    <x v="233"/>
    <x v="232"/>
    <x v="229"/>
    <x v="599"/>
    <x v="1"/>
    <x v="1"/>
    <x v="243"/>
    <x v="199"/>
    <x v="1"/>
    <x v="148"/>
    <x v="0"/>
    <x v="0"/>
    <x v="1"/>
    <x v="1"/>
    <x v="1"/>
    <x v="2"/>
    <x v="1"/>
    <x v="2"/>
    <x v="1"/>
    <x v="2"/>
    <x v="0"/>
    <x v="1"/>
    <x v="1"/>
    <x v="2"/>
    <x v="233"/>
    <x v="12"/>
    <x v="0"/>
    <x v="0"/>
    <x v="1"/>
    <x v="0"/>
    <x v="0"/>
    <x v="0"/>
    <x v="243"/>
  </r>
  <r>
    <x v="746"/>
    <x v="370"/>
    <x v="370"/>
    <x v="365"/>
    <x v="600"/>
    <x v="1"/>
    <x v="1"/>
    <x v="385"/>
    <x v="296"/>
    <x v="1"/>
    <x v="3"/>
    <x v="0"/>
    <x v="0"/>
    <x v="1"/>
    <x v="1"/>
    <x v="1"/>
    <x v="2"/>
    <x v="1"/>
    <x v="2"/>
    <x v="1"/>
    <x v="2"/>
    <x v="0"/>
    <x v="1"/>
    <x v="6"/>
    <x v="2"/>
    <x v="372"/>
    <x v="5"/>
    <x v="0"/>
    <x v="0"/>
    <x v="1"/>
    <x v="0"/>
    <x v="0"/>
    <x v="0"/>
    <x v="0"/>
  </r>
  <r>
    <x v="747"/>
    <x v="363"/>
    <x v="363"/>
    <x v="358"/>
    <x v="601"/>
    <x v="1"/>
    <x v="1"/>
    <x v="377"/>
    <x v="10"/>
    <x v="8"/>
    <x v="0"/>
    <x v="0"/>
    <x v="0"/>
    <x v="3"/>
    <x v="1"/>
    <x v="1"/>
    <x v="2"/>
    <x v="1"/>
    <x v="2"/>
    <x v="1"/>
    <x v="2"/>
    <x v="0"/>
    <x v="2"/>
    <x v="3"/>
    <x v="4"/>
    <x v="365"/>
    <x v="5"/>
    <x v="0"/>
    <x v="0"/>
    <x v="1"/>
    <x v="0"/>
    <x v="0"/>
    <x v="0"/>
    <x v="0"/>
  </r>
  <r>
    <x v="748"/>
    <x v="371"/>
    <x v="371"/>
    <x v="366"/>
    <x v="0"/>
    <x v="1"/>
    <x v="2"/>
    <x v="386"/>
    <x v="167"/>
    <x v="1"/>
    <x v="2"/>
    <x v="0"/>
    <x v="0"/>
    <x v="1"/>
    <x v="2"/>
    <x v="3"/>
    <x v="2"/>
    <x v="1"/>
    <x v="3"/>
    <x v="1"/>
    <x v="1"/>
    <x v="178"/>
    <x v="1"/>
    <x v="6"/>
    <x v="2"/>
    <x v="373"/>
    <x v="1"/>
    <x v="3"/>
    <x v="0"/>
    <x v="1"/>
    <x v="0"/>
    <x v="442"/>
    <x v="190"/>
    <x v="0"/>
  </r>
  <r>
    <x v="749"/>
    <x v="372"/>
    <x v="372"/>
    <x v="367"/>
    <x v="602"/>
    <x v="1"/>
    <x v="2"/>
    <x v="387"/>
    <x v="297"/>
    <x v="1"/>
    <x v="15"/>
    <x v="0"/>
    <x v="0"/>
    <x v="1"/>
    <x v="1"/>
    <x v="1"/>
    <x v="2"/>
    <x v="1"/>
    <x v="2"/>
    <x v="1"/>
    <x v="2"/>
    <x v="0"/>
    <x v="1"/>
    <x v="4"/>
    <x v="2"/>
    <x v="374"/>
    <x v="12"/>
    <x v="0"/>
    <x v="0"/>
    <x v="1"/>
    <x v="0"/>
    <x v="0"/>
    <x v="0"/>
    <x v="0"/>
  </r>
  <r>
    <x v="750"/>
    <x v="373"/>
    <x v="373"/>
    <x v="368"/>
    <x v="603"/>
    <x v="1"/>
    <x v="2"/>
    <x v="388"/>
    <x v="298"/>
    <x v="1"/>
    <x v="31"/>
    <x v="0"/>
    <x v="0"/>
    <x v="1"/>
    <x v="1"/>
    <x v="1"/>
    <x v="2"/>
    <x v="1"/>
    <x v="1"/>
    <x v="1"/>
    <x v="2"/>
    <x v="0"/>
    <x v="1"/>
    <x v="6"/>
    <x v="2"/>
    <x v="375"/>
    <x v="12"/>
    <x v="0"/>
    <x v="0"/>
    <x v="1"/>
    <x v="0"/>
    <x v="0"/>
    <x v="0"/>
    <x v="0"/>
  </r>
  <r>
    <x v="751"/>
    <x v="374"/>
    <x v="374"/>
    <x v="369"/>
    <x v="604"/>
    <x v="1"/>
    <x v="3"/>
    <x v="389"/>
    <x v="299"/>
    <x v="1"/>
    <x v="149"/>
    <x v="0"/>
    <x v="0"/>
    <x v="1"/>
    <x v="1"/>
    <x v="1"/>
    <x v="2"/>
    <x v="1"/>
    <x v="2"/>
    <x v="1"/>
    <x v="2"/>
    <x v="0"/>
    <x v="1"/>
    <x v="6"/>
    <x v="2"/>
    <x v="376"/>
    <x v="12"/>
    <x v="0"/>
    <x v="0"/>
    <x v="1"/>
    <x v="0"/>
    <x v="0"/>
    <x v="0"/>
    <x v="0"/>
  </r>
  <r>
    <x v="752"/>
    <x v="375"/>
    <x v="375"/>
    <x v="370"/>
    <x v="605"/>
    <x v="1"/>
    <x v="2"/>
    <x v="390"/>
    <x v="300"/>
    <x v="1"/>
    <x v="150"/>
    <x v="0"/>
    <x v="0"/>
    <x v="1"/>
    <x v="1"/>
    <x v="1"/>
    <x v="2"/>
    <x v="1"/>
    <x v="2"/>
    <x v="1"/>
    <x v="2"/>
    <x v="0"/>
    <x v="1"/>
    <x v="6"/>
    <x v="2"/>
    <x v="377"/>
    <x v="12"/>
    <x v="0"/>
    <x v="0"/>
    <x v="1"/>
    <x v="0"/>
    <x v="0"/>
    <x v="0"/>
    <x v="0"/>
  </r>
  <r>
    <x v="753"/>
    <x v="376"/>
    <x v="376"/>
    <x v="371"/>
    <x v="606"/>
    <x v="1"/>
    <x v="2"/>
    <x v="391"/>
    <x v="301"/>
    <x v="1"/>
    <x v="151"/>
    <x v="0"/>
    <x v="0"/>
    <x v="1"/>
    <x v="3"/>
    <x v="2"/>
    <x v="1"/>
    <x v="1"/>
    <x v="2"/>
    <x v="1"/>
    <x v="1"/>
    <x v="179"/>
    <x v="1"/>
    <x v="1"/>
    <x v="1"/>
    <x v="378"/>
    <x v="2"/>
    <x v="1"/>
    <x v="5"/>
    <x v="2"/>
    <x v="1"/>
    <x v="443"/>
    <x v="0"/>
    <x v="0"/>
  </r>
  <r>
    <x v="754"/>
    <x v="377"/>
    <x v="377"/>
    <x v="372"/>
    <x v="607"/>
    <x v="1"/>
    <x v="2"/>
    <x v="392"/>
    <x v="302"/>
    <x v="1"/>
    <x v="152"/>
    <x v="0"/>
    <x v="0"/>
    <x v="1"/>
    <x v="1"/>
    <x v="1"/>
    <x v="1"/>
    <x v="1"/>
    <x v="1"/>
    <x v="1"/>
    <x v="1"/>
    <x v="179"/>
    <x v="1"/>
    <x v="1"/>
    <x v="2"/>
    <x v="379"/>
    <x v="12"/>
    <x v="1"/>
    <x v="12"/>
    <x v="2"/>
    <x v="1"/>
    <x v="444"/>
    <x v="0"/>
    <x v="244"/>
  </r>
  <r>
    <x v="755"/>
    <x v="378"/>
    <x v="378"/>
    <x v="373"/>
    <x v="608"/>
    <x v="1"/>
    <x v="2"/>
    <x v="212"/>
    <x v="303"/>
    <x v="1"/>
    <x v="153"/>
    <x v="0"/>
    <x v="0"/>
    <x v="1"/>
    <x v="1"/>
    <x v="1"/>
    <x v="2"/>
    <x v="1"/>
    <x v="2"/>
    <x v="1"/>
    <x v="2"/>
    <x v="0"/>
    <x v="1"/>
    <x v="1"/>
    <x v="2"/>
    <x v="380"/>
    <x v="3"/>
    <x v="0"/>
    <x v="0"/>
    <x v="1"/>
    <x v="0"/>
    <x v="0"/>
    <x v="0"/>
    <x v="0"/>
  </r>
  <r>
    <x v="756"/>
    <x v="379"/>
    <x v="379"/>
    <x v="374"/>
    <x v="609"/>
    <x v="1"/>
    <x v="2"/>
    <x v="393"/>
    <x v="304"/>
    <x v="1"/>
    <x v="4"/>
    <x v="0"/>
    <x v="0"/>
    <x v="1"/>
    <x v="3"/>
    <x v="3"/>
    <x v="2"/>
    <x v="1"/>
    <x v="1"/>
    <x v="1"/>
    <x v="1"/>
    <x v="179"/>
    <x v="1"/>
    <x v="1"/>
    <x v="2"/>
    <x v="381"/>
    <x v="1"/>
    <x v="1"/>
    <x v="5"/>
    <x v="2"/>
    <x v="1"/>
    <x v="445"/>
    <x v="0"/>
    <x v="0"/>
  </r>
  <r>
    <x v="757"/>
    <x v="376"/>
    <x v="376"/>
    <x v="371"/>
    <x v="0"/>
    <x v="1"/>
    <x v="2"/>
    <x v="391"/>
    <x v="51"/>
    <x v="1"/>
    <x v="154"/>
    <x v="0"/>
    <x v="0"/>
    <x v="3"/>
    <x v="1"/>
    <x v="1"/>
    <x v="2"/>
    <x v="1"/>
    <x v="2"/>
    <x v="1"/>
    <x v="1"/>
    <x v="180"/>
    <x v="2"/>
    <x v="3"/>
    <x v="4"/>
    <x v="378"/>
    <x v="2"/>
    <x v="1"/>
    <x v="3"/>
    <x v="2"/>
    <x v="1"/>
    <x v="446"/>
    <x v="0"/>
    <x v="0"/>
  </r>
  <r>
    <x v="758"/>
    <x v="148"/>
    <x v="148"/>
    <x v="146"/>
    <x v="610"/>
    <x v="1"/>
    <x v="2"/>
    <x v="153"/>
    <x v="129"/>
    <x v="1"/>
    <x v="31"/>
    <x v="0"/>
    <x v="0"/>
    <x v="1"/>
    <x v="1"/>
    <x v="2"/>
    <x v="2"/>
    <x v="1"/>
    <x v="2"/>
    <x v="1"/>
    <x v="2"/>
    <x v="0"/>
    <x v="1"/>
    <x v="2"/>
    <x v="2"/>
    <x v="147"/>
    <x v="5"/>
    <x v="0"/>
    <x v="0"/>
    <x v="1"/>
    <x v="0"/>
    <x v="0"/>
    <x v="0"/>
    <x v="0"/>
  </r>
  <r>
    <x v="759"/>
    <x v="377"/>
    <x v="377"/>
    <x v="372"/>
    <x v="611"/>
    <x v="1"/>
    <x v="2"/>
    <x v="392"/>
    <x v="302"/>
    <x v="1"/>
    <x v="8"/>
    <x v="0"/>
    <x v="0"/>
    <x v="3"/>
    <x v="1"/>
    <x v="1"/>
    <x v="2"/>
    <x v="1"/>
    <x v="2"/>
    <x v="1"/>
    <x v="2"/>
    <x v="0"/>
    <x v="1"/>
    <x v="3"/>
    <x v="4"/>
    <x v="379"/>
    <x v="11"/>
    <x v="0"/>
    <x v="0"/>
    <x v="1"/>
    <x v="0"/>
    <x v="0"/>
    <x v="0"/>
    <x v="0"/>
  </r>
  <r>
    <x v="760"/>
    <x v="379"/>
    <x v="379"/>
    <x v="374"/>
    <x v="612"/>
    <x v="1"/>
    <x v="2"/>
    <x v="393"/>
    <x v="36"/>
    <x v="2"/>
    <x v="0"/>
    <x v="14"/>
    <x v="0"/>
    <x v="3"/>
    <x v="3"/>
    <x v="3"/>
    <x v="2"/>
    <x v="1"/>
    <x v="2"/>
    <x v="1"/>
    <x v="1"/>
    <x v="181"/>
    <x v="1"/>
    <x v="3"/>
    <x v="4"/>
    <x v="381"/>
    <x v="2"/>
    <x v="1"/>
    <x v="7"/>
    <x v="1"/>
    <x v="0"/>
    <x v="447"/>
    <x v="230"/>
    <x v="0"/>
  </r>
  <r>
    <x v="761"/>
    <x v="380"/>
    <x v="380"/>
    <x v="375"/>
    <x v="613"/>
    <x v="1"/>
    <x v="2"/>
    <x v="394"/>
    <x v="305"/>
    <x v="1"/>
    <x v="155"/>
    <x v="0"/>
    <x v="0"/>
    <x v="1"/>
    <x v="1"/>
    <x v="1"/>
    <x v="2"/>
    <x v="1"/>
    <x v="2"/>
    <x v="1"/>
    <x v="2"/>
    <x v="0"/>
    <x v="1"/>
    <x v="1"/>
    <x v="2"/>
    <x v="382"/>
    <x v="5"/>
    <x v="0"/>
    <x v="0"/>
    <x v="1"/>
    <x v="0"/>
    <x v="0"/>
    <x v="0"/>
    <x v="0"/>
  </r>
  <r>
    <x v="762"/>
    <x v="381"/>
    <x v="381"/>
    <x v="376"/>
    <x v="614"/>
    <x v="1"/>
    <x v="2"/>
    <x v="395"/>
    <x v="168"/>
    <x v="1"/>
    <x v="15"/>
    <x v="0"/>
    <x v="0"/>
    <x v="1"/>
    <x v="3"/>
    <x v="3"/>
    <x v="2"/>
    <x v="1"/>
    <x v="1"/>
    <x v="1"/>
    <x v="1"/>
    <x v="179"/>
    <x v="1"/>
    <x v="1"/>
    <x v="2"/>
    <x v="383"/>
    <x v="11"/>
    <x v="1"/>
    <x v="12"/>
    <x v="1"/>
    <x v="0"/>
    <x v="448"/>
    <x v="0"/>
    <x v="245"/>
  </r>
  <r>
    <x v="763"/>
    <x v="382"/>
    <x v="382"/>
    <x v="377"/>
    <x v="615"/>
    <x v="1"/>
    <x v="2"/>
    <x v="371"/>
    <x v="306"/>
    <x v="1"/>
    <x v="1"/>
    <x v="0"/>
    <x v="0"/>
    <x v="1"/>
    <x v="2"/>
    <x v="3"/>
    <x v="2"/>
    <x v="1"/>
    <x v="2"/>
    <x v="1"/>
    <x v="1"/>
    <x v="181"/>
    <x v="1"/>
    <x v="1"/>
    <x v="2"/>
    <x v="384"/>
    <x v="5"/>
    <x v="1"/>
    <x v="4"/>
    <x v="2"/>
    <x v="1"/>
    <x v="449"/>
    <x v="231"/>
    <x v="0"/>
  </r>
  <r>
    <x v="764"/>
    <x v="381"/>
    <x v="381"/>
    <x v="376"/>
    <x v="0"/>
    <x v="1"/>
    <x v="2"/>
    <x v="396"/>
    <x v="168"/>
    <x v="1"/>
    <x v="15"/>
    <x v="0"/>
    <x v="0"/>
    <x v="3"/>
    <x v="1"/>
    <x v="1"/>
    <x v="2"/>
    <x v="1"/>
    <x v="1"/>
    <x v="1"/>
    <x v="1"/>
    <x v="181"/>
    <x v="2"/>
    <x v="3"/>
    <x v="4"/>
    <x v="383"/>
    <x v="11"/>
    <x v="1"/>
    <x v="7"/>
    <x v="2"/>
    <x v="1"/>
    <x v="450"/>
    <x v="0"/>
    <x v="246"/>
  </r>
  <r>
    <x v="765"/>
    <x v="378"/>
    <x v="378"/>
    <x v="373"/>
    <x v="616"/>
    <x v="1"/>
    <x v="2"/>
    <x v="212"/>
    <x v="303"/>
    <x v="1"/>
    <x v="33"/>
    <x v="0"/>
    <x v="0"/>
    <x v="1"/>
    <x v="3"/>
    <x v="2"/>
    <x v="2"/>
    <x v="1"/>
    <x v="2"/>
    <x v="1"/>
    <x v="1"/>
    <x v="180"/>
    <x v="1"/>
    <x v="1"/>
    <x v="2"/>
    <x v="380"/>
    <x v="5"/>
    <x v="3"/>
    <x v="0"/>
    <x v="1"/>
    <x v="0"/>
    <x v="451"/>
    <x v="0"/>
    <x v="0"/>
  </r>
  <r>
    <x v="766"/>
    <x v="379"/>
    <x v="379"/>
    <x v="374"/>
    <x v="617"/>
    <x v="1"/>
    <x v="2"/>
    <x v="393"/>
    <x v="36"/>
    <x v="2"/>
    <x v="0"/>
    <x v="2"/>
    <x v="0"/>
    <x v="1"/>
    <x v="2"/>
    <x v="3"/>
    <x v="2"/>
    <x v="1"/>
    <x v="1"/>
    <x v="1"/>
    <x v="1"/>
    <x v="180"/>
    <x v="1"/>
    <x v="2"/>
    <x v="2"/>
    <x v="381"/>
    <x v="12"/>
    <x v="1"/>
    <x v="4"/>
    <x v="1"/>
    <x v="0"/>
    <x v="452"/>
    <x v="0"/>
    <x v="247"/>
  </r>
  <r>
    <x v="767"/>
    <x v="381"/>
    <x v="381"/>
    <x v="376"/>
    <x v="0"/>
    <x v="1"/>
    <x v="2"/>
    <x v="397"/>
    <x v="168"/>
    <x v="2"/>
    <x v="0"/>
    <x v="6"/>
    <x v="0"/>
    <x v="3"/>
    <x v="2"/>
    <x v="5"/>
    <x v="2"/>
    <x v="1"/>
    <x v="2"/>
    <x v="1"/>
    <x v="2"/>
    <x v="0"/>
    <x v="2"/>
    <x v="3"/>
    <x v="4"/>
    <x v="385"/>
    <x v="12"/>
    <x v="0"/>
    <x v="0"/>
    <x v="1"/>
    <x v="0"/>
    <x v="0"/>
    <x v="0"/>
    <x v="0"/>
  </r>
  <r>
    <x v="768"/>
    <x v="383"/>
    <x v="383"/>
    <x v="378"/>
    <x v="618"/>
    <x v="1"/>
    <x v="2"/>
    <x v="398"/>
    <x v="307"/>
    <x v="1"/>
    <x v="9"/>
    <x v="0"/>
    <x v="0"/>
    <x v="1"/>
    <x v="1"/>
    <x v="1"/>
    <x v="2"/>
    <x v="1"/>
    <x v="2"/>
    <x v="1"/>
    <x v="1"/>
    <x v="180"/>
    <x v="1"/>
    <x v="1"/>
    <x v="2"/>
    <x v="386"/>
    <x v="5"/>
    <x v="1"/>
    <x v="3"/>
    <x v="1"/>
    <x v="0"/>
    <x v="453"/>
    <x v="0"/>
    <x v="0"/>
  </r>
  <r>
    <x v="769"/>
    <x v="384"/>
    <x v="384"/>
    <x v="379"/>
    <x v="619"/>
    <x v="3"/>
    <x v="2"/>
    <x v="399"/>
    <x v="308"/>
    <x v="1"/>
    <x v="31"/>
    <x v="0"/>
    <x v="0"/>
    <x v="1"/>
    <x v="1"/>
    <x v="1"/>
    <x v="2"/>
    <x v="1"/>
    <x v="3"/>
    <x v="1"/>
    <x v="1"/>
    <x v="180"/>
    <x v="1"/>
    <x v="1"/>
    <x v="2"/>
    <x v="387"/>
    <x v="1"/>
    <x v="3"/>
    <x v="0"/>
    <x v="1"/>
    <x v="0"/>
    <x v="454"/>
    <x v="232"/>
    <x v="0"/>
  </r>
  <r>
    <x v="770"/>
    <x v="382"/>
    <x v="382"/>
    <x v="377"/>
    <x v="620"/>
    <x v="1"/>
    <x v="2"/>
    <x v="371"/>
    <x v="309"/>
    <x v="1"/>
    <x v="1"/>
    <x v="0"/>
    <x v="0"/>
    <x v="3"/>
    <x v="2"/>
    <x v="3"/>
    <x v="2"/>
    <x v="1"/>
    <x v="1"/>
    <x v="1"/>
    <x v="1"/>
    <x v="180"/>
    <x v="1"/>
    <x v="3"/>
    <x v="4"/>
    <x v="384"/>
    <x v="1"/>
    <x v="3"/>
    <x v="0"/>
    <x v="1"/>
    <x v="0"/>
    <x v="455"/>
    <x v="233"/>
    <x v="0"/>
  </r>
  <r>
    <x v="771"/>
    <x v="379"/>
    <x v="379"/>
    <x v="374"/>
    <x v="0"/>
    <x v="1"/>
    <x v="2"/>
    <x v="393"/>
    <x v="36"/>
    <x v="2"/>
    <x v="0"/>
    <x v="5"/>
    <x v="0"/>
    <x v="3"/>
    <x v="4"/>
    <x v="1"/>
    <x v="2"/>
    <x v="1"/>
    <x v="2"/>
    <x v="1"/>
    <x v="2"/>
    <x v="0"/>
    <x v="2"/>
    <x v="3"/>
    <x v="13"/>
    <x v="381"/>
    <x v="1"/>
    <x v="0"/>
    <x v="0"/>
    <x v="1"/>
    <x v="0"/>
    <x v="0"/>
    <x v="0"/>
    <x v="0"/>
  </r>
  <r>
    <x v="772"/>
    <x v="383"/>
    <x v="383"/>
    <x v="378"/>
    <x v="618"/>
    <x v="1"/>
    <x v="2"/>
    <x v="398"/>
    <x v="222"/>
    <x v="1"/>
    <x v="9"/>
    <x v="0"/>
    <x v="0"/>
    <x v="3"/>
    <x v="1"/>
    <x v="1"/>
    <x v="2"/>
    <x v="1"/>
    <x v="3"/>
    <x v="1"/>
    <x v="2"/>
    <x v="0"/>
    <x v="2"/>
    <x v="3"/>
    <x v="4"/>
    <x v="386"/>
    <x v="3"/>
    <x v="0"/>
    <x v="0"/>
    <x v="1"/>
    <x v="0"/>
    <x v="0"/>
    <x v="0"/>
    <x v="0"/>
  </r>
  <r>
    <x v="773"/>
    <x v="271"/>
    <x v="271"/>
    <x v="267"/>
    <x v="621"/>
    <x v="1"/>
    <x v="2"/>
    <x v="282"/>
    <x v="115"/>
    <x v="1"/>
    <x v="3"/>
    <x v="0"/>
    <x v="0"/>
    <x v="1"/>
    <x v="3"/>
    <x v="2"/>
    <x v="1"/>
    <x v="1"/>
    <x v="2"/>
    <x v="1"/>
    <x v="1"/>
    <x v="182"/>
    <x v="1"/>
    <x v="1"/>
    <x v="2"/>
    <x v="272"/>
    <x v="11"/>
    <x v="3"/>
    <x v="0"/>
    <x v="1"/>
    <x v="0"/>
    <x v="331"/>
    <x v="234"/>
    <x v="248"/>
  </r>
  <r>
    <x v="774"/>
    <x v="385"/>
    <x v="385"/>
    <x v="380"/>
    <x v="622"/>
    <x v="1"/>
    <x v="2"/>
    <x v="400"/>
    <x v="310"/>
    <x v="1"/>
    <x v="44"/>
    <x v="0"/>
    <x v="0"/>
    <x v="1"/>
    <x v="2"/>
    <x v="3"/>
    <x v="2"/>
    <x v="1"/>
    <x v="2"/>
    <x v="1"/>
    <x v="1"/>
    <x v="182"/>
    <x v="1"/>
    <x v="5"/>
    <x v="3"/>
    <x v="388"/>
    <x v="3"/>
    <x v="1"/>
    <x v="5"/>
    <x v="1"/>
    <x v="0"/>
    <x v="456"/>
    <x v="0"/>
    <x v="0"/>
  </r>
  <r>
    <x v="775"/>
    <x v="172"/>
    <x v="172"/>
    <x v="170"/>
    <x v="623"/>
    <x v="1"/>
    <x v="2"/>
    <x v="181"/>
    <x v="37"/>
    <x v="1"/>
    <x v="156"/>
    <x v="0"/>
    <x v="0"/>
    <x v="1"/>
    <x v="3"/>
    <x v="3"/>
    <x v="2"/>
    <x v="1"/>
    <x v="2"/>
    <x v="1"/>
    <x v="1"/>
    <x v="182"/>
    <x v="1"/>
    <x v="5"/>
    <x v="3"/>
    <x v="171"/>
    <x v="3"/>
    <x v="3"/>
    <x v="0"/>
    <x v="1"/>
    <x v="0"/>
    <x v="457"/>
    <x v="235"/>
    <x v="0"/>
  </r>
  <r>
    <x v="776"/>
    <x v="376"/>
    <x v="376"/>
    <x v="371"/>
    <x v="0"/>
    <x v="1"/>
    <x v="2"/>
    <x v="391"/>
    <x v="51"/>
    <x v="1"/>
    <x v="157"/>
    <x v="0"/>
    <x v="0"/>
    <x v="3"/>
    <x v="1"/>
    <x v="1"/>
    <x v="2"/>
    <x v="1"/>
    <x v="2"/>
    <x v="1"/>
    <x v="2"/>
    <x v="0"/>
    <x v="1"/>
    <x v="3"/>
    <x v="4"/>
    <x v="378"/>
    <x v="3"/>
    <x v="0"/>
    <x v="0"/>
    <x v="1"/>
    <x v="0"/>
    <x v="0"/>
    <x v="0"/>
    <x v="0"/>
  </r>
  <r>
    <x v="777"/>
    <x v="385"/>
    <x v="385"/>
    <x v="380"/>
    <x v="0"/>
    <x v="1"/>
    <x v="2"/>
    <x v="400"/>
    <x v="310"/>
    <x v="2"/>
    <x v="0"/>
    <x v="6"/>
    <x v="0"/>
    <x v="3"/>
    <x v="1"/>
    <x v="1"/>
    <x v="2"/>
    <x v="1"/>
    <x v="2"/>
    <x v="1"/>
    <x v="2"/>
    <x v="0"/>
    <x v="2"/>
    <x v="3"/>
    <x v="4"/>
    <x v="388"/>
    <x v="2"/>
    <x v="0"/>
    <x v="0"/>
    <x v="1"/>
    <x v="0"/>
    <x v="0"/>
    <x v="0"/>
    <x v="0"/>
  </r>
  <r>
    <x v="778"/>
    <x v="385"/>
    <x v="385"/>
    <x v="380"/>
    <x v="624"/>
    <x v="1"/>
    <x v="2"/>
    <x v="400"/>
    <x v="310"/>
    <x v="1"/>
    <x v="158"/>
    <x v="0"/>
    <x v="0"/>
    <x v="1"/>
    <x v="1"/>
    <x v="1"/>
    <x v="2"/>
    <x v="1"/>
    <x v="1"/>
    <x v="1"/>
    <x v="2"/>
    <x v="0"/>
    <x v="1"/>
    <x v="1"/>
    <x v="2"/>
    <x v="388"/>
    <x v="1"/>
    <x v="0"/>
    <x v="0"/>
    <x v="1"/>
    <x v="0"/>
    <x v="0"/>
    <x v="0"/>
    <x v="0"/>
  </r>
  <r>
    <x v="779"/>
    <x v="386"/>
    <x v="386"/>
    <x v="381"/>
    <x v="625"/>
    <x v="1"/>
    <x v="2"/>
    <x v="401"/>
    <x v="311"/>
    <x v="1"/>
    <x v="33"/>
    <x v="0"/>
    <x v="0"/>
    <x v="1"/>
    <x v="3"/>
    <x v="3"/>
    <x v="1"/>
    <x v="1"/>
    <x v="3"/>
    <x v="1"/>
    <x v="1"/>
    <x v="183"/>
    <x v="1"/>
    <x v="5"/>
    <x v="2"/>
    <x v="389"/>
    <x v="12"/>
    <x v="1"/>
    <x v="8"/>
    <x v="1"/>
    <x v="0"/>
    <x v="458"/>
    <x v="0"/>
    <x v="0"/>
  </r>
  <r>
    <x v="780"/>
    <x v="387"/>
    <x v="387"/>
    <x v="382"/>
    <x v="626"/>
    <x v="1"/>
    <x v="2"/>
    <x v="402"/>
    <x v="312"/>
    <x v="1"/>
    <x v="33"/>
    <x v="0"/>
    <x v="0"/>
    <x v="1"/>
    <x v="1"/>
    <x v="2"/>
    <x v="2"/>
    <x v="1"/>
    <x v="2"/>
    <x v="1"/>
    <x v="1"/>
    <x v="184"/>
    <x v="1"/>
    <x v="6"/>
    <x v="2"/>
    <x v="390"/>
    <x v="5"/>
    <x v="1"/>
    <x v="1"/>
    <x v="1"/>
    <x v="0"/>
    <x v="459"/>
    <x v="0"/>
    <x v="249"/>
  </r>
  <r>
    <x v="781"/>
    <x v="388"/>
    <x v="388"/>
    <x v="383"/>
    <x v="627"/>
    <x v="1"/>
    <x v="2"/>
    <x v="403"/>
    <x v="10"/>
    <x v="1"/>
    <x v="159"/>
    <x v="0"/>
    <x v="0"/>
    <x v="1"/>
    <x v="1"/>
    <x v="1"/>
    <x v="2"/>
    <x v="2"/>
    <x v="2"/>
    <x v="1"/>
    <x v="2"/>
    <x v="0"/>
    <x v="1"/>
    <x v="6"/>
    <x v="2"/>
    <x v="391"/>
    <x v="5"/>
    <x v="0"/>
    <x v="0"/>
    <x v="1"/>
    <x v="0"/>
    <x v="0"/>
    <x v="0"/>
    <x v="250"/>
  </r>
  <r>
    <x v="782"/>
    <x v="389"/>
    <x v="389"/>
    <x v="384"/>
    <x v="628"/>
    <x v="1"/>
    <x v="2"/>
    <x v="404"/>
    <x v="254"/>
    <x v="1"/>
    <x v="33"/>
    <x v="0"/>
    <x v="0"/>
    <x v="1"/>
    <x v="3"/>
    <x v="3"/>
    <x v="2"/>
    <x v="1"/>
    <x v="2"/>
    <x v="1"/>
    <x v="1"/>
    <x v="185"/>
    <x v="1"/>
    <x v="6"/>
    <x v="2"/>
    <x v="392"/>
    <x v="8"/>
    <x v="3"/>
    <x v="0"/>
    <x v="1"/>
    <x v="0"/>
    <x v="0"/>
    <x v="0"/>
    <x v="251"/>
  </r>
  <r>
    <x v="783"/>
    <x v="386"/>
    <x v="386"/>
    <x v="381"/>
    <x v="0"/>
    <x v="1"/>
    <x v="2"/>
    <x v="401"/>
    <x v="279"/>
    <x v="1"/>
    <x v="33"/>
    <x v="0"/>
    <x v="0"/>
    <x v="3"/>
    <x v="1"/>
    <x v="1"/>
    <x v="2"/>
    <x v="1"/>
    <x v="2"/>
    <x v="1"/>
    <x v="1"/>
    <x v="184"/>
    <x v="2"/>
    <x v="3"/>
    <x v="4"/>
    <x v="389"/>
    <x v="8"/>
    <x v="3"/>
    <x v="0"/>
    <x v="1"/>
    <x v="0"/>
    <x v="460"/>
    <x v="0"/>
    <x v="252"/>
  </r>
  <r>
    <x v="784"/>
    <x v="261"/>
    <x v="261"/>
    <x v="257"/>
    <x v="629"/>
    <x v="3"/>
    <x v="2"/>
    <x v="272"/>
    <x v="119"/>
    <x v="1"/>
    <x v="15"/>
    <x v="0"/>
    <x v="0"/>
    <x v="1"/>
    <x v="1"/>
    <x v="1"/>
    <x v="2"/>
    <x v="1"/>
    <x v="2"/>
    <x v="1"/>
    <x v="2"/>
    <x v="0"/>
    <x v="1"/>
    <x v="6"/>
    <x v="2"/>
    <x v="261"/>
    <x v="12"/>
    <x v="0"/>
    <x v="0"/>
    <x v="1"/>
    <x v="0"/>
    <x v="0"/>
    <x v="0"/>
    <x v="0"/>
  </r>
  <r>
    <x v="785"/>
    <x v="307"/>
    <x v="308"/>
    <x v="303"/>
    <x v="630"/>
    <x v="1"/>
    <x v="2"/>
    <x v="321"/>
    <x v="313"/>
    <x v="1"/>
    <x v="160"/>
    <x v="0"/>
    <x v="0"/>
    <x v="1"/>
    <x v="1"/>
    <x v="1"/>
    <x v="2"/>
    <x v="1"/>
    <x v="2"/>
    <x v="1"/>
    <x v="2"/>
    <x v="0"/>
    <x v="1"/>
    <x v="6"/>
    <x v="2"/>
    <x v="309"/>
    <x v="12"/>
    <x v="0"/>
    <x v="0"/>
    <x v="1"/>
    <x v="0"/>
    <x v="0"/>
    <x v="0"/>
    <x v="0"/>
  </r>
  <r>
    <x v="786"/>
    <x v="390"/>
    <x v="390"/>
    <x v="385"/>
    <x v="631"/>
    <x v="1"/>
    <x v="4"/>
    <x v="405"/>
    <x v="27"/>
    <x v="1"/>
    <x v="15"/>
    <x v="0"/>
    <x v="0"/>
    <x v="1"/>
    <x v="1"/>
    <x v="1"/>
    <x v="2"/>
    <x v="1"/>
    <x v="1"/>
    <x v="1"/>
    <x v="2"/>
    <x v="0"/>
    <x v="1"/>
    <x v="6"/>
    <x v="2"/>
    <x v="393"/>
    <x v="12"/>
    <x v="0"/>
    <x v="0"/>
    <x v="1"/>
    <x v="0"/>
    <x v="0"/>
    <x v="0"/>
    <x v="0"/>
  </r>
  <r>
    <x v="787"/>
    <x v="391"/>
    <x v="391"/>
    <x v="386"/>
    <x v="632"/>
    <x v="3"/>
    <x v="2"/>
    <x v="406"/>
    <x v="281"/>
    <x v="1"/>
    <x v="3"/>
    <x v="0"/>
    <x v="0"/>
    <x v="1"/>
    <x v="3"/>
    <x v="2"/>
    <x v="2"/>
    <x v="1"/>
    <x v="1"/>
    <x v="1"/>
    <x v="1"/>
    <x v="186"/>
    <x v="1"/>
    <x v="6"/>
    <x v="2"/>
    <x v="394"/>
    <x v="12"/>
    <x v="3"/>
    <x v="0"/>
    <x v="1"/>
    <x v="0"/>
    <x v="461"/>
    <x v="236"/>
    <x v="253"/>
  </r>
  <r>
    <x v="788"/>
    <x v="392"/>
    <x v="392"/>
    <x v="387"/>
    <x v="633"/>
    <x v="1"/>
    <x v="2"/>
    <x v="407"/>
    <x v="115"/>
    <x v="1"/>
    <x v="1"/>
    <x v="0"/>
    <x v="0"/>
    <x v="1"/>
    <x v="2"/>
    <x v="3"/>
    <x v="2"/>
    <x v="1"/>
    <x v="2"/>
    <x v="1"/>
    <x v="1"/>
    <x v="186"/>
    <x v="1"/>
    <x v="2"/>
    <x v="3"/>
    <x v="395"/>
    <x v="2"/>
    <x v="1"/>
    <x v="1"/>
    <x v="1"/>
    <x v="0"/>
    <x v="462"/>
    <x v="237"/>
    <x v="0"/>
  </r>
  <r>
    <x v="789"/>
    <x v="141"/>
    <x v="141"/>
    <x v="139"/>
    <x v="634"/>
    <x v="1"/>
    <x v="1"/>
    <x v="145"/>
    <x v="314"/>
    <x v="1"/>
    <x v="15"/>
    <x v="0"/>
    <x v="0"/>
    <x v="1"/>
    <x v="3"/>
    <x v="2"/>
    <x v="2"/>
    <x v="1"/>
    <x v="2"/>
    <x v="1"/>
    <x v="1"/>
    <x v="186"/>
    <x v="1"/>
    <x v="1"/>
    <x v="2"/>
    <x v="140"/>
    <x v="5"/>
    <x v="1"/>
    <x v="1"/>
    <x v="1"/>
    <x v="0"/>
    <x v="463"/>
    <x v="0"/>
    <x v="0"/>
  </r>
  <r>
    <x v="790"/>
    <x v="141"/>
    <x v="141"/>
    <x v="139"/>
    <x v="634"/>
    <x v="1"/>
    <x v="1"/>
    <x v="145"/>
    <x v="125"/>
    <x v="1"/>
    <x v="15"/>
    <x v="0"/>
    <x v="0"/>
    <x v="3"/>
    <x v="3"/>
    <x v="3"/>
    <x v="2"/>
    <x v="1"/>
    <x v="2"/>
    <x v="1"/>
    <x v="1"/>
    <x v="187"/>
    <x v="1"/>
    <x v="3"/>
    <x v="4"/>
    <x v="140"/>
    <x v="5"/>
    <x v="1"/>
    <x v="1"/>
    <x v="1"/>
    <x v="0"/>
    <x v="464"/>
    <x v="0"/>
    <x v="0"/>
  </r>
  <r>
    <x v="791"/>
    <x v="393"/>
    <x v="393"/>
    <x v="388"/>
    <x v="635"/>
    <x v="3"/>
    <x v="2"/>
    <x v="408"/>
    <x v="292"/>
    <x v="1"/>
    <x v="2"/>
    <x v="0"/>
    <x v="0"/>
    <x v="1"/>
    <x v="3"/>
    <x v="3"/>
    <x v="2"/>
    <x v="1"/>
    <x v="1"/>
    <x v="1"/>
    <x v="1"/>
    <x v="187"/>
    <x v="1"/>
    <x v="1"/>
    <x v="2"/>
    <x v="396"/>
    <x v="11"/>
    <x v="3"/>
    <x v="0"/>
    <x v="1"/>
    <x v="0"/>
    <x v="465"/>
    <x v="0"/>
    <x v="0"/>
  </r>
  <r>
    <x v="792"/>
    <x v="394"/>
    <x v="394"/>
    <x v="389"/>
    <x v="636"/>
    <x v="1"/>
    <x v="1"/>
    <x v="409"/>
    <x v="315"/>
    <x v="1"/>
    <x v="161"/>
    <x v="0"/>
    <x v="0"/>
    <x v="1"/>
    <x v="1"/>
    <x v="1"/>
    <x v="2"/>
    <x v="1"/>
    <x v="2"/>
    <x v="1"/>
    <x v="2"/>
    <x v="0"/>
    <x v="1"/>
    <x v="1"/>
    <x v="5"/>
    <x v="397"/>
    <x v="5"/>
    <x v="0"/>
    <x v="0"/>
    <x v="1"/>
    <x v="0"/>
    <x v="0"/>
    <x v="0"/>
    <x v="0"/>
  </r>
  <r>
    <x v="793"/>
    <x v="395"/>
    <x v="395"/>
    <x v="390"/>
    <x v="637"/>
    <x v="3"/>
    <x v="2"/>
    <x v="347"/>
    <x v="10"/>
    <x v="1"/>
    <x v="70"/>
    <x v="0"/>
    <x v="0"/>
    <x v="1"/>
    <x v="1"/>
    <x v="2"/>
    <x v="2"/>
    <x v="1"/>
    <x v="2"/>
    <x v="1"/>
    <x v="1"/>
    <x v="187"/>
    <x v="1"/>
    <x v="1"/>
    <x v="2"/>
    <x v="398"/>
    <x v="5"/>
    <x v="3"/>
    <x v="0"/>
    <x v="1"/>
    <x v="0"/>
    <x v="408"/>
    <x v="0"/>
    <x v="198"/>
  </r>
  <r>
    <x v="794"/>
    <x v="392"/>
    <x v="392"/>
    <x v="387"/>
    <x v="0"/>
    <x v="1"/>
    <x v="2"/>
    <x v="407"/>
    <x v="115"/>
    <x v="1"/>
    <x v="1"/>
    <x v="0"/>
    <x v="0"/>
    <x v="3"/>
    <x v="4"/>
    <x v="1"/>
    <x v="2"/>
    <x v="1"/>
    <x v="2"/>
    <x v="1"/>
    <x v="2"/>
    <x v="0"/>
    <x v="2"/>
    <x v="3"/>
    <x v="4"/>
    <x v="395"/>
    <x v="5"/>
    <x v="0"/>
    <x v="0"/>
    <x v="1"/>
    <x v="0"/>
    <x v="0"/>
    <x v="0"/>
    <x v="0"/>
  </r>
  <r>
    <x v="795"/>
    <x v="387"/>
    <x v="387"/>
    <x v="382"/>
    <x v="0"/>
    <x v="1"/>
    <x v="2"/>
    <x v="402"/>
    <x v="312"/>
    <x v="1"/>
    <x v="33"/>
    <x v="0"/>
    <x v="0"/>
    <x v="3"/>
    <x v="1"/>
    <x v="1"/>
    <x v="2"/>
    <x v="1"/>
    <x v="2"/>
    <x v="1"/>
    <x v="2"/>
    <x v="0"/>
    <x v="2"/>
    <x v="3"/>
    <x v="4"/>
    <x v="390"/>
    <x v="5"/>
    <x v="0"/>
    <x v="0"/>
    <x v="1"/>
    <x v="0"/>
    <x v="0"/>
    <x v="0"/>
    <x v="0"/>
  </r>
  <r>
    <x v="796"/>
    <x v="141"/>
    <x v="141"/>
    <x v="139"/>
    <x v="638"/>
    <x v="1"/>
    <x v="1"/>
    <x v="145"/>
    <x v="125"/>
    <x v="2"/>
    <x v="0"/>
    <x v="6"/>
    <x v="0"/>
    <x v="1"/>
    <x v="2"/>
    <x v="3"/>
    <x v="2"/>
    <x v="1"/>
    <x v="2"/>
    <x v="1"/>
    <x v="1"/>
    <x v="187"/>
    <x v="1"/>
    <x v="2"/>
    <x v="2"/>
    <x v="140"/>
    <x v="5"/>
    <x v="1"/>
    <x v="1"/>
    <x v="1"/>
    <x v="0"/>
    <x v="466"/>
    <x v="0"/>
    <x v="0"/>
  </r>
  <r>
    <x v="797"/>
    <x v="396"/>
    <x v="396"/>
    <x v="391"/>
    <x v="639"/>
    <x v="1"/>
    <x v="2"/>
    <x v="410"/>
    <x v="171"/>
    <x v="1"/>
    <x v="162"/>
    <x v="0"/>
    <x v="0"/>
    <x v="1"/>
    <x v="3"/>
    <x v="2"/>
    <x v="2"/>
    <x v="1"/>
    <x v="3"/>
    <x v="1"/>
    <x v="1"/>
    <x v="188"/>
    <x v="1"/>
    <x v="1"/>
    <x v="2"/>
    <x v="399"/>
    <x v="5"/>
    <x v="3"/>
    <x v="0"/>
    <x v="1"/>
    <x v="0"/>
    <x v="467"/>
    <x v="0"/>
    <x v="0"/>
  </r>
  <r>
    <x v="798"/>
    <x v="141"/>
    <x v="141"/>
    <x v="139"/>
    <x v="0"/>
    <x v="1"/>
    <x v="1"/>
    <x v="145"/>
    <x v="125"/>
    <x v="2"/>
    <x v="0"/>
    <x v="6"/>
    <x v="0"/>
    <x v="3"/>
    <x v="1"/>
    <x v="1"/>
    <x v="2"/>
    <x v="1"/>
    <x v="2"/>
    <x v="1"/>
    <x v="2"/>
    <x v="0"/>
    <x v="2"/>
    <x v="3"/>
    <x v="4"/>
    <x v="140"/>
    <x v="5"/>
    <x v="0"/>
    <x v="0"/>
    <x v="1"/>
    <x v="0"/>
    <x v="0"/>
    <x v="0"/>
    <x v="0"/>
  </r>
  <r>
    <x v="799"/>
    <x v="397"/>
    <x v="397"/>
    <x v="392"/>
    <x v="640"/>
    <x v="1"/>
    <x v="2"/>
    <x v="411"/>
    <x v="316"/>
    <x v="1"/>
    <x v="9"/>
    <x v="0"/>
    <x v="0"/>
    <x v="1"/>
    <x v="2"/>
    <x v="3"/>
    <x v="2"/>
    <x v="1"/>
    <x v="1"/>
    <x v="1"/>
    <x v="1"/>
    <x v="188"/>
    <x v="1"/>
    <x v="5"/>
    <x v="3"/>
    <x v="400"/>
    <x v="1"/>
    <x v="3"/>
    <x v="0"/>
    <x v="1"/>
    <x v="0"/>
    <x v="468"/>
    <x v="238"/>
    <x v="0"/>
  </r>
  <r>
    <x v="800"/>
    <x v="398"/>
    <x v="398"/>
    <x v="393"/>
    <x v="641"/>
    <x v="1"/>
    <x v="2"/>
    <x v="412"/>
    <x v="92"/>
    <x v="1"/>
    <x v="4"/>
    <x v="0"/>
    <x v="0"/>
    <x v="1"/>
    <x v="3"/>
    <x v="3"/>
    <x v="2"/>
    <x v="1"/>
    <x v="2"/>
    <x v="1"/>
    <x v="1"/>
    <x v="189"/>
    <x v="2"/>
    <x v="1"/>
    <x v="2"/>
    <x v="401"/>
    <x v="1"/>
    <x v="3"/>
    <x v="0"/>
    <x v="1"/>
    <x v="0"/>
    <x v="469"/>
    <x v="0"/>
    <x v="0"/>
  </r>
  <r>
    <x v="801"/>
    <x v="399"/>
    <x v="358"/>
    <x v="353"/>
    <x v="642"/>
    <x v="1"/>
    <x v="2"/>
    <x v="372"/>
    <x v="150"/>
    <x v="1"/>
    <x v="4"/>
    <x v="0"/>
    <x v="0"/>
    <x v="1"/>
    <x v="3"/>
    <x v="2"/>
    <x v="2"/>
    <x v="1"/>
    <x v="2"/>
    <x v="1"/>
    <x v="1"/>
    <x v="189"/>
    <x v="1"/>
    <x v="1"/>
    <x v="2"/>
    <x v="360"/>
    <x v="5"/>
    <x v="3"/>
    <x v="0"/>
    <x v="1"/>
    <x v="0"/>
    <x v="469"/>
    <x v="0"/>
    <x v="0"/>
  </r>
  <r>
    <x v="802"/>
    <x v="400"/>
    <x v="399"/>
    <x v="394"/>
    <x v="643"/>
    <x v="1"/>
    <x v="3"/>
    <x v="251"/>
    <x v="317"/>
    <x v="1"/>
    <x v="2"/>
    <x v="0"/>
    <x v="0"/>
    <x v="1"/>
    <x v="1"/>
    <x v="1"/>
    <x v="2"/>
    <x v="1"/>
    <x v="3"/>
    <x v="1"/>
    <x v="1"/>
    <x v="189"/>
    <x v="1"/>
    <x v="1"/>
    <x v="2"/>
    <x v="402"/>
    <x v="5"/>
    <x v="1"/>
    <x v="1"/>
    <x v="1"/>
    <x v="0"/>
    <x v="470"/>
    <x v="0"/>
    <x v="0"/>
  </r>
  <r>
    <x v="803"/>
    <x v="400"/>
    <x v="399"/>
    <x v="394"/>
    <x v="0"/>
    <x v="1"/>
    <x v="3"/>
    <x v="251"/>
    <x v="318"/>
    <x v="1"/>
    <x v="2"/>
    <x v="0"/>
    <x v="0"/>
    <x v="3"/>
    <x v="1"/>
    <x v="1"/>
    <x v="2"/>
    <x v="1"/>
    <x v="3"/>
    <x v="1"/>
    <x v="2"/>
    <x v="0"/>
    <x v="2"/>
    <x v="3"/>
    <x v="4"/>
    <x v="402"/>
    <x v="5"/>
    <x v="0"/>
    <x v="0"/>
    <x v="1"/>
    <x v="0"/>
    <x v="0"/>
    <x v="0"/>
    <x v="0"/>
  </r>
  <r>
    <x v="804"/>
    <x v="401"/>
    <x v="400"/>
    <x v="395"/>
    <x v="644"/>
    <x v="3"/>
    <x v="2"/>
    <x v="413"/>
    <x v="203"/>
    <x v="1"/>
    <x v="4"/>
    <x v="0"/>
    <x v="0"/>
    <x v="1"/>
    <x v="1"/>
    <x v="1"/>
    <x v="2"/>
    <x v="1"/>
    <x v="3"/>
    <x v="1"/>
    <x v="1"/>
    <x v="190"/>
    <x v="1"/>
    <x v="6"/>
    <x v="2"/>
    <x v="403"/>
    <x v="5"/>
    <x v="3"/>
    <x v="0"/>
    <x v="1"/>
    <x v="0"/>
    <x v="471"/>
    <x v="0"/>
    <x v="254"/>
  </r>
  <r>
    <x v="805"/>
    <x v="402"/>
    <x v="401"/>
    <x v="396"/>
    <x v="645"/>
    <x v="3"/>
    <x v="1"/>
    <x v="414"/>
    <x v="319"/>
    <x v="1"/>
    <x v="9"/>
    <x v="0"/>
    <x v="0"/>
    <x v="1"/>
    <x v="3"/>
    <x v="3"/>
    <x v="2"/>
    <x v="2"/>
    <x v="2"/>
    <x v="1"/>
    <x v="1"/>
    <x v="191"/>
    <x v="1"/>
    <x v="6"/>
    <x v="2"/>
    <x v="404"/>
    <x v="5"/>
    <x v="3"/>
    <x v="0"/>
    <x v="1"/>
    <x v="0"/>
    <x v="472"/>
    <x v="239"/>
    <x v="255"/>
  </r>
  <r>
    <x v="806"/>
    <x v="388"/>
    <x v="388"/>
    <x v="383"/>
    <x v="646"/>
    <x v="1"/>
    <x v="2"/>
    <x v="403"/>
    <x v="10"/>
    <x v="1"/>
    <x v="2"/>
    <x v="0"/>
    <x v="0"/>
    <x v="1"/>
    <x v="1"/>
    <x v="1"/>
    <x v="2"/>
    <x v="2"/>
    <x v="2"/>
    <x v="1"/>
    <x v="2"/>
    <x v="0"/>
    <x v="1"/>
    <x v="6"/>
    <x v="2"/>
    <x v="391"/>
    <x v="12"/>
    <x v="0"/>
    <x v="0"/>
    <x v="1"/>
    <x v="0"/>
    <x v="0"/>
    <x v="0"/>
    <x v="0"/>
  </r>
  <r>
    <x v="807"/>
    <x v="403"/>
    <x v="402"/>
    <x v="397"/>
    <x v="647"/>
    <x v="1"/>
    <x v="2"/>
    <x v="415"/>
    <x v="320"/>
    <x v="1"/>
    <x v="161"/>
    <x v="0"/>
    <x v="0"/>
    <x v="1"/>
    <x v="3"/>
    <x v="2"/>
    <x v="2"/>
    <x v="1"/>
    <x v="2"/>
    <x v="1"/>
    <x v="1"/>
    <x v="192"/>
    <x v="2"/>
    <x v="6"/>
    <x v="2"/>
    <x v="405"/>
    <x v="12"/>
    <x v="1"/>
    <x v="3"/>
    <x v="1"/>
    <x v="0"/>
    <x v="473"/>
    <x v="0"/>
    <x v="256"/>
  </r>
  <r>
    <x v="808"/>
    <x v="141"/>
    <x v="141"/>
    <x v="139"/>
    <x v="648"/>
    <x v="1"/>
    <x v="1"/>
    <x v="145"/>
    <x v="125"/>
    <x v="2"/>
    <x v="0"/>
    <x v="6"/>
    <x v="0"/>
    <x v="1"/>
    <x v="2"/>
    <x v="3"/>
    <x v="2"/>
    <x v="1"/>
    <x v="2"/>
    <x v="1"/>
    <x v="1"/>
    <x v="192"/>
    <x v="1"/>
    <x v="4"/>
    <x v="2"/>
    <x v="140"/>
    <x v="12"/>
    <x v="1"/>
    <x v="5"/>
    <x v="1"/>
    <x v="0"/>
    <x v="474"/>
    <x v="0"/>
    <x v="257"/>
  </r>
  <r>
    <x v="809"/>
    <x v="404"/>
    <x v="403"/>
    <x v="398"/>
    <x v="649"/>
    <x v="1"/>
    <x v="2"/>
    <x v="416"/>
    <x v="208"/>
    <x v="1"/>
    <x v="3"/>
    <x v="0"/>
    <x v="0"/>
    <x v="1"/>
    <x v="3"/>
    <x v="2"/>
    <x v="1"/>
    <x v="1"/>
    <x v="3"/>
    <x v="1"/>
    <x v="1"/>
    <x v="193"/>
    <x v="1"/>
    <x v="1"/>
    <x v="2"/>
    <x v="406"/>
    <x v="5"/>
    <x v="3"/>
    <x v="0"/>
    <x v="1"/>
    <x v="0"/>
    <x v="475"/>
    <x v="240"/>
    <x v="258"/>
  </r>
  <r>
    <x v="810"/>
    <x v="405"/>
    <x v="404"/>
    <x v="399"/>
    <x v="650"/>
    <x v="1"/>
    <x v="2"/>
    <x v="417"/>
    <x v="321"/>
    <x v="1"/>
    <x v="163"/>
    <x v="0"/>
    <x v="0"/>
    <x v="1"/>
    <x v="1"/>
    <x v="1"/>
    <x v="1"/>
    <x v="1"/>
    <x v="2"/>
    <x v="1"/>
    <x v="2"/>
    <x v="0"/>
    <x v="1"/>
    <x v="1"/>
    <x v="2"/>
    <x v="407"/>
    <x v="12"/>
    <x v="0"/>
    <x v="0"/>
    <x v="1"/>
    <x v="0"/>
    <x v="0"/>
    <x v="0"/>
    <x v="0"/>
  </r>
  <r>
    <x v="811"/>
    <x v="406"/>
    <x v="405"/>
    <x v="400"/>
    <x v="651"/>
    <x v="1"/>
    <x v="2"/>
    <x v="418"/>
    <x v="322"/>
    <x v="1"/>
    <x v="24"/>
    <x v="0"/>
    <x v="0"/>
    <x v="1"/>
    <x v="2"/>
    <x v="3"/>
    <x v="1"/>
    <x v="1"/>
    <x v="2"/>
    <x v="1"/>
    <x v="1"/>
    <x v="193"/>
    <x v="1"/>
    <x v="1"/>
    <x v="2"/>
    <x v="408"/>
    <x v="5"/>
    <x v="3"/>
    <x v="0"/>
    <x v="1"/>
    <x v="0"/>
    <x v="476"/>
    <x v="241"/>
    <x v="259"/>
  </r>
  <r>
    <x v="812"/>
    <x v="157"/>
    <x v="157"/>
    <x v="155"/>
    <x v="652"/>
    <x v="3"/>
    <x v="2"/>
    <x v="163"/>
    <x v="30"/>
    <x v="1"/>
    <x v="164"/>
    <x v="0"/>
    <x v="0"/>
    <x v="1"/>
    <x v="1"/>
    <x v="1"/>
    <x v="1"/>
    <x v="1"/>
    <x v="2"/>
    <x v="1"/>
    <x v="2"/>
    <x v="0"/>
    <x v="1"/>
    <x v="1"/>
    <x v="2"/>
    <x v="156"/>
    <x v="2"/>
    <x v="0"/>
    <x v="0"/>
    <x v="1"/>
    <x v="0"/>
    <x v="0"/>
    <x v="0"/>
    <x v="0"/>
  </r>
  <r>
    <x v="813"/>
    <x v="407"/>
    <x v="406"/>
    <x v="401"/>
    <x v="653"/>
    <x v="3"/>
    <x v="2"/>
    <x v="419"/>
    <x v="323"/>
    <x v="1"/>
    <x v="9"/>
    <x v="0"/>
    <x v="0"/>
    <x v="1"/>
    <x v="3"/>
    <x v="3"/>
    <x v="2"/>
    <x v="2"/>
    <x v="2"/>
    <x v="1"/>
    <x v="1"/>
    <x v="192"/>
    <x v="1"/>
    <x v="1"/>
    <x v="2"/>
    <x v="409"/>
    <x v="5"/>
    <x v="1"/>
    <x v="3"/>
    <x v="2"/>
    <x v="1"/>
    <x v="477"/>
    <x v="0"/>
    <x v="0"/>
  </r>
  <r>
    <x v="814"/>
    <x v="408"/>
    <x v="407"/>
    <x v="402"/>
    <x v="654"/>
    <x v="3"/>
    <x v="2"/>
    <x v="420"/>
    <x v="10"/>
    <x v="1"/>
    <x v="3"/>
    <x v="0"/>
    <x v="0"/>
    <x v="1"/>
    <x v="3"/>
    <x v="2"/>
    <x v="2"/>
    <x v="1"/>
    <x v="2"/>
    <x v="1"/>
    <x v="1"/>
    <x v="192"/>
    <x v="2"/>
    <x v="1"/>
    <x v="2"/>
    <x v="410"/>
    <x v="4"/>
    <x v="1"/>
    <x v="12"/>
    <x v="1"/>
    <x v="0"/>
    <x v="478"/>
    <x v="0"/>
    <x v="0"/>
  </r>
  <r>
    <x v="815"/>
    <x v="141"/>
    <x v="141"/>
    <x v="139"/>
    <x v="0"/>
    <x v="1"/>
    <x v="1"/>
    <x v="145"/>
    <x v="10"/>
    <x v="2"/>
    <x v="0"/>
    <x v="6"/>
    <x v="0"/>
    <x v="3"/>
    <x v="4"/>
    <x v="1"/>
    <x v="1"/>
    <x v="1"/>
    <x v="2"/>
    <x v="1"/>
    <x v="2"/>
    <x v="0"/>
    <x v="2"/>
    <x v="3"/>
    <x v="4"/>
    <x v="140"/>
    <x v="2"/>
    <x v="0"/>
    <x v="0"/>
    <x v="1"/>
    <x v="0"/>
    <x v="0"/>
    <x v="0"/>
    <x v="0"/>
  </r>
  <r>
    <x v="816"/>
    <x v="391"/>
    <x v="391"/>
    <x v="386"/>
    <x v="655"/>
    <x v="3"/>
    <x v="2"/>
    <x v="406"/>
    <x v="281"/>
    <x v="1"/>
    <x v="24"/>
    <x v="0"/>
    <x v="0"/>
    <x v="1"/>
    <x v="2"/>
    <x v="3"/>
    <x v="2"/>
    <x v="1"/>
    <x v="2"/>
    <x v="1"/>
    <x v="1"/>
    <x v="194"/>
    <x v="1"/>
    <x v="2"/>
    <x v="2"/>
    <x v="394"/>
    <x v="5"/>
    <x v="1"/>
    <x v="7"/>
    <x v="1"/>
    <x v="0"/>
    <x v="479"/>
    <x v="0"/>
    <x v="260"/>
  </r>
  <r>
    <x v="817"/>
    <x v="408"/>
    <x v="407"/>
    <x v="402"/>
    <x v="0"/>
    <x v="3"/>
    <x v="2"/>
    <x v="420"/>
    <x v="59"/>
    <x v="1"/>
    <x v="3"/>
    <x v="0"/>
    <x v="0"/>
    <x v="3"/>
    <x v="1"/>
    <x v="1"/>
    <x v="2"/>
    <x v="1"/>
    <x v="3"/>
    <x v="1"/>
    <x v="2"/>
    <x v="0"/>
    <x v="2"/>
    <x v="3"/>
    <x v="4"/>
    <x v="410"/>
    <x v="13"/>
    <x v="0"/>
    <x v="0"/>
    <x v="1"/>
    <x v="0"/>
    <x v="0"/>
    <x v="0"/>
    <x v="0"/>
  </r>
  <r>
    <x v="818"/>
    <x v="409"/>
    <x v="402"/>
    <x v="397"/>
    <x v="0"/>
    <x v="1"/>
    <x v="2"/>
    <x v="415"/>
    <x v="324"/>
    <x v="1"/>
    <x v="161"/>
    <x v="0"/>
    <x v="0"/>
    <x v="3"/>
    <x v="1"/>
    <x v="1"/>
    <x v="2"/>
    <x v="1"/>
    <x v="2"/>
    <x v="1"/>
    <x v="2"/>
    <x v="0"/>
    <x v="2"/>
    <x v="3"/>
    <x v="4"/>
    <x v="405"/>
    <x v="3"/>
    <x v="0"/>
    <x v="0"/>
    <x v="1"/>
    <x v="0"/>
    <x v="0"/>
    <x v="0"/>
    <x v="0"/>
  </r>
  <r>
    <x v="819"/>
    <x v="407"/>
    <x v="406"/>
    <x v="401"/>
    <x v="656"/>
    <x v="1"/>
    <x v="2"/>
    <x v="419"/>
    <x v="59"/>
    <x v="1"/>
    <x v="9"/>
    <x v="0"/>
    <x v="0"/>
    <x v="3"/>
    <x v="1"/>
    <x v="1"/>
    <x v="2"/>
    <x v="2"/>
    <x v="2"/>
    <x v="1"/>
    <x v="2"/>
    <x v="0"/>
    <x v="1"/>
    <x v="3"/>
    <x v="4"/>
    <x v="409"/>
    <x v="3"/>
    <x v="0"/>
    <x v="0"/>
    <x v="1"/>
    <x v="0"/>
    <x v="0"/>
    <x v="0"/>
    <x v="0"/>
  </r>
  <r>
    <x v="820"/>
    <x v="391"/>
    <x v="391"/>
    <x v="386"/>
    <x v="655"/>
    <x v="3"/>
    <x v="2"/>
    <x v="406"/>
    <x v="281"/>
    <x v="1"/>
    <x v="24"/>
    <x v="0"/>
    <x v="0"/>
    <x v="3"/>
    <x v="4"/>
    <x v="1"/>
    <x v="2"/>
    <x v="1"/>
    <x v="2"/>
    <x v="1"/>
    <x v="2"/>
    <x v="0"/>
    <x v="2"/>
    <x v="3"/>
    <x v="4"/>
    <x v="394"/>
    <x v="12"/>
    <x v="0"/>
    <x v="0"/>
    <x v="1"/>
    <x v="0"/>
    <x v="0"/>
    <x v="0"/>
    <x v="0"/>
  </r>
  <r>
    <x v="821"/>
    <x v="410"/>
    <x v="408"/>
    <x v="403"/>
    <x v="657"/>
    <x v="1"/>
    <x v="1"/>
    <x v="421"/>
    <x v="134"/>
    <x v="1"/>
    <x v="36"/>
    <x v="0"/>
    <x v="0"/>
    <x v="1"/>
    <x v="5"/>
    <x v="1"/>
    <x v="2"/>
    <x v="1"/>
    <x v="2"/>
    <x v="1"/>
    <x v="2"/>
    <x v="0"/>
    <x v="1"/>
    <x v="1"/>
    <x v="13"/>
    <x v="411"/>
    <x v="4"/>
    <x v="0"/>
    <x v="0"/>
    <x v="1"/>
    <x v="0"/>
    <x v="0"/>
    <x v="0"/>
    <x v="0"/>
  </r>
  <r>
    <x v="822"/>
    <x v="407"/>
    <x v="406"/>
    <x v="401"/>
    <x v="658"/>
    <x v="3"/>
    <x v="2"/>
    <x v="419"/>
    <x v="323"/>
    <x v="6"/>
    <x v="0"/>
    <x v="0"/>
    <x v="19"/>
    <x v="1"/>
    <x v="1"/>
    <x v="1"/>
    <x v="2"/>
    <x v="2"/>
    <x v="2"/>
    <x v="1"/>
    <x v="2"/>
    <x v="0"/>
    <x v="1"/>
    <x v="1"/>
    <x v="2"/>
    <x v="409"/>
    <x v="12"/>
    <x v="0"/>
    <x v="0"/>
    <x v="1"/>
    <x v="0"/>
    <x v="0"/>
    <x v="0"/>
    <x v="0"/>
  </r>
  <r>
    <x v="823"/>
    <x v="411"/>
    <x v="193"/>
    <x v="191"/>
    <x v="659"/>
    <x v="1"/>
    <x v="2"/>
    <x v="204"/>
    <x v="168"/>
    <x v="1"/>
    <x v="33"/>
    <x v="0"/>
    <x v="0"/>
    <x v="1"/>
    <x v="3"/>
    <x v="3"/>
    <x v="2"/>
    <x v="1"/>
    <x v="1"/>
    <x v="1"/>
    <x v="1"/>
    <x v="195"/>
    <x v="1"/>
    <x v="1"/>
    <x v="1"/>
    <x v="193"/>
    <x v="13"/>
    <x v="2"/>
    <x v="0"/>
    <x v="1"/>
    <x v="0"/>
    <x v="480"/>
    <x v="0"/>
    <x v="0"/>
  </r>
  <r>
    <x v="824"/>
    <x v="412"/>
    <x v="409"/>
    <x v="404"/>
    <x v="660"/>
    <x v="1"/>
    <x v="3"/>
    <x v="422"/>
    <x v="325"/>
    <x v="1"/>
    <x v="15"/>
    <x v="0"/>
    <x v="0"/>
    <x v="1"/>
    <x v="3"/>
    <x v="3"/>
    <x v="2"/>
    <x v="1"/>
    <x v="1"/>
    <x v="1"/>
    <x v="1"/>
    <x v="195"/>
    <x v="2"/>
    <x v="1"/>
    <x v="2"/>
    <x v="412"/>
    <x v="12"/>
    <x v="1"/>
    <x v="3"/>
    <x v="1"/>
    <x v="0"/>
    <x v="481"/>
    <x v="0"/>
    <x v="261"/>
  </r>
  <r>
    <x v="825"/>
    <x v="413"/>
    <x v="410"/>
    <x v="405"/>
    <x v="661"/>
    <x v="1"/>
    <x v="4"/>
    <x v="423"/>
    <x v="326"/>
    <x v="2"/>
    <x v="0"/>
    <x v="6"/>
    <x v="0"/>
    <x v="1"/>
    <x v="2"/>
    <x v="3"/>
    <x v="2"/>
    <x v="1"/>
    <x v="2"/>
    <x v="1"/>
    <x v="1"/>
    <x v="195"/>
    <x v="1"/>
    <x v="5"/>
    <x v="2"/>
    <x v="413"/>
    <x v="12"/>
    <x v="2"/>
    <x v="0"/>
    <x v="1"/>
    <x v="0"/>
    <x v="482"/>
    <x v="0"/>
    <x v="262"/>
  </r>
  <r>
    <x v="826"/>
    <x v="407"/>
    <x v="406"/>
    <x v="401"/>
    <x v="662"/>
    <x v="3"/>
    <x v="2"/>
    <x v="419"/>
    <x v="196"/>
    <x v="6"/>
    <x v="0"/>
    <x v="0"/>
    <x v="20"/>
    <x v="1"/>
    <x v="1"/>
    <x v="1"/>
    <x v="2"/>
    <x v="1"/>
    <x v="1"/>
    <x v="1"/>
    <x v="2"/>
    <x v="0"/>
    <x v="1"/>
    <x v="1"/>
    <x v="2"/>
    <x v="409"/>
    <x v="13"/>
    <x v="0"/>
    <x v="0"/>
    <x v="1"/>
    <x v="0"/>
    <x v="0"/>
    <x v="0"/>
    <x v="0"/>
  </r>
  <r>
    <x v="827"/>
    <x v="412"/>
    <x v="409"/>
    <x v="404"/>
    <x v="0"/>
    <x v="1"/>
    <x v="3"/>
    <x v="422"/>
    <x v="325"/>
    <x v="1"/>
    <x v="15"/>
    <x v="0"/>
    <x v="0"/>
    <x v="3"/>
    <x v="1"/>
    <x v="1"/>
    <x v="2"/>
    <x v="1"/>
    <x v="2"/>
    <x v="1"/>
    <x v="2"/>
    <x v="0"/>
    <x v="2"/>
    <x v="3"/>
    <x v="4"/>
    <x v="412"/>
    <x v="3"/>
    <x v="0"/>
    <x v="0"/>
    <x v="1"/>
    <x v="0"/>
    <x v="0"/>
    <x v="0"/>
    <x v="0"/>
  </r>
  <r>
    <x v="828"/>
    <x v="414"/>
    <x v="411"/>
    <x v="406"/>
    <x v="663"/>
    <x v="1"/>
    <x v="2"/>
    <x v="424"/>
    <x v="198"/>
    <x v="1"/>
    <x v="15"/>
    <x v="0"/>
    <x v="0"/>
    <x v="1"/>
    <x v="3"/>
    <x v="3"/>
    <x v="2"/>
    <x v="1"/>
    <x v="2"/>
    <x v="1"/>
    <x v="1"/>
    <x v="196"/>
    <x v="1"/>
    <x v="1"/>
    <x v="2"/>
    <x v="414"/>
    <x v="13"/>
    <x v="3"/>
    <x v="0"/>
    <x v="1"/>
    <x v="0"/>
    <x v="483"/>
    <x v="0"/>
    <x v="263"/>
  </r>
  <r>
    <x v="829"/>
    <x v="381"/>
    <x v="381"/>
    <x v="376"/>
    <x v="664"/>
    <x v="1"/>
    <x v="2"/>
    <x v="397"/>
    <x v="168"/>
    <x v="1"/>
    <x v="165"/>
    <x v="0"/>
    <x v="0"/>
    <x v="1"/>
    <x v="1"/>
    <x v="1"/>
    <x v="2"/>
    <x v="2"/>
    <x v="2"/>
    <x v="1"/>
    <x v="2"/>
    <x v="0"/>
    <x v="1"/>
    <x v="1"/>
    <x v="2"/>
    <x v="383"/>
    <x v="3"/>
    <x v="0"/>
    <x v="0"/>
    <x v="2"/>
    <x v="1"/>
    <x v="0"/>
    <x v="0"/>
    <x v="0"/>
  </r>
  <r>
    <x v="830"/>
    <x v="415"/>
    <x v="412"/>
    <x v="407"/>
    <x v="665"/>
    <x v="1"/>
    <x v="2"/>
    <x v="425"/>
    <x v="327"/>
    <x v="1"/>
    <x v="36"/>
    <x v="0"/>
    <x v="0"/>
    <x v="1"/>
    <x v="3"/>
    <x v="2"/>
    <x v="2"/>
    <x v="2"/>
    <x v="1"/>
    <x v="1"/>
    <x v="1"/>
    <x v="196"/>
    <x v="1"/>
    <x v="1"/>
    <x v="2"/>
    <x v="415"/>
    <x v="3"/>
    <x v="1"/>
    <x v="1"/>
    <x v="1"/>
    <x v="0"/>
    <x v="484"/>
    <x v="242"/>
    <x v="264"/>
  </r>
  <r>
    <x v="831"/>
    <x v="416"/>
    <x v="413"/>
    <x v="408"/>
    <x v="666"/>
    <x v="1"/>
    <x v="2"/>
    <x v="311"/>
    <x v="10"/>
    <x v="1"/>
    <x v="27"/>
    <x v="0"/>
    <x v="0"/>
    <x v="1"/>
    <x v="1"/>
    <x v="1"/>
    <x v="2"/>
    <x v="1"/>
    <x v="2"/>
    <x v="1"/>
    <x v="1"/>
    <x v="196"/>
    <x v="1"/>
    <x v="1"/>
    <x v="2"/>
    <x v="416"/>
    <x v="3"/>
    <x v="1"/>
    <x v="1"/>
    <x v="1"/>
    <x v="0"/>
    <x v="484"/>
    <x v="243"/>
    <x v="265"/>
  </r>
  <r>
    <x v="832"/>
    <x v="417"/>
    <x v="414"/>
    <x v="409"/>
    <x v="667"/>
    <x v="1"/>
    <x v="2"/>
    <x v="426"/>
    <x v="328"/>
    <x v="1"/>
    <x v="166"/>
    <x v="0"/>
    <x v="0"/>
    <x v="1"/>
    <x v="3"/>
    <x v="3"/>
    <x v="2"/>
    <x v="1"/>
    <x v="2"/>
    <x v="1"/>
    <x v="1"/>
    <x v="197"/>
    <x v="1"/>
    <x v="6"/>
    <x v="2"/>
    <x v="417"/>
    <x v="5"/>
    <x v="1"/>
    <x v="1"/>
    <x v="1"/>
    <x v="0"/>
    <x v="485"/>
    <x v="244"/>
    <x v="0"/>
  </r>
  <r>
    <x v="833"/>
    <x v="416"/>
    <x v="413"/>
    <x v="408"/>
    <x v="668"/>
    <x v="1"/>
    <x v="2"/>
    <x v="311"/>
    <x v="10"/>
    <x v="2"/>
    <x v="0"/>
    <x v="5"/>
    <x v="0"/>
    <x v="1"/>
    <x v="2"/>
    <x v="3"/>
    <x v="2"/>
    <x v="1"/>
    <x v="2"/>
    <x v="1"/>
    <x v="1"/>
    <x v="197"/>
    <x v="1"/>
    <x v="6"/>
    <x v="2"/>
    <x v="416"/>
    <x v="5"/>
    <x v="3"/>
    <x v="0"/>
    <x v="1"/>
    <x v="0"/>
    <x v="486"/>
    <x v="0"/>
    <x v="0"/>
  </r>
  <r>
    <x v="834"/>
    <x v="418"/>
    <x v="415"/>
    <x v="410"/>
    <x v="669"/>
    <x v="1"/>
    <x v="2"/>
    <x v="427"/>
    <x v="205"/>
    <x v="1"/>
    <x v="167"/>
    <x v="0"/>
    <x v="0"/>
    <x v="1"/>
    <x v="1"/>
    <x v="1"/>
    <x v="2"/>
    <x v="1"/>
    <x v="2"/>
    <x v="1"/>
    <x v="2"/>
    <x v="0"/>
    <x v="2"/>
    <x v="6"/>
    <x v="2"/>
    <x v="418"/>
    <x v="5"/>
    <x v="0"/>
    <x v="0"/>
    <x v="1"/>
    <x v="0"/>
    <x v="0"/>
    <x v="0"/>
    <x v="0"/>
  </r>
  <r>
    <x v="835"/>
    <x v="415"/>
    <x v="412"/>
    <x v="407"/>
    <x v="0"/>
    <x v="1"/>
    <x v="2"/>
    <x v="425"/>
    <x v="327"/>
    <x v="1"/>
    <x v="36"/>
    <x v="0"/>
    <x v="0"/>
    <x v="3"/>
    <x v="1"/>
    <x v="1"/>
    <x v="2"/>
    <x v="2"/>
    <x v="1"/>
    <x v="1"/>
    <x v="2"/>
    <x v="0"/>
    <x v="2"/>
    <x v="3"/>
    <x v="4"/>
    <x v="415"/>
    <x v="5"/>
    <x v="0"/>
    <x v="0"/>
    <x v="1"/>
    <x v="0"/>
    <x v="0"/>
    <x v="0"/>
    <x v="0"/>
  </r>
  <r>
    <x v="836"/>
    <x v="419"/>
    <x v="416"/>
    <x v="411"/>
    <x v="670"/>
    <x v="1"/>
    <x v="2"/>
    <x v="428"/>
    <x v="329"/>
    <x v="1"/>
    <x v="36"/>
    <x v="0"/>
    <x v="0"/>
    <x v="1"/>
    <x v="1"/>
    <x v="1"/>
    <x v="2"/>
    <x v="1"/>
    <x v="2"/>
    <x v="1"/>
    <x v="2"/>
    <x v="0"/>
    <x v="1"/>
    <x v="6"/>
    <x v="2"/>
    <x v="419"/>
    <x v="5"/>
    <x v="0"/>
    <x v="0"/>
    <x v="1"/>
    <x v="0"/>
    <x v="0"/>
    <x v="0"/>
    <x v="0"/>
  </r>
  <r>
    <x v="837"/>
    <x v="417"/>
    <x v="414"/>
    <x v="409"/>
    <x v="0"/>
    <x v="1"/>
    <x v="2"/>
    <x v="426"/>
    <x v="328"/>
    <x v="1"/>
    <x v="166"/>
    <x v="0"/>
    <x v="0"/>
    <x v="3"/>
    <x v="1"/>
    <x v="1"/>
    <x v="2"/>
    <x v="1"/>
    <x v="2"/>
    <x v="1"/>
    <x v="2"/>
    <x v="0"/>
    <x v="2"/>
    <x v="3"/>
    <x v="4"/>
    <x v="417"/>
    <x v="5"/>
    <x v="0"/>
    <x v="0"/>
    <x v="1"/>
    <x v="0"/>
    <x v="0"/>
    <x v="0"/>
    <x v="0"/>
  </r>
  <r>
    <x v="838"/>
    <x v="420"/>
    <x v="417"/>
    <x v="412"/>
    <x v="671"/>
    <x v="1"/>
    <x v="3"/>
    <x v="429"/>
    <x v="10"/>
    <x v="2"/>
    <x v="0"/>
    <x v="2"/>
    <x v="0"/>
    <x v="1"/>
    <x v="1"/>
    <x v="1"/>
    <x v="2"/>
    <x v="1"/>
    <x v="2"/>
    <x v="1"/>
    <x v="1"/>
    <x v="198"/>
    <x v="1"/>
    <x v="6"/>
    <x v="2"/>
    <x v="420"/>
    <x v="5"/>
    <x v="1"/>
    <x v="1"/>
    <x v="1"/>
    <x v="0"/>
    <x v="487"/>
    <x v="0"/>
    <x v="0"/>
  </r>
  <r>
    <x v="839"/>
    <x v="421"/>
    <x v="418"/>
    <x v="413"/>
    <x v="672"/>
    <x v="1"/>
    <x v="2"/>
    <x v="430"/>
    <x v="330"/>
    <x v="1"/>
    <x v="2"/>
    <x v="0"/>
    <x v="0"/>
    <x v="1"/>
    <x v="1"/>
    <x v="1"/>
    <x v="2"/>
    <x v="1"/>
    <x v="3"/>
    <x v="1"/>
    <x v="1"/>
    <x v="198"/>
    <x v="1"/>
    <x v="6"/>
    <x v="2"/>
    <x v="421"/>
    <x v="5"/>
    <x v="1"/>
    <x v="1"/>
    <x v="1"/>
    <x v="0"/>
    <x v="488"/>
    <x v="0"/>
    <x v="0"/>
  </r>
  <r>
    <x v="840"/>
    <x v="420"/>
    <x v="417"/>
    <x v="412"/>
    <x v="0"/>
    <x v="1"/>
    <x v="3"/>
    <x v="429"/>
    <x v="10"/>
    <x v="2"/>
    <x v="0"/>
    <x v="2"/>
    <x v="0"/>
    <x v="3"/>
    <x v="1"/>
    <x v="1"/>
    <x v="2"/>
    <x v="1"/>
    <x v="2"/>
    <x v="1"/>
    <x v="2"/>
    <x v="0"/>
    <x v="2"/>
    <x v="3"/>
    <x v="4"/>
    <x v="420"/>
    <x v="5"/>
    <x v="0"/>
    <x v="0"/>
    <x v="1"/>
    <x v="0"/>
    <x v="0"/>
    <x v="0"/>
    <x v="0"/>
  </r>
  <r>
    <x v="841"/>
    <x v="421"/>
    <x v="418"/>
    <x v="413"/>
    <x v="0"/>
    <x v="1"/>
    <x v="2"/>
    <x v="430"/>
    <x v="330"/>
    <x v="1"/>
    <x v="2"/>
    <x v="0"/>
    <x v="0"/>
    <x v="3"/>
    <x v="1"/>
    <x v="1"/>
    <x v="2"/>
    <x v="1"/>
    <x v="3"/>
    <x v="1"/>
    <x v="2"/>
    <x v="0"/>
    <x v="2"/>
    <x v="3"/>
    <x v="4"/>
    <x v="421"/>
    <x v="5"/>
    <x v="0"/>
    <x v="0"/>
    <x v="1"/>
    <x v="0"/>
    <x v="0"/>
    <x v="0"/>
    <x v="0"/>
  </r>
  <r>
    <x v="842"/>
    <x v="422"/>
    <x v="419"/>
    <x v="414"/>
    <x v="673"/>
    <x v="1"/>
    <x v="3"/>
    <x v="431"/>
    <x v="331"/>
    <x v="1"/>
    <x v="168"/>
    <x v="0"/>
    <x v="0"/>
    <x v="1"/>
    <x v="1"/>
    <x v="1"/>
    <x v="1"/>
    <x v="1"/>
    <x v="3"/>
    <x v="1"/>
    <x v="2"/>
    <x v="0"/>
    <x v="2"/>
    <x v="1"/>
    <x v="2"/>
    <x v="422"/>
    <x v="2"/>
    <x v="0"/>
    <x v="0"/>
    <x v="1"/>
    <x v="0"/>
    <x v="0"/>
    <x v="0"/>
    <x v="0"/>
  </r>
  <r>
    <x v="843"/>
    <x v="385"/>
    <x v="385"/>
    <x v="380"/>
    <x v="674"/>
    <x v="1"/>
    <x v="2"/>
    <x v="400"/>
    <x v="332"/>
    <x v="1"/>
    <x v="3"/>
    <x v="0"/>
    <x v="0"/>
    <x v="1"/>
    <x v="3"/>
    <x v="2"/>
    <x v="2"/>
    <x v="1"/>
    <x v="1"/>
    <x v="1"/>
    <x v="1"/>
    <x v="199"/>
    <x v="1"/>
    <x v="1"/>
    <x v="2"/>
    <x v="388"/>
    <x v="12"/>
    <x v="1"/>
    <x v="3"/>
    <x v="1"/>
    <x v="0"/>
    <x v="489"/>
    <x v="245"/>
    <x v="266"/>
  </r>
  <r>
    <x v="844"/>
    <x v="423"/>
    <x v="420"/>
    <x v="415"/>
    <x v="675"/>
    <x v="3"/>
    <x v="2"/>
    <x v="432"/>
    <x v="289"/>
    <x v="1"/>
    <x v="33"/>
    <x v="0"/>
    <x v="0"/>
    <x v="1"/>
    <x v="1"/>
    <x v="1"/>
    <x v="2"/>
    <x v="1"/>
    <x v="1"/>
    <x v="1"/>
    <x v="2"/>
    <x v="0"/>
    <x v="1"/>
    <x v="1"/>
    <x v="2"/>
    <x v="423"/>
    <x v="12"/>
    <x v="0"/>
    <x v="0"/>
    <x v="1"/>
    <x v="0"/>
    <x v="0"/>
    <x v="0"/>
    <x v="0"/>
  </r>
  <r>
    <x v="845"/>
    <x v="424"/>
    <x v="421"/>
    <x v="416"/>
    <x v="676"/>
    <x v="3"/>
    <x v="2"/>
    <x v="433"/>
    <x v="333"/>
    <x v="1"/>
    <x v="15"/>
    <x v="0"/>
    <x v="0"/>
    <x v="1"/>
    <x v="1"/>
    <x v="1"/>
    <x v="2"/>
    <x v="1"/>
    <x v="2"/>
    <x v="1"/>
    <x v="1"/>
    <x v="200"/>
    <x v="1"/>
    <x v="1"/>
    <x v="2"/>
    <x v="424"/>
    <x v="3"/>
    <x v="1"/>
    <x v="3"/>
    <x v="2"/>
    <x v="1"/>
    <x v="490"/>
    <x v="0"/>
    <x v="0"/>
  </r>
  <r>
    <x v="846"/>
    <x v="425"/>
    <x v="422"/>
    <x v="417"/>
    <x v="677"/>
    <x v="1"/>
    <x v="2"/>
    <x v="434"/>
    <x v="334"/>
    <x v="1"/>
    <x v="169"/>
    <x v="0"/>
    <x v="0"/>
    <x v="1"/>
    <x v="1"/>
    <x v="1"/>
    <x v="2"/>
    <x v="1"/>
    <x v="2"/>
    <x v="1"/>
    <x v="2"/>
    <x v="0"/>
    <x v="1"/>
    <x v="1"/>
    <x v="2"/>
    <x v="425"/>
    <x v="4"/>
    <x v="0"/>
    <x v="0"/>
    <x v="1"/>
    <x v="0"/>
    <x v="0"/>
    <x v="0"/>
    <x v="0"/>
  </r>
  <r>
    <x v="847"/>
    <x v="426"/>
    <x v="423"/>
    <x v="418"/>
    <x v="678"/>
    <x v="1"/>
    <x v="2"/>
    <x v="435"/>
    <x v="59"/>
    <x v="1"/>
    <x v="170"/>
    <x v="0"/>
    <x v="0"/>
    <x v="1"/>
    <x v="1"/>
    <x v="1"/>
    <x v="2"/>
    <x v="2"/>
    <x v="1"/>
    <x v="1"/>
    <x v="2"/>
    <x v="0"/>
    <x v="1"/>
    <x v="1"/>
    <x v="2"/>
    <x v="426"/>
    <x v="13"/>
    <x v="0"/>
    <x v="0"/>
    <x v="1"/>
    <x v="0"/>
    <x v="0"/>
    <x v="0"/>
    <x v="0"/>
  </r>
  <r>
    <x v="848"/>
    <x v="424"/>
    <x v="421"/>
    <x v="416"/>
    <x v="679"/>
    <x v="3"/>
    <x v="2"/>
    <x v="433"/>
    <x v="333"/>
    <x v="1"/>
    <x v="15"/>
    <x v="0"/>
    <x v="0"/>
    <x v="3"/>
    <x v="1"/>
    <x v="1"/>
    <x v="1"/>
    <x v="2"/>
    <x v="2"/>
    <x v="1"/>
    <x v="2"/>
    <x v="0"/>
    <x v="1"/>
    <x v="3"/>
    <x v="4"/>
    <x v="424"/>
    <x v="3"/>
    <x v="0"/>
    <x v="0"/>
    <x v="1"/>
    <x v="0"/>
    <x v="0"/>
    <x v="0"/>
    <x v="0"/>
  </r>
  <r>
    <x v="849"/>
    <x v="427"/>
    <x v="424"/>
    <x v="419"/>
    <x v="680"/>
    <x v="1"/>
    <x v="2"/>
    <x v="436"/>
    <x v="335"/>
    <x v="1"/>
    <x v="31"/>
    <x v="0"/>
    <x v="0"/>
    <x v="1"/>
    <x v="1"/>
    <x v="1"/>
    <x v="2"/>
    <x v="2"/>
    <x v="2"/>
    <x v="1"/>
    <x v="2"/>
    <x v="0"/>
    <x v="1"/>
    <x v="1"/>
    <x v="2"/>
    <x v="427"/>
    <x v="12"/>
    <x v="0"/>
    <x v="0"/>
    <x v="1"/>
    <x v="0"/>
    <x v="0"/>
    <x v="0"/>
    <x v="0"/>
  </r>
  <r>
    <x v="850"/>
    <x v="115"/>
    <x v="114"/>
    <x v="113"/>
    <x v="681"/>
    <x v="3"/>
    <x v="2"/>
    <x v="120"/>
    <x v="111"/>
    <x v="1"/>
    <x v="4"/>
    <x v="0"/>
    <x v="0"/>
    <x v="1"/>
    <x v="1"/>
    <x v="1"/>
    <x v="2"/>
    <x v="1"/>
    <x v="2"/>
    <x v="1"/>
    <x v="2"/>
    <x v="0"/>
    <x v="2"/>
    <x v="5"/>
    <x v="2"/>
    <x v="114"/>
    <x v="12"/>
    <x v="0"/>
    <x v="0"/>
    <x v="1"/>
    <x v="0"/>
    <x v="0"/>
    <x v="0"/>
    <x v="0"/>
  </r>
  <r>
    <x v="851"/>
    <x v="428"/>
    <x v="425"/>
    <x v="420"/>
    <x v="682"/>
    <x v="3"/>
    <x v="2"/>
    <x v="437"/>
    <x v="324"/>
    <x v="1"/>
    <x v="22"/>
    <x v="0"/>
    <x v="0"/>
    <x v="1"/>
    <x v="1"/>
    <x v="2"/>
    <x v="2"/>
    <x v="2"/>
    <x v="2"/>
    <x v="1"/>
    <x v="1"/>
    <x v="201"/>
    <x v="1"/>
    <x v="1"/>
    <x v="2"/>
    <x v="428"/>
    <x v="3"/>
    <x v="1"/>
    <x v="5"/>
    <x v="2"/>
    <x v="1"/>
    <x v="491"/>
    <x v="0"/>
    <x v="0"/>
  </r>
  <r>
    <x v="852"/>
    <x v="429"/>
    <x v="426"/>
    <x v="421"/>
    <x v="683"/>
    <x v="1"/>
    <x v="2"/>
    <x v="251"/>
    <x v="336"/>
    <x v="1"/>
    <x v="9"/>
    <x v="0"/>
    <x v="0"/>
    <x v="1"/>
    <x v="1"/>
    <x v="1"/>
    <x v="2"/>
    <x v="1"/>
    <x v="2"/>
    <x v="1"/>
    <x v="2"/>
    <x v="0"/>
    <x v="1"/>
    <x v="1"/>
    <x v="2"/>
    <x v="429"/>
    <x v="5"/>
    <x v="0"/>
    <x v="0"/>
    <x v="1"/>
    <x v="0"/>
    <x v="0"/>
    <x v="0"/>
    <x v="0"/>
  </r>
  <r>
    <x v="853"/>
    <x v="385"/>
    <x v="385"/>
    <x v="380"/>
    <x v="0"/>
    <x v="1"/>
    <x v="2"/>
    <x v="400"/>
    <x v="332"/>
    <x v="1"/>
    <x v="3"/>
    <x v="0"/>
    <x v="0"/>
    <x v="3"/>
    <x v="1"/>
    <x v="1"/>
    <x v="2"/>
    <x v="1"/>
    <x v="1"/>
    <x v="1"/>
    <x v="2"/>
    <x v="0"/>
    <x v="2"/>
    <x v="3"/>
    <x v="4"/>
    <x v="388"/>
    <x v="3"/>
    <x v="0"/>
    <x v="0"/>
    <x v="1"/>
    <x v="0"/>
    <x v="0"/>
    <x v="0"/>
    <x v="0"/>
  </r>
  <r>
    <x v="854"/>
    <x v="430"/>
    <x v="427"/>
    <x v="422"/>
    <x v="684"/>
    <x v="1"/>
    <x v="3"/>
    <x v="129"/>
    <x v="30"/>
    <x v="2"/>
    <x v="0"/>
    <x v="2"/>
    <x v="0"/>
    <x v="1"/>
    <x v="3"/>
    <x v="2"/>
    <x v="2"/>
    <x v="1"/>
    <x v="2"/>
    <x v="1"/>
    <x v="1"/>
    <x v="202"/>
    <x v="1"/>
    <x v="1"/>
    <x v="2"/>
    <x v="430"/>
    <x v="5"/>
    <x v="1"/>
    <x v="1"/>
    <x v="1"/>
    <x v="0"/>
    <x v="492"/>
    <x v="0"/>
    <x v="267"/>
  </r>
  <r>
    <x v="855"/>
    <x v="431"/>
    <x v="428"/>
    <x v="423"/>
    <x v="685"/>
    <x v="1"/>
    <x v="2"/>
    <x v="438"/>
    <x v="337"/>
    <x v="2"/>
    <x v="0"/>
    <x v="6"/>
    <x v="0"/>
    <x v="1"/>
    <x v="3"/>
    <x v="2"/>
    <x v="2"/>
    <x v="1"/>
    <x v="2"/>
    <x v="1"/>
    <x v="1"/>
    <x v="203"/>
    <x v="2"/>
    <x v="1"/>
    <x v="2"/>
    <x v="431"/>
    <x v="2"/>
    <x v="1"/>
    <x v="12"/>
    <x v="1"/>
    <x v="0"/>
    <x v="493"/>
    <x v="0"/>
    <x v="0"/>
  </r>
  <r>
    <x v="856"/>
    <x v="432"/>
    <x v="429"/>
    <x v="424"/>
    <x v="686"/>
    <x v="1"/>
    <x v="1"/>
    <x v="439"/>
    <x v="10"/>
    <x v="1"/>
    <x v="138"/>
    <x v="0"/>
    <x v="0"/>
    <x v="1"/>
    <x v="3"/>
    <x v="2"/>
    <x v="1"/>
    <x v="1"/>
    <x v="3"/>
    <x v="1"/>
    <x v="1"/>
    <x v="202"/>
    <x v="1"/>
    <x v="1"/>
    <x v="2"/>
    <x v="432"/>
    <x v="2"/>
    <x v="1"/>
    <x v="2"/>
    <x v="1"/>
    <x v="0"/>
    <x v="494"/>
    <x v="246"/>
    <x v="0"/>
  </r>
  <r>
    <x v="857"/>
    <x v="433"/>
    <x v="430"/>
    <x v="425"/>
    <x v="687"/>
    <x v="1"/>
    <x v="2"/>
    <x v="440"/>
    <x v="10"/>
    <x v="1"/>
    <x v="171"/>
    <x v="0"/>
    <x v="0"/>
    <x v="1"/>
    <x v="5"/>
    <x v="1"/>
    <x v="2"/>
    <x v="1"/>
    <x v="3"/>
    <x v="1"/>
    <x v="1"/>
    <x v="201"/>
    <x v="1"/>
    <x v="1"/>
    <x v="13"/>
    <x v="433"/>
    <x v="5"/>
    <x v="1"/>
    <x v="1"/>
    <x v="1"/>
    <x v="0"/>
    <x v="495"/>
    <x v="247"/>
    <x v="0"/>
  </r>
  <r>
    <x v="858"/>
    <x v="430"/>
    <x v="427"/>
    <x v="422"/>
    <x v="0"/>
    <x v="1"/>
    <x v="3"/>
    <x v="129"/>
    <x v="30"/>
    <x v="2"/>
    <x v="0"/>
    <x v="2"/>
    <x v="0"/>
    <x v="3"/>
    <x v="1"/>
    <x v="1"/>
    <x v="2"/>
    <x v="1"/>
    <x v="2"/>
    <x v="1"/>
    <x v="2"/>
    <x v="0"/>
    <x v="2"/>
    <x v="3"/>
    <x v="4"/>
    <x v="430"/>
    <x v="5"/>
    <x v="0"/>
    <x v="0"/>
    <x v="1"/>
    <x v="0"/>
    <x v="0"/>
    <x v="0"/>
    <x v="0"/>
  </r>
  <r>
    <x v="859"/>
    <x v="432"/>
    <x v="429"/>
    <x v="424"/>
    <x v="0"/>
    <x v="1"/>
    <x v="1"/>
    <x v="439"/>
    <x v="10"/>
    <x v="1"/>
    <x v="138"/>
    <x v="0"/>
    <x v="0"/>
    <x v="3"/>
    <x v="3"/>
    <x v="2"/>
    <x v="2"/>
    <x v="1"/>
    <x v="3"/>
    <x v="1"/>
    <x v="1"/>
    <x v="203"/>
    <x v="2"/>
    <x v="3"/>
    <x v="4"/>
    <x v="432"/>
    <x v="4"/>
    <x v="1"/>
    <x v="1"/>
    <x v="1"/>
    <x v="0"/>
    <x v="496"/>
    <x v="248"/>
    <x v="268"/>
  </r>
  <r>
    <x v="860"/>
    <x v="431"/>
    <x v="428"/>
    <x v="423"/>
    <x v="0"/>
    <x v="1"/>
    <x v="2"/>
    <x v="438"/>
    <x v="310"/>
    <x v="2"/>
    <x v="0"/>
    <x v="6"/>
    <x v="0"/>
    <x v="3"/>
    <x v="1"/>
    <x v="1"/>
    <x v="2"/>
    <x v="1"/>
    <x v="2"/>
    <x v="1"/>
    <x v="2"/>
    <x v="0"/>
    <x v="2"/>
    <x v="3"/>
    <x v="4"/>
    <x v="431"/>
    <x v="13"/>
    <x v="0"/>
    <x v="0"/>
    <x v="1"/>
    <x v="0"/>
    <x v="0"/>
    <x v="0"/>
    <x v="0"/>
  </r>
  <r>
    <x v="861"/>
    <x v="434"/>
    <x v="431"/>
    <x v="426"/>
    <x v="688"/>
    <x v="1"/>
    <x v="2"/>
    <x v="441"/>
    <x v="119"/>
    <x v="1"/>
    <x v="1"/>
    <x v="0"/>
    <x v="0"/>
    <x v="1"/>
    <x v="2"/>
    <x v="5"/>
    <x v="2"/>
    <x v="1"/>
    <x v="2"/>
    <x v="1"/>
    <x v="1"/>
    <x v="203"/>
    <x v="1"/>
    <x v="1"/>
    <x v="13"/>
    <x v="434"/>
    <x v="4"/>
    <x v="1"/>
    <x v="1"/>
    <x v="1"/>
    <x v="0"/>
    <x v="497"/>
    <x v="249"/>
    <x v="0"/>
  </r>
  <r>
    <x v="862"/>
    <x v="435"/>
    <x v="432"/>
    <x v="427"/>
    <x v="689"/>
    <x v="1"/>
    <x v="2"/>
    <x v="442"/>
    <x v="338"/>
    <x v="1"/>
    <x v="2"/>
    <x v="0"/>
    <x v="0"/>
    <x v="1"/>
    <x v="3"/>
    <x v="2"/>
    <x v="1"/>
    <x v="1"/>
    <x v="2"/>
    <x v="1"/>
    <x v="1"/>
    <x v="201"/>
    <x v="1"/>
    <x v="1"/>
    <x v="2"/>
    <x v="435"/>
    <x v="5"/>
    <x v="1"/>
    <x v="1"/>
    <x v="1"/>
    <x v="0"/>
    <x v="498"/>
    <x v="250"/>
    <x v="0"/>
  </r>
  <r>
    <x v="863"/>
    <x v="436"/>
    <x v="410"/>
    <x v="405"/>
    <x v="690"/>
    <x v="1"/>
    <x v="4"/>
    <x v="423"/>
    <x v="326"/>
    <x v="1"/>
    <x v="171"/>
    <x v="0"/>
    <x v="0"/>
    <x v="1"/>
    <x v="3"/>
    <x v="2"/>
    <x v="2"/>
    <x v="1"/>
    <x v="2"/>
    <x v="1"/>
    <x v="1"/>
    <x v="201"/>
    <x v="1"/>
    <x v="1"/>
    <x v="2"/>
    <x v="413"/>
    <x v="5"/>
    <x v="1"/>
    <x v="5"/>
    <x v="2"/>
    <x v="1"/>
    <x v="0"/>
    <x v="0"/>
    <x v="0"/>
  </r>
  <r>
    <x v="864"/>
    <x v="432"/>
    <x v="429"/>
    <x v="424"/>
    <x v="0"/>
    <x v="1"/>
    <x v="1"/>
    <x v="439"/>
    <x v="10"/>
    <x v="1"/>
    <x v="138"/>
    <x v="0"/>
    <x v="0"/>
    <x v="3"/>
    <x v="1"/>
    <x v="1"/>
    <x v="2"/>
    <x v="1"/>
    <x v="3"/>
    <x v="1"/>
    <x v="2"/>
    <x v="0"/>
    <x v="2"/>
    <x v="3"/>
    <x v="4"/>
    <x v="432"/>
    <x v="5"/>
    <x v="0"/>
    <x v="0"/>
    <x v="1"/>
    <x v="0"/>
    <x v="0"/>
    <x v="0"/>
    <x v="0"/>
  </r>
  <r>
    <x v="865"/>
    <x v="437"/>
    <x v="433"/>
    <x v="428"/>
    <x v="691"/>
    <x v="1"/>
    <x v="2"/>
    <x v="443"/>
    <x v="59"/>
    <x v="1"/>
    <x v="15"/>
    <x v="0"/>
    <x v="0"/>
    <x v="1"/>
    <x v="3"/>
    <x v="3"/>
    <x v="2"/>
    <x v="1"/>
    <x v="1"/>
    <x v="1"/>
    <x v="1"/>
    <x v="201"/>
    <x v="1"/>
    <x v="1"/>
    <x v="2"/>
    <x v="436"/>
    <x v="13"/>
    <x v="1"/>
    <x v="1"/>
    <x v="1"/>
    <x v="0"/>
    <x v="499"/>
    <x v="251"/>
    <x v="269"/>
  </r>
  <r>
    <x v="866"/>
    <x v="434"/>
    <x v="431"/>
    <x v="426"/>
    <x v="0"/>
    <x v="1"/>
    <x v="2"/>
    <x v="441"/>
    <x v="119"/>
    <x v="1"/>
    <x v="1"/>
    <x v="0"/>
    <x v="0"/>
    <x v="3"/>
    <x v="4"/>
    <x v="1"/>
    <x v="2"/>
    <x v="1"/>
    <x v="2"/>
    <x v="1"/>
    <x v="2"/>
    <x v="0"/>
    <x v="2"/>
    <x v="3"/>
    <x v="4"/>
    <x v="434"/>
    <x v="5"/>
    <x v="0"/>
    <x v="0"/>
    <x v="1"/>
    <x v="0"/>
    <x v="0"/>
    <x v="0"/>
    <x v="0"/>
  </r>
  <r>
    <x v="867"/>
    <x v="428"/>
    <x v="425"/>
    <x v="420"/>
    <x v="692"/>
    <x v="3"/>
    <x v="2"/>
    <x v="437"/>
    <x v="324"/>
    <x v="1"/>
    <x v="22"/>
    <x v="0"/>
    <x v="0"/>
    <x v="3"/>
    <x v="1"/>
    <x v="1"/>
    <x v="2"/>
    <x v="1"/>
    <x v="2"/>
    <x v="1"/>
    <x v="2"/>
    <x v="0"/>
    <x v="1"/>
    <x v="3"/>
    <x v="4"/>
    <x v="428"/>
    <x v="2"/>
    <x v="0"/>
    <x v="0"/>
    <x v="1"/>
    <x v="0"/>
    <x v="0"/>
    <x v="0"/>
    <x v="0"/>
  </r>
  <r>
    <x v="868"/>
    <x v="438"/>
    <x v="434"/>
    <x v="429"/>
    <x v="693"/>
    <x v="1"/>
    <x v="2"/>
    <x v="444"/>
    <x v="339"/>
    <x v="1"/>
    <x v="33"/>
    <x v="0"/>
    <x v="0"/>
    <x v="1"/>
    <x v="3"/>
    <x v="3"/>
    <x v="2"/>
    <x v="1"/>
    <x v="2"/>
    <x v="1"/>
    <x v="1"/>
    <x v="204"/>
    <x v="1"/>
    <x v="1"/>
    <x v="2"/>
    <x v="437"/>
    <x v="12"/>
    <x v="1"/>
    <x v="1"/>
    <x v="1"/>
    <x v="0"/>
    <x v="500"/>
    <x v="252"/>
    <x v="270"/>
  </r>
  <r>
    <x v="869"/>
    <x v="413"/>
    <x v="410"/>
    <x v="405"/>
    <x v="694"/>
    <x v="1"/>
    <x v="2"/>
    <x v="423"/>
    <x v="326"/>
    <x v="1"/>
    <x v="33"/>
    <x v="0"/>
    <x v="0"/>
    <x v="3"/>
    <x v="1"/>
    <x v="1"/>
    <x v="1"/>
    <x v="1"/>
    <x v="2"/>
    <x v="1"/>
    <x v="1"/>
    <x v="205"/>
    <x v="1"/>
    <x v="3"/>
    <x v="4"/>
    <x v="413"/>
    <x v="2"/>
    <x v="1"/>
    <x v="7"/>
    <x v="1"/>
    <x v="0"/>
    <x v="501"/>
    <x v="0"/>
    <x v="0"/>
  </r>
  <r>
    <x v="870"/>
    <x v="439"/>
    <x v="435"/>
    <x v="430"/>
    <x v="695"/>
    <x v="1"/>
    <x v="2"/>
    <x v="445"/>
    <x v="335"/>
    <x v="1"/>
    <x v="33"/>
    <x v="0"/>
    <x v="0"/>
    <x v="1"/>
    <x v="3"/>
    <x v="3"/>
    <x v="1"/>
    <x v="1"/>
    <x v="2"/>
    <x v="1"/>
    <x v="1"/>
    <x v="205"/>
    <x v="1"/>
    <x v="6"/>
    <x v="2"/>
    <x v="438"/>
    <x v="5"/>
    <x v="3"/>
    <x v="0"/>
    <x v="1"/>
    <x v="0"/>
    <x v="502"/>
    <x v="253"/>
    <x v="271"/>
  </r>
  <r>
    <x v="871"/>
    <x v="433"/>
    <x v="430"/>
    <x v="425"/>
    <x v="0"/>
    <x v="1"/>
    <x v="2"/>
    <x v="440"/>
    <x v="10"/>
    <x v="1"/>
    <x v="172"/>
    <x v="0"/>
    <x v="0"/>
    <x v="3"/>
    <x v="1"/>
    <x v="1"/>
    <x v="2"/>
    <x v="1"/>
    <x v="2"/>
    <x v="1"/>
    <x v="1"/>
    <x v="205"/>
    <x v="2"/>
    <x v="3"/>
    <x v="4"/>
    <x v="433"/>
    <x v="5"/>
    <x v="1"/>
    <x v="7"/>
    <x v="1"/>
    <x v="0"/>
    <x v="503"/>
    <x v="0"/>
    <x v="272"/>
  </r>
  <r>
    <x v="872"/>
    <x v="435"/>
    <x v="432"/>
    <x v="427"/>
    <x v="0"/>
    <x v="1"/>
    <x v="2"/>
    <x v="442"/>
    <x v="338"/>
    <x v="1"/>
    <x v="2"/>
    <x v="0"/>
    <x v="0"/>
    <x v="3"/>
    <x v="1"/>
    <x v="1"/>
    <x v="2"/>
    <x v="1"/>
    <x v="2"/>
    <x v="1"/>
    <x v="2"/>
    <x v="0"/>
    <x v="2"/>
    <x v="3"/>
    <x v="4"/>
    <x v="435"/>
    <x v="5"/>
    <x v="0"/>
    <x v="0"/>
    <x v="1"/>
    <x v="0"/>
    <x v="0"/>
    <x v="0"/>
    <x v="0"/>
  </r>
  <r>
    <x v="873"/>
    <x v="437"/>
    <x v="433"/>
    <x v="428"/>
    <x v="0"/>
    <x v="1"/>
    <x v="2"/>
    <x v="443"/>
    <x v="10"/>
    <x v="1"/>
    <x v="15"/>
    <x v="0"/>
    <x v="0"/>
    <x v="3"/>
    <x v="1"/>
    <x v="1"/>
    <x v="2"/>
    <x v="1"/>
    <x v="2"/>
    <x v="1"/>
    <x v="2"/>
    <x v="0"/>
    <x v="2"/>
    <x v="3"/>
    <x v="4"/>
    <x v="436"/>
    <x v="5"/>
    <x v="0"/>
    <x v="0"/>
    <x v="1"/>
    <x v="0"/>
    <x v="0"/>
    <x v="0"/>
    <x v="0"/>
  </r>
  <r>
    <x v="874"/>
    <x v="438"/>
    <x v="434"/>
    <x v="429"/>
    <x v="0"/>
    <x v="1"/>
    <x v="2"/>
    <x v="444"/>
    <x v="339"/>
    <x v="1"/>
    <x v="33"/>
    <x v="0"/>
    <x v="0"/>
    <x v="3"/>
    <x v="1"/>
    <x v="1"/>
    <x v="2"/>
    <x v="1"/>
    <x v="2"/>
    <x v="1"/>
    <x v="1"/>
    <x v="206"/>
    <x v="2"/>
    <x v="3"/>
    <x v="4"/>
    <x v="437"/>
    <x v="5"/>
    <x v="3"/>
    <x v="0"/>
    <x v="1"/>
    <x v="0"/>
    <x v="504"/>
    <x v="254"/>
    <x v="0"/>
  </r>
  <r>
    <x v="875"/>
    <x v="440"/>
    <x v="436"/>
    <x v="431"/>
    <x v="696"/>
    <x v="1"/>
    <x v="1"/>
    <x v="446"/>
    <x v="340"/>
    <x v="1"/>
    <x v="33"/>
    <x v="0"/>
    <x v="0"/>
    <x v="1"/>
    <x v="3"/>
    <x v="3"/>
    <x v="2"/>
    <x v="1"/>
    <x v="2"/>
    <x v="1"/>
    <x v="1"/>
    <x v="206"/>
    <x v="1"/>
    <x v="4"/>
    <x v="2"/>
    <x v="439"/>
    <x v="12"/>
    <x v="1"/>
    <x v="3"/>
    <x v="2"/>
    <x v="1"/>
    <x v="505"/>
    <x v="255"/>
    <x v="0"/>
  </r>
  <r>
    <x v="876"/>
    <x v="441"/>
    <x v="437"/>
    <x v="432"/>
    <x v="697"/>
    <x v="1"/>
    <x v="3"/>
    <x v="447"/>
    <x v="310"/>
    <x v="1"/>
    <x v="173"/>
    <x v="0"/>
    <x v="0"/>
    <x v="1"/>
    <x v="1"/>
    <x v="1"/>
    <x v="2"/>
    <x v="1"/>
    <x v="2"/>
    <x v="1"/>
    <x v="1"/>
    <x v="207"/>
    <x v="1"/>
    <x v="5"/>
    <x v="2"/>
    <x v="440"/>
    <x v="12"/>
    <x v="2"/>
    <x v="0"/>
    <x v="1"/>
    <x v="0"/>
    <x v="506"/>
    <x v="256"/>
    <x v="273"/>
  </r>
  <r>
    <x v="877"/>
    <x v="413"/>
    <x v="410"/>
    <x v="405"/>
    <x v="0"/>
    <x v="1"/>
    <x v="4"/>
    <x v="423"/>
    <x v="326"/>
    <x v="1"/>
    <x v="33"/>
    <x v="0"/>
    <x v="0"/>
    <x v="3"/>
    <x v="1"/>
    <x v="1"/>
    <x v="2"/>
    <x v="1"/>
    <x v="2"/>
    <x v="1"/>
    <x v="2"/>
    <x v="0"/>
    <x v="2"/>
    <x v="3"/>
    <x v="4"/>
    <x v="413"/>
    <x v="12"/>
    <x v="0"/>
    <x v="0"/>
    <x v="1"/>
    <x v="0"/>
    <x v="0"/>
    <x v="0"/>
    <x v="0"/>
  </r>
  <r>
    <x v="878"/>
    <x v="433"/>
    <x v="430"/>
    <x v="425"/>
    <x v="0"/>
    <x v="1"/>
    <x v="2"/>
    <x v="440"/>
    <x v="341"/>
    <x v="1"/>
    <x v="33"/>
    <x v="0"/>
    <x v="0"/>
    <x v="3"/>
    <x v="1"/>
    <x v="1"/>
    <x v="2"/>
    <x v="1"/>
    <x v="2"/>
    <x v="1"/>
    <x v="2"/>
    <x v="0"/>
    <x v="2"/>
    <x v="3"/>
    <x v="4"/>
    <x v="433"/>
    <x v="12"/>
    <x v="0"/>
    <x v="0"/>
    <x v="1"/>
    <x v="0"/>
    <x v="0"/>
    <x v="0"/>
    <x v="0"/>
  </r>
  <r>
    <x v="879"/>
    <x v="442"/>
    <x v="438"/>
    <x v="433"/>
    <x v="698"/>
    <x v="1"/>
    <x v="2"/>
    <x v="448"/>
    <x v="342"/>
    <x v="1"/>
    <x v="174"/>
    <x v="0"/>
    <x v="0"/>
    <x v="1"/>
    <x v="1"/>
    <x v="1"/>
    <x v="2"/>
    <x v="1"/>
    <x v="2"/>
    <x v="1"/>
    <x v="2"/>
    <x v="0"/>
    <x v="1"/>
    <x v="6"/>
    <x v="2"/>
    <x v="441"/>
    <x v="12"/>
    <x v="0"/>
    <x v="0"/>
    <x v="1"/>
    <x v="0"/>
    <x v="0"/>
    <x v="0"/>
    <x v="0"/>
  </r>
  <r>
    <x v="880"/>
    <x v="443"/>
    <x v="439"/>
    <x v="434"/>
    <x v="699"/>
    <x v="1"/>
    <x v="1"/>
    <x v="449"/>
    <x v="198"/>
    <x v="2"/>
    <x v="0"/>
    <x v="2"/>
    <x v="0"/>
    <x v="1"/>
    <x v="3"/>
    <x v="3"/>
    <x v="2"/>
    <x v="1"/>
    <x v="2"/>
    <x v="1"/>
    <x v="1"/>
    <x v="208"/>
    <x v="1"/>
    <x v="2"/>
    <x v="2"/>
    <x v="442"/>
    <x v="12"/>
    <x v="1"/>
    <x v="1"/>
    <x v="1"/>
    <x v="0"/>
    <x v="507"/>
    <x v="257"/>
    <x v="0"/>
  </r>
  <r>
    <x v="881"/>
    <x v="444"/>
    <x v="440"/>
    <x v="435"/>
    <x v="700"/>
    <x v="1"/>
    <x v="2"/>
    <x v="450"/>
    <x v="10"/>
    <x v="1"/>
    <x v="15"/>
    <x v="0"/>
    <x v="0"/>
    <x v="1"/>
    <x v="2"/>
    <x v="3"/>
    <x v="2"/>
    <x v="1"/>
    <x v="1"/>
    <x v="1"/>
    <x v="1"/>
    <x v="208"/>
    <x v="1"/>
    <x v="1"/>
    <x v="2"/>
    <x v="443"/>
    <x v="3"/>
    <x v="1"/>
    <x v="1"/>
    <x v="1"/>
    <x v="0"/>
    <x v="508"/>
    <x v="258"/>
    <x v="0"/>
  </r>
  <r>
    <x v="882"/>
    <x v="445"/>
    <x v="441"/>
    <x v="436"/>
    <x v="701"/>
    <x v="1"/>
    <x v="2"/>
    <x v="451"/>
    <x v="324"/>
    <x v="1"/>
    <x v="8"/>
    <x v="0"/>
    <x v="0"/>
    <x v="1"/>
    <x v="1"/>
    <x v="1"/>
    <x v="1"/>
    <x v="1"/>
    <x v="3"/>
    <x v="1"/>
    <x v="1"/>
    <x v="209"/>
    <x v="1"/>
    <x v="1"/>
    <x v="2"/>
    <x v="444"/>
    <x v="3"/>
    <x v="3"/>
    <x v="0"/>
    <x v="1"/>
    <x v="0"/>
    <x v="509"/>
    <x v="259"/>
    <x v="0"/>
  </r>
  <r>
    <x v="883"/>
    <x v="446"/>
    <x v="442"/>
    <x v="437"/>
    <x v="702"/>
    <x v="1"/>
    <x v="2"/>
    <x v="452"/>
    <x v="343"/>
    <x v="1"/>
    <x v="22"/>
    <x v="0"/>
    <x v="0"/>
    <x v="1"/>
    <x v="1"/>
    <x v="1"/>
    <x v="2"/>
    <x v="1"/>
    <x v="2"/>
    <x v="1"/>
    <x v="1"/>
    <x v="206"/>
    <x v="1"/>
    <x v="1"/>
    <x v="2"/>
    <x v="445"/>
    <x v="4"/>
    <x v="1"/>
    <x v="3"/>
    <x v="2"/>
    <x v="1"/>
    <x v="510"/>
    <x v="0"/>
    <x v="274"/>
  </r>
  <r>
    <x v="884"/>
    <x v="141"/>
    <x v="141"/>
    <x v="139"/>
    <x v="703"/>
    <x v="1"/>
    <x v="1"/>
    <x v="145"/>
    <x v="125"/>
    <x v="1"/>
    <x v="15"/>
    <x v="0"/>
    <x v="0"/>
    <x v="1"/>
    <x v="1"/>
    <x v="1"/>
    <x v="2"/>
    <x v="1"/>
    <x v="2"/>
    <x v="1"/>
    <x v="1"/>
    <x v="206"/>
    <x v="1"/>
    <x v="1"/>
    <x v="2"/>
    <x v="140"/>
    <x v="4"/>
    <x v="1"/>
    <x v="7"/>
    <x v="2"/>
    <x v="1"/>
    <x v="511"/>
    <x v="260"/>
    <x v="0"/>
  </r>
  <r>
    <x v="885"/>
    <x v="440"/>
    <x v="436"/>
    <x v="431"/>
    <x v="704"/>
    <x v="1"/>
    <x v="1"/>
    <x v="446"/>
    <x v="340"/>
    <x v="1"/>
    <x v="33"/>
    <x v="0"/>
    <x v="0"/>
    <x v="3"/>
    <x v="1"/>
    <x v="1"/>
    <x v="2"/>
    <x v="1"/>
    <x v="2"/>
    <x v="1"/>
    <x v="1"/>
    <x v="209"/>
    <x v="1"/>
    <x v="3"/>
    <x v="4"/>
    <x v="439"/>
    <x v="3"/>
    <x v="3"/>
    <x v="0"/>
    <x v="1"/>
    <x v="0"/>
    <x v="512"/>
    <x v="261"/>
    <x v="0"/>
  </r>
  <r>
    <x v="886"/>
    <x v="446"/>
    <x v="442"/>
    <x v="437"/>
    <x v="705"/>
    <x v="1"/>
    <x v="1"/>
    <x v="452"/>
    <x v="343"/>
    <x v="1"/>
    <x v="22"/>
    <x v="0"/>
    <x v="0"/>
    <x v="3"/>
    <x v="2"/>
    <x v="3"/>
    <x v="2"/>
    <x v="1"/>
    <x v="2"/>
    <x v="1"/>
    <x v="1"/>
    <x v="209"/>
    <x v="2"/>
    <x v="3"/>
    <x v="4"/>
    <x v="445"/>
    <x v="3"/>
    <x v="1"/>
    <x v="7"/>
    <x v="2"/>
    <x v="1"/>
    <x v="513"/>
    <x v="0"/>
    <x v="0"/>
  </r>
  <r>
    <x v="887"/>
    <x v="414"/>
    <x v="411"/>
    <x v="406"/>
    <x v="706"/>
    <x v="1"/>
    <x v="2"/>
    <x v="424"/>
    <x v="198"/>
    <x v="1"/>
    <x v="15"/>
    <x v="0"/>
    <x v="0"/>
    <x v="1"/>
    <x v="2"/>
    <x v="3"/>
    <x v="2"/>
    <x v="1"/>
    <x v="2"/>
    <x v="1"/>
    <x v="1"/>
    <x v="208"/>
    <x v="1"/>
    <x v="5"/>
    <x v="3"/>
    <x v="414"/>
    <x v="3"/>
    <x v="3"/>
    <x v="0"/>
    <x v="1"/>
    <x v="0"/>
    <x v="514"/>
    <x v="0"/>
    <x v="0"/>
  </r>
  <r>
    <x v="888"/>
    <x v="141"/>
    <x v="141"/>
    <x v="139"/>
    <x v="707"/>
    <x v="1"/>
    <x v="1"/>
    <x v="145"/>
    <x v="125"/>
    <x v="2"/>
    <x v="0"/>
    <x v="2"/>
    <x v="0"/>
    <x v="3"/>
    <x v="1"/>
    <x v="1"/>
    <x v="2"/>
    <x v="1"/>
    <x v="2"/>
    <x v="1"/>
    <x v="2"/>
    <x v="0"/>
    <x v="1"/>
    <x v="3"/>
    <x v="4"/>
    <x v="140"/>
    <x v="12"/>
    <x v="0"/>
    <x v="0"/>
    <x v="1"/>
    <x v="0"/>
    <x v="0"/>
    <x v="0"/>
    <x v="0"/>
  </r>
  <r>
    <x v="889"/>
    <x v="447"/>
    <x v="443"/>
    <x v="438"/>
    <x v="708"/>
    <x v="1"/>
    <x v="2"/>
    <x v="453"/>
    <x v="235"/>
    <x v="1"/>
    <x v="33"/>
    <x v="0"/>
    <x v="0"/>
    <x v="1"/>
    <x v="3"/>
    <x v="2"/>
    <x v="2"/>
    <x v="1"/>
    <x v="1"/>
    <x v="1"/>
    <x v="1"/>
    <x v="209"/>
    <x v="1"/>
    <x v="1"/>
    <x v="2"/>
    <x v="446"/>
    <x v="13"/>
    <x v="1"/>
    <x v="7"/>
    <x v="1"/>
    <x v="0"/>
    <x v="515"/>
    <x v="0"/>
    <x v="275"/>
  </r>
  <r>
    <x v="890"/>
    <x v="413"/>
    <x v="410"/>
    <x v="405"/>
    <x v="709"/>
    <x v="1"/>
    <x v="2"/>
    <x v="423"/>
    <x v="344"/>
    <x v="1"/>
    <x v="175"/>
    <x v="0"/>
    <x v="0"/>
    <x v="1"/>
    <x v="1"/>
    <x v="1"/>
    <x v="2"/>
    <x v="1"/>
    <x v="2"/>
    <x v="1"/>
    <x v="2"/>
    <x v="0"/>
    <x v="1"/>
    <x v="1"/>
    <x v="2"/>
    <x v="413"/>
    <x v="2"/>
    <x v="0"/>
    <x v="0"/>
    <x v="1"/>
    <x v="0"/>
    <x v="0"/>
    <x v="0"/>
    <x v="0"/>
  </r>
  <r>
    <x v="891"/>
    <x v="448"/>
    <x v="444"/>
    <x v="439"/>
    <x v="710"/>
    <x v="1"/>
    <x v="2"/>
    <x v="454"/>
    <x v="283"/>
    <x v="1"/>
    <x v="138"/>
    <x v="0"/>
    <x v="0"/>
    <x v="1"/>
    <x v="3"/>
    <x v="3"/>
    <x v="2"/>
    <x v="1"/>
    <x v="2"/>
    <x v="1"/>
    <x v="1"/>
    <x v="209"/>
    <x v="1"/>
    <x v="1"/>
    <x v="2"/>
    <x v="447"/>
    <x v="5"/>
    <x v="1"/>
    <x v="2"/>
    <x v="1"/>
    <x v="0"/>
    <x v="516"/>
    <x v="0"/>
    <x v="0"/>
  </r>
  <r>
    <x v="892"/>
    <x v="449"/>
    <x v="445"/>
    <x v="440"/>
    <x v="711"/>
    <x v="1"/>
    <x v="2"/>
    <x v="455"/>
    <x v="345"/>
    <x v="1"/>
    <x v="22"/>
    <x v="0"/>
    <x v="0"/>
    <x v="1"/>
    <x v="3"/>
    <x v="2"/>
    <x v="2"/>
    <x v="1"/>
    <x v="1"/>
    <x v="1"/>
    <x v="1"/>
    <x v="209"/>
    <x v="1"/>
    <x v="1"/>
    <x v="2"/>
    <x v="448"/>
    <x v="13"/>
    <x v="1"/>
    <x v="7"/>
    <x v="1"/>
    <x v="0"/>
    <x v="517"/>
    <x v="0"/>
    <x v="276"/>
  </r>
  <r>
    <x v="893"/>
    <x v="444"/>
    <x v="440"/>
    <x v="435"/>
    <x v="0"/>
    <x v="1"/>
    <x v="2"/>
    <x v="450"/>
    <x v="10"/>
    <x v="1"/>
    <x v="15"/>
    <x v="0"/>
    <x v="0"/>
    <x v="3"/>
    <x v="5"/>
    <x v="1"/>
    <x v="2"/>
    <x v="1"/>
    <x v="2"/>
    <x v="1"/>
    <x v="2"/>
    <x v="0"/>
    <x v="2"/>
    <x v="3"/>
    <x v="4"/>
    <x v="443"/>
    <x v="5"/>
    <x v="0"/>
    <x v="0"/>
    <x v="1"/>
    <x v="0"/>
    <x v="0"/>
    <x v="0"/>
    <x v="0"/>
  </r>
  <r>
    <x v="894"/>
    <x v="443"/>
    <x v="439"/>
    <x v="434"/>
    <x v="0"/>
    <x v="1"/>
    <x v="1"/>
    <x v="449"/>
    <x v="198"/>
    <x v="2"/>
    <x v="0"/>
    <x v="2"/>
    <x v="0"/>
    <x v="3"/>
    <x v="4"/>
    <x v="1"/>
    <x v="2"/>
    <x v="1"/>
    <x v="2"/>
    <x v="1"/>
    <x v="2"/>
    <x v="0"/>
    <x v="2"/>
    <x v="3"/>
    <x v="4"/>
    <x v="442"/>
    <x v="5"/>
    <x v="0"/>
    <x v="0"/>
    <x v="1"/>
    <x v="0"/>
    <x v="0"/>
    <x v="0"/>
    <x v="0"/>
  </r>
  <r>
    <x v="895"/>
    <x v="450"/>
    <x v="446"/>
    <x v="441"/>
    <x v="712"/>
    <x v="1"/>
    <x v="1"/>
    <x v="456"/>
    <x v="76"/>
    <x v="1"/>
    <x v="33"/>
    <x v="0"/>
    <x v="0"/>
    <x v="1"/>
    <x v="3"/>
    <x v="3"/>
    <x v="2"/>
    <x v="1"/>
    <x v="2"/>
    <x v="1"/>
    <x v="1"/>
    <x v="209"/>
    <x v="1"/>
    <x v="5"/>
    <x v="2"/>
    <x v="449"/>
    <x v="5"/>
    <x v="1"/>
    <x v="7"/>
    <x v="1"/>
    <x v="0"/>
    <x v="518"/>
    <x v="262"/>
    <x v="0"/>
  </r>
  <r>
    <x v="896"/>
    <x v="141"/>
    <x v="141"/>
    <x v="139"/>
    <x v="713"/>
    <x v="1"/>
    <x v="1"/>
    <x v="145"/>
    <x v="125"/>
    <x v="2"/>
    <x v="0"/>
    <x v="5"/>
    <x v="0"/>
    <x v="1"/>
    <x v="2"/>
    <x v="3"/>
    <x v="2"/>
    <x v="1"/>
    <x v="2"/>
    <x v="1"/>
    <x v="1"/>
    <x v="209"/>
    <x v="1"/>
    <x v="5"/>
    <x v="2"/>
    <x v="140"/>
    <x v="5"/>
    <x v="3"/>
    <x v="0"/>
    <x v="1"/>
    <x v="0"/>
    <x v="519"/>
    <x v="263"/>
    <x v="0"/>
  </r>
  <r>
    <x v="897"/>
    <x v="448"/>
    <x v="444"/>
    <x v="439"/>
    <x v="0"/>
    <x v="1"/>
    <x v="2"/>
    <x v="454"/>
    <x v="283"/>
    <x v="1"/>
    <x v="138"/>
    <x v="0"/>
    <x v="0"/>
    <x v="3"/>
    <x v="1"/>
    <x v="1"/>
    <x v="2"/>
    <x v="1"/>
    <x v="2"/>
    <x v="1"/>
    <x v="1"/>
    <x v="210"/>
    <x v="2"/>
    <x v="3"/>
    <x v="4"/>
    <x v="447"/>
    <x v="4"/>
    <x v="3"/>
    <x v="0"/>
    <x v="1"/>
    <x v="0"/>
    <x v="520"/>
    <x v="264"/>
    <x v="0"/>
  </r>
  <r>
    <x v="898"/>
    <x v="447"/>
    <x v="443"/>
    <x v="438"/>
    <x v="714"/>
    <x v="1"/>
    <x v="2"/>
    <x v="453"/>
    <x v="346"/>
    <x v="1"/>
    <x v="33"/>
    <x v="0"/>
    <x v="0"/>
    <x v="1"/>
    <x v="3"/>
    <x v="2"/>
    <x v="1"/>
    <x v="1"/>
    <x v="2"/>
    <x v="1"/>
    <x v="1"/>
    <x v="211"/>
    <x v="1"/>
    <x v="2"/>
    <x v="2"/>
    <x v="446"/>
    <x v="12"/>
    <x v="3"/>
    <x v="0"/>
    <x v="1"/>
    <x v="0"/>
    <x v="521"/>
    <x v="0"/>
    <x v="0"/>
  </r>
  <r>
    <x v="899"/>
    <x v="446"/>
    <x v="442"/>
    <x v="437"/>
    <x v="715"/>
    <x v="1"/>
    <x v="2"/>
    <x v="452"/>
    <x v="347"/>
    <x v="1"/>
    <x v="22"/>
    <x v="0"/>
    <x v="0"/>
    <x v="3"/>
    <x v="1"/>
    <x v="1"/>
    <x v="2"/>
    <x v="1"/>
    <x v="2"/>
    <x v="1"/>
    <x v="2"/>
    <x v="0"/>
    <x v="1"/>
    <x v="3"/>
    <x v="4"/>
    <x v="445"/>
    <x v="12"/>
    <x v="0"/>
    <x v="0"/>
    <x v="1"/>
    <x v="0"/>
    <x v="0"/>
    <x v="0"/>
    <x v="0"/>
  </r>
  <r>
    <x v="900"/>
    <x v="451"/>
    <x v="447"/>
    <x v="442"/>
    <x v="716"/>
    <x v="1"/>
    <x v="2"/>
    <x v="457"/>
    <x v="348"/>
    <x v="1"/>
    <x v="70"/>
    <x v="0"/>
    <x v="0"/>
    <x v="1"/>
    <x v="3"/>
    <x v="2"/>
    <x v="2"/>
    <x v="1"/>
    <x v="3"/>
    <x v="1"/>
    <x v="1"/>
    <x v="211"/>
    <x v="1"/>
    <x v="1"/>
    <x v="2"/>
    <x v="450"/>
    <x v="2"/>
    <x v="1"/>
    <x v="2"/>
    <x v="2"/>
    <x v="1"/>
    <x v="522"/>
    <x v="0"/>
    <x v="0"/>
  </r>
  <r>
    <x v="901"/>
    <x v="449"/>
    <x v="445"/>
    <x v="440"/>
    <x v="0"/>
    <x v="1"/>
    <x v="2"/>
    <x v="119"/>
    <x v="345"/>
    <x v="1"/>
    <x v="22"/>
    <x v="0"/>
    <x v="0"/>
    <x v="3"/>
    <x v="5"/>
    <x v="1"/>
    <x v="2"/>
    <x v="1"/>
    <x v="2"/>
    <x v="1"/>
    <x v="2"/>
    <x v="0"/>
    <x v="2"/>
    <x v="3"/>
    <x v="4"/>
    <x v="448"/>
    <x v="12"/>
    <x v="0"/>
    <x v="0"/>
    <x v="1"/>
    <x v="0"/>
    <x v="0"/>
    <x v="0"/>
    <x v="0"/>
  </r>
  <r>
    <x v="902"/>
    <x v="450"/>
    <x v="448"/>
    <x v="441"/>
    <x v="0"/>
    <x v="1"/>
    <x v="1"/>
    <x v="456"/>
    <x v="76"/>
    <x v="1"/>
    <x v="33"/>
    <x v="0"/>
    <x v="0"/>
    <x v="3"/>
    <x v="1"/>
    <x v="1"/>
    <x v="2"/>
    <x v="1"/>
    <x v="2"/>
    <x v="1"/>
    <x v="1"/>
    <x v="211"/>
    <x v="2"/>
    <x v="3"/>
    <x v="4"/>
    <x v="449"/>
    <x v="12"/>
    <x v="3"/>
    <x v="0"/>
    <x v="1"/>
    <x v="0"/>
    <x v="523"/>
    <x v="0"/>
    <x v="0"/>
  </r>
  <r>
    <x v="903"/>
    <x v="452"/>
    <x v="449"/>
    <x v="443"/>
    <x v="717"/>
    <x v="1"/>
    <x v="2"/>
    <x v="458"/>
    <x v="349"/>
    <x v="1"/>
    <x v="9"/>
    <x v="0"/>
    <x v="0"/>
    <x v="1"/>
    <x v="1"/>
    <x v="1"/>
    <x v="1"/>
    <x v="1"/>
    <x v="2"/>
    <x v="1"/>
    <x v="1"/>
    <x v="210"/>
    <x v="1"/>
    <x v="5"/>
    <x v="2"/>
    <x v="451"/>
    <x v="12"/>
    <x v="1"/>
    <x v="5"/>
    <x v="2"/>
    <x v="1"/>
    <x v="524"/>
    <x v="0"/>
    <x v="277"/>
  </r>
  <r>
    <x v="904"/>
    <x v="453"/>
    <x v="450"/>
    <x v="444"/>
    <x v="718"/>
    <x v="1"/>
    <x v="2"/>
    <x v="459"/>
    <x v="191"/>
    <x v="1"/>
    <x v="3"/>
    <x v="0"/>
    <x v="0"/>
    <x v="1"/>
    <x v="3"/>
    <x v="2"/>
    <x v="2"/>
    <x v="1"/>
    <x v="2"/>
    <x v="2"/>
    <x v="1"/>
    <x v="210"/>
    <x v="1"/>
    <x v="1"/>
    <x v="2"/>
    <x v="452"/>
    <x v="13"/>
    <x v="3"/>
    <x v="0"/>
    <x v="1"/>
    <x v="0"/>
    <x v="525"/>
    <x v="265"/>
    <x v="0"/>
  </r>
  <r>
    <x v="905"/>
    <x v="454"/>
    <x v="451"/>
    <x v="445"/>
    <x v="719"/>
    <x v="1"/>
    <x v="2"/>
    <x v="460"/>
    <x v="350"/>
    <x v="1"/>
    <x v="15"/>
    <x v="0"/>
    <x v="0"/>
    <x v="1"/>
    <x v="1"/>
    <x v="2"/>
    <x v="1"/>
    <x v="1"/>
    <x v="2"/>
    <x v="1"/>
    <x v="1"/>
    <x v="210"/>
    <x v="1"/>
    <x v="1"/>
    <x v="2"/>
    <x v="453"/>
    <x v="4"/>
    <x v="1"/>
    <x v="7"/>
    <x v="1"/>
    <x v="0"/>
    <x v="526"/>
    <x v="0"/>
    <x v="0"/>
  </r>
  <r>
    <x v="906"/>
    <x v="451"/>
    <x v="447"/>
    <x v="442"/>
    <x v="720"/>
    <x v="1"/>
    <x v="2"/>
    <x v="457"/>
    <x v="351"/>
    <x v="1"/>
    <x v="70"/>
    <x v="0"/>
    <x v="0"/>
    <x v="3"/>
    <x v="1"/>
    <x v="1"/>
    <x v="1"/>
    <x v="1"/>
    <x v="3"/>
    <x v="1"/>
    <x v="1"/>
    <x v="212"/>
    <x v="2"/>
    <x v="3"/>
    <x v="4"/>
    <x v="450"/>
    <x v="4"/>
    <x v="1"/>
    <x v="0"/>
    <x v="2"/>
    <x v="1"/>
    <x v="527"/>
    <x v="0"/>
    <x v="0"/>
  </r>
  <r>
    <x v="907"/>
    <x v="455"/>
    <x v="452"/>
    <x v="446"/>
    <x v="721"/>
    <x v="1"/>
    <x v="2"/>
    <x v="461"/>
    <x v="352"/>
    <x v="1"/>
    <x v="31"/>
    <x v="0"/>
    <x v="0"/>
    <x v="1"/>
    <x v="3"/>
    <x v="3"/>
    <x v="2"/>
    <x v="1"/>
    <x v="1"/>
    <x v="1"/>
    <x v="1"/>
    <x v="210"/>
    <x v="1"/>
    <x v="1"/>
    <x v="2"/>
    <x v="454"/>
    <x v="13"/>
    <x v="1"/>
    <x v="7"/>
    <x v="2"/>
    <x v="1"/>
    <x v="528"/>
    <x v="0"/>
    <x v="278"/>
  </r>
  <r>
    <x v="908"/>
    <x v="456"/>
    <x v="453"/>
    <x v="447"/>
    <x v="722"/>
    <x v="1"/>
    <x v="2"/>
    <x v="462"/>
    <x v="353"/>
    <x v="1"/>
    <x v="117"/>
    <x v="0"/>
    <x v="0"/>
    <x v="1"/>
    <x v="1"/>
    <x v="2"/>
    <x v="2"/>
    <x v="2"/>
    <x v="1"/>
    <x v="1"/>
    <x v="1"/>
    <x v="213"/>
    <x v="1"/>
    <x v="1"/>
    <x v="2"/>
    <x v="455"/>
    <x v="3"/>
    <x v="3"/>
    <x v="0"/>
    <x v="1"/>
    <x v="0"/>
    <x v="529"/>
    <x v="266"/>
    <x v="0"/>
  </r>
  <r>
    <x v="909"/>
    <x v="451"/>
    <x v="447"/>
    <x v="442"/>
    <x v="723"/>
    <x v="1"/>
    <x v="2"/>
    <x v="457"/>
    <x v="351"/>
    <x v="1"/>
    <x v="138"/>
    <x v="0"/>
    <x v="0"/>
    <x v="1"/>
    <x v="2"/>
    <x v="3"/>
    <x v="2"/>
    <x v="1"/>
    <x v="2"/>
    <x v="1"/>
    <x v="1"/>
    <x v="210"/>
    <x v="1"/>
    <x v="1"/>
    <x v="2"/>
    <x v="450"/>
    <x v="3"/>
    <x v="1"/>
    <x v="7"/>
    <x v="2"/>
    <x v="1"/>
    <x v="530"/>
    <x v="0"/>
    <x v="0"/>
  </r>
  <r>
    <x v="910"/>
    <x v="452"/>
    <x v="449"/>
    <x v="443"/>
    <x v="724"/>
    <x v="1"/>
    <x v="2"/>
    <x v="458"/>
    <x v="349"/>
    <x v="1"/>
    <x v="9"/>
    <x v="0"/>
    <x v="0"/>
    <x v="3"/>
    <x v="1"/>
    <x v="1"/>
    <x v="1"/>
    <x v="1"/>
    <x v="2"/>
    <x v="1"/>
    <x v="2"/>
    <x v="0"/>
    <x v="1"/>
    <x v="3"/>
    <x v="4"/>
    <x v="451"/>
    <x v="2"/>
    <x v="0"/>
    <x v="0"/>
    <x v="1"/>
    <x v="0"/>
    <x v="0"/>
    <x v="0"/>
    <x v="0"/>
  </r>
  <r>
    <x v="911"/>
    <x v="415"/>
    <x v="412"/>
    <x v="407"/>
    <x v="725"/>
    <x v="1"/>
    <x v="2"/>
    <x v="425"/>
    <x v="327"/>
    <x v="1"/>
    <x v="33"/>
    <x v="0"/>
    <x v="0"/>
    <x v="1"/>
    <x v="3"/>
    <x v="3"/>
    <x v="1"/>
    <x v="1"/>
    <x v="2"/>
    <x v="1"/>
    <x v="1"/>
    <x v="213"/>
    <x v="1"/>
    <x v="5"/>
    <x v="2"/>
    <x v="415"/>
    <x v="2"/>
    <x v="1"/>
    <x v="2"/>
    <x v="1"/>
    <x v="0"/>
    <x v="531"/>
    <x v="0"/>
    <x v="0"/>
  </r>
  <r>
    <x v="912"/>
    <x v="457"/>
    <x v="451"/>
    <x v="445"/>
    <x v="0"/>
    <x v="1"/>
    <x v="2"/>
    <x v="460"/>
    <x v="354"/>
    <x v="2"/>
    <x v="0"/>
    <x v="2"/>
    <x v="0"/>
    <x v="3"/>
    <x v="4"/>
    <x v="1"/>
    <x v="2"/>
    <x v="1"/>
    <x v="2"/>
    <x v="1"/>
    <x v="2"/>
    <x v="0"/>
    <x v="2"/>
    <x v="3"/>
    <x v="4"/>
    <x v="453"/>
    <x v="12"/>
    <x v="0"/>
    <x v="0"/>
    <x v="1"/>
    <x v="0"/>
    <x v="0"/>
    <x v="0"/>
    <x v="0"/>
  </r>
  <r>
    <x v="913"/>
    <x v="451"/>
    <x v="447"/>
    <x v="442"/>
    <x v="726"/>
    <x v="1"/>
    <x v="2"/>
    <x v="457"/>
    <x v="355"/>
    <x v="1"/>
    <x v="138"/>
    <x v="0"/>
    <x v="0"/>
    <x v="3"/>
    <x v="1"/>
    <x v="1"/>
    <x v="1"/>
    <x v="1"/>
    <x v="2"/>
    <x v="1"/>
    <x v="2"/>
    <x v="0"/>
    <x v="1"/>
    <x v="3"/>
    <x v="4"/>
    <x v="450"/>
    <x v="12"/>
    <x v="0"/>
    <x v="0"/>
    <x v="1"/>
    <x v="0"/>
    <x v="0"/>
    <x v="0"/>
    <x v="0"/>
  </r>
  <r>
    <x v="914"/>
    <x v="381"/>
    <x v="381"/>
    <x v="376"/>
    <x v="727"/>
    <x v="1"/>
    <x v="2"/>
    <x v="397"/>
    <x v="168"/>
    <x v="2"/>
    <x v="0"/>
    <x v="5"/>
    <x v="0"/>
    <x v="1"/>
    <x v="2"/>
    <x v="3"/>
    <x v="2"/>
    <x v="1"/>
    <x v="2"/>
    <x v="1"/>
    <x v="1"/>
    <x v="213"/>
    <x v="1"/>
    <x v="1"/>
    <x v="2"/>
    <x v="383"/>
    <x v="12"/>
    <x v="3"/>
    <x v="0"/>
    <x v="1"/>
    <x v="0"/>
    <x v="532"/>
    <x v="0"/>
    <x v="279"/>
  </r>
  <r>
    <x v="915"/>
    <x v="455"/>
    <x v="452"/>
    <x v="446"/>
    <x v="0"/>
    <x v="1"/>
    <x v="2"/>
    <x v="461"/>
    <x v="352"/>
    <x v="1"/>
    <x v="31"/>
    <x v="0"/>
    <x v="0"/>
    <x v="3"/>
    <x v="1"/>
    <x v="1"/>
    <x v="2"/>
    <x v="1"/>
    <x v="2"/>
    <x v="1"/>
    <x v="1"/>
    <x v="213"/>
    <x v="1"/>
    <x v="3"/>
    <x v="4"/>
    <x v="454"/>
    <x v="12"/>
    <x v="3"/>
    <x v="0"/>
    <x v="1"/>
    <x v="0"/>
    <x v="532"/>
    <x v="0"/>
    <x v="0"/>
  </r>
  <r>
    <x v="916"/>
    <x v="415"/>
    <x v="412"/>
    <x v="407"/>
    <x v="0"/>
    <x v="1"/>
    <x v="2"/>
    <x v="425"/>
    <x v="327"/>
    <x v="1"/>
    <x v="33"/>
    <x v="0"/>
    <x v="0"/>
    <x v="3"/>
    <x v="1"/>
    <x v="1"/>
    <x v="2"/>
    <x v="1"/>
    <x v="2"/>
    <x v="1"/>
    <x v="2"/>
    <x v="0"/>
    <x v="2"/>
    <x v="3"/>
    <x v="4"/>
    <x v="415"/>
    <x v="4"/>
    <x v="0"/>
    <x v="0"/>
    <x v="1"/>
    <x v="0"/>
    <x v="0"/>
    <x v="0"/>
    <x v="0"/>
  </r>
  <r>
    <x v="917"/>
    <x v="458"/>
    <x v="454"/>
    <x v="448"/>
    <x v="728"/>
    <x v="1"/>
    <x v="2"/>
    <x v="463"/>
    <x v="356"/>
    <x v="1"/>
    <x v="31"/>
    <x v="0"/>
    <x v="0"/>
    <x v="1"/>
    <x v="1"/>
    <x v="1"/>
    <x v="2"/>
    <x v="1"/>
    <x v="1"/>
    <x v="1"/>
    <x v="2"/>
    <x v="0"/>
    <x v="1"/>
    <x v="6"/>
    <x v="2"/>
    <x v="456"/>
    <x v="5"/>
    <x v="0"/>
    <x v="0"/>
    <x v="1"/>
    <x v="0"/>
    <x v="0"/>
    <x v="0"/>
    <x v="0"/>
  </r>
  <r>
    <x v="918"/>
    <x v="459"/>
    <x v="455"/>
    <x v="449"/>
    <x v="729"/>
    <x v="1"/>
    <x v="2"/>
    <x v="464"/>
    <x v="357"/>
    <x v="1"/>
    <x v="15"/>
    <x v="0"/>
    <x v="0"/>
    <x v="1"/>
    <x v="3"/>
    <x v="3"/>
    <x v="2"/>
    <x v="1"/>
    <x v="2"/>
    <x v="1"/>
    <x v="1"/>
    <x v="214"/>
    <x v="1"/>
    <x v="6"/>
    <x v="2"/>
    <x v="457"/>
    <x v="5"/>
    <x v="1"/>
    <x v="5"/>
    <x v="2"/>
    <x v="1"/>
    <x v="533"/>
    <x v="0"/>
    <x v="0"/>
  </r>
  <r>
    <x v="919"/>
    <x v="57"/>
    <x v="56"/>
    <x v="55"/>
    <x v="730"/>
    <x v="1"/>
    <x v="2"/>
    <x v="60"/>
    <x v="196"/>
    <x v="6"/>
    <x v="0"/>
    <x v="0"/>
    <x v="21"/>
    <x v="1"/>
    <x v="3"/>
    <x v="4"/>
    <x v="2"/>
    <x v="1"/>
    <x v="2"/>
    <x v="1"/>
    <x v="2"/>
    <x v="0"/>
    <x v="1"/>
    <x v="6"/>
    <x v="2"/>
    <x v="55"/>
    <x v="5"/>
    <x v="0"/>
    <x v="0"/>
    <x v="1"/>
    <x v="0"/>
    <x v="0"/>
    <x v="0"/>
    <x v="0"/>
  </r>
  <r>
    <x v="920"/>
    <x v="141"/>
    <x v="141"/>
    <x v="139"/>
    <x v="731"/>
    <x v="1"/>
    <x v="2"/>
    <x v="145"/>
    <x v="125"/>
    <x v="1"/>
    <x v="15"/>
    <x v="0"/>
    <x v="0"/>
    <x v="1"/>
    <x v="3"/>
    <x v="3"/>
    <x v="2"/>
    <x v="1"/>
    <x v="2"/>
    <x v="1"/>
    <x v="1"/>
    <x v="215"/>
    <x v="1"/>
    <x v="1"/>
    <x v="2"/>
    <x v="140"/>
    <x v="13"/>
    <x v="3"/>
    <x v="0"/>
    <x v="1"/>
    <x v="0"/>
    <x v="534"/>
    <x v="267"/>
    <x v="280"/>
  </r>
  <r>
    <x v="921"/>
    <x v="459"/>
    <x v="455"/>
    <x v="449"/>
    <x v="732"/>
    <x v="1"/>
    <x v="2"/>
    <x v="464"/>
    <x v="357"/>
    <x v="1"/>
    <x v="15"/>
    <x v="0"/>
    <x v="0"/>
    <x v="3"/>
    <x v="1"/>
    <x v="1"/>
    <x v="2"/>
    <x v="1"/>
    <x v="2"/>
    <x v="1"/>
    <x v="2"/>
    <x v="0"/>
    <x v="1"/>
    <x v="3"/>
    <x v="4"/>
    <x v="457"/>
    <x v="2"/>
    <x v="0"/>
    <x v="0"/>
    <x v="1"/>
    <x v="0"/>
    <x v="0"/>
    <x v="0"/>
    <x v="0"/>
  </r>
  <r>
    <x v="922"/>
    <x v="141"/>
    <x v="141"/>
    <x v="139"/>
    <x v="733"/>
    <x v="1"/>
    <x v="2"/>
    <x v="145"/>
    <x v="125"/>
    <x v="1"/>
    <x v="15"/>
    <x v="0"/>
    <x v="0"/>
    <x v="1"/>
    <x v="1"/>
    <x v="1"/>
    <x v="2"/>
    <x v="1"/>
    <x v="2"/>
    <x v="1"/>
    <x v="2"/>
    <x v="0"/>
    <x v="1"/>
    <x v="1"/>
    <x v="2"/>
    <x v="140"/>
    <x v="4"/>
    <x v="0"/>
    <x v="0"/>
    <x v="1"/>
    <x v="0"/>
    <x v="0"/>
    <x v="0"/>
    <x v="0"/>
  </r>
  <r>
    <x v="923"/>
    <x v="460"/>
    <x v="456"/>
    <x v="450"/>
    <x v="734"/>
    <x v="1"/>
    <x v="2"/>
    <x v="465"/>
    <x v="199"/>
    <x v="1"/>
    <x v="2"/>
    <x v="0"/>
    <x v="0"/>
    <x v="1"/>
    <x v="1"/>
    <x v="1"/>
    <x v="2"/>
    <x v="1"/>
    <x v="2"/>
    <x v="1"/>
    <x v="1"/>
    <x v="216"/>
    <x v="1"/>
    <x v="1"/>
    <x v="2"/>
    <x v="458"/>
    <x v="4"/>
    <x v="3"/>
    <x v="0"/>
    <x v="1"/>
    <x v="0"/>
    <x v="535"/>
    <x v="268"/>
    <x v="281"/>
  </r>
  <r>
    <x v="924"/>
    <x v="461"/>
    <x v="457"/>
    <x v="451"/>
    <x v="735"/>
    <x v="1"/>
    <x v="3"/>
    <x v="466"/>
    <x v="227"/>
    <x v="1"/>
    <x v="176"/>
    <x v="0"/>
    <x v="0"/>
    <x v="1"/>
    <x v="1"/>
    <x v="1"/>
    <x v="2"/>
    <x v="2"/>
    <x v="2"/>
    <x v="1"/>
    <x v="2"/>
    <x v="0"/>
    <x v="1"/>
    <x v="4"/>
    <x v="2"/>
    <x v="459"/>
    <x v="12"/>
    <x v="0"/>
    <x v="0"/>
    <x v="1"/>
    <x v="0"/>
    <x v="0"/>
    <x v="0"/>
    <x v="0"/>
  </r>
  <r>
    <x v="925"/>
    <x v="462"/>
    <x v="458"/>
    <x v="452"/>
    <x v="736"/>
    <x v="1"/>
    <x v="2"/>
    <x v="467"/>
    <x v="196"/>
    <x v="6"/>
    <x v="12"/>
    <x v="0"/>
    <x v="22"/>
    <x v="1"/>
    <x v="3"/>
    <x v="3"/>
    <x v="2"/>
    <x v="1"/>
    <x v="2"/>
    <x v="1"/>
    <x v="1"/>
    <x v="216"/>
    <x v="1"/>
    <x v="1"/>
    <x v="2"/>
    <x v="460"/>
    <x v="12"/>
    <x v="3"/>
    <x v="0"/>
    <x v="1"/>
    <x v="0"/>
    <x v="536"/>
    <x v="269"/>
    <x v="0"/>
  </r>
  <r>
    <x v="926"/>
    <x v="463"/>
    <x v="459"/>
    <x v="453"/>
    <x v="737"/>
    <x v="1"/>
    <x v="1"/>
    <x v="468"/>
    <x v="10"/>
    <x v="1"/>
    <x v="177"/>
    <x v="0"/>
    <x v="0"/>
    <x v="1"/>
    <x v="1"/>
    <x v="1"/>
    <x v="1"/>
    <x v="2"/>
    <x v="1"/>
    <x v="1"/>
    <x v="2"/>
    <x v="0"/>
    <x v="1"/>
    <x v="1"/>
    <x v="2"/>
    <x v="461"/>
    <x v="2"/>
    <x v="0"/>
    <x v="0"/>
    <x v="1"/>
    <x v="0"/>
    <x v="0"/>
    <x v="0"/>
    <x v="0"/>
  </r>
  <r>
    <x v="927"/>
    <x v="464"/>
    <x v="460"/>
    <x v="454"/>
    <x v="738"/>
    <x v="1"/>
    <x v="2"/>
    <x v="469"/>
    <x v="212"/>
    <x v="1"/>
    <x v="22"/>
    <x v="0"/>
    <x v="0"/>
    <x v="1"/>
    <x v="2"/>
    <x v="3"/>
    <x v="1"/>
    <x v="1"/>
    <x v="2"/>
    <x v="1"/>
    <x v="1"/>
    <x v="212"/>
    <x v="1"/>
    <x v="1"/>
    <x v="2"/>
    <x v="462"/>
    <x v="12"/>
    <x v="1"/>
    <x v="4"/>
    <x v="1"/>
    <x v="0"/>
    <x v="537"/>
    <x v="0"/>
    <x v="282"/>
  </r>
  <r>
    <x v="928"/>
    <x v="465"/>
    <x v="461"/>
    <x v="455"/>
    <x v="739"/>
    <x v="3"/>
    <x v="2"/>
    <x v="470"/>
    <x v="294"/>
    <x v="1"/>
    <x v="33"/>
    <x v="0"/>
    <x v="0"/>
    <x v="1"/>
    <x v="3"/>
    <x v="3"/>
    <x v="2"/>
    <x v="1"/>
    <x v="2"/>
    <x v="1"/>
    <x v="1"/>
    <x v="212"/>
    <x v="1"/>
    <x v="1"/>
    <x v="2"/>
    <x v="463"/>
    <x v="12"/>
    <x v="1"/>
    <x v="7"/>
    <x v="2"/>
    <x v="1"/>
    <x v="538"/>
    <x v="0"/>
    <x v="283"/>
  </r>
  <r>
    <x v="929"/>
    <x v="466"/>
    <x v="462"/>
    <x v="456"/>
    <x v="740"/>
    <x v="1"/>
    <x v="2"/>
    <x v="471"/>
    <x v="358"/>
    <x v="1"/>
    <x v="178"/>
    <x v="0"/>
    <x v="0"/>
    <x v="1"/>
    <x v="1"/>
    <x v="1"/>
    <x v="2"/>
    <x v="1"/>
    <x v="2"/>
    <x v="1"/>
    <x v="2"/>
    <x v="0"/>
    <x v="1"/>
    <x v="1"/>
    <x v="2"/>
    <x v="464"/>
    <x v="12"/>
    <x v="0"/>
    <x v="0"/>
    <x v="1"/>
    <x v="0"/>
    <x v="0"/>
    <x v="0"/>
    <x v="0"/>
  </r>
  <r>
    <x v="930"/>
    <x v="141"/>
    <x v="141"/>
    <x v="139"/>
    <x v="741"/>
    <x v="1"/>
    <x v="1"/>
    <x v="145"/>
    <x v="125"/>
    <x v="1"/>
    <x v="3"/>
    <x v="0"/>
    <x v="0"/>
    <x v="1"/>
    <x v="1"/>
    <x v="1"/>
    <x v="2"/>
    <x v="1"/>
    <x v="2"/>
    <x v="1"/>
    <x v="2"/>
    <x v="0"/>
    <x v="1"/>
    <x v="5"/>
    <x v="2"/>
    <x v="140"/>
    <x v="12"/>
    <x v="0"/>
    <x v="0"/>
    <x v="1"/>
    <x v="0"/>
    <x v="0"/>
    <x v="0"/>
    <x v="0"/>
  </r>
  <r>
    <x v="931"/>
    <x v="467"/>
    <x v="463"/>
    <x v="457"/>
    <x v="742"/>
    <x v="1"/>
    <x v="2"/>
    <x v="472"/>
    <x v="76"/>
    <x v="2"/>
    <x v="0"/>
    <x v="2"/>
    <x v="0"/>
    <x v="1"/>
    <x v="1"/>
    <x v="1"/>
    <x v="2"/>
    <x v="1"/>
    <x v="2"/>
    <x v="1"/>
    <x v="2"/>
    <x v="0"/>
    <x v="1"/>
    <x v="5"/>
    <x v="2"/>
    <x v="465"/>
    <x v="12"/>
    <x v="0"/>
    <x v="0"/>
    <x v="1"/>
    <x v="0"/>
    <x v="0"/>
    <x v="0"/>
    <x v="0"/>
  </r>
  <r>
    <x v="932"/>
    <x v="468"/>
    <x v="461"/>
    <x v="455"/>
    <x v="743"/>
    <x v="3"/>
    <x v="2"/>
    <x v="473"/>
    <x v="294"/>
    <x v="1"/>
    <x v="33"/>
    <x v="0"/>
    <x v="0"/>
    <x v="3"/>
    <x v="1"/>
    <x v="1"/>
    <x v="2"/>
    <x v="1"/>
    <x v="2"/>
    <x v="1"/>
    <x v="1"/>
    <x v="217"/>
    <x v="1"/>
    <x v="3"/>
    <x v="4"/>
    <x v="463"/>
    <x v="12"/>
    <x v="1"/>
    <x v="1"/>
    <x v="1"/>
    <x v="0"/>
    <x v="539"/>
    <x v="270"/>
    <x v="284"/>
  </r>
  <r>
    <x v="933"/>
    <x v="469"/>
    <x v="464"/>
    <x v="458"/>
    <x v="744"/>
    <x v="1"/>
    <x v="1"/>
    <x v="474"/>
    <x v="359"/>
    <x v="1"/>
    <x v="179"/>
    <x v="0"/>
    <x v="0"/>
    <x v="1"/>
    <x v="1"/>
    <x v="1"/>
    <x v="1"/>
    <x v="1"/>
    <x v="3"/>
    <x v="1"/>
    <x v="2"/>
    <x v="0"/>
    <x v="1"/>
    <x v="1"/>
    <x v="5"/>
    <x v="466"/>
    <x v="2"/>
    <x v="0"/>
    <x v="0"/>
    <x v="1"/>
    <x v="0"/>
    <x v="0"/>
    <x v="0"/>
    <x v="0"/>
  </r>
  <r>
    <x v="934"/>
    <x v="470"/>
    <x v="465"/>
    <x v="459"/>
    <x v="745"/>
    <x v="1"/>
    <x v="4"/>
    <x v="475"/>
    <x v="205"/>
    <x v="1"/>
    <x v="180"/>
    <x v="0"/>
    <x v="0"/>
    <x v="1"/>
    <x v="1"/>
    <x v="1"/>
    <x v="1"/>
    <x v="1"/>
    <x v="2"/>
    <x v="1"/>
    <x v="2"/>
    <x v="0"/>
    <x v="1"/>
    <x v="5"/>
    <x v="2"/>
    <x v="467"/>
    <x v="12"/>
    <x v="0"/>
    <x v="0"/>
    <x v="1"/>
    <x v="0"/>
    <x v="0"/>
    <x v="0"/>
    <x v="0"/>
  </r>
  <r>
    <x v="935"/>
    <x v="141"/>
    <x v="141"/>
    <x v="139"/>
    <x v="746"/>
    <x v="1"/>
    <x v="1"/>
    <x v="145"/>
    <x v="125"/>
    <x v="2"/>
    <x v="0"/>
    <x v="2"/>
    <x v="0"/>
    <x v="1"/>
    <x v="3"/>
    <x v="3"/>
    <x v="2"/>
    <x v="1"/>
    <x v="2"/>
    <x v="1"/>
    <x v="1"/>
    <x v="217"/>
    <x v="1"/>
    <x v="6"/>
    <x v="2"/>
    <x v="140"/>
    <x v="5"/>
    <x v="3"/>
    <x v="0"/>
    <x v="1"/>
    <x v="0"/>
    <x v="540"/>
    <x v="0"/>
    <x v="285"/>
  </r>
  <r>
    <x v="936"/>
    <x v="471"/>
    <x v="466"/>
    <x v="460"/>
    <x v="747"/>
    <x v="1"/>
    <x v="2"/>
    <x v="476"/>
    <x v="341"/>
    <x v="1"/>
    <x v="33"/>
    <x v="0"/>
    <x v="0"/>
    <x v="1"/>
    <x v="1"/>
    <x v="2"/>
    <x v="2"/>
    <x v="1"/>
    <x v="2"/>
    <x v="1"/>
    <x v="1"/>
    <x v="207"/>
    <x v="1"/>
    <x v="6"/>
    <x v="2"/>
    <x v="468"/>
    <x v="5"/>
    <x v="1"/>
    <x v="7"/>
    <x v="2"/>
    <x v="1"/>
    <x v="541"/>
    <x v="0"/>
    <x v="0"/>
  </r>
  <r>
    <x v="937"/>
    <x v="468"/>
    <x v="461"/>
    <x v="455"/>
    <x v="0"/>
    <x v="1"/>
    <x v="2"/>
    <x v="473"/>
    <x v="294"/>
    <x v="1"/>
    <x v="33"/>
    <x v="0"/>
    <x v="0"/>
    <x v="3"/>
    <x v="1"/>
    <x v="1"/>
    <x v="2"/>
    <x v="1"/>
    <x v="2"/>
    <x v="1"/>
    <x v="1"/>
    <x v="207"/>
    <x v="2"/>
    <x v="3"/>
    <x v="4"/>
    <x v="463"/>
    <x v="5"/>
    <x v="3"/>
    <x v="0"/>
    <x v="1"/>
    <x v="0"/>
    <x v="542"/>
    <x v="0"/>
    <x v="0"/>
  </r>
  <r>
    <x v="938"/>
    <x v="472"/>
    <x v="467"/>
    <x v="461"/>
    <x v="748"/>
    <x v="3"/>
    <x v="3"/>
    <x v="477"/>
    <x v="360"/>
    <x v="1"/>
    <x v="9"/>
    <x v="0"/>
    <x v="0"/>
    <x v="1"/>
    <x v="1"/>
    <x v="1"/>
    <x v="2"/>
    <x v="1"/>
    <x v="2"/>
    <x v="1"/>
    <x v="1"/>
    <x v="218"/>
    <x v="1"/>
    <x v="6"/>
    <x v="2"/>
    <x v="469"/>
    <x v="5"/>
    <x v="1"/>
    <x v="1"/>
    <x v="1"/>
    <x v="0"/>
    <x v="543"/>
    <x v="271"/>
    <x v="0"/>
  </r>
  <r>
    <x v="939"/>
    <x v="141"/>
    <x v="141"/>
    <x v="139"/>
    <x v="749"/>
    <x v="1"/>
    <x v="1"/>
    <x v="145"/>
    <x v="125"/>
    <x v="2"/>
    <x v="0"/>
    <x v="2"/>
    <x v="0"/>
    <x v="1"/>
    <x v="3"/>
    <x v="3"/>
    <x v="2"/>
    <x v="1"/>
    <x v="2"/>
    <x v="1"/>
    <x v="1"/>
    <x v="219"/>
    <x v="1"/>
    <x v="6"/>
    <x v="2"/>
    <x v="140"/>
    <x v="12"/>
    <x v="3"/>
    <x v="0"/>
    <x v="1"/>
    <x v="0"/>
    <x v="544"/>
    <x v="272"/>
    <x v="286"/>
  </r>
  <r>
    <x v="940"/>
    <x v="471"/>
    <x v="466"/>
    <x v="460"/>
    <x v="750"/>
    <x v="1"/>
    <x v="2"/>
    <x v="476"/>
    <x v="341"/>
    <x v="1"/>
    <x v="33"/>
    <x v="0"/>
    <x v="0"/>
    <x v="3"/>
    <x v="1"/>
    <x v="1"/>
    <x v="2"/>
    <x v="1"/>
    <x v="2"/>
    <x v="1"/>
    <x v="1"/>
    <x v="219"/>
    <x v="1"/>
    <x v="3"/>
    <x v="4"/>
    <x v="468"/>
    <x v="12"/>
    <x v="1"/>
    <x v="1"/>
    <x v="1"/>
    <x v="0"/>
    <x v="545"/>
    <x v="273"/>
    <x v="0"/>
  </r>
  <r>
    <x v="941"/>
    <x v="128"/>
    <x v="128"/>
    <x v="126"/>
    <x v="751"/>
    <x v="1"/>
    <x v="2"/>
    <x v="82"/>
    <x v="361"/>
    <x v="1"/>
    <x v="181"/>
    <x v="0"/>
    <x v="0"/>
    <x v="1"/>
    <x v="1"/>
    <x v="1"/>
    <x v="2"/>
    <x v="1"/>
    <x v="3"/>
    <x v="1"/>
    <x v="1"/>
    <x v="219"/>
    <x v="1"/>
    <x v="1"/>
    <x v="2"/>
    <x v="127"/>
    <x v="4"/>
    <x v="3"/>
    <x v="0"/>
    <x v="1"/>
    <x v="0"/>
    <x v="546"/>
    <x v="0"/>
    <x v="287"/>
  </r>
  <r>
    <x v="942"/>
    <x v="451"/>
    <x v="447"/>
    <x v="442"/>
    <x v="0"/>
    <x v="1"/>
    <x v="2"/>
    <x v="457"/>
    <x v="351"/>
    <x v="1"/>
    <x v="70"/>
    <x v="0"/>
    <x v="0"/>
    <x v="3"/>
    <x v="1"/>
    <x v="1"/>
    <x v="2"/>
    <x v="1"/>
    <x v="2"/>
    <x v="1"/>
    <x v="2"/>
    <x v="0"/>
    <x v="2"/>
    <x v="3"/>
    <x v="4"/>
    <x v="450"/>
    <x v="4"/>
    <x v="0"/>
    <x v="0"/>
    <x v="1"/>
    <x v="0"/>
    <x v="0"/>
    <x v="0"/>
    <x v="0"/>
  </r>
  <r>
    <x v="943"/>
    <x v="441"/>
    <x v="437"/>
    <x v="432"/>
    <x v="752"/>
    <x v="1"/>
    <x v="2"/>
    <x v="447"/>
    <x v="310"/>
    <x v="1"/>
    <x v="182"/>
    <x v="0"/>
    <x v="0"/>
    <x v="1"/>
    <x v="3"/>
    <x v="3"/>
    <x v="2"/>
    <x v="1"/>
    <x v="2"/>
    <x v="1"/>
    <x v="1"/>
    <x v="220"/>
    <x v="1"/>
    <x v="1"/>
    <x v="2"/>
    <x v="440"/>
    <x v="13"/>
    <x v="1"/>
    <x v="4"/>
    <x v="2"/>
    <x v="1"/>
    <x v="547"/>
    <x v="274"/>
    <x v="0"/>
  </r>
  <r>
    <x v="944"/>
    <x v="472"/>
    <x v="467"/>
    <x v="461"/>
    <x v="0"/>
    <x v="1"/>
    <x v="3"/>
    <x v="477"/>
    <x v="360"/>
    <x v="1"/>
    <x v="9"/>
    <x v="0"/>
    <x v="0"/>
    <x v="3"/>
    <x v="1"/>
    <x v="1"/>
    <x v="2"/>
    <x v="1"/>
    <x v="2"/>
    <x v="1"/>
    <x v="1"/>
    <x v="220"/>
    <x v="2"/>
    <x v="3"/>
    <x v="4"/>
    <x v="469"/>
    <x v="5"/>
    <x v="1"/>
    <x v="1"/>
    <x v="1"/>
    <x v="0"/>
    <x v="548"/>
    <x v="275"/>
    <x v="288"/>
  </r>
  <r>
    <x v="945"/>
    <x v="471"/>
    <x v="466"/>
    <x v="460"/>
    <x v="0"/>
    <x v="1"/>
    <x v="2"/>
    <x v="476"/>
    <x v="341"/>
    <x v="1"/>
    <x v="33"/>
    <x v="0"/>
    <x v="0"/>
    <x v="3"/>
    <x v="1"/>
    <x v="1"/>
    <x v="2"/>
    <x v="1"/>
    <x v="2"/>
    <x v="1"/>
    <x v="1"/>
    <x v="221"/>
    <x v="2"/>
    <x v="3"/>
    <x v="4"/>
    <x v="468"/>
    <x v="5"/>
    <x v="1"/>
    <x v="1"/>
    <x v="1"/>
    <x v="0"/>
    <x v="549"/>
    <x v="0"/>
    <x v="0"/>
  </r>
  <r>
    <x v="946"/>
    <x v="473"/>
    <x v="468"/>
    <x v="462"/>
    <x v="753"/>
    <x v="3"/>
    <x v="1"/>
    <x v="478"/>
    <x v="362"/>
    <x v="1"/>
    <x v="183"/>
    <x v="0"/>
    <x v="0"/>
    <x v="1"/>
    <x v="1"/>
    <x v="1"/>
    <x v="2"/>
    <x v="1"/>
    <x v="2"/>
    <x v="1"/>
    <x v="2"/>
    <x v="0"/>
    <x v="1"/>
    <x v="1"/>
    <x v="2"/>
    <x v="470"/>
    <x v="4"/>
    <x v="0"/>
    <x v="0"/>
    <x v="1"/>
    <x v="0"/>
    <x v="0"/>
    <x v="0"/>
    <x v="0"/>
  </r>
  <r>
    <x v="947"/>
    <x v="474"/>
    <x v="469"/>
    <x v="463"/>
    <x v="754"/>
    <x v="1"/>
    <x v="2"/>
    <x v="479"/>
    <x v="117"/>
    <x v="2"/>
    <x v="0"/>
    <x v="2"/>
    <x v="0"/>
    <x v="1"/>
    <x v="2"/>
    <x v="3"/>
    <x v="2"/>
    <x v="1"/>
    <x v="2"/>
    <x v="1"/>
    <x v="1"/>
    <x v="220"/>
    <x v="1"/>
    <x v="5"/>
    <x v="2"/>
    <x v="471"/>
    <x v="5"/>
    <x v="1"/>
    <x v="1"/>
    <x v="1"/>
    <x v="0"/>
    <x v="550"/>
    <x v="0"/>
    <x v="289"/>
  </r>
  <r>
    <x v="948"/>
    <x v="474"/>
    <x v="469"/>
    <x v="463"/>
    <x v="0"/>
    <x v="1"/>
    <x v="2"/>
    <x v="479"/>
    <x v="117"/>
    <x v="2"/>
    <x v="0"/>
    <x v="2"/>
    <x v="0"/>
    <x v="3"/>
    <x v="1"/>
    <x v="1"/>
    <x v="2"/>
    <x v="1"/>
    <x v="2"/>
    <x v="1"/>
    <x v="2"/>
    <x v="0"/>
    <x v="2"/>
    <x v="3"/>
    <x v="4"/>
    <x v="471"/>
    <x v="5"/>
    <x v="0"/>
    <x v="0"/>
    <x v="1"/>
    <x v="0"/>
    <x v="0"/>
    <x v="0"/>
    <x v="0"/>
  </r>
  <r>
    <x v="949"/>
    <x v="472"/>
    <x v="467"/>
    <x v="461"/>
    <x v="0"/>
    <x v="3"/>
    <x v="3"/>
    <x v="477"/>
    <x v="360"/>
    <x v="1"/>
    <x v="9"/>
    <x v="0"/>
    <x v="0"/>
    <x v="3"/>
    <x v="4"/>
    <x v="1"/>
    <x v="2"/>
    <x v="1"/>
    <x v="2"/>
    <x v="1"/>
    <x v="2"/>
    <x v="0"/>
    <x v="2"/>
    <x v="3"/>
    <x v="4"/>
    <x v="469"/>
    <x v="5"/>
    <x v="0"/>
    <x v="0"/>
    <x v="1"/>
    <x v="0"/>
    <x v="0"/>
    <x v="0"/>
    <x v="0"/>
  </r>
  <r>
    <x v="950"/>
    <x v="441"/>
    <x v="437"/>
    <x v="432"/>
    <x v="755"/>
    <x v="1"/>
    <x v="2"/>
    <x v="447"/>
    <x v="310"/>
    <x v="1"/>
    <x v="184"/>
    <x v="0"/>
    <x v="0"/>
    <x v="3"/>
    <x v="1"/>
    <x v="1"/>
    <x v="2"/>
    <x v="1"/>
    <x v="1"/>
    <x v="1"/>
    <x v="2"/>
    <x v="0"/>
    <x v="1"/>
    <x v="3"/>
    <x v="4"/>
    <x v="440"/>
    <x v="1"/>
    <x v="0"/>
    <x v="0"/>
    <x v="1"/>
    <x v="0"/>
    <x v="0"/>
    <x v="0"/>
    <x v="0"/>
  </r>
  <r>
    <x v="951"/>
    <x v="475"/>
    <x v="470"/>
    <x v="464"/>
    <x v="756"/>
    <x v="1"/>
    <x v="1"/>
    <x v="248"/>
    <x v="80"/>
    <x v="1"/>
    <x v="36"/>
    <x v="0"/>
    <x v="0"/>
    <x v="1"/>
    <x v="1"/>
    <x v="1"/>
    <x v="2"/>
    <x v="1"/>
    <x v="2"/>
    <x v="1"/>
    <x v="1"/>
    <x v="220"/>
    <x v="1"/>
    <x v="1"/>
    <x v="2"/>
    <x v="472"/>
    <x v="5"/>
    <x v="1"/>
    <x v="1"/>
    <x v="2"/>
    <x v="1"/>
    <x v="551"/>
    <x v="0"/>
    <x v="290"/>
  </r>
  <r>
    <x v="952"/>
    <x v="438"/>
    <x v="434"/>
    <x v="429"/>
    <x v="757"/>
    <x v="1"/>
    <x v="2"/>
    <x v="444"/>
    <x v="339"/>
    <x v="1"/>
    <x v="31"/>
    <x v="0"/>
    <x v="0"/>
    <x v="1"/>
    <x v="1"/>
    <x v="1"/>
    <x v="2"/>
    <x v="1"/>
    <x v="2"/>
    <x v="1"/>
    <x v="1"/>
    <x v="220"/>
    <x v="1"/>
    <x v="1"/>
    <x v="2"/>
    <x v="437"/>
    <x v="5"/>
    <x v="3"/>
    <x v="0"/>
    <x v="1"/>
    <x v="0"/>
    <x v="552"/>
    <x v="0"/>
    <x v="291"/>
  </r>
  <r>
    <x v="953"/>
    <x v="172"/>
    <x v="172"/>
    <x v="170"/>
    <x v="758"/>
    <x v="1"/>
    <x v="2"/>
    <x v="181"/>
    <x v="37"/>
    <x v="2"/>
    <x v="0"/>
    <x v="2"/>
    <x v="0"/>
    <x v="1"/>
    <x v="1"/>
    <x v="1"/>
    <x v="2"/>
    <x v="1"/>
    <x v="2"/>
    <x v="1"/>
    <x v="1"/>
    <x v="220"/>
    <x v="1"/>
    <x v="1"/>
    <x v="2"/>
    <x v="171"/>
    <x v="5"/>
    <x v="1"/>
    <x v="4"/>
    <x v="1"/>
    <x v="0"/>
    <x v="0"/>
    <x v="0"/>
    <x v="0"/>
  </r>
  <r>
    <x v="954"/>
    <x v="299"/>
    <x v="300"/>
    <x v="295"/>
    <x v="759"/>
    <x v="2"/>
    <x v="2"/>
    <x v="314"/>
    <x v="196"/>
    <x v="6"/>
    <x v="0"/>
    <x v="0"/>
    <x v="4"/>
    <x v="1"/>
    <x v="1"/>
    <x v="2"/>
    <x v="2"/>
    <x v="2"/>
    <x v="3"/>
    <x v="1"/>
    <x v="1"/>
    <x v="222"/>
    <x v="1"/>
    <x v="1"/>
    <x v="2"/>
    <x v="301"/>
    <x v="1"/>
    <x v="3"/>
    <x v="0"/>
    <x v="1"/>
    <x v="0"/>
    <x v="553"/>
    <x v="276"/>
    <x v="0"/>
  </r>
  <r>
    <x v="955"/>
    <x v="209"/>
    <x v="207"/>
    <x v="205"/>
    <x v="760"/>
    <x v="1"/>
    <x v="2"/>
    <x v="218"/>
    <x v="103"/>
    <x v="2"/>
    <x v="0"/>
    <x v="5"/>
    <x v="0"/>
    <x v="1"/>
    <x v="2"/>
    <x v="3"/>
    <x v="2"/>
    <x v="1"/>
    <x v="2"/>
    <x v="1"/>
    <x v="1"/>
    <x v="221"/>
    <x v="1"/>
    <x v="1"/>
    <x v="2"/>
    <x v="209"/>
    <x v="5"/>
    <x v="1"/>
    <x v="1"/>
    <x v="1"/>
    <x v="0"/>
    <x v="554"/>
    <x v="277"/>
    <x v="0"/>
  </r>
  <r>
    <x v="956"/>
    <x v="475"/>
    <x v="470"/>
    <x v="464"/>
    <x v="761"/>
    <x v="1"/>
    <x v="1"/>
    <x v="248"/>
    <x v="80"/>
    <x v="1"/>
    <x v="36"/>
    <x v="0"/>
    <x v="0"/>
    <x v="3"/>
    <x v="2"/>
    <x v="3"/>
    <x v="2"/>
    <x v="1"/>
    <x v="2"/>
    <x v="1"/>
    <x v="1"/>
    <x v="221"/>
    <x v="2"/>
    <x v="3"/>
    <x v="4"/>
    <x v="472"/>
    <x v="5"/>
    <x v="1"/>
    <x v="1"/>
    <x v="1"/>
    <x v="0"/>
    <x v="555"/>
    <x v="278"/>
    <x v="292"/>
  </r>
  <r>
    <x v="957"/>
    <x v="172"/>
    <x v="172"/>
    <x v="170"/>
    <x v="762"/>
    <x v="1"/>
    <x v="2"/>
    <x v="181"/>
    <x v="37"/>
    <x v="1"/>
    <x v="4"/>
    <x v="0"/>
    <x v="0"/>
    <x v="3"/>
    <x v="3"/>
    <x v="3"/>
    <x v="2"/>
    <x v="1"/>
    <x v="2"/>
    <x v="1"/>
    <x v="1"/>
    <x v="221"/>
    <x v="1"/>
    <x v="3"/>
    <x v="4"/>
    <x v="171"/>
    <x v="1"/>
    <x v="3"/>
    <x v="0"/>
    <x v="1"/>
    <x v="0"/>
    <x v="556"/>
    <x v="279"/>
    <x v="0"/>
  </r>
  <r>
    <x v="958"/>
    <x v="200"/>
    <x v="198"/>
    <x v="196"/>
    <x v="763"/>
    <x v="1"/>
    <x v="2"/>
    <x v="209"/>
    <x v="171"/>
    <x v="1"/>
    <x v="15"/>
    <x v="0"/>
    <x v="0"/>
    <x v="1"/>
    <x v="2"/>
    <x v="3"/>
    <x v="1"/>
    <x v="2"/>
    <x v="2"/>
    <x v="1"/>
    <x v="1"/>
    <x v="221"/>
    <x v="1"/>
    <x v="5"/>
    <x v="2"/>
    <x v="473"/>
    <x v="5"/>
    <x v="1"/>
    <x v="1"/>
    <x v="1"/>
    <x v="0"/>
    <x v="557"/>
    <x v="0"/>
    <x v="293"/>
  </r>
  <r>
    <x v="959"/>
    <x v="476"/>
    <x v="471"/>
    <x v="465"/>
    <x v="764"/>
    <x v="3"/>
    <x v="1"/>
    <x v="480"/>
    <x v="10"/>
    <x v="1"/>
    <x v="22"/>
    <x v="0"/>
    <x v="0"/>
    <x v="1"/>
    <x v="1"/>
    <x v="1"/>
    <x v="2"/>
    <x v="1"/>
    <x v="2"/>
    <x v="1"/>
    <x v="2"/>
    <x v="0"/>
    <x v="1"/>
    <x v="5"/>
    <x v="2"/>
    <x v="474"/>
    <x v="5"/>
    <x v="0"/>
    <x v="0"/>
    <x v="1"/>
    <x v="0"/>
    <x v="0"/>
    <x v="0"/>
    <x v="0"/>
  </r>
  <r>
    <x v="960"/>
    <x v="477"/>
    <x v="198"/>
    <x v="196"/>
    <x v="0"/>
    <x v="1"/>
    <x v="2"/>
    <x v="209"/>
    <x v="171"/>
    <x v="1"/>
    <x v="15"/>
    <x v="0"/>
    <x v="0"/>
    <x v="3"/>
    <x v="2"/>
    <x v="3"/>
    <x v="1"/>
    <x v="2"/>
    <x v="2"/>
    <x v="1"/>
    <x v="1"/>
    <x v="221"/>
    <x v="2"/>
    <x v="3"/>
    <x v="4"/>
    <x v="473"/>
    <x v="5"/>
    <x v="3"/>
    <x v="0"/>
    <x v="1"/>
    <x v="0"/>
    <x v="558"/>
    <x v="280"/>
    <x v="293"/>
  </r>
  <r>
    <x v="961"/>
    <x v="464"/>
    <x v="460"/>
    <x v="454"/>
    <x v="765"/>
    <x v="1"/>
    <x v="2"/>
    <x v="469"/>
    <x v="212"/>
    <x v="1"/>
    <x v="2"/>
    <x v="0"/>
    <x v="0"/>
    <x v="1"/>
    <x v="2"/>
    <x v="3"/>
    <x v="2"/>
    <x v="1"/>
    <x v="2"/>
    <x v="1"/>
    <x v="1"/>
    <x v="221"/>
    <x v="1"/>
    <x v="1"/>
    <x v="2"/>
    <x v="462"/>
    <x v="5"/>
    <x v="3"/>
    <x v="0"/>
    <x v="1"/>
    <x v="0"/>
    <x v="559"/>
    <x v="0"/>
    <x v="0"/>
  </r>
  <r>
    <x v="962"/>
    <x v="471"/>
    <x v="466"/>
    <x v="460"/>
    <x v="0"/>
    <x v="1"/>
    <x v="2"/>
    <x v="476"/>
    <x v="341"/>
    <x v="1"/>
    <x v="33"/>
    <x v="0"/>
    <x v="0"/>
    <x v="3"/>
    <x v="5"/>
    <x v="1"/>
    <x v="2"/>
    <x v="1"/>
    <x v="2"/>
    <x v="1"/>
    <x v="2"/>
    <x v="0"/>
    <x v="2"/>
    <x v="3"/>
    <x v="4"/>
    <x v="468"/>
    <x v="5"/>
    <x v="0"/>
    <x v="0"/>
    <x v="1"/>
    <x v="0"/>
    <x v="0"/>
    <x v="0"/>
    <x v="0"/>
  </r>
  <r>
    <x v="963"/>
    <x v="478"/>
    <x v="472"/>
    <x v="466"/>
    <x v="766"/>
    <x v="1"/>
    <x v="2"/>
    <x v="481"/>
    <x v="359"/>
    <x v="1"/>
    <x v="9"/>
    <x v="0"/>
    <x v="0"/>
    <x v="1"/>
    <x v="3"/>
    <x v="3"/>
    <x v="2"/>
    <x v="1"/>
    <x v="2"/>
    <x v="1"/>
    <x v="1"/>
    <x v="222"/>
    <x v="1"/>
    <x v="1"/>
    <x v="2"/>
    <x v="475"/>
    <x v="13"/>
    <x v="1"/>
    <x v="4"/>
    <x v="1"/>
    <x v="0"/>
    <x v="560"/>
    <x v="0"/>
    <x v="0"/>
  </r>
  <r>
    <x v="964"/>
    <x v="479"/>
    <x v="473"/>
    <x v="467"/>
    <x v="767"/>
    <x v="1"/>
    <x v="2"/>
    <x v="482"/>
    <x v="363"/>
    <x v="2"/>
    <x v="0"/>
    <x v="2"/>
    <x v="0"/>
    <x v="1"/>
    <x v="1"/>
    <x v="1"/>
    <x v="2"/>
    <x v="1"/>
    <x v="1"/>
    <x v="1"/>
    <x v="1"/>
    <x v="221"/>
    <x v="2"/>
    <x v="1"/>
    <x v="2"/>
    <x v="476"/>
    <x v="1"/>
    <x v="1"/>
    <x v="4"/>
    <x v="1"/>
    <x v="0"/>
    <x v="561"/>
    <x v="0"/>
    <x v="0"/>
  </r>
  <r>
    <x v="965"/>
    <x v="480"/>
    <x v="474"/>
    <x v="468"/>
    <x v="768"/>
    <x v="1"/>
    <x v="2"/>
    <x v="483"/>
    <x v="161"/>
    <x v="1"/>
    <x v="15"/>
    <x v="0"/>
    <x v="0"/>
    <x v="1"/>
    <x v="5"/>
    <x v="1"/>
    <x v="2"/>
    <x v="1"/>
    <x v="1"/>
    <x v="1"/>
    <x v="1"/>
    <x v="222"/>
    <x v="2"/>
    <x v="1"/>
    <x v="2"/>
    <x v="477"/>
    <x v="1"/>
    <x v="1"/>
    <x v="4"/>
    <x v="1"/>
    <x v="0"/>
    <x v="562"/>
    <x v="0"/>
    <x v="0"/>
  </r>
  <r>
    <x v="966"/>
    <x v="209"/>
    <x v="207"/>
    <x v="205"/>
    <x v="0"/>
    <x v="1"/>
    <x v="2"/>
    <x v="218"/>
    <x v="103"/>
    <x v="2"/>
    <x v="0"/>
    <x v="5"/>
    <x v="0"/>
    <x v="3"/>
    <x v="4"/>
    <x v="1"/>
    <x v="2"/>
    <x v="1"/>
    <x v="2"/>
    <x v="1"/>
    <x v="2"/>
    <x v="0"/>
    <x v="2"/>
    <x v="3"/>
    <x v="4"/>
    <x v="209"/>
    <x v="5"/>
    <x v="0"/>
    <x v="0"/>
    <x v="1"/>
    <x v="0"/>
    <x v="0"/>
    <x v="0"/>
    <x v="0"/>
  </r>
  <r>
    <x v="967"/>
    <x v="481"/>
    <x v="475"/>
    <x v="469"/>
    <x v="769"/>
    <x v="1"/>
    <x v="3"/>
    <x v="484"/>
    <x v="364"/>
    <x v="1"/>
    <x v="15"/>
    <x v="0"/>
    <x v="0"/>
    <x v="1"/>
    <x v="1"/>
    <x v="1"/>
    <x v="1"/>
    <x v="1"/>
    <x v="2"/>
    <x v="2"/>
    <x v="1"/>
    <x v="221"/>
    <x v="1"/>
    <x v="1"/>
    <x v="2"/>
    <x v="478"/>
    <x v="4"/>
    <x v="1"/>
    <x v="2"/>
    <x v="1"/>
    <x v="0"/>
    <x v="563"/>
    <x v="0"/>
    <x v="0"/>
  </r>
  <r>
    <x v="968"/>
    <x v="479"/>
    <x v="473"/>
    <x v="467"/>
    <x v="0"/>
    <x v="1"/>
    <x v="2"/>
    <x v="482"/>
    <x v="161"/>
    <x v="1"/>
    <x v="15"/>
    <x v="0"/>
    <x v="0"/>
    <x v="3"/>
    <x v="1"/>
    <x v="1"/>
    <x v="2"/>
    <x v="1"/>
    <x v="1"/>
    <x v="1"/>
    <x v="2"/>
    <x v="0"/>
    <x v="2"/>
    <x v="3"/>
    <x v="4"/>
    <x v="476"/>
    <x v="1"/>
    <x v="0"/>
    <x v="0"/>
    <x v="1"/>
    <x v="0"/>
    <x v="0"/>
    <x v="0"/>
    <x v="0"/>
  </r>
  <r>
    <x v="969"/>
    <x v="481"/>
    <x v="475"/>
    <x v="469"/>
    <x v="769"/>
    <x v="1"/>
    <x v="3"/>
    <x v="484"/>
    <x v="364"/>
    <x v="1"/>
    <x v="15"/>
    <x v="0"/>
    <x v="0"/>
    <x v="3"/>
    <x v="4"/>
    <x v="1"/>
    <x v="1"/>
    <x v="1"/>
    <x v="2"/>
    <x v="2"/>
    <x v="1"/>
    <x v="222"/>
    <x v="2"/>
    <x v="3"/>
    <x v="4"/>
    <x v="478"/>
    <x v="4"/>
    <x v="1"/>
    <x v="4"/>
    <x v="2"/>
    <x v="1"/>
    <x v="564"/>
    <x v="0"/>
    <x v="0"/>
  </r>
  <r>
    <x v="970"/>
    <x v="475"/>
    <x v="470"/>
    <x v="464"/>
    <x v="0"/>
    <x v="1"/>
    <x v="1"/>
    <x v="248"/>
    <x v="80"/>
    <x v="1"/>
    <x v="36"/>
    <x v="0"/>
    <x v="0"/>
    <x v="3"/>
    <x v="1"/>
    <x v="1"/>
    <x v="2"/>
    <x v="1"/>
    <x v="2"/>
    <x v="1"/>
    <x v="2"/>
    <x v="0"/>
    <x v="2"/>
    <x v="3"/>
    <x v="4"/>
    <x v="472"/>
    <x v="5"/>
    <x v="0"/>
    <x v="0"/>
    <x v="1"/>
    <x v="0"/>
    <x v="0"/>
    <x v="0"/>
    <x v="0"/>
  </r>
  <r>
    <x v="971"/>
    <x v="478"/>
    <x v="472"/>
    <x v="466"/>
    <x v="0"/>
    <x v="1"/>
    <x v="2"/>
    <x v="481"/>
    <x v="359"/>
    <x v="1"/>
    <x v="9"/>
    <x v="0"/>
    <x v="0"/>
    <x v="3"/>
    <x v="4"/>
    <x v="1"/>
    <x v="2"/>
    <x v="1"/>
    <x v="2"/>
    <x v="1"/>
    <x v="2"/>
    <x v="0"/>
    <x v="2"/>
    <x v="3"/>
    <x v="4"/>
    <x v="475"/>
    <x v="1"/>
    <x v="0"/>
    <x v="0"/>
    <x v="1"/>
    <x v="0"/>
    <x v="0"/>
    <x v="0"/>
    <x v="0"/>
  </r>
  <r>
    <x v="972"/>
    <x v="480"/>
    <x v="474"/>
    <x v="468"/>
    <x v="0"/>
    <x v="1"/>
    <x v="2"/>
    <x v="483"/>
    <x v="161"/>
    <x v="1"/>
    <x v="15"/>
    <x v="0"/>
    <x v="0"/>
    <x v="3"/>
    <x v="1"/>
    <x v="1"/>
    <x v="2"/>
    <x v="1"/>
    <x v="1"/>
    <x v="1"/>
    <x v="2"/>
    <x v="0"/>
    <x v="2"/>
    <x v="3"/>
    <x v="4"/>
    <x v="477"/>
    <x v="1"/>
    <x v="0"/>
    <x v="0"/>
    <x v="1"/>
    <x v="0"/>
    <x v="0"/>
    <x v="0"/>
    <x v="0"/>
  </r>
  <r>
    <x v="973"/>
    <x v="481"/>
    <x v="475"/>
    <x v="469"/>
    <x v="770"/>
    <x v="1"/>
    <x v="3"/>
    <x v="484"/>
    <x v="364"/>
    <x v="1"/>
    <x v="15"/>
    <x v="0"/>
    <x v="0"/>
    <x v="3"/>
    <x v="1"/>
    <x v="1"/>
    <x v="2"/>
    <x v="1"/>
    <x v="2"/>
    <x v="2"/>
    <x v="2"/>
    <x v="0"/>
    <x v="1"/>
    <x v="3"/>
    <x v="4"/>
    <x v="478"/>
    <x v="1"/>
    <x v="0"/>
    <x v="0"/>
    <x v="1"/>
    <x v="0"/>
    <x v="0"/>
    <x v="0"/>
    <x v="0"/>
  </r>
  <r>
    <x v="974"/>
    <x v="482"/>
    <x v="476"/>
    <x v="470"/>
    <x v="771"/>
    <x v="3"/>
    <x v="1"/>
    <x v="485"/>
    <x v="115"/>
    <x v="1"/>
    <x v="4"/>
    <x v="0"/>
    <x v="0"/>
    <x v="1"/>
    <x v="3"/>
    <x v="3"/>
    <x v="2"/>
    <x v="1"/>
    <x v="2"/>
    <x v="1"/>
    <x v="1"/>
    <x v="223"/>
    <x v="1"/>
    <x v="1"/>
    <x v="2"/>
    <x v="479"/>
    <x v="12"/>
    <x v="3"/>
    <x v="0"/>
    <x v="1"/>
    <x v="0"/>
    <x v="565"/>
    <x v="281"/>
    <x v="294"/>
  </r>
  <r>
    <x v="975"/>
    <x v="483"/>
    <x v="477"/>
    <x v="471"/>
    <x v="772"/>
    <x v="3"/>
    <x v="2"/>
    <x v="486"/>
    <x v="150"/>
    <x v="1"/>
    <x v="4"/>
    <x v="0"/>
    <x v="0"/>
    <x v="1"/>
    <x v="3"/>
    <x v="3"/>
    <x v="2"/>
    <x v="1"/>
    <x v="3"/>
    <x v="1"/>
    <x v="1"/>
    <x v="223"/>
    <x v="1"/>
    <x v="1"/>
    <x v="2"/>
    <x v="480"/>
    <x v="1"/>
    <x v="1"/>
    <x v="7"/>
    <x v="1"/>
    <x v="0"/>
    <x v="566"/>
    <x v="0"/>
    <x v="295"/>
  </r>
  <r>
    <x v="976"/>
    <x v="484"/>
    <x v="478"/>
    <x v="472"/>
    <x v="773"/>
    <x v="3"/>
    <x v="6"/>
    <x v="487"/>
    <x v="279"/>
    <x v="1"/>
    <x v="15"/>
    <x v="0"/>
    <x v="0"/>
    <x v="2"/>
    <x v="7"/>
    <x v="3"/>
    <x v="2"/>
    <x v="1"/>
    <x v="3"/>
    <x v="1"/>
    <x v="2"/>
    <x v="0"/>
    <x v="3"/>
    <x v="1"/>
    <x v="2"/>
    <x v="481"/>
    <x v="12"/>
    <x v="0"/>
    <x v="0"/>
    <x v="1"/>
    <x v="0"/>
    <x v="0"/>
    <x v="0"/>
    <x v="0"/>
  </r>
  <r>
    <x v="977"/>
    <x v="485"/>
    <x v="479"/>
    <x v="473"/>
    <x v="774"/>
    <x v="1"/>
    <x v="2"/>
    <x v="488"/>
    <x v="312"/>
    <x v="1"/>
    <x v="9"/>
    <x v="0"/>
    <x v="0"/>
    <x v="1"/>
    <x v="1"/>
    <x v="1"/>
    <x v="2"/>
    <x v="2"/>
    <x v="1"/>
    <x v="1"/>
    <x v="2"/>
    <x v="0"/>
    <x v="1"/>
    <x v="6"/>
    <x v="2"/>
    <x v="482"/>
    <x v="12"/>
    <x v="0"/>
    <x v="0"/>
    <x v="1"/>
    <x v="0"/>
    <x v="0"/>
    <x v="0"/>
    <x v="0"/>
  </r>
  <r>
    <x v="978"/>
    <x v="486"/>
    <x v="26"/>
    <x v="26"/>
    <x v="775"/>
    <x v="1"/>
    <x v="2"/>
    <x v="28"/>
    <x v="71"/>
    <x v="1"/>
    <x v="3"/>
    <x v="0"/>
    <x v="0"/>
    <x v="1"/>
    <x v="3"/>
    <x v="2"/>
    <x v="2"/>
    <x v="1"/>
    <x v="2"/>
    <x v="1"/>
    <x v="1"/>
    <x v="224"/>
    <x v="1"/>
    <x v="6"/>
    <x v="2"/>
    <x v="26"/>
    <x v="12"/>
    <x v="1"/>
    <x v="1"/>
    <x v="1"/>
    <x v="0"/>
    <x v="567"/>
    <x v="282"/>
    <x v="0"/>
  </r>
  <r>
    <x v="979"/>
    <x v="483"/>
    <x v="477"/>
    <x v="471"/>
    <x v="0"/>
    <x v="1"/>
    <x v="2"/>
    <x v="486"/>
    <x v="150"/>
    <x v="1"/>
    <x v="4"/>
    <x v="0"/>
    <x v="0"/>
    <x v="3"/>
    <x v="1"/>
    <x v="1"/>
    <x v="2"/>
    <x v="1"/>
    <x v="2"/>
    <x v="1"/>
    <x v="2"/>
    <x v="0"/>
    <x v="2"/>
    <x v="3"/>
    <x v="4"/>
    <x v="480"/>
    <x v="12"/>
    <x v="0"/>
    <x v="0"/>
    <x v="1"/>
    <x v="0"/>
    <x v="0"/>
    <x v="0"/>
    <x v="0"/>
  </r>
  <r>
    <x v="980"/>
    <x v="115"/>
    <x v="114"/>
    <x v="113"/>
    <x v="776"/>
    <x v="3"/>
    <x v="2"/>
    <x v="120"/>
    <x v="111"/>
    <x v="1"/>
    <x v="22"/>
    <x v="0"/>
    <x v="0"/>
    <x v="1"/>
    <x v="1"/>
    <x v="1"/>
    <x v="1"/>
    <x v="1"/>
    <x v="2"/>
    <x v="1"/>
    <x v="1"/>
    <x v="225"/>
    <x v="1"/>
    <x v="6"/>
    <x v="2"/>
    <x v="114"/>
    <x v="12"/>
    <x v="1"/>
    <x v="4"/>
    <x v="2"/>
    <x v="1"/>
    <x v="568"/>
    <x v="0"/>
    <x v="296"/>
  </r>
  <r>
    <x v="981"/>
    <x v="487"/>
    <x v="480"/>
    <x v="474"/>
    <x v="777"/>
    <x v="1"/>
    <x v="2"/>
    <x v="489"/>
    <x v="365"/>
    <x v="1"/>
    <x v="185"/>
    <x v="0"/>
    <x v="0"/>
    <x v="1"/>
    <x v="1"/>
    <x v="1"/>
    <x v="2"/>
    <x v="1"/>
    <x v="2"/>
    <x v="1"/>
    <x v="2"/>
    <x v="0"/>
    <x v="1"/>
    <x v="6"/>
    <x v="2"/>
    <x v="483"/>
    <x v="12"/>
    <x v="0"/>
    <x v="0"/>
    <x v="1"/>
    <x v="0"/>
    <x v="0"/>
    <x v="0"/>
    <x v="0"/>
  </r>
  <r>
    <x v="982"/>
    <x v="115"/>
    <x v="114"/>
    <x v="113"/>
    <x v="778"/>
    <x v="3"/>
    <x v="2"/>
    <x v="120"/>
    <x v="111"/>
    <x v="1"/>
    <x v="22"/>
    <x v="0"/>
    <x v="0"/>
    <x v="3"/>
    <x v="1"/>
    <x v="1"/>
    <x v="1"/>
    <x v="1"/>
    <x v="2"/>
    <x v="1"/>
    <x v="2"/>
    <x v="0"/>
    <x v="1"/>
    <x v="3"/>
    <x v="4"/>
    <x v="114"/>
    <x v="1"/>
    <x v="0"/>
    <x v="0"/>
    <x v="1"/>
    <x v="0"/>
    <x v="0"/>
    <x v="0"/>
    <x v="297"/>
  </r>
  <r>
    <x v="983"/>
    <x v="488"/>
    <x v="481"/>
    <x v="475"/>
    <x v="779"/>
    <x v="3"/>
    <x v="2"/>
    <x v="490"/>
    <x v="366"/>
    <x v="1"/>
    <x v="2"/>
    <x v="0"/>
    <x v="0"/>
    <x v="1"/>
    <x v="3"/>
    <x v="2"/>
    <x v="2"/>
    <x v="1"/>
    <x v="3"/>
    <x v="1"/>
    <x v="1"/>
    <x v="224"/>
    <x v="1"/>
    <x v="1"/>
    <x v="2"/>
    <x v="484"/>
    <x v="1"/>
    <x v="3"/>
    <x v="0"/>
    <x v="1"/>
    <x v="0"/>
    <x v="569"/>
    <x v="0"/>
    <x v="0"/>
  </r>
  <r>
    <x v="984"/>
    <x v="486"/>
    <x v="26"/>
    <x v="26"/>
    <x v="0"/>
    <x v="1"/>
    <x v="2"/>
    <x v="28"/>
    <x v="71"/>
    <x v="1"/>
    <x v="3"/>
    <x v="0"/>
    <x v="0"/>
    <x v="3"/>
    <x v="1"/>
    <x v="1"/>
    <x v="2"/>
    <x v="1"/>
    <x v="2"/>
    <x v="1"/>
    <x v="2"/>
    <x v="0"/>
    <x v="2"/>
    <x v="3"/>
    <x v="4"/>
    <x v="26"/>
    <x v="5"/>
    <x v="0"/>
    <x v="0"/>
    <x v="1"/>
    <x v="0"/>
    <x v="0"/>
    <x v="0"/>
    <x v="0"/>
  </r>
  <r>
    <x v="985"/>
    <x v="489"/>
    <x v="482"/>
    <x v="476"/>
    <x v="780"/>
    <x v="1"/>
    <x v="2"/>
    <x v="491"/>
    <x v="303"/>
    <x v="1"/>
    <x v="8"/>
    <x v="0"/>
    <x v="0"/>
    <x v="1"/>
    <x v="1"/>
    <x v="1"/>
    <x v="2"/>
    <x v="1"/>
    <x v="2"/>
    <x v="1"/>
    <x v="1"/>
    <x v="226"/>
    <x v="1"/>
    <x v="1"/>
    <x v="2"/>
    <x v="485"/>
    <x v="5"/>
    <x v="1"/>
    <x v="1"/>
    <x v="1"/>
    <x v="0"/>
    <x v="570"/>
    <x v="0"/>
    <x v="0"/>
  </r>
  <r>
    <x v="986"/>
    <x v="388"/>
    <x v="388"/>
    <x v="383"/>
    <x v="781"/>
    <x v="1"/>
    <x v="2"/>
    <x v="403"/>
    <x v="10"/>
    <x v="1"/>
    <x v="31"/>
    <x v="0"/>
    <x v="0"/>
    <x v="1"/>
    <x v="1"/>
    <x v="1"/>
    <x v="1"/>
    <x v="2"/>
    <x v="2"/>
    <x v="1"/>
    <x v="1"/>
    <x v="226"/>
    <x v="1"/>
    <x v="1"/>
    <x v="2"/>
    <x v="486"/>
    <x v="1"/>
    <x v="1"/>
    <x v="4"/>
    <x v="2"/>
    <x v="1"/>
    <x v="571"/>
    <x v="0"/>
    <x v="0"/>
  </r>
  <r>
    <x v="987"/>
    <x v="490"/>
    <x v="483"/>
    <x v="477"/>
    <x v="782"/>
    <x v="1"/>
    <x v="2"/>
    <x v="492"/>
    <x v="10"/>
    <x v="1"/>
    <x v="186"/>
    <x v="0"/>
    <x v="0"/>
    <x v="1"/>
    <x v="1"/>
    <x v="1"/>
    <x v="1"/>
    <x v="1"/>
    <x v="3"/>
    <x v="1"/>
    <x v="2"/>
    <x v="0"/>
    <x v="1"/>
    <x v="1"/>
    <x v="2"/>
    <x v="487"/>
    <x v="4"/>
    <x v="0"/>
    <x v="0"/>
    <x v="1"/>
    <x v="0"/>
    <x v="0"/>
    <x v="0"/>
    <x v="0"/>
  </r>
  <r>
    <x v="988"/>
    <x v="491"/>
    <x v="484"/>
    <x v="478"/>
    <x v="783"/>
    <x v="1"/>
    <x v="2"/>
    <x v="493"/>
    <x v="367"/>
    <x v="1"/>
    <x v="187"/>
    <x v="0"/>
    <x v="0"/>
    <x v="1"/>
    <x v="3"/>
    <x v="2"/>
    <x v="2"/>
    <x v="1"/>
    <x v="1"/>
    <x v="1"/>
    <x v="1"/>
    <x v="226"/>
    <x v="1"/>
    <x v="1"/>
    <x v="2"/>
    <x v="488"/>
    <x v="13"/>
    <x v="3"/>
    <x v="0"/>
    <x v="1"/>
    <x v="0"/>
    <x v="572"/>
    <x v="283"/>
    <x v="0"/>
  </r>
  <r>
    <x v="989"/>
    <x v="154"/>
    <x v="154"/>
    <x v="152"/>
    <x v="784"/>
    <x v="1"/>
    <x v="2"/>
    <x v="160"/>
    <x v="114"/>
    <x v="1"/>
    <x v="188"/>
    <x v="0"/>
    <x v="0"/>
    <x v="1"/>
    <x v="1"/>
    <x v="1"/>
    <x v="2"/>
    <x v="1"/>
    <x v="3"/>
    <x v="1"/>
    <x v="1"/>
    <x v="226"/>
    <x v="1"/>
    <x v="1"/>
    <x v="2"/>
    <x v="153"/>
    <x v="1"/>
    <x v="1"/>
    <x v="4"/>
    <x v="2"/>
    <x v="1"/>
    <x v="573"/>
    <x v="0"/>
    <x v="298"/>
  </r>
  <r>
    <x v="990"/>
    <x v="440"/>
    <x v="436"/>
    <x v="431"/>
    <x v="785"/>
    <x v="1"/>
    <x v="1"/>
    <x v="446"/>
    <x v="10"/>
    <x v="1"/>
    <x v="15"/>
    <x v="0"/>
    <x v="0"/>
    <x v="1"/>
    <x v="1"/>
    <x v="1"/>
    <x v="2"/>
    <x v="1"/>
    <x v="3"/>
    <x v="1"/>
    <x v="1"/>
    <x v="226"/>
    <x v="2"/>
    <x v="1"/>
    <x v="2"/>
    <x v="439"/>
    <x v="4"/>
    <x v="1"/>
    <x v="1"/>
    <x v="1"/>
    <x v="0"/>
    <x v="574"/>
    <x v="0"/>
    <x v="299"/>
  </r>
  <r>
    <x v="991"/>
    <x v="388"/>
    <x v="388"/>
    <x v="383"/>
    <x v="786"/>
    <x v="1"/>
    <x v="2"/>
    <x v="403"/>
    <x v="10"/>
    <x v="1"/>
    <x v="31"/>
    <x v="0"/>
    <x v="0"/>
    <x v="3"/>
    <x v="1"/>
    <x v="1"/>
    <x v="2"/>
    <x v="1"/>
    <x v="3"/>
    <x v="1"/>
    <x v="2"/>
    <x v="0"/>
    <x v="1"/>
    <x v="3"/>
    <x v="4"/>
    <x v="486"/>
    <x v="1"/>
    <x v="0"/>
    <x v="0"/>
    <x v="1"/>
    <x v="0"/>
    <x v="0"/>
    <x v="0"/>
    <x v="0"/>
  </r>
  <r>
    <x v="992"/>
    <x v="492"/>
    <x v="485"/>
    <x v="479"/>
    <x v="787"/>
    <x v="1"/>
    <x v="3"/>
    <x v="494"/>
    <x v="269"/>
    <x v="1"/>
    <x v="2"/>
    <x v="0"/>
    <x v="0"/>
    <x v="1"/>
    <x v="1"/>
    <x v="1"/>
    <x v="2"/>
    <x v="2"/>
    <x v="3"/>
    <x v="1"/>
    <x v="1"/>
    <x v="226"/>
    <x v="1"/>
    <x v="1"/>
    <x v="2"/>
    <x v="489"/>
    <x v="5"/>
    <x v="3"/>
    <x v="0"/>
    <x v="1"/>
    <x v="0"/>
    <x v="575"/>
    <x v="0"/>
    <x v="194"/>
  </r>
  <r>
    <x v="993"/>
    <x v="154"/>
    <x v="154"/>
    <x v="152"/>
    <x v="788"/>
    <x v="1"/>
    <x v="2"/>
    <x v="160"/>
    <x v="114"/>
    <x v="1"/>
    <x v="188"/>
    <x v="0"/>
    <x v="0"/>
    <x v="3"/>
    <x v="1"/>
    <x v="1"/>
    <x v="2"/>
    <x v="1"/>
    <x v="3"/>
    <x v="1"/>
    <x v="2"/>
    <x v="0"/>
    <x v="1"/>
    <x v="3"/>
    <x v="4"/>
    <x v="153"/>
    <x v="1"/>
    <x v="0"/>
    <x v="0"/>
    <x v="1"/>
    <x v="0"/>
    <x v="0"/>
    <x v="0"/>
    <x v="0"/>
  </r>
  <r>
    <x v="994"/>
    <x v="489"/>
    <x v="482"/>
    <x v="476"/>
    <x v="0"/>
    <x v="1"/>
    <x v="2"/>
    <x v="491"/>
    <x v="303"/>
    <x v="1"/>
    <x v="8"/>
    <x v="0"/>
    <x v="0"/>
    <x v="3"/>
    <x v="1"/>
    <x v="1"/>
    <x v="2"/>
    <x v="1"/>
    <x v="2"/>
    <x v="1"/>
    <x v="2"/>
    <x v="0"/>
    <x v="2"/>
    <x v="3"/>
    <x v="4"/>
    <x v="485"/>
    <x v="5"/>
    <x v="0"/>
    <x v="0"/>
    <x v="1"/>
    <x v="0"/>
    <x v="0"/>
    <x v="0"/>
    <x v="0"/>
  </r>
  <r>
    <x v="995"/>
    <x v="440"/>
    <x v="436"/>
    <x v="431"/>
    <x v="0"/>
    <x v="1"/>
    <x v="1"/>
    <x v="446"/>
    <x v="10"/>
    <x v="1"/>
    <x v="15"/>
    <x v="0"/>
    <x v="0"/>
    <x v="3"/>
    <x v="1"/>
    <x v="1"/>
    <x v="2"/>
    <x v="1"/>
    <x v="3"/>
    <x v="1"/>
    <x v="1"/>
    <x v="227"/>
    <x v="2"/>
    <x v="3"/>
    <x v="4"/>
    <x v="439"/>
    <x v="5"/>
    <x v="1"/>
    <x v="4"/>
    <x v="1"/>
    <x v="0"/>
    <x v="576"/>
    <x v="284"/>
    <x v="0"/>
  </r>
  <r>
    <x v="996"/>
    <x v="464"/>
    <x v="460"/>
    <x v="454"/>
    <x v="789"/>
    <x v="1"/>
    <x v="2"/>
    <x v="469"/>
    <x v="170"/>
    <x v="1"/>
    <x v="15"/>
    <x v="0"/>
    <x v="0"/>
    <x v="1"/>
    <x v="3"/>
    <x v="3"/>
    <x v="1"/>
    <x v="1"/>
    <x v="1"/>
    <x v="1"/>
    <x v="1"/>
    <x v="227"/>
    <x v="1"/>
    <x v="1"/>
    <x v="2"/>
    <x v="462"/>
    <x v="1"/>
    <x v="3"/>
    <x v="0"/>
    <x v="1"/>
    <x v="0"/>
    <x v="577"/>
    <x v="285"/>
    <x v="0"/>
  </r>
  <r>
    <x v="997"/>
    <x v="223"/>
    <x v="222"/>
    <x v="219"/>
    <x v="790"/>
    <x v="1"/>
    <x v="2"/>
    <x v="233"/>
    <x v="191"/>
    <x v="1"/>
    <x v="1"/>
    <x v="0"/>
    <x v="0"/>
    <x v="1"/>
    <x v="2"/>
    <x v="3"/>
    <x v="2"/>
    <x v="1"/>
    <x v="2"/>
    <x v="1"/>
    <x v="1"/>
    <x v="227"/>
    <x v="1"/>
    <x v="5"/>
    <x v="2"/>
    <x v="223"/>
    <x v="5"/>
    <x v="3"/>
    <x v="0"/>
    <x v="1"/>
    <x v="0"/>
    <x v="578"/>
    <x v="285"/>
    <x v="0"/>
  </r>
  <r>
    <x v="998"/>
    <x v="493"/>
    <x v="486"/>
    <x v="480"/>
    <x v="791"/>
    <x v="1"/>
    <x v="2"/>
    <x v="495"/>
    <x v="316"/>
    <x v="1"/>
    <x v="3"/>
    <x v="0"/>
    <x v="0"/>
    <x v="1"/>
    <x v="1"/>
    <x v="2"/>
    <x v="2"/>
    <x v="1"/>
    <x v="2"/>
    <x v="1"/>
    <x v="1"/>
    <x v="227"/>
    <x v="1"/>
    <x v="5"/>
    <x v="2"/>
    <x v="490"/>
    <x v="5"/>
    <x v="1"/>
    <x v="1"/>
    <x v="1"/>
    <x v="0"/>
    <x v="579"/>
    <x v="0"/>
    <x v="0"/>
  </r>
  <r>
    <x v="999"/>
    <x v="388"/>
    <x v="388"/>
    <x v="383"/>
    <x v="792"/>
    <x v="1"/>
    <x v="2"/>
    <x v="403"/>
    <x v="10"/>
    <x v="1"/>
    <x v="8"/>
    <x v="0"/>
    <x v="0"/>
    <x v="1"/>
    <x v="1"/>
    <x v="1"/>
    <x v="2"/>
    <x v="1"/>
    <x v="2"/>
    <x v="1"/>
    <x v="1"/>
    <x v="228"/>
    <x v="1"/>
    <x v="1"/>
    <x v="2"/>
    <x v="486"/>
    <x v="13"/>
    <x v="3"/>
    <x v="0"/>
    <x v="1"/>
    <x v="0"/>
    <x v="580"/>
    <x v="286"/>
    <x v="286"/>
  </r>
  <r>
    <x v="1000"/>
    <x v="438"/>
    <x v="434"/>
    <x v="429"/>
    <x v="793"/>
    <x v="1"/>
    <x v="2"/>
    <x v="444"/>
    <x v="339"/>
    <x v="1"/>
    <x v="9"/>
    <x v="0"/>
    <x v="0"/>
    <x v="1"/>
    <x v="3"/>
    <x v="3"/>
    <x v="2"/>
    <x v="1"/>
    <x v="2"/>
    <x v="1"/>
    <x v="1"/>
    <x v="227"/>
    <x v="2"/>
    <x v="1"/>
    <x v="2"/>
    <x v="437"/>
    <x v="5"/>
    <x v="3"/>
    <x v="0"/>
    <x v="1"/>
    <x v="0"/>
    <x v="581"/>
    <x v="287"/>
    <x v="0"/>
  </r>
  <r>
    <x v="1001"/>
    <x v="494"/>
    <x v="487"/>
    <x v="481"/>
    <x v="794"/>
    <x v="1"/>
    <x v="2"/>
    <x v="496"/>
    <x v="76"/>
    <x v="2"/>
    <x v="0"/>
    <x v="2"/>
    <x v="0"/>
    <x v="1"/>
    <x v="1"/>
    <x v="1"/>
    <x v="2"/>
    <x v="1"/>
    <x v="2"/>
    <x v="1"/>
    <x v="2"/>
    <x v="0"/>
    <x v="1"/>
    <x v="1"/>
    <x v="2"/>
    <x v="491"/>
    <x v="5"/>
    <x v="0"/>
    <x v="0"/>
    <x v="1"/>
    <x v="0"/>
    <x v="0"/>
    <x v="0"/>
    <x v="0"/>
  </r>
  <r>
    <x v="1002"/>
    <x v="440"/>
    <x v="436"/>
    <x v="431"/>
    <x v="0"/>
    <x v="1"/>
    <x v="1"/>
    <x v="446"/>
    <x v="10"/>
    <x v="1"/>
    <x v="15"/>
    <x v="0"/>
    <x v="0"/>
    <x v="3"/>
    <x v="1"/>
    <x v="1"/>
    <x v="2"/>
    <x v="1"/>
    <x v="3"/>
    <x v="1"/>
    <x v="2"/>
    <x v="0"/>
    <x v="2"/>
    <x v="3"/>
    <x v="4"/>
    <x v="439"/>
    <x v="1"/>
    <x v="0"/>
    <x v="0"/>
    <x v="1"/>
    <x v="0"/>
    <x v="0"/>
    <x v="0"/>
    <x v="0"/>
  </r>
  <r>
    <x v="1003"/>
    <x v="415"/>
    <x v="412"/>
    <x v="407"/>
    <x v="795"/>
    <x v="1"/>
    <x v="2"/>
    <x v="425"/>
    <x v="327"/>
    <x v="1"/>
    <x v="15"/>
    <x v="0"/>
    <x v="0"/>
    <x v="1"/>
    <x v="1"/>
    <x v="1"/>
    <x v="2"/>
    <x v="1"/>
    <x v="1"/>
    <x v="1"/>
    <x v="1"/>
    <x v="228"/>
    <x v="1"/>
    <x v="1"/>
    <x v="2"/>
    <x v="415"/>
    <x v="13"/>
    <x v="3"/>
    <x v="0"/>
    <x v="1"/>
    <x v="0"/>
    <x v="582"/>
    <x v="0"/>
    <x v="0"/>
  </r>
  <r>
    <x v="1004"/>
    <x v="495"/>
    <x v="488"/>
    <x v="482"/>
    <x v="796"/>
    <x v="1"/>
    <x v="1"/>
    <x v="497"/>
    <x v="177"/>
    <x v="1"/>
    <x v="15"/>
    <x v="0"/>
    <x v="0"/>
    <x v="1"/>
    <x v="3"/>
    <x v="2"/>
    <x v="1"/>
    <x v="1"/>
    <x v="2"/>
    <x v="1"/>
    <x v="1"/>
    <x v="227"/>
    <x v="1"/>
    <x v="1"/>
    <x v="2"/>
    <x v="492"/>
    <x v="5"/>
    <x v="1"/>
    <x v="1"/>
    <x v="1"/>
    <x v="0"/>
    <x v="583"/>
    <x v="0"/>
    <x v="300"/>
  </r>
  <r>
    <x v="1005"/>
    <x v="496"/>
    <x v="486"/>
    <x v="480"/>
    <x v="0"/>
    <x v="1"/>
    <x v="2"/>
    <x v="495"/>
    <x v="166"/>
    <x v="1"/>
    <x v="3"/>
    <x v="0"/>
    <x v="0"/>
    <x v="3"/>
    <x v="1"/>
    <x v="1"/>
    <x v="2"/>
    <x v="1"/>
    <x v="2"/>
    <x v="1"/>
    <x v="1"/>
    <x v="229"/>
    <x v="2"/>
    <x v="3"/>
    <x v="4"/>
    <x v="490"/>
    <x v="5"/>
    <x v="1"/>
    <x v="4"/>
    <x v="2"/>
    <x v="1"/>
    <x v="584"/>
    <x v="0"/>
    <x v="0"/>
  </r>
  <r>
    <x v="1006"/>
    <x v="497"/>
    <x v="489"/>
    <x v="483"/>
    <x v="797"/>
    <x v="1"/>
    <x v="1"/>
    <x v="498"/>
    <x v="368"/>
    <x v="1"/>
    <x v="189"/>
    <x v="0"/>
    <x v="0"/>
    <x v="1"/>
    <x v="1"/>
    <x v="1"/>
    <x v="2"/>
    <x v="1"/>
    <x v="2"/>
    <x v="1"/>
    <x v="2"/>
    <x v="0"/>
    <x v="1"/>
    <x v="1"/>
    <x v="2"/>
    <x v="493"/>
    <x v="12"/>
    <x v="0"/>
    <x v="0"/>
    <x v="1"/>
    <x v="0"/>
    <x v="0"/>
    <x v="0"/>
    <x v="0"/>
  </r>
  <r>
    <x v="1007"/>
    <x v="491"/>
    <x v="484"/>
    <x v="478"/>
    <x v="798"/>
    <x v="1"/>
    <x v="2"/>
    <x v="499"/>
    <x v="367"/>
    <x v="1"/>
    <x v="22"/>
    <x v="0"/>
    <x v="0"/>
    <x v="1"/>
    <x v="1"/>
    <x v="1"/>
    <x v="2"/>
    <x v="1"/>
    <x v="2"/>
    <x v="2"/>
    <x v="1"/>
    <x v="230"/>
    <x v="1"/>
    <x v="1"/>
    <x v="2"/>
    <x v="488"/>
    <x v="12"/>
    <x v="3"/>
    <x v="0"/>
    <x v="1"/>
    <x v="0"/>
    <x v="585"/>
    <x v="288"/>
    <x v="0"/>
  </r>
  <r>
    <x v="1008"/>
    <x v="498"/>
    <x v="490"/>
    <x v="450"/>
    <x v="799"/>
    <x v="1"/>
    <x v="3"/>
    <x v="465"/>
    <x v="199"/>
    <x v="1"/>
    <x v="64"/>
    <x v="0"/>
    <x v="0"/>
    <x v="1"/>
    <x v="3"/>
    <x v="2"/>
    <x v="2"/>
    <x v="2"/>
    <x v="3"/>
    <x v="1"/>
    <x v="1"/>
    <x v="229"/>
    <x v="1"/>
    <x v="1"/>
    <x v="2"/>
    <x v="458"/>
    <x v="1"/>
    <x v="3"/>
    <x v="0"/>
    <x v="1"/>
    <x v="0"/>
    <x v="586"/>
    <x v="289"/>
    <x v="0"/>
  </r>
  <r>
    <x v="1009"/>
    <x v="499"/>
    <x v="491"/>
    <x v="484"/>
    <x v="800"/>
    <x v="3"/>
    <x v="2"/>
    <x v="500"/>
    <x v="323"/>
    <x v="1"/>
    <x v="9"/>
    <x v="0"/>
    <x v="0"/>
    <x v="1"/>
    <x v="1"/>
    <x v="1"/>
    <x v="2"/>
    <x v="1"/>
    <x v="1"/>
    <x v="1"/>
    <x v="2"/>
    <x v="0"/>
    <x v="1"/>
    <x v="1"/>
    <x v="2"/>
    <x v="494"/>
    <x v="12"/>
    <x v="0"/>
    <x v="0"/>
    <x v="1"/>
    <x v="0"/>
    <x v="0"/>
    <x v="0"/>
    <x v="0"/>
  </r>
  <r>
    <x v="1010"/>
    <x v="495"/>
    <x v="488"/>
    <x v="482"/>
    <x v="0"/>
    <x v="1"/>
    <x v="1"/>
    <x v="497"/>
    <x v="177"/>
    <x v="1"/>
    <x v="15"/>
    <x v="0"/>
    <x v="0"/>
    <x v="3"/>
    <x v="1"/>
    <x v="1"/>
    <x v="2"/>
    <x v="1"/>
    <x v="2"/>
    <x v="1"/>
    <x v="2"/>
    <x v="0"/>
    <x v="2"/>
    <x v="3"/>
    <x v="4"/>
    <x v="492"/>
    <x v="5"/>
    <x v="0"/>
    <x v="0"/>
    <x v="1"/>
    <x v="0"/>
    <x v="0"/>
    <x v="0"/>
    <x v="301"/>
  </r>
  <r>
    <x v="1011"/>
    <x v="496"/>
    <x v="486"/>
    <x v="480"/>
    <x v="801"/>
    <x v="1"/>
    <x v="2"/>
    <x v="495"/>
    <x v="166"/>
    <x v="1"/>
    <x v="3"/>
    <x v="0"/>
    <x v="0"/>
    <x v="3"/>
    <x v="1"/>
    <x v="1"/>
    <x v="2"/>
    <x v="1"/>
    <x v="2"/>
    <x v="1"/>
    <x v="2"/>
    <x v="0"/>
    <x v="1"/>
    <x v="3"/>
    <x v="4"/>
    <x v="490"/>
    <x v="1"/>
    <x v="0"/>
    <x v="0"/>
    <x v="1"/>
    <x v="0"/>
    <x v="0"/>
    <x v="0"/>
    <x v="0"/>
  </r>
  <r>
    <x v="1012"/>
    <x v="500"/>
    <x v="492"/>
    <x v="485"/>
    <x v="802"/>
    <x v="1"/>
    <x v="2"/>
    <x v="501"/>
    <x v="10"/>
    <x v="1"/>
    <x v="190"/>
    <x v="0"/>
    <x v="0"/>
    <x v="1"/>
    <x v="1"/>
    <x v="2"/>
    <x v="1"/>
    <x v="2"/>
    <x v="3"/>
    <x v="2"/>
    <x v="1"/>
    <x v="231"/>
    <x v="1"/>
    <x v="6"/>
    <x v="2"/>
    <x v="495"/>
    <x v="1"/>
    <x v="1"/>
    <x v="4"/>
    <x v="2"/>
    <x v="1"/>
    <x v="587"/>
    <x v="0"/>
    <x v="302"/>
  </r>
  <r>
    <x v="1013"/>
    <x v="501"/>
    <x v="493"/>
    <x v="486"/>
    <x v="803"/>
    <x v="1"/>
    <x v="1"/>
    <x v="502"/>
    <x v="257"/>
    <x v="1"/>
    <x v="15"/>
    <x v="0"/>
    <x v="0"/>
    <x v="1"/>
    <x v="1"/>
    <x v="1"/>
    <x v="2"/>
    <x v="1"/>
    <x v="3"/>
    <x v="1"/>
    <x v="1"/>
    <x v="231"/>
    <x v="1"/>
    <x v="6"/>
    <x v="2"/>
    <x v="496"/>
    <x v="1"/>
    <x v="1"/>
    <x v="4"/>
    <x v="2"/>
    <x v="1"/>
    <x v="588"/>
    <x v="0"/>
    <x v="0"/>
  </r>
  <r>
    <x v="1014"/>
    <x v="502"/>
    <x v="494"/>
    <x v="487"/>
    <x v="804"/>
    <x v="2"/>
    <x v="1"/>
    <x v="503"/>
    <x v="369"/>
    <x v="1"/>
    <x v="191"/>
    <x v="0"/>
    <x v="0"/>
    <x v="1"/>
    <x v="1"/>
    <x v="2"/>
    <x v="2"/>
    <x v="2"/>
    <x v="1"/>
    <x v="2"/>
    <x v="1"/>
    <x v="231"/>
    <x v="1"/>
    <x v="6"/>
    <x v="2"/>
    <x v="497"/>
    <x v="1"/>
    <x v="3"/>
    <x v="0"/>
    <x v="1"/>
    <x v="0"/>
    <x v="589"/>
    <x v="290"/>
    <x v="303"/>
  </r>
  <r>
    <x v="1015"/>
    <x v="503"/>
    <x v="495"/>
    <x v="488"/>
    <x v="805"/>
    <x v="1"/>
    <x v="2"/>
    <x v="504"/>
    <x v="370"/>
    <x v="10"/>
    <x v="0"/>
    <x v="0"/>
    <x v="0"/>
    <x v="1"/>
    <x v="1"/>
    <x v="1"/>
    <x v="2"/>
    <x v="1"/>
    <x v="1"/>
    <x v="1"/>
    <x v="2"/>
    <x v="0"/>
    <x v="1"/>
    <x v="4"/>
    <x v="2"/>
    <x v="498"/>
    <x v="12"/>
    <x v="0"/>
    <x v="0"/>
    <x v="1"/>
    <x v="0"/>
    <x v="0"/>
    <x v="0"/>
    <x v="0"/>
  </r>
  <r>
    <x v="1016"/>
    <x v="504"/>
    <x v="496"/>
    <x v="489"/>
    <x v="806"/>
    <x v="1"/>
    <x v="2"/>
    <x v="505"/>
    <x v="10"/>
    <x v="1"/>
    <x v="4"/>
    <x v="0"/>
    <x v="0"/>
    <x v="1"/>
    <x v="1"/>
    <x v="1"/>
    <x v="2"/>
    <x v="1"/>
    <x v="3"/>
    <x v="1"/>
    <x v="1"/>
    <x v="231"/>
    <x v="1"/>
    <x v="1"/>
    <x v="2"/>
    <x v="499"/>
    <x v="1"/>
    <x v="3"/>
    <x v="0"/>
    <x v="1"/>
    <x v="0"/>
    <x v="590"/>
    <x v="0"/>
    <x v="304"/>
  </r>
  <r>
    <x v="1017"/>
    <x v="500"/>
    <x v="492"/>
    <x v="485"/>
    <x v="807"/>
    <x v="1"/>
    <x v="2"/>
    <x v="506"/>
    <x v="10"/>
    <x v="1"/>
    <x v="192"/>
    <x v="0"/>
    <x v="0"/>
    <x v="3"/>
    <x v="1"/>
    <x v="2"/>
    <x v="2"/>
    <x v="2"/>
    <x v="3"/>
    <x v="1"/>
    <x v="1"/>
    <x v="232"/>
    <x v="1"/>
    <x v="3"/>
    <x v="4"/>
    <x v="495"/>
    <x v="1"/>
    <x v="1"/>
    <x v="1"/>
    <x v="1"/>
    <x v="0"/>
    <x v="591"/>
    <x v="0"/>
    <x v="0"/>
  </r>
  <r>
    <x v="1018"/>
    <x v="501"/>
    <x v="493"/>
    <x v="486"/>
    <x v="808"/>
    <x v="1"/>
    <x v="1"/>
    <x v="502"/>
    <x v="257"/>
    <x v="1"/>
    <x v="15"/>
    <x v="0"/>
    <x v="0"/>
    <x v="3"/>
    <x v="1"/>
    <x v="1"/>
    <x v="2"/>
    <x v="1"/>
    <x v="3"/>
    <x v="1"/>
    <x v="2"/>
    <x v="0"/>
    <x v="1"/>
    <x v="3"/>
    <x v="4"/>
    <x v="496"/>
    <x v="1"/>
    <x v="0"/>
    <x v="0"/>
    <x v="1"/>
    <x v="0"/>
    <x v="0"/>
    <x v="0"/>
    <x v="0"/>
  </r>
  <r>
    <x v="1019"/>
    <x v="505"/>
    <x v="497"/>
    <x v="490"/>
    <x v="809"/>
    <x v="1"/>
    <x v="3"/>
    <x v="507"/>
    <x v="371"/>
    <x v="1"/>
    <x v="22"/>
    <x v="0"/>
    <x v="0"/>
    <x v="1"/>
    <x v="1"/>
    <x v="1"/>
    <x v="1"/>
    <x v="1"/>
    <x v="2"/>
    <x v="1"/>
    <x v="1"/>
    <x v="232"/>
    <x v="1"/>
    <x v="5"/>
    <x v="2"/>
    <x v="500"/>
    <x v="12"/>
    <x v="1"/>
    <x v="1"/>
    <x v="2"/>
    <x v="1"/>
    <x v="592"/>
    <x v="0"/>
    <x v="0"/>
  </r>
  <r>
    <x v="1020"/>
    <x v="506"/>
    <x v="243"/>
    <x v="236"/>
    <x v="810"/>
    <x v="1"/>
    <x v="2"/>
    <x v="256"/>
    <x v="372"/>
    <x v="1"/>
    <x v="15"/>
    <x v="0"/>
    <x v="0"/>
    <x v="1"/>
    <x v="3"/>
    <x v="3"/>
    <x v="2"/>
    <x v="1"/>
    <x v="2"/>
    <x v="1"/>
    <x v="1"/>
    <x v="232"/>
    <x v="1"/>
    <x v="1"/>
    <x v="2"/>
    <x v="240"/>
    <x v="1"/>
    <x v="1"/>
    <x v="4"/>
    <x v="2"/>
    <x v="1"/>
    <x v="593"/>
    <x v="0"/>
    <x v="0"/>
  </r>
  <r>
    <x v="1021"/>
    <x v="507"/>
    <x v="498"/>
    <x v="491"/>
    <x v="811"/>
    <x v="1"/>
    <x v="1"/>
    <x v="132"/>
    <x v="373"/>
    <x v="1"/>
    <x v="36"/>
    <x v="0"/>
    <x v="0"/>
    <x v="1"/>
    <x v="3"/>
    <x v="2"/>
    <x v="1"/>
    <x v="1"/>
    <x v="2"/>
    <x v="1"/>
    <x v="1"/>
    <x v="232"/>
    <x v="1"/>
    <x v="1"/>
    <x v="2"/>
    <x v="501"/>
    <x v="3"/>
    <x v="1"/>
    <x v="1"/>
    <x v="1"/>
    <x v="0"/>
    <x v="594"/>
    <x v="0"/>
    <x v="305"/>
  </r>
  <r>
    <x v="1022"/>
    <x v="500"/>
    <x v="492"/>
    <x v="485"/>
    <x v="0"/>
    <x v="1"/>
    <x v="2"/>
    <x v="501"/>
    <x v="10"/>
    <x v="10"/>
    <x v="0"/>
    <x v="0"/>
    <x v="0"/>
    <x v="3"/>
    <x v="1"/>
    <x v="1"/>
    <x v="1"/>
    <x v="1"/>
    <x v="3"/>
    <x v="1"/>
    <x v="1"/>
    <x v="233"/>
    <x v="2"/>
    <x v="3"/>
    <x v="4"/>
    <x v="495"/>
    <x v="5"/>
    <x v="1"/>
    <x v="1"/>
    <x v="1"/>
    <x v="0"/>
    <x v="595"/>
    <x v="0"/>
    <x v="306"/>
  </r>
  <r>
    <x v="1023"/>
    <x v="505"/>
    <x v="497"/>
    <x v="490"/>
    <x v="812"/>
    <x v="1"/>
    <x v="3"/>
    <x v="507"/>
    <x v="371"/>
    <x v="1"/>
    <x v="22"/>
    <x v="0"/>
    <x v="0"/>
    <x v="3"/>
    <x v="1"/>
    <x v="1"/>
    <x v="2"/>
    <x v="1"/>
    <x v="2"/>
    <x v="1"/>
    <x v="1"/>
    <x v="234"/>
    <x v="1"/>
    <x v="3"/>
    <x v="4"/>
    <x v="500"/>
    <x v="5"/>
    <x v="1"/>
    <x v="7"/>
    <x v="2"/>
    <x v="1"/>
    <x v="596"/>
    <x v="0"/>
    <x v="0"/>
  </r>
  <r>
    <x v="1024"/>
    <x v="506"/>
    <x v="243"/>
    <x v="236"/>
    <x v="813"/>
    <x v="1"/>
    <x v="2"/>
    <x v="256"/>
    <x v="372"/>
    <x v="1"/>
    <x v="15"/>
    <x v="0"/>
    <x v="0"/>
    <x v="3"/>
    <x v="1"/>
    <x v="1"/>
    <x v="2"/>
    <x v="2"/>
    <x v="2"/>
    <x v="1"/>
    <x v="2"/>
    <x v="0"/>
    <x v="1"/>
    <x v="3"/>
    <x v="4"/>
    <x v="240"/>
    <x v="1"/>
    <x v="0"/>
    <x v="0"/>
    <x v="1"/>
    <x v="0"/>
    <x v="0"/>
    <x v="0"/>
    <x v="0"/>
  </r>
  <r>
    <x v="1025"/>
    <x v="200"/>
    <x v="499"/>
    <x v="196"/>
    <x v="814"/>
    <x v="1"/>
    <x v="2"/>
    <x v="209"/>
    <x v="374"/>
    <x v="1"/>
    <x v="2"/>
    <x v="0"/>
    <x v="0"/>
    <x v="1"/>
    <x v="2"/>
    <x v="3"/>
    <x v="2"/>
    <x v="1"/>
    <x v="2"/>
    <x v="1"/>
    <x v="1"/>
    <x v="235"/>
    <x v="1"/>
    <x v="1"/>
    <x v="2"/>
    <x v="473"/>
    <x v="5"/>
    <x v="1"/>
    <x v="1"/>
    <x v="2"/>
    <x v="1"/>
    <x v="597"/>
    <x v="291"/>
    <x v="307"/>
  </r>
  <r>
    <x v="1026"/>
    <x v="507"/>
    <x v="498"/>
    <x v="491"/>
    <x v="0"/>
    <x v="1"/>
    <x v="1"/>
    <x v="132"/>
    <x v="212"/>
    <x v="1"/>
    <x v="36"/>
    <x v="0"/>
    <x v="0"/>
    <x v="3"/>
    <x v="1"/>
    <x v="1"/>
    <x v="2"/>
    <x v="1"/>
    <x v="2"/>
    <x v="1"/>
    <x v="2"/>
    <x v="0"/>
    <x v="2"/>
    <x v="3"/>
    <x v="4"/>
    <x v="501"/>
    <x v="5"/>
    <x v="0"/>
    <x v="0"/>
    <x v="1"/>
    <x v="0"/>
    <x v="0"/>
    <x v="0"/>
    <x v="0"/>
  </r>
  <r>
    <x v="1027"/>
    <x v="508"/>
    <x v="500"/>
    <x v="492"/>
    <x v="815"/>
    <x v="1"/>
    <x v="2"/>
    <x v="508"/>
    <x v="80"/>
    <x v="1"/>
    <x v="193"/>
    <x v="0"/>
    <x v="0"/>
    <x v="1"/>
    <x v="1"/>
    <x v="1"/>
    <x v="2"/>
    <x v="1"/>
    <x v="2"/>
    <x v="1"/>
    <x v="2"/>
    <x v="0"/>
    <x v="1"/>
    <x v="1"/>
    <x v="2"/>
    <x v="502"/>
    <x v="5"/>
    <x v="0"/>
    <x v="0"/>
    <x v="1"/>
    <x v="0"/>
    <x v="0"/>
    <x v="0"/>
    <x v="0"/>
  </r>
  <r>
    <x v="1028"/>
    <x v="509"/>
    <x v="501"/>
    <x v="493"/>
    <x v="816"/>
    <x v="1"/>
    <x v="3"/>
    <x v="509"/>
    <x v="375"/>
    <x v="1"/>
    <x v="3"/>
    <x v="0"/>
    <x v="0"/>
    <x v="1"/>
    <x v="1"/>
    <x v="2"/>
    <x v="1"/>
    <x v="1"/>
    <x v="2"/>
    <x v="1"/>
    <x v="1"/>
    <x v="236"/>
    <x v="1"/>
    <x v="1"/>
    <x v="2"/>
    <x v="503"/>
    <x v="5"/>
    <x v="1"/>
    <x v="7"/>
    <x v="2"/>
    <x v="1"/>
    <x v="0"/>
    <x v="0"/>
    <x v="308"/>
  </r>
  <r>
    <x v="1029"/>
    <x v="483"/>
    <x v="477"/>
    <x v="471"/>
    <x v="817"/>
    <x v="3"/>
    <x v="2"/>
    <x v="486"/>
    <x v="150"/>
    <x v="1"/>
    <x v="15"/>
    <x v="0"/>
    <x v="0"/>
    <x v="1"/>
    <x v="3"/>
    <x v="3"/>
    <x v="2"/>
    <x v="1"/>
    <x v="3"/>
    <x v="1"/>
    <x v="1"/>
    <x v="236"/>
    <x v="1"/>
    <x v="1"/>
    <x v="2"/>
    <x v="480"/>
    <x v="13"/>
    <x v="3"/>
    <x v="0"/>
    <x v="1"/>
    <x v="0"/>
    <x v="598"/>
    <x v="292"/>
    <x v="0"/>
  </r>
  <r>
    <x v="1030"/>
    <x v="200"/>
    <x v="499"/>
    <x v="196"/>
    <x v="818"/>
    <x v="1"/>
    <x v="2"/>
    <x v="209"/>
    <x v="374"/>
    <x v="1"/>
    <x v="2"/>
    <x v="0"/>
    <x v="0"/>
    <x v="3"/>
    <x v="3"/>
    <x v="2"/>
    <x v="2"/>
    <x v="1"/>
    <x v="2"/>
    <x v="1"/>
    <x v="1"/>
    <x v="236"/>
    <x v="2"/>
    <x v="3"/>
    <x v="4"/>
    <x v="473"/>
    <x v="5"/>
    <x v="1"/>
    <x v="4"/>
    <x v="1"/>
    <x v="0"/>
    <x v="599"/>
    <x v="293"/>
    <x v="293"/>
  </r>
  <r>
    <x v="1031"/>
    <x v="510"/>
    <x v="502"/>
    <x v="494"/>
    <x v="819"/>
    <x v="1"/>
    <x v="2"/>
    <x v="510"/>
    <x v="281"/>
    <x v="1"/>
    <x v="36"/>
    <x v="0"/>
    <x v="0"/>
    <x v="1"/>
    <x v="1"/>
    <x v="1"/>
    <x v="2"/>
    <x v="1"/>
    <x v="3"/>
    <x v="1"/>
    <x v="1"/>
    <x v="237"/>
    <x v="1"/>
    <x v="1"/>
    <x v="1"/>
    <x v="504"/>
    <x v="1"/>
    <x v="1"/>
    <x v="4"/>
    <x v="1"/>
    <x v="0"/>
    <x v="600"/>
    <x v="0"/>
    <x v="0"/>
  </r>
  <r>
    <x v="1032"/>
    <x v="511"/>
    <x v="503"/>
    <x v="495"/>
    <x v="820"/>
    <x v="1"/>
    <x v="2"/>
    <x v="511"/>
    <x v="222"/>
    <x v="1"/>
    <x v="3"/>
    <x v="0"/>
    <x v="0"/>
    <x v="1"/>
    <x v="1"/>
    <x v="1"/>
    <x v="2"/>
    <x v="1"/>
    <x v="1"/>
    <x v="1"/>
    <x v="2"/>
    <x v="0"/>
    <x v="1"/>
    <x v="1"/>
    <x v="2"/>
    <x v="505"/>
    <x v="12"/>
    <x v="0"/>
    <x v="0"/>
    <x v="1"/>
    <x v="0"/>
    <x v="0"/>
    <x v="0"/>
    <x v="0"/>
  </r>
  <r>
    <x v="1033"/>
    <x v="464"/>
    <x v="460"/>
    <x v="454"/>
    <x v="821"/>
    <x v="1"/>
    <x v="2"/>
    <x v="469"/>
    <x v="376"/>
    <x v="1"/>
    <x v="31"/>
    <x v="0"/>
    <x v="0"/>
    <x v="1"/>
    <x v="3"/>
    <x v="2"/>
    <x v="2"/>
    <x v="1"/>
    <x v="2"/>
    <x v="1"/>
    <x v="1"/>
    <x v="238"/>
    <x v="1"/>
    <x v="1"/>
    <x v="2"/>
    <x v="462"/>
    <x v="1"/>
    <x v="3"/>
    <x v="0"/>
    <x v="1"/>
    <x v="0"/>
    <x v="601"/>
    <x v="294"/>
    <x v="0"/>
  </r>
  <r>
    <x v="1034"/>
    <x v="512"/>
    <x v="504"/>
    <x v="496"/>
    <x v="822"/>
    <x v="1"/>
    <x v="4"/>
    <x v="512"/>
    <x v="377"/>
    <x v="1"/>
    <x v="194"/>
    <x v="0"/>
    <x v="0"/>
    <x v="1"/>
    <x v="1"/>
    <x v="1"/>
    <x v="2"/>
    <x v="1"/>
    <x v="2"/>
    <x v="1"/>
    <x v="2"/>
    <x v="0"/>
    <x v="1"/>
    <x v="1"/>
    <x v="2"/>
    <x v="506"/>
    <x v="12"/>
    <x v="0"/>
    <x v="0"/>
    <x v="1"/>
    <x v="0"/>
    <x v="0"/>
    <x v="0"/>
    <x v="0"/>
  </r>
  <r>
    <x v="1035"/>
    <x v="200"/>
    <x v="499"/>
    <x v="196"/>
    <x v="0"/>
    <x v="1"/>
    <x v="2"/>
    <x v="209"/>
    <x v="374"/>
    <x v="1"/>
    <x v="2"/>
    <x v="0"/>
    <x v="0"/>
    <x v="3"/>
    <x v="3"/>
    <x v="2"/>
    <x v="2"/>
    <x v="1"/>
    <x v="2"/>
    <x v="1"/>
    <x v="1"/>
    <x v="238"/>
    <x v="2"/>
    <x v="3"/>
    <x v="4"/>
    <x v="473"/>
    <x v="1"/>
    <x v="3"/>
    <x v="0"/>
    <x v="1"/>
    <x v="0"/>
    <x v="602"/>
    <x v="0"/>
    <x v="293"/>
  </r>
  <r>
    <x v="1036"/>
    <x v="509"/>
    <x v="501"/>
    <x v="493"/>
    <x v="823"/>
    <x v="1"/>
    <x v="3"/>
    <x v="513"/>
    <x v="375"/>
    <x v="1"/>
    <x v="1"/>
    <x v="0"/>
    <x v="0"/>
    <x v="3"/>
    <x v="3"/>
    <x v="3"/>
    <x v="1"/>
    <x v="1"/>
    <x v="1"/>
    <x v="1"/>
    <x v="1"/>
    <x v="238"/>
    <x v="1"/>
    <x v="3"/>
    <x v="4"/>
    <x v="503"/>
    <x v="12"/>
    <x v="1"/>
    <x v="4"/>
    <x v="2"/>
    <x v="1"/>
    <x v="603"/>
    <x v="0"/>
    <x v="309"/>
  </r>
  <r>
    <x v="1037"/>
    <x v="513"/>
    <x v="505"/>
    <x v="497"/>
    <x v="824"/>
    <x v="3"/>
    <x v="2"/>
    <x v="514"/>
    <x v="310"/>
    <x v="1"/>
    <x v="1"/>
    <x v="0"/>
    <x v="0"/>
    <x v="1"/>
    <x v="2"/>
    <x v="3"/>
    <x v="2"/>
    <x v="1"/>
    <x v="2"/>
    <x v="1"/>
    <x v="1"/>
    <x v="238"/>
    <x v="1"/>
    <x v="6"/>
    <x v="2"/>
    <x v="507"/>
    <x v="5"/>
    <x v="1"/>
    <x v="1"/>
    <x v="1"/>
    <x v="0"/>
    <x v="604"/>
    <x v="295"/>
    <x v="194"/>
  </r>
  <r>
    <x v="1038"/>
    <x v="509"/>
    <x v="501"/>
    <x v="493"/>
    <x v="825"/>
    <x v="1"/>
    <x v="3"/>
    <x v="513"/>
    <x v="375"/>
    <x v="1"/>
    <x v="2"/>
    <x v="0"/>
    <x v="0"/>
    <x v="3"/>
    <x v="1"/>
    <x v="1"/>
    <x v="1"/>
    <x v="1"/>
    <x v="1"/>
    <x v="1"/>
    <x v="1"/>
    <x v="238"/>
    <x v="1"/>
    <x v="3"/>
    <x v="4"/>
    <x v="503"/>
    <x v="1"/>
    <x v="1"/>
    <x v="4"/>
    <x v="2"/>
    <x v="1"/>
    <x v="0"/>
    <x v="0"/>
    <x v="0"/>
  </r>
  <r>
    <x v="1039"/>
    <x v="513"/>
    <x v="505"/>
    <x v="497"/>
    <x v="0"/>
    <x v="3"/>
    <x v="2"/>
    <x v="514"/>
    <x v="310"/>
    <x v="1"/>
    <x v="1"/>
    <x v="0"/>
    <x v="0"/>
    <x v="3"/>
    <x v="4"/>
    <x v="1"/>
    <x v="2"/>
    <x v="1"/>
    <x v="2"/>
    <x v="1"/>
    <x v="2"/>
    <x v="0"/>
    <x v="2"/>
    <x v="3"/>
    <x v="4"/>
    <x v="507"/>
    <x v="5"/>
    <x v="0"/>
    <x v="0"/>
    <x v="1"/>
    <x v="0"/>
    <x v="0"/>
    <x v="0"/>
    <x v="0"/>
  </r>
  <r>
    <x v="1040"/>
    <x v="509"/>
    <x v="501"/>
    <x v="493"/>
    <x v="826"/>
    <x v="1"/>
    <x v="3"/>
    <x v="513"/>
    <x v="375"/>
    <x v="1"/>
    <x v="2"/>
    <x v="0"/>
    <x v="0"/>
    <x v="3"/>
    <x v="1"/>
    <x v="1"/>
    <x v="2"/>
    <x v="1"/>
    <x v="1"/>
    <x v="1"/>
    <x v="2"/>
    <x v="0"/>
    <x v="1"/>
    <x v="3"/>
    <x v="4"/>
    <x v="503"/>
    <x v="1"/>
    <x v="0"/>
    <x v="0"/>
    <x v="1"/>
    <x v="0"/>
    <x v="0"/>
    <x v="0"/>
    <x v="0"/>
  </r>
  <r>
    <x v="1041"/>
    <x v="514"/>
    <x v="506"/>
    <x v="498"/>
    <x v="827"/>
    <x v="1"/>
    <x v="1"/>
    <x v="515"/>
    <x v="378"/>
    <x v="1"/>
    <x v="9"/>
    <x v="0"/>
    <x v="0"/>
    <x v="1"/>
    <x v="3"/>
    <x v="3"/>
    <x v="2"/>
    <x v="1"/>
    <x v="1"/>
    <x v="1"/>
    <x v="1"/>
    <x v="237"/>
    <x v="1"/>
    <x v="6"/>
    <x v="3"/>
    <x v="508"/>
    <x v="1"/>
    <x v="3"/>
    <x v="0"/>
    <x v="2"/>
    <x v="1"/>
    <x v="605"/>
    <x v="296"/>
    <x v="310"/>
  </r>
  <r>
    <x v="1042"/>
    <x v="515"/>
    <x v="507"/>
    <x v="499"/>
    <x v="828"/>
    <x v="1"/>
    <x v="2"/>
    <x v="516"/>
    <x v="10"/>
    <x v="1"/>
    <x v="2"/>
    <x v="0"/>
    <x v="0"/>
    <x v="1"/>
    <x v="1"/>
    <x v="1"/>
    <x v="2"/>
    <x v="2"/>
    <x v="1"/>
    <x v="1"/>
    <x v="1"/>
    <x v="237"/>
    <x v="1"/>
    <x v="6"/>
    <x v="3"/>
    <x v="509"/>
    <x v="1"/>
    <x v="1"/>
    <x v="1"/>
    <x v="1"/>
    <x v="0"/>
    <x v="606"/>
    <x v="0"/>
    <x v="311"/>
  </r>
  <r>
    <x v="1043"/>
    <x v="510"/>
    <x v="502"/>
    <x v="494"/>
    <x v="829"/>
    <x v="1"/>
    <x v="2"/>
    <x v="510"/>
    <x v="281"/>
    <x v="1"/>
    <x v="36"/>
    <x v="0"/>
    <x v="0"/>
    <x v="3"/>
    <x v="1"/>
    <x v="1"/>
    <x v="1"/>
    <x v="1"/>
    <x v="3"/>
    <x v="1"/>
    <x v="2"/>
    <x v="0"/>
    <x v="1"/>
    <x v="3"/>
    <x v="4"/>
    <x v="510"/>
    <x v="1"/>
    <x v="0"/>
    <x v="0"/>
    <x v="1"/>
    <x v="0"/>
    <x v="0"/>
    <x v="0"/>
    <x v="0"/>
  </r>
  <r>
    <x v="1044"/>
    <x v="515"/>
    <x v="507"/>
    <x v="499"/>
    <x v="0"/>
    <x v="1"/>
    <x v="2"/>
    <x v="516"/>
    <x v="10"/>
    <x v="1"/>
    <x v="2"/>
    <x v="0"/>
    <x v="0"/>
    <x v="3"/>
    <x v="1"/>
    <x v="1"/>
    <x v="2"/>
    <x v="1"/>
    <x v="3"/>
    <x v="1"/>
    <x v="2"/>
    <x v="0"/>
    <x v="2"/>
    <x v="3"/>
    <x v="4"/>
    <x v="509"/>
    <x v="5"/>
    <x v="0"/>
    <x v="0"/>
    <x v="1"/>
    <x v="0"/>
    <x v="0"/>
    <x v="0"/>
    <x v="0"/>
  </r>
  <r>
    <x v="1045"/>
    <x v="516"/>
    <x v="508"/>
    <x v="500"/>
    <x v="830"/>
    <x v="1"/>
    <x v="2"/>
    <x v="517"/>
    <x v="55"/>
    <x v="1"/>
    <x v="4"/>
    <x v="0"/>
    <x v="0"/>
    <x v="1"/>
    <x v="1"/>
    <x v="1"/>
    <x v="2"/>
    <x v="1"/>
    <x v="3"/>
    <x v="1"/>
    <x v="1"/>
    <x v="239"/>
    <x v="1"/>
    <x v="1"/>
    <x v="1"/>
    <x v="511"/>
    <x v="1"/>
    <x v="1"/>
    <x v="4"/>
    <x v="2"/>
    <x v="1"/>
    <x v="607"/>
    <x v="0"/>
    <x v="0"/>
  </r>
  <r>
    <x v="1046"/>
    <x v="517"/>
    <x v="509"/>
    <x v="501"/>
    <x v="831"/>
    <x v="1"/>
    <x v="2"/>
    <x v="518"/>
    <x v="379"/>
    <x v="1"/>
    <x v="15"/>
    <x v="0"/>
    <x v="0"/>
    <x v="1"/>
    <x v="3"/>
    <x v="2"/>
    <x v="2"/>
    <x v="1"/>
    <x v="2"/>
    <x v="1"/>
    <x v="1"/>
    <x v="239"/>
    <x v="1"/>
    <x v="1"/>
    <x v="2"/>
    <x v="512"/>
    <x v="3"/>
    <x v="1"/>
    <x v="3"/>
    <x v="2"/>
    <x v="1"/>
    <x v="0"/>
    <x v="0"/>
    <x v="312"/>
  </r>
  <r>
    <x v="1047"/>
    <x v="518"/>
    <x v="510"/>
    <x v="502"/>
    <x v="832"/>
    <x v="1"/>
    <x v="1"/>
    <x v="519"/>
    <x v="356"/>
    <x v="1"/>
    <x v="195"/>
    <x v="0"/>
    <x v="0"/>
    <x v="1"/>
    <x v="1"/>
    <x v="1"/>
    <x v="2"/>
    <x v="1"/>
    <x v="1"/>
    <x v="1"/>
    <x v="2"/>
    <x v="0"/>
    <x v="1"/>
    <x v="1"/>
    <x v="2"/>
    <x v="513"/>
    <x v="3"/>
    <x v="0"/>
    <x v="0"/>
    <x v="1"/>
    <x v="0"/>
    <x v="0"/>
    <x v="0"/>
    <x v="0"/>
  </r>
  <r>
    <x v="1048"/>
    <x v="516"/>
    <x v="508"/>
    <x v="500"/>
    <x v="833"/>
    <x v="1"/>
    <x v="2"/>
    <x v="520"/>
    <x v="55"/>
    <x v="1"/>
    <x v="4"/>
    <x v="0"/>
    <x v="0"/>
    <x v="3"/>
    <x v="3"/>
    <x v="3"/>
    <x v="2"/>
    <x v="1"/>
    <x v="1"/>
    <x v="1"/>
    <x v="1"/>
    <x v="233"/>
    <x v="1"/>
    <x v="3"/>
    <x v="4"/>
    <x v="511"/>
    <x v="1"/>
    <x v="3"/>
    <x v="0"/>
    <x v="1"/>
    <x v="0"/>
    <x v="608"/>
    <x v="297"/>
    <x v="0"/>
  </r>
  <r>
    <x v="1049"/>
    <x v="517"/>
    <x v="509"/>
    <x v="501"/>
    <x v="834"/>
    <x v="1"/>
    <x v="2"/>
    <x v="518"/>
    <x v="379"/>
    <x v="1"/>
    <x v="15"/>
    <x v="0"/>
    <x v="0"/>
    <x v="3"/>
    <x v="1"/>
    <x v="1"/>
    <x v="2"/>
    <x v="1"/>
    <x v="1"/>
    <x v="1"/>
    <x v="2"/>
    <x v="0"/>
    <x v="1"/>
    <x v="3"/>
    <x v="4"/>
    <x v="512"/>
    <x v="3"/>
    <x v="0"/>
    <x v="0"/>
    <x v="1"/>
    <x v="0"/>
    <x v="0"/>
    <x v="0"/>
    <x v="0"/>
  </r>
  <r>
    <x v="1050"/>
    <x v="141"/>
    <x v="141"/>
    <x v="139"/>
    <x v="835"/>
    <x v="1"/>
    <x v="2"/>
    <x v="145"/>
    <x v="10"/>
    <x v="6"/>
    <x v="0"/>
    <x v="0"/>
    <x v="10"/>
    <x v="1"/>
    <x v="1"/>
    <x v="1"/>
    <x v="2"/>
    <x v="1"/>
    <x v="2"/>
    <x v="1"/>
    <x v="1"/>
    <x v="233"/>
    <x v="1"/>
    <x v="5"/>
    <x v="2"/>
    <x v="140"/>
    <x v="3"/>
    <x v="3"/>
    <x v="0"/>
    <x v="1"/>
    <x v="0"/>
    <x v="609"/>
    <x v="298"/>
    <x v="313"/>
  </r>
  <r>
    <x v="1051"/>
    <x v="500"/>
    <x v="492"/>
    <x v="485"/>
    <x v="0"/>
    <x v="1"/>
    <x v="2"/>
    <x v="501"/>
    <x v="10"/>
    <x v="10"/>
    <x v="0"/>
    <x v="0"/>
    <x v="0"/>
    <x v="3"/>
    <x v="1"/>
    <x v="1"/>
    <x v="2"/>
    <x v="1"/>
    <x v="2"/>
    <x v="1"/>
    <x v="2"/>
    <x v="0"/>
    <x v="2"/>
    <x v="3"/>
    <x v="4"/>
    <x v="495"/>
    <x v="5"/>
    <x v="0"/>
    <x v="0"/>
    <x v="1"/>
    <x v="0"/>
    <x v="0"/>
    <x v="0"/>
    <x v="0"/>
  </r>
  <r>
    <x v="1052"/>
    <x v="519"/>
    <x v="511"/>
    <x v="503"/>
    <x v="836"/>
    <x v="1"/>
    <x v="2"/>
    <x v="521"/>
    <x v="245"/>
    <x v="1"/>
    <x v="3"/>
    <x v="0"/>
    <x v="0"/>
    <x v="1"/>
    <x v="3"/>
    <x v="3"/>
    <x v="2"/>
    <x v="2"/>
    <x v="2"/>
    <x v="1"/>
    <x v="1"/>
    <x v="240"/>
    <x v="1"/>
    <x v="1"/>
    <x v="5"/>
    <x v="514"/>
    <x v="5"/>
    <x v="3"/>
    <x v="0"/>
    <x v="1"/>
    <x v="0"/>
    <x v="610"/>
    <x v="299"/>
    <x v="0"/>
  </r>
  <r>
    <x v="1053"/>
    <x v="458"/>
    <x v="454"/>
    <x v="448"/>
    <x v="837"/>
    <x v="1"/>
    <x v="2"/>
    <x v="522"/>
    <x v="356"/>
    <x v="1"/>
    <x v="2"/>
    <x v="0"/>
    <x v="0"/>
    <x v="1"/>
    <x v="3"/>
    <x v="2"/>
    <x v="1"/>
    <x v="1"/>
    <x v="1"/>
    <x v="1"/>
    <x v="1"/>
    <x v="240"/>
    <x v="1"/>
    <x v="1"/>
    <x v="2"/>
    <x v="456"/>
    <x v="1"/>
    <x v="1"/>
    <x v="7"/>
    <x v="2"/>
    <x v="1"/>
    <x v="611"/>
    <x v="0"/>
    <x v="0"/>
  </r>
  <r>
    <x v="1054"/>
    <x v="458"/>
    <x v="454"/>
    <x v="448"/>
    <x v="838"/>
    <x v="1"/>
    <x v="2"/>
    <x v="463"/>
    <x v="356"/>
    <x v="1"/>
    <x v="2"/>
    <x v="0"/>
    <x v="0"/>
    <x v="3"/>
    <x v="1"/>
    <x v="1"/>
    <x v="1"/>
    <x v="1"/>
    <x v="2"/>
    <x v="1"/>
    <x v="2"/>
    <x v="0"/>
    <x v="1"/>
    <x v="3"/>
    <x v="4"/>
    <x v="456"/>
    <x v="12"/>
    <x v="0"/>
    <x v="0"/>
    <x v="1"/>
    <x v="0"/>
    <x v="0"/>
    <x v="0"/>
    <x v="0"/>
  </r>
  <r>
    <x v="1055"/>
    <x v="512"/>
    <x v="504"/>
    <x v="496"/>
    <x v="839"/>
    <x v="1"/>
    <x v="4"/>
    <x v="512"/>
    <x v="377"/>
    <x v="1"/>
    <x v="196"/>
    <x v="0"/>
    <x v="0"/>
    <x v="1"/>
    <x v="1"/>
    <x v="1"/>
    <x v="1"/>
    <x v="1"/>
    <x v="2"/>
    <x v="1"/>
    <x v="2"/>
    <x v="0"/>
    <x v="1"/>
    <x v="2"/>
    <x v="2"/>
    <x v="506"/>
    <x v="12"/>
    <x v="0"/>
    <x v="0"/>
    <x v="1"/>
    <x v="0"/>
    <x v="0"/>
    <x v="0"/>
    <x v="0"/>
  </r>
  <r>
    <x v="1056"/>
    <x v="428"/>
    <x v="425"/>
    <x v="420"/>
    <x v="840"/>
    <x v="3"/>
    <x v="2"/>
    <x v="437"/>
    <x v="324"/>
    <x v="1"/>
    <x v="197"/>
    <x v="0"/>
    <x v="0"/>
    <x v="1"/>
    <x v="1"/>
    <x v="1"/>
    <x v="1"/>
    <x v="2"/>
    <x v="2"/>
    <x v="1"/>
    <x v="2"/>
    <x v="0"/>
    <x v="1"/>
    <x v="1"/>
    <x v="2"/>
    <x v="428"/>
    <x v="12"/>
    <x v="0"/>
    <x v="0"/>
    <x v="1"/>
    <x v="0"/>
    <x v="0"/>
    <x v="0"/>
    <x v="0"/>
  </r>
  <r>
    <x v="1057"/>
    <x v="520"/>
    <x v="512"/>
    <x v="504"/>
    <x v="841"/>
    <x v="1"/>
    <x v="2"/>
    <x v="523"/>
    <x v="380"/>
    <x v="10"/>
    <x v="0"/>
    <x v="0"/>
    <x v="0"/>
    <x v="1"/>
    <x v="1"/>
    <x v="1"/>
    <x v="2"/>
    <x v="2"/>
    <x v="1"/>
    <x v="1"/>
    <x v="1"/>
    <x v="234"/>
    <x v="1"/>
    <x v="1"/>
    <x v="5"/>
    <x v="515"/>
    <x v="1"/>
    <x v="1"/>
    <x v="7"/>
    <x v="2"/>
    <x v="1"/>
    <x v="612"/>
    <x v="0"/>
    <x v="0"/>
  </r>
  <r>
    <x v="1058"/>
    <x v="235"/>
    <x v="234"/>
    <x v="231"/>
    <x v="842"/>
    <x v="1"/>
    <x v="2"/>
    <x v="245"/>
    <x v="200"/>
    <x v="1"/>
    <x v="198"/>
    <x v="0"/>
    <x v="0"/>
    <x v="1"/>
    <x v="1"/>
    <x v="1"/>
    <x v="2"/>
    <x v="1"/>
    <x v="2"/>
    <x v="1"/>
    <x v="2"/>
    <x v="0"/>
    <x v="1"/>
    <x v="1"/>
    <x v="2"/>
    <x v="235"/>
    <x v="12"/>
    <x v="0"/>
    <x v="0"/>
    <x v="1"/>
    <x v="0"/>
    <x v="0"/>
    <x v="0"/>
    <x v="0"/>
  </r>
  <r>
    <x v="1059"/>
    <x v="521"/>
    <x v="513"/>
    <x v="505"/>
    <x v="843"/>
    <x v="1"/>
    <x v="2"/>
    <x v="358"/>
    <x v="10"/>
    <x v="10"/>
    <x v="0"/>
    <x v="0"/>
    <x v="0"/>
    <x v="1"/>
    <x v="3"/>
    <x v="3"/>
    <x v="1"/>
    <x v="1"/>
    <x v="2"/>
    <x v="1"/>
    <x v="1"/>
    <x v="241"/>
    <x v="1"/>
    <x v="5"/>
    <x v="2"/>
    <x v="516"/>
    <x v="12"/>
    <x v="1"/>
    <x v="8"/>
    <x v="1"/>
    <x v="0"/>
    <x v="613"/>
    <x v="0"/>
    <x v="314"/>
  </r>
  <r>
    <x v="1060"/>
    <x v="522"/>
    <x v="514"/>
    <x v="506"/>
    <x v="844"/>
    <x v="3"/>
    <x v="3"/>
    <x v="524"/>
    <x v="381"/>
    <x v="6"/>
    <x v="0"/>
    <x v="0"/>
    <x v="23"/>
    <x v="1"/>
    <x v="1"/>
    <x v="1"/>
    <x v="2"/>
    <x v="1"/>
    <x v="3"/>
    <x v="1"/>
    <x v="2"/>
    <x v="0"/>
    <x v="1"/>
    <x v="5"/>
    <x v="2"/>
    <x v="517"/>
    <x v="12"/>
    <x v="0"/>
    <x v="0"/>
    <x v="1"/>
    <x v="0"/>
    <x v="0"/>
    <x v="0"/>
    <x v="0"/>
  </r>
  <r>
    <x v="1061"/>
    <x v="521"/>
    <x v="513"/>
    <x v="505"/>
    <x v="0"/>
    <x v="1"/>
    <x v="2"/>
    <x v="358"/>
    <x v="10"/>
    <x v="11"/>
    <x v="0"/>
    <x v="0"/>
    <x v="0"/>
    <x v="3"/>
    <x v="1"/>
    <x v="2"/>
    <x v="2"/>
    <x v="1"/>
    <x v="2"/>
    <x v="2"/>
    <x v="2"/>
    <x v="0"/>
    <x v="2"/>
    <x v="3"/>
    <x v="4"/>
    <x v="516"/>
    <x v="8"/>
    <x v="0"/>
    <x v="0"/>
    <x v="1"/>
    <x v="0"/>
    <x v="0"/>
    <x v="0"/>
    <x v="0"/>
  </r>
  <r>
    <x v="1062"/>
    <x v="523"/>
    <x v="515"/>
    <x v="507"/>
    <x v="845"/>
    <x v="1"/>
    <x v="2"/>
    <x v="525"/>
    <x v="299"/>
    <x v="1"/>
    <x v="2"/>
    <x v="0"/>
    <x v="0"/>
    <x v="1"/>
    <x v="3"/>
    <x v="3"/>
    <x v="2"/>
    <x v="1"/>
    <x v="2"/>
    <x v="1"/>
    <x v="1"/>
    <x v="242"/>
    <x v="1"/>
    <x v="6"/>
    <x v="2"/>
    <x v="518"/>
    <x v="8"/>
    <x v="1"/>
    <x v="3"/>
    <x v="2"/>
    <x v="1"/>
    <x v="614"/>
    <x v="0"/>
    <x v="0"/>
  </r>
  <r>
    <x v="1063"/>
    <x v="523"/>
    <x v="515"/>
    <x v="507"/>
    <x v="846"/>
    <x v="1"/>
    <x v="2"/>
    <x v="525"/>
    <x v="299"/>
    <x v="1"/>
    <x v="2"/>
    <x v="0"/>
    <x v="0"/>
    <x v="3"/>
    <x v="4"/>
    <x v="1"/>
    <x v="2"/>
    <x v="1"/>
    <x v="2"/>
    <x v="1"/>
    <x v="2"/>
    <x v="0"/>
    <x v="1"/>
    <x v="3"/>
    <x v="4"/>
    <x v="518"/>
    <x v="3"/>
    <x v="0"/>
    <x v="0"/>
    <x v="1"/>
    <x v="0"/>
    <x v="0"/>
    <x v="0"/>
    <x v="0"/>
  </r>
  <r>
    <x v="1064"/>
    <x v="524"/>
    <x v="516"/>
    <x v="508"/>
    <x v="847"/>
    <x v="1"/>
    <x v="2"/>
    <x v="526"/>
    <x v="371"/>
    <x v="1"/>
    <x v="31"/>
    <x v="0"/>
    <x v="0"/>
    <x v="1"/>
    <x v="3"/>
    <x v="3"/>
    <x v="2"/>
    <x v="1"/>
    <x v="2"/>
    <x v="1"/>
    <x v="1"/>
    <x v="243"/>
    <x v="1"/>
    <x v="1"/>
    <x v="2"/>
    <x v="519"/>
    <x v="5"/>
    <x v="1"/>
    <x v="3"/>
    <x v="2"/>
    <x v="1"/>
    <x v="615"/>
    <x v="0"/>
    <x v="0"/>
  </r>
  <r>
    <x v="1065"/>
    <x v="491"/>
    <x v="484"/>
    <x v="478"/>
    <x v="848"/>
    <x v="1"/>
    <x v="2"/>
    <x v="499"/>
    <x v="367"/>
    <x v="1"/>
    <x v="199"/>
    <x v="0"/>
    <x v="0"/>
    <x v="1"/>
    <x v="1"/>
    <x v="1"/>
    <x v="2"/>
    <x v="1"/>
    <x v="3"/>
    <x v="1"/>
    <x v="2"/>
    <x v="0"/>
    <x v="1"/>
    <x v="1"/>
    <x v="2"/>
    <x v="488"/>
    <x v="3"/>
    <x v="0"/>
    <x v="0"/>
    <x v="1"/>
    <x v="0"/>
    <x v="0"/>
    <x v="0"/>
    <x v="0"/>
  </r>
  <r>
    <x v="1066"/>
    <x v="524"/>
    <x v="516"/>
    <x v="508"/>
    <x v="849"/>
    <x v="1"/>
    <x v="2"/>
    <x v="526"/>
    <x v="371"/>
    <x v="1"/>
    <x v="31"/>
    <x v="0"/>
    <x v="0"/>
    <x v="3"/>
    <x v="2"/>
    <x v="3"/>
    <x v="2"/>
    <x v="1"/>
    <x v="2"/>
    <x v="1"/>
    <x v="2"/>
    <x v="0"/>
    <x v="1"/>
    <x v="3"/>
    <x v="4"/>
    <x v="519"/>
    <x v="3"/>
    <x v="0"/>
    <x v="0"/>
    <x v="1"/>
    <x v="0"/>
    <x v="0"/>
    <x v="0"/>
    <x v="0"/>
  </r>
  <r>
    <x v="1067"/>
    <x v="525"/>
    <x v="517"/>
    <x v="509"/>
    <x v="850"/>
    <x v="1"/>
    <x v="2"/>
    <x v="527"/>
    <x v="360"/>
    <x v="1"/>
    <x v="33"/>
    <x v="0"/>
    <x v="0"/>
    <x v="1"/>
    <x v="3"/>
    <x v="2"/>
    <x v="2"/>
    <x v="1"/>
    <x v="1"/>
    <x v="1"/>
    <x v="1"/>
    <x v="234"/>
    <x v="1"/>
    <x v="1"/>
    <x v="2"/>
    <x v="520"/>
    <x v="1"/>
    <x v="1"/>
    <x v="4"/>
    <x v="2"/>
    <x v="1"/>
    <x v="616"/>
    <x v="0"/>
    <x v="0"/>
  </r>
  <r>
    <x v="1068"/>
    <x v="526"/>
    <x v="518"/>
    <x v="510"/>
    <x v="851"/>
    <x v="3"/>
    <x v="2"/>
    <x v="528"/>
    <x v="227"/>
    <x v="1"/>
    <x v="22"/>
    <x v="0"/>
    <x v="0"/>
    <x v="1"/>
    <x v="1"/>
    <x v="1"/>
    <x v="2"/>
    <x v="1"/>
    <x v="3"/>
    <x v="1"/>
    <x v="1"/>
    <x v="244"/>
    <x v="1"/>
    <x v="1"/>
    <x v="2"/>
    <x v="521"/>
    <x v="3"/>
    <x v="3"/>
    <x v="0"/>
    <x v="1"/>
    <x v="0"/>
    <x v="617"/>
    <x v="300"/>
    <x v="315"/>
  </r>
  <r>
    <x v="1069"/>
    <x v="200"/>
    <x v="198"/>
    <x v="196"/>
    <x v="852"/>
    <x v="1"/>
    <x v="2"/>
    <x v="209"/>
    <x v="322"/>
    <x v="1"/>
    <x v="200"/>
    <x v="0"/>
    <x v="0"/>
    <x v="1"/>
    <x v="1"/>
    <x v="1"/>
    <x v="2"/>
    <x v="1"/>
    <x v="2"/>
    <x v="1"/>
    <x v="2"/>
    <x v="0"/>
    <x v="1"/>
    <x v="1"/>
    <x v="2"/>
    <x v="473"/>
    <x v="3"/>
    <x v="0"/>
    <x v="0"/>
    <x v="1"/>
    <x v="0"/>
    <x v="0"/>
    <x v="0"/>
    <x v="0"/>
  </r>
  <r>
    <x v="1070"/>
    <x v="527"/>
    <x v="519"/>
    <x v="511"/>
    <x v="853"/>
    <x v="1"/>
    <x v="2"/>
    <x v="529"/>
    <x v="325"/>
    <x v="1"/>
    <x v="201"/>
    <x v="0"/>
    <x v="0"/>
    <x v="1"/>
    <x v="1"/>
    <x v="1"/>
    <x v="1"/>
    <x v="1"/>
    <x v="2"/>
    <x v="1"/>
    <x v="1"/>
    <x v="234"/>
    <x v="1"/>
    <x v="5"/>
    <x v="2"/>
    <x v="522"/>
    <x v="3"/>
    <x v="1"/>
    <x v="7"/>
    <x v="1"/>
    <x v="0"/>
    <x v="618"/>
    <x v="0"/>
    <x v="0"/>
  </r>
  <r>
    <x v="1071"/>
    <x v="499"/>
    <x v="491"/>
    <x v="484"/>
    <x v="854"/>
    <x v="3"/>
    <x v="2"/>
    <x v="500"/>
    <x v="382"/>
    <x v="1"/>
    <x v="33"/>
    <x v="0"/>
    <x v="0"/>
    <x v="1"/>
    <x v="3"/>
    <x v="2"/>
    <x v="2"/>
    <x v="1"/>
    <x v="1"/>
    <x v="1"/>
    <x v="1"/>
    <x v="244"/>
    <x v="1"/>
    <x v="2"/>
    <x v="2"/>
    <x v="494"/>
    <x v="1"/>
    <x v="3"/>
    <x v="0"/>
    <x v="1"/>
    <x v="0"/>
    <x v="619"/>
    <x v="301"/>
    <x v="0"/>
  </r>
  <r>
    <x v="1072"/>
    <x v="505"/>
    <x v="497"/>
    <x v="490"/>
    <x v="855"/>
    <x v="1"/>
    <x v="3"/>
    <x v="507"/>
    <x v="383"/>
    <x v="1"/>
    <x v="22"/>
    <x v="0"/>
    <x v="0"/>
    <x v="3"/>
    <x v="1"/>
    <x v="1"/>
    <x v="1"/>
    <x v="1"/>
    <x v="2"/>
    <x v="1"/>
    <x v="2"/>
    <x v="0"/>
    <x v="1"/>
    <x v="3"/>
    <x v="4"/>
    <x v="500"/>
    <x v="12"/>
    <x v="0"/>
    <x v="0"/>
    <x v="1"/>
    <x v="0"/>
    <x v="0"/>
    <x v="0"/>
    <x v="0"/>
  </r>
  <r>
    <x v="1073"/>
    <x v="525"/>
    <x v="517"/>
    <x v="509"/>
    <x v="856"/>
    <x v="1"/>
    <x v="2"/>
    <x v="527"/>
    <x v="360"/>
    <x v="1"/>
    <x v="33"/>
    <x v="0"/>
    <x v="0"/>
    <x v="3"/>
    <x v="3"/>
    <x v="3"/>
    <x v="2"/>
    <x v="1"/>
    <x v="1"/>
    <x v="1"/>
    <x v="1"/>
    <x v="244"/>
    <x v="1"/>
    <x v="3"/>
    <x v="4"/>
    <x v="520"/>
    <x v="1"/>
    <x v="1"/>
    <x v="4"/>
    <x v="2"/>
    <x v="1"/>
    <x v="620"/>
    <x v="302"/>
    <x v="0"/>
  </r>
  <r>
    <x v="1074"/>
    <x v="520"/>
    <x v="512"/>
    <x v="504"/>
    <x v="857"/>
    <x v="1"/>
    <x v="2"/>
    <x v="523"/>
    <x v="380"/>
    <x v="1"/>
    <x v="31"/>
    <x v="0"/>
    <x v="0"/>
    <x v="3"/>
    <x v="3"/>
    <x v="3"/>
    <x v="2"/>
    <x v="2"/>
    <x v="2"/>
    <x v="1"/>
    <x v="1"/>
    <x v="245"/>
    <x v="1"/>
    <x v="3"/>
    <x v="4"/>
    <x v="515"/>
    <x v="12"/>
    <x v="1"/>
    <x v="7"/>
    <x v="1"/>
    <x v="0"/>
    <x v="621"/>
    <x v="0"/>
    <x v="168"/>
  </r>
  <r>
    <x v="1075"/>
    <x v="528"/>
    <x v="520"/>
    <x v="512"/>
    <x v="858"/>
    <x v="1"/>
    <x v="2"/>
    <x v="530"/>
    <x v="384"/>
    <x v="6"/>
    <x v="0"/>
    <x v="0"/>
    <x v="24"/>
    <x v="1"/>
    <x v="1"/>
    <x v="1"/>
    <x v="2"/>
    <x v="1"/>
    <x v="3"/>
    <x v="1"/>
    <x v="2"/>
    <x v="0"/>
    <x v="1"/>
    <x v="1"/>
    <x v="2"/>
    <x v="523"/>
    <x v="1"/>
    <x v="0"/>
    <x v="0"/>
    <x v="1"/>
    <x v="0"/>
    <x v="0"/>
    <x v="0"/>
    <x v="0"/>
  </r>
  <r>
    <x v="1076"/>
    <x v="529"/>
    <x v="521"/>
    <x v="513"/>
    <x v="859"/>
    <x v="1"/>
    <x v="1"/>
    <x v="531"/>
    <x v="10"/>
    <x v="1"/>
    <x v="202"/>
    <x v="0"/>
    <x v="0"/>
    <x v="1"/>
    <x v="1"/>
    <x v="1"/>
    <x v="1"/>
    <x v="1"/>
    <x v="1"/>
    <x v="1"/>
    <x v="1"/>
    <x v="245"/>
    <x v="1"/>
    <x v="1"/>
    <x v="2"/>
    <x v="524"/>
    <x v="1"/>
    <x v="3"/>
    <x v="0"/>
    <x v="1"/>
    <x v="0"/>
    <x v="622"/>
    <x v="303"/>
    <x v="0"/>
  </r>
  <r>
    <x v="1077"/>
    <x v="527"/>
    <x v="519"/>
    <x v="511"/>
    <x v="0"/>
    <x v="1"/>
    <x v="2"/>
    <x v="529"/>
    <x v="325"/>
    <x v="1"/>
    <x v="36"/>
    <x v="0"/>
    <x v="0"/>
    <x v="3"/>
    <x v="4"/>
    <x v="1"/>
    <x v="2"/>
    <x v="1"/>
    <x v="2"/>
    <x v="1"/>
    <x v="2"/>
    <x v="0"/>
    <x v="2"/>
    <x v="3"/>
    <x v="4"/>
    <x v="522"/>
    <x v="12"/>
    <x v="0"/>
    <x v="0"/>
    <x v="1"/>
    <x v="0"/>
    <x v="0"/>
    <x v="0"/>
    <x v="0"/>
  </r>
  <r>
    <x v="1078"/>
    <x v="530"/>
    <x v="522"/>
    <x v="514"/>
    <x v="860"/>
    <x v="1"/>
    <x v="2"/>
    <x v="532"/>
    <x v="171"/>
    <x v="1"/>
    <x v="2"/>
    <x v="0"/>
    <x v="0"/>
    <x v="1"/>
    <x v="1"/>
    <x v="1"/>
    <x v="2"/>
    <x v="1"/>
    <x v="2"/>
    <x v="1"/>
    <x v="1"/>
    <x v="244"/>
    <x v="2"/>
    <x v="2"/>
    <x v="2"/>
    <x v="525"/>
    <x v="3"/>
    <x v="1"/>
    <x v="4"/>
    <x v="1"/>
    <x v="0"/>
    <x v="623"/>
    <x v="0"/>
    <x v="316"/>
  </r>
  <r>
    <x v="1079"/>
    <x v="530"/>
    <x v="522"/>
    <x v="514"/>
    <x v="861"/>
    <x v="1"/>
    <x v="2"/>
    <x v="532"/>
    <x v="171"/>
    <x v="1"/>
    <x v="2"/>
    <x v="0"/>
    <x v="0"/>
    <x v="3"/>
    <x v="1"/>
    <x v="1"/>
    <x v="2"/>
    <x v="1"/>
    <x v="3"/>
    <x v="1"/>
    <x v="1"/>
    <x v="244"/>
    <x v="2"/>
    <x v="3"/>
    <x v="4"/>
    <x v="525"/>
    <x v="1"/>
    <x v="1"/>
    <x v="3"/>
    <x v="1"/>
    <x v="0"/>
    <x v="624"/>
    <x v="0"/>
    <x v="0"/>
  </r>
  <r>
    <x v="1080"/>
    <x v="525"/>
    <x v="517"/>
    <x v="509"/>
    <x v="862"/>
    <x v="1"/>
    <x v="2"/>
    <x v="527"/>
    <x v="360"/>
    <x v="1"/>
    <x v="33"/>
    <x v="0"/>
    <x v="0"/>
    <x v="3"/>
    <x v="1"/>
    <x v="1"/>
    <x v="2"/>
    <x v="1"/>
    <x v="1"/>
    <x v="1"/>
    <x v="2"/>
    <x v="0"/>
    <x v="1"/>
    <x v="3"/>
    <x v="4"/>
    <x v="520"/>
    <x v="1"/>
    <x v="0"/>
    <x v="0"/>
    <x v="1"/>
    <x v="0"/>
    <x v="0"/>
    <x v="0"/>
    <x v="0"/>
  </r>
  <r>
    <x v="1081"/>
    <x v="531"/>
    <x v="523"/>
    <x v="515"/>
    <x v="863"/>
    <x v="3"/>
    <x v="2"/>
    <x v="533"/>
    <x v="385"/>
    <x v="1"/>
    <x v="203"/>
    <x v="0"/>
    <x v="0"/>
    <x v="1"/>
    <x v="2"/>
    <x v="3"/>
    <x v="2"/>
    <x v="1"/>
    <x v="2"/>
    <x v="1"/>
    <x v="1"/>
    <x v="244"/>
    <x v="1"/>
    <x v="1"/>
    <x v="2"/>
    <x v="526"/>
    <x v="6"/>
    <x v="3"/>
    <x v="0"/>
    <x v="1"/>
    <x v="0"/>
    <x v="625"/>
    <x v="304"/>
    <x v="0"/>
  </r>
  <r>
    <x v="1082"/>
    <x v="530"/>
    <x v="522"/>
    <x v="514"/>
    <x v="0"/>
    <x v="1"/>
    <x v="2"/>
    <x v="532"/>
    <x v="171"/>
    <x v="1"/>
    <x v="2"/>
    <x v="0"/>
    <x v="0"/>
    <x v="3"/>
    <x v="3"/>
    <x v="3"/>
    <x v="2"/>
    <x v="1"/>
    <x v="2"/>
    <x v="1"/>
    <x v="1"/>
    <x v="245"/>
    <x v="2"/>
    <x v="3"/>
    <x v="4"/>
    <x v="525"/>
    <x v="3"/>
    <x v="1"/>
    <x v="5"/>
    <x v="1"/>
    <x v="0"/>
    <x v="626"/>
    <x v="0"/>
    <x v="317"/>
  </r>
  <r>
    <x v="1083"/>
    <x v="520"/>
    <x v="512"/>
    <x v="504"/>
    <x v="0"/>
    <x v="1"/>
    <x v="2"/>
    <x v="523"/>
    <x v="386"/>
    <x v="1"/>
    <x v="3"/>
    <x v="0"/>
    <x v="0"/>
    <x v="3"/>
    <x v="3"/>
    <x v="3"/>
    <x v="2"/>
    <x v="2"/>
    <x v="2"/>
    <x v="1"/>
    <x v="1"/>
    <x v="246"/>
    <x v="2"/>
    <x v="3"/>
    <x v="4"/>
    <x v="515"/>
    <x v="12"/>
    <x v="1"/>
    <x v="7"/>
    <x v="1"/>
    <x v="0"/>
    <x v="627"/>
    <x v="0"/>
    <x v="0"/>
  </r>
  <r>
    <x v="1084"/>
    <x v="532"/>
    <x v="524"/>
    <x v="516"/>
    <x v="864"/>
    <x v="1"/>
    <x v="2"/>
    <x v="534"/>
    <x v="196"/>
    <x v="6"/>
    <x v="0"/>
    <x v="0"/>
    <x v="4"/>
    <x v="1"/>
    <x v="1"/>
    <x v="2"/>
    <x v="2"/>
    <x v="1"/>
    <x v="3"/>
    <x v="1"/>
    <x v="2"/>
    <x v="0"/>
    <x v="1"/>
    <x v="1"/>
    <x v="2"/>
    <x v="527"/>
    <x v="1"/>
    <x v="0"/>
    <x v="0"/>
    <x v="1"/>
    <x v="0"/>
    <x v="0"/>
    <x v="0"/>
    <x v="0"/>
  </r>
  <r>
    <x v="1085"/>
    <x v="530"/>
    <x v="522"/>
    <x v="514"/>
    <x v="0"/>
    <x v="1"/>
    <x v="2"/>
    <x v="532"/>
    <x v="171"/>
    <x v="1"/>
    <x v="2"/>
    <x v="0"/>
    <x v="0"/>
    <x v="3"/>
    <x v="1"/>
    <x v="1"/>
    <x v="2"/>
    <x v="1"/>
    <x v="2"/>
    <x v="1"/>
    <x v="2"/>
    <x v="0"/>
    <x v="2"/>
    <x v="3"/>
    <x v="4"/>
    <x v="525"/>
    <x v="2"/>
    <x v="0"/>
    <x v="0"/>
    <x v="1"/>
    <x v="0"/>
    <x v="0"/>
    <x v="0"/>
    <x v="0"/>
  </r>
  <r>
    <x v="1086"/>
    <x v="533"/>
    <x v="525"/>
    <x v="517"/>
    <x v="865"/>
    <x v="1"/>
    <x v="2"/>
    <x v="535"/>
    <x v="387"/>
    <x v="1"/>
    <x v="9"/>
    <x v="0"/>
    <x v="0"/>
    <x v="1"/>
    <x v="1"/>
    <x v="1"/>
    <x v="2"/>
    <x v="1"/>
    <x v="2"/>
    <x v="1"/>
    <x v="2"/>
    <x v="0"/>
    <x v="1"/>
    <x v="6"/>
    <x v="2"/>
    <x v="528"/>
    <x v="12"/>
    <x v="0"/>
    <x v="0"/>
    <x v="1"/>
    <x v="0"/>
    <x v="0"/>
    <x v="0"/>
    <x v="0"/>
  </r>
  <r>
    <x v="1087"/>
    <x v="223"/>
    <x v="222"/>
    <x v="219"/>
    <x v="866"/>
    <x v="1"/>
    <x v="2"/>
    <x v="233"/>
    <x v="377"/>
    <x v="6"/>
    <x v="0"/>
    <x v="0"/>
    <x v="25"/>
    <x v="1"/>
    <x v="1"/>
    <x v="1"/>
    <x v="2"/>
    <x v="1"/>
    <x v="3"/>
    <x v="1"/>
    <x v="2"/>
    <x v="0"/>
    <x v="1"/>
    <x v="4"/>
    <x v="2"/>
    <x v="223"/>
    <x v="12"/>
    <x v="0"/>
    <x v="0"/>
    <x v="1"/>
    <x v="0"/>
    <x v="0"/>
    <x v="0"/>
    <x v="0"/>
  </r>
  <r>
    <x v="1088"/>
    <x v="520"/>
    <x v="512"/>
    <x v="504"/>
    <x v="867"/>
    <x v="1"/>
    <x v="2"/>
    <x v="523"/>
    <x v="380"/>
    <x v="1"/>
    <x v="3"/>
    <x v="0"/>
    <x v="0"/>
    <x v="3"/>
    <x v="1"/>
    <x v="1"/>
    <x v="2"/>
    <x v="2"/>
    <x v="2"/>
    <x v="1"/>
    <x v="2"/>
    <x v="0"/>
    <x v="2"/>
    <x v="3"/>
    <x v="4"/>
    <x v="515"/>
    <x v="12"/>
    <x v="0"/>
    <x v="0"/>
    <x v="1"/>
    <x v="0"/>
    <x v="0"/>
    <x v="0"/>
    <x v="0"/>
  </r>
  <r>
    <x v="1089"/>
    <x v="534"/>
    <x v="526"/>
    <x v="518"/>
    <x v="868"/>
    <x v="1"/>
    <x v="1"/>
    <x v="536"/>
    <x v="388"/>
    <x v="1"/>
    <x v="36"/>
    <x v="0"/>
    <x v="0"/>
    <x v="1"/>
    <x v="1"/>
    <x v="1"/>
    <x v="2"/>
    <x v="1"/>
    <x v="2"/>
    <x v="1"/>
    <x v="2"/>
    <x v="0"/>
    <x v="1"/>
    <x v="6"/>
    <x v="2"/>
    <x v="529"/>
    <x v="12"/>
    <x v="0"/>
    <x v="0"/>
    <x v="1"/>
    <x v="0"/>
    <x v="0"/>
    <x v="0"/>
    <x v="0"/>
  </r>
  <r>
    <x v="1090"/>
    <x v="530"/>
    <x v="522"/>
    <x v="514"/>
    <x v="869"/>
    <x v="1"/>
    <x v="2"/>
    <x v="537"/>
    <x v="171"/>
    <x v="1"/>
    <x v="4"/>
    <x v="0"/>
    <x v="0"/>
    <x v="1"/>
    <x v="3"/>
    <x v="3"/>
    <x v="2"/>
    <x v="1"/>
    <x v="2"/>
    <x v="1"/>
    <x v="1"/>
    <x v="247"/>
    <x v="2"/>
    <x v="6"/>
    <x v="2"/>
    <x v="525"/>
    <x v="1"/>
    <x v="1"/>
    <x v="7"/>
    <x v="1"/>
    <x v="0"/>
    <x v="628"/>
    <x v="305"/>
    <x v="0"/>
  </r>
  <r>
    <x v="1091"/>
    <x v="193"/>
    <x v="191"/>
    <x v="189"/>
    <x v="870"/>
    <x v="1"/>
    <x v="2"/>
    <x v="202"/>
    <x v="165"/>
    <x v="1"/>
    <x v="44"/>
    <x v="0"/>
    <x v="0"/>
    <x v="1"/>
    <x v="1"/>
    <x v="1"/>
    <x v="2"/>
    <x v="1"/>
    <x v="2"/>
    <x v="1"/>
    <x v="1"/>
    <x v="247"/>
    <x v="1"/>
    <x v="1"/>
    <x v="2"/>
    <x v="191"/>
    <x v="3"/>
    <x v="1"/>
    <x v="3"/>
    <x v="1"/>
    <x v="0"/>
    <x v="629"/>
    <x v="306"/>
    <x v="318"/>
  </r>
  <r>
    <x v="1092"/>
    <x v="535"/>
    <x v="527"/>
    <x v="519"/>
    <x v="871"/>
    <x v="1"/>
    <x v="1"/>
    <x v="38"/>
    <x v="280"/>
    <x v="1"/>
    <x v="13"/>
    <x v="0"/>
    <x v="0"/>
    <x v="1"/>
    <x v="1"/>
    <x v="1"/>
    <x v="2"/>
    <x v="1"/>
    <x v="3"/>
    <x v="1"/>
    <x v="1"/>
    <x v="247"/>
    <x v="1"/>
    <x v="1"/>
    <x v="2"/>
    <x v="530"/>
    <x v="1"/>
    <x v="1"/>
    <x v="4"/>
    <x v="2"/>
    <x v="1"/>
    <x v="630"/>
    <x v="0"/>
    <x v="319"/>
  </r>
  <r>
    <x v="1093"/>
    <x v="536"/>
    <x v="528"/>
    <x v="520"/>
    <x v="872"/>
    <x v="1"/>
    <x v="2"/>
    <x v="538"/>
    <x v="203"/>
    <x v="1"/>
    <x v="15"/>
    <x v="0"/>
    <x v="0"/>
    <x v="1"/>
    <x v="1"/>
    <x v="1"/>
    <x v="2"/>
    <x v="1"/>
    <x v="2"/>
    <x v="1"/>
    <x v="1"/>
    <x v="247"/>
    <x v="1"/>
    <x v="1"/>
    <x v="2"/>
    <x v="531"/>
    <x v="12"/>
    <x v="1"/>
    <x v="3"/>
    <x v="1"/>
    <x v="0"/>
    <x v="631"/>
    <x v="0"/>
    <x v="320"/>
  </r>
  <r>
    <x v="1094"/>
    <x v="193"/>
    <x v="191"/>
    <x v="189"/>
    <x v="0"/>
    <x v="1"/>
    <x v="2"/>
    <x v="202"/>
    <x v="165"/>
    <x v="1"/>
    <x v="44"/>
    <x v="0"/>
    <x v="0"/>
    <x v="3"/>
    <x v="1"/>
    <x v="1"/>
    <x v="2"/>
    <x v="1"/>
    <x v="2"/>
    <x v="1"/>
    <x v="2"/>
    <x v="0"/>
    <x v="2"/>
    <x v="3"/>
    <x v="4"/>
    <x v="191"/>
    <x v="3"/>
    <x v="0"/>
    <x v="0"/>
    <x v="1"/>
    <x v="0"/>
    <x v="0"/>
    <x v="0"/>
    <x v="0"/>
  </r>
  <r>
    <x v="1095"/>
    <x v="535"/>
    <x v="527"/>
    <x v="519"/>
    <x v="873"/>
    <x v="1"/>
    <x v="1"/>
    <x v="38"/>
    <x v="280"/>
    <x v="1"/>
    <x v="136"/>
    <x v="0"/>
    <x v="0"/>
    <x v="3"/>
    <x v="1"/>
    <x v="1"/>
    <x v="2"/>
    <x v="1"/>
    <x v="3"/>
    <x v="1"/>
    <x v="2"/>
    <x v="0"/>
    <x v="1"/>
    <x v="3"/>
    <x v="4"/>
    <x v="530"/>
    <x v="1"/>
    <x v="0"/>
    <x v="0"/>
    <x v="1"/>
    <x v="0"/>
    <x v="0"/>
    <x v="0"/>
    <x v="0"/>
  </r>
  <r>
    <x v="1096"/>
    <x v="530"/>
    <x v="522"/>
    <x v="514"/>
    <x v="0"/>
    <x v="1"/>
    <x v="2"/>
    <x v="532"/>
    <x v="171"/>
    <x v="1"/>
    <x v="4"/>
    <x v="0"/>
    <x v="0"/>
    <x v="3"/>
    <x v="1"/>
    <x v="1"/>
    <x v="2"/>
    <x v="1"/>
    <x v="2"/>
    <x v="1"/>
    <x v="2"/>
    <x v="0"/>
    <x v="2"/>
    <x v="3"/>
    <x v="4"/>
    <x v="525"/>
    <x v="12"/>
    <x v="0"/>
    <x v="0"/>
    <x v="1"/>
    <x v="0"/>
    <x v="0"/>
    <x v="0"/>
    <x v="0"/>
  </r>
  <r>
    <x v="1097"/>
    <x v="536"/>
    <x v="528"/>
    <x v="520"/>
    <x v="0"/>
    <x v="1"/>
    <x v="2"/>
    <x v="538"/>
    <x v="203"/>
    <x v="1"/>
    <x v="15"/>
    <x v="0"/>
    <x v="0"/>
    <x v="3"/>
    <x v="1"/>
    <x v="1"/>
    <x v="2"/>
    <x v="1"/>
    <x v="2"/>
    <x v="1"/>
    <x v="2"/>
    <x v="0"/>
    <x v="2"/>
    <x v="3"/>
    <x v="4"/>
    <x v="531"/>
    <x v="3"/>
    <x v="0"/>
    <x v="0"/>
    <x v="1"/>
    <x v="0"/>
    <x v="0"/>
    <x v="0"/>
    <x v="0"/>
  </r>
  <r>
    <x v="1098"/>
    <x v="530"/>
    <x v="522"/>
    <x v="514"/>
    <x v="874"/>
    <x v="1"/>
    <x v="2"/>
    <x v="532"/>
    <x v="171"/>
    <x v="1"/>
    <x v="15"/>
    <x v="0"/>
    <x v="0"/>
    <x v="1"/>
    <x v="1"/>
    <x v="1"/>
    <x v="2"/>
    <x v="1"/>
    <x v="2"/>
    <x v="1"/>
    <x v="1"/>
    <x v="248"/>
    <x v="2"/>
    <x v="5"/>
    <x v="2"/>
    <x v="525"/>
    <x v="3"/>
    <x v="1"/>
    <x v="7"/>
    <x v="1"/>
    <x v="0"/>
    <x v="632"/>
    <x v="0"/>
    <x v="0"/>
  </r>
  <r>
    <x v="1099"/>
    <x v="537"/>
    <x v="529"/>
    <x v="521"/>
    <x v="875"/>
    <x v="3"/>
    <x v="2"/>
    <x v="539"/>
    <x v="389"/>
    <x v="1"/>
    <x v="204"/>
    <x v="0"/>
    <x v="0"/>
    <x v="1"/>
    <x v="1"/>
    <x v="1"/>
    <x v="1"/>
    <x v="1"/>
    <x v="3"/>
    <x v="1"/>
    <x v="2"/>
    <x v="0"/>
    <x v="1"/>
    <x v="5"/>
    <x v="2"/>
    <x v="532"/>
    <x v="3"/>
    <x v="0"/>
    <x v="0"/>
    <x v="1"/>
    <x v="0"/>
    <x v="0"/>
    <x v="0"/>
    <x v="0"/>
  </r>
  <r>
    <x v="1100"/>
    <x v="530"/>
    <x v="522"/>
    <x v="514"/>
    <x v="0"/>
    <x v="1"/>
    <x v="2"/>
    <x v="532"/>
    <x v="171"/>
    <x v="1"/>
    <x v="15"/>
    <x v="0"/>
    <x v="0"/>
    <x v="3"/>
    <x v="1"/>
    <x v="1"/>
    <x v="2"/>
    <x v="1"/>
    <x v="2"/>
    <x v="1"/>
    <x v="2"/>
    <x v="0"/>
    <x v="2"/>
    <x v="3"/>
    <x v="4"/>
    <x v="525"/>
    <x v="12"/>
    <x v="0"/>
    <x v="0"/>
    <x v="1"/>
    <x v="0"/>
    <x v="0"/>
    <x v="0"/>
    <x v="0"/>
  </r>
  <r>
    <x v="1101"/>
    <x v="538"/>
    <x v="530"/>
    <x v="522"/>
    <x v="876"/>
    <x v="3"/>
    <x v="3"/>
    <x v="540"/>
    <x v="343"/>
    <x v="1"/>
    <x v="2"/>
    <x v="0"/>
    <x v="0"/>
    <x v="1"/>
    <x v="2"/>
    <x v="3"/>
    <x v="2"/>
    <x v="1"/>
    <x v="2"/>
    <x v="1"/>
    <x v="1"/>
    <x v="249"/>
    <x v="1"/>
    <x v="1"/>
    <x v="2"/>
    <x v="533"/>
    <x v="5"/>
    <x v="1"/>
    <x v="1"/>
    <x v="2"/>
    <x v="1"/>
    <x v="633"/>
    <x v="307"/>
    <x v="0"/>
  </r>
  <r>
    <x v="1102"/>
    <x v="529"/>
    <x v="521"/>
    <x v="513"/>
    <x v="877"/>
    <x v="1"/>
    <x v="1"/>
    <x v="531"/>
    <x v="10"/>
    <x v="1"/>
    <x v="205"/>
    <x v="0"/>
    <x v="0"/>
    <x v="1"/>
    <x v="1"/>
    <x v="1"/>
    <x v="2"/>
    <x v="1"/>
    <x v="2"/>
    <x v="1"/>
    <x v="2"/>
    <x v="0"/>
    <x v="1"/>
    <x v="1"/>
    <x v="2"/>
    <x v="524"/>
    <x v="4"/>
    <x v="0"/>
    <x v="0"/>
    <x v="1"/>
    <x v="0"/>
    <x v="0"/>
    <x v="0"/>
    <x v="0"/>
  </r>
  <r>
    <x v="1103"/>
    <x v="539"/>
    <x v="531"/>
    <x v="523"/>
    <x v="878"/>
    <x v="1"/>
    <x v="2"/>
    <x v="541"/>
    <x v="390"/>
    <x v="1"/>
    <x v="206"/>
    <x v="0"/>
    <x v="0"/>
    <x v="1"/>
    <x v="1"/>
    <x v="1"/>
    <x v="2"/>
    <x v="2"/>
    <x v="2"/>
    <x v="1"/>
    <x v="2"/>
    <x v="0"/>
    <x v="1"/>
    <x v="1"/>
    <x v="2"/>
    <x v="534"/>
    <x v="12"/>
    <x v="0"/>
    <x v="0"/>
    <x v="1"/>
    <x v="0"/>
    <x v="0"/>
    <x v="0"/>
    <x v="0"/>
  </r>
  <r>
    <x v="1104"/>
    <x v="335"/>
    <x v="335"/>
    <x v="330"/>
    <x v="879"/>
    <x v="1"/>
    <x v="2"/>
    <x v="350"/>
    <x v="269"/>
    <x v="1"/>
    <x v="22"/>
    <x v="0"/>
    <x v="0"/>
    <x v="1"/>
    <x v="1"/>
    <x v="1"/>
    <x v="2"/>
    <x v="1"/>
    <x v="2"/>
    <x v="1"/>
    <x v="2"/>
    <x v="0"/>
    <x v="1"/>
    <x v="5"/>
    <x v="2"/>
    <x v="337"/>
    <x v="12"/>
    <x v="0"/>
    <x v="0"/>
    <x v="1"/>
    <x v="0"/>
    <x v="0"/>
    <x v="0"/>
    <x v="0"/>
  </r>
  <r>
    <x v="1105"/>
    <x v="538"/>
    <x v="530"/>
    <x v="522"/>
    <x v="880"/>
    <x v="3"/>
    <x v="3"/>
    <x v="540"/>
    <x v="391"/>
    <x v="1"/>
    <x v="2"/>
    <x v="0"/>
    <x v="0"/>
    <x v="3"/>
    <x v="3"/>
    <x v="2"/>
    <x v="2"/>
    <x v="1"/>
    <x v="2"/>
    <x v="1"/>
    <x v="1"/>
    <x v="249"/>
    <x v="2"/>
    <x v="3"/>
    <x v="4"/>
    <x v="533"/>
    <x v="5"/>
    <x v="1"/>
    <x v="2"/>
    <x v="2"/>
    <x v="1"/>
    <x v="634"/>
    <x v="0"/>
    <x v="0"/>
  </r>
  <r>
    <x v="1106"/>
    <x v="538"/>
    <x v="530"/>
    <x v="522"/>
    <x v="881"/>
    <x v="3"/>
    <x v="3"/>
    <x v="542"/>
    <x v="392"/>
    <x v="1"/>
    <x v="2"/>
    <x v="0"/>
    <x v="0"/>
    <x v="3"/>
    <x v="1"/>
    <x v="1"/>
    <x v="2"/>
    <x v="1"/>
    <x v="2"/>
    <x v="1"/>
    <x v="1"/>
    <x v="250"/>
    <x v="2"/>
    <x v="3"/>
    <x v="4"/>
    <x v="533"/>
    <x v="4"/>
    <x v="3"/>
    <x v="0"/>
    <x v="1"/>
    <x v="0"/>
    <x v="635"/>
    <x v="0"/>
    <x v="0"/>
  </r>
  <r>
    <x v="1107"/>
    <x v="540"/>
    <x v="532"/>
    <x v="524"/>
    <x v="882"/>
    <x v="1"/>
    <x v="2"/>
    <x v="543"/>
    <x v="393"/>
    <x v="1"/>
    <x v="2"/>
    <x v="0"/>
    <x v="0"/>
    <x v="1"/>
    <x v="1"/>
    <x v="1"/>
    <x v="2"/>
    <x v="1"/>
    <x v="3"/>
    <x v="1"/>
    <x v="1"/>
    <x v="251"/>
    <x v="1"/>
    <x v="5"/>
    <x v="2"/>
    <x v="535"/>
    <x v="5"/>
    <x v="1"/>
    <x v="7"/>
    <x v="2"/>
    <x v="1"/>
    <x v="636"/>
    <x v="0"/>
    <x v="211"/>
  </r>
  <r>
    <x v="1108"/>
    <x v="541"/>
    <x v="533"/>
    <x v="525"/>
    <x v="883"/>
    <x v="1"/>
    <x v="2"/>
    <x v="171"/>
    <x v="394"/>
    <x v="1"/>
    <x v="207"/>
    <x v="0"/>
    <x v="0"/>
    <x v="1"/>
    <x v="1"/>
    <x v="1"/>
    <x v="1"/>
    <x v="2"/>
    <x v="2"/>
    <x v="1"/>
    <x v="2"/>
    <x v="0"/>
    <x v="1"/>
    <x v="6"/>
    <x v="2"/>
    <x v="536"/>
    <x v="12"/>
    <x v="0"/>
    <x v="0"/>
    <x v="1"/>
    <x v="0"/>
    <x v="0"/>
    <x v="0"/>
    <x v="0"/>
  </r>
  <r>
    <x v="1109"/>
    <x v="502"/>
    <x v="494"/>
    <x v="487"/>
    <x v="884"/>
    <x v="2"/>
    <x v="1"/>
    <x v="503"/>
    <x v="369"/>
    <x v="1"/>
    <x v="9"/>
    <x v="0"/>
    <x v="0"/>
    <x v="1"/>
    <x v="1"/>
    <x v="1"/>
    <x v="2"/>
    <x v="2"/>
    <x v="1"/>
    <x v="1"/>
    <x v="2"/>
    <x v="0"/>
    <x v="1"/>
    <x v="6"/>
    <x v="2"/>
    <x v="497"/>
    <x v="12"/>
    <x v="0"/>
    <x v="0"/>
    <x v="1"/>
    <x v="0"/>
    <x v="0"/>
    <x v="0"/>
    <x v="0"/>
  </r>
  <r>
    <x v="1110"/>
    <x v="540"/>
    <x v="532"/>
    <x v="524"/>
    <x v="885"/>
    <x v="1"/>
    <x v="2"/>
    <x v="543"/>
    <x v="393"/>
    <x v="1"/>
    <x v="208"/>
    <x v="0"/>
    <x v="0"/>
    <x v="3"/>
    <x v="1"/>
    <x v="1"/>
    <x v="2"/>
    <x v="1"/>
    <x v="2"/>
    <x v="1"/>
    <x v="2"/>
    <x v="0"/>
    <x v="1"/>
    <x v="3"/>
    <x v="4"/>
    <x v="535"/>
    <x v="12"/>
    <x v="0"/>
    <x v="0"/>
    <x v="1"/>
    <x v="0"/>
    <x v="0"/>
    <x v="0"/>
    <x v="0"/>
  </r>
  <r>
    <x v="1111"/>
    <x v="542"/>
    <x v="534"/>
    <x v="526"/>
    <x v="886"/>
    <x v="1"/>
    <x v="2"/>
    <x v="544"/>
    <x v="171"/>
    <x v="2"/>
    <x v="0"/>
    <x v="2"/>
    <x v="0"/>
    <x v="1"/>
    <x v="1"/>
    <x v="1"/>
    <x v="2"/>
    <x v="1"/>
    <x v="2"/>
    <x v="1"/>
    <x v="1"/>
    <x v="250"/>
    <x v="1"/>
    <x v="6"/>
    <x v="2"/>
    <x v="537"/>
    <x v="5"/>
    <x v="1"/>
    <x v="1"/>
    <x v="1"/>
    <x v="0"/>
    <x v="637"/>
    <x v="0"/>
    <x v="0"/>
  </r>
  <r>
    <x v="1112"/>
    <x v="542"/>
    <x v="534"/>
    <x v="526"/>
    <x v="886"/>
    <x v="1"/>
    <x v="2"/>
    <x v="544"/>
    <x v="171"/>
    <x v="2"/>
    <x v="0"/>
    <x v="2"/>
    <x v="0"/>
    <x v="3"/>
    <x v="2"/>
    <x v="3"/>
    <x v="2"/>
    <x v="1"/>
    <x v="2"/>
    <x v="1"/>
    <x v="1"/>
    <x v="252"/>
    <x v="1"/>
    <x v="3"/>
    <x v="4"/>
    <x v="537"/>
    <x v="5"/>
    <x v="3"/>
    <x v="0"/>
    <x v="1"/>
    <x v="0"/>
    <x v="638"/>
    <x v="308"/>
    <x v="0"/>
  </r>
  <r>
    <x v="1113"/>
    <x v="543"/>
    <x v="535"/>
    <x v="527"/>
    <x v="887"/>
    <x v="3"/>
    <x v="1"/>
    <x v="545"/>
    <x v="395"/>
    <x v="2"/>
    <x v="0"/>
    <x v="6"/>
    <x v="0"/>
    <x v="1"/>
    <x v="2"/>
    <x v="3"/>
    <x v="2"/>
    <x v="1"/>
    <x v="2"/>
    <x v="1"/>
    <x v="1"/>
    <x v="252"/>
    <x v="1"/>
    <x v="6"/>
    <x v="2"/>
    <x v="538"/>
    <x v="5"/>
    <x v="1"/>
    <x v="7"/>
    <x v="1"/>
    <x v="0"/>
    <x v="639"/>
    <x v="309"/>
    <x v="0"/>
  </r>
  <r>
    <x v="1114"/>
    <x v="530"/>
    <x v="522"/>
    <x v="514"/>
    <x v="888"/>
    <x v="1"/>
    <x v="2"/>
    <x v="532"/>
    <x v="171"/>
    <x v="2"/>
    <x v="0"/>
    <x v="2"/>
    <x v="0"/>
    <x v="1"/>
    <x v="1"/>
    <x v="1"/>
    <x v="2"/>
    <x v="1"/>
    <x v="2"/>
    <x v="1"/>
    <x v="1"/>
    <x v="252"/>
    <x v="2"/>
    <x v="6"/>
    <x v="2"/>
    <x v="525"/>
    <x v="5"/>
    <x v="1"/>
    <x v="7"/>
    <x v="1"/>
    <x v="0"/>
    <x v="640"/>
    <x v="0"/>
    <x v="0"/>
  </r>
  <r>
    <x v="1115"/>
    <x v="544"/>
    <x v="536"/>
    <x v="528"/>
    <x v="889"/>
    <x v="3"/>
    <x v="2"/>
    <x v="546"/>
    <x v="10"/>
    <x v="1"/>
    <x v="4"/>
    <x v="0"/>
    <x v="0"/>
    <x v="1"/>
    <x v="3"/>
    <x v="3"/>
    <x v="2"/>
    <x v="1"/>
    <x v="2"/>
    <x v="1"/>
    <x v="1"/>
    <x v="252"/>
    <x v="1"/>
    <x v="6"/>
    <x v="2"/>
    <x v="539"/>
    <x v="5"/>
    <x v="1"/>
    <x v="7"/>
    <x v="1"/>
    <x v="0"/>
    <x v="641"/>
    <x v="0"/>
    <x v="0"/>
  </r>
  <r>
    <x v="1116"/>
    <x v="530"/>
    <x v="522"/>
    <x v="514"/>
    <x v="0"/>
    <x v="1"/>
    <x v="2"/>
    <x v="532"/>
    <x v="171"/>
    <x v="1"/>
    <x v="15"/>
    <x v="0"/>
    <x v="0"/>
    <x v="3"/>
    <x v="1"/>
    <x v="1"/>
    <x v="2"/>
    <x v="1"/>
    <x v="2"/>
    <x v="1"/>
    <x v="2"/>
    <x v="0"/>
    <x v="2"/>
    <x v="3"/>
    <x v="4"/>
    <x v="525"/>
    <x v="12"/>
    <x v="0"/>
    <x v="0"/>
    <x v="1"/>
    <x v="0"/>
    <x v="0"/>
    <x v="0"/>
    <x v="0"/>
  </r>
  <r>
    <x v="1117"/>
    <x v="303"/>
    <x v="304"/>
    <x v="529"/>
    <x v="890"/>
    <x v="1"/>
    <x v="2"/>
    <x v="317"/>
    <x v="396"/>
    <x v="1"/>
    <x v="209"/>
    <x v="0"/>
    <x v="0"/>
    <x v="1"/>
    <x v="1"/>
    <x v="1"/>
    <x v="2"/>
    <x v="1"/>
    <x v="2"/>
    <x v="1"/>
    <x v="2"/>
    <x v="0"/>
    <x v="1"/>
    <x v="6"/>
    <x v="2"/>
    <x v="540"/>
    <x v="12"/>
    <x v="0"/>
    <x v="0"/>
    <x v="1"/>
    <x v="0"/>
    <x v="0"/>
    <x v="0"/>
    <x v="0"/>
  </r>
  <r>
    <x v="1118"/>
    <x v="545"/>
    <x v="537"/>
    <x v="530"/>
    <x v="891"/>
    <x v="1"/>
    <x v="2"/>
    <x v="504"/>
    <x v="379"/>
    <x v="1"/>
    <x v="15"/>
    <x v="0"/>
    <x v="0"/>
    <x v="1"/>
    <x v="3"/>
    <x v="3"/>
    <x v="1"/>
    <x v="2"/>
    <x v="1"/>
    <x v="1"/>
    <x v="1"/>
    <x v="253"/>
    <x v="1"/>
    <x v="6"/>
    <x v="2"/>
    <x v="541"/>
    <x v="12"/>
    <x v="3"/>
    <x v="0"/>
    <x v="1"/>
    <x v="0"/>
    <x v="642"/>
    <x v="0"/>
    <x v="321"/>
  </r>
  <r>
    <x v="1119"/>
    <x v="546"/>
    <x v="538"/>
    <x v="531"/>
    <x v="892"/>
    <x v="1"/>
    <x v="1"/>
    <x v="547"/>
    <x v="397"/>
    <x v="1"/>
    <x v="210"/>
    <x v="0"/>
    <x v="0"/>
    <x v="1"/>
    <x v="3"/>
    <x v="3"/>
    <x v="2"/>
    <x v="2"/>
    <x v="2"/>
    <x v="1"/>
    <x v="1"/>
    <x v="253"/>
    <x v="1"/>
    <x v="6"/>
    <x v="2"/>
    <x v="542"/>
    <x v="12"/>
    <x v="1"/>
    <x v="1"/>
    <x v="2"/>
    <x v="1"/>
    <x v="643"/>
    <x v="0"/>
    <x v="322"/>
  </r>
  <r>
    <x v="1120"/>
    <x v="547"/>
    <x v="539"/>
    <x v="532"/>
    <x v="893"/>
    <x v="3"/>
    <x v="2"/>
    <x v="548"/>
    <x v="346"/>
    <x v="1"/>
    <x v="211"/>
    <x v="0"/>
    <x v="0"/>
    <x v="1"/>
    <x v="3"/>
    <x v="4"/>
    <x v="2"/>
    <x v="1"/>
    <x v="2"/>
    <x v="1"/>
    <x v="1"/>
    <x v="253"/>
    <x v="1"/>
    <x v="6"/>
    <x v="2"/>
    <x v="543"/>
    <x v="12"/>
    <x v="3"/>
    <x v="0"/>
    <x v="1"/>
    <x v="0"/>
    <x v="644"/>
    <x v="0"/>
    <x v="323"/>
  </r>
  <r>
    <x v="1121"/>
    <x v="544"/>
    <x v="536"/>
    <x v="528"/>
    <x v="894"/>
    <x v="3"/>
    <x v="2"/>
    <x v="546"/>
    <x v="165"/>
    <x v="1"/>
    <x v="4"/>
    <x v="0"/>
    <x v="0"/>
    <x v="3"/>
    <x v="1"/>
    <x v="1"/>
    <x v="2"/>
    <x v="1"/>
    <x v="2"/>
    <x v="1"/>
    <x v="2"/>
    <x v="0"/>
    <x v="2"/>
    <x v="3"/>
    <x v="4"/>
    <x v="539"/>
    <x v="12"/>
    <x v="0"/>
    <x v="0"/>
    <x v="1"/>
    <x v="0"/>
    <x v="0"/>
    <x v="0"/>
    <x v="0"/>
  </r>
  <r>
    <x v="1122"/>
    <x v="543"/>
    <x v="535"/>
    <x v="527"/>
    <x v="0"/>
    <x v="3"/>
    <x v="1"/>
    <x v="545"/>
    <x v="395"/>
    <x v="1"/>
    <x v="15"/>
    <x v="0"/>
    <x v="0"/>
    <x v="3"/>
    <x v="1"/>
    <x v="1"/>
    <x v="2"/>
    <x v="1"/>
    <x v="2"/>
    <x v="1"/>
    <x v="2"/>
    <x v="0"/>
    <x v="2"/>
    <x v="3"/>
    <x v="4"/>
    <x v="538"/>
    <x v="12"/>
    <x v="0"/>
    <x v="0"/>
    <x v="1"/>
    <x v="0"/>
    <x v="0"/>
    <x v="0"/>
    <x v="0"/>
  </r>
  <r>
    <x v="1123"/>
    <x v="548"/>
    <x v="540"/>
    <x v="533"/>
    <x v="895"/>
    <x v="3"/>
    <x v="2"/>
    <x v="549"/>
    <x v="206"/>
    <x v="2"/>
    <x v="0"/>
    <x v="5"/>
    <x v="0"/>
    <x v="1"/>
    <x v="2"/>
    <x v="3"/>
    <x v="2"/>
    <x v="1"/>
    <x v="2"/>
    <x v="1"/>
    <x v="1"/>
    <x v="254"/>
    <x v="1"/>
    <x v="6"/>
    <x v="2"/>
    <x v="544"/>
    <x v="5"/>
    <x v="1"/>
    <x v="1"/>
    <x v="1"/>
    <x v="0"/>
    <x v="645"/>
    <x v="0"/>
    <x v="0"/>
  </r>
  <r>
    <x v="1124"/>
    <x v="546"/>
    <x v="538"/>
    <x v="531"/>
    <x v="896"/>
    <x v="1"/>
    <x v="1"/>
    <x v="547"/>
    <x v="397"/>
    <x v="1"/>
    <x v="212"/>
    <x v="0"/>
    <x v="0"/>
    <x v="3"/>
    <x v="1"/>
    <x v="1"/>
    <x v="2"/>
    <x v="1"/>
    <x v="2"/>
    <x v="1"/>
    <x v="2"/>
    <x v="0"/>
    <x v="1"/>
    <x v="3"/>
    <x v="4"/>
    <x v="542"/>
    <x v="5"/>
    <x v="0"/>
    <x v="0"/>
    <x v="1"/>
    <x v="0"/>
    <x v="0"/>
    <x v="0"/>
    <x v="0"/>
  </r>
  <r>
    <x v="1125"/>
    <x v="549"/>
    <x v="541"/>
    <x v="534"/>
    <x v="897"/>
    <x v="1"/>
    <x v="2"/>
    <x v="550"/>
    <x v="398"/>
    <x v="1"/>
    <x v="9"/>
    <x v="0"/>
    <x v="0"/>
    <x v="1"/>
    <x v="1"/>
    <x v="1"/>
    <x v="2"/>
    <x v="1"/>
    <x v="2"/>
    <x v="1"/>
    <x v="1"/>
    <x v="254"/>
    <x v="1"/>
    <x v="6"/>
    <x v="2"/>
    <x v="545"/>
    <x v="5"/>
    <x v="1"/>
    <x v="1"/>
    <x v="1"/>
    <x v="0"/>
    <x v="646"/>
    <x v="0"/>
    <x v="194"/>
  </r>
  <r>
    <x v="1126"/>
    <x v="548"/>
    <x v="540"/>
    <x v="533"/>
    <x v="0"/>
    <x v="3"/>
    <x v="2"/>
    <x v="549"/>
    <x v="206"/>
    <x v="2"/>
    <x v="0"/>
    <x v="5"/>
    <x v="0"/>
    <x v="3"/>
    <x v="4"/>
    <x v="1"/>
    <x v="2"/>
    <x v="1"/>
    <x v="2"/>
    <x v="1"/>
    <x v="2"/>
    <x v="0"/>
    <x v="2"/>
    <x v="3"/>
    <x v="4"/>
    <x v="544"/>
    <x v="5"/>
    <x v="0"/>
    <x v="0"/>
    <x v="1"/>
    <x v="0"/>
    <x v="0"/>
    <x v="0"/>
    <x v="0"/>
  </r>
  <r>
    <x v="1127"/>
    <x v="550"/>
    <x v="542"/>
    <x v="535"/>
    <x v="898"/>
    <x v="1"/>
    <x v="1"/>
    <x v="551"/>
    <x v="280"/>
    <x v="1"/>
    <x v="8"/>
    <x v="0"/>
    <x v="0"/>
    <x v="1"/>
    <x v="1"/>
    <x v="1"/>
    <x v="2"/>
    <x v="1"/>
    <x v="2"/>
    <x v="1"/>
    <x v="1"/>
    <x v="255"/>
    <x v="1"/>
    <x v="6"/>
    <x v="2"/>
    <x v="546"/>
    <x v="5"/>
    <x v="3"/>
    <x v="0"/>
    <x v="1"/>
    <x v="0"/>
    <x v="647"/>
    <x v="0"/>
    <x v="211"/>
  </r>
  <r>
    <x v="1128"/>
    <x v="549"/>
    <x v="541"/>
    <x v="534"/>
    <x v="899"/>
    <x v="1"/>
    <x v="2"/>
    <x v="550"/>
    <x v="398"/>
    <x v="1"/>
    <x v="9"/>
    <x v="0"/>
    <x v="0"/>
    <x v="3"/>
    <x v="1"/>
    <x v="1"/>
    <x v="2"/>
    <x v="1"/>
    <x v="2"/>
    <x v="1"/>
    <x v="2"/>
    <x v="0"/>
    <x v="2"/>
    <x v="3"/>
    <x v="4"/>
    <x v="545"/>
    <x v="5"/>
    <x v="0"/>
    <x v="0"/>
    <x v="1"/>
    <x v="0"/>
    <x v="0"/>
    <x v="0"/>
    <x v="0"/>
  </r>
  <r>
    <x v="1129"/>
    <x v="551"/>
    <x v="543"/>
    <x v="536"/>
    <x v="900"/>
    <x v="1"/>
    <x v="2"/>
    <x v="552"/>
    <x v="196"/>
    <x v="6"/>
    <x v="0"/>
    <x v="0"/>
    <x v="26"/>
    <x v="1"/>
    <x v="3"/>
    <x v="3"/>
    <x v="2"/>
    <x v="1"/>
    <x v="2"/>
    <x v="1"/>
    <x v="1"/>
    <x v="256"/>
    <x v="1"/>
    <x v="6"/>
    <x v="2"/>
    <x v="547"/>
    <x v="5"/>
    <x v="1"/>
    <x v="2"/>
    <x v="1"/>
    <x v="0"/>
    <x v="648"/>
    <x v="0"/>
    <x v="0"/>
  </r>
  <r>
    <x v="1130"/>
    <x v="551"/>
    <x v="543"/>
    <x v="536"/>
    <x v="0"/>
    <x v="1"/>
    <x v="2"/>
    <x v="552"/>
    <x v="196"/>
    <x v="6"/>
    <x v="0"/>
    <x v="0"/>
    <x v="26"/>
    <x v="3"/>
    <x v="1"/>
    <x v="1"/>
    <x v="2"/>
    <x v="1"/>
    <x v="2"/>
    <x v="1"/>
    <x v="2"/>
    <x v="0"/>
    <x v="2"/>
    <x v="3"/>
    <x v="4"/>
    <x v="547"/>
    <x v="4"/>
    <x v="0"/>
    <x v="0"/>
    <x v="1"/>
    <x v="0"/>
    <x v="0"/>
    <x v="0"/>
    <x v="0"/>
  </r>
  <r>
    <x v="1131"/>
    <x v="552"/>
    <x v="544"/>
    <x v="537"/>
    <x v="901"/>
    <x v="3"/>
    <x v="2"/>
    <x v="553"/>
    <x v="360"/>
    <x v="1"/>
    <x v="213"/>
    <x v="0"/>
    <x v="0"/>
    <x v="1"/>
    <x v="2"/>
    <x v="3"/>
    <x v="2"/>
    <x v="1"/>
    <x v="1"/>
    <x v="1"/>
    <x v="1"/>
    <x v="257"/>
    <x v="1"/>
    <x v="5"/>
    <x v="3"/>
    <x v="548"/>
    <x v="1"/>
    <x v="3"/>
    <x v="0"/>
    <x v="1"/>
    <x v="0"/>
    <x v="649"/>
    <x v="310"/>
    <x v="0"/>
  </r>
  <r>
    <x v="1132"/>
    <x v="553"/>
    <x v="545"/>
    <x v="538"/>
    <x v="902"/>
    <x v="1"/>
    <x v="2"/>
    <x v="554"/>
    <x v="208"/>
    <x v="1"/>
    <x v="214"/>
    <x v="0"/>
    <x v="0"/>
    <x v="1"/>
    <x v="1"/>
    <x v="2"/>
    <x v="1"/>
    <x v="1"/>
    <x v="2"/>
    <x v="1"/>
    <x v="1"/>
    <x v="257"/>
    <x v="1"/>
    <x v="5"/>
    <x v="2"/>
    <x v="549"/>
    <x v="5"/>
    <x v="3"/>
    <x v="0"/>
    <x v="1"/>
    <x v="0"/>
    <x v="650"/>
    <x v="311"/>
    <x v="324"/>
  </r>
  <r>
    <x v="1133"/>
    <x v="554"/>
    <x v="546"/>
    <x v="539"/>
    <x v="903"/>
    <x v="1"/>
    <x v="2"/>
    <x v="555"/>
    <x v="238"/>
    <x v="1"/>
    <x v="8"/>
    <x v="0"/>
    <x v="0"/>
    <x v="1"/>
    <x v="1"/>
    <x v="1"/>
    <x v="2"/>
    <x v="1"/>
    <x v="2"/>
    <x v="1"/>
    <x v="1"/>
    <x v="258"/>
    <x v="1"/>
    <x v="2"/>
    <x v="2"/>
    <x v="550"/>
    <x v="1"/>
    <x v="3"/>
    <x v="0"/>
    <x v="1"/>
    <x v="0"/>
    <x v="651"/>
    <x v="0"/>
    <x v="0"/>
  </r>
  <r>
    <x v="1134"/>
    <x v="555"/>
    <x v="547"/>
    <x v="540"/>
    <x v="904"/>
    <x v="3"/>
    <x v="2"/>
    <x v="556"/>
    <x v="399"/>
    <x v="1"/>
    <x v="9"/>
    <x v="0"/>
    <x v="0"/>
    <x v="1"/>
    <x v="1"/>
    <x v="1"/>
    <x v="2"/>
    <x v="2"/>
    <x v="1"/>
    <x v="1"/>
    <x v="2"/>
    <x v="0"/>
    <x v="1"/>
    <x v="4"/>
    <x v="2"/>
    <x v="551"/>
    <x v="12"/>
    <x v="0"/>
    <x v="0"/>
    <x v="1"/>
    <x v="0"/>
    <x v="0"/>
    <x v="0"/>
    <x v="0"/>
  </r>
  <r>
    <x v="1135"/>
    <x v="556"/>
    <x v="548"/>
    <x v="541"/>
    <x v="905"/>
    <x v="1"/>
    <x v="3"/>
    <x v="152"/>
    <x v="352"/>
    <x v="1"/>
    <x v="15"/>
    <x v="0"/>
    <x v="0"/>
    <x v="1"/>
    <x v="1"/>
    <x v="1"/>
    <x v="2"/>
    <x v="1"/>
    <x v="2"/>
    <x v="1"/>
    <x v="2"/>
    <x v="0"/>
    <x v="1"/>
    <x v="1"/>
    <x v="2"/>
    <x v="552"/>
    <x v="12"/>
    <x v="0"/>
    <x v="0"/>
    <x v="1"/>
    <x v="0"/>
    <x v="0"/>
    <x v="0"/>
    <x v="0"/>
  </r>
  <r>
    <x v="1136"/>
    <x v="557"/>
    <x v="549"/>
    <x v="542"/>
    <x v="906"/>
    <x v="1"/>
    <x v="2"/>
    <x v="557"/>
    <x v="315"/>
    <x v="1"/>
    <x v="215"/>
    <x v="0"/>
    <x v="0"/>
    <x v="1"/>
    <x v="1"/>
    <x v="1"/>
    <x v="2"/>
    <x v="1"/>
    <x v="3"/>
    <x v="1"/>
    <x v="2"/>
    <x v="0"/>
    <x v="2"/>
    <x v="1"/>
    <x v="5"/>
    <x v="553"/>
    <x v="1"/>
    <x v="0"/>
    <x v="0"/>
    <x v="1"/>
    <x v="0"/>
    <x v="0"/>
    <x v="0"/>
    <x v="0"/>
  </r>
  <r>
    <x v="1137"/>
    <x v="555"/>
    <x v="547"/>
    <x v="540"/>
    <x v="907"/>
    <x v="3"/>
    <x v="2"/>
    <x v="556"/>
    <x v="399"/>
    <x v="1"/>
    <x v="9"/>
    <x v="0"/>
    <x v="0"/>
    <x v="1"/>
    <x v="3"/>
    <x v="3"/>
    <x v="2"/>
    <x v="2"/>
    <x v="2"/>
    <x v="1"/>
    <x v="1"/>
    <x v="259"/>
    <x v="1"/>
    <x v="6"/>
    <x v="2"/>
    <x v="551"/>
    <x v="5"/>
    <x v="1"/>
    <x v="7"/>
    <x v="2"/>
    <x v="1"/>
    <x v="638"/>
    <x v="312"/>
    <x v="325"/>
  </r>
  <r>
    <x v="1138"/>
    <x v="558"/>
    <x v="550"/>
    <x v="543"/>
    <x v="908"/>
    <x v="3"/>
    <x v="1"/>
    <x v="558"/>
    <x v="298"/>
    <x v="1"/>
    <x v="216"/>
    <x v="0"/>
    <x v="0"/>
    <x v="1"/>
    <x v="3"/>
    <x v="3"/>
    <x v="2"/>
    <x v="1"/>
    <x v="2"/>
    <x v="1"/>
    <x v="1"/>
    <x v="259"/>
    <x v="1"/>
    <x v="6"/>
    <x v="2"/>
    <x v="554"/>
    <x v="5"/>
    <x v="3"/>
    <x v="0"/>
    <x v="1"/>
    <x v="0"/>
    <x v="639"/>
    <x v="313"/>
    <x v="326"/>
  </r>
  <r>
    <x v="1139"/>
    <x v="559"/>
    <x v="551"/>
    <x v="544"/>
    <x v="909"/>
    <x v="3"/>
    <x v="2"/>
    <x v="559"/>
    <x v="358"/>
    <x v="2"/>
    <x v="0"/>
    <x v="5"/>
    <x v="0"/>
    <x v="1"/>
    <x v="3"/>
    <x v="3"/>
    <x v="2"/>
    <x v="1"/>
    <x v="1"/>
    <x v="1"/>
    <x v="1"/>
    <x v="260"/>
    <x v="1"/>
    <x v="6"/>
    <x v="2"/>
    <x v="555"/>
    <x v="12"/>
    <x v="1"/>
    <x v="3"/>
    <x v="1"/>
    <x v="0"/>
    <x v="652"/>
    <x v="314"/>
    <x v="0"/>
  </r>
  <r>
    <x v="1140"/>
    <x v="555"/>
    <x v="547"/>
    <x v="540"/>
    <x v="910"/>
    <x v="3"/>
    <x v="2"/>
    <x v="556"/>
    <x v="399"/>
    <x v="1"/>
    <x v="9"/>
    <x v="0"/>
    <x v="0"/>
    <x v="3"/>
    <x v="1"/>
    <x v="1"/>
    <x v="2"/>
    <x v="2"/>
    <x v="2"/>
    <x v="1"/>
    <x v="1"/>
    <x v="261"/>
    <x v="1"/>
    <x v="3"/>
    <x v="4"/>
    <x v="551"/>
    <x v="12"/>
    <x v="1"/>
    <x v="4"/>
    <x v="2"/>
    <x v="1"/>
    <x v="653"/>
    <x v="315"/>
    <x v="327"/>
  </r>
  <r>
    <x v="1141"/>
    <x v="557"/>
    <x v="549"/>
    <x v="542"/>
    <x v="911"/>
    <x v="1"/>
    <x v="2"/>
    <x v="557"/>
    <x v="171"/>
    <x v="1"/>
    <x v="4"/>
    <x v="0"/>
    <x v="0"/>
    <x v="1"/>
    <x v="1"/>
    <x v="1"/>
    <x v="1"/>
    <x v="1"/>
    <x v="2"/>
    <x v="1"/>
    <x v="1"/>
    <x v="260"/>
    <x v="2"/>
    <x v="1"/>
    <x v="2"/>
    <x v="556"/>
    <x v="3"/>
    <x v="1"/>
    <x v="3"/>
    <x v="1"/>
    <x v="0"/>
    <x v="654"/>
    <x v="316"/>
    <x v="328"/>
  </r>
  <r>
    <x v="1142"/>
    <x v="200"/>
    <x v="198"/>
    <x v="196"/>
    <x v="912"/>
    <x v="1"/>
    <x v="3"/>
    <x v="209"/>
    <x v="10"/>
    <x v="1"/>
    <x v="15"/>
    <x v="0"/>
    <x v="0"/>
    <x v="1"/>
    <x v="3"/>
    <x v="3"/>
    <x v="2"/>
    <x v="1"/>
    <x v="2"/>
    <x v="1"/>
    <x v="1"/>
    <x v="261"/>
    <x v="1"/>
    <x v="1"/>
    <x v="1"/>
    <x v="556"/>
    <x v="2"/>
    <x v="1"/>
    <x v="4"/>
    <x v="1"/>
    <x v="0"/>
    <x v="655"/>
    <x v="317"/>
    <x v="0"/>
  </r>
  <r>
    <x v="1143"/>
    <x v="559"/>
    <x v="551"/>
    <x v="544"/>
    <x v="0"/>
    <x v="3"/>
    <x v="2"/>
    <x v="559"/>
    <x v="358"/>
    <x v="1"/>
    <x v="217"/>
    <x v="0"/>
    <x v="0"/>
    <x v="3"/>
    <x v="1"/>
    <x v="1"/>
    <x v="2"/>
    <x v="1"/>
    <x v="2"/>
    <x v="1"/>
    <x v="2"/>
    <x v="0"/>
    <x v="2"/>
    <x v="3"/>
    <x v="4"/>
    <x v="555"/>
    <x v="3"/>
    <x v="0"/>
    <x v="0"/>
    <x v="1"/>
    <x v="0"/>
    <x v="0"/>
    <x v="0"/>
    <x v="0"/>
  </r>
  <r>
    <x v="1144"/>
    <x v="557"/>
    <x v="549"/>
    <x v="542"/>
    <x v="913"/>
    <x v="1"/>
    <x v="2"/>
    <x v="557"/>
    <x v="400"/>
    <x v="1"/>
    <x v="4"/>
    <x v="0"/>
    <x v="0"/>
    <x v="3"/>
    <x v="3"/>
    <x v="3"/>
    <x v="1"/>
    <x v="1"/>
    <x v="2"/>
    <x v="1"/>
    <x v="1"/>
    <x v="261"/>
    <x v="2"/>
    <x v="3"/>
    <x v="4"/>
    <x v="556"/>
    <x v="3"/>
    <x v="3"/>
    <x v="0"/>
    <x v="1"/>
    <x v="0"/>
    <x v="656"/>
    <x v="318"/>
    <x v="0"/>
  </r>
  <r>
    <x v="1145"/>
    <x v="499"/>
    <x v="491"/>
    <x v="484"/>
    <x v="914"/>
    <x v="1"/>
    <x v="2"/>
    <x v="500"/>
    <x v="323"/>
    <x v="1"/>
    <x v="2"/>
    <x v="0"/>
    <x v="0"/>
    <x v="1"/>
    <x v="1"/>
    <x v="1"/>
    <x v="2"/>
    <x v="1"/>
    <x v="3"/>
    <x v="2"/>
    <x v="1"/>
    <x v="261"/>
    <x v="1"/>
    <x v="5"/>
    <x v="2"/>
    <x v="494"/>
    <x v="3"/>
    <x v="1"/>
    <x v="3"/>
    <x v="1"/>
    <x v="0"/>
    <x v="657"/>
    <x v="319"/>
    <x v="329"/>
  </r>
  <r>
    <x v="1146"/>
    <x v="464"/>
    <x v="460"/>
    <x v="454"/>
    <x v="915"/>
    <x v="1"/>
    <x v="2"/>
    <x v="469"/>
    <x v="373"/>
    <x v="1"/>
    <x v="44"/>
    <x v="0"/>
    <x v="0"/>
    <x v="1"/>
    <x v="1"/>
    <x v="1"/>
    <x v="2"/>
    <x v="1"/>
    <x v="2"/>
    <x v="1"/>
    <x v="2"/>
    <x v="0"/>
    <x v="1"/>
    <x v="1"/>
    <x v="2"/>
    <x v="462"/>
    <x v="3"/>
    <x v="0"/>
    <x v="0"/>
    <x v="1"/>
    <x v="0"/>
    <x v="0"/>
    <x v="0"/>
    <x v="0"/>
  </r>
  <r>
    <x v="1147"/>
    <x v="560"/>
    <x v="552"/>
    <x v="545"/>
    <x v="916"/>
    <x v="1"/>
    <x v="2"/>
    <x v="560"/>
    <x v="401"/>
    <x v="1"/>
    <x v="138"/>
    <x v="0"/>
    <x v="0"/>
    <x v="1"/>
    <x v="3"/>
    <x v="3"/>
    <x v="2"/>
    <x v="1"/>
    <x v="2"/>
    <x v="1"/>
    <x v="1"/>
    <x v="262"/>
    <x v="1"/>
    <x v="1"/>
    <x v="2"/>
    <x v="557"/>
    <x v="2"/>
    <x v="1"/>
    <x v="4"/>
    <x v="2"/>
    <x v="1"/>
    <x v="658"/>
    <x v="320"/>
    <x v="0"/>
  </r>
  <r>
    <x v="1148"/>
    <x v="555"/>
    <x v="547"/>
    <x v="540"/>
    <x v="917"/>
    <x v="3"/>
    <x v="2"/>
    <x v="556"/>
    <x v="402"/>
    <x v="1"/>
    <x v="9"/>
    <x v="0"/>
    <x v="0"/>
    <x v="3"/>
    <x v="3"/>
    <x v="3"/>
    <x v="2"/>
    <x v="1"/>
    <x v="2"/>
    <x v="2"/>
    <x v="1"/>
    <x v="262"/>
    <x v="1"/>
    <x v="3"/>
    <x v="4"/>
    <x v="551"/>
    <x v="1"/>
    <x v="1"/>
    <x v="1"/>
    <x v="1"/>
    <x v="0"/>
    <x v="659"/>
    <x v="321"/>
    <x v="0"/>
  </r>
  <r>
    <x v="1149"/>
    <x v="200"/>
    <x v="198"/>
    <x v="196"/>
    <x v="0"/>
    <x v="1"/>
    <x v="3"/>
    <x v="209"/>
    <x v="403"/>
    <x v="1"/>
    <x v="15"/>
    <x v="0"/>
    <x v="0"/>
    <x v="3"/>
    <x v="1"/>
    <x v="1"/>
    <x v="2"/>
    <x v="1"/>
    <x v="2"/>
    <x v="1"/>
    <x v="2"/>
    <x v="0"/>
    <x v="2"/>
    <x v="3"/>
    <x v="4"/>
    <x v="556"/>
    <x v="1"/>
    <x v="0"/>
    <x v="0"/>
    <x v="1"/>
    <x v="0"/>
    <x v="0"/>
    <x v="0"/>
    <x v="0"/>
  </r>
  <r>
    <x v="1150"/>
    <x v="561"/>
    <x v="553"/>
    <x v="546"/>
    <x v="918"/>
    <x v="1"/>
    <x v="2"/>
    <x v="561"/>
    <x v="404"/>
    <x v="1"/>
    <x v="15"/>
    <x v="0"/>
    <x v="0"/>
    <x v="1"/>
    <x v="1"/>
    <x v="1"/>
    <x v="2"/>
    <x v="1"/>
    <x v="2"/>
    <x v="1"/>
    <x v="2"/>
    <x v="0"/>
    <x v="2"/>
    <x v="1"/>
    <x v="2"/>
    <x v="558"/>
    <x v="4"/>
    <x v="0"/>
    <x v="0"/>
    <x v="1"/>
    <x v="0"/>
    <x v="0"/>
    <x v="0"/>
    <x v="0"/>
  </r>
  <r>
    <x v="1151"/>
    <x v="446"/>
    <x v="442"/>
    <x v="437"/>
    <x v="919"/>
    <x v="1"/>
    <x v="2"/>
    <x v="452"/>
    <x v="343"/>
    <x v="1"/>
    <x v="15"/>
    <x v="0"/>
    <x v="0"/>
    <x v="1"/>
    <x v="2"/>
    <x v="3"/>
    <x v="2"/>
    <x v="1"/>
    <x v="1"/>
    <x v="1"/>
    <x v="1"/>
    <x v="263"/>
    <x v="1"/>
    <x v="1"/>
    <x v="2"/>
    <x v="445"/>
    <x v="1"/>
    <x v="1"/>
    <x v="4"/>
    <x v="2"/>
    <x v="1"/>
    <x v="660"/>
    <x v="0"/>
    <x v="0"/>
  </r>
  <r>
    <x v="1152"/>
    <x v="555"/>
    <x v="547"/>
    <x v="540"/>
    <x v="0"/>
    <x v="3"/>
    <x v="2"/>
    <x v="556"/>
    <x v="196"/>
    <x v="8"/>
    <x v="0"/>
    <x v="0"/>
    <x v="0"/>
    <x v="3"/>
    <x v="1"/>
    <x v="1"/>
    <x v="2"/>
    <x v="1"/>
    <x v="2"/>
    <x v="1"/>
    <x v="2"/>
    <x v="0"/>
    <x v="2"/>
    <x v="3"/>
    <x v="4"/>
    <x v="551"/>
    <x v="5"/>
    <x v="0"/>
    <x v="0"/>
    <x v="1"/>
    <x v="0"/>
    <x v="0"/>
    <x v="0"/>
    <x v="0"/>
  </r>
  <r>
    <x v="1153"/>
    <x v="560"/>
    <x v="552"/>
    <x v="545"/>
    <x v="920"/>
    <x v="1"/>
    <x v="2"/>
    <x v="560"/>
    <x v="401"/>
    <x v="1"/>
    <x v="22"/>
    <x v="0"/>
    <x v="0"/>
    <x v="3"/>
    <x v="1"/>
    <x v="1"/>
    <x v="2"/>
    <x v="1"/>
    <x v="2"/>
    <x v="1"/>
    <x v="1"/>
    <x v="264"/>
    <x v="1"/>
    <x v="3"/>
    <x v="4"/>
    <x v="557"/>
    <x v="1"/>
    <x v="3"/>
    <x v="0"/>
    <x v="1"/>
    <x v="0"/>
    <x v="661"/>
    <x v="0"/>
    <x v="0"/>
  </r>
  <r>
    <x v="1154"/>
    <x v="446"/>
    <x v="442"/>
    <x v="437"/>
    <x v="921"/>
    <x v="1"/>
    <x v="2"/>
    <x v="452"/>
    <x v="343"/>
    <x v="1"/>
    <x v="15"/>
    <x v="0"/>
    <x v="0"/>
    <x v="3"/>
    <x v="1"/>
    <x v="1"/>
    <x v="2"/>
    <x v="1"/>
    <x v="1"/>
    <x v="1"/>
    <x v="1"/>
    <x v="265"/>
    <x v="1"/>
    <x v="3"/>
    <x v="4"/>
    <x v="445"/>
    <x v="1"/>
    <x v="1"/>
    <x v="4"/>
    <x v="2"/>
    <x v="1"/>
    <x v="662"/>
    <x v="0"/>
    <x v="0"/>
  </r>
  <r>
    <x v="1155"/>
    <x v="533"/>
    <x v="525"/>
    <x v="517"/>
    <x v="922"/>
    <x v="1"/>
    <x v="2"/>
    <x v="535"/>
    <x v="405"/>
    <x v="1"/>
    <x v="218"/>
    <x v="0"/>
    <x v="0"/>
    <x v="1"/>
    <x v="2"/>
    <x v="3"/>
    <x v="2"/>
    <x v="1"/>
    <x v="2"/>
    <x v="1"/>
    <x v="1"/>
    <x v="266"/>
    <x v="1"/>
    <x v="1"/>
    <x v="2"/>
    <x v="528"/>
    <x v="6"/>
    <x v="1"/>
    <x v="4"/>
    <x v="2"/>
    <x v="1"/>
    <x v="663"/>
    <x v="0"/>
    <x v="0"/>
  </r>
  <r>
    <x v="1156"/>
    <x v="562"/>
    <x v="491"/>
    <x v="484"/>
    <x v="0"/>
    <x v="3"/>
    <x v="2"/>
    <x v="500"/>
    <x v="323"/>
    <x v="1"/>
    <x v="2"/>
    <x v="0"/>
    <x v="0"/>
    <x v="3"/>
    <x v="1"/>
    <x v="1"/>
    <x v="1"/>
    <x v="1"/>
    <x v="2"/>
    <x v="1"/>
    <x v="2"/>
    <x v="0"/>
    <x v="2"/>
    <x v="3"/>
    <x v="4"/>
    <x v="494"/>
    <x v="3"/>
    <x v="0"/>
    <x v="0"/>
    <x v="1"/>
    <x v="0"/>
    <x v="664"/>
    <x v="0"/>
    <x v="0"/>
  </r>
  <r>
    <x v="1157"/>
    <x v="446"/>
    <x v="442"/>
    <x v="437"/>
    <x v="923"/>
    <x v="1"/>
    <x v="2"/>
    <x v="452"/>
    <x v="343"/>
    <x v="1"/>
    <x v="219"/>
    <x v="0"/>
    <x v="0"/>
    <x v="1"/>
    <x v="1"/>
    <x v="1"/>
    <x v="2"/>
    <x v="1"/>
    <x v="2"/>
    <x v="1"/>
    <x v="1"/>
    <x v="266"/>
    <x v="1"/>
    <x v="5"/>
    <x v="2"/>
    <x v="445"/>
    <x v="3"/>
    <x v="1"/>
    <x v="7"/>
    <x v="2"/>
    <x v="1"/>
    <x v="665"/>
    <x v="0"/>
    <x v="0"/>
  </r>
  <r>
    <x v="1158"/>
    <x v="533"/>
    <x v="525"/>
    <x v="517"/>
    <x v="924"/>
    <x v="1"/>
    <x v="2"/>
    <x v="535"/>
    <x v="405"/>
    <x v="1"/>
    <x v="218"/>
    <x v="0"/>
    <x v="0"/>
    <x v="3"/>
    <x v="1"/>
    <x v="1"/>
    <x v="2"/>
    <x v="1"/>
    <x v="2"/>
    <x v="1"/>
    <x v="2"/>
    <x v="0"/>
    <x v="1"/>
    <x v="3"/>
    <x v="4"/>
    <x v="528"/>
    <x v="1"/>
    <x v="0"/>
    <x v="0"/>
    <x v="1"/>
    <x v="0"/>
    <x v="0"/>
    <x v="0"/>
    <x v="0"/>
  </r>
  <r>
    <x v="1159"/>
    <x v="303"/>
    <x v="304"/>
    <x v="529"/>
    <x v="925"/>
    <x v="1"/>
    <x v="2"/>
    <x v="317"/>
    <x v="137"/>
    <x v="1"/>
    <x v="220"/>
    <x v="0"/>
    <x v="0"/>
    <x v="1"/>
    <x v="2"/>
    <x v="4"/>
    <x v="2"/>
    <x v="1"/>
    <x v="3"/>
    <x v="1"/>
    <x v="1"/>
    <x v="267"/>
    <x v="1"/>
    <x v="1"/>
    <x v="2"/>
    <x v="540"/>
    <x v="1"/>
    <x v="3"/>
    <x v="0"/>
    <x v="1"/>
    <x v="0"/>
    <x v="666"/>
    <x v="0"/>
    <x v="0"/>
  </r>
  <r>
    <x v="1160"/>
    <x v="446"/>
    <x v="442"/>
    <x v="437"/>
    <x v="926"/>
    <x v="1"/>
    <x v="2"/>
    <x v="452"/>
    <x v="347"/>
    <x v="1"/>
    <x v="22"/>
    <x v="0"/>
    <x v="0"/>
    <x v="3"/>
    <x v="1"/>
    <x v="1"/>
    <x v="2"/>
    <x v="1"/>
    <x v="2"/>
    <x v="1"/>
    <x v="2"/>
    <x v="0"/>
    <x v="1"/>
    <x v="3"/>
    <x v="4"/>
    <x v="445"/>
    <x v="12"/>
    <x v="0"/>
    <x v="0"/>
    <x v="1"/>
    <x v="0"/>
    <x v="0"/>
    <x v="0"/>
    <x v="0"/>
  </r>
  <r>
    <x v="1161"/>
    <x v="289"/>
    <x v="290"/>
    <x v="285"/>
    <x v="927"/>
    <x v="1"/>
    <x v="2"/>
    <x v="304"/>
    <x v="367"/>
    <x v="1"/>
    <x v="15"/>
    <x v="0"/>
    <x v="0"/>
    <x v="1"/>
    <x v="1"/>
    <x v="1"/>
    <x v="2"/>
    <x v="1"/>
    <x v="2"/>
    <x v="1"/>
    <x v="1"/>
    <x v="266"/>
    <x v="1"/>
    <x v="1"/>
    <x v="2"/>
    <x v="559"/>
    <x v="12"/>
    <x v="3"/>
    <x v="0"/>
    <x v="1"/>
    <x v="0"/>
    <x v="667"/>
    <x v="322"/>
    <x v="330"/>
  </r>
  <r>
    <x v="1162"/>
    <x v="563"/>
    <x v="554"/>
    <x v="547"/>
    <x v="928"/>
    <x v="3"/>
    <x v="1"/>
    <x v="562"/>
    <x v="227"/>
    <x v="1"/>
    <x v="9"/>
    <x v="0"/>
    <x v="0"/>
    <x v="1"/>
    <x v="1"/>
    <x v="1"/>
    <x v="2"/>
    <x v="1"/>
    <x v="2"/>
    <x v="1"/>
    <x v="2"/>
    <x v="0"/>
    <x v="1"/>
    <x v="6"/>
    <x v="2"/>
    <x v="560"/>
    <x v="5"/>
    <x v="0"/>
    <x v="0"/>
    <x v="1"/>
    <x v="0"/>
    <x v="0"/>
    <x v="0"/>
    <x v="0"/>
  </r>
  <r>
    <x v="1163"/>
    <x v="533"/>
    <x v="525"/>
    <x v="517"/>
    <x v="929"/>
    <x v="1"/>
    <x v="2"/>
    <x v="535"/>
    <x v="405"/>
    <x v="1"/>
    <x v="221"/>
    <x v="0"/>
    <x v="0"/>
    <x v="1"/>
    <x v="1"/>
    <x v="1"/>
    <x v="2"/>
    <x v="1"/>
    <x v="2"/>
    <x v="1"/>
    <x v="1"/>
    <x v="265"/>
    <x v="1"/>
    <x v="6"/>
    <x v="2"/>
    <x v="528"/>
    <x v="5"/>
    <x v="1"/>
    <x v="4"/>
    <x v="2"/>
    <x v="1"/>
    <x v="668"/>
    <x v="323"/>
    <x v="0"/>
  </r>
  <r>
    <x v="1164"/>
    <x v="564"/>
    <x v="555"/>
    <x v="548"/>
    <x v="930"/>
    <x v="1"/>
    <x v="2"/>
    <x v="563"/>
    <x v="406"/>
    <x v="1"/>
    <x v="33"/>
    <x v="0"/>
    <x v="0"/>
    <x v="1"/>
    <x v="3"/>
    <x v="3"/>
    <x v="2"/>
    <x v="2"/>
    <x v="1"/>
    <x v="1"/>
    <x v="1"/>
    <x v="268"/>
    <x v="1"/>
    <x v="4"/>
    <x v="2"/>
    <x v="561"/>
    <x v="1"/>
    <x v="1"/>
    <x v="7"/>
    <x v="1"/>
    <x v="0"/>
    <x v="669"/>
    <x v="324"/>
    <x v="0"/>
  </r>
  <r>
    <x v="1165"/>
    <x v="446"/>
    <x v="442"/>
    <x v="437"/>
    <x v="931"/>
    <x v="1"/>
    <x v="2"/>
    <x v="452"/>
    <x v="343"/>
    <x v="1"/>
    <x v="15"/>
    <x v="0"/>
    <x v="0"/>
    <x v="3"/>
    <x v="1"/>
    <x v="1"/>
    <x v="2"/>
    <x v="1"/>
    <x v="1"/>
    <x v="2"/>
    <x v="1"/>
    <x v="269"/>
    <x v="1"/>
    <x v="3"/>
    <x v="4"/>
    <x v="445"/>
    <x v="1"/>
    <x v="1"/>
    <x v="4"/>
    <x v="2"/>
    <x v="1"/>
    <x v="670"/>
    <x v="0"/>
    <x v="0"/>
  </r>
  <r>
    <x v="1166"/>
    <x v="565"/>
    <x v="556"/>
    <x v="549"/>
    <x v="932"/>
    <x v="3"/>
    <x v="2"/>
    <x v="564"/>
    <x v="10"/>
    <x v="1"/>
    <x v="222"/>
    <x v="0"/>
    <x v="0"/>
    <x v="1"/>
    <x v="1"/>
    <x v="1"/>
    <x v="2"/>
    <x v="2"/>
    <x v="2"/>
    <x v="1"/>
    <x v="2"/>
    <x v="0"/>
    <x v="1"/>
    <x v="6"/>
    <x v="2"/>
    <x v="562"/>
    <x v="1"/>
    <x v="0"/>
    <x v="0"/>
    <x v="1"/>
    <x v="0"/>
    <x v="0"/>
    <x v="0"/>
    <x v="0"/>
  </r>
  <r>
    <x v="1167"/>
    <x v="533"/>
    <x v="525"/>
    <x v="517"/>
    <x v="933"/>
    <x v="1"/>
    <x v="2"/>
    <x v="535"/>
    <x v="405"/>
    <x v="1"/>
    <x v="221"/>
    <x v="0"/>
    <x v="0"/>
    <x v="3"/>
    <x v="1"/>
    <x v="1"/>
    <x v="2"/>
    <x v="1"/>
    <x v="2"/>
    <x v="1"/>
    <x v="2"/>
    <x v="0"/>
    <x v="1"/>
    <x v="3"/>
    <x v="4"/>
    <x v="528"/>
    <x v="1"/>
    <x v="0"/>
    <x v="0"/>
    <x v="1"/>
    <x v="0"/>
    <x v="0"/>
    <x v="0"/>
    <x v="0"/>
  </r>
  <r>
    <x v="1168"/>
    <x v="566"/>
    <x v="557"/>
    <x v="550"/>
    <x v="934"/>
    <x v="1"/>
    <x v="2"/>
    <x v="565"/>
    <x v="407"/>
    <x v="1"/>
    <x v="223"/>
    <x v="0"/>
    <x v="0"/>
    <x v="1"/>
    <x v="1"/>
    <x v="1"/>
    <x v="1"/>
    <x v="1"/>
    <x v="3"/>
    <x v="1"/>
    <x v="2"/>
    <x v="0"/>
    <x v="2"/>
    <x v="1"/>
    <x v="1"/>
    <x v="563"/>
    <x v="2"/>
    <x v="0"/>
    <x v="0"/>
    <x v="1"/>
    <x v="0"/>
    <x v="0"/>
    <x v="0"/>
    <x v="0"/>
  </r>
  <r>
    <x v="1169"/>
    <x v="564"/>
    <x v="555"/>
    <x v="548"/>
    <x v="0"/>
    <x v="1"/>
    <x v="2"/>
    <x v="563"/>
    <x v="406"/>
    <x v="1"/>
    <x v="33"/>
    <x v="0"/>
    <x v="0"/>
    <x v="3"/>
    <x v="1"/>
    <x v="1"/>
    <x v="2"/>
    <x v="2"/>
    <x v="1"/>
    <x v="1"/>
    <x v="1"/>
    <x v="270"/>
    <x v="2"/>
    <x v="3"/>
    <x v="4"/>
    <x v="561"/>
    <x v="12"/>
    <x v="1"/>
    <x v="4"/>
    <x v="2"/>
    <x v="1"/>
    <x v="0"/>
    <x v="0"/>
    <x v="331"/>
  </r>
  <r>
    <x v="1170"/>
    <x v="404"/>
    <x v="403"/>
    <x v="398"/>
    <x v="935"/>
    <x v="1"/>
    <x v="2"/>
    <x v="416"/>
    <x v="208"/>
    <x v="1"/>
    <x v="1"/>
    <x v="0"/>
    <x v="0"/>
    <x v="1"/>
    <x v="2"/>
    <x v="3"/>
    <x v="2"/>
    <x v="1"/>
    <x v="2"/>
    <x v="1"/>
    <x v="1"/>
    <x v="268"/>
    <x v="1"/>
    <x v="1"/>
    <x v="2"/>
    <x v="406"/>
    <x v="6"/>
    <x v="3"/>
    <x v="0"/>
    <x v="1"/>
    <x v="0"/>
    <x v="671"/>
    <x v="325"/>
    <x v="332"/>
  </r>
  <r>
    <x v="1171"/>
    <x v="562"/>
    <x v="491"/>
    <x v="484"/>
    <x v="936"/>
    <x v="3"/>
    <x v="2"/>
    <x v="500"/>
    <x v="323"/>
    <x v="1"/>
    <x v="224"/>
    <x v="0"/>
    <x v="0"/>
    <x v="1"/>
    <x v="1"/>
    <x v="2"/>
    <x v="1"/>
    <x v="1"/>
    <x v="2"/>
    <x v="2"/>
    <x v="2"/>
    <x v="0"/>
    <x v="1"/>
    <x v="1"/>
    <x v="2"/>
    <x v="494"/>
    <x v="3"/>
    <x v="0"/>
    <x v="0"/>
    <x v="1"/>
    <x v="0"/>
    <x v="0"/>
    <x v="0"/>
    <x v="0"/>
  </r>
  <r>
    <x v="1172"/>
    <x v="446"/>
    <x v="442"/>
    <x v="437"/>
    <x v="937"/>
    <x v="1"/>
    <x v="2"/>
    <x v="452"/>
    <x v="347"/>
    <x v="1"/>
    <x v="15"/>
    <x v="0"/>
    <x v="0"/>
    <x v="1"/>
    <x v="3"/>
    <x v="3"/>
    <x v="1"/>
    <x v="1"/>
    <x v="2"/>
    <x v="1"/>
    <x v="1"/>
    <x v="270"/>
    <x v="1"/>
    <x v="5"/>
    <x v="2"/>
    <x v="445"/>
    <x v="12"/>
    <x v="1"/>
    <x v="4"/>
    <x v="2"/>
    <x v="1"/>
    <x v="672"/>
    <x v="0"/>
    <x v="333"/>
  </r>
  <r>
    <x v="1173"/>
    <x v="561"/>
    <x v="553"/>
    <x v="546"/>
    <x v="938"/>
    <x v="1"/>
    <x v="2"/>
    <x v="561"/>
    <x v="404"/>
    <x v="1"/>
    <x v="193"/>
    <x v="0"/>
    <x v="0"/>
    <x v="1"/>
    <x v="1"/>
    <x v="1"/>
    <x v="2"/>
    <x v="1"/>
    <x v="2"/>
    <x v="1"/>
    <x v="2"/>
    <x v="0"/>
    <x v="2"/>
    <x v="2"/>
    <x v="2"/>
    <x v="558"/>
    <x v="3"/>
    <x v="0"/>
    <x v="0"/>
    <x v="1"/>
    <x v="0"/>
    <x v="0"/>
    <x v="0"/>
    <x v="0"/>
  </r>
  <r>
    <x v="1174"/>
    <x v="446"/>
    <x v="442"/>
    <x v="437"/>
    <x v="939"/>
    <x v="1"/>
    <x v="2"/>
    <x v="452"/>
    <x v="347"/>
    <x v="1"/>
    <x v="15"/>
    <x v="0"/>
    <x v="0"/>
    <x v="3"/>
    <x v="1"/>
    <x v="1"/>
    <x v="2"/>
    <x v="1"/>
    <x v="2"/>
    <x v="2"/>
    <x v="2"/>
    <x v="0"/>
    <x v="1"/>
    <x v="3"/>
    <x v="4"/>
    <x v="445"/>
    <x v="1"/>
    <x v="0"/>
    <x v="0"/>
    <x v="1"/>
    <x v="0"/>
    <x v="0"/>
    <x v="0"/>
    <x v="0"/>
  </r>
  <r>
    <x v="1175"/>
    <x v="564"/>
    <x v="555"/>
    <x v="548"/>
    <x v="940"/>
    <x v="1"/>
    <x v="2"/>
    <x v="563"/>
    <x v="406"/>
    <x v="1"/>
    <x v="33"/>
    <x v="0"/>
    <x v="0"/>
    <x v="3"/>
    <x v="1"/>
    <x v="1"/>
    <x v="2"/>
    <x v="2"/>
    <x v="1"/>
    <x v="1"/>
    <x v="1"/>
    <x v="269"/>
    <x v="1"/>
    <x v="3"/>
    <x v="4"/>
    <x v="561"/>
    <x v="1"/>
    <x v="3"/>
    <x v="0"/>
    <x v="1"/>
    <x v="0"/>
    <x v="673"/>
    <x v="326"/>
    <x v="0"/>
  </r>
  <r>
    <x v="1176"/>
    <x v="567"/>
    <x v="558"/>
    <x v="551"/>
    <x v="941"/>
    <x v="3"/>
    <x v="4"/>
    <x v="566"/>
    <x v="408"/>
    <x v="1"/>
    <x v="15"/>
    <x v="0"/>
    <x v="0"/>
    <x v="1"/>
    <x v="1"/>
    <x v="1"/>
    <x v="2"/>
    <x v="1"/>
    <x v="1"/>
    <x v="1"/>
    <x v="1"/>
    <x v="270"/>
    <x v="1"/>
    <x v="1"/>
    <x v="2"/>
    <x v="564"/>
    <x v="4"/>
    <x v="3"/>
    <x v="0"/>
    <x v="1"/>
    <x v="0"/>
    <x v="674"/>
    <x v="327"/>
    <x v="334"/>
  </r>
  <r>
    <x v="1177"/>
    <x v="568"/>
    <x v="559"/>
    <x v="552"/>
    <x v="942"/>
    <x v="1"/>
    <x v="2"/>
    <x v="567"/>
    <x v="203"/>
    <x v="1"/>
    <x v="36"/>
    <x v="0"/>
    <x v="0"/>
    <x v="1"/>
    <x v="1"/>
    <x v="1"/>
    <x v="1"/>
    <x v="1"/>
    <x v="2"/>
    <x v="1"/>
    <x v="2"/>
    <x v="0"/>
    <x v="1"/>
    <x v="1"/>
    <x v="2"/>
    <x v="565"/>
    <x v="5"/>
    <x v="0"/>
    <x v="0"/>
    <x v="1"/>
    <x v="0"/>
    <x v="0"/>
    <x v="0"/>
    <x v="0"/>
  </r>
  <r>
    <x v="1178"/>
    <x v="446"/>
    <x v="442"/>
    <x v="437"/>
    <x v="943"/>
    <x v="1"/>
    <x v="2"/>
    <x v="452"/>
    <x v="343"/>
    <x v="1"/>
    <x v="225"/>
    <x v="0"/>
    <x v="0"/>
    <x v="1"/>
    <x v="1"/>
    <x v="1"/>
    <x v="1"/>
    <x v="1"/>
    <x v="2"/>
    <x v="1"/>
    <x v="2"/>
    <x v="0"/>
    <x v="1"/>
    <x v="1"/>
    <x v="1"/>
    <x v="445"/>
    <x v="2"/>
    <x v="0"/>
    <x v="0"/>
    <x v="1"/>
    <x v="0"/>
    <x v="0"/>
    <x v="0"/>
    <x v="0"/>
  </r>
  <r>
    <x v="1179"/>
    <x v="569"/>
    <x v="560"/>
    <x v="553"/>
    <x v="944"/>
    <x v="1"/>
    <x v="2"/>
    <x v="568"/>
    <x v="409"/>
    <x v="1"/>
    <x v="15"/>
    <x v="0"/>
    <x v="0"/>
    <x v="1"/>
    <x v="1"/>
    <x v="1"/>
    <x v="2"/>
    <x v="1"/>
    <x v="2"/>
    <x v="1"/>
    <x v="1"/>
    <x v="269"/>
    <x v="1"/>
    <x v="1"/>
    <x v="2"/>
    <x v="566"/>
    <x v="5"/>
    <x v="1"/>
    <x v="7"/>
    <x v="1"/>
    <x v="0"/>
    <x v="675"/>
    <x v="328"/>
    <x v="335"/>
  </r>
  <r>
    <x v="1180"/>
    <x v="570"/>
    <x v="561"/>
    <x v="554"/>
    <x v="945"/>
    <x v="1"/>
    <x v="2"/>
    <x v="569"/>
    <x v="79"/>
    <x v="1"/>
    <x v="226"/>
    <x v="0"/>
    <x v="0"/>
    <x v="1"/>
    <x v="1"/>
    <x v="1"/>
    <x v="2"/>
    <x v="1"/>
    <x v="2"/>
    <x v="1"/>
    <x v="2"/>
    <x v="0"/>
    <x v="1"/>
    <x v="1"/>
    <x v="2"/>
    <x v="567"/>
    <x v="4"/>
    <x v="0"/>
    <x v="0"/>
    <x v="1"/>
    <x v="0"/>
    <x v="0"/>
    <x v="0"/>
    <x v="0"/>
  </r>
  <r>
    <x v="1181"/>
    <x v="440"/>
    <x v="436"/>
    <x v="431"/>
    <x v="946"/>
    <x v="1"/>
    <x v="1"/>
    <x v="446"/>
    <x v="340"/>
    <x v="1"/>
    <x v="227"/>
    <x v="0"/>
    <x v="0"/>
    <x v="1"/>
    <x v="1"/>
    <x v="1"/>
    <x v="2"/>
    <x v="1"/>
    <x v="2"/>
    <x v="1"/>
    <x v="2"/>
    <x v="0"/>
    <x v="1"/>
    <x v="1"/>
    <x v="2"/>
    <x v="439"/>
    <x v="6"/>
    <x v="0"/>
    <x v="0"/>
    <x v="1"/>
    <x v="0"/>
    <x v="0"/>
    <x v="0"/>
    <x v="0"/>
  </r>
  <r>
    <x v="1182"/>
    <x v="515"/>
    <x v="507"/>
    <x v="499"/>
    <x v="947"/>
    <x v="1"/>
    <x v="2"/>
    <x v="516"/>
    <x v="410"/>
    <x v="1"/>
    <x v="2"/>
    <x v="0"/>
    <x v="0"/>
    <x v="1"/>
    <x v="1"/>
    <x v="1"/>
    <x v="1"/>
    <x v="2"/>
    <x v="3"/>
    <x v="2"/>
    <x v="1"/>
    <x v="271"/>
    <x v="1"/>
    <x v="1"/>
    <x v="2"/>
    <x v="509"/>
    <x v="5"/>
    <x v="1"/>
    <x v="0"/>
    <x v="1"/>
    <x v="0"/>
    <x v="676"/>
    <x v="329"/>
    <x v="336"/>
  </r>
  <r>
    <x v="1183"/>
    <x v="515"/>
    <x v="507"/>
    <x v="499"/>
    <x v="0"/>
    <x v="1"/>
    <x v="2"/>
    <x v="516"/>
    <x v="410"/>
    <x v="1"/>
    <x v="2"/>
    <x v="0"/>
    <x v="0"/>
    <x v="3"/>
    <x v="1"/>
    <x v="1"/>
    <x v="2"/>
    <x v="2"/>
    <x v="3"/>
    <x v="2"/>
    <x v="2"/>
    <x v="0"/>
    <x v="2"/>
    <x v="3"/>
    <x v="4"/>
    <x v="509"/>
    <x v="5"/>
    <x v="0"/>
    <x v="0"/>
    <x v="1"/>
    <x v="0"/>
    <x v="0"/>
    <x v="0"/>
    <x v="0"/>
  </r>
  <r>
    <x v="1184"/>
    <x v="571"/>
    <x v="562"/>
    <x v="555"/>
    <x v="948"/>
    <x v="1"/>
    <x v="3"/>
    <x v="570"/>
    <x v="398"/>
    <x v="1"/>
    <x v="70"/>
    <x v="0"/>
    <x v="0"/>
    <x v="1"/>
    <x v="1"/>
    <x v="1"/>
    <x v="2"/>
    <x v="1"/>
    <x v="1"/>
    <x v="1"/>
    <x v="2"/>
    <x v="0"/>
    <x v="1"/>
    <x v="2"/>
    <x v="3"/>
    <x v="568"/>
    <x v="12"/>
    <x v="0"/>
    <x v="0"/>
    <x v="1"/>
    <x v="0"/>
    <x v="0"/>
    <x v="0"/>
    <x v="0"/>
  </r>
  <r>
    <x v="1185"/>
    <x v="446"/>
    <x v="442"/>
    <x v="437"/>
    <x v="949"/>
    <x v="1"/>
    <x v="2"/>
    <x v="452"/>
    <x v="343"/>
    <x v="1"/>
    <x v="15"/>
    <x v="0"/>
    <x v="0"/>
    <x v="3"/>
    <x v="1"/>
    <x v="1"/>
    <x v="2"/>
    <x v="1"/>
    <x v="1"/>
    <x v="2"/>
    <x v="2"/>
    <x v="0"/>
    <x v="1"/>
    <x v="3"/>
    <x v="4"/>
    <x v="445"/>
    <x v="1"/>
    <x v="0"/>
    <x v="0"/>
    <x v="1"/>
    <x v="0"/>
    <x v="0"/>
    <x v="0"/>
    <x v="0"/>
  </r>
  <r>
    <x v="1186"/>
    <x v="301"/>
    <x v="302"/>
    <x v="297"/>
    <x v="950"/>
    <x v="1"/>
    <x v="2"/>
    <x v="315"/>
    <x v="411"/>
    <x v="1"/>
    <x v="33"/>
    <x v="0"/>
    <x v="0"/>
    <x v="1"/>
    <x v="3"/>
    <x v="3"/>
    <x v="1"/>
    <x v="2"/>
    <x v="2"/>
    <x v="1"/>
    <x v="1"/>
    <x v="269"/>
    <x v="1"/>
    <x v="2"/>
    <x v="3"/>
    <x v="303"/>
    <x v="2"/>
    <x v="1"/>
    <x v="5"/>
    <x v="1"/>
    <x v="1"/>
    <x v="677"/>
    <x v="0"/>
    <x v="0"/>
  </r>
  <r>
    <x v="1187"/>
    <x v="442"/>
    <x v="438"/>
    <x v="433"/>
    <x v="951"/>
    <x v="1"/>
    <x v="2"/>
    <x v="448"/>
    <x v="412"/>
    <x v="1"/>
    <x v="33"/>
    <x v="0"/>
    <x v="0"/>
    <x v="1"/>
    <x v="3"/>
    <x v="3"/>
    <x v="2"/>
    <x v="1"/>
    <x v="1"/>
    <x v="1"/>
    <x v="1"/>
    <x v="264"/>
    <x v="1"/>
    <x v="1"/>
    <x v="2"/>
    <x v="441"/>
    <x v="1"/>
    <x v="1"/>
    <x v="1"/>
    <x v="1"/>
    <x v="0"/>
    <x v="678"/>
    <x v="330"/>
    <x v="0"/>
  </r>
  <r>
    <x v="1188"/>
    <x v="569"/>
    <x v="560"/>
    <x v="553"/>
    <x v="0"/>
    <x v="1"/>
    <x v="2"/>
    <x v="568"/>
    <x v="409"/>
    <x v="1"/>
    <x v="15"/>
    <x v="0"/>
    <x v="0"/>
    <x v="3"/>
    <x v="1"/>
    <x v="1"/>
    <x v="1"/>
    <x v="1"/>
    <x v="2"/>
    <x v="1"/>
    <x v="2"/>
    <x v="0"/>
    <x v="2"/>
    <x v="3"/>
    <x v="4"/>
    <x v="566"/>
    <x v="12"/>
    <x v="0"/>
    <x v="0"/>
    <x v="1"/>
    <x v="0"/>
    <x v="0"/>
    <x v="0"/>
    <x v="0"/>
  </r>
  <r>
    <x v="1189"/>
    <x v="301"/>
    <x v="302"/>
    <x v="297"/>
    <x v="0"/>
    <x v="1"/>
    <x v="2"/>
    <x v="315"/>
    <x v="249"/>
    <x v="1"/>
    <x v="33"/>
    <x v="0"/>
    <x v="0"/>
    <x v="3"/>
    <x v="1"/>
    <x v="1"/>
    <x v="1"/>
    <x v="2"/>
    <x v="2"/>
    <x v="1"/>
    <x v="1"/>
    <x v="272"/>
    <x v="1"/>
    <x v="3"/>
    <x v="4"/>
    <x v="303"/>
    <x v="2"/>
    <x v="1"/>
    <x v="1"/>
    <x v="1"/>
    <x v="0"/>
    <x v="484"/>
    <x v="331"/>
    <x v="0"/>
  </r>
  <r>
    <x v="1190"/>
    <x v="572"/>
    <x v="194"/>
    <x v="192"/>
    <x v="952"/>
    <x v="1"/>
    <x v="2"/>
    <x v="205"/>
    <x v="413"/>
    <x v="1"/>
    <x v="228"/>
    <x v="0"/>
    <x v="0"/>
    <x v="1"/>
    <x v="1"/>
    <x v="1"/>
    <x v="2"/>
    <x v="1"/>
    <x v="1"/>
    <x v="1"/>
    <x v="2"/>
    <x v="0"/>
    <x v="1"/>
    <x v="5"/>
    <x v="2"/>
    <x v="194"/>
    <x v="12"/>
    <x v="0"/>
    <x v="0"/>
    <x v="1"/>
    <x v="0"/>
    <x v="0"/>
    <x v="0"/>
    <x v="0"/>
  </r>
  <r>
    <x v="1191"/>
    <x v="573"/>
    <x v="563"/>
    <x v="556"/>
    <x v="953"/>
    <x v="1"/>
    <x v="2"/>
    <x v="571"/>
    <x v="414"/>
    <x v="1"/>
    <x v="22"/>
    <x v="0"/>
    <x v="0"/>
    <x v="1"/>
    <x v="3"/>
    <x v="3"/>
    <x v="2"/>
    <x v="1"/>
    <x v="2"/>
    <x v="1"/>
    <x v="1"/>
    <x v="273"/>
    <x v="1"/>
    <x v="6"/>
    <x v="2"/>
    <x v="569"/>
    <x v="5"/>
    <x v="1"/>
    <x v="3"/>
    <x v="2"/>
    <x v="1"/>
    <x v="679"/>
    <x v="0"/>
    <x v="0"/>
  </r>
  <r>
    <x v="1192"/>
    <x v="544"/>
    <x v="536"/>
    <x v="528"/>
    <x v="954"/>
    <x v="3"/>
    <x v="2"/>
    <x v="546"/>
    <x v="10"/>
    <x v="1"/>
    <x v="229"/>
    <x v="0"/>
    <x v="0"/>
    <x v="1"/>
    <x v="1"/>
    <x v="1"/>
    <x v="2"/>
    <x v="2"/>
    <x v="2"/>
    <x v="1"/>
    <x v="2"/>
    <x v="0"/>
    <x v="1"/>
    <x v="6"/>
    <x v="4"/>
    <x v="539"/>
    <x v="5"/>
    <x v="0"/>
    <x v="0"/>
    <x v="1"/>
    <x v="0"/>
    <x v="0"/>
    <x v="0"/>
    <x v="0"/>
  </r>
  <r>
    <x v="1193"/>
    <x v="391"/>
    <x v="391"/>
    <x v="386"/>
    <x v="955"/>
    <x v="3"/>
    <x v="2"/>
    <x v="406"/>
    <x v="281"/>
    <x v="1"/>
    <x v="89"/>
    <x v="0"/>
    <x v="0"/>
    <x v="1"/>
    <x v="1"/>
    <x v="1"/>
    <x v="2"/>
    <x v="1"/>
    <x v="2"/>
    <x v="1"/>
    <x v="1"/>
    <x v="264"/>
    <x v="1"/>
    <x v="6"/>
    <x v="2"/>
    <x v="570"/>
    <x v="5"/>
    <x v="1"/>
    <x v="1"/>
    <x v="1"/>
    <x v="0"/>
    <x v="680"/>
    <x v="0"/>
    <x v="0"/>
  </r>
  <r>
    <x v="1194"/>
    <x v="442"/>
    <x v="438"/>
    <x v="433"/>
    <x v="0"/>
    <x v="1"/>
    <x v="2"/>
    <x v="448"/>
    <x v="412"/>
    <x v="1"/>
    <x v="33"/>
    <x v="0"/>
    <x v="0"/>
    <x v="3"/>
    <x v="1"/>
    <x v="1"/>
    <x v="2"/>
    <x v="1"/>
    <x v="2"/>
    <x v="1"/>
    <x v="1"/>
    <x v="273"/>
    <x v="2"/>
    <x v="3"/>
    <x v="4"/>
    <x v="441"/>
    <x v="5"/>
    <x v="1"/>
    <x v="5"/>
    <x v="2"/>
    <x v="1"/>
    <x v="681"/>
    <x v="0"/>
    <x v="0"/>
  </r>
  <r>
    <x v="1195"/>
    <x v="391"/>
    <x v="391"/>
    <x v="386"/>
    <x v="955"/>
    <x v="3"/>
    <x v="2"/>
    <x v="406"/>
    <x v="281"/>
    <x v="1"/>
    <x v="89"/>
    <x v="0"/>
    <x v="0"/>
    <x v="3"/>
    <x v="3"/>
    <x v="3"/>
    <x v="2"/>
    <x v="1"/>
    <x v="2"/>
    <x v="1"/>
    <x v="1"/>
    <x v="272"/>
    <x v="1"/>
    <x v="3"/>
    <x v="4"/>
    <x v="570"/>
    <x v="5"/>
    <x v="3"/>
    <x v="0"/>
    <x v="1"/>
    <x v="0"/>
    <x v="682"/>
    <x v="0"/>
    <x v="0"/>
  </r>
  <r>
    <x v="1196"/>
    <x v="574"/>
    <x v="564"/>
    <x v="557"/>
    <x v="956"/>
    <x v="3"/>
    <x v="2"/>
    <x v="160"/>
    <x v="10"/>
    <x v="1"/>
    <x v="3"/>
    <x v="0"/>
    <x v="0"/>
    <x v="1"/>
    <x v="1"/>
    <x v="2"/>
    <x v="2"/>
    <x v="1"/>
    <x v="2"/>
    <x v="1"/>
    <x v="1"/>
    <x v="273"/>
    <x v="1"/>
    <x v="6"/>
    <x v="2"/>
    <x v="571"/>
    <x v="5"/>
    <x v="3"/>
    <x v="0"/>
    <x v="1"/>
    <x v="0"/>
    <x v="683"/>
    <x v="332"/>
    <x v="0"/>
  </r>
  <r>
    <x v="1197"/>
    <x v="200"/>
    <x v="198"/>
    <x v="196"/>
    <x v="957"/>
    <x v="1"/>
    <x v="2"/>
    <x v="209"/>
    <x v="374"/>
    <x v="1"/>
    <x v="2"/>
    <x v="0"/>
    <x v="0"/>
    <x v="1"/>
    <x v="2"/>
    <x v="3"/>
    <x v="1"/>
    <x v="1"/>
    <x v="2"/>
    <x v="1"/>
    <x v="1"/>
    <x v="273"/>
    <x v="1"/>
    <x v="4"/>
    <x v="2"/>
    <x v="556"/>
    <x v="5"/>
    <x v="3"/>
    <x v="0"/>
    <x v="1"/>
    <x v="0"/>
    <x v="684"/>
    <x v="333"/>
    <x v="0"/>
  </r>
  <r>
    <x v="1198"/>
    <x v="301"/>
    <x v="302"/>
    <x v="297"/>
    <x v="0"/>
    <x v="1"/>
    <x v="2"/>
    <x v="315"/>
    <x v="249"/>
    <x v="1"/>
    <x v="33"/>
    <x v="0"/>
    <x v="0"/>
    <x v="3"/>
    <x v="1"/>
    <x v="1"/>
    <x v="2"/>
    <x v="2"/>
    <x v="2"/>
    <x v="1"/>
    <x v="1"/>
    <x v="274"/>
    <x v="2"/>
    <x v="3"/>
    <x v="4"/>
    <x v="303"/>
    <x v="5"/>
    <x v="3"/>
    <x v="0"/>
    <x v="1"/>
    <x v="0"/>
    <x v="685"/>
    <x v="334"/>
    <x v="337"/>
  </r>
  <r>
    <x v="1199"/>
    <x v="575"/>
    <x v="563"/>
    <x v="556"/>
    <x v="958"/>
    <x v="1"/>
    <x v="2"/>
    <x v="571"/>
    <x v="414"/>
    <x v="1"/>
    <x v="22"/>
    <x v="0"/>
    <x v="0"/>
    <x v="3"/>
    <x v="1"/>
    <x v="1"/>
    <x v="2"/>
    <x v="1"/>
    <x v="2"/>
    <x v="1"/>
    <x v="1"/>
    <x v="275"/>
    <x v="1"/>
    <x v="3"/>
    <x v="4"/>
    <x v="569"/>
    <x v="3"/>
    <x v="1"/>
    <x v="13"/>
    <x v="2"/>
    <x v="1"/>
    <x v="686"/>
    <x v="0"/>
    <x v="338"/>
  </r>
  <r>
    <x v="1200"/>
    <x v="576"/>
    <x v="565"/>
    <x v="558"/>
    <x v="959"/>
    <x v="1"/>
    <x v="3"/>
    <x v="572"/>
    <x v="415"/>
    <x v="1"/>
    <x v="31"/>
    <x v="0"/>
    <x v="0"/>
    <x v="1"/>
    <x v="1"/>
    <x v="1"/>
    <x v="2"/>
    <x v="1"/>
    <x v="2"/>
    <x v="1"/>
    <x v="2"/>
    <x v="0"/>
    <x v="1"/>
    <x v="4"/>
    <x v="2"/>
    <x v="572"/>
    <x v="12"/>
    <x v="0"/>
    <x v="0"/>
    <x v="1"/>
    <x v="0"/>
    <x v="0"/>
    <x v="0"/>
    <x v="0"/>
  </r>
  <r>
    <x v="1201"/>
    <x v="442"/>
    <x v="438"/>
    <x v="433"/>
    <x v="0"/>
    <x v="1"/>
    <x v="2"/>
    <x v="448"/>
    <x v="412"/>
    <x v="1"/>
    <x v="33"/>
    <x v="0"/>
    <x v="0"/>
    <x v="3"/>
    <x v="1"/>
    <x v="1"/>
    <x v="2"/>
    <x v="1"/>
    <x v="2"/>
    <x v="1"/>
    <x v="1"/>
    <x v="274"/>
    <x v="1"/>
    <x v="3"/>
    <x v="4"/>
    <x v="441"/>
    <x v="2"/>
    <x v="1"/>
    <x v="5"/>
    <x v="2"/>
    <x v="1"/>
    <x v="687"/>
    <x v="0"/>
    <x v="0"/>
  </r>
  <r>
    <x v="1202"/>
    <x v="464"/>
    <x v="460"/>
    <x v="454"/>
    <x v="960"/>
    <x v="1"/>
    <x v="2"/>
    <x v="469"/>
    <x v="212"/>
    <x v="6"/>
    <x v="0"/>
    <x v="0"/>
    <x v="10"/>
    <x v="1"/>
    <x v="1"/>
    <x v="1"/>
    <x v="1"/>
    <x v="1"/>
    <x v="2"/>
    <x v="1"/>
    <x v="1"/>
    <x v="274"/>
    <x v="1"/>
    <x v="1"/>
    <x v="2"/>
    <x v="462"/>
    <x v="3"/>
    <x v="1"/>
    <x v="3"/>
    <x v="2"/>
    <x v="1"/>
    <x v="688"/>
    <x v="335"/>
    <x v="0"/>
  </r>
  <r>
    <x v="1203"/>
    <x v="433"/>
    <x v="430"/>
    <x v="425"/>
    <x v="961"/>
    <x v="1"/>
    <x v="2"/>
    <x v="440"/>
    <x v="341"/>
    <x v="1"/>
    <x v="230"/>
    <x v="0"/>
    <x v="0"/>
    <x v="1"/>
    <x v="1"/>
    <x v="1"/>
    <x v="2"/>
    <x v="1"/>
    <x v="2"/>
    <x v="1"/>
    <x v="2"/>
    <x v="0"/>
    <x v="1"/>
    <x v="1"/>
    <x v="2"/>
    <x v="433"/>
    <x v="12"/>
    <x v="0"/>
    <x v="0"/>
    <x v="1"/>
    <x v="0"/>
    <x v="0"/>
    <x v="0"/>
    <x v="0"/>
  </r>
  <r>
    <x v="1204"/>
    <x v="461"/>
    <x v="457"/>
    <x v="451"/>
    <x v="962"/>
    <x v="3"/>
    <x v="3"/>
    <x v="466"/>
    <x v="227"/>
    <x v="1"/>
    <x v="231"/>
    <x v="0"/>
    <x v="0"/>
    <x v="1"/>
    <x v="1"/>
    <x v="1"/>
    <x v="2"/>
    <x v="1"/>
    <x v="2"/>
    <x v="1"/>
    <x v="2"/>
    <x v="0"/>
    <x v="1"/>
    <x v="1"/>
    <x v="2"/>
    <x v="459"/>
    <x v="12"/>
    <x v="0"/>
    <x v="0"/>
    <x v="1"/>
    <x v="0"/>
    <x v="0"/>
    <x v="0"/>
    <x v="0"/>
  </r>
  <r>
    <x v="1205"/>
    <x v="366"/>
    <x v="366"/>
    <x v="361"/>
    <x v="963"/>
    <x v="1"/>
    <x v="2"/>
    <x v="380"/>
    <x v="292"/>
    <x v="1"/>
    <x v="33"/>
    <x v="0"/>
    <x v="0"/>
    <x v="1"/>
    <x v="3"/>
    <x v="2"/>
    <x v="2"/>
    <x v="1"/>
    <x v="2"/>
    <x v="1"/>
    <x v="1"/>
    <x v="276"/>
    <x v="1"/>
    <x v="2"/>
    <x v="2"/>
    <x v="368"/>
    <x v="5"/>
    <x v="3"/>
    <x v="0"/>
    <x v="1"/>
    <x v="0"/>
    <x v="689"/>
    <x v="0"/>
    <x v="0"/>
  </r>
  <r>
    <x v="1206"/>
    <x v="442"/>
    <x v="438"/>
    <x v="433"/>
    <x v="964"/>
    <x v="1"/>
    <x v="2"/>
    <x v="448"/>
    <x v="412"/>
    <x v="1"/>
    <x v="33"/>
    <x v="0"/>
    <x v="0"/>
    <x v="3"/>
    <x v="1"/>
    <x v="1"/>
    <x v="2"/>
    <x v="1"/>
    <x v="3"/>
    <x v="1"/>
    <x v="1"/>
    <x v="277"/>
    <x v="1"/>
    <x v="3"/>
    <x v="4"/>
    <x v="441"/>
    <x v="2"/>
    <x v="1"/>
    <x v="4"/>
    <x v="2"/>
    <x v="1"/>
    <x v="690"/>
    <x v="0"/>
    <x v="0"/>
  </r>
  <r>
    <x v="1207"/>
    <x v="577"/>
    <x v="566"/>
    <x v="559"/>
    <x v="965"/>
    <x v="1"/>
    <x v="2"/>
    <x v="573"/>
    <x v="416"/>
    <x v="1"/>
    <x v="2"/>
    <x v="0"/>
    <x v="0"/>
    <x v="1"/>
    <x v="1"/>
    <x v="1"/>
    <x v="1"/>
    <x v="1"/>
    <x v="3"/>
    <x v="2"/>
    <x v="1"/>
    <x v="274"/>
    <x v="1"/>
    <x v="1"/>
    <x v="2"/>
    <x v="573"/>
    <x v="1"/>
    <x v="1"/>
    <x v="13"/>
    <x v="1"/>
    <x v="0"/>
    <x v="691"/>
    <x v="0"/>
    <x v="339"/>
  </r>
  <r>
    <x v="1208"/>
    <x v="464"/>
    <x v="460"/>
    <x v="454"/>
    <x v="966"/>
    <x v="1"/>
    <x v="2"/>
    <x v="469"/>
    <x v="212"/>
    <x v="6"/>
    <x v="0"/>
    <x v="0"/>
    <x v="10"/>
    <x v="3"/>
    <x v="1"/>
    <x v="1"/>
    <x v="1"/>
    <x v="1"/>
    <x v="2"/>
    <x v="1"/>
    <x v="1"/>
    <x v="276"/>
    <x v="1"/>
    <x v="3"/>
    <x v="4"/>
    <x v="462"/>
    <x v="3"/>
    <x v="1"/>
    <x v="1"/>
    <x v="1"/>
    <x v="0"/>
    <x v="692"/>
    <x v="336"/>
    <x v="0"/>
  </r>
  <r>
    <x v="1209"/>
    <x v="577"/>
    <x v="566"/>
    <x v="559"/>
    <x v="967"/>
    <x v="1"/>
    <x v="2"/>
    <x v="573"/>
    <x v="416"/>
    <x v="1"/>
    <x v="2"/>
    <x v="0"/>
    <x v="0"/>
    <x v="3"/>
    <x v="3"/>
    <x v="2"/>
    <x v="2"/>
    <x v="1"/>
    <x v="2"/>
    <x v="2"/>
    <x v="1"/>
    <x v="276"/>
    <x v="1"/>
    <x v="3"/>
    <x v="4"/>
    <x v="573"/>
    <x v="14"/>
    <x v="3"/>
    <x v="0"/>
    <x v="1"/>
    <x v="0"/>
    <x v="689"/>
    <x v="0"/>
    <x v="0"/>
  </r>
  <r>
    <x v="1210"/>
    <x v="43"/>
    <x v="42"/>
    <x v="42"/>
    <x v="968"/>
    <x v="1"/>
    <x v="2"/>
    <x v="45"/>
    <x v="417"/>
    <x v="1"/>
    <x v="2"/>
    <x v="0"/>
    <x v="0"/>
    <x v="1"/>
    <x v="3"/>
    <x v="2"/>
    <x v="1"/>
    <x v="2"/>
    <x v="2"/>
    <x v="1"/>
    <x v="1"/>
    <x v="276"/>
    <x v="2"/>
    <x v="1"/>
    <x v="2"/>
    <x v="574"/>
    <x v="5"/>
    <x v="3"/>
    <x v="0"/>
    <x v="1"/>
    <x v="0"/>
    <x v="689"/>
    <x v="0"/>
    <x v="340"/>
  </r>
  <r>
    <x v="1211"/>
    <x v="578"/>
    <x v="567"/>
    <x v="560"/>
    <x v="969"/>
    <x v="3"/>
    <x v="2"/>
    <x v="574"/>
    <x v="418"/>
    <x v="1"/>
    <x v="3"/>
    <x v="0"/>
    <x v="0"/>
    <x v="1"/>
    <x v="1"/>
    <x v="2"/>
    <x v="2"/>
    <x v="1"/>
    <x v="2"/>
    <x v="1"/>
    <x v="1"/>
    <x v="277"/>
    <x v="1"/>
    <x v="6"/>
    <x v="2"/>
    <x v="575"/>
    <x v="5"/>
    <x v="1"/>
    <x v="1"/>
    <x v="1"/>
    <x v="0"/>
    <x v="693"/>
    <x v="337"/>
    <x v="0"/>
  </r>
  <r>
    <x v="1212"/>
    <x v="579"/>
    <x v="568"/>
    <x v="561"/>
    <x v="970"/>
    <x v="1"/>
    <x v="2"/>
    <x v="575"/>
    <x v="218"/>
    <x v="1"/>
    <x v="4"/>
    <x v="0"/>
    <x v="0"/>
    <x v="1"/>
    <x v="1"/>
    <x v="1"/>
    <x v="2"/>
    <x v="1"/>
    <x v="2"/>
    <x v="1"/>
    <x v="1"/>
    <x v="276"/>
    <x v="1"/>
    <x v="6"/>
    <x v="2"/>
    <x v="576"/>
    <x v="5"/>
    <x v="3"/>
    <x v="0"/>
    <x v="1"/>
    <x v="0"/>
    <x v="694"/>
    <x v="0"/>
    <x v="198"/>
  </r>
  <r>
    <x v="1213"/>
    <x v="580"/>
    <x v="569"/>
    <x v="562"/>
    <x v="971"/>
    <x v="1"/>
    <x v="2"/>
    <x v="576"/>
    <x v="369"/>
    <x v="1"/>
    <x v="8"/>
    <x v="0"/>
    <x v="0"/>
    <x v="1"/>
    <x v="1"/>
    <x v="1"/>
    <x v="2"/>
    <x v="1"/>
    <x v="2"/>
    <x v="1"/>
    <x v="1"/>
    <x v="277"/>
    <x v="2"/>
    <x v="6"/>
    <x v="2"/>
    <x v="577"/>
    <x v="5"/>
    <x v="3"/>
    <x v="0"/>
    <x v="1"/>
    <x v="0"/>
    <x v="695"/>
    <x v="0"/>
    <x v="341"/>
  </r>
  <r>
    <x v="1214"/>
    <x v="464"/>
    <x v="460"/>
    <x v="454"/>
    <x v="0"/>
    <x v="1"/>
    <x v="2"/>
    <x v="469"/>
    <x v="196"/>
    <x v="6"/>
    <x v="0"/>
    <x v="0"/>
    <x v="10"/>
    <x v="3"/>
    <x v="1"/>
    <x v="1"/>
    <x v="2"/>
    <x v="1"/>
    <x v="2"/>
    <x v="1"/>
    <x v="2"/>
    <x v="0"/>
    <x v="2"/>
    <x v="3"/>
    <x v="4"/>
    <x v="462"/>
    <x v="5"/>
    <x v="0"/>
    <x v="0"/>
    <x v="1"/>
    <x v="0"/>
    <x v="0"/>
    <x v="0"/>
    <x v="0"/>
  </r>
  <r>
    <x v="1215"/>
    <x v="442"/>
    <x v="438"/>
    <x v="433"/>
    <x v="972"/>
    <x v="1"/>
    <x v="2"/>
    <x v="448"/>
    <x v="412"/>
    <x v="1"/>
    <x v="33"/>
    <x v="0"/>
    <x v="0"/>
    <x v="3"/>
    <x v="1"/>
    <x v="1"/>
    <x v="2"/>
    <x v="1"/>
    <x v="3"/>
    <x v="1"/>
    <x v="1"/>
    <x v="278"/>
    <x v="1"/>
    <x v="3"/>
    <x v="4"/>
    <x v="441"/>
    <x v="1"/>
    <x v="3"/>
    <x v="0"/>
    <x v="1"/>
    <x v="0"/>
    <x v="696"/>
    <x v="338"/>
    <x v="0"/>
  </r>
  <r>
    <x v="1216"/>
    <x v="581"/>
    <x v="570"/>
    <x v="563"/>
    <x v="973"/>
    <x v="3"/>
    <x v="4"/>
    <x v="577"/>
    <x v="419"/>
    <x v="1"/>
    <x v="232"/>
    <x v="0"/>
    <x v="0"/>
    <x v="1"/>
    <x v="2"/>
    <x v="3"/>
    <x v="2"/>
    <x v="1"/>
    <x v="2"/>
    <x v="1"/>
    <x v="1"/>
    <x v="277"/>
    <x v="1"/>
    <x v="1"/>
    <x v="2"/>
    <x v="578"/>
    <x v="6"/>
    <x v="1"/>
    <x v="1"/>
    <x v="2"/>
    <x v="1"/>
    <x v="697"/>
    <x v="0"/>
    <x v="342"/>
  </r>
  <r>
    <x v="1217"/>
    <x v="582"/>
    <x v="571"/>
    <x v="564"/>
    <x v="974"/>
    <x v="3"/>
    <x v="2"/>
    <x v="578"/>
    <x v="10"/>
    <x v="1"/>
    <x v="22"/>
    <x v="0"/>
    <x v="0"/>
    <x v="1"/>
    <x v="1"/>
    <x v="1"/>
    <x v="2"/>
    <x v="1"/>
    <x v="2"/>
    <x v="1"/>
    <x v="1"/>
    <x v="279"/>
    <x v="1"/>
    <x v="1"/>
    <x v="2"/>
    <x v="579"/>
    <x v="1"/>
    <x v="1"/>
    <x v="7"/>
    <x v="1"/>
    <x v="0"/>
    <x v="698"/>
    <x v="339"/>
    <x v="0"/>
  </r>
  <r>
    <x v="1218"/>
    <x v="581"/>
    <x v="570"/>
    <x v="563"/>
    <x v="975"/>
    <x v="3"/>
    <x v="4"/>
    <x v="577"/>
    <x v="419"/>
    <x v="1"/>
    <x v="233"/>
    <x v="0"/>
    <x v="0"/>
    <x v="3"/>
    <x v="1"/>
    <x v="1"/>
    <x v="2"/>
    <x v="1"/>
    <x v="2"/>
    <x v="1"/>
    <x v="1"/>
    <x v="279"/>
    <x v="2"/>
    <x v="3"/>
    <x v="4"/>
    <x v="578"/>
    <x v="5"/>
    <x v="1"/>
    <x v="7"/>
    <x v="2"/>
    <x v="1"/>
    <x v="699"/>
    <x v="0"/>
    <x v="0"/>
  </r>
  <r>
    <x v="1219"/>
    <x v="578"/>
    <x v="567"/>
    <x v="560"/>
    <x v="0"/>
    <x v="3"/>
    <x v="2"/>
    <x v="574"/>
    <x v="418"/>
    <x v="1"/>
    <x v="3"/>
    <x v="0"/>
    <x v="0"/>
    <x v="3"/>
    <x v="1"/>
    <x v="1"/>
    <x v="2"/>
    <x v="1"/>
    <x v="2"/>
    <x v="1"/>
    <x v="2"/>
    <x v="0"/>
    <x v="2"/>
    <x v="3"/>
    <x v="4"/>
    <x v="575"/>
    <x v="5"/>
    <x v="0"/>
    <x v="0"/>
    <x v="1"/>
    <x v="0"/>
    <x v="0"/>
    <x v="0"/>
    <x v="0"/>
  </r>
  <r>
    <x v="1220"/>
    <x v="583"/>
    <x v="572"/>
    <x v="565"/>
    <x v="976"/>
    <x v="1"/>
    <x v="3"/>
    <x v="46"/>
    <x v="420"/>
    <x v="1"/>
    <x v="234"/>
    <x v="0"/>
    <x v="0"/>
    <x v="1"/>
    <x v="1"/>
    <x v="1"/>
    <x v="1"/>
    <x v="1"/>
    <x v="2"/>
    <x v="1"/>
    <x v="2"/>
    <x v="0"/>
    <x v="1"/>
    <x v="1"/>
    <x v="2"/>
    <x v="580"/>
    <x v="12"/>
    <x v="0"/>
    <x v="0"/>
    <x v="1"/>
    <x v="0"/>
    <x v="0"/>
    <x v="0"/>
    <x v="0"/>
  </r>
  <r>
    <x v="1221"/>
    <x v="581"/>
    <x v="570"/>
    <x v="563"/>
    <x v="977"/>
    <x v="3"/>
    <x v="4"/>
    <x v="577"/>
    <x v="419"/>
    <x v="1"/>
    <x v="235"/>
    <x v="0"/>
    <x v="0"/>
    <x v="3"/>
    <x v="1"/>
    <x v="1"/>
    <x v="2"/>
    <x v="1"/>
    <x v="2"/>
    <x v="1"/>
    <x v="1"/>
    <x v="275"/>
    <x v="1"/>
    <x v="3"/>
    <x v="4"/>
    <x v="578"/>
    <x v="12"/>
    <x v="1"/>
    <x v="4"/>
    <x v="1"/>
    <x v="0"/>
    <x v="700"/>
    <x v="0"/>
    <x v="0"/>
  </r>
  <r>
    <x v="1222"/>
    <x v="582"/>
    <x v="571"/>
    <x v="564"/>
    <x v="0"/>
    <x v="3"/>
    <x v="1"/>
    <x v="578"/>
    <x v="151"/>
    <x v="1"/>
    <x v="22"/>
    <x v="0"/>
    <x v="0"/>
    <x v="3"/>
    <x v="1"/>
    <x v="1"/>
    <x v="2"/>
    <x v="1"/>
    <x v="2"/>
    <x v="1"/>
    <x v="2"/>
    <x v="0"/>
    <x v="2"/>
    <x v="3"/>
    <x v="4"/>
    <x v="579"/>
    <x v="12"/>
    <x v="0"/>
    <x v="0"/>
    <x v="1"/>
    <x v="0"/>
    <x v="0"/>
    <x v="0"/>
    <x v="0"/>
  </r>
  <r>
    <x v="1223"/>
    <x v="584"/>
    <x v="573"/>
    <x v="566"/>
    <x v="978"/>
    <x v="3"/>
    <x v="6"/>
    <x v="579"/>
    <x v="340"/>
    <x v="1"/>
    <x v="57"/>
    <x v="0"/>
    <x v="0"/>
    <x v="1"/>
    <x v="1"/>
    <x v="1"/>
    <x v="1"/>
    <x v="1"/>
    <x v="2"/>
    <x v="1"/>
    <x v="2"/>
    <x v="0"/>
    <x v="1"/>
    <x v="5"/>
    <x v="2"/>
    <x v="581"/>
    <x v="12"/>
    <x v="0"/>
    <x v="0"/>
    <x v="1"/>
    <x v="0"/>
    <x v="0"/>
    <x v="0"/>
    <x v="0"/>
  </r>
  <r>
    <x v="1224"/>
    <x v="575"/>
    <x v="563"/>
    <x v="556"/>
    <x v="979"/>
    <x v="1"/>
    <x v="2"/>
    <x v="571"/>
    <x v="414"/>
    <x v="1"/>
    <x v="22"/>
    <x v="0"/>
    <x v="0"/>
    <x v="3"/>
    <x v="1"/>
    <x v="1"/>
    <x v="2"/>
    <x v="1"/>
    <x v="2"/>
    <x v="1"/>
    <x v="1"/>
    <x v="280"/>
    <x v="1"/>
    <x v="3"/>
    <x v="4"/>
    <x v="569"/>
    <x v="14"/>
    <x v="1"/>
    <x v="4"/>
    <x v="1"/>
    <x v="0"/>
    <x v="701"/>
    <x v="0"/>
    <x v="343"/>
  </r>
  <r>
    <x v="1225"/>
    <x v="446"/>
    <x v="442"/>
    <x v="437"/>
    <x v="980"/>
    <x v="1"/>
    <x v="3"/>
    <x v="452"/>
    <x v="343"/>
    <x v="1"/>
    <x v="120"/>
    <x v="0"/>
    <x v="0"/>
    <x v="1"/>
    <x v="2"/>
    <x v="4"/>
    <x v="2"/>
    <x v="1"/>
    <x v="2"/>
    <x v="1"/>
    <x v="1"/>
    <x v="278"/>
    <x v="1"/>
    <x v="3"/>
    <x v="4"/>
    <x v="445"/>
    <x v="14"/>
    <x v="1"/>
    <x v="7"/>
    <x v="2"/>
    <x v="1"/>
    <x v="702"/>
    <x v="340"/>
    <x v="344"/>
  </r>
  <r>
    <x v="1226"/>
    <x v="581"/>
    <x v="570"/>
    <x v="563"/>
    <x v="0"/>
    <x v="3"/>
    <x v="4"/>
    <x v="577"/>
    <x v="419"/>
    <x v="1"/>
    <x v="235"/>
    <x v="0"/>
    <x v="0"/>
    <x v="3"/>
    <x v="1"/>
    <x v="1"/>
    <x v="2"/>
    <x v="1"/>
    <x v="2"/>
    <x v="1"/>
    <x v="1"/>
    <x v="278"/>
    <x v="2"/>
    <x v="3"/>
    <x v="4"/>
    <x v="578"/>
    <x v="1"/>
    <x v="3"/>
    <x v="0"/>
    <x v="1"/>
    <x v="0"/>
    <x v="703"/>
    <x v="341"/>
    <x v="0"/>
  </r>
  <r>
    <x v="1227"/>
    <x v="585"/>
    <x v="574"/>
    <x v="567"/>
    <x v="981"/>
    <x v="1"/>
    <x v="2"/>
    <x v="580"/>
    <x v="283"/>
    <x v="1"/>
    <x v="3"/>
    <x v="0"/>
    <x v="0"/>
    <x v="1"/>
    <x v="3"/>
    <x v="2"/>
    <x v="2"/>
    <x v="1"/>
    <x v="2"/>
    <x v="1"/>
    <x v="1"/>
    <x v="281"/>
    <x v="1"/>
    <x v="3"/>
    <x v="4"/>
    <x v="582"/>
    <x v="0"/>
    <x v="1"/>
    <x v="4"/>
    <x v="2"/>
    <x v="1"/>
    <x v="704"/>
    <x v="0"/>
    <x v="345"/>
  </r>
  <r>
    <x v="1228"/>
    <x v="446"/>
    <x v="442"/>
    <x v="437"/>
    <x v="982"/>
    <x v="1"/>
    <x v="2"/>
    <x v="452"/>
    <x v="347"/>
    <x v="1"/>
    <x v="161"/>
    <x v="0"/>
    <x v="0"/>
    <x v="3"/>
    <x v="1"/>
    <x v="1"/>
    <x v="2"/>
    <x v="1"/>
    <x v="2"/>
    <x v="1"/>
    <x v="1"/>
    <x v="281"/>
    <x v="1"/>
    <x v="3"/>
    <x v="4"/>
    <x v="445"/>
    <x v="12"/>
    <x v="1"/>
    <x v="4"/>
    <x v="2"/>
    <x v="1"/>
    <x v="705"/>
    <x v="0"/>
    <x v="346"/>
  </r>
  <r>
    <x v="1229"/>
    <x v="585"/>
    <x v="574"/>
    <x v="567"/>
    <x v="983"/>
    <x v="1"/>
    <x v="2"/>
    <x v="580"/>
    <x v="283"/>
    <x v="1"/>
    <x v="3"/>
    <x v="0"/>
    <x v="0"/>
    <x v="3"/>
    <x v="3"/>
    <x v="2"/>
    <x v="2"/>
    <x v="1"/>
    <x v="2"/>
    <x v="1"/>
    <x v="1"/>
    <x v="282"/>
    <x v="1"/>
    <x v="3"/>
    <x v="4"/>
    <x v="582"/>
    <x v="1"/>
    <x v="1"/>
    <x v="1"/>
    <x v="1"/>
    <x v="0"/>
    <x v="706"/>
    <x v="342"/>
    <x v="0"/>
  </r>
  <r>
    <x v="1230"/>
    <x v="446"/>
    <x v="442"/>
    <x v="437"/>
    <x v="0"/>
    <x v="1"/>
    <x v="2"/>
    <x v="452"/>
    <x v="421"/>
    <x v="1"/>
    <x v="161"/>
    <x v="0"/>
    <x v="0"/>
    <x v="3"/>
    <x v="1"/>
    <x v="1"/>
    <x v="2"/>
    <x v="1"/>
    <x v="2"/>
    <x v="1"/>
    <x v="2"/>
    <x v="0"/>
    <x v="2"/>
    <x v="3"/>
    <x v="4"/>
    <x v="445"/>
    <x v="1"/>
    <x v="0"/>
    <x v="0"/>
    <x v="1"/>
    <x v="0"/>
    <x v="0"/>
    <x v="0"/>
    <x v="0"/>
  </r>
  <r>
    <x v="1231"/>
    <x v="586"/>
    <x v="575"/>
    <x v="568"/>
    <x v="984"/>
    <x v="3"/>
    <x v="2"/>
    <x v="437"/>
    <x v="353"/>
    <x v="1"/>
    <x v="33"/>
    <x v="0"/>
    <x v="0"/>
    <x v="1"/>
    <x v="3"/>
    <x v="2"/>
    <x v="2"/>
    <x v="1"/>
    <x v="2"/>
    <x v="1"/>
    <x v="1"/>
    <x v="283"/>
    <x v="2"/>
    <x v="1"/>
    <x v="2"/>
    <x v="583"/>
    <x v="3"/>
    <x v="3"/>
    <x v="0"/>
    <x v="1"/>
    <x v="0"/>
    <x v="707"/>
    <x v="343"/>
    <x v="0"/>
  </r>
  <r>
    <x v="1232"/>
    <x v="554"/>
    <x v="546"/>
    <x v="539"/>
    <x v="985"/>
    <x v="1"/>
    <x v="2"/>
    <x v="555"/>
    <x v="238"/>
    <x v="1"/>
    <x v="15"/>
    <x v="0"/>
    <x v="0"/>
    <x v="1"/>
    <x v="3"/>
    <x v="2"/>
    <x v="2"/>
    <x v="1"/>
    <x v="2"/>
    <x v="1"/>
    <x v="1"/>
    <x v="282"/>
    <x v="1"/>
    <x v="2"/>
    <x v="2"/>
    <x v="550"/>
    <x v="3"/>
    <x v="3"/>
    <x v="0"/>
    <x v="1"/>
    <x v="0"/>
    <x v="708"/>
    <x v="0"/>
    <x v="0"/>
  </r>
  <r>
    <x v="1233"/>
    <x v="587"/>
    <x v="576"/>
    <x v="569"/>
    <x v="986"/>
    <x v="2"/>
    <x v="4"/>
    <x v="581"/>
    <x v="269"/>
    <x v="1"/>
    <x v="236"/>
    <x v="0"/>
    <x v="0"/>
    <x v="1"/>
    <x v="1"/>
    <x v="1"/>
    <x v="2"/>
    <x v="2"/>
    <x v="1"/>
    <x v="1"/>
    <x v="1"/>
    <x v="282"/>
    <x v="1"/>
    <x v="1"/>
    <x v="2"/>
    <x v="584"/>
    <x v="4"/>
    <x v="1"/>
    <x v="1"/>
    <x v="2"/>
    <x v="1"/>
    <x v="709"/>
    <x v="344"/>
    <x v="0"/>
  </r>
  <r>
    <x v="1234"/>
    <x v="588"/>
    <x v="577"/>
    <x v="570"/>
    <x v="987"/>
    <x v="1"/>
    <x v="2"/>
    <x v="582"/>
    <x v="374"/>
    <x v="1"/>
    <x v="237"/>
    <x v="0"/>
    <x v="0"/>
    <x v="1"/>
    <x v="1"/>
    <x v="1"/>
    <x v="2"/>
    <x v="1"/>
    <x v="2"/>
    <x v="1"/>
    <x v="2"/>
    <x v="0"/>
    <x v="1"/>
    <x v="1"/>
    <x v="2"/>
    <x v="585"/>
    <x v="5"/>
    <x v="0"/>
    <x v="0"/>
    <x v="1"/>
    <x v="0"/>
    <x v="0"/>
    <x v="0"/>
    <x v="0"/>
  </r>
  <r>
    <x v="1235"/>
    <x v="589"/>
    <x v="576"/>
    <x v="569"/>
    <x v="988"/>
    <x v="2"/>
    <x v="4"/>
    <x v="581"/>
    <x v="269"/>
    <x v="1"/>
    <x v="236"/>
    <x v="0"/>
    <x v="0"/>
    <x v="3"/>
    <x v="1"/>
    <x v="1"/>
    <x v="2"/>
    <x v="2"/>
    <x v="2"/>
    <x v="1"/>
    <x v="1"/>
    <x v="284"/>
    <x v="2"/>
    <x v="3"/>
    <x v="4"/>
    <x v="584"/>
    <x v="5"/>
    <x v="1"/>
    <x v="7"/>
    <x v="1"/>
    <x v="0"/>
    <x v="710"/>
    <x v="0"/>
    <x v="0"/>
  </r>
  <r>
    <x v="1236"/>
    <x v="445"/>
    <x v="441"/>
    <x v="436"/>
    <x v="989"/>
    <x v="1"/>
    <x v="2"/>
    <x v="451"/>
    <x v="324"/>
    <x v="1"/>
    <x v="15"/>
    <x v="0"/>
    <x v="0"/>
    <x v="1"/>
    <x v="1"/>
    <x v="1"/>
    <x v="1"/>
    <x v="1"/>
    <x v="2"/>
    <x v="1"/>
    <x v="2"/>
    <x v="0"/>
    <x v="1"/>
    <x v="1"/>
    <x v="2"/>
    <x v="444"/>
    <x v="2"/>
    <x v="0"/>
    <x v="0"/>
    <x v="1"/>
    <x v="0"/>
    <x v="0"/>
    <x v="0"/>
    <x v="0"/>
  </r>
  <r>
    <x v="1237"/>
    <x v="590"/>
    <x v="578"/>
    <x v="571"/>
    <x v="990"/>
    <x v="1"/>
    <x v="1"/>
    <x v="583"/>
    <x v="422"/>
    <x v="1"/>
    <x v="27"/>
    <x v="0"/>
    <x v="0"/>
    <x v="1"/>
    <x v="3"/>
    <x v="3"/>
    <x v="2"/>
    <x v="1"/>
    <x v="2"/>
    <x v="1"/>
    <x v="1"/>
    <x v="285"/>
    <x v="2"/>
    <x v="1"/>
    <x v="2"/>
    <x v="586"/>
    <x v="15"/>
    <x v="1"/>
    <x v="1"/>
    <x v="1"/>
    <x v="0"/>
    <x v="711"/>
    <x v="0"/>
    <x v="0"/>
  </r>
  <r>
    <x v="1238"/>
    <x v="585"/>
    <x v="574"/>
    <x v="567"/>
    <x v="0"/>
    <x v="1"/>
    <x v="2"/>
    <x v="580"/>
    <x v="283"/>
    <x v="1"/>
    <x v="3"/>
    <x v="0"/>
    <x v="0"/>
    <x v="3"/>
    <x v="1"/>
    <x v="1"/>
    <x v="2"/>
    <x v="1"/>
    <x v="2"/>
    <x v="1"/>
    <x v="2"/>
    <x v="0"/>
    <x v="2"/>
    <x v="3"/>
    <x v="4"/>
    <x v="582"/>
    <x v="5"/>
    <x v="0"/>
    <x v="0"/>
    <x v="1"/>
    <x v="0"/>
    <x v="0"/>
    <x v="0"/>
    <x v="0"/>
  </r>
  <r>
    <x v="1239"/>
    <x v="591"/>
    <x v="579"/>
    <x v="572"/>
    <x v="991"/>
    <x v="1"/>
    <x v="2"/>
    <x v="584"/>
    <x v="293"/>
    <x v="1"/>
    <x v="33"/>
    <x v="0"/>
    <x v="0"/>
    <x v="1"/>
    <x v="1"/>
    <x v="1"/>
    <x v="2"/>
    <x v="1"/>
    <x v="1"/>
    <x v="1"/>
    <x v="1"/>
    <x v="284"/>
    <x v="1"/>
    <x v="5"/>
    <x v="2"/>
    <x v="587"/>
    <x v="14"/>
    <x v="3"/>
    <x v="0"/>
    <x v="1"/>
    <x v="0"/>
    <x v="712"/>
    <x v="345"/>
    <x v="0"/>
  </r>
  <r>
    <x v="1240"/>
    <x v="590"/>
    <x v="578"/>
    <x v="571"/>
    <x v="0"/>
    <x v="1"/>
    <x v="1"/>
    <x v="583"/>
    <x v="422"/>
    <x v="1"/>
    <x v="27"/>
    <x v="0"/>
    <x v="0"/>
    <x v="3"/>
    <x v="4"/>
    <x v="1"/>
    <x v="2"/>
    <x v="1"/>
    <x v="2"/>
    <x v="1"/>
    <x v="1"/>
    <x v="286"/>
    <x v="2"/>
    <x v="3"/>
    <x v="4"/>
    <x v="586"/>
    <x v="5"/>
    <x v="1"/>
    <x v="4"/>
    <x v="2"/>
    <x v="1"/>
    <x v="713"/>
    <x v="346"/>
    <x v="0"/>
  </r>
  <r>
    <x v="1241"/>
    <x v="464"/>
    <x v="460"/>
    <x v="454"/>
    <x v="992"/>
    <x v="1"/>
    <x v="2"/>
    <x v="469"/>
    <x v="384"/>
    <x v="6"/>
    <x v="0"/>
    <x v="0"/>
    <x v="10"/>
    <x v="1"/>
    <x v="3"/>
    <x v="3"/>
    <x v="2"/>
    <x v="1"/>
    <x v="2"/>
    <x v="1"/>
    <x v="1"/>
    <x v="284"/>
    <x v="1"/>
    <x v="1"/>
    <x v="2"/>
    <x v="462"/>
    <x v="14"/>
    <x v="1"/>
    <x v="4"/>
    <x v="1"/>
    <x v="0"/>
    <x v="714"/>
    <x v="347"/>
    <x v="0"/>
  </r>
  <r>
    <x v="1242"/>
    <x v="592"/>
    <x v="580"/>
    <x v="573"/>
    <x v="993"/>
    <x v="1"/>
    <x v="1"/>
    <x v="585"/>
    <x v="389"/>
    <x v="1"/>
    <x v="238"/>
    <x v="0"/>
    <x v="0"/>
    <x v="1"/>
    <x v="2"/>
    <x v="4"/>
    <x v="2"/>
    <x v="1"/>
    <x v="2"/>
    <x v="1"/>
    <x v="2"/>
    <x v="0"/>
    <x v="1"/>
    <x v="1"/>
    <x v="5"/>
    <x v="588"/>
    <x v="16"/>
    <x v="0"/>
    <x v="0"/>
    <x v="1"/>
    <x v="0"/>
    <x v="0"/>
    <x v="0"/>
    <x v="0"/>
  </r>
  <r>
    <x v="1243"/>
    <x v="593"/>
    <x v="581"/>
    <x v="574"/>
    <x v="994"/>
    <x v="1"/>
    <x v="2"/>
    <x v="586"/>
    <x v="10"/>
    <x v="1"/>
    <x v="33"/>
    <x v="0"/>
    <x v="0"/>
    <x v="1"/>
    <x v="3"/>
    <x v="3"/>
    <x v="2"/>
    <x v="1"/>
    <x v="2"/>
    <x v="1"/>
    <x v="1"/>
    <x v="284"/>
    <x v="1"/>
    <x v="1"/>
    <x v="2"/>
    <x v="589"/>
    <x v="14"/>
    <x v="1"/>
    <x v="4"/>
    <x v="2"/>
    <x v="1"/>
    <x v="715"/>
    <x v="0"/>
    <x v="0"/>
  </r>
  <r>
    <x v="1244"/>
    <x v="594"/>
    <x v="582"/>
    <x v="575"/>
    <x v="995"/>
    <x v="1"/>
    <x v="3"/>
    <x v="587"/>
    <x v="10"/>
    <x v="1"/>
    <x v="161"/>
    <x v="0"/>
    <x v="0"/>
    <x v="1"/>
    <x v="2"/>
    <x v="4"/>
    <x v="2"/>
    <x v="1"/>
    <x v="2"/>
    <x v="1"/>
    <x v="1"/>
    <x v="284"/>
    <x v="1"/>
    <x v="5"/>
    <x v="2"/>
    <x v="590"/>
    <x v="5"/>
    <x v="1"/>
    <x v="4"/>
    <x v="2"/>
    <x v="1"/>
    <x v="716"/>
    <x v="348"/>
    <x v="0"/>
  </r>
  <r>
    <x v="1245"/>
    <x v="589"/>
    <x v="576"/>
    <x v="569"/>
    <x v="0"/>
    <x v="2"/>
    <x v="4"/>
    <x v="581"/>
    <x v="269"/>
    <x v="1"/>
    <x v="239"/>
    <x v="0"/>
    <x v="0"/>
    <x v="3"/>
    <x v="1"/>
    <x v="1"/>
    <x v="2"/>
    <x v="1"/>
    <x v="2"/>
    <x v="1"/>
    <x v="2"/>
    <x v="0"/>
    <x v="2"/>
    <x v="3"/>
    <x v="4"/>
    <x v="584"/>
    <x v="12"/>
    <x v="0"/>
    <x v="0"/>
    <x v="1"/>
    <x v="0"/>
    <x v="0"/>
    <x v="0"/>
    <x v="0"/>
  </r>
  <r>
    <x v="1246"/>
    <x v="593"/>
    <x v="581"/>
    <x v="574"/>
    <x v="996"/>
    <x v="1"/>
    <x v="2"/>
    <x v="586"/>
    <x v="158"/>
    <x v="1"/>
    <x v="33"/>
    <x v="0"/>
    <x v="0"/>
    <x v="3"/>
    <x v="1"/>
    <x v="1"/>
    <x v="2"/>
    <x v="1"/>
    <x v="2"/>
    <x v="1"/>
    <x v="1"/>
    <x v="287"/>
    <x v="1"/>
    <x v="3"/>
    <x v="4"/>
    <x v="589"/>
    <x v="1"/>
    <x v="3"/>
    <x v="0"/>
    <x v="1"/>
    <x v="0"/>
    <x v="717"/>
    <x v="349"/>
    <x v="0"/>
  </r>
  <r>
    <x v="1247"/>
    <x v="595"/>
    <x v="583"/>
    <x v="576"/>
    <x v="997"/>
    <x v="1"/>
    <x v="2"/>
    <x v="588"/>
    <x v="203"/>
    <x v="2"/>
    <x v="0"/>
    <x v="2"/>
    <x v="0"/>
    <x v="1"/>
    <x v="1"/>
    <x v="1"/>
    <x v="2"/>
    <x v="1"/>
    <x v="2"/>
    <x v="1"/>
    <x v="2"/>
    <x v="0"/>
    <x v="1"/>
    <x v="1"/>
    <x v="2"/>
    <x v="591"/>
    <x v="12"/>
    <x v="0"/>
    <x v="0"/>
    <x v="1"/>
    <x v="0"/>
    <x v="0"/>
    <x v="0"/>
    <x v="0"/>
  </r>
  <r>
    <x v="1248"/>
    <x v="596"/>
    <x v="582"/>
    <x v="575"/>
    <x v="998"/>
    <x v="1"/>
    <x v="3"/>
    <x v="587"/>
    <x v="10"/>
    <x v="1"/>
    <x v="161"/>
    <x v="0"/>
    <x v="0"/>
    <x v="3"/>
    <x v="1"/>
    <x v="1"/>
    <x v="2"/>
    <x v="1"/>
    <x v="2"/>
    <x v="1"/>
    <x v="1"/>
    <x v="286"/>
    <x v="1"/>
    <x v="3"/>
    <x v="4"/>
    <x v="590"/>
    <x v="1"/>
    <x v="1"/>
    <x v="4"/>
    <x v="1"/>
    <x v="0"/>
    <x v="718"/>
    <x v="0"/>
    <x v="0"/>
  </r>
  <r>
    <x v="1249"/>
    <x v="464"/>
    <x v="460"/>
    <x v="454"/>
    <x v="0"/>
    <x v="1"/>
    <x v="2"/>
    <x v="469"/>
    <x v="423"/>
    <x v="6"/>
    <x v="0"/>
    <x v="0"/>
    <x v="10"/>
    <x v="3"/>
    <x v="4"/>
    <x v="1"/>
    <x v="2"/>
    <x v="1"/>
    <x v="2"/>
    <x v="1"/>
    <x v="2"/>
    <x v="0"/>
    <x v="2"/>
    <x v="3"/>
    <x v="4"/>
    <x v="462"/>
    <x v="1"/>
    <x v="0"/>
    <x v="0"/>
    <x v="1"/>
    <x v="0"/>
    <x v="0"/>
    <x v="0"/>
    <x v="0"/>
  </r>
  <r>
    <x v="1250"/>
    <x v="596"/>
    <x v="582"/>
    <x v="575"/>
    <x v="0"/>
    <x v="1"/>
    <x v="3"/>
    <x v="587"/>
    <x v="10"/>
    <x v="1"/>
    <x v="161"/>
    <x v="0"/>
    <x v="0"/>
    <x v="3"/>
    <x v="1"/>
    <x v="1"/>
    <x v="2"/>
    <x v="1"/>
    <x v="2"/>
    <x v="1"/>
    <x v="2"/>
    <x v="0"/>
    <x v="2"/>
    <x v="3"/>
    <x v="4"/>
    <x v="590"/>
    <x v="1"/>
    <x v="0"/>
    <x v="0"/>
    <x v="1"/>
    <x v="0"/>
    <x v="0"/>
    <x v="0"/>
    <x v="0"/>
  </r>
  <r>
    <x v="1251"/>
    <x v="590"/>
    <x v="578"/>
    <x v="571"/>
    <x v="999"/>
    <x v="1"/>
    <x v="1"/>
    <x v="583"/>
    <x v="422"/>
    <x v="1"/>
    <x v="27"/>
    <x v="0"/>
    <x v="0"/>
    <x v="3"/>
    <x v="1"/>
    <x v="1"/>
    <x v="2"/>
    <x v="1"/>
    <x v="2"/>
    <x v="1"/>
    <x v="2"/>
    <x v="0"/>
    <x v="2"/>
    <x v="3"/>
    <x v="4"/>
    <x v="586"/>
    <x v="1"/>
    <x v="0"/>
    <x v="0"/>
    <x v="1"/>
    <x v="0"/>
    <x v="0"/>
    <x v="0"/>
    <x v="0"/>
  </r>
  <r>
    <x v="1252"/>
    <x v="597"/>
    <x v="584"/>
    <x v="577"/>
    <x v="1000"/>
    <x v="1"/>
    <x v="2"/>
    <x v="589"/>
    <x v="10"/>
    <x v="1"/>
    <x v="31"/>
    <x v="0"/>
    <x v="0"/>
    <x v="1"/>
    <x v="7"/>
    <x v="3"/>
    <x v="2"/>
    <x v="1"/>
    <x v="1"/>
    <x v="1"/>
    <x v="1"/>
    <x v="287"/>
    <x v="1"/>
    <x v="6"/>
    <x v="3"/>
    <x v="592"/>
    <x v="14"/>
    <x v="3"/>
    <x v="0"/>
    <x v="1"/>
    <x v="0"/>
    <x v="719"/>
    <x v="350"/>
    <x v="0"/>
  </r>
  <r>
    <x v="1253"/>
    <x v="491"/>
    <x v="484"/>
    <x v="478"/>
    <x v="1001"/>
    <x v="1"/>
    <x v="2"/>
    <x v="499"/>
    <x v="384"/>
    <x v="6"/>
    <x v="0"/>
    <x v="0"/>
    <x v="27"/>
    <x v="1"/>
    <x v="1"/>
    <x v="1"/>
    <x v="2"/>
    <x v="1"/>
    <x v="2"/>
    <x v="1"/>
    <x v="1"/>
    <x v="287"/>
    <x v="1"/>
    <x v="6"/>
    <x v="3"/>
    <x v="488"/>
    <x v="14"/>
    <x v="3"/>
    <x v="0"/>
    <x v="1"/>
    <x v="0"/>
    <x v="720"/>
    <x v="351"/>
    <x v="0"/>
  </r>
  <r>
    <x v="1254"/>
    <x v="598"/>
    <x v="585"/>
    <x v="578"/>
    <x v="1002"/>
    <x v="1"/>
    <x v="2"/>
    <x v="590"/>
    <x v="424"/>
    <x v="1"/>
    <x v="3"/>
    <x v="0"/>
    <x v="0"/>
    <x v="1"/>
    <x v="3"/>
    <x v="2"/>
    <x v="1"/>
    <x v="1"/>
    <x v="2"/>
    <x v="1"/>
    <x v="1"/>
    <x v="288"/>
    <x v="1"/>
    <x v="4"/>
    <x v="2"/>
    <x v="593"/>
    <x v="3"/>
    <x v="1"/>
    <x v="1"/>
    <x v="1"/>
    <x v="0"/>
    <x v="721"/>
    <x v="352"/>
    <x v="0"/>
  </r>
  <r>
    <x v="1255"/>
    <x v="562"/>
    <x v="491"/>
    <x v="484"/>
    <x v="1003"/>
    <x v="3"/>
    <x v="2"/>
    <x v="500"/>
    <x v="323"/>
    <x v="1"/>
    <x v="2"/>
    <x v="0"/>
    <x v="0"/>
    <x v="1"/>
    <x v="1"/>
    <x v="1"/>
    <x v="1"/>
    <x v="2"/>
    <x v="2"/>
    <x v="1"/>
    <x v="2"/>
    <x v="0"/>
    <x v="1"/>
    <x v="5"/>
    <x v="2"/>
    <x v="494"/>
    <x v="3"/>
    <x v="0"/>
    <x v="0"/>
    <x v="1"/>
    <x v="0"/>
    <x v="0"/>
    <x v="0"/>
    <x v="0"/>
  </r>
  <r>
    <x v="1256"/>
    <x v="575"/>
    <x v="563"/>
    <x v="556"/>
    <x v="0"/>
    <x v="1"/>
    <x v="2"/>
    <x v="571"/>
    <x v="414"/>
    <x v="1"/>
    <x v="22"/>
    <x v="0"/>
    <x v="0"/>
    <x v="3"/>
    <x v="1"/>
    <x v="1"/>
    <x v="2"/>
    <x v="1"/>
    <x v="2"/>
    <x v="1"/>
    <x v="2"/>
    <x v="0"/>
    <x v="2"/>
    <x v="3"/>
    <x v="4"/>
    <x v="569"/>
    <x v="1"/>
    <x v="0"/>
    <x v="0"/>
    <x v="1"/>
    <x v="0"/>
    <x v="0"/>
    <x v="0"/>
    <x v="0"/>
  </r>
  <r>
    <x v="1257"/>
    <x v="460"/>
    <x v="456"/>
    <x v="450"/>
    <x v="1004"/>
    <x v="1"/>
    <x v="2"/>
    <x v="465"/>
    <x v="199"/>
    <x v="1"/>
    <x v="2"/>
    <x v="0"/>
    <x v="0"/>
    <x v="1"/>
    <x v="3"/>
    <x v="3"/>
    <x v="1"/>
    <x v="1"/>
    <x v="2"/>
    <x v="1"/>
    <x v="1"/>
    <x v="280"/>
    <x v="1"/>
    <x v="1"/>
    <x v="2"/>
    <x v="458"/>
    <x v="2"/>
    <x v="3"/>
    <x v="0"/>
    <x v="1"/>
    <x v="0"/>
    <x v="722"/>
    <x v="353"/>
    <x v="347"/>
  </r>
  <r>
    <x v="1258"/>
    <x v="599"/>
    <x v="586"/>
    <x v="579"/>
    <x v="1005"/>
    <x v="1"/>
    <x v="1"/>
    <x v="347"/>
    <x v="425"/>
    <x v="1"/>
    <x v="2"/>
    <x v="0"/>
    <x v="0"/>
    <x v="1"/>
    <x v="2"/>
    <x v="3"/>
    <x v="1"/>
    <x v="1"/>
    <x v="2"/>
    <x v="1"/>
    <x v="1"/>
    <x v="289"/>
    <x v="1"/>
    <x v="1"/>
    <x v="2"/>
    <x v="594"/>
    <x v="2"/>
    <x v="1"/>
    <x v="1"/>
    <x v="1"/>
    <x v="0"/>
    <x v="723"/>
    <x v="0"/>
    <x v="0"/>
  </r>
  <r>
    <x v="1259"/>
    <x v="335"/>
    <x v="335"/>
    <x v="330"/>
    <x v="1006"/>
    <x v="1"/>
    <x v="2"/>
    <x v="350"/>
    <x v="269"/>
    <x v="1"/>
    <x v="3"/>
    <x v="0"/>
    <x v="0"/>
    <x v="1"/>
    <x v="3"/>
    <x v="2"/>
    <x v="1"/>
    <x v="1"/>
    <x v="2"/>
    <x v="1"/>
    <x v="1"/>
    <x v="289"/>
    <x v="1"/>
    <x v="1"/>
    <x v="2"/>
    <x v="337"/>
    <x v="5"/>
    <x v="3"/>
    <x v="0"/>
    <x v="1"/>
    <x v="0"/>
    <x v="724"/>
    <x v="354"/>
    <x v="0"/>
  </r>
  <r>
    <x v="1260"/>
    <x v="599"/>
    <x v="586"/>
    <x v="579"/>
    <x v="0"/>
    <x v="1"/>
    <x v="1"/>
    <x v="347"/>
    <x v="425"/>
    <x v="1"/>
    <x v="2"/>
    <x v="0"/>
    <x v="0"/>
    <x v="3"/>
    <x v="4"/>
    <x v="1"/>
    <x v="2"/>
    <x v="1"/>
    <x v="2"/>
    <x v="1"/>
    <x v="2"/>
    <x v="0"/>
    <x v="2"/>
    <x v="3"/>
    <x v="4"/>
    <x v="594"/>
    <x v="5"/>
    <x v="0"/>
    <x v="0"/>
    <x v="1"/>
    <x v="0"/>
    <x v="0"/>
    <x v="0"/>
    <x v="0"/>
  </r>
  <r>
    <x v="1261"/>
    <x v="600"/>
    <x v="587"/>
    <x v="580"/>
    <x v="1007"/>
    <x v="3"/>
    <x v="4"/>
    <x v="591"/>
    <x v="359"/>
    <x v="1"/>
    <x v="15"/>
    <x v="0"/>
    <x v="0"/>
    <x v="1"/>
    <x v="3"/>
    <x v="3"/>
    <x v="2"/>
    <x v="2"/>
    <x v="2"/>
    <x v="1"/>
    <x v="1"/>
    <x v="288"/>
    <x v="1"/>
    <x v="5"/>
    <x v="2"/>
    <x v="595"/>
    <x v="5"/>
    <x v="3"/>
    <x v="0"/>
    <x v="1"/>
    <x v="0"/>
    <x v="725"/>
    <x v="355"/>
    <x v="348"/>
  </r>
  <r>
    <x v="1262"/>
    <x v="471"/>
    <x v="466"/>
    <x v="460"/>
    <x v="1008"/>
    <x v="1"/>
    <x v="2"/>
    <x v="476"/>
    <x v="341"/>
    <x v="1"/>
    <x v="33"/>
    <x v="0"/>
    <x v="0"/>
    <x v="1"/>
    <x v="3"/>
    <x v="2"/>
    <x v="2"/>
    <x v="1"/>
    <x v="3"/>
    <x v="1"/>
    <x v="1"/>
    <x v="288"/>
    <x v="1"/>
    <x v="2"/>
    <x v="3"/>
    <x v="468"/>
    <x v="5"/>
    <x v="1"/>
    <x v="1"/>
    <x v="1"/>
    <x v="0"/>
    <x v="726"/>
    <x v="0"/>
    <x v="194"/>
  </r>
  <r>
    <x v="1263"/>
    <x v="601"/>
    <x v="588"/>
    <x v="581"/>
    <x v="1009"/>
    <x v="1"/>
    <x v="2"/>
    <x v="592"/>
    <x v="10"/>
    <x v="2"/>
    <x v="0"/>
    <x v="2"/>
    <x v="0"/>
    <x v="1"/>
    <x v="3"/>
    <x v="3"/>
    <x v="2"/>
    <x v="1"/>
    <x v="1"/>
    <x v="1"/>
    <x v="1"/>
    <x v="288"/>
    <x v="2"/>
    <x v="1"/>
    <x v="2"/>
    <x v="596"/>
    <x v="14"/>
    <x v="1"/>
    <x v="13"/>
    <x v="1"/>
    <x v="0"/>
    <x v="727"/>
    <x v="0"/>
    <x v="349"/>
  </r>
  <r>
    <x v="1264"/>
    <x v="602"/>
    <x v="589"/>
    <x v="582"/>
    <x v="1010"/>
    <x v="1"/>
    <x v="2"/>
    <x v="593"/>
    <x v="351"/>
    <x v="1"/>
    <x v="240"/>
    <x v="0"/>
    <x v="0"/>
    <x v="1"/>
    <x v="5"/>
    <x v="4"/>
    <x v="1"/>
    <x v="1"/>
    <x v="2"/>
    <x v="1"/>
    <x v="1"/>
    <x v="290"/>
    <x v="1"/>
    <x v="1"/>
    <x v="13"/>
    <x v="597"/>
    <x v="15"/>
    <x v="3"/>
    <x v="0"/>
    <x v="1"/>
    <x v="0"/>
    <x v="728"/>
    <x v="356"/>
    <x v="350"/>
  </r>
  <r>
    <x v="1265"/>
    <x v="471"/>
    <x v="466"/>
    <x v="460"/>
    <x v="0"/>
    <x v="1"/>
    <x v="2"/>
    <x v="476"/>
    <x v="341"/>
    <x v="1"/>
    <x v="33"/>
    <x v="0"/>
    <x v="0"/>
    <x v="3"/>
    <x v="1"/>
    <x v="2"/>
    <x v="2"/>
    <x v="1"/>
    <x v="3"/>
    <x v="1"/>
    <x v="1"/>
    <x v="291"/>
    <x v="2"/>
    <x v="3"/>
    <x v="4"/>
    <x v="468"/>
    <x v="5"/>
    <x v="1"/>
    <x v="5"/>
    <x v="1"/>
    <x v="1"/>
    <x v="729"/>
    <x v="357"/>
    <x v="198"/>
  </r>
  <r>
    <x v="1266"/>
    <x v="601"/>
    <x v="588"/>
    <x v="581"/>
    <x v="0"/>
    <x v="1"/>
    <x v="2"/>
    <x v="592"/>
    <x v="10"/>
    <x v="2"/>
    <x v="0"/>
    <x v="2"/>
    <x v="0"/>
    <x v="3"/>
    <x v="4"/>
    <x v="1"/>
    <x v="2"/>
    <x v="1"/>
    <x v="2"/>
    <x v="1"/>
    <x v="2"/>
    <x v="0"/>
    <x v="2"/>
    <x v="3"/>
    <x v="4"/>
    <x v="598"/>
    <x v="14"/>
    <x v="0"/>
    <x v="0"/>
    <x v="1"/>
    <x v="0"/>
    <x v="0"/>
    <x v="0"/>
    <x v="0"/>
  </r>
  <r>
    <x v="1267"/>
    <x v="598"/>
    <x v="585"/>
    <x v="578"/>
    <x v="0"/>
    <x v="1"/>
    <x v="2"/>
    <x v="590"/>
    <x v="424"/>
    <x v="1"/>
    <x v="3"/>
    <x v="0"/>
    <x v="0"/>
    <x v="3"/>
    <x v="6"/>
    <x v="2"/>
    <x v="2"/>
    <x v="1"/>
    <x v="2"/>
    <x v="1"/>
    <x v="1"/>
    <x v="292"/>
    <x v="2"/>
    <x v="3"/>
    <x v="4"/>
    <x v="593"/>
    <x v="5"/>
    <x v="1"/>
    <x v="1"/>
    <x v="1"/>
    <x v="0"/>
    <x v="730"/>
    <x v="0"/>
    <x v="0"/>
  </r>
  <r>
    <x v="1268"/>
    <x v="603"/>
    <x v="590"/>
    <x v="583"/>
    <x v="1011"/>
    <x v="1"/>
    <x v="2"/>
    <x v="594"/>
    <x v="244"/>
    <x v="1"/>
    <x v="241"/>
    <x v="0"/>
    <x v="0"/>
    <x v="1"/>
    <x v="1"/>
    <x v="2"/>
    <x v="1"/>
    <x v="1"/>
    <x v="2"/>
    <x v="1"/>
    <x v="2"/>
    <x v="0"/>
    <x v="1"/>
    <x v="5"/>
    <x v="2"/>
    <x v="599"/>
    <x v="5"/>
    <x v="0"/>
    <x v="0"/>
    <x v="1"/>
    <x v="0"/>
    <x v="0"/>
    <x v="0"/>
    <x v="0"/>
  </r>
  <r>
    <x v="1269"/>
    <x v="604"/>
    <x v="591"/>
    <x v="584"/>
    <x v="1012"/>
    <x v="1"/>
    <x v="2"/>
    <x v="595"/>
    <x v="426"/>
    <x v="1"/>
    <x v="22"/>
    <x v="0"/>
    <x v="0"/>
    <x v="1"/>
    <x v="2"/>
    <x v="3"/>
    <x v="1"/>
    <x v="1"/>
    <x v="2"/>
    <x v="1"/>
    <x v="1"/>
    <x v="291"/>
    <x v="1"/>
    <x v="1"/>
    <x v="2"/>
    <x v="600"/>
    <x v="17"/>
    <x v="3"/>
    <x v="0"/>
    <x v="1"/>
    <x v="0"/>
    <x v="729"/>
    <x v="358"/>
    <x v="0"/>
  </r>
  <r>
    <x v="1270"/>
    <x v="471"/>
    <x v="466"/>
    <x v="460"/>
    <x v="1013"/>
    <x v="1"/>
    <x v="2"/>
    <x v="476"/>
    <x v="341"/>
    <x v="1"/>
    <x v="33"/>
    <x v="0"/>
    <x v="0"/>
    <x v="3"/>
    <x v="1"/>
    <x v="1"/>
    <x v="2"/>
    <x v="1"/>
    <x v="3"/>
    <x v="1"/>
    <x v="1"/>
    <x v="293"/>
    <x v="1"/>
    <x v="3"/>
    <x v="4"/>
    <x v="468"/>
    <x v="2"/>
    <x v="3"/>
    <x v="0"/>
    <x v="1"/>
    <x v="0"/>
    <x v="731"/>
    <x v="359"/>
    <x v="0"/>
  </r>
  <r>
    <x v="1271"/>
    <x v="605"/>
    <x v="592"/>
    <x v="585"/>
    <x v="1014"/>
    <x v="1"/>
    <x v="2"/>
    <x v="101"/>
    <x v="255"/>
    <x v="1"/>
    <x v="242"/>
    <x v="0"/>
    <x v="0"/>
    <x v="1"/>
    <x v="1"/>
    <x v="1"/>
    <x v="2"/>
    <x v="1"/>
    <x v="3"/>
    <x v="1"/>
    <x v="2"/>
    <x v="0"/>
    <x v="1"/>
    <x v="5"/>
    <x v="3"/>
    <x v="601"/>
    <x v="18"/>
    <x v="0"/>
    <x v="0"/>
    <x v="0"/>
    <x v="0"/>
    <x v="0"/>
    <x v="0"/>
    <x v="0"/>
  </r>
  <r>
    <x v="1272"/>
    <x v="428"/>
    <x v="425"/>
    <x v="420"/>
    <x v="1015"/>
    <x v="3"/>
    <x v="3"/>
    <x v="437"/>
    <x v="324"/>
    <x v="1"/>
    <x v="2"/>
    <x v="0"/>
    <x v="0"/>
    <x v="1"/>
    <x v="1"/>
    <x v="1"/>
    <x v="2"/>
    <x v="1"/>
    <x v="3"/>
    <x v="1"/>
    <x v="2"/>
    <x v="0"/>
    <x v="1"/>
    <x v="5"/>
    <x v="3"/>
    <x v="428"/>
    <x v="18"/>
    <x v="0"/>
    <x v="0"/>
    <x v="0"/>
    <x v="0"/>
    <x v="0"/>
    <x v="0"/>
    <x v="0"/>
  </r>
  <r>
    <x v="1273"/>
    <x v="540"/>
    <x v="532"/>
    <x v="524"/>
    <x v="1016"/>
    <x v="1"/>
    <x v="2"/>
    <x v="543"/>
    <x v="427"/>
    <x v="1"/>
    <x v="33"/>
    <x v="0"/>
    <x v="0"/>
    <x v="1"/>
    <x v="2"/>
    <x v="3"/>
    <x v="2"/>
    <x v="1"/>
    <x v="3"/>
    <x v="1"/>
    <x v="1"/>
    <x v="293"/>
    <x v="1"/>
    <x v="6"/>
    <x v="3"/>
    <x v="535"/>
    <x v="19"/>
    <x v="1"/>
    <x v="13"/>
    <x v="2"/>
    <x v="1"/>
    <x v="0"/>
    <x v="0"/>
    <x v="351"/>
  </r>
  <r>
    <x v="1274"/>
    <x v="598"/>
    <x v="585"/>
    <x v="578"/>
    <x v="0"/>
    <x v="1"/>
    <x v="2"/>
    <x v="590"/>
    <x v="424"/>
    <x v="1"/>
    <x v="3"/>
    <x v="0"/>
    <x v="0"/>
    <x v="3"/>
    <x v="1"/>
    <x v="2"/>
    <x v="2"/>
    <x v="1"/>
    <x v="2"/>
    <x v="1"/>
    <x v="1"/>
    <x v="290"/>
    <x v="2"/>
    <x v="3"/>
    <x v="4"/>
    <x v="593"/>
    <x v="5"/>
    <x v="1"/>
    <x v="3"/>
    <x v="1"/>
    <x v="0"/>
    <x v="732"/>
    <x v="0"/>
    <x v="0"/>
  </r>
  <r>
    <x v="1275"/>
    <x v="606"/>
    <x v="395"/>
    <x v="390"/>
    <x v="1017"/>
    <x v="3"/>
    <x v="2"/>
    <x v="347"/>
    <x v="374"/>
    <x v="1"/>
    <x v="243"/>
    <x v="0"/>
    <x v="0"/>
    <x v="1"/>
    <x v="2"/>
    <x v="3"/>
    <x v="2"/>
    <x v="1"/>
    <x v="3"/>
    <x v="1"/>
    <x v="1"/>
    <x v="293"/>
    <x v="1"/>
    <x v="6"/>
    <x v="3"/>
    <x v="398"/>
    <x v="19"/>
    <x v="3"/>
    <x v="0"/>
    <x v="1"/>
    <x v="0"/>
    <x v="733"/>
    <x v="360"/>
    <x v="0"/>
  </r>
  <r>
    <x v="1276"/>
    <x v="540"/>
    <x v="532"/>
    <x v="524"/>
    <x v="1018"/>
    <x v="1"/>
    <x v="2"/>
    <x v="543"/>
    <x v="428"/>
    <x v="1"/>
    <x v="33"/>
    <x v="0"/>
    <x v="0"/>
    <x v="3"/>
    <x v="1"/>
    <x v="1"/>
    <x v="2"/>
    <x v="1"/>
    <x v="2"/>
    <x v="1"/>
    <x v="1"/>
    <x v="294"/>
    <x v="1"/>
    <x v="3"/>
    <x v="4"/>
    <x v="535"/>
    <x v="14"/>
    <x v="1"/>
    <x v="1"/>
    <x v="1"/>
    <x v="0"/>
    <x v="734"/>
    <x v="361"/>
    <x v="351"/>
  </r>
  <r>
    <x v="1277"/>
    <x v="607"/>
    <x v="593"/>
    <x v="586"/>
    <x v="1019"/>
    <x v="3"/>
    <x v="2"/>
    <x v="596"/>
    <x v="429"/>
    <x v="1"/>
    <x v="9"/>
    <x v="0"/>
    <x v="0"/>
    <x v="1"/>
    <x v="1"/>
    <x v="1"/>
    <x v="2"/>
    <x v="1"/>
    <x v="1"/>
    <x v="1"/>
    <x v="1"/>
    <x v="294"/>
    <x v="1"/>
    <x v="6"/>
    <x v="3"/>
    <x v="602"/>
    <x v="14"/>
    <x v="1"/>
    <x v="14"/>
    <x v="1"/>
    <x v="0"/>
    <x v="735"/>
    <x v="362"/>
    <x v="0"/>
  </r>
  <r>
    <x v="1278"/>
    <x v="608"/>
    <x v="594"/>
    <x v="587"/>
    <x v="1020"/>
    <x v="3"/>
    <x v="1"/>
    <x v="597"/>
    <x v="430"/>
    <x v="1"/>
    <x v="33"/>
    <x v="0"/>
    <x v="0"/>
    <x v="1"/>
    <x v="3"/>
    <x v="2"/>
    <x v="2"/>
    <x v="1"/>
    <x v="3"/>
    <x v="1"/>
    <x v="1"/>
    <x v="295"/>
    <x v="1"/>
    <x v="2"/>
    <x v="2"/>
    <x v="603"/>
    <x v="5"/>
    <x v="1"/>
    <x v="3"/>
    <x v="2"/>
    <x v="1"/>
    <x v="736"/>
    <x v="0"/>
    <x v="0"/>
  </r>
  <r>
    <x v="1279"/>
    <x v="609"/>
    <x v="595"/>
    <x v="588"/>
    <x v="1021"/>
    <x v="3"/>
    <x v="2"/>
    <x v="598"/>
    <x v="196"/>
    <x v="6"/>
    <x v="0"/>
    <x v="0"/>
    <x v="4"/>
    <x v="1"/>
    <x v="3"/>
    <x v="2"/>
    <x v="1"/>
    <x v="1"/>
    <x v="3"/>
    <x v="1"/>
    <x v="1"/>
    <x v="295"/>
    <x v="1"/>
    <x v="1"/>
    <x v="2"/>
    <x v="604"/>
    <x v="2"/>
    <x v="1"/>
    <x v="3"/>
    <x v="2"/>
    <x v="1"/>
    <x v="737"/>
    <x v="363"/>
    <x v="352"/>
  </r>
  <r>
    <x v="1280"/>
    <x v="540"/>
    <x v="532"/>
    <x v="524"/>
    <x v="0"/>
    <x v="1"/>
    <x v="2"/>
    <x v="543"/>
    <x v="428"/>
    <x v="1"/>
    <x v="33"/>
    <x v="0"/>
    <x v="0"/>
    <x v="3"/>
    <x v="1"/>
    <x v="1"/>
    <x v="1"/>
    <x v="1"/>
    <x v="2"/>
    <x v="1"/>
    <x v="1"/>
    <x v="295"/>
    <x v="2"/>
    <x v="3"/>
    <x v="4"/>
    <x v="535"/>
    <x v="5"/>
    <x v="1"/>
    <x v="15"/>
    <x v="2"/>
    <x v="1"/>
    <x v="738"/>
    <x v="0"/>
    <x v="351"/>
  </r>
  <r>
    <x v="1281"/>
    <x v="607"/>
    <x v="593"/>
    <x v="586"/>
    <x v="0"/>
    <x v="3"/>
    <x v="1"/>
    <x v="596"/>
    <x v="429"/>
    <x v="1"/>
    <x v="9"/>
    <x v="0"/>
    <x v="0"/>
    <x v="3"/>
    <x v="1"/>
    <x v="1"/>
    <x v="2"/>
    <x v="1"/>
    <x v="1"/>
    <x v="1"/>
    <x v="2"/>
    <x v="0"/>
    <x v="2"/>
    <x v="3"/>
    <x v="4"/>
    <x v="602"/>
    <x v="15"/>
    <x v="1"/>
    <x v="0"/>
    <x v="1"/>
    <x v="0"/>
    <x v="0"/>
    <x v="0"/>
    <x v="0"/>
  </r>
  <r>
    <x v="1282"/>
    <x v="576"/>
    <x v="565"/>
    <x v="558"/>
    <x v="1022"/>
    <x v="3"/>
    <x v="3"/>
    <x v="572"/>
    <x v="415"/>
    <x v="6"/>
    <x v="0"/>
    <x v="0"/>
    <x v="10"/>
    <x v="1"/>
    <x v="1"/>
    <x v="1"/>
    <x v="1"/>
    <x v="1"/>
    <x v="2"/>
    <x v="1"/>
    <x v="1"/>
    <x v="290"/>
    <x v="1"/>
    <x v="1"/>
    <x v="2"/>
    <x v="572"/>
    <x v="15"/>
    <x v="1"/>
    <x v="14"/>
    <x v="2"/>
    <x v="1"/>
    <x v="0"/>
    <x v="0"/>
    <x v="0"/>
  </r>
  <r>
    <x v="1283"/>
    <x v="446"/>
    <x v="442"/>
    <x v="437"/>
    <x v="1023"/>
    <x v="1"/>
    <x v="6"/>
    <x v="452"/>
    <x v="343"/>
    <x v="6"/>
    <x v="0"/>
    <x v="0"/>
    <x v="28"/>
    <x v="1"/>
    <x v="2"/>
    <x v="3"/>
    <x v="2"/>
    <x v="1"/>
    <x v="2"/>
    <x v="2"/>
    <x v="1"/>
    <x v="290"/>
    <x v="1"/>
    <x v="1"/>
    <x v="2"/>
    <x v="445"/>
    <x v="19"/>
    <x v="1"/>
    <x v="14"/>
    <x v="1"/>
    <x v="0"/>
    <x v="0"/>
    <x v="0"/>
    <x v="0"/>
  </r>
  <r>
    <x v="1284"/>
    <x v="608"/>
    <x v="594"/>
    <x v="587"/>
    <x v="1024"/>
    <x v="3"/>
    <x v="2"/>
    <x v="597"/>
    <x v="430"/>
    <x v="1"/>
    <x v="15"/>
    <x v="0"/>
    <x v="0"/>
    <x v="3"/>
    <x v="2"/>
    <x v="3"/>
    <x v="2"/>
    <x v="1"/>
    <x v="1"/>
    <x v="1"/>
    <x v="1"/>
    <x v="290"/>
    <x v="1"/>
    <x v="3"/>
    <x v="4"/>
    <x v="603"/>
    <x v="3"/>
    <x v="1"/>
    <x v="14"/>
    <x v="2"/>
    <x v="1"/>
    <x v="0"/>
    <x v="0"/>
    <x v="0"/>
  </r>
  <r>
    <x v="1285"/>
    <x v="610"/>
    <x v="596"/>
    <x v="589"/>
    <x v="1025"/>
    <x v="1"/>
    <x v="2"/>
    <x v="599"/>
    <x v="431"/>
    <x v="1"/>
    <x v="15"/>
    <x v="0"/>
    <x v="0"/>
    <x v="1"/>
    <x v="2"/>
    <x v="3"/>
    <x v="2"/>
    <x v="1"/>
    <x v="1"/>
    <x v="1"/>
    <x v="1"/>
    <x v="290"/>
    <x v="1"/>
    <x v="1"/>
    <x v="2"/>
    <x v="605"/>
    <x v="3"/>
    <x v="1"/>
    <x v="3"/>
    <x v="2"/>
    <x v="1"/>
    <x v="739"/>
    <x v="0"/>
    <x v="0"/>
  </r>
  <r>
    <x v="1286"/>
    <x v="540"/>
    <x v="532"/>
    <x v="524"/>
    <x v="1026"/>
    <x v="1"/>
    <x v="6"/>
    <x v="543"/>
    <x v="428"/>
    <x v="1"/>
    <x v="33"/>
    <x v="0"/>
    <x v="0"/>
    <x v="3"/>
    <x v="1"/>
    <x v="1"/>
    <x v="2"/>
    <x v="1"/>
    <x v="2"/>
    <x v="1"/>
    <x v="1"/>
    <x v="290"/>
    <x v="1"/>
    <x v="1"/>
    <x v="2"/>
    <x v="535"/>
    <x v="19"/>
    <x v="1"/>
    <x v="16"/>
    <x v="2"/>
    <x v="1"/>
    <x v="740"/>
    <x v="0"/>
    <x v="351"/>
  </r>
  <r>
    <x v="1287"/>
    <x v="609"/>
    <x v="595"/>
    <x v="588"/>
    <x v="1027"/>
    <x v="3"/>
    <x v="2"/>
    <x v="598"/>
    <x v="79"/>
    <x v="6"/>
    <x v="0"/>
    <x v="0"/>
    <x v="4"/>
    <x v="3"/>
    <x v="3"/>
    <x v="3"/>
    <x v="1"/>
    <x v="1"/>
    <x v="2"/>
    <x v="1"/>
    <x v="1"/>
    <x v="290"/>
    <x v="1"/>
    <x v="3"/>
    <x v="4"/>
    <x v="604"/>
    <x v="3"/>
    <x v="1"/>
    <x v="14"/>
    <x v="2"/>
    <x v="1"/>
    <x v="741"/>
    <x v="0"/>
    <x v="0"/>
  </r>
  <r>
    <x v="1288"/>
    <x v="598"/>
    <x v="585"/>
    <x v="578"/>
    <x v="0"/>
    <x v="1"/>
    <x v="2"/>
    <x v="590"/>
    <x v="424"/>
    <x v="1"/>
    <x v="3"/>
    <x v="0"/>
    <x v="0"/>
    <x v="3"/>
    <x v="5"/>
    <x v="1"/>
    <x v="2"/>
    <x v="1"/>
    <x v="1"/>
    <x v="1"/>
    <x v="2"/>
    <x v="0"/>
    <x v="2"/>
    <x v="3"/>
    <x v="4"/>
    <x v="593"/>
    <x v="3"/>
    <x v="0"/>
    <x v="0"/>
    <x v="1"/>
    <x v="0"/>
    <x v="0"/>
    <x v="0"/>
    <x v="0"/>
  </r>
  <r>
    <x v="1289"/>
    <x v="576"/>
    <x v="565"/>
    <x v="558"/>
    <x v="0"/>
    <x v="3"/>
    <x v="3"/>
    <x v="572"/>
    <x v="415"/>
    <x v="6"/>
    <x v="0"/>
    <x v="0"/>
    <x v="10"/>
    <x v="3"/>
    <x v="1"/>
    <x v="1"/>
    <x v="2"/>
    <x v="1"/>
    <x v="2"/>
    <x v="1"/>
    <x v="2"/>
    <x v="0"/>
    <x v="2"/>
    <x v="1"/>
    <x v="4"/>
    <x v="572"/>
    <x v="15"/>
    <x v="0"/>
    <x v="0"/>
    <x v="1"/>
    <x v="0"/>
    <x v="0"/>
    <x v="0"/>
    <x v="0"/>
  </r>
  <r>
    <x v="1290"/>
    <x v="611"/>
    <x v="597"/>
    <x v="590"/>
    <x v="1028"/>
    <x v="1"/>
    <x v="3"/>
    <x v="600"/>
    <x v="432"/>
    <x v="1"/>
    <x v="244"/>
    <x v="0"/>
    <x v="0"/>
    <x v="1"/>
    <x v="1"/>
    <x v="1"/>
    <x v="2"/>
    <x v="1"/>
    <x v="2"/>
    <x v="1"/>
    <x v="2"/>
    <x v="0"/>
    <x v="1"/>
    <x v="1"/>
    <x v="2"/>
    <x v="606"/>
    <x v="3"/>
    <x v="0"/>
    <x v="0"/>
    <x v="1"/>
    <x v="0"/>
    <x v="0"/>
    <x v="0"/>
    <x v="0"/>
  </r>
  <r>
    <x v="1291"/>
    <x v="612"/>
    <x v="598"/>
    <x v="591"/>
    <x v="1029"/>
    <x v="3"/>
    <x v="2"/>
    <x v="601"/>
    <x v="409"/>
    <x v="1"/>
    <x v="245"/>
    <x v="0"/>
    <x v="0"/>
    <x v="1"/>
    <x v="3"/>
    <x v="2"/>
    <x v="2"/>
    <x v="1"/>
    <x v="3"/>
    <x v="1"/>
    <x v="1"/>
    <x v="296"/>
    <x v="1"/>
    <x v="1"/>
    <x v="2"/>
    <x v="607"/>
    <x v="3"/>
    <x v="3"/>
    <x v="0"/>
    <x v="1"/>
    <x v="0"/>
    <x v="742"/>
    <x v="364"/>
    <x v="0"/>
  </r>
  <r>
    <x v="1292"/>
    <x v="446"/>
    <x v="442"/>
    <x v="437"/>
    <x v="0"/>
    <x v="1"/>
    <x v="2"/>
    <x v="452"/>
    <x v="433"/>
    <x v="6"/>
    <x v="0"/>
    <x v="0"/>
    <x v="29"/>
    <x v="3"/>
    <x v="1"/>
    <x v="1"/>
    <x v="2"/>
    <x v="1"/>
    <x v="2"/>
    <x v="1"/>
    <x v="2"/>
    <x v="0"/>
    <x v="2"/>
    <x v="3"/>
    <x v="4"/>
    <x v="445"/>
    <x v="15"/>
    <x v="0"/>
    <x v="0"/>
    <x v="1"/>
    <x v="0"/>
    <x v="0"/>
    <x v="0"/>
    <x v="0"/>
  </r>
  <r>
    <x v="1293"/>
    <x v="613"/>
    <x v="594"/>
    <x v="587"/>
    <x v="1030"/>
    <x v="3"/>
    <x v="2"/>
    <x v="597"/>
    <x v="430"/>
    <x v="1"/>
    <x v="15"/>
    <x v="0"/>
    <x v="0"/>
    <x v="3"/>
    <x v="1"/>
    <x v="3"/>
    <x v="2"/>
    <x v="2"/>
    <x v="1"/>
    <x v="1"/>
    <x v="1"/>
    <x v="296"/>
    <x v="2"/>
    <x v="3"/>
    <x v="4"/>
    <x v="603"/>
    <x v="15"/>
    <x v="3"/>
    <x v="0"/>
    <x v="1"/>
    <x v="0"/>
    <x v="743"/>
    <x v="365"/>
    <x v="0"/>
  </r>
  <r>
    <x v="1294"/>
    <x v="562"/>
    <x v="491"/>
    <x v="484"/>
    <x v="1031"/>
    <x v="3"/>
    <x v="3"/>
    <x v="500"/>
    <x v="323"/>
    <x v="1"/>
    <x v="246"/>
    <x v="0"/>
    <x v="0"/>
    <x v="1"/>
    <x v="1"/>
    <x v="1"/>
    <x v="2"/>
    <x v="1"/>
    <x v="2"/>
    <x v="1"/>
    <x v="2"/>
    <x v="0"/>
    <x v="1"/>
    <x v="1"/>
    <x v="2"/>
    <x v="494"/>
    <x v="3"/>
    <x v="0"/>
    <x v="0"/>
    <x v="1"/>
    <x v="0"/>
    <x v="0"/>
    <x v="0"/>
    <x v="0"/>
  </r>
  <r>
    <x v="1295"/>
    <x v="614"/>
    <x v="599"/>
    <x v="592"/>
    <x v="1032"/>
    <x v="1"/>
    <x v="1"/>
    <x v="40"/>
    <x v="434"/>
    <x v="1"/>
    <x v="15"/>
    <x v="0"/>
    <x v="0"/>
    <x v="1"/>
    <x v="1"/>
    <x v="1"/>
    <x v="2"/>
    <x v="1"/>
    <x v="2"/>
    <x v="1"/>
    <x v="2"/>
    <x v="0"/>
    <x v="1"/>
    <x v="1"/>
    <x v="2"/>
    <x v="608"/>
    <x v="3"/>
    <x v="0"/>
    <x v="0"/>
    <x v="1"/>
    <x v="0"/>
    <x v="0"/>
    <x v="0"/>
    <x v="0"/>
  </r>
  <r>
    <x v="1296"/>
    <x v="609"/>
    <x v="595"/>
    <x v="588"/>
    <x v="0"/>
    <x v="3"/>
    <x v="2"/>
    <x v="598"/>
    <x v="79"/>
    <x v="6"/>
    <x v="0"/>
    <x v="0"/>
    <x v="4"/>
    <x v="3"/>
    <x v="1"/>
    <x v="1"/>
    <x v="1"/>
    <x v="1"/>
    <x v="1"/>
    <x v="1"/>
    <x v="1"/>
    <x v="297"/>
    <x v="2"/>
    <x v="3"/>
    <x v="4"/>
    <x v="604"/>
    <x v="15"/>
    <x v="1"/>
    <x v="5"/>
    <x v="2"/>
    <x v="1"/>
    <x v="744"/>
    <x v="366"/>
    <x v="0"/>
  </r>
  <r>
    <x v="1297"/>
    <x v="540"/>
    <x v="532"/>
    <x v="524"/>
    <x v="1033"/>
    <x v="1"/>
    <x v="2"/>
    <x v="543"/>
    <x v="435"/>
    <x v="1"/>
    <x v="33"/>
    <x v="0"/>
    <x v="0"/>
    <x v="3"/>
    <x v="2"/>
    <x v="3"/>
    <x v="1"/>
    <x v="1"/>
    <x v="2"/>
    <x v="1"/>
    <x v="1"/>
    <x v="297"/>
    <x v="1"/>
    <x v="3"/>
    <x v="4"/>
    <x v="535"/>
    <x v="17"/>
    <x v="1"/>
    <x v="1"/>
    <x v="1"/>
    <x v="0"/>
    <x v="745"/>
    <x v="367"/>
    <x v="351"/>
  </r>
  <r>
    <x v="1298"/>
    <x v="615"/>
    <x v="600"/>
    <x v="593"/>
    <x v="1034"/>
    <x v="1"/>
    <x v="6"/>
    <x v="602"/>
    <x v="268"/>
    <x v="1"/>
    <x v="247"/>
    <x v="0"/>
    <x v="0"/>
    <x v="1"/>
    <x v="1"/>
    <x v="1"/>
    <x v="2"/>
    <x v="2"/>
    <x v="2"/>
    <x v="1"/>
    <x v="2"/>
    <x v="0"/>
    <x v="1"/>
    <x v="1"/>
    <x v="2"/>
    <x v="609"/>
    <x v="15"/>
    <x v="0"/>
    <x v="0"/>
    <x v="1"/>
    <x v="0"/>
    <x v="0"/>
    <x v="0"/>
    <x v="0"/>
  </r>
  <r>
    <x v="1299"/>
    <x v="610"/>
    <x v="596"/>
    <x v="589"/>
    <x v="1035"/>
    <x v="1"/>
    <x v="2"/>
    <x v="599"/>
    <x v="431"/>
    <x v="1"/>
    <x v="15"/>
    <x v="0"/>
    <x v="0"/>
    <x v="3"/>
    <x v="1"/>
    <x v="1"/>
    <x v="1"/>
    <x v="1"/>
    <x v="2"/>
    <x v="2"/>
    <x v="2"/>
    <x v="0"/>
    <x v="1"/>
    <x v="3"/>
    <x v="4"/>
    <x v="605"/>
    <x v="3"/>
    <x v="0"/>
    <x v="0"/>
    <x v="1"/>
    <x v="0"/>
    <x v="0"/>
    <x v="0"/>
    <x v="0"/>
  </r>
  <r>
    <x v="1300"/>
    <x v="616"/>
    <x v="601"/>
    <x v="594"/>
    <x v="1036"/>
    <x v="3"/>
    <x v="1"/>
    <x v="248"/>
    <x v="436"/>
    <x v="1"/>
    <x v="15"/>
    <x v="0"/>
    <x v="0"/>
    <x v="1"/>
    <x v="1"/>
    <x v="1"/>
    <x v="2"/>
    <x v="1"/>
    <x v="2"/>
    <x v="1"/>
    <x v="1"/>
    <x v="297"/>
    <x v="1"/>
    <x v="5"/>
    <x v="2"/>
    <x v="610"/>
    <x v="3"/>
    <x v="3"/>
    <x v="0"/>
    <x v="1"/>
    <x v="0"/>
    <x v="746"/>
    <x v="0"/>
    <x v="0"/>
  </r>
  <r>
    <x v="1301"/>
    <x v="617"/>
    <x v="602"/>
    <x v="595"/>
    <x v="1037"/>
    <x v="3"/>
    <x v="2"/>
    <x v="603"/>
    <x v="428"/>
    <x v="1"/>
    <x v="248"/>
    <x v="0"/>
    <x v="0"/>
    <x v="1"/>
    <x v="1"/>
    <x v="1"/>
    <x v="2"/>
    <x v="1"/>
    <x v="2"/>
    <x v="1"/>
    <x v="1"/>
    <x v="297"/>
    <x v="1"/>
    <x v="5"/>
    <x v="2"/>
    <x v="611"/>
    <x v="3"/>
    <x v="1"/>
    <x v="1"/>
    <x v="2"/>
    <x v="1"/>
    <x v="747"/>
    <x v="0"/>
    <x v="0"/>
  </r>
  <r>
    <x v="1302"/>
    <x v="618"/>
    <x v="603"/>
    <x v="596"/>
    <x v="0"/>
    <x v="1"/>
    <x v="2"/>
    <x v="604"/>
    <x v="396"/>
    <x v="1"/>
    <x v="15"/>
    <x v="0"/>
    <x v="0"/>
    <x v="1"/>
    <x v="1"/>
    <x v="1"/>
    <x v="1"/>
    <x v="1"/>
    <x v="2"/>
    <x v="1"/>
    <x v="1"/>
    <x v="298"/>
    <x v="1"/>
    <x v="5"/>
    <x v="2"/>
    <x v="612"/>
    <x v="17"/>
    <x v="3"/>
    <x v="0"/>
    <x v="1"/>
    <x v="0"/>
    <x v="748"/>
    <x v="368"/>
    <x v="0"/>
  </r>
  <r>
    <x v="1303"/>
    <x v="619"/>
    <x v="604"/>
    <x v="597"/>
    <x v="1038"/>
    <x v="1"/>
    <x v="2"/>
    <x v="605"/>
    <x v="281"/>
    <x v="1"/>
    <x v="31"/>
    <x v="0"/>
    <x v="0"/>
    <x v="1"/>
    <x v="1"/>
    <x v="1"/>
    <x v="2"/>
    <x v="1"/>
    <x v="2"/>
    <x v="1"/>
    <x v="1"/>
    <x v="296"/>
    <x v="1"/>
    <x v="4"/>
    <x v="3"/>
    <x v="613"/>
    <x v="14"/>
    <x v="1"/>
    <x v="13"/>
    <x v="2"/>
    <x v="1"/>
    <x v="749"/>
    <x v="0"/>
    <x v="353"/>
  </r>
  <r>
    <x v="1304"/>
    <x v="560"/>
    <x v="552"/>
    <x v="545"/>
    <x v="1039"/>
    <x v="1"/>
    <x v="2"/>
    <x v="606"/>
    <x v="401"/>
    <x v="1"/>
    <x v="2"/>
    <x v="0"/>
    <x v="0"/>
    <x v="1"/>
    <x v="2"/>
    <x v="3"/>
    <x v="2"/>
    <x v="1"/>
    <x v="1"/>
    <x v="1"/>
    <x v="1"/>
    <x v="297"/>
    <x v="1"/>
    <x v="6"/>
    <x v="3"/>
    <x v="557"/>
    <x v="14"/>
    <x v="3"/>
    <x v="0"/>
    <x v="1"/>
    <x v="0"/>
    <x v="750"/>
    <x v="0"/>
    <x v="0"/>
  </r>
  <r>
    <x v="1305"/>
    <x v="620"/>
    <x v="605"/>
    <x v="598"/>
    <x v="1040"/>
    <x v="1"/>
    <x v="2"/>
    <x v="607"/>
    <x v="437"/>
    <x v="1"/>
    <x v="249"/>
    <x v="0"/>
    <x v="0"/>
    <x v="1"/>
    <x v="1"/>
    <x v="1"/>
    <x v="2"/>
    <x v="1"/>
    <x v="1"/>
    <x v="1"/>
    <x v="2"/>
    <x v="0"/>
    <x v="1"/>
    <x v="6"/>
    <x v="3"/>
    <x v="614"/>
    <x v="14"/>
    <x v="0"/>
    <x v="0"/>
    <x v="1"/>
    <x v="0"/>
    <x v="0"/>
    <x v="0"/>
    <x v="0"/>
  </r>
  <r>
    <x v="1306"/>
    <x v="619"/>
    <x v="604"/>
    <x v="597"/>
    <x v="0"/>
    <x v="1"/>
    <x v="2"/>
    <x v="605"/>
    <x v="438"/>
    <x v="1"/>
    <x v="2"/>
    <x v="0"/>
    <x v="0"/>
    <x v="3"/>
    <x v="3"/>
    <x v="3"/>
    <x v="2"/>
    <x v="1"/>
    <x v="2"/>
    <x v="1"/>
    <x v="1"/>
    <x v="297"/>
    <x v="2"/>
    <x v="3"/>
    <x v="4"/>
    <x v="613"/>
    <x v="14"/>
    <x v="1"/>
    <x v="1"/>
    <x v="1"/>
    <x v="0"/>
    <x v="751"/>
    <x v="0"/>
    <x v="0"/>
  </r>
  <r>
    <x v="1307"/>
    <x v="609"/>
    <x v="595"/>
    <x v="588"/>
    <x v="1041"/>
    <x v="3"/>
    <x v="2"/>
    <x v="598"/>
    <x v="196"/>
    <x v="6"/>
    <x v="0"/>
    <x v="0"/>
    <x v="0"/>
    <x v="3"/>
    <x v="1"/>
    <x v="1"/>
    <x v="2"/>
    <x v="1"/>
    <x v="2"/>
    <x v="1"/>
    <x v="1"/>
    <x v="298"/>
    <x v="1"/>
    <x v="3"/>
    <x v="4"/>
    <x v="604"/>
    <x v="2"/>
    <x v="1"/>
    <x v="4"/>
    <x v="2"/>
    <x v="1"/>
    <x v="752"/>
    <x v="369"/>
    <x v="0"/>
  </r>
  <r>
    <x v="1308"/>
    <x v="617"/>
    <x v="602"/>
    <x v="595"/>
    <x v="1042"/>
    <x v="3"/>
    <x v="2"/>
    <x v="603"/>
    <x v="428"/>
    <x v="1"/>
    <x v="248"/>
    <x v="0"/>
    <x v="0"/>
    <x v="3"/>
    <x v="3"/>
    <x v="3"/>
    <x v="2"/>
    <x v="1"/>
    <x v="2"/>
    <x v="1"/>
    <x v="1"/>
    <x v="299"/>
    <x v="2"/>
    <x v="3"/>
    <x v="4"/>
    <x v="611"/>
    <x v="5"/>
    <x v="3"/>
    <x v="0"/>
    <x v="1"/>
    <x v="0"/>
    <x v="753"/>
    <x v="370"/>
    <x v="0"/>
  </r>
  <r>
    <x v="1309"/>
    <x v="619"/>
    <x v="604"/>
    <x v="597"/>
    <x v="0"/>
    <x v="1"/>
    <x v="2"/>
    <x v="605"/>
    <x v="281"/>
    <x v="1"/>
    <x v="2"/>
    <x v="0"/>
    <x v="0"/>
    <x v="3"/>
    <x v="1"/>
    <x v="1"/>
    <x v="2"/>
    <x v="1"/>
    <x v="2"/>
    <x v="1"/>
    <x v="2"/>
    <x v="0"/>
    <x v="2"/>
    <x v="3"/>
    <x v="4"/>
    <x v="613"/>
    <x v="5"/>
    <x v="0"/>
    <x v="0"/>
    <x v="1"/>
    <x v="0"/>
    <x v="0"/>
    <x v="0"/>
    <x v="0"/>
  </r>
  <r>
    <x v="1310"/>
    <x v="384"/>
    <x v="384"/>
    <x v="379"/>
    <x v="1043"/>
    <x v="3"/>
    <x v="2"/>
    <x v="399"/>
    <x v="308"/>
    <x v="1"/>
    <x v="250"/>
    <x v="0"/>
    <x v="0"/>
    <x v="1"/>
    <x v="3"/>
    <x v="3"/>
    <x v="2"/>
    <x v="1"/>
    <x v="2"/>
    <x v="1"/>
    <x v="2"/>
    <x v="0"/>
    <x v="1"/>
    <x v="6"/>
    <x v="3"/>
    <x v="387"/>
    <x v="2"/>
    <x v="0"/>
    <x v="0"/>
    <x v="1"/>
    <x v="0"/>
    <x v="0"/>
    <x v="0"/>
    <x v="0"/>
  </r>
  <r>
    <x v="1311"/>
    <x v="391"/>
    <x v="391"/>
    <x v="599"/>
    <x v="1044"/>
    <x v="1"/>
    <x v="2"/>
    <x v="406"/>
    <x v="281"/>
    <x v="2"/>
    <x v="0"/>
    <x v="5"/>
    <x v="0"/>
    <x v="1"/>
    <x v="2"/>
    <x v="3"/>
    <x v="2"/>
    <x v="1"/>
    <x v="2"/>
    <x v="1"/>
    <x v="1"/>
    <x v="299"/>
    <x v="1"/>
    <x v="6"/>
    <x v="2"/>
    <x v="570"/>
    <x v="5"/>
    <x v="1"/>
    <x v="13"/>
    <x v="1"/>
    <x v="0"/>
    <x v="0"/>
    <x v="0"/>
    <x v="354"/>
  </r>
  <r>
    <x v="1312"/>
    <x v="540"/>
    <x v="532"/>
    <x v="524"/>
    <x v="1045"/>
    <x v="1"/>
    <x v="2"/>
    <x v="543"/>
    <x v="428"/>
    <x v="1"/>
    <x v="33"/>
    <x v="0"/>
    <x v="0"/>
    <x v="3"/>
    <x v="3"/>
    <x v="3"/>
    <x v="2"/>
    <x v="1"/>
    <x v="2"/>
    <x v="1"/>
    <x v="1"/>
    <x v="300"/>
    <x v="1"/>
    <x v="3"/>
    <x v="4"/>
    <x v="535"/>
    <x v="5"/>
    <x v="1"/>
    <x v="15"/>
    <x v="2"/>
    <x v="1"/>
    <x v="754"/>
    <x v="0"/>
    <x v="351"/>
  </r>
  <r>
    <x v="1313"/>
    <x v="621"/>
    <x v="606"/>
    <x v="600"/>
    <x v="1046"/>
    <x v="1"/>
    <x v="3"/>
    <x v="608"/>
    <x v="10"/>
    <x v="1"/>
    <x v="251"/>
    <x v="0"/>
    <x v="0"/>
    <x v="1"/>
    <x v="1"/>
    <x v="2"/>
    <x v="2"/>
    <x v="1"/>
    <x v="2"/>
    <x v="1"/>
    <x v="1"/>
    <x v="298"/>
    <x v="1"/>
    <x v="4"/>
    <x v="3"/>
    <x v="615"/>
    <x v="14"/>
    <x v="1"/>
    <x v="4"/>
    <x v="2"/>
    <x v="1"/>
    <x v="755"/>
    <x v="0"/>
    <x v="355"/>
  </r>
  <r>
    <x v="1314"/>
    <x v="391"/>
    <x v="391"/>
    <x v="599"/>
    <x v="0"/>
    <x v="1"/>
    <x v="2"/>
    <x v="406"/>
    <x v="281"/>
    <x v="6"/>
    <x v="0"/>
    <x v="5"/>
    <x v="0"/>
    <x v="3"/>
    <x v="4"/>
    <x v="1"/>
    <x v="2"/>
    <x v="1"/>
    <x v="2"/>
    <x v="1"/>
    <x v="2"/>
    <x v="0"/>
    <x v="2"/>
    <x v="3"/>
    <x v="4"/>
    <x v="570"/>
    <x v="14"/>
    <x v="0"/>
    <x v="0"/>
    <x v="1"/>
    <x v="0"/>
    <x v="0"/>
    <x v="0"/>
    <x v="0"/>
  </r>
  <r>
    <x v="1315"/>
    <x v="622"/>
    <x v="607"/>
    <x v="601"/>
    <x v="1047"/>
    <x v="1"/>
    <x v="3"/>
    <x v="609"/>
    <x v="335"/>
    <x v="1"/>
    <x v="252"/>
    <x v="0"/>
    <x v="0"/>
    <x v="1"/>
    <x v="1"/>
    <x v="2"/>
    <x v="2"/>
    <x v="1"/>
    <x v="2"/>
    <x v="1"/>
    <x v="1"/>
    <x v="298"/>
    <x v="1"/>
    <x v="6"/>
    <x v="3"/>
    <x v="616"/>
    <x v="14"/>
    <x v="3"/>
    <x v="0"/>
    <x v="1"/>
    <x v="0"/>
    <x v="756"/>
    <x v="0"/>
    <x v="0"/>
  </r>
  <r>
    <x v="1316"/>
    <x v="623"/>
    <x v="608"/>
    <x v="602"/>
    <x v="1048"/>
    <x v="1"/>
    <x v="6"/>
    <x v="610"/>
    <x v="439"/>
    <x v="1"/>
    <x v="253"/>
    <x v="0"/>
    <x v="0"/>
    <x v="1"/>
    <x v="1"/>
    <x v="3"/>
    <x v="2"/>
    <x v="1"/>
    <x v="3"/>
    <x v="1"/>
    <x v="1"/>
    <x v="298"/>
    <x v="1"/>
    <x v="6"/>
    <x v="3"/>
    <x v="617"/>
    <x v="19"/>
    <x v="3"/>
    <x v="0"/>
    <x v="1"/>
    <x v="0"/>
    <x v="757"/>
    <x v="371"/>
    <x v="0"/>
  </r>
  <r>
    <x v="1317"/>
    <x v="540"/>
    <x v="532"/>
    <x v="524"/>
    <x v="1049"/>
    <x v="1"/>
    <x v="6"/>
    <x v="543"/>
    <x v="428"/>
    <x v="1"/>
    <x v="3"/>
    <x v="0"/>
    <x v="0"/>
    <x v="3"/>
    <x v="3"/>
    <x v="2"/>
    <x v="2"/>
    <x v="1"/>
    <x v="3"/>
    <x v="1"/>
    <x v="1"/>
    <x v="298"/>
    <x v="1"/>
    <x v="6"/>
    <x v="3"/>
    <x v="535"/>
    <x v="19"/>
    <x v="3"/>
    <x v="0"/>
    <x v="1"/>
    <x v="0"/>
    <x v="758"/>
    <x v="0"/>
    <x v="351"/>
  </r>
  <r>
    <x v="1318"/>
    <x v="624"/>
    <x v="609"/>
    <x v="603"/>
    <x v="1050"/>
    <x v="1"/>
    <x v="1"/>
    <x v="611"/>
    <x v="440"/>
    <x v="1"/>
    <x v="254"/>
    <x v="0"/>
    <x v="0"/>
    <x v="1"/>
    <x v="1"/>
    <x v="1"/>
    <x v="1"/>
    <x v="1"/>
    <x v="3"/>
    <x v="1"/>
    <x v="2"/>
    <x v="0"/>
    <x v="1"/>
    <x v="1"/>
    <x v="2"/>
    <x v="618"/>
    <x v="2"/>
    <x v="0"/>
    <x v="0"/>
    <x v="1"/>
    <x v="0"/>
    <x v="0"/>
    <x v="0"/>
    <x v="0"/>
  </r>
  <r>
    <x v="1319"/>
    <x v="625"/>
    <x v="610"/>
    <x v="604"/>
    <x v="1051"/>
    <x v="1"/>
    <x v="2"/>
    <x v="612"/>
    <x v="441"/>
    <x v="1"/>
    <x v="31"/>
    <x v="0"/>
    <x v="0"/>
    <x v="1"/>
    <x v="1"/>
    <x v="1"/>
    <x v="2"/>
    <x v="1"/>
    <x v="3"/>
    <x v="1"/>
    <x v="2"/>
    <x v="0"/>
    <x v="1"/>
    <x v="1"/>
    <x v="2"/>
    <x v="619"/>
    <x v="2"/>
    <x v="0"/>
    <x v="0"/>
    <x v="1"/>
    <x v="0"/>
    <x v="0"/>
    <x v="0"/>
    <x v="0"/>
  </r>
  <r>
    <x v="1320"/>
    <x v="626"/>
    <x v="611"/>
    <x v="605"/>
    <x v="1052"/>
    <x v="1"/>
    <x v="2"/>
    <x v="613"/>
    <x v="442"/>
    <x v="1"/>
    <x v="33"/>
    <x v="0"/>
    <x v="0"/>
    <x v="1"/>
    <x v="3"/>
    <x v="2"/>
    <x v="2"/>
    <x v="1"/>
    <x v="3"/>
    <x v="1"/>
    <x v="1"/>
    <x v="301"/>
    <x v="1"/>
    <x v="1"/>
    <x v="2"/>
    <x v="620"/>
    <x v="1"/>
    <x v="1"/>
    <x v="4"/>
    <x v="2"/>
    <x v="1"/>
    <x v="759"/>
    <x v="0"/>
    <x v="0"/>
  </r>
  <r>
    <x v="1321"/>
    <x v="627"/>
    <x v="612"/>
    <x v="606"/>
    <x v="1053"/>
    <x v="1"/>
    <x v="2"/>
    <x v="614"/>
    <x v="443"/>
    <x v="1"/>
    <x v="15"/>
    <x v="0"/>
    <x v="0"/>
    <x v="1"/>
    <x v="1"/>
    <x v="1"/>
    <x v="2"/>
    <x v="1"/>
    <x v="3"/>
    <x v="1"/>
    <x v="1"/>
    <x v="298"/>
    <x v="1"/>
    <x v="1"/>
    <x v="2"/>
    <x v="621"/>
    <x v="1"/>
    <x v="3"/>
    <x v="0"/>
    <x v="1"/>
    <x v="0"/>
    <x v="760"/>
    <x v="0"/>
    <x v="0"/>
  </r>
  <r>
    <x v="1322"/>
    <x v="628"/>
    <x v="613"/>
    <x v="607"/>
    <x v="1054"/>
    <x v="1"/>
    <x v="1"/>
    <x v="615"/>
    <x v="444"/>
    <x v="1"/>
    <x v="2"/>
    <x v="0"/>
    <x v="0"/>
    <x v="1"/>
    <x v="2"/>
    <x v="3"/>
    <x v="1"/>
    <x v="1"/>
    <x v="2"/>
    <x v="2"/>
    <x v="1"/>
    <x v="301"/>
    <x v="1"/>
    <x v="1"/>
    <x v="2"/>
    <x v="622"/>
    <x v="3"/>
    <x v="1"/>
    <x v="3"/>
    <x v="2"/>
    <x v="1"/>
    <x v="761"/>
    <x v="0"/>
    <x v="356"/>
  </r>
  <r>
    <x v="1323"/>
    <x v="609"/>
    <x v="595"/>
    <x v="588"/>
    <x v="1055"/>
    <x v="3"/>
    <x v="2"/>
    <x v="598"/>
    <x v="196"/>
    <x v="6"/>
    <x v="0"/>
    <x v="0"/>
    <x v="4"/>
    <x v="3"/>
    <x v="1"/>
    <x v="1"/>
    <x v="2"/>
    <x v="2"/>
    <x v="3"/>
    <x v="1"/>
    <x v="2"/>
    <x v="0"/>
    <x v="1"/>
    <x v="3"/>
    <x v="4"/>
    <x v="604"/>
    <x v="1"/>
    <x v="0"/>
    <x v="0"/>
    <x v="1"/>
    <x v="0"/>
    <x v="0"/>
    <x v="0"/>
    <x v="0"/>
  </r>
  <r>
    <x v="1324"/>
    <x v="621"/>
    <x v="606"/>
    <x v="600"/>
    <x v="0"/>
    <x v="1"/>
    <x v="3"/>
    <x v="608"/>
    <x v="10"/>
    <x v="1"/>
    <x v="251"/>
    <x v="0"/>
    <x v="0"/>
    <x v="3"/>
    <x v="1"/>
    <x v="1"/>
    <x v="2"/>
    <x v="1"/>
    <x v="2"/>
    <x v="1"/>
    <x v="1"/>
    <x v="301"/>
    <x v="2"/>
    <x v="3"/>
    <x v="4"/>
    <x v="615"/>
    <x v="1"/>
    <x v="3"/>
    <x v="0"/>
    <x v="1"/>
    <x v="0"/>
    <x v="762"/>
    <x v="0"/>
    <x v="0"/>
  </r>
  <r>
    <x v="1325"/>
    <x v="629"/>
    <x v="614"/>
    <x v="608"/>
    <x v="1056"/>
    <x v="1"/>
    <x v="3"/>
    <x v="616"/>
    <x v="445"/>
    <x v="1"/>
    <x v="3"/>
    <x v="0"/>
    <x v="0"/>
    <x v="1"/>
    <x v="1"/>
    <x v="1"/>
    <x v="1"/>
    <x v="1"/>
    <x v="3"/>
    <x v="1"/>
    <x v="2"/>
    <x v="0"/>
    <x v="1"/>
    <x v="1"/>
    <x v="2"/>
    <x v="623"/>
    <x v="18"/>
    <x v="0"/>
    <x v="0"/>
    <x v="1"/>
    <x v="0"/>
    <x v="0"/>
    <x v="0"/>
    <x v="0"/>
  </r>
  <r>
    <x v="1326"/>
    <x v="630"/>
    <x v="615"/>
    <x v="609"/>
    <x v="1057"/>
    <x v="1"/>
    <x v="1"/>
    <x v="389"/>
    <x v="446"/>
    <x v="1"/>
    <x v="249"/>
    <x v="0"/>
    <x v="0"/>
    <x v="1"/>
    <x v="1"/>
    <x v="1"/>
    <x v="2"/>
    <x v="1"/>
    <x v="2"/>
    <x v="1"/>
    <x v="2"/>
    <x v="0"/>
    <x v="2"/>
    <x v="1"/>
    <x v="2"/>
    <x v="624"/>
    <x v="3"/>
    <x v="0"/>
    <x v="0"/>
    <x v="1"/>
    <x v="0"/>
    <x v="0"/>
    <x v="0"/>
    <x v="0"/>
  </r>
  <r>
    <x v="1327"/>
    <x v="626"/>
    <x v="611"/>
    <x v="605"/>
    <x v="1058"/>
    <x v="1"/>
    <x v="2"/>
    <x v="613"/>
    <x v="442"/>
    <x v="1"/>
    <x v="33"/>
    <x v="0"/>
    <x v="0"/>
    <x v="3"/>
    <x v="1"/>
    <x v="1"/>
    <x v="2"/>
    <x v="1"/>
    <x v="3"/>
    <x v="1"/>
    <x v="1"/>
    <x v="302"/>
    <x v="1"/>
    <x v="3"/>
    <x v="4"/>
    <x v="620"/>
    <x v="1"/>
    <x v="1"/>
    <x v="4"/>
    <x v="2"/>
    <x v="1"/>
    <x v="763"/>
    <x v="372"/>
    <x v="0"/>
  </r>
  <r>
    <x v="1328"/>
    <x v="618"/>
    <x v="603"/>
    <x v="596"/>
    <x v="1059"/>
    <x v="1"/>
    <x v="2"/>
    <x v="604"/>
    <x v="447"/>
    <x v="1"/>
    <x v="255"/>
    <x v="0"/>
    <x v="0"/>
    <x v="1"/>
    <x v="1"/>
    <x v="2"/>
    <x v="2"/>
    <x v="1"/>
    <x v="2"/>
    <x v="1"/>
    <x v="2"/>
    <x v="0"/>
    <x v="1"/>
    <x v="1"/>
    <x v="2"/>
    <x v="612"/>
    <x v="2"/>
    <x v="0"/>
    <x v="0"/>
    <x v="1"/>
    <x v="0"/>
    <x v="0"/>
    <x v="0"/>
    <x v="0"/>
  </r>
  <r>
    <x v="1329"/>
    <x v="628"/>
    <x v="613"/>
    <x v="607"/>
    <x v="1060"/>
    <x v="1"/>
    <x v="1"/>
    <x v="615"/>
    <x v="444"/>
    <x v="1"/>
    <x v="2"/>
    <x v="0"/>
    <x v="0"/>
    <x v="3"/>
    <x v="1"/>
    <x v="1"/>
    <x v="2"/>
    <x v="1"/>
    <x v="2"/>
    <x v="2"/>
    <x v="1"/>
    <x v="303"/>
    <x v="1"/>
    <x v="3"/>
    <x v="4"/>
    <x v="622"/>
    <x v="3"/>
    <x v="3"/>
    <x v="0"/>
    <x v="1"/>
    <x v="0"/>
    <x v="764"/>
    <x v="373"/>
    <x v="0"/>
  </r>
  <r>
    <x v="1330"/>
    <x v="631"/>
    <x v="616"/>
    <x v="610"/>
    <x v="1061"/>
    <x v="1"/>
    <x v="2"/>
    <x v="617"/>
    <x v="448"/>
    <x v="1"/>
    <x v="256"/>
    <x v="0"/>
    <x v="0"/>
    <x v="1"/>
    <x v="1"/>
    <x v="1"/>
    <x v="2"/>
    <x v="1"/>
    <x v="2"/>
    <x v="1"/>
    <x v="2"/>
    <x v="0"/>
    <x v="1"/>
    <x v="2"/>
    <x v="2"/>
    <x v="625"/>
    <x v="5"/>
    <x v="0"/>
    <x v="0"/>
    <x v="1"/>
    <x v="0"/>
    <x v="0"/>
    <x v="0"/>
    <x v="0"/>
  </r>
  <r>
    <x v="1331"/>
    <x v="632"/>
    <x v="617"/>
    <x v="611"/>
    <x v="1062"/>
    <x v="1"/>
    <x v="2"/>
    <x v="542"/>
    <x v="449"/>
    <x v="1"/>
    <x v="9"/>
    <x v="0"/>
    <x v="0"/>
    <x v="1"/>
    <x v="1"/>
    <x v="1"/>
    <x v="2"/>
    <x v="1"/>
    <x v="2"/>
    <x v="1"/>
    <x v="1"/>
    <x v="302"/>
    <x v="1"/>
    <x v="2"/>
    <x v="2"/>
    <x v="626"/>
    <x v="5"/>
    <x v="1"/>
    <x v="13"/>
    <x v="2"/>
    <x v="1"/>
    <x v="765"/>
    <x v="0"/>
    <x v="0"/>
  </r>
  <r>
    <x v="1332"/>
    <x v="627"/>
    <x v="612"/>
    <x v="606"/>
    <x v="1063"/>
    <x v="1"/>
    <x v="2"/>
    <x v="614"/>
    <x v="443"/>
    <x v="1"/>
    <x v="15"/>
    <x v="0"/>
    <x v="0"/>
    <x v="1"/>
    <x v="1"/>
    <x v="1"/>
    <x v="2"/>
    <x v="1"/>
    <x v="2"/>
    <x v="2"/>
    <x v="2"/>
    <x v="0"/>
    <x v="1"/>
    <x v="1"/>
    <x v="2"/>
    <x v="621"/>
    <x v="1"/>
    <x v="0"/>
    <x v="0"/>
    <x v="1"/>
    <x v="0"/>
    <x v="0"/>
    <x v="0"/>
    <x v="0"/>
  </r>
  <r>
    <x v="1333"/>
    <x v="624"/>
    <x v="609"/>
    <x v="603"/>
    <x v="1064"/>
    <x v="1"/>
    <x v="1"/>
    <x v="611"/>
    <x v="450"/>
    <x v="1"/>
    <x v="1"/>
    <x v="0"/>
    <x v="0"/>
    <x v="1"/>
    <x v="2"/>
    <x v="3"/>
    <x v="1"/>
    <x v="1"/>
    <x v="2"/>
    <x v="1"/>
    <x v="1"/>
    <x v="302"/>
    <x v="1"/>
    <x v="2"/>
    <x v="2"/>
    <x v="618"/>
    <x v="5"/>
    <x v="1"/>
    <x v="1"/>
    <x v="2"/>
    <x v="1"/>
    <x v="766"/>
    <x v="0"/>
    <x v="0"/>
  </r>
  <r>
    <x v="1334"/>
    <x v="632"/>
    <x v="617"/>
    <x v="611"/>
    <x v="0"/>
    <x v="1"/>
    <x v="2"/>
    <x v="542"/>
    <x v="449"/>
    <x v="1"/>
    <x v="9"/>
    <x v="0"/>
    <x v="0"/>
    <x v="3"/>
    <x v="1"/>
    <x v="2"/>
    <x v="2"/>
    <x v="1"/>
    <x v="1"/>
    <x v="1"/>
    <x v="1"/>
    <x v="303"/>
    <x v="2"/>
    <x v="3"/>
    <x v="4"/>
    <x v="626"/>
    <x v="14"/>
    <x v="1"/>
    <x v="5"/>
    <x v="2"/>
    <x v="1"/>
    <x v="767"/>
    <x v="0"/>
    <x v="0"/>
  </r>
  <r>
    <x v="1335"/>
    <x v="626"/>
    <x v="611"/>
    <x v="605"/>
    <x v="1065"/>
    <x v="1"/>
    <x v="2"/>
    <x v="613"/>
    <x v="442"/>
    <x v="1"/>
    <x v="33"/>
    <x v="0"/>
    <x v="0"/>
    <x v="3"/>
    <x v="1"/>
    <x v="1"/>
    <x v="2"/>
    <x v="1"/>
    <x v="3"/>
    <x v="1"/>
    <x v="2"/>
    <x v="0"/>
    <x v="1"/>
    <x v="3"/>
    <x v="4"/>
    <x v="620"/>
    <x v="1"/>
    <x v="0"/>
    <x v="0"/>
    <x v="1"/>
    <x v="0"/>
    <x v="0"/>
    <x v="0"/>
    <x v="0"/>
  </r>
  <r>
    <x v="1336"/>
    <x v="633"/>
    <x v="618"/>
    <x v="612"/>
    <x v="1066"/>
    <x v="1"/>
    <x v="2"/>
    <x v="618"/>
    <x v="451"/>
    <x v="1"/>
    <x v="33"/>
    <x v="0"/>
    <x v="0"/>
    <x v="1"/>
    <x v="3"/>
    <x v="3"/>
    <x v="1"/>
    <x v="1"/>
    <x v="2"/>
    <x v="1"/>
    <x v="1"/>
    <x v="303"/>
    <x v="1"/>
    <x v="1"/>
    <x v="2"/>
    <x v="627"/>
    <x v="14"/>
    <x v="1"/>
    <x v="7"/>
    <x v="1"/>
    <x v="0"/>
    <x v="768"/>
    <x v="0"/>
    <x v="0"/>
  </r>
  <r>
    <x v="1337"/>
    <x v="624"/>
    <x v="609"/>
    <x v="603"/>
    <x v="1067"/>
    <x v="1"/>
    <x v="2"/>
    <x v="611"/>
    <x v="440"/>
    <x v="1"/>
    <x v="1"/>
    <x v="0"/>
    <x v="0"/>
    <x v="3"/>
    <x v="1"/>
    <x v="1"/>
    <x v="1"/>
    <x v="1"/>
    <x v="2"/>
    <x v="1"/>
    <x v="2"/>
    <x v="0"/>
    <x v="1"/>
    <x v="3"/>
    <x v="4"/>
    <x v="618"/>
    <x v="5"/>
    <x v="0"/>
    <x v="0"/>
    <x v="1"/>
    <x v="0"/>
    <x v="0"/>
    <x v="0"/>
    <x v="0"/>
  </r>
  <r>
    <x v="1338"/>
    <x v="634"/>
    <x v="619"/>
    <x v="613"/>
    <x v="1068"/>
    <x v="3"/>
    <x v="2"/>
    <x v="190"/>
    <x v="452"/>
    <x v="1"/>
    <x v="161"/>
    <x v="0"/>
    <x v="0"/>
    <x v="1"/>
    <x v="2"/>
    <x v="4"/>
    <x v="2"/>
    <x v="1"/>
    <x v="3"/>
    <x v="1"/>
    <x v="1"/>
    <x v="303"/>
    <x v="1"/>
    <x v="5"/>
    <x v="2"/>
    <x v="628"/>
    <x v="5"/>
    <x v="3"/>
    <x v="0"/>
    <x v="1"/>
    <x v="0"/>
    <x v="769"/>
    <x v="374"/>
    <x v="0"/>
  </r>
  <r>
    <x v="1339"/>
    <x v="632"/>
    <x v="617"/>
    <x v="611"/>
    <x v="1069"/>
    <x v="1"/>
    <x v="2"/>
    <x v="542"/>
    <x v="449"/>
    <x v="1"/>
    <x v="9"/>
    <x v="0"/>
    <x v="0"/>
    <x v="3"/>
    <x v="1"/>
    <x v="1"/>
    <x v="1"/>
    <x v="1"/>
    <x v="3"/>
    <x v="1"/>
    <x v="1"/>
    <x v="304"/>
    <x v="1"/>
    <x v="3"/>
    <x v="4"/>
    <x v="626"/>
    <x v="2"/>
    <x v="1"/>
    <x v="13"/>
    <x v="2"/>
    <x v="1"/>
    <x v="770"/>
    <x v="375"/>
    <x v="357"/>
  </r>
  <r>
    <x v="1340"/>
    <x v="633"/>
    <x v="618"/>
    <x v="612"/>
    <x v="0"/>
    <x v="1"/>
    <x v="2"/>
    <x v="618"/>
    <x v="451"/>
    <x v="1"/>
    <x v="33"/>
    <x v="0"/>
    <x v="0"/>
    <x v="3"/>
    <x v="5"/>
    <x v="1"/>
    <x v="1"/>
    <x v="1"/>
    <x v="2"/>
    <x v="1"/>
    <x v="1"/>
    <x v="304"/>
    <x v="2"/>
    <x v="3"/>
    <x v="4"/>
    <x v="627"/>
    <x v="12"/>
    <x v="3"/>
    <x v="0"/>
    <x v="1"/>
    <x v="0"/>
    <x v="770"/>
    <x v="376"/>
    <x v="0"/>
  </r>
  <r>
    <x v="1341"/>
    <x v="632"/>
    <x v="617"/>
    <x v="611"/>
    <x v="0"/>
    <x v="1"/>
    <x v="2"/>
    <x v="542"/>
    <x v="449"/>
    <x v="1"/>
    <x v="9"/>
    <x v="0"/>
    <x v="0"/>
    <x v="3"/>
    <x v="1"/>
    <x v="1"/>
    <x v="2"/>
    <x v="1"/>
    <x v="1"/>
    <x v="1"/>
    <x v="1"/>
    <x v="305"/>
    <x v="2"/>
    <x v="3"/>
    <x v="4"/>
    <x v="626"/>
    <x v="14"/>
    <x v="3"/>
    <x v="0"/>
    <x v="1"/>
    <x v="0"/>
    <x v="771"/>
    <x v="377"/>
    <x v="0"/>
  </r>
  <r>
    <x v="1342"/>
    <x v="635"/>
    <x v="620"/>
    <x v="614"/>
    <x v="1070"/>
    <x v="3"/>
    <x v="6"/>
    <x v="619"/>
    <x v="453"/>
    <x v="1"/>
    <x v="33"/>
    <x v="0"/>
    <x v="0"/>
    <x v="1"/>
    <x v="3"/>
    <x v="2"/>
    <x v="2"/>
    <x v="1"/>
    <x v="3"/>
    <x v="1"/>
    <x v="1"/>
    <x v="306"/>
    <x v="1"/>
    <x v="4"/>
    <x v="3"/>
    <x v="629"/>
    <x v="19"/>
    <x v="3"/>
    <x v="0"/>
    <x v="1"/>
    <x v="0"/>
    <x v="772"/>
    <x v="378"/>
    <x v="358"/>
  </r>
  <r>
    <x v="1343"/>
    <x v="636"/>
    <x v="621"/>
    <x v="615"/>
    <x v="1071"/>
    <x v="3"/>
    <x v="6"/>
    <x v="620"/>
    <x v="454"/>
    <x v="1"/>
    <x v="22"/>
    <x v="0"/>
    <x v="0"/>
    <x v="1"/>
    <x v="3"/>
    <x v="3"/>
    <x v="2"/>
    <x v="1"/>
    <x v="3"/>
    <x v="1"/>
    <x v="1"/>
    <x v="306"/>
    <x v="1"/>
    <x v="6"/>
    <x v="3"/>
    <x v="630"/>
    <x v="19"/>
    <x v="1"/>
    <x v="3"/>
    <x v="2"/>
    <x v="1"/>
    <x v="0"/>
    <x v="0"/>
    <x v="359"/>
  </r>
  <r>
    <x v="1344"/>
    <x v="637"/>
    <x v="622"/>
    <x v="616"/>
    <x v="1072"/>
    <x v="1"/>
    <x v="6"/>
    <x v="621"/>
    <x v="10"/>
    <x v="1"/>
    <x v="33"/>
    <x v="0"/>
    <x v="0"/>
    <x v="1"/>
    <x v="3"/>
    <x v="2"/>
    <x v="2"/>
    <x v="1"/>
    <x v="3"/>
    <x v="1"/>
    <x v="1"/>
    <x v="306"/>
    <x v="1"/>
    <x v="6"/>
    <x v="3"/>
    <x v="631"/>
    <x v="19"/>
    <x v="3"/>
    <x v="0"/>
    <x v="1"/>
    <x v="0"/>
    <x v="773"/>
    <x v="379"/>
    <x v="360"/>
  </r>
  <r>
    <x v="1345"/>
    <x v="638"/>
    <x v="623"/>
    <x v="617"/>
    <x v="1073"/>
    <x v="1"/>
    <x v="6"/>
    <x v="200"/>
    <x v="455"/>
    <x v="1"/>
    <x v="257"/>
    <x v="0"/>
    <x v="0"/>
    <x v="1"/>
    <x v="2"/>
    <x v="3"/>
    <x v="2"/>
    <x v="1"/>
    <x v="3"/>
    <x v="1"/>
    <x v="1"/>
    <x v="306"/>
    <x v="1"/>
    <x v="6"/>
    <x v="3"/>
    <x v="632"/>
    <x v="19"/>
    <x v="3"/>
    <x v="0"/>
    <x v="1"/>
    <x v="0"/>
    <x v="774"/>
    <x v="380"/>
    <x v="0"/>
  </r>
  <r>
    <x v="1346"/>
    <x v="636"/>
    <x v="621"/>
    <x v="615"/>
    <x v="1074"/>
    <x v="3"/>
    <x v="2"/>
    <x v="620"/>
    <x v="454"/>
    <x v="1"/>
    <x v="22"/>
    <x v="0"/>
    <x v="0"/>
    <x v="3"/>
    <x v="3"/>
    <x v="2"/>
    <x v="1"/>
    <x v="1"/>
    <x v="2"/>
    <x v="1"/>
    <x v="1"/>
    <x v="306"/>
    <x v="1"/>
    <x v="3"/>
    <x v="4"/>
    <x v="630"/>
    <x v="3"/>
    <x v="1"/>
    <x v="3"/>
    <x v="2"/>
    <x v="1"/>
    <x v="775"/>
    <x v="0"/>
    <x v="361"/>
  </r>
  <r>
    <x v="1347"/>
    <x v="639"/>
    <x v="624"/>
    <x v="618"/>
    <x v="1075"/>
    <x v="1"/>
    <x v="2"/>
    <x v="622"/>
    <x v="456"/>
    <x v="1"/>
    <x v="31"/>
    <x v="0"/>
    <x v="0"/>
    <x v="1"/>
    <x v="1"/>
    <x v="1"/>
    <x v="2"/>
    <x v="1"/>
    <x v="3"/>
    <x v="1"/>
    <x v="1"/>
    <x v="307"/>
    <x v="1"/>
    <x v="1"/>
    <x v="2"/>
    <x v="633"/>
    <x v="1"/>
    <x v="1"/>
    <x v="1"/>
    <x v="2"/>
    <x v="1"/>
    <x v="776"/>
    <x v="381"/>
    <x v="0"/>
  </r>
  <r>
    <x v="1348"/>
    <x v="640"/>
    <x v="625"/>
    <x v="619"/>
    <x v="1076"/>
    <x v="1"/>
    <x v="1"/>
    <x v="623"/>
    <x v="457"/>
    <x v="1"/>
    <x v="15"/>
    <x v="0"/>
    <x v="0"/>
    <x v="1"/>
    <x v="1"/>
    <x v="1"/>
    <x v="2"/>
    <x v="1"/>
    <x v="3"/>
    <x v="1"/>
    <x v="1"/>
    <x v="305"/>
    <x v="1"/>
    <x v="1"/>
    <x v="2"/>
    <x v="634"/>
    <x v="18"/>
    <x v="3"/>
    <x v="0"/>
    <x v="1"/>
    <x v="0"/>
    <x v="777"/>
    <x v="382"/>
    <x v="0"/>
  </r>
  <r>
    <x v="1349"/>
    <x v="636"/>
    <x v="621"/>
    <x v="615"/>
    <x v="1077"/>
    <x v="3"/>
    <x v="2"/>
    <x v="620"/>
    <x v="454"/>
    <x v="1"/>
    <x v="22"/>
    <x v="0"/>
    <x v="0"/>
    <x v="3"/>
    <x v="1"/>
    <x v="1"/>
    <x v="2"/>
    <x v="1"/>
    <x v="2"/>
    <x v="1"/>
    <x v="1"/>
    <x v="308"/>
    <x v="1"/>
    <x v="3"/>
    <x v="4"/>
    <x v="630"/>
    <x v="3"/>
    <x v="3"/>
    <x v="0"/>
    <x v="1"/>
    <x v="0"/>
    <x v="778"/>
    <x v="383"/>
    <x v="0"/>
  </r>
  <r>
    <x v="1350"/>
    <x v="509"/>
    <x v="501"/>
    <x v="493"/>
    <x v="1078"/>
    <x v="1"/>
    <x v="3"/>
    <x v="513"/>
    <x v="458"/>
    <x v="1"/>
    <x v="258"/>
    <x v="0"/>
    <x v="0"/>
    <x v="1"/>
    <x v="1"/>
    <x v="1"/>
    <x v="2"/>
    <x v="1"/>
    <x v="1"/>
    <x v="1"/>
    <x v="1"/>
    <x v="309"/>
    <x v="1"/>
    <x v="5"/>
    <x v="2"/>
    <x v="503"/>
    <x v="12"/>
    <x v="1"/>
    <x v="3"/>
    <x v="2"/>
    <x v="1"/>
    <x v="779"/>
    <x v="0"/>
    <x v="362"/>
  </r>
  <r>
    <x v="1351"/>
    <x v="641"/>
    <x v="626"/>
    <x v="620"/>
    <x v="1079"/>
    <x v="1"/>
    <x v="2"/>
    <x v="624"/>
    <x v="459"/>
    <x v="1"/>
    <x v="2"/>
    <x v="0"/>
    <x v="0"/>
    <x v="1"/>
    <x v="1"/>
    <x v="1"/>
    <x v="1"/>
    <x v="1"/>
    <x v="3"/>
    <x v="1"/>
    <x v="2"/>
    <x v="0"/>
    <x v="1"/>
    <x v="2"/>
    <x v="2"/>
    <x v="635"/>
    <x v="3"/>
    <x v="0"/>
    <x v="0"/>
    <x v="1"/>
    <x v="0"/>
    <x v="0"/>
    <x v="0"/>
    <x v="0"/>
  </r>
  <r>
    <x v="1352"/>
    <x v="509"/>
    <x v="501"/>
    <x v="493"/>
    <x v="1080"/>
    <x v="1"/>
    <x v="3"/>
    <x v="513"/>
    <x v="458"/>
    <x v="1"/>
    <x v="258"/>
    <x v="0"/>
    <x v="0"/>
    <x v="3"/>
    <x v="1"/>
    <x v="1"/>
    <x v="2"/>
    <x v="1"/>
    <x v="2"/>
    <x v="1"/>
    <x v="1"/>
    <x v="310"/>
    <x v="1"/>
    <x v="3"/>
    <x v="4"/>
    <x v="503"/>
    <x v="3"/>
    <x v="1"/>
    <x v="7"/>
    <x v="2"/>
    <x v="1"/>
    <x v="780"/>
    <x v="0"/>
    <x v="363"/>
  </r>
  <r>
    <x v="1353"/>
    <x v="642"/>
    <x v="627"/>
    <x v="621"/>
    <x v="1081"/>
    <x v="3"/>
    <x v="1"/>
    <x v="625"/>
    <x v="460"/>
    <x v="1"/>
    <x v="2"/>
    <x v="0"/>
    <x v="0"/>
    <x v="1"/>
    <x v="2"/>
    <x v="3"/>
    <x v="1"/>
    <x v="1"/>
    <x v="2"/>
    <x v="1"/>
    <x v="1"/>
    <x v="307"/>
    <x v="1"/>
    <x v="5"/>
    <x v="2"/>
    <x v="636"/>
    <x v="3"/>
    <x v="3"/>
    <x v="0"/>
    <x v="1"/>
    <x v="0"/>
    <x v="781"/>
    <x v="384"/>
    <x v="0"/>
  </r>
  <r>
    <x v="1354"/>
    <x v="335"/>
    <x v="335"/>
    <x v="330"/>
    <x v="1082"/>
    <x v="1"/>
    <x v="6"/>
    <x v="350"/>
    <x v="461"/>
    <x v="1"/>
    <x v="259"/>
    <x v="0"/>
    <x v="0"/>
    <x v="1"/>
    <x v="2"/>
    <x v="3"/>
    <x v="2"/>
    <x v="1"/>
    <x v="3"/>
    <x v="1"/>
    <x v="1"/>
    <x v="307"/>
    <x v="1"/>
    <x v="5"/>
    <x v="3"/>
    <x v="337"/>
    <x v="19"/>
    <x v="1"/>
    <x v="1"/>
    <x v="1"/>
    <x v="0"/>
    <x v="782"/>
    <x v="385"/>
    <x v="0"/>
  </r>
  <r>
    <x v="1355"/>
    <x v="639"/>
    <x v="624"/>
    <x v="618"/>
    <x v="1083"/>
    <x v="1"/>
    <x v="2"/>
    <x v="622"/>
    <x v="456"/>
    <x v="1"/>
    <x v="31"/>
    <x v="0"/>
    <x v="0"/>
    <x v="3"/>
    <x v="1"/>
    <x v="1"/>
    <x v="1"/>
    <x v="1"/>
    <x v="3"/>
    <x v="1"/>
    <x v="2"/>
    <x v="0"/>
    <x v="1"/>
    <x v="3"/>
    <x v="4"/>
    <x v="633"/>
    <x v="5"/>
    <x v="0"/>
    <x v="0"/>
    <x v="1"/>
    <x v="0"/>
    <x v="0"/>
    <x v="0"/>
    <x v="0"/>
  </r>
  <r>
    <x v="1356"/>
    <x v="335"/>
    <x v="335"/>
    <x v="330"/>
    <x v="0"/>
    <x v="1"/>
    <x v="2"/>
    <x v="350"/>
    <x v="461"/>
    <x v="1"/>
    <x v="259"/>
    <x v="0"/>
    <x v="0"/>
    <x v="3"/>
    <x v="1"/>
    <x v="1"/>
    <x v="1"/>
    <x v="1"/>
    <x v="2"/>
    <x v="3"/>
    <x v="2"/>
    <x v="0"/>
    <x v="2"/>
    <x v="3"/>
    <x v="4"/>
    <x v="337"/>
    <x v="5"/>
    <x v="0"/>
    <x v="0"/>
    <x v="1"/>
    <x v="0"/>
    <x v="0"/>
    <x v="0"/>
    <x v="0"/>
  </r>
  <r>
    <x v="1357"/>
    <x v="335"/>
    <x v="335"/>
    <x v="330"/>
    <x v="0"/>
    <x v="1"/>
    <x v="2"/>
    <x v="626"/>
    <x v="461"/>
    <x v="1"/>
    <x v="260"/>
    <x v="0"/>
    <x v="0"/>
    <x v="1"/>
    <x v="1"/>
    <x v="1"/>
    <x v="1"/>
    <x v="1"/>
    <x v="2"/>
    <x v="1"/>
    <x v="1"/>
    <x v="310"/>
    <x v="2"/>
    <x v="1"/>
    <x v="2"/>
    <x v="337"/>
    <x v="17"/>
    <x v="3"/>
    <x v="0"/>
    <x v="1"/>
    <x v="0"/>
    <x v="783"/>
    <x v="0"/>
    <x v="0"/>
  </r>
  <r>
    <x v="1358"/>
    <x v="509"/>
    <x v="501"/>
    <x v="493"/>
    <x v="0"/>
    <x v="1"/>
    <x v="3"/>
    <x v="513"/>
    <x v="458"/>
    <x v="1"/>
    <x v="33"/>
    <x v="0"/>
    <x v="0"/>
    <x v="3"/>
    <x v="3"/>
    <x v="2"/>
    <x v="2"/>
    <x v="1"/>
    <x v="2"/>
    <x v="1"/>
    <x v="1"/>
    <x v="305"/>
    <x v="1"/>
    <x v="3"/>
    <x v="4"/>
    <x v="503"/>
    <x v="12"/>
    <x v="1"/>
    <x v="13"/>
    <x v="2"/>
    <x v="1"/>
    <x v="784"/>
    <x v="386"/>
    <x v="364"/>
  </r>
  <r>
    <x v="1359"/>
    <x v="639"/>
    <x v="624"/>
    <x v="618"/>
    <x v="1084"/>
    <x v="1"/>
    <x v="2"/>
    <x v="622"/>
    <x v="456"/>
    <x v="1"/>
    <x v="31"/>
    <x v="0"/>
    <x v="0"/>
    <x v="1"/>
    <x v="1"/>
    <x v="1"/>
    <x v="1"/>
    <x v="1"/>
    <x v="1"/>
    <x v="4"/>
    <x v="1"/>
    <x v="305"/>
    <x v="1"/>
    <x v="1"/>
    <x v="2"/>
    <x v="633"/>
    <x v="12"/>
    <x v="3"/>
    <x v="0"/>
    <x v="1"/>
    <x v="0"/>
    <x v="785"/>
    <x v="387"/>
    <x v="0"/>
  </r>
  <r>
    <x v="1360"/>
    <x v="603"/>
    <x v="590"/>
    <x v="583"/>
    <x v="1085"/>
    <x v="1"/>
    <x v="2"/>
    <x v="594"/>
    <x v="462"/>
    <x v="1"/>
    <x v="1"/>
    <x v="0"/>
    <x v="0"/>
    <x v="1"/>
    <x v="2"/>
    <x v="3"/>
    <x v="2"/>
    <x v="1"/>
    <x v="2"/>
    <x v="1"/>
    <x v="1"/>
    <x v="305"/>
    <x v="1"/>
    <x v="2"/>
    <x v="3"/>
    <x v="637"/>
    <x v="2"/>
    <x v="1"/>
    <x v="13"/>
    <x v="1"/>
    <x v="0"/>
    <x v="786"/>
    <x v="388"/>
    <x v="365"/>
  </r>
  <r>
    <x v="1361"/>
    <x v="339"/>
    <x v="339"/>
    <x v="334"/>
    <x v="1086"/>
    <x v="1"/>
    <x v="2"/>
    <x v="354"/>
    <x v="463"/>
    <x v="2"/>
    <x v="0"/>
    <x v="2"/>
    <x v="0"/>
    <x v="1"/>
    <x v="2"/>
    <x v="3"/>
    <x v="2"/>
    <x v="1"/>
    <x v="2"/>
    <x v="1"/>
    <x v="1"/>
    <x v="311"/>
    <x v="1"/>
    <x v="1"/>
    <x v="2"/>
    <x v="341"/>
    <x v="18"/>
    <x v="2"/>
    <x v="0"/>
    <x v="1"/>
    <x v="0"/>
    <x v="0"/>
    <x v="0"/>
    <x v="0"/>
  </r>
  <r>
    <x v="1362"/>
    <x v="509"/>
    <x v="501"/>
    <x v="493"/>
    <x v="1087"/>
    <x v="1"/>
    <x v="2"/>
    <x v="513"/>
    <x v="458"/>
    <x v="1"/>
    <x v="33"/>
    <x v="0"/>
    <x v="0"/>
    <x v="3"/>
    <x v="1"/>
    <x v="1"/>
    <x v="2"/>
    <x v="1"/>
    <x v="2"/>
    <x v="4"/>
    <x v="1"/>
    <x v="311"/>
    <x v="1"/>
    <x v="3"/>
    <x v="4"/>
    <x v="503"/>
    <x v="14"/>
    <x v="1"/>
    <x v="13"/>
    <x v="2"/>
    <x v="1"/>
    <x v="787"/>
    <x v="0"/>
    <x v="366"/>
  </r>
  <r>
    <x v="1363"/>
    <x v="603"/>
    <x v="590"/>
    <x v="583"/>
    <x v="0"/>
    <x v="1"/>
    <x v="2"/>
    <x v="594"/>
    <x v="462"/>
    <x v="1"/>
    <x v="1"/>
    <x v="0"/>
    <x v="0"/>
    <x v="3"/>
    <x v="4"/>
    <x v="1"/>
    <x v="2"/>
    <x v="1"/>
    <x v="2"/>
    <x v="1"/>
    <x v="2"/>
    <x v="0"/>
    <x v="2"/>
    <x v="3"/>
    <x v="4"/>
    <x v="637"/>
    <x v="14"/>
    <x v="0"/>
    <x v="0"/>
    <x v="1"/>
    <x v="0"/>
    <x v="0"/>
    <x v="0"/>
    <x v="0"/>
  </r>
  <r>
    <x v="1364"/>
    <x v="636"/>
    <x v="621"/>
    <x v="615"/>
    <x v="1088"/>
    <x v="3"/>
    <x v="2"/>
    <x v="620"/>
    <x v="454"/>
    <x v="1"/>
    <x v="261"/>
    <x v="0"/>
    <x v="0"/>
    <x v="1"/>
    <x v="2"/>
    <x v="3"/>
    <x v="2"/>
    <x v="1"/>
    <x v="2"/>
    <x v="1"/>
    <x v="1"/>
    <x v="311"/>
    <x v="1"/>
    <x v="6"/>
    <x v="3"/>
    <x v="630"/>
    <x v="14"/>
    <x v="1"/>
    <x v="13"/>
    <x v="1"/>
    <x v="0"/>
    <x v="788"/>
    <x v="389"/>
    <x v="0"/>
  </r>
  <r>
    <x v="1365"/>
    <x v="639"/>
    <x v="624"/>
    <x v="618"/>
    <x v="1089"/>
    <x v="1"/>
    <x v="3"/>
    <x v="622"/>
    <x v="456"/>
    <x v="1"/>
    <x v="31"/>
    <x v="0"/>
    <x v="0"/>
    <x v="1"/>
    <x v="1"/>
    <x v="1"/>
    <x v="2"/>
    <x v="1"/>
    <x v="2"/>
    <x v="1"/>
    <x v="2"/>
    <x v="0"/>
    <x v="1"/>
    <x v="6"/>
    <x v="3"/>
    <x v="633"/>
    <x v="14"/>
    <x v="0"/>
    <x v="0"/>
    <x v="1"/>
    <x v="0"/>
    <x v="0"/>
    <x v="0"/>
    <x v="0"/>
  </r>
  <r>
    <x v="1366"/>
    <x v="509"/>
    <x v="501"/>
    <x v="493"/>
    <x v="0"/>
    <x v="1"/>
    <x v="2"/>
    <x v="513"/>
    <x v="458"/>
    <x v="1"/>
    <x v="33"/>
    <x v="0"/>
    <x v="0"/>
    <x v="3"/>
    <x v="1"/>
    <x v="1"/>
    <x v="2"/>
    <x v="1"/>
    <x v="2"/>
    <x v="1"/>
    <x v="1"/>
    <x v="312"/>
    <x v="2"/>
    <x v="3"/>
    <x v="4"/>
    <x v="503"/>
    <x v="14"/>
    <x v="1"/>
    <x v="1"/>
    <x v="1"/>
    <x v="0"/>
    <x v="789"/>
    <x v="390"/>
    <x v="0"/>
  </r>
  <r>
    <x v="1367"/>
    <x v="643"/>
    <x v="628"/>
    <x v="622"/>
    <x v="1090"/>
    <x v="1"/>
    <x v="2"/>
    <x v="627"/>
    <x v="462"/>
    <x v="2"/>
    <x v="0"/>
    <x v="2"/>
    <x v="0"/>
    <x v="1"/>
    <x v="1"/>
    <x v="1"/>
    <x v="2"/>
    <x v="1"/>
    <x v="3"/>
    <x v="1"/>
    <x v="1"/>
    <x v="313"/>
    <x v="1"/>
    <x v="2"/>
    <x v="2"/>
    <x v="638"/>
    <x v="5"/>
    <x v="1"/>
    <x v="1"/>
    <x v="1"/>
    <x v="0"/>
    <x v="790"/>
    <x v="0"/>
    <x v="0"/>
  </r>
  <r>
    <x v="1368"/>
    <x v="644"/>
    <x v="629"/>
    <x v="623"/>
    <x v="1091"/>
    <x v="1"/>
    <x v="2"/>
    <x v="628"/>
    <x v="464"/>
    <x v="1"/>
    <x v="31"/>
    <x v="0"/>
    <x v="0"/>
    <x v="1"/>
    <x v="1"/>
    <x v="1"/>
    <x v="1"/>
    <x v="1"/>
    <x v="2"/>
    <x v="1"/>
    <x v="1"/>
    <x v="314"/>
    <x v="1"/>
    <x v="1"/>
    <x v="2"/>
    <x v="639"/>
    <x v="12"/>
    <x v="1"/>
    <x v="1"/>
    <x v="2"/>
    <x v="1"/>
    <x v="791"/>
    <x v="0"/>
    <x v="367"/>
  </r>
  <r>
    <x v="1369"/>
    <x v="643"/>
    <x v="628"/>
    <x v="622"/>
    <x v="1090"/>
    <x v="1"/>
    <x v="2"/>
    <x v="627"/>
    <x v="462"/>
    <x v="2"/>
    <x v="0"/>
    <x v="2"/>
    <x v="0"/>
    <x v="3"/>
    <x v="1"/>
    <x v="1"/>
    <x v="2"/>
    <x v="1"/>
    <x v="2"/>
    <x v="1"/>
    <x v="1"/>
    <x v="315"/>
    <x v="2"/>
    <x v="3"/>
    <x v="4"/>
    <x v="638"/>
    <x v="5"/>
    <x v="3"/>
    <x v="0"/>
    <x v="1"/>
    <x v="0"/>
    <x v="792"/>
    <x v="0"/>
    <x v="0"/>
  </r>
  <r>
    <x v="1370"/>
    <x v="438"/>
    <x v="434"/>
    <x v="429"/>
    <x v="1092"/>
    <x v="1"/>
    <x v="2"/>
    <x v="444"/>
    <x v="460"/>
    <x v="1"/>
    <x v="33"/>
    <x v="0"/>
    <x v="0"/>
    <x v="1"/>
    <x v="3"/>
    <x v="2"/>
    <x v="2"/>
    <x v="1"/>
    <x v="3"/>
    <x v="1"/>
    <x v="1"/>
    <x v="314"/>
    <x v="2"/>
    <x v="1"/>
    <x v="2"/>
    <x v="437"/>
    <x v="5"/>
    <x v="3"/>
    <x v="0"/>
    <x v="1"/>
    <x v="0"/>
    <x v="793"/>
    <x v="391"/>
    <x v="0"/>
  </r>
  <r>
    <x v="1371"/>
    <x v="509"/>
    <x v="501"/>
    <x v="493"/>
    <x v="0"/>
    <x v="1"/>
    <x v="3"/>
    <x v="513"/>
    <x v="458"/>
    <x v="1"/>
    <x v="33"/>
    <x v="0"/>
    <x v="0"/>
    <x v="3"/>
    <x v="1"/>
    <x v="1"/>
    <x v="2"/>
    <x v="1"/>
    <x v="2"/>
    <x v="1"/>
    <x v="2"/>
    <x v="0"/>
    <x v="2"/>
    <x v="3"/>
    <x v="4"/>
    <x v="503"/>
    <x v="5"/>
    <x v="0"/>
    <x v="0"/>
    <x v="1"/>
    <x v="0"/>
    <x v="0"/>
    <x v="0"/>
    <x v="0"/>
  </r>
  <r>
    <x v="1372"/>
    <x v="644"/>
    <x v="629"/>
    <x v="623"/>
    <x v="0"/>
    <x v="1"/>
    <x v="2"/>
    <x v="628"/>
    <x v="464"/>
    <x v="1"/>
    <x v="31"/>
    <x v="0"/>
    <x v="0"/>
    <x v="3"/>
    <x v="1"/>
    <x v="1"/>
    <x v="1"/>
    <x v="1"/>
    <x v="2"/>
    <x v="3"/>
    <x v="2"/>
    <x v="0"/>
    <x v="2"/>
    <x v="3"/>
    <x v="4"/>
    <x v="639"/>
    <x v="5"/>
    <x v="0"/>
    <x v="0"/>
    <x v="1"/>
    <x v="0"/>
    <x v="794"/>
    <x v="0"/>
    <x v="0"/>
  </r>
  <r>
    <x v="1373"/>
    <x v="645"/>
    <x v="630"/>
    <x v="624"/>
    <x v="1093"/>
    <x v="1"/>
    <x v="2"/>
    <x v="318"/>
    <x v="158"/>
    <x v="1"/>
    <x v="15"/>
    <x v="0"/>
    <x v="0"/>
    <x v="1"/>
    <x v="1"/>
    <x v="1"/>
    <x v="1"/>
    <x v="1"/>
    <x v="3"/>
    <x v="1"/>
    <x v="1"/>
    <x v="315"/>
    <x v="2"/>
    <x v="2"/>
    <x v="3"/>
    <x v="640"/>
    <x v="20"/>
    <x v="1"/>
    <x v="17"/>
    <x v="1"/>
    <x v="0"/>
    <x v="795"/>
    <x v="0"/>
    <x v="0"/>
  </r>
  <r>
    <x v="1374"/>
    <x v="646"/>
    <x v="631"/>
    <x v="625"/>
    <x v="1094"/>
    <x v="1"/>
    <x v="2"/>
    <x v="629"/>
    <x v="465"/>
    <x v="1"/>
    <x v="27"/>
    <x v="0"/>
    <x v="0"/>
    <x v="1"/>
    <x v="1"/>
    <x v="1"/>
    <x v="2"/>
    <x v="1"/>
    <x v="2"/>
    <x v="1"/>
    <x v="1"/>
    <x v="315"/>
    <x v="1"/>
    <x v="5"/>
    <x v="2"/>
    <x v="641"/>
    <x v="5"/>
    <x v="1"/>
    <x v="1"/>
    <x v="1"/>
    <x v="0"/>
    <x v="796"/>
    <x v="0"/>
    <x v="198"/>
  </r>
  <r>
    <x v="1375"/>
    <x v="645"/>
    <x v="630"/>
    <x v="624"/>
    <x v="1095"/>
    <x v="1"/>
    <x v="2"/>
    <x v="318"/>
    <x v="10"/>
    <x v="2"/>
    <x v="0"/>
    <x v="6"/>
    <x v="0"/>
    <x v="3"/>
    <x v="3"/>
    <x v="3"/>
    <x v="2"/>
    <x v="1"/>
    <x v="3"/>
    <x v="4"/>
    <x v="1"/>
    <x v="316"/>
    <x v="1"/>
    <x v="3"/>
    <x v="4"/>
    <x v="640"/>
    <x v="2"/>
    <x v="1"/>
    <x v="1"/>
    <x v="2"/>
    <x v="1"/>
    <x v="797"/>
    <x v="392"/>
    <x v="0"/>
  </r>
  <r>
    <x v="1376"/>
    <x v="646"/>
    <x v="631"/>
    <x v="625"/>
    <x v="1094"/>
    <x v="1"/>
    <x v="2"/>
    <x v="629"/>
    <x v="465"/>
    <x v="1"/>
    <x v="27"/>
    <x v="0"/>
    <x v="0"/>
    <x v="3"/>
    <x v="2"/>
    <x v="3"/>
    <x v="2"/>
    <x v="1"/>
    <x v="2"/>
    <x v="1"/>
    <x v="1"/>
    <x v="316"/>
    <x v="1"/>
    <x v="3"/>
    <x v="4"/>
    <x v="641"/>
    <x v="5"/>
    <x v="3"/>
    <x v="0"/>
    <x v="1"/>
    <x v="0"/>
    <x v="798"/>
    <x v="393"/>
    <x v="0"/>
  </r>
  <r>
    <x v="1377"/>
    <x v="647"/>
    <x v="632"/>
    <x v="626"/>
    <x v="1096"/>
    <x v="1"/>
    <x v="1"/>
    <x v="630"/>
    <x v="10"/>
    <x v="1"/>
    <x v="3"/>
    <x v="0"/>
    <x v="0"/>
    <x v="1"/>
    <x v="3"/>
    <x v="2"/>
    <x v="2"/>
    <x v="1"/>
    <x v="1"/>
    <x v="1"/>
    <x v="1"/>
    <x v="316"/>
    <x v="1"/>
    <x v="1"/>
    <x v="2"/>
    <x v="642"/>
    <x v="2"/>
    <x v="3"/>
    <x v="0"/>
    <x v="1"/>
    <x v="0"/>
    <x v="799"/>
    <x v="394"/>
    <x v="0"/>
  </r>
  <r>
    <x v="1378"/>
    <x v="636"/>
    <x v="621"/>
    <x v="615"/>
    <x v="0"/>
    <x v="3"/>
    <x v="2"/>
    <x v="620"/>
    <x v="454"/>
    <x v="1"/>
    <x v="262"/>
    <x v="0"/>
    <x v="0"/>
    <x v="3"/>
    <x v="4"/>
    <x v="3"/>
    <x v="2"/>
    <x v="1"/>
    <x v="2"/>
    <x v="1"/>
    <x v="2"/>
    <x v="0"/>
    <x v="2"/>
    <x v="3"/>
    <x v="4"/>
    <x v="630"/>
    <x v="14"/>
    <x v="0"/>
    <x v="0"/>
    <x v="1"/>
    <x v="0"/>
    <x v="0"/>
    <x v="0"/>
    <x v="368"/>
  </r>
  <r>
    <x v="1379"/>
    <x v="645"/>
    <x v="630"/>
    <x v="624"/>
    <x v="1097"/>
    <x v="1"/>
    <x v="2"/>
    <x v="318"/>
    <x v="10"/>
    <x v="1"/>
    <x v="15"/>
    <x v="0"/>
    <x v="0"/>
    <x v="3"/>
    <x v="2"/>
    <x v="3"/>
    <x v="1"/>
    <x v="1"/>
    <x v="2"/>
    <x v="1"/>
    <x v="1"/>
    <x v="308"/>
    <x v="2"/>
    <x v="3"/>
    <x v="4"/>
    <x v="640"/>
    <x v="5"/>
    <x v="3"/>
    <x v="0"/>
    <x v="1"/>
    <x v="0"/>
    <x v="800"/>
    <x v="395"/>
    <x v="0"/>
  </r>
  <r>
    <x v="1380"/>
    <x v="648"/>
    <x v="633"/>
    <x v="627"/>
    <x v="1098"/>
    <x v="1"/>
    <x v="2"/>
    <x v="631"/>
    <x v="466"/>
    <x v="1"/>
    <x v="15"/>
    <x v="0"/>
    <x v="0"/>
    <x v="1"/>
    <x v="1"/>
    <x v="1"/>
    <x v="2"/>
    <x v="1"/>
    <x v="2"/>
    <x v="4"/>
    <x v="1"/>
    <x v="308"/>
    <x v="1"/>
    <x v="5"/>
    <x v="2"/>
    <x v="643"/>
    <x v="5"/>
    <x v="1"/>
    <x v="7"/>
    <x v="2"/>
    <x v="1"/>
    <x v="801"/>
    <x v="0"/>
    <x v="0"/>
  </r>
  <r>
    <x v="1381"/>
    <x v="644"/>
    <x v="629"/>
    <x v="628"/>
    <x v="0"/>
    <x v="1"/>
    <x v="6"/>
    <x v="628"/>
    <x v="464"/>
    <x v="1"/>
    <x v="263"/>
    <x v="0"/>
    <x v="0"/>
    <x v="1"/>
    <x v="1"/>
    <x v="1"/>
    <x v="1"/>
    <x v="1"/>
    <x v="3"/>
    <x v="5"/>
    <x v="1"/>
    <x v="308"/>
    <x v="2"/>
    <x v="5"/>
    <x v="2"/>
    <x v="639"/>
    <x v="20"/>
    <x v="1"/>
    <x v="17"/>
    <x v="1"/>
    <x v="0"/>
    <x v="802"/>
    <x v="0"/>
    <x v="0"/>
  </r>
  <r>
    <x v="1382"/>
    <x v="648"/>
    <x v="633"/>
    <x v="627"/>
    <x v="1099"/>
    <x v="1"/>
    <x v="2"/>
    <x v="631"/>
    <x v="466"/>
    <x v="1"/>
    <x v="15"/>
    <x v="0"/>
    <x v="0"/>
    <x v="3"/>
    <x v="1"/>
    <x v="1"/>
    <x v="1"/>
    <x v="1"/>
    <x v="2"/>
    <x v="1"/>
    <x v="2"/>
    <x v="0"/>
    <x v="1"/>
    <x v="3"/>
    <x v="4"/>
    <x v="643"/>
    <x v="12"/>
    <x v="0"/>
    <x v="0"/>
    <x v="1"/>
    <x v="0"/>
    <x v="0"/>
    <x v="0"/>
    <x v="0"/>
  </r>
  <r>
    <x v="1383"/>
    <x v="649"/>
    <x v="634"/>
    <x v="629"/>
    <x v="1100"/>
    <x v="1"/>
    <x v="2"/>
    <x v="632"/>
    <x v="467"/>
    <x v="1"/>
    <x v="3"/>
    <x v="0"/>
    <x v="0"/>
    <x v="2"/>
    <x v="1"/>
    <x v="2"/>
    <x v="2"/>
    <x v="1"/>
    <x v="1"/>
    <x v="1"/>
    <x v="2"/>
    <x v="0"/>
    <x v="1"/>
    <x v="6"/>
    <x v="3"/>
    <x v="644"/>
    <x v="14"/>
    <x v="0"/>
    <x v="0"/>
    <x v="1"/>
    <x v="0"/>
    <x v="0"/>
    <x v="0"/>
    <x v="369"/>
  </r>
  <r>
    <x v="1384"/>
    <x v="650"/>
    <x v="635"/>
    <x v="630"/>
    <x v="1101"/>
    <x v="1"/>
    <x v="2"/>
    <x v="633"/>
    <x v="468"/>
    <x v="2"/>
    <x v="0"/>
    <x v="6"/>
    <x v="0"/>
    <x v="1"/>
    <x v="3"/>
    <x v="3"/>
    <x v="2"/>
    <x v="1"/>
    <x v="2"/>
    <x v="1"/>
    <x v="1"/>
    <x v="317"/>
    <x v="1"/>
    <x v="1"/>
    <x v="2"/>
    <x v="645"/>
    <x v="12"/>
    <x v="1"/>
    <x v="13"/>
    <x v="1"/>
    <x v="0"/>
    <x v="803"/>
    <x v="396"/>
    <x v="370"/>
  </r>
  <r>
    <x v="1385"/>
    <x v="641"/>
    <x v="626"/>
    <x v="620"/>
    <x v="1102"/>
    <x v="1"/>
    <x v="2"/>
    <x v="624"/>
    <x v="459"/>
    <x v="1"/>
    <x v="3"/>
    <x v="0"/>
    <x v="0"/>
    <x v="1"/>
    <x v="1"/>
    <x v="1"/>
    <x v="2"/>
    <x v="1"/>
    <x v="2"/>
    <x v="1"/>
    <x v="2"/>
    <x v="0"/>
    <x v="1"/>
    <x v="5"/>
    <x v="2"/>
    <x v="635"/>
    <x v="12"/>
    <x v="0"/>
    <x v="0"/>
    <x v="1"/>
    <x v="0"/>
    <x v="0"/>
    <x v="0"/>
    <x v="0"/>
  </r>
  <r>
    <x v="1386"/>
    <x v="651"/>
    <x v="636"/>
    <x v="631"/>
    <x v="1103"/>
    <x v="1"/>
    <x v="3"/>
    <x v="634"/>
    <x v="469"/>
    <x v="2"/>
    <x v="0"/>
    <x v="6"/>
    <x v="0"/>
    <x v="1"/>
    <x v="2"/>
    <x v="3"/>
    <x v="2"/>
    <x v="1"/>
    <x v="1"/>
    <x v="1"/>
    <x v="1"/>
    <x v="317"/>
    <x v="1"/>
    <x v="6"/>
    <x v="3"/>
    <x v="646"/>
    <x v="14"/>
    <x v="1"/>
    <x v="13"/>
    <x v="2"/>
    <x v="1"/>
    <x v="804"/>
    <x v="0"/>
    <x v="371"/>
  </r>
  <r>
    <x v="1387"/>
    <x v="603"/>
    <x v="590"/>
    <x v="583"/>
    <x v="1104"/>
    <x v="1"/>
    <x v="2"/>
    <x v="594"/>
    <x v="462"/>
    <x v="6"/>
    <x v="0"/>
    <x v="0"/>
    <x v="4"/>
    <x v="1"/>
    <x v="1"/>
    <x v="2"/>
    <x v="2"/>
    <x v="1"/>
    <x v="2"/>
    <x v="1"/>
    <x v="1"/>
    <x v="318"/>
    <x v="1"/>
    <x v="6"/>
    <x v="3"/>
    <x v="599"/>
    <x v="14"/>
    <x v="3"/>
    <x v="0"/>
    <x v="1"/>
    <x v="0"/>
    <x v="805"/>
    <x v="397"/>
    <x v="185"/>
  </r>
  <r>
    <x v="1388"/>
    <x v="650"/>
    <x v="635"/>
    <x v="630"/>
    <x v="0"/>
    <x v="1"/>
    <x v="2"/>
    <x v="633"/>
    <x v="468"/>
    <x v="1"/>
    <x v="264"/>
    <x v="0"/>
    <x v="0"/>
    <x v="3"/>
    <x v="4"/>
    <x v="1"/>
    <x v="2"/>
    <x v="1"/>
    <x v="2"/>
    <x v="1"/>
    <x v="2"/>
    <x v="0"/>
    <x v="2"/>
    <x v="3"/>
    <x v="4"/>
    <x v="645"/>
    <x v="14"/>
    <x v="0"/>
    <x v="0"/>
    <x v="1"/>
    <x v="0"/>
    <x v="0"/>
    <x v="0"/>
    <x v="0"/>
  </r>
  <r>
    <x v="1389"/>
    <x v="651"/>
    <x v="636"/>
    <x v="631"/>
    <x v="0"/>
    <x v="1"/>
    <x v="2"/>
    <x v="634"/>
    <x v="469"/>
    <x v="2"/>
    <x v="0"/>
    <x v="6"/>
    <x v="0"/>
    <x v="3"/>
    <x v="2"/>
    <x v="3"/>
    <x v="2"/>
    <x v="1"/>
    <x v="1"/>
    <x v="1"/>
    <x v="1"/>
    <x v="319"/>
    <x v="2"/>
    <x v="3"/>
    <x v="4"/>
    <x v="646"/>
    <x v="14"/>
    <x v="1"/>
    <x v="1"/>
    <x v="2"/>
    <x v="1"/>
    <x v="806"/>
    <x v="0"/>
    <x v="372"/>
  </r>
  <r>
    <x v="1390"/>
    <x v="652"/>
    <x v="637"/>
    <x v="632"/>
    <x v="1105"/>
    <x v="1"/>
    <x v="2"/>
    <x v="635"/>
    <x v="10"/>
    <x v="1"/>
    <x v="22"/>
    <x v="0"/>
    <x v="0"/>
    <x v="1"/>
    <x v="2"/>
    <x v="3"/>
    <x v="2"/>
    <x v="1"/>
    <x v="1"/>
    <x v="5"/>
    <x v="1"/>
    <x v="318"/>
    <x v="1"/>
    <x v="6"/>
    <x v="2"/>
    <x v="647"/>
    <x v="5"/>
    <x v="1"/>
    <x v="5"/>
    <x v="2"/>
    <x v="1"/>
    <x v="807"/>
    <x v="398"/>
    <x v="373"/>
  </r>
  <r>
    <x v="1391"/>
    <x v="651"/>
    <x v="636"/>
    <x v="631"/>
    <x v="0"/>
    <x v="1"/>
    <x v="2"/>
    <x v="634"/>
    <x v="469"/>
    <x v="2"/>
    <x v="0"/>
    <x v="6"/>
    <x v="0"/>
    <x v="3"/>
    <x v="2"/>
    <x v="3"/>
    <x v="2"/>
    <x v="1"/>
    <x v="2"/>
    <x v="1"/>
    <x v="1"/>
    <x v="318"/>
    <x v="2"/>
    <x v="3"/>
    <x v="4"/>
    <x v="646"/>
    <x v="5"/>
    <x v="1"/>
    <x v="4"/>
    <x v="1"/>
    <x v="0"/>
    <x v="808"/>
    <x v="399"/>
    <x v="0"/>
  </r>
  <r>
    <x v="1392"/>
    <x v="644"/>
    <x v="629"/>
    <x v="628"/>
    <x v="0"/>
    <x v="1"/>
    <x v="2"/>
    <x v="628"/>
    <x v="464"/>
    <x v="1"/>
    <x v="263"/>
    <x v="0"/>
    <x v="0"/>
    <x v="3"/>
    <x v="1"/>
    <x v="1"/>
    <x v="1"/>
    <x v="1"/>
    <x v="3"/>
    <x v="5"/>
    <x v="2"/>
    <x v="0"/>
    <x v="2"/>
    <x v="5"/>
    <x v="3"/>
    <x v="639"/>
    <x v="20"/>
    <x v="0"/>
    <x v="0"/>
    <x v="1"/>
    <x v="0"/>
    <x v="0"/>
    <x v="0"/>
    <x v="0"/>
  </r>
  <r>
    <x v="1393"/>
    <x v="653"/>
    <x v="566"/>
    <x v="559"/>
    <x v="1106"/>
    <x v="1"/>
    <x v="1"/>
    <x v="573"/>
    <x v="470"/>
    <x v="1"/>
    <x v="265"/>
    <x v="0"/>
    <x v="0"/>
    <x v="1"/>
    <x v="1"/>
    <x v="1"/>
    <x v="2"/>
    <x v="1"/>
    <x v="1"/>
    <x v="1"/>
    <x v="2"/>
    <x v="0"/>
    <x v="1"/>
    <x v="4"/>
    <x v="2"/>
    <x v="573"/>
    <x v="12"/>
    <x v="0"/>
    <x v="0"/>
    <x v="1"/>
    <x v="0"/>
    <x v="0"/>
    <x v="0"/>
    <x v="0"/>
  </r>
  <r>
    <x v="1394"/>
    <x v="654"/>
    <x v="638"/>
    <x v="633"/>
    <x v="1107"/>
    <x v="1"/>
    <x v="2"/>
    <x v="407"/>
    <x v="471"/>
    <x v="1"/>
    <x v="266"/>
    <x v="0"/>
    <x v="0"/>
    <x v="1"/>
    <x v="1"/>
    <x v="1"/>
    <x v="1"/>
    <x v="1"/>
    <x v="2"/>
    <x v="1"/>
    <x v="2"/>
    <x v="0"/>
    <x v="1"/>
    <x v="1"/>
    <x v="13"/>
    <x v="648"/>
    <x v="3"/>
    <x v="0"/>
    <x v="0"/>
    <x v="1"/>
    <x v="0"/>
    <x v="0"/>
    <x v="0"/>
    <x v="0"/>
  </r>
  <r>
    <x v="1395"/>
    <x v="655"/>
    <x v="639"/>
    <x v="634"/>
    <x v="1108"/>
    <x v="1"/>
    <x v="2"/>
    <x v="636"/>
    <x v="472"/>
    <x v="1"/>
    <x v="9"/>
    <x v="0"/>
    <x v="0"/>
    <x v="1"/>
    <x v="1"/>
    <x v="1"/>
    <x v="2"/>
    <x v="1"/>
    <x v="2"/>
    <x v="1"/>
    <x v="2"/>
    <x v="0"/>
    <x v="1"/>
    <x v="1"/>
    <x v="2"/>
    <x v="649"/>
    <x v="12"/>
    <x v="0"/>
    <x v="0"/>
    <x v="1"/>
    <x v="0"/>
    <x v="0"/>
    <x v="0"/>
    <x v="0"/>
  </r>
  <r>
    <x v="1396"/>
    <x v="652"/>
    <x v="637"/>
    <x v="632"/>
    <x v="0"/>
    <x v="1"/>
    <x v="2"/>
    <x v="635"/>
    <x v="473"/>
    <x v="1"/>
    <x v="15"/>
    <x v="0"/>
    <x v="0"/>
    <x v="3"/>
    <x v="3"/>
    <x v="3"/>
    <x v="1"/>
    <x v="1"/>
    <x v="2"/>
    <x v="1"/>
    <x v="1"/>
    <x v="318"/>
    <x v="2"/>
    <x v="3"/>
    <x v="4"/>
    <x v="647"/>
    <x v="2"/>
    <x v="1"/>
    <x v="4"/>
    <x v="2"/>
    <x v="1"/>
    <x v="809"/>
    <x v="0"/>
    <x v="374"/>
  </r>
  <r>
    <x v="1397"/>
    <x v="655"/>
    <x v="639"/>
    <x v="634"/>
    <x v="1109"/>
    <x v="1"/>
    <x v="2"/>
    <x v="636"/>
    <x v="472"/>
    <x v="1"/>
    <x v="9"/>
    <x v="0"/>
    <x v="0"/>
    <x v="1"/>
    <x v="1"/>
    <x v="1"/>
    <x v="2"/>
    <x v="1"/>
    <x v="2"/>
    <x v="1"/>
    <x v="2"/>
    <x v="0"/>
    <x v="1"/>
    <x v="1"/>
    <x v="2"/>
    <x v="649"/>
    <x v="3"/>
    <x v="0"/>
    <x v="0"/>
    <x v="1"/>
    <x v="0"/>
    <x v="0"/>
    <x v="0"/>
    <x v="0"/>
  </r>
  <r>
    <x v="1398"/>
    <x v="652"/>
    <x v="637"/>
    <x v="632"/>
    <x v="1110"/>
    <x v="1"/>
    <x v="2"/>
    <x v="635"/>
    <x v="10"/>
    <x v="1"/>
    <x v="15"/>
    <x v="0"/>
    <x v="0"/>
    <x v="3"/>
    <x v="2"/>
    <x v="3"/>
    <x v="2"/>
    <x v="1"/>
    <x v="2"/>
    <x v="1"/>
    <x v="1"/>
    <x v="318"/>
    <x v="1"/>
    <x v="3"/>
    <x v="4"/>
    <x v="647"/>
    <x v="1"/>
    <x v="3"/>
    <x v="0"/>
    <x v="1"/>
    <x v="0"/>
    <x v="810"/>
    <x v="400"/>
    <x v="0"/>
  </r>
  <r>
    <x v="1399"/>
    <x v="651"/>
    <x v="636"/>
    <x v="631"/>
    <x v="0"/>
    <x v="1"/>
    <x v="2"/>
    <x v="634"/>
    <x v="469"/>
    <x v="2"/>
    <x v="0"/>
    <x v="6"/>
    <x v="0"/>
    <x v="3"/>
    <x v="4"/>
    <x v="1"/>
    <x v="2"/>
    <x v="1"/>
    <x v="2"/>
    <x v="1"/>
    <x v="2"/>
    <x v="0"/>
    <x v="2"/>
    <x v="3"/>
    <x v="4"/>
    <x v="646"/>
    <x v="1"/>
    <x v="0"/>
    <x v="0"/>
    <x v="1"/>
    <x v="0"/>
    <x v="0"/>
    <x v="0"/>
    <x v="0"/>
  </r>
  <r>
    <x v="1400"/>
    <x v="656"/>
    <x v="640"/>
    <x v="635"/>
    <x v="1111"/>
    <x v="1"/>
    <x v="3"/>
    <x v="210"/>
    <x v="474"/>
    <x v="1"/>
    <x v="15"/>
    <x v="0"/>
    <x v="0"/>
    <x v="1"/>
    <x v="2"/>
    <x v="3"/>
    <x v="2"/>
    <x v="1"/>
    <x v="2"/>
    <x v="1"/>
    <x v="1"/>
    <x v="320"/>
    <x v="1"/>
    <x v="1"/>
    <x v="2"/>
    <x v="650"/>
    <x v="3"/>
    <x v="3"/>
    <x v="0"/>
    <x v="1"/>
    <x v="0"/>
    <x v="811"/>
    <x v="401"/>
    <x v="0"/>
  </r>
  <r>
    <x v="1401"/>
    <x v="566"/>
    <x v="557"/>
    <x v="550"/>
    <x v="1112"/>
    <x v="1"/>
    <x v="2"/>
    <x v="565"/>
    <x v="475"/>
    <x v="1"/>
    <x v="267"/>
    <x v="0"/>
    <x v="0"/>
    <x v="1"/>
    <x v="1"/>
    <x v="1"/>
    <x v="2"/>
    <x v="1"/>
    <x v="3"/>
    <x v="1"/>
    <x v="2"/>
    <x v="0"/>
    <x v="2"/>
    <x v="1"/>
    <x v="2"/>
    <x v="563"/>
    <x v="3"/>
    <x v="0"/>
    <x v="0"/>
    <x v="1"/>
    <x v="0"/>
    <x v="0"/>
    <x v="0"/>
    <x v="0"/>
  </r>
  <r>
    <x v="1402"/>
    <x v="657"/>
    <x v="641"/>
    <x v="636"/>
    <x v="1113"/>
    <x v="1"/>
    <x v="3"/>
    <x v="637"/>
    <x v="449"/>
    <x v="1"/>
    <x v="268"/>
    <x v="0"/>
    <x v="0"/>
    <x v="1"/>
    <x v="2"/>
    <x v="3"/>
    <x v="2"/>
    <x v="2"/>
    <x v="1"/>
    <x v="1"/>
    <x v="1"/>
    <x v="321"/>
    <x v="1"/>
    <x v="1"/>
    <x v="2"/>
    <x v="651"/>
    <x v="14"/>
    <x v="3"/>
    <x v="0"/>
    <x v="1"/>
    <x v="0"/>
    <x v="812"/>
    <x v="402"/>
    <x v="0"/>
  </r>
  <r>
    <x v="1403"/>
    <x v="546"/>
    <x v="538"/>
    <x v="531"/>
    <x v="1114"/>
    <x v="1"/>
    <x v="2"/>
    <x v="547"/>
    <x v="476"/>
    <x v="1"/>
    <x v="269"/>
    <x v="0"/>
    <x v="0"/>
    <x v="1"/>
    <x v="1"/>
    <x v="1"/>
    <x v="2"/>
    <x v="1"/>
    <x v="3"/>
    <x v="1"/>
    <x v="1"/>
    <x v="321"/>
    <x v="1"/>
    <x v="1"/>
    <x v="2"/>
    <x v="542"/>
    <x v="14"/>
    <x v="1"/>
    <x v="4"/>
    <x v="1"/>
    <x v="0"/>
    <x v="813"/>
    <x v="403"/>
    <x v="0"/>
  </r>
  <r>
    <x v="1404"/>
    <x v="315"/>
    <x v="316"/>
    <x v="311"/>
    <x v="1115"/>
    <x v="1"/>
    <x v="2"/>
    <x v="329"/>
    <x v="10"/>
    <x v="1"/>
    <x v="24"/>
    <x v="0"/>
    <x v="0"/>
    <x v="1"/>
    <x v="1"/>
    <x v="1"/>
    <x v="2"/>
    <x v="1"/>
    <x v="2"/>
    <x v="1"/>
    <x v="1"/>
    <x v="321"/>
    <x v="1"/>
    <x v="1"/>
    <x v="2"/>
    <x v="317"/>
    <x v="14"/>
    <x v="1"/>
    <x v="4"/>
    <x v="1"/>
    <x v="0"/>
    <x v="814"/>
    <x v="0"/>
    <x v="0"/>
  </r>
  <r>
    <x v="1405"/>
    <x v="315"/>
    <x v="316"/>
    <x v="311"/>
    <x v="0"/>
    <x v="1"/>
    <x v="2"/>
    <x v="329"/>
    <x v="10"/>
    <x v="1"/>
    <x v="24"/>
    <x v="0"/>
    <x v="0"/>
    <x v="3"/>
    <x v="1"/>
    <x v="1"/>
    <x v="2"/>
    <x v="1"/>
    <x v="2"/>
    <x v="1"/>
    <x v="1"/>
    <x v="322"/>
    <x v="2"/>
    <x v="3"/>
    <x v="4"/>
    <x v="317"/>
    <x v="1"/>
    <x v="1"/>
    <x v="4"/>
    <x v="1"/>
    <x v="0"/>
    <x v="815"/>
    <x v="404"/>
    <x v="0"/>
  </r>
  <r>
    <x v="1406"/>
    <x v="658"/>
    <x v="642"/>
    <x v="637"/>
    <x v="1116"/>
    <x v="3"/>
    <x v="1"/>
    <x v="638"/>
    <x v="477"/>
    <x v="1"/>
    <x v="193"/>
    <x v="0"/>
    <x v="0"/>
    <x v="1"/>
    <x v="1"/>
    <x v="1"/>
    <x v="2"/>
    <x v="1"/>
    <x v="2"/>
    <x v="1"/>
    <x v="2"/>
    <x v="0"/>
    <x v="2"/>
    <x v="2"/>
    <x v="2"/>
    <x v="652"/>
    <x v="3"/>
    <x v="0"/>
    <x v="0"/>
    <x v="1"/>
    <x v="0"/>
    <x v="0"/>
    <x v="0"/>
    <x v="0"/>
  </r>
  <r>
    <x v="1407"/>
    <x v="659"/>
    <x v="643"/>
    <x v="638"/>
    <x v="1117"/>
    <x v="1"/>
    <x v="2"/>
    <x v="639"/>
    <x v="478"/>
    <x v="1"/>
    <x v="217"/>
    <x v="0"/>
    <x v="0"/>
    <x v="1"/>
    <x v="2"/>
    <x v="3"/>
    <x v="2"/>
    <x v="2"/>
    <x v="1"/>
    <x v="1"/>
    <x v="1"/>
    <x v="322"/>
    <x v="1"/>
    <x v="1"/>
    <x v="2"/>
    <x v="653"/>
    <x v="3"/>
    <x v="3"/>
    <x v="0"/>
    <x v="1"/>
    <x v="0"/>
    <x v="816"/>
    <x v="405"/>
    <x v="0"/>
  </r>
  <r>
    <x v="1408"/>
    <x v="546"/>
    <x v="538"/>
    <x v="531"/>
    <x v="0"/>
    <x v="1"/>
    <x v="2"/>
    <x v="547"/>
    <x v="476"/>
    <x v="1"/>
    <x v="8"/>
    <x v="0"/>
    <x v="0"/>
    <x v="3"/>
    <x v="1"/>
    <x v="1"/>
    <x v="2"/>
    <x v="1"/>
    <x v="2"/>
    <x v="1"/>
    <x v="2"/>
    <x v="0"/>
    <x v="2"/>
    <x v="3"/>
    <x v="4"/>
    <x v="542"/>
    <x v="1"/>
    <x v="0"/>
    <x v="0"/>
    <x v="1"/>
    <x v="0"/>
    <x v="0"/>
    <x v="0"/>
    <x v="0"/>
  </r>
  <r>
    <x v="1409"/>
    <x v="660"/>
    <x v="644"/>
    <x v="639"/>
    <x v="1118"/>
    <x v="1"/>
    <x v="1"/>
    <x v="640"/>
    <x v="479"/>
    <x v="1"/>
    <x v="9"/>
    <x v="0"/>
    <x v="0"/>
    <x v="1"/>
    <x v="2"/>
    <x v="3"/>
    <x v="2"/>
    <x v="1"/>
    <x v="2"/>
    <x v="1"/>
    <x v="1"/>
    <x v="323"/>
    <x v="1"/>
    <x v="1"/>
    <x v="2"/>
    <x v="654"/>
    <x v="3"/>
    <x v="3"/>
    <x v="0"/>
    <x v="1"/>
    <x v="0"/>
    <x v="817"/>
    <x v="406"/>
    <x v="0"/>
  </r>
  <r>
    <x v="1410"/>
    <x v="661"/>
    <x v="645"/>
    <x v="640"/>
    <x v="1119"/>
    <x v="1"/>
    <x v="3"/>
    <x v="641"/>
    <x v="480"/>
    <x v="1"/>
    <x v="3"/>
    <x v="0"/>
    <x v="0"/>
    <x v="1"/>
    <x v="3"/>
    <x v="2"/>
    <x v="2"/>
    <x v="1"/>
    <x v="2"/>
    <x v="1"/>
    <x v="1"/>
    <x v="323"/>
    <x v="1"/>
    <x v="1"/>
    <x v="5"/>
    <x v="655"/>
    <x v="14"/>
    <x v="3"/>
    <x v="0"/>
    <x v="1"/>
    <x v="0"/>
    <x v="818"/>
    <x v="407"/>
    <x v="375"/>
  </r>
  <r>
    <x v="1411"/>
    <x v="662"/>
    <x v="646"/>
    <x v="641"/>
    <x v="1120"/>
    <x v="1"/>
    <x v="2"/>
    <x v="642"/>
    <x v="158"/>
    <x v="1"/>
    <x v="270"/>
    <x v="0"/>
    <x v="0"/>
    <x v="1"/>
    <x v="1"/>
    <x v="1"/>
    <x v="2"/>
    <x v="2"/>
    <x v="1"/>
    <x v="1"/>
    <x v="2"/>
    <x v="0"/>
    <x v="1"/>
    <x v="1"/>
    <x v="2"/>
    <x v="656"/>
    <x v="1"/>
    <x v="0"/>
    <x v="0"/>
    <x v="1"/>
    <x v="0"/>
    <x v="0"/>
    <x v="0"/>
    <x v="0"/>
  </r>
  <r>
    <x v="1412"/>
    <x v="315"/>
    <x v="316"/>
    <x v="311"/>
    <x v="0"/>
    <x v="1"/>
    <x v="2"/>
    <x v="643"/>
    <x v="10"/>
    <x v="1"/>
    <x v="24"/>
    <x v="0"/>
    <x v="0"/>
    <x v="3"/>
    <x v="1"/>
    <x v="1"/>
    <x v="2"/>
    <x v="1"/>
    <x v="2"/>
    <x v="1"/>
    <x v="2"/>
    <x v="0"/>
    <x v="2"/>
    <x v="3"/>
    <x v="4"/>
    <x v="317"/>
    <x v="1"/>
    <x v="0"/>
    <x v="0"/>
    <x v="1"/>
    <x v="0"/>
    <x v="0"/>
    <x v="0"/>
    <x v="0"/>
  </r>
  <r>
    <x v="1413"/>
    <x v="663"/>
    <x v="647"/>
    <x v="642"/>
    <x v="1121"/>
    <x v="3"/>
    <x v="2"/>
    <x v="644"/>
    <x v="481"/>
    <x v="1"/>
    <x v="9"/>
    <x v="0"/>
    <x v="0"/>
    <x v="1"/>
    <x v="1"/>
    <x v="1"/>
    <x v="2"/>
    <x v="2"/>
    <x v="1"/>
    <x v="3"/>
    <x v="1"/>
    <x v="323"/>
    <x v="1"/>
    <x v="6"/>
    <x v="3"/>
    <x v="657"/>
    <x v="14"/>
    <x v="1"/>
    <x v="5"/>
    <x v="2"/>
    <x v="1"/>
    <x v="819"/>
    <x v="0"/>
    <x v="0"/>
  </r>
  <r>
    <x v="1414"/>
    <x v="663"/>
    <x v="647"/>
    <x v="642"/>
    <x v="1122"/>
    <x v="3"/>
    <x v="2"/>
    <x v="645"/>
    <x v="481"/>
    <x v="1"/>
    <x v="9"/>
    <x v="0"/>
    <x v="0"/>
    <x v="3"/>
    <x v="1"/>
    <x v="2"/>
    <x v="1"/>
    <x v="2"/>
    <x v="3"/>
    <x v="1"/>
    <x v="2"/>
    <x v="0"/>
    <x v="1"/>
    <x v="3"/>
    <x v="4"/>
    <x v="657"/>
    <x v="2"/>
    <x v="0"/>
    <x v="0"/>
    <x v="1"/>
    <x v="0"/>
    <x v="0"/>
    <x v="0"/>
    <x v="0"/>
  </r>
  <r>
    <x v="1415"/>
    <x v="435"/>
    <x v="432"/>
    <x v="427"/>
    <x v="1123"/>
    <x v="1"/>
    <x v="2"/>
    <x v="442"/>
    <x v="482"/>
    <x v="1"/>
    <x v="271"/>
    <x v="0"/>
    <x v="0"/>
    <x v="1"/>
    <x v="1"/>
    <x v="1"/>
    <x v="2"/>
    <x v="1"/>
    <x v="2"/>
    <x v="1"/>
    <x v="1"/>
    <x v="324"/>
    <x v="1"/>
    <x v="1"/>
    <x v="2"/>
    <x v="435"/>
    <x v="12"/>
    <x v="3"/>
    <x v="0"/>
    <x v="1"/>
    <x v="0"/>
    <x v="820"/>
    <x v="408"/>
    <x v="0"/>
  </r>
  <r>
    <x v="1416"/>
    <x v="652"/>
    <x v="637"/>
    <x v="632"/>
    <x v="1124"/>
    <x v="1"/>
    <x v="2"/>
    <x v="635"/>
    <x v="473"/>
    <x v="1"/>
    <x v="31"/>
    <x v="0"/>
    <x v="0"/>
    <x v="1"/>
    <x v="1"/>
    <x v="1"/>
    <x v="2"/>
    <x v="1"/>
    <x v="3"/>
    <x v="4"/>
    <x v="1"/>
    <x v="324"/>
    <x v="1"/>
    <x v="1"/>
    <x v="2"/>
    <x v="658"/>
    <x v="1"/>
    <x v="1"/>
    <x v="13"/>
    <x v="1"/>
    <x v="0"/>
    <x v="821"/>
    <x v="0"/>
    <x v="376"/>
  </r>
  <r>
    <x v="1417"/>
    <x v="664"/>
    <x v="648"/>
    <x v="643"/>
    <x v="1125"/>
    <x v="1"/>
    <x v="2"/>
    <x v="646"/>
    <x v="483"/>
    <x v="1"/>
    <x v="272"/>
    <x v="0"/>
    <x v="0"/>
    <x v="1"/>
    <x v="3"/>
    <x v="4"/>
    <x v="2"/>
    <x v="1"/>
    <x v="2"/>
    <x v="1"/>
    <x v="2"/>
    <x v="324"/>
    <x v="1"/>
    <x v="1"/>
    <x v="2"/>
    <x v="659"/>
    <x v="12"/>
    <x v="3"/>
    <x v="0"/>
    <x v="1"/>
    <x v="0"/>
    <x v="822"/>
    <x v="409"/>
    <x v="0"/>
  </r>
  <r>
    <x v="1418"/>
    <x v="665"/>
    <x v="649"/>
    <x v="644"/>
    <x v="1126"/>
    <x v="1"/>
    <x v="2"/>
    <x v="647"/>
    <x v="484"/>
    <x v="1"/>
    <x v="9"/>
    <x v="0"/>
    <x v="0"/>
    <x v="1"/>
    <x v="2"/>
    <x v="3"/>
    <x v="2"/>
    <x v="1"/>
    <x v="1"/>
    <x v="1"/>
    <x v="1"/>
    <x v="324"/>
    <x v="1"/>
    <x v="6"/>
    <x v="3"/>
    <x v="660"/>
    <x v="14"/>
    <x v="3"/>
    <x v="0"/>
    <x v="1"/>
    <x v="0"/>
    <x v="823"/>
    <x v="410"/>
    <x v="377"/>
  </r>
  <r>
    <x v="1419"/>
    <x v="666"/>
    <x v="637"/>
    <x v="632"/>
    <x v="0"/>
    <x v="1"/>
    <x v="2"/>
    <x v="635"/>
    <x v="473"/>
    <x v="1"/>
    <x v="31"/>
    <x v="0"/>
    <x v="0"/>
    <x v="3"/>
    <x v="1"/>
    <x v="1"/>
    <x v="2"/>
    <x v="1"/>
    <x v="2"/>
    <x v="1"/>
    <x v="2"/>
    <x v="0"/>
    <x v="2"/>
    <x v="3"/>
    <x v="4"/>
    <x v="658"/>
    <x v="14"/>
    <x v="0"/>
    <x v="0"/>
    <x v="1"/>
    <x v="0"/>
    <x v="0"/>
    <x v="0"/>
    <x v="0"/>
  </r>
  <r>
    <x v="1420"/>
    <x v="639"/>
    <x v="624"/>
    <x v="618"/>
    <x v="1127"/>
    <x v="1"/>
    <x v="3"/>
    <x v="622"/>
    <x v="456"/>
    <x v="1"/>
    <x v="273"/>
    <x v="0"/>
    <x v="0"/>
    <x v="1"/>
    <x v="1"/>
    <x v="2"/>
    <x v="2"/>
    <x v="1"/>
    <x v="2"/>
    <x v="1"/>
    <x v="1"/>
    <x v="325"/>
    <x v="1"/>
    <x v="6"/>
    <x v="3"/>
    <x v="633"/>
    <x v="14"/>
    <x v="1"/>
    <x v="3"/>
    <x v="2"/>
    <x v="1"/>
    <x v="824"/>
    <x v="0"/>
    <x v="0"/>
  </r>
  <r>
    <x v="1421"/>
    <x v="667"/>
    <x v="650"/>
    <x v="645"/>
    <x v="1128"/>
    <x v="1"/>
    <x v="3"/>
    <x v="648"/>
    <x v="485"/>
    <x v="2"/>
    <x v="0"/>
    <x v="5"/>
    <x v="0"/>
    <x v="1"/>
    <x v="2"/>
    <x v="3"/>
    <x v="2"/>
    <x v="1"/>
    <x v="2"/>
    <x v="1"/>
    <x v="1"/>
    <x v="325"/>
    <x v="1"/>
    <x v="6"/>
    <x v="2"/>
    <x v="661"/>
    <x v="12"/>
    <x v="1"/>
    <x v="3"/>
    <x v="1"/>
    <x v="0"/>
    <x v="825"/>
    <x v="0"/>
    <x v="0"/>
  </r>
  <r>
    <x v="1422"/>
    <x v="668"/>
    <x v="651"/>
    <x v="646"/>
    <x v="1128"/>
    <x v="1"/>
    <x v="2"/>
    <x v="649"/>
    <x v="486"/>
    <x v="1"/>
    <x v="2"/>
    <x v="0"/>
    <x v="0"/>
    <x v="1"/>
    <x v="1"/>
    <x v="1"/>
    <x v="1"/>
    <x v="1"/>
    <x v="2"/>
    <x v="1"/>
    <x v="1"/>
    <x v="326"/>
    <x v="1"/>
    <x v="6"/>
    <x v="2"/>
    <x v="662"/>
    <x v="12"/>
    <x v="1"/>
    <x v="7"/>
    <x v="2"/>
    <x v="1"/>
    <x v="826"/>
    <x v="0"/>
    <x v="0"/>
  </r>
  <r>
    <x v="1423"/>
    <x v="668"/>
    <x v="651"/>
    <x v="646"/>
    <x v="1129"/>
    <x v="1"/>
    <x v="2"/>
    <x v="649"/>
    <x v="486"/>
    <x v="1"/>
    <x v="2"/>
    <x v="0"/>
    <x v="0"/>
    <x v="3"/>
    <x v="1"/>
    <x v="1"/>
    <x v="2"/>
    <x v="1"/>
    <x v="2"/>
    <x v="1"/>
    <x v="2"/>
    <x v="0"/>
    <x v="1"/>
    <x v="3"/>
    <x v="4"/>
    <x v="662"/>
    <x v="12"/>
    <x v="0"/>
    <x v="0"/>
    <x v="1"/>
    <x v="0"/>
    <x v="0"/>
    <x v="0"/>
    <x v="0"/>
  </r>
  <r>
    <x v="1424"/>
    <x v="667"/>
    <x v="650"/>
    <x v="645"/>
    <x v="0"/>
    <x v="1"/>
    <x v="3"/>
    <x v="648"/>
    <x v="485"/>
    <x v="1"/>
    <x v="217"/>
    <x v="0"/>
    <x v="0"/>
    <x v="3"/>
    <x v="4"/>
    <x v="1"/>
    <x v="2"/>
    <x v="1"/>
    <x v="2"/>
    <x v="1"/>
    <x v="2"/>
    <x v="0"/>
    <x v="2"/>
    <x v="3"/>
    <x v="4"/>
    <x v="661"/>
    <x v="3"/>
    <x v="0"/>
    <x v="0"/>
    <x v="1"/>
    <x v="0"/>
    <x v="0"/>
    <x v="0"/>
    <x v="0"/>
  </r>
  <r>
    <x v="1425"/>
    <x v="639"/>
    <x v="624"/>
    <x v="618"/>
    <x v="1130"/>
    <x v="1"/>
    <x v="2"/>
    <x v="650"/>
    <x v="456"/>
    <x v="1"/>
    <x v="31"/>
    <x v="0"/>
    <x v="0"/>
    <x v="3"/>
    <x v="1"/>
    <x v="1"/>
    <x v="2"/>
    <x v="1"/>
    <x v="2"/>
    <x v="1"/>
    <x v="2"/>
    <x v="0"/>
    <x v="1"/>
    <x v="3"/>
    <x v="4"/>
    <x v="633"/>
    <x v="3"/>
    <x v="0"/>
    <x v="0"/>
    <x v="1"/>
    <x v="0"/>
    <x v="0"/>
    <x v="0"/>
    <x v="0"/>
  </r>
  <r>
    <x v="1426"/>
    <x v="669"/>
    <x v="652"/>
    <x v="647"/>
    <x v="1131"/>
    <x v="3"/>
    <x v="2"/>
    <x v="651"/>
    <x v="484"/>
    <x v="1"/>
    <x v="2"/>
    <x v="0"/>
    <x v="0"/>
    <x v="1"/>
    <x v="3"/>
    <x v="2"/>
    <x v="1"/>
    <x v="1"/>
    <x v="3"/>
    <x v="1"/>
    <x v="1"/>
    <x v="327"/>
    <x v="2"/>
    <x v="1"/>
    <x v="2"/>
    <x v="663"/>
    <x v="3"/>
    <x v="1"/>
    <x v="13"/>
    <x v="2"/>
    <x v="1"/>
    <x v="827"/>
    <x v="0"/>
    <x v="378"/>
  </r>
  <r>
    <x v="1427"/>
    <x v="670"/>
    <x v="653"/>
    <x v="648"/>
    <x v="1132"/>
    <x v="3"/>
    <x v="2"/>
    <x v="652"/>
    <x v="487"/>
    <x v="1"/>
    <x v="9"/>
    <x v="0"/>
    <x v="0"/>
    <x v="1"/>
    <x v="3"/>
    <x v="3"/>
    <x v="2"/>
    <x v="1"/>
    <x v="2"/>
    <x v="1"/>
    <x v="1"/>
    <x v="327"/>
    <x v="1"/>
    <x v="6"/>
    <x v="2"/>
    <x v="664"/>
    <x v="5"/>
    <x v="3"/>
    <x v="0"/>
    <x v="1"/>
    <x v="0"/>
    <x v="828"/>
    <x v="0"/>
    <x v="241"/>
  </r>
  <r>
    <x v="1428"/>
    <x v="671"/>
    <x v="15"/>
    <x v="15"/>
    <x v="1133"/>
    <x v="1"/>
    <x v="2"/>
    <x v="17"/>
    <x v="488"/>
    <x v="1"/>
    <x v="31"/>
    <x v="0"/>
    <x v="0"/>
    <x v="1"/>
    <x v="2"/>
    <x v="3"/>
    <x v="2"/>
    <x v="1"/>
    <x v="2"/>
    <x v="1"/>
    <x v="1"/>
    <x v="327"/>
    <x v="1"/>
    <x v="1"/>
    <x v="2"/>
    <x v="15"/>
    <x v="14"/>
    <x v="1"/>
    <x v="13"/>
    <x v="2"/>
    <x v="1"/>
    <x v="827"/>
    <x v="0"/>
    <x v="379"/>
  </r>
  <r>
    <x v="1429"/>
    <x v="669"/>
    <x v="652"/>
    <x v="647"/>
    <x v="0"/>
    <x v="3"/>
    <x v="2"/>
    <x v="651"/>
    <x v="484"/>
    <x v="1"/>
    <x v="2"/>
    <x v="0"/>
    <x v="0"/>
    <x v="3"/>
    <x v="3"/>
    <x v="3"/>
    <x v="2"/>
    <x v="1"/>
    <x v="3"/>
    <x v="1"/>
    <x v="1"/>
    <x v="328"/>
    <x v="2"/>
    <x v="3"/>
    <x v="4"/>
    <x v="663"/>
    <x v="14"/>
    <x v="1"/>
    <x v="5"/>
    <x v="1"/>
    <x v="0"/>
    <x v="829"/>
    <x v="0"/>
    <x v="380"/>
  </r>
  <r>
    <x v="1430"/>
    <x v="652"/>
    <x v="637"/>
    <x v="632"/>
    <x v="1134"/>
    <x v="1"/>
    <x v="2"/>
    <x v="635"/>
    <x v="10"/>
    <x v="1"/>
    <x v="31"/>
    <x v="0"/>
    <x v="0"/>
    <x v="1"/>
    <x v="2"/>
    <x v="3"/>
    <x v="2"/>
    <x v="1"/>
    <x v="2"/>
    <x v="1"/>
    <x v="1"/>
    <x v="327"/>
    <x v="1"/>
    <x v="1"/>
    <x v="2"/>
    <x v="658"/>
    <x v="14"/>
    <x v="1"/>
    <x v="1"/>
    <x v="1"/>
    <x v="0"/>
    <x v="830"/>
    <x v="411"/>
    <x v="381"/>
  </r>
  <r>
    <x v="1431"/>
    <x v="672"/>
    <x v="654"/>
    <x v="649"/>
    <x v="1135"/>
    <x v="3"/>
    <x v="2"/>
    <x v="653"/>
    <x v="10"/>
    <x v="1"/>
    <x v="1"/>
    <x v="0"/>
    <x v="0"/>
    <x v="1"/>
    <x v="2"/>
    <x v="3"/>
    <x v="2"/>
    <x v="1"/>
    <x v="2"/>
    <x v="1"/>
    <x v="1"/>
    <x v="328"/>
    <x v="1"/>
    <x v="1"/>
    <x v="2"/>
    <x v="665"/>
    <x v="14"/>
    <x v="3"/>
    <x v="0"/>
    <x v="1"/>
    <x v="0"/>
    <x v="831"/>
    <x v="412"/>
    <x v="0"/>
  </r>
  <r>
    <x v="1432"/>
    <x v="652"/>
    <x v="637"/>
    <x v="632"/>
    <x v="0"/>
    <x v="1"/>
    <x v="2"/>
    <x v="635"/>
    <x v="10"/>
    <x v="1"/>
    <x v="31"/>
    <x v="0"/>
    <x v="0"/>
    <x v="3"/>
    <x v="4"/>
    <x v="1"/>
    <x v="2"/>
    <x v="1"/>
    <x v="2"/>
    <x v="1"/>
    <x v="1"/>
    <x v="328"/>
    <x v="2"/>
    <x v="3"/>
    <x v="4"/>
    <x v="658"/>
    <x v="5"/>
    <x v="1"/>
    <x v="4"/>
    <x v="2"/>
    <x v="1"/>
    <x v="832"/>
    <x v="413"/>
    <x v="0"/>
  </r>
  <r>
    <x v="1433"/>
    <x v="671"/>
    <x v="15"/>
    <x v="15"/>
    <x v="0"/>
    <x v="1"/>
    <x v="2"/>
    <x v="17"/>
    <x v="488"/>
    <x v="1"/>
    <x v="31"/>
    <x v="0"/>
    <x v="0"/>
    <x v="3"/>
    <x v="4"/>
    <x v="3"/>
    <x v="2"/>
    <x v="1"/>
    <x v="2"/>
    <x v="1"/>
    <x v="1"/>
    <x v="328"/>
    <x v="2"/>
    <x v="3"/>
    <x v="4"/>
    <x v="15"/>
    <x v="14"/>
    <x v="3"/>
    <x v="0"/>
    <x v="1"/>
    <x v="0"/>
    <x v="833"/>
    <x v="414"/>
    <x v="0"/>
  </r>
  <r>
    <x v="1434"/>
    <x v="673"/>
    <x v="655"/>
    <x v="650"/>
    <x v="1136"/>
    <x v="3"/>
    <x v="1"/>
    <x v="654"/>
    <x v="489"/>
    <x v="1"/>
    <x v="274"/>
    <x v="0"/>
    <x v="0"/>
    <x v="1"/>
    <x v="2"/>
    <x v="3"/>
    <x v="2"/>
    <x v="1"/>
    <x v="2"/>
    <x v="1"/>
    <x v="1"/>
    <x v="328"/>
    <x v="2"/>
    <x v="5"/>
    <x v="2"/>
    <x v="666"/>
    <x v="5"/>
    <x v="3"/>
    <x v="0"/>
    <x v="1"/>
    <x v="0"/>
    <x v="834"/>
    <x v="412"/>
    <x v="0"/>
  </r>
  <r>
    <x v="1435"/>
    <x v="669"/>
    <x v="652"/>
    <x v="647"/>
    <x v="0"/>
    <x v="3"/>
    <x v="2"/>
    <x v="651"/>
    <x v="484"/>
    <x v="1"/>
    <x v="2"/>
    <x v="0"/>
    <x v="0"/>
    <x v="3"/>
    <x v="1"/>
    <x v="1"/>
    <x v="2"/>
    <x v="1"/>
    <x v="3"/>
    <x v="1"/>
    <x v="2"/>
    <x v="0"/>
    <x v="2"/>
    <x v="3"/>
    <x v="4"/>
    <x v="663"/>
    <x v="2"/>
    <x v="0"/>
    <x v="0"/>
    <x v="1"/>
    <x v="0"/>
    <x v="0"/>
    <x v="0"/>
    <x v="0"/>
  </r>
  <r>
    <x v="1436"/>
    <x v="674"/>
    <x v="656"/>
    <x v="651"/>
    <x v="1137"/>
    <x v="1"/>
    <x v="1"/>
    <x v="181"/>
    <x v="490"/>
    <x v="1"/>
    <x v="24"/>
    <x v="0"/>
    <x v="0"/>
    <x v="1"/>
    <x v="3"/>
    <x v="2"/>
    <x v="2"/>
    <x v="1"/>
    <x v="3"/>
    <x v="1"/>
    <x v="1"/>
    <x v="329"/>
    <x v="1"/>
    <x v="1"/>
    <x v="2"/>
    <x v="667"/>
    <x v="2"/>
    <x v="1"/>
    <x v="1"/>
    <x v="2"/>
    <x v="1"/>
    <x v="835"/>
    <x v="0"/>
    <x v="0"/>
  </r>
  <r>
    <x v="1437"/>
    <x v="675"/>
    <x v="657"/>
    <x v="652"/>
    <x v="1138"/>
    <x v="1"/>
    <x v="3"/>
    <x v="655"/>
    <x v="491"/>
    <x v="1"/>
    <x v="9"/>
    <x v="0"/>
    <x v="0"/>
    <x v="1"/>
    <x v="3"/>
    <x v="3"/>
    <x v="1"/>
    <x v="2"/>
    <x v="1"/>
    <x v="1"/>
    <x v="1"/>
    <x v="329"/>
    <x v="1"/>
    <x v="1"/>
    <x v="2"/>
    <x v="668"/>
    <x v="15"/>
    <x v="1"/>
    <x v="1"/>
    <x v="2"/>
    <x v="1"/>
    <x v="836"/>
    <x v="0"/>
    <x v="382"/>
  </r>
  <r>
    <x v="1438"/>
    <x v="652"/>
    <x v="637"/>
    <x v="632"/>
    <x v="1139"/>
    <x v="1"/>
    <x v="2"/>
    <x v="635"/>
    <x v="10"/>
    <x v="1"/>
    <x v="31"/>
    <x v="0"/>
    <x v="0"/>
    <x v="3"/>
    <x v="1"/>
    <x v="1"/>
    <x v="2"/>
    <x v="1"/>
    <x v="2"/>
    <x v="4"/>
    <x v="2"/>
    <x v="0"/>
    <x v="1"/>
    <x v="3"/>
    <x v="4"/>
    <x v="658"/>
    <x v="1"/>
    <x v="0"/>
    <x v="0"/>
    <x v="1"/>
    <x v="0"/>
    <x v="0"/>
    <x v="0"/>
    <x v="0"/>
  </r>
  <r>
    <x v="1439"/>
    <x v="458"/>
    <x v="454"/>
    <x v="448"/>
    <x v="1140"/>
    <x v="1"/>
    <x v="2"/>
    <x v="463"/>
    <x v="492"/>
    <x v="1"/>
    <x v="275"/>
    <x v="0"/>
    <x v="0"/>
    <x v="1"/>
    <x v="1"/>
    <x v="1"/>
    <x v="2"/>
    <x v="1"/>
    <x v="2"/>
    <x v="1"/>
    <x v="2"/>
    <x v="0"/>
    <x v="1"/>
    <x v="1"/>
    <x v="2"/>
    <x v="456"/>
    <x v="12"/>
    <x v="0"/>
    <x v="0"/>
    <x v="1"/>
    <x v="0"/>
    <x v="0"/>
    <x v="0"/>
    <x v="0"/>
  </r>
  <r>
    <x v="1440"/>
    <x v="676"/>
    <x v="658"/>
    <x v="653"/>
    <x v="1141"/>
    <x v="1"/>
    <x v="2"/>
    <x v="656"/>
    <x v="493"/>
    <x v="1"/>
    <x v="9"/>
    <x v="0"/>
    <x v="0"/>
    <x v="1"/>
    <x v="3"/>
    <x v="3"/>
    <x v="2"/>
    <x v="1"/>
    <x v="1"/>
    <x v="1"/>
    <x v="1"/>
    <x v="329"/>
    <x v="1"/>
    <x v="1"/>
    <x v="2"/>
    <x v="669"/>
    <x v="1"/>
    <x v="3"/>
    <x v="0"/>
    <x v="1"/>
    <x v="0"/>
    <x v="837"/>
    <x v="0"/>
    <x v="0"/>
  </r>
  <r>
    <x v="1441"/>
    <x v="674"/>
    <x v="656"/>
    <x v="651"/>
    <x v="1142"/>
    <x v="1"/>
    <x v="1"/>
    <x v="181"/>
    <x v="490"/>
    <x v="1"/>
    <x v="24"/>
    <x v="0"/>
    <x v="0"/>
    <x v="3"/>
    <x v="1"/>
    <x v="1"/>
    <x v="2"/>
    <x v="1"/>
    <x v="2"/>
    <x v="1"/>
    <x v="2"/>
    <x v="0"/>
    <x v="1"/>
    <x v="3"/>
    <x v="4"/>
    <x v="667"/>
    <x v="5"/>
    <x v="0"/>
    <x v="0"/>
    <x v="1"/>
    <x v="0"/>
    <x v="0"/>
    <x v="0"/>
    <x v="0"/>
  </r>
  <r>
    <x v="1442"/>
    <x v="677"/>
    <x v="657"/>
    <x v="652"/>
    <x v="1143"/>
    <x v="1"/>
    <x v="3"/>
    <x v="655"/>
    <x v="491"/>
    <x v="1"/>
    <x v="9"/>
    <x v="0"/>
    <x v="0"/>
    <x v="3"/>
    <x v="3"/>
    <x v="3"/>
    <x v="2"/>
    <x v="1"/>
    <x v="2"/>
    <x v="1"/>
    <x v="1"/>
    <x v="330"/>
    <x v="2"/>
    <x v="3"/>
    <x v="4"/>
    <x v="668"/>
    <x v="5"/>
    <x v="3"/>
    <x v="0"/>
    <x v="1"/>
    <x v="0"/>
    <x v="838"/>
    <x v="415"/>
    <x v="0"/>
  </r>
  <r>
    <x v="1443"/>
    <x v="678"/>
    <x v="659"/>
    <x v="654"/>
    <x v="1144"/>
    <x v="1"/>
    <x v="2"/>
    <x v="657"/>
    <x v="10"/>
    <x v="1"/>
    <x v="4"/>
    <x v="0"/>
    <x v="0"/>
    <x v="1"/>
    <x v="1"/>
    <x v="1"/>
    <x v="2"/>
    <x v="1"/>
    <x v="2"/>
    <x v="1"/>
    <x v="1"/>
    <x v="330"/>
    <x v="1"/>
    <x v="6"/>
    <x v="3"/>
    <x v="670"/>
    <x v="14"/>
    <x v="1"/>
    <x v="13"/>
    <x v="2"/>
    <x v="1"/>
    <x v="839"/>
    <x v="0"/>
    <x v="0"/>
  </r>
  <r>
    <x v="1444"/>
    <x v="678"/>
    <x v="659"/>
    <x v="654"/>
    <x v="1145"/>
    <x v="1"/>
    <x v="2"/>
    <x v="657"/>
    <x v="10"/>
    <x v="1"/>
    <x v="4"/>
    <x v="0"/>
    <x v="0"/>
    <x v="3"/>
    <x v="2"/>
    <x v="3"/>
    <x v="2"/>
    <x v="1"/>
    <x v="2"/>
    <x v="1"/>
    <x v="1"/>
    <x v="331"/>
    <x v="1"/>
    <x v="3"/>
    <x v="4"/>
    <x v="670"/>
    <x v="14"/>
    <x v="1"/>
    <x v="4"/>
    <x v="2"/>
    <x v="1"/>
    <x v="840"/>
    <x v="416"/>
    <x v="0"/>
  </r>
  <r>
    <x v="1445"/>
    <x v="679"/>
    <x v="660"/>
    <x v="655"/>
    <x v="1146"/>
    <x v="1"/>
    <x v="2"/>
    <x v="658"/>
    <x v="494"/>
    <x v="1"/>
    <x v="276"/>
    <x v="0"/>
    <x v="0"/>
    <x v="1"/>
    <x v="1"/>
    <x v="1"/>
    <x v="2"/>
    <x v="1"/>
    <x v="3"/>
    <x v="1"/>
    <x v="1"/>
    <x v="332"/>
    <x v="1"/>
    <x v="1"/>
    <x v="2"/>
    <x v="671"/>
    <x v="12"/>
    <x v="1"/>
    <x v="14"/>
    <x v="1"/>
    <x v="0"/>
    <x v="841"/>
    <x v="0"/>
    <x v="383"/>
  </r>
  <r>
    <x v="1446"/>
    <x v="678"/>
    <x v="659"/>
    <x v="654"/>
    <x v="0"/>
    <x v="1"/>
    <x v="2"/>
    <x v="657"/>
    <x v="495"/>
    <x v="1"/>
    <x v="4"/>
    <x v="0"/>
    <x v="0"/>
    <x v="3"/>
    <x v="1"/>
    <x v="1"/>
    <x v="2"/>
    <x v="1"/>
    <x v="2"/>
    <x v="1"/>
    <x v="2"/>
    <x v="0"/>
    <x v="2"/>
    <x v="3"/>
    <x v="4"/>
    <x v="670"/>
    <x v="1"/>
    <x v="0"/>
    <x v="0"/>
    <x v="1"/>
    <x v="0"/>
    <x v="0"/>
    <x v="0"/>
    <x v="0"/>
  </r>
  <r>
    <x v="1447"/>
    <x v="614"/>
    <x v="599"/>
    <x v="592"/>
    <x v="1147"/>
    <x v="1"/>
    <x v="2"/>
    <x v="40"/>
    <x v="496"/>
    <x v="1"/>
    <x v="277"/>
    <x v="0"/>
    <x v="0"/>
    <x v="1"/>
    <x v="1"/>
    <x v="1"/>
    <x v="2"/>
    <x v="1"/>
    <x v="3"/>
    <x v="4"/>
    <x v="2"/>
    <x v="0"/>
    <x v="1"/>
    <x v="1"/>
    <x v="2"/>
    <x v="608"/>
    <x v="2"/>
    <x v="0"/>
    <x v="0"/>
    <x v="1"/>
    <x v="0"/>
    <x v="0"/>
    <x v="0"/>
    <x v="0"/>
  </r>
  <r>
    <x v="1448"/>
    <x v="438"/>
    <x v="434"/>
    <x v="429"/>
    <x v="1148"/>
    <x v="1"/>
    <x v="2"/>
    <x v="444"/>
    <x v="460"/>
    <x v="1"/>
    <x v="15"/>
    <x v="0"/>
    <x v="0"/>
    <x v="1"/>
    <x v="1"/>
    <x v="1"/>
    <x v="2"/>
    <x v="1"/>
    <x v="2"/>
    <x v="1"/>
    <x v="1"/>
    <x v="333"/>
    <x v="2"/>
    <x v="1"/>
    <x v="2"/>
    <x v="437"/>
    <x v="15"/>
    <x v="1"/>
    <x v="14"/>
    <x v="2"/>
    <x v="1"/>
    <x v="842"/>
    <x v="0"/>
    <x v="194"/>
  </r>
  <r>
    <x v="1449"/>
    <x v="438"/>
    <x v="434"/>
    <x v="429"/>
    <x v="1149"/>
    <x v="1"/>
    <x v="2"/>
    <x v="444"/>
    <x v="460"/>
    <x v="1"/>
    <x v="15"/>
    <x v="0"/>
    <x v="0"/>
    <x v="3"/>
    <x v="1"/>
    <x v="1"/>
    <x v="2"/>
    <x v="1"/>
    <x v="2"/>
    <x v="3"/>
    <x v="2"/>
    <x v="0"/>
    <x v="2"/>
    <x v="1"/>
    <x v="2"/>
    <x v="437"/>
    <x v="15"/>
    <x v="0"/>
    <x v="0"/>
    <x v="1"/>
    <x v="0"/>
    <x v="0"/>
    <x v="0"/>
    <x v="0"/>
  </r>
  <r>
    <x v="1450"/>
    <x v="438"/>
    <x v="434"/>
    <x v="429"/>
    <x v="1150"/>
    <x v="1"/>
    <x v="2"/>
    <x v="444"/>
    <x v="460"/>
    <x v="1"/>
    <x v="22"/>
    <x v="0"/>
    <x v="0"/>
    <x v="1"/>
    <x v="1"/>
    <x v="1"/>
    <x v="1"/>
    <x v="1"/>
    <x v="2"/>
    <x v="1"/>
    <x v="1"/>
    <x v="334"/>
    <x v="2"/>
    <x v="1"/>
    <x v="2"/>
    <x v="437"/>
    <x v="17"/>
    <x v="3"/>
    <x v="0"/>
    <x v="1"/>
    <x v="0"/>
    <x v="843"/>
    <x v="417"/>
    <x v="0"/>
  </r>
  <r>
    <x v="1451"/>
    <x v="680"/>
    <x v="661"/>
    <x v="656"/>
    <x v="1151"/>
    <x v="1"/>
    <x v="3"/>
    <x v="659"/>
    <x v="497"/>
    <x v="1"/>
    <x v="36"/>
    <x v="0"/>
    <x v="0"/>
    <x v="1"/>
    <x v="3"/>
    <x v="2"/>
    <x v="2"/>
    <x v="1"/>
    <x v="3"/>
    <x v="1"/>
    <x v="1"/>
    <x v="335"/>
    <x v="1"/>
    <x v="1"/>
    <x v="2"/>
    <x v="672"/>
    <x v="5"/>
    <x v="1"/>
    <x v="1"/>
    <x v="1"/>
    <x v="0"/>
    <x v="844"/>
    <x v="0"/>
    <x v="0"/>
  </r>
  <r>
    <x v="1452"/>
    <x v="681"/>
    <x v="662"/>
    <x v="657"/>
    <x v="1152"/>
    <x v="1"/>
    <x v="2"/>
    <x v="660"/>
    <x v="10"/>
    <x v="1"/>
    <x v="278"/>
    <x v="0"/>
    <x v="0"/>
    <x v="1"/>
    <x v="2"/>
    <x v="3"/>
    <x v="1"/>
    <x v="1"/>
    <x v="2"/>
    <x v="1"/>
    <x v="1"/>
    <x v="336"/>
    <x v="1"/>
    <x v="1"/>
    <x v="2"/>
    <x v="673"/>
    <x v="2"/>
    <x v="1"/>
    <x v="13"/>
    <x v="2"/>
    <x v="1"/>
    <x v="845"/>
    <x v="0"/>
    <x v="0"/>
  </r>
  <r>
    <x v="1453"/>
    <x v="682"/>
    <x v="663"/>
    <x v="658"/>
    <x v="1153"/>
    <x v="1"/>
    <x v="1"/>
    <x v="661"/>
    <x v="498"/>
    <x v="1"/>
    <x v="279"/>
    <x v="0"/>
    <x v="0"/>
    <x v="1"/>
    <x v="1"/>
    <x v="1"/>
    <x v="2"/>
    <x v="1"/>
    <x v="2"/>
    <x v="4"/>
    <x v="1"/>
    <x v="336"/>
    <x v="1"/>
    <x v="1"/>
    <x v="2"/>
    <x v="674"/>
    <x v="5"/>
    <x v="3"/>
    <x v="0"/>
    <x v="1"/>
    <x v="0"/>
    <x v="846"/>
    <x v="418"/>
    <x v="0"/>
  </r>
  <r>
    <x v="1454"/>
    <x v="680"/>
    <x v="661"/>
    <x v="656"/>
    <x v="0"/>
    <x v="1"/>
    <x v="3"/>
    <x v="659"/>
    <x v="497"/>
    <x v="1"/>
    <x v="36"/>
    <x v="0"/>
    <x v="0"/>
    <x v="3"/>
    <x v="1"/>
    <x v="1"/>
    <x v="1"/>
    <x v="1"/>
    <x v="2"/>
    <x v="1"/>
    <x v="1"/>
    <x v="332"/>
    <x v="2"/>
    <x v="3"/>
    <x v="4"/>
    <x v="672"/>
    <x v="5"/>
    <x v="1"/>
    <x v="1"/>
    <x v="2"/>
    <x v="1"/>
    <x v="847"/>
    <x v="0"/>
    <x v="0"/>
  </r>
  <r>
    <x v="1455"/>
    <x v="683"/>
    <x v="664"/>
    <x v="659"/>
    <x v="1154"/>
    <x v="3"/>
    <x v="2"/>
    <x v="281"/>
    <x v="475"/>
    <x v="1"/>
    <x v="280"/>
    <x v="0"/>
    <x v="0"/>
    <x v="1"/>
    <x v="1"/>
    <x v="1"/>
    <x v="1"/>
    <x v="1"/>
    <x v="3"/>
    <x v="1"/>
    <x v="1"/>
    <x v="336"/>
    <x v="1"/>
    <x v="5"/>
    <x v="2"/>
    <x v="675"/>
    <x v="17"/>
    <x v="3"/>
    <x v="0"/>
    <x v="1"/>
    <x v="0"/>
    <x v="848"/>
    <x v="419"/>
    <x v="384"/>
  </r>
  <r>
    <x v="1456"/>
    <x v="684"/>
    <x v="665"/>
    <x v="660"/>
    <x v="1155"/>
    <x v="3"/>
    <x v="1"/>
    <x v="662"/>
    <x v="440"/>
    <x v="6"/>
    <x v="0"/>
    <x v="0"/>
    <x v="30"/>
    <x v="1"/>
    <x v="2"/>
    <x v="3"/>
    <x v="1"/>
    <x v="1"/>
    <x v="2"/>
    <x v="5"/>
    <x v="1"/>
    <x v="336"/>
    <x v="1"/>
    <x v="5"/>
    <x v="2"/>
    <x v="676"/>
    <x v="5"/>
    <x v="1"/>
    <x v="4"/>
    <x v="1"/>
    <x v="0"/>
    <x v="849"/>
    <x v="0"/>
    <x v="0"/>
  </r>
  <r>
    <x v="1457"/>
    <x v="685"/>
    <x v="666"/>
    <x v="661"/>
    <x v="1156"/>
    <x v="1"/>
    <x v="1"/>
    <x v="663"/>
    <x v="10"/>
    <x v="1"/>
    <x v="281"/>
    <x v="0"/>
    <x v="0"/>
    <x v="1"/>
    <x v="1"/>
    <x v="1"/>
    <x v="1"/>
    <x v="1"/>
    <x v="2"/>
    <x v="1"/>
    <x v="2"/>
    <x v="0"/>
    <x v="1"/>
    <x v="5"/>
    <x v="2"/>
    <x v="677"/>
    <x v="17"/>
    <x v="0"/>
    <x v="0"/>
    <x v="1"/>
    <x v="0"/>
    <x v="0"/>
    <x v="0"/>
    <x v="0"/>
  </r>
  <r>
    <x v="1458"/>
    <x v="686"/>
    <x v="667"/>
    <x v="662"/>
    <x v="1157"/>
    <x v="1"/>
    <x v="1"/>
    <x v="664"/>
    <x v="499"/>
    <x v="1"/>
    <x v="15"/>
    <x v="0"/>
    <x v="0"/>
    <x v="1"/>
    <x v="1"/>
    <x v="1"/>
    <x v="1"/>
    <x v="1"/>
    <x v="2"/>
    <x v="1"/>
    <x v="1"/>
    <x v="336"/>
    <x v="1"/>
    <x v="5"/>
    <x v="2"/>
    <x v="678"/>
    <x v="5"/>
    <x v="1"/>
    <x v="1"/>
    <x v="1"/>
    <x v="0"/>
    <x v="850"/>
    <x v="0"/>
    <x v="194"/>
  </r>
  <r>
    <x v="1459"/>
    <x v="681"/>
    <x v="662"/>
    <x v="657"/>
    <x v="0"/>
    <x v="1"/>
    <x v="2"/>
    <x v="660"/>
    <x v="500"/>
    <x v="1"/>
    <x v="282"/>
    <x v="0"/>
    <x v="0"/>
    <x v="3"/>
    <x v="4"/>
    <x v="1"/>
    <x v="2"/>
    <x v="1"/>
    <x v="2"/>
    <x v="1"/>
    <x v="2"/>
    <x v="0"/>
    <x v="2"/>
    <x v="3"/>
    <x v="4"/>
    <x v="673"/>
    <x v="14"/>
    <x v="0"/>
    <x v="0"/>
    <x v="1"/>
    <x v="0"/>
    <x v="0"/>
    <x v="0"/>
    <x v="0"/>
  </r>
  <r>
    <x v="1460"/>
    <x v="687"/>
    <x v="668"/>
    <x v="663"/>
    <x v="1158"/>
    <x v="1"/>
    <x v="1"/>
    <x v="665"/>
    <x v="455"/>
    <x v="1"/>
    <x v="2"/>
    <x v="0"/>
    <x v="0"/>
    <x v="1"/>
    <x v="3"/>
    <x v="2"/>
    <x v="2"/>
    <x v="1"/>
    <x v="2"/>
    <x v="5"/>
    <x v="1"/>
    <x v="336"/>
    <x v="1"/>
    <x v="2"/>
    <x v="2"/>
    <x v="679"/>
    <x v="5"/>
    <x v="1"/>
    <x v="1"/>
    <x v="1"/>
    <x v="0"/>
    <x v="851"/>
    <x v="0"/>
    <x v="0"/>
  </r>
  <r>
    <x v="1461"/>
    <x v="688"/>
    <x v="669"/>
    <x v="664"/>
    <x v="1159"/>
    <x v="1"/>
    <x v="2"/>
    <x v="666"/>
    <x v="501"/>
    <x v="1"/>
    <x v="15"/>
    <x v="0"/>
    <x v="0"/>
    <x v="1"/>
    <x v="1"/>
    <x v="1"/>
    <x v="1"/>
    <x v="1"/>
    <x v="1"/>
    <x v="1"/>
    <x v="1"/>
    <x v="337"/>
    <x v="1"/>
    <x v="1"/>
    <x v="2"/>
    <x v="680"/>
    <x v="14"/>
    <x v="3"/>
    <x v="0"/>
    <x v="1"/>
    <x v="0"/>
    <x v="852"/>
    <x v="420"/>
    <x v="0"/>
  </r>
  <r>
    <x v="1462"/>
    <x v="684"/>
    <x v="665"/>
    <x v="660"/>
    <x v="0"/>
    <x v="3"/>
    <x v="1"/>
    <x v="662"/>
    <x v="196"/>
    <x v="6"/>
    <x v="0"/>
    <x v="0"/>
    <x v="31"/>
    <x v="3"/>
    <x v="1"/>
    <x v="1"/>
    <x v="1"/>
    <x v="1"/>
    <x v="2"/>
    <x v="5"/>
    <x v="2"/>
    <x v="0"/>
    <x v="2"/>
    <x v="3"/>
    <x v="4"/>
    <x v="676"/>
    <x v="1"/>
    <x v="0"/>
    <x v="0"/>
    <x v="1"/>
    <x v="0"/>
    <x v="0"/>
    <x v="0"/>
    <x v="0"/>
  </r>
  <r>
    <x v="1463"/>
    <x v="689"/>
    <x v="670"/>
    <x v="665"/>
    <x v="1160"/>
    <x v="1"/>
    <x v="2"/>
    <x v="667"/>
    <x v="502"/>
    <x v="1"/>
    <x v="15"/>
    <x v="0"/>
    <x v="0"/>
    <x v="1"/>
    <x v="1"/>
    <x v="1"/>
    <x v="2"/>
    <x v="2"/>
    <x v="1"/>
    <x v="1"/>
    <x v="1"/>
    <x v="337"/>
    <x v="1"/>
    <x v="1"/>
    <x v="2"/>
    <x v="681"/>
    <x v="14"/>
    <x v="1"/>
    <x v="7"/>
    <x v="1"/>
    <x v="0"/>
    <x v="853"/>
    <x v="0"/>
    <x v="0"/>
  </r>
  <r>
    <x v="1464"/>
    <x v="687"/>
    <x v="668"/>
    <x v="663"/>
    <x v="0"/>
    <x v="1"/>
    <x v="1"/>
    <x v="665"/>
    <x v="455"/>
    <x v="1"/>
    <x v="2"/>
    <x v="0"/>
    <x v="0"/>
    <x v="3"/>
    <x v="1"/>
    <x v="1"/>
    <x v="2"/>
    <x v="1"/>
    <x v="2"/>
    <x v="1"/>
    <x v="2"/>
    <x v="0"/>
    <x v="2"/>
    <x v="3"/>
    <x v="4"/>
    <x v="679"/>
    <x v="5"/>
    <x v="0"/>
    <x v="0"/>
    <x v="1"/>
    <x v="0"/>
    <x v="0"/>
    <x v="0"/>
    <x v="0"/>
  </r>
  <r>
    <x v="1465"/>
    <x v="686"/>
    <x v="667"/>
    <x v="662"/>
    <x v="0"/>
    <x v="1"/>
    <x v="1"/>
    <x v="664"/>
    <x v="298"/>
    <x v="1"/>
    <x v="15"/>
    <x v="0"/>
    <x v="0"/>
    <x v="3"/>
    <x v="1"/>
    <x v="1"/>
    <x v="2"/>
    <x v="1"/>
    <x v="1"/>
    <x v="1"/>
    <x v="2"/>
    <x v="0"/>
    <x v="2"/>
    <x v="3"/>
    <x v="4"/>
    <x v="678"/>
    <x v="5"/>
    <x v="0"/>
    <x v="0"/>
    <x v="1"/>
    <x v="0"/>
    <x v="0"/>
    <x v="0"/>
    <x v="0"/>
  </r>
  <r>
    <x v="1466"/>
    <x v="690"/>
    <x v="671"/>
    <x v="666"/>
    <x v="1161"/>
    <x v="1"/>
    <x v="2"/>
    <x v="668"/>
    <x v="268"/>
    <x v="1"/>
    <x v="283"/>
    <x v="0"/>
    <x v="0"/>
    <x v="1"/>
    <x v="1"/>
    <x v="1"/>
    <x v="2"/>
    <x v="1"/>
    <x v="2"/>
    <x v="1"/>
    <x v="2"/>
    <x v="0"/>
    <x v="1"/>
    <x v="1"/>
    <x v="2"/>
    <x v="682"/>
    <x v="14"/>
    <x v="0"/>
    <x v="0"/>
    <x v="1"/>
    <x v="0"/>
    <x v="0"/>
    <x v="0"/>
    <x v="0"/>
  </r>
  <r>
    <x v="1467"/>
    <x v="689"/>
    <x v="670"/>
    <x v="665"/>
    <x v="0"/>
    <x v="1"/>
    <x v="2"/>
    <x v="667"/>
    <x v="503"/>
    <x v="1"/>
    <x v="15"/>
    <x v="0"/>
    <x v="0"/>
    <x v="3"/>
    <x v="1"/>
    <x v="1"/>
    <x v="2"/>
    <x v="1"/>
    <x v="2"/>
    <x v="1"/>
    <x v="2"/>
    <x v="0"/>
    <x v="2"/>
    <x v="3"/>
    <x v="4"/>
    <x v="681"/>
    <x v="12"/>
    <x v="0"/>
    <x v="0"/>
    <x v="1"/>
    <x v="0"/>
    <x v="0"/>
    <x v="0"/>
    <x v="0"/>
  </r>
  <r>
    <x v="1468"/>
    <x v="691"/>
    <x v="672"/>
    <x v="667"/>
    <x v="1162"/>
    <x v="3"/>
    <x v="2"/>
    <x v="243"/>
    <x v="280"/>
    <x v="1"/>
    <x v="3"/>
    <x v="0"/>
    <x v="0"/>
    <x v="1"/>
    <x v="1"/>
    <x v="1"/>
    <x v="2"/>
    <x v="1"/>
    <x v="2"/>
    <x v="1"/>
    <x v="2"/>
    <x v="0"/>
    <x v="1"/>
    <x v="1"/>
    <x v="2"/>
    <x v="683"/>
    <x v="12"/>
    <x v="0"/>
    <x v="0"/>
    <x v="1"/>
    <x v="0"/>
    <x v="0"/>
    <x v="0"/>
    <x v="0"/>
  </r>
  <r>
    <x v="1469"/>
    <x v="692"/>
    <x v="673"/>
    <x v="668"/>
    <x v="1163"/>
    <x v="1"/>
    <x v="2"/>
    <x v="669"/>
    <x v="504"/>
    <x v="1"/>
    <x v="284"/>
    <x v="0"/>
    <x v="0"/>
    <x v="1"/>
    <x v="3"/>
    <x v="2"/>
    <x v="2"/>
    <x v="1"/>
    <x v="1"/>
    <x v="1"/>
    <x v="1"/>
    <x v="338"/>
    <x v="1"/>
    <x v="1"/>
    <x v="2"/>
    <x v="684"/>
    <x v="15"/>
    <x v="1"/>
    <x v="14"/>
    <x v="1"/>
    <x v="0"/>
    <x v="854"/>
    <x v="0"/>
    <x v="308"/>
  </r>
  <r>
    <x v="1470"/>
    <x v="435"/>
    <x v="432"/>
    <x v="427"/>
    <x v="1164"/>
    <x v="1"/>
    <x v="2"/>
    <x v="442"/>
    <x v="505"/>
    <x v="1"/>
    <x v="285"/>
    <x v="0"/>
    <x v="0"/>
    <x v="1"/>
    <x v="1"/>
    <x v="1"/>
    <x v="2"/>
    <x v="1"/>
    <x v="2"/>
    <x v="1"/>
    <x v="2"/>
    <x v="0"/>
    <x v="1"/>
    <x v="5"/>
    <x v="2"/>
    <x v="435"/>
    <x v="12"/>
    <x v="0"/>
    <x v="0"/>
    <x v="1"/>
    <x v="0"/>
    <x v="0"/>
    <x v="0"/>
    <x v="0"/>
  </r>
  <r>
    <x v="1471"/>
    <x v="655"/>
    <x v="639"/>
    <x v="634"/>
    <x v="1165"/>
    <x v="1"/>
    <x v="2"/>
    <x v="636"/>
    <x v="506"/>
    <x v="1"/>
    <x v="9"/>
    <x v="0"/>
    <x v="0"/>
    <x v="1"/>
    <x v="3"/>
    <x v="3"/>
    <x v="2"/>
    <x v="1"/>
    <x v="2"/>
    <x v="1"/>
    <x v="1"/>
    <x v="339"/>
    <x v="1"/>
    <x v="6"/>
    <x v="3"/>
    <x v="649"/>
    <x v="14"/>
    <x v="1"/>
    <x v="4"/>
    <x v="1"/>
    <x v="0"/>
    <x v="855"/>
    <x v="0"/>
    <x v="0"/>
  </r>
  <r>
    <x v="1472"/>
    <x v="693"/>
    <x v="674"/>
    <x v="669"/>
    <x v="1166"/>
    <x v="1"/>
    <x v="2"/>
    <x v="670"/>
    <x v="302"/>
    <x v="2"/>
    <x v="0"/>
    <x v="2"/>
    <x v="0"/>
    <x v="1"/>
    <x v="1"/>
    <x v="1"/>
    <x v="2"/>
    <x v="1"/>
    <x v="2"/>
    <x v="1"/>
    <x v="1"/>
    <x v="339"/>
    <x v="1"/>
    <x v="6"/>
    <x v="3"/>
    <x v="685"/>
    <x v="14"/>
    <x v="1"/>
    <x v="4"/>
    <x v="2"/>
    <x v="1"/>
    <x v="856"/>
    <x v="421"/>
    <x v="0"/>
  </r>
  <r>
    <x v="1473"/>
    <x v="694"/>
    <x v="675"/>
    <x v="670"/>
    <x v="1167"/>
    <x v="1"/>
    <x v="2"/>
    <x v="671"/>
    <x v="10"/>
    <x v="1"/>
    <x v="22"/>
    <x v="0"/>
    <x v="0"/>
    <x v="1"/>
    <x v="1"/>
    <x v="2"/>
    <x v="1"/>
    <x v="1"/>
    <x v="2"/>
    <x v="4"/>
    <x v="1"/>
    <x v="338"/>
    <x v="1"/>
    <x v="6"/>
    <x v="3"/>
    <x v="686"/>
    <x v="14"/>
    <x v="3"/>
    <x v="0"/>
    <x v="1"/>
    <x v="0"/>
    <x v="857"/>
    <x v="422"/>
    <x v="385"/>
  </r>
  <r>
    <x v="1474"/>
    <x v="655"/>
    <x v="639"/>
    <x v="634"/>
    <x v="0"/>
    <x v="1"/>
    <x v="2"/>
    <x v="636"/>
    <x v="506"/>
    <x v="1"/>
    <x v="9"/>
    <x v="0"/>
    <x v="0"/>
    <x v="3"/>
    <x v="4"/>
    <x v="1"/>
    <x v="2"/>
    <x v="1"/>
    <x v="2"/>
    <x v="1"/>
    <x v="2"/>
    <x v="0"/>
    <x v="2"/>
    <x v="3"/>
    <x v="4"/>
    <x v="649"/>
    <x v="1"/>
    <x v="0"/>
    <x v="0"/>
    <x v="1"/>
    <x v="0"/>
    <x v="0"/>
    <x v="0"/>
    <x v="0"/>
  </r>
  <r>
    <x v="1475"/>
    <x v="695"/>
    <x v="676"/>
    <x v="671"/>
    <x v="1168"/>
    <x v="1"/>
    <x v="1"/>
    <x v="672"/>
    <x v="389"/>
    <x v="1"/>
    <x v="286"/>
    <x v="0"/>
    <x v="0"/>
    <x v="1"/>
    <x v="1"/>
    <x v="1"/>
    <x v="2"/>
    <x v="1"/>
    <x v="2"/>
    <x v="1"/>
    <x v="1"/>
    <x v="338"/>
    <x v="1"/>
    <x v="5"/>
    <x v="2"/>
    <x v="687"/>
    <x v="12"/>
    <x v="1"/>
    <x v="7"/>
    <x v="2"/>
    <x v="1"/>
    <x v="858"/>
    <x v="0"/>
    <x v="386"/>
  </r>
  <r>
    <x v="1476"/>
    <x v="696"/>
    <x v="677"/>
    <x v="672"/>
    <x v="1169"/>
    <x v="1"/>
    <x v="2"/>
    <x v="673"/>
    <x v="507"/>
    <x v="1"/>
    <x v="31"/>
    <x v="0"/>
    <x v="0"/>
    <x v="1"/>
    <x v="1"/>
    <x v="1"/>
    <x v="2"/>
    <x v="1"/>
    <x v="3"/>
    <x v="1"/>
    <x v="2"/>
    <x v="0"/>
    <x v="1"/>
    <x v="1"/>
    <x v="2"/>
    <x v="688"/>
    <x v="3"/>
    <x v="0"/>
    <x v="0"/>
    <x v="1"/>
    <x v="0"/>
    <x v="0"/>
    <x v="0"/>
    <x v="0"/>
  </r>
  <r>
    <x v="1477"/>
    <x v="697"/>
    <x v="678"/>
    <x v="673"/>
    <x v="1170"/>
    <x v="1"/>
    <x v="2"/>
    <x v="674"/>
    <x v="318"/>
    <x v="1"/>
    <x v="287"/>
    <x v="0"/>
    <x v="0"/>
    <x v="1"/>
    <x v="1"/>
    <x v="1"/>
    <x v="2"/>
    <x v="1"/>
    <x v="2"/>
    <x v="1"/>
    <x v="2"/>
    <x v="0"/>
    <x v="1"/>
    <x v="1"/>
    <x v="2"/>
    <x v="689"/>
    <x v="15"/>
    <x v="0"/>
    <x v="0"/>
    <x v="1"/>
    <x v="0"/>
    <x v="0"/>
    <x v="0"/>
    <x v="0"/>
  </r>
  <r>
    <x v="1478"/>
    <x v="695"/>
    <x v="676"/>
    <x v="671"/>
    <x v="1171"/>
    <x v="1"/>
    <x v="1"/>
    <x v="672"/>
    <x v="389"/>
    <x v="1"/>
    <x v="288"/>
    <x v="0"/>
    <x v="0"/>
    <x v="3"/>
    <x v="1"/>
    <x v="1"/>
    <x v="2"/>
    <x v="1"/>
    <x v="2"/>
    <x v="1"/>
    <x v="2"/>
    <x v="0"/>
    <x v="1"/>
    <x v="3"/>
    <x v="4"/>
    <x v="687"/>
    <x v="12"/>
    <x v="0"/>
    <x v="0"/>
    <x v="1"/>
    <x v="0"/>
    <x v="0"/>
    <x v="0"/>
    <x v="0"/>
  </r>
  <r>
    <x v="1479"/>
    <x v="335"/>
    <x v="335"/>
    <x v="330"/>
    <x v="1172"/>
    <x v="1"/>
    <x v="2"/>
    <x v="350"/>
    <x v="269"/>
    <x v="2"/>
    <x v="0"/>
    <x v="6"/>
    <x v="0"/>
    <x v="1"/>
    <x v="3"/>
    <x v="3"/>
    <x v="2"/>
    <x v="1"/>
    <x v="2"/>
    <x v="1"/>
    <x v="1"/>
    <x v="340"/>
    <x v="1"/>
    <x v="1"/>
    <x v="2"/>
    <x v="337"/>
    <x v="12"/>
    <x v="1"/>
    <x v="4"/>
    <x v="2"/>
    <x v="1"/>
    <x v="859"/>
    <x v="0"/>
    <x v="0"/>
  </r>
  <r>
    <x v="1480"/>
    <x v="652"/>
    <x v="637"/>
    <x v="632"/>
    <x v="1173"/>
    <x v="1"/>
    <x v="2"/>
    <x v="635"/>
    <x v="390"/>
    <x v="1"/>
    <x v="289"/>
    <x v="0"/>
    <x v="0"/>
    <x v="1"/>
    <x v="1"/>
    <x v="1"/>
    <x v="2"/>
    <x v="1"/>
    <x v="3"/>
    <x v="1"/>
    <x v="2"/>
    <x v="0"/>
    <x v="1"/>
    <x v="1"/>
    <x v="2"/>
    <x v="658"/>
    <x v="15"/>
    <x v="0"/>
    <x v="0"/>
    <x v="1"/>
    <x v="0"/>
    <x v="0"/>
    <x v="0"/>
    <x v="0"/>
  </r>
  <r>
    <x v="1481"/>
    <x v="692"/>
    <x v="673"/>
    <x v="668"/>
    <x v="0"/>
    <x v="1"/>
    <x v="2"/>
    <x v="669"/>
    <x v="504"/>
    <x v="1"/>
    <x v="284"/>
    <x v="0"/>
    <x v="0"/>
    <x v="3"/>
    <x v="1"/>
    <x v="1"/>
    <x v="2"/>
    <x v="1"/>
    <x v="1"/>
    <x v="1"/>
    <x v="2"/>
    <x v="0"/>
    <x v="2"/>
    <x v="3"/>
    <x v="4"/>
    <x v="684"/>
    <x v="15"/>
    <x v="0"/>
    <x v="0"/>
    <x v="1"/>
    <x v="0"/>
    <x v="0"/>
    <x v="0"/>
    <x v="0"/>
  </r>
  <r>
    <x v="1482"/>
    <x v="693"/>
    <x v="674"/>
    <x v="669"/>
    <x v="1174"/>
    <x v="1"/>
    <x v="2"/>
    <x v="670"/>
    <x v="302"/>
    <x v="2"/>
    <x v="0"/>
    <x v="5"/>
    <x v="0"/>
    <x v="3"/>
    <x v="2"/>
    <x v="3"/>
    <x v="1"/>
    <x v="1"/>
    <x v="2"/>
    <x v="1"/>
    <x v="1"/>
    <x v="340"/>
    <x v="1"/>
    <x v="3"/>
    <x v="4"/>
    <x v="685"/>
    <x v="1"/>
    <x v="3"/>
    <x v="0"/>
    <x v="1"/>
    <x v="0"/>
    <x v="860"/>
    <x v="423"/>
    <x v="0"/>
  </r>
  <r>
    <x v="1483"/>
    <x v="698"/>
    <x v="679"/>
    <x v="674"/>
    <x v="1175"/>
    <x v="1"/>
    <x v="2"/>
    <x v="675"/>
    <x v="508"/>
    <x v="1"/>
    <x v="9"/>
    <x v="0"/>
    <x v="0"/>
    <x v="1"/>
    <x v="1"/>
    <x v="1"/>
    <x v="2"/>
    <x v="1"/>
    <x v="2"/>
    <x v="1"/>
    <x v="2"/>
    <x v="0"/>
    <x v="1"/>
    <x v="5"/>
    <x v="2"/>
    <x v="690"/>
    <x v="12"/>
    <x v="0"/>
    <x v="0"/>
    <x v="1"/>
    <x v="0"/>
    <x v="0"/>
    <x v="0"/>
    <x v="0"/>
  </r>
  <r>
    <x v="1484"/>
    <x v="699"/>
    <x v="633"/>
    <x v="627"/>
    <x v="1176"/>
    <x v="1"/>
    <x v="2"/>
    <x v="631"/>
    <x v="509"/>
    <x v="1"/>
    <x v="9"/>
    <x v="0"/>
    <x v="0"/>
    <x v="1"/>
    <x v="1"/>
    <x v="1"/>
    <x v="2"/>
    <x v="1"/>
    <x v="2"/>
    <x v="1"/>
    <x v="2"/>
    <x v="0"/>
    <x v="1"/>
    <x v="1"/>
    <x v="2"/>
    <x v="643"/>
    <x v="3"/>
    <x v="0"/>
    <x v="0"/>
    <x v="1"/>
    <x v="0"/>
    <x v="0"/>
    <x v="0"/>
    <x v="0"/>
  </r>
  <r>
    <x v="1485"/>
    <x v="700"/>
    <x v="680"/>
    <x v="675"/>
    <x v="1177"/>
    <x v="1"/>
    <x v="2"/>
    <x v="676"/>
    <x v="510"/>
    <x v="1"/>
    <x v="15"/>
    <x v="0"/>
    <x v="0"/>
    <x v="1"/>
    <x v="3"/>
    <x v="3"/>
    <x v="2"/>
    <x v="1"/>
    <x v="2"/>
    <x v="1"/>
    <x v="1"/>
    <x v="340"/>
    <x v="1"/>
    <x v="1"/>
    <x v="2"/>
    <x v="691"/>
    <x v="15"/>
    <x v="1"/>
    <x v="14"/>
    <x v="1"/>
    <x v="0"/>
    <x v="861"/>
    <x v="0"/>
    <x v="387"/>
  </r>
  <r>
    <x v="1486"/>
    <x v="335"/>
    <x v="335"/>
    <x v="330"/>
    <x v="0"/>
    <x v="1"/>
    <x v="2"/>
    <x v="350"/>
    <x v="511"/>
    <x v="2"/>
    <x v="0"/>
    <x v="6"/>
    <x v="0"/>
    <x v="3"/>
    <x v="4"/>
    <x v="1"/>
    <x v="2"/>
    <x v="1"/>
    <x v="2"/>
    <x v="1"/>
    <x v="2"/>
    <x v="0"/>
    <x v="2"/>
    <x v="3"/>
    <x v="4"/>
    <x v="337"/>
    <x v="1"/>
    <x v="0"/>
    <x v="0"/>
    <x v="1"/>
    <x v="0"/>
    <x v="0"/>
    <x v="0"/>
    <x v="0"/>
  </r>
  <r>
    <x v="1487"/>
    <x v="701"/>
    <x v="681"/>
    <x v="676"/>
    <x v="1178"/>
    <x v="1"/>
    <x v="2"/>
    <x v="677"/>
    <x v="512"/>
    <x v="1"/>
    <x v="290"/>
    <x v="0"/>
    <x v="0"/>
    <x v="1"/>
    <x v="1"/>
    <x v="1"/>
    <x v="2"/>
    <x v="1"/>
    <x v="3"/>
    <x v="1"/>
    <x v="1"/>
    <x v="332"/>
    <x v="1"/>
    <x v="1"/>
    <x v="2"/>
    <x v="692"/>
    <x v="1"/>
    <x v="1"/>
    <x v="4"/>
    <x v="2"/>
    <x v="1"/>
    <x v="862"/>
    <x v="0"/>
    <x v="0"/>
  </r>
  <r>
    <x v="1488"/>
    <x v="699"/>
    <x v="633"/>
    <x v="627"/>
    <x v="1179"/>
    <x v="1"/>
    <x v="2"/>
    <x v="631"/>
    <x v="513"/>
    <x v="1"/>
    <x v="291"/>
    <x v="0"/>
    <x v="0"/>
    <x v="1"/>
    <x v="2"/>
    <x v="3"/>
    <x v="2"/>
    <x v="1"/>
    <x v="2"/>
    <x v="1"/>
    <x v="1"/>
    <x v="332"/>
    <x v="1"/>
    <x v="1"/>
    <x v="2"/>
    <x v="643"/>
    <x v="3"/>
    <x v="1"/>
    <x v="4"/>
    <x v="2"/>
    <x v="1"/>
    <x v="863"/>
    <x v="0"/>
    <x v="0"/>
  </r>
  <r>
    <x v="1489"/>
    <x v="702"/>
    <x v="682"/>
    <x v="677"/>
    <x v="1180"/>
    <x v="1"/>
    <x v="2"/>
    <x v="678"/>
    <x v="514"/>
    <x v="1"/>
    <x v="292"/>
    <x v="0"/>
    <x v="0"/>
    <x v="1"/>
    <x v="1"/>
    <x v="1"/>
    <x v="1"/>
    <x v="1"/>
    <x v="2"/>
    <x v="1"/>
    <x v="1"/>
    <x v="334"/>
    <x v="1"/>
    <x v="1"/>
    <x v="2"/>
    <x v="693"/>
    <x v="3"/>
    <x v="1"/>
    <x v="4"/>
    <x v="2"/>
    <x v="1"/>
    <x v="864"/>
    <x v="424"/>
    <x v="388"/>
  </r>
  <r>
    <x v="1490"/>
    <x v="703"/>
    <x v="683"/>
    <x v="678"/>
    <x v="1181"/>
    <x v="3"/>
    <x v="2"/>
    <x v="679"/>
    <x v="431"/>
    <x v="1"/>
    <x v="4"/>
    <x v="0"/>
    <x v="0"/>
    <x v="1"/>
    <x v="3"/>
    <x v="3"/>
    <x v="2"/>
    <x v="1"/>
    <x v="1"/>
    <x v="1"/>
    <x v="1"/>
    <x v="332"/>
    <x v="1"/>
    <x v="1"/>
    <x v="2"/>
    <x v="694"/>
    <x v="15"/>
    <x v="1"/>
    <x v="14"/>
    <x v="2"/>
    <x v="1"/>
    <x v="865"/>
    <x v="0"/>
    <x v="0"/>
  </r>
  <r>
    <x v="1491"/>
    <x v="362"/>
    <x v="362"/>
    <x v="357"/>
    <x v="1182"/>
    <x v="1"/>
    <x v="2"/>
    <x v="381"/>
    <x v="291"/>
    <x v="1"/>
    <x v="44"/>
    <x v="0"/>
    <x v="0"/>
    <x v="1"/>
    <x v="1"/>
    <x v="1"/>
    <x v="2"/>
    <x v="1"/>
    <x v="3"/>
    <x v="1"/>
    <x v="2"/>
    <x v="0"/>
    <x v="1"/>
    <x v="1"/>
    <x v="2"/>
    <x v="364"/>
    <x v="3"/>
    <x v="0"/>
    <x v="0"/>
    <x v="1"/>
    <x v="0"/>
    <x v="0"/>
    <x v="0"/>
    <x v="0"/>
  </r>
  <r>
    <x v="1492"/>
    <x v="676"/>
    <x v="658"/>
    <x v="653"/>
    <x v="1183"/>
    <x v="1"/>
    <x v="2"/>
    <x v="656"/>
    <x v="515"/>
    <x v="1"/>
    <x v="9"/>
    <x v="0"/>
    <x v="0"/>
    <x v="1"/>
    <x v="1"/>
    <x v="1"/>
    <x v="2"/>
    <x v="1"/>
    <x v="1"/>
    <x v="1"/>
    <x v="2"/>
    <x v="0"/>
    <x v="1"/>
    <x v="1"/>
    <x v="2"/>
    <x v="669"/>
    <x v="15"/>
    <x v="0"/>
    <x v="0"/>
    <x v="1"/>
    <x v="0"/>
    <x v="0"/>
    <x v="0"/>
    <x v="0"/>
  </r>
  <r>
    <x v="1493"/>
    <x v="654"/>
    <x v="638"/>
    <x v="633"/>
    <x v="1184"/>
    <x v="1"/>
    <x v="2"/>
    <x v="407"/>
    <x v="516"/>
    <x v="1"/>
    <x v="293"/>
    <x v="0"/>
    <x v="0"/>
    <x v="1"/>
    <x v="1"/>
    <x v="1"/>
    <x v="1"/>
    <x v="1"/>
    <x v="2"/>
    <x v="1"/>
    <x v="1"/>
    <x v="340"/>
    <x v="1"/>
    <x v="1"/>
    <x v="2"/>
    <x v="648"/>
    <x v="3"/>
    <x v="1"/>
    <x v="16"/>
    <x v="1"/>
    <x v="0"/>
    <x v="866"/>
    <x v="0"/>
    <x v="0"/>
  </r>
  <r>
    <x v="1494"/>
    <x v="696"/>
    <x v="677"/>
    <x v="672"/>
    <x v="1185"/>
    <x v="1"/>
    <x v="1"/>
    <x v="673"/>
    <x v="507"/>
    <x v="1"/>
    <x v="31"/>
    <x v="0"/>
    <x v="0"/>
    <x v="1"/>
    <x v="1"/>
    <x v="1"/>
    <x v="1"/>
    <x v="1"/>
    <x v="3"/>
    <x v="1"/>
    <x v="2"/>
    <x v="0"/>
    <x v="1"/>
    <x v="1"/>
    <x v="2"/>
    <x v="688"/>
    <x v="17"/>
    <x v="0"/>
    <x v="0"/>
    <x v="1"/>
    <x v="0"/>
    <x v="0"/>
    <x v="0"/>
    <x v="0"/>
  </r>
  <r>
    <x v="1495"/>
    <x v="700"/>
    <x v="680"/>
    <x v="675"/>
    <x v="0"/>
    <x v="1"/>
    <x v="2"/>
    <x v="676"/>
    <x v="510"/>
    <x v="1"/>
    <x v="15"/>
    <x v="0"/>
    <x v="0"/>
    <x v="3"/>
    <x v="1"/>
    <x v="1"/>
    <x v="2"/>
    <x v="1"/>
    <x v="2"/>
    <x v="1"/>
    <x v="2"/>
    <x v="0"/>
    <x v="2"/>
    <x v="3"/>
    <x v="4"/>
    <x v="691"/>
    <x v="15"/>
    <x v="0"/>
    <x v="0"/>
    <x v="1"/>
    <x v="0"/>
    <x v="0"/>
    <x v="0"/>
    <x v="0"/>
  </r>
  <r>
    <x v="1496"/>
    <x v="704"/>
    <x v="684"/>
    <x v="679"/>
    <x v="1186"/>
    <x v="3"/>
    <x v="2"/>
    <x v="680"/>
    <x v="288"/>
    <x v="1"/>
    <x v="294"/>
    <x v="0"/>
    <x v="0"/>
    <x v="1"/>
    <x v="2"/>
    <x v="3"/>
    <x v="2"/>
    <x v="1"/>
    <x v="2"/>
    <x v="1"/>
    <x v="1"/>
    <x v="332"/>
    <x v="1"/>
    <x v="1"/>
    <x v="2"/>
    <x v="695"/>
    <x v="3"/>
    <x v="3"/>
    <x v="0"/>
    <x v="1"/>
    <x v="0"/>
    <x v="867"/>
    <x v="425"/>
    <x v="0"/>
  </r>
  <r>
    <x v="1497"/>
    <x v="705"/>
    <x v="685"/>
    <x v="680"/>
    <x v="1187"/>
    <x v="1"/>
    <x v="2"/>
    <x v="681"/>
    <x v="196"/>
    <x v="6"/>
    <x v="0"/>
    <x v="0"/>
    <x v="10"/>
    <x v="1"/>
    <x v="3"/>
    <x v="1"/>
    <x v="1"/>
    <x v="2"/>
    <x v="1"/>
    <x v="1"/>
    <x v="1"/>
    <x v="334"/>
    <x v="1"/>
    <x v="5"/>
    <x v="2"/>
    <x v="696"/>
    <x v="3"/>
    <x v="1"/>
    <x v="4"/>
    <x v="2"/>
    <x v="1"/>
    <x v="868"/>
    <x v="0"/>
    <x v="0"/>
  </r>
  <r>
    <x v="1498"/>
    <x v="654"/>
    <x v="638"/>
    <x v="633"/>
    <x v="0"/>
    <x v="1"/>
    <x v="2"/>
    <x v="407"/>
    <x v="516"/>
    <x v="1"/>
    <x v="295"/>
    <x v="0"/>
    <x v="0"/>
    <x v="3"/>
    <x v="1"/>
    <x v="1"/>
    <x v="1"/>
    <x v="1"/>
    <x v="2"/>
    <x v="1"/>
    <x v="2"/>
    <x v="0"/>
    <x v="2"/>
    <x v="1"/>
    <x v="4"/>
    <x v="648"/>
    <x v="17"/>
    <x v="0"/>
    <x v="0"/>
    <x v="1"/>
    <x v="0"/>
    <x v="0"/>
    <x v="0"/>
    <x v="0"/>
  </r>
  <r>
    <x v="1499"/>
    <x v="701"/>
    <x v="681"/>
    <x v="676"/>
    <x v="1188"/>
    <x v="1"/>
    <x v="2"/>
    <x v="677"/>
    <x v="517"/>
    <x v="1"/>
    <x v="296"/>
    <x v="0"/>
    <x v="0"/>
    <x v="3"/>
    <x v="1"/>
    <x v="1"/>
    <x v="2"/>
    <x v="1"/>
    <x v="3"/>
    <x v="1"/>
    <x v="2"/>
    <x v="0"/>
    <x v="1"/>
    <x v="3"/>
    <x v="4"/>
    <x v="692"/>
    <x v="1"/>
    <x v="0"/>
    <x v="0"/>
    <x v="1"/>
    <x v="0"/>
    <x v="0"/>
    <x v="0"/>
    <x v="0"/>
  </r>
  <r>
    <x v="1500"/>
    <x v="706"/>
    <x v="686"/>
    <x v="681"/>
    <x v="1189"/>
    <x v="3"/>
    <x v="2"/>
    <x v="682"/>
    <x v="518"/>
    <x v="1"/>
    <x v="33"/>
    <x v="0"/>
    <x v="0"/>
    <x v="1"/>
    <x v="1"/>
    <x v="1"/>
    <x v="2"/>
    <x v="1"/>
    <x v="2"/>
    <x v="1"/>
    <x v="1"/>
    <x v="334"/>
    <x v="1"/>
    <x v="2"/>
    <x v="2"/>
    <x v="697"/>
    <x v="5"/>
    <x v="3"/>
    <x v="0"/>
    <x v="1"/>
    <x v="0"/>
    <x v="869"/>
    <x v="426"/>
    <x v="389"/>
  </r>
  <r>
    <x v="1501"/>
    <x v="699"/>
    <x v="633"/>
    <x v="627"/>
    <x v="1190"/>
    <x v="1"/>
    <x v="2"/>
    <x v="631"/>
    <x v="513"/>
    <x v="1"/>
    <x v="291"/>
    <x v="0"/>
    <x v="0"/>
    <x v="3"/>
    <x v="1"/>
    <x v="1"/>
    <x v="2"/>
    <x v="1"/>
    <x v="2"/>
    <x v="1"/>
    <x v="2"/>
    <x v="0"/>
    <x v="1"/>
    <x v="3"/>
    <x v="4"/>
    <x v="643"/>
    <x v="1"/>
    <x v="0"/>
    <x v="0"/>
    <x v="1"/>
    <x v="0"/>
    <x v="0"/>
    <x v="0"/>
    <x v="0"/>
  </r>
  <r>
    <x v="1502"/>
    <x v="679"/>
    <x v="660"/>
    <x v="655"/>
    <x v="0"/>
    <x v="1"/>
    <x v="2"/>
    <x v="658"/>
    <x v="519"/>
    <x v="1"/>
    <x v="22"/>
    <x v="0"/>
    <x v="0"/>
    <x v="3"/>
    <x v="1"/>
    <x v="1"/>
    <x v="2"/>
    <x v="1"/>
    <x v="1"/>
    <x v="1"/>
    <x v="2"/>
    <x v="0"/>
    <x v="2"/>
    <x v="3"/>
    <x v="4"/>
    <x v="671"/>
    <x v="15"/>
    <x v="0"/>
    <x v="0"/>
    <x v="1"/>
    <x v="0"/>
    <x v="0"/>
    <x v="0"/>
    <x v="0"/>
  </r>
  <r>
    <x v="1503"/>
    <x v="707"/>
    <x v="430"/>
    <x v="425"/>
    <x v="1191"/>
    <x v="1"/>
    <x v="2"/>
    <x v="440"/>
    <x v="341"/>
    <x v="1"/>
    <x v="33"/>
    <x v="0"/>
    <x v="0"/>
    <x v="1"/>
    <x v="1"/>
    <x v="2"/>
    <x v="2"/>
    <x v="1"/>
    <x v="2"/>
    <x v="1"/>
    <x v="1"/>
    <x v="334"/>
    <x v="1"/>
    <x v="1"/>
    <x v="2"/>
    <x v="433"/>
    <x v="5"/>
    <x v="3"/>
    <x v="0"/>
    <x v="1"/>
    <x v="0"/>
    <x v="870"/>
    <x v="427"/>
    <x v="0"/>
  </r>
  <r>
    <x v="1504"/>
    <x v="703"/>
    <x v="683"/>
    <x v="678"/>
    <x v="1192"/>
    <x v="3"/>
    <x v="2"/>
    <x v="679"/>
    <x v="431"/>
    <x v="1"/>
    <x v="4"/>
    <x v="0"/>
    <x v="0"/>
    <x v="3"/>
    <x v="1"/>
    <x v="1"/>
    <x v="2"/>
    <x v="1"/>
    <x v="1"/>
    <x v="1"/>
    <x v="2"/>
    <x v="0"/>
    <x v="1"/>
    <x v="3"/>
    <x v="4"/>
    <x v="694"/>
    <x v="15"/>
    <x v="0"/>
    <x v="0"/>
    <x v="1"/>
    <x v="0"/>
    <x v="0"/>
    <x v="0"/>
    <x v="0"/>
  </r>
  <r>
    <x v="1505"/>
    <x v="680"/>
    <x v="661"/>
    <x v="656"/>
    <x v="1193"/>
    <x v="1"/>
    <x v="3"/>
    <x v="659"/>
    <x v="340"/>
    <x v="1"/>
    <x v="36"/>
    <x v="0"/>
    <x v="0"/>
    <x v="3"/>
    <x v="1"/>
    <x v="1"/>
    <x v="2"/>
    <x v="1"/>
    <x v="2"/>
    <x v="1"/>
    <x v="2"/>
    <x v="0"/>
    <x v="2"/>
    <x v="3"/>
    <x v="4"/>
    <x v="672"/>
    <x v="5"/>
    <x v="0"/>
    <x v="0"/>
    <x v="1"/>
    <x v="0"/>
    <x v="0"/>
    <x v="0"/>
    <x v="0"/>
  </r>
  <r>
    <x v="1506"/>
    <x v="440"/>
    <x v="436"/>
    <x v="431"/>
    <x v="1194"/>
    <x v="1"/>
    <x v="1"/>
    <x v="446"/>
    <x v="340"/>
    <x v="1"/>
    <x v="70"/>
    <x v="0"/>
    <x v="0"/>
    <x v="1"/>
    <x v="1"/>
    <x v="1"/>
    <x v="1"/>
    <x v="1"/>
    <x v="3"/>
    <x v="3"/>
    <x v="2"/>
    <x v="0"/>
    <x v="1"/>
    <x v="2"/>
    <x v="2"/>
    <x v="439"/>
    <x v="5"/>
    <x v="0"/>
    <x v="0"/>
    <x v="1"/>
    <x v="0"/>
    <x v="0"/>
    <x v="0"/>
    <x v="0"/>
  </r>
  <r>
    <x v="1507"/>
    <x v="705"/>
    <x v="685"/>
    <x v="680"/>
    <x v="1195"/>
    <x v="1"/>
    <x v="2"/>
    <x v="681"/>
    <x v="196"/>
    <x v="6"/>
    <x v="0"/>
    <x v="0"/>
    <x v="10"/>
    <x v="3"/>
    <x v="1"/>
    <x v="1"/>
    <x v="2"/>
    <x v="2"/>
    <x v="3"/>
    <x v="4"/>
    <x v="2"/>
    <x v="0"/>
    <x v="1"/>
    <x v="3"/>
    <x v="4"/>
    <x v="696"/>
    <x v="1"/>
    <x v="0"/>
    <x v="0"/>
    <x v="1"/>
    <x v="0"/>
    <x v="0"/>
    <x v="0"/>
    <x v="0"/>
  </r>
  <r>
    <x v="1508"/>
    <x v="708"/>
    <x v="687"/>
    <x v="682"/>
    <x v="1196"/>
    <x v="1"/>
    <x v="2"/>
    <x v="683"/>
    <x v="236"/>
    <x v="1"/>
    <x v="297"/>
    <x v="0"/>
    <x v="0"/>
    <x v="1"/>
    <x v="1"/>
    <x v="1"/>
    <x v="2"/>
    <x v="1"/>
    <x v="2"/>
    <x v="1"/>
    <x v="2"/>
    <x v="0"/>
    <x v="1"/>
    <x v="1"/>
    <x v="2"/>
    <x v="698"/>
    <x v="1"/>
    <x v="0"/>
    <x v="0"/>
    <x v="1"/>
    <x v="0"/>
    <x v="0"/>
    <x v="0"/>
    <x v="0"/>
  </r>
  <r>
    <x v="1509"/>
    <x v="440"/>
    <x v="436"/>
    <x v="431"/>
    <x v="1197"/>
    <x v="1"/>
    <x v="1"/>
    <x v="446"/>
    <x v="340"/>
    <x v="1"/>
    <x v="79"/>
    <x v="0"/>
    <x v="0"/>
    <x v="1"/>
    <x v="1"/>
    <x v="1"/>
    <x v="2"/>
    <x v="1"/>
    <x v="2"/>
    <x v="1"/>
    <x v="2"/>
    <x v="0"/>
    <x v="1"/>
    <x v="2"/>
    <x v="3"/>
    <x v="439"/>
    <x v="17"/>
    <x v="0"/>
    <x v="0"/>
    <x v="1"/>
    <x v="0"/>
    <x v="0"/>
    <x v="0"/>
    <x v="0"/>
  </r>
  <r>
    <x v="1510"/>
    <x v="702"/>
    <x v="682"/>
    <x v="677"/>
    <x v="1198"/>
    <x v="1"/>
    <x v="2"/>
    <x v="678"/>
    <x v="514"/>
    <x v="1"/>
    <x v="292"/>
    <x v="0"/>
    <x v="0"/>
    <x v="3"/>
    <x v="1"/>
    <x v="1"/>
    <x v="1"/>
    <x v="1"/>
    <x v="2"/>
    <x v="4"/>
    <x v="1"/>
    <x v="341"/>
    <x v="1"/>
    <x v="3"/>
    <x v="4"/>
    <x v="693"/>
    <x v="1"/>
    <x v="1"/>
    <x v="14"/>
    <x v="2"/>
    <x v="1"/>
    <x v="871"/>
    <x v="0"/>
    <x v="0"/>
  </r>
  <r>
    <x v="1511"/>
    <x v="709"/>
    <x v="688"/>
    <x v="683"/>
    <x v="1199"/>
    <x v="1"/>
    <x v="2"/>
    <x v="684"/>
    <x v="520"/>
    <x v="1"/>
    <x v="15"/>
    <x v="0"/>
    <x v="0"/>
    <x v="1"/>
    <x v="1"/>
    <x v="1"/>
    <x v="2"/>
    <x v="1"/>
    <x v="2"/>
    <x v="1"/>
    <x v="1"/>
    <x v="342"/>
    <x v="1"/>
    <x v="5"/>
    <x v="3"/>
    <x v="699"/>
    <x v="14"/>
    <x v="1"/>
    <x v="4"/>
    <x v="1"/>
    <x v="0"/>
    <x v="872"/>
    <x v="0"/>
    <x v="0"/>
  </r>
  <r>
    <x v="1512"/>
    <x v="708"/>
    <x v="687"/>
    <x v="682"/>
    <x v="1200"/>
    <x v="1"/>
    <x v="2"/>
    <x v="683"/>
    <x v="236"/>
    <x v="1"/>
    <x v="298"/>
    <x v="0"/>
    <x v="0"/>
    <x v="1"/>
    <x v="1"/>
    <x v="1"/>
    <x v="2"/>
    <x v="1"/>
    <x v="2"/>
    <x v="4"/>
    <x v="1"/>
    <x v="343"/>
    <x v="1"/>
    <x v="1"/>
    <x v="2"/>
    <x v="698"/>
    <x v="1"/>
    <x v="3"/>
    <x v="0"/>
    <x v="1"/>
    <x v="0"/>
    <x v="873"/>
    <x v="0"/>
    <x v="0"/>
  </r>
  <r>
    <x v="1513"/>
    <x v="709"/>
    <x v="688"/>
    <x v="683"/>
    <x v="0"/>
    <x v="1"/>
    <x v="2"/>
    <x v="684"/>
    <x v="520"/>
    <x v="1"/>
    <x v="15"/>
    <x v="0"/>
    <x v="0"/>
    <x v="3"/>
    <x v="1"/>
    <x v="1"/>
    <x v="2"/>
    <x v="1"/>
    <x v="2"/>
    <x v="1"/>
    <x v="2"/>
    <x v="0"/>
    <x v="2"/>
    <x v="3"/>
    <x v="4"/>
    <x v="699"/>
    <x v="1"/>
    <x v="0"/>
    <x v="0"/>
    <x v="1"/>
    <x v="0"/>
    <x v="0"/>
    <x v="0"/>
    <x v="0"/>
  </r>
  <r>
    <x v="1514"/>
    <x v="692"/>
    <x v="673"/>
    <x v="668"/>
    <x v="1201"/>
    <x v="1"/>
    <x v="2"/>
    <x v="669"/>
    <x v="504"/>
    <x v="1"/>
    <x v="123"/>
    <x v="0"/>
    <x v="0"/>
    <x v="1"/>
    <x v="1"/>
    <x v="1"/>
    <x v="1"/>
    <x v="1"/>
    <x v="3"/>
    <x v="1"/>
    <x v="2"/>
    <x v="0"/>
    <x v="1"/>
    <x v="1"/>
    <x v="2"/>
    <x v="684"/>
    <x v="2"/>
    <x v="0"/>
    <x v="0"/>
    <x v="1"/>
    <x v="0"/>
    <x v="0"/>
    <x v="0"/>
    <x v="0"/>
  </r>
  <r>
    <x v="1515"/>
    <x v="674"/>
    <x v="656"/>
    <x v="651"/>
    <x v="1202"/>
    <x v="1"/>
    <x v="1"/>
    <x v="181"/>
    <x v="406"/>
    <x v="1"/>
    <x v="15"/>
    <x v="0"/>
    <x v="0"/>
    <x v="1"/>
    <x v="1"/>
    <x v="1"/>
    <x v="1"/>
    <x v="1"/>
    <x v="1"/>
    <x v="1"/>
    <x v="1"/>
    <x v="342"/>
    <x v="1"/>
    <x v="1"/>
    <x v="2"/>
    <x v="667"/>
    <x v="12"/>
    <x v="1"/>
    <x v="7"/>
    <x v="2"/>
    <x v="1"/>
    <x v="874"/>
    <x v="0"/>
    <x v="390"/>
  </r>
  <r>
    <x v="1516"/>
    <x v="710"/>
    <x v="689"/>
    <x v="684"/>
    <x v="1203"/>
    <x v="3"/>
    <x v="2"/>
    <x v="516"/>
    <x v="59"/>
    <x v="1"/>
    <x v="27"/>
    <x v="0"/>
    <x v="0"/>
    <x v="1"/>
    <x v="1"/>
    <x v="1"/>
    <x v="2"/>
    <x v="1"/>
    <x v="2"/>
    <x v="1"/>
    <x v="2"/>
    <x v="0"/>
    <x v="1"/>
    <x v="1"/>
    <x v="2"/>
    <x v="700"/>
    <x v="15"/>
    <x v="0"/>
    <x v="0"/>
    <x v="1"/>
    <x v="0"/>
    <x v="0"/>
    <x v="0"/>
    <x v="0"/>
  </r>
  <r>
    <x v="1517"/>
    <x v="696"/>
    <x v="677"/>
    <x v="672"/>
    <x v="1204"/>
    <x v="1"/>
    <x v="2"/>
    <x v="673"/>
    <x v="449"/>
    <x v="1"/>
    <x v="299"/>
    <x v="0"/>
    <x v="0"/>
    <x v="1"/>
    <x v="1"/>
    <x v="2"/>
    <x v="1"/>
    <x v="1"/>
    <x v="3"/>
    <x v="1"/>
    <x v="1"/>
    <x v="341"/>
    <x v="1"/>
    <x v="1"/>
    <x v="2"/>
    <x v="688"/>
    <x v="1"/>
    <x v="3"/>
    <x v="0"/>
    <x v="1"/>
    <x v="0"/>
    <x v="875"/>
    <x v="428"/>
    <x v="0"/>
  </r>
  <r>
    <x v="1518"/>
    <x v="674"/>
    <x v="656"/>
    <x v="651"/>
    <x v="0"/>
    <x v="1"/>
    <x v="1"/>
    <x v="181"/>
    <x v="406"/>
    <x v="1"/>
    <x v="15"/>
    <x v="0"/>
    <x v="0"/>
    <x v="3"/>
    <x v="1"/>
    <x v="1"/>
    <x v="1"/>
    <x v="1"/>
    <x v="2"/>
    <x v="1"/>
    <x v="1"/>
    <x v="343"/>
    <x v="2"/>
    <x v="3"/>
    <x v="4"/>
    <x v="667"/>
    <x v="12"/>
    <x v="1"/>
    <x v="1"/>
    <x v="1"/>
    <x v="0"/>
    <x v="876"/>
    <x v="0"/>
    <x v="391"/>
  </r>
  <r>
    <x v="1519"/>
    <x v="711"/>
    <x v="690"/>
    <x v="685"/>
    <x v="1205"/>
    <x v="1"/>
    <x v="2"/>
    <x v="685"/>
    <x v="521"/>
    <x v="1"/>
    <x v="15"/>
    <x v="0"/>
    <x v="0"/>
    <x v="1"/>
    <x v="1"/>
    <x v="1"/>
    <x v="1"/>
    <x v="1"/>
    <x v="2"/>
    <x v="1"/>
    <x v="1"/>
    <x v="343"/>
    <x v="1"/>
    <x v="5"/>
    <x v="2"/>
    <x v="701"/>
    <x v="12"/>
    <x v="1"/>
    <x v="1"/>
    <x v="1"/>
    <x v="0"/>
    <x v="877"/>
    <x v="0"/>
    <x v="0"/>
  </r>
  <r>
    <x v="1520"/>
    <x v="712"/>
    <x v="691"/>
    <x v="686"/>
    <x v="1206"/>
    <x v="1"/>
    <x v="2"/>
    <x v="686"/>
    <x v="522"/>
    <x v="1"/>
    <x v="15"/>
    <x v="0"/>
    <x v="0"/>
    <x v="1"/>
    <x v="1"/>
    <x v="1"/>
    <x v="2"/>
    <x v="1"/>
    <x v="2"/>
    <x v="1"/>
    <x v="1"/>
    <x v="343"/>
    <x v="1"/>
    <x v="6"/>
    <x v="2"/>
    <x v="702"/>
    <x v="5"/>
    <x v="1"/>
    <x v="1"/>
    <x v="1"/>
    <x v="0"/>
    <x v="878"/>
    <x v="0"/>
    <x v="0"/>
  </r>
  <r>
    <x v="1521"/>
    <x v="674"/>
    <x v="656"/>
    <x v="651"/>
    <x v="0"/>
    <x v="1"/>
    <x v="1"/>
    <x v="181"/>
    <x v="406"/>
    <x v="1"/>
    <x v="15"/>
    <x v="0"/>
    <x v="0"/>
    <x v="3"/>
    <x v="1"/>
    <x v="1"/>
    <x v="2"/>
    <x v="1"/>
    <x v="2"/>
    <x v="1"/>
    <x v="1"/>
    <x v="344"/>
    <x v="2"/>
    <x v="3"/>
    <x v="4"/>
    <x v="667"/>
    <x v="5"/>
    <x v="1"/>
    <x v="5"/>
    <x v="2"/>
    <x v="1"/>
    <x v="879"/>
    <x v="0"/>
    <x v="0"/>
  </r>
  <r>
    <x v="1522"/>
    <x v="713"/>
    <x v="692"/>
    <x v="687"/>
    <x v="1207"/>
    <x v="3"/>
    <x v="2"/>
    <x v="73"/>
    <x v="299"/>
    <x v="1"/>
    <x v="2"/>
    <x v="0"/>
    <x v="0"/>
    <x v="1"/>
    <x v="2"/>
    <x v="3"/>
    <x v="1"/>
    <x v="1"/>
    <x v="2"/>
    <x v="4"/>
    <x v="1"/>
    <x v="345"/>
    <x v="1"/>
    <x v="6"/>
    <x v="2"/>
    <x v="703"/>
    <x v="5"/>
    <x v="3"/>
    <x v="0"/>
    <x v="1"/>
    <x v="0"/>
    <x v="880"/>
    <x v="429"/>
    <x v="0"/>
  </r>
  <r>
    <x v="1523"/>
    <x v="712"/>
    <x v="691"/>
    <x v="686"/>
    <x v="1206"/>
    <x v="1"/>
    <x v="2"/>
    <x v="686"/>
    <x v="522"/>
    <x v="1"/>
    <x v="15"/>
    <x v="0"/>
    <x v="0"/>
    <x v="3"/>
    <x v="3"/>
    <x v="3"/>
    <x v="2"/>
    <x v="1"/>
    <x v="2"/>
    <x v="1"/>
    <x v="1"/>
    <x v="345"/>
    <x v="1"/>
    <x v="3"/>
    <x v="4"/>
    <x v="702"/>
    <x v="5"/>
    <x v="3"/>
    <x v="0"/>
    <x v="1"/>
    <x v="0"/>
    <x v="881"/>
    <x v="430"/>
    <x v="0"/>
  </r>
  <r>
    <x v="1524"/>
    <x v="711"/>
    <x v="690"/>
    <x v="685"/>
    <x v="0"/>
    <x v="1"/>
    <x v="2"/>
    <x v="685"/>
    <x v="523"/>
    <x v="1"/>
    <x v="15"/>
    <x v="0"/>
    <x v="0"/>
    <x v="3"/>
    <x v="4"/>
    <x v="1"/>
    <x v="2"/>
    <x v="1"/>
    <x v="2"/>
    <x v="1"/>
    <x v="2"/>
    <x v="0"/>
    <x v="2"/>
    <x v="3"/>
    <x v="4"/>
    <x v="701"/>
    <x v="5"/>
    <x v="0"/>
    <x v="0"/>
    <x v="1"/>
    <x v="0"/>
    <x v="0"/>
    <x v="0"/>
    <x v="0"/>
  </r>
  <r>
    <x v="1525"/>
    <x v="674"/>
    <x v="656"/>
    <x v="651"/>
    <x v="1208"/>
    <x v="1"/>
    <x v="1"/>
    <x v="181"/>
    <x v="406"/>
    <x v="1"/>
    <x v="15"/>
    <x v="0"/>
    <x v="0"/>
    <x v="3"/>
    <x v="1"/>
    <x v="1"/>
    <x v="1"/>
    <x v="1"/>
    <x v="3"/>
    <x v="1"/>
    <x v="2"/>
    <x v="0"/>
    <x v="1"/>
    <x v="3"/>
    <x v="4"/>
    <x v="667"/>
    <x v="2"/>
    <x v="0"/>
    <x v="0"/>
    <x v="1"/>
    <x v="0"/>
    <x v="0"/>
    <x v="0"/>
    <x v="0"/>
  </r>
  <r>
    <x v="1526"/>
    <x v="440"/>
    <x v="436"/>
    <x v="431"/>
    <x v="1209"/>
    <x v="1"/>
    <x v="1"/>
    <x v="446"/>
    <x v="340"/>
    <x v="1"/>
    <x v="57"/>
    <x v="0"/>
    <x v="0"/>
    <x v="1"/>
    <x v="3"/>
    <x v="3"/>
    <x v="1"/>
    <x v="1"/>
    <x v="2"/>
    <x v="1"/>
    <x v="1"/>
    <x v="344"/>
    <x v="1"/>
    <x v="1"/>
    <x v="2"/>
    <x v="439"/>
    <x v="12"/>
    <x v="1"/>
    <x v="7"/>
    <x v="1"/>
    <x v="0"/>
    <x v="882"/>
    <x v="0"/>
    <x v="392"/>
  </r>
  <r>
    <x v="1527"/>
    <x v="714"/>
    <x v="693"/>
    <x v="688"/>
    <x v="1210"/>
    <x v="3"/>
    <x v="1"/>
    <x v="687"/>
    <x v="524"/>
    <x v="1"/>
    <x v="9"/>
    <x v="0"/>
    <x v="0"/>
    <x v="1"/>
    <x v="1"/>
    <x v="1"/>
    <x v="2"/>
    <x v="1"/>
    <x v="1"/>
    <x v="1"/>
    <x v="2"/>
    <x v="0"/>
    <x v="1"/>
    <x v="1"/>
    <x v="2"/>
    <x v="704"/>
    <x v="15"/>
    <x v="0"/>
    <x v="0"/>
    <x v="1"/>
    <x v="0"/>
    <x v="0"/>
    <x v="0"/>
    <x v="0"/>
  </r>
  <r>
    <x v="1528"/>
    <x v="696"/>
    <x v="677"/>
    <x v="672"/>
    <x v="1211"/>
    <x v="1"/>
    <x v="2"/>
    <x v="688"/>
    <x v="507"/>
    <x v="1"/>
    <x v="2"/>
    <x v="0"/>
    <x v="0"/>
    <x v="1"/>
    <x v="1"/>
    <x v="1"/>
    <x v="2"/>
    <x v="1"/>
    <x v="3"/>
    <x v="1"/>
    <x v="1"/>
    <x v="344"/>
    <x v="1"/>
    <x v="1"/>
    <x v="2"/>
    <x v="688"/>
    <x v="1"/>
    <x v="3"/>
    <x v="0"/>
    <x v="1"/>
    <x v="0"/>
    <x v="883"/>
    <x v="431"/>
    <x v="0"/>
  </r>
  <r>
    <x v="1529"/>
    <x v="440"/>
    <x v="436"/>
    <x v="431"/>
    <x v="0"/>
    <x v="1"/>
    <x v="1"/>
    <x v="446"/>
    <x v="340"/>
    <x v="1"/>
    <x v="57"/>
    <x v="0"/>
    <x v="0"/>
    <x v="3"/>
    <x v="4"/>
    <x v="1"/>
    <x v="1"/>
    <x v="1"/>
    <x v="2"/>
    <x v="1"/>
    <x v="2"/>
    <x v="0"/>
    <x v="2"/>
    <x v="3"/>
    <x v="4"/>
    <x v="439"/>
    <x v="12"/>
    <x v="0"/>
    <x v="0"/>
    <x v="1"/>
    <x v="0"/>
    <x v="0"/>
    <x v="0"/>
    <x v="0"/>
  </r>
  <r>
    <x v="1530"/>
    <x v="715"/>
    <x v="531"/>
    <x v="523"/>
    <x v="1212"/>
    <x v="1"/>
    <x v="2"/>
    <x v="541"/>
    <x v="525"/>
    <x v="1"/>
    <x v="4"/>
    <x v="0"/>
    <x v="0"/>
    <x v="1"/>
    <x v="1"/>
    <x v="1"/>
    <x v="1"/>
    <x v="1"/>
    <x v="3"/>
    <x v="1"/>
    <x v="2"/>
    <x v="0"/>
    <x v="1"/>
    <x v="1"/>
    <x v="2"/>
    <x v="534"/>
    <x v="2"/>
    <x v="0"/>
    <x v="0"/>
    <x v="1"/>
    <x v="0"/>
    <x v="0"/>
    <x v="0"/>
    <x v="0"/>
  </r>
  <r>
    <x v="1531"/>
    <x v="716"/>
    <x v="694"/>
    <x v="689"/>
    <x v="1213"/>
    <x v="1"/>
    <x v="3"/>
    <x v="689"/>
    <x v="395"/>
    <x v="1"/>
    <x v="300"/>
    <x v="0"/>
    <x v="0"/>
    <x v="1"/>
    <x v="1"/>
    <x v="1"/>
    <x v="2"/>
    <x v="1"/>
    <x v="2"/>
    <x v="1"/>
    <x v="2"/>
    <x v="0"/>
    <x v="1"/>
    <x v="1"/>
    <x v="2"/>
    <x v="705"/>
    <x v="3"/>
    <x v="0"/>
    <x v="0"/>
    <x v="1"/>
    <x v="0"/>
    <x v="0"/>
    <x v="0"/>
    <x v="0"/>
  </r>
  <r>
    <x v="1532"/>
    <x v="702"/>
    <x v="682"/>
    <x v="677"/>
    <x v="1214"/>
    <x v="1"/>
    <x v="1"/>
    <x v="678"/>
    <x v="514"/>
    <x v="1"/>
    <x v="301"/>
    <x v="0"/>
    <x v="0"/>
    <x v="3"/>
    <x v="3"/>
    <x v="3"/>
    <x v="1"/>
    <x v="1"/>
    <x v="1"/>
    <x v="1"/>
    <x v="1"/>
    <x v="346"/>
    <x v="2"/>
    <x v="3"/>
    <x v="4"/>
    <x v="706"/>
    <x v="15"/>
    <x v="1"/>
    <x v="13"/>
    <x v="1"/>
    <x v="0"/>
    <x v="884"/>
    <x v="0"/>
    <x v="393"/>
  </r>
  <r>
    <x v="1533"/>
    <x v="698"/>
    <x v="679"/>
    <x v="674"/>
    <x v="1215"/>
    <x v="1"/>
    <x v="2"/>
    <x v="675"/>
    <x v="508"/>
    <x v="1"/>
    <x v="9"/>
    <x v="0"/>
    <x v="0"/>
    <x v="1"/>
    <x v="2"/>
    <x v="3"/>
    <x v="2"/>
    <x v="1"/>
    <x v="2"/>
    <x v="1"/>
    <x v="1"/>
    <x v="346"/>
    <x v="1"/>
    <x v="5"/>
    <x v="2"/>
    <x v="690"/>
    <x v="3"/>
    <x v="3"/>
    <x v="0"/>
    <x v="1"/>
    <x v="0"/>
    <x v="885"/>
    <x v="432"/>
    <x v="54"/>
  </r>
  <r>
    <x v="1534"/>
    <x v="702"/>
    <x v="682"/>
    <x v="677"/>
    <x v="0"/>
    <x v="1"/>
    <x v="2"/>
    <x v="678"/>
    <x v="514"/>
    <x v="1"/>
    <x v="27"/>
    <x v="0"/>
    <x v="0"/>
    <x v="3"/>
    <x v="1"/>
    <x v="2"/>
    <x v="2"/>
    <x v="1"/>
    <x v="2"/>
    <x v="1"/>
    <x v="1"/>
    <x v="347"/>
    <x v="2"/>
    <x v="3"/>
    <x v="4"/>
    <x v="706"/>
    <x v="14"/>
    <x v="1"/>
    <x v="14"/>
    <x v="1"/>
    <x v="0"/>
    <x v="886"/>
    <x v="0"/>
    <x v="394"/>
  </r>
  <r>
    <x v="1535"/>
    <x v="708"/>
    <x v="687"/>
    <x v="682"/>
    <x v="1216"/>
    <x v="1"/>
    <x v="2"/>
    <x v="683"/>
    <x v="236"/>
    <x v="6"/>
    <x v="0"/>
    <x v="0"/>
    <x v="32"/>
    <x v="1"/>
    <x v="1"/>
    <x v="1"/>
    <x v="2"/>
    <x v="1"/>
    <x v="2"/>
    <x v="1"/>
    <x v="2"/>
    <x v="0"/>
    <x v="1"/>
    <x v="1"/>
    <x v="2"/>
    <x v="698"/>
    <x v="14"/>
    <x v="0"/>
    <x v="0"/>
    <x v="1"/>
    <x v="0"/>
    <x v="0"/>
    <x v="0"/>
    <x v="0"/>
  </r>
  <r>
    <x v="1536"/>
    <x v="717"/>
    <x v="695"/>
    <x v="690"/>
    <x v="1217"/>
    <x v="1"/>
    <x v="2"/>
    <x v="690"/>
    <x v="526"/>
    <x v="2"/>
    <x v="0"/>
    <x v="2"/>
    <x v="0"/>
    <x v="1"/>
    <x v="1"/>
    <x v="1"/>
    <x v="2"/>
    <x v="1"/>
    <x v="2"/>
    <x v="1"/>
    <x v="2"/>
    <x v="0"/>
    <x v="1"/>
    <x v="1"/>
    <x v="2"/>
    <x v="707"/>
    <x v="14"/>
    <x v="0"/>
    <x v="0"/>
    <x v="1"/>
    <x v="0"/>
    <x v="0"/>
    <x v="0"/>
    <x v="0"/>
  </r>
  <r>
    <x v="1537"/>
    <x v="687"/>
    <x v="668"/>
    <x v="663"/>
    <x v="1218"/>
    <x v="1"/>
    <x v="1"/>
    <x v="665"/>
    <x v="527"/>
    <x v="1"/>
    <x v="126"/>
    <x v="0"/>
    <x v="0"/>
    <x v="1"/>
    <x v="3"/>
    <x v="3"/>
    <x v="1"/>
    <x v="1"/>
    <x v="2"/>
    <x v="4"/>
    <x v="1"/>
    <x v="348"/>
    <x v="2"/>
    <x v="1"/>
    <x v="1"/>
    <x v="679"/>
    <x v="2"/>
    <x v="3"/>
    <x v="0"/>
    <x v="1"/>
    <x v="0"/>
    <x v="887"/>
    <x v="433"/>
    <x v="0"/>
  </r>
  <r>
    <x v="1538"/>
    <x v="718"/>
    <x v="696"/>
    <x v="691"/>
    <x v="1219"/>
    <x v="1"/>
    <x v="2"/>
    <x v="691"/>
    <x v="524"/>
    <x v="1"/>
    <x v="9"/>
    <x v="0"/>
    <x v="0"/>
    <x v="1"/>
    <x v="1"/>
    <x v="1"/>
    <x v="1"/>
    <x v="1"/>
    <x v="3"/>
    <x v="1"/>
    <x v="1"/>
    <x v="348"/>
    <x v="1"/>
    <x v="5"/>
    <x v="3"/>
    <x v="708"/>
    <x v="3"/>
    <x v="1"/>
    <x v="3"/>
    <x v="1"/>
    <x v="0"/>
    <x v="888"/>
    <x v="0"/>
    <x v="395"/>
  </r>
  <r>
    <x v="1539"/>
    <x v="719"/>
    <x v="697"/>
    <x v="692"/>
    <x v="1220"/>
    <x v="1"/>
    <x v="1"/>
    <x v="692"/>
    <x v="528"/>
    <x v="1"/>
    <x v="31"/>
    <x v="0"/>
    <x v="0"/>
    <x v="1"/>
    <x v="1"/>
    <x v="1"/>
    <x v="1"/>
    <x v="1"/>
    <x v="2"/>
    <x v="1"/>
    <x v="1"/>
    <x v="348"/>
    <x v="1"/>
    <x v="1"/>
    <x v="2"/>
    <x v="709"/>
    <x v="3"/>
    <x v="3"/>
    <x v="0"/>
    <x v="1"/>
    <x v="0"/>
    <x v="889"/>
    <x v="434"/>
    <x v="396"/>
  </r>
  <r>
    <x v="1540"/>
    <x v="632"/>
    <x v="617"/>
    <x v="611"/>
    <x v="1221"/>
    <x v="1"/>
    <x v="2"/>
    <x v="542"/>
    <x v="10"/>
    <x v="1"/>
    <x v="9"/>
    <x v="0"/>
    <x v="0"/>
    <x v="1"/>
    <x v="2"/>
    <x v="3"/>
    <x v="2"/>
    <x v="1"/>
    <x v="2"/>
    <x v="1"/>
    <x v="1"/>
    <x v="347"/>
    <x v="1"/>
    <x v="1"/>
    <x v="2"/>
    <x v="626"/>
    <x v="1"/>
    <x v="1"/>
    <x v="14"/>
    <x v="1"/>
    <x v="0"/>
    <x v="890"/>
    <x v="0"/>
    <x v="0"/>
  </r>
  <r>
    <x v="1541"/>
    <x v="720"/>
    <x v="698"/>
    <x v="693"/>
    <x v="1222"/>
    <x v="1"/>
    <x v="2"/>
    <x v="693"/>
    <x v="525"/>
    <x v="1"/>
    <x v="3"/>
    <x v="0"/>
    <x v="0"/>
    <x v="1"/>
    <x v="3"/>
    <x v="2"/>
    <x v="2"/>
    <x v="1"/>
    <x v="3"/>
    <x v="1"/>
    <x v="1"/>
    <x v="349"/>
    <x v="1"/>
    <x v="1"/>
    <x v="2"/>
    <x v="710"/>
    <x v="1"/>
    <x v="3"/>
    <x v="0"/>
    <x v="1"/>
    <x v="0"/>
    <x v="891"/>
    <x v="435"/>
    <x v="0"/>
  </r>
  <r>
    <x v="1542"/>
    <x v="718"/>
    <x v="696"/>
    <x v="691"/>
    <x v="1219"/>
    <x v="1"/>
    <x v="2"/>
    <x v="691"/>
    <x v="524"/>
    <x v="1"/>
    <x v="9"/>
    <x v="0"/>
    <x v="0"/>
    <x v="3"/>
    <x v="1"/>
    <x v="1"/>
    <x v="2"/>
    <x v="1"/>
    <x v="3"/>
    <x v="1"/>
    <x v="2"/>
    <x v="0"/>
    <x v="1"/>
    <x v="3"/>
    <x v="4"/>
    <x v="708"/>
    <x v="3"/>
    <x v="0"/>
    <x v="0"/>
    <x v="1"/>
    <x v="0"/>
    <x v="0"/>
    <x v="0"/>
    <x v="0"/>
  </r>
  <r>
    <x v="1543"/>
    <x v="721"/>
    <x v="699"/>
    <x v="694"/>
    <x v="1223"/>
    <x v="1"/>
    <x v="2"/>
    <x v="694"/>
    <x v="529"/>
    <x v="1"/>
    <x v="193"/>
    <x v="0"/>
    <x v="0"/>
    <x v="1"/>
    <x v="1"/>
    <x v="1"/>
    <x v="2"/>
    <x v="1"/>
    <x v="2"/>
    <x v="1"/>
    <x v="2"/>
    <x v="0"/>
    <x v="1"/>
    <x v="1"/>
    <x v="2"/>
    <x v="711"/>
    <x v="3"/>
    <x v="0"/>
    <x v="0"/>
    <x v="1"/>
    <x v="0"/>
    <x v="0"/>
    <x v="0"/>
    <x v="0"/>
  </r>
  <r>
    <x v="1544"/>
    <x v="340"/>
    <x v="340"/>
    <x v="335"/>
    <x v="1224"/>
    <x v="1"/>
    <x v="2"/>
    <x v="355"/>
    <x v="280"/>
    <x v="2"/>
    <x v="0"/>
    <x v="2"/>
    <x v="0"/>
    <x v="1"/>
    <x v="1"/>
    <x v="2"/>
    <x v="1"/>
    <x v="1"/>
    <x v="2"/>
    <x v="4"/>
    <x v="1"/>
    <x v="347"/>
    <x v="1"/>
    <x v="1"/>
    <x v="1"/>
    <x v="342"/>
    <x v="14"/>
    <x v="3"/>
    <x v="7"/>
    <x v="1"/>
    <x v="0"/>
    <x v="892"/>
    <x v="436"/>
    <x v="0"/>
  </r>
  <r>
    <x v="1545"/>
    <x v="696"/>
    <x v="677"/>
    <x v="672"/>
    <x v="1225"/>
    <x v="1"/>
    <x v="1"/>
    <x v="673"/>
    <x v="507"/>
    <x v="1"/>
    <x v="2"/>
    <x v="0"/>
    <x v="0"/>
    <x v="1"/>
    <x v="2"/>
    <x v="3"/>
    <x v="1"/>
    <x v="1"/>
    <x v="3"/>
    <x v="1"/>
    <x v="1"/>
    <x v="350"/>
    <x v="1"/>
    <x v="1"/>
    <x v="2"/>
    <x v="688"/>
    <x v="2"/>
    <x v="3"/>
    <x v="0"/>
    <x v="1"/>
    <x v="0"/>
    <x v="893"/>
    <x v="437"/>
    <x v="0"/>
  </r>
  <r>
    <x v="1546"/>
    <x v="722"/>
    <x v="700"/>
    <x v="695"/>
    <x v="1226"/>
    <x v="3"/>
    <x v="2"/>
    <x v="695"/>
    <x v="530"/>
    <x v="1"/>
    <x v="24"/>
    <x v="0"/>
    <x v="0"/>
    <x v="1"/>
    <x v="1"/>
    <x v="1"/>
    <x v="2"/>
    <x v="1"/>
    <x v="2"/>
    <x v="1"/>
    <x v="2"/>
    <x v="0"/>
    <x v="1"/>
    <x v="1"/>
    <x v="2"/>
    <x v="712"/>
    <x v="12"/>
    <x v="0"/>
    <x v="0"/>
    <x v="1"/>
    <x v="0"/>
    <x v="0"/>
    <x v="0"/>
    <x v="0"/>
  </r>
  <r>
    <x v="1547"/>
    <x v="702"/>
    <x v="682"/>
    <x v="677"/>
    <x v="0"/>
    <x v="1"/>
    <x v="2"/>
    <x v="678"/>
    <x v="514"/>
    <x v="1"/>
    <x v="27"/>
    <x v="0"/>
    <x v="0"/>
    <x v="3"/>
    <x v="1"/>
    <x v="1"/>
    <x v="2"/>
    <x v="1"/>
    <x v="3"/>
    <x v="1"/>
    <x v="2"/>
    <x v="0"/>
    <x v="2"/>
    <x v="3"/>
    <x v="4"/>
    <x v="706"/>
    <x v="15"/>
    <x v="0"/>
    <x v="0"/>
    <x v="1"/>
    <x v="0"/>
    <x v="0"/>
    <x v="0"/>
    <x v="0"/>
  </r>
  <r>
    <x v="1548"/>
    <x v="689"/>
    <x v="670"/>
    <x v="665"/>
    <x v="1227"/>
    <x v="1"/>
    <x v="2"/>
    <x v="667"/>
    <x v="531"/>
    <x v="1"/>
    <x v="9"/>
    <x v="0"/>
    <x v="0"/>
    <x v="1"/>
    <x v="1"/>
    <x v="1"/>
    <x v="2"/>
    <x v="1"/>
    <x v="2"/>
    <x v="1"/>
    <x v="1"/>
    <x v="350"/>
    <x v="1"/>
    <x v="1"/>
    <x v="2"/>
    <x v="681"/>
    <x v="12"/>
    <x v="1"/>
    <x v="13"/>
    <x v="2"/>
    <x v="1"/>
    <x v="894"/>
    <x v="438"/>
    <x v="397"/>
  </r>
  <r>
    <x v="1549"/>
    <x v="723"/>
    <x v="701"/>
    <x v="696"/>
    <x v="1228"/>
    <x v="1"/>
    <x v="2"/>
    <x v="696"/>
    <x v="353"/>
    <x v="1"/>
    <x v="24"/>
    <x v="0"/>
    <x v="0"/>
    <x v="1"/>
    <x v="3"/>
    <x v="2"/>
    <x v="1"/>
    <x v="1"/>
    <x v="3"/>
    <x v="1"/>
    <x v="1"/>
    <x v="350"/>
    <x v="1"/>
    <x v="1"/>
    <x v="2"/>
    <x v="713"/>
    <x v="2"/>
    <x v="3"/>
    <x v="0"/>
    <x v="1"/>
    <x v="0"/>
    <x v="895"/>
    <x v="439"/>
    <x v="0"/>
  </r>
  <r>
    <x v="1550"/>
    <x v="632"/>
    <x v="617"/>
    <x v="611"/>
    <x v="0"/>
    <x v="1"/>
    <x v="2"/>
    <x v="542"/>
    <x v="10"/>
    <x v="1"/>
    <x v="9"/>
    <x v="0"/>
    <x v="0"/>
    <x v="3"/>
    <x v="4"/>
    <x v="1"/>
    <x v="2"/>
    <x v="1"/>
    <x v="3"/>
    <x v="1"/>
    <x v="1"/>
    <x v="350"/>
    <x v="2"/>
    <x v="3"/>
    <x v="4"/>
    <x v="626"/>
    <x v="15"/>
    <x v="1"/>
    <x v="13"/>
    <x v="2"/>
    <x v="1"/>
    <x v="896"/>
    <x v="0"/>
    <x v="0"/>
  </r>
  <r>
    <x v="1551"/>
    <x v="724"/>
    <x v="702"/>
    <x v="697"/>
    <x v="1229"/>
    <x v="1"/>
    <x v="3"/>
    <x v="697"/>
    <x v="436"/>
    <x v="1"/>
    <x v="302"/>
    <x v="0"/>
    <x v="0"/>
    <x v="1"/>
    <x v="1"/>
    <x v="3"/>
    <x v="1"/>
    <x v="1"/>
    <x v="1"/>
    <x v="1"/>
    <x v="1"/>
    <x v="350"/>
    <x v="2"/>
    <x v="5"/>
    <x v="2"/>
    <x v="714"/>
    <x v="12"/>
    <x v="1"/>
    <x v="13"/>
    <x v="2"/>
    <x v="1"/>
    <x v="897"/>
    <x v="0"/>
    <x v="398"/>
  </r>
  <r>
    <x v="1552"/>
    <x v="725"/>
    <x v="703"/>
    <x v="698"/>
    <x v="1230"/>
    <x v="1"/>
    <x v="2"/>
    <x v="427"/>
    <x v="532"/>
    <x v="1"/>
    <x v="120"/>
    <x v="0"/>
    <x v="0"/>
    <x v="1"/>
    <x v="1"/>
    <x v="4"/>
    <x v="2"/>
    <x v="1"/>
    <x v="1"/>
    <x v="1"/>
    <x v="1"/>
    <x v="351"/>
    <x v="1"/>
    <x v="6"/>
    <x v="3"/>
    <x v="715"/>
    <x v="14"/>
    <x v="3"/>
    <x v="0"/>
    <x v="1"/>
    <x v="0"/>
    <x v="898"/>
    <x v="440"/>
    <x v="0"/>
  </r>
  <r>
    <x v="1553"/>
    <x v="726"/>
    <x v="704"/>
    <x v="699"/>
    <x v="1231"/>
    <x v="3"/>
    <x v="2"/>
    <x v="698"/>
    <x v="338"/>
    <x v="1"/>
    <x v="273"/>
    <x v="0"/>
    <x v="0"/>
    <x v="1"/>
    <x v="1"/>
    <x v="1"/>
    <x v="2"/>
    <x v="1"/>
    <x v="2"/>
    <x v="1"/>
    <x v="2"/>
    <x v="0"/>
    <x v="1"/>
    <x v="4"/>
    <x v="3"/>
    <x v="716"/>
    <x v="14"/>
    <x v="0"/>
    <x v="0"/>
    <x v="1"/>
    <x v="0"/>
    <x v="0"/>
    <x v="0"/>
    <x v="0"/>
  </r>
  <r>
    <x v="1554"/>
    <x v="632"/>
    <x v="617"/>
    <x v="611"/>
    <x v="0"/>
    <x v="1"/>
    <x v="2"/>
    <x v="542"/>
    <x v="10"/>
    <x v="1"/>
    <x v="9"/>
    <x v="0"/>
    <x v="0"/>
    <x v="3"/>
    <x v="1"/>
    <x v="1"/>
    <x v="2"/>
    <x v="1"/>
    <x v="1"/>
    <x v="1"/>
    <x v="1"/>
    <x v="351"/>
    <x v="2"/>
    <x v="3"/>
    <x v="4"/>
    <x v="626"/>
    <x v="14"/>
    <x v="3"/>
    <x v="0"/>
    <x v="1"/>
    <x v="0"/>
    <x v="898"/>
    <x v="440"/>
    <x v="0"/>
  </r>
  <r>
    <x v="1555"/>
    <x v="724"/>
    <x v="702"/>
    <x v="697"/>
    <x v="0"/>
    <x v="1"/>
    <x v="3"/>
    <x v="697"/>
    <x v="436"/>
    <x v="1"/>
    <x v="303"/>
    <x v="0"/>
    <x v="0"/>
    <x v="3"/>
    <x v="3"/>
    <x v="3"/>
    <x v="2"/>
    <x v="1"/>
    <x v="1"/>
    <x v="1"/>
    <x v="1"/>
    <x v="351"/>
    <x v="2"/>
    <x v="3"/>
    <x v="4"/>
    <x v="714"/>
    <x v="14"/>
    <x v="3"/>
    <x v="0"/>
    <x v="1"/>
    <x v="0"/>
    <x v="898"/>
    <x v="440"/>
    <x v="0"/>
  </r>
  <r>
    <x v="1556"/>
    <x v="689"/>
    <x v="670"/>
    <x v="665"/>
    <x v="1232"/>
    <x v="1"/>
    <x v="2"/>
    <x v="667"/>
    <x v="533"/>
    <x v="1"/>
    <x v="9"/>
    <x v="0"/>
    <x v="0"/>
    <x v="3"/>
    <x v="1"/>
    <x v="2"/>
    <x v="2"/>
    <x v="1"/>
    <x v="2"/>
    <x v="1"/>
    <x v="1"/>
    <x v="349"/>
    <x v="1"/>
    <x v="3"/>
    <x v="4"/>
    <x v="681"/>
    <x v="14"/>
    <x v="3"/>
    <x v="0"/>
    <x v="1"/>
    <x v="0"/>
    <x v="899"/>
    <x v="441"/>
    <x v="0"/>
  </r>
  <r>
    <x v="1557"/>
    <x v="727"/>
    <x v="705"/>
    <x v="700"/>
    <x v="1233"/>
    <x v="3"/>
    <x v="2"/>
    <x v="699"/>
    <x v="10"/>
    <x v="1"/>
    <x v="15"/>
    <x v="0"/>
    <x v="0"/>
    <x v="1"/>
    <x v="1"/>
    <x v="1"/>
    <x v="2"/>
    <x v="1"/>
    <x v="2"/>
    <x v="1"/>
    <x v="1"/>
    <x v="351"/>
    <x v="1"/>
    <x v="6"/>
    <x v="3"/>
    <x v="717"/>
    <x v="14"/>
    <x v="3"/>
    <x v="0"/>
    <x v="1"/>
    <x v="0"/>
    <x v="898"/>
    <x v="440"/>
    <x v="0"/>
  </r>
  <r>
    <x v="1558"/>
    <x v="728"/>
    <x v="706"/>
    <x v="701"/>
    <x v="1234"/>
    <x v="1"/>
    <x v="2"/>
    <x v="700"/>
    <x v="534"/>
    <x v="1"/>
    <x v="31"/>
    <x v="0"/>
    <x v="0"/>
    <x v="1"/>
    <x v="2"/>
    <x v="3"/>
    <x v="2"/>
    <x v="1"/>
    <x v="2"/>
    <x v="1"/>
    <x v="1"/>
    <x v="351"/>
    <x v="2"/>
    <x v="6"/>
    <x v="3"/>
    <x v="718"/>
    <x v="14"/>
    <x v="3"/>
    <x v="0"/>
    <x v="1"/>
    <x v="0"/>
    <x v="898"/>
    <x v="442"/>
    <x v="0"/>
  </r>
  <r>
    <x v="1559"/>
    <x v="384"/>
    <x v="384"/>
    <x v="379"/>
    <x v="1235"/>
    <x v="3"/>
    <x v="2"/>
    <x v="399"/>
    <x v="308"/>
    <x v="1"/>
    <x v="33"/>
    <x v="0"/>
    <x v="0"/>
    <x v="1"/>
    <x v="3"/>
    <x v="3"/>
    <x v="2"/>
    <x v="1"/>
    <x v="2"/>
    <x v="1"/>
    <x v="1"/>
    <x v="349"/>
    <x v="1"/>
    <x v="6"/>
    <x v="2"/>
    <x v="387"/>
    <x v="12"/>
    <x v="3"/>
    <x v="0"/>
    <x v="1"/>
    <x v="0"/>
    <x v="900"/>
    <x v="443"/>
    <x v="0"/>
  </r>
  <r>
    <x v="1560"/>
    <x v="729"/>
    <x v="707"/>
    <x v="702"/>
    <x v="1236"/>
    <x v="1"/>
    <x v="2"/>
    <x v="701"/>
    <x v="535"/>
    <x v="1"/>
    <x v="3"/>
    <x v="0"/>
    <x v="0"/>
    <x v="1"/>
    <x v="3"/>
    <x v="2"/>
    <x v="2"/>
    <x v="1"/>
    <x v="2"/>
    <x v="1"/>
    <x v="1"/>
    <x v="349"/>
    <x v="2"/>
    <x v="6"/>
    <x v="2"/>
    <x v="719"/>
    <x v="12"/>
    <x v="1"/>
    <x v="7"/>
    <x v="1"/>
    <x v="0"/>
    <x v="901"/>
    <x v="444"/>
    <x v="0"/>
  </r>
  <r>
    <x v="1561"/>
    <x v="726"/>
    <x v="704"/>
    <x v="699"/>
    <x v="1237"/>
    <x v="3"/>
    <x v="1"/>
    <x v="698"/>
    <x v="338"/>
    <x v="1"/>
    <x v="304"/>
    <x v="0"/>
    <x v="0"/>
    <x v="1"/>
    <x v="3"/>
    <x v="3"/>
    <x v="2"/>
    <x v="1"/>
    <x v="2"/>
    <x v="1"/>
    <x v="1"/>
    <x v="349"/>
    <x v="1"/>
    <x v="6"/>
    <x v="2"/>
    <x v="720"/>
    <x v="12"/>
    <x v="3"/>
    <x v="0"/>
    <x v="1"/>
    <x v="0"/>
    <x v="902"/>
    <x v="445"/>
    <x v="270"/>
  </r>
  <r>
    <x v="1562"/>
    <x v="730"/>
    <x v="708"/>
    <x v="703"/>
    <x v="1238"/>
    <x v="1"/>
    <x v="2"/>
    <x v="702"/>
    <x v="298"/>
    <x v="1"/>
    <x v="305"/>
    <x v="0"/>
    <x v="0"/>
    <x v="1"/>
    <x v="1"/>
    <x v="1"/>
    <x v="2"/>
    <x v="1"/>
    <x v="2"/>
    <x v="1"/>
    <x v="2"/>
    <x v="0"/>
    <x v="1"/>
    <x v="6"/>
    <x v="2"/>
    <x v="721"/>
    <x v="12"/>
    <x v="0"/>
    <x v="0"/>
    <x v="1"/>
    <x v="0"/>
    <x v="0"/>
    <x v="0"/>
    <x v="399"/>
  </r>
  <r>
    <x v="1563"/>
    <x v="708"/>
    <x v="687"/>
    <x v="682"/>
    <x v="1239"/>
    <x v="1"/>
    <x v="1"/>
    <x v="683"/>
    <x v="196"/>
    <x v="6"/>
    <x v="0"/>
    <x v="0"/>
    <x v="16"/>
    <x v="1"/>
    <x v="3"/>
    <x v="3"/>
    <x v="1"/>
    <x v="1"/>
    <x v="2"/>
    <x v="1"/>
    <x v="1"/>
    <x v="352"/>
    <x v="1"/>
    <x v="1"/>
    <x v="2"/>
    <x v="698"/>
    <x v="12"/>
    <x v="3"/>
    <x v="0"/>
    <x v="1"/>
    <x v="0"/>
    <x v="903"/>
    <x v="446"/>
    <x v="0"/>
  </r>
  <r>
    <x v="1564"/>
    <x v="731"/>
    <x v="709"/>
    <x v="704"/>
    <x v="1240"/>
    <x v="1"/>
    <x v="2"/>
    <x v="703"/>
    <x v="536"/>
    <x v="1"/>
    <x v="27"/>
    <x v="0"/>
    <x v="0"/>
    <x v="1"/>
    <x v="2"/>
    <x v="5"/>
    <x v="2"/>
    <x v="1"/>
    <x v="2"/>
    <x v="1"/>
    <x v="1"/>
    <x v="352"/>
    <x v="1"/>
    <x v="1"/>
    <x v="2"/>
    <x v="722"/>
    <x v="3"/>
    <x v="1"/>
    <x v="3"/>
    <x v="2"/>
    <x v="1"/>
    <x v="904"/>
    <x v="0"/>
    <x v="0"/>
  </r>
  <r>
    <x v="1565"/>
    <x v="732"/>
    <x v="710"/>
    <x v="705"/>
    <x v="1241"/>
    <x v="1"/>
    <x v="2"/>
    <x v="704"/>
    <x v="537"/>
    <x v="6"/>
    <x v="0"/>
    <x v="0"/>
    <x v="33"/>
    <x v="1"/>
    <x v="1"/>
    <x v="1"/>
    <x v="2"/>
    <x v="1"/>
    <x v="2"/>
    <x v="1"/>
    <x v="2"/>
    <x v="0"/>
    <x v="1"/>
    <x v="1"/>
    <x v="2"/>
    <x v="723"/>
    <x v="15"/>
    <x v="0"/>
    <x v="0"/>
    <x v="1"/>
    <x v="0"/>
    <x v="0"/>
    <x v="0"/>
    <x v="0"/>
  </r>
  <r>
    <x v="1566"/>
    <x v="733"/>
    <x v="711"/>
    <x v="706"/>
    <x v="1242"/>
    <x v="1"/>
    <x v="2"/>
    <x v="126"/>
    <x v="538"/>
    <x v="12"/>
    <x v="0"/>
    <x v="0"/>
    <x v="0"/>
    <x v="1"/>
    <x v="1"/>
    <x v="4"/>
    <x v="2"/>
    <x v="1"/>
    <x v="3"/>
    <x v="1"/>
    <x v="2"/>
    <x v="0"/>
    <x v="1"/>
    <x v="5"/>
    <x v="2"/>
    <x v="724"/>
    <x v="3"/>
    <x v="0"/>
    <x v="0"/>
    <x v="1"/>
    <x v="0"/>
    <x v="0"/>
    <x v="0"/>
    <x v="0"/>
  </r>
  <r>
    <x v="1567"/>
    <x v="729"/>
    <x v="707"/>
    <x v="702"/>
    <x v="0"/>
    <x v="1"/>
    <x v="2"/>
    <x v="701"/>
    <x v="535"/>
    <x v="1"/>
    <x v="3"/>
    <x v="0"/>
    <x v="0"/>
    <x v="3"/>
    <x v="3"/>
    <x v="2"/>
    <x v="2"/>
    <x v="1"/>
    <x v="2"/>
    <x v="1"/>
    <x v="2"/>
    <x v="0"/>
    <x v="2"/>
    <x v="3"/>
    <x v="4"/>
    <x v="719"/>
    <x v="12"/>
    <x v="0"/>
    <x v="0"/>
    <x v="1"/>
    <x v="0"/>
    <x v="0"/>
    <x v="0"/>
    <x v="0"/>
  </r>
  <r>
    <x v="1568"/>
    <x v="731"/>
    <x v="709"/>
    <x v="704"/>
    <x v="1243"/>
    <x v="1"/>
    <x v="2"/>
    <x v="703"/>
    <x v="536"/>
    <x v="1"/>
    <x v="27"/>
    <x v="0"/>
    <x v="0"/>
    <x v="3"/>
    <x v="4"/>
    <x v="1"/>
    <x v="1"/>
    <x v="1"/>
    <x v="2"/>
    <x v="1"/>
    <x v="2"/>
    <x v="0"/>
    <x v="1"/>
    <x v="3"/>
    <x v="4"/>
    <x v="722"/>
    <x v="3"/>
    <x v="0"/>
    <x v="0"/>
    <x v="1"/>
    <x v="0"/>
    <x v="0"/>
    <x v="0"/>
    <x v="0"/>
  </r>
  <r>
    <x v="1569"/>
    <x v="734"/>
    <x v="712"/>
    <x v="707"/>
    <x v="1244"/>
    <x v="3"/>
    <x v="2"/>
    <x v="705"/>
    <x v="335"/>
    <x v="1"/>
    <x v="33"/>
    <x v="0"/>
    <x v="0"/>
    <x v="1"/>
    <x v="3"/>
    <x v="3"/>
    <x v="2"/>
    <x v="1"/>
    <x v="2"/>
    <x v="1"/>
    <x v="1"/>
    <x v="353"/>
    <x v="1"/>
    <x v="1"/>
    <x v="2"/>
    <x v="725"/>
    <x v="15"/>
    <x v="3"/>
    <x v="13"/>
    <x v="1"/>
    <x v="0"/>
    <x v="905"/>
    <x v="447"/>
    <x v="0"/>
  </r>
  <r>
    <x v="1570"/>
    <x v="735"/>
    <x v="713"/>
    <x v="708"/>
    <x v="1245"/>
    <x v="1"/>
    <x v="2"/>
    <x v="706"/>
    <x v="10"/>
    <x v="1"/>
    <x v="298"/>
    <x v="0"/>
    <x v="0"/>
    <x v="1"/>
    <x v="1"/>
    <x v="1"/>
    <x v="2"/>
    <x v="1"/>
    <x v="3"/>
    <x v="1"/>
    <x v="1"/>
    <x v="352"/>
    <x v="1"/>
    <x v="1"/>
    <x v="2"/>
    <x v="726"/>
    <x v="1"/>
    <x v="1"/>
    <x v="4"/>
    <x v="2"/>
    <x v="1"/>
    <x v="906"/>
    <x v="0"/>
    <x v="0"/>
  </r>
  <r>
    <x v="1571"/>
    <x v="735"/>
    <x v="713"/>
    <x v="708"/>
    <x v="1246"/>
    <x v="1"/>
    <x v="2"/>
    <x v="706"/>
    <x v="10"/>
    <x v="1"/>
    <x v="222"/>
    <x v="0"/>
    <x v="0"/>
    <x v="3"/>
    <x v="1"/>
    <x v="1"/>
    <x v="2"/>
    <x v="1"/>
    <x v="3"/>
    <x v="1"/>
    <x v="1"/>
    <x v="354"/>
    <x v="1"/>
    <x v="3"/>
    <x v="4"/>
    <x v="726"/>
    <x v="1"/>
    <x v="3"/>
    <x v="0"/>
    <x v="1"/>
    <x v="0"/>
    <x v="907"/>
    <x v="448"/>
    <x v="400"/>
  </r>
  <r>
    <x v="1572"/>
    <x v="736"/>
    <x v="714"/>
    <x v="709"/>
    <x v="1247"/>
    <x v="1"/>
    <x v="1"/>
    <x v="707"/>
    <x v="524"/>
    <x v="1"/>
    <x v="3"/>
    <x v="0"/>
    <x v="0"/>
    <x v="1"/>
    <x v="1"/>
    <x v="2"/>
    <x v="2"/>
    <x v="1"/>
    <x v="3"/>
    <x v="1"/>
    <x v="1"/>
    <x v="353"/>
    <x v="1"/>
    <x v="5"/>
    <x v="2"/>
    <x v="727"/>
    <x v="5"/>
    <x v="3"/>
    <x v="13"/>
    <x v="1"/>
    <x v="0"/>
    <x v="908"/>
    <x v="449"/>
    <x v="0"/>
  </r>
  <r>
    <x v="1573"/>
    <x v="362"/>
    <x v="362"/>
    <x v="357"/>
    <x v="1248"/>
    <x v="1"/>
    <x v="2"/>
    <x v="381"/>
    <x v="539"/>
    <x v="1"/>
    <x v="50"/>
    <x v="0"/>
    <x v="0"/>
    <x v="1"/>
    <x v="3"/>
    <x v="2"/>
    <x v="1"/>
    <x v="1"/>
    <x v="2"/>
    <x v="1"/>
    <x v="1"/>
    <x v="355"/>
    <x v="2"/>
    <x v="5"/>
    <x v="2"/>
    <x v="364"/>
    <x v="3"/>
    <x v="3"/>
    <x v="0"/>
    <x v="1"/>
    <x v="0"/>
    <x v="909"/>
    <x v="0"/>
    <x v="0"/>
  </r>
  <r>
    <x v="1574"/>
    <x v="737"/>
    <x v="715"/>
    <x v="710"/>
    <x v="1249"/>
    <x v="3"/>
    <x v="2"/>
    <x v="708"/>
    <x v="540"/>
    <x v="1"/>
    <x v="15"/>
    <x v="0"/>
    <x v="0"/>
    <x v="1"/>
    <x v="1"/>
    <x v="1"/>
    <x v="1"/>
    <x v="1"/>
    <x v="3"/>
    <x v="1"/>
    <x v="2"/>
    <x v="0"/>
    <x v="1"/>
    <x v="1"/>
    <x v="2"/>
    <x v="728"/>
    <x v="1"/>
    <x v="0"/>
    <x v="0"/>
    <x v="1"/>
    <x v="0"/>
    <x v="0"/>
    <x v="0"/>
    <x v="0"/>
  </r>
  <r>
    <x v="1575"/>
    <x v="509"/>
    <x v="501"/>
    <x v="493"/>
    <x v="1250"/>
    <x v="1"/>
    <x v="2"/>
    <x v="513"/>
    <x v="10"/>
    <x v="1"/>
    <x v="306"/>
    <x v="0"/>
    <x v="0"/>
    <x v="1"/>
    <x v="1"/>
    <x v="1"/>
    <x v="2"/>
    <x v="1"/>
    <x v="1"/>
    <x v="1"/>
    <x v="1"/>
    <x v="355"/>
    <x v="1"/>
    <x v="1"/>
    <x v="2"/>
    <x v="503"/>
    <x v="14"/>
    <x v="1"/>
    <x v="1"/>
    <x v="1"/>
    <x v="0"/>
    <x v="910"/>
    <x v="450"/>
    <x v="0"/>
  </r>
  <r>
    <x v="1576"/>
    <x v="738"/>
    <x v="716"/>
    <x v="711"/>
    <x v="1251"/>
    <x v="1"/>
    <x v="2"/>
    <x v="709"/>
    <x v="10"/>
    <x v="1"/>
    <x v="307"/>
    <x v="0"/>
    <x v="0"/>
    <x v="1"/>
    <x v="1"/>
    <x v="1"/>
    <x v="2"/>
    <x v="1"/>
    <x v="1"/>
    <x v="1"/>
    <x v="2"/>
    <x v="0"/>
    <x v="1"/>
    <x v="1"/>
    <x v="2"/>
    <x v="729"/>
    <x v="14"/>
    <x v="0"/>
    <x v="0"/>
    <x v="1"/>
    <x v="0"/>
    <x v="0"/>
    <x v="0"/>
    <x v="0"/>
  </r>
  <r>
    <x v="1577"/>
    <x v="739"/>
    <x v="717"/>
    <x v="712"/>
    <x v="1252"/>
    <x v="3"/>
    <x v="2"/>
    <x v="40"/>
    <x v="10"/>
    <x v="1"/>
    <x v="2"/>
    <x v="0"/>
    <x v="0"/>
    <x v="1"/>
    <x v="1"/>
    <x v="1"/>
    <x v="2"/>
    <x v="1"/>
    <x v="3"/>
    <x v="1"/>
    <x v="1"/>
    <x v="353"/>
    <x v="1"/>
    <x v="1"/>
    <x v="2"/>
    <x v="730"/>
    <x v="1"/>
    <x v="1"/>
    <x v="4"/>
    <x v="2"/>
    <x v="1"/>
    <x v="911"/>
    <x v="451"/>
    <x v="401"/>
  </r>
  <r>
    <x v="1578"/>
    <x v="739"/>
    <x v="717"/>
    <x v="712"/>
    <x v="1253"/>
    <x v="3"/>
    <x v="2"/>
    <x v="40"/>
    <x v="10"/>
    <x v="1"/>
    <x v="2"/>
    <x v="0"/>
    <x v="0"/>
    <x v="3"/>
    <x v="1"/>
    <x v="1"/>
    <x v="2"/>
    <x v="1"/>
    <x v="3"/>
    <x v="1"/>
    <x v="2"/>
    <x v="0"/>
    <x v="1"/>
    <x v="3"/>
    <x v="4"/>
    <x v="730"/>
    <x v="1"/>
    <x v="0"/>
    <x v="0"/>
    <x v="1"/>
    <x v="0"/>
    <x v="0"/>
    <x v="0"/>
    <x v="0"/>
  </r>
  <r>
    <x v="1579"/>
    <x v="740"/>
    <x v="718"/>
    <x v="713"/>
    <x v="1254"/>
    <x v="1"/>
    <x v="2"/>
    <x v="710"/>
    <x v="426"/>
    <x v="1"/>
    <x v="3"/>
    <x v="0"/>
    <x v="0"/>
    <x v="1"/>
    <x v="1"/>
    <x v="2"/>
    <x v="2"/>
    <x v="1"/>
    <x v="2"/>
    <x v="1"/>
    <x v="1"/>
    <x v="356"/>
    <x v="1"/>
    <x v="1"/>
    <x v="1"/>
    <x v="731"/>
    <x v="14"/>
    <x v="3"/>
    <x v="0"/>
    <x v="1"/>
    <x v="0"/>
    <x v="912"/>
    <x v="452"/>
    <x v="0"/>
  </r>
  <r>
    <x v="1580"/>
    <x v="509"/>
    <x v="501"/>
    <x v="493"/>
    <x v="0"/>
    <x v="1"/>
    <x v="3"/>
    <x v="513"/>
    <x v="375"/>
    <x v="1"/>
    <x v="8"/>
    <x v="0"/>
    <x v="0"/>
    <x v="3"/>
    <x v="1"/>
    <x v="1"/>
    <x v="2"/>
    <x v="1"/>
    <x v="2"/>
    <x v="1"/>
    <x v="2"/>
    <x v="0"/>
    <x v="2"/>
    <x v="3"/>
    <x v="4"/>
    <x v="503"/>
    <x v="5"/>
    <x v="0"/>
    <x v="0"/>
    <x v="1"/>
    <x v="0"/>
    <x v="0"/>
    <x v="0"/>
    <x v="0"/>
  </r>
  <r>
    <x v="1581"/>
    <x v="658"/>
    <x v="642"/>
    <x v="637"/>
    <x v="1255"/>
    <x v="3"/>
    <x v="1"/>
    <x v="638"/>
    <x v="10"/>
    <x v="1"/>
    <x v="31"/>
    <x v="0"/>
    <x v="0"/>
    <x v="1"/>
    <x v="2"/>
    <x v="3"/>
    <x v="2"/>
    <x v="1"/>
    <x v="2"/>
    <x v="1"/>
    <x v="1"/>
    <x v="354"/>
    <x v="1"/>
    <x v="1"/>
    <x v="2"/>
    <x v="652"/>
    <x v="14"/>
    <x v="3"/>
    <x v="0"/>
    <x v="1"/>
    <x v="0"/>
    <x v="913"/>
    <x v="453"/>
    <x v="402"/>
  </r>
  <r>
    <x v="1582"/>
    <x v="301"/>
    <x v="719"/>
    <x v="297"/>
    <x v="1256"/>
    <x v="1"/>
    <x v="2"/>
    <x v="315"/>
    <x v="384"/>
    <x v="6"/>
    <x v="0"/>
    <x v="0"/>
    <x v="10"/>
    <x v="1"/>
    <x v="3"/>
    <x v="3"/>
    <x v="2"/>
    <x v="1"/>
    <x v="2"/>
    <x v="1"/>
    <x v="1"/>
    <x v="354"/>
    <x v="1"/>
    <x v="5"/>
    <x v="3"/>
    <x v="303"/>
    <x v="14"/>
    <x v="3"/>
    <x v="0"/>
    <x v="1"/>
    <x v="0"/>
    <x v="914"/>
    <x v="454"/>
    <x v="403"/>
  </r>
  <r>
    <x v="1583"/>
    <x v="729"/>
    <x v="707"/>
    <x v="702"/>
    <x v="1257"/>
    <x v="1"/>
    <x v="2"/>
    <x v="701"/>
    <x v="535"/>
    <x v="1"/>
    <x v="4"/>
    <x v="0"/>
    <x v="0"/>
    <x v="1"/>
    <x v="1"/>
    <x v="1"/>
    <x v="2"/>
    <x v="1"/>
    <x v="2"/>
    <x v="1"/>
    <x v="1"/>
    <x v="355"/>
    <x v="1"/>
    <x v="5"/>
    <x v="2"/>
    <x v="719"/>
    <x v="5"/>
    <x v="1"/>
    <x v="1"/>
    <x v="1"/>
    <x v="0"/>
    <x v="915"/>
    <x v="0"/>
    <x v="0"/>
  </r>
  <r>
    <x v="1584"/>
    <x v="729"/>
    <x v="707"/>
    <x v="702"/>
    <x v="1257"/>
    <x v="1"/>
    <x v="2"/>
    <x v="701"/>
    <x v="535"/>
    <x v="1"/>
    <x v="4"/>
    <x v="0"/>
    <x v="0"/>
    <x v="3"/>
    <x v="1"/>
    <x v="1"/>
    <x v="2"/>
    <x v="1"/>
    <x v="2"/>
    <x v="1"/>
    <x v="2"/>
    <x v="0"/>
    <x v="1"/>
    <x v="3"/>
    <x v="4"/>
    <x v="719"/>
    <x v="5"/>
    <x v="0"/>
    <x v="0"/>
    <x v="1"/>
    <x v="0"/>
    <x v="0"/>
    <x v="0"/>
    <x v="0"/>
  </r>
  <r>
    <x v="1585"/>
    <x v="741"/>
    <x v="720"/>
    <x v="714"/>
    <x v="1258"/>
    <x v="3"/>
    <x v="2"/>
    <x v="711"/>
    <x v="352"/>
    <x v="1"/>
    <x v="308"/>
    <x v="0"/>
    <x v="0"/>
    <x v="1"/>
    <x v="1"/>
    <x v="1"/>
    <x v="2"/>
    <x v="1"/>
    <x v="2"/>
    <x v="1"/>
    <x v="1"/>
    <x v="354"/>
    <x v="1"/>
    <x v="6"/>
    <x v="3"/>
    <x v="732"/>
    <x v="3"/>
    <x v="1"/>
    <x v="3"/>
    <x v="1"/>
    <x v="0"/>
    <x v="916"/>
    <x v="0"/>
    <x v="404"/>
  </r>
  <r>
    <x v="1586"/>
    <x v="742"/>
    <x v="721"/>
    <x v="715"/>
    <x v="1259"/>
    <x v="1"/>
    <x v="3"/>
    <x v="712"/>
    <x v="384"/>
    <x v="6"/>
    <x v="0"/>
    <x v="0"/>
    <x v="34"/>
    <x v="1"/>
    <x v="1"/>
    <x v="2"/>
    <x v="2"/>
    <x v="1"/>
    <x v="2"/>
    <x v="1"/>
    <x v="1"/>
    <x v="357"/>
    <x v="1"/>
    <x v="6"/>
    <x v="3"/>
    <x v="733"/>
    <x v="14"/>
    <x v="3"/>
    <x v="0"/>
    <x v="1"/>
    <x v="0"/>
    <x v="917"/>
    <x v="455"/>
    <x v="0"/>
  </r>
  <r>
    <x v="1587"/>
    <x v="743"/>
    <x v="633"/>
    <x v="627"/>
    <x v="1260"/>
    <x v="1"/>
    <x v="2"/>
    <x v="631"/>
    <x v="10"/>
    <x v="1"/>
    <x v="22"/>
    <x v="0"/>
    <x v="0"/>
    <x v="1"/>
    <x v="1"/>
    <x v="3"/>
    <x v="2"/>
    <x v="1"/>
    <x v="2"/>
    <x v="1"/>
    <x v="1"/>
    <x v="356"/>
    <x v="1"/>
    <x v="6"/>
    <x v="3"/>
    <x v="643"/>
    <x v="14"/>
    <x v="1"/>
    <x v="1"/>
    <x v="1"/>
    <x v="0"/>
    <x v="918"/>
    <x v="0"/>
    <x v="0"/>
  </r>
  <r>
    <x v="1588"/>
    <x v="744"/>
    <x v="722"/>
    <x v="716"/>
    <x v="1261"/>
    <x v="1"/>
    <x v="1"/>
    <x v="713"/>
    <x v="196"/>
    <x v="6"/>
    <x v="0"/>
    <x v="0"/>
    <x v="10"/>
    <x v="1"/>
    <x v="1"/>
    <x v="1"/>
    <x v="2"/>
    <x v="2"/>
    <x v="2"/>
    <x v="1"/>
    <x v="1"/>
    <x v="358"/>
    <x v="1"/>
    <x v="6"/>
    <x v="2"/>
    <x v="734"/>
    <x v="12"/>
    <x v="1"/>
    <x v="3"/>
    <x v="2"/>
    <x v="1"/>
    <x v="919"/>
    <x v="0"/>
    <x v="405"/>
  </r>
  <r>
    <x v="1589"/>
    <x v="745"/>
    <x v="723"/>
    <x v="717"/>
    <x v="1262"/>
    <x v="1"/>
    <x v="2"/>
    <x v="714"/>
    <x v="533"/>
    <x v="1"/>
    <x v="3"/>
    <x v="0"/>
    <x v="0"/>
    <x v="1"/>
    <x v="1"/>
    <x v="1"/>
    <x v="2"/>
    <x v="1"/>
    <x v="2"/>
    <x v="1"/>
    <x v="2"/>
    <x v="0"/>
    <x v="1"/>
    <x v="6"/>
    <x v="2"/>
    <x v="735"/>
    <x v="12"/>
    <x v="0"/>
    <x v="0"/>
    <x v="1"/>
    <x v="0"/>
    <x v="0"/>
    <x v="0"/>
    <x v="0"/>
  </r>
  <r>
    <x v="1590"/>
    <x v="743"/>
    <x v="633"/>
    <x v="627"/>
    <x v="0"/>
    <x v="1"/>
    <x v="2"/>
    <x v="631"/>
    <x v="541"/>
    <x v="1"/>
    <x v="22"/>
    <x v="0"/>
    <x v="0"/>
    <x v="3"/>
    <x v="1"/>
    <x v="1"/>
    <x v="2"/>
    <x v="1"/>
    <x v="2"/>
    <x v="1"/>
    <x v="1"/>
    <x v="359"/>
    <x v="2"/>
    <x v="3"/>
    <x v="4"/>
    <x v="643"/>
    <x v="5"/>
    <x v="0"/>
    <x v="0"/>
    <x v="1"/>
    <x v="0"/>
    <x v="498"/>
    <x v="0"/>
    <x v="0"/>
  </r>
  <r>
    <x v="1591"/>
    <x v="746"/>
    <x v="724"/>
    <x v="718"/>
    <x v="1263"/>
    <x v="3"/>
    <x v="2"/>
    <x v="715"/>
    <x v="280"/>
    <x v="1"/>
    <x v="9"/>
    <x v="0"/>
    <x v="0"/>
    <x v="1"/>
    <x v="4"/>
    <x v="1"/>
    <x v="2"/>
    <x v="1"/>
    <x v="3"/>
    <x v="1"/>
    <x v="1"/>
    <x v="360"/>
    <x v="1"/>
    <x v="1"/>
    <x v="2"/>
    <x v="736"/>
    <x v="15"/>
    <x v="4"/>
    <x v="5"/>
    <x v="2"/>
    <x v="1"/>
    <x v="920"/>
    <x v="0"/>
    <x v="0"/>
  </r>
  <r>
    <x v="1592"/>
    <x v="747"/>
    <x v="725"/>
    <x v="719"/>
    <x v="1264"/>
    <x v="3"/>
    <x v="2"/>
    <x v="716"/>
    <x v="542"/>
    <x v="1"/>
    <x v="15"/>
    <x v="0"/>
    <x v="0"/>
    <x v="1"/>
    <x v="1"/>
    <x v="1"/>
    <x v="2"/>
    <x v="1"/>
    <x v="2"/>
    <x v="1"/>
    <x v="2"/>
    <x v="0"/>
    <x v="1"/>
    <x v="1"/>
    <x v="2"/>
    <x v="737"/>
    <x v="15"/>
    <x v="0"/>
    <x v="0"/>
    <x v="1"/>
    <x v="0"/>
    <x v="0"/>
    <x v="0"/>
    <x v="0"/>
  </r>
  <r>
    <x v="1593"/>
    <x v="438"/>
    <x v="434"/>
    <x v="429"/>
    <x v="1265"/>
    <x v="1"/>
    <x v="2"/>
    <x v="444"/>
    <x v="339"/>
    <x v="1"/>
    <x v="33"/>
    <x v="0"/>
    <x v="0"/>
    <x v="1"/>
    <x v="3"/>
    <x v="2"/>
    <x v="2"/>
    <x v="1"/>
    <x v="3"/>
    <x v="1"/>
    <x v="2"/>
    <x v="0"/>
    <x v="2"/>
    <x v="1"/>
    <x v="2"/>
    <x v="437"/>
    <x v="2"/>
    <x v="0"/>
    <x v="0"/>
    <x v="1"/>
    <x v="0"/>
    <x v="0"/>
    <x v="0"/>
    <x v="406"/>
  </r>
  <r>
    <x v="1594"/>
    <x v="748"/>
    <x v="726"/>
    <x v="720"/>
    <x v="1266"/>
    <x v="1"/>
    <x v="2"/>
    <x v="717"/>
    <x v="543"/>
    <x v="2"/>
    <x v="0"/>
    <x v="2"/>
    <x v="0"/>
    <x v="1"/>
    <x v="3"/>
    <x v="3"/>
    <x v="2"/>
    <x v="1"/>
    <x v="2"/>
    <x v="1"/>
    <x v="1"/>
    <x v="360"/>
    <x v="1"/>
    <x v="5"/>
    <x v="2"/>
    <x v="738"/>
    <x v="5"/>
    <x v="3"/>
    <x v="0"/>
    <x v="1"/>
    <x v="0"/>
    <x v="921"/>
    <x v="456"/>
    <x v="0"/>
  </r>
  <r>
    <x v="1595"/>
    <x v="741"/>
    <x v="720"/>
    <x v="714"/>
    <x v="0"/>
    <x v="3"/>
    <x v="2"/>
    <x v="711"/>
    <x v="352"/>
    <x v="1"/>
    <x v="308"/>
    <x v="0"/>
    <x v="0"/>
    <x v="3"/>
    <x v="1"/>
    <x v="1"/>
    <x v="2"/>
    <x v="1"/>
    <x v="2"/>
    <x v="1"/>
    <x v="2"/>
    <x v="0"/>
    <x v="1"/>
    <x v="3"/>
    <x v="4"/>
    <x v="732"/>
    <x v="3"/>
    <x v="0"/>
    <x v="0"/>
    <x v="1"/>
    <x v="0"/>
    <x v="0"/>
    <x v="0"/>
    <x v="0"/>
  </r>
  <r>
    <x v="1596"/>
    <x v="327"/>
    <x v="327"/>
    <x v="322"/>
    <x v="1267"/>
    <x v="3"/>
    <x v="2"/>
    <x v="341"/>
    <x v="544"/>
    <x v="1"/>
    <x v="309"/>
    <x v="0"/>
    <x v="0"/>
    <x v="1"/>
    <x v="2"/>
    <x v="3"/>
    <x v="2"/>
    <x v="1"/>
    <x v="2"/>
    <x v="1"/>
    <x v="1"/>
    <x v="358"/>
    <x v="1"/>
    <x v="1"/>
    <x v="2"/>
    <x v="329"/>
    <x v="1"/>
    <x v="1"/>
    <x v="14"/>
    <x v="1"/>
    <x v="0"/>
    <x v="922"/>
    <x v="0"/>
    <x v="407"/>
  </r>
  <r>
    <x v="1597"/>
    <x v="749"/>
    <x v="727"/>
    <x v="721"/>
    <x v="1268"/>
    <x v="1"/>
    <x v="2"/>
    <x v="718"/>
    <x v="545"/>
    <x v="1"/>
    <x v="2"/>
    <x v="0"/>
    <x v="0"/>
    <x v="1"/>
    <x v="1"/>
    <x v="1"/>
    <x v="2"/>
    <x v="1"/>
    <x v="3"/>
    <x v="1"/>
    <x v="1"/>
    <x v="361"/>
    <x v="1"/>
    <x v="5"/>
    <x v="2"/>
    <x v="739"/>
    <x v="3"/>
    <x v="0"/>
    <x v="0"/>
    <x v="1"/>
    <x v="0"/>
    <x v="0"/>
    <x v="0"/>
    <x v="0"/>
  </r>
  <r>
    <x v="1598"/>
    <x v="327"/>
    <x v="327"/>
    <x v="322"/>
    <x v="0"/>
    <x v="3"/>
    <x v="2"/>
    <x v="341"/>
    <x v="544"/>
    <x v="1"/>
    <x v="310"/>
    <x v="0"/>
    <x v="0"/>
    <x v="3"/>
    <x v="4"/>
    <x v="1"/>
    <x v="2"/>
    <x v="1"/>
    <x v="2"/>
    <x v="1"/>
    <x v="2"/>
    <x v="0"/>
    <x v="2"/>
    <x v="3"/>
    <x v="4"/>
    <x v="329"/>
    <x v="15"/>
    <x v="0"/>
    <x v="0"/>
    <x v="1"/>
    <x v="0"/>
    <x v="0"/>
    <x v="0"/>
    <x v="0"/>
  </r>
  <r>
    <x v="1599"/>
    <x v="744"/>
    <x v="722"/>
    <x v="716"/>
    <x v="1269"/>
    <x v="1"/>
    <x v="1"/>
    <x v="713"/>
    <x v="196"/>
    <x v="6"/>
    <x v="0"/>
    <x v="0"/>
    <x v="10"/>
    <x v="3"/>
    <x v="1"/>
    <x v="1"/>
    <x v="2"/>
    <x v="1"/>
    <x v="2"/>
    <x v="1"/>
    <x v="1"/>
    <x v="361"/>
    <x v="1"/>
    <x v="3"/>
    <x v="4"/>
    <x v="734"/>
    <x v="3"/>
    <x v="0"/>
    <x v="0"/>
    <x v="1"/>
    <x v="0"/>
    <x v="0"/>
    <x v="0"/>
    <x v="0"/>
  </r>
  <r>
    <x v="1600"/>
    <x v="750"/>
    <x v="728"/>
    <x v="722"/>
    <x v="1270"/>
    <x v="1"/>
    <x v="2"/>
    <x v="719"/>
    <x v="546"/>
    <x v="1"/>
    <x v="3"/>
    <x v="0"/>
    <x v="0"/>
    <x v="1"/>
    <x v="3"/>
    <x v="2"/>
    <x v="1"/>
    <x v="1"/>
    <x v="3"/>
    <x v="1"/>
    <x v="1"/>
    <x v="361"/>
    <x v="1"/>
    <x v="1"/>
    <x v="2"/>
    <x v="740"/>
    <x v="15"/>
    <x v="0"/>
    <x v="0"/>
    <x v="1"/>
    <x v="0"/>
    <x v="0"/>
    <x v="0"/>
    <x v="0"/>
  </r>
  <r>
    <x v="1601"/>
    <x v="751"/>
    <x v="729"/>
    <x v="723"/>
    <x v="1271"/>
    <x v="1"/>
    <x v="1"/>
    <x v="720"/>
    <x v="547"/>
    <x v="1"/>
    <x v="1"/>
    <x v="0"/>
    <x v="0"/>
    <x v="1"/>
    <x v="2"/>
    <x v="3"/>
    <x v="2"/>
    <x v="1"/>
    <x v="2"/>
    <x v="1"/>
    <x v="1"/>
    <x v="359"/>
    <x v="1"/>
    <x v="1"/>
    <x v="2"/>
    <x v="741"/>
    <x v="3"/>
    <x v="0"/>
    <x v="0"/>
    <x v="1"/>
    <x v="0"/>
    <x v="0"/>
    <x v="0"/>
    <x v="0"/>
  </r>
  <r>
    <x v="1602"/>
    <x v="752"/>
    <x v="730"/>
    <x v="724"/>
    <x v="1272"/>
    <x v="1"/>
    <x v="2"/>
    <x v="721"/>
    <x v="340"/>
    <x v="2"/>
    <x v="0"/>
    <x v="2"/>
    <x v="0"/>
    <x v="1"/>
    <x v="3"/>
    <x v="2"/>
    <x v="1"/>
    <x v="1"/>
    <x v="3"/>
    <x v="1"/>
    <x v="1"/>
    <x v="359"/>
    <x v="2"/>
    <x v="1"/>
    <x v="2"/>
    <x v="742"/>
    <x v="2"/>
    <x v="0"/>
    <x v="0"/>
    <x v="1"/>
    <x v="0"/>
    <x v="0"/>
    <x v="0"/>
    <x v="0"/>
  </r>
  <r>
    <x v="1603"/>
    <x v="0"/>
    <x v="0"/>
    <x v="0"/>
    <x v="0"/>
    <x v="0"/>
    <x v="0"/>
    <x v="0"/>
    <x v="0"/>
    <x v="0"/>
    <x v="0"/>
    <x v="0"/>
    <x v="0"/>
    <x v="0"/>
    <x v="0"/>
    <x v="0"/>
    <x v="0"/>
    <x v="0"/>
    <x v="0"/>
    <x v="0"/>
    <x v="0"/>
    <x v="0"/>
    <x v="0"/>
    <x v="0"/>
    <x v="0"/>
    <x v="0"/>
    <x v="0"/>
    <x v="0"/>
    <x v="0"/>
    <x v="1"/>
    <x v="0"/>
    <x v="0"/>
    <x v="457"/>
    <x v="0"/>
  </r>
  <r>
    <x v="1604"/>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408"/>
  </r>
  <r>
    <x v="1603"/>
    <x v="0"/>
    <x v="0"/>
    <x v="0"/>
    <x v="0"/>
    <x v="0"/>
    <x v="0"/>
    <x v="0"/>
    <x v="0"/>
    <x v="0"/>
    <x v="0"/>
    <x v="0"/>
    <x v="0"/>
    <x v="0"/>
    <x v="0"/>
    <x v="0"/>
    <x v="0"/>
    <x v="0"/>
    <x v="0"/>
    <x v="0"/>
    <x v="0"/>
    <x v="0"/>
    <x v="0"/>
    <x v="0"/>
    <x v="0"/>
    <x v="0"/>
    <x v="21"/>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753"/>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458"/>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pivotCacheRecords>
</file>

<file path=xl/pivotCache/pivotCacheRecords4.xml><?xml version="1.0" encoding="utf-8"?>
<pivotCacheRecords xmlns="http://schemas.openxmlformats.org/spreadsheetml/2006/main" xmlns:r="http://schemas.openxmlformats.org/officeDocument/2006/relationships" count="1613">
  <r>
    <x v="0"/>
    <x v="0"/>
    <x v="0"/>
    <x v="0"/>
    <x v="0"/>
    <x v="0"/>
    <x v="0"/>
    <x v="0"/>
    <x v="0"/>
    <x v="0"/>
    <x v="0"/>
    <x v="0"/>
    <x v="0"/>
    <x v="0"/>
    <x v="0"/>
    <x v="0"/>
    <x v="0"/>
    <x v="0"/>
    <x v="0"/>
    <x v="0"/>
    <x v="0"/>
    <x v="0"/>
    <x v="0"/>
    <x v="0"/>
    <x v="0"/>
    <x v="0"/>
    <x v="0"/>
    <x v="0"/>
    <x v="0"/>
    <x v="0"/>
    <x v="0"/>
    <x v="0"/>
    <x v="0"/>
    <x v="0"/>
  </r>
  <r>
    <x v="1"/>
    <x v="0"/>
    <x v="0"/>
    <x v="0"/>
    <x v="0"/>
    <x v="0"/>
    <x v="0"/>
    <x v="0"/>
    <x v="0"/>
    <x v="0"/>
    <x v="0"/>
    <x v="0"/>
    <x v="0"/>
    <x v="0"/>
    <x v="0"/>
    <x v="0"/>
    <x v="0"/>
    <x v="0"/>
    <x v="0"/>
    <x v="0"/>
    <x v="0"/>
    <x v="0"/>
    <x v="0"/>
    <x v="0"/>
    <x v="0"/>
    <x v="0"/>
    <x v="0"/>
    <x v="0"/>
    <x v="0"/>
    <x v="0"/>
    <x v="0"/>
    <x v="0"/>
    <x v="0"/>
    <x v="0"/>
  </r>
  <r>
    <x v="2"/>
    <x v="0"/>
    <x v="0"/>
    <x v="0"/>
    <x v="0"/>
    <x v="0"/>
    <x v="0"/>
    <x v="0"/>
    <x v="0"/>
    <x v="0"/>
    <x v="0"/>
    <x v="0"/>
    <x v="0"/>
    <x v="0"/>
    <x v="0"/>
    <x v="0"/>
    <x v="0"/>
    <x v="0"/>
    <x v="0"/>
    <x v="0"/>
    <x v="0"/>
    <x v="0"/>
    <x v="0"/>
    <x v="0"/>
    <x v="0"/>
    <x v="0"/>
    <x v="0"/>
    <x v="0"/>
    <x v="0"/>
    <x v="0"/>
    <x v="0"/>
    <x v="0"/>
    <x v="0"/>
    <x v="0"/>
  </r>
  <r>
    <x v="3"/>
    <x v="1"/>
    <x v="1"/>
    <x v="1"/>
    <x v="1"/>
    <x v="1"/>
    <x v="1"/>
    <x v="1"/>
    <x v="0"/>
    <x v="1"/>
    <x v="0"/>
    <x v="0"/>
    <x v="0"/>
    <x v="1"/>
    <x v="1"/>
    <x v="1"/>
    <x v="1"/>
    <x v="1"/>
    <x v="1"/>
    <x v="1"/>
    <x v="1"/>
    <x v="1"/>
    <x v="1"/>
    <x v="1"/>
    <x v="1"/>
    <x v="1"/>
    <x v="0"/>
    <x v="1"/>
    <x v="1"/>
    <x v="1"/>
    <x v="0"/>
    <x v="1"/>
    <x v="0"/>
    <x v="0"/>
  </r>
  <r>
    <x v="4"/>
    <x v="2"/>
    <x v="2"/>
    <x v="2"/>
    <x v="2"/>
    <x v="1"/>
    <x v="2"/>
    <x v="2"/>
    <x v="1"/>
    <x v="1"/>
    <x v="1"/>
    <x v="0"/>
    <x v="0"/>
    <x v="1"/>
    <x v="1"/>
    <x v="2"/>
    <x v="1"/>
    <x v="1"/>
    <x v="1"/>
    <x v="1"/>
    <x v="1"/>
    <x v="2"/>
    <x v="2"/>
    <x v="1"/>
    <x v="2"/>
    <x v="2"/>
    <x v="0"/>
    <x v="1"/>
    <x v="1"/>
    <x v="1"/>
    <x v="0"/>
    <x v="2"/>
    <x v="1"/>
    <x v="0"/>
  </r>
  <r>
    <x v="5"/>
    <x v="3"/>
    <x v="3"/>
    <x v="3"/>
    <x v="3"/>
    <x v="1"/>
    <x v="2"/>
    <x v="3"/>
    <x v="0"/>
    <x v="1"/>
    <x v="2"/>
    <x v="0"/>
    <x v="0"/>
    <x v="2"/>
    <x v="2"/>
    <x v="3"/>
    <x v="2"/>
    <x v="1"/>
    <x v="1"/>
    <x v="1"/>
    <x v="1"/>
    <x v="3"/>
    <x v="2"/>
    <x v="2"/>
    <x v="3"/>
    <x v="3"/>
    <x v="0"/>
    <x v="2"/>
    <x v="0"/>
    <x v="1"/>
    <x v="0"/>
    <x v="3"/>
    <x v="0"/>
    <x v="0"/>
  </r>
  <r>
    <x v="6"/>
    <x v="4"/>
    <x v="4"/>
    <x v="4"/>
    <x v="4"/>
    <x v="1"/>
    <x v="1"/>
    <x v="4"/>
    <x v="0"/>
    <x v="1"/>
    <x v="3"/>
    <x v="0"/>
    <x v="0"/>
    <x v="1"/>
    <x v="1"/>
    <x v="1"/>
    <x v="2"/>
    <x v="1"/>
    <x v="2"/>
    <x v="1"/>
    <x v="1"/>
    <x v="4"/>
    <x v="1"/>
    <x v="2"/>
    <x v="2"/>
    <x v="4"/>
    <x v="0"/>
    <x v="1"/>
    <x v="2"/>
    <x v="1"/>
    <x v="0"/>
    <x v="4"/>
    <x v="2"/>
    <x v="1"/>
  </r>
  <r>
    <x v="7"/>
    <x v="5"/>
    <x v="5"/>
    <x v="5"/>
    <x v="5"/>
    <x v="1"/>
    <x v="2"/>
    <x v="5"/>
    <x v="2"/>
    <x v="2"/>
    <x v="0"/>
    <x v="1"/>
    <x v="0"/>
    <x v="1"/>
    <x v="1"/>
    <x v="1"/>
    <x v="2"/>
    <x v="1"/>
    <x v="3"/>
    <x v="1"/>
    <x v="1"/>
    <x v="5"/>
    <x v="2"/>
    <x v="1"/>
    <x v="2"/>
    <x v="5"/>
    <x v="0"/>
    <x v="1"/>
    <x v="3"/>
    <x v="1"/>
    <x v="0"/>
    <x v="4"/>
    <x v="3"/>
    <x v="0"/>
  </r>
  <r>
    <x v="8"/>
    <x v="6"/>
    <x v="6"/>
    <x v="6"/>
    <x v="6"/>
    <x v="1"/>
    <x v="3"/>
    <x v="6"/>
    <x v="3"/>
    <x v="1"/>
    <x v="4"/>
    <x v="0"/>
    <x v="0"/>
    <x v="1"/>
    <x v="1"/>
    <x v="1"/>
    <x v="2"/>
    <x v="1"/>
    <x v="2"/>
    <x v="1"/>
    <x v="1"/>
    <x v="6"/>
    <x v="2"/>
    <x v="1"/>
    <x v="2"/>
    <x v="6"/>
    <x v="1"/>
    <x v="1"/>
    <x v="4"/>
    <x v="1"/>
    <x v="0"/>
    <x v="5"/>
    <x v="0"/>
    <x v="0"/>
  </r>
  <r>
    <x v="9"/>
    <x v="6"/>
    <x v="6"/>
    <x v="6"/>
    <x v="0"/>
    <x v="1"/>
    <x v="3"/>
    <x v="6"/>
    <x v="4"/>
    <x v="1"/>
    <x v="4"/>
    <x v="0"/>
    <x v="0"/>
    <x v="3"/>
    <x v="3"/>
    <x v="2"/>
    <x v="1"/>
    <x v="1"/>
    <x v="2"/>
    <x v="1"/>
    <x v="1"/>
    <x v="7"/>
    <x v="2"/>
    <x v="3"/>
    <x v="4"/>
    <x v="6"/>
    <x v="1"/>
    <x v="3"/>
    <x v="0"/>
    <x v="1"/>
    <x v="0"/>
    <x v="0"/>
    <x v="0"/>
    <x v="0"/>
  </r>
  <r>
    <x v="10"/>
    <x v="7"/>
    <x v="7"/>
    <x v="7"/>
    <x v="7"/>
    <x v="1"/>
    <x v="1"/>
    <x v="7"/>
    <x v="5"/>
    <x v="3"/>
    <x v="0"/>
    <x v="0"/>
    <x v="0"/>
    <x v="1"/>
    <x v="1"/>
    <x v="1"/>
    <x v="2"/>
    <x v="1"/>
    <x v="1"/>
    <x v="1"/>
    <x v="1"/>
    <x v="8"/>
    <x v="1"/>
    <x v="1"/>
    <x v="2"/>
    <x v="7"/>
    <x v="2"/>
    <x v="0"/>
    <x v="0"/>
    <x v="1"/>
    <x v="0"/>
    <x v="0"/>
    <x v="0"/>
    <x v="0"/>
  </r>
  <r>
    <x v="11"/>
    <x v="7"/>
    <x v="7"/>
    <x v="7"/>
    <x v="8"/>
    <x v="1"/>
    <x v="1"/>
    <x v="8"/>
    <x v="5"/>
    <x v="1"/>
    <x v="4"/>
    <x v="0"/>
    <x v="0"/>
    <x v="1"/>
    <x v="2"/>
    <x v="3"/>
    <x v="2"/>
    <x v="1"/>
    <x v="2"/>
    <x v="1"/>
    <x v="1"/>
    <x v="8"/>
    <x v="1"/>
    <x v="1"/>
    <x v="2"/>
    <x v="7"/>
    <x v="3"/>
    <x v="1"/>
    <x v="5"/>
    <x v="1"/>
    <x v="0"/>
    <x v="6"/>
    <x v="4"/>
    <x v="0"/>
  </r>
  <r>
    <x v="12"/>
    <x v="2"/>
    <x v="2"/>
    <x v="2"/>
    <x v="0"/>
    <x v="1"/>
    <x v="2"/>
    <x v="2"/>
    <x v="1"/>
    <x v="1"/>
    <x v="1"/>
    <x v="0"/>
    <x v="0"/>
    <x v="3"/>
    <x v="1"/>
    <x v="1"/>
    <x v="2"/>
    <x v="1"/>
    <x v="1"/>
    <x v="1"/>
    <x v="2"/>
    <x v="0"/>
    <x v="2"/>
    <x v="3"/>
    <x v="4"/>
    <x v="2"/>
    <x v="0"/>
    <x v="0"/>
    <x v="0"/>
    <x v="1"/>
    <x v="0"/>
    <x v="0"/>
    <x v="0"/>
    <x v="0"/>
  </r>
  <r>
    <x v="13"/>
    <x v="5"/>
    <x v="5"/>
    <x v="5"/>
    <x v="0"/>
    <x v="1"/>
    <x v="2"/>
    <x v="5"/>
    <x v="2"/>
    <x v="2"/>
    <x v="0"/>
    <x v="2"/>
    <x v="0"/>
    <x v="3"/>
    <x v="1"/>
    <x v="1"/>
    <x v="2"/>
    <x v="1"/>
    <x v="3"/>
    <x v="1"/>
    <x v="2"/>
    <x v="0"/>
    <x v="2"/>
    <x v="3"/>
    <x v="4"/>
    <x v="5"/>
    <x v="0"/>
    <x v="0"/>
    <x v="0"/>
    <x v="1"/>
    <x v="0"/>
    <x v="0"/>
    <x v="0"/>
    <x v="0"/>
  </r>
  <r>
    <x v="14"/>
    <x v="4"/>
    <x v="4"/>
    <x v="4"/>
    <x v="0"/>
    <x v="1"/>
    <x v="1"/>
    <x v="4"/>
    <x v="0"/>
    <x v="1"/>
    <x v="3"/>
    <x v="0"/>
    <x v="0"/>
    <x v="3"/>
    <x v="1"/>
    <x v="1"/>
    <x v="2"/>
    <x v="1"/>
    <x v="2"/>
    <x v="1"/>
    <x v="2"/>
    <x v="0"/>
    <x v="2"/>
    <x v="3"/>
    <x v="4"/>
    <x v="4"/>
    <x v="0"/>
    <x v="0"/>
    <x v="0"/>
    <x v="1"/>
    <x v="0"/>
    <x v="0"/>
    <x v="0"/>
    <x v="0"/>
  </r>
  <r>
    <x v="15"/>
    <x v="7"/>
    <x v="7"/>
    <x v="7"/>
    <x v="0"/>
    <x v="1"/>
    <x v="1"/>
    <x v="7"/>
    <x v="5"/>
    <x v="2"/>
    <x v="0"/>
    <x v="2"/>
    <x v="0"/>
    <x v="3"/>
    <x v="2"/>
    <x v="3"/>
    <x v="2"/>
    <x v="1"/>
    <x v="1"/>
    <x v="1"/>
    <x v="1"/>
    <x v="9"/>
    <x v="2"/>
    <x v="3"/>
    <x v="4"/>
    <x v="7"/>
    <x v="2"/>
    <x v="1"/>
    <x v="2"/>
    <x v="1"/>
    <x v="0"/>
    <x v="7"/>
    <x v="5"/>
    <x v="0"/>
  </r>
  <r>
    <x v="16"/>
    <x v="7"/>
    <x v="7"/>
    <x v="7"/>
    <x v="0"/>
    <x v="1"/>
    <x v="1"/>
    <x v="7"/>
    <x v="5"/>
    <x v="2"/>
    <x v="0"/>
    <x v="2"/>
    <x v="0"/>
    <x v="3"/>
    <x v="2"/>
    <x v="3"/>
    <x v="2"/>
    <x v="1"/>
    <x v="2"/>
    <x v="1"/>
    <x v="1"/>
    <x v="10"/>
    <x v="2"/>
    <x v="3"/>
    <x v="4"/>
    <x v="7"/>
    <x v="4"/>
    <x v="1"/>
    <x v="1"/>
    <x v="1"/>
    <x v="0"/>
    <x v="8"/>
    <x v="0"/>
    <x v="0"/>
  </r>
  <r>
    <x v="17"/>
    <x v="7"/>
    <x v="7"/>
    <x v="7"/>
    <x v="0"/>
    <x v="1"/>
    <x v="1"/>
    <x v="7"/>
    <x v="5"/>
    <x v="2"/>
    <x v="0"/>
    <x v="2"/>
    <x v="0"/>
    <x v="3"/>
    <x v="1"/>
    <x v="1"/>
    <x v="2"/>
    <x v="1"/>
    <x v="2"/>
    <x v="1"/>
    <x v="2"/>
    <x v="0"/>
    <x v="2"/>
    <x v="3"/>
    <x v="4"/>
    <x v="7"/>
    <x v="5"/>
    <x v="0"/>
    <x v="0"/>
    <x v="1"/>
    <x v="0"/>
    <x v="0"/>
    <x v="0"/>
    <x v="0"/>
  </r>
  <r>
    <x v="18"/>
    <x v="8"/>
    <x v="8"/>
    <x v="8"/>
    <x v="9"/>
    <x v="1"/>
    <x v="2"/>
    <x v="9"/>
    <x v="6"/>
    <x v="2"/>
    <x v="0"/>
    <x v="3"/>
    <x v="0"/>
    <x v="1"/>
    <x v="1"/>
    <x v="1"/>
    <x v="2"/>
    <x v="1"/>
    <x v="2"/>
    <x v="1"/>
    <x v="2"/>
    <x v="0"/>
    <x v="2"/>
    <x v="1"/>
    <x v="2"/>
    <x v="8"/>
    <x v="5"/>
    <x v="0"/>
    <x v="0"/>
    <x v="1"/>
    <x v="0"/>
    <x v="0"/>
    <x v="0"/>
    <x v="0"/>
  </r>
  <r>
    <x v="19"/>
    <x v="9"/>
    <x v="9"/>
    <x v="9"/>
    <x v="10"/>
    <x v="1"/>
    <x v="2"/>
    <x v="10"/>
    <x v="7"/>
    <x v="1"/>
    <x v="5"/>
    <x v="0"/>
    <x v="0"/>
    <x v="1"/>
    <x v="2"/>
    <x v="3"/>
    <x v="2"/>
    <x v="1"/>
    <x v="2"/>
    <x v="1"/>
    <x v="1"/>
    <x v="11"/>
    <x v="1"/>
    <x v="1"/>
    <x v="2"/>
    <x v="9"/>
    <x v="5"/>
    <x v="1"/>
    <x v="1"/>
    <x v="1"/>
    <x v="0"/>
    <x v="9"/>
    <x v="0"/>
    <x v="2"/>
  </r>
  <r>
    <x v="20"/>
    <x v="9"/>
    <x v="9"/>
    <x v="9"/>
    <x v="0"/>
    <x v="1"/>
    <x v="2"/>
    <x v="10"/>
    <x v="8"/>
    <x v="1"/>
    <x v="5"/>
    <x v="0"/>
    <x v="0"/>
    <x v="3"/>
    <x v="4"/>
    <x v="1"/>
    <x v="2"/>
    <x v="1"/>
    <x v="2"/>
    <x v="1"/>
    <x v="1"/>
    <x v="12"/>
    <x v="2"/>
    <x v="3"/>
    <x v="4"/>
    <x v="9"/>
    <x v="5"/>
    <x v="1"/>
    <x v="1"/>
    <x v="1"/>
    <x v="0"/>
    <x v="10"/>
    <x v="0"/>
    <x v="0"/>
  </r>
  <r>
    <x v="21"/>
    <x v="9"/>
    <x v="9"/>
    <x v="9"/>
    <x v="0"/>
    <x v="1"/>
    <x v="2"/>
    <x v="10"/>
    <x v="9"/>
    <x v="1"/>
    <x v="6"/>
    <x v="0"/>
    <x v="0"/>
    <x v="3"/>
    <x v="2"/>
    <x v="3"/>
    <x v="2"/>
    <x v="1"/>
    <x v="2"/>
    <x v="1"/>
    <x v="1"/>
    <x v="13"/>
    <x v="2"/>
    <x v="3"/>
    <x v="4"/>
    <x v="9"/>
    <x v="5"/>
    <x v="1"/>
    <x v="3"/>
    <x v="1"/>
    <x v="0"/>
    <x v="11"/>
    <x v="0"/>
    <x v="0"/>
  </r>
  <r>
    <x v="22"/>
    <x v="9"/>
    <x v="9"/>
    <x v="9"/>
    <x v="0"/>
    <x v="1"/>
    <x v="2"/>
    <x v="10"/>
    <x v="9"/>
    <x v="1"/>
    <x v="7"/>
    <x v="0"/>
    <x v="0"/>
    <x v="3"/>
    <x v="1"/>
    <x v="1"/>
    <x v="2"/>
    <x v="1"/>
    <x v="2"/>
    <x v="1"/>
    <x v="2"/>
    <x v="0"/>
    <x v="2"/>
    <x v="3"/>
    <x v="4"/>
    <x v="9"/>
    <x v="3"/>
    <x v="0"/>
    <x v="0"/>
    <x v="1"/>
    <x v="0"/>
    <x v="0"/>
    <x v="0"/>
    <x v="0"/>
  </r>
  <r>
    <x v="23"/>
    <x v="10"/>
    <x v="10"/>
    <x v="10"/>
    <x v="11"/>
    <x v="1"/>
    <x v="4"/>
    <x v="11"/>
    <x v="10"/>
    <x v="1"/>
    <x v="3"/>
    <x v="0"/>
    <x v="0"/>
    <x v="1"/>
    <x v="3"/>
    <x v="2"/>
    <x v="2"/>
    <x v="1"/>
    <x v="3"/>
    <x v="1"/>
    <x v="1"/>
    <x v="14"/>
    <x v="1"/>
    <x v="1"/>
    <x v="2"/>
    <x v="10"/>
    <x v="4"/>
    <x v="1"/>
    <x v="1"/>
    <x v="2"/>
    <x v="1"/>
    <x v="12"/>
    <x v="0"/>
    <x v="0"/>
  </r>
  <r>
    <x v="24"/>
    <x v="10"/>
    <x v="10"/>
    <x v="10"/>
    <x v="12"/>
    <x v="1"/>
    <x v="4"/>
    <x v="12"/>
    <x v="11"/>
    <x v="1"/>
    <x v="3"/>
    <x v="0"/>
    <x v="0"/>
    <x v="3"/>
    <x v="1"/>
    <x v="1"/>
    <x v="2"/>
    <x v="1"/>
    <x v="2"/>
    <x v="1"/>
    <x v="2"/>
    <x v="0"/>
    <x v="1"/>
    <x v="3"/>
    <x v="4"/>
    <x v="10"/>
    <x v="5"/>
    <x v="0"/>
    <x v="0"/>
    <x v="1"/>
    <x v="0"/>
    <x v="0"/>
    <x v="0"/>
    <x v="0"/>
  </r>
  <r>
    <x v="25"/>
    <x v="11"/>
    <x v="11"/>
    <x v="11"/>
    <x v="13"/>
    <x v="1"/>
    <x v="2"/>
    <x v="13"/>
    <x v="12"/>
    <x v="4"/>
    <x v="0"/>
    <x v="0"/>
    <x v="0"/>
    <x v="1"/>
    <x v="1"/>
    <x v="1"/>
    <x v="2"/>
    <x v="1"/>
    <x v="2"/>
    <x v="1"/>
    <x v="2"/>
    <x v="0"/>
    <x v="1"/>
    <x v="1"/>
    <x v="2"/>
    <x v="11"/>
    <x v="3"/>
    <x v="0"/>
    <x v="0"/>
    <x v="1"/>
    <x v="0"/>
    <x v="0"/>
    <x v="0"/>
    <x v="0"/>
  </r>
  <r>
    <x v="26"/>
    <x v="12"/>
    <x v="12"/>
    <x v="12"/>
    <x v="14"/>
    <x v="1"/>
    <x v="2"/>
    <x v="14"/>
    <x v="13"/>
    <x v="1"/>
    <x v="8"/>
    <x v="0"/>
    <x v="0"/>
    <x v="1"/>
    <x v="1"/>
    <x v="1"/>
    <x v="2"/>
    <x v="1"/>
    <x v="3"/>
    <x v="1"/>
    <x v="1"/>
    <x v="15"/>
    <x v="1"/>
    <x v="1"/>
    <x v="2"/>
    <x v="12"/>
    <x v="2"/>
    <x v="1"/>
    <x v="2"/>
    <x v="2"/>
    <x v="1"/>
    <x v="13"/>
    <x v="0"/>
    <x v="0"/>
  </r>
  <r>
    <x v="27"/>
    <x v="12"/>
    <x v="12"/>
    <x v="12"/>
    <x v="15"/>
    <x v="1"/>
    <x v="2"/>
    <x v="14"/>
    <x v="13"/>
    <x v="1"/>
    <x v="8"/>
    <x v="0"/>
    <x v="0"/>
    <x v="3"/>
    <x v="1"/>
    <x v="1"/>
    <x v="2"/>
    <x v="1"/>
    <x v="3"/>
    <x v="1"/>
    <x v="2"/>
    <x v="0"/>
    <x v="1"/>
    <x v="3"/>
    <x v="4"/>
    <x v="12"/>
    <x v="4"/>
    <x v="0"/>
    <x v="0"/>
    <x v="1"/>
    <x v="0"/>
    <x v="0"/>
    <x v="0"/>
    <x v="0"/>
  </r>
  <r>
    <x v="28"/>
    <x v="13"/>
    <x v="13"/>
    <x v="13"/>
    <x v="16"/>
    <x v="1"/>
    <x v="2"/>
    <x v="15"/>
    <x v="7"/>
    <x v="1"/>
    <x v="9"/>
    <x v="0"/>
    <x v="0"/>
    <x v="1"/>
    <x v="3"/>
    <x v="3"/>
    <x v="2"/>
    <x v="1"/>
    <x v="2"/>
    <x v="1"/>
    <x v="1"/>
    <x v="16"/>
    <x v="1"/>
    <x v="4"/>
    <x v="2"/>
    <x v="13"/>
    <x v="5"/>
    <x v="1"/>
    <x v="3"/>
    <x v="2"/>
    <x v="1"/>
    <x v="14"/>
    <x v="6"/>
    <x v="0"/>
  </r>
  <r>
    <x v="29"/>
    <x v="13"/>
    <x v="13"/>
    <x v="13"/>
    <x v="0"/>
    <x v="1"/>
    <x v="2"/>
    <x v="15"/>
    <x v="7"/>
    <x v="1"/>
    <x v="0"/>
    <x v="0"/>
    <x v="0"/>
    <x v="3"/>
    <x v="1"/>
    <x v="1"/>
    <x v="2"/>
    <x v="1"/>
    <x v="3"/>
    <x v="1"/>
    <x v="2"/>
    <x v="0"/>
    <x v="2"/>
    <x v="3"/>
    <x v="4"/>
    <x v="13"/>
    <x v="3"/>
    <x v="0"/>
    <x v="0"/>
    <x v="1"/>
    <x v="0"/>
    <x v="0"/>
    <x v="0"/>
    <x v="0"/>
  </r>
  <r>
    <x v="30"/>
    <x v="12"/>
    <x v="12"/>
    <x v="12"/>
    <x v="17"/>
    <x v="1"/>
    <x v="2"/>
    <x v="14"/>
    <x v="13"/>
    <x v="1"/>
    <x v="10"/>
    <x v="0"/>
    <x v="0"/>
    <x v="1"/>
    <x v="3"/>
    <x v="2"/>
    <x v="2"/>
    <x v="1"/>
    <x v="1"/>
    <x v="1"/>
    <x v="1"/>
    <x v="17"/>
    <x v="1"/>
    <x v="1"/>
    <x v="2"/>
    <x v="12"/>
    <x v="1"/>
    <x v="1"/>
    <x v="4"/>
    <x v="2"/>
    <x v="1"/>
    <x v="15"/>
    <x v="0"/>
    <x v="3"/>
  </r>
  <r>
    <x v="31"/>
    <x v="12"/>
    <x v="12"/>
    <x v="12"/>
    <x v="18"/>
    <x v="1"/>
    <x v="2"/>
    <x v="14"/>
    <x v="13"/>
    <x v="1"/>
    <x v="11"/>
    <x v="0"/>
    <x v="0"/>
    <x v="3"/>
    <x v="3"/>
    <x v="2"/>
    <x v="2"/>
    <x v="1"/>
    <x v="1"/>
    <x v="1"/>
    <x v="1"/>
    <x v="18"/>
    <x v="1"/>
    <x v="3"/>
    <x v="4"/>
    <x v="12"/>
    <x v="1"/>
    <x v="1"/>
    <x v="4"/>
    <x v="2"/>
    <x v="1"/>
    <x v="16"/>
    <x v="0"/>
    <x v="0"/>
  </r>
  <r>
    <x v="32"/>
    <x v="12"/>
    <x v="12"/>
    <x v="12"/>
    <x v="19"/>
    <x v="1"/>
    <x v="2"/>
    <x v="14"/>
    <x v="14"/>
    <x v="1"/>
    <x v="12"/>
    <x v="0"/>
    <x v="0"/>
    <x v="3"/>
    <x v="1"/>
    <x v="1"/>
    <x v="2"/>
    <x v="1"/>
    <x v="1"/>
    <x v="1"/>
    <x v="2"/>
    <x v="0"/>
    <x v="1"/>
    <x v="3"/>
    <x v="4"/>
    <x v="12"/>
    <x v="1"/>
    <x v="0"/>
    <x v="0"/>
    <x v="1"/>
    <x v="0"/>
    <x v="0"/>
    <x v="0"/>
    <x v="0"/>
  </r>
  <r>
    <x v="33"/>
    <x v="14"/>
    <x v="14"/>
    <x v="14"/>
    <x v="20"/>
    <x v="1"/>
    <x v="2"/>
    <x v="16"/>
    <x v="15"/>
    <x v="1"/>
    <x v="3"/>
    <x v="0"/>
    <x v="0"/>
    <x v="1"/>
    <x v="1"/>
    <x v="1"/>
    <x v="2"/>
    <x v="1"/>
    <x v="2"/>
    <x v="1"/>
    <x v="2"/>
    <x v="0"/>
    <x v="2"/>
    <x v="1"/>
    <x v="2"/>
    <x v="14"/>
    <x v="5"/>
    <x v="0"/>
    <x v="0"/>
    <x v="1"/>
    <x v="0"/>
    <x v="0"/>
    <x v="0"/>
    <x v="0"/>
  </r>
  <r>
    <x v="34"/>
    <x v="15"/>
    <x v="15"/>
    <x v="15"/>
    <x v="21"/>
    <x v="1"/>
    <x v="2"/>
    <x v="17"/>
    <x v="16"/>
    <x v="1"/>
    <x v="13"/>
    <x v="0"/>
    <x v="0"/>
    <x v="1"/>
    <x v="2"/>
    <x v="3"/>
    <x v="2"/>
    <x v="1"/>
    <x v="1"/>
    <x v="1"/>
    <x v="1"/>
    <x v="19"/>
    <x v="2"/>
    <x v="4"/>
    <x v="2"/>
    <x v="15"/>
    <x v="1"/>
    <x v="1"/>
    <x v="3"/>
    <x v="1"/>
    <x v="0"/>
    <x v="17"/>
    <x v="7"/>
    <x v="2"/>
  </r>
  <r>
    <x v="35"/>
    <x v="16"/>
    <x v="16"/>
    <x v="16"/>
    <x v="22"/>
    <x v="1"/>
    <x v="2"/>
    <x v="18"/>
    <x v="17"/>
    <x v="1"/>
    <x v="1"/>
    <x v="0"/>
    <x v="0"/>
    <x v="1"/>
    <x v="1"/>
    <x v="1"/>
    <x v="1"/>
    <x v="1"/>
    <x v="3"/>
    <x v="1"/>
    <x v="1"/>
    <x v="20"/>
    <x v="1"/>
    <x v="1"/>
    <x v="2"/>
    <x v="16"/>
    <x v="3"/>
    <x v="3"/>
    <x v="0"/>
    <x v="1"/>
    <x v="0"/>
    <x v="0"/>
    <x v="0"/>
    <x v="0"/>
  </r>
  <r>
    <x v="36"/>
    <x v="15"/>
    <x v="15"/>
    <x v="15"/>
    <x v="21"/>
    <x v="1"/>
    <x v="2"/>
    <x v="17"/>
    <x v="16"/>
    <x v="1"/>
    <x v="2"/>
    <x v="0"/>
    <x v="0"/>
    <x v="3"/>
    <x v="2"/>
    <x v="3"/>
    <x v="2"/>
    <x v="1"/>
    <x v="2"/>
    <x v="1"/>
    <x v="1"/>
    <x v="21"/>
    <x v="2"/>
    <x v="3"/>
    <x v="4"/>
    <x v="15"/>
    <x v="3"/>
    <x v="3"/>
    <x v="0"/>
    <x v="1"/>
    <x v="0"/>
    <x v="18"/>
    <x v="0"/>
    <x v="0"/>
  </r>
  <r>
    <x v="37"/>
    <x v="17"/>
    <x v="17"/>
    <x v="17"/>
    <x v="23"/>
    <x v="1"/>
    <x v="2"/>
    <x v="19"/>
    <x v="18"/>
    <x v="1"/>
    <x v="0"/>
    <x v="0"/>
    <x v="0"/>
    <x v="1"/>
    <x v="3"/>
    <x v="2"/>
    <x v="2"/>
    <x v="2"/>
    <x v="1"/>
    <x v="1"/>
    <x v="1"/>
    <x v="20"/>
    <x v="1"/>
    <x v="1"/>
    <x v="5"/>
    <x v="17"/>
    <x v="1"/>
    <x v="3"/>
    <x v="0"/>
    <x v="1"/>
    <x v="0"/>
    <x v="19"/>
    <x v="8"/>
    <x v="0"/>
  </r>
  <r>
    <x v="38"/>
    <x v="18"/>
    <x v="18"/>
    <x v="18"/>
    <x v="24"/>
    <x v="1"/>
    <x v="5"/>
    <x v="20"/>
    <x v="19"/>
    <x v="1"/>
    <x v="14"/>
    <x v="0"/>
    <x v="0"/>
    <x v="1"/>
    <x v="1"/>
    <x v="1"/>
    <x v="1"/>
    <x v="1"/>
    <x v="2"/>
    <x v="1"/>
    <x v="1"/>
    <x v="22"/>
    <x v="3"/>
    <x v="1"/>
    <x v="2"/>
    <x v="18"/>
    <x v="3"/>
    <x v="0"/>
    <x v="0"/>
    <x v="1"/>
    <x v="0"/>
    <x v="20"/>
    <x v="0"/>
    <x v="4"/>
  </r>
  <r>
    <x v="39"/>
    <x v="19"/>
    <x v="19"/>
    <x v="19"/>
    <x v="25"/>
    <x v="1"/>
    <x v="2"/>
    <x v="21"/>
    <x v="20"/>
    <x v="2"/>
    <x v="0"/>
    <x v="2"/>
    <x v="0"/>
    <x v="1"/>
    <x v="1"/>
    <x v="1"/>
    <x v="2"/>
    <x v="1"/>
    <x v="2"/>
    <x v="1"/>
    <x v="2"/>
    <x v="0"/>
    <x v="1"/>
    <x v="1"/>
    <x v="2"/>
    <x v="19"/>
    <x v="2"/>
    <x v="0"/>
    <x v="0"/>
    <x v="1"/>
    <x v="0"/>
    <x v="0"/>
    <x v="0"/>
    <x v="5"/>
  </r>
  <r>
    <x v="40"/>
    <x v="20"/>
    <x v="20"/>
    <x v="20"/>
    <x v="26"/>
    <x v="1"/>
    <x v="5"/>
    <x v="22"/>
    <x v="21"/>
    <x v="1"/>
    <x v="15"/>
    <x v="0"/>
    <x v="0"/>
    <x v="1"/>
    <x v="1"/>
    <x v="1"/>
    <x v="2"/>
    <x v="1"/>
    <x v="2"/>
    <x v="1"/>
    <x v="2"/>
    <x v="0"/>
    <x v="1"/>
    <x v="5"/>
    <x v="2"/>
    <x v="20"/>
    <x v="3"/>
    <x v="0"/>
    <x v="0"/>
    <x v="1"/>
    <x v="0"/>
    <x v="0"/>
    <x v="0"/>
    <x v="0"/>
  </r>
  <r>
    <x v="41"/>
    <x v="21"/>
    <x v="21"/>
    <x v="21"/>
    <x v="27"/>
    <x v="1"/>
    <x v="3"/>
    <x v="23"/>
    <x v="22"/>
    <x v="1"/>
    <x v="16"/>
    <x v="0"/>
    <x v="0"/>
    <x v="1"/>
    <x v="1"/>
    <x v="1"/>
    <x v="2"/>
    <x v="1"/>
    <x v="2"/>
    <x v="1"/>
    <x v="1"/>
    <x v="23"/>
    <x v="1"/>
    <x v="5"/>
    <x v="2"/>
    <x v="21"/>
    <x v="3"/>
    <x v="3"/>
    <x v="0"/>
    <x v="1"/>
    <x v="0"/>
    <x v="0"/>
    <x v="9"/>
    <x v="6"/>
  </r>
  <r>
    <x v="42"/>
    <x v="22"/>
    <x v="22"/>
    <x v="22"/>
    <x v="28"/>
    <x v="1"/>
    <x v="2"/>
    <x v="24"/>
    <x v="23"/>
    <x v="1"/>
    <x v="9"/>
    <x v="0"/>
    <x v="0"/>
    <x v="1"/>
    <x v="1"/>
    <x v="1"/>
    <x v="2"/>
    <x v="2"/>
    <x v="1"/>
    <x v="1"/>
    <x v="1"/>
    <x v="24"/>
    <x v="1"/>
    <x v="1"/>
    <x v="2"/>
    <x v="22"/>
    <x v="4"/>
    <x v="1"/>
    <x v="1"/>
    <x v="2"/>
    <x v="1"/>
    <x v="21"/>
    <x v="0"/>
    <x v="7"/>
  </r>
  <r>
    <x v="43"/>
    <x v="23"/>
    <x v="23"/>
    <x v="23"/>
    <x v="29"/>
    <x v="2"/>
    <x v="2"/>
    <x v="25"/>
    <x v="24"/>
    <x v="1"/>
    <x v="17"/>
    <x v="0"/>
    <x v="0"/>
    <x v="1"/>
    <x v="2"/>
    <x v="3"/>
    <x v="1"/>
    <x v="1"/>
    <x v="2"/>
    <x v="1"/>
    <x v="1"/>
    <x v="25"/>
    <x v="1"/>
    <x v="1"/>
    <x v="2"/>
    <x v="23"/>
    <x v="5"/>
    <x v="1"/>
    <x v="6"/>
    <x v="2"/>
    <x v="1"/>
    <x v="22"/>
    <x v="0"/>
    <x v="0"/>
  </r>
  <r>
    <x v="44"/>
    <x v="24"/>
    <x v="24"/>
    <x v="24"/>
    <x v="30"/>
    <x v="3"/>
    <x v="2"/>
    <x v="26"/>
    <x v="25"/>
    <x v="1"/>
    <x v="12"/>
    <x v="0"/>
    <x v="0"/>
    <x v="1"/>
    <x v="2"/>
    <x v="3"/>
    <x v="2"/>
    <x v="1"/>
    <x v="2"/>
    <x v="1"/>
    <x v="1"/>
    <x v="24"/>
    <x v="1"/>
    <x v="1"/>
    <x v="2"/>
    <x v="24"/>
    <x v="5"/>
    <x v="1"/>
    <x v="1"/>
    <x v="2"/>
    <x v="1"/>
    <x v="23"/>
    <x v="0"/>
    <x v="8"/>
  </r>
  <r>
    <x v="45"/>
    <x v="25"/>
    <x v="25"/>
    <x v="25"/>
    <x v="31"/>
    <x v="1"/>
    <x v="2"/>
    <x v="27"/>
    <x v="26"/>
    <x v="1"/>
    <x v="1"/>
    <x v="0"/>
    <x v="0"/>
    <x v="1"/>
    <x v="2"/>
    <x v="3"/>
    <x v="2"/>
    <x v="1"/>
    <x v="2"/>
    <x v="1"/>
    <x v="1"/>
    <x v="23"/>
    <x v="3"/>
    <x v="1"/>
    <x v="5"/>
    <x v="25"/>
    <x v="6"/>
    <x v="3"/>
    <x v="0"/>
    <x v="1"/>
    <x v="0"/>
    <x v="24"/>
    <x v="0"/>
    <x v="0"/>
  </r>
  <r>
    <x v="46"/>
    <x v="26"/>
    <x v="26"/>
    <x v="26"/>
    <x v="32"/>
    <x v="1"/>
    <x v="2"/>
    <x v="28"/>
    <x v="27"/>
    <x v="1"/>
    <x v="18"/>
    <x v="0"/>
    <x v="0"/>
    <x v="1"/>
    <x v="1"/>
    <x v="2"/>
    <x v="2"/>
    <x v="1"/>
    <x v="3"/>
    <x v="1"/>
    <x v="1"/>
    <x v="26"/>
    <x v="1"/>
    <x v="1"/>
    <x v="2"/>
    <x v="26"/>
    <x v="1"/>
    <x v="1"/>
    <x v="4"/>
    <x v="2"/>
    <x v="1"/>
    <x v="25"/>
    <x v="0"/>
    <x v="0"/>
  </r>
  <r>
    <x v="47"/>
    <x v="22"/>
    <x v="22"/>
    <x v="22"/>
    <x v="33"/>
    <x v="1"/>
    <x v="2"/>
    <x v="24"/>
    <x v="28"/>
    <x v="1"/>
    <x v="9"/>
    <x v="0"/>
    <x v="0"/>
    <x v="3"/>
    <x v="1"/>
    <x v="1"/>
    <x v="2"/>
    <x v="2"/>
    <x v="1"/>
    <x v="1"/>
    <x v="2"/>
    <x v="0"/>
    <x v="1"/>
    <x v="1"/>
    <x v="2"/>
    <x v="22"/>
    <x v="5"/>
    <x v="0"/>
    <x v="0"/>
    <x v="1"/>
    <x v="0"/>
    <x v="0"/>
    <x v="0"/>
    <x v="0"/>
  </r>
  <r>
    <x v="48"/>
    <x v="23"/>
    <x v="23"/>
    <x v="23"/>
    <x v="34"/>
    <x v="2"/>
    <x v="5"/>
    <x v="25"/>
    <x v="24"/>
    <x v="1"/>
    <x v="2"/>
    <x v="0"/>
    <x v="0"/>
    <x v="3"/>
    <x v="2"/>
    <x v="3"/>
    <x v="2"/>
    <x v="1"/>
    <x v="2"/>
    <x v="1"/>
    <x v="1"/>
    <x v="24"/>
    <x v="1"/>
    <x v="3"/>
    <x v="4"/>
    <x v="23"/>
    <x v="6"/>
    <x v="3"/>
    <x v="0"/>
    <x v="1"/>
    <x v="0"/>
    <x v="26"/>
    <x v="0"/>
    <x v="0"/>
  </r>
  <r>
    <x v="49"/>
    <x v="27"/>
    <x v="27"/>
    <x v="27"/>
    <x v="35"/>
    <x v="1"/>
    <x v="2"/>
    <x v="29"/>
    <x v="29"/>
    <x v="1"/>
    <x v="9"/>
    <x v="0"/>
    <x v="0"/>
    <x v="1"/>
    <x v="1"/>
    <x v="1"/>
    <x v="2"/>
    <x v="2"/>
    <x v="1"/>
    <x v="1"/>
    <x v="1"/>
    <x v="26"/>
    <x v="1"/>
    <x v="1"/>
    <x v="2"/>
    <x v="27"/>
    <x v="5"/>
    <x v="1"/>
    <x v="1"/>
    <x v="2"/>
    <x v="1"/>
    <x v="27"/>
    <x v="10"/>
    <x v="9"/>
  </r>
  <r>
    <x v="50"/>
    <x v="28"/>
    <x v="25"/>
    <x v="25"/>
    <x v="36"/>
    <x v="1"/>
    <x v="2"/>
    <x v="27"/>
    <x v="10"/>
    <x v="1"/>
    <x v="19"/>
    <x v="0"/>
    <x v="0"/>
    <x v="1"/>
    <x v="2"/>
    <x v="3"/>
    <x v="2"/>
    <x v="2"/>
    <x v="3"/>
    <x v="1"/>
    <x v="1"/>
    <x v="26"/>
    <x v="1"/>
    <x v="1"/>
    <x v="2"/>
    <x v="25"/>
    <x v="1"/>
    <x v="3"/>
    <x v="0"/>
    <x v="1"/>
    <x v="0"/>
    <x v="28"/>
    <x v="0"/>
    <x v="0"/>
  </r>
  <r>
    <x v="51"/>
    <x v="24"/>
    <x v="24"/>
    <x v="24"/>
    <x v="37"/>
    <x v="3"/>
    <x v="2"/>
    <x v="26"/>
    <x v="25"/>
    <x v="1"/>
    <x v="12"/>
    <x v="0"/>
    <x v="0"/>
    <x v="3"/>
    <x v="2"/>
    <x v="3"/>
    <x v="2"/>
    <x v="1"/>
    <x v="2"/>
    <x v="1"/>
    <x v="1"/>
    <x v="26"/>
    <x v="1"/>
    <x v="1"/>
    <x v="2"/>
    <x v="24"/>
    <x v="5"/>
    <x v="1"/>
    <x v="7"/>
    <x v="2"/>
    <x v="1"/>
    <x v="29"/>
    <x v="0"/>
    <x v="0"/>
  </r>
  <r>
    <x v="52"/>
    <x v="29"/>
    <x v="28"/>
    <x v="28"/>
    <x v="38"/>
    <x v="3"/>
    <x v="1"/>
    <x v="30"/>
    <x v="30"/>
    <x v="5"/>
    <x v="0"/>
    <x v="0"/>
    <x v="0"/>
    <x v="1"/>
    <x v="1"/>
    <x v="1"/>
    <x v="2"/>
    <x v="2"/>
    <x v="1"/>
    <x v="1"/>
    <x v="2"/>
    <x v="0"/>
    <x v="1"/>
    <x v="5"/>
    <x v="2"/>
    <x v="28"/>
    <x v="5"/>
    <x v="0"/>
    <x v="0"/>
    <x v="1"/>
    <x v="0"/>
    <x v="0"/>
    <x v="0"/>
    <x v="10"/>
  </r>
  <r>
    <x v="53"/>
    <x v="30"/>
    <x v="29"/>
    <x v="29"/>
    <x v="39"/>
    <x v="1"/>
    <x v="3"/>
    <x v="31"/>
    <x v="31"/>
    <x v="2"/>
    <x v="0"/>
    <x v="2"/>
    <x v="0"/>
    <x v="1"/>
    <x v="2"/>
    <x v="3"/>
    <x v="2"/>
    <x v="1"/>
    <x v="3"/>
    <x v="1"/>
    <x v="1"/>
    <x v="27"/>
    <x v="2"/>
    <x v="1"/>
    <x v="2"/>
    <x v="29"/>
    <x v="2"/>
    <x v="1"/>
    <x v="1"/>
    <x v="2"/>
    <x v="1"/>
    <x v="30"/>
    <x v="0"/>
    <x v="0"/>
  </r>
  <r>
    <x v="54"/>
    <x v="31"/>
    <x v="30"/>
    <x v="30"/>
    <x v="40"/>
    <x v="1"/>
    <x v="2"/>
    <x v="32"/>
    <x v="32"/>
    <x v="1"/>
    <x v="20"/>
    <x v="0"/>
    <x v="0"/>
    <x v="1"/>
    <x v="2"/>
    <x v="3"/>
    <x v="2"/>
    <x v="1"/>
    <x v="2"/>
    <x v="1"/>
    <x v="1"/>
    <x v="27"/>
    <x v="1"/>
    <x v="1"/>
    <x v="2"/>
    <x v="30"/>
    <x v="7"/>
    <x v="1"/>
    <x v="8"/>
    <x v="2"/>
    <x v="1"/>
    <x v="31"/>
    <x v="11"/>
    <x v="0"/>
  </r>
  <r>
    <x v="55"/>
    <x v="26"/>
    <x v="26"/>
    <x v="26"/>
    <x v="41"/>
    <x v="1"/>
    <x v="2"/>
    <x v="28"/>
    <x v="27"/>
    <x v="1"/>
    <x v="21"/>
    <x v="0"/>
    <x v="0"/>
    <x v="3"/>
    <x v="1"/>
    <x v="1"/>
    <x v="2"/>
    <x v="1"/>
    <x v="1"/>
    <x v="1"/>
    <x v="1"/>
    <x v="28"/>
    <x v="1"/>
    <x v="3"/>
    <x v="4"/>
    <x v="26"/>
    <x v="1"/>
    <x v="3"/>
    <x v="0"/>
    <x v="1"/>
    <x v="0"/>
    <x v="0"/>
    <x v="0"/>
    <x v="0"/>
  </r>
  <r>
    <x v="56"/>
    <x v="32"/>
    <x v="31"/>
    <x v="31"/>
    <x v="42"/>
    <x v="3"/>
    <x v="5"/>
    <x v="33"/>
    <x v="33"/>
    <x v="1"/>
    <x v="22"/>
    <x v="0"/>
    <x v="0"/>
    <x v="1"/>
    <x v="1"/>
    <x v="1"/>
    <x v="2"/>
    <x v="1"/>
    <x v="3"/>
    <x v="1"/>
    <x v="1"/>
    <x v="29"/>
    <x v="1"/>
    <x v="1"/>
    <x v="2"/>
    <x v="31"/>
    <x v="2"/>
    <x v="3"/>
    <x v="0"/>
    <x v="1"/>
    <x v="0"/>
    <x v="32"/>
    <x v="12"/>
    <x v="11"/>
  </r>
  <r>
    <x v="57"/>
    <x v="24"/>
    <x v="24"/>
    <x v="24"/>
    <x v="43"/>
    <x v="3"/>
    <x v="2"/>
    <x v="26"/>
    <x v="34"/>
    <x v="1"/>
    <x v="12"/>
    <x v="0"/>
    <x v="0"/>
    <x v="3"/>
    <x v="1"/>
    <x v="1"/>
    <x v="2"/>
    <x v="1"/>
    <x v="3"/>
    <x v="1"/>
    <x v="1"/>
    <x v="29"/>
    <x v="1"/>
    <x v="3"/>
    <x v="4"/>
    <x v="24"/>
    <x v="7"/>
    <x v="1"/>
    <x v="4"/>
    <x v="2"/>
    <x v="1"/>
    <x v="33"/>
    <x v="13"/>
    <x v="0"/>
  </r>
  <r>
    <x v="58"/>
    <x v="30"/>
    <x v="29"/>
    <x v="29"/>
    <x v="44"/>
    <x v="1"/>
    <x v="3"/>
    <x v="31"/>
    <x v="31"/>
    <x v="1"/>
    <x v="15"/>
    <x v="0"/>
    <x v="0"/>
    <x v="3"/>
    <x v="1"/>
    <x v="1"/>
    <x v="2"/>
    <x v="1"/>
    <x v="2"/>
    <x v="1"/>
    <x v="2"/>
    <x v="0"/>
    <x v="2"/>
    <x v="4"/>
    <x v="2"/>
    <x v="29"/>
    <x v="5"/>
    <x v="0"/>
    <x v="0"/>
    <x v="1"/>
    <x v="0"/>
    <x v="0"/>
    <x v="0"/>
    <x v="0"/>
  </r>
  <r>
    <x v="59"/>
    <x v="27"/>
    <x v="27"/>
    <x v="27"/>
    <x v="45"/>
    <x v="1"/>
    <x v="2"/>
    <x v="34"/>
    <x v="29"/>
    <x v="1"/>
    <x v="9"/>
    <x v="0"/>
    <x v="0"/>
    <x v="3"/>
    <x v="1"/>
    <x v="1"/>
    <x v="2"/>
    <x v="2"/>
    <x v="1"/>
    <x v="1"/>
    <x v="1"/>
    <x v="30"/>
    <x v="2"/>
    <x v="3"/>
    <x v="4"/>
    <x v="27"/>
    <x v="5"/>
    <x v="2"/>
    <x v="0"/>
    <x v="1"/>
    <x v="0"/>
    <x v="34"/>
    <x v="0"/>
    <x v="0"/>
  </r>
  <r>
    <x v="60"/>
    <x v="31"/>
    <x v="30"/>
    <x v="30"/>
    <x v="46"/>
    <x v="1"/>
    <x v="2"/>
    <x v="32"/>
    <x v="35"/>
    <x v="1"/>
    <x v="23"/>
    <x v="0"/>
    <x v="0"/>
    <x v="3"/>
    <x v="1"/>
    <x v="2"/>
    <x v="1"/>
    <x v="1"/>
    <x v="2"/>
    <x v="1"/>
    <x v="1"/>
    <x v="30"/>
    <x v="1"/>
    <x v="3"/>
    <x v="4"/>
    <x v="30"/>
    <x v="8"/>
    <x v="3"/>
    <x v="0"/>
    <x v="1"/>
    <x v="0"/>
    <x v="0"/>
    <x v="14"/>
    <x v="12"/>
  </r>
  <r>
    <x v="61"/>
    <x v="33"/>
    <x v="32"/>
    <x v="32"/>
    <x v="47"/>
    <x v="1"/>
    <x v="1"/>
    <x v="35"/>
    <x v="36"/>
    <x v="1"/>
    <x v="24"/>
    <x v="0"/>
    <x v="0"/>
    <x v="1"/>
    <x v="2"/>
    <x v="3"/>
    <x v="2"/>
    <x v="1"/>
    <x v="2"/>
    <x v="1"/>
    <x v="1"/>
    <x v="29"/>
    <x v="1"/>
    <x v="6"/>
    <x v="2"/>
    <x v="32"/>
    <x v="8"/>
    <x v="1"/>
    <x v="7"/>
    <x v="1"/>
    <x v="0"/>
    <x v="35"/>
    <x v="15"/>
    <x v="0"/>
  </r>
  <r>
    <x v="62"/>
    <x v="34"/>
    <x v="33"/>
    <x v="33"/>
    <x v="48"/>
    <x v="1"/>
    <x v="2"/>
    <x v="36"/>
    <x v="37"/>
    <x v="1"/>
    <x v="2"/>
    <x v="0"/>
    <x v="0"/>
    <x v="1"/>
    <x v="1"/>
    <x v="1"/>
    <x v="1"/>
    <x v="1"/>
    <x v="3"/>
    <x v="1"/>
    <x v="2"/>
    <x v="0"/>
    <x v="1"/>
    <x v="6"/>
    <x v="2"/>
    <x v="33"/>
    <x v="1"/>
    <x v="0"/>
    <x v="0"/>
    <x v="1"/>
    <x v="0"/>
    <x v="0"/>
    <x v="0"/>
    <x v="0"/>
  </r>
  <r>
    <x v="63"/>
    <x v="24"/>
    <x v="24"/>
    <x v="24"/>
    <x v="49"/>
    <x v="3"/>
    <x v="2"/>
    <x v="26"/>
    <x v="25"/>
    <x v="1"/>
    <x v="25"/>
    <x v="0"/>
    <x v="0"/>
    <x v="3"/>
    <x v="1"/>
    <x v="1"/>
    <x v="2"/>
    <x v="2"/>
    <x v="3"/>
    <x v="1"/>
    <x v="1"/>
    <x v="31"/>
    <x v="1"/>
    <x v="3"/>
    <x v="4"/>
    <x v="24"/>
    <x v="1"/>
    <x v="3"/>
    <x v="0"/>
    <x v="1"/>
    <x v="0"/>
    <x v="0"/>
    <x v="16"/>
    <x v="0"/>
  </r>
  <r>
    <x v="64"/>
    <x v="33"/>
    <x v="32"/>
    <x v="32"/>
    <x v="0"/>
    <x v="1"/>
    <x v="1"/>
    <x v="35"/>
    <x v="36"/>
    <x v="1"/>
    <x v="24"/>
    <x v="0"/>
    <x v="0"/>
    <x v="3"/>
    <x v="1"/>
    <x v="1"/>
    <x v="2"/>
    <x v="1"/>
    <x v="3"/>
    <x v="1"/>
    <x v="1"/>
    <x v="31"/>
    <x v="2"/>
    <x v="3"/>
    <x v="4"/>
    <x v="32"/>
    <x v="7"/>
    <x v="3"/>
    <x v="0"/>
    <x v="1"/>
    <x v="0"/>
    <x v="0"/>
    <x v="17"/>
    <x v="13"/>
  </r>
  <r>
    <x v="65"/>
    <x v="35"/>
    <x v="34"/>
    <x v="34"/>
    <x v="50"/>
    <x v="1"/>
    <x v="2"/>
    <x v="37"/>
    <x v="38"/>
    <x v="1"/>
    <x v="12"/>
    <x v="0"/>
    <x v="0"/>
    <x v="1"/>
    <x v="2"/>
    <x v="2"/>
    <x v="2"/>
    <x v="2"/>
    <x v="3"/>
    <x v="1"/>
    <x v="1"/>
    <x v="28"/>
    <x v="1"/>
    <x v="4"/>
    <x v="2"/>
    <x v="34"/>
    <x v="7"/>
    <x v="1"/>
    <x v="1"/>
    <x v="2"/>
    <x v="1"/>
    <x v="36"/>
    <x v="0"/>
    <x v="14"/>
  </r>
  <r>
    <x v="66"/>
    <x v="36"/>
    <x v="35"/>
    <x v="35"/>
    <x v="51"/>
    <x v="1"/>
    <x v="2"/>
    <x v="38"/>
    <x v="39"/>
    <x v="1"/>
    <x v="15"/>
    <x v="0"/>
    <x v="0"/>
    <x v="1"/>
    <x v="2"/>
    <x v="3"/>
    <x v="2"/>
    <x v="1"/>
    <x v="3"/>
    <x v="1"/>
    <x v="1"/>
    <x v="31"/>
    <x v="1"/>
    <x v="1"/>
    <x v="2"/>
    <x v="35"/>
    <x v="2"/>
    <x v="1"/>
    <x v="5"/>
    <x v="2"/>
    <x v="1"/>
    <x v="37"/>
    <x v="0"/>
    <x v="0"/>
  </r>
  <r>
    <x v="67"/>
    <x v="37"/>
    <x v="36"/>
    <x v="36"/>
    <x v="52"/>
    <x v="1"/>
    <x v="2"/>
    <x v="39"/>
    <x v="40"/>
    <x v="1"/>
    <x v="26"/>
    <x v="0"/>
    <x v="0"/>
    <x v="1"/>
    <x v="2"/>
    <x v="3"/>
    <x v="2"/>
    <x v="1"/>
    <x v="2"/>
    <x v="1"/>
    <x v="1"/>
    <x v="31"/>
    <x v="1"/>
    <x v="5"/>
    <x v="2"/>
    <x v="36"/>
    <x v="7"/>
    <x v="1"/>
    <x v="3"/>
    <x v="2"/>
    <x v="1"/>
    <x v="38"/>
    <x v="0"/>
    <x v="0"/>
  </r>
  <r>
    <x v="68"/>
    <x v="38"/>
    <x v="37"/>
    <x v="37"/>
    <x v="53"/>
    <x v="3"/>
    <x v="5"/>
    <x v="40"/>
    <x v="41"/>
    <x v="1"/>
    <x v="15"/>
    <x v="0"/>
    <x v="0"/>
    <x v="1"/>
    <x v="1"/>
    <x v="1"/>
    <x v="1"/>
    <x v="2"/>
    <x v="1"/>
    <x v="2"/>
    <x v="1"/>
    <x v="31"/>
    <x v="2"/>
    <x v="5"/>
    <x v="2"/>
    <x v="37"/>
    <x v="3"/>
    <x v="1"/>
    <x v="3"/>
    <x v="2"/>
    <x v="1"/>
    <x v="0"/>
    <x v="18"/>
    <x v="15"/>
  </r>
  <r>
    <x v="69"/>
    <x v="39"/>
    <x v="38"/>
    <x v="38"/>
    <x v="54"/>
    <x v="1"/>
    <x v="2"/>
    <x v="41"/>
    <x v="42"/>
    <x v="1"/>
    <x v="15"/>
    <x v="0"/>
    <x v="0"/>
    <x v="1"/>
    <x v="1"/>
    <x v="1"/>
    <x v="2"/>
    <x v="1"/>
    <x v="2"/>
    <x v="1"/>
    <x v="2"/>
    <x v="0"/>
    <x v="1"/>
    <x v="5"/>
    <x v="2"/>
    <x v="38"/>
    <x v="3"/>
    <x v="0"/>
    <x v="0"/>
    <x v="1"/>
    <x v="0"/>
    <x v="0"/>
    <x v="0"/>
    <x v="0"/>
  </r>
  <r>
    <x v="70"/>
    <x v="40"/>
    <x v="39"/>
    <x v="39"/>
    <x v="55"/>
    <x v="1"/>
    <x v="2"/>
    <x v="42"/>
    <x v="43"/>
    <x v="1"/>
    <x v="3"/>
    <x v="0"/>
    <x v="0"/>
    <x v="1"/>
    <x v="1"/>
    <x v="1"/>
    <x v="2"/>
    <x v="1"/>
    <x v="2"/>
    <x v="1"/>
    <x v="2"/>
    <x v="0"/>
    <x v="1"/>
    <x v="5"/>
    <x v="2"/>
    <x v="39"/>
    <x v="7"/>
    <x v="0"/>
    <x v="0"/>
    <x v="1"/>
    <x v="0"/>
    <x v="0"/>
    <x v="0"/>
    <x v="0"/>
  </r>
  <r>
    <x v="71"/>
    <x v="41"/>
    <x v="40"/>
    <x v="40"/>
    <x v="56"/>
    <x v="1"/>
    <x v="1"/>
    <x v="43"/>
    <x v="44"/>
    <x v="1"/>
    <x v="1"/>
    <x v="0"/>
    <x v="0"/>
    <x v="1"/>
    <x v="3"/>
    <x v="2"/>
    <x v="2"/>
    <x v="1"/>
    <x v="3"/>
    <x v="1"/>
    <x v="1"/>
    <x v="28"/>
    <x v="1"/>
    <x v="1"/>
    <x v="2"/>
    <x v="40"/>
    <x v="1"/>
    <x v="3"/>
    <x v="0"/>
    <x v="1"/>
    <x v="0"/>
    <x v="0"/>
    <x v="0"/>
    <x v="0"/>
  </r>
  <r>
    <x v="72"/>
    <x v="42"/>
    <x v="41"/>
    <x v="41"/>
    <x v="57"/>
    <x v="1"/>
    <x v="2"/>
    <x v="44"/>
    <x v="45"/>
    <x v="2"/>
    <x v="0"/>
    <x v="4"/>
    <x v="0"/>
    <x v="1"/>
    <x v="1"/>
    <x v="1"/>
    <x v="1"/>
    <x v="1"/>
    <x v="3"/>
    <x v="1"/>
    <x v="1"/>
    <x v="31"/>
    <x v="1"/>
    <x v="1"/>
    <x v="2"/>
    <x v="41"/>
    <x v="2"/>
    <x v="1"/>
    <x v="4"/>
    <x v="2"/>
    <x v="1"/>
    <x v="39"/>
    <x v="19"/>
    <x v="0"/>
  </r>
  <r>
    <x v="73"/>
    <x v="43"/>
    <x v="42"/>
    <x v="42"/>
    <x v="58"/>
    <x v="1"/>
    <x v="2"/>
    <x v="45"/>
    <x v="46"/>
    <x v="1"/>
    <x v="27"/>
    <x v="0"/>
    <x v="0"/>
    <x v="1"/>
    <x v="3"/>
    <x v="2"/>
    <x v="1"/>
    <x v="1"/>
    <x v="3"/>
    <x v="1"/>
    <x v="1"/>
    <x v="28"/>
    <x v="1"/>
    <x v="1"/>
    <x v="2"/>
    <x v="42"/>
    <x v="1"/>
    <x v="1"/>
    <x v="4"/>
    <x v="2"/>
    <x v="1"/>
    <x v="40"/>
    <x v="0"/>
    <x v="0"/>
  </r>
  <r>
    <x v="74"/>
    <x v="44"/>
    <x v="43"/>
    <x v="43"/>
    <x v="59"/>
    <x v="1"/>
    <x v="2"/>
    <x v="46"/>
    <x v="47"/>
    <x v="1"/>
    <x v="12"/>
    <x v="0"/>
    <x v="0"/>
    <x v="1"/>
    <x v="3"/>
    <x v="2"/>
    <x v="2"/>
    <x v="1"/>
    <x v="2"/>
    <x v="1"/>
    <x v="1"/>
    <x v="32"/>
    <x v="1"/>
    <x v="1"/>
    <x v="2"/>
    <x v="43"/>
    <x v="3"/>
    <x v="1"/>
    <x v="1"/>
    <x v="1"/>
    <x v="0"/>
    <x v="41"/>
    <x v="0"/>
    <x v="0"/>
  </r>
  <r>
    <x v="75"/>
    <x v="45"/>
    <x v="44"/>
    <x v="44"/>
    <x v="60"/>
    <x v="3"/>
    <x v="2"/>
    <x v="47"/>
    <x v="17"/>
    <x v="1"/>
    <x v="28"/>
    <x v="0"/>
    <x v="0"/>
    <x v="1"/>
    <x v="1"/>
    <x v="1"/>
    <x v="2"/>
    <x v="1"/>
    <x v="2"/>
    <x v="1"/>
    <x v="1"/>
    <x v="28"/>
    <x v="1"/>
    <x v="1"/>
    <x v="1"/>
    <x v="44"/>
    <x v="4"/>
    <x v="3"/>
    <x v="0"/>
    <x v="1"/>
    <x v="0"/>
    <x v="0"/>
    <x v="0"/>
    <x v="16"/>
  </r>
  <r>
    <x v="76"/>
    <x v="46"/>
    <x v="45"/>
    <x v="45"/>
    <x v="61"/>
    <x v="1"/>
    <x v="2"/>
    <x v="48"/>
    <x v="48"/>
    <x v="1"/>
    <x v="15"/>
    <x v="0"/>
    <x v="0"/>
    <x v="1"/>
    <x v="2"/>
    <x v="3"/>
    <x v="1"/>
    <x v="1"/>
    <x v="3"/>
    <x v="1"/>
    <x v="1"/>
    <x v="28"/>
    <x v="1"/>
    <x v="1"/>
    <x v="1"/>
    <x v="45"/>
    <x v="2"/>
    <x v="1"/>
    <x v="1"/>
    <x v="2"/>
    <x v="1"/>
    <x v="42"/>
    <x v="0"/>
    <x v="0"/>
  </r>
  <r>
    <x v="77"/>
    <x v="37"/>
    <x v="36"/>
    <x v="36"/>
    <x v="62"/>
    <x v="1"/>
    <x v="2"/>
    <x v="39"/>
    <x v="49"/>
    <x v="1"/>
    <x v="26"/>
    <x v="0"/>
    <x v="0"/>
    <x v="3"/>
    <x v="1"/>
    <x v="1"/>
    <x v="2"/>
    <x v="1"/>
    <x v="2"/>
    <x v="1"/>
    <x v="2"/>
    <x v="0"/>
    <x v="1"/>
    <x v="3"/>
    <x v="4"/>
    <x v="36"/>
    <x v="3"/>
    <x v="0"/>
    <x v="0"/>
    <x v="1"/>
    <x v="0"/>
    <x v="0"/>
    <x v="0"/>
    <x v="0"/>
  </r>
  <r>
    <x v="78"/>
    <x v="47"/>
    <x v="46"/>
    <x v="46"/>
    <x v="63"/>
    <x v="1"/>
    <x v="2"/>
    <x v="49"/>
    <x v="10"/>
    <x v="1"/>
    <x v="1"/>
    <x v="0"/>
    <x v="0"/>
    <x v="1"/>
    <x v="1"/>
    <x v="3"/>
    <x v="2"/>
    <x v="1"/>
    <x v="2"/>
    <x v="1"/>
    <x v="1"/>
    <x v="28"/>
    <x v="2"/>
    <x v="1"/>
    <x v="2"/>
    <x v="46"/>
    <x v="4"/>
    <x v="3"/>
    <x v="0"/>
    <x v="1"/>
    <x v="0"/>
    <x v="0"/>
    <x v="0"/>
    <x v="0"/>
  </r>
  <r>
    <x v="79"/>
    <x v="42"/>
    <x v="41"/>
    <x v="41"/>
    <x v="64"/>
    <x v="1"/>
    <x v="2"/>
    <x v="50"/>
    <x v="45"/>
    <x v="1"/>
    <x v="4"/>
    <x v="0"/>
    <x v="0"/>
    <x v="3"/>
    <x v="2"/>
    <x v="3"/>
    <x v="2"/>
    <x v="1"/>
    <x v="2"/>
    <x v="1"/>
    <x v="1"/>
    <x v="28"/>
    <x v="1"/>
    <x v="3"/>
    <x v="4"/>
    <x v="41"/>
    <x v="1"/>
    <x v="1"/>
    <x v="4"/>
    <x v="1"/>
    <x v="0"/>
    <x v="43"/>
    <x v="0"/>
    <x v="0"/>
  </r>
  <r>
    <x v="80"/>
    <x v="20"/>
    <x v="47"/>
    <x v="20"/>
    <x v="65"/>
    <x v="1"/>
    <x v="2"/>
    <x v="22"/>
    <x v="21"/>
    <x v="2"/>
    <x v="0"/>
    <x v="2"/>
    <x v="0"/>
    <x v="1"/>
    <x v="1"/>
    <x v="1"/>
    <x v="2"/>
    <x v="1"/>
    <x v="2"/>
    <x v="1"/>
    <x v="1"/>
    <x v="28"/>
    <x v="1"/>
    <x v="1"/>
    <x v="2"/>
    <x v="20"/>
    <x v="9"/>
    <x v="1"/>
    <x v="2"/>
    <x v="1"/>
    <x v="0"/>
    <x v="44"/>
    <x v="0"/>
    <x v="0"/>
  </r>
  <r>
    <x v="81"/>
    <x v="48"/>
    <x v="37"/>
    <x v="37"/>
    <x v="66"/>
    <x v="3"/>
    <x v="2"/>
    <x v="40"/>
    <x v="41"/>
    <x v="1"/>
    <x v="29"/>
    <x v="0"/>
    <x v="0"/>
    <x v="3"/>
    <x v="1"/>
    <x v="1"/>
    <x v="1"/>
    <x v="2"/>
    <x v="1"/>
    <x v="2"/>
    <x v="2"/>
    <x v="0"/>
    <x v="1"/>
    <x v="3"/>
    <x v="4"/>
    <x v="37"/>
    <x v="3"/>
    <x v="0"/>
    <x v="0"/>
    <x v="1"/>
    <x v="0"/>
    <x v="0"/>
    <x v="0"/>
    <x v="17"/>
  </r>
  <r>
    <x v="82"/>
    <x v="49"/>
    <x v="48"/>
    <x v="47"/>
    <x v="67"/>
    <x v="1"/>
    <x v="1"/>
    <x v="51"/>
    <x v="50"/>
    <x v="1"/>
    <x v="30"/>
    <x v="0"/>
    <x v="0"/>
    <x v="1"/>
    <x v="3"/>
    <x v="2"/>
    <x v="2"/>
    <x v="1"/>
    <x v="3"/>
    <x v="1"/>
    <x v="1"/>
    <x v="28"/>
    <x v="1"/>
    <x v="1"/>
    <x v="2"/>
    <x v="47"/>
    <x v="3"/>
    <x v="1"/>
    <x v="1"/>
    <x v="1"/>
    <x v="0"/>
    <x v="45"/>
    <x v="0"/>
    <x v="0"/>
  </r>
  <r>
    <x v="83"/>
    <x v="50"/>
    <x v="49"/>
    <x v="48"/>
    <x v="68"/>
    <x v="1"/>
    <x v="2"/>
    <x v="52"/>
    <x v="51"/>
    <x v="1"/>
    <x v="15"/>
    <x v="0"/>
    <x v="0"/>
    <x v="1"/>
    <x v="1"/>
    <x v="1"/>
    <x v="2"/>
    <x v="1"/>
    <x v="2"/>
    <x v="1"/>
    <x v="2"/>
    <x v="0"/>
    <x v="1"/>
    <x v="2"/>
    <x v="2"/>
    <x v="48"/>
    <x v="5"/>
    <x v="0"/>
    <x v="0"/>
    <x v="1"/>
    <x v="0"/>
    <x v="0"/>
    <x v="0"/>
    <x v="0"/>
  </r>
  <r>
    <x v="84"/>
    <x v="51"/>
    <x v="50"/>
    <x v="49"/>
    <x v="69"/>
    <x v="1"/>
    <x v="2"/>
    <x v="53"/>
    <x v="52"/>
    <x v="1"/>
    <x v="31"/>
    <x v="0"/>
    <x v="0"/>
    <x v="1"/>
    <x v="1"/>
    <x v="1"/>
    <x v="2"/>
    <x v="1"/>
    <x v="3"/>
    <x v="1"/>
    <x v="1"/>
    <x v="33"/>
    <x v="1"/>
    <x v="1"/>
    <x v="2"/>
    <x v="49"/>
    <x v="4"/>
    <x v="3"/>
    <x v="0"/>
    <x v="1"/>
    <x v="0"/>
    <x v="46"/>
    <x v="20"/>
    <x v="0"/>
  </r>
  <r>
    <x v="85"/>
    <x v="46"/>
    <x v="45"/>
    <x v="45"/>
    <x v="70"/>
    <x v="0"/>
    <x v="2"/>
    <x v="48"/>
    <x v="48"/>
    <x v="1"/>
    <x v="15"/>
    <x v="0"/>
    <x v="0"/>
    <x v="3"/>
    <x v="1"/>
    <x v="1"/>
    <x v="1"/>
    <x v="1"/>
    <x v="3"/>
    <x v="1"/>
    <x v="2"/>
    <x v="0"/>
    <x v="2"/>
    <x v="3"/>
    <x v="4"/>
    <x v="45"/>
    <x v="5"/>
    <x v="0"/>
    <x v="0"/>
    <x v="1"/>
    <x v="0"/>
    <x v="0"/>
    <x v="0"/>
    <x v="0"/>
  </r>
  <r>
    <x v="86"/>
    <x v="20"/>
    <x v="47"/>
    <x v="20"/>
    <x v="0"/>
    <x v="1"/>
    <x v="2"/>
    <x v="22"/>
    <x v="21"/>
    <x v="2"/>
    <x v="0"/>
    <x v="2"/>
    <x v="0"/>
    <x v="3"/>
    <x v="1"/>
    <x v="3"/>
    <x v="2"/>
    <x v="1"/>
    <x v="2"/>
    <x v="1"/>
    <x v="1"/>
    <x v="32"/>
    <x v="2"/>
    <x v="3"/>
    <x v="4"/>
    <x v="20"/>
    <x v="4"/>
    <x v="1"/>
    <x v="8"/>
    <x v="1"/>
    <x v="0"/>
    <x v="47"/>
    <x v="0"/>
    <x v="18"/>
  </r>
  <r>
    <x v="87"/>
    <x v="43"/>
    <x v="42"/>
    <x v="42"/>
    <x v="71"/>
    <x v="1"/>
    <x v="2"/>
    <x v="45"/>
    <x v="46"/>
    <x v="1"/>
    <x v="27"/>
    <x v="0"/>
    <x v="0"/>
    <x v="3"/>
    <x v="1"/>
    <x v="1"/>
    <x v="2"/>
    <x v="1"/>
    <x v="2"/>
    <x v="1"/>
    <x v="2"/>
    <x v="0"/>
    <x v="2"/>
    <x v="3"/>
    <x v="4"/>
    <x v="42"/>
    <x v="1"/>
    <x v="0"/>
    <x v="0"/>
    <x v="1"/>
    <x v="0"/>
    <x v="0"/>
    <x v="0"/>
    <x v="0"/>
  </r>
  <r>
    <x v="88"/>
    <x v="35"/>
    <x v="34"/>
    <x v="34"/>
    <x v="0"/>
    <x v="1"/>
    <x v="2"/>
    <x v="37"/>
    <x v="53"/>
    <x v="1"/>
    <x v="12"/>
    <x v="0"/>
    <x v="0"/>
    <x v="3"/>
    <x v="1"/>
    <x v="1"/>
    <x v="2"/>
    <x v="2"/>
    <x v="1"/>
    <x v="1"/>
    <x v="2"/>
    <x v="0"/>
    <x v="2"/>
    <x v="3"/>
    <x v="4"/>
    <x v="34"/>
    <x v="5"/>
    <x v="0"/>
    <x v="0"/>
    <x v="1"/>
    <x v="0"/>
    <x v="0"/>
    <x v="0"/>
    <x v="0"/>
  </r>
  <r>
    <x v="89"/>
    <x v="52"/>
    <x v="51"/>
    <x v="50"/>
    <x v="72"/>
    <x v="1"/>
    <x v="2"/>
    <x v="54"/>
    <x v="54"/>
    <x v="1"/>
    <x v="3"/>
    <x v="0"/>
    <x v="0"/>
    <x v="1"/>
    <x v="1"/>
    <x v="1"/>
    <x v="2"/>
    <x v="1"/>
    <x v="2"/>
    <x v="1"/>
    <x v="1"/>
    <x v="34"/>
    <x v="1"/>
    <x v="1"/>
    <x v="2"/>
    <x v="50"/>
    <x v="1"/>
    <x v="1"/>
    <x v="7"/>
    <x v="2"/>
    <x v="1"/>
    <x v="48"/>
    <x v="0"/>
    <x v="0"/>
  </r>
  <r>
    <x v="90"/>
    <x v="53"/>
    <x v="52"/>
    <x v="51"/>
    <x v="73"/>
    <x v="2"/>
    <x v="5"/>
    <x v="55"/>
    <x v="55"/>
    <x v="1"/>
    <x v="3"/>
    <x v="0"/>
    <x v="0"/>
    <x v="2"/>
    <x v="3"/>
    <x v="2"/>
    <x v="2"/>
    <x v="2"/>
    <x v="1"/>
    <x v="1"/>
    <x v="1"/>
    <x v="33"/>
    <x v="1"/>
    <x v="1"/>
    <x v="2"/>
    <x v="51"/>
    <x v="2"/>
    <x v="3"/>
    <x v="0"/>
    <x v="1"/>
    <x v="0"/>
    <x v="49"/>
    <x v="21"/>
    <x v="0"/>
  </r>
  <r>
    <x v="91"/>
    <x v="54"/>
    <x v="53"/>
    <x v="52"/>
    <x v="74"/>
    <x v="1"/>
    <x v="2"/>
    <x v="56"/>
    <x v="56"/>
    <x v="1"/>
    <x v="32"/>
    <x v="0"/>
    <x v="0"/>
    <x v="1"/>
    <x v="1"/>
    <x v="1"/>
    <x v="2"/>
    <x v="1"/>
    <x v="2"/>
    <x v="1"/>
    <x v="2"/>
    <x v="0"/>
    <x v="2"/>
    <x v="1"/>
    <x v="2"/>
    <x v="52"/>
    <x v="5"/>
    <x v="0"/>
    <x v="0"/>
    <x v="1"/>
    <x v="0"/>
    <x v="0"/>
    <x v="0"/>
    <x v="0"/>
  </r>
  <r>
    <x v="92"/>
    <x v="55"/>
    <x v="54"/>
    <x v="53"/>
    <x v="75"/>
    <x v="1"/>
    <x v="2"/>
    <x v="57"/>
    <x v="57"/>
    <x v="1"/>
    <x v="3"/>
    <x v="0"/>
    <x v="0"/>
    <x v="1"/>
    <x v="3"/>
    <x v="3"/>
    <x v="2"/>
    <x v="1"/>
    <x v="2"/>
    <x v="1"/>
    <x v="1"/>
    <x v="32"/>
    <x v="2"/>
    <x v="1"/>
    <x v="2"/>
    <x v="53"/>
    <x v="5"/>
    <x v="3"/>
    <x v="0"/>
    <x v="1"/>
    <x v="0"/>
    <x v="0"/>
    <x v="0"/>
    <x v="0"/>
  </r>
  <r>
    <x v="93"/>
    <x v="36"/>
    <x v="35"/>
    <x v="35"/>
    <x v="76"/>
    <x v="1"/>
    <x v="2"/>
    <x v="38"/>
    <x v="39"/>
    <x v="1"/>
    <x v="33"/>
    <x v="0"/>
    <x v="0"/>
    <x v="3"/>
    <x v="1"/>
    <x v="1"/>
    <x v="2"/>
    <x v="1"/>
    <x v="3"/>
    <x v="1"/>
    <x v="2"/>
    <x v="0"/>
    <x v="1"/>
    <x v="3"/>
    <x v="4"/>
    <x v="35"/>
    <x v="2"/>
    <x v="0"/>
    <x v="0"/>
    <x v="1"/>
    <x v="0"/>
    <x v="0"/>
    <x v="0"/>
    <x v="0"/>
  </r>
  <r>
    <x v="94"/>
    <x v="49"/>
    <x v="48"/>
    <x v="47"/>
    <x v="0"/>
    <x v="1"/>
    <x v="1"/>
    <x v="51"/>
    <x v="50"/>
    <x v="1"/>
    <x v="34"/>
    <x v="0"/>
    <x v="0"/>
    <x v="3"/>
    <x v="1"/>
    <x v="1"/>
    <x v="2"/>
    <x v="1"/>
    <x v="3"/>
    <x v="1"/>
    <x v="1"/>
    <x v="35"/>
    <x v="2"/>
    <x v="3"/>
    <x v="4"/>
    <x v="47"/>
    <x v="5"/>
    <x v="1"/>
    <x v="1"/>
    <x v="2"/>
    <x v="1"/>
    <x v="0"/>
    <x v="22"/>
    <x v="0"/>
  </r>
  <r>
    <x v="95"/>
    <x v="56"/>
    <x v="55"/>
    <x v="54"/>
    <x v="77"/>
    <x v="2"/>
    <x v="2"/>
    <x v="58"/>
    <x v="58"/>
    <x v="1"/>
    <x v="12"/>
    <x v="0"/>
    <x v="0"/>
    <x v="1"/>
    <x v="2"/>
    <x v="3"/>
    <x v="2"/>
    <x v="1"/>
    <x v="1"/>
    <x v="1"/>
    <x v="1"/>
    <x v="32"/>
    <x v="2"/>
    <x v="5"/>
    <x v="2"/>
    <x v="54"/>
    <x v="5"/>
    <x v="1"/>
    <x v="1"/>
    <x v="1"/>
    <x v="0"/>
    <x v="50"/>
    <x v="0"/>
    <x v="0"/>
  </r>
  <r>
    <x v="96"/>
    <x v="44"/>
    <x v="43"/>
    <x v="43"/>
    <x v="0"/>
    <x v="1"/>
    <x v="2"/>
    <x v="59"/>
    <x v="47"/>
    <x v="1"/>
    <x v="12"/>
    <x v="0"/>
    <x v="0"/>
    <x v="3"/>
    <x v="1"/>
    <x v="1"/>
    <x v="2"/>
    <x v="1"/>
    <x v="2"/>
    <x v="1"/>
    <x v="1"/>
    <x v="35"/>
    <x v="2"/>
    <x v="3"/>
    <x v="4"/>
    <x v="43"/>
    <x v="5"/>
    <x v="3"/>
    <x v="0"/>
    <x v="1"/>
    <x v="0"/>
    <x v="51"/>
    <x v="23"/>
    <x v="0"/>
  </r>
  <r>
    <x v="97"/>
    <x v="20"/>
    <x v="47"/>
    <x v="20"/>
    <x v="0"/>
    <x v="1"/>
    <x v="2"/>
    <x v="22"/>
    <x v="21"/>
    <x v="6"/>
    <x v="0"/>
    <x v="0"/>
    <x v="1"/>
    <x v="3"/>
    <x v="4"/>
    <x v="1"/>
    <x v="2"/>
    <x v="1"/>
    <x v="2"/>
    <x v="1"/>
    <x v="2"/>
    <x v="0"/>
    <x v="2"/>
    <x v="3"/>
    <x v="4"/>
    <x v="20"/>
    <x v="8"/>
    <x v="0"/>
    <x v="0"/>
    <x v="1"/>
    <x v="0"/>
    <x v="0"/>
    <x v="0"/>
    <x v="0"/>
  </r>
  <r>
    <x v="98"/>
    <x v="56"/>
    <x v="55"/>
    <x v="54"/>
    <x v="0"/>
    <x v="2"/>
    <x v="2"/>
    <x v="58"/>
    <x v="58"/>
    <x v="1"/>
    <x v="12"/>
    <x v="0"/>
    <x v="0"/>
    <x v="3"/>
    <x v="1"/>
    <x v="2"/>
    <x v="2"/>
    <x v="1"/>
    <x v="2"/>
    <x v="1"/>
    <x v="1"/>
    <x v="35"/>
    <x v="2"/>
    <x v="3"/>
    <x v="4"/>
    <x v="54"/>
    <x v="5"/>
    <x v="1"/>
    <x v="1"/>
    <x v="1"/>
    <x v="0"/>
    <x v="52"/>
    <x v="24"/>
    <x v="0"/>
  </r>
  <r>
    <x v="99"/>
    <x v="57"/>
    <x v="56"/>
    <x v="55"/>
    <x v="78"/>
    <x v="3"/>
    <x v="2"/>
    <x v="60"/>
    <x v="30"/>
    <x v="1"/>
    <x v="2"/>
    <x v="0"/>
    <x v="0"/>
    <x v="1"/>
    <x v="2"/>
    <x v="3"/>
    <x v="2"/>
    <x v="1"/>
    <x v="2"/>
    <x v="1"/>
    <x v="1"/>
    <x v="33"/>
    <x v="1"/>
    <x v="6"/>
    <x v="2"/>
    <x v="55"/>
    <x v="8"/>
    <x v="1"/>
    <x v="4"/>
    <x v="2"/>
    <x v="1"/>
    <x v="53"/>
    <x v="0"/>
    <x v="19"/>
  </r>
  <r>
    <x v="100"/>
    <x v="58"/>
    <x v="57"/>
    <x v="56"/>
    <x v="79"/>
    <x v="3"/>
    <x v="1"/>
    <x v="61"/>
    <x v="59"/>
    <x v="1"/>
    <x v="35"/>
    <x v="0"/>
    <x v="0"/>
    <x v="1"/>
    <x v="1"/>
    <x v="2"/>
    <x v="1"/>
    <x v="1"/>
    <x v="2"/>
    <x v="1"/>
    <x v="1"/>
    <x v="35"/>
    <x v="1"/>
    <x v="6"/>
    <x v="2"/>
    <x v="56"/>
    <x v="5"/>
    <x v="1"/>
    <x v="9"/>
    <x v="1"/>
    <x v="0"/>
    <x v="52"/>
    <x v="25"/>
    <x v="0"/>
  </r>
  <r>
    <x v="101"/>
    <x v="59"/>
    <x v="58"/>
    <x v="57"/>
    <x v="80"/>
    <x v="1"/>
    <x v="2"/>
    <x v="62"/>
    <x v="59"/>
    <x v="1"/>
    <x v="36"/>
    <x v="0"/>
    <x v="0"/>
    <x v="1"/>
    <x v="1"/>
    <x v="2"/>
    <x v="2"/>
    <x v="1"/>
    <x v="1"/>
    <x v="1"/>
    <x v="1"/>
    <x v="35"/>
    <x v="2"/>
    <x v="6"/>
    <x v="2"/>
    <x v="57"/>
    <x v="5"/>
    <x v="3"/>
    <x v="0"/>
    <x v="1"/>
    <x v="0"/>
    <x v="54"/>
    <x v="26"/>
    <x v="20"/>
  </r>
  <r>
    <x v="102"/>
    <x v="60"/>
    <x v="59"/>
    <x v="58"/>
    <x v="81"/>
    <x v="1"/>
    <x v="2"/>
    <x v="63"/>
    <x v="60"/>
    <x v="1"/>
    <x v="15"/>
    <x v="0"/>
    <x v="0"/>
    <x v="1"/>
    <x v="2"/>
    <x v="3"/>
    <x v="1"/>
    <x v="1"/>
    <x v="1"/>
    <x v="1"/>
    <x v="1"/>
    <x v="33"/>
    <x v="1"/>
    <x v="6"/>
    <x v="2"/>
    <x v="58"/>
    <x v="8"/>
    <x v="3"/>
    <x v="0"/>
    <x v="1"/>
    <x v="0"/>
    <x v="55"/>
    <x v="27"/>
    <x v="0"/>
  </r>
  <r>
    <x v="103"/>
    <x v="30"/>
    <x v="29"/>
    <x v="29"/>
    <x v="82"/>
    <x v="1"/>
    <x v="2"/>
    <x v="31"/>
    <x v="31"/>
    <x v="1"/>
    <x v="1"/>
    <x v="0"/>
    <x v="0"/>
    <x v="1"/>
    <x v="2"/>
    <x v="3"/>
    <x v="2"/>
    <x v="1"/>
    <x v="2"/>
    <x v="1"/>
    <x v="1"/>
    <x v="33"/>
    <x v="2"/>
    <x v="6"/>
    <x v="2"/>
    <x v="29"/>
    <x v="5"/>
    <x v="3"/>
    <x v="0"/>
    <x v="1"/>
    <x v="0"/>
    <x v="55"/>
    <x v="28"/>
    <x v="0"/>
  </r>
  <r>
    <x v="104"/>
    <x v="61"/>
    <x v="60"/>
    <x v="59"/>
    <x v="83"/>
    <x v="1"/>
    <x v="1"/>
    <x v="25"/>
    <x v="61"/>
    <x v="1"/>
    <x v="37"/>
    <x v="0"/>
    <x v="0"/>
    <x v="1"/>
    <x v="2"/>
    <x v="3"/>
    <x v="2"/>
    <x v="1"/>
    <x v="2"/>
    <x v="1"/>
    <x v="1"/>
    <x v="33"/>
    <x v="1"/>
    <x v="6"/>
    <x v="2"/>
    <x v="59"/>
    <x v="5"/>
    <x v="1"/>
    <x v="7"/>
    <x v="1"/>
    <x v="0"/>
    <x v="56"/>
    <x v="0"/>
    <x v="21"/>
  </r>
  <r>
    <x v="105"/>
    <x v="62"/>
    <x v="61"/>
    <x v="60"/>
    <x v="84"/>
    <x v="1"/>
    <x v="2"/>
    <x v="64"/>
    <x v="62"/>
    <x v="1"/>
    <x v="15"/>
    <x v="0"/>
    <x v="0"/>
    <x v="1"/>
    <x v="1"/>
    <x v="1"/>
    <x v="2"/>
    <x v="1"/>
    <x v="2"/>
    <x v="1"/>
    <x v="2"/>
    <x v="0"/>
    <x v="1"/>
    <x v="4"/>
    <x v="2"/>
    <x v="60"/>
    <x v="8"/>
    <x v="0"/>
    <x v="0"/>
    <x v="1"/>
    <x v="0"/>
    <x v="0"/>
    <x v="0"/>
    <x v="22"/>
  </r>
  <r>
    <x v="106"/>
    <x v="51"/>
    <x v="50"/>
    <x v="49"/>
    <x v="85"/>
    <x v="1"/>
    <x v="2"/>
    <x v="65"/>
    <x v="52"/>
    <x v="1"/>
    <x v="2"/>
    <x v="0"/>
    <x v="0"/>
    <x v="1"/>
    <x v="2"/>
    <x v="3"/>
    <x v="2"/>
    <x v="1"/>
    <x v="2"/>
    <x v="1"/>
    <x v="1"/>
    <x v="33"/>
    <x v="1"/>
    <x v="6"/>
    <x v="3"/>
    <x v="49"/>
    <x v="8"/>
    <x v="3"/>
    <x v="0"/>
    <x v="1"/>
    <x v="0"/>
    <x v="57"/>
    <x v="28"/>
    <x v="0"/>
  </r>
  <r>
    <x v="107"/>
    <x v="57"/>
    <x v="56"/>
    <x v="55"/>
    <x v="86"/>
    <x v="3"/>
    <x v="2"/>
    <x v="60"/>
    <x v="30"/>
    <x v="1"/>
    <x v="25"/>
    <x v="0"/>
    <x v="0"/>
    <x v="3"/>
    <x v="3"/>
    <x v="2"/>
    <x v="2"/>
    <x v="2"/>
    <x v="3"/>
    <x v="1"/>
    <x v="1"/>
    <x v="35"/>
    <x v="1"/>
    <x v="3"/>
    <x v="4"/>
    <x v="55"/>
    <x v="1"/>
    <x v="1"/>
    <x v="1"/>
    <x v="2"/>
    <x v="1"/>
    <x v="58"/>
    <x v="0"/>
    <x v="23"/>
  </r>
  <r>
    <x v="108"/>
    <x v="63"/>
    <x v="62"/>
    <x v="61"/>
    <x v="87"/>
    <x v="1"/>
    <x v="1"/>
    <x v="66"/>
    <x v="16"/>
    <x v="1"/>
    <x v="38"/>
    <x v="0"/>
    <x v="0"/>
    <x v="1"/>
    <x v="1"/>
    <x v="1"/>
    <x v="2"/>
    <x v="1"/>
    <x v="2"/>
    <x v="1"/>
    <x v="1"/>
    <x v="33"/>
    <x v="1"/>
    <x v="2"/>
    <x v="2"/>
    <x v="61"/>
    <x v="7"/>
    <x v="1"/>
    <x v="7"/>
    <x v="2"/>
    <x v="1"/>
    <x v="59"/>
    <x v="0"/>
    <x v="0"/>
  </r>
  <r>
    <x v="109"/>
    <x v="64"/>
    <x v="63"/>
    <x v="62"/>
    <x v="88"/>
    <x v="1"/>
    <x v="2"/>
    <x v="67"/>
    <x v="63"/>
    <x v="1"/>
    <x v="39"/>
    <x v="0"/>
    <x v="0"/>
    <x v="1"/>
    <x v="1"/>
    <x v="1"/>
    <x v="2"/>
    <x v="1"/>
    <x v="3"/>
    <x v="1"/>
    <x v="1"/>
    <x v="36"/>
    <x v="1"/>
    <x v="1"/>
    <x v="2"/>
    <x v="62"/>
    <x v="1"/>
    <x v="1"/>
    <x v="4"/>
    <x v="2"/>
    <x v="1"/>
    <x v="60"/>
    <x v="0"/>
    <x v="24"/>
  </r>
  <r>
    <x v="110"/>
    <x v="65"/>
    <x v="64"/>
    <x v="63"/>
    <x v="89"/>
    <x v="3"/>
    <x v="2"/>
    <x v="68"/>
    <x v="64"/>
    <x v="1"/>
    <x v="31"/>
    <x v="0"/>
    <x v="0"/>
    <x v="1"/>
    <x v="1"/>
    <x v="1"/>
    <x v="2"/>
    <x v="1"/>
    <x v="3"/>
    <x v="1"/>
    <x v="2"/>
    <x v="0"/>
    <x v="1"/>
    <x v="1"/>
    <x v="2"/>
    <x v="63"/>
    <x v="1"/>
    <x v="0"/>
    <x v="0"/>
    <x v="1"/>
    <x v="0"/>
    <x v="0"/>
    <x v="0"/>
    <x v="0"/>
  </r>
  <r>
    <x v="111"/>
    <x v="66"/>
    <x v="65"/>
    <x v="64"/>
    <x v="90"/>
    <x v="1"/>
    <x v="2"/>
    <x v="69"/>
    <x v="65"/>
    <x v="1"/>
    <x v="15"/>
    <x v="0"/>
    <x v="0"/>
    <x v="1"/>
    <x v="1"/>
    <x v="1"/>
    <x v="2"/>
    <x v="1"/>
    <x v="1"/>
    <x v="1"/>
    <x v="2"/>
    <x v="0"/>
    <x v="1"/>
    <x v="1"/>
    <x v="2"/>
    <x v="64"/>
    <x v="1"/>
    <x v="0"/>
    <x v="0"/>
    <x v="1"/>
    <x v="0"/>
    <x v="0"/>
    <x v="0"/>
    <x v="0"/>
  </r>
  <r>
    <x v="112"/>
    <x v="61"/>
    <x v="60"/>
    <x v="59"/>
    <x v="0"/>
    <x v="1"/>
    <x v="2"/>
    <x v="25"/>
    <x v="61"/>
    <x v="1"/>
    <x v="40"/>
    <x v="0"/>
    <x v="0"/>
    <x v="3"/>
    <x v="1"/>
    <x v="1"/>
    <x v="2"/>
    <x v="1"/>
    <x v="2"/>
    <x v="1"/>
    <x v="2"/>
    <x v="0"/>
    <x v="2"/>
    <x v="3"/>
    <x v="4"/>
    <x v="59"/>
    <x v="7"/>
    <x v="0"/>
    <x v="0"/>
    <x v="1"/>
    <x v="0"/>
    <x v="0"/>
    <x v="0"/>
    <x v="0"/>
  </r>
  <r>
    <x v="113"/>
    <x v="67"/>
    <x v="66"/>
    <x v="65"/>
    <x v="91"/>
    <x v="1"/>
    <x v="2"/>
    <x v="70"/>
    <x v="66"/>
    <x v="1"/>
    <x v="41"/>
    <x v="0"/>
    <x v="0"/>
    <x v="1"/>
    <x v="1"/>
    <x v="1"/>
    <x v="2"/>
    <x v="1"/>
    <x v="3"/>
    <x v="1"/>
    <x v="2"/>
    <x v="0"/>
    <x v="1"/>
    <x v="1"/>
    <x v="2"/>
    <x v="65"/>
    <x v="1"/>
    <x v="0"/>
    <x v="0"/>
    <x v="1"/>
    <x v="0"/>
    <x v="0"/>
    <x v="0"/>
    <x v="0"/>
  </r>
  <r>
    <x v="114"/>
    <x v="68"/>
    <x v="67"/>
    <x v="66"/>
    <x v="92"/>
    <x v="1"/>
    <x v="2"/>
    <x v="71"/>
    <x v="67"/>
    <x v="1"/>
    <x v="42"/>
    <x v="0"/>
    <x v="0"/>
    <x v="1"/>
    <x v="3"/>
    <x v="2"/>
    <x v="1"/>
    <x v="1"/>
    <x v="2"/>
    <x v="1"/>
    <x v="2"/>
    <x v="33"/>
    <x v="1"/>
    <x v="1"/>
    <x v="2"/>
    <x v="66"/>
    <x v="2"/>
    <x v="2"/>
    <x v="0"/>
    <x v="1"/>
    <x v="0"/>
    <x v="61"/>
    <x v="0"/>
    <x v="25"/>
  </r>
  <r>
    <x v="115"/>
    <x v="69"/>
    <x v="68"/>
    <x v="67"/>
    <x v="93"/>
    <x v="3"/>
    <x v="2"/>
    <x v="72"/>
    <x v="68"/>
    <x v="1"/>
    <x v="3"/>
    <x v="0"/>
    <x v="0"/>
    <x v="1"/>
    <x v="3"/>
    <x v="3"/>
    <x v="1"/>
    <x v="1"/>
    <x v="2"/>
    <x v="1"/>
    <x v="1"/>
    <x v="36"/>
    <x v="1"/>
    <x v="2"/>
    <x v="1"/>
    <x v="67"/>
    <x v="7"/>
    <x v="3"/>
    <x v="0"/>
    <x v="1"/>
    <x v="0"/>
    <x v="62"/>
    <x v="29"/>
    <x v="26"/>
  </r>
  <r>
    <x v="116"/>
    <x v="70"/>
    <x v="69"/>
    <x v="68"/>
    <x v="94"/>
    <x v="1"/>
    <x v="2"/>
    <x v="73"/>
    <x v="69"/>
    <x v="2"/>
    <x v="0"/>
    <x v="5"/>
    <x v="0"/>
    <x v="1"/>
    <x v="2"/>
    <x v="3"/>
    <x v="2"/>
    <x v="1"/>
    <x v="2"/>
    <x v="1"/>
    <x v="1"/>
    <x v="35"/>
    <x v="1"/>
    <x v="1"/>
    <x v="2"/>
    <x v="68"/>
    <x v="1"/>
    <x v="1"/>
    <x v="1"/>
    <x v="2"/>
    <x v="1"/>
    <x v="63"/>
    <x v="0"/>
    <x v="0"/>
  </r>
  <r>
    <x v="117"/>
    <x v="71"/>
    <x v="70"/>
    <x v="69"/>
    <x v="95"/>
    <x v="1"/>
    <x v="2"/>
    <x v="74"/>
    <x v="70"/>
    <x v="2"/>
    <x v="0"/>
    <x v="6"/>
    <x v="0"/>
    <x v="1"/>
    <x v="2"/>
    <x v="3"/>
    <x v="1"/>
    <x v="1"/>
    <x v="2"/>
    <x v="1"/>
    <x v="1"/>
    <x v="35"/>
    <x v="1"/>
    <x v="1"/>
    <x v="2"/>
    <x v="69"/>
    <x v="2"/>
    <x v="3"/>
    <x v="0"/>
    <x v="1"/>
    <x v="0"/>
    <x v="64"/>
    <x v="30"/>
    <x v="0"/>
  </r>
  <r>
    <x v="118"/>
    <x v="63"/>
    <x v="62"/>
    <x v="61"/>
    <x v="96"/>
    <x v="1"/>
    <x v="1"/>
    <x v="66"/>
    <x v="16"/>
    <x v="1"/>
    <x v="43"/>
    <x v="0"/>
    <x v="0"/>
    <x v="3"/>
    <x v="2"/>
    <x v="3"/>
    <x v="2"/>
    <x v="1"/>
    <x v="2"/>
    <x v="1"/>
    <x v="1"/>
    <x v="35"/>
    <x v="1"/>
    <x v="3"/>
    <x v="4"/>
    <x v="61"/>
    <x v="7"/>
    <x v="1"/>
    <x v="1"/>
    <x v="2"/>
    <x v="1"/>
    <x v="65"/>
    <x v="0"/>
    <x v="0"/>
  </r>
  <r>
    <x v="119"/>
    <x v="72"/>
    <x v="71"/>
    <x v="70"/>
    <x v="97"/>
    <x v="1"/>
    <x v="1"/>
    <x v="75"/>
    <x v="37"/>
    <x v="1"/>
    <x v="24"/>
    <x v="0"/>
    <x v="0"/>
    <x v="1"/>
    <x v="2"/>
    <x v="3"/>
    <x v="2"/>
    <x v="2"/>
    <x v="1"/>
    <x v="1"/>
    <x v="1"/>
    <x v="35"/>
    <x v="1"/>
    <x v="5"/>
    <x v="2"/>
    <x v="70"/>
    <x v="7"/>
    <x v="1"/>
    <x v="9"/>
    <x v="1"/>
    <x v="0"/>
    <x v="66"/>
    <x v="31"/>
    <x v="27"/>
  </r>
  <r>
    <x v="120"/>
    <x v="70"/>
    <x v="69"/>
    <x v="68"/>
    <x v="98"/>
    <x v="1"/>
    <x v="2"/>
    <x v="73"/>
    <x v="69"/>
    <x v="2"/>
    <x v="0"/>
    <x v="5"/>
    <x v="0"/>
    <x v="3"/>
    <x v="1"/>
    <x v="1"/>
    <x v="2"/>
    <x v="1"/>
    <x v="2"/>
    <x v="1"/>
    <x v="1"/>
    <x v="35"/>
    <x v="1"/>
    <x v="3"/>
    <x v="4"/>
    <x v="68"/>
    <x v="5"/>
    <x v="1"/>
    <x v="9"/>
    <x v="2"/>
    <x v="1"/>
    <x v="67"/>
    <x v="32"/>
    <x v="0"/>
  </r>
  <r>
    <x v="121"/>
    <x v="26"/>
    <x v="26"/>
    <x v="26"/>
    <x v="99"/>
    <x v="1"/>
    <x v="2"/>
    <x v="28"/>
    <x v="71"/>
    <x v="1"/>
    <x v="15"/>
    <x v="0"/>
    <x v="0"/>
    <x v="1"/>
    <x v="1"/>
    <x v="1"/>
    <x v="2"/>
    <x v="1"/>
    <x v="2"/>
    <x v="1"/>
    <x v="1"/>
    <x v="37"/>
    <x v="1"/>
    <x v="2"/>
    <x v="3"/>
    <x v="26"/>
    <x v="10"/>
    <x v="1"/>
    <x v="4"/>
    <x v="2"/>
    <x v="1"/>
    <x v="68"/>
    <x v="33"/>
    <x v="0"/>
  </r>
  <r>
    <x v="122"/>
    <x v="73"/>
    <x v="72"/>
    <x v="71"/>
    <x v="100"/>
    <x v="2"/>
    <x v="1"/>
    <x v="76"/>
    <x v="10"/>
    <x v="6"/>
    <x v="0"/>
    <x v="0"/>
    <x v="2"/>
    <x v="1"/>
    <x v="1"/>
    <x v="1"/>
    <x v="2"/>
    <x v="1"/>
    <x v="3"/>
    <x v="1"/>
    <x v="1"/>
    <x v="36"/>
    <x v="1"/>
    <x v="6"/>
    <x v="2"/>
    <x v="71"/>
    <x v="10"/>
    <x v="3"/>
    <x v="0"/>
    <x v="1"/>
    <x v="0"/>
    <x v="69"/>
    <x v="34"/>
    <x v="28"/>
  </r>
  <r>
    <x v="123"/>
    <x v="63"/>
    <x v="62"/>
    <x v="61"/>
    <x v="101"/>
    <x v="1"/>
    <x v="1"/>
    <x v="66"/>
    <x v="16"/>
    <x v="1"/>
    <x v="43"/>
    <x v="0"/>
    <x v="0"/>
    <x v="3"/>
    <x v="1"/>
    <x v="1"/>
    <x v="1"/>
    <x v="1"/>
    <x v="2"/>
    <x v="1"/>
    <x v="2"/>
    <x v="0"/>
    <x v="1"/>
    <x v="3"/>
    <x v="4"/>
    <x v="61"/>
    <x v="5"/>
    <x v="0"/>
    <x v="0"/>
    <x v="1"/>
    <x v="0"/>
    <x v="0"/>
    <x v="0"/>
    <x v="0"/>
  </r>
  <r>
    <x v="124"/>
    <x v="74"/>
    <x v="73"/>
    <x v="72"/>
    <x v="102"/>
    <x v="3"/>
    <x v="2"/>
    <x v="77"/>
    <x v="72"/>
    <x v="1"/>
    <x v="4"/>
    <x v="0"/>
    <x v="0"/>
    <x v="1"/>
    <x v="1"/>
    <x v="1"/>
    <x v="2"/>
    <x v="1"/>
    <x v="3"/>
    <x v="1"/>
    <x v="1"/>
    <x v="35"/>
    <x v="1"/>
    <x v="6"/>
    <x v="2"/>
    <x v="72"/>
    <x v="10"/>
    <x v="3"/>
    <x v="0"/>
    <x v="1"/>
    <x v="0"/>
    <x v="70"/>
    <x v="30"/>
    <x v="0"/>
  </r>
  <r>
    <x v="125"/>
    <x v="75"/>
    <x v="74"/>
    <x v="73"/>
    <x v="103"/>
    <x v="1"/>
    <x v="1"/>
    <x v="78"/>
    <x v="73"/>
    <x v="2"/>
    <x v="0"/>
    <x v="5"/>
    <x v="0"/>
    <x v="1"/>
    <x v="2"/>
    <x v="3"/>
    <x v="2"/>
    <x v="1"/>
    <x v="2"/>
    <x v="1"/>
    <x v="1"/>
    <x v="37"/>
    <x v="2"/>
    <x v="6"/>
    <x v="2"/>
    <x v="73"/>
    <x v="5"/>
    <x v="1"/>
    <x v="4"/>
    <x v="2"/>
    <x v="1"/>
    <x v="71"/>
    <x v="0"/>
    <x v="0"/>
  </r>
  <r>
    <x v="126"/>
    <x v="70"/>
    <x v="69"/>
    <x v="68"/>
    <x v="104"/>
    <x v="1"/>
    <x v="6"/>
    <x v="73"/>
    <x v="69"/>
    <x v="1"/>
    <x v="4"/>
    <x v="0"/>
    <x v="0"/>
    <x v="3"/>
    <x v="2"/>
    <x v="3"/>
    <x v="2"/>
    <x v="1"/>
    <x v="2"/>
    <x v="1"/>
    <x v="1"/>
    <x v="37"/>
    <x v="1"/>
    <x v="3"/>
    <x v="4"/>
    <x v="68"/>
    <x v="10"/>
    <x v="1"/>
    <x v="10"/>
    <x v="2"/>
    <x v="1"/>
    <x v="72"/>
    <x v="0"/>
    <x v="0"/>
  </r>
  <r>
    <x v="127"/>
    <x v="19"/>
    <x v="19"/>
    <x v="19"/>
    <x v="105"/>
    <x v="1"/>
    <x v="2"/>
    <x v="21"/>
    <x v="20"/>
    <x v="1"/>
    <x v="44"/>
    <x v="0"/>
    <x v="0"/>
    <x v="1"/>
    <x v="1"/>
    <x v="1"/>
    <x v="2"/>
    <x v="1"/>
    <x v="2"/>
    <x v="1"/>
    <x v="2"/>
    <x v="0"/>
    <x v="1"/>
    <x v="6"/>
    <x v="2"/>
    <x v="19"/>
    <x v="5"/>
    <x v="0"/>
    <x v="0"/>
    <x v="1"/>
    <x v="0"/>
    <x v="0"/>
    <x v="0"/>
    <x v="0"/>
  </r>
  <r>
    <x v="128"/>
    <x v="76"/>
    <x v="75"/>
    <x v="74"/>
    <x v="106"/>
    <x v="1"/>
    <x v="6"/>
    <x v="79"/>
    <x v="74"/>
    <x v="1"/>
    <x v="45"/>
    <x v="0"/>
    <x v="0"/>
    <x v="1"/>
    <x v="1"/>
    <x v="1"/>
    <x v="2"/>
    <x v="1"/>
    <x v="3"/>
    <x v="1"/>
    <x v="1"/>
    <x v="37"/>
    <x v="1"/>
    <x v="6"/>
    <x v="2"/>
    <x v="74"/>
    <x v="10"/>
    <x v="3"/>
    <x v="0"/>
    <x v="1"/>
    <x v="0"/>
    <x v="73"/>
    <x v="35"/>
    <x v="0"/>
  </r>
  <r>
    <x v="129"/>
    <x v="57"/>
    <x v="56"/>
    <x v="55"/>
    <x v="107"/>
    <x v="3"/>
    <x v="2"/>
    <x v="60"/>
    <x v="30"/>
    <x v="1"/>
    <x v="33"/>
    <x v="0"/>
    <x v="0"/>
    <x v="3"/>
    <x v="1"/>
    <x v="2"/>
    <x v="2"/>
    <x v="2"/>
    <x v="3"/>
    <x v="1"/>
    <x v="1"/>
    <x v="36"/>
    <x v="1"/>
    <x v="3"/>
    <x v="4"/>
    <x v="55"/>
    <x v="5"/>
    <x v="1"/>
    <x v="3"/>
    <x v="2"/>
    <x v="1"/>
    <x v="74"/>
    <x v="0"/>
    <x v="0"/>
  </r>
  <r>
    <x v="130"/>
    <x v="77"/>
    <x v="76"/>
    <x v="75"/>
    <x v="108"/>
    <x v="1"/>
    <x v="2"/>
    <x v="80"/>
    <x v="74"/>
    <x v="1"/>
    <x v="2"/>
    <x v="0"/>
    <x v="0"/>
    <x v="1"/>
    <x v="1"/>
    <x v="1"/>
    <x v="2"/>
    <x v="1"/>
    <x v="2"/>
    <x v="1"/>
    <x v="2"/>
    <x v="0"/>
    <x v="1"/>
    <x v="6"/>
    <x v="2"/>
    <x v="75"/>
    <x v="5"/>
    <x v="0"/>
    <x v="0"/>
    <x v="1"/>
    <x v="0"/>
    <x v="0"/>
    <x v="0"/>
    <x v="0"/>
  </r>
  <r>
    <x v="131"/>
    <x v="78"/>
    <x v="77"/>
    <x v="76"/>
    <x v="109"/>
    <x v="1"/>
    <x v="6"/>
    <x v="81"/>
    <x v="30"/>
    <x v="1"/>
    <x v="22"/>
    <x v="0"/>
    <x v="0"/>
    <x v="1"/>
    <x v="1"/>
    <x v="1"/>
    <x v="2"/>
    <x v="1"/>
    <x v="3"/>
    <x v="1"/>
    <x v="1"/>
    <x v="37"/>
    <x v="1"/>
    <x v="6"/>
    <x v="2"/>
    <x v="76"/>
    <x v="10"/>
    <x v="1"/>
    <x v="4"/>
    <x v="2"/>
    <x v="1"/>
    <x v="75"/>
    <x v="0"/>
    <x v="29"/>
  </r>
  <r>
    <x v="132"/>
    <x v="45"/>
    <x v="44"/>
    <x v="44"/>
    <x v="110"/>
    <x v="3"/>
    <x v="6"/>
    <x v="47"/>
    <x v="17"/>
    <x v="1"/>
    <x v="1"/>
    <x v="0"/>
    <x v="0"/>
    <x v="1"/>
    <x v="1"/>
    <x v="1"/>
    <x v="2"/>
    <x v="1"/>
    <x v="2"/>
    <x v="2"/>
    <x v="1"/>
    <x v="37"/>
    <x v="1"/>
    <x v="6"/>
    <x v="2"/>
    <x v="44"/>
    <x v="10"/>
    <x v="3"/>
    <x v="0"/>
    <x v="1"/>
    <x v="0"/>
    <x v="76"/>
    <x v="36"/>
    <x v="30"/>
  </r>
  <r>
    <x v="133"/>
    <x v="79"/>
    <x v="78"/>
    <x v="77"/>
    <x v="111"/>
    <x v="3"/>
    <x v="2"/>
    <x v="82"/>
    <x v="59"/>
    <x v="6"/>
    <x v="0"/>
    <x v="0"/>
    <x v="3"/>
    <x v="1"/>
    <x v="1"/>
    <x v="1"/>
    <x v="1"/>
    <x v="1"/>
    <x v="2"/>
    <x v="2"/>
    <x v="2"/>
    <x v="0"/>
    <x v="1"/>
    <x v="6"/>
    <x v="2"/>
    <x v="77"/>
    <x v="5"/>
    <x v="0"/>
    <x v="0"/>
    <x v="1"/>
    <x v="0"/>
    <x v="0"/>
    <x v="0"/>
    <x v="31"/>
  </r>
  <r>
    <x v="134"/>
    <x v="49"/>
    <x v="48"/>
    <x v="47"/>
    <x v="112"/>
    <x v="1"/>
    <x v="1"/>
    <x v="51"/>
    <x v="50"/>
    <x v="1"/>
    <x v="34"/>
    <x v="0"/>
    <x v="0"/>
    <x v="3"/>
    <x v="1"/>
    <x v="1"/>
    <x v="2"/>
    <x v="1"/>
    <x v="3"/>
    <x v="1"/>
    <x v="2"/>
    <x v="0"/>
    <x v="1"/>
    <x v="3"/>
    <x v="4"/>
    <x v="47"/>
    <x v="5"/>
    <x v="0"/>
    <x v="0"/>
    <x v="1"/>
    <x v="0"/>
    <x v="0"/>
    <x v="0"/>
    <x v="0"/>
  </r>
  <r>
    <x v="135"/>
    <x v="72"/>
    <x v="71"/>
    <x v="70"/>
    <x v="0"/>
    <x v="1"/>
    <x v="6"/>
    <x v="75"/>
    <x v="37"/>
    <x v="1"/>
    <x v="24"/>
    <x v="0"/>
    <x v="0"/>
    <x v="3"/>
    <x v="1"/>
    <x v="1"/>
    <x v="2"/>
    <x v="1"/>
    <x v="2"/>
    <x v="1"/>
    <x v="1"/>
    <x v="38"/>
    <x v="2"/>
    <x v="3"/>
    <x v="4"/>
    <x v="78"/>
    <x v="10"/>
    <x v="3"/>
    <x v="0"/>
    <x v="1"/>
    <x v="0"/>
    <x v="77"/>
    <x v="37"/>
    <x v="32"/>
  </r>
  <r>
    <x v="136"/>
    <x v="56"/>
    <x v="55"/>
    <x v="54"/>
    <x v="0"/>
    <x v="3"/>
    <x v="2"/>
    <x v="58"/>
    <x v="58"/>
    <x v="1"/>
    <x v="12"/>
    <x v="0"/>
    <x v="0"/>
    <x v="3"/>
    <x v="1"/>
    <x v="2"/>
    <x v="2"/>
    <x v="1"/>
    <x v="2"/>
    <x v="1"/>
    <x v="1"/>
    <x v="36"/>
    <x v="2"/>
    <x v="3"/>
    <x v="4"/>
    <x v="54"/>
    <x v="5"/>
    <x v="3"/>
    <x v="0"/>
    <x v="1"/>
    <x v="0"/>
    <x v="78"/>
    <x v="38"/>
    <x v="0"/>
  </r>
  <r>
    <x v="137"/>
    <x v="58"/>
    <x v="57"/>
    <x v="56"/>
    <x v="0"/>
    <x v="3"/>
    <x v="6"/>
    <x v="61"/>
    <x v="75"/>
    <x v="1"/>
    <x v="3"/>
    <x v="0"/>
    <x v="0"/>
    <x v="3"/>
    <x v="3"/>
    <x v="2"/>
    <x v="2"/>
    <x v="1"/>
    <x v="3"/>
    <x v="1"/>
    <x v="1"/>
    <x v="39"/>
    <x v="2"/>
    <x v="3"/>
    <x v="4"/>
    <x v="56"/>
    <x v="10"/>
    <x v="3"/>
    <x v="0"/>
    <x v="1"/>
    <x v="0"/>
    <x v="79"/>
    <x v="39"/>
    <x v="0"/>
  </r>
  <r>
    <x v="138"/>
    <x v="80"/>
    <x v="79"/>
    <x v="78"/>
    <x v="113"/>
    <x v="1"/>
    <x v="2"/>
    <x v="83"/>
    <x v="72"/>
    <x v="1"/>
    <x v="3"/>
    <x v="0"/>
    <x v="0"/>
    <x v="1"/>
    <x v="3"/>
    <x v="3"/>
    <x v="2"/>
    <x v="1"/>
    <x v="2"/>
    <x v="1"/>
    <x v="1"/>
    <x v="36"/>
    <x v="1"/>
    <x v="6"/>
    <x v="2"/>
    <x v="79"/>
    <x v="5"/>
    <x v="1"/>
    <x v="7"/>
    <x v="1"/>
    <x v="0"/>
    <x v="80"/>
    <x v="40"/>
    <x v="0"/>
  </r>
  <r>
    <x v="139"/>
    <x v="81"/>
    <x v="80"/>
    <x v="79"/>
    <x v="114"/>
    <x v="3"/>
    <x v="2"/>
    <x v="84"/>
    <x v="76"/>
    <x v="1"/>
    <x v="24"/>
    <x v="0"/>
    <x v="0"/>
    <x v="1"/>
    <x v="3"/>
    <x v="3"/>
    <x v="2"/>
    <x v="1"/>
    <x v="3"/>
    <x v="1"/>
    <x v="1"/>
    <x v="36"/>
    <x v="1"/>
    <x v="4"/>
    <x v="2"/>
    <x v="80"/>
    <x v="1"/>
    <x v="3"/>
    <x v="0"/>
    <x v="1"/>
    <x v="0"/>
    <x v="81"/>
    <x v="41"/>
    <x v="0"/>
  </r>
  <r>
    <x v="140"/>
    <x v="75"/>
    <x v="74"/>
    <x v="73"/>
    <x v="115"/>
    <x v="1"/>
    <x v="2"/>
    <x v="78"/>
    <x v="77"/>
    <x v="2"/>
    <x v="0"/>
    <x v="5"/>
    <x v="0"/>
    <x v="3"/>
    <x v="2"/>
    <x v="3"/>
    <x v="2"/>
    <x v="1"/>
    <x v="2"/>
    <x v="1"/>
    <x v="1"/>
    <x v="37"/>
    <x v="2"/>
    <x v="3"/>
    <x v="4"/>
    <x v="73"/>
    <x v="1"/>
    <x v="1"/>
    <x v="4"/>
    <x v="2"/>
    <x v="1"/>
    <x v="82"/>
    <x v="42"/>
    <x v="0"/>
  </r>
  <r>
    <x v="141"/>
    <x v="70"/>
    <x v="69"/>
    <x v="68"/>
    <x v="116"/>
    <x v="1"/>
    <x v="2"/>
    <x v="73"/>
    <x v="69"/>
    <x v="1"/>
    <x v="4"/>
    <x v="0"/>
    <x v="0"/>
    <x v="3"/>
    <x v="1"/>
    <x v="1"/>
    <x v="2"/>
    <x v="1"/>
    <x v="2"/>
    <x v="1"/>
    <x v="1"/>
    <x v="38"/>
    <x v="1"/>
    <x v="3"/>
    <x v="4"/>
    <x v="74"/>
    <x v="9"/>
    <x v="3"/>
    <x v="0"/>
    <x v="1"/>
    <x v="0"/>
    <x v="83"/>
    <x v="43"/>
    <x v="0"/>
  </r>
  <r>
    <x v="142"/>
    <x v="82"/>
    <x v="81"/>
    <x v="80"/>
    <x v="117"/>
    <x v="1"/>
    <x v="2"/>
    <x v="85"/>
    <x v="10"/>
    <x v="2"/>
    <x v="0"/>
    <x v="5"/>
    <x v="0"/>
    <x v="1"/>
    <x v="2"/>
    <x v="3"/>
    <x v="2"/>
    <x v="1"/>
    <x v="1"/>
    <x v="1"/>
    <x v="1"/>
    <x v="37"/>
    <x v="1"/>
    <x v="6"/>
    <x v="2"/>
    <x v="81"/>
    <x v="9"/>
    <x v="1"/>
    <x v="10"/>
    <x v="2"/>
    <x v="1"/>
    <x v="84"/>
    <x v="0"/>
    <x v="33"/>
  </r>
  <r>
    <x v="143"/>
    <x v="78"/>
    <x v="77"/>
    <x v="76"/>
    <x v="118"/>
    <x v="1"/>
    <x v="2"/>
    <x v="81"/>
    <x v="78"/>
    <x v="1"/>
    <x v="22"/>
    <x v="0"/>
    <x v="0"/>
    <x v="3"/>
    <x v="2"/>
    <x v="3"/>
    <x v="2"/>
    <x v="1"/>
    <x v="3"/>
    <x v="1"/>
    <x v="1"/>
    <x v="36"/>
    <x v="1"/>
    <x v="3"/>
    <x v="4"/>
    <x v="76"/>
    <x v="1"/>
    <x v="1"/>
    <x v="7"/>
    <x v="2"/>
    <x v="1"/>
    <x v="85"/>
    <x v="0"/>
    <x v="0"/>
  </r>
  <r>
    <x v="144"/>
    <x v="83"/>
    <x v="82"/>
    <x v="81"/>
    <x v="119"/>
    <x v="1"/>
    <x v="3"/>
    <x v="86"/>
    <x v="10"/>
    <x v="1"/>
    <x v="46"/>
    <x v="0"/>
    <x v="0"/>
    <x v="1"/>
    <x v="1"/>
    <x v="1"/>
    <x v="2"/>
    <x v="1"/>
    <x v="1"/>
    <x v="1"/>
    <x v="1"/>
    <x v="40"/>
    <x v="1"/>
    <x v="6"/>
    <x v="3"/>
    <x v="82"/>
    <x v="9"/>
    <x v="3"/>
    <x v="0"/>
    <x v="1"/>
    <x v="0"/>
    <x v="86"/>
    <x v="44"/>
    <x v="0"/>
  </r>
  <r>
    <x v="145"/>
    <x v="26"/>
    <x v="26"/>
    <x v="26"/>
    <x v="120"/>
    <x v="1"/>
    <x v="2"/>
    <x v="28"/>
    <x v="79"/>
    <x v="1"/>
    <x v="22"/>
    <x v="0"/>
    <x v="0"/>
    <x v="3"/>
    <x v="1"/>
    <x v="1"/>
    <x v="2"/>
    <x v="1"/>
    <x v="3"/>
    <x v="1"/>
    <x v="2"/>
    <x v="0"/>
    <x v="1"/>
    <x v="3"/>
    <x v="4"/>
    <x v="26"/>
    <x v="1"/>
    <x v="0"/>
    <x v="0"/>
    <x v="1"/>
    <x v="0"/>
    <x v="0"/>
    <x v="0"/>
    <x v="0"/>
  </r>
  <r>
    <x v="146"/>
    <x v="75"/>
    <x v="74"/>
    <x v="73"/>
    <x v="0"/>
    <x v="1"/>
    <x v="2"/>
    <x v="78"/>
    <x v="77"/>
    <x v="2"/>
    <x v="0"/>
    <x v="5"/>
    <x v="0"/>
    <x v="3"/>
    <x v="4"/>
    <x v="1"/>
    <x v="2"/>
    <x v="1"/>
    <x v="2"/>
    <x v="1"/>
    <x v="1"/>
    <x v="36"/>
    <x v="2"/>
    <x v="3"/>
    <x v="4"/>
    <x v="73"/>
    <x v="1"/>
    <x v="3"/>
    <x v="0"/>
    <x v="1"/>
    <x v="0"/>
    <x v="87"/>
    <x v="45"/>
    <x v="34"/>
  </r>
  <r>
    <x v="147"/>
    <x v="84"/>
    <x v="83"/>
    <x v="82"/>
    <x v="121"/>
    <x v="1"/>
    <x v="6"/>
    <x v="87"/>
    <x v="80"/>
    <x v="1"/>
    <x v="47"/>
    <x v="0"/>
    <x v="0"/>
    <x v="1"/>
    <x v="1"/>
    <x v="1"/>
    <x v="2"/>
    <x v="2"/>
    <x v="1"/>
    <x v="1"/>
    <x v="2"/>
    <x v="0"/>
    <x v="1"/>
    <x v="6"/>
    <x v="2"/>
    <x v="83"/>
    <x v="9"/>
    <x v="0"/>
    <x v="0"/>
    <x v="1"/>
    <x v="0"/>
    <x v="0"/>
    <x v="0"/>
    <x v="0"/>
  </r>
  <r>
    <x v="148"/>
    <x v="57"/>
    <x v="56"/>
    <x v="55"/>
    <x v="122"/>
    <x v="3"/>
    <x v="2"/>
    <x v="88"/>
    <x v="30"/>
    <x v="1"/>
    <x v="33"/>
    <x v="0"/>
    <x v="0"/>
    <x v="3"/>
    <x v="1"/>
    <x v="1"/>
    <x v="2"/>
    <x v="1"/>
    <x v="3"/>
    <x v="1"/>
    <x v="2"/>
    <x v="0"/>
    <x v="1"/>
    <x v="3"/>
    <x v="4"/>
    <x v="55"/>
    <x v="3"/>
    <x v="0"/>
    <x v="0"/>
    <x v="1"/>
    <x v="0"/>
    <x v="0"/>
    <x v="0"/>
    <x v="0"/>
  </r>
  <r>
    <x v="149"/>
    <x v="85"/>
    <x v="84"/>
    <x v="83"/>
    <x v="123"/>
    <x v="3"/>
    <x v="2"/>
    <x v="89"/>
    <x v="81"/>
    <x v="1"/>
    <x v="8"/>
    <x v="0"/>
    <x v="0"/>
    <x v="1"/>
    <x v="1"/>
    <x v="1"/>
    <x v="2"/>
    <x v="1"/>
    <x v="2"/>
    <x v="1"/>
    <x v="1"/>
    <x v="39"/>
    <x v="2"/>
    <x v="1"/>
    <x v="2"/>
    <x v="84"/>
    <x v="3"/>
    <x v="1"/>
    <x v="5"/>
    <x v="2"/>
    <x v="1"/>
    <x v="88"/>
    <x v="0"/>
    <x v="0"/>
  </r>
  <r>
    <x v="150"/>
    <x v="64"/>
    <x v="63"/>
    <x v="62"/>
    <x v="124"/>
    <x v="1"/>
    <x v="2"/>
    <x v="67"/>
    <x v="82"/>
    <x v="1"/>
    <x v="48"/>
    <x v="0"/>
    <x v="0"/>
    <x v="3"/>
    <x v="1"/>
    <x v="1"/>
    <x v="2"/>
    <x v="1"/>
    <x v="2"/>
    <x v="1"/>
    <x v="2"/>
    <x v="0"/>
    <x v="1"/>
    <x v="3"/>
    <x v="4"/>
    <x v="62"/>
    <x v="1"/>
    <x v="0"/>
    <x v="0"/>
    <x v="1"/>
    <x v="0"/>
    <x v="0"/>
    <x v="0"/>
    <x v="0"/>
  </r>
  <r>
    <x v="151"/>
    <x v="86"/>
    <x v="85"/>
    <x v="84"/>
    <x v="125"/>
    <x v="1"/>
    <x v="2"/>
    <x v="90"/>
    <x v="83"/>
    <x v="6"/>
    <x v="0"/>
    <x v="0"/>
    <x v="4"/>
    <x v="1"/>
    <x v="1"/>
    <x v="1"/>
    <x v="2"/>
    <x v="2"/>
    <x v="3"/>
    <x v="1"/>
    <x v="1"/>
    <x v="41"/>
    <x v="1"/>
    <x v="1"/>
    <x v="2"/>
    <x v="85"/>
    <x v="1"/>
    <x v="1"/>
    <x v="4"/>
    <x v="1"/>
    <x v="0"/>
    <x v="89"/>
    <x v="46"/>
    <x v="0"/>
  </r>
  <r>
    <x v="152"/>
    <x v="78"/>
    <x v="77"/>
    <x v="76"/>
    <x v="126"/>
    <x v="1"/>
    <x v="2"/>
    <x v="81"/>
    <x v="30"/>
    <x v="1"/>
    <x v="22"/>
    <x v="0"/>
    <x v="0"/>
    <x v="3"/>
    <x v="3"/>
    <x v="2"/>
    <x v="2"/>
    <x v="1"/>
    <x v="2"/>
    <x v="1"/>
    <x v="1"/>
    <x v="34"/>
    <x v="1"/>
    <x v="1"/>
    <x v="2"/>
    <x v="76"/>
    <x v="7"/>
    <x v="1"/>
    <x v="4"/>
    <x v="1"/>
    <x v="0"/>
    <x v="90"/>
    <x v="0"/>
    <x v="0"/>
  </r>
  <r>
    <x v="153"/>
    <x v="87"/>
    <x v="86"/>
    <x v="85"/>
    <x v="127"/>
    <x v="1"/>
    <x v="2"/>
    <x v="91"/>
    <x v="84"/>
    <x v="1"/>
    <x v="1"/>
    <x v="0"/>
    <x v="0"/>
    <x v="1"/>
    <x v="5"/>
    <x v="3"/>
    <x v="1"/>
    <x v="1"/>
    <x v="1"/>
    <x v="1"/>
    <x v="1"/>
    <x v="39"/>
    <x v="1"/>
    <x v="1"/>
    <x v="6"/>
    <x v="86"/>
    <x v="3"/>
    <x v="1"/>
    <x v="3"/>
    <x v="2"/>
    <x v="1"/>
    <x v="91"/>
    <x v="0"/>
    <x v="0"/>
  </r>
  <r>
    <x v="154"/>
    <x v="88"/>
    <x v="87"/>
    <x v="86"/>
    <x v="128"/>
    <x v="1"/>
    <x v="1"/>
    <x v="92"/>
    <x v="85"/>
    <x v="1"/>
    <x v="49"/>
    <x v="0"/>
    <x v="0"/>
    <x v="1"/>
    <x v="1"/>
    <x v="1"/>
    <x v="2"/>
    <x v="1"/>
    <x v="2"/>
    <x v="1"/>
    <x v="2"/>
    <x v="0"/>
    <x v="1"/>
    <x v="1"/>
    <x v="2"/>
    <x v="87"/>
    <x v="4"/>
    <x v="0"/>
    <x v="0"/>
    <x v="1"/>
    <x v="0"/>
    <x v="0"/>
    <x v="0"/>
    <x v="0"/>
  </r>
  <r>
    <x v="155"/>
    <x v="65"/>
    <x v="64"/>
    <x v="63"/>
    <x v="129"/>
    <x v="3"/>
    <x v="2"/>
    <x v="68"/>
    <x v="86"/>
    <x v="1"/>
    <x v="3"/>
    <x v="0"/>
    <x v="0"/>
    <x v="1"/>
    <x v="1"/>
    <x v="1"/>
    <x v="2"/>
    <x v="1"/>
    <x v="3"/>
    <x v="1"/>
    <x v="1"/>
    <x v="39"/>
    <x v="1"/>
    <x v="1"/>
    <x v="2"/>
    <x v="63"/>
    <x v="1"/>
    <x v="3"/>
    <x v="0"/>
    <x v="1"/>
    <x v="0"/>
    <x v="92"/>
    <x v="47"/>
    <x v="0"/>
  </r>
  <r>
    <x v="156"/>
    <x v="80"/>
    <x v="79"/>
    <x v="78"/>
    <x v="0"/>
    <x v="1"/>
    <x v="2"/>
    <x v="83"/>
    <x v="72"/>
    <x v="1"/>
    <x v="3"/>
    <x v="0"/>
    <x v="0"/>
    <x v="3"/>
    <x v="1"/>
    <x v="1"/>
    <x v="2"/>
    <x v="1"/>
    <x v="2"/>
    <x v="1"/>
    <x v="2"/>
    <x v="0"/>
    <x v="2"/>
    <x v="3"/>
    <x v="4"/>
    <x v="79"/>
    <x v="7"/>
    <x v="0"/>
    <x v="0"/>
    <x v="1"/>
    <x v="0"/>
    <x v="0"/>
    <x v="0"/>
    <x v="0"/>
  </r>
  <r>
    <x v="157"/>
    <x v="89"/>
    <x v="88"/>
    <x v="87"/>
    <x v="130"/>
    <x v="1"/>
    <x v="2"/>
    <x v="93"/>
    <x v="87"/>
    <x v="1"/>
    <x v="50"/>
    <x v="0"/>
    <x v="0"/>
    <x v="1"/>
    <x v="1"/>
    <x v="1"/>
    <x v="2"/>
    <x v="1"/>
    <x v="3"/>
    <x v="1"/>
    <x v="2"/>
    <x v="0"/>
    <x v="1"/>
    <x v="2"/>
    <x v="2"/>
    <x v="88"/>
    <x v="1"/>
    <x v="0"/>
    <x v="0"/>
    <x v="1"/>
    <x v="0"/>
    <x v="0"/>
    <x v="0"/>
    <x v="0"/>
  </r>
  <r>
    <x v="158"/>
    <x v="90"/>
    <x v="89"/>
    <x v="88"/>
    <x v="131"/>
    <x v="1"/>
    <x v="2"/>
    <x v="94"/>
    <x v="10"/>
    <x v="1"/>
    <x v="15"/>
    <x v="0"/>
    <x v="0"/>
    <x v="1"/>
    <x v="3"/>
    <x v="2"/>
    <x v="2"/>
    <x v="1"/>
    <x v="2"/>
    <x v="1"/>
    <x v="1"/>
    <x v="34"/>
    <x v="1"/>
    <x v="1"/>
    <x v="2"/>
    <x v="89"/>
    <x v="2"/>
    <x v="1"/>
    <x v="1"/>
    <x v="2"/>
    <x v="1"/>
    <x v="93"/>
    <x v="48"/>
    <x v="35"/>
  </r>
  <r>
    <x v="159"/>
    <x v="85"/>
    <x v="84"/>
    <x v="83"/>
    <x v="132"/>
    <x v="3"/>
    <x v="1"/>
    <x v="95"/>
    <x v="88"/>
    <x v="1"/>
    <x v="8"/>
    <x v="0"/>
    <x v="0"/>
    <x v="3"/>
    <x v="1"/>
    <x v="1"/>
    <x v="2"/>
    <x v="1"/>
    <x v="2"/>
    <x v="1"/>
    <x v="2"/>
    <x v="0"/>
    <x v="1"/>
    <x v="1"/>
    <x v="4"/>
    <x v="84"/>
    <x v="2"/>
    <x v="0"/>
    <x v="0"/>
    <x v="1"/>
    <x v="0"/>
    <x v="0"/>
    <x v="0"/>
    <x v="0"/>
  </r>
  <r>
    <x v="160"/>
    <x v="91"/>
    <x v="90"/>
    <x v="89"/>
    <x v="133"/>
    <x v="1"/>
    <x v="2"/>
    <x v="96"/>
    <x v="89"/>
    <x v="1"/>
    <x v="15"/>
    <x v="0"/>
    <x v="0"/>
    <x v="1"/>
    <x v="3"/>
    <x v="2"/>
    <x v="2"/>
    <x v="1"/>
    <x v="3"/>
    <x v="1"/>
    <x v="1"/>
    <x v="34"/>
    <x v="2"/>
    <x v="1"/>
    <x v="2"/>
    <x v="90"/>
    <x v="2"/>
    <x v="3"/>
    <x v="0"/>
    <x v="1"/>
    <x v="0"/>
    <x v="94"/>
    <x v="49"/>
    <x v="35"/>
  </r>
  <r>
    <x v="161"/>
    <x v="92"/>
    <x v="91"/>
    <x v="90"/>
    <x v="134"/>
    <x v="1"/>
    <x v="2"/>
    <x v="97"/>
    <x v="90"/>
    <x v="1"/>
    <x v="2"/>
    <x v="0"/>
    <x v="0"/>
    <x v="1"/>
    <x v="3"/>
    <x v="3"/>
    <x v="1"/>
    <x v="1"/>
    <x v="1"/>
    <x v="1"/>
    <x v="2"/>
    <x v="0"/>
    <x v="1"/>
    <x v="1"/>
    <x v="7"/>
    <x v="91"/>
    <x v="3"/>
    <x v="0"/>
    <x v="0"/>
    <x v="1"/>
    <x v="0"/>
    <x v="95"/>
    <x v="0"/>
    <x v="0"/>
  </r>
  <r>
    <x v="162"/>
    <x v="45"/>
    <x v="44"/>
    <x v="44"/>
    <x v="135"/>
    <x v="3"/>
    <x v="2"/>
    <x v="47"/>
    <x v="17"/>
    <x v="2"/>
    <x v="0"/>
    <x v="2"/>
    <x v="0"/>
    <x v="1"/>
    <x v="3"/>
    <x v="3"/>
    <x v="2"/>
    <x v="1"/>
    <x v="2"/>
    <x v="1"/>
    <x v="1"/>
    <x v="34"/>
    <x v="1"/>
    <x v="1"/>
    <x v="2"/>
    <x v="44"/>
    <x v="1"/>
    <x v="1"/>
    <x v="4"/>
    <x v="2"/>
    <x v="1"/>
    <x v="96"/>
    <x v="0"/>
    <x v="0"/>
  </r>
  <r>
    <x v="163"/>
    <x v="93"/>
    <x v="92"/>
    <x v="91"/>
    <x v="136"/>
    <x v="1"/>
    <x v="2"/>
    <x v="98"/>
    <x v="91"/>
    <x v="1"/>
    <x v="3"/>
    <x v="0"/>
    <x v="0"/>
    <x v="1"/>
    <x v="3"/>
    <x v="2"/>
    <x v="1"/>
    <x v="1"/>
    <x v="3"/>
    <x v="1"/>
    <x v="1"/>
    <x v="41"/>
    <x v="1"/>
    <x v="1"/>
    <x v="2"/>
    <x v="92"/>
    <x v="4"/>
    <x v="3"/>
    <x v="0"/>
    <x v="1"/>
    <x v="0"/>
    <x v="89"/>
    <x v="50"/>
    <x v="0"/>
  </r>
  <r>
    <x v="164"/>
    <x v="94"/>
    <x v="93"/>
    <x v="92"/>
    <x v="137"/>
    <x v="1"/>
    <x v="3"/>
    <x v="99"/>
    <x v="10"/>
    <x v="1"/>
    <x v="1"/>
    <x v="0"/>
    <x v="0"/>
    <x v="1"/>
    <x v="2"/>
    <x v="3"/>
    <x v="1"/>
    <x v="1"/>
    <x v="3"/>
    <x v="1"/>
    <x v="1"/>
    <x v="34"/>
    <x v="1"/>
    <x v="1"/>
    <x v="8"/>
    <x v="93"/>
    <x v="4"/>
    <x v="3"/>
    <x v="0"/>
    <x v="1"/>
    <x v="0"/>
    <x v="97"/>
    <x v="51"/>
    <x v="0"/>
  </r>
  <r>
    <x v="165"/>
    <x v="87"/>
    <x v="86"/>
    <x v="85"/>
    <x v="138"/>
    <x v="1"/>
    <x v="2"/>
    <x v="91"/>
    <x v="84"/>
    <x v="1"/>
    <x v="1"/>
    <x v="0"/>
    <x v="0"/>
    <x v="3"/>
    <x v="4"/>
    <x v="1"/>
    <x v="2"/>
    <x v="1"/>
    <x v="2"/>
    <x v="1"/>
    <x v="2"/>
    <x v="0"/>
    <x v="1"/>
    <x v="3"/>
    <x v="4"/>
    <x v="86"/>
    <x v="3"/>
    <x v="0"/>
    <x v="0"/>
    <x v="1"/>
    <x v="0"/>
    <x v="0"/>
    <x v="0"/>
    <x v="0"/>
  </r>
  <r>
    <x v="166"/>
    <x v="95"/>
    <x v="94"/>
    <x v="93"/>
    <x v="139"/>
    <x v="1"/>
    <x v="2"/>
    <x v="100"/>
    <x v="92"/>
    <x v="1"/>
    <x v="51"/>
    <x v="0"/>
    <x v="0"/>
    <x v="1"/>
    <x v="1"/>
    <x v="1"/>
    <x v="2"/>
    <x v="1"/>
    <x v="3"/>
    <x v="1"/>
    <x v="2"/>
    <x v="0"/>
    <x v="1"/>
    <x v="1"/>
    <x v="2"/>
    <x v="94"/>
    <x v="1"/>
    <x v="0"/>
    <x v="0"/>
    <x v="1"/>
    <x v="0"/>
    <x v="0"/>
    <x v="0"/>
    <x v="0"/>
  </r>
  <r>
    <x v="167"/>
    <x v="18"/>
    <x v="18"/>
    <x v="18"/>
    <x v="140"/>
    <x v="1"/>
    <x v="1"/>
    <x v="20"/>
    <x v="19"/>
    <x v="1"/>
    <x v="52"/>
    <x v="0"/>
    <x v="0"/>
    <x v="1"/>
    <x v="1"/>
    <x v="1"/>
    <x v="2"/>
    <x v="1"/>
    <x v="2"/>
    <x v="1"/>
    <x v="1"/>
    <x v="34"/>
    <x v="1"/>
    <x v="5"/>
    <x v="2"/>
    <x v="18"/>
    <x v="3"/>
    <x v="3"/>
    <x v="0"/>
    <x v="1"/>
    <x v="0"/>
    <x v="98"/>
    <x v="52"/>
    <x v="0"/>
  </r>
  <r>
    <x v="168"/>
    <x v="16"/>
    <x v="16"/>
    <x v="94"/>
    <x v="141"/>
    <x v="1"/>
    <x v="2"/>
    <x v="18"/>
    <x v="93"/>
    <x v="2"/>
    <x v="0"/>
    <x v="2"/>
    <x v="0"/>
    <x v="1"/>
    <x v="2"/>
    <x v="3"/>
    <x v="2"/>
    <x v="1"/>
    <x v="2"/>
    <x v="1"/>
    <x v="1"/>
    <x v="34"/>
    <x v="1"/>
    <x v="1"/>
    <x v="2"/>
    <x v="16"/>
    <x v="4"/>
    <x v="1"/>
    <x v="4"/>
    <x v="2"/>
    <x v="1"/>
    <x v="99"/>
    <x v="53"/>
    <x v="36"/>
  </r>
  <r>
    <x v="169"/>
    <x v="52"/>
    <x v="51"/>
    <x v="50"/>
    <x v="142"/>
    <x v="1"/>
    <x v="1"/>
    <x v="54"/>
    <x v="54"/>
    <x v="1"/>
    <x v="53"/>
    <x v="0"/>
    <x v="0"/>
    <x v="3"/>
    <x v="1"/>
    <x v="1"/>
    <x v="2"/>
    <x v="1"/>
    <x v="2"/>
    <x v="1"/>
    <x v="1"/>
    <x v="34"/>
    <x v="1"/>
    <x v="3"/>
    <x v="4"/>
    <x v="50"/>
    <x v="7"/>
    <x v="3"/>
    <x v="0"/>
    <x v="1"/>
    <x v="0"/>
    <x v="100"/>
    <x v="54"/>
    <x v="37"/>
  </r>
  <r>
    <x v="170"/>
    <x v="45"/>
    <x v="44"/>
    <x v="44"/>
    <x v="143"/>
    <x v="3"/>
    <x v="2"/>
    <x v="47"/>
    <x v="17"/>
    <x v="1"/>
    <x v="4"/>
    <x v="0"/>
    <x v="0"/>
    <x v="3"/>
    <x v="4"/>
    <x v="1"/>
    <x v="2"/>
    <x v="1"/>
    <x v="2"/>
    <x v="1"/>
    <x v="1"/>
    <x v="41"/>
    <x v="1"/>
    <x v="3"/>
    <x v="4"/>
    <x v="44"/>
    <x v="1"/>
    <x v="3"/>
    <x v="0"/>
    <x v="1"/>
    <x v="0"/>
    <x v="101"/>
    <x v="55"/>
    <x v="38"/>
  </r>
  <r>
    <x v="171"/>
    <x v="96"/>
    <x v="95"/>
    <x v="95"/>
    <x v="144"/>
    <x v="1"/>
    <x v="1"/>
    <x v="101"/>
    <x v="94"/>
    <x v="1"/>
    <x v="2"/>
    <x v="0"/>
    <x v="0"/>
    <x v="1"/>
    <x v="1"/>
    <x v="2"/>
    <x v="2"/>
    <x v="1"/>
    <x v="3"/>
    <x v="1"/>
    <x v="1"/>
    <x v="38"/>
    <x v="2"/>
    <x v="1"/>
    <x v="1"/>
    <x v="95"/>
    <x v="4"/>
    <x v="1"/>
    <x v="4"/>
    <x v="2"/>
    <x v="1"/>
    <x v="102"/>
    <x v="0"/>
    <x v="39"/>
  </r>
  <r>
    <x v="172"/>
    <x v="78"/>
    <x v="77"/>
    <x v="76"/>
    <x v="0"/>
    <x v="1"/>
    <x v="2"/>
    <x v="81"/>
    <x v="30"/>
    <x v="1"/>
    <x v="3"/>
    <x v="0"/>
    <x v="0"/>
    <x v="3"/>
    <x v="1"/>
    <x v="1"/>
    <x v="2"/>
    <x v="1"/>
    <x v="2"/>
    <x v="1"/>
    <x v="2"/>
    <x v="0"/>
    <x v="2"/>
    <x v="3"/>
    <x v="4"/>
    <x v="76"/>
    <x v="1"/>
    <x v="0"/>
    <x v="0"/>
    <x v="1"/>
    <x v="0"/>
    <x v="0"/>
    <x v="0"/>
    <x v="0"/>
  </r>
  <r>
    <x v="173"/>
    <x v="97"/>
    <x v="96"/>
    <x v="96"/>
    <x v="145"/>
    <x v="1"/>
    <x v="1"/>
    <x v="102"/>
    <x v="95"/>
    <x v="1"/>
    <x v="3"/>
    <x v="0"/>
    <x v="0"/>
    <x v="1"/>
    <x v="3"/>
    <x v="2"/>
    <x v="2"/>
    <x v="1"/>
    <x v="1"/>
    <x v="1"/>
    <x v="1"/>
    <x v="41"/>
    <x v="1"/>
    <x v="1"/>
    <x v="2"/>
    <x v="96"/>
    <x v="7"/>
    <x v="1"/>
    <x v="1"/>
    <x v="2"/>
    <x v="1"/>
    <x v="103"/>
    <x v="0"/>
    <x v="40"/>
  </r>
  <r>
    <x v="174"/>
    <x v="98"/>
    <x v="97"/>
    <x v="97"/>
    <x v="146"/>
    <x v="1"/>
    <x v="2"/>
    <x v="103"/>
    <x v="96"/>
    <x v="1"/>
    <x v="54"/>
    <x v="0"/>
    <x v="0"/>
    <x v="1"/>
    <x v="2"/>
    <x v="3"/>
    <x v="2"/>
    <x v="1"/>
    <x v="1"/>
    <x v="1"/>
    <x v="1"/>
    <x v="41"/>
    <x v="1"/>
    <x v="1"/>
    <x v="2"/>
    <x v="97"/>
    <x v="7"/>
    <x v="3"/>
    <x v="0"/>
    <x v="1"/>
    <x v="0"/>
    <x v="104"/>
    <x v="56"/>
    <x v="41"/>
  </r>
  <r>
    <x v="175"/>
    <x v="16"/>
    <x v="16"/>
    <x v="16"/>
    <x v="0"/>
    <x v="1"/>
    <x v="2"/>
    <x v="18"/>
    <x v="97"/>
    <x v="2"/>
    <x v="0"/>
    <x v="2"/>
    <x v="0"/>
    <x v="3"/>
    <x v="4"/>
    <x v="1"/>
    <x v="2"/>
    <x v="1"/>
    <x v="2"/>
    <x v="1"/>
    <x v="2"/>
    <x v="0"/>
    <x v="2"/>
    <x v="3"/>
    <x v="4"/>
    <x v="16"/>
    <x v="1"/>
    <x v="0"/>
    <x v="0"/>
    <x v="1"/>
    <x v="0"/>
    <x v="0"/>
    <x v="0"/>
    <x v="0"/>
  </r>
  <r>
    <x v="176"/>
    <x v="99"/>
    <x v="98"/>
    <x v="98"/>
    <x v="147"/>
    <x v="1"/>
    <x v="2"/>
    <x v="104"/>
    <x v="98"/>
    <x v="1"/>
    <x v="9"/>
    <x v="0"/>
    <x v="0"/>
    <x v="2"/>
    <x v="3"/>
    <x v="3"/>
    <x v="2"/>
    <x v="1"/>
    <x v="3"/>
    <x v="1"/>
    <x v="1"/>
    <x v="41"/>
    <x v="2"/>
    <x v="1"/>
    <x v="2"/>
    <x v="98"/>
    <x v="2"/>
    <x v="3"/>
    <x v="0"/>
    <x v="1"/>
    <x v="0"/>
    <x v="105"/>
    <x v="57"/>
    <x v="42"/>
  </r>
  <r>
    <x v="177"/>
    <x v="100"/>
    <x v="99"/>
    <x v="99"/>
    <x v="148"/>
    <x v="1"/>
    <x v="4"/>
    <x v="105"/>
    <x v="99"/>
    <x v="1"/>
    <x v="55"/>
    <x v="0"/>
    <x v="0"/>
    <x v="1"/>
    <x v="1"/>
    <x v="1"/>
    <x v="2"/>
    <x v="1"/>
    <x v="2"/>
    <x v="1"/>
    <x v="2"/>
    <x v="0"/>
    <x v="1"/>
    <x v="5"/>
    <x v="2"/>
    <x v="99"/>
    <x v="7"/>
    <x v="0"/>
    <x v="0"/>
    <x v="1"/>
    <x v="0"/>
    <x v="0"/>
    <x v="0"/>
    <x v="0"/>
  </r>
  <r>
    <x v="178"/>
    <x v="101"/>
    <x v="100"/>
    <x v="100"/>
    <x v="149"/>
    <x v="2"/>
    <x v="1"/>
    <x v="106"/>
    <x v="100"/>
    <x v="1"/>
    <x v="56"/>
    <x v="0"/>
    <x v="0"/>
    <x v="1"/>
    <x v="3"/>
    <x v="3"/>
    <x v="2"/>
    <x v="2"/>
    <x v="1"/>
    <x v="1"/>
    <x v="2"/>
    <x v="38"/>
    <x v="1"/>
    <x v="5"/>
    <x v="2"/>
    <x v="100"/>
    <x v="7"/>
    <x v="3"/>
    <x v="0"/>
    <x v="1"/>
    <x v="0"/>
    <x v="106"/>
    <x v="43"/>
    <x v="43"/>
  </r>
  <r>
    <x v="179"/>
    <x v="97"/>
    <x v="96"/>
    <x v="96"/>
    <x v="150"/>
    <x v="1"/>
    <x v="1"/>
    <x v="102"/>
    <x v="95"/>
    <x v="1"/>
    <x v="3"/>
    <x v="0"/>
    <x v="0"/>
    <x v="3"/>
    <x v="3"/>
    <x v="2"/>
    <x v="2"/>
    <x v="1"/>
    <x v="2"/>
    <x v="1"/>
    <x v="1"/>
    <x v="41"/>
    <x v="2"/>
    <x v="3"/>
    <x v="4"/>
    <x v="96"/>
    <x v="5"/>
    <x v="1"/>
    <x v="1"/>
    <x v="1"/>
    <x v="0"/>
    <x v="107"/>
    <x v="0"/>
    <x v="0"/>
  </r>
  <r>
    <x v="180"/>
    <x v="90"/>
    <x v="89"/>
    <x v="88"/>
    <x v="151"/>
    <x v="1"/>
    <x v="2"/>
    <x v="94"/>
    <x v="10"/>
    <x v="1"/>
    <x v="15"/>
    <x v="0"/>
    <x v="0"/>
    <x v="3"/>
    <x v="1"/>
    <x v="1"/>
    <x v="2"/>
    <x v="1"/>
    <x v="2"/>
    <x v="1"/>
    <x v="2"/>
    <x v="0"/>
    <x v="1"/>
    <x v="3"/>
    <x v="4"/>
    <x v="89"/>
    <x v="5"/>
    <x v="0"/>
    <x v="0"/>
    <x v="1"/>
    <x v="0"/>
    <x v="0"/>
    <x v="0"/>
    <x v="44"/>
  </r>
  <r>
    <x v="181"/>
    <x v="86"/>
    <x v="85"/>
    <x v="84"/>
    <x v="0"/>
    <x v="1"/>
    <x v="2"/>
    <x v="90"/>
    <x v="101"/>
    <x v="6"/>
    <x v="0"/>
    <x v="0"/>
    <x v="1"/>
    <x v="3"/>
    <x v="1"/>
    <x v="1"/>
    <x v="2"/>
    <x v="1"/>
    <x v="3"/>
    <x v="1"/>
    <x v="2"/>
    <x v="0"/>
    <x v="2"/>
    <x v="3"/>
    <x v="4"/>
    <x v="85"/>
    <x v="1"/>
    <x v="0"/>
    <x v="0"/>
    <x v="1"/>
    <x v="0"/>
    <x v="0"/>
    <x v="0"/>
    <x v="0"/>
  </r>
  <r>
    <x v="182"/>
    <x v="97"/>
    <x v="96"/>
    <x v="96"/>
    <x v="0"/>
    <x v="1"/>
    <x v="1"/>
    <x v="102"/>
    <x v="95"/>
    <x v="1"/>
    <x v="3"/>
    <x v="0"/>
    <x v="0"/>
    <x v="3"/>
    <x v="3"/>
    <x v="3"/>
    <x v="2"/>
    <x v="1"/>
    <x v="2"/>
    <x v="1"/>
    <x v="1"/>
    <x v="38"/>
    <x v="2"/>
    <x v="3"/>
    <x v="4"/>
    <x v="96"/>
    <x v="5"/>
    <x v="1"/>
    <x v="7"/>
    <x v="1"/>
    <x v="0"/>
    <x v="108"/>
    <x v="58"/>
    <x v="45"/>
  </r>
  <r>
    <x v="183"/>
    <x v="102"/>
    <x v="101"/>
    <x v="101"/>
    <x v="152"/>
    <x v="1"/>
    <x v="2"/>
    <x v="107"/>
    <x v="102"/>
    <x v="1"/>
    <x v="15"/>
    <x v="0"/>
    <x v="0"/>
    <x v="1"/>
    <x v="1"/>
    <x v="1"/>
    <x v="2"/>
    <x v="1"/>
    <x v="1"/>
    <x v="1"/>
    <x v="2"/>
    <x v="0"/>
    <x v="1"/>
    <x v="5"/>
    <x v="3"/>
    <x v="101"/>
    <x v="5"/>
    <x v="0"/>
    <x v="0"/>
    <x v="1"/>
    <x v="0"/>
    <x v="0"/>
    <x v="0"/>
    <x v="0"/>
  </r>
  <r>
    <x v="184"/>
    <x v="103"/>
    <x v="102"/>
    <x v="102"/>
    <x v="153"/>
    <x v="1"/>
    <x v="2"/>
    <x v="108"/>
    <x v="103"/>
    <x v="1"/>
    <x v="57"/>
    <x v="0"/>
    <x v="0"/>
    <x v="1"/>
    <x v="1"/>
    <x v="1"/>
    <x v="2"/>
    <x v="1"/>
    <x v="1"/>
    <x v="1"/>
    <x v="2"/>
    <x v="0"/>
    <x v="1"/>
    <x v="2"/>
    <x v="2"/>
    <x v="102"/>
    <x v="2"/>
    <x v="0"/>
    <x v="0"/>
    <x v="1"/>
    <x v="0"/>
    <x v="0"/>
    <x v="0"/>
    <x v="0"/>
  </r>
  <r>
    <x v="185"/>
    <x v="96"/>
    <x v="95"/>
    <x v="95"/>
    <x v="154"/>
    <x v="1"/>
    <x v="2"/>
    <x v="101"/>
    <x v="94"/>
    <x v="1"/>
    <x v="2"/>
    <x v="0"/>
    <x v="0"/>
    <x v="3"/>
    <x v="1"/>
    <x v="1"/>
    <x v="2"/>
    <x v="1"/>
    <x v="3"/>
    <x v="1"/>
    <x v="2"/>
    <x v="0"/>
    <x v="2"/>
    <x v="3"/>
    <x v="4"/>
    <x v="95"/>
    <x v="1"/>
    <x v="0"/>
    <x v="0"/>
    <x v="1"/>
    <x v="0"/>
    <x v="0"/>
    <x v="0"/>
    <x v="0"/>
  </r>
  <r>
    <x v="186"/>
    <x v="104"/>
    <x v="103"/>
    <x v="103"/>
    <x v="155"/>
    <x v="1"/>
    <x v="1"/>
    <x v="109"/>
    <x v="10"/>
    <x v="2"/>
    <x v="0"/>
    <x v="6"/>
    <x v="0"/>
    <x v="1"/>
    <x v="2"/>
    <x v="3"/>
    <x v="1"/>
    <x v="1"/>
    <x v="2"/>
    <x v="1"/>
    <x v="1"/>
    <x v="42"/>
    <x v="1"/>
    <x v="1"/>
    <x v="2"/>
    <x v="103"/>
    <x v="2"/>
    <x v="1"/>
    <x v="1"/>
    <x v="2"/>
    <x v="1"/>
    <x v="109"/>
    <x v="0"/>
    <x v="0"/>
  </r>
  <r>
    <x v="187"/>
    <x v="45"/>
    <x v="44"/>
    <x v="44"/>
    <x v="156"/>
    <x v="3"/>
    <x v="2"/>
    <x v="47"/>
    <x v="93"/>
    <x v="2"/>
    <x v="0"/>
    <x v="7"/>
    <x v="0"/>
    <x v="1"/>
    <x v="2"/>
    <x v="3"/>
    <x v="2"/>
    <x v="1"/>
    <x v="2"/>
    <x v="1"/>
    <x v="1"/>
    <x v="42"/>
    <x v="1"/>
    <x v="1"/>
    <x v="9"/>
    <x v="44"/>
    <x v="1"/>
    <x v="3"/>
    <x v="0"/>
    <x v="1"/>
    <x v="0"/>
    <x v="110"/>
    <x v="0"/>
    <x v="0"/>
  </r>
  <r>
    <x v="188"/>
    <x v="105"/>
    <x v="104"/>
    <x v="104"/>
    <x v="157"/>
    <x v="3"/>
    <x v="1"/>
    <x v="110"/>
    <x v="104"/>
    <x v="1"/>
    <x v="58"/>
    <x v="0"/>
    <x v="0"/>
    <x v="1"/>
    <x v="1"/>
    <x v="2"/>
    <x v="1"/>
    <x v="2"/>
    <x v="1"/>
    <x v="1"/>
    <x v="1"/>
    <x v="43"/>
    <x v="1"/>
    <x v="1"/>
    <x v="2"/>
    <x v="104"/>
    <x v="7"/>
    <x v="1"/>
    <x v="7"/>
    <x v="1"/>
    <x v="0"/>
    <x v="111"/>
    <x v="59"/>
    <x v="46"/>
  </r>
  <r>
    <x v="189"/>
    <x v="106"/>
    <x v="105"/>
    <x v="105"/>
    <x v="158"/>
    <x v="3"/>
    <x v="1"/>
    <x v="111"/>
    <x v="105"/>
    <x v="2"/>
    <x v="0"/>
    <x v="5"/>
    <x v="0"/>
    <x v="1"/>
    <x v="2"/>
    <x v="3"/>
    <x v="2"/>
    <x v="1"/>
    <x v="2"/>
    <x v="1"/>
    <x v="1"/>
    <x v="42"/>
    <x v="2"/>
    <x v="1"/>
    <x v="2"/>
    <x v="105"/>
    <x v="1"/>
    <x v="1"/>
    <x v="4"/>
    <x v="1"/>
    <x v="0"/>
    <x v="112"/>
    <x v="0"/>
    <x v="0"/>
  </r>
  <r>
    <x v="190"/>
    <x v="107"/>
    <x v="106"/>
    <x v="0"/>
    <x v="159"/>
    <x v="1"/>
    <x v="2"/>
    <x v="112"/>
    <x v="106"/>
    <x v="1"/>
    <x v="31"/>
    <x v="0"/>
    <x v="0"/>
    <x v="1"/>
    <x v="2"/>
    <x v="3"/>
    <x v="2"/>
    <x v="1"/>
    <x v="2"/>
    <x v="1"/>
    <x v="1"/>
    <x v="42"/>
    <x v="1"/>
    <x v="5"/>
    <x v="2"/>
    <x v="106"/>
    <x v="2"/>
    <x v="3"/>
    <x v="0"/>
    <x v="1"/>
    <x v="0"/>
    <x v="113"/>
    <x v="0"/>
    <x v="47"/>
  </r>
  <r>
    <x v="191"/>
    <x v="97"/>
    <x v="96"/>
    <x v="96"/>
    <x v="0"/>
    <x v="3"/>
    <x v="1"/>
    <x v="102"/>
    <x v="95"/>
    <x v="1"/>
    <x v="3"/>
    <x v="0"/>
    <x v="0"/>
    <x v="3"/>
    <x v="1"/>
    <x v="1"/>
    <x v="2"/>
    <x v="1"/>
    <x v="2"/>
    <x v="1"/>
    <x v="2"/>
    <x v="0"/>
    <x v="2"/>
    <x v="3"/>
    <x v="4"/>
    <x v="96"/>
    <x v="7"/>
    <x v="0"/>
    <x v="0"/>
    <x v="1"/>
    <x v="0"/>
    <x v="0"/>
    <x v="0"/>
    <x v="0"/>
  </r>
  <r>
    <x v="192"/>
    <x v="104"/>
    <x v="103"/>
    <x v="103"/>
    <x v="160"/>
    <x v="1"/>
    <x v="1"/>
    <x v="109"/>
    <x v="10"/>
    <x v="2"/>
    <x v="0"/>
    <x v="6"/>
    <x v="0"/>
    <x v="3"/>
    <x v="4"/>
    <x v="1"/>
    <x v="2"/>
    <x v="1"/>
    <x v="2"/>
    <x v="1"/>
    <x v="2"/>
    <x v="0"/>
    <x v="2"/>
    <x v="3"/>
    <x v="4"/>
    <x v="103"/>
    <x v="5"/>
    <x v="0"/>
    <x v="0"/>
    <x v="1"/>
    <x v="0"/>
    <x v="0"/>
    <x v="0"/>
    <x v="0"/>
  </r>
  <r>
    <x v="193"/>
    <x v="106"/>
    <x v="105"/>
    <x v="105"/>
    <x v="0"/>
    <x v="3"/>
    <x v="1"/>
    <x v="111"/>
    <x v="105"/>
    <x v="2"/>
    <x v="0"/>
    <x v="5"/>
    <x v="0"/>
    <x v="3"/>
    <x v="4"/>
    <x v="1"/>
    <x v="2"/>
    <x v="1"/>
    <x v="2"/>
    <x v="1"/>
    <x v="2"/>
    <x v="0"/>
    <x v="2"/>
    <x v="3"/>
    <x v="4"/>
    <x v="105"/>
    <x v="1"/>
    <x v="0"/>
    <x v="0"/>
    <x v="1"/>
    <x v="0"/>
    <x v="0"/>
    <x v="0"/>
    <x v="0"/>
  </r>
  <r>
    <x v="194"/>
    <x v="108"/>
    <x v="107"/>
    <x v="106"/>
    <x v="161"/>
    <x v="1"/>
    <x v="2"/>
    <x v="113"/>
    <x v="107"/>
    <x v="1"/>
    <x v="31"/>
    <x v="0"/>
    <x v="0"/>
    <x v="1"/>
    <x v="1"/>
    <x v="1"/>
    <x v="2"/>
    <x v="1"/>
    <x v="1"/>
    <x v="1"/>
    <x v="1"/>
    <x v="44"/>
    <x v="1"/>
    <x v="6"/>
    <x v="3"/>
    <x v="107"/>
    <x v="5"/>
    <x v="3"/>
    <x v="0"/>
    <x v="1"/>
    <x v="0"/>
    <x v="114"/>
    <x v="60"/>
    <x v="0"/>
  </r>
  <r>
    <x v="195"/>
    <x v="109"/>
    <x v="108"/>
    <x v="107"/>
    <x v="162"/>
    <x v="1"/>
    <x v="2"/>
    <x v="114"/>
    <x v="99"/>
    <x v="1"/>
    <x v="27"/>
    <x v="0"/>
    <x v="0"/>
    <x v="1"/>
    <x v="3"/>
    <x v="3"/>
    <x v="2"/>
    <x v="2"/>
    <x v="2"/>
    <x v="1"/>
    <x v="1"/>
    <x v="45"/>
    <x v="1"/>
    <x v="6"/>
    <x v="2"/>
    <x v="108"/>
    <x v="7"/>
    <x v="1"/>
    <x v="4"/>
    <x v="1"/>
    <x v="0"/>
    <x v="115"/>
    <x v="61"/>
    <x v="48"/>
  </r>
  <r>
    <x v="196"/>
    <x v="110"/>
    <x v="109"/>
    <x v="108"/>
    <x v="163"/>
    <x v="1"/>
    <x v="2"/>
    <x v="115"/>
    <x v="108"/>
    <x v="1"/>
    <x v="59"/>
    <x v="0"/>
    <x v="0"/>
    <x v="1"/>
    <x v="2"/>
    <x v="3"/>
    <x v="2"/>
    <x v="2"/>
    <x v="1"/>
    <x v="1"/>
    <x v="1"/>
    <x v="45"/>
    <x v="1"/>
    <x v="6"/>
    <x v="2"/>
    <x v="109"/>
    <x v="7"/>
    <x v="1"/>
    <x v="1"/>
    <x v="1"/>
    <x v="0"/>
    <x v="116"/>
    <x v="62"/>
    <x v="49"/>
  </r>
  <r>
    <x v="197"/>
    <x v="111"/>
    <x v="110"/>
    <x v="109"/>
    <x v="164"/>
    <x v="1"/>
    <x v="3"/>
    <x v="116"/>
    <x v="10"/>
    <x v="1"/>
    <x v="9"/>
    <x v="0"/>
    <x v="0"/>
    <x v="1"/>
    <x v="3"/>
    <x v="3"/>
    <x v="2"/>
    <x v="1"/>
    <x v="2"/>
    <x v="1"/>
    <x v="1"/>
    <x v="45"/>
    <x v="1"/>
    <x v="2"/>
    <x v="3"/>
    <x v="110"/>
    <x v="5"/>
    <x v="1"/>
    <x v="1"/>
    <x v="2"/>
    <x v="1"/>
    <x v="117"/>
    <x v="0"/>
    <x v="0"/>
  </r>
  <r>
    <x v="198"/>
    <x v="84"/>
    <x v="83"/>
    <x v="82"/>
    <x v="165"/>
    <x v="1"/>
    <x v="1"/>
    <x v="87"/>
    <x v="109"/>
    <x v="1"/>
    <x v="60"/>
    <x v="0"/>
    <x v="0"/>
    <x v="1"/>
    <x v="3"/>
    <x v="3"/>
    <x v="2"/>
    <x v="2"/>
    <x v="1"/>
    <x v="1"/>
    <x v="1"/>
    <x v="46"/>
    <x v="1"/>
    <x v="1"/>
    <x v="2"/>
    <x v="83"/>
    <x v="5"/>
    <x v="1"/>
    <x v="1"/>
    <x v="1"/>
    <x v="0"/>
    <x v="118"/>
    <x v="0"/>
    <x v="50"/>
  </r>
  <r>
    <x v="199"/>
    <x v="112"/>
    <x v="111"/>
    <x v="110"/>
    <x v="166"/>
    <x v="3"/>
    <x v="2"/>
    <x v="117"/>
    <x v="52"/>
    <x v="1"/>
    <x v="2"/>
    <x v="0"/>
    <x v="0"/>
    <x v="1"/>
    <x v="3"/>
    <x v="2"/>
    <x v="1"/>
    <x v="1"/>
    <x v="3"/>
    <x v="1"/>
    <x v="1"/>
    <x v="45"/>
    <x v="1"/>
    <x v="1"/>
    <x v="2"/>
    <x v="111"/>
    <x v="5"/>
    <x v="1"/>
    <x v="1"/>
    <x v="1"/>
    <x v="0"/>
    <x v="119"/>
    <x v="0"/>
    <x v="0"/>
  </r>
  <r>
    <x v="200"/>
    <x v="113"/>
    <x v="112"/>
    <x v="111"/>
    <x v="167"/>
    <x v="3"/>
    <x v="2"/>
    <x v="118"/>
    <x v="110"/>
    <x v="1"/>
    <x v="15"/>
    <x v="0"/>
    <x v="0"/>
    <x v="1"/>
    <x v="5"/>
    <x v="1"/>
    <x v="1"/>
    <x v="1"/>
    <x v="2"/>
    <x v="1"/>
    <x v="2"/>
    <x v="0"/>
    <x v="1"/>
    <x v="1"/>
    <x v="4"/>
    <x v="112"/>
    <x v="5"/>
    <x v="0"/>
    <x v="0"/>
    <x v="1"/>
    <x v="0"/>
    <x v="0"/>
    <x v="0"/>
    <x v="51"/>
  </r>
  <r>
    <x v="201"/>
    <x v="114"/>
    <x v="113"/>
    <x v="112"/>
    <x v="168"/>
    <x v="1"/>
    <x v="3"/>
    <x v="119"/>
    <x v="107"/>
    <x v="1"/>
    <x v="57"/>
    <x v="0"/>
    <x v="0"/>
    <x v="1"/>
    <x v="1"/>
    <x v="1"/>
    <x v="2"/>
    <x v="1"/>
    <x v="3"/>
    <x v="1"/>
    <x v="2"/>
    <x v="0"/>
    <x v="2"/>
    <x v="1"/>
    <x v="2"/>
    <x v="113"/>
    <x v="5"/>
    <x v="0"/>
    <x v="0"/>
    <x v="1"/>
    <x v="0"/>
    <x v="0"/>
    <x v="0"/>
    <x v="0"/>
  </r>
  <r>
    <x v="202"/>
    <x v="115"/>
    <x v="114"/>
    <x v="113"/>
    <x v="169"/>
    <x v="2"/>
    <x v="2"/>
    <x v="120"/>
    <x v="111"/>
    <x v="1"/>
    <x v="15"/>
    <x v="0"/>
    <x v="0"/>
    <x v="1"/>
    <x v="1"/>
    <x v="2"/>
    <x v="2"/>
    <x v="1"/>
    <x v="3"/>
    <x v="1"/>
    <x v="1"/>
    <x v="46"/>
    <x v="1"/>
    <x v="1"/>
    <x v="2"/>
    <x v="114"/>
    <x v="4"/>
    <x v="3"/>
    <x v="0"/>
    <x v="1"/>
    <x v="0"/>
    <x v="120"/>
    <x v="0"/>
    <x v="0"/>
  </r>
  <r>
    <x v="203"/>
    <x v="116"/>
    <x v="115"/>
    <x v="114"/>
    <x v="170"/>
    <x v="1"/>
    <x v="1"/>
    <x v="121"/>
    <x v="112"/>
    <x v="1"/>
    <x v="15"/>
    <x v="0"/>
    <x v="0"/>
    <x v="1"/>
    <x v="1"/>
    <x v="1"/>
    <x v="2"/>
    <x v="1"/>
    <x v="2"/>
    <x v="1"/>
    <x v="2"/>
    <x v="0"/>
    <x v="2"/>
    <x v="1"/>
    <x v="2"/>
    <x v="115"/>
    <x v="4"/>
    <x v="0"/>
    <x v="0"/>
    <x v="1"/>
    <x v="0"/>
    <x v="0"/>
    <x v="0"/>
    <x v="0"/>
  </r>
  <r>
    <x v="204"/>
    <x v="117"/>
    <x v="116"/>
    <x v="115"/>
    <x v="171"/>
    <x v="1"/>
    <x v="2"/>
    <x v="122"/>
    <x v="50"/>
    <x v="1"/>
    <x v="15"/>
    <x v="0"/>
    <x v="0"/>
    <x v="1"/>
    <x v="3"/>
    <x v="2"/>
    <x v="2"/>
    <x v="1"/>
    <x v="2"/>
    <x v="1"/>
    <x v="1"/>
    <x v="12"/>
    <x v="1"/>
    <x v="1"/>
    <x v="2"/>
    <x v="116"/>
    <x v="5"/>
    <x v="0"/>
    <x v="0"/>
    <x v="1"/>
    <x v="0"/>
    <x v="0"/>
    <x v="0"/>
    <x v="0"/>
  </r>
  <r>
    <x v="205"/>
    <x v="109"/>
    <x v="108"/>
    <x v="107"/>
    <x v="172"/>
    <x v="1"/>
    <x v="2"/>
    <x v="114"/>
    <x v="99"/>
    <x v="2"/>
    <x v="0"/>
    <x v="5"/>
    <x v="0"/>
    <x v="3"/>
    <x v="2"/>
    <x v="3"/>
    <x v="3"/>
    <x v="1"/>
    <x v="2"/>
    <x v="1"/>
    <x v="1"/>
    <x v="47"/>
    <x v="1"/>
    <x v="3"/>
    <x v="4"/>
    <x v="108"/>
    <x v="1"/>
    <x v="1"/>
    <x v="4"/>
    <x v="1"/>
    <x v="0"/>
    <x v="121"/>
    <x v="63"/>
    <x v="0"/>
  </r>
  <r>
    <x v="206"/>
    <x v="118"/>
    <x v="117"/>
    <x v="116"/>
    <x v="173"/>
    <x v="1"/>
    <x v="2"/>
    <x v="123"/>
    <x v="10"/>
    <x v="1"/>
    <x v="15"/>
    <x v="0"/>
    <x v="0"/>
    <x v="1"/>
    <x v="1"/>
    <x v="1"/>
    <x v="2"/>
    <x v="1"/>
    <x v="3"/>
    <x v="1"/>
    <x v="1"/>
    <x v="47"/>
    <x v="1"/>
    <x v="1"/>
    <x v="2"/>
    <x v="117"/>
    <x v="4"/>
    <x v="1"/>
    <x v="2"/>
    <x v="2"/>
    <x v="1"/>
    <x v="122"/>
    <x v="64"/>
    <x v="52"/>
  </r>
  <r>
    <x v="207"/>
    <x v="110"/>
    <x v="109"/>
    <x v="108"/>
    <x v="0"/>
    <x v="1"/>
    <x v="2"/>
    <x v="115"/>
    <x v="108"/>
    <x v="1"/>
    <x v="15"/>
    <x v="0"/>
    <x v="0"/>
    <x v="3"/>
    <x v="2"/>
    <x v="3"/>
    <x v="2"/>
    <x v="2"/>
    <x v="2"/>
    <x v="1"/>
    <x v="1"/>
    <x v="47"/>
    <x v="2"/>
    <x v="3"/>
    <x v="4"/>
    <x v="109"/>
    <x v="5"/>
    <x v="3"/>
    <x v="0"/>
    <x v="1"/>
    <x v="0"/>
    <x v="123"/>
    <x v="65"/>
    <x v="0"/>
  </r>
  <r>
    <x v="208"/>
    <x v="112"/>
    <x v="118"/>
    <x v="110"/>
    <x v="0"/>
    <x v="3"/>
    <x v="2"/>
    <x v="117"/>
    <x v="52"/>
    <x v="1"/>
    <x v="2"/>
    <x v="0"/>
    <x v="0"/>
    <x v="3"/>
    <x v="4"/>
    <x v="1"/>
    <x v="2"/>
    <x v="1"/>
    <x v="2"/>
    <x v="1"/>
    <x v="2"/>
    <x v="0"/>
    <x v="2"/>
    <x v="3"/>
    <x v="4"/>
    <x v="111"/>
    <x v="5"/>
    <x v="0"/>
    <x v="0"/>
    <x v="1"/>
    <x v="0"/>
    <x v="0"/>
    <x v="0"/>
    <x v="0"/>
  </r>
  <r>
    <x v="209"/>
    <x v="111"/>
    <x v="110"/>
    <x v="109"/>
    <x v="174"/>
    <x v="1"/>
    <x v="2"/>
    <x v="116"/>
    <x v="10"/>
    <x v="1"/>
    <x v="9"/>
    <x v="0"/>
    <x v="0"/>
    <x v="3"/>
    <x v="1"/>
    <x v="1"/>
    <x v="2"/>
    <x v="1"/>
    <x v="2"/>
    <x v="1"/>
    <x v="2"/>
    <x v="0"/>
    <x v="2"/>
    <x v="3"/>
    <x v="4"/>
    <x v="110"/>
    <x v="5"/>
    <x v="0"/>
    <x v="0"/>
    <x v="1"/>
    <x v="0"/>
    <x v="0"/>
    <x v="0"/>
    <x v="0"/>
  </r>
  <r>
    <x v="210"/>
    <x v="119"/>
    <x v="119"/>
    <x v="117"/>
    <x v="175"/>
    <x v="1"/>
    <x v="2"/>
    <x v="124"/>
    <x v="40"/>
    <x v="1"/>
    <x v="22"/>
    <x v="0"/>
    <x v="0"/>
    <x v="1"/>
    <x v="1"/>
    <x v="1"/>
    <x v="1"/>
    <x v="1"/>
    <x v="3"/>
    <x v="2"/>
    <x v="1"/>
    <x v="48"/>
    <x v="1"/>
    <x v="1"/>
    <x v="2"/>
    <x v="118"/>
    <x v="4"/>
    <x v="1"/>
    <x v="2"/>
    <x v="2"/>
    <x v="1"/>
    <x v="124"/>
    <x v="0"/>
    <x v="17"/>
  </r>
  <r>
    <x v="211"/>
    <x v="120"/>
    <x v="120"/>
    <x v="118"/>
    <x v="176"/>
    <x v="2"/>
    <x v="2"/>
    <x v="125"/>
    <x v="10"/>
    <x v="1"/>
    <x v="31"/>
    <x v="0"/>
    <x v="0"/>
    <x v="1"/>
    <x v="1"/>
    <x v="1"/>
    <x v="2"/>
    <x v="1"/>
    <x v="3"/>
    <x v="1"/>
    <x v="1"/>
    <x v="46"/>
    <x v="1"/>
    <x v="1"/>
    <x v="10"/>
    <x v="119"/>
    <x v="1"/>
    <x v="3"/>
    <x v="0"/>
    <x v="1"/>
    <x v="0"/>
    <x v="125"/>
    <x v="66"/>
    <x v="53"/>
  </r>
  <r>
    <x v="212"/>
    <x v="118"/>
    <x v="117"/>
    <x v="116"/>
    <x v="177"/>
    <x v="1"/>
    <x v="2"/>
    <x v="123"/>
    <x v="10"/>
    <x v="1"/>
    <x v="15"/>
    <x v="0"/>
    <x v="0"/>
    <x v="3"/>
    <x v="1"/>
    <x v="1"/>
    <x v="2"/>
    <x v="1"/>
    <x v="3"/>
    <x v="1"/>
    <x v="2"/>
    <x v="0"/>
    <x v="1"/>
    <x v="3"/>
    <x v="4"/>
    <x v="117"/>
    <x v="4"/>
    <x v="0"/>
    <x v="0"/>
    <x v="1"/>
    <x v="0"/>
    <x v="0"/>
    <x v="0"/>
    <x v="0"/>
  </r>
  <r>
    <x v="213"/>
    <x v="15"/>
    <x v="15"/>
    <x v="15"/>
    <x v="178"/>
    <x v="1"/>
    <x v="2"/>
    <x v="17"/>
    <x v="16"/>
    <x v="1"/>
    <x v="44"/>
    <x v="0"/>
    <x v="0"/>
    <x v="1"/>
    <x v="2"/>
    <x v="3"/>
    <x v="2"/>
    <x v="1"/>
    <x v="2"/>
    <x v="1"/>
    <x v="1"/>
    <x v="46"/>
    <x v="2"/>
    <x v="1"/>
    <x v="2"/>
    <x v="15"/>
    <x v="3"/>
    <x v="1"/>
    <x v="2"/>
    <x v="1"/>
    <x v="0"/>
    <x v="126"/>
    <x v="0"/>
    <x v="54"/>
  </r>
  <r>
    <x v="214"/>
    <x v="109"/>
    <x v="108"/>
    <x v="107"/>
    <x v="0"/>
    <x v="1"/>
    <x v="2"/>
    <x v="114"/>
    <x v="99"/>
    <x v="2"/>
    <x v="0"/>
    <x v="2"/>
    <x v="0"/>
    <x v="3"/>
    <x v="4"/>
    <x v="1"/>
    <x v="2"/>
    <x v="1"/>
    <x v="2"/>
    <x v="1"/>
    <x v="2"/>
    <x v="0"/>
    <x v="2"/>
    <x v="3"/>
    <x v="4"/>
    <x v="108"/>
    <x v="1"/>
    <x v="0"/>
    <x v="0"/>
    <x v="1"/>
    <x v="0"/>
    <x v="0"/>
    <x v="0"/>
    <x v="0"/>
  </r>
  <r>
    <x v="215"/>
    <x v="121"/>
    <x v="121"/>
    <x v="119"/>
    <x v="179"/>
    <x v="2"/>
    <x v="1"/>
    <x v="126"/>
    <x v="113"/>
    <x v="1"/>
    <x v="61"/>
    <x v="0"/>
    <x v="0"/>
    <x v="1"/>
    <x v="1"/>
    <x v="1"/>
    <x v="2"/>
    <x v="2"/>
    <x v="1"/>
    <x v="1"/>
    <x v="2"/>
    <x v="0"/>
    <x v="1"/>
    <x v="5"/>
    <x v="11"/>
    <x v="120"/>
    <x v="3"/>
    <x v="0"/>
    <x v="0"/>
    <x v="1"/>
    <x v="0"/>
    <x v="0"/>
    <x v="67"/>
    <x v="55"/>
  </r>
  <r>
    <x v="216"/>
    <x v="84"/>
    <x v="83"/>
    <x v="82"/>
    <x v="0"/>
    <x v="1"/>
    <x v="1"/>
    <x v="87"/>
    <x v="80"/>
    <x v="1"/>
    <x v="33"/>
    <x v="0"/>
    <x v="0"/>
    <x v="3"/>
    <x v="3"/>
    <x v="3"/>
    <x v="2"/>
    <x v="2"/>
    <x v="1"/>
    <x v="1"/>
    <x v="1"/>
    <x v="49"/>
    <x v="2"/>
    <x v="3"/>
    <x v="4"/>
    <x v="83"/>
    <x v="5"/>
    <x v="1"/>
    <x v="4"/>
    <x v="2"/>
    <x v="1"/>
    <x v="127"/>
    <x v="0"/>
    <x v="50"/>
  </r>
  <r>
    <x v="217"/>
    <x v="15"/>
    <x v="15"/>
    <x v="15"/>
    <x v="0"/>
    <x v="1"/>
    <x v="2"/>
    <x v="17"/>
    <x v="16"/>
    <x v="1"/>
    <x v="62"/>
    <x v="0"/>
    <x v="0"/>
    <x v="3"/>
    <x v="1"/>
    <x v="1"/>
    <x v="2"/>
    <x v="1"/>
    <x v="2"/>
    <x v="1"/>
    <x v="2"/>
    <x v="0"/>
    <x v="2"/>
    <x v="3"/>
    <x v="4"/>
    <x v="15"/>
    <x v="4"/>
    <x v="0"/>
    <x v="0"/>
    <x v="1"/>
    <x v="0"/>
    <x v="0"/>
    <x v="0"/>
    <x v="0"/>
  </r>
  <r>
    <x v="218"/>
    <x v="122"/>
    <x v="122"/>
    <x v="120"/>
    <x v="180"/>
    <x v="1"/>
    <x v="2"/>
    <x v="127"/>
    <x v="37"/>
    <x v="1"/>
    <x v="63"/>
    <x v="0"/>
    <x v="0"/>
    <x v="1"/>
    <x v="3"/>
    <x v="2"/>
    <x v="2"/>
    <x v="1"/>
    <x v="3"/>
    <x v="1"/>
    <x v="1"/>
    <x v="48"/>
    <x v="1"/>
    <x v="1"/>
    <x v="2"/>
    <x v="121"/>
    <x v="5"/>
    <x v="3"/>
    <x v="0"/>
    <x v="1"/>
    <x v="0"/>
    <x v="128"/>
    <x v="0"/>
    <x v="56"/>
  </r>
  <r>
    <x v="219"/>
    <x v="123"/>
    <x v="123"/>
    <x v="121"/>
    <x v="181"/>
    <x v="1"/>
    <x v="1"/>
    <x v="128"/>
    <x v="10"/>
    <x v="1"/>
    <x v="22"/>
    <x v="0"/>
    <x v="0"/>
    <x v="1"/>
    <x v="1"/>
    <x v="1"/>
    <x v="2"/>
    <x v="2"/>
    <x v="1"/>
    <x v="1"/>
    <x v="1"/>
    <x v="48"/>
    <x v="1"/>
    <x v="1"/>
    <x v="2"/>
    <x v="122"/>
    <x v="4"/>
    <x v="1"/>
    <x v="1"/>
    <x v="1"/>
    <x v="0"/>
    <x v="129"/>
    <x v="0"/>
    <x v="0"/>
  </r>
  <r>
    <x v="220"/>
    <x v="124"/>
    <x v="124"/>
    <x v="122"/>
    <x v="182"/>
    <x v="1"/>
    <x v="2"/>
    <x v="129"/>
    <x v="48"/>
    <x v="1"/>
    <x v="24"/>
    <x v="0"/>
    <x v="0"/>
    <x v="1"/>
    <x v="3"/>
    <x v="2"/>
    <x v="1"/>
    <x v="1"/>
    <x v="3"/>
    <x v="2"/>
    <x v="1"/>
    <x v="48"/>
    <x v="1"/>
    <x v="1"/>
    <x v="2"/>
    <x v="123"/>
    <x v="5"/>
    <x v="1"/>
    <x v="1"/>
    <x v="2"/>
    <x v="1"/>
    <x v="130"/>
    <x v="0"/>
    <x v="0"/>
  </r>
  <r>
    <x v="221"/>
    <x v="125"/>
    <x v="125"/>
    <x v="123"/>
    <x v="183"/>
    <x v="3"/>
    <x v="2"/>
    <x v="130"/>
    <x v="10"/>
    <x v="1"/>
    <x v="36"/>
    <x v="0"/>
    <x v="0"/>
    <x v="1"/>
    <x v="1"/>
    <x v="1"/>
    <x v="2"/>
    <x v="2"/>
    <x v="2"/>
    <x v="1"/>
    <x v="2"/>
    <x v="0"/>
    <x v="1"/>
    <x v="2"/>
    <x v="2"/>
    <x v="124"/>
    <x v="5"/>
    <x v="0"/>
    <x v="0"/>
    <x v="1"/>
    <x v="0"/>
    <x v="0"/>
    <x v="0"/>
    <x v="0"/>
  </r>
  <r>
    <x v="222"/>
    <x v="123"/>
    <x v="123"/>
    <x v="121"/>
    <x v="0"/>
    <x v="1"/>
    <x v="1"/>
    <x v="128"/>
    <x v="10"/>
    <x v="1"/>
    <x v="22"/>
    <x v="0"/>
    <x v="0"/>
    <x v="3"/>
    <x v="1"/>
    <x v="1"/>
    <x v="2"/>
    <x v="2"/>
    <x v="1"/>
    <x v="1"/>
    <x v="1"/>
    <x v="48"/>
    <x v="2"/>
    <x v="3"/>
    <x v="4"/>
    <x v="122"/>
    <x v="5"/>
    <x v="3"/>
    <x v="0"/>
    <x v="1"/>
    <x v="0"/>
    <x v="131"/>
    <x v="0"/>
    <x v="56"/>
  </r>
  <r>
    <x v="223"/>
    <x v="119"/>
    <x v="119"/>
    <x v="117"/>
    <x v="184"/>
    <x v="1"/>
    <x v="2"/>
    <x v="124"/>
    <x v="40"/>
    <x v="1"/>
    <x v="22"/>
    <x v="0"/>
    <x v="0"/>
    <x v="3"/>
    <x v="1"/>
    <x v="1"/>
    <x v="1"/>
    <x v="1"/>
    <x v="3"/>
    <x v="1"/>
    <x v="2"/>
    <x v="0"/>
    <x v="1"/>
    <x v="3"/>
    <x v="4"/>
    <x v="118"/>
    <x v="4"/>
    <x v="0"/>
    <x v="0"/>
    <x v="1"/>
    <x v="0"/>
    <x v="0"/>
    <x v="0"/>
    <x v="0"/>
  </r>
  <r>
    <x v="224"/>
    <x v="126"/>
    <x v="126"/>
    <x v="124"/>
    <x v="185"/>
    <x v="3"/>
    <x v="1"/>
    <x v="131"/>
    <x v="42"/>
    <x v="1"/>
    <x v="1"/>
    <x v="0"/>
    <x v="0"/>
    <x v="1"/>
    <x v="3"/>
    <x v="2"/>
    <x v="1"/>
    <x v="1"/>
    <x v="2"/>
    <x v="1"/>
    <x v="1"/>
    <x v="49"/>
    <x v="2"/>
    <x v="1"/>
    <x v="2"/>
    <x v="125"/>
    <x v="5"/>
    <x v="3"/>
    <x v="0"/>
    <x v="1"/>
    <x v="0"/>
    <x v="132"/>
    <x v="0"/>
    <x v="0"/>
  </r>
  <r>
    <x v="225"/>
    <x v="127"/>
    <x v="127"/>
    <x v="125"/>
    <x v="186"/>
    <x v="1"/>
    <x v="2"/>
    <x v="132"/>
    <x v="17"/>
    <x v="1"/>
    <x v="15"/>
    <x v="0"/>
    <x v="0"/>
    <x v="1"/>
    <x v="1"/>
    <x v="1"/>
    <x v="2"/>
    <x v="1"/>
    <x v="3"/>
    <x v="1"/>
    <x v="1"/>
    <x v="48"/>
    <x v="1"/>
    <x v="1"/>
    <x v="2"/>
    <x v="126"/>
    <x v="4"/>
    <x v="3"/>
    <x v="0"/>
    <x v="1"/>
    <x v="0"/>
    <x v="133"/>
    <x v="68"/>
    <x v="56"/>
  </r>
  <r>
    <x v="226"/>
    <x v="128"/>
    <x v="128"/>
    <x v="126"/>
    <x v="187"/>
    <x v="1"/>
    <x v="2"/>
    <x v="82"/>
    <x v="114"/>
    <x v="1"/>
    <x v="64"/>
    <x v="0"/>
    <x v="0"/>
    <x v="1"/>
    <x v="1"/>
    <x v="1"/>
    <x v="2"/>
    <x v="2"/>
    <x v="1"/>
    <x v="1"/>
    <x v="2"/>
    <x v="0"/>
    <x v="1"/>
    <x v="1"/>
    <x v="2"/>
    <x v="127"/>
    <x v="5"/>
    <x v="0"/>
    <x v="0"/>
    <x v="1"/>
    <x v="0"/>
    <x v="0"/>
    <x v="0"/>
    <x v="0"/>
  </r>
  <r>
    <x v="227"/>
    <x v="129"/>
    <x v="129"/>
    <x v="127"/>
    <x v="188"/>
    <x v="1"/>
    <x v="2"/>
    <x v="133"/>
    <x v="115"/>
    <x v="1"/>
    <x v="15"/>
    <x v="0"/>
    <x v="0"/>
    <x v="1"/>
    <x v="2"/>
    <x v="3"/>
    <x v="2"/>
    <x v="1"/>
    <x v="2"/>
    <x v="1"/>
    <x v="1"/>
    <x v="49"/>
    <x v="1"/>
    <x v="1"/>
    <x v="2"/>
    <x v="128"/>
    <x v="4"/>
    <x v="3"/>
    <x v="0"/>
    <x v="1"/>
    <x v="0"/>
    <x v="134"/>
    <x v="0"/>
    <x v="0"/>
  </r>
  <r>
    <x v="228"/>
    <x v="130"/>
    <x v="130"/>
    <x v="128"/>
    <x v="189"/>
    <x v="2"/>
    <x v="2"/>
    <x v="134"/>
    <x v="116"/>
    <x v="2"/>
    <x v="0"/>
    <x v="2"/>
    <x v="0"/>
    <x v="1"/>
    <x v="3"/>
    <x v="3"/>
    <x v="2"/>
    <x v="1"/>
    <x v="2"/>
    <x v="1"/>
    <x v="1"/>
    <x v="49"/>
    <x v="1"/>
    <x v="1"/>
    <x v="2"/>
    <x v="129"/>
    <x v="1"/>
    <x v="3"/>
    <x v="0"/>
    <x v="1"/>
    <x v="0"/>
    <x v="135"/>
    <x v="0"/>
    <x v="14"/>
  </r>
  <r>
    <x v="229"/>
    <x v="124"/>
    <x v="124"/>
    <x v="122"/>
    <x v="190"/>
    <x v="1"/>
    <x v="2"/>
    <x v="129"/>
    <x v="48"/>
    <x v="1"/>
    <x v="24"/>
    <x v="0"/>
    <x v="0"/>
    <x v="3"/>
    <x v="1"/>
    <x v="2"/>
    <x v="2"/>
    <x v="1"/>
    <x v="2"/>
    <x v="2"/>
    <x v="1"/>
    <x v="50"/>
    <x v="1"/>
    <x v="3"/>
    <x v="4"/>
    <x v="123"/>
    <x v="5"/>
    <x v="1"/>
    <x v="7"/>
    <x v="2"/>
    <x v="1"/>
    <x v="136"/>
    <x v="0"/>
    <x v="57"/>
  </r>
  <r>
    <x v="230"/>
    <x v="123"/>
    <x v="123"/>
    <x v="121"/>
    <x v="191"/>
    <x v="1"/>
    <x v="1"/>
    <x v="128"/>
    <x v="59"/>
    <x v="1"/>
    <x v="22"/>
    <x v="0"/>
    <x v="0"/>
    <x v="1"/>
    <x v="1"/>
    <x v="1"/>
    <x v="2"/>
    <x v="2"/>
    <x v="1"/>
    <x v="1"/>
    <x v="1"/>
    <x v="50"/>
    <x v="1"/>
    <x v="4"/>
    <x v="12"/>
    <x v="122"/>
    <x v="3"/>
    <x v="3"/>
    <x v="0"/>
    <x v="1"/>
    <x v="0"/>
    <x v="137"/>
    <x v="69"/>
    <x v="58"/>
  </r>
  <r>
    <x v="231"/>
    <x v="84"/>
    <x v="83"/>
    <x v="82"/>
    <x v="192"/>
    <x v="1"/>
    <x v="2"/>
    <x v="87"/>
    <x v="80"/>
    <x v="1"/>
    <x v="33"/>
    <x v="0"/>
    <x v="0"/>
    <x v="3"/>
    <x v="1"/>
    <x v="1"/>
    <x v="2"/>
    <x v="2"/>
    <x v="1"/>
    <x v="1"/>
    <x v="1"/>
    <x v="51"/>
    <x v="1"/>
    <x v="3"/>
    <x v="4"/>
    <x v="83"/>
    <x v="1"/>
    <x v="1"/>
    <x v="4"/>
    <x v="2"/>
    <x v="1"/>
    <x v="138"/>
    <x v="0"/>
    <x v="0"/>
  </r>
  <r>
    <x v="232"/>
    <x v="131"/>
    <x v="131"/>
    <x v="129"/>
    <x v="193"/>
    <x v="1"/>
    <x v="2"/>
    <x v="135"/>
    <x v="117"/>
    <x v="1"/>
    <x v="3"/>
    <x v="0"/>
    <x v="0"/>
    <x v="1"/>
    <x v="3"/>
    <x v="3"/>
    <x v="2"/>
    <x v="1"/>
    <x v="2"/>
    <x v="1"/>
    <x v="1"/>
    <x v="50"/>
    <x v="1"/>
    <x v="6"/>
    <x v="2"/>
    <x v="130"/>
    <x v="7"/>
    <x v="3"/>
    <x v="0"/>
    <x v="1"/>
    <x v="0"/>
    <x v="139"/>
    <x v="70"/>
    <x v="0"/>
  </r>
  <r>
    <x v="233"/>
    <x v="132"/>
    <x v="132"/>
    <x v="130"/>
    <x v="194"/>
    <x v="1"/>
    <x v="3"/>
    <x v="136"/>
    <x v="118"/>
    <x v="1"/>
    <x v="3"/>
    <x v="0"/>
    <x v="0"/>
    <x v="1"/>
    <x v="3"/>
    <x v="3"/>
    <x v="2"/>
    <x v="1"/>
    <x v="3"/>
    <x v="1"/>
    <x v="2"/>
    <x v="0"/>
    <x v="1"/>
    <x v="6"/>
    <x v="2"/>
    <x v="131"/>
    <x v="5"/>
    <x v="0"/>
    <x v="0"/>
    <x v="1"/>
    <x v="0"/>
    <x v="0"/>
    <x v="0"/>
    <x v="59"/>
  </r>
  <r>
    <x v="234"/>
    <x v="133"/>
    <x v="133"/>
    <x v="131"/>
    <x v="195"/>
    <x v="3"/>
    <x v="1"/>
    <x v="137"/>
    <x v="53"/>
    <x v="1"/>
    <x v="15"/>
    <x v="0"/>
    <x v="0"/>
    <x v="1"/>
    <x v="3"/>
    <x v="3"/>
    <x v="2"/>
    <x v="1"/>
    <x v="2"/>
    <x v="1"/>
    <x v="1"/>
    <x v="51"/>
    <x v="1"/>
    <x v="6"/>
    <x v="2"/>
    <x v="132"/>
    <x v="5"/>
    <x v="1"/>
    <x v="4"/>
    <x v="1"/>
    <x v="0"/>
    <x v="140"/>
    <x v="0"/>
    <x v="0"/>
  </r>
  <r>
    <x v="235"/>
    <x v="119"/>
    <x v="119"/>
    <x v="117"/>
    <x v="196"/>
    <x v="1"/>
    <x v="2"/>
    <x v="124"/>
    <x v="10"/>
    <x v="1"/>
    <x v="31"/>
    <x v="0"/>
    <x v="0"/>
    <x v="1"/>
    <x v="2"/>
    <x v="3"/>
    <x v="2"/>
    <x v="1"/>
    <x v="3"/>
    <x v="2"/>
    <x v="1"/>
    <x v="50"/>
    <x v="1"/>
    <x v="6"/>
    <x v="2"/>
    <x v="118"/>
    <x v="1"/>
    <x v="3"/>
    <x v="0"/>
    <x v="1"/>
    <x v="0"/>
    <x v="141"/>
    <x v="71"/>
    <x v="17"/>
  </r>
  <r>
    <x v="236"/>
    <x v="84"/>
    <x v="83"/>
    <x v="82"/>
    <x v="197"/>
    <x v="1"/>
    <x v="2"/>
    <x v="87"/>
    <x v="80"/>
    <x v="1"/>
    <x v="11"/>
    <x v="0"/>
    <x v="0"/>
    <x v="3"/>
    <x v="1"/>
    <x v="1"/>
    <x v="2"/>
    <x v="2"/>
    <x v="3"/>
    <x v="1"/>
    <x v="2"/>
    <x v="0"/>
    <x v="1"/>
    <x v="3"/>
    <x v="4"/>
    <x v="83"/>
    <x v="1"/>
    <x v="0"/>
    <x v="0"/>
    <x v="1"/>
    <x v="0"/>
    <x v="0"/>
    <x v="0"/>
    <x v="0"/>
  </r>
  <r>
    <x v="237"/>
    <x v="133"/>
    <x v="133"/>
    <x v="131"/>
    <x v="0"/>
    <x v="3"/>
    <x v="1"/>
    <x v="137"/>
    <x v="53"/>
    <x v="1"/>
    <x v="15"/>
    <x v="0"/>
    <x v="0"/>
    <x v="3"/>
    <x v="4"/>
    <x v="1"/>
    <x v="2"/>
    <x v="1"/>
    <x v="2"/>
    <x v="1"/>
    <x v="2"/>
    <x v="0"/>
    <x v="2"/>
    <x v="3"/>
    <x v="4"/>
    <x v="132"/>
    <x v="1"/>
    <x v="0"/>
    <x v="0"/>
    <x v="1"/>
    <x v="0"/>
    <x v="0"/>
    <x v="0"/>
    <x v="0"/>
  </r>
  <r>
    <x v="238"/>
    <x v="134"/>
    <x v="134"/>
    <x v="132"/>
    <x v="198"/>
    <x v="1"/>
    <x v="2"/>
    <x v="138"/>
    <x v="71"/>
    <x v="1"/>
    <x v="9"/>
    <x v="0"/>
    <x v="0"/>
    <x v="1"/>
    <x v="2"/>
    <x v="3"/>
    <x v="2"/>
    <x v="1"/>
    <x v="1"/>
    <x v="1"/>
    <x v="1"/>
    <x v="40"/>
    <x v="1"/>
    <x v="1"/>
    <x v="2"/>
    <x v="133"/>
    <x v="2"/>
    <x v="1"/>
    <x v="1"/>
    <x v="1"/>
    <x v="0"/>
    <x v="142"/>
    <x v="0"/>
    <x v="60"/>
  </r>
  <r>
    <x v="239"/>
    <x v="135"/>
    <x v="135"/>
    <x v="133"/>
    <x v="199"/>
    <x v="1"/>
    <x v="2"/>
    <x v="139"/>
    <x v="119"/>
    <x v="1"/>
    <x v="31"/>
    <x v="0"/>
    <x v="0"/>
    <x v="1"/>
    <x v="3"/>
    <x v="3"/>
    <x v="2"/>
    <x v="2"/>
    <x v="2"/>
    <x v="1"/>
    <x v="1"/>
    <x v="40"/>
    <x v="1"/>
    <x v="1"/>
    <x v="2"/>
    <x v="134"/>
    <x v="7"/>
    <x v="3"/>
    <x v="0"/>
    <x v="1"/>
    <x v="0"/>
    <x v="143"/>
    <x v="0"/>
    <x v="61"/>
  </r>
  <r>
    <x v="240"/>
    <x v="136"/>
    <x v="136"/>
    <x v="134"/>
    <x v="200"/>
    <x v="3"/>
    <x v="2"/>
    <x v="140"/>
    <x v="120"/>
    <x v="1"/>
    <x v="22"/>
    <x v="0"/>
    <x v="0"/>
    <x v="1"/>
    <x v="1"/>
    <x v="1"/>
    <x v="2"/>
    <x v="2"/>
    <x v="1"/>
    <x v="1"/>
    <x v="1"/>
    <x v="52"/>
    <x v="1"/>
    <x v="1"/>
    <x v="5"/>
    <x v="135"/>
    <x v="4"/>
    <x v="3"/>
    <x v="0"/>
    <x v="1"/>
    <x v="0"/>
    <x v="144"/>
    <x v="72"/>
    <x v="0"/>
  </r>
  <r>
    <x v="241"/>
    <x v="124"/>
    <x v="124"/>
    <x v="122"/>
    <x v="0"/>
    <x v="1"/>
    <x v="2"/>
    <x v="129"/>
    <x v="48"/>
    <x v="1"/>
    <x v="24"/>
    <x v="0"/>
    <x v="0"/>
    <x v="3"/>
    <x v="1"/>
    <x v="1"/>
    <x v="1"/>
    <x v="1"/>
    <x v="1"/>
    <x v="2"/>
    <x v="2"/>
    <x v="0"/>
    <x v="2"/>
    <x v="3"/>
    <x v="4"/>
    <x v="123"/>
    <x v="7"/>
    <x v="0"/>
    <x v="0"/>
    <x v="1"/>
    <x v="0"/>
    <x v="0"/>
    <x v="0"/>
    <x v="17"/>
  </r>
  <r>
    <x v="242"/>
    <x v="134"/>
    <x v="134"/>
    <x v="132"/>
    <x v="0"/>
    <x v="1"/>
    <x v="2"/>
    <x v="138"/>
    <x v="71"/>
    <x v="1"/>
    <x v="9"/>
    <x v="0"/>
    <x v="0"/>
    <x v="3"/>
    <x v="4"/>
    <x v="1"/>
    <x v="2"/>
    <x v="2"/>
    <x v="1"/>
    <x v="1"/>
    <x v="2"/>
    <x v="0"/>
    <x v="2"/>
    <x v="3"/>
    <x v="4"/>
    <x v="133"/>
    <x v="5"/>
    <x v="0"/>
    <x v="0"/>
    <x v="1"/>
    <x v="0"/>
    <x v="0"/>
    <x v="0"/>
    <x v="0"/>
  </r>
  <r>
    <x v="243"/>
    <x v="137"/>
    <x v="137"/>
    <x v="135"/>
    <x v="201"/>
    <x v="1"/>
    <x v="2"/>
    <x v="141"/>
    <x v="121"/>
    <x v="1"/>
    <x v="65"/>
    <x v="0"/>
    <x v="0"/>
    <x v="1"/>
    <x v="1"/>
    <x v="1"/>
    <x v="2"/>
    <x v="1"/>
    <x v="3"/>
    <x v="1"/>
    <x v="2"/>
    <x v="0"/>
    <x v="1"/>
    <x v="1"/>
    <x v="2"/>
    <x v="136"/>
    <x v="1"/>
    <x v="0"/>
    <x v="0"/>
    <x v="1"/>
    <x v="0"/>
    <x v="0"/>
    <x v="0"/>
    <x v="0"/>
  </r>
  <r>
    <x v="244"/>
    <x v="138"/>
    <x v="138"/>
    <x v="136"/>
    <x v="202"/>
    <x v="3"/>
    <x v="2"/>
    <x v="142"/>
    <x v="81"/>
    <x v="1"/>
    <x v="24"/>
    <x v="0"/>
    <x v="0"/>
    <x v="1"/>
    <x v="2"/>
    <x v="3"/>
    <x v="1"/>
    <x v="1"/>
    <x v="1"/>
    <x v="1"/>
    <x v="1"/>
    <x v="52"/>
    <x v="2"/>
    <x v="1"/>
    <x v="2"/>
    <x v="137"/>
    <x v="5"/>
    <x v="3"/>
    <x v="0"/>
    <x v="1"/>
    <x v="0"/>
    <x v="145"/>
    <x v="73"/>
    <x v="62"/>
  </r>
  <r>
    <x v="245"/>
    <x v="139"/>
    <x v="139"/>
    <x v="137"/>
    <x v="203"/>
    <x v="1"/>
    <x v="2"/>
    <x v="143"/>
    <x v="122"/>
    <x v="1"/>
    <x v="3"/>
    <x v="0"/>
    <x v="0"/>
    <x v="1"/>
    <x v="1"/>
    <x v="1"/>
    <x v="2"/>
    <x v="1"/>
    <x v="2"/>
    <x v="1"/>
    <x v="1"/>
    <x v="53"/>
    <x v="1"/>
    <x v="5"/>
    <x v="2"/>
    <x v="138"/>
    <x v="5"/>
    <x v="1"/>
    <x v="1"/>
    <x v="2"/>
    <x v="1"/>
    <x v="146"/>
    <x v="0"/>
    <x v="0"/>
  </r>
  <r>
    <x v="246"/>
    <x v="139"/>
    <x v="139"/>
    <x v="137"/>
    <x v="204"/>
    <x v="1"/>
    <x v="2"/>
    <x v="143"/>
    <x v="122"/>
    <x v="1"/>
    <x v="3"/>
    <x v="0"/>
    <x v="0"/>
    <x v="3"/>
    <x v="3"/>
    <x v="2"/>
    <x v="2"/>
    <x v="1"/>
    <x v="2"/>
    <x v="1"/>
    <x v="1"/>
    <x v="54"/>
    <x v="1"/>
    <x v="3"/>
    <x v="4"/>
    <x v="138"/>
    <x v="5"/>
    <x v="3"/>
    <x v="0"/>
    <x v="1"/>
    <x v="0"/>
    <x v="147"/>
    <x v="0"/>
    <x v="63"/>
  </r>
  <r>
    <x v="247"/>
    <x v="140"/>
    <x v="140"/>
    <x v="138"/>
    <x v="205"/>
    <x v="3"/>
    <x v="4"/>
    <x v="144"/>
    <x v="123"/>
    <x v="1"/>
    <x v="15"/>
    <x v="0"/>
    <x v="0"/>
    <x v="1"/>
    <x v="1"/>
    <x v="1"/>
    <x v="2"/>
    <x v="1"/>
    <x v="1"/>
    <x v="1"/>
    <x v="1"/>
    <x v="52"/>
    <x v="1"/>
    <x v="1"/>
    <x v="2"/>
    <x v="139"/>
    <x v="7"/>
    <x v="1"/>
    <x v="5"/>
    <x v="2"/>
    <x v="1"/>
    <x v="148"/>
    <x v="0"/>
    <x v="0"/>
  </r>
  <r>
    <x v="248"/>
    <x v="69"/>
    <x v="68"/>
    <x v="67"/>
    <x v="206"/>
    <x v="3"/>
    <x v="2"/>
    <x v="72"/>
    <x v="124"/>
    <x v="2"/>
    <x v="0"/>
    <x v="6"/>
    <x v="0"/>
    <x v="1"/>
    <x v="3"/>
    <x v="3"/>
    <x v="2"/>
    <x v="1"/>
    <x v="2"/>
    <x v="1"/>
    <x v="1"/>
    <x v="55"/>
    <x v="1"/>
    <x v="1"/>
    <x v="2"/>
    <x v="67"/>
    <x v="7"/>
    <x v="1"/>
    <x v="4"/>
    <x v="1"/>
    <x v="0"/>
    <x v="149"/>
    <x v="74"/>
    <x v="64"/>
  </r>
  <r>
    <x v="249"/>
    <x v="140"/>
    <x v="140"/>
    <x v="138"/>
    <x v="0"/>
    <x v="3"/>
    <x v="4"/>
    <x v="144"/>
    <x v="123"/>
    <x v="1"/>
    <x v="15"/>
    <x v="0"/>
    <x v="0"/>
    <x v="3"/>
    <x v="2"/>
    <x v="3"/>
    <x v="2"/>
    <x v="1"/>
    <x v="2"/>
    <x v="1"/>
    <x v="1"/>
    <x v="55"/>
    <x v="2"/>
    <x v="3"/>
    <x v="4"/>
    <x v="139"/>
    <x v="2"/>
    <x v="1"/>
    <x v="2"/>
    <x v="1"/>
    <x v="0"/>
    <x v="150"/>
    <x v="0"/>
    <x v="65"/>
  </r>
  <r>
    <x v="250"/>
    <x v="141"/>
    <x v="141"/>
    <x v="139"/>
    <x v="207"/>
    <x v="1"/>
    <x v="1"/>
    <x v="145"/>
    <x v="125"/>
    <x v="1"/>
    <x v="3"/>
    <x v="0"/>
    <x v="0"/>
    <x v="1"/>
    <x v="3"/>
    <x v="3"/>
    <x v="2"/>
    <x v="2"/>
    <x v="1"/>
    <x v="1"/>
    <x v="1"/>
    <x v="55"/>
    <x v="1"/>
    <x v="5"/>
    <x v="2"/>
    <x v="140"/>
    <x v="7"/>
    <x v="1"/>
    <x v="2"/>
    <x v="2"/>
    <x v="1"/>
    <x v="151"/>
    <x v="75"/>
    <x v="0"/>
  </r>
  <r>
    <x v="251"/>
    <x v="142"/>
    <x v="142"/>
    <x v="140"/>
    <x v="208"/>
    <x v="3"/>
    <x v="2"/>
    <x v="146"/>
    <x v="126"/>
    <x v="1"/>
    <x v="9"/>
    <x v="0"/>
    <x v="0"/>
    <x v="1"/>
    <x v="3"/>
    <x v="2"/>
    <x v="2"/>
    <x v="2"/>
    <x v="1"/>
    <x v="1"/>
    <x v="1"/>
    <x v="43"/>
    <x v="1"/>
    <x v="1"/>
    <x v="2"/>
    <x v="141"/>
    <x v="5"/>
    <x v="1"/>
    <x v="1"/>
    <x v="1"/>
    <x v="0"/>
    <x v="152"/>
    <x v="76"/>
    <x v="66"/>
  </r>
  <r>
    <x v="252"/>
    <x v="140"/>
    <x v="140"/>
    <x v="138"/>
    <x v="0"/>
    <x v="3"/>
    <x v="4"/>
    <x v="144"/>
    <x v="123"/>
    <x v="1"/>
    <x v="15"/>
    <x v="0"/>
    <x v="0"/>
    <x v="3"/>
    <x v="2"/>
    <x v="3"/>
    <x v="2"/>
    <x v="1"/>
    <x v="2"/>
    <x v="1"/>
    <x v="1"/>
    <x v="43"/>
    <x v="2"/>
    <x v="3"/>
    <x v="4"/>
    <x v="139"/>
    <x v="4"/>
    <x v="1"/>
    <x v="1"/>
    <x v="2"/>
    <x v="1"/>
    <x v="153"/>
    <x v="0"/>
    <x v="67"/>
  </r>
  <r>
    <x v="253"/>
    <x v="69"/>
    <x v="68"/>
    <x v="67"/>
    <x v="209"/>
    <x v="3"/>
    <x v="2"/>
    <x v="72"/>
    <x v="68"/>
    <x v="1"/>
    <x v="15"/>
    <x v="0"/>
    <x v="0"/>
    <x v="3"/>
    <x v="1"/>
    <x v="1"/>
    <x v="2"/>
    <x v="1"/>
    <x v="2"/>
    <x v="1"/>
    <x v="1"/>
    <x v="43"/>
    <x v="1"/>
    <x v="3"/>
    <x v="4"/>
    <x v="67"/>
    <x v="1"/>
    <x v="1"/>
    <x v="4"/>
    <x v="1"/>
    <x v="0"/>
    <x v="154"/>
    <x v="0"/>
    <x v="68"/>
  </r>
  <r>
    <x v="254"/>
    <x v="141"/>
    <x v="141"/>
    <x v="139"/>
    <x v="210"/>
    <x v="1"/>
    <x v="1"/>
    <x v="145"/>
    <x v="125"/>
    <x v="1"/>
    <x v="9"/>
    <x v="0"/>
    <x v="0"/>
    <x v="3"/>
    <x v="2"/>
    <x v="3"/>
    <x v="2"/>
    <x v="1"/>
    <x v="2"/>
    <x v="1"/>
    <x v="1"/>
    <x v="43"/>
    <x v="1"/>
    <x v="3"/>
    <x v="4"/>
    <x v="140"/>
    <x v="4"/>
    <x v="3"/>
    <x v="0"/>
    <x v="1"/>
    <x v="0"/>
    <x v="155"/>
    <x v="77"/>
    <x v="69"/>
  </r>
  <r>
    <x v="255"/>
    <x v="143"/>
    <x v="143"/>
    <x v="141"/>
    <x v="211"/>
    <x v="1"/>
    <x v="1"/>
    <x v="147"/>
    <x v="70"/>
    <x v="1"/>
    <x v="4"/>
    <x v="0"/>
    <x v="0"/>
    <x v="1"/>
    <x v="1"/>
    <x v="1"/>
    <x v="2"/>
    <x v="1"/>
    <x v="3"/>
    <x v="1"/>
    <x v="1"/>
    <x v="55"/>
    <x v="1"/>
    <x v="5"/>
    <x v="2"/>
    <x v="142"/>
    <x v="5"/>
    <x v="1"/>
    <x v="1"/>
    <x v="2"/>
    <x v="1"/>
    <x v="156"/>
    <x v="0"/>
    <x v="0"/>
  </r>
  <r>
    <x v="256"/>
    <x v="144"/>
    <x v="144"/>
    <x v="142"/>
    <x v="212"/>
    <x v="1"/>
    <x v="1"/>
    <x v="148"/>
    <x v="29"/>
    <x v="1"/>
    <x v="66"/>
    <x v="0"/>
    <x v="0"/>
    <x v="1"/>
    <x v="2"/>
    <x v="3"/>
    <x v="2"/>
    <x v="1"/>
    <x v="1"/>
    <x v="1"/>
    <x v="1"/>
    <x v="43"/>
    <x v="1"/>
    <x v="5"/>
    <x v="2"/>
    <x v="143"/>
    <x v="5"/>
    <x v="1"/>
    <x v="1"/>
    <x v="1"/>
    <x v="0"/>
    <x v="157"/>
    <x v="78"/>
    <x v="70"/>
  </r>
  <r>
    <x v="257"/>
    <x v="143"/>
    <x v="143"/>
    <x v="141"/>
    <x v="213"/>
    <x v="1"/>
    <x v="1"/>
    <x v="149"/>
    <x v="127"/>
    <x v="1"/>
    <x v="4"/>
    <x v="0"/>
    <x v="0"/>
    <x v="3"/>
    <x v="1"/>
    <x v="2"/>
    <x v="2"/>
    <x v="1"/>
    <x v="2"/>
    <x v="1"/>
    <x v="1"/>
    <x v="43"/>
    <x v="1"/>
    <x v="5"/>
    <x v="2"/>
    <x v="142"/>
    <x v="5"/>
    <x v="1"/>
    <x v="7"/>
    <x v="2"/>
    <x v="1"/>
    <x v="158"/>
    <x v="0"/>
    <x v="71"/>
  </r>
  <r>
    <x v="258"/>
    <x v="140"/>
    <x v="140"/>
    <x v="138"/>
    <x v="0"/>
    <x v="3"/>
    <x v="4"/>
    <x v="144"/>
    <x v="123"/>
    <x v="1"/>
    <x v="15"/>
    <x v="0"/>
    <x v="0"/>
    <x v="3"/>
    <x v="3"/>
    <x v="3"/>
    <x v="2"/>
    <x v="1"/>
    <x v="1"/>
    <x v="1"/>
    <x v="1"/>
    <x v="54"/>
    <x v="2"/>
    <x v="3"/>
    <x v="4"/>
    <x v="139"/>
    <x v="5"/>
    <x v="3"/>
    <x v="0"/>
    <x v="1"/>
    <x v="0"/>
    <x v="159"/>
    <x v="79"/>
    <x v="72"/>
  </r>
  <r>
    <x v="259"/>
    <x v="145"/>
    <x v="145"/>
    <x v="143"/>
    <x v="214"/>
    <x v="1"/>
    <x v="1"/>
    <x v="150"/>
    <x v="128"/>
    <x v="1"/>
    <x v="67"/>
    <x v="0"/>
    <x v="0"/>
    <x v="1"/>
    <x v="3"/>
    <x v="3"/>
    <x v="2"/>
    <x v="1"/>
    <x v="2"/>
    <x v="2"/>
    <x v="1"/>
    <x v="54"/>
    <x v="1"/>
    <x v="1"/>
    <x v="2"/>
    <x v="144"/>
    <x v="7"/>
    <x v="3"/>
    <x v="0"/>
    <x v="1"/>
    <x v="0"/>
    <x v="160"/>
    <x v="0"/>
    <x v="17"/>
  </r>
  <r>
    <x v="260"/>
    <x v="69"/>
    <x v="68"/>
    <x v="67"/>
    <x v="0"/>
    <x v="3"/>
    <x v="2"/>
    <x v="72"/>
    <x v="68"/>
    <x v="1"/>
    <x v="27"/>
    <x v="0"/>
    <x v="0"/>
    <x v="3"/>
    <x v="4"/>
    <x v="1"/>
    <x v="2"/>
    <x v="1"/>
    <x v="2"/>
    <x v="1"/>
    <x v="2"/>
    <x v="0"/>
    <x v="2"/>
    <x v="3"/>
    <x v="4"/>
    <x v="67"/>
    <x v="1"/>
    <x v="0"/>
    <x v="0"/>
    <x v="1"/>
    <x v="0"/>
    <x v="0"/>
    <x v="0"/>
    <x v="0"/>
  </r>
  <r>
    <x v="261"/>
    <x v="105"/>
    <x v="104"/>
    <x v="104"/>
    <x v="0"/>
    <x v="3"/>
    <x v="1"/>
    <x v="110"/>
    <x v="104"/>
    <x v="1"/>
    <x v="68"/>
    <x v="0"/>
    <x v="0"/>
    <x v="3"/>
    <x v="1"/>
    <x v="1"/>
    <x v="2"/>
    <x v="1"/>
    <x v="1"/>
    <x v="1"/>
    <x v="2"/>
    <x v="0"/>
    <x v="2"/>
    <x v="3"/>
    <x v="4"/>
    <x v="104"/>
    <x v="7"/>
    <x v="0"/>
    <x v="0"/>
    <x v="1"/>
    <x v="0"/>
    <x v="0"/>
    <x v="0"/>
    <x v="0"/>
  </r>
  <r>
    <x v="262"/>
    <x v="143"/>
    <x v="143"/>
    <x v="141"/>
    <x v="215"/>
    <x v="1"/>
    <x v="1"/>
    <x v="147"/>
    <x v="70"/>
    <x v="1"/>
    <x v="4"/>
    <x v="0"/>
    <x v="0"/>
    <x v="3"/>
    <x v="1"/>
    <x v="1"/>
    <x v="2"/>
    <x v="1"/>
    <x v="3"/>
    <x v="1"/>
    <x v="1"/>
    <x v="56"/>
    <x v="1"/>
    <x v="3"/>
    <x v="4"/>
    <x v="142"/>
    <x v="7"/>
    <x v="1"/>
    <x v="1"/>
    <x v="1"/>
    <x v="0"/>
    <x v="161"/>
    <x v="0"/>
    <x v="73"/>
  </r>
  <r>
    <x v="263"/>
    <x v="46"/>
    <x v="45"/>
    <x v="45"/>
    <x v="216"/>
    <x v="1"/>
    <x v="2"/>
    <x v="48"/>
    <x v="48"/>
    <x v="1"/>
    <x v="15"/>
    <x v="0"/>
    <x v="0"/>
    <x v="1"/>
    <x v="3"/>
    <x v="3"/>
    <x v="2"/>
    <x v="1"/>
    <x v="2"/>
    <x v="1"/>
    <x v="1"/>
    <x v="57"/>
    <x v="1"/>
    <x v="2"/>
    <x v="2"/>
    <x v="45"/>
    <x v="5"/>
    <x v="1"/>
    <x v="4"/>
    <x v="1"/>
    <x v="0"/>
    <x v="162"/>
    <x v="0"/>
    <x v="74"/>
  </r>
  <r>
    <x v="264"/>
    <x v="146"/>
    <x v="146"/>
    <x v="144"/>
    <x v="217"/>
    <x v="1"/>
    <x v="2"/>
    <x v="151"/>
    <x v="10"/>
    <x v="1"/>
    <x v="3"/>
    <x v="0"/>
    <x v="0"/>
    <x v="1"/>
    <x v="2"/>
    <x v="3"/>
    <x v="2"/>
    <x v="1"/>
    <x v="1"/>
    <x v="1"/>
    <x v="1"/>
    <x v="57"/>
    <x v="1"/>
    <x v="6"/>
    <x v="2"/>
    <x v="145"/>
    <x v="5"/>
    <x v="3"/>
    <x v="0"/>
    <x v="1"/>
    <x v="0"/>
    <x v="163"/>
    <x v="80"/>
    <x v="75"/>
  </r>
  <r>
    <x v="265"/>
    <x v="125"/>
    <x v="125"/>
    <x v="123"/>
    <x v="218"/>
    <x v="3"/>
    <x v="2"/>
    <x v="130"/>
    <x v="56"/>
    <x v="6"/>
    <x v="0"/>
    <x v="0"/>
    <x v="5"/>
    <x v="1"/>
    <x v="3"/>
    <x v="3"/>
    <x v="2"/>
    <x v="2"/>
    <x v="1"/>
    <x v="1"/>
    <x v="1"/>
    <x v="57"/>
    <x v="1"/>
    <x v="6"/>
    <x v="2"/>
    <x v="124"/>
    <x v="5"/>
    <x v="1"/>
    <x v="4"/>
    <x v="1"/>
    <x v="0"/>
    <x v="164"/>
    <x v="81"/>
    <x v="76"/>
  </r>
  <r>
    <x v="266"/>
    <x v="144"/>
    <x v="144"/>
    <x v="142"/>
    <x v="0"/>
    <x v="1"/>
    <x v="1"/>
    <x v="148"/>
    <x v="29"/>
    <x v="1"/>
    <x v="66"/>
    <x v="0"/>
    <x v="0"/>
    <x v="3"/>
    <x v="1"/>
    <x v="1"/>
    <x v="2"/>
    <x v="1"/>
    <x v="2"/>
    <x v="1"/>
    <x v="2"/>
    <x v="0"/>
    <x v="2"/>
    <x v="3"/>
    <x v="4"/>
    <x v="143"/>
    <x v="5"/>
    <x v="0"/>
    <x v="0"/>
    <x v="1"/>
    <x v="0"/>
    <x v="0"/>
    <x v="0"/>
    <x v="77"/>
  </r>
  <r>
    <x v="267"/>
    <x v="142"/>
    <x v="142"/>
    <x v="140"/>
    <x v="0"/>
    <x v="3"/>
    <x v="2"/>
    <x v="146"/>
    <x v="126"/>
    <x v="1"/>
    <x v="9"/>
    <x v="0"/>
    <x v="0"/>
    <x v="3"/>
    <x v="1"/>
    <x v="1"/>
    <x v="2"/>
    <x v="1"/>
    <x v="2"/>
    <x v="1"/>
    <x v="2"/>
    <x v="0"/>
    <x v="2"/>
    <x v="3"/>
    <x v="4"/>
    <x v="141"/>
    <x v="5"/>
    <x v="0"/>
    <x v="0"/>
    <x v="1"/>
    <x v="0"/>
    <x v="0"/>
    <x v="0"/>
    <x v="77"/>
  </r>
  <r>
    <x v="268"/>
    <x v="147"/>
    <x v="147"/>
    <x v="145"/>
    <x v="219"/>
    <x v="3"/>
    <x v="2"/>
    <x v="152"/>
    <x v="65"/>
    <x v="2"/>
    <x v="0"/>
    <x v="2"/>
    <x v="0"/>
    <x v="1"/>
    <x v="3"/>
    <x v="3"/>
    <x v="2"/>
    <x v="1"/>
    <x v="2"/>
    <x v="2"/>
    <x v="1"/>
    <x v="58"/>
    <x v="1"/>
    <x v="6"/>
    <x v="2"/>
    <x v="146"/>
    <x v="7"/>
    <x v="3"/>
    <x v="0"/>
    <x v="1"/>
    <x v="0"/>
    <x v="165"/>
    <x v="82"/>
    <x v="78"/>
  </r>
  <r>
    <x v="269"/>
    <x v="46"/>
    <x v="45"/>
    <x v="45"/>
    <x v="0"/>
    <x v="1"/>
    <x v="2"/>
    <x v="48"/>
    <x v="48"/>
    <x v="1"/>
    <x v="3"/>
    <x v="0"/>
    <x v="0"/>
    <x v="3"/>
    <x v="1"/>
    <x v="1"/>
    <x v="2"/>
    <x v="1"/>
    <x v="3"/>
    <x v="1"/>
    <x v="1"/>
    <x v="56"/>
    <x v="2"/>
    <x v="3"/>
    <x v="4"/>
    <x v="45"/>
    <x v="1"/>
    <x v="1"/>
    <x v="1"/>
    <x v="1"/>
    <x v="0"/>
    <x v="166"/>
    <x v="83"/>
    <x v="79"/>
  </r>
  <r>
    <x v="270"/>
    <x v="125"/>
    <x v="125"/>
    <x v="123"/>
    <x v="0"/>
    <x v="3"/>
    <x v="2"/>
    <x v="130"/>
    <x v="56"/>
    <x v="6"/>
    <x v="0"/>
    <x v="0"/>
    <x v="6"/>
    <x v="3"/>
    <x v="4"/>
    <x v="1"/>
    <x v="2"/>
    <x v="2"/>
    <x v="3"/>
    <x v="1"/>
    <x v="2"/>
    <x v="0"/>
    <x v="2"/>
    <x v="3"/>
    <x v="4"/>
    <x v="124"/>
    <x v="1"/>
    <x v="0"/>
    <x v="0"/>
    <x v="1"/>
    <x v="0"/>
    <x v="0"/>
    <x v="0"/>
    <x v="0"/>
  </r>
  <r>
    <x v="271"/>
    <x v="134"/>
    <x v="134"/>
    <x v="132"/>
    <x v="220"/>
    <x v="1"/>
    <x v="2"/>
    <x v="138"/>
    <x v="71"/>
    <x v="6"/>
    <x v="0"/>
    <x v="0"/>
    <x v="7"/>
    <x v="1"/>
    <x v="1"/>
    <x v="2"/>
    <x v="2"/>
    <x v="2"/>
    <x v="3"/>
    <x v="1"/>
    <x v="2"/>
    <x v="0"/>
    <x v="1"/>
    <x v="4"/>
    <x v="2"/>
    <x v="133"/>
    <x v="7"/>
    <x v="0"/>
    <x v="0"/>
    <x v="1"/>
    <x v="0"/>
    <x v="0"/>
    <x v="0"/>
    <x v="0"/>
  </r>
  <r>
    <x v="272"/>
    <x v="84"/>
    <x v="83"/>
    <x v="82"/>
    <x v="221"/>
    <x v="1"/>
    <x v="4"/>
    <x v="87"/>
    <x v="80"/>
    <x v="1"/>
    <x v="31"/>
    <x v="0"/>
    <x v="0"/>
    <x v="1"/>
    <x v="1"/>
    <x v="1"/>
    <x v="2"/>
    <x v="2"/>
    <x v="3"/>
    <x v="1"/>
    <x v="2"/>
    <x v="0"/>
    <x v="1"/>
    <x v="3"/>
    <x v="2"/>
    <x v="83"/>
    <x v="7"/>
    <x v="0"/>
    <x v="0"/>
    <x v="1"/>
    <x v="0"/>
    <x v="0"/>
    <x v="0"/>
    <x v="0"/>
  </r>
  <r>
    <x v="273"/>
    <x v="48"/>
    <x v="37"/>
    <x v="37"/>
    <x v="222"/>
    <x v="3"/>
    <x v="2"/>
    <x v="40"/>
    <x v="41"/>
    <x v="1"/>
    <x v="69"/>
    <x v="0"/>
    <x v="0"/>
    <x v="1"/>
    <x v="3"/>
    <x v="3"/>
    <x v="2"/>
    <x v="1"/>
    <x v="2"/>
    <x v="1"/>
    <x v="1"/>
    <x v="56"/>
    <x v="1"/>
    <x v="5"/>
    <x v="2"/>
    <x v="37"/>
    <x v="7"/>
    <x v="3"/>
    <x v="0"/>
    <x v="1"/>
    <x v="0"/>
    <x v="167"/>
    <x v="83"/>
    <x v="80"/>
  </r>
  <r>
    <x v="274"/>
    <x v="148"/>
    <x v="148"/>
    <x v="146"/>
    <x v="223"/>
    <x v="1"/>
    <x v="2"/>
    <x v="153"/>
    <x v="129"/>
    <x v="1"/>
    <x v="70"/>
    <x v="0"/>
    <x v="0"/>
    <x v="1"/>
    <x v="5"/>
    <x v="1"/>
    <x v="1"/>
    <x v="1"/>
    <x v="3"/>
    <x v="1"/>
    <x v="1"/>
    <x v="59"/>
    <x v="1"/>
    <x v="1"/>
    <x v="2"/>
    <x v="147"/>
    <x v="5"/>
    <x v="1"/>
    <x v="1"/>
    <x v="1"/>
    <x v="0"/>
    <x v="168"/>
    <x v="0"/>
    <x v="0"/>
  </r>
  <r>
    <x v="275"/>
    <x v="149"/>
    <x v="149"/>
    <x v="147"/>
    <x v="224"/>
    <x v="3"/>
    <x v="2"/>
    <x v="154"/>
    <x v="119"/>
    <x v="1"/>
    <x v="71"/>
    <x v="0"/>
    <x v="0"/>
    <x v="1"/>
    <x v="2"/>
    <x v="3"/>
    <x v="2"/>
    <x v="1"/>
    <x v="2"/>
    <x v="1"/>
    <x v="1"/>
    <x v="59"/>
    <x v="1"/>
    <x v="1"/>
    <x v="2"/>
    <x v="148"/>
    <x v="5"/>
    <x v="1"/>
    <x v="4"/>
    <x v="2"/>
    <x v="1"/>
    <x v="169"/>
    <x v="84"/>
    <x v="0"/>
  </r>
  <r>
    <x v="276"/>
    <x v="150"/>
    <x v="150"/>
    <x v="148"/>
    <x v="225"/>
    <x v="1"/>
    <x v="2"/>
    <x v="155"/>
    <x v="130"/>
    <x v="1"/>
    <x v="3"/>
    <x v="0"/>
    <x v="0"/>
    <x v="1"/>
    <x v="1"/>
    <x v="1"/>
    <x v="2"/>
    <x v="1"/>
    <x v="2"/>
    <x v="1"/>
    <x v="1"/>
    <x v="60"/>
    <x v="1"/>
    <x v="1"/>
    <x v="2"/>
    <x v="149"/>
    <x v="5"/>
    <x v="1"/>
    <x v="7"/>
    <x v="2"/>
    <x v="1"/>
    <x v="170"/>
    <x v="0"/>
    <x v="81"/>
  </r>
  <r>
    <x v="277"/>
    <x v="151"/>
    <x v="151"/>
    <x v="149"/>
    <x v="226"/>
    <x v="1"/>
    <x v="1"/>
    <x v="156"/>
    <x v="131"/>
    <x v="1"/>
    <x v="9"/>
    <x v="0"/>
    <x v="0"/>
    <x v="1"/>
    <x v="1"/>
    <x v="1"/>
    <x v="2"/>
    <x v="1"/>
    <x v="2"/>
    <x v="1"/>
    <x v="2"/>
    <x v="0"/>
    <x v="1"/>
    <x v="1"/>
    <x v="5"/>
    <x v="150"/>
    <x v="4"/>
    <x v="0"/>
    <x v="0"/>
    <x v="1"/>
    <x v="0"/>
    <x v="0"/>
    <x v="0"/>
    <x v="0"/>
  </r>
  <r>
    <x v="278"/>
    <x v="152"/>
    <x v="152"/>
    <x v="150"/>
    <x v="227"/>
    <x v="3"/>
    <x v="2"/>
    <x v="157"/>
    <x v="132"/>
    <x v="1"/>
    <x v="31"/>
    <x v="0"/>
    <x v="0"/>
    <x v="1"/>
    <x v="1"/>
    <x v="1"/>
    <x v="2"/>
    <x v="2"/>
    <x v="1"/>
    <x v="1"/>
    <x v="2"/>
    <x v="0"/>
    <x v="1"/>
    <x v="1"/>
    <x v="5"/>
    <x v="151"/>
    <x v="4"/>
    <x v="0"/>
    <x v="0"/>
    <x v="1"/>
    <x v="0"/>
    <x v="0"/>
    <x v="0"/>
    <x v="0"/>
  </r>
  <r>
    <x v="279"/>
    <x v="151"/>
    <x v="151"/>
    <x v="149"/>
    <x v="228"/>
    <x v="1"/>
    <x v="1"/>
    <x v="156"/>
    <x v="131"/>
    <x v="1"/>
    <x v="9"/>
    <x v="0"/>
    <x v="0"/>
    <x v="1"/>
    <x v="3"/>
    <x v="2"/>
    <x v="2"/>
    <x v="1"/>
    <x v="2"/>
    <x v="1"/>
    <x v="1"/>
    <x v="60"/>
    <x v="1"/>
    <x v="2"/>
    <x v="2"/>
    <x v="150"/>
    <x v="5"/>
    <x v="3"/>
    <x v="0"/>
    <x v="1"/>
    <x v="0"/>
    <x v="171"/>
    <x v="0"/>
    <x v="0"/>
  </r>
  <r>
    <x v="280"/>
    <x v="143"/>
    <x v="143"/>
    <x v="141"/>
    <x v="0"/>
    <x v="1"/>
    <x v="1"/>
    <x v="147"/>
    <x v="70"/>
    <x v="1"/>
    <x v="4"/>
    <x v="0"/>
    <x v="0"/>
    <x v="3"/>
    <x v="1"/>
    <x v="1"/>
    <x v="2"/>
    <x v="1"/>
    <x v="2"/>
    <x v="1"/>
    <x v="2"/>
    <x v="0"/>
    <x v="2"/>
    <x v="3"/>
    <x v="4"/>
    <x v="142"/>
    <x v="5"/>
    <x v="0"/>
    <x v="0"/>
    <x v="1"/>
    <x v="0"/>
    <x v="0"/>
    <x v="0"/>
    <x v="0"/>
  </r>
  <r>
    <x v="281"/>
    <x v="52"/>
    <x v="51"/>
    <x v="50"/>
    <x v="229"/>
    <x v="1"/>
    <x v="1"/>
    <x v="54"/>
    <x v="133"/>
    <x v="1"/>
    <x v="72"/>
    <x v="0"/>
    <x v="0"/>
    <x v="1"/>
    <x v="2"/>
    <x v="2"/>
    <x v="2"/>
    <x v="1"/>
    <x v="3"/>
    <x v="1"/>
    <x v="2"/>
    <x v="0"/>
    <x v="1"/>
    <x v="1"/>
    <x v="2"/>
    <x v="50"/>
    <x v="4"/>
    <x v="0"/>
    <x v="0"/>
    <x v="1"/>
    <x v="0"/>
    <x v="0"/>
    <x v="0"/>
    <x v="0"/>
  </r>
  <r>
    <x v="282"/>
    <x v="148"/>
    <x v="148"/>
    <x v="146"/>
    <x v="0"/>
    <x v="1"/>
    <x v="2"/>
    <x v="158"/>
    <x v="129"/>
    <x v="1"/>
    <x v="70"/>
    <x v="0"/>
    <x v="0"/>
    <x v="3"/>
    <x v="1"/>
    <x v="1"/>
    <x v="1"/>
    <x v="1"/>
    <x v="2"/>
    <x v="1"/>
    <x v="2"/>
    <x v="0"/>
    <x v="2"/>
    <x v="3"/>
    <x v="4"/>
    <x v="147"/>
    <x v="5"/>
    <x v="0"/>
    <x v="0"/>
    <x v="1"/>
    <x v="0"/>
    <x v="0"/>
    <x v="0"/>
    <x v="0"/>
  </r>
  <r>
    <x v="283"/>
    <x v="153"/>
    <x v="153"/>
    <x v="151"/>
    <x v="230"/>
    <x v="1"/>
    <x v="2"/>
    <x v="159"/>
    <x v="134"/>
    <x v="1"/>
    <x v="73"/>
    <x v="0"/>
    <x v="0"/>
    <x v="1"/>
    <x v="1"/>
    <x v="3"/>
    <x v="2"/>
    <x v="1"/>
    <x v="2"/>
    <x v="1"/>
    <x v="1"/>
    <x v="61"/>
    <x v="1"/>
    <x v="1"/>
    <x v="2"/>
    <x v="152"/>
    <x v="4"/>
    <x v="3"/>
    <x v="0"/>
    <x v="1"/>
    <x v="0"/>
    <x v="172"/>
    <x v="85"/>
    <x v="0"/>
  </r>
  <r>
    <x v="284"/>
    <x v="110"/>
    <x v="109"/>
    <x v="108"/>
    <x v="231"/>
    <x v="1"/>
    <x v="2"/>
    <x v="115"/>
    <x v="108"/>
    <x v="1"/>
    <x v="15"/>
    <x v="0"/>
    <x v="0"/>
    <x v="1"/>
    <x v="3"/>
    <x v="3"/>
    <x v="2"/>
    <x v="2"/>
    <x v="2"/>
    <x v="1"/>
    <x v="1"/>
    <x v="60"/>
    <x v="1"/>
    <x v="1"/>
    <x v="2"/>
    <x v="109"/>
    <x v="5"/>
    <x v="1"/>
    <x v="1"/>
    <x v="1"/>
    <x v="0"/>
    <x v="173"/>
    <x v="0"/>
    <x v="82"/>
  </r>
  <r>
    <x v="285"/>
    <x v="46"/>
    <x v="45"/>
    <x v="45"/>
    <x v="0"/>
    <x v="1"/>
    <x v="2"/>
    <x v="48"/>
    <x v="48"/>
    <x v="1"/>
    <x v="3"/>
    <x v="0"/>
    <x v="0"/>
    <x v="3"/>
    <x v="1"/>
    <x v="1"/>
    <x v="2"/>
    <x v="1"/>
    <x v="2"/>
    <x v="1"/>
    <x v="2"/>
    <x v="0"/>
    <x v="2"/>
    <x v="3"/>
    <x v="4"/>
    <x v="45"/>
    <x v="5"/>
    <x v="0"/>
    <x v="0"/>
    <x v="1"/>
    <x v="0"/>
    <x v="0"/>
    <x v="0"/>
    <x v="0"/>
  </r>
  <r>
    <x v="286"/>
    <x v="154"/>
    <x v="154"/>
    <x v="152"/>
    <x v="232"/>
    <x v="1"/>
    <x v="3"/>
    <x v="160"/>
    <x v="114"/>
    <x v="1"/>
    <x v="15"/>
    <x v="0"/>
    <x v="0"/>
    <x v="1"/>
    <x v="1"/>
    <x v="1"/>
    <x v="2"/>
    <x v="1"/>
    <x v="2"/>
    <x v="1"/>
    <x v="2"/>
    <x v="0"/>
    <x v="1"/>
    <x v="1"/>
    <x v="2"/>
    <x v="153"/>
    <x v="5"/>
    <x v="0"/>
    <x v="0"/>
    <x v="1"/>
    <x v="0"/>
    <x v="0"/>
    <x v="0"/>
    <x v="83"/>
  </r>
  <r>
    <x v="287"/>
    <x v="149"/>
    <x v="149"/>
    <x v="147"/>
    <x v="233"/>
    <x v="3"/>
    <x v="2"/>
    <x v="154"/>
    <x v="119"/>
    <x v="1"/>
    <x v="71"/>
    <x v="0"/>
    <x v="0"/>
    <x v="3"/>
    <x v="1"/>
    <x v="1"/>
    <x v="2"/>
    <x v="1"/>
    <x v="2"/>
    <x v="1"/>
    <x v="2"/>
    <x v="0"/>
    <x v="1"/>
    <x v="3"/>
    <x v="4"/>
    <x v="148"/>
    <x v="1"/>
    <x v="0"/>
    <x v="0"/>
    <x v="1"/>
    <x v="0"/>
    <x v="0"/>
    <x v="0"/>
    <x v="0"/>
  </r>
  <r>
    <x v="288"/>
    <x v="152"/>
    <x v="152"/>
    <x v="150"/>
    <x v="234"/>
    <x v="3"/>
    <x v="2"/>
    <x v="157"/>
    <x v="114"/>
    <x v="1"/>
    <x v="74"/>
    <x v="0"/>
    <x v="0"/>
    <x v="1"/>
    <x v="1"/>
    <x v="2"/>
    <x v="2"/>
    <x v="2"/>
    <x v="2"/>
    <x v="2"/>
    <x v="2"/>
    <x v="0"/>
    <x v="1"/>
    <x v="5"/>
    <x v="2"/>
    <x v="151"/>
    <x v="5"/>
    <x v="0"/>
    <x v="0"/>
    <x v="1"/>
    <x v="0"/>
    <x v="0"/>
    <x v="86"/>
    <x v="84"/>
  </r>
  <r>
    <x v="289"/>
    <x v="150"/>
    <x v="150"/>
    <x v="148"/>
    <x v="235"/>
    <x v="1"/>
    <x v="2"/>
    <x v="155"/>
    <x v="130"/>
    <x v="1"/>
    <x v="3"/>
    <x v="0"/>
    <x v="0"/>
    <x v="3"/>
    <x v="1"/>
    <x v="1"/>
    <x v="2"/>
    <x v="1"/>
    <x v="3"/>
    <x v="1"/>
    <x v="1"/>
    <x v="62"/>
    <x v="1"/>
    <x v="3"/>
    <x v="4"/>
    <x v="149"/>
    <x v="7"/>
    <x v="1"/>
    <x v="4"/>
    <x v="2"/>
    <x v="1"/>
    <x v="0"/>
    <x v="87"/>
    <x v="85"/>
  </r>
  <r>
    <x v="290"/>
    <x v="155"/>
    <x v="155"/>
    <x v="153"/>
    <x v="236"/>
    <x v="1"/>
    <x v="1"/>
    <x v="161"/>
    <x v="135"/>
    <x v="1"/>
    <x v="75"/>
    <x v="0"/>
    <x v="0"/>
    <x v="1"/>
    <x v="1"/>
    <x v="1"/>
    <x v="2"/>
    <x v="1"/>
    <x v="2"/>
    <x v="1"/>
    <x v="2"/>
    <x v="0"/>
    <x v="1"/>
    <x v="1"/>
    <x v="2"/>
    <x v="154"/>
    <x v="5"/>
    <x v="0"/>
    <x v="0"/>
    <x v="1"/>
    <x v="0"/>
    <x v="0"/>
    <x v="0"/>
    <x v="0"/>
  </r>
  <r>
    <x v="291"/>
    <x v="156"/>
    <x v="156"/>
    <x v="154"/>
    <x v="237"/>
    <x v="1"/>
    <x v="1"/>
    <x v="162"/>
    <x v="35"/>
    <x v="1"/>
    <x v="4"/>
    <x v="0"/>
    <x v="0"/>
    <x v="1"/>
    <x v="2"/>
    <x v="3"/>
    <x v="2"/>
    <x v="1"/>
    <x v="2"/>
    <x v="1"/>
    <x v="1"/>
    <x v="61"/>
    <x v="1"/>
    <x v="1"/>
    <x v="2"/>
    <x v="155"/>
    <x v="5"/>
    <x v="1"/>
    <x v="7"/>
    <x v="1"/>
    <x v="0"/>
    <x v="174"/>
    <x v="0"/>
    <x v="0"/>
  </r>
  <r>
    <x v="292"/>
    <x v="110"/>
    <x v="109"/>
    <x v="108"/>
    <x v="0"/>
    <x v="1"/>
    <x v="2"/>
    <x v="115"/>
    <x v="136"/>
    <x v="1"/>
    <x v="15"/>
    <x v="0"/>
    <x v="0"/>
    <x v="3"/>
    <x v="4"/>
    <x v="1"/>
    <x v="2"/>
    <x v="2"/>
    <x v="2"/>
    <x v="1"/>
    <x v="2"/>
    <x v="0"/>
    <x v="2"/>
    <x v="3"/>
    <x v="4"/>
    <x v="109"/>
    <x v="5"/>
    <x v="0"/>
    <x v="0"/>
    <x v="1"/>
    <x v="0"/>
    <x v="0"/>
    <x v="0"/>
    <x v="0"/>
  </r>
  <r>
    <x v="293"/>
    <x v="69"/>
    <x v="68"/>
    <x v="67"/>
    <x v="238"/>
    <x v="3"/>
    <x v="2"/>
    <x v="72"/>
    <x v="68"/>
    <x v="1"/>
    <x v="4"/>
    <x v="0"/>
    <x v="0"/>
    <x v="1"/>
    <x v="3"/>
    <x v="2"/>
    <x v="2"/>
    <x v="1"/>
    <x v="3"/>
    <x v="1"/>
    <x v="1"/>
    <x v="61"/>
    <x v="1"/>
    <x v="1"/>
    <x v="2"/>
    <x v="67"/>
    <x v="1"/>
    <x v="3"/>
    <x v="11"/>
    <x v="1"/>
    <x v="0"/>
    <x v="175"/>
    <x v="88"/>
    <x v="0"/>
  </r>
  <r>
    <x v="294"/>
    <x v="52"/>
    <x v="51"/>
    <x v="50"/>
    <x v="239"/>
    <x v="1"/>
    <x v="1"/>
    <x v="54"/>
    <x v="54"/>
    <x v="1"/>
    <x v="76"/>
    <x v="0"/>
    <x v="0"/>
    <x v="1"/>
    <x v="3"/>
    <x v="3"/>
    <x v="2"/>
    <x v="1"/>
    <x v="2"/>
    <x v="1"/>
    <x v="1"/>
    <x v="61"/>
    <x v="1"/>
    <x v="5"/>
    <x v="2"/>
    <x v="50"/>
    <x v="7"/>
    <x v="1"/>
    <x v="4"/>
    <x v="2"/>
    <x v="1"/>
    <x v="176"/>
    <x v="89"/>
    <x v="86"/>
  </r>
  <r>
    <x v="295"/>
    <x v="156"/>
    <x v="156"/>
    <x v="154"/>
    <x v="237"/>
    <x v="1"/>
    <x v="1"/>
    <x v="162"/>
    <x v="35"/>
    <x v="1"/>
    <x v="4"/>
    <x v="0"/>
    <x v="0"/>
    <x v="3"/>
    <x v="4"/>
    <x v="1"/>
    <x v="2"/>
    <x v="1"/>
    <x v="2"/>
    <x v="1"/>
    <x v="2"/>
    <x v="0"/>
    <x v="2"/>
    <x v="3"/>
    <x v="4"/>
    <x v="155"/>
    <x v="7"/>
    <x v="0"/>
    <x v="0"/>
    <x v="1"/>
    <x v="0"/>
    <x v="0"/>
    <x v="0"/>
    <x v="0"/>
  </r>
  <r>
    <x v="296"/>
    <x v="52"/>
    <x v="51"/>
    <x v="50"/>
    <x v="240"/>
    <x v="1"/>
    <x v="2"/>
    <x v="54"/>
    <x v="54"/>
    <x v="1"/>
    <x v="72"/>
    <x v="0"/>
    <x v="0"/>
    <x v="3"/>
    <x v="1"/>
    <x v="1"/>
    <x v="2"/>
    <x v="1"/>
    <x v="3"/>
    <x v="1"/>
    <x v="2"/>
    <x v="0"/>
    <x v="1"/>
    <x v="3"/>
    <x v="4"/>
    <x v="50"/>
    <x v="1"/>
    <x v="0"/>
    <x v="0"/>
    <x v="1"/>
    <x v="0"/>
    <x v="0"/>
    <x v="0"/>
    <x v="0"/>
  </r>
  <r>
    <x v="297"/>
    <x v="157"/>
    <x v="157"/>
    <x v="155"/>
    <x v="241"/>
    <x v="3"/>
    <x v="4"/>
    <x v="163"/>
    <x v="30"/>
    <x v="1"/>
    <x v="15"/>
    <x v="0"/>
    <x v="0"/>
    <x v="1"/>
    <x v="1"/>
    <x v="1"/>
    <x v="1"/>
    <x v="1"/>
    <x v="2"/>
    <x v="1"/>
    <x v="1"/>
    <x v="63"/>
    <x v="1"/>
    <x v="1"/>
    <x v="2"/>
    <x v="156"/>
    <x v="7"/>
    <x v="1"/>
    <x v="1"/>
    <x v="1"/>
    <x v="0"/>
    <x v="177"/>
    <x v="0"/>
    <x v="87"/>
  </r>
  <r>
    <x v="298"/>
    <x v="158"/>
    <x v="158"/>
    <x v="156"/>
    <x v="242"/>
    <x v="1"/>
    <x v="2"/>
    <x v="164"/>
    <x v="137"/>
    <x v="1"/>
    <x v="31"/>
    <x v="0"/>
    <x v="0"/>
    <x v="1"/>
    <x v="1"/>
    <x v="1"/>
    <x v="2"/>
    <x v="1"/>
    <x v="2"/>
    <x v="2"/>
    <x v="1"/>
    <x v="63"/>
    <x v="1"/>
    <x v="6"/>
    <x v="2"/>
    <x v="157"/>
    <x v="5"/>
    <x v="1"/>
    <x v="8"/>
    <x v="2"/>
    <x v="1"/>
    <x v="178"/>
    <x v="0"/>
    <x v="88"/>
  </r>
  <r>
    <x v="299"/>
    <x v="157"/>
    <x v="157"/>
    <x v="155"/>
    <x v="0"/>
    <x v="3"/>
    <x v="4"/>
    <x v="163"/>
    <x v="30"/>
    <x v="1"/>
    <x v="15"/>
    <x v="0"/>
    <x v="0"/>
    <x v="3"/>
    <x v="3"/>
    <x v="3"/>
    <x v="2"/>
    <x v="1"/>
    <x v="2"/>
    <x v="1"/>
    <x v="1"/>
    <x v="62"/>
    <x v="2"/>
    <x v="3"/>
    <x v="4"/>
    <x v="156"/>
    <x v="5"/>
    <x v="3"/>
    <x v="0"/>
    <x v="1"/>
    <x v="0"/>
    <x v="179"/>
    <x v="0"/>
    <x v="0"/>
  </r>
  <r>
    <x v="300"/>
    <x v="158"/>
    <x v="158"/>
    <x v="156"/>
    <x v="243"/>
    <x v="1"/>
    <x v="2"/>
    <x v="164"/>
    <x v="137"/>
    <x v="1"/>
    <x v="31"/>
    <x v="0"/>
    <x v="0"/>
    <x v="3"/>
    <x v="1"/>
    <x v="1"/>
    <x v="2"/>
    <x v="1"/>
    <x v="2"/>
    <x v="2"/>
    <x v="2"/>
    <x v="0"/>
    <x v="1"/>
    <x v="3"/>
    <x v="4"/>
    <x v="157"/>
    <x v="8"/>
    <x v="0"/>
    <x v="0"/>
    <x v="1"/>
    <x v="0"/>
    <x v="0"/>
    <x v="0"/>
    <x v="0"/>
  </r>
  <r>
    <x v="301"/>
    <x v="46"/>
    <x v="45"/>
    <x v="45"/>
    <x v="244"/>
    <x v="1"/>
    <x v="2"/>
    <x v="48"/>
    <x v="48"/>
    <x v="1"/>
    <x v="70"/>
    <x v="0"/>
    <x v="0"/>
    <x v="1"/>
    <x v="1"/>
    <x v="1"/>
    <x v="2"/>
    <x v="1"/>
    <x v="2"/>
    <x v="1"/>
    <x v="2"/>
    <x v="0"/>
    <x v="1"/>
    <x v="6"/>
    <x v="2"/>
    <x v="45"/>
    <x v="8"/>
    <x v="0"/>
    <x v="0"/>
    <x v="1"/>
    <x v="0"/>
    <x v="0"/>
    <x v="0"/>
    <x v="89"/>
  </r>
  <r>
    <x v="302"/>
    <x v="150"/>
    <x v="150"/>
    <x v="148"/>
    <x v="245"/>
    <x v="1"/>
    <x v="2"/>
    <x v="155"/>
    <x v="130"/>
    <x v="1"/>
    <x v="3"/>
    <x v="0"/>
    <x v="0"/>
    <x v="3"/>
    <x v="1"/>
    <x v="1"/>
    <x v="2"/>
    <x v="1"/>
    <x v="3"/>
    <x v="1"/>
    <x v="2"/>
    <x v="0"/>
    <x v="1"/>
    <x v="3"/>
    <x v="4"/>
    <x v="149"/>
    <x v="1"/>
    <x v="0"/>
    <x v="0"/>
    <x v="1"/>
    <x v="0"/>
    <x v="0"/>
    <x v="0"/>
    <x v="0"/>
  </r>
  <r>
    <x v="303"/>
    <x v="159"/>
    <x v="159"/>
    <x v="157"/>
    <x v="246"/>
    <x v="1"/>
    <x v="2"/>
    <x v="165"/>
    <x v="95"/>
    <x v="1"/>
    <x v="77"/>
    <x v="0"/>
    <x v="0"/>
    <x v="1"/>
    <x v="1"/>
    <x v="1"/>
    <x v="2"/>
    <x v="1"/>
    <x v="2"/>
    <x v="1"/>
    <x v="2"/>
    <x v="0"/>
    <x v="1"/>
    <x v="4"/>
    <x v="2"/>
    <x v="158"/>
    <x v="7"/>
    <x v="0"/>
    <x v="0"/>
    <x v="1"/>
    <x v="0"/>
    <x v="0"/>
    <x v="0"/>
    <x v="0"/>
  </r>
  <r>
    <x v="304"/>
    <x v="160"/>
    <x v="160"/>
    <x v="158"/>
    <x v="247"/>
    <x v="1"/>
    <x v="1"/>
    <x v="166"/>
    <x v="138"/>
    <x v="1"/>
    <x v="78"/>
    <x v="0"/>
    <x v="0"/>
    <x v="1"/>
    <x v="5"/>
    <x v="1"/>
    <x v="2"/>
    <x v="1"/>
    <x v="3"/>
    <x v="2"/>
    <x v="1"/>
    <x v="64"/>
    <x v="1"/>
    <x v="1"/>
    <x v="13"/>
    <x v="159"/>
    <x v="4"/>
    <x v="1"/>
    <x v="1"/>
    <x v="1"/>
    <x v="0"/>
    <x v="180"/>
    <x v="0"/>
    <x v="90"/>
  </r>
  <r>
    <x v="305"/>
    <x v="161"/>
    <x v="161"/>
    <x v="159"/>
    <x v="248"/>
    <x v="3"/>
    <x v="2"/>
    <x v="167"/>
    <x v="139"/>
    <x v="1"/>
    <x v="22"/>
    <x v="0"/>
    <x v="0"/>
    <x v="1"/>
    <x v="1"/>
    <x v="3"/>
    <x v="2"/>
    <x v="1"/>
    <x v="2"/>
    <x v="1"/>
    <x v="1"/>
    <x v="65"/>
    <x v="1"/>
    <x v="1"/>
    <x v="2"/>
    <x v="160"/>
    <x v="4"/>
    <x v="1"/>
    <x v="4"/>
    <x v="1"/>
    <x v="0"/>
    <x v="181"/>
    <x v="0"/>
    <x v="91"/>
  </r>
  <r>
    <x v="306"/>
    <x v="162"/>
    <x v="162"/>
    <x v="160"/>
    <x v="249"/>
    <x v="1"/>
    <x v="2"/>
    <x v="168"/>
    <x v="140"/>
    <x v="1"/>
    <x v="15"/>
    <x v="0"/>
    <x v="0"/>
    <x v="1"/>
    <x v="1"/>
    <x v="2"/>
    <x v="2"/>
    <x v="1"/>
    <x v="2"/>
    <x v="1"/>
    <x v="1"/>
    <x v="65"/>
    <x v="1"/>
    <x v="1"/>
    <x v="2"/>
    <x v="161"/>
    <x v="4"/>
    <x v="1"/>
    <x v="4"/>
    <x v="2"/>
    <x v="1"/>
    <x v="182"/>
    <x v="0"/>
    <x v="92"/>
  </r>
  <r>
    <x v="307"/>
    <x v="163"/>
    <x v="163"/>
    <x v="161"/>
    <x v="250"/>
    <x v="1"/>
    <x v="2"/>
    <x v="169"/>
    <x v="141"/>
    <x v="2"/>
    <x v="0"/>
    <x v="6"/>
    <x v="0"/>
    <x v="1"/>
    <x v="2"/>
    <x v="3"/>
    <x v="2"/>
    <x v="1"/>
    <x v="2"/>
    <x v="1"/>
    <x v="1"/>
    <x v="65"/>
    <x v="1"/>
    <x v="1"/>
    <x v="2"/>
    <x v="162"/>
    <x v="1"/>
    <x v="1"/>
    <x v="4"/>
    <x v="2"/>
    <x v="1"/>
    <x v="183"/>
    <x v="90"/>
    <x v="93"/>
  </r>
  <r>
    <x v="308"/>
    <x v="164"/>
    <x v="164"/>
    <x v="162"/>
    <x v="251"/>
    <x v="1"/>
    <x v="2"/>
    <x v="170"/>
    <x v="142"/>
    <x v="1"/>
    <x v="79"/>
    <x v="0"/>
    <x v="0"/>
    <x v="1"/>
    <x v="1"/>
    <x v="1"/>
    <x v="2"/>
    <x v="1"/>
    <x v="2"/>
    <x v="1"/>
    <x v="1"/>
    <x v="65"/>
    <x v="1"/>
    <x v="1"/>
    <x v="2"/>
    <x v="163"/>
    <x v="3"/>
    <x v="1"/>
    <x v="3"/>
    <x v="2"/>
    <x v="1"/>
    <x v="184"/>
    <x v="0"/>
    <x v="94"/>
  </r>
  <r>
    <x v="309"/>
    <x v="161"/>
    <x v="161"/>
    <x v="159"/>
    <x v="0"/>
    <x v="3"/>
    <x v="2"/>
    <x v="167"/>
    <x v="143"/>
    <x v="2"/>
    <x v="0"/>
    <x v="5"/>
    <x v="0"/>
    <x v="3"/>
    <x v="4"/>
    <x v="1"/>
    <x v="2"/>
    <x v="1"/>
    <x v="2"/>
    <x v="1"/>
    <x v="2"/>
    <x v="0"/>
    <x v="2"/>
    <x v="3"/>
    <x v="4"/>
    <x v="160"/>
    <x v="1"/>
    <x v="0"/>
    <x v="0"/>
    <x v="1"/>
    <x v="0"/>
    <x v="0"/>
    <x v="0"/>
    <x v="0"/>
  </r>
  <r>
    <x v="310"/>
    <x v="162"/>
    <x v="162"/>
    <x v="160"/>
    <x v="252"/>
    <x v="1"/>
    <x v="2"/>
    <x v="171"/>
    <x v="140"/>
    <x v="1"/>
    <x v="22"/>
    <x v="0"/>
    <x v="0"/>
    <x v="3"/>
    <x v="1"/>
    <x v="1"/>
    <x v="2"/>
    <x v="1"/>
    <x v="2"/>
    <x v="1"/>
    <x v="1"/>
    <x v="66"/>
    <x v="1"/>
    <x v="3"/>
    <x v="4"/>
    <x v="161"/>
    <x v="1"/>
    <x v="1"/>
    <x v="4"/>
    <x v="2"/>
    <x v="1"/>
    <x v="185"/>
    <x v="91"/>
    <x v="95"/>
  </r>
  <r>
    <x v="311"/>
    <x v="162"/>
    <x v="162"/>
    <x v="160"/>
    <x v="249"/>
    <x v="1"/>
    <x v="2"/>
    <x v="168"/>
    <x v="140"/>
    <x v="1"/>
    <x v="22"/>
    <x v="0"/>
    <x v="0"/>
    <x v="1"/>
    <x v="1"/>
    <x v="2"/>
    <x v="2"/>
    <x v="1"/>
    <x v="3"/>
    <x v="1"/>
    <x v="2"/>
    <x v="0"/>
    <x v="1"/>
    <x v="1"/>
    <x v="2"/>
    <x v="161"/>
    <x v="1"/>
    <x v="0"/>
    <x v="0"/>
    <x v="1"/>
    <x v="0"/>
    <x v="0"/>
    <x v="0"/>
    <x v="96"/>
  </r>
  <r>
    <x v="312"/>
    <x v="165"/>
    <x v="165"/>
    <x v="163"/>
    <x v="253"/>
    <x v="2"/>
    <x v="1"/>
    <x v="172"/>
    <x v="71"/>
    <x v="1"/>
    <x v="9"/>
    <x v="0"/>
    <x v="0"/>
    <x v="1"/>
    <x v="2"/>
    <x v="3"/>
    <x v="2"/>
    <x v="1"/>
    <x v="1"/>
    <x v="1"/>
    <x v="1"/>
    <x v="64"/>
    <x v="1"/>
    <x v="1"/>
    <x v="2"/>
    <x v="164"/>
    <x v="3"/>
    <x v="1"/>
    <x v="1"/>
    <x v="1"/>
    <x v="0"/>
    <x v="186"/>
    <x v="0"/>
    <x v="97"/>
  </r>
  <r>
    <x v="313"/>
    <x v="163"/>
    <x v="163"/>
    <x v="161"/>
    <x v="254"/>
    <x v="1"/>
    <x v="2"/>
    <x v="169"/>
    <x v="141"/>
    <x v="1"/>
    <x v="15"/>
    <x v="0"/>
    <x v="0"/>
    <x v="3"/>
    <x v="1"/>
    <x v="1"/>
    <x v="2"/>
    <x v="1"/>
    <x v="2"/>
    <x v="1"/>
    <x v="2"/>
    <x v="0"/>
    <x v="1"/>
    <x v="3"/>
    <x v="4"/>
    <x v="162"/>
    <x v="1"/>
    <x v="0"/>
    <x v="0"/>
    <x v="1"/>
    <x v="0"/>
    <x v="0"/>
    <x v="0"/>
    <x v="0"/>
  </r>
  <r>
    <x v="314"/>
    <x v="164"/>
    <x v="164"/>
    <x v="162"/>
    <x v="255"/>
    <x v="1"/>
    <x v="2"/>
    <x v="173"/>
    <x v="144"/>
    <x v="1"/>
    <x v="79"/>
    <x v="0"/>
    <x v="0"/>
    <x v="3"/>
    <x v="1"/>
    <x v="1"/>
    <x v="2"/>
    <x v="1"/>
    <x v="2"/>
    <x v="1"/>
    <x v="2"/>
    <x v="0"/>
    <x v="2"/>
    <x v="3"/>
    <x v="4"/>
    <x v="163"/>
    <x v="3"/>
    <x v="0"/>
    <x v="0"/>
    <x v="1"/>
    <x v="0"/>
    <x v="0"/>
    <x v="0"/>
    <x v="0"/>
  </r>
  <r>
    <x v="315"/>
    <x v="166"/>
    <x v="166"/>
    <x v="164"/>
    <x v="256"/>
    <x v="1"/>
    <x v="2"/>
    <x v="174"/>
    <x v="145"/>
    <x v="1"/>
    <x v="2"/>
    <x v="0"/>
    <x v="0"/>
    <x v="1"/>
    <x v="1"/>
    <x v="1"/>
    <x v="2"/>
    <x v="1"/>
    <x v="1"/>
    <x v="1"/>
    <x v="2"/>
    <x v="0"/>
    <x v="1"/>
    <x v="1"/>
    <x v="5"/>
    <x v="165"/>
    <x v="3"/>
    <x v="0"/>
    <x v="0"/>
    <x v="1"/>
    <x v="0"/>
    <x v="0"/>
    <x v="0"/>
    <x v="0"/>
  </r>
  <r>
    <x v="316"/>
    <x v="78"/>
    <x v="77"/>
    <x v="76"/>
    <x v="257"/>
    <x v="1"/>
    <x v="2"/>
    <x v="81"/>
    <x v="78"/>
    <x v="1"/>
    <x v="2"/>
    <x v="0"/>
    <x v="0"/>
    <x v="1"/>
    <x v="3"/>
    <x v="3"/>
    <x v="2"/>
    <x v="1"/>
    <x v="2"/>
    <x v="1"/>
    <x v="1"/>
    <x v="64"/>
    <x v="1"/>
    <x v="1"/>
    <x v="2"/>
    <x v="76"/>
    <x v="1"/>
    <x v="1"/>
    <x v="4"/>
    <x v="2"/>
    <x v="1"/>
    <x v="187"/>
    <x v="0"/>
    <x v="98"/>
  </r>
  <r>
    <x v="317"/>
    <x v="167"/>
    <x v="167"/>
    <x v="165"/>
    <x v="258"/>
    <x v="1"/>
    <x v="2"/>
    <x v="175"/>
    <x v="10"/>
    <x v="1"/>
    <x v="15"/>
    <x v="0"/>
    <x v="0"/>
    <x v="1"/>
    <x v="3"/>
    <x v="2"/>
    <x v="2"/>
    <x v="1"/>
    <x v="1"/>
    <x v="1"/>
    <x v="1"/>
    <x v="67"/>
    <x v="1"/>
    <x v="1"/>
    <x v="1"/>
    <x v="166"/>
    <x v="1"/>
    <x v="3"/>
    <x v="0"/>
    <x v="1"/>
    <x v="0"/>
    <x v="188"/>
    <x v="92"/>
    <x v="0"/>
  </r>
  <r>
    <x v="318"/>
    <x v="141"/>
    <x v="141"/>
    <x v="139"/>
    <x v="259"/>
    <x v="1"/>
    <x v="1"/>
    <x v="145"/>
    <x v="125"/>
    <x v="1"/>
    <x v="3"/>
    <x v="0"/>
    <x v="0"/>
    <x v="1"/>
    <x v="3"/>
    <x v="2"/>
    <x v="2"/>
    <x v="2"/>
    <x v="2"/>
    <x v="1"/>
    <x v="1"/>
    <x v="66"/>
    <x v="1"/>
    <x v="1"/>
    <x v="2"/>
    <x v="140"/>
    <x v="5"/>
    <x v="1"/>
    <x v="1"/>
    <x v="2"/>
    <x v="1"/>
    <x v="189"/>
    <x v="0"/>
    <x v="0"/>
  </r>
  <r>
    <x v="319"/>
    <x v="165"/>
    <x v="165"/>
    <x v="163"/>
    <x v="0"/>
    <x v="2"/>
    <x v="1"/>
    <x v="172"/>
    <x v="71"/>
    <x v="1"/>
    <x v="9"/>
    <x v="0"/>
    <x v="0"/>
    <x v="3"/>
    <x v="1"/>
    <x v="1"/>
    <x v="1"/>
    <x v="1"/>
    <x v="2"/>
    <x v="1"/>
    <x v="2"/>
    <x v="0"/>
    <x v="2"/>
    <x v="3"/>
    <x v="4"/>
    <x v="164"/>
    <x v="5"/>
    <x v="0"/>
    <x v="0"/>
    <x v="1"/>
    <x v="0"/>
    <x v="0"/>
    <x v="0"/>
    <x v="0"/>
  </r>
  <r>
    <x v="320"/>
    <x v="78"/>
    <x v="77"/>
    <x v="76"/>
    <x v="260"/>
    <x v="1"/>
    <x v="2"/>
    <x v="81"/>
    <x v="30"/>
    <x v="1"/>
    <x v="2"/>
    <x v="0"/>
    <x v="0"/>
    <x v="3"/>
    <x v="3"/>
    <x v="2"/>
    <x v="2"/>
    <x v="1"/>
    <x v="2"/>
    <x v="1"/>
    <x v="1"/>
    <x v="66"/>
    <x v="1"/>
    <x v="3"/>
    <x v="4"/>
    <x v="76"/>
    <x v="1"/>
    <x v="3"/>
    <x v="0"/>
    <x v="1"/>
    <x v="0"/>
    <x v="190"/>
    <x v="0"/>
    <x v="99"/>
  </r>
  <r>
    <x v="321"/>
    <x v="160"/>
    <x v="160"/>
    <x v="158"/>
    <x v="0"/>
    <x v="1"/>
    <x v="1"/>
    <x v="166"/>
    <x v="10"/>
    <x v="1"/>
    <x v="80"/>
    <x v="0"/>
    <x v="0"/>
    <x v="3"/>
    <x v="1"/>
    <x v="2"/>
    <x v="2"/>
    <x v="1"/>
    <x v="1"/>
    <x v="1"/>
    <x v="1"/>
    <x v="67"/>
    <x v="2"/>
    <x v="3"/>
    <x v="4"/>
    <x v="159"/>
    <x v="5"/>
    <x v="1"/>
    <x v="7"/>
    <x v="2"/>
    <x v="1"/>
    <x v="191"/>
    <x v="0"/>
    <x v="0"/>
  </r>
  <r>
    <x v="322"/>
    <x v="168"/>
    <x v="168"/>
    <x v="166"/>
    <x v="261"/>
    <x v="1"/>
    <x v="3"/>
    <x v="176"/>
    <x v="146"/>
    <x v="1"/>
    <x v="3"/>
    <x v="0"/>
    <x v="0"/>
    <x v="1"/>
    <x v="1"/>
    <x v="1"/>
    <x v="2"/>
    <x v="1"/>
    <x v="2"/>
    <x v="1"/>
    <x v="1"/>
    <x v="66"/>
    <x v="1"/>
    <x v="2"/>
    <x v="2"/>
    <x v="167"/>
    <x v="5"/>
    <x v="1"/>
    <x v="2"/>
    <x v="2"/>
    <x v="1"/>
    <x v="192"/>
    <x v="0"/>
    <x v="0"/>
  </r>
  <r>
    <x v="323"/>
    <x v="169"/>
    <x v="169"/>
    <x v="167"/>
    <x v="262"/>
    <x v="1"/>
    <x v="2"/>
    <x v="177"/>
    <x v="147"/>
    <x v="1"/>
    <x v="15"/>
    <x v="0"/>
    <x v="0"/>
    <x v="1"/>
    <x v="1"/>
    <x v="1"/>
    <x v="2"/>
    <x v="1"/>
    <x v="2"/>
    <x v="1"/>
    <x v="2"/>
    <x v="0"/>
    <x v="2"/>
    <x v="2"/>
    <x v="2"/>
    <x v="168"/>
    <x v="5"/>
    <x v="0"/>
    <x v="0"/>
    <x v="1"/>
    <x v="0"/>
    <x v="0"/>
    <x v="0"/>
    <x v="0"/>
  </r>
  <r>
    <x v="324"/>
    <x v="168"/>
    <x v="168"/>
    <x v="166"/>
    <x v="263"/>
    <x v="1"/>
    <x v="3"/>
    <x v="178"/>
    <x v="146"/>
    <x v="1"/>
    <x v="3"/>
    <x v="0"/>
    <x v="0"/>
    <x v="3"/>
    <x v="1"/>
    <x v="1"/>
    <x v="1"/>
    <x v="1"/>
    <x v="2"/>
    <x v="1"/>
    <x v="1"/>
    <x v="68"/>
    <x v="1"/>
    <x v="3"/>
    <x v="4"/>
    <x v="167"/>
    <x v="4"/>
    <x v="3"/>
    <x v="0"/>
    <x v="1"/>
    <x v="0"/>
    <x v="193"/>
    <x v="93"/>
    <x v="0"/>
  </r>
  <r>
    <x v="325"/>
    <x v="141"/>
    <x v="141"/>
    <x v="139"/>
    <x v="264"/>
    <x v="1"/>
    <x v="1"/>
    <x v="145"/>
    <x v="125"/>
    <x v="1"/>
    <x v="3"/>
    <x v="0"/>
    <x v="0"/>
    <x v="3"/>
    <x v="3"/>
    <x v="3"/>
    <x v="2"/>
    <x v="2"/>
    <x v="2"/>
    <x v="1"/>
    <x v="1"/>
    <x v="69"/>
    <x v="1"/>
    <x v="3"/>
    <x v="4"/>
    <x v="140"/>
    <x v="5"/>
    <x v="3"/>
    <x v="0"/>
    <x v="1"/>
    <x v="0"/>
    <x v="194"/>
    <x v="0"/>
    <x v="0"/>
  </r>
  <r>
    <x v="326"/>
    <x v="162"/>
    <x v="162"/>
    <x v="160"/>
    <x v="265"/>
    <x v="1"/>
    <x v="2"/>
    <x v="168"/>
    <x v="33"/>
    <x v="1"/>
    <x v="22"/>
    <x v="0"/>
    <x v="0"/>
    <x v="3"/>
    <x v="1"/>
    <x v="1"/>
    <x v="2"/>
    <x v="1"/>
    <x v="3"/>
    <x v="1"/>
    <x v="1"/>
    <x v="70"/>
    <x v="1"/>
    <x v="3"/>
    <x v="4"/>
    <x v="161"/>
    <x v="1"/>
    <x v="3"/>
    <x v="0"/>
    <x v="1"/>
    <x v="0"/>
    <x v="195"/>
    <x v="94"/>
    <x v="0"/>
  </r>
  <r>
    <x v="327"/>
    <x v="170"/>
    <x v="170"/>
    <x v="168"/>
    <x v="266"/>
    <x v="1"/>
    <x v="2"/>
    <x v="179"/>
    <x v="145"/>
    <x v="1"/>
    <x v="3"/>
    <x v="0"/>
    <x v="0"/>
    <x v="1"/>
    <x v="3"/>
    <x v="2"/>
    <x v="2"/>
    <x v="1"/>
    <x v="1"/>
    <x v="1"/>
    <x v="1"/>
    <x v="69"/>
    <x v="1"/>
    <x v="1"/>
    <x v="2"/>
    <x v="169"/>
    <x v="1"/>
    <x v="3"/>
    <x v="0"/>
    <x v="1"/>
    <x v="0"/>
    <x v="196"/>
    <x v="0"/>
    <x v="100"/>
  </r>
  <r>
    <x v="328"/>
    <x v="171"/>
    <x v="171"/>
    <x v="169"/>
    <x v="267"/>
    <x v="1"/>
    <x v="3"/>
    <x v="180"/>
    <x v="148"/>
    <x v="1"/>
    <x v="81"/>
    <x v="0"/>
    <x v="0"/>
    <x v="1"/>
    <x v="5"/>
    <x v="1"/>
    <x v="2"/>
    <x v="1"/>
    <x v="3"/>
    <x v="1"/>
    <x v="1"/>
    <x v="69"/>
    <x v="2"/>
    <x v="1"/>
    <x v="13"/>
    <x v="170"/>
    <x v="4"/>
    <x v="1"/>
    <x v="1"/>
    <x v="1"/>
    <x v="0"/>
    <x v="197"/>
    <x v="0"/>
    <x v="0"/>
  </r>
  <r>
    <x v="329"/>
    <x v="172"/>
    <x v="172"/>
    <x v="170"/>
    <x v="268"/>
    <x v="1"/>
    <x v="2"/>
    <x v="181"/>
    <x v="37"/>
    <x v="1"/>
    <x v="2"/>
    <x v="0"/>
    <x v="0"/>
    <x v="1"/>
    <x v="1"/>
    <x v="1"/>
    <x v="2"/>
    <x v="1"/>
    <x v="2"/>
    <x v="1"/>
    <x v="1"/>
    <x v="67"/>
    <x v="1"/>
    <x v="5"/>
    <x v="2"/>
    <x v="171"/>
    <x v="5"/>
    <x v="1"/>
    <x v="4"/>
    <x v="1"/>
    <x v="0"/>
    <x v="198"/>
    <x v="0"/>
    <x v="0"/>
  </r>
  <r>
    <x v="330"/>
    <x v="173"/>
    <x v="56"/>
    <x v="55"/>
    <x v="269"/>
    <x v="3"/>
    <x v="2"/>
    <x v="60"/>
    <x v="30"/>
    <x v="1"/>
    <x v="82"/>
    <x v="0"/>
    <x v="0"/>
    <x v="1"/>
    <x v="1"/>
    <x v="1"/>
    <x v="2"/>
    <x v="1"/>
    <x v="2"/>
    <x v="1"/>
    <x v="2"/>
    <x v="0"/>
    <x v="1"/>
    <x v="5"/>
    <x v="2"/>
    <x v="55"/>
    <x v="5"/>
    <x v="0"/>
    <x v="0"/>
    <x v="1"/>
    <x v="0"/>
    <x v="0"/>
    <x v="0"/>
    <x v="0"/>
  </r>
  <r>
    <x v="331"/>
    <x v="172"/>
    <x v="172"/>
    <x v="170"/>
    <x v="0"/>
    <x v="1"/>
    <x v="2"/>
    <x v="182"/>
    <x v="37"/>
    <x v="1"/>
    <x v="2"/>
    <x v="0"/>
    <x v="0"/>
    <x v="3"/>
    <x v="1"/>
    <x v="1"/>
    <x v="2"/>
    <x v="1"/>
    <x v="2"/>
    <x v="1"/>
    <x v="2"/>
    <x v="0"/>
    <x v="2"/>
    <x v="3"/>
    <x v="4"/>
    <x v="171"/>
    <x v="1"/>
    <x v="0"/>
    <x v="0"/>
    <x v="1"/>
    <x v="0"/>
    <x v="0"/>
    <x v="0"/>
    <x v="0"/>
  </r>
  <r>
    <x v="332"/>
    <x v="160"/>
    <x v="160"/>
    <x v="158"/>
    <x v="270"/>
    <x v="1"/>
    <x v="1"/>
    <x v="166"/>
    <x v="149"/>
    <x v="1"/>
    <x v="80"/>
    <x v="0"/>
    <x v="0"/>
    <x v="3"/>
    <x v="1"/>
    <x v="1"/>
    <x v="2"/>
    <x v="1"/>
    <x v="2"/>
    <x v="1"/>
    <x v="2"/>
    <x v="0"/>
    <x v="1"/>
    <x v="3"/>
    <x v="4"/>
    <x v="159"/>
    <x v="7"/>
    <x v="0"/>
    <x v="0"/>
    <x v="1"/>
    <x v="0"/>
    <x v="0"/>
    <x v="0"/>
    <x v="0"/>
  </r>
  <r>
    <x v="333"/>
    <x v="174"/>
    <x v="173"/>
    <x v="171"/>
    <x v="271"/>
    <x v="1"/>
    <x v="1"/>
    <x v="183"/>
    <x v="150"/>
    <x v="1"/>
    <x v="22"/>
    <x v="0"/>
    <x v="0"/>
    <x v="1"/>
    <x v="3"/>
    <x v="3"/>
    <x v="2"/>
    <x v="1"/>
    <x v="1"/>
    <x v="1"/>
    <x v="1"/>
    <x v="69"/>
    <x v="1"/>
    <x v="1"/>
    <x v="2"/>
    <x v="172"/>
    <x v="7"/>
    <x v="1"/>
    <x v="1"/>
    <x v="1"/>
    <x v="0"/>
    <x v="199"/>
    <x v="0"/>
    <x v="101"/>
  </r>
  <r>
    <x v="334"/>
    <x v="175"/>
    <x v="174"/>
    <x v="172"/>
    <x v="272"/>
    <x v="1"/>
    <x v="2"/>
    <x v="184"/>
    <x v="91"/>
    <x v="1"/>
    <x v="15"/>
    <x v="0"/>
    <x v="0"/>
    <x v="1"/>
    <x v="3"/>
    <x v="3"/>
    <x v="2"/>
    <x v="1"/>
    <x v="2"/>
    <x v="1"/>
    <x v="1"/>
    <x v="69"/>
    <x v="1"/>
    <x v="1"/>
    <x v="2"/>
    <x v="173"/>
    <x v="11"/>
    <x v="3"/>
    <x v="0"/>
    <x v="1"/>
    <x v="0"/>
    <x v="200"/>
    <x v="0"/>
    <x v="0"/>
  </r>
  <r>
    <x v="335"/>
    <x v="174"/>
    <x v="173"/>
    <x v="171"/>
    <x v="0"/>
    <x v="1"/>
    <x v="1"/>
    <x v="183"/>
    <x v="150"/>
    <x v="1"/>
    <x v="22"/>
    <x v="0"/>
    <x v="0"/>
    <x v="3"/>
    <x v="1"/>
    <x v="1"/>
    <x v="2"/>
    <x v="1"/>
    <x v="2"/>
    <x v="1"/>
    <x v="2"/>
    <x v="0"/>
    <x v="2"/>
    <x v="3"/>
    <x v="4"/>
    <x v="172"/>
    <x v="5"/>
    <x v="0"/>
    <x v="0"/>
    <x v="1"/>
    <x v="0"/>
    <x v="0"/>
    <x v="0"/>
    <x v="0"/>
  </r>
  <r>
    <x v="336"/>
    <x v="160"/>
    <x v="160"/>
    <x v="158"/>
    <x v="273"/>
    <x v="1"/>
    <x v="1"/>
    <x v="166"/>
    <x v="10"/>
    <x v="1"/>
    <x v="31"/>
    <x v="0"/>
    <x v="0"/>
    <x v="1"/>
    <x v="2"/>
    <x v="3"/>
    <x v="2"/>
    <x v="1"/>
    <x v="2"/>
    <x v="1"/>
    <x v="1"/>
    <x v="71"/>
    <x v="1"/>
    <x v="6"/>
    <x v="2"/>
    <x v="159"/>
    <x v="5"/>
    <x v="1"/>
    <x v="7"/>
    <x v="1"/>
    <x v="0"/>
    <x v="201"/>
    <x v="0"/>
    <x v="0"/>
  </r>
  <r>
    <x v="337"/>
    <x v="171"/>
    <x v="171"/>
    <x v="169"/>
    <x v="274"/>
    <x v="1"/>
    <x v="3"/>
    <x v="180"/>
    <x v="151"/>
    <x v="1"/>
    <x v="31"/>
    <x v="0"/>
    <x v="0"/>
    <x v="3"/>
    <x v="3"/>
    <x v="3"/>
    <x v="2"/>
    <x v="1"/>
    <x v="2"/>
    <x v="1"/>
    <x v="1"/>
    <x v="71"/>
    <x v="1"/>
    <x v="6"/>
    <x v="2"/>
    <x v="170"/>
    <x v="5"/>
    <x v="3"/>
    <x v="0"/>
    <x v="1"/>
    <x v="0"/>
    <x v="202"/>
    <x v="95"/>
    <x v="0"/>
  </r>
  <r>
    <x v="338"/>
    <x v="152"/>
    <x v="152"/>
    <x v="150"/>
    <x v="275"/>
    <x v="3"/>
    <x v="2"/>
    <x v="157"/>
    <x v="114"/>
    <x v="1"/>
    <x v="36"/>
    <x v="0"/>
    <x v="0"/>
    <x v="1"/>
    <x v="1"/>
    <x v="1"/>
    <x v="2"/>
    <x v="2"/>
    <x v="1"/>
    <x v="1"/>
    <x v="2"/>
    <x v="0"/>
    <x v="1"/>
    <x v="6"/>
    <x v="2"/>
    <x v="151"/>
    <x v="5"/>
    <x v="0"/>
    <x v="0"/>
    <x v="1"/>
    <x v="0"/>
    <x v="0"/>
    <x v="0"/>
    <x v="102"/>
  </r>
  <r>
    <x v="339"/>
    <x v="176"/>
    <x v="175"/>
    <x v="173"/>
    <x v="276"/>
    <x v="1"/>
    <x v="1"/>
    <x v="185"/>
    <x v="152"/>
    <x v="1"/>
    <x v="31"/>
    <x v="0"/>
    <x v="0"/>
    <x v="1"/>
    <x v="1"/>
    <x v="1"/>
    <x v="2"/>
    <x v="1"/>
    <x v="2"/>
    <x v="1"/>
    <x v="1"/>
    <x v="68"/>
    <x v="1"/>
    <x v="6"/>
    <x v="2"/>
    <x v="174"/>
    <x v="7"/>
    <x v="1"/>
    <x v="4"/>
    <x v="2"/>
    <x v="1"/>
    <x v="203"/>
    <x v="0"/>
    <x v="0"/>
  </r>
  <r>
    <x v="340"/>
    <x v="111"/>
    <x v="110"/>
    <x v="109"/>
    <x v="277"/>
    <x v="1"/>
    <x v="2"/>
    <x v="116"/>
    <x v="81"/>
    <x v="1"/>
    <x v="24"/>
    <x v="0"/>
    <x v="0"/>
    <x v="1"/>
    <x v="2"/>
    <x v="3"/>
    <x v="2"/>
    <x v="1"/>
    <x v="2"/>
    <x v="1"/>
    <x v="1"/>
    <x v="71"/>
    <x v="1"/>
    <x v="6"/>
    <x v="2"/>
    <x v="110"/>
    <x v="9"/>
    <x v="1"/>
    <x v="1"/>
    <x v="1"/>
    <x v="0"/>
    <x v="204"/>
    <x v="96"/>
    <x v="103"/>
  </r>
  <r>
    <x v="341"/>
    <x v="177"/>
    <x v="160"/>
    <x v="158"/>
    <x v="0"/>
    <x v="1"/>
    <x v="1"/>
    <x v="166"/>
    <x v="10"/>
    <x v="1"/>
    <x v="31"/>
    <x v="0"/>
    <x v="0"/>
    <x v="3"/>
    <x v="4"/>
    <x v="1"/>
    <x v="2"/>
    <x v="1"/>
    <x v="2"/>
    <x v="1"/>
    <x v="2"/>
    <x v="0"/>
    <x v="2"/>
    <x v="3"/>
    <x v="4"/>
    <x v="159"/>
    <x v="7"/>
    <x v="0"/>
    <x v="0"/>
    <x v="1"/>
    <x v="0"/>
    <x v="0"/>
    <x v="0"/>
    <x v="0"/>
  </r>
  <r>
    <x v="342"/>
    <x v="178"/>
    <x v="176"/>
    <x v="174"/>
    <x v="278"/>
    <x v="3"/>
    <x v="2"/>
    <x v="186"/>
    <x v="153"/>
    <x v="1"/>
    <x v="15"/>
    <x v="0"/>
    <x v="0"/>
    <x v="1"/>
    <x v="1"/>
    <x v="1"/>
    <x v="2"/>
    <x v="1"/>
    <x v="2"/>
    <x v="1"/>
    <x v="1"/>
    <x v="68"/>
    <x v="1"/>
    <x v="6"/>
    <x v="2"/>
    <x v="175"/>
    <x v="9"/>
    <x v="3"/>
    <x v="0"/>
    <x v="1"/>
    <x v="0"/>
    <x v="205"/>
    <x v="97"/>
    <x v="0"/>
  </r>
  <r>
    <x v="343"/>
    <x v="176"/>
    <x v="175"/>
    <x v="173"/>
    <x v="279"/>
    <x v="1"/>
    <x v="1"/>
    <x v="185"/>
    <x v="154"/>
    <x v="1"/>
    <x v="31"/>
    <x v="0"/>
    <x v="0"/>
    <x v="3"/>
    <x v="1"/>
    <x v="1"/>
    <x v="2"/>
    <x v="1"/>
    <x v="3"/>
    <x v="1"/>
    <x v="2"/>
    <x v="0"/>
    <x v="1"/>
    <x v="3"/>
    <x v="4"/>
    <x v="174"/>
    <x v="1"/>
    <x v="0"/>
    <x v="0"/>
    <x v="1"/>
    <x v="0"/>
    <x v="0"/>
    <x v="0"/>
    <x v="0"/>
  </r>
  <r>
    <x v="344"/>
    <x v="111"/>
    <x v="110"/>
    <x v="109"/>
    <x v="0"/>
    <x v="1"/>
    <x v="2"/>
    <x v="116"/>
    <x v="155"/>
    <x v="1"/>
    <x v="24"/>
    <x v="0"/>
    <x v="0"/>
    <x v="3"/>
    <x v="4"/>
    <x v="1"/>
    <x v="2"/>
    <x v="1"/>
    <x v="2"/>
    <x v="1"/>
    <x v="2"/>
    <x v="0"/>
    <x v="2"/>
    <x v="3"/>
    <x v="4"/>
    <x v="110"/>
    <x v="1"/>
    <x v="0"/>
    <x v="0"/>
    <x v="1"/>
    <x v="0"/>
    <x v="0"/>
    <x v="0"/>
    <x v="104"/>
  </r>
  <r>
    <x v="345"/>
    <x v="179"/>
    <x v="177"/>
    <x v="175"/>
    <x v="280"/>
    <x v="1"/>
    <x v="2"/>
    <x v="187"/>
    <x v="156"/>
    <x v="1"/>
    <x v="3"/>
    <x v="0"/>
    <x v="0"/>
    <x v="1"/>
    <x v="3"/>
    <x v="2"/>
    <x v="2"/>
    <x v="1"/>
    <x v="2"/>
    <x v="1"/>
    <x v="2"/>
    <x v="0"/>
    <x v="1"/>
    <x v="1"/>
    <x v="2"/>
    <x v="176"/>
    <x v="3"/>
    <x v="0"/>
    <x v="0"/>
    <x v="1"/>
    <x v="0"/>
    <x v="0"/>
    <x v="0"/>
    <x v="0"/>
  </r>
  <r>
    <x v="346"/>
    <x v="175"/>
    <x v="174"/>
    <x v="172"/>
    <x v="281"/>
    <x v="1"/>
    <x v="2"/>
    <x v="184"/>
    <x v="43"/>
    <x v="1"/>
    <x v="15"/>
    <x v="0"/>
    <x v="0"/>
    <x v="1"/>
    <x v="3"/>
    <x v="3"/>
    <x v="1"/>
    <x v="1"/>
    <x v="2"/>
    <x v="1"/>
    <x v="1"/>
    <x v="72"/>
    <x v="1"/>
    <x v="1"/>
    <x v="2"/>
    <x v="173"/>
    <x v="7"/>
    <x v="3"/>
    <x v="0"/>
    <x v="1"/>
    <x v="0"/>
    <x v="206"/>
    <x v="98"/>
    <x v="0"/>
  </r>
  <r>
    <x v="347"/>
    <x v="180"/>
    <x v="178"/>
    <x v="176"/>
    <x v="282"/>
    <x v="1"/>
    <x v="1"/>
    <x v="188"/>
    <x v="157"/>
    <x v="1"/>
    <x v="83"/>
    <x v="0"/>
    <x v="0"/>
    <x v="1"/>
    <x v="1"/>
    <x v="1"/>
    <x v="2"/>
    <x v="1"/>
    <x v="2"/>
    <x v="1"/>
    <x v="2"/>
    <x v="0"/>
    <x v="1"/>
    <x v="1"/>
    <x v="2"/>
    <x v="177"/>
    <x v="3"/>
    <x v="0"/>
    <x v="0"/>
    <x v="1"/>
    <x v="0"/>
    <x v="0"/>
    <x v="0"/>
    <x v="0"/>
  </r>
  <r>
    <x v="348"/>
    <x v="181"/>
    <x v="179"/>
    <x v="177"/>
    <x v="283"/>
    <x v="1"/>
    <x v="3"/>
    <x v="189"/>
    <x v="10"/>
    <x v="1"/>
    <x v="27"/>
    <x v="0"/>
    <x v="0"/>
    <x v="1"/>
    <x v="1"/>
    <x v="1"/>
    <x v="2"/>
    <x v="1"/>
    <x v="1"/>
    <x v="1"/>
    <x v="1"/>
    <x v="72"/>
    <x v="1"/>
    <x v="1"/>
    <x v="2"/>
    <x v="178"/>
    <x v="1"/>
    <x v="1"/>
    <x v="4"/>
    <x v="2"/>
    <x v="1"/>
    <x v="207"/>
    <x v="0"/>
    <x v="105"/>
  </r>
  <r>
    <x v="349"/>
    <x v="181"/>
    <x v="179"/>
    <x v="177"/>
    <x v="284"/>
    <x v="1"/>
    <x v="3"/>
    <x v="189"/>
    <x v="158"/>
    <x v="1"/>
    <x v="15"/>
    <x v="0"/>
    <x v="0"/>
    <x v="3"/>
    <x v="3"/>
    <x v="3"/>
    <x v="2"/>
    <x v="1"/>
    <x v="1"/>
    <x v="1"/>
    <x v="1"/>
    <x v="73"/>
    <x v="1"/>
    <x v="3"/>
    <x v="4"/>
    <x v="178"/>
    <x v="1"/>
    <x v="3"/>
    <x v="0"/>
    <x v="1"/>
    <x v="0"/>
    <x v="208"/>
    <x v="0"/>
    <x v="105"/>
  </r>
  <r>
    <x v="350"/>
    <x v="157"/>
    <x v="157"/>
    <x v="155"/>
    <x v="285"/>
    <x v="3"/>
    <x v="2"/>
    <x v="163"/>
    <x v="30"/>
    <x v="1"/>
    <x v="15"/>
    <x v="0"/>
    <x v="0"/>
    <x v="1"/>
    <x v="1"/>
    <x v="1"/>
    <x v="2"/>
    <x v="1"/>
    <x v="2"/>
    <x v="1"/>
    <x v="1"/>
    <x v="73"/>
    <x v="1"/>
    <x v="1"/>
    <x v="2"/>
    <x v="156"/>
    <x v="3"/>
    <x v="1"/>
    <x v="1"/>
    <x v="1"/>
    <x v="0"/>
    <x v="209"/>
    <x v="0"/>
    <x v="106"/>
  </r>
  <r>
    <x v="351"/>
    <x v="182"/>
    <x v="180"/>
    <x v="178"/>
    <x v="286"/>
    <x v="1"/>
    <x v="1"/>
    <x v="190"/>
    <x v="113"/>
    <x v="1"/>
    <x v="84"/>
    <x v="0"/>
    <x v="0"/>
    <x v="1"/>
    <x v="1"/>
    <x v="1"/>
    <x v="2"/>
    <x v="1"/>
    <x v="3"/>
    <x v="1"/>
    <x v="2"/>
    <x v="0"/>
    <x v="1"/>
    <x v="2"/>
    <x v="2"/>
    <x v="179"/>
    <x v="5"/>
    <x v="0"/>
    <x v="0"/>
    <x v="1"/>
    <x v="0"/>
    <x v="0"/>
    <x v="0"/>
    <x v="0"/>
  </r>
  <r>
    <x v="352"/>
    <x v="157"/>
    <x v="157"/>
    <x v="155"/>
    <x v="287"/>
    <x v="3"/>
    <x v="4"/>
    <x v="163"/>
    <x v="30"/>
    <x v="1"/>
    <x v="15"/>
    <x v="0"/>
    <x v="0"/>
    <x v="3"/>
    <x v="1"/>
    <x v="1"/>
    <x v="2"/>
    <x v="1"/>
    <x v="2"/>
    <x v="2"/>
    <x v="1"/>
    <x v="70"/>
    <x v="1"/>
    <x v="3"/>
    <x v="4"/>
    <x v="156"/>
    <x v="5"/>
    <x v="1"/>
    <x v="12"/>
    <x v="2"/>
    <x v="1"/>
    <x v="210"/>
    <x v="0"/>
    <x v="107"/>
  </r>
  <r>
    <x v="353"/>
    <x v="111"/>
    <x v="110"/>
    <x v="109"/>
    <x v="0"/>
    <x v="1"/>
    <x v="2"/>
    <x v="116"/>
    <x v="81"/>
    <x v="1"/>
    <x v="24"/>
    <x v="0"/>
    <x v="0"/>
    <x v="3"/>
    <x v="1"/>
    <x v="1"/>
    <x v="2"/>
    <x v="1"/>
    <x v="2"/>
    <x v="1"/>
    <x v="2"/>
    <x v="0"/>
    <x v="2"/>
    <x v="3"/>
    <x v="4"/>
    <x v="110"/>
    <x v="5"/>
    <x v="0"/>
    <x v="0"/>
    <x v="1"/>
    <x v="0"/>
    <x v="0"/>
    <x v="0"/>
    <x v="0"/>
  </r>
  <r>
    <x v="354"/>
    <x v="183"/>
    <x v="181"/>
    <x v="179"/>
    <x v="288"/>
    <x v="1"/>
    <x v="2"/>
    <x v="191"/>
    <x v="46"/>
    <x v="2"/>
    <x v="0"/>
    <x v="8"/>
    <x v="0"/>
    <x v="1"/>
    <x v="2"/>
    <x v="3"/>
    <x v="2"/>
    <x v="1"/>
    <x v="1"/>
    <x v="1"/>
    <x v="1"/>
    <x v="74"/>
    <x v="1"/>
    <x v="1"/>
    <x v="2"/>
    <x v="180"/>
    <x v="1"/>
    <x v="3"/>
    <x v="0"/>
    <x v="1"/>
    <x v="0"/>
    <x v="211"/>
    <x v="0"/>
    <x v="108"/>
  </r>
  <r>
    <x v="355"/>
    <x v="184"/>
    <x v="182"/>
    <x v="180"/>
    <x v="289"/>
    <x v="3"/>
    <x v="2"/>
    <x v="192"/>
    <x v="159"/>
    <x v="1"/>
    <x v="36"/>
    <x v="0"/>
    <x v="0"/>
    <x v="1"/>
    <x v="1"/>
    <x v="2"/>
    <x v="2"/>
    <x v="2"/>
    <x v="1"/>
    <x v="1"/>
    <x v="1"/>
    <x v="75"/>
    <x v="1"/>
    <x v="1"/>
    <x v="2"/>
    <x v="181"/>
    <x v="5"/>
    <x v="1"/>
    <x v="1"/>
    <x v="1"/>
    <x v="0"/>
    <x v="212"/>
    <x v="0"/>
    <x v="14"/>
  </r>
  <r>
    <x v="356"/>
    <x v="185"/>
    <x v="183"/>
    <x v="181"/>
    <x v="290"/>
    <x v="1"/>
    <x v="1"/>
    <x v="193"/>
    <x v="10"/>
    <x v="1"/>
    <x v="85"/>
    <x v="0"/>
    <x v="0"/>
    <x v="1"/>
    <x v="1"/>
    <x v="2"/>
    <x v="2"/>
    <x v="1"/>
    <x v="2"/>
    <x v="1"/>
    <x v="1"/>
    <x v="74"/>
    <x v="1"/>
    <x v="1"/>
    <x v="2"/>
    <x v="182"/>
    <x v="5"/>
    <x v="1"/>
    <x v="1"/>
    <x v="1"/>
    <x v="0"/>
    <x v="213"/>
    <x v="0"/>
    <x v="109"/>
  </r>
  <r>
    <x v="357"/>
    <x v="185"/>
    <x v="183"/>
    <x v="181"/>
    <x v="0"/>
    <x v="1"/>
    <x v="1"/>
    <x v="193"/>
    <x v="160"/>
    <x v="1"/>
    <x v="85"/>
    <x v="0"/>
    <x v="0"/>
    <x v="3"/>
    <x v="1"/>
    <x v="1"/>
    <x v="2"/>
    <x v="1"/>
    <x v="2"/>
    <x v="1"/>
    <x v="2"/>
    <x v="0"/>
    <x v="2"/>
    <x v="3"/>
    <x v="4"/>
    <x v="182"/>
    <x v="5"/>
    <x v="0"/>
    <x v="0"/>
    <x v="1"/>
    <x v="0"/>
    <x v="0"/>
    <x v="0"/>
    <x v="0"/>
  </r>
  <r>
    <x v="358"/>
    <x v="136"/>
    <x v="136"/>
    <x v="134"/>
    <x v="291"/>
    <x v="3"/>
    <x v="2"/>
    <x v="140"/>
    <x v="120"/>
    <x v="1"/>
    <x v="22"/>
    <x v="0"/>
    <x v="0"/>
    <x v="1"/>
    <x v="2"/>
    <x v="3"/>
    <x v="2"/>
    <x v="2"/>
    <x v="2"/>
    <x v="1"/>
    <x v="1"/>
    <x v="75"/>
    <x v="1"/>
    <x v="5"/>
    <x v="2"/>
    <x v="135"/>
    <x v="5"/>
    <x v="1"/>
    <x v="1"/>
    <x v="1"/>
    <x v="0"/>
    <x v="214"/>
    <x v="0"/>
    <x v="110"/>
  </r>
  <r>
    <x v="359"/>
    <x v="157"/>
    <x v="157"/>
    <x v="155"/>
    <x v="292"/>
    <x v="3"/>
    <x v="2"/>
    <x v="163"/>
    <x v="30"/>
    <x v="1"/>
    <x v="15"/>
    <x v="0"/>
    <x v="0"/>
    <x v="3"/>
    <x v="1"/>
    <x v="1"/>
    <x v="2"/>
    <x v="1"/>
    <x v="2"/>
    <x v="1"/>
    <x v="2"/>
    <x v="0"/>
    <x v="1"/>
    <x v="3"/>
    <x v="4"/>
    <x v="156"/>
    <x v="11"/>
    <x v="0"/>
    <x v="0"/>
    <x v="1"/>
    <x v="0"/>
    <x v="0"/>
    <x v="0"/>
    <x v="0"/>
  </r>
  <r>
    <x v="360"/>
    <x v="57"/>
    <x v="56"/>
    <x v="55"/>
    <x v="293"/>
    <x v="3"/>
    <x v="2"/>
    <x v="60"/>
    <x v="30"/>
    <x v="1"/>
    <x v="86"/>
    <x v="0"/>
    <x v="0"/>
    <x v="1"/>
    <x v="1"/>
    <x v="1"/>
    <x v="2"/>
    <x v="1"/>
    <x v="2"/>
    <x v="1"/>
    <x v="2"/>
    <x v="0"/>
    <x v="1"/>
    <x v="1"/>
    <x v="2"/>
    <x v="55"/>
    <x v="11"/>
    <x v="0"/>
    <x v="0"/>
    <x v="1"/>
    <x v="0"/>
    <x v="0"/>
    <x v="0"/>
    <x v="0"/>
  </r>
  <r>
    <x v="361"/>
    <x v="136"/>
    <x v="136"/>
    <x v="134"/>
    <x v="0"/>
    <x v="3"/>
    <x v="2"/>
    <x v="140"/>
    <x v="120"/>
    <x v="1"/>
    <x v="22"/>
    <x v="0"/>
    <x v="0"/>
    <x v="3"/>
    <x v="1"/>
    <x v="1"/>
    <x v="2"/>
    <x v="2"/>
    <x v="2"/>
    <x v="1"/>
    <x v="2"/>
    <x v="0"/>
    <x v="2"/>
    <x v="3"/>
    <x v="4"/>
    <x v="135"/>
    <x v="5"/>
    <x v="0"/>
    <x v="0"/>
    <x v="1"/>
    <x v="0"/>
    <x v="0"/>
    <x v="0"/>
    <x v="0"/>
  </r>
  <r>
    <x v="362"/>
    <x v="186"/>
    <x v="184"/>
    <x v="182"/>
    <x v="294"/>
    <x v="1"/>
    <x v="6"/>
    <x v="194"/>
    <x v="161"/>
    <x v="1"/>
    <x v="9"/>
    <x v="0"/>
    <x v="0"/>
    <x v="1"/>
    <x v="1"/>
    <x v="1"/>
    <x v="2"/>
    <x v="1"/>
    <x v="2"/>
    <x v="1"/>
    <x v="1"/>
    <x v="76"/>
    <x v="1"/>
    <x v="6"/>
    <x v="3"/>
    <x v="183"/>
    <x v="10"/>
    <x v="1"/>
    <x v="7"/>
    <x v="1"/>
    <x v="0"/>
    <x v="215"/>
    <x v="99"/>
    <x v="0"/>
  </r>
  <r>
    <x v="363"/>
    <x v="37"/>
    <x v="36"/>
    <x v="36"/>
    <x v="295"/>
    <x v="1"/>
    <x v="2"/>
    <x v="39"/>
    <x v="40"/>
    <x v="1"/>
    <x v="15"/>
    <x v="0"/>
    <x v="0"/>
    <x v="1"/>
    <x v="2"/>
    <x v="3"/>
    <x v="2"/>
    <x v="1"/>
    <x v="2"/>
    <x v="1"/>
    <x v="1"/>
    <x v="76"/>
    <x v="1"/>
    <x v="6"/>
    <x v="2"/>
    <x v="184"/>
    <x v="5"/>
    <x v="1"/>
    <x v="7"/>
    <x v="1"/>
    <x v="0"/>
    <x v="216"/>
    <x v="0"/>
    <x v="0"/>
  </r>
  <r>
    <x v="364"/>
    <x v="184"/>
    <x v="182"/>
    <x v="180"/>
    <x v="0"/>
    <x v="3"/>
    <x v="2"/>
    <x v="192"/>
    <x v="159"/>
    <x v="1"/>
    <x v="36"/>
    <x v="0"/>
    <x v="0"/>
    <x v="3"/>
    <x v="1"/>
    <x v="1"/>
    <x v="2"/>
    <x v="2"/>
    <x v="1"/>
    <x v="1"/>
    <x v="2"/>
    <x v="0"/>
    <x v="2"/>
    <x v="3"/>
    <x v="4"/>
    <x v="181"/>
    <x v="5"/>
    <x v="0"/>
    <x v="0"/>
    <x v="1"/>
    <x v="0"/>
    <x v="0"/>
    <x v="0"/>
    <x v="14"/>
  </r>
  <r>
    <x v="365"/>
    <x v="187"/>
    <x v="185"/>
    <x v="183"/>
    <x v="296"/>
    <x v="1"/>
    <x v="2"/>
    <x v="195"/>
    <x v="162"/>
    <x v="1"/>
    <x v="87"/>
    <x v="0"/>
    <x v="0"/>
    <x v="1"/>
    <x v="1"/>
    <x v="1"/>
    <x v="2"/>
    <x v="1"/>
    <x v="2"/>
    <x v="1"/>
    <x v="1"/>
    <x v="76"/>
    <x v="1"/>
    <x v="6"/>
    <x v="2"/>
    <x v="185"/>
    <x v="10"/>
    <x v="3"/>
    <x v="0"/>
    <x v="1"/>
    <x v="0"/>
    <x v="217"/>
    <x v="100"/>
    <x v="111"/>
  </r>
  <r>
    <x v="366"/>
    <x v="37"/>
    <x v="36"/>
    <x v="36"/>
    <x v="0"/>
    <x v="1"/>
    <x v="2"/>
    <x v="39"/>
    <x v="40"/>
    <x v="1"/>
    <x v="15"/>
    <x v="0"/>
    <x v="0"/>
    <x v="3"/>
    <x v="1"/>
    <x v="1"/>
    <x v="2"/>
    <x v="1"/>
    <x v="2"/>
    <x v="1"/>
    <x v="2"/>
    <x v="0"/>
    <x v="2"/>
    <x v="3"/>
    <x v="4"/>
    <x v="184"/>
    <x v="12"/>
    <x v="0"/>
    <x v="0"/>
    <x v="1"/>
    <x v="0"/>
    <x v="0"/>
    <x v="0"/>
    <x v="0"/>
  </r>
  <r>
    <x v="367"/>
    <x v="186"/>
    <x v="184"/>
    <x v="182"/>
    <x v="0"/>
    <x v="1"/>
    <x v="2"/>
    <x v="194"/>
    <x v="161"/>
    <x v="1"/>
    <x v="9"/>
    <x v="0"/>
    <x v="0"/>
    <x v="3"/>
    <x v="1"/>
    <x v="1"/>
    <x v="2"/>
    <x v="1"/>
    <x v="3"/>
    <x v="1"/>
    <x v="2"/>
    <x v="0"/>
    <x v="2"/>
    <x v="3"/>
    <x v="4"/>
    <x v="183"/>
    <x v="12"/>
    <x v="0"/>
    <x v="0"/>
    <x v="1"/>
    <x v="0"/>
    <x v="0"/>
    <x v="0"/>
    <x v="0"/>
  </r>
  <r>
    <x v="368"/>
    <x v="188"/>
    <x v="186"/>
    <x v="184"/>
    <x v="297"/>
    <x v="3"/>
    <x v="2"/>
    <x v="196"/>
    <x v="163"/>
    <x v="1"/>
    <x v="3"/>
    <x v="0"/>
    <x v="0"/>
    <x v="1"/>
    <x v="1"/>
    <x v="1"/>
    <x v="2"/>
    <x v="1"/>
    <x v="3"/>
    <x v="1"/>
    <x v="2"/>
    <x v="0"/>
    <x v="1"/>
    <x v="1"/>
    <x v="2"/>
    <x v="186"/>
    <x v="4"/>
    <x v="0"/>
    <x v="0"/>
    <x v="1"/>
    <x v="0"/>
    <x v="0"/>
    <x v="0"/>
    <x v="0"/>
  </r>
  <r>
    <x v="369"/>
    <x v="189"/>
    <x v="187"/>
    <x v="185"/>
    <x v="298"/>
    <x v="1"/>
    <x v="2"/>
    <x v="197"/>
    <x v="164"/>
    <x v="1"/>
    <x v="9"/>
    <x v="0"/>
    <x v="0"/>
    <x v="1"/>
    <x v="1"/>
    <x v="1"/>
    <x v="2"/>
    <x v="1"/>
    <x v="3"/>
    <x v="1"/>
    <x v="1"/>
    <x v="77"/>
    <x v="1"/>
    <x v="1"/>
    <x v="2"/>
    <x v="187"/>
    <x v="4"/>
    <x v="1"/>
    <x v="1"/>
    <x v="1"/>
    <x v="0"/>
    <x v="218"/>
    <x v="101"/>
    <x v="0"/>
  </r>
  <r>
    <x v="370"/>
    <x v="190"/>
    <x v="188"/>
    <x v="186"/>
    <x v="299"/>
    <x v="1"/>
    <x v="2"/>
    <x v="198"/>
    <x v="10"/>
    <x v="1"/>
    <x v="88"/>
    <x v="0"/>
    <x v="0"/>
    <x v="1"/>
    <x v="5"/>
    <x v="1"/>
    <x v="2"/>
    <x v="1"/>
    <x v="2"/>
    <x v="1"/>
    <x v="1"/>
    <x v="78"/>
    <x v="1"/>
    <x v="1"/>
    <x v="13"/>
    <x v="188"/>
    <x v="4"/>
    <x v="1"/>
    <x v="2"/>
    <x v="1"/>
    <x v="0"/>
    <x v="219"/>
    <x v="0"/>
    <x v="0"/>
  </r>
  <r>
    <x v="371"/>
    <x v="191"/>
    <x v="189"/>
    <x v="187"/>
    <x v="300"/>
    <x v="1"/>
    <x v="1"/>
    <x v="199"/>
    <x v="165"/>
    <x v="1"/>
    <x v="9"/>
    <x v="0"/>
    <x v="0"/>
    <x v="1"/>
    <x v="1"/>
    <x v="1"/>
    <x v="2"/>
    <x v="1"/>
    <x v="2"/>
    <x v="2"/>
    <x v="1"/>
    <x v="78"/>
    <x v="1"/>
    <x v="1"/>
    <x v="2"/>
    <x v="189"/>
    <x v="4"/>
    <x v="1"/>
    <x v="2"/>
    <x v="2"/>
    <x v="1"/>
    <x v="220"/>
    <x v="102"/>
    <x v="17"/>
  </r>
  <r>
    <x v="372"/>
    <x v="41"/>
    <x v="40"/>
    <x v="40"/>
    <x v="301"/>
    <x v="1"/>
    <x v="1"/>
    <x v="200"/>
    <x v="44"/>
    <x v="1"/>
    <x v="2"/>
    <x v="0"/>
    <x v="0"/>
    <x v="1"/>
    <x v="2"/>
    <x v="3"/>
    <x v="2"/>
    <x v="1"/>
    <x v="2"/>
    <x v="1"/>
    <x v="1"/>
    <x v="78"/>
    <x v="1"/>
    <x v="1"/>
    <x v="2"/>
    <x v="40"/>
    <x v="4"/>
    <x v="1"/>
    <x v="2"/>
    <x v="1"/>
    <x v="0"/>
    <x v="221"/>
    <x v="0"/>
    <x v="112"/>
  </r>
  <r>
    <x v="373"/>
    <x v="192"/>
    <x v="190"/>
    <x v="188"/>
    <x v="302"/>
    <x v="3"/>
    <x v="2"/>
    <x v="201"/>
    <x v="10"/>
    <x v="1"/>
    <x v="15"/>
    <x v="0"/>
    <x v="0"/>
    <x v="1"/>
    <x v="1"/>
    <x v="1"/>
    <x v="2"/>
    <x v="1"/>
    <x v="2"/>
    <x v="1"/>
    <x v="1"/>
    <x v="77"/>
    <x v="1"/>
    <x v="1"/>
    <x v="2"/>
    <x v="190"/>
    <x v="5"/>
    <x v="1"/>
    <x v="1"/>
    <x v="1"/>
    <x v="0"/>
    <x v="222"/>
    <x v="103"/>
    <x v="0"/>
  </r>
  <r>
    <x v="374"/>
    <x v="154"/>
    <x v="154"/>
    <x v="152"/>
    <x v="303"/>
    <x v="1"/>
    <x v="3"/>
    <x v="160"/>
    <x v="114"/>
    <x v="1"/>
    <x v="15"/>
    <x v="0"/>
    <x v="0"/>
    <x v="1"/>
    <x v="1"/>
    <x v="1"/>
    <x v="2"/>
    <x v="1"/>
    <x v="3"/>
    <x v="1"/>
    <x v="2"/>
    <x v="0"/>
    <x v="1"/>
    <x v="1"/>
    <x v="2"/>
    <x v="153"/>
    <x v="4"/>
    <x v="0"/>
    <x v="0"/>
    <x v="1"/>
    <x v="0"/>
    <x v="0"/>
    <x v="0"/>
    <x v="0"/>
  </r>
  <r>
    <x v="375"/>
    <x v="185"/>
    <x v="183"/>
    <x v="181"/>
    <x v="304"/>
    <x v="1"/>
    <x v="1"/>
    <x v="193"/>
    <x v="10"/>
    <x v="1"/>
    <x v="36"/>
    <x v="0"/>
    <x v="0"/>
    <x v="1"/>
    <x v="1"/>
    <x v="1"/>
    <x v="2"/>
    <x v="1"/>
    <x v="2"/>
    <x v="1"/>
    <x v="2"/>
    <x v="0"/>
    <x v="1"/>
    <x v="5"/>
    <x v="2"/>
    <x v="182"/>
    <x v="5"/>
    <x v="0"/>
    <x v="0"/>
    <x v="1"/>
    <x v="0"/>
    <x v="0"/>
    <x v="0"/>
    <x v="0"/>
  </r>
  <r>
    <x v="376"/>
    <x v="190"/>
    <x v="188"/>
    <x v="186"/>
    <x v="0"/>
    <x v="1"/>
    <x v="2"/>
    <x v="198"/>
    <x v="134"/>
    <x v="1"/>
    <x v="88"/>
    <x v="0"/>
    <x v="0"/>
    <x v="3"/>
    <x v="1"/>
    <x v="1"/>
    <x v="2"/>
    <x v="1"/>
    <x v="2"/>
    <x v="1"/>
    <x v="2"/>
    <x v="0"/>
    <x v="2"/>
    <x v="3"/>
    <x v="4"/>
    <x v="188"/>
    <x v="4"/>
    <x v="0"/>
    <x v="0"/>
    <x v="1"/>
    <x v="0"/>
    <x v="0"/>
    <x v="0"/>
    <x v="0"/>
  </r>
  <r>
    <x v="377"/>
    <x v="41"/>
    <x v="40"/>
    <x v="40"/>
    <x v="0"/>
    <x v="1"/>
    <x v="1"/>
    <x v="200"/>
    <x v="44"/>
    <x v="1"/>
    <x v="2"/>
    <x v="0"/>
    <x v="0"/>
    <x v="3"/>
    <x v="4"/>
    <x v="1"/>
    <x v="2"/>
    <x v="1"/>
    <x v="2"/>
    <x v="1"/>
    <x v="1"/>
    <x v="79"/>
    <x v="2"/>
    <x v="3"/>
    <x v="4"/>
    <x v="40"/>
    <x v="4"/>
    <x v="1"/>
    <x v="4"/>
    <x v="1"/>
    <x v="0"/>
    <x v="223"/>
    <x v="0"/>
    <x v="112"/>
  </r>
  <r>
    <x v="378"/>
    <x v="191"/>
    <x v="189"/>
    <x v="187"/>
    <x v="305"/>
    <x v="1"/>
    <x v="1"/>
    <x v="199"/>
    <x v="165"/>
    <x v="1"/>
    <x v="9"/>
    <x v="0"/>
    <x v="0"/>
    <x v="3"/>
    <x v="1"/>
    <x v="1"/>
    <x v="2"/>
    <x v="1"/>
    <x v="2"/>
    <x v="1"/>
    <x v="2"/>
    <x v="0"/>
    <x v="1"/>
    <x v="3"/>
    <x v="4"/>
    <x v="189"/>
    <x v="4"/>
    <x v="0"/>
    <x v="0"/>
    <x v="1"/>
    <x v="0"/>
    <x v="0"/>
    <x v="0"/>
    <x v="0"/>
  </r>
  <r>
    <x v="379"/>
    <x v="187"/>
    <x v="185"/>
    <x v="183"/>
    <x v="306"/>
    <x v="1"/>
    <x v="2"/>
    <x v="195"/>
    <x v="162"/>
    <x v="1"/>
    <x v="44"/>
    <x v="0"/>
    <x v="0"/>
    <x v="1"/>
    <x v="1"/>
    <x v="1"/>
    <x v="2"/>
    <x v="1"/>
    <x v="2"/>
    <x v="1"/>
    <x v="2"/>
    <x v="0"/>
    <x v="1"/>
    <x v="1"/>
    <x v="2"/>
    <x v="185"/>
    <x v="3"/>
    <x v="0"/>
    <x v="0"/>
    <x v="1"/>
    <x v="0"/>
    <x v="0"/>
    <x v="0"/>
    <x v="0"/>
  </r>
  <r>
    <x v="380"/>
    <x v="57"/>
    <x v="56"/>
    <x v="55"/>
    <x v="307"/>
    <x v="3"/>
    <x v="2"/>
    <x v="60"/>
    <x v="30"/>
    <x v="1"/>
    <x v="15"/>
    <x v="0"/>
    <x v="0"/>
    <x v="1"/>
    <x v="1"/>
    <x v="1"/>
    <x v="2"/>
    <x v="1"/>
    <x v="2"/>
    <x v="1"/>
    <x v="2"/>
    <x v="0"/>
    <x v="1"/>
    <x v="1"/>
    <x v="2"/>
    <x v="55"/>
    <x v="11"/>
    <x v="0"/>
    <x v="0"/>
    <x v="1"/>
    <x v="0"/>
    <x v="0"/>
    <x v="0"/>
    <x v="0"/>
  </r>
  <r>
    <x v="381"/>
    <x v="169"/>
    <x v="169"/>
    <x v="167"/>
    <x v="308"/>
    <x v="1"/>
    <x v="2"/>
    <x v="177"/>
    <x v="147"/>
    <x v="1"/>
    <x v="15"/>
    <x v="0"/>
    <x v="0"/>
    <x v="1"/>
    <x v="1"/>
    <x v="1"/>
    <x v="2"/>
    <x v="1"/>
    <x v="2"/>
    <x v="1"/>
    <x v="1"/>
    <x v="80"/>
    <x v="2"/>
    <x v="5"/>
    <x v="2"/>
    <x v="168"/>
    <x v="12"/>
    <x v="1"/>
    <x v="1"/>
    <x v="1"/>
    <x v="0"/>
    <x v="224"/>
    <x v="0"/>
    <x v="0"/>
  </r>
  <r>
    <x v="382"/>
    <x v="129"/>
    <x v="129"/>
    <x v="127"/>
    <x v="309"/>
    <x v="1"/>
    <x v="1"/>
    <x v="133"/>
    <x v="115"/>
    <x v="1"/>
    <x v="3"/>
    <x v="0"/>
    <x v="0"/>
    <x v="1"/>
    <x v="1"/>
    <x v="1"/>
    <x v="2"/>
    <x v="1"/>
    <x v="3"/>
    <x v="1"/>
    <x v="1"/>
    <x v="81"/>
    <x v="1"/>
    <x v="6"/>
    <x v="2"/>
    <x v="128"/>
    <x v="5"/>
    <x v="3"/>
    <x v="0"/>
    <x v="1"/>
    <x v="0"/>
    <x v="225"/>
    <x v="104"/>
    <x v="0"/>
  </r>
  <r>
    <x v="383"/>
    <x v="169"/>
    <x v="169"/>
    <x v="167"/>
    <x v="0"/>
    <x v="1"/>
    <x v="2"/>
    <x v="177"/>
    <x v="166"/>
    <x v="1"/>
    <x v="15"/>
    <x v="0"/>
    <x v="0"/>
    <x v="3"/>
    <x v="1"/>
    <x v="1"/>
    <x v="2"/>
    <x v="1"/>
    <x v="2"/>
    <x v="1"/>
    <x v="2"/>
    <x v="0"/>
    <x v="2"/>
    <x v="3"/>
    <x v="4"/>
    <x v="168"/>
    <x v="5"/>
    <x v="0"/>
    <x v="0"/>
    <x v="1"/>
    <x v="0"/>
    <x v="0"/>
    <x v="0"/>
    <x v="0"/>
  </r>
  <r>
    <x v="384"/>
    <x v="192"/>
    <x v="190"/>
    <x v="188"/>
    <x v="0"/>
    <x v="3"/>
    <x v="2"/>
    <x v="201"/>
    <x v="10"/>
    <x v="1"/>
    <x v="15"/>
    <x v="0"/>
    <x v="0"/>
    <x v="3"/>
    <x v="1"/>
    <x v="1"/>
    <x v="2"/>
    <x v="1"/>
    <x v="2"/>
    <x v="1"/>
    <x v="2"/>
    <x v="0"/>
    <x v="2"/>
    <x v="3"/>
    <x v="4"/>
    <x v="190"/>
    <x v="5"/>
    <x v="0"/>
    <x v="0"/>
    <x v="1"/>
    <x v="0"/>
    <x v="0"/>
    <x v="0"/>
    <x v="0"/>
  </r>
  <r>
    <x v="385"/>
    <x v="193"/>
    <x v="191"/>
    <x v="189"/>
    <x v="310"/>
    <x v="1"/>
    <x v="2"/>
    <x v="202"/>
    <x v="165"/>
    <x v="1"/>
    <x v="89"/>
    <x v="0"/>
    <x v="0"/>
    <x v="1"/>
    <x v="1"/>
    <x v="1"/>
    <x v="1"/>
    <x v="1"/>
    <x v="2"/>
    <x v="1"/>
    <x v="1"/>
    <x v="82"/>
    <x v="1"/>
    <x v="6"/>
    <x v="2"/>
    <x v="191"/>
    <x v="5"/>
    <x v="1"/>
    <x v="4"/>
    <x v="2"/>
    <x v="1"/>
    <x v="226"/>
    <x v="0"/>
    <x v="0"/>
  </r>
  <r>
    <x v="386"/>
    <x v="189"/>
    <x v="187"/>
    <x v="185"/>
    <x v="0"/>
    <x v="1"/>
    <x v="2"/>
    <x v="197"/>
    <x v="164"/>
    <x v="1"/>
    <x v="9"/>
    <x v="0"/>
    <x v="0"/>
    <x v="3"/>
    <x v="1"/>
    <x v="1"/>
    <x v="2"/>
    <x v="1"/>
    <x v="3"/>
    <x v="1"/>
    <x v="2"/>
    <x v="0"/>
    <x v="2"/>
    <x v="3"/>
    <x v="4"/>
    <x v="187"/>
    <x v="5"/>
    <x v="0"/>
    <x v="0"/>
    <x v="1"/>
    <x v="0"/>
    <x v="0"/>
    <x v="0"/>
    <x v="0"/>
  </r>
  <r>
    <x v="387"/>
    <x v="193"/>
    <x v="191"/>
    <x v="189"/>
    <x v="0"/>
    <x v="1"/>
    <x v="2"/>
    <x v="202"/>
    <x v="165"/>
    <x v="1"/>
    <x v="90"/>
    <x v="0"/>
    <x v="0"/>
    <x v="3"/>
    <x v="1"/>
    <x v="1"/>
    <x v="2"/>
    <x v="1"/>
    <x v="2"/>
    <x v="1"/>
    <x v="2"/>
    <x v="0"/>
    <x v="2"/>
    <x v="3"/>
    <x v="4"/>
    <x v="191"/>
    <x v="1"/>
    <x v="0"/>
    <x v="0"/>
    <x v="1"/>
    <x v="0"/>
    <x v="0"/>
    <x v="0"/>
    <x v="0"/>
  </r>
  <r>
    <x v="388"/>
    <x v="194"/>
    <x v="192"/>
    <x v="190"/>
    <x v="311"/>
    <x v="1"/>
    <x v="2"/>
    <x v="203"/>
    <x v="167"/>
    <x v="1"/>
    <x v="12"/>
    <x v="0"/>
    <x v="0"/>
    <x v="1"/>
    <x v="3"/>
    <x v="2"/>
    <x v="2"/>
    <x v="1"/>
    <x v="2"/>
    <x v="1"/>
    <x v="1"/>
    <x v="83"/>
    <x v="1"/>
    <x v="1"/>
    <x v="2"/>
    <x v="192"/>
    <x v="5"/>
    <x v="1"/>
    <x v="1"/>
    <x v="1"/>
    <x v="0"/>
    <x v="227"/>
    <x v="105"/>
    <x v="0"/>
  </r>
  <r>
    <x v="389"/>
    <x v="195"/>
    <x v="193"/>
    <x v="191"/>
    <x v="312"/>
    <x v="1"/>
    <x v="2"/>
    <x v="204"/>
    <x v="168"/>
    <x v="1"/>
    <x v="3"/>
    <x v="0"/>
    <x v="0"/>
    <x v="1"/>
    <x v="3"/>
    <x v="2"/>
    <x v="1"/>
    <x v="1"/>
    <x v="2"/>
    <x v="1"/>
    <x v="1"/>
    <x v="83"/>
    <x v="1"/>
    <x v="5"/>
    <x v="2"/>
    <x v="193"/>
    <x v="5"/>
    <x v="3"/>
    <x v="0"/>
    <x v="1"/>
    <x v="0"/>
    <x v="228"/>
    <x v="106"/>
    <x v="0"/>
  </r>
  <r>
    <x v="390"/>
    <x v="178"/>
    <x v="176"/>
    <x v="174"/>
    <x v="313"/>
    <x v="3"/>
    <x v="2"/>
    <x v="186"/>
    <x v="153"/>
    <x v="1"/>
    <x v="91"/>
    <x v="0"/>
    <x v="0"/>
    <x v="1"/>
    <x v="3"/>
    <x v="3"/>
    <x v="2"/>
    <x v="1"/>
    <x v="2"/>
    <x v="1"/>
    <x v="1"/>
    <x v="84"/>
    <x v="1"/>
    <x v="1"/>
    <x v="2"/>
    <x v="175"/>
    <x v="5"/>
    <x v="3"/>
    <x v="0"/>
    <x v="1"/>
    <x v="0"/>
    <x v="229"/>
    <x v="107"/>
    <x v="0"/>
  </r>
  <r>
    <x v="391"/>
    <x v="196"/>
    <x v="194"/>
    <x v="192"/>
    <x v="314"/>
    <x v="1"/>
    <x v="2"/>
    <x v="205"/>
    <x v="165"/>
    <x v="1"/>
    <x v="92"/>
    <x v="0"/>
    <x v="0"/>
    <x v="1"/>
    <x v="1"/>
    <x v="1"/>
    <x v="2"/>
    <x v="2"/>
    <x v="3"/>
    <x v="1"/>
    <x v="1"/>
    <x v="79"/>
    <x v="1"/>
    <x v="1"/>
    <x v="5"/>
    <x v="194"/>
    <x v="4"/>
    <x v="1"/>
    <x v="3"/>
    <x v="2"/>
    <x v="1"/>
    <x v="230"/>
    <x v="108"/>
    <x v="113"/>
  </r>
  <r>
    <x v="392"/>
    <x v="152"/>
    <x v="152"/>
    <x v="150"/>
    <x v="315"/>
    <x v="3"/>
    <x v="2"/>
    <x v="157"/>
    <x v="169"/>
    <x v="1"/>
    <x v="2"/>
    <x v="0"/>
    <x v="0"/>
    <x v="1"/>
    <x v="1"/>
    <x v="1"/>
    <x v="2"/>
    <x v="2"/>
    <x v="3"/>
    <x v="1"/>
    <x v="1"/>
    <x v="85"/>
    <x v="1"/>
    <x v="1"/>
    <x v="5"/>
    <x v="151"/>
    <x v="1"/>
    <x v="1"/>
    <x v="1"/>
    <x v="1"/>
    <x v="0"/>
    <x v="231"/>
    <x v="109"/>
    <x v="114"/>
  </r>
  <r>
    <x v="393"/>
    <x v="170"/>
    <x v="170"/>
    <x v="168"/>
    <x v="316"/>
    <x v="1"/>
    <x v="2"/>
    <x v="179"/>
    <x v="145"/>
    <x v="1"/>
    <x v="3"/>
    <x v="0"/>
    <x v="0"/>
    <x v="1"/>
    <x v="3"/>
    <x v="2"/>
    <x v="2"/>
    <x v="1"/>
    <x v="3"/>
    <x v="1"/>
    <x v="1"/>
    <x v="86"/>
    <x v="1"/>
    <x v="1"/>
    <x v="2"/>
    <x v="169"/>
    <x v="1"/>
    <x v="3"/>
    <x v="0"/>
    <x v="1"/>
    <x v="0"/>
    <x v="232"/>
    <x v="110"/>
    <x v="115"/>
  </r>
  <r>
    <x v="394"/>
    <x v="197"/>
    <x v="195"/>
    <x v="193"/>
    <x v="317"/>
    <x v="3"/>
    <x v="3"/>
    <x v="206"/>
    <x v="48"/>
    <x v="1"/>
    <x v="15"/>
    <x v="0"/>
    <x v="0"/>
    <x v="1"/>
    <x v="2"/>
    <x v="3"/>
    <x v="2"/>
    <x v="1"/>
    <x v="2"/>
    <x v="1"/>
    <x v="1"/>
    <x v="79"/>
    <x v="1"/>
    <x v="2"/>
    <x v="2"/>
    <x v="195"/>
    <x v="4"/>
    <x v="3"/>
    <x v="0"/>
    <x v="1"/>
    <x v="0"/>
    <x v="233"/>
    <x v="111"/>
    <x v="116"/>
  </r>
  <r>
    <x v="395"/>
    <x v="41"/>
    <x v="40"/>
    <x v="40"/>
    <x v="0"/>
    <x v="1"/>
    <x v="1"/>
    <x v="200"/>
    <x v="44"/>
    <x v="1"/>
    <x v="1"/>
    <x v="0"/>
    <x v="0"/>
    <x v="3"/>
    <x v="4"/>
    <x v="1"/>
    <x v="2"/>
    <x v="1"/>
    <x v="2"/>
    <x v="1"/>
    <x v="2"/>
    <x v="0"/>
    <x v="2"/>
    <x v="3"/>
    <x v="4"/>
    <x v="40"/>
    <x v="1"/>
    <x v="0"/>
    <x v="0"/>
    <x v="1"/>
    <x v="0"/>
    <x v="0"/>
    <x v="0"/>
    <x v="0"/>
  </r>
  <r>
    <x v="396"/>
    <x v="196"/>
    <x v="194"/>
    <x v="192"/>
    <x v="318"/>
    <x v="1"/>
    <x v="2"/>
    <x v="205"/>
    <x v="165"/>
    <x v="1"/>
    <x v="93"/>
    <x v="0"/>
    <x v="0"/>
    <x v="3"/>
    <x v="1"/>
    <x v="1"/>
    <x v="2"/>
    <x v="2"/>
    <x v="1"/>
    <x v="1"/>
    <x v="2"/>
    <x v="0"/>
    <x v="1"/>
    <x v="3"/>
    <x v="4"/>
    <x v="194"/>
    <x v="3"/>
    <x v="0"/>
    <x v="0"/>
    <x v="1"/>
    <x v="0"/>
    <x v="0"/>
    <x v="0"/>
    <x v="0"/>
  </r>
  <r>
    <x v="397"/>
    <x v="198"/>
    <x v="196"/>
    <x v="194"/>
    <x v="319"/>
    <x v="3"/>
    <x v="2"/>
    <x v="207"/>
    <x v="71"/>
    <x v="1"/>
    <x v="2"/>
    <x v="0"/>
    <x v="0"/>
    <x v="1"/>
    <x v="3"/>
    <x v="2"/>
    <x v="2"/>
    <x v="1"/>
    <x v="3"/>
    <x v="1"/>
    <x v="1"/>
    <x v="85"/>
    <x v="1"/>
    <x v="6"/>
    <x v="3"/>
    <x v="196"/>
    <x v="3"/>
    <x v="1"/>
    <x v="7"/>
    <x v="1"/>
    <x v="0"/>
    <x v="234"/>
    <x v="0"/>
    <x v="117"/>
  </r>
  <r>
    <x v="398"/>
    <x v="199"/>
    <x v="197"/>
    <x v="195"/>
    <x v="320"/>
    <x v="1"/>
    <x v="2"/>
    <x v="208"/>
    <x v="170"/>
    <x v="1"/>
    <x v="94"/>
    <x v="0"/>
    <x v="0"/>
    <x v="1"/>
    <x v="1"/>
    <x v="1"/>
    <x v="2"/>
    <x v="1"/>
    <x v="3"/>
    <x v="1"/>
    <x v="2"/>
    <x v="0"/>
    <x v="2"/>
    <x v="2"/>
    <x v="2"/>
    <x v="197"/>
    <x v="1"/>
    <x v="0"/>
    <x v="0"/>
    <x v="1"/>
    <x v="0"/>
    <x v="0"/>
    <x v="0"/>
    <x v="0"/>
  </r>
  <r>
    <x v="399"/>
    <x v="200"/>
    <x v="198"/>
    <x v="196"/>
    <x v="321"/>
    <x v="2"/>
    <x v="2"/>
    <x v="209"/>
    <x v="171"/>
    <x v="1"/>
    <x v="15"/>
    <x v="0"/>
    <x v="0"/>
    <x v="1"/>
    <x v="2"/>
    <x v="3"/>
    <x v="2"/>
    <x v="2"/>
    <x v="3"/>
    <x v="1"/>
    <x v="1"/>
    <x v="87"/>
    <x v="1"/>
    <x v="1"/>
    <x v="13"/>
    <x v="198"/>
    <x v="1"/>
    <x v="1"/>
    <x v="4"/>
    <x v="2"/>
    <x v="1"/>
    <x v="235"/>
    <x v="112"/>
    <x v="118"/>
  </r>
  <r>
    <x v="400"/>
    <x v="201"/>
    <x v="199"/>
    <x v="197"/>
    <x v="322"/>
    <x v="3"/>
    <x v="2"/>
    <x v="210"/>
    <x v="172"/>
    <x v="1"/>
    <x v="3"/>
    <x v="0"/>
    <x v="0"/>
    <x v="1"/>
    <x v="1"/>
    <x v="1"/>
    <x v="2"/>
    <x v="2"/>
    <x v="2"/>
    <x v="1"/>
    <x v="2"/>
    <x v="0"/>
    <x v="1"/>
    <x v="1"/>
    <x v="2"/>
    <x v="199"/>
    <x v="12"/>
    <x v="0"/>
    <x v="0"/>
    <x v="1"/>
    <x v="0"/>
    <x v="0"/>
    <x v="0"/>
    <x v="119"/>
  </r>
  <r>
    <x v="401"/>
    <x v="202"/>
    <x v="200"/>
    <x v="198"/>
    <x v="323"/>
    <x v="1"/>
    <x v="2"/>
    <x v="211"/>
    <x v="173"/>
    <x v="2"/>
    <x v="0"/>
    <x v="2"/>
    <x v="0"/>
    <x v="1"/>
    <x v="3"/>
    <x v="3"/>
    <x v="2"/>
    <x v="1"/>
    <x v="2"/>
    <x v="1"/>
    <x v="1"/>
    <x v="87"/>
    <x v="1"/>
    <x v="1"/>
    <x v="2"/>
    <x v="200"/>
    <x v="2"/>
    <x v="1"/>
    <x v="1"/>
    <x v="1"/>
    <x v="0"/>
    <x v="236"/>
    <x v="0"/>
    <x v="0"/>
  </r>
  <r>
    <x v="402"/>
    <x v="198"/>
    <x v="196"/>
    <x v="194"/>
    <x v="0"/>
    <x v="3"/>
    <x v="2"/>
    <x v="207"/>
    <x v="71"/>
    <x v="1"/>
    <x v="2"/>
    <x v="0"/>
    <x v="0"/>
    <x v="3"/>
    <x v="1"/>
    <x v="1"/>
    <x v="2"/>
    <x v="1"/>
    <x v="3"/>
    <x v="1"/>
    <x v="2"/>
    <x v="0"/>
    <x v="2"/>
    <x v="3"/>
    <x v="4"/>
    <x v="196"/>
    <x v="12"/>
    <x v="0"/>
    <x v="0"/>
    <x v="1"/>
    <x v="0"/>
    <x v="0"/>
    <x v="0"/>
    <x v="0"/>
  </r>
  <r>
    <x v="403"/>
    <x v="150"/>
    <x v="150"/>
    <x v="148"/>
    <x v="324"/>
    <x v="1"/>
    <x v="2"/>
    <x v="155"/>
    <x v="130"/>
    <x v="1"/>
    <x v="95"/>
    <x v="0"/>
    <x v="0"/>
    <x v="1"/>
    <x v="2"/>
    <x v="3"/>
    <x v="2"/>
    <x v="1"/>
    <x v="1"/>
    <x v="1"/>
    <x v="1"/>
    <x v="87"/>
    <x v="1"/>
    <x v="5"/>
    <x v="2"/>
    <x v="201"/>
    <x v="12"/>
    <x v="1"/>
    <x v="4"/>
    <x v="1"/>
    <x v="0"/>
    <x v="237"/>
    <x v="0"/>
    <x v="0"/>
  </r>
  <r>
    <x v="404"/>
    <x v="194"/>
    <x v="192"/>
    <x v="190"/>
    <x v="0"/>
    <x v="1"/>
    <x v="2"/>
    <x v="203"/>
    <x v="167"/>
    <x v="1"/>
    <x v="33"/>
    <x v="0"/>
    <x v="0"/>
    <x v="3"/>
    <x v="1"/>
    <x v="1"/>
    <x v="2"/>
    <x v="1"/>
    <x v="2"/>
    <x v="1"/>
    <x v="2"/>
    <x v="0"/>
    <x v="2"/>
    <x v="3"/>
    <x v="4"/>
    <x v="192"/>
    <x v="5"/>
    <x v="0"/>
    <x v="0"/>
    <x v="1"/>
    <x v="0"/>
    <x v="0"/>
    <x v="0"/>
    <x v="0"/>
  </r>
  <r>
    <x v="405"/>
    <x v="150"/>
    <x v="150"/>
    <x v="148"/>
    <x v="0"/>
    <x v="1"/>
    <x v="2"/>
    <x v="155"/>
    <x v="130"/>
    <x v="1"/>
    <x v="96"/>
    <x v="0"/>
    <x v="0"/>
    <x v="3"/>
    <x v="3"/>
    <x v="3"/>
    <x v="2"/>
    <x v="1"/>
    <x v="1"/>
    <x v="1"/>
    <x v="1"/>
    <x v="86"/>
    <x v="2"/>
    <x v="3"/>
    <x v="4"/>
    <x v="149"/>
    <x v="1"/>
    <x v="1"/>
    <x v="1"/>
    <x v="1"/>
    <x v="0"/>
    <x v="238"/>
    <x v="113"/>
    <x v="120"/>
  </r>
  <r>
    <x v="406"/>
    <x v="43"/>
    <x v="42"/>
    <x v="42"/>
    <x v="325"/>
    <x v="3"/>
    <x v="2"/>
    <x v="45"/>
    <x v="46"/>
    <x v="2"/>
    <x v="0"/>
    <x v="5"/>
    <x v="0"/>
    <x v="1"/>
    <x v="2"/>
    <x v="3"/>
    <x v="2"/>
    <x v="2"/>
    <x v="2"/>
    <x v="1"/>
    <x v="1"/>
    <x v="86"/>
    <x v="1"/>
    <x v="6"/>
    <x v="2"/>
    <x v="42"/>
    <x v="5"/>
    <x v="3"/>
    <x v="0"/>
    <x v="1"/>
    <x v="0"/>
    <x v="239"/>
    <x v="114"/>
    <x v="0"/>
  </r>
  <r>
    <x v="407"/>
    <x v="202"/>
    <x v="200"/>
    <x v="198"/>
    <x v="0"/>
    <x v="1"/>
    <x v="1"/>
    <x v="211"/>
    <x v="174"/>
    <x v="6"/>
    <x v="0"/>
    <x v="2"/>
    <x v="0"/>
    <x v="3"/>
    <x v="4"/>
    <x v="1"/>
    <x v="2"/>
    <x v="1"/>
    <x v="2"/>
    <x v="1"/>
    <x v="2"/>
    <x v="0"/>
    <x v="2"/>
    <x v="3"/>
    <x v="4"/>
    <x v="200"/>
    <x v="5"/>
    <x v="0"/>
    <x v="0"/>
    <x v="1"/>
    <x v="0"/>
    <x v="0"/>
    <x v="0"/>
    <x v="0"/>
  </r>
  <r>
    <x v="408"/>
    <x v="152"/>
    <x v="152"/>
    <x v="150"/>
    <x v="0"/>
    <x v="3"/>
    <x v="2"/>
    <x v="157"/>
    <x v="114"/>
    <x v="1"/>
    <x v="2"/>
    <x v="0"/>
    <x v="0"/>
    <x v="3"/>
    <x v="1"/>
    <x v="1"/>
    <x v="2"/>
    <x v="2"/>
    <x v="2"/>
    <x v="1"/>
    <x v="1"/>
    <x v="88"/>
    <x v="2"/>
    <x v="3"/>
    <x v="4"/>
    <x v="202"/>
    <x v="5"/>
    <x v="1"/>
    <x v="5"/>
    <x v="2"/>
    <x v="1"/>
    <x v="240"/>
    <x v="0"/>
    <x v="0"/>
  </r>
  <r>
    <x v="409"/>
    <x v="200"/>
    <x v="198"/>
    <x v="196"/>
    <x v="326"/>
    <x v="2"/>
    <x v="2"/>
    <x v="209"/>
    <x v="171"/>
    <x v="1"/>
    <x v="22"/>
    <x v="0"/>
    <x v="0"/>
    <x v="3"/>
    <x v="3"/>
    <x v="3"/>
    <x v="2"/>
    <x v="2"/>
    <x v="1"/>
    <x v="1"/>
    <x v="1"/>
    <x v="86"/>
    <x v="1"/>
    <x v="3"/>
    <x v="4"/>
    <x v="198"/>
    <x v="1"/>
    <x v="3"/>
    <x v="0"/>
    <x v="1"/>
    <x v="0"/>
    <x v="241"/>
    <x v="115"/>
    <x v="118"/>
  </r>
  <r>
    <x v="410"/>
    <x v="203"/>
    <x v="201"/>
    <x v="199"/>
    <x v="327"/>
    <x v="3"/>
    <x v="3"/>
    <x v="212"/>
    <x v="175"/>
    <x v="1"/>
    <x v="97"/>
    <x v="0"/>
    <x v="0"/>
    <x v="1"/>
    <x v="1"/>
    <x v="1"/>
    <x v="2"/>
    <x v="1"/>
    <x v="2"/>
    <x v="1"/>
    <x v="2"/>
    <x v="0"/>
    <x v="2"/>
    <x v="6"/>
    <x v="3"/>
    <x v="203"/>
    <x v="1"/>
    <x v="0"/>
    <x v="0"/>
    <x v="1"/>
    <x v="0"/>
    <x v="0"/>
    <x v="0"/>
    <x v="0"/>
  </r>
  <r>
    <x v="411"/>
    <x v="204"/>
    <x v="202"/>
    <x v="200"/>
    <x v="328"/>
    <x v="3"/>
    <x v="2"/>
    <x v="213"/>
    <x v="176"/>
    <x v="1"/>
    <x v="3"/>
    <x v="0"/>
    <x v="0"/>
    <x v="1"/>
    <x v="3"/>
    <x v="2"/>
    <x v="2"/>
    <x v="1"/>
    <x v="2"/>
    <x v="1"/>
    <x v="1"/>
    <x v="89"/>
    <x v="1"/>
    <x v="6"/>
    <x v="2"/>
    <x v="204"/>
    <x v="12"/>
    <x v="2"/>
    <x v="7"/>
    <x v="1"/>
    <x v="0"/>
    <x v="242"/>
    <x v="0"/>
    <x v="121"/>
  </r>
  <r>
    <x v="412"/>
    <x v="205"/>
    <x v="203"/>
    <x v="201"/>
    <x v="329"/>
    <x v="1"/>
    <x v="1"/>
    <x v="214"/>
    <x v="177"/>
    <x v="1"/>
    <x v="31"/>
    <x v="0"/>
    <x v="0"/>
    <x v="1"/>
    <x v="1"/>
    <x v="1"/>
    <x v="2"/>
    <x v="2"/>
    <x v="1"/>
    <x v="1"/>
    <x v="1"/>
    <x v="90"/>
    <x v="1"/>
    <x v="1"/>
    <x v="2"/>
    <x v="205"/>
    <x v="12"/>
    <x v="1"/>
    <x v="7"/>
    <x v="1"/>
    <x v="0"/>
    <x v="243"/>
    <x v="116"/>
    <x v="122"/>
  </r>
  <r>
    <x v="413"/>
    <x v="206"/>
    <x v="204"/>
    <x v="202"/>
    <x v="330"/>
    <x v="2"/>
    <x v="2"/>
    <x v="215"/>
    <x v="178"/>
    <x v="1"/>
    <x v="1"/>
    <x v="0"/>
    <x v="0"/>
    <x v="1"/>
    <x v="2"/>
    <x v="3"/>
    <x v="2"/>
    <x v="2"/>
    <x v="1"/>
    <x v="1"/>
    <x v="1"/>
    <x v="89"/>
    <x v="1"/>
    <x v="1"/>
    <x v="2"/>
    <x v="206"/>
    <x v="2"/>
    <x v="1"/>
    <x v="3"/>
    <x v="1"/>
    <x v="0"/>
    <x v="244"/>
    <x v="117"/>
    <x v="0"/>
  </r>
  <r>
    <x v="414"/>
    <x v="207"/>
    <x v="205"/>
    <x v="203"/>
    <x v="331"/>
    <x v="1"/>
    <x v="2"/>
    <x v="216"/>
    <x v="179"/>
    <x v="1"/>
    <x v="9"/>
    <x v="0"/>
    <x v="0"/>
    <x v="1"/>
    <x v="3"/>
    <x v="2"/>
    <x v="2"/>
    <x v="2"/>
    <x v="2"/>
    <x v="1"/>
    <x v="1"/>
    <x v="88"/>
    <x v="1"/>
    <x v="1"/>
    <x v="2"/>
    <x v="207"/>
    <x v="3"/>
    <x v="1"/>
    <x v="4"/>
    <x v="1"/>
    <x v="0"/>
    <x v="245"/>
    <x v="0"/>
    <x v="0"/>
  </r>
  <r>
    <x v="415"/>
    <x v="206"/>
    <x v="204"/>
    <x v="202"/>
    <x v="330"/>
    <x v="2"/>
    <x v="2"/>
    <x v="215"/>
    <x v="180"/>
    <x v="1"/>
    <x v="1"/>
    <x v="0"/>
    <x v="0"/>
    <x v="3"/>
    <x v="1"/>
    <x v="1"/>
    <x v="2"/>
    <x v="1"/>
    <x v="3"/>
    <x v="1"/>
    <x v="2"/>
    <x v="0"/>
    <x v="2"/>
    <x v="3"/>
    <x v="4"/>
    <x v="206"/>
    <x v="3"/>
    <x v="0"/>
    <x v="0"/>
    <x v="1"/>
    <x v="0"/>
    <x v="0"/>
    <x v="0"/>
    <x v="0"/>
  </r>
  <r>
    <x v="416"/>
    <x v="208"/>
    <x v="206"/>
    <x v="204"/>
    <x v="332"/>
    <x v="1"/>
    <x v="3"/>
    <x v="217"/>
    <x v="58"/>
    <x v="1"/>
    <x v="3"/>
    <x v="0"/>
    <x v="0"/>
    <x v="1"/>
    <x v="3"/>
    <x v="2"/>
    <x v="2"/>
    <x v="1"/>
    <x v="2"/>
    <x v="1"/>
    <x v="1"/>
    <x v="88"/>
    <x v="1"/>
    <x v="5"/>
    <x v="2"/>
    <x v="208"/>
    <x v="12"/>
    <x v="3"/>
    <x v="0"/>
    <x v="1"/>
    <x v="0"/>
    <x v="246"/>
    <x v="118"/>
    <x v="123"/>
  </r>
  <r>
    <x v="417"/>
    <x v="207"/>
    <x v="205"/>
    <x v="203"/>
    <x v="0"/>
    <x v="1"/>
    <x v="2"/>
    <x v="216"/>
    <x v="181"/>
    <x v="1"/>
    <x v="9"/>
    <x v="0"/>
    <x v="0"/>
    <x v="3"/>
    <x v="1"/>
    <x v="1"/>
    <x v="2"/>
    <x v="2"/>
    <x v="2"/>
    <x v="1"/>
    <x v="2"/>
    <x v="0"/>
    <x v="2"/>
    <x v="3"/>
    <x v="4"/>
    <x v="207"/>
    <x v="1"/>
    <x v="0"/>
    <x v="0"/>
    <x v="1"/>
    <x v="0"/>
    <x v="0"/>
    <x v="0"/>
    <x v="0"/>
  </r>
  <r>
    <x v="418"/>
    <x v="152"/>
    <x v="152"/>
    <x v="150"/>
    <x v="0"/>
    <x v="3"/>
    <x v="2"/>
    <x v="157"/>
    <x v="114"/>
    <x v="1"/>
    <x v="2"/>
    <x v="0"/>
    <x v="0"/>
    <x v="3"/>
    <x v="2"/>
    <x v="3"/>
    <x v="2"/>
    <x v="1"/>
    <x v="3"/>
    <x v="1"/>
    <x v="1"/>
    <x v="91"/>
    <x v="2"/>
    <x v="3"/>
    <x v="4"/>
    <x v="202"/>
    <x v="2"/>
    <x v="1"/>
    <x v="1"/>
    <x v="1"/>
    <x v="0"/>
    <x v="247"/>
    <x v="119"/>
    <x v="0"/>
  </r>
  <r>
    <x v="419"/>
    <x v="209"/>
    <x v="207"/>
    <x v="205"/>
    <x v="333"/>
    <x v="1"/>
    <x v="2"/>
    <x v="218"/>
    <x v="103"/>
    <x v="1"/>
    <x v="15"/>
    <x v="0"/>
    <x v="0"/>
    <x v="1"/>
    <x v="1"/>
    <x v="1"/>
    <x v="2"/>
    <x v="1"/>
    <x v="3"/>
    <x v="1"/>
    <x v="2"/>
    <x v="0"/>
    <x v="2"/>
    <x v="1"/>
    <x v="2"/>
    <x v="209"/>
    <x v="4"/>
    <x v="0"/>
    <x v="0"/>
    <x v="1"/>
    <x v="0"/>
    <x v="0"/>
    <x v="0"/>
    <x v="0"/>
  </r>
  <r>
    <x v="420"/>
    <x v="210"/>
    <x v="208"/>
    <x v="206"/>
    <x v="334"/>
    <x v="3"/>
    <x v="2"/>
    <x v="219"/>
    <x v="57"/>
    <x v="1"/>
    <x v="9"/>
    <x v="0"/>
    <x v="0"/>
    <x v="1"/>
    <x v="1"/>
    <x v="1"/>
    <x v="2"/>
    <x v="1"/>
    <x v="2"/>
    <x v="1"/>
    <x v="1"/>
    <x v="92"/>
    <x v="1"/>
    <x v="5"/>
    <x v="2"/>
    <x v="210"/>
    <x v="5"/>
    <x v="1"/>
    <x v="5"/>
    <x v="2"/>
    <x v="1"/>
    <x v="248"/>
    <x v="0"/>
    <x v="0"/>
  </r>
  <r>
    <x v="421"/>
    <x v="150"/>
    <x v="150"/>
    <x v="148"/>
    <x v="0"/>
    <x v="1"/>
    <x v="2"/>
    <x v="155"/>
    <x v="130"/>
    <x v="1"/>
    <x v="96"/>
    <x v="0"/>
    <x v="0"/>
    <x v="3"/>
    <x v="1"/>
    <x v="1"/>
    <x v="2"/>
    <x v="1"/>
    <x v="2"/>
    <x v="1"/>
    <x v="2"/>
    <x v="0"/>
    <x v="2"/>
    <x v="3"/>
    <x v="4"/>
    <x v="149"/>
    <x v="5"/>
    <x v="0"/>
    <x v="0"/>
    <x v="1"/>
    <x v="0"/>
    <x v="0"/>
    <x v="0"/>
    <x v="0"/>
  </r>
  <r>
    <x v="422"/>
    <x v="211"/>
    <x v="209"/>
    <x v="207"/>
    <x v="335"/>
    <x v="3"/>
    <x v="1"/>
    <x v="220"/>
    <x v="10"/>
    <x v="6"/>
    <x v="0"/>
    <x v="0"/>
    <x v="8"/>
    <x v="1"/>
    <x v="3"/>
    <x v="2"/>
    <x v="2"/>
    <x v="1"/>
    <x v="3"/>
    <x v="1"/>
    <x v="2"/>
    <x v="0"/>
    <x v="1"/>
    <x v="1"/>
    <x v="2"/>
    <x v="211"/>
    <x v="5"/>
    <x v="0"/>
    <x v="0"/>
    <x v="1"/>
    <x v="0"/>
    <x v="0"/>
    <x v="0"/>
    <x v="124"/>
  </r>
  <r>
    <x v="423"/>
    <x v="152"/>
    <x v="152"/>
    <x v="150"/>
    <x v="0"/>
    <x v="3"/>
    <x v="2"/>
    <x v="157"/>
    <x v="114"/>
    <x v="1"/>
    <x v="2"/>
    <x v="0"/>
    <x v="0"/>
    <x v="3"/>
    <x v="1"/>
    <x v="1"/>
    <x v="2"/>
    <x v="1"/>
    <x v="2"/>
    <x v="1"/>
    <x v="2"/>
    <x v="0"/>
    <x v="2"/>
    <x v="3"/>
    <x v="4"/>
    <x v="202"/>
    <x v="5"/>
    <x v="0"/>
    <x v="0"/>
    <x v="1"/>
    <x v="0"/>
    <x v="0"/>
    <x v="0"/>
    <x v="0"/>
  </r>
  <r>
    <x v="424"/>
    <x v="185"/>
    <x v="183"/>
    <x v="181"/>
    <x v="336"/>
    <x v="1"/>
    <x v="2"/>
    <x v="221"/>
    <x v="10"/>
    <x v="1"/>
    <x v="4"/>
    <x v="0"/>
    <x v="0"/>
    <x v="1"/>
    <x v="1"/>
    <x v="1"/>
    <x v="2"/>
    <x v="1"/>
    <x v="3"/>
    <x v="1"/>
    <x v="1"/>
    <x v="0"/>
    <x v="1"/>
    <x v="2"/>
    <x v="3"/>
    <x v="182"/>
    <x v="1"/>
    <x v="0"/>
    <x v="0"/>
    <x v="1"/>
    <x v="0"/>
    <x v="249"/>
    <x v="0"/>
    <x v="0"/>
  </r>
  <r>
    <x v="425"/>
    <x v="185"/>
    <x v="183"/>
    <x v="181"/>
    <x v="337"/>
    <x v="1"/>
    <x v="2"/>
    <x v="193"/>
    <x v="10"/>
    <x v="1"/>
    <x v="15"/>
    <x v="0"/>
    <x v="0"/>
    <x v="1"/>
    <x v="3"/>
    <x v="3"/>
    <x v="2"/>
    <x v="1"/>
    <x v="3"/>
    <x v="1"/>
    <x v="1"/>
    <x v="92"/>
    <x v="1"/>
    <x v="1"/>
    <x v="2"/>
    <x v="182"/>
    <x v="1"/>
    <x v="3"/>
    <x v="0"/>
    <x v="1"/>
    <x v="0"/>
    <x v="250"/>
    <x v="0"/>
    <x v="0"/>
  </r>
  <r>
    <x v="426"/>
    <x v="212"/>
    <x v="210"/>
    <x v="208"/>
    <x v="338"/>
    <x v="1"/>
    <x v="2"/>
    <x v="222"/>
    <x v="10"/>
    <x v="1"/>
    <x v="98"/>
    <x v="0"/>
    <x v="0"/>
    <x v="1"/>
    <x v="2"/>
    <x v="3"/>
    <x v="2"/>
    <x v="1"/>
    <x v="2"/>
    <x v="1"/>
    <x v="1"/>
    <x v="92"/>
    <x v="1"/>
    <x v="1"/>
    <x v="2"/>
    <x v="212"/>
    <x v="4"/>
    <x v="3"/>
    <x v="0"/>
    <x v="1"/>
    <x v="0"/>
    <x v="251"/>
    <x v="120"/>
    <x v="0"/>
  </r>
  <r>
    <x v="427"/>
    <x v="213"/>
    <x v="211"/>
    <x v="209"/>
    <x v="339"/>
    <x v="1"/>
    <x v="2"/>
    <x v="223"/>
    <x v="182"/>
    <x v="1"/>
    <x v="3"/>
    <x v="0"/>
    <x v="0"/>
    <x v="1"/>
    <x v="1"/>
    <x v="1"/>
    <x v="2"/>
    <x v="1"/>
    <x v="3"/>
    <x v="1"/>
    <x v="1"/>
    <x v="93"/>
    <x v="1"/>
    <x v="1"/>
    <x v="2"/>
    <x v="213"/>
    <x v="1"/>
    <x v="1"/>
    <x v="8"/>
    <x v="1"/>
    <x v="0"/>
    <x v="252"/>
    <x v="121"/>
    <x v="0"/>
  </r>
  <r>
    <x v="428"/>
    <x v="214"/>
    <x v="212"/>
    <x v="210"/>
    <x v="340"/>
    <x v="1"/>
    <x v="2"/>
    <x v="224"/>
    <x v="183"/>
    <x v="1"/>
    <x v="99"/>
    <x v="0"/>
    <x v="0"/>
    <x v="1"/>
    <x v="1"/>
    <x v="1"/>
    <x v="2"/>
    <x v="1"/>
    <x v="3"/>
    <x v="1"/>
    <x v="2"/>
    <x v="0"/>
    <x v="1"/>
    <x v="1"/>
    <x v="2"/>
    <x v="214"/>
    <x v="12"/>
    <x v="0"/>
    <x v="0"/>
    <x v="1"/>
    <x v="0"/>
    <x v="0"/>
    <x v="0"/>
    <x v="0"/>
  </r>
  <r>
    <x v="429"/>
    <x v="215"/>
    <x v="213"/>
    <x v="211"/>
    <x v="341"/>
    <x v="1"/>
    <x v="2"/>
    <x v="225"/>
    <x v="184"/>
    <x v="1"/>
    <x v="36"/>
    <x v="0"/>
    <x v="0"/>
    <x v="1"/>
    <x v="5"/>
    <x v="1"/>
    <x v="1"/>
    <x v="1"/>
    <x v="2"/>
    <x v="1"/>
    <x v="2"/>
    <x v="0"/>
    <x v="1"/>
    <x v="1"/>
    <x v="13"/>
    <x v="215"/>
    <x v="12"/>
    <x v="0"/>
    <x v="0"/>
    <x v="1"/>
    <x v="0"/>
    <x v="0"/>
    <x v="0"/>
    <x v="125"/>
  </r>
  <r>
    <x v="430"/>
    <x v="216"/>
    <x v="214"/>
    <x v="212"/>
    <x v="342"/>
    <x v="1"/>
    <x v="3"/>
    <x v="226"/>
    <x v="185"/>
    <x v="1"/>
    <x v="100"/>
    <x v="0"/>
    <x v="0"/>
    <x v="1"/>
    <x v="1"/>
    <x v="1"/>
    <x v="2"/>
    <x v="1"/>
    <x v="1"/>
    <x v="1"/>
    <x v="2"/>
    <x v="0"/>
    <x v="1"/>
    <x v="5"/>
    <x v="2"/>
    <x v="216"/>
    <x v="12"/>
    <x v="0"/>
    <x v="0"/>
    <x v="1"/>
    <x v="0"/>
    <x v="0"/>
    <x v="0"/>
    <x v="0"/>
  </r>
  <r>
    <x v="431"/>
    <x v="210"/>
    <x v="208"/>
    <x v="206"/>
    <x v="343"/>
    <x v="3"/>
    <x v="2"/>
    <x v="219"/>
    <x v="186"/>
    <x v="1"/>
    <x v="9"/>
    <x v="0"/>
    <x v="0"/>
    <x v="3"/>
    <x v="1"/>
    <x v="1"/>
    <x v="2"/>
    <x v="1"/>
    <x v="1"/>
    <x v="1"/>
    <x v="2"/>
    <x v="0"/>
    <x v="1"/>
    <x v="3"/>
    <x v="4"/>
    <x v="210"/>
    <x v="2"/>
    <x v="0"/>
    <x v="0"/>
    <x v="1"/>
    <x v="0"/>
    <x v="0"/>
    <x v="0"/>
    <x v="0"/>
  </r>
  <r>
    <x v="432"/>
    <x v="95"/>
    <x v="215"/>
    <x v="93"/>
    <x v="344"/>
    <x v="1"/>
    <x v="2"/>
    <x v="100"/>
    <x v="92"/>
    <x v="1"/>
    <x v="3"/>
    <x v="0"/>
    <x v="0"/>
    <x v="1"/>
    <x v="1"/>
    <x v="1"/>
    <x v="2"/>
    <x v="1"/>
    <x v="1"/>
    <x v="1"/>
    <x v="2"/>
    <x v="0"/>
    <x v="1"/>
    <x v="2"/>
    <x v="2"/>
    <x v="94"/>
    <x v="12"/>
    <x v="0"/>
    <x v="0"/>
    <x v="1"/>
    <x v="0"/>
    <x v="0"/>
    <x v="0"/>
    <x v="0"/>
  </r>
  <r>
    <x v="433"/>
    <x v="217"/>
    <x v="216"/>
    <x v="213"/>
    <x v="345"/>
    <x v="1"/>
    <x v="2"/>
    <x v="227"/>
    <x v="187"/>
    <x v="1"/>
    <x v="3"/>
    <x v="0"/>
    <x v="0"/>
    <x v="1"/>
    <x v="1"/>
    <x v="1"/>
    <x v="2"/>
    <x v="1"/>
    <x v="2"/>
    <x v="1"/>
    <x v="2"/>
    <x v="0"/>
    <x v="1"/>
    <x v="1"/>
    <x v="2"/>
    <x v="217"/>
    <x v="12"/>
    <x v="0"/>
    <x v="0"/>
    <x v="1"/>
    <x v="0"/>
    <x v="0"/>
    <x v="0"/>
    <x v="126"/>
  </r>
  <r>
    <x v="434"/>
    <x v="218"/>
    <x v="217"/>
    <x v="214"/>
    <x v="346"/>
    <x v="1"/>
    <x v="2"/>
    <x v="228"/>
    <x v="188"/>
    <x v="1"/>
    <x v="33"/>
    <x v="0"/>
    <x v="0"/>
    <x v="1"/>
    <x v="3"/>
    <x v="3"/>
    <x v="2"/>
    <x v="2"/>
    <x v="1"/>
    <x v="1"/>
    <x v="1"/>
    <x v="94"/>
    <x v="1"/>
    <x v="5"/>
    <x v="2"/>
    <x v="218"/>
    <x v="12"/>
    <x v="3"/>
    <x v="0"/>
    <x v="1"/>
    <x v="0"/>
    <x v="253"/>
    <x v="122"/>
    <x v="127"/>
  </r>
  <r>
    <x v="435"/>
    <x v="219"/>
    <x v="218"/>
    <x v="215"/>
    <x v="347"/>
    <x v="3"/>
    <x v="2"/>
    <x v="229"/>
    <x v="10"/>
    <x v="1"/>
    <x v="15"/>
    <x v="0"/>
    <x v="0"/>
    <x v="1"/>
    <x v="1"/>
    <x v="1"/>
    <x v="2"/>
    <x v="1"/>
    <x v="2"/>
    <x v="1"/>
    <x v="1"/>
    <x v="95"/>
    <x v="1"/>
    <x v="6"/>
    <x v="2"/>
    <x v="219"/>
    <x v="5"/>
    <x v="3"/>
    <x v="0"/>
    <x v="1"/>
    <x v="0"/>
    <x v="254"/>
    <x v="123"/>
    <x v="128"/>
  </r>
  <r>
    <x v="436"/>
    <x v="213"/>
    <x v="211"/>
    <x v="209"/>
    <x v="0"/>
    <x v="1"/>
    <x v="2"/>
    <x v="223"/>
    <x v="189"/>
    <x v="1"/>
    <x v="3"/>
    <x v="0"/>
    <x v="0"/>
    <x v="3"/>
    <x v="1"/>
    <x v="1"/>
    <x v="2"/>
    <x v="1"/>
    <x v="2"/>
    <x v="1"/>
    <x v="2"/>
    <x v="0"/>
    <x v="2"/>
    <x v="6"/>
    <x v="2"/>
    <x v="213"/>
    <x v="8"/>
    <x v="0"/>
    <x v="0"/>
    <x v="1"/>
    <x v="0"/>
    <x v="0"/>
    <x v="0"/>
    <x v="0"/>
  </r>
  <r>
    <x v="437"/>
    <x v="220"/>
    <x v="219"/>
    <x v="216"/>
    <x v="348"/>
    <x v="1"/>
    <x v="3"/>
    <x v="230"/>
    <x v="190"/>
    <x v="2"/>
    <x v="0"/>
    <x v="5"/>
    <x v="0"/>
    <x v="1"/>
    <x v="2"/>
    <x v="3"/>
    <x v="2"/>
    <x v="1"/>
    <x v="2"/>
    <x v="1"/>
    <x v="1"/>
    <x v="94"/>
    <x v="1"/>
    <x v="6"/>
    <x v="2"/>
    <x v="220"/>
    <x v="5"/>
    <x v="3"/>
    <x v="0"/>
    <x v="1"/>
    <x v="0"/>
    <x v="255"/>
    <x v="124"/>
    <x v="0"/>
  </r>
  <r>
    <x v="438"/>
    <x v="169"/>
    <x v="169"/>
    <x v="167"/>
    <x v="349"/>
    <x v="1"/>
    <x v="2"/>
    <x v="177"/>
    <x v="147"/>
    <x v="1"/>
    <x v="15"/>
    <x v="0"/>
    <x v="0"/>
    <x v="1"/>
    <x v="1"/>
    <x v="1"/>
    <x v="2"/>
    <x v="1"/>
    <x v="2"/>
    <x v="1"/>
    <x v="1"/>
    <x v="95"/>
    <x v="1"/>
    <x v="1"/>
    <x v="2"/>
    <x v="168"/>
    <x v="12"/>
    <x v="1"/>
    <x v="7"/>
    <x v="1"/>
    <x v="0"/>
    <x v="256"/>
    <x v="0"/>
    <x v="129"/>
  </r>
  <r>
    <x v="439"/>
    <x v="169"/>
    <x v="169"/>
    <x v="167"/>
    <x v="349"/>
    <x v="1"/>
    <x v="2"/>
    <x v="177"/>
    <x v="147"/>
    <x v="1"/>
    <x v="15"/>
    <x v="0"/>
    <x v="0"/>
    <x v="3"/>
    <x v="1"/>
    <x v="1"/>
    <x v="2"/>
    <x v="1"/>
    <x v="2"/>
    <x v="1"/>
    <x v="1"/>
    <x v="95"/>
    <x v="2"/>
    <x v="3"/>
    <x v="4"/>
    <x v="168"/>
    <x v="12"/>
    <x v="1"/>
    <x v="7"/>
    <x v="2"/>
    <x v="1"/>
    <x v="257"/>
    <x v="0"/>
    <x v="0"/>
  </r>
  <r>
    <x v="440"/>
    <x v="169"/>
    <x v="169"/>
    <x v="167"/>
    <x v="350"/>
    <x v="1"/>
    <x v="2"/>
    <x v="177"/>
    <x v="147"/>
    <x v="1"/>
    <x v="15"/>
    <x v="0"/>
    <x v="0"/>
    <x v="3"/>
    <x v="3"/>
    <x v="3"/>
    <x v="2"/>
    <x v="1"/>
    <x v="2"/>
    <x v="1"/>
    <x v="1"/>
    <x v="96"/>
    <x v="1"/>
    <x v="3"/>
    <x v="4"/>
    <x v="168"/>
    <x v="12"/>
    <x v="1"/>
    <x v="4"/>
    <x v="1"/>
    <x v="0"/>
    <x v="258"/>
    <x v="125"/>
    <x v="130"/>
  </r>
  <r>
    <x v="441"/>
    <x v="221"/>
    <x v="220"/>
    <x v="217"/>
    <x v="351"/>
    <x v="1"/>
    <x v="3"/>
    <x v="231"/>
    <x v="10"/>
    <x v="1"/>
    <x v="24"/>
    <x v="0"/>
    <x v="0"/>
    <x v="1"/>
    <x v="3"/>
    <x v="3"/>
    <x v="1"/>
    <x v="2"/>
    <x v="1"/>
    <x v="1"/>
    <x v="1"/>
    <x v="96"/>
    <x v="1"/>
    <x v="4"/>
    <x v="3"/>
    <x v="221"/>
    <x v="2"/>
    <x v="3"/>
    <x v="0"/>
    <x v="1"/>
    <x v="0"/>
    <x v="259"/>
    <x v="0"/>
    <x v="131"/>
  </r>
  <r>
    <x v="442"/>
    <x v="169"/>
    <x v="169"/>
    <x v="167"/>
    <x v="0"/>
    <x v="1"/>
    <x v="2"/>
    <x v="177"/>
    <x v="147"/>
    <x v="2"/>
    <x v="0"/>
    <x v="2"/>
    <x v="0"/>
    <x v="3"/>
    <x v="4"/>
    <x v="1"/>
    <x v="2"/>
    <x v="1"/>
    <x v="2"/>
    <x v="1"/>
    <x v="2"/>
    <x v="0"/>
    <x v="2"/>
    <x v="3"/>
    <x v="4"/>
    <x v="168"/>
    <x v="1"/>
    <x v="0"/>
    <x v="0"/>
    <x v="1"/>
    <x v="0"/>
    <x v="0"/>
    <x v="0"/>
    <x v="0"/>
  </r>
  <r>
    <x v="443"/>
    <x v="222"/>
    <x v="221"/>
    <x v="218"/>
    <x v="352"/>
    <x v="3"/>
    <x v="4"/>
    <x v="232"/>
    <x v="163"/>
    <x v="1"/>
    <x v="15"/>
    <x v="0"/>
    <x v="0"/>
    <x v="1"/>
    <x v="1"/>
    <x v="1"/>
    <x v="2"/>
    <x v="1"/>
    <x v="1"/>
    <x v="1"/>
    <x v="1"/>
    <x v="90"/>
    <x v="1"/>
    <x v="5"/>
    <x v="3"/>
    <x v="222"/>
    <x v="1"/>
    <x v="3"/>
    <x v="5"/>
    <x v="1"/>
    <x v="0"/>
    <x v="260"/>
    <x v="126"/>
    <x v="132"/>
  </r>
  <r>
    <x v="444"/>
    <x v="223"/>
    <x v="222"/>
    <x v="219"/>
    <x v="353"/>
    <x v="1"/>
    <x v="2"/>
    <x v="233"/>
    <x v="191"/>
    <x v="1"/>
    <x v="70"/>
    <x v="0"/>
    <x v="0"/>
    <x v="1"/>
    <x v="1"/>
    <x v="1"/>
    <x v="2"/>
    <x v="1"/>
    <x v="1"/>
    <x v="1"/>
    <x v="2"/>
    <x v="0"/>
    <x v="1"/>
    <x v="1"/>
    <x v="2"/>
    <x v="223"/>
    <x v="12"/>
    <x v="0"/>
    <x v="0"/>
    <x v="1"/>
    <x v="0"/>
    <x v="0"/>
    <x v="0"/>
    <x v="0"/>
  </r>
  <r>
    <x v="445"/>
    <x v="224"/>
    <x v="223"/>
    <x v="220"/>
    <x v="354"/>
    <x v="1"/>
    <x v="2"/>
    <x v="234"/>
    <x v="30"/>
    <x v="1"/>
    <x v="33"/>
    <x v="0"/>
    <x v="0"/>
    <x v="1"/>
    <x v="3"/>
    <x v="2"/>
    <x v="2"/>
    <x v="1"/>
    <x v="3"/>
    <x v="1"/>
    <x v="1"/>
    <x v="90"/>
    <x v="1"/>
    <x v="1"/>
    <x v="2"/>
    <x v="224"/>
    <x v="2"/>
    <x v="1"/>
    <x v="4"/>
    <x v="1"/>
    <x v="0"/>
    <x v="261"/>
    <x v="127"/>
    <x v="0"/>
  </r>
  <r>
    <x v="446"/>
    <x v="225"/>
    <x v="224"/>
    <x v="221"/>
    <x v="355"/>
    <x v="1"/>
    <x v="2"/>
    <x v="235"/>
    <x v="192"/>
    <x v="1"/>
    <x v="36"/>
    <x v="0"/>
    <x v="0"/>
    <x v="1"/>
    <x v="1"/>
    <x v="1"/>
    <x v="2"/>
    <x v="1"/>
    <x v="2"/>
    <x v="1"/>
    <x v="1"/>
    <x v="90"/>
    <x v="1"/>
    <x v="1"/>
    <x v="2"/>
    <x v="225"/>
    <x v="12"/>
    <x v="1"/>
    <x v="7"/>
    <x v="2"/>
    <x v="1"/>
    <x v="262"/>
    <x v="128"/>
    <x v="133"/>
  </r>
  <r>
    <x v="447"/>
    <x v="226"/>
    <x v="225"/>
    <x v="222"/>
    <x v="356"/>
    <x v="1"/>
    <x v="2"/>
    <x v="236"/>
    <x v="193"/>
    <x v="1"/>
    <x v="3"/>
    <x v="0"/>
    <x v="0"/>
    <x v="1"/>
    <x v="3"/>
    <x v="2"/>
    <x v="2"/>
    <x v="1"/>
    <x v="3"/>
    <x v="1"/>
    <x v="1"/>
    <x v="97"/>
    <x v="1"/>
    <x v="1"/>
    <x v="2"/>
    <x v="226"/>
    <x v="1"/>
    <x v="3"/>
    <x v="0"/>
    <x v="1"/>
    <x v="0"/>
    <x v="263"/>
    <x v="129"/>
    <x v="0"/>
  </r>
  <r>
    <x v="448"/>
    <x v="205"/>
    <x v="203"/>
    <x v="201"/>
    <x v="0"/>
    <x v="1"/>
    <x v="1"/>
    <x v="214"/>
    <x v="177"/>
    <x v="1"/>
    <x v="31"/>
    <x v="0"/>
    <x v="0"/>
    <x v="3"/>
    <x v="1"/>
    <x v="1"/>
    <x v="2"/>
    <x v="1"/>
    <x v="1"/>
    <x v="1"/>
    <x v="2"/>
    <x v="0"/>
    <x v="2"/>
    <x v="3"/>
    <x v="4"/>
    <x v="205"/>
    <x v="12"/>
    <x v="0"/>
    <x v="0"/>
    <x v="1"/>
    <x v="0"/>
    <x v="0"/>
    <x v="0"/>
    <x v="0"/>
  </r>
  <r>
    <x v="449"/>
    <x v="227"/>
    <x v="226"/>
    <x v="223"/>
    <x v="357"/>
    <x v="1"/>
    <x v="3"/>
    <x v="237"/>
    <x v="40"/>
    <x v="2"/>
    <x v="0"/>
    <x v="2"/>
    <x v="0"/>
    <x v="1"/>
    <x v="1"/>
    <x v="1"/>
    <x v="2"/>
    <x v="1"/>
    <x v="2"/>
    <x v="1"/>
    <x v="1"/>
    <x v="90"/>
    <x v="1"/>
    <x v="1"/>
    <x v="2"/>
    <x v="227"/>
    <x v="12"/>
    <x v="1"/>
    <x v="7"/>
    <x v="2"/>
    <x v="1"/>
    <x v="264"/>
    <x v="0"/>
    <x v="134"/>
  </r>
  <r>
    <x v="450"/>
    <x v="118"/>
    <x v="117"/>
    <x v="116"/>
    <x v="358"/>
    <x v="1"/>
    <x v="2"/>
    <x v="123"/>
    <x v="163"/>
    <x v="1"/>
    <x v="1"/>
    <x v="0"/>
    <x v="0"/>
    <x v="1"/>
    <x v="1"/>
    <x v="1"/>
    <x v="2"/>
    <x v="1"/>
    <x v="2"/>
    <x v="1"/>
    <x v="2"/>
    <x v="0"/>
    <x v="1"/>
    <x v="1"/>
    <x v="2"/>
    <x v="117"/>
    <x v="12"/>
    <x v="0"/>
    <x v="0"/>
    <x v="1"/>
    <x v="0"/>
    <x v="0"/>
    <x v="0"/>
    <x v="0"/>
  </r>
  <r>
    <x v="451"/>
    <x v="228"/>
    <x v="227"/>
    <x v="224"/>
    <x v="359"/>
    <x v="3"/>
    <x v="2"/>
    <x v="238"/>
    <x v="194"/>
    <x v="1"/>
    <x v="101"/>
    <x v="0"/>
    <x v="0"/>
    <x v="1"/>
    <x v="3"/>
    <x v="2"/>
    <x v="2"/>
    <x v="1"/>
    <x v="3"/>
    <x v="1"/>
    <x v="1"/>
    <x v="97"/>
    <x v="1"/>
    <x v="1"/>
    <x v="2"/>
    <x v="228"/>
    <x v="1"/>
    <x v="3"/>
    <x v="0"/>
    <x v="1"/>
    <x v="0"/>
    <x v="265"/>
    <x v="130"/>
    <x v="0"/>
  </r>
  <r>
    <x v="452"/>
    <x v="229"/>
    <x v="228"/>
    <x v="225"/>
    <x v="360"/>
    <x v="1"/>
    <x v="1"/>
    <x v="239"/>
    <x v="164"/>
    <x v="1"/>
    <x v="102"/>
    <x v="0"/>
    <x v="0"/>
    <x v="1"/>
    <x v="1"/>
    <x v="1"/>
    <x v="2"/>
    <x v="1"/>
    <x v="1"/>
    <x v="1"/>
    <x v="2"/>
    <x v="0"/>
    <x v="1"/>
    <x v="1"/>
    <x v="2"/>
    <x v="229"/>
    <x v="12"/>
    <x v="0"/>
    <x v="0"/>
    <x v="1"/>
    <x v="0"/>
    <x v="0"/>
    <x v="0"/>
    <x v="0"/>
  </r>
  <r>
    <x v="453"/>
    <x v="224"/>
    <x v="223"/>
    <x v="220"/>
    <x v="0"/>
    <x v="1"/>
    <x v="2"/>
    <x v="234"/>
    <x v="30"/>
    <x v="1"/>
    <x v="33"/>
    <x v="0"/>
    <x v="0"/>
    <x v="3"/>
    <x v="1"/>
    <x v="1"/>
    <x v="2"/>
    <x v="1"/>
    <x v="3"/>
    <x v="1"/>
    <x v="1"/>
    <x v="97"/>
    <x v="2"/>
    <x v="3"/>
    <x v="4"/>
    <x v="224"/>
    <x v="1"/>
    <x v="1"/>
    <x v="12"/>
    <x v="1"/>
    <x v="0"/>
    <x v="266"/>
    <x v="0"/>
    <x v="135"/>
  </r>
  <r>
    <x v="454"/>
    <x v="227"/>
    <x v="226"/>
    <x v="223"/>
    <x v="0"/>
    <x v="1"/>
    <x v="3"/>
    <x v="237"/>
    <x v="40"/>
    <x v="2"/>
    <x v="0"/>
    <x v="2"/>
    <x v="0"/>
    <x v="3"/>
    <x v="3"/>
    <x v="3"/>
    <x v="2"/>
    <x v="1"/>
    <x v="2"/>
    <x v="1"/>
    <x v="1"/>
    <x v="97"/>
    <x v="2"/>
    <x v="3"/>
    <x v="4"/>
    <x v="227"/>
    <x v="12"/>
    <x v="1"/>
    <x v="4"/>
    <x v="1"/>
    <x v="0"/>
    <x v="267"/>
    <x v="0"/>
    <x v="136"/>
  </r>
  <r>
    <x v="455"/>
    <x v="230"/>
    <x v="229"/>
    <x v="226"/>
    <x v="361"/>
    <x v="3"/>
    <x v="2"/>
    <x v="240"/>
    <x v="195"/>
    <x v="1"/>
    <x v="4"/>
    <x v="0"/>
    <x v="0"/>
    <x v="1"/>
    <x v="1"/>
    <x v="1"/>
    <x v="1"/>
    <x v="2"/>
    <x v="1"/>
    <x v="1"/>
    <x v="1"/>
    <x v="97"/>
    <x v="2"/>
    <x v="5"/>
    <x v="2"/>
    <x v="230"/>
    <x v="12"/>
    <x v="1"/>
    <x v="7"/>
    <x v="1"/>
    <x v="0"/>
    <x v="268"/>
    <x v="131"/>
    <x v="137"/>
  </r>
  <r>
    <x v="456"/>
    <x v="227"/>
    <x v="226"/>
    <x v="223"/>
    <x v="0"/>
    <x v="1"/>
    <x v="2"/>
    <x v="237"/>
    <x v="40"/>
    <x v="2"/>
    <x v="0"/>
    <x v="5"/>
    <x v="0"/>
    <x v="3"/>
    <x v="4"/>
    <x v="1"/>
    <x v="2"/>
    <x v="1"/>
    <x v="2"/>
    <x v="1"/>
    <x v="2"/>
    <x v="0"/>
    <x v="2"/>
    <x v="3"/>
    <x v="4"/>
    <x v="227"/>
    <x v="1"/>
    <x v="0"/>
    <x v="0"/>
    <x v="1"/>
    <x v="0"/>
    <x v="0"/>
    <x v="0"/>
    <x v="0"/>
  </r>
  <r>
    <x v="457"/>
    <x v="231"/>
    <x v="230"/>
    <x v="227"/>
    <x v="362"/>
    <x v="1"/>
    <x v="2"/>
    <x v="241"/>
    <x v="196"/>
    <x v="6"/>
    <x v="0"/>
    <x v="0"/>
    <x v="9"/>
    <x v="1"/>
    <x v="3"/>
    <x v="2"/>
    <x v="1"/>
    <x v="1"/>
    <x v="2"/>
    <x v="1"/>
    <x v="1"/>
    <x v="98"/>
    <x v="1"/>
    <x v="1"/>
    <x v="2"/>
    <x v="231"/>
    <x v="12"/>
    <x v="1"/>
    <x v="10"/>
    <x v="2"/>
    <x v="1"/>
    <x v="269"/>
    <x v="0"/>
    <x v="138"/>
  </r>
  <r>
    <x v="458"/>
    <x v="225"/>
    <x v="224"/>
    <x v="221"/>
    <x v="363"/>
    <x v="1"/>
    <x v="2"/>
    <x v="235"/>
    <x v="197"/>
    <x v="1"/>
    <x v="103"/>
    <x v="0"/>
    <x v="0"/>
    <x v="3"/>
    <x v="1"/>
    <x v="1"/>
    <x v="1"/>
    <x v="1"/>
    <x v="2"/>
    <x v="1"/>
    <x v="2"/>
    <x v="0"/>
    <x v="1"/>
    <x v="3"/>
    <x v="4"/>
    <x v="225"/>
    <x v="12"/>
    <x v="0"/>
    <x v="0"/>
    <x v="1"/>
    <x v="0"/>
    <x v="0"/>
    <x v="0"/>
    <x v="139"/>
  </r>
  <r>
    <x v="459"/>
    <x v="230"/>
    <x v="229"/>
    <x v="226"/>
    <x v="0"/>
    <x v="3"/>
    <x v="2"/>
    <x v="240"/>
    <x v="195"/>
    <x v="1"/>
    <x v="4"/>
    <x v="0"/>
    <x v="0"/>
    <x v="3"/>
    <x v="1"/>
    <x v="1"/>
    <x v="1"/>
    <x v="2"/>
    <x v="1"/>
    <x v="1"/>
    <x v="1"/>
    <x v="99"/>
    <x v="2"/>
    <x v="3"/>
    <x v="4"/>
    <x v="230"/>
    <x v="12"/>
    <x v="3"/>
    <x v="0"/>
    <x v="1"/>
    <x v="0"/>
    <x v="270"/>
    <x v="132"/>
    <x v="0"/>
  </r>
  <r>
    <x v="460"/>
    <x v="232"/>
    <x v="231"/>
    <x v="228"/>
    <x v="364"/>
    <x v="3"/>
    <x v="3"/>
    <x v="242"/>
    <x v="198"/>
    <x v="1"/>
    <x v="24"/>
    <x v="0"/>
    <x v="0"/>
    <x v="1"/>
    <x v="1"/>
    <x v="1"/>
    <x v="1"/>
    <x v="1"/>
    <x v="1"/>
    <x v="1"/>
    <x v="2"/>
    <x v="0"/>
    <x v="1"/>
    <x v="1"/>
    <x v="2"/>
    <x v="232"/>
    <x v="12"/>
    <x v="0"/>
    <x v="0"/>
    <x v="1"/>
    <x v="0"/>
    <x v="0"/>
    <x v="0"/>
    <x v="0"/>
  </r>
  <r>
    <x v="461"/>
    <x v="224"/>
    <x v="223"/>
    <x v="220"/>
    <x v="0"/>
    <x v="1"/>
    <x v="2"/>
    <x v="234"/>
    <x v="30"/>
    <x v="1"/>
    <x v="33"/>
    <x v="0"/>
    <x v="0"/>
    <x v="3"/>
    <x v="1"/>
    <x v="1"/>
    <x v="2"/>
    <x v="1"/>
    <x v="3"/>
    <x v="1"/>
    <x v="1"/>
    <x v="100"/>
    <x v="2"/>
    <x v="3"/>
    <x v="4"/>
    <x v="224"/>
    <x v="11"/>
    <x v="1"/>
    <x v="7"/>
    <x v="2"/>
    <x v="1"/>
    <x v="271"/>
    <x v="0"/>
    <x v="140"/>
  </r>
  <r>
    <x v="462"/>
    <x v="233"/>
    <x v="232"/>
    <x v="229"/>
    <x v="365"/>
    <x v="1"/>
    <x v="2"/>
    <x v="243"/>
    <x v="199"/>
    <x v="1"/>
    <x v="70"/>
    <x v="0"/>
    <x v="0"/>
    <x v="1"/>
    <x v="3"/>
    <x v="3"/>
    <x v="2"/>
    <x v="1"/>
    <x v="1"/>
    <x v="1"/>
    <x v="1"/>
    <x v="100"/>
    <x v="1"/>
    <x v="6"/>
    <x v="3"/>
    <x v="233"/>
    <x v="1"/>
    <x v="1"/>
    <x v="3"/>
    <x v="2"/>
    <x v="1"/>
    <x v="272"/>
    <x v="0"/>
    <x v="0"/>
  </r>
  <r>
    <x v="463"/>
    <x v="231"/>
    <x v="230"/>
    <x v="227"/>
    <x v="366"/>
    <x v="1"/>
    <x v="2"/>
    <x v="241"/>
    <x v="196"/>
    <x v="6"/>
    <x v="0"/>
    <x v="0"/>
    <x v="9"/>
    <x v="3"/>
    <x v="3"/>
    <x v="2"/>
    <x v="2"/>
    <x v="1"/>
    <x v="2"/>
    <x v="1"/>
    <x v="1"/>
    <x v="99"/>
    <x v="1"/>
    <x v="3"/>
    <x v="4"/>
    <x v="231"/>
    <x v="9"/>
    <x v="1"/>
    <x v="4"/>
    <x v="2"/>
    <x v="1"/>
    <x v="273"/>
    <x v="0"/>
    <x v="0"/>
  </r>
  <r>
    <x v="464"/>
    <x v="234"/>
    <x v="233"/>
    <x v="230"/>
    <x v="367"/>
    <x v="1"/>
    <x v="2"/>
    <x v="244"/>
    <x v="105"/>
    <x v="6"/>
    <x v="0"/>
    <x v="0"/>
    <x v="10"/>
    <x v="1"/>
    <x v="1"/>
    <x v="1"/>
    <x v="1"/>
    <x v="2"/>
    <x v="3"/>
    <x v="1"/>
    <x v="1"/>
    <x v="101"/>
    <x v="1"/>
    <x v="6"/>
    <x v="3"/>
    <x v="234"/>
    <x v="1"/>
    <x v="3"/>
    <x v="0"/>
    <x v="1"/>
    <x v="0"/>
    <x v="274"/>
    <x v="133"/>
    <x v="0"/>
  </r>
  <r>
    <x v="465"/>
    <x v="178"/>
    <x v="176"/>
    <x v="174"/>
    <x v="368"/>
    <x v="3"/>
    <x v="2"/>
    <x v="186"/>
    <x v="153"/>
    <x v="1"/>
    <x v="104"/>
    <x v="0"/>
    <x v="0"/>
    <x v="1"/>
    <x v="3"/>
    <x v="2"/>
    <x v="2"/>
    <x v="1"/>
    <x v="2"/>
    <x v="1"/>
    <x v="1"/>
    <x v="101"/>
    <x v="1"/>
    <x v="6"/>
    <x v="3"/>
    <x v="175"/>
    <x v="9"/>
    <x v="3"/>
    <x v="0"/>
    <x v="1"/>
    <x v="0"/>
    <x v="275"/>
    <x v="134"/>
    <x v="0"/>
  </r>
  <r>
    <x v="466"/>
    <x v="235"/>
    <x v="234"/>
    <x v="231"/>
    <x v="369"/>
    <x v="1"/>
    <x v="2"/>
    <x v="245"/>
    <x v="200"/>
    <x v="1"/>
    <x v="24"/>
    <x v="0"/>
    <x v="0"/>
    <x v="1"/>
    <x v="2"/>
    <x v="3"/>
    <x v="2"/>
    <x v="1"/>
    <x v="2"/>
    <x v="1"/>
    <x v="1"/>
    <x v="100"/>
    <x v="1"/>
    <x v="6"/>
    <x v="2"/>
    <x v="235"/>
    <x v="9"/>
    <x v="1"/>
    <x v="3"/>
    <x v="2"/>
    <x v="1"/>
    <x v="276"/>
    <x v="135"/>
    <x v="0"/>
  </r>
  <r>
    <x v="467"/>
    <x v="233"/>
    <x v="232"/>
    <x v="229"/>
    <x v="370"/>
    <x v="1"/>
    <x v="1"/>
    <x v="243"/>
    <x v="199"/>
    <x v="1"/>
    <x v="70"/>
    <x v="0"/>
    <x v="0"/>
    <x v="3"/>
    <x v="1"/>
    <x v="1"/>
    <x v="2"/>
    <x v="1"/>
    <x v="1"/>
    <x v="1"/>
    <x v="2"/>
    <x v="0"/>
    <x v="1"/>
    <x v="3"/>
    <x v="4"/>
    <x v="233"/>
    <x v="3"/>
    <x v="0"/>
    <x v="0"/>
    <x v="1"/>
    <x v="0"/>
    <x v="0"/>
    <x v="0"/>
    <x v="0"/>
  </r>
  <r>
    <x v="468"/>
    <x v="224"/>
    <x v="223"/>
    <x v="220"/>
    <x v="371"/>
    <x v="1"/>
    <x v="2"/>
    <x v="234"/>
    <x v="30"/>
    <x v="1"/>
    <x v="33"/>
    <x v="0"/>
    <x v="0"/>
    <x v="3"/>
    <x v="1"/>
    <x v="1"/>
    <x v="1"/>
    <x v="1"/>
    <x v="2"/>
    <x v="1"/>
    <x v="2"/>
    <x v="0"/>
    <x v="1"/>
    <x v="3"/>
    <x v="4"/>
    <x v="224"/>
    <x v="12"/>
    <x v="0"/>
    <x v="0"/>
    <x v="1"/>
    <x v="0"/>
    <x v="0"/>
    <x v="0"/>
    <x v="0"/>
  </r>
  <r>
    <x v="469"/>
    <x v="235"/>
    <x v="234"/>
    <x v="231"/>
    <x v="372"/>
    <x v="1"/>
    <x v="1"/>
    <x v="245"/>
    <x v="200"/>
    <x v="1"/>
    <x v="24"/>
    <x v="0"/>
    <x v="0"/>
    <x v="3"/>
    <x v="1"/>
    <x v="1"/>
    <x v="2"/>
    <x v="2"/>
    <x v="1"/>
    <x v="1"/>
    <x v="2"/>
    <x v="0"/>
    <x v="1"/>
    <x v="3"/>
    <x v="4"/>
    <x v="235"/>
    <x v="3"/>
    <x v="0"/>
    <x v="0"/>
    <x v="1"/>
    <x v="0"/>
    <x v="0"/>
    <x v="0"/>
    <x v="0"/>
  </r>
  <r>
    <x v="470"/>
    <x v="236"/>
    <x v="235"/>
    <x v="232"/>
    <x v="373"/>
    <x v="1"/>
    <x v="2"/>
    <x v="246"/>
    <x v="201"/>
    <x v="1"/>
    <x v="24"/>
    <x v="0"/>
    <x v="0"/>
    <x v="1"/>
    <x v="3"/>
    <x v="2"/>
    <x v="1"/>
    <x v="1"/>
    <x v="2"/>
    <x v="1"/>
    <x v="1"/>
    <x v="99"/>
    <x v="1"/>
    <x v="1"/>
    <x v="2"/>
    <x v="236"/>
    <x v="2"/>
    <x v="1"/>
    <x v="4"/>
    <x v="1"/>
    <x v="0"/>
    <x v="277"/>
    <x v="0"/>
    <x v="0"/>
  </r>
  <r>
    <x v="471"/>
    <x v="41"/>
    <x v="40"/>
    <x v="40"/>
    <x v="374"/>
    <x v="1"/>
    <x v="2"/>
    <x v="200"/>
    <x v="44"/>
    <x v="1"/>
    <x v="1"/>
    <x v="0"/>
    <x v="0"/>
    <x v="1"/>
    <x v="2"/>
    <x v="3"/>
    <x v="2"/>
    <x v="1"/>
    <x v="2"/>
    <x v="1"/>
    <x v="1"/>
    <x v="99"/>
    <x v="1"/>
    <x v="1"/>
    <x v="13"/>
    <x v="40"/>
    <x v="3"/>
    <x v="3"/>
    <x v="0"/>
    <x v="1"/>
    <x v="0"/>
    <x v="278"/>
    <x v="136"/>
    <x v="0"/>
  </r>
  <r>
    <x v="472"/>
    <x v="237"/>
    <x v="236"/>
    <x v="233"/>
    <x v="375"/>
    <x v="1"/>
    <x v="3"/>
    <x v="247"/>
    <x v="202"/>
    <x v="1"/>
    <x v="33"/>
    <x v="0"/>
    <x v="0"/>
    <x v="1"/>
    <x v="3"/>
    <x v="2"/>
    <x v="1"/>
    <x v="1"/>
    <x v="1"/>
    <x v="1"/>
    <x v="1"/>
    <x v="102"/>
    <x v="1"/>
    <x v="1"/>
    <x v="2"/>
    <x v="237"/>
    <x v="12"/>
    <x v="1"/>
    <x v="4"/>
    <x v="1"/>
    <x v="0"/>
    <x v="279"/>
    <x v="137"/>
    <x v="0"/>
  </r>
  <r>
    <x v="473"/>
    <x v="169"/>
    <x v="169"/>
    <x v="167"/>
    <x v="376"/>
    <x v="1"/>
    <x v="2"/>
    <x v="177"/>
    <x v="196"/>
    <x v="6"/>
    <x v="0"/>
    <x v="0"/>
    <x v="1"/>
    <x v="1"/>
    <x v="1"/>
    <x v="1"/>
    <x v="2"/>
    <x v="1"/>
    <x v="2"/>
    <x v="1"/>
    <x v="1"/>
    <x v="99"/>
    <x v="1"/>
    <x v="1"/>
    <x v="2"/>
    <x v="168"/>
    <x v="4"/>
    <x v="1"/>
    <x v="2"/>
    <x v="2"/>
    <x v="1"/>
    <x v="280"/>
    <x v="138"/>
    <x v="0"/>
  </r>
  <r>
    <x v="474"/>
    <x v="238"/>
    <x v="237"/>
    <x v="234"/>
    <x v="377"/>
    <x v="1"/>
    <x v="2"/>
    <x v="248"/>
    <x v="81"/>
    <x v="1"/>
    <x v="105"/>
    <x v="0"/>
    <x v="0"/>
    <x v="1"/>
    <x v="1"/>
    <x v="1"/>
    <x v="2"/>
    <x v="1"/>
    <x v="2"/>
    <x v="1"/>
    <x v="1"/>
    <x v="99"/>
    <x v="1"/>
    <x v="1"/>
    <x v="2"/>
    <x v="238"/>
    <x v="12"/>
    <x v="1"/>
    <x v="2"/>
    <x v="1"/>
    <x v="0"/>
    <x v="281"/>
    <x v="139"/>
    <x v="141"/>
  </r>
  <r>
    <x v="475"/>
    <x v="236"/>
    <x v="235"/>
    <x v="232"/>
    <x v="0"/>
    <x v="1"/>
    <x v="2"/>
    <x v="246"/>
    <x v="203"/>
    <x v="1"/>
    <x v="70"/>
    <x v="0"/>
    <x v="0"/>
    <x v="3"/>
    <x v="3"/>
    <x v="2"/>
    <x v="1"/>
    <x v="1"/>
    <x v="3"/>
    <x v="1"/>
    <x v="1"/>
    <x v="102"/>
    <x v="2"/>
    <x v="3"/>
    <x v="4"/>
    <x v="236"/>
    <x v="1"/>
    <x v="3"/>
    <x v="0"/>
    <x v="1"/>
    <x v="0"/>
    <x v="282"/>
    <x v="140"/>
    <x v="142"/>
  </r>
  <r>
    <x v="476"/>
    <x v="231"/>
    <x v="230"/>
    <x v="227"/>
    <x v="378"/>
    <x v="1"/>
    <x v="2"/>
    <x v="241"/>
    <x v="196"/>
    <x v="6"/>
    <x v="0"/>
    <x v="0"/>
    <x v="11"/>
    <x v="3"/>
    <x v="1"/>
    <x v="1"/>
    <x v="2"/>
    <x v="1"/>
    <x v="3"/>
    <x v="1"/>
    <x v="2"/>
    <x v="0"/>
    <x v="1"/>
    <x v="3"/>
    <x v="4"/>
    <x v="231"/>
    <x v="1"/>
    <x v="0"/>
    <x v="0"/>
    <x v="1"/>
    <x v="0"/>
    <x v="0"/>
    <x v="0"/>
    <x v="0"/>
  </r>
  <r>
    <x v="477"/>
    <x v="238"/>
    <x v="237"/>
    <x v="234"/>
    <x v="0"/>
    <x v="1"/>
    <x v="2"/>
    <x v="248"/>
    <x v="81"/>
    <x v="1"/>
    <x v="0"/>
    <x v="0"/>
    <x v="0"/>
    <x v="3"/>
    <x v="4"/>
    <x v="1"/>
    <x v="2"/>
    <x v="1"/>
    <x v="2"/>
    <x v="1"/>
    <x v="2"/>
    <x v="0"/>
    <x v="2"/>
    <x v="3"/>
    <x v="4"/>
    <x v="238"/>
    <x v="4"/>
    <x v="0"/>
    <x v="0"/>
    <x v="1"/>
    <x v="0"/>
    <x v="0"/>
    <x v="0"/>
    <x v="0"/>
  </r>
  <r>
    <x v="478"/>
    <x v="239"/>
    <x v="238"/>
    <x v="235"/>
    <x v="379"/>
    <x v="1"/>
    <x v="2"/>
    <x v="249"/>
    <x v="71"/>
    <x v="1"/>
    <x v="1"/>
    <x v="0"/>
    <x v="0"/>
    <x v="1"/>
    <x v="1"/>
    <x v="1"/>
    <x v="1"/>
    <x v="1"/>
    <x v="3"/>
    <x v="1"/>
    <x v="1"/>
    <x v="99"/>
    <x v="1"/>
    <x v="1"/>
    <x v="2"/>
    <x v="239"/>
    <x v="4"/>
    <x v="1"/>
    <x v="2"/>
    <x v="1"/>
    <x v="0"/>
    <x v="283"/>
    <x v="0"/>
    <x v="0"/>
  </r>
  <r>
    <x v="479"/>
    <x v="239"/>
    <x v="238"/>
    <x v="235"/>
    <x v="379"/>
    <x v="1"/>
    <x v="2"/>
    <x v="249"/>
    <x v="71"/>
    <x v="1"/>
    <x v="1"/>
    <x v="0"/>
    <x v="0"/>
    <x v="3"/>
    <x v="1"/>
    <x v="1"/>
    <x v="1"/>
    <x v="1"/>
    <x v="3"/>
    <x v="1"/>
    <x v="2"/>
    <x v="0"/>
    <x v="1"/>
    <x v="3"/>
    <x v="4"/>
    <x v="239"/>
    <x v="4"/>
    <x v="0"/>
    <x v="0"/>
    <x v="1"/>
    <x v="0"/>
    <x v="0"/>
    <x v="0"/>
    <x v="0"/>
  </r>
  <r>
    <x v="480"/>
    <x v="169"/>
    <x v="169"/>
    <x v="167"/>
    <x v="380"/>
    <x v="1"/>
    <x v="2"/>
    <x v="177"/>
    <x v="196"/>
    <x v="6"/>
    <x v="0"/>
    <x v="0"/>
    <x v="1"/>
    <x v="3"/>
    <x v="1"/>
    <x v="1"/>
    <x v="2"/>
    <x v="1"/>
    <x v="2"/>
    <x v="1"/>
    <x v="1"/>
    <x v="103"/>
    <x v="1"/>
    <x v="3"/>
    <x v="4"/>
    <x v="168"/>
    <x v="4"/>
    <x v="3"/>
    <x v="0"/>
    <x v="1"/>
    <x v="0"/>
    <x v="284"/>
    <x v="141"/>
    <x v="143"/>
  </r>
  <r>
    <x v="481"/>
    <x v="240"/>
    <x v="239"/>
    <x v="236"/>
    <x v="381"/>
    <x v="1"/>
    <x v="1"/>
    <x v="250"/>
    <x v="204"/>
    <x v="1"/>
    <x v="2"/>
    <x v="0"/>
    <x v="0"/>
    <x v="1"/>
    <x v="3"/>
    <x v="3"/>
    <x v="1"/>
    <x v="1"/>
    <x v="2"/>
    <x v="1"/>
    <x v="1"/>
    <x v="102"/>
    <x v="1"/>
    <x v="1"/>
    <x v="2"/>
    <x v="240"/>
    <x v="12"/>
    <x v="1"/>
    <x v="5"/>
    <x v="2"/>
    <x v="1"/>
    <x v="285"/>
    <x v="0"/>
    <x v="144"/>
  </r>
  <r>
    <x v="482"/>
    <x v="241"/>
    <x v="240"/>
    <x v="237"/>
    <x v="382"/>
    <x v="1"/>
    <x v="2"/>
    <x v="251"/>
    <x v="80"/>
    <x v="1"/>
    <x v="22"/>
    <x v="0"/>
    <x v="0"/>
    <x v="1"/>
    <x v="2"/>
    <x v="3"/>
    <x v="2"/>
    <x v="1"/>
    <x v="2"/>
    <x v="1"/>
    <x v="1"/>
    <x v="102"/>
    <x v="1"/>
    <x v="2"/>
    <x v="2"/>
    <x v="241"/>
    <x v="1"/>
    <x v="3"/>
    <x v="0"/>
    <x v="1"/>
    <x v="0"/>
    <x v="286"/>
    <x v="142"/>
    <x v="145"/>
  </r>
  <r>
    <x v="483"/>
    <x v="242"/>
    <x v="241"/>
    <x v="238"/>
    <x v="383"/>
    <x v="3"/>
    <x v="2"/>
    <x v="252"/>
    <x v="196"/>
    <x v="6"/>
    <x v="0"/>
    <x v="0"/>
    <x v="12"/>
    <x v="1"/>
    <x v="1"/>
    <x v="1"/>
    <x v="2"/>
    <x v="1"/>
    <x v="3"/>
    <x v="1"/>
    <x v="1"/>
    <x v="102"/>
    <x v="2"/>
    <x v="1"/>
    <x v="2"/>
    <x v="242"/>
    <x v="4"/>
    <x v="1"/>
    <x v="2"/>
    <x v="1"/>
    <x v="0"/>
    <x v="287"/>
    <x v="0"/>
    <x v="146"/>
  </r>
  <r>
    <x v="484"/>
    <x v="242"/>
    <x v="241"/>
    <x v="238"/>
    <x v="0"/>
    <x v="3"/>
    <x v="2"/>
    <x v="252"/>
    <x v="196"/>
    <x v="6"/>
    <x v="0"/>
    <x v="0"/>
    <x v="12"/>
    <x v="3"/>
    <x v="1"/>
    <x v="1"/>
    <x v="2"/>
    <x v="1"/>
    <x v="3"/>
    <x v="1"/>
    <x v="2"/>
    <x v="0"/>
    <x v="2"/>
    <x v="3"/>
    <x v="4"/>
    <x v="242"/>
    <x v="4"/>
    <x v="0"/>
    <x v="0"/>
    <x v="1"/>
    <x v="0"/>
    <x v="0"/>
    <x v="0"/>
    <x v="0"/>
  </r>
  <r>
    <x v="485"/>
    <x v="243"/>
    <x v="242"/>
    <x v="239"/>
    <x v="384"/>
    <x v="1"/>
    <x v="1"/>
    <x v="253"/>
    <x v="205"/>
    <x v="1"/>
    <x v="106"/>
    <x v="0"/>
    <x v="0"/>
    <x v="1"/>
    <x v="1"/>
    <x v="1"/>
    <x v="1"/>
    <x v="1"/>
    <x v="2"/>
    <x v="2"/>
    <x v="1"/>
    <x v="103"/>
    <x v="1"/>
    <x v="1"/>
    <x v="2"/>
    <x v="243"/>
    <x v="12"/>
    <x v="1"/>
    <x v="2"/>
    <x v="2"/>
    <x v="1"/>
    <x v="288"/>
    <x v="0"/>
    <x v="147"/>
  </r>
  <r>
    <x v="486"/>
    <x v="237"/>
    <x v="236"/>
    <x v="233"/>
    <x v="0"/>
    <x v="1"/>
    <x v="2"/>
    <x v="247"/>
    <x v="202"/>
    <x v="1"/>
    <x v="33"/>
    <x v="0"/>
    <x v="0"/>
    <x v="3"/>
    <x v="3"/>
    <x v="2"/>
    <x v="2"/>
    <x v="1"/>
    <x v="3"/>
    <x v="1"/>
    <x v="1"/>
    <x v="104"/>
    <x v="2"/>
    <x v="3"/>
    <x v="4"/>
    <x v="237"/>
    <x v="1"/>
    <x v="3"/>
    <x v="0"/>
    <x v="1"/>
    <x v="0"/>
    <x v="289"/>
    <x v="143"/>
    <x v="0"/>
  </r>
  <r>
    <x v="487"/>
    <x v="240"/>
    <x v="243"/>
    <x v="236"/>
    <x v="385"/>
    <x v="1"/>
    <x v="1"/>
    <x v="254"/>
    <x v="206"/>
    <x v="1"/>
    <x v="2"/>
    <x v="0"/>
    <x v="0"/>
    <x v="3"/>
    <x v="1"/>
    <x v="1"/>
    <x v="2"/>
    <x v="1"/>
    <x v="2"/>
    <x v="1"/>
    <x v="2"/>
    <x v="0"/>
    <x v="1"/>
    <x v="3"/>
    <x v="4"/>
    <x v="240"/>
    <x v="2"/>
    <x v="0"/>
    <x v="0"/>
    <x v="1"/>
    <x v="0"/>
    <x v="0"/>
    <x v="0"/>
    <x v="0"/>
  </r>
  <r>
    <x v="488"/>
    <x v="243"/>
    <x v="242"/>
    <x v="239"/>
    <x v="386"/>
    <x v="1"/>
    <x v="1"/>
    <x v="253"/>
    <x v="205"/>
    <x v="1"/>
    <x v="107"/>
    <x v="0"/>
    <x v="0"/>
    <x v="3"/>
    <x v="1"/>
    <x v="1"/>
    <x v="1"/>
    <x v="1"/>
    <x v="2"/>
    <x v="1"/>
    <x v="2"/>
    <x v="0"/>
    <x v="2"/>
    <x v="3"/>
    <x v="4"/>
    <x v="243"/>
    <x v="4"/>
    <x v="0"/>
    <x v="0"/>
    <x v="1"/>
    <x v="0"/>
    <x v="0"/>
    <x v="0"/>
    <x v="0"/>
  </r>
  <r>
    <x v="489"/>
    <x v="37"/>
    <x v="36"/>
    <x v="36"/>
    <x v="387"/>
    <x v="1"/>
    <x v="2"/>
    <x v="39"/>
    <x v="49"/>
    <x v="2"/>
    <x v="0"/>
    <x v="5"/>
    <x v="0"/>
    <x v="1"/>
    <x v="3"/>
    <x v="3"/>
    <x v="2"/>
    <x v="1"/>
    <x v="2"/>
    <x v="1"/>
    <x v="1"/>
    <x v="104"/>
    <x v="1"/>
    <x v="5"/>
    <x v="3"/>
    <x v="184"/>
    <x v="1"/>
    <x v="3"/>
    <x v="0"/>
    <x v="1"/>
    <x v="0"/>
    <x v="290"/>
    <x v="144"/>
    <x v="0"/>
  </r>
  <r>
    <x v="490"/>
    <x v="244"/>
    <x v="244"/>
    <x v="240"/>
    <x v="388"/>
    <x v="1"/>
    <x v="2"/>
    <x v="255"/>
    <x v="207"/>
    <x v="1"/>
    <x v="27"/>
    <x v="0"/>
    <x v="0"/>
    <x v="1"/>
    <x v="3"/>
    <x v="3"/>
    <x v="2"/>
    <x v="1"/>
    <x v="2"/>
    <x v="1"/>
    <x v="1"/>
    <x v="105"/>
    <x v="1"/>
    <x v="1"/>
    <x v="2"/>
    <x v="244"/>
    <x v="12"/>
    <x v="1"/>
    <x v="4"/>
    <x v="2"/>
    <x v="1"/>
    <x v="291"/>
    <x v="145"/>
    <x v="148"/>
  </r>
  <r>
    <x v="491"/>
    <x v="240"/>
    <x v="243"/>
    <x v="236"/>
    <x v="389"/>
    <x v="1"/>
    <x v="1"/>
    <x v="256"/>
    <x v="206"/>
    <x v="1"/>
    <x v="36"/>
    <x v="0"/>
    <x v="0"/>
    <x v="1"/>
    <x v="1"/>
    <x v="1"/>
    <x v="1"/>
    <x v="1"/>
    <x v="2"/>
    <x v="1"/>
    <x v="2"/>
    <x v="0"/>
    <x v="1"/>
    <x v="1"/>
    <x v="2"/>
    <x v="240"/>
    <x v="12"/>
    <x v="0"/>
    <x v="0"/>
    <x v="1"/>
    <x v="0"/>
    <x v="0"/>
    <x v="0"/>
    <x v="0"/>
  </r>
  <r>
    <x v="492"/>
    <x v="245"/>
    <x v="245"/>
    <x v="241"/>
    <x v="390"/>
    <x v="1"/>
    <x v="2"/>
    <x v="4"/>
    <x v="208"/>
    <x v="1"/>
    <x v="9"/>
    <x v="0"/>
    <x v="0"/>
    <x v="1"/>
    <x v="3"/>
    <x v="3"/>
    <x v="2"/>
    <x v="1"/>
    <x v="3"/>
    <x v="1"/>
    <x v="1"/>
    <x v="105"/>
    <x v="1"/>
    <x v="1"/>
    <x v="2"/>
    <x v="245"/>
    <x v="11"/>
    <x v="1"/>
    <x v="4"/>
    <x v="2"/>
    <x v="1"/>
    <x v="292"/>
    <x v="0"/>
    <x v="0"/>
  </r>
  <r>
    <x v="493"/>
    <x v="245"/>
    <x v="245"/>
    <x v="241"/>
    <x v="391"/>
    <x v="1"/>
    <x v="2"/>
    <x v="4"/>
    <x v="209"/>
    <x v="1"/>
    <x v="9"/>
    <x v="0"/>
    <x v="0"/>
    <x v="3"/>
    <x v="1"/>
    <x v="1"/>
    <x v="2"/>
    <x v="1"/>
    <x v="3"/>
    <x v="1"/>
    <x v="2"/>
    <x v="0"/>
    <x v="1"/>
    <x v="3"/>
    <x v="4"/>
    <x v="245"/>
    <x v="1"/>
    <x v="0"/>
    <x v="0"/>
    <x v="1"/>
    <x v="0"/>
    <x v="0"/>
    <x v="0"/>
    <x v="0"/>
  </r>
  <r>
    <x v="494"/>
    <x v="244"/>
    <x v="244"/>
    <x v="240"/>
    <x v="392"/>
    <x v="1"/>
    <x v="2"/>
    <x v="255"/>
    <x v="10"/>
    <x v="1"/>
    <x v="15"/>
    <x v="0"/>
    <x v="0"/>
    <x v="3"/>
    <x v="1"/>
    <x v="1"/>
    <x v="2"/>
    <x v="1"/>
    <x v="2"/>
    <x v="1"/>
    <x v="2"/>
    <x v="0"/>
    <x v="1"/>
    <x v="3"/>
    <x v="4"/>
    <x v="244"/>
    <x v="1"/>
    <x v="0"/>
    <x v="0"/>
    <x v="1"/>
    <x v="0"/>
    <x v="0"/>
    <x v="0"/>
    <x v="0"/>
  </r>
  <r>
    <x v="495"/>
    <x v="246"/>
    <x v="246"/>
    <x v="242"/>
    <x v="393"/>
    <x v="3"/>
    <x v="2"/>
    <x v="257"/>
    <x v="210"/>
    <x v="1"/>
    <x v="15"/>
    <x v="0"/>
    <x v="0"/>
    <x v="1"/>
    <x v="1"/>
    <x v="1"/>
    <x v="2"/>
    <x v="1"/>
    <x v="2"/>
    <x v="1"/>
    <x v="2"/>
    <x v="0"/>
    <x v="1"/>
    <x v="6"/>
    <x v="2"/>
    <x v="246"/>
    <x v="8"/>
    <x v="0"/>
    <x v="0"/>
    <x v="1"/>
    <x v="0"/>
    <x v="0"/>
    <x v="0"/>
    <x v="0"/>
  </r>
  <r>
    <x v="496"/>
    <x v="247"/>
    <x v="247"/>
    <x v="243"/>
    <x v="394"/>
    <x v="1"/>
    <x v="1"/>
    <x v="258"/>
    <x v="10"/>
    <x v="1"/>
    <x v="108"/>
    <x v="0"/>
    <x v="0"/>
    <x v="1"/>
    <x v="3"/>
    <x v="3"/>
    <x v="1"/>
    <x v="1"/>
    <x v="2"/>
    <x v="1"/>
    <x v="1"/>
    <x v="106"/>
    <x v="1"/>
    <x v="1"/>
    <x v="2"/>
    <x v="247"/>
    <x v="12"/>
    <x v="3"/>
    <x v="0"/>
    <x v="1"/>
    <x v="0"/>
    <x v="293"/>
    <x v="146"/>
    <x v="149"/>
  </r>
  <r>
    <x v="497"/>
    <x v="248"/>
    <x v="248"/>
    <x v="244"/>
    <x v="395"/>
    <x v="1"/>
    <x v="4"/>
    <x v="259"/>
    <x v="211"/>
    <x v="1"/>
    <x v="15"/>
    <x v="0"/>
    <x v="0"/>
    <x v="1"/>
    <x v="1"/>
    <x v="1"/>
    <x v="2"/>
    <x v="1"/>
    <x v="2"/>
    <x v="1"/>
    <x v="2"/>
    <x v="0"/>
    <x v="1"/>
    <x v="1"/>
    <x v="2"/>
    <x v="248"/>
    <x v="12"/>
    <x v="0"/>
    <x v="0"/>
    <x v="1"/>
    <x v="0"/>
    <x v="0"/>
    <x v="0"/>
    <x v="0"/>
  </r>
  <r>
    <x v="498"/>
    <x v="249"/>
    <x v="249"/>
    <x v="245"/>
    <x v="396"/>
    <x v="1"/>
    <x v="2"/>
    <x v="260"/>
    <x v="60"/>
    <x v="1"/>
    <x v="15"/>
    <x v="0"/>
    <x v="0"/>
    <x v="1"/>
    <x v="1"/>
    <x v="1"/>
    <x v="2"/>
    <x v="1"/>
    <x v="2"/>
    <x v="1"/>
    <x v="1"/>
    <x v="106"/>
    <x v="1"/>
    <x v="5"/>
    <x v="2"/>
    <x v="249"/>
    <x v="12"/>
    <x v="3"/>
    <x v="0"/>
    <x v="1"/>
    <x v="0"/>
    <x v="294"/>
    <x v="147"/>
    <x v="150"/>
  </r>
  <r>
    <x v="499"/>
    <x v="250"/>
    <x v="250"/>
    <x v="246"/>
    <x v="397"/>
    <x v="1"/>
    <x v="2"/>
    <x v="261"/>
    <x v="212"/>
    <x v="1"/>
    <x v="109"/>
    <x v="0"/>
    <x v="0"/>
    <x v="1"/>
    <x v="2"/>
    <x v="3"/>
    <x v="2"/>
    <x v="1"/>
    <x v="3"/>
    <x v="1"/>
    <x v="1"/>
    <x v="107"/>
    <x v="1"/>
    <x v="1"/>
    <x v="2"/>
    <x v="250"/>
    <x v="1"/>
    <x v="1"/>
    <x v="4"/>
    <x v="1"/>
    <x v="0"/>
    <x v="295"/>
    <x v="0"/>
    <x v="0"/>
  </r>
  <r>
    <x v="500"/>
    <x v="251"/>
    <x v="251"/>
    <x v="247"/>
    <x v="398"/>
    <x v="1"/>
    <x v="2"/>
    <x v="262"/>
    <x v="10"/>
    <x v="1"/>
    <x v="3"/>
    <x v="0"/>
    <x v="0"/>
    <x v="1"/>
    <x v="1"/>
    <x v="1"/>
    <x v="2"/>
    <x v="1"/>
    <x v="3"/>
    <x v="1"/>
    <x v="1"/>
    <x v="107"/>
    <x v="1"/>
    <x v="1"/>
    <x v="2"/>
    <x v="251"/>
    <x v="1"/>
    <x v="3"/>
    <x v="0"/>
    <x v="1"/>
    <x v="0"/>
    <x v="296"/>
    <x v="0"/>
    <x v="151"/>
  </r>
  <r>
    <x v="501"/>
    <x v="252"/>
    <x v="252"/>
    <x v="248"/>
    <x v="399"/>
    <x v="1"/>
    <x v="3"/>
    <x v="263"/>
    <x v="123"/>
    <x v="1"/>
    <x v="70"/>
    <x v="0"/>
    <x v="0"/>
    <x v="1"/>
    <x v="3"/>
    <x v="3"/>
    <x v="2"/>
    <x v="1"/>
    <x v="1"/>
    <x v="2"/>
    <x v="1"/>
    <x v="107"/>
    <x v="1"/>
    <x v="1"/>
    <x v="2"/>
    <x v="252"/>
    <x v="1"/>
    <x v="3"/>
    <x v="0"/>
    <x v="1"/>
    <x v="0"/>
    <x v="297"/>
    <x v="148"/>
    <x v="0"/>
  </r>
  <r>
    <x v="502"/>
    <x v="250"/>
    <x v="250"/>
    <x v="246"/>
    <x v="400"/>
    <x v="1"/>
    <x v="2"/>
    <x v="261"/>
    <x v="212"/>
    <x v="1"/>
    <x v="110"/>
    <x v="0"/>
    <x v="0"/>
    <x v="1"/>
    <x v="1"/>
    <x v="1"/>
    <x v="2"/>
    <x v="1"/>
    <x v="3"/>
    <x v="1"/>
    <x v="2"/>
    <x v="0"/>
    <x v="1"/>
    <x v="1"/>
    <x v="2"/>
    <x v="250"/>
    <x v="1"/>
    <x v="0"/>
    <x v="0"/>
    <x v="1"/>
    <x v="0"/>
    <x v="0"/>
    <x v="0"/>
    <x v="0"/>
  </r>
  <r>
    <x v="503"/>
    <x v="253"/>
    <x v="253"/>
    <x v="249"/>
    <x v="401"/>
    <x v="1"/>
    <x v="3"/>
    <x v="264"/>
    <x v="213"/>
    <x v="1"/>
    <x v="111"/>
    <x v="0"/>
    <x v="0"/>
    <x v="1"/>
    <x v="1"/>
    <x v="1"/>
    <x v="1"/>
    <x v="1"/>
    <x v="2"/>
    <x v="1"/>
    <x v="2"/>
    <x v="0"/>
    <x v="1"/>
    <x v="1"/>
    <x v="2"/>
    <x v="253"/>
    <x v="12"/>
    <x v="0"/>
    <x v="0"/>
    <x v="1"/>
    <x v="0"/>
    <x v="0"/>
    <x v="0"/>
    <x v="0"/>
  </r>
  <r>
    <x v="504"/>
    <x v="254"/>
    <x v="254"/>
    <x v="250"/>
    <x v="402"/>
    <x v="1"/>
    <x v="3"/>
    <x v="265"/>
    <x v="214"/>
    <x v="1"/>
    <x v="15"/>
    <x v="0"/>
    <x v="0"/>
    <x v="1"/>
    <x v="2"/>
    <x v="3"/>
    <x v="2"/>
    <x v="1"/>
    <x v="2"/>
    <x v="1"/>
    <x v="1"/>
    <x v="108"/>
    <x v="1"/>
    <x v="1"/>
    <x v="2"/>
    <x v="254"/>
    <x v="2"/>
    <x v="3"/>
    <x v="0"/>
    <x v="1"/>
    <x v="0"/>
    <x v="298"/>
    <x v="149"/>
    <x v="0"/>
  </r>
  <r>
    <x v="505"/>
    <x v="255"/>
    <x v="255"/>
    <x v="251"/>
    <x v="403"/>
    <x v="1"/>
    <x v="2"/>
    <x v="266"/>
    <x v="215"/>
    <x v="1"/>
    <x v="112"/>
    <x v="0"/>
    <x v="0"/>
    <x v="1"/>
    <x v="1"/>
    <x v="1"/>
    <x v="2"/>
    <x v="1"/>
    <x v="1"/>
    <x v="1"/>
    <x v="2"/>
    <x v="0"/>
    <x v="1"/>
    <x v="1"/>
    <x v="2"/>
    <x v="255"/>
    <x v="12"/>
    <x v="0"/>
    <x v="0"/>
    <x v="1"/>
    <x v="0"/>
    <x v="0"/>
    <x v="0"/>
    <x v="0"/>
  </r>
  <r>
    <x v="506"/>
    <x v="169"/>
    <x v="169"/>
    <x v="167"/>
    <x v="404"/>
    <x v="1"/>
    <x v="2"/>
    <x v="177"/>
    <x v="196"/>
    <x v="6"/>
    <x v="0"/>
    <x v="0"/>
    <x v="13"/>
    <x v="1"/>
    <x v="1"/>
    <x v="1"/>
    <x v="1"/>
    <x v="1"/>
    <x v="2"/>
    <x v="1"/>
    <x v="1"/>
    <x v="109"/>
    <x v="1"/>
    <x v="1"/>
    <x v="2"/>
    <x v="168"/>
    <x v="12"/>
    <x v="4"/>
    <x v="7"/>
    <x v="1"/>
    <x v="0"/>
    <x v="299"/>
    <x v="150"/>
    <x v="152"/>
  </r>
  <r>
    <x v="507"/>
    <x v="256"/>
    <x v="256"/>
    <x v="252"/>
    <x v="405"/>
    <x v="1"/>
    <x v="2"/>
    <x v="267"/>
    <x v="216"/>
    <x v="1"/>
    <x v="3"/>
    <x v="0"/>
    <x v="0"/>
    <x v="1"/>
    <x v="3"/>
    <x v="2"/>
    <x v="2"/>
    <x v="1"/>
    <x v="3"/>
    <x v="1"/>
    <x v="1"/>
    <x v="109"/>
    <x v="1"/>
    <x v="1"/>
    <x v="2"/>
    <x v="256"/>
    <x v="1"/>
    <x v="3"/>
    <x v="0"/>
    <x v="1"/>
    <x v="0"/>
    <x v="300"/>
    <x v="151"/>
    <x v="0"/>
  </r>
  <r>
    <x v="508"/>
    <x v="257"/>
    <x v="257"/>
    <x v="253"/>
    <x v="406"/>
    <x v="1"/>
    <x v="3"/>
    <x v="268"/>
    <x v="217"/>
    <x v="1"/>
    <x v="24"/>
    <x v="0"/>
    <x v="0"/>
    <x v="1"/>
    <x v="3"/>
    <x v="3"/>
    <x v="1"/>
    <x v="1"/>
    <x v="1"/>
    <x v="1"/>
    <x v="1"/>
    <x v="109"/>
    <x v="1"/>
    <x v="5"/>
    <x v="2"/>
    <x v="257"/>
    <x v="12"/>
    <x v="1"/>
    <x v="5"/>
    <x v="2"/>
    <x v="1"/>
    <x v="301"/>
    <x v="0"/>
    <x v="153"/>
  </r>
  <r>
    <x v="509"/>
    <x v="257"/>
    <x v="257"/>
    <x v="253"/>
    <x v="407"/>
    <x v="1"/>
    <x v="3"/>
    <x v="268"/>
    <x v="217"/>
    <x v="1"/>
    <x v="24"/>
    <x v="0"/>
    <x v="0"/>
    <x v="3"/>
    <x v="1"/>
    <x v="1"/>
    <x v="2"/>
    <x v="1"/>
    <x v="3"/>
    <x v="1"/>
    <x v="1"/>
    <x v="110"/>
    <x v="1"/>
    <x v="3"/>
    <x v="4"/>
    <x v="257"/>
    <x v="2"/>
    <x v="3"/>
    <x v="0"/>
    <x v="1"/>
    <x v="0"/>
    <x v="302"/>
    <x v="152"/>
    <x v="154"/>
  </r>
  <r>
    <x v="510"/>
    <x v="258"/>
    <x v="258"/>
    <x v="254"/>
    <x v="408"/>
    <x v="3"/>
    <x v="2"/>
    <x v="269"/>
    <x v="218"/>
    <x v="1"/>
    <x v="33"/>
    <x v="0"/>
    <x v="0"/>
    <x v="1"/>
    <x v="3"/>
    <x v="2"/>
    <x v="2"/>
    <x v="1"/>
    <x v="3"/>
    <x v="1"/>
    <x v="1"/>
    <x v="111"/>
    <x v="1"/>
    <x v="1"/>
    <x v="2"/>
    <x v="258"/>
    <x v="11"/>
    <x v="3"/>
    <x v="0"/>
    <x v="1"/>
    <x v="0"/>
    <x v="303"/>
    <x v="153"/>
    <x v="155"/>
  </r>
  <r>
    <x v="511"/>
    <x v="193"/>
    <x v="191"/>
    <x v="189"/>
    <x v="409"/>
    <x v="1"/>
    <x v="2"/>
    <x v="202"/>
    <x v="165"/>
    <x v="1"/>
    <x v="31"/>
    <x v="0"/>
    <x v="0"/>
    <x v="1"/>
    <x v="1"/>
    <x v="1"/>
    <x v="2"/>
    <x v="1"/>
    <x v="1"/>
    <x v="1"/>
    <x v="1"/>
    <x v="111"/>
    <x v="1"/>
    <x v="1"/>
    <x v="2"/>
    <x v="191"/>
    <x v="12"/>
    <x v="1"/>
    <x v="1"/>
    <x v="1"/>
    <x v="0"/>
    <x v="304"/>
    <x v="154"/>
    <x v="156"/>
  </r>
  <r>
    <x v="512"/>
    <x v="259"/>
    <x v="259"/>
    <x v="255"/>
    <x v="410"/>
    <x v="1"/>
    <x v="2"/>
    <x v="270"/>
    <x v="219"/>
    <x v="1"/>
    <x v="3"/>
    <x v="0"/>
    <x v="0"/>
    <x v="1"/>
    <x v="1"/>
    <x v="1"/>
    <x v="2"/>
    <x v="1"/>
    <x v="1"/>
    <x v="1"/>
    <x v="2"/>
    <x v="0"/>
    <x v="1"/>
    <x v="5"/>
    <x v="2"/>
    <x v="259"/>
    <x v="12"/>
    <x v="0"/>
    <x v="0"/>
    <x v="1"/>
    <x v="0"/>
    <x v="0"/>
    <x v="0"/>
    <x v="0"/>
  </r>
  <r>
    <x v="513"/>
    <x v="169"/>
    <x v="169"/>
    <x v="167"/>
    <x v="404"/>
    <x v="1"/>
    <x v="2"/>
    <x v="177"/>
    <x v="196"/>
    <x v="6"/>
    <x v="0"/>
    <x v="0"/>
    <x v="13"/>
    <x v="3"/>
    <x v="1"/>
    <x v="1"/>
    <x v="1"/>
    <x v="1"/>
    <x v="2"/>
    <x v="1"/>
    <x v="1"/>
    <x v="111"/>
    <x v="2"/>
    <x v="3"/>
    <x v="4"/>
    <x v="168"/>
    <x v="12"/>
    <x v="1"/>
    <x v="2"/>
    <x v="2"/>
    <x v="1"/>
    <x v="305"/>
    <x v="155"/>
    <x v="157"/>
  </r>
  <r>
    <x v="514"/>
    <x v="260"/>
    <x v="260"/>
    <x v="256"/>
    <x v="411"/>
    <x v="1"/>
    <x v="2"/>
    <x v="271"/>
    <x v="131"/>
    <x v="1"/>
    <x v="31"/>
    <x v="0"/>
    <x v="0"/>
    <x v="1"/>
    <x v="1"/>
    <x v="1"/>
    <x v="2"/>
    <x v="1"/>
    <x v="3"/>
    <x v="1"/>
    <x v="1"/>
    <x v="110"/>
    <x v="1"/>
    <x v="6"/>
    <x v="3"/>
    <x v="260"/>
    <x v="4"/>
    <x v="1"/>
    <x v="0"/>
    <x v="1"/>
    <x v="0"/>
    <x v="306"/>
    <x v="156"/>
    <x v="0"/>
  </r>
  <r>
    <x v="515"/>
    <x v="170"/>
    <x v="170"/>
    <x v="168"/>
    <x v="412"/>
    <x v="1"/>
    <x v="2"/>
    <x v="179"/>
    <x v="196"/>
    <x v="7"/>
    <x v="0"/>
    <x v="0"/>
    <x v="0"/>
    <x v="1"/>
    <x v="2"/>
    <x v="3"/>
    <x v="2"/>
    <x v="1"/>
    <x v="2"/>
    <x v="1"/>
    <x v="1"/>
    <x v="110"/>
    <x v="1"/>
    <x v="6"/>
    <x v="3"/>
    <x v="169"/>
    <x v="4"/>
    <x v="3"/>
    <x v="0"/>
    <x v="1"/>
    <x v="0"/>
    <x v="307"/>
    <x v="157"/>
    <x v="0"/>
  </r>
  <r>
    <x v="516"/>
    <x v="261"/>
    <x v="261"/>
    <x v="257"/>
    <x v="413"/>
    <x v="3"/>
    <x v="2"/>
    <x v="272"/>
    <x v="220"/>
    <x v="1"/>
    <x v="9"/>
    <x v="0"/>
    <x v="0"/>
    <x v="1"/>
    <x v="1"/>
    <x v="1"/>
    <x v="1"/>
    <x v="1"/>
    <x v="2"/>
    <x v="1"/>
    <x v="1"/>
    <x v="110"/>
    <x v="1"/>
    <x v="6"/>
    <x v="3"/>
    <x v="261"/>
    <x v="4"/>
    <x v="1"/>
    <x v="1"/>
    <x v="1"/>
    <x v="0"/>
    <x v="308"/>
    <x v="158"/>
    <x v="158"/>
  </r>
  <r>
    <x v="517"/>
    <x v="169"/>
    <x v="169"/>
    <x v="167"/>
    <x v="0"/>
    <x v="1"/>
    <x v="2"/>
    <x v="177"/>
    <x v="196"/>
    <x v="6"/>
    <x v="0"/>
    <x v="0"/>
    <x v="13"/>
    <x v="3"/>
    <x v="1"/>
    <x v="1"/>
    <x v="2"/>
    <x v="1"/>
    <x v="2"/>
    <x v="1"/>
    <x v="1"/>
    <x v="112"/>
    <x v="2"/>
    <x v="3"/>
    <x v="4"/>
    <x v="168"/>
    <x v="4"/>
    <x v="1"/>
    <x v="1"/>
    <x v="1"/>
    <x v="0"/>
    <x v="309"/>
    <x v="159"/>
    <x v="159"/>
  </r>
  <r>
    <x v="518"/>
    <x v="260"/>
    <x v="260"/>
    <x v="256"/>
    <x v="0"/>
    <x v="1"/>
    <x v="2"/>
    <x v="271"/>
    <x v="131"/>
    <x v="1"/>
    <x v="31"/>
    <x v="0"/>
    <x v="0"/>
    <x v="3"/>
    <x v="1"/>
    <x v="1"/>
    <x v="2"/>
    <x v="1"/>
    <x v="2"/>
    <x v="1"/>
    <x v="2"/>
    <x v="0"/>
    <x v="2"/>
    <x v="3"/>
    <x v="4"/>
    <x v="260"/>
    <x v="12"/>
    <x v="0"/>
    <x v="0"/>
    <x v="1"/>
    <x v="0"/>
    <x v="0"/>
    <x v="0"/>
    <x v="0"/>
  </r>
  <r>
    <x v="519"/>
    <x v="262"/>
    <x v="262"/>
    <x v="258"/>
    <x v="414"/>
    <x v="3"/>
    <x v="1"/>
    <x v="273"/>
    <x v="221"/>
    <x v="1"/>
    <x v="15"/>
    <x v="0"/>
    <x v="0"/>
    <x v="1"/>
    <x v="3"/>
    <x v="3"/>
    <x v="2"/>
    <x v="1"/>
    <x v="1"/>
    <x v="1"/>
    <x v="1"/>
    <x v="113"/>
    <x v="2"/>
    <x v="1"/>
    <x v="2"/>
    <x v="262"/>
    <x v="12"/>
    <x v="1"/>
    <x v="7"/>
    <x v="1"/>
    <x v="0"/>
    <x v="310"/>
    <x v="160"/>
    <x v="160"/>
  </r>
  <r>
    <x v="520"/>
    <x v="263"/>
    <x v="263"/>
    <x v="259"/>
    <x v="415"/>
    <x v="1"/>
    <x v="2"/>
    <x v="274"/>
    <x v="215"/>
    <x v="1"/>
    <x v="24"/>
    <x v="0"/>
    <x v="0"/>
    <x v="1"/>
    <x v="1"/>
    <x v="1"/>
    <x v="2"/>
    <x v="1"/>
    <x v="2"/>
    <x v="1"/>
    <x v="2"/>
    <x v="0"/>
    <x v="1"/>
    <x v="1"/>
    <x v="2"/>
    <x v="263"/>
    <x v="12"/>
    <x v="0"/>
    <x v="0"/>
    <x v="1"/>
    <x v="0"/>
    <x v="0"/>
    <x v="0"/>
    <x v="0"/>
  </r>
  <r>
    <x v="521"/>
    <x v="262"/>
    <x v="262"/>
    <x v="258"/>
    <x v="0"/>
    <x v="3"/>
    <x v="1"/>
    <x v="273"/>
    <x v="221"/>
    <x v="1"/>
    <x v="15"/>
    <x v="0"/>
    <x v="0"/>
    <x v="3"/>
    <x v="1"/>
    <x v="1"/>
    <x v="2"/>
    <x v="1"/>
    <x v="2"/>
    <x v="1"/>
    <x v="1"/>
    <x v="114"/>
    <x v="2"/>
    <x v="3"/>
    <x v="4"/>
    <x v="262"/>
    <x v="12"/>
    <x v="1"/>
    <x v="7"/>
    <x v="1"/>
    <x v="0"/>
    <x v="311"/>
    <x v="0"/>
    <x v="161"/>
  </r>
  <r>
    <x v="522"/>
    <x v="264"/>
    <x v="264"/>
    <x v="260"/>
    <x v="416"/>
    <x v="1"/>
    <x v="2"/>
    <x v="275"/>
    <x v="222"/>
    <x v="1"/>
    <x v="113"/>
    <x v="0"/>
    <x v="0"/>
    <x v="1"/>
    <x v="1"/>
    <x v="1"/>
    <x v="2"/>
    <x v="1"/>
    <x v="2"/>
    <x v="1"/>
    <x v="2"/>
    <x v="0"/>
    <x v="1"/>
    <x v="1"/>
    <x v="2"/>
    <x v="264"/>
    <x v="12"/>
    <x v="0"/>
    <x v="0"/>
    <x v="1"/>
    <x v="0"/>
    <x v="0"/>
    <x v="0"/>
    <x v="0"/>
  </r>
  <r>
    <x v="523"/>
    <x v="245"/>
    <x v="245"/>
    <x v="241"/>
    <x v="417"/>
    <x v="1"/>
    <x v="2"/>
    <x v="4"/>
    <x v="208"/>
    <x v="1"/>
    <x v="15"/>
    <x v="0"/>
    <x v="0"/>
    <x v="1"/>
    <x v="1"/>
    <x v="1"/>
    <x v="2"/>
    <x v="1"/>
    <x v="1"/>
    <x v="1"/>
    <x v="1"/>
    <x v="114"/>
    <x v="1"/>
    <x v="6"/>
    <x v="2"/>
    <x v="245"/>
    <x v="3"/>
    <x v="1"/>
    <x v="7"/>
    <x v="1"/>
    <x v="0"/>
    <x v="312"/>
    <x v="0"/>
    <x v="0"/>
  </r>
  <r>
    <x v="524"/>
    <x v="262"/>
    <x v="262"/>
    <x v="258"/>
    <x v="0"/>
    <x v="3"/>
    <x v="1"/>
    <x v="273"/>
    <x v="196"/>
    <x v="6"/>
    <x v="0"/>
    <x v="0"/>
    <x v="1"/>
    <x v="3"/>
    <x v="4"/>
    <x v="1"/>
    <x v="2"/>
    <x v="1"/>
    <x v="2"/>
    <x v="1"/>
    <x v="2"/>
    <x v="0"/>
    <x v="2"/>
    <x v="3"/>
    <x v="4"/>
    <x v="262"/>
    <x v="12"/>
    <x v="0"/>
    <x v="0"/>
    <x v="1"/>
    <x v="0"/>
    <x v="0"/>
    <x v="0"/>
    <x v="0"/>
  </r>
  <r>
    <x v="525"/>
    <x v="245"/>
    <x v="245"/>
    <x v="241"/>
    <x v="0"/>
    <x v="1"/>
    <x v="3"/>
    <x v="4"/>
    <x v="208"/>
    <x v="1"/>
    <x v="15"/>
    <x v="0"/>
    <x v="0"/>
    <x v="3"/>
    <x v="1"/>
    <x v="1"/>
    <x v="2"/>
    <x v="1"/>
    <x v="2"/>
    <x v="1"/>
    <x v="2"/>
    <x v="0"/>
    <x v="2"/>
    <x v="3"/>
    <x v="4"/>
    <x v="245"/>
    <x v="12"/>
    <x v="0"/>
    <x v="0"/>
    <x v="1"/>
    <x v="0"/>
    <x v="0"/>
    <x v="0"/>
    <x v="162"/>
  </r>
  <r>
    <x v="526"/>
    <x v="265"/>
    <x v="265"/>
    <x v="261"/>
    <x v="418"/>
    <x v="1"/>
    <x v="2"/>
    <x v="276"/>
    <x v="220"/>
    <x v="1"/>
    <x v="2"/>
    <x v="0"/>
    <x v="0"/>
    <x v="1"/>
    <x v="1"/>
    <x v="1"/>
    <x v="1"/>
    <x v="1"/>
    <x v="3"/>
    <x v="1"/>
    <x v="1"/>
    <x v="114"/>
    <x v="1"/>
    <x v="6"/>
    <x v="2"/>
    <x v="265"/>
    <x v="12"/>
    <x v="1"/>
    <x v="7"/>
    <x v="2"/>
    <x v="1"/>
    <x v="313"/>
    <x v="0"/>
    <x v="163"/>
  </r>
  <r>
    <x v="527"/>
    <x v="265"/>
    <x v="265"/>
    <x v="261"/>
    <x v="419"/>
    <x v="1"/>
    <x v="2"/>
    <x v="276"/>
    <x v="220"/>
    <x v="1"/>
    <x v="2"/>
    <x v="0"/>
    <x v="0"/>
    <x v="3"/>
    <x v="1"/>
    <x v="1"/>
    <x v="2"/>
    <x v="1"/>
    <x v="2"/>
    <x v="1"/>
    <x v="2"/>
    <x v="0"/>
    <x v="1"/>
    <x v="3"/>
    <x v="4"/>
    <x v="265"/>
    <x v="12"/>
    <x v="0"/>
    <x v="0"/>
    <x v="1"/>
    <x v="0"/>
    <x v="0"/>
    <x v="0"/>
    <x v="164"/>
  </r>
  <r>
    <x v="528"/>
    <x v="266"/>
    <x v="266"/>
    <x v="262"/>
    <x v="420"/>
    <x v="1"/>
    <x v="2"/>
    <x v="277"/>
    <x v="43"/>
    <x v="1"/>
    <x v="2"/>
    <x v="0"/>
    <x v="0"/>
    <x v="1"/>
    <x v="2"/>
    <x v="3"/>
    <x v="2"/>
    <x v="1"/>
    <x v="2"/>
    <x v="1"/>
    <x v="1"/>
    <x v="115"/>
    <x v="1"/>
    <x v="6"/>
    <x v="2"/>
    <x v="266"/>
    <x v="5"/>
    <x v="3"/>
    <x v="0"/>
    <x v="1"/>
    <x v="0"/>
    <x v="314"/>
    <x v="161"/>
    <x v="0"/>
  </r>
  <r>
    <x v="529"/>
    <x v="169"/>
    <x v="169"/>
    <x v="167"/>
    <x v="0"/>
    <x v="1"/>
    <x v="2"/>
    <x v="177"/>
    <x v="196"/>
    <x v="6"/>
    <x v="0"/>
    <x v="0"/>
    <x v="13"/>
    <x v="3"/>
    <x v="1"/>
    <x v="1"/>
    <x v="2"/>
    <x v="1"/>
    <x v="2"/>
    <x v="1"/>
    <x v="2"/>
    <x v="0"/>
    <x v="2"/>
    <x v="3"/>
    <x v="4"/>
    <x v="168"/>
    <x v="5"/>
    <x v="0"/>
    <x v="0"/>
    <x v="1"/>
    <x v="0"/>
    <x v="0"/>
    <x v="0"/>
    <x v="165"/>
  </r>
  <r>
    <x v="530"/>
    <x v="261"/>
    <x v="261"/>
    <x v="257"/>
    <x v="0"/>
    <x v="3"/>
    <x v="2"/>
    <x v="272"/>
    <x v="220"/>
    <x v="1"/>
    <x v="9"/>
    <x v="0"/>
    <x v="0"/>
    <x v="3"/>
    <x v="1"/>
    <x v="1"/>
    <x v="2"/>
    <x v="1"/>
    <x v="2"/>
    <x v="1"/>
    <x v="2"/>
    <x v="0"/>
    <x v="2"/>
    <x v="3"/>
    <x v="4"/>
    <x v="261"/>
    <x v="5"/>
    <x v="0"/>
    <x v="0"/>
    <x v="1"/>
    <x v="0"/>
    <x v="0"/>
    <x v="0"/>
    <x v="166"/>
  </r>
  <r>
    <x v="531"/>
    <x v="193"/>
    <x v="191"/>
    <x v="189"/>
    <x v="0"/>
    <x v="1"/>
    <x v="2"/>
    <x v="202"/>
    <x v="165"/>
    <x v="1"/>
    <x v="31"/>
    <x v="0"/>
    <x v="0"/>
    <x v="3"/>
    <x v="1"/>
    <x v="1"/>
    <x v="1"/>
    <x v="1"/>
    <x v="2"/>
    <x v="1"/>
    <x v="1"/>
    <x v="115"/>
    <x v="2"/>
    <x v="3"/>
    <x v="4"/>
    <x v="191"/>
    <x v="5"/>
    <x v="3"/>
    <x v="0"/>
    <x v="1"/>
    <x v="0"/>
    <x v="315"/>
    <x v="0"/>
    <x v="167"/>
  </r>
  <r>
    <x v="532"/>
    <x v="48"/>
    <x v="37"/>
    <x v="37"/>
    <x v="421"/>
    <x v="3"/>
    <x v="2"/>
    <x v="40"/>
    <x v="41"/>
    <x v="1"/>
    <x v="15"/>
    <x v="0"/>
    <x v="0"/>
    <x v="1"/>
    <x v="2"/>
    <x v="3"/>
    <x v="2"/>
    <x v="1"/>
    <x v="2"/>
    <x v="1"/>
    <x v="1"/>
    <x v="115"/>
    <x v="1"/>
    <x v="6"/>
    <x v="2"/>
    <x v="37"/>
    <x v="5"/>
    <x v="3"/>
    <x v="0"/>
    <x v="1"/>
    <x v="0"/>
    <x v="316"/>
    <x v="162"/>
    <x v="0"/>
  </r>
  <r>
    <x v="533"/>
    <x v="135"/>
    <x v="135"/>
    <x v="133"/>
    <x v="422"/>
    <x v="1"/>
    <x v="2"/>
    <x v="139"/>
    <x v="119"/>
    <x v="1"/>
    <x v="114"/>
    <x v="0"/>
    <x v="0"/>
    <x v="1"/>
    <x v="1"/>
    <x v="1"/>
    <x v="2"/>
    <x v="1"/>
    <x v="2"/>
    <x v="1"/>
    <x v="1"/>
    <x v="115"/>
    <x v="1"/>
    <x v="6"/>
    <x v="2"/>
    <x v="267"/>
    <x v="12"/>
    <x v="1"/>
    <x v="7"/>
    <x v="2"/>
    <x v="1"/>
    <x v="317"/>
    <x v="0"/>
    <x v="0"/>
  </r>
  <r>
    <x v="534"/>
    <x v="135"/>
    <x v="135"/>
    <x v="133"/>
    <x v="422"/>
    <x v="1"/>
    <x v="2"/>
    <x v="139"/>
    <x v="223"/>
    <x v="1"/>
    <x v="114"/>
    <x v="0"/>
    <x v="0"/>
    <x v="3"/>
    <x v="3"/>
    <x v="3"/>
    <x v="1"/>
    <x v="1"/>
    <x v="2"/>
    <x v="1"/>
    <x v="1"/>
    <x v="116"/>
    <x v="1"/>
    <x v="3"/>
    <x v="4"/>
    <x v="267"/>
    <x v="12"/>
    <x v="1"/>
    <x v="7"/>
    <x v="1"/>
    <x v="0"/>
    <x v="318"/>
    <x v="0"/>
    <x v="168"/>
  </r>
  <r>
    <x v="535"/>
    <x v="267"/>
    <x v="267"/>
    <x v="263"/>
    <x v="423"/>
    <x v="1"/>
    <x v="2"/>
    <x v="278"/>
    <x v="224"/>
    <x v="1"/>
    <x v="15"/>
    <x v="0"/>
    <x v="0"/>
    <x v="1"/>
    <x v="1"/>
    <x v="1"/>
    <x v="2"/>
    <x v="1"/>
    <x v="2"/>
    <x v="1"/>
    <x v="2"/>
    <x v="115"/>
    <x v="1"/>
    <x v="6"/>
    <x v="2"/>
    <x v="268"/>
    <x v="12"/>
    <x v="1"/>
    <x v="7"/>
    <x v="2"/>
    <x v="1"/>
    <x v="319"/>
    <x v="0"/>
    <x v="169"/>
  </r>
  <r>
    <x v="536"/>
    <x v="268"/>
    <x v="268"/>
    <x v="264"/>
    <x v="424"/>
    <x v="3"/>
    <x v="2"/>
    <x v="279"/>
    <x v="225"/>
    <x v="2"/>
    <x v="0"/>
    <x v="2"/>
    <x v="0"/>
    <x v="1"/>
    <x v="1"/>
    <x v="1"/>
    <x v="2"/>
    <x v="1"/>
    <x v="2"/>
    <x v="1"/>
    <x v="1"/>
    <x v="116"/>
    <x v="1"/>
    <x v="6"/>
    <x v="2"/>
    <x v="269"/>
    <x v="12"/>
    <x v="3"/>
    <x v="0"/>
    <x v="1"/>
    <x v="0"/>
    <x v="320"/>
    <x v="163"/>
    <x v="170"/>
  </r>
  <r>
    <x v="537"/>
    <x v="267"/>
    <x v="267"/>
    <x v="263"/>
    <x v="425"/>
    <x v="1"/>
    <x v="2"/>
    <x v="278"/>
    <x v="226"/>
    <x v="2"/>
    <x v="0"/>
    <x v="2"/>
    <x v="0"/>
    <x v="3"/>
    <x v="1"/>
    <x v="1"/>
    <x v="2"/>
    <x v="1"/>
    <x v="2"/>
    <x v="1"/>
    <x v="2"/>
    <x v="0"/>
    <x v="1"/>
    <x v="3"/>
    <x v="4"/>
    <x v="268"/>
    <x v="12"/>
    <x v="0"/>
    <x v="0"/>
    <x v="1"/>
    <x v="0"/>
    <x v="0"/>
    <x v="0"/>
    <x v="0"/>
  </r>
  <r>
    <x v="538"/>
    <x v="269"/>
    <x v="269"/>
    <x v="265"/>
    <x v="426"/>
    <x v="2"/>
    <x v="3"/>
    <x v="280"/>
    <x v="10"/>
    <x v="1"/>
    <x v="1"/>
    <x v="0"/>
    <x v="0"/>
    <x v="2"/>
    <x v="2"/>
    <x v="3"/>
    <x v="1"/>
    <x v="2"/>
    <x v="3"/>
    <x v="1"/>
    <x v="1"/>
    <x v="116"/>
    <x v="1"/>
    <x v="2"/>
    <x v="2"/>
    <x v="270"/>
    <x v="12"/>
    <x v="1"/>
    <x v="4"/>
    <x v="2"/>
    <x v="1"/>
    <x v="321"/>
    <x v="0"/>
    <x v="171"/>
  </r>
  <r>
    <x v="539"/>
    <x v="256"/>
    <x v="256"/>
    <x v="252"/>
    <x v="427"/>
    <x v="1"/>
    <x v="2"/>
    <x v="267"/>
    <x v="227"/>
    <x v="1"/>
    <x v="33"/>
    <x v="0"/>
    <x v="0"/>
    <x v="1"/>
    <x v="3"/>
    <x v="2"/>
    <x v="2"/>
    <x v="1"/>
    <x v="2"/>
    <x v="1"/>
    <x v="1"/>
    <x v="117"/>
    <x v="1"/>
    <x v="4"/>
    <x v="2"/>
    <x v="256"/>
    <x v="12"/>
    <x v="3"/>
    <x v="0"/>
    <x v="1"/>
    <x v="0"/>
    <x v="322"/>
    <x v="164"/>
    <x v="0"/>
  </r>
  <r>
    <x v="540"/>
    <x v="270"/>
    <x v="270"/>
    <x v="266"/>
    <x v="428"/>
    <x v="3"/>
    <x v="2"/>
    <x v="281"/>
    <x v="24"/>
    <x v="1"/>
    <x v="15"/>
    <x v="0"/>
    <x v="0"/>
    <x v="1"/>
    <x v="1"/>
    <x v="1"/>
    <x v="2"/>
    <x v="1"/>
    <x v="3"/>
    <x v="1"/>
    <x v="2"/>
    <x v="0"/>
    <x v="1"/>
    <x v="1"/>
    <x v="2"/>
    <x v="271"/>
    <x v="11"/>
    <x v="0"/>
    <x v="0"/>
    <x v="1"/>
    <x v="0"/>
    <x v="0"/>
    <x v="0"/>
    <x v="0"/>
  </r>
  <r>
    <x v="541"/>
    <x v="135"/>
    <x v="135"/>
    <x v="133"/>
    <x v="0"/>
    <x v="1"/>
    <x v="2"/>
    <x v="139"/>
    <x v="119"/>
    <x v="1"/>
    <x v="114"/>
    <x v="0"/>
    <x v="0"/>
    <x v="3"/>
    <x v="1"/>
    <x v="1"/>
    <x v="2"/>
    <x v="1"/>
    <x v="2"/>
    <x v="1"/>
    <x v="1"/>
    <x v="116"/>
    <x v="2"/>
    <x v="3"/>
    <x v="4"/>
    <x v="267"/>
    <x v="12"/>
    <x v="3"/>
    <x v="0"/>
    <x v="1"/>
    <x v="0"/>
    <x v="323"/>
    <x v="165"/>
    <x v="172"/>
  </r>
  <r>
    <x v="542"/>
    <x v="269"/>
    <x v="269"/>
    <x v="265"/>
    <x v="429"/>
    <x v="2"/>
    <x v="3"/>
    <x v="280"/>
    <x v="228"/>
    <x v="1"/>
    <x v="1"/>
    <x v="0"/>
    <x v="0"/>
    <x v="3"/>
    <x v="3"/>
    <x v="3"/>
    <x v="2"/>
    <x v="2"/>
    <x v="1"/>
    <x v="1"/>
    <x v="1"/>
    <x v="118"/>
    <x v="1"/>
    <x v="3"/>
    <x v="4"/>
    <x v="270"/>
    <x v="1"/>
    <x v="1"/>
    <x v="4"/>
    <x v="2"/>
    <x v="1"/>
    <x v="324"/>
    <x v="0"/>
    <x v="0"/>
  </r>
  <r>
    <x v="543"/>
    <x v="269"/>
    <x v="269"/>
    <x v="265"/>
    <x v="430"/>
    <x v="2"/>
    <x v="3"/>
    <x v="280"/>
    <x v="95"/>
    <x v="1"/>
    <x v="2"/>
    <x v="0"/>
    <x v="0"/>
    <x v="3"/>
    <x v="1"/>
    <x v="1"/>
    <x v="2"/>
    <x v="2"/>
    <x v="1"/>
    <x v="1"/>
    <x v="1"/>
    <x v="117"/>
    <x v="1"/>
    <x v="3"/>
    <x v="4"/>
    <x v="270"/>
    <x v="1"/>
    <x v="1"/>
    <x v="4"/>
    <x v="2"/>
    <x v="1"/>
    <x v="325"/>
    <x v="0"/>
    <x v="0"/>
  </r>
  <r>
    <x v="544"/>
    <x v="233"/>
    <x v="232"/>
    <x v="229"/>
    <x v="431"/>
    <x v="1"/>
    <x v="1"/>
    <x v="243"/>
    <x v="199"/>
    <x v="1"/>
    <x v="2"/>
    <x v="0"/>
    <x v="0"/>
    <x v="1"/>
    <x v="1"/>
    <x v="1"/>
    <x v="2"/>
    <x v="1"/>
    <x v="2"/>
    <x v="1"/>
    <x v="2"/>
    <x v="0"/>
    <x v="1"/>
    <x v="1"/>
    <x v="2"/>
    <x v="233"/>
    <x v="4"/>
    <x v="0"/>
    <x v="0"/>
    <x v="1"/>
    <x v="0"/>
    <x v="0"/>
    <x v="0"/>
    <x v="0"/>
  </r>
  <r>
    <x v="545"/>
    <x v="269"/>
    <x v="269"/>
    <x v="265"/>
    <x v="432"/>
    <x v="2"/>
    <x v="3"/>
    <x v="280"/>
    <x v="95"/>
    <x v="1"/>
    <x v="1"/>
    <x v="0"/>
    <x v="0"/>
    <x v="3"/>
    <x v="1"/>
    <x v="1"/>
    <x v="2"/>
    <x v="2"/>
    <x v="1"/>
    <x v="1"/>
    <x v="2"/>
    <x v="0"/>
    <x v="1"/>
    <x v="3"/>
    <x v="4"/>
    <x v="270"/>
    <x v="1"/>
    <x v="0"/>
    <x v="0"/>
    <x v="1"/>
    <x v="0"/>
    <x v="0"/>
    <x v="0"/>
    <x v="0"/>
  </r>
  <r>
    <x v="546"/>
    <x v="271"/>
    <x v="271"/>
    <x v="267"/>
    <x v="433"/>
    <x v="1"/>
    <x v="2"/>
    <x v="282"/>
    <x v="115"/>
    <x v="1"/>
    <x v="3"/>
    <x v="0"/>
    <x v="0"/>
    <x v="1"/>
    <x v="1"/>
    <x v="1"/>
    <x v="2"/>
    <x v="1"/>
    <x v="2"/>
    <x v="1"/>
    <x v="1"/>
    <x v="119"/>
    <x v="1"/>
    <x v="1"/>
    <x v="2"/>
    <x v="272"/>
    <x v="4"/>
    <x v="1"/>
    <x v="2"/>
    <x v="1"/>
    <x v="0"/>
    <x v="326"/>
    <x v="166"/>
    <x v="0"/>
  </r>
  <r>
    <x v="547"/>
    <x v="272"/>
    <x v="272"/>
    <x v="268"/>
    <x v="434"/>
    <x v="1"/>
    <x v="3"/>
    <x v="283"/>
    <x v="10"/>
    <x v="2"/>
    <x v="0"/>
    <x v="9"/>
    <x v="0"/>
    <x v="1"/>
    <x v="1"/>
    <x v="1"/>
    <x v="2"/>
    <x v="1"/>
    <x v="1"/>
    <x v="1"/>
    <x v="1"/>
    <x v="117"/>
    <x v="1"/>
    <x v="1"/>
    <x v="2"/>
    <x v="273"/>
    <x v="1"/>
    <x v="1"/>
    <x v="5"/>
    <x v="2"/>
    <x v="1"/>
    <x v="327"/>
    <x v="0"/>
    <x v="0"/>
  </r>
  <r>
    <x v="548"/>
    <x v="272"/>
    <x v="273"/>
    <x v="268"/>
    <x v="435"/>
    <x v="1"/>
    <x v="3"/>
    <x v="283"/>
    <x v="10"/>
    <x v="2"/>
    <x v="0"/>
    <x v="6"/>
    <x v="0"/>
    <x v="3"/>
    <x v="3"/>
    <x v="3"/>
    <x v="2"/>
    <x v="1"/>
    <x v="2"/>
    <x v="1"/>
    <x v="1"/>
    <x v="119"/>
    <x v="1"/>
    <x v="3"/>
    <x v="4"/>
    <x v="273"/>
    <x v="2"/>
    <x v="1"/>
    <x v="2"/>
    <x v="1"/>
    <x v="0"/>
    <x v="328"/>
    <x v="167"/>
    <x v="173"/>
  </r>
  <r>
    <x v="549"/>
    <x v="273"/>
    <x v="274"/>
    <x v="269"/>
    <x v="436"/>
    <x v="1"/>
    <x v="3"/>
    <x v="284"/>
    <x v="27"/>
    <x v="1"/>
    <x v="9"/>
    <x v="0"/>
    <x v="0"/>
    <x v="1"/>
    <x v="3"/>
    <x v="2"/>
    <x v="2"/>
    <x v="1"/>
    <x v="1"/>
    <x v="1"/>
    <x v="1"/>
    <x v="119"/>
    <x v="1"/>
    <x v="1"/>
    <x v="2"/>
    <x v="274"/>
    <x v="2"/>
    <x v="1"/>
    <x v="7"/>
    <x v="1"/>
    <x v="0"/>
    <x v="329"/>
    <x v="168"/>
    <x v="174"/>
  </r>
  <r>
    <x v="550"/>
    <x v="274"/>
    <x v="275"/>
    <x v="270"/>
    <x v="437"/>
    <x v="1"/>
    <x v="4"/>
    <x v="285"/>
    <x v="229"/>
    <x v="1"/>
    <x v="115"/>
    <x v="0"/>
    <x v="0"/>
    <x v="1"/>
    <x v="1"/>
    <x v="1"/>
    <x v="2"/>
    <x v="1"/>
    <x v="2"/>
    <x v="1"/>
    <x v="2"/>
    <x v="0"/>
    <x v="1"/>
    <x v="2"/>
    <x v="2"/>
    <x v="275"/>
    <x v="12"/>
    <x v="0"/>
    <x v="0"/>
    <x v="1"/>
    <x v="0"/>
    <x v="0"/>
    <x v="0"/>
    <x v="0"/>
  </r>
  <r>
    <x v="551"/>
    <x v="272"/>
    <x v="273"/>
    <x v="268"/>
    <x v="0"/>
    <x v="1"/>
    <x v="3"/>
    <x v="283"/>
    <x v="10"/>
    <x v="2"/>
    <x v="0"/>
    <x v="6"/>
    <x v="0"/>
    <x v="3"/>
    <x v="4"/>
    <x v="1"/>
    <x v="2"/>
    <x v="1"/>
    <x v="2"/>
    <x v="1"/>
    <x v="2"/>
    <x v="0"/>
    <x v="2"/>
    <x v="3"/>
    <x v="4"/>
    <x v="273"/>
    <x v="4"/>
    <x v="0"/>
    <x v="0"/>
    <x v="1"/>
    <x v="0"/>
    <x v="0"/>
    <x v="0"/>
    <x v="0"/>
  </r>
  <r>
    <x v="552"/>
    <x v="275"/>
    <x v="276"/>
    <x v="271"/>
    <x v="438"/>
    <x v="1"/>
    <x v="2"/>
    <x v="286"/>
    <x v="218"/>
    <x v="1"/>
    <x v="3"/>
    <x v="0"/>
    <x v="0"/>
    <x v="1"/>
    <x v="3"/>
    <x v="2"/>
    <x v="2"/>
    <x v="1"/>
    <x v="2"/>
    <x v="1"/>
    <x v="1"/>
    <x v="120"/>
    <x v="1"/>
    <x v="1"/>
    <x v="2"/>
    <x v="276"/>
    <x v="12"/>
    <x v="1"/>
    <x v="1"/>
    <x v="1"/>
    <x v="0"/>
    <x v="330"/>
    <x v="0"/>
    <x v="175"/>
  </r>
  <r>
    <x v="553"/>
    <x v="271"/>
    <x v="271"/>
    <x v="267"/>
    <x v="0"/>
    <x v="1"/>
    <x v="2"/>
    <x v="282"/>
    <x v="115"/>
    <x v="1"/>
    <x v="3"/>
    <x v="0"/>
    <x v="0"/>
    <x v="3"/>
    <x v="3"/>
    <x v="2"/>
    <x v="2"/>
    <x v="1"/>
    <x v="2"/>
    <x v="1"/>
    <x v="1"/>
    <x v="121"/>
    <x v="2"/>
    <x v="3"/>
    <x v="4"/>
    <x v="272"/>
    <x v="4"/>
    <x v="3"/>
    <x v="0"/>
    <x v="1"/>
    <x v="0"/>
    <x v="331"/>
    <x v="169"/>
    <x v="176"/>
  </r>
  <r>
    <x v="554"/>
    <x v="273"/>
    <x v="274"/>
    <x v="269"/>
    <x v="0"/>
    <x v="1"/>
    <x v="3"/>
    <x v="287"/>
    <x v="27"/>
    <x v="1"/>
    <x v="9"/>
    <x v="0"/>
    <x v="0"/>
    <x v="3"/>
    <x v="5"/>
    <x v="1"/>
    <x v="1"/>
    <x v="1"/>
    <x v="2"/>
    <x v="1"/>
    <x v="2"/>
    <x v="0"/>
    <x v="1"/>
    <x v="3"/>
    <x v="4"/>
    <x v="274"/>
    <x v="12"/>
    <x v="0"/>
    <x v="0"/>
    <x v="1"/>
    <x v="0"/>
    <x v="0"/>
    <x v="0"/>
    <x v="177"/>
  </r>
  <r>
    <x v="555"/>
    <x v="275"/>
    <x v="276"/>
    <x v="271"/>
    <x v="0"/>
    <x v="1"/>
    <x v="2"/>
    <x v="286"/>
    <x v="218"/>
    <x v="1"/>
    <x v="3"/>
    <x v="0"/>
    <x v="0"/>
    <x v="3"/>
    <x v="3"/>
    <x v="2"/>
    <x v="2"/>
    <x v="1"/>
    <x v="2"/>
    <x v="1"/>
    <x v="1"/>
    <x v="122"/>
    <x v="2"/>
    <x v="3"/>
    <x v="4"/>
    <x v="276"/>
    <x v="5"/>
    <x v="1"/>
    <x v="4"/>
    <x v="2"/>
    <x v="1"/>
    <x v="332"/>
    <x v="170"/>
    <x v="178"/>
  </r>
  <r>
    <x v="556"/>
    <x v="276"/>
    <x v="277"/>
    <x v="272"/>
    <x v="439"/>
    <x v="1"/>
    <x v="2"/>
    <x v="288"/>
    <x v="60"/>
    <x v="1"/>
    <x v="22"/>
    <x v="0"/>
    <x v="0"/>
    <x v="1"/>
    <x v="2"/>
    <x v="3"/>
    <x v="2"/>
    <x v="1"/>
    <x v="2"/>
    <x v="1"/>
    <x v="1"/>
    <x v="123"/>
    <x v="1"/>
    <x v="6"/>
    <x v="3"/>
    <x v="277"/>
    <x v="5"/>
    <x v="1"/>
    <x v="4"/>
    <x v="1"/>
    <x v="0"/>
    <x v="333"/>
    <x v="171"/>
    <x v="179"/>
  </r>
  <r>
    <x v="557"/>
    <x v="277"/>
    <x v="278"/>
    <x v="273"/>
    <x v="440"/>
    <x v="1"/>
    <x v="2"/>
    <x v="289"/>
    <x v="230"/>
    <x v="1"/>
    <x v="116"/>
    <x v="0"/>
    <x v="0"/>
    <x v="1"/>
    <x v="1"/>
    <x v="1"/>
    <x v="2"/>
    <x v="1"/>
    <x v="3"/>
    <x v="1"/>
    <x v="2"/>
    <x v="0"/>
    <x v="1"/>
    <x v="6"/>
    <x v="2"/>
    <x v="278"/>
    <x v="1"/>
    <x v="0"/>
    <x v="0"/>
    <x v="1"/>
    <x v="0"/>
    <x v="0"/>
    <x v="0"/>
    <x v="0"/>
  </r>
  <r>
    <x v="558"/>
    <x v="278"/>
    <x v="279"/>
    <x v="274"/>
    <x v="441"/>
    <x v="1"/>
    <x v="2"/>
    <x v="290"/>
    <x v="231"/>
    <x v="1"/>
    <x v="117"/>
    <x v="0"/>
    <x v="0"/>
    <x v="1"/>
    <x v="1"/>
    <x v="2"/>
    <x v="2"/>
    <x v="1"/>
    <x v="2"/>
    <x v="1"/>
    <x v="1"/>
    <x v="122"/>
    <x v="1"/>
    <x v="6"/>
    <x v="3"/>
    <x v="279"/>
    <x v="5"/>
    <x v="3"/>
    <x v="0"/>
    <x v="1"/>
    <x v="0"/>
    <x v="332"/>
    <x v="172"/>
    <x v="180"/>
  </r>
  <r>
    <x v="559"/>
    <x v="141"/>
    <x v="141"/>
    <x v="139"/>
    <x v="442"/>
    <x v="1"/>
    <x v="1"/>
    <x v="145"/>
    <x v="125"/>
    <x v="1"/>
    <x v="9"/>
    <x v="0"/>
    <x v="0"/>
    <x v="1"/>
    <x v="1"/>
    <x v="1"/>
    <x v="2"/>
    <x v="1"/>
    <x v="3"/>
    <x v="1"/>
    <x v="2"/>
    <x v="0"/>
    <x v="1"/>
    <x v="1"/>
    <x v="2"/>
    <x v="140"/>
    <x v="3"/>
    <x v="0"/>
    <x v="0"/>
    <x v="1"/>
    <x v="0"/>
    <x v="0"/>
    <x v="0"/>
    <x v="0"/>
  </r>
  <r>
    <x v="560"/>
    <x v="266"/>
    <x v="266"/>
    <x v="262"/>
    <x v="443"/>
    <x v="1"/>
    <x v="2"/>
    <x v="277"/>
    <x v="158"/>
    <x v="1"/>
    <x v="27"/>
    <x v="0"/>
    <x v="0"/>
    <x v="1"/>
    <x v="2"/>
    <x v="3"/>
    <x v="2"/>
    <x v="1"/>
    <x v="1"/>
    <x v="1"/>
    <x v="1"/>
    <x v="122"/>
    <x v="1"/>
    <x v="1"/>
    <x v="2"/>
    <x v="266"/>
    <x v="1"/>
    <x v="1"/>
    <x v="5"/>
    <x v="1"/>
    <x v="0"/>
    <x v="334"/>
    <x v="173"/>
    <x v="178"/>
  </r>
  <r>
    <x v="561"/>
    <x v="276"/>
    <x v="277"/>
    <x v="272"/>
    <x v="0"/>
    <x v="1"/>
    <x v="2"/>
    <x v="288"/>
    <x v="60"/>
    <x v="1"/>
    <x v="4"/>
    <x v="0"/>
    <x v="0"/>
    <x v="3"/>
    <x v="6"/>
    <x v="3"/>
    <x v="2"/>
    <x v="1"/>
    <x v="2"/>
    <x v="1"/>
    <x v="1"/>
    <x v="122"/>
    <x v="1"/>
    <x v="3"/>
    <x v="4"/>
    <x v="277"/>
    <x v="1"/>
    <x v="1"/>
    <x v="4"/>
    <x v="1"/>
    <x v="0"/>
    <x v="335"/>
    <x v="174"/>
    <x v="178"/>
  </r>
  <r>
    <x v="562"/>
    <x v="140"/>
    <x v="140"/>
    <x v="138"/>
    <x v="444"/>
    <x v="3"/>
    <x v="2"/>
    <x v="144"/>
    <x v="123"/>
    <x v="1"/>
    <x v="118"/>
    <x v="0"/>
    <x v="0"/>
    <x v="1"/>
    <x v="1"/>
    <x v="1"/>
    <x v="2"/>
    <x v="1"/>
    <x v="1"/>
    <x v="1"/>
    <x v="2"/>
    <x v="0"/>
    <x v="1"/>
    <x v="1"/>
    <x v="2"/>
    <x v="139"/>
    <x v="12"/>
    <x v="0"/>
    <x v="0"/>
    <x v="1"/>
    <x v="0"/>
    <x v="0"/>
    <x v="0"/>
    <x v="0"/>
  </r>
  <r>
    <x v="563"/>
    <x v="148"/>
    <x v="148"/>
    <x v="146"/>
    <x v="445"/>
    <x v="1"/>
    <x v="2"/>
    <x v="153"/>
    <x v="129"/>
    <x v="1"/>
    <x v="79"/>
    <x v="0"/>
    <x v="0"/>
    <x v="1"/>
    <x v="3"/>
    <x v="3"/>
    <x v="2"/>
    <x v="1"/>
    <x v="2"/>
    <x v="1"/>
    <x v="1"/>
    <x v="124"/>
    <x v="1"/>
    <x v="5"/>
    <x v="2"/>
    <x v="147"/>
    <x v="12"/>
    <x v="1"/>
    <x v="7"/>
    <x v="1"/>
    <x v="0"/>
    <x v="336"/>
    <x v="0"/>
    <x v="181"/>
  </r>
  <r>
    <x v="564"/>
    <x v="276"/>
    <x v="277"/>
    <x v="272"/>
    <x v="0"/>
    <x v="1"/>
    <x v="2"/>
    <x v="288"/>
    <x v="60"/>
    <x v="1"/>
    <x v="4"/>
    <x v="0"/>
    <x v="0"/>
    <x v="3"/>
    <x v="4"/>
    <x v="1"/>
    <x v="2"/>
    <x v="1"/>
    <x v="2"/>
    <x v="1"/>
    <x v="2"/>
    <x v="0"/>
    <x v="2"/>
    <x v="3"/>
    <x v="4"/>
    <x v="277"/>
    <x v="1"/>
    <x v="0"/>
    <x v="0"/>
    <x v="1"/>
    <x v="0"/>
    <x v="0"/>
    <x v="0"/>
    <x v="0"/>
  </r>
  <r>
    <x v="565"/>
    <x v="266"/>
    <x v="266"/>
    <x v="262"/>
    <x v="0"/>
    <x v="1"/>
    <x v="2"/>
    <x v="291"/>
    <x v="10"/>
    <x v="2"/>
    <x v="0"/>
    <x v="2"/>
    <x v="0"/>
    <x v="3"/>
    <x v="4"/>
    <x v="1"/>
    <x v="2"/>
    <x v="1"/>
    <x v="2"/>
    <x v="1"/>
    <x v="2"/>
    <x v="0"/>
    <x v="2"/>
    <x v="3"/>
    <x v="4"/>
    <x v="266"/>
    <x v="2"/>
    <x v="0"/>
    <x v="0"/>
    <x v="1"/>
    <x v="0"/>
    <x v="0"/>
    <x v="0"/>
    <x v="0"/>
  </r>
  <r>
    <x v="566"/>
    <x v="275"/>
    <x v="276"/>
    <x v="271"/>
    <x v="446"/>
    <x v="1"/>
    <x v="2"/>
    <x v="286"/>
    <x v="218"/>
    <x v="1"/>
    <x v="3"/>
    <x v="0"/>
    <x v="0"/>
    <x v="3"/>
    <x v="3"/>
    <x v="2"/>
    <x v="1"/>
    <x v="1"/>
    <x v="3"/>
    <x v="1"/>
    <x v="1"/>
    <x v="125"/>
    <x v="1"/>
    <x v="3"/>
    <x v="4"/>
    <x v="276"/>
    <x v="1"/>
    <x v="1"/>
    <x v="2"/>
    <x v="1"/>
    <x v="0"/>
    <x v="337"/>
    <x v="175"/>
    <x v="0"/>
  </r>
  <r>
    <x v="567"/>
    <x v="148"/>
    <x v="148"/>
    <x v="146"/>
    <x v="0"/>
    <x v="1"/>
    <x v="2"/>
    <x v="153"/>
    <x v="129"/>
    <x v="1"/>
    <x v="79"/>
    <x v="0"/>
    <x v="0"/>
    <x v="3"/>
    <x v="1"/>
    <x v="1"/>
    <x v="2"/>
    <x v="1"/>
    <x v="2"/>
    <x v="1"/>
    <x v="2"/>
    <x v="0"/>
    <x v="2"/>
    <x v="3"/>
    <x v="4"/>
    <x v="147"/>
    <x v="12"/>
    <x v="0"/>
    <x v="0"/>
    <x v="1"/>
    <x v="0"/>
    <x v="0"/>
    <x v="0"/>
    <x v="182"/>
  </r>
  <r>
    <x v="568"/>
    <x v="279"/>
    <x v="280"/>
    <x v="275"/>
    <x v="447"/>
    <x v="1"/>
    <x v="2"/>
    <x v="292"/>
    <x v="232"/>
    <x v="1"/>
    <x v="3"/>
    <x v="0"/>
    <x v="0"/>
    <x v="1"/>
    <x v="3"/>
    <x v="2"/>
    <x v="1"/>
    <x v="1"/>
    <x v="2"/>
    <x v="1"/>
    <x v="1"/>
    <x v="126"/>
    <x v="1"/>
    <x v="1"/>
    <x v="1"/>
    <x v="280"/>
    <x v="5"/>
    <x v="3"/>
    <x v="0"/>
    <x v="1"/>
    <x v="0"/>
    <x v="338"/>
    <x v="0"/>
    <x v="183"/>
  </r>
  <r>
    <x v="569"/>
    <x v="280"/>
    <x v="281"/>
    <x v="276"/>
    <x v="448"/>
    <x v="1"/>
    <x v="2"/>
    <x v="293"/>
    <x v="216"/>
    <x v="1"/>
    <x v="2"/>
    <x v="0"/>
    <x v="0"/>
    <x v="1"/>
    <x v="1"/>
    <x v="2"/>
    <x v="1"/>
    <x v="1"/>
    <x v="2"/>
    <x v="1"/>
    <x v="1"/>
    <x v="125"/>
    <x v="1"/>
    <x v="1"/>
    <x v="2"/>
    <x v="281"/>
    <x v="5"/>
    <x v="1"/>
    <x v="1"/>
    <x v="2"/>
    <x v="1"/>
    <x v="339"/>
    <x v="0"/>
    <x v="0"/>
  </r>
  <r>
    <x v="570"/>
    <x v="140"/>
    <x v="140"/>
    <x v="138"/>
    <x v="449"/>
    <x v="3"/>
    <x v="2"/>
    <x v="144"/>
    <x v="233"/>
    <x v="2"/>
    <x v="0"/>
    <x v="6"/>
    <x v="0"/>
    <x v="1"/>
    <x v="3"/>
    <x v="3"/>
    <x v="2"/>
    <x v="1"/>
    <x v="1"/>
    <x v="1"/>
    <x v="1"/>
    <x v="125"/>
    <x v="1"/>
    <x v="1"/>
    <x v="2"/>
    <x v="139"/>
    <x v="1"/>
    <x v="1"/>
    <x v="4"/>
    <x v="2"/>
    <x v="1"/>
    <x v="340"/>
    <x v="176"/>
    <x v="184"/>
  </r>
  <r>
    <x v="571"/>
    <x v="280"/>
    <x v="281"/>
    <x v="276"/>
    <x v="450"/>
    <x v="1"/>
    <x v="2"/>
    <x v="293"/>
    <x v="216"/>
    <x v="1"/>
    <x v="2"/>
    <x v="0"/>
    <x v="0"/>
    <x v="3"/>
    <x v="1"/>
    <x v="2"/>
    <x v="1"/>
    <x v="1"/>
    <x v="2"/>
    <x v="1"/>
    <x v="2"/>
    <x v="0"/>
    <x v="2"/>
    <x v="3"/>
    <x v="4"/>
    <x v="281"/>
    <x v="5"/>
    <x v="0"/>
    <x v="0"/>
    <x v="1"/>
    <x v="0"/>
    <x v="0"/>
    <x v="0"/>
    <x v="0"/>
  </r>
  <r>
    <x v="572"/>
    <x v="275"/>
    <x v="276"/>
    <x v="271"/>
    <x v="0"/>
    <x v="1"/>
    <x v="2"/>
    <x v="286"/>
    <x v="218"/>
    <x v="1"/>
    <x v="3"/>
    <x v="0"/>
    <x v="0"/>
    <x v="3"/>
    <x v="1"/>
    <x v="1"/>
    <x v="2"/>
    <x v="1"/>
    <x v="3"/>
    <x v="1"/>
    <x v="2"/>
    <x v="0"/>
    <x v="2"/>
    <x v="3"/>
    <x v="4"/>
    <x v="276"/>
    <x v="4"/>
    <x v="0"/>
    <x v="0"/>
    <x v="1"/>
    <x v="0"/>
    <x v="0"/>
    <x v="0"/>
    <x v="0"/>
  </r>
  <r>
    <x v="573"/>
    <x v="281"/>
    <x v="282"/>
    <x v="277"/>
    <x v="451"/>
    <x v="1"/>
    <x v="2"/>
    <x v="294"/>
    <x v="36"/>
    <x v="1"/>
    <x v="27"/>
    <x v="0"/>
    <x v="0"/>
    <x v="1"/>
    <x v="1"/>
    <x v="1"/>
    <x v="2"/>
    <x v="1"/>
    <x v="2"/>
    <x v="1"/>
    <x v="1"/>
    <x v="127"/>
    <x v="1"/>
    <x v="5"/>
    <x v="2"/>
    <x v="282"/>
    <x v="5"/>
    <x v="1"/>
    <x v="7"/>
    <x v="1"/>
    <x v="0"/>
    <x v="341"/>
    <x v="0"/>
    <x v="0"/>
  </r>
  <r>
    <x v="574"/>
    <x v="135"/>
    <x v="135"/>
    <x v="133"/>
    <x v="452"/>
    <x v="1"/>
    <x v="2"/>
    <x v="295"/>
    <x v="119"/>
    <x v="1"/>
    <x v="9"/>
    <x v="0"/>
    <x v="0"/>
    <x v="1"/>
    <x v="1"/>
    <x v="1"/>
    <x v="2"/>
    <x v="1"/>
    <x v="2"/>
    <x v="1"/>
    <x v="1"/>
    <x v="127"/>
    <x v="1"/>
    <x v="5"/>
    <x v="2"/>
    <x v="267"/>
    <x v="5"/>
    <x v="1"/>
    <x v="7"/>
    <x v="2"/>
    <x v="1"/>
    <x v="342"/>
    <x v="0"/>
    <x v="185"/>
  </r>
  <r>
    <x v="575"/>
    <x v="281"/>
    <x v="282"/>
    <x v="277"/>
    <x v="0"/>
    <x v="1"/>
    <x v="2"/>
    <x v="294"/>
    <x v="234"/>
    <x v="1"/>
    <x v="27"/>
    <x v="0"/>
    <x v="0"/>
    <x v="3"/>
    <x v="1"/>
    <x v="1"/>
    <x v="2"/>
    <x v="1"/>
    <x v="2"/>
    <x v="1"/>
    <x v="2"/>
    <x v="0"/>
    <x v="2"/>
    <x v="3"/>
    <x v="4"/>
    <x v="282"/>
    <x v="12"/>
    <x v="0"/>
    <x v="0"/>
    <x v="1"/>
    <x v="0"/>
    <x v="0"/>
    <x v="0"/>
    <x v="0"/>
  </r>
  <r>
    <x v="576"/>
    <x v="282"/>
    <x v="283"/>
    <x v="278"/>
    <x v="453"/>
    <x v="1"/>
    <x v="1"/>
    <x v="296"/>
    <x v="128"/>
    <x v="1"/>
    <x v="9"/>
    <x v="0"/>
    <x v="0"/>
    <x v="1"/>
    <x v="5"/>
    <x v="1"/>
    <x v="2"/>
    <x v="1"/>
    <x v="3"/>
    <x v="1"/>
    <x v="1"/>
    <x v="127"/>
    <x v="1"/>
    <x v="1"/>
    <x v="2"/>
    <x v="283"/>
    <x v="2"/>
    <x v="1"/>
    <x v="4"/>
    <x v="1"/>
    <x v="0"/>
    <x v="343"/>
    <x v="0"/>
    <x v="186"/>
  </r>
  <r>
    <x v="577"/>
    <x v="135"/>
    <x v="135"/>
    <x v="133"/>
    <x v="454"/>
    <x v="1"/>
    <x v="2"/>
    <x v="139"/>
    <x v="119"/>
    <x v="1"/>
    <x v="9"/>
    <x v="0"/>
    <x v="0"/>
    <x v="3"/>
    <x v="1"/>
    <x v="1"/>
    <x v="2"/>
    <x v="1"/>
    <x v="2"/>
    <x v="1"/>
    <x v="2"/>
    <x v="0"/>
    <x v="1"/>
    <x v="3"/>
    <x v="4"/>
    <x v="267"/>
    <x v="12"/>
    <x v="0"/>
    <x v="0"/>
    <x v="1"/>
    <x v="0"/>
    <x v="0"/>
    <x v="0"/>
    <x v="0"/>
  </r>
  <r>
    <x v="578"/>
    <x v="140"/>
    <x v="140"/>
    <x v="138"/>
    <x v="455"/>
    <x v="3"/>
    <x v="2"/>
    <x v="144"/>
    <x v="233"/>
    <x v="1"/>
    <x v="119"/>
    <x v="0"/>
    <x v="0"/>
    <x v="3"/>
    <x v="1"/>
    <x v="1"/>
    <x v="2"/>
    <x v="1"/>
    <x v="1"/>
    <x v="1"/>
    <x v="2"/>
    <x v="0"/>
    <x v="1"/>
    <x v="3"/>
    <x v="4"/>
    <x v="139"/>
    <x v="1"/>
    <x v="0"/>
    <x v="0"/>
    <x v="1"/>
    <x v="0"/>
    <x v="0"/>
    <x v="0"/>
    <x v="0"/>
  </r>
  <r>
    <x v="579"/>
    <x v="283"/>
    <x v="284"/>
    <x v="279"/>
    <x v="456"/>
    <x v="1"/>
    <x v="3"/>
    <x v="297"/>
    <x v="235"/>
    <x v="1"/>
    <x v="120"/>
    <x v="0"/>
    <x v="0"/>
    <x v="1"/>
    <x v="5"/>
    <x v="1"/>
    <x v="2"/>
    <x v="1"/>
    <x v="3"/>
    <x v="1"/>
    <x v="2"/>
    <x v="0"/>
    <x v="1"/>
    <x v="1"/>
    <x v="13"/>
    <x v="284"/>
    <x v="1"/>
    <x v="0"/>
    <x v="0"/>
    <x v="1"/>
    <x v="0"/>
    <x v="0"/>
    <x v="0"/>
    <x v="0"/>
  </r>
  <r>
    <x v="580"/>
    <x v="284"/>
    <x v="285"/>
    <x v="280"/>
    <x v="457"/>
    <x v="1"/>
    <x v="2"/>
    <x v="298"/>
    <x v="33"/>
    <x v="1"/>
    <x v="121"/>
    <x v="0"/>
    <x v="0"/>
    <x v="1"/>
    <x v="1"/>
    <x v="1"/>
    <x v="2"/>
    <x v="1"/>
    <x v="2"/>
    <x v="1"/>
    <x v="2"/>
    <x v="0"/>
    <x v="1"/>
    <x v="6"/>
    <x v="3"/>
    <x v="285"/>
    <x v="5"/>
    <x v="0"/>
    <x v="0"/>
    <x v="1"/>
    <x v="0"/>
    <x v="0"/>
    <x v="0"/>
    <x v="0"/>
  </r>
  <r>
    <x v="581"/>
    <x v="285"/>
    <x v="286"/>
    <x v="281"/>
    <x v="458"/>
    <x v="1"/>
    <x v="2"/>
    <x v="299"/>
    <x v="236"/>
    <x v="1"/>
    <x v="9"/>
    <x v="0"/>
    <x v="0"/>
    <x v="1"/>
    <x v="1"/>
    <x v="1"/>
    <x v="2"/>
    <x v="2"/>
    <x v="1"/>
    <x v="1"/>
    <x v="1"/>
    <x v="128"/>
    <x v="1"/>
    <x v="6"/>
    <x v="3"/>
    <x v="286"/>
    <x v="5"/>
    <x v="3"/>
    <x v="0"/>
    <x v="1"/>
    <x v="0"/>
    <x v="344"/>
    <x v="177"/>
    <x v="187"/>
  </r>
  <r>
    <x v="582"/>
    <x v="282"/>
    <x v="283"/>
    <x v="278"/>
    <x v="0"/>
    <x v="1"/>
    <x v="1"/>
    <x v="296"/>
    <x v="128"/>
    <x v="1"/>
    <x v="9"/>
    <x v="0"/>
    <x v="0"/>
    <x v="3"/>
    <x v="1"/>
    <x v="1"/>
    <x v="2"/>
    <x v="1"/>
    <x v="3"/>
    <x v="1"/>
    <x v="2"/>
    <x v="0"/>
    <x v="2"/>
    <x v="3"/>
    <x v="4"/>
    <x v="283"/>
    <x v="1"/>
    <x v="0"/>
    <x v="0"/>
    <x v="1"/>
    <x v="0"/>
    <x v="0"/>
    <x v="0"/>
    <x v="0"/>
  </r>
  <r>
    <x v="583"/>
    <x v="286"/>
    <x v="287"/>
    <x v="282"/>
    <x v="459"/>
    <x v="1"/>
    <x v="3"/>
    <x v="300"/>
    <x v="42"/>
    <x v="1"/>
    <x v="1"/>
    <x v="0"/>
    <x v="0"/>
    <x v="1"/>
    <x v="2"/>
    <x v="3"/>
    <x v="2"/>
    <x v="2"/>
    <x v="1"/>
    <x v="1"/>
    <x v="1"/>
    <x v="129"/>
    <x v="1"/>
    <x v="6"/>
    <x v="2"/>
    <x v="287"/>
    <x v="12"/>
    <x v="1"/>
    <x v="1"/>
    <x v="1"/>
    <x v="0"/>
    <x v="345"/>
    <x v="178"/>
    <x v="188"/>
  </r>
  <r>
    <x v="584"/>
    <x v="194"/>
    <x v="192"/>
    <x v="190"/>
    <x v="460"/>
    <x v="1"/>
    <x v="2"/>
    <x v="203"/>
    <x v="237"/>
    <x v="1"/>
    <x v="122"/>
    <x v="0"/>
    <x v="0"/>
    <x v="1"/>
    <x v="1"/>
    <x v="1"/>
    <x v="2"/>
    <x v="1"/>
    <x v="1"/>
    <x v="1"/>
    <x v="1"/>
    <x v="129"/>
    <x v="1"/>
    <x v="6"/>
    <x v="3"/>
    <x v="192"/>
    <x v="1"/>
    <x v="3"/>
    <x v="0"/>
    <x v="1"/>
    <x v="0"/>
    <x v="346"/>
    <x v="179"/>
    <x v="0"/>
  </r>
  <r>
    <x v="585"/>
    <x v="287"/>
    <x v="288"/>
    <x v="283"/>
    <x v="461"/>
    <x v="1"/>
    <x v="3"/>
    <x v="301"/>
    <x v="238"/>
    <x v="1"/>
    <x v="123"/>
    <x v="0"/>
    <x v="0"/>
    <x v="1"/>
    <x v="1"/>
    <x v="1"/>
    <x v="1"/>
    <x v="1"/>
    <x v="3"/>
    <x v="1"/>
    <x v="2"/>
    <x v="0"/>
    <x v="1"/>
    <x v="1"/>
    <x v="2"/>
    <x v="288"/>
    <x v="2"/>
    <x v="0"/>
    <x v="0"/>
    <x v="1"/>
    <x v="0"/>
    <x v="0"/>
    <x v="0"/>
    <x v="0"/>
  </r>
  <r>
    <x v="586"/>
    <x v="288"/>
    <x v="289"/>
    <x v="284"/>
    <x v="462"/>
    <x v="1"/>
    <x v="2"/>
    <x v="302"/>
    <x v="239"/>
    <x v="1"/>
    <x v="9"/>
    <x v="0"/>
    <x v="0"/>
    <x v="1"/>
    <x v="2"/>
    <x v="3"/>
    <x v="2"/>
    <x v="1"/>
    <x v="2"/>
    <x v="1"/>
    <x v="1"/>
    <x v="130"/>
    <x v="1"/>
    <x v="1"/>
    <x v="5"/>
    <x v="289"/>
    <x v="3"/>
    <x v="3"/>
    <x v="0"/>
    <x v="1"/>
    <x v="0"/>
    <x v="347"/>
    <x v="180"/>
    <x v="189"/>
  </r>
  <r>
    <x v="587"/>
    <x v="51"/>
    <x v="50"/>
    <x v="49"/>
    <x v="463"/>
    <x v="1"/>
    <x v="2"/>
    <x v="303"/>
    <x v="240"/>
    <x v="1"/>
    <x v="2"/>
    <x v="0"/>
    <x v="0"/>
    <x v="1"/>
    <x v="3"/>
    <x v="3"/>
    <x v="2"/>
    <x v="1"/>
    <x v="3"/>
    <x v="1"/>
    <x v="1"/>
    <x v="130"/>
    <x v="1"/>
    <x v="1"/>
    <x v="2"/>
    <x v="290"/>
    <x v="1"/>
    <x v="3"/>
    <x v="0"/>
    <x v="1"/>
    <x v="0"/>
    <x v="348"/>
    <x v="181"/>
    <x v="0"/>
  </r>
  <r>
    <x v="588"/>
    <x v="93"/>
    <x v="92"/>
    <x v="91"/>
    <x v="464"/>
    <x v="1"/>
    <x v="2"/>
    <x v="98"/>
    <x v="43"/>
    <x v="2"/>
    <x v="0"/>
    <x v="2"/>
    <x v="0"/>
    <x v="1"/>
    <x v="3"/>
    <x v="3"/>
    <x v="2"/>
    <x v="1"/>
    <x v="1"/>
    <x v="1"/>
    <x v="1"/>
    <x v="130"/>
    <x v="1"/>
    <x v="5"/>
    <x v="2"/>
    <x v="92"/>
    <x v="12"/>
    <x v="1"/>
    <x v="12"/>
    <x v="2"/>
    <x v="1"/>
    <x v="349"/>
    <x v="0"/>
    <x v="190"/>
  </r>
  <r>
    <x v="589"/>
    <x v="289"/>
    <x v="290"/>
    <x v="285"/>
    <x v="465"/>
    <x v="1"/>
    <x v="2"/>
    <x v="304"/>
    <x v="235"/>
    <x v="1"/>
    <x v="33"/>
    <x v="0"/>
    <x v="0"/>
    <x v="1"/>
    <x v="2"/>
    <x v="3"/>
    <x v="2"/>
    <x v="1"/>
    <x v="3"/>
    <x v="1"/>
    <x v="1"/>
    <x v="131"/>
    <x v="1"/>
    <x v="1"/>
    <x v="1"/>
    <x v="291"/>
    <x v="3"/>
    <x v="3"/>
    <x v="0"/>
    <x v="1"/>
    <x v="0"/>
    <x v="350"/>
    <x v="0"/>
    <x v="0"/>
  </r>
  <r>
    <x v="590"/>
    <x v="93"/>
    <x v="92"/>
    <x v="91"/>
    <x v="466"/>
    <x v="1"/>
    <x v="2"/>
    <x v="98"/>
    <x v="43"/>
    <x v="1"/>
    <x v="15"/>
    <x v="0"/>
    <x v="0"/>
    <x v="3"/>
    <x v="1"/>
    <x v="1"/>
    <x v="2"/>
    <x v="1"/>
    <x v="1"/>
    <x v="1"/>
    <x v="1"/>
    <x v="131"/>
    <x v="1"/>
    <x v="3"/>
    <x v="4"/>
    <x v="92"/>
    <x v="11"/>
    <x v="1"/>
    <x v="1"/>
    <x v="2"/>
    <x v="1"/>
    <x v="351"/>
    <x v="0"/>
    <x v="191"/>
  </r>
  <r>
    <x v="591"/>
    <x v="290"/>
    <x v="291"/>
    <x v="286"/>
    <x v="467"/>
    <x v="3"/>
    <x v="2"/>
    <x v="305"/>
    <x v="241"/>
    <x v="1"/>
    <x v="124"/>
    <x v="0"/>
    <x v="0"/>
    <x v="1"/>
    <x v="1"/>
    <x v="2"/>
    <x v="2"/>
    <x v="1"/>
    <x v="3"/>
    <x v="1"/>
    <x v="1"/>
    <x v="132"/>
    <x v="1"/>
    <x v="1"/>
    <x v="2"/>
    <x v="292"/>
    <x v="5"/>
    <x v="1"/>
    <x v="5"/>
    <x v="2"/>
    <x v="1"/>
    <x v="352"/>
    <x v="0"/>
    <x v="0"/>
  </r>
  <r>
    <x v="592"/>
    <x v="286"/>
    <x v="287"/>
    <x v="282"/>
    <x v="0"/>
    <x v="1"/>
    <x v="3"/>
    <x v="300"/>
    <x v="42"/>
    <x v="1"/>
    <x v="1"/>
    <x v="0"/>
    <x v="0"/>
    <x v="3"/>
    <x v="1"/>
    <x v="2"/>
    <x v="1"/>
    <x v="1"/>
    <x v="2"/>
    <x v="1"/>
    <x v="1"/>
    <x v="132"/>
    <x v="2"/>
    <x v="3"/>
    <x v="4"/>
    <x v="287"/>
    <x v="5"/>
    <x v="0"/>
    <x v="0"/>
    <x v="1"/>
    <x v="0"/>
    <x v="353"/>
    <x v="0"/>
    <x v="0"/>
  </r>
  <r>
    <x v="593"/>
    <x v="93"/>
    <x v="92"/>
    <x v="91"/>
    <x v="468"/>
    <x v="1"/>
    <x v="2"/>
    <x v="98"/>
    <x v="43"/>
    <x v="2"/>
    <x v="0"/>
    <x v="5"/>
    <x v="0"/>
    <x v="3"/>
    <x v="2"/>
    <x v="3"/>
    <x v="2"/>
    <x v="1"/>
    <x v="2"/>
    <x v="1"/>
    <x v="1"/>
    <x v="132"/>
    <x v="1"/>
    <x v="3"/>
    <x v="4"/>
    <x v="92"/>
    <x v="5"/>
    <x v="1"/>
    <x v="1"/>
    <x v="1"/>
    <x v="0"/>
    <x v="354"/>
    <x v="0"/>
    <x v="0"/>
  </r>
  <r>
    <x v="594"/>
    <x v="290"/>
    <x v="291"/>
    <x v="286"/>
    <x v="469"/>
    <x v="1"/>
    <x v="2"/>
    <x v="305"/>
    <x v="241"/>
    <x v="1"/>
    <x v="125"/>
    <x v="0"/>
    <x v="0"/>
    <x v="3"/>
    <x v="1"/>
    <x v="1"/>
    <x v="2"/>
    <x v="2"/>
    <x v="3"/>
    <x v="1"/>
    <x v="2"/>
    <x v="0"/>
    <x v="1"/>
    <x v="3"/>
    <x v="4"/>
    <x v="292"/>
    <x v="2"/>
    <x v="0"/>
    <x v="0"/>
    <x v="1"/>
    <x v="0"/>
    <x v="0"/>
    <x v="0"/>
    <x v="0"/>
  </r>
  <r>
    <x v="595"/>
    <x v="291"/>
    <x v="292"/>
    <x v="287"/>
    <x v="470"/>
    <x v="1"/>
    <x v="2"/>
    <x v="306"/>
    <x v="92"/>
    <x v="1"/>
    <x v="126"/>
    <x v="0"/>
    <x v="0"/>
    <x v="1"/>
    <x v="5"/>
    <x v="1"/>
    <x v="1"/>
    <x v="1"/>
    <x v="3"/>
    <x v="1"/>
    <x v="2"/>
    <x v="0"/>
    <x v="1"/>
    <x v="1"/>
    <x v="13"/>
    <x v="293"/>
    <x v="5"/>
    <x v="0"/>
    <x v="0"/>
    <x v="1"/>
    <x v="0"/>
    <x v="0"/>
    <x v="0"/>
    <x v="0"/>
  </r>
  <r>
    <x v="596"/>
    <x v="93"/>
    <x v="92"/>
    <x v="91"/>
    <x v="0"/>
    <x v="1"/>
    <x v="2"/>
    <x v="98"/>
    <x v="196"/>
    <x v="2"/>
    <x v="0"/>
    <x v="5"/>
    <x v="0"/>
    <x v="3"/>
    <x v="4"/>
    <x v="1"/>
    <x v="2"/>
    <x v="1"/>
    <x v="2"/>
    <x v="1"/>
    <x v="2"/>
    <x v="0"/>
    <x v="2"/>
    <x v="3"/>
    <x v="4"/>
    <x v="92"/>
    <x v="5"/>
    <x v="0"/>
    <x v="0"/>
    <x v="1"/>
    <x v="0"/>
    <x v="0"/>
    <x v="0"/>
    <x v="0"/>
  </r>
  <r>
    <x v="597"/>
    <x v="292"/>
    <x v="293"/>
    <x v="288"/>
    <x v="471"/>
    <x v="1"/>
    <x v="1"/>
    <x v="307"/>
    <x v="242"/>
    <x v="1"/>
    <x v="22"/>
    <x v="0"/>
    <x v="0"/>
    <x v="1"/>
    <x v="2"/>
    <x v="3"/>
    <x v="2"/>
    <x v="1"/>
    <x v="2"/>
    <x v="1"/>
    <x v="1"/>
    <x v="133"/>
    <x v="1"/>
    <x v="6"/>
    <x v="3"/>
    <x v="294"/>
    <x v="5"/>
    <x v="3"/>
    <x v="0"/>
    <x v="1"/>
    <x v="0"/>
    <x v="355"/>
    <x v="182"/>
    <x v="192"/>
  </r>
  <r>
    <x v="598"/>
    <x v="293"/>
    <x v="294"/>
    <x v="289"/>
    <x v="472"/>
    <x v="1"/>
    <x v="4"/>
    <x v="308"/>
    <x v="243"/>
    <x v="1"/>
    <x v="9"/>
    <x v="0"/>
    <x v="0"/>
    <x v="1"/>
    <x v="3"/>
    <x v="2"/>
    <x v="2"/>
    <x v="2"/>
    <x v="1"/>
    <x v="1"/>
    <x v="1"/>
    <x v="134"/>
    <x v="1"/>
    <x v="6"/>
    <x v="2"/>
    <x v="295"/>
    <x v="12"/>
    <x v="1"/>
    <x v="12"/>
    <x v="2"/>
    <x v="1"/>
    <x v="0"/>
    <x v="0"/>
    <x v="193"/>
  </r>
  <r>
    <x v="599"/>
    <x v="178"/>
    <x v="176"/>
    <x v="174"/>
    <x v="473"/>
    <x v="3"/>
    <x v="2"/>
    <x v="186"/>
    <x v="153"/>
    <x v="1"/>
    <x v="27"/>
    <x v="0"/>
    <x v="0"/>
    <x v="1"/>
    <x v="2"/>
    <x v="3"/>
    <x v="2"/>
    <x v="1"/>
    <x v="2"/>
    <x v="1"/>
    <x v="1"/>
    <x v="134"/>
    <x v="1"/>
    <x v="1"/>
    <x v="2"/>
    <x v="175"/>
    <x v="1"/>
    <x v="1"/>
    <x v="4"/>
    <x v="1"/>
    <x v="0"/>
    <x v="356"/>
    <x v="0"/>
    <x v="0"/>
  </r>
  <r>
    <x v="600"/>
    <x v="178"/>
    <x v="176"/>
    <x v="174"/>
    <x v="0"/>
    <x v="3"/>
    <x v="2"/>
    <x v="186"/>
    <x v="153"/>
    <x v="1"/>
    <x v="27"/>
    <x v="0"/>
    <x v="0"/>
    <x v="3"/>
    <x v="4"/>
    <x v="1"/>
    <x v="2"/>
    <x v="1"/>
    <x v="2"/>
    <x v="1"/>
    <x v="2"/>
    <x v="0"/>
    <x v="2"/>
    <x v="3"/>
    <x v="4"/>
    <x v="175"/>
    <x v="1"/>
    <x v="0"/>
    <x v="0"/>
    <x v="1"/>
    <x v="0"/>
    <x v="0"/>
    <x v="0"/>
    <x v="0"/>
  </r>
  <r>
    <x v="601"/>
    <x v="294"/>
    <x v="295"/>
    <x v="290"/>
    <x v="474"/>
    <x v="1"/>
    <x v="2"/>
    <x v="309"/>
    <x v="110"/>
    <x v="1"/>
    <x v="64"/>
    <x v="0"/>
    <x v="0"/>
    <x v="1"/>
    <x v="1"/>
    <x v="1"/>
    <x v="2"/>
    <x v="1"/>
    <x v="2"/>
    <x v="1"/>
    <x v="1"/>
    <x v="135"/>
    <x v="1"/>
    <x v="1"/>
    <x v="2"/>
    <x v="296"/>
    <x v="3"/>
    <x v="0"/>
    <x v="0"/>
    <x v="1"/>
    <x v="0"/>
    <x v="0"/>
    <x v="0"/>
    <x v="0"/>
  </r>
  <r>
    <x v="602"/>
    <x v="295"/>
    <x v="296"/>
    <x v="291"/>
    <x v="475"/>
    <x v="1"/>
    <x v="2"/>
    <x v="310"/>
    <x v="244"/>
    <x v="1"/>
    <x v="2"/>
    <x v="0"/>
    <x v="0"/>
    <x v="1"/>
    <x v="1"/>
    <x v="1"/>
    <x v="2"/>
    <x v="1"/>
    <x v="1"/>
    <x v="1"/>
    <x v="1"/>
    <x v="134"/>
    <x v="1"/>
    <x v="1"/>
    <x v="1"/>
    <x v="297"/>
    <x v="3"/>
    <x v="3"/>
    <x v="0"/>
    <x v="1"/>
    <x v="0"/>
    <x v="357"/>
    <x v="183"/>
    <x v="194"/>
  </r>
  <r>
    <x v="603"/>
    <x v="293"/>
    <x v="294"/>
    <x v="289"/>
    <x v="476"/>
    <x v="1"/>
    <x v="2"/>
    <x v="308"/>
    <x v="243"/>
    <x v="1"/>
    <x v="9"/>
    <x v="0"/>
    <x v="0"/>
    <x v="3"/>
    <x v="1"/>
    <x v="1"/>
    <x v="2"/>
    <x v="2"/>
    <x v="1"/>
    <x v="1"/>
    <x v="2"/>
    <x v="0"/>
    <x v="3"/>
    <x v="3"/>
    <x v="4"/>
    <x v="295"/>
    <x v="11"/>
    <x v="0"/>
    <x v="0"/>
    <x v="1"/>
    <x v="0"/>
    <x v="0"/>
    <x v="0"/>
    <x v="195"/>
  </r>
  <r>
    <x v="604"/>
    <x v="140"/>
    <x v="140"/>
    <x v="138"/>
    <x v="477"/>
    <x v="3"/>
    <x v="2"/>
    <x v="144"/>
    <x v="123"/>
    <x v="1"/>
    <x v="24"/>
    <x v="0"/>
    <x v="0"/>
    <x v="1"/>
    <x v="2"/>
    <x v="3"/>
    <x v="2"/>
    <x v="1"/>
    <x v="2"/>
    <x v="1"/>
    <x v="1"/>
    <x v="136"/>
    <x v="1"/>
    <x v="1"/>
    <x v="2"/>
    <x v="139"/>
    <x v="4"/>
    <x v="1"/>
    <x v="2"/>
    <x v="2"/>
    <x v="1"/>
    <x v="358"/>
    <x v="0"/>
    <x v="0"/>
  </r>
  <r>
    <x v="605"/>
    <x v="296"/>
    <x v="297"/>
    <x v="292"/>
    <x v="478"/>
    <x v="1"/>
    <x v="2"/>
    <x v="311"/>
    <x v="245"/>
    <x v="1"/>
    <x v="9"/>
    <x v="0"/>
    <x v="0"/>
    <x v="1"/>
    <x v="1"/>
    <x v="1"/>
    <x v="2"/>
    <x v="1"/>
    <x v="3"/>
    <x v="1"/>
    <x v="1"/>
    <x v="137"/>
    <x v="1"/>
    <x v="1"/>
    <x v="1"/>
    <x v="298"/>
    <x v="1"/>
    <x v="4"/>
    <x v="4"/>
    <x v="2"/>
    <x v="1"/>
    <x v="359"/>
    <x v="0"/>
    <x v="0"/>
  </r>
  <r>
    <x v="606"/>
    <x v="297"/>
    <x v="298"/>
    <x v="293"/>
    <x v="479"/>
    <x v="1"/>
    <x v="3"/>
    <x v="312"/>
    <x v="243"/>
    <x v="1"/>
    <x v="127"/>
    <x v="0"/>
    <x v="0"/>
    <x v="1"/>
    <x v="1"/>
    <x v="1"/>
    <x v="1"/>
    <x v="1"/>
    <x v="3"/>
    <x v="1"/>
    <x v="2"/>
    <x v="0"/>
    <x v="1"/>
    <x v="1"/>
    <x v="2"/>
    <x v="299"/>
    <x v="5"/>
    <x v="0"/>
    <x v="0"/>
    <x v="1"/>
    <x v="0"/>
    <x v="0"/>
    <x v="0"/>
    <x v="0"/>
  </r>
  <r>
    <x v="607"/>
    <x v="152"/>
    <x v="152"/>
    <x v="150"/>
    <x v="480"/>
    <x v="3"/>
    <x v="2"/>
    <x v="157"/>
    <x v="114"/>
    <x v="1"/>
    <x v="1"/>
    <x v="0"/>
    <x v="0"/>
    <x v="1"/>
    <x v="2"/>
    <x v="3"/>
    <x v="2"/>
    <x v="2"/>
    <x v="2"/>
    <x v="1"/>
    <x v="1"/>
    <x v="136"/>
    <x v="1"/>
    <x v="1"/>
    <x v="2"/>
    <x v="151"/>
    <x v="5"/>
    <x v="3"/>
    <x v="0"/>
    <x v="1"/>
    <x v="0"/>
    <x v="360"/>
    <x v="0"/>
    <x v="196"/>
  </r>
  <r>
    <x v="608"/>
    <x v="298"/>
    <x v="299"/>
    <x v="294"/>
    <x v="481"/>
    <x v="1"/>
    <x v="2"/>
    <x v="313"/>
    <x v="246"/>
    <x v="2"/>
    <x v="0"/>
    <x v="2"/>
    <x v="0"/>
    <x v="1"/>
    <x v="1"/>
    <x v="1"/>
    <x v="2"/>
    <x v="1"/>
    <x v="2"/>
    <x v="1"/>
    <x v="1"/>
    <x v="137"/>
    <x v="1"/>
    <x v="1"/>
    <x v="2"/>
    <x v="300"/>
    <x v="1"/>
    <x v="1"/>
    <x v="4"/>
    <x v="2"/>
    <x v="1"/>
    <x v="361"/>
    <x v="0"/>
    <x v="0"/>
  </r>
  <r>
    <x v="609"/>
    <x v="298"/>
    <x v="299"/>
    <x v="294"/>
    <x v="482"/>
    <x v="1"/>
    <x v="2"/>
    <x v="313"/>
    <x v="247"/>
    <x v="2"/>
    <x v="0"/>
    <x v="5"/>
    <x v="0"/>
    <x v="3"/>
    <x v="2"/>
    <x v="3"/>
    <x v="2"/>
    <x v="1"/>
    <x v="2"/>
    <x v="1"/>
    <x v="1"/>
    <x v="136"/>
    <x v="1"/>
    <x v="3"/>
    <x v="4"/>
    <x v="300"/>
    <x v="1"/>
    <x v="1"/>
    <x v="4"/>
    <x v="2"/>
    <x v="1"/>
    <x v="362"/>
    <x v="184"/>
    <x v="0"/>
  </r>
  <r>
    <x v="610"/>
    <x v="296"/>
    <x v="297"/>
    <x v="292"/>
    <x v="483"/>
    <x v="1"/>
    <x v="1"/>
    <x v="311"/>
    <x v="248"/>
    <x v="1"/>
    <x v="3"/>
    <x v="0"/>
    <x v="0"/>
    <x v="3"/>
    <x v="1"/>
    <x v="1"/>
    <x v="2"/>
    <x v="1"/>
    <x v="1"/>
    <x v="1"/>
    <x v="1"/>
    <x v="138"/>
    <x v="1"/>
    <x v="3"/>
    <x v="4"/>
    <x v="298"/>
    <x v="1"/>
    <x v="1"/>
    <x v="4"/>
    <x v="2"/>
    <x v="1"/>
    <x v="363"/>
    <x v="0"/>
    <x v="0"/>
  </r>
  <r>
    <x v="611"/>
    <x v="299"/>
    <x v="300"/>
    <x v="295"/>
    <x v="484"/>
    <x v="3"/>
    <x v="2"/>
    <x v="314"/>
    <x v="111"/>
    <x v="1"/>
    <x v="117"/>
    <x v="0"/>
    <x v="0"/>
    <x v="1"/>
    <x v="1"/>
    <x v="2"/>
    <x v="2"/>
    <x v="1"/>
    <x v="2"/>
    <x v="1"/>
    <x v="1"/>
    <x v="137"/>
    <x v="1"/>
    <x v="1"/>
    <x v="2"/>
    <x v="301"/>
    <x v="5"/>
    <x v="1"/>
    <x v="1"/>
    <x v="2"/>
    <x v="1"/>
    <x v="364"/>
    <x v="0"/>
    <x v="197"/>
  </r>
  <r>
    <x v="612"/>
    <x v="300"/>
    <x v="301"/>
    <x v="296"/>
    <x v="485"/>
    <x v="3"/>
    <x v="4"/>
    <x v="297"/>
    <x v="113"/>
    <x v="2"/>
    <x v="0"/>
    <x v="10"/>
    <x v="0"/>
    <x v="1"/>
    <x v="4"/>
    <x v="1"/>
    <x v="2"/>
    <x v="1"/>
    <x v="2"/>
    <x v="1"/>
    <x v="2"/>
    <x v="0"/>
    <x v="2"/>
    <x v="2"/>
    <x v="3"/>
    <x v="302"/>
    <x v="5"/>
    <x v="0"/>
    <x v="0"/>
    <x v="1"/>
    <x v="0"/>
    <x v="0"/>
    <x v="0"/>
    <x v="0"/>
  </r>
  <r>
    <x v="613"/>
    <x v="140"/>
    <x v="140"/>
    <x v="138"/>
    <x v="486"/>
    <x v="3"/>
    <x v="2"/>
    <x v="144"/>
    <x v="123"/>
    <x v="1"/>
    <x v="24"/>
    <x v="0"/>
    <x v="0"/>
    <x v="3"/>
    <x v="1"/>
    <x v="1"/>
    <x v="2"/>
    <x v="1"/>
    <x v="2"/>
    <x v="1"/>
    <x v="2"/>
    <x v="0"/>
    <x v="1"/>
    <x v="3"/>
    <x v="4"/>
    <x v="139"/>
    <x v="4"/>
    <x v="0"/>
    <x v="0"/>
    <x v="1"/>
    <x v="0"/>
    <x v="0"/>
    <x v="0"/>
    <x v="0"/>
  </r>
  <r>
    <x v="614"/>
    <x v="301"/>
    <x v="302"/>
    <x v="297"/>
    <x v="487"/>
    <x v="1"/>
    <x v="2"/>
    <x v="315"/>
    <x v="249"/>
    <x v="1"/>
    <x v="9"/>
    <x v="0"/>
    <x v="0"/>
    <x v="1"/>
    <x v="1"/>
    <x v="1"/>
    <x v="2"/>
    <x v="1"/>
    <x v="3"/>
    <x v="1"/>
    <x v="1"/>
    <x v="138"/>
    <x v="1"/>
    <x v="1"/>
    <x v="2"/>
    <x v="303"/>
    <x v="5"/>
    <x v="3"/>
    <x v="0"/>
    <x v="1"/>
    <x v="0"/>
    <x v="365"/>
    <x v="185"/>
    <x v="198"/>
  </r>
  <r>
    <x v="615"/>
    <x v="298"/>
    <x v="299"/>
    <x v="294"/>
    <x v="488"/>
    <x v="1"/>
    <x v="2"/>
    <x v="313"/>
    <x v="250"/>
    <x v="2"/>
    <x v="0"/>
    <x v="5"/>
    <x v="0"/>
    <x v="3"/>
    <x v="4"/>
    <x v="1"/>
    <x v="2"/>
    <x v="1"/>
    <x v="2"/>
    <x v="1"/>
    <x v="2"/>
    <x v="0"/>
    <x v="1"/>
    <x v="3"/>
    <x v="4"/>
    <x v="300"/>
    <x v="1"/>
    <x v="0"/>
    <x v="0"/>
    <x v="1"/>
    <x v="0"/>
    <x v="0"/>
    <x v="0"/>
    <x v="0"/>
  </r>
  <r>
    <x v="616"/>
    <x v="302"/>
    <x v="303"/>
    <x v="298"/>
    <x v="489"/>
    <x v="1"/>
    <x v="2"/>
    <x v="316"/>
    <x v="251"/>
    <x v="1"/>
    <x v="0"/>
    <x v="11"/>
    <x v="0"/>
    <x v="1"/>
    <x v="1"/>
    <x v="1"/>
    <x v="2"/>
    <x v="1"/>
    <x v="2"/>
    <x v="1"/>
    <x v="1"/>
    <x v="136"/>
    <x v="2"/>
    <x v="1"/>
    <x v="2"/>
    <x v="304"/>
    <x v="5"/>
    <x v="1"/>
    <x v="1"/>
    <x v="1"/>
    <x v="0"/>
    <x v="366"/>
    <x v="0"/>
    <x v="0"/>
  </r>
  <r>
    <x v="617"/>
    <x v="302"/>
    <x v="303"/>
    <x v="298"/>
    <x v="0"/>
    <x v="1"/>
    <x v="2"/>
    <x v="316"/>
    <x v="251"/>
    <x v="1"/>
    <x v="0"/>
    <x v="12"/>
    <x v="0"/>
    <x v="3"/>
    <x v="1"/>
    <x v="1"/>
    <x v="2"/>
    <x v="1"/>
    <x v="2"/>
    <x v="1"/>
    <x v="2"/>
    <x v="0"/>
    <x v="2"/>
    <x v="3"/>
    <x v="4"/>
    <x v="304"/>
    <x v="5"/>
    <x v="0"/>
    <x v="0"/>
    <x v="1"/>
    <x v="0"/>
    <x v="0"/>
    <x v="0"/>
    <x v="0"/>
  </r>
  <r>
    <x v="618"/>
    <x v="299"/>
    <x v="300"/>
    <x v="295"/>
    <x v="490"/>
    <x v="3"/>
    <x v="2"/>
    <x v="314"/>
    <x v="111"/>
    <x v="1"/>
    <x v="117"/>
    <x v="0"/>
    <x v="0"/>
    <x v="3"/>
    <x v="3"/>
    <x v="2"/>
    <x v="1"/>
    <x v="1"/>
    <x v="2"/>
    <x v="1"/>
    <x v="1"/>
    <x v="139"/>
    <x v="2"/>
    <x v="3"/>
    <x v="4"/>
    <x v="301"/>
    <x v="5"/>
    <x v="1"/>
    <x v="1"/>
    <x v="1"/>
    <x v="0"/>
    <x v="367"/>
    <x v="186"/>
    <x v="0"/>
  </r>
  <r>
    <x v="619"/>
    <x v="296"/>
    <x v="297"/>
    <x v="292"/>
    <x v="491"/>
    <x v="1"/>
    <x v="1"/>
    <x v="311"/>
    <x v="248"/>
    <x v="1"/>
    <x v="3"/>
    <x v="0"/>
    <x v="0"/>
    <x v="3"/>
    <x v="1"/>
    <x v="1"/>
    <x v="2"/>
    <x v="1"/>
    <x v="1"/>
    <x v="1"/>
    <x v="2"/>
    <x v="0"/>
    <x v="1"/>
    <x v="3"/>
    <x v="4"/>
    <x v="298"/>
    <x v="1"/>
    <x v="0"/>
    <x v="0"/>
    <x v="1"/>
    <x v="0"/>
    <x v="0"/>
    <x v="0"/>
    <x v="0"/>
  </r>
  <r>
    <x v="620"/>
    <x v="303"/>
    <x v="304"/>
    <x v="299"/>
    <x v="492"/>
    <x v="1"/>
    <x v="2"/>
    <x v="317"/>
    <x v="252"/>
    <x v="1"/>
    <x v="9"/>
    <x v="0"/>
    <x v="0"/>
    <x v="1"/>
    <x v="1"/>
    <x v="1"/>
    <x v="2"/>
    <x v="1"/>
    <x v="2"/>
    <x v="1"/>
    <x v="2"/>
    <x v="0"/>
    <x v="1"/>
    <x v="1"/>
    <x v="2"/>
    <x v="305"/>
    <x v="12"/>
    <x v="0"/>
    <x v="0"/>
    <x v="1"/>
    <x v="0"/>
    <x v="0"/>
    <x v="0"/>
    <x v="199"/>
  </r>
  <r>
    <x v="621"/>
    <x v="304"/>
    <x v="305"/>
    <x v="300"/>
    <x v="493"/>
    <x v="1"/>
    <x v="2"/>
    <x v="318"/>
    <x v="253"/>
    <x v="2"/>
    <x v="0"/>
    <x v="2"/>
    <x v="0"/>
    <x v="1"/>
    <x v="1"/>
    <x v="1"/>
    <x v="2"/>
    <x v="1"/>
    <x v="3"/>
    <x v="1"/>
    <x v="1"/>
    <x v="139"/>
    <x v="1"/>
    <x v="1"/>
    <x v="2"/>
    <x v="306"/>
    <x v="2"/>
    <x v="1"/>
    <x v="8"/>
    <x v="2"/>
    <x v="1"/>
    <x v="368"/>
    <x v="0"/>
    <x v="0"/>
  </r>
  <r>
    <x v="622"/>
    <x v="305"/>
    <x v="306"/>
    <x v="301"/>
    <x v="494"/>
    <x v="1"/>
    <x v="2"/>
    <x v="319"/>
    <x v="254"/>
    <x v="1"/>
    <x v="15"/>
    <x v="0"/>
    <x v="0"/>
    <x v="1"/>
    <x v="1"/>
    <x v="1"/>
    <x v="1"/>
    <x v="1"/>
    <x v="3"/>
    <x v="1"/>
    <x v="1"/>
    <x v="140"/>
    <x v="1"/>
    <x v="1"/>
    <x v="2"/>
    <x v="307"/>
    <x v="1"/>
    <x v="1"/>
    <x v="4"/>
    <x v="2"/>
    <x v="1"/>
    <x v="369"/>
    <x v="0"/>
    <x v="0"/>
  </r>
  <r>
    <x v="623"/>
    <x v="304"/>
    <x v="305"/>
    <x v="300"/>
    <x v="0"/>
    <x v="1"/>
    <x v="2"/>
    <x v="318"/>
    <x v="50"/>
    <x v="2"/>
    <x v="0"/>
    <x v="2"/>
    <x v="0"/>
    <x v="3"/>
    <x v="2"/>
    <x v="3"/>
    <x v="2"/>
    <x v="1"/>
    <x v="2"/>
    <x v="1"/>
    <x v="1"/>
    <x v="139"/>
    <x v="2"/>
    <x v="3"/>
    <x v="4"/>
    <x v="306"/>
    <x v="8"/>
    <x v="1"/>
    <x v="8"/>
    <x v="1"/>
    <x v="0"/>
    <x v="370"/>
    <x v="0"/>
    <x v="0"/>
  </r>
  <r>
    <x v="624"/>
    <x v="299"/>
    <x v="300"/>
    <x v="295"/>
    <x v="0"/>
    <x v="3"/>
    <x v="2"/>
    <x v="314"/>
    <x v="111"/>
    <x v="1"/>
    <x v="117"/>
    <x v="0"/>
    <x v="0"/>
    <x v="3"/>
    <x v="1"/>
    <x v="1"/>
    <x v="2"/>
    <x v="1"/>
    <x v="2"/>
    <x v="1"/>
    <x v="1"/>
    <x v="141"/>
    <x v="2"/>
    <x v="3"/>
    <x v="4"/>
    <x v="301"/>
    <x v="5"/>
    <x v="1"/>
    <x v="4"/>
    <x v="2"/>
    <x v="1"/>
    <x v="371"/>
    <x v="187"/>
    <x v="200"/>
  </r>
  <r>
    <x v="625"/>
    <x v="304"/>
    <x v="305"/>
    <x v="300"/>
    <x v="0"/>
    <x v="1"/>
    <x v="2"/>
    <x v="318"/>
    <x v="50"/>
    <x v="2"/>
    <x v="0"/>
    <x v="13"/>
    <x v="0"/>
    <x v="3"/>
    <x v="4"/>
    <x v="1"/>
    <x v="2"/>
    <x v="1"/>
    <x v="2"/>
    <x v="1"/>
    <x v="2"/>
    <x v="0"/>
    <x v="2"/>
    <x v="3"/>
    <x v="4"/>
    <x v="306"/>
    <x v="8"/>
    <x v="0"/>
    <x v="0"/>
    <x v="1"/>
    <x v="0"/>
    <x v="0"/>
    <x v="0"/>
    <x v="0"/>
  </r>
  <r>
    <x v="626"/>
    <x v="135"/>
    <x v="135"/>
    <x v="133"/>
    <x v="495"/>
    <x v="1"/>
    <x v="2"/>
    <x v="139"/>
    <x v="119"/>
    <x v="1"/>
    <x v="33"/>
    <x v="0"/>
    <x v="0"/>
    <x v="1"/>
    <x v="3"/>
    <x v="3"/>
    <x v="2"/>
    <x v="1"/>
    <x v="2"/>
    <x v="1"/>
    <x v="1"/>
    <x v="140"/>
    <x v="1"/>
    <x v="6"/>
    <x v="2"/>
    <x v="267"/>
    <x v="11"/>
    <x v="0"/>
    <x v="0"/>
    <x v="1"/>
    <x v="0"/>
    <x v="372"/>
    <x v="0"/>
    <x v="201"/>
  </r>
  <r>
    <x v="627"/>
    <x v="306"/>
    <x v="307"/>
    <x v="302"/>
    <x v="496"/>
    <x v="1"/>
    <x v="2"/>
    <x v="320"/>
    <x v="255"/>
    <x v="1"/>
    <x v="8"/>
    <x v="0"/>
    <x v="0"/>
    <x v="1"/>
    <x v="1"/>
    <x v="1"/>
    <x v="2"/>
    <x v="1"/>
    <x v="1"/>
    <x v="1"/>
    <x v="1"/>
    <x v="141"/>
    <x v="1"/>
    <x v="1"/>
    <x v="2"/>
    <x v="308"/>
    <x v="3"/>
    <x v="1"/>
    <x v="3"/>
    <x v="1"/>
    <x v="0"/>
    <x v="373"/>
    <x v="0"/>
    <x v="202"/>
  </r>
  <r>
    <x v="628"/>
    <x v="307"/>
    <x v="308"/>
    <x v="303"/>
    <x v="497"/>
    <x v="1"/>
    <x v="2"/>
    <x v="321"/>
    <x v="10"/>
    <x v="1"/>
    <x v="15"/>
    <x v="0"/>
    <x v="0"/>
    <x v="1"/>
    <x v="3"/>
    <x v="3"/>
    <x v="1"/>
    <x v="1"/>
    <x v="2"/>
    <x v="1"/>
    <x v="1"/>
    <x v="140"/>
    <x v="1"/>
    <x v="1"/>
    <x v="5"/>
    <x v="309"/>
    <x v="2"/>
    <x v="1"/>
    <x v="12"/>
    <x v="2"/>
    <x v="1"/>
    <x v="374"/>
    <x v="0"/>
    <x v="0"/>
  </r>
  <r>
    <x v="629"/>
    <x v="306"/>
    <x v="307"/>
    <x v="302"/>
    <x v="498"/>
    <x v="1"/>
    <x v="2"/>
    <x v="320"/>
    <x v="255"/>
    <x v="1"/>
    <x v="8"/>
    <x v="0"/>
    <x v="0"/>
    <x v="3"/>
    <x v="1"/>
    <x v="1"/>
    <x v="2"/>
    <x v="2"/>
    <x v="3"/>
    <x v="1"/>
    <x v="1"/>
    <x v="140"/>
    <x v="1"/>
    <x v="3"/>
    <x v="4"/>
    <x v="308"/>
    <x v="4"/>
    <x v="1"/>
    <x v="12"/>
    <x v="2"/>
    <x v="1"/>
    <x v="0"/>
    <x v="0"/>
    <x v="0"/>
  </r>
  <r>
    <x v="630"/>
    <x v="306"/>
    <x v="307"/>
    <x v="302"/>
    <x v="499"/>
    <x v="1"/>
    <x v="2"/>
    <x v="320"/>
    <x v="255"/>
    <x v="1"/>
    <x v="8"/>
    <x v="0"/>
    <x v="0"/>
    <x v="3"/>
    <x v="1"/>
    <x v="1"/>
    <x v="2"/>
    <x v="1"/>
    <x v="1"/>
    <x v="1"/>
    <x v="2"/>
    <x v="0"/>
    <x v="1"/>
    <x v="3"/>
    <x v="4"/>
    <x v="308"/>
    <x v="3"/>
    <x v="0"/>
    <x v="0"/>
    <x v="1"/>
    <x v="0"/>
    <x v="0"/>
    <x v="0"/>
    <x v="0"/>
  </r>
  <r>
    <x v="631"/>
    <x v="308"/>
    <x v="309"/>
    <x v="304"/>
    <x v="500"/>
    <x v="1"/>
    <x v="2"/>
    <x v="322"/>
    <x v="59"/>
    <x v="1"/>
    <x v="3"/>
    <x v="0"/>
    <x v="0"/>
    <x v="1"/>
    <x v="2"/>
    <x v="3"/>
    <x v="2"/>
    <x v="1"/>
    <x v="2"/>
    <x v="1"/>
    <x v="1"/>
    <x v="140"/>
    <x v="1"/>
    <x v="1"/>
    <x v="2"/>
    <x v="310"/>
    <x v="3"/>
    <x v="3"/>
    <x v="0"/>
    <x v="1"/>
    <x v="0"/>
    <x v="375"/>
    <x v="188"/>
    <x v="203"/>
  </r>
  <r>
    <x v="632"/>
    <x v="307"/>
    <x v="308"/>
    <x v="303"/>
    <x v="501"/>
    <x v="1"/>
    <x v="2"/>
    <x v="321"/>
    <x v="179"/>
    <x v="1"/>
    <x v="15"/>
    <x v="0"/>
    <x v="0"/>
    <x v="3"/>
    <x v="1"/>
    <x v="1"/>
    <x v="2"/>
    <x v="1"/>
    <x v="1"/>
    <x v="1"/>
    <x v="2"/>
    <x v="0"/>
    <x v="1"/>
    <x v="3"/>
    <x v="4"/>
    <x v="309"/>
    <x v="11"/>
    <x v="0"/>
    <x v="0"/>
    <x v="1"/>
    <x v="0"/>
    <x v="0"/>
    <x v="0"/>
    <x v="0"/>
  </r>
  <r>
    <x v="633"/>
    <x v="305"/>
    <x v="306"/>
    <x v="301"/>
    <x v="502"/>
    <x v="1"/>
    <x v="2"/>
    <x v="319"/>
    <x v="254"/>
    <x v="1"/>
    <x v="128"/>
    <x v="0"/>
    <x v="0"/>
    <x v="3"/>
    <x v="3"/>
    <x v="2"/>
    <x v="2"/>
    <x v="1"/>
    <x v="3"/>
    <x v="1"/>
    <x v="2"/>
    <x v="0"/>
    <x v="1"/>
    <x v="3"/>
    <x v="4"/>
    <x v="307"/>
    <x v="1"/>
    <x v="0"/>
    <x v="0"/>
    <x v="1"/>
    <x v="0"/>
    <x v="0"/>
    <x v="0"/>
    <x v="204"/>
  </r>
  <r>
    <x v="634"/>
    <x v="306"/>
    <x v="307"/>
    <x v="302"/>
    <x v="503"/>
    <x v="1"/>
    <x v="2"/>
    <x v="320"/>
    <x v="255"/>
    <x v="1"/>
    <x v="8"/>
    <x v="0"/>
    <x v="0"/>
    <x v="3"/>
    <x v="1"/>
    <x v="2"/>
    <x v="2"/>
    <x v="2"/>
    <x v="1"/>
    <x v="1"/>
    <x v="1"/>
    <x v="142"/>
    <x v="1"/>
    <x v="3"/>
    <x v="4"/>
    <x v="308"/>
    <x v="11"/>
    <x v="3"/>
    <x v="0"/>
    <x v="1"/>
    <x v="0"/>
    <x v="376"/>
    <x v="0"/>
    <x v="205"/>
  </r>
  <r>
    <x v="635"/>
    <x v="299"/>
    <x v="300"/>
    <x v="295"/>
    <x v="504"/>
    <x v="3"/>
    <x v="2"/>
    <x v="314"/>
    <x v="111"/>
    <x v="1"/>
    <x v="33"/>
    <x v="0"/>
    <x v="0"/>
    <x v="3"/>
    <x v="1"/>
    <x v="1"/>
    <x v="2"/>
    <x v="1"/>
    <x v="2"/>
    <x v="1"/>
    <x v="1"/>
    <x v="142"/>
    <x v="1"/>
    <x v="3"/>
    <x v="4"/>
    <x v="301"/>
    <x v="1"/>
    <x v="3"/>
    <x v="0"/>
    <x v="1"/>
    <x v="0"/>
    <x v="376"/>
    <x v="0"/>
    <x v="0"/>
  </r>
  <r>
    <x v="636"/>
    <x v="309"/>
    <x v="310"/>
    <x v="305"/>
    <x v="505"/>
    <x v="1"/>
    <x v="2"/>
    <x v="323"/>
    <x v="239"/>
    <x v="1"/>
    <x v="129"/>
    <x v="0"/>
    <x v="0"/>
    <x v="1"/>
    <x v="1"/>
    <x v="2"/>
    <x v="1"/>
    <x v="1"/>
    <x v="2"/>
    <x v="1"/>
    <x v="1"/>
    <x v="143"/>
    <x v="2"/>
    <x v="1"/>
    <x v="2"/>
    <x v="311"/>
    <x v="4"/>
    <x v="1"/>
    <x v="2"/>
    <x v="2"/>
    <x v="1"/>
    <x v="377"/>
    <x v="0"/>
    <x v="206"/>
  </r>
  <r>
    <x v="637"/>
    <x v="309"/>
    <x v="310"/>
    <x v="305"/>
    <x v="506"/>
    <x v="1"/>
    <x v="2"/>
    <x v="323"/>
    <x v="239"/>
    <x v="1"/>
    <x v="129"/>
    <x v="0"/>
    <x v="0"/>
    <x v="3"/>
    <x v="2"/>
    <x v="3"/>
    <x v="1"/>
    <x v="1"/>
    <x v="2"/>
    <x v="1"/>
    <x v="1"/>
    <x v="142"/>
    <x v="1"/>
    <x v="3"/>
    <x v="4"/>
    <x v="311"/>
    <x v="4"/>
    <x v="1"/>
    <x v="1"/>
    <x v="1"/>
    <x v="0"/>
    <x v="378"/>
    <x v="0"/>
    <x v="207"/>
  </r>
  <r>
    <x v="638"/>
    <x v="309"/>
    <x v="310"/>
    <x v="305"/>
    <x v="0"/>
    <x v="1"/>
    <x v="2"/>
    <x v="323"/>
    <x v="196"/>
    <x v="1"/>
    <x v="129"/>
    <x v="0"/>
    <x v="0"/>
    <x v="3"/>
    <x v="4"/>
    <x v="1"/>
    <x v="2"/>
    <x v="1"/>
    <x v="2"/>
    <x v="1"/>
    <x v="2"/>
    <x v="0"/>
    <x v="2"/>
    <x v="3"/>
    <x v="4"/>
    <x v="311"/>
    <x v="5"/>
    <x v="0"/>
    <x v="0"/>
    <x v="1"/>
    <x v="0"/>
    <x v="0"/>
    <x v="0"/>
    <x v="0"/>
  </r>
  <r>
    <x v="639"/>
    <x v="307"/>
    <x v="308"/>
    <x v="303"/>
    <x v="507"/>
    <x v="1"/>
    <x v="2"/>
    <x v="321"/>
    <x v="179"/>
    <x v="1"/>
    <x v="15"/>
    <x v="0"/>
    <x v="0"/>
    <x v="1"/>
    <x v="1"/>
    <x v="1"/>
    <x v="2"/>
    <x v="1"/>
    <x v="2"/>
    <x v="1"/>
    <x v="1"/>
    <x v="144"/>
    <x v="1"/>
    <x v="6"/>
    <x v="3"/>
    <x v="309"/>
    <x v="5"/>
    <x v="1"/>
    <x v="1"/>
    <x v="1"/>
    <x v="0"/>
    <x v="379"/>
    <x v="189"/>
    <x v="208"/>
  </r>
  <r>
    <x v="640"/>
    <x v="310"/>
    <x v="311"/>
    <x v="306"/>
    <x v="508"/>
    <x v="1"/>
    <x v="2"/>
    <x v="324"/>
    <x v="256"/>
    <x v="1"/>
    <x v="130"/>
    <x v="0"/>
    <x v="0"/>
    <x v="1"/>
    <x v="3"/>
    <x v="3"/>
    <x v="2"/>
    <x v="1"/>
    <x v="2"/>
    <x v="1"/>
    <x v="1"/>
    <x v="145"/>
    <x v="1"/>
    <x v="6"/>
    <x v="2"/>
    <x v="312"/>
    <x v="12"/>
    <x v="1"/>
    <x v="1"/>
    <x v="1"/>
    <x v="0"/>
    <x v="380"/>
    <x v="0"/>
    <x v="209"/>
  </r>
  <r>
    <x v="641"/>
    <x v="311"/>
    <x v="312"/>
    <x v="307"/>
    <x v="509"/>
    <x v="1"/>
    <x v="2"/>
    <x v="325"/>
    <x v="144"/>
    <x v="1"/>
    <x v="15"/>
    <x v="0"/>
    <x v="0"/>
    <x v="1"/>
    <x v="1"/>
    <x v="1"/>
    <x v="2"/>
    <x v="1"/>
    <x v="1"/>
    <x v="1"/>
    <x v="1"/>
    <x v="146"/>
    <x v="1"/>
    <x v="6"/>
    <x v="2"/>
    <x v="313"/>
    <x v="12"/>
    <x v="3"/>
    <x v="0"/>
    <x v="1"/>
    <x v="0"/>
    <x v="381"/>
    <x v="190"/>
    <x v="210"/>
  </r>
  <r>
    <x v="642"/>
    <x v="312"/>
    <x v="313"/>
    <x v="308"/>
    <x v="510"/>
    <x v="3"/>
    <x v="2"/>
    <x v="326"/>
    <x v="257"/>
    <x v="1"/>
    <x v="3"/>
    <x v="0"/>
    <x v="0"/>
    <x v="1"/>
    <x v="1"/>
    <x v="2"/>
    <x v="2"/>
    <x v="1"/>
    <x v="2"/>
    <x v="1"/>
    <x v="1"/>
    <x v="147"/>
    <x v="1"/>
    <x v="6"/>
    <x v="3"/>
    <x v="314"/>
    <x v="5"/>
    <x v="1"/>
    <x v="1"/>
    <x v="1"/>
    <x v="0"/>
    <x v="382"/>
    <x v="0"/>
    <x v="211"/>
  </r>
  <r>
    <x v="643"/>
    <x v="307"/>
    <x v="308"/>
    <x v="303"/>
    <x v="0"/>
    <x v="1"/>
    <x v="2"/>
    <x v="321"/>
    <x v="179"/>
    <x v="1"/>
    <x v="15"/>
    <x v="0"/>
    <x v="0"/>
    <x v="3"/>
    <x v="1"/>
    <x v="1"/>
    <x v="2"/>
    <x v="1"/>
    <x v="2"/>
    <x v="1"/>
    <x v="2"/>
    <x v="0"/>
    <x v="2"/>
    <x v="3"/>
    <x v="4"/>
    <x v="309"/>
    <x v="5"/>
    <x v="0"/>
    <x v="0"/>
    <x v="1"/>
    <x v="0"/>
    <x v="0"/>
    <x v="0"/>
    <x v="0"/>
  </r>
  <r>
    <x v="644"/>
    <x v="310"/>
    <x v="311"/>
    <x v="306"/>
    <x v="0"/>
    <x v="1"/>
    <x v="2"/>
    <x v="324"/>
    <x v="258"/>
    <x v="1"/>
    <x v="2"/>
    <x v="0"/>
    <x v="0"/>
    <x v="3"/>
    <x v="1"/>
    <x v="1"/>
    <x v="2"/>
    <x v="1"/>
    <x v="2"/>
    <x v="1"/>
    <x v="2"/>
    <x v="0"/>
    <x v="2"/>
    <x v="3"/>
    <x v="4"/>
    <x v="312"/>
    <x v="5"/>
    <x v="0"/>
    <x v="0"/>
    <x v="1"/>
    <x v="0"/>
    <x v="0"/>
    <x v="0"/>
    <x v="208"/>
  </r>
  <r>
    <x v="645"/>
    <x v="313"/>
    <x v="314"/>
    <x v="309"/>
    <x v="511"/>
    <x v="1"/>
    <x v="1"/>
    <x v="327"/>
    <x v="119"/>
    <x v="1"/>
    <x v="9"/>
    <x v="0"/>
    <x v="0"/>
    <x v="1"/>
    <x v="1"/>
    <x v="1"/>
    <x v="2"/>
    <x v="1"/>
    <x v="1"/>
    <x v="1"/>
    <x v="1"/>
    <x v="147"/>
    <x v="1"/>
    <x v="4"/>
    <x v="2"/>
    <x v="315"/>
    <x v="12"/>
    <x v="1"/>
    <x v="1"/>
    <x v="1"/>
    <x v="0"/>
    <x v="383"/>
    <x v="0"/>
    <x v="0"/>
  </r>
  <r>
    <x v="646"/>
    <x v="314"/>
    <x v="315"/>
    <x v="310"/>
    <x v="512"/>
    <x v="3"/>
    <x v="2"/>
    <x v="328"/>
    <x v="259"/>
    <x v="1"/>
    <x v="131"/>
    <x v="0"/>
    <x v="0"/>
    <x v="1"/>
    <x v="1"/>
    <x v="1"/>
    <x v="2"/>
    <x v="1"/>
    <x v="1"/>
    <x v="1"/>
    <x v="2"/>
    <x v="0"/>
    <x v="1"/>
    <x v="6"/>
    <x v="2"/>
    <x v="316"/>
    <x v="12"/>
    <x v="0"/>
    <x v="0"/>
    <x v="1"/>
    <x v="0"/>
    <x v="0"/>
    <x v="0"/>
    <x v="0"/>
  </r>
  <r>
    <x v="647"/>
    <x v="313"/>
    <x v="314"/>
    <x v="309"/>
    <x v="0"/>
    <x v="1"/>
    <x v="1"/>
    <x v="327"/>
    <x v="119"/>
    <x v="1"/>
    <x v="9"/>
    <x v="0"/>
    <x v="0"/>
    <x v="3"/>
    <x v="1"/>
    <x v="1"/>
    <x v="2"/>
    <x v="1"/>
    <x v="2"/>
    <x v="1"/>
    <x v="2"/>
    <x v="0"/>
    <x v="2"/>
    <x v="3"/>
    <x v="4"/>
    <x v="315"/>
    <x v="5"/>
    <x v="0"/>
    <x v="0"/>
    <x v="1"/>
    <x v="0"/>
    <x v="0"/>
    <x v="0"/>
    <x v="0"/>
  </r>
  <r>
    <x v="648"/>
    <x v="312"/>
    <x v="313"/>
    <x v="308"/>
    <x v="0"/>
    <x v="3"/>
    <x v="2"/>
    <x v="326"/>
    <x v="257"/>
    <x v="1"/>
    <x v="3"/>
    <x v="0"/>
    <x v="0"/>
    <x v="3"/>
    <x v="3"/>
    <x v="2"/>
    <x v="2"/>
    <x v="1"/>
    <x v="2"/>
    <x v="1"/>
    <x v="1"/>
    <x v="148"/>
    <x v="2"/>
    <x v="3"/>
    <x v="4"/>
    <x v="314"/>
    <x v="5"/>
    <x v="1"/>
    <x v="1"/>
    <x v="2"/>
    <x v="1"/>
    <x v="384"/>
    <x v="0"/>
    <x v="211"/>
  </r>
  <r>
    <x v="649"/>
    <x v="315"/>
    <x v="316"/>
    <x v="311"/>
    <x v="513"/>
    <x v="1"/>
    <x v="2"/>
    <x v="329"/>
    <x v="260"/>
    <x v="1"/>
    <x v="9"/>
    <x v="0"/>
    <x v="0"/>
    <x v="1"/>
    <x v="3"/>
    <x v="3"/>
    <x v="1"/>
    <x v="1"/>
    <x v="3"/>
    <x v="1"/>
    <x v="1"/>
    <x v="148"/>
    <x v="1"/>
    <x v="1"/>
    <x v="2"/>
    <x v="317"/>
    <x v="1"/>
    <x v="1"/>
    <x v="5"/>
    <x v="2"/>
    <x v="1"/>
    <x v="385"/>
    <x v="0"/>
    <x v="0"/>
  </r>
  <r>
    <x v="650"/>
    <x v="316"/>
    <x v="317"/>
    <x v="312"/>
    <x v="514"/>
    <x v="1"/>
    <x v="2"/>
    <x v="330"/>
    <x v="92"/>
    <x v="1"/>
    <x v="132"/>
    <x v="0"/>
    <x v="0"/>
    <x v="1"/>
    <x v="2"/>
    <x v="3"/>
    <x v="1"/>
    <x v="1"/>
    <x v="2"/>
    <x v="1"/>
    <x v="1"/>
    <x v="148"/>
    <x v="1"/>
    <x v="6"/>
    <x v="2"/>
    <x v="318"/>
    <x v="3"/>
    <x v="1"/>
    <x v="1"/>
    <x v="1"/>
    <x v="0"/>
    <x v="386"/>
    <x v="191"/>
    <x v="194"/>
  </r>
  <r>
    <x v="651"/>
    <x v="317"/>
    <x v="316"/>
    <x v="311"/>
    <x v="515"/>
    <x v="1"/>
    <x v="2"/>
    <x v="331"/>
    <x v="10"/>
    <x v="1"/>
    <x v="9"/>
    <x v="0"/>
    <x v="0"/>
    <x v="3"/>
    <x v="1"/>
    <x v="1"/>
    <x v="2"/>
    <x v="1"/>
    <x v="2"/>
    <x v="1"/>
    <x v="2"/>
    <x v="0"/>
    <x v="1"/>
    <x v="3"/>
    <x v="4"/>
    <x v="317"/>
    <x v="2"/>
    <x v="0"/>
    <x v="0"/>
    <x v="1"/>
    <x v="0"/>
    <x v="0"/>
    <x v="0"/>
    <x v="0"/>
  </r>
  <r>
    <x v="652"/>
    <x v="318"/>
    <x v="318"/>
    <x v="313"/>
    <x v="516"/>
    <x v="1"/>
    <x v="2"/>
    <x v="332"/>
    <x v="261"/>
    <x v="1"/>
    <x v="9"/>
    <x v="0"/>
    <x v="0"/>
    <x v="1"/>
    <x v="3"/>
    <x v="3"/>
    <x v="2"/>
    <x v="1"/>
    <x v="3"/>
    <x v="1"/>
    <x v="1"/>
    <x v="149"/>
    <x v="1"/>
    <x v="1"/>
    <x v="2"/>
    <x v="319"/>
    <x v="1"/>
    <x v="1"/>
    <x v="7"/>
    <x v="1"/>
    <x v="0"/>
    <x v="387"/>
    <x v="192"/>
    <x v="212"/>
  </r>
  <r>
    <x v="653"/>
    <x v="178"/>
    <x v="176"/>
    <x v="174"/>
    <x v="517"/>
    <x v="1"/>
    <x v="2"/>
    <x v="186"/>
    <x v="153"/>
    <x v="1"/>
    <x v="44"/>
    <x v="0"/>
    <x v="0"/>
    <x v="1"/>
    <x v="2"/>
    <x v="3"/>
    <x v="2"/>
    <x v="1"/>
    <x v="2"/>
    <x v="1"/>
    <x v="1"/>
    <x v="149"/>
    <x v="2"/>
    <x v="1"/>
    <x v="2"/>
    <x v="175"/>
    <x v="3"/>
    <x v="3"/>
    <x v="0"/>
    <x v="1"/>
    <x v="0"/>
    <x v="388"/>
    <x v="193"/>
    <x v="0"/>
  </r>
  <r>
    <x v="654"/>
    <x v="312"/>
    <x v="313"/>
    <x v="308"/>
    <x v="518"/>
    <x v="3"/>
    <x v="2"/>
    <x v="326"/>
    <x v="257"/>
    <x v="1"/>
    <x v="3"/>
    <x v="0"/>
    <x v="0"/>
    <x v="3"/>
    <x v="1"/>
    <x v="1"/>
    <x v="2"/>
    <x v="1"/>
    <x v="2"/>
    <x v="1"/>
    <x v="2"/>
    <x v="0"/>
    <x v="2"/>
    <x v="3"/>
    <x v="4"/>
    <x v="314"/>
    <x v="5"/>
    <x v="0"/>
    <x v="0"/>
    <x v="1"/>
    <x v="0"/>
    <x v="0"/>
    <x v="0"/>
    <x v="0"/>
  </r>
  <r>
    <x v="655"/>
    <x v="319"/>
    <x v="319"/>
    <x v="314"/>
    <x v="519"/>
    <x v="1"/>
    <x v="2"/>
    <x v="333"/>
    <x v="121"/>
    <x v="1"/>
    <x v="133"/>
    <x v="0"/>
    <x v="0"/>
    <x v="1"/>
    <x v="2"/>
    <x v="3"/>
    <x v="2"/>
    <x v="1"/>
    <x v="2"/>
    <x v="1"/>
    <x v="1"/>
    <x v="149"/>
    <x v="1"/>
    <x v="1"/>
    <x v="1"/>
    <x v="320"/>
    <x v="3"/>
    <x v="1"/>
    <x v="7"/>
    <x v="1"/>
    <x v="0"/>
    <x v="389"/>
    <x v="194"/>
    <x v="0"/>
  </r>
  <r>
    <x v="656"/>
    <x v="320"/>
    <x v="320"/>
    <x v="315"/>
    <x v="520"/>
    <x v="1"/>
    <x v="2"/>
    <x v="334"/>
    <x v="262"/>
    <x v="6"/>
    <x v="0"/>
    <x v="0"/>
    <x v="14"/>
    <x v="1"/>
    <x v="2"/>
    <x v="3"/>
    <x v="2"/>
    <x v="1"/>
    <x v="3"/>
    <x v="1"/>
    <x v="1"/>
    <x v="149"/>
    <x v="1"/>
    <x v="1"/>
    <x v="2"/>
    <x v="321"/>
    <x v="3"/>
    <x v="3"/>
    <x v="0"/>
    <x v="1"/>
    <x v="0"/>
    <x v="390"/>
    <x v="195"/>
    <x v="0"/>
  </r>
  <r>
    <x v="657"/>
    <x v="321"/>
    <x v="321"/>
    <x v="316"/>
    <x v="521"/>
    <x v="1"/>
    <x v="2"/>
    <x v="335"/>
    <x v="263"/>
    <x v="1"/>
    <x v="36"/>
    <x v="0"/>
    <x v="0"/>
    <x v="1"/>
    <x v="1"/>
    <x v="1"/>
    <x v="2"/>
    <x v="1"/>
    <x v="1"/>
    <x v="1"/>
    <x v="2"/>
    <x v="0"/>
    <x v="1"/>
    <x v="1"/>
    <x v="2"/>
    <x v="322"/>
    <x v="11"/>
    <x v="0"/>
    <x v="0"/>
    <x v="1"/>
    <x v="0"/>
    <x v="0"/>
    <x v="0"/>
    <x v="0"/>
  </r>
  <r>
    <x v="658"/>
    <x v="322"/>
    <x v="322"/>
    <x v="317"/>
    <x v="522"/>
    <x v="1"/>
    <x v="2"/>
    <x v="336"/>
    <x v="36"/>
    <x v="1"/>
    <x v="134"/>
    <x v="0"/>
    <x v="0"/>
    <x v="1"/>
    <x v="1"/>
    <x v="1"/>
    <x v="2"/>
    <x v="1"/>
    <x v="2"/>
    <x v="1"/>
    <x v="2"/>
    <x v="0"/>
    <x v="1"/>
    <x v="1"/>
    <x v="2"/>
    <x v="323"/>
    <x v="3"/>
    <x v="0"/>
    <x v="0"/>
    <x v="1"/>
    <x v="0"/>
    <x v="0"/>
    <x v="0"/>
    <x v="0"/>
  </r>
  <r>
    <x v="659"/>
    <x v="316"/>
    <x v="317"/>
    <x v="312"/>
    <x v="0"/>
    <x v="1"/>
    <x v="2"/>
    <x v="330"/>
    <x v="92"/>
    <x v="1"/>
    <x v="132"/>
    <x v="0"/>
    <x v="0"/>
    <x v="3"/>
    <x v="1"/>
    <x v="1"/>
    <x v="2"/>
    <x v="1"/>
    <x v="2"/>
    <x v="1"/>
    <x v="2"/>
    <x v="0"/>
    <x v="2"/>
    <x v="3"/>
    <x v="4"/>
    <x v="318"/>
    <x v="5"/>
    <x v="0"/>
    <x v="0"/>
    <x v="1"/>
    <x v="0"/>
    <x v="0"/>
    <x v="0"/>
    <x v="0"/>
  </r>
  <r>
    <x v="660"/>
    <x v="318"/>
    <x v="318"/>
    <x v="313"/>
    <x v="0"/>
    <x v="1"/>
    <x v="2"/>
    <x v="337"/>
    <x v="261"/>
    <x v="1"/>
    <x v="9"/>
    <x v="0"/>
    <x v="0"/>
    <x v="3"/>
    <x v="4"/>
    <x v="1"/>
    <x v="2"/>
    <x v="1"/>
    <x v="2"/>
    <x v="1"/>
    <x v="2"/>
    <x v="0"/>
    <x v="2"/>
    <x v="3"/>
    <x v="4"/>
    <x v="324"/>
    <x v="12"/>
    <x v="0"/>
    <x v="0"/>
    <x v="1"/>
    <x v="0"/>
    <x v="0"/>
    <x v="0"/>
    <x v="0"/>
  </r>
  <r>
    <x v="661"/>
    <x v="323"/>
    <x v="323"/>
    <x v="318"/>
    <x v="523"/>
    <x v="1"/>
    <x v="1"/>
    <x v="43"/>
    <x v="264"/>
    <x v="1"/>
    <x v="135"/>
    <x v="0"/>
    <x v="0"/>
    <x v="1"/>
    <x v="1"/>
    <x v="1"/>
    <x v="2"/>
    <x v="1"/>
    <x v="2"/>
    <x v="1"/>
    <x v="2"/>
    <x v="0"/>
    <x v="1"/>
    <x v="1"/>
    <x v="2"/>
    <x v="325"/>
    <x v="12"/>
    <x v="0"/>
    <x v="0"/>
    <x v="1"/>
    <x v="0"/>
    <x v="0"/>
    <x v="0"/>
    <x v="0"/>
  </r>
  <r>
    <x v="662"/>
    <x v="319"/>
    <x v="319"/>
    <x v="314"/>
    <x v="0"/>
    <x v="1"/>
    <x v="2"/>
    <x v="333"/>
    <x v="265"/>
    <x v="1"/>
    <x v="133"/>
    <x v="0"/>
    <x v="0"/>
    <x v="3"/>
    <x v="1"/>
    <x v="1"/>
    <x v="1"/>
    <x v="1"/>
    <x v="2"/>
    <x v="1"/>
    <x v="2"/>
    <x v="0"/>
    <x v="2"/>
    <x v="1"/>
    <x v="4"/>
    <x v="320"/>
    <x v="12"/>
    <x v="0"/>
    <x v="0"/>
    <x v="1"/>
    <x v="0"/>
    <x v="0"/>
    <x v="0"/>
    <x v="213"/>
  </r>
  <r>
    <x v="663"/>
    <x v="324"/>
    <x v="324"/>
    <x v="319"/>
    <x v="524"/>
    <x v="1"/>
    <x v="2"/>
    <x v="338"/>
    <x v="266"/>
    <x v="1"/>
    <x v="1"/>
    <x v="0"/>
    <x v="0"/>
    <x v="1"/>
    <x v="2"/>
    <x v="3"/>
    <x v="2"/>
    <x v="1"/>
    <x v="2"/>
    <x v="1"/>
    <x v="1"/>
    <x v="150"/>
    <x v="1"/>
    <x v="5"/>
    <x v="3"/>
    <x v="326"/>
    <x v="2"/>
    <x v="3"/>
    <x v="0"/>
    <x v="1"/>
    <x v="0"/>
    <x v="391"/>
    <x v="196"/>
    <x v="0"/>
  </r>
  <r>
    <x v="664"/>
    <x v="325"/>
    <x v="325"/>
    <x v="320"/>
    <x v="525"/>
    <x v="1"/>
    <x v="2"/>
    <x v="339"/>
    <x v="267"/>
    <x v="1"/>
    <x v="9"/>
    <x v="0"/>
    <x v="0"/>
    <x v="1"/>
    <x v="1"/>
    <x v="1"/>
    <x v="2"/>
    <x v="1"/>
    <x v="2"/>
    <x v="1"/>
    <x v="2"/>
    <x v="0"/>
    <x v="1"/>
    <x v="1"/>
    <x v="2"/>
    <x v="327"/>
    <x v="11"/>
    <x v="0"/>
    <x v="0"/>
    <x v="1"/>
    <x v="0"/>
    <x v="0"/>
    <x v="0"/>
    <x v="0"/>
  </r>
  <r>
    <x v="665"/>
    <x v="312"/>
    <x v="313"/>
    <x v="308"/>
    <x v="526"/>
    <x v="3"/>
    <x v="2"/>
    <x v="326"/>
    <x v="268"/>
    <x v="1"/>
    <x v="9"/>
    <x v="0"/>
    <x v="0"/>
    <x v="1"/>
    <x v="3"/>
    <x v="2"/>
    <x v="2"/>
    <x v="1"/>
    <x v="3"/>
    <x v="1"/>
    <x v="1"/>
    <x v="151"/>
    <x v="1"/>
    <x v="1"/>
    <x v="2"/>
    <x v="314"/>
    <x v="11"/>
    <x v="1"/>
    <x v="4"/>
    <x v="2"/>
    <x v="1"/>
    <x v="392"/>
    <x v="197"/>
    <x v="214"/>
  </r>
  <r>
    <x v="666"/>
    <x v="141"/>
    <x v="141"/>
    <x v="139"/>
    <x v="527"/>
    <x v="1"/>
    <x v="1"/>
    <x v="145"/>
    <x v="125"/>
    <x v="1"/>
    <x v="9"/>
    <x v="0"/>
    <x v="0"/>
    <x v="1"/>
    <x v="1"/>
    <x v="1"/>
    <x v="2"/>
    <x v="1"/>
    <x v="2"/>
    <x v="1"/>
    <x v="2"/>
    <x v="0"/>
    <x v="1"/>
    <x v="7"/>
    <x v="2"/>
    <x v="140"/>
    <x v="12"/>
    <x v="0"/>
    <x v="0"/>
    <x v="1"/>
    <x v="0"/>
    <x v="0"/>
    <x v="0"/>
    <x v="0"/>
  </r>
  <r>
    <x v="667"/>
    <x v="326"/>
    <x v="326"/>
    <x v="321"/>
    <x v="528"/>
    <x v="3"/>
    <x v="1"/>
    <x v="340"/>
    <x v="123"/>
    <x v="2"/>
    <x v="0"/>
    <x v="2"/>
    <x v="0"/>
    <x v="1"/>
    <x v="1"/>
    <x v="1"/>
    <x v="2"/>
    <x v="1"/>
    <x v="2"/>
    <x v="1"/>
    <x v="2"/>
    <x v="0"/>
    <x v="1"/>
    <x v="7"/>
    <x v="2"/>
    <x v="328"/>
    <x v="12"/>
    <x v="0"/>
    <x v="0"/>
    <x v="1"/>
    <x v="0"/>
    <x v="0"/>
    <x v="0"/>
    <x v="0"/>
  </r>
  <r>
    <x v="668"/>
    <x v="327"/>
    <x v="327"/>
    <x v="322"/>
    <x v="529"/>
    <x v="1"/>
    <x v="2"/>
    <x v="341"/>
    <x v="269"/>
    <x v="1"/>
    <x v="136"/>
    <x v="0"/>
    <x v="0"/>
    <x v="1"/>
    <x v="3"/>
    <x v="3"/>
    <x v="2"/>
    <x v="1"/>
    <x v="3"/>
    <x v="2"/>
    <x v="1"/>
    <x v="152"/>
    <x v="1"/>
    <x v="7"/>
    <x v="2"/>
    <x v="329"/>
    <x v="1"/>
    <x v="1"/>
    <x v="1"/>
    <x v="2"/>
    <x v="1"/>
    <x v="393"/>
    <x v="198"/>
    <x v="0"/>
  </r>
  <r>
    <x v="669"/>
    <x v="328"/>
    <x v="328"/>
    <x v="323"/>
    <x v="530"/>
    <x v="1"/>
    <x v="2"/>
    <x v="342"/>
    <x v="270"/>
    <x v="1"/>
    <x v="15"/>
    <x v="0"/>
    <x v="0"/>
    <x v="1"/>
    <x v="1"/>
    <x v="1"/>
    <x v="2"/>
    <x v="1"/>
    <x v="2"/>
    <x v="1"/>
    <x v="2"/>
    <x v="0"/>
    <x v="1"/>
    <x v="1"/>
    <x v="2"/>
    <x v="330"/>
    <x v="12"/>
    <x v="0"/>
    <x v="0"/>
    <x v="1"/>
    <x v="0"/>
    <x v="0"/>
    <x v="0"/>
    <x v="0"/>
  </r>
  <r>
    <x v="670"/>
    <x v="312"/>
    <x v="313"/>
    <x v="308"/>
    <x v="531"/>
    <x v="3"/>
    <x v="2"/>
    <x v="326"/>
    <x v="271"/>
    <x v="1"/>
    <x v="9"/>
    <x v="0"/>
    <x v="0"/>
    <x v="3"/>
    <x v="1"/>
    <x v="1"/>
    <x v="2"/>
    <x v="1"/>
    <x v="3"/>
    <x v="1"/>
    <x v="2"/>
    <x v="0"/>
    <x v="1"/>
    <x v="3"/>
    <x v="4"/>
    <x v="314"/>
    <x v="1"/>
    <x v="0"/>
    <x v="0"/>
    <x v="1"/>
    <x v="0"/>
    <x v="0"/>
    <x v="0"/>
    <x v="215"/>
  </r>
  <r>
    <x v="671"/>
    <x v="329"/>
    <x v="329"/>
    <x v="324"/>
    <x v="532"/>
    <x v="1"/>
    <x v="2"/>
    <x v="343"/>
    <x v="272"/>
    <x v="1"/>
    <x v="137"/>
    <x v="0"/>
    <x v="0"/>
    <x v="1"/>
    <x v="1"/>
    <x v="1"/>
    <x v="2"/>
    <x v="1"/>
    <x v="3"/>
    <x v="1"/>
    <x v="2"/>
    <x v="0"/>
    <x v="1"/>
    <x v="6"/>
    <x v="3"/>
    <x v="331"/>
    <x v="5"/>
    <x v="0"/>
    <x v="0"/>
    <x v="1"/>
    <x v="0"/>
    <x v="0"/>
    <x v="0"/>
    <x v="0"/>
  </r>
  <r>
    <x v="672"/>
    <x v="327"/>
    <x v="327"/>
    <x v="322"/>
    <x v="533"/>
    <x v="1"/>
    <x v="1"/>
    <x v="341"/>
    <x v="269"/>
    <x v="1"/>
    <x v="15"/>
    <x v="0"/>
    <x v="0"/>
    <x v="3"/>
    <x v="1"/>
    <x v="1"/>
    <x v="2"/>
    <x v="1"/>
    <x v="2"/>
    <x v="1"/>
    <x v="2"/>
    <x v="0"/>
    <x v="2"/>
    <x v="3"/>
    <x v="4"/>
    <x v="329"/>
    <x v="5"/>
    <x v="0"/>
    <x v="0"/>
    <x v="1"/>
    <x v="0"/>
    <x v="0"/>
    <x v="0"/>
    <x v="0"/>
  </r>
  <r>
    <x v="673"/>
    <x v="330"/>
    <x v="330"/>
    <x v="325"/>
    <x v="534"/>
    <x v="1"/>
    <x v="1"/>
    <x v="344"/>
    <x v="196"/>
    <x v="6"/>
    <x v="0"/>
    <x v="0"/>
    <x v="15"/>
    <x v="1"/>
    <x v="1"/>
    <x v="1"/>
    <x v="2"/>
    <x v="1"/>
    <x v="2"/>
    <x v="1"/>
    <x v="1"/>
    <x v="153"/>
    <x v="1"/>
    <x v="6"/>
    <x v="3"/>
    <x v="332"/>
    <x v="5"/>
    <x v="3"/>
    <x v="0"/>
    <x v="1"/>
    <x v="0"/>
    <x v="394"/>
    <x v="199"/>
    <x v="0"/>
  </r>
  <r>
    <x v="674"/>
    <x v="331"/>
    <x v="331"/>
    <x v="326"/>
    <x v="535"/>
    <x v="3"/>
    <x v="2"/>
    <x v="345"/>
    <x v="273"/>
    <x v="1"/>
    <x v="15"/>
    <x v="0"/>
    <x v="0"/>
    <x v="1"/>
    <x v="1"/>
    <x v="1"/>
    <x v="2"/>
    <x v="1"/>
    <x v="3"/>
    <x v="1"/>
    <x v="1"/>
    <x v="152"/>
    <x v="2"/>
    <x v="4"/>
    <x v="2"/>
    <x v="333"/>
    <x v="1"/>
    <x v="1"/>
    <x v="4"/>
    <x v="2"/>
    <x v="1"/>
    <x v="395"/>
    <x v="0"/>
    <x v="0"/>
  </r>
  <r>
    <x v="675"/>
    <x v="331"/>
    <x v="331"/>
    <x v="326"/>
    <x v="536"/>
    <x v="3"/>
    <x v="2"/>
    <x v="346"/>
    <x v="273"/>
    <x v="2"/>
    <x v="0"/>
    <x v="6"/>
    <x v="0"/>
    <x v="3"/>
    <x v="3"/>
    <x v="3"/>
    <x v="2"/>
    <x v="1"/>
    <x v="3"/>
    <x v="1"/>
    <x v="1"/>
    <x v="153"/>
    <x v="2"/>
    <x v="3"/>
    <x v="4"/>
    <x v="333"/>
    <x v="1"/>
    <x v="1"/>
    <x v="4"/>
    <x v="2"/>
    <x v="1"/>
    <x v="396"/>
    <x v="0"/>
    <x v="0"/>
  </r>
  <r>
    <x v="676"/>
    <x v="332"/>
    <x v="332"/>
    <x v="327"/>
    <x v="537"/>
    <x v="1"/>
    <x v="2"/>
    <x v="347"/>
    <x v="274"/>
    <x v="1"/>
    <x v="22"/>
    <x v="0"/>
    <x v="0"/>
    <x v="1"/>
    <x v="1"/>
    <x v="2"/>
    <x v="2"/>
    <x v="1"/>
    <x v="2"/>
    <x v="1"/>
    <x v="1"/>
    <x v="154"/>
    <x v="1"/>
    <x v="6"/>
    <x v="2"/>
    <x v="334"/>
    <x v="12"/>
    <x v="3"/>
    <x v="0"/>
    <x v="1"/>
    <x v="0"/>
    <x v="397"/>
    <x v="200"/>
    <x v="216"/>
  </r>
  <r>
    <x v="677"/>
    <x v="331"/>
    <x v="331"/>
    <x v="326"/>
    <x v="538"/>
    <x v="3"/>
    <x v="2"/>
    <x v="346"/>
    <x v="273"/>
    <x v="1"/>
    <x v="15"/>
    <x v="0"/>
    <x v="0"/>
    <x v="3"/>
    <x v="1"/>
    <x v="1"/>
    <x v="2"/>
    <x v="1"/>
    <x v="3"/>
    <x v="1"/>
    <x v="2"/>
    <x v="0"/>
    <x v="2"/>
    <x v="3"/>
    <x v="4"/>
    <x v="333"/>
    <x v="1"/>
    <x v="0"/>
    <x v="0"/>
    <x v="1"/>
    <x v="0"/>
    <x v="0"/>
    <x v="0"/>
    <x v="0"/>
  </r>
  <r>
    <x v="678"/>
    <x v="333"/>
    <x v="333"/>
    <x v="328"/>
    <x v="539"/>
    <x v="3"/>
    <x v="2"/>
    <x v="348"/>
    <x v="275"/>
    <x v="1"/>
    <x v="22"/>
    <x v="0"/>
    <x v="0"/>
    <x v="1"/>
    <x v="3"/>
    <x v="3"/>
    <x v="2"/>
    <x v="1"/>
    <x v="3"/>
    <x v="1"/>
    <x v="1"/>
    <x v="154"/>
    <x v="1"/>
    <x v="6"/>
    <x v="2"/>
    <x v="335"/>
    <x v="1"/>
    <x v="3"/>
    <x v="0"/>
    <x v="1"/>
    <x v="0"/>
    <x v="398"/>
    <x v="0"/>
    <x v="217"/>
  </r>
  <r>
    <x v="679"/>
    <x v="334"/>
    <x v="334"/>
    <x v="329"/>
    <x v="540"/>
    <x v="3"/>
    <x v="2"/>
    <x v="349"/>
    <x v="276"/>
    <x v="2"/>
    <x v="0"/>
    <x v="2"/>
    <x v="0"/>
    <x v="1"/>
    <x v="1"/>
    <x v="1"/>
    <x v="2"/>
    <x v="1"/>
    <x v="2"/>
    <x v="1"/>
    <x v="1"/>
    <x v="154"/>
    <x v="1"/>
    <x v="6"/>
    <x v="2"/>
    <x v="336"/>
    <x v="12"/>
    <x v="3"/>
    <x v="0"/>
    <x v="1"/>
    <x v="0"/>
    <x v="0"/>
    <x v="201"/>
    <x v="218"/>
  </r>
  <r>
    <x v="680"/>
    <x v="335"/>
    <x v="335"/>
    <x v="330"/>
    <x v="541"/>
    <x v="1"/>
    <x v="2"/>
    <x v="350"/>
    <x v="269"/>
    <x v="1"/>
    <x v="33"/>
    <x v="0"/>
    <x v="0"/>
    <x v="1"/>
    <x v="3"/>
    <x v="3"/>
    <x v="1"/>
    <x v="1"/>
    <x v="2"/>
    <x v="1"/>
    <x v="1"/>
    <x v="155"/>
    <x v="1"/>
    <x v="4"/>
    <x v="2"/>
    <x v="337"/>
    <x v="12"/>
    <x v="1"/>
    <x v="12"/>
    <x v="2"/>
    <x v="1"/>
    <x v="0"/>
    <x v="0"/>
    <x v="0"/>
  </r>
  <r>
    <x v="681"/>
    <x v="193"/>
    <x v="191"/>
    <x v="189"/>
    <x v="542"/>
    <x v="1"/>
    <x v="2"/>
    <x v="202"/>
    <x v="165"/>
    <x v="1"/>
    <x v="79"/>
    <x v="0"/>
    <x v="0"/>
    <x v="1"/>
    <x v="1"/>
    <x v="1"/>
    <x v="2"/>
    <x v="1"/>
    <x v="2"/>
    <x v="1"/>
    <x v="2"/>
    <x v="0"/>
    <x v="1"/>
    <x v="1"/>
    <x v="2"/>
    <x v="191"/>
    <x v="3"/>
    <x v="0"/>
    <x v="0"/>
    <x v="1"/>
    <x v="0"/>
    <x v="0"/>
    <x v="0"/>
    <x v="0"/>
  </r>
  <r>
    <x v="682"/>
    <x v="336"/>
    <x v="336"/>
    <x v="331"/>
    <x v="543"/>
    <x v="1"/>
    <x v="2"/>
    <x v="351"/>
    <x v="251"/>
    <x v="1"/>
    <x v="4"/>
    <x v="0"/>
    <x v="0"/>
    <x v="1"/>
    <x v="3"/>
    <x v="3"/>
    <x v="2"/>
    <x v="1"/>
    <x v="2"/>
    <x v="1"/>
    <x v="1"/>
    <x v="155"/>
    <x v="1"/>
    <x v="1"/>
    <x v="2"/>
    <x v="338"/>
    <x v="12"/>
    <x v="1"/>
    <x v="5"/>
    <x v="2"/>
    <x v="1"/>
    <x v="399"/>
    <x v="0"/>
    <x v="0"/>
  </r>
  <r>
    <x v="683"/>
    <x v="337"/>
    <x v="337"/>
    <x v="332"/>
    <x v="544"/>
    <x v="3"/>
    <x v="2"/>
    <x v="352"/>
    <x v="277"/>
    <x v="1"/>
    <x v="138"/>
    <x v="0"/>
    <x v="0"/>
    <x v="1"/>
    <x v="3"/>
    <x v="2"/>
    <x v="2"/>
    <x v="1"/>
    <x v="2"/>
    <x v="1"/>
    <x v="1"/>
    <x v="156"/>
    <x v="1"/>
    <x v="2"/>
    <x v="3"/>
    <x v="339"/>
    <x v="2"/>
    <x v="1"/>
    <x v="4"/>
    <x v="2"/>
    <x v="1"/>
    <x v="400"/>
    <x v="0"/>
    <x v="0"/>
  </r>
  <r>
    <x v="684"/>
    <x v="335"/>
    <x v="335"/>
    <x v="330"/>
    <x v="545"/>
    <x v="1"/>
    <x v="2"/>
    <x v="350"/>
    <x v="269"/>
    <x v="1"/>
    <x v="33"/>
    <x v="0"/>
    <x v="0"/>
    <x v="3"/>
    <x v="1"/>
    <x v="1"/>
    <x v="2"/>
    <x v="1"/>
    <x v="3"/>
    <x v="1"/>
    <x v="1"/>
    <x v="157"/>
    <x v="1"/>
    <x v="3"/>
    <x v="4"/>
    <x v="337"/>
    <x v="11"/>
    <x v="1"/>
    <x v="1"/>
    <x v="2"/>
    <x v="1"/>
    <x v="401"/>
    <x v="0"/>
    <x v="0"/>
  </r>
  <r>
    <x v="685"/>
    <x v="338"/>
    <x v="338"/>
    <x v="333"/>
    <x v="546"/>
    <x v="1"/>
    <x v="2"/>
    <x v="353"/>
    <x v="278"/>
    <x v="1"/>
    <x v="139"/>
    <x v="0"/>
    <x v="0"/>
    <x v="1"/>
    <x v="3"/>
    <x v="2"/>
    <x v="2"/>
    <x v="1"/>
    <x v="1"/>
    <x v="1"/>
    <x v="1"/>
    <x v="156"/>
    <x v="1"/>
    <x v="1"/>
    <x v="2"/>
    <x v="340"/>
    <x v="1"/>
    <x v="1"/>
    <x v="1"/>
    <x v="2"/>
    <x v="1"/>
    <x v="0"/>
    <x v="0"/>
    <x v="0"/>
  </r>
  <r>
    <x v="686"/>
    <x v="336"/>
    <x v="336"/>
    <x v="331"/>
    <x v="547"/>
    <x v="1"/>
    <x v="2"/>
    <x v="351"/>
    <x v="251"/>
    <x v="2"/>
    <x v="0"/>
    <x v="2"/>
    <x v="0"/>
    <x v="3"/>
    <x v="1"/>
    <x v="1"/>
    <x v="2"/>
    <x v="1"/>
    <x v="1"/>
    <x v="1"/>
    <x v="2"/>
    <x v="0"/>
    <x v="1"/>
    <x v="3"/>
    <x v="4"/>
    <x v="338"/>
    <x v="2"/>
    <x v="0"/>
    <x v="0"/>
    <x v="1"/>
    <x v="0"/>
    <x v="0"/>
    <x v="0"/>
    <x v="0"/>
  </r>
  <r>
    <x v="687"/>
    <x v="339"/>
    <x v="339"/>
    <x v="334"/>
    <x v="548"/>
    <x v="1"/>
    <x v="2"/>
    <x v="354"/>
    <x v="279"/>
    <x v="1"/>
    <x v="140"/>
    <x v="0"/>
    <x v="0"/>
    <x v="1"/>
    <x v="1"/>
    <x v="1"/>
    <x v="2"/>
    <x v="1"/>
    <x v="3"/>
    <x v="1"/>
    <x v="2"/>
    <x v="0"/>
    <x v="1"/>
    <x v="1"/>
    <x v="2"/>
    <x v="341"/>
    <x v="11"/>
    <x v="0"/>
    <x v="0"/>
    <x v="1"/>
    <x v="0"/>
    <x v="0"/>
    <x v="0"/>
    <x v="0"/>
  </r>
  <r>
    <x v="688"/>
    <x v="340"/>
    <x v="340"/>
    <x v="335"/>
    <x v="549"/>
    <x v="1"/>
    <x v="2"/>
    <x v="355"/>
    <x v="280"/>
    <x v="1"/>
    <x v="15"/>
    <x v="0"/>
    <x v="0"/>
    <x v="1"/>
    <x v="1"/>
    <x v="1"/>
    <x v="1"/>
    <x v="1"/>
    <x v="3"/>
    <x v="1"/>
    <x v="1"/>
    <x v="158"/>
    <x v="1"/>
    <x v="5"/>
    <x v="2"/>
    <x v="342"/>
    <x v="5"/>
    <x v="3"/>
    <x v="0"/>
    <x v="1"/>
    <x v="0"/>
    <x v="402"/>
    <x v="202"/>
    <x v="219"/>
  </r>
  <r>
    <x v="689"/>
    <x v="338"/>
    <x v="338"/>
    <x v="333"/>
    <x v="550"/>
    <x v="1"/>
    <x v="2"/>
    <x v="353"/>
    <x v="281"/>
    <x v="1"/>
    <x v="139"/>
    <x v="0"/>
    <x v="0"/>
    <x v="3"/>
    <x v="1"/>
    <x v="1"/>
    <x v="2"/>
    <x v="1"/>
    <x v="2"/>
    <x v="1"/>
    <x v="2"/>
    <x v="0"/>
    <x v="1"/>
    <x v="3"/>
    <x v="4"/>
    <x v="340"/>
    <x v="5"/>
    <x v="0"/>
    <x v="0"/>
    <x v="1"/>
    <x v="0"/>
    <x v="0"/>
    <x v="0"/>
    <x v="0"/>
  </r>
  <r>
    <x v="690"/>
    <x v="337"/>
    <x v="337"/>
    <x v="332"/>
    <x v="551"/>
    <x v="3"/>
    <x v="2"/>
    <x v="352"/>
    <x v="231"/>
    <x v="1"/>
    <x v="22"/>
    <x v="0"/>
    <x v="0"/>
    <x v="3"/>
    <x v="4"/>
    <x v="1"/>
    <x v="2"/>
    <x v="1"/>
    <x v="2"/>
    <x v="1"/>
    <x v="2"/>
    <x v="0"/>
    <x v="2"/>
    <x v="3"/>
    <x v="4"/>
    <x v="339"/>
    <x v="1"/>
    <x v="0"/>
    <x v="0"/>
    <x v="1"/>
    <x v="0"/>
    <x v="0"/>
    <x v="0"/>
    <x v="0"/>
  </r>
  <r>
    <x v="691"/>
    <x v="341"/>
    <x v="341"/>
    <x v="336"/>
    <x v="552"/>
    <x v="1"/>
    <x v="2"/>
    <x v="356"/>
    <x v="210"/>
    <x v="1"/>
    <x v="9"/>
    <x v="0"/>
    <x v="0"/>
    <x v="1"/>
    <x v="3"/>
    <x v="2"/>
    <x v="2"/>
    <x v="1"/>
    <x v="2"/>
    <x v="1"/>
    <x v="1"/>
    <x v="157"/>
    <x v="1"/>
    <x v="1"/>
    <x v="2"/>
    <x v="343"/>
    <x v="1"/>
    <x v="3"/>
    <x v="0"/>
    <x v="1"/>
    <x v="0"/>
    <x v="403"/>
    <x v="203"/>
    <x v="0"/>
  </r>
  <r>
    <x v="692"/>
    <x v="335"/>
    <x v="335"/>
    <x v="330"/>
    <x v="553"/>
    <x v="1"/>
    <x v="2"/>
    <x v="350"/>
    <x v="269"/>
    <x v="1"/>
    <x v="33"/>
    <x v="0"/>
    <x v="0"/>
    <x v="3"/>
    <x v="1"/>
    <x v="1"/>
    <x v="2"/>
    <x v="1"/>
    <x v="2"/>
    <x v="1"/>
    <x v="1"/>
    <x v="158"/>
    <x v="1"/>
    <x v="3"/>
    <x v="4"/>
    <x v="337"/>
    <x v="5"/>
    <x v="1"/>
    <x v="4"/>
    <x v="2"/>
    <x v="1"/>
    <x v="404"/>
    <x v="204"/>
    <x v="220"/>
  </r>
  <r>
    <x v="693"/>
    <x v="308"/>
    <x v="309"/>
    <x v="304"/>
    <x v="554"/>
    <x v="1"/>
    <x v="2"/>
    <x v="322"/>
    <x v="163"/>
    <x v="1"/>
    <x v="3"/>
    <x v="0"/>
    <x v="0"/>
    <x v="1"/>
    <x v="1"/>
    <x v="1"/>
    <x v="2"/>
    <x v="1"/>
    <x v="2"/>
    <x v="1"/>
    <x v="1"/>
    <x v="157"/>
    <x v="1"/>
    <x v="1"/>
    <x v="2"/>
    <x v="310"/>
    <x v="5"/>
    <x v="3"/>
    <x v="0"/>
    <x v="1"/>
    <x v="0"/>
    <x v="405"/>
    <x v="0"/>
    <x v="221"/>
  </r>
  <r>
    <x v="694"/>
    <x v="342"/>
    <x v="342"/>
    <x v="337"/>
    <x v="555"/>
    <x v="3"/>
    <x v="1"/>
    <x v="357"/>
    <x v="196"/>
    <x v="6"/>
    <x v="0"/>
    <x v="0"/>
    <x v="16"/>
    <x v="1"/>
    <x v="1"/>
    <x v="1"/>
    <x v="2"/>
    <x v="1"/>
    <x v="3"/>
    <x v="1"/>
    <x v="1"/>
    <x v="159"/>
    <x v="1"/>
    <x v="1"/>
    <x v="2"/>
    <x v="344"/>
    <x v="1"/>
    <x v="3"/>
    <x v="0"/>
    <x v="1"/>
    <x v="0"/>
    <x v="406"/>
    <x v="205"/>
    <x v="222"/>
  </r>
  <r>
    <x v="695"/>
    <x v="308"/>
    <x v="309"/>
    <x v="304"/>
    <x v="556"/>
    <x v="1"/>
    <x v="1"/>
    <x v="322"/>
    <x v="282"/>
    <x v="2"/>
    <x v="0"/>
    <x v="5"/>
    <x v="0"/>
    <x v="1"/>
    <x v="3"/>
    <x v="3"/>
    <x v="2"/>
    <x v="1"/>
    <x v="2"/>
    <x v="1"/>
    <x v="1"/>
    <x v="159"/>
    <x v="1"/>
    <x v="5"/>
    <x v="2"/>
    <x v="310"/>
    <x v="12"/>
    <x v="3"/>
    <x v="0"/>
    <x v="1"/>
    <x v="0"/>
    <x v="407"/>
    <x v="206"/>
    <x v="223"/>
  </r>
  <r>
    <x v="696"/>
    <x v="339"/>
    <x v="339"/>
    <x v="334"/>
    <x v="557"/>
    <x v="1"/>
    <x v="2"/>
    <x v="354"/>
    <x v="279"/>
    <x v="1"/>
    <x v="33"/>
    <x v="0"/>
    <x v="0"/>
    <x v="1"/>
    <x v="3"/>
    <x v="2"/>
    <x v="2"/>
    <x v="1"/>
    <x v="3"/>
    <x v="1"/>
    <x v="1"/>
    <x v="158"/>
    <x v="1"/>
    <x v="1"/>
    <x v="2"/>
    <x v="341"/>
    <x v="2"/>
    <x v="3"/>
    <x v="0"/>
    <x v="1"/>
    <x v="0"/>
    <x v="408"/>
    <x v="207"/>
    <x v="224"/>
  </r>
  <r>
    <x v="697"/>
    <x v="273"/>
    <x v="274"/>
    <x v="269"/>
    <x v="558"/>
    <x v="1"/>
    <x v="3"/>
    <x v="284"/>
    <x v="27"/>
    <x v="1"/>
    <x v="9"/>
    <x v="0"/>
    <x v="0"/>
    <x v="1"/>
    <x v="5"/>
    <x v="1"/>
    <x v="1"/>
    <x v="1"/>
    <x v="2"/>
    <x v="1"/>
    <x v="1"/>
    <x v="158"/>
    <x v="1"/>
    <x v="1"/>
    <x v="2"/>
    <x v="274"/>
    <x v="2"/>
    <x v="3"/>
    <x v="0"/>
    <x v="1"/>
    <x v="0"/>
    <x v="409"/>
    <x v="208"/>
    <x v="225"/>
  </r>
  <r>
    <x v="698"/>
    <x v="314"/>
    <x v="315"/>
    <x v="310"/>
    <x v="559"/>
    <x v="3"/>
    <x v="2"/>
    <x v="328"/>
    <x v="259"/>
    <x v="6"/>
    <x v="0"/>
    <x v="0"/>
    <x v="1"/>
    <x v="1"/>
    <x v="1"/>
    <x v="2"/>
    <x v="1"/>
    <x v="1"/>
    <x v="2"/>
    <x v="1"/>
    <x v="1"/>
    <x v="158"/>
    <x v="2"/>
    <x v="5"/>
    <x v="2"/>
    <x v="316"/>
    <x v="12"/>
    <x v="3"/>
    <x v="0"/>
    <x v="1"/>
    <x v="0"/>
    <x v="410"/>
    <x v="209"/>
    <x v="226"/>
  </r>
  <r>
    <x v="699"/>
    <x v="343"/>
    <x v="343"/>
    <x v="338"/>
    <x v="560"/>
    <x v="3"/>
    <x v="2"/>
    <x v="358"/>
    <x v="283"/>
    <x v="1"/>
    <x v="15"/>
    <x v="0"/>
    <x v="0"/>
    <x v="1"/>
    <x v="3"/>
    <x v="3"/>
    <x v="2"/>
    <x v="1"/>
    <x v="2"/>
    <x v="1"/>
    <x v="1"/>
    <x v="160"/>
    <x v="1"/>
    <x v="6"/>
    <x v="3"/>
    <x v="345"/>
    <x v="5"/>
    <x v="1"/>
    <x v="1"/>
    <x v="1"/>
    <x v="0"/>
    <x v="411"/>
    <x v="210"/>
    <x v="227"/>
  </r>
  <r>
    <x v="700"/>
    <x v="344"/>
    <x v="344"/>
    <x v="339"/>
    <x v="561"/>
    <x v="1"/>
    <x v="2"/>
    <x v="359"/>
    <x v="284"/>
    <x v="1"/>
    <x v="15"/>
    <x v="0"/>
    <x v="0"/>
    <x v="1"/>
    <x v="1"/>
    <x v="1"/>
    <x v="2"/>
    <x v="1"/>
    <x v="3"/>
    <x v="1"/>
    <x v="1"/>
    <x v="161"/>
    <x v="1"/>
    <x v="6"/>
    <x v="2"/>
    <x v="346"/>
    <x v="1"/>
    <x v="3"/>
    <x v="0"/>
    <x v="1"/>
    <x v="0"/>
    <x v="412"/>
    <x v="211"/>
    <x v="0"/>
  </r>
  <r>
    <x v="701"/>
    <x v="345"/>
    <x v="345"/>
    <x v="340"/>
    <x v="562"/>
    <x v="3"/>
    <x v="2"/>
    <x v="360"/>
    <x v="10"/>
    <x v="1"/>
    <x v="136"/>
    <x v="0"/>
    <x v="0"/>
    <x v="1"/>
    <x v="3"/>
    <x v="3"/>
    <x v="2"/>
    <x v="1"/>
    <x v="3"/>
    <x v="1"/>
    <x v="1"/>
    <x v="160"/>
    <x v="1"/>
    <x v="6"/>
    <x v="2"/>
    <x v="347"/>
    <x v="1"/>
    <x v="1"/>
    <x v="1"/>
    <x v="2"/>
    <x v="1"/>
    <x v="413"/>
    <x v="212"/>
    <x v="228"/>
  </r>
  <r>
    <x v="702"/>
    <x v="346"/>
    <x v="346"/>
    <x v="341"/>
    <x v="563"/>
    <x v="1"/>
    <x v="2"/>
    <x v="215"/>
    <x v="285"/>
    <x v="1"/>
    <x v="36"/>
    <x v="0"/>
    <x v="0"/>
    <x v="1"/>
    <x v="3"/>
    <x v="3"/>
    <x v="1"/>
    <x v="1"/>
    <x v="2"/>
    <x v="1"/>
    <x v="1"/>
    <x v="161"/>
    <x v="1"/>
    <x v="1"/>
    <x v="13"/>
    <x v="348"/>
    <x v="12"/>
    <x v="3"/>
    <x v="0"/>
    <x v="1"/>
    <x v="0"/>
    <x v="414"/>
    <x v="213"/>
    <x v="229"/>
  </r>
  <r>
    <x v="703"/>
    <x v="347"/>
    <x v="347"/>
    <x v="342"/>
    <x v="564"/>
    <x v="3"/>
    <x v="1"/>
    <x v="361"/>
    <x v="199"/>
    <x v="1"/>
    <x v="31"/>
    <x v="0"/>
    <x v="0"/>
    <x v="1"/>
    <x v="1"/>
    <x v="1"/>
    <x v="1"/>
    <x v="1"/>
    <x v="2"/>
    <x v="1"/>
    <x v="2"/>
    <x v="0"/>
    <x v="1"/>
    <x v="1"/>
    <x v="2"/>
    <x v="349"/>
    <x v="12"/>
    <x v="0"/>
    <x v="0"/>
    <x v="1"/>
    <x v="0"/>
    <x v="0"/>
    <x v="0"/>
    <x v="0"/>
  </r>
  <r>
    <x v="704"/>
    <x v="335"/>
    <x v="335"/>
    <x v="330"/>
    <x v="565"/>
    <x v="1"/>
    <x v="2"/>
    <x v="350"/>
    <x v="269"/>
    <x v="1"/>
    <x v="33"/>
    <x v="0"/>
    <x v="0"/>
    <x v="3"/>
    <x v="1"/>
    <x v="1"/>
    <x v="2"/>
    <x v="1"/>
    <x v="3"/>
    <x v="1"/>
    <x v="1"/>
    <x v="162"/>
    <x v="1"/>
    <x v="3"/>
    <x v="4"/>
    <x v="337"/>
    <x v="1"/>
    <x v="1"/>
    <x v="1"/>
    <x v="1"/>
    <x v="0"/>
    <x v="415"/>
    <x v="214"/>
    <x v="230"/>
  </r>
  <r>
    <x v="705"/>
    <x v="348"/>
    <x v="348"/>
    <x v="343"/>
    <x v="566"/>
    <x v="1"/>
    <x v="1"/>
    <x v="362"/>
    <x v="286"/>
    <x v="1"/>
    <x v="3"/>
    <x v="0"/>
    <x v="0"/>
    <x v="2"/>
    <x v="3"/>
    <x v="2"/>
    <x v="2"/>
    <x v="1"/>
    <x v="3"/>
    <x v="1"/>
    <x v="2"/>
    <x v="0"/>
    <x v="3"/>
    <x v="1"/>
    <x v="2"/>
    <x v="350"/>
    <x v="12"/>
    <x v="0"/>
    <x v="0"/>
    <x v="1"/>
    <x v="0"/>
    <x v="0"/>
    <x v="0"/>
    <x v="231"/>
  </r>
  <r>
    <x v="706"/>
    <x v="349"/>
    <x v="349"/>
    <x v="344"/>
    <x v="567"/>
    <x v="1"/>
    <x v="2"/>
    <x v="363"/>
    <x v="261"/>
    <x v="2"/>
    <x v="0"/>
    <x v="6"/>
    <x v="0"/>
    <x v="1"/>
    <x v="3"/>
    <x v="3"/>
    <x v="2"/>
    <x v="1"/>
    <x v="2"/>
    <x v="1"/>
    <x v="1"/>
    <x v="161"/>
    <x v="1"/>
    <x v="5"/>
    <x v="2"/>
    <x v="351"/>
    <x v="12"/>
    <x v="3"/>
    <x v="0"/>
    <x v="1"/>
    <x v="0"/>
    <x v="416"/>
    <x v="215"/>
    <x v="0"/>
  </r>
  <r>
    <x v="707"/>
    <x v="345"/>
    <x v="345"/>
    <x v="340"/>
    <x v="568"/>
    <x v="3"/>
    <x v="2"/>
    <x v="360"/>
    <x v="10"/>
    <x v="1"/>
    <x v="29"/>
    <x v="0"/>
    <x v="0"/>
    <x v="3"/>
    <x v="3"/>
    <x v="2"/>
    <x v="2"/>
    <x v="1"/>
    <x v="3"/>
    <x v="1"/>
    <x v="1"/>
    <x v="163"/>
    <x v="1"/>
    <x v="3"/>
    <x v="4"/>
    <x v="347"/>
    <x v="5"/>
    <x v="3"/>
    <x v="0"/>
    <x v="1"/>
    <x v="0"/>
    <x v="417"/>
    <x v="0"/>
    <x v="232"/>
  </r>
  <r>
    <x v="708"/>
    <x v="350"/>
    <x v="350"/>
    <x v="345"/>
    <x v="569"/>
    <x v="1"/>
    <x v="2"/>
    <x v="364"/>
    <x v="287"/>
    <x v="1"/>
    <x v="24"/>
    <x v="0"/>
    <x v="0"/>
    <x v="1"/>
    <x v="3"/>
    <x v="3"/>
    <x v="2"/>
    <x v="1"/>
    <x v="2"/>
    <x v="1"/>
    <x v="1"/>
    <x v="162"/>
    <x v="1"/>
    <x v="1"/>
    <x v="2"/>
    <x v="352"/>
    <x v="11"/>
    <x v="3"/>
    <x v="0"/>
    <x v="1"/>
    <x v="0"/>
    <x v="418"/>
    <x v="216"/>
    <x v="0"/>
  </r>
  <r>
    <x v="709"/>
    <x v="343"/>
    <x v="343"/>
    <x v="338"/>
    <x v="0"/>
    <x v="3"/>
    <x v="2"/>
    <x v="358"/>
    <x v="288"/>
    <x v="1"/>
    <x v="15"/>
    <x v="0"/>
    <x v="0"/>
    <x v="3"/>
    <x v="1"/>
    <x v="1"/>
    <x v="2"/>
    <x v="1"/>
    <x v="2"/>
    <x v="1"/>
    <x v="1"/>
    <x v="164"/>
    <x v="2"/>
    <x v="3"/>
    <x v="4"/>
    <x v="345"/>
    <x v="5"/>
    <x v="1"/>
    <x v="3"/>
    <x v="2"/>
    <x v="1"/>
    <x v="419"/>
    <x v="0"/>
    <x v="232"/>
  </r>
  <r>
    <x v="710"/>
    <x v="335"/>
    <x v="335"/>
    <x v="330"/>
    <x v="0"/>
    <x v="1"/>
    <x v="2"/>
    <x v="350"/>
    <x v="269"/>
    <x v="1"/>
    <x v="33"/>
    <x v="0"/>
    <x v="0"/>
    <x v="3"/>
    <x v="1"/>
    <x v="1"/>
    <x v="2"/>
    <x v="1"/>
    <x v="3"/>
    <x v="1"/>
    <x v="2"/>
    <x v="0"/>
    <x v="2"/>
    <x v="3"/>
    <x v="4"/>
    <x v="337"/>
    <x v="5"/>
    <x v="0"/>
    <x v="0"/>
    <x v="1"/>
    <x v="0"/>
    <x v="0"/>
    <x v="0"/>
    <x v="0"/>
  </r>
  <r>
    <x v="711"/>
    <x v="351"/>
    <x v="351"/>
    <x v="346"/>
    <x v="570"/>
    <x v="1"/>
    <x v="2"/>
    <x v="365"/>
    <x v="10"/>
    <x v="2"/>
    <x v="0"/>
    <x v="2"/>
    <x v="0"/>
    <x v="1"/>
    <x v="1"/>
    <x v="1"/>
    <x v="2"/>
    <x v="1"/>
    <x v="2"/>
    <x v="1"/>
    <x v="1"/>
    <x v="163"/>
    <x v="1"/>
    <x v="6"/>
    <x v="2"/>
    <x v="353"/>
    <x v="5"/>
    <x v="3"/>
    <x v="0"/>
    <x v="1"/>
    <x v="0"/>
    <x v="420"/>
    <x v="0"/>
    <x v="0"/>
  </r>
  <r>
    <x v="712"/>
    <x v="352"/>
    <x v="352"/>
    <x v="347"/>
    <x v="571"/>
    <x v="1"/>
    <x v="1"/>
    <x v="366"/>
    <x v="10"/>
    <x v="8"/>
    <x v="0"/>
    <x v="0"/>
    <x v="0"/>
    <x v="1"/>
    <x v="1"/>
    <x v="1"/>
    <x v="2"/>
    <x v="1"/>
    <x v="2"/>
    <x v="1"/>
    <x v="1"/>
    <x v="164"/>
    <x v="1"/>
    <x v="6"/>
    <x v="2"/>
    <x v="354"/>
    <x v="5"/>
    <x v="1"/>
    <x v="3"/>
    <x v="1"/>
    <x v="0"/>
    <x v="421"/>
    <x v="0"/>
    <x v="0"/>
  </r>
  <r>
    <x v="713"/>
    <x v="353"/>
    <x v="353"/>
    <x v="348"/>
    <x v="572"/>
    <x v="1"/>
    <x v="2"/>
    <x v="367"/>
    <x v="216"/>
    <x v="1"/>
    <x v="141"/>
    <x v="0"/>
    <x v="0"/>
    <x v="1"/>
    <x v="1"/>
    <x v="1"/>
    <x v="2"/>
    <x v="1"/>
    <x v="3"/>
    <x v="1"/>
    <x v="2"/>
    <x v="0"/>
    <x v="1"/>
    <x v="6"/>
    <x v="3"/>
    <x v="355"/>
    <x v="5"/>
    <x v="0"/>
    <x v="0"/>
    <x v="1"/>
    <x v="0"/>
    <x v="0"/>
    <x v="0"/>
    <x v="0"/>
  </r>
  <r>
    <x v="714"/>
    <x v="343"/>
    <x v="343"/>
    <x v="338"/>
    <x v="573"/>
    <x v="3"/>
    <x v="2"/>
    <x v="358"/>
    <x v="283"/>
    <x v="1"/>
    <x v="15"/>
    <x v="0"/>
    <x v="0"/>
    <x v="3"/>
    <x v="1"/>
    <x v="1"/>
    <x v="2"/>
    <x v="1"/>
    <x v="1"/>
    <x v="1"/>
    <x v="2"/>
    <x v="0"/>
    <x v="1"/>
    <x v="3"/>
    <x v="4"/>
    <x v="345"/>
    <x v="3"/>
    <x v="0"/>
    <x v="0"/>
    <x v="1"/>
    <x v="0"/>
    <x v="0"/>
    <x v="0"/>
    <x v="0"/>
  </r>
  <r>
    <x v="715"/>
    <x v="352"/>
    <x v="352"/>
    <x v="347"/>
    <x v="0"/>
    <x v="1"/>
    <x v="1"/>
    <x v="366"/>
    <x v="10"/>
    <x v="8"/>
    <x v="0"/>
    <x v="0"/>
    <x v="0"/>
    <x v="3"/>
    <x v="1"/>
    <x v="1"/>
    <x v="2"/>
    <x v="1"/>
    <x v="1"/>
    <x v="1"/>
    <x v="2"/>
    <x v="0"/>
    <x v="2"/>
    <x v="3"/>
    <x v="4"/>
    <x v="354"/>
    <x v="3"/>
    <x v="0"/>
    <x v="0"/>
    <x v="1"/>
    <x v="0"/>
    <x v="0"/>
    <x v="0"/>
    <x v="0"/>
  </r>
  <r>
    <x v="716"/>
    <x v="354"/>
    <x v="354"/>
    <x v="349"/>
    <x v="574"/>
    <x v="1"/>
    <x v="2"/>
    <x v="368"/>
    <x v="10"/>
    <x v="1"/>
    <x v="4"/>
    <x v="0"/>
    <x v="0"/>
    <x v="1"/>
    <x v="1"/>
    <x v="1"/>
    <x v="2"/>
    <x v="1"/>
    <x v="2"/>
    <x v="1"/>
    <x v="1"/>
    <x v="164"/>
    <x v="1"/>
    <x v="6"/>
    <x v="3"/>
    <x v="356"/>
    <x v="3"/>
    <x v="1"/>
    <x v="3"/>
    <x v="1"/>
    <x v="0"/>
    <x v="0"/>
    <x v="0"/>
    <x v="233"/>
  </r>
  <r>
    <x v="717"/>
    <x v="354"/>
    <x v="354"/>
    <x v="349"/>
    <x v="575"/>
    <x v="1"/>
    <x v="2"/>
    <x v="368"/>
    <x v="10"/>
    <x v="1"/>
    <x v="4"/>
    <x v="0"/>
    <x v="0"/>
    <x v="3"/>
    <x v="1"/>
    <x v="1"/>
    <x v="2"/>
    <x v="1"/>
    <x v="2"/>
    <x v="1"/>
    <x v="1"/>
    <x v="165"/>
    <x v="1"/>
    <x v="3"/>
    <x v="4"/>
    <x v="356"/>
    <x v="3"/>
    <x v="1"/>
    <x v="1"/>
    <x v="1"/>
    <x v="0"/>
    <x v="422"/>
    <x v="0"/>
    <x v="0"/>
  </r>
  <r>
    <x v="718"/>
    <x v="354"/>
    <x v="354"/>
    <x v="349"/>
    <x v="0"/>
    <x v="1"/>
    <x v="2"/>
    <x v="368"/>
    <x v="289"/>
    <x v="1"/>
    <x v="4"/>
    <x v="0"/>
    <x v="0"/>
    <x v="3"/>
    <x v="1"/>
    <x v="1"/>
    <x v="2"/>
    <x v="1"/>
    <x v="2"/>
    <x v="1"/>
    <x v="2"/>
    <x v="0"/>
    <x v="2"/>
    <x v="3"/>
    <x v="4"/>
    <x v="356"/>
    <x v="5"/>
    <x v="0"/>
    <x v="0"/>
    <x v="1"/>
    <x v="0"/>
    <x v="0"/>
    <x v="0"/>
    <x v="0"/>
  </r>
  <r>
    <x v="719"/>
    <x v="331"/>
    <x v="331"/>
    <x v="326"/>
    <x v="576"/>
    <x v="3"/>
    <x v="2"/>
    <x v="345"/>
    <x v="273"/>
    <x v="1"/>
    <x v="9"/>
    <x v="0"/>
    <x v="0"/>
    <x v="1"/>
    <x v="2"/>
    <x v="3"/>
    <x v="2"/>
    <x v="1"/>
    <x v="2"/>
    <x v="1"/>
    <x v="1"/>
    <x v="166"/>
    <x v="2"/>
    <x v="6"/>
    <x v="2"/>
    <x v="333"/>
    <x v="5"/>
    <x v="3"/>
    <x v="0"/>
    <x v="1"/>
    <x v="0"/>
    <x v="423"/>
    <x v="217"/>
    <x v="234"/>
  </r>
  <r>
    <x v="720"/>
    <x v="256"/>
    <x v="256"/>
    <x v="252"/>
    <x v="577"/>
    <x v="1"/>
    <x v="2"/>
    <x v="267"/>
    <x v="227"/>
    <x v="1"/>
    <x v="3"/>
    <x v="0"/>
    <x v="0"/>
    <x v="1"/>
    <x v="2"/>
    <x v="3"/>
    <x v="2"/>
    <x v="1"/>
    <x v="2"/>
    <x v="1"/>
    <x v="1"/>
    <x v="167"/>
    <x v="1"/>
    <x v="6"/>
    <x v="3"/>
    <x v="256"/>
    <x v="5"/>
    <x v="1"/>
    <x v="7"/>
    <x v="2"/>
    <x v="1"/>
    <x v="424"/>
    <x v="0"/>
    <x v="235"/>
  </r>
  <r>
    <x v="721"/>
    <x v="256"/>
    <x v="256"/>
    <x v="252"/>
    <x v="578"/>
    <x v="1"/>
    <x v="2"/>
    <x v="267"/>
    <x v="227"/>
    <x v="1"/>
    <x v="3"/>
    <x v="0"/>
    <x v="0"/>
    <x v="3"/>
    <x v="1"/>
    <x v="1"/>
    <x v="2"/>
    <x v="1"/>
    <x v="2"/>
    <x v="1"/>
    <x v="2"/>
    <x v="0"/>
    <x v="1"/>
    <x v="3"/>
    <x v="4"/>
    <x v="256"/>
    <x v="12"/>
    <x v="0"/>
    <x v="0"/>
    <x v="1"/>
    <x v="0"/>
    <x v="0"/>
    <x v="0"/>
    <x v="0"/>
  </r>
  <r>
    <x v="722"/>
    <x v="355"/>
    <x v="355"/>
    <x v="350"/>
    <x v="579"/>
    <x v="1"/>
    <x v="1"/>
    <x v="369"/>
    <x v="290"/>
    <x v="6"/>
    <x v="0"/>
    <x v="0"/>
    <x v="17"/>
    <x v="1"/>
    <x v="3"/>
    <x v="2"/>
    <x v="1"/>
    <x v="1"/>
    <x v="1"/>
    <x v="1"/>
    <x v="1"/>
    <x v="168"/>
    <x v="1"/>
    <x v="1"/>
    <x v="2"/>
    <x v="357"/>
    <x v="12"/>
    <x v="3"/>
    <x v="0"/>
    <x v="1"/>
    <x v="0"/>
    <x v="425"/>
    <x v="218"/>
    <x v="236"/>
  </r>
  <r>
    <x v="723"/>
    <x v="356"/>
    <x v="356"/>
    <x v="351"/>
    <x v="580"/>
    <x v="3"/>
    <x v="2"/>
    <x v="370"/>
    <x v="75"/>
    <x v="1"/>
    <x v="142"/>
    <x v="0"/>
    <x v="0"/>
    <x v="1"/>
    <x v="3"/>
    <x v="2"/>
    <x v="2"/>
    <x v="1"/>
    <x v="3"/>
    <x v="1"/>
    <x v="1"/>
    <x v="168"/>
    <x v="1"/>
    <x v="1"/>
    <x v="2"/>
    <x v="358"/>
    <x v="3"/>
    <x v="3"/>
    <x v="0"/>
    <x v="1"/>
    <x v="0"/>
    <x v="426"/>
    <x v="219"/>
    <x v="0"/>
  </r>
  <r>
    <x v="724"/>
    <x v="209"/>
    <x v="207"/>
    <x v="205"/>
    <x v="581"/>
    <x v="1"/>
    <x v="2"/>
    <x v="218"/>
    <x v="103"/>
    <x v="1"/>
    <x v="143"/>
    <x v="0"/>
    <x v="0"/>
    <x v="1"/>
    <x v="1"/>
    <x v="1"/>
    <x v="1"/>
    <x v="1"/>
    <x v="3"/>
    <x v="1"/>
    <x v="2"/>
    <x v="0"/>
    <x v="1"/>
    <x v="5"/>
    <x v="2"/>
    <x v="209"/>
    <x v="12"/>
    <x v="0"/>
    <x v="0"/>
    <x v="1"/>
    <x v="0"/>
    <x v="0"/>
    <x v="0"/>
    <x v="0"/>
  </r>
  <r>
    <x v="725"/>
    <x v="357"/>
    <x v="357"/>
    <x v="352"/>
    <x v="582"/>
    <x v="1"/>
    <x v="2"/>
    <x v="371"/>
    <x v="125"/>
    <x v="1"/>
    <x v="15"/>
    <x v="0"/>
    <x v="0"/>
    <x v="1"/>
    <x v="3"/>
    <x v="2"/>
    <x v="2"/>
    <x v="1"/>
    <x v="3"/>
    <x v="1"/>
    <x v="1"/>
    <x v="169"/>
    <x v="2"/>
    <x v="1"/>
    <x v="2"/>
    <x v="359"/>
    <x v="11"/>
    <x v="3"/>
    <x v="0"/>
    <x v="1"/>
    <x v="0"/>
    <x v="427"/>
    <x v="0"/>
    <x v="237"/>
  </r>
  <r>
    <x v="726"/>
    <x v="358"/>
    <x v="358"/>
    <x v="353"/>
    <x v="583"/>
    <x v="1"/>
    <x v="1"/>
    <x v="372"/>
    <x v="64"/>
    <x v="1"/>
    <x v="3"/>
    <x v="0"/>
    <x v="0"/>
    <x v="1"/>
    <x v="1"/>
    <x v="1"/>
    <x v="2"/>
    <x v="1"/>
    <x v="2"/>
    <x v="1"/>
    <x v="1"/>
    <x v="168"/>
    <x v="2"/>
    <x v="5"/>
    <x v="2"/>
    <x v="360"/>
    <x v="1"/>
    <x v="3"/>
    <x v="0"/>
    <x v="1"/>
    <x v="0"/>
    <x v="428"/>
    <x v="220"/>
    <x v="0"/>
  </r>
  <r>
    <x v="727"/>
    <x v="359"/>
    <x v="359"/>
    <x v="354"/>
    <x v="584"/>
    <x v="3"/>
    <x v="2"/>
    <x v="373"/>
    <x v="115"/>
    <x v="1"/>
    <x v="144"/>
    <x v="0"/>
    <x v="0"/>
    <x v="1"/>
    <x v="3"/>
    <x v="3"/>
    <x v="2"/>
    <x v="1"/>
    <x v="2"/>
    <x v="1"/>
    <x v="1"/>
    <x v="170"/>
    <x v="1"/>
    <x v="1"/>
    <x v="2"/>
    <x v="361"/>
    <x v="1"/>
    <x v="1"/>
    <x v="12"/>
    <x v="1"/>
    <x v="0"/>
    <x v="429"/>
    <x v="221"/>
    <x v="0"/>
  </r>
  <r>
    <x v="728"/>
    <x v="360"/>
    <x v="360"/>
    <x v="355"/>
    <x v="585"/>
    <x v="1"/>
    <x v="2"/>
    <x v="374"/>
    <x v="110"/>
    <x v="1"/>
    <x v="145"/>
    <x v="0"/>
    <x v="0"/>
    <x v="1"/>
    <x v="3"/>
    <x v="4"/>
    <x v="2"/>
    <x v="1"/>
    <x v="2"/>
    <x v="1"/>
    <x v="1"/>
    <x v="171"/>
    <x v="1"/>
    <x v="2"/>
    <x v="2"/>
    <x v="362"/>
    <x v="12"/>
    <x v="0"/>
    <x v="0"/>
    <x v="1"/>
    <x v="0"/>
    <x v="430"/>
    <x v="222"/>
    <x v="238"/>
  </r>
  <r>
    <x v="729"/>
    <x v="359"/>
    <x v="359"/>
    <x v="354"/>
    <x v="0"/>
    <x v="3"/>
    <x v="2"/>
    <x v="373"/>
    <x v="115"/>
    <x v="1"/>
    <x v="144"/>
    <x v="0"/>
    <x v="0"/>
    <x v="3"/>
    <x v="3"/>
    <x v="3"/>
    <x v="2"/>
    <x v="1"/>
    <x v="2"/>
    <x v="1"/>
    <x v="1"/>
    <x v="171"/>
    <x v="2"/>
    <x v="3"/>
    <x v="4"/>
    <x v="361"/>
    <x v="11"/>
    <x v="3"/>
    <x v="0"/>
    <x v="1"/>
    <x v="0"/>
    <x v="431"/>
    <x v="223"/>
    <x v="0"/>
  </r>
  <r>
    <x v="730"/>
    <x v="361"/>
    <x v="361"/>
    <x v="356"/>
    <x v="586"/>
    <x v="1"/>
    <x v="2"/>
    <x v="375"/>
    <x v="10"/>
    <x v="2"/>
    <x v="0"/>
    <x v="2"/>
    <x v="0"/>
    <x v="1"/>
    <x v="1"/>
    <x v="1"/>
    <x v="2"/>
    <x v="1"/>
    <x v="1"/>
    <x v="1"/>
    <x v="1"/>
    <x v="172"/>
    <x v="1"/>
    <x v="6"/>
    <x v="2"/>
    <x v="363"/>
    <x v="1"/>
    <x v="3"/>
    <x v="0"/>
    <x v="1"/>
    <x v="0"/>
    <x v="432"/>
    <x v="224"/>
    <x v="0"/>
  </r>
  <r>
    <x v="731"/>
    <x v="362"/>
    <x v="362"/>
    <x v="357"/>
    <x v="587"/>
    <x v="1"/>
    <x v="2"/>
    <x v="376"/>
    <x v="291"/>
    <x v="9"/>
    <x v="0"/>
    <x v="0"/>
    <x v="0"/>
    <x v="1"/>
    <x v="3"/>
    <x v="2"/>
    <x v="1"/>
    <x v="1"/>
    <x v="1"/>
    <x v="1"/>
    <x v="1"/>
    <x v="173"/>
    <x v="1"/>
    <x v="4"/>
    <x v="2"/>
    <x v="364"/>
    <x v="1"/>
    <x v="1"/>
    <x v="4"/>
    <x v="2"/>
    <x v="1"/>
    <x v="433"/>
    <x v="225"/>
    <x v="0"/>
  </r>
  <r>
    <x v="732"/>
    <x v="363"/>
    <x v="363"/>
    <x v="358"/>
    <x v="588"/>
    <x v="1"/>
    <x v="1"/>
    <x v="377"/>
    <x v="269"/>
    <x v="8"/>
    <x v="0"/>
    <x v="0"/>
    <x v="18"/>
    <x v="1"/>
    <x v="3"/>
    <x v="2"/>
    <x v="1"/>
    <x v="1"/>
    <x v="2"/>
    <x v="1"/>
    <x v="1"/>
    <x v="174"/>
    <x v="2"/>
    <x v="1"/>
    <x v="2"/>
    <x v="365"/>
    <x v="12"/>
    <x v="1"/>
    <x v="1"/>
    <x v="2"/>
    <x v="1"/>
    <x v="434"/>
    <x v="226"/>
    <x v="239"/>
  </r>
  <r>
    <x v="733"/>
    <x v="364"/>
    <x v="364"/>
    <x v="359"/>
    <x v="589"/>
    <x v="3"/>
    <x v="2"/>
    <x v="378"/>
    <x v="236"/>
    <x v="1"/>
    <x v="143"/>
    <x v="0"/>
    <x v="0"/>
    <x v="1"/>
    <x v="1"/>
    <x v="1"/>
    <x v="1"/>
    <x v="1"/>
    <x v="2"/>
    <x v="1"/>
    <x v="2"/>
    <x v="0"/>
    <x v="1"/>
    <x v="5"/>
    <x v="2"/>
    <x v="366"/>
    <x v="12"/>
    <x v="0"/>
    <x v="0"/>
    <x v="1"/>
    <x v="0"/>
    <x v="0"/>
    <x v="0"/>
    <x v="0"/>
  </r>
  <r>
    <x v="734"/>
    <x v="365"/>
    <x v="365"/>
    <x v="360"/>
    <x v="590"/>
    <x v="3"/>
    <x v="2"/>
    <x v="379"/>
    <x v="200"/>
    <x v="1"/>
    <x v="15"/>
    <x v="0"/>
    <x v="0"/>
    <x v="1"/>
    <x v="3"/>
    <x v="3"/>
    <x v="2"/>
    <x v="1"/>
    <x v="1"/>
    <x v="1"/>
    <x v="1"/>
    <x v="173"/>
    <x v="1"/>
    <x v="5"/>
    <x v="2"/>
    <x v="367"/>
    <x v="12"/>
    <x v="1"/>
    <x v="12"/>
    <x v="1"/>
    <x v="0"/>
    <x v="0"/>
    <x v="0"/>
    <x v="240"/>
  </r>
  <r>
    <x v="735"/>
    <x v="365"/>
    <x v="365"/>
    <x v="360"/>
    <x v="0"/>
    <x v="3"/>
    <x v="2"/>
    <x v="379"/>
    <x v="200"/>
    <x v="1"/>
    <x v="15"/>
    <x v="0"/>
    <x v="0"/>
    <x v="3"/>
    <x v="1"/>
    <x v="1"/>
    <x v="2"/>
    <x v="1"/>
    <x v="1"/>
    <x v="1"/>
    <x v="2"/>
    <x v="0"/>
    <x v="2"/>
    <x v="3"/>
    <x v="4"/>
    <x v="367"/>
    <x v="11"/>
    <x v="0"/>
    <x v="0"/>
    <x v="1"/>
    <x v="0"/>
    <x v="435"/>
    <x v="0"/>
    <x v="0"/>
  </r>
  <r>
    <x v="736"/>
    <x v="362"/>
    <x v="362"/>
    <x v="357"/>
    <x v="591"/>
    <x v="1"/>
    <x v="2"/>
    <x v="376"/>
    <x v="291"/>
    <x v="1"/>
    <x v="146"/>
    <x v="0"/>
    <x v="0"/>
    <x v="3"/>
    <x v="1"/>
    <x v="1"/>
    <x v="2"/>
    <x v="1"/>
    <x v="3"/>
    <x v="1"/>
    <x v="1"/>
    <x v="0"/>
    <x v="1"/>
    <x v="3"/>
    <x v="4"/>
    <x v="364"/>
    <x v="1"/>
    <x v="0"/>
    <x v="0"/>
    <x v="1"/>
    <x v="0"/>
    <x v="436"/>
    <x v="0"/>
    <x v="0"/>
  </r>
  <r>
    <x v="737"/>
    <x v="366"/>
    <x v="366"/>
    <x v="361"/>
    <x v="592"/>
    <x v="1"/>
    <x v="2"/>
    <x v="380"/>
    <x v="292"/>
    <x v="1"/>
    <x v="15"/>
    <x v="0"/>
    <x v="0"/>
    <x v="1"/>
    <x v="3"/>
    <x v="3"/>
    <x v="2"/>
    <x v="1"/>
    <x v="1"/>
    <x v="1"/>
    <x v="1"/>
    <x v="174"/>
    <x v="1"/>
    <x v="1"/>
    <x v="2"/>
    <x v="368"/>
    <x v="11"/>
    <x v="3"/>
    <x v="0"/>
    <x v="1"/>
    <x v="0"/>
    <x v="437"/>
    <x v="0"/>
    <x v="0"/>
  </r>
  <r>
    <x v="738"/>
    <x v="362"/>
    <x v="362"/>
    <x v="357"/>
    <x v="593"/>
    <x v="1"/>
    <x v="2"/>
    <x v="381"/>
    <x v="291"/>
    <x v="9"/>
    <x v="0"/>
    <x v="0"/>
    <x v="0"/>
    <x v="3"/>
    <x v="1"/>
    <x v="1"/>
    <x v="1"/>
    <x v="1"/>
    <x v="2"/>
    <x v="2"/>
    <x v="2"/>
    <x v="0"/>
    <x v="1"/>
    <x v="3"/>
    <x v="4"/>
    <x v="364"/>
    <x v="4"/>
    <x v="0"/>
    <x v="0"/>
    <x v="1"/>
    <x v="0"/>
    <x v="0"/>
    <x v="0"/>
    <x v="0"/>
  </r>
  <r>
    <x v="739"/>
    <x v="367"/>
    <x v="367"/>
    <x v="362"/>
    <x v="594"/>
    <x v="1"/>
    <x v="2"/>
    <x v="382"/>
    <x v="293"/>
    <x v="1"/>
    <x v="33"/>
    <x v="0"/>
    <x v="0"/>
    <x v="1"/>
    <x v="3"/>
    <x v="2"/>
    <x v="2"/>
    <x v="1"/>
    <x v="1"/>
    <x v="1"/>
    <x v="1"/>
    <x v="174"/>
    <x v="1"/>
    <x v="1"/>
    <x v="2"/>
    <x v="369"/>
    <x v="1"/>
    <x v="1"/>
    <x v="1"/>
    <x v="1"/>
    <x v="0"/>
    <x v="438"/>
    <x v="0"/>
    <x v="0"/>
  </r>
  <r>
    <x v="740"/>
    <x v="368"/>
    <x v="368"/>
    <x v="363"/>
    <x v="595"/>
    <x v="1"/>
    <x v="2"/>
    <x v="383"/>
    <x v="294"/>
    <x v="1"/>
    <x v="22"/>
    <x v="0"/>
    <x v="0"/>
    <x v="1"/>
    <x v="2"/>
    <x v="3"/>
    <x v="2"/>
    <x v="1"/>
    <x v="2"/>
    <x v="1"/>
    <x v="1"/>
    <x v="175"/>
    <x v="1"/>
    <x v="6"/>
    <x v="2"/>
    <x v="370"/>
    <x v="5"/>
    <x v="3"/>
    <x v="0"/>
    <x v="1"/>
    <x v="0"/>
    <x v="439"/>
    <x v="227"/>
    <x v="0"/>
  </r>
  <r>
    <x v="741"/>
    <x v="367"/>
    <x v="367"/>
    <x v="362"/>
    <x v="0"/>
    <x v="1"/>
    <x v="2"/>
    <x v="382"/>
    <x v="293"/>
    <x v="1"/>
    <x v="33"/>
    <x v="0"/>
    <x v="0"/>
    <x v="3"/>
    <x v="1"/>
    <x v="2"/>
    <x v="2"/>
    <x v="1"/>
    <x v="2"/>
    <x v="1"/>
    <x v="1"/>
    <x v="176"/>
    <x v="2"/>
    <x v="3"/>
    <x v="4"/>
    <x v="369"/>
    <x v="5"/>
    <x v="3"/>
    <x v="0"/>
    <x v="1"/>
    <x v="0"/>
    <x v="242"/>
    <x v="228"/>
    <x v="185"/>
  </r>
  <r>
    <x v="742"/>
    <x v="363"/>
    <x v="363"/>
    <x v="358"/>
    <x v="596"/>
    <x v="1"/>
    <x v="1"/>
    <x v="377"/>
    <x v="10"/>
    <x v="8"/>
    <x v="0"/>
    <x v="0"/>
    <x v="0"/>
    <x v="3"/>
    <x v="1"/>
    <x v="1"/>
    <x v="1"/>
    <x v="1"/>
    <x v="2"/>
    <x v="2"/>
    <x v="1"/>
    <x v="177"/>
    <x v="2"/>
    <x v="3"/>
    <x v="4"/>
    <x v="365"/>
    <x v="5"/>
    <x v="1"/>
    <x v="1"/>
    <x v="2"/>
    <x v="1"/>
    <x v="440"/>
    <x v="0"/>
    <x v="241"/>
  </r>
  <r>
    <x v="743"/>
    <x v="189"/>
    <x v="187"/>
    <x v="185"/>
    <x v="597"/>
    <x v="1"/>
    <x v="2"/>
    <x v="197"/>
    <x v="164"/>
    <x v="1"/>
    <x v="27"/>
    <x v="0"/>
    <x v="0"/>
    <x v="1"/>
    <x v="1"/>
    <x v="1"/>
    <x v="2"/>
    <x v="1"/>
    <x v="2"/>
    <x v="1"/>
    <x v="2"/>
    <x v="0"/>
    <x v="1"/>
    <x v="5"/>
    <x v="3"/>
    <x v="187"/>
    <x v="4"/>
    <x v="0"/>
    <x v="0"/>
    <x v="1"/>
    <x v="0"/>
    <x v="0"/>
    <x v="0"/>
    <x v="242"/>
  </r>
  <r>
    <x v="744"/>
    <x v="369"/>
    <x v="369"/>
    <x v="364"/>
    <x v="598"/>
    <x v="1"/>
    <x v="2"/>
    <x v="384"/>
    <x v="295"/>
    <x v="1"/>
    <x v="147"/>
    <x v="0"/>
    <x v="0"/>
    <x v="1"/>
    <x v="1"/>
    <x v="2"/>
    <x v="2"/>
    <x v="1"/>
    <x v="2"/>
    <x v="1"/>
    <x v="1"/>
    <x v="176"/>
    <x v="1"/>
    <x v="5"/>
    <x v="2"/>
    <x v="371"/>
    <x v="5"/>
    <x v="3"/>
    <x v="0"/>
    <x v="1"/>
    <x v="0"/>
    <x v="441"/>
    <x v="229"/>
    <x v="198"/>
  </r>
  <r>
    <x v="745"/>
    <x v="233"/>
    <x v="232"/>
    <x v="229"/>
    <x v="599"/>
    <x v="1"/>
    <x v="1"/>
    <x v="243"/>
    <x v="199"/>
    <x v="1"/>
    <x v="148"/>
    <x v="0"/>
    <x v="0"/>
    <x v="1"/>
    <x v="1"/>
    <x v="1"/>
    <x v="2"/>
    <x v="1"/>
    <x v="2"/>
    <x v="1"/>
    <x v="2"/>
    <x v="0"/>
    <x v="1"/>
    <x v="1"/>
    <x v="2"/>
    <x v="233"/>
    <x v="12"/>
    <x v="0"/>
    <x v="0"/>
    <x v="1"/>
    <x v="0"/>
    <x v="0"/>
    <x v="0"/>
    <x v="243"/>
  </r>
  <r>
    <x v="746"/>
    <x v="370"/>
    <x v="370"/>
    <x v="365"/>
    <x v="600"/>
    <x v="1"/>
    <x v="1"/>
    <x v="385"/>
    <x v="296"/>
    <x v="1"/>
    <x v="3"/>
    <x v="0"/>
    <x v="0"/>
    <x v="1"/>
    <x v="1"/>
    <x v="1"/>
    <x v="2"/>
    <x v="1"/>
    <x v="2"/>
    <x v="1"/>
    <x v="2"/>
    <x v="0"/>
    <x v="1"/>
    <x v="6"/>
    <x v="2"/>
    <x v="372"/>
    <x v="5"/>
    <x v="0"/>
    <x v="0"/>
    <x v="1"/>
    <x v="0"/>
    <x v="0"/>
    <x v="0"/>
    <x v="0"/>
  </r>
  <r>
    <x v="747"/>
    <x v="363"/>
    <x v="363"/>
    <x v="358"/>
    <x v="601"/>
    <x v="1"/>
    <x v="1"/>
    <x v="377"/>
    <x v="10"/>
    <x v="8"/>
    <x v="0"/>
    <x v="0"/>
    <x v="0"/>
    <x v="3"/>
    <x v="1"/>
    <x v="1"/>
    <x v="2"/>
    <x v="1"/>
    <x v="2"/>
    <x v="1"/>
    <x v="2"/>
    <x v="0"/>
    <x v="2"/>
    <x v="3"/>
    <x v="4"/>
    <x v="365"/>
    <x v="5"/>
    <x v="0"/>
    <x v="0"/>
    <x v="1"/>
    <x v="0"/>
    <x v="0"/>
    <x v="0"/>
    <x v="0"/>
  </r>
  <r>
    <x v="748"/>
    <x v="371"/>
    <x v="371"/>
    <x v="366"/>
    <x v="0"/>
    <x v="1"/>
    <x v="2"/>
    <x v="386"/>
    <x v="167"/>
    <x v="1"/>
    <x v="2"/>
    <x v="0"/>
    <x v="0"/>
    <x v="1"/>
    <x v="2"/>
    <x v="3"/>
    <x v="2"/>
    <x v="1"/>
    <x v="3"/>
    <x v="1"/>
    <x v="1"/>
    <x v="178"/>
    <x v="1"/>
    <x v="6"/>
    <x v="2"/>
    <x v="373"/>
    <x v="1"/>
    <x v="3"/>
    <x v="0"/>
    <x v="1"/>
    <x v="0"/>
    <x v="442"/>
    <x v="190"/>
    <x v="0"/>
  </r>
  <r>
    <x v="749"/>
    <x v="372"/>
    <x v="372"/>
    <x v="367"/>
    <x v="602"/>
    <x v="1"/>
    <x v="2"/>
    <x v="387"/>
    <x v="297"/>
    <x v="1"/>
    <x v="15"/>
    <x v="0"/>
    <x v="0"/>
    <x v="1"/>
    <x v="1"/>
    <x v="1"/>
    <x v="2"/>
    <x v="1"/>
    <x v="2"/>
    <x v="1"/>
    <x v="2"/>
    <x v="0"/>
    <x v="1"/>
    <x v="4"/>
    <x v="2"/>
    <x v="374"/>
    <x v="12"/>
    <x v="0"/>
    <x v="0"/>
    <x v="1"/>
    <x v="0"/>
    <x v="0"/>
    <x v="0"/>
    <x v="0"/>
  </r>
  <r>
    <x v="750"/>
    <x v="373"/>
    <x v="373"/>
    <x v="368"/>
    <x v="603"/>
    <x v="1"/>
    <x v="2"/>
    <x v="388"/>
    <x v="298"/>
    <x v="1"/>
    <x v="31"/>
    <x v="0"/>
    <x v="0"/>
    <x v="1"/>
    <x v="1"/>
    <x v="1"/>
    <x v="2"/>
    <x v="1"/>
    <x v="1"/>
    <x v="1"/>
    <x v="2"/>
    <x v="0"/>
    <x v="1"/>
    <x v="6"/>
    <x v="2"/>
    <x v="375"/>
    <x v="12"/>
    <x v="0"/>
    <x v="0"/>
    <x v="1"/>
    <x v="0"/>
    <x v="0"/>
    <x v="0"/>
    <x v="0"/>
  </r>
  <r>
    <x v="751"/>
    <x v="374"/>
    <x v="374"/>
    <x v="369"/>
    <x v="604"/>
    <x v="1"/>
    <x v="3"/>
    <x v="389"/>
    <x v="299"/>
    <x v="1"/>
    <x v="149"/>
    <x v="0"/>
    <x v="0"/>
    <x v="1"/>
    <x v="1"/>
    <x v="1"/>
    <x v="2"/>
    <x v="1"/>
    <x v="2"/>
    <x v="1"/>
    <x v="2"/>
    <x v="0"/>
    <x v="1"/>
    <x v="6"/>
    <x v="2"/>
    <x v="376"/>
    <x v="12"/>
    <x v="0"/>
    <x v="0"/>
    <x v="1"/>
    <x v="0"/>
    <x v="0"/>
    <x v="0"/>
    <x v="0"/>
  </r>
  <r>
    <x v="752"/>
    <x v="375"/>
    <x v="375"/>
    <x v="370"/>
    <x v="605"/>
    <x v="1"/>
    <x v="2"/>
    <x v="390"/>
    <x v="300"/>
    <x v="1"/>
    <x v="150"/>
    <x v="0"/>
    <x v="0"/>
    <x v="1"/>
    <x v="1"/>
    <x v="1"/>
    <x v="2"/>
    <x v="1"/>
    <x v="2"/>
    <x v="1"/>
    <x v="2"/>
    <x v="0"/>
    <x v="1"/>
    <x v="6"/>
    <x v="2"/>
    <x v="377"/>
    <x v="12"/>
    <x v="0"/>
    <x v="0"/>
    <x v="1"/>
    <x v="0"/>
    <x v="0"/>
    <x v="0"/>
    <x v="0"/>
  </r>
  <r>
    <x v="753"/>
    <x v="376"/>
    <x v="376"/>
    <x v="371"/>
    <x v="606"/>
    <x v="1"/>
    <x v="2"/>
    <x v="391"/>
    <x v="301"/>
    <x v="1"/>
    <x v="151"/>
    <x v="0"/>
    <x v="0"/>
    <x v="1"/>
    <x v="3"/>
    <x v="2"/>
    <x v="1"/>
    <x v="1"/>
    <x v="2"/>
    <x v="1"/>
    <x v="1"/>
    <x v="179"/>
    <x v="1"/>
    <x v="1"/>
    <x v="1"/>
    <x v="378"/>
    <x v="2"/>
    <x v="1"/>
    <x v="5"/>
    <x v="2"/>
    <x v="1"/>
    <x v="443"/>
    <x v="0"/>
    <x v="0"/>
  </r>
  <r>
    <x v="754"/>
    <x v="377"/>
    <x v="377"/>
    <x v="372"/>
    <x v="607"/>
    <x v="1"/>
    <x v="2"/>
    <x v="392"/>
    <x v="302"/>
    <x v="1"/>
    <x v="152"/>
    <x v="0"/>
    <x v="0"/>
    <x v="1"/>
    <x v="1"/>
    <x v="1"/>
    <x v="1"/>
    <x v="1"/>
    <x v="1"/>
    <x v="1"/>
    <x v="1"/>
    <x v="179"/>
    <x v="1"/>
    <x v="1"/>
    <x v="2"/>
    <x v="379"/>
    <x v="12"/>
    <x v="1"/>
    <x v="12"/>
    <x v="2"/>
    <x v="1"/>
    <x v="444"/>
    <x v="0"/>
    <x v="244"/>
  </r>
  <r>
    <x v="755"/>
    <x v="378"/>
    <x v="378"/>
    <x v="373"/>
    <x v="608"/>
    <x v="1"/>
    <x v="2"/>
    <x v="212"/>
    <x v="303"/>
    <x v="1"/>
    <x v="153"/>
    <x v="0"/>
    <x v="0"/>
    <x v="1"/>
    <x v="1"/>
    <x v="1"/>
    <x v="2"/>
    <x v="1"/>
    <x v="2"/>
    <x v="1"/>
    <x v="2"/>
    <x v="0"/>
    <x v="1"/>
    <x v="1"/>
    <x v="2"/>
    <x v="380"/>
    <x v="3"/>
    <x v="0"/>
    <x v="0"/>
    <x v="1"/>
    <x v="0"/>
    <x v="0"/>
    <x v="0"/>
    <x v="0"/>
  </r>
  <r>
    <x v="756"/>
    <x v="379"/>
    <x v="379"/>
    <x v="374"/>
    <x v="609"/>
    <x v="1"/>
    <x v="2"/>
    <x v="393"/>
    <x v="304"/>
    <x v="1"/>
    <x v="4"/>
    <x v="0"/>
    <x v="0"/>
    <x v="1"/>
    <x v="3"/>
    <x v="3"/>
    <x v="2"/>
    <x v="1"/>
    <x v="1"/>
    <x v="1"/>
    <x v="1"/>
    <x v="179"/>
    <x v="1"/>
    <x v="1"/>
    <x v="2"/>
    <x v="381"/>
    <x v="1"/>
    <x v="1"/>
    <x v="5"/>
    <x v="2"/>
    <x v="1"/>
    <x v="445"/>
    <x v="0"/>
    <x v="0"/>
  </r>
  <r>
    <x v="757"/>
    <x v="376"/>
    <x v="376"/>
    <x v="371"/>
    <x v="0"/>
    <x v="1"/>
    <x v="2"/>
    <x v="391"/>
    <x v="51"/>
    <x v="1"/>
    <x v="154"/>
    <x v="0"/>
    <x v="0"/>
    <x v="3"/>
    <x v="1"/>
    <x v="1"/>
    <x v="2"/>
    <x v="1"/>
    <x v="2"/>
    <x v="1"/>
    <x v="1"/>
    <x v="180"/>
    <x v="2"/>
    <x v="3"/>
    <x v="4"/>
    <x v="378"/>
    <x v="2"/>
    <x v="1"/>
    <x v="3"/>
    <x v="2"/>
    <x v="1"/>
    <x v="446"/>
    <x v="0"/>
    <x v="0"/>
  </r>
  <r>
    <x v="758"/>
    <x v="148"/>
    <x v="148"/>
    <x v="146"/>
    <x v="610"/>
    <x v="1"/>
    <x v="2"/>
    <x v="153"/>
    <x v="129"/>
    <x v="1"/>
    <x v="31"/>
    <x v="0"/>
    <x v="0"/>
    <x v="1"/>
    <x v="1"/>
    <x v="2"/>
    <x v="2"/>
    <x v="1"/>
    <x v="2"/>
    <x v="1"/>
    <x v="2"/>
    <x v="0"/>
    <x v="1"/>
    <x v="2"/>
    <x v="2"/>
    <x v="147"/>
    <x v="5"/>
    <x v="0"/>
    <x v="0"/>
    <x v="1"/>
    <x v="0"/>
    <x v="0"/>
    <x v="0"/>
    <x v="0"/>
  </r>
  <r>
    <x v="759"/>
    <x v="377"/>
    <x v="377"/>
    <x v="372"/>
    <x v="611"/>
    <x v="1"/>
    <x v="2"/>
    <x v="392"/>
    <x v="302"/>
    <x v="1"/>
    <x v="8"/>
    <x v="0"/>
    <x v="0"/>
    <x v="3"/>
    <x v="1"/>
    <x v="1"/>
    <x v="2"/>
    <x v="1"/>
    <x v="2"/>
    <x v="1"/>
    <x v="2"/>
    <x v="0"/>
    <x v="1"/>
    <x v="3"/>
    <x v="4"/>
    <x v="379"/>
    <x v="11"/>
    <x v="0"/>
    <x v="0"/>
    <x v="1"/>
    <x v="0"/>
    <x v="0"/>
    <x v="0"/>
    <x v="0"/>
  </r>
  <r>
    <x v="760"/>
    <x v="379"/>
    <x v="379"/>
    <x v="374"/>
    <x v="612"/>
    <x v="1"/>
    <x v="2"/>
    <x v="393"/>
    <x v="36"/>
    <x v="2"/>
    <x v="0"/>
    <x v="14"/>
    <x v="0"/>
    <x v="3"/>
    <x v="3"/>
    <x v="3"/>
    <x v="2"/>
    <x v="1"/>
    <x v="2"/>
    <x v="1"/>
    <x v="1"/>
    <x v="181"/>
    <x v="1"/>
    <x v="3"/>
    <x v="4"/>
    <x v="381"/>
    <x v="2"/>
    <x v="1"/>
    <x v="7"/>
    <x v="1"/>
    <x v="0"/>
    <x v="447"/>
    <x v="230"/>
    <x v="0"/>
  </r>
  <r>
    <x v="761"/>
    <x v="380"/>
    <x v="380"/>
    <x v="375"/>
    <x v="613"/>
    <x v="1"/>
    <x v="2"/>
    <x v="394"/>
    <x v="305"/>
    <x v="1"/>
    <x v="155"/>
    <x v="0"/>
    <x v="0"/>
    <x v="1"/>
    <x v="1"/>
    <x v="1"/>
    <x v="2"/>
    <x v="1"/>
    <x v="2"/>
    <x v="1"/>
    <x v="2"/>
    <x v="0"/>
    <x v="1"/>
    <x v="1"/>
    <x v="2"/>
    <x v="382"/>
    <x v="5"/>
    <x v="0"/>
    <x v="0"/>
    <x v="1"/>
    <x v="0"/>
    <x v="0"/>
    <x v="0"/>
    <x v="0"/>
  </r>
  <r>
    <x v="762"/>
    <x v="381"/>
    <x v="381"/>
    <x v="376"/>
    <x v="614"/>
    <x v="1"/>
    <x v="2"/>
    <x v="395"/>
    <x v="168"/>
    <x v="1"/>
    <x v="15"/>
    <x v="0"/>
    <x v="0"/>
    <x v="1"/>
    <x v="3"/>
    <x v="3"/>
    <x v="2"/>
    <x v="1"/>
    <x v="1"/>
    <x v="1"/>
    <x v="1"/>
    <x v="179"/>
    <x v="1"/>
    <x v="1"/>
    <x v="2"/>
    <x v="383"/>
    <x v="11"/>
    <x v="1"/>
    <x v="12"/>
    <x v="1"/>
    <x v="0"/>
    <x v="448"/>
    <x v="0"/>
    <x v="245"/>
  </r>
  <r>
    <x v="763"/>
    <x v="382"/>
    <x v="382"/>
    <x v="377"/>
    <x v="615"/>
    <x v="1"/>
    <x v="2"/>
    <x v="371"/>
    <x v="306"/>
    <x v="1"/>
    <x v="1"/>
    <x v="0"/>
    <x v="0"/>
    <x v="1"/>
    <x v="2"/>
    <x v="3"/>
    <x v="2"/>
    <x v="1"/>
    <x v="2"/>
    <x v="1"/>
    <x v="1"/>
    <x v="181"/>
    <x v="1"/>
    <x v="1"/>
    <x v="2"/>
    <x v="384"/>
    <x v="5"/>
    <x v="1"/>
    <x v="4"/>
    <x v="2"/>
    <x v="1"/>
    <x v="449"/>
    <x v="231"/>
    <x v="0"/>
  </r>
  <r>
    <x v="764"/>
    <x v="381"/>
    <x v="381"/>
    <x v="376"/>
    <x v="0"/>
    <x v="1"/>
    <x v="2"/>
    <x v="396"/>
    <x v="168"/>
    <x v="1"/>
    <x v="15"/>
    <x v="0"/>
    <x v="0"/>
    <x v="3"/>
    <x v="1"/>
    <x v="1"/>
    <x v="2"/>
    <x v="1"/>
    <x v="1"/>
    <x v="1"/>
    <x v="1"/>
    <x v="181"/>
    <x v="2"/>
    <x v="3"/>
    <x v="4"/>
    <x v="383"/>
    <x v="11"/>
    <x v="1"/>
    <x v="7"/>
    <x v="2"/>
    <x v="1"/>
    <x v="450"/>
    <x v="0"/>
    <x v="246"/>
  </r>
  <r>
    <x v="765"/>
    <x v="378"/>
    <x v="378"/>
    <x v="373"/>
    <x v="616"/>
    <x v="1"/>
    <x v="2"/>
    <x v="212"/>
    <x v="303"/>
    <x v="1"/>
    <x v="33"/>
    <x v="0"/>
    <x v="0"/>
    <x v="1"/>
    <x v="3"/>
    <x v="2"/>
    <x v="2"/>
    <x v="1"/>
    <x v="2"/>
    <x v="1"/>
    <x v="1"/>
    <x v="180"/>
    <x v="1"/>
    <x v="1"/>
    <x v="2"/>
    <x v="380"/>
    <x v="5"/>
    <x v="3"/>
    <x v="0"/>
    <x v="1"/>
    <x v="0"/>
    <x v="451"/>
    <x v="0"/>
    <x v="0"/>
  </r>
  <r>
    <x v="766"/>
    <x v="379"/>
    <x v="379"/>
    <x v="374"/>
    <x v="617"/>
    <x v="1"/>
    <x v="2"/>
    <x v="393"/>
    <x v="36"/>
    <x v="2"/>
    <x v="0"/>
    <x v="2"/>
    <x v="0"/>
    <x v="1"/>
    <x v="2"/>
    <x v="3"/>
    <x v="2"/>
    <x v="1"/>
    <x v="1"/>
    <x v="1"/>
    <x v="1"/>
    <x v="180"/>
    <x v="1"/>
    <x v="2"/>
    <x v="2"/>
    <x v="381"/>
    <x v="12"/>
    <x v="1"/>
    <x v="4"/>
    <x v="1"/>
    <x v="0"/>
    <x v="452"/>
    <x v="0"/>
    <x v="247"/>
  </r>
  <r>
    <x v="767"/>
    <x v="381"/>
    <x v="381"/>
    <x v="376"/>
    <x v="0"/>
    <x v="1"/>
    <x v="2"/>
    <x v="397"/>
    <x v="168"/>
    <x v="2"/>
    <x v="0"/>
    <x v="6"/>
    <x v="0"/>
    <x v="3"/>
    <x v="2"/>
    <x v="5"/>
    <x v="2"/>
    <x v="1"/>
    <x v="2"/>
    <x v="1"/>
    <x v="2"/>
    <x v="0"/>
    <x v="2"/>
    <x v="3"/>
    <x v="4"/>
    <x v="385"/>
    <x v="12"/>
    <x v="0"/>
    <x v="0"/>
    <x v="1"/>
    <x v="0"/>
    <x v="0"/>
    <x v="0"/>
    <x v="0"/>
  </r>
  <r>
    <x v="768"/>
    <x v="383"/>
    <x v="383"/>
    <x v="378"/>
    <x v="618"/>
    <x v="1"/>
    <x v="2"/>
    <x v="398"/>
    <x v="307"/>
    <x v="1"/>
    <x v="9"/>
    <x v="0"/>
    <x v="0"/>
    <x v="1"/>
    <x v="1"/>
    <x v="1"/>
    <x v="2"/>
    <x v="1"/>
    <x v="2"/>
    <x v="1"/>
    <x v="1"/>
    <x v="180"/>
    <x v="1"/>
    <x v="1"/>
    <x v="2"/>
    <x v="386"/>
    <x v="5"/>
    <x v="1"/>
    <x v="3"/>
    <x v="1"/>
    <x v="0"/>
    <x v="453"/>
    <x v="0"/>
    <x v="0"/>
  </r>
  <r>
    <x v="769"/>
    <x v="384"/>
    <x v="384"/>
    <x v="379"/>
    <x v="619"/>
    <x v="3"/>
    <x v="2"/>
    <x v="399"/>
    <x v="308"/>
    <x v="1"/>
    <x v="31"/>
    <x v="0"/>
    <x v="0"/>
    <x v="1"/>
    <x v="1"/>
    <x v="1"/>
    <x v="2"/>
    <x v="1"/>
    <x v="3"/>
    <x v="1"/>
    <x v="1"/>
    <x v="180"/>
    <x v="1"/>
    <x v="1"/>
    <x v="2"/>
    <x v="387"/>
    <x v="1"/>
    <x v="3"/>
    <x v="0"/>
    <x v="1"/>
    <x v="0"/>
    <x v="454"/>
    <x v="232"/>
    <x v="0"/>
  </r>
  <r>
    <x v="770"/>
    <x v="382"/>
    <x v="382"/>
    <x v="377"/>
    <x v="620"/>
    <x v="1"/>
    <x v="2"/>
    <x v="371"/>
    <x v="309"/>
    <x v="1"/>
    <x v="1"/>
    <x v="0"/>
    <x v="0"/>
    <x v="3"/>
    <x v="2"/>
    <x v="3"/>
    <x v="2"/>
    <x v="1"/>
    <x v="1"/>
    <x v="1"/>
    <x v="1"/>
    <x v="180"/>
    <x v="1"/>
    <x v="3"/>
    <x v="4"/>
    <x v="384"/>
    <x v="1"/>
    <x v="3"/>
    <x v="0"/>
    <x v="1"/>
    <x v="0"/>
    <x v="455"/>
    <x v="233"/>
    <x v="0"/>
  </r>
  <r>
    <x v="771"/>
    <x v="379"/>
    <x v="379"/>
    <x v="374"/>
    <x v="0"/>
    <x v="1"/>
    <x v="2"/>
    <x v="393"/>
    <x v="36"/>
    <x v="2"/>
    <x v="0"/>
    <x v="5"/>
    <x v="0"/>
    <x v="3"/>
    <x v="4"/>
    <x v="1"/>
    <x v="2"/>
    <x v="1"/>
    <x v="2"/>
    <x v="1"/>
    <x v="2"/>
    <x v="0"/>
    <x v="2"/>
    <x v="3"/>
    <x v="13"/>
    <x v="381"/>
    <x v="1"/>
    <x v="0"/>
    <x v="0"/>
    <x v="1"/>
    <x v="0"/>
    <x v="0"/>
    <x v="0"/>
    <x v="0"/>
  </r>
  <r>
    <x v="772"/>
    <x v="383"/>
    <x v="383"/>
    <x v="378"/>
    <x v="618"/>
    <x v="1"/>
    <x v="2"/>
    <x v="398"/>
    <x v="222"/>
    <x v="1"/>
    <x v="9"/>
    <x v="0"/>
    <x v="0"/>
    <x v="3"/>
    <x v="1"/>
    <x v="1"/>
    <x v="2"/>
    <x v="1"/>
    <x v="3"/>
    <x v="1"/>
    <x v="2"/>
    <x v="0"/>
    <x v="2"/>
    <x v="3"/>
    <x v="4"/>
    <x v="386"/>
    <x v="3"/>
    <x v="0"/>
    <x v="0"/>
    <x v="1"/>
    <x v="0"/>
    <x v="0"/>
    <x v="0"/>
    <x v="0"/>
  </r>
  <r>
    <x v="773"/>
    <x v="271"/>
    <x v="271"/>
    <x v="267"/>
    <x v="621"/>
    <x v="1"/>
    <x v="2"/>
    <x v="282"/>
    <x v="115"/>
    <x v="1"/>
    <x v="3"/>
    <x v="0"/>
    <x v="0"/>
    <x v="1"/>
    <x v="3"/>
    <x v="2"/>
    <x v="1"/>
    <x v="1"/>
    <x v="2"/>
    <x v="1"/>
    <x v="1"/>
    <x v="182"/>
    <x v="1"/>
    <x v="1"/>
    <x v="2"/>
    <x v="272"/>
    <x v="11"/>
    <x v="3"/>
    <x v="0"/>
    <x v="1"/>
    <x v="0"/>
    <x v="331"/>
    <x v="234"/>
    <x v="248"/>
  </r>
  <r>
    <x v="774"/>
    <x v="385"/>
    <x v="385"/>
    <x v="380"/>
    <x v="622"/>
    <x v="1"/>
    <x v="2"/>
    <x v="400"/>
    <x v="310"/>
    <x v="1"/>
    <x v="44"/>
    <x v="0"/>
    <x v="0"/>
    <x v="1"/>
    <x v="2"/>
    <x v="3"/>
    <x v="2"/>
    <x v="1"/>
    <x v="2"/>
    <x v="1"/>
    <x v="1"/>
    <x v="182"/>
    <x v="1"/>
    <x v="5"/>
    <x v="3"/>
    <x v="388"/>
    <x v="3"/>
    <x v="1"/>
    <x v="5"/>
    <x v="1"/>
    <x v="0"/>
    <x v="456"/>
    <x v="0"/>
    <x v="0"/>
  </r>
  <r>
    <x v="775"/>
    <x v="172"/>
    <x v="172"/>
    <x v="170"/>
    <x v="623"/>
    <x v="1"/>
    <x v="2"/>
    <x v="181"/>
    <x v="37"/>
    <x v="1"/>
    <x v="156"/>
    <x v="0"/>
    <x v="0"/>
    <x v="1"/>
    <x v="3"/>
    <x v="3"/>
    <x v="2"/>
    <x v="1"/>
    <x v="2"/>
    <x v="1"/>
    <x v="1"/>
    <x v="182"/>
    <x v="1"/>
    <x v="5"/>
    <x v="3"/>
    <x v="171"/>
    <x v="3"/>
    <x v="3"/>
    <x v="0"/>
    <x v="1"/>
    <x v="0"/>
    <x v="457"/>
    <x v="235"/>
    <x v="0"/>
  </r>
  <r>
    <x v="776"/>
    <x v="376"/>
    <x v="376"/>
    <x v="371"/>
    <x v="0"/>
    <x v="1"/>
    <x v="2"/>
    <x v="391"/>
    <x v="51"/>
    <x v="1"/>
    <x v="157"/>
    <x v="0"/>
    <x v="0"/>
    <x v="3"/>
    <x v="1"/>
    <x v="1"/>
    <x v="2"/>
    <x v="1"/>
    <x v="2"/>
    <x v="1"/>
    <x v="2"/>
    <x v="0"/>
    <x v="1"/>
    <x v="3"/>
    <x v="4"/>
    <x v="378"/>
    <x v="3"/>
    <x v="0"/>
    <x v="0"/>
    <x v="1"/>
    <x v="0"/>
    <x v="0"/>
    <x v="0"/>
    <x v="0"/>
  </r>
  <r>
    <x v="777"/>
    <x v="385"/>
    <x v="385"/>
    <x v="380"/>
    <x v="0"/>
    <x v="1"/>
    <x v="2"/>
    <x v="400"/>
    <x v="310"/>
    <x v="2"/>
    <x v="0"/>
    <x v="6"/>
    <x v="0"/>
    <x v="3"/>
    <x v="1"/>
    <x v="1"/>
    <x v="2"/>
    <x v="1"/>
    <x v="2"/>
    <x v="1"/>
    <x v="2"/>
    <x v="0"/>
    <x v="2"/>
    <x v="3"/>
    <x v="4"/>
    <x v="388"/>
    <x v="2"/>
    <x v="0"/>
    <x v="0"/>
    <x v="1"/>
    <x v="0"/>
    <x v="0"/>
    <x v="0"/>
    <x v="0"/>
  </r>
  <r>
    <x v="778"/>
    <x v="385"/>
    <x v="385"/>
    <x v="380"/>
    <x v="624"/>
    <x v="1"/>
    <x v="2"/>
    <x v="400"/>
    <x v="310"/>
    <x v="1"/>
    <x v="158"/>
    <x v="0"/>
    <x v="0"/>
    <x v="1"/>
    <x v="1"/>
    <x v="1"/>
    <x v="2"/>
    <x v="1"/>
    <x v="1"/>
    <x v="1"/>
    <x v="2"/>
    <x v="0"/>
    <x v="1"/>
    <x v="1"/>
    <x v="2"/>
    <x v="388"/>
    <x v="1"/>
    <x v="0"/>
    <x v="0"/>
    <x v="1"/>
    <x v="0"/>
    <x v="0"/>
    <x v="0"/>
    <x v="0"/>
  </r>
  <r>
    <x v="779"/>
    <x v="386"/>
    <x v="386"/>
    <x v="381"/>
    <x v="625"/>
    <x v="1"/>
    <x v="2"/>
    <x v="401"/>
    <x v="311"/>
    <x v="1"/>
    <x v="33"/>
    <x v="0"/>
    <x v="0"/>
    <x v="1"/>
    <x v="3"/>
    <x v="3"/>
    <x v="1"/>
    <x v="1"/>
    <x v="3"/>
    <x v="1"/>
    <x v="1"/>
    <x v="183"/>
    <x v="1"/>
    <x v="5"/>
    <x v="2"/>
    <x v="389"/>
    <x v="12"/>
    <x v="1"/>
    <x v="8"/>
    <x v="1"/>
    <x v="0"/>
    <x v="458"/>
    <x v="0"/>
    <x v="0"/>
  </r>
  <r>
    <x v="780"/>
    <x v="387"/>
    <x v="387"/>
    <x v="382"/>
    <x v="626"/>
    <x v="1"/>
    <x v="2"/>
    <x v="402"/>
    <x v="312"/>
    <x v="1"/>
    <x v="33"/>
    <x v="0"/>
    <x v="0"/>
    <x v="1"/>
    <x v="1"/>
    <x v="2"/>
    <x v="2"/>
    <x v="1"/>
    <x v="2"/>
    <x v="1"/>
    <x v="1"/>
    <x v="184"/>
    <x v="1"/>
    <x v="6"/>
    <x v="2"/>
    <x v="390"/>
    <x v="5"/>
    <x v="1"/>
    <x v="1"/>
    <x v="1"/>
    <x v="0"/>
    <x v="459"/>
    <x v="0"/>
    <x v="249"/>
  </r>
  <r>
    <x v="781"/>
    <x v="388"/>
    <x v="388"/>
    <x v="383"/>
    <x v="627"/>
    <x v="1"/>
    <x v="2"/>
    <x v="403"/>
    <x v="10"/>
    <x v="1"/>
    <x v="159"/>
    <x v="0"/>
    <x v="0"/>
    <x v="1"/>
    <x v="1"/>
    <x v="1"/>
    <x v="2"/>
    <x v="2"/>
    <x v="2"/>
    <x v="1"/>
    <x v="2"/>
    <x v="0"/>
    <x v="1"/>
    <x v="6"/>
    <x v="2"/>
    <x v="391"/>
    <x v="5"/>
    <x v="0"/>
    <x v="0"/>
    <x v="1"/>
    <x v="0"/>
    <x v="0"/>
    <x v="0"/>
    <x v="250"/>
  </r>
  <r>
    <x v="782"/>
    <x v="389"/>
    <x v="389"/>
    <x v="384"/>
    <x v="628"/>
    <x v="1"/>
    <x v="2"/>
    <x v="404"/>
    <x v="254"/>
    <x v="1"/>
    <x v="33"/>
    <x v="0"/>
    <x v="0"/>
    <x v="1"/>
    <x v="3"/>
    <x v="3"/>
    <x v="2"/>
    <x v="1"/>
    <x v="2"/>
    <x v="1"/>
    <x v="1"/>
    <x v="185"/>
    <x v="1"/>
    <x v="6"/>
    <x v="2"/>
    <x v="392"/>
    <x v="8"/>
    <x v="3"/>
    <x v="0"/>
    <x v="1"/>
    <x v="0"/>
    <x v="0"/>
    <x v="0"/>
    <x v="251"/>
  </r>
  <r>
    <x v="783"/>
    <x v="386"/>
    <x v="386"/>
    <x v="381"/>
    <x v="0"/>
    <x v="1"/>
    <x v="2"/>
    <x v="401"/>
    <x v="279"/>
    <x v="1"/>
    <x v="33"/>
    <x v="0"/>
    <x v="0"/>
    <x v="3"/>
    <x v="1"/>
    <x v="1"/>
    <x v="2"/>
    <x v="1"/>
    <x v="2"/>
    <x v="1"/>
    <x v="1"/>
    <x v="184"/>
    <x v="2"/>
    <x v="3"/>
    <x v="4"/>
    <x v="389"/>
    <x v="8"/>
    <x v="3"/>
    <x v="0"/>
    <x v="1"/>
    <x v="0"/>
    <x v="460"/>
    <x v="0"/>
    <x v="252"/>
  </r>
  <r>
    <x v="784"/>
    <x v="261"/>
    <x v="261"/>
    <x v="257"/>
    <x v="629"/>
    <x v="3"/>
    <x v="2"/>
    <x v="272"/>
    <x v="119"/>
    <x v="1"/>
    <x v="15"/>
    <x v="0"/>
    <x v="0"/>
    <x v="1"/>
    <x v="1"/>
    <x v="1"/>
    <x v="2"/>
    <x v="1"/>
    <x v="2"/>
    <x v="1"/>
    <x v="2"/>
    <x v="0"/>
    <x v="1"/>
    <x v="6"/>
    <x v="2"/>
    <x v="261"/>
    <x v="12"/>
    <x v="0"/>
    <x v="0"/>
    <x v="1"/>
    <x v="0"/>
    <x v="0"/>
    <x v="0"/>
    <x v="0"/>
  </r>
  <r>
    <x v="785"/>
    <x v="307"/>
    <x v="308"/>
    <x v="303"/>
    <x v="630"/>
    <x v="1"/>
    <x v="2"/>
    <x v="321"/>
    <x v="313"/>
    <x v="1"/>
    <x v="160"/>
    <x v="0"/>
    <x v="0"/>
    <x v="1"/>
    <x v="1"/>
    <x v="1"/>
    <x v="2"/>
    <x v="1"/>
    <x v="2"/>
    <x v="1"/>
    <x v="2"/>
    <x v="0"/>
    <x v="1"/>
    <x v="6"/>
    <x v="2"/>
    <x v="309"/>
    <x v="12"/>
    <x v="0"/>
    <x v="0"/>
    <x v="1"/>
    <x v="0"/>
    <x v="0"/>
    <x v="0"/>
    <x v="0"/>
  </r>
  <r>
    <x v="786"/>
    <x v="390"/>
    <x v="390"/>
    <x v="385"/>
    <x v="631"/>
    <x v="1"/>
    <x v="4"/>
    <x v="405"/>
    <x v="27"/>
    <x v="1"/>
    <x v="15"/>
    <x v="0"/>
    <x v="0"/>
    <x v="1"/>
    <x v="1"/>
    <x v="1"/>
    <x v="2"/>
    <x v="1"/>
    <x v="1"/>
    <x v="1"/>
    <x v="2"/>
    <x v="0"/>
    <x v="1"/>
    <x v="6"/>
    <x v="2"/>
    <x v="393"/>
    <x v="12"/>
    <x v="0"/>
    <x v="0"/>
    <x v="1"/>
    <x v="0"/>
    <x v="0"/>
    <x v="0"/>
    <x v="0"/>
  </r>
  <r>
    <x v="787"/>
    <x v="391"/>
    <x v="391"/>
    <x v="386"/>
    <x v="632"/>
    <x v="3"/>
    <x v="2"/>
    <x v="406"/>
    <x v="281"/>
    <x v="1"/>
    <x v="3"/>
    <x v="0"/>
    <x v="0"/>
    <x v="1"/>
    <x v="3"/>
    <x v="2"/>
    <x v="2"/>
    <x v="1"/>
    <x v="1"/>
    <x v="1"/>
    <x v="1"/>
    <x v="186"/>
    <x v="1"/>
    <x v="6"/>
    <x v="2"/>
    <x v="394"/>
    <x v="12"/>
    <x v="3"/>
    <x v="0"/>
    <x v="1"/>
    <x v="0"/>
    <x v="461"/>
    <x v="236"/>
    <x v="253"/>
  </r>
  <r>
    <x v="788"/>
    <x v="392"/>
    <x v="392"/>
    <x v="387"/>
    <x v="633"/>
    <x v="1"/>
    <x v="2"/>
    <x v="407"/>
    <x v="115"/>
    <x v="1"/>
    <x v="1"/>
    <x v="0"/>
    <x v="0"/>
    <x v="1"/>
    <x v="2"/>
    <x v="3"/>
    <x v="2"/>
    <x v="1"/>
    <x v="2"/>
    <x v="1"/>
    <x v="1"/>
    <x v="186"/>
    <x v="1"/>
    <x v="2"/>
    <x v="3"/>
    <x v="395"/>
    <x v="2"/>
    <x v="1"/>
    <x v="1"/>
    <x v="1"/>
    <x v="0"/>
    <x v="462"/>
    <x v="237"/>
    <x v="0"/>
  </r>
  <r>
    <x v="789"/>
    <x v="141"/>
    <x v="141"/>
    <x v="139"/>
    <x v="634"/>
    <x v="1"/>
    <x v="1"/>
    <x v="145"/>
    <x v="314"/>
    <x v="1"/>
    <x v="15"/>
    <x v="0"/>
    <x v="0"/>
    <x v="1"/>
    <x v="3"/>
    <x v="2"/>
    <x v="2"/>
    <x v="1"/>
    <x v="2"/>
    <x v="1"/>
    <x v="1"/>
    <x v="186"/>
    <x v="1"/>
    <x v="1"/>
    <x v="2"/>
    <x v="140"/>
    <x v="5"/>
    <x v="1"/>
    <x v="1"/>
    <x v="1"/>
    <x v="0"/>
    <x v="463"/>
    <x v="0"/>
    <x v="0"/>
  </r>
  <r>
    <x v="790"/>
    <x v="141"/>
    <x v="141"/>
    <x v="139"/>
    <x v="634"/>
    <x v="1"/>
    <x v="1"/>
    <x v="145"/>
    <x v="125"/>
    <x v="1"/>
    <x v="15"/>
    <x v="0"/>
    <x v="0"/>
    <x v="3"/>
    <x v="3"/>
    <x v="3"/>
    <x v="2"/>
    <x v="1"/>
    <x v="2"/>
    <x v="1"/>
    <x v="1"/>
    <x v="187"/>
    <x v="1"/>
    <x v="3"/>
    <x v="4"/>
    <x v="140"/>
    <x v="5"/>
    <x v="1"/>
    <x v="1"/>
    <x v="1"/>
    <x v="0"/>
    <x v="464"/>
    <x v="0"/>
    <x v="0"/>
  </r>
  <r>
    <x v="791"/>
    <x v="393"/>
    <x v="393"/>
    <x v="388"/>
    <x v="635"/>
    <x v="3"/>
    <x v="2"/>
    <x v="408"/>
    <x v="292"/>
    <x v="1"/>
    <x v="2"/>
    <x v="0"/>
    <x v="0"/>
    <x v="1"/>
    <x v="3"/>
    <x v="3"/>
    <x v="2"/>
    <x v="1"/>
    <x v="1"/>
    <x v="1"/>
    <x v="1"/>
    <x v="187"/>
    <x v="1"/>
    <x v="1"/>
    <x v="2"/>
    <x v="396"/>
    <x v="11"/>
    <x v="3"/>
    <x v="0"/>
    <x v="1"/>
    <x v="0"/>
    <x v="465"/>
    <x v="0"/>
    <x v="0"/>
  </r>
  <r>
    <x v="792"/>
    <x v="394"/>
    <x v="394"/>
    <x v="389"/>
    <x v="636"/>
    <x v="1"/>
    <x v="1"/>
    <x v="409"/>
    <x v="315"/>
    <x v="1"/>
    <x v="161"/>
    <x v="0"/>
    <x v="0"/>
    <x v="1"/>
    <x v="1"/>
    <x v="1"/>
    <x v="2"/>
    <x v="1"/>
    <x v="2"/>
    <x v="1"/>
    <x v="2"/>
    <x v="0"/>
    <x v="1"/>
    <x v="1"/>
    <x v="5"/>
    <x v="397"/>
    <x v="5"/>
    <x v="0"/>
    <x v="0"/>
    <x v="1"/>
    <x v="0"/>
    <x v="0"/>
    <x v="0"/>
    <x v="0"/>
  </r>
  <r>
    <x v="793"/>
    <x v="395"/>
    <x v="395"/>
    <x v="390"/>
    <x v="637"/>
    <x v="3"/>
    <x v="2"/>
    <x v="347"/>
    <x v="10"/>
    <x v="1"/>
    <x v="70"/>
    <x v="0"/>
    <x v="0"/>
    <x v="1"/>
    <x v="1"/>
    <x v="2"/>
    <x v="2"/>
    <x v="1"/>
    <x v="2"/>
    <x v="1"/>
    <x v="1"/>
    <x v="187"/>
    <x v="1"/>
    <x v="1"/>
    <x v="2"/>
    <x v="398"/>
    <x v="5"/>
    <x v="3"/>
    <x v="0"/>
    <x v="1"/>
    <x v="0"/>
    <x v="408"/>
    <x v="0"/>
    <x v="198"/>
  </r>
  <r>
    <x v="794"/>
    <x v="392"/>
    <x v="392"/>
    <x v="387"/>
    <x v="0"/>
    <x v="1"/>
    <x v="2"/>
    <x v="407"/>
    <x v="115"/>
    <x v="1"/>
    <x v="1"/>
    <x v="0"/>
    <x v="0"/>
    <x v="3"/>
    <x v="4"/>
    <x v="1"/>
    <x v="2"/>
    <x v="1"/>
    <x v="2"/>
    <x v="1"/>
    <x v="2"/>
    <x v="0"/>
    <x v="2"/>
    <x v="3"/>
    <x v="4"/>
    <x v="395"/>
    <x v="5"/>
    <x v="0"/>
    <x v="0"/>
    <x v="1"/>
    <x v="0"/>
    <x v="0"/>
    <x v="0"/>
    <x v="0"/>
  </r>
  <r>
    <x v="795"/>
    <x v="387"/>
    <x v="387"/>
    <x v="382"/>
    <x v="0"/>
    <x v="1"/>
    <x v="2"/>
    <x v="402"/>
    <x v="312"/>
    <x v="1"/>
    <x v="33"/>
    <x v="0"/>
    <x v="0"/>
    <x v="3"/>
    <x v="1"/>
    <x v="1"/>
    <x v="2"/>
    <x v="1"/>
    <x v="2"/>
    <x v="1"/>
    <x v="2"/>
    <x v="0"/>
    <x v="2"/>
    <x v="3"/>
    <x v="4"/>
    <x v="390"/>
    <x v="5"/>
    <x v="0"/>
    <x v="0"/>
    <x v="1"/>
    <x v="0"/>
    <x v="0"/>
    <x v="0"/>
    <x v="0"/>
  </r>
  <r>
    <x v="796"/>
    <x v="141"/>
    <x v="141"/>
    <x v="139"/>
    <x v="638"/>
    <x v="1"/>
    <x v="1"/>
    <x v="145"/>
    <x v="125"/>
    <x v="2"/>
    <x v="0"/>
    <x v="6"/>
    <x v="0"/>
    <x v="1"/>
    <x v="2"/>
    <x v="3"/>
    <x v="2"/>
    <x v="1"/>
    <x v="2"/>
    <x v="1"/>
    <x v="1"/>
    <x v="187"/>
    <x v="1"/>
    <x v="2"/>
    <x v="2"/>
    <x v="140"/>
    <x v="5"/>
    <x v="1"/>
    <x v="1"/>
    <x v="1"/>
    <x v="0"/>
    <x v="466"/>
    <x v="0"/>
    <x v="0"/>
  </r>
  <r>
    <x v="797"/>
    <x v="396"/>
    <x v="396"/>
    <x v="391"/>
    <x v="639"/>
    <x v="1"/>
    <x v="2"/>
    <x v="410"/>
    <x v="171"/>
    <x v="1"/>
    <x v="162"/>
    <x v="0"/>
    <x v="0"/>
    <x v="1"/>
    <x v="3"/>
    <x v="2"/>
    <x v="2"/>
    <x v="1"/>
    <x v="3"/>
    <x v="1"/>
    <x v="1"/>
    <x v="188"/>
    <x v="1"/>
    <x v="1"/>
    <x v="2"/>
    <x v="399"/>
    <x v="5"/>
    <x v="3"/>
    <x v="0"/>
    <x v="1"/>
    <x v="0"/>
    <x v="467"/>
    <x v="0"/>
    <x v="0"/>
  </r>
  <r>
    <x v="798"/>
    <x v="141"/>
    <x v="141"/>
    <x v="139"/>
    <x v="0"/>
    <x v="1"/>
    <x v="1"/>
    <x v="145"/>
    <x v="125"/>
    <x v="2"/>
    <x v="0"/>
    <x v="6"/>
    <x v="0"/>
    <x v="3"/>
    <x v="1"/>
    <x v="1"/>
    <x v="2"/>
    <x v="1"/>
    <x v="2"/>
    <x v="1"/>
    <x v="2"/>
    <x v="0"/>
    <x v="2"/>
    <x v="3"/>
    <x v="4"/>
    <x v="140"/>
    <x v="5"/>
    <x v="0"/>
    <x v="0"/>
    <x v="1"/>
    <x v="0"/>
    <x v="0"/>
    <x v="0"/>
    <x v="0"/>
  </r>
  <r>
    <x v="799"/>
    <x v="397"/>
    <x v="397"/>
    <x v="392"/>
    <x v="640"/>
    <x v="1"/>
    <x v="2"/>
    <x v="411"/>
    <x v="316"/>
    <x v="1"/>
    <x v="9"/>
    <x v="0"/>
    <x v="0"/>
    <x v="1"/>
    <x v="2"/>
    <x v="3"/>
    <x v="2"/>
    <x v="1"/>
    <x v="1"/>
    <x v="1"/>
    <x v="1"/>
    <x v="188"/>
    <x v="1"/>
    <x v="5"/>
    <x v="3"/>
    <x v="400"/>
    <x v="1"/>
    <x v="3"/>
    <x v="0"/>
    <x v="1"/>
    <x v="0"/>
    <x v="468"/>
    <x v="238"/>
    <x v="0"/>
  </r>
  <r>
    <x v="800"/>
    <x v="398"/>
    <x v="398"/>
    <x v="393"/>
    <x v="641"/>
    <x v="1"/>
    <x v="2"/>
    <x v="412"/>
    <x v="92"/>
    <x v="1"/>
    <x v="4"/>
    <x v="0"/>
    <x v="0"/>
    <x v="1"/>
    <x v="3"/>
    <x v="3"/>
    <x v="2"/>
    <x v="1"/>
    <x v="2"/>
    <x v="1"/>
    <x v="1"/>
    <x v="189"/>
    <x v="2"/>
    <x v="1"/>
    <x v="2"/>
    <x v="401"/>
    <x v="1"/>
    <x v="3"/>
    <x v="0"/>
    <x v="1"/>
    <x v="0"/>
    <x v="469"/>
    <x v="0"/>
    <x v="0"/>
  </r>
  <r>
    <x v="801"/>
    <x v="399"/>
    <x v="358"/>
    <x v="353"/>
    <x v="642"/>
    <x v="1"/>
    <x v="2"/>
    <x v="372"/>
    <x v="150"/>
    <x v="1"/>
    <x v="4"/>
    <x v="0"/>
    <x v="0"/>
    <x v="1"/>
    <x v="3"/>
    <x v="2"/>
    <x v="2"/>
    <x v="1"/>
    <x v="2"/>
    <x v="1"/>
    <x v="1"/>
    <x v="189"/>
    <x v="1"/>
    <x v="1"/>
    <x v="2"/>
    <x v="360"/>
    <x v="5"/>
    <x v="3"/>
    <x v="0"/>
    <x v="1"/>
    <x v="0"/>
    <x v="469"/>
    <x v="0"/>
    <x v="0"/>
  </r>
  <r>
    <x v="802"/>
    <x v="400"/>
    <x v="399"/>
    <x v="394"/>
    <x v="643"/>
    <x v="1"/>
    <x v="3"/>
    <x v="251"/>
    <x v="317"/>
    <x v="1"/>
    <x v="2"/>
    <x v="0"/>
    <x v="0"/>
    <x v="1"/>
    <x v="1"/>
    <x v="1"/>
    <x v="2"/>
    <x v="1"/>
    <x v="3"/>
    <x v="1"/>
    <x v="1"/>
    <x v="189"/>
    <x v="1"/>
    <x v="1"/>
    <x v="2"/>
    <x v="402"/>
    <x v="5"/>
    <x v="1"/>
    <x v="1"/>
    <x v="1"/>
    <x v="0"/>
    <x v="470"/>
    <x v="0"/>
    <x v="0"/>
  </r>
  <r>
    <x v="803"/>
    <x v="400"/>
    <x v="399"/>
    <x v="394"/>
    <x v="0"/>
    <x v="1"/>
    <x v="3"/>
    <x v="251"/>
    <x v="318"/>
    <x v="1"/>
    <x v="2"/>
    <x v="0"/>
    <x v="0"/>
    <x v="3"/>
    <x v="1"/>
    <x v="1"/>
    <x v="2"/>
    <x v="1"/>
    <x v="3"/>
    <x v="1"/>
    <x v="2"/>
    <x v="0"/>
    <x v="2"/>
    <x v="3"/>
    <x v="4"/>
    <x v="402"/>
    <x v="5"/>
    <x v="0"/>
    <x v="0"/>
    <x v="1"/>
    <x v="0"/>
    <x v="0"/>
    <x v="0"/>
    <x v="0"/>
  </r>
  <r>
    <x v="804"/>
    <x v="401"/>
    <x v="400"/>
    <x v="395"/>
    <x v="644"/>
    <x v="3"/>
    <x v="2"/>
    <x v="413"/>
    <x v="203"/>
    <x v="1"/>
    <x v="4"/>
    <x v="0"/>
    <x v="0"/>
    <x v="1"/>
    <x v="1"/>
    <x v="1"/>
    <x v="2"/>
    <x v="1"/>
    <x v="3"/>
    <x v="1"/>
    <x v="1"/>
    <x v="190"/>
    <x v="1"/>
    <x v="6"/>
    <x v="2"/>
    <x v="403"/>
    <x v="5"/>
    <x v="3"/>
    <x v="0"/>
    <x v="1"/>
    <x v="0"/>
    <x v="471"/>
    <x v="0"/>
    <x v="254"/>
  </r>
  <r>
    <x v="805"/>
    <x v="402"/>
    <x v="401"/>
    <x v="396"/>
    <x v="645"/>
    <x v="3"/>
    <x v="1"/>
    <x v="414"/>
    <x v="319"/>
    <x v="1"/>
    <x v="9"/>
    <x v="0"/>
    <x v="0"/>
    <x v="1"/>
    <x v="3"/>
    <x v="3"/>
    <x v="2"/>
    <x v="2"/>
    <x v="2"/>
    <x v="1"/>
    <x v="1"/>
    <x v="191"/>
    <x v="1"/>
    <x v="6"/>
    <x v="2"/>
    <x v="404"/>
    <x v="5"/>
    <x v="3"/>
    <x v="0"/>
    <x v="1"/>
    <x v="0"/>
    <x v="472"/>
    <x v="239"/>
    <x v="255"/>
  </r>
  <r>
    <x v="806"/>
    <x v="388"/>
    <x v="388"/>
    <x v="383"/>
    <x v="646"/>
    <x v="1"/>
    <x v="2"/>
    <x v="403"/>
    <x v="10"/>
    <x v="1"/>
    <x v="2"/>
    <x v="0"/>
    <x v="0"/>
    <x v="1"/>
    <x v="1"/>
    <x v="1"/>
    <x v="2"/>
    <x v="2"/>
    <x v="2"/>
    <x v="1"/>
    <x v="2"/>
    <x v="0"/>
    <x v="1"/>
    <x v="6"/>
    <x v="2"/>
    <x v="391"/>
    <x v="12"/>
    <x v="0"/>
    <x v="0"/>
    <x v="1"/>
    <x v="0"/>
    <x v="0"/>
    <x v="0"/>
    <x v="0"/>
  </r>
  <r>
    <x v="807"/>
    <x v="403"/>
    <x v="402"/>
    <x v="397"/>
    <x v="647"/>
    <x v="1"/>
    <x v="2"/>
    <x v="415"/>
    <x v="320"/>
    <x v="1"/>
    <x v="161"/>
    <x v="0"/>
    <x v="0"/>
    <x v="1"/>
    <x v="3"/>
    <x v="2"/>
    <x v="2"/>
    <x v="1"/>
    <x v="2"/>
    <x v="1"/>
    <x v="1"/>
    <x v="192"/>
    <x v="2"/>
    <x v="6"/>
    <x v="2"/>
    <x v="405"/>
    <x v="12"/>
    <x v="1"/>
    <x v="3"/>
    <x v="1"/>
    <x v="0"/>
    <x v="473"/>
    <x v="0"/>
    <x v="256"/>
  </r>
  <r>
    <x v="808"/>
    <x v="141"/>
    <x v="141"/>
    <x v="139"/>
    <x v="648"/>
    <x v="1"/>
    <x v="1"/>
    <x v="145"/>
    <x v="125"/>
    <x v="2"/>
    <x v="0"/>
    <x v="6"/>
    <x v="0"/>
    <x v="1"/>
    <x v="2"/>
    <x v="3"/>
    <x v="2"/>
    <x v="1"/>
    <x v="2"/>
    <x v="1"/>
    <x v="1"/>
    <x v="192"/>
    <x v="1"/>
    <x v="4"/>
    <x v="2"/>
    <x v="140"/>
    <x v="12"/>
    <x v="1"/>
    <x v="5"/>
    <x v="1"/>
    <x v="0"/>
    <x v="474"/>
    <x v="0"/>
    <x v="257"/>
  </r>
  <r>
    <x v="809"/>
    <x v="404"/>
    <x v="403"/>
    <x v="398"/>
    <x v="649"/>
    <x v="1"/>
    <x v="2"/>
    <x v="416"/>
    <x v="208"/>
    <x v="1"/>
    <x v="3"/>
    <x v="0"/>
    <x v="0"/>
    <x v="1"/>
    <x v="3"/>
    <x v="2"/>
    <x v="1"/>
    <x v="1"/>
    <x v="3"/>
    <x v="1"/>
    <x v="1"/>
    <x v="193"/>
    <x v="1"/>
    <x v="1"/>
    <x v="2"/>
    <x v="406"/>
    <x v="5"/>
    <x v="3"/>
    <x v="0"/>
    <x v="1"/>
    <x v="0"/>
    <x v="475"/>
    <x v="240"/>
    <x v="258"/>
  </r>
  <r>
    <x v="810"/>
    <x v="405"/>
    <x v="404"/>
    <x v="399"/>
    <x v="650"/>
    <x v="1"/>
    <x v="2"/>
    <x v="417"/>
    <x v="321"/>
    <x v="1"/>
    <x v="163"/>
    <x v="0"/>
    <x v="0"/>
    <x v="1"/>
    <x v="1"/>
    <x v="1"/>
    <x v="1"/>
    <x v="1"/>
    <x v="2"/>
    <x v="1"/>
    <x v="2"/>
    <x v="0"/>
    <x v="1"/>
    <x v="1"/>
    <x v="2"/>
    <x v="407"/>
    <x v="12"/>
    <x v="0"/>
    <x v="0"/>
    <x v="1"/>
    <x v="0"/>
    <x v="0"/>
    <x v="0"/>
    <x v="0"/>
  </r>
  <r>
    <x v="811"/>
    <x v="406"/>
    <x v="405"/>
    <x v="400"/>
    <x v="651"/>
    <x v="1"/>
    <x v="2"/>
    <x v="418"/>
    <x v="322"/>
    <x v="1"/>
    <x v="24"/>
    <x v="0"/>
    <x v="0"/>
    <x v="1"/>
    <x v="2"/>
    <x v="3"/>
    <x v="1"/>
    <x v="1"/>
    <x v="2"/>
    <x v="1"/>
    <x v="1"/>
    <x v="193"/>
    <x v="1"/>
    <x v="1"/>
    <x v="2"/>
    <x v="408"/>
    <x v="5"/>
    <x v="3"/>
    <x v="0"/>
    <x v="1"/>
    <x v="0"/>
    <x v="476"/>
    <x v="241"/>
    <x v="259"/>
  </r>
  <r>
    <x v="812"/>
    <x v="157"/>
    <x v="157"/>
    <x v="155"/>
    <x v="652"/>
    <x v="3"/>
    <x v="2"/>
    <x v="163"/>
    <x v="30"/>
    <x v="1"/>
    <x v="164"/>
    <x v="0"/>
    <x v="0"/>
    <x v="1"/>
    <x v="1"/>
    <x v="1"/>
    <x v="1"/>
    <x v="1"/>
    <x v="2"/>
    <x v="1"/>
    <x v="2"/>
    <x v="0"/>
    <x v="1"/>
    <x v="1"/>
    <x v="2"/>
    <x v="156"/>
    <x v="2"/>
    <x v="0"/>
    <x v="0"/>
    <x v="1"/>
    <x v="0"/>
    <x v="0"/>
    <x v="0"/>
    <x v="0"/>
  </r>
  <r>
    <x v="813"/>
    <x v="407"/>
    <x v="406"/>
    <x v="401"/>
    <x v="653"/>
    <x v="3"/>
    <x v="2"/>
    <x v="419"/>
    <x v="323"/>
    <x v="1"/>
    <x v="9"/>
    <x v="0"/>
    <x v="0"/>
    <x v="1"/>
    <x v="3"/>
    <x v="3"/>
    <x v="2"/>
    <x v="2"/>
    <x v="2"/>
    <x v="1"/>
    <x v="1"/>
    <x v="192"/>
    <x v="1"/>
    <x v="1"/>
    <x v="2"/>
    <x v="409"/>
    <x v="5"/>
    <x v="1"/>
    <x v="3"/>
    <x v="2"/>
    <x v="1"/>
    <x v="477"/>
    <x v="0"/>
    <x v="0"/>
  </r>
  <r>
    <x v="814"/>
    <x v="408"/>
    <x v="407"/>
    <x v="402"/>
    <x v="654"/>
    <x v="3"/>
    <x v="2"/>
    <x v="420"/>
    <x v="10"/>
    <x v="1"/>
    <x v="3"/>
    <x v="0"/>
    <x v="0"/>
    <x v="1"/>
    <x v="3"/>
    <x v="2"/>
    <x v="2"/>
    <x v="1"/>
    <x v="2"/>
    <x v="1"/>
    <x v="1"/>
    <x v="192"/>
    <x v="2"/>
    <x v="1"/>
    <x v="2"/>
    <x v="410"/>
    <x v="4"/>
    <x v="1"/>
    <x v="12"/>
    <x v="1"/>
    <x v="0"/>
    <x v="478"/>
    <x v="0"/>
    <x v="0"/>
  </r>
  <r>
    <x v="815"/>
    <x v="141"/>
    <x v="141"/>
    <x v="139"/>
    <x v="0"/>
    <x v="1"/>
    <x v="1"/>
    <x v="145"/>
    <x v="10"/>
    <x v="2"/>
    <x v="0"/>
    <x v="6"/>
    <x v="0"/>
    <x v="3"/>
    <x v="4"/>
    <x v="1"/>
    <x v="1"/>
    <x v="1"/>
    <x v="2"/>
    <x v="1"/>
    <x v="2"/>
    <x v="0"/>
    <x v="2"/>
    <x v="3"/>
    <x v="4"/>
    <x v="140"/>
    <x v="2"/>
    <x v="0"/>
    <x v="0"/>
    <x v="1"/>
    <x v="0"/>
    <x v="0"/>
    <x v="0"/>
    <x v="0"/>
  </r>
  <r>
    <x v="816"/>
    <x v="391"/>
    <x v="391"/>
    <x v="386"/>
    <x v="655"/>
    <x v="3"/>
    <x v="2"/>
    <x v="406"/>
    <x v="281"/>
    <x v="1"/>
    <x v="24"/>
    <x v="0"/>
    <x v="0"/>
    <x v="1"/>
    <x v="2"/>
    <x v="3"/>
    <x v="2"/>
    <x v="1"/>
    <x v="2"/>
    <x v="1"/>
    <x v="1"/>
    <x v="194"/>
    <x v="1"/>
    <x v="2"/>
    <x v="2"/>
    <x v="394"/>
    <x v="5"/>
    <x v="1"/>
    <x v="7"/>
    <x v="1"/>
    <x v="0"/>
    <x v="479"/>
    <x v="0"/>
    <x v="260"/>
  </r>
  <r>
    <x v="817"/>
    <x v="408"/>
    <x v="407"/>
    <x v="402"/>
    <x v="0"/>
    <x v="3"/>
    <x v="2"/>
    <x v="420"/>
    <x v="59"/>
    <x v="1"/>
    <x v="3"/>
    <x v="0"/>
    <x v="0"/>
    <x v="3"/>
    <x v="1"/>
    <x v="1"/>
    <x v="2"/>
    <x v="1"/>
    <x v="3"/>
    <x v="1"/>
    <x v="2"/>
    <x v="0"/>
    <x v="2"/>
    <x v="3"/>
    <x v="4"/>
    <x v="410"/>
    <x v="13"/>
    <x v="0"/>
    <x v="0"/>
    <x v="1"/>
    <x v="0"/>
    <x v="0"/>
    <x v="0"/>
    <x v="0"/>
  </r>
  <r>
    <x v="818"/>
    <x v="409"/>
    <x v="402"/>
    <x v="397"/>
    <x v="0"/>
    <x v="1"/>
    <x v="2"/>
    <x v="415"/>
    <x v="324"/>
    <x v="1"/>
    <x v="161"/>
    <x v="0"/>
    <x v="0"/>
    <x v="3"/>
    <x v="1"/>
    <x v="1"/>
    <x v="2"/>
    <x v="1"/>
    <x v="2"/>
    <x v="1"/>
    <x v="2"/>
    <x v="0"/>
    <x v="2"/>
    <x v="3"/>
    <x v="4"/>
    <x v="405"/>
    <x v="3"/>
    <x v="0"/>
    <x v="0"/>
    <x v="1"/>
    <x v="0"/>
    <x v="0"/>
    <x v="0"/>
    <x v="0"/>
  </r>
  <r>
    <x v="819"/>
    <x v="407"/>
    <x v="406"/>
    <x v="401"/>
    <x v="656"/>
    <x v="1"/>
    <x v="2"/>
    <x v="419"/>
    <x v="59"/>
    <x v="1"/>
    <x v="9"/>
    <x v="0"/>
    <x v="0"/>
    <x v="3"/>
    <x v="1"/>
    <x v="1"/>
    <x v="2"/>
    <x v="2"/>
    <x v="2"/>
    <x v="1"/>
    <x v="2"/>
    <x v="0"/>
    <x v="1"/>
    <x v="3"/>
    <x v="4"/>
    <x v="409"/>
    <x v="3"/>
    <x v="0"/>
    <x v="0"/>
    <x v="1"/>
    <x v="0"/>
    <x v="0"/>
    <x v="0"/>
    <x v="0"/>
  </r>
  <r>
    <x v="820"/>
    <x v="391"/>
    <x v="391"/>
    <x v="386"/>
    <x v="655"/>
    <x v="3"/>
    <x v="2"/>
    <x v="406"/>
    <x v="281"/>
    <x v="1"/>
    <x v="24"/>
    <x v="0"/>
    <x v="0"/>
    <x v="3"/>
    <x v="4"/>
    <x v="1"/>
    <x v="2"/>
    <x v="1"/>
    <x v="2"/>
    <x v="1"/>
    <x v="2"/>
    <x v="0"/>
    <x v="2"/>
    <x v="3"/>
    <x v="4"/>
    <x v="394"/>
    <x v="12"/>
    <x v="0"/>
    <x v="0"/>
    <x v="1"/>
    <x v="0"/>
    <x v="0"/>
    <x v="0"/>
    <x v="0"/>
  </r>
  <r>
    <x v="821"/>
    <x v="410"/>
    <x v="408"/>
    <x v="403"/>
    <x v="657"/>
    <x v="1"/>
    <x v="1"/>
    <x v="421"/>
    <x v="134"/>
    <x v="1"/>
    <x v="36"/>
    <x v="0"/>
    <x v="0"/>
    <x v="1"/>
    <x v="5"/>
    <x v="1"/>
    <x v="2"/>
    <x v="1"/>
    <x v="2"/>
    <x v="1"/>
    <x v="2"/>
    <x v="0"/>
    <x v="1"/>
    <x v="1"/>
    <x v="13"/>
    <x v="411"/>
    <x v="4"/>
    <x v="0"/>
    <x v="0"/>
    <x v="1"/>
    <x v="0"/>
    <x v="0"/>
    <x v="0"/>
    <x v="0"/>
  </r>
  <r>
    <x v="822"/>
    <x v="407"/>
    <x v="406"/>
    <x v="401"/>
    <x v="658"/>
    <x v="3"/>
    <x v="2"/>
    <x v="419"/>
    <x v="323"/>
    <x v="6"/>
    <x v="0"/>
    <x v="0"/>
    <x v="19"/>
    <x v="1"/>
    <x v="1"/>
    <x v="1"/>
    <x v="2"/>
    <x v="2"/>
    <x v="2"/>
    <x v="1"/>
    <x v="2"/>
    <x v="0"/>
    <x v="1"/>
    <x v="1"/>
    <x v="2"/>
    <x v="409"/>
    <x v="12"/>
    <x v="0"/>
    <x v="0"/>
    <x v="1"/>
    <x v="0"/>
    <x v="0"/>
    <x v="0"/>
    <x v="0"/>
  </r>
  <r>
    <x v="823"/>
    <x v="411"/>
    <x v="193"/>
    <x v="191"/>
    <x v="659"/>
    <x v="1"/>
    <x v="2"/>
    <x v="204"/>
    <x v="168"/>
    <x v="1"/>
    <x v="33"/>
    <x v="0"/>
    <x v="0"/>
    <x v="1"/>
    <x v="3"/>
    <x v="3"/>
    <x v="2"/>
    <x v="1"/>
    <x v="1"/>
    <x v="1"/>
    <x v="1"/>
    <x v="195"/>
    <x v="1"/>
    <x v="1"/>
    <x v="1"/>
    <x v="193"/>
    <x v="13"/>
    <x v="2"/>
    <x v="0"/>
    <x v="1"/>
    <x v="0"/>
    <x v="480"/>
    <x v="0"/>
    <x v="0"/>
  </r>
  <r>
    <x v="824"/>
    <x v="412"/>
    <x v="409"/>
    <x v="404"/>
    <x v="660"/>
    <x v="1"/>
    <x v="3"/>
    <x v="422"/>
    <x v="325"/>
    <x v="1"/>
    <x v="15"/>
    <x v="0"/>
    <x v="0"/>
    <x v="1"/>
    <x v="3"/>
    <x v="3"/>
    <x v="2"/>
    <x v="1"/>
    <x v="1"/>
    <x v="1"/>
    <x v="1"/>
    <x v="195"/>
    <x v="2"/>
    <x v="1"/>
    <x v="2"/>
    <x v="412"/>
    <x v="12"/>
    <x v="1"/>
    <x v="3"/>
    <x v="1"/>
    <x v="0"/>
    <x v="481"/>
    <x v="0"/>
    <x v="261"/>
  </r>
  <r>
    <x v="825"/>
    <x v="413"/>
    <x v="410"/>
    <x v="405"/>
    <x v="661"/>
    <x v="1"/>
    <x v="4"/>
    <x v="423"/>
    <x v="326"/>
    <x v="2"/>
    <x v="0"/>
    <x v="6"/>
    <x v="0"/>
    <x v="1"/>
    <x v="2"/>
    <x v="3"/>
    <x v="2"/>
    <x v="1"/>
    <x v="2"/>
    <x v="1"/>
    <x v="1"/>
    <x v="195"/>
    <x v="1"/>
    <x v="5"/>
    <x v="2"/>
    <x v="413"/>
    <x v="12"/>
    <x v="2"/>
    <x v="0"/>
    <x v="1"/>
    <x v="0"/>
    <x v="482"/>
    <x v="0"/>
    <x v="262"/>
  </r>
  <r>
    <x v="826"/>
    <x v="407"/>
    <x v="406"/>
    <x v="401"/>
    <x v="662"/>
    <x v="3"/>
    <x v="2"/>
    <x v="419"/>
    <x v="196"/>
    <x v="6"/>
    <x v="0"/>
    <x v="0"/>
    <x v="20"/>
    <x v="1"/>
    <x v="1"/>
    <x v="1"/>
    <x v="2"/>
    <x v="1"/>
    <x v="1"/>
    <x v="1"/>
    <x v="2"/>
    <x v="0"/>
    <x v="1"/>
    <x v="1"/>
    <x v="2"/>
    <x v="409"/>
    <x v="13"/>
    <x v="0"/>
    <x v="0"/>
    <x v="1"/>
    <x v="0"/>
    <x v="0"/>
    <x v="0"/>
    <x v="0"/>
  </r>
  <r>
    <x v="827"/>
    <x v="412"/>
    <x v="409"/>
    <x v="404"/>
    <x v="0"/>
    <x v="1"/>
    <x v="3"/>
    <x v="422"/>
    <x v="325"/>
    <x v="1"/>
    <x v="15"/>
    <x v="0"/>
    <x v="0"/>
    <x v="3"/>
    <x v="1"/>
    <x v="1"/>
    <x v="2"/>
    <x v="1"/>
    <x v="2"/>
    <x v="1"/>
    <x v="2"/>
    <x v="0"/>
    <x v="2"/>
    <x v="3"/>
    <x v="4"/>
    <x v="412"/>
    <x v="3"/>
    <x v="0"/>
    <x v="0"/>
    <x v="1"/>
    <x v="0"/>
    <x v="0"/>
    <x v="0"/>
    <x v="0"/>
  </r>
  <r>
    <x v="828"/>
    <x v="414"/>
    <x v="411"/>
    <x v="406"/>
    <x v="663"/>
    <x v="1"/>
    <x v="2"/>
    <x v="424"/>
    <x v="198"/>
    <x v="1"/>
    <x v="15"/>
    <x v="0"/>
    <x v="0"/>
    <x v="1"/>
    <x v="3"/>
    <x v="3"/>
    <x v="2"/>
    <x v="1"/>
    <x v="2"/>
    <x v="1"/>
    <x v="1"/>
    <x v="196"/>
    <x v="1"/>
    <x v="1"/>
    <x v="2"/>
    <x v="414"/>
    <x v="13"/>
    <x v="3"/>
    <x v="0"/>
    <x v="1"/>
    <x v="0"/>
    <x v="483"/>
    <x v="0"/>
    <x v="263"/>
  </r>
  <r>
    <x v="829"/>
    <x v="381"/>
    <x v="381"/>
    <x v="376"/>
    <x v="664"/>
    <x v="1"/>
    <x v="2"/>
    <x v="397"/>
    <x v="168"/>
    <x v="1"/>
    <x v="165"/>
    <x v="0"/>
    <x v="0"/>
    <x v="1"/>
    <x v="1"/>
    <x v="1"/>
    <x v="2"/>
    <x v="2"/>
    <x v="2"/>
    <x v="1"/>
    <x v="2"/>
    <x v="0"/>
    <x v="1"/>
    <x v="1"/>
    <x v="2"/>
    <x v="383"/>
    <x v="3"/>
    <x v="0"/>
    <x v="0"/>
    <x v="2"/>
    <x v="1"/>
    <x v="0"/>
    <x v="0"/>
    <x v="0"/>
  </r>
  <r>
    <x v="830"/>
    <x v="415"/>
    <x v="412"/>
    <x v="407"/>
    <x v="665"/>
    <x v="1"/>
    <x v="2"/>
    <x v="425"/>
    <x v="327"/>
    <x v="1"/>
    <x v="36"/>
    <x v="0"/>
    <x v="0"/>
    <x v="1"/>
    <x v="3"/>
    <x v="2"/>
    <x v="2"/>
    <x v="2"/>
    <x v="1"/>
    <x v="1"/>
    <x v="1"/>
    <x v="196"/>
    <x v="1"/>
    <x v="1"/>
    <x v="2"/>
    <x v="415"/>
    <x v="3"/>
    <x v="1"/>
    <x v="1"/>
    <x v="1"/>
    <x v="0"/>
    <x v="484"/>
    <x v="242"/>
    <x v="264"/>
  </r>
  <r>
    <x v="831"/>
    <x v="416"/>
    <x v="413"/>
    <x v="408"/>
    <x v="666"/>
    <x v="1"/>
    <x v="2"/>
    <x v="311"/>
    <x v="10"/>
    <x v="1"/>
    <x v="27"/>
    <x v="0"/>
    <x v="0"/>
    <x v="1"/>
    <x v="1"/>
    <x v="1"/>
    <x v="2"/>
    <x v="1"/>
    <x v="2"/>
    <x v="1"/>
    <x v="1"/>
    <x v="196"/>
    <x v="1"/>
    <x v="1"/>
    <x v="2"/>
    <x v="416"/>
    <x v="3"/>
    <x v="1"/>
    <x v="1"/>
    <x v="1"/>
    <x v="0"/>
    <x v="484"/>
    <x v="243"/>
    <x v="265"/>
  </r>
  <r>
    <x v="832"/>
    <x v="417"/>
    <x v="414"/>
    <x v="409"/>
    <x v="667"/>
    <x v="1"/>
    <x v="2"/>
    <x v="426"/>
    <x v="328"/>
    <x v="1"/>
    <x v="166"/>
    <x v="0"/>
    <x v="0"/>
    <x v="1"/>
    <x v="3"/>
    <x v="3"/>
    <x v="2"/>
    <x v="1"/>
    <x v="2"/>
    <x v="1"/>
    <x v="1"/>
    <x v="197"/>
    <x v="1"/>
    <x v="6"/>
    <x v="2"/>
    <x v="417"/>
    <x v="5"/>
    <x v="1"/>
    <x v="1"/>
    <x v="1"/>
    <x v="0"/>
    <x v="485"/>
    <x v="244"/>
    <x v="0"/>
  </r>
  <r>
    <x v="833"/>
    <x v="416"/>
    <x v="413"/>
    <x v="408"/>
    <x v="668"/>
    <x v="1"/>
    <x v="2"/>
    <x v="311"/>
    <x v="10"/>
    <x v="2"/>
    <x v="0"/>
    <x v="5"/>
    <x v="0"/>
    <x v="1"/>
    <x v="2"/>
    <x v="3"/>
    <x v="2"/>
    <x v="1"/>
    <x v="2"/>
    <x v="1"/>
    <x v="1"/>
    <x v="197"/>
    <x v="1"/>
    <x v="6"/>
    <x v="2"/>
    <x v="416"/>
    <x v="5"/>
    <x v="3"/>
    <x v="0"/>
    <x v="1"/>
    <x v="0"/>
    <x v="486"/>
    <x v="0"/>
    <x v="0"/>
  </r>
  <r>
    <x v="834"/>
    <x v="418"/>
    <x v="415"/>
    <x v="410"/>
    <x v="669"/>
    <x v="1"/>
    <x v="2"/>
    <x v="427"/>
    <x v="205"/>
    <x v="1"/>
    <x v="167"/>
    <x v="0"/>
    <x v="0"/>
    <x v="1"/>
    <x v="1"/>
    <x v="1"/>
    <x v="2"/>
    <x v="1"/>
    <x v="2"/>
    <x v="1"/>
    <x v="2"/>
    <x v="0"/>
    <x v="2"/>
    <x v="6"/>
    <x v="2"/>
    <x v="418"/>
    <x v="5"/>
    <x v="0"/>
    <x v="0"/>
    <x v="1"/>
    <x v="0"/>
    <x v="0"/>
    <x v="0"/>
    <x v="0"/>
  </r>
  <r>
    <x v="835"/>
    <x v="415"/>
    <x v="412"/>
    <x v="407"/>
    <x v="0"/>
    <x v="1"/>
    <x v="2"/>
    <x v="425"/>
    <x v="327"/>
    <x v="1"/>
    <x v="36"/>
    <x v="0"/>
    <x v="0"/>
    <x v="3"/>
    <x v="1"/>
    <x v="1"/>
    <x v="2"/>
    <x v="2"/>
    <x v="1"/>
    <x v="1"/>
    <x v="2"/>
    <x v="0"/>
    <x v="2"/>
    <x v="3"/>
    <x v="4"/>
    <x v="415"/>
    <x v="5"/>
    <x v="0"/>
    <x v="0"/>
    <x v="1"/>
    <x v="0"/>
    <x v="0"/>
    <x v="0"/>
    <x v="0"/>
  </r>
  <r>
    <x v="836"/>
    <x v="419"/>
    <x v="416"/>
    <x v="411"/>
    <x v="670"/>
    <x v="1"/>
    <x v="2"/>
    <x v="428"/>
    <x v="329"/>
    <x v="1"/>
    <x v="36"/>
    <x v="0"/>
    <x v="0"/>
    <x v="1"/>
    <x v="1"/>
    <x v="1"/>
    <x v="2"/>
    <x v="1"/>
    <x v="2"/>
    <x v="1"/>
    <x v="2"/>
    <x v="0"/>
    <x v="1"/>
    <x v="6"/>
    <x v="2"/>
    <x v="419"/>
    <x v="5"/>
    <x v="0"/>
    <x v="0"/>
    <x v="1"/>
    <x v="0"/>
    <x v="0"/>
    <x v="0"/>
    <x v="0"/>
  </r>
  <r>
    <x v="837"/>
    <x v="417"/>
    <x v="414"/>
    <x v="409"/>
    <x v="0"/>
    <x v="1"/>
    <x v="2"/>
    <x v="426"/>
    <x v="328"/>
    <x v="1"/>
    <x v="166"/>
    <x v="0"/>
    <x v="0"/>
    <x v="3"/>
    <x v="1"/>
    <x v="1"/>
    <x v="2"/>
    <x v="1"/>
    <x v="2"/>
    <x v="1"/>
    <x v="2"/>
    <x v="0"/>
    <x v="2"/>
    <x v="3"/>
    <x v="4"/>
    <x v="417"/>
    <x v="5"/>
    <x v="0"/>
    <x v="0"/>
    <x v="1"/>
    <x v="0"/>
    <x v="0"/>
    <x v="0"/>
    <x v="0"/>
  </r>
  <r>
    <x v="838"/>
    <x v="420"/>
    <x v="417"/>
    <x v="412"/>
    <x v="671"/>
    <x v="1"/>
    <x v="3"/>
    <x v="429"/>
    <x v="10"/>
    <x v="2"/>
    <x v="0"/>
    <x v="2"/>
    <x v="0"/>
    <x v="1"/>
    <x v="1"/>
    <x v="1"/>
    <x v="2"/>
    <x v="1"/>
    <x v="2"/>
    <x v="1"/>
    <x v="1"/>
    <x v="198"/>
    <x v="1"/>
    <x v="6"/>
    <x v="2"/>
    <x v="420"/>
    <x v="5"/>
    <x v="1"/>
    <x v="1"/>
    <x v="1"/>
    <x v="0"/>
    <x v="487"/>
    <x v="0"/>
    <x v="0"/>
  </r>
  <r>
    <x v="839"/>
    <x v="421"/>
    <x v="418"/>
    <x v="413"/>
    <x v="672"/>
    <x v="1"/>
    <x v="2"/>
    <x v="430"/>
    <x v="330"/>
    <x v="1"/>
    <x v="2"/>
    <x v="0"/>
    <x v="0"/>
    <x v="1"/>
    <x v="1"/>
    <x v="1"/>
    <x v="2"/>
    <x v="1"/>
    <x v="3"/>
    <x v="1"/>
    <x v="1"/>
    <x v="198"/>
    <x v="1"/>
    <x v="6"/>
    <x v="2"/>
    <x v="421"/>
    <x v="5"/>
    <x v="1"/>
    <x v="1"/>
    <x v="1"/>
    <x v="0"/>
    <x v="488"/>
    <x v="0"/>
    <x v="0"/>
  </r>
  <r>
    <x v="840"/>
    <x v="420"/>
    <x v="417"/>
    <x v="412"/>
    <x v="0"/>
    <x v="1"/>
    <x v="3"/>
    <x v="429"/>
    <x v="10"/>
    <x v="2"/>
    <x v="0"/>
    <x v="2"/>
    <x v="0"/>
    <x v="3"/>
    <x v="1"/>
    <x v="1"/>
    <x v="2"/>
    <x v="1"/>
    <x v="2"/>
    <x v="1"/>
    <x v="2"/>
    <x v="0"/>
    <x v="2"/>
    <x v="3"/>
    <x v="4"/>
    <x v="420"/>
    <x v="5"/>
    <x v="0"/>
    <x v="0"/>
    <x v="1"/>
    <x v="0"/>
    <x v="0"/>
    <x v="0"/>
    <x v="0"/>
  </r>
  <r>
    <x v="841"/>
    <x v="421"/>
    <x v="418"/>
    <x v="413"/>
    <x v="0"/>
    <x v="1"/>
    <x v="2"/>
    <x v="430"/>
    <x v="330"/>
    <x v="1"/>
    <x v="2"/>
    <x v="0"/>
    <x v="0"/>
    <x v="3"/>
    <x v="1"/>
    <x v="1"/>
    <x v="2"/>
    <x v="1"/>
    <x v="3"/>
    <x v="1"/>
    <x v="2"/>
    <x v="0"/>
    <x v="2"/>
    <x v="3"/>
    <x v="4"/>
    <x v="421"/>
    <x v="5"/>
    <x v="0"/>
    <x v="0"/>
    <x v="1"/>
    <x v="0"/>
    <x v="0"/>
    <x v="0"/>
    <x v="0"/>
  </r>
  <r>
    <x v="842"/>
    <x v="422"/>
    <x v="419"/>
    <x v="414"/>
    <x v="673"/>
    <x v="1"/>
    <x v="3"/>
    <x v="431"/>
    <x v="331"/>
    <x v="1"/>
    <x v="168"/>
    <x v="0"/>
    <x v="0"/>
    <x v="1"/>
    <x v="1"/>
    <x v="1"/>
    <x v="1"/>
    <x v="1"/>
    <x v="3"/>
    <x v="1"/>
    <x v="2"/>
    <x v="0"/>
    <x v="2"/>
    <x v="1"/>
    <x v="2"/>
    <x v="422"/>
    <x v="2"/>
    <x v="0"/>
    <x v="0"/>
    <x v="1"/>
    <x v="0"/>
    <x v="0"/>
    <x v="0"/>
    <x v="0"/>
  </r>
  <r>
    <x v="843"/>
    <x v="385"/>
    <x v="385"/>
    <x v="380"/>
    <x v="674"/>
    <x v="1"/>
    <x v="2"/>
    <x v="400"/>
    <x v="332"/>
    <x v="1"/>
    <x v="3"/>
    <x v="0"/>
    <x v="0"/>
    <x v="1"/>
    <x v="3"/>
    <x v="2"/>
    <x v="2"/>
    <x v="1"/>
    <x v="1"/>
    <x v="1"/>
    <x v="1"/>
    <x v="199"/>
    <x v="1"/>
    <x v="1"/>
    <x v="2"/>
    <x v="388"/>
    <x v="12"/>
    <x v="1"/>
    <x v="3"/>
    <x v="1"/>
    <x v="0"/>
    <x v="489"/>
    <x v="245"/>
    <x v="266"/>
  </r>
  <r>
    <x v="844"/>
    <x v="423"/>
    <x v="420"/>
    <x v="415"/>
    <x v="675"/>
    <x v="3"/>
    <x v="2"/>
    <x v="432"/>
    <x v="289"/>
    <x v="1"/>
    <x v="33"/>
    <x v="0"/>
    <x v="0"/>
    <x v="1"/>
    <x v="1"/>
    <x v="1"/>
    <x v="2"/>
    <x v="1"/>
    <x v="1"/>
    <x v="1"/>
    <x v="2"/>
    <x v="0"/>
    <x v="1"/>
    <x v="1"/>
    <x v="2"/>
    <x v="423"/>
    <x v="12"/>
    <x v="0"/>
    <x v="0"/>
    <x v="1"/>
    <x v="0"/>
    <x v="0"/>
    <x v="0"/>
    <x v="0"/>
  </r>
  <r>
    <x v="845"/>
    <x v="424"/>
    <x v="421"/>
    <x v="416"/>
    <x v="676"/>
    <x v="3"/>
    <x v="2"/>
    <x v="433"/>
    <x v="333"/>
    <x v="1"/>
    <x v="15"/>
    <x v="0"/>
    <x v="0"/>
    <x v="1"/>
    <x v="1"/>
    <x v="1"/>
    <x v="2"/>
    <x v="1"/>
    <x v="2"/>
    <x v="1"/>
    <x v="1"/>
    <x v="200"/>
    <x v="1"/>
    <x v="1"/>
    <x v="2"/>
    <x v="424"/>
    <x v="3"/>
    <x v="1"/>
    <x v="3"/>
    <x v="2"/>
    <x v="1"/>
    <x v="490"/>
    <x v="0"/>
    <x v="0"/>
  </r>
  <r>
    <x v="846"/>
    <x v="425"/>
    <x v="422"/>
    <x v="417"/>
    <x v="677"/>
    <x v="1"/>
    <x v="2"/>
    <x v="434"/>
    <x v="334"/>
    <x v="1"/>
    <x v="169"/>
    <x v="0"/>
    <x v="0"/>
    <x v="1"/>
    <x v="1"/>
    <x v="1"/>
    <x v="2"/>
    <x v="1"/>
    <x v="2"/>
    <x v="1"/>
    <x v="2"/>
    <x v="0"/>
    <x v="1"/>
    <x v="1"/>
    <x v="2"/>
    <x v="425"/>
    <x v="4"/>
    <x v="0"/>
    <x v="0"/>
    <x v="1"/>
    <x v="0"/>
    <x v="0"/>
    <x v="0"/>
    <x v="0"/>
  </r>
  <r>
    <x v="847"/>
    <x v="426"/>
    <x v="423"/>
    <x v="418"/>
    <x v="678"/>
    <x v="1"/>
    <x v="2"/>
    <x v="435"/>
    <x v="59"/>
    <x v="1"/>
    <x v="170"/>
    <x v="0"/>
    <x v="0"/>
    <x v="1"/>
    <x v="1"/>
    <x v="1"/>
    <x v="2"/>
    <x v="2"/>
    <x v="1"/>
    <x v="1"/>
    <x v="2"/>
    <x v="0"/>
    <x v="1"/>
    <x v="1"/>
    <x v="2"/>
    <x v="426"/>
    <x v="13"/>
    <x v="0"/>
    <x v="0"/>
    <x v="1"/>
    <x v="0"/>
    <x v="0"/>
    <x v="0"/>
    <x v="0"/>
  </r>
  <r>
    <x v="848"/>
    <x v="424"/>
    <x v="421"/>
    <x v="416"/>
    <x v="679"/>
    <x v="3"/>
    <x v="2"/>
    <x v="433"/>
    <x v="333"/>
    <x v="1"/>
    <x v="15"/>
    <x v="0"/>
    <x v="0"/>
    <x v="3"/>
    <x v="1"/>
    <x v="1"/>
    <x v="1"/>
    <x v="2"/>
    <x v="2"/>
    <x v="1"/>
    <x v="2"/>
    <x v="0"/>
    <x v="1"/>
    <x v="3"/>
    <x v="4"/>
    <x v="424"/>
    <x v="3"/>
    <x v="0"/>
    <x v="0"/>
    <x v="1"/>
    <x v="0"/>
    <x v="0"/>
    <x v="0"/>
    <x v="0"/>
  </r>
  <r>
    <x v="849"/>
    <x v="427"/>
    <x v="424"/>
    <x v="419"/>
    <x v="680"/>
    <x v="1"/>
    <x v="2"/>
    <x v="436"/>
    <x v="335"/>
    <x v="1"/>
    <x v="31"/>
    <x v="0"/>
    <x v="0"/>
    <x v="1"/>
    <x v="1"/>
    <x v="1"/>
    <x v="2"/>
    <x v="2"/>
    <x v="2"/>
    <x v="1"/>
    <x v="2"/>
    <x v="0"/>
    <x v="1"/>
    <x v="1"/>
    <x v="2"/>
    <x v="427"/>
    <x v="12"/>
    <x v="0"/>
    <x v="0"/>
    <x v="1"/>
    <x v="0"/>
    <x v="0"/>
    <x v="0"/>
    <x v="0"/>
  </r>
  <r>
    <x v="850"/>
    <x v="115"/>
    <x v="114"/>
    <x v="113"/>
    <x v="681"/>
    <x v="3"/>
    <x v="2"/>
    <x v="120"/>
    <x v="111"/>
    <x v="1"/>
    <x v="4"/>
    <x v="0"/>
    <x v="0"/>
    <x v="1"/>
    <x v="1"/>
    <x v="1"/>
    <x v="2"/>
    <x v="1"/>
    <x v="2"/>
    <x v="1"/>
    <x v="2"/>
    <x v="0"/>
    <x v="2"/>
    <x v="5"/>
    <x v="2"/>
    <x v="114"/>
    <x v="12"/>
    <x v="0"/>
    <x v="0"/>
    <x v="1"/>
    <x v="0"/>
    <x v="0"/>
    <x v="0"/>
    <x v="0"/>
  </r>
  <r>
    <x v="851"/>
    <x v="428"/>
    <x v="425"/>
    <x v="420"/>
    <x v="682"/>
    <x v="3"/>
    <x v="2"/>
    <x v="437"/>
    <x v="324"/>
    <x v="1"/>
    <x v="22"/>
    <x v="0"/>
    <x v="0"/>
    <x v="1"/>
    <x v="1"/>
    <x v="2"/>
    <x v="2"/>
    <x v="2"/>
    <x v="2"/>
    <x v="1"/>
    <x v="1"/>
    <x v="201"/>
    <x v="1"/>
    <x v="1"/>
    <x v="2"/>
    <x v="428"/>
    <x v="3"/>
    <x v="1"/>
    <x v="5"/>
    <x v="2"/>
    <x v="1"/>
    <x v="491"/>
    <x v="0"/>
    <x v="0"/>
  </r>
  <r>
    <x v="852"/>
    <x v="429"/>
    <x v="426"/>
    <x v="421"/>
    <x v="683"/>
    <x v="1"/>
    <x v="2"/>
    <x v="251"/>
    <x v="336"/>
    <x v="1"/>
    <x v="9"/>
    <x v="0"/>
    <x v="0"/>
    <x v="1"/>
    <x v="1"/>
    <x v="1"/>
    <x v="2"/>
    <x v="1"/>
    <x v="2"/>
    <x v="1"/>
    <x v="2"/>
    <x v="0"/>
    <x v="1"/>
    <x v="1"/>
    <x v="2"/>
    <x v="429"/>
    <x v="5"/>
    <x v="0"/>
    <x v="0"/>
    <x v="1"/>
    <x v="0"/>
    <x v="0"/>
    <x v="0"/>
    <x v="0"/>
  </r>
  <r>
    <x v="853"/>
    <x v="385"/>
    <x v="385"/>
    <x v="380"/>
    <x v="0"/>
    <x v="1"/>
    <x v="2"/>
    <x v="400"/>
    <x v="332"/>
    <x v="1"/>
    <x v="3"/>
    <x v="0"/>
    <x v="0"/>
    <x v="3"/>
    <x v="1"/>
    <x v="1"/>
    <x v="2"/>
    <x v="1"/>
    <x v="1"/>
    <x v="1"/>
    <x v="2"/>
    <x v="0"/>
    <x v="2"/>
    <x v="3"/>
    <x v="4"/>
    <x v="388"/>
    <x v="3"/>
    <x v="0"/>
    <x v="0"/>
    <x v="1"/>
    <x v="0"/>
    <x v="0"/>
    <x v="0"/>
    <x v="0"/>
  </r>
  <r>
    <x v="854"/>
    <x v="430"/>
    <x v="427"/>
    <x v="422"/>
    <x v="684"/>
    <x v="1"/>
    <x v="3"/>
    <x v="129"/>
    <x v="30"/>
    <x v="2"/>
    <x v="0"/>
    <x v="2"/>
    <x v="0"/>
    <x v="1"/>
    <x v="3"/>
    <x v="2"/>
    <x v="2"/>
    <x v="1"/>
    <x v="2"/>
    <x v="1"/>
    <x v="1"/>
    <x v="202"/>
    <x v="1"/>
    <x v="1"/>
    <x v="2"/>
    <x v="430"/>
    <x v="5"/>
    <x v="1"/>
    <x v="1"/>
    <x v="1"/>
    <x v="0"/>
    <x v="492"/>
    <x v="0"/>
    <x v="267"/>
  </r>
  <r>
    <x v="855"/>
    <x v="431"/>
    <x v="428"/>
    <x v="423"/>
    <x v="685"/>
    <x v="1"/>
    <x v="2"/>
    <x v="438"/>
    <x v="337"/>
    <x v="2"/>
    <x v="0"/>
    <x v="6"/>
    <x v="0"/>
    <x v="1"/>
    <x v="3"/>
    <x v="2"/>
    <x v="2"/>
    <x v="1"/>
    <x v="2"/>
    <x v="1"/>
    <x v="1"/>
    <x v="203"/>
    <x v="2"/>
    <x v="1"/>
    <x v="2"/>
    <x v="431"/>
    <x v="2"/>
    <x v="1"/>
    <x v="12"/>
    <x v="1"/>
    <x v="0"/>
    <x v="493"/>
    <x v="0"/>
    <x v="0"/>
  </r>
  <r>
    <x v="856"/>
    <x v="432"/>
    <x v="429"/>
    <x v="424"/>
    <x v="686"/>
    <x v="1"/>
    <x v="1"/>
    <x v="439"/>
    <x v="10"/>
    <x v="1"/>
    <x v="138"/>
    <x v="0"/>
    <x v="0"/>
    <x v="1"/>
    <x v="3"/>
    <x v="2"/>
    <x v="1"/>
    <x v="1"/>
    <x v="3"/>
    <x v="1"/>
    <x v="1"/>
    <x v="202"/>
    <x v="1"/>
    <x v="1"/>
    <x v="2"/>
    <x v="432"/>
    <x v="2"/>
    <x v="1"/>
    <x v="2"/>
    <x v="1"/>
    <x v="0"/>
    <x v="494"/>
    <x v="246"/>
    <x v="0"/>
  </r>
  <r>
    <x v="857"/>
    <x v="433"/>
    <x v="430"/>
    <x v="425"/>
    <x v="687"/>
    <x v="1"/>
    <x v="2"/>
    <x v="440"/>
    <x v="10"/>
    <x v="1"/>
    <x v="171"/>
    <x v="0"/>
    <x v="0"/>
    <x v="1"/>
    <x v="5"/>
    <x v="1"/>
    <x v="2"/>
    <x v="1"/>
    <x v="3"/>
    <x v="1"/>
    <x v="1"/>
    <x v="201"/>
    <x v="1"/>
    <x v="1"/>
    <x v="13"/>
    <x v="433"/>
    <x v="5"/>
    <x v="1"/>
    <x v="1"/>
    <x v="1"/>
    <x v="0"/>
    <x v="495"/>
    <x v="247"/>
    <x v="0"/>
  </r>
  <r>
    <x v="858"/>
    <x v="430"/>
    <x v="427"/>
    <x v="422"/>
    <x v="0"/>
    <x v="1"/>
    <x v="3"/>
    <x v="129"/>
    <x v="30"/>
    <x v="2"/>
    <x v="0"/>
    <x v="2"/>
    <x v="0"/>
    <x v="3"/>
    <x v="1"/>
    <x v="1"/>
    <x v="2"/>
    <x v="1"/>
    <x v="2"/>
    <x v="1"/>
    <x v="2"/>
    <x v="0"/>
    <x v="2"/>
    <x v="3"/>
    <x v="4"/>
    <x v="430"/>
    <x v="5"/>
    <x v="0"/>
    <x v="0"/>
    <x v="1"/>
    <x v="0"/>
    <x v="0"/>
    <x v="0"/>
    <x v="0"/>
  </r>
  <r>
    <x v="859"/>
    <x v="432"/>
    <x v="429"/>
    <x v="424"/>
    <x v="0"/>
    <x v="1"/>
    <x v="1"/>
    <x v="439"/>
    <x v="10"/>
    <x v="1"/>
    <x v="138"/>
    <x v="0"/>
    <x v="0"/>
    <x v="3"/>
    <x v="3"/>
    <x v="2"/>
    <x v="2"/>
    <x v="1"/>
    <x v="3"/>
    <x v="1"/>
    <x v="1"/>
    <x v="203"/>
    <x v="2"/>
    <x v="3"/>
    <x v="4"/>
    <x v="432"/>
    <x v="4"/>
    <x v="1"/>
    <x v="1"/>
    <x v="1"/>
    <x v="0"/>
    <x v="496"/>
    <x v="248"/>
    <x v="268"/>
  </r>
  <r>
    <x v="860"/>
    <x v="431"/>
    <x v="428"/>
    <x v="423"/>
    <x v="0"/>
    <x v="1"/>
    <x v="2"/>
    <x v="438"/>
    <x v="310"/>
    <x v="2"/>
    <x v="0"/>
    <x v="6"/>
    <x v="0"/>
    <x v="3"/>
    <x v="1"/>
    <x v="1"/>
    <x v="2"/>
    <x v="1"/>
    <x v="2"/>
    <x v="1"/>
    <x v="2"/>
    <x v="0"/>
    <x v="2"/>
    <x v="3"/>
    <x v="4"/>
    <x v="431"/>
    <x v="13"/>
    <x v="0"/>
    <x v="0"/>
    <x v="1"/>
    <x v="0"/>
    <x v="0"/>
    <x v="0"/>
    <x v="0"/>
  </r>
  <r>
    <x v="861"/>
    <x v="434"/>
    <x v="431"/>
    <x v="426"/>
    <x v="688"/>
    <x v="1"/>
    <x v="2"/>
    <x v="441"/>
    <x v="119"/>
    <x v="1"/>
    <x v="1"/>
    <x v="0"/>
    <x v="0"/>
    <x v="1"/>
    <x v="2"/>
    <x v="5"/>
    <x v="2"/>
    <x v="1"/>
    <x v="2"/>
    <x v="1"/>
    <x v="1"/>
    <x v="203"/>
    <x v="1"/>
    <x v="1"/>
    <x v="13"/>
    <x v="434"/>
    <x v="4"/>
    <x v="1"/>
    <x v="1"/>
    <x v="1"/>
    <x v="0"/>
    <x v="497"/>
    <x v="249"/>
    <x v="0"/>
  </r>
  <r>
    <x v="862"/>
    <x v="435"/>
    <x v="432"/>
    <x v="427"/>
    <x v="689"/>
    <x v="1"/>
    <x v="2"/>
    <x v="442"/>
    <x v="338"/>
    <x v="1"/>
    <x v="2"/>
    <x v="0"/>
    <x v="0"/>
    <x v="1"/>
    <x v="3"/>
    <x v="2"/>
    <x v="1"/>
    <x v="1"/>
    <x v="2"/>
    <x v="1"/>
    <x v="1"/>
    <x v="201"/>
    <x v="1"/>
    <x v="1"/>
    <x v="2"/>
    <x v="435"/>
    <x v="5"/>
    <x v="1"/>
    <x v="1"/>
    <x v="1"/>
    <x v="0"/>
    <x v="498"/>
    <x v="250"/>
    <x v="0"/>
  </r>
  <r>
    <x v="863"/>
    <x v="436"/>
    <x v="410"/>
    <x v="405"/>
    <x v="690"/>
    <x v="1"/>
    <x v="4"/>
    <x v="423"/>
    <x v="326"/>
    <x v="1"/>
    <x v="171"/>
    <x v="0"/>
    <x v="0"/>
    <x v="1"/>
    <x v="3"/>
    <x v="2"/>
    <x v="2"/>
    <x v="1"/>
    <x v="2"/>
    <x v="1"/>
    <x v="1"/>
    <x v="201"/>
    <x v="1"/>
    <x v="1"/>
    <x v="2"/>
    <x v="413"/>
    <x v="5"/>
    <x v="1"/>
    <x v="5"/>
    <x v="2"/>
    <x v="1"/>
    <x v="0"/>
    <x v="0"/>
    <x v="0"/>
  </r>
  <r>
    <x v="864"/>
    <x v="432"/>
    <x v="429"/>
    <x v="424"/>
    <x v="0"/>
    <x v="1"/>
    <x v="1"/>
    <x v="439"/>
    <x v="10"/>
    <x v="1"/>
    <x v="138"/>
    <x v="0"/>
    <x v="0"/>
    <x v="3"/>
    <x v="1"/>
    <x v="1"/>
    <x v="2"/>
    <x v="1"/>
    <x v="3"/>
    <x v="1"/>
    <x v="2"/>
    <x v="0"/>
    <x v="2"/>
    <x v="3"/>
    <x v="4"/>
    <x v="432"/>
    <x v="5"/>
    <x v="0"/>
    <x v="0"/>
    <x v="1"/>
    <x v="0"/>
    <x v="0"/>
    <x v="0"/>
    <x v="0"/>
  </r>
  <r>
    <x v="865"/>
    <x v="437"/>
    <x v="433"/>
    <x v="428"/>
    <x v="691"/>
    <x v="1"/>
    <x v="2"/>
    <x v="443"/>
    <x v="59"/>
    <x v="1"/>
    <x v="15"/>
    <x v="0"/>
    <x v="0"/>
    <x v="1"/>
    <x v="3"/>
    <x v="3"/>
    <x v="2"/>
    <x v="1"/>
    <x v="1"/>
    <x v="1"/>
    <x v="1"/>
    <x v="201"/>
    <x v="1"/>
    <x v="1"/>
    <x v="2"/>
    <x v="436"/>
    <x v="13"/>
    <x v="1"/>
    <x v="1"/>
    <x v="1"/>
    <x v="0"/>
    <x v="499"/>
    <x v="251"/>
    <x v="269"/>
  </r>
  <r>
    <x v="866"/>
    <x v="434"/>
    <x v="431"/>
    <x v="426"/>
    <x v="0"/>
    <x v="1"/>
    <x v="2"/>
    <x v="441"/>
    <x v="119"/>
    <x v="1"/>
    <x v="1"/>
    <x v="0"/>
    <x v="0"/>
    <x v="3"/>
    <x v="4"/>
    <x v="1"/>
    <x v="2"/>
    <x v="1"/>
    <x v="2"/>
    <x v="1"/>
    <x v="2"/>
    <x v="0"/>
    <x v="2"/>
    <x v="3"/>
    <x v="4"/>
    <x v="434"/>
    <x v="5"/>
    <x v="0"/>
    <x v="0"/>
    <x v="1"/>
    <x v="0"/>
    <x v="0"/>
    <x v="0"/>
    <x v="0"/>
  </r>
  <r>
    <x v="867"/>
    <x v="428"/>
    <x v="425"/>
    <x v="420"/>
    <x v="692"/>
    <x v="3"/>
    <x v="2"/>
    <x v="437"/>
    <x v="324"/>
    <x v="1"/>
    <x v="22"/>
    <x v="0"/>
    <x v="0"/>
    <x v="3"/>
    <x v="1"/>
    <x v="1"/>
    <x v="2"/>
    <x v="1"/>
    <x v="2"/>
    <x v="1"/>
    <x v="2"/>
    <x v="0"/>
    <x v="1"/>
    <x v="3"/>
    <x v="4"/>
    <x v="428"/>
    <x v="2"/>
    <x v="0"/>
    <x v="0"/>
    <x v="1"/>
    <x v="0"/>
    <x v="0"/>
    <x v="0"/>
    <x v="0"/>
  </r>
  <r>
    <x v="868"/>
    <x v="438"/>
    <x v="434"/>
    <x v="429"/>
    <x v="693"/>
    <x v="1"/>
    <x v="2"/>
    <x v="444"/>
    <x v="339"/>
    <x v="1"/>
    <x v="33"/>
    <x v="0"/>
    <x v="0"/>
    <x v="1"/>
    <x v="3"/>
    <x v="3"/>
    <x v="2"/>
    <x v="1"/>
    <x v="2"/>
    <x v="1"/>
    <x v="1"/>
    <x v="204"/>
    <x v="1"/>
    <x v="1"/>
    <x v="2"/>
    <x v="437"/>
    <x v="12"/>
    <x v="1"/>
    <x v="1"/>
    <x v="1"/>
    <x v="0"/>
    <x v="500"/>
    <x v="252"/>
    <x v="270"/>
  </r>
  <r>
    <x v="869"/>
    <x v="413"/>
    <x v="410"/>
    <x v="405"/>
    <x v="694"/>
    <x v="1"/>
    <x v="2"/>
    <x v="423"/>
    <x v="326"/>
    <x v="1"/>
    <x v="33"/>
    <x v="0"/>
    <x v="0"/>
    <x v="3"/>
    <x v="1"/>
    <x v="1"/>
    <x v="1"/>
    <x v="1"/>
    <x v="2"/>
    <x v="1"/>
    <x v="1"/>
    <x v="205"/>
    <x v="1"/>
    <x v="3"/>
    <x v="4"/>
    <x v="413"/>
    <x v="2"/>
    <x v="1"/>
    <x v="7"/>
    <x v="1"/>
    <x v="0"/>
    <x v="501"/>
    <x v="0"/>
    <x v="0"/>
  </r>
  <r>
    <x v="870"/>
    <x v="439"/>
    <x v="435"/>
    <x v="430"/>
    <x v="695"/>
    <x v="1"/>
    <x v="2"/>
    <x v="445"/>
    <x v="335"/>
    <x v="1"/>
    <x v="33"/>
    <x v="0"/>
    <x v="0"/>
    <x v="1"/>
    <x v="3"/>
    <x v="3"/>
    <x v="1"/>
    <x v="1"/>
    <x v="2"/>
    <x v="1"/>
    <x v="1"/>
    <x v="205"/>
    <x v="1"/>
    <x v="6"/>
    <x v="2"/>
    <x v="438"/>
    <x v="5"/>
    <x v="3"/>
    <x v="0"/>
    <x v="1"/>
    <x v="0"/>
    <x v="502"/>
    <x v="253"/>
    <x v="271"/>
  </r>
  <r>
    <x v="871"/>
    <x v="433"/>
    <x v="430"/>
    <x v="425"/>
    <x v="0"/>
    <x v="1"/>
    <x v="2"/>
    <x v="440"/>
    <x v="10"/>
    <x v="1"/>
    <x v="172"/>
    <x v="0"/>
    <x v="0"/>
    <x v="3"/>
    <x v="1"/>
    <x v="1"/>
    <x v="2"/>
    <x v="1"/>
    <x v="2"/>
    <x v="1"/>
    <x v="1"/>
    <x v="205"/>
    <x v="2"/>
    <x v="3"/>
    <x v="4"/>
    <x v="433"/>
    <x v="5"/>
    <x v="1"/>
    <x v="7"/>
    <x v="1"/>
    <x v="0"/>
    <x v="503"/>
    <x v="0"/>
    <x v="272"/>
  </r>
  <r>
    <x v="872"/>
    <x v="435"/>
    <x v="432"/>
    <x v="427"/>
    <x v="0"/>
    <x v="1"/>
    <x v="2"/>
    <x v="442"/>
    <x v="338"/>
    <x v="1"/>
    <x v="2"/>
    <x v="0"/>
    <x v="0"/>
    <x v="3"/>
    <x v="1"/>
    <x v="1"/>
    <x v="2"/>
    <x v="1"/>
    <x v="2"/>
    <x v="1"/>
    <x v="2"/>
    <x v="0"/>
    <x v="2"/>
    <x v="3"/>
    <x v="4"/>
    <x v="435"/>
    <x v="5"/>
    <x v="0"/>
    <x v="0"/>
    <x v="1"/>
    <x v="0"/>
    <x v="0"/>
    <x v="0"/>
    <x v="0"/>
  </r>
  <r>
    <x v="873"/>
    <x v="437"/>
    <x v="433"/>
    <x v="428"/>
    <x v="0"/>
    <x v="1"/>
    <x v="2"/>
    <x v="443"/>
    <x v="10"/>
    <x v="1"/>
    <x v="15"/>
    <x v="0"/>
    <x v="0"/>
    <x v="3"/>
    <x v="1"/>
    <x v="1"/>
    <x v="2"/>
    <x v="1"/>
    <x v="2"/>
    <x v="1"/>
    <x v="2"/>
    <x v="0"/>
    <x v="2"/>
    <x v="3"/>
    <x v="4"/>
    <x v="436"/>
    <x v="5"/>
    <x v="0"/>
    <x v="0"/>
    <x v="1"/>
    <x v="0"/>
    <x v="0"/>
    <x v="0"/>
    <x v="0"/>
  </r>
  <r>
    <x v="874"/>
    <x v="438"/>
    <x v="434"/>
    <x v="429"/>
    <x v="0"/>
    <x v="1"/>
    <x v="2"/>
    <x v="444"/>
    <x v="339"/>
    <x v="1"/>
    <x v="33"/>
    <x v="0"/>
    <x v="0"/>
    <x v="3"/>
    <x v="1"/>
    <x v="1"/>
    <x v="2"/>
    <x v="1"/>
    <x v="2"/>
    <x v="1"/>
    <x v="1"/>
    <x v="206"/>
    <x v="2"/>
    <x v="3"/>
    <x v="4"/>
    <x v="437"/>
    <x v="5"/>
    <x v="3"/>
    <x v="0"/>
    <x v="1"/>
    <x v="0"/>
    <x v="504"/>
    <x v="254"/>
    <x v="0"/>
  </r>
  <r>
    <x v="875"/>
    <x v="440"/>
    <x v="436"/>
    <x v="431"/>
    <x v="696"/>
    <x v="1"/>
    <x v="1"/>
    <x v="446"/>
    <x v="340"/>
    <x v="1"/>
    <x v="33"/>
    <x v="0"/>
    <x v="0"/>
    <x v="1"/>
    <x v="3"/>
    <x v="3"/>
    <x v="2"/>
    <x v="1"/>
    <x v="2"/>
    <x v="1"/>
    <x v="1"/>
    <x v="206"/>
    <x v="1"/>
    <x v="4"/>
    <x v="2"/>
    <x v="439"/>
    <x v="12"/>
    <x v="1"/>
    <x v="3"/>
    <x v="2"/>
    <x v="1"/>
    <x v="505"/>
    <x v="255"/>
    <x v="0"/>
  </r>
  <r>
    <x v="876"/>
    <x v="441"/>
    <x v="437"/>
    <x v="432"/>
    <x v="697"/>
    <x v="1"/>
    <x v="3"/>
    <x v="447"/>
    <x v="310"/>
    <x v="1"/>
    <x v="173"/>
    <x v="0"/>
    <x v="0"/>
    <x v="1"/>
    <x v="1"/>
    <x v="1"/>
    <x v="2"/>
    <x v="1"/>
    <x v="2"/>
    <x v="1"/>
    <x v="1"/>
    <x v="207"/>
    <x v="1"/>
    <x v="5"/>
    <x v="2"/>
    <x v="440"/>
    <x v="12"/>
    <x v="2"/>
    <x v="0"/>
    <x v="1"/>
    <x v="0"/>
    <x v="506"/>
    <x v="256"/>
    <x v="273"/>
  </r>
  <r>
    <x v="877"/>
    <x v="413"/>
    <x v="410"/>
    <x v="405"/>
    <x v="0"/>
    <x v="1"/>
    <x v="4"/>
    <x v="423"/>
    <x v="326"/>
    <x v="1"/>
    <x v="33"/>
    <x v="0"/>
    <x v="0"/>
    <x v="3"/>
    <x v="1"/>
    <x v="1"/>
    <x v="2"/>
    <x v="1"/>
    <x v="2"/>
    <x v="1"/>
    <x v="2"/>
    <x v="0"/>
    <x v="2"/>
    <x v="3"/>
    <x v="4"/>
    <x v="413"/>
    <x v="12"/>
    <x v="0"/>
    <x v="0"/>
    <x v="1"/>
    <x v="0"/>
    <x v="0"/>
    <x v="0"/>
    <x v="0"/>
  </r>
  <r>
    <x v="878"/>
    <x v="433"/>
    <x v="430"/>
    <x v="425"/>
    <x v="0"/>
    <x v="1"/>
    <x v="2"/>
    <x v="440"/>
    <x v="341"/>
    <x v="1"/>
    <x v="33"/>
    <x v="0"/>
    <x v="0"/>
    <x v="3"/>
    <x v="1"/>
    <x v="1"/>
    <x v="2"/>
    <x v="1"/>
    <x v="2"/>
    <x v="1"/>
    <x v="2"/>
    <x v="0"/>
    <x v="2"/>
    <x v="3"/>
    <x v="4"/>
    <x v="433"/>
    <x v="12"/>
    <x v="0"/>
    <x v="0"/>
    <x v="1"/>
    <x v="0"/>
    <x v="0"/>
    <x v="0"/>
    <x v="0"/>
  </r>
  <r>
    <x v="879"/>
    <x v="442"/>
    <x v="438"/>
    <x v="433"/>
    <x v="698"/>
    <x v="1"/>
    <x v="2"/>
    <x v="448"/>
    <x v="342"/>
    <x v="1"/>
    <x v="174"/>
    <x v="0"/>
    <x v="0"/>
    <x v="1"/>
    <x v="1"/>
    <x v="1"/>
    <x v="2"/>
    <x v="1"/>
    <x v="2"/>
    <x v="1"/>
    <x v="2"/>
    <x v="0"/>
    <x v="1"/>
    <x v="6"/>
    <x v="2"/>
    <x v="441"/>
    <x v="12"/>
    <x v="0"/>
    <x v="0"/>
    <x v="1"/>
    <x v="0"/>
    <x v="0"/>
    <x v="0"/>
    <x v="0"/>
  </r>
  <r>
    <x v="880"/>
    <x v="443"/>
    <x v="439"/>
    <x v="434"/>
    <x v="699"/>
    <x v="1"/>
    <x v="1"/>
    <x v="449"/>
    <x v="198"/>
    <x v="2"/>
    <x v="0"/>
    <x v="2"/>
    <x v="0"/>
    <x v="1"/>
    <x v="3"/>
    <x v="3"/>
    <x v="2"/>
    <x v="1"/>
    <x v="2"/>
    <x v="1"/>
    <x v="1"/>
    <x v="208"/>
    <x v="1"/>
    <x v="2"/>
    <x v="2"/>
    <x v="442"/>
    <x v="12"/>
    <x v="1"/>
    <x v="1"/>
    <x v="1"/>
    <x v="0"/>
    <x v="507"/>
    <x v="257"/>
    <x v="0"/>
  </r>
  <r>
    <x v="881"/>
    <x v="444"/>
    <x v="440"/>
    <x v="435"/>
    <x v="700"/>
    <x v="1"/>
    <x v="2"/>
    <x v="450"/>
    <x v="10"/>
    <x v="1"/>
    <x v="15"/>
    <x v="0"/>
    <x v="0"/>
    <x v="1"/>
    <x v="2"/>
    <x v="3"/>
    <x v="2"/>
    <x v="1"/>
    <x v="1"/>
    <x v="1"/>
    <x v="1"/>
    <x v="208"/>
    <x v="1"/>
    <x v="1"/>
    <x v="2"/>
    <x v="443"/>
    <x v="3"/>
    <x v="1"/>
    <x v="1"/>
    <x v="1"/>
    <x v="0"/>
    <x v="508"/>
    <x v="258"/>
    <x v="0"/>
  </r>
  <r>
    <x v="882"/>
    <x v="445"/>
    <x v="441"/>
    <x v="436"/>
    <x v="701"/>
    <x v="1"/>
    <x v="2"/>
    <x v="451"/>
    <x v="324"/>
    <x v="1"/>
    <x v="8"/>
    <x v="0"/>
    <x v="0"/>
    <x v="1"/>
    <x v="1"/>
    <x v="1"/>
    <x v="1"/>
    <x v="1"/>
    <x v="3"/>
    <x v="1"/>
    <x v="1"/>
    <x v="209"/>
    <x v="1"/>
    <x v="1"/>
    <x v="2"/>
    <x v="444"/>
    <x v="3"/>
    <x v="3"/>
    <x v="0"/>
    <x v="1"/>
    <x v="0"/>
    <x v="509"/>
    <x v="259"/>
    <x v="0"/>
  </r>
  <r>
    <x v="883"/>
    <x v="446"/>
    <x v="442"/>
    <x v="437"/>
    <x v="702"/>
    <x v="1"/>
    <x v="2"/>
    <x v="452"/>
    <x v="343"/>
    <x v="1"/>
    <x v="22"/>
    <x v="0"/>
    <x v="0"/>
    <x v="1"/>
    <x v="1"/>
    <x v="1"/>
    <x v="2"/>
    <x v="1"/>
    <x v="2"/>
    <x v="1"/>
    <x v="1"/>
    <x v="206"/>
    <x v="1"/>
    <x v="1"/>
    <x v="2"/>
    <x v="445"/>
    <x v="4"/>
    <x v="1"/>
    <x v="3"/>
    <x v="2"/>
    <x v="1"/>
    <x v="510"/>
    <x v="0"/>
    <x v="274"/>
  </r>
  <r>
    <x v="884"/>
    <x v="141"/>
    <x v="141"/>
    <x v="139"/>
    <x v="703"/>
    <x v="1"/>
    <x v="1"/>
    <x v="145"/>
    <x v="125"/>
    <x v="1"/>
    <x v="15"/>
    <x v="0"/>
    <x v="0"/>
    <x v="1"/>
    <x v="1"/>
    <x v="1"/>
    <x v="2"/>
    <x v="1"/>
    <x v="2"/>
    <x v="1"/>
    <x v="1"/>
    <x v="206"/>
    <x v="1"/>
    <x v="1"/>
    <x v="2"/>
    <x v="140"/>
    <x v="4"/>
    <x v="1"/>
    <x v="7"/>
    <x v="2"/>
    <x v="1"/>
    <x v="511"/>
    <x v="260"/>
    <x v="0"/>
  </r>
  <r>
    <x v="885"/>
    <x v="440"/>
    <x v="436"/>
    <x v="431"/>
    <x v="704"/>
    <x v="1"/>
    <x v="1"/>
    <x v="446"/>
    <x v="340"/>
    <x v="1"/>
    <x v="33"/>
    <x v="0"/>
    <x v="0"/>
    <x v="3"/>
    <x v="1"/>
    <x v="1"/>
    <x v="2"/>
    <x v="1"/>
    <x v="2"/>
    <x v="1"/>
    <x v="1"/>
    <x v="209"/>
    <x v="1"/>
    <x v="3"/>
    <x v="4"/>
    <x v="439"/>
    <x v="3"/>
    <x v="3"/>
    <x v="0"/>
    <x v="1"/>
    <x v="0"/>
    <x v="512"/>
    <x v="261"/>
    <x v="0"/>
  </r>
  <r>
    <x v="886"/>
    <x v="446"/>
    <x v="442"/>
    <x v="437"/>
    <x v="705"/>
    <x v="1"/>
    <x v="1"/>
    <x v="452"/>
    <x v="343"/>
    <x v="1"/>
    <x v="22"/>
    <x v="0"/>
    <x v="0"/>
    <x v="3"/>
    <x v="2"/>
    <x v="3"/>
    <x v="2"/>
    <x v="1"/>
    <x v="2"/>
    <x v="1"/>
    <x v="1"/>
    <x v="209"/>
    <x v="2"/>
    <x v="3"/>
    <x v="4"/>
    <x v="445"/>
    <x v="3"/>
    <x v="1"/>
    <x v="7"/>
    <x v="2"/>
    <x v="1"/>
    <x v="513"/>
    <x v="0"/>
    <x v="0"/>
  </r>
  <r>
    <x v="887"/>
    <x v="414"/>
    <x v="411"/>
    <x v="406"/>
    <x v="706"/>
    <x v="1"/>
    <x v="2"/>
    <x v="424"/>
    <x v="198"/>
    <x v="1"/>
    <x v="15"/>
    <x v="0"/>
    <x v="0"/>
    <x v="1"/>
    <x v="2"/>
    <x v="3"/>
    <x v="2"/>
    <x v="1"/>
    <x v="2"/>
    <x v="1"/>
    <x v="1"/>
    <x v="208"/>
    <x v="1"/>
    <x v="5"/>
    <x v="3"/>
    <x v="414"/>
    <x v="3"/>
    <x v="3"/>
    <x v="0"/>
    <x v="1"/>
    <x v="0"/>
    <x v="514"/>
    <x v="0"/>
    <x v="0"/>
  </r>
  <r>
    <x v="888"/>
    <x v="141"/>
    <x v="141"/>
    <x v="139"/>
    <x v="707"/>
    <x v="1"/>
    <x v="1"/>
    <x v="145"/>
    <x v="125"/>
    <x v="2"/>
    <x v="0"/>
    <x v="2"/>
    <x v="0"/>
    <x v="3"/>
    <x v="1"/>
    <x v="1"/>
    <x v="2"/>
    <x v="1"/>
    <x v="2"/>
    <x v="1"/>
    <x v="2"/>
    <x v="0"/>
    <x v="1"/>
    <x v="3"/>
    <x v="4"/>
    <x v="140"/>
    <x v="12"/>
    <x v="0"/>
    <x v="0"/>
    <x v="1"/>
    <x v="0"/>
    <x v="0"/>
    <x v="0"/>
    <x v="0"/>
  </r>
  <r>
    <x v="889"/>
    <x v="447"/>
    <x v="443"/>
    <x v="438"/>
    <x v="708"/>
    <x v="1"/>
    <x v="2"/>
    <x v="453"/>
    <x v="235"/>
    <x v="1"/>
    <x v="33"/>
    <x v="0"/>
    <x v="0"/>
    <x v="1"/>
    <x v="3"/>
    <x v="2"/>
    <x v="2"/>
    <x v="1"/>
    <x v="1"/>
    <x v="1"/>
    <x v="1"/>
    <x v="209"/>
    <x v="1"/>
    <x v="1"/>
    <x v="2"/>
    <x v="446"/>
    <x v="13"/>
    <x v="1"/>
    <x v="7"/>
    <x v="1"/>
    <x v="0"/>
    <x v="515"/>
    <x v="0"/>
    <x v="275"/>
  </r>
  <r>
    <x v="890"/>
    <x v="413"/>
    <x v="410"/>
    <x v="405"/>
    <x v="709"/>
    <x v="1"/>
    <x v="2"/>
    <x v="423"/>
    <x v="344"/>
    <x v="1"/>
    <x v="175"/>
    <x v="0"/>
    <x v="0"/>
    <x v="1"/>
    <x v="1"/>
    <x v="1"/>
    <x v="2"/>
    <x v="1"/>
    <x v="2"/>
    <x v="1"/>
    <x v="2"/>
    <x v="0"/>
    <x v="1"/>
    <x v="1"/>
    <x v="2"/>
    <x v="413"/>
    <x v="2"/>
    <x v="0"/>
    <x v="0"/>
    <x v="1"/>
    <x v="0"/>
    <x v="0"/>
    <x v="0"/>
    <x v="0"/>
  </r>
  <r>
    <x v="891"/>
    <x v="448"/>
    <x v="444"/>
    <x v="439"/>
    <x v="710"/>
    <x v="1"/>
    <x v="2"/>
    <x v="454"/>
    <x v="283"/>
    <x v="1"/>
    <x v="138"/>
    <x v="0"/>
    <x v="0"/>
    <x v="1"/>
    <x v="3"/>
    <x v="3"/>
    <x v="2"/>
    <x v="1"/>
    <x v="2"/>
    <x v="1"/>
    <x v="1"/>
    <x v="209"/>
    <x v="1"/>
    <x v="1"/>
    <x v="2"/>
    <x v="447"/>
    <x v="5"/>
    <x v="1"/>
    <x v="2"/>
    <x v="1"/>
    <x v="0"/>
    <x v="516"/>
    <x v="0"/>
    <x v="0"/>
  </r>
  <r>
    <x v="892"/>
    <x v="449"/>
    <x v="445"/>
    <x v="440"/>
    <x v="711"/>
    <x v="1"/>
    <x v="2"/>
    <x v="455"/>
    <x v="345"/>
    <x v="1"/>
    <x v="22"/>
    <x v="0"/>
    <x v="0"/>
    <x v="1"/>
    <x v="3"/>
    <x v="2"/>
    <x v="2"/>
    <x v="1"/>
    <x v="1"/>
    <x v="1"/>
    <x v="1"/>
    <x v="209"/>
    <x v="1"/>
    <x v="1"/>
    <x v="2"/>
    <x v="448"/>
    <x v="13"/>
    <x v="1"/>
    <x v="7"/>
    <x v="1"/>
    <x v="0"/>
    <x v="517"/>
    <x v="0"/>
    <x v="276"/>
  </r>
  <r>
    <x v="893"/>
    <x v="444"/>
    <x v="440"/>
    <x v="435"/>
    <x v="0"/>
    <x v="1"/>
    <x v="2"/>
    <x v="450"/>
    <x v="10"/>
    <x v="1"/>
    <x v="15"/>
    <x v="0"/>
    <x v="0"/>
    <x v="3"/>
    <x v="5"/>
    <x v="1"/>
    <x v="2"/>
    <x v="1"/>
    <x v="2"/>
    <x v="1"/>
    <x v="2"/>
    <x v="0"/>
    <x v="2"/>
    <x v="3"/>
    <x v="4"/>
    <x v="443"/>
    <x v="5"/>
    <x v="0"/>
    <x v="0"/>
    <x v="1"/>
    <x v="0"/>
    <x v="0"/>
    <x v="0"/>
    <x v="0"/>
  </r>
  <r>
    <x v="894"/>
    <x v="443"/>
    <x v="439"/>
    <x v="434"/>
    <x v="0"/>
    <x v="1"/>
    <x v="1"/>
    <x v="449"/>
    <x v="198"/>
    <x v="2"/>
    <x v="0"/>
    <x v="2"/>
    <x v="0"/>
    <x v="3"/>
    <x v="4"/>
    <x v="1"/>
    <x v="2"/>
    <x v="1"/>
    <x v="2"/>
    <x v="1"/>
    <x v="2"/>
    <x v="0"/>
    <x v="2"/>
    <x v="3"/>
    <x v="4"/>
    <x v="442"/>
    <x v="5"/>
    <x v="0"/>
    <x v="0"/>
    <x v="1"/>
    <x v="0"/>
    <x v="0"/>
    <x v="0"/>
    <x v="0"/>
  </r>
  <r>
    <x v="895"/>
    <x v="450"/>
    <x v="446"/>
    <x v="441"/>
    <x v="712"/>
    <x v="1"/>
    <x v="1"/>
    <x v="456"/>
    <x v="76"/>
    <x v="1"/>
    <x v="33"/>
    <x v="0"/>
    <x v="0"/>
    <x v="1"/>
    <x v="3"/>
    <x v="3"/>
    <x v="2"/>
    <x v="1"/>
    <x v="2"/>
    <x v="1"/>
    <x v="1"/>
    <x v="209"/>
    <x v="1"/>
    <x v="5"/>
    <x v="2"/>
    <x v="449"/>
    <x v="5"/>
    <x v="1"/>
    <x v="7"/>
    <x v="1"/>
    <x v="0"/>
    <x v="518"/>
    <x v="262"/>
    <x v="0"/>
  </r>
  <r>
    <x v="896"/>
    <x v="141"/>
    <x v="141"/>
    <x v="139"/>
    <x v="713"/>
    <x v="1"/>
    <x v="1"/>
    <x v="145"/>
    <x v="125"/>
    <x v="2"/>
    <x v="0"/>
    <x v="5"/>
    <x v="0"/>
    <x v="1"/>
    <x v="2"/>
    <x v="3"/>
    <x v="2"/>
    <x v="1"/>
    <x v="2"/>
    <x v="1"/>
    <x v="1"/>
    <x v="209"/>
    <x v="1"/>
    <x v="5"/>
    <x v="2"/>
    <x v="140"/>
    <x v="5"/>
    <x v="3"/>
    <x v="0"/>
    <x v="1"/>
    <x v="0"/>
    <x v="519"/>
    <x v="263"/>
    <x v="0"/>
  </r>
  <r>
    <x v="897"/>
    <x v="448"/>
    <x v="444"/>
    <x v="439"/>
    <x v="0"/>
    <x v="1"/>
    <x v="2"/>
    <x v="454"/>
    <x v="283"/>
    <x v="1"/>
    <x v="138"/>
    <x v="0"/>
    <x v="0"/>
    <x v="3"/>
    <x v="1"/>
    <x v="1"/>
    <x v="2"/>
    <x v="1"/>
    <x v="2"/>
    <x v="1"/>
    <x v="1"/>
    <x v="210"/>
    <x v="2"/>
    <x v="3"/>
    <x v="4"/>
    <x v="447"/>
    <x v="4"/>
    <x v="3"/>
    <x v="0"/>
    <x v="1"/>
    <x v="0"/>
    <x v="520"/>
    <x v="264"/>
    <x v="0"/>
  </r>
  <r>
    <x v="898"/>
    <x v="447"/>
    <x v="443"/>
    <x v="438"/>
    <x v="714"/>
    <x v="1"/>
    <x v="2"/>
    <x v="453"/>
    <x v="346"/>
    <x v="1"/>
    <x v="33"/>
    <x v="0"/>
    <x v="0"/>
    <x v="1"/>
    <x v="3"/>
    <x v="2"/>
    <x v="1"/>
    <x v="1"/>
    <x v="2"/>
    <x v="1"/>
    <x v="1"/>
    <x v="211"/>
    <x v="1"/>
    <x v="2"/>
    <x v="2"/>
    <x v="446"/>
    <x v="12"/>
    <x v="3"/>
    <x v="0"/>
    <x v="1"/>
    <x v="0"/>
    <x v="521"/>
    <x v="0"/>
    <x v="0"/>
  </r>
  <r>
    <x v="899"/>
    <x v="446"/>
    <x v="442"/>
    <x v="437"/>
    <x v="715"/>
    <x v="1"/>
    <x v="2"/>
    <x v="452"/>
    <x v="347"/>
    <x v="1"/>
    <x v="22"/>
    <x v="0"/>
    <x v="0"/>
    <x v="3"/>
    <x v="1"/>
    <x v="1"/>
    <x v="2"/>
    <x v="1"/>
    <x v="2"/>
    <x v="1"/>
    <x v="2"/>
    <x v="0"/>
    <x v="1"/>
    <x v="3"/>
    <x v="4"/>
    <x v="445"/>
    <x v="12"/>
    <x v="0"/>
    <x v="0"/>
    <x v="1"/>
    <x v="0"/>
    <x v="0"/>
    <x v="0"/>
    <x v="0"/>
  </r>
  <r>
    <x v="900"/>
    <x v="451"/>
    <x v="447"/>
    <x v="442"/>
    <x v="716"/>
    <x v="1"/>
    <x v="2"/>
    <x v="457"/>
    <x v="348"/>
    <x v="1"/>
    <x v="70"/>
    <x v="0"/>
    <x v="0"/>
    <x v="1"/>
    <x v="3"/>
    <x v="2"/>
    <x v="2"/>
    <x v="1"/>
    <x v="3"/>
    <x v="1"/>
    <x v="1"/>
    <x v="211"/>
    <x v="1"/>
    <x v="1"/>
    <x v="2"/>
    <x v="450"/>
    <x v="2"/>
    <x v="1"/>
    <x v="2"/>
    <x v="2"/>
    <x v="1"/>
    <x v="522"/>
    <x v="0"/>
    <x v="0"/>
  </r>
  <r>
    <x v="901"/>
    <x v="449"/>
    <x v="445"/>
    <x v="440"/>
    <x v="0"/>
    <x v="1"/>
    <x v="2"/>
    <x v="119"/>
    <x v="345"/>
    <x v="1"/>
    <x v="22"/>
    <x v="0"/>
    <x v="0"/>
    <x v="3"/>
    <x v="5"/>
    <x v="1"/>
    <x v="2"/>
    <x v="1"/>
    <x v="2"/>
    <x v="1"/>
    <x v="2"/>
    <x v="0"/>
    <x v="2"/>
    <x v="3"/>
    <x v="4"/>
    <x v="448"/>
    <x v="12"/>
    <x v="0"/>
    <x v="0"/>
    <x v="1"/>
    <x v="0"/>
    <x v="0"/>
    <x v="0"/>
    <x v="0"/>
  </r>
  <r>
    <x v="902"/>
    <x v="450"/>
    <x v="448"/>
    <x v="441"/>
    <x v="0"/>
    <x v="1"/>
    <x v="1"/>
    <x v="456"/>
    <x v="76"/>
    <x v="1"/>
    <x v="33"/>
    <x v="0"/>
    <x v="0"/>
    <x v="3"/>
    <x v="1"/>
    <x v="1"/>
    <x v="2"/>
    <x v="1"/>
    <x v="2"/>
    <x v="1"/>
    <x v="1"/>
    <x v="211"/>
    <x v="2"/>
    <x v="3"/>
    <x v="4"/>
    <x v="449"/>
    <x v="12"/>
    <x v="3"/>
    <x v="0"/>
    <x v="1"/>
    <x v="0"/>
    <x v="523"/>
    <x v="0"/>
    <x v="0"/>
  </r>
  <r>
    <x v="903"/>
    <x v="452"/>
    <x v="449"/>
    <x v="443"/>
    <x v="717"/>
    <x v="1"/>
    <x v="2"/>
    <x v="458"/>
    <x v="349"/>
    <x v="1"/>
    <x v="9"/>
    <x v="0"/>
    <x v="0"/>
    <x v="1"/>
    <x v="1"/>
    <x v="1"/>
    <x v="1"/>
    <x v="1"/>
    <x v="2"/>
    <x v="1"/>
    <x v="1"/>
    <x v="210"/>
    <x v="1"/>
    <x v="5"/>
    <x v="2"/>
    <x v="451"/>
    <x v="12"/>
    <x v="1"/>
    <x v="5"/>
    <x v="2"/>
    <x v="1"/>
    <x v="524"/>
    <x v="0"/>
    <x v="277"/>
  </r>
  <r>
    <x v="904"/>
    <x v="453"/>
    <x v="450"/>
    <x v="444"/>
    <x v="718"/>
    <x v="1"/>
    <x v="2"/>
    <x v="459"/>
    <x v="191"/>
    <x v="1"/>
    <x v="3"/>
    <x v="0"/>
    <x v="0"/>
    <x v="1"/>
    <x v="3"/>
    <x v="2"/>
    <x v="2"/>
    <x v="1"/>
    <x v="2"/>
    <x v="2"/>
    <x v="1"/>
    <x v="210"/>
    <x v="1"/>
    <x v="1"/>
    <x v="2"/>
    <x v="452"/>
    <x v="13"/>
    <x v="3"/>
    <x v="0"/>
    <x v="1"/>
    <x v="0"/>
    <x v="525"/>
    <x v="265"/>
    <x v="0"/>
  </r>
  <r>
    <x v="905"/>
    <x v="454"/>
    <x v="451"/>
    <x v="445"/>
    <x v="719"/>
    <x v="1"/>
    <x v="2"/>
    <x v="460"/>
    <x v="350"/>
    <x v="1"/>
    <x v="15"/>
    <x v="0"/>
    <x v="0"/>
    <x v="1"/>
    <x v="1"/>
    <x v="2"/>
    <x v="1"/>
    <x v="1"/>
    <x v="2"/>
    <x v="1"/>
    <x v="1"/>
    <x v="210"/>
    <x v="1"/>
    <x v="1"/>
    <x v="2"/>
    <x v="453"/>
    <x v="4"/>
    <x v="1"/>
    <x v="7"/>
    <x v="1"/>
    <x v="0"/>
    <x v="526"/>
    <x v="0"/>
    <x v="0"/>
  </r>
  <r>
    <x v="906"/>
    <x v="451"/>
    <x v="447"/>
    <x v="442"/>
    <x v="720"/>
    <x v="1"/>
    <x v="2"/>
    <x v="457"/>
    <x v="351"/>
    <x v="1"/>
    <x v="70"/>
    <x v="0"/>
    <x v="0"/>
    <x v="3"/>
    <x v="1"/>
    <x v="1"/>
    <x v="1"/>
    <x v="1"/>
    <x v="3"/>
    <x v="1"/>
    <x v="1"/>
    <x v="212"/>
    <x v="2"/>
    <x v="3"/>
    <x v="4"/>
    <x v="450"/>
    <x v="4"/>
    <x v="1"/>
    <x v="0"/>
    <x v="2"/>
    <x v="1"/>
    <x v="527"/>
    <x v="0"/>
    <x v="0"/>
  </r>
  <r>
    <x v="907"/>
    <x v="455"/>
    <x v="452"/>
    <x v="446"/>
    <x v="721"/>
    <x v="1"/>
    <x v="2"/>
    <x v="461"/>
    <x v="352"/>
    <x v="1"/>
    <x v="31"/>
    <x v="0"/>
    <x v="0"/>
    <x v="1"/>
    <x v="3"/>
    <x v="3"/>
    <x v="2"/>
    <x v="1"/>
    <x v="1"/>
    <x v="1"/>
    <x v="1"/>
    <x v="210"/>
    <x v="1"/>
    <x v="1"/>
    <x v="2"/>
    <x v="454"/>
    <x v="13"/>
    <x v="1"/>
    <x v="7"/>
    <x v="2"/>
    <x v="1"/>
    <x v="528"/>
    <x v="0"/>
    <x v="278"/>
  </r>
  <r>
    <x v="908"/>
    <x v="456"/>
    <x v="453"/>
    <x v="447"/>
    <x v="722"/>
    <x v="1"/>
    <x v="2"/>
    <x v="462"/>
    <x v="353"/>
    <x v="1"/>
    <x v="117"/>
    <x v="0"/>
    <x v="0"/>
    <x v="1"/>
    <x v="1"/>
    <x v="2"/>
    <x v="2"/>
    <x v="2"/>
    <x v="1"/>
    <x v="1"/>
    <x v="1"/>
    <x v="213"/>
    <x v="1"/>
    <x v="1"/>
    <x v="2"/>
    <x v="455"/>
    <x v="3"/>
    <x v="3"/>
    <x v="0"/>
    <x v="1"/>
    <x v="0"/>
    <x v="529"/>
    <x v="266"/>
    <x v="0"/>
  </r>
  <r>
    <x v="909"/>
    <x v="451"/>
    <x v="447"/>
    <x v="442"/>
    <x v="723"/>
    <x v="1"/>
    <x v="2"/>
    <x v="457"/>
    <x v="351"/>
    <x v="1"/>
    <x v="138"/>
    <x v="0"/>
    <x v="0"/>
    <x v="1"/>
    <x v="2"/>
    <x v="3"/>
    <x v="2"/>
    <x v="1"/>
    <x v="2"/>
    <x v="1"/>
    <x v="1"/>
    <x v="210"/>
    <x v="1"/>
    <x v="1"/>
    <x v="2"/>
    <x v="450"/>
    <x v="3"/>
    <x v="1"/>
    <x v="7"/>
    <x v="2"/>
    <x v="1"/>
    <x v="530"/>
    <x v="0"/>
    <x v="0"/>
  </r>
  <r>
    <x v="910"/>
    <x v="452"/>
    <x v="449"/>
    <x v="443"/>
    <x v="724"/>
    <x v="1"/>
    <x v="2"/>
    <x v="458"/>
    <x v="349"/>
    <x v="1"/>
    <x v="9"/>
    <x v="0"/>
    <x v="0"/>
    <x v="3"/>
    <x v="1"/>
    <x v="1"/>
    <x v="1"/>
    <x v="1"/>
    <x v="2"/>
    <x v="1"/>
    <x v="2"/>
    <x v="0"/>
    <x v="1"/>
    <x v="3"/>
    <x v="4"/>
    <x v="451"/>
    <x v="2"/>
    <x v="0"/>
    <x v="0"/>
    <x v="1"/>
    <x v="0"/>
    <x v="0"/>
    <x v="0"/>
    <x v="0"/>
  </r>
  <r>
    <x v="911"/>
    <x v="415"/>
    <x v="412"/>
    <x v="407"/>
    <x v="725"/>
    <x v="1"/>
    <x v="2"/>
    <x v="425"/>
    <x v="327"/>
    <x v="1"/>
    <x v="33"/>
    <x v="0"/>
    <x v="0"/>
    <x v="1"/>
    <x v="3"/>
    <x v="3"/>
    <x v="1"/>
    <x v="1"/>
    <x v="2"/>
    <x v="1"/>
    <x v="1"/>
    <x v="213"/>
    <x v="1"/>
    <x v="5"/>
    <x v="2"/>
    <x v="415"/>
    <x v="2"/>
    <x v="1"/>
    <x v="2"/>
    <x v="1"/>
    <x v="0"/>
    <x v="531"/>
    <x v="0"/>
    <x v="0"/>
  </r>
  <r>
    <x v="912"/>
    <x v="457"/>
    <x v="451"/>
    <x v="445"/>
    <x v="0"/>
    <x v="1"/>
    <x v="2"/>
    <x v="460"/>
    <x v="354"/>
    <x v="2"/>
    <x v="0"/>
    <x v="2"/>
    <x v="0"/>
    <x v="3"/>
    <x v="4"/>
    <x v="1"/>
    <x v="2"/>
    <x v="1"/>
    <x v="2"/>
    <x v="1"/>
    <x v="2"/>
    <x v="0"/>
    <x v="2"/>
    <x v="3"/>
    <x v="4"/>
    <x v="453"/>
    <x v="12"/>
    <x v="0"/>
    <x v="0"/>
    <x v="1"/>
    <x v="0"/>
    <x v="0"/>
    <x v="0"/>
    <x v="0"/>
  </r>
  <r>
    <x v="913"/>
    <x v="451"/>
    <x v="447"/>
    <x v="442"/>
    <x v="726"/>
    <x v="1"/>
    <x v="2"/>
    <x v="457"/>
    <x v="355"/>
    <x v="1"/>
    <x v="138"/>
    <x v="0"/>
    <x v="0"/>
    <x v="3"/>
    <x v="1"/>
    <x v="1"/>
    <x v="1"/>
    <x v="1"/>
    <x v="2"/>
    <x v="1"/>
    <x v="2"/>
    <x v="0"/>
    <x v="1"/>
    <x v="3"/>
    <x v="4"/>
    <x v="450"/>
    <x v="12"/>
    <x v="0"/>
    <x v="0"/>
    <x v="1"/>
    <x v="0"/>
    <x v="0"/>
    <x v="0"/>
    <x v="0"/>
  </r>
  <r>
    <x v="914"/>
    <x v="381"/>
    <x v="381"/>
    <x v="376"/>
    <x v="727"/>
    <x v="1"/>
    <x v="2"/>
    <x v="397"/>
    <x v="168"/>
    <x v="2"/>
    <x v="0"/>
    <x v="5"/>
    <x v="0"/>
    <x v="1"/>
    <x v="2"/>
    <x v="3"/>
    <x v="2"/>
    <x v="1"/>
    <x v="2"/>
    <x v="1"/>
    <x v="1"/>
    <x v="213"/>
    <x v="1"/>
    <x v="1"/>
    <x v="2"/>
    <x v="383"/>
    <x v="12"/>
    <x v="3"/>
    <x v="0"/>
    <x v="1"/>
    <x v="0"/>
    <x v="532"/>
    <x v="0"/>
    <x v="279"/>
  </r>
  <r>
    <x v="915"/>
    <x v="455"/>
    <x v="452"/>
    <x v="446"/>
    <x v="0"/>
    <x v="1"/>
    <x v="2"/>
    <x v="461"/>
    <x v="352"/>
    <x v="1"/>
    <x v="31"/>
    <x v="0"/>
    <x v="0"/>
    <x v="3"/>
    <x v="1"/>
    <x v="1"/>
    <x v="2"/>
    <x v="1"/>
    <x v="2"/>
    <x v="1"/>
    <x v="1"/>
    <x v="213"/>
    <x v="1"/>
    <x v="3"/>
    <x v="4"/>
    <x v="454"/>
    <x v="12"/>
    <x v="3"/>
    <x v="0"/>
    <x v="1"/>
    <x v="0"/>
    <x v="532"/>
    <x v="0"/>
    <x v="0"/>
  </r>
  <r>
    <x v="916"/>
    <x v="415"/>
    <x v="412"/>
    <x v="407"/>
    <x v="0"/>
    <x v="1"/>
    <x v="2"/>
    <x v="425"/>
    <x v="327"/>
    <x v="1"/>
    <x v="33"/>
    <x v="0"/>
    <x v="0"/>
    <x v="3"/>
    <x v="1"/>
    <x v="1"/>
    <x v="2"/>
    <x v="1"/>
    <x v="2"/>
    <x v="1"/>
    <x v="2"/>
    <x v="0"/>
    <x v="2"/>
    <x v="3"/>
    <x v="4"/>
    <x v="415"/>
    <x v="4"/>
    <x v="0"/>
    <x v="0"/>
    <x v="1"/>
    <x v="0"/>
    <x v="0"/>
    <x v="0"/>
    <x v="0"/>
  </r>
  <r>
    <x v="917"/>
    <x v="458"/>
    <x v="454"/>
    <x v="448"/>
    <x v="728"/>
    <x v="1"/>
    <x v="2"/>
    <x v="463"/>
    <x v="356"/>
    <x v="1"/>
    <x v="31"/>
    <x v="0"/>
    <x v="0"/>
    <x v="1"/>
    <x v="1"/>
    <x v="1"/>
    <x v="2"/>
    <x v="1"/>
    <x v="1"/>
    <x v="1"/>
    <x v="2"/>
    <x v="0"/>
    <x v="1"/>
    <x v="6"/>
    <x v="2"/>
    <x v="456"/>
    <x v="5"/>
    <x v="0"/>
    <x v="0"/>
    <x v="1"/>
    <x v="0"/>
    <x v="0"/>
    <x v="0"/>
    <x v="0"/>
  </r>
  <r>
    <x v="918"/>
    <x v="459"/>
    <x v="455"/>
    <x v="449"/>
    <x v="729"/>
    <x v="1"/>
    <x v="2"/>
    <x v="464"/>
    <x v="357"/>
    <x v="1"/>
    <x v="15"/>
    <x v="0"/>
    <x v="0"/>
    <x v="1"/>
    <x v="3"/>
    <x v="3"/>
    <x v="2"/>
    <x v="1"/>
    <x v="2"/>
    <x v="1"/>
    <x v="1"/>
    <x v="214"/>
    <x v="1"/>
    <x v="6"/>
    <x v="2"/>
    <x v="457"/>
    <x v="5"/>
    <x v="1"/>
    <x v="5"/>
    <x v="2"/>
    <x v="1"/>
    <x v="533"/>
    <x v="0"/>
    <x v="0"/>
  </r>
  <r>
    <x v="919"/>
    <x v="57"/>
    <x v="56"/>
    <x v="55"/>
    <x v="730"/>
    <x v="1"/>
    <x v="2"/>
    <x v="60"/>
    <x v="196"/>
    <x v="6"/>
    <x v="0"/>
    <x v="0"/>
    <x v="21"/>
    <x v="1"/>
    <x v="3"/>
    <x v="4"/>
    <x v="2"/>
    <x v="1"/>
    <x v="2"/>
    <x v="1"/>
    <x v="2"/>
    <x v="0"/>
    <x v="1"/>
    <x v="6"/>
    <x v="2"/>
    <x v="55"/>
    <x v="5"/>
    <x v="0"/>
    <x v="0"/>
    <x v="1"/>
    <x v="0"/>
    <x v="0"/>
    <x v="0"/>
    <x v="0"/>
  </r>
  <r>
    <x v="920"/>
    <x v="141"/>
    <x v="141"/>
    <x v="139"/>
    <x v="731"/>
    <x v="1"/>
    <x v="2"/>
    <x v="145"/>
    <x v="125"/>
    <x v="1"/>
    <x v="15"/>
    <x v="0"/>
    <x v="0"/>
    <x v="1"/>
    <x v="3"/>
    <x v="3"/>
    <x v="2"/>
    <x v="1"/>
    <x v="2"/>
    <x v="1"/>
    <x v="1"/>
    <x v="215"/>
    <x v="1"/>
    <x v="1"/>
    <x v="2"/>
    <x v="140"/>
    <x v="13"/>
    <x v="3"/>
    <x v="0"/>
    <x v="1"/>
    <x v="0"/>
    <x v="534"/>
    <x v="267"/>
    <x v="280"/>
  </r>
  <r>
    <x v="921"/>
    <x v="459"/>
    <x v="455"/>
    <x v="449"/>
    <x v="732"/>
    <x v="1"/>
    <x v="2"/>
    <x v="464"/>
    <x v="357"/>
    <x v="1"/>
    <x v="15"/>
    <x v="0"/>
    <x v="0"/>
    <x v="3"/>
    <x v="1"/>
    <x v="1"/>
    <x v="2"/>
    <x v="1"/>
    <x v="2"/>
    <x v="1"/>
    <x v="2"/>
    <x v="0"/>
    <x v="1"/>
    <x v="3"/>
    <x v="4"/>
    <x v="457"/>
    <x v="2"/>
    <x v="0"/>
    <x v="0"/>
    <x v="1"/>
    <x v="0"/>
    <x v="0"/>
    <x v="0"/>
    <x v="0"/>
  </r>
  <r>
    <x v="922"/>
    <x v="141"/>
    <x v="141"/>
    <x v="139"/>
    <x v="733"/>
    <x v="1"/>
    <x v="2"/>
    <x v="145"/>
    <x v="125"/>
    <x v="1"/>
    <x v="15"/>
    <x v="0"/>
    <x v="0"/>
    <x v="1"/>
    <x v="1"/>
    <x v="1"/>
    <x v="2"/>
    <x v="1"/>
    <x v="2"/>
    <x v="1"/>
    <x v="2"/>
    <x v="0"/>
    <x v="1"/>
    <x v="1"/>
    <x v="2"/>
    <x v="140"/>
    <x v="4"/>
    <x v="0"/>
    <x v="0"/>
    <x v="1"/>
    <x v="0"/>
    <x v="0"/>
    <x v="0"/>
    <x v="0"/>
  </r>
  <r>
    <x v="923"/>
    <x v="460"/>
    <x v="456"/>
    <x v="450"/>
    <x v="734"/>
    <x v="1"/>
    <x v="2"/>
    <x v="465"/>
    <x v="199"/>
    <x v="1"/>
    <x v="2"/>
    <x v="0"/>
    <x v="0"/>
    <x v="1"/>
    <x v="1"/>
    <x v="1"/>
    <x v="2"/>
    <x v="1"/>
    <x v="2"/>
    <x v="1"/>
    <x v="1"/>
    <x v="216"/>
    <x v="1"/>
    <x v="1"/>
    <x v="2"/>
    <x v="458"/>
    <x v="4"/>
    <x v="3"/>
    <x v="0"/>
    <x v="1"/>
    <x v="0"/>
    <x v="535"/>
    <x v="268"/>
    <x v="281"/>
  </r>
  <r>
    <x v="924"/>
    <x v="461"/>
    <x v="457"/>
    <x v="451"/>
    <x v="735"/>
    <x v="1"/>
    <x v="3"/>
    <x v="466"/>
    <x v="227"/>
    <x v="1"/>
    <x v="176"/>
    <x v="0"/>
    <x v="0"/>
    <x v="1"/>
    <x v="1"/>
    <x v="1"/>
    <x v="2"/>
    <x v="2"/>
    <x v="2"/>
    <x v="1"/>
    <x v="2"/>
    <x v="0"/>
    <x v="1"/>
    <x v="4"/>
    <x v="2"/>
    <x v="459"/>
    <x v="12"/>
    <x v="0"/>
    <x v="0"/>
    <x v="1"/>
    <x v="0"/>
    <x v="0"/>
    <x v="0"/>
    <x v="0"/>
  </r>
  <r>
    <x v="925"/>
    <x v="462"/>
    <x v="458"/>
    <x v="452"/>
    <x v="736"/>
    <x v="1"/>
    <x v="2"/>
    <x v="467"/>
    <x v="196"/>
    <x v="6"/>
    <x v="12"/>
    <x v="0"/>
    <x v="22"/>
    <x v="1"/>
    <x v="3"/>
    <x v="3"/>
    <x v="2"/>
    <x v="1"/>
    <x v="2"/>
    <x v="1"/>
    <x v="1"/>
    <x v="216"/>
    <x v="1"/>
    <x v="1"/>
    <x v="2"/>
    <x v="460"/>
    <x v="12"/>
    <x v="3"/>
    <x v="0"/>
    <x v="1"/>
    <x v="0"/>
    <x v="536"/>
    <x v="269"/>
    <x v="0"/>
  </r>
  <r>
    <x v="926"/>
    <x v="463"/>
    <x v="459"/>
    <x v="453"/>
    <x v="737"/>
    <x v="1"/>
    <x v="1"/>
    <x v="468"/>
    <x v="10"/>
    <x v="1"/>
    <x v="177"/>
    <x v="0"/>
    <x v="0"/>
    <x v="1"/>
    <x v="1"/>
    <x v="1"/>
    <x v="1"/>
    <x v="2"/>
    <x v="1"/>
    <x v="1"/>
    <x v="2"/>
    <x v="0"/>
    <x v="1"/>
    <x v="1"/>
    <x v="2"/>
    <x v="461"/>
    <x v="2"/>
    <x v="0"/>
    <x v="0"/>
    <x v="1"/>
    <x v="0"/>
    <x v="0"/>
    <x v="0"/>
    <x v="0"/>
  </r>
  <r>
    <x v="927"/>
    <x v="464"/>
    <x v="460"/>
    <x v="454"/>
    <x v="738"/>
    <x v="1"/>
    <x v="2"/>
    <x v="469"/>
    <x v="212"/>
    <x v="1"/>
    <x v="22"/>
    <x v="0"/>
    <x v="0"/>
    <x v="1"/>
    <x v="2"/>
    <x v="3"/>
    <x v="1"/>
    <x v="1"/>
    <x v="2"/>
    <x v="1"/>
    <x v="1"/>
    <x v="212"/>
    <x v="1"/>
    <x v="1"/>
    <x v="2"/>
    <x v="462"/>
    <x v="12"/>
    <x v="1"/>
    <x v="4"/>
    <x v="1"/>
    <x v="0"/>
    <x v="537"/>
    <x v="0"/>
    <x v="282"/>
  </r>
  <r>
    <x v="928"/>
    <x v="465"/>
    <x v="461"/>
    <x v="455"/>
    <x v="739"/>
    <x v="3"/>
    <x v="2"/>
    <x v="470"/>
    <x v="294"/>
    <x v="1"/>
    <x v="33"/>
    <x v="0"/>
    <x v="0"/>
    <x v="1"/>
    <x v="3"/>
    <x v="3"/>
    <x v="2"/>
    <x v="1"/>
    <x v="2"/>
    <x v="1"/>
    <x v="1"/>
    <x v="212"/>
    <x v="1"/>
    <x v="1"/>
    <x v="2"/>
    <x v="463"/>
    <x v="12"/>
    <x v="1"/>
    <x v="7"/>
    <x v="2"/>
    <x v="1"/>
    <x v="538"/>
    <x v="0"/>
    <x v="283"/>
  </r>
  <r>
    <x v="929"/>
    <x v="466"/>
    <x v="462"/>
    <x v="456"/>
    <x v="740"/>
    <x v="1"/>
    <x v="2"/>
    <x v="471"/>
    <x v="358"/>
    <x v="1"/>
    <x v="178"/>
    <x v="0"/>
    <x v="0"/>
    <x v="1"/>
    <x v="1"/>
    <x v="1"/>
    <x v="2"/>
    <x v="1"/>
    <x v="2"/>
    <x v="1"/>
    <x v="2"/>
    <x v="0"/>
    <x v="1"/>
    <x v="1"/>
    <x v="2"/>
    <x v="464"/>
    <x v="12"/>
    <x v="0"/>
    <x v="0"/>
    <x v="1"/>
    <x v="0"/>
    <x v="0"/>
    <x v="0"/>
    <x v="0"/>
  </r>
  <r>
    <x v="930"/>
    <x v="141"/>
    <x v="141"/>
    <x v="139"/>
    <x v="741"/>
    <x v="1"/>
    <x v="1"/>
    <x v="145"/>
    <x v="125"/>
    <x v="1"/>
    <x v="3"/>
    <x v="0"/>
    <x v="0"/>
    <x v="1"/>
    <x v="1"/>
    <x v="1"/>
    <x v="2"/>
    <x v="1"/>
    <x v="2"/>
    <x v="1"/>
    <x v="2"/>
    <x v="0"/>
    <x v="1"/>
    <x v="5"/>
    <x v="2"/>
    <x v="140"/>
    <x v="12"/>
    <x v="0"/>
    <x v="0"/>
    <x v="1"/>
    <x v="0"/>
    <x v="0"/>
    <x v="0"/>
    <x v="0"/>
  </r>
  <r>
    <x v="931"/>
    <x v="467"/>
    <x v="463"/>
    <x v="457"/>
    <x v="742"/>
    <x v="1"/>
    <x v="2"/>
    <x v="472"/>
    <x v="76"/>
    <x v="2"/>
    <x v="0"/>
    <x v="2"/>
    <x v="0"/>
    <x v="1"/>
    <x v="1"/>
    <x v="1"/>
    <x v="2"/>
    <x v="1"/>
    <x v="2"/>
    <x v="1"/>
    <x v="2"/>
    <x v="0"/>
    <x v="1"/>
    <x v="5"/>
    <x v="2"/>
    <x v="465"/>
    <x v="12"/>
    <x v="0"/>
    <x v="0"/>
    <x v="1"/>
    <x v="0"/>
    <x v="0"/>
    <x v="0"/>
    <x v="0"/>
  </r>
  <r>
    <x v="932"/>
    <x v="468"/>
    <x v="461"/>
    <x v="455"/>
    <x v="743"/>
    <x v="3"/>
    <x v="2"/>
    <x v="473"/>
    <x v="294"/>
    <x v="1"/>
    <x v="33"/>
    <x v="0"/>
    <x v="0"/>
    <x v="3"/>
    <x v="1"/>
    <x v="1"/>
    <x v="2"/>
    <x v="1"/>
    <x v="2"/>
    <x v="1"/>
    <x v="1"/>
    <x v="217"/>
    <x v="1"/>
    <x v="3"/>
    <x v="4"/>
    <x v="463"/>
    <x v="12"/>
    <x v="1"/>
    <x v="1"/>
    <x v="1"/>
    <x v="0"/>
    <x v="539"/>
    <x v="270"/>
    <x v="284"/>
  </r>
  <r>
    <x v="933"/>
    <x v="469"/>
    <x v="464"/>
    <x v="458"/>
    <x v="744"/>
    <x v="1"/>
    <x v="1"/>
    <x v="474"/>
    <x v="359"/>
    <x v="1"/>
    <x v="179"/>
    <x v="0"/>
    <x v="0"/>
    <x v="1"/>
    <x v="1"/>
    <x v="1"/>
    <x v="1"/>
    <x v="1"/>
    <x v="3"/>
    <x v="1"/>
    <x v="2"/>
    <x v="0"/>
    <x v="1"/>
    <x v="1"/>
    <x v="5"/>
    <x v="466"/>
    <x v="2"/>
    <x v="0"/>
    <x v="0"/>
    <x v="1"/>
    <x v="0"/>
    <x v="0"/>
    <x v="0"/>
    <x v="0"/>
  </r>
  <r>
    <x v="934"/>
    <x v="470"/>
    <x v="465"/>
    <x v="459"/>
    <x v="745"/>
    <x v="1"/>
    <x v="4"/>
    <x v="475"/>
    <x v="205"/>
    <x v="1"/>
    <x v="180"/>
    <x v="0"/>
    <x v="0"/>
    <x v="1"/>
    <x v="1"/>
    <x v="1"/>
    <x v="1"/>
    <x v="1"/>
    <x v="2"/>
    <x v="1"/>
    <x v="2"/>
    <x v="0"/>
    <x v="1"/>
    <x v="5"/>
    <x v="2"/>
    <x v="467"/>
    <x v="12"/>
    <x v="0"/>
    <x v="0"/>
    <x v="1"/>
    <x v="0"/>
    <x v="0"/>
    <x v="0"/>
    <x v="0"/>
  </r>
  <r>
    <x v="935"/>
    <x v="141"/>
    <x v="141"/>
    <x v="139"/>
    <x v="746"/>
    <x v="1"/>
    <x v="1"/>
    <x v="145"/>
    <x v="125"/>
    <x v="2"/>
    <x v="0"/>
    <x v="2"/>
    <x v="0"/>
    <x v="1"/>
    <x v="3"/>
    <x v="3"/>
    <x v="2"/>
    <x v="1"/>
    <x v="2"/>
    <x v="1"/>
    <x v="1"/>
    <x v="217"/>
    <x v="1"/>
    <x v="6"/>
    <x v="2"/>
    <x v="140"/>
    <x v="5"/>
    <x v="3"/>
    <x v="0"/>
    <x v="1"/>
    <x v="0"/>
    <x v="540"/>
    <x v="0"/>
    <x v="285"/>
  </r>
  <r>
    <x v="936"/>
    <x v="471"/>
    <x v="466"/>
    <x v="460"/>
    <x v="747"/>
    <x v="1"/>
    <x v="2"/>
    <x v="476"/>
    <x v="341"/>
    <x v="1"/>
    <x v="33"/>
    <x v="0"/>
    <x v="0"/>
    <x v="1"/>
    <x v="1"/>
    <x v="2"/>
    <x v="2"/>
    <x v="1"/>
    <x v="2"/>
    <x v="1"/>
    <x v="1"/>
    <x v="207"/>
    <x v="1"/>
    <x v="6"/>
    <x v="2"/>
    <x v="468"/>
    <x v="5"/>
    <x v="1"/>
    <x v="7"/>
    <x v="2"/>
    <x v="1"/>
    <x v="541"/>
    <x v="0"/>
    <x v="0"/>
  </r>
  <r>
    <x v="937"/>
    <x v="468"/>
    <x v="461"/>
    <x v="455"/>
    <x v="0"/>
    <x v="1"/>
    <x v="2"/>
    <x v="473"/>
    <x v="294"/>
    <x v="1"/>
    <x v="33"/>
    <x v="0"/>
    <x v="0"/>
    <x v="3"/>
    <x v="1"/>
    <x v="1"/>
    <x v="2"/>
    <x v="1"/>
    <x v="2"/>
    <x v="1"/>
    <x v="1"/>
    <x v="207"/>
    <x v="2"/>
    <x v="3"/>
    <x v="4"/>
    <x v="463"/>
    <x v="5"/>
    <x v="3"/>
    <x v="0"/>
    <x v="1"/>
    <x v="0"/>
    <x v="542"/>
    <x v="0"/>
    <x v="0"/>
  </r>
  <r>
    <x v="938"/>
    <x v="472"/>
    <x v="467"/>
    <x v="461"/>
    <x v="748"/>
    <x v="3"/>
    <x v="3"/>
    <x v="477"/>
    <x v="360"/>
    <x v="1"/>
    <x v="9"/>
    <x v="0"/>
    <x v="0"/>
    <x v="1"/>
    <x v="1"/>
    <x v="1"/>
    <x v="2"/>
    <x v="1"/>
    <x v="2"/>
    <x v="1"/>
    <x v="1"/>
    <x v="218"/>
    <x v="1"/>
    <x v="6"/>
    <x v="2"/>
    <x v="469"/>
    <x v="5"/>
    <x v="1"/>
    <x v="1"/>
    <x v="1"/>
    <x v="0"/>
    <x v="543"/>
    <x v="271"/>
    <x v="0"/>
  </r>
  <r>
    <x v="939"/>
    <x v="141"/>
    <x v="141"/>
    <x v="139"/>
    <x v="749"/>
    <x v="1"/>
    <x v="1"/>
    <x v="145"/>
    <x v="125"/>
    <x v="2"/>
    <x v="0"/>
    <x v="2"/>
    <x v="0"/>
    <x v="1"/>
    <x v="3"/>
    <x v="3"/>
    <x v="2"/>
    <x v="1"/>
    <x v="2"/>
    <x v="1"/>
    <x v="1"/>
    <x v="219"/>
    <x v="1"/>
    <x v="6"/>
    <x v="2"/>
    <x v="140"/>
    <x v="12"/>
    <x v="3"/>
    <x v="0"/>
    <x v="1"/>
    <x v="0"/>
    <x v="544"/>
    <x v="272"/>
    <x v="286"/>
  </r>
  <r>
    <x v="940"/>
    <x v="471"/>
    <x v="466"/>
    <x v="460"/>
    <x v="750"/>
    <x v="1"/>
    <x v="2"/>
    <x v="476"/>
    <x v="341"/>
    <x v="1"/>
    <x v="33"/>
    <x v="0"/>
    <x v="0"/>
    <x v="3"/>
    <x v="1"/>
    <x v="1"/>
    <x v="2"/>
    <x v="1"/>
    <x v="2"/>
    <x v="1"/>
    <x v="1"/>
    <x v="219"/>
    <x v="1"/>
    <x v="3"/>
    <x v="4"/>
    <x v="468"/>
    <x v="12"/>
    <x v="1"/>
    <x v="1"/>
    <x v="1"/>
    <x v="0"/>
    <x v="545"/>
    <x v="273"/>
    <x v="0"/>
  </r>
  <r>
    <x v="941"/>
    <x v="128"/>
    <x v="128"/>
    <x v="126"/>
    <x v="751"/>
    <x v="1"/>
    <x v="2"/>
    <x v="82"/>
    <x v="361"/>
    <x v="1"/>
    <x v="181"/>
    <x v="0"/>
    <x v="0"/>
    <x v="1"/>
    <x v="1"/>
    <x v="1"/>
    <x v="2"/>
    <x v="1"/>
    <x v="3"/>
    <x v="1"/>
    <x v="1"/>
    <x v="219"/>
    <x v="1"/>
    <x v="1"/>
    <x v="2"/>
    <x v="127"/>
    <x v="4"/>
    <x v="3"/>
    <x v="0"/>
    <x v="1"/>
    <x v="0"/>
    <x v="546"/>
    <x v="0"/>
    <x v="287"/>
  </r>
  <r>
    <x v="942"/>
    <x v="451"/>
    <x v="447"/>
    <x v="442"/>
    <x v="0"/>
    <x v="1"/>
    <x v="2"/>
    <x v="457"/>
    <x v="351"/>
    <x v="1"/>
    <x v="70"/>
    <x v="0"/>
    <x v="0"/>
    <x v="3"/>
    <x v="1"/>
    <x v="1"/>
    <x v="2"/>
    <x v="1"/>
    <x v="2"/>
    <x v="1"/>
    <x v="2"/>
    <x v="0"/>
    <x v="2"/>
    <x v="3"/>
    <x v="4"/>
    <x v="450"/>
    <x v="4"/>
    <x v="0"/>
    <x v="0"/>
    <x v="1"/>
    <x v="0"/>
    <x v="0"/>
    <x v="0"/>
    <x v="0"/>
  </r>
  <r>
    <x v="943"/>
    <x v="441"/>
    <x v="437"/>
    <x v="432"/>
    <x v="752"/>
    <x v="1"/>
    <x v="2"/>
    <x v="447"/>
    <x v="310"/>
    <x v="1"/>
    <x v="182"/>
    <x v="0"/>
    <x v="0"/>
    <x v="1"/>
    <x v="3"/>
    <x v="3"/>
    <x v="2"/>
    <x v="1"/>
    <x v="2"/>
    <x v="1"/>
    <x v="1"/>
    <x v="220"/>
    <x v="1"/>
    <x v="1"/>
    <x v="2"/>
    <x v="440"/>
    <x v="13"/>
    <x v="1"/>
    <x v="4"/>
    <x v="2"/>
    <x v="1"/>
    <x v="547"/>
    <x v="274"/>
    <x v="0"/>
  </r>
  <r>
    <x v="944"/>
    <x v="472"/>
    <x v="467"/>
    <x v="461"/>
    <x v="0"/>
    <x v="1"/>
    <x v="3"/>
    <x v="477"/>
    <x v="360"/>
    <x v="1"/>
    <x v="9"/>
    <x v="0"/>
    <x v="0"/>
    <x v="3"/>
    <x v="1"/>
    <x v="1"/>
    <x v="2"/>
    <x v="1"/>
    <x v="2"/>
    <x v="1"/>
    <x v="1"/>
    <x v="220"/>
    <x v="2"/>
    <x v="3"/>
    <x v="4"/>
    <x v="469"/>
    <x v="5"/>
    <x v="1"/>
    <x v="1"/>
    <x v="1"/>
    <x v="0"/>
    <x v="548"/>
    <x v="275"/>
    <x v="288"/>
  </r>
  <r>
    <x v="945"/>
    <x v="471"/>
    <x v="466"/>
    <x v="460"/>
    <x v="0"/>
    <x v="1"/>
    <x v="2"/>
    <x v="476"/>
    <x v="341"/>
    <x v="1"/>
    <x v="33"/>
    <x v="0"/>
    <x v="0"/>
    <x v="3"/>
    <x v="1"/>
    <x v="1"/>
    <x v="2"/>
    <x v="1"/>
    <x v="2"/>
    <x v="1"/>
    <x v="1"/>
    <x v="221"/>
    <x v="2"/>
    <x v="3"/>
    <x v="4"/>
    <x v="468"/>
    <x v="5"/>
    <x v="1"/>
    <x v="1"/>
    <x v="1"/>
    <x v="0"/>
    <x v="549"/>
    <x v="0"/>
    <x v="0"/>
  </r>
  <r>
    <x v="946"/>
    <x v="473"/>
    <x v="468"/>
    <x v="462"/>
    <x v="753"/>
    <x v="3"/>
    <x v="1"/>
    <x v="478"/>
    <x v="362"/>
    <x v="1"/>
    <x v="183"/>
    <x v="0"/>
    <x v="0"/>
    <x v="1"/>
    <x v="1"/>
    <x v="1"/>
    <x v="2"/>
    <x v="1"/>
    <x v="2"/>
    <x v="1"/>
    <x v="2"/>
    <x v="0"/>
    <x v="1"/>
    <x v="1"/>
    <x v="2"/>
    <x v="470"/>
    <x v="4"/>
    <x v="0"/>
    <x v="0"/>
    <x v="1"/>
    <x v="0"/>
    <x v="0"/>
    <x v="0"/>
    <x v="0"/>
  </r>
  <r>
    <x v="947"/>
    <x v="474"/>
    <x v="469"/>
    <x v="463"/>
    <x v="754"/>
    <x v="1"/>
    <x v="2"/>
    <x v="479"/>
    <x v="117"/>
    <x v="2"/>
    <x v="0"/>
    <x v="2"/>
    <x v="0"/>
    <x v="1"/>
    <x v="2"/>
    <x v="3"/>
    <x v="2"/>
    <x v="1"/>
    <x v="2"/>
    <x v="1"/>
    <x v="1"/>
    <x v="220"/>
    <x v="1"/>
    <x v="5"/>
    <x v="2"/>
    <x v="471"/>
    <x v="5"/>
    <x v="1"/>
    <x v="1"/>
    <x v="1"/>
    <x v="0"/>
    <x v="550"/>
    <x v="0"/>
    <x v="289"/>
  </r>
  <r>
    <x v="948"/>
    <x v="474"/>
    <x v="469"/>
    <x v="463"/>
    <x v="0"/>
    <x v="1"/>
    <x v="2"/>
    <x v="479"/>
    <x v="117"/>
    <x v="2"/>
    <x v="0"/>
    <x v="2"/>
    <x v="0"/>
    <x v="3"/>
    <x v="1"/>
    <x v="1"/>
    <x v="2"/>
    <x v="1"/>
    <x v="2"/>
    <x v="1"/>
    <x v="2"/>
    <x v="0"/>
    <x v="2"/>
    <x v="3"/>
    <x v="4"/>
    <x v="471"/>
    <x v="5"/>
    <x v="0"/>
    <x v="0"/>
    <x v="1"/>
    <x v="0"/>
    <x v="0"/>
    <x v="0"/>
    <x v="0"/>
  </r>
  <r>
    <x v="949"/>
    <x v="472"/>
    <x v="467"/>
    <x v="461"/>
    <x v="0"/>
    <x v="3"/>
    <x v="3"/>
    <x v="477"/>
    <x v="360"/>
    <x v="1"/>
    <x v="9"/>
    <x v="0"/>
    <x v="0"/>
    <x v="3"/>
    <x v="4"/>
    <x v="1"/>
    <x v="2"/>
    <x v="1"/>
    <x v="2"/>
    <x v="1"/>
    <x v="2"/>
    <x v="0"/>
    <x v="2"/>
    <x v="3"/>
    <x v="4"/>
    <x v="469"/>
    <x v="5"/>
    <x v="0"/>
    <x v="0"/>
    <x v="1"/>
    <x v="0"/>
    <x v="0"/>
    <x v="0"/>
    <x v="0"/>
  </r>
  <r>
    <x v="950"/>
    <x v="441"/>
    <x v="437"/>
    <x v="432"/>
    <x v="755"/>
    <x v="1"/>
    <x v="2"/>
    <x v="447"/>
    <x v="310"/>
    <x v="1"/>
    <x v="184"/>
    <x v="0"/>
    <x v="0"/>
    <x v="3"/>
    <x v="1"/>
    <x v="1"/>
    <x v="2"/>
    <x v="1"/>
    <x v="1"/>
    <x v="1"/>
    <x v="2"/>
    <x v="0"/>
    <x v="1"/>
    <x v="3"/>
    <x v="4"/>
    <x v="440"/>
    <x v="1"/>
    <x v="0"/>
    <x v="0"/>
    <x v="1"/>
    <x v="0"/>
    <x v="0"/>
    <x v="0"/>
    <x v="0"/>
  </r>
  <r>
    <x v="951"/>
    <x v="475"/>
    <x v="470"/>
    <x v="464"/>
    <x v="756"/>
    <x v="1"/>
    <x v="1"/>
    <x v="248"/>
    <x v="80"/>
    <x v="1"/>
    <x v="36"/>
    <x v="0"/>
    <x v="0"/>
    <x v="1"/>
    <x v="1"/>
    <x v="1"/>
    <x v="2"/>
    <x v="1"/>
    <x v="2"/>
    <x v="1"/>
    <x v="1"/>
    <x v="220"/>
    <x v="1"/>
    <x v="1"/>
    <x v="2"/>
    <x v="472"/>
    <x v="5"/>
    <x v="1"/>
    <x v="1"/>
    <x v="2"/>
    <x v="1"/>
    <x v="551"/>
    <x v="0"/>
    <x v="290"/>
  </r>
  <r>
    <x v="952"/>
    <x v="438"/>
    <x v="434"/>
    <x v="429"/>
    <x v="757"/>
    <x v="1"/>
    <x v="2"/>
    <x v="444"/>
    <x v="339"/>
    <x v="1"/>
    <x v="31"/>
    <x v="0"/>
    <x v="0"/>
    <x v="1"/>
    <x v="1"/>
    <x v="1"/>
    <x v="2"/>
    <x v="1"/>
    <x v="2"/>
    <x v="1"/>
    <x v="1"/>
    <x v="220"/>
    <x v="1"/>
    <x v="1"/>
    <x v="2"/>
    <x v="437"/>
    <x v="5"/>
    <x v="3"/>
    <x v="0"/>
    <x v="1"/>
    <x v="0"/>
    <x v="552"/>
    <x v="0"/>
    <x v="291"/>
  </r>
  <r>
    <x v="953"/>
    <x v="172"/>
    <x v="172"/>
    <x v="170"/>
    <x v="758"/>
    <x v="1"/>
    <x v="2"/>
    <x v="181"/>
    <x v="37"/>
    <x v="2"/>
    <x v="0"/>
    <x v="2"/>
    <x v="0"/>
    <x v="1"/>
    <x v="1"/>
    <x v="1"/>
    <x v="2"/>
    <x v="1"/>
    <x v="2"/>
    <x v="1"/>
    <x v="1"/>
    <x v="220"/>
    <x v="1"/>
    <x v="1"/>
    <x v="2"/>
    <x v="171"/>
    <x v="5"/>
    <x v="1"/>
    <x v="4"/>
    <x v="1"/>
    <x v="0"/>
    <x v="0"/>
    <x v="0"/>
    <x v="0"/>
  </r>
  <r>
    <x v="954"/>
    <x v="299"/>
    <x v="300"/>
    <x v="295"/>
    <x v="759"/>
    <x v="2"/>
    <x v="2"/>
    <x v="314"/>
    <x v="196"/>
    <x v="6"/>
    <x v="0"/>
    <x v="0"/>
    <x v="4"/>
    <x v="1"/>
    <x v="1"/>
    <x v="2"/>
    <x v="2"/>
    <x v="2"/>
    <x v="3"/>
    <x v="1"/>
    <x v="1"/>
    <x v="222"/>
    <x v="1"/>
    <x v="1"/>
    <x v="2"/>
    <x v="301"/>
    <x v="1"/>
    <x v="3"/>
    <x v="0"/>
    <x v="1"/>
    <x v="0"/>
    <x v="553"/>
    <x v="276"/>
    <x v="0"/>
  </r>
  <r>
    <x v="955"/>
    <x v="209"/>
    <x v="207"/>
    <x v="205"/>
    <x v="760"/>
    <x v="1"/>
    <x v="2"/>
    <x v="218"/>
    <x v="103"/>
    <x v="2"/>
    <x v="0"/>
    <x v="5"/>
    <x v="0"/>
    <x v="1"/>
    <x v="2"/>
    <x v="3"/>
    <x v="2"/>
    <x v="1"/>
    <x v="2"/>
    <x v="1"/>
    <x v="1"/>
    <x v="221"/>
    <x v="1"/>
    <x v="1"/>
    <x v="2"/>
    <x v="209"/>
    <x v="5"/>
    <x v="1"/>
    <x v="1"/>
    <x v="1"/>
    <x v="0"/>
    <x v="554"/>
    <x v="277"/>
    <x v="0"/>
  </r>
  <r>
    <x v="956"/>
    <x v="475"/>
    <x v="470"/>
    <x v="464"/>
    <x v="761"/>
    <x v="1"/>
    <x v="1"/>
    <x v="248"/>
    <x v="80"/>
    <x v="1"/>
    <x v="36"/>
    <x v="0"/>
    <x v="0"/>
    <x v="3"/>
    <x v="2"/>
    <x v="3"/>
    <x v="2"/>
    <x v="1"/>
    <x v="2"/>
    <x v="1"/>
    <x v="1"/>
    <x v="221"/>
    <x v="2"/>
    <x v="3"/>
    <x v="4"/>
    <x v="472"/>
    <x v="5"/>
    <x v="1"/>
    <x v="1"/>
    <x v="1"/>
    <x v="0"/>
    <x v="555"/>
    <x v="278"/>
    <x v="292"/>
  </r>
  <r>
    <x v="957"/>
    <x v="172"/>
    <x v="172"/>
    <x v="170"/>
    <x v="762"/>
    <x v="1"/>
    <x v="2"/>
    <x v="181"/>
    <x v="37"/>
    <x v="1"/>
    <x v="4"/>
    <x v="0"/>
    <x v="0"/>
    <x v="3"/>
    <x v="3"/>
    <x v="3"/>
    <x v="2"/>
    <x v="1"/>
    <x v="2"/>
    <x v="1"/>
    <x v="1"/>
    <x v="221"/>
    <x v="1"/>
    <x v="3"/>
    <x v="4"/>
    <x v="171"/>
    <x v="1"/>
    <x v="3"/>
    <x v="0"/>
    <x v="1"/>
    <x v="0"/>
    <x v="556"/>
    <x v="279"/>
    <x v="0"/>
  </r>
  <r>
    <x v="958"/>
    <x v="200"/>
    <x v="198"/>
    <x v="196"/>
    <x v="763"/>
    <x v="1"/>
    <x v="2"/>
    <x v="209"/>
    <x v="171"/>
    <x v="1"/>
    <x v="15"/>
    <x v="0"/>
    <x v="0"/>
    <x v="1"/>
    <x v="2"/>
    <x v="3"/>
    <x v="1"/>
    <x v="2"/>
    <x v="2"/>
    <x v="1"/>
    <x v="1"/>
    <x v="221"/>
    <x v="1"/>
    <x v="5"/>
    <x v="2"/>
    <x v="473"/>
    <x v="5"/>
    <x v="1"/>
    <x v="1"/>
    <x v="1"/>
    <x v="0"/>
    <x v="557"/>
    <x v="0"/>
    <x v="293"/>
  </r>
  <r>
    <x v="959"/>
    <x v="476"/>
    <x v="471"/>
    <x v="465"/>
    <x v="764"/>
    <x v="3"/>
    <x v="1"/>
    <x v="480"/>
    <x v="10"/>
    <x v="1"/>
    <x v="22"/>
    <x v="0"/>
    <x v="0"/>
    <x v="1"/>
    <x v="1"/>
    <x v="1"/>
    <x v="2"/>
    <x v="1"/>
    <x v="2"/>
    <x v="1"/>
    <x v="2"/>
    <x v="0"/>
    <x v="1"/>
    <x v="5"/>
    <x v="2"/>
    <x v="474"/>
    <x v="5"/>
    <x v="0"/>
    <x v="0"/>
    <x v="1"/>
    <x v="0"/>
    <x v="0"/>
    <x v="0"/>
    <x v="0"/>
  </r>
  <r>
    <x v="960"/>
    <x v="477"/>
    <x v="198"/>
    <x v="196"/>
    <x v="0"/>
    <x v="1"/>
    <x v="2"/>
    <x v="209"/>
    <x v="171"/>
    <x v="1"/>
    <x v="15"/>
    <x v="0"/>
    <x v="0"/>
    <x v="3"/>
    <x v="2"/>
    <x v="3"/>
    <x v="1"/>
    <x v="2"/>
    <x v="2"/>
    <x v="1"/>
    <x v="1"/>
    <x v="221"/>
    <x v="2"/>
    <x v="3"/>
    <x v="4"/>
    <x v="473"/>
    <x v="5"/>
    <x v="3"/>
    <x v="0"/>
    <x v="1"/>
    <x v="0"/>
    <x v="558"/>
    <x v="280"/>
    <x v="293"/>
  </r>
  <r>
    <x v="961"/>
    <x v="464"/>
    <x v="460"/>
    <x v="454"/>
    <x v="765"/>
    <x v="1"/>
    <x v="2"/>
    <x v="469"/>
    <x v="212"/>
    <x v="1"/>
    <x v="2"/>
    <x v="0"/>
    <x v="0"/>
    <x v="1"/>
    <x v="2"/>
    <x v="3"/>
    <x v="2"/>
    <x v="1"/>
    <x v="2"/>
    <x v="1"/>
    <x v="1"/>
    <x v="221"/>
    <x v="1"/>
    <x v="1"/>
    <x v="2"/>
    <x v="462"/>
    <x v="5"/>
    <x v="3"/>
    <x v="0"/>
    <x v="1"/>
    <x v="0"/>
    <x v="559"/>
    <x v="0"/>
    <x v="0"/>
  </r>
  <r>
    <x v="962"/>
    <x v="471"/>
    <x v="466"/>
    <x v="460"/>
    <x v="0"/>
    <x v="1"/>
    <x v="2"/>
    <x v="476"/>
    <x v="341"/>
    <x v="1"/>
    <x v="33"/>
    <x v="0"/>
    <x v="0"/>
    <x v="3"/>
    <x v="5"/>
    <x v="1"/>
    <x v="2"/>
    <x v="1"/>
    <x v="2"/>
    <x v="1"/>
    <x v="2"/>
    <x v="0"/>
    <x v="2"/>
    <x v="3"/>
    <x v="4"/>
    <x v="468"/>
    <x v="5"/>
    <x v="0"/>
    <x v="0"/>
    <x v="1"/>
    <x v="0"/>
    <x v="0"/>
    <x v="0"/>
    <x v="0"/>
  </r>
  <r>
    <x v="963"/>
    <x v="478"/>
    <x v="472"/>
    <x v="466"/>
    <x v="766"/>
    <x v="1"/>
    <x v="2"/>
    <x v="481"/>
    <x v="359"/>
    <x v="1"/>
    <x v="9"/>
    <x v="0"/>
    <x v="0"/>
    <x v="1"/>
    <x v="3"/>
    <x v="3"/>
    <x v="2"/>
    <x v="1"/>
    <x v="2"/>
    <x v="1"/>
    <x v="1"/>
    <x v="222"/>
    <x v="1"/>
    <x v="1"/>
    <x v="2"/>
    <x v="475"/>
    <x v="13"/>
    <x v="1"/>
    <x v="4"/>
    <x v="1"/>
    <x v="0"/>
    <x v="560"/>
    <x v="0"/>
    <x v="0"/>
  </r>
  <r>
    <x v="964"/>
    <x v="479"/>
    <x v="473"/>
    <x v="467"/>
    <x v="767"/>
    <x v="1"/>
    <x v="2"/>
    <x v="482"/>
    <x v="363"/>
    <x v="2"/>
    <x v="0"/>
    <x v="2"/>
    <x v="0"/>
    <x v="1"/>
    <x v="1"/>
    <x v="1"/>
    <x v="2"/>
    <x v="1"/>
    <x v="1"/>
    <x v="1"/>
    <x v="1"/>
    <x v="221"/>
    <x v="2"/>
    <x v="1"/>
    <x v="2"/>
    <x v="476"/>
    <x v="1"/>
    <x v="1"/>
    <x v="4"/>
    <x v="1"/>
    <x v="0"/>
    <x v="561"/>
    <x v="0"/>
    <x v="0"/>
  </r>
  <r>
    <x v="965"/>
    <x v="480"/>
    <x v="474"/>
    <x v="468"/>
    <x v="768"/>
    <x v="1"/>
    <x v="2"/>
    <x v="483"/>
    <x v="161"/>
    <x v="1"/>
    <x v="15"/>
    <x v="0"/>
    <x v="0"/>
    <x v="1"/>
    <x v="5"/>
    <x v="1"/>
    <x v="2"/>
    <x v="1"/>
    <x v="1"/>
    <x v="1"/>
    <x v="1"/>
    <x v="222"/>
    <x v="2"/>
    <x v="1"/>
    <x v="2"/>
    <x v="477"/>
    <x v="1"/>
    <x v="1"/>
    <x v="4"/>
    <x v="1"/>
    <x v="0"/>
    <x v="562"/>
    <x v="0"/>
    <x v="0"/>
  </r>
  <r>
    <x v="966"/>
    <x v="209"/>
    <x v="207"/>
    <x v="205"/>
    <x v="0"/>
    <x v="1"/>
    <x v="2"/>
    <x v="218"/>
    <x v="103"/>
    <x v="2"/>
    <x v="0"/>
    <x v="5"/>
    <x v="0"/>
    <x v="3"/>
    <x v="4"/>
    <x v="1"/>
    <x v="2"/>
    <x v="1"/>
    <x v="2"/>
    <x v="1"/>
    <x v="2"/>
    <x v="0"/>
    <x v="2"/>
    <x v="3"/>
    <x v="4"/>
    <x v="209"/>
    <x v="5"/>
    <x v="0"/>
    <x v="0"/>
    <x v="1"/>
    <x v="0"/>
    <x v="0"/>
    <x v="0"/>
    <x v="0"/>
  </r>
  <r>
    <x v="967"/>
    <x v="481"/>
    <x v="475"/>
    <x v="469"/>
    <x v="769"/>
    <x v="1"/>
    <x v="3"/>
    <x v="484"/>
    <x v="364"/>
    <x v="1"/>
    <x v="15"/>
    <x v="0"/>
    <x v="0"/>
    <x v="1"/>
    <x v="1"/>
    <x v="1"/>
    <x v="1"/>
    <x v="1"/>
    <x v="2"/>
    <x v="2"/>
    <x v="1"/>
    <x v="221"/>
    <x v="1"/>
    <x v="1"/>
    <x v="2"/>
    <x v="478"/>
    <x v="4"/>
    <x v="1"/>
    <x v="2"/>
    <x v="1"/>
    <x v="0"/>
    <x v="563"/>
    <x v="0"/>
    <x v="0"/>
  </r>
  <r>
    <x v="968"/>
    <x v="479"/>
    <x v="473"/>
    <x v="467"/>
    <x v="0"/>
    <x v="1"/>
    <x v="2"/>
    <x v="482"/>
    <x v="161"/>
    <x v="1"/>
    <x v="15"/>
    <x v="0"/>
    <x v="0"/>
    <x v="3"/>
    <x v="1"/>
    <x v="1"/>
    <x v="2"/>
    <x v="1"/>
    <x v="1"/>
    <x v="1"/>
    <x v="2"/>
    <x v="0"/>
    <x v="2"/>
    <x v="3"/>
    <x v="4"/>
    <x v="476"/>
    <x v="1"/>
    <x v="0"/>
    <x v="0"/>
    <x v="1"/>
    <x v="0"/>
    <x v="0"/>
    <x v="0"/>
    <x v="0"/>
  </r>
  <r>
    <x v="969"/>
    <x v="481"/>
    <x v="475"/>
    <x v="469"/>
    <x v="769"/>
    <x v="1"/>
    <x v="3"/>
    <x v="484"/>
    <x v="364"/>
    <x v="1"/>
    <x v="15"/>
    <x v="0"/>
    <x v="0"/>
    <x v="3"/>
    <x v="4"/>
    <x v="1"/>
    <x v="1"/>
    <x v="1"/>
    <x v="2"/>
    <x v="2"/>
    <x v="1"/>
    <x v="222"/>
    <x v="2"/>
    <x v="3"/>
    <x v="4"/>
    <x v="478"/>
    <x v="4"/>
    <x v="1"/>
    <x v="4"/>
    <x v="2"/>
    <x v="1"/>
    <x v="564"/>
    <x v="0"/>
    <x v="0"/>
  </r>
  <r>
    <x v="970"/>
    <x v="475"/>
    <x v="470"/>
    <x v="464"/>
    <x v="0"/>
    <x v="1"/>
    <x v="1"/>
    <x v="248"/>
    <x v="80"/>
    <x v="1"/>
    <x v="36"/>
    <x v="0"/>
    <x v="0"/>
    <x v="3"/>
    <x v="1"/>
    <x v="1"/>
    <x v="2"/>
    <x v="1"/>
    <x v="2"/>
    <x v="1"/>
    <x v="2"/>
    <x v="0"/>
    <x v="2"/>
    <x v="3"/>
    <x v="4"/>
    <x v="472"/>
    <x v="5"/>
    <x v="0"/>
    <x v="0"/>
    <x v="1"/>
    <x v="0"/>
    <x v="0"/>
    <x v="0"/>
    <x v="0"/>
  </r>
  <r>
    <x v="971"/>
    <x v="478"/>
    <x v="472"/>
    <x v="466"/>
    <x v="0"/>
    <x v="1"/>
    <x v="2"/>
    <x v="481"/>
    <x v="359"/>
    <x v="1"/>
    <x v="9"/>
    <x v="0"/>
    <x v="0"/>
    <x v="3"/>
    <x v="4"/>
    <x v="1"/>
    <x v="2"/>
    <x v="1"/>
    <x v="2"/>
    <x v="1"/>
    <x v="2"/>
    <x v="0"/>
    <x v="2"/>
    <x v="3"/>
    <x v="4"/>
    <x v="475"/>
    <x v="1"/>
    <x v="0"/>
    <x v="0"/>
    <x v="1"/>
    <x v="0"/>
    <x v="0"/>
    <x v="0"/>
    <x v="0"/>
  </r>
  <r>
    <x v="972"/>
    <x v="480"/>
    <x v="474"/>
    <x v="468"/>
    <x v="0"/>
    <x v="1"/>
    <x v="2"/>
    <x v="483"/>
    <x v="161"/>
    <x v="1"/>
    <x v="15"/>
    <x v="0"/>
    <x v="0"/>
    <x v="3"/>
    <x v="1"/>
    <x v="1"/>
    <x v="2"/>
    <x v="1"/>
    <x v="1"/>
    <x v="1"/>
    <x v="2"/>
    <x v="0"/>
    <x v="2"/>
    <x v="3"/>
    <x v="4"/>
    <x v="477"/>
    <x v="1"/>
    <x v="0"/>
    <x v="0"/>
    <x v="1"/>
    <x v="0"/>
    <x v="0"/>
    <x v="0"/>
    <x v="0"/>
  </r>
  <r>
    <x v="973"/>
    <x v="481"/>
    <x v="475"/>
    <x v="469"/>
    <x v="770"/>
    <x v="1"/>
    <x v="3"/>
    <x v="484"/>
    <x v="364"/>
    <x v="1"/>
    <x v="15"/>
    <x v="0"/>
    <x v="0"/>
    <x v="3"/>
    <x v="1"/>
    <x v="1"/>
    <x v="2"/>
    <x v="1"/>
    <x v="2"/>
    <x v="2"/>
    <x v="2"/>
    <x v="0"/>
    <x v="1"/>
    <x v="3"/>
    <x v="4"/>
    <x v="478"/>
    <x v="1"/>
    <x v="0"/>
    <x v="0"/>
    <x v="1"/>
    <x v="0"/>
    <x v="0"/>
    <x v="0"/>
    <x v="0"/>
  </r>
  <r>
    <x v="974"/>
    <x v="482"/>
    <x v="476"/>
    <x v="470"/>
    <x v="771"/>
    <x v="3"/>
    <x v="1"/>
    <x v="485"/>
    <x v="115"/>
    <x v="1"/>
    <x v="4"/>
    <x v="0"/>
    <x v="0"/>
    <x v="1"/>
    <x v="3"/>
    <x v="3"/>
    <x v="2"/>
    <x v="1"/>
    <x v="2"/>
    <x v="1"/>
    <x v="1"/>
    <x v="223"/>
    <x v="1"/>
    <x v="1"/>
    <x v="2"/>
    <x v="479"/>
    <x v="12"/>
    <x v="3"/>
    <x v="0"/>
    <x v="1"/>
    <x v="0"/>
    <x v="565"/>
    <x v="281"/>
    <x v="294"/>
  </r>
  <r>
    <x v="975"/>
    <x v="483"/>
    <x v="477"/>
    <x v="471"/>
    <x v="772"/>
    <x v="3"/>
    <x v="2"/>
    <x v="486"/>
    <x v="150"/>
    <x v="1"/>
    <x v="4"/>
    <x v="0"/>
    <x v="0"/>
    <x v="1"/>
    <x v="3"/>
    <x v="3"/>
    <x v="2"/>
    <x v="1"/>
    <x v="3"/>
    <x v="1"/>
    <x v="1"/>
    <x v="223"/>
    <x v="1"/>
    <x v="1"/>
    <x v="2"/>
    <x v="480"/>
    <x v="1"/>
    <x v="1"/>
    <x v="7"/>
    <x v="1"/>
    <x v="0"/>
    <x v="566"/>
    <x v="0"/>
    <x v="295"/>
  </r>
  <r>
    <x v="976"/>
    <x v="484"/>
    <x v="478"/>
    <x v="472"/>
    <x v="773"/>
    <x v="3"/>
    <x v="6"/>
    <x v="487"/>
    <x v="279"/>
    <x v="1"/>
    <x v="15"/>
    <x v="0"/>
    <x v="0"/>
    <x v="2"/>
    <x v="7"/>
    <x v="3"/>
    <x v="2"/>
    <x v="1"/>
    <x v="3"/>
    <x v="1"/>
    <x v="2"/>
    <x v="0"/>
    <x v="3"/>
    <x v="1"/>
    <x v="2"/>
    <x v="481"/>
    <x v="12"/>
    <x v="0"/>
    <x v="0"/>
    <x v="1"/>
    <x v="0"/>
    <x v="0"/>
    <x v="0"/>
    <x v="0"/>
  </r>
  <r>
    <x v="977"/>
    <x v="485"/>
    <x v="479"/>
    <x v="473"/>
    <x v="774"/>
    <x v="1"/>
    <x v="2"/>
    <x v="488"/>
    <x v="312"/>
    <x v="1"/>
    <x v="9"/>
    <x v="0"/>
    <x v="0"/>
    <x v="1"/>
    <x v="1"/>
    <x v="1"/>
    <x v="2"/>
    <x v="2"/>
    <x v="1"/>
    <x v="1"/>
    <x v="2"/>
    <x v="0"/>
    <x v="1"/>
    <x v="6"/>
    <x v="2"/>
    <x v="482"/>
    <x v="12"/>
    <x v="0"/>
    <x v="0"/>
    <x v="1"/>
    <x v="0"/>
    <x v="0"/>
    <x v="0"/>
    <x v="0"/>
  </r>
  <r>
    <x v="978"/>
    <x v="486"/>
    <x v="26"/>
    <x v="26"/>
    <x v="775"/>
    <x v="1"/>
    <x v="2"/>
    <x v="28"/>
    <x v="71"/>
    <x v="1"/>
    <x v="3"/>
    <x v="0"/>
    <x v="0"/>
    <x v="1"/>
    <x v="3"/>
    <x v="2"/>
    <x v="2"/>
    <x v="1"/>
    <x v="2"/>
    <x v="1"/>
    <x v="1"/>
    <x v="224"/>
    <x v="1"/>
    <x v="6"/>
    <x v="2"/>
    <x v="26"/>
    <x v="12"/>
    <x v="1"/>
    <x v="1"/>
    <x v="1"/>
    <x v="0"/>
    <x v="567"/>
    <x v="282"/>
    <x v="0"/>
  </r>
  <r>
    <x v="979"/>
    <x v="483"/>
    <x v="477"/>
    <x v="471"/>
    <x v="0"/>
    <x v="1"/>
    <x v="2"/>
    <x v="486"/>
    <x v="150"/>
    <x v="1"/>
    <x v="4"/>
    <x v="0"/>
    <x v="0"/>
    <x v="3"/>
    <x v="1"/>
    <x v="1"/>
    <x v="2"/>
    <x v="1"/>
    <x v="2"/>
    <x v="1"/>
    <x v="2"/>
    <x v="0"/>
    <x v="2"/>
    <x v="3"/>
    <x v="4"/>
    <x v="480"/>
    <x v="12"/>
    <x v="0"/>
    <x v="0"/>
    <x v="1"/>
    <x v="0"/>
    <x v="0"/>
    <x v="0"/>
    <x v="0"/>
  </r>
  <r>
    <x v="980"/>
    <x v="115"/>
    <x v="114"/>
    <x v="113"/>
    <x v="776"/>
    <x v="3"/>
    <x v="2"/>
    <x v="120"/>
    <x v="111"/>
    <x v="1"/>
    <x v="22"/>
    <x v="0"/>
    <x v="0"/>
    <x v="1"/>
    <x v="1"/>
    <x v="1"/>
    <x v="1"/>
    <x v="1"/>
    <x v="2"/>
    <x v="1"/>
    <x v="1"/>
    <x v="225"/>
    <x v="1"/>
    <x v="6"/>
    <x v="2"/>
    <x v="114"/>
    <x v="12"/>
    <x v="1"/>
    <x v="4"/>
    <x v="2"/>
    <x v="1"/>
    <x v="568"/>
    <x v="0"/>
    <x v="296"/>
  </r>
  <r>
    <x v="981"/>
    <x v="487"/>
    <x v="480"/>
    <x v="474"/>
    <x v="777"/>
    <x v="1"/>
    <x v="2"/>
    <x v="489"/>
    <x v="365"/>
    <x v="1"/>
    <x v="185"/>
    <x v="0"/>
    <x v="0"/>
    <x v="1"/>
    <x v="1"/>
    <x v="1"/>
    <x v="2"/>
    <x v="1"/>
    <x v="2"/>
    <x v="1"/>
    <x v="2"/>
    <x v="0"/>
    <x v="1"/>
    <x v="6"/>
    <x v="2"/>
    <x v="483"/>
    <x v="12"/>
    <x v="0"/>
    <x v="0"/>
    <x v="1"/>
    <x v="0"/>
    <x v="0"/>
    <x v="0"/>
    <x v="0"/>
  </r>
  <r>
    <x v="982"/>
    <x v="115"/>
    <x v="114"/>
    <x v="113"/>
    <x v="778"/>
    <x v="3"/>
    <x v="2"/>
    <x v="120"/>
    <x v="111"/>
    <x v="1"/>
    <x v="22"/>
    <x v="0"/>
    <x v="0"/>
    <x v="3"/>
    <x v="1"/>
    <x v="1"/>
    <x v="1"/>
    <x v="1"/>
    <x v="2"/>
    <x v="1"/>
    <x v="2"/>
    <x v="0"/>
    <x v="1"/>
    <x v="3"/>
    <x v="4"/>
    <x v="114"/>
    <x v="1"/>
    <x v="0"/>
    <x v="0"/>
    <x v="1"/>
    <x v="0"/>
    <x v="0"/>
    <x v="0"/>
    <x v="297"/>
  </r>
  <r>
    <x v="983"/>
    <x v="488"/>
    <x v="481"/>
    <x v="475"/>
    <x v="779"/>
    <x v="3"/>
    <x v="2"/>
    <x v="490"/>
    <x v="366"/>
    <x v="1"/>
    <x v="2"/>
    <x v="0"/>
    <x v="0"/>
    <x v="1"/>
    <x v="3"/>
    <x v="2"/>
    <x v="2"/>
    <x v="1"/>
    <x v="3"/>
    <x v="1"/>
    <x v="1"/>
    <x v="224"/>
    <x v="1"/>
    <x v="1"/>
    <x v="2"/>
    <x v="484"/>
    <x v="1"/>
    <x v="3"/>
    <x v="0"/>
    <x v="1"/>
    <x v="0"/>
    <x v="569"/>
    <x v="0"/>
    <x v="0"/>
  </r>
  <r>
    <x v="984"/>
    <x v="486"/>
    <x v="26"/>
    <x v="26"/>
    <x v="0"/>
    <x v="1"/>
    <x v="2"/>
    <x v="28"/>
    <x v="71"/>
    <x v="1"/>
    <x v="3"/>
    <x v="0"/>
    <x v="0"/>
    <x v="3"/>
    <x v="1"/>
    <x v="1"/>
    <x v="2"/>
    <x v="1"/>
    <x v="2"/>
    <x v="1"/>
    <x v="2"/>
    <x v="0"/>
    <x v="2"/>
    <x v="3"/>
    <x v="4"/>
    <x v="26"/>
    <x v="5"/>
    <x v="0"/>
    <x v="0"/>
    <x v="1"/>
    <x v="0"/>
    <x v="0"/>
    <x v="0"/>
    <x v="0"/>
  </r>
  <r>
    <x v="985"/>
    <x v="489"/>
    <x v="482"/>
    <x v="476"/>
    <x v="780"/>
    <x v="1"/>
    <x v="2"/>
    <x v="491"/>
    <x v="303"/>
    <x v="1"/>
    <x v="8"/>
    <x v="0"/>
    <x v="0"/>
    <x v="1"/>
    <x v="1"/>
    <x v="1"/>
    <x v="2"/>
    <x v="1"/>
    <x v="2"/>
    <x v="1"/>
    <x v="1"/>
    <x v="226"/>
    <x v="1"/>
    <x v="1"/>
    <x v="2"/>
    <x v="485"/>
    <x v="5"/>
    <x v="1"/>
    <x v="1"/>
    <x v="1"/>
    <x v="0"/>
    <x v="570"/>
    <x v="0"/>
    <x v="0"/>
  </r>
  <r>
    <x v="986"/>
    <x v="388"/>
    <x v="388"/>
    <x v="383"/>
    <x v="781"/>
    <x v="1"/>
    <x v="2"/>
    <x v="403"/>
    <x v="10"/>
    <x v="1"/>
    <x v="31"/>
    <x v="0"/>
    <x v="0"/>
    <x v="1"/>
    <x v="1"/>
    <x v="1"/>
    <x v="1"/>
    <x v="2"/>
    <x v="2"/>
    <x v="1"/>
    <x v="1"/>
    <x v="226"/>
    <x v="1"/>
    <x v="1"/>
    <x v="2"/>
    <x v="486"/>
    <x v="1"/>
    <x v="1"/>
    <x v="4"/>
    <x v="2"/>
    <x v="1"/>
    <x v="571"/>
    <x v="0"/>
    <x v="0"/>
  </r>
  <r>
    <x v="987"/>
    <x v="490"/>
    <x v="483"/>
    <x v="477"/>
    <x v="782"/>
    <x v="1"/>
    <x v="2"/>
    <x v="492"/>
    <x v="10"/>
    <x v="1"/>
    <x v="186"/>
    <x v="0"/>
    <x v="0"/>
    <x v="1"/>
    <x v="1"/>
    <x v="1"/>
    <x v="1"/>
    <x v="1"/>
    <x v="3"/>
    <x v="1"/>
    <x v="2"/>
    <x v="0"/>
    <x v="1"/>
    <x v="1"/>
    <x v="2"/>
    <x v="487"/>
    <x v="4"/>
    <x v="0"/>
    <x v="0"/>
    <x v="1"/>
    <x v="0"/>
    <x v="0"/>
    <x v="0"/>
    <x v="0"/>
  </r>
  <r>
    <x v="988"/>
    <x v="491"/>
    <x v="484"/>
    <x v="478"/>
    <x v="783"/>
    <x v="1"/>
    <x v="2"/>
    <x v="493"/>
    <x v="367"/>
    <x v="1"/>
    <x v="187"/>
    <x v="0"/>
    <x v="0"/>
    <x v="1"/>
    <x v="3"/>
    <x v="2"/>
    <x v="2"/>
    <x v="1"/>
    <x v="1"/>
    <x v="1"/>
    <x v="1"/>
    <x v="226"/>
    <x v="1"/>
    <x v="1"/>
    <x v="2"/>
    <x v="488"/>
    <x v="13"/>
    <x v="3"/>
    <x v="0"/>
    <x v="1"/>
    <x v="0"/>
    <x v="572"/>
    <x v="283"/>
    <x v="0"/>
  </r>
  <r>
    <x v="989"/>
    <x v="154"/>
    <x v="154"/>
    <x v="152"/>
    <x v="784"/>
    <x v="1"/>
    <x v="2"/>
    <x v="160"/>
    <x v="114"/>
    <x v="1"/>
    <x v="188"/>
    <x v="0"/>
    <x v="0"/>
    <x v="1"/>
    <x v="1"/>
    <x v="1"/>
    <x v="2"/>
    <x v="1"/>
    <x v="3"/>
    <x v="1"/>
    <x v="1"/>
    <x v="226"/>
    <x v="1"/>
    <x v="1"/>
    <x v="2"/>
    <x v="153"/>
    <x v="1"/>
    <x v="1"/>
    <x v="4"/>
    <x v="2"/>
    <x v="1"/>
    <x v="573"/>
    <x v="0"/>
    <x v="298"/>
  </r>
  <r>
    <x v="990"/>
    <x v="440"/>
    <x v="436"/>
    <x v="431"/>
    <x v="785"/>
    <x v="1"/>
    <x v="1"/>
    <x v="446"/>
    <x v="10"/>
    <x v="1"/>
    <x v="15"/>
    <x v="0"/>
    <x v="0"/>
    <x v="1"/>
    <x v="1"/>
    <x v="1"/>
    <x v="2"/>
    <x v="1"/>
    <x v="3"/>
    <x v="1"/>
    <x v="1"/>
    <x v="226"/>
    <x v="2"/>
    <x v="1"/>
    <x v="2"/>
    <x v="439"/>
    <x v="4"/>
    <x v="1"/>
    <x v="1"/>
    <x v="1"/>
    <x v="0"/>
    <x v="574"/>
    <x v="0"/>
    <x v="299"/>
  </r>
  <r>
    <x v="991"/>
    <x v="388"/>
    <x v="388"/>
    <x v="383"/>
    <x v="786"/>
    <x v="1"/>
    <x v="2"/>
    <x v="403"/>
    <x v="10"/>
    <x v="1"/>
    <x v="31"/>
    <x v="0"/>
    <x v="0"/>
    <x v="3"/>
    <x v="1"/>
    <x v="1"/>
    <x v="2"/>
    <x v="1"/>
    <x v="3"/>
    <x v="1"/>
    <x v="2"/>
    <x v="0"/>
    <x v="1"/>
    <x v="3"/>
    <x v="4"/>
    <x v="486"/>
    <x v="1"/>
    <x v="0"/>
    <x v="0"/>
    <x v="1"/>
    <x v="0"/>
    <x v="0"/>
    <x v="0"/>
    <x v="0"/>
  </r>
  <r>
    <x v="992"/>
    <x v="492"/>
    <x v="485"/>
    <x v="479"/>
    <x v="787"/>
    <x v="1"/>
    <x v="3"/>
    <x v="494"/>
    <x v="269"/>
    <x v="1"/>
    <x v="2"/>
    <x v="0"/>
    <x v="0"/>
    <x v="1"/>
    <x v="1"/>
    <x v="1"/>
    <x v="2"/>
    <x v="2"/>
    <x v="3"/>
    <x v="1"/>
    <x v="1"/>
    <x v="226"/>
    <x v="1"/>
    <x v="1"/>
    <x v="2"/>
    <x v="489"/>
    <x v="5"/>
    <x v="3"/>
    <x v="0"/>
    <x v="1"/>
    <x v="0"/>
    <x v="575"/>
    <x v="0"/>
    <x v="194"/>
  </r>
  <r>
    <x v="993"/>
    <x v="154"/>
    <x v="154"/>
    <x v="152"/>
    <x v="788"/>
    <x v="1"/>
    <x v="2"/>
    <x v="160"/>
    <x v="114"/>
    <x v="1"/>
    <x v="188"/>
    <x v="0"/>
    <x v="0"/>
    <x v="3"/>
    <x v="1"/>
    <x v="1"/>
    <x v="2"/>
    <x v="1"/>
    <x v="3"/>
    <x v="1"/>
    <x v="2"/>
    <x v="0"/>
    <x v="1"/>
    <x v="3"/>
    <x v="4"/>
    <x v="153"/>
    <x v="1"/>
    <x v="0"/>
    <x v="0"/>
    <x v="1"/>
    <x v="0"/>
    <x v="0"/>
    <x v="0"/>
    <x v="0"/>
  </r>
  <r>
    <x v="994"/>
    <x v="489"/>
    <x v="482"/>
    <x v="476"/>
    <x v="0"/>
    <x v="1"/>
    <x v="2"/>
    <x v="491"/>
    <x v="303"/>
    <x v="1"/>
    <x v="8"/>
    <x v="0"/>
    <x v="0"/>
    <x v="3"/>
    <x v="1"/>
    <x v="1"/>
    <x v="2"/>
    <x v="1"/>
    <x v="2"/>
    <x v="1"/>
    <x v="2"/>
    <x v="0"/>
    <x v="2"/>
    <x v="3"/>
    <x v="4"/>
    <x v="485"/>
    <x v="5"/>
    <x v="0"/>
    <x v="0"/>
    <x v="1"/>
    <x v="0"/>
    <x v="0"/>
    <x v="0"/>
    <x v="0"/>
  </r>
  <r>
    <x v="995"/>
    <x v="440"/>
    <x v="436"/>
    <x v="431"/>
    <x v="0"/>
    <x v="1"/>
    <x v="1"/>
    <x v="446"/>
    <x v="10"/>
    <x v="1"/>
    <x v="15"/>
    <x v="0"/>
    <x v="0"/>
    <x v="3"/>
    <x v="1"/>
    <x v="1"/>
    <x v="2"/>
    <x v="1"/>
    <x v="3"/>
    <x v="1"/>
    <x v="1"/>
    <x v="227"/>
    <x v="2"/>
    <x v="3"/>
    <x v="4"/>
    <x v="439"/>
    <x v="5"/>
    <x v="1"/>
    <x v="4"/>
    <x v="1"/>
    <x v="0"/>
    <x v="576"/>
    <x v="284"/>
    <x v="0"/>
  </r>
  <r>
    <x v="996"/>
    <x v="464"/>
    <x v="460"/>
    <x v="454"/>
    <x v="789"/>
    <x v="1"/>
    <x v="2"/>
    <x v="469"/>
    <x v="170"/>
    <x v="1"/>
    <x v="15"/>
    <x v="0"/>
    <x v="0"/>
    <x v="1"/>
    <x v="3"/>
    <x v="3"/>
    <x v="1"/>
    <x v="1"/>
    <x v="1"/>
    <x v="1"/>
    <x v="1"/>
    <x v="227"/>
    <x v="1"/>
    <x v="1"/>
    <x v="2"/>
    <x v="462"/>
    <x v="1"/>
    <x v="3"/>
    <x v="0"/>
    <x v="1"/>
    <x v="0"/>
    <x v="577"/>
    <x v="285"/>
    <x v="0"/>
  </r>
  <r>
    <x v="997"/>
    <x v="223"/>
    <x v="222"/>
    <x v="219"/>
    <x v="790"/>
    <x v="1"/>
    <x v="2"/>
    <x v="233"/>
    <x v="191"/>
    <x v="1"/>
    <x v="1"/>
    <x v="0"/>
    <x v="0"/>
    <x v="1"/>
    <x v="2"/>
    <x v="3"/>
    <x v="2"/>
    <x v="1"/>
    <x v="2"/>
    <x v="1"/>
    <x v="1"/>
    <x v="227"/>
    <x v="1"/>
    <x v="5"/>
    <x v="2"/>
    <x v="223"/>
    <x v="5"/>
    <x v="3"/>
    <x v="0"/>
    <x v="1"/>
    <x v="0"/>
    <x v="578"/>
    <x v="285"/>
    <x v="0"/>
  </r>
  <r>
    <x v="998"/>
    <x v="493"/>
    <x v="486"/>
    <x v="480"/>
    <x v="791"/>
    <x v="1"/>
    <x v="2"/>
    <x v="495"/>
    <x v="316"/>
    <x v="1"/>
    <x v="3"/>
    <x v="0"/>
    <x v="0"/>
    <x v="1"/>
    <x v="1"/>
    <x v="2"/>
    <x v="2"/>
    <x v="1"/>
    <x v="2"/>
    <x v="1"/>
    <x v="1"/>
    <x v="227"/>
    <x v="1"/>
    <x v="5"/>
    <x v="2"/>
    <x v="490"/>
    <x v="5"/>
    <x v="1"/>
    <x v="1"/>
    <x v="1"/>
    <x v="0"/>
    <x v="579"/>
    <x v="0"/>
    <x v="0"/>
  </r>
  <r>
    <x v="999"/>
    <x v="388"/>
    <x v="388"/>
    <x v="383"/>
    <x v="792"/>
    <x v="1"/>
    <x v="2"/>
    <x v="403"/>
    <x v="10"/>
    <x v="1"/>
    <x v="8"/>
    <x v="0"/>
    <x v="0"/>
    <x v="1"/>
    <x v="1"/>
    <x v="1"/>
    <x v="2"/>
    <x v="1"/>
    <x v="2"/>
    <x v="1"/>
    <x v="1"/>
    <x v="228"/>
    <x v="1"/>
    <x v="1"/>
    <x v="2"/>
    <x v="486"/>
    <x v="13"/>
    <x v="3"/>
    <x v="0"/>
    <x v="1"/>
    <x v="0"/>
    <x v="580"/>
    <x v="286"/>
    <x v="286"/>
  </r>
  <r>
    <x v="1000"/>
    <x v="438"/>
    <x v="434"/>
    <x v="429"/>
    <x v="793"/>
    <x v="1"/>
    <x v="2"/>
    <x v="444"/>
    <x v="339"/>
    <x v="1"/>
    <x v="9"/>
    <x v="0"/>
    <x v="0"/>
    <x v="1"/>
    <x v="3"/>
    <x v="3"/>
    <x v="2"/>
    <x v="1"/>
    <x v="2"/>
    <x v="1"/>
    <x v="1"/>
    <x v="227"/>
    <x v="2"/>
    <x v="1"/>
    <x v="2"/>
    <x v="437"/>
    <x v="5"/>
    <x v="3"/>
    <x v="0"/>
    <x v="1"/>
    <x v="0"/>
    <x v="581"/>
    <x v="287"/>
    <x v="0"/>
  </r>
  <r>
    <x v="1001"/>
    <x v="494"/>
    <x v="487"/>
    <x v="481"/>
    <x v="794"/>
    <x v="1"/>
    <x v="2"/>
    <x v="496"/>
    <x v="76"/>
    <x v="2"/>
    <x v="0"/>
    <x v="2"/>
    <x v="0"/>
    <x v="1"/>
    <x v="1"/>
    <x v="1"/>
    <x v="2"/>
    <x v="1"/>
    <x v="2"/>
    <x v="1"/>
    <x v="2"/>
    <x v="0"/>
    <x v="1"/>
    <x v="1"/>
    <x v="2"/>
    <x v="491"/>
    <x v="5"/>
    <x v="0"/>
    <x v="0"/>
    <x v="1"/>
    <x v="0"/>
    <x v="0"/>
    <x v="0"/>
    <x v="0"/>
  </r>
  <r>
    <x v="1002"/>
    <x v="440"/>
    <x v="436"/>
    <x v="431"/>
    <x v="0"/>
    <x v="1"/>
    <x v="1"/>
    <x v="446"/>
    <x v="10"/>
    <x v="1"/>
    <x v="15"/>
    <x v="0"/>
    <x v="0"/>
    <x v="3"/>
    <x v="1"/>
    <x v="1"/>
    <x v="2"/>
    <x v="1"/>
    <x v="3"/>
    <x v="1"/>
    <x v="2"/>
    <x v="0"/>
    <x v="2"/>
    <x v="3"/>
    <x v="4"/>
    <x v="439"/>
    <x v="1"/>
    <x v="0"/>
    <x v="0"/>
    <x v="1"/>
    <x v="0"/>
    <x v="0"/>
    <x v="0"/>
    <x v="0"/>
  </r>
  <r>
    <x v="1003"/>
    <x v="415"/>
    <x v="412"/>
    <x v="407"/>
    <x v="795"/>
    <x v="1"/>
    <x v="2"/>
    <x v="425"/>
    <x v="327"/>
    <x v="1"/>
    <x v="15"/>
    <x v="0"/>
    <x v="0"/>
    <x v="1"/>
    <x v="1"/>
    <x v="1"/>
    <x v="2"/>
    <x v="1"/>
    <x v="1"/>
    <x v="1"/>
    <x v="1"/>
    <x v="228"/>
    <x v="1"/>
    <x v="1"/>
    <x v="2"/>
    <x v="415"/>
    <x v="13"/>
    <x v="3"/>
    <x v="0"/>
    <x v="1"/>
    <x v="0"/>
    <x v="582"/>
    <x v="0"/>
    <x v="0"/>
  </r>
  <r>
    <x v="1004"/>
    <x v="495"/>
    <x v="488"/>
    <x v="482"/>
    <x v="796"/>
    <x v="1"/>
    <x v="1"/>
    <x v="497"/>
    <x v="177"/>
    <x v="1"/>
    <x v="15"/>
    <x v="0"/>
    <x v="0"/>
    <x v="1"/>
    <x v="3"/>
    <x v="2"/>
    <x v="1"/>
    <x v="1"/>
    <x v="2"/>
    <x v="1"/>
    <x v="1"/>
    <x v="227"/>
    <x v="1"/>
    <x v="1"/>
    <x v="2"/>
    <x v="492"/>
    <x v="5"/>
    <x v="1"/>
    <x v="1"/>
    <x v="1"/>
    <x v="0"/>
    <x v="583"/>
    <x v="0"/>
    <x v="300"/>
  </r>
  <r>
    <x v="1005"/>
    <x v="496"/>
    <x v="486"/>
    <x v="480"/>
    <x v="0"/>
    <x v="1"/>
    <x v="2"/>
    <x v="495"/>
    <x v="166"/>
    <x v="1"/>
    <x v="3"/>
    <x v="0"/>
    <x v="0"/>
    <x v="3"/>
    <x v="1"/>
    <x v="1"/>
    <x v="2"/>
    <x v="1"/>
    <x v="2"/>
    <x v="1"/>
    <x v="1"/>
    <x v="229"/>
    <x v="2"/>
    <x v="3"/>
    <x v="4"/>
    <x v="490"/>
    <x v="5"/>
    <x v="1"/>
    <x v="4"/>
    <x v="2"/>
    <x v="1"/>
    <x v="584"/>
    <x v="0"/>
    <x v="0"/>
  </r>
  <r>
    <x v="1006"/>
    <x v="497"/>
    <x v="489"/>
    <x v="483"/>
    <x v="797"/>
    <x v="1"/>
    <x v="1"/>
    <x v="498"/>
    <x v="368"/>
    <x v="1"/>
    <x v="189"/>
    <x v="0"/>
    <x v="0"/>
    <x v="1"/>
    <x v="1"/>
    <x v="1"/>
    <x v="2"/>
    <x v="1"/>
    <x v="2"/>
    <x v="1"/>
    <x v="2"/>
    <x v="0"/>
    <x v="1"/>
    <x v="1"/>
    <x v="2"/>
    <x v="493"/>
    <x v="12"/>
    <x v="0"/>
    <x v="0"/>
    <x v="1"/>
    <x v="0"/>
    <x v="0"/>
    <x v="0"/>
    <x v="0"/>
  </r>
  <r>
    <x v="1007"/>
    <x v="491"/>
    <x v="484"/>
    <x v="478"/>
    <x v="798"/>
    <x v="1"/>
    <x v="2"/>
    <x v="499"/>
    <x v="367"/>
    <x v="1"/>
    <x v="22"/>
    <x v="0"/>
    <x v="0"/>
    <x v="1"/>
    <x v="1"/>
    <x v="1"/>
    <x v="2"/>
    <x v="1"/>
    <x v="2"/>
    <x v="2"/>
    <x v="1"/>
    <x v="230"/>
    <x v="1"/>
    <x v="1"/>
    <x v="2"/>
    <x v="488"/>
    <x v="12"/>
    <x v="3"/>
    <x v="0"/>
    <x v="1"/>
    <x v="0"/>
    <x v="585"/>
    <x v="288"/>
    <x v="0"/>
  </r>
  <r>
    <x v="1008"/>
    <x v="498"/>
    <x v="490"/>
    <x v="450"/>
    <x v="799"/>
    <x v="1"/>
    <x v="3"/>
    <x v="465"/>
    <x v="199"/>
    <x v="1"/>
    <x v="64"/>
    <x v="0"/>
    <x v="0"/>
    <x v="1"/>
    <x v="3"/>
    <x v="2"/>
    <x v="2"/>
    <x v="2"/>
    <x v="3"/>
    <x v="1"/>
    <x v="1"/>
    <x v="229"/>
    <x v="1"/>
    <x v="1"/>
    <x v="2"/>
    <x v="458"/>
    <x v="1"/>
    <x v="3"/>
    <x v="0"/>
    <x v="1"/>
    <x v="0"/>
    <x v="586"/>
    <x v="289"/>
    <x v="0"/>
  </r>
  <r>
    <x v="1009"/>
    <x v="499"/>
    <x v="491"/>
    <x v="484"/>
    <x v="800"/>
    <x v="3"/>
    <x v="2"/>
    <x v="500"/>
    <x v="323"/>
    <x v="1"/>
    <x v="9"/>
    <x v="0"/>
    <x v="0"/>
    <x v="1"/>
    <x v="1"/>
    <x v="1"/>
    <x v="2"/>
    <x v="1"/>
    <x v="1"/>
    <x v="1"/>
    <x v="2"/>
    <x v="0"/>
    <x v="1"/>
    <x v="1"/>
    <x v="2"/>
    <x v="494"/>
    <x v="12"/>
    <x v="0"/>
    <x v="0"/>
    <x v="1"/>
    <x v="0"/>
    <x v="0"/>
    <x v="0"/>
    <x v="0"/>
  </r>
  <r>
    <x v="1010"/>
    <x v="495"/>
    <x v="488"/>
    <x v="482"/>
    <x v="0"/>
    <x v="1"/>
    <x v="1"/>
    <x v="497"/>
    <x v="177"/>
    <x v="1"/>
    <x v="15"/>
    <x v="0"/>
    <x v="0"/>
    <x v="3"/>
    <x v="1"/>
    <x v="1"/>
    <x v="2"/>
    <x v="1"/>
    <x v="2"/>
    <x v="1"/>
    <x v="2"/>
    <x v="0"/>
    <x v="2"/>
    <x v="3"/>
    <x v="4"/>
    <x v="492"/>
    <x v="5"/>
    <x v="0"/>
    <x v="0"/>
    <x v="1"/>
    <x v="0"/>
    <x v="0"/>
    <x v="0"/>
    <x v="301"/>
  </r>
  <r>
    <x v="1011"/>
    <x v="496"/>
    <x v="486"/>
    <x v="480"/>
    <x v="801"/>
    <x v="1"/>
    <x v="2"/>
    <x v="495"/>
    <x v="166"/>
    <x v="1"/>
    <x v="3"/>
    <x v="0"/>
    <x v="0"/>
    <x v="3"/>
    <x v="1"/>
    <x v="1"/>
    <x v="2"/>
    <x v="1"/>
    <x v="2"/>
    <x v="1"/>
    <x v="2"/>
    <x v="0"/>
    <x v="1"/>
    <x v="3"/>
    <x v="4"/>
    <x v="490"/>
    <x v="1"/>
    <x v="0"/>
    <x v="0"/>
    <x v="1"/>
    <x v="0"/>
    <x v="0"/>
    <x v="0"/>
    <x v="0"/>
  </r>
  <r>
    <x v="1012"/>
    <x v="500"/>
    <x v="492"/>
    <x v="485"/>
    <x v="802"/>
    <x v="1"/>
    <x v="2"/>
    <x v="501"/>
    <x v="10"/>
    <x v="1"/>
    <x v="190"/>
    <x v="0"/>
    <x v="0"/>
    <x v="1"/>
    <x v="1"/>
    <x v="2"/>
    <x v="1"/>
    <x v="2"/>
    <x v="3"/>
    <x v="2"/>
    <x v="1"/>
    <x v="231"/>
    <x v="1"/>
    <x v="6"/>
    <x v="2"/>
    <x v="495"/>
    <x v="1"/>
    <x v="1"/>
    <x v="4"/>
    <x v="2"/>
    <x v="1"/>
    <x v="587"/>
    <x v="0"/>
    <x v="302"/>
  </r>
  <r>
    <x v="1013"/>
    <x v="501"/>
    <x v="493"/>
    <x v="486"/>
    <x v="803"/>
    <x v="1"/>
    <x v="1"/>
    <x v="502"/>
    <x v="257"/>
    <x v="1"/>
    <x v="15"/>
    <x v="0"/>
    <x v="0"/>
    <x v="1"/>
    <x v="1"/>
    <x v="1"/>
    <x v="2"/>
    <x v="1"/>
    <x v="3"/>
    <x v="1"/>
    <x v="1"/>
    <x v="231"/>
    <x v="1"/>
    <x v="6"/>
    <x v="2"/>
    <x v="496"/>
    <x v="1"/>
    <x v="1"/>
    <x v="4"/>
    <x v="2"/>
    <x v="1"/>
    <x v="588"/>
    <x v="0"/>
    <x v="0"/>
  </r>
  <r>
    <x v="1014"/>
    <x v="502"/>
    <x v="494"/>
    <x v="487"/>
    <x v="804"/>
    <x v="2"/>
    <x v="1"/>
    <x v="503"/>
    <x v="369"/>
    <x v="1"/>
    <x v="191"/>
    <x v="0"/>
    <x v="0"/>
    <x v="1"/>
    <x v="1"/>
    <x v="2"/>
    <x v="2"/>
    <x v="2"/>
    <x v="1"/>
    <x v="2"/>
    <x v="1"/>
    <x v="231"/>
    <x v="1"/>
    <x v="6"/>
    <x v="2"/>
    <x v="497"/>
    <x v="1"/>
    <x v="3"/>
    <x v="0"/>
    <x v="1"/>
    <x v="0"/>
    <x v="589"/>
    <x v="290"/>
    <x v="303"/>
  </r>
  <r>
    <x v="1015"/>
    <x v="503"/>
    <x v="495"/>
    <x v="488"/>
    <x v="805"/>
    <x v="1"/>
    <x v="2"/>
    <x v="504"/>
    <x v="370"/>
    <x v="10"/>
    <x v="0"/>
    <x v="0"/>
    <x v="0"/>
    <x v="1"/>
    <x v="1"/>
    <x v="1"/>
    <x v="2"/>
    <x v="1"/>
    <x v="1"/>
    <x v="1"/>
    <x v="2"/>
    <x v="0"/>
    <x v="1"/>
    <x v="4"/>
    <x v="2"/>
    <x v="498"/>
    <x v="12"/>
    <x v="0"/>
    <x v="0"/>
    <x v="1"/>
    <x v="0"/>
    <x v="0"/>
    <x v="0"/>
    <x v="0"/>
  </r>
  <r>
    <x v="1016"/>
    <x v="504"/>
    <x v="496"/>
    <x v="489"/>
    <x v="806"/>
    <x v="1"/>
    <x v="2"/>
    <x v="505"/>
    <x v="10"/>
    <x v="1"/>
    <x v="4"/>
    <x v="0"/>
    <x v="0"/>
    <x v="1"/>
    <x v="1"/>
    <x v="1"/>
    <x v="2"/>
    <x v="1"/>
    <x v="3"/>
    <x v="1"/>
    <x v="1"/>
    <x v="231"/>
    <x v="1"/>
    <x v="1"/>
    <x v="2"/>
    <x v="499"/>
    <x v="1"/>
    <x v="3"/>
    <x v="0"/>
    <x v="1"/>
    <x v="0"/>
    <x v="590"/>
    <x v="0"/>
    <x v="304"/>
  </r>
  <r>
    <x v="1017"/>
    <x v="500"/>
    <x v="492"/>
    <x v="485"/>
    <x v="807"/>
    <x v="1"/>
    <x v="2"/>
    <x v="506"/>
    <x v="10"/>
    <x v="1"/>
    <x v="192"/>
    <x v="0"/>
    <x v="0"/>
    <x v="3"/>
    <x v="1"/>
    <x v="2"/>
    <x v="2"/>
    <x v="2"/>
    <x v="3"/>
    <x v="1"/>
    <x v="1"/>
    <x v="232"/>
    <x v="1"/>
    <x v="3"/>
    <x v="4"/>
    <x v="495"/>
    <x v="1"/>
    <x v="1"/>
    <x v="1"/>
    <x v="1"/>
    <x v="0"/>
    <x v="591"/>
    <x v="0"/>
    <x v="0"/>
  </r>
  <r>
    <x v="1018"/>
    <x v="501"/>
    <x v="493"/>
    <x v="486"/>
    <x v="808"/>
    <x v="1"/>
    <x v="1"/>
    <x v="502"/>
    <x v="257"/>
    <x v="1"/>
    <x v="15"/>
    <x v="0"/>
    <x v="0"/>
    <x v="3"/>
    <x v="1"/>
    <x v="1"/>
    <x v="2"/>
    <x v="1"/>
    <x v="3"/>
    <x v="1"/>
    <x v="2"/>
    <x v="0"/>
    <x v="1"/>
    <x v="3"/>
    <x v="4"/>
    <x v="496"/>
    <x v="1"/>
    <x v="0"/>
    <x v="0"/>
    <x v="1"/>
    <x v="0"/>
    <x v="0"/>
    <x v="0"/>
    <x v="0"/>
  </r>
  <r>
    <x v="1019"/>
    <x v="505"/>
    <x v="497"/>
    <x v="490"/>
    <x v="809"/>
    <x v="1"/>
    <x v="3"/>
    <x v="507"/>
    <x v="371"/>
    <x v="1"/>
    <x v="22"/>
    <x v="0"/>
    <x v="0"/>
    <x v="1"/>
    <x v="1"/>
    <x v="1"/>
    <x v="1"/>
    <x v="1"/>
    <x v="2"/>
    <x v="1"/>
    <x v="1"/>
    <x v="232"/>
    <x v="1"/>
    <x v="5"/>
    <x v="2"/>
    <x v="500"/>
    <x v="12"/>
    <x v="1"/>
    <x v="1"/>
    <x v="2"/>
    <x v="1"/>
    <x v="592"/>
    <x v="0"/>
    <x v="0"/>
  </r>
  <r>
    <x v="1020"/>
    <x v="506"/>
    <x v="243"/>
    <x v="236"/>
    <x v="810"/>
    <x v="1"/>
    <x v="2"/>
    <x v="256"/>
    <x v="372"/>
    <x v="1"/>
    <x v="15"/>
    <x v="0"/>
    <x v="0"/>
    <x v="1"/>
    <x v="3"/>
    <x v="3"/>
    <x v="2"/>
    <x v="1"/>
    <x v="2"/>
    <x v="1"/>
    <x v="1"/>
    <x v="232"/>
    <x v="1"/>
    <x v="1"/>
    <x v="2"/>
    <x v="240"/>
    <x v="1"/>
    <x v="1"/>
    <x v="4"/>
    <x v="2"/>
    <x v="1"/>
    <x v="593"/>
    <x v="0"/>
    <x v="0"/>
  </r>
  <r>
    <x v="1021"/>
    <x v="507"/>
    <x v="498"/>
    <x v="491"/>
    <x v="811"/>
    <x v="1"/>
    <x v="1"/>
    <x v="132"/>
    <x v="373"/>
    <x v="1"/>
    <x v="36"/>
    <x v="0"/>
    <x v="0"/>
    <x v="1"/>
    <x v="3"/>
    <x v="2"/>
    <x v="1"/>
    <x v="1"/>
    <x v="2"/>
    <x v="1"/>
    <x v="1"/>
    <x v="232"/>
    <x v="1"/>
    <x v="1"/>
    <x v="2"/>
    <x v="501"/>
    <x v="3"/>
    <x v="1"/>
    <x v="1"/>
    <x v="1"/>
    <x v="0"/>
    <x v="594"/>
    <x v="0"/>
    <x v="305"/>
  </r>
  <r>
    <x v="1022"/>
    <x v="500"/>
    <x v="492"/>
    <x v="485"/>
    <x v="0"/>
    <x v="1"/>
    <x v="2"/>
    <x v="501"/>
    <x v="10"/>
    <x v="10"/>
    <x v="0"/>
    <x v="0"/>
    <x v="0"/>
    <x v="3"/>
    <x v="1"/>
    <x v="1"/>
    <x v="1"/>
    <x v="1"/>
    <x v="3"/>
    <x v="1"/>
    <x v="1"/>
    <x v="233"/>
    <x v="2"/>
    <x v="3"/>
    <x v="4"/>
    <x v="495"/>
    <x v="5"/>
    <x v="1"/>
    <x v="1"/>
    <x v="1"/>
    <x v="0"/>
    <x v="595"/>
    <x v="0"/>
    <x v="306"/>
  </r>
  <r>
    <x v="1023"/>
    <x v="505"/>
    <x v="497"/>
    <x v="490"/>
    <x v="812"/>
    <x v="1"/>
    <x v="3"/>
    <x v="507"/>
    <x v="371"/>
    <x v="1"/>
    <x v="22"/>
    <x v="0"/>
    <x v="0"/>
    <x v="3"/>
    <x v="1"/>
    <x v="1"/>
    <x v="2"/>
    <x v="1"/>
    <x v="2"/>
    <x v="1"/>
    <x v="1"/>
    <x v="234"/>
    <x v="1"/>
    <x v="3"/>
    <x v="4"/>
    <x v="500"/>
    <x v="5"/>
    <x v="1"/>
    <x v="7"/>
    <x v="2"/>
    <x v="1"/>
    <x v="596"/>
    <x v="0"/>
    <x v="0"/>
  </r>
  <r>
    <x v="1024"/>
    <x v="506"/>
    <x v="243"/>
    <x v="236"/>
    <x v="813"/>
    <x v="1"/>
    <x v="2"/>
    <x v="256"/>
    <x v="372"/>
    <x v="1"/>
    <x v="15"/>
    <x v="0"/>
    <x v="0"/>
    <x v="3"/>
    <x v="1"/>
    <x v="1"/>
    <x v="2"/>
    <x v="2"/>
    <x v="2"/>
    <x v="1"/>
    <x v="2"/>
    <x v="0"/>
    <x v="1"/>
    <x v="3"/>
    <x v="4"/>
    <x v="240"/>
    <x v="1"/>
    <x v="0"/>
    <x v="0"/>
    <x v="1"/>
    <x v="0"/>
    <x v="0"/>
    <x v="0"/>
    <x v="0"/>
  </r>
  <r>
    <x v="1025"/>
    <x v="200"/>
    <x v="499"/>
    <x v="196"/>
    <x v="814"/>
    <x v="1"/>
    <x v="2"/>
    <x v="209"/>
    <x v="374"/>
    <x v="1"/>
    <x v="2"/>
    <x v="0"/>
    <x v="0"/>
    <x v="1"/>
    <x v="2"/>
    <x v="3"/>
    <x v="2"/>
    <x v="1"/>
    <x v="2"/>
    <x v="1"/>
    <x v="1"/>
    <x v="235"/>
    <x v="1"/>
    <x v="1"/>
    <x v="2"/>
    <x v="473"/>
    <x v="5"/>
    <x v="1"/>
    <x v="1"/>
    <x v="2"/>
    <x v="1"/>
    <x v="597"/>
    <x v="291"/>
    <x v="307"/>
  </r>
  <r>
    <x v="1026"/>
    <x v="507"/>
    <x v="498"/>
    <x v="491"/>
    <x v="0"/>
    <x v="1"/>
    <x v="1"/>
    <x v="132"/>
    <x v="212"/>
    <x v="1"/>
    <x v="36"/>
    <x v="0"/>
    <x v="0"/>
    <x v="3"/>
    <x v="1"/>
    <x v="1"/>
    <x v="2"/>
    <x v="1"/>
    <x v="2"/>
    <x v="1"/>
    <x v="2"/>
    <x v="0"/>
    <x v="2"/>
    <x v="3"/>
    <x v="4"/>
    <x v="501"/>
    <x v="5"/>
    <x v="0"/>
    <x v="0"/>
    <x v="1"/>
    <x v="0"/>
    <x v="0"/>
    <x v="0"/>
    <x v="0"/>
  </r>
  <r>
    <x v="1027"/>
    <x v="508"/>
    <x v="500"/>
    <x v="492"/>
    <x v="815"/>
    <x v="1"/>
    <x v="2"/>
    <x v="508"/>
    <x v="80"/>
    <x v="1"/>
    <x v="193"/>
    <x v="0"/>
    <x v="0"/>
    <x v="1"/>
    <x v="1"/>
    <x v="1"/>
    <x v="2"/>
    <x v="1"/>
    <x v="2"/>
    <x v="1"/>
    <x v="2"/>
    <x v="0"/>
    <x v="1"/>
    <x v="1"/>
    <x v="2"/>
    <x v="502"/>
    <x v="5"/>
    <x v="0"/>
    <x v="0"/>
    <x v="1"/>
    <x v="0"/>
    <x v="0"/>
    <x v="0"/>
    <x v="0"/>
  </r>
  <r>
    <x v="1028"/>
    <x v="509"/>
    <x v="501"/>
    <x v="493"/>
    <x v="816"/>
    <x v="1"/>
    <x v="3"/>
    <x v="509"/>
    <x v="375"/>
    <x v="1"/>
    <x v="3"/>
    <x v="0"/>
    <x v="0"/>
    <x v="1"/>
    <x v="1"/>
    <x v="2"/>
    <x v="1"/>
    <x v="1"/>
    <x v="2"/>
    <x v="1"/>
    <x v="1"/>
    <x v="236"/>
    <x v="1"/>
    <x v="1"/>
    <x v="2"/>
    <x v="503"/>
    <x v="5"/>
    <x v="1"/>
    <x v="7"/>
    <x v="2"/>
    <x v="1"/>
    <x v="0"/>
    <x v="0"/>
    <x v="308"/>
  </r>
  <r>
    <x v="1029"/>
    <x v="483"/>
    <x v="477"/>
    <x v="471"/>
    <x v="817"/>
    <x v="3"/>
    <x v="2"/>
    <x v="486"/>
    <x v="150"/>
    <x v="1"/>
    <x v="15"/>
    <x v="0"/>
    <x v="0"/>
    <x v="1"/>
    <x v="3"/>
    <x v="3"/>
    <x v="2"/>
    <x v="1"/>
    <x v="3"/>
    <x v="1"/>
    <x v="1"/>
    <x v="236"/>
    <x v="1"/>
    <x v="1"/>
    <x v="2"/>
    <x v="480"/>
    <x v="13"/>
    <x v="3"/>
    <x v="0"/>
    <x v="1"/>
    <x v="0"/>
    <x v="598"/>
    <x v="292"/>
    <x v="0"/>
  </r>
  <r>
    <x v="1030"/>
    <x v="200"/>
    <x v="499"/>
    <x v="196"/>
    <x v="818"/>
    <x v="1"/>
    <x v="2"/>
    <x v="209"/>
    <x v="374"/>
    <x v="1"/>
    <x v="2"/>
    <x v="0"/>
    <x v="0"/>
    <x v="3"/>
    <x v="3"/>
    <x v="2"/>
    <x v="2"/>
    <x v="1"/>
    <x v="2"/>
    <x v="1"/>
    <x v="1"/>
    <x v="236"/>
    <x v="2"/>
    <x v="3"/>
    <x v="4"/>
    <x v="473"/>
    <x v="5"/>
    <x v="1"/>
    <x v="4"/>
    <x v="1"/>
    <x v="0"/>
    <x v="599"/>
    <x v="293"/>
    <x v="293"/>
  </r>
  <r>
    <x v="1031"/>
    <x v="510"/>
    <x v="502"/>
    <x v="494"/>
    <x v="819"/>
    <x v="1"/>
    <x v="2"/>
    <x v="510"/>
    <x v="281"/>
    <x v="1"/>
    <x v="36"/>
    <x v="0"/>
    <x v="0"/>
    <x v="1"/>
    <x v="1"/>
    <x v="1"/>
    <x v="2"/>
    <x v="1"/>
    <x v="3"/>
    <x v="1"/>
    <x v="1"/>
    <x v="237"/>
    <x v="1"/>
    <x v="1"/>
    <x v="1"/>
    <x v="504"/>
    <x v="1"/>
    <x v="1"/>
    <x v="4"/>
    <x v="1"/>
    <x v="0"/>
    <x v="600"/>
    <x v="0"/>
    <x v="0"/>
  </r>
  <r>
    <x v="1032"/>
    <x v="511"/>
    <x v="503"/>
    <x v="495"/>
    <x v="820"/>
    <x v="1"/>
    <x v="2"/>
    <x v="511"/>
    <x v="222"/>
    <x v="1"/>
    <x v="3"/>
    <x v="0"/>
    <x v="0"/>
    <x v="1"/>
    <x v="1"/>
    <x v="1"/>
    <x v="2"/>
    <x v="1"/>
    <x v="1"/>
    <x v="1"/>
    <x v="2"/>
    <x v="0"/>
    <x v="1"/>
    <x v="1"/>
    <x v="2"/>
    <x v="505"/>
    <x v="12"/>
    <x v="0"/>
    <x v="0"/>
    <x v="1"/>
    <x v="0"/>
    <x v="0"/>
    <x v="0"/>
    <x v="0"/>
  </r>
  <r>
    <x v="1033"/>
    <x v="464"/>
    <x v="460"/>
    <x v="454"/>
    <x v="821"/>
    <x v="1"/>
    <x v="2"/>
    <x v="469"/>
    <x v="376"/>
    <x v="1"/>
    <x v="31"/>
    <x v="0"/>
    <x v="0"/>
    <x v="1"/>
    <x v="3"/>
    <x v="2"/>
    <x v="2"/>
    <x v="1"/>
    <x v="2"/>
    <x v="1"/>
    <x v="1"/>
    <x v="238"/>
    <x v="1"/>
    <x v="1"/>
    <x v="2"/>
    <x v="462"/>
    <x v="1"/>
    <x v="3"/>
    <x v="0"/>
    <x v="1"/>
    <x v="0"/>
    <x v="601"/>
    <x v="294"/>
    <x v="0"/>
  </r>
  <r>
    <x v="1034"/>
    <x v="512"/>
    <x v="504"/>
    <x v="496"/>
    <x v="822"/>
    <x v="1"/>
    <x v="4"/>
    <x v="512"/>
    <x v="377"/>
    <x v="1"/>
    <x v="194"/>
    <x v="0"/>
    <x v="0"/>
    <x v="1"/>
    <x v="1"/>
    <x v="1"/>
    <x v="2"/>
    <x v="1"/>
    <x v="2"/>
    <x v="1"/>
    <x v="2"/>
    <x v="0"/>
    <x v="1"/>
    <x v="1"/>
    <x v="2"/>
    <x v="506"/>
    <x v="12"/>
    <x v="0"/>
    <x v="0"/>
    <x v="1"/>
    <x v="0"/>
    <x v="0"/>
    <x v="0"/>
    <x v="0"/>
  </r>
  <r>
    <x v="1035"/>
    <x v="200"/>
    <x v="499"/>
    <x v="196"/>
    <x v="0"/>
    <x v="1"/>
    <x v="2"/>
    <x v="209"/>
    <x v="374"/>
    <x v="1"/>
    <x v="2"/>
    <x v="0"/>
    <x v="0"/>
    <x v="3"/>
    <x v="3"/>
    <x v="2"/>
    <x v="2"/>
    <x v="1"/>
    <x v="2"/>
    <x v="1"/>
    <x v="1"/>
    <x v="238"/>
    <x v="2"/>
    <x v="3"/>
    <x v="4"/>
    <x v="473"/>
    <x v="1"/>
    <x v="3"/>
    <x v="0"/>
    <x v="1"/>
    <x v="0"/>
    <x v="602"/>
    <x v="0"/>
    <x v="293"/>
  </r>
  <r>
    <x v="1036"/>
    <x v="509"/>
    <x v="501"/>
    <x v="493"/>
    <x v="823"/>
    <x v="1"/>
    <x v="3"/>
    <x v="513"/>
    <x v="375"/>
    <x v="1"/>
    <x v="1"/>
    <x v="0"/>
    <x v="0"/>
    <x v="3"/>
    <x v="3"/>
    <x v="3"/>
    <x v="1"/>
    <x v="1"/>
    <x v="1"/>
    <x v="1"/>
    <x v="1"/>
    <x v="238"/>
    <x v="1"/>
    <x v="3"/>
    <x v="4"/>
    <x v="503"/>
    <x v="12"/>
    <x v="1"/>
    <x v="4"/>
    <x v="2"/>
    <x v="1"/>
    <x v="603"/>
    <x v="0"/>
    <x v="309"/>
  </r>
  <r>
    <x v="1037"/>
    <x v="513"/>
    <x v="505"/>
    <x v="497"/>
    <x v="824"/>
    <x v="3"/>
    <x v="2"/>
    <x v="514"/>
    <x v="310"/>
    <x v="1"/>
    <x v="1"/>
    <x v="0"/>
    <x v="0"/>
    <x v="1"/>
    <x v="2"/>
    <x v="3"/>
    <x v="2"/>
    <x v="1"/>
    <x v="2"/>
    <x v="1"/>
    <x v="1"/>
    <x v="238"/>
    <x v="1"/>
    <x v="6"/>
    <x v="2"/>
    <x v="507"/>
    <x v="5"/>
    <x v="1"/>
    <x v="1"/>
    <x v="1"/>
    <x v="0"/>
    <x v="604"/>
    <x v="295"/>
    <x v="194"/>
  </r>
  <r>
    <x v="1038"/>
    <x v="509"/>
    <x v="501"/>
    <x v="493"/>
    <x v="825"/>
    <x v="1"/>
    <x v="3"/>
    <x v="513"/>
    <x v="375"/>
    <x v="1"/>
    <x v="2"/>
    <x v="0"/>
    <x v="0"/>
    <x v="3"/>
    <x v="1"/>
    <x v="1"/>
    <x v="1"/>
    <x v="1"/>
    <x v="1"/>
    <x v="1"/>
    <x v="1"/>
    <x v="238"/>
    <x v="1"/>
    <x v="3"/>
    <x v="4"/>
    <x v="503"/>
    <x v="1"/>
    <x v="1"/>
    <x v="4"/>
    <x v="2"/>
    <x v="1"/>
    <x v="0"/>
    <x v="0"/>
    <x v="0"/>
  </r>
  <r>
    <x v="1039"/>
    <x v="513"/>
    <x v="505"/>
    <x v="497"/>
    <x v="0"/>
    <x v="3"/>
    <x v="2"/>
    <x v="514"/>
    <x v="310"/>
    <x v="1"/>
    <x v="1"/>
    <x v="0"/>
    <x v="0"/>
    <x v="3"/>
    <x v="4"/>
    <x v="1"/>
    <x v="2"/>
    <x v="1"/>
    <x v="2"/>
    <x v="1"/>
    <x v="2"/>
    <x v="0"/>
    <x v="2"/>
    <x v="3"/>
    <x v="4"/>
    <x v="507"/>
    <x v="5"/>
    <x v="0"/>
    <x v="0"/>
    <x v="1"/>
    <x v="0"/>
    <x v="0"/>
    <x v="0"/>
    <x v="0"/>
  </r>
  <r>
    <x v="1040"/>
    <x v="509"/>
    <x v="501"/>
    <x v="493"/>
    <x v="826"/>
    <x v="1"/>
    <x v="3"/>
    <x v="513"/>
    <x v="375"/>
    <x v="1"/>
    <x v="2"/>
    <x v="0"/>
    <x v="0"/>
    <x v="3"/>
    <x v="1"/>
    <x v="1"/>
    <x v="2"/>
    <x v="1"/>
    <x v="1"/>
    <x v="1"/>
    <x v="2"/>
    <x v="0"/>
    <x v="1"/>
    <x v="3"/>
    <x v="4"/>
    <x v="503"/>
    <x v="1"/>
    <x v="0"/>
    <x v="0"/>
    <x v="1"/>
    <x v="0"/>
    <x v="0"/>
    <x v="0"/>
    <x v="0"/>
  </r>
  <r>
    <x v="1041"/>
    <x v="514"/>
    <x v="506"/>
    <x v="498"/>
    <x v="827"/>
    <x v="1"/>
    <x v="1"/>
    <x v="515"/>
    <x v="378"/>
    <x v="1"/>
    <x v="9"/>
    <x v="0"/>
    <x v="0"/>
    <x v="1"/>
    <x v="3"/>
    <x v="3"/>
    <x v="2"/>
    <x v="1"/>
    <x v="1"/>
    <x v="1"/>
    <x v="1"/>
    <x v="237"/>
    <x v="1"/>
    <x v="6"/>
    <x v="3"/>
    <x v="508"/>
    <x v="1"/>
    <x v="3"/>
    <x v="0"/>
    <x v="2"/>
    <x v="1"/>
    <x v="605"/>
    <x v="296"/>
    <x v="310"/>
  </r>
  <r>
    <x v="1042"/>
    <x v="515"/>
    <x v="507"/>
    <x v="499"/>
    <x v="828"/>
    <x v="1"/>
    <x v="2"/>
    <x v="516"/>
    <x v="10"/>
    <x v="1"/>
    <x v="2"/>
    <x v="0"/>
    <x v="0"/>
    <x v="1"/>
    <x v="1"/>
    <x v="1"/>
    <x v="2"/>
    <x v="2"/>
    <x v="1"/>
    <x v="1"/>
    <x v="1"/>
    <x v="237"/>
    <x v="1"/>
    <x v="6"/>
    <x v="3"/>
    <x v="509"/>
    <x v="1"/>
    <x v="1"/>
    <x v="1"/>
    <x v="1"/>
    <x v="0"/>
    <x v="606"/>
    <x v="0"/>
    <x v="311"/>
  </r>
  <r>
    <x v="1043"/>
    <x v="510"/>
    <x v="502"/>
    <x v="494"/>
    <x v="829"/>
    <x v="1"/>
    <x v="2"/>
    <x v="510"/>
    <x v="281"/>
    <x v="1"/>
    <x v="36"/>
    <x v="0"/>
    <x v="0"/>
    <x v="3"/>
    <x v="1"/>
    <x v="1"/>
    <x v="1"/>
    <x v="1"/>
    <x v="3"/>
    <x v="1"/>
    <x v="2"/>
    <x v="0"/>
    <x v="1"/>
    <x v="3"/>
    <x v="4"/>
    <x v="510"/>
    <x v="1"/>
    <x v="0"/>
    <x v="0"/>
    <x v="1"/>
    <x v="0"/>
    <x v="0"/>
    <x v="0"/>
    <x v="0"/>
  </r>
  <r>
    <x v="1044"/>
    <x v="515"/>
    <x v="507"/>
    <x v="499"/>
    <x v="0"/>
    <x v="1"/>
    <x v="2"/>
    <x v="516"/>
    <x v="10"/>
    <x v="1"/>
    <x v="2"/>
    <x v="0"/>
    <x v="0"/>
    <x v="3"/>
    <x v="1"/>
    <x v="1"/>
    <x v="2"/>
    <x v="1"/>
    <x v="3"/>
    <x v="1"/>
    <x v="2"/>
    <x v="0"/>
    <x v="2"/>
    <x v="3"/>
    <x v="4"/>
    <x v="509"/>
    <x v="5"/>
    <x v="0"/>
    <x v="0"/>
    <x v="1"/>
    <x v="0"/>
    <x v="0"/>
    <x v="0"/>
    <x v="0"/>
  </r>
  <r>
    <x v="1045"/>
    <x v="516"/>
    <x v="508"/>
    <x v="500"/>
    <x v="830"/>
    <x v="1"/>
    <x v="2"/>
    <x v="517"/>
    <x v="55"/>
    <x v="1"/>
    <x v="4"/>
    <x v="0"/>
    <x v="0"/>
    <x v="1"/>
    <x v="1"/>
    <x v="1"/>
    <x v="2"/>
    <x v="1"/>
    <x v="3"/>
    <x v="1"/>
    <x v="1"/>
    <x v="239"/>
    <x v="1"/>
    <x v="1"/>
    <x v="1"/>
    <x v="511"/>
    <x v="1"/>
    <x v="1"/>
    <x v="4"/>
    <x v="2"/>
    <x v="1"/>
    <x v="607"/>
    <x v="0"/>
    <x v="0"/>
  </r>
  <r>
    <x v="1046"/>
    <x v="517"/>
    <x v="509"/>
    <x v="501"/>
    <x v="831"/>
    <x v="1"/>
    <x v="2"/>
    <x v="518"/>
    <x v="379"/>
    <x v="1"/>
    <x v="15"/>
    <x v="0"/>
    <x v="0"/>
    <x v="1"/>
    <x v="3"/>
    <x v="2"/>
    <x v="2"/>
    <x v="1"/>
    <x v="2"/>
    <x v="1"/>
    <x v="1"/>
    <x v="239"/>
    <x v="1"/>
    <x v="1"/>
    <x v="2"/>
    <x v="512"/>
    <x v="3"/>
    <x v="1"/>
    <x v="3"/>
    <x v="2"/>
    <x v="1"/>
    <x v="0"/>
    <x v="0"/>
    <x v="312"/>
  </r>
  <r>
    <x v="1047"/>
    <x v="518"/>
    <x v="510"/>
    <x v="502"/>
    <x v="832"/>
    <x v="1"/>
    <x v="1"/>
    <x v="519"/>
    <x v="356"/>
    <x v="1"/>
    <x v="195"/>
    <x v="0"/>
    <x v="0"/>
    <x v="1"/>
    <x v="1"/>
    <x v="1"/>
    <x v="2"/>
    <x v="1"/>
    <x v="1"/>
    <x v="1"/>
    <x v="2"/>
    <x v="0"/>
    <x v="1"/>
    <x v="1"/>
    <x v="2"/>
    <x v="513"/>
    <x v="3"/>
    <x v="0"/>
    <x v="0"/>
    <x v="1"/>
    <x v="0"/>
    <x v="0"/>
    <x v="0"/>
    <x v="0"/>
  </r>
  <r>
    <x v="1048"/>
    <x v="516"/>
    <x v="508"/>
    <x v="500"/>
    <x v="833"/>
    <x v="1"/>
    <x v="2"/>
    <x v="520"/>
    <x v="55"/>
    <x v="1"/>
    <x v="4"/>
    <x v="0"/>
    <x v="0"/>
    <x v="3"/>
    <x v="3"/>
    <x v="3"/>
    <x v="2"/>
    <x v="1"/>
    <x v="1"/>
    <x v="1"/>
    <x v="1"/>
    <x v="233"/>
    <x v="1"/>
    <x v="3"/>
    <x v="4"/>
    <x v="511"/>
    <x v="1"/>
    <x v="3"/>
    <x v="0"/>
    <x v="1"/>
    <x v="0"/>
    <x v="608"/>
    <x v="297"/>
    <x v="0"/>
  </r>
  <r>
    <x v="1049"/>
    <x v="517"/>
    <x v="509"/>
    <x v="501"/>
    <x v="834"/>
    <x v="1"/>
    <x v="2"/>
    <x v="518"/>
    <x v="379"/>
    <x v="1"/>
    <x v="15"/>
    <x v="0"/>
    <x v="0"/>
    <x v="3"/>
    <x v="1"/>
    <x v="1"/>
    <x v="2"/>
    <x v="1"/>
    <x v="1"/>
    <x v="1"/>
    <x v="2"/>
    <x v="0"/>
    <x v="1"/>
    <x v="3"/>
    <x v="4"/>
    <x v="512"/>
    <x v="3"/>
    <x v="0"/>
    <x v="0"/>
    <x v="1"/>
    <x v="0"/>
    <x v="0"/>
    <x v="0"/>
    <x v="0"/>
  </r>
  <r>
    <x v="1050"/>
    <x v="141"/>
    <x v="141"/>
    <x v="139"/>
    <x v="835"/>
    <x v="1"/>
    <x v="2"/>
    <x v="145"/>
    <x v="10"/>
    <x v="6"/>
    <x v="0"/>
    <x v="0"/>
    <x v="10"/>
    <x v="1"/>
    <x v="1"/>
    <x v="1"/>
    <x v="2"/>
    <x v="1"/>
    <x v="2"/>
    <x v="1"/>
    <x v="1"/>
    <x v="233"/>
    <x v="1"/>
    <x v="5"/>
    <x v="2"/>
    <x v="140"/>
    <x v="3"/>
    <x v="3"/>
    <x v="0"/>
    <x v="1"/>
    <x v="0"/>
    <x v="609"/>
    <x v="298"/>
    <x v="313"/>
  </r>
  <r>
    <x v="1051"/>
    <x v="500"/>
    <x v="492"/>
    <x v="485"/>
    <x v="0"/>
    <x v="1"/>
    <x v="2"/>
    <x v="501"/>
    <x v="10"/>
    <x v="10"/>
    <x v="0"/>
    <x v="0"/>
    <x v="0"/>
    <x v="3"/>
    <x v="1"/>
    <x v="1"/>
    <x v="2"/>
    <x v="1"/>
    <x v="2"/>
    <x v="1"/>
    <x v="2"/>
    <x v="0"/>
    <x v="2"/>
    <x v="3"/>
    <x v="4"/>
    <x v="495"/>
    <x v="5"/>
    <x v="0"/>
    <x v="0"/>
    <x v="1"/>
    <x v="0"/>
    <x v="0"/>
    <x v="0"/>
    <x v="0"/>
  </r>
  <r>
    <x v="1052"/>
    <x v="519"/>
    <x v="511"/>
    <x v="503"/>
    <x v="836"/>
    <x v="1"/>
    <x v="2"/>
    <x v="521"/>
    <x v="245"/>
    <x v="1"/>
    <x v="3"/>
    <x v="0"/>
    <x v="0"/>
    <x v="1"/>
    <x v="3"/>
    <x v="3"/>
    <x v="2"/>
    <x v="2"/>
    <x v="2"/>
    <x v="1"/>
    <x v="1"/>
    <x v="240"/>
    <x v="1"/>
    <x v="1"/>
    <x v="5"/>
    <x v="514"/>
    <x v="5"/>
    <x v="3"/>
    <x v="0"/>
    <x v="1"/>
    <x v="0"/>
    <x v="610"/>
    <x v="299"/>
    <x v="0"/>
  </r>
  <r>
    <x v="1053"/>
    <x v="458"/>
    <x v="454"/>
    <x v="448"/>
    <x v="837"/>
    <x v="1"/>
    <x v="2"/>
    <x v="522"/>
    <x v="356"/>
    <x v="1"/>
    <x v="2"/>
    <x v="0"/>
    <x v="0"/>
    <x v="1"/>
    <x v="3"/>
    <x v="2"/>
    <x v="1"/>
    <x v="1"/>
    <x v="1"/>
    <x v="1"/>
    <x v="1"/>
    <x v="240"/>
    <x v="1"/>
    <x v="1"/>
    <x v="2"/>
    <x v="456"/>
    <x v="1"/>
    <x v="1"/>
    <x v="7"/>
    <x v="2"/>
    <x v="1"/>
    <x v="611"/>
    <x v="0"/>
    <x v="0"/>
  </r>
  <r>
    <x v="1054"/>
    <x v="458"/>
    <x v="454"/>
    <x v="448"/>
    <x v="838"/>
    <x v="1"/>
    <x v="2"/>
    <x v="463"/>
    <x v="356"/>
    <x v="1"/>
    <x v="2"/>
    <x v="0"/>
    <x v="0"/>
    <x v="3"/>
    <x v="1"/>
    <x v="1"/>
    <x v="1"/>
    <x v="1"/>
    <x v="2"/>
    <x v="1"/>
    <x v="2"/>
    <x v="0"/>
    <x v="1"/>
    <x v="3"/>
    <x v="4"/>
    <x v="456"/>
    <x v="12"/>
    <x v="0"/>
    <x v="0"/>
    <x v="1"/>
    <x v="0"/>
    <x v="0"/>
    <x v="0"/>
    <x v="0"/>
  </r>
  <r>
    <x v="1055"/>
    <x v="512"/>
    <x v="504"/>
    <x v="496"/>
    <x v="839"/>
    <x v="1"/>
    <x v="4"/>
    <x v="512"/>
    <x v="377"/>
    <x v="1"/>
    <x v="196"/>
    <x v="0"/>
    <x v="0"/>
    <x v="1"/>
    <x v="1"/>
    <x v="1"/>
    <x v="1"/>
    <x v="1"/>
    <x v="2"/>
    <x v="1"/>
    <x v="2"/>
    <x v="0"/>
    <x v="1"/>
    <x v="2"/>
    <x v="2"/>
    <x v="506"/>
    <x v="12"/>
    <x v="0"/>
    <x v="0"/>
    <x v="1"/>
    <x v="0"/>
    <x v="0"/>
    <x v="0"/>
    <x v="0"/>
  </r>
  <r>
    <x v="1056"/>
    <x v="428"/>
    <x v="425"/>
    <x v="420"/>
    <x v="840"/>
    <x v="3"/>
    <x v="2"/>
    <x v="437"/>
    <x v="324"/>
    <x v="1"/>
    <x v="197"/>
    <x v="0"/>
    <x v="0"/>
    <x v="1"/>
    <x v="1"/>
    <x v="1"/>
    <x v="1"/>
    <x v="2"/>
    <x v="2"/>
    <x v="1"/>
    <x v="2"/>
    <x v="0"/>
    <x v="1"/>
    <x v="1"/>
    <x v="2"/>
    <x v="428"/>
    <x v="12"/>
    <x v="0"/>
    <x v="0"/>
    <x v="1"/>
    <x v="0"/>
    <x v="0"/>
    <x v="0"/>
    <x v="0"/>
  </r>
  <r>
    <x v="1057"/>
    <x v="520"/>
    <x v="512"/>
    <x v="504"/>
    <x v="841"/>
    <x v="1"/>
    <x v="2"/>
    <x v="523"/>
    <x v="380"/>
    <x v="10"/>
    <x v="0"/>
    <x v="0"/>
    <x v="0"/>
    <x v="1"/>
    <x v="1"/>
    <x v="1"/>
    <x v="2"/>
    <x v="2"/>
    <x v="1"/>
    <x v="1"/>
    <x v="1"/>
    <x v="234"/>
    <x v="1"/>
    <x v="1"/>
    <x v="5"/>
    <x v="515"/>
    <x v="1"/>
    <x v="1"/>
    <x v="7"/>
    <x v="2"/>
    <x v="1"/>
    <x v="612"/>
    <x v="0"/>
    <x v="0"/>
  </r>
  <r>
    <x v="1058"/>
    <x v="235"/>
    <x v="234"/>
    <x v="231"/>
    <x v="842"/>
    <x v="1"/>
    <x v="2"/>
    <x v="245"/>
    <x v="200"/>
    <x v="1"/>
    <x v="198"/>
    <x v="0"/>
    <x v="0"/>
    <x v="1"/>
    <x v="1"/>
    <x v="1"/>
    <x v="2"/>
    <x v="1"/>
    <x v="2"/>
    <x v="1"/>
    <x v="2"/>
    <x v="0"/>
    <x v="1"/>
    <x v="1"/>
    <x v="2"/>
    <x v="235"/>
    <x v="12"/>
    <x v="0"/>
    <x v="0"/>
    <x v="1"/>
    <x v="0"/>
    <x v="0"/>
    <x v="0"/>
    <x v="0"/>
  </r>
  <r>
    <x v="1059"/>
    <x v="521"/>
    <x v="513"/>
    <x v="505"/>
    <x v="843"/>
    <x v="1"/>
    <x v="2"/>
    <x v="358"/>
    <x v="10"/>
    <x v="10"/>
    <x v="0"/>
    <x v="0"/>
    <x v="0"/>
    <x v="1"/>
    <x v="3"/>
    <x v="3"/>
    <x v="1"/>
    <x v="1"/>
    <x v="2"/>
    <x v="1"/>
    <x v="1"/>
    <x v="241"/>
    <x v="1"/>
    <x v="5"/>
    <x v="2"/>
    <x v="516"/>
    <x v="12"/>
    <x v="1"/>
    <x v="8"/>
    <x v="1"/>
    <x v="0"/>
    <x v="613"/>
    <x v="0"/>
    <x v="314"/>
  </r>
  <r>
    <x v="1060"/>
    <x v="522"/>
    <x v="514"/>
    <x v="506"/>
    <x v="844"/>
    <x v="3"/>
    <x v="3"/>
    <x v="524"/>
    <x v="381"/>
    <x v="6"/>
    <x v="0"/>
    <x v="0"/>
    <x v="23"/>
    <x v="1"/>
    <x v="1"/>
    <x v="1"/>
    <x v="2"/>
    <x v="1"/>
    <x v="3"/>
    <x v="1"/>
    <x v="2"/>
    <x v="0"/>
    <x v="1"/>
    <x v="5"/>
    <x v="2"/>
    <x v="517"/>
    <x v="12"/>
    <x v="0"/>
    <x v="0"/>
    <x v="1"/>
    <x v="0"/>
    <x v="0"/>
    <x v="0"/>
    <x v="0"/>
  </r>
  <r>
    <x v="1061"/>
    <x v="521"/>
    <x v="513"/>
    <x v="505"/>
    <x v="0"/>
    <x v="1"/>
    <x v="2"/>
    <x v="358"/>
    <x v="10"/>
    <x v="11"/>
    <x v="0"/>
    <x v="0"/>
    <x v="0"/>
    <x v="3"/>
    <x v="1"/>
    <x v="2"/>
    <x v="2"/>
    <x v="1"/>
    <x v="2"/>
    <x v="2"/>
    <x v="2"/>
    <x v="0"/>
    <x v="2"/>
    <x v="3"/>
    <x v="4"/>
    <x v="516"/>
    <x v="8"/>
    <x v="0"/>
    <x v="0"/>
    <x v="1"/>
    <x v="0"/>
    <x v="0"/>
    <x v="0"/>
    <x v="0"/>
  </r>
  <r>
    <x v="1062"/>
    <x v="523"/>
    <x v="515"/>
    <x v="507"/>
    <x v="845"/>
    <x v="1"/>
    <x v="2"/>
    <x v="525"/>
    <x v="299"/>
    <x v="1"/>
    <x v="2"/>
    <x v="0"/>
    <x v="0"/>
    <x v="1"/>
    <x v="3"/>
    <x v="3"/>
    <x v="2"/>
    <x v="1"/>
    <x v="2"/>
    <x v="1"/>
    <x v="1"/>
    <x v="242"/>
    <x v="1"/>
    <x v="6"/>
    <x v="2"/>
    <x v="518"/>
    <x v="8"/>
    <x v="1"/>
    <x v="3"/>
    <x v="2"/>
    <x v="1"/>
    <x v="614"/>
    <x v="0"/>
    <x v="0"/>
  </r>
  <r>
    <x v="1063"/>
    <x v="523"/>
    <x v="515"/>
    <x v="507"/>
    <x v="846"/>
    <x v="1"/>
    <x v="2"/>
    <x v="525"/>
    <x v="299"/>
    <x v="1"/>
    <x v="2"/>
    <x v="0"/>
    <x v="0"/>
    <x v="3"/>
    <x v="4"/>
    <x v="1"/>
    <x v="2"/>
    <x v="1"/>
    <x v="2"/>
    <x v="1"/>
    <x v="2"/>
    <x v="0"/>
    <x v="1"/>
    <x v="3"/>
    <x v="4"/>
    <x v="518"/>
    <x v="3"/>
    <x v="0"/>
    <x v="0"/>
    <x v="1"/>
    <x v="0"/>
    <x v="0"/>
    <x v="0"/>
    <x v="0"/>
  </r>
  <r>
    <x v="1064"/>
    <x v="524"/>
    <x v="516"/>
    <x v="508"/>
    <x v="847"/>
    <x v="1"/>
    <x v="2"/>
    <x v="526"/>
    <x v="371"/>
    <x v="1"/>
    <x v="31"/>
    <x v="0"/>
    <x v="0"/>
    <x v="1"/>
    <x v="3"/>
    <x v="3"/>
    <x v="2"/>
    <x v="1"/>
    <x v="2"/>
    <x v="1"/>
    <x v="1"/>
    <x v="243"/>
    <x v="1"/>
    <x v="1"/>
    <x v="2"/>
    <x v="519"/>
    <x v="5"/>
    <x v="1"/>
    <x v="3"/>
    <x v="2"/>
    <x v="1"/>
    <x v="615"/>
    <x v="0"/>
    <x v="0"/>
  </r>
  <r>
    <x v="1065"/>
    <x v="491"/>
    <x v="484"/>
    <x v="478"/>
    <x v="848"/>
    <x v="1"/>
    <x v="2"/>
    <x v="499"/>
    <x v="367"/>
    <x v="1"/>
    <x v="199"/>
    <x v="0"/>
    <x v="0"/>
    <x v="1"/>
    <x v="1"/>
    <x v="1"/>
    <x v="2"/>
    <x v="1"/>
    <x v="3"/>
    <x v="1"/>
    <x v="2"/>
    <x v="0"/>
    <x v="1"/>
    <x v="1"/>
    <x v="2"/>
    <x v="488"/>
    <x v="3"/>
    <x v="0"/>
    <x v="0"/>
    <x v="1"/>
    <x v="0"/>
    <x v="0"/>
    <x v="0"/>
    <x v="0"/>
  </r>
  <r>
    <x v="1066"/>
    <x v="524"/>
    <x v="516"/>
    <x v="508"/>
    <x v="849"/>
    <x v="1"/>
    <x v="2"/>
    <x v="526"/>
    <x v="371"/>
    <x v="1"/>
    <x v="31"/>
    <x v="0"/>
    <x v="0"/>
    <x v="3"/>
    <x v="2"/>
    <x v="3"/>
    <x v="2"/>
    <x v="1"/>
    <x v="2"/>
    <x v="1"/>
    <x v="2"/>
    <x v="0"/>
    <x v="1"/>
    <x v="3"/>
    <x v="4"/>
    <x v="519"/>
    <x v="3"/>
    <x v="0"/>
    <x v="0"/>
    <x v="1"/>
    <x v="0"/>
    <x v="0"/>
    <x v="0"/>
    <x v="0"/>
  </r>
  <r>
    <x v="1067"/>
    <x v="525"/>
    <x v="517"/>
    <x v="509"/>
    <x v="850"/>
    <x v="1"/>
    <x v="2"/>
    <x v="527"/>
    <x v="360"/>
    <x v="1"/>
    <x v="33"/>
    <x v="0"/>
    <x v="0"/>
    <x v="1"/>
    <x v="3"/>
    <x v="2"/>
    <x v="2"/>
    <x v="1"/>
    <x v="1"/>
    <x v="1"/>
    <x v="1"/>
    <x v="234"/>
    <x v="1"/>
    <x v="1"/>
    <x v="2"/>
    <x v="520"/>
    <x v="1"/>
    <x v="1"/>
    <x v="4"/>
    <x v="2"/>
    <x v="1"/>
    <x v="616"/>
    <x v="0"/>
    <x v="0"/>
  </r>
  <r>
    <x v="1068"/>
    <x v="526"/>
    <x v="518"/>
    <x v="510"/>
    <x v="851"/>
    <x v="3"/>
    <x v="2"/>
    <x v="528"/>
    <x v="227"/>
    <x v="1"/>
    <x v="22"/>
    <x v="0"/>
    <x v="0"/>
    <x v="1"/>
    <x v="1"/>
    <x v="1"/>
    <x v="2"/>
    <x v="1"/>
    <x v="3"/>
    <x v="1"/>
    <x v="1"/>
    <x v="244"/>
    <x v="1"/>
    <x v="1"/>
    <x v="2"/>
    <x v="521"/>
    <x v="3"/>
    <x v="3"/>
    <x v="0"/>
    <x v="1"/>
    <x v="0"/>
    <x v="617"/>
    <x v="300"/>
    <x v="315"/>
  </r>
  <r>
    <x v="1069"/>
    <x v="200"/>
    <x v="198"/>
    <x v="196"/>
    <x v="852"/>
    <x v="1"/>
    <x v="2"/>
    <x v="209"/>
    <x v="322"/>
    <x v="1"/>
    <x v="200"/>
    <x v="0"/>
    <x v="0"/>
    <x v="1"/>
    <x v="1"/>
    <x v="1"/>
    <x v="2"/>
    <x v="1"/>
    <x v="2"/>
    <x v="1"/>
    <x v="2"/>
    <x v="0"/>
    <x v="1"/>
    <x v="1"/>
    <x v="2"/>
    <x v="473"/>
    <x v="3"/>
    <x v="0"/>
    <x v="0"/>
    <x v="1"/>
    <x v="0"/>
    <x v="0"/>
    <x v="0"/>
    <x v="0"/>
  </r>
  <r>
    <x v="1070"/>
    <x v="527"/>
    <x v="519"/>
    <x v="511"/>
    <x v="853"/>
    <x v="1"/>
    <x v="2"/>
    <x v="529"/>
    <x v="325"/>
    <x v="1"/>
    <x v="201"/>
    <x v="0"/>
    <x v="0"/>
    <x v="1"/>
    <x v="1"/>
    <x v="1"/>
    <x v="1"/>
    <x v="1"/>
    <x v="2"/>
    <x v="1"/>
    <x v="1"/>
    <x v="234"/>
    <x v="1"/>
    <x v="5"/>
    <x v="2"/>
    <x v="522"/>
    <x v="3"/>
    <x v="1"/>
    <x v="7"/>
    <x v="1"/>
    <x v="0"/>
    <x v="618"/>
    <x v="0"/>
    <x v="0"/>
  </r>
  <r>
    <x v="1071"/>
    <x v="499"/>
    <x v="491"/>
    <x v="484"/>
    <x v="854"/>
    <x v="3"/>
    <x v="2"/>
    <x v="500"/>
    <x v="382"/>
    <x v="1"/>
    <x v="33"/>
    <x v="0"/>
    <x v="0"/>
    <x v="1"/>
    <x v="3"/>
    <x v="2"/>
    <x v="2"/>
    <x v="1"/>
    <x v="1"/>
    <x v="1"/>
    <x v="1"/>
    <x v="244"/>
    <x v="1"/>
    <x v="2"/>
    <x v="2"/>
    <x v="494"/>
    <x v="1"/>
    <x v="3"/>
    <x v="0"/>
    <x v="1"/>
    <x v="0"/>
    <x v="619"/>
    <x v="301"/>
    <x v="0"/>
  </r>
  <r>
    <x v="1072"/>
    <x v="505"/>
    <x v="497"/>
    <x v="490"/>
    <x v="855"/>
    <x v="1"/>
    <x v="3"/>
    <x v="507"/>
    <x v="383"/>
    <x v="1"/>
    <x v="22"/>
    <x v="0"/>
    <x v="0"/>
    <x v="3"/>
    <x v="1"/>
    <x v="1"/>
    <x v="1"/>
    <x v="1"/>
    <x v="2"/>
    <x v="1"/>
    <x v="2"/>
    <x v="0"/>
    <x v="1"/>
    <x v="3"/>
    <x v="4"/>
    <x v="500"/>
    <x v="12"/>
    <x v="0"/>
    <x v="0"/>
    <x v="1"/>
    <x v="0"/>
    <x v="0"/>
    <x v="0"/>
    <x v="0"/>
  </r>
  <r>
    <x v="1073"/>
    <x v="525"/>
    <x v="517"/>
    <x v="509"/>
    <x v="856"/>
    <x v="1"/>
    <x v="2"/>
    <x v="527"/>
    <x v="360"/>
    <x v="1"/>
    <x v="33"/>
    <x v="0"/>
    <x v="0"/>
    <x v="3"/>
    <x v="3"/>
    <x v="3"/>
    <x v="2"/>
    <x v="1"/>
    <x v="1"/>
    <x v="1"/>
    <x v="1"/>
    <x v="244"/>
    <x v="1"/>
    <x v="3"/>
    <x v="4"/>
    <x v="520"/>
    <x v="1"/>
    <x v="1"/>
    <x v="4"/>
    <x v="2"/>
    <x v="1"/>
    <x v="620"/>
    <x v="302"/>
    <x v="0"/>
  </r>
  <r>
    <x v="1074"/>
    <x v="520"/>
    <x v="512"/>
    <x v="504"/>
    <x v="857"/>
    <x v="1"/>
    <x v="2"/>
    <x v="523"/>
    <x v="380"/>
    <x v="1"/>
    <x v="31"/>
    <x v="0"/>
    <x v="0"/>
    <x v="3"/>
    <x v="3"/>
    <x v="3"/>
    <x v="2"/>
    <x v="2"/>
    <x v="2"/>
    <x v="1"/>
    <x v="1"/>
    <x v="245"/>
    <x v="1"/>
    <x v="3"/>
    <x v="4"/>
    <x v="515"/>
    <x v="12"/>
    <x v="1"/>
    <x v="7"/>
    <x v="1"/>
    <x v="0"/>
    <x v="621"/>
    <x v="0"/>
    <x v="168"/>
  </r>
  <r>
    <x v="1075"/>
    <x v="528"/>
    <x v="520"/>
    <x v="512"/>
    <x v="858"/>
    <x v="1"/>
    <x v="2"/>
    <x v="530"/>
    <x v="384"/>
    <x v="6"/>
    <x v="0"/>
    <x v="0"/>
    <x v="24"/>
    <x v="1"/>
    <x v="1"/>
    <x v="1"/>
    <x v="2"/>
    <x v="1"/>
    <x v="3"/>
    <x v="1"/>
    <x v="2"/>
    <x v="0"/>
    <x v="1"/>
    <x v="1"/>
    <x v="2"/>
    <x v="523"/>
    <x v="1"/>
    <x v="0"/>
    <x v="0"/>
    <x v="1"/>
    <x v="0"/>
    <x v="0"/>
    <x v="0"/>
    <x v="0"/>
  </r>
  <r>
    <x v="1076"/>
    <x v="529"/>
    <x v="521"/>
    <x v="513"/>
    <x v="859"/>
    <x v="1"/>
    <x v="1"/>
    <x v="531"/>
    <x v="10"/>
    <x v="1"/>
    <x v="202"/>
    <x v="0"/>
    <x v="0"/>
    <x v="1"/>
    <x v="1"/>
    <x v="1"/>
    <x v="1"/>
    <x v="1"/>
    <x v="1"/>
    <x v="1"/>
    <x v="1"/>
    <x v="245"/>
    <x v="1"/>
    <x v="1"/>
    <x v="2"/>
    <x v="524"/>
    <x v="1"/>
    <x v="3"/>
    <x v="0"/>
    <x v="1"/>
    <x v="0"/>
    <x v="622"/>
    <x v="303"/>
    <x v="0"/>
  </r>
  <r>
    <x v="1077"/>
    <x v="527"/>
    <x v="519"/>
    <x v="511"/>
    <x v="0"/>
    <x v="1"/>
    <x v="2"/>
    <x v="529"/>
    <x v="325"/>
    <x v="1"/>
    <x v="36"/>
    <x v="0"/>
    <x v="0"/>
    <x v="3"/>
    <x v="4"/>
    <x v="1"/>
    <x v="2"/>
    <x v="1"/>
    <x v="2"/>
    <x v="1"/>
    <x v="2"/>
    <x v="0"/>
    <x v="2"/>
    <x v="3"/>
    <x v="4"/>
    <x v="522"/>
    <x v="12"/>
    <x v="0"/>
    <x v="0"/>
    <x v="1"/>
    <x v="0"/>
    <x v="0"/>
    <x v="0"/>
    <x v="0"/>
  </r>
  <r>
    <x v="1078"/>
    <x v="530"/>
    <x v="522"/>
    <x v="514"/>
    <x v="860"/>
    <x v="1"/>
    <x v="2"/>
    <x v="532"/>
    <x v="171"/>
    <x v="1"/>
    <x v="2"/>
    <x v="0"/>
    <x v="0"/>
    <x v="1"/>
    <x v="1"/>
    <x v="1"/>
    <x v="2"/>
    <x v="1"/>
    <x v="2"/>
    <x v="1"/>
    <x v="1"/>
    <x v="244"/>
    <x v="2"/>
    <x v="2"/>
    <x v="2"/>
    <x v="525"/>
    <x v="3"/>
    <x v="1"/>
    <x v="4"/>
    <x v="1"/>
    <x v="0"/>
    <x v="623"/>
    <x v="0"/>
    <x v="316"/>
  </r>
  <r>
    <x v="1079"/>
    <x v="530"/>
    <x v="522"/>
    <x v="514"/>
    <x v="861"/>
    <x v="1"/>
    <x v="2"/>
    <x v="532"/>
    <x v="171"/>
    <x v="1"/>
    <x v="2"/>
    <x v="0"/>
    <x v="0"/>
    <x v="3"/>
    <x v="1"/>
    <x v="1"/>
    <x v="2"/>
    <x v="1"/>
    <x v="3"/>
    <x v="1"/>
    <x v="1"/>
    <x v="244"/>
    <x v="2"/>
    <x v="3"/>
    <x v="4"/>
    <x v="525"/>
    <x v="1"/>
    <x v="1"/>
    <x v="3"/>
    <x v="1"/>
    <x v="0"/>
    <x v="624"/>
    <x v="0"/>
    <x v="0"/>
  </r>
  <r>
    <x v="1080"/>
    <x v="525"/>
    <x v="517"/>
    <x v="509"/>
    <x v="862"/>
    <x v="1"/>
    <x v="2"/>
    <x v="527"/>
    <x v="360"/>
    <x v="1"/>
    <x v="33"/>
    <x v="0"/>
    <x v="0"/>
    <x v="3"/>
    <x v="1"/>
    <x v="1"/>
    <x v="2"/>
    <x v="1"/>
    <x v="1"/>
    <x v="1"/>
    <x v="2"/>
    <x v="0"/>
    <x v="1"/>
    <x v="3"/>
    <x v="4"/>
    <x v="520"/>
    <x v="1"/>
    <x v="0"/>
    <x v="0"/>
    <x v="1"/>
    <x v="0"/>
    <x v="0"/>
    <x v="0"/>
    <x v="0"/>
  </r>
  <r>
    <x v="1081"/>
    <x v="531"/>
    <x v="523"/>
    <x v="515"/>
    <x v="863"/>
    <x v="3"/>
    <x v="2"/>
    <x v="533"/>
    <x v="385"/>
    <x v="1"/>
    <x v="203"/>
    <x v="0"/>
    <x v="0"/>
    <x v="1"/>
    <x v="2"/>
    <x v="3"/>
    <x v="2"/>
    <x v="1"/>
    <x v="2"/>
    <x v="1"/>
    <x v="1"/>
    <x v="244"/>
    <x v="1"/>
    <x v="1"/>
    <x v="2"/>
    <x v="526"/>
    <x v="6"/>
    <x v="3"/>
    <x v="0"/>
    <x v="1"/>
    <x v="0"/>
    <x v="625"/>
    <x v="304"/>
    <x v="0"/>
  </r>
  <r>
    <x v="1082"/>
    <x v="530"/>
    <x v="522"/>
    <x v="514"/>
    <x v="0"/>
    <x v="1"/>
    <x v="2"/>
    <x v="532"/>
    <x v="171"/>
    <x v="1"/>
    <x v="2"/>
    <x v="0"/>
    <x v="0"/>
    <x v="3"/>
    <x v="3"/>
    <x v="3"/>
    <x v="2"/>
    <x v="1"/>
    <x v="2"/>
    <x v="1"/>
    <x v="1"/>
    <x v="245"/>
    <x v="2"/>
    <x v="3"/>
    <x v="4"/>
    <x v="525"/>
    <x v="3"/>
    <x v="1"/>
    <x v="5"/>
    <x v="1"/>
    <x v="0"/>
    <x v="626"/>
    <x v="0"/>
    <x v="317"/>
  </r>
  <r>
    <x v="1083"/>
    <x v="520"/>
    <x v="512"/>
    <x v="504"/>
    <x v="0"/>
    <x v="1"/>
    <x v="2"/>
    <x v="523"/>
    <x v="386"/>
    <x v="1"/>
    <x v="3"/>
    <x v="0"/>
    <x v="0"/>
    <x v="3"/>
    <x v="3"/>
    <x v="3"/>
    <x v="2"/>
    <x v="2"/>
    <x v="2"/>
    <x v="1"/>
    <x v="1"/>
    <x v="246"/>
    <x v="2"/>
    <x v="3"/>
    <x v="4"/>
    <x v="515"/>
    <x v="12"/>
    <x v="1"/>
    <x v="7"/>
    <x v="1"/>
    <x v="0"/>
    <x v="627"/>
    <x v="0"/>
    <x v="0"/>
  </r>
  <r>
    <x v="1084"/>
    <x v="532"/>
    <x v="524"/>
    <x v="516"/>
    <x v="864"/>
    <x v="1"/>
    <x v="2"/>
    <x v="534"/>
    <x v="196"/>
    <x v="6"/>
    <x v="0"/>
    <x v="0"/>
    <x v="4"/>
    <x v="1"/>
    <x v="1"/>
    <x v="2"/>
    <x v="2"/>
    <x v="1"/>
    <x v="3"/>
    <x v="1"/>
    <x v="2"/>
    <x v="0"/>
    <x v="1"/>
    <x v="1"/>
    <x v="2"/>
    <x v="527"/>
    <x v="1"/>
    <x v="0"/>
    <x v="0"/>
    <x v="1"/>
    <x v="0"/>
    <x v="0"/>
    <x v="0"/>
    <x v="0"/>
  </r>
  <r>
    <x v="1085"/>
    <x v="530"/>
    <x v="522"/>
    <x v="514"/>
    <x v="0"/>
    <x v="1"/>
    <x v="2"/>
    <x v="532"/>
    <x v="171"/>
    <x v="1"/>
    <x v="2"/>
    <x v="0"/>
    <x v="0"/>
    <x v="3"/>
    <x v="1"/>
    <x v="1"/>
    <x v="2"/>
    <x v="1"/>
    <x v="2"/>
    <x v="1"/>
    <x v="2"/>
    <x v="0"/>
    <x v="2"/>
    <x v="3"/>
    <x v="4"/>
    <x v="525"/>
    <x v="2"/>
    <x v="0"/>
    <x v="0"/>
    <x v="1"/>
    <x v="0"/>
    <x v="0"/>
    <x v="0"/>
    <x v="0"/>
  </r>
  <r>
    <x v="1086"/>
    <x v="533"/>
    <x v="525"/>
    <x v="517"/>
    <x v="865"/>
    <x v="1"/>
    <x v="2"/>
    <x v="535"/>
    <x v="387"/>
    <x v="1"/>
    <x v="9"/>
    <x v="0"/>
    <x v="0"/>
    <x v="1"/>
    <x v="1"/>
    <x v="1"/>
    <x v="2"/>
    <x v="1"/>
    <x v="2"/>
    <x v="1"/>
    <x v="2"/>
    <x v="0"/>
    <x v="1"/>
    <x v="6"/>
    <x v="2"/>
    <x v="528"/>
    <x v="12"/>
    <x v="0"/>
    <x v="0"/>
    <x v="1"/>
    <x v="0"/>
    <x v="0"/>
    <x v="0"/>
    <x v="0"/>
  </r>
  <r>
    <x v="1087"/>
    <x v="223"/>
    <x v="222"/>
    <x v="219"/>
    <x v="866"/>
    <x v="1"/>
    <x v="2"/>
    <x v="233"/>
    <x v="377"/>
    <x v="6"/>
    <x v="0"/>
    <x v="0"/>
    <x v="25"/>
    <x v="1"/>
    <x v="1"/>
    <x v="1"/>
    <x v="2"/>
    <x v="1"/>
    <x v="3"/>
    <x v="1"/>
    <x v="2"/>
    <x v="0"/>
    <x v="1"/>
    <x v="4"/>
    <x v="2"/>
    <x v="223"/>
    <x v="12"/>
    <x v="0"/>
    <x v="0"/>
    <x v="1"/>
    <x v="0"/>
    <x v="0"/>
    <x v="0"/>
    <x v="0"/>
  </r>
  <r>
    <x v="1088"/>
    <x v="520"/>
    <x v="512"/>
    <x v="504"/>
    <x v="867"/>
    <x v="1"/>
    <x v="2"/>
    <x v="523"/>
    <x v="380"/>
    <x v="1"/>
    <x v="3"/>
    <x v="0"/>
    <x v="0"/>
    <x v="3"/>
    <x v="1"/>
    <x v="1"/>
    <x v="2"/>
    <x v="2"/>
    <x v="2"/>
    <x v="1"/>
    <x v="2"/>
    <x v="0"/>
    <x v="2"/>
    <x v="3"/>
    <x v="4"/>
    <x v="515"/>
    <x v="12"/>
    <x v="0"/>
    <x v="0"/>
    <x v="1"/>
    <x v="0"/>
    <x v="0"/>
    <x v="0"/>
    <x v="0"/>
  </r>
  <r>
    <x v="1089"/>
    <x v="534"/>
    <x v="526"/>
    <x v="518"/>
    <x v="868"/>
    <x v="1"/>
    <x v="1"/>
    <x v="536"/>
    <x v="388"/>
    <x v="1"/>
    <x v="36"/>
    <x v="0"/>
    <x v="0"/>
    <x v="1"/>
    <x v="1"/>
    <x v="1"/>
    <x v="2"/>
    <x v="1"/>
    <x v="2"/>
    <x v="1"/>
    <x v="2"/>
    <x v="0"/>
    <x v="1"/>
    <x v="6"/>
    <x v="2"/>
    <x v="529"/>
    <x v="12"/>
    <x v="0"/>
    <x v="0"/>
    <x v="1"/>
    <x v="0"/>
    <x v="0"/>
    <x v="0"/>
    <x v="0"/>
  </r>
  <r>
    <x v="1090"/>
    <x v="530"/>
    <x v="522"/>
    <x v="514"/>
    <x v="869"/>
    <x v="1"/>
    <x v="2"/>
    <x v="537"/>
    <x v="171"/>
    <x v="1"/>
    <x v="4"/>
    <x v="0"/>
    <x v="0"/>
    <x v="1"/>
    <x v="3"/>
    <x v="3"/>
    <x v="2"/>
    <x v="1"/>
    <x v="2"/>
    <x v="1"/>
    <x v="1"/>
    <x v="247"/>
    <x v="2"/>
    <x v="6"/>
    <x v="2"/>
    <x v="525"/>
    <x v="1"/>
    <x v="1"/>
    <x v="7"/>
    <x v="1"/>
    <x v="0"/>
    <x v="628"/>
    <x v="305"/>
    <x v="0"/>
  </r>
  <r>
    <x v="1091"/>
    <x v="193"/>
    <x v="191"/>
    <x v="189"/>
    <x v="870"/>
    <x v="1"/>
    <x v="2"/>
    <x v="202"/>
    <x v="165"/>
    <x v="1"/>
    <x v="44"/>
    <x v="0"/>
    <x v="0"/>
    <x v="1"/>
    <x v="1"/>
    <x v="1"/>
    <x v="2"/>
    <x v="1"/>
    <x v="2"/>
    <x v="1"/>
    <x v="1"/>
    <x v="247"/>
    <x v="1"/>
    <x v="1"/>
    <x v="2"/>
    <x v="191"/>
    <x v="3"/>
    <x v="1"/>
    <x v="3"/>
    <x v="1"/>
    <x v="0"/>
    <x v="629"/>
    <x v="306"/>
    <x v="318"/>
  </r>
  <r>
    <x v="1092"/>
    <x v="535"/>
    <x v="527"/>
    <x v="519"/>
    <x v="871"/>
    <x v="1"/>
    <x v="1"/>
    <x v="38"/>
    <x v="280"/>
    <x v="1"/>
    <x v="13"/>
    <x v="0"/>
    <x v="0"/>
    <x v="1"/>
    <x v="1"/>
    <x v="1"/>
    <x v="2"/>
    <x v="1"/>
    <x v="3"/>
    <x v="1"/>
    <x v="1"/>
    <x v="247"/>
    <x v="1"/>
    <x v="1"/>
    <x v="2"/>
    <x v="530"/>
    <x v="1"/>
    <x v="1"/>
    <x v="4"/>
    <x v="2"/>
    <x v="1"/>
    <x v="630"/>
    <x v="0"/>
    <x v="319"/>
  </r>
  <r>
    <x v="1093"/>
    <x v="536"/>
    <x v="528"/>
    <x v="520"/>
    <x v="872"/>
    <x v="1"/>
    <x v="2"/>
    <x v="538"/>
    <x v="203"/>
    <x v="1"/>
    <x v="15"/>
    <x v="0"/>
    <x v="0"/>
    <x v="1"/>
    <x v="1"/>
    <x v="1"/>
    <x v="2"/>
    <x v="1"/>
    <x v="2"/>
    <x v="1"/>
    <x v="1"/>
    <x v="247"/>
    <x v="1"/>
    <x v="1"/>
    <x v="2"/>
    <x v="531"/>
    <x v="12"/>
    <x v="1"/>
    <x v="3"/>
    <x v="1"/>
    <x v="0"/>
    <x v="631"/>
    <x v="0"/>
    <x v="320"/>
  </r>
  <r>
    <x v="1094"/>
    <x v="193"/>
    <x v="191"/>
    <x v="189"/>
    <x v="0"/>
    <x v="1"/>
    <x v="2"/>
    <x v="202"/>
    <x v="165"/>
    <x v="1"/>
    <x v="44"/>
    <x v="0"/>
    <x v="0"/>
    <x v="3"/>
    <x v="1"/>
    <x v="1"/>
    <x v="2"/>
    <x v="1"/>
    <x v="2"/>
    <x v="1"/>
    <x v="2"/>
    <x v="0"/>
    <x v="2"/>
    <x v="3"/>
    <x v="4"/>
    <x v="191"/>
    <x v="3"/>
    <x v="0"/>
    <x v="0"/>
    <x v="1"/>
    <x v="0"/>
    <x v="0"/>
    <x v="0"/>
    <x v="0"/>
  </r>
  <r>
    <x v="1095"/>
    <x v="535"/>
    <x v="527"/>
    <x v="519"/>
    <x v="873"/>
    <x v="1"/>
    <x v="1"/>
    <x v="38"/>
    <x v="280"/>
    <x v="1"/>
    <x v="136"/>
    <x v="0"/>
    <x v="0"/>
    <x v="3"/>
    <x v="1"/>
    <x v="1"/>
    <x v="2"/>
    <x v="1"/>
    <x v="3"/>
    <x v="1"/>
    <x v="2"/>
    <x v="0"/>
    <x v="1"/>
    <x v="3"/>
    <x v="4"/>
    <x v="530"/>
    <x v="1"/>
    <x v="0"/>
    <x v="0"/>
    <x v="1"/>
    <x v="0"/>
    <x v="0"/>
    <x v="0"/>
    <x v="0"/>
  </r>
  <r>
    <x v="1096"/>
    <x v="530"/>
    <x v="522"/>
    <x v="514"/>
    <x v="0"/>
    <x v="1"/>
    <x v="2"/>
    <x v="532"/>
    <x v="171"/>
    <x v="1"/>
    <x v="4"/>
    <x v="0"/>
    <x v="0"/>
    <x v="3"/>
    <x v="1"/>
    <x v="1"/>
    <x v="2"/>
    <x v="1"/>
    <x v="2"/>
    <x v="1"/>
    <x v="2"/>
    <x v="0"/>
    <x v="2"/>
    <x v="3"/>
    <x v="4"/>
    <x v="525"/>
    <x v="12"/>
    <x v="0"/>
    <x v="0"/>
    <x v="1"/>
    <x v="0"/>
    <x v="0"/>
    <x v="0"/>
    <x v="0"/>
  </r>
  <r>
    <x v="1097"/>
    <x v="536"/>
    <x v="528"/>
    <x v="520"/>
    <x v="0"/>
    <x v="1"/>
    <x v="2"/>
    <x v="538"/>
    <x v="203"/>
    <x v="1"/>
    <x v="15"/>
    <x v="0"/>
    <x v="0"/>
    <x v="3"/>
    <x v="1"/>
    <x v="1"/>
    <x v="2"/>
    <x v="1"/>
    <x v="2"/>
    <x v="1"/>
    <x v="2"/>
    <x v="0"/>
    <x v="2"/>
    <x v="3"/>
    <x v="4"/>
    <x v="531"/>
    <x v="3"/>
    <x v="0"/>
    <x v="0"/>
    <x v="1"/>
    <x v="0"/>
    <x v="0"/>
    <x v="0"/>
    <x v="0"/>
  </r>
  <r>
    <x v="1098"/>
    <x v="530"/>
    <x v="522"/>
    <x v="514"/>
    <x v="874"/>
    <x v="1"/>
    <x v="2"/>
    <x v="532"/>
    <x v="171"/>
    <x v="1"/>
    <x v="15"/>
    <x v="0"/>
    <x v="0"/>
    <x v="1"/>
    <x v="1"/>
    <x v="1"/>
    <x v="2"/>
    <x v="1"/>
    <x v="2"/>
    <x v="1"/>
    <x v="1"/>
    <x v="248"/>
    <x v="2"/>
    <x v="5"/>
    <x v="2"/>
    <x v="525"/>
    <x v="3"/>
    <x v="1"/>
    <x v="7"/>
    <x v="1"/>
    <x v="0"/>
    <x v="632"/>
    <x v="0"/>
    <x v="0"/>
  </r>
  <r>
    <x v="1099"/>
    <x v="537"/>
    <x v="529"/>
    <x v="521"/>
    <x v="875"/>
    <x v="3"/>
    <x v="2"/>
    <x v="539"/>
    <x v="389"/>
    <x v="1"/>
    <x v="204"/>
    <x v="0"/>
    <x v="0"/>
    <x v="1"/>
    <x v="1"/>
    <x v="1"/>
    <x v="1"/>
    <x v="1"/>
    <x v="3"/>
    <x v="1"/>
    <x v="2"/>
    <x v="0"/>
    <x v="1"/>
    <x v="5"/>
    <x v="2"/>
    <x v="532"/>
    <x v="3"/>
    <x v="0"/>
    <x v="0"/>
    <x v="1"/>
    <x v="0"/>
    <x v="0"/>
    <x v="0"/>
    <x v="0"/>
  </r>
  <r>
    <x v="1100"/>
    <x v="530"/>
    <x v="522"/>
    <x v="514"/>
    <x v="0"/>
    <x v="1"/>
    <x v="2"/>
    <x v="532"/>
    <x v="171"/>
    <x v="1"/>
    <x v="15"/>
    <x v="0"/>
    <x v="0"/>
    <x v="3"/>
    <x v="1"/>
    <x v="1"/>
    <x v="2"/>
    <x v="1"/>
    <x v="2"/>
    <x v="1"/>
    <x v="2"/>
    <x v="0"/>
    <x v="2"/>
    <x v="3"/>
    <x v="4"/>
    <x v="525"/>
    <x v="12"/>
    <x v="0"/>
    <x v="0"/>
    <x v="1"/>
    <x v="0"/>
    <x v="0"/>
    <x v="0"/>
    <x v="0"/>
  </r>
  <r>
    <x v="1101"/>
    <x v="538"/>
    <x v="530"/>
    <x v="522"/>
    <x v="876"/>
    <x v="3"/>
    <x v="3"/>
    <x v="540"/>
    <x v="343"/>
    <x v="1"/>
    <x v="2"/>
    <x v="0"/>
    <x v="0"/>
    <x v="1"/>
    <x v="2"/>
    <x v="3"/>
    <x v="2"/>
    <x v="1"/>
    <x v="2"/>
    <x v="1"/>
    <x v="1"/>
    <x v="249"/>
    <x v="1"/>
    <x v="1"/>
    <x v="2"/>
    <x v="533"/>
    <x v="5"/>
    <x v="1"/>
    <x v="1"/>
    <x v="2"/>
    <x v="1"/>
    <x v="633"/>
    <x v="307"/>
    <x v="0"/>
  </r>
  <r>
    <x v="1102"/>
    <x v="529"/>
    <x v="521"/>
    <x v="513"/>
    <x v="877"/>
    <x v="1"/>
    <x v="1"/>
    <x v="531"/>
    <x v="10"/>
    <x v="1"/>
    <x v="205"/>
    <x v="0"/>
    <x v="0"/>
    <x v="1"/>
    <x v="1"/>
    <x v="1"/>
    <x v="2"/>
    <x v="1"/>
    <x v="2"/>
    <x v="1"/>
    <x v="2"/>
    <x v="0"/>
    <x v="1"/>
    <x v="1"/>
    <x v="2"/>
    <x v="524"/>
    <x v="4"/>
    <x v="0"/>
    <x v="0"/>
    <x v="1"/>
    <x v="0"/>
    <x v="0"/>
    <x v="0"/>
    <x v="0"/>
  </r>
  <r>
    <x v="1103"/>
    <x v="539"/>
    <x v="531"/>
    <x v="523"/>
    <x v="878"/>
    <x v="1"/>
    <x v="2"/>
    <x v="541"/>
    <x v="390"/>
    <x v="1"/>
    <x v="206"/>
    <x v="0"/>
    <x v="0"/>
    <x v="1"/>
    <x v="1"/>
    <x v="1"/>
    <x v="2"/>
    <x v="2"/>
    <x v="2"/>
    <x v="1"/>
    <x v="2"/>
    <x v="0"/>
    <x v="1"/>
    <x v="1"/>
    <x v="2"/>
    <x v="534"/>
    <x v="12"/>
    <x v="0"/>
    <x v="0"/>
    <x v="1"/>
    <x v="0"/>
    <x v="0"/>
    <x v="0"/>
    <x v="0"/>
  </r>
  <r>
    <x v="1104"/>
    <x v="335"/>
    <x v="335"/>
    <x v="330"/>
    <x v="879"/>
    <x v="1"/>
    <x v="2"/>
    <x v="350"/>
    <x v="269"/>
    <x v="1"/>
    <x v="22"/>
    <x v="0"/>
    <x v="0"/>
    <x v="1"/>
    <x v="1"/>
    <x v="1"/>
    <x v="2"/>
    <x v="1"/>
    <x v="2"/>
    <x v="1"/>
    <x v="2"/>
    <x v="0"/>
    <x v="1"/>
    <x v="5"/>
    <x v="2"/>
    <x v="337"/>
    <x v="12"/>
    <x v="0"/>
    <x v="0"/>
    <x v="1"/>
    <x v="0"/>
    <x v="0"/>
    <x v="0"/>
    <x v="0"/>
  </r>
  <r>
    <x v="1105"/>
    <x v="538"/>
    <x v="530"/>
    <x v="522"/>
    <x v="880"/>
    <x v="3"/>
    <x v="3"/>
    <x v="540"/>
    <x v="391"/>
    <x v="1"/>
    <x v="2"/>
    <x v="0"/>
    <x v="0"/>
    <x v="3"/>
    <x v="3"/>
    <x v="2"/>
    <x v="2"/>
    <x v="1"/>
    <x v="2"/>
    <x v="1"/>
    <x v="1"/>
    <x v="249"/>
    <x v="2"/>
    <x v="3"/>
    <x v="4"/>
    <x v="533"/>
    <x v="5"/>
    <x v="1"/>
    <x v="2"/>
    <x v="2"/>
    <x v="1"/>
    <x v="634"/>
    <x v="0"/>
    <x v="0"/>
  </r>
  <r>
    <x v="1106"/>
    <x v="538"/>
    <x v="530"/>
    <x v="522"/>
    <x v="881"/>
    <x v="3"/>
    <x v="3"/>
    <x v="542"/>
    <x v="392"/>
    <x v="1"/>
    <x v="2"/>
    <x v="0"/>
    <x v="0"/>
    <x v="3"/>
    <x v="1"/>
    <x v="1"/>
    <x v="2"/>
    <x v="1"/>
    <x v="2"/>
    <x v="1"/>
    <x v="1"/>
    <x v="250"/>
    <x v="2"/>
    <x v="3"/>
    <x v="4"/>
    <x v="533"/>
    <x v="4"/>
    <x v="3"/>
    <x v="0"/>
    <x v="1"/>
    <x v="0"/>
    <x v="635"/>
    <x v="0"/>
    <x v="0"/>
  </r>
  <r>
    <x v="1107"/>
    <x v="540"/>
    <x v="532"/>
    <x v="524"/>
    <x v="882"/>
    <x v="1"/>
    <x v="2"/>
    <x v="543"/>
    <x v="393"/>
    <x v="1"/>
    <x v="2"/>
    <x v="0"/>
    <x v="0"/>
    <x v="1"/>
    <x v="1"/>
    <x v="1"/>
    <x v="2"/>
    <x v="1"/>
    <x v="3"/>
    <x v="1"/>
    <x v="1"/>
    <x v="251"/>
    <x v="1"/>
    <x v="5"/>
    <x v="2"/>
    <x v="535"/>
    <x v="5"/>
    <x v="1"/>
    <x v="7"/>
    <x v="2"/>
    <x v="1"/>
    <x v="636"/>
    <x v="0"/>
    <x v="211"/>
  </r>
  <r>
    <x v="1108"/>
    <x v="541"/>
    <x v="533"/>
    <x v="525"/>
    <x v="883"/>
    <x v="1"/>
    <x v="2"/>
    <x v="171"/>
    <x v="394"/>
    <x v="1"/>
    <x v="207"/>
    <x v="0"/>
    <x v="0"/>
    <x v="1"/>
    <x v="1"/>
    <x v="1"/>
    <x v="1"/>
    <x v="2"/>
    <x v="2"/>
    <x v="1"/>
    <x v="2"/>
    <x v="0"/>
    <x v="1"/>
    <x v="6"/>
    <x v="2"/>
    <x v="536"/>
    <x v="12"/>
    <x v="0"/>
    <x v="0"/>
    <x v="1"/>
    <x v="0"/>
    <x v="0"/>
    <x v="0"/>
    <x v="0"/>
  </r>
  <r>
    <x v="1109"/>
    <x v="502"/>
    <x v="494"/>
    <x v="487"/>
    <x v="884"/>
    <x v="2"/>
    <x v="1"/>
    <x v="503"/>
    <x v="369"/>
    <x v="1"/>
    <x v="9"/>
    <x v="0"/>
    <x v="0"/>
    <x v="1"/>
    <x v="1"/>
    <x v="1"/>
    <x v="2"/>
    <x v="2"/>
    <x v="1"/>
    <x v="1"/>
    <x v="2"/>
    <x v="0"/>
    <x v="1"/>
    <x v="6"/>
    <x v="2"/>
    <x v="497"/>
    <x v="12"/>
    <x v="0"/>
    <x v="0"/>
    <x v="1"/>
    <x v="0"/>
    <x v="0"/>
    <x v="0"/>
    <x v="0"/>
  </r>
  <r>
    <x v="1110"/>
    <x v="540"/>
    <x v="532"/>
    <x v="524"/>
    <x v="885"/>
    <x v="1"/>
    <x v="2"/>
    <x v="543"/>
    <x v="393"/>
    <x v="1"/>
    <x v="208"/>
    <x v="0"/>
    <x v="0"/>
    <x v="3"/>
    <x v="1"/>
    <x v="1"/>
    <x v="2"/>
    <x v="1"/>
    <x v="2"/>
    <x v="1"/>
    <x v="2"/>
    <x v="0"/>
    <x v="1"/>
    <x v="3"/>
    <x v="4"/>
    <x v="535"/>
    <x v="12"/>
    <x v="0"/>
    <x v="0"/>
    <x v="1"/>
    <x v="0"/>
    <x v="0"/>
    <x v="0"/>
    <x v="0"/>
  </r>
  <r>
    <x v="1111"/>
    <x v="542"/>
    <x v="534"/>
    <x v="526"/>
    <x v="886"/>
    <x v="1"/>
    <x v="2"/>
    <x v="544"/>
    <x v="171"/>
    <x v="2"/>
    <x v="0"/>
    <x v="2"/>
    <x v="0"/>
    <x v="1"/>
    <x v="1"/>
    <x v="1"/>
    <x v="2"/>
    <x v="1"/>
    <x v="2"/>
    <x v="1"/>
    <x v="1"/>
    <x v="250"/>
    <x v="1"/>
    <x v="6"/>
    <x v="2"/>
    <x v="537"/>
    <x v="5"/>
    <x v="1"/>
    <x v="1"/>
    <x v="1"/>
    <x v="0"/>
    <x v="637"/>
    <x v="0"/>
    <x v="0"/>
  </r>
  <r>
    <x v="1112"/>
    <x v="542"/>
    <x v="534"/>
    <x v="526"/>
    <x v="886"/>
    <x v="1"/>
    <x v="2"/>
    <x v="544"/>
    <x v="171"/>
    <x v="2"/>
    <x v="0"/>
    <x v="2"/>
    <x v="0"/>
    <x v="3"/>
    <x v="2"/>
    <x v="3"/>
    <x v="2"/>
    <x v="1"/>
    <x v="2"/>
    <x v="1"/>
    <x v="1"/>
    <x v="252"/>
    <x v="1"/>
    <x v="3"/>
    <x v="4"/>
    <x v="537"/>
    <x v="5"/>
    <x v="3"/>
    <x v="0"/>
    <x v="1"/>
    <x v="0"/>
    <x v="638"/>
    <x v="308"/>
    <x v="0"/>
  </r>
  <r>
    <x v="1113"/>
    <x v="543"/>
    <x v="535"/>
    <x v="527"/>
    <x v="887"/>
    <x v="3"/>
    <x v="1"/>
    <x v="545"/>
    <x v="395"/>
    <x v="2"/>
    <x v="0"/>
    <x v="6"/>
    <x v="0"/>
    <x v="1"/>
    <x v="2"/>
    <x v="3"/>
    <x v="2"/>
    <x v="1"/>
    <x v="2"/>
    <x v="1"/>
    <x v="1"/>
    <x v="252"/>
    <x v="1"/>
    <x v="6"/>
    <x v="2"/>
    <x v="538"/>
    <x v="5"/>
    <x v="1"/>
    <x v="7"/>
    <x v="1"/>
    <x v="0"/>
    <x v="639"/>
    <x v="309"/>
    <x v="0"/>
  </r>
  <r>
    <x v="1114"/>
    <x v="530"/>
    <x v="522"/>
    <x v="514"/>
    <x v="888"/>
    <x v="1"/>
    <x v="2"/>
    <x v="532"/>
    <x v="171"/>
    <x v="2"/>
    <x v="0"/>
    <x v="2"/>
    <x v="0"/>
    <x v="1"/>
    <x v="1"/>
    <x v="1"/>
    <x v="2"/>
    <x v="1"/>
    <x v="2"/>
    <x v="1"/>
    <x v="1"/>
    <x v="252"/>
    <x v="2"/>
    <x v="6"/>
    <x v="2"/>
    <x v="525"/>
    <x v="5"/>
    <x v="1"/>
    <x v="7"/>
    <x v="1"/>
    <x v="0"/>
    <x v="640"/>
    <x v="0"/>
    <x v="0"/>
  </r>
  <r>
    <x v="1115"/>
    <x v="544"/>
    <x v="536"/>
    <x v="528"/>
    <x v="889"/>
    <x v="3"/>
    <x v="2"/>
    <x v="546"/>
    <x v="10"/>
    <x v="1"/>
    <x v="4"/>
    <x v="0"/>
    <x v="0"/>
    <x v="1"/>
    <x v="3"/>
    <x v="3"/>
    <x v="2"/>
    <x v="1"/>
    <x v="2"/>
    <x v="1"/>
    <x v="1"/>
    <x v="252"/>
    <x v="1"/>
    <x v="6"/>
    <x v="2"/>
    <x v="539"/>
    <x v="5"/>
    <x v="1"/>
    <x v="7"/>
    <x v="1"/>
    <x v="0"/>
    <x v="641"/>
    <x v="0"/>
    <x v="0"/>
  </r>
  <r>
    <x v="1116"/>
    <x v="530"/>
    <x v="522"/>
    <x v="514"/>
    <x v="0"/>
    <x v="1"/>
    <x v="2"/>
    <x v="532"/>
    <x v="171"/>
    <x v="1"/>
    <x v="15"/>
    <x v="0"/>
    <x v="0"/>
    <x v="3"/>
    <x v="1"/>
    <x v="1"/>
    <x v="2"/>
    <x v="1"/>
    <x v="2"/>
    <x v="1"/>
    <x v="2"/>
    <x v="0"/>
    <x v="2"/>
    <x v="3"/>
    <x v="4"/>
    <x v="525"/>
    <x v="12"/>
    <x v="0"/>
    <x v="0"/>
    <x v="1"/>
    <x v="0"/>
    <x v="0"/>
    <x v="0"/>
    <x v="0"/>
  </r>
  <r>
    <x v="1117"/>
    <x v="303"/>
    <x v="304"/>
    <x v="529"/>
    <x v="890"/>
    <x v="1"/>
    <x v="2"/>
    <x v="317"/>
    <x v="396"/>
    <x v="1"/>
    <x v="209"/>
    <x v="0"/>
    <x v="0"/>
    <x v="1"/>
    <x v="1"/>
    <x v="1"/>
    <x v="2"/>
    <x v="1"/>
    <x v="2"/>
    <x v="1"/>
    <x v="2"/>
    <x v="0"/>
    <x v="1"/>
    <x v="6"/>
    <x v="2"/>
    <x v="540"/>
    <x v="12"/>
    <x v="0"/>
    <x v="0"/>
    <x v="1"/>
    <x v="0"/>
    <x v="0"/>
    <x v="0"/>
    <x v="0"/>
  </r>
  <r>
    <x v="1118"/>
    <x v="545"/>
    <x v="537"/>
    <x v="530"/>
    <x v="891"/>
    <x v="1"/>
    <x v="2"/>
    <x v="504"/>
    <x v="379"/>
    <x v="1"/>
    <x v="15"/>
    <x v="0"/>
    <x v="0"/>
    <x v="1"/>
    <x v="3"/>
    <x v="3"/>
    <x v="1"/>
    <x v="2"/>
    <x v="1"/>
    <x v="1"/>
    <x v="1"/>
    <x v="253"/>
    <x v="1"/>
    <x v="6"/>
    <x v="2"/>
    <x v="541"/>
    <x v="12"/>
    <x v="3"/>
    <x v="0"/>
    <x v="1"/>
    <x v="0"/>
    <x v="642"/>
    <x v="0"/>
    <x v="321"/>
  </r>
  <r>
    <x v="1119"/>
    <x v="546"/>
    <x v="538"/>
    <x v="531"/>
    <x v="892"/>
    <x v="1"/>
    <x v="1"/>
    <x v="547"/>
    <x v="397"/>
    <x v="1"/>
    <x v="210"/>
    <x v="0"/>
    <x v="0"/>
    <x v="1"/>
    <x v="3"/>
    <x v="3"/>
    <x v="2"/>
    <x v="2"/>
    <x v="2"/>
    <x v="1"/>
    <x v="1"/>
    <x v="253"/>
    <x v="1"/>
    <x v="6"/>
    <x v="2"/>
    <x v="542"/>
    <x v="12"/>
    <x v="1"/>
    <x v="1"/>
    <x v="2"/>
    <x v="1"/>
    <x v="643"/>
    <x v="0"/>
    <x v="322"/>
  </r>
  <r>
    <x v="1120"/>
    <x v="547"/>
    <x v="539"/>
    <x v="532"/>
    <x v="893"/>
    <x v="3"/>
    <x v="2"/>
    <x v="548"/>
    <x v="346"/>
    <x v="1"/>
    <x v="211"/>
    <x v="0"/>
    <x v="0"/>
    <x v="1"/>
    <x v="3"/>
    <x v="4"/>
    <x v="2"/>
    <x v="1"/>
    <x v="2"/>
    <x v="1"/>
    <x v="1"/>
    <x v="253"/>
    <x v="1"/>
    <x v="6"/>
    <x v="2"/>
    <x v="543"/>
    <x v="12"/>
    <x v="3"/>
    <x v="0"/>
    <x v="1"/>
    <x v="0"/>
    <x v="644"/>
    <x v="0"/>
    <x v="323"/>
  </r>
  <r>
    <x v="1121"/>
    <x v="544"/>
    <x v="536"/>
    <x v="528"/>
    <x v="894"/>
    <x v="3"/>
    <x v="2"/>
    <x v="546"/>
    <x v="165"/>
    <x v="1"/>
    <x v="4"/>
    <x v="0"/>
    <x v="0"/>
    <x v="3"/>
    <x v="1"/>
    <x v="1"/>
    <x v="2"/>
    <x v="1"/>
    <x v="2"/>
    <x v="1"/>
    <x v="2"/>
    <x v="0"/>
    <x v="2"/>
    <x v="3"/>
    <x v="4"/>
    <x v="539"/>
    <x v="12"/>
    <x v="0"/>
    <x v="0"/>
    <x v="1"/>
    <x v="0"/>
    <x v="0"/>
    <x v="0"/>
    <x v="0"/>
  </r>
  <r>
    <x v="1122"/>
    <x v="543"/>
    <x v="535"/>
    <x v="527"/>
    <x v="0"/>
    <x v="3"/>
    <x v="1"/>
    <x v="545"/>
    <x v="395"/>
    <x v="1"/>
    <x v="15"/>
    <x v="0"/>
    <x v="0"/>
    <x v="3"/>
    <x v="1"/>
    <x v="1"/>
    <x v="2"/>
    <x v="1"/>
    <x v="2"/>
    <x v="1"/>
    <x v="2"/>
    <x v="0"/>
    <x v="2"/>
    <x v="3"/>
    <x v="4"/>
    <x v="538"/>
    <x v="12"/>
    <x v="0"/>
    <x v="0"/>
    <x v="1"/>
    <x v="0"/>
    <x v="0"/>
    <x v="0"/>
    <x v="0"/>
  </r>
  <r>
    <x v="1123"/>
    <x v="548"/>
    <x v="540"/>
    <x v="533"/>
    <x v="895"/>
    <x v="3"/>
    <x v="2"/>
    <x v="549"/>
    <x v="206"/>
    <x v="2"/>
    <x v="0"/>
    <x v="5"/>
    <x v="0"/>
    <x v="1"/>
    <x v="2"/>
    <x v="3"/>
    <x v="2"/>
    <x v="1"/>
    <x v="2"/>
    <x v="1"/>
    <x v="1"/>
    <x v="254"/>
    <x v="1"/>
    <x v="6"/>
    <x v="2"/>
    <x v="544"/>
    <x v="5"/>
    <x v="1"/>
    <x v="1"/>
    <x v="1"/>
    <x v="0"/>
    <x v="645"/>
    <x v="0"/>
    <x v="0"/>
  </r>
  <r>
    <x v="1124"/>
    <x v="546"/>
    <x v="538"/>
    <x v="531"/>
    <x v="896"/>
    <x v="1"/>
    <x v="1"/>
    <x v="547"/>
    <x v="397"/>
    <x v="1"/>
    <x v="212"/>
    <x v="0"/>
    <x v="0"/>
    <x v="3"/>
    <x v="1"/>
    <x v="1"/>
    <x v="2"/>
    <x v="1"/>
    <x v="2"/>
    <x v="1"/>
    <x v="2"/>
    <x v="0"/>
    <x v="1"/>
    <x v="3"/>
    <x v="4"/>
    <x v="542"/>
    <x v="5"/>
    <x v="0"/>
    <x v="0"/>
    <x v="1"/>
    <x v="0"/>
    <x v="0"/>
    <x v="0"/>
    <x v="0"/>
  </r>
  <r>
    <x v="1125"/>
    <x v="549"/>
    <x v="541"/>
    <x v="534"/>
    <x v="897"/>
    <x v="1"/>
    <x v="2"/>
    <x v="550"/>
    <x v="398"/>
    <x v="1"/>
    <x v="9"/>
    <x v="0"/>
    <x v="0"/>
    <x v="1"/>
    <x v="1"/>
    <x v="1"/>
    <x v="2"/>
    <x v="1"/>
    <x v="2"/>
    <x v="1"/>
    <x v="1"/>
    <x v="254"/>
    <x v="1"/>
    <x v="6"/>
    <x v="2"/>
    <x v="545"/>
    <x v="5"/>
    <x v="1"/>
    <x v="1"/>
    <x v="1"/>
    <x v="0"/>
    <x v="646"/>
    <x v="0"/>
    <x v="194"/>
  </r>
  <r>
    <x v="1126"/>
    <x v="548"/>
    <x v="540"/>
    <x v="533"/>
    <x v="0"/>
    <x v="3"/>
    <x v="2"/>
    <x v="549"/>
    <x v="206"/>
    <x v="2"/>
    <x v="0"/>
    <x v="5"/>
    <x v="0"/>
    <x v="3"/>
    <x v="4"/>
    <x v="1"/>
    <x v="2"/>
    <x v="1"/>
    <x v="2"/>
    <x v="1"/>
    <x v="2"/>
    <x v="0"/>
    <x v="2"/>
    <x v="3"/>
    <x v="4"/>
    <x v="544"/>
    <x v="5"/>
    <x v="0"/>
    <x v="0"/>
    <x v="1"/>
    <x v="0"/>
    <x v="0"/>
    <x v="0"/>
    <x v="0"/>
  </r>
  <r>
    <x v="1127"/>
    <x v="550"/>
    <x v="542"/>
    <x v="535"/>
    <x v="898"/>
    <x v="1"/>
    <x v="1"/>
    <x v="551"/>
    <x v="280"/>
    <x v="1"/>
    <x v="8"/>
    <x v="0"/>
    <x v="0"/>
    <x v="1"/>
    <x v="1"/>
    <x v="1"/>
    <x v="2"/>
    <x v="1"/>
    <x v="2"/>
    <x v="1"/>
    <x v="1"/>
    <x v="255"/>
    <x v="1"/>
    <x v="6"/>
    <x v="2"/>
    <x v="546"/>
    <x v="5"/>
    <x v="3"/>
    <x v="0"/>
    <x v="1"/>
    <x v="0"/>
    <x v="647"/>
    <x v="0"/>
    <x v="211"/>
  </r>
  <r>
    <x v="1128"/>
    <x v="549"/>
    <x v="541"/>
    <x v="534"/>
    <x v="899"/>
    <x v="1"/>
    <x v="2"/>
    <x v="550"/>
    <x v="398"/>
    <x v="1"/>
    <x v="9"/>
    <x v="0"/>
    <x v="0"/>
    <x v="3"/>
    <x v="1"/>
    <x v="1"/>
    <x v="2"/>
    <x v="1"/>
    <x v="2"/>
    <x v="1"/>
    <x v="2"/>
    <x v="0"/>
    <x v="2"/>
    <x v="3"/>
    <x v="4"/>
    <x v="545"/>
    <x v="5"/>
    <x v="0"/>
    <x v="0"/>
    <x v="1"/>
    <x v="0"/>
    <x v="0"/>
    <x v="0"/>
    <x v="0"/>
  </r>
  <r>
    <x v="1129"/>
    <x v="551"/>
    <x v="543"/>
    <x v="536"/>
    <x v="900"/>
    <x v="1"/>
    <x v="2"/>
    <x v="552"/>
    <x v="196"/>
    <x v="6"/>
    <x v="0"/>
    <x v="0"/>
    <x v="26"/>
    <x v="1"/>
    <x v="3"/>
    <x v="3"/>
    <x v="2"/>
    <x v="1"/>
    <x v="2"/>
    <x v="1"/>
    <x v="1"/>
    <x v="256"/>
    <x v="1"/>
    <x v="6"/>
    <x v="2"/>
    <x v="547"/>
    <x v="5"/>
    <x v="1"/>
    <x v="2"/>
    <x v="1"/>
    <x v="0"/>
    <x v="648"/>
    <x v="0"/>
    <x v="0"/>
  </r>
  <r>
    <x v="1130"/>
    <x v="551"/>
    <x v="543"/>
    <x v="536"/>
    <x v="0"/>
    <x v="1"/>
    <x v="2"/>
    <x v="552"/>
    <x v="196"/>
    <x v="6"/>
    <x v="0"/>
    <x v="0"/>
    <x v="26"/>
    <x v="3"/>
    <x v="1"/>
    <x v="1"/>
    <x v="2"/>
    <x v="1"/>
    <x v="2"/>
    <x v="1"/>
    <x v="2"/>
    <x v="0"/>
    <x v="2"/>
    <x v="3"/>
    <x v="4"/>
    <x v="547"/>
    <x v="4"/>
    <x v="0"/>
    <x v="0"/>
    <x v="1"/>
    <x v="0"/>
    <x v="0"/>
    <x v="0"/>
    <x v="0"/>
  </r>
  <r>
    <x v="1131"/>
    <x v="552"/>
    <x v="544"/>
    <x v="537"/>
    <x v="901"/>
    <x v="3"/>
    <x v="2"/>
    <x v="553"/>
    <x v="360"/>
    <x v="1"/>
    <x v="213"/>
    <x v="0"/>
    <x v="0"/>
    <x v="1"/>
    <x v="2"/>
    <x v="3"/>
    <x v="2"/>
    <x v="1"/>
    <x v="1"/>
    <x v="1"/>
    <x v="1"/>
    <x v="257"/>
    <x v="1"/>
    <x v="5"/>
    <x v="3"/>
    <x v="548"/>
    <x v="1"/>
    <x v="3"/>
    <x v="0"/>
    <x v="1"/>
    <x v="0"/>
    <x v="649"/>
    <x v="310"/>
    <x v="0"/>
  </r>
  <r>
    <x v="1132"/>
    <x v="553"/>
    <x v="545"/>
    <x v="538"/>
    <x v="902"/>
    <x v="1"/>
    <x v="2"/>
    <x v="554"/>
    <x v="208"/>
    <x v="1"/>
    <x v="214"/>
    <x v="0"/>
    <x v="0"/>
    <x v="1"/>
    <x v="1"/>
    <x v="2"/>
    <x v="1"/>
    <x v="1"/>
    <x v="2"/>
    <x v="1"/>
    <x v="1"/>
    <x v="257"/>
    <x v="1"/>
    <x v="5"/>
    <x v="2"/>
    <x v="549"/>
    <x v="5"/>
    <x v="3"/>
    <x v="0"/>
    <x v="1"/>
    <x v="0"/>
    <x v="650"/>
    <x v="311"/>
    <x v="324"/>
  </r>
  <r>
    <x v="1133"/>
    <x v="554"/>
    <x v="546"/>
    <x v="539"/>
    <x v="903"/>
    <x v="1"/>
    <x v="2"/>
    <x v="555"/>
    <x v="238"/>
    <x v="1"/>
    <x v="8"/>
    <x v="0"/>
    <x v="0"/>
    <x v="1"/>
    <x v="1"/>
    <x v="1"/>
    <x v="2"/>
    <x v="1"/>
    <x v="2"/>
    <x v="1"/>
    <x v="1"/>
    <x v="258"/>
    <x v="1"/>
    <x v="2"/>
    <x v="2"/>
    <x v="550"/>
    <x v="1"/>
    <x v="3"/>
    <x v="0"/>
    <x v="1"/>
    <x v="0"/>
    <x v="651"/>
    <x v="0"/>
    <x v="0"/>
  </r>
  <r>
    <x v="1134"/>
    <x v="555"/>
    <x v="547"/>
    <x v="540"/>
    <x v="904"/>
    <x v="3"/>
    <x v="2"/>
    <x v="556"/>
    <x v="399"/>
    <x v="1"/>
    <x v="9"/>
    <x v="0"/>
    <x v="0"/>
    <x v="1"/>
    <x v="1"/>
    <x v="1"/>
    <x v="2"/>
    <x v="2"/>
    <x v="1"/>
    <x v="1"/>
    <x v="2"/>
    <x v="0"/>
    <x v="1"/>
    <x v="4"/>
    <x v="2"/>
    <x v="551"/>
    <x v="12"/>
    <x v="0"/>
    <x v="0"/>
    <x v="1"/>
    <x v="0"/>
    <x v="0"/>
    <x v="0"/>
    <x v="0"/>
  </r>
  <r>
    <x v="1135"/>
    <x v="556"/>
    <x v="548"/>
    <x v="541"/>
    <x v="905"/>
    <x v="1"/>
    <x v="3"/>
    <x v="152"/>
    <x v="352"/>
    <x v="1"/>
    <x v="15"/>
    <x v="0"/>
    <x v="0"/>
    <x v="1"/>
    <x v="1"/>
    <x v="1"/>
    <x v="2"/>
    <x v="1"/>
    <x v="2"/>
    <x v="1"/>
    <x v="2"/>
    <x v="0"/>
    <x v="1"/>
    <x v="1"/>
    <x v="2"/>
    <x v="552"/>
    <x v="12"/>
    <x v="0"/>
    <x v="0"/>
    <x v="1"/>
    <x v="0"/>
    <x v="0"/>
    <x v="0"/>
    <x v="0"/>
  </r>
  <r>
    <x v="1136"/>
    <x v="557"/>
    <x v="549"/>
    <x v="542"/>
    <x v="906"/>
    <x v="1"/>
    <x v="2"/>
    <x v="557"/>
    <x v="315"/>
    <x v="1"/>
    <x v="215"/>
    <x v="0"/>
    <x v="0"/>
    <x v="1"/>
    <x v="1"/>
    <x v="1"/>
    <x v="2"/>
    <x v="1"/>
    <x v="3"/>
    <x v="1"/>
    <x v="2"/>
    <x v="0"/>
    <x v="2"/>
    <x v="1"/>
    <x v="5"/>
    <x v="553"/>
    <x v="1"/>
    <x v="0"/>
    <x v="0"/>
    <x v="1"/>
    <x v="0"/>
    <x v="0"/>
    <x v="0"/>
    <x v="0"/>
  </r>
  <r>
    <x v="1137"/>
    <x v="555"/>
    <x v="547"/>
    <x v="540"/>
    <x v="907"/>
    <x v="3"/>
    <x v="2"/>
    <x v="556"/>
    <x v="399"/>
    <x v="1"/>
    <x v="9"/>
    <x v="0"/>
    <x v="0"/>
    <x v="1"/>
    <x v="3"/>
    <x v="3"/>
    <x v="2"/>
    <x v="2"/>
    <x v="2"/>
    <x v="1"/>
    <x v="1"/>
    <x v="259"/>
    <x v="1"/>
    <x v="6"/>
    <x v="2"/>
    <x v="551"/>
    <x v="5"/>
    <x v="1"/>
    <x v="7"/>
    <x v="2"/>
    <x v="1"/>
    <x v="638"/>
    <x v="312"/>
    <x v="325"/>
  </r>
  <r>
    <x v="1138"/>
    <x v="558"/>
    <x v="550"/>
    <x v="543"/>
    <x v="908"/>
    <x v="3"/>
    <x v="1"/>
    <x v="558"/>
    <x v="298"/>
    <x v="1"/>
    <x v="216"/>
    <x v="0"/>
    <x v="0"/>
    <x v="1"/>
    <x v="3"/>
    <x v="3"/>
    <x v="2"/>
    <x v="1"/>
    <x v="2"/>
    <x v="1"/>
    <x v="1"/>
    <x v="259"/>
    <x v="1"/>
    <x v="6"/>
    <x v="2"/>
    <x v="554"/>
    <x v="5"/>
    <x v="3"/>
    <x v="0"/>
    <x v="1"/>
    <x v="0"/>
    <x v="639"/>
    <x v="313"/>
    <x v="326"/>
  </r>
  <r>
    <x v="1139"/>
    <x v="559"/>
    <x v="551"/>
    <x v="544"/>
    <x v="909"/>
    <x v="3"/>
    <x v="2"/>
    <x v="559"/>
    <x v="358"/>
    <x v="2"/>
    <x v="0"/>
    <x v="5"/>
    <x v="0"/>
    <x v="1"/>
    <x v="3"/>
    <x v="3"/>
    <x v="2"/>
    <x v="1"/>
    <x v="1"/>
    <x v="1"/>
    <x v="1"/>
    <x v="260"/>
    <x v="1"/>
    <x v="6"/>
    <x v="2"/>
    <x v="555"/>
    <x v="12"/>
    <x v="1"/>
    <x v="3"/>
    <x v="1"/>
    <x v="0"/>
    <x v="652"/>
    <x v="314"/>
    <x v="0"/>
  </r>
  <r>
    <x v="1140"/>
    <x v="555"/>
    <x v="547"/>
    <x v="540"/>
    <x v="910"/>
    <x v="3"/>
    <x v="2"/>
    <x v="556"/>
    <x v="399"/>
    <x v="1"/>
    <x v="9"/>
    <x v="0"/>
    <x v="0"/>
    <x v="3"/>
    <x v="1"/>
    <x v="1"/>
    <x v="2"/>
    <x v="2"/>
    <x v="2"/>
    <x v="1"/>
    <x v="1"/>
    <x v="261"/>
    <x v="1"/>
    <x v="3"/>
    <x v="4"/>
    <x v="551"/>
    <x v="12"/>
    <x v="1"/>
    <x v="4"/>
    <x v="2"/>
    <x v="1"/>
    <x v="653"/>
    <x v="315"/>
    <x v="327"/>
  </r>
  <r>
    <x v="1141"/>
    <x v="557"/>
    <x v="549"/>
    <x v="542"/>
    <x v="911"/>
    <x v="1"/>
    <x v="2"/>
    <x v="557"/>
    <x v="171"/>
    <x v="1"/>
    <x v="4"/>
    <x v="0"/>
    <x v="0"/>
    <x v="1"/>
    <x v="1"/>
    <x v="1"/>
    <x v="1"/>
    <x v="1"/>
    <x v="2"/>
    <x v="1"/>
    <x v="1"/>
    <x v="260"/>
    <x v="2"/>
    <x v="1"/>
    <x v="2"/>
    <x v="556"/>
    <x v="3"/>
    <x v="1"/>
    <x v="3"/>
    <x v="1"/>
    <x v="0"/>
    <x v="654"/>
    <x v="316"/>
    <x v="328"/>
  </r>
  <r>
    <x v="1142"/>
    <x v="200"/>
    <x v="198"/>
    <x v="196"/>
    <x v="912"/>
    <x v="1"/>
    <x v="3"/>
    <x v="209"/>
    <x v="10"/>
    <x v="1"/>
    <x v="15"/>
    <x v="0"/>
    <x v="0"/>
    <x v="1"/>
    <x v="3"/>
    <x v="3"/>
    <x v="2"/>
    <x v="1"/>
    <x v="2"/>
    <x v="1"/>
    <x v="1"/>
    <x v="261"/>
    <x v="1"/>
    <x v="1"/>
    <x v="1"/>
    <x v="556"/>
    <x v="2"/>
    <x v="1"/>
    <x v="4"/>
    <x v="1"/>
    <x v="0"/>
    <x v="655"/>
    <x v="317"/>
    <x v="0"/>
  </r>
  <r>
    <x v="1143"/>
    <x v="559"/>
    <x v="551"/>
    <x v="544"/>
    <x v="0"/>
    <x v="3"/>
    <x v="2"/>
    <x v="559"/>
    <x v="358"/>
    <x v="1"/>
    <x v="217"/>
    <x v="0"/>
    <x v="0"/>
    <x v="3"/>
    <x v="1"/>
    <x v="1"/>
    <x v="2"/>
    <x v="1"/>
    <x v="2"/>
    <x v="1"/>
    <x v="2"/>
    <x v="0"/>
    <x v="2"/>
    <x v="3"/>
    <x v="4"/>
    <x v="555"/>
    <x v="3"/>
    <x v="0"/>
    <x v="0"/>
    <x v="1"/>
    <x v="0"/>
    <x v="0"/>
    <x v="0"/>
    <x v="0"/>
  </r>
  <r>
    <x v="1144"/>
    <x v="557"/>
    <x v="549"/>
    <x v="542"/>
    <x v="913"/>
    <x v="1"/>
    <x v="2"/>
    <x v="557"/>
    <x v="400"/>
    <x v="1"/>
    <x v="4"/>
    <x v="0"/>
    <x v="0"/>
    <x v="3"/>
    <x v="3"/>
    <x v="3"/>
    <x v="1"/>
    <x v="1"/>
    <x v="2"/>
    <x v="1"/>
    <x v="1"/>
    <x v="261"/>
    <x v="2"/>
    <x v="3"/>
    <x v="4"/>
    <x v="556"/>
    <x v="3"/>
    <x v="3"/>
    <x v="0"/>
    <x v="1"/>
    <x v="0"/>
    <x v="656"/>
    <x v="318"/>
    <x v="0"/>
  </r>
  <r>
    <x v="1145"/>
    <x v="499"/>
    <x v="491"/>
    <x v="484"/>
    <x v="914"/>
    <x v="1"/>
    <x v="2"/>
    <x v="500"/>
    <x v="323"/>
    <x v="1"/>
    <x v="2"/>
    <x v="0"/>
    <x v="0"/>
    <x v="1"/>
    <x v="1"/>
    <x v="1"/>
    <x v="2"/>
    <x v="1"/>
    <x v="3"/>
    <x v="2"/>
    <x v="1"/>
    <x v="261"/>
    <x v="1"/>
    <x v="5"/>
    <x v="2"/>
    <x v="494"/>
    <x v="3"/>
    <x v="1"/>
    <x v="3"/>
    <x v="1"/>
    <x v="0"/>
    <x v="657"/>
    <x v="319"/>
    <x v="329"/>
  </r>
  <r>
    <x v="1146"/>
    <x v="464"/>
    <x v="460"/>
    <x v="454"/>
    <x v="915"/>
    <x v="1"/>
    <x v="2"/>
    <x v="469"/>
    <x v="373"/>
    <x v="1"/>
    <x v="44"/>
    <x v="0"/>
    <x v="0"/>
    <x v="1"/>
    <x v="1"/>
    <x v="1"/>
    <x v="2"/>
    <x v="1"/>
    <x v="2"/>
    <x v="1"/>
    <x v="2"/>
    <x v="0"/>
    <x v="1"/>
    <x v="1"/>
    <x v="2"/>
    <x v="462"/>
    <x v="3"/>
    <x v="0"/>
    <x v="0"/>
    <x v="1"/>
    <x v="0"/>
    <x v="0"/>
    <x v="0"/>
    <x v="0"/>
  </r>
  <r>
    <x v="1147"/>
    <x v="560"/>
    <x v="552"/>
    <x v="545"/>
    <x v="916"/>
    <x v="1"/>
    <x v="2"/>
    <x v="560"/>
    <x v="401"/>
    <x v="1"/>
    <x v="138"/>
    <x v="0"/>
    <x v="0"/>
    <x v="1"/>
    <x v="3"/>
    <x v="3"/>
    <x v="2"/>
    <x v="1"/>
    <x v="2"/>
    <x v="1"/>
    <x v="1"/>
    <x v="262"/>
    <x v="1"/>
    <x v="1"/>
    <x v="2"/>
    <x v="557"/>
    <x v="2"/>
    <x v="1"/>
    <x v="4"/>
    <x v="2"/>
    <x v="1"/>
    <x v="658"/>
    <x v="320"/>
    <x v="0"/>
  </r>
  <r>
    <x v="1148"/>
    <x v="555"/>
    <x v="547"/>
    <x v="540"/>
    <x v="917"/>
    <x v="3"/>
    <x v="2"/>
    <x v="556"/>
    <x v="402"/>
    <x v="1"/>
    <x v="9"/>
    <x v="0"/>
    <x v="0"/>
    <x v="3"/>
    <x v="3"/>
    <x v="3"/>
    <x v="2"/>
    <x v="1"/>
    <x v="2"/>
    <x v="2"/>
    <x v="1"/>
    <x v="262"/>
    <x v="1"/>
    <x v="3"/>
    <x v="4"/>
    <x v="551"/>
    <x v="1"/>
    <x v="1"/>
    <x v="1"/>
    <x v="1"/>
    <x v="0"/>
    <x v="659"/>
    <x v="321"/>
    <x v="0"/>
  </r>
  <r>
    <x v="1149"/>
    <x v="200"/>
    <x v="198"/>
    <x v="196"/>
    <x v="0"/>
    <x v="1"/>
    <x v="3"/>
    <x v="209"/>
    <x v="403"/>
    <x v="1"/>
    <x v="15"/>
    <x v="0"/>
    <x v="0"/>
    <x v="3"/>
    <x v="1"/>
    <x v="1"/>
    <x v="2"/>
    <x v="1"/>
    <x v="2"/>
    <x v="1"/>
    <x v="2"/>
    <x v="0"/>
    <x v="2"/>
    <x v="3"/>
    <x v="4"/>
    <x v="556"/>
    <x v="1"/>
    <x v="0"/>
    <x v="0"/>
    <x v="1"/>
    <x v="0"/>
    <x v="0"/>
    <x v="0"/>
    <x v="0"/>
  </r>
  <r>
    <x v="1150"/>
    <x v="561"/>
    <x v="553"/>
    <x v="546"/>
    <x v="918"/>
    <x v="1"/>
    <x v="2"/>
    <x v="561"/>
    <x v="404"/>
    <x v="1"/>
    <x v="15"/>
    <x v="0"/>
    <x v="0"/>
    <x v="1"/>
    <x v="1"/>
    <x v="1"/>
    <x v="2"/>
    <x v="1"/>
    <x v="2"/>
    <x v="1"/>
    <x v="2"/>
    <x v="0"/>
    <x v="2"/>
    <x v="1"/>
    <x v="2"/>
    <x v="558"/>
    <x v="4"/>
    <x v="0"/>
    <x v="0"/>
    <x v="1"/>
    <x v="0"/>
    <x v="0"/>
    <x v="0"/>
    <x v="0"/>
  </r>
  <r>
    <x v="1151"/>
    <x v="446"/>
    <x v="442"/>
    <x v="437"/>
    <x v="919"/>
    <x v="1"/>
    <x v="2"/>
    <x v="452"/>
    <x v="343"/>
    <x v="1"/>
    <x v="15"/>
    <x v="0"/>
    <x v="0"/>
    <x v="1"/>
    <x v="2"/>
    <x v="3"/>
    <x v="2"/>
    <x v="1"/>
    <x v="1"/>
    <x v="1"/>
    <x v="1"/>
    <x v="263"/>
    <x v="1"/>
    <x v="1"/>
    <x v="2"/>
    <x v="445"/>
    <x v="1"/>
    <x v="1"/>
    <x v="4"/>
    <x v="2"/>
    <x v="1"/>
    <x v="660"/>
    <x v="0"/>
    <x v="0"/>
  </r>
  <r>
    <x v="1152"/>
    <x v="555"/>
    <x v="547"/>
    <x v="540"/>
    <x v="0"/>
    <x v="3"/>
    <x v="2"/>
    <x v="556"/>
    <x v="196"/>
    <x v="8"/>
    <x v="0"/>
    <x v="0"/>
    <x v="0"/>
    <x v="3"/>
    <x v="1"/>
    <x v="1"/>
    <x v="2"/>
    <x v="1"/>
    <x v="2"/>
    <x v="1"/>
    <x v="2"/>
    <x v="0"/>
    <x v="2"/>
    <x v="3"/>
    <x v="4"/>
    <x v="551"/>
    <x v="5"/>
    <x v="0"/>
    <x v="0"/>
    <x v="1"/>
    <x v="0"/>
    <x v="0"/>
    <x v="0"/>
    <x v="0"/>
  </r>
  <r>
    <x v="1153"/>
    <x v="560"/>
    <x v="552"/>
    <x v="545"/>
    <x v="920"/>
    <x v="1"/>
    <x v="2"/>
    <x v="560"/>
    <x v="401"/>
    <x v="1"/>
    <x v="22"/>
    <x v="0"/>
    <x v="0"/>
    <x v="3"/>
    <x v="1"/>
    <x v="1"/>
    <x v="2"/>
    <x v="1"/>
    <x v="2"/>
    <x v="1"/>
    <x v="1"/>
    <x v="264"/>
    <x v="1"/>
    <x v="3"/>
    <x v="4"/>
    <x v="557"/>
    <x v="1"/>
    <x v="3"/>
    <x v="0"/>
    <x v="1"/>
    <x v="0"/>
    <x v="661"/>
    <x v="0"/>
    <x v="0"/>
  </r>
  <r>
    <x v="1154"/>
    <x v="446"/>
    <x v="442"/>
    <x v="437"/>
    <x v="921"/>
    <x v="1"/>
    <x v="2"/>
    <x v="452"/>
    <x v="343"/>
    <x v="1"/>
    <x v="15"/>
    <x v="0"/>
    <x v="0"/>
    <x v="3"/>
    <x v="1"/>
    <x v="1"/>
    <x v="2"/>
    <x v="1"/>
    <x v="1"/>
    <x v="1"/>
    <x v="1"/>
    <x v="265"/>
    <x v="1"/>
    <x v="3"/>
    <x v="4"/>
    <x v="445"/>
    <x v="1"/>
    <x v="1"/>
    <x v="4"/>
    <x v="2"/>
    <x v="1"/>
    <x v="662"/>
    <x v="0"/>
    <x v="0"/>
  </r>
  <r>
    <x v="1155"/>
    <x v="533"/>
    <x v="525"/>
    <x v="517"/>
    <x v="922"/>
    <x v="1"/>
    <x v="2"/>
    <x v="535"/>
    <x v="405"/>
    <x v="1"/>
    <x v="218"/>
    <x v="0"/>
    <x v="0"/>
    <x v="1"/>
    <x v="2"/>
    <x v="3"/>
    <x v="2"/>
    <x v="1"/>
    <x v="2"/>
    <x v="1"/>
    <x v="1"/>
    <x v="266"/>
    <x v="1"/>
    <x v="1"/>
    <x v="2"/>
    <x v="528"/>
    <x v="6"/>
    <x v="1"/>
    <x v="4"/>
    <x v="2"/>
    <x v="1"/>
    <x v="663"/>
    <x v="0"/>
    <x v="0"/>
  </r>
  <r>
    <x v="1156"/>
    <x v="562"/>
    <x v="491"/>
    <x v="484"/>
    <x v="0"/>
    <x v="3"/>
    <x v="2"/>
    <x v="500"/>
    <x v="323"/>
    <x v="1"/>
    <x v="2"/>
    <x v="0"/>
    <x v="0"/>
    <x v="3"/>
    <x v="1"/>
    <x v="1"/>
    <x v="1"/>
    <x v="1"/>
    <x v="2"/>
    <x v="1"/>
    <x v="2"/>
    <x v="0"/>
    <x v="2"/>
    <x v="3"/>
    <x v="4"/>
    <x v="494"/>
    <x v="3"/>
    <x v="0"/>
    <x v="0"/>
    <x v="1"/>
    <x v="0"/>
    <x v="664"/>
    <x v="0"/>
    <x v="0"/>
  </r>
  <r>
    <x v="1157"/>
    <x v="446"/>
    <x v="442"/>
    <x v="437"/>
    <x v="923"/>
    <x v="1"/>
    <x v="2"/>
    <x v="452"/>
    <x v="343"/>
    <x v="1"/>
    <x v="219"/>
    <x v="0"/>
    <x v="0"/>
    <x v="1"/>
    <x v="1"/>
    <x v="1"/>
    <x v="2"/>
    <x v="1"/>
    <x v="2"/>
    <x v="1"/>
    <x v="1"/>
    <x v="266"/>
    <x v="1"/>
    <x v="5"/>
    <x v="2"/>
    <x v="445"/>
    <x v="3"/>
    <x v="1"/>
    <x v="7"/>
    <x v="2"/>
    <x v="1"/>
    <x v="665"/>
    <x v="0"/>
    <x v="0"/>
  </r>
  <r>
    <x v="1158"/>
    <x v="533"/>
    <x v="525"/>
    <x v="517"/>
    <x v="924"/>
    <x v="1"/>
    <x v="2"/>
    <x v="535"/>
    <x v="405"/>
    <x v="1"/>
    <x v="218"/>
    <x v="0"/>
    <x v="0"/>
    <x v="3"/>
    <x v="1"/>
    <x v="1"/>
    <x v="2"/>
    <x v="1"/>
    <x v="2"/>
    <x v="1"/>
    <x v="2"/>
    <x v="0"/>
    <x v="1"/>
    <x v="3"/>
    <x v="4"/>
    <x v="528"/>
    <x v="1"/>
    <x v="0"/>
    <x v="0"/>
    <x v="1"/>
    <x v="0"/>
    <x v="0"/>
    <x v="0"/>
    <x v="0"/>
  </r>
  <r>
    <x v="1159"/>
    <x v="303"/>
    <x v="304"/>
    <x v="529"/>
    <x v="925"/>
    <x v="1"/>
    <x v="2"/>
    <x v="317"/>
    <x v="137"/>
    <x v="1"/>
    <x v="220"/>
    <x v="0"/>
    <x v="0"/>
    <x v="1"/>
    <x v="2"/>
    <x v="4"/>
    <x v="2"/>
    <x v="1"/>
    <x v="3"/>
    <x v="1"/>
    <x v="1"/>
    <x v="267"/>
    <x v="1"/>
    <x v="1"/>
    <x v="2"/>
    <x v="540"/>
    <x v="1"/>
    <x v="3"/>
    <x v="0"/>
    <x v="1"/>
    <x v="0"/>
    <x v="666"/>
    <x v="0"/>
    <x v="0"/>
  </r>
  <r>
    <x v="1160"/>
    <x v="446"/>
    <x v="442"/>
    <x v="437"/>
    <x v="926"/>
    <x v="1"/>
    <x v="2"/>
    <x v="452"/>
    <x v="347"/>
    <x v="1"/>
    <x v="22"/>
    <x v="0"/>
    <x v="0"/>
    <x v="3"/>
    <x v="1"/>
    <x v="1"/>
    <x v="2"/>
    <x v="1"/>
    <x v="2"/>
    <x v="1"/>
    <x v="2"/>
    <x v="0"/>
    <x v="1"/>
    <x v="3"/>
    <x v="4"/>
    <x v="445"/>
    <x v="12"/>
    <x v="0"/>
    <x v="0"/>
    <x v="1"/>
    <x v="0"/>
    <x v="0"/>
    <x v="0"/>
    <x v="0"/>
  </r>
  <r>
    <x v="1161"/>
    <x v="289"/>
    <x v="290"/>
    <x v="285"/>
    <x v="927"/>
    <x v="1"/>
    <x v="2"/>
    <x v="304"/>
    <x v="367"/>
    <x v="1"/>
    <x v="15"/>
    <x v="0"/>
    <x v="0"/>
    <x v="1"/>
    <x v="1"/>
    <x v="1"/>
    <x v="2"/>
    <x v="1"/>
    <x v="2"/>
    <x v="1"/>
    <x v="1"/>
    <x v="266"/>
    <x v="1"/>
    <x v="1"/>
    <x v="2"/>
    <x v="559"/>
    <x v="12"/>
    <x v="3"/>
    <x v="0"/>
    <x v="1"/>
    <x v="0"/>
    <x v="667"/>
    <x v="322"/>
    <x v="330"/>
  </r>
  <r>
    <x v="1162"/>
    <x v="563"/>
    <x v="554"/>
    <x v="547"/>
    <x v="928"/>
    <x v="3"/>
    <x v="1"/>
    <x v="562"/>
    <x v="227"/>
    <x v="1"/>
    <x v="9"/>
    <x v="0"/>
    <x v="0"/>
    <x v="1"/>
    <x v="1"/>
    <x v="1"/>
    <x v="2"/>
    <x v="1"/>
    <x v="2"/>
    <x v="1"/>
    <x v="2"/>
    <x v="0"/>
    <x v="1"/>
    <x v="6"/>
    <x v="2"/>
    <x v="560"/>
    <x v="5"/>
    <x v="0"/>
    <x v="0"/>
    <x v="1"/>
    <x v="0"/>
    <x v="0"/>
    <x v="0"/>
    <x v="0"/>
  </r>
  <r>
    <x v="1163"/>
    <x v="533"/>
    <x v="525"/>
    <x v="517"/>
    <x v="929"/>
    <x v="1"/>
    <x v="2"/>
    <x v="535"/>
    <x v="405"/>
    <x v="1"/>
    <x v="221"/>
    <x v="0"/>
    <x v="0"/>
    <x v="1"/>
    <x v="1"/>
    <x v="1"/>
    <x v="2"/>
    <x v="1"/>
    <x v="2"/>
    <x v="1"/>
    <x v="1"/>
    <x v="265"/>
    <x v="1"/>
    <x v="6"/>
    <x v="2"/>
    <x v="528"/>
    <x v="5"/>
    <x v="1"/>
    <x v="4"/>
    <x v="2"/>
    <x v="1"/>
    <x v="668"/>
    <x v="323"/>
    <x v="0"/>
  </r>
  <r>
    <x v="1164"/>
    <x v="564"/>
    <x v="555"/>
    <x v="548"/>
    <x v="930"/>
    <x v="1"/>
    <x v="2"/>
    <x v="563"/>
    <x v="406"/>
    <x v="1"/>
    <x v="33"/>
    <x v="0"/>
    <x v="0"/>
    <x v="1"/>
    <x v="3"/>
    <x v="3"/>
    <x v="2"/>
    <x v="2"/>
    <x v="1"/>
    <x v="1"/>
    <x v="1"/>
    <x v="268"/>
    <x v="1"/>
    <x v="4"/>
    <x v="2"/>
    <x v="561"/>
    <x v="1"/>
    <x v="1"/>
    <x v="7"/>
    <x v="1"/>
    <x v="0"/>
    <x v="669"/>
    <x v="324"/>
    <x v="0"/>
  </r>
  <r>
    <x v="1165"/>
    <x v="446"/>
    <x v="442"/>
    <x v="437"/>
    <x v="931"/>
    <x v="1"/>
    <x v="2"/>
    <x v="452"/>
    <x v="343"/>
    <x v="1"/>
    <x v="15"/>
    <x v="0"/>
    <x v="0"/>
    <x v="3"/>
    <x v="1"/>
    <x v="1"/>
    <x v="2"/>
    <x v="1"/>
    <x v="1"/>
    <x v="2"/>
    <x v="1"/>
    <x v="269"/>
    <x v="1"/>
    <x v="3"/>
    <x v="4"/>
    <x v="445"/>
    <x v="1"/>
    <x v="1"/>
    <x v="4"/>
    <x v="2"/>
    <x v="1"/>
    <x v="670"/>
    <x v="0"/>
    <x v="0"/>
  </r>
  <r>
    <x v="1166"/>
    <x v="565"/>
    <x v="556"/>
    <x v="549"/>
    <x v="932"/>
    <x v="3"/>
    <x v="2"/>
    <x v="564"/>
    <x v="10"/>
    <x v="1"/>
    <x v="222"/>
    <x v="0"/>
    <x v="0"/>
    <x v="1"/>
    <x v="1"/>
    <x v="1"/>
    <x v="2"/>
    <x v="2"/>
    <x v="2"/>
    <x v="1"/>
    <x v="2"/>
    <x v="0"/>
    <x v="1"/>
    <x v="6"/>
    <x v="2"/>
    <x v="562"/>
    <x v="1"/>
    <x v="0"/>
    <x v="0"/>
    <x v="1"/>
    <x v="0"/>
    <x v="0"/>
    <x v="0"/>
    <x v="0"/>
  </r>
  <r>
    <x v="1167"/>
    <x v="533"/>
    <x v="525"/>
    <x v="517"/>
    <x v="933"/>
    <x v="1"/>
    <x v="2"/>
    <x v="535"/>
    <x v="405"/>
    <x v="1"/>
    <x v="221"/>
    <x v="0"/>
    <x v="0"/>
    <x v="3"/>
    <x v="1"/>
    <x v="1"/>
    <x v="2"/>
    <x v="1"/>
    <x v="2"/>
    <x v="1"/>
    <x v="2"/>
    <x v="0"/>
    <x v="1"/>
    <x v="3"/>
    <x v="4"/>
    <x v="528"/>
    <x v="1"/>
    <x v="0"/>
    <x v="0"/>
    <x v="1"/>
    <x v="0"/>
    <x v="0"/>
    <x v="0"/>
    <x v="0"/>
  </r>
  <r>
    <x v="1168"/>
    <x v="566"/>
    <x v="557"/>
    <x v="550"/>
    <x v="934"/>
    <x v="1"/>
    <x v="2"/>
    <x v="565"/>
    <x v="407"/>
    <x v="1"/>
    <x v="223"/>
    <x v="0"/>
    <x v="0"/>
    <x v="1"/>
    <x v="1"/>
    <x v="1"/>
    <x v="1"/>
    <x v="1"/>
    <x v="3"/>
    <x v="1"/>
    <x v="2"/>
    <x v="0"/>
    <x v="2"/>
    <x v="1"/>
    <x v="1"/>
    <x v="563"/>
    <x v="2"/>
    <x v="0"/>
    <x v="0"/>
    <x v="1"/>
    <x v="0"/>
    <x v="0"/>
    <x v="0"/>
    <x v="0"/>
  </r>
  <r>
    <x v="1169"/>
    <x v="564"/>
    <x v="555"/>
    <x v="548"/>
    <x v="0"/>
    <x v="1"/>
    <x v="2"/>
    <x v="563"/>
    <x v="406"/>
    <x v="1"/>
    <x v="33"/>
    <x v="0"/>
    <x v="0"/>
    <x v="3"/>
    <x v="1"/>
    <x v="1"/>
    <x v="2"/>
    <x v="2"/>
    <x v="1"/>
    <x v="1"/>
    <x v="1"/>
    <x v="270"/>
    <x v="2"/>
    <x v="3"/>
    <x v="4"/>
    <x v="561"/>
    <x v="12"/>
    <x v="1"/>
    <x v="4"/>
    <x v="2"/>
    <x v="1"/>
    <x v="0"/>
    <x v="0"/>
    <x v="331"/>
  </r>
  <r>
    <x v="1170"/>
    <x v="404"/>
    <x v="403"/>
    <x v="398"/>
    <x v="935"/>
    <x v="1"/>
    <x v="2"/>
    <x v="416"/>
    <x v="208"/>
    <x v="1"/>
    <x v="1"/>
    <x v="0"/>
    <x v="0"/>
    <x v="1"/>
    <x v="2"/>
    <x v="3"/>
    <x v="2"/>
    <x v="1"/>
    <x v="2"/>
    <x v="1"/>
    <x v="1"/>
    <x v="268"/>
    <x v="1"/>
    <x v="1"/>
    <x v="2"/>
    <x v="406"/>
    <x v="6"/>
    <x v="3"/>
    <x v="0"/>
    <x v="1"/>
    <x v="0"/>
    <x v="671"/>
    <x v="325"/>
    <x v="332"/>
  </r>
  <r>
    <x v="1171"/>
    <x v="562"/>
    <x v="491"/>
    <x v="484"/>
    <x v="936"/>
    <x v="3"/>
    <x v="2"/>
    <x v="500"/>
    <x v="323"/>
    <x v="1"/>
    <x v="224"/>
    <x v="0"/>
    <x v="0"/>
    <x v="1"/>
    <x v="1"/>
    <x v="2"/>
    <x v="1"/>
    <x v="1"/>
    <x v="2"/>
    <x v="2"/>
    <x v="2"/>
    <x v="0"/>
    <x v="1"/>
    <x v="1"/>
    <x v="2"/>
    <x v="494"/>
    <x v="3"/>
    <x v="0"/>
    <x v="0"/>
    <x v="1"/>
    <x v="0"/>
    <x v="0"/>
    <x v="0"/>
    <x v="0"/>
  </r>
  <r>
    <x v="1172"/>
    <x v="446"/>
    <x v="442"/>
    <x v="437"/>
    <x v="937"/>
    <x v="1"/>
    <x v="2"/>
    <x v="452"/>
    <x v="347"/>
    <x v="1"/>
    <x v="15"/>
    <x v="0"/>
    <x v="0"/>
    <x v="1"/>
    <x v="3"/>
    <x v="3"/>
    <x v="1"/>
    <x v="1"/>
    <x v="2"/>
    <x v="1"/>
    <x v="1"/>
    <x v="270"/>
    <x v="1"/>
    <x v="5"/>
    <x v="2"/>
    <x v="445"/>
    <x v="12"/>
    <x v="1"/>
    <x v="4"/>
    <x v="2"/>
    <x v="1"/>
    <x v="672"/>
    <x v="0"/>
    <x v="333"/>
  </r>
  <r>
    <x v="1173"/>
    <x v="561"/>
    <x v="553"/>
    <x v="546"/>
    <x v="938"/>
    <x v="1"/>
    <x v="2"/>
    <x v="561"/>
    <x v="404"/>
    <x v="1"/>
    <x v="193"/>
    <x v="0"/>
    <x v="0"/>
    <x v="1"/>
    <x v="1"/>
    <x v="1"/>
    <x v="2"/>
    <x v="1"/>
    <x v="2"/>
    <x v="1"/>
    <x v="2"/>
    <x v="0"/>
    <x v="2"/>
    <x v="2"/>
    <x v="2"/>
    <x v="558"/>
    <x v="3"/>
    <x v="0"/>
    <x v="0"/>
    <x v="1"/>
    <x v="0"/>
    <x v="0"/>
    <x v="0"/>
    <x v="0"/>
  </r>
  <r>
    <x v="1174"/>
    <x v="446"/>
    <x v="442"/>
    <x v="437"/>
    <x v="939"/>
    <x v="1"/>
    <x v="2"/>
    <x v="452"/>
    <x v="347"/>
    <x v="1"/>
    <x v="15"/>
    <x v="0"/>
    <x v="0"/>
    <x v="3"/>
    <x v="1"/>
    <x v="1"/>
    <x v="2"/>
    <x v="1"/>
    <x v="2"/>
    <x v="2"/>
    <x v="2"/>
    <x v="0"/>
    <x v="1"/>
    <x v="3"/>
    <x v="4"/>
    <x v="445"/>
    <x v="1"/>
    <x v="0"/>
    <x v="0"/>
    <x v="1"/>
    <x v="0"/>
    <x v="0"/>
    <x v="0"/>
    <x v="0"/>
  </r>
  <r>
    <x v="1175"/>
    <x v="564"/>
    <x v="555"/>
    <x v="548"/>
    <x v="940"/>
    <x v="1"/>
    <x v="2"/>
    <x v="563"/>
    <x v="406"/>
    <x v="1"/>
    <x v="33"/>
    <x v="0"/>
    <x v="0"/>
    <x v="3"/>
    <x v="1"/>
    <x v="1"/>
    <x v="2"/>
    <x v="2"/>
    <x v="1"/>
    <x v="1"/>
    <x v="1"/>
    <x v="269"/>
    <x v="1"/>
    <x v="3"/>
    <x v="4"/>
    <x v="561"/>
    <x v="1"/>
    <x v="3"/>
    <x v="0"/>
    <x v="1"/>
    <x v="0"/>
    <x v="673"/>
    <x v="326"/>
    <x v="0"/>
  </r>
  <r>
    <x v="1176"/>
    <x v="567"/>
    <x v="558"/>
    <x v="551"/>
    <x v="941"/>
    <x v="3"/>
    <x v="4"/>
    <x v="566"/>
    <x v="408"/>
    <x v="1"/>
    <x v="15"/>
    <x v="0"/>
    <x v="0"/>
    <x v="1"/>
    <x v="1"/>
    <x v="1"/>
    <x v="2"/>
    <x v="1"/>
    <x v="1"/>
    <x v="1"/>
    <x v="1"/>
    <x v="270"/>
    <x v="1"/>
    <x v="1"/>
    <x v="2"/>
    <x v="564"/>
    <x v="4"/>
    <x v="3"/>
    <x v="0"/>
    <x v="1"/>
    <x v="0"/>
    <x v="674"/>
    <x v="327"/>
    <x v="334"/>
  </r>
  <r>
    <x v="1177"/>
    <x v="568"/>
    <x v="559"/>
    <x v="552"/>
    <x v="942"/>
    <x v="1"/>
    <x v="2"/>
    <x v="567"/>
    <x v="203"/>
    <x v="1"/>
    <x v="36"/>
    <x v="0"/>
    <x v="0"/>
    <x v="1"/>
    <x v="1"/>
    <x v="1"/>
    <x v="1"/>
    <x v="1"/>
    <x v="2"/>
    <x v="1"/>
    <x v="2"/>
    <x v="0"/>
    <x v="1"/>
    <x v="1"/>
    <x v="2"/>
    <x v="565"/>
    <x v="5"/>
    <x v="0"/>
    <x v="0"/>
    <x v="1"/>
    <x v="0"/>
    <x v="0"/>
    <x v="0"/>
    <x v="0"/>
  </r>
  <r>
    <x v="1178"/>
    <x v="446"/>
    <x v="442"/>
    <x v="437"/>
    <x v="943"/>
    <x v="1"/>
    <x v="2"/>
    <x v="452"/>
    <x v="343"/>
    <x v="1"/>
    <x v="225"/>
    <x v="0"/>
    <x v="0"/>
    <x v="1"/>
    <x v="1"/>
    <x v="1"/>
    <x v="1"/>
    <x v="1"/>
    <x v="2"/>
    <x v="1"/>
    <x v="2"/>
    <x v="0"/>
    <x v="1"/>
    <x v="1"/>
    <x v="1"/>
    <x v="445"/>
    <x v="2"/>
    <x v="0"/>
    <x v="0"/>
    <x v="1"/>
    <x v="0"/>
    <x v="0"/>
    <x v="0"/>
    <x v="0"/>
  </r>
  <r>
    <x v="1179"/>
    <x v="569"/>
    <x v="560"/>
    <x v="553"/>
    <x v="944"/>
    <x v="1"/>
    <x v="2"/>
    <x v="568"/>
    <x v="409"/>
    <x v="1"/>
    <x v="15"/>
    <x v="0"/>
    <x v="0"/>
    <x v="1"/>
    <x v="1"/>
    <x v="1"/>
    <x v="2"/>
    <x v="1"/>
    <x v="2"/>
    <x v="1"/>
    <x v="1"/>
    <x v="269"/>
    <x v="1"/>
    <x v="1"/>
    <x v="2"/>
    <x v="566"/>
    <x v="5"/>
    <x v="1"/>
    <x v="7"/>
    <x v="1"/>
    <x v="0"/>
    <x v="675"/>
    <x v="328"/>
    <x v="335"/>
  </r>
  <r>
    <x v="1180"/>
    <x v="570"/>
    <x v="561"/>
    <x v="554"/>
    <x v="945"/>
    <x v="1"/>
    <x v="2"/>
    <x v="569"/>
    <x v="79"/>
    <x v="1"/>
    <x v="226"/>
    <x v="0"/>
    <x v="0"/>
    <x v="1"/>
    <x v="1"/>
    <x v="1"/>
    <x v="2"/>
    <x v="1"/>
    <x v="2"/>
    <x v="1"/>
    <x v="2"/>
    <x v="0"/>
    <x v="1"/>
    <x v="1"/>
    <x v="2"/>
    <x v="567"/>
    <x v="4"/>
    <x v="0"/>
    <x v="0"/>
    <x v="1"/>
    <x v="0"/>
    <x v="0"/>
    <x v="0"/>
    <x v="0"/>
  </r>
  <r>
    <x v="1181"/>
    <x v="440"/>
    <x v="436"/>
    <x v="431"/>
    <x v="946"/>
    <x v="1"/>
    <x v="1"/>
    <x v="446"/>
    <x v="340"/>
    <x v="1"/>
    <x v="227"/>
    <x v="0"/>
    <x v="0"/>
    <x v="1"/>
    <x v="1"/>
    <x v="1"/>
    <x v="2"/>
    <x v="1"/>
    <x v="2"/>
    <x v="1"/>
    <x v="2"/>
    <x v="0"/>
    <x v="1"/>
    <x v="1"/>
    <x v="2"/>
    <x v="439"/>
    <x v="6"/>
    <x v="0"/>
    <x v="0"/>
    <x v="1"/>
    <x v="0"/>
    <x v="0"/>
    <x v="0"/>
    <x v="0"/>
  </r>
  <r>
    <x v="1182"/>
    <x v="515"/>
    <x v="507"/>
    <x v="499"/>
    <x v="947"/>
    <x v="1"/>
    <x v="2"/>
    <x v="516"/>
    <x v="410"/>
    <x v="1"/>
    <x v="2"/>
    <x v="0"/>
    <x v="0"/>
    <x v="1"/>
    <x v="1"/>
    <x v="1"/>
    <x v="1"/>
    <x v="2"/>
    <x v="3"/>
    <x v="2"/>
    <x v="1"/>
    <x v="271"/>
    <x v="1"/>
    <x v="1"/>
    <x v="2"/>
    <x v="509"/>
    <x v="5"/>
    <x v="1"/>
    <x v="0"/>
    <x v="1"/>
    <x v="0"/>
    <x v="676"/>
    <x v="329"/>
    <x v="336"/>
  </r>
  <r>
    <x v="1183"/>
    <x v="515"/>
    <x v="507"/>
    <x v="499"/>
    <x v="0"/>
    <x v="1"/>
    <x v="2"/>
    <x v="516"/>
    <x v="410"/>
    <x v="1"/>
    <x v="2"/>
    <x v="0"/>
    <x v="0"/>
    <x v="3"/>
    <x v="1"/>
    <x v="1"/>
    <x v="2"/>
    <x v="2"/>
    <x v="3"/>
    <x v="2"/>
    <x v="2"/>
    <x v="0"/>
    <x v="2"/>
    <x v="3"/>
    <x v="4"/>
    <x v="509"/>
    <x v="5"/>
    <x v="0"/>
    <x v="0"/>
    <x v="1"/>
    <x v="0"/>
    <x v="0"/>
    <x v="0"/>
    <x v="0"/>
  </r>
  <r>
    <x v="1184"/>
    <x v="571"/>
    <x v="562"/>
    <x v="555"/>
    <x v="948"/>
    <x v="1"/>
    <x v="3"/>
    <x v="570"/>
    <x v="398"/>
    <x v="1"/>
    <x v="70"/>
    <x v="0"/>
    <x v="0"/>
    <x v="1"/>
    <x v="1"/>
    <x v="1"/>
    <x v="2"/>
    <x v="1"/>
    <x v="1"/>
    <x v="1"/>
    <x v="2"/>
    <x v="0"/>
    <x v="1"/>
    <x v="2"/>
    <x v="3"/>
    <x v="568"/>
    <x v="12"/>
    <x v="0"/>
    <x v="0"/>
    <x v="1"/>
    <x v="0"/>
    <x v="0"/>
    <x v="0"/>
    <x v="0"/>
  </r>
  <r>
    <x v="1185"/>
    <x v="446"/>
    <x v="442"/>
    <x v="437"/>
    <x v="949"/>
    <x v="1"/>
    <x v="2"/>
    <x v="452"/>
    <x v="343"/>
    <x v="1"/>
    <x v="15"/>
    <x v="0"/>
    <x v="0"/>
    <x v="3"/>
    <x v="1"/>
    <x v="1"/>
    <x v="2"/>
    <x v="1"/>
    <x v="1"/>
    <x v="2"/>
    <x v="2"/>
    <x v="0"/>
    <x v="1"/>
    <x v="3"/>
    <x v="4"/>
    <x v="445"/>
    <x v="1"/>
    <x v="0"/>
    <x v="0"/>
    <x v="1"/>
    <x v="0"/>
    <x v="0"/>
    <x v="0"/>
    <x v="0"/>
  </r>
  <r>
    <x v="1186"/>
    <x v="301"/>
    <x v="302"/>
    <x v="297"/>
    <x v="950"/>
    <x v="1"/>
    <x v="2"/>
    <x v="315"/>
    <x v="411"/>
    <x v="1"/>
    <x v="33"/>
    <x v="0"/>
    <x v="0"/>
    <x v="1"/>
    <x v="3"/>
    <x v="3"/>
    <x v="1"/>
    <x v="2"/>
    <x v="2"/>
    <x v="1"/>
    <x v="1"/>
    <x v="269"/>
    <x v="1"/>
    <x v="2"/>
    <x v="3"/>
    <x v="303"/>
    <x v="2"/>
    <x v="1"/>
    <x v="5"/>
    <x v="1"/>
    <x v="1"/>
    <x v="677"/>
    <x v="0"/>
    <x v="0"/>
  </r>
  <r>
    <x v="1187"/>
    <x v="442"/>
    <x v="438"/>
    <x v="433"/>
    <x v="951"/>
    <x v="1"/>
    <x v="2"/>
    <x v="448"/>
    <x v="412"/>
    <x v="1"/>
    <x v="33"/>
    <x v="0"/>
    <x v="0"/>
    <x v="1"/>
    <x v="3"/>
    <x v="3"/>
    <x v="2"/>
    <x v="1"/>
    <x v="1"/>
    <x v="1"/>
    <x v="1"/>
    <x v="264"/>
    <x v="1"/>
    <x v="1"/>
    <x v="2"/>
    <x v="441"/>
    <x v="1"/>
    <x v="1"/>
    <x v="1"/>
    <x v="1"/>
    <x v="0"/>
    <x v="678"/>
    <x v="330"/>
    <x v="0"/>
  </r>
  <r>
    <x v="1188"/>
    <x v="569"/>
    <x v="560"/>
    <x v="553"/>
    <x v="0"/>
    <x v="1"/>
    <x v="2"/>
    <x v="568"/>
    <x v="409"/>
    <x v="1"/>
    <x v="15"/>
    <x v="0"/>
    <x v="0"/>
    <x v="3"/>
    <x v="1"/>
    <x v="1"/>
    <x v="1"/>
    <x v="1"/>
    <x v="2"/>
    <x v="1"/>
    <x v="2"/>
    <x v="0"/>
    <x v="2"/>
    <x v="3"/>
    <x v="4"/>
    <x v="566"/>
    <x v="12"/>
    <x v="0"/>
    <x v="0"/>
    <x v="1"/>
    <x v="0"/>
    <x v="0"/>
    <x v="0"/>
    <x v="0"/>
  </r>
  <r>
    <x v="1189"/>
    <x v="301"/>
    <x v="302"/>
    <x v="297"/>
    <x v="0"/>
    <x v="1"/>
    <x v="2"/>
    <x v="315"/>
    <x v="249"/>
    <x v="1"/>
    <x v="33"/>
    <x v="0"/>
    <x v="0"/>
    <x v="3"/>
    <x v="1"/>
    <x v="1"/>
    <x v="1"/>
    <x v="2"/>
    <x v="2"/>
    <x v="1"/>
    <x v="1"/>
    <x v="272"/>
    <x v="1"/>
    <x v="3"/>
    <x v="4"/>
    <x v="303"/>
    <x v="2"/>
    <x v="1"/>
    <x v="1"/>
    <x v="1"/>
    <x v="0"/>
    <x v="484"/>
    <x v="331"/>
    <x v="0"/>
  </r>
  <r>
    <x v="1190"/>
    <x v="572"/>
    <x v="194"/>
    <x v="192"/>
    <x v="952"/>
    <x v="1"/>
    <x v="2"/>
    <x v="205"/>
    <x v="413"/>
    <x v="1"/>
    <x v="228"/>
    <x v="0"/>
    <x v="0"/>
    <x v="1"/>
    <x v="1"/>
    <x v="1"/>
    <x v="2"/>
    <x v="1"/>
    <x v="1"/>
    <x v="1"/>
    <x v="2"/>
    <x v="0"/>
    <x v="1"/>
    <x v="5"/>
    <x v="2"/>
    <x v="194"/>
    <x v="12"/>
    <x v="0"/>
    <x v="0"/>
    <x v="1"/>
    <x v="0"/>
    <x v="0"/>
    <x v="0"/>
    <x v="0"/>
  </r>
  <r>
    <x v="1191"/>
    <x v="573"/>
    <x v="563"/>
    <x v="556"/>
    <x v="953"/>
    <x v="1"/>
    <x v="2"/>
    <x v="571"/>
    <x v="414"/>
    <x v="1"/>
    <x v="22"/>
    <x v="0"/>
    <x v="0"/>
    <x v="1"/>
    <x v="3"/>
    <x v="3"/>
    <x v="2"/>
    <x v="1"/>
    <x v="2"/>
    <x v="1"/>
    <x v="1"/>
    <x v="273"/>
    <x v="1"/>
    <x v="6"/>
    <x v="2"/>
    <x v="569"/>
    <x v="5"/>
    <x v="1"/>
    <x v="3"/>
    <x v="2"/>
    <x v="1"/>
    <x v="679"/>
    <x v="0"/>
    <x v="0"/>
  </r>
  <r>
    <x v="1192"/>
    <x v="544"/>
    <x v="536"/>
    <x v="528"/>
    <x v="954"/>
    <x v="3"/>
    <x v="2"/>
    <x v="546"/>
    <x v="10"/>
    <x v="1"/>
    <x v="229"/>
    <x v="0"/>
    <x v="0"/>
    <x v="1"/>
    <x v="1"/>
    <x v="1"/>
    <x v="2"/>
    <x v="2"/>
    <x v="2"/>
    <x v="1"/>
    <x v="2"/>
    <x v="0"/>
    <x v="1"/>
    <x v="6"/>
    <x v="4"/>
    <x v="539"/>
    <x v="5"/>
    <x v="0"/>
    <x v="0"/>
    <x v="1"/>
    <x v="0"/>
    <x v="0"/>
    <x v="0"/>
    <x v="0"/>
  </r>
  <r>
    <x v="1193"/>
    <x v="391"/>
    <x v="391"/>
    <x v="386"/>
    <x v="955"/>
    <x v="3"/>
    <x v="2"/>
    <x v="406"/>
    <x v="281"/>
    <x v="1"/>
    <x v="89"/>
    <x v="0"/>
    <x v="0"/>
    <x v="1"/>
    <x v="1"/>
    <x v="1"/>
    <x v="2"/>
    <x v="1"/>
    <x v="2"/>
    <x v="1"/>
    <x v="1"/>
    <x v="264"/>
    <x v="1"/>
    <x v="6"/>
    <x v="2"/>
    <x v="570"/>
    <x v="5"/>
    <x v="1"/>
    <x v="1"/>
    <x v="1"/>
    <x v="0"/>
    <x v="680"/>
    <x v="0"/>
    <x v="0"/>
  </r>
  <r>
    <x v="1194"/>
    <x v="442"/>
    <x v="438"/>
    <x v="433"/>
    <x v="0"/>
    <x v="1"/>
    <x v="2"/>
    <x v="448"/>
    <x v="412"/>
    <x v="1"/>
    <x v="33"/>
    <x v="0"/>
    <x v="0"/>
    <x v="3"/>
    <x v="1"/>
    <x v="1"/>
    <x v="2"/>
    <x v="1"/>
    <x v="2"/>
    <x v="1"/>
    <x v="1"/>
    <x v="273"/>
    <x v="2"/>
    <x v="3"/>
    <x v="4"/>
    <x v="441"/>
    <x v="5"/>
    <x v="1"/>
    <x v="5"/>
    <x v="2"/>
    <x v="1"/>
    <x v="681"/>
    <x v="0"/>
    <x v="0"/>
  </r>
  <r>
    <x v="1195"/>
    <x v="391"/>
    <x v="391"/>
    <x v="386"/>
    <x v="955"/>
    <x v="3"/>
    <x v="2"/>
    <x v="406"/>
    <x v="281"/>
    <x v="1"/>
    <x v="89"/>
    <x v="0"/>
    <x v="0"/>
    <x v="3"/>
    <x v="3"/>
    <x v="3"/>
    <x v="2"/>
    <x v="1"/>
    <x v="2"/>
    <x v="1"/>
    <x v="1"/>
    <x v="272"/>
    <x v="1"/>
    <x v="3"/>
    <x v="4"/>
    <x v="570"/>
    <x v="5"/>
    <x v="3"/>
    <x v="0"/>
    <x v="1"/>
    <x v="0"/>
    <x v="682"/>
    <x v="0"/>
    <x v="0"/>
  </r>
  <r>
    <x v="1196"/>
    <x v="574"/>
    <x v="564"/>
    <x v="557"/>
    <x v="956"/>
    <x v="3"/>
    <x v="2"/>
    <x v="160"/>
    <x v="10"/>
    <x v="1"/>
    <x v="3"/>
    <x v="0"/>
    <x v="0"/>
    <x v="1"/>
    <x v="1"/>
    <x v="2"/>
    <x v="2"/>
    <x v="1"/>
    <x v="2"/>
    <x v="1"/>
    <x v="1"/>
    <x v="273"/>
    <x v="1"/>
    <x v="6"/>
    <x v="2"/>
    <x v="571"/>
    <x v="5"/>
    <x v="3"/>
    <x v="0"/>
    <x v="1"/>
    <x v="0"/>
    <x v="683"/>
    <x v="332"/>
    <x v="0"/>
  </r>
  <r>
    <x v="1197"/>
    <x v="200"/>
    <x v="198"/>
    <x v="196"/>
    <x v="957"/>
    <x v="1"/>
    <x v="2"/>
    <x v="209"/>
    <x v="374"/>
    <x v="1"/>
    <x v="2"/>
    <x v="0"/>
    <x v="0"/>
    <x v="1"/>
    <x v="2"/>
    <x v="3"/>
    <x v="1"/>
    <x v="1"/>
    <x v="2"/>
    <x v="1"/>
    <x v="1"/>
    <x v="273"/>
    <x v="1"/>
    <x v="4"/>
    <x v="2"/>
    <x v="556"/>
    <x v="5"/>
    <x v="3"/>
    <x v="0"/>
    <x v="1"/>
    <x v="0"/>
    <x v="684"/>
    <x v="333"/>
    <x v="0"/>
  </r>
  <r>
    <x v="1198"/>
    <x v="301"/>
    <x v="302"/>
    <x v="297"/>
    <x v="0"/>
    <x v="1"/>
    <x v="2"/>
    <x v="315"/>
    <x v="249"/>
    <x v="1"/>
    <x v="33"/>
    <x v="0"/>
    <x v="0"/>
    <x v="3"/>
    <x v="1"/>
    <x v="1"/>
    <x v="2"/>
    <x v="2"/>
    <x v="2"/>
    <x v="1"/>
    <x v="1"/>
    <x v="274"/>
    <x v="2"/>
    <x v="3"/>
    <x v="4"/>
    <x v="303"/>
    <x v="5"/>
    <x v="3"/>
    <x v="0"/>
    <x v="1"/>
    <x v="0"/>
    <x v="685"/>
    <x v="334"/>
    <x v="337"/>
  </r>
  <r>
    <x v="1199"/>
    <x v="575"/>
    <x v="563"/>
    <x v="556"/>
    <x v="958"/>
    <x v="1"/>
    <x v="2"/>
    <x v="571"/>
    <x v="414"/>
    <x v="1"/>
    <x v="22"/>
    <x v="0"/>
    <x v="0"/>
    <x v="3"/>
    <x v="1"/>
    <x v="1"/>
    <x v="2"/>
    <x v="1"/>
    <x v="2"/>
    <x v="1"/>
    <x v="1"/>
    <x v="275"/>
    <x v="1"/>
    <x v="3"/>
    <x v="4"/>
    <x v="569"/>
    <x v="3"/>
    <x v="1"/>
    <x v="13"/>
    <x v="2"/>
    <x v="1"/>
    <x v="686"/>
    <x v="0"/>
    <x v="338"/>
  </r>
  <r>
    <x v="1200"/>
    <x v="576"/>
    <x v="565"/>
    <x v="558"/>
    <x v="959"/>
    <x v="1"/>
    <x v="3"/>
    <x v="572"/>
    <x v="415"/>
    <x v="1"/>
    <x v="31"/>
    <x v="0"/>
    <x v="0"/>
    <x v="1"/>
    <x v="1"/>
    <x v="1"/>
    <x v="2"/>
    <x v="1"/>
    <x v="2"/>
    <x v="1"/>
    <x v="2"/>
    <x v="0"/>
    <x v="1"/>
    <x v="4"/>
    <x v="2"/>
    <x v="572"/>
    <x v="12"/>
    <x v="0"/>
    <x v="0"/>
    <x v="1"/>
    <x v="0"/>
    <x v="0"/>
    <x v="0"/>
    <x v="0"/>
  </r>
  <r>
    <x v="1201"/>
    <x v="442"/>
    <x v="438"/>
    <x v="433"/>
    <x v="0"/>
    <x v="1"/>
    <x v="2"/>
    <x v="448"/>
    <x v="412"/>
    <x v="1"/>
    <x v="33"/>
    <x v="0"/>
    <x v="0"/>
    <x v="3"/>
    <x v="1"/>
    <x v="1"/>
    <x v="2"/>
    <x v="1"/>
    <x v="2"/>
    <x v="1"/>
    <x v="1"/>
    <x v="274"/>
    <x v="1"/>
    <x v="3"/>
    <x v="4"/>
    <x v="441"/>
    <x v="2"/>
    <x v="1"/>
    <x v="5"/>
    <x v="2"/>
    <x v="1"/>
    <x v="687"/>
    <x v="0"/>
    <x v="0"/>
  </r>
  <r>
    <x v="1202"/>
    <x v="464"/>
    <x v="460"/>
    <x v="454"/>
    <x v="960"/>
    <x v="1"/>
    <x v="2"/>
    <x v="469"/>
    <x v="212"/>
    <x v="6"/>
    <x v="0"/>
    <x v="0"/>
    <x v="10"/>
    <x v="1"/>
    <x v="1"/>
    <x v="1"/>
    <x v="1"/>
    <x v="1"/>
    <x v="2"/>
    <x v="1"/>
    <x v="1"/>
    <x v="274"/>
    <x v="1"/>
    <x v="1"/>
    <x v="2"/>
    <x v="462"/>
    <x v="3"/>
    <x v="1"/>
    <x v="3"/>
    <x v="2"/>
    <x v="1"/>
    <x v="688"/>
    <x v="335"/>
    <x v="0"/>
  </r>
  <r>
    <x v="1203"/>
    <x v="433"/>
    <x v="430"/>
    <x v="425"/>
    <x v="961"/>
    <x v="1"/>
    <x v="2"/>
    <x v="440"/>
    <x v="341"/>
    <x v="1"/>
    <x v="230"/>
    <x v="0"/>
    <x v="0"/>
    <x v="1"/>
    <x v="1"/>
    <x v="1"/>
    <x v="2"/>
    <x v="1"/>
    <x v="2"/>
    <x v="1"/>
    <x v="2"/>
    <x v="0"/>
    <x v="1"/>
    <x v="1"/>
    <x v="2"/>
    <x v="433"/>
    <x v="12"/>
    <x v="0"/>
    <x v="0"/>
    <x v="1"/>
    <x v="0"/>
    <x v="0"/>
    <x v="0"/>
    <x v="0"/>
  </r>
  <r>
    <x v="1204"/>
    <x v="461"/>
    <x v="457"/>
    <x v="451"/>
    <x v="962"/>
    <x v="3"/>
    <x v="3"/>
    <x v="466"/>
    <x v="227"/>
    <x v="1"/>
    <x v="231"/>
    <x v="0"/>
    <x v="0"/>
    <x v="1"/>
    <x v="1"/>
    <x v="1"/>
    <x v="2"/>
    <x v="1"/>
    <x v="2"/>
    <x v="1"/>
    <x v="2"/>
    <x v="0"/>
    <x v="1"/>
    <x v="1"/>
    <x v="2"/>
    <x v="459"/>
    <x v="12"/>
    <x v="0"/>
    <x v="0"/>
    <x v="1"/>
    <x v="0"/>
    <x v="0"/>
    <x v="0"/>
    <x v="0"/>
  </r>
  <r>
    <x v="1205"/>
    <x v="366"/>
    <x v="366"/>
    <x v="361"/>
    <x v="963"/>
    <x v="1"/>
    <x v="2"/>
    <x v="380"/>
    <x v="292"/>
    <x v="1"/>
    <x v="33"/>
    <x v="0"/>
    <x v="0"/>
    <x v="1"/>
    <x v="3"/>
    <x v="2"/>
    <x v="2"/>
    <x v="1"/>
    <x v="2"/>
    <x v="1"/>
    <x v="1"/>
    <x v="276"/>
    <x v="1"/>
    <x v="2"/>
    <x v="2"/>
    <x v="368"/>
    <x v="5"/>
    <x v="3"/>
    <x v="0"/>
    <x v="1"/>
    <x v="0"/>
    <x v="689"/>
    <x v="0"/>
    <x v="0"/>
  </r>
  <r>
    <x v="1206"/>
    <x v="442"/>
    <x v="438"/>
    <x v="433"/>
    <x v="964"/>
    <x v="1"/>
    <x v="2"/>
    <x v="448"/>
    <x v="412"/>
    <x v="1"/>
    <x v="33"/>
    <x v="0"/>
    <x v="0"/>
    <x v="3"/>
    <x v="1"/>
    <x v="1"/>
    <x v="2"/>
    <x v="1"/>
    <x v="3"/>
    <x v="1"/>
    <x v="1"/>
    <x v="277"/>
    <x v="1"/>
    <x v="3"/>
    <x v="4"/>
    <x v="441"/>
    <x v="2"/>
    <x v="1"/>
    <x v="4"/>
    <x v="2"/>
    <x v="1"/>
    <x v="690"/>
    <x v="0"/>
    <x v="0"/>
  </r>
  <r>
    <x v="1207"/>
    <x v="577"/>
    <x v="566"/>
    <x v="559"/>
    <x v="965"/>
    <x v="1"/>
    <x v="2"/>
    <x v="573"/>
    <x v="416"/>
    <x v="1"/>
    <x v="2"/>
    <x v="0"/>
    <x v="0"/>
    <x v="1"/>
    <x v="1"/>
    <x v="1"/>
    <x v="1"/>
    <x v="1"/>
    <x v="3"/>
    <x v="2"/>
    <x v="1"/>
    <x v="274"/>
    <x v="1"/>
    <x v="1"/>
    <x v="2"/>
    <x v="573"/>
    <x v="1"/>
    <x v="1"/>
    <x v="13"/>
    <x v="1"/>
    <x v="0"/>
    <x v="691"/>
    <x v="0"/>
    <x v="339"/>
  </r>
  <r>
    <x v="1208"/>
    <x v="464"/>
    <x v="460"/>
    <x v="454"/>
    <x v="966"/>
    <x v="1"/>
    <x v="2"/>
    <x v="469"/>
    <x v="212"/>
    <x v="6"/>
    <x v="0"/>
    <x v="0"/>
    <x v="10"/>
    <x v="3"/>
    <x v="1"/>
    <x v="1"/>
    <x v="1"/>
    <x v="1"/>
    <x v="2"/>
    <x v="1"/>
    <x v="1"/>
    <x v="276"/>
    <x v="1"/>
    <x v="3"/>
    <x v="4"/>
    <x v="462"/>
    <x v="3"/>
    <x v="1"/>
    <x v="1"/>
    <x v="1"/>
    <x v="0"/>
    <x v="692"/>
    <x v="336"/>
    <x v="0"/>
  </r>
  <r>
    <x v="1209"/>
    <x v="577"/>
    <x v="566"/>
    <x v="559"/>
    <x v="967"/>
    <x v="1"/>
    <x v="2"/>
    <x v="573"/>
    <x v="416"/>
    <x v="1"/>
    <x v="2"/>
    <x v="0"/>
    <x v="0"/>
    <x v="3"/>
    <x v="3"/>
    <x v="2"/>
    <x v="2"/>
    <x v="1"/>
    <x v="2"/>
    <x v="2"/>
    <x v="1"/>
    <x v="276"/>
    <x v="1"/>
    <x v="3"/>
    <x v="4"/>
    <x v="573"/>
    <x v="14"/>
    <x v="3"/>
    <x v="0"/>
    <x v="1"/>
    <x v="0"/>
    <x v="689"/>
    <x v="0"/>
    <x v="0"/>
  </r>
  <r>
    <x v="1210"/>
    <x v="43"/>
    <x v="42"/>
    <x v="42"/>
    <x v="968"/>
    <x v="1"/>
    <x v="2"/>
    <x v="45"/>
    <x v="417"/>
    <x v="1"/>
    <x v="2"/>
    <x v="0"/>
    <x v="0"/>
    <x v="1"/>
    <x v="3"/>
    <x v="2"/>
    <x v="1"/>
    <x v="2"/>
    <x v="2"/>
    <x v="1"/>
    <x v="1"/>
    <x v="276"/>
    <x v="2"/>
    <x v="1"/>
    <x v="2"/>
    <x v="574"/>
    <x v="5"/>
    <x v="3"/>
    <x v="0"/>
    <x v="1"/>
    <x v="0"/>
    <x v="689"/>
    <x v="0"/>
    <x v="340"/>
  </r>
  <r>
    <x v="1211"/>
    <x v="578"/>
    <x v="567"/>
    <x v="560"/>
    <x v="969"/>
    <x v="3"/>
    <x v="2"/>
    <x v="574"/>
    <x v="418"/>
    <x v="1"/>
    <x v="3"/>
    <x v="0"/>
    <x v="0"/>
    <x v="1"/>
    <x v="1"/>
    <x v="2"/>
    <x v="2"/>
    <x v="1"/>
    <x v="2"/>
    <x v="1"/>
    <x v="1"/>
    <x v="277"/>
    <x v="1"/>
    <x v="6"/>
    <x v="2"/>
    <x v="575"/>
    <x v="5"/>
    <x v="1"/>
    <x v="1"/>
    <x v="1"/>
    <x v="0"/>
    <x v="693"/>
    <x v="337"/>
    <x v="0"/>
  </r>
  <r>
    <x v="1212"/>
    <x v="579"/>
    <x v="568"/>
    <x v="561"/>
    <x v="970"/>
    <x v="1"/>
    <x v="2"/>
    <x v="575"/>
    <x v="218"/>
    <x v="1"/>
    <x v="4"/>
    <x v="0"/>
    <x v="0"/>
    <x v="1"/>
    <x v="1"/>
    <x v="1"/>
    <x v="2"/>
    <x v="1"/>
    <x v="2"/>
    <x v="1"/>
    <x v="1"/>
    <x v="276"/>
    <x v="1"/>
    <x v="6"/>
    <x v="2"/>
    <x v="576"/>
    <x v="5"/>
    <x v="3"/>
    <x v="0"/>
    <x v="1"/>
    <x v="0"/>
    <x v="694"/>
    <x v="0"/>
    <x v="198"/>
  </r>
  <r>
    <x v="1213"/>
    <x v="580"/>
    <x v="569"/>
    <x v="562"/>
    <x v="971"/>
    <x v="1"/>
    <x v="2"/>
    <x v="576"/>
    <x v="369"/>
    <x v="1"/>
    <x v="8"/>
    <x v="0"/>
    <x v="0"/>
    <x v="1"/>
    <x v="1"/>
    <x v="1"/>
    <x v="2"/>
    <x v="1"/>
    <x v="2"/>
    <x v="1"/>
    <x v="1"/>
    <x v="277"/>
    <x v="2"/>
    <x v="6"/>
    <x v="2"/>
    <x v="577"/>
    <x v="5"/>
    <x v="3"/>
    <x v="0"/>
    <x v="1"/>
    <x v="0"/>
    <x v="695"/>
    <x v="0"/>
    <x v="341"/>
  </r>
  <r>
    <x v="1214"/>
    <x v="464"/>
    <x v="460"/>
    <x v="454"/>
    <x v="0"/>
    <x v="1"/>
    <x v="2"/>
    <x v="469"/>
    <x v="196"/>
    <x v="6"/>
    <x v="0"/>
    <x v="0"/>
    <x v="10"/>
    <x v="3"/>
    <x v="1"/>
    <x v="1"/>
    <x v="2"/>
    <x v="1"/>
    <x v="2"/>
    <x v="1"/>
    <x v="2"/>
    <x v="0"/>
    <x v="2"/>
    <x v="3"/>
    <x v="4"/>
    <x v="462"/>
    <x v="5"/>
    <x v="0"/>
    <x v="0"/>
    <x v="1"/>
    <x v="0"/>
    <x v="0"/>
    <x v="0"/>
    <x v="0"/>
  </r>
  <r>
    <x v="1215"/>
    <x v="442"/>
    <x v="438"/>
    <x v="433"/>
    <x v="972"/>
    <x v="1"/>
    <x v="2"/>
    <x v="448"/>
    <x v="412"/>
    <x v="1"/>
    <x v="33"/>
    <x v="0"/>
    <x v="0"/>
    <x v="3"/>
    <x v="1"/>
    <x v="1"/>
    <x v="2"/>
    <x v="1"/>
    <x v="3"/>
    <x v="1"/>
    <x v="1"/>
    <x v="278"/>
    <x v="1"/>
    <x v="3"/>
    <x v="4"/>
    <x v="441"/>
    <x v="1"/>
    <x v="3"/>
    <x v="0"/>
    <x v="1"/>
    <x v="0"/>
    <x v="696"/>
    <x v="338"/>
    <x v="0"/>
  </r>
  <r>
    <x v="1216"/>
    <x v="581"/>
    <x v="570"/>
    <x v="563"/>
    <x v="973"/>
    <x v="3"/>
    <x v="4"/>
    <x v="577"/>
    <x v="419"/>
    <x v="1"/>
    <x v="232"/>
    <x v="0"/>
    <x v="0"/>
    <x v="1"/>
    <x v="2"/>
    <x v="3"/>
    <x v="2"/>
    <x v="1"/>
    <x v="2"/>
    <x v="1"/>
    <x v="1"/>
    <x v="277"/>
    <x v="1"/>
    <x v="1"/>
    <x v="2"/>
    <x v="578"/>
    <x v="6"/>
    <x v="1"/>
    <x v="1"/>
    <x v="2"/>
    <x v="1"/>
    <x v="697"/>
    <x v="0"/>
    <x v="342"/>
  </r>
  <r>
    <x v="1217"/>
    <x v="582"/>
    <x v="571"/>
    <x v="564"/>
    <x v="974"/>
    <x v="3"/>
    <x v="2"/>
    <x v="578"/>
    <x v="10"/>
    <x v="1"/>
    <x v="22"/>
    <x v="0"/>
    <x v="0"/>
    <x v="1"/>
    <x v="1"/>
    <x v="1"/>
    <x v="2"/>
    <x v="1"/>
    <x v="2"/>
    <x v="1"/>
    <x v="1"/>
    <x v="279"/>
    <x v="1"/>
    <x v="1"/>
    <x v="2"/>
    <x v="579"/>
    <x v="1"/>
    <x v="1"/>
    <x v="7"/>
    <x v="1"/>
    <x v="0"/>
    <x v="698"/>
    <x v="339"/>
    <x v="0"/>
  </r>
  <r>
    <x v="1218"/>
    <x v="581"/>
    <x v="570"/>
    <x v="563"/>
    <x v="975"/>
    <x v="3"/>
    <x v="4"/>
    <x v="577"/>
    <x v="419"/>
    <x v="1"/>
    <x v="233"/>
    <x v="0"/>
    <x v="0"/>
    <x v="3"/>
    <x v="1"/>
    <x v="1"/>
    <x v="2"/>
    <x v="1"/>
    <x v="2"/>
    <x v="1"/>
    <x v="1"/>
    <x v="279"/>
    <x v="2"/>
    <x v="3"/>
    <x v="4"/>
    <x v="578"/>
    <x v="5"/>
    <x v="1"/>
    <x v="7"/>
    <x v="2"/>
    <x v="1"/>
    <x v="699"/>
    <x v="0"/>
    <x v="0"/>
  </r>
  <r>
    <x v="1219"/>
    <x v="578"/>
    <x v="567"/>
    <x v="560"/>
    <x v="0"/>
    <x v="3"/>
    <x v="2"/>
    <x v="574"/>
    <x v="418"/>
    <x v="1"/>
    <x v="3"/>
    <x v="0"/>
    <x v="0"/>
    <x v="3"/>
    <x v="1"/>
    <x v="1"/>
    <x v="2"/>
    <x v="1"/>
    <x v="2"/>
    <x v="1"/>
    <x v="2"/>
    <x v="0"/>
    <x v="2"/>
    <x v="3"/>
    <x v="4"/>
    <x v="575"/>
    <x v="5"/>
    <x v="0"/>
    <x v="0"/>
    <x v="1"/>
    <x v="0"/>
    <x v="0"/>
    <x v="0"/>
    <x v="0"/>
  </r>
  <r>
    <x v="1220"/>
    <x v="583"/>
    <x v="572"/>
    <x v="565"/>
    <x v="976"/>
    <x v="1"/>
    <x v="3"/>
    <x v="46"/>
    <x v="420"/>
    <x v="1"/>
    <x v="234"/>
    <x v="0"/>
    <x v="0"/>
    <x v="1"/>
    <x v="1"/>
    <x v="1"/>
    <x v="1"/>
    <x v="1"/>
    <x v="2"/>
    <x v="1"/>
    <x v="2"/>
    <x v="0"/>
    <x v="1"/>
    <x v="1"/>
    <x v="2"/>
    <x v="580"/>
    <x v="12"/>
    <x v="0"/>
    <x v="0"/>
    <x v="1"/>
    <x v="0"/>
    <x v="0"/>
    <x v="0"/>
    <x v="0"/>
  </r>
  <r>
    <x v="1221"/>
    <x v="581"/>
    <x v="570"/>
    <x v="563"/>
    <x v="977"/>
    <x v="3"/>
    <x v="4"/>
    <x v="577"/>
    <x v="419"/>
    <x v="1"/>
    <x v="235"/>
    <x v="0"/>
    <x v="0"/>
    <x v="3"/>
    <x v="1"/>
    <x v="1"/>
    <x v="2"/>
    <x v="1"/>
    <x v="2"/>
    <x v="1"/>
    <x v="1"/>
    <x v="275"/>
    <x v="1"/>
    <x v="3"/>
    <x v="4"/>
    <x v="578"/>
    <x v="12"/>
    <x v="1"/>
    <x v="4"/>
    <x v="1"/>
    <x v="0"/>
    <x v="700"/>
    <x v="0"/>
    <x v="0"/>
  </r>
  <r>
    <x v="1222"/>
    <x v="582"/>
    <x v="571"/>
    <x v="564"/>
    <x v="0"/>
    <x v="3"/>
    <x v="1"/>
    <x v="578"/>
    <x v="151"/>
    <x v="1"/>
    <x v="22"/>
    <x v="0"/>
    <x v="0"/>
    <x v="3"/>
    <x v="1"/>
    <x v="1"/>
    <x v="2"/>
    <x v="1"/>
    <x v="2"/>
    <x v="1"/>
    <x v="2"/>
    <x v="0"/>
    <x v="2"/>
    <x v="3"/>
    <x v="4"/>
    <x v="579"/>
    <x v="12"/>
    <x v="0"/>
    <x v="0"/>
    <x v="1"/>
    <x v="0"/>
    <x v="0"/>
    <x v="0"/>
    <x v="0"/>
  </r>
  <r>
    <x v="1223"/>
    <x v="584"/>
    <x v="573"/>
    <x v="566"/>
    <x v="978"/>
    <x v="3"/>
    <x v="6"/>
    <x v="579"/>
    <x v="340"/>
    <x v="1"/>
    <x v="57"/>
    <x v="0"/>
    <x v="0"/>
    <x v="1"/>
    <x v="1"/>
    <x v="1"/>
    <x v="1"/>
    <x v="1"/>
    <x v="2"/>
    <x v="1"/>
    <x v="2"/>
    <x v="0"/>
    <x v="1"/>
    <x v="5"/>
    <x v="2"/>
    <x v="581"/>
    <x v="12"/>
    <x v="0"/>
    <x v="0"/>
    <x v="1"/>
    <x v="0"/>
    <x v="0"/>
    <x v="0"/>
    <x v="0"/>
  </r>
  <r>
    <x v="1224"/>
    <x v="575"/>
    <x v="563"/>
    <x v="556"/>
    <x v="979"/>
    <x v="1"/>
    <x v="2"/>
    <x v="571"/>
    <x v="414"/>
    <x v="1"/>
    <x v="22"/>
    <x v="0"/>
    <x v="0"/>
    <x v="3"/>
    <x v="1"/>
    <x v="1"/>
    <x v="2"/>
    <x v="1"/>
    <x v="2"/>
    <x v="1"/>
    <x v="1"/>
    <x v="280"/>
    <x v="1"/>
    <x v="3"/>
    <x v="4"/>
    <x v="569"/>
    <x v="14"/>
    <x v="1"/>
    <x v="4"/>
    <x v="1"/>
    <x v="0"/>
    <x v="701"/>
    <x v="0"/>
    <x v="343"/>
  </r>
  <r>
    <x v="1225"/>
    <x v="446"/>
    <x v="442"/>
    <x v="437"/>
    <x v="980"/>
    <x v="1"/>
    <x v="3"/>
    <x v="452"/>
    <x v="343"/>
    <x v="1"/>
    <x v="120"/>
    <x v="0"/>
    <x v="0"/>
    <x v="1"/>
    <x v="2"/>
    <x v="4"/>
    <x v="2"/>
    <x v="1"/>
    <x v="2"/>
    <x v="1"/>
    <x v="1"/>
    <x v="278"/>
    <x v="1"/>
    <x v="3"/>
    <x v="4"/>
    <x v="445"/>
    <x v="14"/>
    <x v="1"/>
    <x v="7"/>
    <x v="2"/>
    <x v="1"/>
    <x v="702"/>
    <x v="340"/>
    <x v="344"/>
  </r>
  <r>
    <x v="1226"/>
    <x v="581"/>
    <x v="570"/>
    <x v="563"/>
    <x v="0"/>
    <x v="3"/>
    <x v="4"/>
    <x v="577"/>
    <x v="419"/>
    <x v="1"/>
    <x v="235"/>
    <x v="0"/>
    <x v="0"/>
    <x v="3"/>
    <x v="1"/>
    <x v="1"/>
    <x v="2"/>
    <x v="1"/>
    <x v="2"/>
    <x v="1"/>
    <x v="1"/>
    <x v="278"/>
    <x v="2"/>
    <x v="3"/>
    <x v="4"/>
    <x v="578"/>
    <x v="1"/>
    <x v="3"/>
    <x v="0"/>
    <x v="1"/>
    <x v="0"/>
    <x v="703"/>
    <x v="341"/>
    <x v="0"/>
  </r>
  <r>
    <x v="1227"/>
    <x v="585"/>
    <x v="574"/>
    <x v="567"/>
    <x v="981"/>
    <x v="1"/>
    <x v="2"/>
    <x v="580"/>
    <x v="283"/>
    <x v="1"/>
    <x v="3"/>
    <x v="0"/>
    <x v="0"/>
    <x v="1"/>
    <x v="3"/>
    <x v="2"/>
    <x v="2"/>
    <x v="1"/>
    <x v="2"/>
    <x v="1"/>
    <x v="1"/>
    <x v="281"/>
    <x v="1"/>
    <x v="3"/>
    <x v="4"/>
    <x v="582"/>
    <x v="0"/>
    <x v="1"/>
    <x v="4"/>
    <x v="2"/>
    <x v="1"/>
    <x v="704"/>
    <x v="0"/>
    <x v="345"/>
  </r>
  <r>
    <x v="1228"/>
    <x v="446"/>
    <x v="442"/>
    <x v="437"/>
    <x v="982"/>
    <x v="1"/>
    <x v="2"/>
    <x v="452"/>
    <x v="347"/>
    <x v="1"/>
    <x v="161"/>
    <x v="0"/>
    <x v="0"/>
    <x v="3"/>
    <x v="1"/>
    <x v="1"/>
    <x v="2"/>
    <x v="1"/>
    <x v="2"/>
    <x v="1"/>
    <x v="1"/>
    <x v="281"/>
    <x v="1"/>
    <x v="3"/>
    <x v="4"/>
    <x v="445"/>
    <x v="12"/>
    <x v="1"/>
    <x v="4"/>
    <x v="2"/>
    <x v="1"/>
    <x v="705"/>
    <x v="0"/>
    <x v="346"/>
  </r>
  <r>
    <x v="1229"/>
    <x v="585"/>
    <x v="574"/>
    <x v="567"/>
    <x v="983"/>
    <x v="1"/>
    <x v="2"/>
    <x v="580"/>
    <x v="283"/>
    <x v="1"/>
    <x v="3"/>
    <x v="0"/>
    <x v="0"/>
    <x v="3"/>
    <x v="3"/>
    <x v="2"/>
    <x v="2"/>
    <x v="1"/>
    <x v="2"/>
    <x v="1"/>
    <x v="1"/>
    <x v="282"/>
    <x v="1"/>
    <x v="3"/>
    <x v="4"/>
    <x v="582"/>
    <x v="1"/>
    <x v="1"/>
    <x v="1"/>
    <x v="1"/>
    <x v="0"/>
    <x v="706"/>
    <x v="342"/>
    <x v="0"/>
  </r>
  <r>
    <x v="1230"/>
    <x v="446"/>
    <x v="442"/>
    <x v="437"/>
    <x v="0"/>
    <x v="1"/>
    <x v="2"/>
    <x v="452"/>
    <x v="421"/>
    <x v="1"/>
    <x v="161"/>
    <x v="0"/>
    <x v="0"/>
    <x v="3"/>
    <x v="1"/>
    <x v="1"/>
    <x v="2"/>
    <x v="1"/>
    <x v="2"/>
    <x v="1"/>
    <x v="2"/>
    <x v="0"/>
    <x v="2"/>
    <x v="3"/>
    <x v="4"/>
    <x v="445"/>
    <x v="1"/>
    <x v="0"/>
    <x v="0"/>
    <x v="1"/>
    <x v="0"/>
    <x v="0"/>
    <x v="0"/>
    <x v="0"/>
  </r>
  <r>
    <x v="1231"/>
    <x v="586"/>
    <x v="575"/>
    <x v="568"/>
    <x v="984"/>
    <x v="3"/>
    <x v="2"/>
    <x v="437"/>
    <x v="353"/>
    <x v="1"/>
    <x v="33"/>
    <x v="0"/>
    <x v="0"/>
    <x v="1"/>
    <x v="3"/>
    <x v="2"/>
    <x v="2"/>
    <x v="1"/>
    <x v="2"/>
    <x v="1"/>
    <x v="1"/>
    <x v="283"/>
    <x v="2"/>
    <x v="1"/>
    <x v="2"/>
    <x v="583"/>
    <x v="3"/>
    <x v="3"/>
    <x v="0"/>
    <x v="1"/>
    <x v="0"/>
    <x v="707"/>
    <x v="343"/>
    <x v="0"/>
  </r>
  <r>
    <x v="1232"/>
    <x v="554"/>
    <x v="546"/>
    <x v="539"/>
    <x v="985"/>
    <x v="1"/>
    <x v="2"/>
    <x v="555"/>
    <x v="238"/>
    <x v="1"/>
    <x v="15"/>
    <x v="0"/>
    <x v="0"/>
    <x v="1"/>
    <x v="3"/>
    <x v="2"/>
    <x v="2"/>
    <x v="1"/>
    <x v="2"/>
    <x v="1"/>
    <x v="1"/>
    <x v="282"/>
    <x v="1"/>
    <x v="2"/>
    <x v="2"/>
    <x v="550"/>
    <x v="3"/>
    <x v="3"/>
    <x v="0"/>
    <x v="1"/>
    <x v="0"/>
    <x v="708"/>
    <x v="0"/>
    <x v="0"/>
  </r>
  <r>
    <x v="1233"/>
    <x v="587"/>
    <x v="576"/>
    <x v="569"/>
    <x v="986"/>
    <x v="2"/>
    <x v="4"/>
    <x v="581"/>
    <x v="269"/>
    <x v="1"/>
    <x v="236"/>
    <x v="0"/>
    <x v="0"/>
    <x v="1"/>
    <x v="1"/>
    <x v="1"/>
    <x v="2"/>
    <x v="2"/>
    <x v="1"/>
    <x v="1"/>
    <x v="1"/>
    <x v="282"/>
    <x v="1"/>
    <x v="1"/>
    <x v="2"/>
    <x v="584"/>
    <x v="4"/>
    <x v="1"/>
    <x v="1"/>
    <x v="2"/>
    <x v="1"/>
    <x v="709"/>
    <x v="344"/>
    <x v="0"/>
  </r>
  <r>
    <x v="1234"/>
    <x v="588"/>
    <x v="577"/>
    <x v="570"/>
    <x v="987"/>
    <x v="1"/>
    <x v="2"/>
    <x v="582"/>
    <x v="374"/>
    <x v="1"/>
    <x v="237"/>
    <x v="0"/>
    <x v="0"/>
    <x v="1"/>
    <x v="1"/>
    <x v="1"/>
    <x v="2"/>
    <x v="1"/>
    <x v="2"/>
    <x v="1"/>
    <x v="2"/>
    <x v="0"/>
    <x v="1"/>
    <x v="1"/>
    <x v="2"/>
    <x v="585"/>
    <x v="5"/>
    <x v="0"/>
    <x v="0"/>
    <x v="1"/>
    <x v="0"/>
    <x v="0"/>
    <x v="0"/>
    <x v="0"/>
  </r>
  <r>
    <x v="1235"/>
    <x v="589"/>
    <x v="576"/>
    <x v="569"/>
    <x v="988"/>
    <x v="2"/>
    <x v="4"/>
    <x v="581"/>
    <x v="269"/>
    <x v="1"/>
    <x v="236"/>
    <x v="0"/>
    <x v="0"/>
    <x v="3"/>
    <x v="1"/>
    <x v="1"/>
    <x v="2"/>
    <x v="2"/>
    <x v="2"/>
    <x v="1"/>
    <x v="1"/>
    <x v="284"/>
    <x v="2"/>
    <x v="3"/>
    <x v="4"/>
    <x v="584"/>
    <x v="5"/>
    <x v="1"/>
    <x v="7"/>
    <x v="1"/>
    <x v="0"/>
    <x v="710"/>
    <x v="0"/>
    <x v="0"/>
  </r>
  <r>
    <x v="1236"/>
    <x v="445"/>
    <x v="441"/>
    <x v="436"/>
    <x v="989"/>
    <x v="1"/>
    <x v="2"/>
    <x v="451"/>
    <x v="324"/>
    <x v="1"/>
    <x v="15"/>
    <x v="0"/>
    <x v="0"/>
    <x v="1"/>
    <x v="1"/>
    <x v="1"/>
    <x v="1"/>
    <x v="1"/>
    <x v="2"/>
    <x v="1"/>
    <x v="2"/>
    <x v="0"/>
    <x v="1"/>
    <x v="1"/>
    <x v="2"/>
    <x v="444"/>
    <x v="2"/>
    <x v="0"/>
    <x v="0"/>
    <x v="1"/>
    <x v="0"/>
    <x v="0"/>
    <x v="0"/>
    <x v="0"/>
  </r>
  <r>
    <x v="1237"/>
    <x v="590"/>
    <x v="578"/>
    <x v="571"/>
    <x v="990"/>
    <x v="1"/>
    <x v="1"/>
    <x v="583"/>
    <x v="422"/>
    <x v="1"/>
    <x v="27"/>
    <x v="0"/>
    <x v="0"/>
    <x v="1"/>
    <x v="3"/>
    <x v="3"/>
    <x v="2"/>
    <x v="1"/>
    <x v="2"/>
    <x v="1"/>
    <x v="1"/>
    <x v="285"/>
    <x v="2"/>
    <x v="1"/>
    <x v="2"/>
    <x v="586"/>
    <x v="15"/>
    <x v="1"/>
    <x v="1"/>
    <x v="1"/>
    <x v="0"/>
    <x v="711"/>
    <x v="0"/>
    <x v="0"/>
  </r>
  <r>
    <x v="1238"/>
    <x v="585"/>
    <x v="574"/>
    <x v="567"/>
    <x v="0"/>
    <x v="1"/>
    <x v="2"/>
    <x v="580"/>
    <x v="283"/>
    <x v="1"/>
    <x v="3"/>
    <x v="0"/>
    <x v="0"/>
    <x v="3"/>
    <x v="1"/>
    <x v="1"/>
    <x v="2"/>
    <x v="1"/>
    <x v="2"/>
    <x v="1"/>
    <x v="2"/>
    <x v="0"/>
    <x v="2"/>
    <x v="3"/>
    <x v="4"/>
    <x v="582"/>
    <x v="5"/>
    <x v="0"/>
    <x v="0"/>
    <x v="1"/>
    <x v="0"/>
    <x v="0"/>
    <x v="0"/>
    <x v="0"/>
  </r>
  <r>
    <x v="1239"/>
    <x v="591"/>
    <x v="579"/>
    <x v="572"/>
    <x v="991"/>
    <x v="1"/>
    <x v="2"/>
    <x v="584"/>
    <x v="293"/>
    <x v="1"/>
    <x v="33"/>
    <x v="0"/>
    <x v="0"/>
    <x v="1"/>
    <x v="1"/>
    <x v="1"/>
    <x v="2"/>
    <x v="1"/>
    <x v="1"/>
    <x v="1"/>
    <x v="1"/>
    <x v="284"/>
    <x v="1"/>
    <x v="5"/>
    <x v="2"/>
    <x v="587"/>
    <x v="14"/>
    <x v="3"/>
    <x v="0"/>
    <x v="1"/>
    <x v="0"/>
    <x v="712"/>
    <x v="345"/>
    <x v="0"/>
  </r>
  <r>
    <x v="1240"/>
    <x v="590"/>
    <x v="578"/>
    <x v="571"/>
    <x v="0"/>
    <x v="1"/>
    <x v="1"/>
    <x v="583"/>
    <x v="422"/>
    <x v="1"/>
    <x v="27"/>
    <x v="0"/>
    <x v="0"/>
    <x v="3"/>
    <x v="4"/>
    <x v="1"/>
    <x v="2"/>
    <x v="1"/>
    <x v="2"/>
    <x v="1"/>
    <x v="1"/>
    <x v="286"/>
    <x v="2"/>
    <x v="3"/>
    <x v="4"/>
    <x v="586"/>
    <x v="5"/>
    <x v="1"/>
    <x v="4"/>
    <x v="2"/>
    <x v="1"/>
    <x v="713"/>
    <x v="346"/>
    <x v="0"/>
  </r>
  <r>
    <x v="1241"/>
    <x v="464"/>
    <x v="460"/>
    <x v="454"/>
    <x v="992"/>
    <x v="1"/>
    <x v="2"/>
    <x v="469"/>
    <x v="384"/>
    <x v="6"/>
    <x v="0"/>
    <x v="0"/>
    <x v="10"/>
    <x v="1"/>
    <x v="3"/>
    <x v="3"/>
    <x v="2"/>
    <x v="1"/>
    <x v="2"/>
    <x v="1"/>
    <x v="1"/>
    <x v="284"/>
    <x v="1"/>
    <x v="1"/>
    <x v="2"/>
    <x v="462"/>
    <x v="14"/>
    <x v="1"/>
    <x v="4"/>
    <x v="1"/>
    <x v="0"/>
    <x v="714"/>
    <x v="347"/>
    <x v="0"/>
  </r>
  <r>
    <x v="1242"/>
    <x v="592"/>
    <x v="580"/>
    <x v="573"/>
    <x v="993"/>
    <x v="1"/>
    <x v="1"/>
    <x v="585"/>
    <x v="389"/>
    <x v="1"/>
    <x v="238"/>
    <x v="0"/>
    <x v="0"/>
    <x v="1"/>
    <x v="2"/>
    <x v="4"/>
    <x v="2"/>
    <x v="1"/>
    <x v="2"/>
    <x v="1"/>
    <x v="2"/>
    <x v="0"/>
    <x v="1"/>
    <x v="1"/>
    <x v="5"/>
    <x v="588"/>
    <x v="16"/>
    <x v="0"/>
    <x v="0"/>
    <x v="1"/>
    <x v="0"/>
    <x v="0"/>
    <x v="0"/>
    <x v="0"/>
  </r>
  <r>
    <x v="1243"/>
    <x v="593"/>
    <x v="581"/>
    <x v="574"/>
    <x v="994"/>
    <x v="1"/>
    <x v="2"/>
    <x v="586"/>
    <x v="10"/>
    <x v="1"/>
    <x v="33"/>
    <x v="0"/>
    <x v="0"/>
    <x v="1"/>
    <x v="3"/>
    <x v="3"/>
    <x v="2"/>
    <x v="1"/>
    <x v="2"/>
    <x v="1"/>
    <x v="1"/>
    <x v="284"/>
    <x v="1"/>
    <x v="1"/>
    <x v="2"/>
    <x v="589"/>
    <x v="14"/>
    <x v="1"/>
    <x v="4"/>
    <x v="2"/>
    <x v="1"/>
    <x v="715"/>
    <x v="0"/>
    <x v="0"/>
  </r>
  <r>
    <x v="1244"/>
    <x v="594"/>
    <x v="582"/>
    <x v="575"/>
    <x v="995"/>
    <x v="1"/>
    <x v="3"/>
    <x v="587"/>
    <x v="10"/>
    <x v="1"/>
    <x v="161"/>
    <x v="0"/>
    <x v="0"/>
    <x v="1"/>
    <x v="2"/>
    <x v="4"/>
    <x v="2"/>
    <x v="1"/>
    <x v="2"/>
    <x v="1"/>
    <x v="1"/>
    <x v="284"/>
    <x v="1"/>
    <x v="5"/>
    <x v="2"/>
    <x v="590"/>
    <x v="5"/>
    <x v="1"/>
    <x v="4"/>
    <x v="2"/>
    <x v="1"/>
    <x v="716"/>
    <x v="348"/>
    <x v="0"/>
  </r>
  <r>
    <x v="1245"/>
    <x v="589"/>
    <x v="576"/>
    <x v="569"/>
    <x v="0"/>
    <x v="2"/>
    <x v="4"/>
    <x v="581"/>
    <x v="269"/>
    <x v="1"/>
    <x v="239"/>
    <x v="0"/>
    <x v="0"/>
    <x v="3"/>
    <x v="1"/>
    <x v="1"/>
    <x v="2"/>
    <x v="1"/>
    <x v="2"/>
    <x v="1"/>
    <x v="2"/>
    <x v="0"/>
    <x v="2"/>
    <x v="3"/>
    <x v="4"/>
    <x v="584"/>
    <x v="12"/>
    <x v="0"/>
    <x v="0"/>
    <x v="1"/>
    <x v="0"/>
    <x v="0"/>
    <x v="0"/>
    <x v="0"/>
  </r>
  <r>
    <x v="1246"/>
    <x v="593"/>
    <x v="581"/>
    <x v="574"/>
    <x v="996"/>
    <x v="1"/>
    <x v="2"/>
    <x v="586"/>
    <x v="158"/>
    <x v="1"/>
    <x v="33"/>
    <x v="0"/>
    <x v="0"/>
    <x v="3"/>
    <x v="1"/>
    <x v="1"/>
    <x v="2"/>
    <x v="1"/>
    <x v="2"/>
    <x v="1"/>
    <x v="1"/>
    <x v="287"/>
    <x v="1"/>
    <x v="3"/>
    <x v="4"/>
    <x v="589"/>
    <x v="1"/>
    <x v="3"/>
    <x v="0"/>
    <x v="1"/>
    <x v="0"/>
    <x v="717"/>
    <x v="349"/>
    <x v="0"/>
  </r>
  <r>
    <x v="1247"/>
    <x v="595"/>
    <x v="583"/>
    <x v="576"/>
    <x v="997"/>
    <x v="1"/>
    <x v="2"/>
    <x v="588"/>
    <x v="203"/>
    <x v="2"/>
    <x v="0"/>
    <x v="2"/>
    <x v="0"/>
    <x v="1"/>
    <x v="1"/>
    <x v="1"/>
    <x v="2"/>
    <x v="1"/>
    <x v="2"/>
    <x v="1"/>
    <x v="2"/>
    <x v="0"/>
    <x v="1"/>
    <x v="1"/>
    <x v="2"/>
    <x v="591"/>
    <x v="12"/>
    <x v="0"/>
    <x v="0"/>
    <x v="1"/>
    <x v="0"/>
    <x v="0"/>
    <x v="0"/>
    <x v="0"/>
  </r>
  <r>
    <x v="1248"/>
    <x v="596"/>
    <x v="582"/>
    <x v="575"/>
    <x v="998"/>
    <x v="1"/>
    <x v="3"/>
    <x v="587"/>
    <x v="10"/>
    <x v="1"/>
    <x v="161"/>
    <x v="0"/>
    <x v="0"/>
    <x v="3"/>
    <x v="1"/>
    <x v="1"/>
    <x v="2"/>
    <x v="1"/>
    <x v="2"/>
    <x v="1"/>
    <x v="1"/>
    <x v="286"/>
    <x v="1"/>
    <x v="3"/>
    <x v="4"/>
    <x v="590"/>
    <x v="1"/>
    <x v="1"/>
    <x v="4"/>
    <x v="1"/>
    <x v="0"/>
    <x v="718"/>
    <x v="0"/>
    <x v="0"/>
  </r>
  <r>
    <x v="1249"/>
    <x v="464"/>
    <x v="460"/>
    <x v="454"/>
    <x v="0"/>
    <x v="1"/>
    <x v="2"/>
    <x v="469"/>
    <x v="423"/>
    <x v="6"/>
    <x v="0"/>
    <x v="0"/>
    <x v="10"/>
    <x v="3"/>
    <x v="4"/>
    <x v="1"/>
    <x v="2"/>
    <x v="1"/>
    <x v="2"/>
    <x v="1"/>
    <x v="2"/>
    <x v="0"/>
    <x v="2"/>
    <x v="3"/>
    <x v="4"/>
    <x v="462"/>
    <x v="1"/>
    <x v="0"/>
    <x v="0"/>
    <x v="1"/>
    <x v="0"/>
    <x v="0"/>
    <x v="0"/>
    <x v="0"/>
  </r>
  <r>
    <x v="1250"/>
    <x v="596"/>
    <x v="582"/>
    <x v="575"/>
    <x v="0"/>
    <x v="1"/>
    <x v="3"/>
    <x v="587"/>
    <x v="10"/>
    <x v="1"/>
    <x v="161"/>
    <x v="0"/>
    <x v="0"/>
    <x v="3"/>
    <x v="1"/>
    <x v="1"/>
    <x v="2"/>
    <x v="1"/>
    <x v="2"/>
    <x v="1"/>
    <x v="2"/>
    <x v="0"/>
    <x v="2"/>
    <x v="3"/>
    <x v="4"/>
    <x v="590"/>
    <x v="1"/>
    <x v="0"/>
    <x v="0"/>
    <x v="1"/>
    <x v="0"/>
    <x v="0"/>
    <x v="0"/>
    <x v="0"/>
  </r>
  <r>
    <x v="1251"/>
    <x v="590"/>
    <x v="578"/>
    <x v="571"/>
    <x v="999"/>
    <x v="1"/>
    <x v="1"/>
    <x v="583"/>
    <x v="422"/>
    <x v="1"/>
    <x v="27"/>
    <x v="0"/>
    <x v="0"/>
    <x v="3"/>
    <x v="1"/>
    <x v="1"/>
    <x v="2"/>
    <x v="1"/>
    <x v="2"/>
    <x v="1"/>
    <x v="2"/>
    <x v="0"/>
    <x v="2"/>
    <x v="3"/>
    <x v="4"/>
    <x v="586"/>
    <x v="1"/>
    <x v="0"/>
    <x v="0"/>
    <x v="1"/>
    <x v="0"/>
    <x v="0"/>
    <x v="0"/>
    <x v="0"/>
  </r>
  <r>
    <x v="1252"/>
    <x v="597"/>
    <x v="584"/>
    <x v="577"/>
    <x v="1000"/>
    <x v="1"/>
    <x v="2"/>
    <x v="589"/>
    <x v="10"/>
    <x v="1"/>
    <x v="31"/>
    <x v="0"/>
    <x v="0"/>
    <x v="1"/>
    <x v="7"/>
    <x v="3"/>
    <x v="2"/>
    <x v="1"/>
    <x v="1"/>
    <x v="1"/>
    <x v="1"/>
    <x v="287"/>
    <x v="1"/>
    <x v="6"/>
    <x v="3"/>
    <x v="592"/>
    <x v="14"/>
    <x v="3"/>
    <x v="0"/>
    <x v="1"/>
    <x v="0"/>
    <x v="719"/>
    <x v="350"/>
    <x v="0"/>
  </r>
  <r>
    <x v="1253"/>
    <x v="491"/>
    <x v="484"/>
    <x v="478"/>
    <x v="1001"/>
    <x v="1"/>
    <x v="2"/>
    <x v="499"/>
    <x v="384"/>
    <x v="6"/>
    <x v="0"/>
    <x v="0"/>
    <x v="27"/>
    <x v="1"/>
    <x v="1"/>
    <x v="1"/>
    <x v="2"/>
    <x v="1"/>
    <x v="2"/>
    <x v="1"/>
    <x v="1"/>
    <x v="287"/>
    <x v="1"/>
    <x v="6"/>
    <x v="3"/>
    <x v="488"/>
    <x v="14"/>
    <x v="3"/>
    <x v="0"/>
    <x v="1"/>
    <x v="0"/>
    <x v="720"/>
    <x v="351"/>
    <x v="0"/>
  </r>
  <r>
    <x v="1254"/>
    <x v="598"/>
    <x v="585"/>
    <x v="578"/>
    <x v="1002"/>
    <x v="1"/>
    <x v="2"/>
    <x v="590"/>
    <x v="424"/>
    <x v="1"/>
    <x v="3"/>
    <x v="0"/>
    <x v="0"/>
    <x v="1"/>
    <x v="3"/>
    <x v="2"/>
    <x v="1"/>
    <x v="1"/>
    <x v="2"/>
    <x v="1"/>
    <x v="1"/>
    <x v="288"/>
    <x v="1"/>
    <x v="4"/>
    <x v="2"/>
    <x v="593"/>
    <x v="3"/>
    <x v="1"/>
    <x v="1"/>
    <x v="1"/>
    <x v="0"/>
    <x v="721"/>
    <x v="352"/>
    <x v="0"/>
  </r>
  <r>
    <x v="1255"/>
    <x v="562"/>
    <x v="491"/>
    <x v="484"/>
    <x v="1003"/>
    <x v="3"/>
    <x v="2"/>
    <x v="500"/>
    <x v="323"/>
    <x v="1"/>
    <x v="2"/>
    <x v="0"/>
    <x v="0"/>
    <x v="1"/>
    <x v="1"/>
    <x v="1"/>
    <x v="1"/>
    <x v="2"/>
    <x v="2"/>
    <x v="1"/>
    <x v="2"/>
    <x v="0"/>
    <x v="1"/>
    <x v="5"/>
    <x v="2"/>
    <x v="494"/>
    <x v="3"/>
    <x v="0"/>
    <x v="0"/>
    <x v="1"/>
    <x v="0"/>
    <x v="0"/>
    <x v="0"/>
    <x v="0"/>
  </r>
  <r>
    <x v="1256"/>
    <x v="575"/>
    <x v="563"/>
    <x v="556"/>
    <x v="0"/>
    <x v="1"/>
    <x v="2"/>
    <x v="571"/>
    <x v="414"/>
    <x v="1"/>
    <x v="22"/>
    <x v="0"/>
    <x v="0"/>
    <x v="3"/>
    <x v="1"/>
    <x v="1"/>
    <x v="2"/>
    <x v="1"/>
    <x v="2"/>
    <x v="1"/>
    <x v="2"/>
    <x v="0"/>
    <x v="2"/>
    <x v="3"/>
    <x v="4"/>
    <x v="569"/>
    <x v="1"/>
    <x v="0"/>
    <x v="0"/>
    <x v="1"/>
    <x v="0"/>
    <x v="0"/>
    <x v="0"/>
    <x v="0"/>
  </r>
  <r>
    <x v="1257"/>
    <x v="460"/>
    <x v="456"/>
    <x v="450"/>
    <x v="1004"/>
    <x v="1"/>
    <x v="2"/>
    <x v="465"/>
    <x v="199"/>
    <x v="1"/>
    <x v="2"/>
    <x v="0"/>
    <x v="0"/>
    <x v="1"/>
    <x v="3"/>
    <x v="3"/>
    <x v="1"/>
    <x v="1"/>
    <x v="2"/>
    <x v="1"/>
    <x v="1"/>
    <x v="280"/>
    <x v="1"/>
    <x v="1"/>
    <x v="2"/>
    <x v="458"/>
    <x v="2"/>
    <x v="3"/>
    <x v="0"/>
    <x v="1"/>
    <x v="0"/>
    <x v="722"/>
    <x v="353"/>
    <x v="347"/>
  </r>
  <r>
    <x v="1258"/>
    <x v="599"/>
    <x v="586"/>
    <x v="579"/>
    <x v="1005"/>
    <x v="1"/>
    <x v="1"/>
    <x v="347"/>
    <x v="425"/>
    <x v="1"/>
    <x v="2"/>
    <x v="0"/>
    <x v="0"/>
    <x v="1"/>
    <x v="2"/>
    <x v="3"/>
    <x v="1"/>
    <x v="1"/>
    <x v="2"/>
    <x v="1"/>
    <x v="1"/>
    <x v="289"/>
    <x v="1"/>
    <x v="1"/>
    <x v="2"/>
    <x v="594"/>
    <x v="2"/>
    <x v="1"/>
    <x v="1"/>
    <x v="1"/>
    <x v="0"/>
    <x v="723"/>
    <x v="0"/>
    <x v="0"/>
  </r>
  <r>
    <x v="1259"/>
    <x v="335"/>
    <x v="335"/>
    <x v="330"/>
    <x v="1006"/>
    <x v="1"/>
    <x v="2"/>
    <x v="350"/>
    <x v="269"/>
    <x v="1"/>
    <x v="3"/>
    <x v="0"/>
    <x v="0"/>
    <x v="1"/>
    <x v="3"/>
    <x v="2"/>
    <x v="1"/>
    <x v="1"/>
    <x v="2"/>
    <x v="1"/>
    <x v="1"/>
    <x v="289"/>
    <x v="1"/>
    <x v="1"/>
    <x v="2"/>
    <x v="337"/>
    <x v="5"/>
    <x v="3"/>
    <x v="0"/>
    <x v="1"/>
    <x v="0"/>
    <x v="724"/>
    <x v="354"/>
    <x v="0"/>
  </r>
  <r>
    <x v="1260"/>
    <x v="599"/>
    <x v="586"/>
    <x v="579"/>
    <x v="0"/>
    <x v="1"/>
    <x v="1"/>
    <x v="347"/>
    <x v="425"/>
    <x v="1"/>
    <x v="2"/>
    <x v="0"/>
    <x v="0"/>
    <x v="3"/>
    <x v="4"/>
    <x v="1"/>
    <x v="2"/>
    <x v="1"/>
    <x v="2"/>
    <x v="1"/>
    <x v="2"/>
    <x v="0"/>
    <x v="2"/>
    <x v="3"/>
    <x v="4"/>
    <x v="594"/>
    <x v="5"/>
    <x v="0"/>
    <x v="0"/>
    <x v="1"/>
    <x v="0"/>
    <x v="0"/>
    <x v="0"/>
    <x v="0"/>
  </r>
  <r>
    <x v="1261"/>
    <x v="600"/>
    <x v="587"/>
    <x v="580"/>
    <x v="1007"/>
    <x v="3"/>
    <x v="4"/>
    <x v="591"/>
    <x v="359"/>
    <x v="1"/>
    <x v="15"/>
    <x v="0"/>
    <x v="0"/>
    <x v="1"/>
    <x v="3"/>
    <x v="3"/>
    <x v="2"/>
    <x v="2"/>
    <x v="2"/>
    <x v="1"/>
    <x v="1"/>
    <x v="288"/>
    <x v="1"/>
    <x v="5"/>
    <x v="2"/>
    <x v="595"/>
    <x v="5"/>
    <x v="3"/>
    <x v="0"/>
    <x v="1"/>
    <x v="0"/>
    <x v="725"/>
    <x v="355"/>
    <x v="348"/>
  </r>
  <r>
    <x v="1262"/>
    <x v="471"/>
    <x v="466"/>
    <x v="460"/>
    <x v="1008"/>
    <x v="1"/>
    <x v="2"/>
    <x v="476"/>
    <x v="341"/>
    <x v="1"/>
    <x v="33"/>
    <x v="0"/>
    <x v="0"/>
    <x v="1"/>
    <x v="3"/>
    <x v="2"/>
    <x v="2"/>
    <x v="1"/>
    <x v="3"/>
    <x v="1"/>
    <x v="1"/>
    <x v="288"/>
    <x v="1"/>
    <x v="2"/>
    <x v="3"/>
    <x v="468"/>
    <x v="5"/>
    <x v="1"/>
    <x v="1"/>
    <x v="1"/>
    <x v="0"/>
    <x v="726"/>
    <x v="0"/>
    <x v="194"/>
  </r>
  <r>
    <x v="1263"/>
    <x v="601"/>
    <x v="588"/>
    <x v="581"/>
    <x v="1009"/>
    <x v="1"/>
    <x v="2"/>
    <x v="592"/>
    <x v="10"/>
    <x v="2"/>
    <x v="0"/>
    <x v="2"/>
    <x v="0"/>
    <x v="1"/>
    <x v="3"/>
    <x v="3"/>
    <x v="2"/>
    <x v="1"/>
    <x v="1"/>
    <x v="1"/>
    <x v="1"/>
    <x v="288"/>
    <x v="2"/>
    <x v="1"/>
    <x v="2"/>
    <x v="596"/>
    <x v="14"/>
    <x v="1"/>
    <x v="13"/>
    <x v="1"/>
    <x v="0"/>
    <x v="727"/>
    <x v="0"/>
    <x v="349"/>
  </r>
  <r>
    <x v="1264"/>
    <x v="602"/>
    <x v="589"/>
    <x v="582"/>
    <x v="1010"/>
    <x v="1"/>
    <x v="2"/>
    <x v="593"/>
    <x v="351"/>
    <x v="1"/>
    <x v="240"/>
    <x v="0"/>
    <x v="0"/>
    <x v="1"/>
    <x v="5"/>
    <x v="4"/>
    <x v="1"/>
    <x v="1"/>
    <x v="2"/>
    <x v="1"/>
    <x v="1"/>
    <x v="290"/>
    <x v="1"/>
    <x v="1"/>
    <x v="13"/>
    <x v="597"/>
    <x v="15"/>
    <x v="3"/>
    <x v="0"/>
    <x v="1"/>
    <x v="0"/>
    <x v="728"/>
    <x v="356"/>
    <x v="350"/>
  </r>
  <r>
    <x v="1265"/>
    <x v="471"/>
    <x v="466"/>
    <x v="460"/>
    <x v="0"/>
    <x v="1"/>
    <x v="2"/>
    <x v="476"/>
    <x v="341"/>
    <x v="1"/>
    <x v="33"/>
    <x v="0"/>
    <x v="0"/>
    <x v="3"/>
    <x v="1"/>
    <x v="2"/>
    <x v="2"/>
    <x v="1"/>
    <x v="3"/>
    <x v="1"/>
    <x v="1"/>
    <x v="291"/>
    <x v="2"/>
    <x v="3"/>
    <x v="4"/>
    <x v="468"/>
    <x v="5"/>
    <x v="1"/>
    <x v="5"/>
    <x v="1"/>
    <x v="1"/>
    <x v="729"/>
    <x v="357"/>
    <x v="198"/>
  </r>
  <r>
    <x v="1266"/>
    <x v="601"/>
    <x v="588"/>
    <x v="581"/>
    <x v="0"/>
    <x v="1"/>
    <x v="2"/>
    <x v="592"/>
    <x v="10"/>
    <x v="2"/>
    <x v="0"/>
    <x v="2"/>
    <x v="0"/>
    <x v="3"/>
    <x v="4"/>
    <x v="1"/>
    <x v="2"/>
    <x v="1"/>
    <x v="2"/>
    <x v="1"/>
    <x v="2"/>
    <x v="0"/>
    <x v="2"/>
    <x v="3"/>
    <x v="4"/>
    <x v="598"/>
    <x v="14"/>
    <x v="0"/>
    <x v="0"/>
    <x v="1"/>
    <x v="0"/>
    <x v="0"/>
    <x v="0"/>
    <x v="0"/>
  </r>
  <r>
    <x v="1267"/>
    <x v="598"/>
    <x v="585"/>
    <x v="578"/>
    <x v="0"/>
    <x v="1"/>
    <x v="2"/>
    <x v="590"/>
    <x v="424"/>
    <x v="1"/>
    <x v="3"/>
    <x v="0"/>
    <x v="0"/>
    <x v="3"/>
    <x v="6"/>
    <x v="2"/>
    <x v="2"/>
    <x v="1"/>
    <x v="2"/>
    <x v="1"/>
    <x v="1"/>
    <x v="292"/>
    <x v="2"/>
    <x v="3"/>
    <x v="4"/>
    <x v="593"/>
    <x v="5"/>
    <x v="1"/>
    <x v="1"/>
    <x v="1"/>
    <x v="0"/>
    <x v="730"/>
    <x v="0"/>
    <x v="0"/>
  </r>
  <r>
    <x v="1268"/>
    <x v="603"/>
    <x v="590"/>
    <x v="583"/>
    <x v="1011"/>
    <x v="1"/>
    <x v="2"/>
    <x v="594"/>
    <x v="244"/>
    <x v="1"/>
    <x v="241"/>
    <x v="0"/>
    <x v="0"/>
    <x v="1"/>
    <x v="1"/>
    <x v="2"/>
    <x v="1"/>
    <x v="1"/>
    <x v="2"/>
    <x v="1"/>
    <x v="2"/>
    <x v="0"/>
    <x v="1"/>
    <x v="5"/>
    <x v="2"/>
    <x v="599"/>
    <x v="5"/>
    <x v="0"/>
    <x v="0"/>
    <x v="1"/>
    <x v="0"/>
    <x v="0"/>
    <x v="0"/>
    <x v="0"/>
  </r>
  <r>
    <x v="1269"/>
    <x v="604"/>
    <x v="591"/>
    <x v="584"/>
    <x v="1012"/>
    <x v="1"/>
    <x v="2"/>
    <x v="595"/>
    <x v="426"/>
    <x v="1"/>
    <x v="22"/>
    <x v="0"/>
    <x v="0"/>
    <x v="1"/>
    <x v="2"/>
    <x v="3"/>
    <x v="1"/>
    <x v="1"/>
    <x v="2"/>
    <x v="1"/>
    <x v="1"/>
    <x v="291"/>
    <x v="1"/>
    <x v="1"/>
    <x v="2"/>
    <x v="600"/>
    <x v="17"/>
    <x v="3"/>
    <x v="0"/>
    <x v="1"/>
    <x v="0"/>
    <x v="729"/>
    <x v="358"/>
    <x v="0"/>
  </r>
  <r>
    <x v="1270"/>
    <x v="471"/>
    <x v="466"/>
    <x v="460"/>
    <x v="1013"/>
    <x v="1"/>
    <x v="2"/>
    <x v="476"/>
    <x v="341"/>
    <x v="1"/>
    <x v="33"/>
    <x v="0"/>
    <x v="0"/>
    <x v="3"/>
    <x v="1"/>
    <x v="1"/>
    <x v="2"/>
    <x v="1"/>
    <x v="3"/>
    <x v="1"/>
    <x v="1"/>
    <x v="293"/>
    <x v="1"/>
    <x v="3"/>
    <x v="4"/>
    <x v="468"/>
    <x v="2"/>
    <x v="3"/>
    <x v="0"/>
    <x v="1"/>
    <x v="0"/>
    <x v="731"/>
    <x v="359"/>
    <x v="0"/>
  </r>
  <r>
    <x v="1271"/>
    <x v="605"/>
    <x v="592"/>
    <x v="585"/>
    <x v="1014"/>
    <x v="1"/>
    <x v="2"/>
    <x v="101"/>
    <x v="255"/>
    <x v="1"/>
    <x v="242"/>
    <x v="0"/>
    <x v="0"/>
    <x v="1"/>
    <x v="1"/>
    <x v="1"/>
    <x v="2"/>
    <x v="1"/>
    <x v="3"/>
    <x v="1"/>
    <x v="2"/>
    <x v="0"/>
    <x v="1"/>
    <x v="5"/>
    <x v="3"/>
    <x v="601"/>
    <x v="18"/>
    <x v="0"/>
    <x v="0"/>
    <x v="0"/>
    <x v="0"/>
    <x v="0"/>
    <x v="0"/>
    <x v="0"/>
  </r>
  <r>
    <x v="1272"/>
    <x v="428"/>
    <x v="425"/>
    <x v="420"/>
    <x v="1015"/>
    <x v="3"/>
    <x v="3"/>
    <x v="437"/>
    <x v="324"/>
    <x v="1"/>
    <x v="2"/>
    <x v="0"/>
    <x v="0"/>
    <x v="1"/>
    <x v="1"/>
    <x v="1"/>
    <x v="2"/>
    <x v="1"/>
    <x v="3"/>
    <x v="1"/>
    <x v="2"/>
    <x v="0"/>
    <x v="1"/>
    <x v="5"/>
    <x v="3"/>
    <x v="428"/>
    <x v="18"/>
    <x v="0"/>
    <x v="0"/>
    <x v="0"/>
    <x v="0"/>
    <x v="0"/>
    <x v="0"/>
    <x v="0"/>
  </r>
  <r>
    <x v="1273"/>
    <x v="540"/>
    <x v="532"/>
    <x v="524"/>
    <x v="1016"/>
    <x v="1"/>
    <x v="2"/>
    <x v="543"/>
    <x v="427"/>
    <x v="1"/>
    <x v="33"/>
    <x v="0"/>
    <x v="0"/>
    <x v="1"/>
    <x v="2"/>
    <x v="3"/>
    <x v="2"/>
    <x v="1"/>
    <x v="3"/>
    <x v="1"/>
    <x v="1"/>
    <x v="293"/>
    <x v="1"/>
    <x v="6"/>
    <x v="3"/>
    <x v="535"/>
    <x v="19"/>
    <x v="1"/>
    <x v="13"/>
    <x v="2"/>
    <x v="1"/>
    <x v="0"/>
    <x v="0"/>
    <x v="351"/>
  </r>
  <r>
    <x v="1274"/>
    <x v="598"/>
    <x v="585"/>
    <x v="578"/>
    <x v="0"/>
    <x v="1"/>
    <x v="2"/>
    <x v="590"/>
    <x v="424"/>
    <x v="1"/>
    <x v="3"/>
    <x v="0"/>
    <x v="0"/>
    <x v="3"/>
    <x v="1"/>
    <x v="2"/>
    <x v="2"/>
    <x v="1"/>
    <x v="2"/>
    <x v="1"/>
    <x v="1"/>
    <x v="290"/>
    <x v="2"/>
    <x v="3"/>
    <x v="4"/>
    <x v="593"/>
    <x v="5"/>
    <x v="1"/>
    <x v="3"/>
    <x v="1"/>
    <x v="0"/>
    <x v="732"/>
    <x v="0"/>
    <x v="0"/>
  </r>
  <r>
    <x v="1275"/>
    <x v="606"/>
    <x v="395"/>
    <x v="390"/>
    <x v="1017"/>
    <x v="3"/>
    <x v="2"/>
    <x v="347"/>
    <x v="374"/>
    <x v="1"/>
    <x v="243"/>
    <x v="0"/>
    <x v="0"/>
    <x v="1"/>
    <x v="2"/>
    <x v="3"/>
    <x v="2"/>
    <x v="1"/>
    <x v="3"/>
    <x v="1"/>
    <x v="1"/>
    <x v="293"/>
    <x v="1"/>
    <x v="6"/>
    <x v="3"/>
    <x v="398"/>
    <x v="19"/>
    <x v="3"/>
    <x v="0"/>
    <x v="1"/>
    <x v="0"/>
    <x v="733"/>
    <x v="360"/>
    <x v="0"/>
  </r>
  <r>
    <x v="1276"/>
    <x v="540"/>
    <x v="532"/>
    <x v="524"/>
    <x v="1018"/>
    <x v="1"/>
    <x v="2"/>
    <x v="543"/>
    <x v="428"/>
    <x v="1"/>
    <x v="33"/>
    <x v="0"/>
    <x v="0"/>
    <x v="3"/>
    <x v="1"/>
    <x v="1"/>
    <x v="2"/>
    <x v="1"/>
    <x v="2"/>
    <x v="1"/>
    <x v="1"/>
    <x v="294"/>
    <x v="1"/>
    <x v="3"/>
    <x v="4"/>
    <x v="535"/>
    <x v="14"/>
    <x v="1"/>
    <x v="1"/>
    <x v="1"/>
    <x v="0"/>
    <x v="734"/>
    <x v="361"/>
    <x v="351"/>
  </r>
  <r>
    <x v="1277"/>
    <x v="607"/>
    <x v="593"/>
    <x v="586"/>
    <x v="1019"/>
    <x v="3"/>
    <x v="2"/>
    <x v="596"/>
    <x v="429"/>
    <x v="1"/>
    <x v="9"/>
    <x v="0"/>
    <x v="0"/>
    <x v="1"/>
    <x v="1"/>
    <x v="1"/>
    <x v="2"/>
    <x v="1"/>
    <x v="1"/>
    <x v="1"/>
    <x v="1"/>
    <x v="294"/>
    <x v="1"/>
    <x v="6"/>
    <x v="3"/>
    <x v="602"/>
    <x v="14"/>
    <x v="1"/>
    <x v="14"/>
    <x v="1"/>
    <x v="0"/>
    <x v="735"/>
    <x v="362"/>
    <x v="0"/>
  </r>
  <r>
    <x v="1278"/>
    <x v="608"/>
    <x v="594"/>
    <x v="587"/>
    <x v="1020"/>
    <x v="3"/>
    <x v="1"/>
    <x v="597"/>
    <x v="430"/>
    <x v="1"/>
    <x v="33"/>
    <x v="0"/>
    <x v="0"/>
    <x v="1"/>
    <x v="3"/>
    <x v="2"/>
    <x v="2"/>
    <x v="1"/>
    <x v="3"/>
    <x v="1"/>
    <x v="1"/>
    <x v="295"/>
    <x v="1"/>
    <x v="2"/>
    <x v="2"/>
    <x v="603"/>
    <x v="5"/>
    <x v="1"/>
    <x v="3"/>
    <x v="2"/>
    <x v="1"/>
    <x v="736"/>
    <x v="0"/>
    <x v="0"/>
  </r>
  <r>
    <x v="1279"/>
    <x v="609"/>
    <x v="595"/>
    <x v="588"/>
    <x v="1021"/>
    <x v="3"/>
    <x v="2"/>
    <x v="598"/>
    <x v="196"/>
    <x v="6"/>
    <x v="0"/>
    <x v="0"/>
    <x v="4"/>
    <x v="1"/>
    <x v="3"/>
    <x v="2"/>
    <x v="1"/>
    <x v="1"/>
    <x v="3"/>
    <x v="1"/>
    <x v="1"/>
    <x v="295"/>
    <x v="1"/>
    <x v="1"/>
    <x v="2"/>
    <x v="604"/>
    <x v="2"/>
    <x v="1"/>
    <x v="3"/>
    <x v="2"/>
    <x v="1"/>
    <x v="737"/>
    <x v="363"/>
    <x v="352"/>
  </r>
  <r>
    <x v="1280"/>
    <x v="540"/>
    <x v="532"/>
    <x v="524"/>
    <x v="0"/>
    <x v="1"/>
    <x v="2"/>
    <x v="543"/>
    <x v="428"/>
    <x v="1"/>
    <x v="33"/>
    <x v="0"/>
    <x v="0"/>
    <x v="3"/>
    <x v="1"/>
    <x v="1"/>
    <x v="1"/>
    <x v="1"/>
    <x v="2"/>
    <x v="1"/>
    <x v="1"/>
    <x v="295"/>
    <x v="2"/>
    <x v="3"/>
    <x v="4"/>
    <x v="535"/>
    <x v="5"/>
    <x v="1"/>
    <x v="15"/>
    <x v="2"/>
    <x v="1"/>
    <x v="738"/>
    <x v="0"/>
    <x v="351"/>
  </r>
  <r>
    <x v="1281"/>
    <x v="607"/>
    <x v="593"/>
    <x v="586"/>
    <x v="0"/>
    <x v="3"/>
    <x v="1"/>
    <x v="596"/>
    <x v="429"/>
    <x v="1"/>
    <x v="9"/>
    <x v="0"/>
    <x v="0"/>
    <x v="3"/>
    <x v="1"/>
    <x v="1"/>
    <x v="2"/>
    <x v="1"/>
    <x v="1"/>
    <x v="1"/>
    <x v="2"/>
    <x v="0"/>
    <x v="2"/>
    <x v="3"/>
    <x v="4"/>
    <x v="602"/>
    <x v="15"/>
    <x v="1"/>
    <x v="0"/>
    <x v="1"/>
    <x v="0"/>
    <x v="0"/>
    <x v="0"/>
    <x v="0"/>
  </r>
  <r>
    <x v="1282"/>
    <x v="576"/>
    <x v="565"/>
    <x v="558"/>
    <x v="1022"/>
    <x v="3"/>
    <x v="3"/>
    <x v="572"/>
    <x v="415"/>
    <x v="6"/>
    <x v="0"/>
    <x v="0"/>
    <x v="10"/>
    <x v="1"/>
    <x v="1"/>
    <x v="1"/>
    <x v="1"/>
    <x v="1"/>
    <x v="2"/>
    <x v="1"/>
    <x v="1"/>
    <x v="290"/>
    <x v="1"/>
    <x v="1"/>
    <x v="2"/>
    <x v="572"/>
    <x v="15"/>
    <x v="1"/>
    <x v="14"/>
    <x v="2"/>
    <x v="1"/>
    <x v="0"/>
    <x v="0"/>
    <x v="0"/>
  </r>
  <r>
    <x v="1283"/>
    <x v="446"/>
    <x v="442"/>
    <x v="437"/>
    <x v="1023"/>
    <x v="1"/>
    <x v="6"/>
    <x v="452"/>
    <x v="343"/>
    <x v="6"/>
    <x v="0"/>
    <x v="0"/>
    <x v="28"/>
    <x v="1"/>
    <x v="2"/>
    <x v="3"/>
    <x v="2"/>
    <x v="1"/>
    <x v="2"/>
    <x v="2"/>
    <x v="1"/>
    <x v="290"/>
    <x v="1"/>
    <x v="1"/>
    <x v="2"/>
    <x v="445"/>
    <x v="19"/>
    <x v="1"/>
    <x v="14"/>
    <x v="1"/>
    <x v="0"/>
    <x v="0"/>
    <x v="0"/>
    <x v="0"/>
  </r>
  <r>
    <x v="1284"/>
    <x v="608"/>
    <x v="594"/>
    <x v="587"/>
    <x v="1024"/>
    <x v="3"/>
    <x v="2"/>
    <x v="597"/>
    <x v="430"/>
    <x v="1"/>
    <x v="15"/>
    <x v="0"/>
    <x v="0"/>
    <x v="3"/>
    <x v="2"/>
    <x v="3"/>
    <x v="2"/>
    <x v="1"/>
    <x v="1"/>
    <x v="1"/>
    <x v="1"/>
    <x v="290"/>
    <x v="1"/>
    <x v="3"/>
    <x v="4"/>
    <x v="603"/>
    <x v="3"/>
    <x v="1"/>
    <x v="14"/>
    <x v="2"/>
    <x v="1"/>
    <x v="0"/>
    <x v="0"/>
    <x v="0"/>
  </r>
  <r>
    <x v="1285"/>
    <x v="610"/>
    <x v="596"/>
    <x v="589"/>
    <x v="1025"/>
    <x v="1"/>
    <x v="2"/>
    <x v="599"/>
    <x v="431"/>
    <x v="1"/>
    <x v="15"/>
    <x v="0"/>
    <x v="0"/>
    <x v="1"/>
    <x v="2"/>
    <x v="3"/>
    <x v="2"/>
    <x v="1"/>
    <x v="1"/>
    <x v="1"/>
    <x v="1"/>
    <x v="290"/>
    <x v="1"/>
    <x v="1"/>
    <x v="2"/>
    <x v="605"/>
    <x v="3"/>
    <x v="1"/>
    <x v="3"/>
    <x v="2"/>
    <x v="1"/>
    <x v="739"/>
    <x v="0"/>
    <x v="0"/>
  </r>
  <r>
    <x v="1286"/>
    <x v="540"/>
    <x v="532"/>
    <x v="524"/>
    <x v="1026"/>
    <x v="1"/>
    <x v="6"/>
    <x v="543"/>
    <x v="428"/>
    <x v="1"/>
    <x v="33"/>
    <x v="0"/>
    <x v="0"/>
    <x v="3"/>
    <x v="1"/>
    <x v="1"/>
    <x v="2"/>
    <x v="1"/>
    <x v="2"/>
    <x v="1"/>
    <x v="1"/>
    <x v="290"/>
    <x v="1"/>
    <x v="1"/>
    <x v="2"/>
    <x v="535"/>
    <x v="19"/>
    <x v="1"/>
    <x v="16"/>
    <x v="2"/>
    <x v="1"/>
    <x v="740"/>
    <x v="0"/>
    <x v="351"/>
  </r>
  <r>
    <x v="1287"/>
    <x v="609"/>
    <x v="595"/>
    <x v="588"/>
    <x v="1027"/>
    <x v="3"/>
    <x v="2"/>
    <x v="598"/>
    <x v="79"/>
    <x v="6"/>
    <x v="0"/>
    <x v="0"/>
    <x v="4"/>
    <x v="3"/>
    <x v="3"/>
    <x v="3"/>
    <x v="1"/>
    <x v="1"/>
    <x v="2"/>
    <x v="1"/>
    <x v="1"/>
    <x v="290"/>
    <x v="1"/>
    <x v="3"/>
    <x v="4"/>
    <x v="604"/>
    <x v="3"/>
    <x v="1"/>
    <x v="14"/>
    <x v="2"/>
    <x v="1"/>
    <x v="741"/>
    <x v="0"/>
    <x v="0"/>
  </r>
  <r>
    <x v="1288"/>
    <x v="598"/>
    <x v="585"/>
    <x v="578"/>
    <x v="0"/>
    <x v="1"/>
    <x v="2"/>
    <x v="590"/>
    <x v="424"/>
    <x v="1"/>
    <x v="3"/>
    <x v="0"/>
    <x v="0"/>
    <x v="3"/>
    <x v="5"/>
    <x v="1"/>
    <x v="2"/>
    <x v="1"/>
    <x v="1"/>
    <x v="1"/>
    <x v="2"/>
    <x v="0"/>
    <x v="2"/>
    <x v="3"/>
    <x v="4"/>
    <x v="593"/>
    <x v="3"/>
    <x v="0"/>
    <x v="0"/>
    <x v="1"/>
    <x v="0"/>
    <x v="0"/>
    <x v="0"/>
    <x v="0"/>
  </r>
  <r>
    <x v="1289"/>
    <x v="576"/>
    <x v="565"/>
    <x v="558"/>
    <x v="0"/>
    <x v="3"/>
    <x v="3"/>
    <x v="572"/>
    <x v="415"/>
    <x v="6"/>
    <x v="0"/>
    <x v="0"/>
    <x v="10"/>
    <x v="3"/>
    <x v="1"/>
    <x v="1"/>
    <x v="2"/>
    <x v="1"/>
    <x v="2"/>
    <x v="1"/>
    <x v="2"/>
    <x v="0"/>
    <x v="2"/>
    <x v="1"/>
    <x v="4"/>
    <x v="572"/>
    <x v="15"/>
    <x v="0"/>
    <x v="0"/>
    <x v="1"/>
    <x v="0"/>
    <x v="0"/>
    <x v="0"/>
    <x v="0"/>
  </r>
  <r>
    <x v="1290"/>
    <x v="611"/>
    <x v="597"/>
    <x v="590"/>
    <x v="1028"/>
    <x v="1"/>
    <x v="3"/>
    <x v="600"/>
    <x v="432"/>
    <x v="1"/>
    <x v="244"/>
    <x v="0"/>
    <x v="0"/>
    <x v="1"/>
    <x v="1"/>
    <x v="1"/>
    <x v="2"/>
    <x v="1"/>
    <x v="2"/>
    <x v="1"/>
    <x v="2"/>
    <x v="0"/>
    <x v="1"/>
    <x v="1"/>
    <x v="2"/>
    <x v="606"/>
    <x v="3"/>
    <x v="0"/>
    <x v="0"/>
    <x v="1"/>
    <x v="0"/>
    <x v="0"/>
    <x v="0"/>
    <x v="0"/>
  </r>
  <r>
    <x v="1291"/>
    <x v="612"/>
    <x v="598"/>
    <x v="591"/>
    <x v="1029"/>
    <x v="3"/>
    <x v="2"/>
    <x v="601"/>
    <x v="409"/>
    <x v="1"/>
    <x v="245"/>
    <x v="0"/>
    <x v="0"/>
    <x v="1"/>
    <x v="3"/>
    <x v="2"/>
    <x v="2"/>
    <x v="1"/>
    <x v="3"/>
    <x v="1"/>
    <x v="1"/>
    <x v="296"/>
    <x v="1"/>
    <x v="1"/>
    <x v="2"/>
    <x v="607"/>
    <x v="3"/>
    <x v="3"/>
    <x v="0"/>
    <x v="1"/>
    <x v="0"/>
    <x v="742"/>
    <x v="364"/>
    <x v="0"/>
  </r>
  <r>
    <x v="1292"/>
    <x v="446"/>
    <x v="442"/>
    <x v="437"/>
    <x v="0"/>
    <x v="1"/>
    <x v="2"/>
    <x v="452"/>
    <x v="433"/>
    <x v="6"/>
    <x v="0"/>
    <x v="0"/>
    <x v="29"/>
    <x v="3"/>
    <x v="1"/>
    <x v="1"/>
    <x v="2"/>
    <x v="1"/>
    <x v="2"/>
    <x v="1"/>
    <x v="2"/>
    <x v="0"/>
    <x v="2"/>
    <x v="3"/>
    <x v="4"/>
    <x v="445"/>
    <x v="15"/>
    <x v="0"/>
    <x v="0"/>
    <x v="1"/>
    <x v="0"/>
    <x v="0"/>
    <x v="0"/>
    <x v="0"/>
  </r>
  <r>
    <x v="1293"/>
    <x v="613"/>
    <x v="594"/>
    <x v="587"/>
    <x v="1030"/>
    <x v="3"/>
    <x v="2"/>
    <x v="597"/>
    <x v="430"/>
    <x v="1"/>
    <x v="15"/>
    <x v="0"/>
    <x v="0"/>
    <x v="3"/>
    <x v="1"/>
    <x v="3"/>
    <x v="2"/>
    <x v="2"/>
    <x v="1"/>
    <x v="1"/>
    <x v="1"/>
    <x v="296"/>
    <x v="2"/>
    <x v="3"/>
    <x v="4"/>
    <x v="603"/>
    <x v="15"/>
    <x v="3"/>
    <x v="0"/>
    <x v="1"/>
    <x v="0"/>
    <x v="743"/>
    <x v="365"/>
    <x v="0"/>
  </r>
  <r>
    <x v="1294"/>
    <x v="562"/>
    <x v="491"/>
    <x v="484"/>
    <x v="1031"/>
    <x v="3"/>
    <x v="3"/>
    <x v="500"/>
    <x v="323"/>
    <x v="1"/>
    <x v="246"/>
    <x v="0"/>
    <x v="0"/>
    <x v="1"/>
    <x v="1"/>
    <x v="1"/>
    <x v="2"/>
    <x v="1"/>
    <x v="2"/>
    <x v="1"/>
    <x v="2"/>
    <x v="0"/>
    <x v="1"/>
    <x v="1"/>
    <x v="2"/>
    <x v="494"/>
    <x v="3"/>
    <x v="0"/>
    <x v="0"/>
    <x v="1"/>
    <x v="0"/>
    <x v="0"/>
    <x v="0"/>
    <x v="0"/>
  </r>
  <r>
    <x v="1295"/>
    <x v="614"/>
    <x v="599"/>
    <x v="592"/>
    <x v="1032"/>
    <x v="1"/>
    <x v="1"/>
    <x v="40"/>
    <x v="434"/>
    <x v="1"/>
    <x v="15"/>
    <x v="0"/>
    <x v="0"/>
    <x v="1"/>
    <x v="1"/>
    <x v="1"/>
    <x v="2"/>
    <x v="1"/>
    <x v="2"/>
    <x v="1"/>
    <x v="2"/>
    <x v="0"/>
    <x v="1"/>
    <x v="1"/>
    <x v="2"/>
    <x v="608"/>
    <x v="3"/>
    <x v="0"/>
    <x v="0"/>
    <x v="1"/>
    <x v="0"/>
    <x v="0"/>
    <x v="0"/>
    <x v="0"/>
  </r>
  <r>
    <x v="1296"/>
    <x v="609"/>
    <x v="595"/>
    <x v="588"/>
    <x v="0"/>
    <x v="3"/>
    <x v="2"/>
    <x v="598"/>
    <x v="79"/>
    <x v="6"/>
    <x v="0"/>
    <x v="0"/>
    <x v="4"/>
    <x v="3"/>
    <x v="1"/>
    <x v="1"/>
    <x v="1"/>
    <x v="1"/>
    <x v="1"/>
    <x v="1"/>
    <x v="1"/>
    <x v="297"/>
    <x v="2"/>
    <x v="3"/>
    <x v="4"/>
    <x v="604"/>
    <x v="15"/>
    <x v="1"/>
    <x v="5"/>
    <x v="2"/>
    <x v="1"/>
    <x v="744"/>
    <x v="366"/>
    <x v="0"/>
  </r>
  <r>
    <x v="1297"/>
    <x v="540"/>
    <x v="532"/>
    <x v="524"/>
    <x v="1033"/>
    <x v="1"/>
    <x v="2"/>
    <x v="543"/>
    <x v="435"/>
    <x v="1"/>
    <x v="33"/>
    <x v="0"/>
    <x v="0"/>
    <x v="3"/>
    <x v="2"/>
    <x v="3"/>
    <x v="1"/>
    <x v="1"/>
    <x v="2"/>
    <x v="1"/>
    <x v="1"/>
    <x v="297"/>
    <x v="1"/>
    <x v="3"/>
    <x v="4"/>
    <x v="535"/>
    <x v="17"/>
    <x v="1"/>
    <x v="1"/>
    <x v="1"/>
    <x v="0"/>
    <x v="745"/>
    <x v="367"/>
    <x v="351"/>
  </r>
  <r>
    <x v="1298"/>
    <x v="615"/>
    <x v="600"/>
    <x v="593"/>
    <x v="1034"/>
    <x v="1"/>
    <x v="6"/>
    <x v="602"/>
    <x v="268"/>
    <x v="1"/>
    <x v="247"/>
    <x v="0"/>
    <x v="0"/>
    <x v="1"/>
    <x v="1"/>
    <x v="1"/>
    <x v="2"/>
    <x v="2"/>
    <x v="2"/>
    <x v="1"/>
    <x v="2"/>
    <x v="0"/>
    <x v="1"/>
    <x v="1"/>
    <x v="2"/>
    <x v="609"/>
    <x v="15"/>
    <x v="0"/>
    <x v="0"/>
    <x v="1"/>
    <x v="0"/>
    <x v="0"/>
    <x v="0"/>
    <x v="0"/>
  </r>
  <r>
    <x v="1299"/>
    <x v="610"/>
    <x v="596"/>
    <x v="589"/>
    <x v="1035"/>
    <x v="1"/>
    <x v="2"/>
    <x v="599"/>
    <x v="431"/>
    <x v="1"/>
    <x v="15"/>
    <x v="0"/>
    <x v="0"/>
    <x v="3"/>
    <x v="1"/>
    <x v="1"/>
    <x v="1"/>
    <x v="1"/>
    <x v="2"/>
    <x v="2"/>
    <x v="2"/>
    <x v="0"/>
    <x v="1"/>
    <x v="3"/>
    <x v="4"/>
    <x v="605"/>
    <x v="3"/>
    <x v="0"/>
    <x v="0"/>
    <x v="1"/>
    <x v="0"/>
    <x v="0"/>
    <x v="0"/>
    <x v="0"/>
  </r>
  <r>
    <x v="1300"/>
    <x v="616"/>
    <x v="601"/>
    <x v="594"/>
    <x v="1036"/>
    <x v="3"/>
    <x v="1"/>
    <x v="248"/>
    <x v="436"/>
    <x v="1"/>
    <x v="15"/>
    <x v="0"/>
    <x v="0"/>
    <x v="1"/>
    <x v="1"/>
    <x v="1"/>
    <x v="2"/>
    <x v="1"/>
    <x v="2"/>
    <x v="1"/>
    <x v="1"/>
    <x v="297"/>
    <x v="1"/>
    <x v="5"/>
    <x v="2"/>
    <x v="610"/>
    <x v="3"/>
    <x v="3"/>
    <x v="0"/>
    <x v="1"/>
    <x v="0"/>
    <x v="746"/>
    <x v="0"/>
    <x v="0"/>
  </r>
  <r>
    <x v="1301"/>
    <x v="617"/>
    <x v="602"/>
    <x v="595"/>
    <x v="1037"/>
    <x v="3"/>
    <x v="2"/>
    <x v="603"/>
    <x v="428"/>
    <x v="1"/>
    <x v="248"/>
    <x v="0"/>
    <x v="0"/>
    <x v="1"/>
    <x v="1"/>
    <x v="1"/>
    <x v="2"/>
    <x v="1"/>
    <x v="2"/>
    <x v="1"/>
    <x v="1"/>
    <x v="297"/>
    <x v="1"/>
    <x v="5"/>
    <x v="2"/>
    <x v="611"/>
    <x v="3"/>
    <x v="1"/>
    <x v="1"/>
    <x v="2"/>
    <x v="1"/>
    <x v="747"/>
    <x v="0"/>
    <x v="0"/>
  </r>
  <r>
    <x v="1302"/>
    <x v="618"/>
    <x v="603"/>
    <x v="596"/>
    <x v="0"/>
    <x v="1"/>
    <x v="2"/>
    <x v="604"/>
    <x v="396"/>
    <x v="1"/>
    <x v="15"/>
    <x v="0"/>
    <x v="0"/>
    <x v="1"/>
    <x v="1"/>
    <x v="1"/>
    <x v="1"/>
    <x v="1"/>
    <x v="2"/>
    <x v="1"/>
    <x v="1"/>
    <x v="298"/>
    <x v="1"/>
    <x v="5"/>
    <x v="2"/>
    <x v="612"/>
    <x v="17"/>
    <x v="3"/>
    <x v="0"/>
    <x v="1"/>
    <x v="0"/>
    <x v="748"/>
    <x v="368"/>
    <x v="0"/>
  </r>
  <r>
    <x v="1303"/>
    <x v="619"/>
    <x v="604"/>
    <x v="597"/>
    <x v="1038"/>
    <x v="1"/>
    <x v="2"/>
    <x v="605"/>
    <x v="281"/>
    <x v="1"/>
    <x v="31"/>
    <x v="0"/>
    <x v="0"/>
    <x v="1"/>
    <x v="1"/>
    <x v="1"/>
    <x v="2"/>
    <x v="1"/>
    <x v="2"/>
    <x v="1"/>
    <x v="1"/>
    <x v="296"/>
    <x v="1"/>
    <x v="4"/>
    <x v="3"/>
    <x v="613"/>
    <x v="14"/>
    <x v="1"/>
    <x v="13"/>
    <x v="2"/>
    <x v="1"/>
    <x v="749"/>
    <x v="0"/>
    <x v="353"/>
  </r>
  <r>
    <x v="1304"/>
    <x v="560"/>
    <x v="552"/>
    <x v="545"/>
    <x v="1039"/>
    <x v="1"/>
    <x v="2"/>
    <x v="606"/>
    <x v="401"/>
    <x v="1"/>
    <x v="2"/>
    <x v="0"/>
    <x v="0"/>
    <x v="1"/>
    <x v="2"/>
    <x v="3"/>
    <x v="2"/>
    <x v="1"/>
    <x v="1"/>
    <x v="1"/>
    <x v="1"/>
    <x v="297"/>
    <x v="1"/>
    <x v="6"/>
    <x v="3"/>
    <x v="557"/>
    <x v="14"/>
    <x v="3"/>
    <x v="0"/>
    <x v="1"/>
    <x v="0"/>
    <x v="750"/>
    <x v="0"/>
    <x v="0"/>
  </r>
  <r>
    <x v="1305"/>
    <x v="620"/>
    <x v="605"/>
    <x v="598"/>
    <x v="1040"/>
    <x v="1"/>
    <x v="2"/>
    <x v="607"/>
    <x v="437"/>
    <x v="1"/>
    <x v="249"/>
    <x v="0"/>
    <x v="0"/>
    <x v="1"/>
    <x v="1"/>
    <x v="1"/>
    <x v="2"/>
    <x v="1"/>
    <x v="1"/>
    <x v="1"/>
    <x v="2"/>
    <x v="0"/>
    <x v="1"/>
    <x v="6"/>
    <x v="3"/>
    <x v="614"/>
    <x v="14"/>
    <x v="0"/>
    <x v="0"/>
    <x v="1"/>
    <x v="0"/>
    <x v="0"/>
    <x v="0"/>
    <x v="0"/>
  </r>
  <r>
    <x v="1306"/>
    <x v="619"/>
    <x v="604"/>
    <x v="597"/>
    <x v="0"/>
    <x v="1"/>
    <x v="2"/>
    <x v="605"/>
    <x v="438"/>
    <x v="1"/>
    <x v="2"/>
    <x v="0"/>
    <x v="0"/>
    <x v="3"/>
    <x v="3"/>
    <x v="3"/>
    <x v="2"/>
    <x v="1"/>
    <x v="2"/>
    <x v="1"/>
    <x v="1"/>
    <x v="297"/>
    <x v="2"/>
    <x v="3"/>
    <x v="4"/>
    <x v="613"/>
    <x v="14"/>
    <x v="1"/>
    <x v="1"/>
    <x v="1"/>
    <x v="0"/>
    <x v="751"/>
    <x v="0"/>
    <x v="0"/>
  </r>
  <r>
    <x v="1307"/>
    <x v="609"/>
    <x v="595"/>
    <x v="588"/>
    <x v="1041"/>
    <x v="3"/>
    <x v="2"/>
    <x v="598"/>
    <x v="196"/>
    <x v="6"/>
    <x v="0"/>
    <x v="0"/>
    <x v="0"/>
    <x v="3"/>
    <x v="1"/>
    <x v="1"/>
    <x v="2"/>
    <x v="1"/>
    <x v="2"/>
    <x v="1"/>
    <x v="1"/>
    <x v="298"/>
    <x v="1"/>
    <x v="3"/>
    <x v="4"/>
    <x v="604"/>
    <x v="2"/>
    <x v="1"/>
    <x v="4"/>
    <x v="2"/>
    <x v="1"/>
    <x v="752"/>
    <x v="369"/>
    <x v="0"/>
  </r>
  <r>
    <x v="1308"/>
    <x v="617"/>
    <x v="602"/>
    <x v="595"/>
    <x v="1042"/>
    <x v="3"/>
    <x v="2"/>
    <x v="603"/>
    <x v="428"/>
    <x v="1"/>
    <x v="248"/>
    <x v="0"/>
    <x v="0"/>
    <x v="3"/>
    <x v="3"/>
    <x v="3"/>
    <x v="2"/>
    <x v="1"/>
    <x v="2"/>
    <x v="1"/>
    <x v="1"/>
    <x v="299"/>
    <x v="2"/>
    <x v="3"/>
    <x v="4"/>
    <x v="611"/>
    <x v="5"/>
    <x v="3"/>
    <x v="0"/>
    <x v="1"/>
    <x v="0"/>
    <x v="753"/>
    <x v="370"/>
    <x v="0"/>
  </r>
  <r>
    <x v="1309"/>
    <x v="619"/>
    <x v="604"/>
    <x v="597"/>
    <x v="0"/>
    <x v="1"/>
    <x v="2"/>
    <x v="605"/>
    <x v="281"/>
    <x v="1"/>
    <x v="2"/>
    <x v="0"/>
    <x v="0"/>
    <x v="3"/>
    <x v="1"/>
    <x v="1"/>
    <x v="2"/>
    <x v="1"/>
    <x v="2"/>
    <x v="1"/>
    <x v="2"/>
    <x v="0"/>
    <x v="2"/>
    <x v="3"/>
    <x v="4"/>
    <x v="613"/>
    <x v="5"/>
    <x v="0"/>
    <x v="0"/>
    <x v="1"/>
    <x v="0"/>
    <x v="0"/>
    <x v="0"/>
    <x v="0"/>
  </r>
  <r>
    <x v="1310"/>
    <x v="384"/>
    <x v="384"/>
    <x v="379"/>
    <x v="1043"/>
    <x v="3"/>
    <x v="2"/>
    <x v="399"/>
    <x v="308"/>
    <x v="1"/>
    <x v="250"/>
    <x v="0"/>
    <x v="0"/>
    <x v="1"/>
    <x v="3"/>
    <x v="3"/>
    <x v="2"/>
    <x v="1"/>
    <x v="2"/>
    <x v="1"/>
    <x v="2"/>
    <x v="0"/>
    <x v="1"/>
    <x v="6"/>
    <x v="3"/>
    <x v="387"/>
    <x v="2"/>
    <x v="0"/>
    <x v="0"/>
    <x v="1"/>
    <x v="0"/>
    <x v="0"/>
    <x v="0"/>
    <x v="0"/>
  </r>
  <r>
    <x v="1311"/>
    <x v="391"/>
    <x v="391"/>
    <x v="599"/>
    <x v="1044"/>
    <x v="1"/>
    <x v="2"/>
    <x v="406"/>
    <x v="281"/>
    <x v="2"/>
    <x v="0"/>
    <x v="5"/>
    <x v="0"/>
    <x v="1"/>
    <x v="2"/>
    <x v="3"/>
    <x v="2"/>
    <x v="1"/>
    <x v="2"/>
    <x v="1"/>
    <x v="1"/>
    <x v="299"/>
    <x v="1"/>
    <x v="6"/>
    <x v="2"/>
    <x v="570"/>
    <x v="5"/>
    <x v="1"/>
    <x v="13"/>
    <x v="1"/>
    <x v="0"/>
    <x v="0"/>
    <x v="0"/>
    <x v="354"/>
  </r>
  <r>
    <x v="1312"/>
    <x v="540"/>
    <x v="532"/>
    <x v="524"/>
    <x v="1045"/>
    <x v="1"/>
    <x v="2"/>
    <x v="543"/>
    <x v="428"/>
    <x v="1"/>
    <x v="33"/>
    <x v="0"/>
    <x v="0"/>
    <x v="3"/>
    <x v="3"/>
    <x v="3"/>
    <x v="2"/>
    <x v="1"/>
    <x v="2"/>
    <x v="1"/>
    <x v="1"/>
    <x v="300"/>
    <x v="1"/>
    <x v="3"/>
    <x v="4"/>
    <x v="535"/>
    <x v="5"/>
    <x v="1"/>
    <x v="15"/>
    <x v="2"/>
    <x v="1"/>
    <x v="754"/>
    <x v="0"/>
    <x v="351"/>
  </r>
  <r>
    <x v="1313"/>
    <x v="621"/>
    <x v="606"/>
    <x v="600"/>
    <x v="1046"/>
    <x v="1"/>
    <x v="3"/>
    <x v="608"/>
    <x v="10"/>
    <x v="1"/>
    <x v="251"/>
    <x v="0"/>
    <x v="0"/>
    <x v="1"/>
    <x v="1"/>
    <x v="2"/>
    <x v="2"/>
    <x v="1"/>
    <x v="2"/>
    <x v="1"/>
    <x v="1"/>
    <x v="298"/>
    <x v="1"/>
    <x v="4"/>
    <x v="3"/>
    <x v="615"/>
    <x v="14"/>
    <x v="1"/>
    <x v="4"/>
    <x v="2"/>
    <x v="1"/>
    <x v="755"/>
    <x v="0"/>
    <x v="355"/>
  </r>
  <r>
    <x v="1314"/>
    <x v="391"/>
    <x v="391"/>
    <x v="599"/>
    <x v="0"/>
    <x v="1"/>
    <x v="2"/>
    <x v="406"/>
    <x v="281"/>
    <x v="6"/>
    <x v="0"/>
    <x v="5"/>
    <x v="0"/>
    <x v="3"/>
    <x v="4"/>
    <x v="1"/>
    <x v="2"/>
    <x v="1"/>
    <x v="2"/>
    <x v="1"/>
    <x v="2"/>
    <x v="0"/>
    <x v="2"/>
    <x v="3"/>
    <x v="4"/>
    <x v="570"/>
    <x v="14"/>
    <x v="0"/>
    <x v="0"/>
    <x v="1"/>
    <x v="0"/>
    <x v="0"/>
    <x v="0"/>
    <x v="0"/>
  </r>
  <r>
    <x v="1315"/>
    <x v="622"/>
    <x v="607"/>
    <x v="601"/>
    <x v="1047"/>
    <x v="1"/>
    <x v="3"/>
    <x v="609"/>
    <x v="335"/>
    <x v="1"/>
    <x v="252"/>
    <x v="0"/>
    <x v="0"/>
    <x v="1"/>
    <x v="1"/>
    <x v="2"/>
    <x v="2"/>
    <x v="1"/>
    <x v="2"/>
    <x v="1"/>
    <x v="1"/>
    <x v="298"/>
    <x v="1"/>
    <x v="6"/>
    <x v="3"/>
    <x v="616"/>
    <x v="14"/>
    <x v="3"/>
    <x v="0"/>
    <x v="1"/>
    <x v="0"/>
    <x v="756"/>
    <x v="0"/>
    <x v="0"/>
  </r>
  <r>
    <x v="1316"/>
    <x v="623"/>
    <x v="608"/>
    <x v="602"/>
    <x v="1048"/>
    <x v="1"/>
    <x v="6"/>
    <x v="610"/>
    <x v="439"/>
    <x v="1"/>
    <x v="253"/>
    <x v="0"/>
    <x v="0"/>
    <x v="1"/>
    <x v="1"/>
    <x v="3"/>
    <x v="2"/>
    <x v="1"/>
    <x v="3"/>
    <x v="1"/>
    <x v="1"/>
    <x v="298"/>
    <x v="1"/>
    <x v="6"/>
    <x v="3"/>
    <x v="617"/>
    <x v="19"/>
    <x v="3"/>
    <x v="0"/>
    <x v="1"/>
    <x v="0"/>
    <x v="757"/>
    <x v="371"/>
    <x v="0"/>
  </r>
  <r>
    <x v="1317"/>
    <x v="540"/>
    <x v="532"/>
    <x v="524"/>
    <x v="1049"/>
    <x v="1"/>
    <x v="6"/>
    <x v="543"/>
    <x v="428"/>
    <x v="1"/>
    <x v="3"/>
    <x v="0"/>
    <x v="0"/>
    <x v="3"/>
    <x v="3"/>
    <x v="2"/>
    <x v="2"/>
    <x v="1"/>
    <x v="3"/>
    <x v="1"/>
    <x v="1"/>
    <x v="298"/>
    <x v="1"/>
    <x v="6"/>
    <x v="3"/>
    <x v="535"/>
    <x v="19"/>
    <x v="3"/>
    <x v="0"/>
    <x v="1"/>
    <x v="0"/>
    <x v="758"/>
    <x v="0"/>
    <x v="351"/>
  </r>
  <r>
    <x v="1318"/>
    <x v="624"/>
    <x v="609"/>
    <x v="603"/>
    <x v="1050"/>
    <x v="1"/>
    <x v="1"/>
    <x v="611"/>
    <x v="440"/>
    <x v="1"/>
    <x v="254"/>
    <x v="0"/>
    <x v="0"/>
    <x v="1"/>
    <x v="1"/>
    <x v="1"/>
    <x v="1"/>
    <x v="1"/>
    <x v="3"/>
    <x v="1"/>
    <x v="2"/>
    <x v="0"/>
    <x v="1"/>
    <x v="1"/>
    <x v="2"/>
    <x v="618"/>
    <x v="2"/>
    <x v="0"/>
    <x v="0"/>
    <x v="1"/>
    <x v="0"/>
    <x v="0"/>
    <x v="0"/>
    <x v="0"/>
  </r>
  <r>
    <x v="1319"/>
    <x v="625"/>
    <x v="610"/>
    <x v="604"/>
    <x v="1051"/>
    <x v="1"/>
    <x v="2"/>
    <x v="612"/>
    <x v="441"/>
    <x v="1"/>
    <x v="31"/>
    <x v="0"/>
    <x v="0"/>
    <x v="1"/>
    <x v="1"/>
    <x v="1"/>
    <x v="2"/>
    <x v="1"/>
    <x v="3"/>
    <x v="1"/>
    <x v="2"/>
    <x v="0"/>
    <x v="1"/>
    <x v="1"/>
    <x v="2"/>
    <x v="619"/>
    <x v="2"/>
    <x v="0"/>
    <x v="0"/>
    <x v="1"/>
    <x v="0"/>
    <x v="0"/>
    <x v="0"/>
    <x v="0"/>
  </r>
  <r>
    <x v="1320"/>
    <x v="626"/>
    <x v="611"/>
    <x v="605"/>
    <x v="1052"/>
    <x v="1"/>
    <x v="2"/>
    <x v="613"/>
    <x v="442"/>
    <x v="1"/>
    <x v="33"/>
    <x v="0"/>
    <x v="0"/>
    <x v="1"/>
    <x v="3"/>
    <x v="2"/>
    <x v="2"/>
    <x v="1"/>
    <x v="3"/>
    <x v="1"/>
    <x v="1"/>
    <x v="301"/>
    <x v="1"/>
    <x v="1"/>
    <x v="2"/>
    <x v="620"/>
    <x v="1"/>
    <x v="1"/>
    <x v="4"/>
    <x v="2"/>
    <x v="1"/>
    <x v="759"/>
    <x v="0"/>
    <x v="0"/>
  </r>
  <r>
    <x v="1321"/>
    <x v="627"/>
    <x v="612"/>
    <x v="606"/>
    <x v="1053"/>
    <x v="1"/>
    <x v="2"/>
    <x v="614"/>
    <x v="443"/>
    <x v="1"/>
    <x v="15"/>
    <x v="0"/>
    <x v="0"/>
    <x v="1"/>
    <x v="1"/>
    <x v="1"/>
    <x v="2"/>
    <x v="1"/>
    <x v="3"/>
    <x v="1"/>
    <x v="1"/>
    <x v="298"/>
    <x v="1"/>
    <x v="1"/>
    <x v="2"/>
    <x v="621"/>
    <x v="1"/>
    <x v="3"/>
    <x v="0"/>
    <x v="1"/>
    <x v="0"/>
    <x v="760"/>
    <x v="0"/>
    <x v="0"/>
  </r>
  <r>
    <x v="1322"/>
    <x v="628"/>
    <x v="613"/>
    <x v="607"/>
    <x v="1054"/>
    <x v="1"/>
    <x v="1"/>
    <x v="615"/>
    <x v="444"/>
    <x v="1"/>
    <x v="2"/>
    <x v="0"/>
    <x v="0"/>
    <x v="1"/>
    <x v="2"/>
    <x v="3"/>
    <x v="1"/>
    <x v="1"/>
    <x v="2"/>
    <x v="2"/>
    <x v="1"/>
    <x v="301"/>
    <x v="1"/>
    <x v="1"/>
    <x v="2"/>
    <x v="622"/>
    <x v="3"/>
    <x v="1"/>
    <x v="3"/>
    <x v="2"/>
    <x v="1"/>
    <x v="761"/>
    <x v="0"/>
    <x v="356"/>
  </r>
  <r>
    <x v="1323"/>
    <x v="609"/>
    <x v="595"/>
    <x v="588"/>
    <x v="1055"/>
    <x v="3"/>
    <x v="2"/>
    <x v="598"/>
    <x v="196"/>
    <x v="6"/>
    <x v="0"/>
    <x v="0"/>
    <x v="4"/>
    <x v="3"/>
    <x v="1"/>
    <x v="1"/>
    <x v="2"/>
    <x v="2"/>
    <x v="3"/>
    <x v="1"/>
    <x v="2"/>
    <x v="0"/>
    <x v="1"/>
    <x v="3"/>
    <x v="4"/>
    <x v="604"/>
    <x v="1"/>
    <x v="0"/>
    <x v="0"/>
    <x v="1"/>
    <x v="0"/>
    <x v="0"/>
    <x v="0"/>
    <x v="0"/>
  </r>
  <r>
    <x v="1324"/>
    <x v="621"/>
    <x v="606"/>
    <x v="600"/>
    <x v="0"/>
    <x v="1"/>
    <x v="3"/>
    <x v="608"/>
    <x v="10"/>
    <x v="1"/>
    <x v="251"/>
    <x v="0"/>
    <x v="0"/>
    <x v="3"/>
    <x v="1"/>
    <x v="1"/>
    <x v="2"/>
    <x v="1"/>
    <x v="2"/>
    <x v="1"/>
    <x v="1"/>
    <x v="301"/>
    <x v="2"/>
    <x v="3"/>
    <x v="4"/>
    <x v="615"/>
    <x v="1"/>
    <x v="3"/>
    <x v="0"/>
    <x v="1"/>
    <x v="0"/>
    <x v="762"/>
    <x v="0"/>
    <x v="0"/>
  </r>
  <r>
    <x v="1325"/>
    <x v="629"/>
    <x v="614"/>
    <x v="608"/>
    <x v="1056"/>
    <x v="1"/>
    <x v="3"/>
    <x v="616"/>
    <x v="445"/>
    <x v="1"/>
    <x v="3"/>
    <x v="0"/>
    <x v="0"/>
    <x v="1"/>
    <x v="1"/>
    <x v="1"/>
    <x v="1"/>
    <x v="1"/>
    <x v="3"/>
    <x v="1"/>
    <x v="2"/>
    <x v="0"/>
    <x v="1"/>
    <x v="1"/>
    <x v="2"/>
    <x v="623"/>
    <x v="18"/>
    <x v="0"/>
    <x v="0"/>
    <x v="1"/>
    <x v="0"/>
    <x v="0"/>
    <x v="0"/>
    <x v="0"/>
  </r>
  <r>
    <x v="1326"/>
    <x v="630"/>
    <x v="615"/>
    <x v="609"/>
    <x v="1057"/>
    <x v="1"/>
    <x v="1"/>
    <x v="389"/>
    <x v="446"/>
    <x v="1"/>
    <x v="249"/>
    <x v="0"/>
    <x v="0"/>
    <x v="1"/>
    <x v="1"/>
    <x v="1"/>
    <x v="2"/>
    <x v="1"/>
    <x v="2"/>
    <x v="1"/>
    <x v="2"/>
    <x v="0"/>
    <x v="2"/>
    <x v="1"/>
    <x v="2"/>
    <x v="624"/>
    <x v="3"/>
    <x v="0"/>
    <x v="0"/>
    <x v="1"/>
    <x v="0"/>
    <x v="0"/>
    <x v="0"/>
    <x v="0"/>
  </r>
  <r>
    <x v="1327"/>
    <x v="626"/>
    <x v="611"/>
    <x v="605"/>
    <x v="1058"/>
    <x v="1"/>
    <x v="2"/>
    <x v="613"/>
    <x v="442"/>
    <x v="1"/>
    <x v="33"/>
    <x v="0"/>
    <x v="0"/>
    <x v="3"/>
    <x v="1"/>
    <x v="1"/>
    <x v="2"/>
    <x v="1"/>
    <x v="3"/>
    <x v="1"/>
    <x v="1"/>
    <x v="302"/>
    <x v="1"/>
    <x v="3"/>
    <x v="4"/>
    <x v="620"/>
    <x v="1"/>
    <x v="1"/>
    <x v="4"/>
    <x v="2"/>
    <x v="1"/>
    <x v="763"/>
    <x v="372"/>
    <x v="0"/>
  </r>
  <r>
    <x v="1328"/>
    <x v="618"/>
    <x v="603"/>
    <x v="596"/>
    <x v="1059"/>
    <x v="1"/>
    <x v="2"/>
    <x v="604"/>
    <x v="447"/>
    <x v="1"/>
    <x v="255"/>
    <x v="0"/>
    <x v="0"/>
    <x v="1"/>
    <x v="1"/>
    <x v="2"/>
    <x v="2"/>
    <x v="1"/>
    <x v="2"/>
    <x v="1"/>
    <x v="2"/>
    <x v="0"/>
    <x v="1"/>
    <x v="1"/>
    <x v="2"/>
    <x v="612"/>
    <x v="2"/>
    <x v="0"/>
    <x v="0"/>
    <x v="1"/>
    <x v="0"/>
    <x v="0"/>
    <x v="0"/>
    <x v="0"/>
  </r>
  <r>
    <x v="1329"/>
    <x v="628"/>
    <x v="613"/>
    <x v="607"/>
    <x v="1060"/>
    <x v="1"/>
    <x v="1"/>
    <x v="615"/>
    <x v="444"/>
    <x v="1"/>
    <x v="2"/>
    <x v="0"/>
    <x v="0"/>
    <x v="3"/>
    <x v="1"/>
    <x v="1"/>
    <x v="2"/>
    <x v="1"/>
    <x v="2"/>
    <x v="2"/>
    <x v="1"/>
    <x v="303"/>
    <x v="1"/>
    <x v="3"/>
    <x v="4"/>
    <x v="622"/>
    <x v="3"/>
    <x v="3"/>
    <x v="0"/>
    <x v="1"/>
    <x v="0"/>
    <x v="764"/>
    <x v="373"/>
    <x v="0"/>
  </r>
  <r>
    <x v="1330"/>
    <x v="631"/>
    <x v="616"/>
    <x v="610"/>
    <x v="1061"/>
    <x v="1"/>
    <x v="2"/>
    <x v="617"/>
    <x v="448"/>
    <x v="1"/>
    <x v="256"/>
    <x v="0"/>
    <x v="0"/>
    <x v="1"/>
    <x v="1"/>
    <x v="1"/>
    <x v="2"/>
    <x v="1"/>
    <x v="2"/>
    <x v="1"/>
    <x v="2"/>
    <x v="0"/>
    <x v="1"/>
    <x v="2"/>
    <x v="2"/>
    <x v="625"/>
    <x v="5"/>
    <x v="0"/>
    <x v="0"/>
    <x v="1"/>
    <x v="0"/>
    <x v="0"/>
    <x v="0"/>
    <x v="0"/>
  </r>
  <r>
    <x v="1331"/>
    <x v="632"/>
    <x v="617"/>
    <x v="611"/>
    <x v="1062"/>
    <x v="1"/>
    <x v="2"/>
    <x v="542"/>
    <x v="449"/>
    <x v="1"/>
    <x v="9"/>
    <x v="0"/>
    <x v="0"/>
    <x v="1"/>
    <x v="1"/>
    <x v="1"/>
    <x v="2"/>
    <x v="1"/>
    <x v="2"/>
    <x v="1"/>
    <x v="1"/>
    <x v="302"/>
    <x v="1"/>
    <x v="2"/>
    <x v="2"/>
    <x v="626"/>
    <x v="5"/>
    <x v="1"/>
    <x v="13"/>
    <x v="2"/>
    <x v="1"/>
    <x v="765"/>
    <x v="0"/>
    <x v="0"/>
  </r>
  <r>
    <x v="1332"/>
    <x v="627"/>
    <x v="612"/>
    <x v="606"/>
    <x v="1063"/>
    <x v="1"/>
    <x v="2"/>
    <x v="614"/>
    <x v="443"/>
    <x v="1"/>
    <x v="15"/>
    <x v="0"/>
    <x v="0"/>
    <x v="1"/>
    <x v="1"/>
    <x v="1"/>
    <x v="2"/>
    <x v="1"/>
    <x v="2"/>
    <x v="2"/>
    <x v="2"/>
    <x v="0"/>
    <x v="1"/>
    <x v="1"/>
    <x v="2"/>
    <x v="621"/>
    <x v="1"/>
    <x v="0"/>
    <x v="0"/>
    <x v="1"/>
    <x v="0"/>
    <x v="0"/>
    <x v="0"/>
    <x v="0"/>
  </r>
  <r>
    <x v="1333"/>
    <x v="624"/>
    <x v="609"/>
    <x v="603"/>
    <x v="1064"/>
    <x v="1"/>
    <x v="1"/>
    <x v="611"/>
    <x v="450"/>
    <x v="1"/>
    <x v="1"/>
    <x v="0"/>
    <x v="0"/>
    <x v="1"/>
    <x v="2"/>
    <x v="3"/>
    <x v="1"/>
    <x v="1"/>
    <x v="2"/>
    <x v="1"/>
    <x v="1"/>
    <x v="302"/>
    <x v="1"/>
    <x v="2"/>
    <x v="2"/>
    <x v="618"/>
    <x v="5"/>
    <x v="1"/>
    <x v="1"/>
    <x v="2"/>
    <x v="1"/>
    <x v="766"/>
    <x v="0"/>
    <x v="0"/>
  </r>
  <r>
    <x v="1334"/>
    <x v="632"/>
    <x v="617"/>
    <x v="611"/>
    <x v="0"/>
    <x v="1"/>
    <x v="2"/>
    <x v="542"/>
    <x v="449"/>
    <x v="1"/>
    <x v="9"/>
    <x v="0"/>
    <x v="0"/>
    <x v="3"/>
    <x v="1"/>
    <x v="2"/>
    <x v="2"/>
    <x v="1"/>
    <x v="1"/>
    <x v="1"/>
    <x v="1"/>
    <x v="303"/>
    <x v="2"/>
    <x v="3"/>
    <x v="4"/>
    <x v="626"/>
    <x v="14"/>
    <x v="1"/>
    <x v="5"/>
    <x v="2"/>
    <x v="1"/>
    <x v="767"/>
    <x v="0"/>
    <x v="0"/>
  </r>
  <r>
    <x v="1335"/>
    <x v="626"/>
    <x v="611"/>
    <x v="605"/>
    <x v="1065"/>
    <x v="1"/>
    <x v="2"/>
    <x v="613"/>
    <x v="442"/>
    <x v="1"/>
    <x v="33"/>
    <x v="0"/>
    <x v="0"/>
    <x v="3"/>
    <x v="1"/>
    <x v="1"/>
    <x v="2"/>
    <x v="1"/>
    <x v="3"/>
    <x v="1"/>
    <x v="2"/>
    <x v="0"/>
    <x v="1"/>
    <x v="3"/>
    <x v="4"/>
    <x v="620"/>
    <x v="1"/>
    <x v="0"/>
    <x v="0"/>
    <x v="1"/>
    <x v="0"/>
    <x v="0"/>
    <x v="0"/>
    <x v="0"/>
  </r>
  <r>
    <x v="1336"/>
    <x v="633"/>
    <x v="618"/>
    <x v="612"/>
    <x v="1066"/>
    <x v="1"/>
    <x v="2"/>
    <x v="618"/>
    <x v="451"/>
    <x v="1"/>
    <x v="33"/>
    <x v="0"/>
    <x v="0"/>
    <x v="1"/>
    <x v="3"/>
    <x v="3"/>
    <x v="1"/>
    <x v="1"/>
    <x v="2"/>
    <x v="1"/>
    <x v="1"/>
    <x v="303"/>
    <x v="1"/>
    <x v="1"/>
    <x v="2"/>
    <x v="627"/>
    <x v="14"/>
    <x v="1"/>
    <x v="7"/>
    <x v="1"/>
    <x v="0"/>
    <x v="768"/>
    <x v="0"/>
    <x v="0"/>
  </r>
  <r>
    <x v="1337"/>
    <x v="624"/>
    <x v="609"/>
    <x v="603"/>
    <x v="1067"/>
    <x v="1"/>
    <x v="2"/>
    <x v="611"/>
    <x v="440"/>
    <x v="1"/>
    <x v="1"/>
    <x v="0"/>
    <x v="0"/>
    <x v="3"/>
    <x v="1"/>
    <x v="1"/>
    <x v="1"/>
    <x v="1"/>
    <x v="2"/>
    <x v="1"/>
    <x v="2"/>
    <x v="0"/>
    <x v="1"/>
    <x v="3"/>
    <x v="4"/>
    <x v="618"/>
    <x v="5"/>
    <x v="0"/>
    <x v="0"/>
    <x v="1"/>
    <x v="0"/>
    <x v="0"/>
    <x v="0"/>
    <x v="0"/>
  </r>
  <r>
    <x v="1338"/>
    <x v="634"/>
    <x v="619"/>
    <x v="613"/>
    <x v="1068"/>
    <x v="3"/>
    <x v="2"/>
    <x v="190"/>
    <x v="452"/>
    <x v="1"/>
    <x v="161"/>
    <x v="0"/>
    <x v="0"/>
    <x v="1"/>
    <x v="2"/>
    <x v="4"/>
    <x v="2"/>
    <x v="1"/>
    <x v="3"/>
    <x v="1"/>
    <x v="1"/>
    <x v="303"/>
    <x v="1"/>
    <x v="5"/>
    <x v="2"/>
    <x v="628"/>
    <x v="5"/>
    <x v="3"/>
    <x v="0"/>
    <x v="1"/>
    <x v="0"/>
    <x v="769"/>
    <x v="374"/>
    <x v="0"/>
  </r>
  <r>
    <x v="1339"/>
    <x v="632"/>
    <x v="617"/>
    <x v="611"/>
    <x v="1069"/>
    <x v="1"/>
    <x v="2"/>
    <x v="542"/>
    <x v="449"/>
    <x v="1"/>
    <x v="9"/>
    <x v="0"/>
    <x v="0"/>
    <x v="3"/>
    <x v="1"/>
    <x v="1"/>
    <x v="1"/>
    <x v="1"/>
    <x v="3"/>
    <x v="1"/>
    <x v="1"/>
    <x v="304"/>
    <x v="1"/>
    <x v="3"/>
    <x v="4"/>
    <x v="626"/>
    <x v="2"/>
    <x v="1"/>
    <x v="13"/>
    <x v="2"/>
    <x v="1"/>
    <x v="770"/>
    <x v="375"/>
    <x v="357"/>
  </r>
  <r>
    <x v="1340"/>
    <x v="633"/>
    <x v="618"/>
    <x v="612"/>
    <x v="0"/>
    <x v="1"/>
    <x v="2"/>
    <x v="618"/>
    <x v="451"/>
    <x v="1"/>
    <x v="33"/>
    <x v="0"/>
    <x v="0"/>
    <x v="3"/>
    <x v="5"/>
    <x v="1"/>
    <x v="1"/>
    <x v="1"/>
    <x v="2"/>
    <x v="1"/>
    <x v="1"/>
    <x v="304"/>
    <x v="2"/>
    <x v="3"/>
    <x v="4"/>
    <x v="627"/>
    <x v="12"/>
    <x v="3"/>
    <x v="0"/>
    <x v="1"/>
    <x v="0"/>
    <x v="770"/>
    <x v="376"/>
    <x v="0"/>
  </r>
  <r>
    <x v="1341"/>
    <x v="632"/>
    <x v="617"/>
    <x v="611"/>
    <x v="0"/>
    <x v="1"/>
    <x v="2"/>
    <x v="542"/>
    <x v="449"/>
    <x v="1"/>
    <x v="9"/>
    <x v="0"/>
    <x v="0"/>
    <x v="3"/>
    <x v="1"/>
    <x v="1"/>
    <x v="2"/>
    <x v="1"/>
    <x v="1"/>
    <x v="1"/>
    <x v="1"/>
    <x v="305"/>
    <x v="2"/>
    <x v="3"/>
    <x v="4"/>
    <x v="626"/>
    <x v="14"/>
    <x v="3"/>
    <x v="0"/>
    <x v="1"/>
    <x v="0"/>
    <x v="771"/>
    <x v="377"/>
    <x v="0"/>
  </r>
  <r>
    <x v="1342"/>
    <x v="635"/>
    <x v="620"/>
    <x v="614"/>
    <x v="1070"/>
    <x v="3"/>
    <x v="6"/>
    <x v="619"/>
    <x v="453"/>
    <x v="1"/>
    <x v="33"/>
    <x v="0"/>
    <x v="0"/>
    <x v="1"/>
    <x v="3"/>
    <x v="2"/>
    <x v="2"/>
    <x v="1"/>
    <x v="3"/>
    <x v="1"/>
    <x v="1"/>
    <x v="306"/>
    <x v="1"/>
    <x v="4"/>
    <x v="3"/>
    <x v="629"/>
    <x v="19"/>
    <x v="3"/>
    <x v="0"/>
    <x v="1"/>
    <x v="0"/>
    <x v="772"/>
    <x v="378"/>
    <x v="358"/>
  </r>
  <r>
    <x v="1343"/>
    <x v="636"/>
    <x v="621"/>
    <x v="615"/>
    <x v="1071"/>
    <x v="3"/>
    <x v="6"/>
    <x v="620"/>
    <x v="454"/>
    <x v="1"/>
    <x v="22"/>
    <x v="0"/>
    <x v="0"/>
    <x v="1"/>
    <x v="3"/>
    <x v="3"/>
    <x v="2"/>
    <x v="1"/>
    <x v="3"/>
    <x v="1"/>
    <x v="1"/>
    <x v="306"/>
    <x v="1"/>
    <x v="6"/>
    <x v="3"/>
    <x v="630"/>
    <x v="19"/>
    <x v="1"/>
    <x v="3"/>
    <x v="2"/>
    <x v="1"/>
    <x v="0"/>
    <x v="0"/>
    <x v="359"/>
  </r>
  <r>
    <x v="1344"/>
    <x v="637"/>
    <x v="622"/>
    <x v="616"/>
    <x v="1072"/>
    <x v="1"/>
    <x v="6"/>
    <x v="621"/>
    <x v="10"/>
    <x v="1"/>
    <x v="33"/>
    <x v="0"/>
    <x v="0"/>
    <x v="1"/>
    <x v="3"/>
    <x v="2"/>
    <x v="2"/>
    <x v="1"/>
    <x v="3"/>
    <x v="1"/>
    <x v="1"/>
    <x v="306"/>
    <x v="1"/>
    <x v="6"/>
    <x v="3"/>
    <x v="631"/>
    <x v="19"/>
    <x v="3"/>
    <x v="0"/>
    <x v="1"/>
    <x v="0"/>
    <x v="773"/>
    <x v="379"/>
    <x v="360"/>
  </r>
  <r>
    <x v="1345"/>
    <x v="638"/>
    <x v="623"/>
    <x v="617"/>
    <x v="1073"/>
    <x v="1"/>
    <x v="6"/>
    <x v="200"/>
    <x v="455"/>
    <x v="1"/>
    <x v="257"/>
    <x v="0"/>
    <x v="0"/>
    <x v="1"/>
    <x v="2"/>
    <x v="3"/>
    <x v="2"/>
    <x v="1"/>
    <x v="3"/>
    <x v="1"/>
    <x v="1"/>
    <x v="306"/>
    <x v="1"/>
    <x v="6"/>
    <x v="3"/>
    <x v="632"/>
    <x v="19"/>
    <x v="3"/>
    <x v="0"/>
    <x v="1"/>
    <x v="0"/>
    <x v="774"/>
    <x v="380"/>
    <x v="0"/>
  </r>
  <r>
    <x v="1346"/>
    <x v="636"/>
    <x v="621"/>
    <x v="615"/>
    <x v="1074"/>
    <x v="3"/>
    <x v="2"/>
    <x v="620"/>
    <x v="454"/>
    <x v="1"/>
    <x v="22"/>
    <x v="0"/>
    <x v="0"/>
    <x v="3"/>
    <x v="3"/>
    <x v="2"/>
    <x v="1"/>
    <x v="1"/>
    <x v="2"/>
    <x v="1"/>
    <x v="1"/>
    <x v="306"/>
    <x v="1"/>
    <x v="3"/>
    <x v="4"/>
    <x v="630"/>
    <x v="3"/>
    <x v="1"/>
    <x v="3"/>
    <x v="2"/>
    <x v="1"/>
    <x v="775"/>
    <x v="0"/>
    <x v="361"/>
  </r>
  <r>
    <x v="1347"/>
    <x v="639"/>
    <x v="624"/>
    <x v="618"/>
    <x v="1075"/>
    <x v="1"/>
    <x v="2"/>
    <x v="622"/>
    <x v="456"/>
    <x v="1"/>
    <x v="31"/>
    <x v="0"/>
    <x v="0"/>
    <x v="1"/>
    <x v="1"/>
    <x v="1"/>
    <x v="2"/>
    <x v="1"/>
    <x v="3"/>
    <x v="1"/>
    <x v="1"/>
    <x v="307"/>
    <x v="1"/>
    <x v="1"/>
    <x v="2"/>
    <x v="633"/>
    <x v="1"/>
    <x v="1"/>
    <x v="1"/>
    <x v="2"/>
    <x v="1"/>
    <x v="776"/>
    <x v="381"/>
    <x v="0"/>
  </r>
  <r>
    <x v="1348"/>
    <x v="640"/>
    <x v="625"/>
    <x v="619"/>
    <x v="1076"/>
    <x v="1"/>
    <x v="1"/>
    <x v="623"/>
    <x v="457"/>
    <x v="1"/>
    <x v="15"/>
    <x v="0"/>
    <x v="0"/>
    <x v="1"/>
    <x v="1"/>
    <x v="1"/>
    <x v="2"/>
    <x v="1"/>
    <x v="3"/>
    <x v="1"/>
    <x v="1"/>
    <x v="305"/>
    <x v="1"/>
    <x v="1"/>
    <x v="2"/>
    <x v="634"/>
    <x v="18"/>
    <x v="3"/>
    <x v="0"/>
    <x v="1"/>
    <x v="0"/>
    <x v="777"/>
    <x v="382"/>
    <x v="0"/>
  </r>
  <r>
    <x v="1349"/>
    <x v="636"/>
    <x v="621"/>
    <x v="615"/>
    <x v="1077"/>
    <x v="3"/>
    <x v="2"/>
    <x v="620"/>
    <x v="454"/>
    <x v="1"/>
    <x v="22"/>
    <x v="0"/>
    <x v="0"/>
    <x v="3"/>
    <x v="1"/>
    <x v="1"/>
    <x v="2"/>
    <x v="1"/>
    <x v="2"/>
    <x v="1"/>
    <x v="1"/>
    <x v="308"/>
    <x v="1"/>
    <x v="3"/>
    <x v="4"/>
    <x v="630"/>
    <x v="3"/>
    <x v="3"/>
    <x v="0"/>
    <x v="1"/>
    <x v="0"/>
    <x v="778"/>
    <x v="383"/>
    <x v="0"/>
  </r>
  <r>
    <x v="1350"/>
    <x v="509"/>
    <x v="501"/>
    <x v="493"/>
    <x v="1078"/>
    <x v="1"/>
    <x v="3"/>
    <x v="513"/>
    <x v="458"/>
    <x v="1"/>
    <x v="258"/>
    <x v="0"/>
    <x v="0"/>
    <x v="1"/>
    <x v="1"/>
    <x v="1"/>
    <x v="2"/>
    <x v="1"/>
    <x v="1"/>
    <x v="1"/>
    <x v="1"/>
    <x v="309"/>
    <x v="1"/>
    <x v="5"/>
    <x v="2"/>
    <x v="503"/>
    <x v="12"/>
    <x v="1"/>
    <x v="3"/>
    <x v="2"/>
    <x v="1"/>
    <x v="779"/>
    <x v="0"/>
    <x v="362"/>
  </r>
  <r>
    <x v="1351"/>
    <x v="641"/>
    <x v="626"/>
    <x v="620"/>
    <x v="1079"/>
    <x v="1"/>
    <x v="2"/>
    <x v="624"/>
    <x v="459"/>
    <x v="1"/>
    <x v="2"/>
    <x v="0"/>
    <x v="0"/>
    <x v="1"/>
    <x v="1"/>
    <x v="1"/>
    <x v="1"/>
    <x v="1"/>
    <x v="3"/>
    <x v="1"/>
    <x v="2"/>
    <x v="0"/>
    <x v="1"/>
    <x v="2"/>
    <x v="2"/>
    <x v="635"/>
    <x v="3"/>
    <x v="0"/>
    <x v="0"/>
    <x v="1"/>
    <x v="0"/>
    <x v="0"/>
    <x v="0"/>
    <x v="0"/>
  </r>
  <r>
    <x v="1352"/>
    <x v="509"/>
    <x v="501"/>
    <x v="493"/>
    <x v="1080"/>
    <x v="1"/>
    <x v="3"/>
    <x v="513"/>
    <x v="458"/>
    <x v="1"/>
    <x v="258"/>
    <x v="0"/>
    <x v="0"/>
    <x v="3"/>
    <x v="1"/>
    <x v="1"/>
    <x v="2"/>
    <x v="1"/>
    <x v="2"/>
    <x v="1"/>
    <x v="1"/>
    <x v="310"/>
    <x v="1"/>
    <x v="3"/>
    <x v="4"/>
    <x v="503"/>
    <x v="3"/>
    <x v="1"/>
    <x v="7"/>
    <x v="2"/>
    <x v="1"/>
    <x v="780"/>
    <x v="0"/>
    <x v="363"/>
  </r>
  <r>
    <x v="1353"/>
    <x v="642"/>
    <x v="627"/>
    <x v="621"/>
    <x v="1081"/>
    <x v="3"/>
    <x v="1"/>
    <x v="625"/>
    <x v="460"/>
    <x v="1"/>
    <x v="2"/>
    <x v="0"/>
    <x v="0"/>
    <x v="1"/>
    <x v="2"/>
    <x v="3"/>
    <x v="1"/>
    <x v="1"/>
    <x v="2"/>
    <x v="1"/>
    <x v="1"/>
    <x v="307"/>
    <x v="1"/>
    <x v="5"/>
    <x v="2"/>
    <x v="636"/>
    <x v="3"/>
    <x v="3"/>
    <x v="0"/>
    <x v="1"/>
    <x v="0"/>
    <x v="781"/>
    <x v="384"/>
    <x v="0"/>
  </r>
  <r>
    <x v="1354"/>
    <x v="335"/>
    <x v="335"/>
    <x v="330"/>
    <x v="1082"/>
    <x v="1"/>
    <x v="6"/>
    <x v="350"/>
    <x v="461"/>
    <x v="1"/>
    <x v="259"/>
    <x v="0"/>
    <x v="0"/>
    <x v="1"/>
    <x v="2"/>
    <x v="3"/>
    <x v="2"/>
    <x v="1"/>
    <x v="3"/>
    <x v="1"/>
    <x v="1"/>
    <x v="307"/>
    <x v="1"/>
    <x v="5"/>
    <x v="3"/>
    <x v="337"/>
    <x v="19"/>
    <x v="1"/>
    <x v="1"/>
    <x v="1"/>
    <x v="0"/>
    <x v="782"/>
    <x v="385"/>
    <x v="0"/>
  </r>
  <r>
    <x v="1355"/>
    <x v="639"/>
    <x v="624"/>
    <x v="618"/>
    <x v="1083"/>
    <x v="1"/>
    <x v="2"/>
    <x v="622"/>
    <x v="456"/>
    <x v="1"/>
    <x v="31"/>
    <x v="0"/>
    <x v="0"/>
    <x v="3"/>
    <x v="1"/>
    <x v="1"/>
    <x v="1"/>
    <x v="1"/>
    <x v="3"/>
    <x v="1"/>
    <x v="2"/>
    <x v="0"/>
    <x v="1"/>
    <x v="3"/>
    <x v="4"/>
    <x v="633"/>
    <x v="5"/>
    <x v="0"/>
    <x v="0"/>
    <x v="1"/>
    <x v="0"/>
    <x v="0"/>
    <x v="0"/>
    <x v="0"/>
  </r>
  <r>
    <x v="1356"/>
    <x v="335"/>
    <x v="335"/>
    <x v="330"/>
    <x v="0"/>
    <x v="1"/>
    <x v="2"/>
    <x v="350"/>
    <x v="461"/>
    <x v="1"/>
    <x v="259"/>
    <x v="0"/>
    <x v="0"/>
    <x v="3"/>
    <x v="1"/>
    <x v="1"/>
    <x v="1"/>
    <x v="1"/>
    <x v="2"/>
    <x v="3"/>
    <x v="2"/>
    <x v="0"/>
    <x v="2"/>
    <x v="3"/>
    <x v="4"/>
    <x v="337"/>
    <x v="5"/>
    <x v="0"/>
    <x v="0"/>
    <x v="1"/>
    <x v="0"/>
    <x v="0"/>
    <x v="0"/>
    <x v="0"/>
  </r>
  <r>
    <x v="1357"/>
    <x v="335"/>
    <x v="335"/>
    <x v="330"/>
    <x v="0"/>
    <x v="1"/>
    <x v="2"/>
    <x v="626"/>
    <x v="461"/>
    <x v="1"/>
    <x v="260"/>
    <x v="0"/>
    <x v="0"/>
    <x v="1"/>
    <x v="1"/>
    <x v="1"/>
    <x v="1"/>
    <x v="1"/>
    <x v="2"/>
    <x v="1"/>
    <x v="1"/>
    <x v="310"/>
    <x v="2"/>
    <x v="1"/>
    <x v="2"/>
    <x v="337"/>
    <x v="17"/>
    <x v="3"/>
    <x v="0"/>
    <x v="1"/>
    <x v="0"/>
    <x v="783"/>
    <x v="0"/>
    <x v="0"/>
  </r>
  <r>
    <x v="1358"/>
    <x v="509"/>
    <x v="501"/>
    <x v="493"/>
    <x v="0"/>
    <x v="1"/>
    <x v="3"/>
    <x v="513"/>
    <x v="458"/>
    <x v="1"/>
    <x v="33"/>
    <x v="0"/>
    <x v="0"/>
    <x v="3"/>
    <x v="3"/>
    <x v="2"/>
    <x v="2"/>
    <x v="1"/>
    <x v="2"/>
    <x v="1"/>
    <x v="1"/>
    <x v="305"/>
    <x v="1"/>
    <x v="3"/>
    <x v="4"/>
    <x v="503"/>
    <x v="12"/>
    <x v="1"/>
    <x v="13"/>
    <x v="2"/>
    <x v="1"/>
    <x v="784"/>
    <x v="386"/>
    <x v="364"/>
  </r>
  <r>
    <x v="1359"/>
    <x v="639"/>
    <x v="624"/>
    <x v="618"/>
    <x v="1084"/>
    <x v="1"/>
    <x v="2"/>
    <x v="622"/>
    <x v="456"/>
    <x v="1"/>
    <x v="31"/>
    <x v="0"/>
    <x v="0"/>
    <x v="1"/>
    <x v="1"/>
    <x v="1"/>
    <x v="1"/>
    <x v="1"/>
    <x v="1"/>
    <x v="4"/>
    <x v="1"/>
    <x v="305"/>
    <x v="1"/>
    <x v="1"/>
    <x v="2"/>
    <x v="633"/>
    <x v="12"/>
    <x v="3"/>
    <x v="0"/>
    <x v="1"/>
    <x v="0"/>
    <x v="785"/>
    <x v="387"/>
    <x v="0"/>
  </r>
  <r>
    <x v="1360"/>
    <x v="603"/>
    <x v="590"/>
    <x v="583"/>
    <x v="1085"/>
    <x v="1"/>
    <x v="2"/>
    <x v="594"/>
    <x v="462"/>
    <x v="1"/>
    <x v="1"/>
    <x v="0"/>
    <x v="0"/>
    <x v="1"/>
    <x v="2"/>
    <x v="3"/>
    <x v="2"/>
    <x v="1"/>
    <x v="2"/>
    <x v="1"/>
    <x v="1"/>
    <x v="305"/>
    <x v="1"/>
    <x v="2"/>
    <x v="3"/>
    <x v="637"/>
    <x v="2"/>
    <x v="1"/>
    <x v="13"/>
    <x v="1"/>
    <x v="0"/>
    <x v="786"/>
    <x v="388"/>
    <x v="365"/>
  </r>
  <r>
    <x v="1361"/>
    <x v="339"/>
    <x v="339"/>
    <x v="334"/>
    <x v="1086"/>
    <x v="1"/>
    <x v="2"/>
    <x v="354"/>
    <x v="463"/>
    <x v="2"/>
    <x v="0"/>
    <x v="2"/>
    <x v="0"/>
    <x v="1"/>
    <x v="2"/>
    <x v="3"/>
    <x v="2"/>
    <x v="1"/>
    <x v="2"/>
    <x v="1"/>
    <x v="1"/>
    <x v="311"/>
    <x v="1"/>
    <x v="1"/>
    <x v="2"/>
    <x v="341"/>
    <x v="18"/>
    <x v="2"/>
    <x v="0"/>
    <x v="1"/>
    <x v="0"/>
    <x v="0"/>
    <x v="0"/>
    <x v="0"/>
  </r>
  <r>
    <x v="1362"/>
    <x v="509"/>
    <x v="501"/>
    <x v="493"/>
    <x v="1087"/>
    <x v="1"/>
    <x v="2"/>
    <x v="513"/>
    <x v="458"/>
    <x v="1"/>
    <x v="33"/>
    <x v="0"/>
    <x v="0"/>
    <x v="3"/>
    <x v="1"/>
    <x v="1"/>
    <x v="2"/>
    <x v="1"/>
    <x v="2"/>
    <x v="4"/>
    <x v="1"/>
    <x v="311"/>
    <x v="1"/>
    <x v="3"/>
    <x v="4"/>
    <x v="503"/>
    <x v="14"/>
    <x v="1"/>
    <x v="13"/>
    <x v="2"/>
    <x v="1"/>
    <x v="787"/>
    <x v="0"/>
    <x v="366"/>
  </r>
  <r>
    <x v="1363"/>
    <x v="603"/>
    <x v="590"/>
    <x v="583"/>
    <x v="0"/>
    <x v="1"/>
    <x v="2"/>
    <x v="594"/>
    <x v="462"/>
    <x v="1"/>
    <x v="1"/>
    <x v="0"/>
    <x v="0"/>
    <x v="3"/>
    <x v="4"/>
    <x v="1"/>
    <x v="2"/>
    <x v="1"/>
    <x v="2"/>
    <x v="1"/>
    <x v="2"/>
    <x v="0"/>
    <x v="2"/>
    <x v="3"/>
    <x v="4"/>
    <x v="637"/>
    <x v="14"/>
    <x v="0"/>
    <x v="0"/>
    <x v="1"/>
    <x v="0"/>
    <x v="0"/>
    <x v="0"/>
    <x v="0"/>
  </r>
  <r>
    <x v="1364"/>
    <x v="636"/>
    <x v="621"/>
    <x v="615"/>
    <x v="1088"/>
    <x v="3"/>
    <x v="2"/>
    <x v="620"/>
    <x v="454"/>
    <x v="1"/>
    <x v="261"/>
    <x v="0"/>
    <x v="0"/>
    <x v="1"/>
    <x v="2"/>
    <x v="3"/>
    <x v="2"/>
    <x v="1"/>
    <x v="2"/>
    <x v="1"/>
    <x v="1"/>
    <x v="311"/>
    <x v="1"/>
    <x v="6"/>
    <x v="3"/>
    <x v="630"/>
    <x v="14"/>
    <x v="1"/>
    <x v="13"/>
    <x v="1"/>
    <x v="0"/>
    <x v="788"/>
    <x v="389"/>
    <x v="0"/>
  </r>
  <r>
    <x v="1365"/>
    <x v="639"/>
    <x v="624"/>
    <x v="618"/>
    <x v="1089"/>
    <x v="1"/>
    <x v="3"/>
    <x v="622"/>
    <x v="456"/>
    <x v="1"/>
    <x v="31"/>
    <x v="0"/>
    <x v="0"/>
    <x v="1"/>
    <x v="1"/>
    <x v="1"/>
    <x v="2"/>
    <x v="1"/>
    <x v="2"/>
    <x v="1"/>
    <x v="2"/>
    <x v="0"/>
    <x v="1"/>
    <x v="6"/>
    <x v="3"/>
    <x v="633"/>
    <x v="14"/>
    <x v="0"/>
    <x v="0"/>
    <x v="1"/>
    <x v="0"/>
    <x v="0"/>
    <x v="0"/>
    <x v="0"/>
  </r>
  <r>
    <x v="1366"/>
    <x v="509"/>
    <x v="501"/>
    <x v="493"/>
    <x v="0"/>
    <x v="1"/>
    <x v="2"/>
    <x v="513"/>
    <x v="458"/>
    <x v="1"/>
    <x v="33"/>
    <x v="0"/>
    <x v="0"/>
    <x v="3"/>
    <x v="1"/>
    <x v="1"/>
    <x v="2"/>
    <x v="1"/>
    <x v="2"/>
    <x v="1"/>
    <x v="1"/>
    <x v="312"/>
    <x v="2"/>
    <x v="3"/>
    <x v="4"/>
    <x v="503"/>
    <x v="14"/>
    <x v="1"/>
    <x v="1"/>
    <x v="1"/>
    <x v="0"/>
    <x v="789"/>
    <x v="390"/>
    <x v="0"/>
  </r>
  <r>
    <x v="1367"/>
    <x v="643"/>
    <x v="628"/>
    <x v="622"/>
    <x v="1090"/>
    <x v="1"/>
    <x v="2"/>
    <x v="627"/>
    <x v="462"/>
    <x v="2"/>
    <x v="0"/>
    <x v="2"/>
    <x v="0"/>
    <x v="1"/>
    <x v="1"/>
    <x v="1"/>
    <x v="2"/>
    <x v="1"/>
    <x v="3"/>
    <x v="1"/>
    <x v="1"/>
    <x v="313"/>
    <x v="1"/>
    <x v="2"/>
    <x v="2"/>
    <x v="638"/>
    <x v="5"/>
    <x v="1"/>
    <x v="1"/>
    <x v="1"/>
    <x v="0"/>
    <x v="790"/>
    <x v="0"/>
    <x v="0"/>
  </r>
  <r>
    <x v="1368"/>
    <x v="644"/>
    <x v="629"/>
    <x v="623"/>
    <x v="1091"/>
    <x v="1"/>
    <x v="2"/>
    <x v="628"/>
    <x v="464"/>
    <x v="1"/>
    <x v="31"/>
    <x v="0"/>
    <x v="0"/>
    <x v="1"/>
    <x v="1"/>
    <x v="1"/>
    <x v="1"/>
    <x v="1"/>
    <x v="2"/>
    <x v="1"/>
    <x v="1"/>
    <x v="314"/>
    <x v="1"/>
    <x v="1"/>
    <x v="2"/>
    <x v="639"/>
    <x v="12"/>
    <x v="1"/>
    <x v="1"/>
    <x v="2"/>
    <x v="1"/>
    <x v="791"/>
    <x v="0"/>
    <x v="367"/>
  </r>
  <r>
    <x v="1369"/>
    <x v="643"/>
    <x v="628"/>
    <x v="622"/>
    <x v="1090"/>
    <x v="1"/>
    <x v="2"/>
    <x v="627"/>
    <x v="462"/>
    <x v="2"/>
    <x v="0"/>
    <x v="2"/>
    <x v="0"/>
    <x v="3"/>
    <x v="1"/>
    <x v="1"/>
    <x v="2"/>
    <x v="1"/>
    <x v="2"/>
    <x v="1"/>
    <x v="1"/>
    <x v="315"/>
    <x v="2"/>
    <x v="3"/>
    <x v="4"/>
    <x v="638"/>
    <x v="5"/>
    <x v="3"/>
    <x v="0"/>
    <x v="1"/>
    <x v="0"/>
    <x v="792"/>
    <x v="0"/>
    <x v="0"/>
  </r>
  <r>
    <x v="1370"/>
    <x v="438"/>
    <x v="434"/>
    <x v="429"/>
    <x v="1092"/>
    <x v="1"/>
    <x v="2"/>
    <x v="444"/>
    <x v="460"/>
    <x v="1"/>
    <x v="33"/>
    <x v="0"/>
    <x v="0"/>
    <x v="1"/>
    <x v="3"/>
    <x v="2"/>
    <x v="2"/>
    <x v="1"/>
    <x v="3"/>
    <x v="1"/>
    <x v="1"/>
    <x v="314"/>
    <x v="2"/>
    <x v="1"/>
    <x v="2"/>
    <x v="437"/>
    <x v="5"/>
    <x v="3"/>
    <x v="0"/>
    <x v="1"/>
    <x v="0"/>
    <x v="793"/>
    <x v="391"/>
    <x v="0"/>
  </r>
  <r>
    <x v="1371"/>
    <x v="509"/>
    <x v="501"/>
    <x v="493"/>
    <x v="0"/>
    <x v="1"/>
    <x v="3"/>
    <x v="513"/>
    <x v="458"/>
    <x v="1"/>
    <x v="33"/>
    <x v="0"/>
    <x v="0"/>
    <x v="3"/>
    <x v="1"/>
    <x v="1"/>
    <x v="2"/>
    <x v="1"/>
    <x v="2"/>
    <x v="1"/>
    <x v="2"/>
    <x v="0"/>
    <x v="2"/>
    <x v="3"/>
    <x v="4"/>
    <x v="503"/>
    <x v="5"/>
    <x v="0"/>
    <x v="0"/>
    <x v="1"/>
    <x v="0"/>
    <x v="0"/>
    <x v="0"/>
    <x v="0"/>
  </r>
  <r>
    <x v="1372"/>
    <x v="644"/>
    <x v="629"/>
    <x v="623"/>
    <x v="0"/>
    <x v="1"/>
    <x v="2"/>
    <x v="628"/>
    <x v="464"/>
    <x v="1"/>
    <x v="31"/>
    <x v="0"/>
    <x v="0"/>
    <x v="3"/>
    <x v="1"/>
    <x v="1"/>
    <x v="1"/>
    <x v="1"/>
    <x v="2"/>
    <x v="3"/>
    <x v="2"/>
    <x v="0"/>
    <x v="2"/>
    <x v="3"/>
    <x v="4"/>
    <x v="639"/>
    <x v="5"/>
    <x v="0"/>
    <x v="0"/>
    <x v="1"/>
    <x v="0"/>
    <x v="794"/>
    <x v="0"/>
    <x v="0"/>
  </r>
  <r>
    <x v="1373"/>
    <x v="645"/>
    <x v="630"/>
    <x v="624"/>
    <x v="1093"/>
    <x v="1"/>
    <x v="2"/>
    <x v="318"/>
    <x v="158"/>
    <x v="1"/>
    <x v="15"/>
    <x v="0"/>
    <x v="0"/>
    <x v="1"/>
    <x v="1"/>
    <x v="1"/>
    <x v="1"/>
    <x v="1"/>
    <x v="3"/>
    <x v="1"/>
    <x v="1"/>
    <x v="315"/>
    <x v="2"/>
    <x v="2"/>
    <x v="3"/>
    <x v="640"/>
    <x v="20"/>
    <x v="1"/>
    <x v="17"/>
    <x v="1"/>
    <x v="0"/>
    <x v="795"/>
    <x v="0"/>
    <x v="0"/>
  </r>
  <r>
    <x v="1374"/>
    <x v="646"/>
    <x v="631"/>
    <x v="625"/>
    <x v="1094"/>
    <x v="1"/>
    <x v="2"/>
    <x v="629"/>
    <x v="465"/>
    <x v="1"/>
    <x v="27"/>
    <x v="0"/>
    <x v="0"/>
    <x v="1"/>
    <x v="1"/>
    <x v="1"/>
    <x v="2"/>
    <x v="1"/>
    <x v="2"/>
    <x v="1"/>
    <x v="1"/>
    <x v="315"/>
    <x v="1"/>
    <x v="5"/>
    <x v="2"/>
    <x v="641"/>
    <x v="5"/>
    <x v="1"/>
    <x v="1"/>
    <x v="1"/>
    <x v="0"/>
    <x v="796"/>
    <x v="0"/>
    <x v="198"/>
  </r>
  <r>
    <x v="1375"/>
    <x v="645"/>
    <x v="630"/>
    <x v="624"/>
    <x v="1095"/>
    <x v="1"/>
    <x v="2"/>
    <x v="318"/>
    <x v="10"/>
    <x v="2"/>
    <x v="0"/>
    <x v="6"/>
    <x v="0"/>
    <x v="3"/>
    <x v="3"/>
    <x v="3"/>
    <x v="2"/>
    <x v="1"/>
    <x v="3"/>
    <x v="4"/>
    <x v="1"/>
    <x v="316"/>
    <x v="1"/>
    <x v="3"/>
    <x v="4"/>
    <x v="640"/>
    <x v="2"/>
    <x v="1"/>
    <x v="1"/>
    <x v="2"/>
    <x v="1"/>
    <x v="797"/>
    <x v="392"/>
    <x v="0"/>
  </r>
  <r>
    <x v="1376"/>
    <x v="646"/>
    <x v="631"/>
    <x v="625"/>
    <x v="1094"/>
    <x v="1"/>
    <x v="2"/>
    <x v="629"/>
    <x v="465"/>
    <x v="1"/>
    <x v="27"/>
    <x v="0"/>
    <x v="0"/>
    <x v="3"/>
    <x v="2"/>
    <x v="3"/>
    <x v="2"/>
    <x v="1"/>
    <x v="2"/>
    <x v="1"/>
    <x v="1"/>
    <x v="316"/>
    <x v="1"/>
    <x v="3"/>
    <x v="4"/>
    <x v="641"/>
    <x v="5"/>
    <x v="3"/>
    <x v="0"/>
    <x v="1"/>
    <x v="0"/>
    <x v="798"/>
    <x v="393"/>
    <x v="0"/>
  </r>
  <r>
    <x v="1377"/>
    <x v="647"/>
    <x v="632"/>
    <x v="626"/>
    <x v="1096"/>
    <x v="1"/>
    <x v="1"/>
    <x v="630"/>
    <x v="10"/>
    <x v="1"/>
    <x v="3"/>
    <x v="0"/>
    <x v="0"/>
    <x v="1"/>
    <x v="3"/>
    <x v="2"/>
    <x v="2"/>
    <x v="1"/>
    <x v="1"/>
    <x v="1"/>
    <x v="1"/>
    <x v="316"/>
    <x v="1"/>
    <x v="1"/>
    <x v="2"/>
    <x v="642"/>
    <x v="2"/>
    <x v="3"/>
    <x v="0"/>
    <x v="1"/>
    <x v="0"/>
    <x v="799"/>
    <x v="394"/>
    <x v="0"/>
  </r>
  <r>
    <x v="1378"/>
    <x v="636"/>
    <x v="621"/>
    <x v="615"/>
    <x v="0"/>
    <x v="3"/>
    <x v="2"/>
    <x v="620"/>
    <x v="454"/>
    <x v="1"/>
    <x v="262"/>
    <x v="0"/>
    <x v="0"/>
    <x v="3"/>
    <x v="4"/>
    <x v="3"/>
    <x v="2"/>
    <x v="1"/>
    <x v="2"/>
    <x v="1"/>
    <x v="2"/>
    <x v="0"/>
    <x v="2"/>
    <x v="3"/>
    <x v="4"/>
    <x v="630"/>
    <x v="14"/>
    <x v="0"/>
    <x v="0"/>
    <x v="1"/>
    <x v="0"/>
    <x v="0"/>
    <x v="0"/>
    <x v="368"/>
  </r>
  <r>
    <x v="1379"/>
    <x v="645"/>
    <x v="630"/>
    <x v="624"/>
    <x v="1097"/>
    <x v="1"/>
    <x v="2"/>
    <x v="318"/>
    <x v="10"/>
    <x v="1"/>
    <x v="15"/>
    <x v="0"/>
    <x v="0"/>
    <x v="3"/>
    <x v="2"/>
    <x v="3"/>
    <x v="1"/>
    <x v="1"/>
    <x v="2"/>
    <x v="1"/>
    <x v="1"/>
    <x v="308"/>
    <x v="2"/>
    <x v="3"/>
    <x v="4"/>
    <x v="640"/>
    <x v="5"/>
    <x v="3"/>
    <x v="0"/>
    <x v="1"/>
    <x v="0"/>
    <x v="800"/>
    <x v="395"/>
    <x v="0"/>
  </r>
  <r>
    <x v="1380"/>
    <x v="648"/>
    <x v="633"/>
    <x v="627"/>
    <x v="1098"/>
    <x v="1"/>
    <x v="2"/>
    <x v="631"/>
    <x v="466"/>
    <x v="1"/>
    <x v="15"/>
    <x v="0"/>
    <x v="0"/>
    <x v="1"/>
    <x v="1"/>
    <x v="1"/>
    <x v="2"/>
    <x v="1"/>
    <x v="2"/>
    <x v="4"/>
    <x v="1"/>
    <x v="308"/>
    <x v="1"/>
    <x v="5"/>
    <x v="2"/>
    <x v="643"/>
    <x v="5"/>
    <x v="1"/>
    <x v="7"/>
    <x v="2"/>
    <x v="1"/>
    <x v="801"/>
    <x v="0"/>
    <x v="0"/>
  </r>
  <r>
    <x v="1381"/>
    <x v="644"/>
    <x v="629"/>
    <x v="628"/>
    <x v="0"/>
    <x v="1"/>
    <x v="6"/>
    <x v="628"/>
    <x v="464"/>
    <x v="1"/>
    <x v="263"/>
    <x v="0"/>
    <x v="0"/>
    <x v="1"/>
    <x v="1"/>
    <x v="1"/>
    <x v="1"/>
    <x v="1"/>
    <x v="3"/>
    <x v="5"/>
    <x v="1"/>
    <x v="308"/>
    <x v="2"/>
    <x v="5"/>
    <x v="2"/>
    <x v="639"/>
    <x v="20"/>
    <x v="1"/>
    <x v="17"/>
    <x v="1"/>
    <x v="0"/>
    <x v="802"/>
    <x v="0"/>
    <x v="0"/>
  </r>
  <r>
    <x v="1382"/>
    <x v="648"/>
    <x v="633"/>
    <x v="627"/>
    <x v="1099"/>
    <x v="1"/>
    <x v="2"/>
    <x v="631"/>
    <x v="466"/>
    <x v="1"/>
    <x v="15"/>
    <x v="0"/>
    <x v="0"/>
    <x v="3"/>
    <x v="1"/>
    <x v="1"/>
    <x v="1"/>
    <x v="1"/>
    <x v="2"/>
    <x v="1"/>
    <x v="2"/>
    <x v="0"/>
    <x v="1"/>
    <x v="3"/>
    <x v="4"/>
    <x v="643"/>
    <x v="12"/>
    <x v="0"/>
    <x v="0"/>
    <x v="1"/>
    <x v="0"/>
    <x v="0"/>
    <x v="0"/>
    <x v="0"/>
  </r>
  <r>
    <x v="1383"/>
    <x v="649"/>
    <x v="634"/>
    <x v="629"/>
    <x v="1100"/>
    <x v="1"/>
    <x v="2"/>
    <x v="632"/>
    <x v="467"/>
    <x v="1"/>
    <x v="3"/>
    <x v="0"/>
    <x v="0"/>
    <x v="2"/>
    <x v="1"/>
    <x v="2"/>
    <x v="2"/>
    <x v="1"/>
    <x v="1"/>
    <x v="1"/>
    <x v="2"/>
    <x v="0"/>
    <x v="1"/>
    <x v="6"/>
    <x v="3"/>
    <x v="644"/>
    <x v="14"/>
    <x v="0"/>
    <x v="0"/>
    <x v="1"/>
    <x v="0"/>
    <x v="0"/>
    <x v="0"/>
    <x v="369"/>
  </r>
  <r>
    <x v="1384"/>
    <x v="650"/>
    <x v="635"/>
    <x v="630"/>
    <x v="1101"/>
    <x v="1"/>
    <x v="2"/>
    <x v="633"/>
    <x v="468"/>
    <x v="2"/>
    <x v="0"/>
    <x v="6"/>
    <x v="0"/>
    <x v="1"/>
    <x v="3"/>
    <x v="3"/>
    <x v="2"/>
    <x v="1"/>
    <x v="2"/>
    <x v="1"/>
    <x v="1"/>
    <x v="317"/>
    <x v="1"/>
    <x v="1"/>
    <x v="2"/>
    <x v="645"/>
    <x v="12"/>
    <x v="1"/>
    <x v="13"/>
    <x v="1"/>
    <x v="0"/>
    <x v="803"/>
    <x v="396"/>
    <x v="370"/>
  </r>
  <r>
    <x v="1385"/>
    <x v="641"/>
    <x v="626"/>
    <x v="620"/>
    <x v="1102"/>
    <x v="1"/>
    <x v="2"/>
    <x v="624"/>
    <x v="459"/>
    <x v="1"/>
    <x v="3"/>
    <x v="0"/>
    <x v="0"/>
    <x v="1"/>
    <x v="1"/>
    <x v="1"/>
    <x v="2"/>
    <x v="1"/>
    <x v="2"/>
    <x v="1"/>
    <x v="2"/>
    <x v="0"/>
    <x v="1"/>
    <x v="5"/>
    <x v="2"/>
    <x v="635"/>
    <x v="12"/>
    <x v="0"/>
    <x v="0"/>
    <x v="1"/>
    <x v="0"/>
    <x v="0"/>
    <x v="0"/>
    <x v="0"/>
  </r>
  <r>
    <x v="1386"/>
    <x v="651"/>
    <x v="636"/>
    <x v="631"/>
    <x v="1103"/>
    <x v="1"/>
    <x v="3"/>
    <x v="634"/>
    <x v="469"/>
    <x v="2"/>
    <x v="0"/>
    <x v="6"/>
    <x v="0"/>
    <x v="1"/>
    <x v="2"/>
    <x v="3"/>
    <x v="2"/>
    <x v="1"/>
    <x v="1"/>
    <x v="1"/>
    <x v="1"/>
    <x v="317"/>
    <x v="1"/>
    <x v="6"/>
    <x v="3"/>
    <x v="646"/>
    <x v="14"/>
    <x v="1"/>
    <x v="13"/>
    <x v="2"/>
    <x v="1"/>
    <x v="804"/>
    <x v="0"/>
    <x v="371"/>
  </r>
  <r>
    <x v="1387"/>
    <x v="603"/>
    <x v="590"/>
    <x v="583"/>
    <x v="1104"/>
    <x v="1"/>
    <x v="2"/>
    <x v="594"/>
    <x v="462"/>
    <x v="6"/>
    <x v="0"/>
    <x v="0"/>
    <x v="4"/>
    <x v="1"/>
    <x v="1"/>
    <x v="2"/>
    <x v="2"/>
    <x v="1"/>
    <x v="2"/>
    <x v="1"/>
    <x v="1"/>
    <x v="318"/>
    <x v="1"/>
    <x v="6"/>
    <x v="3"/>
    <x v="599"/>
    <x v="14"/>
    <x v="3"/>
    <x v="0"/>
    <x v="1"/>
    <x v="0"/>
    <x v="805"/>
    <x v="397"/>
    <x v="185"/>
  </r>
  <r>
    <x v="1388"/>
    <x v="650"/>
    <x v="635"/>
    <x v="630"/>
    <x v="0"/>
    <x v="1"/>
    <x v="2"/>
    <x v="633"/>
    <x v="468"/>
    <x v="1"/>
    <x v="264"/>
    <x v="0"/>
    <x v="0"/>
    <x v="3"/>
    <x v="4"/>
    <x v="1"/>
    <x v="2"/>
    <x v="1"/>
    <x v="2"/>
    <x v="1"/>
    <x v="2"/>
    <x v="0"/>
    <x v="2"/>
    <x v="3"/>
    <x v="4"/>
    <x v="645"/>
    <x v="14"/>
    <x v="0"/>
    <x v="0"/>
    <x v="1"/>
    <x v="0"/>
    <x v="0"/>
    <x v="0"/>
    <x v="0"/>
  </r>
  <r>
    <x v="1389"/>
    <x v="651"/>
    <x v="636"/>
    <x v="631"/>
    <x v="0"/>
    <x v="1"/>
    <x v="2"/>
    <x v="634"/>
    <x v="469"/>
    <x v="2"/>
    <x v="0"/>
    <x v="6"/>
    <x v="0"/>
    <x v="3"/>
    <x v="2"/>
    <x v="3"/>
    <x v="2"/>
    <x v="1"/>
    <x v="1"/>
    <x v="1"/>
    <x v="1"/>
    <x v="319"/>
    <x v="2"/>
    <x v="3"/>
    <x v="4"/>
    <x v="646"/>
    <x v="14"/>
    <x v="1"/>
    <x v="1"/>
    <x v="2"/>
    <x v="1"/>
    <x v="806"/>
    <x v="0"/>
    <x v="372"/>
  </r>
  <r>
    <x v="1390"/>
    <x v="652"/>
    <x v="637"/>
    <x v="632"/>
    <x v="1105"/>
    <x v="1"/>
    <x v="2"/>
    <x v="635"/>
    <x v="10"/>
    <x v="1"/>
    <x v="22"/>
    <x v="0"/>
    <x v="0"/>
    <x v="1"/>
    <x v="2"/>
    <x v="3"/>
    <x v="2"/>
    <x v="1"/>
    <x v="1"/>
    <x v="5"/>
    <x v="1"/>
    <x v="318"/>
    <x v="1"/>
    <x v="6"/>
    <x v="2"/>
    <x v="647"/>
    <x v="5"/>
    <x v="1"/>
    <x v="5"/>
    <x v="2"/>
    <x v="1"/>
    <x v="807"/>
    <x v="398"/>
    <x v="373"/>
  </r>
  <r>
    <x v="1391"/>
    <x v="651"/>
    <x v="636"/>
    <x v="631"/>
    <x v="0"/>
    <x v="1"/>
    <x v="2"/>
    <x v="634"/>
    <x v="469"/>
    <x v="2"/>
    <x v="0"/>
    <x v="6"/>
    <x v="0"/>
    <x v="3"/>
    <x v="2"/>
    <x v="3"/>
    <x v="2"/>
    <x v="1"/>
    <x v="2"/>
    <x v="1"/>
    <x v="1"/>
    <x v="318"/>
    <x v="2"/>
    <x v="3"/>
    <x v="4"/>
    <x v="646"/>
    <x v="5"/>
    <x v="1"/>
    <x v="4"/>
    <x v="1"/>
    <x v="0"/>
    <x v="808"/>
    <x v="399"/>
    <x v="0"/>
  </r>
  <r>
    <x v="1392"/>
    <x v="644"/>
    <x v="629"/>
    <x v="628"/>
    <x v="0"/>
    <x v="1"/>
    <x v="2"/>
    <x v="628"/>
    <x v="464"/>
    <x v="1"/>
    <x v="263"/>
    <x v="0"/>
    <x v="0"/>
    <x v="3"/>
    <x v="1"/>
    <x v="1"/>
    <x v="1"/>
    <x v="1"/>
    <x v="3"/>
    <x v="5"/>
    <x v="2"/>
    <x v="0"/>
    <x v="2"/>
    <x v="5"/>
    <x v="3"/>
    <x v="639"/>
    <x v="20"/>
    <x v="0"/>
    <x v="0"/>
    <x v="1"/>
    <x v="0"/>
    <x v="0"/>
    <x v="0"/>
    <x v="0"/>
  </r>
  <r>
    <x v="1393"/>
    <x v="653"/>
    <x v="566"/>
    <x v="559"/>
    <x v="1106"/>
    <x v="1"/>
    <x v="1"/>
    <x v="573"/>
    <x v="470"/>
    <x v="1"/>
    <x v="265"/>
    <x v="0"/>
    <x v="0"/>
    <x v="1"/>
    <x v="1"/>
    <x v="1"/>
    <x v="2"/>
    <x v="1"/>
    <x v="1"/>
    <x v="1"/>
    <x v="2"/>
    <x v="0"/>
    <x v="1"/>
    <x v="4"/>
    <x v="2"/>
    <x v="573"/>
    <x v="12"/>
    <x v="0"/>
    <x v="0"/>
    <x v="1"/>
    <x v="0"/>
    <x v="0"/>
    <x v="0"/>
    <x v="0"/>
  </r>
  <r>
    <x v="1394"/>
    <x v="654"/>
    <x v="638"/>
    <x v="633"/>
    <x v="1107"/>
    <x v="1"/>
    <x v="2"/>
    <x v="407"/>
    <x v="471"/>
    <x v="1"/>
    <x v="266"/>
    <x v="0"/>
    <x v="0"/>
    <x v="1"/>
    <x v="1"/>
    <x v="1"/>
    <x v="1"/>
    <x v="1"/>
    <x v="2"/>
    <x v="1"/>
    <x v="2"/>
    <x v="0"/>
    <x v="1"/>
    <x v="1"/>
    <x v="13"/>
    <x v="648"/>
    <x v="3"/>
    <x v="0"/>
    <x v="0"/>
    <x v="1"/>
    <x v="0"/>
    <x v="0"/>
    <x v="0"/>
    <x v="0"/>
  </r>
  <r>
    <x v="1395"/>
    <x v="655"/>
    <x v="639"/>
    <x v="634"/>
    <x v="1108"/>
    <x v="1"/>
    <x v="2"/>
    <x v="636"/>
    <x v="472"/>
    <x v="1"/>
    <x v="9"/>
    <x v="0"/>
    <x v="0"/>
    <x v="1"/>
    <x v="1"/>
    <x v="1"/>
    <x v="2"/>
    <x v="1"/>
    <x v="2"/>
    <x v="1"/>
    <x v="2"/>
    <x v="0"/>
    <x v="1"/>
    <x v="1"/>
    <x v="2"/>
    <x v="649"/>
    <x v="12"/>
    <x v="0"/>
    <x v="0"/>
    <x v="1"/>
    <x v="0"/>
    <x v="0"/>
    <x v="0"/>
    <x v="0"/>
  </r>
  <r>
    <x v="1396"/>
    <x v="652"/>
    <x v="637"/>
    <x v="632"/>
    <x v="0"/>
    <x v="1"/>
    <x v="2"/>
    <x v="635"/>
    <x v="473"/>
    <x v="1"/>
    <x v="15"/>
    <x v="0"/>
    <x v="0"/>
    <x v="3"/>
    <x v="3"/>
    <x v="3"/>
    <x v="1"/>
    <x v="1"/>
    <x v="2"/>
    <x v="1"/>
    <x v="1"/>
    <x v="318"/>
    <x v="2"/>
    <x v="3"/>
    <x v="4"/>
    <x v="647"/>
    <x v="2"/>
    <x v="1"/>
    <x v="4"/>
    <x v="2"/>
    <x v="1"/>
    <x v="809"/>
    <x v="0"/>
    <x v="374"/>
  </r>
  <r>
    <x v="1397"/>
    <x v="655"/>
    <x v="639"/>
    <x v="634"/>
    <x v="1109"/>
    <x v="1"/>
    <x v="2"/>
    <x v="636"/>
    <x v="472"/>
    <x v="1"/>
    <x v="9"/>
    <x v="0"/>
    <x v="0"/>
    <x v="1"/>
    <x v="1"/>
    <x v="1"/>
    <x v="2"/>
    <x v="1"/>
    <x v="2"/>
    <x v="1"/>
    <x v="2"/>
    <x v="0"/>
    <x v="1"/>
    <x v="1"/>
    <x v="2"/>
    <x v="649"/>
    <x v="3"/>
    <x v="0"/>
    <x v="0"/>
    <x v="1"/>
    <x v="0"/>
    <x v="0"/>
    <x v="0"/>
    <x v="0"/>
  </r>
  <r>
    <x v="1398"/>
    <x v="652"/>
    <x v="637"/>
    <x v="632"/>
    <x v="1110"/>
    <x v="1"/>
    <x v="2"/>
    <x v="635"/>
    <x v="10"/>
    <x v="1"/>
    <x v="15"/>
    <x v="0"/>
    <x v="0"/>
    <x v="3"/>
    <x v="2"/>
    <x v="3"/>
    <x v="2"/>
    <x v="1"/>
    <x v="2"/>
    <x v="1"/>
    <x v="1"/>
    <x v="318"/>
    <x v="1"/>
    <x v="3"/>
    <x v="4"/>
    <x v="647"/>
    <x v="1"/>
    <x v="3"/>
    <x v="0"/>
    <x v="1"/>
    <x v="0"/>
    <x v="810"/>
    <x v="400"/>
    <x v="0"/>
  </r>
  <r>
    <x v="1399"/>
    <x v="651"/>
    <x v="636"/>
    <x v="631"/>
    <x v="0"/>
    <x v="1"/>
    <x v="2"/>
    <x v="634"/>
    <x v="469"/>
    <x v="2"/>
    <x v="0"/>
    <x v="6"/>
    <x v="0"/>
    <x v="3"/>
    <x v="4"/>
    <x v="1"/>
    <x v="2"/>
    <x v="1"/>
    <x v="2"/>
    <x v="1"/>
    <x v="2"/>
    <x v="0"/>
    <x v="2"/>
    <x v="3"/>
    <x v="4"/>
    <x v="646"/>
    <x v="1"/>
    <x v="0"/>
    <x v="0"/>
    <x v="1"/>
    <x v="0"/>
    <x v="0"/>
    <x v="0"/>
    <x v="0"/>
  </r>
  <r>
    <x v="1400"/>
    <x v="656"/>
    <x v="640"/>
    <x v="635"/>
    <x v="1111"/>
    <x v="1"/>
    <x v="3"/>
    <x v="210"/>
    <x v="474"/>
    <x v="1"/>
    <x v="15"/>
    <x v="0"/>
    <x v="0"/>
    <x v="1"/>
    <x v="2"/>
    <x v="3"/>
    <x v="2"/>
    <x v="1"/>
    <x v="2"/>
    <x v="1"/>
    <x v="1"/>
    <x v="320"/>
    <x v="1"/>
    <x v="1"/>
    <x v="2"/>
    <x v="650"/>
    <x v="3"/>
    <x v="3"/>
    <x v="0"/>
    <x v="1"/>
    <x v="0"/>
    <x v="811"/>
    <x v="401"/>
    <x v="0"/>
  </r>
  <r>
    <x v="1401"/>
    <x v="566"/>
    <x v="557"/>
    <x v="550"/>
    <x v="1112"/>
    <x v="1"/>
    <x v="2"/>
    <x v="565"/>
    <x v="475"/>
    <x v="1"/>
    <x v="267"/>
    <x v="0"/>
    <x v="0"/>
    <x v="1"/>
    <x v="1"/>
    <x v="1"/>
    <x v="2"/>
    <x v="1"/>
    <x v="3"/>
    <x v="1"/>
    <x v="2"/>
    <x v="0"/>
    <x v="2"/>
    <x v="1"/>
    <x v="2"/>
    <x v="563"/>
    <x v="3"/>
    <x v="0"/>
    <x v="0"/>
    <x v="1"/>
    <x v="0"/>
    <x v="0"/>
    <x v="0"/>
    <x v="0"/>
  </r>
  <r>
    <x v="1402"/>
    <x v="657"/>
    <x v="641"/>
    <x v="636"/>
    <x v="1113"/>
    <x v="1"/>
    <x v="3"/>
    <x v="637"/>
    <x v="449"/>
    <x v="1"/>
    <x v="268"/>
    <x v="0"/>
    <x v="0"/>
    <x v="1"/>
    <x v="2"/>
    <x v="3"/>
    <x v="2"/>
    <x v="2"/>
    <x v="1"/>
    <x v="1"/>
    <x v="1"/>
    <x v="321"/>
    <x v="1"/>
    <x v="1"/>
    <x v="2"/>
    <x v="651"/>
    <x v="14"/>
    <x v="3"/>
    <x v="0"/>
    <x v="1"/>
    <x v="0"/>
    <x v="812"/>
    <x v="402"/>
    <x v="0"/>
  </r>
  <r>
    <x v="1403"/>
    <x v="546"/>
    <x v="538"/>
    <x v="531"/>
    <x v="1114"/>
    <x v="1"/>
    <x v="2"/>
    <x v="547"/>
    <x v="476"/>
    <x v="1"/>
    <x v="269"/>
    <x v="0"/>
    <x v="0"/>
    <x v="1"/>
    <x v="1"/>
    <x v="1"/>
    <x v="2"/>
    <x v="1"/>
    <x v="3"/>
    <x v="1"/>
    <x v="1"/>
    <x v="321"/>
    <x v="1"/>
    <x v="1"/>
    <x v="2"/>
    <x v="542"/>
    <x v="14"/>
    <x v="1"/>
    <x v="4"/>
    <x v="1"/>
    <x v="0"/>
    <x v="813"/>
    <x v="403"/>
    <x v="0"/>
  </r>
  <r>
    <x v="1404"/>
    <x v="315"/>
    <x v="316"/>
    <x v="311"/>
    <x v="1115"/>
    <x v="1"/>
    <x v="2"/>
    <x v="329"/>
    <x v="10"/>
    <x v="1"/>
    <x v="24"/>
    <x v="0"/>
    <x v="0"/>
    <x v="1"/>
    <x v="1"/>
    <x v="1"/>
    <x v="2"/>
    <x v="1"/>
    <x v="2"/>
    <x v="1"/>
    <x v="1"/>
    <x v="321"/>
    <x v="1"/>
    <x v="1"/>
    <x v="2"/>
    <x v="317"/>
    <x v="14"/>
    <x v="1"/>
    <x v="4"/>
    <x v="1"/>
    <x v="0"/>
    <x v="814"/>
    <x v="0"/>
    <x v="0"/>
  </r>
  <r>
    <x v="1405"/>
    <x v="315"/>
    <x v="316"/>
    <x v="311"/>
    <x v="0"/>
    <x v="1"/>
    <x v="2"/>
    <x v="329"/>
    <x v="10"/>
    <x v="1"/>
    <x v="24"/>
    <x v="0"/>
    <x v="0"/>
    <x v="3"/>
    <x v="1"/>
    <x v="1"/>
    <x v="2"/>
    <x v="1"/>
    <x v="2"/>
    <x v="1"/>
    <x v="1"/>
    <x v="322"/>
    <x v="2"/>
    <x v="3"/>
    <x v="4"/>
    <x v="317"/>
    <x v="1"/>
    <x v="1"/>
    <x v="4"/>
    <x v="1"/>
    <x v="0"/>
    <x v="815"/>
    <x v="404"/>
    <x v="0"/>
  </r>
  <r>
    <x v="1406"/>
    <x v="658"/>
    <x v="642"/>
    <x v="637"/>
    <x v="1116"/>
    <x v="3"/>
    <x v="1"/>
    <x v="638"/>
    <x v="477"/>
    <x v="1"/>
    <x v="193"/>
    <x v="0"/>
    <x v="0"/>
    <x v="1"/>
    <x v="1"/>
    <x v="1"/>
    <x v="2"/>
    <x v="1"/>
    <x v="2"/>
    <x v="1"/>
    <x v="2"/>
    <x v="0"/>
    <x v="2"/>
    <x v="2"/>
    <x v="2"/>
    <x v="652"/>
    <x v="3"/>
    <x v="0"/>
    <x v="0"/>
    <x v="1"/>
    <x v="0"/>
    <x v="0"/>
    <x v="0"/>
    <x v="0"/>
  </r>
  <r>
    <x v="1407"/>
    <x v="659"/>
    <x v="643"/>
    <x v="638"/>
    <x v="1117"/>
    <x v="1"/>
    <x v="2"/>
    <x v="639"/>
    <x v="478"/>
    <x v="1"/>
    <x v="217"/>
    <x v="0"/>
    <x v="0"/>
    <x v="1"/>
    <x v="2"/>
    <x v="3"/>
    <x v="2"/>
    <x v="2"/>
    <x v="1"/>
    <x v="1"/>
    <x v="1"/>
    <x v="322"/>
    <x v="1"/>
    <x v="1"/>
    <x v="2"/>
    <x v="653"/>
    <x v="3"/>
    <x v="3"/>
    <x v="0"/>
    <x v="1"/>
    <x v="0"/>
    <x v="816"/>
    <x v="405"/>
    <x v="0"/>
  </r>
  <r>
    <x v="1408"/>
    <x v="546"/>
    <x v="538"/>
    <x v="531"/>
    <x v="0"/>
    <x v="1"/>
    <x v="2"/>
    <x v="547"/>
    <x v="476"/>
    <x v="1"/>
    <x v="8"/>
    <x v="0"/>
    <x v="0"/>
    <x v="3"/>
    <x v="1"/>
    <x v="1"/>
    <x v="2"/>
    <x v="1"/>
    <x v="2"/>
    <x v="1"/>
    <x v="2"/>
    <x v="0"/>
    <x v="2"/>
    <x v="3"/>
    <x v="4"/>
    <x v="542"/>
    <x v="1"/>
    <x v="0"/>
    <x v="0"/>
    <x v="1"/>
    <x v="0"/>
    <x v="0"/>
    <x v="0"/>
    <x v="0"/>
  </r>
  <r>
    <x v="1409"/>
    <x v="660"/>
    <x v="644"/>
    <x v="639"/>
    <x v="1118"/>
    <x v="1"/>
    <x v="1"/>
    <x v="640"/>
    <x v="479"/>
    <x v="1"/>
    <x v="9"/>
    <x v="0"/>
    <x v="0"/>
    <x v="1"/>
    <x v="2"/>
    <x v="3"/>
    <x v="2"/>
    <x v="1"/>
    <x v="2"/>
    <x v="1"/>
    <x v="1"/>
    <x v="323"/>
    <x v="1"/>
    <x v="1"/>
    <x v="2"/>
    <x v="654"/>
    <x v="3"/>
    <x v="3"/>
    <x v="0"/>
    <x v="1"/>
    <x v="0"/>
    <x v="817"/>
    <x v="406"/>
    <x v="0"/>
  </r>
  <r>
    <x v="1410"/>
    <x v="661"/>
    <x v="645"/>
    <x v="640"/>
    <x v="1119"/>
    <x v="1"/>
    <x v="3"/>
    <x v="641"/>
    <x v="480"/>
    <x v="1"/>
    <x v="3"/>
    <x v="0"/>
    <x v="0"/>
    <x v="1"/>
    <x v="3"/>
    <x v="2"/>
    <x v="2"/>
    <x v="1"/>
    <x v="2"/>
    <x v="1"/>
    <x v="1"/>
    <x v="323"/>
    <x v="1"/>
    <x v="1"/>
    <x v="5"/>
    <x v="655"/>
    <x v="14"/>
    <x v="3"/>
    <x v="0"/>
    <x v="1"/>
    <x v="0"/>
    <x v="818"/>
    <x v="407"/>
    <x v="375"/>
  </r>
  <r>
    <x v="1411"/>
    <x v="662"/>
    <x v="646"/>
    <x v="641"/>
    <x v="1120"/>
    <x v="1"/>
    <x v="2"/>
    <x v="642"/>
    <x v="158"/>
    <x v="1"/>
    <x v="270"/>
    <x v="0"/>
    <x v="0"/>
    <x v="1"/>
    <x v="1"/>
    <x v="1"/>
    <x v="2"/>
    <x v="2"/>
    <x v="1"/>
    <x v="1"/>
    <x v="2"/>
    <x v="0"/>
    <x v="1"/>
    <x v="1"/>
    <x v="2"/>
    <x v="656"/>
    <x v="1"/>
    <x v="0"/>
    <x v="0"/>
    <x v="1"/>
    <x v="0"/>
    <x v="0"/>
    <x v="0"/>
    <x v="0"/>
  </r>
  <r>
    <x v="1412"/>
    <x v="315"/>
    <x v="316"/>
    <x v="311"/>
    <x v="0"/>
    <x v="1"/>
    <x v="2"/>
    <x v="643"/>
    <x v="10"/>
    <x v="1"/>
    <x v="24"/>
    <x v="0"/>
    <x v="0"/>
    <x v="3"/>
    <x v="1"/>
    <x v="1"/>
    <x v="2"/>
    <x v="1"/>
    <x v="2"/>
    <x v="1"/>
    <x v="2"/>
    <x v="0"/>
    <x v="2"/>
    <x v="3"/>
    <x v="4"/>
    <x v="317"/>
    <x v="1"/>
    <x v="0"/>
    <x v="0"/>
    <x v="1"/>
    <x v="0"/>
    <x v="0"/>
    <x v="0"/>
    <x v="0"/>
  </r>
  <r>
    <x v="1413"/>
    <x v="663"/>
    <x v="647"/>
    <x v="642"/>
    <x v="1121"/>
    <x v="3"/>
    <x v="2"/>
    <x v="644"/>
    <x v="481"/>
    <x v="1"/>
    <x v="9"/>
    <x v="0"/>
    <x v="0"/>
    <x v="1"/>
    <x v="1"/>
    <x v="1"/>
    <x v="2"/>
    <x v="2"/>
    <x v="1"/>
    <x v="3"/>
    <x v="1"/>
    <x v="323"/>
    <x v="1"/>
    <x v="6"/>
    <x v="3"/>
    <x v="657"/>
    <x v="14"/>
    <x v="1"/>
    <x v="5"/>
    <x v="2"/>
    <x v="1"/>
    <x v="819"/>
    <x v="0"/>
    <x v="0"/>
  </r>
  <r>
    <x v="1414"/>
    <x v="663"/>
    <x v="647"/>
    <x v="642"/>
    <x v="1122"/>
    <x v="3"/>
    <x v="2"/>
    <x v="645"/>
    <x v="481"/>
    <x v="1"/>
    <x v="9"/>
    <x v="0"/>
    <x v="0"/>
    <x v="3"/>
    <x v="1"/>
    <x v="2"/>
    <x v="1"/>
    <x v="2"/>
    <x v="3"/>
    <x v="1"/>
    <x v="2"/>
    <x v="0"/>
    <x v="1"/>
    <x v="3"/>
    <x v="4"/>
    <x v="657"/>
    <x v="2"/>
    <x v="0"/>
    <x v="0"/>
    <x v="1"/>
    <x v="0"/>
    <x v="0"/>
    <x v="0"/>
    <x v="0"/>
  </r>
  <r>
    <x v="1415"/>
    <x v="435"/>
    <x v="432"/>
    <x v="427"/>
    <x v="1123"/>
    <x v="1"/>
    <x v="2"/>
    <x v="442"/>
    <x v="482"/>
    <x v="1"/>
    <x v="271"/>
    <x v="0"/>
    <x v="0"/>
    <x v="1"/>
    <x v="1"/>
    <x v="1"/>
    <x v="2"/>
    <x v="1"/>
    <x v="2"/>
    <x v="1"/>
    <x v="1"/>
    <x v="324"/>
    <x v="1"/>
    <x v="1"/>
    <x v="2"/>
    <x v="435"/>
    <x v="12"/>
    <x v="3"/>
    <x v="0"/>
    <x v="1"/>
    <x v="0"/>
    <x v="820"/>
    <x v="408"/>
    <x v="0"/>
  </r>
  <r>
    <x v="1416"/>
    <x v="652"/>
    <x v="637"/>
    <x v="632"/>
    <x v="1124"/>
    <x v="1"/>
    <x v="2"/>
    <x v="635"/>
    <x v="473"/>
    <x v="1"/>
    <x v="31"/>
    <x v="0"/>
    <x v="0"/>
    <x v="1"/>
    <x v="1"/>
    <x v="1"/>
    <x v="2"/>
    <x v="1"/>
    <x v="3"/>
    <x v="4"/>
    <x v="1"/>
    <x v="324"/>
    <x v="1"/>
    <x v="1"/>
    <x v="2"/>
    <x v="658"/>
    <x v="1"/>
    <x v="1"/>
    <x v="13"/>
    <x v="1"/>
    <x v="0"/>
    <x v="821"/>
    <x v="0"/>
    <x v="376"/>
  </r>
  <r>
    <x v="1417"/>
    <x v="664"/>
    <x v="648"/>
    <x v="643"/>
    <x v="1125"/>
    <x v="1"/>
    <x v="2"/>
    <x v="646"/>
    <x v="483"/>
    <x v="1"/>
    <x v="272"/>
    <x v="0"/>
    <x v="0"/>
    <x v="1"/>
    <x v="3"/>
    <x v="4"/>
    <x v="2"/>
    <x v="1"/>
    <x v="2"/>
    <x v="1"/>
    <x v="2"/>
    <x v="324"/>
    <x v="1"/>
    <x v="1"/>
    <x v="2"/>
    <x v="659"/>
    <x v="12"/>
    <x v="3"/>
    <x v="0"/>
    <x v="1"/>
    <x v="0"/>
    <x v="822"/>
    <x v="409"/>
    <x v="0"/>
  </r>
  <r>
    <x v="1418"/>
    <x v="665"/>
    <x v="649"/>
    <x v="644"/>
    <x v="1126"/>
    <x v="1"/>
    <x v="2"/>
    <x v="647"/>
    <x v="484"/>
    <x v="1"/>
    <x v="9"/>
    <x v="0"/>
    <x v="0"/>
    <x v="1"/>
    <x v="2"/>
    <x v="3"/>
    <x v="2"/>
    <x v="1"/>
    <x v="1"/>
    <x v="1"/>
    <x v="1"/>
    <x v="324"/>
    <x v="1"/>
    <x v="6"/>
    <x v="3"/>
    <x v="660"/>
    <x v="14"/>
    <x v="3"/>
    <x v="0"/>
    <x v="1"/>
    <x v="0"/>
    <x v="823"/>
    <x v="410"/>
    <x v="377"/>
  </r>
  <r>
    <x v="1419"/>
    <x v="666"/>
    <x v="637"/>
    <x v="632"/>
    <x v="0"/>
    <x v="1"/>
    <x v="2"/>
    <x v="635"/>
    <x v="473"/>
    <x v="1"/>
    <x v="31"/>
    <x v="0"/>
    <x v="0"/>
    <x v="3"/>
    <x v="1"/>
    <x v="1"/>
    <x v="2"/>
    <x v="1"/>
    <x v="2"/>
    <x v="1"/>
    <x v="2"/>
    <x v="0"/>
    <x v="2"/>
    <x v="3"/>
    <x v="4"/>
    <x v="658"/>
    <x v="14"/>
    <x v="0"/>
    <x v="0"/>
    <x v="1"/>
    <x v="0"/>
    <x v="0"/>
    <x v="0"/>
    <x v="0"/>
  </r>
  <r>
    <x v="1420"/>
    <x v="639"/>
    <x v="624"/>
    <x v="618"/>
    <x v="1127"/>
    <x v="1"/>
    <x v="3"/>
    <x v="622"/>
    <x v="456"/>
    <x v="1"/>
    <x v="273"/>
    <x v="0"/>
    <x v="0"/>
    <x v="1"/>
    <x v="1"/>
    <x v="2"/>
    <x v="2"/>
    <x v="1"/>
    <x v="2"/>
    <x v="1"/>
    <x v="1"/>
    <x v="325"/>
    <x v="1"/>
    <x v="6"/>
    <x v="3"/>
    <x v="633"/>
    <x v="14"/>
    <x v="1"/>
    <x v="3"/>
    <x v="2"/>
    <x v="1"/>
    <x v="824"/>
    <x v="0"/>
    <x v="0"/>
  </r>
  <r>
    <x v="1421"/>
    <x v="667"/>
    <x v="650"/>
    <x v="645"/>
    <x v="1128"/>
    <x v="1"/>
    <x v="3"/>
    <x v="648"/>
    <x v="485"/>
    <x v="2"/>
    <x v="0"/>
    <x v="5"/>
    <x v="0"/>
    <x v="1"/>
    <x v="2"/>
    <x v="3"/>
    <x v="2"/>
    <x v="1"/>
    <x v="2"/>
    <x v="1"/>
    <x v="1"/>
    <x v="325"/>
    <x v="1"/>
    <x v="6"/>
    <x v="2"/>
    <x v="661"/>
    <x v="12"/>
    <x v="1"/>
    <x v="3"/>
    <x v="1"/>
    <x v="0"/>
    <x v="825"/>
    <x v="0"/>
    <x v="0"/>
  </r>
  <r>
    <x v="1422"/>
    <x v="668"/>
    <x v="651"/>
    <x v="646"/>
    <x v="1128"/>
    <x v="1"/>
    <x v="2"/>
    <x v="649"/>
    <x v="486"/>
    <x v="1"/>
    <x v="2"/>
    <x v="0"/>
    <x v="0"/>
    <x v="1"/>
    <x v="1"/>
    <x v="1"/>
    <x v="1"/>
    <x v="1"/>
    <x v="2"/>
    <x v="1"/>
    <x v="1"/>
    <x v="326"/>
    <x v="1"/>
    <x v="6"/>
    <x v="2"/>
    <x v="662"/>
    <x v="12"/>
    <x v="1"/>
    <x v="7"/>
    <x v="2"/>
    <x v="1"/>
    <x v="826"/>
    <x v="0"/>
    <x v="0"/>
  </r>
  <r>
    <x v="1423"/>
    <x v="668"/>
    <x v="651"/>
    <x v="646"/>
    <x v="1129"/>
    <x v="1"/>
    <x v="2"/>
    <x v="649"/>
    <x v="486"/>
    <x v="1"/>
    <x v="2"/>
    <x v="0"/>
    <x v="0"/>
    <x v="3"/>
    <x v="1"/>
    <x v="1"/>
    <x v="2"/>
    <x v="1"/>
    <x v="2"/>
    <x v="1"/>
    <x v="2"/>
    <x v="0"/>
    <x v="1"/>
    <x v="3"/>
    <x v="4"/>
    <x v="662"/>
    <x v="12"/>
    <x v="0"/>
    <x v="0"/>
    <x v="1"/>
    <x v="0"/>
    <x v="0"/>
    <x v="0"/>
    <x v="0"/>
  </r>
  <r>
    <x v="1424"/>
    <x v="667"/>
    <x v="650"/>
    <x v="645"/>
    <x v="0"/>
    <x v="1"/>
    <x v="3"/>
    <x v="648"/>
    <x v="485"/>
    <x v="1"/>
    <x v="217"/>
    <x v="0"/>
    <x v="0"/>
    <x v="3"/>
    <x v="4"/>
    <x v="1"/>
    <x v="2"/>
    <x v="1"/>
    <x v="2"/>
    <x v="1"/>
    <x v="2"/>
    <x v="0"/>
    <x v="2"/>
    <x v="3"/>
    <x v="4"/>
    <x v="661"/>
    <x v="3"/>
    <x v="0"/>
    <x v="0"/>
    <x v="1"/>
    <x v="0"/>
    <x v="0"/>
    <x v="0"/>
    <x v="0"/>
  </r>
  <r>
    <x v="1425"/>
    <x v="639"/>
    <x v="624"/>
    <x v="618"/>
    <x v="1130"/>
    <x v="1"/>
    <x v="2"/>
    <x v="650"/>
    <x v="456"/>
    <x v="1"/>
    <x v="31"/>
    <x v="0"/>
    <x v="0"/>
    <x v="3"/>
    <x v="1"/>
    <x v="1"/>
    <x v="2"/>
    <x v="1"/>
    <x v="2"/>
    <x v="1"/>
    <x v="2"/>
    <x v="0"/>
    <x v="1"/>
    <x v="3"/>
    <x v="4"/>
    <x v="633"/>
    <x v="3"/>
    <x v="0"/>
    <x v="0"/>
    <x v="1"/>
    <x v="0"/>
    <x v="0"/>
    <x v="0"/>
    <x v="0"/>
  </r>
  <r>
    <x v="1426"/>
    <x v="669"/>
    <x v="652"/>
    <x v="647"/>
    <x v="1131"/>
    <x v="3"/>
    <x v="2"/>
    <x v="651"/>
    <x v="484"/>
    <x v="1"/>
    <x v="2"/>
    <x v="0"/>
    <x v="0"/>
    <x v="1"/>
    <x v="3"/>
    <x v="2"/>
    <x v="1"/>
    <x v="1"/>
    <x v="3"/>
    <x v="1"/>
    <x v="1"/>
    <x v="327"/>
    <x v="2"/>
    <x v="1"/>
    <x v="2"/>
    <x v="663"/>
    <x v="3"/>
    <x v="1"/>
    <x v="13"/>
    <x v="2"/>
    <x v="1"/>
    <x v="827"/>
    <x v="0"/>
    <x v="378"/>
  </r>
  <r>
    <x v="1427"/>
    <x v="670"/>
    <x v="653"/>
    <x v="648"/>
    <x v="1132"/>
    <x v="3"/>
    <x v="2"/>
    <x v="652"/>
    <x v="487"/>
    <x v="1"/>
    <x v="9"/>
    <x v="0"/>
    <x v="0"/>
    <x v="1"/>
    <x v="3"/>
    <x v="3"/>
    <x v="2"/>
    <x v="1"/>
    <x v="2"/>
    <x v="1"/>
    <x v="1"/>
    <x v="327"/>
    <x v="1"/>
    <x v="6"/>
    <x v="2"/>
    <x v="664"/>
    <x v="5"/>
    <x v="3"/>
    <x v="0"/>
    <x v="1"/>
    <x v="0"/>
    <x v="828"/>
    <x v="0"/>
    <x v="241"/>
  </r>
  <r>
    <x v="1428"/>
    <x v="671"/>
    <x v="15"/>
    <x v="15"/>
    <x v="1133"/>
    <x v="1"/>
    <x v="2"/>
    <x v="17"/>
    <x v="488"/>
    <x v="1"/>
    <x v="31"/>
    <x v="0"/>
    <x v="0"/>
    <x v="1"/>
    <x v="2"/>
    <x v="3"/>
    <x v="2"/>
    <x v="1"/>
    <x v="2"/>
    <x v="1"/>
    <x v="1"/>
    <x v="327"/>
    <x v="1"/>
    <x v="1"/>
    <x v="2"/>
    <x v="15"/>
    <x v="14"/>
    <x v="1"/>
    <x v="13"/>
    <x v="2"/>
    <x v="1"/>
    <x v="827"/>
    <x v="0"/>
    <x v="379"/>
  </r>
  <r>
    <x v="1429"/>
    <x v="669"/>
    <x v="652"/>
    <x v="647"/>
    <x v="0"/>
    <x v="3"/>
    <x v="2"/>
    <x v="651"/>
    <x v="484"/>
    <x v="1"/>
    <x v="2"/>
    <x v="0"/>
    <x v="0"/>
    <x v="3"/>
    <x v="3"/>
    <x v="3"/>
    <x v="2"/>
    <x v="1"/>
    <x v="3"/>
    <x v="1"/>
    <x v="1"/>
    <x v="328"/>
    <x v="2"/>
    <x v="3"/>
    <x v="4"/>
    <x v="663"/>
    <x v="14"/>
    <x v="1"/>
    <x v="5"/>
    <x v="1"/>
    <x v="0"/>
    <x v="829"/>
    <x v="0"/>
    <x v="380"/>
  </r>
  <r>
    <x v="1430"/>
    <x v="652"/>
    <x v="637"/>
    <x v="632"/>
    <x v="1134"/>
    <x v="1"/>
    <x v="2"/>
    <x v="635"/>
    <x v="10"/>
    <x v="1"/>
    <x v="31"/>
    <x v="0"/>
    <x v="0"/>
    <x v="1"/>
    <x v="2"/>
    <x v="3"/>
    <x v="2"/>
    <x v="1"/>
    <x v="2"/>
    <x v="1"/>
    <x v="1"/>
    <x v="327"/>
    <x v="1"/>
    <x v="1"/>
    <x v="2"/>
    <x v="658"/>
    <x v="14"/>
    <x v="1"/>
    <x v="1"/>
    <x v="1"/>
    <x v="0"/>
    <x v="830"/>
    <x v="411"/>
    <x v="381"/>
  </r>
  <r>
    <x v="1431"/>
    <x v="672"/>
    <x v="654"/>
    <x v="649"/>
    <x v="1135"/>
    <x v="3"/>
    <x v="2"/>
    <x v="653"/>
    <x v="10"/>
    <x v="1"/>
    <x v="1"/>
    <x v="0"/>
    <x v="0"/>
    <x v="1"/>
    <x v="2"/>
    <x v="3"/>
    <x v="2"/>
    <x v="1"/>
    <x v="2"/>
    <x v="1"/>
    <x v="1"/>
    <x v="328"/>
    <x v="1"/>
    <x v="1"/>
    <x v="2"/>
    <x v="665"/>
    <x v="14"/>
    <x v="3"/>
    <x v="0"/>
    <x v="1"/>
    <x v="0"/>
    <x v="831"/>
    <x v="412"/>
    <x v="0"/>
  </r>
  <r>
    <x v="1432"/>
    <x v="652"/>
    <x v="637"/>
    <x v="632"/>
    <x v="0"/>
    <x v="1"/>
    <x v="2"/>
    <x v="635"/>
    <x v="10"/>
    <x v="1"/>
    <x v="31"/>
    <x v="0"/>
    <x v="0"/>
    <x v="3"/>
    <x v="4"/>
    <x v="1"/>
    <x v="2"/>
    <x v="1"/>
    <x v="2"/>
    <x v="1"/>
    <x v="1"/>
    <x v="328"/>
    <x v="2"/>
    <x v="3"/>
    <x v="4"/>
    <x v="658"/>
    <x v="5"/>
    <x v="1"/>
    <x v="4"/>
    <x v="2"/>
    <x v="1"/>
    <x v="832"/>
    <x v="413"/>
    <x v="0"/>
  </r>
  <r>
    <x v="1433"/>
    <x v="671"/>
    <x v="15"/>
    <x v="15"/>
    <x v="0"/>
    <x v="1"/>
    <x v="2"/>
    <x v="17"/>
    <x v="488"/>
    <x v="1"/>
    <x v="31"/>
    <x v="0"/>
    <x v="0"/>
    <x v="3"/>
    <x v="4"/>
    <x v="3"/>
    <x v="2"/>
    <x v="1"/>
    <x v="2"/>
    <x v="1"/>
    <x v="1"/>
    <x v="328"/>
    <x v="2"/>
    <x v="3"/>
    <x v="4"/>
    <x v="15"/>
    <x v="14"/>
    <x v="3"/>
    <x v="0"/>
    <x v="1"/>
    <x v="0"/>
    <x v="833"/>
    <x v="414"/>
    <x v="0"/>
  </r>
  <r>
    <x v="1434"/>
    <x v="673"/>
    <x v="655"/>
    <x v="650"/>
    <x v="1136"/>
    <x v="3"/>
    <x v="1"/>
    <x v="654"/>
    <x v="489"/>
    <x v="1"/>
    <x v="274"/>
    <x v="0"/>
    <x v="0"/>
    <x v="1"/>
    <x v="2"/>
    <x v="3"/>
    <x v="2"/>
    <x v="1"/>
    <x v="2"/>
    <x v="1"/>
    <x v="1"/>
    <x v="328"/>
    <x v="2"/>
    <x v="5"/>
    <x v="2"/>
    <x v="666"/>
    <x v="5"/>
    <x v="3"/>
    <x v="0"/>
    <x v="1"/>
    <x v="0"/>
    <x v="834"/>
    <x v="412"/>
    <x v="0"/>
  </r>
  <r>
    <x v="1435"/>
    <x v="669"/>
    <x v="652"/>
    <x v="647"/>
    <x v="0"/>
    <x v="3"/>
    <x v="2"/>
    <x v="651"/>
    <x v="484"/>
    <x v="1"/>
    <x v="2"/>
    <x v="0"/>
    <x v="0"/>
    <x v="3"/>
    <x v="1"/>
    <x v="1"/>
    <x v="2"/>
    <x v="1"/>
    <x v="3"/>
    <x v="1"/>
    <x v="2"/>
    <x v="0"/>
    <x v="2"/>
    <x v="3"/>
    <x v="4"/>
    <x v="663"/>
    <x v="2"/>
    <x v="0"/>
    <x v="0"/>
    <x v="1"/>
    <x v="0"/>
    <x v="0"/>
    <x v="0"/>
    <x v="0"/>
  </r>
  <r>
    <x v="1436"/>
    <x v="674"/>
    <x v="656"/>
    <x v="651"/>
    <x v="1137"/>
    <x v="1"/>
    <x v="1"/>
    <x v="181"/>
    <x v="490"/>
    <x v="1"/>
    <x v="24"/>
    <x v="0"/>
    <x v="0"/>
    <x v="1"/>
    <x v="3"/>
    <x v="2"/>
    <x v="2"/>
    <x v="1"/>
    <x v="3"/>
    <x v="1"/>
    <x v="1"/>
    <x v="329"/>
    <x v="1"/>
    <x v="1"/>
    <x v="2"/>
    <x v="667"/>
    <x v="2"/>
    <x v="1"/>
    <x v="1"/>
    <x v="2"/>
    <x v="1"/>
    <x v="835"/>
    <x v="0"/>
    <x v="0"/>
  </r>
  <r>
    <x v="1437"/>
    <x v="675"/>
    <x v="657"/>
    <x v="652"/>
    <x v="1138"/>
    <x v="1"/>
    <x v="3"/>
    <x v="655"/>
    <x v="491"/>
    <x v="1"/>
    <x v="9"/>
    <x v="0"/>
    <x v="0"/>
    <x v="1"/>
    <x v="3"/>
    <x v="3"/>
    <x v="1"/>
    <x v="2"/>
    <x v="1"/>
    <x v="1"/>
    <x v="1"/>
    <x v="329"/>
    <x v="1"/>
    <x v="1"/>
    <x v="2"/>
    <x v="668"/>
    <x v="15"/>
    <x v="1"/>
    <x v="1"/>
    <x v="2"/>
    <x v="1"/>
    <x v="836"/>
    <x v="0"/>
    <x v="382"/>
  </r>
  <r>
    <x v="1438"/>
    <x v="652"/>
    <x v="637"/>
    <x v="632"/>
    <x v="1139"/>
    <x v="1"/>
    <x v="2"/>
    <x v="635"/>
    <x v="10"/>
    <x v="1"/>
    <x v="31"/>
    <x v="0"/>
    <x v="0"/>
    <x v="3"/>
    <x v="1"/>
    <x v="1"/>
    <x v="2"/>
    <x v="1"/>
    <x v="2"/>
    <x v="4"/>
    <x v="2"/>
    <x v="0"/>
    <x v="1"/>
    <x v="3"/>
    <x v="4"/>
    <x v="658"/>
    <x v="1"/>
    <x v="0"/>
    <x v="0"/>
    <x v="1"/>
    <x v="0"/>
    <x v="0"/>
    <x v="0"/>
    <x v="0"/>
  </r>
  <r>
    <x v="1439"/>
    <x v="458"/>
    <x v="454"/>
    <x v="448"/>
    <x v="1140"/>
    <x v="1"/>
    <x v="2"/>
    <x v="463"/>
    <x v="492"/>
    <x v="1"/>
    <x v="275"/>
    <x v="0"/>
    <x v="0"/>
    <x v="1"/>
    <x v="1"/>
    <x v="1"/>
    <x v="2"/>
    <x v="1"/>
    <x v="2"/>
    <x v="1"/>
    <x v="2"/>
    <x v="0"/>
    <x v="1"/>
    <x v="1"/>
    <x v="2"/>
    <x v="456"/>
    <x v="12"/>
    <x v="0"/>
    <x v="0"/>
    <x v="1"/>
    <x v="0"/>
    <x v="0"/>
    <x v="0"/>
    <x v="0"/>
  </r>
  <r>
    <x v="1440"/>
    <x v="676"/>
    <x v="658"/>
    <x v="653"/>
    <x v="1141"/>
    <x v="1"/>
    <x v="2"/>
    <x v="656"/>
    <x v="493"/>
    <x v="1"/>
    <x v="9"/>
    <x v="0"/>
    <x v="0"/>
    <x v="1"/>
    <x v="3"/>
    <x v="3"/>
    <x v="2"/>
    <x v="1"/>
    <x v="1"/>
    <x v="1"/>
    <x v="1"/>
    <x v="329"/>
    <x v="1"/>
    <x v="1"/>
    <x v="2"/>
    <x v="669"/>
    <x v="1"/>
    <x v="3"/>
    <x v="0"/>
    <x v="1"/>
    <x v="0"/>
    <x v="837"/>
    <x v="0"/>
    <x v="0"/>
  </r>
  <r>
    <x v="1441"/>
    <x v="674"/>
    <x v="656"/>
    <x v="651"/>
    <x v="1142"/>
    <x v="1"/>
    <x v="1"/>
    <x v="181"/>
    <x v="490"/>
    <x v="1"/>
    <x v="24"/>
    <x v="0"/>
    <x v="0"/>
    <x v="3"/>
    <x v="1"/>
    <x v="1"/>
    <x v="2"/>
    <x v="1"/>
    <x v="2"/>
    <x v="1"/>
    <x v="2"/>
    <x v="0"/>
    <x v="1"/>
    <x v="3"/>
    <x v="4"/>
    <x v="667"/>
    <x v="5"/>
    <x v="0"/>
    <x v="0"/>
    <x v="1"/>
    <x v="0"/>
    <x v="0"/>
    <x v="0"/>
    <x v="0"/>
  </r>
  <r>
    <x v="1442"/>
    <x v="677"/>
    <x v="657"/>
    <x v="652"/>
    <x v="1143"/>
    <x v="1"/>
    <x v="3"/>
    <x v="655"/>
    <x v="491"/>
    <x v="1"/>
    <x v="9"/>
    <x v="0"/>
    <x v="0"/>
    <x v="3"/>
    <x v="3"/>
    <x v="3"/>
    <x v="2"/>
    <x v="1"/>
    <x v="2"/>
    <x v="1"/>
    <x v="1"/>
    <x v="330"/>
    <x v="2"/>
    <x v="3"/>
    <x v="4"/>
    <x v="668"/>
    <x v="5"/>
    <x v="3"/>
    <x v="0"/>
    <x v="1"/>
    <x v="0"/>
    <x v="838"/>
    <x v="415"/>
    <x v="0"/>
  </r>
  <r>
    <x v="1443"/>
    <x v="678"/>
    <x v="659"/>
    <x v="654"/>
    <x v="1144"/>
    <x v="1"/>
    <x v="2"/>
    <x v="657"/>
    <x v="10"/>
    <x v="1"/>
    <x v="4"/>
    <x v="0"/>
    <x v="0"/>
    <x v="1"/>
    <x v="1"/>
    <x v="1"/>
    <x v="2"/>
    <x v="1"/>
    <x v="2"/>
    <x v="1"/>
    <x v="1"/>
    <x v="330"/>
    <x v="1"/>
    <x v="6"/>
    <x v="3"/>
    <x v="670"/>
    <x v="14"/>
    <x v="1"/>
    <x v="13"/>
    <x v="2"/>
    <x v="1"/>
    <x v="839"/>
    <x v="0"/>
    <x v="0"/>
  </r>
  <r>
    <x v="1444"/>
    <x v="678"/>
    <x v="659"/>
    <x v="654"/>
    <x v="1145"/>
    <x v="1"/>
    <x v="2"/>
    <x v="657"/>
    <x v="10"/>
    <x v="1"/>
    <x v="4"/>
    <x v="0"/>
    <x v="0"/>
    <x v="3"/>
    <x v="2"/>
    <x v="3"/>
    <x v="2"/>
    <x v="1"/>
    <x v="2"/>
    <x v="1"/>
    <x v="1"/>
    <x v="331"/>
    <x v="1"/>
    <x v="3"/>
    <x v="4"/>
    <x v="670"/>
    <x v="14"/>
    <x v="1"/>
    <x v="4"/>
    <x v="2"/>
    <x v="1"/>
    <x v="840"/>
    <x v="416"/>
    <x v="0"/>
  </r>
  <r>
    <x v="1445"/>
    <x v="679"/>
    <x v="660"/>
    <x v="655"/>
    <x v="1146"/>
    <x v="1"/>
    <x v="2"/>
    <x v="658"/>
    <x v="494"/>
    <x v="1"/>
    <x v="276"/>
    <x v="0"/>
    <x v="0"/>
    <x v="1"/>
    <x v="1"/>
    <x v="1"/>
    <x v="2"/>
    <x v="1"/>
    <x v="3"/>
    <x v="1"/>
    <x v="1"/>
    <x v="332"/>
    <x v="1"/>
    <x v="1"/>
    <x v="2"/>
    <x v="671"/>
    <x v="12"/>
    <x v="1"/>
    <x v="14"/>
    <x v="1"/>
    <x v="0"/>
    <x v="841"/>
    <x v="0"/>
    <x v="383"/>
  </r>
  <r>
    <x v="1446"/>
    <x v="678"/>
    <x v="659"/>
    <x v="654"/>
    <x v="0"/>
    <x v="1"/>
    <x v="2"/>
    <x v="657"/>
    <x v="495"/>
    <x v="1"/>
    <x v="4"/>
    <x v="0"/>
    <x v="0"/>
    <x v="3"/>
    <x v="1"/>
    <x v="1"/>
    <x v="2"/>
    <x v="1"/>
    <x v="2"/>
    <x v="1"/>
    <x v="2"/>
    <x v="0"/>
    <x v="2"/>
    <x v="3"/>
    <x v="4"/>
    <x v="670"/>
    <x v="1"/>
    <x v="0"/>
    <x v="0"/>
    <x v="1"/>
    <x v="0"/>
    <x v="0"/>
    <x v="0"/>
    <x v="0"/>
  </r>
  <r>
    <x v="1447"/>
    <x v="614"/>
    <x v="599"/>
    <x v="592"/>
    <x v="1147"/>
    <x v="1"/>
    <x v="2"/>
    <x v="40"/>
    <x v="496"/>
    <x v="1"/>
    <x v="277"/>
    <x v="0"/>
    <x v="0"/>
    <x v="1"/>
    <x v="1"/>
    <x v="1"/>
    <x v="2"/>
    <x v="1"/>
    <x v="3"/>
    <x v="4"/>
    <x v="2"/>
    <x v="0"/>
    <x v="1"/>
    <x v="1"/>
    <x v="2"/>
    <x v="608"/>
    <x v="2"/>
    <x v="0"/>
    <x v="0"/>
    <x v="1"/>
    <x v="0"/>
    <x v="0"/>
    <x v="0"/>
    <x v="0"/>
  </r>
  <r>
    <x v="1448"/>
    <x v="438"/>
    <x v="434"/>
    <x v="429"/>
    <x v="1148"/>
    <x v="1"/>
    <x v="2"/>
    <x v="444"/>
    <x v="460"/>
    <x v="1"/>
    <x v="15"/>
    <x v="0"/>
    <x v="0"/>
    <x v="1"/>
    <x v="1"/>
    <x v="1"/>
    <x v="2"/>
    <x v="1"/>
    <x v="2"/>
    <x v="1"/>
    <x v="1"/>
    <x v="333"/>
    <x v="2"/>
    <x v="1"/>
    <x v="2"/>
    <x v="437"/>
    <x v="15"/>
    <x v="1"/>
    <x v="14"/>
    <x v="2"/>
    <x v="1"/>
    <x v="842"/>
    <x v="0"/>
    <x v="194"/>
  </r>
  <r>
    <x v="1449"/>
    <x v="438"/>
    <x v="434"/>
    <x v="429"/>
    <x v="1149"/>
    <x v="1"/>
    <x v="2"/>
    <x v="444"/>
    <x v="460"/>
    <x v="1"/>
    <x v="15"/>
    <x v="0"/>
    <x v="0"/>
    <x v="3"/>
    <x v="1"/>
    <x v="1"/>
    <x v="2"/>
    <x v="1"/>
    <x v="2"/>
    <x v="3"/>
    <x v="2"/>
    <x v="0"/>
    <x v="2"/>
    <x v="1"/>
    <x v="2"/>
    <x v="437"/>
    <x v="15"/>
    <x v="0"/>
    <x v="0"/>
    <x v="1"/>
    <x v="0"/>
    <x v="0"/>
    <x v="0"/>
    <x v="0"/>
  </r>
  <r>
    <x v="1450"/>
    <x v="438"/>
    <x v="434"/>
    <x v="429"/>
    <x v="1150"/>
    <x v="1"/>
    <x v="2"/>
    <x v="444"/>
    <x v="460"/>
    <x v="1"/>
    <x v="22"/>
    <x v="0"/>
    <x v="0"/>
    <x v="1"/>
    <x v="1"/>
    <x v="1"/>
    <x v="1"/>
    <x v="1"/>
    <x v="2"/>
    <x v="1"/>
    <x v="1"/>
    <x v="334"/>
    <x v="2"/>
    <x v="1"/>
    <x v="2"/>
    <x v="437"/>
    <x v="17"/>
    <x v="3"/>
    <x v="0"/>
    <x v="1"/>
    <x v="0"/>
    <x v="843"/>
    <x v="417"/>
    <x v="0"/>
  </r>
  <r>
    <x v="1451"/>
    <x v="680"/>
    <x v="661"/>
    <x v="656"/>
    <x v="1151"/>
    <x v="1"/>
    <x v="3"/>
    <x v="659"/>
    <x v="497"/>
    <x v="1"/>
    <x v="36"/>
    <x v="0"/>
    <x v="0"/>
    <x v="1"/>
    <x v="3"/>
    <x v="2"/>
    <x v="2"/>
    <x v="1"/>
    <x v="3"/>
    <x v="1"/>
    <x v="1"/>
    <x v="335"/>
    <x v="1"/>
    <x v="1"/>
    <x v="2"/>
    <x v="672"/>
    <x v="5"/>
    <x v="1"/>
    <x v="1"/>
    <x v="1"/>
    <x v="0"/>
    <x v="844"/>
    <x v="0"/>
    <x v="0"/>
  </r>
  <r>
    <x v="1452"/>
    <x v="681"/>
    <x v="662"/>
    <x v="657"/>
    <x v="1152"/>
    <x v="1"/>
    <x v="2"/>
    <x v="660"/>
    <x v="10"/>
    <x v="1"/>
    <x v="278"/>
    <x v="0"/>
    <x v="0"/>
    <x v="1"/>
    <x v="2"/>
    <x v="3"/>
    <x v="1"/>
    <x v="1"/>
    <x v="2"/>
    <x v="1"/>
    <x v="1"/>
    <x v="336"/>
    <x v="1"/>
    <x v="1"/>
    <x v="2"/>
    <x v="673"/>
    <x v="2"/>
    <x v="1"/>
    <x v="13"/>
    <x v="2"/>
    <x v="1"/>
    <x v="845"/>
    <x v="0"/>
    <x v="0"/>
  </r>
  <r>
    <x v="1453"/>
    <x v="682"/>
    <x v="663"/>
    <x v="658"/>
    <x v="1153"/>
    <x v="1"/>
    <x v="1"/>
    <x v="661"/>
    <x v="498"/>
    <x v="1"/>
    <x v="279"/>
    <x v="0"/>
    <x v="0"/>
    <x v="1"/>
    <x v="1"/>
    <x v="1"/>
    <x v="2"/>
    <x v="1"/>
    <x v="2"/>
    <x v="4"/>
    <x v="1"/>
    <x v="336"/>
    <x v="1"/>
    <x v="1"/>
    <x v="2"/>
    <x v="674"/>
    <x v="5"/>
    <x v="3"/>
    <x v="0"/>
    <x v="1"/>
    <x v="0"/>
    <x v="846"/>
    <x v="418"/>
    <x v="0"/>
  </r>
  <r>
    <x v="1454"/>
    <x v="680"/>
    <x v="661"/>
    <x v="656"/>
    <x v="0"/>
    <x v="1"/>
    <x v="3"/>
    <x v="659"/>
    <x v="497"/>
    <x v="1"/>
    <x v="36"/>
    <x v="0"/>
    <x v="0"/>
    <x v="3"/>
    <x v="1"/>
    <x v="1"/>
    <x v="1"/>
    <x v="1"/>
    <x v="2"/>
    <x v="1"/>
    <x v="1"/>
    <x v="332"/>
    <x v="2"/>
    <x v="3"/>
    <x v="4"/>
    <x v="672"/>
    <x v="5"/>
    <x v="1"/>
    <x v="1"/>
    <x v="2"/>
    <x v="1"/>
    <x v="847"/>
    <x v="0"/>
    <x v="0"/>
  </r>
  <r>
    <x v="1455"/>
    <x v="683"/>
    <x v="664"/>
    <x v="659"/>
    <x v="1154"/>
    <x v="3"/>
    <x v="2"/>
    <x v="281"/>
    <x v="475"/>
    <x v="1"/>
    <x v="280"/>
    <x v="0"/>
    <x v="0"/>
    <x v="1"/>
    <x v="1"/>
    <x v="1"/>
    <x v="1"/>
    <x v="1"/>
    <x v="3"/>
    <x v="1"/>
    <x v="1"/>
    <x v="336"/>
    <x v="1"/>
    <x v="5"/>
    <x v="2"/>
    <x v="675"/>
    <x v="17"/>
    <x v="3"/>
    <x v="0"/>
    <x v="1"/>
    <x v="0"/>
    <x v="848"/>
    <x v="419"/>
    <x v="384"/>
  </r>
  <r>
    <x v="1456"/>
    <x v="684"/>
    <x v="665"/>
    <x v="660"/>
    <x v="1155"/>
    <x v="3"/>
    <x v="1"/>
    <x v="662"/>
    <x v="440"/>
    <x v="6"/>
    <x v="0"/>
    <x v="0"/>
    <x v="30"/>
    <x v="1"/>
    <x v="2"/>
    <x v="3"/>
    <x v="1"/>
    <x v="1"/>
    <x v="2"/>
    <x v="5"/>
    <x v="1"/>
    <x v="336"/>
    <x v="1"/>
    <x v="5"/>
    <x v="2"/>
    <x v="676"/>
    <x v="5"/>
    <x v="1"/>
    <x v="4"/>
    <x v="1"/>
    <x v="0"/>
    <x v="849"/>
    <x v="0"/>
    <x v="0"/>
  </r>
  <r>
    <x v="1457"/>
    <x v="685"/>
    <x v="666"/>
    <x v="661"/>
    <x v="1156"/>
    <x v="1"/>
    <x v="1"/>
    <x v="663"/>
    <x v="10"/>
    <x v="1"/>
    <x v="281"/>
    <x v="0"/>
    <x v="0"/>
    <x v="1"/>
    <x v="1"/>
    <x v="1"/>
    <x v="1"/>
    <x v="1"/>
    <x v="2"/>
    <x v="1"/>
    <x v="2"/>
    <x v="0"/>
    <x v="1"/>
    <x v="5"/>
    <x v="2"/>
    <x v="677"/>
    <x v="17"/>
    <x v="0"/>
    <x v="0"/>
    <x v="1"/>
    <x v="0"/>
    <x v="0"/>
    <x v="0"/>
    <x v="0"/>
  </r>
  <r>
    <x v="1458"/>
    <x v="686"/>
    <x v="667"/>
    <x v="662"/>
    <x v="1157"/>
    <x v="1"/>
    <x v="1"/>
    <x v="664"/>
    <x v="499"/>
    <x v="1"/>
    <x v="15"/>
    <x v="0"/>
    <x v="0"/>
    <x v="1"/>
    <x v="1"/>
    <x v="1"/>
    <x v="1"/>
    <x v="1"/>
    <x v="2"/>
    <x v="1"/>
    <x v="1"/>
    <x v="336"/>
    <x v="1"/>
    <x v="5"/>
    <x v="2"/>
    <x v="678"/>
    <x v="5"/>
    <x v="1"/>
    <x v="1"/>
    <x v="1"/>
    <x v="0"/>
    <x v="850"/>
    <x v="0"/>
    <x v="194"/>
  </r>
  <r>
    <x v="1459"/>
    <x v="681"/>
    <x v="662"/>
    <x v="657"/>
    <x v="0"/>
    <x v="1"/>
    <x v="2"/>
    <x v="660"/>
    <x v="500"/>
    <x v="1"/>
    <x v="282"/>
    <x v="0"/>
    <x v="0"/>
    <x v="3"/>
    <x v="4"/>
    <x v="1"/>
    <x v="2"/>
    <x v="1"/>
    <x v="2"/>
    <x v="1"/>
    <x v="2"/>
    <x v="0"/>
    <x v="2"/>
    <x v="3"/>
    <x v="4"/>
    <x v="673"/>
    <x v="14"/>
    <x v="0"/>
    <x v="0"/>
    <x v="1"/>
    <x v="0"/>
    <x v="0"/>
    <x v="0"/>
    <x v="0"/>
  </r>
  <r>
    <x v="1460"/>
    <x v="687"/>
    <x v="668"/>
    <x v="663"/>
    <x v="1158"/>
    <x v="1"/>
    <x v="1"/>
    <x v="665"/>
    <x v="455"/>
    <x v="1"/>
    <x v="2"/>
    <x v="0"/>
    <x v="0"/>
    <x v="1"/>
    <x v="3"/>
    <x v="2"/>
    <x v="2"/>
    <x v="1"/>
    <x v="2"/>
    <x v="5"/>
    <x v="1"/>
    <x v="336"/>
    <x v="1"/>
    <x v="2"/>
    <x v="2"/>
    <x v="679"/>
    <x v="5"/>
    <x v="1"/>
    <x v="1"/>
    <x v="1"/>
    <x v="0"/>
    <x v="851"/>
    <x v="0"/>
    <x v="0"/>
  </r>
  <r>
    <x v="1461"/>
    <x v="688"/>
    <x v="669"/>
    <x v="664"/>
    <x v="1159"/>
    <x v="1"/>
    <x v="2"/>
    <x v="666"/>
    <x v="501"/>
    <x v="1"/>
    <x v="15"/>
    <x v="0"/>
    <x v="0"/>
    <x v="1"/>
    <x v="1"/>
    <x v="1"/>
    <x v="1"/>
    <x v="1"/>
    <x v="1"/>
    <x v="1"/>
    <x v="1"/>
    <x v="337"/>
    <x v="1"/>
    <x v="1"/>
    <x v="2"/>
    <x v="680"/>
    <x v="14"/>
    <x v="3"/>
    <x v="0"/>
    <x v="1"/>
    <x v="0"/>
    <x v="852"/>
    <x v="420"/>
    <x v="0"/>
  </r>
  <r>
    <x v="1462"/>
    <x v="684"/>
    <x v="665"/>
    <x v="660"/>
    <x v="0"/>
    <x v="3"/>
    <x v="1"/>
    <x v="662"/>
    <x v="196"/>
    <x v="6"/>
    <x v="0"/>
    <x v="0"/>
    <x v="31"/>
    <x v="3"/>
    <x v="1"/>
    <x v="1"/>
    <x v="1"/>
    <x v="1"/>
    <x v="2"/>
    <x v="5"/>
    <x v="2"/>
    <x v="0"/>
    <x v="2"/>
    <x v="3"/>
    <x v="4"/>
    <x v="676"/>
    <x v="1"/>
    <x v="0"/>
    <x v="0"/>
    <x v="1"/>
    <x v="0"/>
    <x v="0"/>
    <x v="0"/>
    <x v="0"/>
  </r>
  <r>
    <x v="1463"/>
    <x v="689"/>
    <x v="670"/>
    <x v="665"/>
    <x v="1160"/>
    <x v="1"/>
    <x v="2"/>
    <x v="667"/>
    <x v="502"/>
    <x v="1"/>
    <x v="15"/>
    <x v="0"/>
    <x v="0"/>
    <x v="1"/>
    <x v="1"/>
    <x v="1"/>
    <x v="2"/>
    <x v="2"/>
    <x v="1"/>
    <x v="1"/>
    <x v="1"/>
    <x v="337"/>
    <x v="1"/>
    <x v="1"/>
    <x v="2"/>
    <x v="681"/>
    <x v="14"/>
    <x v="1"/>
    <x v="7"/>
    <x v="1"/>
    <x v="0"/>
    <x v="853"/>
    <x v="0"/>
    <x v="0"/>
  </r>
  <r>
    <x v="1464"/>
    <x v="687"/>
    <x v="668"/>
    <x v="663"/>
    <x v="0"/>
    <x v="1"/>
    <x v="1"/>
    <x v="665"/>
    <x v="455"/>
    <x v="1"/>
    <x v="2"/>
    <x v="0"/>
    <x v="0"/>
    <x v="3"/>
    <x v="1"/>
    <x v="1"/>
    <x v="2"/>
    <x v="1"/>
    <x v="2"/>
    <x v="1"/>
    <x v="2"/>
    <x v="0"/>
    <x v="2"/>
    <x v="3"/>
    <x v="4"/>
    <x v="679"/>
    <x v="5"/>
    <x v="0"/>
    <x v="0"/>
    <x v="1"/>
    <x v="0"/>
    <x v="0"/>
    <x v="0"/>
    <x v="0"/>
  </r>
  <r>
    <x v="1465"/>
    <x v="686"/>
    <x v="667"/>
    <x v="662"/>
    <x v="0"/>
    <x v="1"/>
    <x v="1"/>
    <x v="664"/>
    <x v="298"/>
    <x v="1"/>
    <x v="15"/>
    <x v="0"/>
    <x v="0"/>
    <x v="3"/>
    <x v="1"/>
    <x v="1"/>
    <x v="2"/>
    <x v="1"/>
    <x v="1"/>
    <x v="1"/>
    <x v="2"/>
    <x v="0"/>
    <x v="2"/>
    <x v="3"/>
    <x v="4"/>
    <x v="678"/>
    <x v="5"/>
    <x v="0"/>
    <x v="0"/>
    <x v="1"/>
    <x v="0"/>
    <x v="0"/>
    <x v="0"/>
    <x v="0"/>
  </r>
  <r>
    <x v="1466"/>
    <x v="690"/>
    <x v="671"/>
    <x v="666"/>
    <x v="1161"/>
    <x v="1"/>
    <x v="2"/>
    <x v="668"/>
    <x v="268"/>
    <x v="1"/>
    <x v="283"/>
    <x v="0"/>
    <x v="0"/>
    <x v="1"/>
    <x v="1"/>
    <x v="1"/>
    <x v="2"/>
    <x v="1"/>
    <x v="2"/>
    <x v="1"/>
    <x v="2"/>
    <x v="0"/>
    <x v="1"/>
    <x v="1"/>
    <x v="2"/>
    <x v="682"/>
    <x v="14"/>
    <x v="0"/>
    <x v="0"/>
    <x v="1"/>
    <x v="0"/>
    <x v="0"/>
    <x v="0"/>
    <x v="0"/>
  </r>
  <r>
    <x v="1467"/>
    <x v="689"/>
    <x v="670"/>
    <x v="665"/>
    <x v="0"/>
    <x v="1"/>
    <x v="2"/>
    <x v="667"/>
    <x v="503"/>
    <x v="1"/>
    <x v="15"/>
    <x v="0"/>
    <x v="0"/>
    <x v="3"/>
    <x v="1"/>
    <x v="1"/>
    <x v="2"/>
    <x v="1"/>
    <x v="2"/>
    <x v="1"/>
    <x v="2"/>
    <x v="0"/>
    <x v="2"/>
    <x v="3"/>
    <x v="4"/>
    <x v="681"/>
    <x v="12"/>
    <x v="0"/>
    <x v="0"/>
    <x v="1"/>
    <x v="0"/>
    <x v="0"/>
    <x v="0"/>
    <x v="0"/>
  </r>
  <r>
    <x v="1468"/>
    <x v="691"/>
    <x v="672"/>
    <x v="667"/>
    <x v="1162"/>
    <x v="3"/>
    <x v="2"/>
    <x v="243"/>
    <x v="280"/>
    <x v="1"/>
    <x v="3"/>
    <x v="0"/>
    <x v="0"/>
    <x v="1"/>
    <x v="1"/>
    <x v="1"/>
    <x v="2"/>
    <x v="1"/>
    <x v="2"/>
    <x v="1"/>
    <x v="2"/>
    <x v="0"/>
    <x v="1"/>
    <x v="1"/>
    <x v="2"/>
    <x v="683"/>
    <x v="12"/>
    <x v="0"/>
    <x v="0"/>
    <x v="1"/>
    <x v="0"/>
    <x v="0"/>
    <x v="0"/>
    <x v="0"/>
  </r>
  <r>
    <x v="1469"/>
    <x v="692"/>
    <x v="673"/>
    <x v="668"/>
    <x v="1163"/>
    <x v="1"/>
    <x v="2"/>
    <x v="669"/>
    <x v="504"/>
    <x v="1"/>
    <x v="284"/>
    <x v="0"/>
    <x v="0"/>
    <x v="1"/>
    <x v="3"/>
    <x v="2"/>
    <x v="2"/>
    <x v="1"/>
    <x v="1"/>
    <x v="1"/>
    <x v="1"/>
    <x v="338"/>
    <x v="1"/>
    <x v="1"/>
    <x v="2"/>
    <x v="684"/>
    <x v="15"/>
    <x v="1"/>
    <x v="14"/>
    <x v="1"/>
    <x v="0"/>
    <x v="854"/>
    <x v="0"/>
    <x v="308"/>
  </r>
  <r>
    <x v="1470"/>
    <x v="435"/>
    <x v="432"/>
    <x v="427"/>
    <x v="1164"/>
    <x v="1"/>
    <x v="2"/>
    <x v="442"/>
    <x v="505"/>
    <x v="1"/>
    <x v="285"/>
    <x v="0"/>
    <x v="0"/>
    <x v="1"/>
    <x v="1"/>
    <x v="1"/>
    <x v="2"/>
    <x v="1"/>
    <x v="2"/>
    <x v="1"/>
    <x v="2"/>
    <x v="0"/>
    <x v="1"/>
    <x v="5"/>
    <x v="2"/>
    <x v="435"/>
    <x v="12"/>
    <x v="0"/>
    <x v="0"/>
    <x v="1"/>
    <x v="0"/>
    <x v="0"/>
    <x v="0"/>
    <x v="0"/>
  </r>
  <r>
    <x v="1471"/>
    <x v="655"/>
    <x v="639"/>
    <x v="634"/>
    <x v="1165"/>
    <x v="1"/>
    <x v="2"/>
    <x v="636"/>
    <x v="506"/>
    <x v="1"/>
    <x v="9"/>
    <x v="0"/>
    <x v="0"/>
    <x v="1"/>
    <x v="3"/>
    <x v="3"/>
    <x v="2"/>
    <x v="1"/>
    <x v="2"/>
    <x v="1"/>
    <x v="1"/>
    <x v="339"/>
    <x v="1"/>
    <x v="6"/>
    <x v="3"/>
    <x v="649"/>
    <x v="14"/>
    <x v="1"/>
    <x v="4"/>
    <x v="1"/>
    <x v="0"/>
    <x v="855"/>
    <x v="0"/>
    <x v="0"/>
  </r>
  <r>
    <x v="1472"/>
    <x v="693"/>
    <x v="674"/>
    <x v="669"/>
    <x v="1166"/>
    <x v="1"/>
    <x v="2"/>
    <x v="670"/>
    <x v="302"/>
    <x v="2"/>
    <x v="0"/>
    <x v="2"/>
    <x v="0"/>
    <x v="1"/>
    <x v="1"/>
    <x v="1"/>
    <x v="2"/>
    <x v="1"/>
    <x v="2"/>
    <x v="1"/>
    <x v="1"/>
    <x v="339"/>
    <x v="1"/>
    <x v="6"/>
    <x v="3"/>
    <x v="685"/>
    <x v="14"/>
    <x v="1"/>
    <x v="4"/>
    <x v="2"/>
    <x v="1"/>
    <x v="856"/>
    <x v="421"/>
    <x v="0"/>
  </r>
  <r>
    <x v="1473"/>
    <x v="694"/>
    <x v="675"/>
    <x v="670"/>
    <x v="1167"/>
    <x v="1"/>
    <x v="2"/>
    <x v="671"/>
    <x v="10"/>
    <x v="1"/>
    <x v="22"/>
    <x v="0"/>
    <x v="0"/>
    <x v="1"/>
    <x v="1"/>
    <x v="2"/>
    <x v="1"/>
    <x v="1"/>
    <x v="2"/>
    <x v="4"/>
    <x v="1"/>
    <x v="338"/>
    <x v="1"/>
    <x v="6"/>
    <x v="3"/>
    <x v="686"/>
    <x v="14"/>
    <x v="3"/>
    <x v="0"/>
    <x v="1"/>
    <x v="0"/>
    <x v="857"/>
    <x v="422"/>
    <x v="385"/>
  </r>
  <r>
    <x v="1474"/>
    <x v="655"/>
    <x v="639"/>
    <x v="634"/>
    <x v="0"/>
    <x v="1"/>
    <x v="2"/>
    <x v="636"/>
    <x v="506"/>
    <x v="1"/>
    <x v="9"/>
    <x v="0"/>
    <x v="0"/>
    <x v="3"/>
    <x v="4"/>
    <x v="1"/>
    <x v="2"/>
    <x v="1"/>
    <x v="2"/>
    <x v="1"/>
    <x v="2"/>
    <x v="0"/>
    <x v="2"/>
    <x v="3"/>
    <x v="4"/>
    <x v="649"/>
    <x v="1"/>
    <x v="0"/>
    <x v="0"/>
    <x v="1"/>
    <x v="0"/>
    <x v="0"/>
    <x v="0"/>
    <x v="0"/>
  </r>
  <r>
    <x v="1475"/>
    <x v="695"/>
    <x v="676"/>
    <x v="671"/>
    <x v="1168"/>
    <x v="1"/>
    <x v="1"/>
    <x v="672"/>
    <x v="389"/>
    <x v="1"/>
    <x v="286"/>
    <x v="0"/>
    <x v="0"/>
    <x v="1"/>
    <x v="1"/>
    <x v="1"/>
    <x v="2"/>
    <x v="1"/>
    <x v="2"/>
    <x v="1"/>
    <x v="1"/>
    <x v="338"/>
    <x v="1"/>
    <x v="5"/>
    <x v="2"/>
    <x v="687"/>
    <x v="12"/>
    <x v="1"/>
    <x v="7"/>
    <x v="2"/>
    <x v="1"/>
    <x v="858"/>
    <x v="0"/>
    <x v="386"/>
  </r>
  <r>
    <x v="1476"/>
    <x v="696"/>
    <x v="677"/>
    <x v="672"/>
    <x v="1169"/>
    <x v="1"/>
    <x v="2"/>
    <x v="673"/>
    <x v="507"/>
    <x v="1"/>
    <x v="31"/>
    <x v="0"/>
    <x v="0"/>
    <x v="1"/>
    <x v="1"/>
    <x v="1"/>
    <x v="2"/>
    <x v="1"/>
    <x v="3"/>
    <x v="1"/>
    <x v="2"/>
    <x v="0"/>
    <x v="1"/>
    <x v="1"/>
    <x v="2"/>
    <x v="688"/>
    <x v="3"/>
    <x v="0"/>
    <x v="0"/>
    <x v="1"/>
    <x v="0"/>
    <x v="0"/>
    <x v="0"/>
    <x v="0"/>
  </r>
  <r>
    <x v="1477"/>
    <x v="697"/>
    <x v="678"/>
    <x v="673"/>
    <x v="1170"/>
    <x v="1"/>
    <x v="2"/>
    <x v="674"/>
    <x v="318"/>
    <x v="1"/>
    <x v="287"/>
    <x v="0"/>
    <x v="0"/>
    <x v="1"/>
    <x v="1"/>
    <x v="1"/>
    <x v="2"/>
    <x v="1"/>
    <x v="2"/>
    <x v="1"/>
    <x v="2"/>
    <x v="0"/>
    <x v="1"/>
    <x v="1"/>
    <x v="2"/>
    <x v="689"/>
    <x v="15"/>
    <x v="0"/>
    <x v="0"/>
    <x v="1"/>
    <x v="0"/>
    <x v="0"/>
    <x v="0"/>
    <x v="0"/>
  </r>
  <r>
    <x v="1478"/>
    <x v="695"/>
    <x v="676"/>
    <x v="671"/>
    <x v="1171"/>
    <x v="1"/>
    <x v="1"/>
    <x v="672"/>
    <x v="389"/>
    <x v="1"/>
    <x v="288"/>
    <x v="0"/>
    <x v="0"/>
    <x v="3"/>
    <x v="1"/>
    <x v="1"/>
    <x v="2"/>
    <x v="1"/>
    <x v="2"/>
    <x v="1"/>
    <x v="2"/>
    <x v="0"/>
    <x v="1"/>
    <x v="3"/>
    <x v="4"/>
    <x v="687"/>
    <x v="12"/>
    <x v="0"/>
    <x v="0"/>
    <x v="1"/>
    <x v="0"/>
    <x v="0"/>
    <x v="0"/>
    <x v="0"/>
  </r>
  <r>
    <x v="1479"/>
    <x v="335"/>
    <x v="335"/>
    <x v="330"/>
    <x v="1172"/>
    <x v="1"/>
    <x v="2"/>
    <x v="350"/>
    <x v="269"/>
    <x v="2"/>
    <x v="0"/>
    <x v="6"/>
    <x v="0"/>
    <x v="1"/>
    <x v="3"/>
    <x v="3"/>
    <x v="2"/>
    <x v="1"/>
    <x v="2"/>
    <x v="1"/>
    <x v="1"/>
    <x v="340"/>
    <x v="1"/>
    <x v="1"/>
    <x v="2"/>
    <x v="337"/>
    <x v="12"/>
    <x v="1"/>
    <x v="4"/>
    <x v="2"/>
    <x v="1"/>
    <x v="859"/>
    <x v="0"/>
    <x v="0"/>
  </r>
  <r>
    <x v="1480"/>
    <x v="652"/>
    <x v="637"/>
    <x v="632"/>
    <x v="1173"/>
    <x v="1"/>
    <x v="2"/>
    <x v="635"/>
    <x v="390"/>
    <x v="1"/>
    <x v="289"/>
    <x v="0"/>
    <x v="0"/>
    <x v="1"/>
    <x v="1"/>
    <x v="1"/>
    <x v="2"/>
    <x v="1"/>
    <x v="3"/>
    <x v="1"/>
    <x v="2"/>
    <x v="0"/>
    <x v="1"/>
    <x v="1"/>
    <x v="2"/>
    <x v="658"/>
    <x v="15"/>
    <x v="0"/>
    <x v="0"/>
    <x v="1"/>
    <x v="0"/>
    <x v="0"/>
    <x v="0"/>
    <x v="0"/>
  </r>
  <r>
    <x v="1481"/>
    <x v="692"/>
    <x v="673"/>
    <x v="668"/>
    <x v="0"/>
    <x v="1"/>
    <x v="2"/>
    <x v="669"/>
    <x v="504"/>
    <x v="1"/>
    <x v="284"/>
    <x v="0"/>
    <x v="0"/>
    <x v="3"/>
    <x v="1"/>
    <x v="1"/>
    <x v="2"/>
    <x v="1"/>
    <x v="1"/>
    <x v="1"/>
    <x v="2"/>
    <x v="0"/>
    <x v="2"/>
    <x v="3"/>
    <x v="4"/>
    <x v="684"/>
    <x v="15"/>
    <x v="0"/>
    <x v="0"/>
    <x v="1"/>
    <x v="0"/>
    <x v="0"/>
    <x v="0"/>
    <x v="0"/>
  </r>
  <r>
    <x v="1482"/>
    <x v="693"/>
    <x v="674"/>
    <x v="669"/>
    <x v="1174"/>
    <x v="1"/>
    <x v="2"/>
    <x v="670"/>
    <x v="302"/>
    <x v="2"/>
    <x v="0"/>
    <x v="5"/>
    <x v="0"/>
    <x v="3"/>
    <x v="2"/>
    <x v="3"/>
    <x v="1"/>
    <x v="1"/>
    <x v="2"/>
    <x v="1"/>
    <x v="1"/>
    <x v="340"/>
    <x v="1"/>
    <x v="3"/>
    <x v="4"/>
    <x v="685"/>
    <x v="1"/>
    <x v="3"/>
    <x v="0"/>
    <x v="1"/>
    <x v="0"/>
    <x v="860"/>
    <x v="423"/>
    <x v="0"/>
  </r>
  <r>
    <x v="1483"/>
    <x v="698"/>
    <x v="679"/>
    <x v="674"/>
    <x v="1175"/>
    <x v="1"/>
    <x v="2"/>
    <x v="675"/>
    <x v="508"/>
    <x v="1"/>
    <x v="9"/>
    <x v="0"/>
    <x v="0"/>
    <x v="1"/>
    <x v="1"/>
    <x v="1"/>
    <x v="2"/>
    <x v="1"/>
    <x v="2"/>
    <x v="1"/>
    <x v="2"/>
    <x v="0"/>
    <x v="1"/>
    <x v="5"/>
    <x v="2"/>
    <x v="690"/>
    <x v="12"/>
    <x v="0"/>
    <x v="0"/>
    <x v="1"/>
    <x v="0"/>
    <x v="0"/>
    <x v="0"/>
    <x v="0"/>
  </r>
  <r>
    <x v="1484"/>
    <x v="699"/>
    <x v="633"/>
    <x v="627"/>
    <x v="1176"/>
    <x v="1"/>
    <x v="2"/>
    <x v="631"/>
    <x v="509"/>
    <x v="1"/>
    <x v="9"/>
    <x v="0"/>
    <x v="0"/>
    <x v="1"/>
    <x v="1"/>
    <x v="1"/>
    <x v="2"/>
    <x v="1"/>
    <x v="2"/>
    <x v="1"/>
    <x v="2"/>
    <x v="0"/>
    <x v="1"/>
    <x v="1"/>
    <x v="2"/>
    <x v="643"/>
    <x v="3"/>
    <x v="0"/>
    <x v="0"/>
    <x v="1"/>
    <x v="0"/>
    <x v="0"/>
    <x v="0"/>
    <x v="0"/>
  </r>
  <r>
    <x v="1485"/>
    <x v="700"/>
    <x v="680"/>
    <x v="675"/>
    <x v="1177"/>
    <x v="1"/>
    <x v="2"/>
    <x v="676"/>
    <x v="510"/>
    <x v="1"/>
    <x v="15"/>
    <x v="0"/>
    <x v="0"/>
    <x v="1"/>
    <x v="3"/>
    <x v="3"/>
    <x v="2"/>
    <x v="1"/>
    <x v="2"/>
    <x v="1"/>
    <x v="1"/>
    <x v="340"/>
    <x v="1"/>
    <x v="1"/>
    <x v="2"/>
    <x v="691"/>
    <x v="15"/>
    <x v="1"/>
    <x v="14"/>
    <x v="1"/>
    <x v="0"/>
    <x v="861"/>
    <x v="0"/>
    <x v="387"/>
  </r>
  <r>
    <x v="1486"/>
    <x v="335"/>
    <x v="335"/>
    <x v="330"/>
    <x v="0"/>
    <x v="1"/>
    <x v="2"/>
    <x v="350"/>
    <x v="511"/>
    <x v="2"/>
    <x v="0"/>
    <x v="6"/>
    <x v="0"/>
    <x v="3"/>
    <x v="4"/>
    <x v="1"/>
    <x v="2"/>
    <x v="1"/>
    <x v="2"/>
    <x v="1"/>
    <x v="2"/>
    <x v="0"/>
    <x v="2"/>
    <x v="3"/>
    <x v="4"/>
    <x v="337"/>
    <x v="1"/>
    <x v="0"/>
    <x v="0"/>
    <x v="1"/>
    <x v="0"/>
    <x v="0"/>
    <x v="0"/>
    <x v="0"/>
  </r>
  <r>
    <x v="1487"/>
    <x v="701"/>
    <x v="681"/>
    <x v="676"/>
    <x v="1178"/>
    <x v="1"/>
    <x v="2"/>
    <x v="677"/>
    <x v="512"/>
    <x v="1"/>
    <x v="290"/>
    <x v="0"/>
    <x v="0"/>
    <x v="1"/>
    <x v="1"/>
    <x v="1"/>
    <x v="2"/>
    <x v="1"/>
    <x v="3"/>
    <x v="1"/>
    <x v="1"/>
    <x v="332"/>
    <x v="1"/>
    <x v="1"/>
    <x v="2"/>
    <x v="692"/>
    <x v="1"/>
    <x v="1"/>
    <x v="4"/>
    <x v="2"/>
    <x v="1"/>
    <x v="862"/>
    <x v="0"/>
    <x v="0"/>
  </r>
  <r>
    <x v="1488"/>
    <x v="699"/>
    <x v="633"/>
    <x v="627"/>
    <x v="1179"/>
    <x v="1"/>
    <x v="2"/>
    <x v="631"/>
    <x v="513"/>
    <x v="1"/>
    <x v="291"/>
    <x v="0"/>
    <x v="0"/>
    <x v="1"/>
    <x v="2"/>
    <x v="3"/>
    <x v="2"/>
    <x v="1"/>
    <x v="2"/>
    <x v="1"/>
    <x v="1"/>
    <x v="332"/>
    <x v="1"/>
    <x v="1"/>
    <x v="2"/>
    <x v="643"/>
    <x v="3"/>
    <x v="1"/>
    <x v="4"/>
    <x v="2"/>
    <x v="1"/>
    <x v="863"/>
    <x v="0"/>
    <x v="0"/>
  </r>
  <r>
    <x v="1489"/>
    <x v="702"/>
    <x v="682"/>
    <x v="677"/>
    <x v="1180"/>
    <x v="1"/>
    <x v="2"/>
    <x v="678"/>
    <x v="514"/>
    <x v="1"/>
    <x v="292"/>
    <x v="0"/>
    <x v="0"/>
    <x v="1"/>
    <x v="1"/>
    <x v="1"/>
    <x v="1"/>
    <x v="1"/>
    <x v="2"/>
    <x v="1"/>
    <x v="1"/>
    <x v="334"/>
    <x v="1"/>
    <x v="1"/>
    <x v="2"/>
    <x v="693"/>
    <x v="3"/>
    <x v="1"/>
    <x v="4"/>
    <x v="2"/>
    <x v="1"/>
    <x v="864"/>
    <x v="424"/>
    <x v="388"/>
  </r>
  <r>
    <x v="1490"/>
    <x v="703"/>
    <x v="683"/>
    <x v="678"/>
    <x v="1181"/>
    <x v="3"/>
    <x v="2"/>
    <x v="679"/>
    <x v="431"/>
    <x v="1"/>
    <x v="4"/>
    <x v="0"/>
    <x v="0"/>
    <x v="1"/>
    <x v="3"/>
    <x v="3"/>
    <x v="2"/>
    <x v="1"/>
    <x v="1"/>
    <x v="1"/>
    <x v="1"/>
    <x v="332"/>
    <x v="1"/>
    <x v="1"/>
    <x v="2"/>
    <x v="694"/>
    <x v="15"/>
    <x v="1"/>
    <x v="14"/>
    <x v="2"/>
    <x v="1"/>
    <x v="865"/>
    <x v="0"/>
    <x v="0"/>
  </r>
  <r>
    <x v="1491"/>
    <x v="362"/>
    <x v="362"/>
    <x v="357"/>
    <x v="1182"/>
    <x v="1"/>
    <x v="2"/>
    <x v="381"/>
    <x v="291"/>
    <x v="1"/>
    <x v="44"/>
    <x v="0"/>
    <x v="0"/>
    <x v="1"/>
    <x v="1"/>
    <x v="1"/>
    <x v="2"/>
    <x v="1"/>
    <x v="3"/>
    <x v="1"/>
    <x v="2"/>
    <x v="0"/>
    <x v="1"/>
    <x v="1"/>
    <x v="2"/>
    <x v="364"/>
    <x v="3"/>
    <x v="0"/>
    <x v="0"/>
    <x v="1"/>
    <x v="0"/>
    <x v="0"/>
    <x v="0"/>
    <x v="0"/>
  </r>
  <r>
    <x v="1492"/>
    <x v="676"/>
    <x v="658"/>
    <x v="653"/>
    <x v="1183"/>
    <x v="1"/>
    <x v="2"/>
    <x v="656"/>
    <x v="515"/>
    <x v="1"/>
    <x v="9"/>
    <x v="0"/>
    <x v="0"/>
    <x v="1"/>
    <x v="1"/>
    <x v="1"/>
    <x v="2"/>
    <x v="1"/>
    <x v="1"/>
    <x v="1"/>
    <x v="2"/>
    <x v="0"/>
    <x v="1"/>
    <x v="1"/>
    <x v="2"/>
    <x v="669"/>
    <x v="15"/>
    <x v="0"/>
    <x v="0"/>
    <x v="1"/>
    <x v="0"/>
    <x v="0"/>
    <x v="0"/>
    <x v="0"/>
  </r>
  <r>
    <x v="1493"/>
    <x v="654"/>
    <x v="638"/>
    <x v="633"/>
    <x v="1184"/>
    <x v="1"/>
    <x v="2"/>
    <x v="407"/>
    <x v="516"/>
    <x v="1"/>
    <x v="293"/>
    <x v="0"/>
    <x v="0"/>
    <x v="1"/>
    <x v="1"/>
    <x v="1"/>
    <x v="1"/>
    <x v="1"/>
    <x v="2"/>
    <x v="1"/>
    <x v="1"/>
    <x v="340"/>
    <x v="1"/>
    <x v="1"/>
    <x v="2"/>
    <x v="648"/>
    <x v="3"/>
    <x v="1"/>
    <x v="16"/>
    <x v="1"/>
    <x v="0"/>
    <x v="866"/>
    <x v="0"/>
    <x v="0"/>
  </r>
  <r>
    <x v="1494"/>
    <x v="696"/>
    <x v="677"/>
    <x v="672"/>
    <x v="1185"/>
    <x v="1"/>
    <x v="1"/>
    <x v="673"/>
    <x v="507"/>
    <x v="1"/>
    <x v="31"/>
    <x v="0"/>
    <x v="0"/>
    <x v="1"/>
    <x v="1"/>
    <x v="1"/>
    <x v="1"/>
    <x v="1"/>
    <x v="3"/>
    <x v="1"/>
    <x v="2"/>
    <x v="0"/>
    <x v="1"/>
    <x v="1"/>
    <x v="2"/>
    <x v="688"/>
    <x v="17"/>
    <x v="0"/>
    <x v="0"/>
    <x v="1"/>
    <x v="0"/>
    <x v="0"/>
    <x v="0"/>
    <x v="0"/>
  </r>
  <r>
    <x v="1495"/>
    <x v="700"/>
    <x v="680"/>
    <x v="675"/>
    <x v="0"/>
    <x v="1"/>
    <x v="2"/>
    <x v="676"/>
    <x v="510"/>
    <x v="1"/>
    <x v="15"/>
    <x v="0"/>
    <x v="0"/>
    <x v="3"/>
    <x v="1"/>
    <x v="1"/>
    <x v="2"/>
    <x v="1"/>
    <x v="2"/>
    <x v="1"/>
    <x v="2"/>
    <x v="0"/>
    <x v="2"/>
    <x v="3"/>
    <x v="4"/>
    <x v="691"/>
    <x v="15"/>
    <x v="0"/>
    <x v="0"/>
    <x v="1"/>
    <x v="0"/>
    <x v="0"/>
    <x v="0"/>
    <x v="0"/>
  </r>
  <r>
    <x v="1496"/>
    <x v="704"/>
    <x v="684"/>
    <x v="679"/>
    <x v="1186"/>
    <x v="3"/>
    <x v="2"/>
    <x v="680"/>
    <x v="288"/>
    <x v="1"/>
    <x v="294"/>
    <x v="0"/>
    <x v="0"/>
    <x v="1"/>
    <x v="2"/>
    <x v="3"/>
    <x v="2"/>
    <x v="1"/>
    <x v="2"/>
    <x v="1"/>
    <x v="1"/>
    <x v="332"/>
    <x v="1"/>
    <x v="1"/>
    <x v="2"/>
    <x v="695"/>
    <x v="3"/>
    <x v="3"/>
    <x v="0"/>
    <x v="1"/>
    <x v="0"/>
    <x v="867"/>
    <x v="425"/>
    <x v="0"/>
  </r>
  <r>
    <x v="1497"/>
    <x v="705"/>
    <x v="685"/>
    <x v="680"/>
    <x v="1187"/>
    <x v="1"/>
    <x v="2"/>
    <x v="681"/>
    <x v="196"/>
    <x v="6"/>
    <x v="0"/>
    <x v="0"/>
    <x v="10"/>
    <x v="1"/>
    <x v="3"/>
    <x v="1"/>
    <x v="1"/>
    <x v="2"/>
    <x v="1"/>
    <x v="1"/>
    <x v="1"/>
    <x v="334"/>
    <x v="1"/>
    <x v="5"/>
    <x v="2"/>
    <x v="696"/>
    <x v="3"/>
    <x v="1"/>
    <x v="4"/>
    <x v="2"/>
    <x v="1"/>
    <x v="868"/>
    <x v="0"/>
    <x v="0"/>
  </r>
  <r>
    <x v="1498"/>
    <x v="654"/>
    <x v="638"/>
    <x v="633"/>
    <x v="0"/>
    <x v="1"/>
    <x v="2"/>
    <x v="407"/>
    <x v="516"/>
    <x v="1"/>
    <x v="295"/>
    <x v="0"/>
    <x v="0"/>
    <x v="3"/>
    <x v="1"/>
    <x v="1"/>
    <x v="1"/>
    <x v="1"/>
    <x v="2"/>
    <x v="1"/>
    <x v="2"/>
    <x v="0"/>
    <x v="2"/>
    <x v="1"/>
    <x v="4"/>
    <x v="648"/>
    <x v="17"/>
    <x v="0"/>
    <x v="0"/>
    <x v="1"/>
    <x v="0"/>
    <x v="0"/>
    <x v="0"/>
    <x v="0"/>
  </r>
  <r>
    <x v="1499"/>
    <x v="701"/>
    <x v="681"/>
    <x v="676"/>
    <x v="1188"/>
    <x v="1"/>
    <x v="2"/>
    <x v="677"/>
    <x v="517"/>
    <x v="1"/>
    <x v="296"/>
    <x v="0"/>
    <x v="0"/>
    <x v="3"/>
    <x v="1"/>
    <x v="1"/>
    <x v="2"/>
    <x v="1"/>
    <x v="3"/>
    <x v="1"/>
    <x v="2"/>
    <x v="0"/>
    <x v="1"/>
    <x v="3"/>
    <x v="4"/>
    <x v="692"/>
    <x v="1"/>
    <x v="0"/>
    <x v="0"/>
    <x v="1"/>
    <x v="0"/>
    <x v="0"/>
    <x v="0"/>
    <x v="0"/>
  </r>
  <r>
    <x v="1500"/>
    <x v="706"/>
    <x v="686"/>
    <x v="681"/>
    <x v="1189"/>
    <x v="3"/>
    <x v="2"/>
    <x v="682"/>
    <x v="518"/>
    <x v="1"/>
    <x v="33"/>
    <x v="0"/>
    <x v="0"/>
    <x v="1"/>
    <x v="1"/>
    <x v="1"/>
    <x v="2"/>
    <x v="1"/>
    <x v="2"/>
    <x v="1"/>
    <x v="1"/>
    <x v="334"/>
    <x v="1"/>
    <x v="2"/>
    <x v="2"/>
    <x v="697"/>
    <x v="5"/>
    <x v="3"/>
    <x v="0"/>
    <x v="1"/>
    <x v="0"/>
    <x v="869"/>
    <x v="426"/>
    <x v="389"/>
  </r>
  <r>
    <x v="1501"/>
    <x v="699"/>
    <x v="633"/>
    <x v="627"/>
    <x v="1190"/>
    <x v="1"/>
    <x v="2"/>
    <x v="631"/>
    <x v="513"/>
    <x v="1"/>
    <x v="291"/>
    <x v="0"/>
    <x v="0"/>
    <x v="3"/>
    <x v="1"/>
    <x v="1"/>
    <x v="2"/>
    <x v="1"/>
    <x v="2"/>
    <x v="1"/>
    <x v="2"/>
    <x v="0"/>
    <x v="1"/>
    <x v="3"/>
    <x v="4"/>
    <x v="643"/>
    <x v="1"/>
    <x v="0"/>
    <x v="0"/>
    <x v="1"/>
    <x v="0"/>
    <x v="0"/>
    <x v="0"/>
    <x v="0"/>
  </r>
  <r>
    <x v="1502"/>
    <x v="679"/>
    <x v="660"/>
    <x v="655"/>
    <x v="0"/>
    <x v="1"/>
    <x v="2"/>
    <x v="658"/>
    <x v="519"/>
    <x v="1"/>
    <x v="22"/>
    <x v="0"/>
    <x v="0"/>
    <x v="3"/>
    <x v="1"/>
    <x v="1"/>
    <x v="2"/>
    <x v="1"/>
    <x v="1"/>
    <x v="1"/>
    <x v="2"/>
    <x v="0"/>
    <x v="2"/>
    <x v="3"/>
    <x v="4"/>
    <x v="671"/>
    <x v="15"/>
    <x v="0"/>
    <x v="0"/>
    <x v="1"/>
    <x v="0"/>
    <x v="0"/>
    <x v="0"/>
    <x v="0"/>
  </r>
  <r>
    <x v="1503"/>
    <x v="707"/>
    <x v="430"/>
    <x v="425"/>
    <x v="1191"/>
    <x v="1"/>
    <x v="2"/>
    <x v="440"/>
    <x v="341"/>
    <x v="1"/>
    <x v="33"/>
    <x v="0"/>
    <x v="0"/>
    <x v="1"/>
    <x v="1"/>
    <x v="2"/>
    <x v="2"/>
    <x v="1"/>
    <x v="2"/>
    <x v="1"/>
    <x v="1"/>
    <x v="334"/>
    <x v="1"/>
    <x v="1"/>
    <x v="2"/>
    <x v="433"/>
    <x v="5"/>
    <x v="3"/>
    <x v="0"/>
    <x v="1"/>
    <x v="0"/>
    <x v="870"/>
    <x v="427"/>
    <x v="0"/>
  </r>
  <r>
    <x v="1504"/>
    <x v="703"/>
    <x v="683"/>
    <x v="678"/>
    <x v="1192"/>
    <x v="3"/>
    <x v="2"/>
    <x v="679"/>
    <x v="431"/>
    <x v="1"/>
    <x v="4"/>
    <x v="0"/>
    <x v="0"/>
    <x v="3"/>
    <x v="1"/>
    <x v="1"/>
    <x v="2"/>
    <x v="1"/>
    <x v="1"/>
    <x v="1"/>
    <x v="2"/>
    <x v="0"/>
    <x v="1"/>
    <x v="3"/>
    <x v="4"/>
    <x v="694"/>
    <x v="15"/>
    <x v="0"/>
    <x v="0"/>
    <x v="1"/>
    <x v="0"/>
    <x v="0"/>
    <x v="0"/>
    <x v="0"/>
  </r>
  <r>
    <x v="1505"/>
    <x v="680"/>
    <x v="661"/>
    <x v="656"/>
    <x v="1193"/>
    <x v="1"/>
    <x v="3"/>
    <x v="659"/>
    <x v="340"/>
    <x v="1"/>
    <x v="36"/>
    <x v="0"/>
    <x v="0"/>
    <x v="3"/>
    <x v="1"/>
    <x v="1"/>
    <x v="2"/>
    <x v="1"/>
    <x v="2"/>
    <x v="1"/>
    <x v="2"/>
    <x v="0"/>
    <x v="2"/>
    <x v="3"/>
    <x v="4"/>
    <x v="672"/>
    <x v="5"/>
    <x v="0"/>
    <x v="0"/>
    <x v="1"/>
    <x v="0"/>
    <x v="0"/>
    <x v="0"/>
    <x v="0"/>
  </r>
  <r>
    <x v="1506"/>
    <x v="440"/>
    <x v="436"/>
    <x v="431"/>
    <x v="1194"/>
    <x v="1"/>
    <x v="1"/>
    <x v="446"/>
    <x v="340"/>
    <x v="1"/>
    <x v="70"/>
    <x v="0"/>
    <x v="0"/>
    <x v="1"/>
    <x v="1"/>
    <x v="1"/>
    <x v="1"/>
    <x v="1"/>
    <x v="3"/>
    <x v="3"/>
    <x v="2"/>
    <x v="0"/>
    <x v="1"/>
    <x v="2"/>
    <x v="2"/>
    <x v="439"/>
    <x v="5"/>
    <x v="0"/>
    <x v="0"/>
    <x v="1"/>
    <x v="0"/>
    <x v="0"/>
    <x v="0"/>
    <x v="0"/>
  </r>
  <r>
    <x v="1507"/>
    <x v="705"/>
    <x v="685"/>
    <x v="680"/>
    <x v="1195"/>
    <x v="1"/>
    <x v="2"/>
    <x v="681"/>
    <x v="196"/>
    <x v="6"/>
    <x v="0"/>
    <x v="0"/>
    <x v="10"/>
    <x v="3"/>
    <x v="1"/>
    <x v="1"/>
    <x v="2"/>
    <x v="2"/>
    <x v="3"/>
    <x v="4"/>
    <x v="2"/>
    <x v="0"/>
    <x v="1"/>
    <x v="3"/>
    <x v="4"/>
    <x v="696"/>
    <x v="1"/>
    <x v="0"/>
    <x v="0"/>
    <x v="1"/>
    <x v="0"/>
    <x v="0"/>
    <x v="0"/>
    <x v="0"/>
  </r>
  <r>
    <x v="1508"/>
    <x v="708"/>
    <x v="687"/>
    <x v="682"/>
    <x v="1196"/>
    <x v="1"/>
    <x v="2"/>
    <x v="683"/>
    <x v="236"/>
    <x v="1"/>
    <x v="297"/>
    <x v="0"/>
    <x v="0"/>
    <x v="1"/>
    <x v="1"/>
    <x v="1"/>
    <x v="2"/>
    <x v="1"/>
    <x v="2"/>
    <x v="1"/>
    <x v="2"/>
    <x v="0"/>
    <x v="1"/>
    <x v="1"/>
    <x v="2"/>
    <x v="698"/>
    <x v="1"/>
    <x v="0"/>
    <x v="0"/>
    <x v="1"/>
    <x v="0"/>
    <x v="0"/>
    <x v="0"/>
    <x v="0"/>
  </r>
  <r>
    <x v="1509"/>
    <x v="440"/>
    <x v="436"/>
    <x v="431"/>
    <x v="1197"/>
    <x v="1"/>
    <x v="1"/>
    <x v="446"/>
    <x v="340"/>
    <x v="1"/>
    <x v="79"/>
    <x v="0"/>
    <x v="0"/>
    <x v="1"/>
    <x v="1"/>
    <x v="1"/>
    <x v="2"/>
    <x v="1"/>
    <x v="2"/>
    <x v="1"/>
    <x v="2"/>
    <x v="0"/>
    <x v="1"/>
    <x v="2"/>
    <x v="3"/>
    <x v="439"/>
    <x v="17"/>
    <x v="0"/>
    <x v="0"/>
    <x v="1"/>
    <x v="0"/>
    <x v="0"/>
    <x v="0"/>
    <x v="0"/>
  </r>
  <r>
    <x v="1510"/>
    <x v="702"/>
    <x v="682"/>
    <x v="677"/>
    <x v="1198"/>
    <x v="1"/>
    <x v="2"/>
    <x v="678"/>
    <x v="514"/>
    <x v="1"/>
    <x v="292"/>
    <x v="0"/>
    <x v="0"/>
    <x v="3"/>
    <x v="1"/>
    <x v="1"/>
    <x v="1"/>
    <x v="1"/>
    <x v="2"/>
    <x v="4"/>
    <x v="1"/>
    <x v="341"/>
    <x v="1"/>
    <x v="3"/>
    <x v="4"/>
    <x v="693"/>
    <x v="1"/>
    <x v="1"/>
    <x v="14"/>
    <x v="2"/>
    <x v="1"/>
    <x v="871"/>
    <x v="0"/>
    <x v="0"/>
  </r>
  <r>
    <x v="1511"/>
    <x v="709"/>
    <x v="688"/>
    <x v="683"/>
    <x v="1199"/>
    <x v="1"/>
    <x v="2"/>
    <x v="684"/>
    <x v="520"/>
    <x v="1"/>
    <x v="15"/>
    <x v="0"/>
    <x v="0"/>
    <x v="1"/>
    <x v="1"/>
    <x v="1"/>
    <x v="2"/>
    <x v="1"/>
    <x v="2"/>
    <x v="1"/>
    <x v="1"/>
    <x v="342"/>
    <x v="1"/>
    <x v="5"/>
    <x v="3"/>
    <x v="699"/>
    <x v="14"/>
    <x v="1"/>
    <x v="4"/>
    <x v="1"/>
    <x v="0"/>
    <x v="872"/>
    <x v="0"/>
    <x v="0"/>
  </r>
  <r>
    <x v="1512"/>
    <x v="708"/>
    <x v="687"/>
    <x v="682"/>
    <x v="1200"/>
    <x v="1"/>
    <x v="2"/>
    <x v="683"/>
    <x v="236"/>
    <x v="1"/>
    <x v="298"/>
    <x v="0"/>
    <x v="0"/>
    <x v="1"/>
    <x v="1"/>
    <x v="1"/>
    <x v="2"/>
    <x v="1"/>
    <x v="2"/>
    <x v="4"/>
    <x v="1"/>
    <x v="343"/>
    <x v="1"/>
    <x v="1"/>
    <x v="2"/>
    <x v="698"/>
    <x v="1"/>
    <x v="3"/>
    <x v="0"/>
    <x v="1"/>
    <x v="0"/>
    <x v="873"/>
    <x v="0"/>
    <x v="0"/>
  </r>
  <r>
    <x v="1513"/>
    <x v="709"/>
    <x v="688"/>
    <x v="683"/>
    <x v="0"/>
    <x v="1"/>
    <x v="2"/>
    <x v="684"/>
    <x v="520"/>
    <x v="1"/>
    <x v="15"/>
    <x v="0"/>
    <x v="0"/>
    <x v="3"/>
    <x v="1"/>
    <x v="1"/>
    <x v="2"/>
    <x v="1"/>
    <x v="2"/>
    <x v="1"/>
    <x v="2"/>
    <x v="0"/>
    <x v="2"/>
    <x v="3"/>
    <x v="4"/>
    <x v="699"/>
    <x v="1"/>
    <x v="0"/>
    <x v="0"/>
    <x v="1"/>
    <x v="0"/>
    <x v="0"/>
    <x v="0"/>
    <x v="0"/>
  </r>
  <r>
    <x v="1514"/>
    <x v="692"/>
    <x v="673"/>
    <x v="668"/>
    <x v="1201"/>
    <x v="1"/>
    <x v="2"/>
    <x v="669"/>
    <x v="504"/>
    <x v="1"/>
    <x v="123"/>
    <x v="0"/>
    <x v="0"/>
    <x v="1"/>
    <x v="1"/>
    <x v="1"/>
    <x v="1"/>
    <x v="1"/>
    <x v="3"/>
    <x v="1"/>
    <x v="2"/>
    <x v="0"/>
    <x v="1"/>
    <x v="1"/>
    <x v="2"/>
    <x v="684"/>
    <x v="2"/>
    <x v="0"/>
    <x v="0"/>
    <x v="1"/>
    <x v="0"/>
    <x v="0"/>
    <x v="0"/>
    <x v="0"/>
  </r>
  <r>
    <x v="1515"/>
    <x v="674"/>
    <x v="656"/>
    <x v="651"/>
    <x v="1202"/>
    <x v="1"/>
    <x v="1"/>
    <x v="181"/>
    <x v="406"/>
    <x v="1"/>
    <x v="15"/>
    <x v="0"/>
    <x v="0"/>
    <x v="1"/>
    <x v="1"/>
    <x v="1"/>
    <x v="1"/>
    <x v="1"/>
    <x v="1"/>
    <x v="1"/>
    <x v="1"/>
    <x v="342"/>
    <x v="1"/>
    <x v="1"/>
    <x v="2"/>
    <x v="667"/>
    <x v="12"/>
    <x v="1"/>
    <x v="7"/>
    <x v="2"/>
    <x v="1"/>
    <x v="874"/>
    <x v="0"/>
    <x v="390"/>
  </r>
  <r>
    <x v="1516"/>
    <x v="710"/>
    <x v="689"/>
    <x v="684"/>
    <x v="1203"/>
    <x v="3"/>
    <x v="2"/>
    <x v="516"/>
    <x v="59"/>
    <x v="1"/>
    <x v="27"/>
    <x v="0"/>
    <x v="0"/>
    <x v="1"/>
    <x v="1"/>
    <x v="1"/>
    <x v="2"/>
    <x v="1"/>
    <x v="2"/>
    <x v="1"/>
    <x v="2"/>
    <x v="0"/>
    <x v="1"/>
    <x v="1"/>
    <x v="2"/>
    <x v="700"/>
    <x v="15"/>
    <x v="0"/>
    <x v="0"/>
    <x v="1"/>
    <x v="0"/>
    <x v="0"/>
    <x v="0"/>
    <x v="0"/>
  </r>
  <r>
    <x v="1517"/>
    <x v="696"/>
    <x v="677"/>
    <x v="672"/>
    <x v="1204"/>
    <x v="1"/>
    <x v="2"/>
    <x v="673"/>
    <x v="449"/>
    <x v="1"/>
    <x v="299"/>
    <x v="0"/>
    <x v="0"/>
    <x v="1"/>
    <x v="1"/>
    <x v="2"/>
    <x v="1"/>
    <x v="1"/>
    <x v="3"/>
    <x v="1"/>
    <x v="1"/>
    <x v="341"/>
    <x v="1"/>
    <x v="1"/>
    <x v="2"/>
    <x v="688"/>
    <x v="1"/>
    <x v="3"/>
    <x v="0"/>
    <x v="1"/>
    <x v="0"/>
    <x v="875"/>
    <x v="428"/>
    <x v="0"/>
  </r>
  <r>
    <x v="1518"/>
    <x v="674"/>
    <x v="656"/>
    <x v="651"/>
    <x v="0"/>
    <x v="1"/>
    <x v="1"/>
    <x v="181"/>
    <x v="406"/>
    <x v="1"/>
    <x v="15"/>
    <x v="0"/>
    <x v="0"/>
    <x v="3"/>
    <x v="1"/>
    <x v="1"/>
    <x v="1"/>
    <x v="1"/>
    <x v="2"/>
    <x v="1"/>
    <x v="1"/>
    <x v="343"/>
    <x v="2"/>
    <x v="3"/>
    <x v="4"/>
    <x v="667"/>
    <x v="12"/>
    <x v="1"/>
    <x v="1"/>
    <x v="1"/>
    <x v="0"/>
    <x v="876"/>
    <x v="0"/>
    <x v="391"/>
  </r>
  <r>
    <x v="1519"/>
    <x v="711"/>
    <x v="690"/>
    <x v="685"/>
    <x v="1205"/>
    <x v="1"/>
    <x v="2"/>
    <x v="685"/>
    <x v="521"/>
    <x v="1"/>
    <x v="15"/>
    <x v="0"/>
    <x v="0"/>
    <x v="1"/>
    <x v="1"/>
    <x v="1"/>
    <x v="1"/>
    <x v="1"/>
    <x v="2"/>
    <x v="1"/>
    <x v="1"/>
    <x v="343"/>
    <x v="1"/>
    <x v="5"/>
    <x v="2"/>
    <x v="701"/>
    <x v="12"/>
    <x v="1"/>
    <x v="1"/>
    <x v="1"/>
    <x v="0"/>
    <x v="877"/>
    <x v="0"/>
    <x v="0"/>
  </r>
  <r>
    <x v="1520"/>
    <x v="712"/>
    <x v="691"/>
    <x v="686"/>
    <x v="1206"/>
    <x v="1"/>
    <x v="2"/>
    <x v="686"/>
    <x v="522"/>
    <x v="1"/>
    <x v="15"/>
    <x v="0"/>
    <x v="0"/>
    <x v="1"/>
    <x v="1"/>
    <x v="1"/>
    <x v="2"/>
    <x v="1"/>
    <x v="2"/>
    <x v="1"/>
    <x v="1"/>
    <x v="343"/>
    <x v="1"/>
    <x v="6"/>
    <x v="2"/>
    <x v="702"/>
    <x v="5"/>
    <x v="1"/>
    <x v="1"/>
    <x v="1"/>
    <x v="0"/>
    <x v="878"/>
    <x v="0"/>
    <x v="0"/>
  </r>
  <r>
    <x v="1521"/>
    <x v="674"/>
    <x v="656"/>
    <x v="651"/>
    <x v="0"/>
    <x v="1"/>
    <x v="1"/>
    <x v="181"/>
    <x v="406"/>
    <x v="1"/>
    <x v="15"/>
    <x v="0"/>
    <x v="0"/>
    <x v="3"/>
    <x v="1"/>
    <x v="1"/>
    <x v="2"/>
    <x v="1"/>
    <x v="2"/>
    <x v="1"/>
    <x v="1"/>
    <x v="344"/>
    <x v="2"/>
    <x v="3"/>
    <x v="4"/>
    <x v="667"/>
    <x v="5"/>
    <x v="1"/>
    <x v="5"/>
    <x v="2"/>
    <x v="1"/>
    <x v="879"/>
    <x v="0"/>
    <x v="0"/>
  </r>
  <r>
    <x v="1522"/>
    <x v="713"/>
    <x v="692"/>
    <x v="687"/>
    <x v="1207"/>
    <x v="3"/>
    <x v="2"/>
    <x v="73"/>
    <x v="299"/>
    <x v="1"/>
    <x v="2"/>
    <x v="0"/>
    <x v="0"/>
    <x v="1"/>
    <x v="2"/>
    <x v="3"/>
    <x v="1"/>
    <x v="1"/>
    <x v="2"/>
    <x v="4"/>
    <x v="1"/>
    <x v="345"/>
    <x v="1"/>
    <x v="6"/>
    <x v="2"/>
    <x v="703"/>
    <x v="5"/>
    <x v="3"/>
    <x v="0"/>
    <x v="1"/>
    <x v="0"/>
    <x v="880"/>
    <x v="429"/>
    <x v="0"/>
  </r>
  <r>
    <x v="1523"/>
    <x v="712"/>
    <x v="691"/>
    <x v="686"/>
    <x v="1206"/>
    <x v="1"/>
    <x v="2"/>
    <x v="686"/>
    <x v="522"/>
    <x v="1"/>
    <x v="15"/>
    <x v="0"/>
    <x v="0"/>
    <x v="3"/>
    <x v="3"/>
    <x v="3"/>
    <x v="2"/>
    <x v="1"/>
    <x v="2"/>
    <x v="1"/>
    <x v="1"/>
    <x v="345"/>
    <x v="1"/>
    <x v="3"/>
    <x v="4"/>
    <x v="702"/>
    <x v="5"/>
    <x v="3"/>
    <x v="0"/>
    <x v="1"/>
    <x v="0"/>
    <x v="881"/>
    <x v="430"/>
    <x v="0"/>
  </r>
  <r>
    <x v="1524"/>
    <x v="711"/>
    <x v="690"/>
    <x v="685"/>
    <x v="0"/>
    <x v="1"/>
    <x v="2"/>
    <x v="685"/>
    <x v="523"/>
    <x v="1"/>
    <x v="15"/>
    <x v="0"/>
    <x v="0"/>
    <x v="3"/>
    <x v="4"/>
    <x v="1"/>
    <x v="2"/>
    <x v="1"/>
    <x v="2"/>
    <x v="1"/>
    <x v="2"/>
    <x v="0"/>
    <x v="2"/>
    <x v="3"/>
    <x v="4"/>
    <x v="701"/>
    <x v="5"/>
    <x v="0"/>
    <x v="0"/>
    <x v="1"/>
    <x v="0"/>
    <x v="0"/>
    <x v="0"/>
    <x v="0"/>
  </r>
  <r>
    <x v="1525"/>
    <x v="674"/>
    <x v="656"/>
    <x v="651"/>
    <x v="1208"/>
    <x v="1"/>
    <x v="1"/>
    <x v="181"/>
    <x v="406"/>
    <x v="1"/>
    <x v="15"/>
    <x v="0"/>
    <x v="0"/>
    <x v="3"/>
    <x v="1"/>
    <x v="1"/>
    <x v="1"/>
    <x v="1"/>
    <x v="3"/>
    <x v="1"/>
    <x v="2"/>
    <x v="0"/>
    <x v="1"/>
    <x v="3"/>
    <x v="4"/>
    <x v="667"/>
    <x v="2"/>
    <x v="0"/>
    <x v="0"/>
    <x v="1"/>
    <x v="0"/>
    <x v="0"/>
    <x v="0"/>
    <x v="0"/>
  </r>
  <r>
    <x v="1526"/>
    <x v="440"/>
    <x v="436"/>
    <x v="431"/>
    <x v="1209"/>
    <x v="1"/>
    <x v="1"/>
    <x v="446"/>
    <x v="340"/>
    <x v="1"/>
    <x v="57"/>
    <x v="0"/>
    <x v="0"/>
    <x v="1"/>
    <x v="3"/>
    <x v="3"/>
    <x v="1"/>
    <x v="1"/>
    <x v="2"/>
    <x v="1"/>
    <x v="1"/>
    <x v="344"/>
    <x v="1"/>
    <x v="1"/>
    <x v="2"/>
    <x v="439"/>
    <x v="12"/>
    <x v="1"/>
    <x v="7"/>
    <x v="1"/>
    <x v="0"/>
    <x v="882"/>
    <x v="0"/>
    <x v="392"/>
  </r>
  <r>
    <x v="1527"/>
    <x v="714"/>
    <x v="693"/>
    <x v="688"/>
    <x v="1210"/>
    <x v="3"/>
    <x v="1"/>
    <x v="687"/>
    <x v="524"/>
    <x v="1"/>
    <x v="9"/>
    <x v="0"/>
    <x v="0"/>
    <x v="1"/>
    <x v="1"/>
    <x v="1"/>
    <x v="2"/>
    <x v="1"/>
    <x v="1"/>
    <x v="1"/>
    <x v="2"/>
    <x v="0"/>
    <x v="1"/>
    <x v="1"/>
    <x v="2"/>
    <x v="704"/>
    <x v="15"/>
    <x v="0"/>
    <x v="0"/>
    <x v="1"/>
    <x v="0"/>
    <x v="0"/>
    <x v="0"/>
    <x v="0"/>
  </r>
  <r>
    <x v="1528"/>
    <x v="696"/>
    <x v="677"/>
    <x v="672"/>
    <x v="1211"/>
    <x v="1"/>
    <x v="2"/>
    <x v="688"/>
    <x v="507"/>
    <x v="1"/>
    <x v="2"/>
    <x v="0"/>
    <x v="0"/>
    <x v="1"/>
    <x v="1"/>
    <x v="1"/>
    <x v="2"/>
    <x v="1"/>
    <x v="3"/>
    <x v="1"/>
    <x v="1"/>
    <x v="344"/>
    <x v="1"/>
    <x v="1"/>
    <x v="2"/>
    <x v="688"/>
    <x v="1"/>
    <x v="3"/>
    <x v="0"/>
    <x v="1"/>
    <x v="0"/>
    <x v="883"/>
    <x v="431"/>
    <x v="0"/>
  </r>
  <r>
    <x v="1529"/>
    <x v="440"/>
    <x v="436"/>
    <x v="431"/>
    <x v="0"/>
    <x v="1"/>
    <x v="1"/>
    <x v="446"/>
    <x v="340"/>
    <x v="1"/>
    <x v="57"/>
    <x v="0"/>
    <x v="0"/>
    <x v="3"/>
    <x v="4"/>
    <x v="1"/>
    <x v="1"/>
    <x v="1"/>
    <x v="2"/>
    <x v="1"/>
    <x v="2"/>
    <x v="0"/>
    <x v="2"/>
    <x v="3"/>
    <x v="4"/>
    <x v="439"/>
    <x v="12"/>
    <x v="0"/>
    <x v="0"/>
    <x v="1"/>
    <x v="0"/>
    <x v="0"/>
    <x v="0"/>
    <x v="0"/>
  </r>
  <r>
    <x v="1530"/>
    <x v="715"/>
    <x v="531"/>
    <x v="523"/>
    <x v="1212"/>
    <x v="1"/>
    <x v="2"/>
    <x v="541"/>
    <x v="525"/>
    <x v="1"/>
    <x v="4"/>
    <x v="0"/>
    <x v="0"/>
    <x v="1"/>
    <x v="1"/>
    <x v="1"/>
    <x v="1"/>
    <x v="1"/>
    <x v="3"/>
    <x v="1"/>
    <x v="2"/>
    <x v="0"/>
    <x v="1"/>
    <x v="1"/>
    <x v="2"/>
    <x v="534"/>
    <x v="2"/>
    <x v="0"/>
    <x v="0"/>
    <x v="1"/>
    <x v="0"/>
    <x v="0"/>
    <x v="0"/>
    <x v="0"/>
  </r>
  <r>
    <x v="1531"/>
    <x v="716"/>
    <x v="694"/>
    <x v="689"/>
    <x v="1213"/>
    <x v="1"/>
    <x v="3"/>
    <x v="689"/>
    <x v="395"/>
    <x v="1"/>
    <x v="300"/>
    <x v="0"/>
    <x v="0"/>
    <x v="1"/>
    <x v="1"/>
    <x v="1"/>
    <x v="2"/>
    <x v="1"/>
    <x v="2"/>
    <x v="1"/>
    <x v="2"/>
    <x v="0"/>
    <x v="1"/>
    <x v="1"/>
    <x v="2"/>
    <x v="705"/>
    <x v="3"/>
    <x v="0"/>
    <x v="0"/>
    <x v="1"/>
    <x v="0"/>
    <x v="0"/>
    <x v="0"/>
    <x v="0"/>
  </r>
  <r>
    <x v="1532"/>
    <x v="702"/>
    <x v="682"/>
    <x v="677"/>
    <x v="1214"/>
    <x v="1"/>
    <x v="1"/>
    <x v="678"/>
    <x v="514"/>
    <x v="1"/>
    <x v="301"/>
    <x v="0"/>
    <x v="0"/>
    <x v="3"/>
    <x v="3"/>
    <x v="3"/>
    <x v="1"/>
    <x v="1"/>
    <x v="1"/>
    <x v="1"/>
    <x v="1"/>
    <x v="346"/>
    <x v="2"/>
    <x v="3"/>
    <x v="4"/>
    <x v="706"/>
    <x v="15"/>
    <x v="1"/>
    <x v="13"/>
    <x v="1"/>
    <x v="0"/>
    <x v="884"/>
    <x v="0"/>
    <x v="393"/>
  </r>
  <r>
    <x v="1533"/>
    <x v="698"/>
    <x v="679"/>
    <x v="674"/>
    <x v="1215"/>
    <x v="1"/>
    <x v="2"/>
    <x v="675"/>
    <x v="508"/>
    <x v="1"/>
    <x v="9"/>
    <x v="0"/>
    <x v="0"/>
    <x v="1"/>
    <x v="2"/>
    <x v="3"/>
    <x v="2"/>
    <x v="1"/>
    <x v="2"/>
    <x v="1"/>
    <x v="1"/>
    <x v="346"/>
    <x v="1"/>
    <x v="5"/>
    <x v="2"/>
    <x v="690"/>
    <x v="3"/>
    <x v="3"/>
    <x v="0"/>
    <x v="1"/>
    <x v="0"/>
    <x v="885"/>
    <x v="432"/>
    <x v="54"/>
  </r>
  <r>
    <x v="1534"/>
    <x v="702"/>
    <x v="682"/>
    <x v="677"/>
    <x v="0"/>
    <x v="1"/>
    <x v="2"/>
    <x v="678"/>
    <x v="514"/>
    <x v="1"/>
    <x v="27"/>
    <x v="0"/>
    <x v="0"/>
    <x v="3"/>
    <x v="1"/>
    <x v="2"/>
    <x v="2"/>
    <x v="1"/>
    <x v="2"/>
    <x v="1"/>
    <x v="1"/>
    <x v="347"/>
    <x v="2"/>
    <x v="3"/>
    <x v="4"/>
    <x v="706"/>
    <x v="14"/>
    <x v="1"/>
    <x v="14"/>
    <x v="1"/>
    <x v="0"/>
    <x v="886"/>
    <x v="0"/>
    <x v="394"/>
  </r>
  <r>
    <x v="1535"/>
    <x v="708"/>
    <x v="687"/>
    <x v="682"/>
    <x v="1216"/>
    <x v="1"/>
    <x v="2"/>
    <x v="683"/>
    <x v="236"/>
    <x v="6"/>
    <x v="0"/>
    <x v="0"/>
    <x v="32"/>
    <x v="1"/>
    <x v="1"/>
    <x v="1"/>
    <x v="2"/>
    <x v="1"/>
    <x v="2"/>
    <x v="1"/>
    <x v="2"/>
    <x v="0"/>
    <x v="1"/>
    <x v="1"/>
    <x v="2"/>
    <x v="698"/>
    <x v="14"/>
    <x v="0"/>
    <x v="0"/>
    <x v="1"/>
    <x v="0"/>
    <x v="0"/>
    <x v="0"/>
    <x v="0"/>
  </r>
  <r>
    <x v="1536"/>
    <x v="717"/>
    <x v="695"/>
    <x v="690"/>
    <x v="1217"/>
    <x v="1"/>
    <x v="2"/>
    <x v="690"/>
    <x v="526"/>
    <x v="2"/>
    <x v="0"/>
    <x v="2"/>
    <x v="0"/>
    <x v="1"/>
    <x v="1"/>
    <x v="1"/>
    <x v="2"/>
    <x v="1"/>
    <x v="2"/>
    <x v="1"/>
    <x v="2"/>
    <x v="0"/>
    <x v="1"/>
    <x v="1"/>
    <x v="2"/>
    <x v="707"/>
    <x v="14"/>
    <x v="0"/>
    <x v="0"/>
    <x v="1"/>
    <x v="0"/>
    <x v="0"/>
    <x v="0"/>
    <x v="0"/>
  </r>
  <r>
    <x v="1537"/>
    <x v="687"/>
    <x v="668"/>
    <x v="663"/>
    <x v="1218"/>
    <x v="1"/>
    <x v="1"/>
    <x v="665"/>
    <x v="527"/>
    <x v="1"/>
    <x v="126"/>
    <x v="0"/>
    <x v="0"/>
    <x v="1"/>
    <x v="3"/>
    <x v="3"/>
    <x v="1"/>
    <x v="1"/>
    <x v="2"/>
    <x v="4"/>
    <x v="1"/>
    <x v="348"/>
    <x v="2"/>
    <x v="1"/>
    <x v="1"/>
    <x v="679"/>
    <x v="2"/>
    <x v="3"/>
    <x v="0"/>
    <x v="1"/>
    <x v="0"/>
    <x v="887"/>
    <x v="433"/>
    <x v="0"/>
  </r>
  <r>
    <x v="1538"/>
    <x v="718"/>
    <x v="696"/>
    <x v="691"/>
    <x v="1219"/>
    <x v="1"/>
    <x v="2"/>
    <x v="691"/>
    <x v="524"/>
    <x v="1"/>
    <x v="9"/>
    <x v="0"/>
    <x v="0"/>
    <x v="1"/>
    <x v="1"/>
    <x v="1"/>
    <x v="1"/>
    <x v="1"/>
    <x v="3"/>
    <x v="1"/>
    <x v="1"/>
    <x v="348"/>
    <x v="1"/>
    <x v="5"/>
    <x v="3"/>
    <x v="708"/>
    <x v="3"/>
    <x v="1"/>
    <x v="3"/>
    <x v="1"/>
    <x v="0"/>
    <x v="888"/>
    <x v="0"/>
    <x v="395"/>
  </r>
  <r>
    <x v="1539"/>
    <x v="719"/>
    <x v="697"/>
    <x v="692"/>
    <x v="1220"/>
    <x v="1"/>
    <x v="1"/>
    <x v="692"/>
    <x v="528"/>
    <x v="1"/>
    <x v="31"/>
    <x v="0"/>
    <x v="0"/>
    <x v="1"/>
    <x v="1"/>
    <x v="1"/>
    <x v="1"/>
    <x v="1"/>
    <x v="2"/>
    <x v="1"/>
    <x v="1"/>
    <x v="348"/>
    <x v="1"/>
    <x v="1"/>
    <x v="2"/>
    <x v="709"/>
    <x v="3"/>
    <x v="3"/>
    <x v="0"/>
    <x v="1"/>
    <x v="0"/>
    <x v="889"/>
    <x v="434"/>
    <x v="396"/>
  </r>
  <r>
    <x v="1540"/>
    <x v="632"/>
    <x v="617"/>
    <x v="611"/>
    <x v="1221"/>
    <x v="1"/>
    <x v="2"/>
    <x v="542"/>
    <x v="10"/>
    <x v="1"/>
    <x v="9"/>
    <x v="0"/>
    <x v="0"/>
    <x v="1"/>
    <x v="2"/>
    <x v="3"/>
    <x v="2"/>
    <x v="1"/>
    <x v="2"/>
    <x v="1"/>
    <x v="1"/>
    <x v="347"/>
    <x v="1"/>
    <x v="1"/>
    <x v="2"/>
    <x v="626"/>
    <x v="1"/>
    <x v="1"/>
    <x v="14"/>
    <x v="1"/>
    <x v="0"/>
    <x v="890"/>
    <x v="0"/>
    <x v="0"/>
  </r>
  <r>
    <x v="1541"/>
    <x v="720"/>
    <x v="698"/>
    <x v="693"/>
    <x v="1222"/>
    <x v="1"/>
    <x v="2"/>
    <x v="693"/>
    <x v="525"/>
    <x v="1"/>
    <x v="3"/>
    <x v="0"/>
    <x v="0"/>
    <x v="1"/>
    <x v="3"/>
    <x v="2"/>
    <x v="2"/>
    <x v="1"/>
    <x v="3"/>
    <x v="1"/>
    <x v="1"/>
    <x v="349"/>
    <x v="1"/>
    <x v="1"/>
    <x v="2"/>
    <x v="710"/>
    <x v="1"/>
    <x v="3"/>
    <x v="0"/>
    <x v="1"/>
    <x v="0"/>
    <x v="891"/>
    <x v="435"/>
    <x v="0"/>
  </r>
  <r>
    <x v="1542"/>
    <x v="718"/>
    <x v="696"/>
    <x v="691"/>
    <x v="1219"/>
    <x v="1"/>
    <x v="2"/>
    <x v="691"/>
    <x v="524"/>
    <x v="1"/>
    <x v="9"/>
    <x v="0"/>
    <x v="0"/>
    <x v="3"/>
    <x v="1"/>
    <x v="1"/>
    <x v="2"/>
    <x v="1"/>
    <x v="3"/>
    <x v="1"/>
    <x v="2"/>
    <x v="0"/>
    <x v="1"/>
    <x v="3"/>
    <x v="4"/>
    <x v="708"/>
    <x v="3"/>
    <x v="0"/>
    <x v="0"/>
    <x v="1"/>
    <x v="0"/>
    <x v="0"/>
    <x v="0"/>
    <x v="0"/>
  </r>
  <r>
    <x v="1543"/>
    <x v="721"/>
    <x v="699"/>
    <x v="694"/>
    <x v="1223"/>
    <x v="1"/>
    <x v="2"/>
    <x v="694"/>
    <x v="529"/>
    <x v="1"/>
    <x v="193"/>
    <x v="0"/>
    <x v="0"/>
    <x v="1"/>
    <x v="1"/>
    <x v="1"/>
    <x v="2"/>
    <x v="1"/>
    <x v="2"/>
    <x v="1"/>
    <x v="2"/>
    <x v="0"/>
    <x v="1"/>
    <x v="1"/>
    <x v="2"/>
    <x v="711"/>
    <x v="3"/>
    <x v="0"/>
    <x v="0"/>
    <x v="1"/>
    <x v="0"/>
    <x v="0"/>
    <x v="0"/>
    <x v="0"/>
  </r>
  <r>
    <x v="1544"/>
    <x v="340"/>
    <x v="340"/>
    <x v="335"/>
    <x v="1224"/>
    <x v="1"/>
    <x v="2"/>
    <x v="355"/>
    <x v="280"/>
    <x v="2"/>
    <x v="0"/>
    <x v="2"/>
    <x v="0"/>
    <x v="1"/>
    <x v="1"/>
    <x v="2"/>
    <x v="1"/>
    <x v="1"/>
    <x v="2"/>
    <x v="4"/>
    <x v="1"/>
    <x v="347"/>
    <x v="1"/>
    <x v="1"/>
    <x v="1"/>
    <x v="342"/>
    <x v="14"/>
    <x v="3"/>
    <x v="7"/>
    <x v="1"/>
    <x v="0"/>
    <x v="892"/>
    <x v="436"/>
    <x v="0"/>
  </r>
  <r>
    <x v="1545"/>
    <x v="696"/>
    <x v="677"/>
    <x v="672"/>
    <x v="1225"/>
    <x v="1"/>
    <x v="1"/>
    <x v="673"/>
    <x v="507"/>
    <x v="1"/>
    <x v="2"/>
    <x v="0"/>
    <x v="0"/>
    <x v="1"/>
    <x v="2"/>
    <x v="3"/>
    <x v="1"/>
    <x v="1"/>
    <x v="3"/>
    <x v="1"/>
    <x v="1"/>
    <x v="350"/>
    <x v="1"/>
    <x v="1"/>
    <x v="2"/>
    <x v="688"/>
    <x v="2"/>
    <x v="3"/>
    <x v="0"/>
    <x v="1"/>
    <x v="0"/>
    <x v="893"/>
    <x v="437"/>
    <x v="0"/>
  </r>
  <r>
    <x v="1546"/>
    <x v="722"/>
    <x v="700"/>
    <x v="695"/>
    <x v="1226"/>
    <x v="3"/>
    <x v="2"/>
    <x v="695"/>
    <x v="530"/>
    <x v="1"/>
    <x v="24"/>
    <x v="0"/>
    <x v="0"/>
    <x v="1"/>
    <x v="1"/>
    <x v="1"/>
    <x v="2"/>
    <x v="1"/>
    <x v="2"/>
    <x v="1"/>
    <x v="2"/>
    <x v="0"/>
    <x v="1"/>
    <x v="1"/>
    <x v="2"/>
    <x v="712"/>
    <x v="12"/>
    <x v="0"/>
    <x v="0"/>
    <x v="1"/>
    <x v="0"/>
    <x v="0"/>
    <x v="0"/>
    <x v="0"/>
  </r>
  <r>
    <x v="1547"/>
    <x v="702"/>
    <x v="682"/>
    <x v="677"/>
    <x v="0"/>
    <x v="1"/>
    <x v="2"/>
    <x v="678"/>
    <x v="514"/>
    <x v="1"/>
    <x v="27"/>
    <x v="0"/>
    <x v="0"/>
    <x v="3"/>
    <x v="1"/>
    <x v="1"/>
    <x v="2"/>
    <x v="1"/>
    <x v="3"/>
    <x v="1"/>
    <x v="2"/>
    <x v="0"/>
    <x v="2"/>
    <x v="3"/>
    <x v="4"/>
    <x v="706"/>
    <x v="15"/>
    <x v="0"/>
    <x v="0"/>
    <x v="1"/>
    <x v="0"/>
    <x v="0"/>
    <x v="0"/>
    <x v="0"/>
  </r>
  <r>
    <x v="1548"/>
    <x v="689"/>
    <x v="670"/>
    <x v="665"/>
    <x v="1227"/>
    <x v="1"/>
    <x v="2"/>
    <x v="667"/>
    <x v="531"/>
    <x v="1"/>
    <x v="9"/>
    <x v="0"/>
    <x v="0"/>
    <x v="1"/>
    <x v="1"/>
    <x v="1"/>
    <x v="2"/>
    <x v="1"/>
    <x v="2"/>
    <x v="1"/>
    <x v="1"/>
    <x v="350"/>
    <x v="1"/>
    <x v="1"/>
    <x v="2"/>
    <x v="681"/>
    <x v="12"/>
    <x v="1"/>
    <x v="13"/>
    <x v="2"/>
    <x v="1"/>
    <x v="894"/>
    <x v="438"/>
    <x v="397"/>
  </r>
  <r>
    <x v="1549"/>
    <x v="723"/>
    <x v="701"/>
    <x v="696"/>
    <x v="1228"/>
    <x v="1"/>
    <x v="2"/>
    <x v="696"/>
    <x v="353"/>
    <x v="1"/>
    <x v="24"/>
    <x v="0"/>
    <x v="0"/>
    <x v="1"/>
    <x v="3"/>
    <x v="2"/>
    <x v="1"/>
    <x v="1"/>
    <x v="3"/>
    <x v="1"/>
    <x v="1"/>
    <x v="350"/>
    <x v="1"/>
    <x v="1"/>
    <x v="2"/>
    <x v="713"/>
    <x v="2"/>
    <x v="3"/>
    <x v="0"/>
    <x v="1"/>
    <x v="0"/>
    <x v="895"/>
    <x v="439"/>
    <x v="0"/>
  </r>
  <r>
    <x v="1550"/>
    <x v="632"/>
    <x v="617"/>
    <x v="611"/>
    <x v="0"/>
    <x v="1"/>
    <x v="2"/>
    <x v="542"/>
    <x v="10"/>
    <x v="1"/>
    <x v="9"/>
    <x v="0"/>
    <x v="0"/>
    <x v="3"/>
    <x v="4"/>
    <x v="1"/>
    <x v="2"/>
    <x v="1"/>
    <x v="3"/>
    <x v="1"/>
    <x v="1"/>
    <x v="350"/>
    <x v="2"/>
    <x v="3"/>
    <x v="4"/>
    <x v="626"/>
    <x v="15"/>
    <x v="1"/>
    <x v="13"/>
    <x v="2"/>
    <x v="1"/>
    <x v="896"/>
    <x v="0"/>
    <x v="0"/>
  </r>
  <r>
    <x v="1551"/>
    <x v="724"/>
    <x v="702"/>
    <x v="697"/>
    <x v="1229"/>
    <x v="1"/>
    <x v="3"/>
    <x v="697"/>
    <x v="436"/>
    <x v="1"/>
    <x v="302"/>
    <x v="0"/>
    <x v="0"/>
    <x v="1"/>
    <x v="1"/>
    <x v="3"/>
    <x v="1"/>
    <x v="1"/>
    <x v="1"/>
    <x v="1"/>
    <x v="1"/>
    <x v="350"/>
    <x v="2"/>
    <x v="5"/>
    <x v="2"/>
    <x v="714"/>
    <x v="12"/>
    <x v="1"/>
    <x v="13"/>
    <x v="2"/>
    <x v="1"/>
    <x v="897"/>
    <x v="0"/>
    <x v="398"/>
  </r>
  <r>
    <x v="1552"/>
    <x v="725"/>
    <x v="703"/>
    <x v="698"/>
    <x v="1230"/>
    <x v="1"/>
    <x v="2"/>
    <x v="427"/>
    <x v="532"/>
    <x v="1"/>
    <x v="120"/>
    <x v="0"/>
    <x v="0"/>
    <x v="1"/>
    <x v="1"/>
    <x v="4"/>
    <x v="2"/>
    <x v="1"/>
    <x v="1"/>
    <x v="1"/>
    <x v="1"/>
    <x v="351"/>
    <x v="1"/>
    <x v="6"/>
    <x v="3"/>
    <x v="715"/>
    <x v="14"/>
    <x v="3"/>
    <x v="0"/>
    <x v="1"/>
    <x v="0"/>
    <x v="898"/>
    <x v="440"/>
    <x v="0"/>
  </r>
  <r>
    <x v="1553"/>
    <x v="726"/>
    <x v="704"/>
    <x v="699"/>
    <x v="1231"/>
    <x v="3"/>
    <x v="2"/>
    <x v="698"/>
    <x v="338"/>
    <x v="1"/>
    <x v="273"/>
    <x v="0"/>
    <x v="0"/>
    <x v="1"/>
    <x v="1"/>
    <x v="1"/>
    <x v="2"/>
    <x v="1"/>
    <x v="2"/>
    <x v="1"/>
    <x v="2"/>
    <x v="0"/>
    <x v="1"/>
    <x v="4"/>
    <x v="3"/>
    <x v="716"/>
    <x v="14"/>
    <x v="0"/>
    <x v="0"/>
    <x v="1"/>
    <x v="0"/>
    <x v="0"/>
    <x v="0"/>
    <x v="0"/>
  </r>
  <r>
    <x v="1554"/>
    <x v="632"/>
    <x v="617"/>
    <x v="611"/>
    <x v="0"/>
    <x v="1"/>
    <x v="2"/>
    <x v="542"/>
    <x v="10"/>
    <x v="1"/>
    <x v="9"/>
    <x v="0"/>
    <x v="0"/>
    <x v="3"/>
    <x v="1"/>
    <x v="1"/>
    <x v="2"/>
    <x v="1"/>
    <x v="1"/>
    <x v="1"/>
    <x v="1"/>
    <x v="351"/>
    <x v="2"/>
    <x v="3"/>
    <x v="4"/>
    <x v="626"/>
    <x v="14"/>
    <x v="3"/>
    <x v="0"/>
    <x v="1"/>
    <x v="0"/>
    <x v="898"/>
    <x v="440"/>
    <x v="0"/>
  </r>
  <r>
    <x v="1555"/>
    <x v="724"/>
    <x v="702"/>
    <x v="697"/>
    <x v="0"/>
    <x v="1"/>
    <x v="3"/>
    <x v="697"/>
    <x v="436"/>
    <x v="1"/>
    <x v="303"/>
    <x v="0"/>
    <x v="0"/>
    <x v="3"/>
    <x v="3"/>
    <x v="3"/>
    <x v="2"/>
    <x v="1"/>
    <x v="1"/>
    <x v="1"/>
    <x v="1"/>
    <x v="351"/>
    <x v="2"/>
    <x v="3"/>
    <x v="4"/>
    <x v="714"/>
    <x v="14"/>
    <x v="3"/>
    <x v="0"/>
    <x v="1"/>
    <x v="0"/>
    <x v="898"/>
    <x v="440"/>
    <x v="0"/>
  </r>
  <r>
    <x v="1556"/>
    <x v="689"/>
    <x v="670"/>
    <x v="665"/>
    <x v="1232"/>
    <x v="1"/>
    <x v="2"/>
    <x v="667"/>
    <x v="533"/>
    <x v="1"/>
    <x v="9"/>
    <x v="0"/>
    <x v="0"/>
    <x v="3"/>
    <x v="1"/>
    <x v="2"/>
    <x v="2"/>
    <x v="1"/>
    <x v="2"/>
    <x v="1"/>
    <x v="1"/>
    <x v="349"/>
    <x v="1"/>
    <x v="3"/>
    <x v="4"/>
    <x v="681"/>
    <x v="14"/>
    <x v="3"/>
    <x v="0"/>
    <x v="1"/>
    <x v="0"/>
    <x v="899"/>
    <x v="441"/>
    <x v="0"/>
  </r>
  <r>
    <x v="1557"/>
    <x v="727"/>
    <x v="705"/>
    <x v="700"/>
    <x v="1233"/>
    <x v="3"/>
    <x v="2"/>
    <x v="699"/>
    <x v="10"/>
    <x v="1"/>
    <x v="15"/>
    <x v="0"/>
    <x v="0"/>
    <x v="1"/>
    <x v="1"/>
    <x v="1"/>
    <x v="2"/>
    <x v="1"/>
    <x v="2"/>
    <x v="1"/>
    <x v="1"/>
    <x v="351"/>
    <x v="1"/>
    <x v="6"/>
    <x v="3"/>
    <x v="717"/>
    <x v="14"/>
    <x v="3"/>
    <x v="0"/>
    <x v="1"/>
    <x v="0"/>
    <x v="898"/>
    <x v="440"/>
    <x v="0"/>
  </r>
  <r>
    <x v="1558"/>
    <x v="728"/>
    <x v="706"/>
    <x v="701"/>
    <x v="1234"/>
    <x v="1"/>
    <x v="2"/>
    <x v="700"/>
    <x v="534"/>
    <x v="1"/>
    <x v="31"/>
    <x v="0"/>
    <x v="0"/>
    <x v="1"/>
    <x v="2"/>
    <x v="3"/>
    <x v="2"/>
    <x v="1"/>
    <x v="2"/>
    <x v="1"/>
    <x v="1"/>
    <x v="351"/>
    <x v="2"/>
    <x v="6"/>
    <x v="3"/>
    <x v="718"/>
    <x v="14"/>
    <x v="3"/>
    <x v="0"/>
    <x v="1"/>
    <x v="0"/>
    <x v="898"/>
    <x v="442"/>
    <x v="0"/>
  </r>
  <r>
    <x v="1559"/>
    <x v="384"/>
    <x v="384"/>
    <x v="379"/>
    <x v="1235"/>
    <x v="3"/>
    <x v="2"/>
    <x v="399"/>
    <x v="308"/>
    <x v="1"/>
    <x v="33"/>
    <x v="0"/>
    <x v="0"/>
    <x v="1"/>
    <x v="3"/>
    <x v="3"/>
    <x v="2"/>
    <x v="1"/>
    <x v="2"/>
    <x v="1"/>
    <x v="1"/>
    <x v="349"/>
    <x v="1"/>
    <x v="6"/>
    <x v="2"/>
    <x v="387"/>
    <x v="12"/>
    <x v="3"/>
    <x v="0"/>
    <x v="1"/>
    <x v="0"/>
    <x v="900"/>
    <x v="443"/>
    <x v="0"/>
  </r>
  <r>
    <x v="1560"/>
    <x v="729"/>
    <x v="707"/>
    <x v="702"/>
    <x v="1236"/>
    <x v="1"/>
    <x v="2"/>
    <x v="701"/>
    <x v="535"/>
    <x v="1"/>
    <x v="3"/>
    <x v="0"/>
    <x v="0"/>
    <x v="1"/>
    <x v="3"/>
    <x v="2"/>
    <x v="2"/>
    <x v="1"/>
    <x v="2"/>
    <x v="1"/>
    <x v="1"/>
    <x v="349"/>
    <x v="2"/>
    <x v="6"/>
    <x v="2"/>
    <x v="719"/>
    <x v="12"/>
    <x v="1"/>
    <x v="7"/>
    <x v="1"/>
    <x v="0"/>
    <x v="901"/>
    <x v="444"/>
    <x v="0"/>
  </r>
  <r>
    <x v="1561"/>
    <x v="726"/>
    <x v="704"/>
    <x v="699"/>
    <x v="1237"/>
    <x v="3"/>
    <x v="1"/>
    <x v="698"/>
    <x v="338"/>
    <x v="1"/>
    <x v="304"/>
    <x v="0"/>
    <x v="0"/>
    <x v="1"/>
    <x v="3"/>
    <x v="3"/>
    <x v="2"/>
    <x v="1"/>
    <x v="2"/>
    <x v="1"/>
    <x v="1"/>
    <x v="349"/>
    <x v="1"/>
    <x v="6"/>
    <x v="2"/>
    <x v="720"/>
    <x v="12"/>
    <x v="3"/>
    <x v="0"/>
    <x v="1"/>
    <x v="0"/>
    <x v="902"/>
    <x v="445"/>
    <x v="270"/>
  </r>
  <r>
    <x v="1562"/>
    <x v="730"/>
    <x v="708"/>
    <x v="703"/>
    <x v="1238"/>
    <x v="1"/>
    <x v="2"/>
    <x v="702"/>
    <x v="298"/>
    <x v="1"/>
    <x v="305"/>
    <x v="0"/>
    <x v="0"/>
    <x v="1"/>
    <x v="1"/>
    <x v="1"/>
    <x v="2"/>
    <x v="1"/>
    <x v="2"/>
    <x v="1"/>
    <x v="2"/>
    <x v="0"/>
    <x v="1"/>
    <x v="6"/>
    <x v="2"/>
    <x v="721"/>
    <x v="12"/>
    <x v="0"/>
    <x v="0"/>
    <x v="1"/>
    <x v="0"/>
    <x v="0"/>
    <x v="0"/>
    <x v="399"/>
  </r>
  <r>
    <x v="1563"/>
    <x v="708"/>
    <x v="687"/>
    <x v="682"/>
    <x v="1239"/>
    <x v="1"/>
    <x v="1"/>
    <x v="683"/>
    <x v="196"/>
    <x v="6"/>
    <x v="0"/>
    <x v="0"/>
    <x v="16"/>
    <x v="1"/>
    <x v="3"/>
    <x v="3"/>
    <x v="1"/>
    <x v="1"/>
    <x v="2"/>
    <x v="1"/>
    <x v="1"/>
    <x v="352"/>
    <x v="1"/>
    <x v="1"/>
    <x v="2"/>
    <x v="698"/>
    <x v="12"/>
    <x v="3"/>
    <x v="0"/>
    <x v="1"/>
    <x v="0"/>
    <x v="903"/>
    <x v="446"/>
    <x v="0"/>
  </r>
  <r>
    <x v="1564"/>
    <x v="731"/>
    <x v="709"/>
    <x v="704"/>
    <x v="1240"/>
    <x v="1"/>
    <x v="2"/>
    <x v="703"/>
    <x v="536"/>
    <x v="1"/>
    <x v="27"/>
    <x v="0"/>
    <x v="0"/>
    <x v="1"/>
    <x v="2"/>
    <x v="5"/>
    <x v="2"/>
    <x v="1"/>
    <x v="2"/>
    <x v="1"/>
    <x v="1"/>
    <x v="352"/>
    <x v="1"/>
    <x v="1"/>
    <x v="2"/>
    <x v="722"/>
    <x v="3"/>
    <x v="1"/>
    <x v="3"/>
    <x v="2"/>
    <x v="1"/>
    <x v="904"/>
    <x v="0"/>
    <x v="0"/>
  </r>
  <r>
    <x v="1565"/>
    <x v="732"/>
    <x v="710"/>
    <x v="705"/>
    <x v="1241"/>
    <x v="1"/>
    <x v="2"/>
    <x v="704"/>
    <x v="537"/>
    <x v="6"/>
    <x v="0"/>
    <x v="0"/>
    <x v="33"/>
    <x v="1"/>
    <x v="1"/>
    <x v="1"/>
    <x v="2"/>
    <x v="1"/>
    <x v="2"/>
    <x v="1"/>
    <x v="2"/>
    <x v="0"/>
    <x v="1"/>
    <x v="1"/>
    <x v="2"/>
    <x v="723"/>
    <x v="15"/>
    <x v="0"/>
    <x v="0"/>
    <x v="1"/>
    <x v="0"/>
    <x v="0"/>
    <x v="0"/>
    <x v="0"/>
  </r>
  <r>
    <x v="1566"/>
    <x v="733"/>
    <x v="711"/>
    <x v="706"/>
    <x v="1242"/>
    <x v="1"/>
    <x v="2"/>
    <x v="126"/>
    <x v="538"/>
    <x v="12"/>
    <x v="0"/>
    <x v="0"/>
    <x v="0"/>
    <x v="1"/>
    <x v="1"/>
    <x v="4"/>
    <x v="2"/>
    <x v="1"/>
    <x v="3"/>
    <x v="1"/>
    <x v="2"/>
    <x v="0"/>
    <x v="1"/>
    <x v="5"/>
    <x v="2"/>
    <x v="724"/>
    <x v="3"/>
    <x v="0"/>
    <x v="0"/>
    <x v="1"/>
    <x v="0"/>
    <x v="0"/>
    <x v="0"/>
    <x v="0"/>
  </r>
  <r>
    <x v="1567"/>
    <x v="729"/>
    <x v="707"/>
    <x v="702"/>
    <x v="0"/>
    <x v="1"/>
    <x v="2"/>
    <x v="701"/>
    <x v="535"/>
    <x v="1"/>
    <x v="3"/>
    <x v="0"/>
    <x v="0"/>
    <x v="3"/>
    <x v="3"/>
    <x v="2"/>
    <x v="2"/>
    <x v="1"/>
    <x v="2"/>
    <x v="1"/>
    <x v="2"/>
    <x v="0"/>
    <x v="2"/>
    <x v="3"/>
    <x v="4"/>
    <x v="719"/>
    <x v="12"/>
    <x v="0"/>
    <x v="0"/>
    <x v="1"/>
    <x v="0"/>
    <x v="0"/>
    <x v="0"/>
    <x v="0"/>
  </r>
  <r>
    <x v="1568"/>
    <x v="731"/>
    <x v="709"/>
    <x v="704"/>
    <x v="1243"/>
    <x v="1"/>
    <x v="2"/>
    <x v="703"/>
    <x v="536"/>
    <x v="1"/>
    <x v="27"/>
    <x v="0"/>
    <x v="0"/>
    <x v="3"/>
    <x v="4"/>
    <x v="1"/>
    <x v="1"/>
    <x v="1"/>
    <x v="2"/>
    <x v="1"/>
    <x v="2"/>
    <x v="0"/>
    <x v="1"/>
    <x v="3"/>
    <x v="4"/>
    <x v="722"/>
    <x v="3"/>
    <x v="0"/>
    <x v="0"/>
    <x v="1"/>
    <x v="0"/>
    <x v="0"/>
    <x v="0"/>
    <x v="0"/>
  </r>
  <r>
    <x v="1569"/>
    <x v="734"/>
    <x v="712"/>
    <x v="707"/>
    <x v="1244"/>
    <x v="3"/>
    <x v="2"/>
    <x v="705"/>
    <x v="335"/>
    <x v="1"/>
    <x v="33"/>
    <x v="0"/>
    <x v="0"/>
    <x v="1"/>
    <x v="3"/>
    <x v="3"/>
    <x v="2"/>
    <x v="1"/>
    <x v="2"/>
    <x v="1"/>
    <x v="1"/>
    <x v="353"/>
    <x v="1"/>
    <x v="1"/>
    <x v="2"/>
    <x v="725"/>
    <x v="15"/>
    <x v="3"/>
    <x v="13"/>
    <x v="1"/>
    <x v="0"/>
    <x v="905"/>
    <x v="447"/>
    <x v="0"/>
  </r>
  <r>
    <x v="1570"/>
    <x v="735"/>
    <x v="713"/>
    <x v="708"/>
    <x v="1245"/>
    <x v="1"/>
    <x v="2"/>
    <x v="706"/>
    <x v="10"/>
    <x v="1"/>
    <x v="298"/>
    <x v="0"/>
    <x v="0"/>
    <x v="1"/>
    <x v="1"/>
    <x v="1"/>
    <x v="2"/>
    <x v="1"/>
    <x v="3"/>
    <x v="1"/>
    <x v="1"/>
    <x v="352"/>
    <x v="1"/>
    <x v="1"/>
    <x v="2"/>
    <x v="726"/>
    <x v="1"/>
    <x v="1"/>
    <x v="4"/>
    <x v="2"/>
    <x v="1"/>
    <x v="906"/>
    <x v="0"/>
    <x v="0"/>
  </r>
  <r>
    <x v="1571"/>
    <x v="735"/>
    <x v="713"/>
    <x v="708"/>
    <x v="1246"/>
    <x v="1"/>
    <x v="2"/>
    <x v="706"/>
    <x v="10"/>
    <x v="1"/>
    <x v="222"/>
    <x v="0"/>
    <x v="0"/>
    <x v="3"/>
    <x v="1"/>
    <x v="1"/>
    <x v="2"/>
    <x v="1"/>
    <x v="3"/>
    <x v="1"/>
    <x v="1"/>
    <x v="354"/>
    <x v="1"/>
    <x v="3"/>
    <x v="4"/>
    <x v="726"/>
    <x v="1"/>
    <x v="3"/>
    <x v="0"/>
    <x v="1"/>
    <x v="0"/>
    <x v="907"/>
    <x v="448"/>
    <x v="400"/>
  </r>
  <r>
    <x v="1572"/>
    <x v="736"/>
    <x v="714"/>
    <x v="709"/>
    <x v="1247"/>
    <x v="1"/>
    <x v="1"/>
    <x v="707"/>
    <x v="524"/>
    <x v="1"/>
    <x v="3"/>
    <x v="0"/>
    <x v="0"/>
    <x v="1"/>
    <x v="1"/>
    <x v="2"/>
    <x v="2"/>
    <x v="1"/>
    <x v="3"/>
    <x v="1"/>
    <x v="1"/>
    <x v="353"/>
    <x v="1"/>
    <x v="5"/>
    <x v="2"/>
    <x v="727"/>
    <x v="5"/>
    <x v="3"/>
    <x v="13"/>
    <x v="1"/>
    <x v="0"/>
    <x v="908"/>
    <x v="449"/>
    <x v="0"/>
  </r>
  <r>
    <x v="1573"/>
    <x v="362"/>
    <x v="362"/>
    <x v="357"/>
    <x v="1248"/>
    <x v="1"/>
    <x v="2"/>
    <x v="381"/>
    <x v="539"/>
    <x v="1"/>
    <x v="50"/>
    <x v="0"/>
    <x v="0"/>
    <x v="1"/>
    <x v="3"/>
    <x v="2"/>
    <x v="1"/>
    <x v="1"/>
    <x v="2"/>
    <x v="1"/>
    <x v="1"/>
    <x v="355"/>
    <x v="2"/>
    <x v="5"/>
    <x v="2"/>
    <x v="364"/>
    <x v="3"/>
    <x v="3"/>
    <x v="0"/>
    <x v="1"/>
    <x v="0"/>
    <x v="909"/>
    <x v="0"/>
    <x v="0"/>
  </r>
  <r>
    <x v="1574"/>
    <x v="737"/>
    <x v="715"/>
    <x v="710"/>
    <x v="1249"/>
    <x v="3"/>
    <x v="2"/>
    <x v="708"/>
    <x v="540"/>
    <x v="1"/>
    <x v="15"/>
    <x v="0"/>
    <x v="0"/>
    <x v="1"/>
    <x v="1"/>
    <x v="1"/>
    <x v="1"/>
    <x v="1"/>
    <x v="3"/>
    <x v="1"/>
    <x v="2"/>
    <x v="0"/>
    <x v="1"/>
    <x v="1"/>
    <x v="2"/>
    <x v="728"/>
    <x v="1"/>
    <x v="0"/>
    <x v="0"/>
    <x v="1"/>
    <x v="0"/>
    <x v="0"/>
    <x v="0"/>
    <x v="0"/>
  </r>
  <r>
    <x v="1575"/>
    <x v="509"/>
    <x v="501"/>
    <x v="493"/>
    <x v="1250"/>
    <x v="1"/>
    <x v="2"/>
    <x v="513"/>
    <x v="10"/>
    <x v="1"/>
    <x v="306"/>
    <x v="0"/>
    <x v="0"/>
    <x v="1"/>
    <x v="1"/>
    <x v="1"/>
    <x v="2"/>
    <x v="1"/>
    <x v="1"/>
    <x v="1"/>
    <x v="1"/>
    <x v="355"/>
    <x v="1"/>
    <x v="1"/>
    <x v="2"/>
    <x v="503"/>
    <x v="14"/>
    <x v="1"/>
    <x v="1"/>
    <x v="1"/>
    <x v="0"/>
    <x v="910"/>
    <x v="450"/>
    <x v="0"/>
  </r>
  <r>
    <x v="1576"/>
    <x v="738"/>
    <x v="716"/>
    <x v="711"/>
    <x v="1251"/>
    <x v="1"/>
    <x v="2"/>
    <x v="709"/>
    <x v="10"/>
    <x v="1"/>
    <x v="307"/>
    <x v="0"/>
    <x v="0"/>
    <x v="1"/>
    <x v="1"/>
    <x v="1"/>
    <x v="2"/>
    <x v="1"/>
    <x v="1"/>
    <x v="1"/>
    <x v="2"/>
    <x v="0"/>
    <x v="1"/>
    <x v="1"/>
    <x v="2"/>
    <x v="729"/>
    <x v="14"/>
    <x v="0"/>
    <x v="0"/>
    <x v="1"/>
    <x v="0"/>
    <x v="0"/>
    <x v="0"/>
    <x v="0"/>
  </r>
  <r>
    <x v="1577"/>
    <x v="739"/>
    <x v="717"/>
    <x v="712"/>
    <x v="1252"/>
    <x v="3"/>
    <x v="2"/>
    <x v="40"/>
    <x v="10"/>
    <x v="1"/>
    <x v="2"/>
    <x v="0"/>
    <x v="0"/>
    <x v="1"/>
    <x v="1"/>
    <x v="1"/>
    <x v="2"/>
    <x v="1"/>
    <x v="3"/>
    <x v="1"/>
    <x v="1"/>
    <x v="353"/>
    <x v="1"/>
    <x v="1"/>
    <x v="2"/>
    <x v="730"/>
    <x v="1"/>
    <x v="1"/>
    <x v="4"/>
    <x v="2"/>
    <x v="1"/>
    <x v="911"/>
    <x v="451"/>
    <x v="401"/>
  </r>
  <r>
    <x v="1578"/>
    <x v="739"/>
    <x v="717"/>
    <x v="712"/>
    <x v="1253"/>
    <x v="3"/>
    <x v="2"/>
    <x v="40"/>
    <x v="10"/>
    <x v="1"/>
    <x v="2"/>
    <x v="0"/>
    <x v="0"/>
    <x v="3"/>
    <x v="1"/>
    <x v="1"/>
    <x v="2"/>
    <x v="1"/>
    <x v="3"/>
    <x v="1"/>
    <x v="2"/>
    <x v="0"/>
    <x v="1"/>
    <x v="3"/>
    <x v="4"/>
    <x v="730"/>
    <x v="1"/>
    <x v="0"/>
    <x v="0"/>
    <x v="1"/>
    <x v="0"/>
    <x v="0"/>
    <x v="0"/>
    <x v="0"/>
  </r>
  <r>
    <x v="1579"/>
    <x v="740"/>
    <x v="718"/>
    <x v="713"/>
    <x v="1254"/>
    <x v="1"/>
    <x v="2"/>
    <x v="710"/>
    <x v="426"/>
    <x v="1"/>
    <x v="3"/>
    <x v="0"/>
    <x v="0"/>
    <x v="1"/>
    <x v="1"/>
    <x v="2"/>
    <x v="2"/>
    <x v="1"/>
    <x v="2"/>
    <x v="1"/>
    <x v="1"/>
    <x v="356"/>
    <x v="1"/>
    <x v="1"/>
    <x v="1"/>
    <x v="731"/>
    <x v="14"/>
    <x v="3"/>
    <x v="0"/>
    <x v="1"/>
    <x v="0"/>
    <x v="912"/>
    <x v="452"/>
    <x v="0"/>
  </r>
  <r>
    <x v="1580"/>
    <x v="509"/>
    <x v="501"/>
    <x v="493"/>
    <x v="0"/>
    <x v="1"/>
    <x v="3"/>
    <x v="513"/>
    <x v="375"/>
    <x v="1"/>
    <x v="8"/>
    <x v="0"/>
    <x v="0"/>
    <x v="3"/>
    <x v="1"/>
    <x v="1"/>
    <x v="2"/>
    <x v="1"/>
    <x v="2"/>
    <x v="1"/>
    <x v="2"/>
    <x v="0"/>
    <x v="2"/>
    <x v="3"/>
    <x v="4"/>
    <x v="503"/>
    <x v="5"/>
    <x v="0"/>
    <x v="0"/>
    <x v="1"/>
    <x v="0"/>
    <x v="0"/>
    <x v="0"/>
    <x v="0"/>
  </r>
  <r>
    <x v="1581"/>
    <x v="658"/>
    <x v="642"/>
    <x v="637"/>
    <x v="1255"/>
    <x v="3"/>
    <x v="1"/>
    <x v="638"/>
    <x v="10"/>
    <x v="1"/>
    <x v="31"/>
    <x v="0"/>
    <x v="0"/>
    <x v="1"/>
    <x v="2"/>
    <x v="3"/>
    <x v="2"/>
    <x v="1"/>
    <x v="2"/>
    <x v="1"/>
    <x v="1"/>
    <x v="354"/>
    <x v="1"/>
    <x v="1"/>
    <x v="2"/>
    <x v="652"/>
    <x v="14"/>
    <x v="3"/>
    <x v="0"/>
    <x v="1"/>
    <x v="0"/>
    <x v="913"/>
    <x v="453"/>
    <x v="402"/>
  </r>
  <r>
    <x v="1582"/>
    <x v="301"/>
    <x v="719"/>
    <x v="297"/>
    <x v="1256"/>
    <x v="1"/>
    <x v="2"/>
    <x v="315"/>
    <x v="384"/>
    <x v="6"/>
    <x v="0"/>
    <x v="0"/>
    <x v="10"/>
    <x v="1"/>
    <x v="3"/>
    <x v="3"/>
    <x v="2"/>
    <x v="1"/>
    <x v="2"/>
    <x v="1"/>
    <x v="1"/>
    <x v="354"/>
    <x v="1"/>
    <x v="5"/>
    <x v="3"/>
    <x v="303"/>
    <x v="14"/>
    <x v="3"/>
    <x v="0"/>
    <x v="1"/>
    <x v="0"/>
    <x v="914"/>
    <x v="454"/>
    <x v="403"/>
  </r>
  <r>
    <x v="1583"/>
    <x v="729"/>
    <x v="707"/>
    <x v="702"/>
    <x v="1257"/>
    <x v="1"/>
    <x v="2"/>
    <x v="701"/>
    <x v="535"/>
    <x v="1"/>
    <x v="4"/>
    <x v="0"/>
    <x v="0"/>
    <x v="1"/>
    <x v="1"/>
    <x v="1"/>
    <x v="2"/>
    <x v="1"/>
    <x v="2"/>
    <x v="1"/>
    <x v="1"/>
    <x v="355"/>
    <x v="1"/>
    <x v="5"/>
    <x v="2"/>
    <x v="719"/>
    <x v="5"/>
    <x v="1"/>
    <x v="1"/>
    <x v="1"/>
    <x v="0"/>
    <x v="915"/>
    <x v="0"/>
    <x v="0"/>
  </r>
  <r>
    <x v="1584"/>
    <x v="729"/>
    <x v="707"/>
    <x v="702"/>
    <x v="1257"/>
    <x v="1"/>
    <x v="2"/>
    <x v="701"/>
    <x v="535"/>
    <x v="1"/>
    <x v="4"/>
    <x v="0"/>
    <x v="0"/>
    <x v="3"/>
    <x v="1"/>
    <x v="1"/>
    <x v="2"/>
    <x v="1"/>
    <x v="2"/>
    <x v="1"/>
    <x v="2"/>
    <x v="0"/>
    <x v="1"/>
    <x v="3"/>
    <x v="4"/>
    <x v="719"/>
    <x v="5"/>
    <x v="0"/>
    <x v="0"/>
    <x v="1"/>
    <x v="0"/>
    <x v="0"/>
    <x v="0"/>
    <x v="0"/>
  </r>
  <r>
    <x v="1585"/>
    <x v="741"/>
    <x v="720"/>
    <x v="714"/>
    <x v="1258"/>
    <x v="3"/>
    <x v="2"/>
    <x v="711"/>
    <x v="352"/>
    <x v="1"/>
    <x v="308"/>
    <x v="0"/>
    <x v="0"/>
    <x v="1"/>
    <x v="1"/>
    <x v="1"/>
    <x v="2"/>
    <x v="1"/>
    <x v="2"/>
    <x v="1"/>
    <x v="1"/>
    <x v="354"/>
    <x v="1"/>
    <x v="6"/>
    <x v="3"/>
    <x v="732"/>
    <x v="3"/>
    <x v="1"/>
    <x v="3"/>
    <x v="1"/>
    <x v="0"/>
    <x v="916"/>
    <x v="0"/>
    <x v="404"/>
  </r>
  <r>
    <x v="1586"/>
    <x v="742"/>
    <x v="721"/>
    <x v="715"/>
    <x v="1259"/>
    <x v="1"/>
    <x v="3"/>
    <x v="712"/>
    <x v="384"/>
    <x v="6"/>
    <x v="0"/>
    <x v="0"/>
    <x v="34"/>
    <x v="1"/>
    <x v="1"/>
    <x v="2"/>
    <x v="2"/>
    <x v="1"/>
    <x v="2"/>
    <x v="1"/>
    <x v="1"/>
    <x v="357"/>
    <x v="1"/>
    <x v="6"/>
    <x v="3"/>
    <x v="733"/>
    <x v="14"/>
    <x v="3"/>
    <x v="0"/>
    <x v="1"/>
    <x v="0"/>
    <x v="917"/>
    <x v="455"/>
    <x v="0"/>
  </r>
  <r>
    <x v="1587"/>
    <x v="743"/>
    <x v="633"/>
    <x v="627"/>
    <x v="1260"/>
    <x v="1"/>
    <x v="2"/>
    <x v="631"/>
    <x v="10"/>
    <x v="1"/>
    <x v="22"/>
    <x v="0"/>
    <x v="0"/>
    <x v="1"/>
    <x v="1"/>
    <x v="3"/>
    <x v="2"/>
    <x v="1"/>
    <x v="2"/>
    <x v="1"/>
    <x v="1"/>
    <x v="356"/>
    <x v="1"/>
    <x v="6"/>
    <x v="3"/>
    <x v="643"/>
    <x v="14"/>
    <x v="1"/>
    <x v="1"/>
    <x v="1"/>
    <x v="0"/>
    <x v="918"/>
    <x v="0"/>
    <x v="0"/>
  </r>
  <r>
    <x v="1588"/>
    <x v="744"/>
    <x v="722"/>
    <x v="716"/>
    <x v="1261"/>
    <x v="1"/>
    <x v="1"/>
    <x v="713"/>
    <x v="196"/>
    <x v="6"/>
    <x v="0"/>
    <x v="0"/>
    <x v="10"/>
    <x v="1"/>
    <x v="1"/>
    <x v="1"/>
    <x v="2"/>
    <x v="2"/>
    <x v="2"/>
    <x v="1"/>
    <x v="1"/>
    <x v="358"/>
    <x v="1"/>
    <x v="6"/>
    <x v="2"/>
    <x v="734"/>
    <x v="12"/>
    <x v="1"/>
    <x v="3"/>
    <x v="2"/>
    <x v="1"/>
    <x v="919"/>
    <x v="0"/>
    <x v="405"/>
  </r>
  <r>
    <x v="1589"/>
    <x v="745"/>
    <x v="723"/>
    <x v="717"/>
    <x v="1262"/>
    <x v="1"/>
    <x v="2"/>
    <x v="714"/>
    <x v="533"/>
    <x v="1"/>
    <x v="3"/>
    <x v="0"/>
    <x v="0"/>
    <x v="1"/>
    <x v="1"/>
    <x v="1"/>
    <x v="2"/>
    <x v="1"/>
    <x v="2"/>
    <x v="1"/>
    <x v="2"/>
    <x v="0"/>
    <x v="1"/>
    <x v="6"/>
    <x v="2"/>
    <x v="735"/>
    <x v="12"/>
    <x v="0"/>
    <x v="0"/>
    <x v="1"/>
    <x v="0"/>
    <x v="0"/>
    <x v="0"/>
    <x v="0"/>
  </r>
  <r>
    <x v="1590"/>
    <x v="743"/>
    <x v="633"/>
    <x v="627"/>
    <x v="0"/>
    <x v="1"/>
    <x v="2"/>
    <x v="631"/>
    <x v="541"/>
    <x v="1"/>
    <x v="22"/>
    <x v="0"/>
    <x v="0"/>
    <x v="3"/>
    <x v="1"/>
    <x v="1"/>
    <x v="2"/>
    <x v="1"/>
    <x v="2"/>
    <x v="1"/>
    <x v="1"/>
    <x v="359"/>
    <x v="2"/>
    <x v="3"/>
    <x v="4"/>
    <x v="643"/>
    <x v="5"/>
    <x v="0"/>
    <x v="0"/>
    <x v="1"/>
    <x v="0"/>
    <x v="498"/>
    <x v="0"/>
    <x v="0"/>
  </r>
  <r>
    <x v="1591"/>
    <x v="746"/>
    <x v="724"/>
    <x v="718"/>
    <x v="1263"/>
    <x v="3"/>
    <x v="2"/>
    <x v="715"/>
    <x v="280"/>
    <x v="1"/>
    <x v="9"/>
    <x v="0"/>
    <x v="0"/>
    <x v="1"/>
    <x v="4"/>
    <x v="1"/>
    <x v="2"/>
    <x v="1"/>
    <x v="3"/>
    <x v="1"/>
    <x v="1"/>
    <x v="360"/>
    <x v="1"/>
    <x v="1"/>
    <x v="2"/>
    <x v="736"/>
    <x v="15"/>
    <x v="4"/>
    <x v="5"/>
    <x v="2"/>
    <x v="1"/>
    <x v="920"/>
    <x v="0"/>
    <x v="0"/>
  </r>
  <r>
    <x v="1592"/>
    <x v="747"/>
    <x v="725"/>
    <x v="719"/>
    <x v="1264"/>
    <x v="3"/>
    <x v="2"/>
    <x v="716"/>
    <x v="542"/>
    <x v="1"/>
    <x v="15"/>
    <x v="0"/>
    <x v="0"/>
    <x v="1"/>
    <x v="1"/>
    <x v="1"/>
    <x v="2"/>
    <x v="1"/>
    <x v="2"/>
    <x v="1"/>
    <x v="2"/>
    <x v="0"/>
    <x v="1"/>
    <x v="1"/>
    <x v="2"/>
    <x v="737"/>
    <x v="15"/>
    <x v="0"/>
    <x v="0"/>
    <x v="1"/>
    <x v="0"/>
    <x v="0"/>
    <x v="0"/>
    <x v="0"/>
  </r>
  <r>
    <x v="1593"/>
    <x v="438"/>
    <x v="434"/>
    <x v="429"/>
    <x v="1265"/>
    <x v="1"/>
    <x v="2"/>
    <x v="444"/>
    <x v="339"/>
    <x v="1"/>
    <x v="33"/>
    <x v="0"/>
    <x v="0"/>
    <x v="1"/>
    <x v="3"/>
    <x v="2"/>
    <x v="2"/>
    <x v="1"/>
    <x v="3"/>
    <x v="1"/>
    <x v="2"/>
    <x v="0"/>
    <x v="2"/>
    <x v="1"/>
    <x v="2"/>
    <x v="437"/>
    <x v="2"/>
    <x v="0"/>
    <x v="0"/>
    <x v="1"/>
    <x v="0"/>
    <x v="0"/>
    <x v="0"/>
    <x v="406"/>
  </r>
  <r>
    <x v="1594"/>
    <x v="748"/>
    <x v="726"/>
    <x v="720"/>
    <x v="1266"/>
    <x v="1"/>
    <x v="2"/>
    <x v="717"/>
    <x v="543"/>
    <x v="2"/>
    <x v="0"/>
    <x v="2"/>
    <x v="0"/>
    <x v="1"/>
    <x v="3"/>
    <x v="3"/>
    <x v="2"/>
    <x v="1"/>
    <x v="2"/>
    <x v="1"/>
    <x v="1"/>
    <x v="360"/>
    <x v="1"/>
    <x v="5"/>
    <x v="2"/>
    <x v="738"/>
    <x v="5"/>
    <x v="3"/>
    <x v="0"/>
    <x v="1"/>
    <x v="0"/>
    <x v="921"/>
    <x v="456"/>
    <x v="0"/>
  </r>
  <r>
    <x v="1595"/>
    <x v="741"/>
    <x v="720"/>
    <x v="714"/>
    <x v="0"/>
    <x v="3"/>
    <x v="2"/>
    <x v="711"/>
    <x v="352"/>
    <x v="1"/>
    <x v="308"/>
    <x v="0"/>
    <x v="0"/>
    <x v="3"/>
    <x v="1"/>
    <x v="1"/>
    <x v="2"/>
    <x v="1"/>
    <x v="2"/>
    <x v="1"/>
    <x v="2"/>
    <x v="0"/>
    <x v="1"/>
    <x v="3"/>
    <x v="4"/>
    <x v="732"/>
    <x v="3"/>
    <x v="0"/>
    <x v="0"/>
    <x v="1"/>
    <x v="0"/>
    <x v="0"/>
    <x v="0"/>
    <x v="0"/>
  </r>
  <r>
    <x v="1596"/>
    <x v="327"/>
    <x v="327"/>
    <x v="322"/>
    <x v="1267"/>
    <x v="3"/>
    <x v="2"/>
    <x v="341"/>
    <x v="544"/>
    <x v="1"/>
    <x v="309"/>
    <x v="0"/>
    <x v="0"/>
    <x v="1"/>
    <x v="2"/>
    <x v="3"/>
    <x v="2"/>
    <x v="1"/>
    <x v="2"/>
    <x v="1"/>
    <x v="1"/>
    <x v="358"/>
    <x v="1"/>
    <x v="1"/>
    <x v="2"/>
    <x v="329"/>
    <x v="1"/>
    <x v="1"/>
    <x v="14"/>
    <x v="1"/>
    <x v="0"/>
    <x v="922"/>
    <x v="0"/>
    <x v="407"/>
  </r>
  <r>
    <x v="1597"/>
    <x v="749"/>
    <x v="727"/>
    <x v="721"/>
    <x v="1268"/>
    <x v="1"/>
    <x v="2"/>
    <x v="718"/>
    <x v="545"/>
    <x v="1"/>
    <x v="2"/>
    <x v="0"/>
    <x v="0"/>
    <x v="1"/>
    <x v="1"/>
    <x v="1"/>
    <x v="2"/>
    <x v="1"/>
    <x v="3"/>
    <x v="1"/>
    <x v="1"/>
    <x v="361"/>
    <x v="1"/>
    <x v="5"/>
    <x v="2"/>
    <x v="739"/>
    <x v="3"/>
    <x v="0"/>
    <x v="0"/>
    <x v="1"/>
    <x v="0"/>
    <x v="0"/>
    <x v="0"/>
    <x v="0"/>
  </r>
  <r>
    <x v="1598"/>
    <x v="327"/>
    <x v="327"/>
    <x v="322"/>
    <x v="0"/>
    <x v="3"/>
    <x v="2"/>
    <x v="341"/>
    <x v="544"/>
    <x v="1"/>
    <x v="310"/>
    <x v="0"/>
    <x v="0"/>
    <x v="3"/>
    <x v="4"/>
    <x v="1"/>
    <x v="2"/>
    <x v="1"/>
    <x v="2"/>
    <x v="1"/>
    <x v="2"/>
    <x v="0"/>
    <x v="2"/>
    <x v="3"/>
    <x v="4"/>
    <x v="329"/>
    <x v="15"/>
    <x v="0"/>
    <x v="0"/>
    <x v="1"/>
    <x v="0"/>
    <x v="0"/>
    <x v="0"/>
    <x v="0"/>
  </r>
  <r>
    <x v="1599"/>
    <x v="744"/>
    <x v="722"/>
    <x v="716"/>
    <x v="1269"/>
    <x v="1"/>
    <x v="1"/>
    <x v="713"/>
    <x v="196"/>
    <x v="6"/>
    <x v="0"/>
    <x v="0"/>
    <x v="10"/>
    <x v="3"/>
    <x v="1"/>
    <x v="1"/>
    <x v="2"/>
    <x v="1"/>
    <x v="2"/>
    <x v="1"/>
    <x v="1"/>
    <x v="361"/>
    <x v="1"/>
    <x v="3"/>
    <x v="4"/>
    <x v="734"/>
    <x v="3"/>
    <x v="0"/>
    <x v="0"/>
    <x v="1"/>
    <x v="0"/>
    <x v="0"/>
    <x v="0"/>
    <x v="0"/>
  </r>
  <r>
    <x v="1600"/>
    <x v="750"/>
    <x v="728"/>
    <x v="722"/>
    <x v="1270"/>
    <x v="1"/>
    <x v="2"/>
    <x v="719"/>
    <x v="546"/>
    <x v="1"/>
    <x v="3"/>
    <x v="0"/>
    <x v="0"/>
    <x v="1"/>
    <x v="3"/>
    <x v="2"/>
    <x v="1"/>
    <x v="1"/>
    <x v="3"/>
    <x v="1"/>
    <x v="1"/>
    <x v="361"/>
    <x v="1"/>
    <x v="1"/>
    <x v="2"/>
    <x v="740"/>
    <x v="15"/>
    <x v="0"/>
    <x v="0"/>
    <x v="1"/>
    <x v="0"/>
    <x v="0"/>
    <x v="0"/>
    <x v="0"/>
  </r>
  <r>
    <x v="1601"/>
    <x v="751"/>
    <x v="729"/>
    <x v="723"/>
    <x v="1271"/>
    <x v="1"/>
    <x v="1"/>
    <x v="720"/>
    <x v="547"/>
    <x v="1"/>
    <x v="1"/>
    <x v="0"/>
    <x v="0"/>
    <x v="1"/>
    <x v="2"/>
    <x v="3"/>
    <x v="2"/>
    <x v="1"/>
    <x v="2"/>
    <x v="1"/>
    <x v="1"/>
    <x v="359"/>
    <x v="1"/>
    <x v="1"/>
    <x v="2"/>
    <x v="741"/>
    <x v="3"/>
    <x v="0"/>
    <x v="0"/>
    <x v="1"/>
    <x v="0"/>
    <x v="0"/>
    <x v="0"/>
    <x v="0"/>
  </r>
  <r>
    <x v="1602"/>
    <x v="752"/>
    <x v="730"/>
    <x v="724"/>
    <x v="1272"/>
    <x v="1"/>
    <x v="2"/>
    <x v="721"/>
    <x v="340"/>
    <x v="2"/>
    <x v="0"/>
    <x v="2"/>
    <x v="0"/>
    <x v="1"/>
    <x v="3"/>
    <x v="2"/>
    <x v="1"/>
    <x v="1"/>
    <x v="3"/>
    <x v="1"/>
    <x v="1"/>
    <x v="359"/>
    <x v="2"/>
    <x v="1"/>
    <x v="2"/>
    <x v="742"/>
    <x v="2"/>
    <x v="0"/>
    <x v="0"/>
    <x v="1"/>
    <x v="0"/>
    <x v="0"/>
    <x v="0"/>
    <x v="0"/>
  </r>
  <r>
    <x v="1603"/>
    <x v="0"/>
    <x v="0"/>
    <x v="0"/>
    <x v="0"/>
    <x v="0"/>
    <x v="0"/>
    <x v="0"/>
    <x v="0"/>
    <x v="0"/>
    <x v="0"/>
    <x v="0"/>
    <x v="0"/>
    <x v="0"/>
    <x v="0"/>
    <x v="0"/>
    <x v="0"/>
    <x v="0"/>
    <x v="0"/>
    <x v="0"/>
    <x v="0"/>
    <x v="0"/>
    <x v="0"/>
    <x v="0"/>
    <x v="0"/>
    <x v="0"/>
    <x v="0"/>
    <x v="0"/>
    <x v="0"/>
    <x v="1"/>
    <x v="0"/>
    <x v="0"/>
    <x v="457"/>
    <x v="0"/>
  </r>
  <r>
    <x v="1604"/>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408"/>
  </r>
  <r>
    <x v="1603"/>
    <x v="0"/>
    <x v="0"/>
    <x v="0"/>
    <x v="0"/>
    <x v="0"/>
    <x v="0"/>
    <x v="0"/>
    <x v="0"/>
    <x v="0"/>
    <x v="0"/>
    <x v="0"/>
    <x v="0"/>
    <x v="0"/>
    <x v="0"/>
    <x v="0"/>
    <x v="0"/>
    <x v="0"/>
    <x v="0"/>
    <x v="0"/>
    <x v="0"/>
    <x v="0"/>
    <x v="0"/>
    <x v="0"/>
    <x v="0"/>
    <x v="0"/>
    <x v="21"/>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753"/>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pivotCacheRecords>
</file>

<file path=xl/pivotCache/pivotCacheRecords5.xml><?xml version="1.0" encoding="utf-8"?>
<pivotCacheRecords xmlns="http://schemas.openxmlformats.org/spreadsheetml/2006/main" xmlns:r="http://schemas.openxmlformats.org/officeDocument/2006/relationships" count="1613">
  <r>
    <x v="0"/>
    <x v="0"/>
    <x v="0"/>
    <x v="0"/>
    <x v="0"/>
    <x v="0"/>
    <x v="0"/>
    <x v="0"/>
    <x v="0"/>
    <x v="0"/>
    <x v="0"/>
    <x v="0"/>
    <x v="0"/>
    <x v="0"/>
    <x v="0"/>
    <x v="0"/>
    <x v="0"/>
    <x v="0"/>
    <x v="0"/>
    <x v="0"/>
    <x v="0"/>
    <x v="0"/>
    <x v="0"/>
    <x v="0"/>
    <x v="0"/>
    <x v="0"/>
    <x v="0"/>
    <x v="0"/>
    <x v="0"/>
    <x v="0"/>
    <x v="0"/>
    <x v="0"/>
    <x v="0"/>
    <x v="0"/>
  </r>
  <r>
    <x v="1"/>
    <x v="0"/>
    <x v="0"/>
    <x v="0"/>
    <x v="0"/>
    <x v="0"/>
    <x v="0"/>
    <x v="0"/>
    <x v="0"/>
    <x v="0"/>
    <x v="0"/>
    <x v="0"/>
    <x v="0"/>
    <x v="0"/>
    <x v="0"/>
    <x v="0"/>
    <x v="0"/>
    <x v="0"/>
    <x v="0"/>
    <x v="0"/>
    <x v="0"/>
    <x v="0"/>
    <x v="0"/>
    <x v="0"/>
    <x v="0"/>
    <x v="0"/>
    <x v="0"/>
    <x v="0"/>
    <x v="0"/>
    <x v="0"/>
    <x v="0"/>
    <x v="0"/>
    <x v="0"/>
    <x v="0"/>
  </r>
  <r>
    <x v="2"/>
    <x v="0"/>
    <x v="0"/>
    <x v="0"/>
    <x v="0"/>
    <x v="0"/>
    <x v="0"/>
    <x v="0"/>
    <x v="0"/>
    <x v="0"/>
    <x v="0"/>
    <x v="0"/>
    <x v="0"/>
    <x v="0"/>
    <x v="0"/>
    <x v="0"/>
    <x v="0"/>
    <x v="0"/>
    <x v="0"/>
    <x v="0"/>
    <x v="0"/>
    <x v="0"/>
    <x v="0"/>
    <x v="0"/>
    <x v="0"/>
    <x v="0"/>
    <x v="0"/>
    <x v="0"/>
    <x v="0"/>
    <x v="0"/>
    <x v="0"/>
    <x v="0"/>
    <x v="0"/>
    <x v="0"/>
  </r>
  <r>
    <x v="3"/>
    <x v="1"/>
    <x v="1"/>
    <x v="1"/>
    <x v="1"/>
    <x v="1"/>
    <x v="1"/>
    <x v="1"/>
    <x v="0"/>
    <x v="1"/>
    <x v="0"/>
    <x v="0"/>
    <x v="0"/>
    <x v="1"/>
    <x v="1"/>
    <x v="1"/>
    <x v="1"/>
    <x v="1"/>
    <x v="1"/>
    <x v="1"/>
    <x v="1"/>
    <x v="1"/>
    <x v="1"/>
    <x v="1"/>
    <x v="1"/>
    <x v="1"/>
    <x v="0"/>
    <x v="1"/>
    <x v="1"/>
    <x v="1"/>
    <x v="0"/>
    <x v="1"/>
    <x v="0"/>
    <x v="0"/>
  </r>
  <r>
    <x v="4"/>
    <x v="2"/>
    <x v="2"/>
    <x v="2"/>
    <x v="2"/>
    <x v="1"/>
    <x v="2"/>
    <x v="2"/>
    <x v="1"/>
    <x v="1"/>
    <x v="1"/>
    <x v="0"/>
    <x v="0"/>
    <x v="1"/>
    <x v="1"/>
    <x v="2"/>
    <x v="1"/>
    <x v="1"/>
    <x v="1"/>
    <x v="1"/>
    <x v="1"/>
    <x v="2"/>
    <x v="2"/>
    <x v="1"/>
    <x v="2"/>
    <x v="2"/>
    <x v="0"/>
    <x v="1"/>
    <x v="1"/>
    <x v="1"/>
    <x v="0"/>
    <x v="2"/>
    <x v="1"/>
    <x v="0"/>
  </r>
  <r>
    <x v="5"/>
    <x v="3"/>
    <x v="3"/>
    <x v="3"/>
    <x v="3"/>
    <x v="1"/>
    <x v="2"/>
    <x v="3"/>
    <x v="0"/>
    <x v="1"/>
    <x v="2"/>
    <x v="0"/>
    <x v="0"/>
    <x v="2"/>
    <x v="2"/>
    <x v="3"/>
    <x v="2"/>
    <x v="1"/>
    <x v="1"/>
    <x v="1"/>
    <x v="1"/>
    <x v="3"/>
    <x v="2"/>
    <x v="2"/>
    <x v="3"/>
    <x v="3"/>
    <x v="0"/>
    <x v="2"/>
    <x v="0"/>
    <x v="1"/>
    <x v="0"/>
    <x v="3"/>
    <x v="0"/>
    <x v="0"/>
  </r>
  <r>
    <x v="6"/>
    <x v="4"/>
    <x v="4"/>
    <x v="4"/>
    <x v="4"/>
    <x v="1"/>
    <x v="1"/>
    <x v="4"/>
    <x v="0"/>
    <x v="1"/>
    <x v="3"/>
    <x v="0"/>
    <x v="0"/>
    <x v="1"/>
    <x v="1"/>
    <x v="1"/>
    <x v="2"/>
    <x v="1"/>
    <x v="2"/>
    <x v="1"/>
    <x v="1"/>
    <x v="4"/>
    <x v="1"/>
    <x v="2"/>
    <x v="2"/>
    <x v="4"/>
    <x v="0"/>
    <x v="1"/>
    <x v="2"/>
    <x v="1"/>
    <x v="0"/>
    <x v="4"/>
    <x v="2"/>
    <x v="1"/>
  </r>
  <r>
    <x v="7"/>
    <x v="5"/>
    <x v="5"/>
    <x v="5"/>
    <x v="5"/>
    <x v="1"/>
    <x v="2"/>
    <x v="5"/>
    <x v="2"/>
    <x v="2"/>
    <x v="0"/>
    <x v="1"/>
    <x v="0"/>
    <x v="1"/>
    <x v="1"/>
    <x v="1"/>
    <x v="2"/>
    <x v="1"/>
    <x v="3"/>
    <x v="1"/>
    <x v="1"/>
    <x v="5"/>
    <x v="2"/>
    <x v="1"/>
    <x v="2"/>
    <x v="5"/>
    <x v="0"/>
    <x v="1"/>
    <x v="3"/>
    <x v="1"/>
    <x v="0"/>
    <x v="4"/>
    <x v="3"/>
    <x v="0"/>
  </r>
  <r>
    <x v="8"/>
    <x v="6"/>
    <x v="6"/>
    <x v="6"/>
    <x v="6"/>
    <x v="1"/>
    <x v="3"/>
    <x v="6"/>
    <x v="3"/>
    <x v="1"/>
    <x v="4"/>
    <x v="0"/>
    <x v="0"/>
    <x v="1"/>
    <x v="1"/>
    <x v="1"/>
    <x v="2"/>
    <x v="1"/>
    <x v="2"/>
    <x v="1"/>
    <x v="1"/>
    <x v="6"/>
    <x v="2"/>
    <x v="1"/>
    <x v="2"/>
    <x v="6"/>
    <x v="1"/>
    <x v="1"/>
    <x v="4"/>
    <x v="1"/>
    <x v="0"/>
    <x v="5"/>
    <x v="0"/>
    <x v="0"/>
  </r>
  <r>
    <x v="9"/>
    <x v="6"/>
    <x v="6"/>
    <x v="6"/>
    <x v="0"/>
    <x v="1"/>
    <x v="3"/>
    <x v="6"/>
    <x v="4"/>
    <x v="1"/>
    <x v="4"/>
    <x v="0"/>
    <x v="0"/>
    <x v="3"/>
    <x v="3"/>
    <x v="2"/>
    <x v="1"/>
    <x v="1"/>
    <x v="2"/>
    <x v="1"/>
    <x v="1"/>
    <x v="7"/>
    <x v="2"/>
    <x v="3"/>
    <x v="4"/>
    <x v="6"/>
    <x v="1"/>
    <x v="3"/>
    <x v="0"/>
    <x v="1"/>
    <x v="0"/>
    <x v="0"/>
    <x v="0"/>
    <x v="0"/>
  </r>
  <r>
    <x v="10"/>
    <x v="7"/>
    <x v="7"/>
    <x v="7"/>
    <x v="7"/>
    <x v="1"/>
    <x v="1"/>
    <x v="7"/>
    <x v="5"/>
    <x v="3"/>
    <x v="0"/>
    <x v="0"/>
    <x v="0"/>
    <x v="1"/>
    <x v="1"/>
    <x v="1"/>
    <x v="2"/>
    <x v="1"/>
    <x v="1"/>
    <x v="1"/>
    <x v="1"/>
    <x v="8"/>
    <x v="1"/>
    <x v="1"/>
    <x v="2"/>
    <x v="7"/>
    <x v="2"/>
    <x v="0"/>
    <x v="0"/>
    <x v="1"/>
    <x v="0"/>
    <x v="0"/>
    <x v="0"/>
    <x v="0"/>
  </r>
  <r>
    <x v="11"/>
    <x v="7"/>
    <x v="7"/>
    <x v="7"/>
    <x v="8"/>
    <x v="1"/>
    <x v="1"/>
    <x v="8"/>
    <x v="5"/>
    <x v="1"/>
    <x v="4"/>
    <x v="0"/>
    <x v="0"/>
    <x v="1"/>
    <x v="2"/>
    <x v="3"/>
    <x v="2"/>
    <x v="1"/>
    <x v="2"/>
    <x v="1"/>
    <x v="1"/>
    <x v="8"/>
    <x v="1"/>
    <x v="1"/>
    <x v="2"/>
    <x v="7"/>
    <x v="3"/>
    <x v="1"/>
    <x v="5"/>
    <x v="1"/>
    <x v="0"/>
    <x v="6"/>
    <x v="4"/>
    <x v="0"/>
  </r>
  <r>
    <x v="12"/>
    <x v="2"/>
    <x v="2"/>
    <x v="2"/>
    <x v="0"/>
    <x v="1"/>
    <x v="2"/>
    <x v="2"/>
    <x v="1"/>
    <x v="1"/>
    <x v="1"/>
    <x v="0"/>
    <x v="0"/>
    <x v="3"/>
    <x v="1"/>
    <x v="1"/>
    <x v="2"/>
    <x v="1"/>
    <x v="1"/>
    <x v="1"/>
    <x v="2"/>
    <x v="0"/>
    <x v="2"/>
    <x v="3"/>
    <x v="4"/>
    <x v="2"/>
    <x v="0"/>
    <x v="0"/>
    <x v="0"/>
    <x v="1"/>
    <x v="0"/>
    <x v="0"/>
    <x v="0"/>
    <x v="0"/>
  </r>
  <r>
    <x v="13"/>
    <x v="5"/>
    <x v="5"/>
    <x v="5"/>
    <x v="0"/>
    <x v="1"/>
    <x v="2"/>
    <x v="5"/>
    <x v="2"/>
    <x v="2"/>
    <x v="0"/>
    <x v="2"/>
    <x v="0"/>
    <x v="3"/>
    <x v="1"/>
    <x v="1"/>
    <x v="2"/>
    <x v="1"/>
    <x v="3"/>
    <x v="1"/>
    <x v="2"/>
    <x v="0"/>
    <x v="2"/>
    <x v="3"/>
    <x v="4"/>
    <x v="5"/>
    <x v="0"/>
    <x v="0"/>
    <x v="0"/>
    <x v="1"/>
    <x v="0"/>
    <x v="0"/>
    <x v="0"/>
    <x v="0"/>
  </r>
  <r>
    <x v="14"/>
    <x v="4"/>
    <x v="4"/>
    <x v="4"/>
    <x v="0"/>
    <x v="1"/>
    <x v="1"/>
    <x v="4"/>
    <x v="0"/>
    <x v="1"/>
    <x v="3"/>
    <x v="0"/>
    <x v="0"/>
    <x v="3"/>
    <x v="1"/>
    <x v="1"/>
    <x v="2"/>
    <x v="1"/>
    <x v="2"/>
    <x v="1"/>
    <x v="2"/>
    <x v="0"/>
    <x v="2"/>
    <x v="3"/>
    <x v="4"/>
    <x v="4"/>
    <x v="0"/>
    <x v="0"/>
    <x v="0"/>
    <x v="1"/>
    <x v="0"/>
    <x v="0"/>
    <x v="0"/>
    <x v="0"/>
  </r>
  <r>
    <x v="15"/>
    <x v="7"/>
    <x v="7"/>
    <x v="7"/>
    <x v="0"/>
    <x v="1"/>
    <x v="1"/>
    <x v="7"/>
    <x v="5"/>
    <x v="2"/>
    <x v="0"/>
    <x v="2"/>
    <x v="0"/>
    <x v="3"/>
    <x v="2"/>
    <x v="3"/>
    <x v="2"/>
    <x v="1"/>
    <x v="1"/>
    <x v="1"/>
    <x v="1"/>
    <x v="9"/>
    <x v="2"/>
    <x v="3"/>
    <x v="4"/>
    <x v="7"/>
    <x v="2"/>
    <x v="1"/>
    <x v="2"/>
    <x v="1"/>
    <x v="0"/>
    <x v="7"/>
    <x v="5"/>
    <x v="0"/>
  </r>
  <r>
    <x v="16"/>
    <x v="7"/>
    <x v="7"/>
    <x v="7"/>
    <x v="0"/>
    <x v="1"/>
    <x v="1"/>
    <x v="7"/>
    <x v="5"/>
    <x v="2"/>
    <x v="0"/>
    <x v="2"/>
    <x v="0"/>
    <x v="3"/>
    <x v="2"/>
    <x v="3"/>
    <x v="2"/>
    <x v="1"/>
    <x v="2"/>
    <x v="1"/>
    <x v="1"/>
    <x v="10"/>
    <x v="2"/>
    <x v="3"/>
    <x v="4"/>
    <x v="7"/>
    <x v="4"/>
    <x v="1"/>
    <x v="1"/>
    <x v="1"/>
    <x v="0"/>
    <x v="8"/>
    <x v="0"/>
    <x v="0"/>
  </r>
  <r>
    <x v="17"/>
    <x v="7"/>
    <x v="7"/>
    <x v="7"/>
    <x v="0"/>
    <x v="1"/>
    <x v="1"/>
    <x v="7"/>
    <x v="5"/>
    <x v="2"/>
    <x v="0"/>
    <x v="2"/>
    <x v="0"/>
    <x v="3"/>
    <x v="1"/>
    <x v="1"/>
    <x v="2"/>
    <x v="1"/>
    <x v="2"/>
    <x v="1"/>
    <x v="2"/>
    <x v="0"/>
    <x v="2"/>
    <x v="3"/>
    <x v="4"/>
    <x v="7"/>
    <x v="5"/>
    <x v="0"/>
    <x v="0"/>
    <x v="1"/>
    <x v="0"/>
    <x v="0"/>
    <x v="0"/>
    <x v="0"/>
  </r>
  <r>
    <x v="18"/>
    <x v="8"/>
    <x v="8"/>
    <x v="8"/>
    <x v="9"/>
    <x v="1"/>
    <x v="2"/>
    <x v="9"/>
    <x v="6"/>
    <x v="2"/>
    <x v="0"/>
    <x v="3"/>
    <x v="0"/>
    <x v="1"/>
    <x v="1"/>
    <x v="1"/>
    <x v="2"/>
    <x v="1"/>
    <x v="2"/>
    <x v="1"/>
    <x v="2"/>
    <x v="0"/>
    <x v="2"/>
    <x v="1"/>
    <x v="2"/>
    <x v="8"/>
    <x v="5"/>
    <x v="0"/>
    <x v="0"/>
    <x v="1"/>
    <x v="0"/>
    <x v="0"/>
    <x v="0"/>
    <x v="0"/>
  </r>
  <r>
    <x v="19"/>
    <x v="9"/>
    <x v="9"/>
    <x v="9"/>
    <x v="10"/>
    <x v="1"/>
    <x v="2"/>
    <x v="10"/>
    <x v="7"/>
    <x v="1"/>
    <x v="5"/>
    <x v="0"/>
    <x v="0"/>
    <x v="1"/>
    <x v="2"/>
    <x v="3"/>
    <x v="2"/>
    <x v="1"/>
    <x v="2"/>
    <x v="1"/>
    <x v="1"/>
    <x v="11"/>
    <x v="1"/>
    <x v="1"/>
    <x v="2"/>
    <x v="9"/>
    <x v="5"/>
    <x v="1"/>
    <x v="1"/>
    <x v="1"/>
    <x v="0"/>
    <x v="9"/>
    <x v="0"/>
    <x v="2"/>
  </r>
  <r>
    <x v="20"/>
    <x v="9"/>
    <x v="9"/>
    <x v="9"/>
    <x v="0"/>
    <x v="1"/>
    <x v="2"/>
    <x v="10"/>
    <x v="8"/>
    <x v="1"/>
    <x v="5"/>
    <x v="0"/>
    <x v="0"/>
    <x v="3"/>
    <x v="4"/>
    <x v="1"/>
    <x v="2"/>
    <x v="1"/>
    <x v="2"/>
    <x v="1"/>
    <x v="1"/>
    <x v="12"/>
    <x v="2"/>
    <x v="3"/>
    <x v="4"/>
    <x v="9"/>
    <x v="5"/>
    <x v="1"/>
    <x v="1"/>
    <x v="1"/>
    <x v="0"/>
    <x v="10"/>
    <x v="0"/>
    <x v="0"/>
  </r>
  <r>
    <x v="21"/>
    <x v="9"/>
    <x v="9"/>
    <x v="9"/>
    <x v="0"/>
    <x v="1"/>
    <x v="2"/>
    <x v="10"/>
    <x v="9"/>
    <x v="1"/>
    <x v="6"/>
    <x v="0"/>
    <x v="0"/>
    <x v="3"/>
    <x v="2"/>
    <x v="3"/>
    <x v="2"/>
    <x v="1"/>
    <x v="2"/>
    <x v="1"/>
    <x v="1"/>
    <x v="13"/>
    <x v="2"/>
    <x v="3"/>
    <x v="4"/>
    <x v="9"/>
    <x v="5"/>
    <x v="1"/>
    <x v="3"/>
    <x v="1"/>
    <x v="0"/>
    <x v="11"/>
    <x v="0"/>
    <x v="0"/>
  </r>
  <r>
    <x v="22"/>
    <x v="9"/>
    <x v="9"/>
    <x v="9"/>
    <x v="0"/>
    <x v="1"/>
    <x v="2"/>
    <x v="10"/>
    <x v="9"/>
    <x v="1"/>
    <x v="7"/>
    <x v="0"/>
    <x v="0"/>
    <x v="3"/>
    <x v="1"/>
    <x v="1"/>
    <x v="2"/>
    <x v="1"/>
    <x v="2"/>
    <x v="1"/>
    <x v="2"/>
    <x v="0"/>
    <x v="2"/>
    <x v="3"/>
    <x v="4"/>
    <x v="9"/>
    <x v="3"/>
    <x v="0"/>
    <x v="0"/>
    <x v="1"/>
    <x v="0"/>
    <x v="0"/>
    <x v="0"/>
    <x v="0"/>
  </r>
  <r>
    <x v="23"/>
    <x v="10"/>
    <x v="10"/>
    <x v="10"/>
    <x v="11"/>
    <x v="1"/>
    <x v="4"/>
    <x v="11"/>
    <x v="10"/>
    <x v="1"/>
    <x v="3"/>
    <x v="0"/>
    <x v="0"/>
    <x v="1"/>
    <x v="3"/>
    <x v="2"/>
    <x v="2"/>
    <x v="1"/>
    <x v="3"/>
    <x v="1"/>
    <x v="1"/>
    <x v="14"/>
    <x v="1"/>
    <x v="1"/>
    <x v="2"/>
    <x v="10"/>
    <x v="4"/>
    <x v="1"/>
    <x v="1"/>
    <x v="2"/>
    <x v="1"/>
    <x v="12"/>
    <x v="0"/>
    <x v="0"/>
  </r>
  <r>
    <x v="24"/>
    <x v="10"/>
    <x v="10"/>
    <x v="10"/>
    <x v="12"/>
    <x v="1"/>
    <x v="4"/>
    <x v="12"/>
    <x v="11"/>
    <x v="1"/>
    <x v="3"/>
    <x v="0"/>
    <x v="0"/>
    <x v="3"/>
    <x v="1"/>
    <x v="1"/>
    <x v="2"/>
    <x v="1"/>
    <x v="2"/>
    <x v="1"/>
    <x v="2"/>
    <x v="0"/>
    <x v="1"/>
    <x v="3"/>
    <x v="4"/>
    <x v="10"/>
    <x v="5"/>
    <x v="0"/>
    <x v="0"/>
    <x v="1"/>
    <x v="0"/>
    <x v="0"/>
    <x v="0"/>
    <x v="0"/>
  </r>
  <r>
    <x v="25"/>
    <x v="11"/>
    <x v="11"/>
    <x v="11"/>
    <x v="13"/>
    <x v="1"/>
    <x v="2"/>
    <x v="13"/>
    <x v="12"/>
    <x v="4"/>
    <x v="0"/>
    <x v="0"/>
    <x v="0"/>
    <x v="1"/>
    <x v="1"/>
    <x v="1"/>
    <x v="2"/>
    <x v="1"/>
    <x v="2"/>
    <x v="1"/>
    <x v="2"/>
    <x v="0"/>
    <x v="1"/>
    <x v="1"/>
    <x v="2"/>
    <x v="11"/>
    <x v="3"/>
    <x v="0"/>
    <x v="0"/>
    <x v="1"/>
    <x v="0"/>
    <x v="0"/>
    <x v="0"/>
    <x v="0"/>
  </r>
  <r>
    <x v="26"/>
    <x v="12"/>
    <x v="12"/>
    <x v="12"/>
    <x v="14"/>
    <x v="1"/>
    <x v="2"/>
    <x v="14"/>
    <x v="13"/>
    <x v="1"/>
    <x v="8"/>
    <x v="0"/>
    <x v="0"/>
    <x v="1"/>
    <x v="1"/>
    <x v="1"/>
    <x v="2"/>
    <x v="1"/>
    <x v="3"/>
    <x v="1"/>
    <x v="1"/>
    <x v="15"/>
    <x v="1"/>
    <x v="1"/>
    <x v="2"/>
    <x v="12"/>
    <x v="2"/>
    <x v="1"/>
    <x v="2"/>
    <x v="2"/>
    <x v="1"/>
    <x v="13"/>
    <x v="0"/>
    <x v="0"/>
  </r>
  <r>
    <x v="27"/>
    <x v="12"/>
    <x v="12"/>
    <x v="12"/>
    <x v="15"/>
    <x v="1"/>
    <x v="2"/>
    <x v="14"/>
    <x v="13"/>
    <x v="1"/>
    <x v="8"/>
    <x v="0"/>
    <x v="0"/>
    <x v="3"/>
    <x v="1"/>
    <x v="1"/>
    <x v="2"/>
    <x v="1"/>
    <x v="3"/>
    <x v="1"/>
    <x v="2"/>
    <x v="0"/>
    <x v="1"/>
    <x v="3"/>
    <x v="4"/>
    <x v="12"/>
    <x v="4"/>
    <x v="0"/>
    <x v="0"/>
    <x v="1"/>
    <x v="0"/>
    <x v="0"/>
    <x v="0"/>
    <x v="0"/>
  </r>
  <r>
    <x v="28"/>
    <x v="13"/>
    <x v="13"/>
    <x v="13"/>
    <x v="16"/>
    <x v="1"/>
    <x v="2"/>
    <x v="15"/>
    <x v="7"/>
    <x v="1"/>
    <x v="9"/>
    <x v="0"/>
    <x v="0"/>
    <x v="1"/>
    <x v="3"/>
    <x v="3"/>
    <x v="2"/>
    <x v="1"/>
    <x v="2"/>
    <x v="1"/>
    <x v="1"/>
    <x v="16"/>
    <x v="1"/>
    <x v="4"/>
    <x v="2"/>
    <x v="13"/>
    <x v="5"/>
    <x v="1"/>
    <x v="3"/>
    <x v="2"/>
    <x v="1"/>
    <x v="14"/>
    <x v="6"/>
    <x v="0"/>
  </r>
  <r>
    <x v="29"/>
    <x v="13"/>
    <x v="13"/>
    <x v="13"/>
    <x v="0"/>
    <x v="1"/>
    <x v="2"/>
    <x v="15"/>
    <x v="7"/>
    <x v="1"/>
    <x v="0"/>
    <x v="0"/>
    <x v="0"/>
    <x v="3"/>
    <x v="1"/>
    <x v="1"/>
    <x v="2"/>
    <x v="1"/>
    <x v="3"/>
    <x v="1"/>
    <x v="2"/>
    <x v="0"/>
    <x v="2"/>
    <x v="3"/>
    <x v="4"/>
    <x v="13"/>
    <x v="3"/>
    <x v="0"/>
    <x v="0"/>
    <x v="1"/>
    <x v="0"/>
    <x v="0"/>
    <x v="0"/>
    <x v="0"/>
  </r>
  <r>
    <x v="30"/>
    <x v="12"/>
    <x v="12"/>
    <x v="12"/>
    <x v="17"/>
    <x v="1"/>
    <x v="2"/>
    <x v="14"/>
    <x v="13"/>
    <x v="1"/>
    <x v="10"/>
    <x v="0"/>
    <x v="0"/>
    <x v="1"/>
    <x v="3"/>
    <x v="2"/>
    <x v="2"/>
    <x v="1"/>
    <x v="1"/>
    <x v="1"/>
    <x v="1"/>
    <x v="17"/>
    <x v="1"/>
    <x v="1"/>
    <x v="2"/>
    <x v="12"/>
    <x v="1"/>
    <x v="1"/>
    <x v="4"/>
    <x v="2"/>
    <x v="1"/>
    <x v="15"/>
    <x v="0"/>
    <x v="3"/>
  </r>
  <r>
    <x v="31"/>
    <x v="12"/>
    <x v="12"/>
    <x v="12"/>
    <x v="18"/>
    <x v="1"/>
    <x v="2"/>
    <x v="14"/>
    <x v="13"/>
    <x v="1"/>
    <x v="11"/>
    <x v="0"/>
    <x v="0"/>
    <x v="3"/>
    <x v="3"/>
    <x v="2"/>
    <x v="2"/>
    <x v="1"/>
    <x v="1"/>
    <x v="1"/>
    <x v="1"/>
    <x v="18"/>
    <x v="1"/>
    <x v="3"/>
    <x v="4"/>
    <x v="12"/>
    <x v="1"/>
    <x v="1"/>
    <x v="4"/>
    <x v="2"/>
    <x v="1"/>
    <x v="16"/>
    <x v="0"/>
    <x v="0"/>
  </r>
  <r>
    <x v="32"/>
    <x v="12"/>
    <x v="12"/>
    <x v="12"/>
    <x v="19"/>
    <x v="1"/>
    <x v="2"/>
    <x v="14"/>
    <x v="14"/>
    <x v="1"/>
    <x v="12"/>
    <x v="0"/>
    <x v="0"/>
    <x v="3"/>
    <x v="1"/>
    <x v="1"/>
    <x v="2"/>
    <x v="1"/>
    <x v="1"/>
    <x v="1"/>
    <x v="2"/>
    <x v="0"/>
    <x v="1"/>
    <x v="3"/>
    <x v="4"/>
    <x v="12"/>
    <x v="1"/>
    <x v="0"/>
    <x v="0"/>
    <x v="1"/>
    <x v="0"/>
    <x v="0"/>
    <x v="0"/>
    <x v="0"/>
  </r>
  <r>
    <x v="33"/>
    <x v="14"/>
    <x v="14"/>
    <x v="14"/>
    <x v="20"/>
    <x v="1"/>
    <x v="2"/>
    <x v="16"/>
    <x v="15"/>
    <x v="1"/>
    <x v="3"/>
    <x v="0"/>
    <x v="0"/>
    <x v="1"/>
    <x v="1"/>
    <x v="1"/>
    <x v="2"/>
    <x v="1"/>
    <x v="2"/>
    <x v="1"/>
    <x v="2"/>
    <x v="0"/>
    <x v="2"/>
    <x v="1"/>
    <x v="2"/>
    <x v="14"/>
    <x v="5"/>
    <x v="0"/>
    <x v="0"/>
    <x v="1"/>
    <x v="0"/>
    <x v="0"/>
    <x v="0"/>
    <x v="0"/>
  </r>
  <r>
    <x v="34"/>
    <x v="15"/>
    <x v="15"/>
    <x v="15"/>
    <x v="21"/>
    <x v="1"/>
    <x v="2"/>
    <x v="17"/>
    <x v="16"/>
    <x v="1"/>
    <x v="13"/>
    <x v="0"/>
    <x v="0"/>
    <x v="1"/>
    <x v="2"/>
    <x v="3"/>
    <x v="2"/>
    <x v="1"/>
    <x v="1"/>
    <x v="1"/>
    <x v="1"/>
    <x v="19"/>
    <x v="2"/>
    <x v="4"/>
    <x v="2"/>
    <x v="15"/>
    <x v="1"/>
    <x v="1"/>
    <x v="3"/>
    <x v="1"/>
    <x v="0"/>
    <x v="17"/>
    <x v="7"/>
    <x v="2"/>
  </r>
  <r>
    <x v="35"/>
    <x v="16"/>
    <x v="16"/>
    <x v="16"/>
    <x v="22"/>
    <x v="1"/>
    <x v="2"/>
    <x v="18"/>
    <x v="17"/>
    <x v="1"/>
    <x v="1"/>
    <x v="0"/>
    <x v="0"/>
    <x v="1"/>
    <x v="1"/>
    <x v="1"/>
    <x v="1"/>
    <x v="1"/>
    <x v="3"/>
    <x v="1"/>
    <x v="1"/>
    <x v="20"/>
    <x v="1"/>
    <x v="1"/>
    <x v="2"/>
    <x v="16"/>
    <x v="3"/>
    <x v="3"/>
    <x v="0"/>
    <x v="1"/>
    <x v="0"/>
    <x v="0"/>
    <x v="0"/>
    <x v="0"/>
  </r>
  <r>
    <x v="36"/>
    <x v="15"/>
    <x v="15"/>
    <x v="15"/>
    <x v="21"/>
    <x v="1"/>
    <x v="2"/>
    <x v="17"/>
    <x v="16"/>
    <x v="1"/>
    <x v="2"/>
    <x v="0"/>
    <x v="0"/>
    <x v="3"/>
    <x v="2"/>
    <x v="3"/>
    <x v="2"/>
    <x v="1"/>
    <x v="2"/>
    <x v="1"/>
    <x v="1"/>
    <x v="21"/>
    <x v="2"/>
    <x v="3"/>
    <x v="4"/>
    <x v="15"/>
    <x v="3"/>
    <x v="3"/>
    <x v="0"/>
    <x v="1"/>
    <x v="0"/>
    <x v="18"/>
    <x v="0"/>
    <x v="0"/>
  </r>
  <r>
    <x v="37"/>
    <x v="17"/>
    <x v="17"/>
    <x v="17"/>
    <x v="23"/>
    <x v="1"/>
    <x v="2"/>
    <x v="19"/>
    <x v="18"/>
    <x v="1"/>
    <x v="0"/>
    <x v="0"/>
    <x v="0"/>
    <x v="1"/>
    <x v="3"/>
    <x v="2"/>
    <x v="2"/>
    <x v="2"/>
    <x v="1"/>
    <x v="1"/>
    <x v="1"/>
    <x v="20"/>
    <x v="1"/>
    <x v="1"/>
    <x v="5"/>
    <x v="17"/>
    <x v="1"/>
    <x v="3"/>
    <x v="0"/>
    <x v="1"/>
    <x v="0"/>
    <x v="19"/>
    <x v="8"/>
    <x v="0"/>
  </r>
  <r>
    <x v="38"/>
    <x v="18"/>
    <x v="18"/>
    <x v="18"/>
    <x v="24"/>
    <x v="1"/>
    <x v="5"/>
    <x v="20"/>
    <x v="19"/>
    <x v="1"/>
    <x v="14"/>
    <x v="0"/>
    <x v="0"/>
    <x v="1"/>
    <x v="1"/>
    <x v="1"/>
    <x v="1"/>
    <x v="1"/>
    <x v="2"/>
    <x v="1"/>
    <x v="1"/>
    <x v="22"/>
    <x v="3"/>
    <x v="1"/>
    <x v="2"/>
    <x v="18"/>
    <x v="3"/>
    <x v="0"/>
    <x v="0"/>
    <x v="1"/>
    <x v="0"/>
    <x v="20"/>
    <x v="0"/>
    <x v="4"/>
  </r>
  <r>
    <x v="39"/>
    <x v="19"/>
    <x v="19"/>
    <x v="19"/>
    <x v="25"/>
    <x v="1"/>
    <x v="2"/>
    <x v="21"/>
    <x v="20"/>
    <x v="2"/>
    <x v="0"/>
    <x v="2"/>
    <x v="0"/>
    <x v="1"/>
    <x v="1"/>
    <x v="1"/>
    <x v="2"/>
    <x v="1"/>
    <x v="2"/>
    <x v="1"/>
    <x v="2"/>
    <x v="0"/>
    <x v="1"/>
    <x v="1"/>
    <x v="2"/>
    <x v="19"/>
    <x v="2"/>
    <x v="0"/>
    <x v="0"/>
    <x v="1"/>
    <x v="0"/>
    <x v="0"/>
    <x v="0"/>
    <x v="5"/>
  </r>
  <r>
    <x v="40"/>
    <x v="20"/>
    <x v="20"/>
    <x v="20"/>
    <x v="26"/>
    <x v="1"/>
    <x v="5"/>
    <x v="22"/>
    <x v="21"/>
    <x v="1"/>
    <x v="15"/>
    <x v="0"/>
    <x v="0"/>
    <x v="1"/>
    <x v="1"/>
    <x v="1"/>
    <x v="2"/>
    <x v="1"/>
    <x v="2"/>
    <x v="1"/>
    <x v="2"/>
    <x v="0"/>
    <x v="1"/>
    <x v="5"/>
    <x v="2"/>
    <x v="20"/>
    <x v="3"/>
    <x v="0"/>
    <x v="0"/>
    <x v="1"/>
    <x v="0"/>
    <x v="0"/>
    <x v="0"/>
    <x v="0"/>
  </r>
  <r>
    <x v="41"/>
    <x v="21"/>
    <x v="21"/>
    <x v="21"/>
    <x v="27"/>
    <x v="1"/>
    <x v="3"/>
    <x v="23"/>
    <x v="22"/>
    <x v="1"/>
    <x v="16"/>
    <x v="0"/>
    <x v="0"/>
    <x v="1"/>
    <x v="1"/>
    <x v="1"/>
    <x v="2"/>
    <x v="1"/>
    <x v="2"/>
    <x v="1"/>
    <x v="1"/>
    <x v="23"/>
    <x v="1"/>
    <x v="5"/>
    <x v="2"/>
    <x v="21"/>
    <x v="3"/>
    <x v="3"/>
    <x v="0"/>
    <x v="1"/>
    <x v="0"/>
    <x v="0"/>
    <x v="9"/>
    <x v="6"/>
  </r>
  <r>
    <x v="42"/>
    <x v="22"/>
    <x v="22"/>
    <x v="22"/>
    <x v="28"/>
    <x v="1"/>
    <x v="2"/>
    <x v="24"/>
    <x v="23"/>
    <x v="1"/>
    <x v="9"/>
    <x v="0"/>
    <x v="0"/>
    <x v="1"/>
    <x v="1"/>
    <x v="1"/>
    <x v="2"/>
    <x v="2"/>
    <x v="1"/>
    <x v="1"/>
    <x v="1"/>
    <x v="24"/>
    <x v="1"/>
    <x v="1"/>
    <x v="2"/>
    <x v="22"/>
    <x v="4"/>
    <x v="1"/>
    <x v="1"/>
    <x v="2"/>
    <x v="1"/>
    <x v="21"/>
    <x v="0"/>
    <x v="7"/>
  </r>
  <r>
    <x v="43"/>
    <x v="23"/>
    <x v="23"/>
    <x v="23"/>
    <x v="29"/>
    <x v="2"/>
    <x v="2"/>
    <x v="25"/>
    <x v="24"/>
    <x v="1"/>
    <x v="17"/>
    <x v="0"/>
    <x v="0"/>
    <x v="1"/>
    <x v="2"/>
    <x v="3"/>
    <x v="1"/>
    <x v="1"/>
    <x v="2"/>
    <x v="1"/>
    <x v="1"/>
    <x v="25"/>
    <x v="1"/>
    <x v="1"/>
    <x v="2"/>
    <x v="23"/>
    <x v="5"/>
    <x v="1"/>
    <x v="6"/>
    <x v="2"/>
    <x v="1"/>
    <x v="22"/>
    <x v="0"/>
    <x v="0"/>
  </r>
  <r>
    <x v="44"/>
    <x v="24"/>
    <x v="24"/>
    <x v="24"/>
    <x v="30"/>
    <x v="3"/>
    <x v="2"/>
    <x v="26"/>
    <x v="25"/>
    <x v="1"/>
    <x v="12"/>
    <x v="0"/>
    <x v="0"/>
    <x v="1"/>
    <x v="2"/>
    <x v="3"/>
    <x v="2"/>
    <x v="1"/>
    <x v="2"/>
    <x v="1"/>
    <x v="1"/>
    <x v="24"/>
    <x v="1"/>
    <x v="1"/>
    <x v="2"/>
    <x v="24"/>
    <x v="5"/>
    <x v="1"/>
    <x v="1"/>
    <x v="2"/>
    <x v="1"/>
    <x v="23"/>
    <x v="0"/>
    <x v="8"/>
  </r>
  <r>
    <x v="45"/>
    <x v="25"/>
    <x v="25"/>
    <x v="25"/>
    <x v="31"/>
    <x v="1"/>
    <x v="2"/>
    <x v="27"/>
    <x v="26"/>
    <x v="1"/>
    <x v="1"/>
    <x v="0"/>
    <x v="0"/>
    <x v="1"/>
    <x v="2"/>
    <x v="3"/>
    <x v="2"/>
    <x v="1"/>
    <x v="2"/>
    <x v="1"/>
    <x v="1"/>
    <x v="23"/>
    <x v="3"/>
    <x v="1"/>
    <x v="5"/>
    <x v="25"/>
    <x v="6"/>
    <x v="3"/>
    <x v="0"/>
    <x v="1"/>
    <x v="0"/>
    <x v="24"/>
    <x v="0"/>
    <x v="0"/>
  </r>
  <r>
    <x v="46"/>
    <x v="26"/>
    <x v="26"/>
    <x v="26"/>
    <x v="32"/>
    <x v="1"/>
    <x v="2"/>
    <x v="28"/>
    <x v="27"/>
    <x v="1"/>
    <x v="18"/>
    <x v="0"/>
    <x v="0"/>
    <x v="1"/>
    <x v="1"/>
    <x v="2"/>
    <x v="2"/>
    <x v="1"/>
    <x v="3"/>
    <x v="1"/>
    <x v="1"/>
    <x v="26"/>
    <x v="1"/>
    <x v="1"/>
    <x v="2"/>
    <x v="26"/>
    <x v="1"/>
    <x v="1"/>
    <x v="4"/>
    <x v="2"/>
    <x v="1"/>
    <x v="25"/>
    <x v="0"/>
    <x v="0"/>
  </r>
  <r>
    <x v="47"/>
    <x v="22"/>
    <x v="22"/>
    <x v="22"/>
    <x v="33"/>
    <x v="1"/>
    <x v="2"/>
    <x v="24"/>
    <x v="28"/>
    <x v="1"/>
    <x v="9"/>
    <x v="0"/>
    <x v="0"/>
    <x v="3"/>
    <x v="1"/>
    <x v="1"/>
    <x v="2"/>
    <x v="2"/>
    <x v="1"/>
    <x v="1"/>
    <x v="2"/>
    <x v="0"/>
    <x v="1"/>
    <x v="1"/>
    <x v="2"/>
    <x v="22"/>
    <x v="5"/>
    <x v="0"/>
    <x v="0"/>
    <x v="1"/>
    <x v="0"/>
    <x v="0"/>
    <x v="0"/>
    <x v="0"/>
  </r>
  <r>
    <x v="48"/>
    <x v="23"/>
    <x v="23"/>
    <x v="23"/>
    <x v="34"/>
    <x v="2"/>
    <x v="5"/>
    <x v="25"/>
    <x v="24"/>
    <x v="1"/>
    <x v="2"/>
    <x v="0"/>
    <x v="0"/>
    <x v="3"/>
    <x v="2"/>
    <x v="3"/>
    <x v="2"/>
    <x v="1"/>
    <x v="2"/>
    <x v="1"/>
    <x v="1"/>
    <x v="24"/>
    <x v="1"/>
    <x v="3"/>
    <x v="4"/>
    <x v="23"/>
    <x v="6"/>
    <x v="3"/>
    <x v="0"/>
    <x v="1"/>
    <x v="0"/>
    <x v="26"/>
    <x v="0"/>
    <x v="0"/>
  </r>
  <r>
    <x v="49"/>
    <x v="27"/>
    <x v="27"/>
    <x v="27"/>
    <x v="35"/>
    <x v="1"/>
    <x v="2"/>
    <x v="29"/>
    <x v="29"/>
    <x v="1"/>
    <x v="9"/>
    <x v="0"/>
    <x v="0"/>
    <x v="1"/>
    <x v="1"/>
    <x v="1"/>
    <x v="2"/>
    <x v="2"/>
    <x v="1"/>
    <x v="1"/>
    <x v="1"/>
    <x v="26"/>
    <x v="1"/>
    <x v="1"/>
    <x v="2"/>
    <x v="27"/>
    <x v="5"/>
    <x v="1"/>
    <x v="1"/>
    <x v="2"/>
    <x v="1"/>
    <x v="27"/>
    <x v="10"/>
    <x v="9"/>
  </r>
  <r>
    <x v="50"/>
    <x v="28"/>
    <x v="25"/>
    <x v="25"/>
    <x v="36"/>
    <x v="1"/>
    <x v="2"/>
    <x v="27"/>
    <x v="10"/>
    <x v="1"/>
    <x v="19"/>
    <x v="0"/>
    <x v="0"/>
    <x v="1"/>
    <x v="2"/>
    <x v="3"/>
    <x v="2"/>
    <x v="2"/>
    <x v="3"/>
    <x v="1"/>
    <x v="1"/>
    <x v="26"/>
    <x v="1"/>
    <x v="1"/>
    <x v="2"/>
    <x v="25"/>
    <x v="1"/>
    <x v="3"/>
    <x v="0"/>
    <x v="1"/>
    <x v="0"/>
    <x v="28"/>
    <x v="0"/>
    <x v="0"/>
  </r>
  <r>
    <x v="51"/>
    <x v="24"/>
    <x v="24"/>
    <x v="24"/>
    <x v="37"/>
    <x v="3"/>
    <x v="2"/>
    <x v="26"/>
    <x v="25"/>
    <x v="1"/>
    <x v="12"/>
    <x v="0"/>
    <x v="0"/>
    <x v="3"/>
    <x v="2"/>
    <x v="3"/>
    <x v="2"/>
    <x v="1"/>
    <x v="2"/>
    <x v="1"/>
    <x v="1"/>
    <x v="26"/>
    <x v="1"/>
    <x v="1"/>
    <x v="2"/>
    <x v="24"/>
    <x v="5"/>
    <x v="1"/>
    <x v="7"/>
    <x v="2"/>
    <x v="1"/>
    <x v="29"/>
    <x v="0"/>
    <x v="0"/>
  </r>
  <r>
    <x v="52"/>
    <x v="29"/>
    <x v="28"/>
    <x v="28"/>
    <x v="38"/>
    <x v="3"/>
    <x v="1"/>
    <x v="30"/>
    <x v="30"/>
    <x v="5"/>
    <x v="0"/>
    <x v="0"/>
    <x v="0"/>
    <x v="1"/>
    <x v="1"/>
    <x v="1"/>
    <x v="2"/>
    <x v="2"/>
    <x v="1"/>
    <x v="1"/>
    <x v="2"/>
    <x v="0"/>
    <x v="1"/>
    <x v="5"/>
    <x v="2"/>
    <x v="28"/>
    <x v="5"/>
    <x v="0"/>
    <x v="0"/>
    <x v="1"/>
    <x v="0"/>
    <x v="0"/>
    <x v="0"/>
    <x v="10"/>
  </r>
  <r>
    <x v="53"/>
    <x v="30"/>
    <x v="29"/>
    <x v="29"/>
    <x v="39"/>
    <x v="1"/>
    <x v="3"/>
    <x v="31"/>
    <x v="31"/>
    <x v="2"/>
    <x v="0"/>
    <x v="2"/>
    <x v="0"/>
    <x v="1"/>
    <x v="2"/>
    <x v="3"/>
    <x v="2"/>
    <x v="1"/>
    <x v="3"/>
    <x v="1"/>
    <x v="1"/>
    <x v="27"/>
    <x v="2"/>
    <x v="1"/>
    <x v="2"/>
    <x v="29"/>
    <x v="2"/>
    <x v="1"/>
    <x v="1"/>
    <x v="2"/>
    <x v="1"/>
    <x v="30"/>
    <x v="0"/>
    <x v="0"/>
  </r>
  <r>
    <x v="54"/>
    <x v="31"/>
    <x v="30"/>
    <x v="30"/>
    <x v="40"/>
    <x v="1"/>
    <x v="2"/>
    <x v="32"/>
    <x v="32"/>
    <x v="1"/>
    <x v="20"/>
    <x v="0"/>
    <x v="0"/>
    <x v="1"/>
    <x v="2"/>
    <x v="3"/>
    <x v="2"/>
    <x v="1"/>
    <x v="2"/>
    <x v="1"/>
    <x v="1"/>
    <x v="27"/>
    <x v="1"/>
    <x v="1"/>
    <x v="2"/>
    <x v="30"/>
    <x v="7"/>
    <x v="1"/>
    <x v="8"/>
    <x v="2"/>
    <x v="1"/>
    <x v="31"/>
    <x v="11"/>
    <x v="0"/>
  </r>
  <r>
    <x v="55"/>
    <x v="26"/>
    <x v="26"/>
    <x v="26"/>
    <x v="41"/>
    <x v="1"/>
    <x v="2"/>
    <x v="28"/>
    <x v="27"/>
    <x v="1"/>
    <x v="21"/>
    <x v="0"/>
    <x v="0"/>
    <x v="3"/>
    <x v="1"/>
    <x v="1"/>
    <x v="2"/>
    <x v="1"/>
    <x v="1"/>
    <x v="1"/>
    <x v="1"/>
    <x v="28"/>
    <x v="1"/>
    <x v="3"/>
    <x v="4"/>
    <x v="26"/>
    <x v="1"/>
    <x v="3"/>
    <x v="0"/>
    <x v="1"/>
    <x v="0"/>
    <x v="0"/>
    <x v="0"/>
    <x v="0"/>
  </r>
  <r>
    <x v="56"/>
    <x v="32"/>
    <x v="31"/>
    <x v="31"/>
    <x v="42"/>
    <x v="3"/>
    <x v="5"/>
    <x v="33"/>
    <x v="33"/>
    <x v="1"/>
    <x v="22"/>
    <x v="0"/>
    <x v="0"/>
    <x v="1"/>
    <x v="1"/>
    <x v="1"/>
    <x v="2"/>
    <x v="1"/>
    <x v="3"/>
    <x v="1"/>
    <x v="1"/>
    <x v="29"/>
    <x v="1"/>
    <x v="1"/>
    <x v="2"/>
    <x v="31"/>
    <x v="2"/>
    <x v="3"/>
    <x v="0"/>
    <x v="1"/>
    <x v="0"/>
    <x v="32"/>
    <x v="12"/>
    <x v="11"/>
  </r>
  <r>
    <x v="57"/>
    <x v="24"/>
    <x v="24"/>
    <x v="24"/>
    <x v="43"/>
    <x v="3"/>
    <x v="2"/>
    <x v="26"/>
    <x v="34"/>
    <x v="1"/>
    <x v="12"/>
    <x v="0"/>
    <x v="0"/>
    <x v="3"/>
    <x v="1"/>
    <x v="1"/>
    <x v="2"/>
    <x v="1"/>
    <x v="3"/>
    <x v="1"/>
    <x v="1"/>
    <x v="29"/>
    <x v="1"/>
    <x v="3"/>
    <x v="4"/>
    <x v="24"/>
    <x v="7"/>
    <x v="1"/>
    <x v="4"/>
    <x v="2"/>
    <x v="1"/>
    <x v="33"/>
    <x v="13"/>
    <x v="0"/>
  </r>
  <r>
    <x v="58"/>
    <x v="30"/>
    <x v="29"/>
    <x v="29"/>
    <x v="44"/>
    <x v="1"/>
    <x v="3"/>
    <x v="31"/>
    <x v="31"/>
    <x v="1"/>
    <x v="15"/>
    <x v="0"/>
    <x v="0"/>
    <x v="3"/>
    <x v="1"/>
    <x v="1"/>
    <x v="2"/>
    <x v="1"/>
    <x v="2"/>
    <x v="1"/>
    <x v="2"/>
    <x v="0"/>
    <x v="2"/>
    <x v="4"/>
    <x v="2"/>
    <x v="29"/>
    <x v="5"/>
    <x v="0"/>
    <x v="0"/>
    <x v="1"/>
    <x v="0"/>
    <x v="0"/>
    <x v="0"/>
    <x v="0"/>
  </r>
  <r>
    <x v="59"/>
    <x v="27"/>
    <x v="27"/>
    <x v="27"/>
    <x v="45"/>
    <x v="1"/>
    <x v="2"/>
    <x v="34"/>
    <x v="29"/>
    <x v="1"/>
    <x v="9"/>
    <x v="0"/>
    <x v="0"/>
    <x v="3"/>
    <x v="1"/>
    <x v="1"/>
    <x v="2"/>
    <x v="2"/>
    <x v="1"/>
    <x v="1"/>
    <x v="1"/>
    <x v="30"/>
    <x v="2"/>
    <x v="3"/>
    <x v="4"/>
    <x v="27"/>
    <x v="5"/>
    <x v="2"/>
    <x v="0"/>
    <x v="1"/>
    <x v="0"/>
    <x v="34"/>
    <x v="0"/>
    <x v="0"/>
  </r>
  <r>
    <x v="60"/>
    <x v="31"/>
    <x v="30"/>
    <x v="30"/>
    <x v="46"/>
    <x v="1"/>
    <x v="2"/>
    <x v="32"/>
    <x v="35"/>
    <x v="1"/>
    <x v="23"/>
    <x v="0"/>
    <x v="0"/>
    <x v="3"/>
    <x v="1"/>
    <x v="2"/>
    <x v="1"/>
    <x v="1"/>
    <x v="2"/>
    <x v="1"/>
    <x v="1"/>
    <x v="30"/>
    <x v="1"/>
    <x v="3"/>
    <x v="4"/>
    <x v="30"/>
    <x v="8"/>
    <x v="3"/>
    <x v="0"/>
    <x v="1"/>
    <x v="0"/>
    <x v="0"/>
    <x v="14"/>
    <x v="12"/>
  </r>
  <r>
    <x v="61"/>
    <x v="33"/>
    <x v="32"/>
    <x v="32"/>
    <x v="47"/>
    <x v="1"/>
    <x v="1"/>
    <x v="35"/>
    <x v="36"/>
    <x v="1"/>
    <x v="24"/>
    <x v="0"/>
    <x v="0"/>
    <x v="1"/>
    <x v="2"/>
    <x v="3"/>
    <x v="2"/>
    <x v="1"/>
    <x v="2"/>
    <x v="1"/>
    <x v="1"/>
    <x v="29"/>
    <x v="1"/>
    <x v="6"/>
    <x v="2"/>
    <x v="32"/>
    <x v="8"/>
    <x v="1"/>
    <x v="7"/>
    <x v="1"/>
    <x v="0"/>
    <x v="35"/>
    <x v="15"/>
    <x v="0"/>
  </r>
  <r>
    <x v="62"/>
    <x v="34"/>
    <x v="33"/>
    <x v="33"/>
    <x v="48"/>
    <x v="1"/>
    <x v="2"/>
    <x v="36"/>
    <x v="37"/>
    <x v="1"/>
    <x v="2"/>
    <x v="0"/>
    <x v="0"/>
    <x v="1"/>
    <x v="1"/>
    <x v="1"/>
    <x v="1"/>
    <x v="1"/>
    <x v="3"/>
    <x v="1"/>
    <x v="2"/>
    <x v="0"/>
    <x v="1"/>
    <x v="6"/>
    <x v="2"/>
    <x v="33"/>
    <x v="1"/>
    <x v="0"/>
    <x v="0"/>
    <x v="1"/>
    <x v="0"/>
    <x v="0"/>
    <x v="0"/>
    <x v="0"/>
  </r>
  <r>
    <x v="63"/>
    <x v="24"/>
    <x v="24"/>
    <x v="24"/>
    <x v="49"/>
    <x v="3"/>
    <x v="2"/>
    <x v="26"/>
    <x v="25"/>
    <x v="1"/>
    <x v="25"/>
    <x v="0"/>
    <x v="0"/>
    <x v="3"/>
    <x v="1"/>
    <x v="1"/>
    <x v="2"/>
    <x v="2"/>
    <x v="3"/>
    <x v="1"/>
    <x v="1"/>
    <x v="31"/>
    <x v="1"/>
    <x v="3"/>
    <x v="4"/>
    <x v="24"/>
    <x v="1"/>
    <x v="3"/>
    <x v="0"/>
    <x v="1"/>
    <x v="0"/>
    <x v="0"/>
    <x v="16"/>
    <x v="0"/>
  </r>
  <r>
    <x v="64"/>
    <x v="33"/>
    <x v="32"/>
    <x v="32"/>
    <x v="0"/>
    <x v="1"/>
    <x v="1"/>
    <x v="35"/>
    <x v="36"/>
    <x v="1"/>
    <x v="24"/>
    <x v="0"/>
    <x v="0"/>
    <x v="3"/>
    <x v="1"/>
    <x v="1"/>
    <x v="2"/>
    <x v="1"/>
    <x v="3"/>
    <x v="1"/>
    <x v="1"/>
    <x v="31"/>
    <x v="2"/>
    <x v="3"/>
    <x v="4"/>
    <x v="32"/>
    <x v="7"/>
    <x v="3"/>
    <x v="0"/>
    <x v="1"/>
    <x v="0"/>
    <x v="0"/>
    <x v="17"/>
    <x v="13"/>
  </r>
  <r>
    <x v="65"/>
    <x v="35"/>
    <x v="34"/>
    <x v="34"/>
    <x v="50"/>
    <x v="1"/>
    <x v="2"/>
    <x v="37"/>
    <x v="38"/>
    <x v="1"/>
    <x v="12"/>
    <x v="0"/>
    <x v="0"/>
    <x v="1"/>
    <x v="2"/>
    <x v="2"/>
    <x v="2"/>
    <x v="2"/>
    <x v="3"/>
    <x v="1"/>
    <x v="1"/>
    <x v="28"/>
    <x v="1"/>
    <x v="4"/>
    <x v="2"/>
    <x v="34"/>
    <x v="7"/>
    <x v="1"/>
    <x v="1"/>
    <x v="2"/>
    <x v="1"/>
    <x v="36"/>
    <x v="0"/>
    <x v="14"/>
  </r>
  <r>
    <x v="66"/>
    <x v="36"/>
    <x v="35"/>
    <x v="35"/>
    <x v="51"/>
    <x v="1"/>
    <x v="2"/>
    <x v="38"/>
    <x v="39"/>
    <x v="1"/>
    <x v="15"/>
    <x v="0"/>
    <x v="0"/>
    <x v="1"/>
    <x v="2"/>
    <x v="3"/>
    <x v="2"/>
    <x v="1"/>
    <x v="3"/>
    <x v="1"/>
    <x v="1"/>
    <x v="31"/>
    <x v="1"/>
    <x v="1"/>
    <x v="2"/>
    <x v="35"/>
    <x v="2"/>
    <x v="1"/>
    <x v="5"/>
    <x v="2"/>
    <x v="1"/>
    <x v="37"/>
    <x v="0"/>
    <x v="0"/>
  </r>
  <r>
    <x v="67"/>
    <x v="37"/>
    <x v="36"/>
    <x v="36"/>
    <x v="52"/>
    <x v="1"/>
    <x v="2"/>
    <x v="39"/>
    <x v="40"/>
    <x v="1"/>
    <x v="26"/>
    <x v="0"/>
    <x v="0"/>
    <x v="1"/>
    <x v="2"/>
    <x v="3"/>
    <x v="2"/>
    <x v="1"/>
    <x v="2"/>
    <x v="1"/>
    <x v="1"/>
    <x v="31"/>
    <x v="1"/>
    <x v="5"/>
    <x v="2"/>
    <x v="36"/>
    <x v="7"/>
    <x v="1"/>
    <x v="3"/>
    <x v="2"/>
    <x v="1"/>
    <x v="38"/>
    <x v="0"/>
    <x v="0"/>
  </r>
  <r>
    <x v="68"/>
    <x v="38"/>
    <x v="37"/>
    <x v="37"/>
    <x v="53"/>
    <x v="3"/>
    <x v="5"/>
    <x v="40"/>
    <x v="41"/>
    <x v="1"/>
    <x v="15"/>
    <x v="0"/>
    <x v="0"/>
    <x v="1"/>
    <x v="1"/>
    <x v="1"/>
    <x v="1"/>
    <x v="2"/>
    <x v="1"/>
    <x v="2"/>
    <x v="1"/>
    <x v="31"/>
    <x v="2"/>
    <x v="5"/>
    <x v="2"/>
    <x v="37"/>
    <x v="3"/>
    <x v="1"/>
    <x v="3"/>
    <x v="2"/>
    <x v="1"/>
    <x v="0"/>
    <x v="18"/>
    <x v="15"/>
  </r>
  <r>
    <x v="69"/>
    <x v="39"/>
    <x v="38"/>
    <x v="38"/>
    <x v="54"/>
    <x v="1"/>
    <x v="2"/>
    <x v="41"/>
    <x v="42"/>
    <x v="1"/>
    <x v="15"/>
    <x v="0"/>
    <x v="0"/>
    <x v="1"/>
    <x v="1"/>
    <x v="1"/>
    <x v="2"/>
    <x v="1"/>
    <x v="2"/>
    <x v="1"/>
    <x v="2"/>
    <x v="0"/>
    <x v="1"/>
    <x v="5"/>
    <x v="2"/>
    <x v="38"/>
    <x v="3"/>
    <x v="0"/>
    <x v="0"/>
    <x v="1"/>
    <x v="0"/>
    <x v="0"/>
    <x v="0"/>
    <x v="0"/>
  </r>
  <r>
    <x v="70"/>
    <x v="40"/>
    <x v="39"/>
    <x v="39"/>
    <x v="55"/>
    <x v="1"/>
    <x v="2"/>
    <x v="42"/>
    <x v="43"/>
    <x v="1"/>
    <x v="3"/>
    <x v="0"/>
    <x v="0"/>
    <x v="1"/>
    <x v="1"/>
    <x v="1"/>
    <x v="2"/>
    <x v="1"/>
    <x v="2"/>
    <x v="1"/>
    <x v="2"/>
    <x v="0"/>
    <x v="1"/>
    <x v="5"/>
    <x v="2"/>
    <x v="39"/>
    <x v="7"/>
    <x v="0"/>
    <x v="0"/>
    <x v="1"/>
    <x v="0"/>
    <x v="0"/>
    <x v="0"/>
    <x v="0"/>
  </r>
  <r>
    <x v="71"/>
    <x v="41"/>
    <x v="40"/>
    <x v="40"/>
    <x v="56"/>
    <x v="1"/>
    <x v="1"/>
    <x v="43"/>
    <x v="44"/>
    <x v="1"/>
    <x v="1"/>
    <x v="0"/>
    <x v="0"/>
    <x v="1"/>
    <x v="3"/>
    <x v="2"/>
    <x v="2"/>
    <x v="1"/>
    <x v="3"/>
    <x v="1"/>
    <x v="1"/>
    <x v="28"/>
    <x v="1"/>
    <x v="1"/>
    <x v="2"/>
    <x v="40"/>
    <x v="1"/>
    <x v="3"/>
    <x v="0"/>
    <x v="1"/>
    <x v="0"/>
    <x v="0"/>
    <x v="0"/>
    <x v="0"/>
  </r>
  <r>
    <x v="72"/>
    <x v="42"/>
    <x v="41"/>
    <x v="41"/>
    <x v="57"/>
    <x v="1"/>
    <x v="2"/>
    <x v="44"/>
    <x v="45"/>
    <x v="2"/>
    <x v="0"/>
    <x v="4"/>
    <x v="0"/>
    <x v="1"/>
    <x v="1"/>
    <x v="1"/>
    <x v="1"/>
    <x v="1"/>
    <x v="3"/>
    <x v="1"/>
    <x v="1"/>
    <x v="31"/>
    <x v="1"/>
    <x v="1"/>
    <x v="2"/>
    <x v="41"/>
    <x v="2"/>
    <x v="1"/>
    <x v="4"/>
    <x v="2"/>
    <x v="1"/>
    <x v="39"/>
    <x v="19"/>
    <x v="0"/>
  </r>
  <r>
    <x v="73"/>
    <x v="43"/>
    <x v="42"/>
    <x v="42"/>
    <x v="58"/>
    <x v="1"/>
    <x v="2"/>
    <x v="45"/>
    <x v="46"/>
    <x v="1"/>
    <x v="27"/>
    <x v="0"/>
    <x v="0"/>
    <x v="1"/>
    <x v="3"/>
    <x v="2"/>
    <x v="1"/>
    <x v="1"/>
    <x v="3"/>
    <x v="1"/>
    <x v="1"/>
    <x v="28"/>
    <x v="1"/>
    <x v="1"/>
    <x v="2"/>
    <x v="42"/>
    <x v="1"/>
    <x v="1"/>
    <x v="4"/>
    <x v="2"/>
    <x v="1"/>
    <x v="40"/>
    <x v="0"/>
    <x v="0"/>
  </r>
  <r>
    <x v="74"/>
    <x v="44"/>
    <x v="43"/>
    <x v="43"/>
    <x v="59"/>
    <x v="1"/>
    <x v="2"/>
    <x v="46"/>
    <x v="47"/>
    <x v="1"/>
    <x v="12"/>
    <x v="0"/>
    <x v="0"/>
    <x v="1"/>
    <x v="3"/>
    <x v="2"/>
    <x v="2"/>
    <x v="1"/>
    <x v="2"/>
    <x v="1"/>
    <x v="1"/>
    <x v="32"/>
    <x v="1"/>
    <x v="1"/>
    <x v="2"/>
    <x v="43"/>
    <x v="3"/>
    <x v="1"/>
    <x v="1"/>
    <x v="1"/>
    <x v="0"/>
    <x v="41"/>
    <x v="0"/>
    <x v="0"/>
  </r>
  <r>
    <x v="75"/>
    <x v="45"/>
    <x v="44"/>
    <x v="44"/>
    <x v="60"/>
    <x v="3"/>
    <x v="2"/>
    <x v="47"/>
    <x v="17"/>
    <x v="1"/>
    <x v="28"/>
    <x v="0"/>
    <x v="0"/>
    <x v="1"/>
    <x v="1"/>
    <x v="1"/>
    <x v="2"/>
    <x v="1"/>
    <x v="2"/>
    <x v="1"/>
    <x v="1"/>
    <x v="28"/>
    <x v="1"/>
    <x v="1"/>
    <x v="1"/>
    <x v="44"/>
    <x v="4"/>
    <x v="3"/>
    <x v="0"/>
    <x v="1"/>
    <x v="0"/>
    <x v="0"/>
    <x v="0"/>
    <x v="16"/>
  </r>
  <r>
    <x v="76"/>
    <x v="46"/>
    <x v="45"/>
    <x v="45"/>
    <x v="61"/>
    <x v="1"/>
    <x v="2"/>
    <x v="48"/>
    <x v="48"/>
    <x v="1"/>
    <x v="15"/>
    <x v="0"/>
    <x v="0"/>
    <x v="1"/>
    <x v="2"/>
    <x v="3"/>
    <x v="1"/>
    <x v="1"/>
    <x v="3"/>
    <x v="1"/>
    <x v="1"/>
    <x v="28"/>
    <x v="1"/>
    <x v="1"/>
    <x v="1"/>
    <x v="45"/>
    <x v="2"/>
    <x v="1"/>
    <x v="1"/>
    <x v="2"/>
    <x v="1"/>
    <x v="42"/>
    <x v="0"/>
    <x v="0"/>
  </r>
  <r>
    <x v="77"/>
    <x v="37"/>
    <x v="36"/>
    <x v="36"/>
    <x v="62"/>
    <x v="1"/>
    <x v="2"/>
    <x v="39"/>
    <x v="49"/>
    <x v="1"/>
    <x v="26"/>
    <x v="0"/>
    <x v="0"/>
    <x v="3"/>
    <x v="1"/>
    <x v="1"/>
    <x v="2"/>
    <x v="1"/>
    <x v="2"/>
    <x v="1"/>
    <x v="2"/>
    <x v="0"/>
    <x v="1"/>
    <x v="3"/>
    <x v="4"/>
    <x v="36"/>
    <x v="3"/>
    <x v="0"/>
    <x v="0"/>
    <x v="1"/>
    <x v="0"/>
    <x v="0"/>
    <x v="0"/>
    <x v="0"/>
  </r>
  <r>
    <x v="78"/>
    <x v="47"/>
    <x v="46"/>
    <x v="46"/>
    <x v="63"/>
    <x v="1"/>
    <x v="2"/>
    <x v="49"/>
    <x v="10"/>
    <x v="1"/>
    <x v="1"/>
    <x v="0"/>
    <x v="0"/>
    <x v="1"/>
    <x v="1"/>
    <x v="3"/>
    <x v="2"/>
    <x v="1"/>
    <x v="2"/>
    <x v="1"/>
    <x v="1"/>
    <x v="28"/>
    <x v="2"/>
    <x v="1"/>
    <x v="2"/>
    <x v="46"/>
    <x v="4"/>
    <x v="3"/>
    <x v="0"/>
    <x v="1"/>
    <x v="0"/>
    <x v="0"/>
    <x v="0"/>
    <x v="0"/>
  </r>
  <r>
    <x v="79"/>
    <x v="42"/>
    <x v="41"/>
    <x v="41"/>
    <x v="64"/>
    <x v="1"/>
    <x v="2"/>
    <x v="50"/>
    <x v="45"/>
    <x v="1"/>
    <x v="4"/>
    <x v="0"/>
    <x v="0"/>
    <x v="3"/>
    <x v="2"/>
    <x v="3"/>
    <x v="2"/>
    <x v="1"/>
    <x v="2"/>
    <x v="1"/>
    <x v="1"/>
    <x v="28"/>
    <x v="1"/>
    <x v="3"/>
    <x v="4"/>
    <x v="41"/>
    <x v="1"/>
    <x v="1"/>
    <x v="4"/>
    <x v="1"/>
    <x v="0"/>
    <x v="43"/>
    <x v="0"/>
    <x v="0"/>
  </r>
  <r>
    <x v="80"/>
    <x v="20"/>
    <x v="47"/>
    <x v="20"/>
    <x v="65"/>
    <x v="1"/>
    <x v="2"/>
    <x v="22"/>
    <x v="21"/>
    <x v="2"/>
    <x v="0"/>
    <x v="2"/>
    <x v="0"/>
    <x v="1"/>
    <x v="1"/>
    <x v="1"/>
    <x v="2"/>
    <x v="1"/>
    <x v="2"/>
    <x v="1"/>
    <x v="1"/>
    <x v="28"/>
    <x v="1"/>
    <x v="1"/>
    <x v="2"/>
    <x v="20"/>
    <x v="9"/>
    <x v="1"/>
    <x v="2"/>
    <x v="1"/>
    <x v="0"/>
    <x v="44"/>
    <x v="0"/>
    <x v="0"/>
  </r>
  <r>
    <x v="81"/>
    <x v="48"/>
    <x v="37"/>
    <x v="37"/>
    <x v="66"/>
    <x v="3"/>
    <x v="2"/>
    <x v="40"/>
    <x v="41"/>
    <x v="1"/>
    <x v="29"/>
    <x v="0"/>
    <x v="0"/>
    <x v="3"/>
    <x v="1"/>
    <x v="1"/>
    <x v="1"/>
    <x v="2"/>
    <x v="1"/>
    <x v="2"/>
    <x v="2"/>
    <x v="0"/>
    <x v="1"/>
    <x v="3"/>
    <x v="4"/>
    <x v="37"/>
    <x v="3"/>
    <x v="0"/>
    <x v="0"/>
    <x v="1"/>
    <x v="0"/>
    <x v="0"/>
    <x v="0"/>
    <x v="17"/>
  </r>
  <r>
    <x v="82"/>
    <x v="49"/>
    <x v="48"/>
    <x v="47"/>
    <x v="67"/>
    <x v="1"/>
    <x v="1"/>
    <x v="51"/>
    <x v="50"/>
    <x v="1"/>
    <x v="30"/>
    <x v="0"/>
    <x v="0"/>
    <x v="1"/>
    <x v="3"/>
    <x v="2"/>
    <x v="2"/>
    <x v="1"/>
    <x v="3"/>
    <x v="1"/>
    <x v="1"/>
    <x v="28"/>
    <x v="1"/>
    <x v="1"/>
    <x v="2"/>
    <x v="47"/>
    <x v="3"/>
    <x v="1"/>
    <x v="1"/>
    <x v="1"/>
    <x v="0"/>
    <x v="45"/>
    <x v="0"/>
    <x v="0"/>
  </r>
  <r>
    <x v="83"/>
    <x v="50"/>
    <x v="49"/>
    <x v="48"/>
    <x v="68"/>
    <x v="1"/>
    <x v="2"/>
    <x v="52"/>
    <x v="51"/>
    <x v="1"/>
    <x v="15"/>
    <x v="0"/>
    <x v="0"/>
    <x v="1"/>
    <x v="1"/>
    <x v="1"/>
    <x v="2"/>
    <x v="1"/>
    <x v="2"/>
    <x v="1"/>
    <x v="2"/>
    <x v="0"/>
    <x v="1"/>
    <x v="2"/>
    <x v="2"/>
    <x v="48"/>
    <x v="5"/>
    <x v="0"/>
    <x v="0"/>
    <x v="1"/>
    <x v="0"/>
    <x v="0"/>
    <x v="0"/>
    <x v="0"/>
  </r>
  <r>
    <x v="84"/>
    <x v="51"/>
    <x v="50"/>
    <x v="49"/>
    <x v="69"/>
    <x v="1"/>
    <x v="2"/>
    <x v="53"/>
    <x v="52"/>
    <x v="1"/>
    <x v="31"/>
    <x v="0"/>
    <x v="0"/>
    <x v="1"/>
    <x v="1"/>
    <x v="1"/>
    <x v="2"/>
    <x v="1"/>
    <x v="3"/>
    <x v="1"/>
    <x v="1"/>
    <x v="33"/>
    <x v="1"/>
    <x v="1"/>
    <x v="2"/>
    <x v="49"/>
    <x v="4"/>
    <x v="3"/>
    <x v="0"/>
    <x v="1"/>
    <x v="0"/>
    <x v="46"/>
    <x v="20"/>
    <x v="0"/>
  </r>
  <r>
    <x v="85"/>
    <x v="46"/>
    <x v="45"/>
    <x v="45"/>
    <x v="70"/>
    <x v="0"/>
    <x v="2"/>
    <x v="48"/>
    <x v="48"/>
    <x v="1"/>
    <x v="15"/>
    <x v="0"/>
    <x v="0"/>
    <x v="3"/>
    <x v="1"/>
    <x v="1"/>
    <x v="1"/>
    <x v="1"/>
    <x v="3"/>
    <x v="1"/>
    <x v="2"/>
    <x v="0"/>
    <x v="2"/>
    <x v="3"/>
    <x v="4"/>
    <x v="45"/>
    <x v="5"/>
    <x v="0"/>
    <x v="0"/>
    <x v="1"/>
    <x v="0"/>
    <x v="0"/>
    <x v="0"/>
    <x v="0"/>
  </r>
  <r>
    <x v="86"/>
    <x v="20"/>
    <x v="47"/>
    <x v="20"/>
    <x v="0"/>
    <x v="1"/>
    <x v="2"/>
    <x v="22"/>
    <x v="21"/>
    <x v="2"/>
    <x v="0"/>
    <x v="2"/>
    <x v="0"/>
    <x v="3"/>
    <x v="1"/>
    <x v="3"/>
    <x v="2"/>
    <x v="1"/>
    <x v="2"/>
    <x v="1"/>
    <x v="1"/>
    <x v="32"/>
    <x v="2"/>
    <x v="3"/>
    <x v="4"/>
    <x v="20"/>
    <x v="4"/>
    <x v="1"/>
    <x v="8"/>
    <x v="1"/>
    <x v="0"/>
    <x v="47"/>
    <x v="0"/>
    <x v="18"/>
  </r>
  <r>
    <x v="87"/>
    <x v="43"/>
    <x v="42"/>
    <x v="42"/>
    <x v="71"/>
    <x v="1"/>
    <x v="2"/>
    <x v="45"/>
    <x v="46"/>
    <x v="1"/>
    <x v="27"/>
    <x v="0"/>
    <x v="0"/>
    <x v="3"/>
    <x v="1"/>
    <x v="1"/>
    <x v="2"/>
    <x v="1"/>
    <x v="2"/>
    <x v="1"/>
    <x v="2"/>
    <x v="0"/>
    <x v="2"/>
    <x v="3"/>
    <x v="4"/>
    <x v="42"/>
    <x v="1"/>
    <x v="0"/>
    <x v="0"/>
    <x v="1"/>
    <x v="0"/>
    <x v="0"/>
    <x v="0"/>
    <x v="0"/>
  </r>
  <r>
    <x v="88"/>
    <x v="35"/>
    <x v="34"/>
    <x v="34"/>
    <x v="0"/>
    <x v="1"/>
    <x v="2"/>
    <x v="37"/>
    <x v="53"/>
    <x v="1"/>
    <x v="12"/>
    <x v="0"/>
    <x v="0"/>
    <x v="3"/>
    <x v="1"/>
    <x v="1"/>
    <x v="2"/>
    <x v="2"/>
    <x v="1"/>
    <x v="1"/>
    <x v="2"/>
    <x v="0"/>
    <x v="2"/>
    <x v="3"/>
    <x v="4"/>
    <x v="34"/>
    <x v="5"/>
    <x v="0"/>
    <x v="0"/>
    <x v="1"/>
    <x v="0"/>
    <x v="0"/>
    <x v="0"/>
    <x v="0"/>
  </r>
  <r>
    <x v="89"/>
    <x v="52"/>
    <x v="51"/>
    <x v="50"/>
    <x v="72"/>
    <x v="1"/>
    <x v="2"/>
    <x v="54"/>
    <x v="54"/>
    <x v="1"/>
    <x v="3"/>
    <x v="0"/>
    <x v="0"/>
    <x v="1"/>
    <x v="1"/>
    <x v="1"/>
    <x v="2"/>
    <x v="1"/>
    <x v="2"/>
    <x v="1"/>
    <x v="1"/>
    <x v="34"/>
    <x v="1"/>
    <x v="1"/>
    <x v="2"/>
    <x v="50"/>
    <x v="1"/>
    <x v="1"/>
    <x v="7"/>
    <x v="2"/>
    <x v="1"/>
    <x v="48"/>
    <x v="0"/>
    <x v="0"/>
  </r>
  <r>
    <x v="90"/>
    <x v="53"/>
    <x v="52"/>
    <x v="51"/>
    <x v="73"/>
    <x v="2"/>
    <x v="5"/>
    <x v="55"/>
    <x v="55"/>
    <x v="1"/>
    <x v="3"/>
    <x v="0"/>
    <x v="0"/>
    <x v="2"/>
    <x v="3"/>
    <x v="2"/>
    <x v="2"/>
    <x v="2"/>
    <x v="1"/>
    <x v="1"/>
    <x v="1"/>
    <x v="33"/>
    <x v="1"/>
    <x v="1"/>
    <x v="2"/>
    <x v="51"/>
    <x v="2"/>
    <x v="3"/>
    <x v="0"/>
    <x v="1"/>
    <x v="0"/>
    <x v="49"/>
    <x v="21"/>
    <x v="0"/>
  </r>
  <r>
    <x v="91"/>
    <x v="54"/>
    <x v="53"/>
    <x v="52"/>
    <x v="74"/>
    <x v="1"/>
    <x v="2"/>
    <x v="56"/>
    <x v="56"/>
    <x v="1"/>
    <x v="32"/>
    <x v="0"/>
    <x v="0"/>
    <x v="1"/>
    <x v="1"/>
    <x v="1"/>
    <x v="2"/>
    <x v="1"/>
    <x v="2"/>
    <x v="1"/>
    <x v="2"/>
    <x v="0"/>
    <x v="2"/>
    <x v="1"/>
    <x v="2"/>
    <x v="52"/>
    <x v="5"/>
    <x v="0"/>
    <x v="0"/>
    <x v="1"/>
    <x v="0"/>
    <x v="0"/>
    <x v="0"/>
    <x v="0"/>
  </r>
  <r>
    <x v="92"/>
    <x v="55"/>
    <x v="54"/>
    <x v="53"/>
    <x v="75"/>
    <x v="1"/>
    <x v="2"/>
    <x v="57"/>
    <x v="57"/>
    <x v="1"/>
    <x v="3"/>
    <x v="0"/>
    <x v="0"/>
    <x v="1"/>
    <x v="3"/>
    <x v="3"/>
    <x v="2"/>
    <x v="1"/>
    <x v="2"/>
    <x v="1"/>
    <x v="1"/>
    <x v="32"/>
    <x v="2"/>
    <x v="1"/>
    <x v="2"/>
    <x v="53"/>
    <x v="5"/>
    <x v="3"/>
    <x v="0"/>
    <x v="1"/>
    <x v="0"/>
    <x v="0"/>
    <x v="0"/>
    <x v="0"/>
  </r>
  <r>
    <x v="93"/>
    <x v="36"/>
    <x v="35"/>
    <x v="35"/>
    <x v="76"/>
    <x v="1"/>
    <x v="2"/>
    <x v="38"/>
    <x v="39"/>
    <x v="1"/>
    <x v="33"/>
    <x v="0"/>
    <x v="0"/>
    <x v="3"/>
    <x v="1"/>
    <x v="1"/>
    <x v="2"/>
    <x v="1"/>
    <x v="3"/>
    <x v="1"/>
    <x v="2"/>
    <x v="0"/>
    <x v="1"/>
    <x v="3"/>
    <x v="4"/>
    <x v="35"/>
    <x v="2"/>
    <x v="0"/>
    <x v="0"/>
    <x v="1"/>
    <x v="0"/>
    <x v="0"/>
    <x v="0"/>
    <x v="0"/>
  </r>
  <r>
    <x v="94"/>
    <x v="49"/>
    <x v="48"/>
    <x v="47"/>
    <x v="0"/>
    <x v="1"/>
    <x v="1"/>
    <x v="51"/>
    <x v="50"/>
    <x v="1"/>
    <x v="34"/>
    <x v="0"/>
    <x v="0"/>
    <x v="3"/>
    <x v="1"/>
    <x v="1"/>
    <x v="2"/>
    <x v="1"/>
    <x v="3"/>
    <x v="1"/>
    <x v="1"/>
    <x v="35"/>
    <x v="2"/>
    <x v="3"/>
    <x v="4"/>
    <x v="47"/>
    <x v="5"/>
    <x v="1"/>
    <x v="1"/>
    <x v="2"/>
    <x v="1"/>
    <x v="0"/>
    <x v="22"/>
    <x v="0"/>
  </r>
  <r>
    <x v="95"/>
    <x v="56"/>
    <x v="55"/>
    <x v="54"/>
    <x v="77"/>
    <x v="2"/>
    <x v="2"/>
    <x v="58"/>
    <x v="58"/>
    <x v="1"/>
    <x v="12"/>
    <x v="0"/>
    <x v="0"/>
    <x v="1"/>
    <x v="2"/>
    <x v="3"/>
    <x v="2"/>
    <x v="1"/>
    <x v="1"/>
    <x v="1"/>
    <x v="1"/>
    <x v="32"/>
    <x v="2"/>
    <x v="5"/>
    <x v="2"/>
    <x v="54"/>
    <x v="5"/>
    <x v="1"/>
    <x v="1"/>
    <x v="1"/>
    <x v="0"/>
    <x v="50"/>
    <x v="0"/>
    <x v="0"/>
  </r>
  <r>
    <x v="96"/>
    <x v="44"/>
    <x v="43"/>
    <x v="43"/>
    <x v="0"/>
    <x v="1"/>
    <x v="2"/>
    <x v="59"/>
    <x v="47"/>
    <x v="1"/>
    <x v="12"/>
    <x v="0"/>
    <x v="0"/>
    <x v="3"/>
    <x v="1"/>
    <x v="1"/>
    <x v="2"/>
    <x v="1"/>
    <x v="2"/>
    <x v="1"/>
    <x v="1"/>
    <x v="35"/>
    <x v="2"/>
    <x v="3"/>
    <x v="4"/>
    <x v="43"/>
    <x v="5"/>
    <x v="3"/>
    <x v="0"/>
    <x v="1"/>
    <x v="0"/>
    <x v="51"/>
    <x v="23"/>
    <x v="0"/>
  </r>
  <r>
    <x v="97"/>
    <x v="20"/>
    <x v="47"/>
    <x v="20"/>
    <x v="0"/>
    <x v="1"/>
    <x v="2"/>
    <x v="22"/>
    <x v="21"/>
    <x v="6"/>
    <x v="0"/>
    <x v="0"/>
    <x v="1"/>
    <x v="3"/>
    <x v="4"/>
    <x v="1"/>
    <x v="2"/>
    <x v="1"/>
    <x v="2"/>
    <x v="1"/>
    <x v="2"/>
    <x v="0"/>
    <x v="2"/>
    <x v="3"/>
    <x v="4"/>
    <x v="20"/>
    <x v="8"/>
    <x v="0"/>
    <x v="0"/>
    <x v="1"/>
    <x v="0"/>
    <x v="0"/>
    <x v="0"/>
    <x v="0"/>
  </r>
  <r>
    <x v="98"/>
    <x v="56"/>
    <x v="55"/>
    <x v="54"/>
    <x v="0"/>
    <x v="2"/>
    <x v="2"/>
    <x v="58"/>
    <x v="58"/>
    <x v="1"/>
    <x v="12"/>
    <x v="0"/>
    <x v="0"/>
    <x v="3"/>
    <x v="1"/>
    <x v="2"/>
    <x v="2"/>
    <x v="1"/>
    <x v="2"/>
    <x v="1"/>
    <x v="1"/>
    <x v="35"/>
    <x v="2"/>
    <x v="3"/>
    <x v="4"/>
    <x v="54"/>
    <x v="5"/>
    <x v="1"/>
    <x v="1"/>
    <x v="1"/>
    <x v="0"/>
    <x v="52"/>
    <x v="24"/>
    <x v="0"/>
  </r>
  <r>
    <x v="99"/>
    <x v="57"/>
    <x v="56"/>
    <x v="55"/>
    <x v="78"/>
    <x v="3"/>
    <x v="2"/>
    <x v="60"/>
    <x v="30"/>
    <x v="1"/>
    <x v="2"/>
    <x v="0"/>
    <x v="0"/>
    <x v="1"/>
    <x v="2"/>
    <x v="3"/>
    <x v="2"/>
    <x v="1"/>
    <x v="2"/>
    <x v="1"/>
    <x v="1"/>
    <x v="33"/>
    <x v="1"/>
    <x v="6"/>
    <x v="2"/>
    <x v="55"/>
    <x v="8"/>
    <x v="1"/>
    <x v="4"/>
    <x v="2"/>
    <x v="1"/>
    <x v="53"/>
    <x v="0"/>
    <x v="19"/>
  </r>
  <r>
    <x v="100"/>
    <x v="58"/>
    <x v="57"/>
    <x v="56"/>
    <x v="79"/>
    <x v="3"/>
    <x v="1"/>
    <x v="61"/>
    <x v="59"/>
    <x v="1"/>
    <x v="35"/>
    <x v="0"/>
    <x v="0"/>
    <x v="1"/>
    <x v="1"/>
    <x v="2"/>
    <x v="1"/>
    <x v="1"/>
    <x v="2"/>
    <x v="1"/>
    <x v="1"/>
    <x v="35"/>
    <x v="1"/>
    <x v="6"/>
    <x v="2"/>
    <x v="56"/>
    <x v="5"/>
    <x v="1"/>
    <x v="9"/>
    <x v="1"/>
    <x v="0"/>
    <x v="52"/>
    <x v="25"/>
    <x v="0"/>
  </r>
  <r>
    <x v="101"/>
    <x v="59"/>
    <x v="58"/>
    <x v="57"/>
    <x v="80"/>
    <x v="1"/>
    <x v="2"/>
    <x v="62"/>
    <x v="59"/>
    <x v="1"/>
    <x v="36"/>
    <x v="0"/>
    <x v="0"/>
    <x v="1"/>
    <x v="1"/>
    <x v="2"/>
    <x v="2"/>
    <x v="1"/>
    <x v="1"/>
    <x v="1"/>
    <x v="1"/>
    <x v="35"/>
    <x v="2"/>
    <x v="6"/>
    <x v="2"/>
    <x v="57"/>
    <x v="5"/>
    <x v="3"/>
    <x v="0"/>
    <x v="1"/>
    <x v="0"/>
    <x v="54"/>
    <x v="26"/>
    <x v="20"/>
  </r>
  <r>
    <x v="102"/>
    <x v="60"/>
    <x v="59"/>
    <x v="58"/>
    <x v="81"/>
    <x v="1"/>
    <x v="2"/>
    <x v="63"/>
    <x v="60"/>
    <x v="1"/>
    <x v="15"/>
    <x v="0"/>
    <x v="0"/>
    <x v="1"/>
    <x v="2"/>
    <x v="3"/>
    <x v="1"/>
    <x v="1"/>
    <x v="1"/>
    <x v="1"/>
    <x v="1"/>
    <x v="33"/>
    <x v="1"/>
    <x v="6"/>
    <x v="2"/>
    <x v="58"/>
    <x v="8"/>
    <x v="3"/>
    <x v="0"/>
    <x v="1"/>
    <x v="0"/>
    <x v="55"/>
    <x v="27"/>
    <x v="0"/>
  </r>
  <r>
    <x v="103"/>
    <x v="30"/>
    <x v="29"/>
    <x v="29"/>
    <x v="82"/>
    <x v="1"/>
    <x v="2"/>
    <x v="31"/>
    <x v="31"/>
    <x v="1"/>
    <x v="1"/>
    <x v="0"/>
    <x v="0"/>
    <x v="1"/>
    <x v="2"/>
    <x v="3"/>
    <x v="2"/>
    <x v="1"/>
    <x v="2"/>
    <x v="1"/>
    <x v="1"/>
    <x v="33"/>
    <x v="2"/>
    <x v="6"/>
    <x v="2"/>
    <x v="29"/>
    <x v="5"/>
    <x v="3"/>
    <x v="0"/>
    <x v="1"/>
    <x v="0"/>
    <x v="55"/>
    <x v="28"/>
    <x v="0"/>
  </r>
  <r>
    <x v="104"/>
    <x v="61"/>
    <x v="60"/>
    <x v="59"/>
    <x v="83"/>
    <x v="1"/>
    <x v="1"/>
    <x v="25"/>
    <x v="61"/>
    <x v="1"/>
    <x v="37"/>
    <x v="0"/>
    <x v="0"/>
    <x v="1"/>
    <x v="2"/>
    <x v="3"/>
    <x v="2"/>
    <x v="1"/>
    <x v="2"/>
    <x v="1"/>
    <x v="1"/>
    <x v="33"/>
    <x v="1"/>
    <x v="6"/>
    <x v="2"/>
    <x v="59"/>
    <x v="5"/>
    <x v="1"/>
    <x v="7"/>
    <x v="1"/>
    <x v="0"/>
    <x v="56"/>
    <x v="0"/>
    <x v="21"/>
  </r>
  <r>
    <x v="105"/>
    <x v="62"/>
    <x v="61"/>
    <x v="60"/>
    <x v="84"/>
    <x v="1"/>
    <x v="2"/>
    <x v="64"/>
    <x v="62"/>
    <x v="1"/>
    <x v="15"/>
    <x v="0"/>
    <x v="0"/>
    <x v="1"/>
    <x v="1"/>
    <x v="1"/>
    <x v="2"/>
    <x v="1"/>
    <x v="2"/>
    <x v="1"/>
    <x v="2"/>
    <x v="0"/>
    <x v="1"/>
    <x v="4"/>
    <x v="2"/>
    <x v="60"/>
    <x v="8"/>
    <x v="0"/>
    <x v="0"/>
    <x v="1"/>
    <x v="0"/>
    <x v="0"/>
    <x v="0"/>
    <x v="22"/>
  </r>
  <r>
    <x v="106"/>
    <x v="51"/>
    <x v="50"/>
    <x v="49"/>
    <x v="85"/>
    <x v="1"/>
    <x v="2"/>
    <x v="65"/>
    <x v="52"/>
    <x v="1"/>
    <x v="2"/>
    <x v="0"/>
    <x v="0"/>
    <x v="1"/>
    <x v="2"/>
    <x v="3"/>
    <x v="2"/>
    <x v="1"/>
    <x v="2"/>
    <x v="1"/>
    <x v="1"/>
    <x v="33"/>
    <x v="1"/>
    <x v="6"/>
    <x v="3"/>
    <x v="49"/>
    <x v="8"/>
    <x v="3"/>
    <x v="0"/>
    <x v="1"/>
    <x v="0"/>
    <x v="57"/>
    <x v="28"/>
    <x v="0"/>
  </r>
  <r>
    <x v="107"/>
    <x v="57"/>
    <x v="56"/>
    <x v="55"/>
    <x v="86"/>
    <x v="3"/>
    <x v="2"/>
    <x v="60"/>
    <x v="30"/>
    <x v="1"/>
    <x v="25"/>
    <x v="0"/>
    <x v="0"/>
    <x v="3"/>
    <x v="3"/>
    <x v="2"/>
    <x v="2"/>
    <x v="2"/>
    <x v="3"/>
    <x v="1"/>
    <x v="1"/>
    <x v="35"/>
    <x v="1"/>
    <x v="3"/>
    <x v="4"/>
    <x v="55"/>
    <x v="1"/>
    <x v="1"/>
    <x v="1"/>
    <x v="2"/>
    <x v="1"/>
    <x v="58"/>
    <x v="0"/>
    <x v="23"/>
  </r>
  <r>
    <x v="108"/>
    <x v="63"/>
    <x v="62"/>
    <x v="61"/>
    <x v="87"/>
    <x v="1"/>
    <x v="1"/>
    <x v="66"/>
    <x v="16"/>
    <x v="1"/>
    <x v="38"/>
    <x v="0"/>
    <x v="0"/>
    <x v="1"/>
    <x v="1"/>
    <x v="1"/>
    <x v="2"/>
    <x v="1"/>
    <x v="2"/>
    <x v="1"/>
    <x v="1"/>
    <x v="33"/>
    <x v="1"/>
    <x v="2"/>
    <x v="2"/>
    <x v="61"/>
    <x v="7"/>
    <x v="1"/>
    <x v="7"/>
    <x v="2"/>
    <x v="1"/>
    <x v="59"/>
    <x v="0"/>
    <x v="0"/>
  </r>
  <r>
    <x v="109"/>
    <x v="64"/>
    <x v="63"/>
    <x v="62"/>
    <x v="88"/>
    <x v="1"/>
    <x v="2"/>
    <x v="67"/>
    <x v="63"/>
    <x v="1"/>
    <x v="39"/>
    <x v="0"/>
    <x v="0"/>
    <x v="1"/>
    <x v="1"/>
    <x v="1"/>
    <x v="2"/>
    <x v="1"/>
    <x v="3"/>
    <x v="1"/>
    <x v="1"/>
    <x v="36"/>
    <x v="1"/>
    <x v="1"/>
    <x v="2"/>
    <x v="62"/>
    <x v="1"/>
    <x v="1"/>
    <x v="4"/>
    <x v="2"/>
    <x v="1"/>
    <x v="60"/>
    <x v="0"/>
    <x v="24"/>
  </r>
  <r>
    <x v="110"/>
    <x v="65"/>
    <x v="64"/>
    <x v="63"/>
    <x v="89"/>
    <x v="3"/>
    <x v="2"/>
    <x v="68"/>
    <x v="64"/>
    <x v="1"/>
    <x v="31"/>
    <x v="0"/>
    <x v="0"/>
    <x v="1"/>
    <x v="1"/>
    <x v="1"/>
    <x v="2"/>
    <x v="1"/>
    <x v="3"/>
    <x v="1"/>
    <x v="2"/>
    <x v="0"/>
    <x v="1"/>
    <x v="1"/>
    <x v="2"/>
    <x v="63"/>
    <x v="1"/>
    <x v="0"/>
    <x v="0"/>
    <x v="1"/>
    <x v="0"/>
    <x v="0"/>
    <x v="0"/>
    <x v="0"/>
  </r>
  <r>
    <x v="111"/>
    <x v="66"/>
    <x v="65"/>
    <x v="64"/>
    <x v="90"/>
    <x v="1"/>
    <x v="2"/>
    <x v="69"/>
    <x v="65"/>
    <x v="1"/>
    <x v="15"/>
    <x v="0"/>
    <x v="0"/>
    <x v="1"/>
    <x v="1"/>
    <x v="1"/>
    <x v="2"/>
    <x v="1"/>
    <x v="1"/>
    <x v="1"/>
    <x v="2"/>
    <x v="0"/>
    <x v="1"/>
    <x v="1"/>
    <x v="2"/>
    <x v="64"/>
    <x v="1"/>
    <x v="0"/>
    <x v="0"/>
    <x v="1"/>
    <x v="0"/>
    <x v="0"/>
    <x v="0"/>
    <x v="0"/>
  </r>
  <r>
    <x v="112"/>
    <x v="61"/>
    <x v="60"/>
    <x v="59"/>
    <x v="0"/>
    <x v="1"/>
    <x v="2"/>
    <x v="25"/>
    <x v="61"/>
    <x v="1"/>
    <x v="40"/>
    <x v="0"/>
    <x v="0"/>
    <x v="3"/>
    <x v="1"/>
    <x v="1"/>
    <x v="2"/>
    <x v="1"/>
    <x v="2"/>
    <x v="1"/>
    <x v="2"/>
    <x v="0"/>
    <x v="2"/>
    <x v="3"/>
    <x v="4"/>
    <x v="59"/>
    <x v="7"/>
    <x v="0"/>
    <x v="0"/>
    <x v="1"/>
    <x v="0"/>
    <x v="0"/>
    <x v="0"/>
    <x v="0"/>
  </r>
  <r>
    <x v="113"/>
    <x v="67"/>
    <x v="66"/>
    <x v="65"/>
    <x v="91"/>
    <x v="1"/>
    <x v="2"/>
    <x v="70"/>
    <x v="66"/>
    <x v="1"/>
    <x v="41"/>
    <x v="0"/>
    <x v="0"/>
    <x v="1"/>
    <x v="1"/>
    <x v="1"/>
    <x v="2"/>
    <x v="1"/>
    <x v="3"/>
    <x v="1"/>
    <x v="2"/>
    <x v="0"/>
    <x v="1"/>
    <x v="1"/>
    <x v="2"/>
    <x v="65"/>
    <x v="1"/>
    <x v="0"/>
    <x v="0"/>
    <x v="1"/>
    <x v="0"/>
    <x v="0"/>
    <x v="0"/>
    <x v="0"/>
  </r>
  <r>
    <x v="114"/>
    <x v="68"/>
    <x v="67"/>
    <x v="66"/>
    <x v="92"/>
    <x v="1"/>
    <x v="2"/>
    <x v="71"/>
    <x v="67"/>
    <x v="1"/>
    <x v="42"/>
    <x v="0"/>
    <x v="0"/>
    <x v="1"/>
    <x v="3"/>
    <x v="2"/>
    <x v="1"/>
    <x v="1"/>
    <x v="2"/>
    <x v="1"/>
    <x v="2"/>
    <x v="33"/>
    <x v="1"/>
    <x v="1"/>
    <x v="2"/>
    <x v="66"/>
    <x v="2"/>
    <x v="2"/>
    <x v="0"/>
    <x v="1"/>
    <x v="0"/>
    <x v="61"/>
    <x v="0"/>
    <x v="25"/>
  </r>
  <r>
    <x v="115"/>
    <x v="69"/>
    <x v="68"/>
    <x v="67"/>
    <x v="93"/>
    <x v="3"/>
    <x v="2"/>
    <x v="72"/>
    <x v="68"/>
    <x v="1"/>
    <x v="3"/>
    <x v="0"/>
    <x v="0"/>
    <x v="1"/>
    <x v="3"/>
    <x v="3"/>
    <x v="1"/>
    <x v="1"/>
    <x v="2"/>
    <x v="1"/>
    <x v="1"/>
    <x v="36"/>
    <x v="1"/>
    <x v="2"/>
    <x v="1"/>
    <x v="67"/>
    <x v="7"/>
    <x v="3"/>
    <x v="0"/>
    <x v="1"/>
    <x v="0"/>
    <x v="62"/>
    <x v="29"/>
    <x v="26"/>
  </r>
  <r>
    <x v="116"/>
    <x v="70"/>
    <x v="69"/>
    <x v="68"/>
    <x v="94"/>
    <x v="1"/>
    <x v="2"/>
    <x v="73"/>
    <x v="69"/>
    <x v="2"/>
    <x v="0"/>
    <x v="5"/>
    <x v="0"/>
    <x v="1"/>
    <x v="2"/>
    <x v="3"/>
    <x v="2"/>
    <x v="1"/>
    <x v="2"/>
    <x v="1"/>
    <x v="1"/>
    <x v="35"/>
    <x v="1"/>
    <x v="1"/>
    <x v="2"/>
    <x v="68"/>
    <x v="1"/>
    <x v="1"/>
    <x v="1"/>
    <x v="2"/>
    <x v="1"/>
    <x v="63"/>
    <x v="0"/>
    <x v="0"/>
  </r>
  <r>
    <x v="117"/>
    <x v="71"/>
    <x v="70"/>
    <x v="69"/>
    <x v="95"/>
    <x v="1"/>
    <x v="2"/>
    <x v="74"/>
    <x v="70"/>
    <x v="2"/>
    <x v="0"/>
    <x v="6"/>
    <x v="0"/>
    <x v="1"/>
    <x v="2"/>
    <x v="3"/>
    <x v="1"/>
    <x v="1"/>
    <x v="2"/>
    <x v="1"/>
    <x v="1"/>
    <x v="35"/>
    <x v="1"/>
    <x v="1"/>
    <x v="2"/>
    <x v="69"/>
    <x v="2"/>
    <x v="3"/>
    <x v="0"/>
    <x v="1"/>
    <x v="0"/>
    <x v="64"/>
    <x v="30"/>
    <x v="0"/>
  </r>
  <r>
    <x v="118"/>
    <x v="63"/>
    <x v="62"/>
    <x v="61"/>
    <x v="96"/>
    <x v="1"/>
    <x v="1"/>
    <x v="66"/>
    <x v="16"/>
    <x v="1"/>
    <x v="43"/>
    <x v="0"/>
    <x v="0"/>
    <x v="3"/>
    <x v="2"/>
    <x v="3"/>
    <x v="2"/>
    <x v="1"/>
    <x v="2"/>
    <x v="1"/>
    <x v="1"/>
    <x v="35"/>
    <x v="1"/>
    <x v="3"/>
    <x v="4"/>
    <x v="61"/>
    <x v="7"/>
    <x v="1"/>
    <x v="1"/>
    <x v="2"/>
    <x v="1"/>
    <x v="65"/>
    <x v="0"/>
    <x v="0"/>
  </r>
  <r>
    <x v="119"/>
    <x v="72"/>
    <x v="71"/>
    <x v="70"/>
    <x v="97"/>
    <x v="1"/>
    <x v="1"/>
    <x v="75"/>
    <x v="37"/>
    <x v="1"/>
    <x v="24"/>
    <x v="0"/>
    <x v="0"/>
    <x v="1"/>
    <x v="2"/>
    <x v="3"/>
    <x v="2"/>
    <x v="2"/>
    <x v="1"/>
    <x v="1"/>
    <x v="1"/>
    <x v="35"/>
    <x v="1"/>
    <x v="5"/>
    <x v="2"/>
    <x v="70"/>
    <x v="7"/>
    <x v="1"/>
    <x v="9"/>
    <x v="1"/>
    <x v="0"/>
    <x v="66"/>
    <x v="31"/>
    <x v="27"/>
  </r>
  <r>
    <x v="120"/>
    <x v="70"/>
    <x v="69"/>
    <x v="68"/>
    <x v="98"/>
    <x v="1"/>
    <x v="2"/>
    <x v="73"/>
    <x v="69"/>
    <x v="2"/>
    <x v="0"/>
    <x v="5"/>
    <x v="0"/>
    <x v="3"/>
    <x v="1"/>
    <x v="1"/>
    <x v="2"/>
    <x v="1"/>
    <x v="2"/>
    <x v="1"/>
    <x v="1"/>
    <x v="35"/>
    <x v="1"/>
    <x v="3"/>
    <x v="4"/>
    <x v="68"/>
    <x v="5"/>
    <x v="1"/>
    <x v="9"/>
    <x v="2"/>
    <x v="1"/>
    <x v="67"/>
    <x v="32"/>
    <x v="0"/>
  </r>
  <r>
    <x v="121"/>
    <x v="26"/>
    <x v="26"/>
    <x v="26"/>
    <x v="99"/>
    <x v="1"/>
    <x v="2"/>
    <x v="28"/>
    <x v="71"/>
    <x v="1"/>
    <x v="15"/>
    <x v="0"/>
    <x v="0"/>
    <x v="1"/>
    <x v="1"/>
    <x v="1"/>
    <x v="2"/>
    <x v="1"/>
    <x v="2"/>
    <x v="1"/>
    <x v="1"/>
    <x v="37"/>
    <x v="1"/>
    <x v="2"/>
    <x v="3"/>
    <x v="26"/>
    <x v="10"/>
    <x v="1"/>
    <x v="4"/>
    <x v="2"/>
    <x v="1"/>
    <x v="68"/>
    <x v="33"/>
    <x v="0"/>
  </r>
  <r>
    <x v="122"/>
    <x v="73"/>
    <x v="72"/>
    <x v="71"/>
    <x v="100"/>
    <x v="2"/>
    <x v="1"/>
    <x v="76"/>
    <x v="10"/>
    <x v="6"/>
    <x v="0"/>
    <x v="0"/>
    <x v="2"/>
    <x v="1"/>
    <x v="1"/>
    <x v="1"/>
    <x v="2"/>
    <x v="1"/>
    <x v="3"/>
    <x v="1"/>
    <x v="1"/>
    <x v="36"/>
    <x v="1"/>
    <x v="6"/>
    <x v="2"/>
    <x v="71"/>
    <x v="10"/>
    <x v="3"/>
    <x v="0"/>
    <x v="1"/>
    <x v="0"/>
    <x v="69"/>
    <x v="34"/>
    <x v="28"/>
  </r>
  <r>
    <x v="123"/>
    <x v="63"/>
    <x v="62"/>
    <x v="61"/>
    <x v="101"/>
    <x v="1"/>
    <x v="1"/>
    <x v="66"/>
    <x v="16"/>
    <x v="1"/>
    <x v="43"/>
    <x v="0"/>
    <x v="0"/>
    <x v="3"/>
    <x v="1"/>
    <x v="1"/>
    <x v="1"/>
    <x v="1"/>
    <x v="2"/>
    <x v="1"/>
    <x v="2"/>
    <x v="0"/>
    <x v="1"/>
    <x v="3"/>
    <x v="4"/>
    <x v="61"/>
    <x v="5"/>
    <x v="0"/>
    <x v="0"/>
    <x v="1"/>
    <x v="0"/>
    <x v="0"/>
    <x v="0"/>
    <x v="0"/>
  </r>
  <r>
    <x v="124"/>
    <x v="74"/>
    <x v="73"/>
    <x v="72"/>
    <x v="102"/>
    <x v="3"/>
    <x v="2"/>
    <x v="77"/>
    <x v="72"/>
    <x v="1"/>
    <x v="4"/>
    <x v="0"/>
    <x v="0"/>
    <x v="1"/>
    <x v="1"/>
    <x v="1"/>
    <x v="2"/>
    <x v="1"/>
    <x v="3"/>
    <x v="1"/>
    <x v="1"/>
    <x v="35"/>
    <x v="1"/>
    <x v="6"/>
    <x v="2"/>
    <x v="72"/>
    <x v="10"/>
    <x v="3"/>
    <x v="0"/>
    <x v="1"/>
    <x v="0"/>
    <x v="70"/>
    <x v="30"/>
    <x v="0"/>
  </r>
  <r>
    <x v="125"/>
    <x v="75"/>
    <x v="74"/>
    <x v="73"/>
    <x v="103"/>
    <x v="1"/>
    <x v="1"/>
    <x v="78"/>
    <x v="73"/>
    <x v="2"/>
    <x v="0"/>
    <x v="5"/>
    <x v="0"/>
    <x v="1"/>
    <x v="2"/>
    <x v="3"/>
    <x v="2"/>
    <x v="1"/>
    <x v="2"/>
    <x v="1"/>
    <x v="1"/>
    <x v="37"/>
    <x v="2"/>
    <x v="6"/>
    <x v="2"/>
    <x v="73"/>
    <x v="5"/>
    <x v="1"/>
    <x v="4"/>
    <x v="2"/>
    <x v="1"/>
    <x v="71"/>
    <x v="0"/>
    <x v="0"/>
  </r>
  <r>
    <x v="126"/>
    <x v="70"/>
    <x v="69"/>
    <x v="68"/>
    <x v="104"/>
    <x v="1"/>
    <x v="6"/>
    <x v="73"/>
    <x v="69"/>
    <x v="1"/>
    <x v="4"/>
    <x v="0"/>
    <x v="0"/>
    <x v="3"/>
    <x v="2"/>
    <x v="3"/>
    <x v="2"/>
    <x v="1"/>
    <x v="2"/>
    <x v="1"/>
    <x v="1"/>
    <x v="37"/>
    <x v="1"/>
    <x v="3"/>
    <x v="4"/>
    <x v="68"/>
    <x v="10"/>
    <x v="1"/>
    <x v="10"/>
    <x v="2"/>
    <x v="1"/>
    <x v="72"/>
    <x v="0"/>
    <x v="0"/>
  </r>
  <r>
    <x v="127"/>
    <x v="19"/>
    <x v="19"/>
    <x v="19"/>
    <x v="105"/>
    <x v="1"/>
    <x v="2"/>
    <x v="21"/>
    <x v="20"/>
    <x v="1"/>
    <x v="44"/>
    <x v="0"/>
    <x v="0"/>
    <x v="1"/>
    <x v="1"/>
    <x v="1"/>
    <x v="2"/>
    <x v="1"/>
    <x v="2"/>
    <x v="1"/>
    <x v="2"/>
    <x v="0"/>
    <x v="1"/>
    <x v="6"/>
    <x v="2"/>
    <x v="19"/>
    <x v="5"/>
    <x v="0"/>
    <x v="0"/>
    <x v="1"/>
    <x v="0"/>
    <x v="0"/>
    <x v="0"/>
    <x v="0"/>
  </r>
  <r>
    <x v="128"/>
    <x v="76"/>
    <x v="75"/>
    <x v="74"/>
    <x v="106"/>
    <x v="1"/>
    <x v="6"/>
    <x v="79"/>
    <x v="74"/>
    <x v="1"/>
    <x v="45"/>
    <x v="0"/>
    <x v="0"/>
    <x v="1"/>
    <x v="1"/>
    <x v="1"/>
    <x v="2"/>
    <x v="1"/>
    <x v="3"/>
    <x v="1"/>
    <x v="1"/>
    <x v="37"/>
    <x v="1"/>
    <x v="6"/>
    <x v="2"/>
    <x v="74"/>
    <x v="10"/>
    <x v="3"/>
    <x v="0"/>
    <x v="1"/>
    <x v="0"/>
    <x v="73"/>
    <x v="35"/>
    <x v="0"/>
  </r>
  <r>
    <x v="129"/>
    <x v="57"/>
    <x v="56"/>
    <x v="55"/>
    <x v="107"/>
    <x v="3"/>
    <x v="2"/>
    <x v="60"/>
    <x v="30"/>
    <x v="1"/>
    <x v="33"/>
    <x v="0"/>
    <x v="0"/>
    <x v="3"/>
    <x v="1"/>
    <x v="2"/>
    <x v="2"/>
    <x v="2"/>
    <x v="3"/>
    <x v="1"/>
    <x v="1"/>
    <x v="36"/>
    <x v="1"/>
    <x v="3"/>
    <x v="4"/>
    <x v="55"/>
    <x v="5"/>
    <x v="1"/>
    <x v="3"/>
    <x v="2"/>
    <x v="1"/>
    <x v="74"/>
    <x v="0"/>
    <x v="0"/>
  </r>
  <r>
    <x v="130"/>
    <x v="77"/>
    <x v="76"/>
    <x v="75"/>
    <x v="108"/>
    <x v="1"/>
    <x v="2"/>
    <x v="80"/>
    <x v="74"/>
    <x v="1"/>
    <x v="2"/>
    <x v="0"/>
    <x v="0"/>
    <x v="1"/>
    <x v="1"/>
    <x v="1"/>
    <x v="2"/>
    <x v="1"/>
    <x v="2"/>
    <x v="1"/>
    <x v="2"/>
    <x v="0"/>
    <x v="1"/>
    <x v="6"/>
    <x v="2"/>
    <x v="75"/>
    <x v="5"/>
    <x v="0"/>
    <x v="0"/>
    <x v="1"/>
    <x v="0"/>
    <x v="0"/>
    <x v="0"/>
    <x v="0"/>
  </r>
  <r>
    <x v="131"/>
    <x v="78"/>
    <x v="77"/>
    <x v="76"/>
    <x v="109"/>
    <x v="1"/>
    <x v="6"/>
    <x v="81"/>
    <x v="30"/>
    <x v="1"/>
    <x v="22"/>
    <x v="0"/>
    <x v="0"/>
    <x v="1"/>
    <x v="1"/>
    <x v="1"/>
    <x v="2"/>
    <x v="1"/>
    <x v="3"/>
    <x v="1"/>
    <x v="1"/>
    <x v="37"/>
    <x v="1"/>
    <x v="6"/>
    <x v="2"/>
    <x v="76"/>
    <x v="10"/>
    <x v="1"/>
    <x v="4"/>
    <x v="2"/>
    <x v="1"/>
    <x v="75"/>
    <x v="0"/>
    <x v="29"/>
  </r>
  <r>
    <x v="132"/>
    <x v="45"/>
    <x v="44"/>
    <x v="44"/>
    <x v="110"/>
    <x v="3"/>
    <x v="6"/>
    <x v="47"/>
    <x v="17"/>
    <x v="1"/>
    <x v="1"/>
    <x v="0"/>
    <x v="0"/>
    <x v="1"/>
    <x v="1"/>
    <x v="1"/>
    <x v="2"/>
    <x v="1"/>
    <x v="2"/>
    <x v="2"/>
    <x v="1"/>
    <x v="37"/>
    <x v="1"/>
    <x v="6"/>
    <x v="2"/>
    <x v="44"/>
    <x v="10"/>
    <x v="3"/>
    <x v="0"/>
    <x v="1"/>
    <x v="0"/>
    <x v="76"/>
    <x v="36"/>
    <x v="30"/>
  </r>
  <r>
    <x v="133"/>
    <x v="79"/>
    <x v="78"/>
    <x v="77"/>
    <x v="111"/>
    <x v="3"/>
    <x v="2"/>
    <x v="82"/>
    <x v="59"/>
    <x v="6"/>
    <x v="0"/>
    <x v="0"/>
    <x v="3"/>
    <x v="1"/>
    <x v="1"/>
    <x v="1"/>
    <x v="1"/>
    <x v="1"/>
    <x v="2"/>
    <x v="2"/>
    <x v="2"/>
    <x v="0"/>
    <x v="1"/>
    <x v="6"/>
    <x v="2"/>
    <x v="77"/>
    <x v="5"/>
    <x v="0"/>
    <x v="0"/>
    <x v="1"/>
    <x v="0"/>
    <x v="0"/>
    <x v="0"/>
    <x v="31"/>
  </r>
  <r>
    <x v="134"/>
    <x v="49"/>
    <x v="48"/>
    <x v="47"/>
    <x v="112"/>
    <x v="1"/>
    <x v="1"/>
    <x v="51"/>
    <x v="50"/>
    <x v="1"/>
    <x v="34"/>
    <x v="0"/>
    <x v="0"/>
    <x v="3"/>
    <x v="1"/>
    <x v="1"/>
    <x v="2"/>
    <x v="1"/>
    <x v="3"/>
    <x v="1"/>
    <x v="2"/>
    <x v="0"/>
    <x v="1"/>
    <x v="3"/>
    <x v="4"/>
    <x v="47"/>
    <x v="5"/>
    <x v="0"/>
    <x v="0"/>
    <x v="1"/>
    <x v="0"/>
    <x v="0"/>
    <x v="0"/>
    <x v="0"/>
  </r>
  <r>
    <x v="135"/>
    <x v="72"/>
    <x v="71"/>
    <x v="70"/>
    <x v="0"/>
    <x v="1"/>
    <x v="6"/>
    <x v="75"/>
    <x v="37"/>
    <x v="1"/>
    <x v="24"/>
    <x v="0"/>
    <x v="0"/>
    <x v="3"/>
    <x v="1"/>
    <x v="1"/>
    <x v="2"/>
    <x v="1"/>
    <x v="2"/>
    <x v="1"/>
    <x v="1"/>
    <x v="38"/>
    <x v="2"/>
    <x v="3"/>
    <x v="4"/>
    <x v="78"/>
    <x v="10"/>
    <x v="3"/>
    <x v="0"/>
    <x v="1"/>
    <x v="0"/>
    <x v="77"/>
    <x v="37"/>
    <x v="32"/>
  </r>
  <r>
    <x v="136"/>
    <x v="56"/>
    <x v="55"/>
    <x v="54"/>
    <x v="0"/>
    <x v="3"/>
    <x v="2"/>
    <x v="58"/>
    <x v="58"/>
    <x v="1"/>
    <x v="12"/>
    <x v="0"/>
    <x v="0"/>
    <x v="3"/>
    <x v="1"/>
    <x v="2"/>
    <x v="2"/>
    <x v="1"/>
    <x v="2"/>
    <x v="1"/>
    <x v="1"/>
    <x v="36"/>
    <x v="2"/>
    <x v="3"/>
    <x v="4"/>
    <x v="54"/>
    <x v="5"/>
    <x v="3"/>
    <x v="0"/>
    <x v="1"/>
    <x v="0"/>
    <x v="78"/>
    <x v="38"/>
    <x v="0"/>
  </r>
  <r>
    <x v="137"/>
    <x v="58"/>
    <x v="57"/>
    <x v="56"/>
    <x v="0"/>
    <x v="3"/>
    <x v="6"/>
    <x v="61"/>
    <x v="75"/>
    <x v="1"/>
    <x v="3"/>
    <x v="0"/>
    <x v="0"/>
    <x v="3"/>
    <x v="3"/>
    <x v="2"/>
    <x v="2"/>
    <x v="1"/>
    <x v="3"/>
    <x v="1"/>
    <x v="1"/>
    <x v="39"/>
    <x v="2"/>
    <x v="3"/>
    <x v="4"/>
    <x v="56"/>
    <x v="10"/>
    <x v="3"/>
    <x v="0"/>
    <x v="1"/>
    <x v="0"/>
    <x v="79"/>
    <x v="39"/>
    <x v="0"/>
  </r>
  <r>
    <x v="138"/>
    <x v="80"/>
    <x v="79"/>
    <x v="78"/>
    <x v="113"/>
    <x v="1"/>
    <x v="2"/>
    <x v="83"/>
    <x v="72"/>
    <x v="1"/>
    <x v="3"/>
    <x v="0"/>
    <x v="0"/>
    <x v="1"/>
    <x v="3"/>
    <x v="3"/>
    <x v="2"/>
    <x v="1"/>
    <x v="2"/>
    <x v="1"/>
    <x v="1"/>
    <x v="36"/>
    <x v="1"/>
    <x v="6"/>
    <x v="2"/>
    <x v="79"/>
    <x v="5"/>
    <x v="1"/>
    <x v="7"/>
    <x v="1"/>
    <x v="0"/>
    <x v="80"/>
    <x v="40"/>
    <x v="0"/>
  </r>
  <r>
    <x v="139"/>
    <x v="81"/>
    <x v="80"/>
    <x v="79"/>
    <x v="114"/>
    <x v="3"/>
    <x v="2"/>
    <x v="84"/>
    <x v="76"/>
    <x v="1"/>
    <x v="24"/>
    <x v="0"/>
    <x v="0"/>
    <x v="1"/>
    <x v="3"/>
    <x v="3"/>
    <x v="2"/>
    <x v="1"/>
    <x v="3"/>
    <x v="1"/>
    <x v="1"/>
    <x v="36"/>
    <x v="1"/>
    <x v="4"/>
    <x v="2"/>
    <x v="80"/>
    <x v="1"/>
    <x v="3"/>
    <x v="0"/>
    <x v="1"/>
    <x v="0"/>
    <x v="81"/>
    <x v="41"/>
    <x v="0"/>
  </r>
  <r>
    <x v="140"/>
    <x v="75"/>
    <x v="74"/>
    <x v="73"/>
    <x v="115"/>
    <x v="1"/>
    <x v="2"/>
    <x v="78"/>
    <x v="77"/>
    <x v="2"/>
    <x v="0"/>
    <x v="5"/>
    <x v="0"/>
    <x v="3"/>
    <x v="2"/>
    <x v="3"/>
    <x v="2"/>
    <x v="1"/>
    <x v="2"/>
    <x v="1"/>
    <x v="1"/>
    <x v="37"/>
    <x v="2"/>
    <x v="3"/>
    <x v="4"/>
    <x v="73"/>
    <x v="1"/>
    <x v="1"/>
    <x v="4"/>
    <x v="2"/>
    <x v="1"/>
    <x v="82"/>
    <x v="42"/>
    <x v="0"/>
  </r>
  <r>
    <x v="141"/>
    <x v="70"/>
    <x v="69"/>
    <x v="68"/>
    <x v="116"/>
    <x v="1"/>
    <x v="2"/>
    <x v="73"/>
    <x v="69"/>
    <x v="1"/>
    <x v="4"/>
    <x v="0"/>
    <x v="0"/>
    <x v="3"/>
    <x v="1"/>
    <x v="1"/>
    <x v="2"/>
    <x v="1"/>
    <x v="2"/>
    <x v="1"/>
    <x v="1"/>
    <x v="38"/>
    <x v="1"/>
    <x v="3"/>
    <x v="4"/>
    <x v="74"/>
    <x v="9"/>
    <x v="3"/>
    <x v="0"/>
    <x v="1"/>
    <x v="0"/>
    <x v="83"/>
    <x v="43"/>
    <x v="0"/>
  </r>
  <r>
    <x v="142"/>
    <x v="82"/>
    <x v="81"/>
    <x v="80"/>
    <x v="117"/>
    <x v="1"/>
    <x v="2"/>
    <x v="85"/>
    <x v="10"/>
    <x v="2"/>
    <x v="0"/>
    <x v="5"/>
    <x v="0"/>
    <x v="1"/>
    <x v="2"/>
    <x v="3"/>
    <x v="2"/>
    <x v="1"/>
    <x v="1"/>
    <x v="1"/>
    <x v="1"/>
    <x v="37"/>
    <x v="1"/>
    <x v="6"/>
    <x v="2"/>
    <x v="81"/>
    <x v="9"/>
    <x v="1"/>
    <x v="10"/>
    <x v="2"/>
    <x v="1"/>
    <x v="84"/>
    <x v="0"/>
    <x v="33"/>
  </r>
  <r>
    <x v="143"/>
    <x v="78"/>
    <x v="77"/>
    <x v="76"/>
    <x v="118"/>
    <x v="1"/>
    <x v="2"/>
    <x v="81"/>
    <x v="78"/>
    <x v="1"/>
    <x v="22"/>
    <x v="0"/>
    <x v="0"/>
    <x v="3"/>
    <x v="2"/>
    <x v="3"/>
    <x v="2"/>
    <x v="1"/>
    <x v="3"/>
    <x v="1"/>
    <x v="1"/>
    <x v="36"/>
    <x v="1"/>
    <x v="3"/>
    <x v="4"/>
    <x v="76"/>
    <x v="1"/>
    <x v="1"/>
    <x v="7"/>
    <x v="2"/>
    <x v="1"/>
    <x v="85"/>
    <x v="0"/>
    <x v="0"/>
  </r>
  <r>
    <x v="144"/>
    <x v="83"/>
    <x v="82"/>
    <x v="81"/>
    <x v="119"/>
    <x v="1"/>
    <x v="3"/>
    <x v="86"/>
    <x v="10"/>
    <x v="1"/>
    <x v="46"/>
    <x v="0"/>
    <x v="0"/>
    <x v="1"/>
    <x v="1"/>
    <x v="1"/>
    <x v="2"/>
    <x v="1"/>
    <x v="1"/>
    <x v="1"/>
    <x v="1"/>
    <x v="40"/>
    <x v="1"/>
    <x v="6"/>
    <x v="3"/>
    <x v="82"/>
    <x v="9"/>
    <x v="3"/>
    <x v="0"/>
    <x v="1"/>
    <x v="0"/>
    <x v="86"/>
    <x v="44"/>
    <x v="0"/>
  </r>
  <r>
    <x v="145"/>
    <x v="26"/>
    <x v="26"/>
    <x v="26"/>
    <x v="120"/>
    <x v="1"/>
    <x v="2"/>
    <x v="28"/>
    <x v="79"/>
    <x v="1"/>
    <x v="22"/>
    <x v="0"/>
    <x v="0"/>
    <x v="3"/>
    <x v="1"/>
    <x v="1"/>
    <x v="2"/>
    <x v="1"/>
    <x v="3"/>
    <x v="1"/>
    <x v="2"/>
    <x v="0"/>
    <x v="1"/>
    <x v="3"/>
    <x v="4"/>
    <x v="26"/>
    <x v="1"/>
    <x v="0"/>
    <x v="0"/>
    <x v="1"/>
    <x v="0"/>
    <x v="0"/>
    <x v="0"/>
    <x v="0"/>
  </r>
  <r>
    <x v="146"/>
    <x v="75"/>
    <x v="74"/>
    <x v="73"/>
    <x v="0"/>
    <x v="1"/>
    <x v="2"/>
    <x v="78"/>
    <x v="77"/>
    <x v="2"/>
    <x v="0"/>
    <x v="5"/>
    <x v="0"/>
    <x v="3"/>
    <x v="4"/>
    <x v="1"/>
    <x v="2"/>
    <x v="1"/>
    <x v="2"/>
    <x v="1"/>
    <x v="1"/>
    <x v="36"/>
    <x v="2"/>
    <x v="3"/>
    <x v="4"/>
    <x v="73"/>
    <x v="1"/>
    <x v="3"/>
    <x v="0"/>
    <x v="1"/>
    <x v="0"/>
    <x v="87"/>
    <x v="45"/>
    <x v="34"/>
  </r>
  <r>
    <x v="147"/>
    <x v="84"/>
    <x v="83"/>
    <x v="82"/>
    <x v="121"/>
    <x v="1"/>
    <x v="6"/>
    <x v="87"/>
    <x v="80"/>
    <x v="1"/>
    <x v="47"/>
    <x v="0"/>
    <x v="0"/>
    <x v="1"/>
    <x v="1"/>
    <x v="1"/>
    <x v="2"/>
    <x v="2"/>
    <x v="1"/>
    <x v="1"/>
    <x v="2"/>
    <x v="0"/>
    <x v="1"/>
    <x v="6"/>
    <x v="2"/>
    <x v="83"/>
    <x v="9"/>
    <x v="0"/>
    <x v="0"/>
    <x v="1"/>
    <x v="0"/>
    <x v="0"/>
    <x v="0"/>
    <x v="0"/>
  </r>
  <r>
    <x v="148"/>
    <x v="57"/>
    <x v="56"/>
    <x v="55"/>
    <x v="122"/>
    <x v="3"/>
    <x v="2"/>
    <x v="88"/>
    <x v="30"/>
    <x v="1"/>
    <x v="33"/>
    <x v="0"/>
    <x v="0"/>
    <x v="3"/>
    <x v="1"/>
    <x v="1"/>
    <x v="2"/>
    <x v="1"/>
    <x v="3"/>
    <x v="1"/>
    <x v="2"/>
    <x v="0"/>
    <x v="1"/>
    <x v="3"/>
    <x v="4"/>
    <x v="55"/>
    <x v="3"/>
    <x v="0"/>
    <x v="0"/>
    <x v="1"/>
    <x v="0"/>
    <x v="0"/>
    <x v="0"/>
    <x v="0"/>
  </r>
  <r>
    <x v="149"/>
    <x v="85"/>
    <x v="84"/>
    <x v="83"/>
    <x v="123"/>
    <x v="3"/>
    <x v="2"/>
    <x v="89"/>
    <x v="81"/>
    <x v="1"/>
    <x v="8"/>
    <x v="0"/>
    <x v="0"/>
    <x v="1"/>
    <x v="1"/>
    <x v="1"/>
    <x v="2"/>
    <x v="1"/>
    <x v="2"/>
    <x v="1"/>
    <x v="1"/>
    <x v="39"/>
    <x v="2"/>
    <x v="1"/>
    <x v="2"/>
    <x v="84"/>
    <x v="3"/>
    <x v="1"/>
    <x v="5"/>
    <x v="2"/>
    <x v="1"/>
    <x v="88"/>
    <x v="0"/>
    <x v="0"/>
  </r>
  <r>
    <x v="150"/>
    <x v="64"/>
    <x v="63"/>
    <x v="62"/>
    <x v="124"/>
    <x v="1"/>
    <x v="2"/>
    <x v="67"/>
    <x v="82"/>
    <x v="1"/>
    <x v="48"/>
    <x v="0"/>
    <x v="0"/>
    <x v="3"/>
    <x v="1"/>
    <x v="1"/>
    <x v="2"/>
    <x v="1"/>
    <x v="2"/>
    <x v="1"/>
    <x v="2"/>
    <x v="0"/>
    <x v="1"/>
    <x v="3"/>
    <x v="4"/>
    <x v="62"/>
    <x v="1"/>
    <x v="0"/>
    <x v="0"/>
    <x v="1"/>
    <x v="0"/>
    <x v="0"/>
    <x v="0"/>
    <x v="0"/>
  </r>
  <r>
    <x v="151"/>
    <x v="86"/>
    <x v="85"/>
    <x v="84"/>
    <x v="125"/>
    <x v="1"/>
    <x v="2"/>
    <x v="90"/>
    <x v="83"/>
    <x v="6"/>
    <x v="0"/>
    <x v="0"/>
    <x v="4"/>
    <x v="1"/>
    <x v="1"/>
    <x v="1"/>
    <x v="2"/>
    <x v="2"/>
    <x v="3"/>
    <x v="1"/>
    <x v="1"/>
    <x v="41"/>
    <x v="1"/>
    <x v="1"/>
    <x v="2"/>
    <x v="85"/>
    <x v="1"/>
    <x v="1"/>
    <x v="4"/>
    <x v="1"/>
    <x v="0"/>
    <x v="89"/>
    <x v="46"/>
    <x v="0"/>
  </r>
  <r>
    <x v="152"/>
    <x v="78"/>
    <x v="77"/>
    <x v="76"/>
    <x v="126"/>
    <x v="1"/>
    <x v="2"/>
    <x v="81"/>
    <x v="30"/>
    <x v="1"/>
    <x v="22"/>
    <x v="0"/>
    <x v="0"/>
    <x v="3"/>
    <x v="3"/>
    <x v="2"/>
    <x v="2"/>
    <x v="1"/>
    <x v="2"/>
    <x v="1"/>
    <x v="1"/>
    <x v="34"/>
    <x v="1"/>
    <x v="1"/>
    <x v="2"/>
    <x v="76"/>
    <x v="7"/>
    <x v="1"/>
    <x v="4"/>
    <x v="1"/>
    <x v="0"/>
    <x v="90"/>
    <x v="0"/>
    <x v="0"/>
  </r>
  <r>
    <x v="153"/>
    <x v="87"/>
    <x v="86"/>
    <x v="85"/>
    <x v="127"/>
    <x v="1"/>
    <x v="2"/>
    <x v="91"/>
    <x v="84"/>
    <x v="1"/>
    <x v="1"/>
    <x v="0"/>
    <x v="0"/>
    <x v="1"/>
    <x v="5"/>
    <x v="3"/>
    <x v="1"/>
    <x v="1"/>
    <x v="1"/>
    <x v="1"/>
    <x v="1"/>
    <x v="39"/>
    <x v="1"/>
    <x v="1"/>
    <x v="6"/>
    <x v="86"/>
    <x v="3"/>
    <x v="1"/>
    <x v="3"/>
    <x v="2"/>
    <x v="1"/>
    <x v="91"/>
    <x v="0"/>
    <x v="0"/>
  </r>
  <r>
    <x v="154"/>
    <x v="88"/>
    <x v="87"/>
    <x v="86"/>
    <x v="128"/>
    <x v="1"/>
    <x v="1"/>
    <x v="92"/>
    <x v="85"/>
    <x v="1"/>
    <x v="49"/>
    <x v="0"/>
    <x v="0"/>
    <x v="1"/>
    <x v="1"/>
    <x v="1"/>
    <x v="2"/>
    <x v="1"/>
    <x v="2"/>
    <x v="1"/>
    <x v="2"/>
    <x v="0"/>
    <x v="1"/>
    <x v="1"/>
    <x v="2"/>
    <x v="87"/>
    <x v="4"/>
    <x v="0"/>
    <x v="0"/>
    <x v="1"/>
    <x v="0"/>
    <x v="0"/>
    <x v="0"/>
    <x v="0"/>
  </r>
  <r>
    <x v="155"/>
    <x v="65"/>
    <x v="64"/>
    <x v="63"/>
    <x v="129"/>
    <x v="3"/>
    <x v="2"/>
    <x v="68"/>
    <x v="86"/>
    <x v="1"/>
    <x v="3"/>
    <x v="0"/>
    <x v="0"/>
    <x v="1"/>
    <x v="1"/>
    <x v="1"/>
    <x v="2"/>
    <x v="1"/>
    <x v="3"/>
    <x v="1"/>
    <x v="1"/>
    <x v="39"/>
    <x v="1"/>
    <x v="1"/>
    <x v="2"/>
    <x v="63"/>
    <x v="1"/>
    <x v="3"/>
    <x v="0"/>
    <x v="1"/>
    <x v="0"/>
    <x v="92"/>
    <x v="47"/>
    <x v="0"/>
  </r>
  <r>
    <x v="156"/>
    <x v="80"/>
    <x v="79"/>
    <x v="78"/>
    <x v="0"/>
    <x v="1"/>
    <x v="2"/>
    <x v="83"/>
    <x v="72"/>
    <x v="1"/>
    <x v="3"/>
    <x v="0"/>
    <x v="0"/>
    <x v="3"/>
    <x v="1"/>
    <x v="1"/>
    <x v="2"/>
    <x v="1"/>
    <x v="2"/>
    <x v="1"/>
    <x v="2"/>
    <x v="0"/>
    <x v="2"/>
    <x v="3"/>
    <x v="4"/>
    <x v="79"/>
    <x v="7"/>
    <x v="0"/>
    <x v="0"/>
    <x v="1"/>
    <x v="0"/>
    <x v="0"/>
    <x v="0"/>
    <x v="0"/>
  </r>
  <r>
    <x v="157"/>
    <x v="89"/>
    <x v="88"/>
    <x v="87"/>
    <x v="130"/>
    <x v="1"/>
    <x v="2"/>
    <x v="93"/>
    <x v="87"/>
    <x v="1"/>
    <x v="50"/>
    <x v="0"/>
    <x v="0"/>
    <x v="1"/>
    <x v="1"/>
    <x v="1"/>
    <x v="2"/>
    <x v="1"/>
    <x v="3"/>
    <x v="1"/>
    <x v="2"/>
    <x v="0"/>
    <x v="1"/>
    <x v="2"/>
    <x v="2"/>
    <x v="88"/>
    <x v="1"/>
    <x v="0"/>
    <x v="0"/>
    <x v="1"/>
    <x v="0"/>
    <x v="0"/>
    <x v="0"/>
    <x v="0"/>
  </r>
  <r>
    <x v="158"/>
    <x v="90"/>
    <x v="89"/>
    <x v="88"/>
    <x v="131"/>
    <x v="1"/>
    <x v="2"/>
    <x v="94"/>
    <x v="10"/>
    <x v="1"/>
    <x v="15"/>
    <x v="0"/>
    <x v="0"/>
    <x v="1"/>
    <x v="3"/>
    <x v="2"/>
    <x v="2"/>
    <x v="1"/>
    <x v="2"/>
    <x v="1"/>
    <x v="1"/>
    <x v="34"/>
    <x v="1"/>
    <x v="1"/>
    <x v="2"/>
    <x v="89"/>
    <x v="2"/>
    <x v="1"/>
    <x v="1"/>
    <x v="2"/>
    <x v="1"/>
    <x v="93"/>
    <x v="48"/>
    <x v="35"/>
  </r>
  <r>
    <x v="159"/>
    <x v="85"/>
    <x v="84"/>
    <x v="83"/>
    <x v="132"/>
    <x v="3"/>
    <x v="1"/>
    <x v="95"/>
    <x v="88"/>
    <x v="1"/>
    <x v="8"/>
    <x v="0"/>
    <x v="0"/>
    <x v="3"/>
    <x v="1"/>
    <x v="1"/>
    <x v="2"/>
    <x v="1"/>
    <x v="2"/>
    <x v="1"/>
    <x v="2"/>
    <x v="0"/>
    <x v="1"/>
    <x v="1"/>
    <x v="4"/>
    <x v="84"/>
    <x v="2"/>
    <x v="0"/>
    <x v="0"/>
    <x v="1"/>
    <x v="0"/>
    <x v="0"/>
    <x v="0"/>
    <x v="0"/>
  </r>
  <r>
    <x v="160"/>
    <x v="91"/>
    <x v="90"/>
    <x v="89"/>
    <x v="133"/>
    <x v="1"/>
    <x v="2"/>
    <x v="96"/>
    <x v="89"/>
    <x v="1"/>
    <x v="15"/>
    <x v="0"/>
    <x v="0"/>
    <x v="1"/>
    <x v="3"/>
    <x v="2"/>
    <x v="2"/>
    <x v="1"/>
    <x v="3"/>
    <x v="1"/>
    <x v="1"/>
    <x v="34"/>
    <x v="2"/>
    <x v="1"/>
    <x v="2"/>
    <x v="90"/>
    <x v="2"/>
    <x v="3"/>
    <x v="0"/>
    <x v="1"/>
    <x v="0"/>
    <x v="94"/>
    <x v="49"/>
    <x v="35"/>
  </r>
  <r>
    <x v="161"/>
    <x v="92"/>
    <x v="91"/>
    <x v="90"/>
    <x v="134"/>
    <x v="1"/>
    <x v="2"/>
    <x v="97"/>
    <x v="90"/>
    <x v="1"/>
    <x v="2"/>
    <x v="0"/>
    <x v="0"/>
    <x v="1"/>
    <x v="3"/>
    <x v="3"/>
    <x v="1"/>
    <x v="1"/>
    <x v="1"/>
    <x v="1"/>
    <x v="2"/>
    <x v="0"/>
    <x v="1"/>
    <x v="1"/>
    <x v="7"/>
    <x v="91"/>
    <x v="3"/>
    <x v="0"/>
    <x v="0"/>
    <x v="1"/>
    <x v="0"/>
    <x v="95"/>
    <x v="0"/>
    <x v="0"/>
  </r>
  <r>
    <x v="162"/>
    <x v="45"/>
    <x v="44"/>
    <x v="44"/>
    <x v="135"/>
    <x v="3"/>
    <x v="2"/>
    <x v="47"/>
    <x v="17"/>
    <x v="2"/>
    <x v="0"/>
    <x v="2"/>
    <x v="0"/>
    <x v="1"/>
    <x v="3"/>
    <x v="3"/>
    <x v="2"/>
    <x v="1"/>
    <x v="2"/>
    <x v="1"/>
    <x v="1"/>
    <x v="34"/>
    <x v="1"/>
    <x v="1"/>
    <x v="2"/>
    <x v="44"/>
    <x v="1"/>
    <x v="1"/>
    <x v="4"/>
    <x v="2"/>
    <x v="1"/>
    <x v="96"/>
    <x v="0"/>
    <x v="0"/>
  </r>
  <r>
    <x v="163"/>
    <x v="93"/>
    <x v="92"/>
    <x v="91"/>
    <x v="136"/>
    <x v="1"/>
    <x v="2"/>
    <x v="98"/>
    <x v="91"/>
    <x v="1"/>
    <x v="3"/>
    <x v="0"/>
    <x v="0"/>
    <x v="1"/>
    <x v="3"/>
    <x v="2"/>
    <x v="1"/>
    <x v="1"/>
    <x v="3"/>
    <x v="1"/>
    <x v="1"/>
    <x v="41"/>
    <x v="1"/>
    <x v="1"/>
    <x v="2"/>
    <x v="92"/>
    <x v="4"/>
    <x v="3"/>
    <x v="0"/>
    <x v="1"/>
    <x v="0"/>
    <x v="89"/>
    <x v="50"/>
    <x v="0"/>
  </r>
  <r>
    <x v="164"/>
    <x v="94"/>
    <x v="93"/>
    <x v="92"/>
    <x v="137"/>
    <x v="1"/>
    <x v="3"/>
    <x v="99"/>
    <x v="10"/>
    <x v="1"/>
    <x v="1"/>
    <x v="0"/>
    <x v="0"/>
    <x v="1"/>
    <x v="2"/>
    <x v="3"/>
    <x v="1"/>
    <x v="1"/>
    <x v="3"/>
    <x v="1"/>
    <x v="1"/>
    <x v="34"/>
    <x v="1"/>
    <x v="1"/>
    <x v="8"/>
    <x v="93"/>
    <x v="4"/>
    <x v="3"/>
    <x v="0"/>
    <x v="1"/>
    <x v="0"/>
    <x v="97"/>
    <x v="51"/>
    <x v="0"/>
  </r>
  <r>
    <x v="165"/>
    <x v="87"/>
    <x v="86"/>
    <x v="85"/>
    <x v="138"/>
    <x v="1"/>
    <x v="2"/>
    <x v="91"/>
    <x v="84"/>
    <x v="1"/>
    <x v="1"/>
    <x v="0"/>
    <x v="0"/>
    <x v="3"/>
    <x v="4"/>
    <x v="1"/>
    <x v="2"/>
    <x v="1"/>
    <x v="2"/>
    <x v="1"/>
    <x v="2"/>
    <x v="0"/>
    <x v="1"/>
    <x v="3"/>
    <x v="4"/>
    <x v="86"/>
    <x v="3"/>
    <x v="0"/>
    <x v="0"/>
    <x v="1"/>
    <x v="0"/>
    <x v="0"/>
    <x v="0"/>
    <x v="0"/>
  </r>
  <r>
    <x v="166"/>
    <x v="95"/>
    <x v="94"/>
    <x v="93"/>
    <x v="139"/>
    <x v="1"/>
    <x v="2"/>
    <x v="100"/>
    <x v="92"/>
    <x v="1"/>
    <x v="51"/>
    <x v="0"/>
    <x v="0"/>
    <x v="1"/>
    <x v="1"/>
    <x v="1"/>
    <x v="2"/>
    <x v="1"/>
    <x v="3"/>
    <x v="1"/>
    <x v="2"/>
    <x v="0"/>
    <x v="1"/>
    <x v="1"/>
    <x v="2"/>
    <x v="94"/>
    <x v="1"/>
    <x v="0"/>
    <x v="0"/>
    <x v="1"/>
    <x v="0"/>
    <x v="0"/>
    <x v="0"/>
    <x v="0"/>
  </r>
  <r>
    <x v="167"/>
    <x v="18"/>
    <x v="18"/>
    <x v="18"/>
    <x v="140"/>
    <x v="1"/>
    <x v="1"/>
    <x v="20"/>
    <x v="19"/>
    <x v="1"/>
    <x v="52"/>
    <x v="0"/>
    <x v="0"/>
    <x v="1"/>
    <x v="1"/>
    <x v="1"/>
    <x v="2"/>
    <x v="1"/>
    <x v="2"/>
    <x v="1"/>
    <x v="1"/>
    <x v="34"/>
    <x v="1"/>
    <x v="5"/>
    <x v="2"/>
    <x v="18"/>
    <x v="3"/>
    <x v="3"/>
    <x v="0"/>
    <x v="1"/>
    <x v="0"/>
    <x v="98"/>
    <x v="52"/>
    <x v="0"/>
  </r>
  <r>
    <x v="168"/>
    <x v="16"/>
    <x v="16"/>
    <x v="94"/>
    <x v="141"/>
    <x v="1"/>
    <x v="2"/>
    <x v="18"/>
    <x v="93"/>
    <x v="2"/>
    <x v="0"/>
    <x v="2"/>
    <x v="0"/>
    <x v="1"/>
    <x v="2"/>
    <x v="3"/>
    <x v="2"/>
    <x v="1"/>
    <x v="2"/>
    <x v="1"/>
    <x v="1"/>
    <x v="34"/>
    <x v="1"/>
    <x v="1"/>
    <x v="2"/>
    <x v="16"/>
    <x v="4"/>
    <x v="1"/>
    <x v="4"/>
    <x v="2"/>
    <x v="1"/>
    <x v="99"/>
    <x v="53"/>
    <x v="36"/>
  </r>
  <r>
    <x v="169"/>
    <x v="52"/>
    <x v="51"/>
    <x v="50"/>
    <x v="142"/>
    <x v="1"/>
    <x v="1"/>
    <x v="54"/>
    <x v="54"/>
    <x v="1"/>
    <x v="53"/>
    <x v="0"/>
    <x v="0"/>
    <x v="3"/>
    <x v="1"/>
    <x v="1"/>
    <x v="2"/>
    <x v="1"/>
    <x v="2"/>
    <x v="1"/>
    <x v="1"/>
    <x v="34"/>
    <x v="1"/>
    <x v="3"/>
    <x v="4"/>
    <x v="50"/>
    <x v="7"/>
    <x v="3"/>
    <x v="0"/>
    <x v="1"/>
    <x v="0"/>
    <x v="100"/>
    <x v="54"/>
    <x v="37"/>
  </r>
  <r>
    <x v="170"/>
    <x v="45"/>
    <x v="44"/>
    <x v="44"/>
    <x v="143"/>
    <x v="3"/>
    <x v="2"/>
    <x v="47"/>
    <x v="17"/>
    <x v="1"/>
    <x v="4"/>
    <x v="0"/>
    <x v="0"/>
    <x v="3"/>
    <x v="4"/>
    <x v="1"/>
    <x v="2"/>
    <x v="1"/>
    <x v="2"/>
    <x v="1"/>
    <x v="1"/>
    <x v="41"/>
    <x v="1"/>
    <x v="3"/>
    <x v="4"/>
    <x v="44"/>
    <x v="1"/>
    <x v="3"/>
    <x v="0"/>
    <x v="1"/>
    <x v="0"/>
    <x v="101"/>
    <x v="55"/>
    <x v="38"/>
  </r>
  <r>
    <x v="171"/>
    <x v="96"/>
    <x v="95"/>
    <x v="95"/>
    <x v="144"/>
    <x v="1"/>
    <x v="1"/>
    <x v="101"/>
    <x v="94"/>
    <x v="1"/>
    <x v="2"/>
    <x v="0"/>
    <x v="0"/>
    <x v="1"/>
    <x v="1"/>
    <x v="2"/>
    <x v="2"/>
    <x v="1"/>
    <x v="3"/>
    <x v="1"/>
    <x v="1"/>
    <x v="38"/>
    <x v="2"/>
    <x v="1"/>
    <x v="1"/>
    <x v="95"/>
    <x v="4"/>
    <x v="1"/>
    <x v="4"/>
    <x v="2"/>
    <x v="1"/>
    <x v="102"/>
    <x v="0"/>
    <x v="39"/>
  </r>
  <r>
    <x v="172"/>
    <x v="78"/>
    <x v="77"/>
    <x v="76"/>
    <x v="0"/>
    <x v="1"/>
    <x v="2"/>
    <x v="81"/>
    <x v="30"/>
    <x v="1"/>
    <x v="3"/>
    <x v="0"/>
    <x v="0"/>
    <x v="3"/>
    <x v="1"/>
    <x v="1"/>
    <x v="2"/>
    <x v="1"/>
    <x v="2"/>
    <x v="1"/>
    <x v="2"/>
    <x v="0"/>
    <x v="2"/>
    <x v="3"/>
    <x v="4"/>
    <x v="76"/>
    <x v="1"/>
    <x v="0"/>
    <x v="0"/>
    <x v="1"/>
    <x v="0"/>
    <x v="0"/>
    <x v="0"/>
    <x v="0"/>
  </r>
  <r>
    <x v="173"/>
    <x v="97"/>
    <x v="96"/>
    <x v="96"/>
    <x v="145"/>
    <x v="1"/>
    <x v="1"/>
    <x v="102"/>
    <x v="95"/>
    <x v="1"/>
    <x v="3"/>
    <x v="0"/>
    <x v="0"/>
    <x v="1"/>
    <x v="3"/>
    <x v="2"/>
    <x v="2"/>
    <x v="1"/>
    <x v="1"/>
    <x v="1"/>
    <x v="1"/>
    <x v="41"/>
    <x v="1"/>
    <x v="1"/>
    <x v="2"/>
    <x v="96"/>
    <x v="7"/>
    <x v="1"/>
    <x v="1"/>
    <x v="2"/>
    <x v="1"/>
    <x v="103"/>
    <x v="0"/>
    <x v="40"/>
  </r>
  <r>
    <x v="174"/>
    <x v="98"/>
    <x v="97"/>
    <x v="97"/>
    <x v="146"/>
    <x v="1"/>
    <x v="2"/>
    <x v="103"/>
    <x v="96"/>
    <x v="1"/>
    <x v="54"/>
    <x v="0"/>
    <x v="0"/>
    <x v="1"/>
    <x v="2"/>
    <x v="3"/>
    <x v="2"/>
    <x v="1"/>
    <x v="1"/>
    <x v="1"/>
    <x v="1"/>
    <x v="41"/>
    <x v="1"/>
    <x v="1"/>
    <x v="2"/>
    <x v="97"/>
    <x v="7"/>
    <x v="3"/>
    <x v="0"/>
    <x v="1"/>
    <x v="0"/>
    <x v="104"/>
    <x v="56"/>
    <x v="41"/>
  </r>
  <r>
    <x v="175"/>
    <x v="16"/>
    <x v="16"/>
    <x v="16"/>
    <x v="0"/>
    <x v="1"/>
    <x v="2"/>
    <x v="18"/>
    <x v="97"/>
    <x v="2"/>
    <x v="0"/>
    <x v="2"/>
    <x v="0"/>
    <x v="3"/>
    <x v="4"/>
    <x v="1"/>
    <x v="2"/>
    <x v="1"/>
    <x v="2"/>
    <x v="1"/>
    <x v="2"/>
    <x v="0"/>
    <x v="2"/>
    <x v="3"/>
    <x v="4"/>
    <x v="16"/>
    <x v="1"/>
    <x v="0"/>
    <x v="0"/>
    <x v="1"/>
    <x v="0"/>
    <x v="0"/>
    <x v="0"/>
    <x v="0"/>
  </r>
  <r>
    <x v="176"/>
    <x v="99"/>
    <x v="98"/>
    <x v="98"/>
    <x v="147"/>
    <x v="1"/>
    <x v="2"/>
    <x v="104"/>
    <x v="98"/>
    <x v="1"/>
    <x v="9"/>
    <x v="0"/>
    <x v="0"/>
    <x v="2"/>
    <x v="3"/>
    <x v="3"/>
    <x v="2"/>
    <x v="1"/>
    <x v="3"/>
    <x v="1"/>
    <x v="1"/>
    <x v="41"/>
    <x v="2"/>
    <x v="1"/>
    <x v="2"/>
    <x v="98"/>
    <x v="2"/>
    <x v="3"/>
    <x v="0"/>
    <x v="1"/>
    <x v="0"/>
    <x v="105"/>
    <x v="57"/>
    <x v="42"/>
  </r>
  <r>
    <x v="177"/>
    <x v="100"/>
    <x v="99"/>
    <x v="99"/>
    <x v="148"/>
    <x v="1"/>
    <x v="4"/>
    <x v="105"/>
    <x v="99"/>
    <x v="1"/>
    <x v="55"/>
    <x v="0"/>
    <x v="0"/>
    <x v="1"/>
    <x v="1"/>
    <x v="1"/>
    <x v="2"/>
    <x v="1"/>
    <x v="2"/>
    <x v="1"/>
    <x v="2"/>
    <x v="0"/>
    <x v="1"/>
    <x v="5"/>
    <x v="2"/>
    <x v="99"/>
    <x v="7"/>
    <x v="0"/>
    <x v="0"/>
    <x v="1"/>
    <x v="0"/>
    <x v="0"/>
    <x v="0"/>
    <x v="0"/>
  </r>
  <r>
    <x v="178"/>
    <x v="101"/>
    <x v="100"/>
    <x v="100"/>
    <x v="149"/>
    <x v="2"/>
    <x v="1"/>
    <x v="106"/>
    <x v="100"/>
    <x v="1"/>
    <x v="56"/>
    <x v="0"/>
    <x v="0"/>
    <x v="1"/>
    <x v="3"/>
    <x v="3"/>
    <x v="2"/>
    <x v="2"/>
    <x v="1"/>
    <x v="1"/>
    <x v="2"/>
    <x v="38"/>
    <x v="1"/>
    <x v="5"/>
    <x v="2"/>
    <x v="100"/>
    <x v="7"/>
    <x v="3"/>
    <x v="0"/>
    <x v="1"/>
    <x v="0"/>
    <x v="106"/>
    <x v="43"/>
    <x v="43"/>
  </r>
  <r>
    <x v="179"/>
    <x v="97"/>
    <x v="96"/>
    <x v="96"/>
    <x v="150"/>
    <x v="1"/>
    <x v="1"/>
    <x v="102"/>
    <x v="95"/>
    <x v="1"/>
    <x v="3"/>
    <x v="0"/>
    <x v="0"/>
    <x v="3"/>
    <x v="3"/>
    <x v="2"/>
    <x v="2"/>
    <x v="1"/>
    <x v="2"/>
    <x v="1"/>
    <x v="1"/>
    <x v="41"/>
    <x v="2"/>
    <x v="3"/>
    <x v="4"/>
    <x v="96"/>
    <x v="5"/>
    <x v="1"/>
    <x v="1"/>
    <x v="1"/>
    <x v="0"/>
    <x v="107"/>
    <x v="0"/>
    <x v="0"/>
  </r>
  <r>
    <x v="180"/>
    <x v="90"/>
    <x v="89"/>
    <x v="88"/>
    <x v="151"/>
    <x v="1"/>
    <x v="2"/>
    <x v="94"/>
    <x v="10"/>
    <x v="1"/>
    <x v="15"/>
    <x v="0"/>
    <x v="0"/>
    <x v="3"/>
    <x v="1"/>
    <x v="1"/>
    <x v="2"/>
    <x v="1"/>
    <x v="2"/>
    <x v="1"/>
    <x v="2"/>
    <x v="0"/>
    <x v="1"/>
    <x v="3"/>
    <x v="4"/>
    <x v="89"/>
    <x v="5"/>
    <x v="0"/>
    <x v="0"/>
    <x v="1"/>
    <x v="0"/>
    <x v="0"/>
    <x v="0"/>
    <x v="44"/>
  </r>
  <r>
    <x v="181"/>
    <x v="86"/>
    <x v="85"/>
    <x v="84"/>
    <x v="0"/>
    <x v="1"/>
    <x v="2"/>
    <x v="90"/>
    <x v="101"/>
    <x v="6"/>
    <x v="0"/>
    <x v="0"/>
    <x v="1"/>
    <x v="3"/>
    <x v="1"/>
    <x v="1"/>
    <x v="2"/>
    <x v="1"/>
    <x v="3"/>
    <x v="1"/>
    <x v="2"/>
    <x v="0"/>
    <x v="2"/>
    <x v="3"/>
    <x v="4"/>
    <x v="85"/>
    <x v="1"/>
    <x v="0"/>
    <x v="0"/>
    <x v="1"/>
    <x v="0"/>
    <x v="0"/>
    <x v="0"/>
    <x v="0"/>
  </r>
  <r>
    <x v="182"/>
    <x v="97"/>
    <x v="96"/>
    <x v="96"/>
    <x v="0"/>
    <x v="1"/>
    <x v="1"/>
    <x v="102"/>
    <x v="95"/>
    <x v="1"/>
    <x v="3"/>
    <x v="0"/>
    <x v="0"/>
    <x v="3"/>
    <x v="3"/>
    <x v="3"/>
    <x v="2"/>
    <x v="1"/>
    <x v="2"/>
    <x v="1"/>
    <x v="1"/>
    <x v="38"/>
    <x v="2"/>
    <x v="3"/>
    <x v="4"/>
    <x v="96"/>
    <x v="5"/>
    <x v="1"/>
    <x v="7"/>
    <x v="1"/>
    <x v="0"/>
    <x v="108"/>
    <x v="58"/>
    <x v="45"/>
  </r>
  <r>
    <x v="183"/>
    <x v="102"/>
    <x v="101"/>
    <x v="101"/>
    <x v="152"/>
    <x v="1"/>
    <x v="2"/>
    <x v="107"/>
    <x v="102"/>
    <x v="1"/>
    <x v="15"/>
    <x v="0"/>
    <x v="0"/>
    <x v="1"/>
    <x v="1"/>
    <x v="1"/>
    <x v="2"/>
    <x v="1"/>
    <x v="1"/>
    <x v="1"/>
    <x v="2"/>
    <x v="0"/>
    <x v="1"/>
    <x v="5"/>
    <x v="3"/>
    <x v="101"/>
    <x v="5"/>
    <x v="0"/>
    <x v="0"/>
    <x v="1"/>
    <x v="0"/>
    <x v="0"/>
    <x v="0"/>
    <x v="0"/>
  </r>
  <r>
    <x v="184"/>
    <x v="103"/>
    <x v="102"/>
    <x v="102"/>
    <x v="153"/>
    <x v="1"/>
    <x v="2"/>
    <x v="108"/>
    <x v="103"/>
    <x v="1"/>
    <x v="57"/>
    <x v="0"/>
    <x v="0"/>
    <x v="1"/>
    <x v="1"/>
    <x v="1"/>
    <x v="2"/>
    <x v="1"/>
    <x v="1"/>
    <x v="1"/>
    <x v="2"/>
    <x v="0"/>
    <x v="1"/>
    <x v="2"/>
    <x v="2"/>
    <x v="102"/>
    <x v="2"/>
    <x v="0"/>
    <x v="0"/>
    <x v="1"/>
    <x v="0"/>
    <x v="0"/>
    <x v="0"/>
    <x v="0"/>
  </r>
  <r>
    <x v="185"/>
    <x v="96"/>
    <x v="95"/>
    <x v="95"/>
    <x v="154"/>
    <x v="1"/>
    <x v="2"/>
    <x v="101"/>
    <x v="94"/>
    <x v="1"/>
    <x v="2"/>
    <x v="0"/>
    <x v="0"/>
    <x v="3"/>
    <x v="1"/>
    <x v="1"/>
    <x v="2"/>
    <x v="1"/>
    <x v="3"/>
    <x v="1"/>
    <x v="2"/>
    <x v="0"/>
    <x v="2"/>
    <x v="3"/>
    <x v="4"/>
    <x v="95"/>
    <x v="1"/>
    <x v="0"/>
    <x v="0"/>
    <x v="1"/>
    <x v="0"/>
    <x v="0"/>
    <x v="0"/>
    <x v="0"/>
  </r>
  <r>
    <x v="186"/>
    <x v="104"/>
    <x v="103"/>
    <x v="103"/>
    <x v="155"/>
    <x v="1"/>
    <x v="1"/>
    <x v="109"/>
    <x v="10"/>
    <x v="2"/>
    <x v="0"/>
    <x v="6"/>
    <x v="0"/>
    <x v="1"/>
    <x v="2"/>
    <x v="3"/>
    <x v="1"/>
    <x v="1"/>
    <x v="2"/>
    <x v="1"/>
    <x v="1"/>
    <x v="42"/>
    <x v="1"/>
    <x v="1"/>
    <x v="2"/>
    <x v="103"/>
    <x v="2"/>
    <x v="1"/>
    <x v="1"/>
    <x v="2"/>
    <x v="1"/>
    <x v="109"/>
    <x v="0"/>
    <x v="0"/>
  </r>
  <r>
    <x v="187"/>
    <x v="45"/>
    <x v="44"/>
    <x v="44"/>
    <x v="156"/>
    <x v="3"/>
    <x v="2"/>
    <x v="47"/>
    <x v="93"/>
    <x v="2"/>
    <x v="0"/>
    <x v="7"/>
    <x v="0"/>
    <x v="1"/>
    <x v="2"/>
    <x v="3"/>
    <x v="2"/>
    <x v="1"/>
    <x v="2"/>
    <x v="1"/>
    <x v="1"/>
    <x v="42"/>
    <x v="1"/>
    <x v="1"/>
    <x v="9"/>
    <x v="44"/>
    <x v="1"/>
    <x v="3"/>
    <x v="0"/>
    <x v="1"/>
    <x v="0"/>
    <x v="110"/>
    <x v="0"/>
    <x v="0"/>
  </r>
  <r>
    <x v="188"/>
    <x v="105"/>
    <x v="104"/>
    <x v="104"/>
    <x v="157"/>
    <x v="3"/>
    <x v="1"/>
    <x v="110"/>
    <x v="104"/>
    <x v="1"/>
    <x v="58"/>
    <x v="0"/>
    <x v="0"/>
    <x v="1"/>
    <x v="1"/>
    <x v="2"/>
    <x v="1"/>
    <x v="2"/>
    <x v="1"/>
    <x v="1"/>
    <x v="1"/>
    <x v="43"/>
    <x v="1"/>
    <x v="1"/>
    <x v="2"/>
    <x v="104"/>
    <x v="7"/>
    <x v="1"/>
    <x v="7"/>
    <x v="1"/>
    <x v="0"/>
    <x v="111"/>
    <x v="59"/>
    <x v="46"/>
  </r>
  <r>
    <x v="189"/>
    <x v="106"/>
    <x v="105"/>
    <x v="105"/>
    <x v="158"/>
    <x v="3"/>
    <x v="1"/>
    <x v="111"/>
    <x v="105"/>
    <x v="2"/>
    <x v="0"/>
    <x v="5"/>
    <x v="0"/>
    <x v="1"/>
    <x v="2"/>
    <x v="3"/>
    <x v="2"/>
    <x v="1"/>
    <x v="2"/>
    <x v="1"/>
    <x v="1"/>
    <x v="42"/>
    <x v="2"/>
    <x v="1"/>
    <x v="2"/>
    <x v="105"/>
    <x v="1"/>
    <x v="1"/>
    <x v="4"/>
    <x v="1"/>
    <x v="0"/>
    <x v="112"/>
    <x v="0"/>
    <x v="0"/>
  </r>
  <r>
    <x v="190"/>
    <x v="107"/>
    <x v="106"/>
    <x v="0"/>
    <x v="159"/>
    <x v="1"/>
    <x v="2"/>
    <x v="112"/>
    <x v="106"/>
    <x v="1"/>
    <x v="31"/>
    <x v="0"/>
    <x v="0"/>
    <x v="1"/>
    <x v="2"/>
    <x v="3"/>
    <x v="2"/>
    <x v="1"/>
    <x v="2"/>
    <x v="1"/>
    <x v="1"/>
    <x v="42"/>
    <x v="1"/>
    <x v="5"/>
    <x v="2"/>
    <x v="106"/>
    <x v="2"/>
    <x v="3"/>
    <x v="0"/>
    <x v="1"/>
    <x v="0"/>
    <x v="113"/>
    <x v="0"/>
    <x v="47"/>
  </r>
  <r>
    <x v="191"/>
    <x v="97"/>
    <x v="96"/>
    <x v="96"/>
    <x v="0"/>
    <x v="3"/>
    <x v="1"/>
    <x v="102"/>
    <x v="95"/>
    <x v="1"/>
    <x v="3"/>
    <x v="0"/>
    <x v="0"/>
    <x v="3"/>
    <x v="1"/>
    <x v="1"/>
    <x v="2"/>
    <x v="1"/>
    <x v="2"/>
    <x v="1"/>
    <x v="2"/>
    <x v="0"/>
    <x v="2"/>
    <x v="3"/>
    <x v="4"/>
    <x v="96"/>
    <x v="7"/>
    <x v="0"/>
    <x v="0"/>
    <x v="1"/>
    <x v="0"/>
    <x v="0"/>
    <x v="0"/>
    <x v="0"/>
  </r>
  <r>
    <x v="192"/>
    <x v="104"/>
    <x v="103"/>
    <x v="103"/>
    <x v="160"/>
    <x v="1"/>
    <x v="1"/>
    <x v="109"/>
    <x v="10"/>
    <x v="2"/>
    <x v="0"/>
    <x v="6"/>
    <x v="0"/>
    <x v="3"/>
    <x v="4"/>
    <x v="1"/>
    <x v="2"/>
    <x v="1"/>
    <x v="2"/>
    <x v="1"/>
    <x v="2"/>
    <x v="0"/>
    <x v="2"/>
    <x v="3"/>
    <x v="4"/>
    <x v="103"/>
    <x v="5"/>
    <x v="0"/>
    <x v="0"/>
    <x v="1"/>
    <x v="0"/>
    <x v="0"/>
    <x v="0"/>
    <x v="0"/>
  </r>
  <r>
    <x v="193"/>
    <x v="106"/>
    <x v="105"/>
    <x v="105"/>
    <x v="0"/>
    <x v="3"/>
    <x v="1"/>
    <x v="111"/>
    <x v="105"/>
    <x v="2"/>
    <x v="0"/>
    <x v="5"/>
    <x v="0"/>
    <x v="3"/>
    <x v="4"/>
    <x v="1"/>
    <x v="2"/>
    <x v="1"/>
    <x v="2"/>
    <x v="1"/>
    <x v="2"/>
    <x v="0"/>
    <x v="2"/>
    <x v="3"/>
    <x v="4"/>
    <x v="105"/>
    <x v="1"/>
    <x v="0"/>
    <x v="0"/>
    <x v="1"/>
    <x v="0"/>
    <x v="0"/>
    <x v="0"/>
    <x v="0"/>
  </r>
  <r>
    <x v="194"/>
    <x v="108"/>
    <x v="107"/>
    <x v="106"/>
    <x v="161"/>
    <x v="1"/>
    <x v="2"/>
    <x v="113"/>
    <x v="107"/>
    <x v="1"/>
    <x v="31"/>
    <x v="0"/>
    <x v="0"/>
    <x v="1"/>
    <x v="1"/>
    <x v="1"/>
    <x v="2"/>
    <x v="1"/>
    <x v="1"/>
    <x v="1"/>
    <x v="1"/>
    <x v="44"/>
    <x v="1"/>
    <x v="6"/>
    <x v="3"/>
    <x v="107"/>
    <x v="5"/>
    <x v="3"/>
    <x v="0"/>
    <x v="1"/>
    <x v="0"/>
    <x v="114"/>
    <x v="60"/>
    <x v="0"/>
  </r>
  <r>
    <x v="195"/>
    <x v="109"/>
    <x v="108"/>
    <x v="107"/>
    <x v="162"/>
    <x v="1"/>
    <x v="2"/>
    <x v="114"/>
    <x v="99"/>
    <x v="1"/>
    <x v="27"/>
    <x v="0"/>
    <x v="0"/>
    <x v="1"/>
    <x v="3"/>
    <x v="3"/>
    <x v="2"/>
    <x v="2"/>
    <x v="2"/>
    <x v="1"/>
    <x v="1"/>
    <x v="45"/>
    <x v="1"/>
    <x v="6"/>
    <x v="2"/>
    <x v="108"/>
    <x v="7"/>
    <x v="1"/>
    <x v="4"/>
    <x v="1"/>
    <x v="0"/>
    <x v="115"/>
    <x v="61"/>
    <x v="48"/>
  </r>
  <r>
    <x v="196"/>
    <x v="110"/>
    <x v="109"/>
    <x v="108"/>
    <x v="163"/>
    <x v="1"/>
    <x v="2"/>
    <x v="115"/>
    <x v="108"/>
    <x v="1"/>
    <x v="59"/>
    <x v="0"/>
    <x v="0"/>
    <x v="1"/>
    <x v="2"/>
    <x v="3"/>
    <x v="2"/>
    <x v="2"/>
    <x v="1"/>
    <x v="1"/>
    <x v="1"/>
    <x v="45"/>
    <x v="1"/>
    <x v="6"/>
    <x v="2"/>
    <x v="109"/>
    <x v="7"/>
    <x v="1"/>
    <x v="1"/>
    <x v="1"/>
    <x v="0"/>
    <x v="116"/>
    <x v="62"/>
    <x v="49"/>
  </r>
  <r>
    <x v="197"/>
    <x v="111"/>
    <x v="110"/>
    <x v="109"/>
    <x v="164"/>
    <x v="1"/>
    <x v="3"/>
    <x v="116"/>
    <x v="10"/>
    <x v="1"/>
    <x v="9"/>
    <x v="0"/>
    <x v="0"/>
    <x v="1"/>
    <x v="3"/>
    <x v="3"/>
    <x v="2"/>
    <x v="1"/>
    <x v="2"/>
    <x v="1"/>
    <x v="1"/>
    <x v="45"/>
    <x v="1"/>
    <x v="2"/>
    <x v="3"/>
    <x v="110"/>
    <x v="5"/>
    <x v="1"/>
    <x v="1"/>
    <x v="2"/>
    <x v="1"/>
    <x v="117"/>
    <x v="0"/>
    <x v="0"/>
  </r>
  <r>
    <x v="198"/>
    <x v="84"/>
    <x v="83"/>
    <x v="82"/>
    <x v="165"/>
    <x v="1"/>
    <x v="1"/>
    <x v="87"/>
    <x v="109"/>
    <x v="1"/>
    <x v="60"/>
    <x v="0"/>
    <x v="0"/>
    <x v="1"/>
    <x v="3"/>
    <x v="3"/>
    <x v="2"/>
    <x v="2"/>
    <x v="1"/>
    <x v="1"/>
    <x v="1"/>
    <x v="46"/>
    <x v="1"/>
    <x v="1"/>
    <x v="2"/>
    <x v="83"/>
    <x v="5"/>
    <x v="1"/>
    <x v="1"/>
    <x v="1"/>
    <x v="0"/>
    <x v="118"/>
    <x v="0"/>
    <x v="50"/>
  </r>
  <r>
    <x v="199"/>
    <x v="112"/>
    <x v="111"/>
    <x v="110"/>
    <x v="166"/>
    <x v="3"/>
    <x v="2"/>
    <x v="117"/>
    <x v="52"/>
    <x v="1"/>
    <x v="2"/>
    <x v="0"/>
    <x v="0"/>
    <x v="1"/>
    <x v="3"/>
    <x v="2"/>
    <x v="1"/>
    <x v="1"/>
    <x v="3"/>
    <x v="1"/>
    <x v="1"/>
    <x v="45"/>
    <x v="1"/>
    <x v="1"/>
    <x v="2"/>
    <x v="111"/>
    <x v="5"/>
    <x v="1"/>
    <x v="1"/>
    <x v="1"/>
    <x v="0"/>
    <x v="119"/>
    <x v="0"/>
    <x v="0"/>
  </r>
  <r>
    <x v="200"/>
    <x v="113"/>
    <x v="112"/>
    <x v="111"/>
    <x v="167"/>
    <x v="3"/>
    <x v="2"/>
    <x v="118"/>
    <x v="110"/>
    <x v="1"/>
    <x v="15"/>
    <x v="0"/>
    <x v="0"/>
    <x v="1"/>
    <x v="5"/>
    <x v="1"/>
    <x v="1"/>
    <x v="1"/>
    <x v="2"/>
    <x v="1"/>
    <x v="2"/>
    <x v="0"/>
    <x v="1"/>
    <x v="1"/>
    <x v="4"/>
    <x v="112"/>
    <x v="5"/>
    <x v="0"/>
    <x v="0"/>
    <x v="1"/>
    <x v="0"/>
    <x v="0"/>
    <x v="0"/>
    <x v="51"/>
  </r>
  <r>
    <x v="201"/>
    <x v="114"/>
    <x v="113"/>
    <x v="112"/>
    <x v="168"/>
    <x v="1"/>
    <x v="3"/>
    <x v="119"/>
    <x v="107"/>
    <x v="1"/>
    <x v="57"/>
    <x v="0"/>
    <x v="0"/>
    <x v="1"/>
    <x v="1"/>
    <x v="1"/>
    <x v="2"/>
    <x v="1"/>
    <x v="3"/>
    <x v="1"/>
    <x v="2"/>
    <x v="0"/>
    <x v="2"/>
    <x v="1"/>
    <x v="2"/>
    <x v="113"/>
    <x v="5"/>
    <x v="0"/>
    <x v="0"/>
    <x v="1"/>
    <x v="0"/>
    <x v="0"/>
    <x v="0"/>
    <x v="0"/>
  </r>
  <r>
    <x v="202"/>
    <x v="115"/>
    <x v="114"/>
    <x v="113"/>
    <x v="169"/>
    <x v="2"/>
    <x v="2"/>
    <x v="120"/>
    <x v="111"/>
    <x v="1"/>
    <x v="15"/>
    <x v="0"/>
    <x v="0"/>
    <x v="1"/>
    <x v="1"/>
    <x v="2"/>
    <x v="2"/>
    <x v="1"/>
    <x v="3"/>
    <x v="1"/>
    <x v="1"/>
    <x v="46"/>
    <x v="1"/>
    <x v="1"/>
    <x v="2"/>
    <x v="114"/>
    <x v="4"/>
    <x v="3"/>
    <x v="0"/>
    <x v="1"/>
    <x v="0"/>
    <x v="120"/>
    <x v="0"/>
    <x v="0"/>
  </r>
  <r>
    <x v="203"/>
    <x v="116"/>
    <x v="115"/>
    <x v="114"/>
    <x v="170"/>
    <x v="1"/>
    <x v="1"/>
    <x v="121"/>
    <x v="112"/>
    <x v="1"/>
    <x v="15"/>
    <x v="0"/>
    <x v="0"/>
    <x v="1"/>
    <x v="1"/>
    <x v="1"/>
    <x v="2"/>
    <x v="1"/>
    <x v="2"/>
    <x v="1"/>
    <x v="2"/>
    <x v="0"/>
    <x v="2"/>
    <x v="1"/>
    <x v="2"/>
    <x v="115"/>
    <x v="4"/>
    <x v="0"/>
    <x v="0"/>
    <x v="1"/>
    <x v="0"/>
    <x v="0"/>
    <x v="0"/>
    <x v="0"/>
  </r>
  <r>
    <x v="204"/>
    <x v="117"/>
    <x v="116"/>
    <x v="115"/>
    <x v="171"/>
    <x v="1"/>
    <x v="2"/>
    <x v="122"/>
    <x v="50"/>
    <x v="1"/>
    <x v="15"/>
    <x v="0"/>
    <x v="0"/>
    <x v="1"/>
    <x v="3"/>
    <x v="2"/>
    <x v="2"/>
    <x v="1"/>
    <x v="2"/>
    <x v="1"/>
    <x v="1"/>
    <x v="12"/>
    <x v="1"/>
    <x v="1"/>
    <x v="2"/>
    <x v="116"/>
    <x v="5"/>
    <x v="0"/>
    <x v="0"/>
    <x v="1"/>
    <x v="0"/>
    <x v="0"/>
    <x v="0"/>
    <x v="0"/>
  </r>
  <r>
    <x v="205"/>
    <x v="109"/>
    <x v="108"/>
    <x v="107"/>
    <x v="172"/>
    <x v="1"/>
    <x v="2"/>
    <x v="114"/>
    <x v="99"/>
    <x v="2"/>
    <x v="0"/>
    <x v="5"/>
    <x v="0"/>
    <x v="3"/>
    <x v="2"/>
    <x v="3"/>
    <x v="3"/>
    <x v="1"/>
    <x v="2"/>
    <x v="1"/>
    <x v="1"/>
    <x v="47"/>
    <x v="1"/>
    <x v="3"/>
    <x v="4"/>
    <x v="108"/>
    <x v="1"/>
    <x v="1"/>
    <x v="4"/>
    <x v="1"/>
    <x v="0"/>
    <x v="121"/>
    <x v="63"/>
    <x v="0"/>
  </r>
  <r>
    <x v="206"/>
    <x v="118"/>
    <x v="117"/>
    <x v="116"/>
    <x v="173"/>
    <x v="1"/>
    <x v="2"/>
    <x v="123"/>
    <x v="10"/>
    <x v="1"/>
    <x v="15"/>
    <x v="0"/>
    <x v="0"/>
    <x v="1"/>
    <x v="1"/>
    <x v="1"/>
    <x v="2"/>
    <x v="1"/>
    <x v="3"/>
    <x v="1"/>
    <x v="1"/>
    <x v="47"/>
    <x v="1"/>
    <x v="1"/>
    <x v="2"/>
    <x v="117"/>
    <x v="4"/>
    <x v="1"/>
    <x v="2"/>
    <x v="2"/>
    <x v="1"/>
    <x v="122"/>
    <x v="64"/>
    <x v="52"/>
  </r>
  <r>
    <x v="207"/>
    <x v="110"/>
    <x v="109"/>
    <x v="108"/>
    <x v="0"/>
    <x v="1"/>
    <x v="2"/>
    <x v="115"/>
    <x v="108"/>
    <x v="1"/>
    <x v="15"/>
    <x v="0"/>
    <x v="0"/>
    <x v="3"/>
    <x v="2"/>
    <x v="3"/>
    <x v="2"/>
    <x v="2"/>
    <x v="2"/>
    <x v="1"/>
    <x v="1"/>
    <x v="47"/>
    <x v="2"/>
    <x v="3"/>
    <x v="4"/>
    <x v="109"/>
    <x v="5"/>
    <x v="3"/>
    <x v="0"/>
    <x v="1"/>
    <x v="0"/>
    <x v="123"/>
    <x v="65"/>
    <x v="0"/>
  </r>
  <r>
    <x v="208"/>
    <x v="112"/>
    <x v="118"/>
    <x v="110"/>
    <x v="0"/>
    <x v="3"/>
    <x v="2"/>
    <x v="117"/>
    <x v="52"/>
    <x v="1"/>
    <x v="2"/>
    <x v="0"/>
    <x v="0"/>
    <x v="3"/>
    <x v="4"/>
    <x v="1"/>
    <x v="2"/>
    <x v="1"/>
    <x v="2"/>
    <x v="1"/>
    <x v="2"/>
    <x v="0"/>
    <x v="2"/>
    <x v="3"/>
    <x v="4"/>
    <x v="111"/>
    <x v="5"/>
    <x v="0"/>
    <x v="0"/>
    <x v="1"/>
    <x v="0"/>
    <x v="0"/>
    <x v="0"/>
    <x v="0"/>
  </r>
  <r>
    <x v="209"/>
    <x v="111"/>
    <x v="110"/>
    <x v="109"/>
    <x v="174"/>
    <x v="1"/>
    <x v="2"/>
    <x v="116"/>
    <x v="10"/>
    <x v="1"/>
    <x v="9"/>
    <x v="0"/>
    <x v="0"/>
    <x v="3"/>
    <x v="1"/>
    <x v="1"/>
    <x v="2"/>
    <x v="1"/>
    <x v="2"/>
    <x v="1"/>
    <x v="2"/>
    <x v="0"/>
    <x v="2"/>
    <x v="3"/>
    <x v="4"/>
    <x v="110"/>
    <x v="5"/>
    <x v="0"/>
    <x v="0"/>
    <x v="1"/>
    <x v="0"/>
    <x v="0"/>
    <x v="0"/>
    <x v="0"/>
  </r>
  <r>
    <x v="210"/>
    <x v="119"/>
    <x v="119"/>
    <x v="117"/>
    <x v="175"/>
    <x v="1"/>
    <x v="2"/>
    <x v="124"/>
    <x v="40"/>
    <x v="1"/>
    <x v="22"/>
    <x v="0"/>
    <x v="0"/>
    <x v="1"/>
    <x v="1"/>
    <x v="1"/>
    <x v="1"/>
    <x v="1"/>
    <x v="3"/>
    <x v="2"/>
    <x v="1"/>
    <x v="48"/>
    <x v="1"/>
    <x v="1"/>
    <x v="2"/>
    <x v="118"/>
    <x v="4"/>
    <x v="1"/>
    <x v="2"/>
    <x v="2"/>
    <x v="1"/>
    <x v="124"/>
    <x v="0"/>
    <x v="17"/>
  </r>
  <r>
    <x v="211"/>
    <x v="120"/>
    <x v="120"/>
    <x v="118"/>
    <x v="176"/>
    <x v="2"/>
    <x v="2"/>
    <x v="125"/>
    <x v="10"/>
    <x v="1"/>
    <x v="31"/>
    <x v="0"/>
    <x v="0"/>
    <x v="1"/>
    <x v="1"/>
    <x v="1"/>
    <x v="2"/>
    <x v="1"/>
    <x v="3"/>
    <x v="1"/>
    <x v="1"/>
    <x v="46"/>
    <x v="1"/>
    <x v="1"/>
    <x v="10"/>
    <x v="119"/>
    <x v="1"/>
    <x v="3"/>
    <x v="0"/>
    <x v="1"/>
    <x v="0"/>
    <x v="125"/>
    <x v="66"/>
    <x v="53"/>
  </r>
  <r>
    <x v="212"/>
    <x v="118"/>
    <x v="117"/>
    <x v="116"/>
    <x v="177"/>
    <x v="1"/>
    <x v="2"/>
    <x v="123"/>
    <x v="10"/>
    <x v="1"/>
    <x v="15"/>
    <x v="0"/>
    <x v="0"/>
    <x v="3"/>
    <x v="1"/>
    <x v="1"/>
    <x v="2"/>
    <x v="1"/>
    <x v="3"/>
    <x v="1"/>
    <x v="2"/>
    <x v="0"/>
    <x v="1"/>
    <x v="3"/>
    <x v="4"/>
    <x v="117"/>
    <x v="4"/>
    <x v="0"/>
    <x v="0"/>
    <x v="1"/>
    <x v="0"/>
    <x v="0"/>
    <x v="0"/>
    <x v="0"/>
  </r>
  <r>
    <x v="213"/>
    <x v="15"/>
    <x v="15"/>
    <x v="15"/>
    <x v="178"/>
    <x v="1"/>
    <x v="2"/>
    <x v="17"/>
    <x v="16"/>
    <x v="1"/>
    <x v="44"/>
    <x v="0"/>
    <x v="0"/>
    <x v="1"/>
    <x v="2"/>
    <x v="3"/>
    <x v="2"/>
    <x v="1"/>
    <x v="2"/>
    <x v="1"/>
    <x v="1"/>
    <x v="46"/>
    <x v="2"/>
    <x v="1"/>
    <x v="2"/>
    <x v="15"/>
    <x v="3"/>
    <x v="1"/>
    <x v="2"/>
    <x v="1"/>
    <x v="0"/>
    <x v="126"/>
    <x v="0"/>
    <x v="54"/>
  </r>
  <r>
    <x v="214"/>
    <x v="109"/>
    <x v="108"/>
    <x v="107"/>
    <x v="0"/>
    <x v="1"/>
    <x v="2"/>
    <x v="114"/>
    <x v="99"/>
    <x v="2"/>
    <x v="0"/>
    <x v="2"/>
    <x v="0"/>
    <x v="3"/>
    <x v="4"/>
    <x v="1"/>
    <x v="2"/>
    <x v="1"/>
    <x v="2"/>
    <x v="1"/>
    <x v="2"/>
    <x v="0"/>
    <x v="2"/>
    <x v="3"/>
    <x v="4"/>
    <x v="108"/>
    <x v="1"/>
    <x v="0"/>
    <x v="0"/>
    <x v="1"/>
    <x v="0"/>
    <x v="0"/>
    <x v="0"/>
    <x v="0"/>
  </r>
  <r>
    <x v="215"/>
    <x v="121"/>
    <x v="121"/>
    <x v="119"/>
    <x v="179"/>
    <x v="2"/>
    <x v="1"/>
    <x v="126"/>
    <x v="113"/>
    <x v="1"/>
    <x v="61"/>
    <x v="0"/>
    <x v="0"/>
    <x v="1"/>
    <x v="1"/>
    <x v="1"/>
    <x v="2"/>
    <x v="2"/>
    <x v="1"/>
    <x v="1"/>
    <x v="2"/>
    <x v="0"/>
    <x v="1"/>
    <x v="5"/>
    <x v="11"/>
    <x v="120"/>
    <x v="3"/>
    <x v="0"/>
    <x v="0"/>
    <x v="1"/>
    <x v="0"/>
    <x v="0"/>
    <x v="67"/>
    <x v="55"/>
  </r>
  <r>
    <x v="216"/>
    <x v="84"/>
    <x v="83"/>
    <x v="82"/>
    <x v="0"/>
    <x v="1"/>
    <x v="1"/>
    <x v="87"/>
    <x v="80"/>
    <x v="1"/>
    <x v="33"/>
    <x v="0"/>
    <x v="0"/>
    <x v="3"/>
    <x v="3"/>
    <x v="3"/>
    <x v="2"/>
    <x v="2"/>
    <x v="1"/>
    <x v="1"/>
    <x v="1"/>
    <x v="49"/>
    <x v="2"/>
    <x v="3"/>
    <x v="4"/>
    <x v="83"/>
    <x v="5"/>
    <x v="1"/>
    <x v="4"/>
    <x v="2"/>
    <x v="1"/>
    <x v="127"/>
    <x v="0"/>
    <x v="50"/>
  </r>
  <r>
    <x v="217"/>
    <x v="15"/>
    <x v="15"/>
    <x v="15"/>
    <x v="0"/>
    <x v="1"/>
    <x v="2"/>
    <x v="17"/>
    <x v="16"/>
    <x v="1"/>
    <x v="62"/>
    <x v="0"/>
    <x v="0"/>
    <x v="3"/>
    <x v="1"/>
    <x v="1"/>
    <x v="2"/>
    <x v="1"/>
    <x v="2"/>
    <x v="1"/>
    <x v="2"/>
    <x v="0"/>
    <x v="2"/>
    <x v="3"/>
    <x v="4"/>
    <x v="15"/>
    <x v="4"/>
    <x v="0"/>
    <x v="0"/>
    <x v="1"/>
    <x v="0"/>
    <x v="0"/>
    <x v="0"/>
    <x v="0"/>
  </r>
  <r>
    <x v="218"/>
    <x v="122"/>
    <x v="122"/>
    <x v="120"/>
    <x v="180"/>
    <x v="1"/>
    <x v="2"/>
    <x v="127"/>
    <x v="37"/>
    <x v="1"/>
    <x v="63"/>
    <x v="0"/>
    <x v="0"/>
    <x v="1"/>
    <x v="3"/>
    <x v="2"/>
    <x v="2"/>
    <x v="1"/>
    <x v="3"/>
    <x v="1"/>
    <x v="1"/>
    <x v="48"/>
    <x v="1"/>
    <x v="1"/>
    <x v="2"/>
    <x v="121"/>
    <x v="5"/>
    <x v="3"/>
    <x v="0"/>
    <x v="1"/>
    <x v="0"/>
    <x v="128"/>
    <x v="0"/>
    <x v="56"/>
  </r>
  <r>
    <x v="219"/>
    <x v="123"/>
    <x v="123"/>
    <x v="121"/>
    <x v="181"/>
    <x v="1"/>
    <x v="1"/>
    <x v="128"/>
    <x v="10"/>
    <x v="1"/>
    <x v="22"/>
    <x v="0"/>
    <x v="0"/>
    <x v="1"/>
    <x v="1"/>
    <x v="1"/>
    <x v="2"/>
    <x v="2"/>
    <x v="1"/>
    <x v="1"/>
    <x v="1"/>
    <x v="48"/>
    <x v="1"/>
    <x v="1"/>
    <x v="2"/>
    <x v="122"/>
    <x v="4"/>
    <x v="1"/>
    <x v="1"/>
    <x v="1"/>
    <x v="0"/>
    <x v="129"/>
    <x v="0"/>
    <x v="0"/>
  </r>
  <r>
    <x v="220"/>
    <x v="124"/>
    <x v="124"/>
    <x v="122"/>
    <x v="182"/>
    <x v="1"/>
    <x v="2"/>
    <x v="129"/>
    <x v="48"/>
    <x v="1"/>
    <x v="24"/>
    <x v="0"/>
    <x v="0"/>
    <x v="1"/>
    <x v="3"/>
    <x v="2"/>
    <x v="1"/>
    <x v="1"/>
    <x v="3"/>
    <x v="2"/>
    <x v="1"/>
    <x v="48"/>
    <x v="1"/>
    <x v="1"/>
    <x v="2"/>
    <x v="123"/>
    <x v="5"/>
    <x v="1"/>
    <x v="1"/>
    <x v="2"/>
    <x v="1"/>
    <x v="130"/>
    <x v="0"/>
    <x v="0"/>
  </r>
  <r>
    <x v="221"/>
    <x v="125"/>
    <x v="125"/>
    <x v="123"/>
    <x v="183"/>
    <x v="3"/>
    <x v="2"/>
    <x v="130"/>
    <x v="10"/>
    <x v="1"/>
    <x v="36"/>
    <x v="0"/>
    <x v="0"/>
    <x v="1"/>
    <x v="1"/>
    <x v="1"/>
    <x v="2"/>
    <x v="2"/>
    <x v="2"/>
    <x v="1"/>
    <x v="2"/>
    <x v="0"/>
    <x v="1"/>
    <x v="2"/>
    <x v="2"/>
    <x v="124"/>
    <x v="5"/>
    <x v="0"/>
    <x v="0"/>
    <x v="1"/>
    <x v="0"/>
    <x v="0"/>
    <x v="0"/>
    <x v="0"/>
  </r>
  <r>
    <x v="222"/>
    <x v="123"/>
    <x v="123"/>
    <x v="121"/>
    <x v="0"/>
    <x v="1"/>
    <x v="1"/>
    <x v="128"/>
    <x v="10"/>
    <x v="1"/>
    <x v="22"/>
    <x v="0"/>
    <x v="0"/>
    <x v="3"/>
    <x v="1"/>
    <x v="1"/>
    <x v="2"/>
    <x v="2"/>
    <x v="1"/>
    <x v="1"/>
    <x v="1"/>
    <x v="48"/>
    <x v="2"/>
    <x v="3"/>
    <x v="4"/>
    <x v="122"/>
    <x v="5"/>
    <x v="3"/>
    <x v="0"/>
    <x v="1"/>
    <x v="0"/>
    <x v="131"/>
    <x v="0"/>
    <x v="56"/>
  </r>
  <r>
    <x v="223"/>
    <x v="119"/>
    <x v="119"/>
    <x v="117"/>
    <x v="184"/>
    <x v="1"/>
    <x v="2"/>
    <x v="124"/>
    <x v="40"/>
    <x v="1"/>
    <x v="22"/>
    <x v="0"/>
    <x v="0"/>
    <x v="3"/>
    <x v="1"/>
    <x v="1"/>
    <x v="1"/>
    <x v="1"/>
    <x v="3"/>
    <x v="1"/>
    <x v="2"/>
    <x v="0"/>
    <x v="1"/>
    <x v="3"/>
    <x v="4"/>
    <x v="118"/>
    <x v="4"/>
    <x v="0"/>
    <x v="0"/>
    <x v="1"/>
    <x v="0"/>
    <x v="0"/>
    <x v="0"/>
    <x v="0"/>
  </r>
  <r>
    <x v="224"/>
    <x v="126"/>
    <x v="126"/>
    <x v="124"/>
    <x v="185"/>
    <x v="3"/>
    <x v="1"/>
    <x v="131"/>
    <x v="42"/>
    <x v="1"/>
    <x v="1"/>
    <x v="0"/>
    <x v="0"/>
    <x v="1"/>
    <x v="3"/>
    <x v="2"/>
    <x v="1"/>
    <x v="1"/>
    <x v="2"/>
    <x v="1"/>
    <x v="1"/>
    <x v="49"/>
    <x v="2"/>
    <x v="1"/>
    <x v="2"/>
    <x v="125"/>
    <x v="5"/>
    <x v="3"/>
    <x v="0"/>
    <x v="1"/>
    <x v="0"/>
    <x v="132"/>
    <x v="0"/>
    <x v="0"/>
  </r>
  <r>
    <x v="225"/>
    <x v="127"/>
    <x v="127"/>
    <x v="125"/>
    <x v="186"/>
    <x v="1"/>
    <x v="2"/>
    <x v="132"/>
    <x v="17"/>
    <x v="1"/>
    <x v="15"/>
    <x v="0"/>
    <x v="0"/>
    <x v="1"/>
    <x v="1"/>
    <x v="1"/>
    <x v="2"/>
    <x v="1"/>
    <x v="3"/>
    <x v="1"/>
    <x v="1"/>
    <x v="48"/>
    <x v="1"/>
    <x v="1"/>
    <x v="2"/>
    <x v="126"/>
    <x v="4"/>
    <x v="3"/>
    <x v="0"/>
    <x v="1"/>
    <x v="0"/>
    <x v="133"/>
    <x v="68"/>
    <x v="56"/>
  </r>
  <r>
    <x v="226"/>
    <x v="128"/>
    <x v="128"/>
    <x v="126"/>
    <x v="187"/>
    <x v="1"/>
    <x v="2"/>
    <x v="82"/>
    <x v="114"/>
    <x v="1"/>
    <x v="64"/>
    <x v="0"/>
    <x v="0"/>
    <x v="1"/>
    <x v="1"/>
    <x v="1"/>
    <x v="2"/>
    <x v="2"/>
    <x v="1"/>
    <x v="1"/>
    <x v="2"/>
    <x v="0"/>
    <x v="1"/>
    <x v="1"/>
    <x v="2"/>
    <x v="127"/>
    <x v="5"/>
    <x v="0"/>
    <x v="0"/>
    <x v="1"/>
    <x v="0"/>
    <x v="0"/>
    <x v="0"/>
    <x v="0"/>
  </r>
  <r>
    <x v="227"/>
    <x v="129"/>
    <x v="129"/>
    <x v="127"/>
    <x v="188"/>
    <x v="1"/>
    <x v="2"/>
    <x v="133"/>
    <x v="115"/>
    <x v="1"/>
    <x v="15"/>
    <x v="0"/>
    <x v="0"/>
    <x v="1"/>
    <x v="2"/>
    <x v="3"/>
    <x v="2"/>
    <x v="1"/>
    <x v="2"/>
    <x v="1"/>
    <x v="1"/>
    <x v="49"/>
    <x v="1"/>
    <x v="1"/>
    <x v="2"/>
    <x v="128"/>
    <x v="4"/>
    <x v="3"/>
    <x v="0"/>
    <x v="1"/>
    <x v="0"/>
    <x v="134"/>
    <x v="0"/>
    <x v="0"/>
  </r>
  <r>
    <x v="228"/>
    <x v="130"/>
    <x v="130"/>
    <x v="128"/>
    <x v="189"/>
    <x v="2"/>
    <x v="2"/>
    <x v="134"/>
    <x v="116"/>
    <x v="2"/>
    <x v="0"/>
    <x v="2"/>
    <x v="0"/>
    <x v="1"/>
    <x v="3"/>
    <x v="3"/>
    <x v="2"/>
    <x v="1"/>
    <x v="2"/>
    <x v="1"/>
    <x v="1"/>
    <x v="49"/>
    <x v="1"/>
    <x v="1"/>
    <x v="2"/>
    <x v="129"/>
    <x v="1"/>
    <x v="3"/>
    <x v="0"/>
    <x v="1"/>
    <x v="0"/>
    <x v="135"/>
    <x v="0"/>
    <x v="14"/>
  </r>
  <r>
    <x v="229"/>
    <x v="124"/>
    <x v="124"/>
    <x v="122"/>
    <x v="190"/>
    <x v="1"/>
    <x v="2"/>
    <x v="129"/>
    <x v="48"/>
    <x v="1"/>
    <x v="24"/>
    <x v="0"/>
    <x v="0"/>
    <x v="3"/>
    <x v="1"/>
    <x v="2"/>
    <x v="2"/>
    <x v="1"/>
    <x v="2"/>
    <x v="2"/>
    <x v="1"/>
    <x v="50"/>
    <x v="1"/>
    <x v="3"/>
    <x v="4"/>
    <x v="123"/>
    <x v="5"/>
    <x v="1"/>
    <x v="7"/>
    <x v="2"/>
    <x v="1"/>
    <x v="136"/>
    <x v="0"/>
    <x v="57"/>
  </r>
  <r>
    <x v="230"/>
    <x v="123"/>
    <x v="123"/>
    <x v="121"/>
    <x v="191"/>
    <x v="1"/>
    <x v="1"/>
    <x v="128"/>
    <x v="59"/>
    <x v="1"/>
    <x v="22"/>
    <x v="0"/>
    <x v="0"/>
    <x v="1"/>
    <x v="1"/>
    <x v="1"/>
    <x v="2"/>
    <x v="2"/>
    <x v="1"/>
    <x v="1"/>
    <x v="1"/>
    <x v="50"/>
    <x v="1"/>
    <x v="4"/>
    <x v="12"/>
    <x v="122"/>
    <x v="3"/>
    <x v="3"/>
    <x v="0"/>
    <x v="1"/>
    <x v="0"/>
    <x v="137"/>
    <x v="69"/>
    <x v="58"/>
  </r>
  <r>
    <x v="231"/>
    <x v="84"/>
    <x v="83"/>
    <x v="82"/>
    <x v="192"/>
    <x v="1"/>
    <x v="2"/>
    <x v="87"/>
    <x v="80"/>
    <x v="1"/>
    <x v="33"/>
    <x v="0"/>
    <x v="0"/>
    <x v="3"/>
    <x v="1"/>
    <x v="1"/>
    <x v="2"/>
    <x v="2"/>
    <x v="1"/>
    <x v="1"/>
    <x v="1"/>
    <x v="51"/>
    <x v="1"/>
    <x v="3"/>
    <x v="4"/>
    <x v="83"/>
    <x v="1"/>
    <x v="1"/>
    <x v="4"/>
    <x v="2"/>
    <x v="1"/>
    <x v="138"/>
    <x v="0"/>
    <x v="0"/>
  </r>
  <r>
    <x v="232"/>
    <x v="131"/>
    <x v="131"/>
    <x v="129"/>
    <x v="193"/>
    <x v="1"/>
    <x v="2"/>
    <x v="135"/>
    <x v="117"/>
    <x v="1"/>
    <x v="3"/>
    <x v="0"/>
    <x v="0"/>
    <x v="1"/>
    <x v="3"/>
    <x v="3"/>
    <x v="2"/>
    <x v="1"/>
    <x v="2"/>
    <x v="1"/>
    <x v="1"/>
    <x v="50"/>
    <x v="1"/>
    <x v="6"/>
    <x v="2"/>
    <x v="130"/>
    <x v="7"/>
    <x v="3"/>
    <x v="0"/>
    <x v="1"/>
    <x v="0"/>
    <x v="139"/>
    <x v="70"/>
    <x v="0"/>
  </r>
  <r>
    <x v="233"/>
    <x v="132"/>
    <x v="132"/>
    <x v="130"/>
    <x v="194"/>
    <x v="1"/>
    <x v="3"/>
    <x v="136"/>
    <x v="118"/>
    <x v="1"/>
    <x v="3"/>
    <x v="0"/>
    <x v="0"/>
    <x v="1"/>
    <x v="3"/>
    <x v="3"/>
    <x v="2"/>
    <x v="1"/>
    <x v="3"/>
    <x v="1"/>
    <x v="2"/>
    <x v="0"/>
    <x v="1"/>
    <x v="6"/>
    <x v="2"/>
    <x v="131"/>
    <x v="5"/>
    <x v="0"/>
    <x v="0"/>
    <x v="1"/>
    <x v="0"/>
    <x v="0"/>
    <x v="0"/>
    <x v="59"/>
  </r>
  <r>
    <x v="234"/>
    <x v="133"/>
    <x v="133"/>
    <x v="131"/>
    <x v="195"/>
    <x v="3"/>
    <x v="1"/>
    <x v="137"/>
    <x v="53"/>
    <x v="1"/>
    <x v="15"/>
    <x v="0"/>
    <x v="0"/>
    <x v="1"/>
    <x v="3"/>
    <x v="3"/>
    <x v="2"/>
    <x v="1"/>
    <x v="2"/>
    <x v="1"/>
    <x v="1"/>
    <x v="51"/>
    <x v="1"/>
    <x v="6"/>
    <x v="2"/>
    <x v="132"/>
    <x v="5"/>
    <x v="1"/>
    <x v="4"/>
    <x v="1"/>
    <x v="0"/>
    <x v="140"/>
    <x v="0"/>
    <x v="0"/>
  </r>
  <r>
    <x v="235"/>
    <x v="119"/>
    <x v="119"/>
    <x v="117"/>
    <x v="196"/>
    <x v="1"/>
    <x v="2"/>
    <x v="124"/>
    <x v="10"/>
    <x v="1"/>
    <x v="31"/>
    <x v="0"/>
    <x v="0"/>
    <x v="1"/>
    <x v="2"/>
    <x v="3"/>
    <x v="2"/>
    <x v="1"/>
    <x v="3"/>
    <x v="2"/>
    <x v="1"/>
    <x v="50"/>
    <x v="1"/>
    <x v="6"/>
    <x v="2"/>
    <x v="118"/>
    <x v="1"/>
    <x v="3"/>
    <x v="0"/>
    <x v="1"/>
    <x v="0"/>
    <x v="141"/>
    <x v="71"/>
    <x v="17"/>
  </r>
  <r>
    <x v="236"/>
    <x v="84"/>
    <x v="83"/>
    <x v="82"/>
    <x v="197"/>
    <x v="1"/>
    <x v="2"/>
    <x v="87"/>
    <x v="80"/>
    <x v="1"/>
    <x v="11"/>
    <x v="0"/>
    <x v="0"/>
    <x v="3"/>
    <x v="1"/>
    <x v="1"/>
    <x v="2"/>
    <x v="2"/>
    <x v="3"/>
    <x v="1"/>
    <x v="2"/>
    <x v="0"/>
    <x v="1"/>
    <x v="3"/>
    <x v="4"/>
    <x v="83"/>
    <x v="1"/>
    <x v="0"/>
    <x v="0"/>
    <x v="1"/>
    <x v="0"/>
    <x v="0"/>
    <x v="0"/>
    <x v="0"/>
  </r>
  <r>
    <x v="237"/>
    <x v="133"/>
    <x v="133"/>
    <x v="131"/>
    <x v="0"/>
    <x v="3"/>
    <x v="1"/>
    <x v="137"/>
    <x v="53"/>
    <x v="1"/>
    <x v="15"/>
    <x v="0"/>
    <x v="0"/>
    <x v="3"/>
    <x v="4"/>
    <x v="1"/>
    <x v="2"/>
    <x v="1"/>
    <x v="2"/>
    <x v="1"/>
    <x v="2"/>
    <x v="0"/>
    <x v="2"/>
    <x v="3"/>
    <x v="4"/>
    <x v="132"/>
    <x v="1"/>
    <x v="0"/>
    <x v="0"/>
    <x v="1"/>
    <x v="0"/>
    <x v="0"/>
    <x v="0"/>
    <x v="0"/>
  </r>
  <r>
    <x v="238"/>
    <x v="134"/>
    <x v="134"/>
    <x v="132"/>
    <x v="198"/>
    <x v="1"/>
    <x v="2"/>
    <x v="138"/>
    <x v="71"/>
    <x v="1"/>
    <x v="9"/>
    <x v="0"/>
    <x v="0"/>
    <x v="1"/>
    <x v="2"/>
    <x v="3"/>
    <x v="2"/>
    <x v="1"/>
    <x v="1"/>
    <x v="1"/>
    <x v="1"/>
    <x v="40"/>
    <x v="1"/>
    <x v="1"/>
    <x v="2"/>
    <x v="133"/>
    <x v="2"/>
    <x v="1"/>
    <x v="1"/>
    <x v="1"/>
    <x v="0"/>
    <x v="142"/>
    <x v="0"/>
    <x v="60"/>
  </r>
  <r>
    <x v="239"/>
    <x v="135"/>
    <x v="135"/>
    <x v="133"/>
    <x v="199"/>
    <x v="1"/>
    <x v="2"/>
    <x v="139"/>
    <x v="119"/>
    <x v="1"/>
    <x v="31"/>
    <x v="0"/>
    <x v="0"/>
    <x v="1"/>
    <x v="3"/>
    <x v="3"/>
    <x v="2"/>
    <x v="2"/>
    <x v="2"/>
    <x v="1"/>
    <x v="1"/>
    <x v="40"/>
    <x v="1"/>
    <x v="1"/>
    <x v="2"/>
    <x v="134"/>
    <x v="7"/>
    <x v="3"/>
    <x v="0"/>
    <x v="1"/>
    <x v="0"/>
    <x v="143"/>
    <x v="0"/>
    <x v="61"/>
  </r>
  <r>
    <x v="240"/>
    <x v="136"/>
    <x v="136"/>
    <x v="134"/>
    <x v="200"/>
    <x v="3"/>
    <x v="2"/>
    <x v="140"/>
    <x v="120"/>
    <x v="1"/>
    <x v="22"/>
    <x v="0"/>
    <x v="0"/>
    <x v="1"/>
    <x v="1"/>
    <x v="1"/>
    <x v="2"/>
    <x v="2"/>
    <x v="1"/>
    <x v="1"/>
    <x v="1"/>
    <x v="52"/>
    <x v="1"/>
    <x v="1"/>
    <x v="5"/>
    <x v="135"/>
    <x v="4"/>
    <x v="3"/>
    <x v="0"/>
    <x v="1"/>
    <x v="0"/>
    <x v="144"/>
    <x v="72"/>
    <x v="0"/>
  </r>
  <r>
    <x v="241"/>
    <x v="124"/>
    <x v="124"/>
    <x v="122"/>
    <x v="0"/>
    <x v="1"/>
    <x v="2"/>
    <x v="129"/>
    <x v="48"/>
    <x v="1"/>
    <x v="24"/>
    <x v="0"/>
    <x v="0"/>
    <x v="3"/>
    <x v="1"/>
    <x v="1"/>
    <x v="1"/>
    <x v="1"/>
    <x v="1"/>
    <x v="2"/>
    <x v="2"/>
    <x v="0"/>
    <x v="2"/>
    <x v="3"/>
    <x v="4"/>
    <x v="123"/>
    <x v="7"/>
    <x v="0"/>
    <x v="0"/>
    <x v="1"/>
    <x v="0"/>
    <x v="0"/>
    <x v="0"/>
    <x v="17"/>
  </r>
  <r>
    <x v="242"/>
    <x v="134"/>
    <x v="134"/>
    <x v="132"/>
    <x v="0"/>
    <x v="1"/>
    <x v="2"/>
    <x v="138"/>
    <x v="71"/>
    <x v="1"/>
    <x v="9"/>
    <x v="0"/>
    <x v="0"/>
    <x v="3"/>
    <x v="4"/>
    <x v="1"/>
    <x v="2"/>
    <x v="2"/>
    <x v="1"/>
    <x v="1"/>
    <x v="2"/>
    <x v="0"/>
    <x v="2"/>
    <x v="3"/>
    <x v="4"/>
    <x v="133"/>
    <x v="5"/>
    <x v="0"/>
    <x v="0"/>
    <x v="1"/>
    <x v="0"/>
    <x v="0"/>
    <x v="0"/>
    <x v="0"/>
  </r>
  <r>
    <x v="243"/>
    <x v="137"/>
    <x v="137"/>
    <x v="135"/>
    <x v="201"/>
    <x v="1"/>
    <x v="2"/>
    <x v="141"/>
    <x v="121"/>
    <x v="1"/>
    <x v="65"/>
    <x v="0"/>
    <x v="0"/>
    <x v="1"/>
    <x v="1"/>
    <x v="1"/>
    <x v="2"/>
    <x v="1"/>
    <x v="3"/>
    <x v="1"/>
    <x v="2"/>
    <x v="0"/>
    <x v="1"/>
    <x v="1"/>
    <x v="2"/>
    <x v="136"/>
    <x v="1"/>
    <x v="0"/>
    <x v="0"/>
    <x v="1"/>
    <x v="0"/>
    <x v="0"/>
    <x v="0"/>
    <x v="0"/>
  </r>
  <r>
    <x v="244"/>
    <x v="138"/>
    <x v="138"/>
    <x v="136"/>
    <x v="202"/>
    <x v="3"/>
    <x v="2"/>
    <x v="142"/>
    <x v="81"/>
    <x v="1"/>
    <x v="24"/>
    <x v="0"/>
    <x v="0"/>
    <x v="1"/>
    <x v="2"/>
    <x v="3"/>
    <x v="1"/>
    <x v="1"/>
    <x v="1"/>
    <x v="1"/>
    <x v="1"/>
    <x v="52"/>
    <x v="2"/>
    <x v="1"/>
    <x v="2"/>
    <x v="137"/>
    <x v="5"/>
    <x v="3"/>
    <x v="0"/>
    <x v="1"/>
    <x v="0"/>
    <x v="145"/>
    <x v="73"/>
    <x v="62"/>
  </r>
  <r>
    <x v="245"/>
    <x v="139"/>
    <x v="139"/>
    <x v="137"/>
    <x v="203"/>
    <x v="1"/>
    <x v="2"/>
    <x v="143"/>
    <x v="122"/>
    <x v="1"/>
    <x v="3"/>
    <x v="0"/>
    <x v="0"/>
    <x v="1"/>
    <x v="1"/>
    <x v="1"/>
    <x v="2"/>
    <x v="1"/>
    <x v="2"/>
    <x v="1"/>
    <x v="1"/>
    <x v="53"/>
    <x v="1"/>
    <x v="5"/>
    <x v="2"/>
    <x v="138"/>
    <x v="5"/>
    <x v="1"/>
    <x v="1"/>
    <x v="2"/>
    <x v="1"/>
    <x v="146"/>
    <x v="0"/>
    <x v="0"/>
  </r>
  <r>
    <x v="246"/>
    <x v="139"/>
    <x v="139"/>
    <x v="137"/>
    <x v="204"/>
    <x v="1"/>
    <x v="2"/>
    <x v="143"/>
    <x v="122"/>
    <x v="1"/>
    <x v="3"/>
    <x v="0"/>
    <x v="0"/>
    <x v="3"/>
    <x v="3"/>
    <x v="2"/>
    <x v="2"/>
    <x v="1"/>
    <x v="2"/>
    <x v="1"/>
    <x v="1"/>
    <x v="54"/>
    <x v="1"/>
    <x v="3"/>
    <x v="4"/>
    <x v="138"/>
    <x v="5"/>
    <x v="3"/>
    <x v="0"/>
    <x v="1"/>
    <x v="0"/>
    <x v="147"/>
    <x v="0"/>
    <x v="63"/>
  </r>
  <r>
    <x v="247"/>
    <x v="140"/>
    <x v="140"/>
    <x v="138"/>
    <x v="205"/>
    <x v="3"/>
    <x v="4"/>
    <x v="144"/>
    <x v="123"/>
    <x v="1"/>
    <x v="15"/>
    <x v="0"/>
    <x v="0"/>
    <x v="1"/>
    <x v="1"/>
    <x v="1"/>
    <x v="2"/>
    <x v="1"/>
    <x v="1"/>
    <x v="1"/>
    <x v="1"/>
    <x v="52"/>
    <x v="1"/>
    <x v="1"/>
    <x v="2"/>
    <x v="139"/>
    <x v="7"/>
    <x v="1"/>
    <x v="5"/>
    <x v="2"/>
    <x v="1"/>
    <x v="148"/>
    <x v="0"/>
    <x v="0"/>
  </r>
  <r>
    <x v="248"/>
    <x v="69"/>
    <x v="68"/>
    <x v="67"/>
    <x v="206"/>
    <x v="3"/>
    <x v="2"/>
    <x v="72"/>
    <x v="124"/>
    <x v="2"/>
    <x v="0"/>
    <x v="6"/>
    <x v="0"/>
    <x v="1"/>
    <x v="3"/>
    <x v="3"/>
    <x v="2"/>
    <x v="1"/>
    <x v="2"/>
    <x v="1"/>
    <x v="1"/>
    <x v="55"/>
    <x v="1"/>
    <x v="1"/>
    <x v="2"/>
    <x v="67"/>
    <x v="7"/>
    <x v="1"/>
    <x v="4"/>
    <x v="1"/>
    <x v="0"/>
    <x v="149"/>
    <x v="74"/>
    <x v="64"/>
  </r>
  <r>
    <x v="249"/>
    <x v="140"/>
    <x v="140"/>
    <x v="138"/>
    <x v="0"/>
    <x v="3"/>
    <x v="4"/>
    <x v="144"/>
    <x v="123"/>
    <x v="1"/>
    <x v="15"/>
    <x v="0"/>
    <x v="0"/>
    <x v="3"/>
    <x v="2"/>
    <x v="3"/>
    <x v="2"/>
    <x v="1"/>
    <x v="2"/>
    <x v="1"/>
    <x v="1"/>
    <x v="55"/>
    <x v="2"/>
    <x v="3"/>
    <x v="4"/>
    <x v="139"/>
    <x v="2"/>
    <x v="1"/>
    <x v="2"/>
    <x v="1"/>
    <x v="0"/>
    <x v="150"/>
    <x v="0"/>
    <x v="65"/>
  </r>
  <r>
    <x v="250"/>
    <x v="141"/>
    <x v="141"/>
    <x v="139"/>
    <x v="207"/>
    <x v="1"/>
    <x v="1"/>
    <x v="145"/>
    <x v="125"/>
    <x v="1"/>
    <x v="3"/>
    <x v="0"/>
    <x v="0"/>
    <x v="1"/>
    <x v="3"/>
    <x v="3"/>
    <x v="2"/>
    <x v="2"/>
    <x v="1"/>
    <x v="1"/>
    <x v="1"/>
    <x v="55"/>
    <x v="1"/>
    <x v="5"/>
    <x v="2"/>
    <x v="140"/>
    <x v="7"/>
    <x v="1"/>
    <x v="2"/>
    <x v="2"/>
    <x v="1"/>
    <x v="151"/>
    <x v="75"/>
    <x v="0"/>
  </r>
  <r>
    <x v="251"/>
    <x v="142"/>
    <x v="142"/>
    <x v="140"/>
    <x v="208"/>
    <x v="3"/>
    <x v="2"/>
    <x v="146"/>
    <x v="126"/>
    <x v="1"/>
    <x v="9"/>
    <x v="0"/>
    <x v="0"/>
    <x v="1"/>
    <x v="3"/>
    <x v="2"/>
    <x v="2"/>
    <x v="2"/>
    <x v="1"/>
    <x v="1"/>
    <x v="1"/>
    <x v="43"/>
    <x v="1"/>
    <x v="1"/>
    <x v="2"/>
    <x v="141"/>
    <x v="5"/>
    <x v="1"/>
    <x v="1"/>
    <x v="1"/>
    <x v="0"/>
    <x v="152"/>
    <x v="76"/>
    <x v="66"/>
  </r>
  <r>
    <x v="252"/>
    <x v="140"/>
    <x v="140"/>
    <x v="138"/>
    <x v="0"/>
    <x v="3"/>
    <x v="4"/>
    <x v="144"/>
    <x v="123"/>
    <x v="1"/>
    <x v="15"/>
    <x v="0"/>
    <x v="0"/>
    <x v="3"/>
    <x v="2"/>
    <x v="3"/>
    <x v="2"/>
    <x v="1"/>
    <x v="2"/>
    <x v="1"/>
    <x v="1"/>
    <x v="43"/>
    <x v="2"/>
    <x v="3"/>
    <x v="4"/>
    <x v="139"/>
    <x v="4"/>
    <x v="1"/>
    <x v="1"/>
    <x v="2"/>
    <x v="1"/>
    <x v="153"/>
    <x v="0"/>
    <x v="67"/>
  </r>
  <r>
    <x v="253"/>
    <x v="69"/>
    <x v="68"/>
    <x v="67"/>
    <x v="209"/>
    <x v="3"/>
    <x v="2"/>
    <x v="72"/>
    <x v="68"/>
    <x v="1"/>
    <x v="15"/>
    <x v="0"/>
    <x v="0"/>
    <x v="3"/>
    <x v="1"/>
    <x v="1"/>
    <x v="2"/>
    <x v="1"/>
    <x v="2"/>
    <x v="1"/>
    <x v="1"/>
    <x v="43"/>
    <x v="1"/>
    <x v="3"/>
    <x v="4"/>
    <x v="67"/>
    <x v="1"/>
    <x v="1"/>
    <x v="4"/>
    <x v="1"/>
    <x v="0"/>
    <x v="154"/>
    <x v="0"/>
    <x v="68"/>
  </r>
  <r>
    <x v="254"/>
    <x v="141"/>
    <x v="141"/>
    <x v="139"/>
    <x v="210"/>
    <x v="1"/>
    <x v="1"/>
    <x v="145"/>
    <x v="125"/>
    <x v="1"/>
    <x v="9"/>
    <x v="0"/>
    <x v="0"/>
    <x v="3"/>
    <x v="2"/>
    <x v="3"/>
    <x v="2"/>
    <x v="1"/>
    <x v="2"/>
    <x v="1"/>
    <x v="1"/>
    <x v="43"/>
    <x v="1"/>
    <x v="3"/>
    <x v="4"/>
    <x v="140"/>
    <x v="4"/>
    <x v="3"/>
    <x v="0"/>
    <x v="1"/>
    <x v="0"/>
    <x v="155"/>
    <x v="77"/>
    <x v="69"/>
  </r>
  <r>
    <x v="255"/>
    <x v="143"/>
    <x v="143"/>
    <x v="141"/>
    <x v="211"/>
    <x v="1"/>
    <x v="1"/>
    <x v="147"/>
    <x v="70"/>
    <x v="1"/>
    <x v="4"/>
    <x v="0"/>
    <x v="0"/>
    <x v="1"/>
    <x v="1"/>
    <x v="1"/>
    <x v="2"/>
    <x v="1"/>
    <x v="3"/>
    <x v="1"/>
    <x v="1"/>
    <x v="55"/>
    <x v="1"/>
    <x v="5"/>
    <x v="2"/>
    <x v="142"/>
    <x v="5"/>
    <x v="1"/>
    <x v="1"/>
    <x v="2"/>
    <x v="1"/>
    <x v="156"/>
    <x v="0"/>
    <x v="0"/>
  </r>
  <r>
    <x v="256"/>
    <x v="144"/>
    <x v="144"/>
    <x v="142"/>
    <x v="212"/>
    <x v="1"/>
    <x v="1"/>
    <x v="148"/>
    <x v="29"/>
    <x v="1"/>
    <x v="66"/>
    <x v="0"/>
    <x v="0"/>
    <x v="1"/>
    <x v="2"/>
    <x v="3"/>
    <x v="2"/>
    <x v="1"/>
    <x v="1"/>
    <x v="1"/>
    <x v="1"/>
    <x v="43"/>
    <x v="1"/>
    <x v="5"/>
    <x v="2"/>
    <x v="143"/>
    <x v="5"/>
    <x v="1"/>
    <x v="1"/>
    <x v="1"/>
    <x v="0"/>
    <x v="157"/>
    <x v="78"/>
    <x v="70"/>
  </r>
  <r>
    <x v="257"/>
    <x v="143"/>
    <x v="143"/>
    <x v="141"/>
    <x v="213"/>
    <x v="1"/>
    <x v="1"/>
    <x v="149"/>
    <x v="127"/>
    <x v="1"/>
    <x v="4"/>
    <x v="0"/>
    <x v="0"/>
    <x v="3"/>
    <x v="1"/>
    <x v="2"/>
    <x v="2"/>
    <x v="1"/>
    <x v="2"/>
    <x v="1"/>
    <x v="1"/>
    <x v="43"/>
    <x v="1"/>
    <x v="5"/>
    <x v="2"/>
    <x v="142"/>
    <x v="5"/>
    <x v="1"/>
    <x v="7"/>
    <x v="2"/>
    <x v="1"/>
    <x v="158"/>
    <x v="0"/>
    <x v="71"/>
  </r>
  <r>
    <x v="258"/>
    <x v="140"/>
    <x v="140"/>
    <x v="138"/>
    <x v="0"/>
    <x v="3"/>
    <x v="4"/>
    <x v="144"/>
    <x v="123"/>
    <x v="1"/>
    <x v="15"/>
    <x v="0"/>
    <x v="0"/>
    <x v="3"/>
    <x v="3"/>
    <x v="3"/>
    <x v="2"/>
    <x v="1"/>
    <x v="1"/>
    <x v="1"/>
    <x v="1"/>
    <x v="54"/>
    <x v="2"/>
    <x v="3"/>
    <x v="4"/>
    <x v="139"/>
    <x v="5"/>
    <x v="3"/>
    <x v="0"/>
    <x v="1"/>
    <x v="0"/>
    <x v="159"/>
    <x v="79"/>
    <x v="72"/>
  </r>
  <r>
    <x v="259"/>
    <x v="145"/>
    <x v="145"/>
    <x v="143"/>
    <x v="214"/>
    <x v="1"/>
    <x v="1"/>
    <x v="150"/>
    <x v="128"/>
    <x v="1"/>
    <x v="67"/>
    <x v="0"/>
    <x v="0"/>
    <x v="1"/>
    <x v="3"/>
    <x v="3"/>
    <x v="2"/>
    <x v="1"/>
    <x v="2"/>
    <x v="2"/>
    <x v="1"/>
    <x v="54"/>
    <x v="1"/>
    <x v="1"/>
    <x v="2"/>
    <x v="144"/>
    <x v="7"/>
    <x v="3"/>
    <x v="0"/>
    <x v="1"/>
    <x v="0"/>
    <x v="160"/>
    <x v="0"/>
    <x v="17"/>
  </r>
  <r>
    <x v="260"/>
    <x v="69"/>
    <x v="68"/>
    <x v="67"/>
    <x v="0"/>
    <x v="3"/>
    <x v="2"/>
    <x v="72"/>
    <x v="68"/>
    <x v="1"/>
    <x v="27"/>
    <x v="0"/>
    <x v="0"/>
    <x v="3"/>
    <x v="4"/>
    <x v="1"/>
    <x v="2"/>
    <x v="1"/>
    <x v="2"/>
    <x v="1"/>
    <x v="2"/>
    <x v="0"/>
    <x v="2"/>
    <x v="3"/>
    <x v="4"/>
    <x v="67"/>
    <x v="1"/>
    <x v="0"/>
    <x v="0"/>
    <x v="1"/>
    <x v="0"/>
    <x v="0"/>
    <x v="0"/>
    <x v="0"/>
  </r>
  <r>
    <x v="261"/>
    <x v="105"/>
    <x v="104"/>
    <x v="104"/>
    <x v="0"/>
    <x v="3"/>
    <x v="1"/>
    <x v="110"/>
    <x v="104"/>
    <x v="1"/>
    <x v="68"/>
    <x v="0"/>
    <x v="0"/>
    <x v="3"/>
    <x v="1"/>
    <x v="1"/>
    <x v="2"/>
    <x v="1"/>
    <x v="1"/>
    <x v="1"/>
    <x v="2"/>
    <x v="0"/>
    <x v="2"/>
    <x v="3"/>
    <x v="4"/>
    <x v="104"/>
    <x v="7"/>
    <x v="0"/>
    <x v="0"/>
    <x v="1"/>
    <x v="0"/>
    <x v="0"/>
    <x v="0"/>
    <x v="0"/>
  </r>
  <r>
    <x v="262"/>
    <x v="143"/>
    <x v="143"/>
    <x v="141"/>
    <x v="215"/>
    <x v="1"/>
    <x v="1"/>
    <x v="147"/>
    <x v="70"/>
    <x v="1"/>
    <x v="4"/>
    <x v="0"/>
    <x v="0"/>
    <x v="3"/>
    <x v="1"/>
    <x v="1"/>
    <x v="2"/>
    <x v="1"/>
    <x v="3"/>
    <x v="1"/>
    <x v="1"/>
    <x v="56"/>
    <x v="1"/>
    <x v="3"/>
    <x v="4"/>
    <x v="142"/>
    <x v="7"/>
    <x v="1"/>
    <x v="1"/>
    <x v="1"/>
    <x v="0"/>
    <x v="161"/>
    <x v="0"/>
    <x v="73"/>
  </r>
  <r>
    <x v="263"/>
    <x v="46"/>
    <x v="45"/>
    <x v="45"/>
    <x v="216"/>
    <x v="1"/>
    <x v="2"/>
    <x v="48"/>
    <x v="48"/>
    <x v="1"/>
    <x v="15"/>
    <x v="0"/>
    <x v="0"/>
    <x v="1"/>
    <x v="3"/>
    <x v="3"/>
    <x v="2"/>
    <x v="1"/>
    <x v="2"/>
    <x v="1"/>
    <x v="1"/>
    <x v="57"/>
    <x v="1"/>
    <x v="2"/>
    <x v="2"/>
    <x v="45"/>
    <x v="5"/>
    <x v="1"/>
    <x v="4"/>
    <x v="1"/>
    <x v="0"/>
    <x v="162"/>
    <x v="0"/>
    <x v="74"/>
  </r>
  <r>
    <x v="264"/>
    <x v="146"/>
    <x v="146"/>
    <x v="144"/>
    <x v="217"/>
    <x v="1"/>
    <x v="2"/>
    <x v="151"/>
    <x v="10"/>
    <x v="1"/>
    <x v="3"/>
    <x v="0"/>
    <x v="0"/>
    <x v="1"/>
    <x v="2"/>
    <x v="3"/>
    <x v="2"/>
    <x v="1"/>
    <x v="1"/>
    <x v="1"/>
    <x v="1"/>
    <x v="57"/>
    <x v="1"/>
    <x v="6"/>
    <x v="2"/>
    <x v="145"/>
    <x v="5"/>
    <x v="3"/>
    <x v="0"/>
    <x v="1"/>
    <x v="0"/>
    <x v="163"/>
    <x v="80"/>
    <x v="75"/>
  </r>
  <r>
    <x v="265"/>
    <x v="125"/>
    <x v="125"/>
    <x v="123"/>
    <x v="218"/>
    <x v="3"/>
    <x v="2"/>
    <x v="130"/>
    <x v="56"/>
    <x v="6"/>
    <x v="0"/>
    <x v="0"/>
    <x v="5"/>
    <x v="1"/>
    <x v="3"/>
    <x v="3"/>
    <x v="2"/>
    <x v="2"/>
    <x v="1"/>
    <x v="1"/>
    <x v="1"/>
    <x v="57"/>
    <x v="1"/>
    <x v="6"/>
    <x v="2"/>
    <x v="124"/>
    <x v="5"/>
    <x v="1"/>
    <x v="4"/>
    <x v="1"/>
    <x v="0"/>
    <x v="164"/>
    <x v="81"/>
    <x v="76"/>
  </r>
  <r>
    <x v="266"/>
    <x v="144"/>
    <x v="144"/>
    <x v="142"/>
    <x v="0"/>
    <x v="1"/>
    <x v="1"/>
    <x v="148"/>
    <x v="29"/>
    <x v="1"/>
    <x v="66"/>
    <x v="0"/>
    <x v="0"/>
    <x v="3"/>
    <x v="1"/>
    <x v="1"/>
    <x v="2"/>
    <x v="1"/>
    <x v="2"/>
    <x v="1"/>
    <x v="2"/>
    <x v="0"/>
    <x v="2"/>
    <x v="3"/>
    <x v="4"/>
    <x v="143"/>
    <x v="5"/>
    <x v="0"/>
    <x v="0"/>
    <x v="1"/>
    <x v="0"/>
    <x v="0"/>
    <x v="0"/>
    <x v="77"/>
  </r>
  <r>
    <x v="267"/>
    <x v="142"/>
    <x v="142"/>
    <x v="140"/>
    <x v="0"/>
    <x v="3"/>
    <x v="2"/>
    <x v="146"/>
    <x v="126"/>
    <x v="1"/>
    <x v="9"/>
    <x v="0"/>
    <x v="0"/>
    <x v="3"/>
    <x v="1"/>
    <x v="1"/>
    <x v="2"/>
    <x v="1"/>
    <x v="2"/>
    <x v="1"/>
    <x v="2"/>
    <x v="0"/>
    <x v="2"/>
    <x v="3"/>
    <x v="4"/>
    <x v="141"/>
    <x v="5"/>
    <x v="0"/>
    <x v="0"/>
    <x v="1"/>
    <x v="0"/>
    <x v="0"/>
    <x v="0"/>
    <x v="77"/>
  </r>
  <r>
    <x v="268"/>
    <x v="147"/>
    <x v="147"/>
    <x v="145"/>
    <x v="219"/>
    <x v="3"/>
    <x v="2"/>
    <x v="152"/>
    <x v="65"/>
    <x v="2"/>
    <x v="0"/>
    <x v="2"/>
    <x v="0"/>
    <x v="1"/>
    <x v="3"/>
    <x v="3"/>
    <x v="2"/>
    <x v="1"/>
    <x v="2"/>
    <x v="2"/>
    <x v="1"/>
    <x v="58"/>
    <x v="1"/>
    <x v="6"/>
    <x v="2"/>
    <x v="146"/>
    <x v="7"/>
    <x v="3"/>
    <x v="0"/>
    <x v="1"/>
    <x v="0"/>
    <x v="165"/>
    <x v="82"/>
    <x v="78"/>
  </r>
  <r>
    <x v="269"/>
    <x v="46"/>
    <x v="45"/>
    <x v="45"/>
    <x v="0"/>
    <x v="1"/>
    <x v="2"/>
    <x v="48"/>
    <x v="48"/>
    <x v="1"/>
    <x v="3"/>
    <x v="0"/>
    <x v="0"/>
    <x v="3"/>
    <x v="1"/>
    <x v="1"/>
    <x v="2"/>
    <x v="1"/>
    <x v="3"/>
    <x v="1"/>
    <x v="1"/>
    <x v="56"/>
    <x v="2"/>
    <x v="3"/>
    <x v="4"/>
    <x v="45"/>
    <x v="1"/>
    <x v="1"/>
    <x v="1"/>
    <x v="1"/>
    <x v="0"/>
    <x v="166"/>
    <x v="83"/>
    <x v="79"/>
  </r>
  <r>
    <x v="270"/>
    <x v="125"/>
    <x v="125"/>
    <x v="123"/>
    <x v="0"/>
    <x v="3"/>
    <x v="2"/>
    <x v="130"/>
    <x v="56"/>
    <x v="6"/>
    <x v="0"/>
    <x v="0"/>
    <x v="6"/>
    <x v="3"/>
    <x v="4"/>
    <x v="1"/>
    <x v="2"/>
    <x v="2"/>
    <x v="3"/>
    <x v="1"/>
    <x v="2"/>
    <x v="0"/>
    <x v="2"/>
    <x v="3"/>
    <x v="4"/>
    <x v="124"/>
    <x v="1"/>
    <x v="0"/>
    <x v="0"/>
    <x v="1"/>
    <x v="0"/>
    <x v="0"/>
    <x v="0"/>
    <x v="0"/>
  </r>
  <r>
    <x v="271"/>
    <x v="134"/>
    <x v="134"/>
    <x v="132"/>
    <x v="220"/>
    <x v="1"/>
    <x v="2"/>
    <x v="138"/>
    <x v="71"/>
    <x v="6"/>
    <x v="0"/>
    <x v="0"/>
    <x v="7"/>
    <x v="1"/>
    <x v="1"/>
    <x v="2"/>
    <x v="2"/>
    <x v="2"/>
    <x v="3"/>
    <x v="1"/>
    <x v="2"/>
    <x v="0"/>
    <x v="1"/>
    <x v="4"/>
    <x v="2"/>
    <x v="133"/>
    <x v="7"/>
    <x v="0"/>
    <x v="0"/>
    <x v="1"/>
    <x v="0"/>
    <x v="0"/>
    <x v="0"/>
    <x v="0"/>
  </r>
  <r>
    <x v="272"/>
    <x v="84"/>
    <x v="83"/>
    <x v="82"/>
    <x v="221"/>
    <x v="1"/>
    <x v="4"/>
    <x v="87"/>
    <x v="80"/>
    <x v="1"/>
    <x v="31"/>
    <x v="0"/>
    <x v="0"/>
    <x v="1"/>
    <x v="1"/>
    <x v="1"/>
    <x v="2"/>
    <x v="2"/>
    <x v="3"/>
    <x v="1"/>
    <x v="2"/>
    <x v="0"/>
    <x v="1"/>
    <x v="3"/>
    <x v="2"/>
    <x v="83"/>
    <x v="7"/>
    <x v="0"/>
    <x v="0"/>
    <x v="1"/>
    <x v="0"/>
    <x v="0"/>
    <x v="0"/>
    <x v="0"/>
  </r>
  <r>
    <x v="273"/>
    <x v="48"/>
    <x v="37"/>
    <x v="37"/>
    <x v="222"/>
    <x v="3"/>
    <x v="2"/>
    <x v="40"/>
    <x v="41"/>
    <x v="1"/>
    <x v="69"/>
    <x v="0"/>
    <x v="0"/>
    <x v="1"/>
    <x v="3"/>
    <x v="3"/>
    <x v="2"/>
    <x v="1"/>
    <x v="2"/>
    <x v="1"/>
    <x v="1"/>
    <x v="56"/>
    <x v="1"/>
    <x v="5"/>
    <x v="2"/>
    <x v="37"/>
    <x v="7"/>
    <x v="3"/>
    <x v="0"/>
    <x v="1"/>
    <x v="0"/>
    <x v="167"/>
    <x v="83"/>
    <x v="80"/>
  </r>
  <r>
    <x v="274"/>
    <x v="148"/>
    <x v="148"/>
    <x v="146"/>
    <x v="223"/>
    <x v="1"/>
    <x v="2"/>
    <x v="153"/>
    <x v="129"/>
    <x v="1"/>
    <x v="70"/>
    <x v="0"/>
    <x v="0"/>
    <x v="1"/>
    <x v="5"/>
    <x v="1"/>
    <x v="1"/>
    <x v="1"/>
    <x v="3"/>
    <x v="1"/>
    <x v="1"/>
    <x v="59"/>
    <x v="1"/>
    <x v="1"/>
    <x v="2"/>
    <x v="147"/>
    <x v="5"/>
    <x v="1"/>
    <x v="1"/>
    <x v="1"/>
    <x v="0"/>
    <x v="168"/>
    <x v="0"/>
    <x v="0"/>
  </r>
  <r>
    <x v="275"/>
    <x v="149"/>
    <x v="149"/>
    <x v="147"/>
    <x v="224"/>
    <x v="3"/>
    <x v="2"/>
    <x v="154"/>
    <x v="119"/>
    <x v="1"/>
    <x v="71"/>
    <x v="0"/>
    <x v="0"/>
    <x v="1"/>
    <x v="2"/>
    <x v="3"/>
    <x v="2"/>
    <x v="1"/>
    <x v="2"/>
    <x v="1"/>
    <x v="1"/>
    <x v="59"/>
    <x v="1"/>
    <x v="1"/>
    <x v="2"/>
    <x v="148"/>
    <x v="5"/>
    <x v="1"/>
    <x v="4"/>
    <x v="2"/>
    <x v="1"/>
    <x v="169"/>
    <x v="84"/>
    <x v="0"/>
  </r>
  <r>
    <x v="276"/>
    <x v="150"/>
    <x v="150"/>
    <x v="148"/>
    <x v="225"/>
    <x v="1"/>
    <x v="2"/>
    <x v="155"/>
    <x v="130"/>
    <x v="1"/>
    <x v="3"/>
    <x v="0"/>
    <x v="0"/>
    <x v="1"/>
    <x v="1"/>
    <x v="1"/>
    <x v="2"/>
    <x v="1"/>
    <x v="2"/>
    <x v="1"/>
    <x v="1"/>
    <x v="60"/>
    <x v="1"/>
    <x v="1"/>
    <x v="2"/>
    <x v="149"/>
    <x v="5"/>
    <x v="1"/>
    <x v="7"/>
    <x v="2"/>
    <x v="1"/>
    <x v="170"/>
    <x v="0"/>
    <x v="81"/>
  </r>
  <r>
    <x v="277"/>
    <x v="151"/>
    <x v="151"/>
    <x v="149"/>
    <x v="226"/>
    <x v="1"/>
    <x v="1"/>
    <x v="156"/>
    <x v="131"/>
    <x v="1"/>
    <x v="9"/>
    <x v="0"/>
    <x v="0"/>
    <x v="1"/>
    <x v="1"/>
    <x v="1"/>
    <x v="2"/>
    <x v="1"/>
    <x v="2"/>
    <x v="1"/>
    <x v="2"/>
    <x v="0"/>
    <x v="1"/>
    <x v="1"/>
    <x v="5"/>
    <x v="150"/>
    <x v="4"/>
    <x v="0"/>
    <x v="0"/>
    <x v="1"/>
    <x v="0"/>
    <x v="0"/>
    <x v="0"/>
    <x v="0"/>
  </r>
  <r>
    <x v="278"/>
    <x v="152"/>
    <x v="152"/>
    <x v="150"/>
    <x v="227"/>
    <x v="3"/>
    <x v="2"/>
    <x v="157"/>
    <x v="132"/>
    <x v="1"/>
    <x v="31"/>
    <x v="0"/>
    <x v="0"/>
    <x v="1"/>
    <x v="1"/>
    <x v="1"/>
    <x v="2"/>
    <x v="2"/>
    <x v="1"/>
    <x v="1"/>
    <x v="2"/>
    <x v="0"/>
    <x v="1"/>
    <x v="1"/>
    <x v="5"/>
    <x v="151"/>
    <x v="4"/>
    <x v="0"/>
    <x v="0"/>
    <x v="1"/>
    <x v="0"/>
    <x v="0"/>
    <x v="0"/>
    <x v="0"/>
  </r>
  <r>
    <x v="279"/>
    <x v="151"/>
    <x v="151"/>
    <x v="149"/>
    <x v="228"/>
    <x v="1"/>
    <x v="1"/>
    <x v="156"/>
    <x v="131"/>
    <x v="1"/>
    <x v="9"/>
    <x v="0"/>
    <x v="0"/>
    <x v="1"/>
    <x v="3"/>
    <x v="2"/>
    <x v="2"/>
    <x v="1"/>
    <x v="2"/>
    <x v="1"/>
    <x v="1"/>
    <x v="60"/>
    <x v="1"/>
    <x v="2"/>
    <x v="2"/>
    <x v="150"/>
    <x v="5"/>
    <x v="3"/>
    <x v="0"/>
    <x v="1"/>
    <x v="0"/>
    <x v="171"/>
    <x v="0"/>
    <x v="0"/>
  </r>
  <r>
    <x v="280"/>
    <x v="143"/>
    <x v="143"/>
    <x v="141"/>
    <x v="0"/>
    <x v="1"/>
    <x v="1"/>
    <x v="147"/>
    <x v="70"/>
    <x v="1"/>
    <x v="4"/>
    <x v="0"/>
    <x v="0"/>
    <x v="3"/>
    <x v="1"/>
    <x v="1"/>
    <x v="2"/>
    <x v="1"/>
    <x v="2"/>
    <x v="1"/>
    <x v="2"/>
    <x v="0"/>
    <x v="2"/>
    <x v="3"/>
    <x v="4"/>
    <x v="142"/>
    <x v="5"/>
    <x v="0"/>
    <x v="0"/>
    <x v="1"/>
    <x v="0"/>
    <x v="0"/>
    <x v="0"/>
    <x v="0"/>
  </r>
  <r>
    <x v="281"/>
    <x v="52"/>
    <x v="51"/>
    <x v="50"/>
    <x v="229"/>
    <x v="1"/>
    <x v="1"/>
    <x v="54"/>
    <x v="133"/>
    <x v="1"/>
    <x v="72"/>
    <x v="0"/>
    <x v="0"/>
    <x v="1"/>
    <x v="2"/>
    <x v="2"/>
    <x v="2"/>
    <x v="1"/>
    <x v="3"/>
    <x v="1"/>
    <x v="2"/>
    <x v="0"/>
    <x v="1"/>
    <x v="1"/>
    <x v="2"/>
    <x v="50"/>
    <x v="4"/>
    <x v="0"/>
    <x v="0"/>
    <x v="1"/>
    <x v="0"/>
    <x v="0"/>
    <x v="0"/>
    <x v="0"/>
  </r>
  <r>
    <x v="282"/>
    <x v="148"/>
    <x v="148"/>
    <x v="146"/>
    <x v="0"/>
    <x v="1"/>
    <x v="2"/>
    <x v="158"/>
    <x v="129"/>
    <x v="1"/>
    <x v="70"/>
    <x v="0"/>
    <x v="0"/>
    <x v="3"/>
    <x v="1"/>
    <x v="1"/>
    <x v="1"/>
    <x v="1"/>
    <x v="2"/>
    <x v="1"/>
    <x v="2"/>
    <x v="0"/>
    <x v="2"/>
    <x v="3"/>
    <x v="4"/>
    <x v="147"/>
    <x v="5"/>
    <x v="0"/>
    <x v="0"/>
    <x v="1"/>
    <x v="0"/>
    <x v="0"/>
    <x v="0"/>
    <x v="0"/>
  </r>
  <r>
    <x v="283"/>
    <x v="153"/>
    <x v="153"/>
    <x v="151"/>
    <x v="230"/>
    <x v="1"/>
    <x v="2"/>
    <x v="159"/>
    <x v="134"/>
    <x v="1"/>
    <x v="73"/>
    <x v="0"/>
    <x v="0"/>
    <x v="1"/>
    <x v="1"/>
    <x v="3"/>
    <x v="2"/>
    <x v="1"/>
    <x v="2"/>
    <x v="1"/>
    <x v="1"/>
    <x v="61"/>
    <x v="1"/>
    <x v="1"/>
    <x v="2"/>
    <x v="152"/>
    <x v="4"/>
    <x v="3"/>
    <x v="0"/>
    <x v="1"/>
    <x v="0"/>
    <x v="172"/>
    <x v="85"/>
    <x v="0"/>
  </r>
  <r>
    <x v="284"/>
    <x v="110"/>
    <x v="109"/>
    <x v="108"/>
    <x v="231"/>
    <x v="1"/>
    <x v="2"/>
    <x v="115"/>
    <x v="108"/>
    <x v="1"/>
    <x v="15"/>
    <x v="0"/>
    <x v="0"/>
    <x v="1"/>
    <x v="3"/>
    <x v="3"/>
    <x v="2"/>
    <x v="2"/>
    <x v="2"/>
    <x v="1"/>
    <x v="1"/>
    <x v="60"/>
    <x v="1"/>
    <x v="1"/>
    <x v="2"/>
    <x v="109"/>
    <x v="5"/>
    <x v="1"/>
    <x v="1"/>
    <x v="1"/>
    <x v="0"/>
    <x v="173"/>
    <x v="0"/>
    <x v="82"/>
  </r>
  <r>
    <x v="285"/>
    <x v="46"/>
    <x v="45"/>
    <x v="45"/>
    <x v="0"/>
    <x v="1"/>
    <x v="2"/>
    <x v="48"/>
    <x v="48"/>
    <x v="1"/>
    <x v="3"/>
    <x v="0"/>
    <x v="0"/>
    <x v="3"/>
    <x v="1"/>
    <x v="1"/>
    <x v="2"/>
    <x v="1"/>
    <x v="2"/>
    <x v="1"/>
    <x v="2"/>
    <x v="0"/>
    <x v="2"/>
    <x v="3"/>
    <x v="4"/>
    <x v="45"/>
    <x v="5"/>
    <x v="0"/>
    <x v="0"/>
    <x v="1"/>
    <x v="0"/>
    <x v="0"/>
    <x v="0"/>
    <x v="0"/>
  </r>
  <r>
    <x v="286"/>
    <x v="154"/>
    <x v="154"/>
    <x v="152"/>
    <x v="232"/>
    <x v="1"/>
    <x v="3"/>
    <x v="160"/>
    <x v="114"/>
    <x v="1"/>
    <x v="15"/>
    <x v="0"/>
    <x v="0"/>
    <x v="1"/>
    <x v="1"/>
    <x v="1"/>
    <x v="2"/>
    <x v="1"/>
    <x v="2"/>
    <x v="1"/>
    <x v="2"/>
    <x v="0"/>
    <x v="1"/>
    <x v="1"/>
    <x v="2"/>
    <x v="153"/>
    <x v="5"/>
    <x v="0"/>
    <x v="0"/>
    <x v="1"/>
    <x v="0"/>
    <x v="0"/>
    <x v="0"/>
    <x v="83"/>
  </r>
  <r>
    <x v="287"/>
    <x v="149"/>
    <x v="149"/>
    <x v="147"/>
    <x v="233"/>
    <x v="3"/>
    <x v="2"/>
    <x v="154"/>
    <x v="119"/>
    <x v="1"/>
    <x v="71"/>
    <x v="0"/>
    <x v="0"/>
    <x v="3"/>
    <x v="1"/>
    <x v="1"/>
    <x v="2"/>
    <x v="1"/>
    <x v="2"/>
    <x v="1"/>
    <x v="2"/>
    <x v="0"/>
    <x v="1"/>
    <x v="3"/>
    <x v="4"/>
    <x v="148"/>
    <x v="1"/>
    <x v="0"/>
    <x v="0"/>
    <x v="1"/>
    <x v="0"/>
    <x v="0"/>
    <x v="0"/>
    <x v="0"/>
  </r>
  <r>
    <x v="288"/>
    <x v="152"/>
    <x v="152"/>
    <x v="150"/>
    <x v="234"/>
    <x v="3"/>
    <x v="2"/>
    <x v="157"/>
    <x v="114"/>
    <x v="1"/>
    <x v="74"/>
    <x v="0"/>
    <x v="0"/>
    <x v="1"/>
    <x v="1"/>
    <x v="2"/>
    <x v="2"/>
    <x v="2"/>
    <x v="2"/>
    <x v="2"/>
    <x v="2"/>
    <x v="0"/>
    <x v="1"/>
    <x v="5"/>
    <x v="2"/>
    <x v="151"/>
    <x v="5"/>
    <x v="0"/>
    <x v="0"/>
    <x v="1"/>
    <x v="0"/>
    <x v="0"/>
    <x v="86"/>
    <x v="84"/>
  </r>
  <r>
    <x v="289"/>
    <x v="150"/>
    <x v="150"/>
    <x v="148"/>
    <x v="235"/>
    <x v="1"/>
    <x v="2"/>
    <x v="155"/>
    <x v="130"/>
    <x v="1"/>
    <x v="3"/>
    <x v="0"/>
    <x v="0"/>
    <x v="3"/>
    <x v="1"/>
    <x v="1"/>
    <x v="2"/>
    <x v="1"/>
    <x v="3"/>
    <x v="1"/>
    <x v="1"/>
    <x v="62"/>
    <x v="1"/>
    <x v="3"/>
    <x v="4"/>
    <x v="149"/>
    <x v="7"/>
    <x v="1"/>
    <x v="4"/>
    <x v="2"/>
    <x v="1"/>
    <x v="0"/>
    <x v="87"/>
    <x v="85"/>
  </r>
  <r>
    <x v="290"/>
    <x v="155"/>
    <x v="155"/>
    <x v="153"/>
    <x v="236"/>
    <x v="1"/>
    <x v="1"/>
    <x v="161"/>
    <x v="135"/>
    <x v="1"/>
    <x v="75"/>
    <x v="0"/>
    <x v="0"/>
    <x v="1"/>
    <x v="1"/>
    <x v="1"/>
    <x v="2"/>
    <x v="1"/>
    <x v="2"/>
    <x v="1"/>
    <x v="2"/>
    <x v="0"/>
    <x v="1"/>
    <x v="1"/>
    <x v="2"/>
    <x v="154"/>
    <x v="5"/>
    <x v="0"/>
    <x v="0"/>
    <x v="1"/>
    <x v="0"/>
    <x v="0"/>
    <x v="0"/>
    <x v="0"/>
  </r>
  <r>
    <x v="291"/>
    <x v="156"/>
    <x v="156"/>
    <x v="154"/>
    <x v="237"/>
    <x v="1"/>
    <x v="1"/>
    <x v="162"/>
    <x v="35"/>
    <x v="1"/>
    <x v="4"/>
    <x v="0"/>
    <x v="0"/>
    <x v="1"/>
    <x v="2"/>
    <x v="3"/>
    <x v="2"/>
    <x v="1"/>
    <x v="2"/>
    <x v="1"/>
    <x v="1"/>
    <x v="61"/>
    <x v="1"/>
    <x v="1"/>
    <x v="2"/>
    <x v="155"/>
    <x v="5"/>
    <x v="1"/>
    <x v="7"/>
    <x v="1"/>
    <x v="0"/>
    <x v="174"/>
    <x v="0"/>
    <x v="0"/>
  </r>
  <r>
    <x v="292"/>
    <x v="110"/>
    <x v="109"/>
    <x v="108"/>
    <x v="0"/>
    <x v="1"/>
    <x v="2"/>
    <x v="115"/>
    <x v="136"/>
    <x v="1"/>
    <x v="15"/>
    <x v="0"/>
    <x v="0"/>
    <x v="3"/>
    <x v="4"/>
    <x v="1"/>
    <x v="2"/>
    <x v="2"/>
    <x v="2"/>
    <x v="1"/>
    <x v="2"/>
    <x v="0"/>
    <x v="2"/>
    <x v="3"/>
    <x v="4"/>
    <x v="109"/>
    <x v="5"/>
    <x v="0"/>
    <x v="0"/>
    <x v="1"/>
    <x v="0"/>
    <x v="0"/>
    <x v="0"/>
    <x v="0"/>
  </r>
  <r>
    <x v="293"/>
    <x v="69"/>
    <x v="68"/>
    <x v="67"/>
    <x v="238"/>
    <x v="3"/>
    <x v="2"/>
    <x v="72"/>
    <x v="68"/>
    <x v="1"/>
    <x v="4"/>
    <x v="0"/>
    <x v="0"/>
    <x v="1"/>
    <x v="3"/>
    <x v="2"/>
    <x v="2"/>
    <x v="1"/>
    <x v="3"/>
    <x v="1"/>
    <x v="1"/>
    <x v="61"/>
    <x v="1"/>
    <x v="1"/>
    <x v="2"/>
    <x v="67"/>
    <x v="1"/>
    <x v="3"/>
    <x v="11"/>
    <x v="1"/>
    <x v="0"/>
    <x v="175"/>
    <x v="88"/>
    <x v="0"/>
  </r>
  <r>
    <x v="294"/>
    <x v="52"/>
    <x v="51"/>
    <x v="50"/>
    <x v="239"/>
    <x v="1"/>
    <x v="1"/>
    <x v="54"/>
    <x v="54"/>
    <x v="1"/>
    <x v="76"/>
    <x v="0"/>
    <x v="0"/>
    <x v="1"/>
    <x v="3"/>
    <x v="3"/>
    <x v="2"/>
    <x v="1"/>
    <x v="2"/>
    <x v="1"/>
    <x v="1"/>
    <x v="61"/>
    <x v="1"/>
    <x v="5"/>
    <x v="2"/>
    <x v="50"/>
    <x v="7"/>
    <x v="1"/>
    <x v="4"/>
    <x v="2"/>
    <x v="1"/>
    <x v="176"/>
    <x v="89"/>
    <x v="86"/>
  </r>
  <r>
    <x v="295"/>
    <x v="156"/>
    <x v="156"/>
    <x v="154"/>
    <x v="237"/>
    <x v="1"/>
    <x v="1"/>
    <x v="162"/>
    <x v="35"/>
    <x v="1"/>
    <x v="4"/>
    <x v="0"/>
    <x v="0"/>
    <x v="3"/>
    <x v="4"/>
    <x v="1"/>
    <x v="2"/>
    <x v="1"/>
    <x v="2"/>
    <x v="1"/>
    <x v="2"/>
    <x v="0"/>
    <x v="2"/>
    <x v="3"/>
    <x v="4"/>
    <x v="155"/>
    <x v="7"/>
    <x v="0"/>
    <x v="0"/>
    <x v="1"/>
    <x v="0"/>
    <x v="0"/>
    <x v="0"/>
    <x v="0"/>
  </r>
  <r>
    <x v="296"/>
    <x v="52"/>
    <x v="51"/>
    <x v="50"/>
    <x v="240"/>
    <x v="1"/>
    <x v="2"/>
    <x v="54"/>
    <x v="54"/>
    <x v="1"/>
    <x v="72"/>
    <x v="0"/>
    <x v="0"/>
    <x v="3"/>
    <x v="1"/>
    <x v="1"/>
    <x v="2"/>
    <x v="1"/>
    <x v="3"/>
    <x v="1"/>
    <x v="2"/>
    <x v="0"/>
    <x v="1"/>
    <x v="3"/>
    <x v="4"/>
    <x v="50"/>
    <x v="1"/>
    <x v="0"/>
    <x v="0"/>
    <x v="1"/>
    <x v="0"/>
    <x v="0"/>
    <x v="0"/>
    <x v="0"/>
  </r>
  <r>
    <x v="297"/>
    <x v="157"/>
    <x v="157"/>
    <x v="155"/>
    <x v="241"/>
    <x v="3"/>
    <x v="4"/>
    <x v="163"/>
    <x v="30"/>
    <x v="1"/>
    <x v="15"/>
    <x v="0"/>
    <x v="0"/>
    <x v="1"/>
    <x v="1"/>
    <x v="1"/>
    <x v="1"/>
    <x v="1"/>
    <x v="2"/>
    <x v="1"/>
    <x v="1"/>
    <x v="63"/>
    <x v="1"/>
    <x v="1"/>
    <x v="2"/>
    <x v="156"/>
    <x v="7"/>
    <x v="1"/>
    <x v="1"/>
    <x v="1"/>
    <x v="0"/>
    <x v="177"/>
    <x v="0"/>
    <x v="87"/>
  </r>
  <r>
    <x v="298"/>
    <x v="158"/>
    <x v="158"/>
    <x v="156"/>
    <x v="242"/>
    <x v="1"/>
    <x v="2"/>
    <x v="164"/>
    <x v="137"/>
    <x v="1"/>
    <x v="31"/>
    <x v="0"/>
    <x v="0"/>
    <x v="1"/>
    <x v="1"/>
    <x v="1"/>
    <x v="2"/>
    <x v="1"/>
    <x v="2"/>
    <x v="2"/>
    <x v="1"/>
    <x v="63"/>
    <x v="1"/>
    <x v="6"/>
    <x v="2"/>
    <x v="157"/>
    <x v="5"/>
    <x v="1"/>
    <x v="8"/>
    <x v="2"/>
    <x v="1"/>
    <x v="178"/>
    <x v="0"/>
    <x v="88"/>
  </r>
  <r>
    <x v="299"/>
    <x v="157"/>
    <x v="157"/>
    <x v="155"/>
    <x v="0"/>
    <x v="3"/>
    <x v="4"/>
    <x v="163"/>
    <x v="30"/>
    <x v="1"/>
    <x v="15"/>
    <x v="0"/>
    <x v="0"/>
    <x v="3"/>
    <x v="3"/>
    <x v="3"/>
    <x v="2"/>
    <x v="1"/>
    <x v="2"/>
    <x v="1"/>
    <x v="1"/>
    <x v="62"/>
    <x v="2"/>
    <x v="3"/>
    <x v="4"/>
    <x v="156"/>
    <x v="5"/>
    <x v="3"/>
    <x v="0"/>
    <x v="1"/>
    <x v="0"/>
    <x v="179"/>
    <x v="0"/>
    <x v="0"/>
  </r>
  <r>
    <x v="300"/>
    <x v="158"/>
    <x v="158"/>
    <x v="156"/>
    <x v="243"/>
    <x v="1"/>
    <x v="2"/>
    <x v="164"/>
    <x v="137"/>
    <x v="1"/>
    <x v="31"/>
    <x v="0"/>
    <x v="0"/>
    <x v="3"/>
    <x v="1"/>
    <x v="1"/>
    <x v="2"/>
    <x v="1"/>
    <x v="2"/>
    <x v="2"/>
    <x v="2"/>
    <x v="0"/>
    <x v="1"/>
    <x v="3"/>
    <x v="4"/>
    <x v="157"/>
    <x v="8"/>
    <x v="0"/>
    <x v="0"/>
    <x v="1"/>
    <x v="0"/>
    <x v="0"/>
    <x v="0"/>
    <x v="0"/>
  </r>
  <r>
    <x v="301"/>
    <x v="46"/>
    <x v="45"/>
    <x v="45"/>
    <x v="244"/>
    <x v="1"/>
    <x v="2"/>
    <x v="48"/>
    <x v="48"/>
    <x v="1"/>
    <x v="70"/>
    <x v="0"/>
    <x v="0"/>
    <x v="1"/>
    <x v="1"/>
    <x v="1"/>
    <x v="2"/>
    <x v="1"/>
    <x v="2"/>
    <x v="1"/>
    <x v="2"/>
    <x v="0"/>
    <x v="1"/>
    <x v="6"/>
    <x v="2"/>
    <x v="45"/>
    <x v="8"/>
    <x v="0"/>
    <x v="0"/>
    <x v="1"/>
    <x v="0"/>
    <x v="0"/>
    <x v="0"/>
    <x v="89"/>
  </r>
  <r>
    <x v="302"/>
    <x v="150"/>
    <x v="150"/>
    <x v="148"/>
    <x v="245"/>
    <x v="1"/>
    <x v="2"/>
    <x v="155"/>
    <x v="130"/>
    <x v="1"/>
    <x v="3"/>
    <x v="0"/>
    <x v="0"/>
    <x v="3"/>
    <x v="1"/>
    <x v="1"/>
    <x v="2"/>
    <x v="1"/>
    <x v="3"/>
    <x v="1"/>
    <x v="2"/>
    <x v="0"/>
    <x v="1"/>
    <x v="3"/>
    <x v="4"/>
    <x v="149"/>
    <x v="1"/>
    <x v="0"/>
    <x v="0"/>
    <x v="1"/>
    <x v="0"/>
    <x v="0"/>
    <x v="0"/>
    <x v="0"/>
  </r>
  <r>
    <x v="303"/>
    <x v="159"/>
    <x v="159"/>
    <x v="157"/>
    <x v="246"/>
    <x v="1"/>
    <x v="2"/>
    <x v="165"/>
    <x v="95"/>
    <x v="1"/>
    <x v="77"/>
    <x v="0"/>
    <x v="0"/>
    <x v="1"/>
    <x v="1"/>
    <x v="1"/>
    <x v="2"/>
    <x v="1"/>
    <x v="2"/>
    <x v="1"/>
    <x v="2"/>
    <x v="0"/>
    <x v="1"/>
    <x v="4"/>
    <x v="2"/>
    <x v="158"/>
    <x v="7"/>
    <x v="0"/>
    <x v="0"/>
    <x v="1"/>
    <x v="0"/>
    <x v="0"/>
    <x v="0"/>
    <x v="0"/>
  </r>
  <r>
    <x v="304"/>
    <x v="160"/>
    <x v="160"/>
    <x v="158"/>
    <x v="247"/>
    <x v="1"/>
    <x v="1"/>
    <x v="166"/>
    <x v="138"/>
    <x v="1"/>
    <x v="78"/>
    <x v="0"/>
    <x v="0"/>
    <x v="1"/>
    <x v="5"/>
    <x v="1"/>
    <x v="2"/>
    <x v="1"/>
    <x v="3"/>
    <x v="2"/>
    <x v="1"/>
    <x v="64"/>
    <x v="1"/>
    <x v="1"/>
    <x v="13"/>
    <x v="159"/>
    <x v="4"/>
    <x v="1"/>
    <x v="1"/>
    <x v="1"/>
    <x v="0"/>
    <x v="180"/>
    <x v="0"/>
    <x v="90"/>
  </r>
  <r>
    <x v="305"/>
    <x v="161"/>
    <x v="161"/>
    <x v="159"/>
    <x v="248"/>
    <x v="3"/>
    <x v="2"/>
    <x v="167"/>
    <x v="139"/>
    <x v="1"/>
    <x v="22"/>
    <x v="0"/>
    <x v="0"/>
    <x v="1"/>
    <x v="1"/>
    <x v="3"/>
    <x v="2"/>
    <x v="1"/>
    <x v="2"/>
    <x v="1"/>
    <x v="1"/>
    <x v="65"/>
    <x v="1"/>
    <x v="1"/>
    <x v="2"/>
    <x v="160"/>
    <x v="4"/>
    <x v="1"/>
    <x v="4"/>
    <x v="1"/>
    <x v="0"/>
    <x v="181"/>
    <x v="0"/>
    <x v="91"/>
  </r>
  <r>
    <x v="306"/>
    <x v="162"/>
    <x v="162"/>
    <x v="160"/>
    <x v="249"/>
    <x v="1"/>
    <x v="2"/>
    <x v="168"/>
    <x v="140"/>
    <x v="1"/>
    <x v="15"/>
    <x v="0"/>
    <x v="0"/>
    <x v="1"/>
    <x v="1"/>
    <x v="2"/>
    <x v="2"/>
    <x v="1"/>
    <x v="2"/>
    <x v="1"/>
    <x v="1"/>
    <x v="65"/>
    <x v="1"/>
    <x v="1"/>
    <x v="2"/>
    <x v="161"/>
    <x v="4"/>
    <x v="1"/>
    <x v="4"/>
    <x v="2"/>
    <x v="1"/>
    <x v="182"/>
    <x v="0"/>
    <x v="92"/>
  </r>
  <r>
    <x v="307"/>
    <x v="163"/>
    <x v="163"/>
    <x v="161"/>
    <x v="250"/>
    <x v="1"/>
    <x v="2"/>
    <x v="169"/>
    <x v="141"/>
    <x v="2"/>
    <x v="0"/>
    <x v="6"/>
    <x v="0"/>
    <x v="1"/>
    <x v="2"/>
    <x v="3"/>
    <x v="2"/>
    <x v="1"/>
    <x v="2"/>
    <x v="1"/>
    <x v="1"/>
    <x v="65"/>
    <x v="1"/>
    <x v="1"/>
    <x v="2"/>
    <x v="162"/>
    <x v="1"/>
    <x v="1"/>
    <x v="4"/>
    <x v="2"/>
    <x v="1"/>
    <x v="183"/>
    <x v="90"/>
    <x v="93"/>
  </r>
  <r>
    <x v="308"/>
    <x v="164"/>
    <x v="164"/>
    <x v="162"/>
    <x v="251"/>
    <x v="1"/>
    <x v="2"/>
    <x v="170"/>
    <x v="142"/>
    <x v="1"/>
    <x v="79"/>
    <x v="0"/>
    <x v="0"/>
    <x v="1"/>
    <x v="1"/>
    <x v="1"/>
    <x v="2"/>
    <x v="1"/>
    <x v="2"/>
    <x v="1"/>
    <x v="1"/>
    <x v="65"/>
    <x v="1"/>
    <x v="1"/>
    <x v="2"/>
    <x v="163"/>
    <x v="3"/>
    <x v="1"/>
    <x v="3"/>
    <x v="2"/>
    <x v="1"/>
    <x v="184"/>
    <x v="0"/>
    <x v="94"/>
  </r>
  <r>
    <x v="309"/>
    <x v="161"/>
    <x v="161"/>
    <x v="159"/>
    <x v="0"/>
    <x v="3"/>
    <x v="2"/>
    <x v="167"/>
    <x v="143"/>
    <x v="2"/>
    <x v="0"/>
    <x v="5"/>
    <x v="0"/>
    <x v="3"/>
    <x v="4"/>
    <x v="1"/>
    <x v="2"/>
    <x v="1"/>
    <x v="2"/>
    <x v="1"/>
    <x v="2"/>
    <x v="0"/>
    <x v="2"/>
    <x v="3"/>
    <x v="4"/>
    <x v="160"/>
    <x v="1"/>
    <x v="0"/>
    <x v="0"/>
    <x v="1"/>
    <x v="0"/>
    <x v="0"/>
    <x v="0"/>
    <x v="0"/>
  </r>
  <r>
    <x v="310"/>
    <x v="162"/>
    <x v="162"/>
    <x v="160"/>
    <x v="252"/>
    <x v="1"/>
    <x v="2"/>
    <x v="171"/>
    <x v="140"/>
    <x v="1"/>
    <x v="22"/>
    <x v="0"/>
    <x v="0"/>
    <x v="3"/>
    <x v="1"/>
    <x v="1"/>
    <x v="2"/>
    <x v="1"/>
    <x v="2"/>
    <x v="1"/>
    <x v="1"/>
    <x v="66"/>
    <x v="1"/>
    <x v="3"/>
    <x v="4"/>
    <x v="161"/>
    <x v="1"/>
    <x v="1"/>
    <x v="4"/>
    <x v="2"/>
    <x v="1"/>
    <x v="185"/>
    <x v="91"/>
    <x v="95"/>
  </r>
  <r>
    <x v="311"/>
    <x v="162"/>
    <x v="162"/>
    <x v="160"/>
    <x v="249"/>
    <x v="1"/>
    <x v="2"/>
    <x v="168"/>
    <x v="140"/>
    <x v="1"/>
    <x v="22"/>
    <x v="0"/>
    <x v="0"/>
    <x v="1"/>
    <x v="1"/>
    <x v="2"/>
    <x v="2"/>
    <x v="1"/>
    <x v="3"/>
    <x v="1"/>
    <x v="2"/>
    <x v="0"/>
    <x v="1"/>
    <x v="1"/>
    <x v="2"/>
    <x v="161"/>
    <x v="1"/>
    <x v="0"/>
    <x v="0"/>
    <x v="1"/>
    <x v="0"/>
    <x v="0"/>
    <x v="0"/>
    <x v="96"/>
  </r>
  <r>
    <x v="312"/>
    <x v="165"/>
    <x v="165"/>
    <x v="163"/>
    <x v="253"/>
    <x v="2"/>
    <x v="1"/>
    <x v="172"/>
    <x v="71"/>
    <x v="1"/>
    <x v="9"/>
    <x v="0"/>
    <x v="0"/>
    <x v="1"/>
    <x v="2"/>
    <x v="3"/>
    <x v="2"/>
    <x v="1"/>
    <x v="1"/>
    <x v="1"/>
    <x v="1"/>
    <x v="64"/>
    <x v="1"/>
    <x v="1"/>
    <x v="2"/>
    <x v="164"/>
    <x v="3"/>
    <x v="1"/>
    <x v="1"/>
    <x v="1"/>
    <x v="0"/>
    <x v="186"/>
    <x v="0"/>
    <x v="97"/>
  </r>
  <r>
    <x v="313"/>
    <x v="163"/>
    <x v="163"/>
    <x v="161"/>
    <x v="254"/>
    <x v="1"/>
    <x v="2"/>
    <x v="169"/>
    <x v="141"/>
    <x v="1"/>
    <x v="15"/>
    <x v="0"/>
    <x v="0"/>
    <x v="3"/>
    <x v="1"/>
    <x v="1"/>
    <x v="2"/>
    <x v="1"/>
    <x v="2"/>
    <x v="1"/>
    <x v="2"/>
    <x v="0"/>
    <x v="1"/>
    <x v="3"/>
    <x v="4"/>
    <x v="162"/>
    <x v="1"/>
    <x v="0"/>
    <x v="0"/>
    <x v="1"/>
    <x v="0"/>
    <x v="0"/>
    <x v="0"/>
    <x v="0"/>
  </r>
  <r>
    <x v="314"/>
    <x v="164"/>
    <x v="164"/>
    <x v="162"/>
    <x v="255"/>
    <x v="1"/>
    <x v="2"/>
    <x v="173"/>
    <x v="144"/>
    <x v="1"/>
    <x v="79"/>
    <x v="0"/>
    <x v="0"/>
    <x v="3"/>
    <x v="1"/>
    <x v="1"/>
    <x v="2"/>
    <x v="1"/>
    <x v="2"/>
    <x v="1"/>
    <x v="2"/>
    <x v="0"/>
    <x v="2"/>
    <x v="3"/>
    <x v="4"/>
    <x v="163"/>
    <x v="3"/>
    <x v="0"/>
    <x v="0"/>
    <x v="1"/>
    <x v="0"/>
    <x v="0"/>
    <x v="0"/>
    <x v="0"/>
  </r>
  <r>
    <x v="315"/>
    <x v="166"/>
    <x v="166"/>
    <x v="164"/>
    <x v="256"/>
    <x v="1"/>
    <x v="2"/>
    <x v="174"/>
    <x v="145"/>
    <x v="1"/>
    <x v="2"/>
    <x v="0"/>
    <x v="0"/>
    <x v="1"/>
    <x v="1"/>
    <x v="1"/>
    <x v="2"/>
    <x v="1"/>
    <x v="1"/>
    <x v="1"/>
    <x v="2"/>
    <x v="0"/>
    <x v="1"/>
    <x v="1"/>
    <x v="5"/>
    <x v="165"/>
    <x v="3"/>
    <x v="0"/>
    <x v="0"/>
    <x v="1"/>
    <x v="0"/>
    <x v="0"/>
    <x v="0"/>
    <x v="0"/>
  </r>
  <r>
    <x v="316"/>
    <x v="78"/>
    <x v="77"/>
    <x v="76"/>
    <x v="257"/>
    <x v="1"/>
    <x v="2"/>
    <x v="81"/>
    <x v="78"/>
    <x v="1"/>
    <x v="2"/>
    <x v="0"/>
    <x v="0"/>
    <x v="1"/>
    <x v="3"/>
    <x v="3"/>
    <x v="2"/>
    <x v="1"/>
    <x v="2"/>
    <x v="1"/>
    <x v="1"/>
    <x v="64"/>
    <x v="1"/>
    <x v="1"/>
    <x v="2"/>
    <x v="76"/>
    <x v="1"/>
    <x v="1"/>
    <x v="4"/>
    <x v="2"/>
    <x v="1"/>
    <x v="187"/>
    <x v="0"/>
    <x v="98"/>
  </r>
  <r>
    <x v="317"/>
    <x v="167"/>
    <x v="167"/>
    <x v="165"/>
    <x v="258"/>
    <x v="1"/>
    <x v="2"/>
    <x v="175"/>
    <x v="10"/>
    <x v="1"/>
    <x v="15"/>
    <x v="0"/>
    <x v="0"/>
    <x v="1"/>
    <x v="3"/>
    <x v="2"/>
    <x v="2"/>
    <x v="1"/>
    <x v="1"/>
    <x v="1"/>
    <x v="1"/>
    <x v="67"/>
    <x v="1"/>
    <x v="1"/>
    <x v="1"/>
    <x v="166"/>
    <x v="1"/>
    <x v="3"/>
    <x v="0"/>
    <x v="1"/>
    <x v="0"/>
    <x v="188"/>
    <x v="92"/>
    <x v="0"/>
  </r>
  <r>
    <x v="318"/>
    <x v="141"/>
    <x v="141"/>
    <x v="139"/>
    <x v="259"/>
    <x v="1"/>
    <x v="1"/>
    <x v="145"/>
    <x v="125"/>
    <x v="1"/>
    <x v="3"/>
    <x v="0"/>
    <x v="0"/>
    <x v="1"/>
    <x v="3"/>
    <x v="2"/>
    <x v="2"/>
    <x v="2"/>
    <x v="2"/>
    <x v="1"/>
    <x v="1"/>
    <x v="66"/>
    <x v="1"/>
    <x v="1"/>
    <x v="2"/>
    <x v="140"/>
    <x v="5"/>
    <x v="1"/>
    <x v="1"/>
    <x v="2"/>
    <x v="1"/>
    <x v="189"/>
    <x v="0"/>
    <x v="0"/>
  </r>
  <r>
    <x v="319"/>
    <x v="165"/>
    <x v="165"/>
    <x v="163"/>
    <x v="0"/>
    <x v="2"/>
    <x v="1"/>
    <x v="172"/>
    <x v="71"/>
    <x v="1"/>
    <x v="9"/>
    <x v="0"/>
    <x v="0"/>
    <x v="3"/>
    <x v="1"/>
    <x v="1"/>
    <x v="1"/>
    <x v="1"/>
    <x v="2"/>
    <x v="1"/>
    <x v="2"/>
    <x v="0"/>
    <x v="2"/>
    <x v="3"/>
    <x v="4"/>
    <x v="164"/>
    <x v="5"/>
    <x v="0"/>
    <x v="0"/>
    <x v="1"/>
    <x v="0"/>
    <x v="0"/>
    <x v="0"/>
    <x v="0"/>
  </r>
  <r>
    <x v="320"/>
    <x v="78"/>
    <x v="77"/>
    <x v="76"/>
    <x v="260"/>
    <x v="1"/>
    <x v="2"/>
    <x v="81"/>
    <x v="30"/>
    <x v="1"/>
    <x v="2"/>
    <x v="0"/>
    <x v="0"/>
    <x v="3"/>
    <x v="3"/>
    <x v="2"/>
    <x v="2"/>
    <x v="1"/>
    <x v="2"/>
    <x v="1"/>
    <x v="1"/>
    <x v="66"/>
    <x v="1"/>
    <x v="3"/>
    <x v="4"/>
    <x v="76"/>
    <x v="1"/>
    <x v="3"/>
    <x v="0"/>
    <x v="1"/>
    <x v="0"/>
    <x v="190"/>
    <x v="0"/>
    <x v="99"/>
  </r>
  <r>
    <x v="321"/>
    <x v="160"/>
    <x v="160"/>
    <x v="158"/>
    <x v="0"/>
    <x v="1"/>
    <x v="1"/>
    <x v="166"/>
    <x v="10"/>
    <x v="1"/>
    <x v="80"/>
    <x v="0"/>
    <x v="0"/>
    <x v="3"/>
    <x v="1"/>
    <x v="2"/>
    <x v="2"/>
    <x v="1"/>
    <x v="1"/>
    <x v="1"/>
    <x v="1"/>
    <x v="67"/>
    <x v="2"/>
    <x v="3"/>
    <x v="4"/>
    <x v="159"/>
    <x v="5"/>
    <x v="1"/>
    <x v="7"/>
    <x v="2"/>
    <x v="1"/>
    <x v="191"/>
    <x v="0"/>
    <x v="0"/>
  </r>
  <r>
    <x v="322"/>
    <x v="168"/>
    <x v="168"/>
    <x v="166"/>
    <x v="261"/>
    <x v="1"/>
    <x v="3"/>
    <x v="176"/>
    <x v="146"/>
    <x v="1"/>
    <x v="3"/>
    <x v="0"/>
    <x v="0"/>
    <x v="1"/>
    <x v="1"/>
    <x v="1"/>
    <x v="2"/>
    <x v="1"/>
    <x v="2"/>
    <x v="1"/>
    <x v="1"/>
    <x v="66"/>
    <x v="1"/>
    <x v="2"/>
    <x v="2"/>
    <x v="167"/>
    <x v="5"/>
    <x v="1"/>
    <x v="2"/>
    <x v="2"/>
    <x v="1"/>
    <x v="192"/>
    <x v="0"/>
    <x v="0"/>
  </r>
  <r>
    <x v="323"/>
    <x v="169"/>
    <x v="169"/>
    <x v="167"/>
    <x v="262"/>
    <x v="1"/>
    <x v="2"/>
    <x v="177"/>
    <x v="147"/>
    <x v="1"/>
    <x v="15"/>
    <x v="0"/>
    <x v="0"/>
    <x v="1"/>
    <x v="1"/>
    <x v="1"/>
    <x v="2"/>
    <x v="1"/>
    <x v="2"/>
    <x v="1"/>
    <x v="2"/>
    <x v="0"/>
    <x v="2"/>
    <x v="2"/>
    <x v="2"/>
    <x v="168"/>
    <x v="5"/>
    <x v="0"/>
    <x v="0"/>
    <x v="1"/>
    <x v="0"/>
    <x v="0"/>
    <x v="0"/>
    <x v="0"/>
  </r>
  <r>
    <x v="324"/>
    <x v="168"/>
    <x v="168"/>
    <x v="166"/>
    <x v="263"/>
    <x v="1"/>
    <x v="3"/>
    <x v="178"/>
    <x v="146"/>
    <x v="1"/>
    <x v="3"/>
    <x v="0"/>
    <x v="0"/>
    <x v="3"/>
    <x v="1"/>
    <x v="1"/>
    <x v="1"/>
    <x v="1"/>
    <x v="2"/>
    <x v="1"/>
    <x v="1"/>
    <x v="68"/>
    <x v="1"/>
    <x v="3"/>
    <x v="4"/>
    <x v="167"/>
    <x v="4"/>
    <x v="3"/>
    <x v="0"/>
    <x v="1"/>
    <x v="0"/>
    <x v="193"/>
    <x v="93"/>
    <x v="0"/>
  </r>
  <r>
    <x v="325"/>
    <x v="141"/>
    <x v="141"/>
    <x v="139"/>
    <x v="264"/>
    <x v="1"/>
    <x v="1"/>
    <x v="145"/>
    <x v="125"/>
    <x v="1"/>
    <x v="3"/>
    <x v="0"/>
    <x v="0"/>
    <x v="3"/>
    <x v="3"/>
    <x v="3"/>
    <x v="2"/>
    <x v="2"/>
    <x v="2"/>
    <x v="1"/>
    <x v="1"/>
    <x v="69"/>
    <x v="1"/>
    <x v="3"/>
    <x v="4"/>
    <x v="140"/>
    <x v="5"/>
    <x v="3"/>
    <x v="0"/>
    <x v="1"/>
    <x v="0"/>
    <x v="194"/>
    <x v="0"/>
    <x v="0"/>
  </r>
  <r>
    <x v="326"/>
    <x v="162"/>
    <x v="162"/>
    <x v="160"/>
    <x v="265"/>
    <x v="1"/>
    <x v="2"/>
    <x v="168"/>
    <x v="33"/>
    <x v="1"/>
    <x v="22"/>
    <x v="0"/>
    <x v="0"/>
    <x v="3"/>
    <x v="1"/>
    <x v="1"/>
    <x v="2"/>
    <x v="1"/>
    <x v="3"/>
    <x v="1"/>
    <x v="1"/>
    <x v="70"/>
    <x v="1"/>
    <x v="3"/>
    <x v="4"/>
    <x v="161"/>
    <x v="1"/>
    <x v="3"/>
    <x v="0"/>
    <x v="1"/>
    <x v="0"/>
    <x v="195"/>
    <x v="94"/>
    <x v="0"/>
  </r>
  <r>
    <x v="327"/>
    <x v="170"/>
    <x v="170"/>
    <x v="168"/>
    <x v="266"/>
    <x v="1"/>
    <x v="2"/>
    <x v="179"/>
    <x v="145"/>
    <x v="1"/>
    <x v="3"/>
    <x v="0"/>
    <x v="0"/>
    <x v="1"/>
    <x v="3"/>
    <x v="2"/>
    <x v="2"/>
    <x v="1"/>
    <x v="1"/>
    <x v="1"/>
    <x v="1"/>
    <x v="69"/>
    <x v="1"/>
    <x v="1"/>
    <x v="2"/>
    <x v="169"/>
    <x v="1"/>
    <x v="3"/>
    <x v="0"/>
    <x v="1"/>
    <x v="0"/>
    <x v="196"/>
    <x v="0"/>
    <x v="100"/>
  </r>
  <r>
    <x v="328"/>
    <x v="171"/>
    <x v="171"/>
    <x v="169"/>
    <x v="267"/>
    <x v="1"/>
    <x v="3"/>
    <x v="180"/>
    <x v="148"/>
    <x v="1"/>
    <x v="81"/>
    <x v="0"/>
    <x v="0"/>
    <x v="1"/>
    <x v="5"/>
    <x v="1"/>
    <x v="2"/>
    <x v="1"/>
    <x v="3"/>
    <x v="1"/>
    <x v="1"/>
    <x v="69"/>
    <x v="2"/>
    <x v="1"/>
    <x v="13"/>
    <x v="170"/>
    <x v="4"/>
    <x v="1"/>
    <x v="1"/>
    <x v="1"/>
    <x v="0"/>
    <x v="197"/>
    <x v="0"/>
    <x v="0"/>
  </r>
  <r>
    <x v="329"/>
    <x v="172"/>
    <x v="172"/>
    <x v="170"/>
    <x v="268"/>
    <x v="1"/>
    <x v="2"/>
    <x v="181"/>
    <x v="37"/>
    <x v="1"/>
    <x v="2"/>
    <x v="0"/>
    <x v="0"/>
    <x v="1"/>
    <x v="1"/>
    <x v="1"/>
    <x v="2"/>
    <x v="1"/>
    <x v="2"/>
    <x v="1"/>
    <x v="1"/>
    <x v="67"/>
    <x v="1"/>
    <x v="5"/>
    <x v="2"/>
    <x v="171"/>
    <x v="5"/>
    <x v="1"/>
    <x v="4"/>
    <x v="1"/>
    <x v="0"/>
    <x v="198"/>
    <x v="0"/>
    <x v="0"/>
  </r>
  <r>
    <x v="330"/>
    <x v="173"/>
    <x v="56"/>
    <x v="55"/>
    <x v="269"/>
    <x v="3"/>
    <x v="2"/>
    <x v="60"/>
    <x v="30"/>
    <x v="1"/>
    <x v="82"/>
    <x v="0"/>
    <x v="0"/>
    <x v="1"/>
    <x v="1"/>
    <x v="1"/>
    <x v="2"/>
    <x v="1"/>
    <x v="2"/>
    <x v="1"/>
    <x v="2"/>
    <x v="0"/>
    <x v="1"/>
    <x v="5"/>
    <x v="2"/>
    <x v="55"/>
    <x v="5"/>
    <x v="0"/>
    <x v="0"/>
    <x v="1"/>
    <x v="0"/>
    <x v="0"/>
    <x v="0"/>
    <x v="0"/>
  </r>
  <r>
    <x v="331"/>
    <x v="172"/>
    <x v="172"/>
    <x v="170"/>
    <x v="0"/>
    <x v="1"/>
    <x v="2"/>
    <x v="182"/>
    <x v="37"/>
    <x v="1"/>
    <x v="2"/>
    <x v="0"/>
    <x v="0"/>
    <x v="3"/>
    <x v="1"/>
    <x v="1"/>
    <x v="2"/>
    <x v="1"/>
    <x v="2"/>
    <x v="1"/>
    <x v="2"/>
    <x v="0"/>
    <x v="2"/>
    <x v="3"/>
    <x v="4"/>
    <x v="171"/>
    <x v="1"/>
    <x v="0"/>
    <x v="0"/>
    <x v="1"/>
    <x v="0"/>
    <x v="0"/>
    <x v="0"/>
    <x v="0"/>
  </r>
  <r>
    <x v="332"/>
    <x v="160"/>
    <x v="160"/>
    <x v="158"/>
    <x v="270"/>
    <x v="1"/>
    <x v="1"/>
    <x v="166"/>
    <x v="149"/>
    <x v="1"/>
    <x v="80"/>
    <x v="0"/>
    <x v="0"/>
    <x v="3"/>
    <x v="1"/>
    <x v="1"/>
    <x v="2"/>
    <x v="1"/>
    <x v="2"/>
    <x v="1"/>
    <x v="2"/>
    <x v="0"/>
    <x v="1"/>
    <x v="3"/>
    <x v="4"/>
    <x v="159"/>
    <x v="7"/>
    <x v="0"/>
    <x v="0"/>
    <x v="1"/>
    <x v="0"/>
    <x v="0"/>
    <x v="0"/>
    <x v="0"/>
  </r>
  <r>
    <x v="333"/>
    <x v="174"/>
    <x v="173"/>
    <x v="171"/>
    <x v="271"/>
    <x v="1"/>
    <x v="1"/>
    <x v="183"/>
    <x v="150"/>
    <x v="1"/>
    <x v="22"/>
    <x v="0"/>
    <x v="0"/>
    <x v="1"/>
    <x v="3"/>
    <x v="3"/>
    <x v="2"/>
    <x v="1"/>
    <x v="1"/>
    <x v="1"/>
    <x v="1"/>
    <x v="69"/>
    <x v="1"/>
    <x v="1"/>
    <x v="2"/>
    <x v="172"/>
    <x v="7"/>
    <x v="1"/>
    <x v="1"/>
    <x v="1"/>
    <x v="0"/>
    <x v="199"/>
    <x v="0"/>
    <x v="101"/>
  </r>
  <r>
    <x v="334"/>
    <x v="175"/>
    <x v="174"/>
    <x v="172"/>
    <x v="272"/>
    <x v="1"/>
    <x v="2"/>
    <x v="184"/>
    <x v="91"/>
    <x v="1"/>
    <x v="15"/>
    <x v="0"/>
    <x v="0"/>
    <x v="1"/>
    <x v="3"/>
    <x v="3"/>
    <x v="2"/>
    <x v="1"/>
    <x v="2"/>
    <x v="1"/>
    <x v="1"/>
    <x v="69"/>
    <x v="1"/>
    <x v="1"/>
    <x v="2"/>
    <x v="173"/>
    <x v="11"/>
    <x v="3"/>
    <x v="0"/>
    <x v="1"/>
    <x v="0"/>
    <x v="200"/>
    <x v="0"/>
    <x v="0"/>
  </r>
  <r>
    <x v="335"/>
    <x v="174"/>
    <x v="173"/>
    <x v="171"/>
    <x v="0"/>
    <x v="1"/>
    <x v="1"/>
    <x v="183"/>
    <x v="150"/>
    <x v="1"/>
    <x v="22"/>
    <x v="0"/>
    <x v="0"/>
    <x v="3"/>
    <x v="1"/>
    <x v="1"/>
    <x v="2"/>
    <x v="1"/>
    <x v="2"/>
    <x v="1"/>
    <x v="2"/>
    <x v="0"/>
    <x v="2"/>
    <x v="3"/>
    <x v="4"/>
    <x v="172"/>
    <x v="5"/>
    <x v="0"/>
    <x v="0"/>
    <x v="1"/>
    <x v="0"/>
    <x v="0"/>
    <x v="0"/>
    <x v="0"/>
  </r>
  <r>
    <x v="336"/>
    <x v="160"/>
    <x v="160"/>
    <x v="158"/>
    <x v="273"/>
    <x v="1"/>
    <x v="1"/>
    <x v="166"/>
    <x v="10"/>
    <x v="1"/>
    <x v="31"/>
    <x v="0"/>
    <x v="0"/>
    <x v="1"/>
    <x v="2"/>
    <x v="3"/>
    <x v="2"/>
    <x v="1"/>
    <x v="2"/>
    <x v="1"/>
    <x v="1"/>
    <x v="71"/>
    <x v="1"/>
    <x v="6"/>
    <x v="2"/>
    <x v="159"/>
    <x v="5"/>
    <x v="1"/>
    <x v="7"/>
    <x v="1"/>
    <x v="0"/>
    <x v="201"/>
    <x v="0"/>
    <x v="0"/>
  </r>
  <r>
    <x v="337"/>
    <x v="171"/>
    <x v="171"/>
    <x v="169"/>
    <x v="274"/>
    <x v="1"/>
    <x v="3"/>
    <x v="180"/>
    <x v="151"/>
    <x v="1"/>
    <x v="31"/>
    <x v="0"/>
    <x v="0"/>
    <x v="3"/>
    <x v="3"/>
    <x v="3"/>
    <x v="2"/>
    <x v="1"/>
    <x v="2"/>
    <x v="1"/>
    <x v="1"/>
    <x v="71"/>
    <x v="1"/>
    <x v="6"/>
    <x v="2"/>
    <x v="170"/>
    <x v="5"/>
    <x v="3"/>
    <x v="0"/>
    <x v="1"/>
    <x v="0"/>
    <x v="202"/>
    <x v="95"/>
    <x v="0"/>
  </r>
  <r>
    <x v="338"/>
    <x v="152"/>
    <x v="152"/>
    <x v="150"/>
    <x v="275"/>
    <x v="3"/>
    <x v="2"/>
    <x v="157"/>
    <x v="114"/>
    <x v="1"/>
    <x v="36"/>
    <x v="0"/>
    <x v="0"/>
    <x v="1"/>
    <x v="1"/>
    <x v="1"/>
    <x v="2"/>
    <x v="2"/>
    <x v="1"/>
    <x v="1"/>
    <x v="2"/>
    <x v="0"/>
    <x v="1"/>
    <x v="6"/>
    <x v="2"/>
    <x v="151"/>
    <x v="5"/>
    <x v="0"/>
    <x v="0"/>
    <x v="1"/>
    <x v="0"/>
    <x v="0"/>
    <x v="0"/>
    <x v="102"/>
  </r>
  <r>
    <x v="339"/>
    <x v="176"/>
    <x v="175"/>
    <x v="173"/>
    <x v="276"/>
    <x v="1"/>
    <x v="1"/>
    <x v="185"/>
    <x v="152"/>
    <x v="1"/>
    <x v="31"/>
    <x v="0"/>
    <x v="0"/>
    <x v="1"/>
    <x v="1"/>
    <x v="1"/>
    <x v="2"/>
    <x v="1"/>
    <x v="2"/>
    <x v="1"/>
    <x v="1"/>
    <x v="68"/>
    <x v="1"/>
    <x v="6"/>
    <x v="2"/>
    <x v="174"/>
    <x v="7"/>
    <x v="1"/>
    <x v="4"/>
    <x v="2"/>
    <x v="1"/>
    <x v="203"/>
    <x v="0"/>
    <x v="0"/>
  </r>
  <r>
    <x v="340"/>
    <x v="111"/>
    <x v="110"/>
    <x v="109"/>
    <x v="277"/>
    <x v="1"/>
    <x v="2"/>
    <x v="116"/>
    <x v="81"/>
    <x v="1"/>
    <x v="24"/>
    <x v="0"/>
    <x v="0"/>
    <x v="1"/>
    <x v="2"/>
    <x v="3"/>
    <x v="2"/>
    <x v="1"/>
    <x v="2"/>
    <x v="1"/>
    <x v="1"/>
    <x v="71"/>
    <x v="1"/>
    <x v="6"/>
    <x v="2"/>
    <x v="110"/>
    <x v="9"/>
    <x v="1"/>
    <x v="1"/>
    <x v="1"/>
    <x v="0"/>
    <x v="204"/>
    <x v="96"/>
    <x v="103"/>
  </r>
  <r>
    <x v="341"/>
    <x v="177"/>
    <x v="160"/>
    <x v="158"/>
    <x v="0"/>
    <x v="1"/>
    <x v="1"/>
    <x v="166"/>
    <x v="10"/>
    <x v="1"/>
    <x v="31"/>
    <x v="0"/>
    <x v="0"/>
    <x v="3"/>
    <x v="4"/>
    <x v="1"/>
    <x v="2"/>
    <x v="1"/>
    <x v="2"/>
    <x v="1"/>
    <x v="2"/>
    <x v="0"/>
    <x v="2"/>
    <x v="3"/>
    <x v="4"/>
    <x v="159"/>
    <x v="7"/>
    <x v="0"/>
    <x v="0"/>
    <x v="1"/>
    <x v="0"/>
    <x v="0"/>
    <x v="0"/>
    <x v="0"/>
  </r>
  <r>
    <x v="342"/>
    <x v="178"/>
    <x v="176"/>
    <x v="174"/>
    <x v="278"/>
    <x v="3"/>
    <x v="2"/>
    <x v="186"/>
    <x v="153"/>
    <x v="1"/>
    <x v="15"/>
    <x v="0"/>
    <x v="0"/>
    <x v="1"/>
    <x v="1"/>
    <x v="1"/>
    <x v="2"/>
    <x v="1"/>
    <x v="2"/>
    <x v="1"/>
    <x v="1"/>
    <x v="68"/>
    <x v="1"/>
    <x v="6"/>
    <x v="2"/>
    <x v="175"/>
    <x v="9"/>
    <x v="3"/>
    <x v="0"/>
    <x v="1"/>
    <x v="0"/>
    <x v="205"/>
    <x v="97"/>
    <x v="0"/>
  </r>
  <r>
    <x v="343"/>
    <x v="176"/>
    <x v="175"/>
    <x v="173"/>
    <x v="279"/>
    <x v="1"/>
    <x v="1"/>
    <x v="185"/>
    <x v="154"/>
    <x v="1"/>
    <x v="31"/>
    <x v="0"/>
    <x v="0"/>
    <x v="3"/>
    <x v="1"/>
    <x v="1"/>
    <x v="2"/>
    <x v="1"/>
    <x v="3"/>
    <x v="1"/>
    <x v="2"/>
    <x v="0"/>
    <x v="1"/>
    <x v="3"/>
    <x v="4"/>
    <x v="174"/>
    <x v="1"/>
    <x v="0"/>
    <x v="0"/>
    <x v="1"/>
    <x v="0"/>
    <x v="0"/>
    <x v="0"/>
    <x v="0"/>
  </r>
  <r>
    <x v="344"/>
    <x v="111"/>
    <x v="110"/>
    <x v="109"/>
    <x v="0"/>
    <x v="1"/>
    <x v="2"/>
    <x v="116"/>
    <x v="155"/>
    <x v="1"/>
    <x v="24"/>
    <x v="0"/>
    <x v="0"/>
    <x v="3"/>
    <x v="4"/>
    <x v="1"/>
    <x v="2"/>
    <x v="1"/>
    <x v="2"/>
    <x v="1"/>
    <x v="2"/>
    <x v="0"/>
    <x v="2"/>
    <x v="3"/>
    <x v="4"/>
    <x v="110"/>
    <x v="1"/>
    <x v="0"/>
    <x v="0"/>
    <x v="1"/>
    <x v="0"/>
    <x v="0"/>
    <x v="0"/>
    <x v="104"/>
  </r>
  <r>
    <x v="345"/>
    <x v="179"/>
    <x v="177"/>
    <x v="175"/>
    <x v="280"/>
    <x v="1"/>
    <x v="2"/>
    <x v="187"/>
    <x v="156"/>
    <x v="1"/>
    <x v="3"/>
    <x v="0"/>
    <x v="0"/>
    <x v="1"/>
    <x v="3"/>
    <x v="2"/>
    <x v="2"/>
    <x v="1"/>
    <x v="2"/>
    <x v="1"/>
    <x v="2"/>
    <x v="0"/>
    <x v="1"/>
    <x v="1"/>
    <x v="2"/>
    <x v="176"/>
    <x v="3"/>
    <x v="0"/>
    <x v="0"/>
    <x v="1"/>
    <x v="0"/>
    <x v="0"/>
    <x v="0"/>
    <x v="0"/>
  </r>
  <r>
    <x v="346"/>
    <x v="175"/>
    <x v="174"/>
    <x v="172"/>
    <x v="281"/>
    <x v="1"/>
    <x v="2"/>
    <x v="184"/>
    <x v="43"/>
    <x v="1"/>
    <x v="15"/>
    <x v="0"/>
    <x v="0"/>
    <x v="1"/>
    <x v="3"/>
    <x v="3"/>
    <x v="1"/>
    <x v="1"/>
    <x v="2"/>
    <x v="1"/>
    <x v="1"/>
    <x v="72"/>
    <x v="1"/>
    <x v="1"/>
    <x v="2"/>
    <x v="173"/>
    <x v="7"/>
    <x v="3"/>
    <x v="0"/>
    <x v="1"/>
    <x v="0"/>
    <x v="206"/>
    <x v="98"/>
    <x v="0"/>
  </r>
  <r>
    <x v="347"/>
    <x v="180"/>
    <x v="178"/>
    <x v="176"/>
    <x v="282"/>
    <x v="1"/>
    <x v="1"/>
    <x v="188"/>
    <x v="157"/>
    <x v="1"/>
    <x v="83"/>
    <x v="0"/>
    <x v="0"/>
    <x v="1"/>
    <x v="1"/>
    <x v="1"/>
    <x v="2"/>
    <x v="1"/>
    <x v="2"/>
    <x v="1"/>
    <x v="2"/>
    <x v="0"/>
    <x v="1"/>
    <x v="1"/>
    <x v="2"/>
    <x v="177"/>
    <x v="3"/>
    <x v="0"/>
    <x v="0"/>
    <x v="1"/>
    <x v="0"/>
    <x v="0"/>
    <x v="0"/>
    <x v="0"/>
  </r>
  <r>
    <x v="348"/>
    <x v="181"/>
    <x v="179"/>
    <x v="177"/>
    <x v="283"/>
    <x v="1"/>
    <x v="3"/>
    <x v="189"/>
    <x v="10"/>
    <x v="1"/>
    <x v="27"/>
    <x v="0"/>
    <x v="0"/>
    <x v="1"/>
    <x v="1"/>
    <x v="1"/>
    <x v="2"/>
    <x v="1"/>
    <x v="1"/>
    <x v="1"/>
    <x v="1"/>
    <x v="72"/>
    <x v="1"/>
    <x v="1"/>
    <x v="2"/>
    <x v="178"/>
    <x v="1"/>
    <x v="1"/>
    <x v="4"/>
    <x v="2"/>
    <x v="1"/>
    <x v="207"/>
    <x v="0"/>
    <x v="105"/>
  </r>
  <r>
    <x v="349"/>
    <x v="181"/>
    <x v="179"/>
    <x v="177"/>
    <x v="284"/>
    <x v="1"/>
    <x v="3"/>
    <x v="189"/>
    <x v="158"/>
    <x v="1"/>
    <x v="15"/>
    <x v="0"/>
    <x v="0"/>
    <x v="3"/>
    <x v="3"/>
    <x v="3"/>
    <x v="2"/>
    <x v="1"/>
    <x v="1"/>
    <x v="1"/>
    <x v="1"/>
    <x v="73"/>
    <x v="1"/>
    <x v="3"/>
    <x v="4"/>
    <x v="178"/>
    <x v="1"/>
    <x v="3"/>
    <x v="0"/>
    <x v="1"/>
    <x v="0"/>
    <x v="208"/>
    <x v="0"/>
    <x v="105"/>
  </r>
  <r>
    <x v="350"/>
    <x v="157"/>
    <x v="157"/>
    <x v="155"/>
    <x v="285"/>
    <x v="3"/>
    <x v="2"/>
    <x v="163"/>
    <x v="30"/>
    <x v="1"/>
    <x v="15"/>
    <x v="0"/>
    <x v="0"/>
    <x v="1"/>
    <x v="1"/>
    <x v="1"/>
    <x v="2"/>
    <x v="1"/>
    <x v="2"/>
    <x v="1"/>
    <x v="1"/>
    <x v="73"/>
    <x v="1"/>
    <x v="1"/>
    <x v="2"/>
    <x v="156"/>
    <x v="3"/>
    <x v="1"/>
    <x v="1"/>
    <x v="1"/>
    <x v="0"/>
    <x v="209"/>
    <x v="0"/>
    <x v="106"/>
  </r>
  <r>
    <x v="351"/>
    <x v="182"/>
    <x v="180"/>
    <x v="178"/>
    <x v="286"/>
    <x v="1"/>
    <x v="1"/>
    <x v="190"/>
    <x v="113"/>
    <x v="1"/>
    <x v="84"/>
    <x v="0"/>
    <x v="0"/>
    <x v="1"/>
    <x v="1"/>
    <x v="1"/>
    <x v="2"/>
    <x v="1"/>
    <x v="3"/>
    <x v="1"/>
    <x v="2"/>
    <x v="0"/>
    <x v="1"/>
    <x v="2"/>
    <x v="2"/>
    <x v="179"/>
    <x v="5"/>
    <x v="0"/>
    <x v="0"/>
    <x v="1"/>
    <x v="0"/>
    <x v="0"/>
    <x v="0"/>
    <x v="0"/>
  </r>
  <r>
    <x v="352"/>
    <x v="157"/>
    <x v="157"/>
    <x v="155"/>
    <x v="287"/>
    <x v="3"/>
    <x v="4"/>
    <x v="163"/>
    <x v="30"/>
    <x v="1"/>
    <x v="15"/>
    <x v="0"/>
    <x v="0"/>
    <x v="3"/>
    <x v="1"/>
    <x v="1"/>
    <x v="2"/>
    <x v="1"/>
    <x v="2"/>
    <x v="2"/>
    <x v="1"/>
    <x v="70"/>
    <x v="1"/>
    <x v="3"/>
    <x v="4"/>
    <x v="156"/>
    <x v="5"/>
    <x v="1"/>
    <x v="12"/>
    <x v="2"/>
    <x v="1"/>
    <x v="210"/>
    <x v="0"/>
    <x v="107"/>
  </r>
  <r>
    <x v="353"/>
    <x v="111"/>
    <x v="110"/>
    <x v="109"/>
    <x v="0"/>
    <x v="1"/>
    <x v="2"/>
    <x v="116"/>
    <x v="81"/>
    <x v="1"/>
    <x v="24"/>
    <x v="0"/>
    <x v="0"/>
    <x v="3"/>
    <x v="1"/>
    <x v="1"/>
    <x v="2"/>
    <x v="1"/>
    <x v="2"/>
    <x v="1"/>
    <x v="2"/>
    <x v="0"/>
    <x v="2"/>
    <x v="3"/>
    <x v="4"/>
    <x v="110"/>
    <x v="5"/>
    <x v="0"/>
    <x v="0"/>
    <x v="1"/>
    <x v="0"/>
    <x v="0"/>
    <x v="0"/>
    <x v="0"/>
  </r>
  <r>
    <x v="354"/>
    <x v="183"/>
    <x v="181"/>
    <x v="179"/>
    <x v="288"/>
    <x v="1"/>
    <x v="2"/>
    <x v="191"/>
    <x v="46"/>
    <x v="2"/>
    <x v="0"/>
    <x v="8"/>
    <x v="0"/>
    <x v="1"/>
    <x v="2"/>
    <x v="3"/>
    <x v="2"/>
    <x v="1"/>
    <x v="1"/>
    <x v="1"/>
    <x v="1"/>
    <x v="74"/>
    <x v="1"/>
    <x v="1"/>
    <x v="2"/>
    <x v="180"/>
    <x v="1"/>
    <x v="3"/>
    <x v="0"/>
    <x v="1"/>
    <x v="0"/>
    <x v="211"/>
    <x v="0"/>
    <x v="108"/>
  </r>
  <r>
    <x v="355"/>
    <x v="184"/>
    <x v="182"/>
    <x v="180"/>
    <x v="289"/>
    <x v="3"/>
    <x v="2"/>
    <x v="192"/>
    <x v="159"/>
    <x v="1"/>
    <x v="36"/>
    <x v="0"/>
    <x v="0"/>
    <x v="1"/>
    <x v="1"/>
    <x v="2"/>
    <x v="2"/>
    <x v="2"/>
    <x v="1"/>
    <x v="1"/>
    <x v="1"/>
    <x v="75"/>
    <x v="1"/>
    <x v="1"/>
    <x v="2"/>
    <x v="181"/>
    <x v="5"/>
    <x v="1"/>
    <x v="1"/>
    <x v="1"/>
    <x v="0"/>
    <x v="212"/>
    <x v="0"/>
    <x v="14"/>
  </r>
  <r>
    <x v="356"/>
    <x v="185"/>
    <x v="183"/>
    <x v="181"/>
    <x v="290"/>
    <x v="1"/>
    <x v="1"/>
    <x v="193"/>
    <x v="10"/>
    <x v="1"/>
    <x v="85"/>
    <x v="0"/>
    <x v="0"/>
    <x v="1"/>
    <x v="1"/>
    <x v="2"/>
    <x v="2"/>
    <x v="1"/>
    <x v="2"/>
    <x v="1"/>
    <x v="1"/>
    <x v="74"/>
    <x v="1"/>
    <x v="1"/>
    <x v="2"/>
    <x v="182"/>
    <x v="5"/>
    <x v="1"/>
    <x v="1"/>
    <x v="1"/>
    <x v="0"/>
    <x v="213"/>
    <x v="0"/>
    <x v="109"/>
  </r>
  <r>
    <x v="357"/>
    <x v="185"/>
    <x v="183"/>
    <x v="181"/>
    <x v="0"/>
    <x v="1"/>
    <x v="1"/>
    <x v="193"/>
    <x v="160"/>
    <x v="1"/>
    <x v="85"/>
    <x v="0"/>
    <x v="0"/>
    <x v="3"/>
    <x v="1"/>
    <x v="1"/>
    <x v="2"/>
    <x v="1"/>
    <x v="2"/>
    <x v="1"/>
    <x v="2"/>
    <x v="0"/>
    <x v="2"/>
    <x v="3"/>
    <x v="4"/>
    <x v="182"/>
    <x v="5"/>
    <x v="0"/>
    <x v="0"/>
    <x v="1"/>
    <x v="0"/>
    <x v="0"/>
    <x v="0"/>
    <x v="0"/>
  </r>
  <r>
    <x v="358"/>
    <x v="136"/>
    <x v="136"/>
    <x v="134"/>
    <x v="291"/>
    <x v="3"/>
    <x v="2"/>
    <x v="140"/>
    <x v="120"/>
    <x v="1"/>
    <x v="22"/>
    <x v="0"/>
    <x v="0"/>
    <x v="1"/>
    <x v="2"/>
    <x v="3"/>
    <x v="2"/>
    <x v="2"/>
    <x v="2"/>
    <x v="1"/>
    <x v="1"/>
    <x v="75"/>
    <x v="1"/>
    <x v="5"/>
    <x v="2"/>
    <x v="135"/>
    <x v="5"/>
    <x v="1"/>
    <x v="1"/>
    <x v="1"/>
    <x v="0"/>
    <x v="214"/>
    <x v="0"/>
    <x v="110"/>
  </r>
  <r>
    <x v="359"/>
    <x v="157"/>
    <x v="157"/>
    <x v="155"/>
    <x v="292"/>
    <x v="3"/>
    <x v="2"/>
    <x v="163"/>
    <x v="30"/>
    <x v="1"/>
    <x v="15"/>
    <x v="0"/>
    <x v="0"/>
    <x v="3"/>
    <x v="1"/>
    <x v="1"/>
    <x v="2"/>
    <x v="1"/>
    <x v="2"/>
    <x v="1"/>
    <x v="2"/>
    <x v="0"/>
    <x v="1"/>
    <x v="3"/>
    <x v="4"/>
    <x v="156"/>
    <x v="11"/>
    <x v="0"/>
    <x v="0"/>
    <x v="1"/>
    <x v="0"/>
    <x v="0"/>
    <x v="0"/>
    <x v="0"/>
  </r>
  <r>
    <x v="360"/>
    <x v="57"/>
    <x v="56"/>
    <x v="55"/>
    <x v="293"/>
    <x v="3"/>
    <x v="2"/>
    <x v="60"/>
    <x v="30"/>
    <x v="1"/>
    <x v="86"/>
    <x v="0"/>
    <x v="0"/>
    <x v="1"/>
    <x v="1"/>
    <x v="1"/>
    <x v="2"/>
    <x v="1"/>
    <x v="2"/>
    <x v="1"/>
    <x v="2"/>
    <x v="0"/>
    <x v="1"/>
    <x v="1"/>
    <x v="2"/>
    <x v="55"/>
    <x v="11"/>
    <x v="0"/>
    <x v="0"/>
    <x v="1"/>
    <x v="0"/>
    <x v="0"/>
    <x v="0"/>
    <x v="0"/>
  </r>
  <r>
    <x v="361"/>
    <x v="136"/>
    <x v="136"/>
    <x v="134"/>
    <x v="0"/>
    <x v="3"/>
    <x v="2"/>
    <x v="140"/>
    <x v="120"/>
    <x v="1"/>
    <x v="22"/>
    <x v="0"/>
    <x v="0"/>
    <x v="3"/>
    <x v="1"/>
    <x v="1"/>
    <x v="2"/>
    <x v="2"/>
    <x v="2"/>
    <x v="1"/>
    <x v="2"/>
    <x v="0"/>
    <x v="2"/>
    <x v="3"/>
    <x v="4"/>
    <x v="135"/>
    <x v="5"/>
    <x v="0"/>
    <x v="0"/>
    <x v="1"/>
    <x v="0"/>
    <x v="0"/>
    <x v="0"/>
    <x v="0"/>
  </r>
  <r>
    <x v="362"/>
    <x v="186"/>
    <x v="184"/>
    <x v="182"/>
    <x v="294"/>
    <x v="1"/>
    <x v="6"/>
    <x v="194"/>
    <x v="161"/>
    <x v="1"/>
    <x v="9"/>
    <x v="0"/>
    <x v="0"/>
    <x v="1"/>
    <x v="1"/>
    <x v="1"/>
    <x v="2"/>
    <x v="1"/>
    <x v="2"/>
    <x v="1"/>
    <x v="1"/>
    <x v="76"/>
    <x v="1"/>
    <x v="6"/>
    <x v="3"/>
    <x v="183"/>
    <x v="10"/>
    <x v="1"/>
    <x v="7"/>
    <x v="1"/>
    <x v="0"/>
    <x v="215"/>
    <x v="99"/>
    <x v="0"/>
  </r>
  <r>
    <x v="363"/>
    <x v="37"/>
    <x v="36"/>
    <x v="36"/>
    <x v="295"/>
    <x v="1"/>
    <x v="2"/>
    <x v="39"/>
    <x v="40"/>
    <x v="1"/>
    <x v="15"/>
    <x v="0"/>
    <x v="0"/>
    <x v="1"/>
    <x v="2"/>
    <x v="3"/>
    <x v="2"/>
    <x v="1"/>
    <x v="2"/>
    <x v="1"/>
    <x v="1"/>
    <x v="76"/>
    <x v="1"/>
    <x v="6"/>
    <x v="2"/>
    <x v="184"/>
    <x v="5"/>
    <x v="1"/>
    <x v="7"/>
    <x v="1"/>
    <x v="0"/>
    <x v="216"/>
    <x v="0"/>
    <x v="0"/>
  </r>
  <r>
    <x v="364"/>
    <x v="184"/>
    <x v="182"/>
    <x v="180"/>
    <x v="0"/>
    <x v="3"/>
    <x v="2"/>
    <x v="192"/>
    <x v="159"/>
    <x v="1"/>
    <x v="36"/>
    <x v="0"/>
    <x v="0"/>
    <x v="3"/>
    <x v="1"/>
    <x v="1"/>
    <x v="2"/>
    <x v="2"/>
    <x v="1"/>
    <x v="1"/>
    <x v="2"/>
    <x v="0"/>
    <x v="2"/>
    <x v="3"/>
    <x v="4"/>
    <x v="181"/>
    <x v="5"/>
    <x v="0"/>
    <x v="0"/>
    <x v="1"/>
    <x v="0"/>
    <x v="0"/>
    <x v="0"/>
    <x v="14"/>
  </r>
  <r>
    <x v="365"/>
    <x v="187"/>
    <x v="185"/>
    <x v="183"/>
    <x v="296"/>
    <x v="1"/>
    <x v="2"/>
    <x v="195"/>
    <x v="162"/>
    <x v="1"/>
    <x v="87"/>
    <x v="0"/>
    <x v="0"/>
    <x v="1"/>
    <x v="1"/>
    <x v="1"/>
    <x v="2"/>
    <x v="1"/>
    <x v="2"/>
    <x v="1"/>
    <x v="1"/>
    <x v="76"/>
    <x v="1"/>
    <x v="6"/>
    <x v="2"/>
    <x v="185"/>
    <x v="10"/>
    <x v="3"/>
    <x v="0"/>
    <x v="1"/>
    <x v="0"/>
    <x v="217"/>
    <x v="100"/>
    <x v="111"/>
  </r>
  <r>
    <x v="366"/>
    <x v="37"/>
    <x v="36"/>
    <x v="36"/>
    <x v="0"/>
    <x v="1"/>
    <x v="2"/>
    <x v="39"/>
    <x v="40"/>
    <x v="1"/>
    <x v="15"/>
    <x v="0"/>
    <x v="0"/>
    <x v="3"/>
    <x v="1"/>
    <x v="1"/>
    <x v="2"/>
    <x v="1"/>
    <x v="2"/>
    <x v="1"/>
    <x v="2"/>
    <x v="0"/>
    <x v="2"/>
    <x v="3"/>
    <x v="4"/>
    <x v="184"/>
    <x v="12"/>
    <x v="0"/>
    <x v="0"/>
    <x v="1"/>
    <x v="0"/>
    <x v="0"/>
    <x v="0"/>
    <x v="0"/>
  </r>
  <r>
    <x v="367"/>
    <x v="186"/>
    <x v="184"/>
    <x v="182"/>
    <x v="0"/>
    <x v="1"/>
    <x v="2"/>
    <x v="194"/>
    <x v="161"/>
    <x v="1"/>
    <x v="9"/>
    <x v="0"/>
    <x v="0"/>
    <x v="3"/>
    <x v="1"/>
    <x v="1"/>
    <x v="2"/>
    <x v="1"/>
    <x v="3"/>
    <x v="1"/>
    <x v="2"/>
    <x v="0"/>
    <x v="2"/>
    <x v="3"/>
    <x v="4"/>
    <x v="183"/>
    <x v="12"/>
    <x v="0"/>
    <x v="0"/>
    <x v="1"/>
    <x v="0"/>
    <x v="0"/>
    <x v="0"/>
    <x v="0"/>
  </r>
  <r>
    <x v="368"/>
    <x v="188"/>
    <x v="186"/>
    <x v="184"/>
    <x v="297"/>
    <x v="3"/>
    <x v="2"/>
    <x v="196"/>
    <x v="163"/>
    <x v="1"/>
    <x v="3"/>
    <x v="0"/>
    <x v="0"/>
    <x v="1"/>
    <x v="1"/>
    <x v="1"/>
    <x v="2"/>
    <x v="1"/>
    <x v="3"/>
    <x v="1"/>
    <x v="2"/>
    <x v="0"/>
    <x v="1"/>
    <x v="1"/>
    <x v="2"/>
    <x v="186"/>
    <x v="4"/>
    <x v="0"/>
    <x v="0"/>
    <x v="1"/>
    <x v="0"/>
    <x v="0"/>
    <x v="0"/>
    <x v="0"/>
  </r>
  <r>
    <x v="369"/>
    <x v="189"/>
    <x v="187"/>
    <x v="185"/>
    <x v="298"/>
    <x v="1"/>
    <x v="2"/>
    <x v="197"/>
    <x v="164"/>
    <x v="1"/>
    <x v="9"/>
    <x v="0"/>
    <x v="0"/>
    <x v="1"/>
    <x v="1"/>
    <x v="1"/>
    <x v="2"/>
    <x v="1"/>
    <x v="3"/>
    <x v="1"/>
    <x v="1"/>
    <x v="77"/>
    <x v="1"/>
    <x v="1"/>
    <x v="2"/>
    <x v="187"/>
    <x v="4"/>
    <x v="1"/>
    <x v="1"/>
    <x v="1"/>
    <x v="0"/>
    <x v="218"/>
    <x v="101"/>
    <x v="0"/>
  </r>
  <r>
    <x v="370"/>
    <x v="190"/>
    <x v="188"/>
    <x v="186"/>
    <x v="299"/>
    <x v="1"/>
    <x v="2"/>
    <x v="198"/>
    <x v="10"/>
    <x v="1"/>
    <x v="88"/>
    <x v="0"/>
    <x v="0"/>
    <x v="1"/>
    <x v="5"/>
    <x v="1"/>
    <x v="2"/>
    <x v="1"/>
    <x v="2"/>
    <x v="1"/>
    <x v="1"/>
    <x v="78"/>
    <x v="1"/>
    <x v="1"/>
    <x v="13"/>
    <x v="188"/>
    <x v="4"/>
    <x v="1"/>
    <x v="2"/>
    <x v="1"/>
    <x v="0"/>
    <x v="219"/>
    <x v="0"/>
    <x v="0"/>
  </r>
  <r>
    <x v="371"/>
    <x v="191"/>
    <x v="189"/>
    <x v="187"/>
    <x v="300"/>
    <x v="1"/>
    <x v="1"/>
    <x v="199"/>
    <x v="165"/>
    <x v="1"/>
    <x v="9"/>
    <x v="0"/>
    <x v="0"/>
    <x v="1"/>
    <x v="1"/>
    <x v="1"/>
    <x v="2"/>
    <x v="1"/>
    <x v="2"/>
    <x v="2"/>
    <x v="1"/>
    <x v="78"/>
    <x v="1"/>
    <x v="1"/>
    <x v="2"/>
    <x v="189"/>
    <x v="4"/>
    <x v="1"/>
    <x v="2"/>
    <x v="2"/>
    <x v="1"/>
    <x v="220"/>
    <x v="102"/>
    <x v="17"/>
  </r>
  <r>
    <x v="372"/>
    <x v="41"/>
    <x v="40"/>
    <x v="40"/>
    <x v="301"/>
    <x v="1"/>
    <x v="1"/>
    <x v="200"/>
    <x v="44"/>
    <x v="1"/>
    <x v="2"/>
    <x v="0"/>
    <x v="0"/>
    <x v="1"/>
    <x v="2"/>
    <x v="3"/>
    <x v="2"/>
    <x v="1"/>
    <x v="2"/>
    <x v="1"/>
    <x v="1"/>
    <x v="78"/>
    <x v="1"/>
    <x v="1"/>
    <x v="2"/>
    <x v="40"/>
    <x v="4"/>
    <x v="1"/>
    <x v="2"/>
    <x v="1"/>
    <x v="0"/>
    <x v="221"/>
    <x v="0"/>
    <x v="112"/>
  </r>
  <r>
    <x v="373"/>
    <x v="192"/>
    <x v="190"/>
    <x v="188"/>
    <x v="302"/>
    <x v="3"/>
    <x v="2"/>
    <x v="201"/>
    <x v="10"/>
    <x v="1"/>
    <x v="15"/>
    <x v="0"/>
    <x v="0"/>
    <x v="1"/>
    <x v="1"/>
    <x v="1"/>
    <x v="2"/>
    <x v="1"/>
    <x v="2"/>
    <x v="1"/>
    <x v="1"/>
    <x v="77"/>
    <x v="1"/>
    <x v="1"/>
    <x v="2"/>
    <x v="190"/>
    <x v="5"/>
    <x v="1"/>
    <x v="1"/>
    <x v="1"/>
    <x v="0"/>
    <x v="222"/>
    <x v="103"/>
    <x v="0"/>
  </r>
  <r>
    <x v="374"/>
    <x v="154"/>
    <x v="154"/>
    <x v="152"/>
    <x v="303"/>
    <x v="1"/>
    <x v="3"/>
    <x v="160"/>
    <x v="114"/>
    <x v="1"/>
    <x v="15"/>
    <x v="0"/>
    <x v="0"/>
    <x v="1"/>
    <x v="1"/>
    <x v="1"/>
    <x v="2"/>
    <x v="1"/>
    <x v="3"/>
    <x v="1"/>
    <x v="2"/>
    <x v="0"/>
    <x v="1"/>
    <x v="1"/>
    <x v="2"/>
    <x v="153"/>
    <x v="4"/>
    <x v="0"/>
    <x v="0"/>
    <x v="1"/>
    <x v="0"/>
    <x v="0"/>
    <x v="0"/>
    <x v="0"/>
  </r>
  <r>
    <x v="375"/>
    <x v="185"/>
    <x v="183"/>
    <x v="181"/>
    <x v="304"/>
    <x v="1"/>
    <x v="1"/>
    <x v="193"/>
    <x v="10"/>
    <x v="1"/>
    <x v="36"/>
    <x v="0"/>
    <x v="0"/>
    <x v="1"/>
    <x v="1"/>
    <x v="1"/>
    <x v="2"/>
    <x v="1"/>
    <x v="2"/>
    <x v="1"/>
    <x v="2"/>
    <x v="0"/>
    <x v="1"/>
    <x v="5"/>
    <x v="2"/>
    <x v="182"/>
    <x v="5"/>
    <x v="0"/>
    <x v="0"/>
    <x v="1"/>
    <x v="0"/>
    <x v="0"/>
    <x v="0"/>
    <x v="0"/>
  </r>
  <r>
    <x v="376"/>
    <x v="190"/>
    <x v="188"/>
    <x v="186"/>
    <x v="0"/>
    <x v="1"/>
    <x v="2"/>
    <x v="198"/>
    <x v="134"/>
    <x v="1"/>
    <x v="88"/>
    <x v="0"/>
    <x v="0"/>
    <x v="3"/>
    <x v="1"/>
    <x v="1"/>
    <x v="2"/>
    <x v="1"/>
    <x v="2"/>
    <x v="1"/>
    <x v="2"/>
    <x v="0"/>
    <x v="2"/>
    <x v="3"/>
    <x v="4"/>
    <x v="188"/>
    <x v="4"/>
    <x v="0"/>
    <x v="0"/>
    <x v="1"/>
    <x v="0"/>
    <x v="0"/>
    <x v="0"/>
    <x v="0"/>
  </r>
  <r>
    <x v="377"/>
    <x v="41"/>
    <x v="40"/>
    <x v="40"/>
    <x v="0"/>
    <x v="1"/>
    <x v="1"/>
    <x v="200"/>
    <x v="44"/>
    <x v="1"/>
    <x v="2"/>
    <x v="0"/>
    <x v="0"/>
    <x v="3"/>
    <x v="4"/>
    <x v="1"/>
    <x v="2"/>
    <x v="1"/>
    <x v="2"/>
    <x v="1"/>
    <x v="1"/>
    <x v="79"/>
    <x v="2"/>
    <x v="3"/>
    <x v="4"/>
    <x v="40"/>
    <x v="4"/>
    <x v="1"/>
    <x v="4"/>
    <x v="1"/>
    <x v="0"/>
    <x v="223"/>
    <x v="0"/>
    <x v="112"/>
  </r>
  <r>
    <x v="378"/>
    <x v="191"/>
    <x v="189"/>
    <x v="187"/>
    <x v="305"/>
    <x v="1"/>
    <x v="1"/>
    <x v="199"/>
    <x v="165"/>
    <x v="1"/>
    <x v="9"/>
    <x v="0"/>
    <x v="0"/>
    <x v="3"/>
    <x v="1"/>
    <x v="1"/>
    <x v="2"/>
    <x v="1"/>
    <x v="2"/>
    <x v="1"/>
    <x v="2"/>
    <x v="0"/>
    <x v="1"/>
    <x v="3"/>
    <x v="4"/>
    <x v="189"/>
    <x v="4"/>
    <x v="0"/>
    <x v="0"/>
    <x v="1"/>
    <x v="0"/>
    <x v="0"/>
    <x v="0"/>
    <x v="0"/>
  </r>
  <r>
    <x v="379"/>
    <x v="187"/>
    <x v="185"/>
    <x v="183"/>
    <x v="306"/>
    <x v="1"/>
    <x v="2"/>
    <x v="195"/>
    <x v="162"/>
    <x v="1"/>
    <x v="44"/>
    <x v="0"/>
    <x v="0"/>
    <x v="1"/>
    <x v="1"/>
    <x v="1"/>
    <x v="2"/>
    <x v="1"/>
    <x v="2"/>
    <x v="1"/>
    <x v="2"/>
    <x v="0"/>
    <x v="1"/>
    <x v="1"/>
    <x v="2"/>
    <x v="185"/>
    <x v="3"/>
    <x v="0"/>
    <x v="0"/>
    <x v="1"/>
    <x v="0"/>
    <x v="0"/>
    <x v="0"/>
    <x v="0"/>
  </r>
  <r>
    <x v="380"/>
    <x v="57"/>
    <x v="56"/>
    <x v="55"/>
    <x v="307"/>
    <x v="3"/>
    <x v="2"/>
    <x v="60"/>
    <x v="30"/>
    <x v="1"/>
    <x v="15"/>
    <x v="0"/>
    <x v="0"/>
    <x v="1"/>
    <x v="1"/>
    <x v="1"/>
    <x v="2"/>
    <x v="1"/>
    <x v="2"/>
    <x v="1"/>
    <x v="2"/>
    <x v="0"/>
    <x v="1"/>
    <x v="1"/>
    <x v="2"/>
    <x v="55"/>
    <x v="11"/>
    <x v="0"/>
    <x v="0"/>
    <x v="1"/>
    <x v="0"/>
    <x v="0"/>
    <x v="0"/>
    <x v="0"/>
  </r>
  <r>
    <x v="381"/>
    <x v="169"/>
    <x v="169"/>
    <x v="167"/>
    <x v="308"/>
    <x v="1"/>
    <x v="2"/>
    <x v="177"/>
    <x v="147"/>
    <x v="1"/>
    <x v="15"/>
    <x v="0"/>
    <x v="0"/>
    <x v="1"/>
    <x v="1"/>
    <x v="1"/>
    <x v="2"/>
    <x v="1"/>
    <x v="2"/>
    <x v="1"/>
    <x v="1"/>
    <x v="80"/>
    <x v="2"/>
    <x v="5"/>
    <x v="2"/>
    <x v="168"/>
    <x v="12"/>
    <x v="1"/>
    <x v="1"/>
    <x v="1"/>
    <x v="0"/>
    <x v="224"/>
    <x v="0"/>
    <x v="0"/>
  </r>
  <r>
    <x v="382"/>
    <x v="129"/>
    <x v="129"/>
    <x v="127"/>
    <x v="309"/>
    <x v="1"/>
    <x v="1"/>
    <x v="133"/>
    <x v="115"/>
    <x v="1"/>
    <x v="3"/>
    <x v="0"/>
    <x v="0"/>
    <x v="1"/>
    <x v="1"/>
    <x v="1"/>
    <x v="2"/>
    <x v="1"/>
    <x v="3"/>
    <x v="1"/>
    <x v="1"/>
    <x v="81"/>
    <x v="1"/>
    <x v="6"/>
    <x v="2"/>
    <x v="128"/>
    <x v="5"/>
    <x v="3"/>
    <x v="0"/>
    <x v="1"/>
    <x v="0"/>
    <x v="225"/>
    <x v="104"/>
    <x v="0"/>
  </r>
  <r>
    <x v="383"/>
    <x v="169"/>
    <x v="169"/>
    <x v="167"/>
    <x v="0"/>
    <x v="1"/>
    <x v="2"/>
    <x v="177"/>
    <x v="166"/>
    <x v="1"/>
    <x v="15"/>
    <x v="0"/>
    <x v="0"/>
    <x v="3"/>
    <x v="1"/>
    <x v="1"/>
    <x v="2"/>
    <x v="1"/>
    <x v="2"/>
    <x v="1"/>
    <x v="2"/>
    <x v="0"/>
    <x v="2"/>
    <x v="3"/>
    <x v="4"/>
    <x v="168"/>
    <x v="5"/>
    <x v="0"/>
    <x v="0"/>
    <x v="1"/>
    <x v="0"/>
    <x v="0"/>
    <x v="0"/>
    <x v="0"/>
  </r>
  <r>
    <x v="384"/>
    <x v="192"/>
    <x v="190"/>
    <x v="188"/>
    <x v="0"/>
    <x v="3"/>
    <x v="2"/>
    <x v="201"/>
    <x v="10"/>
    <x v="1"/>
    <x v="15"/>
    <x v="0"/>
    <x v="0"/>
    <x v="3"/>
    <x v="1"/>
    <x v="1"/>
    <x v="2"/>
    <x v="1"/>
    <x v="2"/>
    <x v="1"/>
    <x v="2"/>
    <x v="0"/>
    <x v="2"/>
    <x v="3"/>
    <x v="4"/>
    <x v="190"/>
    <x v="5"/>
    <x v="0"/>
    <x v="0"/>
    <x v="1"/>
    <x v="0"/>
    <x v="0"/>
    <x v="0"/>
    <x v="0"/>
  </r>
  <r>
    <x v="385"/>
    <x v="193"/>
    <x v="191"/>
    <x v="189"/>
    <x v="310"/>
    <x v="1"/>
    <x v="2"/>
    <x v="202"/>
    <x v="165"/>
    <x v="1"/>
    <x v="89"/>
    <x v="0"/>
    <x v="0"/>
    <x v="1"/>
    <x v="1"/>
    <x v="1"/>
    <x v="1"/>
    <x v="1"/>
    <x v="2"/>
    <x v="1"/>
    <x v="1"/>
    <x v="82"/>
    <x v="1"/>
    <x v="6"/>
    <x v="2"/>
    <x v="191"/>
    <x v="5"/>
    <x v="1"/>
    <x v="4"/>
    <x v="2"/>
    <x v="1"/>
    <x v="226"/>
    <x v="0"/>
    <x v="0"/>
  </r>
  <r>
    <x v="386"/>
    <x v="189"/>
    <x v="187"/>
    <x v="185"/>
    <x v="0"/>
    <x v="1"/>
    <x v="2"/>
    <x v="197"/>
    <x v="164"/>
    <x v="1"/>
    <x v="9"/>
    <x v="0"/>
    <x v="0"/>
    <x v="3"/>
    <x v="1"/>
    <x v="1"/>
    <x v="2"/>
    <x v="1"/>
    <x v="3"/>
    <x v="1"/>
    <x v="2"/>
    <x v="0"/>
    <x v="2"/>
    <x v="3"/>
    <x v="4"/>
    <x v="187"/>
    <x v="5"/>
    <x v="0"/>
    <x v="0"/>
    <x v="1"/>
    <x v="0"/>
    <x v="0"/>
    <x v="0"/>
    <x v="0"/>
  </r>
  <r>
    <x v="387"/>
    <x v="193"/>
    <x v="191"/>
    <x v="189"/>
    <x v="0"/>
    <x v="1"/>
    <x v="2"/>
    <x v="202"/>
    <x v="165"/>
    <x v="1"/>
    <x v="90"/>
    <x v="0"/>
    <x v="0"/>
    <x v="3"/>
    <x v="1"/>
    <x v="1"/>
    <x v="2"/>
    <x v="1"/>
    <x v="2"/>
    <x v="1"/>
    <x v="2"/>
    <x v="0"/>
    <x v="2"/>
    <x v="3"/>
    <x v="4"/>
    <x v="191"/>
    <x v="1"/>
    <x v="0"/>
    <x v="0"/>
    <x v="1"/>
    <x v="0"/>
    <x v="0"/>
    <x v="0"/>
    <x v="0"/>
  </r>
  <r>
    <x v="388"/>
    <x v="194"/>
    <x v="192"/>
    <x v="190"/>
    <x v="311"/>
    <x v="1"/>
    <x v="2"/>
    <x v="203"/>
    <x v="167"/>
    <x v="1"/>
    <x v="12"/>
    <x v="0"/>
    <x v="0"/>
    <x v="1"/>
    <x v="3"/>
    <x v="2"/>
    <x v="2"/>
    <x v="1"/>
    <x v="2"/>
    <x v="1"/>
    <x v="1"/>
    <x v="83"/>
    <x v="1"/>
    <x v="1"/>
    <x v="2"/>
    <x v="192"/>
    <x v="5"/>
    <x v="1"/>
    <x v="1"/>
    <x v="1"/>
    <x v="0"/>
    <x v="227"/>
    <x v="105"/>
    <x v="0"/>
  </r>
  <r>
    <x v="389"/>
    <x v="195"/>
    <x v="193"/>
    <x v="191"/>
    <x v="312"/>
    <x v="1"/>
    <x v="2"/>
    <x v="204"/>
    <x v="168"/>
    <x v="1"/>
    <x v="3"/>
    <x v="0"/>
    <x v="0"/>
    <x v="1"/>
    <x v="3"/>
    <x v="2"/>
    <x v="1"/>
    <x v="1"/>
    <x v="2"/>
    <x v="1"/>
    <x v="1"/>
    <x v="83"/>
    <x v="1"/>
    <x v="5"/>
    <x v="2"/>
    <x v="193"/>
    <x v="5"/>
    <x v="3"/>
    <x v="0"/>
    <x v="1"/>
    <x v="0"/>
    <x v="228"/>
    <x v="106"/>
    <x v="0"/>
  </r>
  <r>
    <x v="390"/>
    <x v="178"/>
    <x v="176"/>
    <x v="174"/>
    <x v="313"/>
    <x v="3"/>
    <x v="2"/>
    <x v="186"/>
    <x v="153"/>
    <x v="1"/>
    <x v="91"/>
    <x v="0"/>
    <x v="0"/>
    <x v="1"/>
    <x v="3"/>
    <x v="3"/>
    <x v="2"/>
    <x v="1"/>
    <x v="2"/>
    <x v="1"/>
    <x v="1"/>
    <x v="84"/>
    <x v="1"/>
    <x v="1"/>
    <x v="2"/>
    <x v="175"/>
    <x v="5"/>
    <x v="3"/>
    <x v="0"/>
    <x v="1"/>
    <x v="0"/>
    <x v="229"/>
    <x v="107"/>
    <x v="0"/>
  </r>
  <r>
    <x v="391"/>
    <x v="196"/>
    <x v="194"/>
    <x v="192"/>
    <x v="314"/>
    <x v="1"/>
    <x v="2"/>
    <x v="205"/>
    <x v="165"/>
    <x v="1"/>
    <x v="92"/>
    <x v="0"/>
    <x v="0"/>
    <x v="1"/>
    <x v="1"/>
    <x v="1"/>
    <x v="2"/>
    <x v="2"/>
    <x v="3"/>
    <x v="1"/>
    <x v="1"/>
    <x v="79"/>
    <x v="1"/>
    <x v="1"/>
    <x v="5"/>
    <x v="194"/>
    <x v="4"/>
    <x v="1"/>
    <x v="3"/>
    <x v="2"/>
    <x v="1"/>
    <x v="230"/>
    <x v="108"/>
    <x v="113"/>
  </r>
  <r>
    <x v="392"/>
    <x v="152"/>
    <x v="152"/>
    <x v="150"/>
    <x v="315"/>
    <x v="3"/>
    <x v="2"/>
    <x v="157"/>
    <x v="169"/>
    <x v="1"/>
    <x v="2"/>
    <x v="0"/>
    <x v="0"/>
    <x v="1"/>
    <x v="1"/>
    <x v="1"/>
    <x v="2"/>
    <x v="2"/>
    <x v="3"/>
    <x v="1"/>
    <x v="1"/>
    <x v="85"/>
    <x v="1"/>
    <x v="1"/>
    <x v="5"/>
    <x v="151"/>
    <x v="1"/>
    <x v="1"/>
    <x v="1"/>
    <x v="1"/>
    <x v="0"/>
    <x v="231"/>
    <x v="109"/>
    <x v="114"/>
  </r>
  <r>
    <x v="393"/>
    <x v="170"/>
    <x v="170"/>
    <x v="168"/>
    <x v="316"/>
    <x v="1"/>
    <x v="2"/>
    <x v="179"/>
    <x v="145"/>
    <x v="1"/>
    <x v="3"/>
    <x v="0"/>
    <x v="0"/>
    <x v="1"/>
    <x v="3"/>
    <x v="2"/>
    <x v="2"/>
    <x v="1"/>
    <x v="3"/>
    <x v="1"/>
    <x v="1"/>
    <x v="86"/>
    <x v="1"/>
    <x v="1"/>
    <x v="2"/>
    <x v="169"/>
    <x v="1"/>
    <x v="3"/>
    <x v="0"/>
    <x v="1"/>
    <x v="0"/>
    <x v="232"/>
    <x v="110"/>
    <x v="115"/>
  </r>
  <r>
    <x v="394"/>
    <x v="197"/>
    <x v="195"/>
    <x v="193"/>
    <x v="317"/>
    <x v="3"/>
    <x v="3"/>
    <x v="206"/>
    <x v="48"/>
    <x v="1"/>
    <x v="15"/>
    <x v="0"/>
    <x v="0"/>
    <x v="1"/>
    <x v="2"/>
    <x v="3"/>
    <x v="2"/>
    <x v="1"/>
    <x v="2"/>
    <x v="1"/>
    <x v="1"/>
    <x v="79"/>
    <x v="1"/>
    <x v="2"/>
    <x v="2"/>
    <x v="195"/>
    <x v="4"/>
    <x v="3"/>
    <x v="0"/>
    <x v="1"/>
    <x v="0"/>
    <x v="233"/>
    <x v="111"/>
    <x v="116"/>
  </r>
  <r>
    <x v="395"/>
    <x v="41"/>
    <x v="40"/>
    <x v="40"/>
    <x v="0"/>
    <x v="1"/>
    <x v="1"/>
    <x v="200"/>
    <x v="44"/>
    <x v="1"/>
    <x v="1"/>
    <x v="0"/>
    <x v="0"/>
    <x v="3"/>
    <x v="4"/>
    <x v="1"/>
    <x v="2"/>
    <x v="1"/>
    <x v="2"/>
    <x v="1"/>
    <x v="2"/>
    <x v="0"/>
    <x v="2"/>
    <x v="3"/>
    <x v="4"/>
    <x v="40"/>
    <x v="1"/>
    <x v="0"/>
    <x v="0"/>
    <x v="1"/>
    <x v="0"/>
    <x v="0"/>
    <x v="0"/>
    <x v="0"/>
  </r>
  <r>
    <x v="396"/>
    <x v="196"/>
    <x v="194"/>
    <x v="192"/>
    <x v="318"/>
    <x v="1"/>
    <x v="2"/>
    <x v="205"/>
    <x v="165"/>
    <x v="1"/>
    <x v="93"/>
    <x v="0"/>
    <x v="0"/>
    <x v="3"/>
    <x v="1"/>
    <x v="1"/>
    <x v="2"/>
    <x v="2"/>
    <x v="1"/>
    <x v="1"/>
    <x v="2"/>
    <x v="0"/>
    <x v="1"/>
    <x v="3"/>
    <x v="4"/>
    <x v="194"/>
    <x v="3"/>
    <x v="0"/>
    <x v="0"/>
    <x v="1"/>
    <x v="0"/>
    <x v="0"/>
    <x v="0"/>
    <x v="0"/>
  </r>
  <r>
    <x v="397"/>
    <x v="198"/>
    <x v="196"/>
    <x v="194"/>
    <x v="319"/>
    <x v="3"/>
    <x v="2"/>
    <x v="207"/>
    <x v="71"/>
    <x v="1"/>
    <x v="2"/>
    <x v="0"/>
    <x v="0"/>
    <x v="1"/>
    <x v="3"/>
    <x v="2"/>
    <x v="2"/>
    <x v="1"/>
    <x v="3"/>
    <x v="1"/>
    <x v="1"/>
    <x v="85"/>
    <x v="1"/>
    <x v="6"/>
    <x v="3"/>
    <x v="196"/>
    <x v="3"/>
    <x v="1"/>
    <x v="7"/>
    <x v="1"/>
    <x v="0"/>
    <x v="234"/>
    <x v="0"/>
    <x v="117"/>
  </r>
  <r>
    <x v="398"/>
    <x v="199"/>
    <x v="197"/>
    <x v="195"/>
    <x v="320"/>
    <x v="1"/>
    <x v="2"/>
    <x v="208"/>
    <x v="170"/>
    <x v="1"/>
    <x v="94"/>
    <x v="0"/>
    <x v="0"/>
    <x v="1"/>
    <x v="1"/>
    <x v="1"/>
    <x v="2"/>
    <x v="1"/>
    <x v="3"/>
    <x v="1"/>
    <x v="2"/>
    <x v="0"/>
    <x v="2"/>
    <x v="2"/>
    <x v="2"/>
    <x v="197"/>
    <x v="1"/>
    <x v="0"/>
    <x v="0"/>
    <x v="1"/>
    <x v="0"/>
    <x v="0"/>
    <x v="0"/>
    <x v="0"/>
  </r>
  <r>
    <x v="399"/>
    <x v="200"/>
    <x v="198"/>
    <x v="196"/>
    <x v="321"/>
    <x v="2"/>
    <x v="2"/>
    <x v="209"/>
    <x v="171"/>
    <x v="1"/>
    <x v="15"/>
    <x v="0"/>
    <x v="0"/>
    <x v="1"/>
    <x v="2"/>
    <x v="3"/>
    <x v="2"/>
    <x v="2"/>
    <x v="3"/>
    <x v="1"/>
    <x v="1"/>
    <x v="87"/>
    <x v="1"/>
    <x v="1"/>
    <x v="13"/>
    <x v="198"/>
    <x v="1"/>
    <x v="1"/>
    <x v="4"/>
    <x v="2"/>
    <x v="1"/>
    <x v="235"/>
    <x v="112"/>
    <x v="118"/>
  </r>
  <r>
    <x v="400"/>
    <x v="201"/>
    <x v="199"/>
    <x v="197"/>
    <x v="322"/>
    <x v="3"/>
    <x v="2"/>
    <x v="210"/>
    <x v="172"/>
    <x v="1"/>
    <x v="3"/>
    <x v="0"/>
    <x v="0"/>
    <x v="1"/>
    <x v="1"/>
    <x v="1"/>
    <x v="2"/>
    <x v="2"/>
    <x v="2"/>
    <x v="1"/>
    <x v="2"/>
    <x v="0"/>
    <x v="1"/>
    <x v="1"/>
    <x v="2"/>
    <x v="199"/>
    <x v="12"/>
    <x v="0"/>
    <x v="0"/>
    <x v="1"/>
    <x v="0"/>
    <x v="0"/>
    <x v="0"/>
    <x v="119"/>
  </r>
  <r>
    <x v="401"/>
    <x v="202"/>
    <x v="200"/>
    <x v="198"/>
    <x v="323"/>
    <x v="1"/>
    <x v="2"/>
    <x v="211"/>
    <x v="173"/>
    <x v="2"/>
    <x v="0"/>
    <x v="2"/>
    <x v="0"/>
    <x v="1"/>
    <x v="3"/>
    <x v="3"/>
    <x v="2"/>
    <x v="1"/>
    <x v="2"/>
    <x v="1"/>
    <x v="1"/>
    <x v="87"/>
    <x v="1"/>
    <x v="1"/>
    <x v="2"/>
    <x v="200"/>
    <x v="2"/>
    <x v="1"/>
    <x v="1"/>
    <x v="1"/>
    <x v="0"/>
    <x v="236"/>
    <x v="0"/>
    <x v="0"/>
  </r>
  <r>
    <x v="402"/>
    <x v="198"/>
    <x v="196"/>
    <x v="194"/>
    <x v="0"/>
    <x v="3"/>
    <x v="2"/>
    <x v="207"/>
    <x v="71"/>
    <x v="1"/>
    <x v="2"/>
    <x v="0"/>
    <x v="0"/>
    <x v="3"/>
    <x v="1"/>
    <x v="1"/>
    <x v="2"/>
    <x v="1"/>
    <x v="3"/>
    <x v="1"/>
    <x v="2"/>
    <x v="0"/>
    <x v="2"/>
    <x v="3"/>
    <x v="4"/>
    <x v="196"/>
    <x v="12"/>
    <x v="0"/>
    <x v="0"/>
    <x v="1"/>
    <x v="0"/>
    <x v="0"/>
    <x v="0"/>
    <x v="0"/>
  </r>
  <r>
    <x v="403"/>
    <x v="150"/>
    <x v="150"/>
    <x v="148"/>
    <x v="324"/>
    <x v="1"/>
    <x v="2"/>
    <x v="155"/>
    <x v="130"/>
    <x v="1"/>
    <x v="95"/>
    <x v="0"/>
    <x v="0"/>
    <x v="1"/>
    <x v="2"/>
    <x v="3"/>
    <x v="2"/>
    <x v="1"/>
    <x v="1"/>
    <x v="1"/>
    <x v="1"/>
    <x v="87"/>
    <x v="1"/>
    <x v="5"/>
    <x v="2"/>
    <x v="201"/>
    <x v="12"/>
    <x v="1"/>
    <x v="4"/>
    <x v="1"/>
    <x v="0"/>
    <x v="237"/>
    <x v="0"/>
    <x v="0"/>
  </r>
  <r>
    <x v="404"/>
    <x v="194"/>
    <x v="192"/>
    <x v="190"/>
    <x v="0"/>
    <x v="1"/>
    <x v="2"/>
    <x v="203"/>
    <x v="167"/>
    <x v="1"/>
    <x v="33"/>
    <x v="0"/>
    <x v="0"/>
    <x v="3"/>
    <x v="1"/>
    <x v="1"/>
    <x v="2"/>
    <x v="1"/>
    <x v="2"/>
    <x v="1"/>
    <x v="2"/>
    <x v="0"/>
    <x v="2"/>
    <x v="3"/>
    <x v="4"/>
    <x v="192"/>
    <x v="5"/>
    <x v="0"/>
    <x v="0"/>
    <x v="1"/>
    <x v="0"/>
    <x v="0"/>
    <x v="0"/>
    <x v="0"/>
  </r>
  <r>
    <x v="405"/>
    <x v="150"/>
    <x v="150"/>
    <x v="148"/>
    <x v="0"/>
    <x v="1"/>
    <x v="2"/>
    <x v="155"/>
    <x v="130"/>
    <x v="1"/>
    <x v="96"/>
    <x v="0"/>
    <x v="0"/>
    <x v="3"/>
    <x v="3"/>
    <x v="3"/>
    <x v="2"/>
    <x v="1"/>
    <x v="1"/>
    <x v="1"/>
    <x v="1"/>
    <x v="86"/>
    <x v="2"/>
    <x v="3"/>
    <x v="4"/>
    <x v="149"/>
    <x v="1"/>
    <x v="1"/>
    <x v="1"/>
    <x v="1"/>
    <x v="0"/>
    <x v="238"/>
    <x v="113"/>
    <x v="120"/>
  </r>
  <r>
    <x v="406"/>
    <x v="43"/>
    <x v="42"/>
    <x v="42"/>
    <x v="325"/>
    <x v="3"/>
    <x v="2"/>
    <x v="45"/>
    <x v="46"/>
    <x v="2"/>
    <x v="0"/>
    <x v="5"/>
    <x v="0"/>
    <x v="1"/>
    <x v="2"/>
    <x v="3"/>
    <x v="2"/>
    <x v="2"/>
    <x v="2"/>
    <x v="1"/>
    <x v="1"/>
    <x v="86"/>
    <x v="1"/>
    <x v="6"/>
    <x v="2"/>
    <x v="42"/>
    <x v="5"/>
    <x v="3"/>
    <x v="0"/>
    <x v="1"/>
    <x v="0"/>
    <x v="239"/>
    <x v="114"/>
    <x v="0"/>
  </r>
  <r>
    <x v="407"/>
    <x v="202"/>
    <x v="200"/>
    <x v="198"/>
    <x v="0"/>
    <x v="1"/>
    <x v="1"/>
    <x v="211"/>
    <x v="174"/>
    <x v="6"/>
    <x v="0"/>
    <x v="2"/>
    <x v="0"/>
    <x v="3"/>
    <x v="4"/>
    <x v="1"/>
    <x v="2"/>
    <x v="1"/>
    <x v="2"/>
    <x v="1"/>
    <x v="2"/>
    <x v="0"/>
    <x v="2"/>
    <x v="3"/>
    <x v="4"/>
    <x v="200"/>
    <x v="5"/>
    <x v="0"/>
    <x v="0"/>
    <x v="1"/>
    <x v="0"/>
    <x v="0"/>
    <x v="0"/>
    <x v="0"/>
  </r>
  <r>
    <x v="408"/>
    <x v="152"/>
    <x v="152"/>
    <x v="150"/>
    <x v="0"/>
    <x v="3"/>
    <x v="2"/>
    <x v="157"/>
    <x v="114"/>
    <x v="1"/>
    <x v="2"/>
    <x v="0"/>
    <x v="0"/>
    <x v="3"/>
    <x v="1"/>
    <x v="1"/>
    <x v="2"/>
    <x v="2"/>
    <x v="2"/>
    <x v="1"/>
    <x v="1"/>
    <x v="88"/>
    <x v="2"/>
    <x v="3"/>
    <x v="4"/>
    <x v="202"/>
    <x v="5"/>
    <x v="1"/>
    <x v="5"/>
    <x v="2"/>
    <x v="1"/>
    <x v="240"/>
    <x v="0"/>
    <x v="0"/>
  </r>
  <r>
    <x v="409"/>
    <x v="200"/>
    <x v="198"/>
    <x v="196"/>
    <x v="326"/>
    <x v="2"/>
    <x v="2"/>
    <x v="209"/>
    <x v="171"/>
    <x v="1"/>
    <x v="22"/>
    <x v="0"/>
    <x v="0"/>
    <x v="3"/>
    <x v="3"/>
    <x v="3"/>
    <x v="2"/>
    <x v="2"/>
    <x v="1"/>
    <x v="1"/>
    <x v="1"/>
    <x v="86"/>
    <x v="1"/>
    <x v="3"/>
    <x v="4"/>
    <x v="198"/>
    <x v="1"/>
    <x v="3"/>
    <x v="0"/>
    <x v="1"/>
    <x v="0"/>
    <x v="241"/>
    <x v="115"/>
    <x v="118"/>
  </r>
  <r>
    <x v="410"/>
    <x v="203"/>
    <x v="201"/>
    <x v="199"/>
    <x v="327"/>
    <x v="3"/>
    <x v="3"/>
    <x v="212"/>
    <x v="175"/>
    <x v="1"/>
    <x v="97"/>
    <x v="0"/>
    <x v="0"/>
    <x v="1"/>
    <x v="1"/>
    <x v="1"/>
    <x v="2"/>
    <x v="1"/>
    <x v="2"/>
    <x v="1"/>
    <x v="2"/>
    <x v="0"/>
    <x v="2"/>
    <x v="6"/>
    <x v="3"/>
    <x v="203"/>
    <x v="1"/>
    <x v="0"/>
    <x v="0"/>
    <x v="1"/>
    <x v="0"/>
    <x v="0"/>
    <x v="0"/>
    <x v="0"/>
  </r>
  <r>
    <x v="411"/>
    <x v="204"/>
    <x v="202"/>
    <x v="200"/>
    <x v="328"/>
    <x v="3"/>
    <x v="2"/>
    <x v="213"/>
    <x v="176"/>
    <x v="1"/>
    <x v="3"/>
    <x v="0"/>
    <x v="0"/>
    <x v="1"/>
    <x v="3"/>
    <x v="2"/>
    <x v="2"/>
    <x v="1"/>
    <x v="2"/>
    <x v="1"/>
    <x v="1"/>
    <x v="89"/>
    <x v="1"/>
    <x v="6"/>
    <x v="2"/>
    <x v="204"/>
    <x v="12"/>
    <x v="2"/>
    <x v="7"/>
    <x v="1"/>
    <x v="0"/>
    <x v="242"/>
    <x v="0"/>
    <x v="121"/>
  </r>
  <r>
    <x v="412"/>
    <x v="205"/>
    <x v="203"/>
    <x v="201"/>
    <x v="329"/>
    <x v="1"/>
    <x v="1"/>
    <x v="214"/>
    <x v="177"/>
    <x v="1"/>
    <x v="31"/>
    <x v="0"/>
    <x v="0"/>
    <x v="1"/>
    <x v="1"/>
    <x v="1"/>
    <x v="2"/>
    <x v="2"/>
    <x v="1"/>
    <x v="1"/>
    <x v="1"/>
    <x v="90"/>
    <x v="1"/>
    <x v="1"/>
    <x v="2"/>
    <x v="205"/>
    <x v="12"/>
    <x v="1"/>
    <x v="7"/>
    <x v="1"/>
    <x v="0"/>
    <x v="243"/>
    <x v="116"/>
    <x v="122"/>
  </r>
  <r>
    <x v="413"/>
    <x v="206"/>
    <x v="204"/>
    <x v="202"/>
    <x v="330"/>
    <x v="2"/>
    <x v="2"/>
    <x v="215"/>
    <x v="178"/>
    <x v="1"/>
    <x v="1"/>
    <x v="0"/>
    <x v="0"/>
    <x v="1"/>
    <x v="2"/>
    <x v="3"/>
    <x v="2"/>
    <x v="2"/>
    <x v="1"/>
    <x v="1"/>
    <x v="1"/>
    <x v="89"/>
    <x v="1"/>
    <x v="1"/>
    <x v="2"/>
    <x v="206"/>
    <x v="2"/>
    <x v="1"/>
    <x v="3"/>
    <x v="1"/>
    <x v="0"/>
    <x v="244"/>
    <x v="117"/>
    <x v="0"/>
  </r>
  <r>
    <x v="414"/>
    <x v="207"/>
    <x v="205"/>
    <x v="203"/>
    <x v="331"/>
    <x v="1"/>
    <x v="2"/>
    <x v="216"/>
    <x v="179"/>
    <x v="1"/>
    <x v="9"/>
    <x v="0"/>
    <x v="0"/>
    <x v="1"/>
    <x v="3"/>
    <x v="2"/>
    <x v="2"/>
    <x v="2"/>
    <x v="2"/>
    <x v="1"/>
    <x v="1"/>
    <x v="88"/>
    <x v="1"/>
    <x v="1"/>
    <x v="2"/>
    <x v="207"/>
    <x v="3"/>
    <x v="1"/>
    <x v="4"/>
    <x v="1"/>
    <x v="0"/>
    <x v="245"/>
    <x v="0"/>
    <x v="0"/>
  </r>
  <r>
    <x v="415"/>
    <x v="206"/>
    <x v="204"/>
    <x v="202"/>
    <x v="330"/>
    <x v="2"/>
    <x v="2"/>
    <x v="215"/>
    <x v="180"/>
    <x v="1"/>
    <x v="1"/>
    <x v="0"/>
    <x v="0"/>
    <x v="3"/>
    <x v="1"/>
    <x v="1"/>
    <x v="2"/>
    <x v="1"/>
    <x v="3"/>
    <x v="1"/>
    <x v="2"/>
    <x v="0"/>
    <x v="2"/>
    <x v="3"/>
    <x v="4"/>
    <x v="206"/>
    <x v="3"/>
    <x v="0"/>
    <x v="0"/>
    <x v="1"/>
    <x v="0"/>
    <x v="0"/>
    <x v="0"/>
    <x v="0"/>
  </r>
  <r>
    <x v="416"/>
    <x v="208"/>
    <x v="206"/>
    <x v="204"/>
    <x v="332"/>
    <x v="1"/>
    <x v="3"/>
    <x v="217"/>
    <x v="58"/>
    <x v="1"/>
    <x v="3"/>
    <x v="0"/>
    <x v="0"/>
    <x v="1"/>
    <x v="3"/>
    <x v="2"/>
    <x v="2"/>
    <x v="1"/>
    <x v="2"/>
    <x v="1"/>
    <x v="1"/>
    <x v="88"/>
    <x v="1"/>
    <x v="5"/>
    <x v="2"/>
    <x v="208"/>
    <x v="12"/>
    <x v="3"/>
    <x v="0"/>
    <x v="1"/>
    <x v="0"/>
    <x v="246"/>
    <x v="118"/>
    <x v="123"/>
  </r>
  <r>
    <x v="417"/>
    <x v="207"/>
    <x v="205"/>
    <x v="203"/>
    <x v="0"/>
    <x v="1"/>
    <x v="2"/>
    <x v="216"/>
    <x v="181"/>
    <x v="1"/>
    <x v="9"/>
    <x v="0"/>
    <x v="0"/>
    <x v="3"/>
    <x v="1"/>
    <x v="1"/>
    <x v="2"/>
    <x v="2"/>
    <x v="2"/>
    <x v="1"/>
    <x v="2"/>
    <x v="0"/>
    <x v="2"/>
    <x v="3"/>
    <x v="4"/>
    <x v="207"/>
    <x v="1"/>
    <x v="0"/>
    <x v="0"/>
    <x v="1"/>
    <x v="0"/>
    <x v="0"/>
    <x v="0"/>
    <x v="0"/>
  </r>
  <r>
    <x v="418"/>
    <x v="152"/>
    <x v="152"/>
    <x v="150"/>
    <x v="0"/>
    <x v="3"/>
    <x v="2"/>
    <x v="157"/>
    <x v="114"/>
    <x v="1"/>
    <x v="2"/>
    <x v="0"/>
    <x v="0"/>
    <x v="3"/>
    <x v="2"/>
    <x v="3"/>
    <x v="2"/>
    <x v="1"/>
    <x v="3"/>
    <x v="1"/>
    <x v="1"/>
    <x v="91"/>
    <x v="2"/>
    <x v="3"/>
    <x v="4"/>
    <x v="202"/>
    <x v="2"/>
    <x v="1"/>
    <x v="1"/>
    <x v="1"/>
    <x v="0"/>
    <x v="247"/>
    <x v="119"/>
    <x v="0"/>
  </r>
  <r>
    <x v="419"/>
    <x v="209"/>
    <x v="207"/>
    <x v="205"/>
    <x v="333"/>
    <x v="1"/>
    <x v="2"/>
    <x v="218"/>
    <x v="103"/>
    <x v="1"/>
    <x v="15"/>
    <x v="0"/>
    <x v="0"/>
    <x v="1"/>
    <x v="1"/>
    <x v="1"/>
    <x v="2"/>
    <x v="1"/>
    <x v="3"/>
    <x v="1"/>
    <x v="2"/>
    <x v="0"/>
    <x v="2"/>
    <x v="1"/>
    <x v="2"/>
    <x v="209"/>
    <x v="4"/>
    <x v="0"/>
    <x v="0"/>
    <x v="1"/>
    <x v="0"/>
    <x v="0"/>
    <x v="0"/>
    <x v="0"/>
  </r>
  <r>
    <x v="420"/>
    <x v="210"/>
    <x v="208"/>
    <x v="206"/>
    <x v="334"/>
    <x v="3"/>
    <x v="2"/>
    <x v="219"/>
    <x v="57"/>
    <x v="1"/>
    <x v="9"/>
    <x v="0"/>
    <x v="0"/>
    <x v="1"/>
    <x v="1"/>
    <x v="1"/>
    <x v="2"/>
    <x v="1"/>
    <x v="2"/>
    <x v="1"/>
    <x v="1"/>
    <x v="92"/>
    <x v="1"/>
    <x v="5"/>
    <x v="2"/>
    <x v="210"/>
    <x v="5"/>
    <x v="1"/>
    <x v="5"/>
    <x v="2"/>
    <x v="1"/>
    <x v="248"/>
    <x v="0"/>
    <x v="0"/>
  </r>
  <r>
    <x v="421"/>
    <x v="150"/>
    <x v="150"/>
    <x v="148"/>
    <x v="0"/>
    <x v="1"/>
    <x v="2"/>
    <x v="155"/>
    <x v="130"/>
    <x v="1"/>
    <x v="96"/>
    <x v="0"/>
    <x v="0"/>
    <x v="3"/>
    <x v="1"/>
    <x v="1"/>
    <x v="2"/>
    <x v="1"/>
    <x v="2"/>
    <x v="1"/>
    <x v="2"/>
    <x v="0"/>
    <x v="2"/>
    <x v="3"/>
    <x v="4"/>
    <x v="149"/>
    <x v="5"/>
    <x v="0"/>
    <x v="0"/>
    <x v="1"/>
    <x v="0"/>
    <x v="0"/>
    <x v="0"/>
    <x v="0"/>
  </r>
  <r>
    <x v="422"/>
    <x v="211"/>
    <x v="209"/>
    <x v="207"/>
    <x v="335"/>
    <x v="3"/>
    <x v="1"/>
    <x v="220"/>
    <x v="10"/>
    <x v="6"/>
    <x v="0"/>
    <x v="0"/>
    <x v="8"/>
    <x v="1"/>
    <x v="3"/>
    <x v="2"/>
    <x v="2"/>
    <x v="1"/>
    <x v="3"/>
    <x v="1"/>
    <x v="2"/>
    <x v="0"/>
    <x v="1"/>
    <x v="1"/>
    <x v="2"/>
    <x v="211"/>
    <x v="5"/>
    <x v="0"/>
    <x v="0"/>
    <x v="1"/>
    <x v="0"/>
    <x v="0"/>
    <x v="0"/>
    <x v="124"/>
  </r>
  <r>
    <x v="423"/>
    <x v="152"/>
    <x v="152"/>
    <x v="150"/>
    <x v="0"/>
    <x v="3"/>
    <x v="2"/>
    <x v="157"/>
    <x v="114"/>
    <x v="1"/>
    <x v="2"/>
    <x v="0"/>
    <x v="0"/>
    <x v="3"/>
    <x v="1"/>
    <x v="1"/>
    <x v="2"/>
    <x v="1"/>
    <x v="2"/>
    <x v="1"/>
    <x v="2"/>
    <x v="0"/>
    <x v="2"/>
    <x v="3"/>
    <x v="4"/>
    <x v="202"/>
    <x v="5"/>
    <x v="0"/>
    <x v="0"/>
    <x v="1"/>
    <x v="0"/>
    <x v="0"/>
    <x v="0"/>
    <x v="0"/>
  </r>
  <r>
    <x v="424"/>
    <x v="185"/>
    <x v="183"/>
    <x v="181"/>
    <x v="336"/>
    <x v="1"/>
    <x v="2"/>
    <x v="221"/>
    <x v="10"/>
    <x v="1"/>
    <x v="4"/>
    <x v="0"/>
    <x v="0"/>
    <x v="1"/>
    <x v="1"/>
    <x v="1"/>
    <x v="2"/>
    <x v="1"/>
    <x v="3"/>
    <x v="1"/>
    <x v="1"/>
    <x v="0"/>
    <x v="1"/>
    <x v="2"/>
    <x v="3"/>
    <x v="182"/>
    <x v="1"/>
    <x v="0"/>
    <x v="0"/>
    <x v="1"/>
    <x v="0"/>
    <x v="249"/>
    <x v="0"/>
    <x v="0"/>
  </r>
  <r>
    <x v="425"/>
    <x v="185"/>
    <x v="183"/>
    <x v="181"/>
    <x v="337"/>
    <x v="1"/>
    <x v="2"/>
    <x v="193"/>
    <x v="10"/>
    <x v="1"/>
    <x v="15"/>
    <x v="0"/>
    <x v="0"/>
    <x v="1"/>
    <x v="3"/>
    <x v="3"/>
    <x v="2"/>
    <x v="1"/>
    <x v="3"/>
    <x v="1"/>
    <x v="1"/>
    <x v="92"/>
    <x v="1"/>
    <x v="1"/>
    <x v="2"/>
    <x v="182"/>
    <x v="1"/>
    <x v="3"/>
    <x v="0"/>
    <x v="1"/>
    <x v="0"/>
    <x v="250"/>
    <x v="0"/>
    <x v="0"/>
  </r>
  <r>
    <x v="426"/>
    <x v="212"/>
    <x v="210"/>
    <x v="208"/>
    <x v="338"/>
    <x v="1"/>
    <x v="2"/>
    <x v="222"/>
    <x v="10"/>
    <x v="1"/>
    <x v="98"/>
    <x v="0"/>
    <x v="0"/>
    <x v="1"/>
    <x v="2"/>
    <x v="3"/>
    <x v="2"/>
    <x v="1"/>
    <x v="2"/>
    <x v="1"/>
    <x v="1"/>
    <x v="92"/>
    <x v="1"/>
    <x v="1"/>
    <x v="2"/>
    <x v="212"/>
    <x v="4"/>
    <x v="3"/>
    <x v="0"/>
    <x v="1"/>
    <x v="0"/>
    <x v="251"/>
    <x v="120"/>
    <x v="0"/>
  </r>
  <r>
    <x v="427"/>
    <x v="213"/>
    <x v="211"/>
    <x v="209"/>
    <x v="339"/>
    <x v="1"/>
    <x v="2"/>
    <x v="223"/>
    <x v="182"/>
    <x v="1"/>
    <x v="3"/>
    <x v="0"/>
    <x v="0"/>
    <x v="1"/>
    <x v="1"/>
    <x v="1"/>
    <x v="2"/>
    <x v="1"/>
    <x v="3"/>
    <x v="1"/>
    <x v="1"/>
    <x v="93"/>
    <x v="1"/>
    <x v="1"/>
    <x v="2"/>
    <x v="213"/>
    <x v="1"/>
    <x v="1"/>
    <x v="8"/>
    <x v="1"/>
    <x v="0"/>
    <x v="252"/>
    <x v="121"/>
    <x v="0"/>
  </r>
  <r>
    <x v="428"/>
    <x v="214"/>
    <x v="212"/>
    <x v="210"/>
    <x v="340"/>
    <x v="1"/>
    <x v="2"/>
    <x v="224"/>
    <x v="183"/>
    <x v="1"/>
    <x v="99"/>
    <x v="0"/>
    <x v="0"/>
    <x v="1"/>
    <x v="1"/>
    <x v="1"/>
    <x v="2"/>
    <x v="1"/>
    <x v="3"/>
    <x v="1"/>
    <x v="2"/>
    <x v="0"/>
    <x v="1"/>
    <x v="1"/>
    <x v="2"/>
    <x v="214"/>
    <x v="12"/>
    <x v="0"/>
    <x v="0"/>
    <x v="1"/>
    <x v="0"/>
    <x v="0"/>
    <x v="0"/>
    <x v="0"/>
  </r>
  <r>
    <x v="429"/>
    <x v="215"/>
    <x v="213"/>
    <x v="211"/>
    <x v="341"/>
    <x v="1"/>
    <x v="2"/>
    <x v="225"/>
    <x v="184"/>
    <x v="1"/>
    <x v="36"/>
    <x v="0"/>
    <x v="0"/>
    <x v="1"/>
    <x v="5"/>
    <x v="1"/>
    <x v="1"/>
    <x v="1"/>
    <x v="2"/>
    <x v="1"/>
    <x v="2"/>
    <x v="0"/>
    <x v="1"/>
    <x v="1"/>
    <x v="13"/>
    <x v="215"/>
    <x v="12"/>
    <x v="0"/>
    <x v="0"/>
    <x v="1"/>
    <x v="0"/>
    <x v="0"/>
    <x v="0"/>
    <x v="125"/>
  </r>
  <r>
    <x v="430"/>
    <x v="216"/>
    <x v="214"/>
    <x v="212"/>
    <x v="342"/>
    <x v="1"/>
    <x v="3"/>
    <x v="226"/>
    <x v="185"/>
    <x v="1"/>
    <x v="100"/>
    <x v="0"/>
    <x v="0"/>
    <x v="1"/>
    <x v="1"/>
    <x v="1"/>
    <x v="2"/>
    <x v="1"/>
    <x v="1"/>
    <x v="1"/>
    <x v="2"/>
    <x v="0"/>
    <x v="1"/>
    <x v="5"/>
    <x v="2"/>
    <x v="216"/>
    <x v="12"/>
    <x v="0"/>
    <x v="0"/>
    <x v="1"/>
    <x v="0"/>
    <x v="0"/>
    <x v="0"/>
    <x v="0"/>
  </r>
  <r>
    <x v="431"/>
    <x v="210"/>
    <x v="208"/>
    <x v="206"/>
    <x v="343"/>
    <x v="3"/>
    <x v="2"/>
    <x v="219"/>
    <x v="186"/>
    <x v="1"/>
    <x v="9"/>
    <x v="0"/>
    <x v="0"/>
    <x v="3"/>
    <x v="1"/>
    <x v="1"/>
    <x v="2"/>
    <x v="1"/>
    <x v="1"/>
    <x v="1"/>
    <x v="2"/>
    <x v="0"/>
    <x v="1"/>
    <x v="3"/>
    <x v="4"/>
    <x v="210"/>
    <x v="2"/>
    <x v="0"/>
    <x v="0"/>
    <x v="1"/>
    <x v="0"/>
    <x v="0"/>
    <x v="0"/>
    <x v="0"/>
  </r>
  <r>
    <x v="432"/>
    <x v="95"/>
    <x v="215"/>
    <x v="93"/>
    <x v="344"/>
    <x v="1"/>
    <x v="2"/>
    <x v="100"/>
    <x v="92"/>
    <x v="1"/>
    <x v="3"/>
    <x v="0"/>
    <x v="0"/>
    <x v="1"/>
    <x v="1"/>
    <x v="1"/>
    <x v="2"/>
    <x v="1"/>
    <x v="1"/>
    <x v="1"/>
    <x v="2"/>
    <x v="0"/>
    <x v="1"/>
    <x v="2"/>
    <x v="2"/>
    <x v="94"/>
    <x v="12"/>
    <x v="0"/>
    <x v="0"/>
    <x v="1"/>
    <x v="0"/>
    <x v="0"/>
    <x v="0"/>
    <x v="0"/>
  </r>
  <r>
    <x v="433"/>
    <x v="217"/>
    <x v="216"/>
    <x v="213"/>
    <x v="345"/>
    <x v="1"/>
    <x v="2"/>
    <x v="227"/>
    <x v="187"/>
    <x v="1"/>
    <x v="3"/>
    <x v="0"/>
    <x v="0"/>
    <x v="1"/>
    <x v="1"/>
    <x v="1"/>
    <x v="2"/>
    <x v="1"/>
    <x v="2"/>
    <x v="1"/>
    <x v="2"/>
    <x v="0"/>
    <x v="1"/>
    <x v="1"/>
    <x v="2"/>
    <x v="217"/>
    <x v="12"/>
    <x v="0"/>
    <x v="0"/>
    <x v="1"/>
    <x v="0"/>
    <x v="0"/>
    <x v="0"/>
    <x v="126"/>
  </r>
  <r>
    <x v="434"/>
    <x v="218"/>
    <x v="217"/>
    <x v="214"/>
    <x v="346"/>
    <x v="1"/>
    <x v="2"/>
    <x v="228"/>
    <x v="188"/>
    <x v="1"/>
    <x v="33"/>
    <x v="0"/>
    <x v="0"/>
    <x v="1"/>
    <x v="3"/>
    <x v="3"/>
    <x v="2"/>
    <x v="2"/>
    <x v="1"/>
    <x v="1"/>
    <x v="1"/>
    <x v="94"/>
    <x v="1"/>
    <x v="5"/>
    <x v="2"/>
    <x v="218"/>
    <x v="12"/>
    <x v="3"/>
    <x v="0"/>
    <x v="1"/>
    <x v="0"/>
    <x v="253"/>
    <x v="122"/>
    <x v="127"/>
  </r>
  <r>
    <x v="435"/>
    <x v="219"/>
    <x v="218"/>
    <x v="215"/>
    <x v="347"/>
    <x v="3"/>
    <x v="2"/>
    <x v="229"/>
    <x v="10"/>
    <x v="1"/>
    <x v="15"/>
    <x v="0"/>
    <x v="0"/>
    <x v="1"/>
    <x v="1"/>
    <x v="1"/>
    <x v="2"/>
    <x v="1"/>
    <x v="2"/>
    <x v="1"/>
    <x v="1"/>
    <x v="95"/>
    <x v="1"/>
    <x v="6"/>
    <x v="2"/>
    <x v="219"/>
    <x v="5"/>
    <x v="3"/>
    <x v="0"/>
    <x v="1"/>
    <x v="0"/>
    <x v="254"/>
    <x v="123"/>
    <x v="128"/>
  </r>
  <r>
    <x v="436"/>
    <x v="213"/>
    <x v="211"/>
    <x v="209"/>
    <x v="0"/>
    <x v="1"/>
    <x v="2"/>
    <x v="223"/>
    <x v="189"/>
    <x v="1"/>
    <x v="3"/>
    <x v="0"/>
    <x v="0"/>
    <x v="3"/>
    <x v="1"/>
    <x v="1"/>
    <x v="2"/>
    <x v="1"/>
    <x v="2"/>
    <x v="1"/>
    <x v="2"/>
    <x v="0"/>
    <x v="2"/>
    <x v="6"/>
    <x v="2"/>
    <x v="213"/>
    <x v="8"/>
    <x v="0"/>
    <x v="0"/>
    <x v="1"/>
    <x v="0"/>
    <x v="0"/>
    <x v="0"/>
    <x v="0"/>
  </r>
  <r>
    <x v="437"/>
    <x v="220"/>
    <x v="219"/>
    <x v="216"/>
    <x v="348"/>
    <x v="1"/>
    <x v="3"/>
    <x v="230"/>
    <x v="190"/>
    <x v="2"/>
    <x v="0"/>
    <x v="5"/>
    <x v="0"/>
    <x v="1"/>
    <x v="2"/>
    <x v="3"/>
    <x v="2"/>
    <x v="1"/>
    <x v="2"/>
    <x v="1"/>
    <x v="1"/>
    <x v="94"/>
    <x v="1"/>
    <x v="6"/>
    <x v="2"/>
    <x v="220"/>
    <x v="5"/>
    <x v="3"/>
    <x v="0"/>
    <x v="1"/>
    <x v="0"/>
    <x v="255"/>
    <x v="124"/>
    <x v="0"/>
  </r>
  <r>
    <x v="438"/>
    <x v="169"/>
    <x v="169"/>
    <x v="167"/>
    <x v="349"/>
    <x v="1"/>
    <x v="2"/>
    <x v="177"/>
    <x v="147"/>
    <x v="1"/>
    <x v="15"/>
    <x v="0"/>
    <x v="0"/>
    <x v="1"/>
    <x v="1"/>
    <x v="1"/>
    <x v="2"/>
    <x v="1"/>
    <x v="2"/>
    <x v="1"/>
    <x v="1"/>
    <x v="95"/>
    <x v="1"/>
    <x v="1"/>
    <x v="2"/>
    <x v="168"/>
    <x v="12"/>
    <x v="1"/>
    <x v="7"/>
    <x v="1"/>
    <x v="0"/>
    <x v="256"/>
    <x v="0"/>
    <x v="129"/>
  </r>
  <r>
    <x v="439"/>
    <x v="169"/>
    <x v="169"/>
    <x v="167"/>
    <x v="349"/>
    <x v="1"/>
    <x v="2"/>
    <x v="177"/>
    <x v="147"/>
    <x v="1"/>
    <x v="15"/>
    <x v="0"/>
    <x v="0"/>
    <x v="3"/>
    <x v="1"/>
    <x v="1"/>
    <x v="2"/>
    <x v="1"/>
    <x v="2"/>
    <x v="1"/>
    <x v="1"/>
    <x v="95"/>
    <x v="2"/>
    <x v="3"/>
    <x v="4"/>
    <x v="168"/>
    <x v="12"/>
    <x v="1"/>
    <x v="7"/>
    <x v="2"/>
    <x v="1"/>
    <x v="257"/>
    <x v="0"/>
    <x v="0"/>
  </r>
  <r>
    <x v="440"/>
    <x v="169"/>
    <x v="169"/>
    <x v="167"/>
    <x v="350"/>
    <x v="1"/>
    <x v="2"/>
    <x v="177"/>
    <x v="147"/>
    <x v="1"/>
    <x v="15"/>
    <x v="0"/>
    <x v="0"/>
    <x v="3"/>
    <x v="3"/>
    <x v="3"/>
    <x v="2"/>
    <x v="1"/>
    <x v="2"/>
    <x v="1"/>
    <x v="1"/>
    <x v="96"/>
    <x v="1"/>
    <x v="3"/>
    <x v="4"/>
    <x v="168"/>
    <x v="12"/>
    <x v="1"/>
    <x v="4"/>
    <x v="1"/>
    <x v="0"/>
    <x v="258"/>
    <x v="125"/>
    <x v="130"/>
  </r>
  <r>
    <x v="441"/>
    <x v="221"/>
    <x v="220"/>
    <x v="217"/>
    <x v="351"/>
    <x v="1"/>
    <x v="3"/>
    <x v="231"/>
    <x v="10"/>
    <x v="1"/>
    <x v="24"/>
    <x v="0"/>
    <x v="0"/>
    <x v="1"/>
    <x v="3"/>
    <x v="3"/>
    <x v="1"/>
    <x v="2"/>
    <x v="1"/>
    <x v="1"/>
    <x v="1"/>
    <x v="96"/>
    <x v="1"/>
    <x v="4"/>
    <x v="3"/>
    <x v="221"/>
    <x v="2"/>
    <x v="3"/>
    <x v="0"/>
    <x v="1"/>
    <x v="0"/>
    <x v="259"/>
    <x v="0"/>
    <x v="131"/>
  </r>
  <r>
    <x v="442"/>
    <x v="169"/>
    <x v="169"/>
    <x v="167"/>
    <x v="0"/>
    <x v="1"/>
    <x v="2"/>
    <x v="177"/>
    <x v="147"/>
    <x v="2"/>
    <x v="0"/>
    <x v="2"/>
    <x v="0"/>
    <x v="3"/>
    <x v="4"/>
    <x v="1"/>
    <x v="2"/>
    <x v="1"/>
    <x v="2"/>
    <x v="1"/>
    <x v="2"/>
    <x v="0"/>
    <x v="2"/>
    <x v="3"/>
    <x v="4"/>
    <x v="168"/>
    <x v="1"/>
    <x v="0"/>
    <x v="0"/>
    <x v="1"/>
    <x v="0"/>
    <x v="0"/>
    <x v="0"/>
    <x v="0"/>
  </r>
  <r>
    <x v="443"/>
    <x v="222"/>
    <x v="221"/>
    <x v="218"/>
    <x v="352"/>
    <x v="3"/>
    <x v="4"/>
    <x v="232"/>
    <x v="163"/>
    <x v="1"/>
    <x v="15"/>
    <x v="0"/>
    <x v="0"/>
    <x v="1"/>
    <x v="1"/>
    <x v="1"/>
    <x v="2"/>
    <x v="1"/>
    <x v="1"/>
    <x v="1"/>
    <x v="1"/>
    <x v="90"/>
    <x v="1"/>
    <x v="5"/>
    <x v="3"/>
    <x v="222"/>
    <x v="1"/>
    <x v="3"/>
    <x v="5"/>
    <x v="1"/>
    <x v="0"/>
    <x v="260"/>
    <x v="126"/>
    <x v="132"/>
  </r>
  <r>
    <x v="444"/>
    <x v="223"/>
    <x v="222"/>
    <x v="219"/>
    <x v="353"/>
    <x v="1"/>
    <x v="2"/>
    <x v="233"/>
    <x v="191"/>
    <x v="1"/>
    <x v="70"/>
    <x v="0"/>
    <x v="0"/>
    <x v="1"/>
    <x v="1"/>
    <x v="1"/>
    <x v="2"/>
    <x v="1"/>
    <x v="1"/>
    <x v="1"/>
    <x v="2"/>
    <x v="0"/>
    <x v="1"/>
    <x v="1"/>
    <x v="2"/>
    <x v="223"/>
    <x v="12"/>
    <x v="0"/>
    <x v="0"/>
    <x v="1"/>
    <x v="0"/>
    <x v="0"/>
    <x v="0"/>
    <x v="0"/>
  </r>
  <r>
    <x v="445"/>
    <x v="224"/>
    <x v="223"/>
    <x v="220"/>
    <x v="354"/>
    <x v="1"/>
    <x v="2"/>
    <x v="234"/>
    <x v="30"/>
    <x v="1"/>
    <x v="33"/>
    <x v="0"/>
    <x v="0"/>
    <x v="1"/>
    <x v="3"/>
    <x v="2"/>
    <x v="2"/>
    <x v="1"/>
    <x v="3"/>
    <x v="1"/>
    <x v="1"/>
    <x v="90"/>
    <x v="1"/>
    <x v="1"/>
    <x v="2"/>
    <x v="224"/>
    <x v="2"/>
    <x v="1"/>
    <x v="4"/>
    <x v="1"/>
    <x v="0"/>
    <x v="261"/>
    <x v="127"/>
    <x v="0"/>
  </r>
  <r>
    <x v="446"/>
    <x v="225"/>
    <x v="224"/>
    <x v="221"/>
    <x v="355"/>
    <x v="1"/>
    <x v="2"/>
    <x v="235"/>
    <x v="192"/>
    <x v="1"/>
    <x v="36"/>
    <x v="0"/>
    <x v="0"/>
    <x v="1"/>
    <x v="1"/>
    <x v="1"/>
    <x v="2"/>
    <x v="1"/>
    <x v="2"/>
    <x v="1"/>
    <x v="1"/>
    <x v="90"/>
    <x v="1"/>
    <x v="1"/>
    <x v="2"/>
    <x v="225"/>
    <x v="12"/>
    <x v="1"/>
    <x v="7"/>
    <x v="2"/>
    <x v="1"/>
    <x v="262"/>
    <x v="128"/>
    <x v="133"/>
  </r>
  <r>
    <x v="447"/>
    <x v="226"/>
    <x v="225"/>
    <x v="222"/>
    <x v="356"/>
    <x v="1"/>
    <x v="2"/>
    <x v="236"/>
    <x v="193"/>
    <x v="1"/>
    <x v="3"/>
    <x v="0"/>
    <x v="0"/>
    <x v="1"/>
    <x v="3"/>
    <x v="2"/>
    <x v="2"/>
    <x v="1"/>
    <x v="3"/>
    <x v="1"/>
    <x v="1"/>
    <x v="97"/>
    <x v="1"/>
    <x v="1"/>
    <x v="2"/>
    <x v="226"/>
    <x v="1"/>
    <x v="3"/>
    <x v="0"/>
    <x v="1"/>
    <x v="0"/>
    <x v="263"/>
    <x v="129"/>
    <x v="0"/>
  </r>
  <r>
    <x v="448"/>
    <x v="205"/>
    <x v="203"/>
    <x v="201"/>
    <x v="0"/>
    <x v="1"/>
    <x v="1"/>
    <x v="214"/>
    <x v="177"/>
    <x v="1"/>
    <x v="31"/>
    <x v="0"/>
    <x v="0"/>
    <x v="3"/>
    <x v="1"/>
    <x v="1"/>
    <x v="2"/>
    <x v="1"/>
    <x v="1"/>
    <x v="1"/>
    <x v="2"/>
    <x v="0"/>
    <x v="2"/>
    <x v="3"/>
    <x v="4"/>
    <x v="205"/>
    <x v="12"/>
    <x v="0"/>
    <x v="0"/>
    <x v="1"/>
    <x v="0"/>
    <x v="0"/>
    <x v="0"/>
    <x v="0"/>
  </r>
  <r>
    <x v="449"/>
    <x v="227"/>
    <x v="226"/>
    <x v="223"/>
    <x v="357"/>
    <x v="1"/>
    <x v="3"/>
    <x v="237"/>
    <x v="40"/>
    <x v="2"/>
    <x v="0"/>
    <x v="2"/>
    <x v="0"/>
    <x v="1"/>
    <x v="1"/>
    <x v="1"/>
    <x v="2"/>
    <x v="1"/>
    <x v="2"/>
    <x v="1"/>
    <x v="1"/>
    <x v="90"/>
    <x v="1"/>
    <x v="1"/>
    <x v="2"/>
    <x v="227"/>
    <x v="12"/>
    <x v="1"/>
    <x v="7"/>
    <x v="2"/>
    <x v="1"/>
    <x v="264"/>
    <x v="0"/>
    <x v="134"/>
  </r>
  <r>
    <x v="450"/>
    <x v="118"/>
    <x v="117"/>
    <x v="116"/>
    <x v="358"/>
    <x v="1"/>
    <x v="2"/>
    <x v="123"/>
    <x v="163"/>
    <x v="1"/>
    <x v="1"/>
    <x v="0"/>
    <x v="0"/>
    <x v="1"/>
    <x v="1"/>
    <x v="1"/>
    <x v="2"/>
    <x v="1"/>
    <x v="2"/>
    <x v="1"/>
    <x v="2"/>
    <x v="0"/>
    <x v="1"/>
    <x v="1"/>
    <x v="2"/>
    <x v="117"/>
    <x v="12"/>
    <x v="0"/>
    <x v="0"/>
    <x v="1"/>
    <x v="0"/>
    <x v="0"/>
    <x v="0"/>
    <x v="0"/>
  </r>
  <r>
    <x v="451"/>
    <x v="228"/>
    <x v="227"/>
    <x v="224"/>
    <x v="359"/>
    <x v="3"/>
    <x v="2"/>
    <x v="238"/>
    <x v="194"/>
    <x v="1"/>
    <x v="101"/>
    <x v="0"/>
    <x v="0"/>
    <x v="1"/>
    <x v="3"/>
    <x v="2"/>
    <x v="2"/>
    <x v="1"/>
    <x v="3"/>
    <x v="1"/>
    <x v="1"/>
    <x v="97"/>
    <x v="1"/>
    <x v="1"/>
    <x v="2"/>
    <x v="228"/>
    <x v="1"/>
    <x v="3"/>
    <x v="0"/>
    <x v="1"/>
    <x v="0"/>
    <x v="265"/>
    <x v="130"/>
    <x v="0"/>
  </r>
  <r>
    <x v="452"/>
    <x v="229"/>
    <x v="228"/>
    <x v="225"/>
    <x v="360"/>
    <x v="1"/>
    <x v="1"/>
    <x v="239"/>
    <x v="164"/>
    <x v="1"/>
    <x v="102"/>
    <x v="0"/>
    <x v="0"/>
    <x v="1"/>
    <x v="1"/>
    <x v="1"/>
    <x v="2"/>
    <x v="1"/>
    <x v="1"/>
    <x v="1"/>
    <x v="2"/>
    <x v="0"/>
    <x v="1"/>
    <x v="1"/>
    <x v="2"/>
    <x v="229"/>
    <x v="12"/>
    <x v="0"/>
    <x v="0"/>
    <x v="1"/>
    <x v="0"/>
    <x v="0"/>
    <x v="0"/>
    <x v="0"/>
  </r>
  <r>
    <x v="453"/>
    <x v="224"/>
    <x v="223"/>
    <x v="220"/>
    <x v="0"/>
    <x v="1"/>
    <x v="2"/>
    <x v="234"/>
    <x v="30"/>
    <x v="1"/>
    <x v="33"/>
    <x v="0"/>
    <x v="0"/>
    <x v="3"/>
    <x v="1"/>
    <x v="1"/>
    <x v="2"/>
    <x v="1"/>
    <x v="3"/>
    <x v="1"/>
    <x v="1"/>
    <x v="97"/>
    <x v="2"/>
    <x v="3"/>
    <x v="4"/>
    <x v="224"/>
    <x v="1"/>
    <x v="1"/>
    <x v="12"/>
    <x v="1"/>
    <x v="0"/>
    <x v="266"/>
    <x v="0"/>
    <x v="135"/>
  </r>
  <r>
    <x v="454"/>
    <x v="227"/>
    <x v="226"/>
    <x v="223"/>
    <x v="0"/>
    <x v="1"/>
    <x v="3"/>
    <x v="237"/>
    <x v="40"/>
    <x v="2"/>
    <x v="0"/>
    <x v="2"/>
    <x v="0"/>
    <x v="3"/>
    <x v="3"/>
    <x v="3"/>
    <x v="2"/>
    <x v="1"/>
    <x v="2"/>
    <x v="1"/>
    <x v="1"/>
    <x v="97"/>
    <x v="2"/>
    <x v="3"/>
    <x v="4"/>
    <x v="227"/>
    <x v="12"/>
    <x v="1"/>
    <x v="4"/>
    <x v="1"/>
    <x v="0"/>
    <x v="267"/>
    <x v="0"/>
    <x v="136"/>
  </r>
  <r>
    <x v="455"/>
    <x v="230"/>
    <x v="229"/>
    <x v="226"/>
    <x v="361"/>
    <x v="3"/>
    <x v="2"/>
    <x v="240"/>
    <x v="195"/>
    <x v="1"/>
    <x v="4"/>
    <x v="0"/>
    <x v="0"/>
    <x v="1"/>
    <x v="1"/>
    <x v="1"/>
    <x v="1"/>
    <x v="2"/>
    <x v="1"/>
    <x v="1"/>
    <x v="1"/>
    <x v="97"/>
    <x v="2"/>
    <x v="5"/>
    <x v="2"/>
    <x v="230"/>
    <x v="12"/>
    <x v="1"/>
    <x v="7"/>
    <x v="1"/>
    <x v="0"/>
    <x v="268"/>
    <x v="131"/>
    <x v="137"/>
  </r>
  <r>
    <x v="456"/>
    <x v="227"/>
    <x v="226"/>
    <x v="223"/>
    <x v="0"/>
    <x v="1"/>
    <x v="2"/>
    <x v="237"/>
    <x v="40"/>
    <x v="2"/>
    <x v="0"/>
    <x v="5"/>
    <x v="0"/>
    <x v="3"/>
    <x v="4"/>
    <x v="1"/>
    <x v="2"/>
    <x v="1"/>
    <x v="2"/>
    <x v="1"/>
    <x v="2"/>
    <x v="0"/>
    <x v="2"/>
    <x v="3"/>
    <x v="4"/>
    <x v="227"/>
    <x v="1"/>
    <x v="0"/>
    <x v="0"/>
    <x v="1"/>
    <x v="0"/>
    <x v="0"/>
    <x v="0"/>
    <x v="0"/>
  </r>
  <r>
    <x v="457"/>
    <x v="231"/>
    <x v="230"/>
    <x v="227"/>
    <x v="362"/>
    <x v="1"/>
    <x v="2"/>
    <x v="241"/>
    <x v="196"/>
    <x v="6"/>
    <x v="0"/>
    <x v="0"/>
    <x v="9"/>
    <x v="1"/>
    <x v="3"/>
    <x v="2"/>
    <x v="1"/>
    <x v="1"/>
    <x v="2"/>
    <x v="1"/>
    <x v="1"/>
    <x v="98"/>
    <x v="1"/>
    <x v="1"/>
    <x v="2"/>
    <x v="231"/>
    <x v="12"/>
    <x v="1"/>
    <x v="10"/>
    <x v="2"/>
    <x v="1"/>
    <x v="269"/>
    <x v="0"/>
    <x v="138"/>
  </r>
  <r>
    <x v="458"/>
    <x v="225"/>
    <x v="224"/>
    <x v="221"/>
    <x v="363"/>
    <x v="1"/>
    <x v="2"/>
    <x v="235"/>
    <x v="197"/>
    <x v="1"/>
    <x v="103"/>
    <x v="0"/>
    <x v="0"/>
    <x v="3"/>
    <x v="1"/>
    <x v="1"/>
    <x v="1"/>
    <x v="1"/>
    <x v="2"/>
    <x v="1"/>
    <x v="2"/>
    <x v="0"/>
    <x v="1"/>
    <x v="3"/>
    <x v="4"/>
    <x v="225"/>
    <x v="12"/>
    <x v="0"/>
    <x v="0"/>
    <x v="1"/>
    <x v="0"/>
    <x v="0"/>
    <x v="0"/>
    <x v="139"/>
  </r>
  <r>
    <x v="459"/>
    <x v="230"/>
    <x v="229"/>
    <x v="226"/>
    <x v="0"/>
    <x v="3"/>
    <x v="2"/>
    <x v="240"/>
    <x v="195"/>
    <x v="1"/>
    <x v="4"/>
    <x v="0"/>
    <x v="0"/>
    <x v="3"/>
    <x v="1"/>
    <x v="1"/>
    <x v="1"/>
    <x v="2"/>
    <x v="1"/>
    <x v="1"/>
    <x v="1"/>
    <x v="99"/>
    <x v="2"/>
    <x v="3"/>
    <x v="4"/>
    <x v="230"/>
    <x v="12"/>
    <x v="3"/>
    <x v="0"/>
    <x v="1"/>
    <x v="0"/>
    <x v="270"/>
    <x v="132"/>
    <x v="0"/>
  </r>
  <r>
    <x v="460"/>
    <x v="232"/>
    <x v="231"/>
    <x v="228"/>
    <x v="364"/>
    <x v="3"/>
    <x v="3"/>
    <x v="242"/>
    <x v="198"/>
    <x v="1"/>
    <x v="24"/>
    <x v="0"/>
    <x v="0"/>
    <x v="1"/>
    <x v="1"/>
    <x v="1"/>
    <x v="1"/>
    <x v="1"/>
    <x v="1"/>
    <x v="1"/>
    <x v="2"/>
    <x v="0"/>
    <x v="1"/>
    <x v="1"/>
    <x v="2"/>
    <x v="232"/>
    <x v="12"/>
    <x v="0"/>
    <x v="0"/>
    <x v="1"/>
    <x v="0"/>
    <x v="0"/>
    <x v="0"/>
    <x v="0"/>
  </r>
  <r>
    <x v="461"/>
    <x v="224"/>
    <x v="223"/>
    <x v="220"/>
    <x v="0"/>
    <x v="1"/>
    <x v="2"/>
    <x v="234"/>
    <x v="30"/>
    <x v="1"/>
    <x v="33"/>
    <x v="0"/>
    <x v="0"/>
    <x v="3"/>
    <x v="1"/>
    <x v="1"/>
    <x v="2"/>
    <x v="1"/>
    <x v="3"/>
    <x v="1"/>
    <x v="1"/>
    <x v="100"/>
    <x v="2"/>
    <x v="3"/>
    <x v="4"/>
    <x v="224"/>
    <x v="11"/>
    <x v="1"/>
    <x v="7"/>
    <x v="2"/>
    <x v="1"/>
    <x v="271"/>
    <x v="0"/>
    <x v="140"/>
  </r>
  <r>
    <x v="462"/>
    <x v="233"/>
    <x v="232"/>
    <x v="229"/>
    <x v="365"/>
    <x v="1"/>
    <x v="2"/>
    <x v="243"/>
    <x v="199"/>
    <x v="1"/>
    <x v="70"/>
    <x v="0"/>
    <x v="0"/>
    <x v="1"/>
    <x v="3"/>
    <x v="3"/>
    <x v="2"/>
    <x v="1"/>
    <x v="1"/>
    <x v="1"/>
    <x v="1"/>
    <x v="100"/>
    <x v="1"/>
    <x v="6"/>
    <x v="3"/>
    <x v="233"/>
    <x v="1"/>
    <x v="1"/>
    <x v="3"/>
    <x v="2"/>
    <x v="1"/>
    <x v="272"/>
    <x v="0"/>
    <x v="0"/>
  </r>
  <r>
    <x v="463"/>
    <x v="231"/>
    <x v="230"/>
    <x v="227"/>
    <x v="366"/>
    <x v="1"/>
    <x v="2"/>
    <x v="241"/>
    <x v="196"/>
    <x v="6"/>
    <x v="0"/>
    <x v="0"/>
    <x v="9"/>
    <x v="3"/>
    <x v="3"/>
    <x v="2"/>
    <x v="2"/>
    <x v="1"/>
    <x v="2"/>
    <x v="1"/>
    <x v="1"/>
    <x v="99"/>
    <x v="1"/>
    <x v="3"/>
    <x v="4"/>
    <x v="231"/>
    <x v="9"/>
    <x v="1"/>
    <x v="4"/>
    <x v="2"/>
    <x v="1"/>
    <x v="273"/>
    <x v="0"/>
    <x v="0"/>
  </r>
  <r>
    <x v="464"/>
    <x v="234"/>
    <x v="233"/>
    <x v="230"/>
    <x v="367"/>
    <x v="1"/>
    <x v="2"/>
    <x v="244"/>
    <x v="105"/>
    <x v="6"/>
    <x v="0"/>
    <x v="0"/>
    <x v="10"/>
    <x v="1"/>
    <x v="1"/>
    <x v="1"/>
    <x v="1"/>
    <x v="2"/>
    <x v="3"/>
    <x v="1"/>
    <x v="1"/>
    <x v="101"/>
    <x v="1"/>
    <x v="6"/>
    <x v="3"/>
    <x v="234"/>
    <x v="1"/>
    <x v="3"/>
    <x v="0"/>
    <x v="1"/>
    <x v="0"/>
    <x v="274"/>
    <x v="133"/>
    <x v="0"/>
  </r>
  <r>
    <x v="465"/>
    <x v="178"/>
    <x v="176"/>
    <x v="174"/>
    <x v="368"/>
    <x v="3"/>
    <x v="2"/>
    <x v="186"/>
    <x v="153"/>
    <x v="1"/>
    <x v="104"/>
    <x v="0"/>
    <x v="0"/>
    <x v="1"/>
    <x v="3"/>
    <x v="2"/>
    <x v="2"/>
    <x v="1"/>
    <x v="2"/>
    <x v="1"/>
    <x v="1"/>
    <x v="101"/>
    <x v="1"/>
    <x v="6"/>
    <x v="3"/>
    <x v="175"/>
    <x v="9"/>
    <x v="3"/>
    <x v="0"/>
    <x v="1"/>
    <x v="0"/>
    <x v="275"/>
    <x v="134"/>
    <x v="0"/>
  </r>
  <r>
    <x v="466"/>
    <x v="235"/>
    <x v="234"/>
    <x v="231"/>
    <x v="369"/>
    <x v="1"/>
    <x v="2"/>
    <x v="245"/>
    <x v="200"/>
    <x v="1"/>
    <x v="24"/>
    <x v="0"/>
    <x v="0"/>
    <x v="1"/>
    <x v="2"/>
    <x v="3"/>
    <x v="2"/>
    <x v="1"/>
    <x v="2"/>
    <x v="1"/>
    <x v="1"/>
    <x v="100"/>
    <x v="1"/>
    <x v="6"/>
    <x v="2"/>
    <x v="235"/>
    <x v="9"/>
    <x v="1"/>
    <x v="3"/>
    <x v="2"/>
    <x v="1"/>
    <x v="276"/>
    <x v="135"/>
    <x v="0"/>
  </r>
  <r>
    <x v="467"/>
    <x v="233"/>
    <x v="232"/>
    <x v="229"/>
    <x v="370"/>
    <x v="1"/>
    <x v="1"/>
    <x v="243"/>
    <x v="199"/>
    <x v="1"/>
    <x v="70"/>
    <x v="0"/>
    <x v="0"/>
    <x v="3"/>
    <x v="1"/>
    <x v="1"/>
    <x v="2"/>
    <x v="1"/>
    <x v="1"/>
    <x v="1"/>
    <x v="2"/>
    <x v="0"/>
    <x v="1"/>
    <x v="3"/>
    <x v="4"/>
    <x v="233"/>
    <x v="3"/>
    <x v="0"/>
    <x v="0"/>
    <x v="1"/>
    <x v="0"/>
    <x v="0"/>
    <x v="0"/>
    <x v="0"/>
  </r>
  <r>
    <x v="468"/>
    <x v="224"/>
    <x v="223"/>
    <x v="220"/>
    <x v="371"/>
    <x v="1"/>
    <x v="2"/>
    <x v="234"/>
    <x v="30"/>
    <x v="1"/>
    <x v="33"/>
    <x v="0"/>
    <x v="0"/>
    <x v="3"/>
    <x v="1"/>
    <x v="1"/>
    <x v="1"/>
    <x v="1"/>
    <x v="2"/>
    <x v="1"/>
    <x v="2"/>
    <x v="0"/>
    <x v="1"/>
    <x v="3"/>
    <x v="4"/>
    <x v="224"/>
    <x v="12"/>
    <x v="0"/>
    <x v="0"/>
    <x v="1"/>
    <x v="0"/>
    <x v="0"/>
    <x v="0"/>
    <x v="0"/>
  </r>
  <r>
    <x v="469"/>
    <x v="235"/>
    <x v="234"/>
    <x v="231"/>
    <x v="372"/>
    <x v="1"/>
    <x v="1"/>
    <x v="245"/>
    <x v="200"/>
    <x v="1"/>
    <x v="24"/>
    <x v="0"/>
    <x v="0"/>
    <x v="3"/>
    <x v="1"/>
    <x v="1"/>
    <x v="2"/>
    <x v="2"/>
    <x v="1"/>
    <x v="1"/>
    <x v="2"/>
    <x v="0"/>
    <x v="1"/>
    <x v="3"/>
    <x v="4"/>
    <x v="235"/>
    <x v="3"/>
    <x v="0"/>
    <x v="0"/>
    <x v="1"/>
    <x v="0"/>
    <x v="0"/>
    <x v="0"/>
    <x v="0"/>
  </r>
  <r>
    <x v="470"/>
    <x v="236"/>
    <x v="235"/>
    <x v="232"/>
    <x v="373"/>
    <x v="1"/>
    <x v="2"/>
    <x v="246"/>
    <x v="201"/>
    <x v="1"/>
    <x v="24"/>
    <x v="0"/>
    <x v="0"/>
    <x v="1"/>
    <x v="3"/>
    <x v="2"/>
    <x v="1"/>
    <x v="1"/>
    <x v="2"/>
    <x v="1"/>
    <x v="1"/>
    <x v="99"/>
    <x v="1"/>
    <x v="1"/>
    <x v="2"/>
    <x v="236"/>
    <x v="2"/>
    <x v="1"/>
    <x v="4"/>
    <x v="1"/>
    <x v="0"/>
    <x v="277"/>
    <x v="0"/>
    <x v="0"/>
  </r>
  <r>
    <x v="471"/>
    <x v="41"/>
    <x v="40"/>
    <x v="40"/>
    <x v="374"/>
    <x v="1"/>
    <x v="2"/>
    <x v="200"/>
    <x v="44"/>
    <x v="1"/>
    <x v="1"/>
    <x v="0"/>
    <x v="0"/>
    <x v="1"/>
    <x v="2"/>
    <x v="3"/>
    <x v="2"/>
    <x v="1"/>
    <x v="2"/>
    <x v="1"/>
    <x v="1"/>
    <x v="99"/>
    <x v="1"/>
    <x v="1"/>
    <x v="13"/>
    <x v="40"/>
    <x v="3"/>
    <x v="3"/>
    <x v="0"/>
    <x v="1"/>
    <x v="0"/>
    <x v="278"/>
    <x v="136"/>
    <x v="0"/>
  </r>
  <r>
    <x v="472"/>
    <x v="237"/>
    <x v="236"/>
    <x v="233"/>
    <x v="375"/>
    <x v="1"/>
    <x v="3"/>
    <x v="247"/>
    <x v="202"/>
    <x v="1"/>
    <x v="33"/>
    <x v="0"/>
    <x v="0"/>
    <x v="1"/>
    <x v="3"/>
    <x v="2"/>
    <x v="1"/>
    <x v="1"/>
    <x v="1"/>
    <x v="1"/>
    <x v="1"/>
    <x v="102"/>
    <x v="1"/>
    <x v="1"/>
    <x v="2"/>
    <x v="237"/>
    <x v="12"/>
    <x v="1"/>
    <x v="4"/>
    <x v="1"/>
    <x v="0"/>
    <x v="279"/>
    <x v="137"/>
    <x v="0"/>
  </r>
  <r>
    <x v="473"/>
    <x v="169"/>
    <x v="169"/>
    <x v="167"/>
    <x v="376"/>
    <x v="1"/>
    <x v="2"/>
    <x v="177"/>
    <x v="196"/>
    <x v="6"/>
    <x v="0"/>
    <x v="0"/>
    <x v="1"/>
    <x v="1"/>
    <x v="1"/>
    <x v="1"/>
    <x v="2"/>
    <x v="1"/>
    <x v="2"/>
    <x v="1"/>
    <x v="1"/>
    <x v="99"/>
    <x v="1"/>
    <x v="1"/>
    <x v="2"/>
    <x v="168"/>
    <x v="4"/>
    <x v="1"/>
    <x v="2"/>
    <x v="2"/>
    <x v="1"/>
    <x v="280"/>
    <x v="138"/>
    <x v="0"/>
  </r>
  <r>
    <x v="474"/>
    <x v="238"/>
    <x v="237"/>
    <x v="234"/>
    <x v="377"/>
    <x v="1"/>
    <x v="2"/>
    <x v="248"/>
    <x v="81"/>
    <x v="1"/>
    <x v="105"/>
    <x v="0"/>
    <x v="0"/>
    <x v="1"/>
    <x v="1"/>
    <x v="1"/>
    <x v="2"/>
    <x v="1"/>
    <x v="2"/>
    <x v="1"/>
    <x v="1"/>
    <x v="99"/>
    <x v="1"/>
    <x v="1"/>
    <x v="2"/>
    <x v="238"/>
    <x v="12"/>
    <x v="1"/>
    <x v="2"/>
    <x v="1"/>
    <x v="0"/>
    <x v="281"/>
    <x v="139"/>
    <x v="141"/>
  </r>
  <r>
    <x v="475"/>
    <x v="236"/>
    <x v="235"/>
    <x v="232"/>
    <x v="0"/>
    <x v="1"/>
    <x v="2"/>
    <x v="246"/>
    <x v="203"/>
    <x v="1"/>
    <x v="70"/>
    <x v="0"/>
    <x v="0"/>
    <x v="3"/>
    <x v="3"/>
    <x v="2"/>
    <x v="1"/>
    <x v="1"/>
    <x v="3"/>
    <x v="1"/>
    <x v="1"/>
    <x v="102"/>
    <x v="2"/>
    <x v="3"/>
    <x v="4"/>
    <x v="236"/>
    <x v="1"/>
    <x v="3"/>
    <x v="0"/>
    <x v="1"/>
    <x v="0"/>
    <x v="282"/>
    <x v="140"/>
    <x v="142"/>
  </r>
  <r>
    <x v="476"/>
    <x v="231"/>
    <x v="230"/>
    <x v="227"/>
    <x v="378"/>
    <x v="1"/>
    <x v="2"/>
    <x v="241"/>
    <x v="196"/>
    <x v="6"/>
    <x v="0"/>
    <x v="0"/>
    <x v="11"/>
    <x v="3"/>
    <x v="1"/>
    <x v="1"/>
    <x v="2"/>
    <x v="1"/>
    <x v="3"/>
    <x v="1"/>
    <x v="2"/>
    <x v="0"/>
    <x v="1"/>
    <x v="3"/>
    <x v="4"/>
    <x v="231"/>
    <x v="1"/>
    <x v="0"/>
    <x v="0"/>
    <x v="1"/>
    <x v="0"/>
    <x v="0"/>
    <x v="0"/>
    <x v="0"/>
  </r>
  <r>
    <x v="477"/>
    <x v="238"/>
    <x v="237"/>
    <x v="234"/>
    <x v="0"/>
    <x v="1"/>
    <x v="2"/>
    <x v="248"/>
    <x v="81"/>
    <x v="1"/>
    <x v="0"/>
    <x v="0"/>
    <x v="0"/>
    <x v="3"/>
    <x v="4"/>
    <x v="1"/>
    <x v="2"/>
    <x v="1"/>
    <x v="2"/>
    <x v="1"/>
    <x v="2"/>
    <x v="0"/>
    <x v="2"/>
    <x v="3"/>
    <x v="4"/>
    <x v="238"/>
    <x v="4"/>
    <x v="0"/>
    <x v="0"/>
    <x v="1"/>
    <x v="0"/>
    <x v="0"/>
    <x v="0"/>
    <x v="0"/>
  </r>
  <r>
    <x v="478"/>
    <x v="239"/>
    <x v="238"/>
    <x v="235"/>
    <x v="379"/>
    <x v="1"/>
    <x v="2"/>
    <x v="249"/>
    <x v="71"/>
    <x v="1"/>
    <x v="1"/>
    <x v="0"/>
    <x v="0"/>
    <x v="1"/>
    <x v="1"/>
    <x v="1"/>
    <x v="1"/>
    <x v="1"/>
    <x v="3"/>
    <x v="1"/>
    <x v="1"/>
    <x v="99"/>
    <x v="1"/>
    <x v="1"/>
    <x v="2"/>
    <x v="239"/>
    <x v="4"/>
    <x v="1"/>
    <x v="2"/>
    <x v="1"/>
    <x v="0"/>
    <x v="283"/>
    <x v="0"/>
    <x v="0"/>
  </r>
  <r>
    <x v="479"/>
    <x v="239"/>
    <x v="238"/>
    <x v="235"/>
    <x v="379"/>
    <x v="1"/>
    <x v="2"/>
    <x v="249"/>
    <x v="71"/>
    <x v="1"/>
    <x v="1"/>
    <x v="0"/>
    <x v="0"/>
    <x v="3"/>
    <x v="1"/>
    <x v="1"/>
    <x v="1"/>
    <x v="1"/>
    <x v="3"/>
    <x v="1"/>
    <x v="2"/>
    <x v="0"/>
    <x v="1"/>
    <x v="3"/>
    <x v="4"/>
    <x v="239"/>
    <x v="4"/>
    <x v="0"/>
    <x v="0"/>
    <x v="1"/>
    <x v="0"/>
    <x v="0"/>
    <x v="0"/>
    <x v="0"/>
  </r>
  <r>
    <x v="480"/>
    <x v="169"/>
    <x v="169"/>
    <x v="167"/>
    <x v="380"/>
    <x v="1"/>
    <x v="2"/>
    <x v="177"/>
    <x v="196"/>
    <x v="6"/>
    <x v="0"/>
    <x v="0"/>
    <x v="1"/>
    <x v="3"/>
    <x v="1"/>
    <x v="1"/>
    <x v="2"/>
    <x v="1"/>
    <x v="2"/>
    <x v="1"/>
    <x v="1"/>
    <x v="103"/>
    <x v="1"/>
    <x v="3"/>
    <x v="4"/>
    <x v="168"/>
    <x v="4"/>
    <x v="3"/>
    <x v="0"/>
    <x v="1"/>
    <x v="0"/>
    <x v="284"/>
    <x v="141"/>
    <x v="143"/>
  </r>
  <r>
    <x v="481"/>
    <x v="240"/>
    <x v="239"/>
    <x v="236"/>
    <x v="381"/>
    <x v="1"/>
    <x v="1"/>
    <x v="250"/>
    <x v="204"/>
    <x v="1"/>
    <x v="2"/>
    <x v="0"/>
    <x v="0"/>
    <x v="1"/>
    <x v="3"/>
    <x v="3"/>
    <x v="1"/>
    <x v="1"/>
    <x v="2"/>
    <x v="1"/>
    <x v="1"/>
    <x v="102"/>
    <x v="1"/>
    <x v="1"/>
    <x v="2"/>
    <x v="240"/>
    <x v="12"/>
    <x v="1"/>
    <x v="5"/>
    <x v="2"/>
    <x v="1"/>
    <x v="285"/>
    <x v="0"/>
    <x v="144"/>
  </r>
  <r>
    <x v="482"/>
    <x v="241"/>
    <x v="240"/>
    <x v="237"/>
    <x v="382"/>
    <x v="1"/>
    <x v="2"/>
    <x v="251"/>
    <x v="80"/>
    <x v="1"/>
    <x v="22"/>
    <x v="0"/>
    <x v="0"/>
    <x v="1"/>
    <x v="2"/>
    <x v="3"/>
    <x v="2"/>
    <x v="1"/>
    <x v="2"/>
    <x v="1"/>
    <x v="1"/>
    <x v="102"/>
    <x v="1"/>
    <x v="2"/>
    <x v="2"/>
    <x v="241"/>
    <x v="1"/>
    <x v="3"/>
    <x v="0"/>
    <x v="1"/>
    <x v="0"/>
    <x v="286"/>
    <x v="142"/>
    <x v="145"/>
  </r>
  <r>
    <x v="483"/>
    <x v="242"/>
    <x v="241"/>
    <x v="238"/>
    <x v="383"/>
    <x v="3"/>
    <x v="2"/>
    <x v="252"/>
    <x v="196"/>
    <x v="6"/>
    <x v="0"/>
    <x v="0"/>
    <x v="12"/>
    <x v="1"/>
    <x v="1"/>
    <x v="1"/>
    <x v="2"/>
    <x v="1"/>
    <x v="3"/>
    <x v="1"/>
    <x v="1"/>
    <x v="102"/>
    <x v="2"/>
    <x v="1"/>
    <x v="2"/>
    <x v="242"/>
    <x v="4"/>
    <x v="1"/>
    <x v="2"/>
    <x v="1"/>
    <x v="0"/>
    <x v="287"/>
    <x v="0"/>
    <x v="146"/>
  </r>
  <r>
    <x v="484"/>
    <x v="242"/>
    <x v="241"/>
    <x v="238"/>
    <x v="0"/>
    <x v="3"/>
    <x v="2"/>
    <x v="252"/>
    <x v="196"/>
    <x v="6"/>
    <x v="0"/>
    <x v="0"/>
    <x v="12"/>
    <x v="3"/>
    <x v="1"/>
    <x v="1"/>
    <x v="2"/>
    <x v="1"/>
    <x v="3"/>
    <x v="1"/>
    <x v="2"/>
    <x v="0"/>
    <x v="2"/>
    <x v="3"/>
    <x v="4"/>
    <x v="242"/>
    <x v="4"/>
    <x v="0"/>
    <x v="0"/>
    <x v="1"/>
    <x v="0"/>
    <x v="0"/>
    <x v="0"/>
    <x v="0"/>
  </r>
  <r>
    <x v="485"/>
    <x v="243"/>
    <x v="242"/>
    <x v="239"/>
    <x v="384"/>
    <x v="1"/>
    <x v="1"/>
    <x v="253"/>
    <x v="205"/>
    <x v="1"/>
    <x v="106"/>
    <x v="0"/>
    <x v="0"/>
    <x v="1"/>
    <x v="1"/>
    <x v="1"/>
    <x v="1"/>
    <x v="1"/>
    <x v="2"/>
    <x v="2"/>
    <x v="1"/>
    <x v="103"/>
    <x v="1"/>
    <x v="1"/>
    <x v="2"/>
    <x v="243"/>
    <x v="12"/>
    <x v="1"/>
    <x v="2"/>
    <x v="2"/>
    <x v="1"/>
    <x v="288"/>
    <x v="0"/>
    <x v="147"/>
  </r>
  <r>
    <x v="486"/>
    <x v="237"/>
    <x v="236"/>
    <x v="233"/>
    <x v="0"/>
    <x v="1"/>
    <x v="2"/>
    <x v="247"/>
    <x v="202"/>
    <x v="1"/>
    <x v="33"/>
    <x v="0"/>
    <x v="0"/>
    <x v="3"/>
    <x v="3"/>
    <x v="2"/>
    <x v="2"/>
    <x v="1"/>
    <x v="3"/>
    <x v="1"/>
    <x v="1"/>
    <x v="104"/>
    <x v="2"/>
    <x v="3"/>
    <x v="4"/>
    <x v="237"/>
    <x v="1"/>
    <x v="3"/>
    <x v="0"/>
    <x v="1"/>
    <x v="0"/>
    <x v="289"/>
    <x v="143"/>
    <x v="0"/>
  </r>
  <r>
    <x v="487"/>
    <x v="240"/>
    <x v="243"/>
    <x v="236"/>
    <x v="385"/>
    <x v="1"/>
    <x v="1"/>
    <x v="254"/>
    <x v="206"/>
    <x v="1"/>
    <x v="2"/>
    <x v="0"/>
    <x v="0"/>
    <x v="3"/>
    <x v="1"/>
    <x v="1"/>
    <x v="2"/>
    <x v="1"/>
    <x v="2"/>
    <x v="1"/>
    <x v="2"/>
    <x v="0"/>
    <x v="1"/>
    <x v="3"/>
    <x v="4"/>
    <x v="240"/>
    <x v="2"/>
    <x v="0"/>
    <x v="0"/>
    <x v="1"/>
    <x v="0"/>
    <x v="0"/>
    <x v="0"/>
    <x v="0"/>
  </r>
  <r>
    <x v="488"/>
    <x v="243"/>
    <x v="242"/>
    <x v="239"/>
    <x v="386"/>
    <x v="1"/>
    <x v="1"/>
    <x v="253"/>
    <x v="205"/>
    <x v="1"/>
    <x v="107"/>
    <x v="0"/>
    <x v="0"/>
    <x v="3"/>
    <x v="1"/>
    <x v="1"/>
    <x v="1"/>
    <x v="1"/>
    <x v="2"/>
    <x v="1"/>
    <x v="2"/>
    <x v="0"/>
    <x v="2"/>
    <x v="3"/>
    <x v="4"/>
    <x v="243"/>
    <x v="4"/>
    <x v="0"/>
    <x v="0"/>
    <x v="1"/>
    <x v="0"/>
    <x v="0"/>
    <x v="0"/>
    <x v="0"/>
  </r>
  <r>
    <x v="489"/>
    <x v="37"/>
    <x v="36"/>
    <x v="36"/>
    <x v="387"/>
    <x v="1"/>
    <x v="2"/>
    <x v="39"/>
    <x v="49"/>
    <x v="2"/>
    <x v="0"/>
    <x v="5"/>
    <x v="0"/>
    <x v="1"/>
    <x v="3"/>
    <x v="3"/>
    <x v="2"/>
    <x v="1"/>
    <x v="2"/>
    <x v="1"/>
    <x v="1"/>
    <x v="104"/>
    <x v="1"/>
    <x v="5"/>
    <x v="3"/>
    <x v="184"/>
    <x v="1"/>
    <x v="3"/>
    <x v="0"/>
    <x v="1"/>
    <x v="0"/>
    <x v="290"/>
    <x v="144"/>
    <x v="0"/>
  </r>
  <r>
    <x v="490"/>
    <x v="244"/>
    <x v="244"/>
    <x v="240"/>
    <x v="388"/>
    <x v="1"/>
    <x v="2"/>
    <x v="255"/>
    <x v="207"/>
    <x v="1"/>
    <x v="27"/>
    <x v="0"/>
    <x v="0"/>
    <x v="1"/>
    <x v="3"/>
    <x v="3"/>
    <x v="2"/>
    <x v="1"/>
    <x v="2"/>
    <x v="1"/>
    <x v="1"/>
    <x v="105"/>
    <x v="1"/>
    <x v="1"/>
    <x v="2"/>
    <x v="244"/>
    <x v="12"/>
    <x v="1"/>
    <x v="4"/>
    <x v="2"/>
    <x v="1"/>
    <x v="291"/>
    <x v="145"/>
    <x v="148"/>
  </r>
  <r>
    <x v="491"/>
    <x v="240"/>
    <x v="243"/>
    <x v="236"/>
    <x v="389"/>
    <x v="1"/>
    <x v="1"/>
    <x v="256"/>
    <x v="206"/>
    <x v="1"/>
    <x v="36"/>
    <x v="0"/>
    <x v="0"/>
    <x v="1"/>
    <x v="1"/>
    <x v="1"/>
    <x v="1"/>
    <x v="1"/>
    <x v="2"/>
    <x v="1"/>
    <x v="2"/>
    <x v="0"/>
    <x v="1"/>
    <x v="1"/>
    <x v="2"/>
    <x v="240"/>
    <x v="12"/>
    <x v="0"/>
    <x v="0"/>
    <x v="1"/>
    <x v="0"/>
    <x v="0"/>
    <x v="0"/>
    <x v="0"/>
  </r>
  <r>
    <x v="492"/>
    <x v="245"/>
    <x v="245"/>
    <x v="241"/>
    <x v="390"/>
    <x v="1"/>
    <x v="2"/>
    <x v="4"/>
    <x v="208"/>
    <x v="1"/>
    <x v="9"/>
    <x v="0"/>
    <x v="0"/>
    <x v="1"/>
    <x v="3"/>
    <x v="3"/>
    <x v="2"/>
    <x v="1"/>
    <x v="3"/>
    <x v="1"/>
    <x v="1"/>
    <x v="105"/>
    <x v="1"/>
    <x v="1"/>
    <x v="2"/>
    <x v="245"/>
    <x v="11"/>
    <x v="1"/>
    <x v="4"/>
    <x v="2"/>
    <x v="1"/>
    <x v="292"/>
    <x v="0"/>
    <x v="0"/>
  </r>
  <r>
    <x v="493"/>
    <x v="245"/>
    <x v="245"/>
    <x v="241"/>
    <x v="391"/>
    <x v="1"/>
    <x v="2"/>
    <x v="4"/>
    <x v="209"/>
    <x v="1"/>
    <x v="9"/>
    <x v="0"/>
    <x v="0"/>
    <x v="3"/>
    <x v="1"/>
    <x v="1"/>
    <x v="2"/>
    <x v="1"/>
    <x v="3"/>
    <x v="1"/>
    <x v="2"/>
    <x v="0"/>
    <x v="1"/>
    <x v="3"/>
    <x v="4"/>
    <x v="245"/>
    <x v="1"/>
    <x v="0"/>
    <x v="0"/>
    <x v="1"/>
    <x v="0"/>
    <x v="0"/>
    <x v="0"/>
    <x v="0"/>
  </r>
  <r>
    <x v="494"/>
    <x v="244"/>
    <x v="244"/>
    <x v="240"/>
    <x v="392"/>
    <x v="1"/>
    <x v="2"/>
    <x v="255"/>
    <x v="10"/>
    <x v="1"/>
    <x v="15"/>
    <x v="0"/>
    <x v="0"/>
    <x v="3"/>
    <x v="1"/>
    <x v="1"/>
    <x v="2"/>
    <x v="1"/>
    <x v="2"/>
    <x v="1"/>
    <x v="2"/>
    <x v="0"/>
    <x v="1"/>
    <x v="3"/>
    <x v="4"/>
    <x v="244"/>
    <x v="1"/>
    <x v="0"/>
    <x v="0"/>
    <x v="1"/>
    <x v="0"/>
    <x v="0"/>
    <x v="0"/>
    <x v="0"/>
  </r>
  <r>
    <x v="495"/>
    <x v="246"/>
    <x v="246"/>
    <x v="242"/>
    <x v="393"/>
    <x v="3"/>
    <x v="2"/>
    <x v="257"/>
    <x v="210"/>
    <x v="1"/>
    <x v="15"/>
    <x v="0"/>
    <x v="0"/>
    <x v="1"/>
    <x v="1"/>
    <x v="1"/>
    <x v="2"/>
    <x v="1"/>
    <x v="2"/>
    <x v="1"/>
    <x v="2"/>
    <x v="0"/>
    <x v="1"/>
    <x v="6"/>
    <x v="2"/>
    <x v="246"/>
    <x v="8"/>
    <x v="0"/>
    <x v="0"/>
    <x v="1"/>
    <x v="0"/>
    <x v="0"/>
    <x v="0"/>
    <x v="0"/>
  </r>
  <r>
    <x v="496"/>
    <x v="247"/>
    <x v="247"/>
    <x v="243"/>
    <x v="394"/>
    <x v="1"/>
    <x v="1"/>
    <x v="258"/>
    <x v="10"/>
    <x v="1"/>
    <x v="108"/>
    <x v="0"/>
    <x v="0"/>
    <x v="1"/>
    <x v="3"/>
    <x v="3"/>
    <x v="1"/>
    <x v="1"/>
    <x v="2"/>
    <x v="1"/>
    <x v="1"/>
    <x v="106"/>
    <x v="1"/>
    <x v="1"/>
    <x v="2"/>
    <x v="247"/>
    <x v="12"/>
    <x v="3"/>
    <x v="0"/>
    <x v="1"/>
    <x v="0"/>
    <x v="293"/>
    <x v="146"/>
    <x v="149"/>
  </r>
  <r>
    <x v="497"/>
    <x v="248"/>
    <x v="248"/>
    <x v="244"/>
    <x v="395"/>
    <x v="1"/>
    <x v="4"/>
    <x v="259"/>
    <x v="211"/>
    <x v="1"/>
    <x v="15"/>
    <x v="0"/>
    <x v="0"/>
    <x v="1"/>
    <x v="1"/>
    <x v="1"/>
    <x v="2"/>
    <x v="1"/>
    <x v="2"/>
    <x v="1"/>
    <x v="2"/>
    <x v="0"/>
    <x v="1"/>
    <x v="1"/>
    <x v="2"/>
    <x v="248"/>
    <x v="12"/>
    <x v="0"/>
    <x v="0"/>
    <x v="1"/>
    <x v="0"/>
    <x v="0"/>
    <x v="0"/>
    <x v="0"/>
  </r>
  <r>
    <x v="498"/>
    <x v="249"/>
    <x v="249"/>
    <x v="245"/>
    <x v="396"/>
    <x v="1"/>
    <x v="2"/>
    <x v="260"/>
    <x v="60"/>
    <x v="1"/>
    <x v="15"/>
    <x v="0"/>
    <x v="0"/>
    <x v="1"/>
    <x v="1"/>
    <x v="1"/>
    <x v="2"/>
    <x v="1"/>
    <x v="2"/>
    <x v="1"/>
    <x v="1"/>
    <x v="106"/>
    <x v="1"/>
    <x v="5"/>
    <x v="2"/>
    <x v="249"/>
    <x v="12"/>
    <x v="3"/>
    <x v="0"/>
    <x v="1"/>
    <x v="0"/>
    <x v="294"/>
    <x v="147"/>
    <x v="150"/>
  </r>
  <r>
    <x v="499"/>
    <x v="250"/>
    <x v="250"/>
    <x v="246"/>
    <x v="397"/>
    <x v="1"/>
    <x v="2"/>
    <x v="261"/>
    <x v="212"/>
    <x v="1"/>
    <x v="109"/>
    <x v="0"/>
    <x v="0"/>
    <x v="1"/>
    <x v="2"/>
    <x v="3"/>
    <x v="2"/>
    <x v="1"/>
    <x v="3"/>
    <x v="1"/>
    <x v="1"/>
    <x v="107"/>
    <x v="1"/>
    <x v="1"/>
    <x v="2"/>
    <x v="250"/>
    <x v="1"/>
    <x v="1"/>
    <x v="4"/>
    <x v="1"/>
    <x v="0"/>
    <x v="295"/>
    <x v="0"/>
    <x v="0"/>
  </r>
  <r>
    <x v="500"/>
    <x v="251"/>
    <x v="251"/>
    <x v="247"/>
    <x v="398"/>
    <x v="1"/>
    <x v="2"/>
    <x v="262"/>
    <x v="10"/>
    <x v="1"/>
    <x v="3"/>
    <x v="0"/>
    <x v="0"/>
    <x v="1"/>
    <x v="1"/>
    <x v="1"/>
    <x v="2"/>
    <x v="1"/>
    <x v="3"/>
    <x v="1"/>
    <x v="1"/>
    <x v="107"/>
    <x v="1"/>
    <x v="1"/>
    <x v="2"/>
    <x v="251"/>
    <x v="1"/>
    <x v="3"/>
    <x v="0"/>
    <x v="1"/>
    <x v="0"/>
    <x v="296"/>
    <x v="0"/>
    <x v="151"/>
  </r>
  <r>
    <x v="501"/>
    <x v="252"/>
    <x v="252"/>
    <x v="248"/>
    <x v="399"/>
    <x v="1"/>
    <x v="3"/>
    <x v="263"/>
    <x v="123"/>
    <x v="1"/>
    <x v="70"/>
    <x v="0"/>
    <x v="0"/>
    <x v="1"/>
    <x v="3"/>
    <x v="3"/>
    <x v="2"/>
    <x v="1"/>
    <x v="1"/>
    <x v="2"/>
    <x v="1"/>
    <x v="107"/>
    <x v="1"/>
    <x v="1"/>
    <x v="2"/>
    <x v="252"/>
    <x v="1"/>
    <x v="3"/>
    <x v="0"/>
    <x v="1"/>
    <x v="0"/>
    <x v="297"/>
    <x v="148"/>
    <x v="0"/>
  </r>
  <r>
    <x v="502"/>
    <x v="250"/>
    <x v="250"/>
    <x v="246"/>
    <x v="400"/>
    <x v="1"/>
    <x v="2"/>
    <x v="261"/>
    <x v="212"/>
    <x v="1"/>
    <x v="110"/>
    <x v="0"/>
    <x v="0"/>
    <x v="1"/>
    <x v="1"/>
    <x v="1"/>
    <x v="2"/>
    <x v="1"/>
    <x v="3"/>
    <x v="1"/>
    <x v="2"/>
    <x v="0"/>
    <x v="1"/>
    <x v="1"/>
    <x v="2"/>
    <x v="250"/>
    <x v="1"/>
    <x v="0"/>
    <x v="0"/>
    <x v="1"/>
    <x v="0"/>
    <x v="0"/>
    <x v="0"/>
    <x v="0"/>
  </r>
  <r>
    <x v="503"/>
    <x v="253"/>
    <x v="253"/>
    <x v="249"/>
    <x v="401"/>
    <x v="1"/>
    <x v="3"/>
    <x v="264"/>
    <x v="213"/>
    <x v="1"/>
    <x v="111"/>
    <x v="0"/>
    <x v="0"/>
    <x v="1"/>
    <x v="1"/>
    <x v="1"/>
    <x v="1"/>
    <x v="1"/>
    <x v="2"/>
    <x v="1"/>
    <x v="2"/>
    <x v="0"/>
    <x v="1"/>
    <x v="1"/>
    <x v="2"/>
    <x v="253"/>
    <x v="12"/>
    <x v="0"/>
    <x v="0"/>
    <x v="1"/>
    <x v="0"/>
    <x v="0"/>
    <x v="0"/>
    <x v="0"/>
  </r>
  <r>
    <x v="504"/>
    <x v="254"/>
    <x v="254"/>
    <x v="250"/>
    <x v="402"/>
    <x v="1"/>
    <x v="3"/>
    <x v="265"/>
    <x v="214"/>
    <x v="1"/>
    <x v="15"/>
    <x v="0"/>
    <x v="0"/>
    <x v="1"/>
    <x v="2"/>
    <x v="3"/>
    <x v="2"/>
    <x v="1"/>
    <x v="2"/>
    <x v="1"/>
    <x v="1"/>
    <x v="108"/>
    <x v="1"/>
    <x v="1"/>
    <x v="2"/>
    <x v="254"/>
    <x v="2"/>
    <x v="3"/>
    <x v="0"/>
    <x v="1"/>
    <x v="0"/>
    <x v="298"/>
    <x v="149"/>
    <x v="0"/>
  </r>
  <r>
    <x v="505"/>
    <x v="255"/>
    <x v="255"/>
    <x v="251"/>
    <x v="403"/>
    <x v="1"/>
    <x v="2"/>
    <x v="266"/>
    <x v="215"/>
    <x v="1"/>
    <x v="112"/>
    <x v="0"/>
    <x v="0"/>
    <x v="1"/>
    <x v="1"/>
    <x v="1"/>
    <x v="2"/>
    <x v="1"/>
    <x v="1"/>
    <x v="1"/>
    <x v="2"/>
    <x v="0"/>
    <x v="1"/>
    <x v="1"/>
    <x v="2"/>
    <x v="255"/>
    <x v="12"/>
    <x v="0"/>
    <x v="0"/>
    <x v="1"/>
    <x v="0"/>
    <x v="0"/>
    <x v="0"/>
    <x v="0"/>
  </r>
  <r>
    <x v="506"/>
    <x v="169"/>
    <x v="169"/>
    <x v="167"/>
    <x v="404"/>
    <x v="1"/>
    <x v="2"/>
    <x v="177"/>
    <x v="196"/>
    <x v="6"/>
    <x v="0"/>
    <x v="0"/>
    <x v="13"/>
    <x v="1"/>
    <x v="1"/>
    <x v="1"/>
    <x v="1"/>
    <x v="1"/>
    <x v="2"/>
    <x v="1"/>
    <x v="1"/>
    <x v="109"/>
    <x v="1"/>
    <x v="1"/>
    <x v="2"/>
    <x v="168"/>
    <x v="12"/>
    <x v="4"/>
    <x v="7"/>
    <x v="1"/>
    <x v="0"/>
    <x v="299"/>
    <x v="150"/>
    <x v="152"/>
  </r>
  <r>
    <x v="507"/>
    <x v="256"/>
    <x v="256"/>
    <x v="252"/>
    <x v="405"/>
    <x v="1"/>
    <x v="2"/>
    <x v="267"/>
    <x v="216"/>
    <x v="1"/>
    <x v="3"/>
    <x v="0"/>
    <x v="0"/>
    <x v="1"/>
    <x v="3"/>
    <x v="2"/>
    <x v="2"/>
    <x v="1"/>
    <x v="3"/>
    <x v="1"/>
    <x v="1"/>
    <x v="109"/>
    <x v="1"/>
    <x v="1"/>
    <x v="2"/>
    <x v="256"/>
    <x v="1"/>
    <x v="3"/>
    <x v="0"/>
    <x v="1"/>
    <x v="0"/>
    <x v="300"/>
    <x v="151"/>
    <x v="0"/>
  </r>
  <r>
    <x v="508"/>
    <x v="257"/>
    <x v="257"/>
    <x v="253"/>
    <x v="406"/>
    <x v="1"/>
    <x v="3"/>
    <x v="268"/>
    <x v="217"/>
    <x v="1"/>
    <x v="24"/>
    <x v="0"/>
    <x v="0"/>
    <x v="1"/>
    <x v="3"/>
    <x v="3"/>
    <x v="1"/>
    <x v="1"/>
    <x v="1"/>
    <x v="1"/>
    <x v="1"/>
    <x v="109"/>
    <x v="1"/>
    <x v="5"/>
    <x v="2"/>
    <x v="257"/>
    <x v="12"/>
    <x v="1"/>
    <x v="5"/>
    <x v="2"/>
    <x v="1"/>
    <x v="301"/>
    <x v="0"/>
    <x v="153"/>
  </r>
  <r>
    <x v="509"/>
    <x v="257"/>
    <x v="257"/>
    <x v="253"/>
    <x v="407"/>
    <x v="1"/>
    <x v="3"/>
    <x v="268"/>
    <x v="217"/>
    <x v="1"/>
    <x v="24"/>
    <x v="0"/>
    <x v="0"/>
    <x v="3"/>
    <x v="1"/>
    <x v="1"/>
    <x v="2"/>
    <x v="1"/>
    <x v="3"/>
    <x v="1"/>
    <x v="1"/>
    <x v="110"/>
    <x v="1"/>
    <x v="3"/>
    <x v="4"/>
    <x v="257"/>
    <x v="2"/>
    <x v="3"/>
    <x v="0"/>
    <x v="1"/>
    <x v="0"/>
    <x v="302"/>
    <x v="152"/>
    <x v="154"/>
  </r>
  <r>
    <x v="510"/>
    <x v="258"/>
    <x v="258"/>
    <x v="254"/>
    <x v="408"/>
    <x v="3"/>
    <x v="2"/>
    <x v="269"/>
    <x v="218"/>
    <x v="1"/>
    <x v="33"/>
    <x v="0"/>
    <x v="0"/>
    <x v="1"/>
    <x v="3"/>
    <x v="2"/>
    <x v="2"/>
    <x v="1"/>
    <x v="3"/>
    <x v="1"/>
    <x v="1"/>
    <x v="111"/>
    <x v="1"/>
    <x v="1"/>
    <x v="2"/>
    <x v="258"/>
    <x v="11"/>
    <x v="3"/>
    <x v="0"/>
    <x v="1"/>
    <x v="0"/>
    <x v="303"/>
    <x v="153"/>
    <x v="155"/>
  </r>
  <r>
    <x v="511"/>
    <x v="193"/>
    <x v="191"/>
    <x v="189"/>
    <x v="409"/>
    <x v="1"/>
    <x v="2"/>
    <x v="202"/>
    <x v="165"/>
    <x v="1"/>
    <x v="31"/>
    <x v="0"/>
    <x v="0"/>
    <x v="1"/>
    <x v="1"/>
    <x v="1"/>
    <x v="2"/>
    <x v="1"/>
    <x v="1"/>
    <x v="1"/>
    <x v="1"/>
    <x v="111"/>
    <x v="1"/>
    <x v="1"/>
    <x v="2"/>
    <x v="191"/>
    <x v="12"/>
    <x v="1"/>
    <x v="1"/>
    <x v="1"/>
    <x v="0"/>
    <x v="304"/>
    <x v="154"/>
    <x v="156"/>
  </r>
  <r>
    <x v="512"/>
    <x v="259"/>
    <x v="259"/>
    <x v="255"/>
    <x v="410"/>
    <x v="1"/>
    <x v="2"/>
    <x v="270"/>
    <x v="219"/>
    <x v="1"/>
    <x v="3"/>
    <x v="0"/>
    <x v="0"/>
    <x v="1"/>
    <x v="1"/>
    <x v="1"/>
    <x v="2"/>
    <x v="1"/>
    <x v="1"/>
    <x v="1"/>
    <x v="2"/>
    <x v="0"/>
    <x v="1"/>
    <x v="5"/>
    <x v="2"/>
    <x v="259"/>
    <x v="12"/>
    <x v="0"/>
    <x v="0"/>
    <x v="1"/>
    <x v="0"/>
    <x v="0"/>
    <x v="0"/>
    <x v="0"/>
  </r>
  <r>
    <x v="513"/>
    <x v="169"/>
    <x v="169"/>
    <x v="167"/>
    <x v="404"/>
    <x v="1"/>
    <x v="2"/>
    <x v="177"/>
    <x v="196"/>
    <x v="6"/>
    <x v="0"/>
    <x v="0"/>
    <x v="13"/>
    <x v="3"/>
    <x v="1"/>
    <x v="1"/>
    <x v="1"/>
    <x v="1"/>
    <x v="2"/>
    <x v="1"/>
    <x v="1"/>
    <x v="111"/>
    <x v="2"/>
    <x v="3"/>
    <x v="4"/>
    <x v="168"/>
    <x v="12"/>
    <x v="1"/>
    <x v="2"/>
    <x v="2"/>
    <x v="1"/>
    <x v="305"/>
    <x v="155"/>
    <x v="157"/>
  </r>
  <r>
    <x v="514"/>
    <x v="260"/>
    <x v="260"/>
    <x v="256"/>
    <x v="411"/>
    <x v="1"/>
    <x v="2"/>
    <x v="271"/>
    <x v="131"/>
    <x v="1"/>
    <x v="31"/>
    <x v="0"/>
    <x v="0"/>
    <x v="1"/>
    <x v="1"/>
    <x v="1"/>
    <x v="2"/>
    <x v="1"/>
    <x v="3"/>
    <x v="1"/>
    <x v="1"/>
    <x v="110"/>
    <x v="1"/>
    <x v="6"/>
    <x v="3"/>
    <x v="260"/>
    <x v="4"/>
    <x v="1"/>
    <x v="0"/>
    <x v="1"/>
    <x v="0"/>
    <x v="306"/>
    <x v="156"/>
    <x v="0"/>
  </r>
  <r>
    <x v="515"/>
    <x v="170"/>
    <x v="170"/>
    <x v="168"/>
    <x v="412"/>
    <x v="1"/>
    <x v="2"/>
    <x v="179"/>
    <x v="196"/>
    <x v="7"/>
    <x v="0"/>
    <x v="0"/>
    <x v="0"/>
    <x v="1"/>
    <x v="2"/>
    <x v="3"/>
    <x v="2"/>
    <x v="1"/>
    <x v="2"/>
    <x v="1"/>
    <x v="1"/>
    <x v="110"/>
    <x v="1"/>
    <x v="6"/>
    <x v="3"/>
    <x v="169"/>
    <x v="4"/>
    <x v="3"/>
    <x v="0"/>
    <x v="1"/>
    <x v="0"/>
    <x v="307"/>
    <x v="157"/>
    <x v="0"/>
  </r>
  <r>
    <x v="516"/>
    <x v="261"/>
    <x v="261"/>
    <x v="257"/>
    <x v="413"/>
    <x v="3"/>
    <x v="2"/>
    <x v="272"/>
    <x v="220"/>
    <x v="1"/>
    <x v="9"/>
    <x v="0"/>
    <x v="0"/>
    <x v="1"/>
    <x v="1"/>
    <x v="1"/>
    <x v="1"/>
    <x v="1"/>
    <x v="2"/>
    <x v="1"/>
    <x v="1"/>
    <x v="110"/>
    <x v="1"/>
    <x v="6"/>
    <x v="3"/>
    <x v="261"/>
    <x v="4"/>
    <x v="1"/>
    <x v="1"/>
    <x v="1"/>
    <x v="0"/>
    <x v="308"/>
    <x v="158"/>
    <x v="158"/>
  </r>
  <r>
    <x v="517"/>
    <x v="169"/>
    <x v="169"/>
    <x v="167"/>
    <x v="0"/>
    <x v="1"/>
    <x v="2"/>
    <x v="177"/>
    <x v="196"/>
    <x v="6"/>
    <x v="0"/>
    <x v="0"/>
    <x v="13"/>
    <x v="3"/>
    <x v="1"/>
    <x v="1"/>
    <x v="2"/>
    <x v="1"/>
    <x v="2"/>
    <x v="1"/>
    <x v="1"/>
    <x v="112"/>
    <x v="2"/>
    <x v="3"/>
    <x v="4"/>
    <x v="168"/>
    <x v="4"/>
    <x v="1"/>
    <x v="1"/>
    <x v="1"/>
    <x v="0"/>
    <x v="309"/>
    <x v="159"/>
    <x v="159"/>
  </r>
  <r>
    <x v="518"/>
    <x v="260"/>
    <x v="260"/>
    <x v="256"/>
    <x v="0"/>
    <x v="1"/>
    <x v="2"/>
    <x v="271"/>
    <x v="131"/>
    <x v="1"/>
    <x v="31"/>
    <x v="0"/>
    <x v="0"/>
    <x v="3"/>
    <x v="1"/>
    <x v="1"/>
    <x v="2"/>
    <x v="1"/>
    <x v="2"/>
    <x v="1"/>
    <x v="2"/>
    <x v="0"/>
    <x v="2"/>
    <x v="3"/>
    <x v="4"/>
    <x v="260"/>
    <x v="12"/>
    <x v="0"/>
    <x v="0"/>
    <x v="1"/>
    <x v="0"/>
    <x v="0"/>
    <x v="0"/>
    <x v="0"/>
  </r>
  <r>
    <x v="519"/>
    <x v="262"/>
    <x v="262"/>
    <x v="258"/>
    <x v="414"/>
    <x v="3"/>
    <x v="1"/>
    <x v="273"/>
    <x v="221"/>
    <x v="1"/>
    <x v="15"/>
    <x v="0"/>
    <x v="0"/>
    <x v="1"/>
    <x v="3"/>
    <x v="3"/>
    <x v="2"/>
    <x v="1"/>
    <x v="1"/>
    <x v="1"/>
    <x v="1"/>
    <x v="113"/>
    <x v="2"/>
    <x v="1"/>
    <x v="2"/>
    <x v="262"/>
    <x v="12"/>
    <x v="1"/>
    <x v="7"/>
    <x v="1"/>
    <x v="0"/>
    <x v="310"/>
    <x v="160"/>
    <x v="160"/>
  </r>
  <r>
    <x v="520"/>
    <x v="263"/>
    <x v="263"/>
    <x v="259"/>
    <x v="415"/>
    <x v="1"/>
    <x v="2"/>
    <x v="274"/>
    <x v="215"/>
    <x v="1"/>
    <x v="24"/>
    <x v="0"/>
    <x v="0"/>
    <x v="1"/>
    <x v="1"/>
    <x v="1"/>
    <x v="2"/>
    <x v="1"/>
    <x v="2"/>
    <x v="1"/>
    <x v="2"/>
    <x v="0"/>
    <x v="1"/>
    <x v="1"/>
    <x v="2"/>
    <x v="263"/>
    <x v="12"/>
    <x v="0"/>
    <x v="0"/>
    <x v="1"/>
    <x v="0"/>
    <x v="0"/>
    <x v="0"/>
    <x v="0"/>
  </r>
  <r>
    <x v="521"/>
    <x v="262"/>
    <x v="262"/>
    <x v="258"/>
    <x v="0"/>
    <x v="3"/>
    <x v="1"/>
    <x v="273"/>
    <x v="221"/>
    <x v="1"/>
    <x v="15"/>
    <x v="0"/>
    <x v="0"/>
    <x v="3"/>
    <x v="1"/>
    <x v="1"/>
    <x v="2"/>
    <x v="1"/>
    <x v="2"/>
    <x v="1"/>
    <x v="1"/>
    <x v="114"/>
    <x v="2"/>
    <x v="3"/>
    <x v="4"/>
    <x v="262"/>
    <x v="12"/>
    <x v="1"/>
    <x v="7"/>
    <x v="1"/>
    <x v="0"/>
    <x v="311"/>
    <x v="0"/>
    <x v="161"/>
  </r>
  <r>
    <x v="522"/>
    <x v="264"/>
    <x v="264"/>
    <x v="260"/>
    <x v="416"/>
    <x v="1"/>
    <x v="2"/>
    <x v="275"/>
    <x v="222"/>
    <x v="1"/>
    <x v="113"/>
    <x v="0"/>
    <x v="0"/>
    <x v="1"/>
    <x v="1"/>
    <x v="1"/>
    <x v="2"/>
    <x v="1"/>
    <x v="2"/>
    <x v="1"/>
    <x v="2"/>
    <x v="0"/>
    <x v="1"/>
    <x v="1"/>
    <x v="2"/>
    <x v="264"/>
    <x v="12"/>
    <x v="0"/>
    <x v="0"/>
    <x v="1"/>
    <x v="0"/>
    <x v="0"/>
    <x v="0"/>
    <x v="0"/>
  </r>
  <r>
    <x v="523"/>
    <x v="245"/>
    <x v="245"/>
    <x v="241"/>
    <x v="417"/>
    <x v="1"/>
    <x v="2"/>
    <x v="4"/>
    <x v="208"/>
    <x v="1"/>
    <x v="15"/>
    <x v="0"/>
    <x v="0"/>
    <x v="1"/>
    <x v="1"/>
    <x v="1"/>
    <x v="2"/>
    <x v="1"/>
    <x v="1"/>
    <x v="1"/>
    <x v="1"/>
    <x v="114"/>
    <x v="1"/>
    <x v="6"/>
    <x v="2"/>
    <x v="245"/>
    <x v="3"/>
    <x v="1"/>
    <x v="7"/>
    <x v="1"/>
    <x v="0"/>
    <x v="312"/>
    <x v="0"/>
    <x v="0"/>
  </r>
  <r>
    <x v="524"/>
    <x v="262"/>
    <x v="262"/>
    <x v="258"/>
    <x v="0"/>
    <x v="3"/>
    <x v="1"/>
    <x v="273"/>
    <x v="196"/>
    <x v="6"/>
    <x v="0"/>
    <x v="0"/>
    <x v="1"/>
    <x v="3"/>
    <x v="4"/>
    <x v="1"/>
    <x v="2"/>
    <x v="1"/>
    <x v="2"/>
    <x v="1"/>
    <x v="2"/>
    <x v="0"/>
    <x v="2"/>
    <x v="3"/>
    <x v="4"/>
    <x v="262"/>
    <x v="12"/>
    <x v="0"/>
    <x v="0"/>
    <x v="1"/>
    <x v="0"/>
    <x v="0"/>
    <x v="0"/>
    <x v="0"/>
  </r>
  <r>
    <x v="525"/>
    <x v="245"/>
    <x v="245"/>
    <x v="241"/>
    <x v="0"/>
    <x v="1"/>
    <x v="3"/>
    <x v="4"/>
    <x v="208"/>
    <x v="1"/>
    <x v="15"/>
    <x v="0"/>
    <x v="0"/>
    <x v="3"/>
    <x v="1"/>
    <x v="1"/>
    <x v="2"/>
    <x v="1"/>
    <x v="2"/>
    <x v="1"/>
    <x v="2"/>
    <x v="0"/>
    <x v="2"/>
    <x v="3"/>
    <x v="4"/>
    <x v="245"/>
    <x v="12"/>
    <x v="0"/>
    <x v="0"/>
    <x v="1"/>
    <x v="0"/>
    <x v="0"/>
    <x v="0"/>
    <x v="162"/>
  </r>
  <r>
    <x v="526"/>
    <x v="265"/>
    <x v="265"/>
    <x v="261"/>
    <x v="418"/>
    <x v="1"/>
    <x v="2"/>
    <x v="276"/>
    <x v="220"/>
    <x v="1"/>
    <x v="2"/>
    <x v="0"/>
    <x v="0"/>
    <x v="1"/>
    <x v="1"/>
    <x v="1"/>
    <x v="1"/>
    <x v="1"/>
    <x v="3"/>
    <x v="1"/>
    <x v="1"/>
    <x v="114"/>
    <x v="1"/>
    <x v="6"/>
    <x v="2"/>
    <x v="265"/>
    <x v="12"/>
    <x v="1"/>
    <x v="7"/>
    <x v="2"/>
    <x v="1"/>
    <x v="313"/>
    <x v="0"/>
    <x v="163"/>
  </r>
  <r>
    <x v="527"/>
    <x v="265"/>
    <x v="265"/>
    <x v="261"/>
    <x v="419"/>
    <x v="1"/>
    <x v="2"/>
    <x v="276"/>
    <x v="220"/>
    <x v="1"/>
    <x v="2"/>
    <x v="0"/>
    <x v="0"/>
    <x v="3"/>
    <x v="1"/>
    <x v="1"/>
    <x v="2"/>
    <x v="1"/>
    <x v="2"/>
    <x v="1"/>
    <x v="2"/>
    <x v="0"/>
    <x v="1"/>
    <x v="3"/>
    <x v="4"/>
    <x v="265"/>
    <x v="12"/>
    <x v="0"/>
    <x v="0"/>
    <x v="1"/>
    <x v="0"/>
    <x v="0"/>
    <x v="0"/>
    <x v="164"/>
  </r>
  <r>
    <x v="528"/>
    <x v="266"/>
    <x v="266"/>
    <x v="262"/>
    <x v="420"/>
    <x v="1"/>
    <x v="2"/>
    <x v="277"/>
    <x v="43"/>
    <x v="1"/>
    <x v="2"/>
    <x v="0"/>
    <x v="0"/>
    <x v="1"/>
    <x v="2"/>
    <x v="3"/>
    <x v="2"/>
    <x v="1"/>
    <x v="2"/>
    <x v="1"/>
    <x v="1"/>
    <x v="115"/>
    <x v="1"/>
    <x v="6"/>
    <x v="2"/>
    <x v="266"/>
    <x v="5"/>
    <x v="3"/>
    <x v="0"/>
    <x v="1"/>
    <x v="0"/>
    <x v="314"/>
    <x v="161"/>
    <x v="0"/>
  </r>
  <r>
    <x v="529"/>
    <x v="169"/>
    <x v="169"/>
    <x v="167"/>
    <x v="0"/>
    <x v="1"/>
    <x v="2"/>
    <x v="177"/>
    <x v="196"/>
    <x v="6"/>
    <x v="0"/>
    <x v="0"/>
    <x v="13"/>
    <x v="3"/>
    <x v="1"/>
    <x v="1"/>
    <x v="2"/>
    <x v="1"/>
    <x v="2"/>
    <x v="1"/>
    <x v="2"/>
    <x v="0"/>
    <x v="2"/>
    <x v="3"/>
    <x v="4"/>
    <x v="168"/>
    <x v="5"/>
    <x v="0"/>
    <x v="0"/>
    <x v="1"/>
    <x v="0"/>
    <x v="0"/>
    <x v="0"/>
    <x v="165"/>
  </r>
  <r>
    <x v="530"/>
    <x v="261"/>
    <x v="261"/>
    <x v="257"/>
    <x v="0"/>
    <x v="3"/>
    <x v="2"/>
    <x v="272"/>
    <x v="220"/>
    <x v="1"/>
    <x v="9"/>
    <x v="0"/>
    <x v="0"/>
    <x v="3"/>
    <x v="1"/>
    <x v="1"/>
    <x v="2"/>
    <x v="1"/>
    <x v="2"/>
    <x v="1"/>
    <x v="2"/>
    <x v="0"/>
    <x v="2"/>
    <x v="3"/>
    <x v="4"/>
    <x v="261"/>
    <x v="5"/>
    <x v="0"/>
    <x v="0"/>
    <x v="1"/>
    <x v="0"/>
    <x v="0"/>
    <x v="0"/>
    <x v="166"/>
  </r>
  <r>
    <x v="531"/>
    <x v="193"/>
    <x v="191"/>
    <x v="189"/>
    <x v="0"/>
    <x v="1"/>
    <x v="2"/>
    <x v="202"/>
    <x v="165"/>
    <x v="1"/>
    <x v="31"/>
    <x v="0"/>
    <x v="0"/>
    <x v="3"/>
    <x v="1"/>
    <x v="1"/>
    <x v="1"/>
    <x v="1"/>
    <x v="2"/>
    <x v="1"/>
    <x v="1"/>
    <x v="115"/>
    <x v="2"/>
    <x v="3"/>
    <x v="4"/>
    <x v="191"/>
    <x v="5"/>
    <x v="3"/>
    <x v="0"/>
    <x v="1"/>
    <x v="0"/>
    <x v="315"/>
    <x v="0"/>
    <x v="167"/>
  </r>
  <r>
    <x v="532"/>
    <x v="48"/>
    <x v="37"/>
    <x v="37"/>
    <x v="421"/>
    <x v="3"/>
    <x v="2"/>
    <x v="40"/>
    <x v="41"/>
    <x v="1"/>
    <x v="15"/>
    <x v="0"/>
    <x v="0"/>
    <x v="1"/>
    <x v="2"/>
    <x v="3"/>
    <x v="2"/>
    <x v="1"/>
    <x v="2"/>
    <x v="1"/>
    <x v="1"/>
    <x v="115"/>
    <x v="1"/>
    <x v="6"/>
    <x v="2"/>
    <x v="37"/>
    <x v="5"/>
    <x v="3"/>
    <x v="0"/>
    <x v="1"/>
    <x v="0"/>
    <x v="316"/>
    <x v="162"/>
    <x v="0"/>
  </r>
  <r>
    <x v="533"/>
    <x v="135"/>
    <x v="135"/>
    <x v="133"/>
    <x v="422"/>
    <x v="1"/>
    <x v="2"/>
    <x v="139"/>
    <x v="119"/>
    <x v="1"/>
    <x v="114"/>
    <x v="0"/>
    <x v="0"/>
    <x v="1"/>
    <x v="1"/>
    <x v="1"/>
    <x v="2"/>
    <x v="1"/>
    <x v="2"/>
    <x v="1"/>
    <x v="1"/>
    <x v="115"/>
    <x v="1"/>
    <x v="6"/>
    <x v="2"/>
    <x v="267"/>
    <x v="12"/>
    <x v="1"/>
    <x v="7"/>
    <x v="2"/>
    <x v="1"/>
    <x v="317"/>
    <x v="0"/>
    <x v="0"/>
  </r>
  <r>
    <x v="534"/>
    <x v="135"/>
    <x v="135"/>
    <x v="133"/>
    <x v="422"/>
    <x v="1"/>
    <x v="2"/>
    <x v="139"/>
    <x v="223"/>
    <x v="1"/>
    <x v="114"/>
    <x v="0"/>
    <x v="0"/>
    <x v="3"/>
    <x v="3"/>
    <x v="3"/>
    <x v="1"/>
    <x v="1"/>
    <x v="2"/>
    <x v="1"/>
    <x v="1"/>
    <x v="116"/>
    <x v="1"/>
    <x v="3"/>
    <x v="4"/>
    <x v="267"/>
    <x v="12"/>
    <x v="1"/>
    <x v="7"/>
    <x v="1"/>
    <x v="0"/>
    <x v="318"/>
    <x v="0"/>
    <x v="168"/>
  </r>
  <r>
    <x v="535"/>
    <x v="267"/>
    <x v="267"/>
    <x v="263"/>
    <x v="423"/>
    <x v="1"/>
    <x v="2"/>
    <x v="278"/>
    <x v="224"/>
    <x v="1"/>
    <x v="15"/>
    <x v="0"/>
    <x v="0"/>
    <x v="1"/>
    <x v="1"/>
    <x v="1"/>
    <x v="2"/>
    <x v="1"/>
    <x v="2"/>
    <x v="1"/>
    <x v="2"/>
    <x v="115"/>
    <x v="1"/>
    <x v="6"/>
    <x v="2"/>
    <x v="268"/>
    <x v="12"/>
    <x v="1"/>
    <x v="7"/>
    <x v="2"/>
    <x v="1"/>
    <x v="319"/>
    <x v="0"/>
    <x v="169"/>
  </r>
  <r>
    <x v="536"/>
    <x v="268"/>
    <x v="268"/>
    <x v="264"/>
    <x v="424"/>
    <x v="3"/>
    <x v="2"/>
    <x v="279"/>
    <x v="225"/>
    <x v="2"/>
    <x v="0"/>
    <x v="2"/>
    <x v="0"/>
    <x v="1"/>
    <x v="1"/>
    <x v="1"/>
    <x v="2"/>
    <x v="1"/>
    <x v="2"/>
    <x v="1"/>
    <x v="1"/>
    <x v="116"/>
    <x v="1"/>
    <x v="6"/>
    <x v="2"/>
    <x v="269"/>
    <x v="12"/>
    <x v="3"/>
    <x v="0"/>
    <x v="1"/>
    <x v="0"/>
    <x v="320"/>
    <x v="163"/>
    <x v="170"/>
  </r>
  <r>
    <x v="537"/>
    <x v="267"/>
    <x v="267"/>
    <x v="263"/>
    <x v="425"/>
    <x v="1"/>
    <x v="2"/>
    <x v="278"/>
    <x v="226"/>
    <x v="2"/>
    <x v="0"/>
    <x v="2"/>
    <x v="0"/>
    <x v="3"/>
    <x v="1"/>
    <x v="1"/>
    <x v="2"/>
    <x v="1"/>
    <x v="2"/>
    <x v="1"/>
    <x v="2"/>
    <x v="0"/>
    <x v="1"/>
    <x v="3"/>
    <x v="4"/>
    <x v="268"/>
    <x v="12"/>
    <x v="0"/>
    <x v="0"/>
    <x v="1"/>
    <x v="0"/>
    <x v="0"/>
    <x v="0"/>
    <x v="0"/>
  </r>
  <r>
    <x v="538"/>
    <x v="269"/>
    <x v="269"/>
    <x v="265"/>
    <x v="426"/>
    <x v="2"/>
    <x v="3"/>
    <x v="280"/>
    <x v="10"/>
    <x v="1"/>
    <x v="1"/>
    <x v="0"/>
    <x v="0"/>
    <x v="2"/>
    <x v="2"/>
    <x v="3"/>
    <x v="1"/>
    <x v="2"/>
    <x v="3"/>
    <x v="1"/>
    <x v="1"/>
    <x v="116"/>
    <x v="1"/>
    <x v="2"/>
    <x v="2"/>
    <x v="270"/>
    <x v="12"/>
    <x v="1"/>
    <x v="4"/>
    <x v="2"/>
    <x v="1"/>
    <x v="321"/>
    <x v="0"/>
    <x v="171"/>
  </r>
  <r>
    <x v="539"/>
    <x v="256"/>
    <x v="256"/>
    <x v="252"/>
    <x v="427"/>
    <x v="1"/>
    <x v="2"/>
    <x v="267"/>
    <x v="227"/>
    <x v="1"/>
    <x v="33"/>
    <x v="0"/>
    <x v="0"/>
    <x v="1"/>
    <x v="3"/>
    <x v="2"/>
    <x v="2"/>
    <x v="1"/>
    <x v="2"/>
    <x v="1"/>
    <x v="1"/>
    <x v="117"/>
    <x v="1"/>
    <x v="4"/>
    <x v="2"/>
    <x v="256"/>
    <x v="12"/>
    <x v="3"/>
    <x v="0"/>
    <x v="1"/>
    <x v="0"/>
    <x v="322"/>
    <x v="164"/>
    <x v="0"/>
  </r>
  <r>
    <x v="540"/>
    <x v="270"/>
    <x v="270"/>
    <x v="266"/>
    <x v="428"/>
    <x v="3"/>
    <x v="2"/>
    <x v="281"/>
    <x v="24"/>
    <x v="1"/>
    <x v="15"/>
    <x v="0"/>
    <x v="0"/>
    <x v="1"/>
    <x v="1"/>
    <x v="1"/>
    <x v="2"/>
    <x v="1"/>
    <x v="3"/>
    <x v="1"/>
    <x v="2"/>
    <x v="0"/>
    <x v="1"/>
    <x v="1"/>
    <x v="2"/>
    <x v="271"/>
    <x v="11"/>
    <x v="0"/>
    <x v="0"/>
    <x v="1"/>
    <x v="0"/>
    <x v="0"/>
    <x v="0"/>
    <x v="0"/>
  </r>
  <r>
    <x v="541"/>
    <x v="135"/>
    <x v="135"/>
    <x v="133"/>
    <x v="0"/>
    <x v="1"/>
    <x v="2"/>
    <x v="139"/>
    <x v="119"/>
    <x v="1"/>
    <x v="114"/>
    <x v="0"/>
    <x v="0"/>
    <x v="3"/>
    <x v="1"/>
    <x v="1"/>
    <x v="2"/>
    <x v="1"/>
    <x v="2"/>
    <x v="1"/>
    <x v="1"/>
    <x v="116"/>
    <x v="2"/>
    <x v="3"/>
    <x v="4"/>
    <x v="267"/>
    <x v="12"/>
    <x v="3"/>
    <x v="0"/>
    <x v="1"/>
    <x v="0"/>
    <x v="323"/>
    <x v="165"/>
    <x v="172"/>
  </r>
  <r>
    <x v="542"/>
    <x v="269"/>
    <x v="269"/>
    <x v="265"/>
    <x v="429"/>
    <x v="2"/>
    <x v="3"/>
    <x v="280"/>
    <x v="228"/>
    <x v="1"/>
    <x v="1"/>
    <x v="0"/>
    <x v="0"/>
    <x v="3"/>
    <x v="3"/>
    <x v="3"/>
    <x v="2"/>
    <x v="2"/>
    <x v="1"/>
    <x v="1"/>
    <x v="1"/>
    <x v="118"/>
    <x v="1"/>
    <x v="3"/>
    <x v="4"/>
    <x v="270"/>
    <x v="1"/>
    <x v="1"/>
    <x v="4"/>
    <x v="2"/>
    <x v="1"/>
    <x v="324"/>
    <x v="0"/>
    <x v="0"/>
  </r>
  <r>
    <x v="543"/>
    <x v="269"/>
    <x v="269"/>
    <x v="265"/>
    <x v="430"/>
    <x v="2"/>
    <x v="3"/>
    <x v="280"/>
    <x v="95"/>
    <x v="1"/>
    <x v="2"/>
    <x v="0"/>
    <x v="0"/>
    <x v="3"/>
    <x v="1"/>
    <x v="1"/>
    <x v="2"/>
    <x v="2"/>
    <x v="1"/>
    <x v="1"/>
    <x v="1"/>
    <x v="117"/>
    <x v="1"/>
    <x v="3"/>
    <x v="4"/>
    <x v="270"/>
    <x v="1"/>
    <x v="1"/>
    <x v="4"/>
    <x v="2"/>
    <x v="1"/>
    <x v="325"/>
    <x v="0"/>
    <x v="0"/>
  </r>
  <r>
    <x v="544"/>
    <x v="233"/>
    <x v="232"/>
    <x v="229"/>
    <x v="431"/>
    <x v="1"/>
    <x v="1"/>
    <x v="243"/>
    <x v="199"/>
    <x v="1"/>
    <x v="2"/>
    <x v="0"/>
    <x v="0"/>
    <x v="1"/>
    <x v="1"/>
    <x v="1"/>
    <x v="2"/>
    <x v="1"/>
    <x v="2"/>
    <x v="1"/>
    <x v="2"/>
    <x v="0"/>
    <x v="1"/>
    <x v="1"/>
    <x v="2"/>
    <x v="233"/>
    <x v="4"/>
    <x v="0"/>
    <x v="0"/>
    <x v="1"/>
    <x v="0"/>
    <x v="0"/>
    <x v="0"/>
    <x v="0"/>
  </r>
  <r>
    <x v="545"/>
    <x v="269"/>
    <x v="269"/>
    <x v="265"/>
    <x v="432"/>
    <x v="2"/>
    <x v="3"/>
    <x v="280"/>
    <x v="95"/>
    <x v="1"/>
    <x v="1"/>
    <x v="0"/>
    <x v="0"/>
    <x v="3"/>
    <x v="1"/>
    <x v="1"/>
    <x v="2"/>
    <x v="2"/>
    <x v="1"/>
    <x v="1"/>
    <x v="2"/>
    <x v="0"/>
    <x v="1"/>
    <x v="3"/>
    <x v="4"/>
    <x v="270"/>
    <x v="1"/>
    <x v="0"/>
    <x v="0"/>
    <x v="1"/>
    <x v="0"/>
    <x v="0"/>
    <x v="0"/>
    <x v="0"/>
  </r>
  <r>
    <x v="546"/>
    <x v="271"/>
    <x v="271"/>
    <x v="267"/>
    <x v="433"/>
    <x v="1"/>
    <x v="2"/>
    <x v="282"/>
    <x v="115"/>
    <x v="1"/>
    <x v="3"/>
    <x v="0"/>
    <x v="0"/>
    <x v="1"/>
    <x v="1"/>
    <x v="1"/>
    <x v="2"/>
    <x v="1"/>
    <x v="2"/>
    <x v="1"/>
    <x v="1"/>
    <x v="119"/>
    <x v="1"/>
    <x v="1"/>
    <x v="2"/>
    <x v="272"/>
    <x v="4"/>
    <x v="1"/>
    <x v="2"/>
    <x v="1"/>
    <x v="0"/>
    <x v="326"/>
    <x v="166"/>
    <x v="0"/>
  </r>
  <r>
    <x v="547"/>
    <x v="272"/>
    <x v="272"/>
    <x v="268"/>
    <x v="434"/>
    <x v="1"/>
    <x v="3"/>
    <x v="283"/>
    <x v="10"/>
    <x v="2"/>
    <x v="0"/>
    <x v="9"/>
    <x v="0"/>
    <x v="1"/>
    <x v="1"/>
    <x v="1"/>
    <x v="2"/>
    <x v="1"/>
    <x v="1"/>
    <x v="1"/>
    <x v="1"/>
    <x v="117"/>
    <x v="1"/>
    <x v="1"/>
    <x v="2"/>
    <x v="273"/>
    <x v="1"/>
    <x v="1"/>
    <x v="5"/>
    <x v="2"/>
    <x v="1"/>
    <x v="327"/>
    <x v="0"/>
    <x v="0"/>
  </r>
  <r>
    <x v="548"/>
    <x v="272"/>
    <x v="273"/>
    <x v="268"/>
    <x v="435"/>
    <x v="1"/>
    <x v="3"/>
    <x v="283"/>
    <x v="10"/>
    <x v="2"/>
    <x v="0"/>
    <x v="6"/>
    <x v="0"/>
    <x v="3"/>
    <x v="3"/>
    <x v="3"/>
    <x v="2"/>
    <x v="1"/>
    <x v="2"/>
    <x v="1"/>
    <x v="1"/>
    <x v="119"/>
    <x v="1"/>
    <x v="3"/>
    <x v="4"/>
    <x v="273"/>
    <x v="2"/>
    <x v="1"/>
    <x v="2"/>
    <x v="1"/>
    <x v="0"/>
    <x v="328"/>
    <x v="167"/>
    <x v="173"/>
  </r>
  <r>
    <x v="549"/>
    <x v="273"/>
    <x v="274"/>
    <x v="269"/>
    <x v="436"/>
    <x v="1"/>
    <x v="3"/>
    <x v="284"/>
    <x v="27"/>
    <x v="1"/>
    <x v="9"/>
    <x v="0"/>
    <x v="0"/>
    <x v="1"/>
    <x v="3"/>
    <x v="2"/>
    <x v="2"/>
    <x v="1"/>
    <x v="1"/>
    <x v="1"/>
    <x v="1"/>
    <x v="119"/>
    <x v="1"/>
    <x v="1"/>
    <x v="2"/>
    <x v="274"/>
    <x v="2"/>
    <x v="1"/>
    <x v="7"/>
    <x v="1"/>
    <x v="0"/>
    <x v="329"/>
    <x v="168"/>
    <x v="174"/>
  </r>
  <r>
    <x v="550"/>
    <x v="274"/>
    <x v="275"/>
    <x v="270"/>
    <x v="437"/>
    <x v="1"/>
    <x v="4"/>
    <x v="285"/>
    <x v="229"/>
    <x v="1"/>
    <x v="115"/>
    <x v="0"/>
    <x v="0"/>
    <x v="1"/>
    <x v="1"/>
    <x v="1"/>
    <x v="2"/>
    <x v="1"/>
    <x v="2"/>
    <x v="1"/>
    <x v="2"/>
    <x v="0"/>
    <x v="1"/>
    <x v="2"/>
    <x v="2"/>
    <x v="275"/>
    <x v="12"/>
    <x v="0"/>
    <x v="0"/>
    <x v="1"/>
    <x v="0"/>
    <x v="0"/>
    <x v="0"/>
    <x v="0"/>
  </r>
  <r>
    <x v="551"/>
    <x v="272"/>
    <x v="273"/>
    <x v="268"/>
    <x v="0"/>
    <x v="1"/>
    <x v="3"/>
    <x v="283"/>
    <x v="10"/>
    <x v="2"/>
    <x v="0"/>
    <x v="6"/>
    <x v="0"/>
    <x v="3"/>
    <x v="4"/>
    <x v="1"/>
    <x v="2"/>
    <x v="1"/>
    <x v="2"/>
    <x v="1"/>
    <x v="2"/>
    <x v="0"/>
    <x v="2"/>
    <x v="3"/>
    <x v="4"/>
    <x v="273"/>
    <x v="4"/>
    <x v="0"/>
    <x v="0"/>
    <x v="1"/>
    <x v="0"/>
    <x v="0"/>
    <x v="0"/>
    <x v="0"/>
  </r>
  <r>
    <x v="552"/>
    <x v="275"/>
    <x v="276"/>
    <x v="271"/>
    <x v="438"/>
    <x v="1"/>
    <x v="2"/>
    <x v="286"/>
    <x v="218"/>
    <x v="1"/>
    <x v="3"/>
    <x v="0"/>
    <x v="0"/>
    <x v="1"/>
    <x v="3"/>
    <x v="2"/>
    <x v="2"/>
    <x v="1"/>
    <x v="2"/>
    <x v="1"/>
    <x v="1"/>
    <x v="120"/>
    <x v="1"/>
    <x v="1"/>
    <x v="2"/>
    <x v="276"/>
    <x v="12"/>
    <x v="1"/>
    <x v="1"/>
    <x v="1"/>
    <x v="0"/>
    <x v="330"/>
    <x v="0"/>
    <x v="175"/>
  </r>
  <r>
    <x v="553"/>
    <x v="271"/>
    <x v="271"/>
    <x v="267"/>
    <x v="0"/>
    <x v="1"/>
    <x v="2"/>
    <x v="282"/>
    <x v="115"/>
    <x v="1"/>
    <x v="3"/>
    <x v="0"/>
    <x v="0"/>
    <x v="3"/>
    <x v="3"/>
    <x v="2"/>
    <x v="2"/>
    <x v="1"/>
    <x v="2"/>
    <x v="1"/>
    <x v="1"/>
    <x v="121"/>
    <x v="2"/>
    <x v="3"/>
    <x v="4"/>
    <x v="272"/>
    <x v="4"/>
    <x v="3"/>
    <x v="0"/>
    <x v="1"/>
    <x v="0"/>
    <x v="331"/>
    <x v="169"/>
    <x v="176"/>
  </r>
  <r>
    <x v="554"/>
    <x v="273"/>
    <x v="274"/>
    <x v="269"/>
    <x v="0"/>
    <x v="1"/>
    <x v="3"/>
    <x v="287"/>
    <x v="27"/>
    <x v="1"/>
    <x v="9"/>
    <x v="0"/>
    <x v="0"/>
    <x v="3"/>
    <x v="5"/>
    <x v="1"/>
    <x v="1"/>
    <x v="1"/>
    <x v="2"/>
    <x v="1"/>
    <x v="2"/>
    <x v="0"/>
    <x v="1"/>
    <x v="3"/>
    <x v="4"/>
    <x v="274"/>
    <x v="12"/>
    <x v="0"/>
    <x v="0"/>
    <x v="1"/>
    <x v="0"/>
    <x v="0"/>
    <x v="0"/>
    <x v="177"/>
  </r>
  <r>
    <x v="555"/>
    <x v="275"/>
    <x v="276"/>
    <x v="271"/>
    <x v="0"/>
    <x v="1"/>
    <x v="2"/>
    <x v="286"/>
    <x v="218"/>
    <x v="1"/>
    <x v="3"/>
    <x v="0"/>
    <x v="0"/>
    <x v="3"/>
    <x v="3"/>
    <x v="2"/>
    <x v="2"/>
    <x v="1"/>
    <x v="2"/>
    <x v="1"/>
    <x v="1"/>
    <x v="122"/>
    <x v="2"/>
    <x v="3"/>
    <x v="4"/>
    <x v="276"/>
    <x v="5"/>
    <x v="1"/>
    <x v="4"/>
    <x v="2"/>
    <x v="1"/>
    <x v="332"/>
    <x v="170"/>
    <x v="178"/>
  </r>
  <r>
    <x v="556"/>
    <x v="276"/>
    <x v="277"/>
    <x v="272"/>
    <x v="439"/>
    <x v="1"/>
    <x v="2"/>
    <x v="288"/>
    <x v="60"/>
    <x v="1"/>
    <x v="22"/>
    <x v="0"/>
    <x v="0"/>
    <x v="1"/>
    <x v="2"/>
    <x v="3"/>
    <x v="2"/>
    <x v="1"/>
    <x v="2"/>
    <x v="1"/>
    <x v="1"/>
    <x v="123"/>
    <x v="1"/>
    <x v="6"/>
    <x v="3"/>
    <x v="277"/>
    <x v="5"/>
    <x v="1"/>
    <x v="4"/>
    <x v="1"/>
    <x v="0"/>
    <x v="333"/>
    <x v="171"/>
    <x v="179"/>
  </r>
  <r>
    <x v="557"/>
    <x v="277"/>
    <x v="278"/>
    <x v="273"/>
    <x v="440"/>
    <x v="1"/>
    <x v="2"/>
    <x v="289"/>
    <x v="230"/>
    <x v="1"/>
    <x v="116"/>
    <x v="0"/>
    <x v="0"/>
    <x v="1"/>
    <x v="1"/>
    <x v="1"/>
    <x v="2"/>
    <x v="1"/>
    <x v="3"/>
    <x v="1"/>
    <x v="2"/>
    <x v="0"/>
    <x v="1"/>
    <x v="6"/>
    <x v="2"/>
    <x v="278"/>
    <x v="1"/>
    <x v="0"/>
    <x v="0"/>
    <x v="1"/>
    <x v="0"/>
    <x v="0"/>
    <x v="0"/>
    <x v="0"/>
  </r>
  <r>
    <x v="558"/>
    <x v="278"/>
    <x v="279"/>
    <x v="274"/>
    <x v="441"/>
    <x v="1"/>
    <x v="2"/>
    <x v="290"/>
    <x v="231"/>
    <x v="1"/>
    <x v="117"/>
    <x v="0"/>
    <x v="0"/>
    <x v="1"/>
    <x v="1"/>
    <x v="2"/>
    <x v="2"/>
    <x v="1"/>
    <x v="2"/>
    <x v="1"/>
    <x v="1"/>
    <x v="122"/>
    <x v="1"/>
    <x v="6"/>
    <x v="3"/>
    <x v="279"/>
    <x v="5"/>
    <x v="3"/>
    <x v="0"/>
    <x v="1"/>
    <x v="0"/>
    <x v="332"/>
    <x v="172"/>
    <x v="180"/>
  </r>
  <r>
    <x v="559"/>
    <x v="141"/>
    <x v="141"/>
    <x v="139"/>
    <x v="442"/>
    <x v="1"/>
    <x v="1"/>
    <x v="145"/>
    <x v="125"/>
    <x v="1"/>
    <x v="9"/>
    <x v="0"/>
    <x v="0"/>
    <x v="1"/>
    <x v="1"/>
    <x v="1"/>
    <x v="2"/>
    <x v="1"/>
    <x v="3"/>
    <x v="1"/>
    <x v="2"/>
    <x v="0"/>
    <x v="1"/>
    <x v="1"/>
    <x v="2"/>
    <x v="140"/>
    <x v="3"/>
    <x v="0"/>
    <x v="0"/>
    <x v="1"/>
    <x v="0"/>
    <x v="0"/>
    <x v="0"/>
    <x v="0"/>
  </r>
  <r>
    <x v="560"/>
    <x v="266"/>
    <x v="266"/>
    <x v="262"/>
    <x v="443"/>
    <x v="1"/>
    <x v="2"/>
    <x v="277"/>
    <x v="158"/>
    <x v="1"/>
    <x v="27"/>
    <x v="0"/>
    <x v="0"/>
    <x v="1"/>
    <x v="2"/>
    <x v="3"/>
    <x v="2"/>
    <x v="1"/>
    <x v="1"/>
    <x v="1"/>
    <x v="1"/>
    <x v="122"/>
    <x v="1"/>
    <x v="1"/>
    <x v="2"/>
    <x v="266"/>
    <x v="1"/>
    <x v="1"/>
    <x v="5"/>
    <x v="1"/>
    <x v="0"/>
    <x v="334"/>
    <x v="173"/>
    <x v="178"/>
  </r>
  <r>
    <x v="561"/>
    <x v="276"/>
    <x v="277"/>
    <x v="272"/>
    <x v="0"/>
    <x v="1"/>
    <x v="2"/>
    <x v="288"/>
    <x v="60"/>
    <x v="1"/>
    <x v="4"/>
    <x v="0"/>
    <x v="0"/>
    <x v="3"/>
    <x v="6"/>
    <x v="3"/>
    <x v="2"/>
    <x v="1"/>
    <x v="2"/>
    <x v="1"/>
    <x v="1"/>
    <x v="122"/>
    <x v="1"/>
    <x v="3"/>
    <x v="4"/>
    <x v="277"/>
    <x v="1"/>
    <x v="1"/>
    <x v="4"/>
    <x v="1"/>
    <x v="0"/>
    <x v="335"/>
    <x v="174"/>
    <x v="178"/>
  </r>
  <r>
    <x v="562"/>
    <x v="140"/>
    <x v="140"/>
    <x v="138"/>
    <x v="444"/>
    <x v="3"/>
    <x v="2"/>
    <x v="144"/>
    <x v="123"/>
    <x v="1"/>
    <x v="118"/>
    <x v="0"/>
    <x v="0"/>
    <x v="1"/>
    <x v="1"/>
    <x v="1"/>
    <x v="2"/>
    <x v="1"/>
    <x v="1"/>
    <x v="1"/>
    <x v="2"/>
    <x v="0"/>
    <x v="1"/>
    <x v="1"/>
    <x v="2"/>
    <x v="139"/>
    <x v="12"/>
    <x v="0"/>
    <x v="0"/>
    <x v="1"/>
    <x v="0"/>
    <x v="0"/>
    <x v="0"/>
    <x v="0"/>
  </r>
  <r>
    <x v="563"/>
    <x v="148"/>
    <x v="148"/>
    <x v="146"/>
    <x v="445"/>
    <x v="1"/>
    <x v="2"/>
    <x v="153"/>
    <x v="129"/>
    <x v="1"/>
    <x v="79"/>
    <x v="0"/>
    <x v="0"/>
    <x v="1"/>
    <x v="3"/>
    <x v="3"/>
    <x v="2"/>
    <x v="1"/>
    <x v="2"/>
    <x v="1"/>
    <x v="1"/>
    <x v="124"/>
    <x v="1"/>
    <x v="5"/>
    <x v="2"/>
    <x v="147"/>
    <x v="12"/>
    <x v="1"/>
    <x v="7"/>
    <x v="1"/>
    <x v="0"/>
    <x v="336"/>
    <x v="0"/>
    <x v="181"/>
  </r>
  <r>
    <x v="564"/>
    <x v="276"/>
    <x v="277"/>
    <x v="272"/>
    <x v="0"/>
    <x v="1"/>
    <x v="2"/>
    <x v="288"/>
    <x v="60"/>
    <x v="1"/>
    <x v="4"/>
    <x v="0"/>
    <x v="0"/>
    <x v="3"/>
    <x v="4"/>
    <x v="1"/>
    <x v="2"/>
    <x v="1"/>
    <x v="2"/>
    <x v="1"/>
    <x v="2"/>
    <x v="0"/>
    <x v="2"/>
    <x v="3"/>
    <x v="4"/>
    <x v="277"/>
    <x v="1"/>
    <x v="0"/>
    <x v="0"/>
    <x v="1"/>
    <x v="0"/>
    <x v="0"/>
    <x v="0"/>
    <x v="0"/>
  </r>
  <r>
    <x v="565"/>
    <x v="266"/>
    <x v="266"/>
    <x v="262"/>
    <x v="0"/>
    <x v="1"/>
    <x v="2"/>
    <x v="291"/>
    <x v="10"/>
    <x v="2"/>
    <x v="0"/>
    <x v="2"/>
    <x v="0"/>
    <x v="3"/>
    <x v="4"/>
    <x v="1"/>
    <x v="2"/>
    <x v="1"/>
    <x v="2"/>
    <x v="1"/>
    <x v="2"/>
    <x v="0"/>
    <x v="2"/>
    <x v="3"/>
    <x v="4"/>
    <x v="266"/>
    <x v="2"/>
    <x v="0"/>
    <x v="0"/>
    <x v="1"/>
    <x v="0"/>
    <x v="0"/>
    <x v="0"/>
    <x v="0"/>
  </r>
  <r>
    <x v="566"/>
    <x v="275"/>
    <x v="276"/>
    <x v="271"/>
    <x v="446"/>
    <x v="1"/>
    <x v="2"/>
    <x v="286"/>
    <x v="218"/>
    <x v="1"/>
    <x v="3"/>
    <x v="0"/>
    <x v="0"/>
    <x v="3"/>
    <x v="3"/>
    <x v="2"/>
    <x v="1"/>
    <x v="1"/>
    <x v="3"/>
    <x v="1"/>
    <x v="1"/>
    <x v="125"/>
    <x v="1"/>
    <x v="3"/>
    <x v="4"/>
    <x v="276"/>
    <x v="1"/>
    <x v="1"/>
    <x v="2"/>
    <x v="1"/>
    <x v="0"/>
    <x v="337"/>
    <x v="175"/>
    <x v="0"/>
  </r>
  <r>
    <x v="567"/>
    <x v="148"/>
    <x v="148"/>
    <x v="146"/>
    <x v="0"/>
    <x v="1"/>
    <x v="2"/>
    <x v="153"/>
    <x v="129"/>
    <x v="1"/>
    <x v="79"/>
    <x v="0"/>
    <x v="0"/>
    <x v="3"/>
    <x v="1"/>
    <x v="1"/>
    <x v="2"/>
    <x v="1"/>
    <x v="2"/>
    <x v="1"/>
    <x v="2"/>
    <x v="0"/>
    <x v="2"/>
    <x v="3"/>
    <x v="4"/>
    <x v="147"/>
    <x v="12"/>
    <x v="0"/>
    <x v="0"/>
    <x v="1"/>
    <x v="0"/>
    <x v="0"/>
    <x v="0"/>
    <x v="182"/>
  </r>
  <r>
    <x v="568"/>
    <x v="279"/>
    <x v="280"/>
    <x v="275"/>
    <x v="447"/>
    <x v="1"/>
    <x v="2"/>
    <x v="292"/>
    <x v="232"/>
    <x v="1"/>
    <x v="3"/>
    <x v="0"/>
    <x v="0"/>
    <x v="1"/>
    <x v="3"/>
    <x v="2"/>
    <x v="1"/>
    <x v="1"/>
    <x v="2"/>
    <x v="1"/>
    <x v="1"/>
    <x v="126"/>
    <x v="1"/>
    <x v="1"/>
    <x v="1"/>
    <x v="280"/>
    <x v="5"/>
    <x v="3"/>
    <x v="0"/>
    <x v="1"/>
    <x v="0"/>
    <x v="338"/>
    <x v="0"/>
    <x v="183"/>
  </r>
  <r>
    <x v="569"/>
    <x v="280"/>
    <x v="281"/>
    <x v="276"/>
    <x v="448"/>
    <x v="1"/>
    <x v="2"/>
    <x v="293"/>
    <x v="216"/>
    <x v="1"/>
    <x v="2"/>
    <x v="0"/>
    <x v="0"/>
    <x v="1"/>
    <x v="1"/>
    <x v="2"/>
    <x v="1"/>
    <x v="1"/>
    <x v="2"/>
    <x v="1"/>
    <x v="1"/>
    <x v="125"/>
    <x v="1"/>
    <x v="1"/>
    <x v="2"/>
    <x v="281"/>
    <x v="5"/>
    <x v="1"/>
    <x v="1"/>
    <x v="2"/>
    <x v="1"/>
    <x v="339"/>
    <x v="0"/>
    <x v="0"/>
  </r>
  <r>
    <x v="570"/>
    <x v="140"/>
    <x v="140"/>
    <x v="138"/>
    <x v="449"/>
    <x v="3"/>
    <x v="2"/>
    <x v="144"/>
    <x v="233"/>
    <x v="2"/>
    <x v="0"/>
    <x v="6"/>
    <x v="0"/>
    <x v="1"/>
    <x v="3"/>
    <x v="3"/>
    <x v="2"/>
    <x v="1"/>
    <x v="1"/>
    <x v="1"/>
    <x v="1"/>
    <x v="125"/>
    <x v="1"/>
    <x v="1"/>
    <x v="2"/>
    <x v="139"/>
    <x v="1"/>
    <x v="1"/>
    <x v="4"/>
    <x v="2"/>
    <x v="1"/>
    <x v="340"/>
    <x v="176"/>
    <x v="184"/>
  </r>
  <r>
    <x v="571"/>
    <x v="280"/>
    <x v="281"/>
    <x v="276"/>
    <x v="450"/>
    <x v="1"/>
    <x v="2"/>
    <x v="293"/>
    <x v="216"/>
    <x v="1"/>
    <x v="2"/>
    <x v="0"/>
    <x v="0"/>
    <x v="3"/>
    <x v="1"/>
    <x v="2"/>
    <x v="1"/>
    <x v="1"/>
    <x v="2"/>
    <x v="1"/>
    <x v="2"/>
    <x v="0"/>
    <x v="2"/>
    <x v="3"/>
    <x v="4"/>
    <x v="281"/>
    <x v="5"/>
    <x v="0"/>
    <x v="0"/>
    <x v="1"/>
    <x v="0"/>
    <x v="0"/>
    <x v="0"/>
    <x v="0"/>
  </r>
  <r>
    <x v="572"/>
    <x v="275"/>
    <x v="276"/>
    <x v="271"/>
    <x v="0"/>
    <x v="1"/>
    <x v="2"/>
    <x v="286"/>
    <x v="218"/>
    <x v="1"/>
    <x v="3"/>
    <x v="0"/>
    <x v="0"/>
    <x v="3"/>
    <x v="1"/>
    <x v="1"/>
    <x v="2"/>
    <x v="1"/>
    <x v="3"/>
    <x v="1"/>
    <x v="2"/>
    <x v="0"/>
    <x v="2"/>
    <x v="3"/>
    <x v="4"/>
    <x v="276"/>
    <x v="4"/>
    <x v="0"/>
    <x v="0"/>
    <x v="1"/>
    <x v="0"/>
    <x v="0"/>
    <x v="0"/>
    <x v="0"/>
  </r>
  <r>
    <x v="573"/>
    <x v="281"/>
    <x v="282"/>
    <x v="277"/>
    <x v="451"/>
    <x v="1"/>
    <x v="2"/>
    <x v="294"/>
    <x v="36"/>
    <x v="1"/>
    <x v="27"/>
    <x v="0"/>
    <x v="0"/>
    <x v="1"/>
    <x v="1"/>
    <x v="1"/>
    <x v="2"/>
    <x v="1"/>
    <x v="2"/>
    <x v="1"/>
    <x v="1"/>
    <x v="127"/>
    <x v="1"/>
    <x v="5"/>
    <x v="2"/>
    <x v="282"/>
    <x v="5"/>
    <x v="1"/>
    <x v="7"/>
    <x v="1"/>
    <x v="0"/>
    <x v="341"/>
    <x v="0"/>
    <x v="0"/>
  </r>
  <r>
    <x v="574"/>
    <x v="135"/>
    <x v="135"/>
    <x v="133"/>
    <x v="452"/>
    <x v="1"/>
    <x v="2"/>
    <x v="295"/>
    <x v="119"/>
    <x v="1"/>
    <x v="9"/>
    <x v="0"/>
    <x v="0"/>
    <x v="1"/>
    <x v="1"/>
    <x v="1"/>
    <x v="2"/>
    <x v="1"/>
    <x v="2"/>
    <x v="1"/>
    <x v="1"/>
    <x v="127"/>
    <x v="1"/>
    <x v="5"/>
    <x v="2"/>
    <x v="267"/>
    <x v="5"/>
    <x v="1"/>
    <x v="7"/>
    <x v="2"/>
    <x v="1"/>
    <x v="342"/>
    <x v="0"/>
    <x v="185"/>
  </r>
  <r>
    <x v="575"/>
    <x v="281"/>
    <x v="282"/>
    <x v="277"/>
    <x v="0"/>
    <x v="1"/>
    <x v="2"/>
    <x v="294"/>
    <x v="234"/>
    <x v="1"/>
    <x v="27"/>
    <x v="0"/>
    <x v="0"/>
    <x v="3"/>
    <x v="1"/>
    <x v="1"/>
    <x v="2"/>
    <x v="1"/>
    <x v="2"/>
    <x v="1"/>
    <x v="2"/>
    <x v="0"/>
    <x v="2"/>
    <x v="3"/>
    <x v="4"/>
    <x v="282"/>
    <x v="12"/>
    <x v="0"/>
    <x v="0"/>
    <x v="1"/>
    <x v="0"/>
    <x v="0"/>
    <x v="0"/>
    <x v="0"/>
  </r>
  <r>
    <x v="576"/>
    <x v="282"/>
    <x v="283"/>
    <x v="278"/>
    <x v="453"/>
    <x v="1"/>
    <x v="1"/>
    <x v="296"/>
    <x v="128"/>
    <x v="1"/>
    <x v="9"/>
    <x v="0"/>
    <x v="0"/>
    <x v="1"/>
    <x v="5"/>
    <x v="1"/>
    <x v="2"/>
    <x v="1"/>
    <x v="3"/>
    <x v="1"/>
    <x v="1"/>
    <x v="127"/>
    <x v="1"/>
    <x v="1"/>
    <x v="2"/>
    <x v="283"/>
    <x v="2"/>
    <x v="1"/>
    <x v="4"/>
    <x v="1"/>
    <x v="0"/>
    <x v="343"/>
    <x v="0"/>
    <x v="186"/>
  </r>
  <r>
    <x v="577"/>
    <x v="135"/>
    <x v="135"/>
    <x v="133"/>
    <x v="454"/>
    <x v="1"/>
    <x v="2"/>
    <x v="139"/>
    <x v="119"/>
    <x v="1"/>
    <x v="9"/>
    <x v="0"/>
    <x v="0"/>
    <x v="3"/>
    <x v="1"/>
    <x v="1"/>
    <x v="2"/>
    <x v="1"/>
    <x v="2"/>
    <x v="1"/>
    <x v="2"/>
    <x v="0"/>
    <x v="1"/>
    <x v="3"/>
    <x v="4"/>
    <x v="267"/>
    <x v="12"/>
    <x v="0"/>
    <x v="0"/>
    <x v="1"/>
    <x v="0"/>
    <x v="0"/>
    <x v="0"/>
    <x v="0"/>
  </r>
  <r>
    <x v="578"/>
    <x v="140"/>
    <x v="140"/>
    <x v="138"/>
    <x v="455"/>
    <x v="3"/>
    <x v="2"/>
    <x v="144"/>
    <x v="233"/>
    <x v="1"/>
    <x v="119"/>
    <x v="0"/>
    <x v="0"/>
    <x v="3"/>
    <x v="1"/>
    <x v="1"/>
    <x v="2"/>
    <x v="1"/>
    <x v="1"/>
    <x v="1"/>
    <x v="2"/>
    <x v="0"/>
    <x v="1"/>
    <x v="3"/>
    <x v="4"/>
    <x v="139"/>
    <x v="1"/>
    <x v="0"/>
    <x v="0"/>
    <x v="1"/>
    <x v="0"/>
    <x v="0"/>
    <x v="0"/>
    <x v="0"/>
  </r>
  <r>
    <x v="579"/>
    <x v="283"/>
    <x v="284"/>
    <x v="279"/>
    <x v="456"/>
    <x v="1"/>
    <x v="3"/>
    <x v="297"/>
    <x v="235"/>
    <x v="1"/>
    <x v="120"/>
    <x v="0"/>
    <x v="0"/>
    <x v="1"/>
    <x v="5"/>
    <x v="1"/>
    <x v="2"/>
    <x v="1"/>
    <x v="3"/>
    <x v="1"/>
    <x v="2"/>
    <x v="0"/>
    <x v="1"/>
    <x v="1"/>
    <x v="13"/>
    <x v="284"/>
    <x v="1"/>
    <x v="0"/>
    <x v="0"/>
    <x v="1"/>
    <x v="0"/>
    <x v="0"/>
    <x v="0"/>
    <x v="0"/>
  </r>
  <r>
    <x v="580"/>
    <x v="284"/>
    <x v="285"/>
    <x v="280"/>
    <x v="457"/>
    <x v="1"/>
    <x v="2"/>
    <x v="298"/>
    <x v="33"/>
    <x v="1"/>
    <x v="121"/>
    <x v="0"/>
    <x v="0"/>
    <x v="1"/>
    <x v="1"/>
    <x v="1"/>
    <x v="2"/>
    <x v="1"/>
    <x v="2"/>
    <x v="1"/>
    <x v="2"/>
    <x v="0"/>
    <x v="1"/>
    <x v="6"/>
    <x v="3"/>
    <x v="285"/>
    <x v="5"/>
    <x v="0"/>
    <x v="0"/>
    <x v="1"/>
    <x v="0"/>
    <x v="0"/>
    <x v="0"/>
    <x v="0"/>
  </r>
  <r>
    <x v="581"/>
    <x v="285"/>
    <x v="286"/>
    <x v="281"/>
    <x v="458"/>
    <x v="1"/>
    <x v="2"/>
    <x v="299"/>
    <x v="236"/>
    <x v="1"/>
    <x v="9"/>
    <x v="0"/>
    <x v="0"/>
    <x v="1"/>
    <x v="1"/>
    <x v="1"/>
    <x v="2"/>
    <x v="2"/>
    <x v="1"/>
    <x v="1"/>
    <x v="1"/>
    <x v="128"/>
    <x v="1"/>
    <x v="6"/>
    <x v="3"/>
    <x v="286"/>
    <x v="5"/>
    <x v="3"/>
    <x v="0"/>
    <x v="1"/>
    <x v="0"/>
    <x v="344"/>
    <x v="177"/>
    <x v="187"/>
  </r>
  <r>
    <x v="582"/>
    <x v="282"/>
    <x v="283"/>
    <x v="278"/>
    <x v="0"/>
    <x v="1"/>
    <x v="1"/>
    <x v="296"/>
    <x v="128"/>
    <x v="1"/>
    <x v="9"/>
    <x v="0"/>
    <x v="0"/>
    <x v="3"/>
    <x v="1"/>
    <x v="1"/>
    <x v="2"/>
    <x v="1"/>
    <x v="3"/>
    <x v="1"/>
    <x v="2"/>
    <x v="0"/>
    <x v="2"/>
    <x v="3"/>
    <x v="4"/>
    <x v="283"/>
    <x v="1"/>
    <x v="0"/>
    <x v="0"/>
    <x v="1"/>
    <x v="0"/>
    <x v="0"/>
    <x v="0"/>
    <x v="0"/>
  </r>
  <r>
    <x v="583"/>
    <x v="286"/>
    <x v="287"/>
    <x v="282"/>
    <x v="459"/>
    <x v="1"/>
    <x v="3"/>
    <x v="300"/>
    <x v="42"/>
    <x v="1"/>
    <x v="1"/>
    <x v="0"/>
    <x v="0"/>
    <x v="1"/>
    <x v="2"/>
    <x v="3"/>
    <x v="2"/>
    <x v="2"/>
    <x v="1"/>
    <x v="1"/>
    <x v="1"/>
    <x v="129"/>
    <x v="1"/>
    <x v="6"/>
    <x v="2"/>
    <x v="287"/>
    <x v="12"/>
    <x v="1"/>
    <x v="1"/>
    <x v="1"/>
    <x v="0"/>
    <x v="345"/>
    <x v="178"/>
    <x v="188"/>
  </r>
  <r>
    <x v="584"/>
    <x v="194"/>
    <x v="192"/>
    <x v="190"/>
    <x v="460"/>
    <x v="1"/>
    <x v="2"/>
    <x v="203"/>
    <x v="237"/>
    <x v="1"/>
    <x v="122"/>
    <x v="0"/>
    <x v="0"/>
    <x v="1"/>
    <x v="1"/>
    <x v="1"/>
    <x v="2"/>
    <x v="1"/>
    <x v="1"/>
    <x v="1"/>
    <x v="1"/>
    <x v="129"/>
    <x v="1"/>
    <x v="6"/>
    <x v="3"/>
    <x v="192"/>
    <x v="1"/>
    <x v="3"/>
    <x v="0"/>
    <x v="1"/>
    <x v="0"/>
    <x v="346"/>
    <x v="179"/>
    <x v="0"/>
  </r>
  <r>
    <x v="585"/>
    <x v="287"/>
    <x v="288"/>
    <x v="283"/>
    <x v="461"/>
    <x v="1"/>
    <x v="3"/>
    <x v="301"/>
    <x v="238"/>
    <x v="1"/>
    <x v="123"/>
    <x v="0"/>
    <x v="0"/>
    <x v="1"/>
    <x v="1"/>
    <x v="1"/>
    <x v="1"/>
    <x v="1"/>
    <x v="3"/>
    <x v="1"/>
    <x v="2"/>
    <x v="0"/>
    <x v="1"/>
    <x v="1"/>
    <x v="2"/>
    <x v="288"/>
    <x v="2"/>
    <x v="0"/>
    <x v="0"/>
    <x v="1"/>
    <x v="0"/>
    <x v="0"/>
    <x v="0"/>
    <x v="0"/>
  </r>
  <r>
    <x v="586"/>
    <x v="288"/>
    <x v="289"/>
    <x v="284"/>
    <x v="462"/>
    <x v="1"/>
    <x v="2"/>
    <x v="302"/>
    <x v="239"/>
    <x v="1"/>
    <x v="9"/>
    <x v="0"/>
    <x v="0"/>
    <x v="1"/>
    <x v="2"/>
    <x v="3"/>
    <x v="2"/>
    <x v="1"/>
    <x v="2"/>
    <x v="1"/>
    <x v="1"/>
    <x v="130"/>
    <x v="1"/>
    <x v="1"/>
    <x v="5"/>
    <x v="289"/>
    <x v="3"/>
    <x v="3"/>
    <x v="0"/>
    <x v="1"/>
    <x v="0"/>
    <x v="347"/>
    <x v="180"/>
    <x v="189"/>
  </r>
  <r>
    <x v="587"/>
    <x v="51"/>
    <x v="50"/>
    <x v="49"/>
    <x v="463"/>
    <x v="1"/>
    <x v="2"/>
    <x v="303"/>
    <x v="240"/>
    <x v="1"/>
    <x v="2"/>
    <x v="0"/>
    <x v="0"/>
    <x v="1"/>
    <x v="3"/>
    <x v="3"/>
    <x v="2"/>
    <x v="1"/>
    <x v="3"/>
    <x v="1"/>
    <x v="1"/>
    <x v="130"/>
    <x v="1"/>
    <x v="1"/>
    <x v="2"/>
    <x v="290"/>
    <x v="1"/>
    <x v="3"/>
    <x v="0"/>
    <x v="1"/>
    <x v="0"/>
    <x v="348"/>
    <x v="181"/>
    <x v="0"/>
  </r>
  <r>
    <x v="588"/>
    <x v="93"/>
    <x v="92"/>
    <x v="91"/>
    <x v="464"/>
    <x v="1"/>
    <x v="2"/>
    <x v="98"/>
    <x v="43"/>
    <x v="2"/>
    <x v="0"/>
    <x v="2"/>
    <x v="0"/>
    <x v="1"/>
    <x v="3"/>
    <x v="3"/>
    <x v="2"/>
    <x v="1"/>
    <x v="1"/>
    <x v="1"/>
    <x v="1"/>
    <x v="130"/>
    <x v="1"/>
    <x v="5"/>
    <x v="2"/>
    <x v="92"/>
    <x v="12"/>
    <x v="1"/>
    <x v="12"/>
    <x v="2"/>
    <x v="1"/>
    <x v="349"/>
    <x v="0"/>
    <x v="190"/>
  </r>
  <r>
    <x v="589"/>
    <x v="289"/>
    <x v="290"/>
    <x v="285"/>
    <x v="465"/>
    <x v="1"/>
    <x v="2"/>
    <x v="304"/>
    <x v="235"/>
    <x v="1"/>
    <x v="33"/>
    <x v="0"/>
    <x v="0"/>
    <x v="1"/>
    <x v="2"/>
    <x v="3"/>
    <x v="2"/>
    <x v="1"/>
    <x v="3"/>
    <x v="1"/>
    <x v="1"/>
    <x v="131"/>
    <x v="1"/>
    <x v="1"/>
    <x v="1"/>
    <x v="291"/>
    <x v="3"/>
    <x v="3"/>
    <x v="0"/>
    <x v="1"/>
    <x v="0"/>
    <x v="350"/>
    <x v="0"/>
    <x v="0"/>
  </r>
  <r>
    <x v="590"/>
    <x v="93"/>
    <x v="92"/>
    <x v="91"/>
    <x v="466"/>
    <x v="1"/>
    <x v="2"/>
    <x v="98"/>
    <x v="43"/>
    <x v="1"/>
    <x v="15"/>
    <x v="0"/>
    <x v="0"/>
    <x v="3"/>
    <x v="1"/>
    <x v="1"/>
    <x v="2"/>
    <x v="1"/>
    <x v="1"/>
    <x v="1"/>
    <x v="1"/>
    <x v="131"/>
    <x v="1"/>
    <x v="3"/>
    <x v="4"/>
    <x v="92"/>
    <x v="11"/>
    <x v="1"/>
    <x v="1"/>
    <x v="2"/>
    <x v="1"/>
    <x v="351"/>
    <x v="0"/>
    <x v="191"/>
  </r>
  <r>
    <x v="591"/>
    <x v="290"/>
    <x v="291"/>
    <x v="286"/>
    <x v="467"/>
    <x v="3"/>
    <x v="2"/>
    <x v="305"/>
    <x v="241"/>
    <x v="1"/>
    <x v="124"/>
    <x v="0"/>
    <x v="0"/>
    <x v="1"/>
    <x v="1"/>
    <x v="2"/>
    <x v="2"/>
    <x v="1"/>
    <x v="3"/>
    <x v="1"/>
    <x v="1"/>
    <x v="132"/>
    <x v="1"/>
    <x v="1"/>
    <x v="2"/>
    <x v="292"/>
    <x v="5"/>
    <x v="1"/>
    <x v="5"/>
    <x v="2"/>
    <x v="1"/>
    <x v="352"/>
    <x v="0"/>
    <x v="0"/>
  </r>
  <r>
    <x v="592"/>
    <x v="286"/>
    <x v="287"/>
    <x v="282"/>
    <x v="0"/>
    <x v="1"/>
    <x v="3"/>
    <x v="300"/>
    <x v="42"/>
    <x v="1"/>
    <x v="1"/>
    <x v="0"/>
    <x v="0"/>
    <x v="3"/>
    <x v="1"/>
    <x v="2"/>
    <x v="1"/>
    <x v="1"/>
    <x v="2"/>
    <x v="1"/>
    <x v="1"/>
    <x v="132"/>
    <x v="2"/>
    <x v="3"/>
    <x v="4"/>
    <x v="287"/>
    <x v="5"/>
    <x v="0"/>
    <x v="0"/>
    <x v="1"/>
    <x v="0"/>
    <x v="353"/>
    <x v="0"/>
    <x v="0"/>
  </r>
  <r>
    <x v="593"/>
    <x v="93"/>
    <x v="92"/>
    <x v="91"/>
    <x v="468"/>
    <x v="1"/>
    <x v="2"/>
    <x v="98"/>
    <x v="43"/>
    <x v="2"/>
    <x v="0"/>
    <x v="5"/>
    <x v="0"/>
    <x v="3"/>
    <x v="2"/>
    <x v="3"/>
    <x v="2"/>
    <x v="1"/>
    <x v="2"/>
    <x v="1"/>
    <x v="1"/>
    <x v="132"/>
    <x v="1"/>
    <x v="3"/>
    <x v="4"/>
    <x v="92"/>
    <x v="5"/>
    <x v="1"/>
    <x v="1"/>
    <x v="1"/>
    <x v="0"/>
    <x v="354"/>
    <x v="0"/>
    <x v="0"/>
  </r>
  <r>
    <x v="594"/>
    <x v="290"/>
    <x v="291"/>
    <x v="286"/>
    <x v="469"/>
    <x v="1"/>
    <x v="2"/>
    <x v="305"/>
    <x v="241"/>
    <x v="1"/>
    <x v="125"/>
    <x v="0"/>
    <x v="0"/>
    <x v="3"/>
    <x v="1"/>
    <x v="1"/>
    <x v="2"/>
    <x v="2"/>
    <x v="3"/>
    <x v="1"/>
    <x v="2"/>
    <x v="0"/>
    <x v="1"/>
    <x v="3"/>
    <x v="4"/>
    <x v="292"/>
    <x v="2"/>
    <x v="0"/>
    <x v="0"/>
    <x v="1"/>
    <x v="0"/>
    <x v="0"/>
    <x v="0"/>
    <x v="0"/>
  </r>
  <r>
    <x v="595"/>
    <x v="291"/>
    <x v="292"/>
    <x v="287"/>
    <x v="470"/>
    <x v="1"/>
    <x v="2"/>
    <x v="306"/>
    <x v="92"/>
    <x v="1"/>
    <x v="126"/>
    <x v="0"/>
    <x v="0"/>
    <x v="1"/>
    <x v="5"/>
    <x v="1"/>
    <x v="1"/>
    <x v="1"/>
    <x v="3"/>
    <x v="1"/>
    <x v="2"/>
    <x v="0"/>
    <x v="1"/>
    <x v="1"/>
    <x v="13"/>
    <x v="293"/>
    <x v="5"/>
    <x v="0"/>
    <x v="0"/>
    <x v="1"/>
    <x v="0"/>
    <x v="0"/>
    <x v="0"/>
    <x v="0"/>
  </r>
  <r>
    <x v="596"/>
    <x v="93"/>
    <x v="92"/>
    <x v="91"/>
    <x v="0"/>
    <x v="1"/>
    <x v="2"/>
    <x v="98"/>
    <x v="196"/>
    <x v="2"/>
    <x v="0"/>
    <x v="5"/>
    <x v="0"/>
    <x v="3"/>
    <x v="4"/>
    <x v="1"/>
    <x v="2"/>
    <x v="1"/>
    <x v="2"/>
    <x v="1"/>
    <x v="2"/>
    <x v="0"/>
    <x v="2"/>
    <x v="3"/>
    <x v="4"/>
    <x v="92"/>
    <x v="5"/>
    <x v="0"/>
    <x v="0"/>
    <x v="1"/>
    <x v="0"/>
    <x v="0"/>
    <x v="0"/>
    <x v="0"/>
  </r>
  <r>
    <x v="597"/>
    <x v="292"/>
    <x v="293"/>
    <x v="288"/>
    <x v="471"/>
    <x v="1"/>
    <x v="1"/>
    <x v="307"/>
    <x v="242"/>
    <x v="1"/>
    <x v="22"/>
    <x v="0"/>
    <x v="0"/>
    <x v="1"/>
    <x v="2"/>
    <x v="3"/>
    <x v="2"/>
    <x v="1"/>
    <x v="2"/>
    <x v="1"/>
    <x v="1"/>
    <x v="133"/>
    <x v="1"/>
    <x v="6"/>
    <x v="3"/>
    <x v="294"/>
    <x v="5"/>
    <x v="3"/>
    <x v="0"/>
    <x v="1"/>
    <x v="0"/>
    <x v="355"/>
    <x v="182"/>
    <x v="192"/>
  </r>
  <r>
    <x v="598"/>
    <x v="293"/>
    <x v="294"/>
    <x v="289"/>
    <x v="472"/>
    <x v="1"/>
    <x v="4"/>
    <x v="308"/>
    <x v="243"/>
    <x v="1"/>
    <x v="9"/>
    <x v="0"/>
    <x v="0"/>
    <x v="1"/>
    <x v="3"/>
    <x v="2"/>
    <x v="2"/>
    <x v="2"/>
    <x v="1"/>
    <x v="1"/>
    <x v="1"/>
    <x v="134"/>
    <x v="1"/>
    <x v="6"/>
    <x v="2"/>
    <x v="295"/>
    <x v="12"/>
    <x v="1"/>
    <x v="12"/>
    <x v="2"/>
    <x v="1"/>
    <x v="0"/>
    <x v="0"/>
    <x v="193"/>
  </r>
  <r>
    <x v="599"/>
    <x v="178"/>
    <x v="176"/>
    <x v="174"/>
    <x v="473"/>
    <x v="3"/>
    <x v="2"/>
    <x v="186"/>
    <x v="153"/>
    <x v="1"/>
    <x v="27"/>
    <x v="0"/>
    <x v="0"/>
    <x v="1"/>
    <x v="2"/>
    <x v="3"/>
    <x v="2"/>
    <x v="1"/>
    <x v="2"/>
    <x v="1"/>
    <x v="1"/>
    <x v="134"/>
    <x v="1"/>
    <x v="1"/>
    <x v="2"/>
    <x v="175"/>
    <x v="1"/>
    <x v="1"/>
    <x v="4"/>
    <x v="1"/>
    <x v="0"/>
    <x v="356"/>
    <x v="0"/>
    <x v="0"/>
  </r>
  <r>
    <x v="600"/>
    <x v="178"/>
    <x v="176"/>
    <x v="174"/>
    <x v="0"/>
    <x v="3"/>
    <x v="2"/>
    <x v="186"/>
    <x v="153"/>
    <x v="1"/>
    <x v="27"/>
    <x v="0"/>
    <x v="0"/>
    <x v="3"/>
    <x v="4"/>
    <x v="1"/>
    <x v="2"/>
    <x v="1"/>
    <x v="2"/>
    <x v="1"/>
    <x v="2"/>
    <x v="0"/>
    <x v="2"/>
    <x v="3"/>
    <x v="4"/>
    <x v="175"/>
    <x v="1"/>
    <x v="0"/>
    <x v="0"/>
    <x v="1"/>
    <x v="0"/>
    <x v="0"/>
    <x v="0"/>
    <x v="0"/>
  </r>
  <r>
    <x v="601"/>
    <x v="294"/>
    <x v="295"/>
    <x v="290"/>
    <x v="474"/>
    <x v="1"/>
    <x v="2"/>
    <x v="309"/>
    <x v="110"/>
    <x v="1"/>
    <x v="64"/>
    <x v="0"/>
    <x v="0"/>
    <x v="1"/>
    <x v="1"/>
    <x v="1"/>
    <x v="2"/>
    <x v="1"/>
    <x v="2"/>
    <x v="1"/>
    <x v="1"/>
    <x v="135"/>
    <x v="1"/>
    <x v="1"/>
    <x v="2"/>
    <x v="296"/>
    <x v="3"/>
    <x v="0"/>
    <x v="0"/>
    <x v="1"/>
    <x v="0"/>
    <x v="0"/>
    <x v="0"/>
    <x v="0"/>
  </r>
  <r>
    <x v="602"/>
    <x v="295"/>
    <x v="296"/>
    <x v="291"/>
    <x v="475"/>
    <x v="1"/>
    <x v="2"/>
    <x v="310"/>
    <x v="244"/>
    <x v="1"/>
    <x v="2"/>
    <x v="0"/>
    <x v="0"/>
    <x v="1"/>
    <x v="1"/>
    <x v="1"/>
    <x v="2"/>
    <x v="1"/>
    <x v="1"/>
    <x v="1"/>
    <x v="1"/>
    <x v="134"/>
    <x v="1"/>
    <x v="1"/>
    <x v="1"/>
    <x v="297"/>
    <x v="3"/>
    <x v="3"/>
    <x v="0"/>
    <x v="1"/>
    <x v="0"/>
    <x v="357"/>
    <x v="183"/>
    <x v="194"/>
  </r>
  <r>
    <x v="603"/>
    <x v="293"/>
    <x v="294"/>
    <x v="289"/>
    <x v="476"/>
    <x v="1"/>
    <x v="2"/>
    <x v="308"/>
    <x v="243"/>
    <x v="1"/>
    <x v="9"/>
    <x v="0"/>
    <x v="0"/>
    <x v="3"/>
    <x v="1"/>
    <x v="1"/>
    <x v="2"/>
    <x v="2"/>
    <x v="1"/>
    <x v="1"/>
    <x v="2"/>
    <x v="0"/>
    <x v="3"/>
    <x v="3"/>
    <x v="4"/>
    <x v="295"/>
    <x v="11"/>
    <x v="0"/>
    <x v="0"/>
    <x v="1"/>
    <x v="0"/>
    <x v="0"/>
    <x v="0"/>
    <x v="195"/>
  </r>
  <r>
    <x v="604"/>
    <x v="140"/>
    <x v="140"/>
    <x v="138"/>
    <x v="477"/>
    <x v="3"/>
    <x v="2"/>
    <x v="144"/>
    <x v="123"/>
    <x v="1"/>
    <x v="24"/>
    <x v="0"/>
    <x v="0"/>
    <x v="1"/>
    <x v="2"/>
    <x v="3"/>
    <x v="2"/>
    <x v="1"/>
    <x v="2"/>
    <x v="1"/>
    <x v="1"/>
    <x v="136"/>
    <x v="1"/>
    <x v="1"/>
    <x v="2"/>
    <x v="139"/>
    <x v="4"/>
    <x v="1"/>
    <x v="2"/>
    <x v="2"/>
    <x v="1"/>
    <x v="358"/>
    <x v="0"/>
    <x v="0"/>
  </r>
  <r>
    <x v="605"/>
    <x v="296"/>
    <x v="297"/>
    <x v="292"/>
    <x v="478"/>
    <x v="1"/>
    <x v="2"/>
    <x v="311"/>
    <x v="245"/>
    <x v="1"/>
    <x v="9"/>
    <x v="0"/>
    <x v="0"/>
    <x v="1"/>
    <x v="1"/>
    <x v="1"/>
    <x v="2"/>
    <x v="1"/>
    <x v="3"/>
    <x v="1"/>
    <x v="1"/>
    <x v="137"/>
    <x v="1"/>
    <x v="1"/>
    <x v="1"/>
    <x v="298"/>
    <x v="1"/>
    <x v="4"/>
    <x v="4"/>
    <x v="2"/>
    <x v="1"/>
    <x v="359"/>
    <x v="0"/>
    <x v="0"/>
  </r>
  <r>
    <x v="606"/>
    <x v="297"/>
    <x v="298"/>
    <x v="293"/>
    <x v="479"/>
    <x v="1"/>
    <x v="3"/>
    <x v="312"/>
    <x v="243"/>
    <x v="1"/>
    <x v="127"/>
    <x v="0"/>
    <x v="0"/>
    <x v="1"/>
    <x v="1"/>
    <x v="1"/>
    <x v="1"/>
    <x v="1"/>
    <x v="3"/>
    <x v="1"/>
    <x v="2"/>
    <x v="0"/>
    <x v="1"/>
    <x v="1"/>
    <x v="2"/>
    <x v="299"/>
    <x v="5"/>
    <x v="0"/>
    <x v="0"/>
    <x v="1"/>
    <x v="0"/>
    <x v="0"/>
    <x v="0"/>
    <x v="0"/>
  </r>
  <r>
    <x v="607"/>
    <x v="152"/>
    <x v="152"/>
    <x v="150"/>
    <x v="480"/>
    <x v="3"/>
    <x v="2"/>
    <x v="157"/>
    <x v="114"/>
    <x v="1"/>
    <x v="1"/>
    <x v="0"/>
    <x v="0"/>
    <x v="1"/>
    <x v="2"/>
    <x v="3"/>
    <x v="2"/>
    <x v="2"/>
    <x v="2"/>
    <x v="1"/>
    <x v="1"/>
    <x v="136"/>
    <x v="1"/>
    <x v="1"/>
    <x v="2"/>
    <x v="151"/>
    <x v="5"/>
    <x v="3"/>
    <x v="0"/>
    <x v="1"/>
    <x v="0"/>
    <x v="360"/>
    <x v="0"/>
    <x v="196"/>
  </r>
  <r>
    <x v="608"/>
    <x v="298"/>
    <x v="299"/>
    <x v="294"/>
    <x v="481"/>
    <x v="1"/>
    <x v="2"/>
    <x v="313"/>
    <x v="246"/>
    <x v="2"/>
    <x v="0"/>
    <x v="2"/>
    <x v="0"/>
    <x v="1"/>
    <x v="1"/>
    <x v="1"/>
    <x v="2"/>
    <x v="1"/>
    <x v="2"/>
    <x v="1"/>
    <x v="1"/>
    <x v="137"/>
    <x v="1"/>
    <x v="1"/>
    <x v="2"/>
    <x v="300"/>
    <x v="1"/>
    <x v="1"/>
    <x v="4"/>
    <x v="2"/>
    <x v="1"/>
    <x v="361"/>
    <x v="0"/>
    <x v="0"/>
  </r>
  <r>
    <x v="609"/>
    <x v="298"/>
    <x v="299"/>
    <x v="294"/>
    <x v="482"/>
    <x v="1"/>
    <x v="2"/>
    <x v="313"/>
    <x v="247"/>
    <x v="2"/>
    <x v="0"/>
    <x v="5"/>
    <x v="0"/>
    <x v="3"/>
    <x v="2"/>
    <x v="3"/>
    <x v="2"/>
    <x v="1"/>
    <x v="2"/>
    <x v="1"/>
    <x v="1"/>
    <x v="136"/>
    <x v="1"/>
    <x v="3"/>
    <x v="4"/>
    <x v="300"/>
    <x v="1"/>
    <x v="1"/>
    <x v="4"/>
    <x v="2"/>
    <x v="1"/>
    <x v="362"/>
    <x v="184"/>
    <x v="0"/>
  </r>
  <r>
    <x v="610"/>
    <x v="296"/>
    <x v="297"/>
    <x v="292"/>
    <x v="483"/>
    <x v="1"/>
    <x v="1"/>
    <x v="311"/>
    <x v="248"/>
    <x v="1"/>
    <x v="3"/>
    <x v="0"/>
    <x v="0"/>
    <x v="3"/>
    <x v="1"/>
    <x v="1"/>
    <x v="2"/>
    <x v="1"/>
    <x v="1"/>
    <x v="1"/>
    <x v="1"/>
    <x v="138"/>
    <x v="1"/>
    <x v="3"/>
    <x v="4"/>
    <x v="298"/>
    <x v="1"/>
    <x v="1"/>
    <x v="4"/>
    <x v="2"/>
    <x v="1"/>
    <x v="363"/>
    <x v="0"/>
    <x v="0"/>
  </r>
  <r>
    <x v="611"/>
    <x v="299"/>
    <x v="300"/>
    <x v="295"/>
    <x v="484"/>
    <x v="3"/>
    <x v="2"/>
    <x v="314"/>
    <x v="111"/>
    <x v="1"/>
    <x v="117"/>
    <x v="0"/>
    <x v="0"/>
    <x v="1"/>
    <x v="1"/>
    <x v="2"/>
    <x v="2"/>
    <x v="1"/>
    <x v="2"/>
    <x v="1"/>
    <x v="1"/>
    <x v="137"/>
    <x v="1"/>
    <x v="1"/>
    <x v="2"/>
    <x v="301"/>
    <x v="5"/>
    <x v="1"/>
    <x v="1"/>
    <x v="2"/>
    <x v="1"/>
    <x v="364"/>
    <x v="0"/>
    <x v="197"/>
  </r>
  <r>
    <x v="612"/>
    <x v="300"/>
    <x v="301"/>
    <x v="296"/>
    <x v="485"/>
    <x v="3"/>
    <x v="4"/>
    <x v="297"/>
    <x v="113"/>
    <x v="2"/>
    <x v="0"/>
    <x v="10"/>
    <x v="0"/>
    <x v="1"/>
    <x v="4"/>
    <x v="1"/>
    <x v="2"/>
    <x v="1"/>
    <x v="2"/>
    <x v="1"/>
    <x v="2"/>
    <x v="0"/>
    <x v="2"/>
    <x v="2"/>
    <x v="3"/>
    <x v="302"/>
    <x v="5"/>
    <x v="0"/>
    <x v="0"/>
    <x v="1"/>
    <x v="0"/>
    <x v="0"/>
    <x v="0"/>
    <x v="0"/>
  </r>
  <r>
    <x v="613"/>
    <x v="140"/>
    <x v="140"/>
    <x v="138"/>
    <x v="486"/>
    <x v="3"/>
    <x v="2"/>
    <x v="144"/>
    <x v="123"/>
    <x v="1"/>
    <x v="24"/>
    <x v="0"/>
    <x v="0"/>
    <x v="3"/>
    <x v="1"/>
    <x v="1"/>
    <x v="2"/>
    <x v="1"/>
    <x v="2"/>
    <x v="1"/>
    <x v="2"/>
    <x v="0"/>
    <x v="1"/>
    <x v="3"/>
    <x v="4"/>
    <x v="139"/>
    <x v="4"/>
    <x v="0"/>
    <x v="0"/>
    <x v="1"/>
    <x v="0"/>
    <x v="0"/>
    <x v="0"/>
    <x v="0"/>
  </r>
  <r>
    <x v="614"/>
    <x v="301"/>
    <x v="302"/>
    <x v="297"/>
    <x v="487"/>
    <x v="1"/>
    <x v="2"/>
    <x v="315"/>
    <x v="249"/>
    <x v="1"/>
    <x v="9"/>
    <x v="0"/>
    <x v="0"/>
    <x v="1"/>
    <x v="1"/>
    <x v="1"/>
    <x v="2"/>
    <x v="1"/>
    <x v="3"/>
    <x v="1"/>
    <x v="1"/>
    <x v="138"/>
    <x v="1"/>
    <x v="1"/>
    <x v="2"/>
    <x v="303"/>
    <x v="5"/>
    <x v="3"/>
    <x v="0"/>
    <x v="1"/>
    <x v="0"/>
    <x v="365"/>
    <x v="185"/>
    <x v="198"/>
  </r>
  <r>
    <x v="615"/>
    <x v="298"/>
    <x v="299"/>
    <x v="294"/>
    <x v="488"/>
    <x v="1"/>
    <x v="2"/>
    <x v="313"/>
    <x v="250"/>
    <x v="2"/>
    <x v="0"/>
    <x v="5"/>
    <x v="0"/>
    <x v="3"/>
    <x v="4"/>
    <x v="1"/>
    <x v="2"/>
    <x v="1"/>
    <x v="2"/>
    <x v="1"/>
    <x v="2"/>
    <x v="0"/>
    <x v="1"/>
    <x v="3"/>
    <x v="4"/>
    <x v="300"/>
    <x v="1"/>
    <x v="0"/>
    <x v="0"/>
    <x v="1"/>
    <x v="0"/>
    <x v="0"/>
    <x v="0"/>
    <x v="0"/>
  </r>
  <r>
    <x v="616"/>
    <x v="302"/>
    <x v="303"/>
    <x v="298"/>
    <x v="489"/>
    <x v="1"/>
    <x v="2"/>
    <x v="316"/>
    <x v="251"/>
    <x v="1"/>
    <x v="0"/>
    <x v="11"/>
    <x v="0"/>
    <x v="1"/>
    <x v="1"/>
    <x v="1"/>
    <x v="2"/>
    <x v="1"/>
    <x v="2"/>
    <x v="1"/>
    <x v="1"/>
    <x v="136"/>
    <x v="2"/>
    <x v="1"/>
    <x v="2"/>
    <x v="304"/>
    <x v="5"/>
    <x v="1"/>
    <x v="1"/>
    <x v="1"/>
    <x v="0"/>
    <x v="366"/>
    <x v="0"/>
    <x v="0"/>
  </r>
  <r>
    <x v="617"/>
    <x v="302"/>
    <x v="303"/>
    <x v="298"/>
    <x v="0"/>
    <x v="1"/>
    <x v="2"/>
    <x v="316"/>
    <x v="251"/>
    <x v="1"/>
    <x v="0"/>
    <x v="12"/>
    <x v="0"/>
    <x v="3"/>
    <x v="1"/>
    <x v="1"/>
    <x v="2"/>
    <x v="1"/>
    <x v="2"/>
    <x v="1"/>
    <x v="2"/>
    <x v="0"/>
    <x v="2"/>
    <x v="3"/>
    <x v="4"/>
    <x v="304"/>
    <x v="5"/>
    <x v="0"/>
    <x v="0"/>
    <x v="1"/>
    <x v="0"/>
    <x v="0"/>
    <x v="0"/>
    <x v="0"/>
  </r>
  <r>
    <x v="618"/>
    <x v="299"/>
    <x v="300"/>
    <x v="295"/>
    <x v="490"/>
    <x v="3"/>
    <x v="2"/>
    <x v="314"/>
    <x v="111"/>
    <x v="1"/>
    <x v="117"/>
    <x v="0"/>
    <x v="0"/>
    <x v="3"/>
    <x v="3"/>
    <x v="2"/>
    <x v="1"/>
    <x v="1"/>
    <x v="2"/>
    <x v="1"/>
    <x v="1"/>
    <x v="139"/>
    <x v="2"/>
    <x v="3"/>
    <x v="4"/>
    <x v="301"/>
    <x v="5"/>
    <x v="1"/>
    <x v="1"/>
    <x v="1"/>
    <x v="0"/>
    <x v="367"/>
    <x v="186"/>
    <x v="0"/>
  </r>
  <r>
    <x v="619"/>
    <x v="296"/>
    <x v="297"/>
    <x v="292"/>
    <x v="491"/>
    <x v="1"/>
    <x v="1"/>
    <x v="311"/>
    <x v="248"/>
    <x v="1"/>
    <x v="3"/>
    <x v="0"/>
    <x v="0"/>
    <x v="3"/>
    <x v="1"/>
    <x v="1"/>
    <x v="2"/>
    <x v="1"/>
    <x v="1"/>
    <x v="1"/>
    <x v="2"/>
    <x v="0"/>
    <x v="1"/>
    <x v="3"/>
    <x v="4"/>
    <x v="298"/>
    <x v="1"/>
    <x v="0"/>
    <x v="0"/>
    <x v="1"/>
    <x v="0"/>
    <x v="0"/>
    <x v="0"/>
    <x v="0"/>
  </r>
  <r>
    <x v="620"/>
    <x v="303"/>
    <x v="304"/>
    <x v="299"/>
    <x v="492"/>
    <x v="1"/>
    <x v="2"/>
    <x v="317"/>
    <x v="252"/>
    <x v="1"/>
    <x v="9"/>
    <x v="0"/>
    <x v="0"/>
    <x v="1"/>
    <x v="1"/>
    <x v="1"/>
    <x v="2"/>
    <x v="1"/>
    <x v="2"/>
    <x v="1"/>
    <x v="2"/>
    <x v="0"/>
    <x v="1"/>
    <x v="1"/>
    <x v="2"/>
    <x v="305"/>
    <x v="12"/>
    <x v="0"/>
    <x v="0"/>
    <x v="1"/>
    <x v="0"/>
    <x v="0"/>
    <x v="0"/>
    <x v="199"/>
  </r>
  <r>
    <x v="621"/>
    <x v="304"/>
    <x v="305"/>
    <x v="300"/>
    <x v="493"/>
    <x v="1"/>
    <x v="2"/>
    <x v="318"/>
    <x v="253"/>
    <x v="2"/>
    <x v="0"/>
    <x v="2"/>
    <x v="0"/>
    <x v="1"/>
    <x v="1"/>
    <x v="1"/>
    <x v="2"/>
    <x v="1"/>
    <x v="3"/>
    <x v="1"/>
    <x v="1"/>
    <x v="139"/>
    <x v="1"/>
    <x v="1"/>
    <x v="2"/>
    <x v="306"/>
    <x v="2"/>
    <x v="1"/>
    <x v="8"/>
    <x v="2"/>
    <x v="1"/>
    <x v="368"/>
    <x v="0"/>
    <x v="0"/>
  </r>
  <r>
    <x v="622"/>
    <x v="305"/>
    <x v="306"/>
    <x v="301"/>
    <x v="494"/>
    <x v="1"/>
    <x v="2"/>
    <x v="319"/>
    <x v="254"/>
    <x v="1"/>
    <x v="15"/>
    <x v="0"/>
    <x v="0"/>
    <x v="1"/>
    <x v="1"/>
    <x v="1"/>
    <x v="1"/>
    <x v="1"/>
    <x v="3"/>
    <x v="1"/>
    <x v="1"/>
    <x v="140"/>
    <x v="1"/>
    <x v="1"/>
    <x v="2"/>
    <x v="307"/>
    <x v="1"/>
    <x v="1"/>
    <x v="4"/>
    <x v="2"/>
    <x v="1"/>
    <x v="369"/>
    <x v="0"/>
    <x v="0"/>
  </r>
  <r>
    <x v="623"/>
    <x v="304"/>
    <x v="305"/>
    <x v="300"/>
    <x v="0"/>
    <x v="1"/>
    <x v="2"/>
    <x v="318"/>
    <x v="50"/>
    <x v="2"/>
    <x v="0"/>
    <x v="2"/>
    <x v="0"/>
    <x v="3"/>
    <x v="2"/>
    <x v="3"/>
    <x v="2"/>
    <x v="1"/>
    <x v="2"/>
    <x v="1"/>
    <x v="1"/>
    <x v="139"/>
    <x v="2"/>
    <x v="3"/>
    <x v="4"/>
    <x v="306"/>
    <x v="8"/>
    <x v="1"/>
    <x v="8"/>
    <x v="1"/>
    <x v="0"/>
    <x v="370"/>
    <x v="0"/>
    <x v="0"/>
  </r>
  <r>
    <x v="624"/>
    <x v="299"/>
    <x v="300"/>
    <x v="295"/>
    <x v="0"/>
    <x v="3"/>
    <x v="2"/>
    <x v="314"/>
    <x v="111"/>
    <x v="1"/>
    <x v="117"/>
    <x v="0"/>
    <x v="0"/>
    <x v="3"/>
    <x v="1"/>
    <x v="1"/>
    <x v="2"/>
    <x v="1"/>
    <x v="2"/>
    <x v="1"/>
    <x v="1"/>
    <x v="141"/>
    <x v="2"/>
    <x v="3"/>
    <x v="4"/>
    <x v="301"/>
    <x v="5"/>
    <x v="1"/>
    <x v="4"/>
    <x v="2"/>
    <x v="1"/>
    <x v="371"/>
    <x v="187"/>
    <x v="200"/>
  </r>
  <r>
    <x v="625"/>
    <x v="304"/>
    <x v="305"/>
    <x v="300"/>
    <x v="0"/>
    <x v="1"/>
    <x v="2"/>
    <x v="318"/>
    <x v="50"/>
    <x v="2"/>
    <x v="0"/>
    <x v="13"/>
    <x v="0"/>
    <x v="3"/>
    <x v="4"/>
    <x v="1"/>
    <x v="2"/>
    <x v="1"/>
    <x v="2"/>
    <x v="1"/>
    <x v="2"/>
    <x v="0"/>
    <x v="2"/>
    <x v="3"/>
    <x v="4"/>
    <x v="306"/>
    <x v="8"/>
    <x v="0"/>
    <x v="0"/>
    <x v="1"/>
    <x v="0"/>
    <x v="0"/>
    <x v="0"/>
    <x v="0"/>
  </r>
  <r>
    <x v="626"/>
    <x v="135"/>
    <x v="135"/>
    <x v="133"/>
    <x v="495"/>
    <x v="1"/>
    <x v="2"/>
    <x v="139"/>
    <x v="119"/>
    <x v="1"/>
    <x v="33"/>
    <x v="0"/>
    <x v="0"/>
    <x v="1"/>
    <x v="3"/>
    <x v="3"/>
    <x v="2"/>
    <x v="1"/>
    <x v="2"/>
    <x v="1"/>
    <x v="1"/>
    <x v="140"/>
    <x v="1"/>
    <x v="6"/>
    <x v="2"/>
    <x v="267"/>
    <x v="11"/>
    <x v="0"/>
    <x v="0"/>
    <x v="1"/>
    <x v="0"/>
    <x v="372"/>
    <x v="0"/>
    <x v="201"/>
  </r>
  <r>
    <x v="627"/>
    <x v="306"/>
    <x v="307"/>
    <x v="302"/>
    <x v="496"/>
    <x v="1"/>
    <x v="2"/>
    <x v="320"/>
    <x v="255"/>
    <x v="1"/>
    <x v="8"/>
    <x v="0"/>
    <x v="0"/>
    <x v="1"/>
    <x v="1"/>
    <x v="1"/>
    <x v="2"/>
    <x v="1"/>
    <x v="1"/>
    <x v="1"/>
    <x v="1"/>
    <x v="141"/>
    <x v="1"/>
    <x v="1"/>
    <x v="2"/>
    <x v="308"/>
    <x v="3"/>
    <x v="1"/>
    <x v="3"/>
    <x v="1"/>
    <x v="0"/>
    <x v="373"/>
    <x v="0"/>
    <x v="202"/>
  </r>
  <r>
    <x v="628"/>
    <x v="307"/>
    <x v="308"/>
    <x v="303"/>
    <x v="497"/>
    <x v="1"/>
    <x v="2"/>
    <x v="321"/>
    <x v="10"/>
    <x v="1"/>
    <x v="15"/>
    <x v="0"/>
    <x v="0"/>
    <x v="1"/>
    <x v="3"/>
    <x v="3"/>
    <x v="1"/>
    <x v="1"/>
    <x v="2"/>
    <x v="1"/>
    <x v="1"/>
    <x v="140"/>
    <x v="1"/>
    <x v="1"/>
    <x v="5"/>
    <x v="309"/>
    <x v="2"/>
    <x v="1"/>
    <x v="12"/>
    <x v="2"/>
    <x v="1"/>
    <x v="374"/>
    <x v="0"/>
    <x v="0"/>
  </r>
  <r>
    <x v="629"/>
    <x v="306"/>
    <x v="307"/>
    <x v="302"/>
    <x v="498"/>
    <x v="1"/>
    <x v="2"/>
    <x v="320"/>
    <x v="255"/>
    <x v="1"/>
    <x v="8"/>
    <x v="0"/>
    <x v="0"/>
    <x v="3"/>
    <x v="1"/>
    <x v="1"/>
    <x v="2"/>
    <x v="2"/>
    <x v="3"/>
    <x v="1"/>
    <x v="1"/>
    <x v="140"/>
    <x v="1"/>
    <x v="3"/>
    <x v="4"/>
    <x v="308"/>
    <x v="4"/>
    <x v="1"/>
    <x v="12"/>
    <x v="2"/>
    <x v="1"/>
    <x v="0"/>
    <x v="0"/>
    <x v="0"/>
  </r>
  <r>
    <x v="630"/>
    <x v="306"/>
    <x v="307"/>
    <x v="302"/>
    <x v="499"/>
    <x v="1"/>
    <x v="2"/>
    <x v="320"/>
    <x v="255"/>
    <x v="1"/>
    <x v="8"/>
    <x v="0"/>
    <x v="0"/>
    <x v="3"/>
    <x v="1"/>
    <x v="1"/>
    <x v="2"/>
    <x v="1"/>
    <x v="1"/>
    <x v="1"/>
    <x v="2"/>
    <x v="0"/>
    <x v="1"/>
    <x v="3"/>
    <x v="4"/>
    <x v="308"/>
    <x v="3"/>
    <x v="0"/>
    <x v="0"/>
    <x v="1"/>
    <x v="0"/>
    <x v="0"/>
    <x v="0"/>
    <x v="0"/>
  </r>
  <r>
    <x v="631"/>
    <x v="308"/>
    <x v="309"/>
    <x v="304"/>
    <x v="500"/>
    <x v="1"/>
    <x v="2"/>
    <x v="322"/>
    <x v="59"/>
    <x v="1"/>
    <x v="3"/>
    <x v="0"/>
    <x v="0"/>
    <x v="1"/>
    <x v="2"/>
    <x v="3"/>
    <x v="2"/>
    <x v="1"/>
    <x v="2"/>
    <x v="1"/>
    <x v="1"/>
    <x v="140"/>
    <x v="1"/>
    <x v="1"/>
    <x v="2"/>
    <x v="310"/>
    <x v="3"/>
    <x v="3"/>
    <x v="0"/>
    <x v="1"/>
    <x v="0"/>
    <x v="375"/>
    <x v="188"/>
    <x v="203"/>
  </r>
  <r>
    <x v="632"/>
    <x v="307"/>
    <x v="308"/>
    <x v="303"/>
    <x v="501"/>
    <x v="1"/>
    <x v="2"/>
    <x v="321"/>
    <x v="179"/>
    <x v="1"/>
    <x v="15"/>
    <x v="0"/>
    <x v="0"/>
    <x v="3"/>
    <x v="1"/>
    <x v="1"/>
    <x v="2"/>
    <x v="1"/>
    <x v="1"/>
    <x v="1"/>
    <x v="2"/>
    <x v="0"/>
    <x v="1"/>
    <x v="3"/>
    <x v="4"/>
    <x v="309"/>
    <x v="11"/>
    <x v="0"/>
    <x v="0"/>
    <x v="1"/>
    <x v="0"/>
    <x v="0"/>
    <x v="0"/>
    <x v="0"/>
  </r>
  <r>
    <x v="633"/>
    <x v="305"/>
    <x v="306"/>
    <x v="301"/>
    <x v="502"/>
    <x v="1"/>
    <x v="2"/>
    <x v="319"/>
    <x v="254"/>
    <x v="1"/>
    <x v="128"/>
    <x v="0"/>
    <x v="0"/>
    <x v="3"/>
    <x v="3"/>
    <x v="2"/>
    <x v="2"/>
    <x v="1"/>
    <x v="3"/>
    <x v="1"/>
    <x v="2"/>
    <x v="0"/>
    <x v="1"/>
    <x v="3"/>
    <x v="4"/>
    <x v="307"/>
    <x v="1"/>
    <x v="0"/>
    <x v="0"/>
    <x v="1"/>
    <x v="0"/>
    <x v="0"/>
    <x v="0"/>
    <x v="204"/>
  </r>
  <r>
    <x v="634"/>
    <x v="306"/>
    <x v="307"/>
    <x v="302"/>
    <x v="503"/>
    <x v="1"/>
    <x v="2"/>
    <x v="320"/>
    <x v="255"/>
    <x v="1"/>
    <x v="8"/>
    <x v="0"/>
    <x v="0"/>
    <x v="3"/>
    <x v="1"/>
    <x v="2"/>
    <x v="2"/>
    <x v="2"/>
    <x v="1"/>
    <x v="1"/>
    <x v="1"/>
    <x v="142"/>
    <x v="1"/>
    <x v="3"/>
    <x v="4"/>
    <x v="308"/>
    <x v="11"/>
    <x v="3"/>
    <x v="0"/>
    <x v="1"/>
    <x v="0"/>
    <x v="376"/>
    <x v="0"/>
    <x v="205"/>
  </r>
  <r>
    <x v="635"/>
    <x v="299"/>
    <x v="300"/>
    <x v="295"/>
    <x v="504"/>
    <x v="3"/>
    <x v="2"/>
    <x v="314"/>
    <x v="111"/>
    <x v="1"/>
    <x v="33"/>
    <x v="0"/>
    <x v="0"/>
    <x v="3"/>
    <x v="1"/>
    <x v="1"/>
    <x v="2"/>
    <x v="1"/>
    <x v="2"/>
    <x v="1"/>
    <x v="1"/>
    <x v="142"/>
    <x v="1"/>
    <x v="3"/>
    <x v="4"/>
    <x v="301"/>
    <x v="1"/>
    <x v="3"/>
    <x v="0"/>
    <x v="1"/>
    <x v="0"/>
    <x v="376"/>
    <x v="0"/>
    <x v="0"/>
  </r>
  <r>
    <x v="636"/>
    <x v="309"/>
    <x v="310"/>
    <x v="305"/>
    <x v="505"/>
    <x v="1"/>
    <x v="2"/>
    <x v="323"/>
    <x v="239"/>
    <x v="1"/>
    <x v="129"/>
    <x v="0"/>
    <x v="0"/>
    <x v="1"/>
    <x v="1"/>
    <x v="2"/>
    <x v="1"/>
    <x v="1"/>
    <x v="2"/>
    <x v="1"/>
    <x v="1"/>
    <x v="143"/>
    <x v="2"/>
    <x v="1"/>
    <x v="2"/>
    <x v="311"/>
    <x v="4"/>
    <x v="1"/>
    <x v="2"/>
    <x v="2"/>
    <x v="1"/>
    <x v="377"/>
    <x v="0"/>
    <x v="206"/>
  </r>
  <r>
    <x v="637"/>
    <x v="309"/>
    <x v="310"/>
    <x v="305"/>
    <x v="506"/>
    <x v="1"/>
    <x v="2"/>
    <x v="323"/>
    <x v="239"/>
    <x v="1"/>
    <x v="129"/>
    <x v="0"/>
    <x v="0"/>
    <x v="3"/>
    <x v="2"/>
    <x v="3"/>
    <x v="1"/>
    <x v="1"/>
    <x v="2"/>
    <x v="1"/>
    <x v="1"/>
    <x v="142"/>
    <x v="1"/>
    <x v="3"/>
    <x v="4"/>
    <x v="311"/>
    <x v="4"/>
    <x v="1"/>
    <x v="1"/>
    <x v="1"/>
    <x v="0"/>
    <x v="378"/>
    <x v="0"/>
    <x v="207"/>
  </r>
  <r>
    <x v="638"/>
    <x v="309"/>
    <x v="310"/>
    <x v="305"/>
    <x v="0"/>
    <x v="1"/>
    <x v="2"/>
    <x v="323"/>
    <x v="196"/>
    <x v="1"/>
    <x v="129"/>
    <x v="0"/>
    <x v="0"/>
    <x v="3"/>
    <x v="4"/>
    <x v="1"/>
    <x v="2"/>
    <x v="1"/>
    <x v="2"/>
    <x v="1"/>
    <x v="2"/>
    <x v="0"/>
    <x v="2"/>
    <x v="3"/>
    <x v="4"/>
    <x v="311"/>
    <x v="5"/>
    <x v="0"/>
    <x v="0"/>
    <x v="1"/>
    <x v="0"/>
    <x v="0"/>
    <x v="0"/>
    <x v="0"/>
  </r>
  <r>
    <x v="639"/>
    <x v="307"/>
    <x v="308"/>
    <x v="303"/>
    <x v="507"/>
    <x v="1"/>
    <x v="2"/>
    <x v="321"/>
    <x v="179"/>
    <x v="1"/>
    <x v="15"/>
    <x v="0"/>
    <x v="0"/>
    <x v="1"/>
    <x v="1"/>
    <x v="1"/>
    <x v="2"/>
    <x v="1"/>
    <x v="2"/>
    <x v="1"/>
    <x v="1"/>
    <x v="144"/>
    <x v="1"/>
    <x v="6"/>
    <x v="3"/>
    <x v="309"/>
    <x v="5"/>
    <x v="1"/>
    <x v="1"/>
    <x v="1"/>
    <x v="0"/>
    <x v="379"/>
    <x v="189"/>
    <x v="208"/>
  </r>
  <r>
    <x v="640"/>
    <x v="310"/>
    <x v="311"/>
    <x v="306"/>
    <x v="508"/>
    <x v="1"/>
    <x v="2"/>
    <x v="324"/>
    <x v="256"/>
    <x v="1"/>
    <x v="130"/>
    <x v="0"/>
    <x v="0"/>
    <x v="1"/>
    <x v="3"/>
    <x v="3"/>
    <x v="2"/>
    <x v="1"/>
    <x v="2"/>
    <x v="1"/>
    <x v="1"/>
    <x v="145"/>
    <x v="1"/>
    <x v="6"/>
    <x v="2"/>
    <x v="312"/>
    <x v="12"/>
    <x v="1"/>
    <x v="1"/>
    <x v="1"/>
    <x v="0"/>
    <x v="380"/>
    <x v="0"/>
    <x v="209"/>
  </r>
  <r>
    <x v="641"/>
    <x v="311"/>
    <x v="312"/>
    <x v="307"/>
    <x v="509"/>
    <x v="1"/>
    <x v="2"/>
    <x v="325"/>
    <x v="144"/>
    <x v="1"/>
    <x v="15"/>
    <x v="0"/>
    <x v="0"/>
    <x v="1"/>
    <x v="1"/>
    <x v="1"/>
    <x v="2"/>
    <x v="1"/>
    <x v="1"/>
    <x v="1"/>
    <x v="1"/>
    <x v="146"/>
    <x v="1"/>
    <x v="6"/>
    <x v="2"/>
    <x v="313"/>
    <x v="12"/>
    <x v="3"/>
    <x v="0"/>
    <x v="1"/>
    <x v="0"/>
    <x v="381"/>
    <x v="190"/>
    <x v="210"/>
  </r>
  <r>
    <x v="642"/>
    <x v="312"/>
    <x v="313"/>
    <x v="308"/>
    <x v="510"/>
    <x v="3"/>
    <x v="2"/>
    <x v="326"/>
    <x v="257"/>
    <x v="1"/>
    <x v="3"/>
    <x v="0"/>
    <x v="0"/>
    <x v="1"/>
    <x v="1"/>
    <x v="2"/>
    <x v="2"/>
    <x v="1"/>
    <x v="2"/>
    <x v="1"/>
    <x v="1"/>
    <x v="147"/>
    <x v="1"/>
    <x v="6"/>
    <x v="3"/>
    <x v="314"/>
    <x v="5"/>
    <x v="1"/>
    <x v="1"/>
    <x v="1"/>
    <x v="0"/>
    <x v="382"/>
    <x v="0"/>
    <x v="211"/>
  </r>
  <r>
    <x v="643"/>
    <x v="307"/>
    <x v="308"/>
    <x v="303"/>
    <x v="0"/>
    <x v="1"/>
    <x v="2"/>
    <x v="321"/>
    <x v="179"/>
    <x v="1"/>
    <x v="15"/>
    <x v="0"/>
    <x v="0"/>
    <x v="3"/>
    <x v="1"/>
    <x v="1"/>
    <x v="2"/>
    <x v="1"/>
    <x v="2"/>
    <x v="1"/>
    <x v="2"/>
    <x v="0"/>
    <x v="2"/>
    <x v="3"/>
    <x v="4"/>
    <x v="309"/>
    <x v="5"/>
    <x v="0"/>
    <x v="0"/>
    <x v="1"/>
    <x v="0"/>
    <x v="0"/>
    <x v="0"/>
    <x v="0"/>
  </r>
  <r>
    <x v="644"/>
    <x v="310"/>
    <x v="311"/>
    <x v="306"/>
    <x v="0"/>
    <x v="1"/>
    <x v="2"/>
    <x v="324"/>
    <x v="258"/>
    <x v="1"/>
    <x v="2"/>
    <x v="0"/>
    <x v="0"/>
    <x v="3"/>
    <x v="1"/>
    <x v="1"/>
    <x v="2"/>
    <x v="1"/>
    <x v="2"/>
    <x v="1"/>
    <x v="2"/>
    <x v="0"/>
    <x v="2"/>
    <x v="3"/>
    <x v="4"/>
    <x v="312"/>
    <x v="5"/>
    <x v="0"/>
    <x v="0"/>
    <x v="1"/>
    <x v="0"/>
    <x v="0"/>
    <x v="0"/>
    <x v="208"/>
  </r>
  <r>
    <x v="645"/>
    <x v="313"/>
    <x v="314"/>
    <x v="309"/>
    <x v="511"/>
    <x v="1"/>
    <x v="1"/>
    <x v="327"/>
    <x v="119"/>
    <x v="1"/>
    <x v="9"/>
    <x v="0"/>
    <x v="0"/>
    <x v="1"/>
    <x v="1"/>
    <x v="1"/>
    <x v="2"/>
    <x v="1"/>
    <x v="1"/>
    <x v="1"/>
    <x v="1"/>
    <x v="147"/>
    <x v="1"/>
    <x v="4"/>
    <x v="2"/>
    <x v="315"/>
    <x v="12"/>
    <x v="1"/>
    <x v="1"/>
    <x v="1"/>
    <x v="0"/>
    <x v="383"/>
    <x v="0"/>
    <x v="0"/>
  </r>
  <r>
    <x v="646"/>
    <x v="314"/>
    <x v="315"/>
    <x v="310"/>
    <x v="512"/>
    <x v="3"/>
    <x v="2"/>
    <x v="328"/>
    <x v="259"/>
    <x v="1"/>
    <x v="131"/>
    <x v="0"/>
    <x v="0"/>
    <x v="1"/>
    <x v="1"/>
    <x v="1"/>
    <x v="2"/>
    <x v="1"/>
    <x v="1"/>
    <x v="1"/>
    <x v="2"/>
    <x v="0"/>
    <x v="1"/>
    <x v="6"/>
    <x v="2"/>
    <x v="316"/>
    <x v="12"/>
    <x v="0"/>
    <x v="0"/>
    <x v="1"/>
    <x v="0"/>
    <x v="0"/>
    <x v="0"/>
    <x v="0"/>
  </r>
  <r>
    <x v="647"/>
    <x v="313"/>
    <x v="314"/>
    <x v="309"/>
    <x v="0"/>
    <x v="1"/>
    <x v="1"/>
    <x v="327"/>
    <x v="119"/>
    <x v="1"/>
    <x v="9"/>
    <x v="0"/>
    <x v="0"/>
    <x v="3"/>
    <x v="1"/>
    <x v="1"/>
    <x v="2"/>
    <x v="1"/>
    <x v="2"/>
    <x v="1"/>
    <x v="2"/>
    <x v="0"/>
    <x v="2"/>
    <x v="3"/>
    <x v="4"/>
    <x v="315"/>
    <x v="5"/>
    <x v="0"/>
    <x v="0"/>
    <x v="1"/>
    <x v="0"/>
    <x v="0"/>
    <x v="0"/>
    <x v="0"/>
  </r>
  <r>
    <x v="648"/>
    <x v="312"/>
    <x v="313"/>
    <x v="308"/>
    <x v="0"/>
    <x v="3"/>
    <x v="2"/>
    <x v="326"/>
    <x v="257"/>
    <x v="1"/>
    <x v="3"/>
    <x v="0"/>
    <x v="0"/>
    <x v="3"/>
    <x v="3"/>
    <x v="2"/>
    <x v="2"/>
    <x v="1"/>
    <x v="2"/>
    <x v="1"/>
    <x v="1"/>
    <x v="148"/>
    <x v="2"/>
    <x v="3"/>
    <x v="4"/>
    <x v="314"/>
    <x v="5"/>
    <x v="1"/>
    <x v="1"/>
    <x v="2"/>
    <x v="1"/>
    <x v="384"/>
    <x v="0"/>
    <x v="211"/>
  </r>
  <r>
    <x v="649"/>
    <x v="315"/>
    <x v="316"/>
    <x v="311"/>
    <x v="513"/>
    <x v="1"/>
    <x v="2"/>
    <x v="329"/>
    <x v="260"/>
    <x v="1"/>
    <x v="9"/>
    <x v="0"/>
    <x v="0"/>
    <x v="1"/>
    <x v="3"/>
    <x v="3"/>
    <x v="1"/>
    <x v="1"/>
    <x v="3"/>
    <x v="1"/>
    <x v="1"/>
    <x v="148"/>
    <x v="1"/>
    <x v="1"/>
    <x v="2"/>
    <x v="317"/>
    <x v="1"/>
    <x v="1"/>
    <x v="5"/>
    <x v="2"/>
    <x v="1"/>
    <x v="385"/>
    <x v="0"/>
    <x v="0"/>
  </r>
  <r>
    <x v="650"/>
    <x v="316"/>
    <x v="317"/>
    <x v="312"/>
    <x v="514"/>
    <x v="1"/>
    <x v="2"/>
    <x v="330"/>
    <x v="92"/>
    <x v="1"/>
    <x v="132"/>
    <x v="0"/>
    <x v="0"/>
    <x v="1"/>
    <x v="2"/>
    <x v="3"/>
    <x v="1"/>
    <x v="1"/>
    <x v="2"/>
    <x v="1"/>
    <x v="1"/>
    <x v="148"/>
    <x v="1"/>
    <x v="6"/>
    <x v="2"/>
    <x v="318"/>
    <x v="3"/>
    <x v="1"/>
    <x v="1"/>
    <x v="1"/>
    <x v="0"/>
    <x v="386"/>
    <x v="191"/>
    <x v="194"/>
  </r>
  <r>
    <x v="651"/>
    <x v="317"/>
    <x v="316"/>
    <x v="311"/>
    <x v="515"/>
    <x v="1"/>
    <x v="2"/>
    <x v="331"/>
    <x v="10"/>
    <x v="1"/>
    <x v="9"/>
    <x v="0"/>
    <x v="0"/>
    <x v="3"/>
    <x v="1"/>
    <x v="1"/>
    <x v="2"/>
    <x v="1"/>
    <x v="2"/>
    <x v="1"/>
    <x v="2"/>
    <x v="0"/>
    <x v="1"/>
    <x v="3"/>
    <x v="4"/>
    <x v="317"/>
    <x v="2"/>
    <x v="0"/>
    <x v="0"/>
    <x v="1"/>
    <x v="0"/>
    <x v="0"/>
    <x v="0"/>
    <x v="0"/>
  </r>
  <r>
    <x v="652"/>
    <x v="318"/>
    <x v="318"/>
    <x v="313"/>
    <x v="516"/>
    <x v="1"/>
    <x v="2"/>
    <x v="332"/>
    <x v="261"/>
    <x v="1"/>
    <x v="9"/>
    <x v="0"/>
    <x v="0"/>
    <x v="1"/>
    <x v="3"/>
    <x v="3"/>
    <x v="2"/>
    <x v="1"/>
    <x v="3"/>
    <x v="1"/>
    <x v="1"/>
    <x v="149"/>
    <x v="1"/>
    <x v="1"/>
    <x v="2"/>
    <x v="319"/>
    <x v="1"/>
    <x v="1"/>
    <x v="7"/>
    <x v="1"/>
    <x v="0"/>
    <x v="387"/>
    <x v="192"/>
    <x v="212"/>
  </r>
  <r>
    <x v="653"/>
    <x v="178"/>
    <x v="176"/>
    <x v="174"/>
    <x v="517"/>
    <x v="1"/>
    <x v="2"/>
    <x v="186"/>
    <x v="153"/>
    <x v="1"/>
    <x v="44"/>
    <x v="0"/>
    <x v="0"/>
    <x v="1"/>
    <x v="2"/>
    <x v="3"/>
    <x v="2"/>
    <x v="1"/>
    <x v="2"/>
    <x v="1"/>
    <x v="1"/>
    <x v="149"/>
    <x v="2"/>
    <x v="1"/>
    <x v="2"/>
    <x v="175"/>
    <x v="3"/>
    <x v="3"/>
    <x v="0"/>
    <x v="1"/>
    <x v="0"/>
    <x v="388"/>
    <x v="193"/>
    <x v="0"/>
  </r>
  <r>
    <x v="654"/>
    <x v="312"/>
    <x v="313"/>
    <x v="308"/>
    <x v="518"/>
    <x v="3"/>
    <x v="2"/>
    <x v="326"/>
    <x v="257"/>
    <x v="1"/>
    <x v="3"/>
    <x v="0"/>
    <x v="0"/>
    <x v="3"/>
    <x v="1"/>
    <x v="1"/>
    <x v="2"/>
    <x v="1"/>
    <x v="2"/>
    <x v="1"/>
    <x v="2"/>
    <x v="0"/>
    <x v="2"/>
    <x v="3"/>
    <x v="4"/>
    <x v="314"/>
    <x v="5"/>
    <x v="0"/>
    <x v="0"/>
    <x v="1"/>
    <x v="0"/>
    <x v="0"/>
    <x v="0"/>
    <x v="0"/>
  </r>
  <r>
    <x v="655"/>
    <x v="319"/>
    <x v="319"/>
    <x v="314"/>
    <x v="519"/>
    <x v="1"/>
    <x v="2"/>
    <x v="333"/>
    <x v="121"/>
    <x v="1"/>
    <x v="133"/>
    <x v="0"/>
    <x v="0"/>
    <x v="1"/>
    <x v="2"/>
    <x v="3"/>
    <x v="2"/>
    <x v="1"/>
    <x v="2"/>
    <x v="1"/>
    <x v="1"/>
    <x v="149"/>
    <x v="1"/>
    <x v="1"/>
    <x v="1"/>
    <x v="320"/>
    <x v="3"/>
    <x v="1"/>
    <x v="7"/>
    <x v="1"/>
    <x v="0"/>
    <x v="389"/>
    <x v="194"/>
    <x v="0"/>
  </r>
  <r>
    <x v="656"/>
    <x v="320"/>
    <x v="320"/>
    <x v="315"/>
    <x v="520"/>
    <x v="1"/>
    <x v="2"/>
    <x v="334"/>
    <x v="262"/>
    <x v="6"/>
    <x v="0"/>
    <x v="0"/>
    <x v="14"/>
    <x v="1"/>
    <x v="2"/>
    <x v="3"/>
    <x v="2"/>
    <x v="1"/>
    <x v="3"/>
    <x v="1"/>
    <x v="1"/>
    <x v="149"/>
    <x v="1"/>
    <x v="1"/>
    <x v="2"/>
    <x v="321"/>
    <x v="3"/>
    <x v="3"/>
    <x v="0"/>
    <x v="1"/>
    <x v="0"/>
    <x v="390"/>
    <x v="195"/>
    <x v="0"/>
  </r>
  <r>
    <x v="657"/>
    <x v="321"/>
    <x v="321"/>
    <x v="316"/>
    <x v="521"/>
    <x v="1"/>
    <x v="2"/>
    <x v="335"/>
    <x v="263"/>
    <x v="1"/>
    <x v="36"/>
    <x v="0"/>
    <x v="0"/>
    <x v="1"/>
    <x v="1"/>
    <x v="1"/>
    <x v="2"/>
    <x v="1"/>
    <x v="1"/>
    <x v="1"/>
    <x v="2"/>
    <x v="0"/>
    <x v="1"/>
    <x v="1"/>
    <x v="2"/>
    <x v="322"/>
    <x v="11"/>
    <x v="0"/>
    <x v="0"/>
    <x v="1"/>
    <x v="0"/>
    <x v="0"/>
    <x v="0"/>
    <x v="0"/>
  </r>
  <r>
    <x v="658"/>
    <x v="322"/>
    <x v="322"/>
    <x v="317"/>
    <x v="522"/>
    <x v="1"/>
    <x v="2"/>
    <x v="336"/>
    <x v="36"/>
    <x v="1"/>
    <x v="134"/>
    <x v="0"/>
    <x v="0"/>
    <x v="1"/>
    <x v="1"/>
    <x v="1"/>
    <x v="2"/>
    <x v="1"/>
    <x v="2"/>
    <x v="1"/>
    <x v="2"/>
    <x v="0"/>
    <x v="1"/>
    <x v="1"/>
    <x v="2"/>
    <x v="323"/>
    <x v="3"/>
    <x v="0"/>
    <x v="0"/>
    <x v="1"/>
    <x v="0"/>
    <x v="0"/>
    <x v="0"/>
    <x v="0"/>
  </r>
  <r>
    <x v="659"/>
    <x v="316"/>
    <x v="317"/>
    <x v="312"/>
    <x v="0"/>
    <x v="1"/>
    <x v="2"/>
    <x v="330"/>
    <x v="92"/>
    <x v="1"/>
    <x v="132"/>
    <x v="0"/>
    <x v="0"/>
    <x v="3"/>
    <x v="1"/>
    <x v="1"/>
    <x v="2"/>
    <x v="1"/>
    <x v="2"/>
    <x v="1"/>
    <x v="2"/>
    <x v="0"/>
    <x v="2"/>
    <x v="3"/>
    <x v="4"/>
    <x v="318"/>
    <x v="5"/>
    <x v="0"/>
    <x v="0"/>
    <x v="1"/>
    <x v="0"/>
    <x v="0"/>
    <x v="0"/>
    <x v="0"/>
  </r>
  <r>
    <x v="660"/>
    <x v="318"/>
    <x v="318"/>
    <x v="313"/>
    <x v="0"/>
    <x v="1"/>
    <x v="2"/>
    <x v="337"/>
    <x v="261"/>
    <x v="1"/>
    <x v="9"/>
    <x v="0"/>
    <x v="0"/>
    <x v="3"/>
    <x v="4"/>
    <x v="1"/>
    <x v="2"/>
    <x v="1"/>
    <x v="2"/>
    <x v="1"/>
    <x v="2"/>
    <x v="0"/>
    <x v="2"/>
    <x v="3"/>
    <x v="4"/>
    <x v="324"/>
    <x v="12"/>
    <x v="0"/>
    <x v="0"/>
    <x v="1"/>
    <x v="0"/>
    <x v="0"/>
    <x v="0"/>
    <x v="0"/>
  </r>
  <r>
    <x v="661"/>
    <x v="323"/>
    <x v="323"/>
    <x v="318"/>
    <x v="523"/>
    <x v="1"/>
    <x v="1"/>
    <x v="43"/>
    <x v="264"/>
    <x v="1"/>
    <x v="135"/>
    <x v="0"/>
    <x v="0"/>
    <x v="1"/>
    <x v="1"/>
    <x v="1"/>
    <x v="2"/>
    <x v="1"/>
    <x v="2"/>
    <x v="1"/>
    <x v="2"/>
    <x v="0"/>
    <x v="1"/>
    <x v="1"/>
    <x v="2"/>
    <x v="325"/>
    <x v="12"/>
    <x v="0"/>
    <x v="0"/>
    <x v="1"/>
    <x v="0"/>
    <x v="0"/>
    <x v="0"/>
    <x v="0"/>
  </r>
  <r>
    <x v="662"/>
    <x v="319"/>
    <x v="319"/>
    <x v="314"/>
    <x v="0"/>
    <x v="1"/>
    <x v="2"/>
    <x v="333"/>
    <x v="265"/>
    <x v="1"/>
    <x v="133"/>
    <x v="0"/>
    <x v="0"/>
    <x v="3"/>
    <x v="1"/>
    <x v="1"/>
    <x v="1"/>
    <x v="1"/>
    <x v="2"/>
    <x v="1"/>
    <x v="2"/>
    <x v="0"/>
    <x v="2"/>
    <x v="1"/>
    <x v="4"/>
    <x v="320"/>
    <x v="12"/>
    <x v="0"/>
    <x v="0"/>
    <x v="1"/>
    <x v="0"/>
    <x v="0"/>
    <x v="0"/>
    <x v="213"/>
  </r>
  <r>
    <x v="663"/>
    <x v="324"/>
    <x v="324"/>
    <x v="319"/>
    <x v="524"/>
    <x v="1"/>
    <x v="2"/>
    <x v="338"/>
    <x v="266"/>
    <x v="1"/>
    <x v="1"/>
    <x v="0"/>
    <x v="0"/>
    <x v="1"/>
    <x v="2"/>
    <x v="3"/>
    <x v="2"/>
    <x v="1"/>
    <x v="2"/>
    <x v="1"/>
    <x v="1"/>
    <x v="150"/>
    <x v="1"/>
    <x v="5"/>
    <x v="3"/>
    <x v="326"/>
    <x v="2"/>
    <x v="3"/>
    <x v="0"/>
    <x v="1"/>
    <x v="0"/>
    <x v="391"/>
    <x v="196"/>
    <x v="0"/>
  </r>
  <r>
    <x v="664"/>
    <x v="325"/>
    <x v="325"/>
    <x v="320"/>
    <x v="525"/>
    <x v="1"/>
    <x v="2"/>
    <x v="339"/>
    <x v="267"/>
    <x v="1"/>
    <x v="9"/>
    <x v="0"/>
    <x v="0"/>
    <x v="1"/>
    <x v="1"/>
    <x v="1"/>
    <x v="2"/>
    <x v="1"/>
    <x v="2"/>
    <x v="1"/>
    <x v="2"/>
    <x v="0"/>
    <x v="1"/>
    <x v="1"/>
    <x v="2"/>
    <x v="327"/>
    <x v="11"/>
    <x v="0"/>
    <x v="0"/>
    <x v="1"/>
    <x v="0"/>
    <x v="0"/>
    <x v="0"/>
    <x v="0"/>
  </r>
  <r>
    <x v="665"/>
    <x v="312"/>
    <x v="313"/>
    <x v="308"/>
    <x v="526"/>
    <x v="3"/>
    <x v="2"/>
    <x v="326"/>
    <x v="268"/>
    <x v="1"/>
    <x v="9"/>
    <x v="0"/>
    <x v="0"/>
    <x v="1"/>
    <x v="3"/>
    <x v="2"/>
    <x v="2"/>
    <x v="1"/>
    <x v="3"/>
    <x v="1"/>
    <x v="1"/>
    <x v="151"/>
    <x v="1"/>
    <x v="1"/>
    <x v="2"/>
    <x v="314"/>
    <x v="11"/>
    <x v="1"/>
    <x v="4"/>
    <x v="2"/>
    <x v="1"/>
    <x v="392"/>
    <x v="197"/>
    <x v="214"/>
  </r>
  <r>
    <x v="666"/>
    <x v="141"/>
    <x v="141"/>
    <x v="139"/>
    <x v="527"/>
    <x v="1"/>
    <x v="1"/>
    <x v="145"/>
    <x v="125"/>
    <x v="1"/>
    <x v="9"/>
    <x v="0"/>
    <x v="0"/>
    <x v="1"/>
    <x v="1"/>
    <x v="1"/>
    <x v="2"/>
    <x v="1"/>
    <x v="2"/>
    <x v="1"/>
    <x v="2"/>
    <x v="0"/>
    <x v="1"/>
    <x v="7"/>
    <x v="2"/>
    <x v="140"/>
    <x v="12"/>
    <x v="0"/>
    <x v="0"/>
    <x v="1"/>
    <x v="0"/>
    <x v="0"/>
    <x v="0"/>
    <x v="0"/>
  </r>
  <r>
    <x v="667"/>
    <x v="326"/>
    <x v="326"/>
    <x v="321"/>
    <x v="528"/>
    <x v="3"/>
    <x v="1"/>
    <x v="340"/>
    <x v="123"/>
    <x v="2"/>
    <x v="0"/>
    <x v="2"/>
    <x v="0"/>
    <x v="1"/>
    <x v="1"/>
    <x v="1"/>
    <x v="2"/>
    <x v="1"/>
    <x v="2"/>
    <x v="1"/>
    <x v="2"/>
    <x v="0"/>
    <x v="1"/>
    <x v="7"/>
    <x v="2"/>
    <x v="328"/>
    <x v="12"/>
    <x v="0"/>
    <x v="0"/>
    <x v="1"/>
    <x v="0"/>
    <x v="0"/>
    <x v="0"/>
    <x v="0"/>
  </r>
  <r>
    <x v="668"/>
    <x v="327"/>
    <x v="327"/>
    <x v="322"/>
    <x v="529"/>
    <x v="1"/>
    <x v="2"/>
    <x v="341"/>
    <x v="269"/>
    <x v="1"/>
    <x v="136"/>
    <x v="0"/>
    <x v="0"/>
    <x v="1"/>
    <x v="3"/>
    <x v="3"/>
    <x v="2"/>
    <x v="1"/>
    <x v="3"/>
    <x v="2"/>
    <x v="1"/>
    <x v="152"/>
    <x v="1"/>
    <x v="7"/>
    <x v="2"/>
    <x v="329"/>
    <x v="1"/>
    <x v="1"/>
    <x v="1"/>
    <x v="2"/>
    <x v="1"/>
    <x v="393"/>
    <x v="198"/>
    <x v="0"/>
  </r>
  <r>
    <x v="669"/>
    <x v="328"/>
    <x v="328"/>
    <x v="323"/>
    <x v="530"/>
    <x v="1"/>
    <x v="2"/>
    <x v="342"/>
    <x v="270"/>
    <x v="1"/>
    <x v="15"/>
    <x v="0"/>
    <x v="0"/>
    <x v="1"/>
    <x v="1"/>
    <x v="1"/>
    <x v="2"/>
    <x v="1"/>
    <x v="2"/>
    <x v="1"/>
    <x v="2"/>
    <x v="0"/>
    <x v="1"/>
    <x v="1"/>
    <x v="2"/>
    <x v="330"/>
    <x v="12"/>
    <x v="0"/>
    <x v="0"/>
    <x v="1"/>
    <x v="0"/>
    <x v="0"/>
    <x v="0"/>
    <x v="0"/>
  </r>
  <r>
    <x v="670"/>
    <x v="312"/>
    <x v="313"/>
    <x v="308"/>
    <x v="531"/>
    <x v="3"/>
    <x v="2"/>
    <x v="326"/>
    <x v="271"/>
    <x v="1"/>
    <x v="9"/>
    <x v="0"/>
    <x v="0"/>
    <x v="3"/>
    <x v="1"/>
    <x v="1"/>
    <x v="2"/>
    <x v="1"/>
    <x v="3"/>
    <x v="1"/>
    <x v="2"/>
    <x v="0"/>
    <x v="1"/>
    <x v="3"/>
    <x v="4"/>
    <x v="314"/>
    <x v="1"/>
    <x v="0"/>
    <x v="0"/>
    <x v="1"/>
    <x v="0"/>
    <x v="0"/>
    <x v="0"/>
    <x v="215"/>
  </r>
  <r>
    <x v="671"/>
    <x v="329"/>
    <x v="329"/>
    <x v="324"/>
    <x v="532"/>
    <x v="1"/>
    <x v="2"/>
    <x v="343"/>
    <x v="272"/>
    <x v="1"/>
    <x v="137"/>
    <x v="0"/>
    <x v="0"/>
    <x v="1"/>
    <x v="1"/>
    <x v="1"/>
    <x v="2"/>
    <x v="1"/>
    <x v="3"/>
    <x v="1"/>
    <x v="2"/>
    <x v="0"/>
    <x v="1"/>
    <x v="6"/>
    <x v="3"/>
    <x v="331"/>
    <x v="5"/>
    <x v="0"/>
    <x v="0"/>
    <x v="1"/>
    <x v="0"/>
    <x v="0"/>
    <x v="0"/>
    <x v="0"/>
  </r>
  <r>
    <x v="672"/>
    <x v="327"/>
    <x v="327"/>
    <x v="322"/>
    <x v="533"/>
    <x v="1"/>
    <x v="1"/>
    <x v="341"/>
    <x v="269"/>
    <x v="1"/>
    <x v="15"/>
    <x v="0"/>
    <x v="0"/>
    <x v="3"/>
    <x v="1"/>
    <x v="1"/>
    <x v="2"/>
    <x v="1"/>
    <x v="2"/>
    <x v="1"/>
    <x v="2"/>
    <x v="0"/>
    <x v="2"/>
    <x v="3"/>
    <x v="4"/>
    <x v="329"/>
    <x v="5"/>
    <x v="0"/>
    <x v="0"/>
    <x v="1"/>
    <x v="0"/>
    <x v="0"/>
    <x v="0"/>
    <x v="0"/>
  </r>
  <r>
    <x v="673"/>
    <x v="330"/>
    <x v="330"/>
    <x v="325"/>
    <x v="534"/>
    <x v="1"/>
    <x v="1"/>
    <x v="344"/>
    <x v="196"/>
    <x v="6"/>
    <x v="0"/>
    <x v="0"/>
    <x v="15"/>
    <x v="1"/>
    <x v="1"/>
    <x v="1"/>
    <x v="2"/>
    <x v="1"/>
    <x v="2"/>
    <x v="1"/>
    <x v="1"/>
    <x v="153"/>
    <x v="1"/>
    <x v="6"/>
    <x v="3"/>
    <x v="332"/>
    <x v="5"/>
    <x v="3"/>
    <x v="0"/>
    <x v="1"/>
    <x v="0"/>
    <x v="394"/>
    <x v="199"/>
    <x v="0"/>
  </r>
  <r>
    <x v="674"/>
    <x v="331"/>
    <x v="331"/>
    <x v="326"/>
    <x v="535"/>
    <x v="3"/>
    <x v="2"/>
    <x v="345"/>
    <x v="273"/>
    <x v="1"/>
    <x v="15"/>
    <x v="0"/>
    <x v="0"/>
    <x v="1"/>
    <x v="1"/>
    <x v="1"/>
    <x v="2"/>
    <x v="1"/>
    <x v="3"/>
    <x v="1"/>
    <x v="1"/>
    <x v="152"/>
    <x v="2"/>
    <x v="4"/>
    <x v="2"/>
    <x v="333"/>
    <x v="1"/>
    <x v="1"/>
    <x v="4"/>
    <x v="2"/>
    <x v="1"/>
    <x v="395"/>
    <x v="0"/>
    <x v="0"/>
  </r>
  <r>
    <x v="675"/>
    <x v="331"/>
    <x v="331"/>
    <x v="326"/>
    <x v="536"/>
    <x v="3"/>
    <x v="2"/>
    <x v="346"/>
    <x v="273"/>
    <x v="2"/>
    <x v="0"/>
    <x v="6"/>
    <x v="0"/>
    <x v="3"/>
    <x v="3"/>
    <x v="3"/>
    <x v="2"/>
    <x v="1"/>
    <x v="3"/>
    <x v="1"/>
    <x v="1"/>
    <x v="153"/>
    <x v="2"/>
    <x v="3"/>
    <x v="4"/>
    <x v="333"/>
    <x v="1"/>
    <x v="1"/>
    <x v="4"/>
    <x v="2"/>
    <x v="1"/>
    <x v="396"/>
    <x v="0"/>
    <x v="0"/>
  </r>
  <r>
    <x v="676"/>
    <x v="332"/>
    <x v="332"/>
    <x v="327"/>
    <x v="537"/>
    <x v="1"/>
    <x v="2"/>
    <x v="347"/>
    <x v="274"/>
    <x v="1"/>
    <x v="22"/>
    <x v="0"/>
    <x v="0"/>
    <x v="1"/>
    <x v="1"/>
    <x v="2"/>
    <x v="2"/>
    <x v="1"/>
    <x v="2"/>
    <x v="1"/>
    <x v="1"/>
    <x v="154"/>
    <x v="1"/>
    <x v="6"/>
    <x v="2"/>
    <x v="334"/>
    <x v="12"/>
    <x v="3"/>
    <x v="0"/>
    <x v="1"/>
    <x v="0"/>
    <x v="397"/>
    <x v="200"/>
    <x v="216"/>
  </r>
  <r>
    <x v="677"/>
    <x v="331"/>
    <x v="331"/>
    <x v="326"/>
    <x v="538"/>
    <x v="3"/>
    <x v="2"/>
    <x v="346"/>
    <x v="273"/>
    <x v="1"/>
    <x v="15"/>
    <x v="0"/>
    <x v="0"/>
    <x v="3"/>
    <x v="1"/>
    <x v="1"/>
    <x v="2"/>
    <x v="1"/>
    <x v="3"/>
    <x v="1"/>
    <x v="2"/>
    <x v="0"/>
    <x v="2"/>
    <x v="3"/>
    <x v="4"/>
    <x v="333"/>
    <x v="1"/>
    <x v="0"/>
    <x v="0"/>
    <x v="1"/>
    <x v="0"/>
    <x v="0"/>
    <x v="0"/>
    <x v="0"/>
  </r>
  <r>
    <x v="678"/>
    <x v="333"/>
    <x v="333"/>
    <x v="328"/>
    <x v="539"/>
    <x v="3"/>
    <x v="2"/>
    <x v="348"/>
    <x v="275"/>
    <x v="1"/>
    <x v="22"/>
    <x v="0"/>
    <x v="0"/>
    <x v="1"/>
    <x v="3"/>
    <x v="3"/>
    <x v="2"/>
    <x v="1"/>
    <x v="3"/>
    <x v="1"/>
    <x v="1"/>
    <x v="154"/>
    <x v="1"/>
    <x v="6"/>
    <x v="2"/>
    <x v="335"/>
    <x v="1"/>
    <x v="3"/>
    <x v="0"/>
    <x v="1"/>
    <x v="0"/>
    <x v="398"/>
    <x v="0"/>
    <x v="217"/>
  </r>
  <r>
    <x v="679"/>
    <x v="334"/>
    <x v="334"/>
    <x v="329"/>
    <x v="540"/>
    <x v="3"/>
    <x v="2"/>
    <x v="349"/>
    <x v="276"/>
    <x v="2"/>
    <x v="0"/>
    <x v="2"/>
    <x v="0"/>
    <x v="1"/>
    <x v="1"/>
    <x v="1"/>
    <x v="2"/>
    <x v="1"/>
    <x v="2"/>
    <x v="1"/>
    <x v="1"/>
    <x v="154"/>
    <x v="1"/>
    <x v="6"/>
    <x v="2"/>
    <x v="336"/>
    <x v="12"/>
    <x v="3"/>
    <x v="0"/>
    <x v="1"/>
    <x v="0"/>
    <x v="0"/>
    <x v="201"/>
    <x v="218"/>
  </r>
  <r>
    <x v="680"/>
    <x v="335"/>
    <x v="335"/>
    <x v="330"/>
    <x v="541"/>
    <x v="1"/>
    <x v="2"/>
    <x v="350"/>
    <x v="269"/>
    <x v="1"/>
    <x v="33"/>
    <x v="0"/>
    <x v="0"/>
    <x v="1"/>
    <x v="3"/>
    <x v="3"/>
    <x v="1"/>
    <x v="1"/>
    <x v="2"/>
    <x v="1"/>
    <x v="1"/>
    <x v="155"/>
    <x v="1"/>
    <x v="4"/>
    <x v="2"/>
    <x v="337"/>
    <x v="12"/>
    <x v="1"/>
    <x v="12"/>
    <x v="2"/>
    <x v="1"/>
    <x v="0"/>
    <x v="0"/>
    <x v="0"/>
  </r>
  <r>
    <x v="681"/>
    <x v="193"/>
    <x v="191"/>
    <x v="189"/>
    <x v="542"/>
    <x v="1"/>
    <x v="2"/>
    <x v="202"/>
    <x v="165"/>
    <x v="1"/>
    <x v="79"/>
    <x v="0"/>
    <x v="0"/>
    <x v="1"/>
    <x v="1"/>
    <x v="1"/>
    <x v="2"/>
    <x v="1"/>
    <x v="2"/>
    <x v="1"/>
    <x v="2"/>
    <x v="0"/>
    <x v="1"/>
    <x v="1"/>
    <x v="2"/>
    <x v="191"/>
    <x v="3"/>
    <x v="0"/>
    <x v="0"/>
    <x v="1"/>
    <x v="0"/>
    <x v="0"/>
    <x v="0"/>
    <x v="0"/>
  </r>
  <r>
    <x v="682"/>
    <x v="336"/>
    <x v="336"/>
    <x v="331"/>
    <x v="543"/>
    <x v="1"/>
    <x v="2"/>
    <x v="351"/>
    <x v="251"/>
    <x v="1"/>
    <x v="4"/>
    <x v="0"/>
    <x v="0"/>
    <x v="1"/>
    <x v="3"/>
    <x v="3"/>
    <x v="2"/>
    <x v="1"/>
    <x v="2"/>
    <x v="1"/>
    <x v="1"/>
    <x v="155"/>
    <x v="1"/>
    <x v="1"/>
    <x v="2"/>
    <x v="338"/>
    <x v="12"/>
    <x v="1"/>
    <x v="5"/>
    <x v="2"/>
    <x v="1"/>
    <x v="399"/>
    <x v="0"/>
    <x v="0"/>
  </r>
  <r>
    <x v="683"/>
    <x v="337"/>
    <x v="337"/>
    <x v="332"/>
    <x v="544"/>
    <x v="3"/>
    <x v="2"/>
    <x v="352"/>
    <x v="277"/>
    <x v="1"/>
    <x v="138"/>
    <x v="0"/>
    <x v="0"/>
    <x v="1"/>
    <x v="3"/>
    <x v="2"/>
    <x v="2"/>
    <x v="1"/>
    <x v="2"/>
    <x v="1"/>
    <x v="1"/>
    <x v="156"/>
    <x v="1"/>
    <x v="2"/>
    <x v="3"/>
    <x v="339"/>
    <x v="2"/>
    <x v="1"/>
    <x v="4"/>
    <x v="2"/>
    <x v="1"/>
    <x v="400"/>
    <x v="0"/>
    <x v="0"/>
  </r>
  <r>
    <x v="684"/>
    <x v="335"/>
    <x v="335"/>
    <x v="330"/>
    <x v="545"/>
    <x v="1"/>
    <x v="2"/>
    <x v="350"/>
    <x v="269"/>
    <x v="1"/>
    <x v="33"/>
    <x v="0"/>
    <x v="0"/>
    <x v="3"/>
    <x v="1"/>
    <x v="1"/>
    <x v="2"/>
    <x v="1"/>
    <x v="3"/>
    <x v="1"/>
    <x v="1"/>
    <x v="157"/>
    <x v="1"/>
    <x v="3"/>
    <x v="4"/>
    <x v="337"/>
    <x v="11"/>
    <x v="1"/>
    <x v="1"/>
    <x v="2"/>
    <x v="1"/>
    <x v="401"/>
    <x v="0"/>
    <x v="0"/>
  </r>
  <r>
    <x v="685"/>
    <x v="338"/>
    <x v="338"/>
    <x v="333"/>
    <x v="546"/>
    <x v="1"/>
    <x v="2"/>
    <x v="353"/>
    <x v="278"/>
    <x v="1"/>
    <x v="139"/>
    <x v="0"/>
    <x v="0"/>
    <x v="1"/>
    <x v="3"/>
    <x v="2"/>
    <x v="2"/>
    <x v="1"/>
    <x v="1"/>
    <x v="1"/>
    <x v="1"/>
    <x v="156"/>
    <x v="1"/>
    <x v="1"/>
    <x v="2"/>
    <x v="340"/>
    <x v="1"/>
    <x v="1"/>
    <x v="1"/>
    <x v="2"/>
    <x v="1"/>
    <x v="0"/>
    <x v="0"/>
    <x v="0"/>
  </r>
  <r>
    <x v="686"/>
    <x v="336"/>
    <x v="336"/>
    <x v="331"/>
    <x v="547"/>
    <x v="1"/>
    <x v="2"/>
    <x v="351"/>
    <x v="251"/>
    <x v="2"/>
    <x v="0"/>
    <x v="2"/>
    <x v="0"/>
    <x v="3"/>
    <x v="1"/>
    <x v="1"/>
    <x v="2"/>
    <x v="1"/>
    <x v="1"/>
    <x v="1"/>
    <x v="2"/>
    <x v="0"/>
    <x v="1"/>
    <x v="3"/>
    <x v="4"/>
    <x v="338"/>
    <x v="2"/>
    <x v="0"/>
    <x v="0"/>
    <x v="1"/>
    <x v="0"/>
    <x v="0"/>
    <x v="0"/>
    <x v="0"/>
  </r>
  <r>
    <x v="687"/>
    <x v="339"/>
    <x v="339"/>
    <x v="334"/>
    <x v="548"/>
    <x v="1"/>
    <x v="2"/>
    <x v="354"/>
    <x v="279"/>
    <x v="1"/>
    <x v="140"/>
    <x v="0"/>
    <x v="0"/>
    <x v="1"/>
    <x v="1"/>
    <x v="1"/>
    <x v="2"/>
    <x v="1"/>
    <x v="3"/>
    <x v="1"/>
    <x v="2"/>
    <x v="0"/>
    <x v="1"/>
    <x v="1"/>
    <x v="2"/>
    <x v="341"/>
    <x v="11"/>
    <x v="0"/>
    <x v="0"/>
    <x v="1"/>
    <x v="0"/>
    <x v="0"/>
    <x v="0"/>
    <x v="0"/>
  </r>
  <r>
    <x v="688"/>
    <x v="340"/>
    <x v="340"/>
    <x v="335"/>
    <x v="549"/>
    <x v="1"/>
    <x v="2"/>
    <x v="355"/>
    <x v="280"/>
    <x v="1"/>
    <x v="15"/>
    <x v="0"/>
    <x v="0"/>
    <x v="1"/>
    <x v="1"/>
    <x v="1"/>
    <x v="1"/>
    <x v="1"/>
    <x v="3"/>
    <x v="1"/>
    <x v="1"/>
    <x v="158"/>
    <x v="1"/>
    <x v="5"/>
    <x v="2"/>
    <x v="342"/>
    <x v="5"/>
    <x v="3"/>
    <x v="0"/>
    <x v="1"/>
    <x v="0"/>
    <x v="402"/>
    <x v="202"/>
    <x v="219"/>
  </r>
  <r>
    <x v="689"/>
    <x v="338"/>
    <x v="338"/>
    <x v="333"/>
    <x v="550"/>
    <x v="1"/>
    <x v="2"/>
    <x v="353"/>
    <x v="281"/>
    <x v="1"/>
    <x v="139"/>
    <x v="0"/>
    <x v="0"/>
    <x v="3"/>
    <x v="1"/>
    <x v="1"/>
    <x v="2"/>
    <x v="1"/>
    <x v="2"/>
    <x v="1"/>
    <x v="2"/>
    <x v="0"/>
    <x v="1"/>
    <x v="3"/>
    <x v="4"/>
    <x v="340"/>
    <x v="5"/>
    <x v="0"/>
    <x v="0"/>
    <x v="1"/>
    <x v="0"/>
    <x v="0"/>
    <x v="0"/>
    <x v="0"/>
  </r>
  <r>
    <x v="690"/>
    <x v="337"/>
    <x v="337"/>
    <x v="332"/>
    <x v="551"/>
    <x v="3"/>
    <x v="2"/>
    <x v="352"/>
    <x v="231"/>
    <x v="1"/>
    <x v="22"/>
    <x v="0"/>
    <x v="0"/>
    <x v="3"/>
    <x v="4"/>
    <x v="1"/>
    <x v="2"/>
    <x v="1"/>
    <x v="2"/>
    <x v="1"/>
    <x v="2"/>
    <x v="0"/>
    <x v="2"/>
    <x v="3"/>
    <x v="4"/>
    <x v="339"/>
    <x v="1"/>
    <x v="0"/>
    <x v="0"/>
    <x v="1"/>
    <x v="0"/>
    <x v="0"/>
    <x v="0"/>
    <x v="0"/>
  </r>
  <r>
    <x v="691"/>
    <x v="341"/>
    <x v="341"/>
    <x v="336"/>
    <x v="552"/>
    <x v="1"/>
    <x v="2"/>
    <x v="356"/>
    <x v="210"/>
    <x v="1"/>
    <x v="9"/>
    <x v="0"/>
    <x v="0"/>
    <x v="1"/>
    <x v="3"/>
    <x v="2"/>
    <x v="2"/>
    <x v="1"/>
    <x v="2"/>
    <x v="1"/>
    <x v="1"/>
    <x v="157"/>
    <x v="1"/>
    <x v="1"/>
    <x v="2"/>
    <x v="343"/>
    <x v="1"/>
    <x v="3"/>
    <x v="0"/>
    <x v="1"/>
    <x v="0"/>
    <x v="403"/>
    <x v="203"/>
    <x v="0"/>
  </r>
  <r>
    <x v="692"/>
    <x v="335"/>
    <x v="335"/>
    <x v="330"/>
    <x v="553"/>
    <x v="1"/>
    <x v="2"/>
    <x v="350"/>
    <x v="269"/>
    <x v="1"/>
    <x v="33"/>
    <x v="0"/>
    <x v="0"/>
    <x v="3"/>
    <x v="1"/>
    <x v="1"/>
    <x v="2"/>
    <x v="1"/>
    <x v="2"/>
    <x v="1"/>
    <x v="1"/>
    <x v="158"/>
    <x v="1"/>
    <x v="3"/>
    <x v="4"/>
    <x v="337"/>
    <x v="5"/>
    <x v="1"/>
    <x v="4"/>
    <x v="2"/>
    <x v="1"/>
    <x v="404"/>
    <x v="204"/>
    <x v="220"/>
  </r>
  <r>
    <x v="693"/>
    <x v="308"/>
    <x v="309"/>
    <x v="304"/>
    <x v="554"/>
    <x v="1"/>
    <x v="2"/>
    <x v="322"/>
    <x v="163"/>
    <x v="1"/>
    <x v="3"/>
    <x v="0"/>
    <x v="0"/>
    <x v="1"/>
    <x v="1"/>
    <x v="1"/>
    <x v="2"/>
    <x v="1"/>
    <x v="2"/>
    <x v="1"/>
    <x v="1"/>
    <x v="157"/>
    <x v="1"/>
    <x v="1"/>
    <x v="2"/>
    <x v="310"/>
    <x v="5"/>
    <x v="3"/>
    <x v="0"/>
    <x v="1"/>
    <x v="0"/>
    <x v="405"/>
    <x v="0"/>
    <x v="221"/>
  </r>
  <r>
    <x v="694"/>
    <x v="342"/>
    <x v="342"/>
    <x v="337"/>
    <x v="555"/>
    <x v="3"/>
    <x v="1"/>
    <x v="357"/>
    <x v="196"/>
    <x v="6"/>
    <x v="0"/>
    <x v="0"/>
    <x v="16"/>
    <x v="1"/>
    <x v="1"/>
    <x v="1"/>
    <x v="2"/>
    <x v="1"/>
    <x v="3"/>
    <x v="1"/>
    <x v="1"/>
    <x v="159"/>
    <x v="1"/>
    <x v="1"/>
    <x v="2"/>
    <x v="344"/>
    <x v="1"/>
    <x v="3"/>
    <x v="0"/>
    <x v="1"/>
    <x v="0"/>
    <x v="406"/>
    <x v="205"/>
    <x v="222"/>
  </r>
  <r>
    <x v="695"/>
    <x v="308"/>
    <x v="309"/>
    <x v="304"/>
    <x v="556"/>
    <x v="1"/>
    <x v="1"/>
    <x v="322"/>
    <x v="282"/>
    <x v="2"/>
    <x v="0"/>
    <x v="5"/>
    <x v="0"/>
    <x v="1"/>
    <x v="3"/>
    <x v="3"/>
    <x v="2"/>
    <x v="1"/>
    <x v="2"/>
    <x v="1"/>
    <x v="1"/>
    <x v="159"/>
    <x v="1"/>
    <x v="5"/>
    <x v="2"/>
    <x v="310"/>
    <x v="12"/>
    <x v="3"/>
    <x v="0"/>
    <x v="1"/>
    <x v="0"/>
    <x v="407"/>
    <x v="206"/>
    <x v="223"/>
  </r>
  <r>
    <x v="696"/>
    <x v="339"/>
    <x v="339"/>
    <x v="334"/>
    <x v="557"/>
    <x v="1"/>
    <x v="2"/>
    <x v="354"/>
    <x v="279"/>
    <x v="1"/>
    <x v="33"/>
    <x v="0"/>
    <x v="0"/>
    <x v="1"/>
    <x v="3"/>
    <x v="2"/>
    <x v="2"/>
    <x v="1"/>
    <x v="3"/>
    <x v="1"/>
    <x v="1"/>
    <x v="158"/>
    <x v="1"/>
    <x v="1"/>
    <x v="2"/>
    <x v="341"/>
    <x v="2"/>
    <x v="3"/>
    <x v="0"/>
    <x v="1"/>
    <x v="0"/>
    <x v="408"/>
    <x v="207"/>
    <x v="224"/>
  </r>
  <r>
    <x v="697"/>
    <x v="273"/>
    <x v="274"/>
    <x v="269"/>
    <x v="558"/>
    <x v="1"/>
    <x v="3"/>
    <x v="284"/>
    <x v="27"/>
    <x v="1"/>
    <x v="9"/>
    <x v="0"/>
    <x v="0"/>
    <x v="1"/>
    <x v="5"/>
    <x v="1"/>
    <x v="1"/>
    <x v="1"/>
    <x v="2"/>
    <x v="1"/>
    <x v="1"/>
    <x v="158"/>
    <x v="1"/>
    <x v="1"/>
    <x v="2"/>
    <x v="274"/>
    <x v="2"/>
    <x v="3"/>
    <x v="0"/>
    <x v="1"/>
    <x v="0"/>
    <x v="409"/>
    <x v="208"/>
    <x v="225"/>
  </r>
  <r>
    <x v="698"/>
    <x v="314"/>
    <x v="315"/>
    <x v="310"/>
    <x v="559"/>
    <x v="3"/>
    <x v="2"/>
    <x v="328"/>
    <x v="259"/>
    <x v="6"/>
    <x v="0"/>
    <x v="0"/>
    <x v="1"/>
    <x v="1"/>
    <x v="1"/>
    <x v="2"/>
    <x v="1"/>
    <x v="1"/>
    <x v="2"/>
    <x v="1"/>
    <x v="1"/>
    <x v="158"/>
    <x v="2"/>
    <x v="5"/>
    <x v="2"/>
    <x v="316"/>
    <x v="12"/>
    <x v="3"/>
    <x v="0"/>
    <x v="1"/>
    <x v="0"/>
    <x v="410"/>
    <x v="209"/>
    <x v="226"/>
  </r>
  <r>
    <x v="699"/>
    <x v="343"/>
    <x v="343"/>
    <x v="338"/>
    <x v="560"/>
    <x v="3"/>
    <x v="2"/>
    <x v="358"/>
    <x v="283"/>
    <x v="1"/>
    <x v="15"/>
    <x v="0"/>
    <x v="0"/>
    <x v="1"/>
    <x v="3"/>
    <x v="3"/>
    <x v="2"/>
    <x v="1"/>
    <x v="2"/>
    <x v="1"/>
    <x v="1"/>
    <x v="160"/>
    <x v="1"/>
    <x v="6"/>
    <x v="3"/>
    <x v="345"/>
    <x v="5"/>
    <x v="1"/>
    <x v="1"/>
    <x v="1"/>
    <x v="0"/>
    <x v="411"/>
    <x v="210"/>
    <x v="227"/>
  </r>
  <r>
    <x v="700"/>
    <x v="344"/>
    <x v="344"/>
    <x v="339"/>
    <x v="561"/>
    <x v="1"/>
    <x v="2"/>
    <x v="359"/>
    <x v="284"/>
    <x v="1"/>
    <x v="15"/>
    <x v="0"/>
    <x v="0"/>
    <x v="1"/>
    <x v="1"/>
    <x v="1"/>
    <x v="2"/>
    <x v="1"/>
    <x v="3"/>
    <x v="1"/>
    <x v="1"/>
    <x v="161"/>
    <x v="1"/>
    <x v="6"/>
    <x v="2"/>
    <x v="346"/>
    <x v="1"/>
    <x v="3"/>
    <x v="0"/>
    <x v="1"/>
    <x v="0"/>
    <x v="412"/>
    <x v="211"/>
    <x v="0"/>
  </r>
  <r>
    <x v="701"/>
    <x v="345"/>
    <x v="345"/>
    <x v="340"/>
    <x v="562"/>
    <x v="3"/>
    <x v="2"/>
    <x v="360"/>
    <x v="10"/>
    <x v="1"/>
    <x v="136"/>
    <x v="0"/>
    <x v="0"/>
    <x v="1"/>
    <x v="3"/>
    <x v="3"/>
    <x v="2"/>
    <x v="1"/>
    <x v="3"/>
    <x v="1"/>
    <x v="1"/>
    <x v="160"/>
    <x v="1"/>
    <x v="6"/>
    <x v="2"/>
    <x v="347"/>
    <x v="1"/>
    <x v="1"/>
    <x v="1"/>
    <x v="2"/>
    <x v="1"/>
    <x v="413"/>
    <x v="212"/>
    <x v="228"/>
  </r>
  <r>
    <x v="702"/>
    <x v="346"/>
    <x v="346"/>
    <x v="341"/>
    <x v="563"/>
    <x v="1"/>
    <x v="2"/>
    <x v="215"/>
    <x v="285"/>
    <x v="1"/>
    <x v="36"/>
    <x v="0"/>
    <x v="0"/>
    <x v="1"/>
    <x v="3"/>
    <x v="3"/>
    <x v="1"/>
    <x v="1"/>
    <x v="2"/>
    <x v="1"/>
    <x v="1"/>
    <x v="161"/>
    <x v="1"/>
    <x v="1"/>
    <x v="13"/>
    <x v="348"/>
    <x v="12"/>
    <x v="3"/>
    <x v="0"/>
    <x v="1"/>
    <x v="0"/>
    <x v="414"/>
    <x v="213"/>
    <x v="229"/>
  </r>
  <r>
    <x v="703"/>
    <x v="347"/>
    <x v="347"/>
    <x v="342"/>
    <x v="564"/>
    <x v="3"/>
    <x v="1"/>
    <x v="361"/>
    <x v="199"/>
    <x v="1"/>
    <x v="31"/>
    <x v="0"/>
    <x v="0"/>
    <x v="1"/>
    <x v="1"/>
    <x v="1"/>
    <x v="1"/>
    <x v="1"/>
    <x v="2"/>
    <x v="1"/>
    <x v="2"/>
    <x v="0"/>
    <x v="1"/>
    <x v="1"/>
    <x v="2"/>
    <x v="349"/>
    <x v="12"/>
    <x v="0"/>
    <x v="0"/>
    <x v="1"/>
    <x v="0"/>
    <x v="0"/>
    <x v="0"/>
    <x v="0"/>
  </r>
  <r>
    <x v="704"/>
    <x v="335"/>
    <x v="335"/>
    <x v="330"/>
    <x v="565"/>
    <x v="1"/>
    <x v="2"/>
    <x v="350"/>
    <x v="269"/>
    <x v="1"/>
    <x v="33"/>
    <x v="0"/>
    <x v="0"/>
    <x v="3"/>
    <x v="1"/>
    <x v="1"/>
    <x v="2"/>
    <x v="1"/>
    <x v="3"/>
    <x v="1"/>
    <x v="1"/>
    <x v="162"/>
    <x v="1"/>
    <x v="3"/>
    <x v="4"/>
    <x v="337"/>
    <x v="1"/>
    <x v="1"/>
    <x v="1"/>
    <x v="1"/>
    <x v="0"/>
    <x v="415"/>
    <x v="214"/>
    <x v="230"/>
  </r>
  <r>
    <x v="705"/>
    <x v="348"/>
    <x v="348"/>
    <x v="343"/>
    <x v="566"/>
    <x v="1"/>
    <x v="1"/>
    <x v="362"/>
    <x v="286"/>
    <x v="1"/>
    <x v="3"/>
    <x v="0"/>
    <x v="0"/>
    <x v="2"/>
    <x v="3"/>
    <x v="2"/>
    <x v="2"/>
    <x v="1"/>
    <x v="3"/>
    <x v="1"/>
    <x v="2"/>
    <x v="0"/>
    <x v="3"/>
    <x v="1"/>
    <x v="2"/>
    <x v="350"/>
    <x v="12"/>
    <x v="0"/>
    <x v="0"/>
    <x v="1"/>
    <x v="0"/>
    <x v="0"/>
    <x v="0"/>
    <x v="231"/>
  </r>
  <r>
    <x v="706"/>
    <x v="349"/>
    <x v="349"/>
    <x v="344"/>
    <x v="567"/>
    <x v="1"/>
    <x v="2"/>
    <x v="363"/>
    <x v="261"/>
    <x v="2"/>
    <x v="0"/>
    <x v="6"/>
    <x v="0"/>
    <x v="1"/>
    <x v="3"/>
    <x v="3"/>
    <x v="2"/>
    <x v="1"/>
    <x v="2"/>
    <x v="1"/>
    <x v="1"/>
    <x v="161"/>
    <x v="1"/>
    <x v="5"/>
    <x v="2"/>
    <x v="351"/>
    <x v="12"/>
    <x v="3"/>
    <x v="0"/>
    <x v="1"/>
    <x v="0"/>
    <x v="416"/>
    <x v="215"/>
    <x v="0"/>
  </r>
  <r>
    <x v="707"/>
    <x v="345"/>
    <x v="345"/>
    <x v="340"/>
    <x v="568"/>
    <x v="3"/>
    <x v="2"/>
    <x v="360"/>
    <x v="10"/>
    <x v="1"/>
    <x v="29"/>
    <x v="0"/>
    <x v="0"/>
    <x v="3"/>
    <x v="3"/>
    <x v="2"/>
    <x v="2"/>
    <x v="1"/>
    <x v="3"/>
    <x v="1"/>
    <x v="1"/>
    <x v="163"/>
    <x v="1"/>
    <x v="3"/>
    <x v="4"/>
    <x v="347"/>
    <x v="5"/>
    <x v="3"/>
    <x v="0"/>
    <x v="1"/>
    <x v="0"/>
    <x v="417"/>
    <x v="0"/>
    <x v="232"/>
  </r>
  <r>
    <x v="708"/>
    <x v="350"/>
    <x v="350"/>
    <x v="345"/>
    <x v="569"/>
    <x v="1"/>
    <x v="2"/>
    <x v="364"/>
    <x v="287"/>
    <x v="1"/>
    <x v="24"/>
    <x v="0"/>
    <x v="0"/>
    <x v="1"/>
    <x v="3"/>
    <x v="3"/>
    <x v="2"/>
    <x v="1"/>
    <x v="2"/>
    <x v="1"/>
    <x v="1"/>
    <x v="162"/>
    <x v="1"/>
    <x v="1"/>
    <x v="2"/>
    <x v="352"/>
    <x v="11"/>
    <x v="3"/>
    <x v="0"/>
    <x v="1"/>
    <x v="0"/>
    <x v="418"/>
    <x v="216"/>
    <x v="0"/>
  </r>
  <r>
    <x v="709"/>
    <x v="343"/>
    <x v="343"/>
    <x v="338"/>
    <x v="0"/>
    <x v="3"/>
    <x v="2"/>
    <x v="358"/>
    <x v="288"/>
    <x v="1"/>
    <x v="15"/>
    <x v="0"/>
    <x v="0"/>
    <x v="3"/>
    <x v="1"/>
    <x v="1"/>
    <x v="2"/>
    <x v="1"/>
    <x v="2"/>
    <x v="1"/>
    <x v="1"/>
    <x v="164"/>
    <x v="2"/>
    <x v="3"/>
    <x v="4"/>
    <x v="345"/>
    <x v="5"/>
    <x v="1"/>
    <x v="3"/>
    <x v="2"/>
    <x v="1"/>
    <x v="419"/>
    <x v="0"/>
    <x v="232"/>
  </r>
  <r>
    <x v="710"/>
    <x v="335"/>
    <x v="335"/>
    <x v="330"/>
    <x v="0"/>
    <x v="1"/>
    <x v="2"/>
    <x v="350"/>
    <x v="269"/>
    <x v="1"/>
    <x v="33"/>
    <x v="0"/>
    <x v="0"/>
    <x v="3"/>
    <x v="1"/>
    <x v="1"/>
    <x v="2"/>
    <x v="1"/>
    <x v="3"/>
    <x v="1"/>
    <x v="2"/>
    <x v="0"/>
    <x v="2"/>
    <x v="3"/>
    <x v="4"/>
    <x v="337"/>
    <x v="5"/>
    <x v="0"/>
    <x v="0"/>
    <x v="1"/>
    <x v="0"/>
    <x v="0"/>
    <x v="0"/>
    <x v="0"/>
  </r>
  <r>
    <x v="711"/>
    <x v="351"/>
    <x v="351"/>
    <x v="346"/>
    <x v="570"/>
    <x v="1"/>
    <x v="2"/>
    <x v="365"/>
    <x v="10"/>
    <x v="2"/>
    <x v="0"/>
    <x v="2"/>
    <x v="0"/>
    <x v="1"/>
    <x v="1"/>
    <x v="1"/>
    <x v="2"/>
    <x v="1"/>
    <x v="2"/>
    <x v="1"/>
    <x v="1"/>
    <x v="163"/>
    <x v="1"/>
    <x v="6"/>
    <x v="2"/>
    <x v="353"/>
    <x v="5"/>
    <x v="3"/>
    <x v="0"/>
    <x v="1"/>
    <x v="0"/>
    <x v="420"/>
    <x v="0"/>
    <x v="0"/>
  </r>
  <r>
    <x v="712"/>
    <x v="352"/>
    <x v="352"/>
    <x v="347"/>
    <x v="571"/>
    <x v="1"/>
    <x v="1"/>
    <x v="366"/>
    <x v="10"/>
    <x v="8"/>
    <x v="0"/>
    <x v="0"/>
    <x v="0"/>
    <x v="1"/>
    <x v="1"/>
    <x v="1"/>
    <x v="2"/>
    <x v="1"/>
    <x v="2"/>
    <x v="1"/>
    <x v="1"/>
    <x v="164"/>
    <x v="1"/>
    <x v="6"/>
    <x v="2"/>
    <x v="354"/>
    <x v="5"/>
    <x v="1"/>
    <x v="3"/>
    <x v="1"/>
    <x v="0"/>
    <x v="421"/>
    <x v="0"/>
    <x v="0"/>
  </r>
  <r>
    <x v="713"/>
    <x v="353"/>
    <x v="353"/>
    <x v="348"/>
    <x v="572"/>
    <x v="1"/>
    <x v="2"/>
    <x v="367"/>
    <x v="216"/>
    <x v="1"/>
    <x v="141"/>
    <x v="0"/>
    <x v="0"/>
    <x v="1"/>
    <x v="1"/>
    <x v="1"/>
    <x v="2"/>
    <x v="1"/>
    <x v="3"/>
    <x v="1"/>
    <x v="2"/>
    <x v="0"/>
    <x v="1"/>
    <x v="6"/>
    <x v="3"/>
    <x v="355"/>
    <x v="5"/>
    <x v="0"/>
    <x v="0"/>
    <x v="1"/>
    <x v="0"/>
    <x v="0"/>
    <x v="0"/>
    <x v="0"/>
  </r>
  <r>
    <x v="714"/>
    <x v="343"/>
    <x v="343"/>
    <x v="338"/>
    <x v="573"/>
    <x v="3"/>
    <x v="2"/>
    <x v="358"/>
    <x v="283"/>
    <x v="1"/>
    <x v="15"/>
    <x v="0"/>
    <x v="0"/>
    <x v="3"/>
    <x v="1"/>
    <x v="1"/>
    <x v="2"/>
    <x v="1"/>
    <x v="1"/>
    <x v="1"/>
    <x v="2"/>
    <x v="0"/>
    <x v="1"/>
    <x v="3"/>
    <x v="4"/>
    <x v="345"/>
    <x v="3"/>
    <x v="0"/>
    <x v="0"/>
    <x v="1"/>
    <x v="0"/>
    <x v="0"/>
    <x v="0"/>
    <x v="0"/>
  </r>
  <r>
    <x v="715"/>
    <x v="352"/>
    <x v="352"/>
    <x v="347"/>
    <x v="0"/>
    <x v="1"/>
    <x v="1"/>
    <x v="366"/>
    <x v="10"/>
    <x v="8"/>
    <x v="0"/>
    <x v="0"/>
    <x v="0"/>
    <x v="3"/>
    <x v="1"/>
    <x v="1"/>
    <x v="2"/>
    <x v="1"/>
    <x v="1"/>
    <x v="1"/>
    <x v="2"/>
    <x v="0"/>
    <x v="2"/>
    <x v="3"/>
    <x v="4"/>
    <x v="354"/>
    <x v="3"/>
    <x v="0"/>
    <x v="0"/>
    <x v="1"/>
    <x v="0"/>
    <x v="0"/>
    <x v="0"/>
    <x v="0"/>
  </r>
  <r>
    <x v="716"/>
    <x v="354"/>
    <x v="354"/>
    <x v="349"/>
    <x v="574"/>
    <x v="1"/>
    <x v="2"/>
    <x v="368"/>
    <x v="10"/>
    <x v="1"/>
    <x v="4"/>
    <x v="0"/>
    <x v="0"/>
    <x v="1"/>
    <x v="1"/>
    <x v="1"/>
    <x v="2"/>
    <x v="1"/>
    <x v="2"/>
    <x v="1"/>
    <x v="1"/>
    <x v="164"/>
    <x v="1"/>
    <x v="6"/>
    <x v="3"/>
    <x v="356"/>
    <x v="3"/>
    <x v="1"/>
    <x v="3"/>
    <x v="1"/>
    <x v="0"/>
    <x v="0"/>
    <x v="0"/>
    <x v="233"/>
  </r>
  <r>
    <x v="717"/>
    <x v="354"/>
    <x v="354"/>
    <x v="349"/>
    <x v="575"/>
    <x v="1"/>
    <x v="2"/>
    <x v="368"/>
    <x v="10"/>
    <x v="1"/>
    <x v="4"/>
    <x v="0"/>
    <x v="0"/>
    <x v="3"/>
    <x v="1"/>
    <x v="1"/>
    <x v="2"/>
    <x v="1"/>
    <x v="2"/>
    <x v="1"/>
    <x v="1"/>
    <x v="165"/>
    <x v="1"/>
    <x v="3"/>
    <x v="4"/>
    <x v="356"/>
    <x v="3"/>
    <x v="1"/>
    <x v="1"/>
    <x v="1"/>
    <x v="0"/>
    <x v="422"/>
    <x v="0"/>
    <x v="0"/>
  </r>
  <r>
    <x v="718"/>
    <x v="354"/>
    <x v="354"/>
    <x v="349"/>
    <x v="0"/>
    <x v="1"/>
    <x v="2"/>
    <x v="368"/>
    <x v="289"/>
    <x v="1"/>
    <x v="4"/>
    <x v="0"/>
    <x v="0"/>
    <x v="3"/>
    <x v="1"/>
    <x v="1"/>
    <x v="2"/>
    <x v="1"/>
    <x v="2"/>
    <x v="1"/>
    <x v="2"/>
    <x v="0"/>
    <x v="2"/>
    <x v="3"/>
    <x v="4"/>
    <x v="356"/>
    <x v="5"/>
    <x v="0"/>
    <x v="0"/>
    <x v="1"/>
    <x v="0"/>
    <x v="0"/>
    <x v="0"/>
    <x v="0"/>
  </r>
  <r>
    <x v="719"/>
    <x v="331"/>
    <x v="331"/>
    <x v="326"/>
    <x v="576"/>
    <x v="3"/>
    <x v="2"/>
    <x v="345"/>
    <x v="273"/>
    <x v="1"/>
    <x v="9"/>
    <x v="0"/>
    <x v="0"/>
    <x v="1"/>
    <x v="2"/>
    <x v="3"/>
    <x v="2"/>
    <x v="1"/>
    <x v="2"/>
    <x v="1"/>
    <x v="1"/>
    <x v="166"/>
    <x v="2"/>
    <x v="6"/>
    <x v="2"/>
    <x v="333"/>
    <x v="5"/>
    <x v="3"/>
    <x v="0"/>
    <x v="1"/>
    <x v="0"/>
    <x v="423"/>
    <x v="217"/>
    <x v="234"/>
  </r>
  <r>
    <x v="720"/>
    <x v="256"/>
    <x v="256"/>
    <x v="252"/>
    <x v="577"/>
    <x v="1"/>
    <x v="2"/>
    <x v="267"/>
    <x v="227"/>
    <x v="1"/>
    <x v="3"/>
    <x v="0"/>
    <x v="0"/>
    <x v="1"/>
    <x v="2"/>
    <x v="3"/>
    <x v="2"/>
    <x v="1"/>
    <x v="2"/>
    <x v="1"/>
    <x v="1"/>
    <x v="167"/>
    <x v="1"/>
    <x v="6"/>
    <x v="3"/>
    <x v="256"/>
    <x v="5"/>
    <x v="1"/>
    <x v="7"/>
    <x v="2"/>
    <x v="1"/>
    <x v="424"/>
    <x v="0"/>
    <x v="235"/>
  </r>
  <r>
    <x v="721"/>
    <x v="256"/>
    <x v="256"/>
    <x v="252"/>
    <x v="578"/>
    <x v="1"/>
    <x v="2"/>
    <x v="267"/>
    <x v="227"/>
    <x v="1"/>
    <x v="3"/>
    <x v="0"/>
    <x v="0"/>
    <x v="3"/>
    <x v="1"/>
    <x v="1"/>
    <x v="2"/>
    <x v="1"/>
    <x v="2"/>
    <x v="1"/>
    <x v="2"/>
    <x v="0"/>
    <x v="1"/>
    <x v="3"/>
    <x v="4"/>
    <x v="256"/>
    <x v="12"/>
    <x v="0"/>
    <x v="0"/>
    <x v="1"/>
    <x v="0"/>
    <x v="0"/>
    <x v="0"/>
    <x v="0"/>
  </r>
  <r>
    <x v="722"/>
    <x v="355"/>
    <x v="355"/>
    <x v="350"/>
    <x v="579"/>
    <x v="1"/>
    <x v="1"/>
    <x v="369"/>
    <x v="290"/>
    <x v="6"/>
    <x v="0"/>
    <x v="0"/>
    <x v="17"/>
    <x v="1"/>
    <x v="3"/>
    <x v="2"/>
    <x v="1"/>
    <x v="1"/>
    <x v="1"/>
    <x v="1"/>
    <x v="1"/>
    <x v="168"/>
    <x v="1"/>
    <x v="1"/>
    <x v="2"/>
    <x v="357"/>
    <x v="12"/>
    <x v="3"/>
    <x v="0"/>
    <x v="1"/>
    <x v="0"/>
    <x v="425"/>
    <x v="218"/>
    <x v="236"/>
  </r>
  <r>
    <x v="723"/>
    <x v="356"/>
    <x v="356"/>
    <x v="351"/>
    <x v="580"/>
    <x v="3"/>
    <x v="2"/>
    <x v="370"/>
    <x v="75"/>
    <x v="1"/>
    <x v="142"/>
    <x v="0"/>
    <x v="0"/>
    <x v="1"/>
    <x v="3"/>
    <x v="2"/>
    <x v="2"/>
    <x v="1"/>
    <x v="3"/>
    <x v="1"/>
    <x v="1"/>
    <x v="168"/>
    <x v="1"/>
    <x v="1"/>
    <x v="2"/>
    <x v="358"/>
    <x v="3"/>
    <x v="3"/>
    <x v="0"/>
    <x v="1"/>
    <x v="0"/>
    <x v="426"/>
    <x v="219"/>
    <x v="0"/>
  </r>
  <r>
    <x v="724"/>
    <x v="209"/>
    <x v="207"/>
    <x v="205"/>
    <x v="581"/>
    <x v="1"/>
    <x v="2"/>
    <x v="218"/>
    <x v="103"/>
    <x v="1"/>
    <x v="143"/>
    <x v="0"/>
    <x v="0"/>
    <x v="1"/>
    <x v="1"/>
    <x v="1"/>
    <x v="1"/>
    <x v="1"/>
    <x v="3"/>
    <x v="1"/>
    <x v="2"/>
    <x v="0"/>
    <x v="1"/>
    <x v="5"/>
    <x v="2"/>
    <x v="209"/>
    <x v="12"/>
    <x v="0"/>
    <x v="0"/>
    <x v="1"/>
    <x v="0"/>
    <x v="0"/>
    <x v="0"/>
    <x v="0"/>
  </r>
  <r>
    <x v="725"/>
    <x v="357"/>
    <x v="357"/>
    <x v="352"/>
    <x v="582"/>
    <x v="1"/>
    <x v="2"/>
    <x v="371"/>
    <x v="125"/>
    <x v="1"/>
    <x v="15"/>
    <x v="0"/>
    <x v="0"/>
    <x v="1"/>
    <x v="3"/>
    <x v="2"/>
    <x v="2"/>
    <x v="1"/>
    <x v="3"/>
    <x v="1"/>
    <x v="1"/>
    <x v="169"/>
    <x v="2"/>
    <x v="1"/>
    <x v="2"/>
    <x v="359"/>
    <x v="11"/>
    <x v="3"/>
    <x v="0"/>
    <x v="1"/>
    <x v="0"/>
    <x v="427"/>
    <x v="0"/>
    <x v="237"/>
  </r>
  <r>
    <x v="726"/>
    <x v="358"/>
    <x v="358"/>
    <x v="353"/>
    <x v="583"/>
    <x v="1"/>
    <x v="1"/>
    <x v="372"/>
    <x v="64"/>
    <x v="1"/>
    <x v="3"/>
    <x v="0"/>
    <x v="0"/>
    <x v="1"/>
    <x v="1"/>
    <x v="1"/>
    <x v="2"/>
    <x v="1"/>
    <x v="2"/>
    <x v="1"/>
    <x v="1"/>
    <x v="168"/>
    <x v="2"/>
    <x v="5"/>
    <x v="2"/>
    <x v="360"/>
    <x v="1"/>
    <x v="3"/>
    <x v="0"/>
    <x v="1"/>
    <x v="0"/>
    <x v="428"/>
    <x v="220"/>
    <x v="0"/>
  </r>
  <r>
    <x v="727"/>
    <x v="359"/>
    <x v="359"/>
    <x v="354"/>
    <x v="584"/>
    <x v="3"/>
    <x v="2"/>
    <x v="373"/>
    <x v="115"/>
    <x v="1"/>
    <x v="144"/>
    <x v="0"/>
    <x v="0"/>
    <x v="1"/>
    <x v="3"/>
    <x v="3"/>
    <x v="2"/>
    <x v="1"/>
    <x v="2"/>
    <x v="1"/>
    <x v="1"/>
    <x v="170"/>
    <x v="1"/>
    <x v="1"/>
    <x v="2"/>
    <x v="361"/>
    <x v="1"/>
    <x v="1"/>
    <x v="12"/>
    <x v="1"/>
    <x v="0"/>
    <x v="429"/>
    <x v="221"/>
    <x v="0"/>
  </r>
  <r>
    <x v="728"/>
    <x v="360"/>
    <x v="360"/>
    <x v="355"/>
    <x v="585"/>
    <x v="1"/>
    <x v="2"/>
    <x v="374"/>
    <x v="110"/>
    <x v="1"/>
    <x v="145"/>
    <x v="0"/>
    <x v="0"/>
    <x v="1"/>
    <x v="3"/>
    <x v="4"/>
    <x v="2"/>
    <x v="1"/>
    <x v="2"/>
    <x v="1"/>
    <x v="1"/>
    <x v="171"/>
    <x v="1"/>
    <x v="2"/>
    <x v="2"/>
    <x v="362"/>
    <x v="12"/>
    <x v="0"/>
    <x v="0"/>
    <x v="1"/>
    <x v="0"/>
    <x v="430"/>
    <x v="222"/>
    <x v="238"/>
  </r>
  <r>
    <x v="729"/>
    <x v="359"/>
    <x v="359"/>
    <x v="354"/>
    <x v="0"/>
    <x v="3"/>
    <x v="2"/>
    <x v="373"/>
    <x v="115"/>
    <x v="1"/>
    <x v="144"/>
    <x v="0"/>
    <x v="0"/>
    <x v="3"/>
    <x v="3"/>
    <x v="3"/>
    <x v="2"/>
    <x v="1"/>
    <x v="2"/>
    <x v="1"/>
    <x v="1"/>
    <x v="171"/>
    <x v="2"/>
    <x v="3"/>
    <x v="4"/>
    <x v="361"/>
    <x v="11"/>
    <x v="3"/>
    <x v="0"/>
    <x v="1"/>
    <x v="0"/>
    <x v="431"/>
    <x v="223"/>
    <x v="0"/>
  </r>
  <r>
    <x v="730"/>
    <x v="361"/>
    <x v="361"/>
    <x v="356"/>
    <x v="586"/>
    <x v="1"/>
    <x v="2"/>
    <x v="375"/>
    <x v="10"/>
    <x v="2"/>
    <x v="0"/>
    <x v="2"/>
    <x v="0"/>
    <x v="1"/>
    <x v="1"/>
    <x v="1"/>
    <x v="2"/>
    <x v="1"/>
    <x v="1"/>
    <x v="1"/>
    <x v="1"/>
    <x v="172"/>
    <x v="1"/>
    <x v="6"/>
    <x v="2"/>
    <x v="363"/>
    <x v="1"/>
    <x v="3"/>
    <x v="0"/>
    <x v="1"/>
    <x v="0"/>
    <x v="432"/>
    <x v="224"/>
    <x v="0"/>
  </r>
  <r>
    <x v="731"/>
    <x v="362"/>
    <x v="362"/>
    <x v="357"/>
    <x v="587"/>
    <x v="1"/>
    <x v="2"/>
    <x v="376"/>
    <x v="291"/>
    <x v="9"/>
    <x v="0"/>
    <x v="0"/>
    <x v="0"/>
    <x v="1"/>
    <x v="3"/>
    <x v="2"/>
    <x v="1"/>
    <x v="1"/>
    <x v="1"/>
    <x v="1"/>
    <x v="1"/>
    <x v="173"/>
    <x v="1"/>
    <x v="4"/>
    <x v="2"/>
    <x v="364"/>
    <x v="1"/>
    <x v="1"/>
    <x v="4"/>
    <x v="2"/>
    <x v="1"/>
    <x v="433"/>
    <x v="225"/>
    <x v="0"/>
  </r>
  <r>
    <x v="732"/>
    <x v="363"/>
    <x v="363"/>
    <x v="358"/>
    <x v="588"/>
    <x v="1"/>
    <x v="1"/>
    <x v="377"/>
    <x v="269"/>
    <x v="8"/>
    <x v="0"/>
    <x v="0"/>
    <x v="18"/>
    <x v="1"/>
    <x v="3"/>
    <x v="2"/>
    <x v="1"/>
    <x v="1"/>
    <x v="2"/>
    <x v="1"/>
    <x v="1"/>
    <x v="174"/>
    <x v="2"/>
    <x v="1"/>
    <x v="2"/>
    <x v="365"/>
    <x v="12"/>
    <x v="1"/>
    <x v="1"/>
    <x v="2"/>
    <x v="1"/>
    <x v="434"/>
    <x v="226"/>
    <x v="239"/>
  </r>
  <r>
    <x v="733"/>
    <x v="364"/>
    <x v="364"/>
    <x v="359"/>
    <x v="589"/>
    <x v="3"/>
    <x v="2"/>
    <x v="378"/>
    <x v="236"/>
    <x v="1"/>
    <x v="143"/>
    <x v="0"/>
    <x v="0"/>
    <x v="1"/>
    <x v="1"/>
    <x v="1"/>
    <x v="1"/>
    <x v="1"/>
    <x v="2"/>
    <x v="1"/>
    <x v="2"/>
    <x v="0"/>
    <x v="1"/>
    <x v="5"/>
    <x v="2"/>
    <x v="366"/>
    <x v="12"/>
    <x v="0"/>
    <x v="0"/>
    <x v="1"/>
    <x v="0"/>
    <x v="0"/>
    <x v="0"/>
    <x v="0"/>
  </r>
  <r>
    <x v="734"/>
    <x v="365"/>
    <x v="365"/>
    <x v="360"/>
    <x v="590"/>
    <x v="3"/>
    <x v="2"/>
    <x v="379"/>
    <x v="200"/>
    <x v="1"/>
    <x v="15"/>
    <x v="0"/>
    <x v="0"/>
    <x v="1"/>
    <x v="3"/>
    <x v="3"/>
    <x v="2"/>
    <x v="1"/>
    <x v="1"/>
    <x v="1"/>
    <x v="1"/>
    <x v="173"/>
    <x v="1"/>
    <x v="5"/>
    <x v="2"/>
    <x v="367"/>
    <x v="12"/>
    <x v="1"/>
    <x v="12"/>
    <x v="1"/>
    <x v="0"/>
    <x v="0"/>
    <x v="0"/>
    <x v="240"/>
  </r>
  <r>
    <x v="735"/>
    <x v="365"/>
    <x v="365"/>
    <x v="360"/>
    <x v="0"/>
    <x v="3"/>
    <x v="2"/>
    <x v="379"/>
    <x v="200"/>
    <x v="1"/>
    <x v="15"/>
    <x v="0"/>
    <x v="0"/>
    <x v="3"/>
    <x v="1"/>
    <x v="1"/>
    <x v="2"/>
    <x v="1"/>
    <x v="1"/>
    <x v="1"/>
    <x v="2"/>
    <x v="0"/>
    <x v="2"/>
    <x v="3"/>
    <x v="4"/>
    <x v="367"/>
    <x v="11"/>
    <x v="0"/>
    <x v="0"/>
    <x v="1"/>
    <x v="0"/>
    <x v="435"/>
    <x v="0"/>
    <x v="0"/>
  </r>
  <r>
    <x v="736"/>
    <x v="362"/>
    <x v="362"/>
    <x v="357"/>
    <x v="591"/>
    <x v="1"/>
    <x v="2"/>
    <x v="376"/>
    <x v="291"/>
    <x v="1"/>
    <x v="146"/>
    <x v="0"/>
    <x v="0"/>
    <x v="3"/>
    <x v="1"/>
    <x v="1"/>
    <x v="2"/>
    <x v="1"/>
    <x v="3"/>
    <x v="1"/>
    <x v="1"/>
    <x v="0"/>
    <x v="1"/>
    <x v="3"/>
    <x v="4"/>
    <x v="364"/>
    <x v="1"/>
    <x v="0"/>
    <x v="0"/>
    <x v="1"/>
    <x v="0"/>
    <x v="436"/>
    <x v="0"/>
    <x v="0"/>
  </r>
  <r>
    <x v="737"/>
    <x v="366"/>
    <x v="366"/>
    <x v="361"/>
    <x v="592"/>
    <x v="1"/>
    <x v="2"/>
    <x v="380"/>
    <x v="292"/>
    <x v="1"/>
    <x v="15"/>
    <x v="0"/>
    <x v="0"/>
    <x v="1"/>
    <x v="3"/>
    <x v="3"/>
    <x v="2"/>
    <x v="1"/>
    <x v="1"/>
    <x v="1"/>
    <x v="1"/>
    <x v="174"/>
    <x v="1"/>
    <x v="1"/>
    <x v="2"/>
    <x v="368"/>
    <x v="11"/>
    <x v="3"/>
    <x v="0"/>
    <x v="1"/>
    <x v="0"/>
    <x v="437"/>
    <x v="0"/>
    <x v="0"/>
  </r>
  <r>
    <x v="738"/>
    <x v="362"/>
    <x v="362"/>
    <x v="357"/>
    <x v="593"/>
    <x v="1"/>
    <x v="2"/>
    <x v="381"/>
    <x v="291"/>
    <x v="9"/>
    <x v="0"/>
    <x v="0"/>
    <x v="0"/>
    <x v="3"/>
    <x v="1"/>
    <x v="1"/>
    <x v="1"/>
    <x v="1"/>
    <x v="2"/>
    <x v="2"/>
    <x v="2"/>
    <x v="0"/>
    <x v="1"/>
    <x v="3"/>
    <x v="4"/>
    <x v="364"/>
    <x v="4"/>
    <x v="0"/>
    <x v="0"/>
    <x v="1"/>
    <x v="0"/>
    <x v="0"/>
    <x v="0"/>
    <x v="0"/>
  </r>
  <r>
    <x v="739"/>
    <x v="367"/>
    <x v="367"/>
    <x v="362"/>
    <x v="594"/>
    <x v="1"/>
    <x v="2"/>
    <x v="382"/>
    <x v="293"/>
    <x v="1"/>
    <x v="33"/>
    <x v="0"/>
    <x v="0"/>
    <x v="1"/>
    <x v="3"/>
    <x v="2"/>
    <x v="2"/>
    <x v="1"/>
    <x v="1"/>
    <x v="1"/>
    <x v="1"/>
    <x v="174"/>
    <x v="1"/>
    <x v="1"/>
    <x v="2"/>
    <x v="369"/>
    <x v="1"/>
    <x v="1"/>
    <x v="1"/>
    <x v="1"/>
    <x v="0"/>
    <x v="438"/>
    <x v="0"/>
    <x v="0"/>
  </r>
  <r>
    <x v="740"/>
    <x v="368"/>
    <x v="368"/>
    <x v="363"/>
    <x v="595"/>
    <x v="1"/>
    <x v="2"/>
    <x v="383"/>
    <x v="294"/>
    <x v="1"/>
    <x v="22"/>
    <x v="0"/>
    <x v="0"/>
    <x v="1"/>
    <x v="2"/>
    <x v="3"/>
    <x v="2"/>
    <x v="1"/>
    <x v="2"/>
    <x v="1"/>
    <x v="1"/>
    <x v="175"/>
    <x v="1"/>
    <x v="6"/>
    <x v="2"/>
    <x v="370"/>
    <x v="5"/>
    <x v="3"/>
    <x v="0"/>
    <x v="1"/>
    <x v="0"/>
    <x v="439"/>
    <x v="227"/>
    <x v="0"/>
  </r>
  <r>
    <x v="741"/>
    <x v="367"/>
    <x v="367"/>
    <x v="362"/>
    <x v="0"/>
    <x v="1"/>
    <x v="2"/>
    <x v="382"/>
    <x v="293"/>
    <x v="1"/>
    <x v="33"/>
    <x v="0"/>
    <x v="0"/>
    <x v="3"/>
    <x v="1"/>
    <x v="2"/>
    <x v="2"/>
    <x v="1"/>
    <x v="2"/>
    <x v="1"/>
    <x v="1"/>
    <x v="176"/>
    <x v="2"/>
    <x v="3"/>
    <x v="4"/>
    <x v="369"/>
    <x v="5"/>
    <x v="3"/>
    <x v="0"/>
    <x v="1"/>
    <x v="0"/>
    <x v="242"/>
    <x v="228"/>
    <x v="185"/>
  </r>
  <r>
    <x v="742"/>
    <x v="363"/>
    <x v="363"/>
    <x v="358"/>
    <x v="596"/>
    <x v="1"/>
    <x v="1"/>
    <x v="377"/>
    <x v="10"/>
    <x v="8"/>
    <x v="0"/>
    <x v="0"/>
    <x v="0"/>
    <x v="3"/>
    <x v="1"/>
    <x v="1"/>
    <x v="1"/>
    <x v="1"/>
    <x v="2"/>
    <x v="2"/>
    <x v="1"/>
    <x v="177"/>
    <x v="2"/>
    <x v="3"/>
    <x v="4"/>
    <x v="365"/>
    <x v="5"/>
    <x v="1"/>
    <x v="1"/>
    <x v="2"/>
    <x v="1"/>
    <x v="440"/>
    <x v="0"/>
    <x v="241"/>
  </r>
  <r>
    <x v="743"/>
    <x v="189"/>
    <x v="187"/>
    <x v="185"/>
    <x v="597"/>
    <x v="1"/>
    <x v="2"/>
    <x v="197"/>
    <x v="164"/>
    <x v="1"/>
    <x v="27"/>
    <x v="0"/>
    <x v="0"/>
    <x v="1"/>
    <x v="1"/>
    <x v="1"/>
    <x v="2"/>
    <x v="1"/>
    <x v="2"/>
    <x v="1"/>
    <x v="2"/>
    <x v="0"/>
    <x v="1"/>
    <x v="5"/>
    <x v="3"/>
    <x v="187"/>
    <x v="4"/>
    <x v="0"/>
    <x v="0"/>
    <x v="1"/>
    <x v="0"/>
    <x v="0"/>
    <x v="0"/>
    <x v="242"/>
  </r>
  <r>
    <x v="744"/>
    <x v="369"/>
    <x v="369"/>
    <x v="364"/>
    <x v="598"/>
    <x v="1"/>
    <x v="2"/>
    <x v="384"/>
    <x v="295"/>
    <x v="1"/>
    <x v="147"/>
    <x v="0"/>
    <x v="0"/>
    <x v="1"/>
    <x v="1"/>
    <x v="2"/>
    <x v="2"/>
    <x v="1"/>
    <x v="2"/>
    <x v="1"/>
    <x v="1"/>
    <x v="176"/>
    <x v="1"/>
    <x v="5"/>
    <x v="2"/>
    <x v="371"/>
    <x v="5"/>
    <x v="3"/>
    <x v="0"/>
    <x v="1"/>
    <x v="0"/>
    <x v="441"/>
    <x v="229"/>
    <x v="198"/>
  </r>
  <r>
    <x v="745"/>
    <x v="233"/>
    <x v="232"/>
    <x v="229"/>
    <x v="599"/>
    <x v="1"/>
    <x v="1"/>
    <x v="243"/>
    <x v="199"/>
    <x v="1"/>
    <x v="148"/>
    <x v="0"/>
    <x v="0"/>
    <x v="1"/>
    <x v="1"/>
    <x v="1"/>
    <x v="2"/>
    <x v="1"/>
    <x v="2"/>
    <x v="1"/>
    <x v="2"/>
    <x v="0"/>
    <x v="1"/>
    <x v="1"/>
    <x v="2"/>
    <x v="233"/>
    <x v="12"/>
    <x v="0"/>
    <x v="0"/>
    <x v="1"/>
    <x v="0"/>
    <x v="0"/>
    <x v="0"/>
    <x v="243"/>
  </r>
  <r>
    <x v="746"/>
    <x v="370"/>
    <x v="370"/>
    <x v="365"/>
    <x v="600"/>
    <x v="1"/>
    <x v="1"/>
    <x v="385"/>
    <x v="296"/>
    <x v="1"/>
    <x v="3"/>
    <x v="0"/>
    <x v="0"/>
    <x v="1"/>
    <x v="1"/>
    <x v="1"/>
    <x v="2"/>
    <x v="1"/>
    <x v="2"/>
    <x v="1"/>
    <x v="2"/>
    <x v="0"/>
    <x v="1"/>
    <x v="6"/>
    <x v="2"/>
    <x v="372"/>
    <x v="5"/>
    <x v="0"/>
    <x v="0"/>
    <x v="1"/>
    <x v="0"/>
    <x v="0"/>
    <x v="0"/>
    <x v="0"/>
  </r>
  <r>
    <x v="747"/>
    <x v="363"/>
    <x v="363"/>
    <x v="358"/>
    <x v="601"/>
    <x v="1"/>
    <x v="1"/>
    <x v="377"/>
    <x v="10"/>
    <x v="8"/>
    <x v="0"/>
    <x v="0"/>
    <x v="0"/>
    <x v="3"/>
    <x v="1"/>
    <x v="1"/>
    <x v="2"/>
    <x v="1"/>
    <x v="2"/>
    <x v="1"/>
    <x v="2"/>
    <x v="0"/>
    <x v="2"/>
    <x v="3"/>
    <x v="4"/>
    <x v="365"/>
    <x v="5"/>
    <x v="0"/>
    <x v="0"/>
    <x v="1"/>
    <x v="0"/>
    <x v="0"/>
    <x v="0"/>
    <x v="0"/>
  </r>
  <r>
    <x v="748"/>
    <x v="371"/>
    <x v="371"/>
    <x v="366"/>
    <x v="0"/>
    <x v="1"/>
    <x v="2"/>
    <x v="386"/>
    <x v="167"/>
    <x v="1"/>
    <x v="2"/>
    <x v="0"/>
    <x v="0"/>
    <x v="1"/>
    <x v="2"/>
    <x v="3"/>
    <x v="2"/>
    <x v="1"/>
    <x v="3"/>
    <x v="1"/>
    <x v="1"/>
    <x v="178"/>
    <x v="1"/>
    <x v="6"/>
    <x v="2"/>
    <x v="373"/>
    <x v="1"/>
    <x v="3"/>
    <x v="0"/>
    <x v="1"/>
    <x v="0"/>
    <x v="442"/>
    <x v="190"/>
    <x v="0"/>
  </r>
  <r>
    <x v="749"/>
    <x v="372"/>
    <x v="372"/>
    <x v="367"/>
    <x v="602"/>
    <x v="1"/>
    <x v="2"/>
    <x v="387"/>
    <x v="297"/>
    <x v="1"/>
    <x v="15"/>
    <x v="0"/>
    <x v="0"/>
    <x v="1"/>
    <x v="1"/>
    <x v="1"/>
    <x v="2"/>
    <x v="1"/>
    <x v="2"/>
    <x v="1"/>
    <x v="2"/>
    <x v="0"/>
    <x v="1"/>
    <x v="4"/>
    <x v="2"/>
    <x v="374"/>
    <x v="12"/>
    <x v="0"/>
    <x v="0"/>
    <x v="1"/>
    <x v="0"/>
    <x v="0"/>
    <x v="0"/>
    <x v="0"/>
  </r>
  <r>
    <x v="750"/>
    <x v="373"/>
    <x v="373"/>
    <x v="368"/>
    <x v="603"/>
    <x v="1"/>
    <x v="2"/>
    <x v="388"/>
    <x v="298"/>
    <x v="1"/>
    <x v="31"/>
    <x v="0"/>
    <x v="0"/>
    <x v="1"/>
    <x v="1"/>
    <x v="1"/>
    <x v="2"/>
    <x v="1"/>
    <x v="1"/>
    <x v="1"/>
    <x v="2"/>
    <x v="0"/>
    <x v="1"/>
    <x v="6"/>
    <x v="2"/>
    <x v="375"/>
    <x v="12"/>
    <x v="0"/>
    <x v="0"/>
    <x v="1"/>
    <x v="0"/>
    <x v="0"/>
    <x v="0"/>
    <x v="0"/>
  </r>
  <r>
    <x v="751"/>
    <x v="374"/>
    <x v="374"/>
    <x v="369"/>
    <x v="604"/>
    <x v="1"/>
    <x v="3"/>
    <x v="389"/>
    <x v="299"/>
    <x v="1"/>
    <x v="149"/>
    <x v="0"/>
    <x v="0"/>
    <x v="1"/>
    <x v="1"/>
    <x v="1"/>
    <x v="2"/>
    <x v="1"/>
    <x v="2"/>
    <x v="1"/>
    <x v="2"/>
    <x v="0"/>
    <x v="1"/>
    <x v="6"/>
    <x v="2"/>
    <x v="376"/>
    <x v="12"/>
    <x v="0"/>
    <x v="0"/>
    <x v="1"/>
    <x v="0"/>
    <x v="0"/>
    <x v="0"/>
    <x v="0"/>
  </r>
  <r>
    <x v="752"/>
    <x v="375"/>
    <x v="375"/>
    <x v="370"/>
    <x v="605"/>
    <x v="1"/>
    <x v="2"/>
    <x v="390"/>
    <x v="300"/>
    <x v="1"/>
    <x v="150"/>
    <x v="0"/>
    <x v="0"/>
    <x v="1"/>
    <x v="1"/>
    <x v="1"/>
    <x v="2"/>
    <x v="1"/>
    <x v="2"/>
    <x v="1"/>
    <x v="2"/>
    <x v="0"/>
    <x v="1"/>
    <x v="6"/>
    <x v="2"/>
    <x v="377"/>
    <x v="12"/>
    <x v="0"/>
    <x v="0"/>
    <x v="1"/>
    <x v="0"/>
    <x v="0"/>
    <x v="0"/>
    <x v="0"/>
  </r>
  <r>
    <x v="753"/>
    <x v="376"/>
    <x v="376"/>
    <x v="371"/>
    <x v="606"/>
    <x v="1"/>
    <x v="2"/>
    <x v="391"/>
    <x v="301"/>
    <x v="1"/>
    <x v="151"/>
    <x v="0"/>
    <x v="0"/>
    <x v="1"/>
    <x v="3"/>
    <x v="2"/>
    <x v="1"/>
    <x v="1"/>
    <x v="2"/>
    <x v="1"/>
    <x v="1"/>
    <x v="179"/>
    <x v="1"/>
    <x v="1"/>
    <x v="1"/>
    <x v="378"/>
    <x v="2"/>
    <x v="1"/>
    <x v="5"/>
    <x v="2"/>
    <x v="1"/>
    <x v="443"/>
    <x v="0"/>
    <x v="0"/>
  </r>
  <r>
    <x v="754"/>
    <x v="377"/>
    <x v="377"/>
    <x v="372"/>
    <x v="607"/>
    <x v="1"/>
    <x v="2"/>
    <x v="392"/>
    <x v="302"/>
    <x v="1"/>
    <x v="152"/>
    <x v="0"/>
    <x v="0"/>
    <x v="1"/>
    <x v="1"/>
    <x v="1"/>
    <x v="1"/>
    <x v="1"/>
    <x v="1"/>
    <x v="1"/>
    <x v="1"/>
    <x v="179"/>
    <x v="1"/>
    <x v="1"/>
    <x v="2"/>
    <x v="379"/>
    <x v="12"/>
    <x v="1"/>
    <x v="12"/>
    <x v="2"/>
    <x v="1"/>
    <x v="444"/>
    <x v="0"/>
    <x v="244"/>
  </r>
  <r>
    <x v="755"/>
    <x v="378"/>
    <x v="378"/>
    <x v="373"/>
    <x v="608"/>
    <x v="1"/>
    <x v="2"/>
    <x v="212"/>
    <x v="303"/>
    <x v="1"/>
    <x v="153"/>
    <x v="0"/>
    <x v="0"/>
    <x v="1"/>
    <x v="1"/>
    <x v="1"/>
    <x v="2"/>
    <x v="1"/>
    <x v="2"/>
    <x v="1"/>
    <x v="2"/>
    <x v="0"/>
    <x v="1"/>
    <x v="1"/>
    <x v="2"/>
    <x v="380"/>
    <x v="3"/>
    <x v="0"/>
    <x v="0"/>
    <x v="1"/>
    <x v="0"/>
    <x v="0"/>
    <x v="0"/>
    <x v="0"/>
  </r>
  <r>
    <x v="756"/>
    <x v="379"/>
    <x v="379"/>
    <x v="374"/>
    <x v="609"/>
    <x v="1"/>
    <x v="2"/>
    <x v="393"/>
    <x v="304"/>
    <x v="1"/>
    <x v="4"/>
    <x v="0"/>
    <x v="0"/>
    <x v="1"/>
    <x v="3"/>
    <x v="3"/>
    <x v="2"/>
    <x v="1"/>
    <x v="1"/>
    <x v="1"/>
    <x v="1"/>
    <x v="179"/>
    <x v="1"/>
    <x v="1"/>
    <x v="2"/>
    <x v="381"/>
    <x v="1"/>
    <x v="1"/>
    <x v="5"/>
    <x v="2"/>
    <x v="1"/>
    <x v="445"/>
    <x v="0"/>
    <x v="0"/>
  </r>
  <r>
    <x v="757"/>
    <x v="376"/>
    <x v="376"/>
    <x v="371"/>
    <x v="0"/>
    <x v="1"/>
    <x v="2"/>
    <x v="391"/>
    <x v="51"/>
    <x v="1"/>
    <x v="154"/>
    <x v="0"/>
    <x v="0"/>
    <x v="3"/>
    <x v="1"/>
    <x v="1"/>
    <x v="2"/>
    <x v="1"/>
    <x v="2"/>
    <x v="1"/>
    <x v="1"/>
    <x v="180"/>
    <x v="2"/>
    <x v="3"/>
    <x v="4"/>
    <x v="378"/>
    <x v="2"/>
    <x v="1"/>
    <x v="3"/>
    <x v="2"/>
    <x v="1"/>
    <x v="446"/>
    <x v="0"/>
    <x v="0"/>
  </r>
  <r>
    <x v="758"/>
    <x v="148"/>
    <x v="148"/>
    <x v="146"/>
    <x v="610"/>
    <x v="1"/>
    <x v="2"/>
    <x v="153"/>
    <x v="129"/>
    <x v="1"/>
    <x v="31"/>
    <x v="0"/>
    <x v="0"/>
    <x v="1"/>
    <x v="1"/>
    <x v="2"/>
    <x v="2"/>
    <x v="1"/>
    <x v="2"/>
    <x v="1"/>
    <x v="2"/>
    <x v="0"/>
    <x v="1"/>
    <x v="2"/>
    <x v="2"/>
    <x v="147"/>
    <x v="5"/>
    <x v="0"/>
    <x v="0"/>
    <x v="1"/>
    <x v="0"/>
    <x v="0"/>
    <x v="0"/>
    <x v="0"/>
  </r>
  <r>
    <x v="759"/>
    <x v="377"/>
    <x v="377"/>
    <x v="372"/>
    <x v="611"/>
    <x v="1"/>
    <x v="2"/>
    <x v="392"/>
    <x v="302"/>
    <x v="1"/>
    <x v="8"/>
    <x v="0"/>
    <x v="0"/>
    <x v="3"/>
    <x v="1"/>
    <x v="1"/>
    <x v="2"/>
    <x v="1"/>
    <x v="2"/>
    <x v="1"/>
    <x v="2"/>
    <x v="0"/>
    <x v="1"/>
    <x v="3"/>
    <x v="4"/>
    <x v="379"/>
    <x v="11"/>
    <x v="0"/>
    <x v="0"/>
    <x v="1"/>
    <x v="0"/>
    <x v="0"/>
    <x v="0"/>
    <x v="0"/>
  </r>
  <r>
    <x v="760"/>
    <x v="379"/>
    <x v="379"/>
    <x v="374"/>
    <x v="612"/>
    <x v="1"/>
    <x v="2"/>
    <x v="393"/>
    <x v="36"/>
    <x v="2"/>
    <x v="0"/>
    <x v="14"/>
    <x v="0"/>
    <x v="3"/>
    <x v="3"/>
    <x v="3"/>
    <x v="2"/>
    <x v="1"/>
    <x v="2"/>
    <x v="1"/>
    <x v="1"/>
    <x v="181"/>
    <x v="1"/>
    <x v="3"/>
    <x v="4"/>
    <x v="381"/>
    <x v="2"/>
    <x v="1"/>
    <x v="7"/>
    <x v="1"/>
    <x v="0"/>
    <x v="447"/>
    <x v="230"/>
    <x v="0"/>
  </r>
  <r>
    <x v="761"/>
    <x v="380"/>
    <x v="380"/>
    <x v="375"/>
    <x v="613"/>
    <x v="1"/>
    <x v="2"/>
    <x v="394"/>
    <x v="305"/>
    <x v="1"/>
    <x v="155"/>
    <x v="0"/>
    <x v="0"/>
    <x v="1"/>
    <x v="1"/>
    <x v="1"/>
    <x v="2"/>
    <x v="1"/>
    <x v="2"/>
    <x v="1"/>
    <x v="2"/>
    <x v="0"/>
    <x v="1"/>
    <x v="1"/>
    <x v="2"/>
    <x v="382"/>
    <x v="5"/>
    <x v="0"/>
    <x v="0"/>
    <x v="1"/>
    <x v="0"/>
    <x v="0"/>
    <x v="0"/>
    <x v="0"/>
  </r>
  <r>
    <x v="762"/>
    <x v="381"/>
    <x v="381"/>
    <x v="376"/>
    <x v="614"/>
    <x v="1"/>
    <x v="2"/>
    <x v="395"/>
    <x v="168"/>
    <x v="1"/>
    <x v="15"/>
    <x v="0"/>
    <x v="0"/>
    <x v="1"/>
    <x v="3"/>
    <x v="3"/>
    <x v="2"/>
    <x v="1"/>
    <x v="1"/>
    <x v="1"/>
    <x v="1"/>
    <x v="179"/>
    <x v="1"/>
    <x v="1"/>
    <x v="2"/>
    <x v="383"/>
    <x v="11"/>
    <x v="1"/>
    <x v="12"/>
    <x v="1"/>
    <x v="0"/>
    <x v="448"/>
    <x v="0"/>
    <x v="245"/>
  </r>
  <r>
    <x v="763"/>
    <x v="382"/>
    <x v="382"/>
    <x v="377"/>
    <x v="615"/>
    <x v="1"/>
    <x v="2"/>
    <x v="371"/>
    <x v="306"/>
    <x v="1"/>
    <x v="1"/>
    <x v="0"/>
    <x v="0"/>
    <x v="1"/>
    <x v="2"/>
    <x v="3"/>
    <x v="2"/>
    <x v="1"/>
    <x v="2"/>
    <x v="1"/>
    <x v="1"/>
    <x v="181"/>
    <x v="1"/>
    <x v="1"/>
    <x v="2"/>
    <x v="384"/>
    <x v="5"/>
    <x v="1"/>
    <x v="4"/>
    <x v="2"/>
    <x v="1"/>
    <x v="449"/>
    <x v="231"/>
    <x v="0"/>
  </r>
  <r>
    <x v="764"/>
    <x v="381"/>
    <x v="381"/>
    <x v="376"/>
    <x v="0"/>
    <x v="1"/>
    <x v="2"/>
    <x v="396"/>
    <x v="168"/>
    <x v="1"/>
    <x v="15"/>
    <x v="0"/>
    <x v="0"/>
    <x v="3"/>
    <x v="1"/>
    <x v="1"/>
    <x v="2"/>
    <x v="1"/>
    <x v="1"/>
    <x v="1"/>
    <x v="1"/>
    <x v="181"/>
    <x v="2"/>
    <x v="3"/>
    <x v="4"/>
    <x v="383"/>
    <x v="11"/>
    <x v="1"/>
    <x v="7"/>
    <x v="2"/>
    <x v="1"/>
    <x v="450"/>
    <x v="0"/>
    <x v="246"/>
  </r>
  <r>
    <x v="765"/>
    <x v="378"/>
    <x v="378"/>
    <x v="373"/>
    <x v="616"/>
    <x v="1"/>
    <x v="2"/>
    <x v="212"/>
    <x v="303"/>
    <x v="1"/>
    <x v="33"/>
    <x v="0"/>
    <x v="0"/>
    <x v="1"/>
    <x v="3"/>
    <x v="2"/>
    <x v="2"/>
    <x v="1"/>
    <x v="2"/>
    <x v="1"/>
    <x v="1"/>
    <x v="180"/>
    <x v="1"/>
    <x v="1"/>
    <x v="2"/>
    <x v="380"/>
    <x v="5"/>
    <x v="3"/>
    <x v="0"/>
    <x v="1"/>
    <x v="0"/>
    <x v="451"/>
    <x v="0"/>
    <x v="0"/>
  </r>
  <r>
    <x v="766"/>
    <x v="379"/>
    <x v="379"/>
    <x v="374"/>
    <x v="617"/>
    <x v="1"/>
    <x v="2"/>
    <x v="393"/>
    <x v="36"/>
    <x v="2"/>
    <x v="0"/>
    <x v="2"/>
    <x v="0"/>
    <x v="1"/>
    <x v="2"/>
    <x v="3"/>
    <x v="2"/>
    <x v="1"/>
    <x v="1"/>
    <x v="1"/>
    <x v="1"/>
    <x v="180"/>
    <x v="1"/>
    <x v="2"/>
    <x v="2"/>
    <x v="381"/>
    <x v="12"/>
    <x v="1"/>
    <x v="4"/>
    <x v="1"/>
    <x v="0"/>
    <x v="452"/>
    <x v="0"/>
    <x v="247"/>
  </r>
  <r>
    <x v="767"/>
    <x v="381"/>
    <x v="381"/>
    <x v="376"/>
    <x v="0"/>
    <x v="1"/>
    <x v="2"/>
    <x v="397"/>
    <x v="168"/>
    <x v="2"/>
    <x v="0"/>
    <x v="6"/>
    <x v="0"/>
    <x v="3"/>
    <x v="2"/>
    <x v="5"/>
    <x v="2"/>
    <x v="1"/>
    <x v="2"/>
    <x v="1"/>
    <x v="2"/>
    <x v="0"/>
    <x v="2"/>
    <x v="3"/>
    <x v="4"/>
    <x v="385"/>
    <x v="12"/>
    <x v="0"/>
    <x v="0"/>
    <x v="1"/>
    <x v="0"/>
    <x v="0"/>
    <x v="0"/>
    <x v="0"/>
  </r>
  <r>
    <x v="768"/>
    <x v="383"/>
    <x v="383"/>
    <x v="378"/>
    <x v="618"/>
    <x v="1"/>
    <x v="2"/>
    <x v="398"/>
    <x v="307"/>
    <x v="1"/>
    <x v="9"/>
    <x v="0"/>
    <x v="0"/>
    <x v="1"/>
    <x v="1"/>
    <x v="1"/>
    <x v="2"/>
    <x v="1"/>
    <x v="2"/>
    <x v="1"/>
    <x v="1"/>
    <x v="180"/>
    <x v="1"/>
    <x v="1"/>
    <x v="2"/>
    <x v="386"/>
    <x v="5"/>
    <x v="1"/>
    <x v="3"/>
    <x v="1"/>
    <x v="0"/>
    <x v="453"/>
    <x v="0"/>
    <x v="0"/>
  </r>
  <r>
    <x v="769"/>
    <x v="384"/>
    <x v="384"/>
    <x v="379"/>
    <x v="619"/>
    <x v="3"/>
    <x v="2"/>
    <x v="399"/>
    <x v="308"/>
    <x v="1"/>
    <x v="31"/>
    <x v="0"/>
    <x v="0"/>
    <x v="1"/>
    <x v="1"/>
    <x v="1"/>
    <x v="2"/>
    <x v="1"/>
    <x v="3"/>
    <x v="1"/>
    <x v="1"/>
    <x v="180"/>
    <x v="1"/>
    <x v="1"/>
    <x v="2"/>
    <x v="387"/>
    <x v="1"/>
    <x v="3"/>
    <x v="0"/>
    <x v="1"/>
    <x v="0"/>
    <x v="454"/>
    <x v="232"/>
    <x v="0"/>
  </r>
  <r>
    <x v="770"/>
    <x v="382"/>
    <x v="382"/>
    <x v="377"/>
    <x v="620"/>
    <x v="1"/>
    <x v="2"/>
    <x v="371"/>
    <x v="309"/>
    <x v="1"/>
    <x v="1"/>
    <x v="0"/>
    <x v="0"/>
    <x v="3"/>
    <x v="2"/>
    <x v="3"/>
    <x v="2"/>
    <x v="1"/>
    <x v="1"/>
    <x v="1"/>
    <x v="1"/>
    <x v="180"/>
    <x v="1"/>
    <x v="3"/>
    <x v="4"/>
    <x v="384"/>
    <x v="1"/>
    <x v="3"/>
    <x v="0"/>
    <x v="1"/>
    <x v="0"/>
    <x v="455"/>
    <x v="233"/>
    <x v="0"/>
  </r>
  <r>
    <x v="771"/>
    <x v="379"/>
    <x v="379"/>
    <x v="374"/>
    <x v="0"/>
    <x v="1"/>
    <x v="2"/>
    <x v="393"/>
    <x v="36"/>
    <x v="2"/>
    <x v="0"/>
    <x v="5"/>
    <x v="0"/>
    <x v="3"/>
    <x v="4"/>
    <x v="1"/>
    <x v="2"/>
    <x v="1"/>
    <x v="2"/>
    <x v="1"/>
    <x v="2"/>
    <x v="0"/>
    <x v="2"/>
    <x v="3"/>
    <x v="13"/>
    <x v="381"/>
    <x v="1"/>
    <x v="0"/>
    <x v="0"/>
    <x v="1"/>
    <x v="0"/>
    <x v="0"/>
    <x v="0"/>
    <x v="0"/>
  </r>
  <r>
    <x v="772"/>
    <x v="383"/>
    <x v="383"/>
    <x v="378"/>
    <x v="618"/>
    <x v="1"/>
    <x v="2"/>
    <x v="398"/>
    <x v="222"/>
    <x v="1"/>
    <x v="9"/>
    <x v="0"/>
    <x v="0"/>
    <x v="3"/>
    <x v="1"/>
    <x v="1"/>
    <x v="2"/>
    <x v="1"/>
    <x v="3"/>
    <x v="1"/>
    <x v="2"/>
    <x v="0"/>
    <x v="2"/>
    <x v="3"/>
    <x v="4"/>
    <x v="386"/>
    <x v="3"/>
    <x v="0"/>
    <x v="0"/>
    <x v="1"/>
    <x v="0"/>
    <x v="0"/>
    <x v="0"/>
    <x v="0"/>
  </r>
  <r>
    <x v="773"/>
    <x v="271"/>
    <x v="271"/>
    <x v="267"/>
    <x v="621"/>
    <x v="1"/>
    <x v="2"/>
    <x v="282"/>
    <x v="115"/>
    <x v="1"/>
    <x v="3"/>
    <x v="0"/>
    <x v="0"/>
    <x v="1"/>
    <x v="3"/>
    <x v="2"/>
    <x v="1"/>
    <x v="1"/>
    <x v="2"/>
    <x v="1"/>
    <x v="1"/>
    <x v="182"/>
    <x v="1"/>
    <x v="1"/>
    <x v="2"/>
    <x v="272"/>
    <x v="11"/>
    <x v="3"/>
    <x v="0"/>
    <x v="1"/>
    <x v="0"/>
    <x v="331"/>
    <x v="234"/>
    <x v="248"/>
  </r>
  <r>
    <x v="774"/>
    <x v="385"/>
    <x v="385"/>
    <x v="380"/>
    <x v="622"/>
    <x v="1"/>
    <x v="2"/>
    <x v="400"/>
    <x v="310"/>
    <x v="1"/>
    <x v="44"/>
    <x v="0"/>
    <x v="0"/>
    <x v="1"/>
    <x v="2"/>
    <x v="3"/>
    <x v="2"/>
    <x v="1"/>
    <x v="2"/>
    <x v="1"/>
    <x v="1"/>
    <x v="182"/>
    <x v="1"/>
    <x v="5"/>
    <x v="3"/>
    <x v="388"/>
    <x v="3"/>
    <x v="1"/>
    <x v="5"/>
    <x v="1"/>
    <x v="0"/>
    <x v="456"/>
    <x v="0"/>
    <x v="0"/>
  </r>
  <r>
    <x v="775"/>
    <x v="172"/>
    <x v="172"/>
    <x v="170"/>
    <x v="623"/>
    <x v="1"/>
    <x v="2"/>
    <x v="181"/>
    <x v="37"/>
    <x v="1"/>
    <x v="156"/>
    <x v="0"/>
    <x v="0"/>
    <x v="1"/>
    <x v="3"/>
    <x v="3"/>
    <x v="2"/>
    <x v="1"/>
    <x v="2"/>
    <x v="1"/>
    <x v="1"/>
    <x v="182"/>
    <x v="1"/>
    <x v="5"/>
    <x v="3"/>
    <x v="171"/>
    <x v="3"/>
    <x v="3"/>
    <x v="0"/>
    <x v="1"/>
    <x v="0"/>
    <x v="457"/>
    <x v="235"/>
    <x v="0"/>
  </r>
  <r>
    <x v="776"/>
    <x v="376"/>
    <x v="376"/>
    <x v="371"/>
    <x v="0"/>
    <x v="1"/>
    <x v="2"/>
    <x v="391"/>
    <x v="51"/>
    <x v="1"/>
    <x v="157"/>
    <x v="0"/>
    <x v="0"/>
    <x v="3"/>
    <x v="1"/>
    <x v="1"/>
    <x v="2"/>
    <x v="1"/>
    <x v="2"/>
    <x v="1"/>
    <x v="2"/>
    <x v="0"/>
    <x v="1"/>
    <x v="3"/>
    <x v="4"/>
    <x v="378"/>
    <x v="3"/>
    <x v="0"/>
    <x v="0"/>
    <x v="1"/>
    <x v="0"/>
    <x v="0"/>
    <x v="0"/>
    <x v="0"/>
  </r>
  <r>
    <x v="777"/>
    <x v="385"/>
    <x v="385"/>
    <x v="380"/>
    <x v="0"/>
    <x v="1"/>
    <x v="2"/>
    <x v="400"/>
    <x v="310"/>
    <x v="2"/>
    <x v="0"/>
    <x v="6"/>
    <x v="0"/>
    <x v="3"/>
    <x v="1"/>
    <x v="1"/>
    <x v="2"/>
    <x v="1"/>
    <x v="2"/>
    <x v="1"/>
    <x v="2"/>
    <x v="0"/>
    <x v="2"/>
    <x v="3"/>
    <x v="4"/>
    <x v="388"/>
    <x v="2"/>
    <x v="0"/>
    <x v="0"/>
    <x v="1"/>
    <x v="0"/>
    <x v="0"/>
    <x v="0"/>
    <x v="0"/>
  </r>
  <r>
    <x v="778"/>
    <x v="385"/>
    <x v="385"/>
    <x v="380"/>
    <x v="624"/>
    <x v="1"/>
    <x v="2"/>
    <x v="400"/>
    <x v="310"/>
    <x v="1"/>
    <x v="158"/>
    <x v="0"/>
    <x v="0"/>
    <x v="1"/>
    <x v="1"/>
    <x v="1"/>
    <x v="2"/>
    <x v="1"/>
    <x v="1"/>
    <x v="1"/>
    <x v="2"/>
    <x v="0"/>
    <x v="1"/>
    <x v="1"/>
    <x v="2"/>
    <x v="388"/>
    <x v="1"/>
    <x v="0"/>
    <x v="0"/>
    <x v="1"/>
    <x v="0"/>
    <x v="0"/>
    <x v="0"/>
    <x v="0"/>
  </r>
  <r>
    <x v="779"/>
    <x v="386"/>
    <x v="386"/>
    <x v="381"/>
    <x v="625"/>
    <x v="1"/>
    <x v="2"/>
    <x v="401"/>
    <x v="311"/>
    <x v="1"/>
    <x v="33"/>
    <x v="0"/>
    <x v="0"/>
    <x v="1"/>
    <x v="3"/>
    <x v="3"/>
    <x v="1"/>
    <x v="1"/>
    <x v="3"/>
    <x v="1"/>
    <x v="1"/>
    <x v="183"/>
    <x v="1"/>
    <x v="5"/>
    <x v="2"/>
    <x v="389"/>
    <x v="12"/>
    <x v="1"/>
    <x v="8"/>
    <x v="1"/>
    <x v="0"/>
    <x v="458"/>
    <x v="0"/>
    <x v="0"/>
  </r>
  <r>
    <x v="780"/>
    <x v="387"/>
    <x v="387"/>
    <x v="382"/>
    <x v="626"/>
    <x v="1"/>
    <x v="2"/>
    <x v="402"/>
    <x v="312"/>
    <x v="1"/>
    <x v="33"/>
    <x v="0"/>
    <x v="0"/>
    <x v="1"/>
    <x v="1"/>
    <x v="2"/>
    <x v="2"/>
    <x v="1"/>
    <x v="2"/>
    <x v="1"/>
    <x v="1"/>
    <x v="184"/>
    <x v="1"/>
    <x v="6"/>
    <x v="2"/>
    <x v="390"/>
    <x v="5"/>
    <x v="1"/>
    <x v="1"/>
    <x v="1"/>
    <x v="0"/>
    <x v="459"/>
    <x v="0"/>
    <x v="249"/>
  </r>
  <r>
    <x v="781"/>
    <x v="388"/>
    <x v="388"/>
    <x v="383"/>
    <x v="627"/>
    <x v="1"/>
    <x v="2"/>
    <x v="403"/>
    <x v="10"/>
    <x v="1"/>
    <x v="159"/>
    <x v="0"/>
    <x v="0"/>
    <x v="1"/>
    <x v="1"/>
    <x v="1"/>
    <x v="2"/>
    <x v="2"/>
    <x v="2"/>
    <x v="1"/>
    <x v="2"/>
    <x v="0"/>
    <x v="1"/>
    <x v="6"/>
    <x v="2"/>
    <x v="391"/>
    <x v="5"/>
    <x v="0"/>
    <x v="0"/>
    <x v="1"/>
    <x v="0"/>
    <x v="0"/>
    <x v="0"/>
    <x v="250"/>
  </r>
  <r>
    <x v="782"/>
    <x v="389"/>
    <x v="389"/>
    <x v="384"/>
    <x v="628"/>
    <x v="1"/>
    <x v="2"/>
    <x v="404"/>
    <x v="254"/>
    <x v="1"/>
    <x v="33"/>
    <x v="0"/>
    <x v="0"/>
    <x v="1"/>
    <x v="3"/>
    <x v="3"/>
    <x v="2"/>
    <x v="1"/>
    <x v="2"/>
    <x v="1"/>
    <x v="1"/>
    <x v="185"/>
    <x v="1"/>
    <x v="6"/>
    <x v="2"/>
    <x v="392"/>
    <x v="8"/>
    <x v="3"/>
    <x v="0"/>
    <x v="1"/>
    <x v="0"/>
    <x v="0"/>
    <x v="0"/>
    <x v="251"/>
  </r>
  <r>
    <x v="783"/>
    <x v="386"/>
    <x v="386"/>
    <x v="381"/>
    <x v="0"/>
    <x v="1"/>
    <x v="2"/>
    <x v="401"/>
    <x v="279"/>
    <x v="1"/>
    <x v="33"/>
    <x v="0"/>
    <x v="0"/>
    <x v="3"/>
    <x v="1"/>
    <x v="1"/>
    <x v="2"/>
    <x v="1"/>
    <x v="2"/>
    <x v="1"/>
    <x v="1"/>
    <x v="184"/>
    <x v="2"/>
    <x v="3"/>
    <x v="4"/>
    <x v="389"/>
    <x v="8"/>
    <x v="3"/>
    <x v="0"/>
    <x v="1"/>
    <x v="0"/>
    <x v="460"/>
    <x v="0"/>
    <x v="252"/>
  </r>
  <r>
    <x v="784"/>
    <x v="261"/>
    <x v="261"/>
    <x v="257"/>
    <x v="629"/>
    <x v="3"/>
    <x v="2"/>
    <x v="272"/>
    <x v="119"/>
    <x v="1"/>
    <x v="15"/>
    <x v="0"/>
    <x v="0"/>
    <x v="1"/>
    <x v="1"/>
    <x v="1"/>
    <x v="2"/>
    <x v="1"/>
    <x v="2"/>
    <x v="1"/>
    <x v="2"/>
    <x v="0"/>
    <x v="1"/>
    <x v="6"/>
    <x v="2"/>
    <x v="261"/>
    <x v="12"/>
    <x v="0"/>
    <x v="0"/>
    <x v="1"/>
    <x v="0"/>
    <x v="0"/>
    <x v="0"/>
    <x v="0"/>
  </r>
  <r>
    <x v="785"/>
    <x v="307"/>
    <x v="308"/>
    <x v="303"/>
    <x v="630"/>
    <x v="1"/>
    <x v="2"/>
    <x v="321"/>
    <x v="313"/>
    <x v="1"/>
    <x v="160"/>
    <x v="0"/>
    <x v="0"/>
    <x v="1"/>
    <x v="1"/>
    <x v="1"/>
    <x v="2"/>
    <x v="1"/>
    <x v="2"/>
    <x v="1"/>
    <x v="2"/>
    <x v="0"/>
    <x v="1"/>
    <x v="6"/>
    <x v="2"/>
    <x v="309"/>
    <x v="12"/>
    <x v="0"/>
    <x v="0"/>
    <x v="1"/>
    <x v="0"/>
    <x v="0"/>
    <x v="0"/>
    <x v="0"/>
  </r>
  <r>
    <x v="786"/>
    <x v="390"/>
    <x v="390"/>
    <x v="385"/>
    <x v="631"/>
    <x v="1"/>
    <x v="4"/>
    <x v="405"/>
    <x v="27"/>
    <x v="1"/>
    <x v="15"/>
    <x v="0"/>
    <x v="0"/>
    <x v="1"/>
    <x v="1"/>
    <x v="1"/>
    <x v="2"/>
    <x v="1"/>
    <x v="1"/>
    <x v="1"/>
    <x v="2"/>
    <x v="0"/>
    <x v="1"/>
    <x v="6"/>
    <x v="2"/>
    <x v="393"/>
    <x v="12"/>
    <x v="0"/>
    <x v="0"/>
    <x v="1"/>
    <x v="0"/>
    <x v="0"/>
    <x v="0"/>
    <x v="0"/>
  </r>
  <r>
    <x v="787"/>
    <x v="391"/>
    <x v="391"/>
    <x v="386"/>
    <x v="632"/>
    <x v="3"/>
    <x v="2"/>
    <x v="406"/>
    <x v="281"/>
    <x v="1"/>
    <x v="3"/>
    <x v="0"/>
    <x v="0"/>
    <x v="1"/>
    <x v="3"/>
    <x v="2"/>
    <x v="2"/>
    <x v="1"/>
    <x v="1"/>
    <x v="1"/>
    <x v="1"/>
    <x v="186"/>
    <x v="1"/>
    <x v="6"/>
    <x v="2"/>
    <x v="394"/>
    <x v="12"/>
    <x v="3"/>
    <x v="0"/>
    <x v="1"/>
    <x v="0"/>
    <x v="461"/>
    <x v="236"/>
    <x v="253"/>
  </r>
  <r>
    <x v="788"/>
    <x v="392"/>
    <x v="392"/>
    <x v="387"/>
    <x v="633"/>
    <x v="1"/>
    <x v="2"/>
    <x v="407"/>
    <x v="115"/>
    <x v="1"/>
    <x v="1"/>
    <x v="0"/>
    <x v="0"/>
    <x v="1"/>
    <x v="2"/>
    <x v="3"/>
    <x v="2"/>
    <x v="1"/>
    <x v="2"/>
    <x v="1"/>
    <x v="1"/>
    <x v="186"/>
    <x v="1"/>
    <x v="2"/>
    <x v="3"/>
    <x v="395"/>
    <x v="2"/>
    <x v="1"/>
    <x v="1"/>
    <x v="1"/>
    <x v="0"/>
    <x v="462"/>
    <x v="237"/>
    <x v="0"/>
  </r>
  <r>
    <x v="789"/>
    <x v="141"/>
    <x v="141"/>
    <x v="139"/>
    <x v="634"/>
    <x v="1"/>
    <x v="1"/>
    <x v="145"/>
    <x v="314"/>
    <x v="1"/>
    <x v="15"/>
    <x v="0"/>
    <x v="0"/>
    <x v="1"/>
    <x v="3"/>
    <x v="2"/>
    <x v="2"/>
    <x v="1"/>
    <x v="2"/>
    <x v="1"/>
    <x v="1"/>
    <x v="186"/>
    <x v="1"/>
    <x v="1"/>
    <x v="2"/>
    <x v="140"/>
    <x v="5"/>
    <x v="1"/>
    <x v="1"/>
    <x v="1"/>
    <x v="0"/>
    <x v="463"/>
    <x v="0"/>
    <x v="0"/>
  </r>
  <r>
    <x v="790"/>
    <x v="141"/>
    <x v="141"/>
    <x v="139"/>
    <x v="634"/>
    <x v="1"/>
    <x v="1"/>
    <x v="145"/>
    <x v="125"/>
    <x v="1"/>
    <x v="15"/>
    <x v="0"/>
    <x v="0"/>
    <x v="3"/>
    <x v="3"/>
    <x v="3"/>
    <x v="2"/>
    <x v="1"/>
    <x v="2"/>
    <x v="1"/>
    <x v="1"/>
    <x v="187"/>
    <x v="1"/>
    <x v="3"/>
    <x v="4"/>
    <x v="140"/>
    <x v="5"/>
    <x v="1"/>
    <x v="1"/>
    <x v="1"/>
    <x v="0"/>
    <x v="464"/>
    <x v="0"/>
    <x v="0"/>
  </r>
  <r>
    <x v="791"/>
    <x v="393"/>
    <x v="393"/>
    <x v="388"/>
    <x v="635"/>
    <x v="3"/>
    <x v="2"/>
    <x v="408"/>
    <x v="292"/>
    <x v="1"/>
    <x v="2"/>
    <x v="0"/>
    <x v="0"/>
    <x v="1"/>
    <x v="3"/>
    <x v="3"/>
    <x v="2"/>
    <x v="1"/>
    <x v="1"/>
    <x v="1"/>
    <x v="1"/>
    <x v="187"/>
    <x v="1"/>
    <x v="1"/>
    <x v="2"/>
    <x v="396"/>
    <x v="11"/>
    <x v="3"/>
    <x v="0"/>
    <x v="1"/>
    <x v="0"/>
    <x v="465"/>
    <x v="0"/>
    <x v="0"/>
  </r>
  <r>
    <x v="792"/>
    <x v="394"/>
    <x v="394"/>
    <x v="389"/>
    <x v="636"/>
    <x v="1"/>
    <x v="1"/>
    <x v="409"/>
    <x v="315"/>
    <x v="1"/>
    <x v="161"/>
    <x v="0"/>
    <x v="0"/>
    <x v="1"/>
    <x v="1"/>
    <x v="1"/>
    <x v="2"/>
    <x v="1"/>
    <x v="2"/>
    <x v="1"/>
    <x v="2"/>
    <x v="0"/>
    <x v="1"/>
    <x v="1"/>
    <x v="5"/>
    <x v="397"/>
    <x v="5"/>
    <x v="0"/>
    <x v="0"/>
    <x v="1"/>
    <x v="0"/>
    <x v="0"/>
    <x v="0"/>
    <x v="0"/>
  </r>
  <r>
    <x v="793"/>
    <x v="395"/>
    <x v="395"/>
    <x v="390"/>
    <x v="637"/>
    <x v="3"/>
    <x v="2"/>
    <x v="347"/>
    <x v="10"/>
    <x v="1"/>
    <x v="70"/>
    <x v="0"/>
    <x v="0"/>
    <x v="1"/>
    <x v="1"/>
    <x v="2"/>
    <x v="2"/>
    <x v="1"/>
    <x v="2"/>
    <x v="1"/>
    <x v="1"/>
    <x v="187"/>
    <x v="1"/>
    <x v="1"/>
    <x v="2"/>
    <x v="398"/>
    <x v="5"/>
    <x v="3"/>
    <x v="0"/>
    <x v="1"/>
    <x v="0"/>
    <x v="408"/>
    <x v="0"/>
    <x v="198"/>
  </r>
  <r>
    <x v="794"/>
    <x v="392"/>
    <x v="392"/>
    <x v="387"/>
    <x v="0"/>
    <x v="1"/>
    <x v="2"/>
    <x v="407"/>
    <x v="115"/>
    <x v="1"/>
    <x v="1"/>
    <x v="0"/>
    <x v="0"/>
    <x v="3"/>
    <x v="4"/>
    <x v="1"/>
    <x v="2"/>
    <x v="1"/>
    <x v="2"/>
    <x v="1"/>
    <x v="2"/>
    <x v="0"/>
    <x v="2"/>
    <x v="3"/>
    <x v="4"/>
    <x v="395"/>
    <x v="5"/>
    <x v="0"/>
    <x v="0"/>
    <x v="1"/>
    <x v="0"/>
    <x v="0"/>
    <x v="0"/>
    <x v="0"/>
  </r>
  <r>
    <x v="795"/>
    <x v="387"/>
    <x v="387"/>
    <x v="382"/>
    <x v="0"/>
    <x v="1"/>
    <x v="2"/>
    <x v="402"/>
    <x v="312"/>
    <x v="1"/>
    <x v="33"/>
    <x v="0"/>
    <x v="0"/>
    <x v="3"/>
    <x v="1"/>
    <x v="1"/>
    <x v="2"/>
    <x v="1"/>
    <x v="2"/>
    <x v="1"/>
    <x v="2"/>
    <x v="0"/>
    <x v="2"/>
    <x v="3"/>
    <x v="4"/>
    <x v="390"/>
    <x v="5"/>
    <x v="0"/>
    <x v="0"/>
    <x v="1"/>
    <x v="0"/>
    <x v="0"/>
    <x v="0"/>
    <x v="0"/>
  </r>
  <r>
    <x v="796"/>
    <x v="141"/>
    <x v="141"/>
    <x v="139"/>
    <x v="638"/>
    <x v="1"/>
    <x v="1"/>
    <x v="145"/>
    <x v="125"/>
    <x v="2"/>
    <x v="0"/>
    <x v="6"/>
    <x v="0"/>
    <x v="1"/>
    <x v="2"/>
    <x v="3"/>
    <x v="2"/>
    <x v="1"/>
    <x v="2"/>
    <x v="1"/>
    <x v="1"/>
    <x v="187"/>
    <x v="1"/>
    <x v="2"/>
    <x v="2"/>
    <x v="140"/>
    <x v="5"/>
    <x v="1"/>
    <x v="1"/>
    <x v="1"/>
    <x v="0"/>
    <x v="466"/>
    <x v="0"/>
    <x v="0"/>
  </r>
  <r>
    <x v="797"/>
    <x v="396"/>
    <x v="396"/>
    <x v="391"/>
    <x v="639"/>
    <x v="1"/>
    <x v="2"/>
    <x v="410"/>
    <x v="171"/>
    <x v="1"/>
    <x v="162"/>
    <x v="0"/>
    <x v="0"/>
    <x v="1"/>
    <x v="3"/>
    <x v="2"/>
    <x v="2"/>
    <x v="1"/>
    <x v="3"/>
    <x v="1"/>
    <x v="1"/>
    <x v="188"/>
    <x v="1"/>
    <x v="1"/>
    <x v="2"/>
    <x v="399"/>
    <x v="5"/>
    <x v="3"/>
    <x v="0"/>
    <x v="1"/>
    <x v="0"/>
    <x v="467"/>
    <x v="0"/>
    <x v="0"/>
  </r>
  <r>
    <x v="798"/>
    <x v="141"/>
    <x v="141"/>
    <x v="139"/>
    <x v="0"/>
    <x v="1"/>
    <x v="1"/>
    <x v="145"/>
    <x v="125"/>
    <x v="2"/>
    <x v="0"/>
    <x v="6"/>
    <x v="0"/>
    <x v="3"/>
    <x v="1"/>
    <x v="1"/>
    <x v="2"/>
    <x v="1"/>
    <x v="2"/>
    <x v="1"/>
    <x v="2"/>
    <x v="0"/>
    <x v="2"/>
    <x v="3"/>
    <x v="4"/>
    <x v="140"/>
    <x v="5"/>
    <x v="0"/>
    <x v="0"/>
    <x v="1"/>
    <x v="0"/>
    <x v="0"/>
    <x v="0"/>
    <x v="0"/>
  </r>
  <r>
    <x v="799"/>
    <x v="397"/>
    <x v="397"/>
    <x v="392"/>
    <x v="640"/>
    <x v="1"/>
    <x v="2"/>
    <x v="411"/>
    <x v="316"/>
    <x v="1"/>
    <x v="9"/>
    <x v="0"/>
    <x v="0"/>
    <x v="1"/>
    <x v="2"/>
    <x v="3"/>
    <x v="2"/>
    <x v="1"/>
    <x v="1"/>
    <x v="1"/>
    <x v="1"/>
    <x v="188"/>
    <x v="1"/>
    <x v="5"/>
    <x v="3"/>
    <x v="400"/>
    <x v="1"/>
    <x v="3"/>
    <x v="0"/>
    <x v="1"/>
    <x v="0"/>
    <x v="468"/>
    <x v="238"/>
    <x v="0"/>
  </r>
  <r>
    <x v="800"/>
    <x v="398"/>
    <x v="398"/>
    <x v="393"/>
    <x v="641"/>
    <x v="1"/>
    <x v="2"/>
    <x v="412"/>
    <x v="92"/>
    <x v="1"/>
    <x v="4"/>
    <x v="0"/>
    <x v="0"/>
    <x v="1"/>
    <x v="3"/>
    <x v="3"/>
    <x v="2"/>
    <x v="1"/>
    <x v="2"/>
    <x v="1"/>
    <x v="1"/>
    <x v="189"/>
    <x v="2"/>
    <x v="1"/>
    <x v="2"/>
    <x v="401"/>
    <x v="1"/>
    <x v="3"/>
    <x v="0"/>
    <x v="1"/>
    <x v="0"/>
    <x v="469"/>
    <x v="0"/>
    <x v="0"/>
  </r>
  <r>
    <x v="801"/>
    <x v="399"/>
    <x v="358"/>
    <x v="353"/>
    <x v="642"/>
    <x v="1"/>
    <x v="2"/>
    <x v="372"/>
    <x v="150"/>
    <x v="1"/>
    <x v="4"/>
    <x v="0"/>
    <x v="0"/>
    <x v="1"/>
    <x v="3"/>
    <x v="2"/>
    <x v="2"/>
    <x v="1"/>
    <x v="2"/>
    <x v="1"/>
    <x v="1"/>
    <x v="189"/>
    <x v="1"/>
    <x v="1"/>
    <x v="2"/>
    <x v="360"/>
    <x v="5"/>
    <x v="3"/>
    <x v="0"/>
    <x v="1"/>
    <x v="0"/>
    <x v="469"/>
    <x v="0"/>
    <x v="0"/>
  </r>
  <r>
    <x v="802"/>
    <x v="400"/>
    <x v="399"/>
    <x v="394"/>
    <x v="643"/>
    <x v="1"/>
    <x v="3"/>
    <x v="251"/>
    <x v="317"/>
    <x v="1"/>
    <x v="2"/>
    <x v="0"/>
    <x v="0"/>
    <x v="1"/>
    <x v="1"/>
    <x v="1"/>
    <x v="2"/>
    <x v="1"/>
    <x v="3"/>
    <x v="1"/>
    <x v="1"/>
    <x v="189"/>
    <x v="1"/>
    <x v="1"/>
    <x v="2"/>
    <x v="402"/>
    <x v="5"/>
    <x v="1"/>
    <x v="1"/>
    <x v="1"/>
    <x v="0"/>
    <x v="470"/>
    <x v="0"/>
    <x v="0"/>
  </r>
  <r>
    <x v="803"/>
    <x v="400"/>
    <x v="399"/>
    <x v="394"/>
    <x v="0"/>
    <x v="1"/>
    <x v="3"/>
    <x v="251"/>
    <x v="318"/>
    <x v="1"/>
    <x v="2"/>
    <x v="0"/>
    <x v="0"/>
    <x v="3"/>
    <x v="1"/>
    <x v="1"/>
    <x v="2"/>
    <x v="1"/>
    <x v="3"/>
    <x v="1"/>
    <x v="2"/>
    <x v="0"/>
    <x v="2"/>
    <x v="3"/>
    <x v="4"/>
    <x v="402"/>
    <x v="5"/>
    <x v="0"/>
    <x v="0"/>
    <x v="1"/>
    <x v="0"/>
    <x v="0"/>
    <x v="0"/>
    <x v="0"/>
  </r>
  <r>
    <x v="804"/>
    <x v="401"/>
    <x v="400"/>
    <x v="395"/>
    <x v="644"/>
    <x v="3"/>
    <x v="2"/>
    <x v="413"/>
    <x v="203"/>
    <x v="1"/>
    <x v="4"/>
    <x v="0"/>
    <x v="0"/>
    <x v="1"/>
    <x v="1"/>
    <x v="1"/>
    <x v="2"/>
    <x v="1"/>
    <x v="3"/>
    <x v="1"/>
    <x v="1"/>
    <x v="190"/>
    <x v="1"/>
    <x v="6"/>
    <x v="2"/>
    <x v="403"/>
    <x v="5"/>
    <x v="3"/>
    <x v="0"/>
    <x v="1"/>
    <x v="0"/>
    <x v="471"/>
    <x v="0"/>
    <x v="254"/>
  </r>
  <r>
    <x v="805"/>
    <x v="402"/>
    <x v="401"/>
    <x v="396"/>
    <x v="645"/>
    <x v="3"/>
    <x v="1"/>
    <x v="414"/>
    <x v="319"/>
    <x v="1"/>
    <x v="9"/>
    <x v="0"/>
    <x v="0"/>
    <x v="1"/>
    <x v="3"/>
    <x v="3"/>
    <x v="2"/>
    <x v="2"/>
    <x v="2"/>
    <x v="1"/>
    <x v="1"/>
    <x v="191"/>
    <x v="1"/>
    <x v="6"/>
    <x v="2"/>
    <x v="404"/>
    <x v="5"/>
    <x v="3"/>
    <x v="0"/>
    <x v="1"/>
    <x v="0"/>
    <x v="472"/>
    <x v="239"/>
    <x v="255"/>
  </r>
  <r>
    <x v="806"/>
    <x v="388"/>
    <x v="388"/>
    <x v="383"/>
    <x v="646"/>
    <x v="1"/>
    <x v="2"/>
    <x v="403"/>
    <x v="10"/>
    <x v="1"/>
    <x v="2"/>
    <x v="0"/>
    <x v="0"/>
    <x v="1"/>
    <x v="1"/>
    <x v="1"/>
    <x v="2"/>
    <x v="2"/>
    <x v="2"/>
    <x v="1"/>
    <x v="2"/>
    <x v="0"/>
    <x v="1"/>
    <x v="6"/>
    <x v="2"/>
    <x v="391"/>
    <x v="12"/>
    <x v="0"/>
    <x v="0"/>
    <x v="1"/>
    <x v="0"/>
    <x v="0"/>
    <x v="0"/>
    <x v="0"/>
  </r>
  <r>
    <x v="807"/>
    <x v="403"/>
    <x v="402"/>
    <x v="397"/>
    <x v="647"/>
    <x v="1"/>
    <x v="2"/>
    <x v="415"/>
    <x v="320"/>
    <x v="1"/>
    <x v="161"/>
    <x v="0"/>
    <x v="0"/>
    <x v="1"/>
    <x v="3"/>
    <x v="2"/>
    <x v="2"/>
    <x v="1"/>
    <x v="2"/>
    <x v="1"/>
    <x v="1"/>
    <x v="192"/>
    <x v="2"/>
    <x v="6"/>
    <x v="2"/>
    <x v="405"/>
    <x v="12"/>
    <x v="1"/>
    <x v="3"/>
    <x v="1"/>
    <x v="0"/>
    <x v="473"/>
    <x v="0"/>
    <x v="256"/>
  </r>
  <r>
    <x v="808"/>
    <x v="141"/>
    <x v="141"/>
    <x v="139"/>
    <x v="648"/>
    <x v="1"/>
    <x v="1"/>
    <x v="145"/>
    <x v="125"/>
    <x v="2"/>
    <x v="0"/>
    <x v="6"/>
    <x v="0"/>
    <x v="1"/>
    <x v="2"/>
    <x v="3"/>
    <x v="2"/>
    <x v="1"/>
    <x v="2"/>
    <x v="1"/>
    <x v="1"/>
    <x v="192"/>
    <x v="1"/>
    <x v="4"/>
    <x v="2"/>
    <x v="140"/>
    <x v="12"/>
    <x v="1"/>
    <x v="5"/>
    <x v="1"/>
    <x v="0"/>
    <x v="474"/>
    <x v="0"/>
    <x v="257"/>
  </r>
  <r>
    <x v="809"/>
    <x v="404"/>
    <x v="403"/>
    <x v="398"/>
    <x v="649"/>
    <x v="1"/>
    <x v="2"/>
    <x v="416"/>
    <x v="208"/>
    <x v="1"/>
    <x v="3"/>
    <x v="0"/>
    <x v="0"/>
    <x v="1"/>
    <x v="3"/>
    <x v="2"/>
    <x v="1"/>
    <x v="1"/>
    <x v="3"/>
    <x v="1"/>
    <x v="1"/>
    <x v="193"/>
    <x v="1"/>
    <x v="1"/>
    <x v="2"/>
    <x v="406"/>
    <x v="5"/>
    <x v="3"/>
    <x v="0"/>
    <x v="1"/>
    <x v="0"/>
    <x v="475"/>
    <x v="240"/>
    <x v="258"/>
  </r>
  <r>
    <x v="810"/>
    <x v="405"/>
    <x v="404"/>
    <x v="399"/>
    <x v="650"/>
    <x v="1"/>
    <x v="2"/>
    <x v="417"/>
    <x v="321"/>
    <x v="1"/>
    <x v="163"/>
    <x v="0"/>
    <x v="0"/>
    <x v="1"/>
    <x v="1"/>
    <x v="1"/>
    <x v="1"/>
    <x v="1"/>
    <x v="2"/>
    <x v="1"/>
    <x v="2"/>
    <x v="0"/>
    <x v="1"/>
    <x v="1"/>
    <x v="2"/>
    <x v="407"/>
    <x v="12"/>
    <x v="0"/>
    <x v="0"/>
    <x v="1"/>
    <x v="0"/>
    <x v="0"/>
    <x v="0"/>
    <x v="0"/>
  </r>
  <r>
    <x v="811"/>
    <x v="406"/>
    <x v="405"/>
    <x v="400"/>
    <x v="651"/>
    <x v="1"/>
    <x v="2"/>
    <x v="418"/>
    <x v="322"/>
    <x v="1"/>
    <x v="24"/>
    <x v="0"/>
    <x v="0"/>
    <x v="1"/>
    <x v="2"/>
    <x v="3"/>
    <x v="1"/>
    <x v="1"/>
    <x v="2"/>
    <x v="1"/>
    <x v="1"/>
    <x v="193"/>
    <x v="1"/>
    <x v="1"/>
    <x v="2"/>
    <x v="408"/>
    <x v="5"/>
    <x v="3"/>
    <x v="0"/>
    <x v="1"/>
    <x v="0"/>
    <x v="476"/>
    <x v="241"/>
    <x v="259"/>
  </r>
  <r>
    <x v="812"/>
    <x v="157"/>
    <x v="157"/>
    <x v="155"/>
    <x v="652"/>
    <x v="3"/>
    <x v="2"/>
    <x v="163"/>
    <x v="30"/>
    <x v="1"/>
    <x v="164"/>
    <x v="0"/>
    <x v="0"/>
    <x v="1"/>
    <x v="1"/>
    <x v="1"/>
    <x v="1"/>
    <x v="1"/>
    <x v="2"/>
    <x v="1"/>
    <x v="2"/>
    <x v="0"/>
    <x v="1"/>
    <x v="1"/>
    <x v="2"/>
    <x v="156"/>
    <x v="2"/>
    <x v="0"/>
    <x v="0"/>
    <x v="1"/>
    <x v="0"/>
    <x v="0"/>
    <x v="0"/>
    <x v="0"/>
  </r>
  <r>
    <x v="813"/>
    <x v="407"/>
    <x v="406"/>
    <x v="401"/>
    <x v="653"/>
    <x v="3"/>
    <x v="2"/>
    <x v="419"/>
    <x v="323"/>
    <x v="1"/>
    <x v="9"/>
    <x v="0"/>
    <x v="0"/>
    <x v="1"/>
    <x v="3"/>
    <x v="3"/>
    <x v="2"/>
    <x v="2"/>
    <x v="2"/>
    <x v="1"/>
    <x v="1"/>
    <x v="192"/>
    <x v="1"/>
    <x v="1"/>
    <x v="2"/>
    <x v="409"/>
    <x v="5"/>
    <x v="1"/>
    <x v="3"/>
    <x v="2"/>
    <x v="1"/>
    <x v="477"/>
    <x v="0"/>
    <x v="0"/>
  </r>
  <r>
    <x v="814"/>
    <x v="408"/>
    <x v="407"/>
    <x v="402"/>
    <x v="654"/>
    <x v="3"/>
    <x v="2"/>
    <x v="420"/>
    <x v="10"/>
    <x v="1"/>
    <x v="3"/>
    <x v="0"/>
    <x v="0"/>
    <x v="1"/>
    <x v="3"/>
    <x v="2"/>
    <x v="2"/>
    <x v="1"/>
    <x v="2"/>
    <x v="1"/>
    <x v="1"/>
    <x v="192"/>
    <x v="2"/>
    <x v="1"/>
    <x v="2"/>
    <x v="410"/>
    <x v="4"/>
    <x v="1"/>
    <x v="12"/>
    <x v="1"/>
    <x v="0"/>
    <x v="478"/>
    <x v="0"/>
    <x v="0"/>
  </r>
  <r>
    <x v="815"/>
    <x v="141"/>
    <x v="141"/>
    <x v="139"/>
    <x v="0"/>
    <x v="1"/>
    <x v="1"/>
    <x v="145"/>
    <x v="10"/>
    <x v="2"/>
    <x v="0"/>
    <x v="6"/>
    <x v="0"/>
    <x v="3"/>
    <x v="4"/>
    <x v="1"/>
    <x v="1"/>
    <x v="1"/>
    <x v="2"/>
    <x v="1"/>
    <x v="2"/>
    <x v="0"/>
    <x v="2"/>
    <x v="3"/>
    <x v="4"/>
    <x v="140"/>
    <x v="2"/>
    <x v="0"/>
    <x v="0"/>
    <x v="1"/>
    <x v="0"/>
    <x v="0"/>
    <x v="0"/>
    <x v="0"/>
  </r>
  <r>
    <x v="816"/>
    <x v="391"/>
    <x v="391"/>
    <x v="386"/>
    <x v="655"/>
    <x v="3"/>
    <x v="2"/>
    <x v="406"/>
    <x v="281"/>
    <x v="1"/>
    <x v="24"/>
    <x v="0"/>
    <x v="0"/>
    <x v="1"/>
    <x v="2"/>
    <x v="3"/>
    <x v="2"/>
    <x v="1"/>
    <x v="2"/>
    <x v="1"/>
    <x v="1"/>
    <x v="194"/>
    <x v="1"/>
    <x v="2"/>
    <x v="2"/>
    <x v="394"/>
    <x v="5"/>
    <x v="1"/>
    <x v="7"/>
    <x v="1"/>
    <x v="0"/>
    <x v="479"/>
    <x v="0"/>
    <x v="260"/>
  </r>
  <r>
    <x v="817"/>
    <x v="408"/>
    <x v="407"/>
    <x v="402"/>
    <x v="0"/>
    <x v="3"/>
    <x v="2"/>
    <x v="420"/>
    <x v="59"/>
    <x v="1"/>
    <x v="3"/>
    <x v="0"/>
    <x v="0"/>
    <x v="3"/>
    <x v="1"/>
    <x v="1"/>
    <x v="2"/>
    <x v="1"/>
    <x v="3"/>
    <x v="1"/>
    <x v="2"/>
    <x v="0"/>
    <x v="2"/>
    <x v="3"/>
    <x v="4"/>
    <x v="410"/>
    <x v="13"/>
    <x v="0"/>
    <x v="0"/>
    <x v="1"/>
    <x v="0"/>
    <x v="0"/>
    <x v="0"/>
    <x v="0"/>
  </r>
  <r>
    <x v="818"/>
    <x v="409"/>
    <x v="402"/>
    <x v="397"/>
    <x v="0"/>
    <x v="1"/>
    <x v="2"/>
    <x v="415"/>
    <x v="324"/>
    <x v="1"/>
    <x v="161"/>
    <x v="0"/>
    <x v="0"/>
    <x v="3"/>
    <x v="1"/>
    <x v="1"/>
    <x v="2"/>
    <x v="1"/>
    <x v="2"/>
    <x v="1"/>
    <x v="2"/>
    <x v="0"/>
    <x v="2"/>
    <x v="3"/>
    <x v="4"/>
    <x v="405"/>
    <x v="3"/>
    <x v="0"/>
    <x v="0"/>
    <x v="1"/>
    <x v="0"/>
    <x v="0"/>
    <x v="0"/>
    <x v="0"/>
  </r>
  <r>
    <x v="819"/>
    <x v="407"/>
    <x v="406"/>
    <x v="401"/>
    <x v="656"/>
    <x v="1"/>
    <x v="2"/>
    <x v="419"/>
    <x v="59"/>
    <x v="1"/>
    <x v="9"/>
    <x v="0"/>
    <x v="0"/>
    <x v="3"/>
    <x v="1"/>
    <x v="1"/>
    <x v="2"/>
    <x v="2"/>
    <x v="2"/>
    <x v="1"/>
    <x v="2"/>
    <x v="0"/>
    <x v="1"/>
    <x v="3"/>
    <x v="4"/>
    <x v="409"/>
    <x v="3"/>
    <x v="0"/>
    <x v="0"/>
    <x v="1"/>
    <x v="0"/>
    <x v="0"/>
    <x v="0"/>
    <x v="0"/>
  </r>
  <r>
    <x v="820"/>
    <x v="391"/>
    <x v="391"/>
    <x v="386"/>
    <x v="655"/>
    <x v="3"/>
    <x v="2"/>
    <x v="406"/>
    <x v="281"/>
    <x v="1"/>
    <x v="24"/>
    <x v="0"/>
    <x v="0"/>
    <x v="3"/>
    <x v="4"/>
    <x v="1"/>
    <x v="2"/>
    <x v="1"/>
    <x v="2"/>
    <x v="1"/>
    <x v="2"/>
    <x v="0"/>
    <x v="2"/>
    <x v="3"/>
    <x v="4"/>
    <x v="394"/>
    <x v="12"/>
    <x v="0"/>
    <x v="0"/>
    <x v="1"/>
    <x v="0"/>
    <x v="0"/>
    <x v="0"/>
    <x v="0"/>
  </r>
  <r>
    <x v="821"/>
    <x v="410"/>
    <x v="408"/>
    <x v="403"/>
    <x v="657"/>
    <x v="1"/>
    <x v="1"/>
    <x v="421"/>
    <x v="134"/>
    <x v="1"/>
    <x v="36"/>
    <x v="0"/>
    <x v="0"/>
    <x v="1"/>
    <x v="5"/>
    <x v="1"/>
    <x v="2"/>
    <x v="1"/>
    <x v="2"/>
    <x v="1"/>
    <x v="2"/>
    <x v="0"/>
    <x v="1"/>
    <x v="1"/>
    <x v="13"/>
    <x v="411"/>
    <x v="4"/>
    <x v="0"/>
    <x v="0"/>
    <x v="1"/>
    <x v="0"/>
    <x v="0"/>
    <x v="0"/>
    <x v="0"/>
  </r>
  <r>
    <x v="822"/>
    <x v="407"/>
    <x v="406"/>
    <x v="401"/>
    <x v="658"/>
    <x v="3"/>
    <x v="2"/>
    <x v="419"/>
    <x v="323"/>
    <x v="6"/>
    <x v="0"/>
    <x v="0"/>
    <x v="19"/>
    <x v="1"/>
    <x v="1"/>
    <x v="1"/>
    <x v="2"/>
    <x v="2"/>
    <x v="2"/>
    <x v="1"/>
    <x v="2"/>
    <x v="0"/>
    <x v="1"/>
    <x v="1"/>
    <x v="2"/>
    <x v="409"/>
    <x v="12"/>
    <x v="0"/>
    <x v="0"/>
    <x v="1"/>
    <x v="0"/>
    <x v="0"/>
    <x v="0"/>
    <x v="0"/>
  </r>
  <r>
    <x v="823"/>
    <x v="411"/>
    <x v="193"/>
    <x v="191"/>
    <x v="659"/>
    <x v="1"/>
    <x v="2"/>
    <x v="204"/>
    <x v="168"/>
    <x v="1"/>
    <x v="33"/>
    <x v="0"/>
    <x v="0"/>
    <x v="1"/>
    <x v="3"/>
    <x v="3"/>
    <x v="2"/>
    <x v="1"/>
    <x v="1"/>
    <x v="1"/>
    <x v="1"/>
    <x v="195"/>
    <x v="1"/>
    <x v="1"/>
    <x v="1"/>
    <x v="193"/>
    <x v="13"/>
    <x v="2"/>
    <x v="0"/>
    <x v="1"/>
    <x v="0"/>
    <x v="480"/>
    <x v="0"/>
    <x v="0"/>
  </r>
  <r>
    <x v="824"/>
    <x v="412"/>
    <x v="409"/>
    <x v="404"/>
    <x v="660"/>
    <x v="1"/>
    <x v="3"/>
    <x v="422"/>
    <x v="325"/>
    <x v="1"/>
    <x v="15"/>
    <x v="0"/>
    <x v="0"/>
    <x v="1"/>
    <x v="3"/>
    <x v="3"/>
    <x v="2"/>
    <x v="1"/>
    <x v="1"/>
    <x v="1"/>
    <x v="1"/>
    <x v="195"/>
    <x v="2"/>
    <x v="1"/>
    <x v="2"/>
    <x v="412"/>
    <x v="12"/>
    <x v="1"/>
    <x v="3"/>
    <x v="1"/>
    <x v="0"/>
    <x v="481"/>
    <x v="0"/>
    <x v="261"/>
  </r>
  <r>
    <x v="825"/>
    <x v="413"/>
    <x v="410"/>
    <x v="405"/>
    <x v="661"/>
    <x v="1"/>
    <x v="4"/>
    <x v="423"/>
    <x v="326"/>
    <x v="2"/>
    <x v="0"/>
    <x v="6"/>
    <x v="0"/>
    <x v="1"/>
    <x v="2"/>
    <x v="3"/>
    <x v="2"/>
    <x v="1"/>
    <x v="2"/>
    <x v="1"/>
    <x v="1"/>
    <x v="195"/>
    <x v="1"/>
    <x v="5"/>
    <x v="2"/>
    <x v="413"/>
    <x v="12"/>
    <x v="2"/>
    <x v="0"/>
    <x v="1"/>
    <x v="0"/>
    <x v="482"/>
    <x v="0"/>
    <x v="262"/>
  </r>
  <r>
    <x v="826"/>
    <x v="407"/>
    <x v="406"/>
    <x v="401"/>
    <x v="662"/>
    <x v="3"/>
    <x v="2"/>
    <x v="419"/>
    <x v="196"/>
    <x v="6"/>
    <x v="0"/>
    <x v="0"/>
    <x v="20"/>
    <x v="1"/>
    <x v="1"/>
    <x v="1"/>
    <x v="2"/>
    <x v="1"/>
    <x v="1"/>
    <x v="1"/>
    <x v="2"/>
    <x v="0"/>
    <x v="1"/>
    <x v="1"/>
    <x v="2"/>
    <x v="409"/>
    <x v="13"/>
    <x v="0"/>
    <x v="0"/>
    <x v="1"/>
    <x v="0"/>
    <x v="0"/>
    <x v="0"/>
    <x v="0"/>
  </r>
  <r>
    <x v="827"/>
    <x v="412"/>
    <x v="409"/>
    <x v="404"/>
    <x v="0"/>
    <x v="1"/>
    <x v="3"/>
    <x v="422"/>
    <x v="325"/>
    <x v="1"/>
    <x v="15"/>
    <x v="0"/>
    <x v="0"/>
    <x v="3"/>
    <x v="1"/>
    <x v="1"/>
    <x v="2"/>
    <x v="1"/>
    <x v="2"/>
    <x v="1"/>
    <x v="2"/>
    <x v="0"/>
    <x v="2"/>
    <x v="3"/>
    <x v="4"/>
    <x v="412"/>
    <x v="3"/>
    <x v="0"/>
    <x v="0"/>
    <x v="1"/>
    <x v="0"/>
    <x v="0"/>
    <x v="0"/>
    <x v="0"/>
  </r>
  <r>
    <x v="828"/>
    <x v="414"/>
    <x v="411"/>
    <x v="406"/>
    <x v="663"/>
    <x v="1"/>
    <x v="2"/>
    <x v="424"/>
    <x v="198"/>
    <x v="1"/>
    <x v="15"/>
    <x v="0"/>
    <x v="0"/>
    <x v="1"/>
    <x v="3"/>
    <x v="3"/>
    <x v="2"/>
    <x v="1"/>
    <x v="2"/>
    <x v="1"/>
    <x v="1"/>
    <x v="196"/>
    <x v="1"/>
    <x v="1"/>
    <x v="2"/>
    <x v="414"/>
    <x v="13"/>
    <x v="3"/>
    <x v="0"/>
    <x v="1"/>
    <x v="0"/>
    <x v="483"/>
    <x v="0"/>
    <x v="263"/>
  </r>
  <r>
    <x v="829"/>
    <x v="381"/>
    <x v="381"/>
    <x v="376"/>
    <x v="664"/>
    <x v="1"/>
    <x v="2"/>
    <x v="397"/>
    <x v="168"/>
    <x v="1"/>
    <x v="165"/>
    <x v="0"/>
    <x v="0"/>
    <x v="1"/>
    <x v="1"/>
    <x v="1"/>
    <x v="2"/>
    <x v="2"/>
    <x v="2"/>
    <x v="1"/>
    <x v="2"/>
    <x v="0"/>
    <x v="1"/>
    <x v="1"/>
    <x v="2"/>
    <x v="383"/>
    <x v="3"/>
    <x v="0"/>
    <x v="0"/>
    <x v="2"/>
    <x v="1"/>
    <x v="0"/>
    <x v="0"/>
    <x v="0"/>
  </r>
  <r>
    <x v="830"/>
    <x v="415"/>
    <x v="412"/>
    <x v="407"/>
    <x v="665"/>
    <x v="1"/>
    <x v="2"/>
    <x v="425"/>
    <x v="327"/>
    <x v="1"/>
    <x v="36"/>
    <x v="0"/>
    <x v="0"/>
    <x v="1"/>
    <x v="3"/>
    <x v="2"/>
    <x v="2"/>
    <x v="2"/>
    <x v="1"/>
    <x v="1"/>
    <x v="1"/>
    <x v="196"/>
    <x v="1"/>
    <x v="1"/>
    <x v="2"/>
    <x v="415"/>
    <x v="3"/>
    <x v="1"/>
    <x v="1"/>
    <x v="1"/>
    <x v="0"/>
    <x v="484"/>
    <x v="242"/>
    <x v="264"/>
  </r>
  <r>
    <x v="831"/>
    <x v="416"/>
    <x v="413"/>
    <x v="408"/>
    <x v="666"/>
    <x v="1"/>
    <x v="2"/>
    <x v="311"/>
    <x v="10"/>
    <x v="1"/>
    <x v="27"/>
    <x v="0"/>
    <x v="0"/>
    <x v="1"/>
    <x v="1"/>
    <x v="1"/>
    <x v="2"/>
    <x v="1"/>
    <x v="2"/>
    <x v="1"/>
    <x v="1"/>
    <x v="196"/>
    <x v="1"/>
    <x v="1"/>
    <x v="2"/>
    <x v="416"/>
    <x v="3"/>
    <x v="1"/>
    <x v="1"/>
    <x v="1"/>
    <x v="0"/>
    <x v="484"/>
    <x v="243"/>
    <x v="265"/>
  </r>
  <r>
    <x v="832"/>
    <x v="417"/>
    <x v="414"/>
    <x v="409"/>
    <x v="667"/>
    <x v="1"/>
    <x v="2"/>
    <x v="426"/>
    <x v="328"/>
    <x v="1"/>
    <x v="166"/>
    <x v="0"/>
    <x v="0"/>
    <x v="1"/>
    <x v="3"/>
    <x v="3"/>
    <x v="2"/>
    <x v="1"/>
    <x v="2"/>
    <x v="1"/>
    <x v="1"/>
    <x v="197"/>
    <x v="1"/>
    <x v="6"/>
    <x v="2"/>
    <x v="417"/>
    <x v="5"/>
    <x v="1"/>
    <x v="1"/>
    <x v="1"/>
    <x v="0"/>
    <x v="485"/>
    <x v="244"/>
    <x v="0"/>
  </r>
  <r>
    <x v="833"/>
    <x v="416"/>
    <x v="413"/>
    <x v="408"/>
    <x v="668"/>
    <x v="1"/>
    <x v="2"/>
    <x v="311"/>
    <x v="10"/>
    <x v="2"/>
    <x v="0"/>
    <x v="5"/>
    <x v="0"/>
    <x v="1"/>
    <x v="2"/>
    <x v="3"/>
    <x v="2"/>
    <x v="1"/>
    <x v="2"/>
    <x v="1"/>
    <x v="1"/>
    <x v="197"/>
    <x v="1"/>
    <x v="6"/>
    <x v="2"/>
    <x v="416"/>
    <x v="5"/>
    <x v="3"/>
    <x v="0"/>
    <x v="1"/>
    <x v="0"/>
    <x v="486"/>
    <x v="0"/>
    <x v="0"/>
  </r>
  <r>
    <x v="834"/>
    <x v="418"/>
    <x v="415"/>
    <x v="410"/>
    <x v="669"/>
    <x v="1"/>
    <x v="2"/>
    <x v="427"/>
    <x v="205"/>
    <x v="1"/>
    <x v="167"/>
    <x v="0"/>
    <x v="0"/>
    <x v="1"/>
    <x v="1"/>
    <x v="1"/>
    <x v="2"/>
    <x v="1"/>
    <x v="2"/>
    <x v="1"/>
    <x v="2"/>
    <x v="0"/>
    <x v="2"/>
    <x v="6"/>
    <x v="2"/>
    <x v="418"/>
    <x v="5"/>
    <x v="0"/>
    <x v="0"/>
    <x v="1"/>
    <x v="0"/>
    <x v="0"/>
    <x v="0"/>
    <x v="0"/>
  </r>
  <r>
    <x v="835"/>
    <x v="415"/>
    <x v="412"/>
    <x v="407"/>
    <x v="0"/>
    <x v="1"/>
    <x v="2"/>
    <x v="425"/>
    <x v="327"/>
    <x v="1"/>
    <x v="36"/>
    <x v="0"/>
    <x v="0"/>
    <x v="3"/>
    <x v="1"/>
    <x v="1"/>
    <x v="2"/>
    <x v="2"/>
    <x v="1"/>
    <x v="1"/>
    <x v="2"/>
    <x v="0"/>
    <x v="2"/>
    <x v="3"/>
    <x v="4"/>
    <x v="415"/>
    <x v="5"/>
    <x v="0"/>
    <x v="0"/>
    <x v="1"/>
    <x v="0"/>
    <x v="0"/>
    <x v="0"/>
    <x v="0"/>
  </r>
  <r>
    <x v="836"/>
    <x v="419"/>
    <x v="416"/>
    <x v="411"/>
    <x v="670"/>
    <x v="1"/>
    <x v="2"/>
    <x v="428"/>
    <x v="329"/>
    <x v="1"/>
    <x v="36"/>
    <x v="0"/>
    <x v="0"/>
    <x v="1"/>
    <x v="1"/>
    <x v="1"/>
    <x v="2"/>
    <x v="1"/>
    <x v="2"/>
    <x v="1"/>
    <x v="2"/>
    <x v="0"/>
    <x v="1"/>
    <x v="6"/>
    <x v="2"/>
    <x v="419"/>
    <x v="5"/>
    <x v="0"/>
    <x v="0"/>
    <x v="1"/>
    <x v="0"/>
    <x v="0"/>
    <x v="0"/>
    <x v="0"/>
  </r>
  <r>
    <x v="837"/>
    <x v="417"/>
    <x v="414"/>
    <x v="409"/>
    <x v="0"/>
    <x v="1"/>
    <x v="2"/>
    <x v="426"/>
    <x v="328"/>
    <x v="1"/>
    <x v="166"/>
    <x v="0"/>
    <x v="0"/>
    <x v="3"/>
    <x v="1"/>
    <x v="1"/>
    <x v="2"/>
    <x v="1"/>
    <x v="2"/>
    <x v="1"/>
    <x v="2"/>
    <x v="0"/>
    <x v="2"/>
    <x v="3"/>
    <x v="4"/>
    <x v="417"/>
    <x v="5"/>
    <x v="0"/>
    <x v="0"/>
    <x v="1"/>
    <x v="0"/>
    <x v="0"/>
    <x v="0"/>
    <x v="0"/>
  </r>
  <r>
    <x v="838"/>
    <x v="420"/>
    <x v="417"/>
    <x v="412"/>
    <x v="671"/>
    <x v="1"/>
    <x v="3"/>
    <x v="429"/>
    <x v="10"/>
    <x v="2"/>
    <x v="0"/>
    <x v="2"/>
    <x v="0"/>
    <x v="1"/>
    <x v="1"/>
    <x v="1"/>
    <x v="2"/>
    <x v="1"/>
    <x v="2"/>
    <x v="1"/>
    <x v="1"/>
    <x v="198"/>
    <x v="1"/>
    <x v="6"/>
    <x v="2"/>
    <x v="420"/>
    <x v="5"/>
    <x v="1"/>
    <x v="1"/>
    <x v="1"/>
    <x v="0"/>
    <x v="487"/>
    <x v="0"/>
    <x v="0"/>
  </r>
  <r>
    <x v="839"/>
    <x v="421"/>
    <x v="418"/>
    <x v="413"/>
    <x v="672"/>
    <x v="1"/>
    <x v="2"/>
    <x v="430"/>
    <x v="330"/>
    <x v="1"/>
    <x v="2"/>
    <x v="0"/>
    <x v="0"/>
    <x v="1"/>
    <x v="1"/>
    <x v="1"/>
    <x v="2"/>
    <x v="1"/>
    <x v="3"/>
    <x v="1"/>
    <x v="1"/>
    <x v="198"/>
    <x v="1"/>
    <x v="6"/>
    <x v="2"/>
    <x v="421"/>
    <x v="5"/>
    <x v="1"/>
    <x v="1"/>
    <x v="1"/>
    <x v="0"/>
    <x v="488"/>
    <x v="0"/>
    <x v="0"/>
  </r>
  <r>
    <x v="840"/>
    <x v="420"/>
    <x v="417"/>
    <x v="412"/>
    <x v="0"/>
    <x v="1"/>
    <x v="3"/>
    <x v="429"/>
    <x v="10"/>
    <x v="2"/>
    <x v="0"/>
    <x v="2"/>
    <x v="0"/>
    <x v="3"/>
    <x v="1"/>
    <x v="1"/>
    <x v="2"/>
    <x v="1"/>
    <x v="2"/>
    <x v="1"/>
    <x v="2"/>
    <x v="0"/>
    <x v="2"/>
    <x v="3"/>
    <x v="4"/>
    <x v="420"/>
    <x v="5"/>
    <x v="0"/>
    <x v="0"/>
    <x v="1"/>
    <x v="0"/>
    <x v="0"/>
    <x v="0"/>
    <x v="0"/>
  </r>
  <r>
    <x v="841"/>
    <x v="421"/>
    <x v="418"/>
    <x v="413"/>
    <x v="0"/>
    <x v="1"/>
    <x v="2"/>
    <x v="430"/>
    <x v="330"/>
    <x v="1"/>
    <x v="2"/>
    <x v="0"/>
    <x v="0"/>
    <x v="3"/>
    <x v="1"/>
    <x v="1"/>
    <x v="2"/>
    <x v="1"/>
    <x v="3"/>
    <x v="1"/>
    <x v="2"/>
    <x v="0"/>
    <x v="2"/>
    <x v="3"/>
    <x v="4"/>
    <x v="421"/>
    <x v="5"/>
    <x v="0"/>
    <x v="0"/>
    <x v="1"/>
    <x v="0"/>
    <x v="0"/>
    <x v="0"/>
    <x v="0"/>
  </r>
  <r>
    <x v="842"/>
    <x v="422"/>
    <x v="419"/>
    <x v="414"/>
    <x v="673"/>
    <x v="1"/>
    <x v="3"/>
    <x v="431"/>
    <x v="331"/>
    <x v="1"/>
    <x v="168"/>
    <x v="0"/>
    <x v="0"/>
    <x v="1"/>
    <x v="1"/>
    <x v="1"/>
    <x v="1"/>
    <x v="1"/>
    <x v="3"/>
    <x v="1"/>
    <x v="2"/>
    <x v="0"/>
    <x v="2"/>
    <x v="1"/>
    <x v="2"/>
    <x v="422"/>
    <x v="2"/>
    <x v="0"/>
    <x v="0"/>
    <x v="1"/>
    <x v="0"/>
    <x v="0"/>
    <x v="0"/>
    <x v="0"/>
  </r>
  <r>
    <x v="843"/>
    <x v="385"/>
    <x v="385"/>
    <x v="380"/>
    <x v="674"/>
    <x v="1"/>
    <x v="2"/>
    <x v="400"/>
    <x v="332"/>
    <x v="1"/>
    <x v="3"/>
    <x v="0"/>
    <x v="0"/>
    <x v="1"/>
    <x v="3"/>
    <x v="2"/>
    <x v="2"/>
    <x v="1"/>
    <x v="1"/>
    <x v="1"/>
    <x v="1"/>
    <x v="199"/>
    <x v="1"/>
    <x v="1"/>
    <x v="2"/>
    <x v="388"/>
    <x v="12"/>
    <x v="1"/>
    <x v="3"/>
    <x v="1"/>
    <x v="0"/>
    <x v="489"/>
    <x v="245"/>
    <x v="266"/>
  </r>
  <r>
    <x v="844"/>
    <x v="423"/>
    <x v="420"/>
    <x v="415"/>
    <x v="675"/>
    <x v="3"/>
    <x v="2"/>
    <x v="432"/>
    <x v="289"/>
    <x v="1"/>
    <x v="33"/>
    <x v="0"/>
    <x v="0"/>
    <x v="1"/>
    <x v="1"/>
    <x v="1"/>
    <x v="2"/>
    <x v="1"/>
    <x v="1"/>
    <x v="1"/>
    <x v="2"/>
    <x v="0"/>
    <x v="1"/>
    <x v="1"/>
    <x v="2"/>
    <x v="423"/>
    <x v="12"/>
    <x v="0"/>
    <x v="0"/>
    <x v="1"/>
    <x v="0"/>
    <x v="0"/>
    <x v="0"/>
    <x v="0"/>
  </r>
  <r>
    <x v="845"/>
    <x v="424"/>
    <x v="421"/>
    <x v="416"/>
    <x v="676"/>
    <x v="3"/>
    <x v="2"/>
    <x v="433"/>
    <x v="333"/>
    <x v="1"/>
    <x v="15"/>
    <x v="0"/>
    <x v="0"/>
    <x v="1"/>
    <x v="1"/>
    <x v="1"/>
    <x v="2"/>
    <x v="1"/>
    <x v="2"/>
    <x v="1"/>
    <x v="1"/>
    <x v="200"/>
    <x v="1"/>
    <x v="1"/>
    <x v="2"/>
    <x v="424"/>
    <x v="3"/>
    <x v="1"/>
    <x v="3"/>
    <x v="2"/>
    <x v="1"/>
    <x v="490"/>
    <x v="0"/>
    <x v="0"/>
  </r>
  <r>
    <x v="846"/>
    <x v="425"/>
    <x v="422"/>
    <x v="417"/>
    <x v="677"/>
    <x v="1"/>
    <x v="2"/>
    <x v="434"/>
    <x v="334"/>
    <x v="1"/>
    <x v="169"/>
    <x v="0"/>
    <x v="0"/>
    <x v="1"/>
    <x v="1"/>
    <x v="1"/>
    <x v="2"/>
    <x v="1"/>
    <x v="2"/>
    <x v="1"/>
    <x v="2"/>
    <x v="0"/>
    <x v="1"/>
    <x v="1"/>
    <x v="2"/>
    <x v="425"/>
    <x v="4"/>
    <x v="0"/>
    <x v="0"/>
    <x v="1"/>
    <x v="0"/>
    <x v="0"/>
    <x v="0"/>
    <x v="0"/>
  </r>
  <r>
    <x v="847"/>
    <x v="426"/>
    <x v="423"/>
    <x v="418"/>
    <x v="678"/>
    <x v="1"/>
    <x v="2"/>
    <x v="435"/>
    <x v="59"/>
    <x v="1"/>
    <x v="170"/>
    <x v="0"/>
    <x v="0"/>
    <x v="1"/>
    <x v="1"/>
    <x v="1"/>
    <x v="2"/>
    <x v="2"/>
    <x v="1"/>
    <x v="1"/>
    <x v="2"/>
    <x v="0"/>
    <x v="1"/>
    <x v="1"/>
    <x v="2"/>
    <x v="426"/>
    <x v="13"/>
    <x v="0"/>
    <x v="0"/>
    <x v="1"/>
    <x v="0"/>
    <x v="0"/>
    <x v="0"/>
    <x v="0"/>
  </r>
  <r>
    <x v="848"/>
    <x v="424"/>
    <x v="421"/>
    <x v="416"/>
    <x v="679"/>
    <x v="3"/>
    <x v="2"/>
    <x v="433"/>
    <x v="333"/>
    <x v="1"/>
    <x v="15"/>
    <x v="0"/>
    <x v="0"/>
    <x v="3"/>
    <x v="1"/>
    <x v="1"/>
    <x v="1"/>
    <x v="2"/>
    <x v="2"/>
    <x v="1"/>
    <x v="2"/>
    <x v="0"/>
    <x v="1"/>
    <x v="3"/>
    <x v="4"/>
    <x v="424"/>
    <x v="3"/>
    <x v="0"/>
    <x v="0"/>
    <x v="1"/>
    <x v="0"/>
    <x v="0"/>
    <x v="0"/>
    <x v="0"/>
  </r>
  <r>
    <x v="849"/>
    <x v="427"/>
    <x v="424"/>
    <x v="419"/>
    <x v="680"/>
    <x v="1"/>
    <x v="2"/>
    <x v="436"/>
    <x v="335"/>
    <x v="1"/>
    <x v="31"/>
    <x v="0"/>
    <x v="0"/>
    <x v="1"/>
    <x v="1"/>
    <x v="1"/>
    <x v="2"/>
    <x v="2"/>
    <x v="2"/>
    <x v="1"/>
    <x v="2"/>
    <x v="0"/>
    <x v="1"/>
    <x v="1"/>
    <x v="2"/>
    <x v="427"/>
    <x v="12"/>
    <x v="0"/>
    <x v="0"/>
    <x v="1"/>
    <x v="0"/>
    <x v="0"/>
    <x v="0"/>
    <x v="0"/>
  </r>
  <r>
    <x v="850"/>
    <x v="115"/>
    <x v="114"/>
    <x v="113"/>
    <x v="681"/>
    <x v="3"/>
    <x v="2"/>
    <x v="120"/>
    <x v="111"/>
    <x v="1"/>
    <x v="4"/>
    <x v="0"/>
    <x v="0"/>
    <x v="1"/>
    <x v="1"/>
    <x v="1"/>
    <x v="2"/>
    <x v="1"/>
    <x v="2"/>
    <x v="1"/>
    <x v="2"/>
    <x v="0"/>
    <x v="2"/>
    <x v="5"/>
    <x v="2"/>
    <x v="114"/>
    <x v="12"/>
    <x v="0"/>
    <x v="0"/>
    <x v="1"/>
    <x v="0"/>
    <x v="0"/>
    <x v="0"/>
    <x v="0"/>
  </r>
  <r>
    <x v="851"/>
    <x v="428"/>
    <x v="425"/>
    <x v="420"/>
    <x v="682"/>
    <x v="3"/>
    <x v="2"/>
    <x v="437"/>
    <x v="324"/>
    <x v="1"/>
    <x v="22"/>
    <x v="0"/>
    <x v="0"/>
    <x v="1"/>
    <x v="1"/>
    <x v="2"/>
    <x v="2"/>
    <x v="2"/>
    <x v="2"/>
    <x v="1"/>
    <x v="1"/>
    <x v="201"/>
    <x v="1"/>
    <x v="1"/>
    <x v="2"/>
    <x v="428"/>
    <x v="3"/>
    <x v="1"/>
    <x v="5"/>
    <x v="2"/>
    <x v="1"/>
    <x v="491"/>
    <x v="0"/>
    <x v="0"/>
  </r>
  <r>
    <x v="852"/>
    <x v="429"/>
    <x v="426"/>
    <x v="421"/>
    <x v="683"/>
    <x v="1"/>
    <x v="2"/>
    <x v="251"/>
    <x v="336"/>
    <x v="1"/>
    <x v="9"/>
    <x v="0"/>
    <x v="0"/>
    <x v="1"/>
    <x v="1"/>
    <x v="1"/>
    <x v="2"/>
    <x v="1"/>
    <x v="2"/>
    <x v="1"/>
    <x v="2"/>
    <x v="0"/>
    <x v="1"/>
    <x v="1"/>
    <x v="2"/>
    <x v="429"/>
    <x v="5"/>
    <x v="0"/>
    <x v="0"/>
    <x v="1"/>
    <x v="0"/>
    <x v="0"/>
    <x v="0"/>
    <x v="0"/>
  </r>
  <r>
    <x v="853"/>
    <x v="385"/>
    <x v="385"/>
    <x v="380"/>
    <x v="0"/>
    <x v="1"/>
    <x v="2"/>
    <x v="400"/>
    <x v="332"/>
    <x v="1"/>
    <x v="3"/>
    <x v="0"/>
    <x v="0"/>
    <x v="3"/>
    <x v="1"/>
    <x v="1"/>
    <x v="2"/>
    <x v="1"/>
    <x v="1"/>
    <x v="1"/>
    <x v="2"/>
    <x v="0"/>
    <x v="2"/>
    <x v="3"/>
    <x v="4"/>
    <x v="388"/>
    <x v="3"/>
    <x v="0"/>
    <x v="0"/>
    <x v="1"/>
    <x v="0"/>
    <x v="0"/>
    <x v="0"/>
    <x v="0"/>
  </r>
  <r>
    <x v="854"/>
    <x v="430"/>
    <x v="427"/>
    <x v="422"/>
    <x v="684"/>
    <x v="1"/>
    <x v="3"/>
    <x v="129"/>
    <x v="30"/>
    <x v="2"/>
    <x v="0"/>
    <x v="2"/>
    <x v="0"/>
    <x v="1"/>
    <x v="3"/>
    <x v="2"/>
    <x v="2"/>
    <x v="1"/>
    <x v="2"/>
    <x v="1"/>
    <x v="1"/>
    <x v="202"/>
    <x v="1"/>
    <x v="1"/>
    <x v="2"/>
    <x v="430"/>
    <x v="5"/>
    <x v="1"/>
    <x v="1"/>
    <x v="1"/>
    <x v="0"/>
    <x v="492"/>
    <x v="0"/>
    <x v="267"/>
  </r>
  <r>
    <x v="855"/>
    <x v="431"/>
    <x v="428"/>
    <x v="423"/>
    <x v="685"/>
    <x v="1"/>
    <x v="2"/>
    <x v="438"/>
    <x v="337"/>
    <x v="2"/>
    <x v="0"/>
    <x v="6"/>
    <x v="0"/>
    <x v="1"/>
    <x v="3"/>
    <x v="2"/>
    <x v="2"/>
    <x v="1"/>
    <x v="2"/>
    <x v="1"/>
    <x v="1"/>
    <x v="203"/>
    <x v="2"/>
    <x v="1"/>
    <x v="2"/>
    <x v="431"/>
    <x v="2"/>
    <x v="1"/>
    <x v="12"/>
    <x v="1"/>
    <x v="0"/>
    <x v="493"/>
    <x v="0"/>
    <x v="0"/>
  </r>
  <r>
    <x v="856"/>
    <x v="432"/>
    <x v="429"/>
    <x v="424"/>
    <x v="686"/>
    <x v="1"/>
    <x v="1"/>
    <x v="439"/>
    <x v="10"/>
    <x v="1"/>
    <x v="138"/>
    <x v="0"/>
    <x v="0"/>
    <x v="1"/>
    <x v="3"/>
    <x v="2"/>
    <x v="1"/>
    <x v="1"/>
    <x v="3"/>
    <x v="1"/>
    <x v="1"/>
    <x v="202"/>
    <x v="1"/>
    <x v="1"/>
    <x v="2"/>
    <x v="432"/>
    <x v="2"/>
    <x v="1"/>
    <x v="2"/>
    <x v="1"/>
    <x v="0"/>
    <x v="494"/>
    <x v="246"/>
    <x v="0"/>
  </r>
  <r>
    <x v="857"/>
    <x v="433"/>
    <x v="430"/>
    <x v="425"/>
    <x v="687"/>
    <x v="1"/>
    <x v="2"/>
    <x v="440"/>
    <x v="10"/>
    <x v="1"/>
    <x v="171"/>
    <x v="0"/>
    <x v="0"/>
    <x v="1"/>
    <x v="5"/>
    <x v="1"/>
    <x v="2"/>
    <x v="1"/>
    <x v="3"/>
    <x v="1"/>
    <x v="1"/>
    <x v="201"/>
    <x v="1"/>
    <x v="1"/>
    <x v="13"/>
    <x v="433"/>
    <x v="5"/>
    <x v="1"/>
    <x v="1"/>
    <x v="1"/>
    <x v="0"/>
    <x v="495"/>
    <x v="247"/>
    <x v="0"/>
  </r>
  <r>
    <x v="858"/>
    <x v="430"/>
    <x v="427"/>
    <x v="422"/>
    <x v="0"/>
    <x v="1"/>
    <x v="3"/>
    <x v="129"/>
    <x v="30"/>
    <x v="2"/>
    <x v="0"/>
    <x v="2"/>
    <x v="0"/>
    <x v="3"/>
    <x v="1"/>
    <x v="1"/>
    <x v="2"/>
    <x v="1"/>
    <x v="2"/>
    <x v="1"/>
    <x v="2"/>
    <x v="0"/>
    <x v="2"/>
    <x v="3"/>
    <x v="4"/>
    <x v="430"/>
    <x v="5"/>
    <x v="0"/>
    <x v="0"/>
    <x v="1"/>
    <x v="0"/>
    <x v="0"/>
    <x v="0"/>
    <x v="0"/>
  </r>
  <r>
    <x v="859"/>
    <x v="432"/>
    <x v="429"/>
    <x v="424"/>
    <x v="0"/>
    <x v="1"/>
    <x v="1"/>
    <x v="439"/>
    <x v="10"/>
    <x v="1"/>
    <x v="138"/>
    <x v="0"/>
    <x v="0"/>
    <x v="3"/>
    <x v="3"/>
    <x v="2"/>
    <x v="2"/>
    <x v="1"/>
    <x v="3"/>
    <x v="1"/>
    <x v="1"/>
    <x v="203"/>
    <x v="2"/>
    <x v="3"/>
    <x v="4"/>
    <x v="432"/>
    <x v="4"/>
    <x v="1"/>
    <x v="1"/>
    <x v="1"/>
    <x v="0"/>
    <x v="496"/>
    <x v="248"/>
    <x v="268"/>
  </r>
  <r>
    <x v="860"/>
    <x v="431"/>
    <x v="428"/>
    <x v="423"/>
    <x v="0"/>
    <x v="1"/>
    <x v="2"/>
    <x v="438"/>
    <x v="310"/>
    <x v="2"/>
    <x v="0"/>
    <x v="6"/>
    <x v="0"/>
    <x v="3"/>
    <x v="1"/>
    <x v="1"/>
    <x v="2"/>
    <x v="1"/>
    <x v="2"/>
    <x v="1"/>
    <x v="2"/>
    <x v="0"/>
    <x v="2"/>
    <x v="3"/>
    <x v="4"/>
    <x v="431"/>
    <x v="13"/>
    <x v="0"/>
    <x v="0"/>
    <x v="1"/>
    <x v="0"/>
    <x v="0"/>
    <x v="0"/>
    <x v="0"/>
  </r>
  <r>
    <x v="861"/>
    <x v="434"/>
    <x v="431"/>
    <x v="426"/>
    <x v="688"/>
    <x v="1"/>
    <x v="2"/>
    <x v="441"/>
    <x v="119"/>
    <x v="1"/>
    <x v="1"/>
    <x v="0"/>
    <x v="0"/>
    <x v="1"/>
    <x v="2"/>
    <x v="5"/>
    <x v="2"/>
    <x v="1"/>
    <x v="2"/>
    <x v="1"/>
    <x v="1"/>
    <x v="203"/>
    <x v="1"/>
    <x v="1"/>
    <x v="13"/>
    <x v="434"/>
    <x v="4"/>
    <x v="1"/>
    <x v="1"/>
    <x v="1"/>
    <x v="0"/>
    <x v="497"/>
    <x v="249"/>
    <x v="0"/>
  </r>
  <r>
    <x v="862"/>
    <x v="435"/>
    <x v="432"/>
    <x v="427"/>
    <x v="689"/>
    <x v="1"/>
    <x v="2"/>
    <x v="442"/>
    <x v="338"/>
    <x v="1"/>
    <x v="2"/>
    <x v="0"/>
    <x v="0"/>
    <x v="1"/>
    <x v="3"/>
    <x v="2"/>
    <x v="1"/>
    <x v="1"/>
    <x v="2"/>
    <x v="1"/>
    <x v="1"/>
    <x v="201"/>
    <x v="1"/>
    <x v="1"/>
    <x v="2"/>
    <x v="435"/>
    <x v="5"/>
    <x v="1"/>
    <x v="1"/>
    <x v="1"/>
    <x v="0"/>
    <x v="498"/>
    <x v="250"/>
    <x v="0"/>
  </r>
  <r>
    <x v="863"/>
    <x v="436"/>
    <x v="410"/>
    <x v="405"/>
    <x v="690"/>
    <x v="1"/>
    <x v="4"/>
    <x v="423"/>
    <x v="326"/>
    <x v="1"/>
    <x v="171"/>
    <x v="0"/>
    <x v="0"/>
    <x v="1"/>
    <x v="3"/>
    <x v="2"/>
    <x v="2"/>
    <x v="1"/>
    <x v="2"/>
    <x v="1"/>
    <x v="1"/>
    <x v="201"/>
    <x v="1"/>
    <x v="1"/>
    <x v="2"/>
    <x v="413"/>
    <x v="5"/>
    <x v="1"/>
    <x v="5"/>
    <x v="2"/>
    <x v="1"/>
    <x v="0"/>
    <x v="0"/>
    <x v="0"/>
  </r>
  <r>
    <x v="864"/>
    <x v="432"/>
    <x v="429"/>
    <x v="424"/>
    <x v="0"/>
    <x v="1"/>
    <x v="1"/>
    <x v="439"/>
    <x v="10"/>
    <x v="1"/>
    <x v="138"/>
    <x v="0"/>
    <x v="0"/>
    <x v="3"/>
    <x v="1"/>
    <x v="1"/>
    <x v="2"/>
    <x v="1"/>
    <x v="3"/>
    <x v="1"/>
    <x v="2"/>
    <x v="0"/>
    <x v="2"/>
    <x v="3"/>
    <x v="4"/>
    <x v="432"/>
    <x v="5"/>
    <x v="0"/>
    <x v="0"/>
    <x v="1"/>
    <x v="0"/>
    <x v="0"/>
    <x v="0"/>
    <x v="0"/>
  </r>
  <r>
    <x v="865"/>
    <x v="437"/>
    <x v="433"/>
    <x v="428"/>
    <x v="691"/>
    <x v="1"/>
    <x v="2"/>
    <x v="443"/>
    <x v="59"/>
    <x v="1"/>
    <x v="15"/>
    <x v="0"/>
    <x v="0"/>
    <x v="1"/>
    <x v="3"/>
    <x v="3"/>
    <x v="2"/>
    <x v="1"/>
    <x v="1"/>
    <x v="1"/>
    <x v="1"/>
    <x v="201"/>
    <x v="1"/>
    <x v="1"/>
    <x v="2"/>
    <x v="436"/>
    <x v="13"/>
    <x v="1"/>
    <x v="1"/>
    <x v="1"/>
    <x v="0"/>
    <x v="499"/>
    <x v="251"/>
    <x v="269"/>
  </r>
  <r>
    <x v="866"/>
    <x v="434"/>
    <x v="431"/>
    <x v="426"/>
    <x v="0"/>
    <x v="1"/>
    <x v="2"/>
    <x v="441"/>
    <x v="119"/>
    <x v="1"/>
    <x v="1"/>
    <x v="0"/>
    <x v="0"/>
    <x v="3"/>
    <x v="4"/>
    <x v="1"/>
    <x v="2"/>
    <x v="1"/>
    <x v="2"/>
    <x v="1"/>
    <x v="2"/>
    <x v="0"/>
    <x v="2"/>
    <x v="3"/>
    <x v="4"/>
    <x v="434"/>
    <x v="5"/>
    <x v="0"/>
    <x v="0"/>
    <x v="1"/>
    <x v="0"/>
    <x v="0"/>
    <x v="0"/>
    <x v="0"/>
  </r>
  <r>
    <x v="867"/>
    <x v="428"/>
    <x v="425"/>
    <x v="420"/>
    <x v="692"/>
    <x v="3"/>
    <x v="2"/>
    <x v="437"/>
    <x v="324"/>
    <x v="1"/>
    <x v="22"/>
    <x v="0"/>
    <x v="0"/>
    <x v="3"/>
    <x v="1"/>
    <x v="1"/>
    <x v="2"/>
    <x v="1"/>
    <x v="2"/>
    <x v="1"/>
    <x v="2"/>
    <x v="0"/>
    <x v="1"/>
    <x v="3"/>
    <x v="4"/>
    <x v="428"/>
    <x v="2"/>
    <x v="0"/>
    <x v="0"/>
    <x v="1"/>
    <x v="0"/>
    <x v="0"/>
    <x v="0"/>
    <x v="0"/>
  </r>
  <r>
    <x v="868"/>
    <x v="438"/>
    <x v="434"/>
    <x v="429"/>
    <x v="693"/>
    <x v="1"/>
    <x v="2"/>
    <x v="444"/>
    <x v="339"/>
    <x v="1"/>
    <x v="33"/>
    <x v="0"/>
    <x v="0"/>
    <x v="1"/>
    <x v="3"/>
    <x v="3"/>
    <x v="2"/>
    <x v="1"/>
    <x v="2"/>
    <x v="1"/>
    <x v="1"/>
    <x v="204"/>
    <x v="1"/>
    <x v="1"/>
    <x v="2"/>
    <x v="437"/>
    <x v="12"/>
    <x v="1"/>
    <x v="1"/>
    <x v="1"/>
    <x v="0"/>
    <x v="500"/>
    <x v="252"/>
    <x v="270"/>
  </r>
  <r>
    <x v="869"/>
    <x v="413"/>
    <x v="410"/>
    <x v="405"/>
    <x v="694"/>
    <x v="1"/>
    <x v="2"/>
    <x v="423"/>
    <x v="326"/>
    <x v="1"/>
    <x v="33"/>
    <x v="0"/>
    <x v="0"/>
    <x v="3"/>
    <x v="1"/>
    <x v="1"/>
    <x v="1"/>
    <x v="1"/>
    <x v="2"/>
    <x v="1"/>
    <x v="1"/>
    <x v="205"/>
    <x v="1"/>
    <x v="3"/>
    <x v="4"/>
    <x v="413"/>
    <x v="2"/>
    <x v="1"/>
    <x v="7"/>
    <x v="1"/>
    <x v="0"/>
    <x v="501"/>
    <x v="0"/>
    <x v="0"/>
  </r>
  <r>
    <x v="870"/>
    <x v="439"/>
    <x v="435"/>
    <x v="430"/>
    <x v="695"/>
    <x v="1"/>
    <x v="2"/>
    <x v="445"/>
    <x v="335"/>
    <x v="1"/>
    <x v="33"/>
    <x v="0"/>
    <x v="0"/>
    <x v="1"/>
    <x v="3"/>
    <x v="3"/>
    <x v="1"/>
    <x v="1"/>
    <x v="2"/>
    <x v="1"/>
    <x v="1"/>
    <x v="205"/>
    <x v="1"/>
    <x v="6"/>
    <x v="2"/>
    <x v="438"/>
    <x v="5"/>
    <x v="3"/>
    <x v="0"/>
    <x v="1"/>
    <x v="0"/>
    <x v="502"/>
    <x v="253"/>
    <x v="271"/>
  </r>
  <r>
    <x v="871"/>
    <x v="433"/>
    <x v="430"/>
    <x v="425"/>
    <x v="0"/>
    <x v="1"/>
    <x v="2"/>
    <x v="440"/>
    <x v="10"/>
    <x v="1"/>
    <x v="172"/>
    <x v="0"/>
    <x v="0"/>
    <x v="3"/>
    <x v="1"/>
    <x v="1"/>
    <x v="2"/>
    <x v="1"/>
    <x v="2"/>
    <x v="1"/>
    <x v="1"/>
    <x v="205"/>
    <x v="2"/>
    <x v="3"/>
    <x v="4"/>
    <x v="433"/>
    <x v="5"/>
    <x v="1"/>
    <x v="7"/>
    <x v="1"/>
    <x v="0"/>
    <x v="503"/>
    <x v="0"/>
    <x v="272"/>
  </r>
  <r>
    <x v="872"/>
    <x v="435"/>
    <x v="432"/>
    <x v="427"/>
    <x v="0"/>
    <x v="1"/>
    <x v="2"/>
    <x v="442"/>
    <x v="338"/>
    <x v="1"/>
    <x v="2"/>
    <x v="0"/>
    <x v="0"/>
    <x v="3"/>
    <x v="1"/>
    <x v="1"/>
    <x v="2"/>
    <x v="1"/>
    <x v="2"/>
    <x v="1"/>
    <x v="2"/>
    <x v="0"/>
    <x v="2"/>
    <x v="3"/>
    <x v="4"/>
    <x v="435"/>
    <x v="5"/>
    <x v="0"/>
    <x v="0"/>
    <x v="1"/>
    <x v="0"/>
    <x v="0"/>
    <x v="0"/>
    <x v="0"/>
  </r>
  <r>
    <x v="873"/>
    <x v="437"/>
    <x v="433"/>
    <x v="428"/>
    <x v="0"/>
    <x v="1"/>
    <x v="2"/>
    <x v="443"/>
    <x v="10"/>
    <x v="1"/>
    <x v="15"/>
    <x v="0"/>
    <x v="0"/>
    <x v="3"/>
    <x v="1"/>
    <x v="1"/>
    <x v="2"/>
    <x v="1"/>
    <x v="2"/>
    <x v="1"/>
    <x v="2"/>
    <x v="0"/>
    <x v="2"/>
    <x v="3"/>
    <x v="4"/>
    <x v="436"/>
    <x v="5"/>
    <x v="0"/>
    <x v="0"/>
    <x v="1"/>
    <x v="0"/>
    <x v="0"/>
    <x v="0"/>
    <x v="0"/>
  </r>
  <r>
    <x v="874"/>
    <x v="438"/>
    <x v="434"/>
    <x v="429"/>
    <x v="0"/>
    <x v="1"/>
    <x v="2"/>
    <x v="444"/>
    <x v="339"/>
    <x v="1"/>
    <x v="33"/>
    <x v="0"/>
    <x v="0"/>
    <x v="3"/>
    <x v="1"/>
    <x v="1"/>
    <x v="2"/>
    <x v="1"/>
    <x v="2"/>
    <x v="1"/>
    <x v="1"/>
    <x v="206"/>
    <x v="2"/>
    <x v="3"/>
    <x v="4"/>
    <x v="437"/>
    <x v="5"/>
    <x v="3"/>
    <x v="0"/>
    <x v="1"/>
    <x v="0"/>
    <x v="504"/>
    <x v="254"/>
    <x v="0"/>
  </r>
  <r>
    <x v="875"/>
    <x v="440"/>
    <x v="436"/>
    <x v="431"/>
    <x v="696"/>
    <x v="1"/>
    <x v="1"/>
    <x v="446"/>
    <x v="340"/>
    <x v="1"/>
    <x v="33"/>
    <x v="0"/>
    <x v="0"/>
    <x v="1"/>
    <x v="3"/>
    <x v="3"/>
    <x v="2"/>
    <x v="1"/>
    <x v="2"/>
    <x v="1"/>
    <x v="1"/>
    <x v="206"/>
    <x v="1"/>
    <x v="4"/>
    <x v="2"/>
    <x v="439"/>
    <x v="12"/>
    <x v="1"/>
    <x v="3"/>
    <x v="2"/>
    <x v="1"/>
    <x v="505"/>
    <x v="255"/>
    <x v="0"/>
  </r>
  <r>
    <x v="876"/>
    <x v="441"/>
    <x v="437"/>
    <x v="432"/>
    <x v="697"/>
    <x v="1"/>
    <x v="3"/>
    <x v="447"/>
    <x v="310"/>
    <x v="1"/>
    <x v="173"/>
    <x v="0"/>
    <x v="0"/>
    <x v="1"/>
    <x v="1"/>
    <x v="1"/>
    <x v="2"/>
    <x v="1"/>
    <x v="2"/>
    <x v="1"/>
    <x v="1"/>
    <x v="207"/>
    <x v="1"/>
    <x v="5"/>
    <x v="2"/>
    <x v="440"/>
    <x v="12"/>
    <x v="2"/>
    <x v="0"/>
    <x v="1"/>
    <x v="0"/>
    <x v="506"/>
    <x v="256"/>
    <x v="273"/>
  </r>
  <r>
    <x v="877"/>
    <x v="413"/>
    <x v="410"/>
    <x v="405"/>
    <x v="0"/>
    <x v="1"/>
    <x v="4"/>
    <x v="423"/>
    <x v="326"/>
    <x v="1"/>
    <x v="33"/>
    <x v="0"/>
    <x v="0"/>
    <x v="3"/>
    <x v="1"/>
    <x v="1"/>
    <x v="2"/>
    <x v="1"/>
    <x v="2"/>
    <x v="1"/>
    <x v="2"/>
    <x v="0"/>
    <x v="2"/>
    <x v="3"/>
    <x v="4"/>
    <x v="413"/>
    <x v="12"/>
    <x v="0"/>
    <x v="0"/>
    <x v="1"/>
    <x v="0"/>
    <x v="0"/>
    <x v="0"/>
    <x v="0"/>
  </r>
  <r>
    <x v="878"/>
    <x v="433"/>
    <x v="430"/>
    <x v="425"/>
    <x v="0"/>
    <x v="1"/>
    <x v="2"/>
    <x v="440"/>
    <x v="341"/>
    <x v="1"/>
    <x v="33"/>
    <x v="0"/>
    <x v="0"/>
    <x v="3"/>
    <x v="1"/>
    <x v="1"/>
    <x v="2"/>
    <x v="1"/>
    <x v="2"/>
    <x v="1"/>
    <x v="2"/>
    <x v="0"/>
    <x v="2"/>
    <x v="3"/>
    <x v="4"/>
    <x v="433"/>
    <x v="12"/>
    <x v="0"/>
    <x v="0"/>
    <x v="1"/>
    <x v="0"/>
    <x v="0"/>
    <x v="0"/>
    <x v="0"/>
  </r>
  <r>
    <x v="879"/>
    <x v="442"/>
    <x v="438"/>
    <x v="433"/>
    <x v="698"/>
    <x v="1"/>
    <x v="2"/>
    <x v="448"/>
    <x v="342"/>
    <x v="1"/>
    <x v="174"/>
    <x v="0"/>
    <x v="0"/>
    <x v="1"/>
    <x v="1"/>
    <x v="1"/>
    <x v="2"/>
    <x v="1"/>
    <x v="2"/>
    <x v="1"/>
    <x v="2"/>
    <x v="0"/>
    <x v="1"/>
    <x v="6"/>
    <x v="2"/>
    <x v="441"/>
    <x v="12"/>
    <x v="0"/>
    <x v="0"/>
    <x v="1"/>
    <x v="0"/>
    <x v="0"/>
    <x v="0"/>
    <x v="0"/>
  </r>
  <r>
    <x v="880"/>
    <x v="443"/>
    <x v="439"/>
    <x v="434"/>
    <x v="699"/>
    <x v="1"/>
    <x v="1"/>
    <x v="449"/>
    <x v="198"/>
    <x v="2"/>
    <x v="0"/>
    <x v="2"/>
    <x v="0"/>
    <x v="1"/>
    <x v="3"/>
    <x v="3"/>
    <x v="2"/>
    <x v="1"/>
    <x v="2"/>
    <x v="1"/>
    <x v="1"/>
    <x v="208"/>
    <x v="1"/>
    <x v="2"/>
    <x v="2"/>
    <x v="442"/>
    <x v="12"/>
    <x v="1"/>
    <x v="1"/>
    <x v="1"/>
    <x v="0"/>
    <x v="507"/>
    <x v="257"/>
    <x v="0"/>
  </r>
  <r>
    <x v="881"/>
    <x v="444"/>
    <x v="440"/>
    <x v="435"/>
    <x v="700"/>
    <x v="1"/>
    <x v="2"/>
    <x v="450"/>
    <x v="10"/>
    <x v="1"/>
    <x v="15"/>
    <x v="0"/>
    <x v="0"/>
    <x v="1"/>
    <x v="2"/>
    <x v="3"/>
    <x v="2"/>
    <x v="1"/>
    <x v="1"/>
    <x v="1"/>
    <x v="1"/>
    <x v="208"/>
    <x v="1"/>
    <x v="1"/>
    <x v="2"/>
    <x v="443"/>
    <x v="3"/>
    <x v="1"/>
    <x v="1"/>
    <x v="1"/>
    <x v="0"/>
    <x v="508"/>
    <x v="258"/>
    <x v="0"/>
  </r>
  <r>
    <x v="882"/>
    <x v="445"/>
    <x v="441"/>
    <x v="436"/>
    <x v="701"/>
    <x v="1"/>
    <x v="2"/>
    <x v="451"/>
    <x v="324"/>
    <x v="1"/>
    <x v="8"/>
    <x v="0"/>
    <x v="0"/>
    <x v="1"/>
    <x v="1"/>
    <x v="1"/>
    <x v="1"/>
    <x v="1"/>
    <x v="3"/>
    <x v="1"/>
    <x v="1"/>
    <x v="209"/>
    <x v="1"/>
    <x v="1"/>
    <x v="2"/>
    <x v="444"/>
    <x v="3"/>
    <x v="3"/>
    <x v="0"/>
    <x v="1"/>
    <x v="0"/>
    <x v="509"/>
    <x v="259"/>
    <x v="0"/>
  </r>
  <r>
    <x v="883"/>
    <x v="446"/>
    <x v="442"/>
    <x v="437"/>
    <x v="702"/>
    <x v="1"/>
    <x v="2"/>
    <x v="452"/>
    <x v="343"/>
    <x v="1"/>
    <x v="22"/>
    <x v="0"/>
    <x v="0"/>
    <x v="1"/>
    <x v="1"/>
    <x v="1"/>
    <x v="2"/>
    <x v="1"/>
    <x v="2"/>
    <x v="1"/>
    <x v="1"/>
    <x v="206"/>
    <x v="1"/>
    <x v="1"/>
    <x v="2"/>
    <x v="445"/>
    <x v="4"/>
    <x v="1"/>
    <x v="3"/>
    <x v="2"/>
    <x v="1"/>
    <x v="510"/>
    <x v="0"/>
    <x v="274"/>
  </r>
  <r>
    <x v="884"/>
    <x v="141"/>
    <x v="141"/>
    <x v="139"/>
    <x v="703"/>
    <x v="1"/>
    <x v="1"/>
    <x v="145"/>
    <x v="125"/>
    <x v="1"/>
    <x v="15"/>
    <x v="0"/>
    <x v="0"/>
    <x v="1"/>
    <x v="1"/>
    <x v="1"/>
    <x v="2"/>
    <x v="1"/>
    <x v="2"/>
    <x v="1"/>
    <x v="1"/>
    <x v="206"/>
    <x v="1"/>
    <x v="1"/>
    <x v="2"/>
    <x v="140"/>
    <x v="4"/>
    <x v="1"/>
    <x v="7"/>
    <x v="2"/>
    <x v="1"/>
    <x v="511"/>
    <x v="260"/>
    <x v="0"/>
  </r>
  <r>
    <x v="885"/>
    <x v="440"/>
    <x v="436"/>
    <x v="431"/>
    <x v="704"/>
    <x v="1"/>
    <x v="1"/>
    <x v="446"/>
    <x v="340"/>
    <x v="1"/>
    <x v="33"/>
    <x v="0"/>
    <x v="0"/>
    <x v="3"/>
    <x v="1"/>
    <x v="1"/>
    <x v="2"/>
    <x v="1"/>
    <x v="2"/>
    <x v="1"/>
    <x v="1"/>
    <x v="209"/>
    <x v="1"/>
    <x v="3"/>
    <x v="4"/>
    <x v="439"/>
    <x v="3"/>
    <x v="3"/>
    <x v="0"/>
    <x v="1"/>
    <x v="0"/>
    <x v="512"/>
    <x v="261"/>
    <x v="0"/>
  </r>
  <r>
    <x v="886"/>
    <x v="446"/>
    <x v="442"/>
    <x v="437"/>
    <x v="705"/>
    <x v="1"/>
    <x v="1"/>
    <x v="452"/>
    <x v="343"/>
    <x v="1"/>
    <x v="22"/>
    <x v="0"/>
    <x v="0"/>
    <x v="3"/>
    <x v="2"/>
    <x v="3"/>
    <x v="2"/>
    <x v="1"/>
    <x v="2"/>
    <x v="1"/>
    <x v="1"/>
    <x v="209"/>
    <x v="2"/>
    <x v="3"/>
    <x v="4"/>
    <x v="445"/>
    <x v="3"/>
    <x v="1"/>
    <x v="7"/>
    <x v="2"/>
    <x v="1"/>
    <x v="513"/>
    <x v="0"/>
    <x v="0"/>
  </r>
  <r>
    <x v="887"/>
    <x v="414"/>
    <x v="411"/>
    <x v="406"/>
    <x v="706"/>
    <x v="1"/>
    <x v="2"/>
    <x v="424"/>
    <x v="198"/>
    <x v="1"/>
    <x v="15"/>
    <x v="0"/>
    <x v="0"/>
    <x v="1"/>
    <x v="2"/>
    <x v="3"/>
    <x v="2"/>
    <x v="1"/>
    <x v="2"/>
    <x v="1"/>
    <x v="1"/>
    <x v="208"/>
    <x v="1"/>
    <x v="5"/>
    <x v="3"/>
    <x v="414"/>
    <x v="3"/>
    <x v="3"/>
    <x v="0"/>
    <x v="1"/>
    <x v="0"/>
    <x v="514"/>
    <x v="0"/>
    <x v="0"/>
  </r>
  <r>
    <x v="888"/>
    <x v="141"/>
    <x v="141"/>
    <x v="139"/>
    <x v="707"/>
    <x v="1"/>
    <x v="1"/>
    <x v="145"/>
    <x v="125"/>
    <x v="2"/>
    <x v="0"/>
    <x v="2"/>
    <x v="0"/>
    <x v="3"/>
    <x v="1"/>
    <x v="1"/>
    <x v="2"/>
    <x v="1"/>
    <x v="2"/>
    <x v="1"/>
    <x v="2"/>
    <x v="0"/>
    <x v="1"/>
    <x v="3"/>
    <x v="4"/>
    <x v="140"/>
    <x v="12"/>
    <x v="0"/>
    <x v="0"/>
    <x v="1"/>
    <x v="0"/>
    <x v="0"/>
    <x v="0"/>
    <x v="0"/>
  </r>
  <r>
    <x v="889"/>
    <x v="447"/>
    <x v="443"/>
    <x v="438"/>
    <x v="708"/>
    <x v="1"/>
    <x v="2"/>
    <x v="453"/>
    <x v="235"/>
    <x v="1"/>
    <x v="33"/>
    <x v="0"/>
    <x v="0"/>
    <x v="1"/>
    <x v="3"/>
    <x v="2"/>
    <x v="2"/>
    <x v="1"/>
    <x v="1"/>
    <x v="1"/>
    <x v="1"/>
    <x v="209"/>
    <x v="1"/>
    <x v="1"/>
    <x v="2"/>
    <x v="446"/>
    <x v="13"/>
    <x v="1"/>
    <x v="7"/>
    <x v="1"/>
    <x v="0"/>
    <x v="515"/>
    <x v="0"/>
    <x v="275"/>
  </r>
  <r>
    <x v="890"/>
    <x v="413"/>
    <x v="410"/>
    <x v="405"/>
    <x v="709"/>
    <x v="1"/>
    <x v="2"/>
    <x v="423"/>
    <x v="344"/>
    <x v="1"/>
    <x v="175"/>
    <x v="0"/>
    <x v="0"/>
    <x v="1"/>
    <x v="1"/>
    <x v="1"/>
    <x v="2"/>
    <x v="1"/>
    <x v="2"/>
    <x v="1"/>
    <x v="2"/>
    <x v="0"/>
    <x v="1"/>
    <x v="1"/>
    <x v="2"/>
    <x v="413"/>
    <x v="2"/>
    <x v="0"/>
    <x v="0"/>
    <x v="1"/>
    <x v="0"/>
    <x v="0"/>
    <x v="0"/>
    <x v="0"/>
  </r>
  <r>
    <x v="891"/>
    <x v="448"/>
    <x v="444"/>
    <x v="439"/>
    <x v="710"/>
    <x v="1"/>
    <x v="2"/>
    <x v="454"/>
    <x v="283"/>
    <x v="1"/>
    <x v="138"/>
    <x v="0"/>
    <x v="0"/>
    <x v="1"/>
    <x v="3"/>
    <x v="3"/>
    <x v="2"/>
    <x v="1"/>
    <x v="2"/>
    <x v="1"/>
    <x v="1"/>
    <x v="209"/>
    <x v="1"/>
    <x v="1"/>
    <x v="2"/>
    <x v="447"/>
    <x v="5"/>
    <x v="1"/>
    <x v="2"/>
    <x v="1"/>
    <x v="0"/>
    <x v="516"/>
    <x v="0"/>
    <x v="0"/>
  </r>
  <r>
    <x v="892"/>
    <x v="449"/>
    <x v="445"/>
    <x v="440"/>
    <x v="711"/>
    <x v="1"/>
    <x v="2"/>
    <x v="455"/>
    <x v="345"/>
    <x v="1"/>
    <x v="22"/>
    <x v="0"/>
    <x v="0"/>
    <x v="1"/>
    <x v="3"/>
    <x v="2"/>
    <x v="2"/>
    <x v="1"/>
    <x v="1"/>
    <x v="1"/>
    <x v="1"/>
    <x v="209"/>
    <x v="1"/>
    <x v="1"/>
    <x v="2"/>
    <x v="448"/>
    <x v="13"/>
    <x v="1"/>
    <x v="7"/>
    <x v="1"/>
    <x v="0"/>
    <x v="517"/>
    <x v="0"/>
    <x v="276"/>
  </r>
  <r>
    <x v="893"/>
    <x v="444"/>
    <x v="440"/>
    <x v="435"/>
    <x v="0"/>
    <x v="1"/>
    <x v="2"/>
    <x v="450"/>
    <x v="10"/>
    <x v="1"/>
    <x v="15"/>
    <x v="0"/>
    <x v="0"/>
    <x v="3"/>
    <x v="5"/>
    <x v="1"/>
    <x v="2"/>
    <x v="1"/>
    <x v="2"/>
    <x v="1"/>
    <x v="2"/>
    <x v="0"/>
    <x v="2"/>
    <x v="3"/>
    <x v="4"/>
    <x v="443"/>
    <x v="5"/>
    <x v="0"/>
    <x v="0"/>
    <x v="1"/>
    <x v="0"/>
    <x v="0"/>
    <x v="0"/>
    <x v="0"/>
  </r>
  <r>
    <x v="894"/>
    <x v="443"/>
    <x v="439"/>
    <x v="434"/>
    <x v="0"/>
    <x v="1"/>
    <x v="1"/>
    <x v="449"/>
    <x v="198"/>
    <x v="2"/>
    <x v="0"/>
    <x v="2"/>
    <x v="0"/>
    <x v="3"/>
    <x v="4"/>
    <x v="1"/>
    <x v="2"/>
    <x v="1"/>
    <x v="2"/>
    <x v="1"/>
    <x v="2"/>
    <x v="0"/>
    <x v="2"/>
    <x v="3"/>
    <x v="4"/>
    <x v="442"/>
    <x v="5"/>
    <x v="0"/>
    <x v="0"/>
    <x v="1"/>
    <x v="0"/>
    <x v="0"/>
    <x v="0"/>
    <x v="0"/>
  </r>
  <r>
    <x v="895"/>
    <x v="450"/>
    <x v="446"/>
    <x v="441"/>
    <x v="712"/>
    <x v="1"/>
    <x v="1"/>
    <x v="456"/>
    <x v="76"/>
    <x v="1"/>
    <x v="33"/>
    <x v="0"/>
    <x v="0"/>
    <x v="1"/>
    <x v="3"/>
    <x v="3"/>
    <x v="2"/>
    <x v="1"/>
    <x v="2"/>
    <x v="1"/>
    <x v="1"/>
    <x v="209"/>
    <x v="1"/>
    <x v="5"/>
    <x v="2"/>
    <x v="449"/>
    <x v="5"/>
    <x v="1"/>
    <x v="7"/>
    <x v="1"/>
    <x v="0"/>
    <x v="518"/>
    <x v="262"/>
    <x v="0"/>
  </r>
  <r>
    <x v="896"/>
    <x v="141"/>
    <x v="141"/>
    <x v="139"/>
    <x v="713"/>
    <x v="1"/>
    <x v="1"/>
    <x v="145"/>
    <x v="125"/>
    <x v="2"/>
    <x v="0"/>
    <x v="5"/>
    <x v="0"/>
    <x v="1"/>
    <x v="2"/>
    <x v="3"/>
    <x v="2"/>
    <x v="1"/>
    <x v="2"/>
    <x v="1"/>
    <x v="1"/>
    <x v="209"/>
    <x v="1"/>
    <x v="5"/>
    <x v="2"/>
    <x v="140"/>
    <x v="5"/>
    <x v="3"/>
    <x v="0"/>
    <x v="1"/>
    <x v="0"/>
    <x v="519"/>
    <x v="263"/>
    <x v="0"/>
  </r>
  <r>
    <x v="897"/>
    <x v="448"/>
    <x v="444"/>
    <x v="439"/>
    <x v="0"/>
    <x v="1"/>
    <x v="2"/>
    <x v="454"/>
    <x v="283"/>
    <x v="1"/>
    <x v="138"/>
    <x v="0"/>
    <x v="0"/>
    <x v="3"/>
    <x v="1"/>
    <x v="1"/>
    <x v="2"/>
    <x v="1"/>
    <x v="2"/>
    <x v="1"/>
    <x v="1"/>
    <x v="210"/>
    <x v="2"/>
    <x v="3"/>
    <x v="4"/>
    <x v="447"/>
    <x v="4"/>
    <x v="3"/>
    <x v="0"/>
    <x v="1"/>
    <x v="0"/>
    <x v="520"/>
    <x v="264"/>
    <x v="0"/>
  </r>
  <r>
    <x v="898"/>
    <x v="447"/>
    <x v="443"/>
    <x v="438"/>
    <x v="714"/>
    <x v="1"/>
    <x v="2"/>
    <x v="453"/>
    <x v="346"/>
    <x v="1"/>
    <x v="33"/>
    <x v="0"/>
    <x v="0"/>
    <x v="1"/>
    <x v="3"/>
    <x v="2"/>
    <x v="1"/>
    <x v="1"/>
    <x v="2"/>
    <x v="1"/>
    <x v="1"/>
    <x v="211"/>
    <x v="1"/>
    <x v="2"/>
    <x v="2"/>
    <x v="446"/>
    <x v="12"/>
    <x v="3"/>
    <x v="0"/>
    <x v="1"/>
    <x v="0"/>
    <x v="521"/>
    <x v="0"/>
    <x v="0"/>
  </r>
  <r>
    <x v="899"/>
    <x v="446"/>
    <x v="442"/>
    <x v="437"/>
    <x v="715"/>
    <x v="1"/>
    <x v="2"/>
    <x v="452"/>
    <x v="347"/>
    <x v="1"/>
    <x v="22"/>
    <x v="0"/>
    <x v="0"/>
    <x v="3"/>
    <x v="1"/>
    <x v="1"/>
    <x v="2"/>
    <x v="1"/>
    <x v="2"/>
    <x v="1"/>
    <x v="2"/>
    <x v="0"/>
    <x v="1"/>
    <x v="3"/>
    <x v="4"/>
    <x v="445"/>
    <x v="12"/>
    <x v="0"/>
    <x v="0"/>
    <x v="1"/>
    <x v="0"/>
    <x v="0"/>
    <x v="0"/>
    <x v="0"/>
  </r>
  <r>
    <x v="900"/>
    <x v="451"/>
    <x v="447"/>
    <x v="442"/>
    <x v="716"/>
    <x v="1"/>
    <x v="2"/>
    <x v="457"/>
    <x v="348"/>
    <x v="1"/>
    <x v="70"/>
    <x v="0"/>
    <x v="0"/>
    <x v="1"/>
    <x v="3"/>
    <x v="2"/>
    <x v="2"/>
    <x v="1"/>
    <x v="3"/>
    <x v="1"/>
    <x v="1"/>
    <x v="211"/>
    <x v="1"/>
    <x v="1"/>
    <x v="2"/>
    <x v="450"/>
    <x v="2"/>
    <x v="1"/>
    <x v="2"/>
    <x v="2"/>
    <x v="1"/>
    <x v="522"/>
    <x v="0"/>
    <x v="0"/>
  </r>
  <r>
    <x v="901"/>
    <x v="449"/>
    <x v="445"/>
    <x v="440"/>
    <x v="0"/>
    <x v="1"/>
    <x v="2"/>
    <x v="119"/>
    <x v="345"/>
    <x v="1"/>
    <x v="22"/>
    <x v="0"/>
    <x v="0"/>
    <x v="3"/>
    <x v="5"/>
    <x v="1"/>
    <x v="2"/>
    <x v="1"/>
    <x v="2"/>
    <x v="1"/>
    <x v="2"/>
    <x v="0"/>
    <x v="2"/>
    <x v="3"/>
    <x v="4"/>
    <x v="448"/>
    <x v="12"/>
    <x v="0"/>
    <x v="0"/>
    <x v="1"/>
    <x v="0"/>
    <x v="0"/>
    <x v="0"/>
    <x v="0"/>
  </r>
  <r>
    <x v="902"/>
    <x v="450"/>
    <x v="448"/>
    <x v="441"/>
    <x v="0"/>
    <x v="1"/>
    <x v="1"/>
    <x v="456"/>
    <x v="76"/>
    <x v="1"/>
    <x v="33"/>
    <x v="0"/>
    <x v="0"/>
    <x v="3"/>
    <x v="1"/>
    <x v="1"/>
    <x v="2"/>
    <x v="1"/>
    <x v="2"/>
    <x v="1"/>
    <x v="1"/>
    <x v="211"/>
    <x v="2"/>
    <x v="3"/>
    <x v="4"/>
    <x v="449"/>
    <x v="12"/>
    <x v="3"/>
    <x v="0"/>
    <x v="1"/>
    <x v="0"/>
    <x v="523"/>
    <x v="0"/>
    <x v="0"/>
  </r>
  <r>
    <x v="903"/>
    <x v="452"/>
    <x v="449"/>
    <x v="443"/>
    <x v="717"/>
    <x v="1"/>
    <x v="2"/>
    <x v="458"/>
    <x v="349"/>
    <x v="1"/>
    <x v="9"/>
    <x v="0"/>
    <x v="0"/>
    <x v="1"/>
    <x v="1"/>
    <x v="1"/>
    <x v="1"/>
    <x v="1"/>
    <x v="2"/>
    <x v="1"/>
    <x v="1"/>
    <x v="210"/>
    <x v="1"/>
    <x v="5"/>
    <x v="2"/>
    <x v="451"/>
    <x v="12"/>
    <x v="1"/>
    <x v="5"/>
    <x v="2"/>
    <x v="1"/>
    <x v="524"/>
    <x v="0"/>
    <x v="277"/>
  </r>
  <r>
    <x v="904"/>
    <x v="453"/>
    <x v="450"/>
    <x v="444"/>
    <x v="718"/>
    <x v="1"/>
    <x v="2"/>
    <x v="459"/>
    <x v="191"/>
    <x v="1"/>
    <x v="3"/>
    <x v="0"/>
    <x v="0"/>
    <x v="1"/>
    <x v="3"/>
    <x v="2"/>
    <x v="2"/>
    <x v="1"/>
    <x v="2"/>
    <x v="2"/>
    <x v="1"/>
    <x v="210"/>
    <x v="1"/>
    <x v="1"/>
    <x v="2"/>
    <x v="452"/>
    <x v="13"/>
    <x v="3"/>
    <x v="0"/>
    <x v="1"/>
    <x v="0"/>
    <x v="525"/>
    <x v="265"/>
    <x v="0"/>
  </r>
  <r>
    <x v="905"/>
    <x v="454"/>
    <x v="451"/>
    <x v="445"/>
    <x v="719"/>
    <x v="1"/>
    <x v="2"/>
    <x v="460"/>
    <x v="350"/>
    <x v="1"/>
    <x v="15"/>
    <x v="0"/>
    <x v="0"/>
    <x v="1"/>
    <x v="1"/>
    <x v="2"/>
    <x v="1"/>
    <x v="1"/>
    <x v="2"/>
    <x v="1"/>
    <x v="1"/>
    <x v="210"/>
    <x v="1"/>
    <x v="1"/>
    <x v="2"/>
    <x v="453"/>
    <x v="4"/>
    <x v="1"/>
    <x v="7"/>
    <x v="1"/>
    <x v="0"/>
    <x v="526"/>
    <x v="0"/>
    <x v="0"/>
  </r>
  <r>
    <x v="906"/>
    <x v="451"/>
    <x v="447"/>
    <x v="442"/>
    <x v="720"/>
    <x v="1"/>
    <x v="2"/>
    <x v="457"/>
    <x v="351"/>
    <x v="1"/>
    <x v="70"/>
    <x v="0"/>
    <x v="0"/>
    <x v="3"/>
    <x v="1"/>
    <x v="1"/>
    <x v="1"/>
    <x v="1"/>
    <x v="3"/>
    <x v="1"/>
    <x v="1"/>
    <x v="212"/>
    <x v="2"/>
    <x v="3"/>
    <x v="4"/>
    <x v="450"/>
    <x v="4"/>
    <x v="1"/>
    <x v="0"/>
    <x v="2"/>
    <x v="1"/>
    <x v="527"/>
    <x v="0"/>
    <x v="0"/>
  </r>
  <r>
    <x v="907"/>
    <x v="455"/>
    <x v="452"/>
    <x v="446"/>
    <x v="721"/>
    <x v="1"/>
    <x v="2"/>
    <x v="461"/>
    <x v="352"/>
    <x v="1"/>
    <x v="31"/>
    <x v="0"/>
    <x v="0"/>
    <x v="1"/>
    <x v="3"/>
    <x v="3"/>
    <x v="2"/>
    <x v="1"/>
    <x v="1"/>
    <x v="1"/>
    <x v="1"/>
    <x v="210"/>
    <x v="1"/>
    <x v="1"/>
    <x v="2"/>
    <x v="454"/>
    <x v="13"/>
    <x v="1"/>
    <x v="7"/>
    <x v="2"/>
    <x v="1"/>
    <x v="528"/>
    <x v="0"/>
    <x v="278"/>
  </r>
  <r>
    <x v="908"/>
    <x v="456"/>
    <x v="453"/>
    <x v="447"/>
    <x v="722"/>
    <x v="1"/>
    <x v="2"/>
    <x v="462"/>
    <x v="353"/>
    <x v="1"/>
    <x v="117"/>
    <x v="0"/>
    <x v="0"/>
    <x v="1"/>
    <x v="1"/>
    <x v="2"/>
    <x v="2"/>
    <x v="2"/>
    <x v="1"/>
    <x v="1"/>
    <x v="1"/>
    <x v="213"/>
    <x v="1"/>
    <x v="1"/>
    <x v="2"/>
    <x v="455"/>
    <x v="3"/>
    <x v="3"/>
    <x v="0"/>
    <x v="1"/>
    <x v="0"/>
    <x v="529"/>
    <x v="266"/>
    <x v="0"/>
  </r>
  <r>
    <x v="909"/>
    <x v="451"/>
    <x v="447"/>
    <x v="442"/>
    <x v="723"/>
    <x v="1"/>
    <x v="2"/>
    <x v="457"/>
    <x v="351"/>
    <x v="1"/>
    <x v="138"/>
    <x v="0"/>
    <x v="0"/>
    <x v="1"/>
    <x v="2"/>
    <x v="3"/>
    <x v="2"/>
    <x v="1"/>
    <x v="2"/>
    <x v="1"/>
    <x v="1"/>
    <x v="210"/>
    <x v="1"/>
    <x v="1"/>
    <x v="2"/>
    <x v="450"/>
    <x v="3"/>
    <x v="1"/>
    <x v="7"/>
    <x v="2"/>
    <x v="1"/>
    <x v="530"/>
    <x v="0"/>
    <x v="0"/>
  </r>
  <r>
    <x v="910"/>
    <x v="452"/>
    <x v="449"/>
    <x v="443"/>
    <x v="724"/>
    <x v="1"/>
    <x v="2"/>
    <x v="458"/>
    <x v="349"/>
    <x v="1"/>
    <x v="9"/>
    <x v="0"/>
    <x v="0"/>
    <x v="3"/>
    <x v="1"/>
    <x v="1"/>
    <x v="1"/>
    <x v="1"/>
    <x v="2"/>
    <x v="1"/>
    <x v="2"/>
    <x v="0"/>
    <x v="1"/>
    <x v="3"/>
    <x v="4"/>
    <x v="451"/>
    <x v="2"/>
    <x v="0"/>
    <x v="0"/>
    <x v="1"/>
    <x v="0"/>
    <x v="0"/>
    <x v="0"/>
    <x v="0"/>
  </r>
  <r>
    <x v="911"/>
    <x v="415"/>
    <x v="412"/>
    <x v="407"/>
    <x v="725"/>
    <x v="1"/>
    <x v="2"/>
    <x v="425"/>
    <x v="327"/>
    <x v="1"/>
    <x v="33"/>
    <x v="0"/>
    <x v="0"/>
    <x v="1"/>
    <x v="3"/>
    <x v="3"/>
    <x v="1"/>
    <x v="1"/>
    <x v="2"/>
    <x v="1"/>
    <x v="1"/>
    <x v="213"/>
    <x v="1"/>
    <x v="5"/>
    <x v="2"/>
    <x v="415"/>
    <x v="2"/>
    <x v="1"/>
    <x v="2"/>
    <x v="1"/>
    <x v="0"/>
    <x v="531"/>
    <x v="0"/>
    <x v="0"/>
  </r>
  <r>
    <x v="912"/>
    <x v="457"/>
    <x v="451"/>
    <x v="445"/>
    <x v="0"/>
    <x v="1"/>
    <x v="2"/>
    <x v="460"/>
    <x v="354"/>
    <x v="2"/>
    <x v="0"/>
    <x v="2"/>
    <x v="0"/>
    <x v="3"/>
    <x v="4"/>
    <x v="1"/>
    <x v="2"/>
    <x v="1"/>
    <x v="2"/>
    <x v="1"/>
    <x v="2"/>
    <x v="0"/>
    <x v="2"/>
    <x v="3"/>
    <x v="4"/>
    <x v="453"/>
    <x v="12"/>
    <x v="0"/>
    <x v="0"/>
    <x v="1"/>
    <x v="0"/>
    <x v="0"/>
    <x v="0"/>
    <x v="0"/>
  </r>
  <r>
    <x v="913"/>
    <x v="451"/>
    <x v="447"/>
    <x v="442"/>
    <x v="726"/>
    <x v="1"/>
    <x v="2"/>
    <x v="457"/>
    <x v="355"/>
    <x v="1"/>
    <x v="138"/>
    <x v="0"/>
    <x v="0"/>
    <x v="3"/>
    <x v="1"/>
    <x v="1"/>
    <x v="1"/>
    <x v="1"/>
    <x v="2"/>
    <x v="1"/>
    <x v="2"/>
    <x v="0"/>
    <x v="1"/>
    <x v="3"/>
    <x v="4"/>
    <x v="450"/>
    <x v="12"/>
    <x v="0"/>
    <x v="0"/>
    <x v="1"/>
    <x v="0"/>
    <x v="0"/>
    <x v="0"/>
    <x v="0"/>
  </r>
  <r>
    <x v="914"/>
    <x v="381"/>
    <x v="381"/>
    <x v="376"/>
    <x v="727"/>
    <x v="1"/>
    <x v="2"/>
    <x v="397"/>
    <x v="168"/>
    <x v="2"/>
    <x v="0"/>
    <x v="5"/>
    <x v="0"/>
    <x v="1"/>
    <x v="2"/>
    <x v="3"/>
    <x v="2"/>
    <x v="1"/>
    <x v="2"/>
    <x v="1"/>
    <x v="1"/>
    <x v="213"/>
    <x v="1"/>
    <x v="1"/>
    <x v="2"/>
    <x v="383"/>
    <x v="12"/>
    <x v="3"/>
    <x v="0"/>
    <x v="1"/>
    <x v="0"/>
    <x v="532"/>
    <x v="0"/>
    <x v="279"/>
  </r>
  <r>
    <x v="915"/>
    <x v="455"/>
    <x v="452"/>
    <x v="446"/>
    <x v="0"/>
    <x v="1"/>
    <x v="2"/>
    <x v="461"/>
    <x v="352"/>
    <x v="1"/>
    <x v="31"/>
    <x v="0"/>
    <x v="0"/>
    <x v="3"/>
    <x v="1"/>
    <x v="1"/>
    <x v="2"/>
    <x v="1"/>
    <x v="2"/>
    <x v="1"/>
    <x v="1"/>
    <x v="213"/>
    <x v="1"/>
    <x v="3"/>
    <x v="4"/>
    <x v="454"/>
    <x v="12"/>
    <x v="3"/>
    <x v="0"/>
    <x v="1"/>
    <x v="0"/>
    <x v="532"/>
    <x v="0"/>
    <x v="0"/>
  </r>
  <r>
    <x v="916"/>
    <x v="415"/>
    <x v="412"/>
    <x v="407"/>
    <x v="0"/>
    <x v="1"/>
    <x v="2"/>
    <x v="425"/>
    <x v="327"/>
    <x v="1"/>
    <x v="33"/>
    <x v="0"/>
    <x v="0"/>
    <x v="3"/>
    <x v="1"/>
    <x v="1"/>
    <x v="2"/>
    <x v="1"/>
    <x v="2"/>
    <x v="1"/>
    <x v="2"/>
    <x v="0"/>
    <x v="2"/>
    <x v="3"/>
    <x v="4"/>
    <x v="415"/>
    <x v="4"/>
    <x v="0"/>
    <x v="0"/>
    <x v="1"/>
    <x v="0"/>
    <x v="0"/>
    <x v="0"/>
    <x v="0"/>
  </r>
  <r>
    <x v="917"/>
    <x v="458"/>
    <x v="454"/>
    <x v="448"/>
    <x v="728"/>
    <x v="1"/>
    <x v="2"/>
    <x v="463"/>
    <x v="356"/>
    <x v="1"/>
    <x v="31"/>
    <x v="0"/>
    <x v="0"/>
    <x v="1"/>
    <x v="1"/>
    <x v="1"/>
    <x v="2"/>
    <x v="1"/>
    <x v="1"/>
    <x v="1"/>
    <x v="2"/>
    <x v="0"/>
    <x v="1"/>
    <x v="6"/>
    <x v="2"/>
    <x v="456"/>
    <x v="5"/>
    <x v="0"/>
    <x v="0"/>
    <x v="1"/>
    <x v="0"/>
    <x v="0"/>
    <x v="0"/>
    <x v="0"/>
  </r>
  <r>
    <x v="918"/>
    <x v="459"/>
    <x v="455"/>
    <x v="449"/>
    <x v="729"/>
    <x v="1"/>
    <x v="2"/>
    <x v="464"/>
    <x v="357"/>
    <x v="1"/>
    <x v="15"/>
    <x v="0"/>
    <x v="0"/>
    <x v="1"/>
    <x v="3"/>
    <x v="3"/>
    <x v="2"/>
    <x v="1"/>
    <x v="2"/>
    <x v="1"/>
    <x v="1"/>
    <x v="214"/>
    <x v="1"/>
    <x v="6"/>
    <x v="2"/>
    <x v="457"/>
    <x v="5"/>
    <x v="1"/>
    <x v="5"/>
    <x v="2"/>
    <x v="1"/>
    <x v="533"/>
    <x v="0"/>
    <x v="0"/>
  </r>
  <r>
    <x v="919"/>
    <x v="57"/>
    <x v="56"/>
    <x v="55"/>
    <x v="730"/>
    <x v="1"/>
    <x v="2"/>
    <x v="60"/>
    <x v="196"/>
    <x v="6"/>
    <x v="0"/>
    <x v="0"/>
    <x v="21"/>
    <x v="1"/>
    <x v="3"/>
    <x v="4"/>
    <x v="2"/>
    <x v="1"/>
    <x v="2"/>
    <x v="1"/>
    <x v="2"/>
    <x v="0"/>
    <x v="1"/>
    <x v="6"/>
    <x v="2"/>
    <x v="55"/>
    <x v="5"/>
    <x v="0"/>
    <x v="0"/>
    <x v="1"/>
    <x v="0"/>
    <x v="0"/>
    <x v="0"/>
    <x v="0"/>
  </r>
  <r>
    <x v="920"/>
    <x v="141"/>
    <x v="141"/>
    <x v="139"/>
    <x v="731"/>
    <x v="1"/>
    <x v="2"/>
    <x v="145"/>
    <x v="125"/>
    <x v="1"/>
    <x v="15"/>
    <x v="0"/>
    <x v="0"/>
    <x v="1"/>
    <x v="3"/>
    <x v="3"/>
    <x v="2"/>
    <x v="1"/>
    <x v="2"/>
    <x v="1"/>
    <x v="1"/>
    <x v="215"/>
    <x v="1"/>
    <x v="1"/>
    <x v="2"/>
    <x v="140"/>
    <x v="13"/>
    <x v="3"/>
    <x v="0"/>
    <x v="1"/>
    <x v="0"/>
    <x v="534"/>
    <x v="267"/>
    <x v="280"/>
  </r>
  <r>
    <x v="921"/>
    <x v="459"/>
    <x v="455"/>
    <x v="449"/>
    <x v="732"/>
    <x v="1"/>
    <x v="2"/>
    <x v="464"/>
    <x v="357"/>
    <x v="1"/>
    <x v="15"/>
    <x v="0"/>
    <x v="0"/>
    <x v="3"/>
    <x v="1"/>
    <x v="1"/>
    <x v="2"/>
    <x v="1"/>
    <x v="2"/>
    <x v="1"/>
    <x v="2"/>
    <x v="0"/>
    <x v="1"/>
    <x v="3"/>
    <x v="4"/>
    <x v="457"/>
    <x v="2"/>
    <x v="0"/>
    <x v="0"/>
    <x v="1"/>
    <x v="0"/>
    <x v="0"/>
    <x v="0"/>
    <x v="0"/>
  </r>
  <r>
    <x v="922"/>
    <x v="141"/>
    <x v="141"/>
    <x v="139"/>
    <x v="733"/>
    <x v="1"/>
    <x v="2"/>
    <x v="145"/>
    <x v="125"/>
    <x v="1"/>
    <x v="15"/>
    <x v="0"/>
    <x v="0"/>
    <x v="1"/>
    <x v="1"/>
    <x v="1"/>
    <x v="2"/>
    <x v="1"/>
    <x v="2"/>
    <x v="1"/>
    <x v="2"/>
    <x v="0"/>
    <x v="1"/>
    <x v="1"/>
    <x v="2"/>
    <x v="140"/>
    <x v="4"/>
    <x v="0"/>
    <x v="0"/>
    <x v="1"/>
    <x v="0"/>
    <x v="0"/>
    <x v="0"/>
    <x v="0"/>
  </r>
  <r>
    <x v="923"/>
    <x v="460"/>
    <x v="456"/>
    <x v="450"/>
    <x v="734"/>
    <x v="1"/>
    <x v="2"/>
    <x v="465"/>
    <x v="199"/>
    <x v="1"/>
    <x v="2"/>
    <x v="0"/>
    <x v="0"/>
    <x v="1"/>
    <x v="1"/>
    <x v="1"/>
    <x v="2"/>
    <x v="1"/>
    <x v="2"/>
    <x v="1"/>
    <x v="1"/>
    <x v="216"/>
    <x v="1"/>
    <x v="1"/>
    <x v="2"/>
    <x v="458"/>
    <x v="4"/>
    <x v="3"/>
    <x v="0"/>
    <x v="1"/>
    <x v="0"/>
    <x v="535"/>
    <x v="268"/>
    <x v="281"/>
  </r>
  <r>
    <x v="924"/>
    <x v="461"/>
    <x v="457"/>
    <x v="451"/>
    <x v="735"/>
    <x v="1"/>
    <x v="3"/>
    <x v="466"/>
    <x v="227"/>
    <x v="1"/>
    <x v="176"/>
    <x v="0"/>
    <x v="0"/>
    <x v="1"/>
    <x v="1"/>
    <x v="1"/>
    <x v="2"/>
    <x v="2"/>
    <x v="2"/>
    <x v="1"/>
    <x v="2"/>
    <x v="0"/>
    <x v="1"/>
    <x v="4"/>
    <x v="2"/>
    <x v="459"/>
    <x v="12"/>
    <x v="0"/>
    <x v="0"/>
    <x v="1"/>
    <x v="0"/>
    <x v="0"/>
    <x v="0"/>
    <x v="0"/>
  </r>
  <r>
    <x v="925"/>
    <x v="462"/>
    <x v="458"/>
    <x v="452"/>
    <x v="736"/>
    <x v="1"/>
    <x v="2"/>
    <x v="467"/>
    <x v="196"/>
    <x v="6"/>
    <x v="12"/>
    <x v="0"/>
    <x v="22"/>
    <x v="1"/>
    <x v="3"/>
    <x v="3"/>
    <x v="2"/>
    <x v="1"/>
    <x v="2"/>
    <x v="1"/>
    <x v="1"/>
    <x v="216"/>
    <x v="1"/>
    <x v="1"/>
    <x v="2"/>
    <x v="460"/>
    <x v="12"/>
    <x v="3"/>
    <x v="0"/>
    <x v="1"/>
    <x v="0"/>
    <x v="536"/>
    <x v="269"/>
    <x v="0"/>
  </r>
  <r>
    <x v="926"/>
    <x v="463"/>
    <x v="459"/>
    <x v="453"/>
    <x v="737"/>
    <x v="1"/>
    <x v="1"/>
    <x v="468"/>
    <x v="10"/>
    <x v="1"/>
    <x v="177"/>
    <x v="0"/>
    <x v="0"/>
    <x v="1"/>
    <x v="1"/>
    <x v="1"/>
    <x v="1"/>
    <x v="2"/>
    <x v="1"/>
    <x v="1"/>
    <x v="2"/>
    <x v="0"/>
    <x v="1"/>
    <x v="1"/>
    <x v="2"/>
    <x v="461"/>
    <x v="2"/>
    <x v="0"/>
    <x v="0"/>
    <x v="1"/>
    <x v="0"/>
    <x v="0"/>
    <x v="0"/>
    <x v="0"/>
  </r>
  <r>
    <x v="927"/>
    <x v="464"/>
    <x v="460"/>
    <x v="454"/>
    <x v="738"/>
    <x v="1"/>
    <x v="2"/>
    <x v="469"/>
    <x v="212"/>
    <x v="1"/>
    <x v="22"/>
    <x v="0"/>
    <x v="0"/>
    <x v="1"/>
    <x v="2"/>
    <x v="3"/>
    <x v="1"/>
    <x v="1"/>
    <x v="2"/>
    <x v="1"/>
    <x v="1"/>
    <x v="212"/>
    <x v="1"/>
    <x v="1"/>
    <x v="2"/>
    <x v="462"/>
    <x v="12"/>
    <x v="1"/>
    <x v="4"/>
    <x v="1"/>
    <x v="0"/>
    <x v="537"/>
    <x v="0"/>
    <x v="282"/>
  </r>
  <r>
    <x v="928"/>
    <x v="465"/>
    <x v="461"/>
    <x v="455"/>
    <x v="739"/>
    <x v="3"/>
    <x v="2"/>
    <x v="470"/>
    <x v="294"/>
    <x v="1"/>
    <x v="33"/>
    <x v="0"/>
    <x v="0"/>
    <x v="1"/>
    <x v="3"/>
    <x v="3"/>
    <x v="2"/>
    <x v="1"/>
    <x v="2"/>
    <x v="1"/>
    <x v="1"/>
    <x v="212"/>
    <x v="1"/>
    <x v="1"/>
    <x v="2"/>
    <x v="463"/>
    <x v="12"/>
    <x v="1"/>
    <x v="7"/>
    <x v="2"/>
    <x v="1"/>
    <x v="538"/>
    <x v="0"/>
    <x v="283"/>
  </r>
  <r>
    <x v="929"/>
    <x v="466"/>
    <x v="462"/>
    <x v="456"/>
    <x v="740"/>
    <x v="1"/>
    <x v="2"/>
    <x v="471"/>
    <x v="358"/>
    <x v="1"/>
    <x v="178"/>
    <x v="0"/>
    <x v="0"/>
    <x v="1"/>
    <x v="1"/>
    <x v="1"/>
    <x v="2"/>
    <x v="1"/>
    <x v="2"/>
    <x v="1"/>
    <x v="2"/>
    <x v="0"/>
    <x v="1"/>
    <x v="1"/>
    <x v="2"/>
    <x v="464"/>
    <x v="12"/>
    <x v="0"/>
    <x v="0"/>
    <x v="1"/>
    <x v="0"/>
    <x v="0"/>
    <x v="0"/>
    <x v="0"/>
  </r>
  <r>
    <x v="930"/>
    <x v="141"/>
    <x v="141"/>
    <x v="139"/>
    <x v="741"/>
    <x v="1"/>
    <x v="1"/>
    <x v="145"/>
    <x v="125"/>
    <x v="1"/>
    <x v="3"/>
    <x v="0"/>
    <x v="0"/>
    <x v="1"/>
    <x v="1"/>
    <x v="1"/>
    <x v="2"/>
    <x v="1"/>
    <x v="2"/>
    <x v="1"/>
    <x v="2"/>
    <x v="0"/>
    <x v="1"/>
    <x v="5"/>
    <x v="2"/>
    <x v="140"/>
    <x v="12"/>
    <x v="0"/>
    <x v="0"/>
    <x v="1"/>
    <x v="0"/>
    <x v="0"/>
    <x v="0"/>
    <x v="0"/>
  </r>
  <r>
    <x v="931"/>
    <x v="467"/>
    <x v="463"/>
    <x v="457"/>
    <x v="742"/>
    <x v="1"/>
    <x v="2"/>
    <x v="472"/>
    <x v="76"/>
    <x v="2"/>
    <x v="0"/>
    <x v="2"/>
    <x v="0"/>
    <x v="1"/>
    <x v="1"/>
    <x v="1"/>
    <x v="2"/>
    <x v="1"/>
    <x v="2"/>
    <x v="1"/>
    <x v="2"/>
    <x v="0"/>
    <x v="1"/>
    <x v="5"/>
    <x v="2"/>
    <x v="465"/>
    <x v="12"/>
    <x v="0"/>
    <x v="0"/>
    <x v="1"/>
    <x v="0"/>
    <x v="0"/>
    <x v="0"/>
    <x v="0"/>
  </r>
  <r>
    <x v="932"/>
    <x v="468"/>
    <x v="461"/>
    <x v="455"/>
    <x v="743"/>
    <x v="3"/>
    <x v="2"/>
    <x v="473"/>
    <x v="294"/>
    <x v="1"/>
    <x v="33"/>
    <x v="0"/>
    <x v="0"/>
    <x v="3"/>
    <x v="1"/>
    <x v="1"/>
    <x v="2"/>
    <x v="1"/>
    <x v="2"/>
    <x v="1"/>
    <x v="1"/>
    <x v="217"/>
    <x v="1"/>
    <x v="3"/>
    <x v="4"/>
    <x v="463"/>
    <x v="12"/>
    <x v="1"/>
    <x v="1"/>
    <x v="1"/>
    <x v="0"/>
    <x v="539"/>
    <x v="270"/>
    <x v="284"/>
  </r>
  <r>
    <x v="933"/>
    <x v="469"/>
    <x v="464"/>
    <x v="458"/>
    <x v="744"/>
    <x v="1"/>
    <x v="1"/>
    <x v="474"/>
    <x v="359"/>
    <x v="1"/>
    <x v="179"/>
    <x v="0"/>
    <x v="0"/>
    <x v="1"/>
    <x v="1"/>
    <x v="1"/>
    <x v="1"/>
    <x v="1"/>
    <x v="3"/>
    <x v="1"/>
    <x v="2"/>
    <x v="0"/>
    <x v="1"/>
    <x v="1"/>
    <x v="5"/>
    <x v="466"/>
    <x v="2"/>
    <x v="0"/>
    <x v="0"/>
    <x v="1"/>
    <x v="0"/>
    <x v="0"/>
    <x v="0"/>
    <x v="0"/>
  </r>
  <r>
    <x v="934"/>
    <x v="470"/>
    <x v="465"/>
    <x v="459"/>
    <x v="745"/>
    <x v="1"/>
    <x v="4"/>
    <x v="475"/>
    <x v="205"/>
    <x v="1"/>
    <x v="180"/>
    <x v="0"/>
    <x v="0"/>
    <x v="1"/>
    <x v="1"/>
    <x v="1"/>
    <x v="1"/>
    <x v="1"/>
    <x v="2"/>
    <x v="1"/>
    <x v="2"/>
    <x v="0"/>
    <x v="1"/>
    <x v="5"/>
    <x v="2"/>
    <x v="467"/>
    <x v="12"/>
    <x v="0"/>
    <x v="0"/>
    <x v="1"/>
    <x v="0"/>
    <x v="0"/>
    <x v="0"/>
    <x v="0"/>
  </r>
  <r>
    <x v="935"/>
    <x v="141"/>
    <x v="141"/>
    <x v="139"/>
    <x v="746"/>
    <x v="1"/>
    <x v="1"/>
    <x v="145"/>
    <x v="125"/>
    <x v="2"/>
    <x v="0"/>
    <x v="2"/>
    <x v="0"/>
    <x v="1"/>
    <x v="3"/>
    <x v="3"/>
    <x v="2"/>
    <x v="1"/>
    <x v="2"/>
    <x v="1"/>
    <x v="1"/>
    <x v="217"/>
    <x v="1"/>
    <x v="6"/>
    <x v="2"/>
    <x v="140"/>
    <x v="5"/>
    <x v="3"/>
    <x v="0"/>
    <x v="1"/>
    <x v="0"/>
    <x v="540"/>
    <x v="0"/>
    <x v="285"/>
  </r>
  <r>
    <x v="936"/>
    <x v="471"/>
    <x v="466"/>
    <x v="460"/>
    <x v="747"/>
    <x v="1"/>
    <x v="2"/>
    <x v="476"/>
    <x v="341"/>
    <x v="1"/>
    <x v="33"/>
    <x v="0"/>
    <x v="0"/>
    <x v="1"/>
    <x v="1"/>
    <x v="2"/>
    <x v="2"/>
    <x v="1"/>
    <x v="2"/>
    <x v="1"/>
    <x v="1"/>
    <x v="207"/>
    <x v="1"/>
    <x v="6"/>
    <x v="2"/>
    <x v="468"/>
    <x v="5"/>
    <x v="1"/>
    <x v="7"/>
    <x v="2"/>
    <x v="1"/>
    <x v="541"/>
    <x v="0"/>
    <x v="0"/>
  </r>
  <r>
    <x v="937"/>
    <x v="468"/>
    <x v="461"/>
    <x v="455"/>
    <x v="0"/>
    <x v="1"/>
    <x v="2"/>
    <x v="473"/>
    <x v="294"/>
    <x v="1"/>
    <x v="33"/>
    <x v="0"/>
    <x v="0"/>
    <x v="3"/>
    <x v="1"/>
    <x v="1"/>
    <x v="2"/>
    <x v="1"/>
    <x v="2"/>
    <x v="1"/>
    <x v="1"/>
    <x v="207"/>
    <x v="2"/>
    <x v="3"/>
    <x v="4"/>
    <x v="463"/>
    <x v="5"/>
    <x v="3"/>
    <x v="0"/>
    <x v="1"/>
    <x v="0"/>
    <x v="542"/>
    <x v="0"/>
    <x v="0"/>
  </r>
  <r>
    <x v="938"/>
    <x v="472"/>
    <x v="467"/>
    <x v="461"/>
    <x v="748"/>
    <x v="3"/>
    <x v="3"/>
    <x v="477"/>
    <x v="360"/>
    <x v="1"/>
    <x v="9"/>
    <x v="0"/>
    <x v="0"/>
    <x v="1"/>
    <x v="1"/>
    <x v="1"/>
    <x v="2"/>
    <x v="1"/>
    <x v="2"/>
    <x v="1"/>
    <x v="1"/>
    <x v="218"/>
    <x v="1"/>
    <x v="6"/>
    <x v="2"/>
    <x v="469"/>
    <x v="5"/>
    <x v="1"/>
    <x v="1"/>
    <x v="1"/>
    <x v="0"/>
    <x v="543"/>
    <x v="271"/>
    <x v="0"/>
  </r>
  <r>
    <x v="939"/>
    <x v="141"/>
    <x v="141"/>
    <x v="139"/>
    <x v="749"/>
    <x v="1"/>
    <x v="1"/>
    <x v="145"/>
    <x v="125"/>
    <x v="2"/>
    <x v="0"/>
    <x v="2"/>
    <x v="0"/>
    <x v="1"/>
    <x v="3"/>
    <x v="3"/>
    <x v="2"/>
    <x v="1"/>
    <x v="2"/>
    <x v="1"/>
    <x v="1"/>
    <x v="219"/>
    <x v="1"/>
    <x v="6"/>
    <x v="2"/>
    <x v="140"/>
    <x v="12"/>
    <x v="3"/>
    <x v="0"/>
    <x v="1"/>
    <x v="0"/>
    <x v="544"/>
    <x v="272"/>
    <x v="286"/>
  </r>
  <r>
    <x v="940"/>
    <x v="471"/>
    <x v="466"/>
    <x v="460"/>
    <x v="750"/>
    <x v="1"/>
    <x v="2"/>
    <x v="476"/>
    <x v="341"/>
    <x v="1"/>
    <x v="33"/>
    <x v="0"/>
    <x v="0"/>
    <x v="3"/>
    <x v="1"/>
    <x v="1"/>
    <x v="2"/>
    <x v="1"/>
    <x v="2"/>
    <x v="1"/>
    <x v="1"/>
    <x v="219"/>
    <x v="1"/>
    <x v="3"/>
    <x v="4"/>
    <x v="468"/>
    <x v="12"/>
    <x v="1"/>
    <x v="1"/>
    <x v="1"/>
    <x v="0"/>
    <x v="545"/>
    <x v="273"/>
    <x v="0"/>
  </r>
  <r>
    <x v="941"/>
    <x v="128"/>
    <x v="128"/>
    <x v="126"/>
    <x v="751"/>
    <x v="1"/>
    <x v="2"/>
    <x v="82"/>
    <x v="361"/>
    <x v="1"/>
    <x v="181"/>
    <x v="0"/>
    <x v="0"/>
    <x v="1"/>
    <x v="1"/>
    <x v="1"/>
    <x v="2"/>
    <x v="1"/>
    <x v="3"/>
    <x v="1"/>
    <x v="1"/>
    <x v="219"/>
    <x v="1"/>
    <x v="1"/>
    <x v="2"/>
    <x v="127"/>
    <x v="4"/>
    <x v="3"/>
    <x v="0"/>
    <x v="1"/>
    <x v="0"/>
    <x v="546"/>
    <x v="0"/>
    <x v="287"/>
  </r>
  <r>
    <x v="942"/>
    <x v="451"/>
    <x v="447"/>
    <x v="442"/>
    <x v="0"/>
    <x v="1"/>
    <x v="2"/>
    <x v="457"/>
    <x v="351"/>
    <x v="1"/>
    <x v="70"/>
    <x v="0"/>
    <x v="0"/>
    <x v="3"/>
    <x v="1"/>
    <x v="1"/>
    <x v="2"/>
    <x v="1"/>
    <x v="2"/>
    <x v="1"/>
    <x v="2"/>
    <x v="0"/>
    <x v="2"/>
    <x v="3"/>
    <x v="4"/>
    <x v="450"/>
    <x v="4"/>
    <x v="0"/>
    <x v="0"/>
    <x v="1"/>
    <x v="0"/>
    <x v="0"/>
    <x v="0"/>
    <x v="0"/>
  </r>
  <r>
    <x v="943"/>
    <x v="441"/>
    <x v="437"/>
    <x v="432"/>
    <x v="752"/>
    <x v="1"/>
    <x v="2"/>
    <x v="447"/>
    <x v="310"/>
    <x v="1"/>
    <x v="182"/>
    <x v="0"/>
    <x v="0"/>
    <x v="1"/>
    <x v="3"/>
    <x v="3"/>
    <x v="2"/>
    <x v="1"/>
    <x v="2"/>
    <x v="1"/>
    <x v="1"/>
    <x v="220"/>
    <x v="1"/>
    <x v="1"/>
    <x v="2"/>
    <x v="440"/>
    <x v="13"/>
    <x v="1"/>
    <x v="4"/>
    <x v="2"/>
    <x v="1"/>
    <x v="547"/>
    <x v="274"/>
    <x v="0"/>
  </r>
  <r>
    <x v="944"/>
    <x v="472"/>
    <x v="467"/>
    <x v="461"/>
    <x v="0"/>
    <x v="1"/>
    <x v="3"/>
    <x v="477"/>
    <x v="360"/>
    <x v="1"/>
    <x v="9"/>
    <x v="0"/>
    <x v="0"/>
    <x v="3"/>
    <x v="1"/>
    <x v="1"/>
    <x v="2"/>
    <x v="1"/>
    <x v="2"/>
    <x v="1"/>
    <x v="1"/>
    <x v="220"/>
    <x v="2"/>
    <x v="3"/>
    <x v="4"/>
    <x v="469"/>
    <x v="5"/>
    <x v="1"/>
    <x v="1"/>
    <x v="1"/>
    <x v="0"/>
    <x v="548"/>
    <x v="275"/>
    <x v="288"/>
  </r>
  <r>
    <x v="945"/>
    <x v="471"/>
    <x v="466"/>
    <x v="460"/>
    <x v="0"/>
    <x v="1"/>
    <x v="2"/>
    <x v="476"/>
    <x v="341"/>
    <x v="1"/>
    <x v="33"/>
    <x v="0"/>
    <x v="0"/>
    <x v="3"/>
    <x v="1"/>
    <x v="1"/>
    <x v="2"/>
    <x v="1"/>
    <x v="2"/>
    <x v="1"/>
    <x v="1"/>
    <x v="221"/>
    <x v="2"/>
    <x v="3"/>
    <x v="4"/>
    <x v="468"/>
    <x v="5"/>
    <x v="1"/>
    <x v="1"/>
    <x v="1"/>
    <x v="0"/>
    <x v="549"/>
    <x v="0"/>
    <x v="0"/>
  </r>
  <r>
    <x v="946"/>
    <x v="473"/>
    <x v="468"/>
    <x v="462"/>
    <x v="753"/>
    <x v="3"/>
    <x v="1"/>
    <x v="478"/>
    <x v="362"/>
    <x v="1"/>
    <x v="183"/>
    <x v="0"/>
    <x v="0"/>
    <x v="1"/>
    <x v="1"/>
    <x v="1"/>
    <x v="2"/>
    <x v="1"/>
    <x v="2"/>
    <x v="1"/>
    <x v="2"/>
    <x v="0"/>
    <x v="1"/>
    <x v="1"/>
    <x v="2"/>
    <x v="470"/>
    <x v="4"/>
    <x v="0"/>
    <x v="0"/>
    <x v="1"/>
    <x v="0"/>
    <x v="0"/>
    <x v="0"/>
    <x v="0"/>
  </r>
  <r>
    <x v="947"/>
    <x v="474"/>
    <x v="469"/>
    <x v="463"/>
    <x v="754"/>
    <x v="1"/>
    <x v="2"/>
    <x v="479"/>
    <x v="117"/>
    <x v="2"/>
    <x v="0"/>
    <x v="2"/>
    <x v="0"/>
    <x v="1"/>
    <x v="2"/>
    <x v="3"/>
    <x v="2"/>
    <x v="1"/>
    <x v="2"/>
    <x v="1"/>
    <x v="1"/>
    <x v="220"/>
    <x v="1"/>
    <x v="5"/>
    <x v="2"/>
    <x v="471"/>
    <x v="5"/>
    <x v="1"/>
    <x v="1"/>
    <x v="1"/>
    <x v="0"/>
    <x v="550"/>
    <x v="0"/>
    <x v="289"/>
  </r>
  <r>
    <x v="948"/>
    <x v="474"/>
    <x v="469"/>
    <x v="463"/>
    <x v="0"/>
    <x v="1"/>
    <x v="2"/>
    <x v="479"/>
    <x v="117"/>
    <x v="2"/>
    <x v="0"/>
    <x v="2"/>
    <x v="0"/>
    <x v="3"/>
    <x v="1"/>
    <x v="1"/>
    <x v="2"/>
    <x v="1"/>
    <x v="2"/>
    <x v="1"/>
    <x v="2"/>
    <x v="0"/>
    <x v="2"/>
    <x v="3"/>
    <x v="4"/>
    <x v="471"/>
    <x v="5"/>
    <x v="0"/>
    <x v="0"/>
    <x v="1"/>
    <x v="0"/>
    <x v="0"/>
    <x v="0"/>
    <x v="0"/>
  </r>
  <r>
    <x v="949"/>
    <x v="472"/>
    <x v="467"/>
    <x v="461"/>
    <x v="0"/>
    <x v="3"/>
    <x v="3"/>
    <x v="477"/>
    <x v="360"/>
    <x v="1"/>
    <x v="9"/>
    <x v="0"/>
    <x v="0"/>
    <x v="3"/>
    <x v="4"/>
    <x v="1"/>
    <x v="2"/>
    <x v="1"/>
    <x v="2"/>
    <x v="1"/>
    <x v="2"/>
    <x v="0"/>
    <x v="2"/>
    <x v="3"/>
    <x v="4"/>
    <x v="469"/>
    <x v="5"/>
    <x v="0"/>
    <x v="0"/>
    <x v="1"/>
    <x v="0"/>
    <x v="0"/>
    <x v="0"/>
    <x v="0"/>
  </r>
  <r>
    <x v="950"/>
    <x v="441"/>
    <x v="437"/>
    <x v="432"/>
    <x v="755"/>
    <x v="1"/>
    <x v="2"/>
    <x v="447"/>
    <x v="310"/>
    <x v="1"/>
    <x v="184"/>
    <x v="0"/>
    <x v="0"/>
    <x v="3"/>
    <x v="1"/>
    <x v="1"/>
    <x v="2"/>
    <x v="1"/>
    <x v="1"/>
    <x v="1"/>
    <x v="2"/>
    <x v="0"/>
    <x v="1"/>
    <x v="3"/>
    <x v="4"/>
    <x v="440"/>
    <x v="1"/>
    <x v="0"/>
    <x v="0"/>
    <x v="1"/>
    <x v="0"/>
    <x v="0"/>
    <x v="0"/>
    <x v="0"/>
  </r>
  <r>
    <x v="951"/>
    <x v="475"/>
    <x v="470"/>
    <x v="464"/>
    <x v="756"/>
    <x v="1"/>
    <x v="1"/>
    <x v="248"/>
    <x v="80"/>
    <x v="1"/>
    <x v="36"/>
    <x v="0"/>
    <x v="0"/>
    <x v="1"/>
    <x v="1"/>
    <x v="1"/>
    <x v="2"/>
    <x v="1"/>
    <x v="2"/>
    <x v="1"/>
    <x v="1"/>
    <x v="220"/>
    <x v="1"/>
    <x v="1"/>
    <x v="2"/>
    <x v="472"/>
    <x v="5"/>
    <x v="1"/>
    <x v="1"/>
    <x v="2"/>
    <x v="1"/>
    <x v="551"/>
    <x v="0"/>
    <x v="290"/>
  </r>
  <r>
    <x v="952"/>
    <x v="438"/>
    <x v="434"/>
    <x v="429"/>
    <x v="757"/>
    <x v="1"/>
    <x v="2"/>
    <x v="444"/>
    <x v="339"/>
    <x v="1"/>
    <x v="31"/>
    <x v="0"/>
    <x v="0"/>
    <x v="1"/>
    <x v="1"/>
    <x v="1"/>
    <x v="2"/>
    <x v="1"/>
    <x v="2"/>
    <x v="1"/>
    <x v="1"/>
    <x v="220"/>
    <x v="1"/>
    <x v="1"/>
    <x v="2"/>
    <x v="437"/>
    <x v="5"/>
    <x v="3"/>
    <x v="0"/>
    <x v="1"/>
    <x v="0"/>
    <x v="552"/>
    <x v="0"/>
    <x v="291"/>
  </r>
  <r>
    <x v="953"/>
    <x v="172"/>
    <x v="172"/>
    <x v="170"/>
    <x v="758"/>
    <x v="1"/>
    <x v="2"/>
    <x v="181"/>
    <x v="37"/>
    <x v="2"/>
    <x v="0"/>
    <x v="2"/>
    <x v="0"/>
    <x v="1"/>
    <x v="1"/>
    <x v="1"/>
    <x v="2"/>
    <x v="1"/>
    <x v="2"/>
    <x v="1"/>
    <x v="1"/>
    <x v="220"/>
    <x v="1"/>
    <x v="1"/>
    <x v="2"/>
    <x v="171"/>
    <x v="5"/>
    <x v="1"/>
    <x v="4"/>
    <x v="1"/>
    <x v="0"/>
    <x v="0"/>
    <x v="0"/>
    <x v="0"/>
  </r>
  <r>
    <x v="954"/>
    <x v="299"/>
    <x v="300"/>
    <x v="295"/>
    <x v="759"/>
    <x v="2"/>
    <x v="2"/>
    <x v="314"/>
    <x v="196"/>
    <x v="6"/>
    <x v="0"/>
    <x v="0"/>
    <x v="4"/>
    <x v="1"/>
    <x v="1"/>
    <x v="2"/>
    <x v="2"/>
    <x v="2"/>
    <x v="3"/>
    <x v="1"/>
    <x v="1"/>
    <x v="222"/>
    <x v="1"/>
    <x v="1"/>
    <x v="2"/>
    <x v="301"/>
    <x v="1"/>
    <x v="3"/>
    <x v="0"/>
    <x v="1"/>
    <x v="0"/>
    <x v="553"/>
    <x v="276"/>
    <x v="0"/>
  </r>
  <r>
    <x v="955"/>
    <x v="209"/>
    <x v="207"/>
    <x v="205"/>
    <x v="760"/>
    <x v="1"/>
    <x v="2"/>
    <x v="218"/>
    <x v="103"/>
    <x v="2"/>
    <x v="0"/>
    <x v="5"/>
    <x v="0"/>
    <x v="1"/>
    <x v="2"/>
    <x v="3"/>
    <x v="2"/>
    <x v="1"/>
    <x v="2"/>
    <x v="1"/>
    <x v="1"/>
    <x v="221"/>
    <x v="1"/>
    <x v="1"/>
    <x v="2"/>
    <x v="209"/>
    <x v="5"/>
    <x v="1"/>
    <x v="1"/>
    <x v="1"/>
    <x v="0"/>
    <x v="554"/>
    <x v="277"/>
    <x v="0"/>
  </r>
  <r>
    <x v="956"/>
    <x v="475"/>
    <x v="470"/>
    <x v="464"/>
    <x v="761"/>
    <x v="1"/>
    <x v="1"/>
    <x v="248"/>
    <x v="80"/>
    <x v="1"/>
    <x v="36"/>
    <x v="0"/>
    <x v="0"/>
    <x v="3"/>
    <x v="2"/>
    <x v="3"/>
    <x v="2"/>
    <x v="1"/>
    <x v="2"/>
    <x v="1"/>
    <x v="1"/>
    <x v="221"/>
    <x v="2"/>
    <x v="3"/>
    <x v="4"/>
    <x v="472"/>
    <x v="5"/>
    <x v="1"/>
    <x v="1"/>
    <x v="1"/>
    <x v="0"/>
    <x v="555"/>
    <x v="278"/>
    <x v="292"/>
  </r>
  <r>
    <x v="957"/>
    <x v="172"/>
    <x v="172"/>
    <x v="170"/>
    <x v="762"/>
    <x v="1"/>
    <x v="2"/>
    <x v="181"/>
    <x v="37"/>
    <x v="1"/>
    <x v="4"/>
    <x v="0"/>
    <x v="0"/>
    <x v="3"/>
    <x v="3"/>
    <x v="3"/>
    <x v="2"/>
    <x v="1"/>
    <x v="2"/>
    <x v="1"/>
    <x v="1"/>
    <x v="221"/>
    <x v="1"/>
    <x v="3"/>
    <x v="4"/>
    <x v="171"/>
    <x v="1"/>
    <x v="3"/>
    <x v="0"/>
    <x v="1"/>
    <x v="0"/>
    <x v="556"/>
    <x v="279"/>
    <x v="0"/>
  </r>
  <r>
    <x v="958"/>
    <x v="200"/>
    <x v="198"/>
    <x v="196"/>
    <x v="763"/>
    <x v="1"/>
    <x v="2"/>
    <x v="209"/>
    <x v="171"/>
    <x v="1"/>
    <x v="15"/>
    <x v="0"/>
    <x v="0"/>
    <x v="1"/>
    <x v="2"/>
    <x v="3"/>
    <x v="1"/>
    <x v="2"/>
    <x v="2"/>
    <x v="1"/>
    <x v="1"/>
    <x v="221"/>
    <x v="1"/>
    <x v="5"/>
    <x v="2"/>
    <x v="473"/>
    <x v="5"/>
    <x v="1"/>
    <x v="1"/>
    <x v="1"/>
    <x v="0"/>
    <x v="557"/>
    <x v="0"/>
    <x v="293"/>
  </r>
  <r>
    <x v="959"/>
    <x v="476"/>
    <x v="471"/>
    <x v="465"/>
    <x v="764"/>
    <x v="3"/>
    <x v="1"/>
    <x v="480"/>
    <x v="10"/>
    <x v="1"/>
    <x v="22"/>
    <x v="0"/>
    <x v="0"/>
    <x v="1"/>
    <x v="1"/>
    <x v="1"/>
    <x v="2"/>
    <x v="1"/>
    <x v="2"/>
    <x v="1"/>
    <x v="2"/>
    <x v="0"/>
    <x v="1"/>
    <x v="5"/>
    <x v="2"/>
    <x v="474"/>
    <x v="5"/>
    <x v="0"/>
    <x v="0"/>
    <x v="1"/>
    <x v="0"/>
    <x v="0"/>
    <x v="0"/>
    <x v="0"/>
  </r>
  <r>
    <x v="960"/>
    <x v="477"/>
    <x v="198"/>
    <x v="196"/>
    <x v="0"/>
    <x v="1"/>
    <x v="2"/>
    <x v="209"/>
    <x v="171"/>
    <x v="1"/>
    <x v="15"/>
    <x v="0"/>
    <x v="0"/>
    <x v="3"/>
    <x v="2"/>
    <x v="3"/>
    <x v="1"/>
    <x v="2"/>
    <x v="2"/>
    <x v="1"/>
    <x v="1"/>
    <x v="221"/>
    <x v="2"/>
    <x v="3"/>
    <x v="4"/>
    <x v="473"/>
    <x v="5"/>
    <x v="3"/>
    <x v="0"/>
    <x v="1"/>
    <x v="0"/>
    <x v="558"/>
    <x v="280"/>
    <x v="293"/>
  </r>
  <r>
    <x v="961"/>
    <x v="464"/>
    <x v="460"/>
    <x v="454"/>
    <x v="765"/>
    <x v="1"/>
    <x v="2"/>
    <x v="469"/>
    <x v="212"/>
    <x v="1"/>
    <x v="2"/>
    <x v="0"/>
    <x v="0"/>
    <x v="1"/>
    <x v="2"/>
    <x v="3"/>
    <x v="2"/>
    <x v="1"/>
    <x v="2"/>
    <x v="1"/>
    <x v="1"/>
    <x v="221"/>
    <x v="1"/>
    <x v="1"/>
    <x v="2"/>
    <x v="462"/>
    <x v="5"/>
    <x v="3"/>
    <x v="0"/>
    <x v="1"/>
    <x v="0"/>
    <x v="559"/>
    <x v="0"/>
    <x v="0"/>
  </r>
  <r>
    <x v="962"/>
    <x v="471"/>
    <x v="466"/>
    <x v="460"/>
    <x v="0"/>
    <x v="1"/>
    <x v="2"/>
    <x v="476"/>
    <x v="341"/>
    <x v="1"/>
    <x v="33"/>
    <x v="0"/>
    <x v="0"/>
    <x v="3"/>
    <x v="5"/>
    <x v="1"/>
    <x v="2"/>
    <x v="1"/>
    <x v="2"/>
    <x v="1"/>
    <x v="2"/>
    <x v="0"/>
    <x v="2"/>
    <x v="3"/>
    <x v="4"/>
    <x v="468"/>
    <x v="5"/>
    <x v="0"/>
    <x v="0"/>
    <x v="1"/>
    <x v="0"/>
    <x v="0"/>
    <x v="0"/>
    <x v="0"/>
  </r>
  <r>
    <x v="963"/>
    <x v="478"/>
    <x v="472"/>
    <x v="466"/>
    <x v="766"/>
    <x v="1"/>
    <x v="2"/>
    <x v="481"/>
    <x v="359"/>
    <x v="1"/>
    <x v="9"/>
    <x v="0"/>
    <x v="0"/>
    <x v="1"/>
    <x v="3"/>
    <x v="3"/>
    <x v="2"/>
    <x v="1"/>
    <x v="2"/>
    <x v="1"/>
    <x v="1"/>
    <x v="222"/>
    <x v="1"/>
    <x v="1"/>
    <x v="2"/>
    <x v="475"/>
    <x v="13"/>
    <x v="1"/>
    <x v="4"/>
    <x v="1"/>
    <x v="0"/>
    <x v="560"/>
    <x v="0"/>
    <x v="0"/>
  </r>
  <r>
    <x v="964"/>
    <x v="479"/>
    <x v="473"/>
    <x v="467"/>
    <x v="767"/>
    <x v="1"/>
    <x v="2"/>
    <x v="482"/>
    <x v="363"/>
    <x v="2"/>
    <x v="0"/>
    <x v="2"/>
    <x v="0"/>
    <x v="1"/>
    <x v="1"/>
    <x v="1"/>
    <x v="2"/>
    <x v="1"/>
    <x v="1"/>
    <x v="1"/>
    <x v="1"/>
    <x v="221"/>
    <x v="2"/>
    <x v="1"/>
    <x v="2"/>
    <x v="476"/>
    <x v="1"/>
    <x v="1"/>
    <x v="4"/>
    <x v="1"/>
    <x v="0"/>
    <x v="561"/>
    <x v="0"/>
    <x v="0"/>
  </r>
  <r>
    <x v="965"/>
    <x v="480"/>
    <x v="474"/>
    <x v="468"/>
    <x v="768"/>
    <x v="1"/>
    <x v="2"/>
    <x v="483"/>
    <x v="161"/>
    <x v="1"/>
    <x v="15"/>
    <x v="0"/>
    <x v="0"/>
    <x v="1"/>
    <x v="5"/>
    <x v="1"/>
    <x v="2"/>
    <x v="1"/>
    <x v="1"/>
    <x v="1"/>
    <x v="1"/>
    <x v="222"/>
    <x v="2"/>
    <x v="1"/>
    <x v="2"/>
    <x v="477"/>
    <x v="1"/>
    <x v="1"/>
    <x v="4"/>
    <x v="1"/>
    <x v="0"/>
    <x v="562"/>
    <x v="0"/>
    <x v="0"/>
  </r>
  <r>
    <x v="966"/>
    <x v="209"/>
    <x v="207"/>
    <x v="205"/>
    <x v="0"/>
    <x v="1"/>
    <x v="2"/>
    <x v="218"/>
    <x v="103"/>
    <x v="2"/>
    <x v="0"/>
    <x v="5"/>
    <x v="0"/>
    <x v="3"/>
    <x v="4"/>
    <x v="1"/>
    <x v="2"/>
    <x v="1"/>
    <x v="2"/>
    <x v="1"/>
    <x v="2"/>
    <x v="0"/>
    <x v="2"/>
    <x v="3"/>
    <x v="4"/>
    <x v="209"/>
    <x v="5"/>
    <x v="0"/>
    <x v="0"/>
    <x v="1"/>
    <x v="0"/>
    <x v="0"/>
    <x v="0"/>
    <x v="0"/>
  </r>
  <r>
    <x v="967"/>
    <x v="481"/>
    <x v="475"/>
    <x v="469"/>
    <x v="769"/>
    <x v="1"/>
    <x v="3"/>
    <x v="484"/>
    <x v="364"/>
    <x v="1"/>
    <x v="15"/>
    <x v="0"/>
    <x v="0"/>
    <x v="1"/>
    <x v="1"/>
    <x v="1"/>
    <x v="1"/>
    <x v="1"/>
    <x v="2"/>
    <x v="2"/>
    <x v="1"/>
    <x v="221"/>
    <x v="1"/>
    <x v="1"/>
    <x v="2"/>
    <x v="478"/>
    <x v="4"/>
    <x v="1"/>
    <x v="2"/>
    <x v="1"/>
    <x v="0"/>
    <x v="563"/>
    <x v="0"/>
    <x v="0"/>
  </r>
  <r>
    <x v="968"/>
    <x v="479"/>
    <x v="473"/>
    <x v="467"/>
    <x v="0"/>
    <x v="1"/>
    <x v="2"/>
    <x v="482"/>
    <x v="161"/>
    <x v="1"/>
    <x v="15"/>
    <x v="0"/>
    <x v="0"/>
    <x v="3"/>
    <x v="1"/>
    <x v="1"/>
    <x v="2"/>
    <x v="1"/>
    <x v="1"/>
    <x v="1"/>
    <x v="2"/>
    <x v="0"/>
    <x v="2"/>
    <x v="3"/>
    <x v="4"/>
    <x v="476"/>
    <x v="1"/>
    <x v="0"/>
    <x v="0"/>
    <x v="1"/>
    <x v="0"/>
    <x v="0"/>
    <x v="0"/>
    <x v="0"/>
  </r>
  <r>
    <x v="969"/>
    <x v="481"/>
    <x v="475"/>
    <x v="469"/>
    <x v="769"/>
    <x v="1"/>
    <x v="3"/>
    <x v="484"/>
    <x v="364"/>
    <x v="1"/>
    <x v="15"/>
    <x v="0"/>
    <x v="0"/>
    <x v="3"/>
    <x v="4"/>
    <x v="1"/>
    <x v="1"/>
    <x v="1"/>
    <x v="2"/>
    <x v="2"/>
    <x v="1"/>
    <x v="222"/>
    <x v="2"/>
    <x v="3"/>
    <x v="4"/>
    <x v="478"/>
    <x v="4"/>
    <x v="1"/>
    <x v="4"/>
    <x v="2"/>
    <x v="1"/>
    <x v="564"/>
    <x v="0"/>
    <x v="0"/>
  </r>
  <r>
    <x v="970"/>
    <x v="475"/>
    <x v="470"/>
    <x v="464"/>
    <x v="0"/>
    <x v="1"/>
    <x v="1"/>
    <x v="248"/>
    <x v="80"/>
    <x v="1"/>
    <x v="36"/>
    <x v="0"/>
    <x v="0"/>
    <x v="3"/>
    <x v="1"/>
    <x v="1"/>
    <x v="2"/>
    <x v="1"/>
    <x v="2"/>
    <x v="1"/>
    <x v="2"/>
    <x v="0"/>
    <x v="2"/>
    <x v="3"/>
    <x v="4"/>
    <x v="472"/>
    <x v="5"/>
    <x v="0"/>
    <x v="0"/>
    <x v="1"/>
    <x v="0"/>
    <x v="0"/>
    <x v="0"/>
    <x v="0"/>
  </r>
  <r>
    <x v="971"/>
    <x v="478"/>
    <x v="472"/>
    <x v="466"/>
    <x v="0"/>
    <x v="1"/>
    <x v="2"/>
    <x v="481"/>
    <x v="359"/>
    <x v="1"/>
    <x v="9"/>
    <x v="0"/>
    <x v="0"/>
    <x v="3"/>
    <x v="4"/>
    <x v="1"/>
    <x v="2"/>
    <x v="1"/>
    <x v="2"/>
    <x v="1"/>
    <x v="2"/>
    <x v="0"/>
    <x v="2"/>
    <x v="3"/>
    <x v="4"/>
    <x v="475"/>
    <x v="1"/>
    <x v="0"/>
    <x v="0"/>
    <x v="1"/>
    <x v="0"/>
    <x v="0"/>
    <x v="0"/>
    <x v="0"/>
  </r>
  <r>
    <x v="972"/>
    <x v="480"/>
    <x v="474"/>
    <x v="468"/>
    <x v="0"/>
    <x v="1"/>
    <x v="2"/>
    <x v="483"/>
    <x v="161"/>
    <x v="1"/>
    <x v="15"/>
    <x v="0"/>
    <x v="0"/>
    <x v="3"/>
    <x v="1"/>
    <x v="1"/>
    <x v="2"/>
    <x v="1"/>
    <x v="1"/>
    <x v="1"/>
    <x v="2"/>
    <x v="0"/>
    <x v="2"/>
    <x v="3"/>
    <x v="4"/>
    <x v="477"/>
    <x v="1"/>
    <x v="0"/>
    <x v="0"/>
    <x v="1"/>
    <x v="0"/>
    <x v="0"/>
    <x v="0"/>
    <x v="0"/>
  </r>
  <r>
    <x v="973"/>
    <x v="481"/>
    <x v="475"/>
    <x v="469"/>
    <x v="770"/>
    <x v="1"/>
    <x v="3"/>
    <x v="484"/>
    <x v="364"/>
    <x v="1"/>
    <x v="15"/>
    <x v="0"/>
    <x v="0"/>
    <x v="3"/>
    <x v="1"/>
    <x v="1"/>
    <x v="2"/>
    <x v="1"/>
    <x v="2"/>
    <x v="2"/>
    <x v="2"/>
    <x v="0"/>
    <x v="1"/>
    <x v="3"/>
    <x v="4"/>
    <x v="478"/>
    <x v="1"/>
    <x v="0"/>
    <x v="0"/>
    <x v="1"/>
    <x v="0"/>
    <x v="0"/>
    <x v="0"/>
    <x v="0"/>
  </r>
  <r>
    <x v="974"/>
    <x v="482"/>
    <x v="476"/>
    <x v="470"/>
    <x v="771"/>
    <x v="3"/>
    <x v="1"/>
    <x v="485"/>
    <x v="115"/>
    <x v="1"/>
    <x v="4"/>
    <x v="0"/>
    <x v="0"/>
    <x v="1"/>
    <x v="3"/>
    <x v="3"/>
    <x v="2"/>
    <x v="1"/>
    <x v="2"/>
    <x v="1"/>
    <x v="1"/>
    <x v="223"/>
    <x v="1"/>
    <x v="1"/>
    <x v="2"/>
    <x v="479"/>
    <x v="12"/>
    <x v="3"/>
    <x v="0"/>
    <x v="1"/>
    <x v="0"/>
    <x v="565"/>
    <x v="281"/>
    <x v="294"/>
  </r>
  <r>
    <x v="975"/>
    <x v="483"/>
    <x v="477"/>
    <x v="471"/>
    <x v="772"/>
    <x v="3"/>
    <x v="2"/>
    <x v="486"/>
    <x v="150"/>
    <x v="1"/>
    <x v="4"/>
    <x v="0"/>
    <x v="0"/>
    <x v="1"/>
    <x v="3"/>
    <x v="3"/>
    <x v="2"/>
    <x v="1"/>
    <x v="3"/>
    <x v="1"/>
    <x v="1"/>
    <x v="223"/>
    <x v="1"/>
    <x v="1"/>
    <x v="2"/>
    <x v="480"/>
    <x v="1"/>
    <x v="1"/>
    <x v="7"/>
    <x v="1"/>
    <x v="0"/>
    <x v="566"/>
    <x v="0"/>
    <x v="295"/>
  </r>
  <r>
    <x v="976"/>
    <x v="484"/>
    <x v="478"/>
    <x v="472"/>
    <x v="773"/>
    <x v="3"/>
    <x v="6"/>
    <x v="487"/>
    <x v="279"/>
    <x v="1"/>
    <x v="15"/>
    <x v="0"/>
    <x v="0"/>
    <x v="2"/>
    <x v="7"/>
    <x v="3"/>
    <x v="2"/>
    <x v="1"/>
    <x v="3"/>
    <x v="1"/>
    <x v="2"/>
    <x v="0"/>
    <x v="3"/>
    <x v="1"/>
    <x v="2"/>
    <x v="481"/>
    <x v="12"/>
    <x v="0"/>
    <x v="0"/>
    <x v="1"/>
    <x v="0"/>
    <x v="0"/>
    <x v="0"/>
    <x v="0"/>
  </r>
  <r>
    <x v="977"/>
    <x v="485"/>
    <x v="479"/>
    <x v="473"/>
    <x v="774"/>
    <x v="1"/>
    <x v="2"/>
    <x v="488"/>
    <x v="312"/>
    <x v="1"/>
    <x v="9"/>
    <x v="0"/>
    <x v="0"/>
    <x v="1"/>
    <x v="1"/>
    <x v="1"/>
    <x v="2"/>
    <x v="2"/>
    <x v="1"/>
    <x v="1"/>
    <x v="2"/>
    <x v="0"/>
    <x v="1"/>
    <x v="6"/>
    <x v="2"/>
    <x v="482"/>
    <x v="12"/>
    <x v="0"/>
    <x v="0"/>
    <x v="1"/>
    <x v="0"/>
    <x v="0"/>
    <x v="0"/>
    <x v="0"/>
  </r>
  <r>
    <x v="978"/>
    <x v="486"/>
    <x v="26"/>
    <x v="26"/>
    <x v="775"/>
    <x v="1"/>
    <x v="2"/>
    <x v="28"/>
    <x v="71"/>
    <x v="1"/>
    <x v="3"/>
    <x v="0"/>
    <x v="0"/>
    <x v="1"/>
    <x v="3"/>
    <x v="2"/>
    <x v="2"/>
    <x v="1"/>
    <x v="2"/>
    <x v="1"/>
    <x v="1"/>
    <x v="224"/>
    <x v="1"/>
    <x v="6"/>
    <x v="2"/>
    <x v="26"/>
    <x v="12"/>
    <x v="1"/>
    <x v="1"/>
    <x v="1"/>
    <x v="0"/>
    <x v="567"/>
    <x v="282"/>
    <x v="0"/>
  </r>
  <r>
    <x v="979"/>
    <x v="483"/>
    <x v="477"/>
    <x v="471"/>
    <x v="0"/>
    <x v="1"/>
    <x v="2"/>
    <x v="486"/>
    <x v="150"/>
    <x v="1"/>
    <x v="4"/>
    <x v="0"/>
    <x v="0"/>
    <x v="3"/>
    <x v="1"/>
    <x v="1"/>
    <x v="2"/>
    <x v="1"/>
    <x v="2"/>
    <x v="1"/>
    <x v="2"/>
    <x v="0"/>
    <x v="2"/>
    <x v="3"/>
    <x v="4"/>
    <x v="480"/>
    <x v="12"/>
    <x v="0"/>
    <x v="0"/>
    <x v="1"/>
    <x v="0"/>
    <x v="0"/>
    <x v="0"/>
    <x v="0"/>
  </r>
  <r>
    <x v="980"/>
    <x v="115"/>
    <x v="114"/>
    <x v="113"/>
    <x v="776"/>
    <x v="3"/>
    <x v="2"/>
    <x v="120"/>
    <x v="111"/>
    <x v="1"/>
    <x v="22"/>
    <x v="0"/>
    <x v="0"/>
    <x v="1"/>
    <x v="1"/>
    <x v="1"/>
    <x v="1"/>
    <x v="1"/>
    <x v="2"/>
    <x v="1"/>
    <x v="1"/>
    <x v="225"/>
    <x v="1"/>
    <x v="6"/>
    <x v="2"/>
    <x v="114"/>
    <x v="12"/>
    <x v="1"/>
    <x v="4"/>
    <x v="2"/>
    <x v="1"/>
    <x v="568"/>
    <x v="0"/>
    <x v="296"/>
  </r>
  <r>
    <x v="981"/>
    <x v="487"/>
    <x v="480"/>
    <x v="474"/>
    <x v="777"/>
    <x v="1"/>
    <x v="2"/>
    <x v="489"/>
    <x v="365"/>
    <x v="1"/>
    <x v="185"/>
    <x v="0"/>
    <x v="0"/>
    <x v="1"/>
    <x v="1"/>
    <x v="1"/>
    <x v="2"/>
    <x v="1"/>
    <x v="2"/>
    <x v="1"/>
    <x v="2"/>
    <x v="0"/>
    <x v="1"/>
    <x v="6"/>
    <x v="2"/>
    <x v="483"/>
    <x v="12"/>
    <x v="0"/>
    <x v="0"/>
    <x v="1"/>
    <x v="0"/>
    <x v="0"/>
    <x v="0"/>
    <x v="0"/>
  </r>
  <r>
    <x v="982"/>
    <x v="115"/>
    <x v="114"/>
    <x v="113"/>
    <x v="778"/>
    <x v="3"/>
    <x v="2"/>
    <x v="120"/>
    <x v="111"/>
    <x v="1"/>
    <x v="22"/>
    <x v="0"/>
    <x v="0"/>
    <x v="3"/>
    <x v="1"/>
    <x v="1"/>
    <x v="1"/>
    <x v="1"/>
    <x v="2"/>
    <x v="1"/>
    <x v="2"/>
    <x v="0"/>
    <x v="1"/>
    <x v="3"/>
    <x v="4"/>
    <x v="114"/>
    <x v="1"/>
    <x v="0"/>
    <x v="0"/>
    <x v="1"/>
    <x v="0"/>
    <x v="0"/>
    <x v="0"/>
    <x v="297"/>
  </r>
  <r>
    <x v="983"/>
    <x v="488"/>
    <x v="481"/>
    <x v="475"/>
    <x v="779"/>
    <x v="3"/>
    <x v="2"/>
    <x v="490"/>
    <x v="366"/>
    <x v="1"/>
    <x v="2"/>
    <x v="0"/>
    <x v="0"/>
    <x v="1"/>
    <x v="3"/>
    <x v="2"/>
    <x v="2"/>
    <x v="1"/>
    <x v="3"/>
    <x v="1"/>
    <x v="1"/>
    <x v="224"/>
    <x v="1"/>
    <x v="1"/>
    <x v="2"/>
    <x v="484"/>
    <x v="1"/>
    <x v="3"/>
    <x v="0"/>
    <x v="1"/>
    <x v="0"/>
    <x v="569"/>
    <x v="0"/>
    <x v="0"/>
  </r>
  <r>
    <x v="984"/>
    <x v="486"/>
    <x v="26"/>
    <x v="26"/>
    <x v="0"/>
    <x v="1"/>
    <x v="2"/>
    <x v="28"/>
    <x v="71"/>
    <x v="1"/>
    <x v="3"/>
    <x v="0"/>
    <x v="0"/>
    <x v="3"/>
    <x v="1"/>
    <x v="1"/>
    <x v="2"/>
    <x v="1"/>
    <x v="2"/>
    <x v="1"/>
    <x v="2"/>
    <x v="0"/>
    <x v="2"/>
    <x v="3"/>
    <x v="4"/>
    <x v="26"/>
    <x v="5"/>
    <x v="0"/>
    <x v="0"/>
    <x v="1"/>
    <x v="0"/>
    <x v="0"/>
    <x v="0"/>
    <x v="0"/>
  </r>
  <r>
    <x v="985"/>
    <x v="489"/>
    <x v="482"/>
    <x v="476"/>
    <x v="780"/>
    <x v="1"/>
    <x v="2"/>
    <x v="491"/>
    <x v="303"/>
    <x v="1"/>
    <x v="8"/>
    <x v="0"/>
    <x v="0"/>
    <x v="1"/>
    <x v="1"/>
    <x v="1"/>
    <x v="2"/>
    <x v="1"/>
    <x v="2"/>
    <x v="1"/>
    <x v="1"/>
    <x v="226"/>
    <x v="1"/>
    <x v="1"/>
    <x v="2"/>
    <x v="485"/>
    <x v="5"/>
    <x v="1"/>
    <x v="1"/>
    <x v="1"/>
    <x v="0"/>
    <x v="570"/>
    <x v="0"/>
    <x v="0"/>
  </r>
  <r>
    <x v="986"/>
    <x v="388"/>
    <x v="388"/>
    <x v="383"/>
    <x v="781"/>
    <x v="1"/>
    <x v="2"/>
    <x v="403"/>
    <x v="10"/>
    <x v="1"/>
    <x v="31"/>
    <x v="0"/>
    <x v="0"/>
    <x v="1"/>
    <x v="1"/>
    <x v="1"/>
    <x v="1"/>
    <x v="2"/>
    <x v="2"/>
    <x v="1"/>
    <x v="1"/>
    <x v="226"/>
    <x v="1"/>
    <x v="1"/>
    <x v="2"/>
    <x v="486"/>
    <x v="1"/>
    <x v="1"/>
    <x v="4"/>
    <x v="2"/>
    <x v="1"/>
    <x v="571"/>
    <x v="0"/>
    <x v="0"/>
  </r>
  <r>
    <x v="987"/>
    <x v="490"/>
    <x v="483"/>
    <x v="477"/>
    <x v="782"/>
    <x v="1"/>
    <x v="2"/>
    <x v="492"/>
    <x v="10"/>
    <x v="1"/>
    <x v="186"/>
    <x v="0"/>
    <x v="0"/>
    <x v="1"/>
    <x v="1"/>
    <x v="1"/>
    <x v="1"/>
    <x v="1"/>
    <x v="3"/>
    <x v="1"/>
    <x v="2"/>
    <x v="0"/>
    <x v="1"/>
    <x v="1"/>
    <x v="2"/>
    <x v="487"/>
    <x v="4"/>
    <x v="0"/>
    <x v="0"/>
    <x v="1"/>
    <x v="0"/>
    <x v="0"/>
    <x v="0"/>
    <x v="0"/>
  </r>
  <r>
    <x v="988"/>
    <x v="491"/>
    <x v="484"/>
    <x v="478"/>
    <x v="783"/>
    <x v="1"/>
    <x v="2"/>
    <x v="493"/>
    <x v="367"/>
    <x v="1"/>
    <x v="187"/>
    <x v="0"/>
    <x v="0"/>
    <x v="1"/>
    <x v="3"/>
    <x v="2"/>
    <x v="2"/>
    <x v="1"/>
    <x v="1"/>
    <x v="1"/>
    <x v="1"/>
    <x v="226"/>
    <x v="1"/>
    <x v="1"/>
    <x v="2"/>
    <x v="488"/>
    <x v="13"/>
    <x v="3"/>
    <x v="0"/>
    <x v="1"/>
    <x v="0"/>
    <x v="572"/>
    <x v="283"/>
    <x v="0"/>
  </r>
  <r>
    <x v="989"/>
    <x v="154"/>
    <x v="154"/>
    <x v="152"/>
    <x v="784"/>
    <x v="1"/>
    <x v="2"/>
    <x v="160"/>
    <x v="114"/>
    <x v="1"/>
    <x v="188"/>
    <x v="0"/>
    <x v="0"/>
    <x v="1"/>
    <x v="1"/>
    <x v="1"/>
    <x v="2"/>
    <x v="1"/>
    <x v="3"/>
    <x v="1"/>
    <x v="1"/>
    <x v="226"/>
    <x v="1"/>
    <x v="1"/>
    <x v="2"/>
    <x v="153"/>
    <x v="1"/>
    <x v="1"/>
    <x v="4"/>
    <x v="2"/>
    <x v="1"/>
    <x v="573"/>
    <x v="0"/>
    <x v="298"/>
  </r>
  <r>
    <x v="990"/>
    <x v="440"/>
    <x v="436"/>
    <x v="431"/>
    <x v="785"/>
    <x v="1"/>
    <x v="1"/>
    <x v="446"/>
    <x v="10"/>
    <x v="1"/>
    <x v="15"/>
    <x v="0"/>
    <x v="0"/>
    <x v="1"/>
    <x v="1"/>
    <x v="1"/>
    <x v="2"/>
    <x v="1"/>
    <x v="3"/>
    <x v="1"/>
    <x v="1"/>
    <x v="226"/>
    <x v="2"/>
    <x v="1"/>
    <x v="2"/>
    <x v="439"/>
    <x v="4"/>
    <x v="1"/>
    <x v="1"/>
    <x v="1"/>
    <x v="0"/>
    <x v="574"/>
    <x v="0"/>
    <x v="299"/>
  </r>
  <r>
    <x v="991"/>
    <x v="388"/>
    <x v="388"/>
    <x v="383"/>
    <x v="786"/>
    <x v="1"/>
    <x v="2"/>
    <x v="403"/>
    <x v="10"/>
    <x v="1"/>
    <x v="31"/>
    <x v="0"/>
    <x v="0"/>
    <x v="3"/>
    <x v="1"/>
    <x v="1"/>
    <x v="2"/>
    <x v="1"/>
    <x v="3"/>
    <x v="1"/>
    <x v="2"/>
    <x v="0"/>
    <x v="1"/>
    <x v="3"/>
    <x v="4"/>
    <x v="486"/>
    <x v="1"/>
    <x v="0"/>
    <x v="0"/>
    <x v="1"/>
    <x v="0"/>
    <x v="0"/>
    <x v="0"/>
    <x v="0"/>
  </r>
  <r>
    <x v="992"/>
    <x v="492"/>
    <x v="485"/>
    <x v="479"/>
    <x v="787"/>
    <x v="1"/>
    <x v="3"/>
    <x v="494"/>
    <x v="269"/>
    <x v="1"/>
    <x v="2"/>
    <x v="0"/>
    <x v="0"/>
    <x v="1"/>
    <x v="1"/>
    <x v="1"/>
    <x v="2"/>
    <x v="2"/>
    <x v="3"/>
    <x v="1"/>
    <x v="1"/>
    <x v="226"/>
    <x v="1"/>
    <x v="1"/>
    <x v="2"/>
    <x v="489"/>
    <x v="5"/>
    <x v="3"/>
    <x v="0"/>
    <x v="1"/>
    <x v="0"/>
    <x v="575"/>
    <x v="0"/>
    <x v="194"/>
  </r>
  <r>
    <x v="993"/>
    <x v="154"/>
    <x v="154"/>
    <x v="152"/>
    <x v="788"/>
    <x v="1"/>
    <x v="2"/>
    <x v="160"/>
    <x v="114"/>
    <x v="1"/>
    <x v="188"/>
    <x v="0"/>
    <x v="0"/>
    <x v="3"/>
    <x v="1"/>
    <x v="1"/>
    <x v="2"/>
    <x v="1"/>
    <x v="3"/>
    <x v="1"/>
    <x v="2"/>
    <x v="0"/>
    <x v="1"/>
    <x v="3"/>
    <x v="4"/>
    <x v="153"/>
    <x v="1"/>
    <x v="0"/>
    <x v="0"/>
    <x v="1"/>
    <x v="0"/>
    <x v="0"/>
    <x v="0"/>
    <x v="0"/>
  </r>
  <r>
    <x v="994"/>
    <x v="489"/>
    <x v="482"/>
    <x v="476"/>
    <x v="0"/>
    <x v="1"/>
    <x v="2"/>
    <x v="491"/>
    <x v="303"/>
    <x v="1"/>
    <x v="8"/>
    <x v="0"/>
    <x v="0"/>
    <x v="3"/>
    <x v="1"/>
    <x v="1"/>
    <x v="2"/>
    <x v="1"/>
    <x v="2"/>
    <x v="1"/>
    <x v="2"/>
    <x v="0"/>
    <x v="2"/>
    <x v="3"/>
    <x v="4"/>
    <x v="485"/>
    <x v="5"/>
    <x v="0"/>
    <x v="0"/>
    <x v="1"/>
    <x v="0"/>
    <x v="0"/>
    <x v="0"/>
    <x v="0"/>
  </r>
  <r>
    <x v="995"/>
    <x v="440"/>
    <x v="436"/>
    <x v="431"/>
    <x v="0"/>
    <x v="1"/>
    <x v="1"/>
    <x v="446"/>
    <x v="10"/>
    <x v="1"/>
    <x v="15"/>
    <x v="0"/>
    <x v="0"/>
    <x v="3"/>
    <x v="1"/>
    <x v="1"/>
    <x v="2"/>
    <x v="1"/>
    <x v="3"/>
    <x v="1"/>
    <x v="1"/>
    <x v="227"/>
    <x v="2"/>
    <x v="3"/>
    <x v="4"/>
    <x v="439"/>
    <x v="5"/>
    <x v="1"/>
    <x v="4"/>
    <x v="1"/>
    <x v="0"/>
    <x v="576"/>
    <x v="284"/>
    <x v="0"/>
  </r>
  <r>
    <x v="996"/>
    <x v="464"/>
    <x v="460"/>
    <x v="454"/>
    <x v="789"/>
    <x v="1"/>
    <x v="2"/>
    <x v="469"/>
    <x v="170"/>
    <x v="1"/>
    <x v="15"/>
    <x v="0"/>
    <x v="0"/>
    <x v="1"/>
    <x v="3"/>
    <x v="3"/>
    <x v="1"/>
    <x v="1"/>
    <x v="1"/>
    <x v="1"/>
    <x v="1"/>
    <x v="227"/>
    <x v="1"/>
    <x v="1"/>
    <x v="2"/>
    <x v="462"/>
    <x v="1"/>
    <x v="3"/>
    <x v="0"/>
    <x v="1"/>
    <x v="0"/>
    <x v="577"/>
    <x v="285"/>
    <x v="0"/>
  </r>
  <r>
    <x v="997"/>
    <x v="223"/>
    <x v="222"/>
    <x v="219"/>
    <x v="790"/>
    <x v="1"/>
    <x v="2"/>
    <x v="233"/>
    <x v="191"/>
    <x v="1"/>
    <x v="1"/>
    <x v="0"/>
    <x v="0"/>
    <x v="1"/>
    <x v="2"/>
    <x v="3"/>
    <x v="2"/>
    <x v="1"/>
    <x v="2"/>
    <x v="1"/>
    <x v="1"/>
    <x v="227"/>
    <x v="1"/>
    <x v="5"/>
    <x v="2"/>
    <x v="223"/>
    <x v="5"/>
    <x v="3"/>
    <x v="0"/>
    <x v="1"/>
    <x v="0"/>
    <x v="578"/>
    <x v="285"/>
    <x v="0"/>
  </r>
  <r>
    <x v="998"/>
    <x v="493"/>
    <x v="486"/>
    <x v="480"/>
    <x v="791"/>
    <x v="1"/>
    <x v="2"/>
    <x v="495"/>
    <x v="316"/>
    <x v="1"/>
    <x v="3"/>
    <x v="0"/>
    <x v="0"/>
    <x v="1"/>
    <x v="1"/>
    <x v="2"/>
    <x v="2"/>
    <x v="1"/>
    <x v="2"/>
    <x v="1"/>
    <x v="1"/>
    <x v="227"/>
    <x v="1"/>
    <x v="5"/>
    <x v="2"/>
    <x v="490"/>
    <x v="5"/>
    <x v="1"/>
    <x v="1"/>
    <x v="1"/>
    <x v="0"/>
    <x v="579"/>
    <x v="0"/>
    <x v="0"/>
  </r>
  <r>
    <x v="999"/>
    <x v="388"/>
    <x v="388"/>
    <x v="383"/>
    <x v="792"/>
    <x v="1"/>
    <x v="2"/>
    <x v="403"/>
    <x v="10"/>
    <x v="1"/>
    <x v="8"/>
    <x v="0"/>
    <x v="0"/>
    <x v="1"/>
    <x v="1"/>
    <x v="1"/>
    <x v="2"/>
    <x v="1"/>
    <x v="2"/>
    <x v="1"/>
    <x v="1"/>
    <x v="228"/>
    <x v="1"/>
    <x v="1"/>
    <x v="2"/>
    <x v="486"/>
    <x v="13"/>
    <x v="3"/>
    <x v="0"/>
    <x v="1"/>
    <x v="0"/>
    <x v="580"/>
    <x v="286"/>
    <x v="286"/>
  </r>
  <r>
    <x v="1000"/>
    <x v="438"/>
    <x v="434"/>
    <x v="429"/>
    <x v="793"/>
    <x v="1"/>
    <x v="2"/>
    <x v="444"/>
    <x v="339"/>
    <x v="1"/>
    <x v="9"/>
    <x v="0"/>
    <x v="0"/>
    <x v="1"/>
    <x v="3"/>
    <x v="3"/>
    <x v="2"/>
    <x v="1"/>
    <x v="2"/>
    <x v="1"/>
    <x v="1"/>
    <x v="227"/>
    <x v="2"/>
    <x v="1"/>
    <x v="2"/>
    <x v="437"/>
    <x v="5"/>
    <x v="3"/>
    <x v="0"/>
    <x v="1"/>
    <x v="0"/>
    <x v="581"/>
    <x v="287"/>
    <x v="0"/>
  </r>
  <r>
    <x v="1001"/>
    <x v="494"/>
    <x v="487"/>
    <x v="481"/>
    <x v="794"/>
    <x v="1"/>
    <x v="2"/>
    <x v="496"/>
    <x v="76"/>
    <x v="2"/>
    <x v="0"/>
    <x v="2"/>
    <x v="0"/>
    <x v="1"/>
    <x v="1"/>
    <x v="1"/>
    <x v="2"/>
    <x v="1"/>
    <x v="2"/>
    <x v="1"/>
    <x v="2"/>
    <x v="0"/>
    <x v="1"/>
    <x v="1"/>
    <x v="2"/>
    <x v="491"/>
    <x v="5"/>
    <x v="0"/>
    <x v="0"/>
    <x v="1"/>
    <x v="0"/>
    <x v="0"/>
    <x v="0"/>
    <x v="0"/>
  </r>
  <r>
    <x v="1002"/>
    <x v="440"/>
    <x v="436"/>
    <x v="431"/>
    <x v="0"/>
    <x v="1"/>
    <x v="1"/>
    <x v="446"/>
    <x v="10"/>
    <x v="1"/>
    <x v="15"/>
    <x v="0"/>
    <x v="0"/>
    <x v="3"/>
    <x v="1"/>
    <x v="1"/>
    <x v="2"/>
    <x v="1"/>
    <x v="3"/>
    <x v="1"/>
    <x v="2"/>
    <x v="0"/>
    <x v="2"/>
    <x v="3"/>
    <x v="4"/>
    <x v="439"/>
    <x v="1"/>
    <x v="0"/>
    <x v="0"/>
    <x v="1"/>
    <x v="0"/>
    <x v="0"/>
    <x v="0"/>
    <x v="0"/>
  </r>
  <r>
    <x v="1003"/>
    <x v="415"/>
    <x v="412"/>
    <x v="407"/>
    <x v="795"/>
    <x v="1"/>
    <x v="2"/>
    <x v="425"/>
    <x v="327"/>
    <x v="1"/>
    <x v="15"/>
    <x v="0"/>
    <x v="0"/>
    <x v="1"/>
    <x v="1"/>
    <x v="1"/>
    <x v="2"/>
    <x v="1"/>
    <x v="1"/>
    <x v="1"/>
    <x v="1"/>
    <x v="228"/>
    <x v="1"/>
    <x v="1"/>
    <x v="2"/>
    <x v="415"/>
    <x v="13"/>
    <x v="3"/>
    <x v="0"/>
    <x v="1"/>
    <x v="0"/>
    <x v="582"/>
    <x v="0"/>
    <x v="0"/>
  </r>
  <r>
    <x v="1004"/>
    <x v="495"/>
    <x v="488"/>
    <x v="482"/>
    <x v="796"/>
    <x v="1"/>
    <x v="1"/>
    <x v="497"/>
    <x v="177"/>
    <x v="1"/>
    <x v="15"/>
    <x v="0"/>
    <x v="0"/>
    <x v="1"/>
    <x v="3"/>
    <x v="2"/>
    <x v="1"/>
    <x v="1"/>
    <x v="2"/>
    <x v="1"/>
    <x v="1"/>
    <x v="227"/>
    <x v="1"/>
    <x v="1"/>
    <x v="2"/>
    <x v="492"/>
    <x v="5"/>
    <x v="1"/>
    <x v="1"/>
    <x v="1"/>
    <x v="0"/>
    <x v="583"/>
    <x v="0"/>
    <x v="300"/>
  </r>
  <r>
    <x v="1005"/>
    <x v="496"/>
    <x v="486"/>
    <x v="480"/>
    <x v="0"/>
    <x v="1"/>
    <x v="2"/>
    <x v="495"/>
    <x v="166"/>
    <x v="1"/>
    <x v="3"/>
    <x v="0"/>
    <x v="0"/>
    <x v="3"/>
    <x v="1"/>
    <x v="1"/>
    <x v="2"/>
    <x v="1"/>
    <x v="2"/>
    <x v="1"/>
    <x v="1"/>
    <x v="229"/>
    <x v="2"/>
    <x v="3"/>
    <x v="4"/>
    <x v="490"/>
    <x v="5"/>
    <x v="1"/>
    <x v="4"/>
    <x v="2"/>
    <x v="1"/>
    <x v="584"/>
    <x v="0"/>
    <x v="0"/>
  </r>
  <r>
    <x v="1006"/>
    <x v="497"/>
    <x v="489"/>
    <x v="483"/>
    <x v="797"/>
    <x v="1"/>
    <x v="1"/>
    <x v="498"/>
    <x v="368"/>
    <x v="1"/>
    <x v="189"/>
    <x v="0"/>
    <x v="0"/>
    <x v="1"/>
    <x v="1"/>
    <x v="1"/>
    <x v="2"/>
    <x v="1"/>
    <x v="2"/>
    <x v="1"/>
    <x v="2"/>
    <x v="0"/>
    <x v="1"/>
    <x v="1"/>
    <x v="2"/>
    <x v="493"/>
    <x v="12"/>
    <x v="0"/>
    <x v="0"/>
    <x v="1"/>
    <x v="0"/>
    <x v="0"/>
    <x v="0"/>
    <x v="0"/>
  </r>
  <r>
    <x v="1007"/>
    <x v="491"/>
    <x v="484"/>
    <x v="478"/>
    <x v="798"/>
    <x v="1"/>
    <x v="2"/>
    <x v="499"/>
    <x v="367"/>
    <x v="1"/>
    <x v="22"/>
    <x v="0"/>
    <x v="0"/>
    <x v="1"/>
    <x v="1"/>
    <x v="1"/>
    <x v="2"/>
    <x v="1"/>
    <x v="2"/>
    <x v="2"/>
    <x v="1"/>
    <x v="230"/>
    <x v="1"/>
    <x v="1"/>
    <x v="2"/>
    <x v="488"/>
    <x v="12"/>
    <x v="3"/>
    <x v="0"/>
    <x v="1"/>
    <x v="0"/>
    <x v="585"/>
    <x v="288"/>
    <x v="0"/>
  </r>
  <r>
    <x v="1008"/>
    <x v="498"/>
    <x v="490"/>
    <x v="450"/>
    <x v="799"/>
    <x v="1"/>
    <x v="3"/>
    <x v="465"/>
    <x v="199"/>
    <x v="1"/>
    <x v="64"/>
    <x v="0"/>
    <x v="0"/>
    <x v="1"/>
    <x v="3"/>
    <x v="2"/>
    <x v="2"/>
    <x v="2"/>
    <x v="3"/>
    <x v="1"/>
    <x v="1"/>
    <x v="229"/>
    <x v="1"/>
    <x v="1"/>
    <x v="2"/>
    <x v="458"/>
    <x v="1"/>
    <x v="3"/>
    <x v="0"/>
    <x v="1"/>
    <x v="0"/>
    <x v="586"/>
    <x v="289"/>
    <x v="0"/>
  </r>
  <r>
    <x v="1009"/>
    <x v="499"/>
    <x v="491"/>
    <x v="484"/>
    <x v="800"/>
    <x v="3"/>
    <x v="2"/>
    <x v="500"/>
    <x v="323"/>
    <x v="1"/>
    <x v="9"/>
    <x v="0"/>
    <x v="0"/>
    <x v="1"/>
    <x v="1"/>
    <x v="1"/>
    <x v="2"/>
    <x v="1"/>
    <x v="1"/>
    <x v="1"/>
    <x v="2"/>
    <x v="0"/>
    <x v="1"/>
    <x v="1"/>
    <x v="2"/>
    <x v="494"/>
    <x v="12"/>
    <x v="0"/>
    <x v="0"/>
    <x v="1"/>
    <x v="0"/>
    <x v="0"/>
    <x v="0"/>
    <x v="0"/>
  </r>
  <r>
    <x v="1010"/>
    <x v="495"/>
    <x v="488"/>
    <x v="482"/>
    <x v="0"/>
    <x v="1"/>
    <x v="1"/>
    <x v="497"/>
    <x v="177"/>
    <x v="1"/>
    <x v="15"/>
    <x v="0"/>
    <x v="0"/>
    <x v="3"/>
    <x v="1"/>
    <x v="1"/>
    <x v="2"/>
    <x v="1"/>
    <x v="2"/>
    <x v="1"/>
    <x v="2"/>
    <x v="0"/>
    <x v="2"/>
    <x v="3"/>
    <x v="4"/>
    <x v="492"/>
    <x v="5"/>
    <x v="0"/>
    <x v="0"/>
    <x v="1"/>
    <x v="0"/>
    <x v="0"/>
    <x v="0"/>
    <x v="301"/>
  </r>
  <r>
    <x v="1011"/>
    <x v="496"/>
    <x v="486"/>
    <x v="480"/>
    <x v="801"/>
    <x v="1"/>
    <x v="2"/>
    <x v="495"/>
    <x v="166"/>
    <x v="1"/>
    <x v="3"/>
    <x v="0"/>
    <x v="0"/>
    <x v="3"/>
    <x v="1"/>
    <x v="1"/>
    <x v="2"/>
    <x v="1"/>
    <x v="2"/>
    <x v="1"/>
    <x v="2"/>
    <x v="0"/>
    <x v="1"/>
    <x v="3"/>
    <x v="4"/>
    <x v="490"/>
    <x v="1"/>
    <x v="0"/>
    <x v="0"/>
    <x v="1"/>
    <x v="0"/>
    <x v="0"/>
    <x v="0"/>
    <x v="0"/>
  </r>
  <r>
    <x v="1012"/>
    <x v="500"/>
    <x v="492"/>
    <x v="485"/>
    <x v="802"/>
    <x v="1"/>
    <x v="2"/>
    <x v="501"/>
    <x v="10"/>
    <x v="1"/>
    <x v="190"/>
    <x v="0"/>
    <x v="0"/>
    <x v="1"/>
    <x v="1"/>
    <x v="2"/>
    <x v="1"/>
    <x v="2"/>
    <x v="3"/>
    <x v="2"/>
    <x v="1"/>
    <x v="231"/>
    <x v="1"/>
    <x v="6"/>
    <x v="2"/>
    <x v="495"/>
    <x v="1"/>
    <x v="1"/>
    <x v="4"/>
    <x v="2"/>
    <x v="1"/>
    <x v="587"/>
    <x v="0"/>
    <x v="302"/>
  </r>
  <r>
    <x v="1013"/>
    <x v="501"/>
    <x v="493"/>
    <x v="486"/>
    <x v="803"/>
    <x v="1"/>
    <x v="1"/>
    <x v="502"/>
    <x v="257"/>
    <x v="1"/>
    <x v="15"/>
    <x v="0"/>
    <x v="0"/>
    <x v="1"/>
    <x v="1"/>
    <x v="1"/>
    <x v="2"/>
    <x v="1"/>
    <x v="3"/>
    <x v="1"/>
    <x v="1"/>
    <x v="231"/>
    <x v="1"/>
    <x v="6"/>
    <x v="2"/>
    <x v="496"/>
    <x v="1"/>
    <x v="1"/>
    <x v="4"/>
    <x v="2"/>
    <x v="1"/>
    <x v="588"/>
    <x v="0"/>
    <x v="0"/>
  </r>
  <r>
    <x v="1014"/>
    <x v="502"/>
    <x v="494"/>
    <x v="487"/>
    <x v="804"/>
    <x v="2"/>
    <x v="1"/>
    <x v="503"/>
    <x v="369"/>
    <x v="1"/>
    <x v="191"/>
    <x v="0"/>
    <x v="0"/>
    <x v="1"/>
    <x v="1"/>
    <x v="2"/>
    <x v="2"/>
    <x v="2"/>
    <x v="1"/>
    <x v="2"/>
    <x v="1"/>
    <x v="231"/>
    <x v="1"/>
    <x v="6"/>
    <x v="2"/>
    <x v="497"/>
    <x v="1"/>
    <x v="3"/>
    <x v="0"/>
    <x v="1"/>
    <x v="0"/>
    <x v="589"/>
    <x v="290"/>
    <x v="303"/>
  </r>
  <r>
    <x v="1015"/>
    <x v="503"/>
    <x v="495"/>
    <x v="488"/>
    <x v="805"/>
    <x v="1"/>
    <x v="2"/>
    <x v="504"/>
    <x v="370"/>
    <x v="10"/>
    <x v="0"/>
    <x v="0"/>
    <x v="0"/>
    <x v="1"/>
    <x v="1"/>
    <x v="1"/>
    <x v="2"/>
    <x v="1"/>
    <x v="1"/>
    <x v="1"/>
    <x v="2"/>
    <x v="0"/>
    <x v="1"/>
    <x v="4"/>
    <x v="2"/>
    <x v="498"/>
    <x v="12"/>
    <x v="0"/>
    <x v="0"/>
    <x v="1"/>
    <x v="0"/>
    <x v="0"/>
    <x v="0"/>
    <x v="0"/>
  </r>
  <r>
    <x v="1016"/>
    <x v="504"/>
    <x v="496"/>
    <x v="489"/>
    <x v="806"/>
    <x v="1"/>
    <x v="2"/>
    <x v="505"/>
    <x v="10"/>
    <x v="1"/>
    <x v="4"/>
    <x v="0"/>
    <x v="0"/>
    <x v="1"/>
    <x v="1"/>
    <x v="1"/>
    <x v="2"/>
    <x v="1"/>
    <x v="3"/>
    <x v="1"/>
    <x v="1"/>
    <x v="231"/>
    <x v="1"/>
    <x v="1"/>
    <x v="2"/>
    <x v="499"/>
    <x v="1"/>
    <x v="3"/>
    <x v="0"/>
    <x v="1"/>
    <x v="0"/>
    <x v="590"/>
    <x v="0"/>
    <x v="304"/>
  </r>
  <r>
    <x v="1017"/>
    <x v="500"/>
    <x v="492"/>
    <x v="485"/>
    <x v="807"/>
    <x v="1"/>
    <x v="2"/>
    <x v="506"/>
    <x v="10"/>
    <x v="1"/>
    <x v="192"/>
    <x v="0"/>
    <x v="0"/>
    <x v="3"/>
    <x v="1"/>
    <x v="2"/>
    <x v="2"/>
    <x v="2"/>
    <x v="3"/>
    <x v="1"/>
    <x v="1"/>
    <x v="232"/>
    <x v="1"/>
    <x v="3"/>
    <x v="4"/>
    <x v="495"/>
    <x v="1"/>
    <x v="1"/>
    <x v="1"/>
    <x v="1"/>
    <x v="0"/>
    <x v="591"/>
    <x v="0"/>
    <x v="0"/>
  </r>
  <r>
    <x v="1018"/>
    <x v="501"/>
    <x v="493"/>
    <x v="486"/>
    <x v="808"/>
    <x v="1"/>
    <x v="1"/>
    <x v="502"/>
    <x v="257"/>
    <x v="1"/>
    <x v="15"/>
    <x v="0"/>
    <x v="0"/>
    <x v="3"/>
    <x v="1"/>
    <x v="1"/>
    <x v="2"/>
    <x v="1"/>
    <x v="3"/>
    <x v="1"/>
    <x v="2"/>
    <x v="0"/>
    <x v="1"/>
    <x v="3"/>
    <x v="4"/>
    <x v="496"/>
    <x v="1"/>
    <x v="0"/>
    <x v="0"/>
    <x v="1"/>
    <x v="0"/>
    <x v="0"/>
    <x v="0"/>
    <x v="0"/>
  </r>
  <r>
    <x v="1019"/>
    <x v="505"/>
    <x v="497"/>
    <x v="490"/>
    <x v="809"/>
    <x v="1"/>
    <x v="3"/>
    <x v="507"/>
    <x v="371"/>
    <x v="1"/>
    <x v="22"/>
    <x v="0"/>
    <x v="0"/>
    <x v="1"/>
    <x v="1"/>
    <x v="1"/>
    <x v="1"/>
    <x v="1"/>
    <x v="2"/>
    <x v="1"/>
    <x v="1"/>
    <x v="232"/>
    <x v="1"/>
    <x v="5"/>
    <x v="2"/>
    <x v="500"/>
    <x v="12"/>
    <x v="1"/>
    <x v="1"/>
    <x v="2"/>
    <x v="1"/>
    <x v="592"/>
    <x v="0"/>
    <x v="0"/>
  </r>
  <r>
    <x v="1020"/>
    <x v="506"/>
    <x v="243"/>
    <x v="236"/>
    <x v="810"/>
    <x v="1"/>
    <x v="2"/>
    <x v="256"/>
    <x v="372"/>
    <x v="1"/>
    <x v="15"/>
    <x v="0"/>
    <x v="0"/>
    <x v="1"/>
    <x v="3"/>
    <x v="3"/>
    <x v="2"/>
    <x v="1"/>
    <x v="2"/>
    <x v="1"/>
    <x v="1"/>
    <x v="232"/>
    <x v="1"/>
    <x v="1"/>
    <x v="2"/>
    <x v="240"/>
    <x v="1"/>
    <x v="1"/>
    <x v="4"/>
    <x v="2"/>
    <x v="1"/>
    <x v="593"/>
    <x v="0"/>
    <x v="0"/>
  </r>
  <r>
    <x v="1021"/>
    <x v="507"/>
    <x v="498"/>
    <x v="491"/>
    <x v="811"/>
    <x v="1"/>
    <x v="1"/>
    <x v="132"/>
    <x v="373"/>
    <x v="1"/>
    <x v="36"/>
    <x v="0"/>
    <x v="0"/>
    <x v="1"/>
    <x v="3"/>
    <x v="2"/>
    <x v="1"/>
    <x v="1"/>
    <x v="2"/>
    <x v="1"/>
    <x v="1"/>
    <x v="232"/>
    <x v="1"/>
    <x v="1"/>
    <x v="2"/>
    <x v="501"/>
    <x v="3"/>
    <x v="1"/>
    <x v="1"/>
    <x v="1"/>
    <x v="0"/>
    <x v="594"/>
    <x v="0"/>
    <x v="305"/>
  </r>
  <r>
    <x v="1022"/>
    <x v="500"/>
    <x v="492"/>
    <x v="485"/>
    <x v="0"/>
    <x v="1"/>
    <x v="2"/>
    <x v="501"/>
    <x v="10"/>
    <x v="10"/>
    <x v="0"/>
    <x v="0"/>
    <x v="0"/>
    <x v="3"/>
    <x v="1"/>
    <x v="1"/>
    <x v="1"/>
    <x v="1"/>
    <x v="3"/>
    <x v="1"/>
    <x v="1"/>
    <x v="233"/>
    <x v="2"/>
    <x v="3"/>
    <x v="4"/>
    <x v="495"/>
    <x v="5"/>
    <x v="1"/>
    <x v="1"/>
    <x v="1"/>
    <x v="0"/>
    <x v="595"/>
    <x v="0"/>
    <x v="306"/>
  </r>
  <r>
    <x v="1023"/>
    <x v="505"/>
    <x v="497"/>
    <x v="490"/>
    <x v="812"/>
    <x v="1"/>
    <x v="3"/>
    <x v="507"/>
    <x v="371"/>
    <x v="1"/>
    <x v="22"/>
    <x v="0"/>
    <x v="0"/>
    <x v="3"/>
    <x v="1"/>
    <x v="1"/>
    <x v="2"/>
    <x v="1"/>
    <x v="2"/>
    <x v="1"/>
    <x v="1"/>
    <x v="234"/>
    <x v="1"/>
    <x v="3"/>
    <x v="4"/>
    <x v="500"/>
    <x v="5"/>
    <x v="1"/>
    <x v="7"/>
    <x v="2"/>
    <x v="1"/>
    <x v="596"/>
    <x v="0"/>
    <x v="0"/>
  </r>
  <r>
    <x v="1024"/>
    <x v="506"/>
    <x v="243"/>
    <x v="236"/>
    <x v="813"/>
    <x v="1"/>
    <x v="2"/>
    <x v="256"/>
    <x v="372"/>
    <x v="1"/>
    <x v="15"/>
    <x v="0"/>
    <x v="0"/>
    <x v="3"/>
    <x v="1"/>
    <x v="1"/>
    <x v="2"/>
    <x v="2"/>
    <x v="2"/>
    <x v="1"/>
    <x v="2"/>
    <x v="0"/>
    <x v="1"/>
    <x v="3"/>
    <x v="4"/>
    <x v="240"/>
    <x v="1"/>
    <x v="0"/>
    <x v="0"/>
    <x v="1"/>
    <x v="0"/>
    <x v="0"/>
    <x v="0"/>
    <x v="0"/>
  </r>
  <r>
    <x v="1025"/>
    <x v="200"/>
    <x v="499"/>
    <x v="196"/>
    <x v="814"/>
    <x v="1"/>
    <x v="2"/>
    <x v="209"/>
    <x v="374"/>
    <x v="1"/>
    <x v="2"/>
    <x v="0"/>
    <x v="0"/>
    <x v="1"/>
    <x v="2"/>
    <x v="3"/>
    <x v="2"/>
    <x v="1"/>
    <x v="2"/>
    <x v="1"/>
    <x v="1"/>
    <x v="235"/>
    <x v="1"/>
    <x v="1"/>
    <x v="2"/>
    <x v="473"/>
    <x v="5"/>
    <x v="1"/>
    <x v="1"/>
    <x v="2"/>
    <x v="1"/>
    <x v="597"/>
    <x v="291"/>
    <x v="307"/>
  </r>
  <r>
    <x v="1026"/>
    <x v="507"/>
    <x v="498"/>
    <x v="491"/>
    <x v="0"/>
    <x v="1"/>
    <x v="1"/>
    <x v="132"/>
    <x v="212"/>
    <x v="1"/>
    <x v="36"/>
    <x v="0"/>
    <x v="0"/>
    <x v="3"/>
    <x v="1"/>
    <x v="1"/>
    <x v="2"/>
    <x v="1"/>
    <x v="2"/>
    <x v="1"/>
    <x v="2"/>
    <x v="0"/>
    <x v="2"/>
    <x v="3"/>
    <x v="4"/>
    <x v="501"/>
    <x v="5"/>
    <x v="0"/>
    <x v="0"/>
    <x v="1"/>
    <x v="0"/>
    <x v="0"/>
    <x v="0"/>
    <x v="0"/>
  </r>
  <r>
    <x v="1027"/>
    <x v="508"/>
    <x v="500"/>
    <x v="492"/>
    <x v="815"/>
    <x v="1"/>
    <x v="2"/>
    <x v="508"/>
    <x v="80"/>
    <x v="1"/>
    <x v="193"/>
    <x v="0"/>
    <x v="0"/>
    <x v="1"/>
    <x v="1"/>
    <x v="1"/>
    <x v="2"/>
    <x v="1"/>
    <x v="2"/>
    <x v="1"/>
    <x v="2"/>
    <x v="0"/>
    <x v="1"/>
    <x v="1"/>
    <x v="2"/>
    <x v="502"/>
    <x v="5"/>
    <x v="0"/>
    <x v="0"/>
    <x v="1"/>
    <x v="0"/>
    <x v="0"/>
    <x v="0"/>
    <x v="0"/>
  </r>
  <r>
    <x v="1028"/>
    <x v="509"/>
    <x v="501"/>
    <x v="493"/>
    <x v="816"/>
    <x v="1"/>
    <x v="3"/>
    <x v="509"/>
    <x v="375"/>
    <x v="1"/>
    <x v="3"/>
    <x v="0"/>
    <x v="0"/>
    <x v="1"/>
    <x v="1"/>
    <x v="2"/>
    <x v="1"/>
    <x v="1"/>
    <x v="2"/>
    <x v="1"/>
    <x v="1"/>
    <x v="236"/>
    <x v="1"/>
    <x v="1"/>
    <x v="2"/>
    <x v="503"/>
    <x v="5"/>
    <x v="1"/>
    <x v="7"/>
    <x v="2"/>
    <x v="1"/>
    <x v="0"/>
    <x v="0"/>
    <x v="308"/>
  </r>
  <r>
    <x v="1029"/>
    <x v="483"/>
    <x v="477"/>
    <x v="471"/>
    <x v="817"/>
    <x v="3"/>
    <x v="2"/>
    <x v="486"/>
    <x v="150"/>
    <x v="1"/>
    <x v="15"/>
    <x v="0"/>
    <x v="0"/>
    <x v="1"/>
    <x v="3"/>
    <x v="3"/>
    <x v="2"/>
    <x v="1"/>
    <x v="3"/>
    <x v="1"/>
    <x v="1"/>
    <x v="236"/>
    <x v="1"/>
    <x v="1"/>
    <x v="2"/>
    <x v="480"/>
    <x v="13"/>
    <x v="3"/>
    <x v="0"/>
    <x v="1"/>
    <x v="0"/>
    <x v="598"/>
    <x v="292"/>
    <x v="0"/>
  </r>
  <r>
    <x v="1030"/>
    <x v="200"/>
    <x v="499"/>
    <x v="196"/>
    <x v="818"/>
    <x v="1"/>
    <x v="2"/>
    <x v="209"/>
    <x v="374"/>
    <x v="1"/>
    <x v="2"/>
    <x v="0"/>
    <x v="0"/>
    <x v="3"/>
    <x v="3"/>
    <x v="2"/>
    <x v="2"/>
    <x v="1"/>
    <x v="2"/>
    <x v="1"/>
    <x v="1"/>
    <x v="236"/>
    <x v="2"/>
    <x v="3"/>
    <x v="4"/>
    <x v="473"/>
    <x v="5"/>
    <x v="1"/>
    <x v="4"/>
    <x v="1"/>
    <x v="0"/>
    <x v="599"/>
    <x v="293"/>
    <x v="293"/>
  </r>
  <r>
    <x v="1031"/>
    <x v="510"/>
    <x v="502"/>
    <x v="494"/>
    <x v="819"/>
    <x v="1"/>
    <x v="2"/>
    <x v="510"/>
    <x v="281"/>
    <x v="1"/>
    <x v="36"/>
    <x v="0"/>
    <x v="0"/>
    <x v="1"/>
    <x v="1"/>
    <x v="1"/>
    <x v="2"/>
    <x v="1"/>
    <x v="3"/>
    <x v="1"/>
    <x v="1"/>
    <x v="237"/>
    <x v="1"/>
    <x v="1"/>
    <x v="1"/>
    <x v="504"/>
    <x v="1"/>
    <x v="1"/>
    <x v="4"/>
    <x v="1"/>
    <x v="0"/>
    <x v="600"/>
    <x v="0"/>
    <x v="0"/>
  </r>
  <r>
    <x v="1032"/>
    <x v="511"/>
    <x v="503"/>
    <x v="495"/>
    <x v="820"/>
    <x v="1"/>
    <x v="2"/>
    <x v="511"/>
    <x v="222"/>
    <x v="1"/>
    <x v="3"/>
    <x v="0"/>
    <x v="0"/>
    <x v="1"/>
    <x v="1"/>
    <x v="1"/>
    <x v="2"/>
    <x v="1"/>
    <x v="1"/>
    <x v="1"/>
    <x v="2"/>
    <x v="0"/>
    <x v="1"/>
    <x v="1"/>
    <x v="2"/>
    <x v="505"/>
    <x v="12"/>
    <x v="0"/>
    <x v="0"/>
    <x v="1"/>
    <x v="0"/>
    <x v="0"/>
    <x v="0"/>
    <x v="0"/>
  </r>
  <r>
    <x v="1033"/>
    <x v="464"/>
    <x v="460"/>
    <x v="454"/>
    <x v="821"/>
    <x v="1"/>
    <x v="2"/>
    <x v="469"/>
    <x v="376"/>
    <x v="1"/>
    <x v="31"/>
    <x v="0"/>
    <x v="0"/>
    <x v="1"/>
    <x v="3"/>
    <x v="2"/>
    <x v="2"/>
    <x v="1"/>
    <x v="2"/>
    <x v="1"/>
    <x v="1"/>
    <x v="238"/>
    <x v="1"/>
    <x v="1"/>
    <x v="2"/>
    <x v="462"/>
    <x v="1"/>
    <x v="3"/>
    <x v="0"/>
    <x v="1"/>
    <x v="0"/>
    <x v="601"/>
    <x v="294"/>
    <x v="0"/>
  </r>
  <r>
    <x v="1034"/>
    <x v="512"/>
    <x v="504"/>
    <x v="496"/>
    <x v="822"/>
    <x v="1"/>
    <x v="4"/>
    <x v="512"/>
    <x v="377"/>
    <x v="1"/>
    <x v="194"/>
    <x v="0"/>
    <x v="0"/>
    <x v="1"/>
    <x v="1"/>
    <x v="1"/>
    <x v="2"/>
    <x v="1"/>
    <x v="2"/>
    <x v="1"/>
    <x v="2"/>
    <x v="0"/>
    <x v="1"/>
    <x v="1"/>
    <x v="2"/>
    <x v="506"/>
    <x v="12"/>
    <x v="0"/>
    <x v="0"/>
    <x v="1"/>
    <x v="0"/>
    <x v="0"/>
    <x v="0"/>
    <x v="0"/>
  </r>
  <r>
    <x v="1035"/>
    <x v="200"/>
    <x v="499"/>
    <x v="196"/>
    <x v="0"/>
    <x v="1"/>
    <x v="2"/>
    <x v="209"/>
    <x v="374"/>
    <x v="1"/>
    <x v="2"/>
    <x v="0"/>
    <x v="0"/>
    <x v="3"/>
    <x v="3"/>
    <x v="2"/>
    <x v="2"/>
    <x v="1"/>
    <x v="2"/>
    <x v="1"/>
    <x v="1"/>
    <x v="238"/>
    <x v="2"/>
    <x v="3"/>
    <x v="4"/>
    <x v="473"/>
    <x v="1"/>
    <x v="3"/>
    <x v="0"/>
    <x v="1"/>
    <x v="0"/>
    <x v="602"/>
    <x v="0"/>
    <x v="293"/>
  </r>
  <r>
    <x v="1036"/>
    <x v="509"/>
    <x v="501"/>
    <x v="493"/>
    <x v="823"/>
    <x v="1"/>
    <x v="3"/>
    <x v="513"/>
    <x v="375"/>
    <x v="1"/>
    <x v="1"/>
    <x v="0"/>
    <x v="0"/>
    <x v="3"/>
    <x v="3"/>
    <x v="3"/>
    <x v="1"/>
    <x v="1"/>
    <x v="1"/>
    <x v="1"/>
    <x v="1"/>
    <x v="238"/>
    <x v="1"/>
    <x v="3"/>
    <x v="4"/>
    <x v="503"/>
    <x v="12"/>
    <x v="1"/>
    <x v="4"/>
    <x v="2"/>
    <x v="1"/>
    <x v="603"/>
    <x v="0"/>
    <x v="309"/>
  </r>
  <r>
    <x v="1037"/>
    <x v="513"/>
    <x v="505"/>
    <x v="497"/>
    <x v="824"/>
    <x v="3"/>
    <x v="2"/>
    <x v="514"/>
    <x v="310"/>
    <x v="1"/>
    <x v="1"/>
    <x v="0"/>
    <x v="0"/>
    <x v="1"/>
    <x v="2"/>
    <x v="3"/>
    <x v="2"/>
    <x v="1"/>
    <x v="2"/>
    <x v="1"/>
    <x v="1"/>
    <x v="238"/>
    <x v="1"/>
    <x v="6"/>
    <x v="2"/>
    <x v="507"/>
    <x v="5"/>
    <x v="1"/>
    <x v="1"/>
    <x v="1"/>
    <x v="0"/>
    <x v="604"/>
    <x v="295"/>
    <x v="194"/>
  </r>
  <r>
    <x v="1038"/>
    <x v="509"/>
    <x v="501"/>
    <x v="493"/>
    <x v="825"/>
    <x v="1"/>
    <x v="3"/>
    <x v="513"/>
    <x v="375"/>
    <x v="1"/>
    <x v="2"/>
    <x v="0"/>
    <x v="0"/>
    <x v="3"/>
    <x v="1"/>
    <x v="1"/>
    <x v="1"/>
    <x v="1"/>
    <x v="1"/>
    <x v="1"/>
    <x v="1"/>
    <x v="238"/>
    <x v="1"/>
    <x v="3"/>
    <x v="4"/>
    <x v="503"/>
    <x v="1"/>
    <x v="1"/>
    <x v="4"/>
    <x v="2"/>
    <x v="1"/>
    <x v="0"/>
    <x v="0"/>
    <x v="0"/>
  </r>
  <r>
    <x v="1039"/>
    <x v="513"/>
    <x v="505"/>
    <x v="497"/>
    <x v="0"/>
    <x v="3"/>
    <x v="2"/>
    <x v="514"/>
    <x v="310"/>
    <x v="1"/>
    <x v="1"/>
    <x v="0"/>
    <x v="0"/>
    <x v="3"/>
    <x v="4"/>
    <x v="1"/>
    <x v="2"/>
    <x v="1"/>
    <x v="2"/>
    <x v="1"/>
    <x v="2"/>
    <x v="0"/>
    <x v="2"/>
    <x v="3"/>
    <x v="4"/>
    <x v="507"/>
    <x v="5"/>
    <x v="0"/>
    <x v="0"/>
    <x v="1"/>
    <x v="0"/>
    <x v="0"/>
    <x v="0"/>
    <x v="0"/>
  </r>
  <r>
    <x v="1040"/>
    <x v="509"/>
    <x v="501"/>
    <x v="493"/>
    <x v="826"/>
    <x v="1"/>
    <x v="3"/>
    <x v="513"/>
    <x v="375"/>
    <x v="1"/>
    <x v="2"/>
    <x v="0"/>
    <x v="0"/>
    <x v="3"/>
    <x v="1"/>
    <x v="1"/>
    <x v="2"/>
    <x v="1"/>
    <x v="1"/>
    <x v="1"/>
    <x v="2"/>
    <x v="0"/>
    <x v="1"/>
    <x v="3"/>
    <x v="4"/>
    <x v="503"/>
    <x v="1"/>
    <x v="0"/>
    <x v="0"/>
    <x v="1"/>
    <x v="0"/>
    <x v="0"/>
    <x v="0"/>
    <x v="0"/>
  </r>
  <r>
    <x v="1041"/>
    <x v="514"/>
    <x v="506"/>
    <x v="498"/>
    <x v="827"/>
    <x v="1"/>
    <x v="1"/>
    <x v="515"/>
    <x v="378"/>
    <x v="1"/>
    <x v="9"/>
    <x v="0"/>
    <x v="0"/>
    <x v="1"/>
    <x v="3"/>
    <x v="3"/>
    <x v="2"/>
    <x v="1"/>
    <x v="1"/>
    <x v="1"/>
    <x v="1"/>
    <x v="237"/>
    <x v="1"/>
    <x v="6"/>
    <x v="3"/>
    <x v="508"/>
    <x v="1"/>
    <x v="3"/>
    <x v="0"/>
    <x v="2"/>
    <x v="1"/>
    <x v="605"/>
    <x v="296"/>
    <x v="310"/>
  </r>
  <r>
    <x v="1042"/>
    <x v="515"/>
    <x v="507"/>
    <x v="499"/>
    <x v="828"/>
    <x v="1"/>
    <x v="2"/>
    <x v="516"/>
    <x v="10"/>
    <x v="1"/>
    <x v="2"/>
    <x v="0"/>
    <x v="0"/>
    <x v="1"/>
    <x v="1"/>
    <x v="1"/>
    <x v="2"/>
    <x v="2"/>
    <x v="1"/>
    <x v="1"/>
    <x v="1"/>
    <x v="237"/>
    <x v="1"/>
    <x v="6"/>
    <x v="3"/>
    <x v="509"/>
    <x v="1"/>
    <x v="1"/>
    <x v="1"/>
    <x v="1"/>
    <x v="0"/>
    <x v="606"/>
    <x v="0"/>
    <x v="311"/>
  </r>
  <r>
    <x v="1043"/>
    <x v="510"/>
    <x v="502"/>
    <x v="494"/>
    <x v="829"/>
    <x v="1"/>
    <x v="2"/>
    <x v="510"/>
    <x v="281"/>
    <x v="1"/>
    <x v="36"/>
    <x v="0"/>
    <x v="0"/>
    <x v="3"/>
    <x v="1"/>
    <x v="1"/>
    <x v="1"/>
    <x v="1"/>
    <x v="3"/>
    <x v="1"/>
    <x v="2"/>
    <x v="0"/>
    <x v="1"/>
    <x v="3"/>
    <x v="4"/>
    <x v="510"/>
    <x v="1"/>
    <x v="0"/>
    <x v="0"/>
    <x v="1"/>
    <x v="0"/>
    <x v="0"/>
    <x v="0"/>
    <x v="0"/>
  </r>
  <r>
    <x v="1044"/>
    <x v="515"/>
    <x v="507"/>
    <x v="499"/>
    <x v="0"/>
    <x v="1"/>
    <x v="2"/>
    <x v="516"/>
    <x v="10"/>
    <x v="1"/>
    <x v="2"/>
    <x v="0"/>
    <x v="0"/>
    <x v="3"/>
    <x v="1"/>
    <x v="1"/>
    <x v="2"/>
    <x v="1"/>
    <x v="3"/>
    <x v="1"/>
    <x v="2"/>
    <x v="0"/>
    <x v="2"/>
    <x v="3"/>
    <x v="4"/>
    <x v="509"/>
    <x v="5"/>
    <x v="0"/>
    <x v="0"/>
    <x v="1"/>
    <x v="0"/>
    <x v="0"/>
    <x v="0"/>
    <x v="0"/>
  </r>
  <r>
    <x v="1045"/>
    <x v="516"/>
    <x v="508"/>
    <x v="500"/>
    <x v="830"/>
    <x v="1"/>
    <x v="2"/>
    <x v="517"/>
    <x v="55"/>
    <x v="1"/>
    <x v="4"/>
    <x v="0"/>
    <x v="0"/>
    <x v="1"/>
    <x v="1"/>
    <x v="1"/>
    <x v="2"/>
    <x v="1"/>
    <x v="3"/>
    <x v="1"/>
    <x v="1"/>
    <x v="239"/>
    <x v="1"/>
    <x v="1"/>
    <x v="1"/>
    <x v="511"/>
    <x v="1"/>
    <x v="1"/>
    <x v="4"/>
    <x v="2"/>
    <x v="1"/>
    <x v="607"/>
    <x v="0"/>
    <x v="0"/>
  </r>
  <r>
    <x v="1046"/>
    <x v="517"/>
    <x v="509"/>
    <x v="501"/>
    <x v="831"/>
    <x v="1"/>
    <x v="2"/>
    <x v="518"/>
    <x v="379"/>
    <x v="1"/>
    <x v="15"/>
    <x v="0"/>
    <x v="0"/>
    <x v="1"/>
    <x v="3"/>
    <x v="2"/>
    <x v="2"/>
    <x v="1"/>
    <x v="2"/>
    <x v="1"/>
    <x v="1"/>
    <x v="239"/>
    <x v="1"/>
    <x v="1"/>
    <x v="2"/>
    <x v="512"/>
    <x v="3"/>
    <x v="1"/>
    <x v="3"/>
    <x v="2"/>
    <x v="1"/>
    <x v="0"/>
    <x v="0"/>
    <x v="312"/>
  </r>
  <r>
    <x v="1047"/>
    <x v="518"/>
    <x v="510"/>
    <x v="502"/>
    <x v="832"/>
    <x v="1"/>
    <x v="1"/>
    <x v="519"/>
    <x v="356"/>
    <x v="1"/>
    <x v="195"/>
    <x v="0"/>
    <x v="0"/>
    <x v="1"/>
    <x v="1"/>
    <x v="1"/>
    <x v="2"/>
    <x v="1"/>
    <x v="1"/>
    <x v="1"/>
    <x v="2"/>
    <x v="0"/>
    <x v="1"/>
    <x v="1"/>
    <x v="2"/>
    <x v="513"/>
    <x v="3"/>
    <x v="0"/>
    <x v="0"/>
    <x v="1"/>
    <x v="0"/>
    <x v="0"/>
    <x v="0"/>
    <x v="0"/>
  </r>
  <r>
    <x v="1048"/>
    <x v="516"/>
    <x v="508"/>
    <x v="500"/>
    <x v="833"/>
    <x v="1"/>
    <x v="2"/>
    <x v="520"/>
    <x v="55"/>
    <x v="1"/>
    <x v="4"/>
    <x v="0"/>
    <x v="0"/>
    <x v="3"/>
    <x v="3"/>
    <x v="3"/>
    <x v="2"/>
    <x v="1"/>
    <x v="1"/>
    <x v="1"/>
    <x v="1"/>
    <x v="233"/>
    <x v="1"/>
    <x v="3"/>
    <x v="4"/>
    <x v="511"/>
    <x v="1"/>
    <x v="3"/>
    <x v="0"/>
    <x v="1"/>
    <x v="0"/>
    <x v="608"/>
    <x v="297"/>
    <x v="0"/>
  </r>
  <r>
    <x v="1049"/>
    <x v="517"/>
    <x v="509"/>
    <x v="501"/>
    <x v="834"/>
    <x v="1"/>
    <x v="2"/>
    <x v="518"/>
    <x v="379"/>
    <x v="1"/>
    <x v="15"/>
    <x v="0"/>
    <x v="0"/>
    <x v="3"/>
    <x v="1"/>
    <x v="1"/>
    <x v="2"/>
    <x v="1"/>
    <x v="1"/>
    <x v="1"/>
    <x v="2"/>
    <x v="0"/>
    <x v="1"/>
    <x v="3"/>
    <x v="4"/>
    <x v="512"/>
    <x v="3"/>
    <x v="0"/>
    <x v="0"/>
    <x v="1"/>
    <x v="0"/>
    <x v="0"/>
    <x v="0"/>
    <x v="0"/>
  </r>
  <r>
    <x v="1050"/>
    <x v="141"/>
    <x v="141"/>
    <x v="139"/>
    <x v="835"/>
    <x v="1"/>
    <x v="2"/>
    <x v="145"/>
    <x v="10"/>
    <x v="6"/>
    <x v="0"/>
    <x v="0"/>
    <x v="10"/>
    <x v="1"/>
    <x v="1"/>
    <x v="1"/>
    <x v="2"/>
    <x v="1"/>
    <x v="2"/>
    <x v="1"/>
    <x v="1"/>
    <x v="233"/>
    <x v="1"/>
    <x v="5"/>
    <x v="2"/>
    <x v="140"/>
    <x v="3"/>
    <x v="3"/>
    <x v="0"/>
    <x v="1"/>
    <x v="0"/>
    <x v="609"/>
    <x v="298"/>
    <x v="313"/>
  </r>
  <r>
    <x v="1051"/>
    <x v="500"/>
    <x v="492"/>
    <x v="485"/>
    <x v="0"/>
    <x v="1"/>
    <x v="2"/>
    <x v="501"/>
    <x v="10"/>
    <x v="10"/>
    <x v="0"/>
    <x v="0"/>
    <x v="0"/>
    <x v="3"/>
    <x v="1"/>
    <x v="1"/>
    <x v="2"/>
    <x v="1"/>
    <x v="2"/>
    <x v="1"/>
    <x v="2"/>
    <x v="0"/>
    <x v="2"/>
    <x v="3"/>
    <x v="4"/>
    <x v="495"/>
    <x v="5"/>
    <x v="0"/>
    <x v="0"/>
    <x v="1"/>
    <x v="0"/>
    <x v="0"/>
    <x v="0"/>
    <x v="0"/>
  </r>
  <r>
    <x v="1052"/>
    <x v="519"/>
    <x v="511"/>
    <x v="503"/>
    <x v="836"/>
    <x v="1"/>
    <x v="2"/>
    <x v="521"/>
    <x v="245"/>
    <x v="1"/>
    <x v="3"/>
    <x v="0"/>
    <x v="0"/>
    <x v="1"/>
    <x v="3"/>
    <x v="3"/>
    <x v="2"/>
    <x v="2"/>
    <x v="2"/>
    <x v="1"/>
    <x v="1"/>
    <x v="240"/>
    <x v="1"/>
    <x v="1"/>
    <x v="5"/>
    <x v="514"/>
    <x v="5"/>
    <x v="3"/>
    <x v="0"/>
    <x v="1"/>
    <x v="0"/>
    <x v="610"/>
    <x v="299"/>
    <x v="0"/>
  </r>
  <r>
    <x v="1053"/>
    <x v="458"/>
    <x v="454"/>
    <x v="448"/>
    <x v="837"/>
    <x v="1"/>
    <x v="2"/>
    <x v="522"/>
    <x v="356"/>
    <x v="1"/>
    <x v="2"/>
    <x v="0"/>
    <x v="0"/>
    <x v="1"/>
    <x v="3"/>
    <x v="2"/>
    <x v="1"/>
    <x v="1"/>
    <x v="1"/>
    <x v="1"/>
    <x v="1"/>
    <x v="240"/>
    <x v="1"/>
    <x v="1"/>
    <x v="2"/>
    <x v="456"/>
    <x v="1"/>
    <x v="1"/>
    <x v="7"/>
    <x v="2"/>
    <x v="1"/>
    <x v="611"/>
    <x v="0"/>
    <x v="0"/>
  </r>
  <r>
    <x v="1054"/>
    <x v="458"/>
    <x v="454"/>
    <x v="448"/>
    <x v="838"/>
    <x v="1"/>
    <x v="2"/>
    <x v="463"/>
    <x v="356"/>
    <x v="1"/>
    <x v="2"/>
    <x v="0"/>
    <x v="0"/>
    <x v="3"/>
    <x v="1"/>
    <x v="1"/>
    <x v="1"/>
    <x v="1"/>
    <x v="2"/>
    <x v="1"/>
    <x v="2"/>
    <x v="0"/>
    <x v="1"/>
    <x v="3"/>
    <x v="4"/>
    <x v="456"/>
    <x v="12"/>
    <x v="0"/>
    <x v="0"/>
    <x v="1"/>
    <x v="0"/>
    <x v="0"/>
    <x v="0"/>
    <x v="0"/>
  </r>
  <r>
    <x v="1055"/>
    <x v="512"/>
    <x v="504"/>
    <x v="496"/>
    <x v="839"/>
    <x v="1"/>
    <x v="4"/>
    <x v="512"/>
    <x v="377"/>
    <x v="1"/>
    <x v="196"/>
    <x v="0"/>
    <x v="0"/>
    <x v="1"/>
    <x v="1"/>
    <x v="1"/>
    <x v="1"/>
    <x v="1"/>
    <x v="2"/>
    <x v="1"/>
    <x v="2"/>
    <x v="0"/>
    <x v="1"/>
    <x v="2"/>
    <x v="2"/>
    <x v="506"/>
    <x v="12"/>
    <x v="0"/>
    <x v="0"/>
    <x v="1"/>
    <x v="0"/>
    <x v="0"/>
    <x v="0"/>
    <x v="0"/>
  </r>
  <r>
    <x v="1056"/>
    <x v="428"/>
    <x v="425"/>
    <x v="420"/>
    <x v="840"/>
    <x v="3"/>
    <x v="2"/>
    <x v="437"/>
    <x v="324"/>
    <x v="1"/>
    <x v="197"/>
    <x v="0"/>
    <x v="0"/>
    <x v="1"/>
    <x v="1"/>
    <x v="1"/>
    <x v="1"/>
    <x v="2"/>
    <x v="2"/>
    <x v="1"/>
    <x v="2"/>
    <x v="0"/>
    <x v="1"/>
    <x v="1"/>
    <x v="2"/>
    <x v="428"/>
    <x v="12"/>
    <x v="0"/>
    <x v="0"/>
    <x v="1"/>
    <x v="0"/>
    <x v="0"/>
    <x v="0"/>
    <x v="0"/>
  </r>
  <r>
    <x v="1057"/>
    <x v="520"/>
    <x v="512"/>
    <x v="504"/>
    <x v="841"/>
    <x v="1"/>
    <x v="2"/>
    <x v="523"/>
    <x v="380"/>
    <x v="10"/>
    <x v="0"/>
    <x v="0"/>
    <x v="0"/>
    <x v="1"/>
    <x v="1"/>
    <x v="1"/>
    <x v="2"/>
    <x v="2"/>
    <x v="1"/>
    <x v="1"/>
    <x v="1"/>
    <x v="234"/>
    <x v="1"/>
    <x v="1"/>
    <x v="5"/>
    <x v="515"/>
    <x v="1"/>
    <x v="1"/>
    <x v="7"/>
    <x v="2"/>
    <x v="1"/>
    <x v="612"/>
    <x v="0"/>
    <x v="0"/>
  </r>
  <r>
    <x v="1058"/>
    <x v="235"/>
    <x v="234"/>
    <x v="231"/>
    <x v="842"/>
    <x v="1"/>
    <x v="2"/>
    <x v="245"/>
    <x v="200"/>
    <x v="1"/>
    <x v="198"/>
    <x v="0"/>
    <x v="0"/>
    <x v="1"/>
    <x v="1"/>
    <x v="1"/>
    <x v="2"/>
    <x v="1"/>
    <x v="2"/>
    <x v="1"/>
    <x v="2"/>
    <x v="0"/>
    <x v="1"/>
    <x v="1"/>
    <x v="2"/>
    <x v="235"/>
    <x v="12"/>
    <x v="0"/>
    <x v="0"/>
    <x v="1"/>
    <x v="0"/>
    <x v="0"/>
    <x v="0"/>
    <x v="0"/>
  </r>
  <r>
    <x v="1059"/>
    <x v="521"/>
    <x v="513"/>
    <x v="505"/>
    <x v="843"/>
    <x v="1"/>
    <x v="2"/>
    <x v="358"/>
    <x v="10"/>
    <x v="10"/>
    <x v="0"/>
    <x v="0"/>
    <x v="0"/>
    <x v="1"/>
    <x v="3"/>
    <x v="3"/>
    <x v="1"/>
    <x v="1"/>
    <x v="2"/>
    <x v="1"/>
    <x v="1"/>
    <x v="241"/>
    <x v="1"/>
    <x v="5"/>
    <x v="2"/>
    <x v="516"/>
    <x v="12"/>
    <x v="1"/>
    <x v="8"/>
    <x v="1"/>
    <x v="0"/>
    <x v="613"/>
    <x v="0"/>
    <x v="314"/>
  </r>
  <r>
    <x v="1060"/>
    <x v="522"/>
    <x v="514"/>
    <x v="506"/>
    <x v="844"/>
    <x v="3"/>
    <x v="3"/>
    <x v="524"/>
    <x v="381"/>
    <x v="6"/>
    <x v="0"/>
    <x v="0"/>
    <x v="23"/>
    <x v="1"/>
    <x v="1"/>
    <x v="1"/>
    <x v="2"/>
    <x v="1"/>
    <x v="3"/>
    <x v="1"/>
    <x v="2"/>
    <x v="0"/>
    <x v="1"/>
    <x v="5"/>
    <x v="2"/>
    <x v="517"/>
    <x v="12"/>
    <x v="0"/>
    <x v="0"/>
    <x v="1"/>
    <x v="0"/>
    <x v="0"/>
    <x v="0"/>
    <x v="0"/>
  </r>
  <r>
    <x v="1061"/>
    <x v="521"/>
    <x v="513"/>
    <x v="505"/>
    <x v="0"/>
    <x v="1"/>
    <x v="2"/>
    <x v="358"/>
    <x v="10"/>
    <x v="11"/>
    <x v="0"/>
    <x v="0"/>
    <x v="0"/>
    <x v="3"/>
    <x v="1"/>
    <x v="2"/>
    <x v="2"/>
    <x v="1"/>
    <x v="2"/>
    <x v="2"/>
    <x v="2"/>
    <x v="0"/>
    <x v="2"/>
    <x v="3"/>
    <x v="4"/>
    <x v="516"/>
    <x v="8"/>
    <x v="0"/>
    <x v="0"/>
    <x v="1"/>
    <x v="0"/>
    <x v="0"/>
    <x v="0"/>
    <x v="0"/>
  </r>
  <r>
    <x v="1062"/>
    <x v="523"/>
    <x v="515"/>
    <x v="507"/>
    <x v="845"/>
    <x v="1"/>
    <x v="2"/>
    <x v="525"/>
    <x v="299"/>
    <x v="1"/>
    <x v="2"/>
    <x v="0"/>
    <x v="0"/>
    <x v="1"/>
    <x v="3"/>
    <x v="3"/>
    <x v="2"/>
    <x v="1"/>
    <x v="2"/>
    <x v="1"/>
    <x v="1"/>
    <x v="242"/>
    <x v="1"/>
    <x v="6"/>
    <x v="2"/>
    <x v="518"/>
    <x v="8"/>
    <x v="1"/>
    <x v="3"/>
    <x v="2"/>
    <x v="1"/>
    <x v="614"/>
    <x v="0"/>
    <x v="0"/>
  </r>
  <r>
    <x v="1063"/>
    <x v="523"/>
    <x v="515"/>
    <x v="507"/>
    <x v="846"/>
    <x v="1"/>
    <x v="2"/>
    <x v="525"/>
    <x v="299"/>
    <x v="1"/>
    <x v="2"/>
    <x v="0"/>
    <x v="0"/>
    <x v="3"/>
    <x v="4"/>
    <x v="1"/>
    <x v="2"/>
    <x v="1"/>
    <x v="2"/>
    <x v="1"/>
    <x v="2"/>
    <x v="0"/>
    <x v="1"/>
    <x v="3"/>
    <x v="4"/>
    <x v="518"/>
    <x v="3"/>
    <x v="0"/>
    <x v="0"/>
    <x v="1"/>
    <x v="0"/>
    <x v="0"/>
    <x v="0"/>
    <x v="0"/>
  </r>
  <r>
    <x v="1064"/>
    <x v="524"/>
    <x v="516"/>
    <x v="508"/>
    <x v="847"/>
    <x v="1"/>
    <x v="2"/>
    <x v="526"/>
    <x v="371"/>
    <x v="1"/>
    <x v="31"/>
    <x v="0"/>
    <x v="0"/>
    <x v="1"/>
    <x v="3"/>
    <x v="3"/>
    <x v="2"/>
    <x v="1"/>
    <x v="2"/>
    <x v="1"/>
    <x v="1"/>
    <x v="243"/>
    <x v="1"/>
    <x v="1"/>
    <x v="2"/>
    <x v="519"/>
    <x v="5"/>
    <x v="1"/>
    <x v="3"/>
    <x v="2"/>
    <x v="1"/>
    <x v="615"/>
    <x v="0"/>
    <x v="0"/>
  </r>
  <r>
    <x v="1065"/>
    <x v="491"/>
    <x v="484"/>
    <x v="478"/>
    <x v="848"/>
    <x v="1"/>
    <x v="2"/>
    <x v="499"/>
    <x v="367"/>
    <x v="1"/>
    <x v="199"/>
    <x v="0"/>
    <x v="0"/>
    <x v="1"/>
    <x v="1"/>
    <x v="1"/>
    <x v="2"/>
    <x v="1"/>
    <x v="3"/>
    <x v="1"/>
    <x v="2"/>
    <x v="0"/>
    <x v="1"/>
    <x v="1"/>
    <x v="2"/>
    <x v="488"/>
    <x v="3"/>
    <x v="0"/>
    <x v="0"/>
    <x v="1"/>
    <x v="0"/>
    <x v="0"/>
    <x v="0"/>
    <x v="0"/>
  </r>
  <r>
    <x v="1066"/>
    <x v="524"/>
    <x v="516"/>
    <x v="508"/>
    <x v="849"/>
    <x v="1"/>
    <x v="2"/>
    <x v="526"/>
    <x v="371"/>
    <x v="1"/>
    <x v="31"/>
    <x v="0"/>
    <x v="0"/>
    <x v="3"/>
    <x v="2"/>
    <x v="3"/>
    <x v="2"/>
    <x v="1"/>
    <x v="2"/>
    <x v="1"/>
    <x v="2"/>
    <x v="0"/>
    <x v="1"/>
    <x v="3"/>
    <x v="4"/>
    <x v="519"/>
    <x v="3"/>
    <x v="0"/>
    <x v="0"/>
    <x v="1"/>
    <x v="0"/>
    <x v="0"/>
    <x v="0"/>
    <x v="0"/>
  </r>
  <r>
    <x v="1067"/>
    <x v="525"/>
    <x v="517"/>
    <x v="509"/>
    <x v="850"/>
    <x v="1"/>
    <x v="2"/>
    <x v="527"/>
    <x v="360"/>
    <x v="1"/>
    <x v="33"/>
    <x v="0"/>
    <x v="0"/>
    <x v="1"/>
    <x v="3"/>
    <x v="2"/>
    <x v="2"/>
    <x v="1"/>
    <x v="1"/>
    <x v="1"/>
    <x v="1"/>
    <x v="234"/>
    <x v="1"/>
    <x v="1"/>
    <x v="2"/>
    <x v="520"/>
    <x v="1"/>
    <x v="1"/>
    <x v="4"/>
    <x v="2"/>
    <x v="1"/>
    <x v="616"/>
    <x v="0"/>
    <x v="0"/>
  </r>
  <r>
    <x v="1068"/>
    <x v="526"/>
    <x v="518"/>
    <x v="510"/>
    <x v="851"/>
    <x v="3"/>
    <x v="2"/>
    <x v="528"/>
    <x v="227"/>
    <x v="1"/>
    <x v="22"/>
    <x v="0"/>
    <x v="0"/>
    <x v="1"/>
    <x v="1"/>
    <x v="1"/>
    <x v="2"/>
    <x v="1"/>
    <x v="3"/>
    <x v="1"/>
    <x v="1"/>
    <x v="244"/>
    <x v="1"/>
    <x v="1"/>
    <x v="2"/>
    <x v="521"/>
    <x v="3"/>
    <x v="3"/>
    <x v="0"/>
    <x v="1"/>
    <x v="0"/>
    <x v="617"/>
    <x v="300"/>
    <x v="315"/>
  </r>
  <r>
    <x v="1069"/>
    <x v="200"/>
    <x v="198"/>
    <x v="196"/>
    <x v="852"/>
    <x v="1"/>
    <x v="2"/>
    <x v="209"/>
    <x v="322"/>
    <x v="1"/>
    <x v="200"/>
    <x v="0"/>
    <x v="0"/>
    <x v="1"/>
    <x v="1"/>
    <x v="1"/>
    <x v="2"/>
    <x v="1"/>
    <x v="2"/>
    <x v="1"/>
    <x v="2"/>
    <x v="0"/>
    <x v="1"/>
    <x v="1"/>
    <x v="2"/>
    <x v="473"/>
    <x v="3"/>
    <x v="0"/>
    <x v="0"/>
    <x v="1"/>
    <x v="0"/>
    <x v="0"/>
    <x v="0"/>
    <x v="0"/>
  </r>
  <r>
    <x v="1070"/>
    <x v="527"/>
    <x v="519"/>
    <x v="511"/>
    <x v="853"/>
    <x v="1"/>
    <x v="2"/>
    <x v="529"/>
    <x v="325"/>
    <x v="1"/>
    <x v="201"/>
    <x v="0"/>
    <x v="0"/>
    <x v="1"/>
    <x v="1"/>
    <x v="1"/>
    <x v="1"/>
    <x v="1"/>
    <x v="2"/>
    <x v="1"/>
    <x v="1"/>
    <x v="234"/>
    <x v="1"/>
    <x v="5"/>
    <x v="2"/>
    <x v="522"/>
    <x v="3"/>
    <x v="1"/>
    <x v="7"/>
    <x v="1"/>
    <x v="0"/>
    <x v="618"/>
    <x v="0"/>
    <x v="0"/>
  </r>
  <r>
    <x v="1071"/>
    <x v="499"/>
    <x v="491"/>
    <x v="484"/>
    <x v="854"/>
    <x v="3"/>
    <x v="2"/>
    <x v="500"/>
    <x v="382"/>
    <x v="1"/>
    <x v="33"/>
    <x v="0"/>
    <x v="0"/>
    <x v="1"/>
    <x v="3"/>
    <x v="2"/>
    <x v="2"/>
    <x v="1"/>
    <x v="1"/>
    <x v="1"/>
    <x v="1"/>
    <x v="244"/>
    <x v="1"/>
    <x v="2"/>
    <x v="2"/>
    <x v="494"/>
    <x v="1"/>
    <x v="3"/>
    <x v="0"/>
    <x v="1"/>
    <x v="0"/>
    <x v="619"/>
    <x v="301"/>
    <x v="0"/>
  </r>
  <r>
    <x v="1072"/>
    <x v="505"/>
    <x v="497"/>
    <x v="490"/>
    <x v="855"/>
    <x v="1"/>
    <x v="3"/>
    <x v="507"/>
    <x v="383"/>
    <x v="1"/>
    <x v="22"/>
    <x v="0"/>
    <x v="0"/>
    <x v="3"/>
    <x v="1"/>
    <x v="1"/>
    <x v="1"/>
    <x v="1"/>
    <x v="2"/>
    <x v="1"/>
    <x v="2"/>
    <x v="0"/>
    <x v="1"/>
    <x v="3"/>
    <x v="4"/>
    <x v="500"/>
    <x v="12"/>
    <x v="0"/>
    <x v="0"/>
    <x v="1"/>
    <x v="0"/>
    <x v="0"/>
    <x v="0"/>
    <x v="0"/>
  </r>
  <r>
    <x v="1073"/>
    <x v="525"/>
    <x v="517"/>
    <x v="509"/>
    <x v="856"/>
    <x v="1"/>
    <x v="2"/>
    <x v="527"/>
    <x v="360"/>
    <x v="1"/>
    <x v="33"/>
    <x v="0"/>
    <x v="0"/>
    <x v="3"/>
    <x v="3"/>
    <x v="3"/>
    <x v="2"/>
    <x v="1"/>
    <x v="1"/>
    <x v="1"/>
    <x v="1"/>
    <x v="244"/>
    <x v="1"/>
    <x v="3"/>
    <x v="4"/>
    <x v="520"/>
    <x v="1"/>
    <x v="1"/>
    <x v="4"/>
    <x v="2"/>
    <x v="1"/>
    <x v="620"/>
    <x v="302"/>
    <x v="0"/>
  </r>
  <r>
    <x v="1074"/>
    <x v="520"/>
    <x v="512"/>
    <x v="504"/>
    <x v="857"/>
    <x v="1"/>
    <x v="2"/>
    <x v="523"/>
    <x v="380"/>
    <x v="1"/>
    <x v="31"/>
    <x v="0"/>
    <x v="0"/>
    <x v="3"/>
    <x v="3"/>
    <x v="3"/>
    <x v="2"/>
    <x v="2"/>
    <x v="2"/>
    <x v="1"/>
    <x v="1"/>
    <x v="245"/>
    <x v="1"/>
    <x v="3"/>
    <x v="4"/>
    <x v="515"/>
    <x v="12"/>
    <x v="1"/>
    <x v="7"/>
    <x v="1"/>
    <x v="0"/>
    <x v="621"/>
    <x v="0"/>
    <x v="168"/>
  </r>
  <r>
    <x v="1075"/>
    <x v="528"/>
    <x v="520"/>
    <x v="512"/>
    <x v="858"/>
    <x v="1"/>
    <x v="2"/>
    <x v="530"/>
    <x v="384"/>
    <x v="6"/>
    <x v="0"/>
    <x v="0"/>
    <x v="24"/>
    <x v="1"/>
    <x v="1"/>
    <x v="1"/>
    <x v="2"/>
    <x v="1"/>
    <x v="3"/>
    <x v="1"/>
    <x v="2"/>
    <x v="0"/>
    <x v="1"/>
    <x v="1"/>
    <x v="2"/>
    <x v="523"/>
    <x v="1"/>
    <x v="0"/>
    <x v="0"/>
    <x v="1"/>
    <x v="0"/>
    <x v="0"/>
    <x v="0"/>
    <x v="0"/>
  </r>
  <r>
    <x v="1076"/>
    <x v="529"/>
    <x v="521"/>
    <x v="513"/>
    <x v="859"/>
    <x v="1"/>
    <x v="1"/>
    <x v="531"/>
    <x v="10"/>
    <x v="1"/>
    <x v="202"/>
    <x v="0"/>
    <x v="0"/>
    <x v="1"/>
    <x v="1"/>
    <x v="1"/>
    <x v="1"/>
    <x v="1"/>
    <x v="1"/>
    <x v="1"/>
    <x v="1"/>
    <x v="245"/>
    <x v="1"/>
    <x v="1"/>
    <x v="2"/>
    <x v="524"/>
    <x v="1"/>
    <x v="3"/>
    <x v="0"/>
    <x v="1"/>
    <x v="0"/>
    <x v="622"/>
    <x v="303"/>
    <x v="0"/>
  </r>
  <r>
    <x v="1077"/>
    <x v="527"/>
    <x v="519"/>
    <x v="511"/>
    <x v="0"/>
    <x v="1"/>
    <x v="2"/>
    <x v="529"/>
    <x v="325"/>
    <x v="1"/>
    <x v="36"/>
    <x v="0"/>
    <x v="0"/>
    <x v="3"/>
    <x v="4"/>
    <x v="1"/>
    <x v="2"/>
    <x v="1"/>
    <x v="2"/>
    <x v="1"/>
    <x v="2"/>
    <x v="0"/>
    <x v="2"/>
    <x v="3"/>
    <x v="4"/>
    <x v="522"/>
    <x v="12"/>
    <x v="0"/>
    <x v="0"/>
    <x v="1"/>
    <x v="0"/>
    <x v="0"/>
    <x v="0"/>
    <x v="0"/>
  </r>
  <r>
    <x v="1078"/>
    <x v="530"/>
    <x v="522"/>
    <x v="514"/>
    <x v="860"/>
    <x v="1"/>
    <x v="2"/>
    <x v="532"/>
    <x v="171"/>
    <x v="1"/>
    <x v="2"/>
    <x v="0"/>
    <x v="0"/>
    <x v="1"/>
    <x v="1"/>
    <x v="1"/>
    <x v="2"/>
    <x v="1"/>
    <x v="2"/>
    <x v="1"/>
    <x v="1"/>
    <x v="244"/>
    <x v="2"/>
    <x v="2"/>
    <x v="2"/>
    <x v="525"/>
    <x v="3"/>
    <x v="1"/>
    <x v="4"/>
    <x v="1"/>
    <x v="0"/>
    <x v="623"/>
    <x v="0"/>
    <x v="316"/>
  </r>
  <r>
    <x v="1079"/>
    <x v="530"/>
    <x v="522"/>
    <x v="514"/>
    <x v="861"/>
    <x v="1"/>
    <x v="2"/>
    <x v="532"/>
    <x v="171"/>
    <x v="1"/>
    <x v="2"/>
    <x v="0"/>
    <x v="0"/>
    <x v="3"/>
    <x v="1"/>
    <x v="1"/>
    <x v="2"/>
    <x v="1"/>
    <x v="3"/>
    <x v="1"/>
    <x v="1"/>
    <x v="244"/>
    <x v="2"/>
    <x v="3"/>
    <x v="4"/>
    <x v="525"/>
    <x v="1"/>
    <x v="1"/>
    <x v="3"/>
    <x v="1"/>
    <x v="0"/>
    <x v="624"/>
    <x v="0"/>
    <x v="0"/>
  </r>
  <r>
    <x v="1080"/>
    <x v="525"/>
    <x v="517"/>
    <x v="509"/>
    <x v="862"/>
    <x v="1"/>
    <x v="2"/>
    <x v="527"/>
    <x v="360"/>
    <x v="1"/>
    <x v="33"/>
    <x v="0"/>
    <x v="0"/>
    <x v="3"/>
    <x v="1"/>
    <x v="1"/>
    <x v="2"/>
    <x v="1"/>
    <x v="1"/>
    <x v="1"/>
    <x v="2"/>
    <x v="0"/>
    <x v="1"/>
    <x v="3"/>
    <x v="4"/>
    <x v="520"/>
    <x v="1"/>
    <x v="0"/>
    <x v="0"/>
    <x v="1"/>
    <x v="0"/>
    <x v="0"/>
    <x v="0"/>
    <x v="0"/>
  </r>
  <r>
    <x v="1081"/>
    <x v="531"/>
    <x v="523"/>
    <x v="515"/>
    <x v="863"/>
    <x v="3"/>
    <x v="2"/>
    <x v="533"/>
    <x v="385"/>
    <x v="1"/>
    <x v="203"/>
    <x v="0"/>
    <x v="0"/>
    <x v="1"/>
    <x v="2"/>
    <x v="3"/>
    <x v="2"/>
    <x v="1"/>
    <x v="2"/>
    <x v="1"/>
    <x v="1"/>
    <x v="244"/>
    <x v="1"/>
    <x v="1"/>
    <x v="2"/>
    <x v="526"/>
    <x v="6"/>
    <x v="3"/>
    <x v="0"/>
    <x v="1"/>
    <x v="0"/>
    <x v="625"/>
    <x v="304"/>
    <x v="0"/>
  </r>
  <r>
    <x v="1082"/>
    <x v="530"/>
    <x v="522"/>
    <x v="514"/>
    <x v="0"/>
    <x v="1"/>
    <x v="2"/>
    <x v="532"/>
    <x v="171"/>
    <x v="1"/>
    <x v="2"/>
    <x v="0"/>
    <x v="0"/>
    <x v="3"/>
    <x v="3"/>
    <x v="3"/>
    <x v="2"/>
    <x v="1"/>
    <x v="2"/>
    <x v="1"/>
    <x v="1"/>
    <x v="245"/>
    <x v="2"/>
    <x v="3"/>
    <x v="4"/>
    <x v="525"/>
    <x v="3"/>
    <x v="1"/>
    <x v="5"/>
    <x v="1"/>
    <x v="0"/>
    <x v="626"/>
    <x v="0"/>
    <x v="317"/>
  </r>
  <r>
    <x v="1083"/>
    <x v="520"/>
    <x v="512"/>
    <x v="504"/>
    <x v="0"/>
    <x v="1"/>
    <x v="2"/>
    <x v="523"/>
    <x v="386"/>
    <x v="1"/>
    <x v="3"/>
    <x v="0"/>
    <x v="0"/>
    <x v="3"/>
    <x v="3"/>
    <x v="3"/>
    <x v="2"/>
    <x v="2"/>
    <x v="2"/>
    <x v="1"/>
    <x v="1"/>
    <x v="246"/>
    <x v="2"/>
    <x v="3"/>
    <x v="4"/>
    <x v="515"/>
    <x v="12"/>
    <x v="1"/>
    <x v="7"/>
    <x v="1"/>
    <x v="0"/>
    <x v="627"/>
    <x v="0"/>
    <x v="0"/>
  </r>
  <r>
    <x v="1084"/>
    <x v="532"/>
    <x v="524"/>
    <x v="516"/>
    <x v="864"/>
    <x v="1"/>
    <x v="2"/>
    <x v="534"/>
    <x v="196"/>
    <x v="6"/>
    <x v="0"/>
    <x v="0"/>
    <x v="4"/>
    <x v="1"/>
    <x v="1"/>
    <x v="2"/>
    <x v="2"/>
    <x v="1"/>
    <x v="3"/>
    <x v="1"/>
    <x v="2"/>
    <x v="0"/>
    <x v="1"/>
    <x v="1"/>
    <x v="2"/>
    <x v="527"/>
    <x v="1"/>
    <x v="0"/>
    <x v="0"/>
    <x v="1"/>
    <x v="0"/>
    <x v="0"/>
    <x v="0"/>
    <x v="0"/>
  </r>
  <r>
    <x v="1085"/>
    <x v="530"/>
    <x v="522"/>
    <x v="514"/>
    <x v="0"/>
    <x v="1"/>
    <x v="2"/>
    <x v="532"/>
    <x v="171"/>
    <x v="1"/>
    <x v="2"/>
    <x v="0"/>
    <x v="0"/>
    <x v="3"/>
    <x v="1"/>
    <x v="1"/>
    <x v="2"/>
    <x v="1"/>
    <x v="2"/>
    <x v="1"/>
    <x v="2"/>
    <x v="0"/>
    <x v="2"/>
    <x v="3"/>
    <x v="4"/>
    <x v="525"/>
    <x v="2"/>
    <x v="0"/>
    <x v="0"/>
    <x v="1"/>
    <x v="0"/>
    <x v="0"/>
    <x v="0"/>
    <x v="0"/>
  </r>
  <r>
    <x v="1086"/>
    <x v="533"/>
    <x v="525"/>
    <x v="517"/>
    <x v="865"/>
    <x v="1"/>
    <x v="2"/>
    <x v="535"/>
    <x v="387"/>
    <x v="1"/>
    <x v="9"/>
    <x v="0"/>
    <x v="0"/>
    <x v="1"/>
    <x v="1"/>
    <x v="1"/>
    <x v="2"/>
    <x v="1"/>
    <x v="2"/>
    <x v="1"/>
    <x v="2"/>
    <x v="0"/>
    <x v="1"/>
    <x v="6"/>
    <x v="2"/>
    <x v="528"/>
    <x v="12"/>
    <x v="0"/>
    <x v="0"/>
    <x v="1"/>
    <x v="0"/>
    <x v="0"/>
    <x v="0"/>
    <x v="0"/>
  </r>
  <r>
    <x v="1087"/>
    <x v="223"/>
    <x v="222"/>
    <x v="219"/>
    <x v="866"/>
    <x v="1"/>
    <x v="2"/>
    <x v="233"/>
    <x v="377"/>
    <x v="6"/>
    <x v="0"/>
    <x v="0"/>
    <x v="25"/>
    <x v="1"/>
    <x v="1"/>
    <x v="1"/>
    <x v="2"/>
    <x v="1"/>
    <x v="3"/>
    <x v="1"/>
    <x v="2"/>
    <x v="0"/>
    <x v="1"/>
    <x v="4"/>
    <x v="2"/>
    <x v="223"/>
    <x v="12"/>
    <x v="0"/>
    <x v="0"/>
    <x v="1"/>
    <x v="0"/>
    <x v="0"/>
    <x v="0"/>
    <x v="0"/>
  </r>
  <r>
    <x v="1088"/>
    <x v="520"/>
    <x v="512"/>
    <x v="504"/>
    <x v="867"/>
    <x v="1"/>
    <x v="2"/>
    <x v="523"/>
    <x v="380"/>
    <x v="1"/>
    <x v="3"/>
    <x v="0"/>
    <x v="0"/>
    <x v="3"/>
    <x v="1"/>
    <x v="1"/>
    <x v="2"/>
    <x v="2"/>
    <x v="2"/>
    <x v="1"/>
    <x v="2"/>
    <x v="0"/>
    <x v="2"/>
    <x v="3"/>
    <x v="4"/>
    <x v="515"/>
    <x v="12"/>
    <x v="0"/>
    <x v="0"/>
    <x v="1"/>
    <x v="0"/>
    <x v="0"/>
    <x v="0"/>
    <x v="0"/>
  </r>
  <r>
    <x v="1089"/>
    <x v="534"/>
    <x v="526"/>
    <x v="518"/>
    <x v="868"/>
    <x v="1"/>
    <x v="1"/>
    <x v="536"/>
    <x v="388"/>
    <x v="1"/>
    <x v="36"/>
    <x v="0"/>
    <x v="0"/>
    <x v="1"/>
    <x v="1"/>
    <x v="1"/>
    <x v="2"/>
    <x v="1"/>
    <x v="2"/>
    <x v="1"/>
    <x v="2"/>
    <x v="0"/>
    <x v="1"/>
    <x v="6"/>
    <x v="2"/>
    <x v="529"/>
    <x v="12"/>
    <x v="0"/>
    <x v="0"/>
    <x v="1"/>
    <x v="0"/>
    <x v="0"/>
    <x v="0"/>
    <x v="0"/>
  </r>
  <r>
    <x v="1090"/>
    <x v="530"/>
    <x v="522"/>
    <x v="514"/>
    <x v="869"/>
    <x v="1"/>
    <x v="2"/>
    <x v="537"/>
    <x v="171"/>
    <x v="1"/>
    <x v="4"/>
    <x v="0"/>
    <x v="0"/>
    <x v="1"/>
    <x v="3"/>
    <x v="3"/>
    <x v="2"/>
    <x v="1"/>
    <x v="2"/>
    <x v="1"/>
    <x v="1"/>
    <x v="247"/>
    <x v="2"/>
    <x v="6"/>
    <x v="2"/>
    <x v="525"/>
    <x v="1"/>
    <x v="1"/>
    <x v="7"/>
    <x v="1"/>
    <x v="0"/>
    <x v="628"/>
    <x v="305"/>
    <x v="0"/>
  </r>
  <r>
    <x v="1091"/>
    <x v="193"/>
    <x v="191"/>
    <x v="189"/>
    <x v="870"/>
    <x v="1"/>
    <x v="2"/>
    <x v="202"/>
    <x v="165"/>
    <x v="1"/>
    <x v="44"/>
    <x v="0"/>
    <x v="0"/>
    <x v="1"/>
    <x v="1"/>
    <x v="1"/>
    <x v="2"/>
    <x v="1"/>
    <x v="2"/>
    <x v="1"/>
    <x v="1"/>
    <x v="247"/>
    <x v="1"/>
    <x v="1"/>
    <x v="2"/>
    <x v="191"/>
    <x v="3"/>
    <x v="1"/>
    <x v="3"/>
    <x v="1"/>
    <x v="0"/>
    <x v="629"/>
    <x v="306"/>
    <x v="318"/>
  </r>
  <r>
    <x v="1092"/>
    <x v="535"/>
    <x v="527"/>
    <x v="519"/>
    <x v="871"/>
    <x v="1"/>
    <x v="1"/>
    <x v="38"/>
    <x v="280"/>
    <x v="1"/>
    <x v="13"/>
    <x v="0"/>
    <x v="0"/>
    <x v="1"/>
    <x v="1"/>
    <x v="1"/>
    <x v="2"/>
    <x v="1"/>
    <x v="3"/>
    <x v="1"/>
    <x v="1"/>
    <x v="247"/>
    <x v="1"/>
    <x v="1"/>
    <x v="2"/>
    <x v="530"/>
    <x v="1"/>
    <x v="1"/>
    <x v="4"/>
    <x v="2"/>
    <x v="1"/>
    <x v="630"/>
    <x v="0"/>
    <x v="319"/>
  </r>
  <r>
    <x v="1093"/>
    <x v="536"/>
    <x v="528"/>
    <x v="520"/>
    <x v="872"/>
    <x v="1"/>
    <x v="2"/>
    <x v="538"/>
    <x v="203"/>
    <x v="1"/>
    <x v="15"/>
    <x v="0"/>
    <x v="0"/>
    <x v="1"/>
    <x v="1"/>
    <x v="1"/>
    <x v="2"/>
    <x v="1"/>
    <x v="2"/>
    <x v="1"/>
    <x v="1"/>
    <x v="247"/>
    <x v="1"/>
    <x v="1"/>
    <x v="2"/>
    <x v="531"/>
    <x v="12"/>
    <x v="1"/>
    <x v="3"/>
    <x v="1"/>
    <x v="0"/>
    <x v="631"/>
    <x v="0"/>
    <x v="320"/>
  </r>
  <r>
    <x v="1094"/>
    <x v="193"/>
    <x v="191"/>
    <x v="189"/>
    <x v="0"/>
    <x v="1"/>
    <x v="2"/>
    <x v="202"/>
    <x v="165"/>
    <x v="1"/>
    <x v="44"/>
    <x v="0"/>
    <x v="0"/>
    <x v="3"/>
    <x v="1"/>
    <x v="1"/>
    <x v="2"/>
    <x v="1"/>
    <x v="2"/>
    <x v="1"/>
    <x v="2"/>
    <x v="0"/>
    <x v="2"/>
    <x v="3"/>
    <x v="4"/>
    <x v="191"/>
    <x v="3"/>
    <x v="0"/>
    <x v="0"/>
    <x v="1"/>
    <x v="0"/>
    <x v="0"/>
    <x v="0"/>
    <x v="0"/>
  </r>
  <r>
    <x v="1095"/>
    <x v="535"/>
    <x v="527"/>
    <x v="519"/>
    <x v="873"/>
    <x v="1"/>
    <x v="1"/>
    <x v="38"/>
    <x v="280"/>
    <x v="1"/>
    <x v="136"/>
    <x v="0"/>
    <x v="0"/>
    <x v="3"/>
    <x v="1"/>
    <x v="1"/>
    <x v="2"/>
    <x v="1"/>
    <x v="3"/>
    <x v="1"/>
    <x v="2"/>
    <x v="0"/>
    <x v="1"/>
    <x v="3"/>
    <x v="4"/>
    <x v="530"/>
    <x v="1"/>
    <x v="0"/>
    <x v="0"/>
    <x v="1"/>
    <x v="0"/>
    <x v="0"/>
    <x v="0"/>
    <x v="0"/>
  </r>
  <r>
    <x v="1096"/>
    <x v="530"/>
    <x v="522"/>
    <x v="514"/>
    <x v="0"/>
    <x v="1"/>
    <x v="2"/>
    <x v="532"/>
    <x v="171"/>
    <x v="1"/>
    <x v="4"/>
    <x v="0"/>
    <x v="0"/>
    <x v="3"/>
    <x v="1"/>
    <x v="1"/>
    <x v="2"/>
    <x v="1"/>
    <x v="2"/>
    <x v="1"/>
    <x v="2"/>
    <x v="0"/>
    <x v="2"/>
    <x v="3"/>
    <x v="4"/>
    <x v="525"/>
    <x v="12"/>
    <x v="0"/>
    <x v="0"/>
    <x v="1"/>
    <x v="0"/>
    <x v="0"/>
    <x v="0"/>
    <x v="0"/>
  </r>
  <r>
    <x v="1097"/>
    <x v="536"/>
    <x v="528"/>
    <x v="520"/>
    <x v="0"/>
    <x v="1"/>
    <x v="2"/>
    <x v="538"/>
    <x v="203"/>
    <x v="1"/>
    <x v="15"/>
    <x v="0"/>
    <x v="0"/>
    <x v="3"/>
    <x v="1"/>
    <x v="1"/>
    <x v="2"/>
    <x v="1"/>
    <x v="2"/>
    <x v="1"/>
    <x v="2"/>
    <x v="0"/>
    <x v="2"/>
    <x v="3"/>
    <x v="4"/>
    <x v="531"/>
    <x v="3"/>
    <x v="0"/>
    <x v="0"/>
    <x v="1"/>
    <x v="0"/>
    <x v="0"/>
    <x v="0"/>
    <x v="0"/>
  </r>
  <r>
    <x v="1098"/>
    <x v="530"/>
    <x v="522"/>
    <x v="514"/>
    <x v="874"/>
    <x v="1"/>
    <x v="2"/>
    <x v="532"/>
    <x v="171"/>
    <x v="1"/>
    <x v="15"/>
    <x v="0"/>
    <x v="0"/>
    <x v="1"/>
    <x v="1"/>
    <x v="1"/>
    <x v="2"/>
    <x v="1"/>
    <x v="2"/>
    <x v="1"/>
    <x v="1"/>
    <x v="248"/>
    <x v="2"/>
    <x v="5"/>
    <x v="2"/>
    <x v="525"/>
    <x v="3"/>
    <x v="1"/>
    <x v="7"/>
    <x v="1"/>
    <x v="0"/>
    <x v="632"/>
    <x v="0"/>
    <x v="0"/>
  </r>
  <r>
    <x v="1099"/>
    <x v="537"/>
    <x v="529"/>
    <x v="521"/>
    <x v="875"/>
    <x v="3"/>
    <x v="2"/>
    <x v="539"/>
    <x v="389"/>
    <x v="1"/>
    <x v="204"/>
    <x v="0"/>
    <x v="0"/>
    <x v="1"/>
    <x v="1"/>
    <x v="1"/>
    <x v="1"/>
    <x v="1"/>
    <x v="3"/>
    <x v="1"/>
    <x v="2"/>
    <x v="0"/>
    <x v="1"/>
    <x v="5"/>
    <x v="2"/>
    <x v="532"/>
    <x v="3"/>
    <x v="0"/>
    <x v="0"/>
    <x v="1"/>
    <x v="0"/>
    <x v="0"/>
    <x v="0"/>
    <x v="0"/>
  </r>
  <r>
    <x v="1100"/>
    <x v="530"/>
    <x v="522"/>
    <x v="514"/>
    <x v="0"/>
    <x v="1"/>
    <x v="2"/>
    <x v="532"/>
    <x v="171"/>
    <x v="1"/>
    <x v="15"/>
    <x v="0"/>
    <x v="0"/>
    <x v="3"/>
    <x v="1"/>
    <x v="1"/>
    <x v="2"/>
    <x v="1"/>
    <x v="2"/>
    <x v="1"/>
    <x v="2"/>
    <x v="0"/>
    <x v="2"/>
    <x v="3"/>
    <x v="4"/>
    <x v="525"/>
    <x v="12"/>
    <x v="0"/>
    <x v="0"/>
    <x v="1"/>
    <x v="0"/>
    <x v="0"/>
    <x v="0"/>
    <x v="0"/>
  </r>
  <r>
    <x v="1101"/>
    <x v="538"/>
    <x v="530"/>
    <x v="522"/>
    <x v="876"/>
    <x v="3"/>
    <x v="3"/>
    <x v="540"/>
    <x v="343"/>
    <x v="1"/>
    <x v="2"/>
    <x v="0"/>
    <x v="0"/>
    <x v="1"/>
    <x v="2"/>
    <x v="3"/>
    <x v="2"/>
    <x v="1"/>
    <x v="2"/>
    <x v="1"/>
    <x v="1"/>
    <x v="249"/>
    <x v="1"/>
    <x v="1"/>
    <x v="2"/>
    <x v="533"/>
    <x v="5"/>
    <x v="1"/>
    <x v="1"/>
    <x v="2"/>
    <x v="1"/>
    <x v="633"/>
    <x v="307"/>
    <x v="0"/>
  </r>
  <r>
    <x v="1102"/>
    <x v="529"/>
    <x v="521"/>
    <x v="513"/>
    <x v="877"/>
    <x v="1"/>
    <x v="1"/>
    <x v="531"/>
    <x v="10"/>
    <x v="1"/>
    <x v="205"/>
    <x v="0"/>
    <x v="0"/>
    <x v="1"/>
    <x v="1"/>
    <x v="1"/>
    <x v="2"/>
    <x v="1"/>
    <x v="2"/>
    <x v="1"/>
    <x v="2"/>
    <x v="0"/>
    <x v="1"/>
    <x v="1"/>
    <x v="2"/>
    <x v="524"/>
    <x v="4"/>
    <x v="0"/>
    <x v="0"/>
    <x v="1"/>
    <x v="0"/>
    <x v="0"/>
    <x v="0"/>
    <x v="0"/>
  </r>
  <r>
    <x v="1103"/>
    <x v="539"/>
    <x v="531"/>
    <x v="523"/>
    <x v="878"/>
    <x v="1"/>
    <x v="2"/>
    <x v="541"/>
    <x v="390"/>
    <x v="1"/>
    <x v="206"/>
    <x v="0"/>
    <x v="0"/>
    <x v="1"/>
    <x v="1"/>
    <x v="1"/>
    <x v="2"/>
    <x v="2"/>
    <x v="2"/>
    <x v="1"/>
    <x v="2"/>
    <x v="0"/>
    <x v="1"/>
    <x v="1"/>
    <x v="2"/>
    <x v="534"/>
    <x v="12"/>
    <x v="0"/>
    <x v="0"/>
    <x v="1"/>
    <x v="0"/>
    <x v="0"/>
    <x v="0"/>
    <x v="0"/>
  </r>
  <r>
    <x v="1104"/>
    <x v="335"/>
    <x v="335"/>
    <x v="330"/>
    <x v="879"/>
    <x v="1"/>
    <x v="2"/>
    <x v="350"/>
    <x v="269"/>
    <x v="1"/>
    <x v="22"/>
    <x v="0"/>
    <x v="0"/>
    <x v="1"/>
    <x v="1"/>
    <x v="1"/>
    <x v="2"/>
    <x v="1"/>
    <x v="2"/>
    <x v="1"/>
    <x v="2"/>
    <x v="0"/>
    <x v="1"/>
    <x v="5"/>
    <x v="2"/>
    <x v="337"/>
    <x v="12"/>
    <x v="0"/>
    <x v="0"/>
    <x v="1"/>
    <x v="0"/>
    <x v="0"/>
    <x v="0"/>
    <x v="0"/>
  </r>
  <r>
    <x v="1105"/>
    <x v="538"/>
    <x v="530"/>
    <x v="522"/>
    <x v="880"/>
    <x v="3"/>
    <x v="3"/>
    <x v="540"/>
    <x v="391"/>
    <x v="1"/>
    <x v="2"/>
    <x v="0"/>
    <x v="0"/>
    <x v="3"/>
    <x v="3"/>
    <x v="2"/>
    <x v="2"/>
    <x v="1"/>
    <x v="2"/>
    <x v="1"/>
    <x v="1"/>
    <x v="249"/>
    <x v="2"/>
    <x v="3"/>
    <x v="4"/>
    <x v="533"/>
    <x v="5"/>
    <x v="1"/>
    <x v="2"/>
    <x v="2"/>
    <x v="1"/>
    <x v="634"/>
    <x v="0"/>
    <x v="0"/>
  </r>
  <r>
    <x v="1106"/>
    <x v="538"/>
    <x v="530"/>
    <x v="522"/>
    <x v="881"/>
    <x v="3"/>
    <x v="3"/>
    <x v="542"/>
    <x v="392"/>
    <x v="1"/>
    <x v="2"/>
    <x v="0"/>
    <x v="0"/>
    <x v="3"/>
    <x v="1"/>
    <x v="1"/>
    <x v="2"/>
    <x v="1"/>
    <x v="2"/>
    <x v="1"/>
    <x v="1"/>
    <x v="250"/>
    <x v="2"/>
    <x v="3"/>
    <x v="4"/>
    <x v="533"/>
    <x v="4"/>
    <x v="3"/>
    <x v="0"/>
    <x v="1"/>
    <x v="0"/>
    <x v="635"/>
    <x v="0"/>
    <x v="0"/>
  </r>
  <r>
    <x v="1107"/>
    <x v="540"/>
    <x v="532"/>
    <x v="524"/>
    <x v="882"/>
    <x v="1"/>
    <x v="2"/>
    <x v="543"/>
    <x v="393"/>
    <x v="1"/>
    <x v="2"/>
    <x v="0"/>
    <x v="0"/>
    <x v="1"/>
    <x v="1"/>
    <x v="1"/>
    <x v="2"/>
    <x v="1"/>
    <x v="3"/>
    <x v="1"/>
    <x v="1"/>
    <x v="251"/>
    <x v="1"/>
    <x v="5"/>
    <x v="2"/>
    <x v="535"/>
    <x v="5"/>
    <x v="1"/>
    <x v="7"/>
    <x v="2"/>
    <x v="1"/>
    <x v="636"/>
    <x v="0"/>
    <x v="211"/>
  </r>
  <r>
    <x v="1108"/>
    <x v="541"/>
    <x v="533"/>
    <x v="525"/>
    <x v="883"/>
    <x v="1"/>
    <x v="2"/>
    <x v="171"/>
    <x v="394"/>
    <x v="1"/>
    <x v="207"/>
    <x v="0"/>
    <x v="0"/>
    <x v="1"/>
    <x v="1"/>
    <x v="1"/>
    <x v="1"/>
    <x v="2"/>
    <x v="2"/>
    <x v="1"/>
    <x v="2"/>
    <x v="0"/>
    <x v="1"/>
    <x v="6"/>
    <x v="2"/>
    <x v="536"/>
    <x v="12"/>
    <x v="0"/>
    <x v="0"/>
    <x v="1"/>
    <x v="0"/>
    <x v="0"/>
    <x v="0"/>
    <x v="0"/>
  </r>
  <r>
    <x v="1109"/>
    <x v="502"/>
    <x v="494"/>
    <x v="487"/>
    <x v="884"/>
    <x v="2"/>
    <x v="1"/>
    <x v="503"/>
    <x v="369"/>
    <x v="1"/>
    <x v="9"/>
    <x v="0"/>
    <x v="0"/>
    <x v="1"/>
    <x v="1"/>
    <x v="1"/>
    <x v="2"/>
    <x v="2"/>
    <x v="1"/>
    <x v="1"/>
    <x v="2"/>
    <x v="0"/>
    <x v="1"/>
    <x v="6"/>
    <x v="2"/>
    <x v="497"/>
    <x v="12"/>
    <x v="0"/>
    <x v="0"/>
    <x v="1"/>
    <x v="0"/>
    <x v="0"/>
    <x v="0"/>
    <x v="0"/>
  </r>
  <r>
    <x v="1110"/>
    <x v="540"/>
    <x v="532"/>
    <x v="524"/>
    <x v="885"/>
    <x v="1"/>
    <x v="2"/>
    <x v="543"/>
    <x v="393"/>
    <x v="1"/>
    <x v="208"/>
    <x v="0"/>
    <x v="0"/>
    <x v="3"/>
    <x v="1"/>
    <x v="1"/>
    <x v="2"/>
    <x v="1"/>
    <x v="2"/>
    <x v="1"/>
    <x v="2"/>
    <x v="0"/>
    <x v="1"/>
    <x v="3"/>
    <x v="4"/>
    <x v="535"/>
    <x v="12"/>
    <x v="0"/>
    <x v="0"/>
    <x v="1"/>
    <x v="0"/>
    <x v="0"/>
    <x v="0"/>
    <x v="0"/>
  </r>
  <r>
    <x v="1111"/>
    <x v="542"/>
    <x v="534"/>
    <x v="526"/>
    <x v="886"/>
    <x v="1"/>
    <x v="2"/>
    <x v="544"/>
    <x v="171"/>
    <x v="2"/>
    <x v="0"/>
    <x v="2"/>
    <x v="0"/>
    <x v="1"/>
    <x v="1"/>
    <x v="1"/>
    <x v="2"/>
    <x v="1"/>
    <x v="2"/>
    <x v="1"/>
    <x v="1"/>
    <x v="250"/>
    <x v="1"/>
    <x v="6"/>
    <x v="2"/>
    <x v="537"/>
    <x v="5"/>
    <x v="1"/>
    <x v="1"/>
    <x v="1"/>
    <x v="0"/>
    <x v="637"/>
    <x v="0"/>
    <x v="0"/>
  </r>
  <r>
    <x v="1112"/>
    <x v="542"/>
    <x v="534"/>
    <x v="526"/>
    <x v="886"/>
    <x v="1"/>
    <x v="2"/>
    <x v="544"/>
    <x v="171"/>
    <x v="2"/>
    <x v="0"/>
    <x v="2"/>
    <x v="0"/>
    <x v="3"/>
    <x v="2"/>
    <x v="3"/>
    <x v="2"/>
    <x v="1"/>
    <x v="2"/>
    <x v="1"/>
    <x v="1"/>
    <x v="252"/>
    <x v="1"/>
    <x v="3"/>
    <x v="4"/>
    <x v="537"/>
    <x v="5"/>
    <x v="3"/>
    <x v="0"/>
    <x v="1"/>
    <x v="0"/>
    <x v="638"/>
    <x v="308"/>
    <x v="0"/>
  </r>
  <r>
    <x v="1113"/>
    <x v="543"/>
    <x v="535"/>
    <x v="527"/>
    <x v="887"/>
    <x v="3"/>
    <x v="1"/>
    <x v="545"/>
    <x v="395"/>
    <x v="2"/>
    <x v="0"/>
    <x v="6"/>
    <x v="0"/>
    <x v="1"/>
    <x v="2"/>
    <x v="3"/>
    <x v="2"/>
    <x v="1"/>
    <x v="2"/>
    <x v="1"/>
    <x v="1"/>
    <x v="252"/>
    <x v="1"/>
    <x v="6"/>
    <x v="2"/>
    <x v="538"/>
    <x v="5"/>
    <x v="1"/>
    <x v="7"/>
    <x v="1"/>
    <x v="0"/>
    <x v="639"/>
    <x v="309"/>
    <x v="0"/>
  </r>
  <r>
    <x v="1114"/>
    <x v="530"/>
    <x v="522"/>
    <x v="514"/>
    <x v="888"/>
    <x v="1"/>
    <x v="2"/>
    <x v="532"/>
    <x v="171"/>
    <x v="2"/>
    <x v="0"/>
    <x v="2"/>
    <x v="0"/>
    <x v="1"/>
    <x v="1"/>
    <x v="1"/>
    <x v="2"/>
    <x v="1"/>
    <x v="2"/>
    <x v="1"/>
    <x v="1"/>
    <x v="252"/>
    <x v="2"/>
    <x v="6"/>
    <x v="2"/>
    <x v="525"/>
    <x v="5"/>
    <x v="1"/>
    <x v="7"/>
    <x v="1"/>
    <x v="0"/>
    <x v="640"/>
    <x v="0"/>
    <x v="0"/>
  </r>
  <r>
    <x v="1115"/>
    <x v="544"/>
    <x v="536"/>
    <x v="528"/>
    <x v="889"/>
    <x v="3"/>
    <x v="2"/>
    <x v="546"/>
    <x v="10"/>
    <x v="1"/>
    <x v="4"/>
    <x v="0"/>
    <x v="0"/>
    <x v="1"/>
    <x v="3"/>
    <x v="3"/>
    <x v="2"/>
    <x v="1"/>
    <x v="2"/>
    <x v="1"/>
    <x v="1"/>
    <x v="252"/>
    <x v="1"/>
    <x v="6"/>
    <x v="2"/>
    <x v="539"/>
    <x v="5"/>
    <x v="1"/>
    <x v="7"/>
    <x v="1"/>
    <x v="0"/>
    <x v="641"/>
    <x v="0"/>
    <x v="0"/>
  </r>
  <r>
    <x v="1116"/>
    <x v="530"/>
    <x v="522"/>
    <x v="514"/>
    <x v="0"/>
    <x v="1"/>
    <x v="2"/>
    <x v="532"/>
    <x v="171"/>
    <x v="1"/>
    <x v="15"/>
    <x v="0"/>
    <x v="0"/>
    <x v="3"/>
    <x v="1"/>
    <x v="1"/>
    <x v="2"/>
    <x v="1"/>
    <x v="2"/>
    <x v="1"/>
    <x v="2"/>
    <x v="0"/>
    <x v="2"/>
    <x v="3"/>
    <x v="4"/>
    <x v="525"/>
    <x v="12"/>
    <x v="0"/>
    <x v="0"/>
    <x v="1"/>
    <x v="0"/>
    <x v="0"/>
    <x v="0"/>
    <x v="0"/>
  </r>
  <r>
    <x v="1117"/>
    <x v="303"/>
    <x v="304"/>
    <x v="529"/>
    <x v="890"/>
    <x v="1"/>
    <x v="2"/>
    <x v="317"/>
    <x v="396"/>
    <x v="1"/>
    <x v="209"/>
    <x v="0"/>
    <x v="0"/>
    <x v="1"/>
    <x v="1"/>
    <x v="1"/>
    <x v="2"/>
    <x v="1"/>
    <x v="2"/>
    <x v="1"/>
    <x v="2"/>
    <x v="0"/>
    <x v="1"/>
    <x v="6"/>
    <x v="2"/>
    <x v="540"/>
    <x v="12"/>
    <x v="0"/>
    <x v="0"/>
    <x v="1"/>
    <x v="0"/>
    <x v="0"/>
    <x v="0"/>
    <x v="0"/>
  </r>
  <r>
    <x v="1118"/>
    <x v="545"/>
    <x v="537"/>
    <x v="530"/>
    <x v="891"/>
    <x v="1"/>
    <x v="2"/>
    <x v="504"/>
    <x v="379"/>
    <x v="1"/>
    <x v="15"/>
    <x v="0"/>
    <x v="0"/>
    <x v="1"/>
    <x v="3"/>
    <x v="3"/>
    <x v="1"/>
    <x v="2"/>
    <x v="1"/>
    <x v="1"/>
    <x v="1"/>
    <x v="253"/>
    <x v="1"/>
    <x v="6"/>
    <x v="2"/>
    <x v="541"/>
    <x v="12"/>
    <x v="3"/>
    <x v="0"/>
    <x v="1"/>
    <x v="0"/>
    <x v="642"/>
    <x v="0"/>
    <x v="321"/>
  </r>
  <r>
    <x v="1119"/>
    <x v="546"/>
    <x v="538"/>
    <x v="531"/>
    <x v="892"/>
    <x v="1"/>
    <x v="1"/>
    <x v="547"/>
    <x v="397"/>
    <x v="1"/>
    <x v="210"/>
    <x v="0"/>
    <x v="0"/>
    <x v="1"/>
    <x v="3"/>
    <x v="3"/>
    <x v="2"/>
    <x v="2"/>
    <x v="2"/>
    <x v="1"/>
    <x v="1"/>
    <x v="253"/>
    <x v="1"/>
    <x v="6"/>
    <x v="2"/>
    <x v="542"/>
    <x v="12"/>
    <x v="1"/>
    <x v="1"/>
    <x v="2"/>
    <x v="1"/>
    <x v="643"/>
    <x v="0"/>
    <x v="322"/>
  </r>
  <r>
    <x v="1120"/>
    <x v="547"/>
    <x v="539"/>
    <x v="532"/>
    <x v="893"/>
    <x v="3"/>
    <x v="2"/>
    <x v="548"/>
    <x v="346"/>
    <x v="1"/>
    <x v="211"/>
    <x v="0"/>
    <x v="0"/>
    <x v="1"/>
    <x v="3"/>
    <x v="4"/>
    <x v="2"/>
    <x v="1"/>
    <x v="2"/>
    <x v="1"/>
    <x v="1"/>
    <x v="253"/>
    <x v="1"/>
    <x v="6"/>
    <x v="2"/>
    <x v="543"/>
    <x v="12"/>
    <x v="3"/>
    <x v="0"/>
    <x v="1"/>
    <x v="0"/>
    <x v="644"/>
    <x v="0"/>
    <x v="323"/>
  </r>
  <r>
    <x v="1121"/>
    <x v="544"/>
    <x v="536"/>
    <x v="528"/>
    <x v="894"/>
    <x v="3"/>
    <x v="2"/>
    <x v="546"/>
    <x v="165"/>
    <x v="1"/>
    <x v="4"/>
    <x v="0"/>
    <x v="0"/>
    <x v="3"/>
    <x v="1"/>
    <x v="1"/>
    <x v="2"/>
    <x v="1"/>
    <x v="2"/>
    <x v="1"/>
    <x v="2"/>
    <x v="0"/>
    <x v="2"/>
    <x v="3"/>
    <x v="4"/>
    <x v="539"/>
    <x v="12"/>
    <x v="0"/>
    <x v="0"/>
    <x v="1"/>
    <x v="0"/>
    <x v="0"/>
    <x v="0"/>
    <x v="0"/>
  </r>
  <r>
    <x v="1122"/>
    <x v="543"/>
    <x v="535"/>
    <x v="527"/>
    <x v="0"/>
    <x v="3"/>
    <x v="1"/>
    <x v="545"/>
    <x v="395"/>
    <x v="1"/>
    <x v="15"/>
    <x v="0"/>
    <x v="0"/>
    <x v="3"/>
    <x v="1"/>
    <x v="1"/>
    <x v="2"/>
    <x v="1"/>
    <x v="2"/>
    <x v="1"/>
    <x v="2"/>
    <x v="0"/>
    <x v="2"/>
    <x v="3"/>
    <x v="4"/>
    <x v="538"/>
    <x v="12"/>
    <x v="0"/>
    <x v="0"/>
    <x v="1"/>
    <x v="0"/>
    <x v="0"/>
    <x v="0"/>
    <x v="0"/>
  </r>
  <r>
    <x v="1123"/>
    <x v="548"/>
    <x v="540"/>
    <x v="533"/>
    <x v="895"/>
    <x v="3"/>
    <x v="2"/>
    <x v="549"/>
    <x v="206"/>
    <x v="2"/>
    <x v="0"/>
    <x v="5"/>
    <x v="0"/>
    <x v="1"/>
    <x v="2"/>
    <x v="3"/>
    <x v="2"/>
    <x v="1"/>
    <x v="2"/>
    <x v="1"/>
    <x v="1"/>
    <x v="254"/>
    <x v="1"/>
    <x v="6"/>
    <x v="2"/>
    <x v="544"/>
    <x v="5"/>
    <x v="1"/>
    <x v="1"/>
    <x v="1"/>
    <x v="0"/>
    <x v="645"/>
    <x v="0"/>
    <x v="0"/>
  </r>
  <r>
    <x v="1124"/>
    <x v="546"/>
    <x v="538"/>
    <x v="531"/>
    <x v="896"/>
    <x v="1"/>
    <x v="1"/>
    <x v="547"/>
    <x v="397"/>
    <x v="1"/>
    <x v="212"/>
    <x v="0"/>
    <x v="0"/>
    <x v="3"/>
    <x v="1"/>
    <x v="1"/>
    <x v="2"/>
    <x v="1"/>
    <x v="2"/>
    <x v="1"/>
    <x v="2"/>
    <x v="0"/>
    <x v="1"/>
    <x v="3"/>
    <x v="4"/>
    <x v="542"/>
    <x v="5"/>
    <x v="0"/>
    <x v="0"/>
    <x v="1"/>
    <x v="0"/>
    <x v="0"/>
    <x v="0"/>
    <x v="0"/>
  </r>
  <r>
    <x v="1125"/>
    <x v="549"/>
    <x v="541"/>
    <x v="534"/>
    <x v="897"/>
    <x v="1"/>
    <x v="2"/>
    <x v="550"/>
    <x v="398"/>
    <x v="1"/>
    <x v="9"/>
    <x v="0"/>
    <x v="0"/>
    <x v="1"/>
    <x v="1"/>
    <x v="1"/>
    <x v="2"/>
    <x v="1"/>
    <x v="2"/>
    <x v="1"/>
    <x v="1"/>
    <x v="254"/>
    <x v="1"/>
    <x v="6"/>
    <x v="2"/>
    <x v="545"/>
    <x v="5"/>
    <x v="1"/>
    <x v="1"/>
    <x v="1"/>
    <x v="0"/>
    <x v="646"/>
    <x v="0"/>
    <x v="194"/>
  </r>
  <r>
    <x v="1126"/>
    <x v="548"/>
    <x v="540"/>
    <x v="533"/>
    <x v="0"/>
    <x v="3"/>
    <x v="2"/>
    <x v="549"/>
    <x v="206"/>
    <x v="2"/>
    <x v="0"/>
    <x v="5"/>
    <x v="0"/>
    <x v="3"/>
    <x v="4"/>
    <x v="1"/>
    <x v="2"/>
    <x v="1"/>
    <x v="2"/>
    <x v="1"/>
    <x v="2"/>
    <x v="0"/>
    <x v="2"/>
    <x v="3"/>
    <x v="4"/>
    <x v="544"/>
    <x v="5"/>
    <x v="0"/>
    <x v="0"/>
    <x v="1"/>
    <x v="0"/>
    <x v="0"/>
    <x v="0"/>
    <x v="0"/>
  </r>
  <r>
    <x v="1127"/>
    <x v="550"/>
    <x v="542"/>
    <x v="535"/>
    <x v="898"/>
    <x v="1"/>
    <x v="1"/>
    <x v="551"/>
    <x v="280"/>
    <x v="1"/>
    <x v="8"/>
    <x v="0"/>
    <x v="0"/>
    <x v="1"/>
    <x v="1"/>
    <x v="1"/>
    <x v="2"/>
    <x v="1"/>
    <x v="2"/>
    <x v="1"/>
    <x v="1"/>
    <x v="255"/>
    <x v="1"/>
    <x v="6"/>
    <x v="2"/>
    <x v="546"/>
    <x v="5"/>
    <x v="3"/>
    <x v="0"/>
    <x v="1"/>
    <x v="0"/>
    <x v="647"/>
    <x v="0"/>
    <x v="211"/>
  </r>
  <r>
    <x v="1128"/>
    <x v="549"/>
    <x v="541"/>
    <x v="534"/>
    <x v="899"/>
    <x v="1"/>
    <x v="2"/>
    <x v="550"/>
    <x v="398"/>
    <x v="1"/>
    <x v="9"/>
    <x v="0"/>
    <x v="0"/>
    <x v="3"/>
    <x v="1"/>
    <x v="1"/>
    <x v="2"/>
    <x v="1"/>
    <x v="2"/>
    <x v="1"/>
    <x v="2"/>
    <x v="0"/>
    <x v="2"/>
    <x v="3"/>
    <x v="4"/>
    <x v="545"/>
    <x v="5"/>
    <x v="0"/>
    <x v="0"/>
    <x v="1"/>
    <x v="0"/>
    <x v="0"/>
    <x v="0"/>
    <x v="0"/>
  </r>
  <r>
    <x v="1129"/>
    <x v="551"/>
    <x v="543"/>
    <x v="536"/>
    <x v="900"/>
    <x v="1"/>
    <x v="2"/>
    <x v="552"/>
    <x v="196"/>
    <x v="6"/>
    <x v="0"/>
    <x v="0"/>
    <x v="26"/>
    <x v="1"/>
    <x v="3"/>
    <x v="3"/>
    <x v="2"/>
    <x v="1"/>
    <x v="2"/>
    <x v="1"/>
    <x v="1"/>
    <x v="256"/>
    <x v="1"/>
    <x v="6"/>
    <x v="2"/>
    <x v="547"/>
    <x v="5"/>
    <x v="1"/>
    <x v="2"/>
    <x v="1"/>
    <x v="0"/>
    <x v="648"/>
    <x v="0"/>
    <x v="0"/>
  </r>
  <r>
    <x v="1130"/>
    <x v="551"/>
    <x v="543"/>
    <x v="536"/>
    <x v="0"/>
    <x v="1"/>
    <x v="2"/>
    <x v="552"/>
    <x v="196"/>
    <x v="6"/>
    <x v="0"/>
    <x v="0"/>
    <x v="26"/>
    <x v="3"/>
    <x v="1"/>
    <x v="1"/>
    <x v="2"/>
    <x v="1"/>
    <x v="2"/>
    <x v="1"/>
    <x v="2"/>
    <x v="0"/>
    <x v="2"/>
    <x v="3"/>
    <x v="4"/>
    <x v="547"/>
    <x v="4"/>
    <x v="0"/>
    <x v="0"/>
    <x v="1"/>
    <x v="0"/>
    <x v="0"/>
    <x v="0"/>
    <x v="0"/>
  </r>
  <r>
    <x v="1131"/>
    <x v="552"/>
    <x v="544"/>
    <x v="537"/>
    <x v="901"/>
    <x v="3"/>
    <x v="2"/>
    <x v="553"/>
    <x v="360"/>
    <x v="1"/>
    <x v="213"/>
    <x v="0"/>
    <x v="0"/>
    <x v="1"/>
    <x v="2"/>
    <x v="3"/>
    <x v="2"/>
    <x v="1"/>
    <x v="1"/>
    <x v="1"/>
    <x v="1"/>
    <x v="257"/>
    <x v="1"/>
    <x v="5"/>
    <x v="3"/>
    <x v="548"/>
    <x v="1"/>
    <x v="3"/>
    <x v="0"/>
    <x v="1"/>
    <x v="0"/>
    <x v="649"/>
    <x v="310"/>
    <x v="0"/>
  </r>
  <r>
    <x v="1132"/>
    <x v="553"/>
    <x v="545"/>
    <x v="538"/>
    <x v="902"/>
    <x v="1"/>
    <x v="2"/>
    <x v="554"/>
    <x v="208"/>
    <x v="1"/>
    <x v="214"/>
    <x v="0"/>
    <x v="0"/>
    <x v="1"/>
    <x v="1"/>
    <x v="2"/>
    <x v="1"/>
    <x v="1"/>
    <x v="2"/>
    <x v="1"/>
    <x v="1"/>
    <x v="257"/>
    <x v="1"/>
    <x v="5"/>
    <x v="2"/>
    <x v="549"/>
    <x v="5"/>
    <x v="3"/>
    <x v="0"/>
    <x v="1"/>
    <x v="0"/>
    <x v="650"/>
    <x v="311"/>
    <x v="324"/>
  </r>
  <r>
    <x v="1133"/>
    <x v="554"/>
    <x v="546"/>
    <x v="539"/>
    <x v="903"/>
    <x v="1"/>
    <x v="2"/>
    <x v="555"/>
    <x v="238"/>
    <x v="1"/>
    <x v="8"/>
    <x v="0"/>
    <x v="0"/>
    <x v="1"/>
    <x v="1"/>
    <x v="1"/>
    <x v="2"/>
    <x v="1"/>
    <x v="2"/>
    <x v="1"/>
    <x v="1"/>
    <x v="258"/>
    <x v="1"/>
    <x v="2"/>
    <x v="2"/>
    <x v="550"/>
    <x v="1"/>
    <x v="3"/>
    <x v="0"/>
    <x v="1"/>
    <x v="0"/>
    <x v="651"/>
    <x v="0"/>
    <x v="0"/>
  </r>
  <r>
    <x v="1134"/>
    <x v="555"/>
    <x v="547"/>
    <x v="540"/>
    <x v="904"/>
    <x v="3"/>
    <x v="2"/>
    <x v="556"/>
    <x v="399"/>
    <x v="1"/>
    <x v="9"/>
    <x v="0"/>
    <x v="0"/>
    <x v="1"/>
    <x v="1"/>
    <x v="1"/>
    <x v="2"/>
    <x v="2"/>
    <x v="1"/>
    <x v="1"/>
    <x v="2"/>
    <x v="0"/>
    <x v="1"/>
    <x v="4"/>
    <x v="2"/>
    <x v="551"/>
    <x v="12"/>
    <x v="0"/>
    <x v="0"/>
    <x v="1"/>
    <x v="0"/>
    <x v="0"/>
    <x v="0"/>
    <x v="0"/>
  </r>
  <r>
    <x v="1135"/>
    <x v="556"/>
    <x v="548"/>
    <x v="541"/>
    <x v="905"/>
    <x v="1"/>
    <x v="3"/>
    <x v="152"/>
    <x v="352"/>
    <x v="1"/>
    <x v="15"/>
    <x v="0"/>
    <x v="0"/>
    <x v="1"/>
    <x v="1"/>
    <x v="1"/>
    <x v="2"/>
    <x v="1"/>
    <x v="2"/>
    <x v="1"/>
    <x v="2"/>
    <x v="0"/>
    <x v="1"/>
    <x v="1"/>
    <x v="2"/>
    <x v="552"/>
    <x v="12"/>
    <x v="0"/>
    <x v="0"/>
    <x v="1"/>
    <x v="0"/>
    <x v="0"/>
    <x v="0"/>
    <x v="0"/>
  </r>
  <r>
    <x v="1136"/>
    <x v="557"/>
    <x v="549"/>
    <x v="542"/>
    <x v="906"/>
    <x v="1"/>
    <x v="2"/>
    <x v="557"/>
    <x v="315"/>
    <x v="1"/>
    <x v="215"/>
    <x v="0"/>
    <x v="0"/>
    <x v="1"/>
    <x v="1"/>
    <x v="1"/>
    <x v="2"/>
    <x v="1"/>
    <x v="3"/>
    <x v="1"/>
    <x v="2"/>
    <x v="0"/>
    <x v="2"/>
    <x v="1"/>
    <x v="5"/>
    <x v="553"/>
    <x v="1"/>
    <x v="0"/>
    <x v="0"/>
    <x v="1"/>
    <x v="0"/>
    <x v="0"/>
    <x v="0"/>
    <x v="0"/>
  </r>
  <r>
    <x v="1137"/>
    <x v="555"/>
    <x v="547"/>
    <x v="540"/>
    <x v="907"/>
    <x v="3"/>
    <x v="2"/>
    <x v="556"/>
    <x v="399"/>
    <x v="1"/>
    <x v="9"/>
    <x v="0"/>
    <x v="0"/>
    <x v="1"/>
    <x v="3"/>
    <x v="3"/>
    <x v="2"/>
    <x v="2"/>
    <x v="2"/>
    <x v="1"/>
    <x v="1"/>
    <x v="259"/>
    <x v="1"/>
    <x v="6"/>
    <x v="2"/>
    <x v="551"/>
    <x v="5"/>
    <x v="1"/>
    <x v="7"/>
    <x v="2"/>
    <x v="1"/>
    <x v="638"/>
    <x v="312"/>
    <x v="325"/>
  </r>
  <r>
    <x v="1138"/>
    <x v="558"/>
    <x v="550"/>
    <x v="543"/>
    <x v="908"/>
    <x v="3"/>
    <x v="1"/>
    <x v="558"/>
    <x v="298"/>
    <x v="1"/>
    <x v="216"/>
    <x v="0"/>
    <x v="0"/>
    <x v="1"/>
    <x v="3"/>
    <x v="3"/>
    <x v="2"/>
    <x v="1"/>
    <x v="2"/>
    <x v="1"/>
    <x v="1"/>
    <x v="259"/>
    <x v="1"/>
    <x v="6"/>
    <x v="2"/>
    <x v="554"/>
    <x v="5"/>
    <x v="3"/>
    <x v="0"/>
    <x v="1"/>
    <x v="0"/>
    <x v="639"/>
    <x v="313"/>
    <x v="326"/>
  </r>
  <r>
    <x v="1139"/>
    <x v="559"/>
    <x v="551"/>
    <x v="544"/>
    <x v="909"/>
    <x v="3"/>
    <x v="2"/>
    <x v="559"/>
    <x v="358"/>
    <x v="2"/>
    <x v="0"/>
    <x v="5"/>
    <x v="0"/>
    <x v="1"/>
    <x v="3"/>
    <x v="3"/>
    <x v="2"/>
    <x v="1"/>
    <x v="1"/>
    <x v="1"/>
    <x v="1"/>
    <x v="260"/>
    <x v="1"/>
    <x v="6"/>
    <x v="2"/>
    <x v="555"/>
    <x v="12"/>
    <x v="1"/>
    <x v="3"/>
    <x v="1"/>
    <x v="0"/>
    <x v="652"/>
    <x v="314"/>
    <x v="0"/>
  </r>
  <r>
    <x v="1140"/>
    <x v="555"/>
    <x v="547"/>
    <x v="540"/>
    <x v="910"/>
    <x v="3"/>
    <x v="2"/>
    <x v="556"/>
    <x v="399"/>
    <x v="1"/>
    <x v="9"/>
    <x v="0"/>
    <x v="0"/>
    <x v="3"/>
    <x v="1"/>
    <x v="1"/>
    <x v="2"/>
    <x v="2"/>
    <x v="2"/>
    <x v="1"/>
    <x v="1"/>
    <x v="261"/>
    <x v="1"/>
    <x v="3"/>
    <x v="4"/>
    <x v="551"/>
    <x v="12"/>
    <x v="1"/>
    <x v="4"/>
    <x v="2"/>
    <x v="1"/>
    <x v="653"/>
    <x v="315"/>
    <x v="327"/>
  </r>
  <r>
    <x v="1141"/>
    <x v="557"/>
    <x v="549"/>
    <x v="542"/>
    <x v="911"/>
    <x v="1"/>
    <x v="2"/>
    <x v="557"/>
    <x v="171"/>
    <x v="1"/>
    <x v="4"/>
    <x v="0"/>
    <x v="0"/>
    <x v="1"/>
    <x v="1"/>
    <x v="1"/>
    <x v="1"/>
    <x v="1"/>
    <x v="2"/>
    <x v="1"/>
    <x v="1"/>
    <x v="260"/>
    <x v="2"/>
    <x v="1"/>
    <x v="2"/>
    <x v="556"/>
    <x v="3"/>
    <x v="1"/>
    <x v="3"/>
    <x v="1"/>
    <x v="0"/>
    <x v="654"/>
    <x v="316"/>
    <x v="328"/>
  </r>
  <r>
    <x v="1142"/>
    <x v="200"/>
    <x v="198"/>
    <x v="196"/>
    <x v="912"/>
    <x v="1"/>
    <x v="3"/>
    <x v="209"/>
    <x v="10"/>
    <x v="1"/>
    <x v="15"/>
    <x v="0"/>
    <x v="0"/>
    <x v="1"/>
    <x v="3"/>
    <x v="3"/>
    <x v="2"/>
    <x v="1"/>
    <x v="2"/>
    <x v="1"/>
    <x v="1"/>
    <x v="261"/>
    <x v="1"/>
    <x v="1"/>
    <x v="1"/>
    <x v="556"/>
    <x v="2"/>
    <x v="1"/>
    <x v="4"/>
    <x v="1"/>
    <x v="0"/>
    <x v="655"/>
    <x v="317"/>
    <x v="0"/>
  </r>
  <r>
    <x v="1143"/>
    <x v="559"/>
    <x v="551"/>
    <x v="544"/>
    <x v="0"/>
    <x v="3"/>
    <x v="2"/>
    <x v="559"/>
    <x v="358"/>
    <x v="1"/>
    <x v="217"/>
    <x v="0"/>
    <x v="0"/>
    <x v="3"/>
    <x v="1"/>
    <x v="1"/>
    <x v="2"/>
    <x v="1"/>
    <x v="2"/>
    <x v="1"/>
    <x v="2"/>
    <x v="0"/>
    <x v="2"/>
    <x v="3"/>
    <x v="4"/>
    <x v="555"/>
    <x v="3"/>
    <x v="0"/>
    <x v="0"/>
    <x v="1"/>
    <x v="0"/>
    <x v="0"/>
    <x v="0"/>
    <x v="0"/>
  </r>
  <r>
    <x v="1144"/>
    <x v="557"/>
    <x v="549"/>
    <x v="542"/>
    <x v="913"/>
    <x v="1"/>
    <x v="2"/>
    <x v="557"/>
    <x v="400"/>
    <x v="1"/>
    <x v="4"/>
    <x v="0"/>
    <x v="0"/>
    <x v="3"/>
    <x v="3"/>
    <x v="3"/>
    <x v="1"/>
    <x v="1"/>
    <x v="2"/>
    <x v="1"/>
    <x v="1"/>
    <x v="261"/>
    <x v="2"/>
    <x v="3"/>
    <x v="4"/>
    <x v="556"/>
    <x v="3"/>
    <x v="3"/>
    <x v="0"/>
    <x v="1"/>
    <x v="0"/>
    <x v="656"/>
    <x v="318"/>
    <x v="0"/>
  </r>
  <r>
    <x v="1145"/>
    <x v="499"/>
    <x v="491"/>
    <x v="484"/>
    <x v="914"/>
    <x v="1"/>
    <x v="2"/>
    <x v="500"/>
    <x v="323"/>
    <x v="1"/>
    <x v="2"/>
    <x v="0"/>
    <x v="0"/>
    <x v="1"/>
    <x v="1"/>
    <x v="1"/>
    <x v="2"/>
    <x v="1"/>
    <x v="3"/>
    <x v="2"/>
    <x v="1"/>
    <x v="261"/>
    <x v="1"/>
    <x v="5"/>
    <x v="2"/>
    <x v="494"/>
    <x v="3"/>
    <x v="1"/>
    <x v="3"/>
    <x v="1"/>
    <x v="0"/>
    <x v="657"/>
    <x v="319"/>
    <x v="329"/>
  </r>
  <r>
    <x v="1146"/>
    <x v="464"/>
    <x v="460"/>
    <x v="454"/>
    <x v="915"/>
    <x v="1"/>
    <x v="2"/>
    <x v="469"/>
    <x v="373"/>
    <x v="1"/>
    <x v="44"/>
    <x v="0"/>
    <x v="0"/>
    <x v="1"/>
    <x v="1"/>
    <x v="1"/>
    <x v="2"/>
    <x v="1"/>
    <x v="2"/>
    <x v="1"/>
    <x v="2"/>
    <x v="0"/>
    <x v="1"/>
    <x v="1"/>
    <x v="2"/>
    <x v="462"/>
    <x v="3"/>
    <x v="0"/>
    <x v="0"/>
    <x v="1"/>
    <x v="0"/>
    <x v="0"/>
    <x v="0"/>
    <x v="0"/>
  </r>
  <r>
    <x v="1147"/>
    <x v="560"/>
    <x v="552"/>
    <x v="545"/>
    <x v="916"/>
    <x v="1"/>
    <x v="2"/>
    <x v="560"/>
    <x v="401"/>
    <x v="1"/>
    <x v="138"/>
    <x v="0"/>
    <x v="0"/>
    <x v="1"/>
    <x v="3"/>
    <x v="3"/>
    <x v="2"/>
    <x v="1"/>
    <x v="2"/>
    <x v="1"/>
    <x v="1"/>
    <x v="262"/>
    <x v="1"/>
    <x v="1"/>
    <x v="2"/>
    <x v="557"/>
    <x v="2"/>
    <x v="1"/>
    <x v="4"/>
    <x v="2"/>
    <x v="1"/>
    <x v="658"/>
    <x v="320"/>
    <x v="0"/>
  </r>
  <r>
    <x v="1148"/>
    <x v="555"/>
    <x v="547"/>
    <x v="540"/>
    <x v="917"/>
    <x v="3"/>
    <x v="2"/>
    <x v="556"/>
    <x v="402"/>
    <x v="1"/>
    <x v="9"/>
    <x v="0"/>
    <x v="0"/>
    <x v="3"/>
    <x v="3"/>
    <x v="3"/>
    <x v="2"/>
    <x v="1"/>
    <x v="2"/>
    <x v="2"/>
    <x v="1"/>
    <x v="262"/>
    <x v="1"/>
    <x v="3"/>
    <x v="4"/>
    <x v="551"/>
    <x v="1"/>
    <x v="1"/>
    <x v="1"/>
    <x v="1"/>
    <x v="0"/>
    <x v="659"/>
    <x v="321"/>
    <x v="0"/>
  </r>
  <r>
    <x v="1149"/>
    <x v="200"/>
    <x v="198"/>
    <x v="196"/>
    <x v="0"/>
    <x v="1"/>
    <x v="3"/>
    <x v="209"/>
    <x v="403"/>
    <x v="1"/>
    <x v="15"/>
    <x v="0"/>
    <x v="0"/>
    <x v="3"/>
    <x v="1"/>
    <x v="1"/>
    <x v="2"/>
    <x v="1"/>
    <x v="2"/>
    <x v="1"/>
    <x v="2"/>
    <x v="0"/>
    <x v="2"/>
    <x v="3"/>
    <x v="4"/>
    <x v="556"/>
    <x v="1"/>
    <x v="0"/>
    <x v="0"/>
    <x v="1"/>
    <x v="0"/>
    <x v="0"/>
    <x v="0"/>
    <x v="0"/>
  </r>
  <r>
    <x v="1150"/>
    <x v="561"/>
    <x v="553"/>
    <x v="546"/>
    <x v="918"/>
    <x v="1"/>
    <x v="2"/>
    <x v="561"/>
    <x v="404"/>
    <x v="1"/>
    <x v="15"/>
    <x v="0"/>
    <x v="0"/>
    <x v="1"/>
    <x v="1"/>
    <x v="1"/>
    <x v="2"/>
    <x v="1"/>
    <x v="2"/>
    <x v="1"/>
    <x v="2"/>
    <x v="0"/>
    <x v="2"/>
    <x v="1"/>
    <x v="2"/>
    <x v="558"/>
    <x v="4"/>
    <x v="0"/>
    <x v="0"/>
    <x v="1"/>
    <x v="0"/>
    <x v="0"/>
    <x v="0"/>
    <x v="0"/>
  </r>
  <r>
    <x v="1151"/>
    <x v="446"/>
    <x v="442"/>
    <x v="437"/>
    <x v="919"/>
    <x v="1"/>
    <x v="2"/>
    <x v="452"/>
    <x v="343"/>
    <x v="1"/>
    <x v="15"/>
    <x v="0"/>
    <x v="0"/>
    <x v="1"/>
    <x v="2"/>
    <x v="3"/>
    <x v="2"/>
    <x v="1"/>
    <x v="1"/>
    <x v="1"/>
    <x v="1"/>
    <x v="263"/>
    <x v="1"/>
    <x v="1"/>
    <x v="2"/>
    <x v="445"/>
    <x v="1"/>
    <x v="1"/>
    <x v="4"/>
    <x v="2"/>
    <x v="1"/>
    <x v="660"/>
    <x v="0"/>
    <x v="0"/>
  </r>
  <r>
    <x v="1152"/>
    <x v="555"/>
    <x v="547"/>
    <x v="540"/>
    <x v="0"/>
    <x v="3"/>
    <x v="2"/>
    <x v="556"/>
    <x v="196"/>
    <x v="8"/>
    <x v="0"/>
    <x v="0"/>
    <x v="0"/>
    <x v="3"/>
    <x v="1"/>
    <x v="1"/>
    <x v="2"/>
    <x v="1"/>
    <x v="2"/>
    <x v="1"/>
    <x v="2"/>
    <x v="0"/>
    <x v="2"/>
    <x v="3"/>
    <x v="4"/>
    <x v="551"/>
    <x v="5"/>
    <x v="0"/>
    <x v="0"/>
    <x v="1"/>
    <x v="0"/>
    <x v="0"/>
    <x v="0"/>
    <x v="0"/>
  </r>
  <r>
    <x v="1153"/>
    <x v="560"/>
    <x v="552"/>
    <x v="545"/>
    <x v="920"/>
    <x v="1"/>
    <x v="2"/>
    <x v="560"/>
    <x v="401"/>
    <x v="1"/>
    <x v="22"/>
    <x v="0"/>
    <x v="0"/>
    <x v="3"/>
    <x v="1"/>
    <x v="1"/>
    <x v="2"/>
    <x v="1"/>
    <x v="2"/>
    <x v="1"/>
    <x v="1"/>
    <x v="264"/>
    <x v="1"/>
    <x v="3"/>
    <x v="4"/>
    <x v="557"/>
    <x v="1"/>
    <x v="3"/>
    <x v="0"/>
    <x v="1"/>
    <x v="0"/>
    <x v="661"/>
    <x v="0"/>
    <x v="0"/>
  </r>
  <r>
    <x v="1154"/>
    <x v="446"/>
    <x v="442"/>
    <x v="437"/>
    <x v="921"/>
    <x v="1"/>
    <x v="2"/>
    <x v="452"/>
    <x v="343"/>
    <x v="1"/>
    <x v="15"/>
    <x v="0"/>
    <x v="0"/>
    <x v="3"/>
    <x v="1"/>
    <x v="1"/>
    <x v="2"/>
    <x v="1"/>
    <x v="1"/>
    <x v="1"/>
    <x v="1"/>
    <x v="265"/>
    <x v="1"/>
    <x v="3"/>
    <x v="4"/>
    <x v="445"/>
    <x v="1"/>
    <x v="1"/>
    <x v="4"/>
    <x v="2"/>
    <x v="1"/>
    <x v="662"/>
    <x v="0"/>
    <x v="0"/>
  </r>
  <r>
    <x v="1155"/>
    <x v="533"/>
    <x v="525"/>
    <x v="517"/>
    <x v="922"/>
    <x v="1"/>
    <x v="2"/>
    <x v="535"/>
    <x v="405"/>
    <x v="1"/>
    <x v="218"/>
    <x v="0"/>
    <x v="0"/>
    <x v="1"/>
    <x v="2"/>
    <x v="3"/>
    <x v="2"/>
    <x v="1"/>
    <x v="2"/>
    <x v="1"/>
    <x v="1"/>
    <x v="266"/>
    <x v="1"/>
    <x v="1"/>
    <x v="2"/>
    <x v="528"/>
    <x v="6"/>
    <x v="1"/>
    <x v="4"/>
    <x v="2"/>
    <x v="1"/>
    <x v="663"/>
    <x v="0"/>
    <x v="0"/>
  </r>
  <r>
    <x v="1156"/>
    <x v="562"/>
    <x v="491"/>
    <x v="484"/>
    <x v="0"/>
    <x v="3"/>
    <x v="2"/>
    <x v="500"/>
    <x v="323"/>
    <x v="1"/>
    <x v="2"/>
    <x v="0"/>
    <x v="0"/>
    <x v="3"/>
    <x v="1"/>
    <x v="1"/>
    <x v="1"/>
    <x v="1"/>
    <x v="2"/>
    <x v="1"/>
    <x v="2"/>
    <x v="0"/>
    <x v="2"/>
    <x v="3"/>
    <x v="4"/>
    <x v="494"/>
    <x v="3"/>
    <x v="0"/>
    <x v="0"/>
    <x v="1"/>
    <x v="0"/>
    <x v="664"/>
    <x v="0"/>
    <x v="0"/>
  </r>
  <r>
    <x v="1157"/>
    <x v="446"/>
    <x v="442"/>
    <x v="437"/>
    <x v="923"/>
    <x v="1"/>
    <x v="2"/>
    <x v="452"/>
    <x v="343"/>
    <x v="1"/>
    <x v="219"/>
    <x v="0"/>
    <x v="0"/>
    <x v="1"/>
    <x v="1"/>
    <x v="1"/>
    <x v="2"/>
    <x v="1"/>
    <x v="2"/>
    <x v="1"/>
    <x v="1"/>
    <x v="266"/>
    <x v="1"/>
    <x v="5"/>
    <x v="2"/>
    <x v="445"/>
    <x v="3"/>
    <x v="1"/>
    <x v="7"/>
    <x v="2"/>
    <x v="1"/>
    <x v="665"/>
    <x v="0"/>
    <x v="0"/>
  </r>
  <r>
    <x v="1158"/>
    <x v="533"/>
    <x v="525"/>
    <x v="517"/>
    <x v="924"/>
    <x v="1"/>
    <x v="2"/>
    <x v="535"/>
    <x v="405"/>
    <x v="1"/>
    <x v="218"/>
    <x v="0"/>
    <x v="0"/>
    <x v="3"/>
    <x v="1"/>
    <x v="1"/>
    <x v="2"/>
    <x v="1"/>
    <x v="2"/>
    <x v="1"/>
    <x v="2"/>
    <x v="0"/>
    <x v="1"/>
    <x v="3"/>
    <x v="4"/>
    <x v="528"/>
    <x v="1"/>
    <x v="0"/>
    <x v="0"/>
    <x v="1"/>
    <x v="0"/>
    <x v="0"/>
    <x v="0"/>
    <x v="0"/>
  </r>
  <r>
    <x v="1159"/>
    <x v="303"/>
    <x v="304"/>
    <x v="529"/>
    <x v="925"/>
    <x v="1"/>
    <x v="2"/>
    <x v="317"/>
    <x v="137"/>
    <x v="1"/>
    <x v="220"/>
    <x v="0"/>
    <x v="0"/>
    <x v="1"/>
    <x v="2"/>
    <x v="4"/>
    <x v="2"/>
    <x v="1"/>
    <x v="3"/>
    <x v="1"/>
    <x v="1"/>
    <x v="267"/>
    <x v="1"/>
    <x v="1"/>
    <x v="2"/>
    <x v="540"/>
    <x v="1"/>
    <x v="3"/>
    <x v="0"/>
    <x v="1"/>
    <x v="0"/>
    <x v="666"/>
    <x v="0"/>
    <x v="0"/>
  </r>
  <r>
    <x v="1160"/>
    <x v="446"/>
    <x v="442"/>
    <x v="437"/>
    <x v="926"/>
    <x v="1"/>
    <x v="2"/>
    <x v="452"/>
    <x v="347"/>
    <x v="1"/>
    <x v="22"/>
    <x v="0"/>
    <x v="0"/>
    <x v="3"/>
    <x v="1"/>
    <x v="1"/>
    <x v="2"/>
    <x v="1"/>
    <x v="2"/>
    <x v="1"/>
    <x v="2"/>
    <x v="0"/>
    <x v="1"/>
    <x v="3"/>
    <x v="4"/>
    <x v="445"/>
    <x v="12"/>
    <x v="0"/>
    <x v="0"/>
    <x v="1"/>
    <x v="0"/>
    <x v="0"/>
    <x v="0"/>
    <x v="0"/>
  </r>
  <r>
    <x v="1161"/>
    <x v="289"/>
    <x v="290"/>
    <x v="285"/>
    <x v="927"/>
    <x v="1"/>
    <x v="2"/>
    <x v="304"/>
    <x v="367"/>
    <x v="1"/>
    <x v="15"/>
    <x v="0"/>
    <x v="0"/>
    <x v="1"/>
    <x v="1"/>
    <x v="1"/>
    <x v="2"/>
    <x v="1"/>
    <x v="2"/>
    <x v="1"/>
    <x v="1"/>
    <x v="266"/>
    <x v="1"/>
    <x v="1"/>
    <x v="2"/>
    <x v="559"/>
    <x v="12"/>
    <x v="3"/>
    <x v="0"/>
    <x v="1"/>
    <x v="0"/>
    <x v="667"/>
    <x v="322"/>
    <x v="330"/>
  </r>
  <r>
    <x v="1162"/>
    <x v="563"/>
    <x v="554"/>
    <x v="547"/>
    <x v="928"/>
    <x v="3"/>
    <x v="1"/>
    <x v="562"/>
    <x v="227"/>
    <x v="1"/>
    <x v="9"/>
    <x v="0"/>
    <x v="0"/>
    <x v="1"/>
    <x v="1"/>
    <x v="1"/>
    <x v="2"/>
    <x v="1"/>
    <x v="2"/>
    <x v="1"/>
    <x v="2"/>
    <x v="0"/>
    <x v="1"/>
    <x v="6"/>
    <x v="2"/>
    <x v="560"/>
    <x v="5"/>
    <x v="0"/>
    <x v="0"/>
    <x v="1"/>
    <x v="0"/>
    <x v="0"/>
    <x v="0"/>
    <x v="0"/>
  </r>
  <r>
    <x v="1163"/>
    <x v="533"/>
    <x v="525"/>
    <x v="517"/>
    <x v="929"/>
    <x v="1"/>
    <x v="2"/>
    <x v="535"/>
    <x v="405"/>
    <x v="1"/>
    <x v="221"/>
    <x v="0"/>
    <x v="0"/>
    <x v="1"/>
    <x v="1"/>
    <x v="1"/>
    <x v="2"/>
    <x v="1"/>
    <x v="2"/>
    <x v="1"/>
    <x v="1"/>
    <x v="265"/>
    <x v="1"/>
    <x v="6"/>
    <x v="2"/>
    <x v="528"/>
    <x v="5"/>
    <x v="1"/>
    <x v="4"/>
    <x v="2"/>
    <x v="1"/>
    <x v="668"/>
    <x v="323"/>
    <x v="0"/>
  </r>
  <r>
    <x v="1164"/>
    <x v="564"/>
    <x v="555"/>
    <x v="548"/>
    <x v="930"/>
    <x v="1"/>
    <x v="2"/>
    <x v="563"/>
    <x v="406"/>
    <x v="1"/>
    <x v="33"/>
    <x v="0"/>
    <x v="0"/>
    <x v="1"/>
    <x v="3"/>
    <x v="3"/>
    <x v="2"/>
    <x v="2"/>
    <x v="1"/>
    <x v="1"/>
    <x v="1"/>
    <x v="268"/>
    <x v="1"/>
    <x v="4"/>
    <x v="2"/>
    <x v="561"/>
    <x v="1"/>
    <x v="1"/>
    <x v="7"/>
    <x v="1"/>
    <x v="0"/>
    <x v="669"/>
    <x v="324"/>
    <x v="0"/>
  </r>
  <r>
    <x v="1165"/>
    <x v="446"/>
    <x v="442"/>
    <x v="437"/>
    <x v="931"/>
    <x v="1"/>
    <x v="2"/>
    <x v="452"/>
    <x v="343"/>
    <x v="1"/>
    <x v="15"/>
    <x v="0"/>
    <x v="0"/>
    <x v="3"/>
    <x v="1"/>
    <x v="1"/>
    <x v="2"/>
    <x v="1"/>
    <x v="1"/>
    <x v="2"/>
    <x v="1"/>
    <x v="269"/>
    <x v="1"/>
    <x v="3"/>
    <x v="4"/>
    <x v="445"/>
    <x v="1"/>
    <x v="1"/>
    <x v="4"/>
    <x v="2"/>
    <x v="1"/>
    <x v="670"/>
    <x v="0"/>
    <x v="0"/>
  </r>
  <r>
    <x v="1166"/>
    <x v="565"/>
    <x v="556"/>
    <x v="549"/>
    <x v="932"/>
    <x v="3"/>
    <x v="2"/>
    <x v="564"/>
    <x v="10"/>
    <x v="1"/>
    <x v="222"/>
    <x v="0"/>
    <x v="0"/>
    <x v="1"/>
    <x v="1"/>
    <x v="1"/>
    <x v="2"/>
    <x v="2"/>
    <x v="2"/>
    <x v="1"/>
    <x v="2"/>
    <x v="0"/>
    <x v="1"/>
    <x v="6"/>
    <x v="2"/>
    <x v="562"/>
    <x v="1"/>
    <x v="0"/>
    <x v="0"/>
    <x v="1"/>
    <x v="0"/>
    <x v="0"/>
    <x v="0"/>
    <x v="0"/>
  </r>
  <r>
    <x v="1167"/>
    <x v="533"/>
    <x v="525"/>
    <x v="517"/>
    <x v="933"/>
    <x v="1"/>
    <x v="2"/>
    <x v="535"/>
    <x v="405"/>
    <x v="1"/>
    <x v="221"/>
    <x v="0"/>
    <x v="0"/>
    <x v="3"/>
    <x v="1"/>
    <x v="1"/>
    <x v="2"/>
    <x v="1"/>
    <x v="2"/>
    <x v="1"/>
    <x v="2"/>
    <x v="0"/>
    <x v="1"/>
    <x v="3"/>
    <x v="4"/>
    <x v="528"/>
    <x v="1"/>
    <x v="0"/>
    <x v="0"/>
    <x v="1"/>
    <x v="0"/>
    <x v="0"/>
    <x v="0"/>
    <x v="0"/>
  </r>
  <r>
    <x v="1168"/>
    <x v="566"/>
    <x v="557"/>
    <x v="550"/>
    <x v="934"/>
    <x v="1"/>
    <x v="2"/>
    <x v="565"/>
    <x v="407"/>
    <x v="1"/>
    <x v="223"/>
    <x v="0"/>
    <x v="0"/>
    <x v="1"/>
    <x v="1"/>
    <x v="1"/>
    <x v="1"/>
    <x v="1"/>
    <x v="3"/>
    <x v="1"/>
    <x v="2"/>
    <x v="0"/>
    <x v="2"/>
    <x v="1"/>
    <x v="1"/>
    <x v="563"/>
    <x v="2"/>
    <x v="0"/>
    <x v="0"/>
    <x v="1"/>
    <x v="0"/>
    <x v="0"/>
    <x v="0"/>
    <x v="0"/>
  </r>
  <r>
    <x v="1169"/>
    <x v="564"/>
    <x v="555"/>
    <x v="548"/>
    <x v="0"/>
    <x v="1"/>
    <x v="2"/>
    <x v="563"/>
    <x v="406"/>
    <x v="1"/>
    <x v="33"/>
    <x v="0"/>
    <x v="0"/>
    <x v="3"/>
    <x v="1"/>
    <x v="1"/>
    <x v="2"/>
    <x v="2"/>
    <x v="1"/>
    <x v="1"/>
    <x v="1"/>
    <x v="270"/>
    <x v="2"/>
    <x v="3"/>
    <x v="4"/>
    <x v="561"/>
    <x v="12"/>
    <x v="1"/>
    <x v="4"/>
    <x v="2"/>
    <x v="1"/>
    <x v="0"/>
    <x v="0"/>
    <x v="331"/>
  </r>
  <r>
    <x v="1170"/>
    <x v="404"/>
    <x v="403"/>
    <x v="398"/>
    <x v="935"/>
    <x v="1"/>
    <x v="2"/>
    <x v="416"/>
    <x v="208"/>
    <x v="1"/>
    <x v="1"/>
    <x v="0"/>
    <x v="0"/>
    <x v="1"/>
    <x v="2"/>
    <x v="3"/>
    <x v="2"/>
    <x v="1"/>
    <x v="2"/>
    <x v="1"/>
    <x v="1"/>
    <x v="268"/>
    <x v="1"/>
    <x v="1"/>
    <x v="2"/>
    <x v="406"/>
    <x v="6"/>
    <x v="3"/>
    <x v="0"/>
    <x v="1"/>
    <x v="0"/>
    <x v="671"/>
    <x v="325"/>
    <x v="332"/>
  </r>
  <r>
    <x v="1171"/>
    <x v="562"/>
    <x v="491"/>
    <x v="484"/>
    <x v="936"/>
    <x v="3"/>
    <x v="2"/>
    <x v="500"/>
    <x v="323"/>
    <x v="1"/>
    <x v="224"/>
    <x v="0"/>
    <x v="0"/>
    <x v="1"/>
    <x v="1"/>
    <x v="2"/>
    <x v="1"/>
    <x v="1"/>
    <x v="2"/>
    <x v="2"/>
    <x v="2"/>
    <x v="0"/>
    <x v="1"/>
    <x v="1"/>
    <x v="2"/>
    <x v="494"/>
    <x v="3"/>
    <x v="0"/>
    <x v="0"/>
    <x v="1"/>
    <x v="0"/>
    <x v="0"/>
    <x v="0"/>
    <x v="0"/>
  </r>
  <r>
    <x v="1172"/>
    <x v="446"/>
    <x v="442"/>
    <x v="437"/>
    <x v="937"/>
    <x v="1"/>
    <x v="2"/>
    <x v="452"/>
    <x v="347"/>
    <x v="1"/>
    <x v="15"/>
    <x v="0"/>
    <x v="0"/>
    <x v="1"/>
    <x v="3"/>
    <x v="3"/>
    <x v="1"/>
    <x v="1"/>
    <x v="2"/>
    <x v="1"/>
    <x v="1"/>
    <x v="270"/>
    <x v="1"/>
    <x v="5"/>
    <x v="2"/>
    <x v="445"/>
    <x v="12"/>
    <x v="1"/>
    <x v="4"/>
    <x v="2"/>
    <x v="1"/>
    <x v="672"/>
    <x v="0"/>
    <x v="333"/>
  </r>
  <r>
    <x v="1173"/>
    <x v="561"/>
    <x v="553"/>
    <x v="546"/>
    <x v="938"/>
    <x v="1"/>
    <x v="2"/>
    <x v="561"/>
    <x v="404"/>
    <x v="1"/>
    <x v="193"/>
    <x v="0"/>
    <x v="0"/>
    <x v="1"/>
    <x v="1"/>
    <x v="1"/>
    <x v="2"/>
    <x v="1"/>
    <x v="2"/>
    <x v="1"/>
    <x v="2"/>
    <x v="0"/>
    <x v="2"/>
    <x v="2"/>
    <x v="2"/>
    <x v="558"/>
    <x v="3"/>
    <x v="0"/>
    <x v="0"/>
    <x v="1"/>
    <x v="0"/>
    <x v="0"/>
    <x v="0"/>
    <x v="0"/>
  </r>
  <r>
    <x v="1174"/>
    <x v="446"/>
    <x v="442"/>
    <x v="437"/>
    <x v="939"/>
    <x v="1"/>
    <x v="2"/>
    <x v="452"/>
    <x v="347"/>
    <x v="1"/>
    <x v="15"/>
    <x v="0"/>
    <x v="0"/>
    <x v="3"/>
    <x v="1"/>
    <x v="1"/>
    <x v="2"/>
    <x v="1"/>
    <x v="2"/>
    <x v="2"/>
    <x v="2"/>
    <x v="0"/>
    <x v="1"/>
    <x v="3"/>
    <x v="4"/>
    <x v="445"/>
    <x v="1"/>
    <x v="0"/>
    <x v="0"/>
    <x v="1"/>
    <x v="0"/>
    <x v="0"/>
    <x v="0"/>
    <x v="0"/>
  </r>
  <r>
    <x v="1175"/>
    <x v="564"/>
    <x v="555"/>
    <x v="548"/>
    <x v="940"/>
    <x v="1"/>
    <x v="2"/>
    <x v="563"/>
    <x v="406"/>
    <x v="1"/>
    <x v="33"/>
    <x v="0"/>
    <x v="0"/>
    <x v="3"/>
    <x v="1"/>
    <x v="1"/>
    <x v="2"/>
    <x v="2"/>
    <x v="1"/>
    <x v="1"/>
    <x v="1"/>
    <x v="269"/>
    <x v="1"/>
    <x v="3"/>
    <x v="4"/>
    <x v="561"/>
    <x v="1"/>
    <x v="3"/>
    <x v="0"/>
    <x v="1"/>
    <x v="0"/>
    <x v="673"/>
    <x v="326"/>
    <x v="0"/>
  </r>
  <r>
    <x v="1176"/>
    <x v="567"/>
    <x v="558"/>
    <x v="551"/>
    <x v="941"/>
    <x v="3"/>
    <x v="4"/>
    <x v="566"/>
    <x v="408"/>
    <x v="1"/>
    <x v="15"/>
    <x v="0"/>
    <x v="0"/>
    <x v="1"/>
    <x v="1"/>
    <x v="1"/>
    <x v="2"/>
    <x v="1"/>
    <x v="1"/>
    <x v="1"/>
    <x v="1"/>
    <x v="270"/>
    <x v="1"/>
    <x v="1"/>
    <x v="2"/>
    <x v="564"/>
    <x v="4"/>
    <x v="3"/>
    <x v="0"/>
    <x v="1"/>
    <x v="0"/>
    <x v="674"/>
    <x v="327"/>
    <x v="334"/>
  </r>
  <r>
    <x v="1177"/>
    <x v="568"/>
    <x v="559"/>
    <x v="552"/>
    <x v="942"/>
    <x v="1"/>
    <x v="2"/>
    <x v="567"/>
    <x v="203"/>
    <x v="1"/>
    <x v="36"/>
    <x v="0"/>
    <x v="0"/>
    <x v="1"/>
    <x v="1"/>
    <x v="1"/>
    <x v="1"/>
    <x v="1"/>
    <x v="2"/>
    <x v="1"/>
    <x v="2"/>
    <x v="0"/>
    <x v="1"/>
    <x v="1"/>
    <x v="2"/>
    <x v="565"/>
    <x v="5"/>
    <x v="0"/>
    <x v="0"/>
    <x v="1"/>
    <x v="0"/>
    <x v="0"/>
    <x v="0"/>
    <x v="0"/>
  </r>
  <r>
    <x v="1178"/>
    <x v="446"/>
    <x v="442"/>
    <x v="437"/>
    <x v="943"/>
    <x v="1"/>
    <x v="2"/>
    <x v="452"/>
    <x v="343"/>
    <x v="1"/>
    <x v="225"/>
    <x v="0"/>
    <x v="0"/>
    <x v="1"/>
    <x v="1"/>
    <x v="1"/>
    <x v="1"/>
    <x v="1"/>
    <x v="2"/>
    <x v="1"/>
    <x v="2"/>
    <x v="0"/>
    <x v="1"/>
    <x v="1"/>
    <x v="1"/>
    <x v="445"/>
    <x v="2"/>
    <x v="0"/>
    <x v="0"/>
    <x v="1"/>
    <x v="0"/>
    <x v="0"/>
    <x v="0"/>
    <x v="0"/>
  </r>
  <r>
    <x v="1179"/>
    <x v="569"/>
    <x v="560"/>
    <x v="553"/>
    <x v="944"/>
    <x v="1"/>
    <x v="2"/>
    <x v="568"/>
    <x v="409"/>
    <x v="1"/>
    <x v="15"/>
    <x v="0"/>
    <x v="0"/>
    <x v="1"/>
    <x v="1"/>
    <x v="1"/>
    <x v="2"/>
    <x v="1"/>
    <x v="2"/>
    <x v="1"/>
    <x v="1"/>
    <x v="269"/>
    <x v="1"/>
    <x v="1"/>
    <x v="2"/>
    <x v="566"/>
    <x v="5"/>
    <x v="1"/>
    <x v="7"/>
    <x v="1"/>
    <x v="0"/>
    <x v="675"/>
    <x v="328"/>
    <x v="335"/>
  </r>
  <r>
    <x v="1180"/>
    <x v="570"/>
    <x v="561"/>
    <x v="554"/>
    <x v="945"/>
    <x v="1"/>
    <x v="2"/>
    <x v="569"/>
    <x v="79"/>
    <x v="1"/>
    <x v="226"/>
    <x v="0"/>
    <x v="0"/>
    <x v="1"/>
    <x v="1"/>
    <x v="1"/>
    <x v="2"/>
    <x v="1"/>
    <x v="2"/>
    <x v="1"/>
    <x v="2"/>
    <x v="0"/>
    <x v="1"/>
    <x v="1"/>
    <x v="2"/>
    <x v="567"/>
    <x v="4"/>
    <x v="0"/>
    <x v="0"/>
    <x v="1"/>
    <x v="0"/>
    <x v="0"/>
    <x v="0"/>
    <x v="0"/>
  </r>
  <r>
    <x v="1181"/>
    <x v="440"/>
    <x v="436"/>
    <x v="431"/>
    <x v="946"/>
    <x v="1"/>
    <x v="1"/>
    <x v="446"/>
    <x v="340"/>
    <x v="1"/>
    <x v="227"/>
    <x v="0"/>
    <x v="0"/>
    <x v="1"/>
    <x v="1"/>
    <x v="1"/>
    <x v="2"/>
    <x v="1"/>
    <x v="2"/>
    <x v="1"/>
    <x v="2"/>
    <x v="0"/>
    <x v="1"/>
    <x v="1"/>
    <x v="2"/>
    <x v="439"/>
    <x v="6"/>
    <x v="0"/>
    <x v="0"/>
    <x v="1"/>
    <x v="0"/>
    <x v="0"/>
    <x v="0"/>
    <x v="0"/>
  </r>
  <r>
    <x v="1182"/>
    <x v="515"/>
    <x v="507"/>
    <x v="499"/>
    <x v="947"/>
    <x v="1"/>
    <x v="2"/>
    <x v="516"/>
    <x v="410"/>
    <x v="1"/>
    <x v="2"/>
    <x v="0"/>
    <x v="0"/>
    <x v="1"/>
    <x v="1"/>
    <x v="1"/>
    <x v="1"/>
    <x v="2"/>
    <x v="3"/>
    <x v="2"/>
    <x v="1"/>
    <x v="271"/>
    <x v="1"/>
    <x v="1"/>
    <x v="2"/>
    <x v="509"/>
    <x v="5"/>
    <x v="1"/>
    <x v="0"/>
    <x v="1"/>
    <x v="0"/>
    <x v="676"/>
    <x v="329"/>
    <x v="336"/>
  </r>
  <r>
    <x v="1183"/>
    <x v="515"/>
    <x v="507"/>
    <x v="499"/>
    <x v="0"/>
    <x v="1"/>
    <x v="2"/>
    <x v="516"/>
    <x v="410"/>
    <x v="1"/>
    <x v="2"/>
    <x v="0"/>
    <x v="0"/>
    <x v="3"/>
    <x v="1"/>
    <x v="1"/>
    <x v="2"/>
    <x v="2"/>
    <x v="3"/>
    <x v="2"/>
    <x v="2"/>
    <x v="0"/>
    <x v="2"/>
    <x v="3"/>
    <x v="4"/>
    <x v="509"/>
    <x v="5"/>
    <x v="0"/>
    <x v="0"/>
    <x v="1"/>
    <x v="0"/>
    <x v="0"/>
    <x v="0"/>
    <x v="0"/>
  </r>
  <r>
    <x v="1184"/>
    <x v="571"/>
    <x v="562"/>
    <x v="555"/>
    <x v="948"/>
    <x v="1"/>
    <x v="3"/>
    <x v="570"/>
    <x v="398"/>
    <x v="1"/>
    <x v="70"/>
    <x v="0"/>
    <x v="0"/>
    <x v="1"/>
    <x v="1"/>
    <x v="1"/>
    <x v="2"/>
    <x v="1"/>
    <x v="1"/>
    <x v="1"/>
    <x v="2"/>
    <x v="0"/>
    <x v="1"/>
    <x v="2"/>
    <x v="3"/>
    <x v="568"/>
    <x v="12"/>
    <x v="0"/>
    <x v="0"/>
    <x v="1"/>
    <x v="0"/>
    <x v="0"/>
    <x v="0"/>
    <x v="0"/>
  </r>
  <r>
    <x v="1185"/>
    <x v="446"/>
    <x v="442"/>
    <x v="437"/>
    <x v="949"/>
    <x v="1"/>
    <x v="2"/>
    <x v="452"/>
    <x v="343"/>
    <x v="1"/>
    <x v="15"/>
    <x v="0"/>
    <x v="0"/>
    <x v="3"/>
    <x v="1"/>
    <x v="1"/>
    <x v="2"/>
    <x v="1"/>
    <x v="1"/>
    <x v="2"/>
    <x v="2"/>
    <x v="0"/>
    <x v="1"/>
    <x v="3"/>
    <x v="4"/>
    <x v="445"/>
    <x v="1"/>
    <x v="0"/>
    <x v="0"/>
    <x v="1"/>
    <x v="0"/>
    <x v="0"/>
    <x v="0"/>
    <x v="0"/>
  </r>
  <r>
    <x v="1186"/>
    <x v="301"/>
    <x v="302"/>
    <x v="297"/>
    <x v="950"/>
    <x v="1"/>
    <x v="2"/>
    <x v="315"/>
    <x v="411"/>
    <x v="1"/>
    <x v="33"/>
    <x v="0"/>
    <x v="0"/>
    <x v="1"/>
    <x v="3"/>
    <x v="3"/>
    <x v="1"/>
    <x v="2"/>
    <x v="2"/>
    <x v="1"/>
    <x v="1"/>
    <x v="269"/>
    <x v="1"/>
    <x v="2"/>
    <x v="3"/>
    <x v="303"/>
    <x v="2"/>
    <x v="1"/>
    <x v="5"/>
    <x v="1"/>
    <x v="1"/>
    <x v="677"/>
    <x v="0"/>
    <x v="0"/>
  </r>
  <r>
    <x v="1187"/>
    <x v="442"/>
    <x v="438"/>
    <x v="433"/>
    <x v="951"/>
    <x v="1"/>
    <x v="2"/>
    <x v="448"/>
    <x v="412"/>
    <x v="1"/>
    <x v="33"/>
    <x v="0"/>
    <x v="0"/>
    <x v="1"/>
    <x v="3"/>
    <x v="3"/>
    <x v="2"/>
    <x v="1"/>
    <x v="1"/>
    <x v="1"/>
    <x v="1"/>
    <x v="264"/>
    <x v="1"/>
    <x v="1"/>
    <x v="2"/>
    <x v="441"/>
    <x v="1"/>
    <x v="1"/>
    <x v="1"/>
    <x v="1"/>
    <x v="0"/>
    <x v="678"/>
    <x v="330"/>
    <x v="0"/>
  </r>
  <r>
    <x v="1188"/>
    <x v="569"/>
    <x v="560"/>
    <x v="553"/>
    <x v="0"/>
    <x v="1"/>
    <x v="2"/>
    <x v="568"/>
    <x v="409"/>
    <x v="1"/>
    <x v="15"/>
    <x v="0"/>
    <x v="0"/>
    <x v="3"/>
    <x v="1"/>
    <x v="1"/>
    <x v="1"/>
    <x v="1"/>
    <x v="2"/>
    <x v="1"/>
    <x v="2"/>
    <x v="0"/>
    <x v="2"/>
    <x v="3"/>
    <x v="4"/>
    <x v="566"/>
    <x v="12"/>
    <x v="0"/>
    <x v="0"/>
    <x v="1"/>
    <x v="0"/>
    <x v="0"/>
    <x v="0"/>
    <x v="0"/>
  </r>
  <r>
    <x v="1189"/>
    <x v="301"/>
    <x v="302"/>
    <x v="297"/>
    <x v="0"/>
    <x v="1"/>
    <x v="2"/>
    <x v="315"/>
    <x v="249"/>
    <x v="1"/>
    <x v="33"/>
    <x v="0"/>
    <x v="0"/>
    <x v="3"/>
    <x v="1"/>
    <x v="1"/>
    <x v="1"/>
    <x v="2"/>
    <x v="2"/>
    <x v="1"/>
    <x v="1"/>
    <x v="272"/>
    <x v="1"/>
    <x v="3"/>
    <x v="4"/>
    <x v="303"/>
    <x v="2"/>
    <x v="1"/>
    <x v="1"/>
    <x v="1"/>
    <x v="0"/>
    <x v="484"/>
    <x v="331"/>
    <x v="0"/>
  </r>
  <r>
    <x v="1190"/>
    <x v="572"/>
    <x v="194"/>
    <x v="192"/>
    <x v="952"/>
    <x v="1"/>
    <x v="2"/>
    <x v="205"/>
    <x v="413"/>
    <x v="1"/>
    <x v="228"/>
    <x v="0"/>
    <x v="0"/>
    <x v="1"/>
    <x v="1"/>
    <x v="1"/>
    <x v="2"/>
    <x v="1"/>
    <x v="1"/>
    <x v="1"/>
    <x v="2"/>
    <x v="0"/>
    <x v="1"/>
    <x v="5"/>
    <x v="2"/>
    <x v="194"/>
    <x v="12"/>
    <x v="0"/>
    <x v="0"/>
    <x v="1"/>
    <x v="0"/>
    <x v="0"/>
    <x v="0"/>
    <x v="0"/>
  </r>
  <r>
    <x v="1191"/>
    <x v="573"/>
    <x v="563"/>
    <x v="556"/>
    <x v="953"/>
    <x v="1"/>
    <x v="2"/>
    <x v="571"/>
    <x v="414"/>
    <x v="1"/>
    <x v="22"/>
    <x v="0"/>
    <x v="0"/>
    <x v="1"/>
    <x v="3"/>
    <x v="3"/>
    <x v="2"/>
    <x v="1"/>
    <x v="2"/>
    <x v="1"/>
    <x v="1"/>
    <x v="273"/>
    <x v="1"/>
    <x v="6"/>
    <x v="2"/>
    <x v="569"/>
    <x v="5"/>
    <x v="1"/>
    <x v="3"/>
    <x v="2"/>
    <x v="1"/>
    <x v="679"/>
    <x v="0"/>
    <x v="0"/>
  </r>
  <r>
    <x v="1192"/>
    <x v="544"/>
    <x v="536"/>
    <x v="528"/>
    <x v="954"/>
    <x v="3"/>
    <x v="2"/>
    <x v="546"/>
    <x v="10"/>
    <x v="1"/>
    <x v="229"/>
    <x v="0"/>
    <x v="0"/>
    <x v="1"/>
    <x v="1"/>
    <x v="1"/>
    <x v="2"/>
    <x v="2"/>
    <x v="2"/>
    <x v="1"/>
    <x v="2"/>
    <x v="0"/>
    <x v="1"/>
    <x v="6"/>
    <x v="4"/>
    <x v="539"/>
    <x v="5"/>
    <x v="0"/>
    <x v="0"/>
    <x v="1"/>
    <x v="0"/>
    <x v="0"/>
    <x v="0"/>
    <x v="0"/>
  </r>
  <r>
    <x v="1193"/>
    <x v="391"/>
    <x v="391"/>
    <x v="386"/>
    <x v="955"/>
    <x v="3"/>
    <x v="2"/>
    <x v="406"/>
    <x v="281"/>
    <x v="1"/>
    <x v="89"/>
    <x v="0"/>
    <x v="0"/>
    <x v="1"/>
    <x v="1"/>
    <x v="1"/>
    <x v="2"/>
    <x v="1"/>
    <x v="2"/>
    <x v="1"/>
    <x v="1"/>
    <x v="264"/>
    <x v="1"/>
    <x v="6"/>
    <x v="2"/>
    <x v="570"/>
    <x v="5"/>
    <x v="1"/>
    <x v="1"/>
    <x v="1"/>
    <x v="0"/>
    <x v="680"/>
    <x v="0"/>
    <x v="0"/>
  </r>
  <r>
    <x v="1194"/>
    <x v="442"/>
    <x v="438"/>
    <x v="433"/>
    <x v="0"/>
    <x v="1"/>
    <x v="2"/>
    <x v="448"/>
    <x v="412"/>
    <x v="1"/>
    <x v="33"/>
    <x v="0"/>
    <x v="0"/>
    <x v="3"/>
    <x v="1"/>
    <x v="1"/>
    <x v="2"/>
    <x v="1"/>
    <x v="2"/>
    <x v="1"/>
    <x v="1"/>
    <x v="273"/>
    <x v="2"/>
    <x v="3"/>
    <x v="4"/>
    <x v="441"/>
    <x v="5"/>
    <x v="1"/>
    <x v="5"/>
    <x v="2"/>
    <x v="1"/>
    <x v="681"/>
    <x v="0"/>
    <x v="0"/>
  </r>
  <r>
    <x v="1195"/>
    <x v="391"/>
    <x v="391"/>
    <x v="386"/>
    <x v="955"/>
    <x v="3"/>
    <x v="2"/>
    <x v="406"/>
    <x v="281"/>
    <x v="1"/>
    <x v="89"/>
    <x v="0"/>
    <x v="0"/>
    <x v="3"/>
    <x v="3"/>
    <x v="3"/>
    <x v="2"/>
    <x v="1"/>
    <x v="2"/>
    <x v="1"/>
    <x v="1"/>
    <x v="272"/>
    <x v="1"/>
    <x v="3"/>
    <x v="4"/>
    <x v="570"/>
    <x v="5"/>
    <x v="3"/>
    <x v="0"/>
    <x v="1"/>
    <x v="0"/>
    <x v="682"/>
    <x v="0"/>
    <x v="0"/>
  </r>
  <r>
    <x v="1196"/>
    <x v="574"/>
    <x v="564"/>
    <x v="557"/>
    <x v="956"/>
    <x v="3"/>
    <x v="2"/>
    <x v="160"/>
    <x v="10"/>
    <x v="1"/>
    <x v="3"/>
    <x v="0"/>
    <x v="0"/>
    <x v="1"/>
    <x v="1"/>
    <x v="2"/>
    <x v="2"/>
    <x v="1"/>
    <x v="2"/>
    <x v="1"/>
    <x v="1"/>
    <x v="273"/>
    <x v="1"/>
    <x v="6"/>
    <x v="2"/>
    <x v="571"/>
    <x v="5"/>
    <x v="3"/>
    <x v="0"/>
    <x v="1"/>
    <x v="0"/>
    <x v="683"/>
    <x v="332"/>
    <x v="0"/>
  </r>
  <r>
    <x v="1197"/>
    <x v="200"/>
    <x v="198"/>
    <x v="196"/>
    <x v="957"/>
    <x v="1"/>
    <x v="2"/>
    <x v="209"/>
    <x v="374"/>
    <x v="1"/>
    <x v="2"/>
    <x v="0"/>
    <x v="0"/>
    <x v="1"/>
    <x v="2"/>
    <x v="3"/>
    <x v="1"/>
    <x v="1"/>
    <x v="2"/>
    <x v="1"/>
    <x v="1"/>
    <x v="273"/>
    <x v="1"/>
    <x v="4"/>
    <x v="2"/>
    <x v="556"/>
    <x v="5"/>
    <x v="3"/>
    <x v="0"/>
    <x v="1"/>
    <x v="0"/>
    <x v="684"/>
    <x v="333"/>
    <x v="0"/>
  </r>
  <r>
    <x v="1198"/>
    <x v="301"/>
    <x v="302"/>
    <x v="297"/>
    <x v="0"/>
    <x v="1"/>
    <x v="2"/>
    <x v="315"/>
    <x v="249"/>
    <x v="1"/>
    <x v="33"/>
    <x v="0"/>
    <x v="0"/>
    <x v="3"/>
    <x v="1"/>
    <x v="1"/>
    <x v="2"/>
    <x v="2"/>
    <x v="2"/>
    <x v="1"/>
    <x v="1"/>
    <x v="274"/>
    <x v="2"/>
    <x v="3"/>
    <x v="4"/>
    <x v="303"/>
    <x v="5"/>
    <x v="3"/>
    <x v="0"/>
    <x v="1"/>
    <x v="0"/>
    <x v="685"/>
    <x v="334"/>
    <x v="337"/>
  </r>
  <r>
    <x v="1199"/>
    <x v="575"/>
    <x v="563"/>
    <x v="556"/>
    <x v="958"/>
    <x v="1"/>
    <x v="2"/>
    <x v="571"/>
    <x v="414"/>
    <x v="1"/>
    <x v="22"/>
    <x v="0"/>
    <x v="0"/>
    <x v="3"/>
    <x v="1"/>
    <x v="1"/>
    <x v="2"/>
    <x v="1"/>
    <x v="2"/>
    <x v="1"/>
    <x v="1"/>
    <x v="275"/>
    <x v="1"/>
    <x v="3"/>
    <x v="4"/>
    <x v="569"/>
    <x v="3"/>
    <x v="1"/>
    <x v="13"/>
    <x v="2"/>
    <x v="1"/>
    <x v="686"/>
    <x v="0"/>
    <x v="338"/>
  </r>
  <r>
    <x v="1200"/>
    <x v="576"/>
    <x v="565"/>
    <x v="558"/>
    <x v="959"/>
    <x v="1"/>
    <x v="3"/>
    <x v="572"/>
    <x v="415"/>
    <x v="1"/>
    <x v="31"/>
    <x v="0"/>
    <x v="0"/>
    <x v="1"/>
    <x v="1"/>
    <x v="1"/>
    <x v="2"/>
    <x v="1"/>
    <x v="2"/>
    <x v="1"/>
    <x v="2"/>
    <x v="0"/>
    <x v="1"/>
    <x v="4"/>
    <x v="2"/>
    <x v="572"/>
    <x v="12"/>
    <x v="0"/>
    <x v="0"/>
    <x v="1"/>
    <x v="0"/>
    <x v="0"/>
    <x v="0"/>
    <x v="0"/>
  </r>
  <r>
    <x v="1201"/>
    <x v="442"/>
    <x v="438"/>
    <x v="433"/>
    <x v="0"/>
    <x v="1"/>
    <x v="2"/>
    <x v="448"/>
    <x v="412"/>
    <x v="1"/>
    <x v="33"/>
    <x v="0"/>
    <x v="0"/>
    <x v="3"/>
    <x v="1"/>
    <x v="1"/>
    <x v="2"/>
    <x v="1"/>
    <x v="2"/>
    <x v="1"/>
    <x v="1"/>
    <x v="274"/>
    <x v="1"/>
    <x v="3"/>
    <x v="4"/>
    <x v="441"/>
    <x v="2"/>
    <x v="1"/>
    <x v="5"/>
    <x v="2"/>
    <x v="1"/>
    <x v="687"/>
    <x v="0"/>
    <x v="0"/>
  </r>
  <r>
    <x v="1202"/>
    <x v="464"/>
    <x v="460"/>
    <x v="454"/>
    <x v="960"/>
    <x v="1"/>
    <x v="2"/>
    <x v="469"/>
    <x v="212"/>
    <x v="6"/>
    <x v="0"/>
    <x v="0"/>
    <x v="10"/>
    <x v="1"/>
    <x v="1"/>
    <x v="1"/>
    <x v="1"/>
    <x v="1"/>
    <x v="2"/>
    <x v="1"/>
    <x v="1"/>
    <x v="274"/>
    <x v="1"/>
    <x v="1"/>
    <x v="2"/>
    <x v="462"/>
    <x v="3"/>
    <x v="1"/>
    <x v="3"/>
    <x v="2"/>
    <x v="1"/>
    <x v="688"/>
    <x v="335"/>
    <x v="0"/>
  </r>
  <r>
    <x v="1203"/>
    <x v="433"/>
    <x v="430"/>
    <x v="425"/>
    <x v="961"/>
    <x v="1"/>
    <x v="2"/>
    <x v="440"/>
    <x v="341"/>
    <x v="1"/>
    <x v="230"/>
    <x v="0"/>
    <x v="0"/>
    <x v="1"/>
    <x v="1"/>
    <x v="1"/>
    <x v="2"/>
    <x v="1"/>
    <x v="2"/>
    <x v="1"/>
    <x v="2"/>
    <x v="0"/>
    <x v="1"/>
    <x v="1"/>
    <x v="2"/>
    <x v="433"/>
    <x v="12"/>
    <x v="0"/>
    <x v="0"/>
    <x v="1"/>
    <x v="0"/>
    <x v="0"/>
    <x v="0"/>
    <x v="0"/>
  </r>
  <r>
    <x v="1204"/>
    <x v="461"/>
    <x v="457"/>
    <x v="451"/>
    <x v="962"/>
    <x v="3"/>
    <x v="3"/>
    <x v="466"/>
    <x v="227"/>
    <x v="1"/>
    <x v="231"/>
    <x v="0"/>
    <x v="0"/>
    <x v="1"/>
    <x v="1"/>
    <x v="1"/>
    <x v="2"/>
    <x v="1"/>
    <x v="2"/>
    <x v="1"/>
    <x v="2"/>
    <x v="0"/>
    <x v="1"/>
    <x v="1"/>
    <x v="2"/>
    <x v="459"/>
    <x v="12"/>
    <x v="0"/>
    <x v="0"/>
    <x v="1"/>
    <x v="0"/>
    <x v="0"/>
    <x v="0"/>
    <x v="0"/>
  </r>
  <r>
    <x v="1205"/>
    <x v="366"/>
    <x v="366"/>
    <x v="361"/>
    <x v="963"/>
    <x v="1"/>
    <x v="2"/>
    <x v="380"/>
    <x v="292"/>
    <x v="1"/>
    <x v="33"/>
    <x v="0"/>
    <x v="0"/>
    <x v="1"/>
    <x v="3"/>
    <x v="2"/>
    <x v="2"/>
    <x v="1"/>
    <x v="2"/>
    <x v="1"/>
    <x v="1"/>
    <x v="276"/>
    <x v="1"/>
    <x v="2"/>
    <x v="2"/>
    <x v="368"/>
    <x v="5"/>
    <x v="3"/>
    <x v="0"/>
    <x v="1"/>
    <x v="0"/>
    <x v="689"/>
    <x v="0"/>
    <x v="0"/>
  </r>
  <r>
    <x v="1206"/>
    <x v="442"/>
    <x v="438"/>
    <x v="433"/>
    <x v="964"/>
    <x v="1"/>
    <x v="2"/>
    <x v="448"/>
    <x v="412"/>
    <x v="1"/>
    <x v="33"/>
    <x v="0"/>
    <x v="0"/>
    <x v="3"/>
    <x v="1"/>
    <x v="1"/>
    <x v="2"/>
    <x v="1"/>
    <x v="3"/>
    <x v="1"/>
    <x v="1"/>
    <x v="277"/>
    <x v="1"/>
    <x v="3"/>
    <x v="4"/>
    <x v="441"/>
    <x v="2"/>
    <x v="1"/>
    <x v="4"/>
    <x v="2"/>
    <x v="1"/>
    <x v="690"/>
    <x v="0"/>
    <x v="0"/>
  </r>
  <r>
    <x v="1207"/>
    <x v="577"/>
    <x v="566"/>
    <x v="559"/>
    <x v="965"/>
    <x v="1"/>
    <x v="2"/>
    <x v="573"/>
    <x v="416"/>
    <x v="1"/>
    <x v="2"/>
    <x v="0"/>
    <x v="0"/>
    <x v="1"/>
    <x v="1"/>
    <x v="1"/>
    <x v="1"/>
    <x v="1"/>
    <x v="3"/>
    <x v="2"/>
    <x v="1"/>
    <x v="274"/>
    <x v="1"/>
    <x v="1"/>
    <x v="2"/>
    <x v="573"/>
    <x v="1"/>
    <x v="1"/>
    <x v="13"/>
    <x v="1"/>
    <x v="0"/>
    <x v="691"/>
    <x v="0"/>
    <x v="339"/>
  </r>
  <r>
    <x v="1208"/>
    <x v="464"/>
    <x v="460"/>
    <x v="454"/>
    <x v="966"/>
    <x v="1"/>
    <x v="2"/>
    <x v="469"/>
    <x v="212"/>
    <x v="6"/>
    <x v="0"/>
    <x v="0"/>
    <x v="10"/>
    <x v="3"/>
    <x v="1"/>
    <x v="1"/>
    <x v="1"/>
    <x v="1"/>
    <x v="2"/>
    <x v="1"/>
    <x v="1"/>
    <x v="276"/>
    <x v="1"/>
    <x v="3"/>
    <x v="4"/>
    <x v="462"/>
    <x v="3"/>
    <x v="1"/>
    <x v="1"/>
    <x v="1"/>
    <x v="0"/>
    <x v="692"/>
    <x v="336"/>
    <x v="0"/>
  </r>
  <r>
    <x v="1209"/>
    <x v="577"/>
    <x v="566"/>
    <x v="559"/>
    <x v="967"/>
    <x v="1"/>
    <x v="2"/>
    <x v="573"/>
    <x v="416"/>
    <x v="1"/>
    <x v="2"/>
    <x v="0"/>
    <x v="0"/>
    <x v="3"/>
    <x v="3"/>
    <x v="2"/>
    <x v="2"/>
    <x v="1"/>
    <x v="2"/>
    <x v="2"/>
    <x v="1"/>
    <x v="276"/>
    <x v="1"/>
    <x v="3"/>
    <x v="4"/>
    <x v="573"/>
    <x v="14"/>
    <x v="3"/>
    <x v="0"/>
    <x v="1"/>
    <x v="0"/>
    <x v="689"/>
    <x v="0"/>
    <x v="0"/>
  </r>
  <r>
    <x v="1210"/>
    <x v="43"/>
    <x v="42"/>
    <x v="42"/>
    <x v="968"/>
    <x v="1"/>
    <x v="2"/>
    <x v="45"/>
    <x v="417"/>
    <x v="1"/>
    <x v="2"/>
    <x v="0"/>
    <x v="0"/>
    <x v="1"/>
    <x v="3"/>
    <x v="2"/>
    <x v="1"/>
    <x v="2"/>
    <x v="2"/>
    <x v="1"/>
    <x v="1"/>
    <x v="276"/>
    <x v="2"/>
    <x v="1"/>
    <x v="2"/>
    <x v="574"/>
    <x v="5"/>
    <x v="3"/>
    <x v="0"/>
    <x v="1"/>
    <x v="0"/>
    <x v="689"/>
    <x v="0"/>
    <x v="340"/>
  </r>
  <r>
    <x v="1211"/>
    <x v="578"/>
    <x v="567"/>
    <x v="560"/>
    <x v="969"/>
    <x v="3"/>
    <x v="2"/>
    <x v="574"/>
    <x v="418"/>
    <x v="1"/>
    <x v="3"/>
    <x v="0"/>
    <x v="0"/>
    <x v="1"/>
    <x v="1"/>
    <x v="2"/>
    <x v="2"/>
    <x v="1"/>
    <x v="2"/>
    <x v="1"/>
    <x v="1"/>
    <x v="277"/>
    <x v="1"/>
    <x v="6"/>
    <x v="2"/>
    <x v="575"/>
    <x v="5"/>
    <x v="1"/>
    <x v="1"/>
    <x v="1"/>
    <x v="0"/>
    <x v="693"/>
    <x v="337"/>
    <x v="0"/>
  </r>
  <r>
    <x v="1212"/>
    <x v="579"/>
    <x v="568"/>
    <x v="561"/>
    <x v="970"/>
    <x v="1"/>
    <x v="2"/>
    <x v="575"/>
    <x v="218"/>
    <x v="1"/>
    <x v="4"/>
    <x v="0"/>
    <x v="0"/>
    <x v="1"/>
    <x v="1"/>
    <x v="1"/>
    <x v="2"/>
    <x v="1"/>
    <x v="2"/>
    <x v="1"/>
    <x v="1"/>
    <x v="276"/>
    <x v="1"/>
    <x v="6"/>
    <x v="2"/>
    <x v="576"/>
    <x v="5"/>
    <x v="3"/>
    <x v="0"/>
    <x v="1"/>
    <x v="0"/>
    <x v="694"/>
    <x v="0"/>
    <x v="198"/>
  </r>
  <r>
    <x v="1213"/>
    <x v="580"/>
    <x v="569"/>
    <x v="562"/>
    <x v="971"/>
    <x v="1"/>
    <x v="2"/>
    <x v="576"/>
    <x v="369"/>
    <x v="1"/>
    <x v="8"/>
    <x v="0"/>
    <x v="0"/>
    <x v="1"/>
    <x v="1"/>
    <x v="1"/>
    <x v="2"/>
    <x v="1"/>
    <x v="2"/>
    <x v="1"/>
    <x v="1"/>
    <x v="277"/>
    <x v="2"/>
    <x v="6"/>
    <x v="2"/>
    <x v="577"/>
    <x v="5"/>
    <x v="3"/>
    <x v="0"/>
    <x v="1"/>
    <x v="0"/>
    <x v="695"/>
    <x v="0"/>
    <x v="341"/>
  </r>
  <r>
    <x v="1214"/>
    <x v="464"/>
    <x v="460"/>
    <x v="454"/>
    <x v="0"/>
    <x v="1"/>
    <x v="2"/>
    <x v="469"/>
    <x v="196"/>
    <x v="6"/>
    <x v="0"/>
    <x v="0"/>
    <x v="10"/>
    <x v="3"/>
    <x v="1"/>
    <x v="1"/>
    <x v="2"/>
    <x v="1"/>
    <x v="2"/>
    <x v="1"/>
    <x v="2"/>
    <x v="0"/>
    <x v="2"/>
    <x v="3"/>
    <x v="4"/>
    <x v="462"/>
    <x v="5"/>
    <x v="0"/>
    <x v="0"/>
    <x v="1"/>
    <x v="0"/>
    <x v="0"/>
    <x v="0"/>
    <x v="0"/>
  </r>
  <r>
    <x v="1215"/>
    <x v="442"/>
    <x v="438"/>
    <x v="433"/>
    <x v="972"/>
    <x v="1"/>
    <x v="2"/>
    <x v="448"/>
    <x v="412"/>
    <x v="1"/>
    <x v="33"/>
    <x v="0"/>
    <x v="0"/>
    <x v="3"/>
    <x v="1"/>
    <x v="1"/>
    <x v="2"/>
    <x v="1"/>
    <x v="3"/>
    <x v="1"/>
    <x v="1"/>
    <x v="278"/>
    <x v="1"/>
    <x v="3"/>
    <x v="4"/>
    <x v="441"/>
    <x v="1"/>
    <x v="3"/>
    <x v="0"/>
    <x v="1"/>
    <x v="0"/>
    <x v="696"/>
    <x v="338"/>
    <x v="0"/>
  </r>
  <r>
    <x v="1216"/>
    <x v="581"/>
    <x v="570"/>
    <x v="563"/>
    <x v="973"/>
    <x v="3"/>
    <x v="4"/>
    <x v="577"/>
    <x v="419"/>
    <x v="1"/>
    <x v="232"/>
    <x v="0"/>
    <x v="0"/>
    <x v="1"/>
    <x v="2"/>
    <x v="3"/>
    <x v="2"/>
    <x v="1"/>
    <x v="2"/>
    <x v="1"/>
    <x v="1"/>
    <x v="277"/>
    <x v="1"/>
    <x v="1"/>
    <x v="2"/>
    <x v="578"/>
    <x v="6"/>
    <x v="1"/>
    <x v="1"/>
    <x v="2"/>
    <x v="1"/>
    <x v="697"/>
    <x v="0"/>
    <x v="342"/>
  </r>
  <r>
    <x v="1217"/>
    <x v="582"/>
    <x v="571"/>
    <x v="564"/>
    <x v="974"/>
    <x v="3"/>
    <x v="2"/>
    <x v="578"/>
    <x v="10"/>
    <x v="1"/>
    <x v="22"/>
    <x v="0"/>
    <x v="0"/>
    <x v="1"/>
    <x v="1"/>
    <x v="1"/>
    <x v="2"/>
    <x v="1"/>
    <x v="2"/>
    <x v="1"/>
    <x v="1"/>
    <x v="279"/>
    <x v="1"/>
    <x v="1"/>
    <x v="2"/>
    <x v="579"/>
    <x v="1"/>
    <x v="1"/>
    <x v="7"/>
    <x v="1"/>
    <x v="0"/>
    <x v="698"/>
    <x v="339"/>
    <x v="0"/>
  </r>
  <r>
    <x v="1218"/>
    <x v="581"/>
    <x v="570"/>
    <x v="563"/>
    <x v="975"/>
    <x v="3"/>
    <x v="4"/>
    <x v="577"/>
    <x v="419"/>
    <x v="1"/>
    <x v="233"/>
    <x v="0"/>
    <x v="0"/>
    <x v="3"/>
    <x v="1"/>
    <x v="1"/>
    <x v="2"/>
    <x v="1"/>
    <x v="2"/>
    <x v="1"/>
    <x v="1"/>
    <x v="279"/>
    <x v="2"/>
    <x v="3"/>
    <x v="4"/>
    <x v="578"/>
    <x v="5"/>
    <x v="1"/>
    <x v="7"/>
    <x v="2"/>
    <x v="1"/>
    <x v="699"/>
    <x v="0"/>
    <x v="0"/>
  </r>
  <r>
    <x v="1219"/>
    <x v="578"/>
    <x v="567"/>
    <x v="560"/>
    <x v="0"/>
    <x v="3"/>
    <x v="2"/>
    <x v="574"/>
    <x v="418"/>
    <x v="1"/>
    <x v="3"/>
    <x v="0"/>
    <x v="0"/>
    <x v="3"/>
    <x v="1"/>
    <x v="1"/>
    <x v="2"/>
    <x v="1"/>
    <x v="2"/>
    <x v="1"/>
    <x v="2"/>
    <x v="0"/>
    <x v="2"/>
    <x v="3"/>
    <x v="4"/>
    <x v="575"/>
    <x v="5"/>
    <x v="0"/>
    <x v="0"/>
    <x v="1"/>
    <x v="0"/>
    <x v="0"/>
    <x v="0"/>
    <x v="0"/>
  </r>
  <r>
    <x v="1220"/>
    <x v="583"/>
    <x v="572"/>
    <x v="565"/>
    <x v="976"/>
    <x v="1"/>
    <x v="3"/>
    <x v="46"/>
    <x v="420"/>
    <x v="1"/>
    <x v="234"/>
    <x v="0"/>
    <x v="0"/>
    <x v="1"/>
    <x v="1"/>
    <x v="1"/>
    <x v="1"/>
    <x v="1"/>
    <x v="2"/>
    <x v="1"/>
    <x v="2"/>
    <x v="0"/>
    <x v="1"/>
    <x v="1"/>
    <x v="2"/>
    <x v="580"/>
    <x v="12"/>
    <x v="0"/>
    <x v="0"/>
    <x v="1"/>
    <x v="0"/>
    <x v="0"/>
    <x v="0"/>
    <x v="0"/>
  </r>
  <r>
    <x v="1221"/>
    <x v="581"/>
    <x v="570"/>
    <x v="563"/>
    <x v="977"/>
    <x v="3"/>
    <x v="4"/>
    <x v="577"/>
    <x v="419"/>
    <x v="1"/>
    <x v="235"/>
    <x v="0"/>
    <x v="0"/>
    <x v="3"/>
    <x v="1"/>
    <x v="1"/>
    <x v="2"/>
    <x v="1"/>
    <x v="2"/>
    <x v="1"/>
    <x v="1"/>
    <x v="275"/>
    <x v="1"/>
    <x v="3"/>
    <x v="4"/>
    <x v="578"/>
    <x v="12"/>
    <x v="1"/>
    <x v="4"/>
    <x v="1"/>
    <x v="0"/>
    <x v="700"/>
    <x v="0"/>
    <x v="0"/>
  </r>
  <r>
    <x v="1222"/>
    <x v="582"/>
    <x v="571"/>
    <x v="564"/>
    <x v="0"/>
    <x v="3"/>
    <x v="1"/>
    <x v="578"/>
    <x v="151"/>
    <x v="1"/>
    <x v="22"/>
    <x v="0"/>
    <x v="0"/>
    <x v="3"/>
    <x v="1"/>
    <x v="1"/>
    <x v="2"/>
    <x v="1"/>
    <x v="2"/>
    <x v="1"/>
    <x v="2"/>
    <x v="0"/>
    <x v="2"/>
    <x v="3"/>
    <x v="4"/>
    <x v="579"/>
    <x v="12"/>
    <x v="0"/>
    <x v="0"/>
    <x v="1"/>
    <x v="0"/>
    <x v="0"/>
    <x v="0"/>
    <x v="0"/>
  </r>
  <r>
    <x v="1223"/>
    <x v="584"/>
    <x v="573"/>
    <x v="566"/>
    <x v="978"/>
    <x v="3"/>
    <x v="6"/>
    <x v="579"/>
    <x v="340"/>
    <x v="1"/>
    <x v="57"/>
    <x v="0"/>
    <x v="0"/>
    <x v="1"/>
    <x v="1"/>
    <x v="1"/>
    <x v="1"/>
    <x v="1"/>
    <x v="2"/>
    <x v="1"/>
    <x v="2"/>
    <x v="0"/>
    <x v="1"/>
    <x v="5"/>
    <x v="2"/>
    <x v="581"/>
    <x v="12"/>
    <x v="0"/>
    <x v="0"/>
    <x v="1"/>
    <x v="0"/>
    <x v="0"/>
    <x v="0"/>
    <x v="0"/>
  </r>
  <r>
    <x v="1224"/>
    <x v="575"/>
    <x v="563"/>
    <x v="556"/>
    <x v="979"/>
    <x v="1"/>
    <x v="2"/>
    <x v="571"/>
    <x v="414"/>
    <x v="1"/>
    <x v="22"/>
    <x v="0"/>
    <x v="0"/>
    <x v="3"/>
    <x v="1"/>
    <x v="1"/>
    <x v="2"/>
    <x v="1"/>
    <x v="2"/>
    <x v="1"/>
    <x v="1"/>
    <x v="280"/>
    <x v="1"/>
    <x v="3"/>
    <x v="4"/>
    <x v="569"/>
    <x v="14"/>
    <x v="1"/>
    <x v="4"/>
    <x v="1"/>
    <x v="0"/>
    <x v="701"/>
    <x v="0"/>
    <x v="343"/>
  </r>
  <r>
    <x v="1225"/>
    <x v="446"/>
    <x v="442"/>
    <x v="437"/>
    <x v="980"/>
    <x v="1"/>
    <x v="3"/>
    <x v="452"/>
    <x v="343"/>
    <x v="1"/>
    <x v="120"/>
    <x v="0"/>
    <x v="0"/>
    <x v="1"/>
    <x v="2"/>
    <x v="4"/>
    <x v="2"/>
    <x v="1"/>
    <x v="2"/>
    <x v="1"/>
    <x v="1"/>
    <x v="278"/>
    <x v="1"/>
    <x v="3"/>
    <x v="4"/>
    <x v="445"/>
    <x v="14"/>
    <x v="1"/>
    <x v="7"/>
    <x v="2"/>
    <x v="1"/>
    <x v="702"/>
    <x v="340"/>
    <x v="344"/>
  </r>
  <r>
    <x v="1226"/>
    <x v="581"/>
    <x v="570"/>
    <x v="563"/>
    <x v="0"/>
    <x v="3"/>
    <x v="4"/>
    <x v="577"/>
    <x v="419"/>
    <x v="1"/>
    <x v="235"/>
    <x v="0"/>
    <x v="0"/>
    <x v="3"/>
    <x v="1"/>
    <x v="1"/>
    <x v="2"/>
    <x v="1"/>
    <x v="2"/>
    <x v="1"/>
    <x v="1"/>
    <x v="278"/>
    <x v="2"/>
    <x v="3"/>
    <x v="4"/>
    <x v="578"/>
    <x v="1"/>
    <x v="3"/>
    <x v="0"/>
    <x v="1"/>
    <x v="0"/>
    <x v="703"/>
    <x v="341"/>
    <x v="0"/>
  </r>
  <r>
    <x v="1227"/>
    <x v="585"/>
    <x v="574"/>
    <x v="567"/>
    <x v="981"/>
    <x v="1"/>
    <x v="2"/>
    <x v="580"/>
    <x v="283"/>
    <x v="1"/>
    <x v="3"/>
    <x v="0"/>
    <x v="0"/>
    <x v="1"/>
    <x v="3"/>
    <x v="2"/>
    <x v="2"/>
    <x v="1"/>
    <x v="2"/>
    <x v="1"/>
    <x v="1"/>
    <x v="281"/>
    <x v="1"/>
    <x v="3"/>
    <x v="4"/>
    <x v="582"/>
    <x v="0"/>
    <x v="1"/>
    <x v="4"/>
    <x v="2"/>
    <x v="1"/>
    <x v="704"/>
    <x v="0"/>
    <x v="345"/>
  </r>
  <r>
    <x v="1228"/>
    <x v="446"/>
    <x v="442"/>
    <x v="437"/>
    <x v="982"/>
    <x v="1"/>
    <x v="2"/>
    <x v="452"/>
    <x v="347"/>
    <x v="1"/>
    <x v="161"/>
    <x v="0"/>
    <x v="0"/>
    <x v="3"/>
    <x v="1"/>
    <x v="1"/>
    <x v="2"/>
    <x v="1"/>
    <x v="2"/>
    <x v="1"/>
    <x v="1"/>
    <x v="281"/>
    <x v="1"/>
    <x v="3"/>
    <x v="4"/>
    <x v="445"/>
    <x v="12"/>
    <x v="1"/>
    <x v="4"/>
    <x v="2"/>
    <x v="1"/>
    <x v="705"/>
    <x v="0"/>
    <x v="346"/>
  </r>
  <r>
    <x v="1229"/>
    <x v="585"/>
    <x v="574"/>
    <x v="567"/>
    <x v="983"/>
    <x v="1"/>
    <x v="2"/>
    <x v="580"/>
    <x v="283"/>
    <x v="1"/>
    <x v="3"/>
    <x v="0"/>
    <x v="0"/>
    <x v="3"/>
    <x v="3"/>
    <x v="2"/>
    <x v="2"/>
    <x v="1"/>
    <x v="2"/>
    <x v="1"/>
    <x v="1"/>
    <x v="282"/>
    <x v="1"/>
    <x v="3"/>
    <x v="4"/>
    <x v="582"/>
    <x v="1"/>
    <x v="1"/>
    <x v="1"/>
    <x v="1"/>
    <x v="0"/>
    <x v="706"/>
    <x v="342"/>
    <x v="0"/>
  </r>
  <r>
    <x v="1230"/>
    <x v="446"/>
    <x v="442"/>
    <x v="437"/>
    <x v="0"/>
    <x v="1"/>
    <x v="2"/>
    <x v="452"/>
    <x v="421"/>
    <x v="1"/>
    <x v="161"/>
    <x v="0"/>
    <x v="0"/>
    <x v="3"/>
    <x v="1"/>
    <x v="1"/>
    <x v="2"/>
    <x v="1"/>
    <x v="2"/>
    <x v="1"/>
    <x v="2"/>
    <x v="0"/>
    <x v="2"/>
    <x v="3"/>
    <x v="4"/>
    <x v="445"/>
    <x v="1"/>
    <x v="0"/>
    <x v="0"/>
    <x v="1"/>
    <x v="0"/>
    <x v="0"/>
    <x v="0"/>
    <x v="0"/>
  </r>
  <r>
    <x v="1231"/>
    <x v="586"/>
    <x v="575"/>
    <x v="568"/>
    <x v="984"/>
    <x v="3"/>
    <x v="2"/>
    <x v="437"/>
    <x v="353"/>
    <x v="1"/>
    <x v="33"/>
    <x v="0"/>
    <x v="0"/>
    <x v="1"/>
    <x v="3"/>
    <x v="2"/>
    <x v="2"/>
    <x v="1"/>
    <x v="2"/>
    <x v="1"/>
    <x v="1"/>
    <x v="283"/>
    <x v="2"/>
    <x v="1"/>
    <x v="2"/>
    <x v="583"/>
    <x v="3"/>
    <x v="3"/>
    <x v="0"/>
    <x v="1"/>
    <x v="0"/>
    <x v="707"/>
    <x v="343"/>
    <x v="0"/>
  </r>
  <r>
    <x v="1232"/>
    <x v="554"/>
    <x v="546"/>
    <x v="539"/>
    <x v="985"/>
    <x v="1"/>
    <x v="2"/>
    <x v="555"/>
    <x v="238"/>
    <x v="1"/>
    <x v="15"/>
    <x v="0"/>
    <x v="0"/>
    <x v="1"/>
    <x v="3"/>
    <x v="2"/>
    <x v="2"/>
    <x v="1"/>
    <x v="2"/>
    <x v="1"/>
    <x v="1"/>
    <x v="282"/>
    <x v="1"/>
    <x v="2"/>
    <x v="2"/>
    <x v="550"/>
    <x v="3"/>
    <x v="3"/>
    <x v="0"/>
    <x v="1"/>
    <x v="0"/>
    <x v="708"/>
    <x v="0"/>
    <x v="0"/>
  </r>
  <r>
    <x v="1233"/>
    <x v="587"/>
    <x v="576"/>
    <x v="569"/>
    <x v="986"/>
    <x v="2"/>
    <x v="4"/>
    <x v="581"/>
    <x v="269"/>
    <x v="1"/>
    <x v="236"/>
    <x v="0"/>
    <x v="0"/>
    <x v="1"/>
    <x v="1"/>
    <x v="1"/>
    <x v="2"/>
    <x v="2"/>
    <x v="1"/>
    <x v="1"/>
    <x v="1"/>
    <x v="282"/>
    <x v="1"/>
    <x v="1"/>
    <x v="2"/>
    <x v="584"/>
    <x v="4"/>
    <x v="1"/>
    <x v="1"/>
    <x v="2"/>
    <x v="1"/>
    <x v="709"/>
    <x v="344"/>
    <x v="0"/>
  </r>
  <r>
    <x v="1234"/>
    <x v="588"/>
    <x v="577"/>
    <x v="570"/>
    <x v="987"/>
    <x v="1"/>
    <x v="2"/>
    <x v="582"/>
    <x v="374"/>
    <x v="1"/>
    <x v="237"/>
    <x v="0"/>
    <x v="0"/>
    <x v="1"/>
    <x v="1"/>
    <x v="1"/>
    <x v="2"/>
    <x v="1"/>
    <x v="2"/>
    <x v="1"/>
    <x v="2"/>
    <x v="0"/>
    <x v="1"/>
    <x v="1"/>
    <x v="2"/>
    <x v="585"/>
    <x v="5"/>
    <x v="0"/>
    <x v="0"/>
    <x v="1"/>
    <x v="0"/>
    <x v="0"/>
    <x v="0"/>
    <x v="0"/>
  </r>
  <r>
    <x v="1235"/>
    <x v="589"/>
    <x v="576"/>
    <x v="569"/>
    <x v="988"/>
    <x v="2"/>
    <x v="4"/>
    <x v="581"/>
    <x v="269"/>
    <x v="1"/>
    <x v="236"/>
    <x v="0"/>
    <x v="0"/>
    <x v="3"/>
    <x v="1"/>
    <x v="1"/>
    <x v="2"/>
    <x v="2"/>
    <x v="2"/>
    <x v="1"/>
    <x v="1"/>
    <x v="284"/>
    <x v="2"/>
    <x v="3"/>
    <x v="4"/>
    <x v="584"/>
    <x v="5"/>
    <x v="1"/>
    <x v="7"/>
    <x v="1"/>
    <x v="0"/>
    <x v="710"/>
    <x v="0"/>
    <x v="0"/>
  </r>
  <r>
    <x v="1236"/>
    <x v="445"/>
    <x v="441"/>
    <x v="436"/>
    <x v="989"/>
    <x v="1"/>
    <x v="2"/>
    <x v="451"/>
    <x v="324"/>
    <x v="1"/>
    <x v="15"/>
    <x v="0"/>
    <x v="0"/>
    <x v="1"/>
    <x v="1"/>
    <x v="1"/>
    <x v="1"/>
    <x v="1"/>
    <x v="2"/>
    <x v="1"/>
    <x v="2"/>
    <x v="0"/>
    <x v="1"/>
    <x v="1"/>
    <x v="2"/>
    <x v="444"/>
    <x v="2"/>
    <x v="0"/>
    <x v="0"/>
    <x v="1"/>
    <x v="0"/>
    <x v="0"/>
    <x v="0"/>
    <x v="0"/>
  </r>
  <r>
    <x v="1237"/>
    <x v="590"/>
    <x v="578"/>
    <x v="571"/>
    <x v="990"/>
    <x v="1"/>
    <x v="1"/>
    <x v="583"/>
    <x v="422"/>
    <x v="1"/>
    <x v="27"/>
    <x v="0"/>
    <x v="0"/>
    <x v="1"/>
    <x v="3"/>
    <x v="3"/>
    <x v="2"/>
    <x v="1"/>
    <x v="2"/>
    <x v="1"/>
    <x v="1"/>
    <x v="285"/>
    <x v="2"/>
    <x v="1"/>
    <x v="2"/>
    <x v="586"/>
    <x v="15"/>
    <x v="1"/>
    <x v="1"/>
    <x v="1"/>
    <x v="0"/>
    <x v="711"/>
    <x v="0"/>
    <x v="0"/>
  </r>
  <r>
    <x v="1238"/>
    <x v="585"/>
    <x v="574"/>
    <x v="567"/>
    <x v="0"/>
    <x v="1"/>
    <x v="2"/>
    <x v="580"/>
    <x v="283"/>
    <x v="1"/>
    <x v="3"/>
    <x v="0"/>
    <x v="0"/>
    <x v="3"/>
    <x v="1"/>
    <x v="1"/>
    <x v="2"/>
    <x v="1"/>
    <x v="2"/>
    <x v="1"/>
    <x v="2"/>
    <x v="0"/>
    <x v="2"/>
    <x v="3"/>
    <x v="4"/>
    <x v="582"/>
    <x v="5"/>
    <x v="0"/>
    <x v="0"/>
    <x v="1"/>
    <x v="0"/>
    <x v="0"/>
    <x v="0"/>
    <x v="0"/>
  </r>
  <r>
    <x v="1239"/>
    <x v="591"/>
    <x v="579"/>
    <x v="572"/>
    <x v="991"/>
    <x v="1"/>
    <x v="2"/>
    <x v="584"/>
    <x v="293"/>
    <x v="1"/>
    <x v="33"/>
    <x v="0"/>
    <x v="0"/>
    <x v="1"/>
    <x v="1"/>
    <x v="1"/>
    <x v="2"/>
    <x v="1"/>
    <x v="1"/>
    <x v="1"/>
    <x v="1"/>
    <x v="284"/>
    <x v="1"/>
    <x v="5"/>
    <x v="2"/>
    <x v="587"/>
    <x v="14"/>
    <x v="3"/>
    <x v="0"/>
    <x v="1"/>
    <x v="0"/>
    <x v="712"/>
    <x v="345"/>
    <x v="0"/>
  </r>
  <r>
    <x v="1240"/>
    <x v="590"/>
    <x v="578"/>
    <x v="571"/>
    <x v="0"/>
    <x v="1"/>
    <x v="1"/>
    <x v="583"/>
    <x v="422"/>
    <x v="1"/>
    <x v="27"/>
    <x v="0"/>
    <x v="0"/>
    <x v="3"/>
    <x v="4"/>
    <x v="1"/>
    <x v="2"/>
    <x v="1"/>
    <x v="2"/>
    <x v="1"/>
    <x v="1"/>
    <x v="286"/>
    <x v="2"/>
    <x v="3"/>
    <x v="4"/>
    <x v="586"/>
    <x v="5"/>
    <x v="1"/>
    <x v="4"/>
    <x v="2"/>
    <x v="1"/>
    <x v="713"/>
    <x v="346"/>
    <x v="0"/>
  </r>
  <r>
    <x v="1241"/>
    <x v="464"/>
    <x v="460"/>
    <x v="454"/>
    <x v="992"/>
    <x v="1"/>
    <x v="2"/>
    <x v="469"/>
    <x v="384"/>
    <x v="6"/>
    <x v="0"/>
    <x v="0"/>
    <x v="10"/>
    <x v="1"/>
    <x v="3"/>
    <x v="3"/>
    <x v="2"/>
    <x v="1"/>
    <x v="2"/>
    <x v="1"/>
    <x v="1"/>
    <x v="284"/>
    <x v="1"/>
    <x v="1"/>
    <x v="2"/>
    <x v="462"/>
    <x v="14"/>
    <x v="1"/>
    <x v="4"/>
    <x v="1"/>
    <x v="0"/>
    <x v="714"/>
    <x v="347"/>
    <x v="0"/>
  </r>
  <r>
    <x v="1242"/>
    <x v="592"/>
    <x v="580"/>
    <x v="573"/>
    <x v="993"/>
    <x v="1"/>
    <x v="1"/>
    <x v="585"/>
    <x v="389"/>
    <x v="1"/>
    <x v="238"/>
    <x v="0"/>
    <x v="0"/>
    <x v="1"/>
    <x v="2"/>
    <x v="4"/>
    <x v="2"/>
    <x v="1"/>
    <x v="2"/>
    <x v="1"/>
    <x v="2"/>
    <x v="0"/>
    <x v="1"/>
    <x v="1"/>
    <x v="5"/>
    <x v="588"/>
    <x v="16"/>
    <x v="0"/>
    <x v="0"/>
    <x v="1"/>
    <x v="0"/>
    <x v="0"/>
    <x v="0"/>
    <x v="0"/>
  </r>
  <r>
    <x v="1243"/>
    <x v="593"/>
    <x v="581"/>
    <x v="574"/>
    <x v="994"/>
    <x v="1"/>
    <x v="2"/>
    <x v="586"/>
    <x v="10"/>
    <x v="1"/>
    <x v="33"/>
    <x v="0"/>
    <x v="0"/>
    <x v="1"/>
    <x v="3"/>
    <x v="3"/>
    <x v="2"/>
    <x v="1"/>
    <x v="2"/>
    <x v="1"/>
    <x v="1"/>
    <x v="284"/>
    <x v="1"/>
    <x v="1"/>
    <x v="2"/>
    <x v="589"/>
    <x v="14"/>
    <x v="1"/>
    <x v="4"/>
    <x v="2"/>
    <x v="1"/>
    <x v="715"/>
    <x v="0"/>
    <x v="0"/>
  </r>
  <r>
    <x v="1244"/>
    <x v="594"/>
    <x v="582"/>
    <x v="575"/>
    <x v="995"/>
    <x v="1"/>
    <x v="3"/>
    <x v="587"/>
    <x v="10"/>
    <x v="1"/>
    <x v="161"/>
    <x v="0"/>
    <x v="0"/>
    <x v="1"/>
    <x v="2"/>
    <x v="4"/>
    <x v="2"/>
    <x v="1"/>
    <x v="2"/>
    <x v="1"/>
    <x v="1"/>
    <x v="284"/>
    <x v="1"/>
    <x v="5"/>
    <x v="2"/>
    <x v="590"/>
    <x v="5"/>
    <x v="1"/>
    <x v="4"/>
    <x v="2"/>
    <x v="1"/>
    <x v="716"/>
    <x v="348"/>
    <x v="0"/>
  </r>
  <r>
    <x v="1245"/>
    <x v="589"/>
    <x v="576"/>
    <x v="569"/>
    <x v="0"/>
    <x v="2"/>
    <x v="4"/>
    <x v="581"/>
    <x v="269"/>
    <x v="1"/>
    <x v="239"/>
    <x v="0"/>
    <x v="0"/>
    <x v="3"/>
    <x v="1"/>
    <x v="1"/>
    <x v="2"/>
    <x v="1"/>
    <x v="2"/>
    <x v="1"/>
    <x v="2"/>
    <x v="0"/>
    <x v="2"/>
    <x v="3"/>
    <x v="4"/>
    <x v="584"/>
    <x v="12"/>
    <x v="0"/>
    <x v="0"/>
    <x v="1"/>
    <x v="0"/>
    <x v="0"/>
    <x v="0"/>
    <x v="0"/>
  </r>
  <r>
    <x v="1246"/>
    <x v="593"/>
    <x v="581"/>
    <x v="574"/>
    <x v="996"/>
    <x v="1"/>
    <x v="2"/>
    <x v="586"/>
    <x v="158"/>
    <x v="1"/>
    <x v="33"/>
    <x v="0"/>
    <x v="0"/>
    <x v="3"/>
    <x v="1"/>
    <x v="1"/>
    <x v="2"/>
    <x v="1"/>
    <x v="2"/>
    <x v="1"/>
    <x v="1"/>
    <x v="287"/>
    <x v="1"/>
    <x v="3"/>
    <x v="4"/>
    <x v="589"/>
    <x v="1"/>
    <x v="3"/>
    <x v="0"/>
    <x v="1"/>
    <x v="0"/>
    <x v="717"/>
    <x v="349"/>
    <x v="0"/>
  </r>
  <r>
    <x v="1247"/>
    <x v="595"/>
    <x v="583"/>
    <x v="576"/>
    <x v="997"/>
    <x v="1"/>
    <x v="2"/>
    <x v="588"/>
    <x v="203"/>
    <x v="2"/>
    <x v="0"/>
    <x v="2"/>
    <x v="0"/>
    <x v="1"/>
    <x v="1"/>
    <x v="1"/>
    <x v="2"/>
    <x v="1"/>
    <x v="2"/>
    <x v="1"/>
    <x v="2"/>
    <x v="0"/>
    <x v="1"/>
    <x v="1"/>
    <x v="2"/>
    <x v="591"/>
    <x v="12"/>
    <x v="0"/>
    <x v="0"/>
    <x v="1"/>
    <x v="0"/>
    <x v="0"/>
    <x v="0"/>
    <x v="0"/>
  </r>
  <r>
    <x v="1248"/>
    <x v="596"/>
    <x v="582"/>
    <x v="575"/>
    <x v="998"/>
    <x v="1"/>
    <x v="3"/>
    <x v="587"/>
    <x v="10"/>
    <x v="1"/>
    <x v="161"/>
    <x v="0"/>
    <x v="0"/>
    <x v="3"/>
    <x v="1"/>
    <x v="1"/>
    <x v="2"/>
    <x v="1"/>
    <x v="2"/>
    <x v="1"/>
    <x v="1"/>
    <x v="286"/>
    <x v="1"/>
    <x v="3"/>
    <x v="4"/>
    <x v="590"/>
    <x v="1"/>
    <x v="1"/>
    <x v="4"/>
    <x v="1"/>
    <x v="0"/>
    <x v="718"/>
    <x v="0"/>
    <x v="0"/>
  </r>
  <r>
    <x v="1249"/>
    <x v="464"/>
    <x v="460"/>
    <x v="454"/>
    <x v="0"/>
    <x v="1"/>
    <x v="2"/>
    <x v="469"/>
    <x v="423"/>
    <x v="6"/>
    <x v="0"/>
    <x v="0"/>
    <x v="10"/>
    <x v="3"/>
    <x v="4"/>
    <x v="1"/>
    <x v="2"/>
    <x v="1"/>
    <x v="2"/>
    <x v="1"/>
    <x v="2"/>
    <x v="0"/>
    <x v="2"/>
    <x v="3"/>
    <x v="4"/>
    <x v="462"/>
    <x v="1"/>
    <x v="0"/>
    <x v="0"/>
    <x v="1"/>
    <x v="0"/>
    <x v="0"/>
    <x v="0"/>
    <x v="0"/>
  </r>
  <r>
    <x v="1250"/>
    <x v="596"/>
    <x v="582"/>
    <x v="575"/>
    <x v="0"/>
    <x v="1"/>
    <x v="3"/>
    <x v="587"/>
    <x v="10"/>
    <x v="1"/>
    <x v="161"/>
    <x v="0"/>
    <x v="0"/>
    <x v="3"/>
    <x v="1"/>
    <x v="1"/>
    <x v="2"/>
    <x v="1"/>
    <x v="2"/>
    <x v="1"/>
    <x v="2"/>
    <x v="0"/>
    <x v="2"/>
    <x v="3"/>
    <x v="4"/>
    <x v="590"/>
    <x v="1"/>
    <x v="0"/>
    <x v="0"/>
    <x v="1"/>
    <x v="0"/>
    <x v="0"/>
    <x v="0"/>
    <x v="0"/>
  </r>
  <r>
    <x v="1251"/>
    <x v="590"/>
    <x v="578"/>
    <x v="571"/>
    <x v="999"/>
    <x v="1"/>
    <x v="1"/>
    <x v="583"/>
    <x v="422"/>
    <x v="1"/>
    <x v="27"/>
    <x v="0"/>
    <x v="0"/>
    <x v="3"/>
    <x v="1"/>
    <x v="1"/>
    <x v="2"/>
    <x v="1"/>
    <x v="2"/>
    <x v="1"/>
    <x v="2"/>
    <x v="0"/>
    <x v="2"/>
    <x v="3"/>
    <x v="4"/>
    <x v="586"/>
    <x v="1"/>
    <x v="0"/>
    <x v="0"/>
    <x v="1"/>
    <x v="0"/>
    <x v="0"/>
    <x v="0"/>
    <x v="0"/>
  </r>
  <r>
    <x v="1252"/>
    <x v="597"/>
    <x v="584"/>
    <x v="577"/>
    <x v="1000"/>
    <x v="1"/>
    <x v="2"/>
    <x v="589"/>
    <x v="10"/>
    <x v="1"/>
    <x v="31"/>
    <x v="0"/>
    <x v="0"/>
    <x v="1"/>
    <x v="7"/>
    <x v="3"/>
    <x v="2"/>
    <x v="1"/>
    <x v="1"/>
    <x v="1"/>
    <x v="1"/>
    <x v="287"/>
    <x v="1"/>
    <x v="6"/>
    <x v="3"/>
    <x v="592"/>
    <x v="14"/>
    <x v="3"/>
    <x v="0"/>
    <x v="1"/>
    <x v="0"/>
    <x v="719"/>
    <x v="350"/>
    <x v="0"/>
  </r>
  <r>
    <x v="1253"/>
    <x v="491"/>
    <x v="484"/>
    <x v="478"/>
    <x v="1001"/>
    <x v="1"/>
    <x v="2"/>
    <x v="499"/>
    <x v="384"/>
    <x v="6"/>
    <x v="0"/>
    <x v="0"/>
    <x v="27"/>
    <x v="1"/>
    <x v="1"/>
    <x v="1"/>
    <x v="2"/>
    <x v="1"/>
    <x v="2"/>
    <x v="1"/>
    <x v="1"/>
    <x v="287"/>
    <x v="1"/>
    <x v="6"/>
    <x v="3"/>
    <x v="488"/>
    <x v="14"/>
    <x v="3"/>
    <x v="0"/>
    <x v="1"/>
    <x v="0"/>
    <x v="720"/>
    <x v="351"/>
    <x v="0"/>
  </r>
  <r>
    <x v="1254"/>
    <x v="598"/>
    <x v="585"/>
    <x v="578"/>
    <x v="1002"/>
    <x v="1"/>
    <x v="2"/>
    <x v="590"/>
    <x v="424"/>
    <x v="1"/>
    <x v="3"/>
    <x v="0"/>
    <x v="0"/>
    <x v="1"/>
    <x v="3"/>
    <x v="2"/>
    <x v="1"/>
    <x v="1"/>
    <x v="2"/>
    <x v="1"/>
    <x v="1"/>
    <x v="288"/>
    <x v="1"/>
    <x v="4"/>
    <x v="2"/>
    <x v="593"/>
    <x v="3"/>
    <x v="1"/>
    <x v="1"/>
    <x v="1"/>
    <x v="0"/>
    <x v="721"/>
    <x v="352"/>
    <x v="0"/>
  </r>
  <r>
    <x v="1255"/>
    <x v="562"/>
    <x v="491"/>
    <x v="484"/>
    <x v="1003"/>
    <x v="3"/>
    <x v="2"/>
    <x v="500"/>
    <x v="323"/>
    <x v="1"/>
    <x v="2"/>
    <x v="0"/>
    <x v="0"/>
    <x v="1"/>
    <x v="1"/>
    <x v="1"/>
    <x v="1"/>
    <x v="2"/>
    <x v="2"/>
    <x v="1"/>
    <x v="2"/>
    <x v="0"/>
    <x v="1"/>
    <x v="5"/>
    <x v="2"/>
    <x v="494"/>
    <x v="3"/>
    <x v="0"/>
    <x v="0"/>
    <x v="1"/>
    <x v="0"/>
    <x v="0"/>
    <x v="0"/>
    <x v="0"/>
  </r>
  <r>
    <x v="1256"/>
    <x v="575"/>
    <x v="563"/>
    <x v="556"/>
    <x v="0"/>
    <x v="1"/>
    <x v="2"/>
    <x v="571"/>
    <x v="414"/>
    <x v="1"/>
    <x v="22"/>
    <x v="0"/>
    <x v="0"/>
    <x v="3"/>
    <x v="1"/>
    <x v="1"/>
    <x v="2"/>
    <x v="1"/>
    <x v="2"/>
    <x v="1"/>
    <x v="2"/>
    <x v="0"/>
    <x v="2"/>
    <x v="3"/>
    <x v="4"/>
    <x v="569"/>
    <x v="1"/>
    <x v="0"/>
    <x v="0"/>
    <x v="1"/>
    <x v="0"/>
    <x v="0"/>
    <x v="0"/>
    <x v="0"/>
  </r>
  <r>
    <x v="1257"/>
    <x v="460"/>
    <x v="456"/>
    <x v="450"/>
    <x v="1004"/>
    <x v="1"/>
    <x v="2"/>
    <x v="465"/>
    <x v="199"/>
    <x v="1"/>
    <x v="2"/>
    <x v="0"/>
    <x v="0"/>
    <x v="1"/>
    <x v="3"/>
    <x v="3"/>
    <x v="1"/>
    <x v="1"/>
    <x v="2"/>
    <x v="1"/>
    <x v="1"/>
    <x v="280"/>
    <x v="1"/>
    <x v="1"/>
    <x v="2"/>
    <x v="458"/>
    <x v="2"/>
    <x v="3"/>
    <x v="0"/>
    <x v="1"/>
    <x v="0"/>
    <x v="722"/>
    <x v="353"/>
    <x v="347"/>
  </r>
  <r>
    <x v="1258"/>
    <x v="599"/>
    <x v="586"/>
    <x v="579"/>
    <x v="1005"/>
    <x v="1"/>
    <x v="1"/>
    <x v="347"/>
    <x v="425"/>
    <x v="1"/>
    <x v="2"/>
    <x v="0"/>
    <x v="0"/>
    <x v="1"/>
    <x v="2"/>
    <x v="3"/>
    <x v="1"/>
    <x v="1"/>
    <x v="2"/>
    <x v="1"/>
    <x v="1"/>
    <x v="289"/>
    <x v="1"/>
    <x v="1"/>
    <x v="2"/>
    <x v="594"/>
    <x v="2"/>
    <x v="1"/>
    <x v="1"/>
    <x v="1"/>
    <x v="0"/>
    <x v="723"/>
    <x v="0"/>
    <x v="0"/>
  </r>
  <r>
    <x v="1259"/>
    <x v="335"/>
    <x v="335"/>
    <x v="330"/>
    <x v="1006"/>
    <x v="1"/>
    <x v="2"/>
    <x v="350"/>
    <x v="269"/>
    <x v="1"/>
    <x v="3"/>
    <x v="0"/>
    <x v="0"/>
    <x v="1"/>
    <x v="3"/>
    <x v="2"/>
    <x v="1"/>
    <x v="1"/>
    <x v="2"/>
    <x v="1"/>
    <x v="1"/>
    <x v="289"/>
    <x v="1"/>
    <x v="1"/>
    <x v="2"/>
    <x v="337"/>
    <x v="5"/>
    <x v="3"/>
    <x v="0"/>
    <x v="1"/>
    <x v="0"/>
    <x v="724"/>
    <x v="354"/>
    <x v="0"/>
  </r>
  <r>
    <x v="1260"/>
    <x v="599"/>
    <x v="586"/>
    <x v="579"/>
    <x v="0"/>
    <x v="1"/>
    <x v="1"/>
    <x v="347"/>
    <x v="425"/>
    <x v="1"/>
    <x v="2"/>
    <x v="0"/>
    <x v="0"/>
    <x v="3"/>
    <x v="4"/>
    <x v="1"/>
    <x v="2"/>
    <x v="1"/>
    <x v="2"/>
    <x v="1"/>
    <x v="2"/>
    <x v="0"/>
    <x v="2"/>
    <x v="3"/>
    <x v="4"/>
    <x v="594"/>
    <x v="5"/>
    <x v="0"/>
    <x v="0"/>
    <x v="1"/>
    <x v="0"/>
    <x v="0"/>
    <x v="0"/>
    <x v="0"/>
  </r>
  <r>
    <x v="1261"/>
    <x v="600"/>
    <x v="587"/>
    <x v="580"/>
    <x v="1007"/>
    <x v="3"/>
    <x v="4"/>
    <x v="591"/>
    <x v="359"/>
    <x v="1"/>
    <x v="15"/>
    <x v="0"/>
    <x v="0"/>
    <x v="1"/>
    <x v="3"/>
    <x v="3"/>
    <x v="2"/>
    <x v="2"/>
    <x v="2"/>
    <x v="1"/>
    <x v="1"/>
    <x v="288"/>
    <x v="1"/>
    <x v="5"/>
    <x v="2"/>
    <x v="595"/>
    <x v="5"/>
    <x v="3"/>
    <x v="0"/>
    <x v="1"/>
    <x v="0"/>
    <x v="725"/>
    <x v="355"/>
    <x v="348"/>
  </r>
  <r>
    <x v="1262"/>
    <x v="471"/>
    <x v="466"/>
    <x v="460"/>
    <x v="1008"/>
    <x v="1"/>
    <x v="2"/>
    <x v="476"/>
    <x v="341"/>
    <x v="1"/>
    <x v="33"/>
    <x v="0"/>
    <x v="0"/>
    <x v="1"/>
    <x v="3"/>
    <x v="2"/>
    <x v="2"/>
    <x v="1"/>
    <x v="3"/>
    <x v="1"/>
    <x v="1"/>
    <x v="288"/>
    <x v="1"/>
    <x v="2"/>
    <x v="3"/>
    <x v="468"/>
    <x v="5"/>
    <x v="1"/>
    <x v="1"/>
    <x v="1"/>
    <x v="0"/>
    <x v="726"/>
    <x v="0"/>
    <x v="194"/>
  </r>
  <r>
    <x v="1263"/>
    <x v="601"/>
    <x v="588"/>
    <x v="581"/>
    <x v="1009"/>
    <x v="1"/>
    <x v="2"/>
    <x v="592"/>
    <x v="10"/>
    <x v="2"/>
    <x v="0"/>
    <x v="2"/>
    <x v="0"/>
    <x v="1"/>
    <x v="3"/>
    <x v="3"/>
    <x v="2"/>
    <x v="1"/>
    <x v="1"/>
    <x v="1"/>
    <x v="1"/>
    <x v="288"/>
    <x v="2"/>
    <x v="1"/>
    <x v="2"/>
    <x v="596"/>
    <x v="14"/>
    <x v="1"/>
    <x v="13"/>
    <x v="1"/>
    <x v="0"/>
    <x v="727"/>
    <x v="0"/>
    <x v="349"/>
  </r>
  <r>
    <x v="1264"/>
    <x v="602"/>
    <x v="589"/>
    <x v="582"/>
    <x v="1010"/>
    <x v="1"/>
    <x v="2"/>
    <x v="593"/>
    <x v="351"/>
    <x v="1"/>
    <x v="240"/>
    <x v="0"/>
    <x v="0"/>
    <x v="1"/>
    <x v="5"/>
    <x v="4"/>
    <x v="1"/>
    <x v="1"/>
    <x v="2"/>
    <x v="1"/>
    <x v="1"/>
    <x v="290"/>
    <x v="1"/>
    <x v="1"/>
    <x v="13"/>
    <x v="597"/>
    <x v="15"/>
    <x v="3"/>
    <x v="0"/>
    <x v="1"/>
    <x v="0"/>
    <x v="728"/>
    <x v="356"/>
    <x v="350"/>
  </r>
  <r>
    <x v="1265"/>
    <x v="471"/>
    <x v="466"/>
    <x v="460"/>
    <x v="0"/>
    <x v="1"/>
    <x v="2"/>
    <x v="476"/>
    <x v="341"/>
    <x v="1"/>
    <x v="33"/>
    <x v="0"/>
    <x v="0"/>
    <x v="3"/>
    <x v="1"/>
    <x v="2"/>
    <x v="2"/>
    <x v="1"/>
    <x v="3"/>
    <x v="1"/>
    <x v="1"/>
    <x v="291"/>
    <x v="2"/>
    <x v="3"/>
    <x v="4"/>
    <x v="468"/>
    <x v="5"/>
    <x v="1"/>
    <x v="5"/>
    <x v="1"/>
    <x v="1"/>
    <x v="729"/>
    <x v="357"/>
    <x v="198"/>
  </r>
  <r>
    <x v="1266"/>
    <x v="601"/>
    <x v="588"/>
    <x v="581"/>
    <x v="0"/>
    <x v="1"/>
    <x v="2"/>
    <x v="592"/>
    <x v="10"/>
    <x v="2"/>
    <x v="0"/>
    <x v="2"/>
    <x v="0"/>
    <x v="3"/>
    <x v="4"/>
    <x v="1"/>
    <x v="2"/>
    <x v="1"/>
    <x v="2"/>
    <x v="1"/>
    <x v="2"/>
    <x v="0"/>
    <x v="2"/>
    <x v="3"/>
    <x v="4"/>
    <x v="598"/>
    <x v="14"/>
    <x v="0"/>
    <x v="0"/>
    <x v="1"/>
    <x v="0"/>
    <x v="0"/>
    <x v="0"/>
    <x v="0"/>
  </r>
  <r>
    <x v="1267"/>
    <x v="598"/>
    <x v="585"/>
    <x v="578"/>
    <x v="0"/>
    <x v="1"/>
    <x v="2"/>
    <x v="590"/>
    <x v="424"/>
    <x v="1"/>
    <x v="3"/>
    <x v="0"/>
    <x v="0"/>
    <x v="3"/>
    <x v="6"/>
    <x v="2"/>
    <x v="2"/>
    <x v="1"/>
    <x v="2"/>
    <x v="1"/>
    <x v="1"/>
    <x v="292"/>
    <x v="2"/>
    <x v="3"/>
    <x v="4"/>
    <x v="593"/>
    <x v="5"/>
    <x v="1"/>
    <x v="1"/>
    <x v="1"/>
    <x v="0"/>
    <x v="730"/>
    <x v="0"/>
    <x v="0"/>
  </r>
  <r>
    <x v="1268"/>
    <x v="603"/>
    <x v="590"/>
    <x v="583"/>
    <x v="1011"/>
    <x v="1"/>
    <x v="2"/>
    <x v="594"/>
    <x v="244"/>
    <x v="1"/>
    <x v="241"/>
    <x v="0"/>
    <x v="0"/>
    <x v="1"/>
    <x v="1"/>
    <x v="2"/>
    <x v="1"/>
    <x v="1"/>
    <x v="2"/>
    <x v="1"/>
    <x v="2"/>
    <x v="0"/>
    <x v="1"/>
    <x v="5"/>
    <x v="2"/>
    <x v="599"/>
    <x v="5"/>
    <x v="0"/>
    <x v="0"/>
    <x v="1"/>
    <x v="0"/>
    <x v="0"/>
    <x v="0"/>
    <x v="0"/>
  </r>
  <r>
    <x v="1269"/>
    <x v="604"/>
    <x v="591"/>
    <x v="584"/>
    <x v="1012"/>
    <x v="1"/>
    <x v="2"/>
    <x v="595"/>
    <x v="426"/>
    <x v="1"/>
    <x v="22"/>
    <x v="0"/>
    <x v="0"/>
    <x v="1"/>
    <x v="2"/>
    <x v="3"/>
    <x v="1"/>
    <x v="1"/>
    <x v="2"/>
    <x v="1"/>
    <x v="1"/>
    <x v="291"/>
    <x v="1"/>
    <x v="1"/>
    <x v="2"/>
    <x v="600"/>
    <x v="17"/>
    <x v="3"/>
    <x v="0"/>
    <x v="1"/>
    <x v="0"/>
    <x v="729"/>
    <x v="358"/>
    <x v="0"/>
  </r>
  <r>
    <x v="1270"/>
    <x v="471"/>
    <x v="466"/>
    <x v="460"/>
    <x v="1013"/>
    <x v="1"/>
    <x v="2"/>
    <x v="476"/>
    <x v="341"/>
    <x v="1"/>
    <x v="33"/>
    <x v="0"/>
    <x v="0"/>
    <x v="3"/>
    <x v="1"/>
    <x v="1"/>
    <x v="2"/>
    <x v="1"/>
    <x v="3"/>
    <x v="1"/>
    <x v="1"/>
    <x v="293"/>
    <x v="1"/>
    <x v="3"/>
    <x v="4"/>
    <x v="468"/>
    <x v="2"/>
    <x v="3"/>
    <x v="0"/>
    <x v="1"/>
    <x v="0"/>
    <x v="731"/>
    <x v="359"/>
    <x v="0"/>
  </r>
  <r>
    <x v="1271"/>
    <x v="605"/>
    <x v="592"/>
    <x v="585"/>
    <x v="1014"/>
    <x v="1"/>
    <x v="2"/>
    <x v="101"/>
    <x v="255"/>
    <x v="1"/>
    <x v="242"/>
    <x v="0"/>
    <x v="0"/>
    <x v="1"/>
    <x v="1"/>
    <x v="1"/>
    <x v="2"/>
    <x v="1"/>
    <x v="3"/>
    <x v="1"/>
    <x v="2"/>
    <x v="0"/>
    <x v="1"/>
    <x v="5"/>
    <x v="3"/>
    <x v="601"/>
    <x v="18"/>
    <x v="0"/>
    <x v="0"/>
    <x v="0"/>
    <x v="0"/>
    <x v="0"/>
    <x v="0"/>
    <x v="0"/>
  </r>
  <r>
    <x v="1272"/>
    <x v="428"/>
    <x v="425"/>
    <x v="420"/>
    <x v="1015"/>
    <x v="3"/>
    <x v="3"/>
    <x v="437"/>
    <x v="324"/>
    <x v="1"/>
    <x v="2"/>
    <x v="0"/>
    <x v="0"/>
    <x v="1"/>
    <x v="1"/>
    <x v="1"/>
    <x v="2"/>
    <x v="1"/>
    <x v="3"/>
    <x v="1"/>
    <x v="2"/>
    <x v="0"/>
    <x v="1"/>
    <x v="5"/>
    <x v="3"/>
    <x v="428"/>
    <x v="18"/>
    <x v="0"/>
    <x v="0"/>
    <x v="0"/>
    <x v="0"/>
    <x v="0"/>
    <x v="0"/>
    <x v="0"/>
  </r>
  <r>
    <x v="1273"/>
    <x v="540"/>
    <x v="532"/>
    <x v="524"/>
    <x v="1016"/>
    <x v="1"/>
    <x v="2"/>
    <x v="543"/>
    <x v="427"/>
    <x v="1"/>
    <x v="33"/>
    <x v="0"/>
    <x v="0"/>
    <x v="1"/>
    <x v="2"/>
    <x v="3"/>
    <x v="2"/>
    <x v="1"/>
    <x v="3"/>
    <x v="1"/>
    <x v="1"/>
    <x v="293"/>
    <x v="1"/>
    <x v="6"/>
    <x v="3"/>
    <x v="535"/>
    <x v="19"/>
    <x v="1"/>
    <x v="13"/>
    <x v="2"/>
    <x v="1"/>
    <x v="0"/>
    <x v="0"/>
    <x v="351"/>
  </r>
  <r>
    <x v="1274"/>
    <x v="598"/>
    <x v="585"/>
    <x v="578"/>
    <x v="0"/>
    <x v="1"/>
    <x v="2"/>
    <x v="590"/>
    <x v="424"/>
    <x v="1"/>
    <x v="3"/>
    <x v="0"/>
    <x v="0"/>
    <x v="3"/>
    <x v="1"/>
    <x v="2"/>
    <x v="2"/>
    <x v="1"/>
    <x v="2"/>
    <x v="1"/>
    <x v="1"/>
    <x v="290"/>
    <x v="2"/>
    <x v="3"/>
    <x v="4"/>
    <x v="593"/>
    <x v="5"/>
    <x v="1"/>
    <x v="3"/>
    <x v="1"/>
    <x v="0"/>
    <x v="732"/>
    <x v="0"/>
    <x v="0"/>
  </r>
  <r>
    <x v="1275"/>
    <x v="606"/>
    <x v="395"/>
    <x v="390"/>
    <x v="1017"/>
    <x v="3"/>
    <x v="2"/>
    <x v="347"/>
    <x v="374"/>
    <x v="1"/>
    <x v="243"/>
    <x v="0"/>
    <x v="0"/>
    <x v="1"/>
    <x v="2"/>
    <x v="3"/>
    <x v="2"/>
    <x v="1"/>
    <x v="3"/>
    <x v="1"/>
    <x v="1"/>
    <x v="293"/>
    <x v="1"/>
    <x v="6"/>
    <x v="3"/>
    <x v="398"/>
    <x v="19"/>
    <x v="3"/>
    <x v="0"/>
    <x v="1"/>
    <x v="0"/>
    <x v="733"/>
    <x v="360"/>
    <x v="0"/>
  </r>
  <r>
    <x v="1276"/>
    <x v="540"/>
    <x v="532"/>
    <x v="524"/>
    <x v="1018"/>
    <x v="1"/>
    <x v="2"/>
    <x v="543"/>
    <x v="428"/>
    <x v="1"/>
    <x v="33"/>
    <x v="0"/>
    <x v="0"/>
    <x v="3"/>
    <x v="1"/>
    <x v="1"/>
    <x v="2"/>
    <x v="1"/>
    <x v="2"/>
    <x v="1"/>
    <x v="1"/>
    <x v="294"/>
    <x v="1"/>
    <x v="3"/>
    <x v="4"/>
    <x v="535"/>
    <x v="14"/>
    <x v="1"/>
    <x v="1"/>
    <x v="1"/>
    <x v="0"/>
    <x v="734"/>
    <x v="361"/>
    <x v="351"/>
  </r>
  <r>
    <x v="1277"/>
    <x v="607"/>
    <x v="593"/>
    <x v="586"/>
    <x v="1019"/>
    <x v="3"/>
    <x v="2"/>
    <x v="596"/>
    <x v="429"/>
    <x v="1"/>
    <x v="9"/>
    <x v="0"/>
    <x v="0"/>
    <x v="1"/>
    <x v="1"/>
    <x v="1"/>
    <x v="2"/>
    <x v="1"/>
    <x v="1"/>
    <x v="1"/>
    <x v="1"/>
    <x v="294"/>
    <x v="1"/>
    <x v="6"/>
    <x v="3"/>
    <x v="602"/>
    <x v="14"/>
    <x v="1"/>
    <x v="14"/>
    <x v="1"/>
    <x v="0"/>
    <x v="735"/>
    <x v="362"/>
    <x v="0"/>
  </r>
  <r>
    <x v="1278"/>
    <x v="608"/>
    <x v="594"/>
    <x v="587"/>
    <x v="1020"/>
    <x v="3"/>
    <x v="1"/>
    <x v="597"/>
    <x v="430"/>
    <x v="1"/>
    <x v="33"/>
    <x v="0"/>
    <x v="0"/>
    <x v="1"/>
    <x v="3"/>
    <x v="2"/>
    <x v="2"/>
    <x v="1"/>
    <x v="3"/>
    <x v="1"/>
    <x v="1"/>
    <x v="295"/>
    <x v="1"/>
    <x v="2"/>
    <x v="2"/>
    <x v="603"/>
    <x v="5"/>
    <x v="1"/>
    <x v="3"/>
    <x v="2"/>
    <x v="1"/>
    <x v="736"/>
    <x v="0"/>
    <x v="0"/>
  </r>
  <r>
    <x v="1279"/>
    <x v="609"/>
    <x v="595"/>
    <x v="588"/>
    <x v="1021"/>
    <x v="3"/>
    <x v="2"/>
    <x v="598"/>
    <x v="196"/>
    <x v="6"/>
    <x v="0"/>
    <x v="0"/>
    <x v="4"/>
    <x v="1"/>
    <x v="3"/>
    <x v="2"/>
    <x v="1"/>
    <x v="1"/>
    <x v="3"/>
    <x v="1"/>
    <x v="1"/>
    <x v="295"/>
    <x v="1"/>
    <x v="1"/>
    <x v="2"/>
    <x v="604"/>
    <x v="2"/>
    <x v="1"/>
    <x v="3"/>
    <x v="2"/>
    <x v="1"/>
    <x v="737"/>
    <x v="363"/>
    <x v="352"/>
  </r>
  <r>
    <x v="1280"/>
    <x v="540"/>
    <x v="532"/>
    <x v="524"/>
    <x v="0"/>
    <x v="1"/>
    <x v="2"/>
    <x v="543"/>
    <x v="428"/>
    <x v="1"/>
    <x v="33"/>
    <x v="0"/>
    <x v="0"/>
    <x v="3"/>
    <x v="1"/>
    <x v="1"/>
    <x v="1"/>
    <x v="1"/>
    <x v="2"/>
    <x v="1"/>
    <x v="1"/>
    <x v="295"/>
    <x v="2"/>
    <x v="3"/>
    <x v="4"/>
    <x v="535"/>
    <x v="5"/>
    <x v="1"/>
    <x v="15"/>
    <x v="2"/>
    <x v="1"/>
    <x v="738"/>
    <x v="0"/>
    <x v="351"/>
  </r>
  <r>
    <x v="1281"/>
    <x v="607"/>
    <x v="593"/>
    <x v="586"/>
    <x v="0"/>
    <x v="3"/>
    <x v="1"/>
    <x v="596"/>
    <x v="429"/>
    <x v="1"/>
    <x v="9"/>
    <x v="0"/>
    <x v="0"/>
    <x v="3"/>
    <x v="1"/>
    <x v="1"/>
    <x v="2"/>
    <x v="1"/>
    <x v="1"/>
    <x v="1"/>
    <x v="2"/>
    <x v="0"/>
    <x v="2"/>
    <x v="3"/>
    <x v="4"/>
    <x v="602"/>
    <x v="15"/>
    <x v="1"/>
    <x v="0"/>
    <x v="1"/>
    <x v="0"/>
    <x v="0"/>
    <x v="0"/>
    <x v="0"/>
  </r>
  <r>
    <x v="1282"/>
    <x v="576"/>
    <x v="565"/>
    <x v="558"/>
    <x v="1022"/>
    <x v="3"/>
    <x v="3"/>
    <x v="572"/>
    <x v="415"/>
    <x v="6"/>
    <x v="0"/>
    <x v="0"/>
    <x v="10"/>
    <x v="1"/>
    <x v="1"/>
    <x v="1"/>
    <x v="1"/>
    <x v="1"/>
    <x v="2"/>
    <x v="1"/>
    <x v="1"/>
    <x v="290"/>
    <x v="1"/>
    <x v="1"/>
    <x v="2"/>
    <x v="572"/>
    <x v="15"/>
    <x v="1"/>
    <x v="14"/>
    <x v="2"/>
    <x v="1"/>
    <x v="0"/>
    <x v="0"/>
    <x v="0"/>
  </r>
  <r>
    <x v="1283"/>
    <x v="446"/>
    <x v="442"/>
    <x v="437"/>
    <x v="1023"/>
    <x v="1"/>
    <x v="6"/>
    <x v="452"/>
    <x v="343"/>
    <x v="6"/>
    <x v="0"/>
    <x v="0"/>
    <x v="28"/>
    <x v="1"/>
    <x v="2"/>
    <x v="3"/>
    <x v="2"/>
    <x v="1"/>
    <x v="2"/>
    <x v="2"/>
    <x v="1"/>
    <x v="290"/>
    <x v="1"/>
    <x v="1"/>
    <x v="2"/>
    <x v="445"/>
    <x v="19"/>
    <x v="1"/>
    <x v="14"/>
    <x v="1"/>
    <x v="0"/>
    <x v="0"/>
    <x v="0"/>
    <x v="0"/>
  </r>
  <r>
    <x v="1284"/>
    <x v="608"/>
    <x v="594"/>
    <x v="587"/>
    <x v="1024"/>
    <x v="3"/>
    <x v="2"/>
    <x v="597"/>
    <x v="430"/>
    <x v="1"/>
    <x v="15"/>
    <x v="0"/>
    <x v="0"/>
    <x v="3"/>
    <x v="2"/>
    <x v="3"/>
    <x v="2"/>
    <x v="1"/>
    <x v="1"/>
    <x v="1"/>
    <x v="1"/>
    <x v="290"/>
    <x v="1"/>
    <x v="3"/>
    <x v="4"/>
    <x v="603"/>
    <x v="3"/>
    <x v="1"/>
    <x v="14"/>
    <x v="2"/>
    <x v="1"/>
    <x v="0"/>
    <x v="0"/>
    <x v="0"/>
  </r>
  <r>
    <x v="1285"/>
    <x v="610"/>
    <x v="596"/>
    <x v="589"/>
    <x v="1025"/>
    <x v="1"/>
    <x v="2"/>
    <x v="599"/>
    <x v="431"/>
    <x v="1"/>
    <x v="15"/>
    <x v="0"/>
    <x v="0"/>
    <x v="1"/>
    <x v="2"/>
    <x v="3"/>
    <x v="2"/>
    <x v="1"/>
    <x v="1"/>
    <x v="1"/>
    <x v="1"/>
    <x v="290"/>
    <x v="1"/>
    <x v="1"/>
    <x v="2"/>
    <x v="605"/>
    <x v="3"/>
    <x v="1"/>
    <x v="3"/>
    <x v="2"/>
    <x v="1"/>
    <x v="739"/>
    <x v="0"/>
    <x v="0"/>
  </r>
  <r>
    <x v="1286"/>
    <x v="540"/>
    <x v="532"/>
    <x v="524"/>
    <x v="1026"/>
    <x v="1"/>
    <x v="6"/>
    <x v="543"/>
    <x v="428"/>
    <x v="1"/>
    <x v="33"/>
    <x v="0"/>
    <x v="0"/>
    <x v="3"/>
    <x v="1"/>
    <x v="1"/>
    <x v="2"/>
    <x v="1"/>
    <x v="2"/>
    <x v="1"/>
    <x v="1"/>
    <x v="290"/>
    <x v="1"/>
    <x v="1"/>
    <x v="2"/>
    <x v="535"/>
    <x v="19"/>
    <x v="1"/>
    <x v="16"/>
    <x v="2"/>
    <x v="1"/>
    <x v="740"/>
    <x v="0"/>
    <x v="351"/>
  </r>
  <r>
    <x v="1287"/>
    <x v="609"/>
    <x v="595"/>
    <x v="588"/>
    <x v="1027"/>
    <x v="3"/>
    <x v="2"/>
    <x v="598"/>
    <x v="79"/>
    <x v="6"/>
    <x v="0"/>
    <x v="0"/>
    <x v="4"/>
    <x v="3"/>
    <x v="3"/>
    <x v="3"/>
    <x v="1"/>
    <x v="1"/>
    <x v="2"/>
    <x v="1"/>
    <x v="1"/>
    <x v="290"/>
    <x v="1"/>
    <x v="3"/>
    <x v="4"/>
    <x v="604"/>
    <x v="3"/>
    <x v="1"/>
    <x v="14"/>
    <x v="2"/>
    <x v="1"/>
    <x v="741"/>
    <x v="0"/>
    <x v="0"/>
  </r>
  <r>
    <x v="1288"/>
    <x v="598"/>
    <x v="585"/>
    <x v="578"/>
    <x v="0"/>
    <x v="1"/>
    <x v="2"/>
    <x v="590"/>
    <x v="424"/>
    <x v="1"/>
    <x v="3"/>
    <x v="0"/>
    <x v="0"/>
    <x v="3"/>
    <x v="5"/>
    <x v="1"/>
    <x v="2"/>
    <x v="1"/>
    <x v="1"/>
    <x v="1"/>
    <x v="2"/>
    <x v="0"/>
    <x v="2"/>
    <x v="3"/>
    <x v="4"/>
    <x v="593"/>
    <x v="3"/>
    <x v="0"/>
    <x v="0"/>
    <x v="1"/>
    <x v="0"/>
    <x v="0"/>
    <x v="0"/>
    <x v="0"/>
  </r>
  <r>
    <x v="1289"/>
    <x v="576"/>
    <x v="565"/>
    <x v="558"/>
    <x v="0"/>
    <x v="3"/>
    <x v="3"/>
    <x v="572"/>
    <x v="415"/>
    <x v="6"/>
    <x v="0"/>
    <x v="0"/>
    <x v="10"/>
    <x v="3"/>
    <x v="1"/>
    <x v="1"/>
    <x v="2"/>
    <x v="1"/>
    <x v="2"/>
    <x v="1"/>
    <x v="2"/>
    <x v="0"/>
    <x v="2"/>
    <x v="1"/>
    <x v="4"/>
    <x v="572"/>
    <x v="15"/>
    <x v="0"/>
    <x v="0"/>
    <x v="1"/>
    <x v="0"/>
    <x v="0"/>
    <x v="0"/>
    <x v="0"/>
  </r>
  <r>
    <x v="1290"/>
    <x v="611"/>
    <x v="597"/>
    <x v="590"/>
    <x v="1028"/>
    <x v="1"/>
    <x v="3"/>
    <x v="600"/>
    <x v="432"/>
    <x v="1"/>
    <x v="244"/>
    <x v="0"/>
    <x v="0"/>
    <x v="1"/>
    <x v="1"/>
    <x v="1"/>
    <x v="2"/>
    <x v="1"/>
    <x v="2"/>
    <x v="1"/>
    <x v="2"/>
    <x v="0"/>
    <x v="1"/>
    <x v="1"/>
    <x v="2"/>
    <x v="606"/>
    <x v="3"/>
    <x v="0"/>
    <x v="0"/>
    <x v="1"/>
    <x v="0"/>
    <x v="0"/>
    <x v="0"/>
    <x v="0"/>
  </r>
  <r>
    <x v="1291"/>
    <x v="612"/>
    <x v="598"/>
    <x v="591"/>
    <x v="1029"/>
    <x v="3"/>
    <x v="2"/>
    <x v="601"/>
    <x v="409"/>
    <x v="1"/>
    <x v="245"/>
    <x v="0"/>
    <x v="0"/>
    <x v="1"/>
    <x v="3"/>
    <x v="2"/>
    <x v="2"/>
    <x v="1"/>
    <x v="3"/>
    <x v="1"/>
    <x v="1"/>
    <x v="296"/>
    <x v="1"/>
    <x v="1"/>
    <x v="2"/>
    <x v="607"/>
    <x v="3"/>
    <x v="3"/>
    <x v="0"/>
    <x v="1"/>
    <x v="0"/>
    <x v="742"/>
    <x v="364"/>
    <x v="0"/>
  </r>
  <r>
    <x v="1292"/>
    <x v="446"/>
    <x v="442"/>
    <x v="437"/>
    <x v="0"/>
    <x v="1"/>
    <x v="2"/>
    <x v="452"/>
    <x v="433"/>
    <x v="6"/>
    <x v="0"/>
    <x v="0"/>
    <x v="29"/>
    <x v="3"/>
    <x v="1"/>
    <x v="1"/>
    <x v="2"/>
    <x v="1"/>
    <x v="2"/>
    <x v="1"/>
    <x v="2"/>
    <x v="0"/>
    <x v="2"/>
    <x v="3"/>
    <x v="4"/>
    <x v="445"/>
    <x v="15"/>
    <x v="0"/>
    <x v="0"/>
    <x v="1"/>
    <x v="0"/>
    <x v="0"/>
    <x v="0"/>
    <x v="0"/>
  </r>
  <r>
    <x v="1293"/>
    <x v="613"/>
    <x v="594"/>
    <x v="587"/>
    <x v="1030"/>
    <x v="3"/>
    <x v="2"/>
    <x v="597"/>
    <x v="430"/>
    <x v="1"/>
    <x v="15"/>
    <x v="0"/>
    <x v="0"/>
    <x v="3"/>
    <x v="1"/>
    <x v="3"/>
    <x v="2"/>
    <x v="2"/>
    <x v="1"/>
    <x v="1"/>
    <x v="1"/>
    <x v="296"/>
    <x v="2"/>
    <x v="3"/>
    <x v="4"/>
    <x v="603"/>
    <x v="15"/>
    <x v="3"/>
    <x v="0"/>
    <x v="1"/>
    <x v="0"/>
    <x v="743"/>
    <x v="365"/>
    <x v="0"/>
  </r>
  <r>
    <x v="1294"/>
    <x v="562"/>
    <x v="491"/>
    <x v="484"/>
    <x v="1031"/>
    <x v="3"/>
    <x v="3"/>
    <x v="500"/>
    <x v="323"/>
    <x v="1"/>
    <x v="246"/>
    <x v="0"/>
    <x v="0"/>
    <x v="1"/>
    <x v="1"/>
    <x v="1"/>
    <x v="2"/>
    <x v="1"/>
    <x v="2"/>
    <x v="1"/>
    <x v="2"/>
    <x v="0"/>
    <x v="1"/>
    <x v="1"/>
    <x v="2"/>
    <x v="494"/>
    <x v="3"/>
    <x v="0"/>
    <x v="0"/>
    <x v="1"/>
    <x v="0"/>
    <x v="0"/>
    <x v="0"/>
    <x v="0"/>
  </r>
  <r>
    <x v="1295"/>
    <x v="614"/>
    <x v="599"/>
    <x v="592"/>
    <x v="1032"/>
    <x v="1"/>
    <x v="1"/>
    <x v="40"/>
    <x v="434"/>
    <x v="1"/>
    <x v="15"/>
    <x v="0"/>
    <x v="0"/>
    <x v="1"/>
    <x v="1"/>
    <x v="1"/>
    <x v="2"/>
    <x v="1"/>
    <x v="2"/>
    <x v="1"/>
    <x v="2"/>
    <x v="0"/>
    <x v="1"/>
    <x v="1"/>
    <x v="2"/>
    <x v="608"/>
    <x v="3"/>
    <x v="0"/>
    <x v="0"/>
    <x v="1"/>
    <x v="0"/>
    <x v="0"/>
    <x v="0"/>
    <x v="0"/>
  </r>
  <r>
    <x v="1296"/>
    <x v="609"/>
    <x v="595"/>
    <x v="588"/>
    <x v="0"/>
    <x v="3"/>
    <x v="2"/>
    <x v="598"/>
    <x v="79"/>
    <x v="6"/>
    <x v="0"/>
    <x v="0"/>
    <x v="4"/>
    <x v="3"/>
    <x v="1"/>
    <x v="1"/>
    <x v="1"/>
    <x v="1"/>
    <x v="1"/>
    <x v="1"/>
    <x v="1"/>
    <x v="297"/>
    <x v="2"/>
    <x v="3"/>
    <x v="4"/>
    <x v="604"/>
    <x v="15"/>
    <x v="1"/>
    <x v="5"/>
    <x v="2"/>
    <x v="1"/>
    <x v="744"/>
    <x v="366"/>
    <x v="0"/>
  </r>
  <r>
    <x v="1297"/>
    <x v="540"/>
    <x v="532"/>
    <x v="524"/>
    <x v="1033"/>
    <x v="1"/>
    <x v="2"/>
    <x v="543"/>
    <x v="435"/>
    <x v="1"/>
    <x v="33"/>
    <x v="0"/>
    <x v="0"/>
    <x v="3"/>
    <x v="2"/>
    <x v="3"/>
    <x v="1"/>
    <x v="1"/>
    <x v="2"/>
    <x v="1"/>
    <x v="1"/>
    <x v="297"/>
    <x v="1"/>
    <x v="3"/>
    <x v="4"/>
    <x v="535"/>
    <x v="17"/>
    <x v="1"/>
    <x v="1"/>
    <x v="1"/>
    <x v="0"/>
    <x v="745"/>
    <x v="367"/>
    <x v="351"/>
  </r>
  <r>
    <x v="1298"/>
    <x v="615"/>
    <x v="600"/>
    <x v="593"/>
    <x v="1034"/>
    <x v="1"/>
    <x v="6"/>
    <x v="602"/>
    <x v="268"/>
    <x v="1"/>
    <x v="247"/>
    <x v="0"/>
    <x v="0"/>
    <x v="1"/>
    <x v="1"/>
    <x v="1"/>
    <x v="2"/>
    <x v="2"/>
    <x v="2"/>
    <x v="1"/>
    <x v="2"/>
    <x v="0"/>
    <x v="1"/>
    <x v="1"/>
    <x v="2"/>
    <x v="609"/>
    <x v="15"/>
    <x v="0"/>
    <x v="0"/>
    <x v="1"/>
    <x v="0"/>
    <x v="0"/>
    <x v="0"/>
    <x v="0"/>
  </r>
  <r>
    <x v="1299"/>
    <x v="610"/>
    <x v="596"/>
    <x v="589"/>
    <x v="1035"/>
    <x v="1"/>
    <x v="2"/>
    <x v="599"/>
    <x v="431"/>
    <x v="1"/>
    <x v="15"/>
    <x v="0"/>
    <x v="0"/>
    <x v="3"/>
    <x v="1"/>
    <x v="1"/>
    <x v="1"/>
    <x v="1"/>
    <x v="2"/>
    <x v="2"/>
    <x v="2"/>
    <x v="0"/>
    <x v="1"/>
    <x v="3"/>
    <x v="4"/>
    <x v="605"/>
    <x v="3"/>
    <x v="0"/>
    <x v="0"/>
    <x v="1"/>
    <x v="0"/>
    <x v="0"/>
    <x v="0"/>
    <x v="0"/>
  </r>
  <r>
    <x v="1300"/>
    <x v="616"/>
    <x v="601"/>
    <x v="594"/>
    <x v="1036"/>
    <x v="3"/>
    <x v="1"/>
    <x v="248"/>
    <x v="436"/>
    <x v="1"/>
    <x v="15"/>
    <x v="0"/>
    <x v="0"/>
    <x v="1"/>
    <x v="1"/>
    <x v="1"/>
    <x v="2"/>
    <x v="1"/>
    <x v="2"/>
    <x v="1"/>
    <x v="1"/>
    <x v="297"/>
    <x v="1"/>
    <x v="5"/>
    <x v="2"/>
    <x v="610"/>
    <x v="3"/>
    <x v="3"/>
    <x v="0"/>
    <x v="1"/>
    <x v="0"/>
    <x v="746"/>
    <x v="0"/>
    <x v="0"/>
  </r>
  <r>
    <x v="1301"/>
    <x v="617"/>
    <x v="602"/>
    <x v="595"/>
    <x v="1037"/>
    <x v="3"/>
    <x v="2"/>
    <x v="603"/>
    <x v="428"/>
    <x v="1"/>
    <x v="248"/>
    <x v="0"/>
    <x v="0"/>
    <x v="1"/>
    <x v="1"/>
    <x v="1"/>
    <x v="2"/>
    <x v="1"/>
    <x v="2"/>
    <x v="1"/>
    <x v="1"/>
    <x v="297"/>
    <x v="1"/>
    <x v="5"/>
    <x v="2"/>
    <x v="611"/>
    <x v="3"/>
    <x v="1"/>
    <x v="1"/>
    <x v="2"/>
    <x v="1"/>
    <x v="747"/>
    <x v="0"/>
    <x v="0"/>
  </r>
  <r>
    <x v="1302"/>
    <x v="618"/>
    <x v="603"/>
    <x v="596"/>
    <x v="0"/>
    <x v="1"/>
    <x v="2"/>
    <x v="604"/>
    <x v="396"/>
    <x v="1"/>
    <x v="15"/>
    <x v="0"/>
    <x v="0"/>
    <x v="1"/>
    <x v="1"/>
    <x v="1"/>
    <x v="1"/>
    <x v="1"/>
    <x v="2"/>
    <x v="1"/>
    <x v="1"/>
    <x v="298"/>
    <x v="1"/>
    <x v="5"/>
    <x v="2"/>
    <x v="612"/>
    <x v="17"/>
    <x v="3"/>
    <x v="0"/>
    <x v="1"/>
    <x v="0"/>
    <x v="748"/>
    <x v="368"/>
    <x v="0"/>
  </r>
  <r>
    <x v="1303"/>
    <x v="619"/>
    <x v="604"/>
    <x v="597"/>
    <x v="1038"/>
    <x v="1"/>
    <x v="2"/>
    <x v="605"/>
    <x v="281"/>
    <x v="1"/>
    <x v="31"/>
    <x v="0"/>
    <x v="0"/>
    <x v="1"/>
    <x v="1"/>
    <x v="1"/>
    <x v="2"/>
    <x v="1"/>
    <x v="2"/>
    <x v="1"/>
    <x v="1"/>
    <x v="296"/>
    <x v="1"/>
    <x v="4"/>
    <x v="3"/>
    <x v="613"/>
    <x v="14"/>
    <x v="1"/>
    <x v="13"/>
    <x v="2"/>
    <x v="1"/>
    <x v="749"/>
    <x v="0"/>
    <x v="353"/>
  </r>
  <r>
    <x v="1304"/>
    <x v="560"/>
    <x v="552"/>
    <x v="545"/>
    <x v="1039"/>
    <x v="1"/>
    <x v="2"/>
    <x v="606"/>
    <x v="401"/>
    <x v="1"/>
    <x v="2"/>
    <x v="0"/>
    <x v="0"/>
    <x v="1"/>
    <x v="2"/>
    <x v="3"/>
    <x v="2"/>
    <x v="1"/>
    <x v="1"/>
    <x v="1"/>
    <x v="1"/>
    <x v="297"/>
    <x v="1"/>
    <x v="6"/>
    <x v="3"/>
    <x v="557"/>
    <x v="14"/>
    <x v="3"/>
    <x v="0"/>
    <x v="1"/>
    <x v="0"/>
    <x v="750"/>
    <x v="0"/>
    <x v="0"/>
  </r>
  <r>
    <x v="1305"/>
    <x v="620"/>
    <x v="605"/>
    <x v="598"/>
    <x v="1040"/>
    <x v="1"/>
    <x v="2"/>
    <x v="607"/>
    <x v="437"/>
    <x v="1"/>
    <x v="249"/>
    <x v="0"/>
    <x v="0"/>
    <x v="1"/>
    <x v="1"/>
    <x v="1"/>
    <x v="2"/>
    <x v="1"/>
    <x v="1"/>
    <x v="1"/>
    <x v="2"/>
    <x v="0"/>
    <x v="1"/>
    <x v="6"/>
    <x v="3"/>
    <x v="614"/>
    <x v="14"/>
    <x v="0"/>
    <x v="0"/>
    <x v="1"/>
    <x v="0"/>
    <x v="0"/>
    <x v="0"/>
    <x v="0"/>
  </r>
  <r>
    <x v="1306"/>
    <x v="619"/>
    <x v="604"/>
    <x v="597"/>
    <x v="0"/>
    <x v="1"/>
    <x v="2"/>
    <x v="605"/>
    <x v="438"/>
    <x v="1"/>
    <x v="2"/>
    <x v="0"/>
    <x v="0"/>
    <x v="3"/>
    <x v="3"/>
    <x v="3"/>
    <x v="2"/>
    <x v="1"/>
    <x v="2"/>
    <x v="1"/>
    <x v="1"/>
    <x v="297"/>
    <x v="2"/>
    <x v="3"/>
    <x v="4"/>
    <x v="613"/>
    <x v="14"/>
    <x v="1"/>
    <x v="1"/>
    <x v="1"/>
    <x v="0"/>
    <x v="751"/>
    <x v="0"/>
    <x v="0"/>
  </r>
  <r>
    <x v="1307"/>
    <x v="609"/>
    <x v="595"/>
    <x v="588"/>
    <x v="1041"/>
    <x v="3"/>
    <x v="2"/>
    <x v="598"/>
    <x v="196"/>
    <x v="6"/>
    <x v="0"/>
    <x v="0"/>
    <x v="0"/>
    <x v="3"/>
    <x v="1"/>
    <x v="1"/>
    <x v="2"/>
    <x v="1"/>
    <x v="2"/>
    <x v="1"/>
    <x v="1"/>
    <x v="298"/>
    <x v="1"/>
    <x v="3"/>
    <x v="4"/>
    <x v="604"/>
    <x v="2"/>
    <x v="1"/>
    <x v="4"/>
    <x v="2"/>
    <x v="1"/>
    <x v="752"/>
    <x v="369"/>
    <x v="0"/>
  </r>
  <r>
    <x v="1308"/>
    <x v="617"/>
    <x v="602"/>
    <x v="595"/>
    <x v="1042"/>
    <x v="3"/>
    <x v="2"/>
    <x v="603"/>
    <x v="428"/>
    <x v="1"/>
    <x v="248"/>
    <x v="0"/>
    <x v="0"/>
    <x v="3"/>
    <x v="3"/>
    <x v="3"/>
    <x v="2"/>
    <x v="1"/>
    <x v="2"/>
    <x v="1"/>
    <x v="1"/>
    <x v="299"/>
    <x v="2"/>
    <x v="3"/>
    <x v="4"/>
    <x v="611"/>
    <x v="5"/>
    <x v="3"/>
    <x v="0"/>
    <x v="1"/>
    <x v="0"/>
    <x v="753"/>
    <x v="370"/>
    <x v="0"/>
  </r>
  <r>
    <x v="1309"/>
    <x v="619"/>
    <x v="604"/>
    <x v="597"/>
    <x v="0"/>
    <x v="1"/>
    <x v="2"/>
    <x v="605"/>
    <x v="281"/>
    <x v="1"/>
    <x v="2"/>
    <x v="0"/>
    <x v="0"/>
    <x v="3"/>
    <x v="1"/>
    <x v="1"/>
    <x v="2"/>
    <x v="1"/>
    <x v="2"/>
    <x v="1"/>
    <x v="2"/>
    <x v="0"/>
    <x v="2"/>
    <x v="3"/>
    <x v="4"/>
    <x v="613"/>
    <x v="5"/>
    <x v="0"/>
    <x v="0"/>
    <x v="1"/>
    <x v="0"/>
    <x v="0"/>
    <x v="0"/>
    <x v="0"/>
  </r>
  <r>
    <x v="1310"/>
    <x v="384"/>
    <x v="384"/>
    <x v="379"/>
    <x v="1043"/>
    <x v="3"/>
    <x v="2"/>
    <x v="399"/>
    <x v="308"/>
    <x v="1"/>
    <x v="250"/>
    <x v="0"/>
    <x v="0"/>
    <x v="1"/>
    <x v="3"/>
    <x v="3"/>
    <x v="2"/>
    <x v="1"/>
    <x v="2"/>
    <x v="1"/>
    <x v="2"/>
    <x v="0"/>
    <x v="1"/>
    <x v="6"/>
    <x v="3"/>
    <x v="387"/>
    <x v="2"/>
    <x v="0"/>
    <x v="0"/>
    <x v="1"/>
    <x v="0"/>
    <x v="0"/>
    <x v="0"/>
    <x v="0"/>
  </r>
  <r>
    <x v="1311"/>
    <x v="391"/>
    <x v="391"/>
    <x v="599"/>
    <x v="1044"/>
    <x v="1"/>
    <x v="2"/>
    <x v="406"/>
    <x v="281"/>
    <x v="2"/>
    <x v="0"/>
    <x v="5"/>
    <x v="0"/>
    <x v="1"/>
    <x v="2"/>
    <x v="3"/>
    <x v="2"/>
    <x v="1"/>
    <x v="2"/>
    <x v="1"/>
    <x v="1"/>
    <x v="299"/>
    <x v="1"/>
    <x v="6"/>
    <x v="2"/>
    <x v="570"/>
    <x v="5"/>
    <x v="1"/>
    <x v="13"/>
    <x v="1"/>
    <x v="0"/>
    <x v="0"/>
    <x v="0"/>
    <x v="354"/>
  </r>
  <r>
    <x v="1312"/>
    <x v="540"/>
    <x v="532"/>
    <x v="524"/>
    <x v="1045"/>
    <x v="1"/>
    <x v="2"/>
    <x v="543"/>
    <x v="428"/>
    <x v="1"/>
    <x v="33"/>
    <x v="0"/>
    <x v="0"/>
    <x v="3"/>
    <x v="3"/>
    <x v="3"/>
    <x v="2"/>
    <x v="1"/>
    <x v="2"/>
    <x v="1"/>
    <x v="1"/>
    <x v="300"/>
    <x v="1"/>
    <x v="3"/>
    <x v="4"/>
    <x v="535"/>
    <x v="5"/>
    <x v="1"/>
    <x v="15"/>
    <x v="2"/>
    <x v="1"/>
    <x v="754"/>
    <x v="0"/>
    <x v="351"/>
  </r>
  <r>
    <x v="1313"/>
    <x v="621"/>
    <x v="606"/>
    <x v="600"/>
    <x v="1046"/>
    <x v="1"/>
    <x v="3"/>
    <x v="608"/>
    <x v="10"/>
    <x v="1"/>
    <x v="251"/>
    <x v="0"/>
    <x v="0"/>
    <x v="1"/>
    <x v="1"/>
    <x v="2"/>
    <x v="2"/>
    <x v="1"/>
    <x v="2"/>
    <x v="1"/>
    <x v="1"/>
    <x v="298"/>
    <x v="1"/>
    <x v="4"/>
    <x v="3"/>
    <x v="615"/>
    <x v="14"/>
    <x v="1"/>
    <x v="4"/>
    <x v="2"/>
    <x v="1"/>
    <x v="755"/>
    <x v="0"/>
    <x v="355"/>
  </r>
  <r>
    <x v="1314"/>
    <x v="391"/>
    <x v="391"/>
    <x v="599"/>
    <x v="0"/>
    <x v="1"/>
    <x v="2"/>
    <x v="406"/>
    <x v="281"/>
    <x v="6"/>
    <x v="0"/>
    <x v="5"/>
    <x v="0"/>
    <x v="3"/>
    <x v="4"/>
    <x v="1"/>
    <x v="2"/>
    <x v="1"/>
    <x v="2"/>
    <x v="1"/>
    <x v="2"/>
    <x v="0"/>
    <x v="2"/>
    <x v="3"/>
    <x v="4"/>
    <x v="570"/>
    <x v="14"/>
    <x v="0"/>
    <x v="0"/>
    <x v="1"/>
    <x v="0"/>
    <x v="0"/>
    <x v="0"/>
    <x v="0"/>
  </r>
  <r>
    <x v="1315"/>
    <x v="622"/>
    <x v="607"/>
    <x v="601"/>
    <x v="1047"/>
    <x v="1"/>
    <x v="3"/>
    <x v="609"/>
    <x v="335"/>
    <x v="1"/>
    <x v="252"/>
    <x v="0"/>
    <x v="0"/>
    <x v="1"/>
    <x v="1"/>
    <x v="2"/>
    <x v="2"/>
    <x v="1"/>
    <x v="2"/>
    <x v="1"/>
    <x v="1"/>
    <x v="298"/>
    <x v="1"/>
    <x v="6"/>
    <x v="3"/>
    <x v="616"/>
    <x v="14"/>
    <x v="3"/>
    <x v="0"/>
    <x v="1"/>
    <x v="0"/>
    <x v="756"/>
    <x v="0"/>
    <x v="0"/>
  </r>
  <r>
    <x v="1316"/>
    <x v="623"/>
    <x v="608"/>
    <x v="602"/>
    <x v="1048"/>
    <x v="1"/>
    <x v="6"/>
    <x v="610"/>
    <x v="439"/>
    <x v="1"/>
    <x v="253"/>
    <x v="0"/>
    <x v="0"/>
    <x v="1"/>
    <x v="1"/>
    <x v="3"/>
    <x v="2"/>
    <x v="1"/>
    <x v="3"/>
    <x v="1"/>
    <x v="1"/>
    <x v="298"/>
    <x v="1"/>
    <x v="6"/>
    <x v="3"/>
    <x v="617"/>
    <x v="19"/>
    <x v="3"/>
    <x v="0"/>
    <x v="1"/>
    <x v="0"/>
    <x v="757"/>
    <x v="371"/>
    <x v="0"/>
  </r>
  <r>
    <x v="1317"/>
    <x v="540"/>
    <x v="532"/>
    <x v="524"/>
    <x v="1049"/>
    <x v="1"/>
    <x v="6"/>
    <x v="543"/>
    <x v="428"/>
    <x v="1"/>
    <x v="3"/>
    <x v="0"/>
    <x v="0"/>
    <x v="3"/>
    <x v="3"/>
    <x v="2"/>
    <x v="2"/>
    <x v="1"/>
    <x v="3"/>
    <x v="1"/>
    <x v="1"/>
    <x v="298"/>
    <x v="1"/>
    <x v="6"/>
    <x v="3"/>
    <x v="535"/>
    <x v="19"/>
    <x v="3"/>
    <x v="0"/>
    <x v="1"/>
    <x v="0"/>
    <x v="758"/>
    <x v="0"/>
    <x v="351"/>
  </r>
  <r>
    <x v="1318"/>
    <x v="624"/>
    <x v="609"/>
    <x v="603"/>
    <x v="1050"/>
    <x v="1"/>
    <x v="1"/>
    <x v="611"/>
    <x v="440"/>
    <x v="1"/>
    <x v="254"/>
    <x v="0"/>
    <x v="0"/>
    <x v="1"/>
    <x v="1"/>
    <x v="1"/>
    <x v="1"/>
    <x v="1"/>
    <x v="3"/>
    <x v="1"/>
    <x v="2"/>
    <x v="0"/>
    <x v="1"/>
    <x v="1"/>
    <x v="2"/>
    <x v="618"/>
    <x v="2"/>
    <x v="0"/>
    <x v="0"/>
    <x v="1"/>
    <x v="0"/>
    <x v="0"/>
    <x v="0"/>
    <x v="0"/>
  </r>
  <r>
    <x v="1319"/>
    <x v="625"/>
    <x v="610"/>
    <x v="604"/>
    <x v="1051"/>
    <x v="1"/>
    <x v="2"/>
    <x v="612"/>
    <x v="441"/>
    <x v="1"/>
    <x v="31"/>
    <x v="0"/>
    <x v="0"/>
    <x v="1"/>
    <x v="1"/>
    <x v="1"/>
    <x v="2"/>
    <x v="1"/>
    <x v="3"/>
    <x v="1"/>
    <x v="2"/>
    <x v="0"/>
    <x v="1"/>
    <x v="1"/>
    <x v="2"/>
    <x v="619"/>
    <x v="2"/>
    <x v="0"/>
    <x v="0"/>
    <x v="1"/>
    <x v="0"/>
    <x v="0"/>
    <x v="0"/>
    <x v="0"/>
  </r>
  <r>
    <x v="1320"/>
    <x v="626"/>
    <x v="611"/>
    <x v="605"/>
    <x v="1052"/>
    <x v="1"/>
    <x v="2"/>
    <x v="613"/>
    <x v="442"/>
    <x v="1"/>
    <x v="33"/>
    <x v="0"/>
    <x v="0"/>
    <x v="1"/>
    <x v="3"/>
    <x v="2"/>
    <x v="2"/>
    <x v="1"/>
    <x v="3"/>
    <x v="1"/>
    <x v="1"/>
    <x v="301"/>
    <x v="1"/>
    <x v="1"/>
    <x v="2"/>
    <x v="620"/>
    <x v="1"/>
    <x v="1"/>
    <x v="4"/>
    <x v="2"/>
    <x v="1"/>
    <x v="759"/>
    <x v="0"/>
    <x v="0"/>
  </r>
  <r>
    <x v="1321"/>
    <x v="627"/>
    <x v="612"/>
    <x v="606"/>
    <x v="1053"/>
    <x v="1"/>
    <x v="2"/>
    <x v="614"/>
    <x v="443"/>
    <x v="1"/>
    <x v="15"/>
    <x v="0"/>
    <x v="0"/>
    <x v="1"/>
    <x v="1"/>
    <x v="1"/>
    <x v="2"/>
    <x v="1"/>
    <x v="3"/>
    <x v="1"/>
    <x v="1"/>
    <x v="298"/>
    <x v="1"/>
    <x v="1"/>
    <x v="2"/>
    <x v="621"/>
    <x v="1"/>
    <x v="3"/>
    <x v="0"/>
    <x v="1"/>
    <x v="0"/>
    <x v="760"/>
    <x v="0"/>
    <x v="0"/>
  </r>
  <r>
    <x v="1322"/>
    <x v="628"/>
    <x v="613"/>
    <x v="607"/>
    <x v="1054"/>
    <x v="1"/>
    <x v="1"/>
    <x v="615"/>
    <x v="444"/>
    <x v="1"/>
    <x v="2"/>
    <x v="0"/>
    <x v="0"/>
    <x v="1"/>
    <x v="2"/>
    <x v="3"/>
    <x v="1"/>
    <x v="1"/>
    <x v="2"/>
    <x v="2"/>
    <x v="1"/>
    <x v="301"/>
    <x v="1"/>
    <x v="1"/>
    <x v="2"/>
    <x v="622"/>
    <x v="3"/>
    <x v="1"/>
    <x v="3"/>
    <x v="2"/>
    <x v="1"/>
    <x v="761"/>
    <x v="0"/>
    <x v="356"/>
  </r>
  <r>
    <x v="1323"/>
    <x v="609"/>
    <x v="595"/>
    <x v="588"/>
    <x v="1055"/>
    <x v="3"/>
    <x v="2"/>
    <x v="598"/>
    <x v="196"/>
    <x v="6"/>
    <x v="0"/>
    <x v="0"/>
    <x v="4"/>
    <x v="3"/>
    <x v="1"/>
    <x v="1"/>
    <x v="2"/>
    <x v="2"/>
    <x v="3"/>
    <x v="1"/>
    <x v="2"/>
    <x v="0"/>
    <x v="1"/>
    <x v="3"/>
    <x v="4"/>
    <x v="604"/>
    <x v="1"/>
    <x v="0"/>
    <x v="0"/>
    <x v="1"/>
    <x v="0"/>
    <x v="0"/>
    <x v="0"/>
    <x v="0"/>
  </r>
  <r>
    <x v="1324"/>
    <x v="621"/>
    <x v="606"/>
    <x v="600"/>
    <x v="0"/>
    <x v="1"/>
    <x v="3"/>
    <x v="608"/>
    <x v="10"/>
    <x v="1"/>
    <x v="251"/>
    <x v="0"/>
    <x v="0"/>
    <x v="3"/>
    <x v="1"/>
    <x v="1"/>
    <x v="2"/>
    <x v="1"/>
    <x v="2"/>
    <x v="1"/>
    <x v="1"/>
    <x v="301"/>
    <x v="2"/>
    <x v="3"/>
    <x v="4"/>
    <x v="615"/>
    <x v="1"/>
    <x v="3"/>
    <x v="0"/>
    <x v="1"/>
    <x v="0"/>
    <x v="762"/>
    <x v="0"/>
    <x v="0"/>
  </r>
  <r>
    <x v="1325"/>
    <x v="629"/>
    <x v="614"/>
    <x v="608"/>
    <x v="1056"/>
    <x v="1"/>
    <x v="3"/>
    <x v="616"/>
    <x v="445"/>
    <x v="1"/>
    <x v="3"/>
    <x v="0"/>
    <x v="0"/>
    <x v="1"/>
    <x v="1"/>
    <x v="1"/>
    <x v="1"/>
    <x v="1"/>
    <x v="3"/>
    <x v="1"/>
    <x v="2"/>
    <x v="0"/>
    <x v="1"/>
    <x v="1"/>
    <x v="2"/>
    <x v="623"/>
    <x v="18"/>
    <x v="0"/>
    <x v="0"/>
    <x v="1"/>
    <x v="0"/>
    <x v="0"/>
    <x v="0"/>
    <x v="0"/>
  </r>
  <r>
    <x v="1326"/>
    <x v="630"/>
    <x v="615"/>
    <x v="609"/>
    <x v="1057"/>
    <x v="1"/>
    <x v="1"/>
    <x v="389"/>
    <x v="446"/>
    <x v="1"/>
    <x v="249"/>
    <x v="0"/>
    <x v="0"/>
    <x v="1"/>
    <x v="1"/>
    <x v="1"/>
    <x v="2"/>
    <x v="1"/>
    <x v="2"/>
    <x v="1"/>
    <x v="2"/>
    <x v="0"/>
    <x v="2"/>
    <x v="1"/>
    <x v="2"/>
    <x v="624"/>
    <x v="3"/>
    <x v="0"/>
    <x v="0"/>
    <x v="1"/>
    <x v="0"/>
    <x v="0"/>
    <x v="0"/>
    <x v="0"/>
  </r>
  <r>
    <x v="1327"/>
    <x v="626"/>
    <x v="611"/>
    <x v="605"/>
    <x v="1058"/>
    <x v="1"/>
    <x v="2"/>
    <x v="613"/>
    <x v="442"/>
    <x v="1"/>
    <x v="33"/>
    <x v="0"/>
    <x v="0"/>
    <x v="3"/>
    <x v="1"/>
    <x v="1"/>
    <x v="2"/>
    <x v="1"/>
    <x v="3"/>
    <x v="1"/>
    <x v="1"/>
    <x v="302"/>
    <x v="1"/>
    <x v="3"/>
    <x v="4"/>
    <x v="620"/>
    <x v="1"/>
    <x v="1"/>
    <x v="4"/>
    <x v="2"/>
    <x v="1"/>
    <x v="763"/>
    <x v="372"/>
    <x v="0"/>
  </r>
  <r>
    <x v="1328"/>
    <x v="618"/>
    <x v="603"/>
    <x v="596"/>
    <x v="1059"/>
    <x v="1"/>
    <x v="2"/>
    <x v="604"/>
    <x v="447"/>
    <x v="1"/>
    <x v="255"/>
    <x v="0"/>
    <x v="0"/>
    <x v="1"/>
    <x v="1"/>
    <x v="2"/>
    <x v="2"/>
    <x v="1"/>
    <x v="2"/>
    <x v="1"/>
    <x v="2"/>
    <x v="0"/>
    <x v="1"/>
    <x v="1"/>
    <x v="2"/>
    <x v="612"/>
    <x v="2"/>
    <x v="0"/>
    <x v="0"/>
    <x v="1"/>
    <x v="0"/>
    <x v="0"/>
    <x v="0"/>
    <x v="0"/>
  </r>
  <r>
    <x v="1329"/>
    <x v="628"/>
    <x v="613"/>
    <x v="607"/>
    <x v="1060"/>
    <x v="1"/>
    <x v="1"/>
    <x v="615"/>
    <x v="444"/>
    <x v="1"/>
    <x v="2"/>
    <x v="0"/>
    <x v="0"/>
    <x v="3"/>
    <x v="1"/>
    <x v="1"/>
    <x v="2"/>
    <x v="1"/>
    <x v="2"/>
    <x v="2"/>
    <x v="1"/>
    <x v="303"/>
    <x v="1"/>
    <x v="3"/>
    <x v="4"/>
    <x v="622"/>
    <x v="3"/>
    <x v="3"/>
    <x v="0"/>
    <x v="1"/>
    <x v="0"/>
    <x v="764"/>
    <x v="373"/>
    <x v="0"/>
  </r>
  <r>
    <x v="1330"/>
    <x v="631"/>
    <x v="616"/>
    <x v="610"/>
    <x v="1061"/>
    <x v="1"/>
    <x v="2"/>
    <x v="617"/>
    <x v="448"/>
    <x v="1"/>
    <x v="256"/>
    <x v="0"/>
    <x v="0"/>
    <x v="1"/>
    <x v="1"/>
    <x v="1"/>
    <x v="2"/>
    <x v="1"/>
    <x v="2"/>
    <x v="1"/>
    <x v="2"/>
    <x v="0"/>
    <x v="1"/>
    <x v="2"/>
    <x v="2"/>
    <x v="625"/>
    <x v="5"/>
    <x v="0"/>
    <x v="0"/>
    <x v="1"/>
    <x v="0"/>
    <x v="0"/>
    <x v="0"/>
    <x v="0"/>
  </r>
  <r>
    <x v="1331"/>
    <x v="632"/>
    <x v="617"/>
    <x v="611"/>
    <x v="1062"/>
    <x v="1"/>
    <x v="2"/>
    <x v="542"/>
    <x v="449"/>
    <x v="1"/>
    <x v="9"/>
    <x v="0"/>
    <x v="0"/>
    <x v="1"/>
    <x v="1"/>
    <x v="1"/>
    <x v="2"/>
    <x v="1"/>
    <x v="2"/>
    <x v="1"/>
    <x v="1"/>
    <x v="302"/>
    <x v="1"/>
    <x v="2"/>
    <x v="2"/>
    <x v="626"/>
    <x v="5"/>
    <x v="1"/>
    <x v="13"/>
    <x v="2"/>
    <x v="1"/>
    <x v="765"/>
    <x v="0"/>
    <x v="0"/>
  </r>
  <r>
    <x v="1332"/>
    <x v="627"/>
    <x v="612"/>
    <x v="606"/>
    <x v="1063"/>
    <x v="1"/>
    <x v="2"/>
    <x v="614"/>
    <x v="443"/>
    <x v="1"/>
    <x v="15"/>
    <x v="0"/>
    <x v="0"/>
    <x v="1"/>
    <x v="1"/>
    <x v="1"/>
    <x v="2"/>
    <x v="1"/>
    <x v="2"/>
    <x v="2"/>
    <x v="2"/>
    <x v="0"/>
    <x v="1"/>
    <x v="1"/>
    <x v="2"/>
    <x v="621"/>
    <x v="1"/>
    <x v="0"/>
    <x v="0"/>
    <x v="1"/>
    <x v="0"/>
    <x v="0"/>
    <x v="0"/>
    <x v="0"/>
  </r>
  <r>
    <x v="1333"/>
    <x v="624"/>
    <x v="609"/>
    <x v="603"/>
    <x v="1064"/>
    <x v="1"/>
    <x v="1"/>
    <x v="611"/>
    <x v="450"/>
    <x v="1"/>
    <x v="1"/>
    <x v="0"/>
    <x v="0"/>
    <x v="1"/>
    <x v="2"/>
    <x v="3"/>
    <x v="1"/>
    <x v="1"/>
    <x v="2"/>
    <x v="1"/>
    <x v="1"/>
    <x v="302"/>
    <x v="1"/>
    <x v="2"/>
    <x v="2"/>
    <x v="618"/>
    <x v="5"/>
    <x v="1"/>
    <x v="1"/>
    <x v="2"/>
    <x v="1"/>
    <x v="766"/>
    <x v="0"/>
    <x v="0"/>
  </r>
  <r>
    <x v="1334"/>
    <x v="632"/>
    <x v="617"/>
    <x v="611"/>
    <x v="0"/>
    <x v="1"/>
    <x v="2"/>
    <x v="542"/>
    <x v="449"/>
    <x v="1"/>
    <x v="9"/>
    <x v="0"/>
    <x v="0"/>
    <x v="3"/>
    <x v="1"/>
    <x v="2"/>
    <x v="2"/>
    <x v="1"/>
    <x v="1"/>
    <x v="1"/>
    <x v="1"/>
    <x v="303"/>
    <x v="2"/>
    <x v="3"/>
    <x v="4"/>
    <x v="626"/>
    <x v="14"/>
    <x v="1"/>
    <x v="5"/>
    <x v="2"/>
    <x v="1"/>
    <x v="767"/>
    <x v="0"/>
    <x v="0"/>
  </r>
  <r>
    <x v="1335"/>
    <x v="626"/>
    <x v="611"/>
    <x v="605"/>
    <x v="1065"/>
    <x v="1"/>
    <x v="2"/>
    <x v="613"/>
    <x v="442"/>
    <x v="1"/>
    <x v="33"/>
    <x v="0"/>
    <x v="0"/>
    <x v="3"/>
    <x v="1"/>
    <x v="1"/>
    <x v="2"/>
    <x v="1"/>
    <x v="3"/>
    <x v="1"/>
    <x v="2"/>
    <x v="0"/>
    <x v="1"/>
    <x v="3"/>
    <x v="4"/>
    <x v="620"/>
    <x v="1"/>
    <x v="0"/>
    <x v="0"/>
    <x v="1"/>
    <x v="0"/>
    <x v="0"/>
    <x v="0"/>
    <x v="0"/>
  </r>
  <r>
    <x v="1336"/>
    <x v="633"/>
    <x v="618"/>
    <x v="612"/>
    <x v="1066"/>
    <x v="1"/>
    <x v="2"/>
    <x v="618"/>
    <x v="451"/>
    <x v="1"/>
    <x v="33"/>
    <x v="0"/>
    <x v="0"/>
    <x v="1"/>
    <x v="3"/>
    <x v="3"/>
    <x v="1"/>
    <x v="1"/>
    <x v="2"/>
    <x v="1"/>
    <x v="1"/>
    <x v="303"/>
    <x v="1"/>
    <x v="1"/>
    <x v="2"/>
    <x v="627"/>
    <x v="14"/>
    <x v="1"/>
    <x v="7"/>
    <x v="1"/>
    <x v="0"/>
    <x v="768"/>
    <x v="0"/>
    <x v="0"/>
  </r>
  <r>
    <x v="1337"/>
    <x v="624"/>
    <x v="609"/>
    <x v="603"/>
    <x v="1067"/>
    <x v="1"/>
    <x v="2"/>
    <x v="611"/>
    <x v="440"/>
    <x v="1"/>
    <x v="1"/>
    <x v="0"/>
    <x v="0"/>
    <x v="3"/>
    <x v="1"/>
    <x v="1"/>
    <x v="1"/>
    <x v="1"/>
    <x v="2"/>
    <x v="1"/>
    <x v="2"/>
    <x v="0"/>
    <x v="1"/>
    <x v="3"/>
    <x v="4"/>
    <x v="618"/>
    <x v="5"/>
    <x v="0"/>
    <x v="0"/>
    <x v="1"/>
    <x v="0"/>
    <x v="0"/>
    <x v="0"/>
    <x v="0"/>
  </r>
  <r>
    <x v="1338"/>
    <x v="634"/>
    <x v="619"/>
    <x v="613"/>
    <x v="1068"/>
    <x v="3"/>
    <x v="2"/>
    <x v="190"/>
    <x v="452"/>
    <x v="1"/>
    <x v="161"/>
    <x v="0"/>
    <x v="0"/>
    <x v="1"/>
    <x v="2"/>
    <x v="4"/>
    <x v="2"/>
    <x v="1"/>
    <x v="3"/>
    <x v="1"/>
    <x v="1"/>
    <x v="303"/>
    <x v="1"/>
    <x v="5"/>
    <x v="2"/>
    <x v="628"/>
    <x v="5"/>
    <x v="3"/>
    <x v="0"/>
    <x v="1"/>
    <x v="0"/>
    <x v="769"/>
    <x v="374"/>
    <x v="0"/>
  </r>
  <r>
    <x v="1339"/>
    <x v="632"/>
    <x v="617"/>
    <x v="611"/>
    <x v="1069"/>
    <x v="1"/>
    <x v="2"/>
    <x v="542"/>
    <x v="449"/>
    <x v="1"/>
    <x v="9"/>
    <x v="0"/>
    <x v="0"/>
    <x v="3"/>
    <x v="1"/>
    <x v="1"/>
    <x v="1"/>
    <x v="1"/>
    <x v="3"/>
    <x v="1"/>
    <x v="1"/>
    <x v="304"/>
    <x v="1"/>
    <x v="3"/>
    <x v="4"/>
    <x v="626"/>
    <x v="2"/>
    <x v="1"/>
    <x v="13"/>
    <x v="2"/>
    <x v="1"/>
    <x v="770"/>
    <x v="375"/>
    <x v="357"/>
  </r>
  <r>
    <x v="1340"/>
    <x v="633"/>
    <x v="618"/>
    <x v="612"/>
    <x v="0"/>
    <x v="1"/>
    <x v="2"/>
    <x v="618"/>
    <x v="451"/>
    <x v="1"/>
    <x v="33"/>
    <x v="0"/>
    <x v="0"/>
    <x v="3"/>
    <x v="5"/>
    <x v="1"/>
    <x v="1"/>
    <x v="1"/>
    <x v="2"/>
    <x v="1"/>
    <x v="1"/>
    <x v="304"/>
    <x v="2"/>
    <x v="3"/>
    <x v="4"/>
    <x v="627"/>
    <x v="12"/>
    <x v="3"/>
    <x v="0"/>
    <x v="1"/>
    <x v="0"/>
    <x v="770"/>
    <x v="376"/>
    <x v="0"/>
  </r>
  <r>
    <x v="1341"/>
    <x v="632"/>
    <x v="617"/>
    <x v="611"/>
    <x v="0"/>
    <x v="1"/>
    <x v="2"/>
    <x v="542"/>
    <x v="449"/>
    <x v="1"/>
    <x v="9"/>
    <x v="0"/>
    <x v="0"/>
    <x v="3"/>
    <x v="1"/>
    <x v="1"/>
    <x v="2"/>
    <x v="1"/>
    <x v="1"/>
    <x v="1"/>
    <x v="1"/>
    <x v="305"/>
    <x v="2"/>
    <x v="3"/>
    <x v="4"/>
    <x v="626"/>
    <x v="14"/>
    <x v="3"/>
    <x v="0"/>
    <x v="1"/>
    <x v="0"/>
    <x v="771"/>
    <x v="377"/>
    <x v="0"/>
  </r>
  <r>
    <x v="1342"/>
    <x v="635"/>
    <x v="620"/>
    <x v="614"/>
    <x v="1070"/>
    <x v="3"/>
    <x v="6"/>
    <x v="619"/>
    <x v="453"/>
    <x v="1"/>
    <x v="33"/>
    <x v="0"/>
    <x v="0"/>
    <x v="1"/>
    <x v="3"/>
    <x v="2"/>
    <x v="2"/>
    <x v="1"/>
    <x v="3"/>
    <x v="1"/>
    <x v="1"/>
    <x v="306"/>
    <x v="1"/>
    <x v="4"/>
    <x v="3"/>
    <x v="629"/>
    <x v="19"/>
    <x v="3"/>
    <x v="0"/>
    <x v="1"/>
    <x v="0"/>
    <x v="772"/>
    <x v="378"/>
    <x v="358"/>
  </r>
  <r>
    <x v="1343"/>
    <x v="636"/>
    <x v="621"/>
    <x v="615"/>
    <x v="1071"/>
    <x v="3"/>
    <x v="6"/>
    <x v="620"/>
    <x v="454"/>
    <x v="1"/>
    <x v="22"/>
    <x v="0"/>
    <x v="0"/>
    <x v="1"/>
    <x v="3"/>
    <x v="3"/>
    <x v="2"/>
    <x v="1"/>
    <x v="3"/>
    <x v="1"/>
    <x v="1"/>
    <x v="306"/>
    <x v="1"/>
    <x v="6"/>
    <x v="3"/>
    <x v="630"/>
    <x v="19"/>
    <x v="1"/>
    <x v="3"/>
    <x v="2"/>
    <x v="1"/>
    <x v="0"/>
    <x v="0"/>
    <x v="359"/>
  </r>
  <r>
    <x v="1344"/>
    <x v="637"/>
    <x v="622"/>
    <x v="616"/>
    <x v="1072"/>
    <x v="1"/>
    <x v="6"/>
    <x v="621"/>
    <x v="10"/>
    <x v="1"/>
    <x v="33"/>
    <x v="0"/>
    <x v="0"/>
    <x v="1"/>
    <x v="3"/>
    <x v="2"/>
    <x v="2"/>
    <x v="1"/>
    <x v="3"/>
    <x v="1"/>
    <x v="1"/>
    <x v="306"/>
    <x v="1"/>
    <x v="6"/>
    <x v="3"/>
    <x v="631"/>
    <x v="19"/>
    <x v="3"/>
    <x v="0"/>
    <x v="1"/>
    <x v="0"/>
    <x v="773"/>
    <x v="379"/>
    <x v="360"/>
  </r>
  <r>
    <x v="1345"/>
    <x v="638"/>
    <x v="623"/>
    <x v="617"/>
    <x v="1073"/>
    <x v="1"/>
    <x v="6"/>
    <x v="200"/>
    <x v="455"/>
    <x v="1"/>
    <x v="257"/>
    <x v="0"/>
    <x v="0"/>
    <x v="1"/>
    <x v="2"/>
    <x v="3"/>
    <x v="2"/>
    <x v="1"/>
    <x v="3"/>
    <x v="1"/>
    <x v="1"/>
    <x v="306"/>
    <x v="1"/>
    <x v="6"/>
    <x v="3"/>
    <x v="632"/>
    <x v="19"/>
    <x v="3"/>
    <x v="0"/>
    <x v="1"/>
    <x v="0"/>
    <x v="774"/>
    <x v="380"/>
    <x v="0"/>
  </r>
  <r>
    <x v="1346"/>
    <x v="636"/>
    <x v="621"/>
    <x v="615"/>
    <x v="1074"/>
    <x v="3"/>
    <x v="2"/>
    <x v="620"/>
    <x v="454"/>
    <x v="1"/>
    <x v="22"/>
    <x v="0"/>
    <x v="0"/>
    <x v="3"/>
    <x v="3"/>
    <x v="2"/>
    <x v="1"/>
    <x v="1"/>
    <x v="2"/>
    <x v="1"/>
    <x v="1"/>
    <x v="306"/>
    <x v="1"/>
    <x v="3"/>
    <x v="4"/>
    <x v="630"/>
    <x v="3"/>
    <x v="1"/>
    <x v="3"/>
    <x v="2"/>
    <x v="1"/>
    <x v="775"/>
    <x v="0"/>
    <x v="361"/>
  </r>
  <r>
    <x v="1347"/>
    <x v="639"/>
    <x v="624"/>
    <x v="618"/>
    <x v="1075"/>
    <x v="1"/>
    <x v="2"/>
    <x v="622"/>
    <x v="456"/>
    <x v="1"/>
    <x v="31"/>
    <x v="0"/>
    <x v="0"/>
    <x v="1"/>
    <x v="1"/>
    <x v="1"/>
    <x v="2"/>
    <x v="1"/>
    <x v="3"/>
    <x v="1"/>
    <x v="1"/>
    <x v="307"/>
    <x v="1"/>
    <x v="1"/>
    <x v="2"/>
    <x v="633"/>
    <x v="1"/>
    <x v="1"/>
    <x v="1"/>
    <x v="2"/>
    <x v="1"/>
    <x v="776"/>
    <x v="381"/>
    <x v="0"/>
  </r>
  <r>
    <x v="1348"/>
    <x v="640"/>
    <x v="625"/>
    <x v="619"/>
    <x v="1076"/>
    <x v="1"/>
    <x v="1"/>
    <x v="623"/>
    <x v="457"/>
    <x v="1"/>
    <x v="15"/>
    <x v="0"/>
    <x v="0"/>
    <x v="1"/>
    <x v="1"/>
    <x v="1"/>
    <x v="2"/>
    <x v="1"/>
    <x v="3"/>
    <x v="1"/>
    <x v="1"/>
    <x v="305"/>
    <x v="1"/>
    <x v="1"/>
    <x v="2"/>
    <x v="634"/>
    <x v="18"/>
    <x v="3"/>
    <x v="0"/>
    <x v="1"/>
    <x v="0"/>
    <x v="777"/>
    <x v="382"/>
    <x v="0"/>
  </r>
  <r>
    <x v="1349"/>
    <x v="636"/>
    <x v="621"/>
    <x v="615"/>
    <x v="1077"/>
    <x v="3"/>
    <x v="2"/>
    <x v="620"/>
    <x v="454"/>
    <x v="1"/>
    <x v="22"/>
    <x v="0"/>
    <x v="0"/>
    <x v="3"/>
    <x v="1"/>
    <x v="1"/>
    <x v="2"/>
    <x v="1"/>
    <x v="2"/>
    <x v="1"/>
    <x v="1"/>
    <x v="308"/>
    <x v="1"/>
    <x v="3"/>
    <x v="4"/>
    <x v="630"/>
    <x v="3"/>
    <x v="3"/>
    <x v="0"/>
    <x v="1"/>
    <x v="0"/>
    <x v="778"/>
    <x v="383"/>
    <x v="0"/>
  </r>
  <r>
    <x v="1350"/>
    <x v="509"/>
    <x v="501"/>
    <x v="493"/>
    <x v="1078"/>
    <x v="1"/>
    <x v="3"/>
    <x v="513"/>
    <x v="458"/>
    <x v="1"/>
    <x v="258"/>
    <x v="0"/>
    <x v="0"/>
    <x v="1"/>
    <x v="1"/>
    <x v="1"/>
    <x v="2"/>
    <x v="1"/>
    <x v="1"/>
    <x v="1"/>
    <x v="1"/>
    <x v="309"/>
    <x v="1"/>
    <x v="5"/>
    <x v="2"/>
    <x v="503"/>
    <x v="12"/>
    <x v="1"/>
    <x v="3"/>
    <x v="2"/>
    <x v="1"/>
    <x v="779"/>
    <x v="0"/>
    <x v="362"/>
  </r>
  <r>
    <x v="1351"/>
    <x v="641"/>
    <x v="626"/>
    <x v="620"/>
    <x v="1079"/>
    <x v="1"/>
    <x v="2"/>
    <x v="624"/>
    <x v="459"/>
    <x v="1"/>
    <x v="2"/>
    <x v="0"/>
    <x v="0"/>
    <x v="1"/>
    <x v="1"/>
    <x v="1"/>
    <x v="1"/>
    <x v="1"/>
    <x v="3"/>
    <x v="1"/>
    <x v="2"/>
    <x v="0"/>
    <x v="1"/>
    <x v="2"/>
    <x v="2"/>
    <x v="635"/>
    <x v="3"/>
    <x v="0"/>
    <x v="0"/>
    <x v="1"/>
    <x v="0"/>
    <x v="0"/>
    <x v="0"/>
    <x v="0"/>
  </r>
  <r>
    <x v="1352"/>
    <x v="509"/>
    <x v="501"/>
    <x v="493"/>
    <x v="1080"/>
    <x v="1"/>
    <x v="3"/>
    <x v="513"/>
    <x v="458"/>
    <x v="1"/>
    <x v="258"/>
    <x v="0"/>
    <x v="0"/>
    <x v="3"/>
    <x v="1"/>
    <x v="1"/>
    <x v="2"/>
    <x v="1"/>
    <x v="2"/>
    <x v="1"/>
    <x v="1"/>
    <x v="310"/>
    <x v="1"/>
    <x v="3"/>
    <x v="4"/>
    <x v="503"/>
    <x v="3"/>
    <x v="1"/>
    <x v="7"/>
    <x v="2"/>
    <x v="1"/>
    <x v="780"/>
    <x v="0"/>
    <x v="363"/>
  </r>
  <r>
    <x v="1353"/>
    <x v="642"/>
    <x v="627"/>
    <x v="621"/>
    <x v="1081"/>
    <x v="3"/>
    <x v="1"/>
    <x v="625"/>
    <x v="460"/>
    <x v="1"/>
    <x v="2"/>
    <x v="0"/>
    <x v="0"/>
    <x v="1"/>
    <x v="2"/>
    <x v="3"/>
    <x v="1"/>
    <x v="1"/>
    <x v="2"/>
    <x v="1"/>
    <x v="1"/>
    <x v="307"/>
    <x v="1"/>
    <x v="5"/>
    <x v="2"/>
    <x v="636"/>
    <x v="3"/>
    <x v="3"/>
    <x v="0"/>
    <x v="1"/>
    <x v="0"/>
    <x v="781"/>
    <x v="384"/>
    <x v="0"/>
  </r>
  <r>
    <x v="1354"/>
    <x v="335"/>
    <x v="335"/>
    <x v="330"/>
    <x v="1082"/>
    <x v="1"/>
    <x v="6"/>
    <x v="350"/>
    <x v="461"/>
    <x v="1"/>
    <x v="259"/>
    <x v="0"/>
    <x v="0"/>
    <x v="1"/>
    <x v="2"/>
    <x v="3"/>
    <x v="2"/>
    <x v="1"/>
    <x v="3"/>
    <x v="1"/>
    <x v="1"/>
    <x v="307"/>
    <x v="1"/>
    <x v="5"/>
    <x v="3"/>
    <x v="337"/>
    <x v="19"/>
    <x v="1"/>
    <x v="1"/>
    <x v="1"/>
    <x v="0"/>
    <x v="782"/>
    <x v="385"/>
    <x v="0"/>
  </r>
  <r>
    <x v="1355"/>
    <x v="639"/>
    <x v="624"/>
    <x v="618"/>
    <x v="1083"/>
    <x v="1"/>
    <x v="2"/>
    <x v="622"/>
    <x v="456"/>
    <x v="1"/>
    <x v="31"/>
    <x v="0"/>
    <x v="0"/>
    <x v="3"/>
    <x v="1"/>
    <x v="1"/>
    <x v="1"/>
    <x v="1"/>
    <x v="3"/>
    <x v="1"/>
    <x v="2"/>
    <x v="0"/>
    <x v="1"/>
    <x v="3"/>
    <x v="4"/>
    <x v="633"/>
    <x v="5"/>
    <x v="0"/>
    <x v="0"/>
    <x v="1"/>
    <x v="0"/>
    <x v="0"/>
    <x v="0"/>
    <x v="0"/>
  </r>
  <r>
    <x v="1356"/>
    <x v="335"/>
    <x v="335"/>
    <x v="330"/>
    <x v="0"/>
    <x v="1"/>
    <x v="2"/>
    <x v="350"/>
    <x v="461"/>
    <x v="1"/>
    <x v="259"/>
    <x v="0"/>
    <x v="0"/>
    <x v="3"/>
    <x v="1"/>
    <x v="1"/>
    <x v="1"/>
    <x v="1"/>
    <x v="2"/>
    <x v="3"/>
    <x v="2"/>
    <x v="0"/>
    <x v="2"/>
    <x v="3"/>
    <x v="4"/>
    <x v="337"/>
    <x v="5"/>
    <x v="0"/>
    <x v="0"/>
    <x v="1"/>
    <x v="0"/>
    <x v="0"/>
    <x v="0"/>
    <x v="0"/>
  </r>
  <r>
    <x v="1357"/>
    <x v="335"/>
    <x v="335"/>
    <x v="330"/>
    <x v="0"/>
    <x v="1"/>
    <x v="2"/>
    <x v="626"/>
    <x v="461"/>
    <x v="1"/>
    <x v="260"/>
    <x v="0"/>
    <x v="0"/>
    <x v="1"/>
    <x v="1"/>
    <x v="1"/>
    <x v="1"/>
    <x v="1"/>
    <x v="2"/>
    <x v="1"/>
    <x v="1"/>
    <x v="310"/>
    <x v="2"/>
    <x v="1"/>
    <x v="2"/>
    <x v="337"/>
    <x v="17"/>
    <x v="3"/>
    <x v="0"/>
    <x v="1"/>
    <x v="0"/>
    <x v="783"/>
    <x v="0"/>
    <x v="0"/>
  </r>
  <r>
    <x v="1358"/>
    <x v="509"/>
    <x v="501"/>
    <x v="493"/>
    <x v="0"/>
    <x v="1"/>
    <x v="3"/>
    <x v="513"/>
    <x v="458"/>
    <x v="1"/>
    <x v="33"/>
    <x v="0"/>
    <x v="0"/>
    <x v="3"/>
    <x v="3"/>
    <x v="2"/>
    <x v="2"/>
    <x v="1"/>
    <x v="2"/>
    <x v="1"/>
    <x v="1"/>
    <x v="305"/>
    <x v="1"/>
    <x v="3"/>
    <x v="4"/>
    <x v="503"/>
    <x v="12"/>
    <x v="1"/>
    <x v="13"/>
    <x v="2"/>
    <x v="1"/>
    <x v="784"/>
    <x v="386"/>
    <x v="364"/>
  </r>
  <r>
    <x v="1359"/>
    <x v="639"/>
    <x v="624"/>
    <x v="618"/>
    <x v="1084"/>
    <x v="1"/>
    <x v="2"/>
    <x v="622"/>
    <x v="456"/>
    <x v="1"/>
    <x v="31"/>
    <x v="0"/>
    <x v="0"/>
    <x v="1"/>
    <x v="1"/>
    <x v="1"/>
    <x v="1"/>
    <x v="1"/>
    <x v="1"/>
    <x v="4"/>
    <x v="1"/>
    <x v="305"/>
    <x v="1"/>
    <x v="1"/>
    <x v="2"/>
    <x v="633"/>
    <x v="12"/>
    <x v="3"/>
    <x v="0"/>
    <x v="1"/>
    <x v="0"/>
    <x v="785"/>
    <x v="387"/>
    <x v="0"/>
  </r>
  <r>
    <x v="1360"/>
    <x v="603"/>
    <x v="590"/>
    <x v="583"/>
    <x v="1085"/>
    <x v="1"/>
    <x v="2"/>
    <x v="594"/>
    <x v="462"/>
    <x v="1"/>
    <x v="1"/>
    <x v="0"/>
    <x v="0"/>
    <x v="1"/>
    <x v="2"/>
    <x v="3"/>
    <x v="2"/>
    <x v="1"/>
    <x v="2"/>
    <x v="1"/>
    <x v="1"/>
    <x v="305"/>
    <x v="1"/>
    <x v="2"/>
    <x v="3"/>
    <x v="637"/>
    <x v="2"/>
    <x v="1"/>
    <x v="13"/>
    <x v="1"/>
    <x v="0"/>
    <x v="786"/>
    <x v="388"/>
    <x v="365"/>
  </r>
  <r>
    <x v="1361"/>
    <x v="339"/>
    <x v="339"/>
    <x v="334"/>
    <x v="1086"/>
    <x v="1"/>
    <x v="2"/>
    <x v="354"/>
    <x v="463"/>
    <x v="2"/>
    <x v="0"/>
    <x v="2"/>
    <x v="0"/>
    <x v="1"/>
    <x v="2"/>
    <x v="3"/>
    <x v="2"/>
    <x v="1"/>
    <x v="2"/>
    <x v="1"/>
    <x v="1"/>
    <x v="311"/>
    <x v="1"/>
    <x v="1"/>
    <x v="2"/>
    <x v="341"/>
    <x v="18"/>
    <x v="2"/>
    <x v="0"/>
    <x v="1"/>
    <x v="0"/>
    <x v="0"/>
    <x v="0"/>
    <x v="0"/>
  </r>
  <r>
    <x v="1362"/>
    <x v="509"/>
    <x v="501"/>
    <x v="493"/>
    <x v="1087"/>
    <x v="1"/>
    <x v="2"/>
    <x v="513"/>
    <x v="458"/>
    <x v="1"/>
    <x v="33"/>
    <x v="0"/>
    <x v="0"/>
    <x v="3"/>
    <x v="1"/>
    <x v="1"/>
    <x v="2"/>
    <x v="1"/>
    <x v="2"/>
    <x v="4"/>
    <x v="1"/>
    <x v="311"/>
    <x v="1"/>
    <x v="3"/>
    <x v="4"/>
    <x v="503"/>
    <x v="14"/>
    <x v="1"/>
    <x v="13"/>
    <x v="2"/>
    <x v="1"/>
    <x v="787"/>
    <x v="0"/>
    <x v="366"/>
  </r>
  <r>
    <x v="1363"/>
    <x v="603"/>
    <x v="590"/>
    <x v="583"/>
    <x v="0"/>
    <x v="1"/>
    <x v="2"/>
    <x v="594"/>
    <x v="462"/>
    <x v="1"/>
    <x v="1"/>
    <x v="0"/>
    <x v="0"/>
    <x v="3"/>
    <x v="4"/>
    <x v="1"/>
    <x v="2"/>
    <x v="1"/>
    <x v="2"/>
    <x v="1"/>
    <x v="2"/>
    <x v="0"/>
    <x v="2"/>
    <x v="3"/>
    <x v="4"/>
    <x v="637"/>
    <x v="14"/>
    <x v="0"/>
    <x v="0"/>
    <x v="1"/>
    <x v="0"/>
    <x v="0"/>
    <x v="0"/>
    <x v="0"/>
  </r>
  <r>
    <x v="1364"/>
    <x v="636"/>
    <x v="621"/>
    <x v="615"/>
    <x v="1088"/>
    <x v="3"/>
    <x v="2"/>
    <x v="620"/>
    <x v="454"/>
    <x v="1"/>
    <x v="261"/>
    <x v="0"/>
    <x v="0"/>
    <x v="1"/>
    <x v="2"/>
    <x v="3"/>
    <x v="2"/>
    <x v="1"/>
    <x v="2"/>
    <x v="1"/>
    <x v="1"/>
    <x v="311"/>
    <x v="1"/>
    <x v="6"/>
    <x v="3"/>
    <x v="630"/>
    <x v="14"/>
    <x v="1"/>
    <x v="13"/>
    <x v="1"/>
    <x v="0"/>
    <x v="788"/>
    <x v="389"/>
    <x v="0"/>
  </r>
  <r>
    <x v="1365"/>
    <x v="639"/>
    <x v="624"/>
    <x v="618"/>
    <x v="1089"/>
    <x v="1"/>
    <x v="3"/>
    <x v="622"/>
    <x v="456"/>
    <x v="1"/>
    <x v="31"/>
    <x v="0"/>
    <x v="0"/>
    <x v="1"/>
    <x v="1"/>
    <x v="1"/>
    <x v="2"/>
    <x v="1"/>
    <x v="2"/>
    <x v="1"/>
    <x v="2"/>
    <x v="0"/>
    <x v="1"/>
    <x v="6"/>
    <x v="3"/>
    <x v="633"/>
    <x v="14"/>
    <x v="0"/>
    <x v="0"/>
    <x v="1"/>
    <x v="0"/>
    <x v="0"/>
    <x v="0"/>
    <x v="0"/>
  </r>
  <r>
    <x v="1366"/>
    <x v="509"/>
    <x v="501"/>
    <x v="493"/>
    <x v="0"/>
    <x v="1"/>
    <x v="2"/>
    <x v="513"/>
    <x v="458"/>
    <x v="1"/>
    <x v="33"/>
    <x v="0"/>
    <x v="0"/>
    <x v="3"/>
    <x v="1"/>
    <x v="1"/>
    <x v="2"/>
    <x v="1"/>
    <x v="2"/>
    <x v="1"/>
    <x v="1"/>
    <x v="312"/>
    <x v="2"/>
    <x v="3"/>
    <x v="4"/>
    <x v="503"/>
    <x v="14"/>
    <x v="1"/>
    <x v="1"/>
    <x v="1"/>
    <x v="0"/>
    <x v="789"/>
    <x v="390"/>
    <x v="0"/>
  </r>
  <r>
    <x v="1367"/>
    <x v="643"/>
    <x v="628"/>
    <x v="622"/>
    <x v="1090"/>
    <x v="1"/>
    <x v="2"/>
    <x v="627"/>
    <x v="462"/>
    <x v="2"/>
    <x v="0"/>
    <x v="2"/>
    <x v="0"/>
    <x v="1"/>
    <x v="1"/>
    <x v="1"/>
    <x v="2"/>
    <x v="1"/>
    <x v="3"/>
    <x v="1"/>
    <x v="1"/>
    <x v="313"/>
    <x v="1"/>
    <x v="2"/>
    <x v="2"/>
    <x v="638"/>
    <x v="5"/>
    <x v="1"/>
    <x v="1"/>
    <x v="1"/>
    <x v="0"/>
    <x v="790"/>
    <x v="0"/>
    <x v="0"/>
  </r>
  <r>
    <x v="1368"/>
    <x v="644"/>
    <x v="629"/>
    <x v="623"/>
    <x v="1091"/>
    <x v="1"/>
    <x v="2"/>
    <x v="628"/>
    <x v="464"/>
    <x v="1"/>
    <x v="31"/>
    <x v="0"/>
    <x v="0"/>
    <x v="1"/>
    <x v="1"/>
    <x v="1"/>
    <x v="1"/>
    <x v="1"/>
    <x v="2"/>
    <x v="1"/>
    <x v="1"/>
    <x v="314"/>
    <x v="1"/>
    <x v="1"/>
    <x v="2"/>
    <x v="639"/>
    <x v="12"/>
    <x v="1"/>
    <x v="1"/>
    <x v="2"/>
    <x v="1"/>
    <x v="791"/>
    <x v="0"/>
    <x v="367"/>
  </r>
  <r>
    <x v="1369"/>
    <x v="643"/>
    <x v="628"/>
    <x v="622"/>
    <x v="1090"/>
    <x v="1"/>
    <x v="2"/>
    <x v="627"/>
    <x v="462"/>
    <x v="2"/>
    <x v="0"/>
    <x v="2"/>
    <x v="0"/>
    <x v="3"/>
    <x v="1"/>
    <x v="1"/>
    <x v="2"/>
    <x v="1"/>
    <x v="2"/>
    <x v="1"/>
    <x v="1"/>
    <x v="315"/>
    <x v="2"/>
    <x v="3"/>
    <x v="4"/>
    <x v="638"/>
    <x v="5"/>
    <x v="3"/>
    <x v="0"/>
    <x v="1"/>
    <x v="0"/>
    <x v="792"/>
    <x v="0"/>
    <x v="0"/>
  </r>
  <r>
    <x v="1370"/>
    <x v="438"/>
    <x v="434"/>
    <x v="429"/>
    <x v="1092"/>
    <x v="1"/>
    <x v="2"/>
    <x v="444"/>
    <x v="460"/>
    <x v="1"/>
    <x v="33"/>
    <x v="0"/>
    <x v="0"/>
    <x v="1"/>
    <x v="3"/>
    <x v="2"/>
    <x v="2"/>
    <x v="1"/>
    <x v="3"/>
    <x v="1"/>
    <x v="1"/>
    <x v="314"/>
    <x v="2"/>
    <x v="1"/>
    <x v="2"/>
    <x v="437"/>
    <x v="5"/>
    <x v="3"/>
    <x v="0"/>
    <x v="1"/>
    <x v="0"/>
    <x v="793"/>
    <x v="391"/>
    <x v="0"/>
  </r>
  <r>
    <x v="1371"/>
    <x v="509"/>
    <x v="501"/>
    <x v="493"/>
    <x v="0"/>
    <x v="1"/>
    <x v="3"/>
    <x v="513"/>
    <x v="458"/>
    <x v="1"/>
    <x v="33"/>
    <x v="0"/>
    <x v="0"/>
    <x v="3"/>
    <x v="1"/>
    <x v="1"/>
    <x v="2"/>
    <x v="1"/>
    <x v="2"/>
    <x v="1"/>
    <x v="2"/>
    <x v="0"/>
    <x v="2"/>
    <x v="3"/>
    <x v="4"/>
    <x v="503"/>
    <x v="5"/>
    <x v="0"/>
    <x v="0"/>
    <x v="1"/>
    <x v="0"/>
    <x v="0"/>
    <x v="0"/>
    <x v="0"/>
  </r>
  <r>
    <x v="1372"/>
    <x v="644"/>
    <x v="629"/>
    <x v="623"/>
    <x v="0"/>
    <x v="1"/>
    <x v="2"/>
    <x v="628"/>
    <x v="464"/>
    <x v="1"/>
    <x v="31"/>
    <x v="0"/>
    <x v="0"/>
    <x v="3"/>
    <x v="1"/>
    <x v="1"/>
    <x v="1"/>
    <x v="1"/>
    <x v="2"/>
    <x v="3"/>
    <x v="2"/>
    <x v="0"/>
    <x v="2"/>
    <x v="3"/>
    <x v="4"/>
    <x v="639"/>
    <x v="5"/>
    <x v="0"/>
    <x v="0"/>
    <x v="1"/>
    <x v="0"/>
    <x v="794"/>
    <x v="0"/>
    <x v="0"/>
  </r>
  <r>
    <x v="1373"/>
    <x v="645"/>
    <x v="630"/>
    <x v="624"/>
    <x v="1093"/>
    <x v="1"/>
    <x v="2"/>
    <x v="318"/>
    <x v="158"/>
    <x v="1"/>
    <x v="15"/>
    <x v="0"/>
    <x v="0"/>
    <x v="1"/>
    <x v="1"/>
    <x v="1"/>
    <x v="1"/>
    <x v="1"/>
    <x v="3"/>
    <x v="1"/>
    <x v="1"/>
    <x v="315"/>
    <x v="2"/>
    <x v="2"/>
    <x v="3"/>
    <x v="640"/>
    <x v="20"/>
    <x v="1"/>
    <x v="17"/>
    <x v="1"/>
    <x v="0"/>
    <x v="795"/>
    <x v="0"/>
    <x v="0"/>
  </r>
  <r>
    <x v="1374"/>
    <x v="646"/>
    <x v="631"/>
    <x v="625"/>
    <x v="1094"/>
    <x v="1"/>
    <x v="2"/>
    <x v="629"/>
    <x v="465"/>
    <x v="1"/>
    <x v="27"/>
    <x v="0"/>
    <x v="0"/>
    <x v="1"/>
    <x v="1"/>
    <x v="1"/>
    <x v="2"/>
    <x v="1"/>
    <x v="2"/>
    <x v="1"/>
    <x v="1"/>
    <x v="315"/>
    <x v="1"/>
    <x v="5"/>
    <x v="2"/>
    <x v="641"/>
    <x v="5"/>
    <x v="1"/>
    <x v="1"/>
    <x v="1"/>
    <x v="0"/>
    <x v="796"/>
    <x v="0"/>
    <x v="198"/>
  </r>
  <r>
    <x v="1375"/>
    <x v="645"/>
    <x v="630"/>
    <x v="624"/>
    <x v="1095"/>
    <x v="1"/>
    <x v="2"/>
    <x v="318"/>
    <x v="10"/>
    <x v="2"/>
    <x v="0"/>
    <x v="6"/>
    <x v="0"/>
    <x v="3"/>
    <x v="3"/>
    <x v="3"/>
    <x v="2"/>
    <x v="1"/>
    <x v="3"/>
    <x v="4"/>
    <x v="1"/>
    <x v="316"/>
    <x v="1"/>
    <x v="3"/>
    <x v="4"/>
    <x v="640"/>
    <x v="2"/>
    <x v="1"/>
    <x v="1"/>
    <x v="2"/>
    <x v="1"/>
    <x v="797"/>
    <x v="392"/>
    <x v="0"/>
  </r>
  <r>
    <x v="1376"/>
    <x v="646"/>
    <x v="631"/>
    <x v="625"/>
    <x v="1094"/>
    <x v="1"/>
    <x v="2"/>
    <x v="629"/>
    <x v="465"/>
    <x v="1"/>
    <x v="27"/>
    <x v="0"/>
    <x v="0"/>
    <x v="3"/>
    <x v="2"/>
    <x v="3"/>
    <x v="2"/>
    <x v="1"/>
    <x v="2"/>
    <x v="1"/>
    <x v="1"/>
    <x v="316"/>
    <x v="1"/>
    <x v="3"/>
    <x v="4"/>
    <x v="641"/>
    <x v="5"/>
    <x v="3"/>
    <x v="0"/>
    <x v="1"/>
    <x v="0"/>
    <x v="798"/>
    <x v="393"/>
    <x v="0"/>
  </r>
  <r>
    <x v="1377"/>
    <x v="647"/>
    <x v="632"/>
    <x v="626"/>
    <x v="1096"/>
    <x v="1"/>
    <x v="1"/>
    <x v="630"/>
    <x v="10"/>
    <x v="1"/>
    <x v="3"/>
    <x v="0"/>
    <x v="0"/>
    <x v="1"/>
    <x v="3"/>
    <x v="2"/>
    <x v="2"/>
    <x v="1"/>
    <x v="1"/>
    <x v="1"/>
    <x v="1"/>
    <x v="316"/>
    <x v="1"/>
    <x v="1"/>
    <x v="2"/>
    <x v="642"/>
    <x v="2"/>
    <x v="3"/>
    <x v="0"/>
    <x v="1"/>
    <x v="0"/>
    <x v="799"/>
    <x v="394"/>
    <x v="0"/>
  </r>
  <r>
    <x v="1378"/>
    <x v="636"/>
    <x v="621"/>
    <x v="615"/>
    <x v="0"/>
    <x v="3"/>
    <x v="2"/>
    <x v="620"/>
    <x v="454"/>
    <x v="1"/>
    <x v="262"/>
    <x v="0"/>
    <x v="0"/>
    <x v="3"/>
    <x v="4"/>
    <x v="3"/>
    <x v="2"/>
    <x v="1"/>
    <x v="2"/>
    <x v="1"/>
    <x v="2"/>
    <x v="0"/>
    <x v="2"/>
    <x v="3"/>
    <x v="4"/>
    <x v="630"/>
    <x v="14"/>
    <x v="0"/>
    <x v="0"/>
    <x v="1"/>
    <x v="0"/>
    <x v="0"/>
    <x v="0"/>
    <x v="368"/>
  </r>
  <r>
    <x v="1379"/>
    <x v="645"/>
    <x v="630"/>
    <x v="624"/>
    <x v="1097"/>
    <x v="1"/>
    <x v="2"/>
    <x v="318"/>
    <x v="10"/>
    <x v="1"/>
    <x v="15"/>
    <x v="0"/>
    <x v="0"/>
    <x v="3"/>
    <x v="2"/>
    <x v="3"/>
    <x v="1"/>
    <x v="1"/>
    <x v="2"/>
    <x v="1"/>
    <x v="1"/>
    <x v="308"/>
    <x v="2"/>
    <x v="3"/>
    <x v="4"/>
    <x v="640"/>
    <x v="5"/>
    <x v="3"/>
    <x v="0"/>
    <x v="1"/>
    <x v="0"/>
    <x v="800"/>
    <x v="395"/>
    <x v="0"/>
  </r>
  <r>
    <x v="1380"/>
    <x v="648"/>
    <x v="633"/>
    <x v="627"/>
    <x v="1098"/>
    <x v="1"/>
    <x v="2"/>
    <x v="631"/>
    <x v="466"/>
    <x v="1"/>
    <x v="15"/>
    <x v="0"/>
    <x v="0"/>
    <x v="1"/>
    <x v="1"/>
    <x v="1"/>
    <x v="2"/>
    <x v="1"/>
    <x v="2"/>
    <x v="4"/>
    <x v="1"/>
    <x v="308"/>
    <x v="1"/>
    <x v="5"/>
    <x v="2"/>
    <x v="643"/>
    <x v="5"/>
    <x v="1"/>
    <x v="7"/>
    <x v="2"/>
    <x v="1"/>
    <x v="801"/>
    <x v="0"/>
    <x v="0"/>
  </r>
  <r>
    <x v="1381"/>
    <x v="644"/>
    <x v="629"/>
    <x v="628"/>
    <x v="0"/>
    <x v="1"/>
    <x v="6"/>
    <x v="628"/>
    <x v="464"/>
    <x v="1"/>
    <x v="263"/>
    <x v="0"/>
    <x v="0"/>
    <x v="1"/>
    <x v="1"/>
    <x v="1"/>
    <x v="1"/>
    <x v="1"/>
    <x v="3"/>
    <x v="5"/>
    <x v="1"/>
    <x v="308"/>
    <x v="2"/>
    <x v="5"/>
    <x v="2"/>
    <x v="639"/>
    <x v="20"/>
    <x v="1"/>
    <x v="17"/>
    <x v="1"/>
    <x v="0"/>
    <x v="802"/>
    <x v="0"/>
    <x v="0"/>
  </r>
  <r>
    <x v="1382"/>
    <x v="648"/>
    <x v="633"/>
    <x v="627"/>
    <x v="1099"/>
    <x v="1"/>
    <x v="2"/>
    <x v="631"/>
    <x v="466"/>
    <x v="1"/>
    <x v="15"/>
    <x v="0"/>
    <x v="0"/>
    <x v="3"/>
    <x v="1"/>
    <x v="1"/>
    <x v="1"/>
    <x v="1"/>
    <x v="2"/>
    <x v="1"/>
    <x v="2"/>
    <x v="0"/>
    <x v="1"/>
    <x v="3"/>
    <x v="4"/>
    <x v="643"/>
    <x v="12"/>
    <x v="0"/>
    <x v="0"/>
    <x v="1"/>
    <x v="0"/>
    <x v="0"/>
    <x v="0"/>
    <x v="0"/>
  </r>
  <r>
    <x v="1383"/>
    <x v="649"/>
    <x v="634"/>
    <x v="629"/>
    <x v="1100"/>
    <x v="1"/>
    <x v="2"/>
    <x v="632"/>
    <x v="467"/>
    <x v="1"/>
    <x v="3"/>
    <x v="0"/>
    <x v="0"/>
    <x v="2"/>
    <x v="1"/>
    <x v="2"/>
    <x v="2"/>
    <x v="1"/>
    <x v="1"/>
    <x v="1"/>
    <x v="2"/>
    <x v="0"/>
    <x v="1"/>
    <x v="6"/>
    <x v="3"/>
    <x v="644"/>
    <x v="14"/>
    <x v="0"/>
    <x v="0"/>
    <x v="1"/>
    <x v="0"/>
    <x v="0"/>
    <x v="0"/>
    <x v="369"/>
  </r>
  <r>
    <x v="1384"/>
    <x v="650"/>
    <x v="635"/>
    <x v="630"/>
    <x v="1101"/>
    <x v="1"/>
    <x v="2"/>
    <x v="633"/>
    <x v="468"/>
    <x v="2"/>
    <x v="0"/>
    <x v="6"/>
    <x v="0"/>
    <x v="1"/>
    <x v="3"/>
    <x v="3"/>
    <x v="2"/>
    <x v="1"/>
    <x v="2"/>
    <x v="1"/>
    <x v="1"/>
    <x v="317"/>
    <x v="1"/>
    <x v="1"/>
    <x v="2"/>
    <x v="645"/>
    <x v="12"/>
    <x v="1"/>
    <x v="13"/>
    <x v="1"/>
    <x v="0"/>
    <x v="803"/>
    <x v="396"/>
    <x v="370"/>
  </r>
  <r>
    <x v="1385"/>
    <x v="641"/>
    <x v="626"/>
    <x v="620"/>
    <x v="1102"/>
    <x v="1"/>
    <x v="2"/>
    <x v="624"/>
    <x v="459"/>
    <x v="1"/>
    <x v="3"/>
    <x v="0"/>
    <x v="0"/>
    <x v="1"/>
    <x v="1"/>
    <x v="1"/>
    <x v="2"/>
    <x v="1"/>
    <x v="2"/>
    <x v="1"/>
    <x v="2"/>
    <x v="0"/>
    <x v="1"/>
    <x v="5"/>
    <x v="2"/>
    <x v="635"/>
    <x v="12"/>
    <x v="0"/>
    <x v="0"/>
    <x v="1"/>
    <x v="0"/>
    <x v="0"/>
    <x v="0"/>
    <x v="0"/>
  </r>
  <r>
    <x v="1386"/>
    <x v="651"/>
    <x v="636"/>
    <x v="631"/>
    <x v="1103"/>
    <x v="1"/>
    <x v="3"/>
    <x v="634"/>
    <x v="469"/>
    <x v="2"/>
    <x v="0"/>
    <x v="6"/>
    <x v="0"/>
    <x v="1"/>
    <x v="2"/>
    <x v="3"/>
    <x v="2"/>
    <x v="1"/>
    <x v="1"/>
    <x v="1"/>
    <x v="1"/>
    <x v="317"/>
    <x v="1"/>
    <x v="6"/>
    <x v="3"/>
    <x v="646"/>
    <x v="14"/>
    <x v="1"/>
    <x v="13"/>
    <x v="2"/>
    <x v="1"/>
    <x v="804"/>
    <x v="0"/>
    <x v="371"/>
  </r>
  <r>
    <x v="1387"/>
    <x v="603"/>
    <x v="590"/>
    <x v="583"/>
    <x v="1104"/>
    <x v="1"/>
    <x v="2"/>
    <x v="594"/>
    <x v="462"/>
    <x v="6"/>
    <x v="0"/>
    <x v="0"/>
    <x v="4"/>
    <x v="1"/>
    <x v="1"/>
    <x v="2"/>
    <x v="2"/>
    <x v="1"/>
    <x v="2"/>
    <x v="1"/>
    <x v="1"/>
    <x v="318"/>
    <x v="1"/>
    <x v="6"/>
    <x v="3"/>
    <x v="599"/>
    <x v="14"/>
    <x v="3"/>
    <x v="0"/>
    <x v="1"/>
    <x v="0"/>
    <x v="805"/>
    <x v="397"/>
    <x v="185"/>
  </r>
  <r>
    <x v="1388"/>
    <x v="650"/>
    <x v="635"/>
    <x v="630"/>
    <x v="0"/>
    <x v="1"/>
    <x v="2"/>
    <x v="633"/>
    <x v="468"/>
    <x v="1"/>
    <x v="264"/>
    <x v="0"/>
    <x v="0"/>
    <x v="3"/>
    <x v="4"/>
    <x v="1"/>
    <x v="2"/>
    <x v="1"/>
    <x v="2"/>
    <x v="1"/>
    <x v="2"/>
    <x v="0"/>
    <x v="2"/>
    <x v="3"/>
    <x v="4"/>
    <x v="645"/>
    <x v="14"/>
    <x v="0"/>
    <x v="0"/>
    <x v="1"/>
    <x v="0"/>
    <x v="0"/>
    <x v="0"/>
    <x v="0"/>
  </r>
  <r>
    <x v="1389"/>
    <x v="651"/>
    <x v="636"/>
    <x v="631"/>
    <x v="0"/>
    <x v="1"/>
    <x v="2"/>
    <x v="634"/>
    <x v="469"/>
    <x v="2"/>
    <x v="0"/>
    <x v="6"/>
    <x v="0"/>
    <x v="3"/>
    <x v="2"/>
    <x v="3"/>
    <x v="2"/>
    <x v="1"/>
    <x v="1"/>
    <x v="1"/>
    <x v="1"/>
    <x v="319"/>
    <x v="2"/>
    <x v="3"/>
    <x v="4"/>
    <x v="646"/>
    <x v="14"/>
    <x v="1"/>
    <x v="1"/>
    <x v="2"/>
    <x v="1"/>
    <x v="806"/>
    <x v="0"/>
    <x v="372"/>
  </r>
  <r>
    <x v="1390"/>
    <x v="652"/>
    <x v="637"/>
    <x v="632"/>
    <x v="1105"/>
    <x v="1"/>
    <x v="2"/>
    <x v="635"/>
    <x v="10"/>
    <x v="1"/>
    <x v="22"/>
    <x v="0"/>
    <x v="0"/>
    <x v="1"/>
    <x v="2"/>
    <x v="3"/>
    <x v="2"/>
    <x v="1"/>
    <x v="1"/>
    <x v="5"/>
    <x v="1"/>
    <x v="318"/>
    <x v="1"/>
    <x v="6"/>
    <x v="2"/>
    <x v="647"/>
    <x v="5"/>
    <x v="1"/>
    <x v="5"/>
    <x v="2"/>
    <x v="1"/>
    <x v="807"/>
    <x v="398"/>
    <x v="373"/>
  </r>
  <r>
    <x v="1391"/>
    <x v="651"/>
    <x v="636"/>
    <x v="631"/>
    <x v="0"/>
    <x v="1"/>
    <x v="2"/>
    <x v="634"/>
    <x v="469"/>
    <x v="2"/>
    <x v="0"/>
    <x v="6"/>
    <x v="0"/>
    <x v="3"/>
    <x v="2"/>
    <x v="3"/>
    <x v="2"/>
    <x v="1"/>
    <x v="2"/>
    <x v="1"/>
    <x v="1"/>
    <x v="318"/>
    <x v="2"/>
    <x v="3"/>
    <x v="4"/>
    <x v="646"/>
    <x v="5"/>
    <x v="1"/>
    <x v="4"/>
    <x v="1"/>
    <x v="0"/>
    <x v="808"/>
    <x v="399"/>
    <x v="0"/>
  </r>
  <r>
    <x v="1392"/>
    <x v="644"/>
    <x v="629"/>
    <x v="628"/>
    <x v="0"/>
    <x v="1"/>
    <x v="2"/>
    <x v="628"/>
    <x v="464"/>
    <x v="1"/>
    <x v="263"/>
    <x v="0"/>
    <x v="0"/>
    <x v="3"/>
    <x v="1"/>
    <x v="1"/>
    <x v="1"/>
    <x v="1"/>
    <x v="3"/>
    <x v="5"/>
    <x v="2"/>
    <x v="0"/>
    <x v="2"/>
    <x v="5"/>
    <x v="3"/>
    <x v="639"/>
    <x v="20"/>
    <x v="0"/>
    <x v="0"/>
    <x v="1"/>
    <x v="0"/>
    <x v="0"/>
    <x v="0"/>
    <x v="0"/>
  </r>
  <r>
    <x v="1393"/>
    <x v="653"/>
    <x v="566"/>
    <x v="559"/>
    <x v="1106"/>
    <x v="1"/>
    <x v="1"/>
    <x v="573"/>
    <x v="470"/>
    <x v="1"/>
    <x v="265"/>
    <x v="0"/>
    <x v="0"/>
    <x v="1"/>
    <x v="1"/>
    <x v="1"/>
    <x v="2"/>
    <x v="1"/>
    <x v="1"/>
    <x v="1"/>
    <x v="2"/>
    <x v="0"/>
    <x v="1"/>
    <x v="4"/>
    <x v="2"/>
    <x v="573"/>
    <x v="12"/>
    <x v="0"/>
    <x v="0"/>
    <x v="1"/>
    <x v="0"/>
    <x v="0"/>
    <x v="0"/>
    <x v="0"/>
  </r>
  <r>
    <x v="1394"/>
    <x v="654"/>
    <x v="638"/>
    <x v="633"/>
    <x v="1107"/>
    <x v="1"/>
    <x v="2"/>
    <x v="407"/>
    <x v="471"/>
    <x v="1"/>
    <x v="266"/>
    <x v="0"/>
    <x v="0"/>
    <x v="1"/>
    <x v="1"/>
    <x v="1"/>
    <x v="1"/>
    <x v="1"/>
    <x v="2"/>
    <x v="1"/>
    <x v="2"/>
    <x v="0"/>
    <x v="1"/>
    <x v="1"/>
    <x v="13"/>
    <x v="648"/>
    <x v="3"/>
    <x v="0"/>
    <x v="0"/>
    <x v="1"/>
    <x v="0"/>
    <x v="0"/>
    <x v="0"/>
    <x v="0"/>
  </r>
  <r>
    <x v="1395"/>
    <x v="655"/>
    <x v="639"/>
    <x v="634"/>
    <x v="1108"/>
    <x v="1"/>
    <x v="2"/>
    <x v="636"/>
    <x v="472"/>
    <x v="1"/>
    <x v="9"/>
    <x v="0"/>
    <x v="0"/>
    <x v="1"/>
    <x v="1"/>
    <x v="1"/>
    <x v="2"/>
    <x v="1"/>
    <x v="2"/>
    <x v="1"/>
    <x v="2"/>
    <x v="0"/>
    <x v="1"/>
    <x v="1"/>
    <x v="2"/>
    <x v="649"/>
    <x v="12"/>
    <x v="0"/>
    <x v="0"/>
    <x v="1"/>
    <x v="0"/>
    <x v="0"/>
    <x v="0"/>
    <x v="0"/>
  </r>
  <r>
    <x v="1396"/>
    <x v="652"/>
    <x v="637"/>
    <x v="632"/>
    <x v="0"/>
    <x v="1"/>
    <x v="2"/>
    <x v="635"/>
    <x v="473"/>
    <x v="1"/>
    <x v="15"/>
    <x v="0"/>
    <x v="0"/>
    <x v="3"/>
    <x v="3"/>
    <x v="3"/>
    <x v="1"/>
    <x v="1"/>
    <x v="2"/>
    <x v="1"/>
    <x v="1"/>
    <x v="318"/>
    <x v="2"/>
    <x v="3"/>
    <x v="4"/>
    <x v="647"/>
    <x v="2"/>
    <x v="1"/>
    <x v="4"/>
    <x v="2"/>
    <x v="1"/>
    <x v="809"/>
    <x v="0"/>
    <x v="374"/>
  </r>
  <r>
    <x v="1397"/>
    <x v="655"/>
    <x v="639"/>
    <x v="634"/>
    <x v="1109"/>
    <x v="1"/>
    <x v="2"/>
    <x v="636"/>
    <x v="472"/>
    <x v="1"/>
    <x v="9"/>
    <x v="0"/>
    <x v="0"/>
    <x v="1"/>
    <x v="1"/>
    <x v="1"/>
    <x v="2"/>
    <x v="1"/>
    <x v="2"/>
    <x v="1"/>
    <x v="2"/>
    <x v="0"/>
    <x v="1"/>
    <x v="1"/>
    <x v="2"/>
    <x v="649"/>
    <x v="3"/>
    <x v="0"/>
    <x v="0"/>
    <x v="1"/>
    <x v="0"/>
    <x v="0"/>
    <x v="0"/>
    <x v="0"/>
  </r>
  <r>
    <x v="1398"/>
    <x v="652"/>
    <x v="637"/>
    <x v="632"/>
    <x v="1110"/>
    <x v="1"/>
    <x v="2"/>
    <x v="635"/>
    <x v="10"/>
    <x v="1"/>
    <x v="15"/>
    <x v="0"/>
    <x v="0"/>
    <x v="3"/>
    <x v="2"/>
    <x v="3"/>
    <x v="2"/>
    <x v="1"/>
    <x v="2"/>
    <x v="1"/>
    <x v="1"/>
    <x v="318"/>
    <x v="1"/>
    <x v="3"/>
    <x v="4"/>
    <x v="647"/>
    <x v="1"/>
    <x v="3"/>
    <x v="0"/>
    <x v="1"/>
    <x v="0"/>
    <x v="810"/>
    <x v="400"/>
    <x v="0"/>
  </r>
  <r>
    <x v="1399"/>
    <x v="651"/>
    <x v="636"/>
    <x v="631"/>
    <x v="0"/>
    <x v="1"/>
    <x v="2"/>
    <x v="634"/>
    <x v="469"/>
    <x v="2"/>
    <x v="0"/>
    <x v="6"/>
    <x v="0"/>
    <x v="3"/>
    <x v="4"/>
    <x v="1"/>
    <x v="2"/>
    <x v="1"/>
    <x v="2"/>
    <x v="1"/>
    <x v="2"/>
    <x v="0"/>
    <x v="2"/>
    <x v="3"/>
    <x v="4"/>
    <x v="646"/>
    <x v="1"/>
    <x v="0"/>
    <x v="0"/>
    <x v="1"/>
    <x v="0"/>
    <x v="0"/>
    <x v="0"/>
    <x v="0"/>
  </r>
  <r>
    <x v="1400"/>
    <x v="656"/>
    <x v="640"/>
    <x v="635"/>
    <x v="1111"/>
    <x v="1"/>
    <x v="3"/>
    <x v="210"/>
    <x v="474"/>
    <x v="1"/>
    <x v="15"/>
    <x v="0"/>
    <x v="0"/>
    <x v="1"/>
    <x v="2"/>
    <x v="3"/>
    <x v="2"/>
    <x v="1"/>
    <x v="2"/>
    <x v="1"/>
    <x v="1"/>
    <x v="320"/>
    <x v="1"/>
    <x v="1"/>
    <x v="2"/>
    <x v="650"/>
    <x v="3"/>
    <x v="3"/>
    <x v="0"/>
    <x v="1"/>
    <x v="0"/>
    <x v="811"/>
    <x v="401"/>
    <x v="0"/>
  </r>
  <r>
    <x v="1401"/>
    <x v="566"/>
    <x v="557"/>
    <x v="550"/>
    <x v="1112"/>
    <x v="1"/>
    <x v="2"/>
    <x v="565"/>
    <x v="475"/>
    <x v="1"/>
    <x v="267"/>
    <x v="0"/>
    <x v="0"/>
    <x v="1"/>
    <x v="1"/>
    <x v="1"/>
    <x v="2"/>
    <x v="1"/>
    <x v="3"/>
    <x v="1"/>
    <x v="2"/>
    <x v="0"/>
    <x v="2"/>
    <x v="1"/>
    <x v="2"/>
    <x v="563"/>
    <x v="3"/>
    <x v="0"/>
    <x v="0"/>
    <x v="1"/>
    <x v="0"/>
    <x v="0"/>
    <x v="0"/>
    <x v="0"/>
  </r>
  <r>
    <x v="1402"/>
    <x v="657"/>
    <x v="641"/>
    <x v="636"/>
    <x v="1113"/>
    <x v="1"/>
    <x v="3"/>
    <x v="637"/>
    <x v="449"/>
    <x v="1"/>
    <x v="268"/>
    <x v="0"/>
    <x v="0"/>
    <x v="1"/>
    <x v="2"/>
    <x v="3"/>
    <x v="2"/>
    <x v="2"/>
    <x v="1"/>
    <x v="1"/>
    <x v="1"/>
    <x v="321"/>
    <x v="1"/>
    <x v="1"/>
    <x v="2"/>
    <x v="651"/>
    <x v="14"/>
    <x v="3"/>
    <x v="0"/>
    <x v="1"/>
    <x v="0"/>
    <x v="812"/>
    <x v="402"/>
    <x v="0"/>
  </r>
  <r>
    <x v="1403"/>
    <x v="546"/>
    <x v="538"/>
    <x v="531"/>
    <x v="1114"/>
    <x v="1"/>
    <x v="2"/>
    <x v="547"/>
    <x v="476"/>
    <x v="1"/>
    <x v="269"/>
    <x v="0"/>
    <x v="0"/>
    <x v="1"/>
    <x v="1"/>
    <x v="1"/>
    <x v="2"/>
    <x v="1"/>
    <x v="3"/>
    <x v="1"/>
    <x v="1"/>
    <x v="321"/>
    <x v="1"/>
    <x v="1"/>
    <x v="2"/>
    <x v="542"/>
    <x v="14"/>
    <x v="1"/>
    <x v="4"/>
    <x v="1"/>
    <x v="0"/>
    <x v="813"/>
    <x v="403"/>
    <x v="0"/>
  </r>
  <r>
    <x v="1404"/>
    <x v="315"/>
    <x v="316"/>
    <x v="311"/>
    <x v="1115"/>
    <x v="1"/>
    <x v="2"/>
    <x v="329"/>
    <x v="10"/>
    <x v="1"/>
    <x v="24"/>
    <x v="0"/>
    <x v="0"/>
    <x v="1"/>
    <x v="1"/>
    <x v="1"/>
    <x v="2"/>
    <x v="1"/>
    <x v="2"/>
    <x v="1"/>
    <x v="1"/>
    <x v="321"/>
    <x v="1"/>
    <x v="1"/>
    <x v="2"/>
    <x v="317"/>
    <x v="14"/>
    <x v="1"/>
    <x v="4"/>
    <x v="1"/>
    <x v="0"/>
    <x v="814"/>
    <x v="0"/>
    <x v="0"/>
  </r>
  <r>
    <x v="1405"/>
    <x v="315"/>
    <x v="316"/>
    <x v="311"/>
    <x v="0"/>
    <x v="1"/>
    <x v="2"/>
    <x v="329"/>
    <x v="10"/>
    <x v="1"/>
    <x v="24"/>
    <x v="0"/>
    <x v="0"/>
    <x v="3"/>
    <x v="1"/>
    <x v="1"/>
    <x v="2"/>
    <x v="1"/>
    <x v="2"/>
    <x v="1"/>
    <x v="1"/>
    <x v="322"/>
    <x v="2"/>
    <x v="3"/>
    <x v="4"/>
    <x v="317"/>
    <x v="1"/>
    <x v="1"/>
    <x v="4"/>
    <x v="1"/>
    <x v="0"/>
    <x v="815"/>
    <x v="404"/>
    <x v="0"/>
  </r>
  <r>
    <x v="1406"/>
    <x v="658"/>
    <x v="642"/>
    <x v="637"/>
    <x v="1116"/>
    <x v="3"/>
    <x v="1"/>
    <x v="638"/>
    <x v="477"/>
    <x v="1"/>
    <x v="193"/>
    <x v="0"/>
    <x v="0"/>
    <x v="1"/>
    <x v="1"/>
    <x v="1"/>
    <x v="2"/>
    <x v="1"/>
    <x v="2"/>
    <x v="1"/>
    <x v="2"/>
    <x v="0"/>
    <x v="2"/>
    <x v="2"/>
    <x v="2"/>
    <x v="652"/>
    <x v="3"/>
    <x v="0"/>
    <x v="0"/>
    <x v="1"/>
    <x v="0"/>
    <x v="0"/>
    <x v="0"/>
    <x v="0"/>
  </r>
  <r>
    <x v="1407"/>
    <x v="659"/>
    <x v="643"/>
    <x v="638"/>
    <x v="1117"/>
    <x v="1"/>
    <x v="2"/>
    <x v="639"/>
    <x v="478"/>
    <x v="1"/>
    <x v="217"/>
    <x v="0"/>
    <x v="0"/>
    <x v="1"/>
    <x v="2"/>
    <x v="3"/>
    <x v="2"/>
    <x v="2"/>
    <x v="1"/>
    <x v="1"/>
    <x v="1"/>
    <x v="322"/>
    <x v="1"/>
    <x v="1"/>
    <x v="2"/>
    <x v="653"/>
    <x v="3"/>
    <x v="3"/>
    <x v="0"/>
    <x v="1"/>
    <x v="0"/>
    <x v="816"/>
    <x v="405"/>
    <x v="0"/>
  </r>
  <r>
    <x v="1408"/>
    <x v="546"/>
    <x v="538"/>
    <x v="531"/>
    <x v="0"/>
    <x v="1"/>
    <x v="2"/>
    <x v="547"/>
    <x v="476"/>
    <x v="1"/>
    <x v="8"/>
    <x v="0"/>
    <x v="0"/>
    <x v="3"/>
    <x v="1"/>
    <x v="1"/>
    <x v="2"/>
    <x v="1"/>
    <x v="2"/>
    <x v="1"/>
    <x v="2"/>
    <x v="0"/>
    <x v="2"/>
    <x v="3"/>
    <x v="4"/>
    <x v="542"/>
    <x v="1"/>
    <x v="0"/>
    <x v="0"/>
    <x v="1"/>
    <x v="0"/>
    <x v="0"/>
    <x v="0"/>
    <x v="0"/>
  </r>
  <r>
    <x v="1409"/>
    <x v="660"/>
    <x v="644"/>
    <x v="639"/>
    <x v="1118"/>
    <x v="1"/>
    <x v="1"/>
    <x v="640"/>
    <x v="479"/>
    <x v="1"/>
    <x v="9"/>
    <x v="0"/>
    <x v="0"/>
    <x v="1"/>
    <x v="2"/>
    <x v="3"/>
    <x v="2"/>
    <x v="1"/>
    <x v="2"/>
    <x v="1"/>
    <x v="1"/>
    <x v="323"/>
    <x v="1"/>
    <x v="1"/>
    <x v="2"/>
    <x v="654"/>
    <x v="3"/>
    <x v="3"/>
    <x v="0"/>
    <x v="1"/>
    <x v="0"/>
    <x v="817"/>
    <x v="406"/>
    <x v="0"/>
  </r>
  <r>
    <x v="1410"/>
    <x v="661"/>
    <x v="645"/>
    <x v="640"/>
    <x v="1119"/>
    <x v="1"/>
    <x v="3"/>
    <x v="641"/>
    <x v="480"/>
    <x v="1"/>
    <x v="3"/>
    <x v="0"/>
    <x v="0"/>
    <x v="1"/>
    <x v="3"/>
    <x v="2"/>
    <x v="2"/>
    <x v="1"/>
    <x v="2"/>
    <x v="1"/>
    <x v="1"/>
    <x v="323"/>
    <x v="1"/>
    <x v="1"/>
    <x v="5"/>
    <x v="655"/>
    <x v="14"/>
    <x v="3"/>
    <x v="0"/>
    <x v="1"/>
    <x v="0"/>
    <x v="818"/>
    <x v="407"/>
    <x v="375"/>
  </r>
  <r>
    <x v="1411"/>
    <x v="662"/>
    <x v="646"/>
    <x v="641"/>
    <x v="1120"/>
    <x v="1"/>
    <x v="2"/>
    <x v="642"/>
    <x v="158"/>
    <x v="1"/>
    <x v="270"/>
    <x v="0"/>
    <x v="0"/>
    <x v="1"/>
    <x v="1"/>
    <x v="1"/>
    <x v="2"/>
    <x v="2"/>
    <x v="1"/>
    <x v="1"/>
    <x v="2"/>
    <x v="0"/>
    <x v="1"/>
    <x v="1"/>
    <x v="2"/>
    <x v="656"/>
    <x v="1"/>
    <x v="0"/>
    <x v="0"/>
    <x v="1"/>
    <x v="0"/>
    <x v="0"/>
    <x v="0"/>
    <x v="0"/>
  </r>
  <r>
    <x v="1412"/>
    <x v="315"/>
    <x v="316"/>
    <x v="311"/>
    <x v="0"/>
    <x v="1"/>
    <x v="2"/>
    <x v="643"/>
    <x v="10"/>
    <x v="1"/>
    <x v="24"/>
    <x v="0"/>
    <x v="0"/>
    <x v="3"/>
    <x v="1"/>
    <x v="1"/>
    <x v="2"/>
    <x v="1"/>
    <x v="2"/>
    <x v="1"/>
    <x v="2"/>
    <x v="0"/>
    <x v="2"/>
    <x v="3"/>
    <x v="4"/>
    <x v="317"/>
    <x v="1"/>
    <x v="0"/>
    <x v="0"/>
    <x v="1"/>
    <x v="0"/>
    <x v="0"/>
    <x v="0"/>
    <x v="0"/>
  </r>
  <r>
    <x v="1413"/>
    <x v="663"/>
    <x v="647"/>
    <x v="642"/>
    <x v="1121"/>
    <x v="3"/>
    <x v="2"/>
    <x v="644"/>
    <x v="481"/>
    <x v="1"/>
    <x v="9"/>
    <x v="0"/>
    <x v="0"/>
    <x v="1"/>
    <x v="1"/>
    <x v="1"/>
    <x v="2"/>
    <x v="2"/>
    <x v="1"/>
    <x v="3"/>
    <x v="1"/>
    <x v="323"/>
    <x v="1"/>
    <x v="6"/>
    <x v="3"/>
    <x v="657"/>
    <x v="14"/>
    <x v="1"/>
    <x v="5"/>
    <x v="2"/>
    <x v="1"/>
    <x v="819"/>
    <x v="0"/>
    <x v="0"/>
  </r>
  <r>
    <x v="1414"/>
    <x v="663"/>
    <x v="647"/>
    <x v="642"/>
    <x v="1122"/>
    <x v="3"/>
    <x v="2"/>
    <x v="645"/>
    <x v="481"/>
    <x v="1"/>
    <x v="9"/>
    <x v="0"/>
    <x v="0"/>
    <x v="3"/>
    <x v="1"/>
    <x v="2"/>
    <x v="1"/>
    <x v="2"/>
    <x v="3"/>
    <x v="1"/>
    <x v="2"/>
    <x v="0"/>
    <x v="1"/>
    <x v="3"/>
    <x v="4"/>
    <x v="657"/>
    <x v="2"/>
    <x v="0"/>
    <x v="0"/>
    <x v="1"/>
    <x v="0"/>
    <x v="0"/>
    <x v="0"/>
    <x v="0"/>
  </r>
  <r>
    <x v="1415"/>
    <x v="435"/>
    <x v="432"/>
    <x v="427"/>
    <x v="1123"/>
    <x v="1"/>
    <x v="2"/>
    <x v="442"/>
    <x v="482"/>
    <x v="1"/>
    <x v="271"/>
    <x v="0"/>
    <x v="0"/>
    <x v="1"/>
    <x v="1"/>
    <x v="1"/>
    <x v="2"/>
    <x v="1"/>
    <x v="2"/>
    <x v="1"/>
    <x v="1"/>
    <x v="324"/>
    <x v="1"/>
    <x v="1"/>
    <x v="2"/>
    <x v="435"/>
    <x v="12"/>
    <x v="3"/>
    <x v="0"/>
    <x v="1"/>
    <x v="0"/>
    <x v="820"/>
    <x v="408"/>
    <x v="0"/>
  </r>
  <r>
    <x v="1416"/>
    <x v="652"/>
    <x v="637"/>
    <x v="632"/>
    <x v="1124"/>
    <x v="1"/>
    <x v="2"/>
    <x v="635"/>
    <x v="473"/>
    <x v="1"/>
    <x v="31"/>
    <x v="0"/>
    <x v="0"/>
    <x v="1"/>
    <x v="1"/>
    <x v="1"/>
    <x v="2"/>
    <x v="1"/>
    <x v="3"/>
    <x v="4"/>
    <x v="1"/>
    <x v="324"/>
    <x v="1"/>
    <x v="1"/>
    <x v="2"/>
    <x v="658"/>
    <x v="1"/>
    <x v="1"/>
    <x v="13"/>
    <x v="1"/>
    <x v="0"/>
    <x v="821"/>
    <x v="0"/>
    <x v="376"/>
  </r>
  <r>
    <x v="1417"/>
    <x v="664"/>
    <x v="648"/>
    <x v="643"/>
    <x v="1125"/>
    <x v="1"/>
    <x v="2"/>
    <x v="646"/>
    <x v="483"/>
    <x v="1"/>
    <x v="272"/>
    <x v="0"/>
    <x v="0"/>
    <x v="1"/>
    <x v="3"/>
    <x v="4"/>
    <x v="2"/>
    <x v="1"/>
    <x v="2"/>
    <x v="1"/>
    <x v="2"/>
    <x v="324"/>
    <x v="1"/>
    <x v="1"/>
    <x v="2"/>
    <x v="659"/>
    <x v="12"/>
    <x v="3"/>
    <x v="0"/>
    <x v="1"/>
    <x v="0"/>
    <x v="822"/>
    <x v="409"/>
    <x v="0"/>
  </r>
  <r>
    <x v="1418"/>
    <x v="665"/>
    <x v="649"/>
    <x v="644"/>
    <x v="1126"/>
    <x v="1"/>
    <x v="2"/>
    <x v="647"/>
    <x v="484"/>
    <x v="1"/>
    <x v="9"/>
    <x v="0"/>
    <x v="0"/>
    <x v="1"/>
    <x v="2"/>
    <x v="3"/>
    <x v="2"/>
    <x v="1"/>
    <x v="1"/>
    <x v="1"/>
    <x v="1"/>
    <x v="324"/>
    <x v="1"/>
    <x v="6"/>
    <x v="3"/>
    <x v="660"/>
    <x v="14"/>
    <x v="3"/>
    <x v="0"/>
    <x v="1"/>
    <x v="0"/>
    <x v="823"/>
    <x v="410"/>
    <x v="377"/>
  </r>
  <r>
    <x v="1419"/>
    <x v="666"/>
    <x v="637"/>
    <x v="632"/>
    <x v="0"/>
    <x v="1"/>
    <x v="2"/>
    <x v="635"/>
    <x v="473"/>
    <x v="1"/>
    <x v="31"/>
    <x v="0"/>
    <x v="0"/>
    <x v="3"/>
    <x v="1"/>
    <x v="1"/>
    <x v="2"/>
    <x v="1"/>
    <x v="2"/>
    <x v="1"/>
    <x v="2"/>
    <x v="0"/>
    <x v="2"/>
    <x v="3"/>
    <x v="4"/>
    <x v="658"/>
    <x v="14"/>
    <x v="0"/>
    <x v="0"/>
    <x v="1"/>
    <x v="0"/>
    <x v="0"/>
    <x v="0"/>
    <x v="0"/>
  </r>
  <r>
    <x v="1420"/>
    <x v="639"/>
    <x v="624"/>
    <x v="618"/>
    <x v="1127"/>
    <x v="1"/>
    <x v="3"/>
    <x v="622"/>
    <x v="456"/>
    <x v="1"/>
    <x v="273"/>
    <x v="0"/>
    <x v="0"/>
    <x v="1"/>
    <x v="1"/>
    <x v="2"/>
    <x v="2"/>
    <x v="1"/>
    <x v="2"/>
    <x v="1"/>
    <x v="1"/>
    <x v="325"/>
    <x v="1"/>
    <x v="6"/>
    <x v="3"/>
    <x v="633"/>
    <x v="14"/>
    <x v="1"/>
    <x v="3"/>
    <x v="2"/>
    <x v="1"/>
    <x v="824"/>
    <x v="0"/>
    <x v="0"/>
  </r>
  <r>
    <x v="1421"/>
    <x v="667"/>
    <x v="650"/>
    <x v="645"/>
    <x v="1128"/>
    <x v="1"/>
    <x v="3"/>
    <x v="648"/>
    <x v="485"/>
    <x v="2"/>
    <x v="0"/>
    <x v="5"/>
    <x v="0"/>
    <x v="1"/>
    <x v="2"/>
    <x v="3"/>
    <x v="2"/>
    <x v="1"/>
    <x v="2"/>
    <x v="1"/>
    <x v="1"/>
    <x v="325"/>
    <x v="1"/>
    <x v="6"/>
    <x v="2"/>
    <x v="661"/>
    <x v="12"/>
    <x v="1"/>
    <x v="3"/>
    <x v="1"/>
    <x v="0"/>
    <x v="825"/>
    <x v="0"/>
    <x v="0"/>
  </r>
  <r>
    <x v="1422"/>
    <x v="668"/>
    <x v="651"/>
    <x v="646"/>
    <x v="1128"/>
    <x v="1"/>
    <x v="2"/>
    <x v="649"/>
    <x v="486"/>
    <x v="1"/>
    <x v="2"/>
    <x v="0"/>
    <x v="0"/>
    <x v="1"/>
    <x v="1"/>
    <x v="1"/>
    <x v="1"/>
    <x v="1"/>
    <x v="2"/>
    <x v="1"/>
    <x v="1"/>
    <x v="326"/>
    <x v="1"/>
    <x v="6"/>
    <x v="2"/>
    <x v="662"/>
    <x v="12"/>
    <x v="1"/>
    <x v="7"/>
    <x v="2"/>
    <x v="1"/>
    <x v="826"/>
    <x v="0"/>
    <x v="0"/>
  </r>
  <r>
    <x v="1423"/>
    <x v="668"/>
    <x v="651"/>
    <x v="646"/>
    <x v="1129"/>
    <x v="1"/>
    <x v="2"/>
    <x v="649"/>
    <x v="486"/>
    <x v="1"/>
    <x v="2"/>
    <x v="0"/>
    <x v="0"/>
    <x v="3"/>
    <x v="1"/>
    <x v="1"/>
    <x v="2"/>
    <x v="1"/>
    <x v="2"/>
    <x v="1"/>
    <x v="2"/>
    <x v="0"/>
    <x v="1"/>
    <x v="3"/>
    <x v="4"/>
    <x v="662"/>
    <x v="12"/>
    <x v="0"/>
    <x v="0"/>
    <x v="1"/>
    <x v="0"/>
    <x v="0"/>
    <x v="0"/>
    <x v="0"/>
  </r>
  <r>
    <x v="1424"/>
    <x v="667"/>
    <x v="650"/>
    <x v="645"/>
    <x v="0"/>
    <x v="1"/>
    <x v="3"/>
    <x v="648"/>
    <x v="485"/>
    <x v="1"/>
    <x v="217"/>
    <x v="0"/>
    <x v="0"/>
    <x v="3"/>
    <x v="4"/>
    <x v="1"/>
    <x v="2"/>
    <x v="1"/>
    <x v="2"/>
    <x v="1"/>
    <x v="2"/>
    <x v="0"/>
    <x v="2"/>
    <x v="3"/>
    <x v="4"/>
    <x v="661"/>
    <x v="3"/>
    <x v="0"/>
    <x v="0"/>
    <x v="1"/>
    <x v="0"/>
    <x v="0"/>
    <x v="0"/>
    <x v="0"/>
  </r>
  <r>
    <x v="1425"/>
    <x v="639"/>
    <x v="624"/>
    <x v="618"/>
    <x v="1130"/>
    <x v="1"/>
    <x v="2"/>
    <x v="650"/>
    <x v="456"/>
    <x v="1"/>
    <x v="31"/>
    <x v="0"/>
    <x v="0"/>
    <x v="3"/>
    <x v="1"/>
    <x v="1"/>
    <x v="2"/>
    <x v="1"/>
    <x v="2"/>
    <x v="1"/>
    <x v="2"/>
    <x v="0"/>
    <x v="1"/>
    <x v="3"/>
    <x v="4"/>
    <x v="633"/>
    <x v="3"/>
    <x v="0"/>
    <x v="0"/>
    <x v="1"/>
    <x v="0"/>
    <x v="0"/>
    <x v="0"/>
    <x v="0"/>
  </r>
  <r>
    <x v="1426"/>
    <x v="669"/>
    <x v="652"/>
    <x v="647"/>
    <x v="1131"/>
    <x v="3"/>
    <x v="2"/>
    <x v="651"/>
    <x v="484"/>
    <x v="1"/>
    <x v="2"/>
    <x v="0"/>
    <x v="0"/>
    <x v="1"/>
    <x v="3"/>
    <x v="2"/>
    <x v="1"/>
    <x v="1"/>
    <x v="3"/>
    <x v="1"/>
    <x v="1"/>
    <x v="327"/>
    <x v="2"/>
    <x v="1"/>
    <x v="2"/>
    <x v="663"/>
    <x v="3"/>
    <x v="1"/>
    <x v="13"/>
    <x v="2"/>
    <x v="1"/>
    <x v="827"/>
    <x v="0"/>
    <x v="378"/>
  </r>
  <r>
    <x v="1427"/>
    <x v="670"/>
    <x v="653"/>
    <x v="648"/>
    <x v="1132"/>
    <x v="3"/>
    <x v="2"/>
    <x v="652"/>
    <x v="487"/>
    <x v="1"/>
    <x v="9"/>
    <x v="0"/>
    <x v="0"/>
    <x v="1"/>
    <x v="3"/>
    <x v="3"/>
    <x v="2"/>
    <x v="1"/>
    <x v="2"/>
    <x v="1"/>
    <x v="1"/>
    <x v="327"/>
    <x v="1"/>
    <x v="6"/>
    <x v="2"/>
    <x v="664"/>
    <x v="5"/>
    <x v="3"/>
    <x v="0"/>
    <x v="1"/>
    <x v="0"/>
    <x v="828"/>
    <x v="0"/>
    <x v="241"/>
  </r>
  <r>
    <x v="1428"/>
    <x v="671"/>
    <x v="15"/>
    <x v="15"/>
    <x v="1133"/>
    <x v="1"/>
    <x v="2"/>
    <x v="17"/>
    <x v="488"/>
    <x v="1"/>
    <x v="31"/>
    <x v="0"/>
    <x v="0"/>
    <x v="1"/>
    <x v="2"/>
    <x v="3"/>
    <x v="2"/>
    <x v="1"/>
    <x v="2"/>
    <x v="1"/>
    <x v="1"/>
    <x v="327"/>
    <x v="1"/>
    <x v="1"/>
    <x v="2"/>
    <x v="15"/>
    <x v="14"/>
    <x v="1"/>
    <x v="13"/>
    <x v="2"/>
    <x v="1"/>
    <x v="827"/>
    <x v="0"/>
    <x v="379"/>
  </r>
  <r>
    <x v="1429"/>
    <x v="669"/>
    <x v="652"/>
    <x v="647"/>
    <x v="0"/>
    <x v="3"/>
    <x v="2"/>
    <x v="651"/>
    <x v="484"/>
    <x v="1"/>
    <x v="2"/>
    <x v="0"/>
    <x v="0"/>
    <x v="3"/>
    <x v="3"/>
    <x v="3"/>
    <x v="2"/>
    <x v="1"/>
    <x v="3"/>
    <x v="1"/>
    <x v="1"/>
    <x v="328"/>
    <x v="2"/>
    <x v="3"/>
    <x v="4"/>
    <x v="663"/>
    <x v="14"/>
    <x v="1"/>
    <x v="5"/>
    <x v="1"/>
    <x v="0"/>
    <x v="829"/>
    <x v="0"/>
    <x v="380"/>
  </r>
  <r>
    <x v="1430"/>
    <x v="652"/>
    <x v="637"/>
    <x v="632"/>
    <x v="1134"/>
    <x v="1"/>
    <x v="2"/>
    <x v="635"/>
    <x v="10"/>
    <x v="1"/>
    <x v="31"/>
    <x v="0"/>
    <x v="0"/>
    <x v="1"/>
    <x v="2"/>
    <x v="3"/>
    <x v="2"/>
    <x v="1"/>
    <x v="2"/>
    <x v="1"/>
    <x v="1"/>
    <x v="327"/>
    <x v="1"/>
    <x v="1"/>
    <x v="2"/>
    <x v="658"/>
    <x v="14"/>
    <x v="1"/>
    <x v="1"/>
    <x v="1"/>
    <x v="0"/>
    <x v="830"/>
    <x v="411"/>
    <x v="381"/>
  </r>
  <r>
    <x v="1431"/>
    <x v="672"/>
    <x v="654"/>
    <x v="649"/>
    <x v="1135"/>
    <x v="3"/>
    <x v="2"/>
    <x v="653"/>
    <x v="10"/>
    <x v="1"/>
    <x v="1"/>
    <x v="0"/>
    <x v="0"/>
    <x v="1"/>
    <x v="2"/>
    <x v="3"/>
    <x v="2"/>
    <x v="1"/>
    <x v="2"/>
    <x v="1"/>
    <x v="1"/>
    <x v="328"/>
    <x v="1"/>
    <x v="1"/>
    <x v="2"/>
    <x v="665"/>
    <x v="14"/>
    <x v="3"/>
    <x v="0"/>
    <x v="1"/>
    <x v="0"/>
    <x v="831"/>
    <x v="412"/>
    <x v="0"/>
  </r>
  <r>
    <x v="1432"/>
    <x v="652"/>
    <x v="637"/>
    <x v="632"/>
    <x v="0"/>
    <x v="1"/>
    <x v="2"/>
    <x v="635"/>
    <x v="10"/>
    <x v="1"/>
    <x v="31"/>
    <x v="0"/>
    <x v="0"/>
    <x v="3"/>
    <x v="4"/>
    <x v="1"/>
    <x v="2"/>
    <x v="1"/>
    <x v="2"/>
    <x v="1"/>
    <x v="1"/>
    <x v="328"/>
    <x v="2"/>
    <x v="3"/>
    <x v="4"/>
    <x v="658"/>
    <x v="5"/>
    <x v="1"/>
    <x v="4"/>
    <x v="2"/>
    <x v="1"/>
    <x v="832"/>
    <x v="413"/>
    <x v="0"/>
  </r>
  <r>
    <x v="1433"/>
    <x v="671"/>
    <x v="15"/>
    <x v="15"/>
    <x v="0"/>
    <x v="1"/>
    <x v="2"/>
    <x v="17"/>
    <x v="488"/>
    <x v="1"/>
    <x v="31"/>
    <x v="0"/>
    <x v="0"/>
    <x v="3"/>
    <x v="4"/>
    <x v="3"/>
    <x v="2"/>
    <x v="1"/>
    <x v="2"/>
    <x v="1"/>
    <x v="1"/>
    <x v="328"/>
    <x v="2"/>
    <x v="3"/>
    <x v="4"/>
    <x v="15"/>
    <x v="14"/>
    <x v="3"/>
    <x v="0"/>
    <x v="1"/>
    <x v="0"/>
    <x v="833"/>
    <x v="414"/>
    <x v="0"/>
  </r>
  <r>
    <x v="1434"/>
    <x v="673"/>
    <x v="655"/>
    <x v="650"/>
    <x v="1136"/>
    <x v="3"/>
    <x v="1"/>
    <x v="654"/>
    <x v="489"/>
    <x v="1"/>
    <x v="274"/>
    <x v="0"/>
    <x v="0"/>
    <x v="1"/>
    <x v="2"/>
    <x v="3"/>
    <x v="2"/>
    <x v="1"/>
    <x v="2"/>
    <x v="1"/>
    <x v="1"/>
    <x v="328"/>
    <x v="2"/>
    <x v="5"/>
    <x v="2"/>
    <x v="666"/>
    <x v="5"/>
    <x v="3"/>
    <x v="0"/>
    <x v="1"/>
    <x v="0"/>
    <x v="834"/>
    <x v="412"/>
    <x v="0"/>
  </r>
  <r>
    <x v="1435"/>
    <x v="669"/>
    <x v="652"/>
    <x v="647"/>
    <x v="0"/>
    <x v="3"/>
    <x v="2"/>
    <x v="651"/>
    <x v="484"/>
    <x v="1"/>
    <x v="2"/>
    <x v="0"/>
    <x v="0"/>
    <x v="3"/>
    <x v="1"/>
    <x v="1"/>
    <x v="2"/>
    <x v="1"/>
    <x v="3"/>
    <x v="1"/>
    <x v="2"/>
    <x v="0"/>
    <x v="2"/>
    <x v="3"/>
    <x v="4"/>
    <x v="663"/>
    <x v="2"/>
    <x v="0"/>
    <x v="0"/>
    <x v="1"/>
    <x v="0"/>
    <x v="0"/>
    <x v="0"/>
    <x v="0"/>
  </r>
  <r>
    <x v="1436"/>
    <x v="674"/>
    <x v="656"/>
    <x v="651"/>
    <x v="1137"/>
    <x v="1"/>
    <x v="1"/>
    <x v="181"/>
    <x v="490"/>
    <x v="1"/>
    <x v="24"/>
    <x v="0"/>
    <x v="0"/>
    <x v="1"/>
    <x v="3"/>
    <x v="2"/>
    <x v="2"/>
    <x v="1"/>
    <x v="3"/>
    <x v="1"/>
    <x v="1"/>
    <x v="329"/>
    <x v="1"/>
    <x v="1"/>
    <x v="2"/>
    <x v="667"/>
    <x v="2"/>
    <x v="1"/>
    <x v="1"/>
    <x v="2"/>
    <x v="1"/>
    <x v="835"/>
    <x v="0"/>
    <x v="0"/>
  </r>
  <r>
    <x v="1437"/>
    <x v="675"/>
    <x v="657"/>
    <x v="652"/>
    <x v="1138"/>
    <x v="1"/>
    <x v="3"/>
    <x v="655"/>
    <x v="491"/>
    <x v="1"/>
    <x v="9"/>
    <x v="0"/>
    <x v="0"/>
    <x v="1"/>
    <x v="3"/>
    <x v="3"/>
    <x v="1"/>
    <x v="2"/>
    <x v="1"/>
    <x v="1"/>
    <x v="1"/>
    <x v="329"/>
    <x v="1"/>
    <x v="1"/>
    <x v="2"/>
    <x v="668"/>
    <x v="15"/>
    <x v="1"/>
    <x v="1"/>
    <x v="2"/>
    <x v="1"/>
    <x v="836"/>
    <x v="0"/>
    <x v="382"/>
  </r>
  <r>
    <x v="1438"/>
    <x v="652"/>
    <x v="637"/>
    <x v="632"/>
    <x v="1139"/>
    <x v="1"/>
    <x v="2"/>
    <x v="635"/>
    <x v="10"/>
    <x v="1"/>
    <x v="31"/>
    <x v="0"/>
    <x v="0"/>
    <x v="3"/>
    <x v="1"/>
    <x v="1"/>
    <x v="2"/>
    <x v="1"/>
    <x v="2"/>
    <x v="4"/>
    <x v="2"/>
    <x v="0"/>
    <x v="1"/>
    <x v="3"/>
    <x v="4"/>
    <x v="658"/>
    <x v="1"/>
    <x v="0"/>
    <x v="0"/>
    <x v="1"/>
    <x v="0"/>
    <x v="0"/>
    <x v="0"/>
    <x v="0"/>
  </r>
  <r>
    <x v="1439"/>
    <x v="458"/>
    <x v="454"/>
    <x v="448"/>
    <x v="1140"/>
    <x v="1"/>
    <x v="2"/>
    <x v="463"/>
    <x v="492"/>
    <x v="1"/>
    <x v="275"/>
    <x v="0"/>
    <x v="0"/>
    <x v="1"/>
    <x v="1"/>
    <x v="1"/>
    <x v="2"/>
    <x v="1"/>
    <x v="2"/>
    <x v="1"/>
    <x v="2"/>
    <x v="0"/>
    <x v="1"/>
    <x v="1"/>
    <x v="2"/>
    <x v="456"/>
    <x v="12"/>
    <x v="0"/>
    <x v="0"/>
    <x v="1"/>
    <x v="0"/>
    <x v="0"/>
    <x v="0"/>
    <x v="0"/>
  </r>
  <r>
    <x v="1440"/>
    <x v="676"/>
    <x v="658"/>
    <x v="653"/>
    <x v="1141"/>
    <x v="1"/>
    <x v="2"/>
    <x v="656"/>
    <x v="493"/>
    <x v="1"/>
    <x v="9"/>
    <x v="0"/>
    <x v="0"/>
    <x v="1"/>
    <x v="3"/>
    <x v="3"/>
    <x v="2"/>
    <x v="1"/>
    <x v="1"/>
    <x v="1"/>
    <x v="1"/>
    <x v="329"/>
    <x v="1"/>
    <x v="1"/>
    <x v="2"/>
    <x v="669"/>
    <x v="1"/>
    <x v="3"/>
    <x v="0"/>
    <x v="1"/>
    <x v="0"/>
    <x v="837"/>
    <x v="0"/>
    <x v="0"/>
  </r>
  <r>
    <x v="1441"/>
    <x v="674"/>
    <x v="656"/>
    <x v="651"/>
    <x v="1142"/>
    <x v="1"/>
    <x v="1"/>
    <x v="181"/>
    <x v="490"/>
    <x v="1"/>
    <x v="24"/>
    <x v="0"/>
    <x v="0"/>
    <x v="3"/>
    <x v="1"/>
    <x v="1"/>
    <x v="2"/>
    <x v="1"/>
    <x v="2"/>
    <x v="1"/>
    <x v="2"/>
    <x v="0"/>
    <x v="1"/>
    <x v="3"/>
    <x v="4"/>
    <x v="667"/>
    <x v="5"/>
    <x v="0"/>
    <x v="0"/>
    <x v="1"/>
    <x v="0"/>
    <x v="0"/>
    <x v="0"/>
    <x v="0"/>
  </r>
  <r>
    <x v="1442"/>
    <x v="677"/>
    <x v="657"/>
    <x v="652"/>
    <x v="1143"/>
    <x v="1"/>
    <x v="3"/>
    <x v="655"/>
    <x v="491"/>
    <x v="1"/>
    <x v="9"/>
    <x v="0"/>
    <x v="0"/>
    <x v="3"/>
    <x v="3"/>
    <x v="3"/>
    <x v="2"/>
    <x v="1"/>
    <x v="2"/>
    <x v="1"/>
    <x v="1"/>
    <x v="330"/>
    <x v="2"/>
    <x v="3"/>
    <x v="4"/>
    <x v="668"/>
    <x v="5"/>
    <x v="3"/>
    <x v="0"/>
    <x v="1"/>
    <x v="0"/>
    <x v="838"/>
    <x v="415"/>
    <x v="0"/>
  </r>
  <r>
    <x v="1443"/>
    <x v="678"/>
    <x v="659"/>
    <x v="654"/>
    <x v="1144"/>
    <x v="1"/>
    <x v="2"/>
    <x v="657"/>
    <x v="10"/>
    <x v="1"/>
    <x v="4"/>
    <x v="0"/>
    <x v="0"/>
    <x v="1"/>
    <x v="1"/>
    <x v="1"/>
    <x v="2"/>
    <x v="1"/>
    <x v="2"/>
    <x v="1"/>
    <x v="1"/>
    <x v="330"/>
    <x v="1"/>
    <x v="6"/>
    <x v="3"/>
    <x v="670"/>
    <x v="14"/>
    <x v="1"/>
    <x v="13"/>
    <x v="2"/>
    <x v="1"/>
    <x v="839"/>
    <x v="0"/>
    <x v="0"/>
  </r>
  <r>
    <x v="1444"/>
    <x v="678"/>
    <x v="659"/>
    <x v="654"/>
    <x v="1145"/>
    <x v="1"/>
    <x v="2"/>
    <x v="657"/>
    <x v="10"/>
    <x v="1"/>
    <x v="4"/>
    <x v="0"/>
    <x v="0"/>
    <x v="3"/>
    <x v="2"/>
    <x v="3"/>
    <x v="2"/>
    <x v="1"/>
    <x v="2"/>
    <x v="1"/>
    <x v="1"/>
    <x v="331"/>
    <x v="1"/>
    <x v="3"/>
    <x v="4"/>
    <x v="670"/>
    <x v="14"/>
    <x v="1"/>
    <x v="4"/>
    <x v="2"/>
    <x v="1"/>
    <x v="840"/>
    <x v="416"/>
    <x v="0"/>
  </r>
  <r>
    <x v="1445"/>
    <x v="679"/>
    <x v="660"/>
    <x v="655"/>
    <x v="1146"/>
    <x v="1"/>
    <x v="2"/>
    <x v="658"/>
    <x v="494"/>
    <x v="1"/>
    <x v="276"/>
    <x v="0"/>
    <x v="0"/>
    <x v="1"/>
    <x v="1"/>
    <x v="1"/>
    <x v="2"/>
    <x v="1"/>
    <x v="3"/>
    <x v="1"/>
    <x v="1"/>
    <x v="332"/>
    <x v="1"/>
    <x v="1"/>
    <x v="2"/>
    <x v="671"/>
    <x v="12"/>
    <x v="1"/>
    <x v="14"/>
    <x v="1"/>
    <x v="0"/>
    <x v="841"/>
    <x v="0"/>
    <x v="383"/>
  </r>
  <r>
    <x v="1446"/>
    <x v="678"/>
    <x v="659"/>
    <x v="654"/>
    <x v="0"/>
    <x v="1"/>
    <x v="2"/>
    <x v="657"/>
    <x v="495"/>
    <x v="1"/>
    <x v="4"/>
    <x v="0"/>
    <x v="0"/>
    <x v="3"/>
    <x v="1"/>
    <x v="1"/>
    <x v="2"/>
    <x v="1"/>
    <x v="2"/>
    <x v="1"/>
    <x v="2"/>
    <x v="0"/>
    <x v="2"/>
    <x v="3"/>
    <x v="4"/>
    <x v="670"/>
    <x v="1"/>
    <x v="0"/>
    <x v="0"/>
    <x v="1"/>
    <x v="0"/>
    <x v="0"/>
    <x v="0"/>
    <x v="0"/>
  </r>
  <r>
    <x v="1447"/>
    <x v="614"/>
    <x v="599"/>
    <x v="592"/>
    <x v="1147"/>
    <x v="1"/>
    <x v="2"/>
    <x v="40"/>
    <x v="496"/>
    <x v="1"/>
    <x v="277"/>
    <x v="0"/>
    <x v="0"/>
    <x v="1"/>
    <x v="1"/>
    <x v="1"/>
    <x v="2"/>
    <x v="1"/>
    <x v="3"/>
    <x v="4"/>
    <x v="2"/>
    <x v="0"/>
    <x v="1"/>
    <x v="1"/>
    <x v="2"/>
    <x v="608"/>
    <x v="2"/>
    <x v="0"/>
    <x v="0"/>
    <x v="1"/>
    <x v="0"/>
    <x v="0"/>
    <x v="0"/>
    <x v="0"/>
  </r>
  <r>
    <x v="1448"/>
    <x v="438"/>
    <x v="434"/>
    <x v="429"/>
    <x v="1148"/>
    <x v="1"/>
    <x v="2"/>
    <x v="444"/>
    <x v="460"/>
    <x v="1"/>
    <x v="15"/>
    <x v="0"/>
    <x v="0"/>
    <x v="1"/>
    <x v="1"/>
    <x v="1"/>
    <x v="2"/>
    <x v="1"/>
    <x v="2"/>
    <x v="1"/>
    <x v="1"/>
    <x v="333"/>
    <x v="2"/>
    <x v="1"/>
    <x v="2"/>
    <x v="437"/>
    <x v="15"/>
    <x v="1"/>
    <x v="14"/>
    <x v="2"/>
    <x v="1"/>
    <x v="842"/>
    <x v="0"/>
    <x v="194"/>
  </r>
  <r>
    <x v="1449"/>
    <x v="438"/>
    <x v="434"/>
    <x v="429"/>
    <x v="1149"/>
    <x v="1"/>
    <x v="2"/>
    <x v="444"/>
    <x v="460"/>
    <x v="1"/>
    <x v="15"/>
    <x v="0"/>
    <x v="0"/>
    <x v="3"/>
    <x v="1"/>
    <x v="1"/>
    <x v="2"/>
    <x v="1"/>
    <x v="2"/>
    <x v="3"/>
    <x v="2"/>
    <x v="0"/>
    <x v="2"/>
    <x v="1"/>
    <x v="2"/>
    <x v="437"/>
    <x v="15"/>
    <x v="0"/>
    <x v="0"/>
    <x v="1"/>
    <x v="0"/>
    <x v="0"/>
    <x v="0"/>
    <x v="0"/>
  </r>
  <r>
    <x v="1450"/>
    <x v="438"/>
    <x v="434"/>
    <x v="429"/>
    <x v="1150"/>
    <x v="1"/>
    <x v="2"/>
    <x v="444"/>
    <x v="460"/>
    <x v="1"/>
    <x v="22"/>
    <x v="0"/>
    <x v="0"/>
    <x v="1"/>
    <x v="1"/>
    <x v="1"/>
    <x v="1"/>
    <x v="1"/>
    <x v="2"/>
    <x v="1"/>
    <x v="1"/>
    <x v="334"/>
    <x v="2"/>
    <x v="1"/>
    <x v="2"/>
    <x v="437"/>
    <x v="17"/>
    <x v="3"/>
    <x v="0"/>
    <x v="1"/>
    <x v="0"/>
    <x v="843"/>
    <x v="417"/>
    <x v="0"/>
  </r>
  <r>
    <x v="1451"/>
    <x v="680"/>
    <x v="661"/>
    <x v="656"/>
    <x v="1151"/>
    <x v="1"/>
    <x v="3"/>
    <x v="659"/>
    <x v="497"/>
    <x v="1"/>
    <x v="36"/>
    <x v="0"/>
    <x v="0"/>
    <x v="1"/>
    <x v="3"/>
    <x v="2"/>
    <x v="2"/>
    <x v="1"/>
    <x v="3"/>
    <x v="1"/>
    <x v="1"/>
    <x v="335"/>
    <x v="1"/>
    <x v="1"/>
    <x v="2"/>
    <x v="672"/>
    <x v="5"/>
    <x v="1"/>
    <x v="1"/>
    <x v="1"/>
    <x v="0"/>
    <x v="844"/>
    <x v="0"/>
    <x v="0"/>
  </r>
  <r>
    <x v="1452"/>
    <x v="681"/>
    <x v="662"/>
    <x v="657"/>
    <x v="1152"/>
    <x v="1"/>
    <x v="2"/>
    <x v="660"/>
    <x v="10"/>
    <x v="1"/>
    <x v="278"/>
    <x v="0"/>
    <x v="0"/>
    <x v="1"/>
    <x v="2"/>
    <x v="3"/>
    <x v="1"/>
    <x v="1"/>
    <x v="2"/>
    <x v="1"/>
    <x v="1"/>
    <x v="336"/>
    <x v="1"/>
    <x v="1"/>
    <x v="2"/>
    <x v="673"/>
    <x v="2"/>
    <x v="1"/>
    <x v="13"/>
    <x v="2"/>
    <x v="1"/>
    <x v="845"/>
    <x v="0"/>
    <x v="0"/>
  </r>
  <r>
    <x v="1453"/>
    <x v="682"/>
    <x v="663"/>
    <x v="658"/>
    <x v="1153"/>
    <x v="1"/>
    <x v="1"/>
    <x v="661"/>
    <x v="498"/>
    <x v="1"/>
    <x v="279"/>
    <x v="0"/>
    <x v="0"/>
    <x v="1"/>
    <x v="1"/>
    <x v="1"/>
    <x v="2"/>
    <x v="1"/>
    <x v="2"/>
    <x v="4"/>
    <x v="1"/>
    <x v="336"/>
    <x v="1"/>
    <x v="1"/>
    <x v="2"/>
    <x v="674"/>
    <x v="5"/>
    <x v="3"/>
    <x v="0"/>
    <x v="1"/>
    <x v="0"/>
    <x v="846"/>
    <x v="418"/>
    <x v="0"/>
  </r>
  <r>
    <x v="1454"/>
    <x v="680"/>
    <x v="661"/>
    <x v="656"/>
    <x v="0"/>
    <x v="1"/>
    <x v="3"/>
    <x v="659"/>
    <x v="497"/>
    <x v="1"/>
    <x v="36"/>
    <x v="0"/>
    <x v="0"/>
    <x v="3"/>
    <x v="1"/>
    <x v="1"/>
    <x v="1"/>
    <x v="1"/>
    <x v="2"/>
    <x v="1"/>
    <x v="1"/>
    <x v="332"/>
    <x v="2"/>
    <x v="3"/>
    <x v="4"/>
    <x v="672"/>
    <x v="5"/>
    <x v="1"/>
    <x v="1"/>
    <x v="2"/>
    <x v="1"/>
    <x v="847"/>
    <x v="0"/>
    <x v="0"/>
  </r>
  <r>
    <x v="1455"/>
    <x v="683"/>
    <x v="664"/>
    <x v="659"/>
    <x v="1154"/>
    <x v="3"/>
    <x v="2"/>
    <x v="281"/>
    <x v="475"/>
    <x v="1"/>
    <x v="280"/>
    <x v="0"/>
    <x v="0"/>
    <x v="1"/>
    <x v="1"/>
    <x v="1"/>
    <x v="1"/>
    <x v="1"/>
    <x v="3"/>
    <x v="1"/>
    <x v="1"/>
    <x v="336"/>
    <x v="1"/>
    <x v="5"/>
    <x v="2"/>
    <x v="675"/>
    <x v="17"/>
    <x v="3"/>
    <x v="0"/>
    <x v="1"/>
    <x v="0"/>
    <x v="848"/>
    <x v="419"/>
    <x v="384"/>
  </r>
  <r>
    <x v="1456"/>
    <x v="684"/>
    <x v="665"/>
    <x v="660"/>
    <x v="1155"/>
    <x v="3"/>
    <x v="1"/>
    <x v="662"/>
    <x v="440"/>
    <x v="6"/>
    <x v="0"/>
    <x v="0"/>
    <x v="30"/>
    <x v="1"/>
    <x v="2"/>
    <x v="3"/>
    <x v="1"/>
    <x v="1"/>
    <x v="2"/>
    <x v="5"/>
    <x v="1"/>
    <x v="336"/>
    <x v="1"/>
    <x v="5"/>
    <x v="2"/>
    <x v="676"/>
    <x v="5"/>
    <x v="1"/>
    <x v="4"/>
    <x v="1"/>
    <x v="0"/>
    <x v="849"/>
    <x v="0"/>
    <x v="0"/>
  </r>
  <r>
    <x v="1457"/>
    <x v="685"/>
    <x v="666"/>
    <x v="661"/>
    <x v="1156"/>
    <x v="1"/>
    <x v="1"/>
    <x v="663"/>
    <x v="10"/>
    <x v="1"/>
    <x v="281"/>
    <x v="0"/>
    <x v="0"/>
    <x v="1"/>
    <x v="1"/>
    <x v="1"/>
    <x v="1"/>
    <x v="1"/>
    <x v="2"/>
    <x v="1"/>
    <x v="2"/>
    <x v="0"/>
    <x v="1"/>
    <x v="5"/>
    <x v="2"/>
    <x v="677"/>
    <x v="17"/>
    <x v="0"/>
    <x v="0"/>
    <x v="1"/>
    <x v="0"/>
    <x v="0"/>
    <x v="0"/>
    <x v="0"/>
  </r>
  <r>
    <x v="1458"/>
    <x v="686"/>
    <x v="667"/>
    <x v="662"/>
    <x v="1157"/>
    <x v="1"/>
    <x v="1"/>
    <x v="664"/>
    <x v="499"/>
    <x v="1"/>
    <x v="15"/>
    <x v="0"/>
    <x v="0"/>
    <x v="1"/>
    <x v="1"/>
    <x v="1"/>
    <x v="1"/>
    <x v="1"/>
    <x v="2"/>
    <x v="1"/>
    <x v="1"/>
    <x v="336"/>
    <x v="1"/>
    <x v="5"/>
    <x v="2"/>
    <x v="678"/>
    <x v="5"/>
    <x v="1"/>
    <x v="1"/>
    <x v="1"/>
    <x v="0"/>
    <x v="850"/>
    <x v="0"/>
    <x v="194"/>
  </r>
  <r>
    <x v="1459"/>
    <x v="681"/>
    <x v="662"/>
    <x v="657"/>
    <x v="0"/>
    <x v="1"/>
    <x v="2"/>
    <x v="660"/>
    <x v="500"/>
    <x v="1"/>
    <x v="282"/>
    <x v="0"/>
    <x v="0"/>
    <x v="3"/>
    <x v="4"/>
    <x v="1"/>
    <x v="2"/>
    <x v="1"/>
    <x v="2"/>
    <x v="1"/>
    <x v="2"/>
    <x v="0"/>
    <x v="2"/>
    <x v="3"/>
    <x v="4"/>
    <x v="673"/>
    <x v="14"/>
    <x v="0"/>
    <x v="0"/>
    <x v="1"/>
    <x v="0"/>
    <x v="0"/>
    <x v="0"/>
    <x v="0"/>
  </r>
  <r>
    <x v="1460"/>
    <x v="687"/>
    <x v="668"/>
    <x v="663"/>
    <x v="1158"/>
    <x v="1"/>
    <x v="1"/>
    <x v="665"/>
    <x v="455"/>
    <x v="1"/>
    <x v="2"/>
    <x v="0"/>
    <x v="0"/>
    <x v="1"/>
    <x v="3"/>
    <x v="2"/>
    <x v="2"/>
    <x v="1"/>
    <x v="2"/>
    <x v="5"/>
    <x v="1"/>
    <x v="336"/>
    <x v="1"/>
    <x v="2"/>
    <x v="2"/>
    <x v="679"/>
    <x v="5"/>
    <x v="1"/>
    <x v="1"/>
    <x v="1"/>
    <x v="0"/>
    <x v="851"/>
    <x v="0"/>
    <x v="0"/>
  </r>
  <r>
    <x v="1461"/>
    <x v="688"/>
    <x v="669"/>
    <x v="664"/>
    <x v="1159"/>
    <x v="1"/>
    <x v="2"/>
    <x v="666"/>
    <x v="501"/>
    <x v="1"/>
    <x v="15"/>
    <x v="0"/>
    <x v="0"/>
    <x v="1"/>
    <x v="1"/>
    <x v="1"/>
    <x v="1"/>
    <x v="1"/>
    <x v="1"/>
    <x v="1"/>
    <x v="1"/>
    <x v="337"/>
    <x v="1"/>
    <x v="1"/>
    <x v="2"/>
    <x v="680"/>
    <x v="14"/>
    <x v="3"/>
    <x v="0"/>
    <x v="1"/>
    <x v="0"/>
    <x v="852"/>
    <x v="420"/>
    <x v="0"/>
  </r>
  <r>
    <x v="1462"/>
    <x v="684"/>
    <x v="665"/>
    <x v="660"/>
    <x v="0"/>
    <x v="3"/>
    <x v="1"/>
    <x v="662"/>
    <x v="196"/>
    <x v="6"/>
    <x v="0"/>
    <x v="0"/>
    <x v="31"/>
    <x v="3"/>
    <x v="1"/>
    <x v="1"/>
    <x v="1"/>
    <x v="1"/>
    <x v="2"/>
    <x v="5"/>
    <x v="2"/>
    <x v="0"/>
    <x v="2"/>
    <x v="3"/>
    <x v="4"/>
    <x v="676"/>
    <x v="1"/>
    <x v="0"/>
    <x v="0"/>
    <x v="1"/>
    <x v="0"/>
    <x v="0"/>
    <x v="0"/>
    <x v="0"/>
  </r>
  <r>
    <x v="1463"/>
    <x v="689"/>
    <x v="670"/>
    <x v="665"/>
    <x v="1160"/>
    <x v="1"/>
    <x v="2"/>
    <x v="667"/>
    <x v="502"/>
    <x v="1"/>
    <x v="15"/>
    <x v="0"/>
    <x v="0"/>
    <x v="1"/>
    <x v="1"/>
    <x v="1"/>
    <x v="2"/>
    <x v="2"/>
    <x v="1"/>
    <x v="1"/>
    <x v="1"/>
    <x v="337"/>
    <x v="1"/>
    <x v="1"/>
    <x v="2"/>
    <x v="681"/>
    <x v="14"/>
    <x v="1"/>
    <x v="7"/>
    <x v="1"/>
    <x v="0"/>
    <x v="853"/>
    <x v="0"/>
    <x v="0"/>
  </r>
  <r>
    <x v="1464"/>
    <x v="687"/>
    <x v="668"/>
    <x v="663"/>
    <x v="0"/>
    <x v="1"/>
    <x v="1"/>
    <x v="665"/>
    <x v="455"/>
    <x v="1"/>
    <x v="2"/>
    <x v="0"/>
    <x v="0"/>
    <x v="3"/>
    <x v="1"/>
    <x v="1"/>
    <x v="2"/>
    <x v="1"/>
    <x v="2"/>
    <x v="1"/>
    <x v="2"/>
    <x v="0"/>
    <x v="2"/>
    <x v="3"/>
    <x v="4"/>
    <x v="679"/>
    <x v="5"/>
    <x v="0"/>
    <x v="0"/>
    <x v="1"/>
    <x v="0"/>
    <x v="0"/>
    <x v="0"/>
    <x v="0"/>
  </r>
  <r>
    <x v="1465"/>
    <x v="686"/>
    <x v="667"/>
    <x v="662"/>
    <x v="0"/>
    <x v="1"/>
    <x v="1"/>
    <x v="664"/>
    <x v="298"/>
    <x v="1"/>
    <x v="15"/>
    <x v="0"/>
    <x v="0"/>
    <x v="3"/>
    <x v="1"/>
    <x v="1"/>
    <x v="2"/>
    <x v="1"/>
    <x v="1"/>
    <x v="1"/>
    <x v="2"/>
    <x v="0"/>
    <x v="2"/>
    <x v="3"/>
    <x v="4"/>
    <x v="678"/>
    <x v="5"/>
    <x v="0"/>
    <x v="0"/>
    <x v="1"/>
    <x v="0"/>
    <x v="0"/>
    <x v="0"/>
    <x v="0"/>
  </r>
  <r>
    <x v="1466"/>
    <x v="690"/>
    <x v="671"/>
    <x v="666"/>
    <x v="1161"/>
    <x v="1"/>
    <x v="2"/>
    <x v="668"/>
    <x v="268"/>
    <x v="1"/>
    <x v="283"/>
    <x v="0"/>
    <x v="0"/>
    <x v="1"/>
    <x v="1"/>
    <x v="1"/>
    <x v="2"/>
    <x v="1"/>
    <x v="2"/>
    <x v="1"/>
    <x v="2"/>
    <x v="0"/>
    <x v="1"/>
    <x v="1"/>
    <x v="2"/>
    <x v="682"/>
    <x v="14"/>
    <x v="0"/>
    <x v="0"/>
    <x v="1"/>
    <x v="0"/>
    <x v="0"/>
    <x v="0"/>
    <x v="0"/>
  </r>
  <r>
    <x v="1467"/>
    <x v="689"/>
    <x v="670"/>
    <x v="665"/>
    <x v="0"/>
    <x v="1"/>
    <x v="2"/>
    <x v="667"/>
    <x v="503"/>
    <x v="1"/>
    <x v="15"/>
    <x v="0"/>
    <x v="0"/>
    <x v="3"/>
    <x v="1"/>
    <x v="1"/>
    <x v="2"/>
    <x v="1"/>
    <x v="2"/>
    <x v="1"/>
    <x v="2"/>
    <x v="0"/>
    <x v="2"/>
    <x v="3"/>
    <x v="4"/>
    <x v="681"/>
    <x v="12"/>
    <x v="0"/>
    <x v="0"/>
    <x v="1"/>
    <x v="0"/>
    <x v="0"/>
    <x v="0"/>
    <x v="0"/>
  </r>
  <r>
    <x v="1468"/>
    <x v="691"/>
    <x v="672"/>
    <x v="667"/>
    <x v="1162"/>
    <x v="3"/>
    <x v="2"/>
    <x v="243"/>
    <x v="280"/>
    <x v="1"/>
    <x v="3"/>
    <x v="0"/>
    <x v="0"/>
    <x v="1"/>
    <x v="1"/>
    <x v="1"/>
    <x v="2"/>
    <x v="1"/>
    <x v="2"/>
    <x v="1"/>
    <x v="2"/>
    <x v="0"/>
    <x v="1"/>
    <x v="1"/>
    <x v="2"/>
    <x v="683"/>
    <x v="12"/>
    <x v="0"/>
    <x v="0"/>
    <x v="1"/>
    <x v="0"/>
    <x v="0"/>
    <x v="0"/>
    <x v="0"/>
  </r>
  <r>
    <x v="1469"/>
    <x v="692"/>
    <x v="673"/>
    <x v="668"/>
    <x v="1163"/>
    <x v="1"/>
    <x v="2"/>
    <x v="669"/>
    <x v="504"/>
    <x v="1"/>
    <x v="284"/>
    <x v="0"/>
    <x v="0"/>
    <x v="1"/>
    <x v="3"/>
    <x v="2"/>
    <x v="2"/>
    <x v="1"/>
    <x v="1"/>
    <x v="1"/>
    <x v="1"/>
    <x v="338"/>
    <x v="1"/>
    <x v="1"/>
    <x v="2"/>
    <x v="684"/>
    <x v="15"/>
    <x v="1"/>
    <x v="14"/>
    <x v="1"/>
    <x v="0"/>
    <x v="854"/>
    <x v="0"/>
    <x v="308"/>
  </r>
  <r>
    <x v="1470"/>
    <x v="435"/>
    <x v="432"/>
    <x v="427"/>
    <x v="1164"/>
    <x v="1"/>
    <x v="2"/>
    <x v="442"/>
    <x v="505"/>
    <x v="1"/>
    <x v="285"/>
    <x v="0"/>
    <x v="0"/>
    <x v="1"/>
    <x v="1"/>
    <x v="1"/>
    <x v="2"/>
    <x v="1"/>
    <x v="2"/>
    <x v="1"/>
    <x v="2"/>
    <x v="0"/>
    <x v="1"/>
    <x v="5"/>
    <x v="2"/>
    <x v="435"/>
    <x v="12"/>
    <x v="0"/>
    <x v="0"/>
    <x v="1"/>
    <x v="0"/>
    <x v="0"/>
    <x v="0"/>
    <x v="0"/>
  </r>
  <r>
    <x v="1471"/>
    <x v="655"/>
    <x v="639"/>
    <x v="634"/>
    <x v="1165"/>
    <x v="1"/>
    <x v="2"/>
    <x v="636"/>
    <x v="506"/>
    <x v="1"/>
    <x v="9"/>
    <x v="0"/>
    <x v="0"/>
    <x v="1"/>
    <x v="3"/>
    <x v="3"/>
    <x v="2"/>
    <x v="1"/>
    <x v="2"/>
    <x v="1"/>
    <x v="1"/>
    <x v="339"/>
    <x v="1"/>
    <x v="6"/>
    <x v="3"/>
    <x v="649"/>
    <x v="14"/>
    <x v="1"/>
    <x v="4"/>
    <x v="1"/>
    <x v="0"/>
    <x v="855"/>
    <x v="0"/>
    <x v="0"/>
  </r>
  <r>
    <x v="1472"/>
    <x v="693"/>
    <x v="674"/>
    <x v="669"/>
    <x v="1166"/>
    <x v="1"/>
    <x v="2"/>
    <x v="670"/>
    <x v="302"/>
    <x v="2"/>
    <x v="0"/>
    <x v="2"/>
    <x v="0"/>
    <x v="1"/>
    <x v="1"/>
    <x v="1"/>
    <x v="2"/>
    <x v="1"/>
    <x v="2"/>
    <x v="1"/>
    <x v="1"/>
    <x v="339"/>
    <x v="1"/>
    <x v="6"/>
    <x v="3"/>
    <x v="685"/>
    <x v="14"/>
    <x v="1"/>
    <x v="4"/>
    <x v="2"/>
    <x v="1"/>
    <x v="856"/>
    <x v="421"/>
    <x v="0"/>
  </r>
  <r>
    <x v="1473"/>
    <x v="694"/>
    <x v="675"/>
    <x v="670"/>
    <x v="1167"/>
    <x v="1"/>
    <x v="2"/>
    <x v="671"/>
    <x v="10"/>
    <x v="1"/>
    <x v="22"/>
    <x v="0"/>
    <x v="0"/>
    <x v="1"/>
    <x v="1"/>
    <x v="2"/>
    <x v="1"/>
    <x v="1"/>
    <x v="2"/>
    <x v="4"/>
    <x v="1"/>
    <x v="338"/>
    <x v="1"/>
    <x v="6"/>
    <x v="3"/>
    <x v="686"/>
    <x v="14"/>
    <x v="3"/>
    <x v="0"/>
    <x v="1"/>
    <x v="0"/>
    <x v="857"/>
    <x v="422"/>
    <x v="385"/>
  </r>
  <r>
    <x v="1474"/>
    <x v="655"/>
    <x v="639"/>
    <x v="634"/>
    <x v="0"/>
    <x v="1"/>
    <x v="2"/>
    <x v="636"/>
    <x v="506"/>
    <x v="1"/>
    <x v="9"/>
    <x v="0"/>
    <x v="0"/>
    <x v="3"/>
    <x v="4"/>
    <x v="1"/>
    <x v="2"/>
    <x v="1"/>
    <x v="2"/>
    <x v="1"/>
    <x v="2"/>
    <x v="0"/>
    <x v="2"/>
    <x v="3"/>
    <x v="4"/>
    <x v="649"/>
    <x v="1"/>
    <x v="0"/>
    <x v="0"/>
    <x v="1"/>
    <x v="0"/>
    <x v="0"/>
    <x v="0"/>
    <x v="0"/>
  </r>
  <r>
    <x v="1475"/>
    <x v="695"/>
    <x v="676"/>
    <x v="671"/>
    <x v="1168"/>
    <x v="1"/>
    <x v="1"/>
    <x v="672"/>
    <x v="389"/>
    <x v="1"/>
    <x v="286"/>
    <x v="0"/>
    <x v="0"/>
    <x v="1"/>
    <x v="1"/>
    <x v="1"/>
    <x v="2"/>
    <x v="1"/>
    <x v="2"/>
    <x v="1"/>
    <x v="1"/>
    <x v="338"/>
    <x v="1"/>
    <x v="5"/>
    <x v="2"/>
    <x v="687"/>
    <x v="12"/>
    <x v="1"/>
    <x v="7"/>
    <x v="2"/>
    <x v="1"/>
    <x v="858"/>
    <x v="0"/>
    <x v="386"/>
  </r>
  <r>
    <x v="1476"/>
    <x v="696"/>
    <x v="677"/>
    <x v="672"/>
    <x v="1169"/>
    <x v="1"/>
    <x v="2"/>
    <x v="673"/>
    <x v="507"/>
    <x v="1"/>
    <x v="31"/>
    <x v="0"/>
    <x v="0"/>
    <x v="1"/>
    <x v="1"/>
    <x v="1"/>
    <x v="2"/>
    <x v="1"/>
    <x v="3"/>
    <x v="1"/>
    <x v="2"/>
    <x v="0"/>
    <x v="1"/>
    <x v="1"/>
    <x v="2"/>
    <x v="688"/>
    <x v="3"/>
    <x v="0"/>
    <x v="0"/>
    <x v="1"/>
    <x v="0"/>
    <x v="0"/>
    <x v="0"/>
    <x v="0"/>
  </r>
  <r>
    <x v="1477"/>
    <x v="697"/>
    <x v="678"/>
    <x v="673"/>
    <x v="1170"/>
    <x v="1"/>
    <x v="2"/>
    <x v="674"/>
    <x v="318"/>
    <x v="1"/>
    <x v="287"/>
    <x v="0"/>
    <x v="0"/>
    <x v="1"/>
    <x v="1"/>
    <x v="1"/>
    <x v="2"/>
    <x v="1"/>
    <x v="2"/>
    <x v="1"/>
    <x v="2"/>
    <x v="0"/>
    <x v="1"/>
    <x v="1"/>
    <x v="2"/>
    <x v="689"/>
    <x v="15"/>
    <x v="0"/>
    <x v="0"/>
    <x v="1"/>
    <x v="0"/>
    <x v="0"/>
    <x v="0"/>
    <x v="0"/>
  </r>
  <r>
    <x v="1478"/>
    <x v="695"/>
    <x v="676"/>
    <x v="671"/>
    <x v="1171"/>
    <x v="1"/>
    <x v="1"/>
    <x v="672"/>
    <x v="389"/>
    <x v="1"/>
    <x v="288"/>
    <x v="0"/>
    <x v="0"/>
    <x v="3"/>
    <x v="1"/>
    <x v="1"/>
    <x v="2"/>
    <x v="1"/>
    <x v="2"/>
    <x v="1"/>
    <x v="2"/>
    <x v="0"/>
    <x v="1"/>
    <x v="3"/>
    <x v="4"/>
    <x v="687"/>
    <x v="12"/>
    <x v="0"/>
    <x v="0"/>
    <x v="1"/>
    <x v="0"/>
    <x v="0"/>
    <x v="0"/>
    <x v="0"/>
  </r>
  <r>
    <x v="1479"/>
    <x v="335"/>
    <x v="335"/>
    <x v="330"/>
    <x v="1172"/>
    <x v="1"/>
    <x v="2"/>
    <x v="350"/>
    <x v="269"/>
    <x v="2"/>
    <x v="0"/>
    <x v="6"/>
    <x v="0"/>
    <x v="1"/>
    <x v="3"/>
    <x v="3"/>
    <x v="2"/>
    <x v="1"/>
    <x v="2"/>
    <x v="1"/>
    <x v="1"/>
    <x v="340"/>
    <x v="1"/>
    <x v="1"/>
    <x v="2"/>
    <x v="337"/>
    <x v="12"/>
    <x v="1"/>
    <x v="4"/>
    <x v="2"/>
    <x v="1"/>
    <x v="859"/>
    <x v="0"/>
    <x v="0"/>
  </r>
  <r>
    <x v="1480"/>
    <x v="652"/>
    <x v="637"/>
    <x v="632"/>
    <x v="1173"/>
    <x v="1"/>
    <x v="2"/>
    <x v="635"/>
    <x v="390"/>
    <x v="1"/>
    <x v="289"/>
    <x v="0"/>
    <x v="0"/>
    <x v="1"/>
    <x v="1"/>
    <x v="1"/>
    <x v="2"/>
    <x v="1"/>
    <x v="3"/>
    <x v="1"/>
    <x v="2"/>
    <x v="0"/>
    <x v="1"/>
    <x v="1"/>
    <x v="2"/>
    <x v="658"/>
    <x v="15"/>
    <x v="0"/>
    <x v="0"/>
    <x v="1"/>
    <x v="0"/>
    <x v="0"/>
    <x v="0"/>
    <x v="0"/>
  </r>
  <r>
    <x v="1481"/>
    <x v="692"/>
    <x v="673"/>
    <x v="668"/>
    <x v="0"/>
    <x v="1"/>
    <x v="2"/>
    <x v="669"/>
    <x v="504"/>
    <x v="1"/>
    <x v="284"/>
    <x v="0"/>
    <x v="0"/>
    <x v="3"/>
    <x v="1"/>
    <x v="1"/>
    <x v="2"/>
    <x v="1"/>
    <x v="1"/>
    <x v="1"/>
    <x v="2"/>
    <x v="0"/>
    <x v="2"/>
    <x v="3"/>
    <x v="4"/>
    <x v="684"/>
    <x v="15"/>
    <x v="0"/>
    <x v="0"/>
    <x v="1"/>
    <x v="0"/>
    <x v="0"/>
    <x v="0"/>
    <x v="0"/>
  </r>
  <r>
    <x v="1482"/>
    <x v="693"/>
    <x v="674"/>
    <x v="669"/>
    <x v="1174"/>
    <x v="1"/>
    <x v="2"/>
    <x v="670"/>
    <x v="302"/>
    <x v="2"/>
    <x v="0"/>
    <x v="5"/>
    <x v="0"/>
    <x v="3"/>
    <x v="2"/>
    <x v="3"/>
    <x v="1"/>
    <x v="1"/>
    <x v="2"/>
    <x v="1"/>
    <x v="1"/>
    <x v="340"/>
    <x v="1"/>
    <x v="3"/>
    <x v="4"/>
    <x v="685"/>
    <x v="1"/>
    <x v="3"/>
    <x v="0"/>
    <x v="1"/>
    <x v="0"/>
    <x v="860"/>
    <x v="423"/>
    <x v="0"/>
  </r>
  <r>
    <x v="1483"/>
    <x v="698"/>
    <x v="679"/>
    <x v="674"/>
    <x v="1175"/>
    <x v="1"/>
    <x v="2"/>
    <x v="675"/>
    <x v="508"/>
    <x v="1"/>
    <x v="9"/>
    <x v="0"/>
    <x v="0"/>
    <x v="1"/>
    <x v="1"/>
    <x v="1"/>
    <x v="2"/>
    <x v="1"/>
    <x v="2"/>
    <x v="1"/>
    <x v="2"/>
    <x v="0"/>
    <x v="1"/>
    <x v="5"/>
    <x v="2"/>
    <x v="690"/>
    <x v="12"/>
    <x v="0"/>
    <x v="0"/>
    <x v="1"/>
    <x v="0"/>
    <x v="0"/>
    <x v="0"/>
    <x v="0"/>
  </r>
  <r>
    <x v="1484"/>
    <x v="699"/>
    <x v="633"/>
    <x v="627"/>
    <x v="1176"/>
    <x v="1"/>
    <x v="2"/>
    <x v="631"/>
    <x v="509"/>
    <x v="1"/>
    <x v="9"/>
    <x v="0"/>
    <x v="0"/>
    <x v="1"/>
    <x v="1"/>
    <x v="1"/>
    <x v="2"/>
    <x v="1"/>
    <x v="2"/>
    <x v="1"/>
    <x v="2"/>
    <x v="0"/>
    <x v="1"/>
    <x v="1"/>
    <x v="2"/>
    <x v="643"/>
    <x v="3"/>
    <x v="0"/>
    <x v="0"/>
    <x v="1"/>
    <x v="0"/>
    <x v="0"/>
    <x v="0"/>
    <x v="0"/>
  </r>
  <r>
    <x v="1485"/>
    <x v="700"/>
    <x v="680"/>
    <x v="675"/>
    <x v="1177"/>
    <x v="1"/>
    <x v="2"/>
    <x v="676"/>
    <x v="510"/>
    <x v="1"/>
    <x v="15"/>
    <x v="0"/>
    <x v="0"/>
    <x v="1"/>
    <x v="3"/>
    <x v="3"/>
    <x v="2"/>
    <x v="1"/>
    <x v="2"/>
    <x v="1"/>
    <x v="1"/>
    <x v="340"/>
    <x v="1"/>
    <x v="1"/>
    <x v="2"/>
    <x v="691"/>
    <x v="15"/>
    <x v="1"/>
    <x v="14"/>
    <x v="1"/>
    <x v="0"/>
    <x v="861"/>
    <x v="0"/>
    <x v="387"/>
  </r>
  <r>
    <x v="1486"/>
    <x v="335"/>
    <x v="335"/>
    <x v="330"/>
    <x v="0"/>
    <x v="1"/>
    <x v="2"/>
    <x v="350"/>
    <x v="511"/>
    <x v="2"/>
    <x v="0"/>
    <x v="6"/>
    <x v="0"/>
    <x v="3"/>
    <x v="4"/>
    <x v="1"/>
    <x v="2"/>
    <x v="1"/>
    <x v="2"/>
    <x v="1"/>
    <x v="2"/>
    <x v="0"/>
    <x v="2"/>
    <x v="3"/>
    <x v="4"/>
    <x v="337"/>
    <x v="1"/>
    <x v="0"/>
    <x v="0"/>
    <x v="1"/>
    <x v="0"/>
    <x v="0"/>
    <x v="0"/>
    <x v="0"/>
  </r>
  <r>
    <x v="1487"/>
    <x v="701"/>
    <x v="681"/>
    <x v="676"/>
    <x v="1178"/>
    <x v="1"/>
    <x v="2"/>
    <x v="677"/>
    <x v="512"/>
    <x v="1"/>
    <x v="290"/>
    <x v="0"/>
    <x v="0"/>
    <x v="1"/>
    <x v="1"/>
    <x v="1"/>
    <x v="2"/>
    <x v="1"/>
    <x v="3"/>
    <x v="1"/>
    <x v="1"/>
    <x v="332"/>
    <x v="1"/>
    <x v="1"/>
    <x v="2"/>
    <x v="692"/>
    <x v="1"/>
    <x v="1"/>
    <x v="4"/>
    <x v="2"/>
    <x v="1"/>
    <x v="862"/>
    <x v="0"/>
    <x v="0"/>
  </r>
  <r>
    <x v="1488"/>
    <x v="699"/>
    <x v="633"/>
    <x v="627"/>
    <x v="1179"/>
    <x v="1"/>
    <x v="2"/>
    <x v="631"/>
    <x v="513"/>
    <x v="1"/>
    <x v="291"/>
    <x v="0"/>
    <x v="0"/>
    <x v="1"/>
    <x v="2"/>
    <x v="3"/>
    <x v="2"/>
    <x v="1"/>
    <x v="2"/>
    <x v="1"/>
    <x v="1"/>
    <x v="332"/>
    <x v="1"/>
    <x v="1"/>
    <x v="2"/>
    <x v="643"/>
    <x v="3"/>
    <x v="1"/>
    <x v="4"/>
    <x v="2"/>
    <x v="1"/>
    <x v="863"/>
    <x v="0"/>
    <x v="0"/>
  </r>
  <r>
    <x v="1489"/>
    <x v="702"/>
    <x v="682"/>
    <x v="677"/>
    <x v="1180"/>
    <x v="1"/>
    <x v="2"/>
    <x v="678"/>
    <x v="514"/>
    <x v="1"/>
    <x v="292"/>
    <x v="0"/>
    <x v="0"/>
    <x v="1"/>
    <x v="1"/>
    <x v="1"/>
    <x v="1"/>
    <x v="1"/>
    <x v="2"/>
    <x v="1"/>
    <x v="1"/>
    <x v="334"/>
    <x v="1"/>
    <x v="1"/>
    <x v="2"/>
    <x v="693"/>
    <x v="3"/>
    <x v="1"/>
    <x v="4"/>
    <x v="2"/>
    <x v="1"/>
    <x v="864"/>
    <x v="424"/>
    <x v="388"/>
  </r>
  <r>
    <x v="1490"/>
    <x v="703"/>
    <x v="683"/>
    <x v="678"/>
    <x v="1181"/>
    <x v="3"/>
    <x v="2"/>
    <x v="679"/>
    <x v="431"/>
    <x v="1"/>
    <x v="4"/>
    <x v="0"/>
    <x v="0"/>
    <x v="1"/>
    <x v="3"/>
    <x v="3"/>
    <x v="2"/>
    <x v="1"/>
    <x v="1"/>
    <x v="1"/>
    <x v="1"/>
    <x v="332"/>
    <x v="1"/>
    <x v="1"/>
    <x v="2"/>
    <x v="694"/>
    <x v="15"/>
    <x v="1"/>
    <x v="14"/>
    <x v="2"/>
    <x v="1"/>
    <x v="865"/>
    <x v="0"/>
    <x v="0"/>
  </r>
  <r>
    <x v="1491"/>
    <x v="362"/>
    <x v="362"/>
    <x v="357"/>
    <x v="1182"/>
    <x v="1"/>
    <x v="2"/>
    <x v="381"/>
    <x v="291"/>
    <x v="1"/>
    <x v="44"/>
    <x v="0"/>
    <x v="0"/>
    <x v="1"/>
    <x v="1"/>
    <x v="1"/>
    <x v="2"/>
    <x v="1"/>
    <x v="3"/>
    <x v="1"/>
    <x v="2"/>
    <x v="0"/>
    <x v="1"/>
    <x v="1"/>
    <x v="2"/>
    <x v="364"/>
    <x v="3"/>
    <x v="0"/>
    <x v="0"/>
    <x v="1"/>
    <x v="0"/>
    <x v="0"/>
    <x v="0"/>
    <x v="0"/>
  </r>
  <r>
    <x v="1492"/>
    <x v="676"/>
    <x v="658"/>
    <x v="653"/>
    <x v="1183"/>
    <x v="1"/>
    <x v="2"/>
    <x v="656"/>
    <x v="515"/>
    <x v="1"/>
    <x v="9"/>
    <x v="0"/>
    <x v="0"/>
    <x v="1"/>
    <x v="1"/>
    <x v="1"/>
    <x v="2"/>
    <x v="1"/>
    <x v="1"/>
    <x v="1"/>
    <x v="2"/>
    <x v="0"/>
    <x v="1"/>
    <x v="1"/>
    <x v="2"/>
    <x v="669"/>
    <x v="15"/>
    <x v="0"/>
    <x v="0"/>
    <x v="1"/>
    <x v="0"/>
    <x v="0"/>
    <x v="0"/>
    <x v="0"/>
  </r>
  <r>
    <x v="1493"/>
    <x v="654"/>
    <x v="638"/>
    <x v="633"/>
    <x v="1184"/>
    <x v="1"/>
    <x v="2"/>
    <x v="407"/>
    <x v="516"/>
    <x v="1"/>
    <x v="293"/>
    <x v="0"/>
    <x v="0"/>
    <x v="1"/>
    <x v="1"/>
    <x v="1"/>
    <x v="1"/>
    <x v="1"/>
    <x v="2"/>
    <x v="1"/>
    <x v="1"/>
    <x v="340"/>
    <x v="1"/>
    <x v="1"/>
    <x v="2"/>
    <x v="648"/>
    <x v="3"/>
    <x v="1"/>
    <x v="16"/>
    <x v="1"/>
    <x v="0"/>
    <x v="866"/>
    <x v="0"/>
    <x v="0"/>
  </r>
  <r>
    <x v="1494"/>
    <x v="696"/>
    <x v="677"/>
    <x v="672"/>
    <x v="1185"/>
    <x v="1"/>
    <x v="1"/>
    <x v="673"/>
    <x v="507"/>
    <x v="1"/>
    <x v="31"/>
    <x v="0"/>
    <x v="0"/>
    <x v="1"/>
    <x v="1"/>
    <x v="1"/>
    <x v="1"/>
    <x v="1"/>
    <x v="3"/>
    <x v="1"/>
    <x v="2"/>
    <x v="0"/>
    <x v="1"/>
    <x v="1"/>
    <x v="2"/>
    <x v="688"/>
    <x v="17"/>
    <x v="0"/>
    <x v="0"/>
    <x v="1"/>
    <x v="0"/>
    <x v="0"/>
    <x v="0"/>
    <x v="0"/>
  </r>
  <r>
    <x v="1495"/>
    <x v="700"/>
    <x v="680"/>
    <x v="675"/>
    <x v="0"/>
    <x v="1"/>
    <x v="2"/>
    <x v="676"/>
    <x v="510"/>
    <x v="1"/>
    <x v="15"/>
    <x v="0"/>
    <x v="0"/>
    <x v="3"/>
    <x v="1"/>
    <x v="1"/>
    <x v="2"/>
    <x v="1"/>
    <x v="2"/>
    <x v="1"/>
    <x v="2"/>
    <x v="0"/>
    <x v="2"/>
    <x v="3"/>
    <x v="4"/>
    <x v="691"/>
    <x v="15"/>
    <x v="0"/>
    <x v="0"/>
    <x v="1"/>
    <x v="0"/>
    <x v="0"/>
    <x v="0"/>
    <x v="0"/>
  </r>
  <r>
    <x v="1496"/>
    <x v="704"/>
    <x v="684"/>
    <x v="679"/>
    <x v="1186"/>
    <x v="3"/>
    <x v="2"/>
    <x v="680"/>
    <x v="288"/>
    <x v="1"/>
    <x v="294"/>
    <x v="0"/>
    <x v="0"/>
    <x v="1"/>
    <x v="2"/>
    <x v="3"/>
    <x v="2"/>
    <x v="1"/>
    <x v="2"/>
    <x v="1"/>
    <x v="1"/>
    <x v="332"/>
    <x v="1"/>
    <x v="1"/>
    <x v="2"/>
    <x v="695"/>
    <x v="3"/>
    <x v="3"/>
    <x v="0"/>
    <x v="1"/>
    <x v="0"/>
    <x v="867"/>
    <x v="425"/>
    <x v="0"/>
  </r>
  <r>
    <x v="1497"/>
    <x v="705"/>
    <x v="685"/>
    <x v="680"/>
    <x v="1187"/>
    <x v="1"/>
    <x v="2"/>
    <x v="681"/>
    <x v="196"/>
    <x v="6"/>
    <x v="0"/>
    <x v="0"/>
    <x v="10"/>
    <x v="1"/>
    <x v="3"/>
    <x v="1"/>
    <x v="1"/>
    <x v="2"/>
    <x v="1"/>
    <x v="1"/>
    <x v="1"/>
    <x v="334"/>
    <x v="1"/>
    <x v="5"/>
    <x v="2"/>
    <x v="696"/>
    <x v="3"/>
    <x v="1"/>
    <x v="4"/>
    <x v="2"/>
    <x v="1"/>
    <x v="868"/>
    <x v="0"/>
    <x v="0"/>
  </r>
  <r>
    <x v="1498"/>
    <x v="654"/>
    <x v="638"/>
    <x v="633"/>
    <x v="0"/>
    <x v="1"/>
    <x v="2"/>
    <x v="407"/>
    <x v="516"/>
    <x v="1"/>
    <x v="295"/>
    <x v="0"/>
    <x v="0"/>
    <x v="3"/>
    <x v="1"/>
    <x v="1"/>
    <x v="1"/>
    <x v="1"/>
    <x v="2"/>
    <x v="1"/>
    <x v="2"/>
    <x v="0"/>
    <x v="2"/>
    <x v="1"/>
    <x v="4"/>
    <x v="648"/>
    <x v="17"/>
    <x v="0"/>
    <x v="0"/>
    <x v="1"/>
    <x v="0"/>
    <x v="0"/>
    <x v="0"/>
    <x v="0"/>
  </r>
  <r>
    <x v="1499"/>
    <x v="701"/>
    <x v="681"/>
    <x v="676"/>
    <x v="1188"/>
    <x v="1"/>
    <x v="2"/>
    <x v="677"/>
    <x v="517"/>
    <x v="1"/>
    <x v="296"/>
    <x v="0"/>
    <x v="0"/>
    <x v="3"/>
    <x v="1"/>
    <x v="1"/>
    <x v="2"/>
    <x v="1"/>
    <x v="3"/>
    <x v="1"/>
    <x v="2"/>
    <x v="0"/>
    <x v="1"/>
    <x v="3"/>
    <x v="4"/>
    <x v="692"/>
    <x v="1"/>
    <x v="0"/>
    <x v="0"/>
    <x v="1"/>
    <x v="0"/>
    <x v="0"/>
    <x v="0"/>
    <x v="0"/>
  </r>
  <r>
    <x v="1500"/>
    <x v="706"/>
    <x v="686"/>
    <x v="681"/>
    <x v="1189"/>
    <x v="3"/>
    <x v="2"/>
    <x v="682"/>
    <x v="518"/>
    <x v="1"/>
    <x v="33"/>
    <x v="0"/>
    <x v="0"/>
    <x v="1"/>
    <x v="1"/>
    <x v="1"/>
    <x v="2"/>
    <x v="1"/>
    <x v="2"/>
    <x v="1"/>
    <x v="1"/>
    <x v="334"/>
    <x v="1"/>
    <x v="2"/>
    <x v="2"/>
    <x v="697"/>
    <x v="5"/>
    <x v="3"/>
    <x v="0"/>
    <x v="1"/>
    <x v="0"/>
    <x v="869"/>
    <x v="426"/>
    <x v="389"/>
  </r>
  <r>
    <x v="1501"/>
    <x v="699"/>
    <x v="633"/>
    <x v="627"/>
    <x v="1190"/>
    <x v="1"/>
    <x v="2"/>
    <x v="631"/>
    <x v="513"/>
    <x v="1"/>
    <x v="291"/>
    <x v="0"/>
    <x v="0"/>
    <x v="3"/>
    <x v="1"/>
    <x v="1"/>
    <x v="2"/>
    <x v="1"/>
    <x v="2"/>
    <x v="1"/>
    <x v="2"/>
    <x v="0"/>
    <x v="1"/>
    <x v="3"/>
    <x v="4"/>
    <x v="643"/>
    <x v="1"/>
    <x v="0"/>
    <x v="0"/>
    <x v="1"/>
    <x v="0"/>
    <x v="0"/>
    <x v="0"/>
    <x v="0"/>
  </r>
  <r>
    <x v="1502"/>
    <x v="679"/>
    <x v="660"/>
    <x v="655"/>
    <x v="0"/>
    <x v="1"/>
    <x v="2"/>
    <x v="658"/>
    <x v="519"/>
    <x v="1"/>
    <x v="22"/>
    <x v="0"/>
    <x v="0"/>
    <x v="3"/>
    <x v="1"/>
    <x v="1"/>
    <x v="2"/>
    <x v="1"/>
    <x v="1"/>
    <x v="1"/>
    <x v="2"/>
    <x v="0"/>
    <x v="2"/>
    <x v="3"/>
    <x v="4"/>
    <x v="671"/>
    <x v="15"/>
    <x v="0"/>
    <x v="0"/>
    <x v="1"/>
    <x v="0"/>
    <x v="0"/>
    <x v="0"/>
    <x v="0"/>
  </r>
  <r>
    <x v="1503"/>
    <x v="707"/>
    <x v="430"/>
    <x v="425"/>
    <x v="1191"/>
    <x v="1"/>
    <x v="2"/>
    <x v="440"/>
    <x v="341"/>
    <x v="1"/>
    <x v="33"/>
    <x v="0"/>
    <x v="0"/>
    <x v="1"/>
    <x v="1"/>
    <x v="2"/>
    <x v="2"/>
    <x v="1"/>
    <x v="2"/>
    <x v="1"/>
    <x v="1"/>
    <x v="334"/>
    <x v="1"/>
    <x v="1"/>
    <x v="2"/>
    <x v="433"/>
    <x v="5"/>
    <x v="3"/>
    <x v="0"/>
    <x v="1"/>
    <x v="0"/>
    <x v="870"/>
    <x v="427"/>
    <x v="0"/>
  </r>
  <r>
    <x v="1504"/>
    <x v="703"/>
    <x v="683"/>
    <x v="678"/>
    <x v="1192"/>
    <x v="3"/>
    <x v="2"/>
    <x v="679"/>
    <x v="431"/>
    <x v="1"/>
    <x v="4"/>
    <x v="0"/>
    <x v="0"/>
    <x v="3"/>
    <x v="1"/>
    <x v="1"/>
    <x v="2"/>
    <x v="1"/>
    <x v="1"/>
    <x v="1"/>
    <x v="2"/>
    <x v="0"/>
    <x v="1"/>
    <x v="3"/>
    <x v="4"/>
    <x v="694"/>
    <x v="15"/>
    <x v="0"/>
    <x v="0"/>
    <x v="1"/>
    <x v="0"/>
    <x v="0"/>
    <x v="0"/>
    <x v="0"/>
  </r>
  <r>
    <x v="1505"/>
    <x v="680"/>
    <x v="661"/>
    <x v="656"/>
    <x v="1193"/>
    <x v="1"/>
    <x v="3"/>
    <x v="659"/>
    <x v="340"/>
    <x v="1"/>
    <x v="36"/>
    <x v="0"/>
    <x v="0"/>
    <x v="3"/>
    <x v="1"/>
    <x v="1"/>
    <x v="2"/>
    <x v="1"/>
    <x v="2"/>
    <x v="1"/>
    <x v="2"/>
    <x v="0"/>
    <x v="2"/>
    <x v="3"/>
    <x v="4"/>
    <x v="672"/>
    <x v="5"/>
    <x v="0"/>
    <x v="0"/>
    <x v="1"/>
    <x v="0"/>
    <x v="0"/>
    <x v="0"/>
    <x v="0"/>
  </r>
  <r>
    <x v="1506"/>
    <x v="440"/>
    <x v="436"/>
    <x v="431"/>
    <x v="1194"/>
    <x v="1"/>
    <x v="1"/>
    <x v="446"/>
    <x v="340"/>
    <x v="1"/>
    <x v="70"/>
    <x v="0"/>
    <x v="0"/>
    <x v="1"/>
    <x v="1"/>
    <x v="1"/>
    <x v="1"/>
    <x v="1"/>
    <x v="3"/>
    <x v="3"/>
    <x v="2"/>
    <x v="0"/>
    <x v="1"/>
    <x v="2"/>
    <x v="2"/>
    <x v="439"/>
    <x v="5"/>
    <x v="0"/>
    <x v="0"/>
    <x v="1"/>
    <x v="0"/>
    <x v="0"/>
    <x v="0"/>
    <x v="0"/>
  </r>
  <r>
    <x v="1507"/>
    <x v="705"/>
    <x v="685"/>
    <x v="680"/>
    <x v="1195"/>
    <x v="1"/>
    <x v="2"/>
    <x v="681"/>
    <x v="196"/>
    <x v="6"/>
    <x v="0"/>
    <x v="0"/>
    <x v="10"/>
    <x v="3"/>
    <x v="1"/>
    <x v="1"/>
    <x v="2"/>
    <x v="2"/>
    <x v="3"/>
    <x v="4"/>
    <x v="2"/>
    <x v="0"/>
    <x v="1"/>
    <x v="3"/>
    <x v="4"/>
    <x v="696"/>
    <x v="1"/>
    <x v="0"/>
    <x v="0"/>
    <x v="1"/>
    <x v="0"/>
    <x v="0"/>
    <x v="0"/>
    <x v="0"/>
  </r>
  <r>
    <x v="1508"/>
    <x v="708"/>
    <x v="687"/>
    <x v="682"/>
    <x v="1196"/>
    <x v="1"/>
    <x v="2"/>
    <x v="683"/>
    <x v="236"/>
    <x v="1"/>
    <x v="297"/>
    <x v="0"/>
    <x v="0"/>
    <x v="1"/>
    <x v="1"/>
    <x v="1"/>
    <x v="2"/>
    <x v="1"/>
    <x v="2"/>
    <x v="1"/>
    <x v="2"/>
    <x v="0"/>
    <x v="1"/>
    <x v="1"/>
    <x v="2"/>
    <x v="698"/>
    <x v="1"/>
    <x v="0"/>
    <x v="0"/>
    <x v="1"/>
    <x v="0"/>
    <x v="0"/>
    <x v="0"/>
    <x v="0"/>
  </r>
  <r>
    <x v="1509"/>
    <x v="440"/>
    <x v="436"/>
    <x v="431"/>
    <x v="1197"/>
    <x v="1"/>
    <x v="1"/>
    <x v="446"/>
    <x v="340"/>
    <x v="1"/>
    <x v="79"/>
    <x v="0"/>
    <x v="0"/>
    <x v="1"/>
    <x v="1"/>
    <x v="1"/>
    <x v="2"/>
    <x v="1"/>
    <x v="2"/>
    <x v="1"/>
    <x v="2"/>
    <x v="0"/>
    <x v="1"/>
    <x v="2"/>
    <x v="3"/>
    <x v="439"/>
    <x v="17"/>
    <x v="0"/>
    <x v="0"/>
    <x v="1"/>
    <x v="0"/>
    <x v="0"/>
    <x v="0"/>
    <x v="0"/>
  </r>
  <r>
    <x v="1510"/>
    <x v="702"/>
    <x v="682"/>
    <x v="677"/>
    <x v="1198"/>
    <x v="1"/>
    <x v="2"/>
    <x v="678"/>
    <x v="514"/>
    <x v="1"/>
    <x v="292"/>
    <x v="0"/>
    <x v="0"/>
    <x v="3"/>
    <x v="1"/>
    <x v="1"/>
    <x v="1"/>
    <x v="1"/>
    <x v="2"/>
    <x v="4"/>
    <x v="1"/>
    <x v="341"/>
    <x v="1"/>
    <x v="3"/>
    <x v="4"/>
    <x v="693"/>
    <x v="1"/>
    <x v="1"/>
    <x v="14"/>
    <x v="2"/>
    <x v="1"/>
    <x v="871"/>
    <x v="0"/>
    <x v="0"/>
  </r>
  <r>
    <x v="1511"/>
    <x v="709"/>
    <x v="688"/>
    <x v="683"/>
    <x v="1199"/>
    <x v="1"/>
    <x v="2"/>
    <x v="684"/>
    <x v="520"/>
    <x v="1"/>
    <x v="15"/>
    <x v="0"/>
    <x v="0"/>
    <x v="1"/>
    <x v="1"/>
    <x v="1"/>
    <x v="2"/>
    <x v="1"/>
    <x v="2"/>
    <x v="1"/>
    <x v="1"/>
    <x v="342"/>
    <x v="1"/>
    <x v="5"/>
    <x v="3"/>
    <x v="699"/>
    <x v="14"/>
    <x v="1"/>
    <x v="4"/>
    <x v="1"/>
    <x v="0"/>
    <x v="872"/>
    <x v="0"/>
    <x v="0"/>
  </r>
  <r>
    <x v="1512"/>
    <x v="708"/>
    <x v="687"/>
    <x v="682"/>
    <x v="1200"/>
    <x v="1"/>
    <x v="2"/>
    <x v="683"/>
    <x v="236"/>
    <x v="1"/>
    <x v="298"/>
    <x v="0"/>
    <x v="0"/>
    <x v="1"/>
    <x v="1"/>
    <x v="1"/>
    <x v="2"/>
    <x v="1"/>
    <x v="2"/>
    <x v="4"/>
    <x v="1"/>
    <x v="343"/>
    <x v="1"/>
    <x v="1"/>
    <x v="2"/>
    <x v="698"/>
    <x v="1"/>
    <x v="3"/>
    <x v="0"/>
    <x v="1"/>
    <x v="0"/>
    <x v="873"/>
    <x v="0"/>
    <x v="0"/>
  </r>
  <r>
    <x v="1513"/>
    <x v="709"/>
    <x v="688"/>
    <x v="683"/>
    <x v="0"/>
    <x v="1"/>
    <x v="2"/>
    <x v="684"/>
    <x v="520"/>
    <x v="1"/>
    <x v="15"/>
    <x v="0"/>
    <x v="0"/>
    <x v="3"/>
    <x v="1"/>
    <x v="1"/>
    <x v="2"/>
    <x v="1"/>
    <x v="2"/>
    <x v="1"/>
    <x v="2"/>
    <x v="0"/>
    <x v="2"/>
    <x v="3"/>
    <x v="4"/>
    <x v="699"/>
    <x v="1"/>
    <x v="0"/>
    <x v="0"/>
    <x v="1"/>
    <x v="0"/>
    <x v="0"/>
    <x v="0"/>
    <x v="0"/>
  </r>
  <r>
    <x v="1514"/>
    <x v="692"/>
    <x v="673"/>
    <x v="668"/>
    <x v="1201"/>
    <x v="1"/>
    <x v="2"/>
    <x v="669"/>
    <x v="504"/>
    <x v="1"/>
    <x v="123"/>
    <x v="0"/>
    <x v="0"/>
    <x v="1"/>
    <x v="1"/>
    <x v="1"/>
    <x v="1"/>
    <x v="1"/>
    <x v="3"/>
    <x v="1"/>
    <x v="2"/>
    <x v="0"/>
    <x v="1"/>
    <x v="1"/>
    <x v="2"/>
    <x v="684"/>
    <x v="2"/>
    <x v="0"/>
    <x v="0"/>
    <x v="1"/>
    <x v="0"/>
    <x v="0"/>
    <x v="0"/>
    <x v="0"/>
  </r>
  <r>
    <x v="1515"/>
    <x v="674"/>
    <x v="656"/>
    <x v="651"/>
    <x v="1202"/>
    <x v="1"/>
    <x v="1"/>
    <x v="181"/>
    <x v="406"/>
    <x v="1"/>
    <x v="15"/>
    <x v="0"/>
    <x v="0"/>
    <x v="1"/>
    <x v="1"/>
    <x v="1"/>
    <x v="1"/>
    <x v="1"/>
    <x v="1"/>
    <x v="1"/>
    <x v="1"/>
    <x v="342"/>
    <x v="1"/>
    <x v="1"/>
    <x v="2"/>
    <x v="667"/>
    <x v="12"/>
    <x v="1"/>
    <x v="7"/>
    <x v="2"/>
    <x v="1"/>
    <x v="874"/>
    <x v="0"/>
    <x v="390"/>
  </r>
  <r>
    <x v="1516"/>
    <x v="710"/>
    <x v="689"/>
    <x v="684"/>
    <x v="1203"/>
    <x v="3"/>
    <x v="2"/>
    <x v="516"/>
    <x v="59"/>
    <x v="1"/>
    <x v="27"/>
    <x v="0"/>
    <x v="0"/>
    <x v="1"/>
    <x v="1"/>
    <x v="1"/>
    <x v="2"/>
    <x v="1"/>
    <x v="2"/>
    <x v="1"/>
    <x v="2"/>
    <x v="0"/>
    <x v="1"/>
    <x v="1"/>
    <x v="2"/>
    <x v="700"/>
    <x v="15"/>
    <x v="0"/>
    <x v="0"/>
    <x v="1"/>
    <x v="0"/>
    <x v="0"/>
    <x v="0"/>
    <x v="0"/>
  </r>
  <r>
    <x v="1517"/>
    <x v="696"/>
    <x v="677"/>
    <x v="672"/>
    <x v="1204"/>
    <x v="1"/>
    <x v="2"/>
    <x v="673"/>
    <x v="449"/>
    <x v="1"/>
    <x v="299"/>
    <x v="0"/>
    <x v="0"/>
    <x v="1"/>
    <x v="1"/>
    <x v="2"/>
    <x v="1"/>
    <x v="1"/>
    <x v="3"/>
    <x v="1"/>
    <x v="1"/>
    <x v="341"/>
    <x v="1"/>
    <x v="1"/>
    <x v="2"/>
    <x v="688"/>
    <x v="1"/>
    <x v="3"/>
    <x v="0"/>
    <x v="1"/>
    <x v="0"/>
    <x v="875"/>
    <x v="428"/>
    <x v="0"/>
  </r>
  <r>
    <x v="1518"/>
    <x v="674"/>
    <x v="656"/>
    <x v="651"/>
    <x v="0"/>
    <x v="1"/>
    <x v="1"/>
    <x v="181"/>
    <x v="406"/>
    <x v="1"/>
    <x v="15"/>
    <x v="0"/>
    <x v="0"/>
    <x v="3"/>
    <x v="1"/>
    <x v="1"/>
    <x v="1"/>
    <x v="1"/>
    <x v="2"/>
    <x v="1"/>
    <x v="1"/>
    <x v="343"/>
    <x v="2"/>
    <x v="3"/>
    <x v="4"/>
    <x v="667"/>
    <x v="12"/>
    <x v="1"/>
    <x v="1"/>
    <x v="1"/>
    <x v="0"/>
    <x v="876"/>
    <x v="0"/>
    <x v="391"/>
  </r>
  <r>
    <x v="1519"/>
    <x v="711"/>
    <x v="690"/>
    <x v="685"/>
    <x v="1205"/>
    <x v="1"/>
    <x v="2"/>
    <x v="685"/>
    <x v="521"/>
    <x v="1"/>
    <x v="15"/>
    <x v="0"/>
    <x v="0"/>
    <x v="1"/>
    <x v="1"/>
    <x v="1"/>
    <x v="1"/>
    <x v="1"/>
    <x v="2"/>
    <x v="1"/>
    <x v="1"/>
    <x v="343"/>
    <x v="1"/>
    <x v="5"/>
    <x v="2"/>
    <x v="701"/>
    <x v="12"/>
    <x v="1"/>
    <x v="1"/>
    <x v="1"/>
    <x v="0"/>
    <x v="877"/>
    <x v="0"/>
    <x v="0"/>
  </r>
  <r>
    <x v="1520"/>
    <x v="712"/>
    <x v="691"/>
    <x v="686"/>
    <x v="1206"/>
    <x v="1"/>
    <x v="2"/>
    <x v="686"/>
    <x v="522"/>
    <x v="1"/>
    <x v="15"/>
    <x v="0"/>
    <x v="0"/>
    <x v="1"/>
    <x v="1"/>
    <x v="1"/>
    <x v="2"/>
    <x v="1"/>
    <x v="2"/>
    <x v="1"/>
    <x v="1"/>
    <x v="343"/>
    <x v="1"/>
    <x v="6"/>
    <x v="2"/>
    <x v="702"/>
    <x v="5"/>
    <x v="1"/>
    <x v="1"/>
    <x v="1"/>
    <x v="0"/>
    <x v="878"/>
    <x v="0"/>
    <x v="0"/>
  </r>
  <r>
    <x v="1521"/>
    <x v="674"/>
    <x v="656"/>
    <x v="651"/>
    <x v="0"/>
    <x v="1"/>
    <x v="1"/>
    <x v="181"/>
    <x v="406"/>
    <x v="1"/>
    <x v="15"/>
    <x v="0"/>
    <x v="0"/>
    <x v="3"/>
    <x v="1"/>
    <x v="1"/>
    <x v="2"/>
    <x v="1"/>
    <x v="2"/>
    <x v="1"/>
    <x v="1"/>
    <x v="344"/>
    <x v="2"/>
    <x v="3"/>
    <x v="4"/>
    <x v="667"/>
    <x v="5"/>
    <x v="1"/>
    <x v="5"/>
    <x v="2"/>
    <x v="1"/>
    <x v="879"/>
    <x v="0"/>
    <x v="0"/>
  </r>
  <r>
    <x v="1522"/>
    <x v="713"/>
    <x v="692"/>
    <x v="687"/>
    <x v="1207"/>
    <x v="3"/>
    <x v="2"/>
    <x v="73"/>
    <x v="299"/>
    <x v="1"/>
    <x v="2"/>
    <x v="0"/>
    <x v="0"/>
    <x v="1"/>
    <x v="2"/>
    <x v="3"/>
    <x v="1"/>
    <x v="1"/>
    <x v="2"/>
    <x v="4"/>
    <x v="1"/>
    <x v="345"/>
    <x v="1"/>
    <x v="6"/>
    <x v="2"/>
    <x v="703"/>
    <x v="5"/>
    <x v="3"/>
    <x v="0"/>
    <x v="1"/>
    <x v="0"/>
    <x v="880"/>
    <x v="429"/>
    <x v="0"/>
  </r>
  <r>
    <x v="1523"/>
    <x v="712"/>
    <x v="691"/>
    <x v="686"/>
    <x v="1206"/>
    <x v="1"/>
    <x v="2"/>
    <x v="686"/>
    <x v="522"/>
    <x v="1"/>
    <x v="15"/>
    <x v="0"/>
    <x v="0"/>
    <x v="3"/>
    <x v="3"/>
    <x v="3"/>
    <x v="2"/>
    <x v="1"/>
    <x v="2"/>
    <x v="1"/>
    <x v="1"/>
    <x v="345"/>
    <x v="1"/>
    <x v="3"/>
    <x v="4"/>
    <x v="702"/>
    <x v="5"/>
    <x v="3"/>
    <x v="0"/>
    <x v="1"/>
    <x v="0"/>
    <x v="881"/>
    <x v="430"/>
    <x v="0"/>
  </r>
  <r>
    <x v="1524"/>
    <x v="711"/>
    <x v="690"/>
    <x v="685"/>
    <x v="0"/>
    <x v="1"/>
    <x v="2"/>
    <x v="685"/>
    <x v="523"/>
    <x v="1"/>
    <x v="15"/>
    <x v="0"/>
    <x v="0"/>
    <x v="3"/>
    <x v="4"/>
    <x v="1"/>
    <x v="2"/>
    <x v="1"/>
    <x v="2"/>
    <x v="1"/>
    <x v="2"/>
    <x v="0"/>
    <x v="2"/>
    <x v="3"/>
    <x v="4"/>
    <x v="701"/>
    <x v="5"/>
    <x v="0"/>
    <x v="0"/>
    <x v="1"/>
    <x v="0"/>
    <x v="0"/>
    <x v="0"/>
    <x v="0"/>
  </r>
  <r>
    <x v="1525"/>
    <x v="674"/>
    <x v="656"/>
    <x v="651"/>
    <x v="1208"/>
    <x v="1"/>
    <x v="1"/>
    <x v="181"/>
    <x v="406"/>
    <x v="1"/>
    <x v="15"/>
    <x v="0"/>
    <x v="0"/>
    <x v="3"/>
    <x v="1"/>
    <x v="1"/>
    <x v="1"/>
    <x v="1"/>
    <x v="3"/>
    <x v="1"/>
    <x v="2"/>
    <x v="0"/>
    <x v="1"/>
    <x v="3"/>
    <x v="4"/>
    <x v="667"/>
    <x v="2"/>
    <x v="0"/>
    <x v="0"/>
    <x v="1"/>
    <x v="0"/>
    <x v="0"/>
    <x v="0"/>
    <x v="0"/>
  </r>
  <r>
    <x v="1526"/>
    <x v="440"/>
    <x v="436"/>
    <x v="431"/>
    <x v="1209"/>
    <x v="1"/>
    <x v="1"/>
    <x v="446"/>
    <x v="340"/>
    <x v="1"/>
    <x v="57"/>
    <x v="0"/>
    <x v="0"/>
    <x v="1"/>
    <x v="3"/>
    <x v="3"/>
    <x v="1"/>
    <x v="1"/>
    <x v="2"/>
    <x v="1"/>
    <x v="1"/>
    <x v="344"/>
    <x v="1"/>
    <x v="1"/>
    <x v="2"/>
    <x v="439"/>
    <x v="12"/>
    <x v="1"/>
    <x v="7"/>
    <x v="1"/>
    <x v="0"/>
    <x v="882"/>
    <x v="0"/>
    <x v="392"/>
  </r>
  <r>
    <x v="1527"/>
    <x v="714"/>
    <x v="693"/>
    <x v="688"/>
    <x v="1210"/>
    <x v="3"/>
    <x v="1"/>
    <x v="687"/>
    <x v="524"/>
    <x v="1"/>
    <x v="9"/>
    <x v="0"/>
    <x v="0"/>
    <x v="1"/>
    <x v="1"/>
    <x v="1"/>
    <x v="2"/>
    <x v="1"/>
    <x v="1"/>
    <x v="1"/>
    <x v="2"/>
    <x v="0"/>
    <x v="1"/>
    <x v="1"/>
    <x v="2"/>
    <x v="704"/>
    <x v="15"/>
    <x v="0"/>
    <x v="0"/>
    <x v="1"/>
    <x v="0"/>
    <x v="0"/>
    <x v="0"/>
    <x v="0"/>
  </r>
  <r>
    <x v="1528"/>
    <x v="696"/>
    <x v="677"/>
    <x v="672"/>
    <x v="1211"/>
    <x v="1"/>
    <x v="2"/>
    <x v="688"/>
    <x v="507"/>
    <x v="1"/>
    <x v="2"/>
    <x v="0"/>
    <x v="0"/>
    <x v="1"/>
    <x v="1"/>
    <x v="1"/>
    <x v="2"/>
    <x v="1"/>
    <x v="3"/>
    <x v="1"/>
    <x v="1"/>
    <x v="344"/>
    <x v="1"/>
    <x v="1"/>
    <x v="2"/>
    <x v="688"/>
    <x v="1"/>
    <x v="3"/>
    <x v="0"/>
    <x v="1"/>
    <x v="0"/>
    <x v="883"/>
    <x v="431"/>
    <x v="0"/>
  </r>
  <r>
    <x v="1529"/>
    <x v="440"/>
    <x v="436"/>
    <x v="431"/>
    <x v="0"/>
    <x v="1"/>
    <x v="1"/>
    <x v="446"/>
    <x v="340"/>
    <x v="1"/>
    <x v="57"/>
    <x v="0"/>
    <x v="0"/>
    <x v="3"/>
    <x v="4"/>
    <x v="1"/>
    <x v="1"/>
    <x v="1"/>
    <x v="2"/>
    <x v="1"/>
    <x v="2"/>
    <x v="0"/>
    <x v="2"/>
    <x v="3"/>
    <x v="4"/>
    <x v="439"/>
    <x v="12"/>
    <x v="0"/>
    <x v="0"/>
    <x v="1"/>
    <x v="0"/>
    <x v="0"/>
    <x v="0"/>
    <x v="0"/>
  </r>
  <r>
    <x v="1530"/>
    <x v="715"/>
    <x v="531"/>
    <x v="523"/>
    <x v="1212"/>
    <x v="1"/>
    <x v="2"/>
    <x v="541"/>
    <x v="525"/>
    <x v="1"/>
    <x v="4"/>
    <x v="0"/>
    <x v="0"/>
    <x v="1"/>
    <x v="1"/>
    <x v="1"/>
    <x v="1"/>
    <x v="1"/>
    <x v="3"/>
    <x v="1"/>
    <x v="2"/>
    <x v="0"/>
    <x v="1"/>
    <x v="1"/>
    <x v="2"/>
    <x v="534"/>
    <x v="2"/>
    <x v="0"/>
    <x v="0"/>
    <x v="1"/>
    <x v="0"/>
    <x v="0"/>
    <x v="0"/>
    <x v="0"/>
  </r>
  <r>
    <x v="1531"/>
    <x v="716"/>
    <x v="694"/>
    <x v="689"/>
    <x v="1213"/>
    <x v="1"/>
    <x v="3"/>
    <x v="689"/>
    <x v="395"/>
    <x v="1"/>
    <x v="300"/>
    <x v="0"/>
    <x v="0"/>
    <x v="1"/>
    <x v="1"/>
    <x v="1"/>
    <x v="2"/>
    <x v="1"/>
    <x v="2"/>
    <x v="1"/>
    <x v="2"/>
    <x v="0"/>
    <x v="1"/>
    <x v="1"/>
    <x v="2"/>
    <x v="705"/>
    <x v="3"/>
    <x v="0"/>
    <x v="0"/>
    <x v="1"/>
    <x v="0"/>
    <x v="0"/>
    <x v="0"/>
    <x v="0"/>
  </r>
  <r>
    <x v="1532"/>
    <x v="702"/>
    <x v="682"/>
    <x v="677"/>
    <x v="1214"/>
    <x v="1"/>
    <x v="1"/>
    <x v="678"/>
    <x v="514"/>
    <x v="1"/>
    <x v="301"/>
    <x v="0"/>
    <x v="0"/>
    <x v="3"/>
    <x v="3"/>
    <x v="3"/>
    <x v="1"/>
    <x v="1"/>
    <x v="1"/>
    <x v="1"/>
    <x v="1"/>
    <x v="346"/>
    <x v="2"/>
    <x v="3"/>
    <x v="4"/>
    <x v="706"/>
    <x v="15"/>
    <x v="1"/>
    <x v="13"/>
    <x v="1"/>
    <x v="0"/>
    <x v="884"/>
    <x v="0"/>
    <x v="393"/>
  </r>
  <r>
    <x v="1533"/>
    <x v="698"/>
    <x v="679"/>
    <x v="674"/>
    <x v="1215"/>
    <x v="1"/>
    <x v="2"/>
    <x v="675"/>
    <x v="508"/>
    <x v="1"/>
    <x v="9"/>
    <x v="0"/>
    <x v="0"/>
    <x v="1"/>
    <x v="2"/>
    <x v="3"/>
    <x v="2"/>
    <x v="1"/>
    <x v="2"/>
    <x v="1"/>
    <x v="1"/>
    <x v="346"/>
    <x v="1"/>
    <x v="5"/>
    <x v="2"/>
    <x v="690"/>
    <x v="3"/>
    <x v="3"/>
    <x v="0"/>
    <x v="1"/>
    <x v="0"/>
    <x v="885"/>
    <x v="432"/>
    <x v="54"/>
  </r>
  <r>
    <x v="1534"/>
    <x v="702"/>
    <x v="682"/>
    <x v="677"/>
    <x v="0"/>
    <x v="1"/>
    <x v="2"/>
    <x v="678"/>
    <x v="514"/>
    <x v="1"/>
    <x v="27"/>
    <x v="0"/>
    <x v="0"/>
    <x v="3"/>
    <x v="1"/>
    <x v="2"/>
    <x v="2"/>
    <x v="1"/>
    <x v="2"/>
    <x v="1"/>
    <x v="1"/>
    <x v="347"/>
    <x v="2"/>
    <x v="3"/>
    <x v="4"/>
    <x v="706"/>
    <x v="14"/>
    <x v="1"/>
    <x v="14"/>
    <x v="1"/>
    <x v="0"/>
    <x v="886"/>
    <x v="0"/>
    <x v="394"/>
  </r>
  <r>
    <x v="1535"/>
    <x v="708"/>
    <x v="687"/>
    <x v="682"/>
    <x v="1216"/>
    <x v="1"/>
    <x v="2"/>
    <x v="683"/>
    <x v="236"/>
    <x v="6"/>
    <x v="0"/>
    <x v="0"/>
    <x v="32"/>
    <x v="1"/>
    <x v="1"/>
    <x v="1"/>
    <x v="2"/>
    <x v="1"/>
    <x v="2"/>
    <x v="1"/>
    <x v="2"/>
    <x v="0"/>
    <x v="1"/>
    <x v="1"/>
    <x v="2"/>
    <x v="698"/>
    <x v="14"/>
    <x v="0"/>
    <x v="0"/>
    <x v="1"/>
    <x v="0"/>
    <x v="0"/>
    <x v="0"/>
    <x v="0"/>
  </r>
  <r>
    <x v="1536"/>
    <x v="717"/>
    <x v="695"/>
    <x v="690"/>
    <x v="1217"/>
    <x v="1"/>
    <x v="2"/>
    <x v="690"/>
    <x v="526"/>
    <x v="2"/>
    <x v="0"/>
    <x v="2"/>
    <x v="0"/>
    <x v="1"/>
    <x v="1"/>
    <x v="1"/>
    <x v="2"/>
    <x v="1"/>
    <x v="2"/>
    <x v="1"/>
    <x v="2"/>
    <x v="0"/>
    <x v="1"/>
    <x v="1"/>
    <x v="2"/>
    <x v="707"/>
    <x v="14"/>
    <x v="0"/>
    <x v="0"/>
    <x v="1"/>
    <x v="0"/>
    <x v="0"/>
    <x v="0"/>
    <x v="0"/>
  </r>
  <r>
    <x v="1537"/>
    <x v="687"/>
    <x v="668"/>
    <x v="663"/>
    <x v="1218"/>
    <x v="1"/>
    <x v="1"/>
    <x v="665"/>
    <x v="527"/>
    <x v="1"/>
    <x v="126"/>
    <x v="0"/>
    <x v="0"/>
    <x v="1"/>
    <x v="3"/>
    <x v="3"/>
    <x v="1"/>
    <x v="1"/>
    <x v="2"/>
    <x v="4"/>
    <x v="1"/>
    <x v="348"/>
    <x v="2"/>
    <x v="1"/>
    <x v="1"/>
    <x v="679"/>
    <x v="2"/>
    <x v="3"/>
    <x v="0"/>
    <x v="1"/>
    <x v="0"/>
    <x v="887"/>
    <x v="433"/>
    <x v="0"/>
  </r>
  <r>
    <x v="1538"/>
    <x v="718"/>
    <x v="696"/>
    <x v="691"/>
    <x v="1219"/>
    <x v="1"/>
    <x v="2"/>
    <x v="691"/>
    <x v="524"/>
    <x v="1"/>
    <x v="9"/>
    <x v="0"/>
    <x v="0"/>
    <x v="1"/>
    <x v="1"/>
    <x v="1"/>
    <x v="1"/>
    <x v="1"/>
    <x v="3"/>
    <x v="1"/>
    <x v="1"/>
    <x v="348"/>
    <x v="1"/>
    <x v="5"/>
    <x v="3"/>
    <x v="708"/>
    <x v="3"/>
    <x v="1"/>
    <x v="3"/>
    <x v="1"/>
    <x v="0"/>
    <x v="888"/>
    <x v="0"/>
    <x v="395"/>
  </r>
  <r>
    <x v="1539"/>
    <x v="719"/>
    <x v="697"/>
    <x v="692"/>
    <x v="1220"/>
    <x v="1"/>
    <x v="1"/>
    <x v="692"/>
    <x v="528"/>
    <x v="1"/>
    <x v="31"/>
    <x v="0"/>
    <x v="0"/>
    <x v="1"/>
    <x v="1"/>
    <x v="1"/>
    <x v="1"/>
    <x v="1"/>
    <x v="2"/>
    <x v="1"/>
    <x v="1"/>
    <x v="348"/>
    <x v="1"/>
    <x v="1"/>
    <x v="2"/>
    <x v="709"/>
    <x v="3"/>
    <x v="3"/>
    <x v="0"/>
    <x v="1"/>
    <x v="0"/>
    <x v="889"/>
    <x v="434"/>
    <x v="396"/>
  </r>
  <r>
    <x v="1540"/>
    <x v="632"/>
    <x v="617"/>
    <x v="611"/>
    <x v="1221"/>
    <x v="1"/>
    <x v="2"/>
    <x v="542"/>
    <x v="10"/>
    <x v="1"/>
    <x v="9"/>
    <x v="0"/>
    <x v="0"/>
    <x v="1"/>
    <x v="2"/>
    <x v="3"/>
    <x v="2"/>
    <x v="1"/>
    <x v="2"/>
    <x v="1"/>
    <x v="1"/>
    <x v="347"/>
    <x v="1"/>
    <x v="1"/>
    <x v="2"/>
    <x v="626"/>
    <x v="1"/>
    <x v="1"/>
    <x v="14"/>
    <x v="1"/>
    <x v="0"/>
    <x v="890"/>
    <x v="0"/>
    <x v="0"/>
  </r>
  <r>
    <x v="1541"/>
    <x v="720"/>
    <x v="698"/>
    <x v="693"/>
    <x v="1222"/>
    <x v="1"/>
    <x v="2"/>
    <x v="693"/>
    <x v="525"/>
    <x v="1"/>
    <x v="3"/>
    <x v="0"/>
    <x v="0"/>
    <x v="1"/>
    <x v="3"/>
    <x v="2"/>
    <x v="2"/>
    <x v="1"/>
    <x v="3"/>
    <x v="1"/>
    <x v="1"/>
    <x v="349"/>
    <x v="1"/>
    <x v="1"/>
    <x v="2"/>
    <x v="710"/>
    <x v="1"/>
    <x v="3"/>
    <x v="0"/>
    <x v="1"/>
    <x v="0"/>
    <x v="891"/>
    <x v="435"/>
    <x v="0"/>
  </r>
  <r>
    <x v="1542"/>
    <x v="718"/>
    <x v="696"/>
    <x v="691"/>
    <x v="1219"/>
    <x v="1"/>
    <x v="2"/>
    <x v="691"/>
    <x v="524"/>
    <x v="1"/>
    <x v="9"/>
    <x v="0"/>
    <x v="0"/>
    <x v="3"/>
    <x v="1"/>
    <x v="1"/>
    <x v="2"/>
    <x v="1"/>
    <x v="3"/>
    <x v="1"/>
    <x v="2"/>
    <x v="0"/>
    <x v="1"/>
    <x v="3"/>
    <x v="4"/>
    <x v="708"/>
    <x v="3"/>
    <x v="0"/>
    <x v="0"/>
    <x v="1"/>
    <x v="0"/>
    <x v="0"/>
    <x v="0"/>
    <x v="0"/>
  </r>
  <r>
    <x v="1543"/>
    <x v="721"/>
    <x v="699"/>
    <x v="694"/>
    <x v="1223"/>
    <x v="1"/>
    <x v="2"/>
    <x v="694"/>
    <x v="529"/>
    <x v="1"/>
    <x v="193"/>
    <x v="0"/>
    <x v="0"/>
    <x v="1"/>
    <x v="1"/>
    <x v="1"/>
    <x v="2"/>
    <x v="1"/>
    <x v="2"/>
    <x v="1"/>
    <x v="2"/>
    <x v="0"/>
    <x v="1"/>
    <x v="1"/>
    <x v="2"/>
    <x v="711"/>
    <x v="3"/>
    <x v="0"/>
    <x v="0"/>
    <x v="1"/>
    <x v="0"/>
    <x v="0"/>
    <x v="0"/>
    <x v="0"/>
  </r>
  <r>
    <x v="1544"/>
    <x v="340"/>
    <x v="340"/>
    <x v="335"/>
    <x v="1224"/>
    <x v="1"/>
    <x v="2"/>
    <x v="355"/>
    <x v="280"/>
    <x v="2"/>
    <x v="0"/>
    <x v="2"/>
    <x v="0"/>
    <x v="1"/>
    <x v="1"/>
    <x v="2"/>
    <x v="1"/>
    <x v="1"/>
    <x v="2"/>
    <x v="4"/>
    <x v="1"/>
    <x v="347"/>
    <x v="1"/>
    <x v="1"/>
    <x v="1"/>
    <x v="342"/>
    <x v="14"/>
    <x v="3"/>
    <x v="7"/>
    <x v="1"/>
    <x v="0"/>
    <x v="892"/>
    <x v="436"/>
    <x v="0"/>
  </r>
  <r>
    <x v="1545"/>
    <x v="696"/>
    <x v="677"/>
    <x v="672"/>
    <x v="1225"/>
    <x v="1"/>
    <x v="1"/>
    <x v="673"/>
    <x v="507"/>
    <x v="1"/>
    <x v="2"/>
    <x v="0"/>
    <x v="0"/>
    <x v="1"/>
    <x v="2"/>
    <x v="3"/>
    <x v="1"/>
    <x v="1"/>
    <x v="3"/>
    <x v="1"/>
    <x v="1"/>
    <x v="350"/>
    <x v="1"/>
    <x v="1"/>
    <x v="2"/>
    <x v="688"/>
    <x v="2"/>
    <x v="3"/>
    <x v="0"/>
    <x v="1"/>
    <x v="0"/>
    <x v="893"/>
    <x v="437"/>
    <x v="0"/>
  </r>
  <r>
    <x v="1546"/>
    <x v="722"/>
    <x v="700"/>
    <x v="695"/>
    <x v="1226"/>
    <x v="3"/>
    <x v="2"/>
    <x v="695"/>
    <x v="530"/>
    <x v="1"/>
    <x v="24"/>
    <x v="0"/>
    <x v="0"/>
    <x v="1"/>
    <x v="1"/>
    <x v="1"/>
    <x v="2"/>
    <x v="1"/>
    <x v="2"/>
    <x v="1"/>
    <x v="2"/>
    <x v="0"/>
    <x v="1"/>
    <x v="1"/>
    <x v="2"/>
    <x v="712"/>
    <x v="12"/>
    <x v="0"/>
    <x v="0"/>
    <x v="1"/>
    <x v="0"/>
    <x v="0"/>
    <x v="0"/>
    <x v="0"/>
  </r>
  <r>
    <x v="1547"/>
    <x v="702"/>
    <x v="682"/>
    <x v="677"/>
    <x v="0"/>
    <x v="1"/>
    <x v="2"/>
    <x v="678"/>
    <x v="514"/>
    <x v="1"/>
    <x v="27"/>
    <x v="0"/>
    <x v="0"/>
    <x v="3"/>
    <x v="1"/>
    <x v="1"/>
    <x v="2"/>
    <x v="1"/>
    <x v="3"/>
    <x v="1"/>
    <x v="2"/>
    <x v="0"/>
    <x v="2"/>
    <x v="3"/>
    <x v="4"/>
    <x v="706"/>
    <x v="15"/>
    <x v="0"/>
    <x v="0"/>
    <x v="1"/>
    <x v="0"/>
    <x v="0"/>
    <x v="0"/>
    <x v="0"/>
  </r>
  <r>
    <x v="1548"/>
    <x v="689"/>
    <x v="670"/>
    <x v="665"/>
    <x v="1227"/>
    <x v="1"/>
    <x v="2"/>
    <x v="667"/>
    <x v="531"/>
    <x v="1"/>
    <x v="9"/>
    <x v="0"/>
    <x v="0"/>
    <x v="1"/>
    <x v="1"/>
    <x v="1"/>
    <x v="2"/>
    <x v="1"/>
    <x v="2"/>
    <x v="1"/>
    <x v="1"/>
    <x v="350"/>
    <x v="1"/>
    <x v="1"/>
    <x v="2"/>
    <x v="681"/>
    <x v="12"/>
    <x v="1"/>
    <x v="13"/>
    <x v="2"/>
    <x v="1"/>
    <x v="894"/>
    <x v="438"/>
    <x v="397"/>
  </r>
  <r>
    <x v="1549"/>
    <x v="723"/>
    <x v="701"/>
    <x v="696"/>
    <x v="1228"/>
    <x v="1"/>
    <x v="2"/>
    <x v="696"/>
    <x v="353"/>
    <x v="1"/>
    <x v="24"/>
    <x v="0"/>
    <x v="0"/>
    <x v="1"/>
    <x v="3"/>
    <x v="2"/>
    <x v="1"/>
    <x v="1"/>
    <x v="3"/>
    <x v="1"/>
    <x v="1"/>
    <x v="350"/>
    <x v="1"/>
    <x v="1"/>
    <x v="2"/>
    <x v="713"/>
    <x v="2"/>
    <x v="3"/>
    <x v="0"/>
    <x v="1"/>
    <x v="0"/>
    <x v="895"/>
    <x v="439"/>
    <x v="0"/>
  </r>
  <r>
    <x v="1550"/>
    <x v="632"/>
    <x v="617"/>
    <x v="611"/>
    <x v="0"/>
    <x v="1"/>
    <x v="2"/>
    <x v="542"/>
    <x v="10"/>
    <x v="1"/>
    <x v="9"/>
    <x v="0"/>
    <x v="0"/>
    <x v="3"/>
    <x v="4"/>
    <x v="1"/>
    <x v="2"/>
    <x v="1"/>
    <x v="3"/>
    <x v="1"/>
    <x v="1"/>
    <x v="350"/>
    <x v="2"/>
    <x v="3"/>
    <x v="4"/>
    <x v="626"/>
    <x v="15"/>
    <x v="1"/>
    <x v="13"/>
    <x v="2"/>
    <x v="1"/>
    <x v="896"/>
    <x v="0"/>
    <x v="0"/>
  </r>
  <r>
    <x v="1551"/>
    <x v="724"/>
    <x v="702"/>
    <x v="697"/>
    <x v="1229"/>
    <x v="1"/>
    <x v="3"/>
    <x v="697"/>
    <x v="436"/>
    <x v="1"/>
    <x v="302"/>
    <x v="0"/>
    <x v="0"/>
    <x v="1"/>
    <x v="1"/>
    <x v="3"/>
    <x v="1"/>
    <x v="1"/>
    <x v="1"/>
    <x v="1"/>
    <x v="1"/>
    <x v="350"/>
    <x v="2"/>
    <x v="5"/>
    <x v="2"/>
    <x v="714"/>
    <x v="12"/>
    <x v="1"/>
    <x v="13"/>
    <x v="2"/>
    <x v="1"/>
    <x v="897"/>
    <x v="0"/>
    <x v="398"/>
  </r>
  <r>
    <x v="1552"/>
    <x v="725"/>
    <x v="703"/>
    <x v="698"/>
    <x v="1230"/>
    <x v="1"/>
    <x v="2"/>
    <x v="427"/>
    <x v="532"/>
    <x v="1"/>
    <x v="120"/>
    <x v="0"/>
    <x v="0"/>
    <x v="1"/>
    <x v="1"/>
    <x v="4"/>
    <x v="2"/>
    <x v="1"/>
    <x v="1"/>
    <x v="1"/>
    <x v="1"/>
    <x v="351"/>
    <x v="1"/>
    <x v="6"/>
    <x v="3"/>
    <x v="715"/>
    <x v="14"/>
    <x v="3"/>
    <x v="0"/>
    <x v="1"/>
    <x v="0"/>
    <x v="898"/>
    <x v="440"/>
    <x v="0"/>
  </r>
  <r>
    <x v="1553"/>
    <x v="726"/>
    <x v="704"/>
    <x v="699"/>
    <x v="1231"/>
    <x v="3"/>
    <x v="2"/>
    <x v="698"/>
    <x v="338"/>
    <x v="1"/>
    <x v="273"/>
    <x v="0"/>
    <x v="0"/>
    <x v="1"/>
    <x v="1"/>
    <x v="1"/>
    <x v="2"/>
    <x v="1"/>
    <x v="2"/>
    <x v="1"/>
    <x v="2"/>
    <x v="0"/>
    <x v="1"/>
    <x v="4"/>
    <x v="3"/>
    <x v="716"/>
    <x v="14"/>
    <x v="0"/>
    <x v="0"/>
    <x v="1"/>
    <x v="0"/>
    <x v="0"/>
    <x v="0"/>
    <x v="0"/>
  </r>
  <r>
    <x v="1554"/>
    <x v="632"/>
    <x v="617"/>
    <x v="611"/>
    <x v="0"/>
    <x v="1"/>
    <x v="2"/>
    <x v="542"/>
    <x v="10"/>
    <x v="1"/>
    <x v="9"/>
    <x v="0"/>
    <x v="0"/>
    <x v="3"/>
    <x v="1"/>
    <x v="1"/>
    <x v="2"/>
    <x v="1"/>
    <x v="1"/>
    <x v="1"/>
    <x v="1"/>
    <x v="351"/>
    <x v="2"/>
    <x v="3"/>
    <x v="4"/>
    <x v="626"/>
    <x v="14"/>
    <x v="3"/>
    <x v="0"/>
    <x v="1"/>
    <x v="0"/>
    <x v="898"/>
    <x v="440"/>
    <x v="0"/>
  </r>
  <r>
    <x v="1555"/>
    <x v="724"/>
    <x v="702"/>
    <x v="697"/>
    <x v="0"/>
    <x v="1"/>
    <x v="3"/>
    <x v="697"/>
    <x v="436"/>
    <x v="1"/>
    <x v="303"/>
    <x v="0"/>
    <x v="0"/>
    <x v="3"/>
    <x v="3"/>
    <x v="3"/>
    <x v="2"/>
    <x v="1"/>
    <x v="1"/>
    <x v="1"/>
    <x v="1"/>
    <x v="351"/>
    <x v="2"/>
    <x v="3"/>
    <x v="4"/>
    <x v="714"/>
    <x v="14"/>
    <x v="3"/>
    <x v="0"/>
    <x v="1"/>
    <x v="0"/>
    <x v="898"/>
    <x v="440"/>
    <x v="0"/>
  </r>
  <r>
    <x v="1556"/>
    <x v="689"/>
    <x v="670"/>
    <x v="665"/>
    <x v="1232"/>
    <x v="1"/>
    <x v="2"/>
    <x v="667"/>
    <x v="533"/>
    <x v="1"/>
    <x v="9"/>
    <x v="0"/>
    <x v="0"/>
    <x v="3"/>
    <x v="1"/>
    <x v="2"/>
    <x v="2"/>
    <x v="1"/>
    <x v="2"/>
    <x v="1"/>
    <x v="1"/>
    <x v="349"/>
    <x v="1"/>
    <x v="3"/>
    <x v="4"/>
    <x v="681"/>
    <x v="14"/>
    <x v="3"/>
    <x v="0"/>
    <x v="1"/>
    <x v="0"/>
    <x v="899"/>
    <x v="441"/>
    <x v="0"/>
  </r>
  <r>
    <x v="1557"/>
    <x v="727"/>
    <x v="705"/>
    <x v="700"/>
    <x v="1233"/>
    <x v="3"/>
    <x v="2"/>
    <x v="699"/>
    <x v="10"/>
    <x v="1"/>
    <x v="15"/>
    <x v="0"/>
    <x v="0"/>
    <x v="1"/>
    <x v="1"/>
    <x v="1"/>
    <x v="2"/>
    <x v="1"/>
    <x v="2"/>
    <x v="1"/>
    <x v="1"/>
    <x v="351"/>
    <x v="1"/>
    <x v="6"/>
    <x v="3"/>
    <x v="717"/>
    <x v="14"/>
    <x v="3"/>
    <x v="0"/>
    <x v="1"/>
    <x v="0"/>
    <x v="898"/>
    <x v="440"/>
    <x v="0"/>
  </r>
  <r>
    <x v="1558"/>
    <x v="728"/>
    <x v="706"/>
    <x v="701"/>
    <x v="1234"/>
    <x v="1"/>
    <x v="2"/>
    <x v="700"/>
    <x v="534"/>
    <x v="1"/>
    <x v="31"/>
    <x v="0"/>
    <x v="0"/>
    <x v="1"/>
    <x v="2"/>
    <x v="3"/>
    <x v="2"/>
    <x v="1"/>
    <x v="2"/>
    <x v="1"/>
    <x v="1"/>
    <x v="351"/>
    <x v="2"/>
    <x v="6"/>
    <x v="3"/>
    <x v="718"/>
    <x v="14"/>
    <x v="3"/>
    <x v="0"/>
    <x v="1"/>
    <x v="0"/>
    <x v="898"/>
    <x v="442"/>
    <x v="0"/>
  </r>
  <r>
    <x v="1559"/>
    <x v="384"/>
    <x v="384"/>
    <x v="379"/>
    <x v="1235"/>
    <x v="3"/>
    <x v="2"/>
    <x v="399"/>
    <x v="308"/>
    <x v="1"/>
    <x v="33"/>
    <x v="0"/>
    <x v="0"/>
    <x v="1"/>
    <x v="3"/>
    <x v="3"/>
    <x v="2"/>
    <x v="1"/>
    <x v="2"/>
    <x v="1"/>
    <x v="1"/>
    <x v="349"/>
    <x v="1"/>
    <x v="6"/>
    <x v="2"/>
    <x v="387"/>
    <x v="12"/>
    <x v="3"/>
    <x v="0"/>
    <x v="1"/>
    <x v="0"/>
    <x v="900"/>
    <x v="443"/>
    <x v="0"/>
  </r>
  <r>
    <x v="1560"/>
    <x v="729"/>
    <x v="707"/>
    <x v="702"/>
    <x v="1236"/>
    <x v="1"/>
    <x v="2"/>
    <x v="701"/>
    <x v="535"/>
    <x v="1"/>
    <x v="3"/>
    <x v="0"/>
    <x v="0"/>
    <x v="1"/>
    <x v="3"/>
    <x v="2"/>
    <x v="2"/>
    <x v="1"/>
    <x v="2"/>
    <x v="1"/>
    <x v="1"/>
    <x v="349"/>
    <x v="2"/>
    <x v="6"/>
    <x v="2"/>
    <x v="719"/>
    <x v="12"/>
    <x v="1"/>
    <x v="7"/>
    <x v="1"/>
    <x v="0"/>
    <x v="901"/>
    <x v="444"/>
    <x v="0"/>
  </r>
  <r>
    <x v="1561"/>
    <x v="726"/>
    <x v="704"/>
    <x v="699"/>
    <x v="1237"/>
    <x v="3"/>
    <x v="1"/>
    <x v="698"/>
    <x v="338"/>
    <x v="1"/>
    <x v="304"/>
    <x v="0"/>
    <x v="0"/>
    <x v="1"/>
    <x v="3"/>
    <x v="3"/>
    <x v="2"/>
    <x v="1"/>
    <x v="2"/>
    <x v="1"/>
    <x v="1"/>
    <x v="349"/>
    <x v="1"/>
    <x v="6"/>
    <x v="2"/>
    <x v="720"/>
    <x v="12"/>
    <x v="3"/>
    <x v="0"/>
    <x v="1"/>
    <x v="0"/>
    <x v="902"/>
    <x v="445"/>
    <x v="270"/>
  </r>
  <r>
    <x v="1562"/>
    <x v="730"/>
    <x v="708"/>
    <x v="703"/>
    <x v="1238"/>
    <x v="1"/>
    <x v="2"/>
    <x v="702"/>
    <x v="298"/>
    <x v="1"/>
    <x v="305"/>
    <x v="0"/>
    <x v="0"/>
    <x v="1"/>
    <x v="1"/>
    <x v="1"/>
    <x v="2"/>
    <x v="1"/>
    <x v="2"/>
    <x v="1"/>
    <x v="2"/>
    <x v="0"/>
    <x v="1"/>
    <x v="6"/>
    <x v="2"/>
    <x v="721"/>
    <x v="12"/>
    <x v="0"/>
    <x v="0"/>
    <x v="1"/>
    <x v="0"/>
    <x v="0"/>
    <x v="0"/>
    <x v="399"/>
  </r>
  <r>
    <x v="1563"/>
    <x v="708"/>
    <x v="687"/>
    <x v="682"/>
    <x v="1239"/>
    <x v="1"/>
    <x v="1"/>
    <x v="683"/>
    <x v="196"/>
    <x v="6"/>
    <x v="0"/>
    <x v="0"/>
    <x v="16"/>
    <x v="1"/>
    <x v="3"/>
    <x v="3"/>
    <x v="1"/>
    <x v="1"/>
    <x v="2"/>
    <x v="1"/>
    <x v="1"/>
    <x v="352"/>
    <x v="1"/>
    <x v="1"/>
    <x v="2"/>
    <x v="698"/>
    <x v="12"/>
    <x v="3"/>
    <x v="0"/>
    <x v="1"/>
    <x v="0"/>
    <x v="903"/>
    <x v="446"/>
    <x v="0"/>
  </r>
  <r>
    <x v="1564"/>
    <x v="731"/>
    <x v="709"/>
    <x v="704"/>
    <x v="1240"/>
    <x v="1"/>
    <x v="2"/>
    <x v="703"/>
    <x v="536"/>
    <x v="1"/>
    <x v="27"/>
    <x v="0"/>
    <x v="0"/>
    <x v="1"/>
    <x v="2"/>
    <x v="5"/>
    <x v="2"/>
    <x v="1"/>
    <x v="2"/>
    <x v="1"/>
    <x v="1"/>
    <x v="352"/>
    <x v="1"/>
    <x v="1"/>
    <x v="2"/>
    <x v="722"/>
    <x v="3"/>
    <x v="1"/>
    <x v="3"/>
    <x v="2"/>
    <x v="1"/>
    <x v="904"/>
    <x v="0"/>
    <x v="0"/>
  </r>
  <r>
    <x v="1565"/>
    <x v="732"/>
    <x v="710"/>
    <x v="705"/>
    <x v="1241"/>
    <x v="1"/>
    <x v="2"/>
    <x v="704"/>
    <x v="537"/>
    <x v="6"/>
    <x v="0"/>
    <x v="0"/>
    <x v="33"/>
    <x v="1"/>
    <x v="1"/>
    <x v="1"/>
    <x v="2"/>
    <x v="1"/>
    <x v="2"/>
    <x v="1"/>
    <x v="2"/>
    <x v="0"/>
    <x v="1"/>
    <x v="1"/>
    <x v="2"/>
    <x v="723"/>
    <x v="15"/>
    <x v="0"/>
    <x v="0"/>
    <x v="1"/>
    <x v="0"/>
    <x v="0"/>
    <x v="0"/>
    <x v="0"/>
  </r>
  <r>
    <x v="1566"/>
    <x v="733"/>
    <x v="711"/>
    <x v="706"/>
    <x v="1242"/>
    <x v="1"/>
    <x v="2"/>
    <x v="126"/>
    <x v="538"/>
    <x v="12"/>
    <x v="0"/>
    <x v="0"/>
    <x v="0"/>
    <x v="1"/>
    <x v="1"/>
    <x v="4"/>
    <x v="2"/>
    <x v="1"/>
    <x v="3"/>
    <x v="1"/>
    <x v="2"/>
    <x v="0"/>
    <x v="1"/>
    <x v="5"/>
    <x v="2"/>
    <x v="724"/>
    <x v="3"/>
    <x v="0"/>
    <x v="0"/>
    <x v="1"/>
    <x v="0"/>
    <x v="0"/>
    <x v="0"/>
    <x v="0"/>
  </r>
  <r>
    <x v="1567"/>
    <x v="729"/>
    <x v="707"/>
    <x v="702"/>
    <x v="0"/>
    <x v="1"/>
    <x v="2"/>
    <x v="701"/>
    <x v="535"/>
    <x v="1"/>
    <x v="3"/>
    <x v="0"/>
    <x v="0"/>
    <x v="3"/>
    <x v="3"/>
    <x v="2"/>
    <x v="2"/>
    <x v="1"/>
    <x v="2"/>
    <x v="1"/>
    <x v="2"/>
    <x v="0"/>
    <x v="2"/>
    <x v="3"/>
    <x v="4"/>
    <x v="719"/>
    <x v="12"/>
    <x v="0"/>
    <x v="0"/>
    <x v="1"/>
    <x v="0"/>
    <x v="0"/>
    <x v="0"/>
    <x v="0"/>
  </r>
  <r>
    <x v="1568"/>
    <x v="731"/>
    <x v="709"/>
    <x v="704"/>
    <x v="1243"/>
    <x v="1"/>
    <x v="2"/>
    <x v="703"/>
    <x v="536"/>
    <x v="1"/>
    <x v="27"/>
    <x v="0"/>
    <x v="0"/>
    <x v="3"/>
    <x v="4"/>
    <x v="1"/>
    <x v="1"/>
    <x v="1"/>
    <x v="2"/>
    <x v="1"/>
    <x v="2"/>
    <x v="0"/>
    <x v="1"/>
    <x v="3"/>
    <x v="4"/>
    <x v="722"/>
    <x v="3"/>
    <x v="0"/>
    <x v="0"/>
    <x v="1"/>
    <x v="0"/>
    <x v="0"/>
    <x v="0"/>
    <x v="0"/>
  </r>
  <r>
    <x v="1569"/>
    <x v="734"/>
    <x v="712"/>
    <x v="707"/>
    <x v="1244"/>
    <x v="3"/>
    <x v="2"/>
    <x v="705"/>
    <x v="335"/>
    <x v="1"/>
    <x v="33"/>
    <x v="0"/>
    <x v="0"/>
    <x v="1"/>
    <x v="3"/>
    <x v="3"/>
    <x v="2"/>
    <x v="1"/>
    <x v="2"/>
    <x v="1"/>
    <x v="1"/>
    <x v="353"/>
    <x v="1"/>
    <x v="1"/>
    <x v="2"/>
    <x v="725"/>
    <x v="15"/>
    <x v="3"/>
    <x v="13"/>
    <x v="1"/>
    <x v="0"/>
    <x v="905"/>
    <x v="447"/>
    <x v="0"/>
  </r>
  <r>
    <x v="1570"/>
    <x v="735"/>
    <x v="713"/>
    <x v="708"/>
    <x v="1245"/>
    <x v="1"/>
    <x v="2"/>
    <x v="706"/>
    <x v="10"/>
    <x v="1"/>
    <x v="298"/>
    <x v="0"/>
    <x v="0"/>
    <x v="1"/>
    <x v="1"/>
    <x v="1"/>
    <x v="2"/>
    <x v="1"/>
    <x v="3"/>
    <x v="1"/>
    <x v="1"/>
    <x v="352"/>
    <x v="1"/>
    <x v="1"/>
    <x v="2"/>
    <x v="726"/>
    <x v="1"/>
    <x v="1"/>
    <x v="4"/>
    <x v="2"/>
    <x v="1"/>
    <x v="906"/>
    <x v="0"/>
    <x v="0"/>
  </r>
  <r>
    <x v="1571"/>
    <x v="735"/>
    <x v="713"/>
    <x v="708"/>
    <x v="1246"/>
    <x v="1"/>
    <x v="2"/>
    <x v="706"/>
    <x v="10"/>
    <x v="1"/>
    <x v="222"/>
    <x v="0"/>
    <x v="0"/>
    <x v="3"/>
    <x v="1"/>
    <x v="1"/>
    <x v="2"/>
    <x v="1"/>
    <x v="3"/>
    <x v="1"/>
    <x v="1"/>
    <x v="354"/>
    <x v="1"/>
    <x v="3"/>
    <x v="4"/>
    <x v="726"/>
    <x v="1"/>
    <x v="3"/>
    <x v="0"/>
    <x v="1"/>
    <x v="0"/>
    <x v="907"/>
    <x v="448"/>
    <x v="400"/>
  </r>
  <r>
    <x v="1572"/>
    <x v="736"/>
    <x v="714"/>
    <x v="709"/>
    <x v="1247"/>
    <x v="1"/>
    <x v="1"/>
    <x v="707"/>
    <x v="524"/>
    <x v="1"/>
    <x v="3"/>
    <x v="0"/>
    <x v="0"/>
    <x v="1"/>
    <x v="1"/>
    <x v="2"/>
    <x v="2"/>
    <x v="1"/>
    <x v="3"/>
    <x v="1"/>
    <x v="1"/>
    <x v="353"/>
    <x v="1"/>
    <x v="5"/>
    <x v="2"/>
    <x v="727"/>
    <x v="5"/>
    <x v="3"/>
    <x v="13"/>
    <x v="1"/>
    <x v="0"/>
    <x v="908"/>
    <x v="449"/>
    <x v="0"/>
  </r>
  <r>
    <x v="1573"/>
    <x v="362"/>
    <x v="362"/>
    <x v="357"/>
    <x v="1248"/>
    <x v="1"/>
    <x v="2"/>
    <x v="381"/>
    <x v="539"/>
    <x v="1"/>
    <x v="50"/>
    <x v="0"/>
    <x v="0"/>
    <x v="1"/>
    <x v="3"/>
    <x v="2"/>
    <x v="1"/>
    <x v="1"/>
    <x v="2"/>
    <x v="1"/>
    <x v="1"/>
    <x v="355"/>
    <x v="2"/>
    <x v="5"/>
    <x v="2"/>
    <x v="364"/>
    <x v="3"/>
    <x v="3"/>
    <x v="0"/>
    <x v="1"/>
    <x v="0"/>
    <x v="909"/>
    <x v="0"/>
    <x v="0"/>
  </r>
  <r>
    <x v="1574"/>
    <x v="737"/>
    <x v="715"/>
    <x v="710"/>
    <x v="1249"/>
    <x v="3"/>
    <x v="2"/>
    <x v="708"/>
    <x v="540"/>
    <x v="1"/>
    <x v="15"/>
    <x v="0"/>
    <x v="0"/>
    <x v="1"/>
    <x v="1"/>
    <x v="1"/>
    <x v="1"/>
    <x v="1"/>
    <x v="3"/>
    <x v="1"/>
    <x v="2"/>
    <x v="0"/>
    <x v="1"/>
    <x v="1"/>
    <x v="2"/>
    <x v="728"/>
    <x v="1"/>
    <x v="0"/>
    <x v="0"/>
    <x v="1"/>
    <x v="0"/>
    <x v="0"/>
    <x v="0"/>
    <x v="0"/>
  </r>
  <r>
    <x v="1575"/>
    <x v="509"/>
    <x v="501"/>
    <x v="493"/>
    <x v="1250"/>
    <x v="1"/>
    <x v="2"/>
    <x v="513"/>
    <x v="10"/>
    <x v="1"/>
    <x v="306"/>
    <x v="0"/>
    <x v="0"/>
    <x v="1"/>
    <x v="1"/>
    <x v="1"/>
    <x v="2"/>
    <x v="1"/>
    <x v="1"/>
    <x v="1"/>
    <x v="1"/>
    <x v="355"/>
    <x v="1"/>
    <x v="1"/>
    <x v="2"/>
    <x v="503"/>
    <x v="14"/>
    <x v="1"/>
    <x v="1"/>
    <x v="1"/>
    <x v="0"/>
    <x v="910"/>
    <x v="450"/>
    <x v="0"/>
  </r>
  <r>
    <x v="1576"/>
    <x v="738"/>
    <x v="716"/>
    <x v="711"/>
    <x v="1251"/>
    <x v="1"/>
    <x v="2"/>
    <x v="709"/>
    <x v="10"/>
    <x v="1"/>
    <x v="307"/>
    <x v="0"/>
    <x v="0"/>
    <x v="1"/>
    <x v="1"/>
    <x v="1"/>
    <x v="2"/>
    <x v="1"/>
    <x v="1"/>
    <x v="1"/>
    <x v="2"/>
    <x v="0"/>
    <x v="1"/>
    <x v="1"/>
    <x v="2"/>
    <x v="729"/>
    <x v="14"/>
    <x v="0"/>
    <x v="0"/>
    <x v="1"/>
    <x v="0"/>
    <x v="0"/>
    <x v="0"/>
    <x v="0"/>
  </r>
  <r>
    <x v="1577"/>
    <x v="739"/>
    <x v="717"/>
    <x v="712"/>
    <x v="1252"/>
    <x v="3"/>
    <x v="2"/>
    <x v="40"/>
    <x v="10"/>
    <x v="1"/>
    <x v="2"/>
    <x v="0"/>
    <x v="0"/>
    <x v="1"/>
    <x v="1"/>
    <x v="1"/>
    <x v="2"/>
    <x v="1"/>
    <x v="3"/>
    <x v="1"/>
    <x v="1"/>
    <x v="353"/>
    <x v="1"/>
    <x v="1"/>
    <x v="2"/>
    <x v="730"/>
    <x v="1"/>
    <x v="1"/>
    <x v="4"/>
    <x v="2"/>
    <x v="1"/>
    <x v="911"/>
    <x v="451"/>
    <x v="401"/>
  </r>
  <r>
    <x v="1578"/>
    <x v="739"/>
    <x v="717"/>
    <x v="712"/>
    <x v="1253"/>
    <x v="3"/>
    <x v="2"/>
    <x v="40"/>
    <x v="10"/>
    <x v="1"/>
    <x v="2"/>
    <x v="0"/>
    <x v="0"/>
    <x v="3"/>
    <x v="1"/>
    <x v="1"/>
    <x v="2"/>
    <x v="1"/>
    <x v="3"/>
    <x v="1"/>
    <x v="2"/>
    <x v="0"/>
    <x v="1"/>
    <x v="3"/>
    <x v="4"/>
    <x v="730"/>
    <x v="1"/>
    <x v="0"/>
    <x v="0"/>
    <x v="1"/>
    <x v="0"/>
    <x v="0"/>
    <x v="0"/>
    <x v="0"/>
  </r>
  <r>
    <x v="1579"/>
    <x v="740"/>
    <x v="718"/>
    <x v="713"/>
    <x v="1254"/>
    <x v="1"/>
    <x v="2"/>
    <x v="710"/>
    <x v="426"/>
    <x v="1"/>
    <x v="3"/>
    <x v="0"/>
    <x v="0"/>
    <x v="1"/>
    <x v="1"/>
    <x v="2"/>
    <x v="2"/>
    <x v="1"/>
    <x v="2"/>
    <x v="1"/>
    <x v="1"/>
    <x v="356"/>
    <x v="1"/>
    <x v="1"/>
    <x v="1"/>
    <x v="731"/>
    <x v="14"/>
    <x v="3"/>
    <x v="0"/>
    <x v="1"/>
    <x v="0"/>
    <x v="912"/>
    <x v="452"/>
    <x v="0"/>
  </r>
  <r>
    <x v="1580"/>
    <x v="509"/>
    <x v="501"/>
    <x v="493"/>
    <x v="0"/>
    <x v="1"/>
    <x v="3"/>
    <x v="513"/>
    <x v="375"/>
    <x v="1"/>
    <x v="8"/>
    <x v="0"/>
    <x v="0"/>
    <x v="3"/>
    <x v="1"/>
    <x v="1"/>
    <x v="2"/>
    <x v="1"/>
    <x v="2"/>
    <x v="1"/>
    <x v="2"/>
    <x v="0"/>
    <x v="2"/>
    <x v="3"/>
    <x v="4"/>
    <x v="503"/>
    <x v="5"/>
    <x v="0"/>
    <x v="0"/>
    <x v="1"/>
    <x v="0"/>
    <x v="0"/>
    <x v="0"/>
    <x v="0"/>
  </r>
  <r>
    <x v="1581"/>
    <x v="658"/>
    <x v="642"/>
    <x v="637"/>
    <x v="1255"/>
    <x v="3"/>
    <x v="1"/>
    <x v="638"/>
    <x v="10"/>
    <x v="1"/>
    <x v="31"/>
    <x v="0"/>
    <x v="0"/>
    <x v="1"/>
    <x v="2"/>
    <x v="3"/>
    <x v="2"/>
    <x v="1"/>
    <x v="2"/>
    <x v="1"/>
    <x v="1"/>
    <x v="354"/>
    <x v="1"/>
    <x v="1"/>
    <x v="2"/>
    <x v="652"/>
    <x v="14"/>
    <x v="3"/>
    <x v="0"/>
    <x v="1"/>
    <x v="0"/>
    <x v="913"/>
    <x v="453"/>
    <x v="402"/>
  </r>
  <r>
    <x v="1582"/>
    <x v="301"/>
    <x v="719"/>
    <x v="297"/>
    <x v="1256"/>
    <x v="1"/>
    <x v="2"/>
    <x v="315"/>
    <x v="384"/>
    <x v="6"/>
    <x v="0"/>
    <x v="0"/>
    <x v="10"/>
    <x v="1"/>
    <x v="3"/>
    <x v="3"/>
    <x v="2"/>
    <x v="1"/>
    <x v="2"/>
    <x v="1"/>
    <x v="1"/>
    <x v="354"/>
    <x v="1"/>
    <x v="5"/>
    <x v="3"/>
    <x v="303"/>
    <x v="14"/>
    <x v="3"/>
    <x v="0"/>
    <x v="1"/>
    <x v="0"/>
    <x v="914"/>
    <x v="454"/>
    <x v="403"/>
  </r>
  <r>
    <x v="1583"/>
    <x v="729"/>
    <x v="707"/>
    <x v="702"/>
    <x v="1257"/>
    <x v="1"/>
    <x v="2"/>
    <x v="701"/>
    <x v="535"/>
    <x v="1"/>
    <x v="4"/>
    <x v="0"/>
    <x v="0"/>
    <x v="1"/>
    <x v="1"/>
    <x v="1"/>
    <x v="2"/>
    <x v="1"/>
    <x v="2"/>
    <x v="1"/>
    <x v="1"/>
    <x v="355"/>
    <x v="1"/>
    <x v="5"/>
    <x v="2"/>
    <x v="719"/>
    <x v="5"/>
    <x v="1"/>
    <x v="1"/>
    <x v="1"/>
    <x v="0"/>
    <x v="915"/>
    <x v="0"/>
    <x v="0"/>
  </r>
  <r>
    <x v="1584"/>
    <x v="729"/>
    <x v="707"/>
    <x v="702"/>
    <x v="1257"/>
    <x v="1"/>
    <x v="2"/>
    <x v="701"/>
    <x v="535"/>
    <x v="1"/>
    <x v="4"/>
    <x v="0"/>
    <x v="0"/>
    <x v="3"/>
    <x v="1"/>
    <x v="1"/>
    <x v="2"/>
    <x v="1"/>
    <x v="2"/>
    <x v="1"/>
    <x v="2"/>
    <x v="0"/>
    <x v="1"/>
    <x v="3"/>
    <x v="4"/>
    <x v="719"/>
    <x v="5"/>
    <x v="0"/>
    <x v="0"/>
    <x v="1"/>
    <x v="0"/>
    <x v="0"/>
    <x v="0"/>
    <x v="0"/>
  </r>
  <r>
    <x v="1585"/>
    <x v="741"/>
    <x v="720"/>
    <x v="714"/>
    <x v="1258"/>
    <x v="3"/>
    <x v="2"/>
    <x v="711"/>
    <x v="352"/>
    <x v="1"/>
    <x v="308"/>
    <x v="0"/>
    <x v="0"/>
    <x v="1"/>
    <x v="1"/>
    <x v="1"/>
    <x v="2"/>
    <x v="1"/>
    <x v="2"/>
    <x v="1"/>
    <x v="1"/>
    <x v="354"/>
    <x v="1"/>
    <x v="6"/>
    <x v="3"/>
    <x v="732"/>
    <x v="3"/>
    <x v="1"/>
    <x v="3"/>
    <x v="1"/>
    <x v="0"/>
    <x v="916"/>
    <x v="0"/>
    <x v="404"/>
  </r>
  <r>
    <x v="1586"/>
    <x v="742"/>
    <x v="721"/>
    <x v="715"/>
    <x v="1259"/>
    <x v="1"/>
    <x v="3"/>
    <x v="712"/>
    <x v="384"/>
    <x v="6"/>
    <x v="0"/>
    <x v="0"/>
    <x v="34"/>
    <x v="1"/>
    <x v="1"/>
    <x v="2"/>
    <x v="2"/>
    <x v="1"/>
    <x v="2"/>
    <x v="1"/>
    <x v="1"/>
    <x v="357"/>
    <x v="1"/>
    <x v="6"/>
    <x v="3"/>
    <x v="733"/>
    <x v="14"/>
    <x v="3"/>
    <x v="0"/>
    <x v="1"/>
    <x v="0"/>
    <x v="917"/>
    <x v="455"/>
    <x v="0"/>
  </r>
  <r>
    <x v="1587"/>
    <x v="743"/>
    <x v="633"/>
    <x v="627"/>
    <x v="1260"/>
    <x v="1"/>
    <x v="2"/>
    <x v="631"/>
    <x v="10"/>
    <x v="1"/>
    <x v="22"/>
    <x v="0"/>
    <x v="0"/>
    <x v="1"/>
    <x v="1"/>
    <x v="3"/>
    <x v="2"/>
    <x v="1"/>
    <x v="2"/>
    <x v="1"/>
    <x v="1"/>
    <x v="356"/>
    <x v="1"/>
    <x v="6"/>
    <x v="3"/>
    <x v="643"/>
    <x v="14"/>
    <x v="1"/>
    <x v="1"/>
    <x v="1"/>
    <x v="0"/>
    <x v="918"/>
    <x v="0"/>
    <x v="0"/>
  </r>
  <r>
    <x v="1588"/>
    <x v="744"/>
    <x v="722"/>
    <x v="716"/>
    <x v="1261"/>
    <x v="1"/>
    <x v="1"/>
    <x v="713"/>
    <x v="196"/>
    <x v="6"/>
    <x v="0"/>
    <x v="0"/>
    <x v="10"/>
    <x v="1"/>
    <x v="1"/>
    <x v="1"/>
    <x v="2"/>
    <x v="2"/>
    <x v="2"/>
    <x v="1"/>
    <x v="1"/>
    <x v="358"/>
    <x v="1"/>
    <x v="6"/>
    <x v="2"/>
    <x v="734"/>
    <x v="12"/>
    <x v="1"/>
    <x v="3"/>
    <x v="2"/>
    <x v="1"/>
    <x v="919"/>
    <x v="0"/>
    <x v="405"/>
  </r>
  <r>
    <x v="1589"/>
    <x v="745"/>
    <x v="723"/>
    <x v="717"/>
    <x v="1262"/>
    <x v="1"/>
    <x v="2"/>
    <x v="714"/>
    <x v="533"/>
    <x v="1"/>
    <x v="3"/>
    <x v="0"/>
    <x v="0"/>
    <x v="1"/>
    <x v="1"/>
    <x v="1"/>
    <x v="2"/>
    <x v="1"/>
    <x v="2"/>
    <x v="1"/>
    <x v="2"/>
    <x v="0"/>
    <x v="1"/>
    <x v="6"/>
    <x v="2"/>
    <x v="735"/>
    <x v="12"/>
    <x v="0"/>
    <x v="0"/>
    <x v="1"/>
    <x v="0"/>
    <x v="0"/>
    <x v="0"/>
    <x v="0"/>
  </r>
  <r>
    <x v="1590"/>
    <x v="743"/>
    <x v="633"/>
    <x v="627"/>
    <x v="0"/>
    <x v="1"/>
    <x v="2"/>
    <x v="631"/>
    <x v="541"/>
    <x v="1"/>
    <x v="22"/>
    <x v="0"/>
    <x v="0"/>
    <x v="3"/>
    <x v="1"/>
    <x v="1"/>
    <x v="2"/>
    <x v="1"/>
    <x v="2"/>
    <x v="1"/>
    <x v="1"/>
    <x v="359"/>
    <x v="2"/>
    <x v="3"/>
    <x v="4"/>
    <x v="643"/>
    <x v="5"/>
    <x v="0"/>
    <x v="0"/>
    <x v="1"/>
    <x v="0"/>
    <x v="498"/>
    <x v="0"/>
    <x v="0"/>
  </r>
  <r>
    <x v="1591"/>
    <x v="746"/>
    <x v="724"/>
    <x v="718"/>
    <x v="1263"/>
    <x v="3"/>
    <x v="2"/>
    <x v="715"/>
    <x v="280"/>
    <x v="1"/>
    <x v="9"/>
    <x v="0"/>
    <x v="0"/>
    <x v="1"/>
    <x v="4"/>
    <x v="1"/>
    <x v="2"/>
    <x v="1"/>
    <x v="3"/>
    <x v="1"/>
    <x v="1"/>
    <x v="360"/>
    <x v="1"/>
    <x v="1"/>
    <x v="2"/>
    <x v="736"/>
    <x v="15"/>
    <x v="4"/>
    <x v="5"/>
    <x v="2"/>
    <x v="1"/>
    <x v="920"/>
    <x v="0"/>
    <x v="0"/>
  </r>
  <r>
    <x v="1592"/>
    <x v="747"/>
    <x v="725"/>
    <x v="719"/>
    <x v="1264"/>
    <x v="3"/>
    <x v="2"/>
    <x v="716"/>
    <x v="542"/>
    <x v="1"/>
    <x v="15"/>
    <x v="0"/>
    <x v="0"/>
    <x v="1"/>
    <x v="1"/>
    <x v="1"/>
    <x v="2"/>
    <x v="1"/>
    <x v="2"/>
    <x v="1"/>
    <x v="2"/>
    <x v="0"/>
    <x v="1"/>
    <x v="1"/>
    <x v="2"/>
    <x v="737"/>
    <x v="15"/>
    <x v="0"/>
    <x v="0"/>
    <x v="1"/>
    <x v="0"/>
    <x v="0"/>
    <x v="0"/>
    <x v="0"/>
  </r>
  <r>
    <x v="1593"/>
    <x v="438"/>
    <x v="434"/>
    <x v="429"/>
    <x v="1265"/>
    <x v="1"/>
    <x v="2"/>
    <x v="444"/>
    <x v="339"/>
    <x v="1"/>
    <x v="33"/>
    <x v="0"/>
    <x v="0"/>
    <x v="1"/>
    <x v="3"/>
    <x v="2"/>
    <x v="2"/>
    <x v="1"/>
    <x v="3"/>
    <x v="1"/>
    <x v="2"/>
    <x v="0"/>
    <x v="2"/>
    <x v="1"/>
    <x v="2"/>
    <x v="437"/>
    <x v="2"/>
    <x v="0"/>
    <x v="0"/>
    <x v="1"/>
    <x v="0"/>
    <x v="0"/>
    <x v="0"/>
    <x v="406"/>
  </r>
  <r>
    <x v="1594"/>
    <x v="748"/>
    <x v="726"/>
    <x v="720"/>
    <x v="1266"/>
    <x v="1"/>
    <x v="2"/>
    <x v="717"/>
    <x v="543"/>
    <x v="2"/>
    <x v="0"/>
    <x v="2"/>
    <x v="0"/>
    <x v="1"/>
    <x v="3"/>
    <x v="3"/>
    <x v="2"/>
    <x v="1"/>
    <x v="2"/>
    <x v="1"/>
    <x v="1"/>
    <x v="360"/>
    <x v="1"/>
    <x v="5"/>
    <x v="2"/>
    <x v="738"/>
    <x v="5"/>
    <x v="3"/>
    <x v="0"/>
    <x v="1"/>
    <x v="0"/>
    <x v="921"/>
    <x v="456"/>
    <x v="0"/>
  </r>
  <r>
    <x v="1595"/>
    <x v="741"/>
    <x v="720"/>
    <x v="714"/>
    <x v="0"/>
    <x v="3"/>
    <x v="2"/>
    <x v="711"/>
    <x v="352"/>
    <x v="1"/>
    <x v="308"/>
    <x v="0"/>
    <x v="0"/>
    <x v="3"/>
    <x v="1"/>
    <x v="1"/>
    <x v="2"/>
    <x v="1"/>
    <x v="2"/>
    <x v="1"/>
    <x v="2"/>
    <x v="0"/>
    <x v="1"/>
    <x v="3"/>
    <x v="4"/>
    <x v="732"/>
    <x v="3"/>
    <x v="0"/>
    <x v="0"/>
    <x v="1"/>
    <x v="0"/>
    <x v="0"/>
    <x v="0"/>
    <x v="0"/>
  </r>
  <r>
    <x v="1596"/>
    <x v="327"/>
    <x v="327"/>
    <x v="322"/>
    <x v="1267"/>
    <x v="3"/>
    <x v="2"/>
    <x v="341"/>
    <x v="544"/>
    <x v="1"/>
    <x v="309"/>
    <x v="0"/>
    <x v="0"/>
    <x v="1"/>
    <x v="2"/>
    <x v="3"/>
    <x v="2"/>
    <x v="1"/>
    <x v="2"/>
    <x v="1"/>
    <x v="1"/>
    <x v="358"/>
    <x v="1"/>
    <x v="1"/>
    <x v="2"/>
    <x v="329"/>
    <x v="1"/>
    <x v="1"/>
    <x v="14"/>
    <x v="1"/>
    <x v="0"/>
    <x v="922"/>
    <x v="0"/>
    <x v="407"/>
  </r>
  <r>
    <x v="1597"/>
    <x v="749"/>
    <x v="727"/>
    <x v="721"/>
    <x v="1268"/>
    <x v="1"/>
    <x v="2"/>
    <x v="718"/>
    <x v="545"/>
    <x v="1"/>
    <x v="2"/>
    <x v="0"/>
    <x v="0"/>
    <x v="1"/>
    <x v="1"/>
    <x v="1"/>
    <x v="2"/>
    <x v="1"/>
    <x v="3"/>
    <x v="1"/>
    <x v="1"/>
    <x v="361"/>
    <x v="1"/>
    <x v="5"/>
    <x v="2"/>
    <x v="739"/>
    <x v="3"/>
    <x v="0"/>
    <x v="0"/>
    <x v="1"/>
    <x v="0"/>
    <x v="0"/>
    <x v="0"/>
    <x v="0"/>
  </r>
  <r>
    <x v="1598"/>
    <x v="327"/>
    <x v="327"/>
    <x v="322"/>
    <x v="0"/>
    <x v="3"/>
    <x v="2"/>
    <x v="341"/>
    <x v="544"/>
    <x v="1"/>
    <x v="310"/>
    <x v="0"/>
    <x v="0"/>
    <x v="3"/>
    <x v="4"/>
    <x v="1"/>
    <x v="2"/>
    <x v="1"/>
    <x v="2"/>
    <x v="1"/>
    <x v="2"/>
    <x v="0"/>
    <x v="2"/>
    <x v="3"/>
    <x v="4"/>
    <x v="329"/>
    <x v="15"/>
    <x v="0"/>
    <x v="0"/>
    <x v="1"/>
    <x v="0"/>
    <x v="0"/>
    <x v="0"/>
    <x v="0"/>
  </r>
  <r>
    <x v="1599"/>
    <x v="744"/>
    <x v="722"/>
    <x v="716"/>
    <x v="1269"/>
    <x v="1"/>
    <x v="1"/>
    <x v="713"/>
    <x v="196"/>
    <x v="6"/>
    <x v="0"/>
    <x v="0"/>
    <x v="10"/>
    <x v="3"/>
    <x v="1"/>
    <x v="1"/>
    <x v="2"/>
    <x v="1"/>
    <x v="2"/>
    <x v="1"/>
    <x v="1"/>
    <x v="361"/>
    <x v="1"/>
    <x v="3"/>
    <x v="4"/>
    <x v="734"/>
    <x v="3"/>
    <x v="0"/>
    <x v="0"/>
    <x v="1"/>
    <x v="0"/>
    <x v="0"/>
    <x v="0"/>
    <x v="0"/>
  </r>
  <r>
    <x v="1600"/>
    <x v="750"/>
    <x v="728"/>
    <x v="722"/>
    <x v="1270"/>
    <x v="1"/>
    <x v="2"/>
    <x v="719"/>
    <x v="546"/>
    <x v="1"/>
    <x v="3"/>
    <x v="0"/>
    <x v="0"/>
    <x v="1"/>
    <x v="3"/>
    <x v="2"/>
    <x v="1"/>
    <x v="1"/>
    <x v="3"/>
    <x v="1"/>
    <x v="1"/>
    <x v="361"/>
    <x v="1"/>
    <x v="1"/>
    <x v="2"/>
    <x v="740"/>
    <x v="15"/>
    <x v="0"/>
    <x v="0"/>
    <x v="1"/>
    <x v="0"/>
    <x v="0"/>
    <x v="0"/>
    <x v="0"/>
  </r>
  <r>
    <x v="1601"/>
    <x v="751"/>
    <x v="729"/>
    <x v="723"/>
    <x v="1271"/>
    <x v="1"/>
    <x v="1"/>
    <x v="720"/>
    <x v="547"/>
    <x v="1"/>
    <x v="1"/>
    <x v="0"/>
    <x v="0"/>
    <x v="1"/>
    <x v="2"/>
    <x v="3"/>
    <x v="2"/>
    <x v="1"/>
    <x v="2"/>
    <x v="1"/>
    <x v="1"/>
    <x v="359"/>
    <x v="1"/>
    <x v="1"/>
    <x v="2"/>
    <x v="741"/>
    <x v="3"/>
    <x v="0"/>
    <x v="0"/>
    <x v="1"/>
    <x v="0"/>
    <x v="0"/>
    <x v="0"/>
    <x v="0"/>
  </r>
  <r>
    <x v="1602"/>
    <x v="752"/>
    <x v="730"/>
    <x v="724"/>
    <x v="1272"/>
    <x v="1"/>
    <x v="2"/>
    <x v="721"/>
    <x v="340"/>
    <x v="2"/>
    <x v="0"/>
    <x v="2"/>
    <x v="0"/>
    <x v="1"/>
    <x v="3"/>
    <x v="2"/>
    <x v="1"/>
    <x v="1"/>
    <x v="3"/>
    <x v="1"/>
    <x v="1"/>
    <x v="359"/>
    <x v="2"/>
    <x v="1"/>
    <x v="2"/>
    <x v="742"/>
    <x v="2"/>
    <x v="0"/>
    <x v="0"/>
    <x v="1"/>
    <x v="0"/>
    <x v="0"/>
    <x v="0"/>
    <x v="0"/>
  </r>
  <r>
    <x v="1603"/>
    <x v="0"/>
    <x v="0"/>
    <x v="0"/>
    <x v="0"/>
    <x v="0"/>
    <x v="0"/>
    <x v="0"/>
    <x v="0"/>
    <x v="0"/>
    <x v="0"/>
    <x v="0"/>
    <x v="0"/>
    <x v="0"/>
    <x v="0"/>
    <x v="0"/>
    <x v="0"/>
    <x v="0"/>
    <x v="0"/>
    <x v="0"/>
    <x v="0"/>
    <x v="0"/>
    <x v="0"/>
    <x v="0"/>
    <x v="0"/>
    <x v="0"/>
    <x v="0"/>
    <x v="0"/>
    <x v="0"/>
    <x v="1"/>
    <x v="0"/>
    <x v="0"/>
    <x v="457"/>
    <x v="0"/>
  </r>
  <r>
    <x v="1604"/>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408"/>
  </r>
  <r>
    <x v="1603"/>
    <x v="0"/>
    <x v="0"/>
    <x v="0"/>
    <x v="0"/>
    <x v="0"/>
    <x v="0"/>
    <x v="0"/>
    <x v="0"/>
    <x v="0"/>
    <x v="0"/>
    <x v="0"/>
    <x v="0"/>
    <x v="0"/>
    <x v="0"/>
    <x v="0"/>
    <x v="0"/>
    <x v="0"/>
    <x v="0"/>
    <x v="0"/>
    <x v="0"/>
    <x v="0"/>
    <x v="0"/>
    <x v="0"/>
    <x v="0"/>
    <x v="0"/>
    <x v="21"/>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753"/>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r>
    <x v="1603"/>
    <x v="0"/>
    <x v="0"/>
    <x v="0"/>
    <x v="0"/>
    <x v="0"/>
    <x v="0"/>
    <x v="0"/>
    <x v="0"/>
    <x v="0"/>
    <x v="0"/>
    <x v="0"/>
    <x v="0"/>
    <x v="0"/>
    <x v="0"/>
    <x v="0"/>
    <x v="0"/>
    <x v="0"/>
    <x v="0"/>
    <x v="0"/>
    <x v="0"/>
    <x v="0"/>
    <x v="0"/>
    <x v="0"/>
    <x v="0"/>
    <x v="0"/>
    <x v="0"/>
    <x v="0"/>
    <x v="0"/>
    <x v="1"/>
    <x v="0"/>
    <x v="0"/>
    <x v="0"/>
    <x v="0"/>
  </r>
</pivotCacheRecords>
</file>

<file path=xl/pivotCache/pivotCacheRecords6.xml><?xml version="1.0" encoding="utf-8"?>
<pivotCacheRecords xmlns="http://schemas.openxmlformats.org/spreadsheetml/2006/main" xmlns:r="http://schemas.openxmlformats.org/officeDocument/2006/relationships" count="503">
  <r>
    <x v="0"/>
    <x v="0"/>
    <x v="0"/>
    <x v="0"/>
    <x v="0"/>
  </r>
  <r>
    <x v="1"/>
    <x v="1"/>
    <x v="1"/>
    <x v="1"/>
    <x v="0"/>
  </r>
  <r>
    <x v="2"/>
    <x v="1"/>
    <x v="2"/>
    <x v="1"/>
    <x v="0"/>
  </r>
  <r>
    <x v="3"/>
    <x v="2"/>
    <x v="3"/>
    <x v="2"/>
    <x v="0"/>
  </r>
  <r>
    <x v="4"/>
    <x v="1"/>
    <x v="4"/>
    <x v="2"/>
    <x v="0"/>
  </r>
  <r>
    <x v="5"/>
    <x v="2"/>
    <x v="5"/>
    <x v="2"/>
    <x v="0"/>
  </r>
  <r>
    <x v="6"/>
    <x v="2"/>
    <x v="6"/>
    <x v="2"/>
    <x v="0"/>
  </r>
  <r>
    <x v="7"/>
    <x v="2"/>
    <x v="7"/>
    <x v="1"/>
    <x v="0"/>
  </r>
  <r>
    <x v="8"/>
    <x v="1"/>
    <x v="8"/>
    <x v="2"/>
    <x v="0"/>
  </r>
  <r>
    <x v="9"/>
    <x v="2"/>
    <x v="9"/>
    <x v="2"/>
    <x v="0"/>
  </r>
  <r>
    <x v="10"/>
    <x v="1"/>
    <x v="10"/>
    <x v="2"/>
    <x v="0"/>
  </r>
  <r>
    <x v="11"/>
    <x v="1"/>
    <x v="11"/>
    <x v="2"/>
    <x v="0"/>
  </r>
  <r>
    <x v="12"/>
    <x v="1"/>
    <x v="12"/>
    <x v="2"/>
    <x v="0"/>
  </r>
  <r>
    <x v="13"/>
    <x v="2"/>
    <x v="13"/>
    <x v="2"/>
    <x v="0"/>
  </r>
  <r>
    <x v="14"/>
    <x v="3"/>
    <x v="14"/>
    <x v="2"/>
    <x v="0"/>
  </r>
  <r>
    <x v="15"/>
    <x v="3"/>
    <x v="15"/>
    <x v="2"/>
    <x v="0"/>
  </r>
  <r>
    <x v="16"/>
    <x v="3"/>
    <x v="16"/>
    <x v="2"/>
    <x v="0"/>
  </r>
  <r>
    <x v="17"/>
    <x v="3"/>
    <x v="17"/>
    <x v="2"/>
    <x v="0"/>
  </r>
  <r>
    <x v="9"/>
    <x v="0"/>
    <x v="18"/>
    <x v="3"/>
    <x v="1"/>
  </r>
  <r>
    <x v="9"/>
    <x v="2"/>
    <x v="19"/>
    <x v="2"/>
    <x v="0"/>
  </r>
  <r>
    <x v="18"/>
    <x v="1"/>
    <x v="20"/>
    <x v="2"/>
    <x v="0"/>
  </r>
  <r>
    <x v="19"/>
    <x v="0"/>
    <x v="21"/>
    <x v="3"/>
    <x v="2"/>
  </r>
  <r>
    <x v="20"/>
    <x v="1"/>
    <x v="22"/>
    <x v="2"/>
    <x v="3"/>
  </r>
  <r>
    <x v="21"/>
    <x v="1"/>
    <x v="23"/>
    <x v="2"/>
    <x v="4"/>
  </r>
  <r>
    <x v="22"/>
    <x v="1"/>
    <x v="24"/>
    <x v="2"/>
    <x v="0"/>
  </r>
  <r>
    <x v="23"/>
    <x v="1"/>
    <x v="25"/>
    <x v="1"/>
    <x v="4"/>
  </r>
  <r>
    <x v="24"/>
    <x v="2"/>
    <x v="26"/>
    <x v="2"/>
    <x v="0"/>
  </r>
  <r>
    <x v="25"/>
    <x v="2"/>
    <x v="27"/>
    <x v="2"/>
    <x v="5"/>
  </r>
  <r>
    <x v="26"/>
    <x v="2"/>
    <x v="28"/>
    <x v="2"/>
    <x v="4"/>
  </r>
  <r>
    <x v="27"/>
    <x v="2"/>
    <x v="29"/>
    <x v="2"/>
    <x v="4"/>
  </r>
  <r>
    <x v="28"/>
    <x v="2"/>
    <x v="30"/>
    <x v="2"/>
    <x v="4"/>
  </r>
  <r>
    <x v="29"/>
    <x v="2"/>
    <x v="31"/>
    <x v="2"/>
    <x v="0"/>
  </r>
  <r>
    <x v="20"/>
    <x v="2"/>
    <x v="32"/>
    <x v="2"/>
    <x v="0"/>
  </r>
  <r>
    <x v="30"/>
    <x v="2"/>
    <x v="33"/>
    <x v="2"/>
    <x v="0"/>
  </r>
  <r>
    <x v="31"/>
    <x v="2"/>
    <x v="34"/>
    <x v="2"/>
    <x v="0"/>
  </r>
  <r>
    <x v="32"/>
    <x v="2"/>
    <x v="35"/>
    <x v="2"/>
    <x v="0"/>
  </r>
  <r>
    <x v="33"/>
    <x v="2"/>
    <x v="36"/>
    <x v="2"/>
    <x v="0"/>
  </r>
  <r>
    <x v="34"/>
    <x v="2"/>
    <x v="37"/>
    <x v="2"/>
    <x v="0"/>
  </r>
  <r>
    <x v="35"/>
    <x v="2"/>
    <x v="38"/>
    <x v="2"/>
    <x v="0"/>
  </r>
  <r>
    <x v="36"/>
    <x v="2"/>
    <x v="39"/>
    <x v="2"/>
    <x v="0"/>
  </r>
  <r>
    <x v="37"/>
    <x v="2"/>
    <x v="40"/>
    <x v="2"/>
    <x v="0"/>
  </r>
  <r>
    <x v="38"/>
    <x v="2"/>
    <x v="41"/>
    <x v="2"/>
    <x v="0"/>
  </r>
  <r>
    <x v="39"/>
    <x v="2"/>
    <x v="42"/>
    <x v="2"/>
    <x v="6"/>
  </r>
  <r>
    <x v="40"/>
    <x v="2"/>
    <x v="43"/>
    <x v="2"/>
    <x v="0"/>
  </r>
  <r>
    <x v="41"/>
    <x v="1"/>
    <x v="44"/>
    <x v="1"/>
    <x v="7"/>
  </r>
  <r>
    <x v="42"/>
    <x v="2"/>
    <x v="45"/>
    <x v="2"/>
    <x v="0"/>
  </r>
  <r>
    <x v="43"/>
    <x v="2"/>
    <x v="46"/>
    <x v="2"/>
    <x v="0"/>
  </r>
  <r>
    <x v="44"/>
    <x v="2"/>
    <x v="47"/>
    <x v="2"/>
    <x v="0"/>
  </r>
  <r>
    <x v="45"/>
    <x v="2"/>
    <x v="48"/>
    <x v="2"/>
    <x v="0"/>
  </r>
  <r>
    <x v="46"/>
    <x v="2"/>
    <x v="49"/>
    <x v="2"/>
    <x v="8"/>
  </r>
  <r>
    <x v="47"/>
    <x v="2"/>
    <x v="50"/>
    <x v="2"/>
    <x v="9"/>
  </r>
  <r>
    <x v="48"/>
    <x v="2"/>
    <x v="51"/>
    <x v="2"/>
    <x v="0"/>
  </r>
  <r>
    <x v="49"/>
    <x v="2"/>
    <x v="52"/>
    <x v="2"/>
    <x v="10"/>
  </r>
  <r>
    <x v="50"/>
    <x v="2"/>
    <x v="53"/>
    <x v="2"/>
    <x v="0"/>
  </r>
  <r>
    <x v="51"/>
    <x v="2"/>
    <x v="54"/>
    <x v="2"/>
    <x v="0"/>
  </r>
  <r>
    <x v="52"/>
    <x v="2"/>
    <x v="55"/>
    <x v="2"/>
    <x v="11"/>
  </r>
  <r>
    <x v="27"/>
    <x v="2"/>
    <x v="56"/>
    <x v="2"/>
    <x v="0"/>
  </r>
  <r>
    <x v="53"/>
    <x v="2"/>
    <x v="57"/>
    <x v="2"/>
    <x v="0"/>
  </r>
  <r>
    <x v="54"/>
    <x v="2"/>
    <x v="58"/>
    <x v="2"/>
    <x v="0"/>
  </r>
  <r>
    <x v="55"/>
    <x v="2"/>
    <x v="59"/>
    <x v="2"/>
    <x v="0"/>
  </r>
  <r>
    <x v="29"/>
    <x v="2"/>
    <x v="60"/>
    <x v="2"/>
    <x v="0"/>
  </r>
  <r>
    <x v="56"/>
    <x v="2"/>
    <x v="61"/>
    <x v="2"/>
    <x v="0"/>
  </r>
  <r>
    <x v="57"/>
    <x v="2"/>
    <x v="62"/>
    <x v="2"/>
    <x v="0"/>
  </r>
  <r>
    <x v="58"/>
    <x v="2"/>
    <x v="63"/>
    <x v="1"/>
    <x v="0"/>
  </r>
  <r>
    <x v="59"/>
    <x v="2"/>
    <x v="64"/>
    <x v="2"/>
    <x v="12"/>
  </r>
  <r>
    <x v="60"/>
    <x v="2"/>
    <x v="65"/>
    <x v="2"/>
    <x v="0"/>
  </r>
  <r>
    <x v="61"/>
    <x v="1"/>
    <x v="66"/>
    <x v="2"/>
    <x v="0"/>
  </r>
  <r>
    <x v="62"/>
    <x v="1"/>
    <x v="67"/>
    <x v="2"/>
    <x v="0"/>
  </r>
  <r>
    <x v="63"/>
    <x v="1"/>
    <x v="68"/>
    <x v="2"/>
    <x v="0"/>
  </r>
  <r>
    <x v="64"/>
    <x v="1"/>
    <x v="69"/>
    <x v="2"/>
    <x v="0"/>
  </r>
  <r>
    <x v="65"/>
    <x v="1"/>
    <x v="70"/>
    <x v="1"/>
    <x v="0"/>
  </r>
  <r>
    <x v="66"/>
    <x v="1"/>
    <x v="71"/>
    <x v="2"/>
    <x v="13"/>
  </r>
  <r>
    <x v="67"/>
    <x v="1"/>
    <x v="72"/>
    <x v="2"/>
    <x v="0"/>
  </r>
  <r>
    <x v="68"/>
    <x v="1"/>
    <x v="73"/>
    <x v="2"/>
    <x v="0"/>
  </r>
  <r>
    <x v="69"/>
    <x v="1"/>
    <x v="74"/>
    <x v="2"/>
    <x v="0"/>
  </r>
  <r>
    <x v="70"/>
    <x v="1"/>
    <x v="75"/>
    <x v="2"/>
    <x v="0"/>
  </r>
  <r>
    <x v="71"/>
    <x v="1"/>
    <x v="76"/>
    <x v="2"/>
    <x v="0"/>
  </r>
  <r>
    <x v="72"/>
    <x v="1"/>
    <x v="77"/>
    <x v="2"/>
    <x v="0"/>
  </r>
  <r>
    <x v="73"/>
    <x v="1"/>
    <x v="78"/>
    <x v="2"/>
    <x v="0"/>
  </r>
  <r>
    <x v="74"/>
    <x v="1"/>
    <x v="79"/>
    <x v="2"/>
    <x v="0"/>
  </r>
  <r>
    <x v="75"/>
    <x v="1"/>
    <x v="80"/>
    <x v="2"/>
    <x v="0"/>
  </r>
  <r>
    <x v="76"/>
    <x v="1"/>
    <x v="81"/>
    <x v="1"/>
    <x v="0"/>
  </r>
  <r>
    <x v="77"/>
    <x v="1"/>
    <x v="82"/>
    <x v="2"/>
    <x v="0"/>
  </r>
  <r>
    <x v="78"/>
    <x v="1"/>
    <x v="83"/>
    <x v="2"/>
    <x v="14"/>
  </r>
  <r>
    <x v="79"/>
    <x v="1"/>
    <x v="84"/>
    <x v="2"/>
    <x v="0"/>
  </r>
  <r>
    <x v="80"/>
    <x v="1"/>
    <x v="85"/>
    <x v="2"/>
    <x v="0"/>
  </r>
  <r>
    <x v="81"/>
    <x v="2"/>
    <x v="86"/>
    <x v="2"/>
    <x v="0"/>
  </r>
  <r>
    <x v="82"/>
    <x v="2"/>
    <x v="86"/>
    <x v="2"/>
    <x v="0"/>
  </r>
  <r>
    <x v="83"/>
    <x v="2"/>
    <x v="87"/>
    <x v="2"/>
    <x v="0"/>
  </r>
  <r>
    <x v="84"/>
    <x v="2"/>
    <x v="88"/>
    <x v="2"/>
    <x v="0"/>
  </r>
  <r>
    <x v="30"/>
    <x v="2"/>
    <x v="89"/>
    <x v="2"/>
    <x v="0"/>
  </r>
  <r>
    <x v="85"/>
    <x v="2"/>
    <x v="90"/>
    <x v="1"/>
    <x v="0"/>
  </r>
  <r>
    <x v="86"/>
    <x v="2"/>
    <x v="91"/>
    <x v="2"/>
    <x v="0"/>
  </r>
  <r>
    <x v="87"/>
    <x v="2"/>
    <x v="92"/>
    <x v="2"/>
    <x v="0"/>
  </r>
  <r>
    <x v="86"/>
    <x v="1"/>
    <x v="93"/>
    <x v="2"/>
    <x v="0"/>
  </r>
  <r>
    <x v="88"/>
    <x v="1"/>
    <x v="94"/>
    <x v="2"/>
    <x v="0"/>
  </r>
  <r>
    <x v="89"/>
    <x v="1"/>
    <x v="95"/>
    <x v="2"/>
    <x v="0"/>
  </r>
  <r>
    <x v="90"/>
    <x v="1"/>
    <x v="96"/>
    <x v="2"/>
    <x v="0"/>
  </r>
  <r>
    <x v="91"/>
    <x v="1"/>
    <x v="97"/>
    <x v="2"/>
    <x v="0"/>
  </r>
  <r>
    <x v="92"/>
    <x v="1"/>
    <x v="98"/>
    <x v="1"/>
    <x v="0"/>
  </r>
  <r>
    <x v="93"/>
    <x v="1"/>
    <x v="99"/>
    <x v="2"/>
    <x v="0"/>
  </r>
  <r>
    <x v="94"/>
    <x v="2"/>
    <x v="100"/>
    <x v="2"/>
    <x v="0"/>
  </r>
  <r>
    <x v="95"/>
    <x v="2"/>
    <x v="101"/>
    <x v="1"/>
    <x v="0"/>
  </r>
  <r>
    <x v="96"/>
    <x v="2"/>
    <x v="0"/>
    <x v="2"/>
    <x v="15"/>
  </r>
  <r>
    <x v="97"/>
    <x v="2"/>
    <x v="102"/>
    <x v="2"/>
    <x v="0"/>
  </r>
  <r>
    <x v="98"/>
    <x v="2"/>
    <x v="103"/>
    <x v="2"/>
    <x v="16"/>
  </r>
  <r>
    <x v="91"/>
    <x v="2"/>
    <x v="104"/>
    <x v="2"/>
    <x v="0"/>
  </r>
  <r>
    <x v="99"/>
    <x v="2"/>
    <x v="105"/>
    <x v="2"/>
    <x v="0"/>
  </r>
  <r>
    <x v="100"/>
    <x v="2"/>
    <x v="106"/>
    <x v="2"/>
    <x v="0"/>
  </r>
  <r>
    <x v="101"/>
    <x v="2"/>
    <x v="107"/>
    <x v="2"/>
    <x v="0"/>
  </r>
  <r>
    <x v="102"/>
    <x v="2"/>
    <x v="108"/>
    <x v="2"/>
    <x v="17"/>
  </r>
  <r>
    <x v="103"/>
    <x v="2"/>
    <x v="109"/>
    <x v="2"/>
    <x v="0"/>
  </r>
  <r>
    <x v="91"/>
    <x v="2"/>
    <x v="110"/>
    <x v="2"/>
    <x v="0"/>
  </r>
  <r>
    <x v="104"/>
    <x v="2"/>
    <x v="111"/>
    <x v="2"/>
    <x v="0"/>
  </r>
  <r>
    <x v="105"/>
    <x v="2"/>
    <x v="112"/>
    <x v="1"/>
    <x v="0"/>
  </r>
  <r>
    <x v="106"/>
    <x v="2"/>
    <x v="113"/>
    <x v="2"/>
    <x v="0"/>
  </r>
  <r>
    <x v="75"/>
    <x v="2"/>
    <x v="114"/>
    <x v="2"/>
    <x v="0"/>
  </r>
  <r>
    <x v="15"/>
    <x v="2"/>
    <x v="115"/>
    <x v="2"/>
    <x v="0"/>
  </r>
  <r>
    <x v="107"/>
    <x v="2"/>
    <x v="116"/>
    <x v="2"/>
    <x v="0"/>
  </r>
  <r>
    <x v="108"/>
    <x v="2"/>
    <x v="117"/>
    <x v="2"/>
    <x v="18"/>
  </r>
  <r>
    <x v="109"/>
    <x v="1"/>
    <x v="118"/>
    <x v="2"/>
    <x v="0"/>
  </r>
  <r>
    <x v="25"/>
    <x v="1"/>
    <x v="119"/>
    <x v="2"/>
    <x v="0"/>
  </r>
  <r>
    <x v="91"/>
    <x v="1"/>
    <x v="120"/>
    <x v="2"/>
    <x v="0"/>
  </r>
  <r>
    <x v="110"/>
    <x v="1"/>
    <x v="121"/>
    <x v="2"/>
    <x v="0"/>
  </r>
  <r>
    <x v="111"/>
    <x v="1"/>
    <x v="122"/>
    <x v="2"/>
    <x v="0"/>
  </r>
  <r>
    <x v="112"/>
    <x v="1"/>
    <x v="123"/>
    <x v="2"/>
    <x v="0"/>
  </r>
  <r>
    <x v="113"/>
    <x v="2"/>
    <x v="124"/>
    <x v="1"/>
    <x v="0"/>
  </r>
  <r>
    <x v="114"/>
    <x v="2"/>
    <x v="125"/>
    <x v="2"/>
    <x v="0"/>
  </r>
  <r>
    <x v="115"/>
    <x v="2"/>
    <x v="126"/>
    <x v="2"/>
    <x v="19"/>
  </r>
  <r>
    <x v="116"/>
    <x v="2"/>
    <x v="127"/>
    <x v="2"/>
    <x v="0"/>
  </r>
  <r>
    <x v="112"/>
    <x v="2"/>
    <x v="128"/>
    <x v="2"/>
    <x v="0"/>
  </r>
  <r>
    <x v="91"/>
    <x v="2"/>
    <x v="129"/>
    <x v="2"/>
    <x v="0"/>
  </r>
  <r>
    <x v="117"/>
    <x v="2"/>
    <x v="130"/>
    <x v="2"/>
    <x v="0"/>
  </r>
  <r>
    <x v="118"/>
    <x v="2"/>
    <x v="131"/>
    <x v="2"/>
    <x v="0"/>
  </r>
  <r>
    <x v="119"/>
    <x v="2"/>
    <x v="132"/>
    <x v="2"/>
    <x v="0"/>
  </r>
  <r>
    <x v="91"/>
    <x v="2"/>
    <x v="133"/>
    <x v="2"/>
    <x v="0"/>
  </r>
  <r>
    <x v="120"/>
    <x v="2"/>
    <x v="134"/>
    <x v="2"/>
    <x v="0"/>
  </r>
  <r>
    <x v="121"/>
    <x v="2"/>
    <x v="135"/>
    <x v="2"/>
    <x v="0"/>
  </r>
  <r>
    <x v="122"/>
    <x v="2"/>
    <x v="136"/>
    <x v="1"/>
    <x v="0"/>
  </r>
  <r>
    <x v="123"/>
    <x v="1"/>
    <x v="137"/>
    <x v="2"/>
    <x v="0"/>
  </r>
  <r>
    <x v="20"/>
    <x v="1"/>
    <x v="138"/>
    <x v="1"/>
    <x v="0"/>
  </r>
  <r>
    <x v="124"/>
    <x v="1"/>
    <x v="139"/>
    <x v="2"/>
    <x v="0"/>
  </r>
  <r>
    <x v="125"/>
    <x v="1"/>
    <x v="140"/>
    <x v="2"/>
    <x v="0"/>
  </r>
  <r>
    <x v="91"/>
    <x v="1"/>
    <x v="141"/>
    <x v="2"/>
    <x v="0"/>
  </r>
  <r>
    <x v="56"/>
    <x v="1"/>
    <x v="142"/>
    <x v="2"/>
    <x v="0"/>
  </r>
  <r>
    <x v="91"/>
    <x v="1"/>
    <x v="143"/>
    <x v="2"/>
    <x v="0"/>
  </r>
  <r>
    <x v="126"/>
    <x v="2"/>
    <x v="144"/>
    <x v="2"/>
    <x v="0"/>
  </r>
  <r>
    <x v="127"/>
    <x v="2"/>
    <x v="145"/>
    <x v="2"/>
    <x v="0"/>
  </r>
  <r>
    <x v="128"/>
    <x v="2"/>
    <x v="146"/>
    <x v="2"/>
    <x v="0"/>
  </r>
  <r>
    <x v="93"/>
    <x v="2"/>
    <x v="147"/>
    <x v="2"/>
    <x v="0"/>
  </r>
  <r>
    <x v="129"/>
    <x v="2"/>
    <x v="148"/>
    <x v="2"/>
    <x v="0"/>
  </r>
  <r>
    <x v="130"/>
    <x v="2"/>
    <x v="149"/>
    <x v="2"/>
    <x v="19"/>
  </r>
  <r>
    <x v="36"/>
    <x v="2"/>
    <x v="150"/>
    <x v="2"/>
    <x v="17"/>
  </r>
  <r>
    <x v="91"/>
    <x v="2"/>
    <x v="151"/>
    <x v="2"/>
    <x v="0"/>
  </r>
  <r>
    <x v="131"/>
    <x v="2"/>
    <x v="152"/>
    <x v="2"/>
    <x v="0"/>
  </r>
  <r>
    <x v="91"/>
    <x v="2"/>
    <x v="153"/>
    <x v="2"/>
    <x v="0"/>
  </r>
  <r>
    <x v="132"/>
    <x v="2"/>
    <x v="154"/>
    <x v="2"/>
    <x v="0"/>
  </r>
  <r>
    <x v="133"/>
    <x v="2"/>
    <x v="155"/>
    <x v="2"/>
    <x v="0"/>
  </r>
  <r>
    <x v="134"/>
    <x v="2"/>
    <x v="156"/>
    <x v="2"/>
    <x v="0"/>
  </r>
  <r>
    <x v="135"/>
    <x v="2"/>
    <x v="157"/>
    <x v="2"/>
    <x v="0"/>
  </r>
  <r>
    <x v="136"/>
    <x v="2"/>
    <x v="157"/>
    <x v="2"/>
    <x v="0"/>
  </r>
  <r>
    <x v="137"/>
    <x v="2"/>
    <x v="158"/>
    <x v="2"/>
    <x v="15"/>
  </r>
  <r>
    <x v="138"/>
    <x v="2"/>
    <x v="159"/>
    <x v="1"/>
    <x v="0"/>
  </r>
  <r>
    <x v="139"/>
    <x v="2"/>
    <x v="160"/>
    <x v="2"/>
    <x v="0"/>
  </r>
  <r>
    <x v="140"/>
    <x v="1"/>
    <x v="161"/>
    <x v="2"/>
    <x v="20"/>
  </r>
  <r>
    <x v="141"/>
    <x v="1"/>
    <x v="162"/>
    <x v="1"/>
    <x v="0"/>
  </r>
  <r>
    <x v="142"/>
    <x v="2"/>
    <x v="163"/>
    <x v="2"/>
    <x v="21"/>
  </r>
  <r>
    <x v="143"/>
    <x v="2"/>
    <x v="164"/>
    <x v="1"/>
    <x v="0"/>
  </r>
  <r>
    <x v="105"/>
    <x v="2"/>
    <x v="165"/>
    <x v="2"/>
    <x v="22"/>
  </r>
  <r>
    <x v="144"/>
    <x v="2"/>
    <x v="166"/>
    <x v="1"/>
    <x v="0"/>
  </r>
  <r>
    <x v="145"/>
    <x v="1"/>
    <x v="167"/>
    <x v="2"/>
    <x v="0"/>
  </r>
  <r>
    <x v="146"/>
    <x v="1"/>
    <x v="168"/>
    <x v="2"/>
    <x v="0"/>
  </r>
  <r>
    <x v="147"/>
    <x v="1"/>
    <x v="169"/>
    <x v="2"/>
    <x v="0"/>
  </r>
  <r>
    <x v="148"/>
    <x v="1"/>
    <x v="170"/>
    <x v="2"/>
    <x v="0"/>
  </r>
  <r>
    <x v="149"/>
    <x v="1"/>
    <x v="171"/>
    <x v="2"/>
    <x v="0"/>
  </r>
  <r>
    <x v="150"/>
    <x v="1"/>
    <x v="172"/>
    <x v="1"/>
    <x v="0"/>
  </r>
  <r>
    <x v="124"/>
    <x v="2"/>
    <x v="173"/>
    <x v="2"/>
    <x v="23"/>
  </r>
  <r>
    <x v="151"/>
    <x v="2"/>
    <x v="174"/>
    <x v="1"/>
    <x v="0"/>
  </r>
  <r>
    <x v="152"/>
    <x v="2"/>
    <x v="175"/>
    <x v="2"/>
    <x v="0"/>
  </r>
  <r>
    <x v="153"/>
    <x v="2"/>
    <x v="176"/>
    <x v="1"/>
    <x v="0"/>
  </r>
  <r>
    <x v="36"/>
    <x v="2"/>
    <x v="177"/>
    <x v="2"/>
    <x v="0"/>
  </r>
  <r>
    <x v="154"/>
    <x v="2"/>
    <x v="178"/>
    <x v="2"/>
    <x v="0"/>
  </r>
  <r>
    <x v="155"/>
    <x v="2"/>
    <x v="179"/>
    <x v="2"/>
    <x v="0"/>
  </r>
  <r>
    <x v="156"/>
    <x v="2"/>
    <x v="180"/>
    <x v="2"/>
    <x v="0"/>
  </r>
  <r>
    <x v="157"/>
    <x v="2"/>
    <x v="181"/>
    <x v="2"/>
    <x v="0"/>
  </r>
  <r>
    <x v="158"/>
    <x v="2"/>
    <x v="182"/>
    <x v="2"/>
    <x v="0"/>
  </r>
  <r>
    <x v="159"/>
    <x v="1"/>
    <x v="183"/>
    <x v="2"/>
    <x v="0"/>
  </r>
  <r>
    <x v="74"/>
    <x v="1"/>
    <x v="184"/>
    <x v="2"/>
    <x v="0"/>
  </r>
  <r>
    <x v="117"/>
    <x v="1"/>
    <x v="185"/>
    <x v="2"/>
    <x v="0"/>
  </r>
  <r>
    <x v="160"/>
    <x v="1"/>
    <x v="186"/>
    <x v="2"/>
    <x v="0"/>
  </r>
  <r>
    <x v="161"/>
    <x v="1"/>
    <x v="187"/>
    <x v="2"/>
    <x v="0"/>
  </r>
  <r>
    <x v="91"/>
    <x v="2"/>
    <x v="188"/>
    <x v="2"/>
    <x v="0"/>
  </r>
  <r>
    <x v="162"/>
    <x v="2"/>
    <x v="189"/>
    <x v="2"/>
    <x v="0"/>
  </r>
  <r>
    <x v="163"/>
    <x v="2"/>
    <x v="190"/>
    <x v="2"/>
    <x v="0"/>
  </r>
  <r>
    <x v="164"/>
    <x v="2"/>
    <x v="191"/>
    <x v="1"/>
    <x v="0"/>
  </r>
  <r>
    <x v="165"/>
    <x v="2"/>
    <x v="192"/>
    <x v="2"/>
    <x v="0"/>
  </r>
  <r>
    <x v="166"/>
    <x v="2"/>
    <x v="193"/>
    <x v="2"/>
    <x v="0"/>
  </r>
  <r>
    <x v="93"/>
    <x v="2"/>
    <x v="194"/>
    <x v="2"/>
    <x v="0"/>
  </r>
  <r>
    <x v="107"/>
    <x v="2"/>
    <x v="195"/>
    <x v="2"/>
    <x v="0"/>
  </r>
  <r>
    <x v="20"/>
    <x v="2"/>
    <x v="196"/>
    <x v="2"/>
    <x v="19"/>
  </r>
  <r>
    <x v="167"/>
    <x v="1"/>
    <x v="197"/>
    <x v="2"/>
    <x v="24"/>
  </r>
  <r>
    <x v="168"/>
    <x v="1"/>
    <x v="198"/>
    <x v="2"/>
    <x v="0"/>
  </r>
  <r>
    <x v="91"/>
    <x v="2"/>
    <x v="199"/>
    <x v="2"/>
    <x v="0"/>
  </r>
  <r>
    <x v="169"/>
    <x v="2"/>
    <x v="200"/>
    <x v="2"/>
    <x v="0"/>
  </r>
  <r>
    <x v="155"/>
    <x v="2"/>
    <x v="201"/>
    <x v="2"/>
    <x v="0"/>
  </r>
  <r>
    <x v="170"/>
    <x v="2"/>
    <x v="202"/>
    <x v="2"/>
    <x v="0"/>
  </r>
  <r>
    <x v="171"/>
    <x v="2"/>
    <x v="203"/>
    <x v="2"/>
    <x v="0"/>
  </r>
  <r>
    <x v="172"/>
    <x v="2"/>
    <x v="204"/>
    <x v="2"/>
    <x v="0"/>
  </r>
  <r>
    <x v="173"/>
    <x v="2"/>
    <x v="205"/>
    <x v="2"/>
    <x v="0"/>
  </r>
  <r>
    <x v="174"/>
    <x v="2"/>
    <x v="206"/>
    <x v="2"/>
    <x v="0"/>
  </r>
  <r>
    <x v="175"/>
    <x v="2"/>
    <x v="207"/>
    <x v="2"/>
    <x v="0"/>
  </r>
  <r>
    <x v="176"/>
    <x v="1"/>
    <x v="208"/>
    <x v="2"/>
    <x v="0"/>
  </r>
  <r>
    <x v="129"/>
    <x v="2"/>
    <x v="209"/>
    <x v="2"/>
    <x v="25"/>
  </r>
  <r>
    <x v="177"/>
    <x v="2"/>
    <x v="210"/>
    <x v="2"/>
    <x v="0"/>
  </r>
  <r>
    <x v="178"/>
    <x v="2"/>
    <x v="211"/>
    <x v="2"/>
    <x v="0"/>
  </r>
  <r>
    <x v="179"/>
    <x v="2"/>
    <x v="212"/>
    <x v="1"/>
    <x v="0"/>
  </r>
  <r>
    <x v="180"/>
    <x v="2"/>
    <x v="213"/>
    <x v="1"/>
    <x v="26"/>
  </r>
  <r>
    <x v="13"/>
    <x v="2"/>
    <x v="214"/>
    <x v="2"/>
    <x v="0"/>
  </r>
  <r>
    <x v="181"/>
    <x v="2"/>
    <x v="215"/>
    <x v="2"/>
    <x v="27"/>
  </r>
  <r>
    <x v="182"/>
    <x v="2"/>
    <x v="216"/>
    <x v="1"/>
    <x v="0"/>
  </r>
  <r>
    <x v="183"/>
    <x v="2"/>
    <x v="217"/>
    <x v="2"/>
    <x v="0"/>
  </r>
  <r>
    <x v="13"/>
    <x v="2"/>
    <x v="218"/>
    <x v="2"/>
    <x v="0"/>
  </r>
  <r>
    <x v="184"/>
    <x v="2"/>
    <x v="219"/>
    <x v="1"/>
    <x v="0"/>
  </r>
  <r>
    <x v="185"/>
    <x v="2"/>
    <x v="220"/>
    <x v="2"/>
    <x v="0"/>
  </r>
  <r>
    <x v="186"/>
    <x v="2"/>
    <x v="221"/>
    <x v="2"/>
    <x v="0"/>
  </r>
  <r>
    <x v="187"/>
    <x v="1"/>
    <x v="222"/>
    <x v="2"/>
    <x v="0"/>
  </r>
  <r>
    <x v="188"/>
    <x v="1"/>
    <x v="223"/>
    <x v="2"/>
    <x v="0"/>
  </r>
  <r>
    <x v="189"/>
    <x v="2"/>
    <x v="224"/>
    <x v="1"/>
    <x v="0"/>
  </r>
  <r>
    <x v="190"/>
    <x v="2"/>
    <x v="225"/>
    <x v="2"/>
    <x v="0"/>
  </r>
  <r>
    <x v="191"/>
    <x v="2"/>
    <x v="226"/>
    <x v="2"/>
    <x v="0"/>
  </r>
  <r>
    <x v="192"/>
    <x v="2"/>
    <x v="227"/>
    <x v="2"/>
    <x v="0"/>
  </r>
  <r>
    <x v="193"/>
    <x v="2"/>
    <x v="228"/>
    <x v="2"/>
    <x v="0"/>
  </r>
  <r>
    <x v="194"/>
    <x v="2"/>
    <x v="229"/>
    <x v="2"/>
    <x v="0"/>
  </r>
  <r>
    <x v="195"/>
    <x v="1"/>
    <x v="230"/>
    <x v="2"/>
    <x v="0"/>
  </r>
  <r>
    <x v="196"/>
    <x v="1"/>
    <x v="231"/>
    <x v="2"/>
    <x v="0"/>
  </r>
  <r>
    <x v="197"/>
    <x v="1"/>
    <x v="232"/>
    <x v="2"/>
    <x v="0"/>
  </r>
  <r>
    <x v="198"/>
    <x v="1"/>
    <x v="233"/>
    <x v="2"/>
    <x v="0"/>
  </r>
  <r>
    <x v="199"/>
    <x v="2"/>
    <x v="234"/>
    <x v="2"/>
    <x v="0"/>
  </r>
  <r>
    <x v="200"/>
    <x v="2"/>
    <x v="235"/>
    <x v="2"/>
    <x v="0"/>
  </r>
  <r>
    <x v="201"/>
    <x v="2"/>
    <x v="236"/>
    <x v="1"/>
    <x v="0"/>
  </r>
  <r>
    <x v="202"/>
    <x v="2"/>
    <x v="237"/>
    <x v="2"/>
    <x v="0"/>
  </r>
  <r>
    <x v="203"/>
    <x v="2"/>
    <x v="238"/>
    <x v="2"/>
    <x v="0"/>
  </r>
  <r>
    <x v="204"/>
    <x v="2"/>
    <x v="239"/>
    <x v="2"/>
    <x v="0"/>
  </r>
  <r>
    <x v="14"/>
    <x v="2"/>
    <x v="240"/>
    <x v="2"/>
    <x v="28"/>
  </r>
  <r>
    <x v="205"/>
    <x v="2"/>
    <x v="241"/>
    <x v="2"/>
    <x v="29"/>
  </r>
  <r>
    <x v="206"/>
    <x v="1"/>
    <x v="242"/>
    <x v="2"/>
    <x v="0"/>
  </r>
  <r>
    <x v="197"/>
    <x v="2"/>
    <x v="243"/>
    <x v="2"/>
    <x v="0"/>
  </r>
  <r>
    <x v="91"/>
    <x v="2"/>
    <x v="244"/>
    <x v="2"/>
    <x v="0"/>
  </r>
  <r>
    <x v="207"/>
    <x v="2"/>
    <x v="245"/>
    <x v="2"/>
    <x v="0"/>
  </r>
  <r>
    <x v="208"/>
    <x v="2"/>
    <x v="246"/>
    <x v="2"/>
    <x v="0"/>
  </r>
  <r>
    <x v="209"/>
    <x v="2"/>
    <x v="247"/>
    <x v="2"/>
    <x v="0"/>
  </r>
  <r>
    <x v="210"/>
    <x v="2"/>
    <x v="248"/>
    <x v="2"/>
    <x v="0"/>
  </r>
  <r>
    <x v="211"/>
    <x v="1"/>
    <x v="0"/>
    <x v="2"/>
    <x v="0"/>
  </r>
  <r>
    <x v="212"/>
    <x v="1"/>
    <x v="249"/>
    <x v="2"/>
    <x v="0"/>
  </r>
  <r>
    <x v="70"/>
    <x v="2"/>
    <x v="250"/>
    <x v="2"/>
    <x v="0"/>
  </r>
  <r>
    <x v="213"/>
    <x v="2"/>
    <x v="251"/>
    <x v="2"/>
    <x v="0"/>
  </r>
  <r>
    <x v="155"/>
    <x v="2"/>
    <x v="252"/>
    <x v="2"/>
    <x v="0"/>
  </r>
  <r>
    <x v="91"/>
    <x v="2"/>
    <x v="253"/>
    <x v="2"/>
    <x v="0"/>
  </r>
  <r>
    <x v="36"/>
    <x v="2"/>
    <x v="254"/>
    <x v="2"/>
    <x v="0"/>
  </r>
  <r>
    <x v="214"/>
    <x v="2"/>
    <x v="255"/>
    <x v="2"/>
    <x v="0"/>
  </r>
  <r>
    <x v="109"/>
    <x v="2"/>
    <x v="256"/>
    <x v="2"/>
    <x v="0"/>
  </r>
  <r>
    <x v="215"/>
    <x v="1"/>
    <x v="257"/>
    <x v="2"/>
    <x v="0"/>
  </r>
  <r>
    <x v="91"/>
    <x v="1"/>
    <x v="258"/>
    <x v="2"/>
    <x v="0"/>
  </r>
  <r>
    <x v="216"/>
    <x v="1"/>
    <x v="259"/>
    <x v="2"/>
    <x v="0"/>
  </r>
  <r>
    <x v="217"/>
    <x v="1"/>
    <x v="260"/>
    <x v="2"/>
    <x v="0"/>
  </r>
  <r>
    <x v="218"/>
    <x v="1"/>
    <x v="261"/>
    <x v="2"/>
    <x v="0"/>
  </r>
  <r>
    <x v="193"/>
    <x v="1"/>
    <x v="262"/>
    <x v="2"/>
    <x v="0"/>
  </r>
  <r>
    <x v="219"/>
    <x v="1"/>
    <x v="263"/>
    <x v="1"/>
    <x v="0"/>
  </r>
  <r>
    <x v="220"/>
    <x v="2"/>
    <x v="264"/>
    <x v="1"/>
    <x v="0"/>
  </r>
  <r>
    <x v="82"/>
    <x v="2"/>
    <x v="265"/>
    <x v="2"/>
    <x v="0"/>
  </r>
  <r>
    <x v="134"/>
    <x v="2"/>
    <x v="266"/>
    <x v="1"/>
    <x v="0"/>
  </r>
  <r>
    <x v="91"/>
    <x v="2"/>
    <x v="267"/>
    <x v="2"/>
    <x v="0"/>
  </r>
  <r>
    <x v="221"/>
    <x v="2"/>
    <x v="268"/>
    <x v="2"/>
    <x v="0"/>
  </r>
  <r>
    <x v="91"/>
    <x v="2"/>
    <x v="269"/>
    <x v="2"/>
    <x v="0"/>
  </r>
  <r>
    <x v="222"/>
    <x v="1"/>
    <x v="270"/>
    <x v="2"/>
    <x v="0"/>
  </r>
  <r>
    <x v="223"/>
    <x v="2"/>
    <x v="271"/>
    <x v="2"/>
    <x v="0"/>
  </r>
  <r>
    <x v="224"/>
    <x v="2"/>
    <x v="272"/>
    <x v="2"/>
    <x v="0"/>
  </r>
  <r>
    <x v="225"/>
    <x v="2"/>
    <x v="273"/>
    <x v="2"/>
    <x v="0"/>
  </r>
  <r>
    <x v="161"/>
    <x v="2"/>
    <x v="274"/>
    <x v="2"/>
    <x v="0"/>
  </r>
  <r>
    <x v="226"/>
    <x v="2"/>
    <x v="275"/>
    <x v="2"/>
    <x v="0"/>
  </r>
  <r>
    <x v="227"/>
    <x v="2"/>
    <x v="276"/>
    <x v="2"/>
    <x v="0"/>
  </r>
  <r>
    <x v="228"/>
    <x v="2"/>
    <x v="277"/>
    <x v="2"/>
    <x v="0"/>
  </r>
  <r>
    <x v="229"/>
    <x v="2"/>
    <x v="278"/>
    <x v="2"/>
    <x v="0"/>
  </r>
  <r>
    <x v="230"/>
    <x v="1"/>
    <x v="279"/>
    <x v="2"/>
    <x v="0"/>
  </r>
  <r>
    <x v="231"/>
    <x v="2"/>
    <x v="280"/>
    <x v="2"/>
    <x v="0"/>
  </r>
  <r>
    <x v="232"/>
    <x v="2"/>
    <x v="281"/>
    <x v="2"/>
    <x v="0"/>
  </r>
  <r>
    <x v="233"/>
    <x v="2"/>
    <x v="282"/>
    <x v="2"/>
    <x v="0"/>
  </r>
  <r>
    <x v="234"/>
    <x v="2"/>
    <x v="283"/>
    <x v="2"/>
    <x v="0"/>
  </r>
  <r>
    <x v="235"/>
    <x v="2"/>
    <x v="284"/>
    <x v="2"/>
    <x v="0"/>
  </r>
  <r>
    <x v="236"/>
    <x v="1"/>
    <x v="285"/>
    <x v="2"/>
    <x v="30"/>
  </r>
  <r>
    <x v="237"/>
    <x v="1"/>
    <x v="286"/>
    <x v="2"/>
    <x v="0"/>
  </r>
  <r>
    <x v="91"/>
    <x v="2"/>
    <x v="287"/>
    <x v="2"/>
    <x v="0"/>
  </r>
  <r>
    <x v="238"/>
    <x v="2"/>
    <x v="288"/>
    <x v="2"/>
    <x v="0"/>
  </r>
  <r>
    <x v="239"/>
    <x v="2"/>
    <x v="288"/>
    <x v="2"/>
    <x v="0"/>
  </r>
  <r>
    <x v="240"/>
    <x v="2"/>
    <x v="289"/>
    <x v="1"/>
    <x v="0"/>
  </r>
  <r>
    <x v="241"/>
    <x v="2"/>
    <x v="290"/>
    <x v="2"/>
    <x v="0"/>
  </r>
  <r>
    <x v="242"/>
    <x v="2"/>
    <x v="291"/>
    <x v="2"/>
    <x v="0"/>
  </r>
  <r>
    <x v="243"/>
    <x v="1"/>
    <x v="292"/>
    <x v="2"/>
    <x v="0"/>
  </r>
  <r>
    <x v="244"/>
    <x v="1"/>
    <x v="293"/>
    <x v="2"/>
    <x v="0"/>
  </r>
  <r>
    <x v="182"/>
    <x v="2"/>
    <x v="294"/>
    <x v="2"/>
    <x v="0"/>
  </r>
  <r>
    <x v="241"/>
    <x v="2"/>
    <x v="295"/>
    <x v="2"/>
    <x v="0"/>
  </r>
  <r>
    <x v="245"/>
    <x v="2"/>
    <x v="296"/>
    <x v="2"/>
    <x v="0"/>
  </r>
  <r>
    <x v="75"/>
    <x v="1"/>
    <x v="297"/>
    <x v="2"/>
    <x v="0"/>
  </r>
  <r>
    <x v="246"/>
    <x v="1"/>
    <x v="298"/>
    <x v="2"/>
    <x v="0"/>
  </r>
  <r>
    <x v="247"/>
    <x v="1"/>
    <x v="299"/>
    <x v="2"/>
    <x v="0"/>
  </r>
  <r>
    <x v="245"/>
    <x v="1"/>
    <x v="300"/>
    <x v="2"/>
    <x v="0"/>
  </r>
  <r>
    <x v="248"/>
    <x v="1"/>
    <x v="301"/>
    <x v="2"/>
    <x v="0"/>
  </r>
  <r>
    <x v="249"/>
    <x v="2"/>
    <x v="302"/>
    <x v="2"/>
    <x v="0"/>
  </r>
  <r>
    <x v="250"/>
    <x v="2"/>
    <x v="303"/>
    <x v="2"/>
    <x v="0"/>
  </r>
  <r>
    <x v="251"/>
    <x v="2"/>
    <x v="304"/>
    <x v="2"/>
    <x v="0"/>
  </r>
  <r>
    <x v="91"/>
    <x v="2"/>
    <x v="302"/>
    <x v="2"/>
    <x v="0"/>
  </r>
  <r>
    <x v="252"/>
    <x v="2"/>
    <x v="305"/>
    <x v="2"/>
    <x v="0"/>
  </r>
  <r>
    <x v="253"/>
    <x v="2"/>
    <x v="306"/>
    <x v="2"/>
    <x v="0"/>
  </r>
  <r>
    <x v="254"/>
    <x v="2"/>
    <x v="307"/>
    <x v="2"/>
    <x v="0"/>
  </r>
  <r>
    <x v="255"/>
    <x v="2"/>
    <x v="308"/>
    <x v="2"/>
    <x v="0"/>
  </r>
  <r>
    <x v="256"/>
    <x v="2"/>
    <x v="309"/>
    <x v="2"/>
    <x v="0"/>
  </r>
  <r>
    <x v="257"/>
    <x v="2"/>
    <x v="310"/>
    <x v="2"/>
    <x v="0"/>
  </r>
  <r>
    <x v="258"/>
    <x v="2"/>
    <x v="311"/>
    <x v="2"/>
    <x v="0"/>
  </r>
  <r>
    <x v="259"/>
    <x v="2"/>
    <x v="312"/>
    <x v="1"/>
    <x v="0"/>
  </r>
  <r>
    <x v="173"/>
    <x v="2"/>
    <x v="313"/>
    <x v="2"/>
    <x v="0"/>
  </r>
  <r>
    <x v="260"/>
    <x v="2"/>
    <x v="314"/>
    <x v="2"/>
    <x v="0"/>
  </r>
  <r>
    <x v="233"/>
    <x v="2"/>
    <x v="313"/>
    <x v="1"/>
    <x v="0"/>
  </r>
  <r>
    <x v="261"/>
    <x v="2"/>
    <x v="315"/>
    <x v="1"/>
    <x v="0"/>
  </r>
  <r>
    <x v="91"/>
    <x v="2"/>
    <x v="316"/>
    <x v="2"/>
    <x v="0"/>
  </r>
  <r>
    <x v="262"/>
    <x v="2"/>
    <x v="317"/>
    <x v="2"/>
    <x v="0"/>
  </r>
  <r>
    <x v="263"/>
    <x v="1"/>
    <x v="318"/>
    <x v="2"/>
    <x v="0"/>
  </r>
  <r>
    <x v="264"/>
    <x v="1"/>
    <x v="319"/>
    <x v="2"/>
    <x v="0"/>
  </r>
  <r>
    <x v="91"/>
    <x v="1"/>
    <x v="320"/>
    <x v="2"/>
    <x v="0"/>
  </r>
  <r>
    <x v="205"/>
    <x v="1"/>
    <x v="321"/>
    <x v="2"/>
    <x v="0"/>
  </r>
  <r>
    <x v="234"/>
    <x v="2"/>
    <x v="322"/>
    <x v="1"/>
    <x v="0"/>
  </r>
  <r>
    <x v="265"/>
    <x v="2"/>
    <x v="323"/>
    <x v="1"/>
    <x v="0"/>
  </r>
  <r>
    <x v="266"/>
    <x v="2"/>
    <x v="324"/>
    <x v="2"/>
    <x v="0"/>
  </r>
  <r>
    <x v="91"/>
    <x v="2"/>
    <x v="325"/>
    <x v="2"/>
    <x v="0"/>
  </r>
  <r>
    <x v="267"/>
    <x v="2"/>
    <x v="326"/>
    <x v="2"/>
    <x v="0"/>
  </r>
  <r>
    <x v="268"/>
    <x v="2"/>
    <x v="327"/>
    <x v="2"/>
    <x v="0"/>
  </r>
  <r>
    <x v="269"/>
    <x v="2"/>
    <x v="328"/>
    <x v="2"/>
    <x v="0"/>
  </r>
  <r>
    <x v="91"/>
    <x v="2"/>
    <x v="329"/>
    <x v="2"/>
    <x v="0"/>
  </r>
  <r>
    <x v="270"/>
    <x v="2"/>
    <x v="330"/>
    <x v="2"/>
    <x v="0"/>
  </r>
  <r>
    <x v="245"/>
    <x v="2"/>
    <x v="331"/>
    <x v="2"/>
    <x v="0"/>
  </r>
  <r>
    <x v="271"/>
    <x v="2"/>
    <x v="332"/>
    <x v="2"/>
    <x v="0"/>
  </r>
  <r>
    <x v="112"/>
    <x v="1"/>
    <x v="333"/>
    <x v="2"/>
    <x v="0"/>
  </r>
  <r>
    <x v="88"/>
    <x v="1"/>
    <x v="334"/>
    <x v="2"/>
    <x v="0"/>
  </r>
  <r>
    <x v="14"/>
    <x v="2"/>
    <x v="335"/>
    <x v="2"/>
    <x v="0"/>
  </r>
  <r>
    <x v="65"/>
    <x v="2"/>
    <x v="336"/>
    <x v="2"/>
    <x v="0"/>
  </r>
  <r>
    <x v="272"/>
    <x v="2"/>
    <x v="337"/>
    <x v="2"/>
    <x v="0"/>
  </r>
  <r>
    <x v="78"/>
    <x v="2"/>
    <x v="338"/>
    <x v="2"/>
    <x v="0"/>
  </r>
  <r>
    <x v="273"/>
    <x v="1"/>
    <x v="339"/>
    <x v="2"/>
    <x v="0"/>
  </r>
  <r>
    <x v="274"/>
    <x v="1"/>
    <x v="340"/>
    <x v="2"/>
    <x v="0"/>
  </r>
  <r>
    <x v="91"/>
    <x v="1"/>
    <x v="341"/>
    <x v="2"/>
    <x v="0"/>
  </r>
  <r>
    <x v="91"/>
    <x v="1"/>
    <x v="342"/>
    <x v="2"/>
    <x v="0"/>
  </r>
  <r>
    <x v="275"/>
    <x v="2"/>
    <x v="343"/>
    <x v="2"/>
    <x v="0"/>
  </r>
  <r>
    <x v="276"/>
    <x v="2"/>
    <x v="344"/>
    <x v="2"/>
    <x v="0"/>
  </r>
  <r>
    <x v="277"/>
    <x v="2"/>
    <x v="345"/>
    <x v="2"/>
    <x v="0"/>
  </r>
  <r>
    <x v="278"/>
    <x v="2"/>
    <x v="346"/>
    <x v="2"/>
    <x v="0"/>
  </r>
  <r>
    <x v="279"/>
    <x v="2"/>
    <x v="347"/>
    <x v="2"/>
    <x v="0"/>
  </r>
  <r>
    <x v="280"/>
    <x v="2"/>
    <x v="348"/>
    <x v="2"/>
    <x v="0"/>
  </r>
  <r>
    <x v="281"/>
    <x v="2"/>
    <x v="349"/>
    <x v="2"/>
    <x v="0"/>
  </r>
  <r>
    <x v="282"/>
    <x v="2"/>
    <x v="350"/>
    <x v="1"/>
    <x v="0"/>
  </r>
  <r>
    <x v="283"/>
    <x v="2"/>
    <x v="351"/>
    <x v="2"/>
    <x v="0"/>
  </r>
  <r>
    <x v="74"/>
    <x v="1"/>
    <x v="352"/>
    <x v="2"/>
    <x v="0"/>
  </r>
  <r>
    <x v="284"/>
    <x v="1"/>
    <x v="353"/>
    <x v="2"/>
    <x v="0"/>
  </r>
  <r>
    <x v="285"/>
    <x v="1"/>
    <x v="354"/>
    <x v="2"/>
    <x v="0"/>
  </r>
  <r>
    <x v="286"/>
    <x v="2"/>
    <x v="355"/>
    <x v="2"/>
    <x v="0"/>
  </r>
  <r>
    <x v="287"/>
    <x v="2"/>
    <x v="355"/>
    <x v="2"/>
    <x v="0"/>
  </r>
  <r>
    <x v="82"/>
    <x v="2"/>
    <x v="356"/>
    <x v="2"/>
    <x v="0"/>
  </r>
  <r>
    <x v="139"/>
    <x v="2"/>
    <x v="357"/>
    <x v="2"/>
    <x v="0"/>
  </r>
  <r>
    <x v="257"/>
    <x v="1"/>
    <x v="358"/>
    <x v="2"/>
    <x v="0"/>
  </r>
  <r>
    <x v="91"/>
    <x v="1"/>
    <x v="359"/>
    <x v="2"/>
    <x v="0"/>
  </r>
  <r>
    <x v="288"/>
    <x v="2"/>
    <x v="360"/>
    <x v="2"/>
    <x v="0"/>
  </r>
  <r>
    <x v="106"/>
    <x v="2"/>
    <x v="361"/>
    <x v="2"/>
    <x v="0"/>
  </r>
  <r>
    <x v="289"/>
    <x v="2"/>
    <x v="362"/>
    <x v="2"/>
    <x v="0"/>
  </r>
  <r>
    <x v="290"/>
    <x v="2"/>
    <x v="363"/>
    <x v="2"/>
    <x v="0"/>
  </r>
  <r>
    <x v="291"/>
    <x v="1"/>
    <x v="364"/>
    <x v="1"/>
    <x v="0"/>
  </r>
  <r>
    <x v="292"/>
    <x v="1"/>
    <x v="365"/>
    <x v="2"/>
    <x v="0"/>
  </r>
  <r>
    <x v="293"/>
    <x v="2"/>
    <x v="366"/>
    <x v="2"/>
    <x v="0"/>
  </r>
  <r>
    <x v="294"/>
    <x v="2"/>
    <x v="367"/>
    <x v="1"/>
    <x v="0"/>
  </r>
  <r>
    <x v="12"/>
    <x v="2"/>
    <x v="368"/>
    <x v="2"/>
    <x v="0"/>
  </r>
  <r>
    <x v="295"/>
    <x v="2"/>
    <x v="369"/>
    <x v="2"/>
    <x v="0"/>
  </r>
  <r>
    <x v="269"/>
    <x v="2"/>
    <x v="370"/>
    <x v="2"/>
    <x v="0"/>
  </r>
  <r>
    <x v="296"/>
    <x v="2"/>
    <x v="371"/>
    <x v="2"/>
    <x v="0"/>
  </r>
  <r>
    <x v="297"/>
    <x v="2"/>
    <x v="372"/>
    <x v="1"/>
    <x v="0"/>
  </r>
  <r>
    <x v="298"/>
    <x v="2"/>
    <x v="373"/>
    <x v="2"/>
    <x v="0"/>
  </r>
  <r>
    <x v="299"/>
    <x v="2"/>
    <x v="374"/>
    <x v="2"/>
    <x v="0"/>
  </r>
  <r>
    <x v="300"/>
    <x v="1"/>
    <x v="375"/>
    <x v="2"/>
    <x v="0"/>
  </r>
  <r>
    <x v="301"/>
    <x v="1"/>
    <x v="376"/>
    <x v="2"/>
    <x v="0"/>
  </r>
  <r>
    <x v="302"/>
    <x v="1"/>
    <x v="377"/>
    <x v="2"/>
    <x v="0"/>
  </r>
  <r>
    <x v="136"/>
    <x v="2"/>
    <x v="378"/>
    <x v="1"/>
    <x v="0"/>
  </r>
  <r>
    <x v="303"/>
    <x v="2"/>
    <x v="379"/>
    <x v="2"/>
    <x v="0"/>
  </r>
  <r>
    <x v="304"/>
    <x v="2"/>
    <x v="380"/>
    <x v="1"/>
    <x v="0"/>
  </r>
  <r>
    <x v="305"/>
    <x v="1"/>
    <x v="381"/>
    <x v="2"/>
    <x v="0"/>
  </r>
  <r>
    <x v="306"/>
    <x v="1"/>
    <x v="382"/>
    <x v="2"/>
    <x v="0"/>
  </r>
  <r>
    <x v="307"/>
    <x v="1"/>
    <x v="383"/>
    <x v="1"/>
    <x v="0"/>
  </r>
  <r>
    <x v="120"/>
    <x v="1"/>
    <x v="384"/>
    <x v="1"/>
    <x v="0"/>
  </r>
  <r>
    <x v="308"/>
    <x v="2"/>
    <x v="385"/>
    <x v="2"/>
    <x v="0"/>
  </r>
  <r>
    <x v="175"/>
    <x v="2"/>
    <x v="386"/>
    <x v="2"/>
    <x v="0"/>
  </r>
  <r>
    <x v="309"/>
    <x v="2"/>
    <x v="387"/>
    <x v="2"/>
    <x v="0"/>
  </r>
  <r>
    <x v="310"/>
    <x v="2"/>
    <x v="388"/>
    <x v="1"/>
    <x v="0"/>
  </r>
  <r>
    <x v="311"/>
    <x v="2"/>
    <x v="389"/>
    <x v="2"/>
    <x v="0"/>
  </r>
  <r>
    <x v="312"/>
    <x v="2"/>
    <x v="390"/>
    <x v="2"/>
    <x v="0"/>
  </r>
  <r>
    <x v="313"/>
    <x v="2"/>
    <x v="391"/>
    <x v="2"/>
    <x v="0"/>
  </r>
  <r>
    <x v="314"/>
    <x v="2"/>
    <x v="392"/>
    <x v="2"/>
    <x v="0"/>
  </r>
  <r>
    <x v="315"/>
    <x v="2"/>
    <x v="393"/>
    <x v="2"/>
    <x v="0"/>
  </r>
  <r>
    <x v="316"/>
    <x v="2"/>
    <x v="394"/>
    <x v="4"/>
    <x v="0"/>
  </r>
  <r>
    <x v="314"/>
    <x v="2"/>
    <x v="395"/>
    <x v="4"/>
    <x v="0"/>
  </r>
  <r>
    <x v="317"/>
    <x v="1"/>
    <x v="396"/>
    <x v="4"/>
    <x v="0"/>
  </r>
  <r>
    <x v="318"/>
    <x v="1"/>
    <x v="397"/>
    <x v="2"/>
    <x v="31"/>
  </r>
  <r>
    <x v="319"/>
    <x v="1"/>
    <x v="398"/>
    <x v="4"/>
    <x v="0"/>
  </r>
  <r>
    <x v="320"/>
    <x v="2"/>
    <x v="399"/>
    <x v="4"/>
    <x v="0"/>
  </r>
  <r>
    <x v="321"/>
    <x v="2"/>
    <x v="400"/>
    <x v="4"/>
    <x v="0"/>
  </r>
  <r>
    <x v="322"/>
    <x v="2"/>
    <x v="401"/>
    <x v="4"/>
    <x v="0"/>
  </r>
  <r>
    <x v="323"/>
    <x v="2"/>
    <x v="402"/>
    <x v="4"/>
    <x v="0"/>
  </r>
  <r>
    <x v="324"/>
    <x v="2"/>
    <x v="403"/>
    <x v="1"/>
    <x v="32"/>
  </r>
  <r>
    <x v="325"/>
    <x v="2"/>
    <x v="404"/>
    <x v="1"/>
    <x v="0"/>
  </r>
  <r>
    <x v="245"/>
    <x v="2"/>
    <x v="405"/>
    <x v="2"/>
    <x v="0"/>
  </r>
  <r>
    <x v="326"/>
    <x v="2"/>
    <x v="406"/>
    <x v="2"/>
    <x v="33"/>
  </r>
  <r>
    <x v="327"/>
    <x v="2"/>
    <x v="407"/>
    <x v="2"/>
    <x v="0"/>
  </r>
  <r>
    <x v="328"/>
    <x v="2"/>
    <x v="408"/>
    <x v="2"/>
    <x v="0"/>
  </r>
  <r>
    <x v="329"/>
    <x v="2"/>
    <x v="409"/>
    <x v="2"/>
    <x v="0"/>
  </r>
  <r>
    <x v="330"/>
    <x v="1"/>
    <x v="410"/>
    <x v="2"/>
    <x v="0"/>
  </r>
  <r>
    <x v="331"/>
    <x v="1"/>
    <x v="411"/>
    <x v="2"/>
    <x v="0"/>
  </r>
  <r>
    <x v="332"/>
    <x v="1"/>
    <x v="412"/>
    <x v="1"/>
    <x v="0"/>
  </r>
  <r>
    <x v="333"/>
    <x v="2"/>
    <x v="413"/>
    <x v="2"/>
    <x v="0"/>
  </r>
  <r>
    <x v="334"/>
    <x v="2"/>
    <x v="414"/>
    <x v="2"/>
    <x v="0"/>
  </r>
  <r>
    <x v="91"/>
    <x v="2"/>
    <x v="415"/>
    <x v="2"/>
    <x v="0"/>
  </r>
  <r>
    <x v="334"/>
    <x v="2"/>
    <x v="416"/>
    <x v="2"/>
    <x v="0"/>
  </r>
  <r>
    <x v="335"/>
    <x v="2"/>
    <x v="417"/>
    <x v="2"/>
    <x v="0"/>
  </r>
  <r>
    <x v="336"/>
    <x v="2"/>
    <x v="418"/>
    <x v="2"/>
    <x v="0"/>
  </r>
  <r>
    <x v="337"/>
    <x v="2"/>
    <x v="419"/>
    <x v="2"/>
    <x v="0"/>
  </r>
  <r>
    <x v="338"/>
    <x v="2"/>
    <x v="420"/>
    <x v="2"/>
    <x v="34"/>
  </r>
  <r>
    <x v="339"/>
    <x v="1"/>
    <x v="421"/>
    <x v="2"/>
    <x v="0"/>
  </r>
  <r>
    <x v="75"/>
    <x v="1"/>
    <x v="422"/>
    <x v="2"/>
    <x v="0"/>
  </r>
  <r>
    <x v="340"/>
    <x v="1"/>
    <x v="423"/>
    <x v="2"/>
    <x v="0"/>
  </r>
  <r>
    <x v="341"/>
    <x v="2"/>
    <x v="424"/>
    <x v="2"/>
    <x v="0"/>
  </r>
  <r>
    <x v="342"/>
    <x v="2"/>
    <x v="425"/>
    <x v="2"/>
    <x v="0"/>
  </r>
  <r>
    <x v="343"/>
    <x v="2"/>
    <x v="426"/>
    <x v="2"/>
    <x v="0"/>
  </r>
  <r>
    <x v="344"/>
    <x v="2"/>
    <x v="427"/>
    <x v="1"/>
    <x v="0"/>
  </r>
  <r>
    <x v="345"/>
    <x v="2"/>
    <x v="428"/>
    <x v="2"/>
    <x v="0"/>
  </r>
  <r>
    <x v="346"/>
    <x v="2"/>
    <x v="429"/>
    <x v="2"/>
    <x v="0"/>
  </r>
  <r>
    <x v="342"/>
    <x v="2"/>
    <x v="430"/>
    <x v="2"/>
    <x v="0"/>
  </r>
  <r>
    <x v="347"/>
    <x v="2"/>
    <x v="431"/>
    <x v="2"/>
    <x v="0"/>
  </r>
  <r>
    <x v="299"/>
    <x v="1"/>
    <x v="432"/>
    <x v="2"/>
    <x v="0"/>
  </r>
  <r>
    <x v="348"/>
    <x v="1"/>
    <x v="433"/>
    <x v="2"/>
    <x v="0"/>
  </r>
  <r>
    <x v="349"/>
    <x v="1"/>
    <x v="434"/>
    <x v="2"/>
    <x v="0"/>
  </r>
  <r>
    <x v="350"/>
    <x v="1"/>
    <x v="435"/>
    <x v="2"/>
    <x v="0"/>
  </r>
  <r>
    <x v="351"/>
    <x v="1"/>
    <x v="436"/>
    <x v="2"/>
    <x v="0"/>
  </r>
  <r>
    <x v="91"/>
    <x v="1"/>
    <x v="437"/>
    <x v="2"/>
    <x v="0"/>
  </r>
  <r>
    <x v="352"/>
    <x v="2"/>
    <x v="438"/>
    <x v="2"/>
    <x v="0"/>
  </r>
  <r>
    <x v="353"/>
    <x v="2"/>
    <x v="439"/>
    <x v="1"/>
    <x v="35"/>
  </r>
  <r>
    <x v="354"/>
    <x v="2"/>
    <x v="440"/>
    <x v="2"/>
    <x v="0"/>
  </r>
  <r>
    <x v="345"/>
    <x v="2"/>
    <x v="441"/>
    <x v="2"/>
    <x v="0"/>
  </r>
  <r>
    <x v="355"/>
    <x v="2"/>
    <x v="442"/>
    <x v="2"/>
    <x v="0"/>
  </r>
  <r>
    <x v="356"/>
    <x v="2"/>
    <x v="443"/>
    <x v="2"/>
    <x v="0"/>
  </r>
  <r>
    <x v="357"/>
    <x v="2"/>
    <x v="444"/>
    <x v="2"/>
    <x v="0"/>
  </r>
  <r>
    <x v="358"/>
    <x v="2"/>
    <x v="445"/>
    <x v="2"/>
    <x v="0"/>
  </r>
  <r>
    <x v="359"/>
    <x v="2"/>
    <x v="446"/>
    <x v="2"/>
    <x v="0"/>
  </r>
  <r>
    <x v="36"/>
    <x v="2"/>
    <x v="447"/>
    <x v="2"/>
    <x v="0"/>
  </r>
  <r>
    <x v="360"/>
    <x v="2"/>
    <x v="448"/>
    <x v="2"/>
    <x v="0"/>
  </r>
  <r>
    <x v="361"/>
    <x v="1"/>
    <x v="449"/>
    <x v="2"/>
    <x v="0"/>
  </r>
  <r>
    <x v="120"/>
    <x v="1"/>
    <x v="450"/>
    <x v="2"/>
    <x v="0"/>
  </r>
  <r>
    <x v="91"/>
    <x v="1"/>
    <x v="451"/>
    <x v="2"/>
    <x v="0"/>
  </r>
  <r>
    <x v="362"/>
    <x v="1"/>
    <x v="452"/>
    <x v="2"/>
    <x v="36"/>
  </r>
  <r>
    <x v="363"/>
    <x v="1"/>
    <x v="453"/>
    <x v="2"/>
    <x v="0"/>
  </r>
  <r>
    <x v="91"/>
    <x v="2"/>
    <x v="454"/>
    <x v="2"/>
    <x v="0"/>
  </r>
  <r>
    <x v="364"/>
    <x v="2"/>
    <x v="455"/>
    <x v="2"/>
    <x v="0"/>
  </r>
  <r>
    <x v="365"/>
    <x v="2"/>
    <x v="456"/>
    <x v="2"/>
    <x v="0"/>
  </r>
  <r>
    <x v="366"/>
    <x v="2"/>
    <x v="457"/>
    <x v="1"/>
    <x v="37"/>
  </r>
  <r>
    <x v="367"/>
    <x v="2"/>
    <x v="458"/>
    <x v="2"/>
    <x v="0"/>
  </r>
  <r>
    <x v="368"/>
    <x v="2"/>
    <x v="459"/>
    <x v="2"/>
    <x v="38"/>
  </r>
  <r>
    <x v="369"/>
    <x v="2"/>
    <x v="460"/>
    <x v="2"/>
    <x v="0"/>
  </r>
  <r>
    <x v="370"/>
    <x v="2"/>
    <x v="461"/>
    <x v="2"/>
    <x v="0"/>
  </r>
  <r>
    <x v="371"/>
    <x v="2"/>
    <x v="462"/>
    <x v="2"/>
    <x v="0"/>
  </r>
  <r>
    <x v="372"/>
    <x v="2"/>
    <x v="463"/>
    <x v="2"/>
    <x v="0"/>
  </r>
  <r>
    <x v="91"/>
    <x v="1"/>
    <x v="464"/>
    <x v="2"/>
    <x v="0"/>
  </r>
  <r>
    <x v="373"/>
    <x v="1"/>
    <x v="465"/>
    <x v="1"/>
    <x v="0"/>
  </r>
  <r>
    <x v="374"/>
    <x v="1"/>
    <x v="466"/>
    <x v="2"/>
    <x v="0"/>
  </r>
  <r>
    <x v="233"/>
    <x v="2"/>
    <x v="467"/>
    <x v="2"/>
    <x v="0"/>
  </r>
  <r>
    <x v="375"/>
    <x v="2"/>
    <x v="468"/>
    <x v="2"/>
    <x v="0"/>
  </r>
  <r>
    <x v="376"/>
    <x v="2"/>
    <x v="469"/>
    <x v="2"/>
    <x v="0"/>
  </r>
  <r>
    <x v="377"/>
    <x v="2"/>
    <x v="470"/>
    <x v="2"/>
    <x v="0"/>
  </r>
  <r>
    <x v="378"/>
    <x v="2"/>
    <x v="471"/>
    <x v="1"/>
    <x v="39"/>
  </r>
  <r>
    <x v="298"/>
    <x v="2"/>
    <x v="472"/>
    <x v="2"/>
    <x v="0"/>
  </r>
  <r>
    <x v="91"/>
    <x v="2"/>
    <x v="473"/>
    <x v="2"/>
    <x v="0"/>
  </r>
  <r>
    <x v="379"/>
    <x v="2"/>
    <x v="474"/>
    <x v="1"/>
    <x v="40"/>
  </r>
  <r>
    <x v="380"/>
    <x v="2"/>
    <x v="475"/>
    <x v="2"/>
    <x v="0"/>
  </r>
  <r>
    <x v="91"/>
    <x v="1"/>
    <x v="476"/>
    <x v="2"/>
    <x v="0"/>
  </r>
  <r>
    <x v="91"/>
    <x v="2"/>
    <x v="477"/>
    <x v="2"/>
    <x v="0"/>
  </r>
  <r>
    <x v="182"/>
    <x v="2"/>
    <x v="478"/>
    <x v="2"/>
    <x v="0"/>
  </r>
  <r>
    <x v="381"/>
    <x v="1"/>
    <x v="479"/>
    <x v="1"/>
    <x v="0"/>
  </r>
  <r>
    <x v="382"/>
    <x v="2"/>
    <x v="480"/>
    <x v="2"/>
    <x v="0"/>
  </r>
  <r>
    <x v="91"/>
    <x v="2"/>
    <x v="481"/>
    <x v="2"/>
    <x v="0"/>
  </r>
  <r>
    <x v="383"/>
    <x v="2"/>
    <x v="482"/>
    <x v="1"/>
    <x v="0"/>
  </r>
  <r>
    <x v="384"/>
    <x v="1"/>
    <x v="483"/>
    <x v="1"/>
    <x v="0"/>
  </r>
  <r>
    <x v="385"/>
    <x v="2"/>
    <x v="484"/>
    <x v="2"/>
    <x v="0"/>
  </r>
  <r>
    <x v="386"/>
    <x v="2"/>
    <x v="485"/>
    <x v="1"/>
    <x v="0"/>
  </r>
  <r>
    <x v="387"/>
    <x v="2"/>
    <x v="486"/>
    <x v="2"/>
    <x v="0"/>
  </r>
  <r>
    <x v="388"/>
    <x v="2"/>
    <x v="487"/>
    <x v="2"/>
    <x v="0"/>
  </r>
  <r>
    <x v="387"/>
    <x v="2"/>
    <x v="488"/>
    <x v="2"/>
    <x v="0"/>
  </r>
  <r>
    <x v="389"/>
    <x v="1"/>
    <x v="489"/>
    <x v="2"/>
    <x v="0"/>
  </r>
  <r>
    <x v="390"/>
    <x v="1"/>
    <x v="490"/>
    <x v="2"/>
    <x v="0"/>
  </r>
  <r>
    <x v="391"/>
    <x v="1"/>
    <x v="491"/>
    <x v="2"/>
    <x v="0"/>
  </r>
  <r>
    <x v="392"/>
    <x v="1"/>
    <x v="492"/>
    <x v="2"/>
    <x v="0"/>
  </r>
  <r>
    <x v="36"/>
    <x v="1"/>
    <x v="493"/>
    <x v="2"/>
    <x v="0"/>
  </r>
  <r>
    <x v="91"/>
    <x v="1"/>
    <x v="494"/>
    <x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name="Dashboard 2" cacheId="1" autoFormatId="1" applyNumberFormats="0" applyBorderFormats="0" applyFontFormats="0" applyPatternFormats="0" applyAlignmentFormats="0" applyWidthHeightFormats="1" dataCaption="" updatedVersion="5" compact="0" compactData="0" showDrill="1">
  <location ref="H3:I17" firstHeaderRow="1" firstDataRow="1" firstDataCol="1"/>
  <pivotFields count="34">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dataField="1" compact="0" sortType="ascending" outline="0" multipleItemSelectionAllowed="1" showAll="0">
      <items count="14">
        <item x="8"/>
        <item x="9"/>
        <item x="5"/>
        <item x="4"/>
        <item x="12"/>
        <item x="1"/>
        <item x="6"/>
        <item x="11"/>
        <item x="7"/>
        <item x="10"/>
        <item x="2"/>
        <item x="3"/>
        <item x="0"/>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9"/>
  </rowFields>
  <rowItems count="14">
    <i>
      <x/>
    </i>
    <i>
      <x v="1"/>
    </i>
    <i>
      <x v="2"/>
    </i>
    <i>
      <x v="3"/>
    </i>
    <i>
      <x v="4"/>
    </i>
    <i>
      <x v="5"/>
    </i>
    <i>
      <x v="6"/>
    </i>
    <i>
      <x v="7"/>
    </i>
    <i>
      <x v="8"/>
    </i>
    <i>
      <x v="9"/>
    </i>
    <i>
      <x v="10"/>
    </i>
    <i>
      <x v="11"/>
    </i>
    <i>
      <x v="12"/>
    </i>
    <i t="grand">
      <x/>
    </i>
  </rowItems>
  <colItems count="1">
    <i/>
  </colItems>
  <dataFields count="1">
    <dataField name="COUNTA of Fase do ciclo gravídico" fld="9" subtotal="count" baseField="0" baseItem="0"/>
  </dataFields>
  <pivotTableStyleInfo showRowHeaders="1" showColHeaders="1" showLastColumn="1"/>
</pivotTableDefinition>
</file>

<file path=xl/pivotTables/pivotTable2.xml><?xml version="1.0" encoding="utf-8"?>
<pivotTableDefinition xmlns="http://schemas.openxmlformats.org/spreadsheetml/2006/main" name="Dashboard" cacheId="0" autoFormatId="1" applyNumberFormats="0" applyBorderFormats="0" applyFontFormats="0" applyPatternFormats="0" applyAlignmentFormats="0" applyWidthHeightFormats="1" dataCaption="" updatedVersion="5" compact="0" compactData="0" showDrill="1">
  <location ref="A3:B758" firstHeaderRow="1" firstDataRow="1" firstDataCol="1"/>
  <pivotFields count="34">
    <pivotField compact="0" outline="0" multipleItemSelectionAllowed="1" showAll="0"/>
    <pivotField axis="axisRow" compact="0" sortType="ascending" outline="0" multipleItemSelectionAllowed="1" showAll="0">
      <items count="755">
        <item x="753"/>
        <item x="587"/>
        <item x="357"/>
        <item x="289"/>
        <item x="648"/>
        <item x="566"/>
        <item x="231"/>
        <item x="631"/>
        <item x="581"/>
        <item x="743"/>
        <item x="642"/>
        <item x="699"/>
        <item x="646"/>
        <item x="110"/>
        <item x="473"/>
        <item x="645"/>
        <item x="669"/>
        <item x="306"/>
        <item x="696"/>
        <item x="165"/>
        <item x="558"/>
        <item x="393"/>
        <item x="123"/>
        <item x="275"/>
        <item x="135"/>
        <item x="492"/>
        <item x="403"/>
        <item x="409"/>
        <item x="45"/>
        <item x="495"/>
        <item x="698"/>
        <item x="54"/>
        <item x="563"/>
        <item x="298"/>
        <item x="560"/>
        <item x="383"/>
        <item x="649"/>
        <item x="48"/>
        <item x="38"/>
        <item x="326"/>
        <item x="302"/>
        <item x="449"/>
        <item x="203"/>
        <item sd="0" x="18"/>
        <item sd="0" x="15"/>
        <item x="671"/>
        <item x="361"/>
        <item x="515"/>
        <item x="597"/>
        <item x="458"/>
        <item x="503"/>
        <item x="109"/>
        <item sd="0" x="2"/>
        <item x="256"/>
        <item x="658"/>
        <item x="564"/>
        <item x="41"/>
        <item x="575"/>
        <item x="573"/>
        <item x="57"/>
        <item x="173"/>
        <item x="277"/>
        <item x="419"/>
        <item x="269"/>
        <item x="214"/>
        <item x="152"/>
        <item x="181"/>
        <item x="585"/>
        <item x="453"/>
        <item x="667"/>
        <item x="74"/>
        <item x="549"/>
        <item x="155"/>
        <item x="644"/>
        <item x="655"/>
        <item x="292"/>
        <item x="620"/>
        <item x="523"/>
        <item x="742"/>
        <item x="39"/>
        <item x="459"/>
        <item x="305"/>
        <item x="599"/>
        <item x="351"/>
        <item x="325"/>
        <item x="714"/>
        <item x="439"/>
        <item x="408"/>
        <item x="652"/>
        <item x="666"/>
        <item x="445"/>
        <item x="466"/>
        <item x="94"/>
        <item x="267"/>
        <item x="690"/>
        <item x="86"/>
        <item x="136"/>
        <item x="584"/>
        <item x="321"/>
        <item x="159"/>
        <item x="170"/>
        <item x="691"/>
        <item x="34"/>
        <item x="434"/>
        <item x="205"/>
        <item x="164"/>
        <item x="417"/>
        <item x="540"/>
        <item x="746"/>
        <item x="62"/>
        <item x="373"/>
        <item x="209"/>
        <item x="614"/>
        <item x="97"/>
        <item x="734"/>
        <item x="726"/>
        <item x="570"/>
        <item x="619"/>
        <item x="315"/>
        <item x="317"/>
        <item x="168"/>
        <item x="64"/>
        <item x="36"/>
        <item x="485"/>
        <item x="191"/>
        <item x="126"/>
        <item x="65"/>
        <item x="199"/>
        <item x="547"/>
        <item x="751"/>
        <item x="426"/>
        <item x="356"/>
        <item x="720"/>
        <item x="318"/>
        <item x="182"/>
        <item sd="0" x="29"/>
        <item sd="0" x="10"/>
        <item x="145"/>
        <item x="117"/>
        <item x="99"/>
        <item x="327"/>
        <item x="66"/>
        <item x="188"/>
        <item x="407"/>
        <item x="197"/>
        <item x="710"/>
        <item x="253"/>
        <item x="660"/>
        <item x="441"/>
        <item x="262"/>
        <item x="651"/>
        <item x="75"/>
        <item x="120"/>
        <item x="293"/>
        <item x="377"/>
        <item x="471"/>
        <item x="51"/>
        <item x="254"/>
        <item x="640"/>
        <item x="628"/>
        <item x="76"/>
        <item x="583"/>
        <item x="712"/>
        <item sd="0" x="26"/>
        <item x="486"/>
        <item x="520"/>
        <item x="176"/>
        <item x="210"/>
        <item x="511"/>
        <item x="190"/>
        <item x="206"/>
        <item sd="0" x="22"/>
        <item x="617"/>
        <item x="588"/>
        <item x="308"/>
        <item x="79"/>
        <item x="665"/>
        <item x="668"/>
        <item x="518"/>
        <item x="531"/>
        <item x="684"/>
        <item x="142"/>
        <item x="366"/>
        <item x="360"/>
        <item x="279"/>
        <item x="169"/>
        <item x="497"/>
        <item x="529"/>
        <item x="623"/>
        <item x="700"/>
        <item x="634"/>
        <item x="740"/>
        <item x="390"/>
        <item x="158"/>
        <item x="221"/>
        <item x="157"/>
        <item x="728"/>
        <item x="219"/>
        <item x="517"/>
        <item x="352"/>
        <item x="611"/>
        <item x="194"/>
        <item x="557"/>
        <item x="185"/>
        <item x="525"/>
        <item x="125"/>
        <item x="467"/>
        <item x="427"/>
        <item x="95"/>
        <item x="40"/>
        <item x="688"/>
        <item x="494"/>
        <item x="223"/>
        <item x="228"/>
        <item x="106"/>
        <item x="677"/>
        <item x="675"/>
        <item x="535"/>
        <item x="521"/>
        <item x="370"/>
        <item x="745"/>
        <item x="412"/>
        <item x="187"/>
        <item x="709"/>
        <item sd="0" x="31"/>
        <item x="268"/>
        <item x="636"/>
        <item x="141"/>
        <item x="451"/>
        <item x="112"/>
        <item x="455"/>
        <item x="172"/>
        <item x="284"/>
        <item x="528"/>
        <item sd="0" x="9"/>
        <item x="166"/>
        <item x="703"/>
        <item x="281"/>
        <item sd="0" x="27"/>
        <item x="153"/>
        <item x="180"/>
        <item x="551"/>
        <item x="697"/>
        <item x="687"/>
        <item x="304"/>
        <item x="481"/>
        <item x="146"/>
        <item x="255"/>
        <item x="93"/>
        <item x="730"/>
        <item x="559"/>
        <item x="752"/>
        <item x="90"/>
        <item x="160"/>
        <item x="177"/>
        <item x="702"/>
        <item x="719"/>
        <item x="399"/>
        <item x="358"/>
        <item x="127"/>
        <item x="193"/>
        <item x="748"/>
        <item x="595"/>
        <item x="727"/>
        <item x="415"/>
        <item x="706"/>
        <item x="405"/>
        <item x="545"/>
        <item x="509"/>
        <item x="239"/>
        <item sd="0" x="21"/>
        <item x="479"/>
        <item x="148"/>
        <item x="478"/>
        <item x="365"/>
        <item x="382"/>
        <item x="213"/>
        <item x="715"/>
        <item x="347"/>
        <item x="526"/>
        <item x="661"/>
        <item x="670"/>
        <item x="539"/>
        <item x="44"/>
        <item x="371"/>
        <item x="577"/>
        <item x="653"/>
        <item x="694"/>
        <item x="548"/>
        <item x="291"/>
        <item x="447"/>
        <item x="295"/>
        <item x="263"/>
        <item x="63"/>
        <item x="283"/>
        <item x="242"/>
        <item x="716"/>
        <item x="60"/>
        <item x="580"/>
        <item x="297"/>
        <item x="437"/>
        <item x="316"/>
        <item x="683"/>
        <item x="625"/>
        <item x="272"/>
        <item x="42"/>
        <item x="546"/>
        <item x="108"/>
        <item x="556"/>
        <item x="290"/>
        <item x="140"/>
        <item x="251"/>
        <item x="616"/>
        <item x="729"/>
        <item x="731"/>
        <item x="372"/>
        <item x="749"/>
        <item x="519"/>
        <item x="362"/>
        <item x="527"/>
        <item x="380"/>
        <item x="624"/>
        <item x="313"/>
        <item x="641"/>
        <item x="601"/>
        <item x="257"/>
        <item x="406"/>
        <item x="81"/>
        <item x="274"/>
        <item x="105"/>
        <item x="337"/>
        <item x="534"/>
        <item x="747"/>
        <item x="369"/>
        <item x="510"/>
        <item x="189"/>
        <item x="737"/>
        <item x="612"/>
        <item x="133"/>
        <item x="296"/>
        <item x="505"/>
        <item sd="0" x="8"/>
        <item x="432"/>
        <item x="350"/>
        <item x="721"/>
        <item x="329"/>
        <item x="542"/>
        <item x="171"/>
        <item x="664"/>
        <item x="68"/>
        <item x="310"/>
        <item x="150"/>
        <item x="88"/>
        <item sd="0" x="13"/>
        <item x="211"/>
        <item x="246"/>
        <item x="732"/>
        <item x="610"/>
        <item x="129"/>
        <item x="338"/>
        <item x="400"/>
        <item x="101"/>
        <item x="345"/>
        <item x="530"/>
        <item x="113"/>
        <item x="532"/>
        <item x="552"/>
        <item x="260"/>
        <item x="537"/>
        <item x="695"/>
        <item x="175"/>
        <item x="514"/>
        <item x="676"/>
        <item x="398"/>
        <item x="250"/>
        <item x="604"/>
        <item x="470"/>
        <item x="353"/>
        <item x="163"/>
        <item x="673"/>
        <item x="572"/>
        <item x="196"/>
        <item x="590"/>
        <item x="340"/>
        <item x="348"/>
        <item x="442"/>
        <item x="711"/>
        <item x="591"/>
        <item x="739"/>
        <item x="58"/>
        <item x="73"/>
        <item x="156"/>
        <item x="630"/>
        <item sd="0" x="5"/>
        <item x="474"/>
        <item x="469"/>
        <item x="717"/>
        <item x="309"/>
        <item x="744"/>
        <item x="713"/>
        <item x="708"/>
        <item x="689"/>
        <item x="294"/>
        <item x="475"/>
        <item sd="0" x="23"/>
        <item x="513"/>
        <item x="52"/>
        <item x="103"/>
        <item x="259"/>
        <item x="354"/>
        <item x="333"/>
        <item x="35"/>
        <item x="391"/>
        <item x="233"/>
        <item x="456"/>
        <item x="656"/>
        <item x="454"/>
        <item x="457"/>
        <item x="589"/>
        <item x="244"/>
        <item sd="0" x="30"/>
        <item x="446"/>
        <item x="100"/>
        <item x="629"/>
        <item x="722"/>
        <item x="440"/>
        <item x="225"/>
        <item x="285"/>
        <item x="482"/>
        <item x="435"/>
        <item x="261"/>
        <item x="237"/>
        <item x="202"/>
        <item x="379"/>
        <item x="49"/>
        <item x="429"/>
        <item x="143"/>
        <item sd="0" x="1"/>
        <item x="139"/>
        <item sd="0" x="12"/>
        <item x="472"/>
        <item x="77"/>
        <item x="633"/>
        <item x="286"/>
        <item x="53"/>
        <item x="736"/>
        <item x="98"/>
        <item x="430"/>
        <item x="413"/>
        <item x="436"/>
        <item x="533"/>
        <item x="507"/>
        <item x="154"/>
        <item x="271"/>
        <item x="43"/>
        <item x="420"/>
        <item x="330"/>
        <item x="490"/>
        <item x="78"/>
        <item sd="0" x="19"/>
        <item x="608"/>
        <item x="418"/>
        <item x="422"/>
        <item x="287"/>
        <item x="686"/>
        <item x="227"/>
        <item x="576"/>
        <item x="307"/>
        <item x="192"/>
        <item x="402"/>
        <item x="376"/>
        <item x="328"/>
        <item x="647"/>
        <item x="200"/>
        <item x="477"/>
        <item x="613"/>
        <item x="87"/>
        <item x="138"/>
        <item x="627"/>
        <item x="84"/>
        <item x="496"/>
        <item x="493"/>
        <item x="384"/>
        <item x="724"/>
        <item x="332"/>
        <item x="265"/>
        <item x="705"/>
        <item x="565"/>
        <item x="71"/>
        <item x="476"/>
        <item x="592"/>
        <item x="301"/>
        <item x="555"/>
        <item x="162"/>
        <item x="342"/>
        <item x="385"/>
        <item x="115"/>
        <item x="319"/>
        <item x="574"/>
        <item x="300"/>
        <item x="443"/>
        <item x="212"/>
        <item x="67"/>
        <item x="151"/>
        <item x="70"/>
        <item x="270"/>
        <item x="232"/>
        <item x="276"/>
        <item x="222"/>
        <item x="179"/>
        <item x="323"/>
        <item x="258"/>
        <item x="343"/>
        <item x="553"/>
        <item x="681"/>
        <item x="91"/>
        <item x="252"/>
        <item x="480"/>
        <item x="134"/>
        <item x="637"/>
        <item x="508"/>
        <item x="119"/>
        <item x="643"/>
        <item sd="0" x="16"/>
        <item x="389"/>
        <item x="320"/>
        <item x="69"/>
        <item x="118"/>
        <item x="618"/>
        <item x="662"/>
        <item x="386"/>
        <item x="217"/>
        <item x="375"/>
        <item x="424"/>
        <item x="368"/>
        <item x="341"/>
        <item x="96"/>
        <item x="178"/>
        <item x="484"/>
        <item x="229"/>
        <item x="693"/>
        <item x="144"/>
        <item x="186"/>
        <item x="121"/>
        <item x="82"/>
        <item sd="0" x="4"/>
        <item x="137"/>
        <item x="46"/>
        <item x="650"/>
        <item x="568"/>
        <item sd="0" x="11"/>
        <item x="83"/>
        <item x="55"/>
        <item x="561"/>
        <item x="174"/>
        <item x="392"/>
        <item x="215"/>
        <item x="364"/>
        <item x="324"/>
        <item x="224"/>
        <item x="657"/>
        <item x="278"/>
        <item x="593"/>
        <item x="586"/>
        <item x="461"/>
        <item x="184"/>
        <item x="615"/>
        <item x="626"/>
        <item x="502"/>
        <item x="750"/>
        <item x="416"/>
        <item x="450"/>
        <item x="571"/>
        <item x="718"/>
        <item x="92"/>
        <item x="363"/>
        <item x="504"/>
        <item x="538"/>
        <item x="355"/>
        <item x="431"/>
        <item x="381"/>
        <item x="423"/>
        <item x="602"/>
        <item x="433"/>
        <item x="707"/>
        <item x="130"/>
        <item x="336"/>
        <item x="692"/>
        <item x="122"/>
        <item x="603"/>
        <item x="701"/>
        <item x="235"/>
        <item x="220"/>
        <item x="428"/>
        <item x="516"/>
        <item sd="0" x="6"/>
        <item x="550"/>
        <item sd="0" x="7"/>
        <item x="102"/>
        <item x="512"/>
        <item x="107"/>
        <item x="303"/>
        <item x="414"/>
        <item x="266"/>
        <item x="282"/>
        <item x="733"/>
        <item x="541"/>
        <item x="299"/>
        <item x="247"/>
        <item x="632"/>
        <item x="488"/>
        <item x="183"/>
        <item x="499"/>
        <item x="562"/>
        <item sd="0" x="32"/>
        <item x="245"/>
        <item x="554"/>
        <item x="218"/>
        <item x="72"/>
        <item x="161"/>
        <item x="147"/>
        <item x="114"/>
        <item x="195"/>
        <item x="411"/>
        <item x="680"/>
        <item x="56"/>
        <item x="236"/>
        <item x="240"/>
        <item x="506"/>
        <item x="394"/>
        <item x="241"/>
        <item x="47"/>
        <item x="89"/>
        <item x="500"/>
        <item x="396"/>
        <item x="85"/>
        <item x="452"/>
        <item x="598"/>
        <item x="685"/>
        <item x="397"/>
        <item x="501"/>
        <item x="344"/>
        <item x="639"/>
        <item x="524"/>
        <item x="609"/>
        <item x="654"/>
        <item x="544"/>
        <item x="131"/>
        <item sd="0" x="33"/>
        <item x="167"/>
        <item x="346"/>
        <item x="334"/>
        <item x="522"/>
        <item x="659"/>
        <item x="491"/>
        <item x="378"/>
        <item x="311"/>
        <item x="216"/>
        <item x="314"/>
        <item x="50"/>
        <item x="438"/>
        <item x="149"/>
        <item x="331"/>
        <item x="234"/>
        <item x="116"/>
        <item x="725"/>
        <item x="600"/>
        <item x="444"/>
        <item x="359"/>
        <item x="226"/>
        <item x="374"/>
        <item x="741"/>
        <item x="421"/>
        <item x="448"/>
        <item x="104"/>
        <item x="395"/>
        <item x="606"/>
        <item x="543"/>
        <item x="198"/>
        <item x="663"/>
        <item x="264"/>
        <item x="723"/>
        <item x="208"/>
        <item x="288"/>
        <item x="201"/>
        <item x="248"/>
        <item x="230"/>
        <item x="487"/>
        <item x="238"/>
        <item x="3"/>
        <item x="489"/>
        <item x="204"/>
        <item x="460"/>
        <item x="80"/>
        <item x="498"/>
        <item x="401"/>
        <item x="679"/>
        <item x="388"/>
        <item x="349"/>
        <item x="607"/>
        <item x="635"/>
        <item x="339"/>
        <item x="410"/>
        <item x="111"/>
        <item x="464"/>
        <item x="128"/>
        <item x="59"/>
        <item x="622"/>
        <item x="605"/>
        <item x="735"/>
        <item x="335"/>
        <item x="207"/>
        <item x="682"/>
        <item x="273"/>
        <item x="672"/>
        <item x="569"/>
        <item x="312"/>
        <item x="243"/>
        <item x="465"/>
        <item x="468"/>
        <item x="249"/>
        <item x="678"/>
        <item x="367"/>
        <item x="124"/>
        <item x="578"/>
        <item sd="0" x="17"/>
        <item x="404"/>
        <item x="638"/>
        <item x="674"/>
        <item x="37"/>
        <item x="579"/>
        <item x="280"/>
        <item x="61"/>
        <item sd="0" x="14"/>
        <item x="621"/>
        <item x="387"/>
        <item x="567"/>
        <item x="132"/>
        <item sd="0" x="24"/>
        <item x="596"/>
        <item x="594"/>
        <item sd="0" x="28"/>
        <item sd="0" x="25"/>
        <item x="738"/>
        <item x="704"/>
        <item x="582"/>
        <item x="322"/>
        <item x="425"/>
        <item sd="0" x="20"/>
        <item x="462"/>
        <item x="463"/>
        <item x="483"/>
        <item x="536"/>
        <item sd="0" x="0"/>
        <item t="default"/>
      </items>
    </pivotField>
    <pivotField dataField="1"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1"/>
  </rowFields>
  <rowItems count="75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t="grand">
      <x/>
    </i>
  </rowItems>
  <colItems count="1">
    <i/>
  </colItems>
  <dataFields count="1">
    <dataField name="COUNTA of CPF" fld="2" subtotal="count" baseField="0" baseItem="0"/>
  </dataFields>
  <pivotTableStyleInfo showRowHeaders="1" showColHeaders="1" showLastColumn="1"/>
</pivotTableDefinition>
</file>

<file path=xl/pivotTables/pivotTable3.xml><?xml version="1.0" encoding="utf-8"?>
<pivotTableDefinition xmlns="http://schemas.openxmlformats.org/spreadsheetml/2006/main" name="Dashboard 11" cacheId="1" autoFormatId="1" applyNumberFormats="0" applyBorderFormats="0" applyFontFormats="0" applyPatternFormats="0" applyAlignmentFormats="0" applyWidthHeightFormats="1" dataCaption="" updatedVersion="5" compact="0" compactData="0" showDrill="1">
  <location ref="AI3:AJ18" firstHeaderRow="1" firstDataRow="1" firstDataCol="1"/>
  <pivotFields count="34">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dataField="1" compact="0" sortType="ascending" outline="0" multipleItemSelectionAllowed="1" showAll="0">
      <items count="15">
        <item x="9"/>
        <item x="8"/>
        <item x="1"/>
        <item x="3"/>
        <item x="11"/>
        <item x="7"/>
        <item x="12"/>
        <item x="5"/>
        <item x="4"/>
        <item x="10"/>
        <item x="2"/>
        <item x="6"/>
        <item x="13"/>
        <item x="0"/>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24"/>
  </rowFields>
  <rowItems count="15">
    <i>
      <x/>
    </i>
    <i>
      <x v="1"/>
    </i>
    <i>
      <x v="2"/>
    </i>
    <i>
      <x v="3"/>
    </i>
    <i>
      <x v="4"/>
    </i>
    <i>
      <x v="5"/>
    </i>
    <i>
      <x v="6"/>
    </i>
    <i>
      <x v="7"/>
    </i>
    <i>
      <x v="8"/>
    </i>
    <i>
      <x v="9"/>
    </i>
    <i>
      <x v="10"/>
    </i>
    <i>
      <x v="11"/>
    </i>
    <i>
      <x v="12"/>
    </i>
    <i>
      <x v="13"/>
    </i>
    <i t="grand">
      <x/>
    </i>
  </rowItems>
  <colItems count="1">
    <i/>
  </colItems>
  <dataFields count="1">
    <dataField name="COUNTA of Motivo de busca por atendimento no Atende Gestante" fld="24" subtotal="count" baseField="0" baseItem="0"/>
  </dataFields>
  <pivotTableStyleInfo showRowHeaders="1" showColHeaders="1" showLastColumn="1"/>
</pivotTableDefinition>
</file>

<file path=xl/pivotTables/pivotTable4.xml><?xml version="1.0" encoding="utf-8"?>
<pivotTableDefinition xmlns="http://schemas.openxmlformats.org/spreadsheetml/2006/main" name="Dashboard 10" cacheId="1" autoFormatId="1" applyNumberFormats="0" applyBorderFormats="0" applyFontFormats="0" applyPatternFormats="0" applyAlignmentFormats="0" applyWidthHeightFormats="1" dataCaption="" updatedVersion="5" compact="0" compactData="0" showDrill="1">
  <location ref="AF3:AG12" firstHeaderRow="1" firstDataRow="1" firstDataCol="1"/>
  <pivotFields count="34">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dataField="1" compact="0" sortType="ascending" outline="0" multipleItemSelectionAllowed="1" showAll="0">
      <items count="9">
        <item x="7"/>
        <item x="2"/>
        <item x="4"/>
        <item x="1"/>
        <item x="6"/>
        <item x="5"/>
        <item x="3"/>
        <item x="0"/>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23"/>
  </rowFields>
  <rowItems count="9">
    <i>
      <x/>
    </i>
    <i>
      <x v="1"/>
    </i>
    <i>
      <x v="2"/>
    </i>
    <i>
      <x v="3"/>
    </i>
    <i>
      <x v="4"/>
    </i>
    <i>
      <x v="5"/>
    </i>
    <i>
      <x v="6"/>
    </i>
    <i>
      <x v="7"/>
    </i>
    <i t="grand">
      <x/>
    </i>
  </rowItems>
  <colItems count="1">
    <i/>
  </colItems>
  <dataFields count="1">
    <dataField name="COUNTA of Selecione o tipo de demanda" fld="23" subtotal="count" baseField="0" baseItem="0"/>
  </dataFields>
  <pivotTableStyleInfo showRowHeaders="1" showColHeaders="1" showLastColumn="1"/>
</pivotTableDefinition>
</file>

<file path=xl/pivotTables/pivotTable5.xml><?xml version="1.0" encoding="utf-8"?>
<pivotTableDefinition xmlns="http://schemas.openxmlformats.org/spreadsheetml/2006/main" name="Dashboard 4" cacheId="1" autoFormatId="1" applyNumberFormats="0" applyBorderFormats="0" applyFontFormats="0" applyPatternFormats="0" applyAlignmentFormats="0" applyWidthHeightFormats="1" dataCaption="" updatedVersion="5" compact="0" compactData="0" showDrill="1">
  <location ref="N3:O11" firstHeaderRow="1" firstDataRow="1" firstDataCol="1"/>
  <pivotFields count="34">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dataField="1" compact="0" sortType="ascending" outline="0" multipleItemSelectionAllowed="1" showAll="0">
      <items count="8">
        <item x="4"/>
        <item x="1"/>
        <item x="5"/>
        <item x="6"/>
        <item x="2"/>
        <item x="3"/>
        <item x="0"/>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6"/>
  </rowFields>
  <rowItems count="8">
    <i>
      <x/>
    </i>
    <i>
      <x v="1"/>
    </i>
    <i>
      <x v="2"/>
    </i>
    <i>
      <x v="3"/>
    </i>
    <i>
      <x v="4"/>
    </i>
    <i>
      <x v="5"/>
    </i>
    <i>
      <x v="6"/>
    </i>
    <i t="grand">
      <x/>
    </i>
  </rowItems>
  <colItems count="1">
    <i/>
  </colItems>
  <dataFields count="1">
    <dataField name="COUNTA of Raça/cor" fld="6" subtotal="count" baseField="0" baseItem="0"/>
  </dataFields>
  <pivotTableStyleInfo showRowHeaders="1" showColHeaders="1" showLastColumn="1"/>
</pivotTableDefinition>
</file>

<file path=xl/pivotTables/pivotTable6.xml><?xml version="1.0" encoding="utf-8"?>
<pivotTableDefinition xmlns="http://schemas.openxmlformats.org/spreadsheetml/2006/main" name="Dashboard 5" cacheId="2" autoFormatId="1" applyNumberFormats="0" applyBorderFormats="0" applyFontFormats="0" applyPatternFormats="0" applyAlignmentFormats="0" applyWidthHeightFormats="1" dataCaption="" updatedVersion="5" compact="0" compactData="0" showDrill="1">
  <location ref="Q3:R315" firstHeaderRow="1" firstDataRow="1" firstDataCol="1"/>
  <pivotFields count="34">
    <pivotField compact="0" outline="0" multipleItemSelectionAllowed="1" showAll="0"/>
    <pivotField dataField="1"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sortType="ascending" outline="0" multipleItemSelectionAllowed="1" showAll="0">
      <items count="312">
        <item x="78"/>
        <item x="53"/>
        <item x="19"/>
        <item x="202"/>
        <item x="280"/>
        <item x="140"/>
        <item x="211"/>
        <item x="125"/>
        <item x="4"/>
        <item x="103"/>
        <item x="186"/>
        <item x="74"/>
        <item x="300"/>
        <item x="16"/>
        <item x="237"/>
        <item x="233"/>
        <item x="232"/>
        <item x="216"/>
        <item x="151"/>
        <item x="154"/>
        <item x="214"/>
        <item x="113"/>
        <item x="178"/>
        <item x="129"/>
        <item x="18"/>
        <item x="21"/>
        <item x="200"/>
        <item x="137"/>
        <item x="203"/>
        <item x="2"/>
        <item x="69"/>
        <item x="107"/>
        <item x="106"/>
        <item x="130"/>
        <item x="206"/>
        <item x="227"/>
        <item x="168"/>
        <item x="156"/>
        <item x="29"/>
        <item x="13"/>
        <item x="136"/>
        <item x="210"/>
        <item x="212"/>
        <item x="289"/>
        <item x="191"/>
        <item x="157"/>
        <item x="213"/>
        <item x="96"/>
        <item x="294"/>
        <item x="144"/>
        <item x="119"/>
        <item x="62"/>
        <item x="44"/>
        <item x="87"/>
        <item x="257"/>
        <item x="188"/>
        <item x="155"/>
        <item x="52"/>
        <item x="249"/>
        <item x="43"/>
        <item x="132"/>
        <item x="32"/>
        <item x="264"/>
        <item x="3"/>
        <item x="244"/>
        <item x="172"/>
        <item x="171"/>
        <item x="80"/>
        <item x="235"/>
        <item x="46"/>
        <item x="197"/>
        <item x="265"/>
        <item x="141"/>
        <item x="305"/>
        <item x="189"/>
        <item x="115"/>
        <item x="112"/>
        <item x="255"/>
        <item x="8"/>
        <item x="306"/>
        <item x="181"/>
        <item x="139"/>
        <item x="269"/>
        <item x="160"/>
        <item x="152"/>
        <item x="275"/>
        <item x="114"/>
        <item x="175"/>
        <item x="97"/>
        <item x="65"/>
        <item x="166"/>
        <item x="274"/>
        <item x="145"/>
        <item x="101"/>
        <item x="120"/>
        <item x="30"/>
        <item x="98"/>
        <item x="109"/>
        <item x="95"/>
        <item x="238"/>
        <item x="296"/>
        <item x="290"/>
        <item x="61"/>
        <item x="184"/>
        <item x="252"/>
        <item x="182"/>
        <item x="133"/>
        <item x="79"/>
        <item x="240"/>
        <item x="176"/>
        <item x="230"/>
        <item x="285"/>
        <item x="248"/>
        <item x="279"/>
        <item x="204"/>
        <item x="15"/>
        <item x="77"/>
        <item x="288"/>
        <item x="286"/>
        <item x="250"/>
        <item x="67"/>
        <item x="38"/>
        <item x="34"/>
        <item x="209"/>
        <item x="59"/>
        <item x="54"/>
        <item x="26"/>
        <item x="35"/>
        <item x="310"/>
        <item x="116"/>
        <item x="111"/>
        <item x="99"/>
        <item x="86"/>
        <item x="82"/>
        <item x="159"/>
        <item x="256"/>
        <item x="158"/>
        <item x="253"/>
        <item x="219"/>
        <item x="254"/>
        <item x="14"/>
        <item x="124"/>
        <item x="183"/>
        <item x="277"/>
        <item x="229"/>
        <item x="121"/>
        <item x="205"/>
        <item x="167"/>
        <item x="127"/>
        <item x="153"/>
        <item x="283"/>
        <item x="17"/>
        <item x="134"/>
        <item x="102"/>
        <item x="215"/>
        <item x="173"/>
        <item x="55"/>
        <item x="108"/>
        <item x="149"/>
        <item x="228"/>
        <item x="297"/>
        <item x="150"/>
        <item x="135"/>
        <item x="148"/>
        <item x="196"/>
        <item x="47"/>
        <item x="247"/>
        <item x="226"/>
        <item x="195"/>
        <item x="100"/>
        <item x="251"/>
        <item x="169"/>
        <item x="49"/>
        <item x="28"/>
        <item x="281"/>
        <item x="242"/>
        <item x="110"/>
        <item x="299"/>
        <item x="258"/>
        <item x="20"/>
        <item x="122"/>
        <item x="71"/>
        <item x="63"/>
        <item x="118"/>
        <item x="270"/>
        <item x="36"/>
        <item x="24"/>
        <item x="138"/>
        <item x="48"/>
        <item x="302"/>
        <item x="303"/>
        <item x="221"/>
        <item x="218"/>
        <item x="146"/>
        <item x="42"/>
        <item x="278"/>
        <item x="263"/>
        <item x="282"/>
        <item x="37"/>
        <item x="126"/>
        <item x="84"/>
        <item x="223"/>
        <item x="60"/>
        <item x="201"/>
        <item x="262"/>
        <item x="261"/>
        <item x="170"/>
        <item x="177"/>
        <item x="276"/>
        <item x="165"/>
        <item x="185"/>
        <item x="245"/>
        <item x="187"/>
        <item x="39"/>
        <item x="91"/>
        <item x="57"/>
        <item x="198"/>
        <item x="147"/>
        <item x="64"/>
        <item x="81"/>
        <item x="207"/>
        <item x="68"/>
        <item x="93"/>
        <item x="142"/>
        <item x="92"/>
        <item x="31"/>
        <item x="208"/>
        <item x="243"/>
        <item x="266"/>
        <item x="161"/>
        <item x="272"/>
        <item x="220"/>
        <item x="180"/>
        <item x="131"/>
        <item x="105"/>
        <item x="72"/>
        <item x="58"/>
        <item x="88"/>
        <item x="51"/>
        <item x="162"/>
        <item x="27"/>
        <item x="260"/>
        <item x="259"/>
        <item x="193"/>
        <item x="83"/>
        <item x="194"/>
        <item x="291"/>
        <item x="128"/>
        <item x="179"/>
        <item x="174"/>
        <item x="241"/>
        <item x="190"/>
        <item x="1"/>
        <item x="287"/>
        <item x="308"/>
        <item x="199"/>
        <item x="23"/>
        <item x="236"/>
        <item x="239"/>
        <item x="231"/>
        <item x="104"/>
        <item x="85"/>
        <item x="309"/>
        <item x="89"/>
        <item x="90"/>
        <item x="143"/>
        <item x="22"/>
        <item x="225"/>
        <item x="45"/>
        <item x="66"/>
        <item x="224"/>
        <item x="94"/>
        <item x="9"/>
        <item x="163"/>
        <item x="295"/>
        <item x="293"/>
        <item x="73"/>
        <item x="33"/>
        <item x="25"/>
        <item x="6"/>
        <item x="7"/>
        <item x="12"/>
        <item x="11"/>
        <item x="10"/>
        <item x="5"/>
        <item x="304"/>
        <item x="292"/>
        <item x="301"/>
        <item x="246"/>
        <item x="284"/>
        <item x="123"/>
        <item x="40"/>
        <item x="268"/>
        <item x="192"/>
        <item x="222"/>
        <item x="298"/>
        <item x="41"/>
        <item x="70"/>
        <item x="117"/>
        <item x="56"/>
        <item x="273"/>
        <item x="217"/>
        <item x="76"/>
        <item x="50"/>
        <item x="307"/>
        <item x="267"/>
        <item x="75"/>
        <item x="234"/>
        <item x="164"/>
        <item x="271"/>
        <item x="0"/>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10"/>
  </rowFields>
  <rowItems count="3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t="grand">
      <x/>
    </i>
  </rowItems>
  <colItems count="1">
    <i/>
  </colItems>
  <dataFields count="1">
    <dataField name="COUNTA of Nome" fld="1" subtotal="count" baseField="0" baseItem="0"/>
  </dataFields>
  <pivotTableStyleInfo showRowHeaders="1" showColHeaders="1" showLastColumn="1"/>
</pivotTableDefinition>
</file>

<file path=xl/pivotTables/pivotTable7.xml><?xml version="1.0" encoding="utf-8"?>
<pivotTableDefinition xmlns="http://schemas.openxmlformats.org/spreadsheetml/2006/main" name="Dashboard 3" cacheId="0" autoFormatId="1" applyNumberFormats="0" applyBorderFormats="0" applyFontFormats="0" applyPatternFormats="0" applyAlignmentFormats="0" applyWidthHeightFormats="1" dataCaption="" updatedVersion="5" compact="0" compactData="0" showDrill="1">
  <location ref="K3:L8" firstHeaderRow="1" firstDataRow="1" firstDataCol="1"/>
  <pivotFields count="34">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dataField="1" compact="0" sortType="ascending" outline="0" multipleItemSelectionAllowed="1" showAll="0">
      <items count="5">
        <item x="2"/>
        <item x="1"/>
        <item x="3"/>
        <item x="0"/>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5"/>
  </rowFields>
  <rowItems count="5">
    <i>
      <x/>
    </i>
    <i>
      <x v="1"/>
    </i>
    <i>
      <x v="2"/>
    </i>
    <i>
      <x v="3"/>
    </i>
    <i t="grand">
      <x/>
    </i>
  </rowItems>
  <colItems count="1">
    <i/>
  </colItems>
  <dataFields count="1">
    <dataField name="COUNTA of Mora em área de cobertura da ESF?" fld="5" subtotal="count" baseField="0" baseItem="0"/>
  </dataFields>
  <pivotTableStyleInfo showRowHeaders="1" showColHeaders="1" showLastColumn="1"/>
</pivotTableDefinition>
</file>

<file path=xl/pivotTables/pivotTable8.xml><?xml version="1.0" encoding="utf-8"?>
<pivotTableDefinition xmlns="http://schemas.openxmlformats.org/spreadsheetml/2006/main" name="Dashboard 14" cacheId="4" autoFormatId="1" applyNumberFormats="0" applyBorderFormats="0" applyFontFormats="0" applyPatternFormats="0" applyAlignmentFormats="0" applyWidthHeightFormats="1" dataCaption="" updatedVersion="5" compact="0" compactData="0" showDrill="1">
  <location ref="AS3:AU8" firstHeaderRow="1" firstDataRow="1" firstDataCol="2"/>
  <pivotFields count="34">
    <pivotField axis="axisRow" compact="0" sortType="ascending" outline="0" multipleItemSelectionAllowed="1" showAll="0">
      <items count="2412">
        <item x="1604"/>
        <item x="0"/>
        <item x="1"/>
        <item x="2"/>
        <item x="3"/>
        <item m="1" x="1605"/>
        <item x="4"/>
        <item m="1" x="1608"/>
        <item x="12"/>
        <item x="5"/>
        <item x="6"/>
        <item x="7"/>
        <item m="1" x="1609"/>
        <item x="13"/>
        <item m="1" x="1610"/>
        <item x="14"/>
        <item m="1" x="1606"/>
        <item x="8"/>
        <item x="9"/>
        <item x="10"/>
        <item m="1" x="1607"/>
        <item x="11"/>
        <item x="15"/>
        <item x="16"/>
        <item m="1" x="1611"/>
        <item x="17"/>
        <item m="1" x="1612"/>
        <item x="18"/>
        <item m="1" x="1613"/>
        <item x="19"/>
        <item x="20"/>
        <item x="21"/>
        <item x="22"/>
        <item x="23"/>
        <item x="24"/>
        <item x="25"/>
        <item m="1" x="1614"/>
        <item x="26"/>
        <item m="1" x="1615"/>
        <item x="27"/>
        <item x="28"/>
        <item m="1" x="1616"/>
        <item x="29"/>
        <item x="30"/>
        <item x="31"/>
        <item m="1" x="1617"/>
        <item x="32"/>
        <item x="33"/>
        <item m="1" x="1618"/>
        <item x="34"/>
        <item m="1" x="1619"/>
        <item x="35"/>
        <item x="36"/>
        <item x="37"/>
        <item x="38"/>
        <item x="39"/>
        <item m="1" x="1620"/>
        <item x="40"/>
        <item m="1" x="1621"/>
        <item x="41"/>
        <item m="1" x="1622"/>
        <item x="42"/>
        <item m="1" x="1623"/>
        <item x="43"/>
        <item m="1" x="1624"/>
        <item x="44"/>
        <item x="45"/>
        <item x="46"/>
        <item x="47"/>
        <item m="1" x="1625"/>
        <item x="48"/>
        <item x="49"/>
        <item x="50"/>
        <item m="1" x="1626"/>
        <item x="51"/>
        <item x="52"/>
        <item x="53"/>
        <item x="54"/>
        <item x="55"/>
        <item x="56"/>
        <item m="1" x="1627"/>
        <item x="57"/>
        <item x="58"/>
        <item x="59"/>
        <item x="60"/>
        <item x="61"/>
        <item m="1" x="1628"/>
        <item x="62"/>
        <item x="63"/>
        <item m="1" x="1629"/>
        <item x="64"/>
        <item x="65"/>
        <item m="1" x="1630"/>
        <item x="66"/>
        <item m="1" x="1631"/>
        <item x="67"/>
        <item m="1" x="1632"/>
        <item x="68"/>
        <item x="69"/>
        <item x="70"/>
        <item m="1" x="1633"/>
        <item x="71"/>
        <item m="1" x="1634"/>
        <item x="72"/>
        <item m="1" x="1635"/>
        <item x="73"/>
        <item x="74"/>
        <item m="1" x="1636"/>
        <item x="75"/>
        <item x="76"/>
        <item x="77"/>
        <item m="1" x="1637"/>
        <item x="78"/>
        <item x="79"/>
        <item m="1" x="1638"/>
        <item x="80"/>
        <item m="1" x="1639"/>
        <item x="81"/>
        <item x="82"/>
        <item x="83"/>
        <item x="84"/>
        <item x="85"/>
        <item x="86"/>
        <item m="1" x="1640"/>
        <item x="87"/>
        <item x="88"/>
        <item x="89"/>
        <item x="90"/>
        <item m="1" x="1641"/>
        <item x="91"/>
        <item m="1" x="1642"/>
        <item x="92"/>
        <item m="1" x="1643"/>
        <item x="93"/>
        <item m="1" x="1644"/>
        <item x="94"/>
        <item x="95"/>
        <item m="1" x="1645"/>
        <item x="96"/>
        <item m="1" x="1646"/>
        <item x="97"/>
        <item m="1" x="1647"/>
        <item x="98"/>
        <item m="1" x="1648"/>
        <item x="99"/>
        <item x="100"/>
        <item x="101"/>
        <item m="1" x="1649"/>
        <item x="102"/>
        <item m="1" x="1650"/>
        <item x="103"/>
        <item m="1" x="1651"/>
        <item x="104"/>
        <item m="1" x="1652"/>
        <item x="105"/>
        <item x="106"/>
        <item x="107"/>
        <item x="108"/>
        <item m="1" x="1653"/>
        <item x="109"/>
        <item m="1" x="1654"/>
        <item x="110"/>
        <item x="111"/>
        <item m="1" x="1655"/>
        <item x="112"/>
        <item x="113"/>
        <item m="1" x="1656"/>
        <item x="114"/>
        <item x="115"/>
        <item x="116"/>
        <item x="117"/>
        <item x="118"/>
        <item x="119"/>
        <item m="1" x="1657"/>
        <item x="120"/>
        <item x="121"/>
        <item x="122"/>
        <item m="1" x="1658"/>
        <item x="123"/>
        <item x="124"/>
        <item x="125"/>
        <item m="1" x="1659"/>
        <item x="126"/>
        <item x="127"/>
        <item x="128"/>
        <item m="1" x="1660"/>
        <item x="129"/>
        <item m="1" x="1661"/>
        <item x="130"/>
        <item m="1" x="1662"/>
        <item x="131"/>
        <item x="132"/>
        <item m="1" x="1663"/>
        <item x="133"/>
        <item m="1" x="1664"/>
        <item x="134"/>
        <item x="135"/>
        <item m="1" x="1665"/>
        <item x="136"/>
        <item m="1" x="1666"/>
        <item x="137"/>
        <item x="138"/>
        <item x="139"/>
        <item m="1" x="1667"/>
        <item x="140"/>
        <item x="141"/>
        <item m="1" x="1668"/>
        <item x="142"/>
        <item m="1" x="1669"/>
        <item x="143"/>
        <item x="144"/>
        <item x="145"/>
        <item m="1" x="1670"/>
        <item x="146"/>
        <item x="147"/>
        <item m="1" x="1671"/>
        <item x="148"/>
        <item m="1" x="1672"/>
        <item x="149"/>
        <item x="150"/>
        <item x="151"/>
        <item x="152"/>
        <item m="1" x="1673"/>
        <item x="153"/>
        <item x="154"/>
        <item x="155"/>
        <item x="156"/>
        <item m="1" x="1674"/>
        <item x="157"/>
        <item m="1" x="1675"/>
        <item x="158"/>
        <item m="1" x="1676"/>
        <item x="159"/>
        <item x="160"/>
        <item x="161"/>
        <item m="1" x="1677"/>
        <item x="162"/>
        <item x="163"/>
        <item x="164"/>
        <item m="1" x="1678"/>
        <item x="165"/>
        <item m="1" x="1679"/>
        <item x="166"/>
        <item x="167"/>
        <item x="168"/>
        <item x="169"/>
        <item x="170"/>
        <item x="171"/>
        <item x="172"/>
        <item m="1" x="1680"/>
        <item x="173"/>
        <item m="1" x="1681"/>
        <item x="174"/>
        <item m="1" x="1682"/>
        <item x="175"/>
        <item x="176"/>
        <item m="1" x="1683"/>
        <item x="177"/>
        <item m="1" x="1684"/>
        <item x="178"/>
        <item x="179"/>
        <item m="1" x="1685"/>
        <item x="180"/>
        <item m="1" x="1686"/>
        <item x="181"/>
        <item x="182"/>
        <item x="183"/>
        <item x="184"/>
        <item x="185"/>
        <item x="186"/>
        <item m="1" x="1687"/>
        <item x="187"/>
        <item m="1" x="1688"/>
        <item x="188"/>
        <item m="1" x="1689"/>
        <item x="189"/>
        <item x="190"/>
        <item x="191"/>
        <item x="192"/>
        <item m="1" x="1690"/>
        <item x="193"/>
        <item m="1" x="1691"/>
        <item x="194"/>
        <item x="195"/>
        <item m="1" x="1692"/>
        <item x="196"/>
        <item x="197"/>
        <item x="198"/>
        <item m="1" x="1693"/>
        <item x="199"/>
        <item m="1" x="1694"/>
        <item x="200"/>
        <item m="1" x="1695"/>
        <item x="201"/>
        <item x="202"/>
        <item m="1" x="1696"/>
        <item x="203"/>
        <item m="1" x="1697"/>
        <item x="204"/>
        <item x="205"/>
        <item x="206"/>
        <item x="207"/>
        <item x="208"/>
        <item m="1" x="1698"/>
        <item x="209"/>
        <item m="1" x="1699"/>
        <item x="210"/>
        <item m="1" x="1700"/>
        <item x="211"/>
        <item x="212"/>
        <item x="213"/>
        <item x="214"/>
        <item x="215"/>
        <item m="1" x="1701"/>
        <item x="216"/>
        <item m="1" x="1702"/>
        <item x="217"/>
        <item x="218"/>
        <item m="1" x="1703"/>
        <item x="219"/>
        <item x="220"/>
        <item x="221"/>
        <item x="222"/>
        <item m="1" x="1704"/>
        <item x="223"/>
        <item m="1" x="1705"/>
        <item x="224"/>
        <item x="225"/>
        <item m="1" x="1706"/>
        <item x="226"/>
        <item x="227"/>
        <item x="228"/>
        <item m="1" x="1707"/>
        <item x="229"/>
        <item x="230"/>
        <item m="1" x="1708"/>
        <item x="231"/>
        <item m="1" x="1709"/>
        <item x="232"/>
        <item m="1" x="1710"/>
        <item x="233"/>
        <item x="234"/>
        <item x="235"/>
        <item x="236"/>
        <item m="1" x="1711"/>
        <item x="237"/>
        <item m="1" x="1712"/>
        <item x="238"/>
        <item m="1" x="1713"/>
        <item x="239"/>
        <item m="1" x="1714"/>
        <item x="240"/>
        <item m="1" x="1715"/>
        <item x="241"/>
        <item x="242"/>
        <item x="243"/>
        <item x="244"/>
        <item m="1" x="1716"/>
        <item x="245"/>
        <item m="1" x="1717"/>
        <item x="246"/>
        <item m="1" x="1718"/>
        <item x="247"/>
        <item x="248"/>
        <item m="1" x="1719"/>
        <item x="249"/>
        <item m="1" x="1720"/>
        <item x="250"/>
        <item m="1" x="1721"/>
        <item x="251"/>
        <item m="1" x="1722"/>
        <item x="252"/>
        <item x="253"/>
        <item m="1" x="1723"/>
        <item x="254"/>
        <item m="1" x="1724"/>
        <item x="255"/>
        <item m="1" x="1725"/>
        <item x="256"/>
        <item x="257"/>
        <item m="1" x="1726"/>
        <item x="258"/>
        <item m="1" x="1727"/>
        <item x="259"/>
        <item x="260"/>
        <item m="1" x="1728"/>
        <item x="261"/>
        <item x="262"/>
        <item x="263"/>
        <item m="1" x="1729"/>
        <item x="264"/>
        <item m="1" x="1730"/>
        <item x="265"/>
        <item m="1" x="1731"/>
        <item x="266"/>
        <item m="1" x="1732"/>
        <item x="267"/>
        <item m="1" x="1733"/>
        <item x="268"/>
        <item x="269"/>
        <item x="270"/>
        <item x="271"/>
        <item x="272"/>
        <item m="1" x="1734"/>
        <item x="273"/>
        <item x="274"/>
        <item m="1" x="1735"/>
        <item x="275"/>
        <item x="276"/>
        <item x="277"/>
        <item x="278"/>
        <item x="279"/>
        <item x="280"/>
        <item m="1" x="1736"/>
        <item x="281"/>
        <item x="282"/>
        <item m="1" x="1737"/>
        <item x="283"/>
        <item m="1" x="1738"/>
        <item x="284"/>
        <item m="1" x="1739"/>
        <item x="285"/>
        <item m="1" x="1740"/>
        <item x="286"/>
        <item m="1" x="1741"/>
        <item x="287"/>
        <item m="1" x="1742"/>
        <item x="288"/>
        <item x="289"/>
        <item m="1" x="1743"/>
        <item x="290"/>
        <item x="291"/>
        <item m="1" x="1744"/>
        <item x="292"/>
        <item m="1" x="1745"/>
        <item x="293"/>
        <item m="1" x="1746"/>
        <item x="294"/>
        <item m="1" x="1747"/>
        <item x="295"/>
        <item m="1" x="1748"/>
        <item x="296"/>
        <item m="1" x="1749"/>
        <item x="297"/>
        <item x="298"/>
        <item m="1" x="1750"/>
        <item x="299"/>
        <item m="1" x="1751"/>
        <item x="300"/>
        <item x="301"/>
        <item m="1" x="1752"/>
        <item x="302"/>
        <item m="1" x="1753"/>
        <item x="303"/>
        <item m="1" x="1754"/>
        <item x="304"/>
        <item m="1" x="1755"/>
        <item x="305"/>
        <item x="311"/>
        <item m="1" x="1756"/>
        <item x="306"/>
        <item m="1" x="1757"/>
        <item x="307"/>
        <item x="308"/>
        <item m="1" x="1758"/>
        <item x="309"/>
        <item m="1" x="1759"/>
        <item x="310"/>
        <item x="312"/>
        <item x="313"/>
        <item x="314"/>
        <item x="315"/>
        <item m="1" x="1760"/>
        <item x="316"/>
        <item x="317"/>
        <item x="318"/>
        <item m="1" x="1761"/>
        <item x="319"/>
        <item x="320"/>
        <item m="1" x="1762"/>
        <item x="321"/>
        <item x="322"/>
        <item m="1" x="1763"/>
        <item x="323"/>
        <item x="324"/>
        <item m="1" x="1764"/>
        <item x="325"/>
        <item m="1" x="1765"/>
        <item x="326"/>
        <item x="327"/>
        <item m="1" x="1766"/>
        <item x="328"/>
        <item m="1" x="1767"/>
        <item x="329"/>
        <item x="330"/>
        <item x="331"/>
        <item m="1" x="1768"/>
        <item x="332"/>
        <item m="1" x="1769"/>
        <item x="333"/>
        <item m="1" x="1770"/>
        <item x="334"/>
        <item x="335"/>
        <item m="1" x="1771"/>
        <item x="336"/>
        <item m="1" x="1772"/>
        <item x="337"/>
        <item x="338"/>
        <item x="339"/>
        <item x="340"/>
        <item x="341"/>
        <item x="342"/>
        <item m="1" x="1773"/>
        <item x="343"/>
        <item m="1" x="1774"/>
        <item x="344"/>
        <item x="345"/>
        <item m="1" x="1775"/>
        <item x="346"/>
        <item m="1" x="1776"/>
        <item x="347"/>
        <item x="348"/>
        <item x="349"/>
        <item x="350"/>
        <item m="1" x="1777"/>
        <item x="351"/>
        <item m="1" x="1778"/>
        <item x="352"/>
        <item m="1" x="1779"/>
        <item x="353"/>
        <item x="354"/>
        <item m="1" x="1780"/>
        <item x="355"/>
        <item m="1" x="1781"/>
        <item x="356"/>
        <item x="357"/>
        <item m="1" x="1782"/>
        <item x="358"/>
        <item m="1" x="1783"/>
        <item x="359"/>
        <item m="1" x="1784"/>
        <item x="360"/>
        <item m="1" x="1785"/>
        <item x="361"/>
        <item m="1" x="1786"/>
        <item x="362"/>
        <item x="363"/>
        <item x="364"/>
        <item x="365"/>
        <item m="1" x="1787"/>
        <item x="366"/>
        <item m="1" x="1788"/>
        <item x="367"/>
        <item m="1" x="1789"/>
        <item x="368"/>
        <item x="369"/>
        <item x="370"/>
        <item x="371"/>
        <item m="1" x="1790"/>
        <item x="372"/>
        <item x="373"/>
        <item m="1" x="1791"/>
        <item x="374"/>
        <item m="1" x="1792"/>
        <item x="375"/>
        <item x="376"/>
        <item m="1" x="1793"/>
        <item x="377"/>
        <item x="378"/>
        <item x="379"/>
        <item x="380"/>
        <item x="381"/>
        <item x="382"/>
        <item m="1" x="1794"/>
        <item x="383"/>
        <item x="384"/>
        <item x="385"/>
        <item m="1" x="1795"/>
        <item x="386"/>
        <item x="387"/>
        <item x="388"/>
        <item x="389"/>
        <item m="1" x="1796"/>
        <item x="390"/>
        <item m="1" x="1797"/>
        <item x="391"/>
        <item m="1" x="1798"/>
        <item x="392"/>
        <item m="1" x="1799"/>
        <item x="393"/>
        <item m="1" x="1800"/>
        <item x="394"/>
        <item x="395"/>
        <item m="1" x="1801"/>
        <item x="396"/>
        <item m="1" x="1802"/>
        <item x="397"/>
        <item m="1" x="1803"/>
        <item x="398"/>
        <item m="1" x="1804"/>
        <item x="399"/>
        <item x="400"/>
        <item x="401"/>
        <item m="1" x="1805"/>
        <item x="402"/>
        <item x="403"/>
        <item m="1" x="1806"/>
        <item x="404"/>
        <item m="1" x="1807"/>
        <item x="405"/>
        <item m="1" x="1808"/>
        <item x="406"/>
        <item m="1" x="1809"/>
        <item x="407"/>
        <item x="408"/>
        <item x="409"/>
        <item m="1" x="1810"/>
        <item x="410"/>
        <item x="411"/>
        <item m="1" x="1811"/>
        <item x="412"/>
        <item x="413"/>
        <item m="1" x="1812"/>
        <item x="414"/>
        <item x="415"/>
        <item m="1" x="1813"/>
        <item x="416"/>
        <item x="417"/>
        <item m="1" x="1814"/>
        <item x="418"/>
        <item m="1" x="1815"/>
        <item x="419"/>
        <item x="420"/>
        <item x="421"/>
        <item m="1" x="1816"/>
        <item x="422"/>
        <item x="423"/>
        <item m="1" x="1817"/>
        <item x="424"/>
        <item m="1" x="1818"/>
        <item x="425"/>
        <item x="426"/>
        <item m="1" x="1819"/>
        <item x="427"/>
        <item x="428"/>
        <item m="1" x="1820"/>
        <item x="429"/>
        <item x="430"/>
        <item m="1" x="1821"/>
        <item x="431"/>
        <item x="432"/>
        <item x="433"/>
        <item m="1" x="1822"/>
        <item x="434"/>
        <item m="1" x="1823"/>
        <item x="435"/>
        <item x="436"/>
        <item m="1" x="1824"/>
        <item x="437"/>
        <item m="1" x="1825"/>
        <item x="438"/>
        <item m="1" x="1826"/>
        <item x="439"/>
        <item m="1" x="1827"/>
        <item x="440"/>
        <item m="1" x="1828"/>
        <item x="441"/>
        <item m="1" x="1829"/>
        <item x="442"/>
        <item m="1" x="1830"/>
        <item x="443"/>
        <item x="444"/>
        <item x="445"/>
        <item x="446"/>
        <item x="447"/>
        <item m="1" x="1831"/>
        <item x="448"/>
        <item m="1" x="1832"/>
        <item x="449"/>
        <item x="450"/>
        <item m="1" x="1833"/>
        <item x="451"/>
        <item m="1" x="1834"/>
        <item x="452"/>
        <item m="1" x="1835"/>
        <item x="453"/>
        <item x="454"/>
        <item x="455"/>
        <item x="456"/>
        <item m="1" x="1836"/>
        <item x="457"/>
        <item m="1" x="1837"/>
        <item x="458"/>
        <item x="459"/>
        <item x="460"/>
        <item m="1" x="1838"/>
        <item x="461"/>
        <item m="1" x="1839"/>
        <item x="462"/>
        <item m="1" x="1840"/>
        <item x="463"/>
        <item x="464"/>
        <item m="1" x="1841"/>
        <item x="465"/>
        <item m="1" x="1842"/>
        <item x="466"/>
        <item x="467"/>
        <item m="1" x="1843"/>
        <item x="468"/>
        <item x="469"/>
        <item x="470"/>
        <item x="471"/>
        <item x="472"/>
        <item m="1" x="1844"/>
        <item x="473"/>
        <item m="1" x="1845"/>
        <item x="474"/>
        <item x="475"/>
        <item x="476"/>
        <item x="477"/>
        <item x="478"/>
        <item m="1" x="1846"/>
        <item x="479"/>
        <item m="1" x="1847"/>
        <item x="480"/>
        <item m="1" x="1848"/>
        <item x="481"/>
        <item m="1" x="1849"/>
        <item x="482"/>
        <item x="483"/>
        <item m="1" x="1850"/>
        <item x="484"/>
        <item x="485"/>
        <item m="1" x="1851"/>
        <item x="486"/>
        <item x="487"/>
        <item x="488"/>
        <item x="489"/>
        <item x="490"/>
        <item m="1" x="1852"/>
        <item x="491"/>
        <item x="492"/>
        <item x="493"/>
        <item x="494"/>
        <item m="1" x="1853"/>
        <item x="495"/>
        <item m="1" x="1854"/>
        <item x="496"/>
        <item x="497"/>
        <item m="1" x="1855"/>
        <item x="498"/>
        <item m="1" x="1856"/>
        <item x="499"/>
        <item x="500"/>
        <item x="501"/>
        <item m="1" x="1857"/>
        <item x="502"/>
        <item m="1" x="1858"/>
        <item x="503"/>
        <item x="504"/>
        <item m="1" x="1859"/>
        <item x="505"/>
        <item m="1" x="1860"/>
        <item x="506"/>
        <item x="507"/>
        <item m="1" x="1861"/>
        <item x="508"/>
        <item x="509"/>
        <item x="510"/>
        <item x="511"/>
        <item m="1" x="1862"/>
        <item x="512"/>
        <item m="1" x="1863"/>
        <item x="513"/>
        <item x="514"/>
        <item m="1" x="1864"/>
        <item x="515"/>
        <item x="516"/>
        <item m="1" x="1865"/>
        <item x="517"/>
        <item x="518"/>
        <item m="1" x="1866"/>
        <item x="519"/>
        <item m="1" x="1867"/>
        <item x="520"/>
        <item m="1" x="1868"/>
        <item x="521"/>
        <item m="1" x="1869"/>
        <item x="522"/>
        <item x="523"/>
        <item m="1" x="1870"/>
        <item x="524"/>
        <item m="1" x="1871"/>
        <item x="525"/>
        <item m="1" x="1872"/>
        <item x="526"/>
        <item m="1" x="1873"/>
        <item x="527"/>
        <item x="528"/>
        <item m="1" x="1874"/>
        <item x="529"/>
        <item m="1" x="1875"/>
        <item x="530"/>
        <item m="1" x="1876"/>
        <item x="531"/>
        <item x="532"/>
        <item x="533"/>
        <item m="1" x="1877"/>
        <item x="534"/>
        <item x="535"/>
        <item x="536"/>
        <item m="1" x="1878"/>
        <item x="537"/>
        <item x="538"/>
        <item x="539"/>
        <item x="540"/>
        <item x="541"/>
        <item m="1" x="1879"/>
        <item x="542"/>
        <item m="1" x="1880"/>
        <item x="543"/>
        <item x="544"/>
        <item x="545"/>
        <item x="546"/>
        <item x="547"/>
        <item m="1" x="1881"/>
        <item x="548"/>
        <item x="549"/>
        <item x="550"/>
        <item x="551"/>
        <item x="552"/>
        <item x="553"/>
        <item m="1" x="1882"/>
        <item x="554"/>
        <item m="1" x="1883"/>
        <item x="555"/>
        <item m="1" x="1884"/>
        <item x="556"/>
        <item x="557"/>
        <item x="558"/>
        <item x="559"/>
        <item x="560"/>
        <item m="1" x="1885"/>
        <item x="561"/>
        <item x="562"/>
        <item m="1" x="1886"/>
        <item x="563"/>
        <item m="1" x="1887"/>
        <item x="564"/>
        <item m="1" x="1888"/>
        <item x="565"/>
        <item x="566"/>
        <item m="1" x="1889"/>
        <item x="567"/>
        <item x="568"/>
        <item x="569"/>
        <item m="1" x="1890"/>
        <item x="570"/>
        <item x="571"/>
        <item x="572"/>
        <item m="1" x="1891"/>
        <item x="573"/>
        <item x="574"/>
        <item m="1" x="1892"/>
        <item x="575"/>
        <item m="1" x="1893"/>
        <item x="576"/>
        <item x="577"/>
        <item m="1" x="1894"/>
        <item x="578"/>
        <item x="579"/>
        <item x="580"/>
        <item x="581"/>
        <item x="582"/>
        <item m="1" x="1895"/>
        <item x="583"/>
        <item m="1" x="1896"/>
        <item x="584"/>
        <item x="585"/>
        <item x="586"/>
        <item m="1" x="1897"/>
        <item x="587"/>
        <item x="588"/>
        <item x="589"/>
        <item m="1" x="1898"/>
        <item x="590"/>
        <item x="591"/>
        <item m="1" x="1899"/>
        <item x="592"/>
        <item x="593"/>
        <item m="1" x="1900"/>
        <item x="594"/>
        <item m="1" x="1901"/>
        <item x="595"/>
        <item x="596"/>
        <item m="1" x="1902"/>
        <item x="597"/>
        <item m="1" x="1903"/>
        <item x="598"/>
        <item m="1" x="1904"/>
        <item x="599"/>
        <item m="1" x="1905"/>
        <item x="600"/>
        <item m="1" x="1906"/>
        <item x="601"/>
        <item m="1" x="1907"/>
        <item x="602"/>
        <item x="603"/>
        <item m="1" x="1908"/>
        <item x="604"/>
        <item x="605"/>
        <item m="1" x="1909"/>
        <item x="606"/>
        <item m="1" x="1910"/>
        <item x="607"/>
        <item x="608"/>
        <item m="1" x="1911"/>
        <item x="609"/>
        <item m="1" x="1912"/>
        <item x="610"/>
        <item x="611"/>
        <item m="1" x="1913"/>
        <item x="612"/>
        <item x="613"/>
        <item m="1" x="1914"/>
        <item x="614"/>
        <item m="1" x="1915"/>
        <item x="615"/>
        <item x="616"/>
        <item m="1" x="1916"/>
        <item x="617"/>
        <item m="1" x="1917"/>
        <item x="618"/>
        <item m="1" x="1918"/>
        <item x="619"/>
        <item x="620"/>
        <item m="1" x="1919"/>
        <item x="621"/>
        <item x="622"/>
        <item m="1" x="1920"/>
        <item x="623"/>
        <item x="624"/>
        <item m="1" x="1921"/>
        <item x="625"/>
        <item m="1" x="1922"/>
        <item x="626"/>
        <item m="1" x="1923"/>
        <item x="627"/>
        <item x="628"/>
        <item x="629"/>
        <item m="1" x="1924"/>
        <item x="630"/>
        <item m="1" x="1925"/>
        <item x="631"/>
        <item m="1" x="1926"/>
        <item x="632"/>
        <item m="1" x="1927"/>
        <item x="633"/>
        <item m="1" x="1928"/>
        <item x="634"/>
        <item m="1" x="1929"/>
        <item x="635"/>
        <item m="1" x="1930"/>
        <item x="636"/>
        <item x="637"/>
        <item m="1" x="1931"/>
        <item x="638"/>
        <item m="1" x="1932"/>
        <item x="639"/>
        <item m="1" x="1933"/>
        <item x="640"/>
        <item m="1" x="1934"/>
        <item x="641"/>
        <item x="642"/>
        <item m="1" x="1935"/>
        <item x="643"/>
        <item x="644"/>
        <item m="1" x="1936"/>
        <item x="645"/>
        <item m="1" x="1937"/>
        <item x="646"/>
        <item m="1" x="1938"/>
        <item x="647"/>
        <item x="648"/>
        <item m="1" x="1939"/>
        <item x="649"/>
        <item x="650"/>
        <item m="1" x="1940"/>
        <item x="651"/>
        <item x="652"/>
        <item x="653"/>
        <item x="654"/>
        <item x="655"/>
        <item x="656"/>
        <item m="1" x="1941"/>
        <item x="657"/>
        <item m="1" x="1942"/>
        <item x="658"/>
        <item m="1" x="1943"/>
        <item x="659"/>
        <item x="660"/>
        <item x="661"/>
        <item x="662"/>
        <item m="1" x="1944"/>
        <item x="663"/>
        <item x="664"/>
        <item x="665"/>
        <item x="666"/>
        <item m="1" x="1945"/>
        <item x="667"/>
        <item x="668"/>
        <item x="669"/>
        <item x="670"/>
        <item m="1" x="1946"/>
        <item x="671"/>
        <item m="1" x="1947"/>
        <item x="672"/>
        <item m="1" x="1948"/>
        <item x="673"/>
        <item m="1" x="1949"/>
        <item x="674"/>
        <item x="675"/>
        <item x="676"/>
        <item m="1" x="1950"/>
        <item x="677"/>
        <item x="678"/>
        <item x="679"/>
        <item m="1" x="1951"/>
        <item x="680"/>
        <item m="1" x="1952"/>
        <item x="681"/>
        <item m="1" x="1953"/>
        <item x="682"/>
        <item x="684"/>
        <item x="685"/>
        <item m="1" x="1954"/>
        <item x="683"/>
        <item m="1" x="1955"/>
        <item x="686"/>
        <item m="1" x="1956"/>
        <item x="687"/>
        <item m="1" x="1957"/>
        <item x="688"/>
        <item m="1" x="1958"/>
        <item x="689"/>
        <item x="690"/>
        <item m="1" x="1959"/>
        <item x="691"/>
        <item x="692"/>
        <item m="1" x="1960"/>
        <item x="693"/>
        <item x="694"/>
        <item x="695"/>
        <item x="696"/>
        <item m="1" x="1961"/>
        <item x="697"/>
        <item m="1" x="1962"/>
        <item x="698"/>
        <item x="699"/>
        <item x="700"/>
        <item m="1" x="1963"/>
        <item x="701"/>
        <item m="1" x="1964"/>
        <item x="702"/>
        <item x="703"/>
        <item m="1" x="1965"/>
        <item x="704"/>
        <item x="705"/>
        <item m="1" x="1966"/>
        <item x="706"/>
        <item x="707"/>
        <item m="1" x="1967"/>
        <item x="708"/>
        <item m="1" x="1968"/>
        <item x="709"/>
        <item m="1" x="1969"/>
        <item x="710"/>
        <item x="711"/>
        <item m="1" x="1970"/>
        <item x="712"/>
        <item m="1" x="1971"/>
        <item x="713"/>
        <item m="1" x="1972"/>
        <item x="714"/>
        <item m="1" x="1973"/>
        <item x="715"/>
        <item x="716"/>
        <item x="717"/>
        <item x="718"/>
        <item x="719"/>
        <item m="1" x="1974"/>
        <item x="720"/>
        <item x="721"/>
        <item x="722"/>
        <item x="723"/>
        <item x="724"/>
        <item m="1" x="1975"/>
        <item x="725"/>
        <item x="726"/>
        <item m="1" x="1976"/>
        <item x="727"/>
        <item x="728"/>
        <item x="729"/>
        <item x="730"/>
        <item x="731"/>
        <item x="732"/>
        <item x="733"/>
        <item x="734"/>
        <item x="735"/>
        <item x="736"/>
        <item m="1" x="1977"/>
        <item x="737"/>
        <item m="1" x="1978"/>
        <item x="738"/>
        <item x="739"/>
        <item m="1" x="1979"/>
        <item x="740"/>
        <item m="1" x="1980"/>
        <item x="741"/>
        <item m="1" x="1981"/>
        <item x="742"/>
        <item m="1" x="1982"/>
        <item x="743"/>
        <item x="744"/>
        <item m="1" x="1983"/>
        <item x="745"/>
        <item x="746"/>
        <item x="747"/>
        <item x="748"/>
        <item x="749"/>
        <item m="1" x="1984"/>
        <item x="750"/>
        <item m="1" x="1985"/>
        <item x="751"/>
        <item x="752"/>
        <item x="753"/>
        <item x="754"/>
        <item x="755"/>
        <item x="756"/>
        <item x="757"/>
        <item m="1" x="1986"/>
        <item x="758"/>
        <item m="1" x="1987"/>
        <item x="759"/>
        <item m="1" x="1988"/>
        <item x="760"/>
        <item m="1" x="1989"/>
        <item x="761"/>
        <item x="762"/>
        <item m="1" x="1990"/>
        <item x="763"/>
        <item x="764"/>
        <item m="1" x="1991"/>
        <item x="765"/>
        <item m="1" x="1992"/>
        <item x="766"/>
        <item m="1" x="1993"/>
        <item x="767"/>
        <item m="1" x="1994"/>
        <item x="768"/>
        <item x="769"/>
        <item x="770"/>
        <item m="1" x="1995"/>
        <item x="771"/>
        <item m="1" x="1996"/>
        <item x="772"/>
        <item m="1" x="1997"/>
        <item x="773"/>
        <item x="774"/>
        <item m="1" x="1998"/>
        <item x="775"/>
        <item x="776"/>
        <item x="777"/>
        <item x="778"/>
        <item m="1" x="1999"/>
        <item x="779"/>
        <item x="780"/>
        <item m="1" x="2000"/>
        <item x="781"/>
        <item x="782"/>
        <item x="783"/>
        <item x="784"/>
        <item x="785"/>
        <item x="786"/>
        <item x="787"/>
        <item m="1" x="2001"/>
        <item x="788"/>
        <item x="789"/>
        <item m="1" x="2002"/>
        <item x="790"/>
        <item x="791"/>
        <item m="1" x="2003"/>
        <item x="792"/>
        <item x="793"/>
        <item m="1" x="2004"/>
        <item x="794"/>
        <item x="795"/>
        <item x="796"/>
        <item m="1" x="2005"/>
        <item x="797"/>
        <item m="1" x="2006"/>
        <item x="798"/>
        <item m="1" x="2007"/>
        <item x="799"/>
        <item m="1" x="2008"/>
        <item x="800"/>
        <item x="801"/>
        <item x="802"/>
        <item m="1" x="2009"/>
        <item x="803"/>
        <item x="804"/>
        <item m="1" x="2010"/>
        <item x="805"/>
        <item m="1" x="2011"/>
        <item x="806"/>
        <item x="807"/>
        <item m="1" x="2012"/>
        <item x="808"/>
        <item x="809"/>
        <item x="810"/>
        <item x="811"/>
        <item x="812"/>
        <item x="813"/>
        <item x="814"/>
        <item x="815"/>
        <item x="816"/>
        <item x="817"/>
        <item x="818"/>
        <item m="1" x="2013"/>
        <item x="819"/>
        <item x="820"/>
        <item m="1" x="2014"/>
        <item x="821"/>
        <item m="1" x="2015"/>
        <item x="822"/>
        <item m="1" x="2016"/>
        <item x="823"/>
        <item x="824"/>
        <item x="825"/>
        <item x="826"/>
        <item m="1" x="2017"/>
        <item x="827"/>
        <item x="828"/>
        <item x="829"/>
        <item m="1" x="2018"/>
        <item x="830"/>
        <item x="831"/>
        <item x="832"/>
        <item m="1" x="2019"/>
        <item x="833"/>
        <item x="834"/>
        <item x="835"/>
        <item m="1" x="2020"/>
        <item x="836"/>
        <item x="837"/>
        <item m="1" x="2021"/>
        <item x="838"/>
        <item m="1" x="2022"/>
        <item x="839"/>
        <item x="840"/>
        <item x="841"/>
        <item m="1" x="2023"/>
        <item x="842"/>
        <item m="1" x="2024"/>
        <item x="843"/>
        <item m="1" x="2025"/>
        <item x="844"/>
        <item m="1" x="2026"/>
        <item x="845"/>
        <item m="1" x="2027"/>
        <item x="846"/>
        <item x="847"/>
        <item m="1" x="2028"/>
        <item x="848"/>
        <item x="849"/>
        <item x="850"/>
        <item x="851"/>
        <item m="1" x="2029"/>
        <item x="852"/>
        <item m="1" x="2030"/>
        <item x="853"/>
        <item m="1" x="2031"/>
        <item x="854"/>
        <item m="1" x="2032"/>
        <item x="855"/>
        <item m="1" x="2033"/>
        <item x="856"/>
        <item m="1" x="2034"/>
        <item x="857"/>
        <item x="858"/>
        <item m="1" x="2035"/>
        <item x="859"/>
        <item m="1" x="2036"/>
        <item x="860"/>
        <item x="861"/>
        <item m="1" x="2037"/>
        <item x="862"/>
        <item x="863"/>
        <item m="1" x="2038"/>
        <item x="864"/>
        <item x="865"/>
        <item x="866"/>
        <item m="1" x="2039"/>
        <item x="867"/>
        <item m="1" x="2040"/>
        <item x="868"/>
        <item m="1" x="2041"/>
        <item x="869"/>
        <item x="876"/>
        <item m="1" x="2042"/>
        <item x="870"/>
        <item x="871"/>
        <item m="1" x="2043"/>
        <item x="872"/>
        <item x="873"/>
        <item m="1" x="2044"/>
        <item x="874"/>
        <item m="1" x="2045"/>
        <item x="875"/>
        <item m="1" x="2046"/>
        <item x="877"/>
        <item x="878"/>
        <item m="1" x="2047"/>
        <item x="879"/>
        <item m="1" x="2048"/>
        <item x="880"/>
        <item m="1" x="2049"/>
        <item x="881"/>
        <item x="882"/>
        <item x="883"/>
        <item m="1" x="2050"/>
        <item x="884"/>
        <item m="1" x="2051"/>
        <item x="885"/>
        <item x="886"/>
        <item m="1" x="2052"/>
        <item x="887"/>
        <item m="1" x="2053"/>
        <item x="888"/>
        <item x="889"/>
        <item x="890"/>
        <item x="891"/>
        <item m="1" x="2054"/>
        <item x="892"/>
        <item m="1" x="2055"/>
        <item x="893"/>
        <item x="894"/>
        <item m="1" x="2056"/>
        <item x="895"/>
        <item x="896"/>
        <item m="1" x="2057"/>
        <item x="897"/>
        <item x="898"/>
        <item x="899"/>
        <item m="1" x="2058"/>
        <item x="900"/>
        <item m="1" x="2059"/>
        <item x="901"/>
        <item x="902"/>
        <item m="1" x="2060"/>
        <item x="903"/>
        <item m="1" x="2061"/>
        <item x="904"/>
        <item m="1" x="2062"/>
        <item x="905"/>
        <item m="1" x="2063"/>
        <item x="906"/>
        <item x="907"/>
        <item x="908"/>
        <item x="909"/>
        <item m="1" x="2064"/>
        <item x="910"/>
        <item x="911"/>
        <item x="912"/>
        <item m="1" x="2065"/>
        <item x="913"/>
        <item m="1" x="2066"/>
        <item x="914"/>
        <item m="1" x="2067"/>
        <item x="915"/>
        <item m="1" x="2068"/>
        <item x="916"/>
        <item m="1" x="2069"/>
        <item x="917"/>
        <item x="918"/>
        <item m="1" x="2070"/>
        <item x="919"/>
        <item x="920"/>
        <item x="921"/>
        <item m="1" x="2071"/>
        <item x="922"/>
        <item x="923"/>
        <item x="924"/>
        <item x="925"/>
        <item m="1" x="2072"/>
        <item x="926"/>
        <item m="1" x="2073"/>
        <item x="927"/>
        <item x="928"/>
        <item x="929"/>
        <item m="1" x="2074"/>
        <item x="930"/>
        <item x="931"/>
        <item m="1" x="2075"/>
        <item x="932"/>
        <item m="1" x="2076"/>
        <item x="933"/>
        <item m="1" x="2077"/>
        <item x="934"/>
        <item x="935"/>
        <item x="936"/>
        <item x="937"/>
        <item m="1" x="2078"/>
        <item x="938"/>
        <item x="939"/>
        <item x="940"/>
        <item m="1" x="2079"/>
        <item x="941"/>
        <item m="1" x="2080"/>
        <item x="942"/>
        <item x="943"/>
        <item x="944"/>
        <item x="945"/>
        <item m="1" x="2081"/>
        <item x="946"/>
        <item m="1" x="2082"/>
        <item x="947"/>
        <item m="1" x="2083"/>
        <item x="948"/>
        <item m="1" x="2084"/>
        <item x="949"/>
        <item x="950"/>
        <item m="1" x="2085"/>
        <item x="951"/>
        <item x="952"/>
        <item m="1" x="2086"/>
        <item x="953"/>
        <item x="954"/>
        <item m="1" x="2087"/>
        <item x="955"/>
        <item x="956"/>
        <item m="1" x="2088"/>
        <item x="957"/>
        <item x="958"/>
        <item x="959"/>
        <item m="1" x="2089"/>
        <item x="960"/>
        <item m="1" x="2090"/>
        <item x="961"/>
        <item m="1" x="2091"/>
        <item x="962"/>
        <item x="963"/>
        <item m="1" x="2092"/>
        <item x="964"/>
        <item x="965"/>
        <item m="1" x="2093"/>
        <item x="966"/>
        <item x="967"/>
        <item m="1" x="2094"/>
        <item x="968"/>
        <item x="969"/>
        <item x="970"/>
        <item x="971"/>
        <item m="1" x="2095"/>
        <item x="972"/>
        <item x="973"/>
        <item m="1" x="2096"/>
        <item x="974"/>
        <item m="1" x="2097"/>
        <item x="975"/>
        <item x="976"/>
        <item x="977"/>
        <item m="1" x="2098"/>
        <item x="978"/>
        <item x="979"/>
        <item x="980"/>
        <item m="1" x="2099"/>
        <item x="981"/>
        <item m="1" x="2100"/>
        <item x="982"/>
        <item x="983"/>
        <item x="984"/>
        <item m="1" x="2101"/>
        <item x="985"/>
        <item x="986"/>
        <item x="987"/>
        <item m="1" x="2102"/>
        <item x="988"/>
        <item x="989"/>
        <item m="1" x="2103"/>
        <item x="990"/>
        <item m="1" x="2104"/>
        <item x="991"/>
        <item x="992"/>
        <item m="1" x="2105"/>
        <item x="993"/>
        <item m="1" x="2106"/>
        <item x="994"/>
        <item x="995"/>
        <item x="996"/>
        <item m="1" x="2107"/>
        <item x="997"/>
        <item x="998"/>
        <item x="999"/>
        <item m="1" x="2108"/>
        <item x="1000"/>
        <item m="1" x="2109"/>
        <item x="1001"/>
        <item x="1002"/>
        <item m="1" x="2110"/>
        <item x="1003"/>
        <item m="1" x="2111"/>
        <item x="1004"/>
        <item x="1005"/>
        <item x="1006"/>
        <item m="1" x="2112"/>
        <item x="1007"/>
        <item x="1008"/>
        <item m="1" x="2113"/>
        <item x="1009"/>
        <item x="1010"/>
        <item x="1011"/>
        <item m="1" x="2114"/>
        <item x="1012"/>
        <item x="1013"/>
        <item m="1" x="2115"/>
        <item x="1014"/>
        <item m="1" x="2116"/>
        <item x="1015"/>
        <item x="1016"/>
        <item x="1017"/>
        <item x="1018"/>
        <item x="1019"/>
        <item m="1" x="2117"/>
        <item x="1020"/>
        <item m="1" x="2118"/>
        <item x="1021"/>
        <item x="1022"/>
        <item m="1" x="2119"/>
        <item x="1023"/>
        <item m="1" x="2120"/>
        <item x="1024"/>
        <item x="1025"/>
        <item x="1026"/>
        <item m="1" x="2121"/>
        <item x="1027"/>
        <item m="1" x="2122"/>
        <item x="1028"/>
        <item m="1" x="2123"/>
        <item x="1029"/>
        <item m="1" x="2124"/>
        <item x="1030"/>
        <item x="1031"/>
        <item m="1" x="2125"/>
        <item x="1032"/>
        <item x="1033"/>
        <item x="1034"/>
        <item x="1035"/>
        <item m="1" x="2126"/>
        <item x="1036"/>
        <item m="1" x="2127"/>
        <item x="1037"/>
        <item m="1" x="2128"/>
        <item x="1038"/>
        <item m="1" x="2129"/>
        <item x="1039"/>
        <item m="1" x="2130"/>
        <item x="1040"/>
        <item x="1041"/>
        <item m="1" x="2131"/>
        <item x="1042"/>
        <item x="1043"/>
        <item x="1044"/>
        <item m="1" x="2132"/>
        <item x="1045"/>
        <item m="1" x="2133"/>
        <item x="1046"/>
        <item m="1" x="2134"/>
        <item x="1047"/>
        <item x="1048"/>
        <item m="1" x="2135"/>
        <item x="1049"/>
        <item x="1050"/>
        <item x="1051"/>
        <item x="1052"/>
        <item m="1" x="2136"/>
        <item x="1053"/>
        <item m="1" x="2137"/>
        <item x="1054"/>
        <item m="1" x="2138"/>
        <item x="1055"/>
        <item x="1056"/>
        <item x="1057"/>
        <item m="1" x="2139"/>
        <item x="1058"/>
        <item m="1" x="2140"/>
        <item x="1059"/>
        <item m="1" x="2141"/>
        <item x="1060"/>
        <item x="1061"/>
        <item x="1062"/>
        <item m="1" x="2142"/>
        <item x="1063"/>
        <item m="1" x="2143"/>
        <item x="1064"/>
        <item x="1065"/>
        <item m="1" x="2144"/>
        <item x="1066"/>
        <item m="1" x="2145"/>
        <item x="1067"/>
        <item x="1068"/>
        <item x="1069"/>
        <item x="1070"/>
        <item x="1071"/>
        <item m="1" x="2146"/>
        <item x="1072"/>
        <item x="1073"/>
        <item m="1" x="2147"/>
        <item x="1074"/>
        <item m="1" x="2148"/>
        <item x="1075"/>
        <item m="1" x="2149"/>
        <item x="1076"/>
        <item x="1077"/>
        <item m="1" x="2150"/>
        <item x="1078"/>
        <item m="1" x="2151"/>
        <item x="1079"/>
        <item x="1080"/>
        <item x="1081"/>
        <item m="1" x="2152"/>
        <item x="1082"/>
        <item x="1083"/>
        <item x="1084"/>
        <item x="1085"/>
        <item m="1" x="2153"/>
        <item x="1086"/>
        <item m="1" x="2154"/>
        <item x="1087"/>
        <item x="1088"/>
        <item x="1089"/>
        <item x="1090"/>
        <item m="1" x="2155"/>
        <item x="1091"/>
        <item m="1" x="2156"/>
        <item x="1092"/>
        <item x="1093"/>
        <item x="1094"/>
        <item x="1095"/>
        <item m="1" x="2157"/>
        <item x="1096"/>
        <item m="1" x="2158"/>
        <item x="1097"/>
        <item m="1" x="2159"/>
        <item x="1098"/>
        <item m="1" x="2160"/>
        <item x="1099"/>
        <item m="1" x="2161"/>
        <item x="1100"/>
        <item x="1101"/>
        <item x="1102"/>
        <item x="1103"/>
        <item m="1" x="2162"/>
        <item x="1104"/>
        <item m="1" x="2163"/>
        <item x="1105"/>
        <item m="1" x="2164"/>
        <item x="1106"/>
        <item m="1" x="2165"/>
        <item x="1107"/>
        <item m="1" x="2166"/>
        <item x="1108"/>
        <item x="1109"/>
        <item x="1110"/>
        <item m="1" x="2167"/>
        <item x="1111"/>
        <item m="1" x="2168"/>
        <item x="1112"/>
        <item m="1" x="2169"/>
        <item x="1113"/>
        <item x="1114"/>
        <item x="1115"/>
        <item x="1116"/>
        <item m="1" x="2170"/>
        <item x="1117"/>
        <item x="1118"/>
        <item m="1" x="2171"/>
        <item x="1119"/>
        <item x="1120"/>
        <item x="1121"/>
        <item x="1122"/>
        <item x="1123"/>
        <item m="1" x="2172"/>
        <item x="1124"/>
        <item x="1125"/>
        <item m="1" x="2173"/>
        <item x="1126"/>
        <item x="1127"/>
        <item x="1128"/>
        <item m="1" x="2174"/>
        <item x="1129"/>
        <item m="1" x="2175"/>
        <item x="1130"/>
        <item x="1131"/>
        <item m="1" x="2176"/>
        <item x="1132"/>
        <item x="1133"/>
        <item x="1134"/>
        <item m="1" x="2177"/>
        <item x="1135"/>
        <item x="1136"/>
        <item x="1137"/>
        <item x="1138"/>
        <item x="1139"/>
        <item m="1" x="2178"/>
        <item x="1140"/>
        <item m="1" x="2179"/>
        <item x="1141"/>
        <item m="1" x="2180"/>
        <item x="1142"/>
        <item x="1143"/>
        <item m="1" x="2181"/>
        <item x="1144"/>
        <item x="1145"/>
        <item m="1" x="2182"/>
        <item x="1146"/>
        <item m="1" x="2183"/>
        <item x="1147"/>
        <item x="1148"/>
        <item m="1" x="2184"/>
        <item x="1149"/>
        <item x="1150"/>
        <item x="1151"/>
        <item m="1" x="2185"/>
        <item x="1152"/>
        <item m="1" x="2186"/>
        <item x="1153"/>
        <item x="1154"/>
        <item m="1" x="2187"/>
        <item x="1155"/>
        <item x="1156"/>
        <item m="1" x="2188"/>
        <item x="1157"/>
        <item x="1158"/>
        <item m="1" x="2189"/>
        <item x="1159"/>
        <item x="1160"/>
        <item m="1" x="2190"/>
        <item x="1161"/>
        <item m="1" x="2191"/>
        <item x="1162"/>
        <item m="1" x="2192"/>
        <item x="1163"/>
        <item m="1" x="2193"/>
        <item x="1164"/>
        <item x="1165"/>
        <item x="1166"/>
        <item x="1167"/>
        <item m="1" x="2194"/>
        <item x="1168"/>
        <item m="1" x="2195"/>
        <item x="1169"/>
        <item m="1" x="2196"/>
        <item x="1170"/>
        <item x="1171"/>
        <item x="1172"/>
        <item x="1173"/>
        <item x="1174"/>
        <item m="1" x="2197"/>
        <item x="1175"/>
        <item m="1" x="2198"/>
        <item x="1176"/>
        <item x="1177"/>
        <item x="1178"/>
        <item m="1" x="2199"/>
        <item x="1179"/>
        <item x="1180"/>
        <item m="1" x="2200"/>
        <item x="1181"/>
        <item m="1" x="2201"/>
        <item x="1182"/>
        <item x="1183"/>
        <item x="1184"/>
        <item m="1" x="2202"/>
        <item x="1185"/>
        <item m="1" x="2203"/>
        <item x="1186"/>
        <item x="1187"/>
        <item m="1" x="2204"/>
        <item x="1188"/>
        <item x="1189"/>
        <item m="1" x="2205"/>
        <item x="1190"/>
        <item x="1191"/>
        <item x="1192"/>
        <item m="1" x="2206"/>
        <item x="1193"/>
        <item m="1" x="2207"/>
        <item x="1194"/>
        <item x="1195"/>
        <item x="1196"/>
        <item x="1197"/>
        <item m="1" x="2208"/>
        <item x="1198"/>
        <item x="1199"/>
        <item m="1" x="2209"/>
        <item x="1200"/>
        <item x="1201"/>
        <item m="1" x="2210"/>
        <item x="1202"/>
        <item x="1203"/>
        <item x="1204"/>
        <item m="1" x="2211"/>
        <item x="1205"/>
        <item m="1" x="2212"/>
        <item x="1206"/>
        <item m="1" x="2213"/>
        <item x="1207"/>
        <item m="1" x="2214"/>
        <item x="1208"/>
        <item x="1209"/>
        <item m="1" x="2215"/>
        <item x="1210"/>
        <item x="1211"/>
        <item m="1" x="2216"/>
        <item x="1212"/>
        <item x="1213"/>
        <item m="1" x="2217"/>
        <item x="1214"/>
        <item x="1215"/>
        <item m="1" x="2218"/>
        <item x="1216"/>
        <item m="1" x="2219"/>
        <item x="1217"/>
        <item m="1" x="2220"/>
        <item x="1218"/>
        <item x="1219"/>
        <item x="1220"/>
        <item x="1221"/>
        <item m="1" x="2221"/>
        <item x="1222"/>
        <item m="1" x="2222"/>
        <item x="1223"/>
        <item x="1224"/>
        <item m="1" x="2223"/>
        <item x="1225"/>
        <item x="1226"/>
        <item m="1" x="2224"/>
        <item x="1227"/>
        <item x="1228"/>
        <item m="1" x="2225"/>
        <item x="1229"/>
        <item m="1" x="2226"/>
        <item x="1230"/>
        <item m="1" x="2227"/>
        <item x="1231"/>
        <item m="1" x="2228"/>
        <item x="1232"/>
        <item m="1" x="2229"/>
        <item x="1233"/>
        <item m="1" x="2230"/>
        <item x="1234"/>
        <item x="1235"/>
        <item m="1" x="2231"/>
        <item x="1236"/>
        <item x="1237"/>
        <item m="1" x="2232"/>
        <item x="1238"/>
        <item x="1239"/>
        <item m="1" x="2233"/>
        <item x="1240"/>
        <item x="1241"/>
        <item m="1" x="2234"/>
        <item x="1242"/>
        <item x="1243"/>
        <item m="1" x="2235"/>
        <item x="1244"/>
        <item x="1245"/>
        <item m="1" x="2236"/>
        <item x="1246"/>
        <item x="1247"/>
        <item x="1248"/>
        <item x="1249"/>
        <item x="1250"/>
        <item x="1251"/>
        <item m="1" x="2237"/>
        <item x="1252"/>
        <item m="1" x="2238"/>
        <item x="1253"/>
        <item x="1254"/>
        <item x="1255"/>
        <item m="1" x="2239"/>
        <item x="1256"/>
        <item m="1" x="2240"/>
        <item x="1257"/>
        <item m="1" x="2241"/>
        <item x="1258"/>
        <item x="1259"/>
        <item x="1260"/>
        <item m="1" x="2242"/>
        <item x="1261"/>
        <item m="1" x="2243"/>
        <item x="1262"/>
        <item m="1" x="2244"/>
        <item x="1263"/>
        <item m="1" x="2245"/>
        <item x="1264"/>
        <item x="1265"/>
        <item x="1266"/>
        <item m="1" x="2246"/>
        <item x="1267"/>
        <item m="1" x="2247"/>
        <item x="1268"/>
        <item x="1269"/>
        <item x="1270"/>
        <item m="1" x="2248"/>
        <item x="1271"/>
        <item x="1272"/>
        <item x="1273"/>
        <item m="1" x="2249"/>
        <item x="1274"/>
        <item x="1275"/>
        <item m="1" x="2250"/>
        <item x="1276"/>
        <item x="1277"/>
        <item m="1" x="2251"/>
        <item x="1278"/>
        <item x="1279"/>
        <item x="1280"/>
        <item m="1" x="2252"/>
        <item x="1281"/>
        <item m="1" x="2253"/>
        <item x="1282"/>
        <item x="1283"/>
        <item m="1" x="2254"/>
        <item x="1284"/>
        <item m="1" x="2255"/>
        <item x="1285"/>
        <item m="1" x="2256"/>
        <item x="1286"/>
        <item x="1287"/>
        <item x="1288"/>
        <item x="1289"/>
        <item x="1290"/>
        <item x="1291"/>
        <item x="1292"/>
        <item m="1" x="2257"/>
        <item x="1293"/>
        <item x="1294"/>
        <item x="1295"/>
        <item x="1296"/>
        <item m="1" x="2258"/>
        <item x="1297"/>
        <item m="1" x="2259"/>
        <item x="1298"/>
        <item m="1" x="2260"/>
        <item x="1299"/>
        <item m="1" x="2261"/>
        <item x="1300"/>
        <item m="1" x="2262"/>
        <item x="1301"/>
        <item m="1" x="2263"/>
        <item x="1302"/>
        <item x="1303"/>
        <item x="1304"/>
        <item m="1" x="2264"/>
        <item x="1305"/>
        <item m="1" x="2265"/>
        <item x="1306"/>
        <item m="1" x="2266"/>
        <item x="1307"/>
        <item m="1" x="2267"/>
        <item x="1308"/>
        <item m="1" x="2268"/>
        <item x="1309"/>
        <item m="1" x="2269"/>
        <item x="1310"/>
        <item m="1" x="2270"/>
        <item x="1311"/>
        <item x="1312"/>
        <item m="1" x="2271"/>
        <item x="1313"/>
        <item x="1314"/>
        <item m="1" x="2272"/>
        <item x="1315"/>
        <item m="1" x="2273"/>
        <item x="1316"/>
        <item m="1" x="2274"/>
        <item x="1317"/>
        <item m="1" x="2275"/>
        <item x="1318"/>
        <item m="1" x="2276"/>
        <item x="1319"/>
        <item m="1" x="2277"/>
        <item x="1320"/>
        <item x="1321"/>
        <item m="1" x="2278"/>
        <item x="1322"/>
        <item x="1323"/>
        <item x="1324"/>
        <item m="1" x="2279"/>
        <item x="1325"/>
        <item x="1326"/>
        <item m="1" x="2280"/>
        <item x="1327"/>
        <item m="1" x="2281"/>
        <item x="1328"/>
        <item x="1329"/>
        <item x="1330"/>
        <item m="1" x="2282"/>
        <item x="1331"/>
        <item x="1332"/>
        <item x="1333"/>
        <item x="1334"/>
        <item m="1" x="2283"/>
        <item x="1335"/>
        <item m="1" x="2284"/>
        <item x="1336"/>
        <item m="1" x="2285"/>
        <item x="1337"/>
        <item x="1338"/>
        <item x="1339"/>
        <item m="1" x="2286"/>
        <item x="1340"/>
        <item m="1" x="2287"/>
        <item x="1341"/>
        <item m="1" x="2288"/>
        <item x="1342"/>
        <item x="1343"/>
        <item m="1" x="2289"/>
        <item x="1344"/>
        <item x="1345"/>
        <item x="1346"/>
        <item x="1347"/>
        <item x="1348"/>
        <item m="1" x="2290"/>
        <item x="1349"/>
        <item x="1350"/>
        <item m="1" x="2291"/>
        <item x="1351"/>
        <item x="1352"/>
        <item x="1353"/>
        <item m="1" x="2292"/>
        <item x="1354"/>
        <item m="1" x="2293"/>
        <item x="1355"/>
        <item m="1" x="2294"/>
        <item x="1356"/>
        <item m="1" x="2295"/>
        <item x="1357"/>
        <item m="1" x="2296"/>
        <item x="1358"/>
        <item m="1" x="2297"/>
        <item x="1359"/>
        <item m="1" x="2298"/>
        <item x="1360"/>
        <item x="1361"/>
        <item x="1362"/>
        <item m="1" x="2299"/>
        <item x="1363"/>
        <item x="1364"/>
        <item x="1365"/>
        <item m="1" x="2300"/>
        <item x="1366"/>
        <item m="1" x="2301"/>
        <item x="1367"/>
        <item x="1368"/>
        <item x="1369"/>
        <item m="1" x="2302"/>
        <item x="1370"/>
        <item x="1371"/>
        <item x="1372"/>
        <item m="1" x="2303"/>
        <item x="1373"/>
        <item x="1374"/>
        <item x="1375"/>
        <item m="1" x="2304"/>
        <item x="1376"/>
        <item x="1377"/>
        <item m="1" x="2305"/>
        <item x="1378"/>
        <item m="1" x="2306"/>
        <item x="1379"/>
        <item m="1" x="2307"/>
        <item x="1380"/>
        <item m="1" x="2308"/>
        <item x="1381"/>
        <item x="1382"/>
        <item m="1" x="2309"/>
        <item x="1383"/>
        <item m="1" x="2310"/>
        <item x="1384"/>
        <item x="1385"/>
        <item m="1" x="2311"/>
        <item x="1386"/>
        <item x="1387"/>
        <item x="1388"/>
        <item m="1" x="2312"/>
        <item x="1389"/>
        <item m="1" x="2313"/>
        <item x="1390"/>
        <item m="1" x="2314"/>
        <item x="1391"/>
        <item m="1" x="2315"/>
        <item x="1392"/>
        <item m="1" x="2316"/>
        <item x="1393"/>
        <item m="1" x="2317"/>
        <item x="1394"/>
        <item x="1395"/>
        <item x="1396"/>
        <item m="1" x="2318"/>
        <item x="1397"/>
        <item x="1398"/>
        <item x="1399"/>
        <item x="1400"/>
        <item x="1401"/>
        <item x="1402"/>
        <item x="1403"/>
        <item x="1404"/>
        <item x="1405"/>
        <item m="1" x="2319"/>
        <item x="1406"/>
        <item m="1" x="2320"/>
        <item x="1407"/>
        <item m="1" x="2321"/>
        <item x="1408"/>
        <item m="1" x="2322"/>
        <item x="1409"/>
        <item m="1" x="2323"/>
        <item x="1410"/>
        <item m="1" x="2324"/>
        <item x="1411"/>
        <item x="1412"/>
        <item x="1413"/>
        <item x="1414"/>
        <item x="1415"/>
        <item x="1416"/>
        <item x="1417"/>
        <item x="1418"/>
        <item x="1419"/>
        <item x="1420"/>
        <item m="1" x="2325"/>
        <item x="1421"/>
        <item m="1" x="2326"/>
        <item x="1422"/>
        <item x="1423"/>
        <item x="1424"/>
        <item x="1425"/>
        <item x="1426"/>
        <item m="1" x="2327"/>
        <item x="1427"/>
        <item x="1428"/>
        <item m="1" x="2328"/>
        <item x="1429"/>
        <item x="1430"/>
        <item x="1431"/>
        <item x="1432"/>
        <item x="1433"/>
        <item m="1" x="2329"/>
        <item x="1434"/>
        <item m="1" x="2330"/>
        <item x="1435"/>
        <item m="1" x="2331"/>
        <item x="1436"/>
        <item m="1" x="2332"/>
        <item x="1437"/>
        <item m="1" x="2333"/>
        <item x="1438"/>
        <item x="1439"/>
        <item x="1440"/>
        <item m="1" x="2334"/>
        <item x="1441"/>
        <item x="1442"/>
        <item m="1" x="2335"/>
        <item x="1443"/>
        <item x="1444"/>
        <item m="1" x="2336"/>
        <item x="1445"/>
        <item x="1446"/>
        <item m="1" x="2337"/>
        <item x="1447"/>
        <item m="1" x="2338"/>
        <item x="1448"/>
        <item x="1449"/>
        <item m="1" x="2339"/>
        <item x="1450"/>
        <item m="1" x="2340"/>
        <item x="1451"/>
        <item m="1" x="2341"/>
        <item x="1452"/>
        <item m="1" x="2342"/>
        <item x="1453"/>
        <item x="1454"/>
        <item x="1455"/>
        <item x="1456"/>
        <item m="1" x="2343"/>
        <item x="1457"/>
        <item x="1458"/>
        <item x="1459"/>
        <item m="1" x="2344"/>
        <item x="1460"/>
        <item x="1461"/>
        <item x="1462"/>
        <item m="1" x="2345"/>
        <item x="1463"/>
        <item m="1" x="2346"/>
        <item x="1464"/>
        <item m="1" x="2347"/>
        <item x="1465"/>
        <item m="1" x="2348"/>
        <item x="1466"/>
        <item x="1467"/>
        <item x="1468"/>
        <item x="1469"/>
        <item x="1470"/>
        <item x="1475"/>
        <item m="1" x="2349"/>
        <item x="1471"/>
        <item x="1472"/>
        <item m="1" x="2350"/>
        <item x="1473"/>
        <item m="1" x="2351"/>
        <item x="1474"/>
        <item m="1" x="2352"/>
        <item x="1476"/>
        <item x="1477"/>
        <item m="1" x="2353"/>
        <item x="1478"/>
        <item x="1479"/>
        <item m="1" x="2354"/>
        <item x="1480"/>
        <item m="1" x="2355"/>
        <item x="1481"/>
        <item x="1482"/>
        <item x="1483"/>
        <item m="1" x="2356"/>
        <item x="1484"/>
        <item x="1485"/>
        <item m="1" x="2357"/>
        <item x="1486"/>
        <item m="1" x="2358"/>
        <item x="1487"/>
        <item x="1488"/>
        <item m="1" x="2359"/>
        <item x="1489"/>
        <item m="1" x="2360"/>
        <item x="1490"/>
        <item x="1491"/>
        <item m="1" x="2361"/>
        <item x="1492"/>
        <item m="1" x="2362"/>
        <item x="1493"/>
        <item m="1" x="2363"/>
        <item x="1494"/>
        <item m="1" x="2364"/>
        <item x="1495"/>
        <item x="1496"/>
        <item m="1" x="2365"/>
        <item x="1497"/>
        <item x="1498"/>
        <item x="1499"/>
        <item x="1500"/>
        <item m="1" x="2366"/>
        <item x="1501"/>
        <item x="1502"/>
        <item m="1" x="2367"/>
        <item x="1503"/>
        <item x="1504"/>
        <item m="1" x="2368"/>
        <item x="1505"/>
        <item x="1506"/>
        <item x="1507"/>
        <item m="1" x="2369"/>
        <item x="1508"/>
        <item x="1509"/>
        <item m="1" x="2370"/>
        <item x="1510"/>
        <item m="1" x="2371"/>
        <item x="1511"/>
        <item x="1512"/>
        <item m="1" x="2372"/>
        <item x="1513"/>
        <item x="1514"/>
        <item m="1" x="2373"/>
        <item x="1515"/>
        <item x="1516"/>
        <item x="1517"/>
        <item m="1" x="2374"/>
        <item x="1518"/>
        <item m="1" x="2375"/>
        <item x="1519"/>
        <item x="1520"/>
        <item x="1521"/>
        <item m="1" x="2376"/>
        <item x="1522"/>
        <item x="1523"/>
        <item x="1524"/>
        <item m="1" x="2377"/>
        <item x="1525"/>
        <item m="1" x="2378"/>
        <item x="1526"/>
        <item x="1527"/>
        <item x="1528"/>
        <item x="1529"/>
        <item x="1530"/>
        <item x="1531"/>
        <item m="1" x="2379"/>
        <item x="1532"/>
        <item x="1533"/>
        <item m="1" x="2380"/>
        <item x="1534"/>
        <item x="1535"/>
        <item x="1536"/>
        <item m="1" x="2381"/>
        <item x="1537"/>
        <item m="1" x="2382"/>
        <item x="1538"/>
        <item x="1539"/>
        <item x="1540"/>
        <item x="1541"/>
        <item x="1542"/>
        <item m="1" x="2383"/>
        <item x="1543"/>
        <item x="1544"/>
        <item m="1" x="2384"/>
        <item x="1545"/>
        <item m="1" x="2385"/>
        <item x="1546"/>
        <item x="1547"/>
        <item m="1" x="2386"/>
        <item x="1548"/>
        <item m="1" x="2387"/>
        <item x="1549"/>
        <item m="1" x="2388"/>
        <item x="1550"/>
        <item m="1" x="2389"/>
        <item x="1551"/>
        <item x="1552"/>
        <item x="1553"/>
        <item m="1" x="2390"/>
        <item x="1554"/>
        <item m="1" x="2391"/>
        <item x="1555"/>
        <item x="1556"/>
        <item x="1557"/>
        <item x="1558"/>
        <item x="1559"/>
        <item m="1" x="2392"/>
        <item x="1560"/>
        <item m="1" x="2393"/>
        <item x="1561"/>
        <item x="1562"/>
        <item m="1" x="2394"/>
        <item x="1563"/>
        <item m="1" x="2395"/>
        <item x="1564"/>
        <item m="1" x="2396"/>
        <item x="1565"/>
        <item m="1" x="2397"/>
        <item x="1566"/>
        <item x="1567"/>
        <item x="1568"/>
        <item m="1" x="2398"/>
        <item x="1569"/>
        <item x="1570"/>
        <item m="1" x="2399"/>
        <item x="1571"/>
        <item m="1" x="2400"/>
        <item x="1572"/>
        <item m="1" x="2401"/>
        <item x="1573"/>
        <item x="1574"/>
        <item x="1575"/>
        <item m="1" x="2402"/>
        <item x="1576"/>
        <item x="1577"/>
        <item m="1" x="2403"/>
        <item x="1578"/>
        <item x="1579"/>
        <item x="1580"/>
        <item m="1" x="2404"/>
        <item x="1581"/>
        <item x="1582"/>
        <item m="1" x="2405"/>
        <item x="1583"/>
        <item x="1584"/>
        <item x="1585"/>
        <item x="1586"/>
        <item x="1587"/>
        <item x="1588"/>
        <item x="1589"/>
        <item m="1" x="2406"/>
        <item x="1590"/>
        <item x="1591"/>
        <item x="1592"/>
        <item m="1" x="2407"/>
        <item x="1593"/>
        <item m="1" x="2408"/>
        <item x="1594"/>
        <item x="1595"/>
        <item x="1596"/>
        <item x="1597"/>
        <item x="1598"/>
        <item x="1599"/>
        <item m="1" x="2409"/>
        <item x="1600"/>
        <item x="1601"/>
        <item m="1" x="2410"/>
        <item x="1602"/>
        <item x="1603"/>
        <item t="default"/>
      </items>
    </pivotField>
    <pivotField dataField="1"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sortType="ascending" defaultSubtotal="0" outline="0" multipleItemSelectionAllowed="1" showAll="0">
      <items count="7">
        <item m="1" x="6"/>
        <item m="1" x="5"/>
        <item m="1" x="4"/>
        <item sd="0" x="1"/>
        <item sd="0" x="3"/>
        <item sd="0" x="2"/>
        <item sd="0" x="0"/>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2">
    <field x="13"/>
    <field x="0"/>
  </rowFields>
  <rowItems count="5">
    <i>
      <x v="3"/>
    </i>
    <i>
      <x v="4"/>
    </i>
    <i>
      <x v="5"/>
    </i>
    <i>
      <x v="6"/>
    </i>
    <i t="grand">
      <x/>
    </i>
  </rowItems>
  <colItems count="1">
    <i/>
  </colItems>
  <dataFields count="1">
    <dataField name="COUNTA of Nome" fld="1" subtotal="count" baseField="0" baseItem="0"/>
  </dataFields>
  <pivotTableStyleInfo showRowHeaders="1" showColHeaders="1" showLastColumn="1"/>
</pivotTableDefinition>
</file>

<file path=xl/pivotTables/pivotTable9.xml><?xml version="1.0" encoding="utf-8"?>
<pivotTableDefinition xmlns="http://schemas.openxmlformats.org/spreadsheetml/2006/main" name="Dashboard 6" cacheId="1" autoFormatId="1" applyNumberFormats="0" applyBorderFormats="0" applyFontFormats="0" applyPatternFormats="0" applyAlignmentFormats="0" applyWidthHeightFormats="1" dataCaption="" updatedVersion="5" compact="0" compactData="0" showDrill="1">
  <location ref="T3:U8" firstHeaderRow="1" firstDataRow="1" firstDataCol="1"/>
  <pivotFields count="34">
    <pivotField compact="0" outline="0" multipleItemSelectionAllowed="1" showAll="0"/>
    <pivotField dataField="1"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sortType="ascending" outline="0" multipleItemSelectionAllowed="1" showAll="0">
      <items count="8">
        <item m="1" x="6"/>
        <item m="1" x="5"/>
        <item m="1" x="4"/>
        <item x="1"/>
        <item x="3"/>
        <item x="2"/>
        <item x="0"/>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13"/>
  </rowFields>
  <rowItems count="5">
    <i>
      <x v="3"/>
    </i>
    <i>
      <x v="4"/>
    </i>
    <i>
      <x v="5"/>
    </i>
    <i>
      <x v="6"/>
    </i>
    <i t="grand">
      <x/>
    </i>
  </rowItems>
  <colItems count="1">
    <i/>
  </colItems>
  <dataFields count="1">
    <dataField name="COUNTA of Nome" fld="1" subtotal="count" baseField="0" baseItem="0"/>
  </dataFields>
  <pivotTableStyleInfo showRowHeaders="1" showColHeaders="1" showLastColumn="1"/>
</pivotTableDefinition>
</file>

<file path=xl/pivotTables/pivotTable10.xml><?xml version="1.0" encoding="utf-8"?>
<pivotTableDefinition xmlns="http://schemas.openxmlformats.org/spreadsheetml/2006/main" name="Dashboard 9" cacheId="1" autoFormatId="1" applyNumberFormats="0" applyBorderFormats="0" applyFontFormats="0" applyPatternFormats="0" applyAlignmentFormats="0" applyWidthHeightFormats="1" dataCaption="" updatedVersion="5" compact="0" compactData="0" showDrill="1">
  <location ref="AC3:AD8" firstHeaderRow="1" firstDataRow="1" firstDataCol="1"/>
  <pivotFields count="34">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dataField="1" compact="0" sortType="ascending" outline="0" multipleItemSelectionAllowed="1" showAll="0">
      <items count="5">
        <item x="3"/>
        <item x="2"/>
        <item x="1"/>
        <item x="0"/>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22"/>
  </rowFields>
  <rowItems count="5">
    <i>
      <x/>
    </i>
    <i>
      <x v="1"/>
    </i>
    <i>
      <x v="2"/>
    </i>
    <i>
      <x v="3"/>
    </i>
    <i t="grand">
      <x/>
    </i>
  </rowItems>
  <colItems count="1">
    <i/>
  </colItems>
  <dataFields count="1">
    <dataField name="COUNTA of O atendimento foi realizado por:" fld="22" subtotal="count" baseField="0" baseItem="0"/>
  </dataFields>
  <pivotTableStyleInfo showRowHeaders="1" showColHeaders="1" showLastColumn="1"/>
</pivotTableDefinition>
</file>

<file path=xl/pivotTables/pivotTable11.xml><?xml version="1.0" encoding="utf-8"?>
<pivotTableDefinition xmlns="http://schemas.openxmlformats.org/spreadsheetml/2006/main" name="Dashboard 8" cacheId="1" autoFormatId="1" applyNumberFormats="0" applyBorderFormats="0" applyFontFormats="0" applyPatternFormats="0" applyAlignmentFormats="0" applyWidthHeightFormats="1" dataCaption="" updatedVersion="5" compact="0" compactData="0" showDrill="1">
  <location ref="Z3:AA7" firstHeaderRow="1" firstDataRow="1" firstDataCol="1"/>
  <pivotFields count="34">
    <pivotField compact="0" outline="0" multipleItemSelectionAllowed="1" showAll="0"/>
    <pivotField dataField="1"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sortType="ascending" outline="0" multipleItemSelectionAllowed="1" showAll="0">
      <items count="4">
        <item x="2"/>
        <item x="1"/>
        <item x="0"/>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20"/>
  </rowFields>
  <rowItems count="4">
    <i>
      <x/>
    </i>
    <i>
      <x v="1"/>
    </i>
    <i>
      <x v="2"/>
    </i>
    <i t="grand">
      <x/>
    </i>
  </rowItems>
  <colItems count="1">
    <i/>
  </colItems>
  <dataFields count="1">
    <dataField name="COUNTA of Nome" fld="1" subtotal="count" baseField="0" baseItem="0"/>
  </dataFields>
  <pivotTableStyleInfo showRowHeaders="1" showColHeaders="1" showLastColumn="1"/>
</pivotTableDefinition>
</file>

<file path=xl/pivotTables/pivotTable12.xml><?xml version="1.0" encoding="utf-8"?>
<pivotTableDefinition xmlns="http://schemas.openxmlformats.org/spreadsheetml/2006/main" name="Dashboard 15" cacheId="2" autoFormatId="1" applyNumberFormats="0" applyBorderFormats="0" applyFontFormats="0" applyPatternFormats="0" applyAlignmentFormats="0" applyWidthHeightFormats="1" dataCaption="" updatedVersion="5" compact="0" compactData="0" showDrill="1">
  <location ref="AW3:AX22" firstHeaderRow="1" firstDataRow="1" firstDataCol="1"/>
  <pivotFields count="34">
    <pivotField compact="0" outline="0" multipleItemSelectionAllowed="1" showAll="0"/>
    <pivotField dataField="1"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sortType="ascending" outline="0" multipleItemSelectionAllowed="1" showAll="0">
      <items count="19">
        <item x="11"/>
        <item x="10"/>
        <item x="3"/>
        <item x="16"/>
        <item x="8"/>
        <item x="12"/>
        <item x="2"/>
        <item x="17"/>
        <item x="1"/>
        <item x="5"/>
        <item x="14"/>
        <item x="9"/>
        <item x="6"/>
        <item x="15"/>
        <item x="13"/>
        <item x="4"/>
        <item x="7"/>
        <item x="0"/>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28"/>
  </rowFields>
  <rowItems count="19">
    <i>
      <x/>
    </i>
    <i>
      <x v="1"/>
    </i>
    <i>
      <x v="2"/>
    </i>
    <i>
      <x v="3"/>
    </i>
    <i>
      <x v="4"/>
    </i>
    <i>
      <x v="5"/>
    </i>
    <i>
      <x v="6"/>
    </i>
    <i>
      <x v="7"/>
    </i>
    <i>
      <x v="8"/>
    </i>
    <i>
      <x v="9"/>
    </i>
    <i>
      <x v="10"/>
    </i>
    <i>
      <x v="11"/>
    </i>
    <i>
      <x v="12"/>
    </i>
    <i>
      <x v="13"/>
    </i>
    <i>
      <x v="14"/>
    </i>
    <i>
      <x v="15"/>
    </i>
    <i>
      <x v="16"/>
    </i>
    <i>
      <x v="17"/>
    </i>
    <i t="grand">
      <x/>
    </i>
  </rowItems>
  <colItems count="1">
    <i/>
  </colItems>
  <dataFields count="1">
    <dataField name="COUNTA of Nome" fld="1" subtotal="count" baseField="0" baseItem="0"/>
  </dataFields>
  <pivotTableStyleInfo showRowHeaders="1" showColHeaders="1" showLastColumn="1"/>
</pivotTableDefinition>
</file>

<file path=xl/pivotTables/pivotTable13.xml><?xml version="1.0" encoding="utf-8"?>
<pivotTableDefinition xmlns="http://schemas.openxmlformats.org/spreadsheetml/2006/main" name="Dashboard 13" cacheId="1" autoFormatId="1" applyNumberFormats="0" applyBorderFormats="0" applyFontFormats="0" applyPatternFormats="0" applyAlignmentFormats="0" applyWidthHeightFormats="1" dataCaption="" updatedVersion="5" compact="0" compactData="0" showDrill="1">
  <location ref="AO3:AQ8" firstHeaderRow="1" firstDataRow="1" firstDataCol="2"/>
  <pivotFields count="34">
    <pivotField compact="0" outline="0" multipleItemSelectionAllowed="1" showAll="0"/>
    <pivotField dataField="1"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sortType="ascending" outline="0" multipleItemSelectionAllowed="1" showAll="0">
      <items count="8">
        <item m="1" x="6"/>
        <item m="1" x="5"/>
        <item m="1" x="4"/>
        <item sd="0" x="1"/>
        <item sd="0" x="3"/>
        <item sd="0" x="2"/>
        <item sd="0" x="0"/>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sortType="ascending" outline="0" multipleItemSelectionAllowed="1" showAll="0">
      <items count="9">
        <item x="7"/>
        <item x="2"/>
        <item x="4"/>
        <item x="1"/>
        <item x="6"/>
        <item x="5"/>
        <item x="3"/>
        <item x="0"/>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2">
    <field x="13"/>
    <field x="23"/>
  </rowFields>
  <rowItems count="5">
    <i>
      <x v="3"/>
    </i>
    <i>
      <x v="4"/>
    </i>
    <i>
      <x v="5"/>
    </i>
    <i>
      <x v="6"/>
    </i>
    <i t="grand">
      <x/>
    </i>
  </rowItems>
  <colItems count="1">
    <i/>
  </colItems>
  <dataFields count="1">
    <dataField name="COUNTA of Nome" fld="1" subtotal="count" baseField="0" baseItem="0"/>
  </dataFields>
  <pivotTableStyleInfo showRowHeaders="1" showColHeaders="1" showLastColumn="1"/>
</pivotTableDefinition>
</file>

<file path=xl/pivotTables/pivotTable14.xml><?xml version="1.0" encoding="utf-8"?>
<pivotTableDefinition xmlns="http://schemas.openxmlformats.org/spreadsheetml/2006/main" name="Dashboard 7" cacheId="1" autoFormatId="1" applyNumberFormats="0" applyBorderFormats="0" applyFontFormats="0" applyPatternFormats="0" applyAlignmentFormats="0" applyWidthHeightFormats="1" dataCaption="" updatedVersion="5" compact="0" compactData="0" showDrill="1">
  <location ref="W3:X12" firstHeaderRow="1" firstDataRow="1" firstDataCol="1"/>
  <pivotFields count="34">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dataField="1" compact="0" sortType="ascending" outline="0" multipleItemSelectionAllowed="1" showAll="0">
      <items count="9">
        <item x="1"/>
        <item x="4"/>
        <item x="5"/>
        <item x="7"/>
        <item x="3"/>
        <item x="6"/>
        <item x="2"/>
        <item x="0"/>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14"/>
  </rowFields>
  <rowItems count="9">
    <i>
      <x/>
    </i>
    <i>
      <x v="1"/>
    </i>
    <i>
      <x v="2"/>
    </i>
    <i>
      <x v="3"/>
    </i>
    <i>
      <x v="4"/>
    </i>
    <i>
      <x v="5"/>
    </i>
    <i>
      <x v="6"/>
    </i>
    <i>
      <x v="7"/>
    </i>
    <i t="grand">
      <x/>
    </i>
  </rowItems>
  <colItems count="1">
    <i/>
  </colItems>
  <dataFields count="1">
    <dataField name="COUNTA of Neste momento, foi necessário converter para o atendimento presencial?" fld="14" subtotal="count" baseField="0" baseItem="0"/>
  </dataFields>
  <pivotTableStyleInfo showRowHeaders="1" showColHeaders="1" showLastColumn="1"/>
</pivotTableDefinition>
</file>

<file path=xl/pivotTables/pivotTable15.xml><?xml version="1.0" encoding="utf-8"?>
<pivotTableDefinition xmlns="http://schemas.openxmlformats.org/spreadsheetml/2006/main" name="Dashboard 12" cacheId="3" autoFormatId="1" applyNumberFormats="0" applyBorderFormats="0" applyFontFormats="0" applyPatternFormats="0" applyAlignmentFormats="0" applyWidthHeightFormats="1" dataCaption="" updatedVersion="5" compact="0" compactData="0" showDrill="1">
  <location ref="AL3:AM1609" firstHeaderRow="1" firstDataRow="1" firstDataCol="1"/>
  <pivotFields count="34">
    <pivotField axis="axisRow" dataField="1" compact="0" sortType="ascending" outline="0" multipleItemSelectionAllowed="1" showAll="0">
      <items count="2412">
        <item x="1604"/>
        <item x="0"/>
        <item x="1"/>
        <item x="2"/>
        <item x="3"/>
        <item m="1" x="1605"/>
        <item x="4"/>
        <item m="1" x="1608"/>
        <item x="12"/>
        <item x="5"/>
        <item x="6"/>
        <item x="7"/>
        <item m="1" x="1609"/>
        <item x="13"/>
        <item m="1" x="1610"/>
        <item x="14"/>
        <item m="1" x="1606"/>
        <item x="8"/>
        <item x="9"/>
        <item x="10"/>
        <item m="1" x="1607"/>
        <item x="11"/>
        <item x="15"/>
        <item x="16"/>
        <item m="1" x="1611"/>
        <item x="17"/>
        <item m="1" x="1612"/>
        <item x="18"/>
        <item m="1" x="1613"/>
        <item x="19"/>
        <item x="20"/>
        <item x="21"/>
        <item x="22"/>
        <item x="23"/>
        <item x="24"/>
        <item x="25"/>
        <item m="1" x="1614"/>
        <item x="26"/>
        <item m="1" x="1615"/>
        <item x="27"/>
        <item x="28"/>
        <item m="1" x="1616"/>
        <item x="29"/>
        <item x="30"/>
        <item x="31"/>
        <item m="1" x="1617"/>
        <item x="32"/>
        <item x="33"/>
        <item m="1" x="1618"/>
        <item x="34"/>
        <item m="1" x="1619"/>
        <item x="35"/>
        <item x="36"/>
        <item x="37"/>
        <item x="38"/>
        <item x="39"/>
        <item m="1" x="1620"/>
        <item x="40"/>
        <item m="1" x="1621"/>
        <item x="41"/>
        <item m="1" x="1622"/>
        <item x="42"/>
        <item m="1" x="1623"/>
        <item x="43"/>
        <item m="1" x="1624"/>
        <item x="44"/>
        <item x="45"/>
        <item x="46"/>
        <item x="47"/>
        <item m="1" x="1625"/>
        <item x="48"/>
        <item x="49"/>
        <item x="50"/>
        <item m="1" x="1626"/>
        <item x="51"/>
        <item x="52"/>
        <item x="53"/>
        <item x="54"/>
        <item x="55"/>
        <item x="56"/>
        <item m="1" x="1627"/>
        <item x="57"/>
        <item x="58"/>
        <item x="59"/>
        <item x="60"/>
        <item x="61"/>
        <item m="1" x="1628"/>
        <item x="62"/>
        <item x="63"/>
        <item m="1" x="1629"/>
        <item x="64"/>
        <item x="65"/>
        <item m="1" x="1630"/>
        <item x="66"/>
        <item m="1" x="1631"/>
        <item x="67"/>
        <item m="1" x="1632"/>
        <item x="68"/>
        <item x="69"/>
        <item x="70"/>
        <item m="1" x="1633"/>
        <item x="71"/>
        <item m="1" x="1634"/>
        <item x="72"/>
        <item m="1" x="1635"/>
        <item x="73"/>
        <item x="74"/>
        <item m="1" x="1636"/>
        <item x="75"/>
        <item x="76"/>
        <item x="77"/>
        <item m="1" x="1637"/>
        <item x="78"/>
        <item x="79"/>
        <item m="1" x="1638"/>
        <item x="80"/>
        <item m="1" x="1639"/>
        <item x="81"/>
        <item x="82"/>
        <item x="83"/>
        <item x="84"/>
        <item x="85"/>
        <item x="86"/>
        <item m="1" x="1640"/>
        <item x="87"/>
        <item x="88"/>
        <item x="89"/>
        <item x="90"/>
        <item m="1" x="1641"/>
        <item x="91"/>
        <item m="1" x="1642"/>
        <item x="92"/>
        <item m="1" x="1643"/>
        <item x="93"/>
        <item m="1" x="1644"/>
        <item x="94"/>
        <item x="95"/>
        <item m="1" x="1645"/>
        <item x="96"/>
        <item m="1" x="1646"/>
        <item x="97"/>
        <item m="1" x="1647"/>
        <item x="98"/>
        <item m="1" x="1648"/>
        <item x="99"/>
        <item x="100"/>
        <item x="101"/>
        <item m="1" x="1649"/>
        <item x="102"/>
        <item m="1" x="1650"/>
        <item x="103"/>
        <item m="1" x="1651"/>
        <item x="104"/>
        <item m="1" x="1652"/>
        <item x="105"/>
        <item x="106"/>
        <item x="107"/>
        <item x="108"/>
        <item m="1" x="1653"/>
        <item x="109"/>
        <item m="1" x="1654"/>
        <item x="110"/>
        <item x="111"/>
        <item m="1" x="1655"/>
        <item x="112"/>
        <item x="113"/>
        <item m="1" x="1656"/>
        <item x="114"/>
        <item x="115"/>
        <item x="116"/>
        <item x="117"/>
        <item x="118"/>
        <item x="119"/>
        <item m="1" x="1657"/>
        <item x="120"/>
        <item x="121"/>
        <item x="122"/>
        <item m="1" x="1658"/>
        <item x="123"/>
        <item x="124"/>
        <item x="125"/>
        <item m="1" x="1659"/>
        <item x="126"/>
        <item x="127"/>
        <item x="128"/>
        <item m="1" x="1660"/>
        <item x="129"/>
        <item m="1" x="1661"/>
        <item x="130"/>
        <item m="1" x="1662"/>
        <item x="131"/>
        <item x="132"/>
        <item m="1" x="1663"/>
        <item x="133"/>
        <item m="1" x="1664"/>
        <item x="134"/>
        <item x="135"/>
        <item m="1" x="1665"/>
        <item x="136"/>
        <item m="1" x="1666"/>
        <item x="137"/>
        <item x="138"/>
        <item x="139"/>
        <item m="1" x="1667"/>
        <item x="140"/>
        <item x="141"/>
        <item m="1" x="1668"/>
        <item x="142"/>
        <item m="1" x="1669"/>
        <item x="143"/>
        <item x="144"/>
        <item x="145"/>
        <item m="1" x="1670"/>
        <item x="146"/>
        <item x="147"/>
        <item m="1" x="1671"/>
        <item x="148"/>
        <item m="1" x="1672"/>
        <item x="149"/>
        <item x="150"/>
        <item x="151"/>
        <item x="152"/>
        <item m="1" x="1673"/>
        <item x="153"/>
        <item x="154"/>
        <item x="155"/>
        <item x="156"/>
        <item m="1" x="1674"/>
        <item x="157"/>
        <item m="1" x="1675"/>
        <item x="158"/>
        <item m="1" x="1676"/>
        <item x="159"/>
        <item x="160"/>
        <item x="161"/>
        <item m="1" x="1677"/>
        <item x="162"/>
        <item x="163"/>
        <item x="164"/>
        <item m="1" x="1678"/>
        <item x="165"/>
        <item m="1" x="1679"/>
        <item x="166"/>
        <item x="167"/>
        <item x="168"/>
        <item x="169"/>
        <item x="170"/>
        <item x="171"/>
        <item x="172"/>
        <item m="1" x="1680"/>
        <item x="173"/>
        <item m="1" x="1681"/>
        <item x="174"/>
        <item m="1" x="1682"/>
        <item x="175"/>
        <item x="176"/>
        <item m="1" x="1683"/>
        <item x="177"/>
        <item m="1" x="1684"/>
        <item x="178"/>
        <item x="179"/>
        <item m="1" x="1685"/>
        <item x="180"/>
        <item m="1" x="1686"/>
        <item x="181"/>
        <item x="182"/>
        <item x="183"/>
        <item x="184"/>
        <item x="185"/>
        <item x="186"/>
        <item m="1" x="1687"/>
        <item x="187"/>
        <item m="1" x="1688"/>
        <item x="188"/>
        <item m="1" x="1689"/>
        <item x="189"/>
        <item x="190"/>
        <item x="191"/>
        <item x="192"/>
        <item m="1" x="1690"/>
        <item x="193"/>
        <item m="1" x="1691"/>
        <item x="194"/>
        <item x="195"/>
        <item m="1" x="1692"/>
        <item x="196"/>
        <item x="197"/>
        <item x="198"/>
        <item m="1" x="1693"/>
        <item x="199"/>
        <item m="1" x="1694"/>
        <item x="200"/>
        <item m="1" x="1695"/>
        <item x="201"/>
        <item x="202"/>
        <item m="1" x="1696"/>
        <item x="203"/>
        <item m="1" x="1697"/>
        <item x="204"/>
        <item x="205"/>
        <item x="206"/>
        <item x="207"/>
        <item x="208"/>
        <item m="1" x="1698"/>
        <item x="209"/>
        <item m="1" x="1699"/>
        <item x="210"/>
        <item m="1" x="1700"/>
        <item x="211"/>
        <item x="212"/>
        <item x="213"/>
        <item x="214"/>
        <item x="215"/>
        <item m="1" x="1701"/>
        <item x="216"/>
        <item m="1" x="1702"/>
        <item x="217"/>
        <item x="218"/>
        <item m="1" x="1703"/>
        <item x="219"/>
        <item x="220"/>
        <item x="221"/>
        <item x="222"/>
        <item m="1" x="1704"/>
        <item x="223"/>
        <item m="1" x="1705"/>
        <item x="224"/>
        <item x="225"/>
        <item m="1" x="1706"/>
        <item x="226"/>
        <item x="227"/>
        <item x="228"/>
        <item m="1" x="1707"/>
        <item x="229"/>
        <item x="230"/>
        <item m="1" x="1708"/>
        <item x="231"/>
        <item m="1" x="1709"/>
        <item x="232"/>
        <item m="1" x="1710"/>
        <item x="233"/>
        <item x="234"/>
        <item x="235"/>
        <item x="236"/>
        <item m="1" x="1711"/>
        <item x="237"/>
        <item m="1" x="1712"/>
        <item x="238"/>
        <item m="1" x="1713"/>
        <item x="239"/>
        <item m="1" x="1714"/>
        <item x="240"/>
        <item m="1" x="1715"/>
        <item x="241"/>
        <item x="242"/>
        <item x="243"/>
        <item x="244"/>
        <item m="1" x="1716"/>
        <item x="245"/>
        <item m="1" x="1717"/>
        <item x="246"/>
        <item m="1" x="1718"/>
        <item x="247"/>
        <item x="248"/>
        <item m="1" x="1719"/>
        <item x="249"/>
        <item m="1" x="1720"/>
        <item x="250"/>
        <item m="1" x="1721"/>
        <item x="251"/>
        <item m="1" x="1722"/>
        <item x="252"/>
        <item x="253"/>
        <item m="1" x="1723"/>
        <item x="254"/>
        <item m="1" x="1724"/>
        <item x="255"/>
        <item m="1" x="1725"/>
        <item x="256"/>
        <item x="257"/>
        <item m="1" x="1726"/>
        <item x="258"/>
        <item m="1" x="1727"/>
        <item x="259"/>
        <item x="260"/>
        <item m="1" x="1728"/>
        <item x="261"/>
        <item x="262"/>
        <item x="263"/>
        <item m="1" x="1729"/>
        <item x="264"/>
        <item m="1" x="1730"/>
        <item x="265"/>
        <item m="1" x="1731"/>
        <item x="266"/>
        <item m="1" x="1732"/>
        <item x="267"/>
        <item m="1" x="1733"/>
        <item x="268"/>
        <item x="269"/>
        <item x="270"/>
        <item x="271"/>
        <item x="272"/>
        <item m="1" x="1734"/>
        <item x="273"/>
        <item x="274"/>
        <item m="1" x="1735"/>
        <item x="275"/>
        <item x="276"/>
        <item x="277"/>
        <item x="278"/>
        <item x="279"/>
        <item x="280"/>
        <item m="1" x="1736"/>
        <item x="281"/>
        <item x="282"/>
        <item m="1" x="1737"/>
        <item x="283"/>
        <item m="1" x="1738"/>
        <item x="284"/>
        <item m="1" x="1739"/>
        <item x="285"/>
        <item m="1" x="1740"/>
        <item x="286"/>
        <item m="1" x="1741"/>
        <item x="287"/>
        <item m="1" x="1742"/>
        <item x="288"/>
        <item x="289"/>
        <item m="1" x="1743"/>
        <item x="290"/>
        <item x="291"/>
        <item m="1" x="1744"/>
        <item x="292"/>
        <item m="1" x="1745"/>
        <item x="293"/>
        <item m="1" x="1746"/>
        <item x="294"/>
        <item m="1" x="1747"/>
        <item x="295"/>
        <item m="1" x="1748"/>
        <item x="296"/>
        <item m="1" x="1749"/>
        <item x="297"/>
        <item x="298"/>
        <item m="1" x="1750"/>
        <item x="299"/>
        <item m="1" x="1751"/>
        <item x="300"/>
        <item x="301"/>
        <item m="1" x="1752"/>
        <item x="302"/>
        <item m="1" x="1753"/>
        <item x="303"/>
        <item m="1" x="1754"/>
        <item x="304"/>
        <item m="1" x="1755"/>
        <item x="305"/>
        <item x="311"/>
        <item m="1" x="1756"/>
        <item x="306"/>
        <item m="1" x="1757"/>
        <item x="307"/>
        <item x="308"/>
        <item m="1" x="1758"/>
        <item x="309"/>
        <item m="1" x="1759"/>
        <item x="310"/>
        <item x="312"/>
        <item x="313"/>
        <item x="314"/>
        <item x="315"/>
        <item m="1" x="1760"/>
        <item x="316"/>
        <item x="317"/>
        <item x="318"/>
        <item m="1" x="1761"/>
        <item x="319"/>
        <item x="320"/>
        <item m="1" x="1762"/>
        <item x="321"/>
        <item x="322"/>
        <item m="1" x="1763"/>
        <item x="323"/>
        <item x="324"/>
        <item m="1" x="1764"/>
        <item x="325"/>
        <item m="1" x="1765"/>
        <item x="326"/>
        <item x="327"/>
        <item m="1" x="1766"/>
        <item x="328"/>
        <item m="1" x="1767"/>
        <item x="329"/>
        <item x="330"/>
        <item x="331"/>
        <item m="1" x="1768"/>
        <item x="332"/>
        <item m="1" x="1769"/>
        <item x="333"/>
        <item m="1" x="1770"/>
        <item x="334"/>
        <item x="335"/>
        <item m="1" x="1771"/>
        <item x="336"/>
        <item m="1" x="1772"/>
        <item x="337"/>
        <item x="338"/>
        <item x="339"/>
        <item x="340"/>
        <item x="341"/>
        <item x="342"/>
        <item m="1" x="1773"/>
        <item x="343"/>
        <item m="1" x="1774"/>
        <item x="344"/>
        <item x="345"/>
        <item m="1" x="1775"/>
        <item x="346"/>
        <item m="1" x="1776"/>
        <item x="347"/>
        <item x="348"/>
        <item x="349"/>
        <item x="350"/>
        <item m="1" x="1777"/>
        <item x="351"/>
        <item m="1" x="1778"/>
        <item x="352"/>
        <item m="1" x="1779"/>
        <item x="353"/>
        <item x="354"/>
        <item m="1" x="1780"/>
        <item x="355"/>
        <item m="1" x="1781"/>
        <item x="356"/>
        <item x="357"/>
        <item m="1" x="1782"/>
        <item x="358"/>
        <item m="1" x="1783"/>
        <item x="359"/>
        <item m="1" x="1784"/>
        <item x="360"/>
        <item m="1" x="1785"/>
        <item x="361"/>
        <item m="1" x="1786"/>
        <item x="362"/>
        <item x="363"/>
        <item x="364"/>
        <item x="365"/>
        <item m="1" x="1787"/>
        <item x="366"/>
        <item m="1" x="1788"/>
        <item x="367"/>
        <item m="1" x="1789"/>
        <item x="368"/>
        <item x="369"/>
        <item x="370"/>
        <item x="371"/>
        <item m="1" x="1790"/>
        <item x="372"/>
        <item x="373"/>
        <item m="1" x="1791"/>
        <item x="374"/>
        <item m="1" x="1792"/>
        <item x="375"/>
        <item x="376"/>
        <item m="1" x="1793"/>
        <item x="377"/>
        <item x="378"/>
        <item x="379"/>
        <item x="380"/>
        <item x="381"/>
        <item x="382"/>
        <item m="1" x="1794"/>
        <item x="383"/>
        <item x="384"/>
        <item x="385"/>
        <item m="1" x="1795"/>
        <item x="386"/>
        <item x="387"/>
        <item x="388"/>
        <item x="389"/>
        <item m="1" x="1796"/>
        <item x="390"/>
        <item m="1" x="1797"/>
        <item x="391"/>
        <item m="1" x="1798"/>
        <item x="392"/>
        <item m="1" x="1799"/>
        <item x="393"/>
        <item m="1" x="1800"/>
        <item x="394"/>
        <item x="395"/>
        <item m="1" x="1801"/>
        <item x="396"/>
        <item m="1" x="1802"/>
        <item x="397"/>
        <item m="1" x="1803"/>
        <item x="398"/>
        <item m="1" x="1804"/>
        <item x="399"/>
        <item x="400"/>
        <item x="401"/>
        <item m="1" x="1805"/>
        <item x="402"/>
        <item x="403"/>
        <item m="1" x="1806"/>
        <item x="404"/>
        <item m="1" x="1807"/>
        <item x="405"/>
        <item m="1" x="1808"/>
        <item x="406"/>
        <item m="1" x="1809"/>
        <item x="407"/>
        <item x="408"/>
        <item x="409"/>
        <item m="1" x="1810"/>
        <item x="410"/>
        <item x="411"/>
        <item m="1" x="1811"/>
        <item x="412"/>
        <item x="413"/>
        <item m="1" x="1812"/>
        <item x="414"/>
        <item x="415"/>
        <item m="1" x="1813"/>
        <item x="416"/>
        <item x="417"/>
        <item m="1" x="1814"/>
        <item x="418"/>
        <item m="1" x="1815"/>
        <item x="419"/>
        <item x="420"/>
        <item x="421"/>
        <item m="1" x="1816"/>
        <item x="422"/>
        <item x="423"/>
        <item m="1" x="1817"/>
        <item x="424"/>
        <item m="1" x="1818"/>
        <item x="425"/>
        <item x="426"/>
        <item m="1" x="1819"/>
        <item x="427"/>
        <item x="428"/>
        <item m="1" x="1820"/>
        <item x="429"/>
        <item x="430"/>
        <item m="1" x="1821"/>
        <item x="431"/>
        <item x="432"/>
        <item x="433"/>
        <item m="1" x="1822"/>
        <item x="434"/>
        <item m="1" x="1823"/>
        <item x="435"/>
        <item x="436"/>
        <item m="1" x="1824"/>
        <item x="437"/>
        <item m="1" x="1825"/>
        <item x="438"/>
        <item m="1" x="1826"/>
        <item x="439"/>
        <item m="1" x="1827"/>
        <item x="440"/>
        <item m="1" x="1828"/>
        <item x="441"/>
        <item m="1" x="1829"/>
        <item x="442"/>
        <item m="1" x="1830"/>
        <item x="443"/>
        <item x="444"/>
        <item x="445"/>
        <item x="446"/>
        <item x="447"/>
        <item m="1" x="1831"/>
        <item x="448"/>
        <item m="1" x="1832"/>
        <item x="449"/>
        <item x="450"/>
        <item m="1" x="1833"/>
        <item x="451"/>
        <item m="1" x="1834"/>
        <item x="452"/>
        <item m="1" x="1835"/>
        <item x="453"/>
        <item x="454"/>
        <item x="455"/>
        <item x="456"/>
        <item m="1" x="1836"/>
        <item x="457"/>
        <item m="1" x="1837"/>
        <item x="458"/>
        <item x="459"/>
        <item x="460"/>
        <item m="1" x="1838"/>
        <item x="461"/>
        <item m="1" x="1839"/>
        <item x="462"/>
        <item m="1" x="1840"/>
        <item x="463"/>
        <item x="464"/>
        <item m="1" x="1841"/>
        <item x="465"/>
        <item m="1" x="1842"/>
        <item x="466"/>
        <item x="467"/>
        <item m="1" x="1843"/>
        <item x="468"/>
        <item x="469"/>
        <item x="470"/>
        <item x="471"/>
        <item x="472"/>
        <item m="1" x="1844"/>
        <item x="473"/>
        <item m="1" x="1845"/>
        <item x="474"/>
        <item x="475"/>
        <item x="476"/>
        <item x="477"/>
        <item x="478"/>
        <item m="1" x="1846"/>
        <item x="479"/>
        <item m="1" x="1847"/>
        <item x="480"/>
        <item m="1" x="1848"/>
        <item x="481"/>
        <item m="1" x="1849"/>
        <item x="482"/>
        <item x="483"/>
        <item m="1" x="1850"/>
        <item x="484"/>
        <item x="485"/>
        <item m="1" x="1851"/>
        <item x="486"/>
        <item x="487"/>
        <item x="488"/>
        <item x="489"/>
        <item x="490"/>
        <item m="1" x="1852"/>
        <item x="491"/>
        <item x="492"/>
        <item x="493"/>
        <item x="494"/>
        <item m="1" x="1853"/>
        <item x="495"/>
        <item m="1" x="1854"/>
        <item x="496"/>
        <item x="497"/>
        <item m="1" x="1855"/>
        <item x="498"/>
        <item m="1" x="1856"/>
        <item x="499"/>
        <item x="500"/>
        <item x="501"/>
        <item m="1" x="1857"/>
        <item x="502"/>
        <item m="1" x="1858"/>
        <item x="503"/>
        <item x="504"/>
        <item m="1" x="1859"/>
        <item x="505"/>
        <item m="1" x="1860"/>
        <item x="506"/>
        <item x="507"/>
        <item m="1" x="1861"/>
        <item x="508"/>
        <item x="509"/>
        <item x="510"/>
        <item x="511"/>
        <item m="1" x="1862"/>
        <item x="512"/>
        <item m="1" x="1863"/>
        <item x="513"/>
        <item x="514"/>
        <item m="1" x="1864"/>
        <item x="515"/>
        <item x="516"/>
        <item m="1" x="1865"/>
        <item x="517"/>
        <item x="518"/>
        <item m="1" x="1866"/>
        <item x="519"/>
        <item m="1" x="1867"/>
        <item x="520"/>
        <item m="1" x="1868"/>
        <item x="521"/>
        <item m="1" x="1869"/>
        <item x="522"/>
        <item x="523"/>
        <item m="1" x="1870"/>
        <item x="524"/>
        <item m="1" x="1871"/>
        <item x="525"/>
        <item m="1" x="1872"/>
        <item x="526"/>
        <item m="1" x="1873"/>
        <item x="527"/>
        <item x="528"/>
        <item m="1" x="1874"/>
        <item x="529"/>
        <item m="1" x="1875"/>
        <item x="530"/>
        <item m="1" x="1876"/>
        <item x="531"/>
        <item x="532"/>
        <item x="533"/>
        <item m="1" x="1877"/>
        <item x="534"/>
        <item x="535"/>
        <item x="536"/>
        <item m="1" x="1878"/>
        <item x="537"/>
        <item x="538"/>
        <item x="539"/>
        <item x="540"/>
        <item x="541"/>
        <item m="1" x="1879"/>
        <item x="542"/>
        <item m="1" x="1880"/>
        <item x="543"/>
        <item x="544"/>
        <item x="545"/>
        <item x="546"/>
        <item x="547"/>
        <item m="1" x="1881"/>
        <item x="548"/>
        <item x="549"/>
        <item x="550"/>
        <item x="551"/>
        <item x="552"/>
        <item x="553"/>
        <item m="1" x="1882"/>
        <item x="554"/>
        <item m="1" x="1883"/>
        <item x="555"/>
        <item m="1" x="1884"/>
        <item x="556"/>
        <item x="557"/>
        <item x="558"/>
        <item x="559"/>
        <item x="560"/>
        <item m="1" x="1885"/>
        <item x="561"/>
        <item x="562"/>
        <item m="1" x="1886"/>
        <item x="563"/>
        <item m="1" x="1887"/>
        <item x="564"/>
        <item m="1" x="1888"/>
        <item x="565"/>
        <item x="566"/>
        <item m="1" x="1889"/>
        <item x="567"/>
        <item x="568"/>
        <item x="569"/>
        <item m="1" x="1890"/>
        <item x="570"/>
        <item x="571"/>
        <item x="572"/>
        <item m="1" x="1891"/>
        <item x="573"/>
        <item x="574"/>
        <item m="1" x="1892"/>
        <item x="575"/>
        <item m="1" x="1893"/>
        <item x="576"/>
        <item x="577"/>
        <item m="1" x="1894"/>
        <item x="578"/>
        <item x="579"/>
        <item x="580"/>
        <item x="581"/>
        <item x="582"/>
        <item m="1" x="1895"/>
        <item x="583"/>
        <item m="1" x="1896"/>
        <item x="584"/>
        <item x="585"/>
        <item x="586"/>
        <item m="1" x="1897"/>
        <item x="587"/>
        <item x="588"/>
        <item x="589"/>
        <item m="1" x="1898"/>
        <item x="590"/>
        <item x="591"/>
        <item m="1" x="1899"/>
        <item x="592"/>
        <item x="593"/>
        <item m="1" x="1900"/>
        <item x="594"/>
        <item m="1" x="1901"/>
        <item x="595"/>
        <item x="596"/>
        <item m="1" x="1902"/>
        <item x="597"/>
        <item m="1" x="1903"/>
        <item x="598"/>
        <item m="1" x="1904"/>
        <item x="599"/>
        <item m="1" x="1905"/>
        <item x="600"/>
        <item m="1" x="1906"/>
        <item x="601"/>
        <item m="1" x="1907"/>
        <item x="602"/>
        <item x="603"/>
        <item m="1" x="1908"/>
        <item x="604"/>
        <item x="605"/>
        <item m="1" x="1909"/>
        <item x="606"/>
        <item m="1" x="1910"/>
        <item x="607"/>
        <item x="608"/>
        <item m="1" x="1911"/>
        <item x="609"/>
        <item m="1" x="1912"/>
        <item x="610"/>
        <item x="611"/>
        <item m="1" x="1913"/>
        <item x="612"/>
        <item x="613"/>
        <item m="1" x="1914"/>
        <item x="614"/>
        <item m="1" x="1915"/>
        <item x="615"/>
        <item x="616"/>
        <item m="1" x="1916"/>
        <item x="617"/>
        <item m="1" x="1917"/>
        <item x="618"/>
        <item m="1" x="1918"/>
        <item x="619"/>
        <item x="620"/>
        <item m="1" x="1919"/>
        <item x="621"/>
        <item x="622"/>
        <item m="1" x="1920"/>
        <item x="623"/>
        <item x="624"/>
        <item m="1" x="1921"/>
        <item x="625"/>
        <item m="1" x="1922"/>
        <item x="626"/>
        <item m="1" x="1923"/>
        <item x="627"/>
        <item x="628"/>
        <item x="629"/>
        <item m="1" x="1924"/>
        <item x="630"/>
        <item m="1" x="1925"/>
        <item x="631"/>
        <item m="1" x="1926"/>
        <item x="632"/>
        <item m="1" x="1927"/>
        <item x="633"/>
        <item m="1" x="1928"/>
        <item x="634"/>
        <item m="1" x="1929"/>
        <item x="635"/>
        <item m="1" x="1930"/>
        <item x="636"/>
        <item x="637"/>
        <item m="1" x="1931"/>
        <item x="638"/>
        <item m="1" x="1932"/>
        <item x="639"/>
        <item m="1" x="1933"/>
        <item x="640"/>
        <item m="1" x="1934"/>
        <item x="641"/>
        <item x="642"/>
        <item m="1" x="1935"/>
        <item x="643"/>
        <item x="644"/>
        <item m="1" x="1936"/>
        <item x="645"/>
        <item m="1" x="1937"/>
        <item x="646"/>
        <item m="1" x="1938"/>
        <item x="647"/>
        <item x="648"/>
        <item m="1" x="1939"/>
        <item x="649"/>
        <item x="650"/>
        <item m="1" x="1940"/>
        <item x="651"/>
        <item x="652"/>
        <item x="653"/>
        <item x="654"/>
        <item x="655"/>
        <item x="656"/>
        <item m="1" x="1941"/>
        <item x="657"/>
        <item m="1" x="1942"/>
        <item x="658"/>
        <item m="1" x="1943"/>
        <item x="659"/>
        <item x="660"/>
        <item x="661"/>
        <item x="662"/>
        <item m="1" x="1944"/>
        <item x="663"/>
        <item x="664"/>
        <item x="665"/>
        <item x="666"/>
        <item m="1" x="1945"/>
        <item x="667"/>
        <item x="668"/>
        <item x="669"/>
        <item x="670"/>
        <item m="1" x="1946"/>
        <item x="671"/>
        <item m="1" x="1947"/>
        <item x="672"/>
        <item m="1" x="1948"/>
        <item x="673"/>
        <item m="1" x="1949"/>
        <item x="674"/>
        <item x="675"/>
        <item x="676"/>
        <item m="1" x="1950"/>
        <item x="677"/>
        <item x="678"/>
        <item x="679"/>
        <item m="1" x="1951"/>
        <item x="680"/>
        <item m="1" x="1952"/>
        <item x="681"/>
        <item m="1" x="1953"/>
        <item x="682"/>
        <item x="684"/>
        <item x="685"/>
        <item m="1" x="1954"/>
        <item x="683"/>
        <item m="1" x="1955"/>
        <item x="686"/>
        <item m="1" x="1956"/>
        <item x="687"/>
        <item m="1" x="1957"/>
        <item x="688"/>
        <item m="1" x="1958"/>
        <item x="689"/>
        <item x="690"/>
        <item m="1" x="1959"/>
        <item x="691"/>
        <item x="692"/>
        <item m="1" x="1960"/>
        <item x="693"/>
        <item x="694"/>
        <item x="695"/>
        <item x="696"/>
        <item m="1" x="1961"/>
        <item x="697"/>
        <item m="1" x="1962"/>
        <item x="698"/>
        <item x="699"/>
        <item x="700"/>
        <item m="1" x="1963"/>
        <item x="701"/>
        <item m="1" x="1964"/>
        <item x="702"/>
        <item x="703"/>
        <item m="1" x="1965"/>
        <item x="704"/>
        <item x="705"/>
        <item m="1" x="1966"/>
        <item x="706"/>
        <item x="707"/>
        <item m="1" x="1967"/>
        <item x="708"/>
        <item m="1" x="1968"/>
        <item x="709"/>
        <item m="1" x="1969"/>
        <item x="710"/>
        <item x="711"/>
        <item m="1" x="1970"/>
        <item x="712"/>
        <item m="1" x="1971"/>
        <item x="713"/>
        <item m="1" x="1972"/>
        <item x="714"/>
        <item m="1" x="1973"/>
        <item x="715"/>
        <item x="716"/>
        <item x="717"/>
        <item x="718"/>
        <item x="719"/>
        <item m="1" x="1974"/>
        <item x="720"/>
        <item x="721"/>
        <item x="722"/>
        <item x="723"/>
        <item x="724"/>
        <item m="1" x="1975"/>
        <item x="725"/>
        <item x="726"/>
        <item m="1" x="1976"/>
        <item x="727"/>
        <item x="728"/>
        <item x="729"/>
        <item x="730"/>
        <item x="731"/>
        <item x="732"/>
        <item x="733"/>
        <item x="734"/>
        <item x="735"/>
        <item x="736"/>
        <item m="1" x="1977"/>
        <item x="737"/>
        <item m="1" x="1978"/>
        <item x="738"/>
        <item x="739"/>
        <item m="1" x="1979"/>
        <item x="740"/>
        <item m="1" x="1980"/>
        <item x="741"/>
        <item m="1" x="1981"/>
        <item x="742"/>
        <item m="1" x="1982"/>
        <item x="743"/>
        <item x="744"/>
        <item m="1" x="1983"/>
        <item x="745"/>
        <item x="746"/>
        <item x="747"/>
        <item x="748"/>
        <item x="749"/>
        <item m="1" x="1984"/>
        <item x="750"/>
        <item m="1" x="1985"/>
        <item x="751"/>
        <item x="752"/>
        <item x="753"/>
        <item x="754"/>
        <item x="755"/>
        <item x="756"/>
        <item x="757"/>
        <item m="1" x="1986"/>
        <item x="758"/>
        <item m="1" x="1987"/>
        <item x="759"/>
        <item m="1" x="1988"/>
        <item x="760"/>
        <item m="1" x="1989"/>
        <item x="761"/>
        <item x="762"/>
        <item m="1" x="1990"/>
        <item x="763"/>
        <item x="764"/>
        <item m="1" x="1991"/>
        <item x="765"/>
        <item m="1" x="1992"/>
        <item x="766"/>
        <item m="1" x="1993"/>
        <item x="767"/>
        <item m="1" x="1994"/>
        <item x="768"/>
        <item x="769"/>
        <item x="770"/>
        <item m="1" x="1995"/>
        <item x="771"/>
        <item m="1" x="1996"/>
        <item x="772"/>
        <item m="1" x="1997"/>
        <item x="773"/>
        <item x="774"/>
        <item m="1" x="1998"/>
        <item x="775"/>
        <item x="776"/>
        <item x="777"/>
        <item x="778"/>
        <item m="1" x="1999"/>
        <item x="779"/>
        <item x="780"/>
        <item m="1" x="2000"/>
        <item x="781"/>
        <item x="782"/>
        <item x="783"/>
        <item x="784"/>
        <item x="785"/>
        <item x="786"/>
        <item x="787"/>
        <item m="1" x="2001"/>
        <item x="788"/>
        <item x="789"/>
        <item m="1" x="2002"/>
        <item x="790"/>
        <item x="791"/>
        <item m="1" x="2003"/>
        <item x="792"/>
        <item x="793"/>
        <item m="1" x="2004"/>
        <item x="794"/>
        <item x="795"/>
        <item x="796"/>
        <item m="1" x="2005"/>
        <item x="797"/>
        <item m="1" x="2006"/>
        <item x="798"/>
        <item m="1" x="2007"/>
        <item x="799"/>
        <item m="1" x="2008"/>
        <item x="800"/>
        <item x="801"/>
        <item x="802"/>
        <item m="1" x="2009"/>
        <item x="803"/>
        <item x="804"/>
        <item m="1" x="2010"/>
        <item x="805"/>
        <item m="1" x="2011"/>
        <item x="806"/>
        <item x="807"/>
        <item m="1" x="2012"/>
        <item x="808"/>
        <item x="809"/>
        <item x="810"/>
        <item x="811"/>
        <item x="812"/>
        <item x="813"/>
        <item x="814"/>
        <item x="815"/>
        <item x="816"/>
        <item x="817"/>
        <item x="818"/>
        <item m="1" x="2013"/>
        <item x="819"/>
        <item x="820"/>
        <item m="1" x="2014"/>
        <item x="821"/>
        <item m="1" x="2015"/>
        <item x="822"/>
        <item m="1" x="2016"/>
        <item x="823"/>
        <item x="824"/>
        <item x="825"/>
        <item x="826"/>
        <item m="1" x="2017"/>
        <item x="827"/>
        <item x="828"/>
        <item x="829"/>
        <item m="1" x="2018"/>
        <item x="830"/>
        <item x="831"/>
        <item x="832"/>
        <item m="1" x="2019"/>
        <item x="833"/>
        <item x="834"/>
        <item x="835"/>
        <item m="1" x="2020"/>
        <item x="836"/>
        <item x="837"/>
        <item m="1" x="2021"/>
        <item x="838"/>
        <item m="1" x="2022"/>
        <item x="839"/>
        <item x="840"/>
        <item x="841"/>
        <item m="1" x="2023"/>
        <item x="842"/>
        <item m="1" x="2024"/>
        <item x="843"/>
        <item m="1" x="2025"/>
        <item x="844"/>
        <item m="1" x="2026"/>
        <item x="845"/>
        <item m="1" x="2027"/>
        <item x="846"/>
        <item x="847"/>
        <item m="1" x="2028"/>
        <item x="848"/>
        <item x="849"/>
        <item x="850"/>
        <item x="851"/>
        <item m="1" x="2029"/>
        <item x="852"/>
        <item m="1" x="2030"/>
        <item x="853"/>
        <item m="1" x="2031"/>
        <item x="854"/>
        <item m="1" x="2032"/>
        <item x="855"/>
        <item m="1" x="2033"/>
        <item x="856"/>
        <item m="1" x="2034"/>
        <item x="857"/>
        <item x="858"/>
        <item m="1" x="2035"/>
        <item x="859"/>
        <item m="1" x="2036"/>
        <item x="860"/>
        <item x="861"/>
        <item m="1" x="2037"/>
        <item x="862"/>
        <item x="863"/>
        <item m="1" x="2038"/>
        <item x="864"/>
        <item x="865"/>
        <item x="866"/>
        <item m="1" x="2039"/>
        <item x="867"/>
        <item m="1" x="2040"/>
        <item x="868"/>
        <item m="1" x="2041"/>
        <item x="869"/>
        <item x="876"/>
        <item m="1" x="2042"/>
        <item x="870"/>
        <item x="871"/>
        <item m="1" x="2043"/>
        <item x="872"/>
        <item x="873"/>
        <item m="1" x="2044"/>
        <item x="874"/>
        <item m="1" x="2045"/>
        <item x="875"/>
        <item m="1" x="2046"/>
        <item x="877"/>
        <item x="878"/>
        <item m="1" x="2047"/>
        <item x="879"/>
        <item m="1" x="2048"/>
        <item x="880"/>
        <item m="1" x="2049"/>
        <item x="881"/>
        <item x="882"/>
        <item x="883"/>
        <item m="1" x="2050"/>
        <item x="884"/>
        <item m="1" x="2051"/>
        <item x="885"/>
        <item x="886"/>
        <item m="1" x="2052"/>
        <item x="887"/>
        <item m="1" x="2053"/>
        <item x="888"/>
        <item x="889"/>
        <item x="890"/>
        <item x="891"/>
        <item m="1" x="2054"/>
        <item x="892"/>
        <item m="1" x="2055"/>
        <item x="893"/>
        <item x="894"/>
        <item m="1" x="2056"/>
        <item x="895"/>
        <item x="896"/>
        <item m="1" x="2057"/>
        <item x="897"/>
        <item x="898"/>
        <item x="899"/>
        <item m="1" x="2058"/>
        <item x="900"/>
        <item m="1" x="2059"/>
        <item x="901"/>
        <item x="902"/>
        <item m="1" x="2060"/>
        <item x="903"/>
        <item m="1" x="2061"/>
        <item x="904"/>
        <item m="1" x="2062"/>
        <item x="905"/>
        <item m="1" x="2063"/>
        <item x="906"/>
        <item x="907"/>
        <item x="908"/>
        <item x="909"/>
        <item m="1" x="2064"/>
        <item x="910"/>
        <item x="911"/>
        <item x="912"/>
        <item m="1" x="2065"/>
        <item x="913"/>
        <item m="1" x="2066"/>
        <item x="914"/>
        <item m="1" x="2067"/>
        <item x="915"/>
        <item m="1" x="2068"/>
        <item x="916"/>
        <item m="1" x="2069"/>
        <item x="917"/>
        <item x="918"/>
        <item m="1" x="2070"/>
        <item x="919"/>
        <item x="920"/>
        <item x="921"/>
        <item m="1" x="2071"/>
        <item x="922"/>
        <item x="923"/>
        <item x="924"/>
        <item x="925"/>
        <item m="1" x="2072"/>
        <item x="926"/>
        <item m="1" x="2073"/>
        <item x="927"/>
        <item x="928"/>
        <item x="929"/>
        <item m="1" x="2074"/>
        <item x="930"/>
        <item x="931"/>
        <item m="1" x="2075"/>
        <item x="932"/>
        <item m="1" x="2076"/>
        <item x="933"/>
        <item m="1" x="2077"/>
        <item x="934"/>
        <item x="935"/>
        <item x="936"/>
        <item x="937"/>
        <item m="1" x="2078"/>
        <item x="938"/>
        <item x="939"/>
        <item x="940"/>
        <item m="1" x="2079"/>
        <item x="941"/>
        <item m="1" x="2080"/>
        <item x="942"/>
        <item x="943"/>
        <item x="944"/>
        <item x="945"/>
        <item m="1" x="2081"/>
        <item x="946"/>
        <item m="1" x="2082"/>
        <item x="947"/>
        <item m="1" x="2083"/>
        <item x="948"/>
        <item m="1" x="2084"/>
        <item x="949"/>
        <item x="950"/>
        <item m="1" x="2085"/>
        <item x="951"/>
        <item x="952"/>
        <item m="1" x="2086"/>
        <item x="953"/>
        <item x="954"/>
        <item m="1" x="2087"/>
        <item x="955"/>
        <item x="956"/>
        <item m="1" x="2088"/>
        <item x="957"/>
        <item x="958"/>
        <item x="959"/>
        <item m="1" x="2089"/>
        <item x="960"/>
        <item m="1" x="2090"/>
        <item x="961"/>
        <item m="1" x="2091"/>
        <item x="962"/>
        <item x="963"/>
        <item m="1" x="2092"/>
        <item x="964"/>
        <item x="965"/>
        <item m="1" x="2093"/>
        <item x="966"/>
        <item x="967"/>
        <item m="1" x="2094"/>
        <item x="968"/>
        <item x="969"/>
        <item x="970"/>
        <item x="971"/>
        <item m="1" x="2095"/>
        <item x="972"/>
        <item x="973"/>
        <item m="1" x="2096"/>
        <item x="974"/>
        <item m="1" x="2097"/>
        <item x="975"/>
        <item x="976"/>
        <item x="977"/>
        <item m="1" x="2098"/>
        <item x="978"/>
        <item x="979"/>
        <item x="980"/>
        <item m="1" x="2099"/>
        <item x="981"/>
        <item m="1" x="2100"/>
        <item x="982"/>
        <item x="983"/>
        <item x="984"/>
        <item m="1" x="2101"/>
        <item x="985"/>
        <item x="986"/>
        <item x="987"/>
        <item m="1" x="2102"/>
        <item x="988"/>
        <item x="989"/>
        <item m="1" x="2103"/>
        <item x="990"/>
        <item m="1" x="2104"/>
        <item x="991"/>
        <item x="992"/>
        <item m="1" x="2105"/>
        <item x="993"/>
        <item m="1" x="2106"/>
        <item x="994"/>
        <item x="995"/>
        <item x="996"/>
        <item m="1" x="2107"/>
        <item x="997"/>
        <item x="998"/>
        <item x="999"/>
        <item m="1" x="2108"/>
        <item x="1000"/>
        <item m="1" x="2109"/>
        <item x="1001"/>
        <item x="1002"/>
        <item m="1" x="2110"/>
        <item x="1003"/>
        <item m="1" x="2111"/>
        <item x="1004"/>
        <item x="1005"/>
        <item x="1006"/>
        <item m="1" x="2112"/>
        <item x="1007"/>
        <item x="1008"/>
        <item m="1" x="2113"/>
        <item x="1009"/>
        <item x="1010"/>
        <item x="1011"/>
        <item m="1" x="2114"/>
        <item x="1012"/>
        <item x="1013"/>
        <item m="1" x="2115"/>
        <item x="1014"/>
        <item m="1" x="2116"/>
        <item x="1015"/>
        <item x="1016"/>
        <item x="1017"/>
        <item x="1018"/>
        <item x="1019"/>
        <item m="1" x="2117"/>
        <item x="1020"/>
        <item m="1" x="2118"/>
        <item x="1021"/>
        <item x="1022"/>
        <item m="1" x="2119"/>
        <item x="1023"/>
        <item m="1" x="2120"/>
        <item x="1024"/>
        <item x="1025"/>
        <item x="1026"/>
        <item m="1" x="2121"/>
        <item x="1027"/>
        <item m="1" x="2122"/>
        <item x="1028"/>
        <item m="1" x="2123"/>
        <item x="1029"/>
        <item m="1" x="2124"/>
        <item x="1030"/>
        <item x="1031"/>
        <item m="1" x="2125"/>
        <item x="1032"/>
        <item x="1033"/>
        <item x="1034"/>
        <item x="1035"/>
        <item m="1" x="2126"/>
        <item x="1036"/>
        <item m="1" x="2127"/>
        <item x="1037"/>
        <item m="1" x="2128"/>
        <item x="1038"/>
        <item m="1" x="2129"/>
        <item x="1039"/>
        <item m="1" x="2130"/>
        <item x="1040"/>
        <item x="1041"/>
        <item m="1" x="2131"/>
        <item x="1042"/>
        <item x="1043"/>
        <item x="1044"/>
        <item m="1" x="2132"/>
        <item x="1045"/>
        <item m="1" x="2133"/>
        <item x="1046"/>
        <item m="1" x="2134"/>
        <item x="1047"/>
        <item x="1048"/>
        <item m="1" x="2135"/>
        <item x="1049"/>
        <item x="1050"/>
        <item x="1051"/>
        <item x="1052"/>
        <item m="1" x="2136"/>
        <item x="1053"/>
        <item m="1" x="2137"/>
        <item x="1054"/>
        <item m="1" x="2138"/>
        <item x="1055"/>
        <item x="1056"/>
        <item x="1057"/>
        <item m="1" x="2139"/>
        <item x="1058"/>
        <item m="1" x="2140"/>
        <item x="1059"/>
        <item m="1" x="2141"/>
        <item x="1060"/>
        <item x="1061"/>
        <item x="1062"/>
        <item m="1" x="2142"/>
        <item x="1063"/>
        <item m="1" x="2143"/>
        <item x="1064"/>
        <item x="1065"/>
        <item m="1" x="2144"/>
        <item x="1066"/>
        <item m="1" x="2145"/>
        <item x="1067"/>
        <item x="1068"/>
        <item x="1069"/>
        <item x="1070"/>
        <item x="1071"/>
        <item m="1" x="2146"/>
        <item x="1072"/>
        <item x="1073"/>
        <item m="1" x="2147"/>
        <item x="1074"/>
        <item m="1" x="2148"/>
        <item x="1075"/>
        <item m="1" x="2149"/>
        <item x="1076"/>
        <item x="1077"/>
        <item m="1" x="2150"/>
        <item x="1078"/>
        <item m="1" x="2151"/>
        <item x="1079"/>
        <item x="1080"/>
        <item x="1081"/>
        <item m="1" x="2152"/>
        <item x="1082"/>
        <item x="1083"/>
        <item x="1084"/>
        <item x="1085"/>
        <item m="1" x="2153"/>
        <item x="1086"/>
        <item m="1" x="2154"/>
        <item x="1087"/>
        <item x="1088"/>
        <item x="1089"/>
        <item x="1090"/>
        <item m="1" x="2155"/>
        <item x="1091"/>
        <item m="1" x="2156"/>
        <item x="1092"/>
        <item x="1093"/>
        <item x="1094"/>
        <item x="1095"/>
        <item m="1" x="2157"/>
        <item x="1096"/>
        <item m="1" x="2158"/>
        <item x="1097"/>
        <item m="1" x="2159"/>
        <item x="1098"/>
        <item m="1" x="2160"/>
        <item x="1099"/>
        <item m="1" x="2161"/>
        <item x="1100"/>
        <item x="1101"/>
        <item x="1102"/>
        <item x="1103"/>
        <item m="1" x="2162"/>
        <item x="1104"/>
        <item m="1" x="2163"/>
        <item x="1105"/>
        <item m="1" x="2164"/>
        <item x="1106"/>
        <item m="1" x="2165"/>
        <item x="1107"/>
        <item m="1" x="2166"/>
        <item x="1108"/>
        <item x="1109"/>
        <item x="1110"/>
        <item m="1" x="2167"/>
        <item x="1111"/>
        <item m="1" x="2168"/>
        <item x="1112"/>
        <item m="1" x="2169"/>
        <item x="1113"/>
        <item x="1114"/>
        <item x="1115"/>
        <item x="1116"/>
        <item m="1" x="2170"/>
        <item x="1117"/>
        <item x="1118"/>
        <item m="1" x="2171"/>
        <item x="1119"/>
        <item x="1120"/>
        <item x="1121"/>
        <item x="1122"/>
        <item x="1123"/>
        <item m="1" x="2172"/>
        <item x="1124"/>
        <item x="1125"/>
        <item m="1" x="2173"/>
        <item x="1126"/>
        <item x="1127"/>
        <item x="1128"/>
        <item m="1" x="2174"/>
        <item x="1129"/>
        <item m="1" x="2175"/>
        <item x="1130"/>
        <item x="1131"/>
        <item m="1" x="2176"/>
        <item x="1132"/>
        <item x="1133"/>
        <item x="1134"/>
        <item m="1" x="2177"/>
        <item x="1135"/>
        <item x="1136"/>
        <item x="1137"/>
        <item x="1138"/>
        <item x="1139"/>
        <item m="1" x="2178"/>
        <item x="1140"/>
        <item m="1" x="2179"/>
        <item x="1141"/>
        <item m="1" x="2180"/>
        <item x="1142"/>
        <item x="1143"/>
        <item m="1" x="2181"/>
        <item x="1144"/>
        <item x="1145"/>
        <item m="1" x="2182"/>
        <item x="1146"/>
        <item m="1" x="2183"/>
        <item x="1147"/>
        <item x="1148"/>
        <item m="1" x="2184"/>
        <item x="1149"/>
        <item x="1150"/>
        <item x="1151"/>
        <item m="1" x="2185"/>
        <item x="1152"/>
        <item m="1" x="2186"/>
        <item x="1153"/>
        <item x="1154"/>
        <item m="1" x="2187"/>
        <item x="1155"/>
        <item x="1156"/>
        <item m="1" x="2188"/>
        <item x="1157"/>
        <item x="1158"/>
        <item m="1" x="2189"/>
        <item x="1159"/>
        <item x="1160"/>
        <item m="1" x="2190"/>
        <item x="1161"/>
        <item m="1" x="2191"/>
        <item x="1162"/>
        <item m="1" x="2192"/>
        <item x="1163"/>
        <item m="1" x="2193"/>
        <item x="1164"/>
        <item x="1165"/>
        <item x="1166"/>
        <item x="1167"/>
        <item m="1" x="2194"/>
        <item x="1168"/>
        <item m="1" x="2195"/>
        <item x="1169"/>
        <item m="1" x="2196"/>
        <item x="1170"/>
        <item x="1171"/>
        <item x="1172"/>
        <item x="1173"/>
        <item x="1174"/>
        <item m="1" x="2197"/>
        <item x="1175"/>
        <item m="1" x="2198"/>
        <item x="1176"/>
        <item x="1177"/>
        <item x="1178"/>
        <item m="1" x="2199"/>
        <item x="1179"/>
        <item x="1180"/>
        <item m="1" x="2200"/>
        <item x="1181"/>
        <item m="1" x="2201"/>
        <item x="1182"/>
        <item x="1183"/>
        <item x="1184"/>
        <item m="1" x="2202"/>
        <item x="1185"/>
        <item m="1" x="2203"/>
        <item x="1186"/>
        <item x="1187"/>
        <item m="1" x="2204"/>
        <item x="1188"/>
        <item x="1189"/>
        <item m="1" x="2205"/>
        <item x="1190"/>
        <item x="1191"/>
        <item x="1192"/>
        <item m="1" x="2206"/>
        <item x="1193"/>
        <item m="1" x="2207"/>
        <item x="1194"/>
        <item x="1195"/>
        <item x="1196"/>
        <item x="1197"/>
        <item m="1" x="2208"/>
        <item x="1198"/>
        <item x="1199"/>
        <item m="1" x="2209"/>
        <item x="1200"/>
        <item x="1201"/>
        <item m="1" x="2210"/>
        <item x="1202"/>
        <item x="1203"/>
        <item x="1204"/>
        <item m="1" x="2211"/>
        <item x="1205"/>
        <item m="1" x="2212"/>
        <item x="1206"/>
        <item m="1" x="2213"/>
        <item x="1207"/>
        <item m="1" x="2214"/>
        <item x="1208"/>
        <item x="1209"/>
        <item m="1" x="2215"/>
        <item x="1210"/>
        <item x="1211"/>
        <item m="1" x="2216"/>
        <item x="1212"/>
        <item x="1213"/>
        <item m="1" x="2217"/>
        <item x="1214"/>
        <item x="1215"/>
        <item m="1" x="2218"/>
        <item x="1216"/>
        <item m="1" x="2219"/>
        <item x="1217"/>
        <item m="1" x="2220"/>
        <item x="1218"/>
        <item x="1219"/>
        <item x="1220"/>
        <item x="1221"/>
        <item m="1" x="2221"/>
        <item x="1222"/>
        <item m="1" x="2222"/>
        <item x="1223"/>
        <item x="1224"/>
        <item m="1" x="2223"/>
        <item x="1225"/>
        <item x="1226"/>
        <item m="1" x="2224"/>
        <item x="1227"/>
        <item x="1228"/>
        <item m="1" x="2225"/>
        <item x="1229"/>
        <item m="1" x="2226"/>
        <item x="1230"/>
        <item m="1" x="2227"/>
        <item x="1231"/>
        <item m="1" x="2228"/>
        <item x="1232"/>
        <item m="1" x="2229"/>
        <item x="1233"/>
        <item m="1" x="2230"/>
        <item x="1234"/>
        <item x="1235"/>
        <item m="1" x="2231"/>
        <item x="1236"/>
        <item x="1237"/>
        <item m="1" x="2232"/>
        <item x="1238"/>
        <item x="1239"/>
        <item m="1" x="2233"/>
        <item x="1240"/>
        <item x="1241"/>
        <item m="1" x="2234"/>
        <item x="1242"/>
        <item x="1243"/>
        <item m="1" x="2235"/>
        <item x="1244"/>
        <item x="1245"/>
        <item m="1" x="2236"/>
        <item x="1246"/>
        <item x="1247"/>
        <item x="1248"/>
        <item x="1249"/>
        <item x="1250"/>
        <item x="1251"/>
        <item m="1" x="2237"/>
        <item x="1252"/>
        <item m="1" x="2238"/>
        <item x="1253"/>
        <item x="1254"/>
        <item x="1255"/>
        <item m="1" x="2239"/>
        <item x="1256"/>
        <item m="1" x="2240"/>
        <item x="1257"/>
        <item m="1" x="2241"/>
        <item x="1258"/>
        <item x="1259"/>
        <item x="1260"/>
        <item m="1" x="2242"/>
        <item x="1261"/>
        <item m="1" x="2243"/>
        <item x="1262"/>
        <item m="1" x="2244"/>
        <item x="1263"/>
        <item m="1" x="2245"/>
        <item x="1264"/>
        <item x="1265"/>
        <item x="1266"/>
        <item m="1" x="2246"/>
        <item x="1267"/>
        <item m="1" x="2247"/>
        <item x="1268"/>
        <item x="1269"/>
        <item x="1270"/>
        <item m="1" x="2248"/>
        <item x="1271"/>
        <item x="1272"/>
        <item x="1273"/>
        <item m="1" x="2249"/>
        <item x="1274"/>
        <item x="1275"/>
        <item m="1" x="2250"/>
        <item x="1276"/>
        <item x="1277"/>
        <item m="1" x="2251"/>
        <item x="1278"/>
        <item x="1279"/>
        <item x="1280"/>
        <item m="1" x="2252"/>
        <item x="1281"/>
        <item m="1" x="2253"/>
        <item x="1282"/>
        <item x="1283"/>
        <item m="1" x="2254"/>
        <item x="1284"/>
        <item m="1" x="2255"/>
        <item x="1285"/>
        <item m="1" x="2256"/>
        <item x="1286"/>
        <item x="1287"/>
        <item x="1288"/>
        <item x="1289"/>
        <item x="1290"/>
        <item x="1291"/>
        <item x="1292"/>
        <item m="1" x="2257"/>
        <item x="1293"/>
        <item x="1294"/>
        <item x="1295"/>
        <item x="1296"/>
        <item m="1" x="2258"/>
        <item x="1297"/>
        <item m="1" x="2259"/>
        <item x="1298"/>
        <item m="1" x="2260"/>
        <item x="1299"/>
        <item m="1" x="2261"/>
        <item x="1300"/>
        <item m="1" x="2262"/>
        <item x="1301"/>
        <item m="1" x="2263"/>
        <item x="1302"/>
        <item x="1303"/>
        <item x="1304"/>
        <item m="1" x="2264"/>
        <item x="1305"/>
        <item m="1" x="2265"/>
        <item x="1306"/>
        <item m="1" x="2266"/>
        <item x="1307"/>
        <item m="1" x="2267"/>
        <item x="1308"/>
        <item m="1" x="2268"/>
        <item x="1309"/>
        <item m="1" x="2269"/>
        <item x="1310"/>
        <item m="1" x="2270"/>
        <item x="1311"/>
        <item x="1312"/>
        <item m="1" x="2271"/>
        <item x="1313"/>
        <item x="1314"/>
        <item m="1" x="2272"/>
        <item x="1315"/>
        <item m="1" x="2273"/>
        <item x="1316"/>
        <item m="1" x="2274"/>
        <item x="1317"/>
        <item m="1" x="2275"/>
        <item x="1318"/>
        <item m="1" x="2276"/>
        <item x="1319"/>
        <item m="1" x="2277"/>
        <item x="1320"/>
        <item x="1321"/>
        <item m="1" x="2278"/>
        <item x="1322"/>
        <item x="1323"/>
        <item x="1324"/>
        <item m="1" x="2279"/>
        <item x="1325"/>
        <item x="1326"/>
        <item m="1" x="2280"/>
        <item x="1327"/>
        <item m="1" x="2281"/>
        <item x="1328"/>
        <item x="1329"/>
        <item x="1330"/>
        <item m="1" x="2282"/>
        <item x="1331"/>
        <item x="1332"/>
        <item x="1333"/>
        <item x="1334"/>
        <item m="1" x="2283"/>
        <item x="1335"/>
        <item m="1" x="2284"/>
        <item x="1336"/>
        <item m="1" x="2285"/>
        <item x="1337"/>
        <item x="1338"/>
        <item x="1339"/>
        <item m="1" x="2286"/>
        <item x="1340"/>
        <item m="1" x="2287"/>
        <item x="1341"/>
        <item m="1" x="2288"/>
        <item x="1342"/>
        <item x="1343"/>
        <item m="1" x="2289"/>
        <item x="1344"/>
        <item x="1345"/>
        <item x="1346"/>
        <item x="1347"/>
        <item x="1348"/>
        <item m="1" x="2290"/>
        <item x="1349"/>
        <item x="1350"/>
        <item m="1" x="2291"/>
        <item x="1351"/>
        <item x="1352"/>
        <item x="1353"/>
        <item m="1" x="2292"/>
        <item x="1354"/>
        <item m="1" x="2293"/>
        <item x="1355"/>
        <item m="1" x="2294"/>
        <item x="1356"/>
        <item m="1" x="2295"/>
        <item x="1357"/>
        <item m="1" x="2296"/>
        <item x="1358"/>
        <item m="1" x="2297"/>
        <item x="1359"/>
        <item m="1" x="2298"/>
        <item x="1360"/>
        <item x="1361"/>
        <item x="1362"/>
        <item m="1" x="2299"/>
        <item x="1363"/>
        <item x="1364"/>
        <item x="1365"/>
        <item m="1" x="2300"/>
        <item x="1366"/>
        <item m="1" x="2301"/>
        <item x="1367"/>
        <item x="1368"/>
        <item x="1369"/>
        <item m="1" x="2302"/>
        <item x="1370"/>
        <item x="1371"/>
        <item x="1372"/>
        <item m="1" x="2303"/>
        <item x="1373"/>
        <item x="1374"/>
        <item x="1375"/>
        <item m="1" x="2304"/>
        <item x="1376"/>
        <item x="1377"/>
        <item m="1" x="2305"/>
        <item x="1378"/>
        <item m="1" x="2306"/>
        <item x="1379"/>
        <item m="1" x="2307"/>
        <item x="1380"/>
        <item m="1" x="2308"/>
        <item x="1381"/>
        <item x="1382"/>
        <item m="1" x="2309"/>
        <item x="1383"/>
        <item m="1" x="2310"/>
        <item x="1384"/>
        <item x="1385"/>
        <item m="1" x="2311"/>
        <item x="1386"/>
        <item x="1387"/>
        <item x="1388"/>
        <item m="1" x="2312"/>
        <item x="1389"/>
        <item m="1" x="2313"/>
        <item x="1390"/>
        <item m="1" x="2314"/>
        <item x="1391"/>
        <item m="1" x="2315"/>
        <item x="1392"/>
        <item m="1" x="2316"/>
        <item x="1393"/>
        <item m="1" x="2317"/>
        <item x="1394"/>
        <item x="1395"/>
        <item x="1396"/>
        <item m="1" x="2318"/>
        <item x="1397"/>
        <item x="1398"/>
        <item x="1399"/>
        <item x="1400"/>
        <item x="1401"/>
        <item x="1402"/>
        <item x="1403"/>
        <item x="1404"/>
        <item x="1405"/>
        <item m="1" x="2319"/>
        <item x="1406"/>
        <item m="1" x="2320"/>
        <item x="1407"/>
        <item m="1" x="2321"/>
        <item x="1408"/>
        <item m="1" x="2322"/>
        <item x="1409"/>
        <item m="1" x="2323"/>
        <item x="1410"/>
        <item m="1" x="2324"/>
        <item x="1411"/>
        <item x="1412"/>
        <item x="1413"/>
        <item x="1414"/>
        <item x="1415"/>
        <item x="1416"/>
        <item x="1417"/>
        <item x="1418"/>
        <item x="1419"/>
        <item x="1420"/>
        <item m="1" x="2325"/>
        <item x="1421"/>
        <item m="1" x="2326"/>
        <item x="1422"/>
        <item x="1423"/>
        <item x="1424"/>
        <item x="1425"/>
        <item x="1426"/>
        <item m="1" x="2327"/>
        <item x="1427"/>
        <item x="1428"/>
        <item m="1" x="2328"/>
        <item x="1429"/>
        <item x="1430"/>
        <item x="1431"/>
        <item x="1432"/>
        <item x="1433"/>
        <item m="1" x="2329"/>
        <item x="1434"/>
        <item m="1" x="2330"/>
        <item x="1435"/>
        <item m="1" x="2331"/>
        <item x="1436"/>
        <item m="1" x="2332"/>
        <item x="1437"/>
        <item m="1" x="2333"/>
        <item x="1438"/>
        <item x="1439"/>
        <item x="1440"/>
        <item m="1" x="2334"/>
        <item x="1441"/>
        <item x="1442"/>
        <item m="1" x="2335"/>
        <item x="1443"/>
        <item x="1444"/>
        <item m="1" x="2336"/>
        <item x="1445"/>
        <item x="1446"/>
        <item m="1" x="2337"/>
        <item x="1447"/>
        <item m="1" x="2338"/>
        <item x="1448"/>
        <item x="1449"/>
        <item m="1" x="2339"/>
        <item x="1450"/>
        <item m="1" x="2340"/>
        <item x="1451"/>
        <item m="1" x="2341"/>
        <item x="1452"/>
        <item m="1" x="2342"/>
        <item x="1453"/>
        <item x="1454"/>
        <item x="1455"/>
        <item x="1456"/>
        <item m="1" x="2343"/>
        <item x="1457"/>
        <item x="1458"/>
        <item x="1459"/>
        <item m="1" x="2344"/>
        <item x="1460"/>
        <item x="1461"/>
        <item x="1462"/>
        <item m="1" x="2345"/>
        <item x="1463"/>
        <item m="1" x="2346"/>
        <item x="1464"/>
        <item m="1" x="2347"/>
        <item x="1465"/>
        <item m="1" x="2348"/>
        <item x="1466"/>
        <item x="1467"/>
        <item x="1468"/>
        <item x="1469"/>
        <item x="1470"/>
        <item x="1475"/>
        <item m="1" x="2349"/>
        <item x="1471"/>
        <item x="1472"/>
        <item m="1" x="2350"/>
        <item x="1473"/>
        <item m="1" x="2351"/>
        <item x="1474"/>
        <item m="1" x="2352"/>
        <item x="1476"/>
        <item x="1477"/>
        <item m="1" x="2353"/>
        <item x="1478"/>
        <item x="1479"/>
        <item m="1" x="2354"/>
        <item x="1480"/>
        <item m="1" x="2355"/>
        <item x="1481"/>
        <item x="1482"/>
        <item x="1483"/>
        <item m="1" x="2356"/>
        <item x="1484"/>
        <item x="1485"/>
        <item m="1" x="2357"/>
        <item x="1486"/>
        <item m="1" x="2358"/>
        <item x="1487"/>
        <item x="1488"/>
        <item m="1" x="2359"/>
        <item x="1489"/>
        <item m="1" x="2360"/>
        <item x="1490"/>
        <item x="1491"/>
        <item m="1" x="2361"/>
        <item x="1492"/>
        <item m="1" x="2362"/>
        <item x="1493"/>
        <item m="1" x="2363"/>
        <item x="1494"/>
        <item m="1" x="2364"/>
        <item x="1495"/>
        <item x="1496"/>
        <item m="1" x="2365"/>
        <item x="1497"/>
        <item x="1498"/>
        <item x="1499"/>
        <item x="1500"/>
        <item m="1" x="2366"/>
        <item x="1501"/>
        <item x="1502"/>
        <item m="1" x="2367"/>
        <item x="1503"/>
        <item x="1504"/>
        <item m="1" x="2368"/>
        <item x="1505"/>
        <item x="1506"/>
        <item x="1507"/>
        <item m="1" x="2369"/>
        <item x="1508"/>
        <item x="1509"/>
        <item m="1" x="2370"/>
        <item x="1510"/>
        <item m="1" x="2371"/>
        <item x="1511"/>
        <item x="1512"/>
        <item m="1" x="2372"/>
        <item x="1513"/>
        <item x="1514"/>
        <item m="1" x="2373"/>
        <item x="1515"/>
        <item x="1516"/>
        <item x="1517"/>
        <item m="1" x="2374"/>
        <item x="1518"/>
        <item m="1" x="2375"/>
        <item x="1519"/>
        <item x="1520"/>
        <item x="1521"/>
        <item m="1" x="2376"/>
        <item x="1522"/>
        <item x="1523"/>
        <item x="1524"/>
        <item m="1" x="2377"/>
        <item x="1525"/>
        <item m="1" x="2378"/>
        <item x="1526"/>
        <item x="1527"/>
        <item x="1528"/>
        <item x="1529"/>
        <item x="1530"/>
        <item x="1531"/>
        <item m="1" x="2379"/>
        <item x="1532"/>
        <item x="1533"/>
        <item m="1" x="2380"/>
        <item x="1534"/>
        <item x="1535"/>
        <item x="1536"/>
        <item m="1" x="2381"/>
        <item x="1537"/>
        <item m="1" x="2382"/>
        <item x="1538"/>
        <item x="1539"/>
        <item x="1540"/>
        <item x="1541"/>
        <item x="1542"/>
        <item m="1" x="2383"/>
        <item x="1543"/>
        <item x="1544"/>
        <item m="1" x="2384"/>
        <item x="1545"/>
        <item m="1" x="2385"/>
        <item x="1546"/>
        <item x="1547"/>
        <item m="1" x="2386"/>
        <item x="1548"/>
        <item m="1" x="2387"/>
        <item x="1549"/>
        <item m="1" x="2388"/>
        <item x="1550"/>
        <item m="1" x="2389"/>
        <item x="1551"/>
        <item x="1552"/>
        <item x="1553"/>
        <item m="1" x="2390"/>
        <item x="1554"/>
        <item m="1" x="2391"/>
        <item x="1555"/>
        <item x="1556"/>
        <item x="1557"/>
        <item x="1558"/>
        <item x="1559"/>
        <item m="1" x="2392"/>
        <item x="1560"/>
        <item m="1" x="2393"/>
        <item x="1561"/>
        <item x="1562"/>
        <item m="1" x="2394"/>
        <item x="1563"/>
        <item m="1" x="2395"/>
        <item x="1564"/>
        <item m="1" x="2396"/>
        <item x="1565"/>
        <item m="1" x="2397"/>
        <item x="1566"/>
        <item x="1567"/>
        <item x="1568"/>
        <item m="1" x="2398"/>
        <item x="1569"/>
        <item x="1570"/>
        <item m="1" x="2399"/>
        <item x="1571"/>
        <item m="1" x="2400"/>
        <item x="1572"/>
        <item m="1" x="2401"/>
        <item x="1573"/>
        <item x="1574"/>
        <item x="1575"/>
        <item m="1" x="2402"/>
        <item x="1576"/>
        <item x="1577"/>
        <item m="1" x="2403"/>
        <item x="1578"/>
        <item x="1579"/>
        <item x="1580"/>
        <item m="1" x="2404"/>
        <item x="1581"/>
        <item x="1582"/>
        <item m="1" x="2405"/>
        <item x="1583"/>
        <item x="1584"/>
        <item x="1585"/>
        <item x="1586"/>
        <item x="1587"/>
        <item x="1588"/>
        <item x="1589"/>
        <item m="1" x="2406"/>
        <item x="1590"/>
        <item x="1591"/>
        <item x="1592"/>
        <item m="1" x="2407"/>
        <item x="1593"/>
        <item m="1" x="2408"/>
        <item x="1594"/>
        <item x="1595"/>
        <item x="1596"/>
        <item x="1597"/>
        <item x="1598"/>
        <item x="1599"/>
        <item m="1" x="2409"/>
        <item x="1600"/>
        <item x="1601"/>
        <item m="1" x="2410"/>
        <item x="1602"/>
        <item x="1603"/>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0"/>
  </rowFields>
  <rowItems count="1606">
    <i>
      <x/>
    </i>
    <i>
      <x v="1"/>
    </i>
    <i>
      <x v="2"/>
    </i>
    <i>
      <x v="3"/>
    </i>
    <i>
      <x v="4"/>
    </i>
    <i>
      <x v="6"/>
    </i>
    <i>
      <x v="8"/>
    </i>
    <i>
      <x v="9"/>
    </i>
    <i>
      <x v="10"/>
    </i>
    <i>
      <x v="11"/>
    </i>
    <i>
      <x v="13"/>
    </i>
    <i>
      <x v="15"/>
    </i>
    <i>
      <x v="17"/>
    </i>
    <i>
      <x v="18"/>
    </i>
    <i>
      <x v="19"/>
    </i>
    <i>
      <x v="21"/>
    </i>
    <i>
      <x v="22"/>
    </i>
    <i>
      <x v="23"/>
    </i>
    <i>
      <x v="25"/>
    </i>
    <i>
      <x v="27"/>
    </i>
    <i>
      <x v="29"/>
    </i>
    <i>
      <x v="30"/>
    </i>
    <i>
      <x v="31"/>
    </i>
    <i>
      <x v="32"/>
    </i>
    <i>
      <x v="33"/>
    </i>
    <i>
      <x v="34"/>
    </i>
    <i>
      <x v="35"/>
    </i>
    <i>
      <x v="37"/>
    </i>
    <i>
      <x v="39"/>
    </i>
    <i>
      <x v="40"/>
    </i>
    <i>
      <x v="42"/>
    </i>
    <i>
      <x v="43"/>
    </i>
    <i>
      <x v="44"/>
    </i>
    <i>
      <x v="46"/>
    </i>
    <i>
      <x v="47"/>
    </i>
    <i>
      <x v="49"/>
    </i>
    <i>
      <x v="51"/>
    </i>
    <i>
      <x v="52"/>
    </i>
    <i>
      <x v="53"/>
    </i>
    <i>
      <x v="54"/>
    </i>
    <i>
      <x v="55"/>
    </i>
    <i>
      <x v="57"/>
    </i>
    <i>
      <x v="59"/>
    </i>
    <i>
      <x v="61"/>
    </i>
    <i>
      <x v="63"/>
    </i>
    <i>
      <x v="65"/>
    </i>
    <i>
      <x v="66"/>
    </i>
    <i>
      <x v="67"/>
    </i>
    <i>
      <x v="68"/>
    </i>
    <i>
      <x v="70"/>
    </i>
    <i>
      <x v="71"/>
    </i>
    <i>
      <x v="72"/>
    </i>
    <i>
      <x v="74"/>
    </i>
    <i>
      <x v="75"/>
    </i>
    <i>
      <x v="76"/>
    </i>
    <i>
      <x v="77"/>
    </i>
    <i>
      <x v="78"/>
    </i>
    <i>
      <x v="79"/>
    </i>
    <i>
      <x v="81"/>
    </i>
    <i>
      <x v="82"/>
    </i>
    <i>
      <x v="83"/>
    </i>
    <i>
      <x v="84"/>
    </i>
    <i>
      <x v="85"/>
    </i>
    <i>
      <x v="87"/>
    </i>
    <i>
      <x v="88"/>
    </i>
    <i>
      <x v="90"/>
    </i>
    <i>
      <x v="91"/>
    </i>
    <i>
      <x v="93"/>
    </i>
    <i>
      <x v="95"/>
    </i>
    <i>
      <x v="97"/>
    </i>
    <i>
      <x v="98"/>
    </i>
    <i>
      <x v="99"/>
    </i>
    <i>
      <x v="101"/>
    </i>
    <i>
      <x v="103"/>
    </i>
    <i>
      <x v="105"/>
    </i>
    <i>
      <x v="106"/>
    </i>
    <i>
      <x v="108"/>
    </i>
    <i>
      <x v="109"/>
    </i>
    <i>
      <x v="110"/>
    </i>
    <i>
      <x v="112"/>
    </i>
    <i>
      <x v="113"/>
    </i>
    <i>
      <x v="115"/>
    </i>
    <i>
      <x v="117"/>
    </i>
    <i>
      <x v="118"/>
    </i>
    <i>
      <x v="119"/>
    </i>
    <i>
      <x v="120"/>
    </i>
    <i>
      <x v="121"/>
    </i>
    <i>
      <x v="122"/>
    </i>
    <i>
      <x v="124"/>
    </i>
    <i>
      <x v="125"/>
    </i>
    <i>
      <x v="126"/>
    </i>
    <i>
      <x v="127"/>
    </i>
    <i>
      <x v="129"/>
    </i>
    <i>
      <x v="131"/>
    </i>
    <i>
      <x v="133"/>
    </i>
    <i>
      <x v="135"/>
    </i>
    <i>
      <x v="136"/>
    </i>
    <i>
      <x v="138"/>
    </i>
    <i>
      <x v="140"/>
    </i>
    <i>
      <x v="142"/>
    </i>
    <i>
      <x v="144"/>
    </i>
    <i>
      <x v="145"/>
    </i>
    <i>
      <x v="146"/>
    </i>
    <i>
      <x v="148"/>
    </i>
    <i>
      <x v="150"/>
    </i>
    <i>
      <x v="152"/>
    </i>
    <i>
      <x v="154"/>
    </i>
    <i>
      <x v="155"/>
    </i>
    <i>
      <x v="156"/>
    </i>
    <i>
      <x v="157"/>
    </i>
    <i>
      <x v="159"/>
    </i>
    <i>
      <x v="161"/>
    </i>
    <i>
      <x v="162"/>
    </i>
    <i>
      <x v="164"/>
    </i>
    <i>
      <x v="165"/>
    </i>
    <i>
      <x v="167"/>
    </i>
    <i>
      <x v="168"/>
    </i>
    <i>
      <x v="169"/>
    </i>
    <i>
      <x v="170"/>
    </i>
    <i>
      <x v="171"/>
    </i>
    <i>
      <x v="172"/>
    </i>
    <i>
      <x v="174"/>
    </i>
    <i>
      <x v="175"/>
    </i>
    <i>
      <x v="176"/>
    </i>
    <i>
      <x v="178"/>
    </i>
    <i>
      <x v="179"/>
    </i>
    <i>
      <x v="180"/>
    </i>
    <i>
      <x v="182"/>
    </i>
    <i>
      <x v="183"/>
    </i>
    <i>
      <x v="184"/>
    </i>
    <i>
      <x v="186"/>
    </i>
    <i>
      <x v="188"/>
    </i>
    <i>
      <x v="190"/>
    </i>
    <i>
      <x v="191"/>
    </i>
    <i>
      <x v="193"/>
    </i>
    <i>
      <x v="195"/>
    </i>
    <i>
      <x v="196"/>
    </i>
    <i>
      <x v="198"/>
    </i>
    <i>
      <x v="200"/>
    </i>
    <i>
      <x v="201"/>
    </i>
    <i>
      <x v="202"/>
    </i>
    <i>
      <x v="204"/>
    </i>
    <i>
      <x v="205"/>
    </i>
    <i>
      <x v="207"/>
    </i>
    <i>
      <x v="209"/>
    </i>
    <i>
      <x v="210"/>
    </i>
    <i>
      <x v="211"/>
    </i>
    <i>
      <x v="213"/>
    </i>
    <i>
      <x v="214"/>
    </i>
    <i>
      <x v="216"/>
    </i>
    <i>
      <x v="218"/>
    </i>
    <i>
      <x v="219"/>
    </i>
    <i>
      <x v="220"/>
    </i>
    <i>
      <x v="221"/>
    </i>
    <i>
      <x v="223"/>
    </i>
    <i>
      <x v="224"/>
    </i>
    <i>
      <x v="225"/>
    </i>
    <i>
      <x v="226"/>
    </i>
    <i>
      <x v="228"/>
    </i>
    <i>
      <x v="230"/>
    </i>
    <i>
      <x v="232"/>
    </i>
    <i>
      <x v="233"/>
    </i>
    <i>
      <x v="234"/>
    </i>
    <i>
      <x v="236"/>
    </i>
    <i>
      <x v="237"/>
    </i>
    <i>
      <x v="238"/>
    </i>
    <i>
      <x v="240"/>
    </i>
    <i>
      <x v="242"/>
    </i>
    <i>
      <x v="243"/>
    </i>
    <i>
      <x v="244"/>
    </i>
    <i>
      <x v="245"/>
    </i>
    <i>
      <x v="246"/>
    </i>
    <i>
      <x v="247"/>
    </i>
    <i>
      <x v="248"/>
    </i>
    <i>
      <x v="250"/>
    </i>
    <i>
      <x v="252"/>
    </i>
    <i>
      <x v="254"/>
    </i>
    <i>
      <x v="255"/>
    </i>
    <i>
      <x v="257"/>
    </i>
    <i>
      <x v="259"/>
    </i>
    <i>
      <x v="260"/>
    </i>
    <i>
      <x v="262"/>
    </i>
    <i>
      <x v="264"/>
    </i>
    <i>
      <x v="265"/>
    </i>
    <i>
      <x v="266"/>
    </i>
    <i>
      <x v="267"/>
    </i>
    <i>
      <x v="268"/>
    </i>
    <i>
      <x v="269"/>
    </i>
    <i>
      <x v="271"/>
    </i>
    <i>
      <x v="273"/>
    </i>
    <i>
      <x v="275"/>
    </i>
    <i>
      <x v="276"/>
    </i>
    <i>
      <x v="277"/>
    </i>
    <i>
      <x v="278"/>
    </i>
    <i>
      <x v="280"/>
    </i>
    <i>
      <x v="282"/>
    </i>
    <i>
      <x v="283"/>
    </i>
    <i>
      <x v="285"/>
    </i>
    <i>
      <x v="286"/>
    </i>
    <i>
      <x v="287"/>
    </i>
    <i>
      <x v="289"/>
    </i>
    <i>
      <x v="291"/>
    </i>
    <i>
      <x v="293"/>
    </i>
    <i>
      <x v="294"/>
    </i>
    <i>
      <x v="296"/>
    </i>
    <i>
      <x v="298"/>
    </i>
    <i>
      <x v="299"/>
    </i>
    <i>
      <x v="300"/>
    </i>
    <i>
      <x v="301"/>
    </i>
    <i>
      <x v="302"/>
    </i>
    <i>
      <x v="304"/>
    </i>
    <i>
      <x v="306"/>
    </i>
    <i>
      <x v="308"/>
    </i>
    <i>
      <x v="309"/>
    </i>
    <i>
      <x v="310"/>
    </i>
    <i>
      <x v="311"/>
    </i>
    <i>
      <x v="312"/>
    </i>
    <i>
      <x v="314"/>
    </i>
    <i>
      <x v="316"/>
    </i>
    <i>
      <x v="317"/>
    </i>
    <i>
      <x v="319"/>
    </i>
    <i>
      <x v="320"/>
    </i>
    <i>
      <x v="321"/>
    </i>
    <i>
      <x v="322"/>
    </i>
    <i>
      <x v="324"/>
    </i>
    <i>
      <x v="326"/>
    </i>
    <i>
      <x v="327"/>
    </i>
    <i>
      <x v="329"/>
    </i>
    <i>
      <x v="330"/>
    </i>
    <i>
      <x v="331"/>
    </i>
    <i>
      <x v="333"/>
    </i>
    <i>
      <x v="334"/>
    </i>
    <i>
      <x v="336"/>
    </i>
    <i>
      <x v="338"/>
    </i>
    <i>
      <x v="340"/>
    </i>
    <i>
      <x v="341"/>
    </i>
    <i>
      <x v="342"/>
    </i>
    <i>
      <x v="343"/>
    </i>
    <i>
      <x v="345"/>
    </i>
    <i>
      <x v="347"/>
    </i>
    <i>
      <x v="349"/>
    </i>
    <i>
      <x v="351"/>
    </i>
    <i>
      <x v="353"/>
    </i>
    <i>
      <x v="354"/>
    </i>
    <i>
      <x v="355"/>
    </i>
    <i>
      <x v="356"/>
    </i>
    <i>
      <x v="358"/>
    </i>
    <i>
      <x v="360"/>
    </i>
    <i>
      <x v="362"/>
    </i>
    <i>
      <x v="363"/>
    </i>
    <i>
      <x v="365"/>
    </i>
    <i>
      <x v="367"/>
    </i>
    <i>
      <x v="369"/>
    </i>
    <i>
      <x v="371"/>
    </i>
    <i>
      <x v="372"/>
    </i>
    <i>
      <x v="374"/>
    </i>
    <i>
      <x v="376"/>
    </i>
    <i>
      <x v="378"/>
    </i>
    <i>
      <x v="379"/>
    </i>
    <i>
      <x v="381"/>
    </i>
    <i>
      <x v="383"/>
    </i>
    <i>
      <x v="384"/>
    </i>
    <i>
      <x v="386"/>
    </i>
    <i>
      <x v="387"/>
    </i>
    <i>
      <x v="388"/>
    </i>
    <i>
      <x v="390"/>
    </i>
    <i>
      <x v="392"/>
    </i>
    <i>
      <x v="394"/>
    </i>
    <i>
      <x v="396"/>
    </i>
    <i>
      <x v="398"/>
    </i>
    <i>
      <x v="399"/>
    </i>
    <i>
      <x v="400"/>
    </i>
    <i>
      <x v="401"/>
    </i>
    <i>
      <x v="402"/>
    </i>
    <i>
      <x v="404"/>
    </i>
    <i>
      <x v="405"/>
    </i>
    <i>
      <x v="407"/>
    </i>
    <i>
      <x v="408"/>
    </i>
    <i>
      <x v="409"/>
    </i>
    <i>
      <x v="410"/>
    </i>
    <i>
      <x v="411"/>
    </i>
    <i>
      <x v="412"/>
    </i>
    <i>
      <x v="414"/>
    </i>
    <i>
      <x v="415"/>
    </i>
    <i>
      <x v="417"/>
    </i>
    <i>
      <x v="419"/>
    </i>
    <i>
      <x v="421"/>
    </i>
    <i>
      <x v="423"/>
    </i>
    <i>
      <x v="425"/>
    </i>
    <i>
      <x v="427"/>
    </i>
    <i>
      <x v="428"/>
    </i>
    <i>
      <x v="430"/>
    </i>
    <i>
      <x v="431"/>
    </i>
    <i>
      <x v="433"/>
    </i>
    <i>
      <x v="435"/>
    </i>
    <i>
      <x v="437"/>
    </i>
    <i>
      <x v="439"/>
    </i>
    <i>
      <x v="441"/>
    </i>
    <i>
      <x v="443"/>
    </i>
    <i>
      <x v="444"/>
    </i>
    <i>
      <x v="446"/>
    </i>
    <i>
      <x v="448"/>
    </i>
    <i>
      <x v="449"/>
    </i>
    <i>
      <x v="451"/>
    </i>
    <i>
      <x v="453"/>
    </i>
    <i>
      <x v="455"/>
    </i>
    <i>
      <x v="457"/>
    </i>
    <i>
      <x v="458"/>
    </i>
    <i>
      <x v="460"/>
    </i>
    <i>
      <x v="462"/>
    </i>
    <i>
      <x v="463"/>
    </i>
    <i>
      <x v="465"/>
    </i>
    <i>
      <x v="467"/>
    </i>
    <i>
      <x v="468"/>
    </i>
    <i>
      <x v="469"/>
    </i>
    <i>
      <x v="470"/>
    </i>
    <i>
      <x v="471"/>
    </i>
    <i>
      <x v="473"/>
    </i>
    <i>
      <x v="474"/>
    </i>
    <i>
      <x v="475"/>
    </i>
    <i>
      <x v="477"/>
    </i>
    <i>
      <x v="478"/>
    </i>
    <i>
      <x v="480"/>
    </i>
    <i>
      <x v="481"/>
    </i>
    <i>
      <x v="483"/>
    </i>
    <i>
      <x v="484"/>
    </i>
    <i>
      <x v="486"/>
    </i>
    <i>
      <x v="488"/>
    </i>
    <i>
      <x v="489"/>
    </i>
    <i>
      <x v="491"/>
    </i>
    <i>
      <x v="493"/>
    </i>
    <i>
      <x v="494"/>
    </i>
    <i>
      <x v="495"/>
    </i>
    <i>
      <x v="497"/>
    </i>
    <i>
      <x v="499"/>
    </i>
    <i>
      <x v="501"/>
    </i>
    <i>
      <x v="502"/>
    </i>
    <i>
      <x v="504"/>
    </i>
    <i>
      <x v="506"/>
    </i>
    <i>
      <x v="507"/>
    </i>
    <i>
      <x v="508"/>
    </i>
    <i>
      <x v="509"/>
    </i>
    <i>
      <x v="510"/>
    </i>
    <i>
      <x v="511"/>
    </i>
    <i>
      <x v="513"/>
    </i>
    <i>
      <x v="515"/>
    </i>
    <i>
      <x v="516"/>
    </i>
    <i>
      <x v="518"/>
    </i>
    <i>
      <x v="520"/>
    </i>
    <i>
      <x v="521"/>
    </i>
    <i>
      <x v="522"/>
    </i>
    <i>
      <x v="523"/>
    </i>
    <i>
      <x v="525"/>
    </i>
    <i>
      <x v="527"/>
    </i>
    <i>
      <x v="529"/>
    </i>
    <i>
      <x v="530"/>
    </i>
    <i>
      <x v="532"/>
    </i>
    <i>
      <x v="534"/>
    </i>
    <i>
      <x v="535"/>
    </i>
    <i>
      <x v="537"/>
    </i>
    <i>
      <x v="539"/>
    </i>
    <i>
      <x v="541"/>
    </i>
    <i>
      <x v="543"/>
    </i>
    <i>
      <x v="545"/>
    </i>
    <i>
      <x v="546"/>
    </i>
    <i>
      <x v="547"/>
    </i>
    <i>
      <x v="548"/>
    </i>
    <i>
      <x v="550"/>
    </i>
    <i>
      <x v="552"/>
    </i>
    <i>
      <x v="554"/>
    </i>
    <i>
      <x v="555"/>
    </i>
    <i>
      <x v="556"/>
    </i>
    <i>
      <x v="557"/>
    </i>
    <i>
      <x v="559"/>
    </i>
    <i>
      <x v="560"/>
    </i>
    <i>
      <x v="562"/>
    </i>
    <i>
      <x v="564"/>
    </i>
    <i>
      <x v="565"/>
    </i>
    <i>
      <x v="567"/>
    </i>
    <i>
      <x v="568"/>
    </i>
    <i>
      <x v="569"/>
    </i>
    <i>
      <x v="570"/>
    </i>
    <i>
      <x v="571"/>
    </i>
    <i>
      <x v="572"/>
    </i>
    <i>
      <x v="574"/>
    </i>
    <i>
      <x v="575"/>
    </i>
    <i>
      <x v="576"/>
    </i>
    <i>
      <x v="578"/>
    </i>
    <i>
      <x v="579"/>
    </i>
    <i>
      <x v="580"/>
    </i>
    <i>
      <x v="581"/>
    </i>
    <i>
      <x v="583"/>
    </i>
    <i>
      <x v="585"/>
    </i>
    <i>
      <x v="587"/>
    </i>
    <i>
      <x v="589"/>
    </i>
    <i>
      <x v="591"/>
    </i>
    <i>
      <x v="592"/>
    </i>
    <i>
      <x v="594"/>
    </i>
    <i>
      <x v="596"/>
    </i>
    <i>
      <x v="598"/>
    </i>
    <i>
      <x v="600"/>
    </i>
    <i>
      <x v="601"/>
    </i>
    <i>
      <x v="602"/>
    </i>
    <i>
      <x v="604"/>
    </i>
    <i>
      <x v="605"/>
    </i>
    <i>
      <x v="607"/>
    </i>
    <i>
      <x v="609"/>
    </i>
    <i>
      <x v="611"/>
    </i>
    <i>
      <x v="613"/>
    </i>
    <i>
      <x v="614"/>
    </i>
    <i>
      <x v="615"/>
    </i>
    <i>
      <x v="617"/>
    </i>
    <i>
      <x v="618"/>
    </i>
    <i>
      <x v="620"/>
    </i>
    <i>
      <x v="621"/>
    </i>
    <i>
      <x v="623"/>
    </i>
    <i>
      <x v="624"/>
    </i>
    <i>
      <x v="626"/>
    </i>
    <i>
      <x v="627"/>
    </i>
    <i>
      <x v="629"/>
    </i>
    <i>
      <x v="631"/>
    </i>
    <i>
      <x v="632"/>
    </i>
    <i>
      <x v="633"/>
    </i>
    <i>
      <x v="635"/>
    </i>
    <i>
      <x v="636"/>
    </i>
    <i>
      <x v="638"/>
    </i>
    <i>
      <x v="640"/>
    </i>
    <i>
      <x v="641"/>
    </i>
    <i>
      <x v="643"/>
    </i>
    <i>
      <x v="644"/>
    </i>
    <i>
      <x v="646"/>
    </i>
    <i>
      <x v="647"/>
    </i>
    <i>
      <x v="649"/>
    </i>
    <i>
      <x v="650"/>
    </i>
    <i>
      <x v="651"/>
    </i>
    <i>
      <x v="653"/>
    </i>
    <i>
      <x v="655"/>
    </i>
    <i>
      <x v="656"/>
    </i>
    <i>
      <x v="658"/>
    </i>
    <i>
      <x v="660"/>
    </i>
    <i>
      <x v="662"/>
    </i>
    <i>
      <x v="664"/>
    </i>
    <i>
      <x v="666"/>
    </i>
    <i>
      <x v="668"/>
    </i>
    <i>
      <x v="670"/>
    </i>
    <i>
      <x v="671"/>
    </i>
    <i>
      <x v="672"/>
    </i>
    <i>
      <x v="673"/>
    </i>
    <i>
      <x v="674"/>
    </i>
    <i>
      <x v="676"/>
    </i>
    <i>
      <x v="678"/>
    </i>
    <i>
      <x v="679"/>
    </i>
    <i>
      <x v="681"/>
    </i>
    <i>
      <x v="683"/>
    </i>
    <i>
      <x v="685"/>
    </i>
    <i>
      <x v="686"/>
    </i>
    <i>
      <x v="687"/>
    </i>
    <i>
      <x v="688"/>
    </i>
    <i>
      <x v="690"/>
    </i>
    <i>
      <x v="692"/>
    </i>
    <i>
      <x v="693"/>
    </i>
    <i>
      <x v="694"/>
    </i>
    <i>
      <x v="696"/>
    </i>
    <i>
      <x v="698"/>
    </i>
    <i>
      <x v="700"/>
    </i>
    <i>
      <x v="701"/>
    </i>
    <i>
      <x v="703"/>
    </i>
    <i>
      <x v="705"/>
    </i>
    <i>
      <x v="706"/>
    </i>
    <i>
      <x v="708"/>
    </i>
    <i>
      <x v="709"/>
    </i>
    <i>
      <x v="710"/>
    </i>
    <i>
      <x v="711"/>
    </i>
    <i>
      <x v="712"/>
    </i>
    <i>
      <x v="714"/>
    </i>
    <i>
      <x v="716"/>
    </i>
    <i>
      <x v="717"/>
    </i>
    <i>
      <x v="718"/>
    </i>
    <i>
      <x v="719"/>
    </i>
    <i>
      <x v="720"/>
    </i>
    <i>
      <x v="722"/>
    </i>
    <i>
      <x v="724"/>
    </i>
    <i>
      <x v="726"/>
    </i>
    <i>
      <x v="728"/>
    </i>
    <i>
      <x v="729"/>
    </i>
    <i>
      <x v="731"/>
    </i>
    <i>
      <x v="732"/>
    </i>
    <i>
      <x v="734"/>
    </i>
    <i>
      <x v="735"/>
    </i>
    <i>
      <x v="736"/>
    </i>
    <i>
      <x v="737"/>
    </i>
    <i>
      <x v="738"/>
    </i>
    <i>
      <x v="740"/>
    </i>
    <i>
      <x v="741"/>
    </i>
    <i>
      <x v="742"/>
    </i>
    <i>
      <x v="743"/>
    </i>
    <i>
      <x v="745"/>
    </i>
    <i>
      <x v="747"/>
    </i>
    <i>
      <x v="748"/>
    </i>
    <i>
      <x v="750"/>
    </i>
    <i>
      <x v="752"/>
    </i>
    <i>
      <x v="753"/>
    </i>
    <i>
      <x v="754"/>
    </i>
    <i>
      <x v="756"/>
    </i>
    <i>
      <x v="758"/>
    </i>
    <i>
      <x v="759"/>
    </i>
    <i>
      <x v="761"/>
    </i>
    <i>
      <x v="763"/>
    </i>
    <i>
      <x v="764"/>
    </i>
    <i>
      <x v="766"/>
    </i>
    <i>
      <x v="767"/>
    </i>
    <i>
      <x v="768"/>
    </i>
    <i>
      <x v="769"/>
    </i>
    <i>
      <x v="771"/>
    </i>
    <i>
      <x v="773"/>
    </i>
    <i>
      <x v="774"/>
    </i>
    <i>
      <x v="776"/>
    </i>
    <i>
      <x v="777"/>
    </i>
    <i>
      <x v="779"/>
    </i>
    <i>
      <x v="780"/>
    </i>
    <i>
      <x v="782"/>
    </i>
    <i>
      <x v="784"/>
    </i>
    <i>
      <x v="786"/>
    </i>
    <i>
      <x v="788"/>
    </i>
    <i>
      <x v="789"/>
    </i>
    <i>
      <x v="791"/>
    </i>
    <i>
      <x v="793"/>
    </i>
    <i>
      <x v="795"/>
    </i>
    <i>
      <x v="797"/>
    </i>
    <i>
      <x v="798"/>
    </i>
    <i>
      <x v="800"/>
    </i>
    <i>
      <x v="802"/>
    </i>
    <i>
      <x v="804"/>
    </i>
    <i>
      <x v="805"/>
    </i>
    <i>
      <x v="806"/>
    </i>
    <i>
      <x v="808"/>
    </i>
    <i>
      <x v="809"/>
    </i>
    <i>
      <x v="810"/>
    </i>
    <i>
      <x v="812"/>
    </i>
    <i>
      <x v="813"/>
    </i>
    <i>
      <x v="814"/>
    </i>
    <i>
      <x v="815"/>
    </i>
    <i>
      <x v="816"/>
    </i>
    <i>
      <x v="818"/>
    </i>
    <i>
      <x v="820"/>
    </i>
    <i>
      <x v="821"/>
    </i>
    <i>
      <x v="822"/>
    </i>
    <i>
      <x v="823"/>
    </i>
    <i>
      <x v="824"/>
    </i>
    <i>
      <x v="826"/>
    </i>
    <i>
      <x v="827"/>
    </i>
    <i>
      <x v="828"/>
    </i>
    <i>
      <x v="829"/>
    </i>
    <i>
      <x v="830"/>
    </i>
    <i>
      <x v="831"/>
    </i>
    <i>
      <x v="833"/>
    </i>
    <i>
      <x v="835"/>
    </i>
    <i>
      <x v="837"/>
    </i>
    <i>
      <x v="838"/>
    </i>
    <i>
      <x v="839"/>
    </i>
    <i>
      <x v="840"/>
    </i>
    <i>
      <x v="841"/>
    </i>
    <i>
      <x v="843"/>
    </i>
    <i>
      <x v="844"/>
    </i>
    <i>
      <x v="846"/>
    </i>
    <i>
      <x v="848"/>
    </i>
    <i>
      <x v="850"/>
    </i>
    <i>
      <x v="851"/>
    </i>
    <i>
      <x v="853"/>
    </i>
    <i>
      <x v="854"/>
    </i>
    <i>
      <x v="855"/>
    </i>
    <i>
      <x v="857"/>
    </i>
    <i>
      <x v="858"/>
    </i>
    <i>
      <x v="859"/>
    </i>
    <i>
      <x v="861"/>
    </i>
    <i>
      <x v="862"/>
    </i>
    <i>
      <x v="864"/>
    </i>
    <i>
      <x v="866"/>
    </i>
    <i>
      <x v="867"/>
    </i>
    <i>
      <x v="869"/>
    </i>
    <i>
      <x v="870"/>
    </i>
    <i>
      <x v="871"/>
    </i>
    <i>
      <x v="872"/>
    </i>
    <i>
      <x v="873"/>
    </i>
    <i>
      <x v="875"/>
    </i>
    <i>
      <x v="877"/>
    </i>
    <i>
      <x v="878"/>
    </i>
    <i>
      <x v="879"/>
    </i>
    <i>
      <x v="881"/>
    </i>
    <i>
      <x v="882"/>
    </i>
    <i>
      <x v="883"/>
    </i>
    <i>
      <x v="885"/>
    </i>
    <i>
      <x v="886"/>
    </i>
    <i>
      <x v="888"/>
    </i>
    <i>
      <x v="889"/>
    </i>
    <i>
      <x v="891"/>
    </i>
    <i>
      <x v="893"/>
    </i>
    <i>
      <x v="894"/>
    </i>
    <i>
      <x v="896"/>
    </i>
    <i>
      <x v="898"/>
    </i>
    <i>
      <x v="900"/>
    </i>
    <i>
      <x v="902"/>
    </i>
    <i>
      <x v="904"/>
    </i>
    <i>
      <x v="906"/>
    </i>
    <i>
      <x v="907"/>
    </i>
    <i>
      <x v="909"/>
    </i>
    <i>
      <x v="910"/>
    </i>
    <i>
      <x v="912"/>
    </i>
    <i>
      <x v="914"/>
    </i>
    <i>
      <x v="915"/>
    </i>
    <i>
      <x v="917"/>
    </i>
    <i>
      <x v="919"/>
    </i>
    <i>
      <x v="920"/>
    </i>
    <i>
      <x v="922"/>
    </i>
    <i>
      <x v="923"/>
    </i>
    <i>
      <x v="925"/>
    </i>
    <i>
      <x v="927"/>
    </i>
    <i>
      <x v="928"/>
    </i>
    <i>
      <x v="930"/>
    </i>
    <i>
      <x v="932"/>
    </i>
    <i>
      <x v="934"/>
    </i>
    <i>
      <x v="935"/>
    </i>
    <i>
      <x v="937"/>
    </i>
    <i>
      <x v="938"/>
    </i>
    <i>
      <x v="940"/>
    </i>
    <i>
      <x v="941"/>
    </i>
    <i>
      <x v="943"/>
    </i>
    <i>
      <x v="945"/>
    </i>
    <i>
      <x v="947"/>
    </i>
    <i>
      <x v="948"/>
    </i>
    <i>
      <x v="949"/>
    </i>
    <i>
      <x v="951"/>
    </i>
    <i>
      <x v="953"/>
    </i>
    <i>
      <x v="955"/>
    </i>
    <i>
      <x v="957"/>
    </i>
    <i>
      <x v="959"/>
    </i>
    <i>
      <x v="961"/>
    </i>
    <i>
      <x v="963"/>
    </i>
    <i>
      <x v="964"/>
    </i>
    <i>
      <x v="966"/>
    </i>
    <i>
      <x v="968"/>
    </i>
    <i>
      <x v="970"/>
    </i>
    <i>
      <x v="972"/>
    </i>
    <i>
      <x v="973"/>
    </i>
    <i>
      <x v="975"/>
    </i>
    <i>
      <x v="976"/>
    </i>
    <i>
      <x v="978"/>
    </i>
    <i>
      <x v="980"/>
    </i>
    <i>
      <x v="982"/>
    </i>
    <i>
      <x v="983"/>
    </i>
    <i>
      <x v="985"/>
    </i>
    <i>
      <x v="986"/>
    </i>
    <i>
      <x v="988"/>
    </i>
    <i>
      <x v="989"/>
    </i>
    <i>
      <x v="990"/>
    </i>
    <i>
      <x v="991"/>
    </i>
    <i>
      <x v="992"/>
    </i>
    <i>
      <x v="993"/>
    </i>
    <i>
      <x v="995"/>
    </i>
    <i>
      <x v="997"/>
    </i>
    <i>
      <x v="999"/>
    </i>
    <i>
      <x v="1000"/>
    </i>
    <i>
      <x v="1001"/>
    </i>
    <i>
      <x v="1002"/>
    </i>
    <i>
      <x v="1004"/>
    </i>
    <i>
      <x v="1005"/>
    </i>
    <i>
      <x v="1006"/>
    </i>
    <i>
      <x v="1007"/>
    </i>
    <i>
      <x v="1009"/>
    </i>
    <i>
      <x v="1010"/>
    </i>
    <i>
      <x v="1011"/>
    </i>
    <i>
      <x v="1012"/>
    </i>
    <i>
      <x v="1014"/>
    </i>
    <i>
      <x v="1016"/>
    </i>
    <i>
      <x v="1018"/>
    </i>
    <i>
      <x v="1020"/>
    </i>
    <i>
      <x v="1021"/>
    </i>
    <i>
      <x v="1022"/>
    </i>
    <i>
      <x v="1024"/>
    </i>
    <i>
      <x v="1025"/>
    </i>
    <i>
      <x v="1026"/>
    </i>
    <i>
      <x v="1028"/>
    </i>
    <i>
      <x v="1030"/>
    </i>
    <i>
      <x v="1032"/>
    </i>
    <i>
      <x v="1033"/>
    </i>
    <i>
      <x v="1034"/>
    </i>
    <i>
      <x v="1036"/>
    </i>
    <i>
      <x v="1038"/>
    </i>
    <i>
      <x v="1040"/>
    </i>
    <i>
      <x v="1042"/>
    </i>
    <i>
      <x v="1044"/>
    </i>
    <i>
      <x v="1045"/>
    </i>
    <i>
      <x v="1047"/>
    </i>
    <i>
      <x v="1048"/>
    </i>
    <i>
      <x v="1050"/>
    </i>
    <i>
      <x v="1051"/>
    </i>
    <i>
      <x v="1052"/>
    </i>
    <i>
      <x v="1053"/>
    </i>
    <i>
      <x v="1055"/>
    </i>
    <i>
      <x v="1057"/>
    </i>
    <i>
      <x v="1058"/>
    </i>
    <i>
      <x v="1059"/>
    </i>
    <i>
      <x v="1061"/>
    </i>
    <i>
      <x v="1063"/>
    </i>
    <i>
      <x v="1064"/>
    </i>
    <i>
      <x v="1066"/>
    </i>
    <i>
      <x v="1067"/>
    </i>
    <i>
      <x v="1069"/>
    </i>
    <i>
      <x v="1070"/>
    </i>
    <i>
      <x v="1072"/>
    </i>
    <i>
      <x v="1074"/>
    </i>
    <i>
      <x v="1076"/>
    </i>
    <i>
      <x v="1077"/>
    </i>
    <i>
      <x v="1079"/>
    </i>
    <i>
      <x v="1081"/>
    </i>
    <i>
      <x v="1083"/>
    </i>
    <i>
      <x v="1085"/>
    </i>
    <i>
      <x v="1086"/>
    </i>
    <i>
      <x v="1087"/>
    </i>
    <i>
      <x v="1088"/>
    </i>
    <i>
      <x v="1089"/>
    </i>
    <i>
      <x v="1091"/>
    </i>
    <i>
      <x v="1092"/>
    </i>
    <i>
      <x v="1093"/>
    </i>
    <i>
      <x v="1094"/>
    </i>
    <i>
      <x v="1095"/>
    </i>
    <i>
      <x v="1097"/>
    </i>
    <i>
      <x v="1098"/>
    </i>
    <i>
      <x v="1100"/>
    </i>
    <i>
      <x v="1101"/>
    </i>
    <i>
      <x v="1102"/>
    </i>
    <i>
      <x v="1103"/>
    </i>
    <i>
      <x v="1104"/>
    </i>
    <i>
      <x v="1105"/>
    </i>
    <i>
      <x v="1106"/>
    </i>
    <i>
      <x v="1107"/>
    </i>
    <i>
      <x v="1108"/>
    </i>
    <i>
      <x v="1109"/>
    </i>
    <i>
      <x v="1111"/>
    </i>
    <i>
      <x v="1113"/>
    </i>
    <i>
      <x v="1114"/>
    </i>
    <i>
      <x v="1116"/>
    </i>
    <i>
      <x v="1118"/>
    </i>
    <i>
      <x v="1120"/>
    </i>
    <i>
      <x v="1122"/>
    </i>
    <i>
      <x v="1123"/>
    </i>
    <i>
      <x v="1125"/>
    </i>
    <i>
      <x v="1126"/>
    </i>
    <i>
      <x v="1127"/>
    </i>
    <i>
      <x v="1128"/>
    </i>
    <i>
      <x v="1129"/>
    </i>
    <i>
      <x v="1131"/>
    </i>
    <i>
      <x v="1133"/>
    </i>
    <i>
      <x v="1134"/>
    </i>
    <i>
      <x v="1135"/>
    </i>
    <i>
      <x v="1136"/>
    </i>
    <i>
      <x v="1137"/>
    </i>
    <i>
      <x v="1138"/>
    </i>
    <i>
      <x v="1139"/>
    </i>
    <i>
      <x v="1141"/>
    </i>
    <i>
      <x v="1143"/>
    </i>
    <i>
      <x v="1145"/>
    </i>
    <i>
      <x v="1147"/>
    </i>
    <i>
      <x v="1148"/>
    </i>
    <i>
      <x v="1150"/>
    </i>
    <i>
      <x v="1151"/>
    </i>
    <i>
      <x v="1153"/>
    </i>
    <i>
      <x v="1155"/>
    </i>
    <i>
      <x v="1157"/>
    </i>
    <i>
      <x v="1159"/>
    </i>
    <i>
      <x v="1160"/>
    </i>
    <i>
      <x v="1161"/>
    </i>
    <i>
      <x v="1163"/>
    </i>
    <i>
      <x v="1165"/>
    </i>
    <i>
      <x v="1167"/>
    </i>
    <i>
      <x v="1168"/>
    </i>
    <i>
      <x v="1170"/>
    </i>
    <i>
      <x v="1171"/>
    </i>
    <i>
      <x v="1172"/>
    </i>
    <i>
      <x v="1173"/>
    </i>
    <i>
      <x v="1175"/>
    </i>
    <i>
      <x v="1176"/>
    </i>
    <i>
      <x v="1178"/>
    </i>
    <i>
      <x v="1179"/>
    </i>
    <i>
      <x v="1180"/>
    </i>
    <i>
      <x v="1181"/>
    </i>
    <i>
      <x v="1182"/>
    </i>
    <i>
      <x v="1183"/>
    </i>
    <i>
      <x v="1184"/>
    </i>
    <i>
      <x v="1186"/>
    </i>
    <i>
      <x v="1187"/>
    </i>
    <i>
      <x v="1189"/>
    </i>
    <i>
      <x v="1190"/>
    </i>
    <i>
      <x v="1192"/>
    </i>
    <i>
      <x v="1193"/>
    </i>
    <i>
      <x v="1195"/>
    </i>
    <i>
      <x v="1196"/>
    </i>
    <i>
      <x v="1197"/>
    </i>
    <i>
      <x v="1199"/>
    </i>
    <i>
      <x v="1201"/>
    </i>
    <i>
      <x v="1203"/>
    </i>
    <i>
      <x v="1205"/>
    </i>
    <i>
      <x v="1206"/>
    </i>
    <i>
      <x v="1207"/>
    </i>
    <i>
      <x v="1209"/>
    </i>
    <i>
      <x v="1210"/>
    </i>
    <i>
      <x v="1212"/>
    </i>
    <i>
      <x v="1214"/>
    </i>
    <i>
      <x v="1215"/>
    </i>
    <i>
      <x v="1217"/>
    </i>
    <i>
      <x v="1218"/>
    </i>
    <i>
      <x v="1219"/>
    </i>
    <i>
      <x v="1220"/>
    </i>
    <i>
      <x v="1221"/>
    </i>
    <i>
      <x v="1222"/>
    </i>
    <i>
      <x v="1223"/>
    </i>
    <i>
      <x v="1224"/>
    </i>
    <i>
      <x v="1225"/>
    </i>
    <i>
      <x v="1226"/>
    </i>
    <i>
      <x v="1227"/>
    </i>
    <i>
      <x v="1229"/>
    </i>
    <i>
      <x v="1230"/>
    </i>
    <i>
      <x v="1232"/>
    </i>
    <i>
      <x v="1234"/>
    </i>
    <i>
      <x v="1236"/>
    </i>
    <i>
      <x v="1237"/>
    </i>
    <i>
      <x v="1238"/>
    </i>
    <i>
      <x v="1239"/>
    </i>
    <i>
      <x v="1241"/>
    </i>
    <i>
      <x v="1242"/>
    </i>
    <i>
      <x v="1243"/>
    </i>
    <i>
      <x v="1245"/>
    </i>
    <i>
      <x v="1246"/>
    </i>
    <i>
      <x v="1247"/>
    </i>
    <i>
      <x v="1249"/>
    </i>
    <i>
      <x v="1250"/>
    </i>
    <i>
      <x v="1251"/>
    </i>
    <i>
      <x v="1253"/>
    </i>
    <i>
      <x v="1254"/>
    </i>
    <i>
      <x v="1256"/>
    </i>
    <i>
      <x v="1258"/>
    </i>
    <i>
      <x v="1259"/>
    </i>
    <i>
      <x v="1260"/>
    </i>
    <i>
      <x v="1262"/>
    </i>
    <i>
      <x v="1264"/>
    </i>
    <i>
      <x v="1266"/>
    </i>
    <i>
      <x v="1268"/>
    </i>
    <i>
      <x v="1270"/>
    </i>
    <i>
      <x v="1271"/>
    </i>
    <i>
      <x v="1273"/>
    </i>
    <i>
      <x v="1274"/>
    </i>
    <i>
      <x v="1275"/>
    </i>
    <i>
      <x v="1276"/>
    </i>
    <i>
      <x v="1278"/>
    </i>
    <i>
      <x v="1280"/>
    </i>
    <i>
      <x v="1282"/>
    </i>
    <i>
      <x v="1284"/>
    </i>
    <i>
      <x v="1286"/>
    </i>
    <i>
      <x v="1288"/>
    </i>
    <i>
      <x v="1289"/>
    </i>
    <i>
      <x v="1291"/>
    </i>
    <i>
      <x v="1293"/>
    </i>
    <i>
      <x v="1294"/>
    </i>
    <i>
      <x v="1296"/>
    </i>
    <i>
      <x v="1297"/>
    </i>
    <i>
      <x v="1299"/>
    </i>
    <i>
      <x v="1300"/>
    </i>
    <i>
      <x v="1301"/>
    </i>
    <i>
      <x v="1303"/>
    </i>
    <i>
      <x v="1305"/>
    </i>
    <i>
      <x v="1307"/>
    </i>
    <i>
      <x v="1308"/>
    </i>
    <i>
      <x v="1310"/>
    </i>
    <i>
      <x v="1311"/>
    </i>
    <i>
      <x v="1313"/>
    </i>
    <i>
      <x v="1314"/>
    </i>
    <i>
      <x v="1316"/>
    </i>
    <i>
      <x v="1318"/>
    </i>
    <i>
      <x v="1320"/>
    </i>
    <i>
      <x v="1321"/>
    </i>
    <i>
      <x v="1323"/>
    </i>
    <i>
      <x v="1325"/>
    </i>
    <i>
      <x v="1327"/>
    </i>
    <i>
      <x v="1328"/>
    </i>
    <i>
      <x v="1329"/>
    </i>
    <i>
      <x v="1331"/>
    </i>
    <i>
      <x v="1333"/>
    </i>
    <i>
      <x v="1334"/>
    </i>
    <i>
      <x v="1336"/>
    </i>
    <i>
      <x v="1338"/>
    </i>
    <i>
      <x v="1339"/>
    </i>
    <i>
      <x v="1340"/>
    </i>
    <i>
      <x v="1341"/>
    </i>
    <i>
      <x v="1343"/>
    </i>
    <i>
      <x v="1345"/>
    </i>
    <i>
      <x v="1346"/>
    </i>
    <i>
      <x v="1348"/>
    </i>
    <i>
      <x v="1349"/>
    </i>
    <i>
      <x v="1351"/>
    </i>
    <i>
      <x v="1352"/>
    </i>
    <i>
      <x v="1353"/>
    </i>
    <i>
      <x v="1355"/>
    </i>
    <i>
      <x v="1357"/>
    </i>
    <i>
      <x v="1358"/>
    </i>
    <i>
      <x v="1360"/>
    </i>
    <i>
      <x v="1362"/>
    </i>
    <i>
      <x v="1364"/>
    </i>
    <i>
      <x v="1366"/>
    </i>
    <i>
      <x v="1367"/>
    </i>
    <i>
      <x v="1368"/>
    </i>
    <i>
      <x v="1369"/>
    </i>
    <i>
      <x v="1371"/>
    </i>
    <i>
      <x v="1372"/>
    </i>
    <i>
      <x v="1373"/>
    </i>
    <i>
      <x v="1375"/>
    </i>
    <i>
      <x v="1377"/>
    </i>
    <i>
      <x v="1379"/>
    </i>
    <i>
      <x v="1381"/>
    </i>
    <i>
      <x v="1383"/>
    </i>
    <i>
      <x v="1384"/>
    </i>
    <i>
      <x v="1386"/>
    </i>
    <i>
      <x v="1387"/>
    </i>
    <i>
      <x v="1388"/>
    </i>
    <i>
      <x v="1390"/>
    </i>
    <i>
      <x v="1391"/>
    </i>
    <i>
      <x v="1392"/>
    </i>
    <i>
      <x v="1393"/>
    </i>
    <i>
      <x v="1395"/>
    </i>
    <i>
      <x v="1397"/>
    </i>
    <i>
      <x v="1398"/>
    </i>
    <i>
      <x v="1399"/>
    </i>
    <i>
      <x v="1401"/>
    </i>
    <i>
      <x v="1402"/>
    </i>
    <i>
      <x v="1404"/>
    </i>
    <i>
      <x v="1406"/>
    </i>
    <i>
      <x v="1408"/>
    </i>
    <i>
      <x v="1409"/>
    </i>
    <i>
      <x v="1410"/>
    </i>
    <i>
      <x v="1411"/>
    </i>
    <i>
      <x v="1413"/>
    </i>
    <i>
      <x v="1414"/>
    </i>
    <i>
      <x v="1415"/>
    </i>
    <i>
      <x v="1417"/>
    </i>
    <i>
      <x v="1419"/>
    </i>
    <i>
      <x v="1420"/>
    </i>
    <i>
      <x v="1421"/>
    </i>
    <i>
      <x v="1422"/>
    </i>
    <i>
      <x v="1424"/>
    </i>
    <i>
      <x v="1426"/>
    </i>
    <i>
      <x v="1428"/>
    </i>
    <i>
      <x v="1430"/>
    </i>
    <i>
      <x v="1431"/>
    </i>
    <i>
      <x v="1433"/>
    </i>
    <i>
      <x v="1434"/>
    </i>
    <i>
      <x v="1436"/>
    </i>
    <i>
      <x v="1437"/>
    </i>
    <i>
      <x v="1439"/>
    </i>
    <i>
      <x v="1440"/>
    </i>
    <i>
      <x v="1442"/>
    </i>
    <i>
      <x v="1443"/>
    </i>
    <i>
      <x v="1444"/>
    </i>
    <i>
      <x v="1446"/>
    </i>
    <i>
      <x v="1448"/>
    </i>
    <i>
      <x v="1450"/>
    </i>
    <i>
      <x v="1451"/>
    </i>
    <i>
      <x v="1453"/>
    </i>
    <i>
      <x v="1454"/>
    </i>
    <i>
      <x v="1456"/>
    </i>
    <i>
      <x v="1457"/>
    </i>
    <i>
      <x v="1459"/>
    </i>
    <i>
      <x v="1460"/>
    </i>
    <i>
      <x v="1461"/>
    </i>
    <i>
      <x v="1462"/>
    </i>
    <i>
      <x v="1464"/>
    </i>
    <i>
      <x v="1465"/>
    </i>
    <i>
      <x v="1467"/>
    </i>
    <i>
      <x v="1469"/>
    </i>
    <i>
      <x v="1470"/>
    </i>
    <i>
      <x v="1471"/>
    </i>
    <i>
      <x v="1473"/>
    </i>
    <i>
      <x v="1474"/>
    </i>
    <i>
      <x v="1475"/>
    </i>
    <i>
      <x v="1477"/>
    </i>
    <i>
      <x v="1479"/>
    </i>
    <i>
      <x v="1480"/>
    </i>
    <i>
      <x v="1481"/>
    </i>
    <i>
      <x v="1483"/>
    </i>
    <i>
      <x v="1484"/>
    </i>
    <i>
      <x v="1485"/>
    </i>
    <i>
      <x v="1487"/>
    </i>
    <i>
      <x v="1488"/>
    </i>
    <i>
      <x v="1490"/>
    </i>
    <i>
      <x v="1492"/>
    </i>
    <i>
      <x v="1493"/>
    </i>
    <i>
      <x v="1495"/>
    </i>
    <i>
      <x v="1497"/>
    </i>
    <i>
      <x v="1498"/>
    </i>
    <i>
      <x v="1499"/>
    </i>
    <i>
      <x v="1501"/>
    </i>
    <i>
      <x v="1502"/>
    </i>
    <i>
      <x v="1503"/>
    </i>
    <i>
      <x v="1505"/>
    </i>
    <i>
      <x v="1507"/>
    </i>
    <i>
      <x v="1508"/>
    </i>
    <i>
      <x v="1510"/>
    </i>
    <i>
      <x v="1512"/>
    </i>
    <i>
      <x v="1513"/>
    </i>
    <i>
      <x v="1514"/>
    </i>
    <i>
      <x v="1516"/>
    </i>
    <i>
      <x v="1517"/>
    </i>
    <i>
      <x v="1519"/>
    </i>
    <i>
      <x v="1520"/>
    </i>
    <i>
      <x v="1521"/>
    </i>
    <i>
      <x v="1523"/>
    </i>
    <i>
      <x v="1524"/>
    </i>
    <i>
      <x v="1526"/>
    </i>
    <i>
      <x v="1528"/>
    </i>
    <i>
      <x v="1529"/>
    </i>
    <i>
      <x v="1530"/>
    </i>
    <i>
      <x v="1531"/>
    </i>
    <i>
      <x v="1532"/>
    </i>
    <i>
      <x v="1534"/>
    </i>
    <i>
      <x v="1536"/>
    </i>
    <i>
      <x v="1537"/>
    </i>
    <i>
      <x v="1539"/>
    </i>
    <i>
      <x v="1541"/>
    </i>
    <i>
      <x v="1542"/>
    </i>
    <i>
      <x v="1543"/>
    </i>
    <i>
      <x v="1545"/>
    </i>
    <i>
      <x v="1547"/>
    </i>
    <i>
      <x v="1549"/>
    </i>
    <i>
      <x v="1551"/>
    </i>
    <i>
      <x v="1552"/>
    </i>
    <i>
      <x v="1554"/>
    </i>
    <i>
      <x v="1555"/>
    </i>
    <i>
      <x v="1556"/>
    </i>
    <i>
      <x v="1557"/>
    </i>
    <i>
      <x v="1559"/>
    </i>
    <i>
      <x v="1561"/>
    </i>
    <i>
      <x v="1563"/>
    </i>
    <i>
      <x v="1565"/>
    </i>
    <i>
      <x v="1567"/>
    </i>
    <i>
      <x v="1568"/>
    </i>
    <i>
      <x v="1570"/>
    </i>
    <i>
      <x v="1571"/>
    </i>
    <i>
      <x v="1572"/>
    </i>
    <i>
      <x v="1574"/>
    </i>
    <i>
      <x v="1576"/>
    </i>
    <i>
      <x v="1578"/>
    </i>
    <i>
      <x v="1579"/>
    </i>
    <i>
      <x v="1581"/>
    </i>
    <i>
      <x v="1582"/>
    </i>
    <i>
      <x v="1583"/>
    </i>
    <i>
      <x v="1584"/>
    </i>
    <i>
      <x v="1586"/>
    </i>
    <i>
      <x v="1588"/>
    </i>
    <i>
      <x v="1590"/>
    </i>
    <i>
      <x v="1591"/>
    </i>
    <i>
      <x v="1592"/>
    </i>
    <i>
      <x v="1594"/>
    </i>
    <i>
      <x v="1596"/>
    </i>
    <i>
      <x v="1598"/>
    </i>
    <i>
      <x v="1599"/>
    </i>
    <i>
      <x v="1600"/>
    </i>
    <i>
      <x v="1602"/>
    </i>
    <i>
      <x v="1604"/>
    </i>
    <i>
      <x v="1605"/>
    </i>
    <i>
      <x v="1607"/>
    </i>
    <i>
      <x v="1609"/>
    </i>
    <i>
      <x v="1610"/>
    </i>
    <i>
      <x v="1611"/>
    </i>
    <i>
      <x v="1612"/>
    </i>
    <i>
      <x v="1613"/>
    </i>
    <i>
      <x v="1615"/>
    </i>
    <i>
      <x v="1616"/>
    </i>
    <i>
      <x v="1618"/>
    </i>
    <i>
      <x v="1620"/>
    </i>
    <i>
      <x v="1622"/>
    </i>
    <i>
      <x v="1623"/>
    </i>
    <i>
      <x v="1625"/>
    </i>
    <i>
      <x v="1627"/>
    </i>
    <i>
      <x v="1628"/>
    </i>
    <i>
      <x v="1629"/>
    </i>
    <i>
      <x v="1631"/>
    </i>
    <i>
      <x v="1632"/>
    </i>
    <i>
      <x v="1633"/>
    </i>
    <i>
      <x v="1634"/>
    </i>
    <i>
      <x v="1636"/>
    </i>
    <i>
      <x v="1638"/>
    </i>
    <i>
      <x v="1639"/>
    </i>
    <i>
      <x v="1640"/>
    </i>
    <i>
      <x v="1641"/>
    </i>
    <i>
      <x v="1643"/>
    </i>
    <i>
      <x v="1645"/>
    </i>
    <i>
      <x v="1646"/>
    </i>
    <i>
      <x v="1647"/>
    </i>
    <i>
      <x v="1648"/>
    </i>
    <i>
      <x v="1650"/>
    </i>
    <i>
      <x v="1652"/>
    </i>
    <i>
      <x v="1654"/>
    </i>
    <i>
      <x v="1656"/>
    </i>
    <i>
      <x v="1658"/>
    </i>
    <i>
      <x v="1659"/>
    </i>
    <i>
      <x v="1660"/>
    </i>
    <i>
      <x v="1661"/>
    </i>
    <i>
      <x v="1663"/>
    </i>
    <i>
      <x v="1665"/>
    </i>
    <i>
      <x v="1667"/>
    </i>
    <i>
      <x v="1669"/>
    </i>
    <i>
      <x v="1671"/>
    </i>
    <i>
      <x v="1672"/>
    </i>
    <i>
      <x v="1673"/>
    </i>
    <i>
      <x v="1675"/>
    </i>
    <i>
      <x v="1677"/>
    </i>
    <i>
      <x v="1679"/>
    </i>
    <i>
      <x v="1680"/>
    </i>
    <i>
      <x v="1681"/>
    </i>
    <i>
      <x v="1682"/>
    </i>
    <i>
      <x v="1684"/>
    </i>
    <i>
      <x v="1685"/>
    </i>
    <i>
      <x v="1687"/>
    </i>
    <i>
      <x v="1688"/>
    </i>
    <i>
      <x v="1689"/>
    </i>
    <i>
      <x v="1690"/>
    </i>
    <i>
      <x v="1691"/>
    </i>
    <i>
      <x v="1693"/>
    </i>
    <i>
      <x v="1694"/>
    </i>
    <i>
      <x v="1696"/>
    </i>
    <i>
      <x v="1697"/>
    </i>
    <i>
      <x v="1698"/>
    </i>
    <i>
      <x v="1700"/>
    </i>
    <i>
      <x v="1702"/>
    </i>
    <i>
      <x v="1703"/>
    </i>
    <i>
      <x v="1705"/>
    </i>
    <i>
      <x v="1706"/>
    </i>
    <i>
      <x v="1707"/>
    </i>
    <i>
      <x v="1709"/>
    </i>
    <i>
      <x v="1710"/>
    </i>
    <i>
      <x v="1711"/>
    </i>
    <i>
      <x v="1712"/>
    </i>
    <i>
      <x v="1713"/>
    </i>
    <i>
      <x v="1715"/>
    </i>
    <i>
      <x v="1717"/>
    </i>
    <i>
      <x v="1719"/>
    </i>
    <i>
      <x v="1720"/>
    </i>
    <i>
      <x v="1722"/>
    </i>
    <i>
      <x v="1723"/>
    </i>
    <i>
      <x v="1725"/>
    </i>
    <i>
      <x v="1727"/>
    </i>
    <i>
      <x v="1728"/>
    </i>
    <i>
      <x v="1730"/>
    </i>
    <i>
      <x v="1731"/>
    </i>
    <i>
      <x v="1732"/>
    </i>
    <i>
      <x v="1734"/>
    </i>
    <i>
      <x v="1736"/>
    </i>
    <i>
      <x v="1737"/>
    </i>
    <i>
      <x v="1739"/>
    </i>
    <i>
      <x v="1740"/>
    </i>
    <i>
      <x v="1742"/>
    </i>
    <i>
      <x v="1743"/>
    </i>
    <i>
      <x v="1745"/>
    </i>
    <i>
      <x v="1746"/>
    </i>
    <i>
      <x v="1748"/>
    </i>
    <i>
      <x v="1750"/>
    </i>
    <i>
      <x v="1752"/>
    </i>
    <i>
      <x v="1754"/>
    </i>
    <i>
      <x v="1755"/>
    </i>
    <i>
      <x v="1756"/>
    </i>
    <i>
      <x v="1757"/>
    </i>
    <i>
      <x v="1759"/>
    </i>
    <i>
      <x v="1761"/>
    </i>
    <i>
      <x v="1763"/>
    </i>
    <i>
      <x v="1764"/>
    </i>
    <i>
      <x v="1765"/>
    </i>
    <i>
      <x v="1766"/>
    </i>
    <i>
      <x v="1767"/>
    </i>
    <i>
      <x v="1769"/>
    </i>
    <i>
      <x v="1771"/>
    </i>
    <i>
      <x v="1772"/>
    </i>
    <i>
      <x v="1773"/>
    </i>
    <i>
      <x v="1775"/>
    </i>
    <i>
      <x v="1776"/>
    </i>
    <i>
      <x v="1778"/>
    </i>
    <i>
      <x v="1780"/>
    </i>
    <i>
      <x v="1781"/>
    </i>
    <i>
      <x v="1782"/>
    </i>
    <i>
      <x v="1784"/>
    </i>
    <i>
      <x v="1786"/>
    </i>
    <i>
      <x v="1787"/>
    </i>
    <i>
      <x v="1789"/>
    </i>
    <i>
      <x v="1790"/>
    </i>
    <i>
      <x v="1792"/>
    </i>
    <i>
      <x v="1793"/>
    </i>
    <i>
      <x v="1794"/>
    </i>
    <i>
      <x v="1796"/>
    </i>
    <i>
      <x v="1798"/>
    </i>
    <i>
      <x v="1799"/>
    </i>
    <i>
      <x v="1800"/>
    </i>
    <i>
      <x v="1801"/>
    </i>
    <i>
      <x v="1803"/>
    </i>
    <i>
      <x v="1804"/>
    </i>
    <i>
      <x v="1806"/>
    </i>
    <i>
      <x v="1807"/>
    </i>
    <i>
      <x v="1809"/>
    </i>
    <i>
      <x v="1810"/>
    </i>
    <i>
      <x v="1811"/>
    </i>
    <i>
      <x v="1813"/>
    </i>
    <i>
      <x v="1815"/>
    </i>
    <i>
      <x v="1817"/>
    </i>
    <i>
      <x v="1819"/>
    </i>
    <i>
      <x v="1820"/>
    </i>
    <i>
      <x v="1822"/>
    </i>
    <i>
      <x v="1823"/>
    </i>
    <i>
      <x v="1825"/>
    </i>
    <i>
      <x v="1826"/>
    </i>
    <i>
      <x v="1828"/>
    </i>
    <i>
      <x v="1829"/>
    </i>
    <i>
      <x v="1831"/>
    </i>
    <i>
      <x v="1833"/>
    </i>
    <i>
      <x v="1835"/>
    </i>
    <i>
      <x v="1836"/>
    </i>
    <i>
      <x v="1837"/>
    </i>
    <i>
      <x v="1838"/>
    </i>
    <i>
      <x v="1840"/>
    </i>
    <i>
      <x v="1842"/>
    </i>
    <i>
      <x v="1843"/>
    </i>
    <i>
      <x v="1845"/>
    </i>
    <i>
      <x v="1846"/>
    </i>
    <i>
      <x v="1848"/>
    </i>
    <i>
      <x v="1849"/>
    </i>
    <i>
      <x v="1851"/>
    </i>
    <i>
      <x v="1853"/>
    </i>
    <i>
      <x v="1855"/>
    </i>
    <i>
      <x v="1857"/>
    </i>
    <i>
      <x v="1859"/>
    </i>
    <i>
      <x v="1861"/>
    </i>
    <i>
      <x v="1862"/>
    </i>
    <i>
      <x v="1864"/>
    </i>
    <i>
      <x v="1865"/>
    </i>
    <i>
      <x v="1867"/>
    </i>
    <i>
      <x v="1868"/>
    </i>
    <i>
      <x v="1870"/>
    </i>
    <i>
      <x v="1871"/>
    </i>
    <i>
      <x v="1873"/>
    </i>
    <i>
      <x v="1874"/>
    </i>
    <i>
      <x v="1876"/>
    </i>
    <i>
      <x v="1877"/>
    </i>
    <i>
      <x v="1879"/>
    </i>
    <i>
      <x v="1880"/>
    </i>
    <i>
      <x v="1881"/>
    </i>
    <i>
      <x v="1882"/>
    </i>
    <i>
      <x v="1883"/>
    </i>
    <i>
      <x v="1884"/>
    </i>
    <i>
      <x v="1886"/>
    </i>
    <i>
      <x v="1888"/>
    </i>
    <i>
      <x v="1889"/>
    </i>
    <i>
      <x v="1890"/>
    </i>
    <i>
      <x v="1892"/>
    </i>
    <i>
      <x v="1894"/>
    </i>
    <i>
      <x v="1896"/>
    </i>
    <i>
      <x v="1897"/>
    </i>
    <i>
      <x v="1898"/>
    </i>
    <i>
      <x v="1900"/>
    </i>
    <i>
      <x v="1902"/>
    </i>
    <i>
      <x v="1904"/>
    </i>
    <i>
      <x v="1906"/>
    </i>
    <i>
      <x v="1907"/>
    </i>
    <i>
      <x v="1908"/>
    </i>
    <i>
      <x v="1910"/>
    </i>
    <i>
      <x v="1912"/>
    </i>
    <i>
      <x v="1913"/>
    </i>
    <i>
      <x v="1914"/>
    </i>
    <i>
      <x v="1916"/>
    </i>
    <i>
      <x v="1917"/>
    </i>
    <i>
      <x v="1918"/>
    </i>
    <i>
      <x v="1920"/>
    </i>
    <i>
      <x v="1921"/>
    </i>
    <i>
      <x v="1923"/>
    </i>
    <i>
      <x v="1924"/>
    </i>
    <i>
      <x v="1926"/>
    </i>
    <i>
      <x v="1927"/>
    </i>
    <i>
      <x v="1928"/>
    </i>
    <i>
      <x v="1930"/>
    </i>
    <i>
      <x v="1932"/>
    </i>
    <i>
      <x v="1933"/>
    </i>
    <i>
      <x v="1935"/>
    </i>
    <i>
      <x v="1937"/>
    </i>
    <i>
      <x v="1939"/>
    </i>
    <i>
      <x v="1940"/>
    </i>
    <i>
      <x v="1941"/>
    </i>
    <i>
      <x v="1942"/>
    </i>
    <i>
      <x v="1943"/>
    </i>
    <i>
      <x v="1944"/>
    </i>
    <i>
      <x v="1945"/>
    </i>
    <i>
      <x v="1947"/>
    </i>
    <i>
      <x v="1948"/>
    </i>
    <i>
      <x v="1949"/>
    </i>
    <i>
      <x v="1950"/>
    </i>
    <i>
      <x v="1952"/>
    </i>
    <i>
      <x v="1954"/>
    </i>
    <i>
      <x v="1956"/>
    </i>
    <i>
      <x v="1958"/>
    </i>
    <i>
      <x v="1960"/>
    </i>
    <i>
      <x v="1962"/>
    </i>
    <i>
      <x v="1963"/>
    </i>
    <i>
      <x v="1964"/>
    </i>
    <i>
      <x v="1966"/>
    </i>
    <i>
      <x v="1968"/>
    </i>
    <i>
      <x v="1970"/>
    </i>
    <i>
      <x v="1972"/>
    </i>
    <i>
      <x v="1974"/>
    </i>
    <i>
      <x v="1976"/>
    </i>
    <i>
      <x v="1978"/>
    </i>
    <i>
      <x v="1979"/>
    </i>
    <i>
      <x v="1981"/>
    </i>
    <i>
      <x v="1982"/>
    </i>
    <i>
      <x v="1984"/>
    </i>
    <i>
      <x v="1986"/>
    </i>
    <i>
      <x v="1988"/>
    </i>
    <i>
      <x v="1990"/>
    </i>
    <i>
      <x v="1992"/>
    </i>
    <i>
      <x v="1994"/>
    </i>
    <i>
      <x v="1995"/>
    </i>
    <i>
      <x v="1997"/>
    </i>
    <i>
      <x v="1998"/>
    </i>
    <i>
      <x v="1999"/>
    </i>
    <i>
      <x v="2001"/>
    </i>
    <i>
      <x v="2002"/>
    </i>
    <i>
      <x v="2004"/>
    </i>
    <i>
      <x v="2006"/>
    </i>
    <i>
      <x v="2007"/>
    </i>
    <i>
      <x v="2008"/>
    </i>
    <i>
      <x v="2010"/>
    </i>
    <i>
      <x v="2011"/>
    </i>
    <i>
      <x v="2012"/>
    </i>
    <i>
      <x v="2013"/>
    </i>
    <i>
      <x v="2015"/>
    </i>
    <i>
      <x v="2017"/>
    </i>
    <i>
      <x v="2019"/>
    </i>
    <i>
      <x v="2020"/>
    </i>
    <i>
      <x v="2021"/>
    </i>
    <i>
      <x v="2023"/>
    </i>
    <i>
      <x v="2025"/>
    </i>
    <i>
      <x v="2027"/>
    </i>
    <i>
      <x v="2028"/>
    </i>
    <i>
      <x v="2030"/>
    </i>
    <i>
      <x v="2031"/>
    </i>
    <i>
      <x v="2032"/>
    </i>
    <i>
      <x v="2033"/>
    </i>
    <i>
      <x v="2034"/>
    </i>
    <i>
      <x v="2036"/>
    </i>
    <i>
      <x v="2037"/>
    </i>
    <i>
      <x v="2039"/>
    </i>
    <i>
      <x v="2040"/>
    </i>
    <i>
      <x v="2041"/>
    </i>
    <i>
      <x v="2043"/>
    </i>
    <i>
      <x v="2045"/>
    </i>
    <i>
      <x v="2047"/>
    </i>
    <i>
      <x v="2049"/>
    </i>
    <i>
      <x v="2051"/>
    </i>
    <i>
      <x v="2053"/>
    </i>
    <i>
      <x v="2055"/>
    </i>
    <i>
      <x v="2056"/>
    </i>
    <i>
      <x v="2057"/>
    </i>
    <i>
      <x v="2059"/>
    </i>
    <i>
      <x v="2060"/>
    </i>
    <i>
      <x v="2061"/>
    </i>
    <i>
      <x v="2063"/>
    </i>
    <i>
      <x v="2065"/>
    </i>
    <i>
      <x v="2066"/>
    </i>
    <i>
      <x v="2067"/>
    </i>
    <i>
      <x v="2069"/>
    </i>
    <i>
      <x v="2070"/>
    </i>
    <i>
      <x v="2071"/>
    </i>
    <i>
      <x v="2073"/>
    </i>
    <i>
      <x v="2074"/>
    </i>
    <i>
      <x v="2075"/>
    </i>
    <i>
      <x v="2077"/>
    </i>
    <i>
      <x v="2078"/>
    </i>
    <i>
      <x v="2080"/>
    </i>
    <i>
      <x v="2082"/>
    </i>
    <i>
      <x v="2084"/>
    </i>
    <i>
      <x v="2086"/>
    </i>
    <i>
      <x v="2087"/>
    </i>
    <i>
      <x v="2089"/>
    </i>
    <i>
      <x v="2091"/>
    </i>
    <i>
      <x v="2092"/>
    </i>
    <i>
      <x v="2094"/>
    </i>
    <i>
      <x v="2095"/>
    </i>
    <i>
      <x v="2096"/>
    </i>
    <i>
      <x v="2098"/>
    </i>
    <i>
      <x v="2100"/>
    </i>
    <i>
      <x v="2102"/>
    </i>
    <i>
      <x v="2104"/>
    </i>
    <i>
      <x v="2106"/>
    </i>
    <i>
      <x v="2108"/>
    </i>
    <i>
      <x v="2109"/>
    </i>
    <i>
      <x v="2110"/>
    </i>
    <i>
      <x v="2112"/>
    </i>
    <i>
      <x v="2113"/>
    </i>
    <i>
      <x v="2114"/>
    </i>
    <i>
      <x v="2115"/>
    </i>
    <i>
      <x v="2116"/>
    </i>
    <i>
      <x v="2117"/>
    </i>
    <i>
      <x v="2118"/>
    </i>
    <i>
      <x v="2119"/>
    </i>
    <i>
      <x v="2120"/>
    </i>
    <i>
      <x v="2122"/>
    </i>
    <i>
      <x v="2124"/>
    </i>
    <i>
      <x v="2126"/>
    </i>
    <i>
      <x v="2128"/>
    </i>
    <i>
      <x v="2130"/>
    </i>
    <i>
      <x v="2132"/>
    </i>
    <i>
      <x v="2133"/>
    </i>
    <i>
      <x v="2134"/>
    </i>
    <i>
      <x v="2135"/>
    </i>
    <i>
      <x v="2136"/>
    </i>
    <i>
      <x v="2137"/>
    </i>
    <i>
      <x v="2138"/>
    </i>
    <i>
      <x v="2139"/>
    </i>
    <i>
      <x v="2140"/>
    </i>
    <i>
      <x v="2141"/>
    </i>
    <i>
      <x v="2143"/>
    </i>
    <i>
      <x v="2145"/>
    </i>
    <i>
      <x v="2146"/>
    </i>
    <i>
      <x v="2147"/>
    </i>
    <i>
      <x v="2148"/>
    </i>
    <i>
      <x v="2149"/>
    </i>
    <i>
      <x v="2151"/>
    </i>
    <i>
      <x v="2152"/>
    </i>
    <i>
      <x v="2154"/>
    </i>
    <i>
      <x v="2155"/>
    </i>
    <i>
      <x v="2156"/>
    </i>
    <i>
      <x v="2157"/>
    </i>
    <i>
      <x v="2158"/>
    </i>
    <i>
      <x v="2160"/>
    </i>
    <i>
      <x v="2162"/>
    </i>
    <i>
      <x v="2164"/>
    </i>
    <i>
      <x v="2166"/>
    </i>
    <i>
      <x v="2168"/>
    </i>
    <i>
      <x v="2169"/>
    </i>
    <i>
      <x v="2170"/>
    </i>
    <i>
      <x v="2172"/>
    </i>
    <i>
      <x v="2173"/>
    </i>
    <i>
      <x v="2175"/>
    </i>
    <i>
      <x v="2176"/>
    </i>
    <i>
      <x v="2178"/>
    </i>
    <i>
      <x v="2179"/>
    </i>
    <i>
      <x v="2181"/>
    </i>
    <i>
      <x v="2183"/>
    </i>
    <i>
      <x v="2184"/>
    </i>
    <i>
      <x v="2186"/>
    </i>
    <i>
      <x v="2188"/>
    </i>
    <i>
      <x v="2190"/>
    </i>
    <i>
      <x v="2192"/>
    </i>
    <i>
      <x v="2193"/>
    </i>
    <i>
      <x v="2194"/>
    </i>
    <i>
      <x v="2195"/>
    </i>
    <i>
      <x v="2197"/>
    </i>
    <i>
      <x v="2198"/>
    </i>
    <i>
      <x v="2199"/>
    </i>
    <i>
      <x v="2201"/>
    </i>
    <i>
      <x v="2202"/>
    </i>
    <i>
      <x v="2203"/>
    </i>
    <i>
      <x v="2205"/>
    </i>
    <i>
      <x v="2207"/>
    </i>
    <i>
      <x v="2209"/>
    </i>
    <i>
      <x v="2211"/>
    </i>
    <i>
      <x v="2212"/>
    </i>
    <i>
      <x v="2213"/>
    </i>
    <i>
      <x v="2214"/>
    </i>
    <i>
      <x v="2215"/>
    </i>
    <i>
      <x v="2216"/>
    </i>
    <i>
      <x v="2218"/>
    </i>
    <i>
      <x v="2219"/>
    </i>
    <i>
      <x v="2221"/>
    </i>
    <i>
      <x v="2223"/>
    </i>
    <i>
      <x v="2225"/>
    </i>
    <i>
      <x v="2226"/>
    </i>
    <i>
      <x v="2228"/>
    </i>
    <i>
      <x v="2229"/>
    </i>
    <i>
      <x v="2231"/>
    </i>
    <i>
      <x v="2233"/>
    </i>
    <i>
      <x v="2234"/>
    </i>
    <i>
      <x v="2235"/>
    </i>
    <i>
      <x v="2237"/>
    </i>
    <i>
      <x v="2238"/>
    </i>
    <i>
      <x v="2240"/>
    </i>
    <i>
      <x v="2242"/>
    </i>
    <i>
      <x v="2243"/>
    </i>
    <i>
      <x v="2245"/>
    </i>
    <i>
      <x v="2247"/>
    </i>
    <i>
      <x v="2248"/>
    </i>
    <i>
      <x v="2250"/>
    </i>
    <i>
      <x v="2252"/>
    </i>
    <i>
      <x v="2254"/>
    </i>
    <i>
      <x v="2256"/>
    </i>
    <i>
      <x v="2257"/>
    </i>
    <i>
      <x v="2259"/>
    </i>
    <i>
      <x v="2260"/>
    </i>
    <i>
      <x v="2261"/>
    </i>
    <i>
      <x v="2262"/>
    </i>
    <i>
      <x v="2264"/>
    </i>
    <i>
      <x v="2265"/>
    </i>
    <i>
      <x v="2267"/>
    </i>
    <i>
      <x v="2268"/>
    </i>
    <i>
      <x v="2270"/>
    </i>
    <i>
      <x v="2271"/>
    </i>
    <i>
      <x v="2272"/>
    </i>
    <i>
      <x v="2274"/>
    </i>
    <i>
      <x v="2275"/>
    </i>
    <i>
      <x v="2277"/>
    </i>
    <i>
      <x v="2279"/>
    </i>
    <i>
      <x v="2280"/>
    </i>
    <i>
      <x v="2282"/>
    </i>
    <i>
      <x v="2283"/>
    </i>
    <i>
      <x v="2285"/>
    </i>
    <i>
      <x v="2286"/>
    </i>
    <i>
      <x v="2287"/>
    </i>
    <i>
      <x v="2289"/>
    </i>
    <i>
      <x v="2291"/>
    </i>
    <i>
      <x v="2292"/>
    </i>
    <i>
      <x v="2293"/>
    </i>
    <i>
      <x v="2295"/>
    </i>
    <i>
      <x v="2296"/>
    </i>
    <i>
      <x v="2297"/>
    </i>
    <i>
      <x v="2299"/>
    </i>
    <i>
      <x v="2301"/>
    </i>
    <i>
      <x v="2302"/>
    </i>
    <i>
      <x v="2303"/>
    </i>
    <i>
      <x v="2304"/>
    </i>
    <i>
      <x v="2305"/>
    </i>
    <i>
      <x v="2306"/>
    </i>
    <i>
      <x v="2308"/>
    </i>
    <i>
      <x v="2309"/>
    </i>
    <i>
      <x v="2311"/>
    </i>
    <i>
      <x v="2312"/>
    </i>
    <i>
      <x v="2313"/>
    </i>
    <i>
      <x v="2315"/>
    </i>
    <i>
      <x v="2317"/>
    </i>
    <i>
      <x v="2318"/>
    </i>
    <i>
      <x v="2319"/>
    </i>
    <i>
      <x v="2320"/>
    </i>
    <i>
      <x v="2321"/>
    </i>
    <i>
      <x v="2323"/>
    </i>
    <i>
      <x v="2324"/>
    </i>
    <i>
      <x v="2326"/>
    </i>
    <i>
      <x v="2328"/>
    </i>
    <i>
      <x v="2329"/>
    </i>
    <i>
      <x v="2331"/>
    </i>
    <i>
      <x v="2333"/>
    </i>
    <i>
      <x v="2335"/>
    </i>
    <i>
      <x v="2337"/>
    </i>
    <i>
      <x v="2338"/>
    </i>
    <i>
      <x v="2339"/>
    </i>
    <i>
      <x v="2341"/>
    </i>
    <i>
      <x v="2343"/>
    </i>
    <i>
      <x v="2344"/>
    </i>
    <i>
      <x v="2345"/>
    </i>
    <i>
      <x v="2346"/>
    </i>
    <i>
      <x v="2347"/>
    </i>
    <i>
      <x v="2349"/>
    </i>
    <i>
      <x v="2351"/>
    </i>
    <i>
      <x v="2352"/>
    </i>
    <i>
      <x v="2354"/>
    </i>
    <i>
      <x v="2356"/>
    </i>
    <i>
      <x v="2358"/>
    </i>
    <i>
      <x v="2360"/>
    </i>
    <i>
      <x v="2361"/>
    </i>
    <i>
      <x v="2362"/>
    </i>
    <i>
      <x v="2364"/>
    </i>
    <i>
      <x v="2365"/>
    </i>
    <i>
      <x v="2367"/>
    </i>
    <i>
      <x v="2369"/>
    </i>
    <i>
      <x v="2371"/>
    </i>
    <i>
      <x v="2372"/>
    </i>
    <i>
      <x v="2373"/>
    </i>
    <i>
      <x v="2375"/>
    </i>
    <i>
      <x v="2376"/>
    </i>
    <i>
      <x v="2378"/>
    </i>
    <i>
      <x v="2379"/>
    </i>
    <i>
      <x v="2380"/>
    </i>
    <i>
      <x v="2382"/>
    </i>
    <i>
      <x v="2383"/>
    </i>
    <i>
      <x v="2385"/>
    </i>
    <i>
      <x v="2386"/>
    </i>
    <i>
      <x v="2387"/>
    </i>
    <i>
      <x v="2388"/>
    </i>
    <i>
      <x v="2389"/>
    </i>
    <i>
      <x v="2390"/>
    </i>
    <i>
      <x v="2391"/>
    </i>
    <i>
      <x v="2393"/>
    </i>
    <i>
      <x v="2394"/>
    </i>
    <i>
      <x v="2395"/>
    </i>
    <i>
      <x v="2397"/>
    </i>
    <i>
      <x v="2399"/>
    </i>
    <i>
      <x v="2400"/>
    </i>
    <i>
      <x v="2401"/>
    </i>
    <i>
      <x v="2402"/>
    </i>
    <i>
      <x v="2403"/>
    </i>
    <i>
      <x v="2404"/>
    </i>
    <i>
      <x v="2406"/>
    </i>
    <i>
      <x v="2407"/>
    </i>
    <i>
      <x v="2409"/>
    </i>
    <i>
      <x v="2410"/>
    </i>
    <i t="grand">
      <x/>
    </i>
  </rowItems>
  <colItems count="1">
    <i/>
  </colItems>
  <dataFields count="1">
    <dataField name="COUNTA of Carimbo de data/hora" fld="0" subtotal="count" baseField="0" baseItem="0"/>
  </dataFields>
  <pivotTableStyleInfo showRowHeaders="1" showColHeaders="1" showLastColumn="1"/>
</pivotTableDefinition>
</file>

<file path=xl/pivotTables/pivotTable16.xml><?xml version="1.0" encoding="utf-8"?>
<pivotTableDefinition xmlns="http://schemas.openxmlformats.org/spreadsheetml/2006/main" name="Dashboard DN" cacheId="5" autoFormatId="1" applyNumberFormats="0" applyBorderFormats="0" applyFontFormats="0" applyPatternFormats="0" applyAlignmentFormats="0" applyWidthHeightFormats="1" dataCaption="" updatedVersion="5" compact="0" compactData="0" showDrill="1">
  <location ref="A8:B13" firstHeaderRow="1" firstDataRow="1" firstDataCol="1"/>
  <pivotFields count="5">
    <pivotField dataField="1" compact="0" outline="0" multipleItemSelectionAllowed="1" showAll="0"/>
    <pivotField axis="axisRow" compact="0" sortType="ascending" outline="0" multipleItemSelectionAllowed="1" showAll="0">
      <items count="5">
        <item x="2"/>
        <item x="1"/>
        <item x="3"/>
        <item x="0"/>
        <item t="default"/>
      </items>
    </pivotField>
    <pivotField compact="0" outline="0" multipleItemSelectionAllowed="1" showAll="0"/>
    <pivotField compact="0" outline="0" multipleItemSelectionAllowed="1" showAll="0"/>
    <pivotField compact="0" outline="0" multipleItemSelectionAllowed="1" showAll="0"/>
  </pivotFields>
  <rowFields count="1">
    <field x="1"/>
  </rowFields>
  <rowItems count="5">
    <i>
      <x/>
    </i>
    <i>
      <x v="1"/>
    </i>
    <i>
      <x v="2"/>
    </i>
    <i>
      <x v="3"/>
    </i>
    <i t="grand">
      <x/>
    </i>
  </rowItems>
  <colItems count="1">
    <i/>
  </colItems>
  <dataFields count="1">
    <dataField name="COUNTA of NOME DA USUÁRIA " fld="0" subtotal="count" baseField="0" baseItem="0"/>
  </dataFields>
  <pivotTableStyleInfo name="Google Sheets Pivot Table Style" showRowHeaders="1" showColHeaders="1" showLastColumn="1"/>
</pivotTableDefinition>
</file>

<file path=xl/pivotTables/pivotTable17.xml><?xml version="1.0" encoding="utf-8"?>
<pivotTableDefinition xmlns="http://schemas.openxmlformats.org/spreadsheetml/2006/main" name="Dashboard DN 2" cacheId="5" autoFormatId="1" applyNumberFormats="0" applyBorderFormats="0" applyFontFormats="0" applyPatternFormats="0" applyAlignmentFormats="0" applyWidthHeightFormats="1" dataCaption="" updatedVersion="5" compact="0" compactData="0" showDrill="1">
  <location ref="D8:E14" firstHeaderRow="1" firstDataRow="1" firstDataCol="1"/>
  <pivotFields count="5">
    <pivotField compact="0" outline="0" multipleItemSelectionAllowed="1" showAll="0"/>
    <pivotField compact="0" outline="0" multipleItemSelectionAllowed="1" showAll="0"/>
    <pivotField compact="0" outline="0" multipleItemSelectionAllowed="1" showAll="0"/>
    <pivotField axis="axisRow" dataField="1" compact="0" sortType="ascending" outline="0" multipleItemSelectionAllowed="1" showAll="0">
      <items count="6">
        <item x="0"/>
        <item x="4"/>
        <item x="2"/>
        <item x="1"/>
        <item x="3"/>
        <item t="default"/>
      </items>
    </pivotField>
    <pivotField compact="0" outline="0" multipleItemSelectionAllowed="1" showAll="0"/>
  </pivotFields>
  <rowFields count="1">
    <field x="3"/>
  </rowFields>
  <rowItems count="6">
    <i>
      <x/>
    </i>
    <i>
      <x v="1"/>
    </i>
    <i>
      <x v="2"/>
    </i>
    <i>
      <x v="3"/>
    </i>
    <i>
      <x v="4"/>
    </i>
    <i t="grand">
      <x/>
    </i>
  </rowItems>
  <colItems count="1">
    <i/>
  </colItems>
  <dataFields count="1">
    <dataField name="COUNTA of ATENDIMENTO REALIZADO COM SUCESSO?" fld="3" subtotal="count" baseField="0" baseItem="0"/>
  </dataFields>
  <pivotTableStyleInfo name="Google Sheets Pivot Table Style" showRowHeaders="1" showColHeaders="1" showLastColumn="1"/>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Cache_Table_1_Col_10" sourceName="Fase do ciclo gravídico">
  <extLst>
    <x:ext xmlns:x15="http://schemas.microsoft.com/office/spreadsheetml/2010/11/main" uri="{2F2917AC-EB37-4324-AD4E-5DD8C200BD13}">
      <x15:tableSlicerCache tableId="1" column="10"/>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Cache_Table_1_Col_14" sourceName="Tipo de atendimento realizado">
  <extLst>
    <x:ext xmlns:x15="http://schemas.microsoft.com/office/spreadsheetml/2010/11/main" uri="{2F2917AC-EB37-4324-AD4E-5DD8C200BD13}">
      <x15:tableSlicerCache tableId="1" column="14"/>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Cache_Table_1_Col_21" sourceName="Realizar telemonitoramento?">
  <extLst>
    <x:ext xmlns:x15="http://schemas.microsoft.com/office/spreadsheetml/2010/11/main" uri="{2F2917AC-EB37-4324-AD4E-5DD8C200BD13}">
      <x15:tableSlicerCache tableId="1" column="21"/>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Cache_Table_1_Col_24" sourceName="Selecione o tipo de demanda">
  <extLst>
    <x:ext xmlns:x15="http://schemas.microsoft.com/office/spreadsheetml/2010/11/main" uri="{2F2917AC-EB37-4324-AD4E-5DD8C200BD13}">
      <x15:tableSlicerCache tableId="1" column="24"/>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Fase do ciclo gravídico_1" cache="SlicerCache_Table_1_Col_10" caption="Fase do ciclo gravídico" rowHeight="247650"/>
  <slicer name="Tipo de atendimento realizado_3" cache="SlicerCache_Table_1_Col_14" caption="Tipo de atendimento realizado" rowHeight="247650"/>
  <slicer name="Realizar telemonitoramento?_2" cache="SlicerCache_Table_1_Col_21" caption="Realizar telemonitoramento?" rowHeight="247650"/>
  <slicer name="Selecione o tipo de demanda_4" cache="SlicerCache_Table_1_Col_24" caption="Selecione o tipo de demanda" rowHeight="247650"/>
</slicers>
</file>

<file path=xl/tables/table1.xml><?xml version="1.0" encoding="utf-8"?>
<table xmlns="http://schemas.openxmlformats.org/spreadsheetml/2006/main" id="1" name="Table_1" displayName="Table_1" ref="A1:Y4703">
  <autoFilter ref="A1:Y4703"/>
  <tableColumns count="25">
    <tableColumn id="1" name="Carimbo de data/hora"/>
    <tableColumn id="2" name="Nome"/>
    <tableColumn id="3" name="CPF"/>
    <tableColumn id="4" name="CNS"/>
    <tableColumn id="5" name="Link do atendimento no HopChat"/>
    <tableColumn id="6" name="Mora em área de cobertura da ESF?"/>
    <tableColumn id="7" name="Raça/cor"/>
    <tableColumn id="8" name="Data de nascimento"/>
    <tableColumn id="9" name="DUM"/>
    <tableColumn id="10" name="Fase do ciclo gravídico"/>
    <tableColumn id="11" name="Qual das situações abaixo foi a motivo da procura da gestante "/>
    <tableColumn id="12" name="Qual o motivo da consulta "/>
    <tableColumn id="13" name="Qual o motivo da procura pelo atende gestante? "/>
    <tableColumn id="14" name="Tipo de atendimento realizado"/>
    <tableColumn id="15" name="Neste momento, foi necessário converter para o atendimento presencial?"/>
    <tableColumn id="16" name="Foi necessário encaminhamento para outro serviço?"/>
    <tableColumn id="17" name="A condição gerou oferta de teleinterconsulta?"/>
    <tableColumn id="18" name="Gestante já vinculada à APS?"/>
    <tableColumn id="19" name="Gestante já vinculada à maternidade?"/>
    <tableColumn id="20" name="Encaminhado para outro profissional do Telessaúde?"/>
    <tableColumn id="21" name="Realizar telemonitoramento?"/>
    <tableColumn id="22" name="Qual a data para realizar o telemonitoramento?"/>
    <tableColumn id="23" name="O atendimento foi realizado por:"/>
    <tableColumn id="24" name="Selecione o tipo de demanda"/>
    <tableColumn id="25" name="Motivo de busca por atendimento no Atende Gestante"/>
  </tableColumns>
  <tableStyleInfo showFirstColumn="0" showLastColumn="0" showRowStripes="0" showColumnStripes="0"/>
</table>
</file>

<file path=xl/tables/table2.xml><?xml version="1.0" encoding="utf-8"?>
<table xmlns="http://schemas.openxmlformats.org/spreadsheetml/2006/main" id="3" name="Table_3" displayName="Table_3" ref="A1:V1000">
  <tableColumns count="22">
    <tableColumn id="1" name="ID"/>
    <tableColumn id="2" name="Data do atendimento"/>
    <tableColumn id="3" name="Profissional que atendeu"/>
    <tableColumn id="4" name="Setor/Unidade"/>
    <tableColumn id="5" name="CPF"/>
    <tableColumn id="6" name="CNS"/>
    <tableColumn id="7" name="Nome"/>
    <tableColumn id="8" name="Link de Atendimento Hopchat (Whatsapp)"/>
    <tableColumn id="9" name="Idade"/>
    <tableColumn id="10" name="Rua"/>
    <tableColumn id="11" name="Número"/>
    <tableColumn id="12" name="Bairro"/>
    <tableColumn id="13" name="Microrregião"/>
    <tableColumn id="14" name="Situação"/>
    <tableColumn id="15" name="IG"/>
    <tableColumn id="16" name="Vinculação Maternidade"/>
    <tableColumn id="17" name="Vinculação Pré-Natal"/>
    <tableColumn id="18" name="Relato do evento"/>
    <tableColumn id="19" name="Categoria do evento"/>
    <tableColumn id="20" name="STATUS"/>
    <tableColumn id="21" name="Destino/Responsável"/>
    <tableColumn id="22" name="Resposta"/>
  </tableColumns>
  <tableStyleInfo name="EventoSentinel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hyperlink" Target="https://chat-conecta.recife.pe.gov.br/live/aqp96nuK877HDFxbX/room-info" TargetMode="Externa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9" Type="http://schemas.openxmlformats.org/officeDocument/2006/relationships/pivotTable" Target="../pivotTables/pivotTable9.xml"/><Relationship Id="rId8" Type="http://schemas.openxmlformats.org/officeDocument/2006/relationships/pivotTable" Target="../pivotTables/pivotTable8.xml"/><Relationship Id="rId7" Type="http://schemas.openxmlformats.org/officeDocument/2006/relationships/pivotTable" Target="../pivotTables/pivotTable7.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3" Type="http://schemas.openxmlformats.org/officeDocument/2006/relationships/pivotTable" Target="../pivotTables/pivotTable3.xml"/><Relationship Id="rId2" Type="http://schemas.openxmlformats.org/officeDocument/2006/relationships/pivotTable" Target="../pivotTables/pivotTable2.xml"/><Relationship Id="rId17" Type="http://schemas.microsoft.com/office/2007/relationships/slicer" Target="../slicers/slicer1.xml"/><Relationship Id="rId16" Type="http://schemas.openxmlformats.org/officeDocument/2006/relationships/drawing" Target="../drawings/drawing2.xml"/><Relationship Id="rId15" Type="http://schemas.openxmlformats.org/officeDocument/2006/relationships/pivotTable" Target="../pivotTables/pivotTable15.xml"/><Relationship Id="rId14" Type="http://schemas.openxmlformats.org/officeDocument/2006/relationships/pivotTable" Target="../pivotTables/pivotTable14.xml"/><Relationship Id="rId13" Type="http://schemas.openxmlformats.org/officeDocument/2006/relationships/pivotTable" Target="../pivotTables/pivotTable13.xml"/><Relationship Id="rId12" Type="http://schemas.openxmlformats.org/officeDocument/2006/relationships/pivotTable" Target="../pivotTables/pivotTable12.xml"/><Relationship Id="rId11" Type="http://schemas.openxmlformats.org/officeDocument/2006/relationships/pivotTable" Target="../pivotTables/pivotTable11.xml"/><Relationship Id="rId10" Type="http://schemas.openxmlformats.org/officeDocument/2006/relationships/pivotTable" Target="../pivotTables/pivotTable10.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99" Type="http://schemas.openxmlformats.org/officeDocument/2006/relationships/hyperlink" Target="https://chat-conecta.recife.pe.gov.br/live/Qabrca8Y4jR9uYKWF/user-info" TargetMode="External"/><Relationship Id="rId98" Type="http://schemas.openxmlformats.org/officeDocument/2006/relationships/hyperlink" Target="https://chat-conecta.recife.pe.gov.br/live/jFeyWCaHCNj9FEcL5/contact-chat-history" TargetMode="External"/><Relationship Id="rId97" Type="http://schemas.openxmlformats.org/officeDocument/2006/relationships/hyperlink" Target="https://chat-conecta.recife.pe.gov.br/live/tsTwkjaqggYs5QTia" TargetMode="External"/><Relationship Id="rId96" Type="http://schemas.openxmlformats.org/officeDocument/2006/relationships/hyperlink" Target="https://chat-conecta.recife.pe.gov.br/live/A9GEgydH5soB7q7yt" TargetMode="External"/><Relationship Id="rId95" Type="http://schemas.openxmlformats.org/officeDocument/2006/relationships/hyperlink" Target="https://chat-conecta.recife.pe.gov.br/live/Lw27a7BMDdj4qA5q7" TargetMode="External"/><Relationship Id="rId94" Type="http://schemas.openxmlformats.org/officeDocument/2006/relationships/hyperlink" Target="https://chat-conecta.recife.pe.gov.br/live/6QWCsiopuYtZTQKSB/room-info" TargetMode="External"/><Relationship Id="rId93" Type="http://schemas.openxmlformats.org/officeDocument/2006/relationships/hyperlink" Target="https://chat-conecta.recife.pe.gov.br/live/3GWNRrQYRgKFa5HGv/room-info" TargetMode="External"/><Relationship Id="rId92" Type="http://schemas.openxmlformats.org/officeDocument/2006/relationships/hyperlink" Target="https://chat-conecta.recife.pe.gov.br/live/Zs8Nz3WjtHYfY2HL5/user-info" TargetMode="External"/><Relationship Id="rId91" Type="http://schemas.openxmlformats.org/officeDocument/2006/relationships/hyperlink" Target="https://chat-conecta.recife.pe.gov.br/live/FQP9rogfYjSn3hZ3q/user-info" TargetMode="External"/><Relationship Id="rId90" Type="http://schemas.openxmlformats.org/officeDocument/2006/relationships/hyperlink" Target="https://chat-conecta.recife.pe.gov.br/live/2ABTu5i6nRFPimCFW/user-info" TargetMode="External"/><Relationship Id="rId9" Type="http://schemas.openxmlformats.org/officeDocument/2006/relationships/hyperlink" Target="https://chat.brainyresolution.com/live/nJYjukDmZSG3D9d4t/room-info" TargetMode="External"/><Relationship Id="rId89" Type="http://schemas.openxmlformats.org/officeDocument/2006/relationships/hyperlink" Target="https://chat-conecta.recife.pe.gov.br/live/xHN4cC3wYoJRyGR7j" TargetMode="External"/><Relationship Id="rId88" Type="http://schemas.openxmlformats.org/officeDocument/2006/relationships/hyperlink" Target="https://chat-conecta.recife.pe.gov.br/live/QyNStuvGiMvkFM7ph/room-info" TargetMode="External"/><Relationship Id="rId87" Type="http://schemas.openxmlformats.org/officeDocument/2006/relationships/hyperlink" Target="https://chat-conecta.recife.pe.gov.br/live/pH573JfkeWkKutjDG/room-info" TargetMode="External"/><Relationship Id="rId86" Type="http://schemas.openxmlformats.org/officeDocument/2006/relationships/hyperlink" Target="https://chat-conecta.recife.pe.gov.br/live/9Xkp45EJWcBHD8JwY/room-info" TargetMode="External"/><Relationship Id="rId85" Type="http://schemas.openxmlformats.org/officeDocument/2006/relationships/hyperlink" Target="https://chat-conecta.recife.pe.gov.br/live/AC5P3aNLPu36w8YSd/room-info" TargetMode="External"/><Relationship Id="rId84" Type="http://schemas.openxmlformats.org/officeDocument/2006/relationships/hyperlink" Target="https://chat-conecta.recife.pe.gov.br/live/KFB7vP73G5S3KRddD/room-info" TargetMode="External"/><Relationship Id="rId83" Type="http://schemas.openxmlformats.org/officeDocument/2006/relationships/hyperlink" Target="https://chat-conecta.recife.pe.gov.br/live/Qo4zkEHsBYKNkG65z/room-info" TargetMode="External"/><Relationship Id="rId82" Type="http://schemas.openxmlformats.org/officeDocument/2006/relationships/hyperlink" Target="https://chat-conecta.recife.pe.gov.br/live/3o2EyWhpe9TicPG8e/room-info" TargetMode="External"/><Relationship Id="rId81" Type="http://schemas.openxmlformats.org/officeDocument/2006/relationships/hyperlink" Target="https://chat-conecta.recife.pe.gov.br/live/7t65QQsjAL72NjHSa/room-info" TargetMode="External"/><Relationship Id="rId80" Type="http://schemas.openxmlformats.org/officeDocument/2006/relationships/hyperlink" Target="https://chat-conecta.recife.pe.gov.br/live/PnsYy67d25DG9yGju/room-info" TargetMode="External"/><Relationship Id="rId8" Type="http://schemas.openxmlformats.org/officeDocument/2006/relationships/hyperlink" Target="https://chat.brainyresolution.com/live/YnB3zDmokbY4Lbsb2/room-info" TargetMode="External"/><Relationship Id="rId79" Type="http://schemas.openxmlformats.org/officeDocument/2006/relationships/hyperlink" Target="https://chat-conecta.recife.pe.gov.br/live/tvL54nQm5hc3mWZBG/room-info" TargetMode="External"/><Relationship Id="rId78" Type="http://schemas.openxmlformats.org/officeDocument/2006/relationships/hyperlink" Target="https://chat-conecta.recife.pe.gov.br/live/nbQAi8kpeoMFr9DeM/room-info" TargetMode="External"/><Relationship Id="rId77" Type="http://schemas.openxmlformats.org/officeDocument/2006/relationships/hyperlink" Target="https://chat-conecta.recife.pe.gov.br/live/xecpFG2iomkPomACF" TargetMode="External"/><Relationship Id="rId76" Type="http://schemas.openxmlformats.org/officeDocument/2006/relationships/hyperlink" Target="https://chat-conecta.recife.pe.gov.br/live/GcGXrQho62Wq2yLoa" TargetMode="External"/><Relationship Id="rId75" Type="http://schemas.openxmlformats.org/officeDocument/2006/relationships/hyperlink" Target="https://chat-conecta.recife.pe.gov.br/live/4LHm8D8KYeFc8Eqdz" TargetMode="External"/><Relationship Id="rId74" Type="http://schemas.openxmlformats.org/officeDocument/2006/relationships/hyperlink" Target="https://chat-conecta.recife.pe.gov.br/live/oh7Yfpxy5WTm7qdzL" TargetMode="External"/><Relationship Id="rId734" Type="http://schemas.openxmlformats.org/officeDocument/2006/relationships/hyperlink" Target="https://chat-conecta.recife.pe.gov.br/live/cqJ2XbdFLtaSZJhhu/room-info" TargetMode="External"/><Relationship Id="rId733" Type="http://schemas.openxmlformats.org/officeDocument/2006/relationships/hyperlink" Target="https://chat-conecta.recife.pe.gov.br/live/Xj9RD5Dm7GKDQy7DQ/room-info" TargetMode="External"/><Relationship Id="rId732" Type="http://schemas.openxmlformats.org/officeDocument/2006/relationships/hyperlink" Target="https://chat-conecta.recife.pe.gov.br/live/6vSeBGaovpqt8XRZJ/room-info" TargetMode="External"/><Relationship Id="rId731" Type="http://schemas.openxmlformats.org/officeDocument/2006/relationships/hyperlink" Target="https://chat-conecta.recife.pe.gov.br/live/NdaTMqqpb8PLq89mq/room-info" TargetMode="External"/><Relationship Id="rId730" Type="http://schemas.openxmlformats.org/officeDocument/2006/relationships/hyperlink" Target="https://chat-conecta.recife.pe.gov.br/live/7WjPFsBbbxXsD92rg/room-info" TargetMode="External"/><Relationship Id="rId73" Type="http://schemas.openxmlformats.org/officeDocument/2006/relationships/hyperlink" Target="https://chat-conecta.recife.pe.gov.br/live/NL3Bga5ytxH6ZSTPd" TargetMode="External"/><Relationship Id="rId729" Type="http://schemas.openxmlformats.org/officeDocument/2006/relationships/hyperlink" Target="https://chat-conecta.recife.pe.gov.br/live/bPMdPE3WXhQL8p9mx/room-info" TargetMode="External"/><Relationship Id="rId728" Type="http://schemas.openxmlformats.org/officeDocument/2006/relationships/hyperlink" Target="https://chat-conecta.recife.pe.gov.br/live/teM9LoNzmpL8jS8YP/room-info" TargetMode="External"/><Relationship Id="rId727" Type="http://schemas.openxmlformats.org/officeDocument/2006/relationships/hyperlink" Target="https://chat-conecta.recife.pe.gov.br/live/HR8gxXKNyXsxdkdwX/room-info" TargetMode="External"/><Relationship Id="rId726" Type="http://schemas.openxmlformats.org/officeDocument/2006/relationships/hyperlink" Target="https://chat-conecta.recife.pe.gov.br/live/Q6uexPWXBFiz7QjMb/room-info" TargetMode="External"/><Relationship Id="rId725" Type="http://schemas.openxmlformats.org/officeDocument/2006/relationships/hyperlink" Target="https://chat-conecta.recife.pe.gov.br/live/FC297Qzh8Lq4JYGvQ/room-info" TargetMode="External"/><Relationship Id="rId724" Type="http://schemas.openxmlformats.org/officeDocument/2006/relationships/hyperlink" Target="https://chat-conecta.recife.pe.gov.br/live/Wv4wZsCDqMyrkzAHt/room-info" TargetMode="External"/><Relationship Id="rId723" Type="http://schemas.openxmlformats.org/officeDocument/2006/relationships/hyperlink" Target="https://chat-conecta.recife.pe.gov.br/live/sgqH4EZDtHbmjhWks/room-info" TargetMode="External"/><Relationship Id="rId722" Type="http://schemas.openxmlformats.org/officeDocument/2006/relationships/hyperlink" Target="https://chat-conecta.recife.pe.gov.br/live/Zmj9LpGLK86yKHNnP/room-info" TargetMode="External"/><Relationship Id="rId721" Type="http://schemas.openxmlformats.org/officeDocument/2006/relationships/hyperlink" Target="https://chat-conecta.recife.pe.gov.br/live/gZn35CWCujcuiPdGx/room-info" TargetMode="External"/><Relationship Id="rId720" Type="http://schemas.openxmlformats.org/officeDocument/2006/relationships/hyperlink" Target="https://chat-conecta.recife.pe.gov.br/live/KW7treM6sjoaYepvy/room-info" TargetMode="External"/><Relationship Id="rId72" Type="http://schemas.openxmlformats.org/officeDocument/2006/relationships/hyperlink" Target="https://chat-conecta.recife.pe.gov.br/live/NbSF6qenquYzmrESn/room-info" TargetMode="External"/><Relationship Id="rId719" Type="http://schemas.openxmlformats.org/officeDocument/2006/relationships/hyperlink" Target="https://chat-conecta.recife.pe.gov.br/live/7RTkqpWZzby8XWj5X/room-info" TargetMode="External"/><Relationship Id="rId718" Type="http://schemas.openxmlformats.org/officeDocument/2006/relationships/hyperlink" Target="https://chat-conecta.recife.pe.gov.br/live/i7jns7GLhS7ivzYQa/room-info" TargetMode="External"/><Relationship Id="rId717" Type="http://schemas.openxmlformats.org/officeDocument/2006/relationships/hyperlink" Target="https://chat-conecta.recife.pe.gov.br/live/gumb4dNHiDAyXtaEQ/room-info" TargetMode="External"/><Relationship Id="rId716" Type="http://schemas.openxmlformats.org/officeDocument/2006/relationships/hyperlink" Target="https://chat-conecta.recife.pe.gov.br/live/juamHNpdpuGxMcsib/room-info" TargetMode="External"/><Relationship Id="rId715" Type="http://schemas.openxmlformats.org/officeDocument/2006/relationships/hyperlink" Target="https://chat-conecta.recife.pe.gov.br/live/otT7fgK4cpxTnjrWH/room-info" TargetMode="External"/><Relationship Id="rId714" Type="http://schemas.openxmlformats.org/officeDocument/2006/relationships/hyperlink" Target="https://chat-conecta.recife.pe.gov.br/live/XnpLR47GgFgmzRXGu/room-info" TargetMode="External"/><Relationship Id="rId713" Type="http://schemas.openxmlformats.org/officeDocument/2006/relationships/hyperlink" Target="https://chat-conecta.recife.pe.gov.br/live/PZ72HmQCSsiphSPMT/room-info" TargetMode="External"/><Relationship Id="rId712" Type="http://schemas.openxmlformats.org/officeDocument/2006/relationships/hyperlink" Target="https://chat-conecta.recife.pe.gov.br/live/F2byvnosptrkvWvmh/room-info" TargetMode="External"/><Relationship Id="rId711" Type="http://schemas.openxmlformats.org/officeDocument/2006/relationships/hyperlink" Target="https://chat-conecta.recife.pe.gov.br/live/2YmqdDfaLqsmFJxNm/room-info" TargetMode="External"/><Relationship Id="rId710" Type="http://schemas.openxmlformats.org/officeDocument/2006/relationships/hyperlink" Target="https://chat-conecta.recife.pe.gov.br/live/eM9H7PTzMPSMwnDoF/room-info" TargetMode="External"/><Relationship Id="rId71" Type="http://schemas.openxmlformats.org/officeDocument/2006/relationships/hyperlink" Target="https://chat-conecta.recife.pe.gov.br/live/TSLQCpLSSpBNekwrp" TargetMode="External"/><Relationship Id="rId709" Type="http://schemas.openxmlformats.org/officeDocument/2006/relationships/hyperlink" Target="https://chat-conecta.recife.pe.gov.br/live/AbgbdZyM6sHMHoayk/room-info" TargetMode="External"/><Relationship Id="rId708" Type="http://schemas.openxmlformats.org/officeDocument/2006/relationships/hyperlink" Target="https://chat-conecta.recife.pe.gov.br/live/KMfnYDgsLJ32WTaAS/room-info" TargetMode="External"/><Relationship Id="rId707" Type="http://schemas.openxmlformats.org/officeDocument/2006/relationships/hyperlink" Target="https://chat-conecta.recife.pe.gov.br/live/jWF4Xc9XbGpQvCz2i/room-info" TargetMode="External"/><Relationship Id="rId706" Type="http://schemas.openxmlformats.org/officeDocument/2006/relationships/hyperlink" Target="https://chat-conecta.recife.pe.gov.br/live/ZmXB8vqMpxbN8duSJ/room-info" TargetMode="External"/><Relationship Id="rId705" Type="http://schemas.openxmlformats.org/officeDocument/2006/relationships/hyperlink" Target="https://chat-conecta.recife.pe.gov.br/live/nvDp3He5amMGcawWQ/room-info" TargetMode="External"/><Relationship Id="rId704" Type="http://schemas.openxmlformats.org/officeDocument/2006/relationships/hyperlink" Target="https://chat-conecta.recife.pe.gov.br/live/RdasYAmKuFQQnL7cu/room-info" TargetMode="External"/><Relationship Id="rId703" Type="http://schemas.openxmlformats.org/officeDocument/2006/relationships/hyperlink" Target="https://chat-conecta.recife.pe.gov.br/live/JKF4SkS2R9sRyihmz/room-info" TargetMode="External"/><Relationship Id="rId702" Type="http://schemas.openxmlformats.org/officeDocument/2006/relationships/hyperlink" Target="https://chat-conecta.recife.pe.gov.br/live/ZqpdfwD9KNYovsN4Y/room-info" TargetMode="External"/><Relationship Id="rId701" Type="http://schemas.openxmlformats.org/officeDocument/2006/relationships/hyperlink" Target="https://chat-conecta.recife.pe.gov.br/live/z3gtQi7ebHZo6cvWF/room-info" TargetMode="External"/><Relationship Id="rId700" Type="http://schemas.openxmlformats.org/officeDocument/2006/relationships/hyperlink" Target="https://chat-conecta.recife.pe.gov.br/live/LG3ZXvJGCuNY2Stjv/room-info" TargetMode="External"/><Relationship Id="rId70" Type="http://schemas.openxmlformats.org/officeDocument/2006/relationships/hyperlink" Target="https://chat-conecta.recife.pe.gov.br/live/gYTpAANLe3R39vSuY/room-info" TargetMode="External"/><Relationship Id="rId7" Type="http://schemas.openxmlformats.org/officeDocument/2006/relationships/hyperlink" Target="https://chat.brainyresolution.com/live/RHHQobYjnMYfZsnSh" TargetMode="External"/><Relationship Id="rId699" Type="http://schemas.openxmlformats.org/officeDocument/2006/relationships/hyperlink" Target="https://chat-conecta.recife.pe.gov.br/live/mGpMMy6F2R27JcSgs/room-info" TargetMode="External"/><Relationship Id="rId698" Type="http://schemas.openxmlformats.org/officeDocument/2006/relationships/hyperlink" Target="https://chat-conecta.recife.pe.gov.br/live/QL8dAPJakukaLZnbh" TargetMode="External"/><Relationship Id="rId697" Type="http://schemas.openxmlformats.org/officeDocument/2006/relationships/hyperlink" Target="https://chat-conecta.recife.pe.gov.br/live/maP8eMETXgFxyyQnv/room-info" TargetMode="External"/><Relationship Id="rId696" Type="http://schemas.openxmlformats.org/officeDocument/2006/relationships/hyperlink" Target="https://chat-conecta.recife.pe.gov.br/live/Y3crzL2jjZ7BGgY9X/room-info" TargetMode="External"/><Relationship Id="rId695" Type="http://schemas.openxmlformats.org/officeDocument/2006/relationships/hyperlink" Target="https://chat-conecta.recife.pe.gov.br/live/b2ZsbnuB9FkvLFDCx/room-info" TargetMode="External"/><Relationship Id="rId694" Type="http://schemas.openxmlformats.org/officeDocument/2006/relationships/hyperlink" Target="https://chat-conecta.recife.pe.gov.br/live/L5AH2KL8DfJzuqkLu/room-info" TargetMode="External"/><Relationship Id="rId693" Type="http://schemas.openxmlformats.org/officeDocument/2006/relationships/hyperlink" Target="https://chat-conecta.recife.pe.gov.br/live/WogPpR2sYZP4oFmTg/room-info" TargetMode="External"/><Relationship Id="rId692" Type="http://schemas.openxmlformats.org/officeDocument/2006/relationships/hyperlink" Target="https://chat-conecta.recife.pe.gov.br/live/BJZyWLC5Db7oAmgKe" TargetMode="External"/><Relationship Id="rId691" Type="http://schemas.openxmlformats.org/officeDocument/2006/relationships/hyperlink" Target="https://chat-conecta.recife.pe.gov.br/live/E3dCtJTmgjhTiJfer/room-info" TargetMode="External"/><Relationship Id="rId690" Type="http://schemas.openxmlformats.org/officeDocument/2006/relationships/hyperlink" Target="https://chat-conecta.recife.pe.gov.br/live/RYjG6GjaT9J2Xh2yx/room-info" TargetMode="External"/><Relationship Id="rId69" Type="http://schemas.openxmlformats.org/officeDocument/2006/relationships/hyperlink" Target="https://chat-conecta.recife.pe.gov.br/live/X88pamn5BQzStukAr" TargetMode="External"/><Relationship Id="rId689" Type="http://schemas.openxmlformats.org/officeDocument/2006/relationships/hyperlink" Target="https://chat-conecta.recife.pe.gov.br/live/N8ohjRZ5iHoMF9qgF" TargetMode="External"/><Relationship Id="rId688" Type="http://schemas.openxmlformats.org/officeDocument/2006/relationships/hyperlink" Target="https://chat-conecta.recife.pe.gov.br/live/ohPNLeTesJvpSbbST/room-info" TargetMode="External"/><Relationship Id="rId687" Type="http://schemas.openxmlformats.org/officeDocument/2006/relationships/hyperlink" Target="https://chat-conecta.recife.pe.gov.br/live/mxxgn9dDJZZ36zKNR/room-info" TargetMode="External"/><Relationship Id="rId686" Type="http://schemas.openxmlformats.org/officeDocument/2006/relationships/hyperlink" Target="https://chat-conecta.recife.pe.gov.br/live/eLvamdupE8Z6N8hzA/room-info" TargetMode="External"/><Relationship Id="rId685" Type="http://schemas.openxmlformats.org/officeDocument/2006/relationships/hyperlink" Target="https://chat-conecta.recife.pe.gov.br/live/gkX52h8ucKdAWYetg/room-info" TargetMode="External"/><Relationship Id="rId684" Type="http://schemas.openxmlformats.org/officeDocument/2006/relationships/hyperlink" Target="https://chat-conecta.recife.pe.gov.br/live/Y4njjb5ZLWTigmtg6/room-info" TargetMode="External"/><Relationship Id="rId683" Type="http://schemas.openxmlformats.org/officeDocument/2006/relationships/hyperlink" Target="https://chat-conecta.recife.pe.gov.br/live/2xBcJDcTjq6C7CFeA/room-info" TargetMode="External"/><Relationship Id="rId682" Type="http://schemas.openxmlformats.org/officeDocument/2006/relationships/hyperlink" Target="https://chat-conecta.recife.pe.gov.br/live/AzuZXw9BguKiH4bkX/room-info" TargetMode="External"/><Relationship Id="rId681" Type="http://schemas.openxmlformats.org/officeDocument/2006/relationships/hyperlink" Target="https://chat-conecta.recife.pe.gov.br/live/vStnmXYs56KwCqPTX/room-info" TargetMode="External"/><Relationship Id="rId680" Type="http://schemas.openxmlformats.org/officeDocument/2006/relationships/hyperlink" Target="https://chat-conecta.recife.pe.gov.br/live/jbSqe5NpgBDZ7nHxK/room-info" TargetMode="External"/><Relationship Id="rId68" Type="http://schemas.openxmlformats.org/officeDocument/2006/relationships/hyperlink" Target="https://chat-conecta.recife.pe.gov.br/live/pnzMGRk7fLv4hceJN/room-info" TargetMode="External"/><Relationship Id="rId679" Type="http://schemas.openxmlformats.org/officeDocument/2006/relationships/hyperlink" Target="https://chat-conecta.recife.pe.gov.br/live/Jp5Q3Lomgtb86ezr2/room-info" TargetMode="External"/><Relationship Id="rId678" Type="http://schemas.openxmlformats.org/officeDocument/2006/relationships/hyperlink" Target="https://chat-conecta.recife.pe.gov.br/live/9AbzwoeANSeaPd7Fg/room-info" TargetMode="External"/><Relationship Id="rId677" Type="http://schemas.openxmlformats.org/officeDocument/2006/relationships/hyperlink" Target="https://chat-conecta.recife.pe.gov.br/live/hxQMuCWZkRKFjWkxZ/room-info" TargetMode="External"/><Relationship Id="rId676" Type="http://schemas.openxmlformats.org/officeDocument/2006/relationships/hyperlink" Target="https://chat-conecta.recife.pe.gov.br/live/RALcoknc8zC7nehLZ/room-info" TargetMode="External"/><Relationship Id="rId675" Type="http://schemas.openxmlformats.org/officeDocument/2006/relationships/hyperlink" Target="https://chat-conecta.recife.pe.gov.br/live/q4hJCcnMHgybC7Jcy/room-info" TargetMode="External"/><Relationship Id="rId674" Type="http://schemas.openxmlformats.org/officeDocument/2006/relationships/hyperlink" Target="https://chat-conecta.recife.pe.gov.br/live/ieE2yi7xyphxCWGSE/room-info" TargetMode="External"/><Relationship Id="rId673" Type="http://schemas.openxmlformats.org/officeDocument/2006/relationships/hyperlink" Target="https://chat-conecta.recife.pe.gov.br/live/tcuW59jXPKqT4Wc4G/room-info" TargetMode="External"/><Relationship Id="rId672" Type="http://schemas.openxmlformats.org/officeDocument/2006/relationships/hyperlink" Target="https://chat-conecta.recife.pe.gov.br/live/S8zz72BreEwmLe6Qb/room-info" TargetMode="External"/><Relationship Id="rId671" Type="http://schemas.openxmlformats.org/officeDocument/2006/relationships/hyperlink" Target="https://chat-conecta.recife.pe.gov.br/live/TtxBgmmXkTkdpc7Yj" TargetMode="External"/><Relationship Id="rId670" Type="http://schemas.openxmlformats.org/officeDocument/2006/relationships/hyperlink" Target="https://chat-conecta.recife.pe.gov.br/live/H6Bsjw6K6wuMew53Z" TargetMode="External"/><Relationship Id="rId67" Type="http://schemas.openxmlformats.org/officeDocument/2006/relationships/hyperlink" Target="https://chat-conecta.recife.pe.gov.br/live/pYEy6yPqkGX9QWYSH/room-info" TargetMode="External"/><Relationship Id="rId669" Type="http://schemas.openxmlformats.org/officeDocument/2006/relationships/hyperlink" Target="https://chat-conecta.recife.pe.gov.br/live/GP4FJRyDTDje7am9x/room-info" TargetMode="External"/><Relationship Id="rId668" Type="http://schemas.openxmlformats.org/officeDocument/2006/relationships/hyperlink" Target="https://chat-conecta.recife.pe.gov.br/live/9qTXw5jFTykTsyMcp/room-info" TargetMode="External"/><Relationship Id="rId667" Type="http://schemas.openxmlformats.org/officeDocument/2006/relationships/hyperlink" Target="https://chat-conecta.recife.pe.gov.br/live/YXRn5NZoxBYHNnQXZ/room-info" TargetMode="External"/><Relationship Id="rId666" Type="http://schemas.openxmlformats.org/officeDocument/2006/relationships/hyperlink" Target="https://chat-conecta.recife.pe.gov.br/live/ASQCpr8rpbwFSr2J6/room-info" TargetMode="External"/><Relationship Id="rId665" Type="http://schemas.openxmlformats.org/officeDocument/2006/relationships/hyperlink" Target="https://chat-conecta.recife.pe.gov.br/live/orfouHJ7i4ad9skJz/room-info" TargetMode="External"/><Relationship Id="rId664" Type="http://schemas.openxmlformats.org/officeDocument/2006/relationships/hyperlink" Target="https://chat-conecta.recife.pe.gov.br/live/Z8ebAKcGM7LmfPBxK/room-info" TargetMode="External"/><Relationship Id="rId663" Type="http://schemas.openxmlformats.org/officeDocument/2006/relationships/hyperlink" Target="https://chat-conecta.recife.pe.gov.br/live/PYdj8KaYoGsd9zwkr/room-info" TargetMode="External"/><Relationship Id="rId662" Type="http://schemas.openxmlformats.org/officeDocument/2006/relationships/hyperlink" Target="https://chat-conecta.recife.pe.gov.br/live/oLjZSeycba75tcp6a/room-info" TargetMode="External"/><Relationship Id="rId661" Type="http://schemas.openxmlformats.org/officeDocument/2006/relationships/hyperlink" Target="https://chat-conecta.recife.pe.gov.br/live/aL7rAnqWFbChSrYhN/room-info" TargetMode="External"/><Relationship Id="rId660" Type="http://schemas.openxmlformats.org/officeDocument/2006/relationships/hyperlink" Target="https://chat-conecta.recife.pe.gov.br/live/buQRtRgvm3tofR8yF/room-info" TargetMode="External"/><Relationship Id="rId66" Type="http://schemas.openxmlformats.org/officeDocument/2006/relationships/hyperlink" Target="https://chat-conecta.recife.pe.gov.br/live/9w8gui8yLiw3DLF8H/room-info" TargetMode="External"/><Relationship Id="rId659" Type="http://schemas.openxmlformats.org/officeDocument/2006/relationships/hyperlink" Target="https://chat-conecta.recife.pe.gov.br/live/t9hsKseYK5XQNtjgC/room-info" TargetMode="External"/><Relationship Id="rId658" Type="http://schemas.openxmlformats.org/officeDocument/2006/relationships/hyperlink" Target="https://chat-conecta.recife.pe.gov.br/live/sr8J8vbn9X9GAjXFa/room-info" TargetMode="External"/><Relationship Id="rId657" Type="http://schemas.openxmlformats.org/officeDocument/2006/relationships/hyperlink" Target="https://chat-conecta.recife.pe.gov.br/live/yWXhdxTWh4pD5jmnB/room-info" TargetMode="External"/><Relationship Id="rId656" Type="http://schemas.openxmlformats.org/officeDocument/2006/relationships/hyperlink" Target="https://chat-conecta.recife.pe.gov.br/live/fLBtYJ9BKtuursnTD/room-info" TargetMode="External"/><Relationship Id="rId655" Type="http://schemas.openxmlformats.org/officeDocument/2006/relationships/hyperlink" Target="https://chat-conecta.recife.pe.gov.br/live/jJe2Xn53AM9dmH5im/room-info" TargetMode="External"/><Relationship Id="rId654" Type="http://schemas.openxmlformats.org/officeDocument/2006/relationships/hyperlink" Target="https://chat-conecta.recife.pe.gov.br/live/Z4XSj9Gj5zYTZmmmF/room-info" TargetMode="External"/><Relationship Id="rId653" Type="http://schemas.openxmlformats.org/officeDocument/2006/relationships/hyperlink" Target="https://chat-conecta.recife.pe.gov.br/live/QuGS6zvL3aJb5F7CT/room-info" TargetMode="External"/><Relationship Id="rId652" Type="http://schemas.openxmlformats.org/officeDocument/2006/relationships/hyperlink" Target="https://chat-conecta.recife.pe.gov.br/live/G7TdNyTgvuvPYupGv/room-info" TargetMode="External"/><Relationship Id="rId651" Type="http://schemas.openxmlformats.org/officeDocument/2006/relationships/hyperlink" Target="https://chat-conecta.recife.pe.gov.br/live/kXAXEaHRAqDEXJDRh" TargetMode="External"/><Relationship Id="rId650" Type="http://schemas.openxmlformats.org/officeDocument/2006/relationships/hyperlink" Target="https://chat-conecta.recife.pe.gov.br/live/Bd8Rc35EQBRAWZ8cz/room-info" TargetMode="External"/><Relationship Id="rId65" Type="http://schemas.openxmlformats.org/officeDocument/2006/relationships/hyperlink" Target="https://chat-conecta.recife.pe.gov.br/live/KNbLCGbuGLQYBxiG4/room-info" TargetMode="External"/><Relationship Id="rId649" Type="http://schemas.openxmlformats.org/officeDocument/2006/relationships/hyperlink" Target="https://chat-conecta.recife.pe.gov.br/live/MzJhR2LznDH4zy5yF/room-info" TargetMode="External"/><Relationship Id="rId648" Type="http://schemas.openxmlformats.org/officeDocument/2006/relationships/hyperlink" Target="https://chat-conecta.recife.pe.gov.br/live/aB6Bc2BuRbP385Hrj" TargetMode="External"/><Relationship Id="rId647" Type="http://schemas.openxmlformats.org/officeDocument/2006/relationships/hyperlink" Target="https://chat-conecta.recife.pe.gov.br/live/gy9LQuNNcmWDoXiDC/room-info" TargetMode="External"/><Relationship Id="rId646" Type="http://schemas.openxmlformats.org/officeDocument/2006/relationships/hyperlink" Target="https://chat-conecta.recife.pe.gov.br/live/HGmfGCi2zZdTtMB5D/room-info" TargetMode="External"/><Relationship Id="rId645" Type="http://schemas.openxmlformats.org/officeDocument/2006/relationships/hyperlink" Target="https://chat-conecta.recife.pe.gov.br/live/Ku2okhT3bGq73JJer/room-info" TargetMode="External"/><Relationship Id="rId644" Type="http://schemas.openxmlformats.org/officeDocument/2006/relationships/hyperlink" Target="https://chat-conecta.recife.pe.gov.br/live/8Rom3zbD2xP2LnpaX/room-info" TargetMode="External"/><Relationship Id="rId643" Type="http://schemas.openxmlformats.org/officeDocument/2006/relationships/hyperlink" Target="https://chat-conecta.recife.pe.gov.br/live/8B2PrjtWrPwjkBNY6/room-info" TargetMode="External"/><Relationship Id="rId642" Type="http://schemas.openxmlformats.org/officeDocument/2006/relationships/hyperlink" Target="https://chat-conecta.recife.pe.gov.br/live/mz2J63d89Lipj3qXa/room-info" TargetMode="External"/><Relationship Id="rId641" Type="http://schemas.openxmlformats.org/officeDocument/2006/relationships/hyperlink" Target="https://chat-conecta.recife.pe.gov.br/live/tSzt6sFXq9YpyG8qg/room-info" TargetMode="External"/><Relationship Id="rId640" Type="http://schemas.openxmlformats.org/officeDocument/2006/relationships/hyperlink" Target="https://chat-conecta.recife.pe.gov.br/live/ibBBp4jyzHaR7ubFF/room-info" TargetMode="External"/><Relationship Id="rId64" Type="http://schemas.openxmlformats.org/officeDocument/2006/relationships/hyperlink" Target="https://chat-conecta.recife.pe.gov.br/live/RzkAv4S3AagZmhc55/room-info" TargetMode="External"/><Relationship Id="rId639" Type="http://schemas.openxmlformats.org/officeDocument/2006/relationships/hyperlink" Target="https://chat-conecta.recife.pe.gov.br/live/8KzSrRQ8AcLBdKhDP/room-info" TargetMode="External"/><Relationship Id="rId638" Type="http://schemas.openxmlformats.org/officeDocument/2006/relationships/hyperlink" Target="https://chat-conecta.recife.pe.gov.br/live/XXCeBddGZWt5RzRNr" TargetMode="External"/><Relationship Id="rId637" Type="http://schemas.openxmlformats.org/officeDocument/2006/relationships/hyperlink" Target="https://chat-conecta.recife.pe.gov.br/live/rSDBv2dPs3degD3dd/room-info" TargetMode="External"/><Relationship Id="rId636" Type="http://schemas.openxmlformats.org/officeDocument/2006/relationships/hyperlink" Target="https://chat-conecta.recife.pe.gov.br/live/Ee7v3bukYf8B57bAq/room-info" TargetMode="External"/><Relationship Id="rId635" Type="http://schemas.openxmlformats.org/officeDocument/2006/relationships/hyperlink" Target="https://chat-conecta.recife.pe.gov.br/live/yLt4jFqFBse2943Yb/room-info" TargetMode="External"/><Relationship Id="rId634" Type="http://schemas.openxmlformats.org/officeDocument/2006/relationships/hyperlink" Target="https://chat-conecta.recife.pe.gov.br/live/fRDw8EjLSB92HuYyo/room-info" TargetMode="External"/><Relationship Id="rId633" Type="http://schemas.openxmlformats.org/officeDocument/2006/relationships/hyperlink" Target="https://chat-conecta.recife.pe.gov.br/live/swyw2a96qRenApvdF" TargetMode="External"/><Relationship Id="rId632" Type="http://schemas.openxmlformats.org/officeDocument/2006/relationships/hyperlink" Target="https://chat-conecta.recife.pe.gov.br/live/t2YG2MFbNQB2cvFSz" TargetMode="External"/><Relationship Id="rId631" Type="http://schemas.openxmlformats.org/officeDocument/2006/relationships/hyperlink" Target="https://chat-conecta.recife.pe.gov.br/live/NeXPCk8gyya3CDPLQ/room-info" TargetMode="External"/><Relationship Id="rId630" Type="http://schemas.openxmlformats.org/officeDocument/2006/relationships/hyperlink" Target="https://chat-conecta.recife.pe.gov.br/live/giJRcFN326u3E7vPw" TargetMode="External"/><Relationship Id="rId63" Type="http://schemas.openxmlformats.org/officeDocument/2006/relationships/hyperlink" Target="https://chat-conecta.recife.pe.gov.br/live/uQARBG4WKpjsLCPtj/room-info" TargetMode="External"/><Relationship Id="rId629" Type="http://schemas.openxmlformats.org/officeDocument/2006/relationships/hyperlink" Target="https://chat-conecta.recife.pe.gov.br/live/HYWiPTDdLQCQrPdos/room-info" TargetMode="External"/><Relationship Id="rId628" Type="http://schemas.openxmlformats.org/officeDocument/2006/relationships/hyperlink" Target="https://chat-conecta.recife.pe.gov.br/live/oeJnh6QaJzaACwc6z/room-info" TargetMode="External"/><Relationship Id="rId627" Type="http://schemas.openxmlformats.org/officeDocument/2006/relationships/hyperlink" Target="https://chat-conecta.recife.pe.gov.br/live/n6Qx3nLfWi2AoYJJu" TargetMode="External"/><Relationship Id="rId626" Type="http://schemas.openxmlformats.org/officeDocument/2006/relationships/hyperlink" Target="https://chat-conecta.recife.pe.gov.br/live/7AD3X48iLGrgdrHf3/room-info" TargetMode="External"/><Relationship Id="rId625" Type="http://schemas.openxmlformats.org/officeDocument/2006/relationships/hyperlink" Target="https://chat-conecta.recife.pe.gov.br/live/uzFZx8uLgRQzEA2QM/user-info" TargetMode="External"/><Relationship Id="rId624" Type="http://schemas.openxmlformats.org/officeDocument/2006/relationships/hyperlink" Target="https://chat-conecta.recife.pe.gov.br/live/BrJs7PDyeGu24EuuK/room-info" TargetMode="External"/><Relationship Id="rId623" Type="http://schemas.openxmlformats.org/officeDocument/2006/relationships/hyperlink" Target="https://chat-conecta.recife.pe.gov.br/live/XnD2jEwFm6ymQsGPo/room-info" TargetMode="External"/><Relationship Id="rId622" Type="http://schemas.openxmlformats.org/officeDocument/2006/relationships/hyperlink" Target="https://chat-conecta.recife.pe.gov.br/live/KAWj9T4wLgtnCciR5/room-info" TargetMode="External"/><Relationship Id="rId621" Type="http://schemas.openxmlformats.org/officeDocument/2006/relationships/hyperlink" Target="https://chat-conecta.recife.pe.gov.br/live/kCp3QAe3KZwoP7AEn/room-info" TargetMode="External"/><Relationship Id="rId620" Type="http://schemas.openxmlformats.org/officeDocument/2006/relationships/hyperlink" Target="https://chat-conecta.recife.pe.gov.br/live/SHkQ8x3j2vicWr29e/room-info" TargetMode="External"/><Relationship Id="rId62" Type="http://schemas.openxmlformats.org/officeDocument/2006/relationships/hyperlink" Target="https://chat-conecta.recife.pe.gov.br/live/6Y9yhsjMFLKRtvmd3/room-info" TargetMode="External"/><Relationship Id="rId619" Type="http://schemas.openxmlformats.org/officeDocument/2006/relationships/hyperlink" Target="https://chat-conecta.recife.pe.gov.br/live/pCtaS6gFSBwWz23mN/room-info" TargetMode="External"/><Relationship Id="rId618" Type="http://schemas.openxmlformats.org/officeDocument/2006/relationships/hyperlink" Target="https://chat-conecta.recife.pe.gov.br/live/t55e2dYNtRvisDep2/room-info" TargetMode="External"/><Relationship Id="rId617" Type="http://schemas.openxmlformats.org/officeDocument/2006/relationships/hyperlink" Target="https://chat-conecta.recife.pe.gov.br/live/kn87gZxy22HSBXerb/room-info" TargetMode="External"/><Relationship Id="rId616" Type="http://schemas.openxmlformats.org/officeDocument/2006/relationships/hyperlink" Target="https://chat-conecta.recife.pe.gov.br/live/tvTDmobXyKjnGFwd5" TargetMode="External"/><Relationship Id="rId615" Type="http://schemas.openxmlformats.org/officeDocument/2006/relationships/hyperlink" Target="https://chat-conecta.recife.pe.gov.br/live/MTGFFfBuwQMXCJPaE" TargetMode="External"/><Relationship Id="rId614" Type="http://schemas.openxmlformats.org/officeDocument/2006/relationships/hyperlink" Target="https://chat-conecta.recife.pe.gov.br/live/tabbYdq5mRworNRwc/room-info" TargetMode="External"/><Relationship Id="rId613" Type="http://schemas.openxmlformats.org/officeDocument/2006/relationships/hyperlink" Target="https://chat-conecta.recife.pe.gov.br/live/8Kg9NMNCZwCuEJrHp/room-info" TargetMode="External"/><Relationship Id="rId612" Type="http://schemas.openxmlformats.org/officeDocument/2006/relationships/hyperlink" Target="https://chat-conecta.recife.pe.gov.br/live/FiabFLqGQGgJpzMoP/room-info" TargetMode="External"/><Relationship Id="rId611" Type="http://schemas.openxmlformats.org/officeDocument/2006/relationships/hyperlink" Target="https://chat-conecta.recife.pe.gov.br/omnichannel-directory/chats/view/f45aSh8RtYx7FxwXw" TargetMode="External"/><Relationship Id="rId610" Type="http://schemas.openxmlformats.org/officeDocument/2006/relationships/hyperlink" Target="https://chat-conecta.recife.pe.gov.br/live/rqL2CjiNKqy5atbb7/room-info" TargetMode="External"/><Relationship Id="rId61" Type="http://schemas.openxmlformats.org/officeDocument/2006/relationships/hyperlink" Target="https://chat-conecta.recife.pe.gov.br/live/K469273HaLhEw38kn/room-info" TargetMode="External"/><Relationship Id="rId609" Type="http://schemas.openxmlformats.org/officeDocument/2006/relationships/hyperlink" Target="https://chat-conecta.recife.pe.gov.br/live/Kc94bSbhimgzpAv26/room-info" TargetMode="External"/><Relationship Id="rId608" Type="http://schemas.openxmlformats.org/officeDocument/2006/relationships/hyperlink" Target="https://chat-conecta.recife.pe.gov.br/live/ae7etZMMJ6XtuTYcP/room-info" TargetMode="External"/><Relationship Id="rId607" Type="http://schemas.openxmlformats.org/officeDocument/2006/relationships/hyperlink" Target="https://chat-conecta.recife.pe.gov.br/live/9GxprWMrsBbcmjRhC/room-info" TargetMode="External"/><Relationship Id="rId606" Type="http://schemas.openxmlformats.org/officeDocument/2006/relationships/hyperlink" Target="https://chat-conecta.recife.pe.gov.br/live/kmzYZ5rgxrY6Jh9PM/room-info" TargetMode="External"/><Relationship Id="rId605" Type="http://schemas.openxmlformats.org/officeDocument/2006/relationships/hyperlink" Target="https://chat-conecta.recife.pe.gov.br/live/5xWywJsCNmwCBu5iZ/room-info" TargetMode="External"/><Relationship Id="rId604" Type="http://schemas.openxmlformats.org/officeDocument/2006/relationships/hyperlink" Target="https://chat-conecta.recife.pe.gov.br/live/R5njmNWXy5JEp8tJN/room-info" TargetMode="External"/><Relationship Id="rId603" Type="http://schemas.openxmlformats.org/officeDocument/2006/relationships/hyperlink" Target="https://chat-conecta.recife.pe.gov.br/live/ivKXXLiLA8f345FRG/room-info" TargetMode="External"/><Relationship Id="rId602" Type="http://schemas.openxmlformats.org/officeDocument/2006/relationships/hyperlink" Target="https://chat-conecta.recife.pe.gov.br/live/oPokpp2t2oPM87kdr/room-info" TargetMode="External"/><Relationship Id="rId601" Type="http://schemas.openxmlformats.org/officeDocument/2006/relationships/hyperlink" Target="https://chat-conecta.recife.pe.gov.br/live/YDoPoFdKGedhJXJPi/room-info" TargetMode="External"/><Relationship Id="rId600" Type="http://schemas.openxmlformats.org/officeDocument/2006/relationships/hyperlink" Target="https://chat-conecta.recife.pe.gov.br/live/g2GtzL7BTZ5ewz4Ak/room-info" TargetMode="External"/><Relationship Id="rId60" Type="http://schemas.openxmlformats.org/officeDocument/2006/relationships/hyperlink" Target="https://chat-conecta.recife.pe.gov.br/live/Rmjrk2AkuCJMvSKcL/room-info" TargetMode="External"/><Relationship Id="rId6" Type="http://schemas.openxmlformats.org/officeDocument/2006/relationships/hyperlink" Target="https://chat.brainyresolution.com/live/pGyM8mcQKSBW73fZF/room-info" TargetMode="External"/><Relationship Id="rId599" Type="http://schemas.openxmlformats.org/officeDocument/2006/relationships/hyperlink" Target="https://chat-conecta.recife.pe.gov.br/live/8RLTWWwTCrXMzu2g9/room-info" TargetMode="External"/><Relationship Id="rId598" Type="http://schemas.openxmlformats.org/officeDocument/2006/relationships/hyperlink" Target="https://chat-conecta.recife.pe.gov.br/live/XkExGeWhazoJmkfyQ/room-info" TargetMode="External"/><Relationship Id="rId597" Type="http://schemas.openxmlformats.org/officeDocument/2006/relationships/hyperlink" Target="https://chat-conecta.recife.pe.gov.br/live/w8xyAqzE7J27F622z/room-info" TargetMode="External"/><Relationship Id="rId596" Type="http://schemas.openxmlformats.org/officeDocument/2006/relationships/hyperlink" Target="https://chat-conecta.recife.pe.gov.br/live/MuXYqhPWBk3Cz8Nht/room-info" TargetMode="External"/><Relationship Id="rId595" Type="http://schemas.openxmlformats.org/officeDocument/2006/relationships/hyperlink" Target="https://chat-conecta.recife.pe.gov.br/live/9auyC4igp6ranYjno/room-info" TargetMode="External"/><Relationship Id="rId594" Type="http://schemas.openxmlformats.org/officeDocument/2006/relationships/hyperlink" Target="https://chat-conecta.recife.pe.gov.br/live/TccGa53ngxDjxdseL/room-info" TargetMode="External"/><Relationship Id="rId593" Type="http://schemas.openxmlformats.org/officeDocument/2006/relationships/hyperlink" Target="https://chat-conecta.recife.pe.gov.br/live/qwmYTe3TGv3dEb9Sr/room-info" TargetMode="External"/><Relationship Id="rId592" Type="http://schemas.openxmlformats.org/officeDocument/2006/relationships/hyperlink" Target="https://chat-conecta.recife.pe.gov.br/live/um38ockuuAZi6voMn/room-info" TargetMode="External"/><Relationship Id="rId591" Type="http://schemas.openxmlformats.org/officeDocument/2006/relationships/hyperlink" Target="https://chat-conecta.recife.pe.gov.br/live/sShkNnmWj9upYD8Ag/room-info" TargetMode="External"/><Relationship Id="rId590" Type="http://schemas.openxmlformats.org/officeDocument/2006/relationships/hyperlink" Target="https://chat-conecta.recife.pe.gov.br/live/RHLcARLisnxThbjzX/room-info" TargetMode="External"/><Relationship Id="rId59" Type="http://schemas.openxmlformats.org/officeDocument/2006/relationships/hyperlink" Target="https://chat-conecta.recife.pe.gov.br/live/FYE4QGnNXcC5bDhkE/user-info" TargetMode="External"/><Relationship Id="rId589" Type="http://schemas.openxmlformats.org/officeDocument/2006/relationships/hyperlink" Target="https://chat-conecta.recife.pe.gov.br/live/j4im6HCvysDEtbkmD/user-info" TargetMode="External"/><Relationship Id="rId588" Type="http://schemas.openxmlformats.org/officeDocument/2006/relationships/hyperlink" Target="https://chat-conecta.recife.pe.gov.br/live/L5qQxrMT5gMLLr5Em/room-info" TargetMode="External"/><Relationship Id="rId587" Type="http://schemas.openxmlformats.org/officeDocument/2006/relationships/hyperlink" Target="https://chat-conecta.recife.pe.gov.br/live/DkoX5oNghftnHCCoy/room-info" TargetMode="External"/><Relationship Id="rId586" Type="http://schemas.openxmlformats.org/officeDocument/2006/relationships/hyperlink" Target="https://chat-conecta.recife.pe.gov.br/live/qw6NNFhuDrC43bSoG/room-info" TargetMode="External"/><Relationship Id="rId585" Type="http://schemas.openxmlformats.org/officeDocument/2006/relationships/hyperlink" Target="https://chat-conecta.recife.pe.gov.br/live/s9iwo5z9PmJG9m8aP/room-info" TargetMode="External"/><Relationship Id="rId584" Type="http://schemas.openxmlformats.org/officeDocument/2006/relationships/hyperlink" Target="https://chat-conecta.recife.pe.gov.br/live/EmcweuCJAQ4rFqY8e/room-info" TargetMode="External"/><Relationship Id="rId583" Type="http://schemas.openxmlformats.org/officeDocument/2006/relationships/hyperlink" Target="https://chat-conecta.recife.pe.gov.br/live/47vp8duREctHPmpjX/room-info" TargetMode="External"/><Relationship Id="rId582" Type="http://schemas.openxmlformats.org/officeDocument/2006/relationships/hyperlink" Target="https://chat-conecta.recife.pe.gov.br/live/RYPhh6wbqPBipdj6c/room-info" TargetMode="External"/><Relationship Id="rId581" Type="http://schemas.openxmlformats.org/officeDocument/2006/relationships/hyperlink" Target="https://chat-conecta.recife.pe.gov.br/live/ZKq4sxBmbNDQpLTLm/room-info" TargetMode="External"/><Relationship Id="rId580" Type="http://schemas.openxmlformats.org/officeDocument/2006/relationships/hyperlink" Target="https://chat-conecta.recife.pe.gov.br/live/33LpDuogFzN43rMpz/room-info" TargetMode="External"/><Relationship Id="rId58" Type="http://schemas.openxmlformats.org/officeDocument/2006/relationships/hyperlink" Target="https://chat-conecta.recife.pe.gov.br/live/2HEJC79NMYLKxu7Ek/room-info" TargetMode="External"/><Relationship Id="rId579" Type="http://schemas.openxmlformats.org/officeDocument/2006/relationships/hyperlink" Target="https://chat-conecta.recife.pe.gov.br/live/n664y5ALTwyu6Nhwr/room-info" TargetMode="External"/><Relationship Id="rId578" Type="http://schemas.openxmlformats.org/officeDocument/2006/relationships/hyperlink" Target="https://chat-conecta.recife.pe.gov.br/live/4sd6H8pHeoqkgAWuh/room-info" TargetMode="External"/><Relationship Id="rId577" Type="http://schemas.openxmlformats.org/officeDocument/2006/relationships/hyperlink" Target="https://chat-conecta.recife.pe.gov.br/live/R3oT6Jx8n963MHGxK/room-info" TargetMode="External"/><Relationship Id="rId576" Type="http://schemas.openxmlformats.org/officeDocument/2006/relationships/hyperlink" Target="https://chat-conecta.recife.pe.gov.br/live/NXdKHLtiNKoZAPJPJ/room-info" TargetMode="External"/><Relationship Id="rId575" Type="http://schemas.openxmlformats.org/officeDocument/2006/relationships/hyperlink" Target="https://chat-conecta.recife.pe.gov.br/live/dmMnvr4fpjgWhEyam/room-info" TargetMode="External"/><Relationship Id="rId574" Type="http://schemas.openxmlformats.org/officeDocument/2006/relationships/hyperlink" Target="https://chat-conecta.recife.pe.gov.br/live/5GiPPm9FJNe4Mj2vC/room-info" TargetMode="External"/><Relationship Id="rId573" Type="http://schemas.openxmlformats.org/officeDocument/2006/relationships/hyperlink" Target="https://chat-conecta.recife.pe.gov.br/live/3fiYY7e27iErCauRg/room-info" TargetMode="External"/><Relationship Id="rId572" Type="http://schemas.openxmlformats.org/officeDocument/2006/relationships/hyperlink" Target="https://chat-conecta.recife.pe.gov.br/live/u7rHGkjqruaL6vL6c/room-info" TargetMode="External"/><Relationship Id="rId571" Type="http://schemas.openxmlformats.org/officeDocument/2006/relationships/hyperlink" Target="https://chat-conecta.recife.pe.gov.br/live/pZYN2yts7NSu2Scij/room-info" TargetMode="External"/><Relationship Id="rId570" Type="http://schemas.openxmlformats.org/officeDocument/2006/relationships/hyperlink" Target="https://chat-conecta.recife.pe.gov.br/live/r7Bo6ojiFBxw8b57v/room-info" TargetMode="External"/><Relationship Id="rId57" Type="http://schemas.openxmlformats.org/officeDocument/2006/relationships/hyperlink" Target="https://chat-conecta.recife.pe.gov.br/live/fM58Gb9gePKqBpFTe/room-info" TargetMode="External"/><Relationship Id="rId569" Type="http://schemas.openxmlformats.org/officeDocument/2006/relationships/hyperlink" Target="https://chat-conecta.recife.pe.gov.br/live/a5kn7XctY5rcXsnFL/room-info" TargetMode="External"/><Relationship Id="rId568" Type="http://schemas.openxmlformats.org/officeDocument/2006/relationships/hyperlink" Target="https://chat-conecta.recife.pe.gov.br/live/YT3hEqkDK5gQsd8zH/room-info" TargetMode="External"/><Relationship Id="rId567" Type="http://schemas.openxmlformats.org/officeDocument/2006/relationships/hyperlink" Target="https://chat-conecta.recife.pe.gov.br/live/mGgiXxJAyqQtgm4uK" TargetMode="External"/><Relationship Id="rId566" Type="http://schemas.openxmlformats.org/officeDocument/2006/relationships/hyperlink" Target="https://chat-conecta.recife.pe.gov.br/live/nY2cCdcvZHHDQfAoK/room-info" TargetMode="External"/><Relationship Id="rId565" Type="http://schemas.openxmlformats.org/officeDocument/2006/relationships/hyperlink" Target="https://chat-conecta.recife.pe.gov.br/live/7QvWm2eqmcjN6LT5G/room-info" TargetMode="External"/><Relationship Id="rId564" Type="http://schemas.openxmlformats.org/officeDocument/2006/relationships/hyperlink" Target="https://chat-conecta.recife.pe.gov.br/live/RnR6oY48T2FPnx8ve/room-info" TargetMode="External"/><Relationship Id="rId563" Type="http://schemas.openxmlformats.org/officeDocument/2006/relationships/hyperlink" Target="https://chat-conecta.recife.pe.gov.br/live/27Sf8vQs53HAEuWp8/room-info" TargetMode="External"/><Relationship Id="rId562" Type="http://schemas.openxmlformats.org/officeDocument/2006/relationships/hyperlink" Target="https://chat-conecta.recife.pe.gov.br/live/b56g6Ni9aqg8ptpBX/room-info" TargetMode="External"/><Relationship Id="rId561" Type="http://schemas.openxmlformats.org/officeDocument/2006/relationships/hyperlink" Target="https://chat-conecta.recife.pe.gov.br/live/hQAYTuFRFEHM9CsRS/room-info" TargetMode="External"/><Relationship Id="rId560" Type="http://schemas.openxmlformats.org/officeDocument/2006/relationships/hyperlink" Target="https://chat-conecta.recife.pe.gov.br/live/yCtAo5Q2ERdm4SXfP/room-info" TargetMode="External"/><Relationship Id="rId56" Type="http://schemas.openxmlformats.org/officeDocument/2006/relationships/hyperlink" Target="https://chat-conecta.recife.pe.gov.br/live/cbr8pkXx2Dtkmy9Yi/room-info" TargetMode="External"/><Relationship Id="rId559" Type="http://schemas.openxmlformats.org/officeDocument/2006/relationships/hyperlink" Target="https://chat-conecta.recife.pe.gov.br/live/RPoY5Yak4N4H4aGJc/room-info" TargetMode="External"/><Relationship Id="rId558" Type="http://schemas.openxmlformats.org/officeDocument/2006/relationships/hyperlink" Target="https://chat-conecta.recife.pe.gov.br/live/boGyHP3rzhtiBYvJK/room-info" TargetMode="External"/><Relationship Id="rId557" Type="http://schemas.openxmlformats.org/officeDocument/2006/relationships/hyperlink" Target="https://chat-conecta.recife.pe.gov.br/live/sb2Aod6XDBvqw97HG/room-info" TargetMode="External"/><Relationship Id="rId556" Type="http://schemas.openxmlformats.org/officeDocument/2006/relationships/hyperlink" Target="https://chat-conecta.recife.pe.gov.br/live/ivvHy77REr7QbhYz2/room-info" TargetMode="External"/><Relationship Id="rId555" Type="http://schemas.openxmlformats.org/officeDocument/2006/relationships/hyperlink" Target="https://chat-conecta.recife.pe.gov.br/live/4qu23WubKSeMtuG2j/room-info" TargetMode="External"/><Relationship Id="rId554" Type="http://schemas.openxmlformats.org/officeDocument/2006/relationships/hyperlink" Target="https://chat-conecta.recife.pe.gov.br/live/ZGZ23mpMPqRGPet45/room-info" TargetMode="External"/><Relationship Id="rId553" Type="http://schemas.openxmlformats.org/officeDocument/2006/relationships/hyperlink" Target="https://chat-conecta.recife.pe.gov.br/live/Sy46W4jsemsCMYgtx" TargetMode="External"/><Relationship Id="rId552" Type="http://schemas.openxmlformats.org/officeDocument/2006/relationships/hyperlink" Target="https://chat-conecta.recife.pe.gov.br/live/zKcXBBaB4KEL8dZMd/room-info" TargetMode="External"/><Relationship Id="rId551" Type="http://schemas.openxmlformats.org/officeDocument/2006/relationships/hyperlink" Target="https://chat-conecta.recife.pe.gov.br/live/HYMCFXZ66kKM75MTT/room-info" TargetMode="External"/><Relationship Id="rId550" Type="http://schemas.openxmlformats.org/officeDocument/2006/relationships/hyperlink" Target="https://chat-conecta.recife.pe.gov.br/live/xzC3wsn8mQiHhPui3/room-info" TargetMode="External"/><Relationship Id="rId55" Type="http://schemas.openxmlformats.org/officeDocument/2006/relationships/hyperlink" Target="https://chat-conecta.recife.pe.gov.br/live/CYyr6DoSdaxyAkuGQ" TargetMode="External"/><Relationship Id="rId549" Type="http://schemas.openxmlformats.org/officeDocument/2006/relationships/hyperlink" Target="https://chat-conecta.recife.pe.gov.br/live/izn65RhSFNixyPwJe/room-info" TargetMode="External"/><Relationship Id="rId548" Type="http://schemas.openxmlformats.org/officeDocument/2006/relationships/hyperlink" Target="https://chat-conecta.recife.pe.gov.br/live/Ch6BAmai3hjte9rPp/room-info" TargetMode="External"/><Relationship Id="rId547" Type="http://schemas.openxmlformats.org/officeDocument/2006/relationships/hyperlink" Target="https://chat-conecta.recife.pe.gov.br/live/px9DHTxRrRPFJmp7S" TargetMode="External"/><Relationship Id="rId546" Type="http://schemas.openxmlformats.org/officeDocument/2006/relationships/hyperlink" Target="https://chat-conecta.recife.pe.gov.br/live/SYQSsPFz88DojgDkr/room-info" TargetMode="External"/><Relationship Id="rId545" Type="http://schemas.openxmlformats.org/officeDocument/2006/relationships/hyperlink" Target="https://chat-conecta.recife.pe.gov.br/live/Ktgh9Ahpf9bHEwdZA/room-info" TargetMode="External"/><Relationship Id="rId544" Type="http://schemas.openxmlformats.org/officeDocument/2006/relationships/hyperlink" Target="https://chat-conecta.recife.pe.gov.br/live/no79roPrnj9v3wBhR/room-info" TargetMode="External"/><Relationship Id="rId543" Type="http://schemas.openxmlformats.org/officeDocument/2006/relationships/hyperlink" Target="https://chat-conecta.recife.pe.gov.br/live/Tksic7WBPXE4ccitG/room-info" TargetMode="External"/><Relationship Id="rId542" Type="http://schemas.openxmlformats.org/officeDocument/2006/relationships/hyperlink" Target="https://chat-conecta.recife.pe.gov.br/live/RHdf6zARviW3RTZs7/room-info" TargetMode="External"/><Relationship Id="rId541" Type="http://schemas.openxmlformats.org/officeDocument/2006/relationships/hyperlink" Target="https://chat-conecta.recife.pe.gov.br/live/gFfnbRgNNBehpn8Ay" TargetMode="External"/><Relationship Id="rId540" Type="http://schemas.openxmlformats.org/officeDocument/2006/relationships/hyperlink" Target="https://chat-conecta.recife.pe.gov.br/live/SahDMccdbbaFYPnkP/room-info" TargetMode="External"/><Relationship Id="rId54" Type="http://schemas.openxmlformats.org/officeDocument/2006/relationships/hyperlink" Target="https://chat-conecta.recife.pe.gov.br/live/YYa8m9eJMEnPykQPQ" TargetMode="External"/><Relationship Id="rId539" Type="http://schemas.openxmlformats.org/officeDocument/2006/relationships/hyperlink" Target="https://chat-conecta.recife.pe.gov.br/live/LeeXwH9YX3deY95xp/room-info" TargetMode="External"/><Relationship Id="rId538" Type="http://schemas.openxmlformats.org/officeDocument/2006/relationships/hyperlink" Target="https://chat-conecta.recife.pe.gov.br/live/qTcDD52C6QLeAQzhA/room-info" TargetMode="External"/><Relationship Id="rId537" Type="http://schemas.openxmlformats.org/officeDocument/2006/relationships/hyperlink" Target="https://chat-conecta.recife.pe.gov.br/live/MEuEGrbqSJMucc2Yn/room-info" TargetMode="External"/><Relationship Id="rId536" Type="http://schemas.openxmlformats.org/officeDocument/2006/relationships/hyperlink" Target="https://chat-conecta.recife.pe.gov.br/live/LxQAuokgsakXvFpK4/room-info" TargetMode="External"/><Relationship Id="rId535" Type="http://schemas.openxmlformats.org/officeDocument/2006/relationships/hyperlink" Target="https://chat-conecta.recife.pe.gov.br/live/kY94sHgQTvKR43f2L/room-info" TargetMode="External"/><Relationship Id="rId534" Type="http://schemas.openxmlformats.org/officeDocument/2006/relationships/hyperlink" Target="https://chat-conecta.recife.pe.gov.br/live/eHE3qgzyEBP6W9KMn/room-info" TargetMode="External"/><Relationship Id="rId533" Type="http://schemas.openxmlformats.org/officeDocument/2006/relationships/hyperlink" Target="https://chat-conecta.recife.pe.gov.br/live/Hp6osTZGvQfPfktnz/room-info" TargetMode="External"/><Relationship Id="rId532" Type="http://schemas.openxmlformats.org/officeDocument/2006/relationships/hyperlink" Target="https://chat-conecta.recife.pe.gov.br/live/M53zhLAGY86yfkGHg/room-info" TargetMode="External"/><Relationship Id="rId531" Type="http://schemas.openxmlformats.org/officeDocument/2006/relationships/hyperlink" Target="https://chat-conecta.recife.pe.gov.br/live/2X4Gp9qwRgrD9X3mj/room-info" TargetMode="External"/><Relationship Id="rId530" Type="http://schemas.openxmlformats.org/officeDocument/2006/relationships/hyperlink" Target="https://chat-conecta.recife.pe.gov.br/live/rgyPqDhW2Yz6p2ciG/room-info" TargetMode="External"/><Relationship Id="rId53" Type="http://schemas.openxmlformats.org/officeDocument/2006/relationships/hyperlink" Target="https://chat-conecta.recife.pe.gov.br/live/56RQu5vgXDC9t7k4e" TargetMode="External"/><Relationship Id="rId529" Type="http://schemas.openxmlformats.org/officeDocument/2006/relationships/hyperlink" Target="https://chat-conecta.recife.pe.gov.br/live/M9Md82rWSA9KqW5Fb/room-info" TargetMode="External"/><Relationship Id="rId528" Type="http://schemas.openxmlformats.org/officeDocument/2006/relationships/hyperlink" Target="https://chat-conecta.recife.pe.gov.br/live/cAgtxjKPvFvLHHLSe/room-info" TargetMode="External"/><Relationship Id="rId527" Type="http://schemas.openxmlformats.org/officeDocument/2006/relationships/hyperlink" Target="https://chat-conecta.recife.pe.gov.br/live/FhbzBddLf6nyYiBoE/room-info" TargetMode="External"/><Relationship Id="rId526" Type="http://schemas.openxmlformats.org/officeDocument/2006/relationships/hyperlink" Target="https://chat-conecta.recife.pe.gov.br/live/dHQF27r4Sw3ogbpP4/room-info" TargetMode="External"/><Relationship Id="rId525" Type="http://schemas.openxmlformats.org/officeDocument/2006/relationships/hyperlink" Target="https://chat-conecta.recife.pe.gov.br/live/XYBYaNsDvPth5EqjF/room-info" TargetMode="External"/><Relationship Id="rId524" Type="http://schemas.openxmlformats.org/officeDocument/2006/relationships/hyperlink" Target="https://chat-conecta.recife.pe.gov.br/live/EPj8HbiJ9uJw6YBcA/room-info" TargetMode="External"/><Relationship Id="rId523" Type="http://schemas.openxmlformats.org/officeDocument/2006/relationships/hyperlink" Target="https://chat-conecta.recife.pe.gov.br/live/acJZXy49QgpnjzGT3/room-info" TargetMode="External"/><Relationship Id="rId522" Type="http://schemas.openxmlformats.org/officeDocument/2006/relationships/hyperlink" Target="https://chat-conecta.recife.pe.gov.br/live/GbH3Fb9NXRLjCAwhr/room-info" TargetMode="External"/><Relationship Id="rId521" Type="http://schemas.openxmlformats.org/officeDocument/2006/relationships/hyperlink" Target="https://chat-conecta.recife.pe.gov.br/live/9baPpXT57ghzHRYCs/room-info" TargetMode="External"/><Relationship Id="rId520" Type="http://schemas.openxmlformats.org/officeDocument/2006/relationships/hyperlink" Target="https://chat-conecta.recife.pe.gov.br/live/cP9g8mR9txTsy2Smc/room-info" TargetMode="External"/><Relationship Id="rId52" Type="http://schemas.openxmlformats.org/officeDocument/2006/relationships/hyperlink" Target="https://chat-conecta.recife.pe.gov.br/live/zwskXk63SDB7bimFY/room-info" TargetMode="External"/><Relationship Id="rId519" Type="http://schemas.openxmlformats.org/officeDocument/2006/relationships/hyperlink" Target="https://chat-conecta.recife.pe.gov.br/live/iZ8aageutK2WfEJYz/room-info" TargetMode="External"/><Relationship Id="rId518" Type="http://schemas.openxmlformats.org/officeDocument/2006/relationships/hyperlink" Target="https://chat-conecta.recife.pe.gov.br/live/NyHR9xDs4AWpGP9Jj/room-info" TargetMode="External"/><Relationship Id="rId517" Type="http://schemas.openxmlformats.org/officeDocument/2006/relationships/hyperlink" Target="https://chat-conecta.recife.pe.gov.br/live/SzwnJ4x7AMDQZyut5/room-info" TargetMode="External"/><Relationship Id="rId516" Type="http://schemas.openxmlformats.org/officeDocument/2006/relationships/hyperlink" Target="https://chat-conecta.recife.pe.gov.br/live/W2C327mScjYGr4Gtu/room-info" TargetMode="External"/><Relationship Id="rId515" Type="http://schemas.openxmlformats.org/officeDocument/2006/relationships/hyperlink" Target="https://chat-conecta.recife.pe.gov.br/live/tWykJ68TPB2SxvK6H/room-info" TargetMode="External"/><Relationship Id="rId514" Type="http://schemas.openxmlformats.org/officeDocument/2006/relationships/hyperlink" Target="https://chat-conecta.recife.pe.gov.br/live/buu9gwCMsNMnWPwQS/room-info" TargetMode="External"/><Relationship Id="rId513" Type="http://schemas.openxmlformats.org/officeDocument/2006/relationships/hyperlink" Target="https://chat-conecta.recife.pe.gov.br/live/YhoAhiKBpwT3jgPZa/room-info" TargetMode="External"/><Relationship Id="rId512" Type="http://schemas.openxmlformats.org/officeDocument/2006/relationships/hyperlink" Target="https://chat-conecta.recife.pe.gov.br/live/Bone4wH9EHdxiHMXJ/room-info" TargetMode="External"/><Relationship Id="rId511" Type="http://schemas.openxmlformats.org/officeDocument/2006/relationships/hyperlink" Target="https://chat-conecta.recife.pe.gov.br/live/p2eMqiMubzTaZHhBL/room-info" TargetMode="External"/><Relationship Id="rId510" Type="http://schemas.openxmlformats.org/officeDocument/2006/relationships/hyperlink" Target="https://chat-conecta.recife.pe.gov.br/live/AsgLoYWotwTzNFfJy/room-info" TargetMode="External"/><Relationship Id="rId51" Type="http://schemas.openxmlformats.org/officeDocument/2006/relationships/hyperlink" Target="https://chat-conecta.recife.pe.gov.br/live/pr8K6JuELaXSH5aAY" TargetMode="External"/><Relationship Id="rId509" Type="http://schemas.openxmlformats.org/officeDocument/2006/relationships/hyperlink" Target="https://chat-conecta.recife.pe.gov.br/live/5czgdxuwiqaJKdxx7/room-info" TargetMode="External"/><Relationship Id="rId508" Type="http://schemas.openxmlformats.org/officeDocument/2006/relationships/hyperlink" Target="https://chat-conecta.recife.pe.gov.br/live/4mLX8mSaqsay8pYt5/room-info" TargetMode="External"/><Relationship Id="rId507" Type="http://schemas.openxmlformats.org/officeDocument/2006/relationships/hyperlink" Target="https://chat-conecta.recife.pe.gov.br/live/SkRxmBDAhsNrp2P6w/room-info" TargetMode="External"/><Relationship Id="rId506" Type="http://schemas.openxmlformats.org/officeDocument/2006/relationships/hyperlink" Target="https://chat-conecta.recife.pe.gov.br/live/ymsJD5LA3QmKk2MJP/room-info" TargetMode="External"/><Relationship Id="rId505" Type="http://schemas.openxmlformats.org/officeDocument/2006/relationships/hyperlink" Target="https://chat-conecta.recife.pe.gov.br/live/iTxSZZnqygL3HwKit/room-info" TargetMode="External"/><Relationship Id="rId504" Type="http://schemas.openxmlformats.org/officeDocument/2006/relationships/hyperlink" Target="https://chat-conecta.recife.pe.gov.br/live/a33LkcsdgNDH5E3C9/room-info" TargetMode="External"/><Relationship Id="rId503" Type="http://schemas.openxmlformats.org/officeDocument/2006/relationships/hyperlink" Target="https://chat-conecta.recife.pe.gov.br/live/29LXGucKd72XxfiBt/room-info" TargetMode="External"/><Relationship Id="rId502" Type="http://schemas.openxmlformats.org/officeDocument/2006/relationships/hyperlink" Target="https://chat-conecta.recife.pe.gov.br/live/erEbmKvMHiuJRuinA/room-info" TargetMode="External"/><Relationship Id="rId501" Type="http://schemas.openxmlformats.org/officeDocument/2006/relationships/hyperlink" Target="https://chat-conecta.recife.pe.gov.br/live/mnm2CSQjZkAaKgowq/room-info" TargetMode="External"/><Relationship Id="rId500" Type="http://schemas.openxmlformats.org/officeDocument/2006/relationships/hyperlink" Target="https://chat-conecta.recife.pe.gov.br/live/rwYG39N57XM95C3eT/room-info" TargetMode="External"/><Relationship Id="rId50" Type="http://schemas.openxmlformats.org/officeDocument/2006/relationships/hyperlink" Target="https://chat-conecta.recife.pe.gov.br/live/Zrzdez42whK4Ef5tf" TargetMode="External"/><Relationship Id="rId5" Type="http://schemas.openxmlformats.org/officeDocument/2006/relationships/hyperlink" Target="https://chat.brainyresolution.com/live/eMevErRXvJJBeEN7H/room-info" TargetMode="External"/><Relationship Id="rId499" Type="http://schemas.openxmlformats.org/officeDocument/2006/relationships/hyperlink" Target="https://chat-conecta.recife.pe.gov.br/live/ausBHBEhmNqESqfbM/room-info" TargetMode="External"/><Relationship Id="rId498" Type="http://schemas.openxmlformats.org/officeDocument/2006/relationships/hyperlink" Target="https://chat-conecta.recife.pe.gov.br/live/Z4L5WFypbA4WQJahx/room-info" TargetMode="External"/><Relationship Id="rId497" Type="http://schemas.openxmlformats.org/officeDocument/2006/relationships/hyperlink" Target="https://chat-conecta.recife.pe.gov.br/live/uLkYM72zkdfZDujZe/room-info" TargetMode="External"/><Relationship Id="rId496" Type="http://schemas.openxmlformats.org/officeDocument/2006/relationships/hyperlink" Target="https://chat-conecta.recife.pe.gov.br/live/QWwDkAn54bez3oTQa/room-info" TargetMode="External"/><Relationship Id="rId495" Type="http://schemas.openxmlformats.org/officeDocument/2006/relationships/hyperlink" Target="https://chat-conecta.recife.pe.gov.br/live/QvB5ZebkNmzsQEf37/room-info" TargetMode="External"/><Relationship Id="rId494" Type="http://schemas.openxmlformats.org/officeDocument/2006/relationships/hyperlink" Target="https://chat-conecta.recife.pe.gov.br/live/dfYrAnyL54p34evRh/room-info" TargetMode="External"/><Relationship Id="rId493" Type="http://schemas.openxmlformats.org/officeDocument/2006/relationships/hyperlink" Target="https://chat-conecta.recife.pe.gov.br/live/277Wo2zoXGHSZsp6P/room-info" TargetMode="External"/><Relationship Id="rId492" Type="http://schemas.openxmlformats.org/officeDocument/2006/relationships/hyperlink" Target="https://chat-conecta.recife.pe.gov.br/live/CeSGLWQpBcX2iNY9G/room-info" TargetMode="External"/><Relationship Id="rId491" Type="http://schemas.openxmlformats.org/officeDocument/2006/relationships/hyperlink" Target="https://chat-conecta.recife.pe.gov.br/live/gYzuuxsdkPLt6xdsG/room-info" TargetMode="External"/><Relationship Id="rId490" Type="http://schemas.openxmlformats.org/officeDocument/2006/relationships/hyperlink" Target="https://chat-conecta.recife.pe.gov.br/live/mCxqssEcJiawXShrw/room-info" TargetMode="External"/><Relationship Id="rId49" Type="http://schemas.openxmlformats.org/officeDocument/2006/relationships/hyperlink" Target="https://chat-conecta.recife.pe.gov.br/live/aSZyoz9QaNmAmMnjH/room-info" TargetMode="External"/><Relationship Id="rId489" Type="http://schemas.openxmlformats.org/officeDocument/2006/relationships/hyperlink" Target="https://chat-conecta.recife.pe.gov.br/live/FHDZEbjqFiCcDm4cp/room-info" TargetMode="External"/><Relationship Id="rId488" Type="http://schemas.openxmlformats.org/officeDocument/2006/relationships/hyperlink" Target="https://chat-conecta.recife.pe.gov.br/live/JPqXobYPHNBTjP7X2/room-info" TargetMode="External"/><Relationship Id="rId487" Type="http://schemas.openxmlformats.org/officeDocument/2006/relationships/hyperlink" Target="https://chat-conecta.recife.pe.gov.br/live/YyW9Pfrda8v2DbEGj/room-info" TargetMode="External"/><Relationship Id="rId486" Type="http://schemas.openxmlformats.org/officeDocument/2006/relationships/hyperlink" Target="https://chat-conecta.recife.pe.gov.br/live/DhwvQgJr7ZQD5imPn/room-info" TargetMode="External"/><Relationship Id="rId485" Type="http://schemas.openxmlformats.org/officeDocument/2006/relationships/hyperlink" Target="https://chat-conecta.recife.pe.gov.br/live/ffZmqHZBiANLCNzvE/room-info" TargetMode="External"/><Relationship Id="rId484" Type="http://schemas.openxmlformats.org/officeDocument/2006/relationships/hyperlink" Target="https://chat-conecta.recife.pe.gov.br/live/4svW7AAi2SvHBj9cv/room-info" TargetMode="External"/><Relationship Id="rId483" Type="http://schemas.openxmlformats.org/officeDocument/2006/relationships/hyperlink" Target="https://chat-conecta.recife.pe.gov.br/live/kEj435bmgoaLzAfq2/room-info" TargetMode="External"/><Relationship Id="rId482" Type="http://schemas.openxmlformats.org/officeDocument/2006/relationships/hyperlink" Target="https://chat-conecta.recife.pe.gov.br/live/fowZKxsWwHwttQkKC/room-info" TargetMode="External"/><Relationship Id="rId481" Type="http://schemas.openxmlformats.org/officeDocument/2006/relationships/hyperlink" Target="https://chat-conecta.recife.pe.gov.br/live/j9DNDTRrq9ySBDLy4/room-info" TargetMode="External"/><Relationship Id="rId480" Type="http://schemas.openxmlformats.org/officeDocument/2006/relationships/hyperlink" Target="https://chat-conecta.recife.pe.gov.br/live/xxvrSL2rRZCTZfuKr/room-info" TargetMode="External"/><Relationship Id="rId48" Type="http://schemas.openxmlformats.org/officeDocument/2006/relationships/hyperlink" Target="https://chat-conecta.recife.pe.gov.br/live/LqLG97wpBLcpScXPc" TargetMode="External"/><Relationship Id="rId479" Type="http://schemas.openxmlformats.org/officeDocument/2006/relationships/hyperlink" Target="https://chat-conecta.recife.pe.gov.br/live/Xh22qxheM6jSLwcro/room-info" TargetMode="External"/><Relationship Id="rId478" Type="http://schemas.openxmlformats.org/officeDocument/2006/relationships/hyperlink" Target="https://chat-conecta.recife.pe.gov.br/live/yZgYqzC3j2iW9Xzri" TargetMode="External"/><Relationship Id="rId477" Type="http://schemas.openxmlformats.org/officeDocument/2006/relationships/hyperlink" Target="https://chat-conecta.recife.pe.gov.br/live/gY3WamkfJ93qiRqcz/room-info" TargetMode="External"/><Relationship Id="rId476" Type="http://schemas.openxmlformats.org/officeDocument/2006/relationships/hyperlink" Target="https://chat-conecta.recife.pe.gov.br/live/dbEyzA5eewepMT73J/room-info" TargetMode="External"/><Relationship Id="rId475" Type="http://schemas.openxmlformats.org/officeDocument/2006/relationships/hyperlink" Target="https://chat-conecta.recife.pe.gov.br/live/mYMBDWR6iTM2WJK9r/room-info" TargetMode="External"/><Relationship Id="rId474" Type="http://schemas.openxmlformats.org/officeDocument/2006/relationships/hyperlink" Target="https://chat-conecta.recife.pe.gov.br/live/bXMWJGHYtnFRnusuC/room-info" TargetMode="External"/><Relationship Id="rId473" Type="http://schemas.openxmlformats.org/officeDocument/2006/relationships/hyperlink" Target="https://chat-conecta.recife.pe.gov.br/live/jTQvid9WmvcSvgs5Y/room-info" TargetMode="External"/><Relationship Id="rId472" Type="http://schemas.openxmlformats.org/officeDocument/2006/relationships/hyperlink" Target="https://chat-conecta.recife.pe.gov.br/live/YM6PbTkXG92kFvPqw/room-info" TargetMode="External"/><Relationship Id="rId471" Type="http://schemas.openxmlformats.org/officeDocument/2006/relationships/hyperlink" Target="https://chat-conecta.recife.pe.gov.br/live/cKwWmiW5jRfgcz5Ap/room-info" TargetMode="External"/><Relationship Id="rId470" Type="http://schemas.openxmlformats.org/officeDocument/2006/relationships/hyperlink" Target="https://chat-conecta.recife.pe.gov.br/live/JFYuM2AihS2gMm2Rs/room-info" TargetMode="External"/><Relationship Id="rId47" Type="http://schemas.openxmlformats.org/officeDocument/2006/relationships/hyperlink" Target="https://chat-conecta.recife.pe.gov.br/live/z86ZXXR8CLiSSfjiK" TargetMode="External"/><Relationship Id="rId469" Type="http://schemas.openxmlformats.org/officeDocument/2006/relationships/hyperlink" Target="https://chat-conecta.recife.pe.gov.br/live/jQzzKT6d4pJuKpwsT/room-info" TargetMode="External"/><Relationship Id="rId468" Type="http://schemas.openxmlformats.org/officeDocument/2006/relationships/hyperlink" Target="https://chat-conecta.recife.pe.gov.br/live/B7MNHCYjcWFsBP42D/room-info" TargetMode="External"/><Relationship Id="rId467" Type="http://schemas.openxmlformats.org/officeDocument/2006/relationships/hyperlink" Target="https://chat-conecta.recife.pe.gov.br/live/B2J9vi6EA97xSvXbm/room-info" TargetMode="External"/><Relationship Id="rId466" Type="http://schemas.openxmlformats.org/officeDocument/2006/relationships/hyperlink" Target="https://chat-conecta.recife.pe.gov.br/live/wshFso8wKbmnpobk6/room-info" TargetMode="External"/><Relationship Id="rId465" Type="http://schemas.openxmlformats.org/officeDocument/2006/relationships/hyperlink" Target="https://chat-conecta.recife.pe.gov.br/live/HAMEsiuZtqaNo2GKR/room-info" TargetMode="External"/><Relationship Id="rId464" Type="http://schemas.openxmlformats.org/officeDocument/2006/relationships/hyperlink" Target="https://chat-conecta.recife.pe.gov.br/live/zLaWsSFyqEsRGgXpB/room-info" TargetMode="External"/><Relationship Id="rId463" Type="http://schemas.openxmlformats.org/officeDocument/2006/relationships/hyperlink" Target="https://chat-conecta.recife.pe.gov.br/live/6hEAZryCpfprR7uLx/room-info" TargetMode="External"/><Relationship Id="rId462" Type="http://schemas.openxmlformats.org/officeDocument/2006/relationships/hyperlink" Target="https://chat-conecta.recife.pe.gov.br/live/qNNsT3k3bDBEYNJ2u/room-info" TargetMode="External"/><Relationship Id="rId461" Type="http://schemas.openxmlformats.org/officeDocument/2006/relationships/hyperlink" Target="https://chat-conecta.recife.pe.gov.br/live/iZ2c9nx9mPARxxtkP/room-info" TargetMode="External"/><Relationship Id="rId460" Type="http://schemas.openxmlformats.org/officeDocument/2006/relationships/hyperlink" Target="https://chat-conecta.recife.pe.gov.br/live/daan5dorJFXScbNi7/room-info" TargetMode="External"/><Relationship Id="rId46" Type="http://schemas.openxmlformats.org/officeDocument/2006/relationships/hyperlink" Target="https://chat-conecta.recife.pe.gov.br/live/z24DAPMsdKHbaaY2v" TargetMode="External"/><Relationship Id="rId459" Type="http://schemas.openxmlformats.org/officeDocument/2006/relationships/hyperlink" Target="https://chat-conecta.recife.pe.gov.br/live/DENsZWLLNHP4ELJ6x/room-info" TargetMode="External"/><Relationship Id="rId458" Type="http://schemas.openxmlformats.org/officeDocument/2006/relationships/hyperlink" Target="https://chat-conecta.recife.pe.gov.br/live/azXL63v4ndPaoRzLn/room-info" TargetMode="External"/><Relationship Id="rId457" Type="http://schemas.openxmlformats.org/officeDocument/2006/relationships/hyperlink" Target="https://chat-conecta.recife.pe.gov.br/live/xeowPsaA5QR7iWFCH/room-info" TargetMode="External"/><Relationship Id="rId456" Type="http://schemas.openxmlformats.org/officeDocument/2006/relationships/hyperlink" Target="https://chat-conecta.recife.pe.gov.br/live/K3Y9GLFzEW5rdGYg3/room-info" TargetMode="External"/><Relationship Id="rId455" Type="http://schemas.openxmlformats.org/officeDocument/2006/relationships/hyperlink" Target="https://chat-conecta.recife.pe.gov.br/live/wvATB2mwtXp5xza7k/room-info" TargetMode="External"/><Relationship Id="rId454" Type="http://schemas.openxmlformats.org/officeDocument/2006/relationships/hyperlink" Target="https://chat-conecta.recife.pe.gov.br/live/ggZhDwe4qy6unHLqN" TargetMode="External"/><Relationship Id="rId453" Type="http://schemas.openxmlformats.org/officeDocument/2006/relationships/hyperlink" Target="https://chat-conecta.recife.pe.gov.br/live/TNgH8HfF6ogsMr22o/room-info" TargetMode="External"/><Relationship Id="rId452" Type="http://schemas.openxmlformats.org/officeDocument/2006/relationships/hyperlink" Target="https://chat-conecta.recife.pe.gov.br/live/6eB2dMyTnRxLCYesc/room-info" TargetMode="External"/><Relationship Id="rId451" Type="http://schemas.openxmlformats.org/officeDocument/2006/relationships/hyperlink" Target="https://chat-conecta.recife.pe.gov.br/live/seZCm8pF5eH9RshW9/room-info" TargetMode="External"/><Relationship Id="rId450" Type="http://schemas.openxmlformats.org/officeDocument/2006/relationships/hyperlink" Target="https://chat-conecta.recife.pe.gov.br/live/tdLmsHJ8SDvK3AecL" TargetMode="External"/><Relationship Id="rId45" Type="http://schemas.openxmlformats.org/officeDocument/2006/relationships/hyperlink" Target="https://chat-conecta.recife.pe.gov.br/live/2hkd5aNNNysy3gx4G/room-info" TargetMode="External"/><Relationship Id="rId449" Type="http://schemas.openxmlformats.org/officeDocument/2006/relationships/hyperlink" Target="https://chat-conecta.recife.pe.gov.br/live/swDDisvdfKzSfBd4W/room-info" TargetMode="External"/><Relationship Id="rId448" Type="http://schemas.openxmlformats.org/officeDocument/2006/relationships/hyperlink" Target="https://chat-conecta.recife.pe.gov.br/live/F68ghf4L44gJPaMMe" TargetMode="External"/><Relationship Id="rId447" Type="http://schemas.openxmlformats.org/officeDocument/2006/relationships/hyperlink" Target="https://chat-conecta.recife.pe.gov.br/live/cTYXQiLffNEjYj6ns/room-info" TargetMode="External"/><Relationship Id="rId446" Type="http://schemas.openxmlformats.org/officeDocument/2006/relationships/hyperlink" Target="https://chat-conecta.recife.pe.gov.br/live/KjmJRtAmGhjGJuD5q/room-info" TargetMode="External"/><Relationship Id="rId445" Type="http://schemas.openxmlformats.org/officeDocument/2006/relationships/hyperlink" Target="https://chat-conecta.recife.pe.gov.br/live/XJJE2AewA3eKcfBHG/room-info" TargetMode="External"/><Relationship Id="rId444" Type="http://schemas.openxmlformats.org/officeDocument/2006/relationships/hyperlink" Target="https://chat-conecta.recife.pe.gov.br/live/qQfgAWkmGe5ai8Kfq/room-info" TargetMode="External"/><Relationship Id="rId443" Type="http://schemas.openxmlformats.org/officeDocument/2006/relationships/hyperlink" Target="https://chat-conecta.recife.pe.gov.br/live/vzfHN68TvKPzQR2ge/room-info" TargetMode="External"/><Relationship Id="rId442" Type="http://schemas.openxmlformats.org/officeDocument/2006/relationships/hyperlink" Target="https://chat-conecta.recife.pe.gov.br/live/Qg8kj5FCy59eT6smt/room-info" TargetMode="External"/><Relationship Id="rId441" Type="http://schemas.openxmlformats.org/officeDocument/2006/relationships/hyperlink" Target="https://chat-conecta.recife.pe.gov.br/live/5gZv7as8kwDw2Hz93/room-info" TargetMode="External"/><Relationship Id="rId440" Type="http://schemas.openxmlformats.org/officeDocument/2006/relationships/hyperlink" Target="https://chat-conecta.recife.pe.gov.br/live/qEJSrwaL6Tgq38is2/room-info" TargetMode="External"/><Relationship Id="rId44" Type="http://schemas.openxmlformats.org/officeDocument/2006/relationships/hyperlink" Target="https://chat-conecta.recife.pe.gov.br/live/CsjDjX9HzaXgxEpKB/room-info" TargetMode="External"/><Relationship Id="rId439" Type="http://schemas.openxmlformats.org/officeDocument/2006/relationships/hyperlink" Target="https://chat-conecta.recife.pe.gov.br/live/adG3qc9SLfoFxijYw/room-info" TargetMode="External"/><Relationship Id="rId438" Type="http://schemas.openxmlformats.org/officeDocument/2006/relationships/hyperlink" Target="https://chat-conecta.recife.pe.gov.br/live/WjjRMwoQFnkHn7Tdj/room-info" TargetMode="External"/><Relationship Id="rId437" Type="http://schemas.openxmlformats.org/officeDocument/2006/relationships/hyperlink" Target="https://chat-conecta.recife.pe.gov.br/live/89b5s9wQAaWpPEuaX/room-info" TargetMode="External"/><Relationship Id="rId436" Type="http://schemas.openxmlformats.org/officeDocument/2006/relationships/hyperlink" Target="https://chat-conecta.recife.pe.gov.br/live/GAvPSFPH9i8vNkYqb/room-info" TargetMode="External"/><Relationship Id="rId435" Type="http://schemas.openxmlformats.org/officeDocument/2006/relationships/hyperlink" Target="https://chat-conecta.recife.pe.gov.br/live/azaWKjbsSxSZr69o9/room-info" TargetMode="External"/><Relationship Id="rId434" Type="http://schemas.openxmlformats.org/officeDocument/2006/relationships/hyperlink" Target="https://chat-conecta.recife.pe.gov.br/live/Smo9rxurdnfGrdPpB/room-info" TargetMode="External"/><Relationship Id="rId433" Type="http://schemas.openxmlformats.org/officeDocument/2006/relationships/hyperlink" Target="https://chat-conecta.recife.pe.gov.br/live/Mxqt6hpp5mrjjfoq6/room-info" TargetMode="External"/><Relationship Id="rId432" Type="http://schemas.openxmlformats.org/officeDocument/2006/relationships/hyperlink" Target="https://chat-conecta.recife.pe.gov.br/live/taQwWtCx3RhwPBm4u/room-info" TargetMode="External"/><Relationship Id="rId431" Type="http://schemas.openxmlformats.org/officeDocument/2006/relationships/hyperlink" Target="https://chat-conecta.recife.pe.gov.br/live/qCzpNz8jExyYcSmvB/room-info" TargetMode="External"/><Relationship Id="rId430" Type="http://schemas.openxmlformats.org/officeDocument/2006/relationships/hyperlink" Target="https://chat-conecta.recife.pe.gov.br/live/eZ7yqcQmFGsFmnHqa/room-info" TargetMode="External"/><Relationship Id="rId43" Type="http://schemas.openxmlformats.org/officeDocument/2006/relationships/hyperlink" Target="https://chat-conecta.recife.pe.gov.br/live/C2bx85rQ3RqoSuA3j/room-info" TargetMode="External"/><Relationship Id="rId429" Type="http://schemas.openxmlformats.org/officeDocument/2006/relationships/hyperlink" Target="https://chat-conecta.recife.pe.gov.br/live/BjKjf5h6Ya4iE4tH7/room-info" TargetMode="External"/><Relationship Id="rId428" Type="http://schemas.openxmlformats.org/officeDocument/2006/relationships/hyperlink" Target="https://chat-conecta.recife.pe.gov.br/live/v74dpquyLqLkGEkGB/room-info" TargetMode="External"/><Relationship Id="rId427" Type="http://schemas.openxmlformats.org/officeDocument/2006/relationships/hyperlink" Target="https://chat-conecta.recife.pe.gov.br/live/eEqz97ddknidsNAk5/room-info" TargetMode="External"/><Relationship Id="rId426" Type="http://schemas.openxmlformats.org/officeDocument/2006/relationships/hyperlink" Target="https://chat-conecta.recife.pe.gov.br/live/r2vCba92xFfjXGubQ/room-info" TargetMode="External"/><Relationship Id="rId425" Type="http://schemas.openxmlformats.org/officeDocument/2006/relationships/hyperlink" Target="https://chat-conecta.recife.pe.gov.br/live/AJ5fgWecJgPzmgZ3c/room-info" TargetMode="External"/><Relationship Id="rId424" Type="http://schemas.openxmlformats.org/officeDocument/2006/relationships/hyperlink" Target="https://chat-conecta.recife.pe.gov.br/live/4SckSy8FZPyPDnXGC/room-info" TargetMode="External"/><Relationship Id="rId423" Type="http://schemas.openxmlformats.org/officeDocument/2006/relationships/hyperlink" Target="https://chat-conecta.recife.pe.gov.br/live/KrJQGQpAJdRyNn9hm/room-info" TargetMode="External"/><Relationship Id="rId422" Type="http://schemas.openxmlformats.org/officeDocument/2006/relationships/hyperlink" Target="https://chat-conecta.recife.pe.gov.br/live/rA49Gi9pLtvJqYFcD/room-info" TargetMode="External"/><Relationship Id="rId421" Type="http://schemas.openxmlformats.org/officeDocument/2006/relationships/hyperlink" Target="https://chat-conecta.recife.pe.gov.br/live/c6cy265MoCAKXPZ2Q/room-info" TargetMode="External"/><Relationship Id="rId420" Type="http://schemas.openxmlformats.org/officeDocument/2006/relationships/hyperlink" Target="https://chat-conecta.recife.pe.gov.br/live/MqnvoHGizXHioZwMF/room-info" TargetMode="External"/><Relationship Id="rId42" Type="http://schemas.openxmlformats.org/officeDocument/2006/relationships/hyperlink" Target="https://chat-conecta.recife.pe.gov.br/live/betCShJnu3v9nKYz7" TargetMode="External"/><Relationship Id="rId419" Type="http://schemas.openxmlformats.org/officeDocument/2006/relationships/hyperlink" Target="https://chat-conecta.recife.pe.gov.br/live/TmaiHmXJxu9ivNAhn/room-info" TargetMode="External"/><Relationship Id="rId418" Type="http://schemas.openxmlformats.org/officeDocument/2006/relationships/hyperlink" Target="https://chat-conecta.recife.pe.gov.br/live/b7ZZbys3M82mDsQXB/room-info" TargetMode="External"/><Relationship Id="rId417" Type="http://schemas.openxmlformats.org/officeDocument/2006/relationships/hyperlink" Target="https://chat-conecta.recife.pe.gov.br/live/yH5D3qc3uSeBMDzmK/room-info" TargetMode="External"/><Relationship Id="rId416" Type="http://schemas.openxmlformats.org/officeDocument/2006/relationships/hyperlink" Target="https://chat-conecta.recife.pe.gov.br/live/YB26ag5Nxu96Pjmop/room-info" TargetMode="External"/><Relationship Id="rId415" Type="http://schemas.openxmlformats.org/officeDocument/2006/relationships/hyperlink" Target="https://chat-conecta.recife.pe.gov.br/live/JQctaFSw8guuCeD8f/room-info" TargetMode="External"/><Relationship Id="rId414" Type="http://schemas.openxmlformats.org/officeDocument/2006/relationships/hyperlink" Target="https://chat-conecta.recife.pe.gov.br/live/jAk48jTZE3mCiocgd/room-info" TargetMode="External"/><Relationship Id="rId413" Type="http://schemas.openxmlformats.org/officeDocument/2006/relationships/hyperlink" Target="https://chat-conecta.recife.pe.gov.br/live/icrnbX8bsRWgcaHrz/room-info" TargetMode="External"/><Relationship Id="rId412" Type="http://schemas.openxmlformats.org/officeDocument/2006/relationships/hyperlink" Target="https://chat-conecta.recife.pe.gov.br/live/955u4rx7HG9Mpy2nM/room-info" TargetMode="External"/><Relationship Id="rId411" Type="http://schemas.openxmlformats.org/officeDocument/2006/relationships/hyperlink" Target="https://chat-conecta.recife.pe.gov.br/live/ZzxcdyxoKBXWqEx8L/room-info" TargetMode="External"/><Relationship Id="rId410" Type="http://schemas.openxmlformats.org/officeDocument/2006/relationships/hyperlink" Target="https://chat-conecta.recife.pe.gov.br/live/zoLmb4NgyC4S42qky/room-info" TargetMode="External"/><Relationship Id="rId41" Type="http://schemas.openxmlformats.org/officeDocument/2006/relationships/hyperlink" Target="https://chat-conecta.recife.pe.gov.br/live/hQnzx4bYF92wWnKNS/room-info" TargetMode="External"/><Relationship Id="rId409" Type="http://schemas.openxmlformats.org/officeDocument/2006/relationships/hyperlink" Target="https://chat-conecta.recife.pe.gov.br/live/JFbzZMcFPrWLShvTj/room-info" TargetMode="External"/><Relationship Id="rId408" Type="http://schemas.openxmlformats.org/officeDocument/2006/relationships/hyperlink" Target="https://chat-conecta.recife.pe.gov.br/live/A4gpe25soqNdbxRFZ/room-info" TargetMode="External"/><Relationship Id="rId407" Type="http://schemas.openxmlformats.org/officeDocument/2006/relationships/hyperlink" Target="https://chat-conecta.recife.pe.gov.br/live/sXJAwZ4MxbPkTPKzN/room-info" TargetMode="External"/><Relationship Id="rId406" Type="http://schemas.openxmlformats.org/officeDocument/2006/relationships/hyperlink" Target="https://chat-conecta.recife.pe.gov.br/live/uhTazBxJyZcDBC8Ng/room-info" TargetMode="External"/><Relationship Id="rId405" Type="http://schemas.openxmlformats.org/officeDocument/2006/relationships/hyperlink" Target="https://chat-conecta.recife.pe.gov.br/live/Fgt24zsWyhwxiRTYf/room-info" TargetMode="External"/><Relationship Id="rId404" Type="http://schemas.openxmlformats.org/officeDocument/2006/relationships/hyperlink" Target="https://chat-conecta.recife.pe.gov.br/live/AZFwYwBBuBi7bWnrQ/room-info" TargetMode="External"/><Relationship Id="rId403" Type="http://schemas.openxmlformats.org/officeDocument/2006/relationships/hyperlink" Target="https://chat-conecta.recife.pe.gov.br/live/PNYFSKJybRmpcmcG6/room-info" TargetMode="External"/><Relationship Id="rId402" Type="http://schemas.openxmlformats.org/officeDocument/2006/relationships/hyperlink" Target="https://chat-conecta.recife.pe.gov.br/live/2fcb8DknRBsWAyF4v/room-info" TargetMode="External"/><Relationship Id="rId401" Type="http://schemas.openxmlformats.org/officeDocument/2006/relationships/hyperlink" Target="https://chat-conecta.recife.pe.gov.br/live/6QHsRSMt2Kwk8hgQK/room-info" TargetMode="External"/><Relationship Id="rId400" Type="http://schemas.openxmlformats.org/officeDocument/2006/relationships/hyperlink" Target="https://chat-conecta.recife.pe.gov.br/live/9ko25QzKYj9sqnbdq/room-info" TargetMode="External"/><Relationship Id="rId40" Type="http://schemas.openxmlformats.org/officeDocument/2006/relationships/hyperlink" Target="https://chat-conecta.recife.pe.gov.br/live/ZRRiTmaP8GzpTQJDs/room-info" TargetMode="External"/><Relationship Id="rId4" Type="http://schemas.openxmlformats.org/officeDocument/2006/relationships/hyperlink" Target="https://chat.brainyresolution.com/live/E7F6R83o7cASDJsop/room-info" TargetMode="External"/><Relationship Id="rId399" Type="http://schemas.openxmlformats.org/officeDocument/2006/relationships/hyperlink" Target="https://chat-conecta.recife.pe.gov.br/live/RdTN4zDkBG4iybRda/room-info" TargetMode="External"/><Relationship Id="rId398" Type="http://schemas.openxmlformats.org/officeDocument/2006/relationships/hyperlink" Target="https://chat-conecta.recife.pe.gov.br/live/FQteeGosTc8Ckf42B/room-info" TargetMode="External"/><Relationship Id="rId397" Type="http://schemas.openxmlformats.org/officeDocument/2006/relationships/hyperlink" Target="https://chat-conecta.recife.pe.gov.br/live/PgAwrh6cAHYDEfxme/room-info" TargetMode="External"/><Relationship Id="rId396" Type="http://schemas.openxmlformats.org/officeDocument/2006/relationships/hyperlink" Target="https://chat-conecta.recife.pe.gov.br/live/geFmg2EKyJRxaC6qR/room-info" TargetMode="External"/><Relationship Id="rId395" Type="http://schemas.openxmlformats.org/officeDocument/2006/relationships/hyperlink" Target="https://chat-conecta.recife.pe.gov.br/live/viQ3ax49sv8Rx99So/room-info" TargetMode="External"/><Relationship Id="rId394" Type="http://schemas.openxmlformats.org/officeDocument/2006/relationships/hyperlink" Target="https://chat-conecta.recife.pe.gov.br/live/R8QPbDaxidkfvtGfN/room-info" TargetMode="External"/><Relationship Id="rId393" Type="http://schemas.openxmlformats.org/officeDocument/2006/relationships/hyperlink" Target="https://chat-conecta.recife.pe.gov.br/live/JPEZ44uZ76bRL44i5/room-info" TargetMode="External"/><Relationship Id="rId392" Type="http://schemas.openxmlformats.org/officeDocument/2006/relationships/hyperlink" Target="https://chat-conecta.recife.pe.gov.br/live/q7qLw5rEdtbMk9xAS/room-info" TargetMode="External"/><Relationship Id="rId391" Type="http://schemas.openxmlformats.org/officeDocument/2006/relationships/hyperlink" Target="https://chat-conecta.recife.pe.gov.br/live/Ydm6MF4XeXHHmvhyL/room-info" TargetMode="External"/><Relationship Id="rId390" Type="http://schemas.openxmlformats.org/officeDocument/2006/relationships/hyperlink" Target="https://chat-conecta.recife.pe.gov.br/live/tRyEyyf6wc2ZLhgbw/room-info" TargetMode="External"/><Relationship Id="rId39" Type="http://schemas.openxmlformats.org/officeDocument/2006/relationships/hyperlink" Target="https://chat-conecta.recife.pe.gov.br/live/tSf4yGLXMoagiQ7Xn/room-info" TargetMode="External"/><Relationship Id="rId389" Type="http://schemas.openxmlformats.org/officeDocument/2006/relationships/hyperlink" Target="https://chat-conecta.recife.pe.gov.br/live/diGYeJpXsnNbSTwC6/room-info" TargetMode="External"/><Relationship Id="rId388" Type="http://schemas.openxmlformats.org/officeDocument/2006/relationships/hyperlink" Target="https://chat-conecta.recife.pe.gov.br/live/cDXhcWZkS5dpB4DPC" TargetMode="External"/><Relationship Id="rId387" Type="http://schemas.openxmlformats.org/officeDocument/2006/relationships/hyperlink" Target="https://chat-conecta.recife.pe.gov.br/live/8n4TiCLjpMkSQcAfz/room-info" TargetMode="External"/><Relationship Id="rId386" Type="http://schemas.openxmlformats.org/officeDocument/2006/relationships/hyperlink" Target="https://chat-conecta.recife.pe.gov.br/live/yKk43jpMkFa7T2rB4" TargetMode="External"/><Relationship Id="rId385" Type="http://schemas.openxmlformats.org/officeDocument/2006/relationships/hyperlink" Target="https://chat-conecta.recife.pe.gov.br/live/PHH8uM8mJgbCKaQba" TargetMode="External"/><Relationship Id="rId384" Type="http://schemas.openxmlformats.org/officeDocument/2006/relationships/hyperlink" Target="https://chat-conecta.recife.pe.gov.br/live/GGZhQ75mX6jHpiHYD/room-info" TargetMode="External"/><Relationship Id="rId383" Type="http://schemas.openxmlformats.org/officeDocument/2006/relationships/hyperlink" Target="https://chat-conecta.recife.pe.gov.br/live/pxcQX6mLaeSdWrv3F/room-info" TargetMode="External"/><Relationship Id="rId382" Type="http://schemas.openxmlformats.org/officeDocument/2006/relationships/hyperlink" Target="https://chat-conecta.recife.pe.gov.br/live/nRaRXn8KLuGdA4gRs/room-info" TargetMode="External"/><Relationship Id="rId381" Type="http://schemas.openxmlformats.org/officeDocument/2006/relationships/hyperlink" Target="https://chat-conecta.recife.pe.gov.br/live/oB7Cr9Tv3FQQ4wBBF/room-info" TargetMode="External"/><Relationship Id="rId380" Type="http://schemas.openxmlformats.org/officeDocument/2006/relationships/hyperlink" Target="https://chat-conecta.recife.pe.gov.br/live/84kZepyKnNT9kBcqy" TargetMode="External"/><Relationship Id="rId38" Type="http://schemas.openxmlformats.org/officeDocument/2006/relationships/hyperlink" Target="https://chat-conecta.recife.pe.gov.br/live/TpnTP66YdBZ8qhmQM" TargetMode="External"/><Relationship Id="rId379" Type="http://schemas.openxmlformats.org/officeDocument/2006/relationships/hyperlink" Target="https://chat-conecta.recife.pe.gov.br/live/gXuEtQ7z54pPKKb5a/room-info" TargetMode="External"/><Relationship Id="rId378" Type="http://schemas.openxmlformats.org/officeDocument/2006/relationships/hyperlink" Target="https://chat-conecta.recife.pe.gov.br/live/9F4uSSvb2RYbHXo3b/room-info" TargetMode="External"/><Relationship Id="rId377" Type="http://schemas.openxmlformats.org/officeDocument/2006/relationships/hyperlink" Target="https://chat-conecta.recife.pe.gov.br/live/77wRGJBi3bMGye53k/room-info" TargetMode="External"/><Relationship Id="rId376" Type="http://schemas.openxmlformats.org/officeDocument/2006/relationships/hyperlink" Target="https://chat-conecta.recife.pe.gov.br/live/qztMGMbSBquJzTQMk/room-info" TargetMode="External"/><Relationship Id="rId375" Type="http://schemas.openxmlformats.org/officeDocument/2006/relationships/hyperlink" Target="https://chat-conecta.recife.pe.gov.br/live/CnxBKQH8KymnojqCP/room-info" TargetMode="External"/><Relationship Id="rId374" Type="http://schemas.openxmlformats.org/officeDocument/2006/relationships/hyperlink" Target="http://chat-conecta.recife.pe.gov.br/live/mHivMePBmHmqNga6H/room-info" TargetMode="External"/><Relationship Id="rId373" Type="http://schemas.openxmlformats.org/officeDocument/2006/relationships/hyperlink" Target="https://chat-conecta.recife.pe.gov.br/live/Whn5KDJnxRTyBHC5C/room-info" TargetMode="External"/><Relationship Id="rId372" Type="http://schemas.openxmlformats.org/officeDocument/2006/relationships/hyperlink" Target="https://chat-conecta.recife.pe.gov.br/live/MCMvXyDPKmPBNy27S/room-info" TargetMode="External"/><Relationship Id="rId371" Type="http://schemas.openxmlformats.org/officeDocument/2006/relationships/hyperlink" Target="https://chat-conecta.recife.pe.gov.br/live/rGPhKvbf4XXCHvhLb/room-info" TargetMode="External"/><Relationship Id="rId370" Type="http://schemas.openxmlformats.org/officeDocument/2006/relationships/hyperlink" Target="https://chat-conecta.recife.pe.gov.br/live/A7cSH5wpz7chD24rL/room-info" TargetMode="External"/><Relationship Id="rId37" Type="http://schemas.openxmlformats.org/officeDocument/2006/relationships/hyperlink" Target="https://chat-conecta.recife.pe.gov.br/live/6iDgsBccCP4dYeTAh/room-info" TargetMode="External"/><Relationship Id="rId369" Type="http://schemas.openxmlformats.org/officeDocument/2006/relationships/hyperlink" Target="https://chat-conecta.recife.pe.gov.br/live/TGBfXDRTuJTCD63NK/room-info" TargetMode="External"/><Relationship Id="rId368" Type="http://schemas.openxmlformats.org/officeDocument/2006/relationships/hyperlink" Target="https://chat-conecta.recife.pe.gov.br/live/aNSfxTnRZs7o5zsGr/room-info" TargetMode="External"/><Relationship Id="rId367" Type="http://schemas.openxmlformats.org/officeDocument/2006/relationships/hyperlink" Target="https://chat-conecta.recife.pe.gov.br/live/ToeTmfK4QHYwHpYba/user-info" TargetMode="External"/><Relationship Id="rId366" Type="http://schemas.openxmlformats.org/officeDocument/2006/relationships/hyperlink" Target="https://chat-conecta.recife.pe.gov.br/live/ha38z4BjpD8CWE3D3/room-info" TargetMode="External"/><Relationship Id="rId365" Type="http://schemas.openxmlformats.org/officeDocument/2006/relationships/hyperlink" Target="https://chat-conecta.recife.pe.gov.br/live/jAtkJKQf9LQozjcPs/room-info" TargetMode="External"/><Relationship Id="rId364" Type="http://schemas.openxmlformats.org/officeDocument/2006/relationships/hyperlink" Target="https://chat-conecta.recife.pe.gov.br/live/f3FZGXoFyKfZLHJdL/room-info" TargetMode="External"/><Relationship Id="rId363" Type="http://schemas.openxmlformats.org/officeDocument/2006/relationships/hyperlink" Target="https://chat-conecta.recife.pe.gov.br/live/gTgekjMvpQSpsLXCC/room-info" TargetMode="External"/><Relationship Id="rId362" Type="http://schemas.openxmlformats.org/officeDocument/2006/relationships/hyperlink" Target="https://chat-conecta.recife.pe.gov.br/live/ZmKwj5AA5D98KhPKg/room-info" TargetMode="External"/><Relationship Id="rId361" Type="http://schemas.openxmlformats.org/officeDocument/2006/relationships/hyperlink" Target="https://chat-conecta.recife.pe.gov.br/live/8ZWx5u5Rfra9mRusE/room-info" TargetMode="External"/><Relationship Id="rId360" Type="http://schemas.openxmlformats.org/officeDocument/2006/relationships/hyperlink" Target="https://chat-conecta.recife.pe.gov.br/live/DrjDnLKDHJP9Ct3Y9/room-info" TargetMode="External"/><Relationship Id="rId36" Type="http://schemas.openxmlformats.org/officeDocument/2006/relationships/hyperlink" Target="https://chat-conecta.recife.pe.gov.br/live/SAKrXchayJR2adsn3/room-info" TargetMode="External"/><Relationship Id="rId359" Type="http://schemas.openxmlformats.org/officeDocument/2006/relationships/hyperlink" Target="https://chat-conecta.recife.pe.gov.br/live/kmR6MRRPXD8N9RjR3/room-info" TargetMode="External"/><Relationship Id="rId358" Type="http://schemas.openxmlformats.org/officeDocument/2006/relationships/hyperlink" Target="https://chat-conecta.recife.pe.gov.br/live/pp92cf3CPaAqNww5d/room-info" TargetMode="External"/><Relationship Id="rId357" Type="http://schemas.openxmlformats.org/officeDocument/2006/relationships/hyperlink" Target="https://chat-conecta.recife.pe.gov.br/live/yLRexBnz8xuYYmLL5/room-info" TargetMode="External"/><Relationship Id="rId356" Type="http://schemas.openxmlformats.org/officeDocument/2006/relationships/hyperlink" Target="https://chat-conecta.recife.pe.gov.br/live/uh9gkmy9mhM2N3D48/room-info" TargetMode="External"/><Relationship Id="rId355" Type="http://schemas.openxmlformats.org/officeDocument/2006/relationships/hyperlink" Target="https://chat-conecta.recife.pe.gov.br/live/Pyy3K4LXH4iWkTRLK/room-info" TargetMode="External"/><Relationship Id="rId354" Type="http://schemas.openxmlformats.org/officeDocument/2006/relationships/hyperlink" Target="https://chat-conecta.recife.pe.gov.br/live/EkmhvaDbbeoDjS3tQ/room-info" TargetMode="External"/><Relationship Id="rId353" Type="http://schemas.openxmlformats.org/officeDocument/2006/relationships/hyperlink" Target="https://chat-conecta.recife.pe.gov.br/live/yQ7rM3jCmcTJCEcd8/room-info" TargetMode="External"/><Relationship Id="rId352" Type="http://schemas.openxmlformats.org/officeDocument/2006/relationships/hyperlink" Target="https://chat-conecta.recife.pe.gov.br/live/qxt8g6EhykZ5PCRMs/room-info" TargetMode="External"/><Relationship Id="rId351" Type="http://schemas.openxmlformats.org/officeDocument/2006/relationships/hyperlink" Target="https://chat-conecta.recife.pe.gov.br/live/MXfjMomGS3SnFcF4p/room-info" TargetMode="External"/><Relationship Id="rId350" Type="http://schemas.openxmlformats.org/officeDocument/2006/relationships/hyperlink" Target="https://chat-conecta.recife.pe.gov.br/live/qpWou5dafYFwYEqkN/room-info" TargetMode="External"/><Relationship Id="rId35" Type="http://schemas.openxmlformats.org/officeDocument/2006/relationships/hyperlink" Target="https://hopchat.susi.crowde.dev/live/YT8FyLtvuhoEJ3yfX/room-info" TargetMode="External"/><Relationship Id="rId349" Type="http://schemas.openxmlformats.org/officeDocument/2006/relationships/hyperlink" Target="https://chat-conecta.recife.pe.gov.br/live/CJCWWq4JbYsdotwXY/room-info" TargetMode="External"/><Relationship Id="rId348" Type="http://schemas.openxmlformats.org/officeDocument/2006/relationships/hyperlink" Target="https://chat-conecta.recife.pe.gov.br/live/ZvGj4kQp5Swiaeo5p/room-info" TargetMode="External"/><Relationship Id="rId347" Type="http://schemas.openxmlformats.org/officeDocument/2006/relationships/hyperlink" Target="https://chat-conecta.recife.pe.gov.br/live/mGgpYPJ3qbmff9uWj/room-info" TargetMode="External"/><Relationship Id="rId346" Type="http://schemas.openxmlformats.org/officeDocument/2006/relationships/hyperlink" Target="https://chat-conecta.recife.pe.gov.br/live/fqji29rXMYuX8g6m5/room-info" TargetMode="External"/><Relationship Id="rId345" Type="http://schemas.openxmlformats.org/officeDocument/2006/relationships/hyperlink" Target="https://chat-conecta.recife.pe.gov.br/live/dYCtG6Q26P4fMRj8y/room-info" TargetMode="External"/><Relationship Id="rId344" Type="http://schemas.openxmlformats.org/officeDocument/2006/relationships/hyperlink" Target="https://chat-conecta.recife.pe.gov.br/live/2QJKNed4QF7wY3eqh/room-info" TargetMode="External"/><Relationship Id="rId343" Type="http://schemas.openxmlformats.org/officeDocument/2006/relationships/hyperlink" Target="https://chat-conecta.recife.pe.gov.br/live/pdyqXzjYhFfySCy3N/room-info" TargetMode="External"/><Relationship Id="rId342" Type="http://schemas.openxmlformats.org/officeDocument/2006/relationships/hyperlink" Target="https://chat-conecta.recife.pe.gov.br/live/NYZeSvpu9peMtidu5/room-info" TargetMode="External"/><Relationship Id="rId341" Type="http://schemas.openxmlformats.org/officeDocument/2006/relationships/hyperlink" Target="https://chat-conecta.recife.pe.gov.br/live/PAQLWTmb3LcDrAsAg/room-info" TargetMode="External"/><Relationship Id="rId340" Type="http://schemas.openxmlformats.org/officeDocument/2006/relationships/hyperlink" Target="https://chat-conecta.recife.pe.gov.br/live/ArfTGhTapRRh8aNgx/room-info" TargetMode="External"/><Relationship Id="rId34" Type="http://schemas.openxmlformats.org/officeDocument/2006/relationships/hyperlink" Target="https://hopchat.susi.crowde.dev/live/9fTeG2SA2crn83roi/room-info" TargetMode="External"/><Relationship Id="rId339" Type="http://schemas.openxmlformats.org/officeDocument/2006/relationships/hyperlink" Target="https://chat-conecta.recife.pe.gov.br/live/KZRoAoxzbQhotGBwE/room-info" TargetMode="External"/><Relationship Id="rId338" Type="http://schemas.openxmlformats.org/officeDocument/2006/relationships/hyperlink" Target="https://chat-conecta.recife.pe.gov.br/live/cRnFdBmTQTzNJML72/room-info" TargetMode="External"/><Relationship Id="rId337" Type="http://schemas.openxmlformats.org/officeDocument/2006/relationships/hyperlink" Target="https://chat-conecta.recife.pe.gov.br/live/puhWKNakYd8RRQDpv/room-info" TargetMode="External"/><Relationship Id="rId336" Type="http://schemas.openxmlformats.org/officeDocument/2006/relationships/hyperlink" Target="https://chat-conecta.recife.pe.gov.br/live/ujvxGgnHBi6CaHowQ/room-info" TargetMode="External"/><Relationship Id="rId335" Type="http://schemas.openxmlformats.org/officeDocument/2006/relationships/hyperlink" Target="https://chat-conecta.recife.pe.gov.br/live/dBTsvLXFiCXBvo3i2/room-info" TargetMode="External"/><Relationship Id="rId334" Type="http://schemas.openxmlformats.org/officeDocument/2006/relationships/hyperlink" Target="https://chat-conecta.recife.pe.gov.br/live/fH3xSeHGSjDF5cwFy/room-info" TargetMode="External"/><Relationship Id="rId333" Type="http://schemas.openxmlformats.org/officeDocument/2006/relationships/hyperlink" Target="https://chat-conecta.recife.pe.gov.br/live/HvqNmpH2dWZF2sGG3/room-info" TargetMode="External"/><Relationship Id="rId332" Type="http://schemas.openxmlformats.org/officeDocument/2006/relationships/hyperlink" Target="https://chat-conecta.recife.pe.gov.br/live/hn7qjTy43jfxeACHb/room-info" TargetMode="External"/><Relationship Id="rId331" Type="http://schemas.openxmlformats.org/officeDocument/2006/relationships/hyperlink" Target="https://chat-conecta.recife.pe.gov.br/live/7edbgt6kx8eSsE3e3/room-info" TargetMode="External"/><Relationship Id="rId330" Type="http://schemas.openxmlformats.org/officeDocument/2006/relationships/hyperlink" Target="https://chat-conecta.recife.pe.gov.br/live/JfAxyH2xHxCmXc7aL/room-info" TargetMode="External"/><Relationship Id="rId33" Type="http://schemas.openxmlformats.org/officeDocument/2006/relationships/hyperlink" Target="https://hopchat.susi.crowde.dev/live/jKcF8wT24sgKgW8w7/room-info" TargetMode="External"/><Relationship Id="rId329" Type="http://schemas.openxmlformats.org/officeDocument/2006/relationships/hyperlink" Target="https://chat-conecta.recife.pe.gov.br/live/7kBGLduZWHMkBJus2/room-info" TargetMode="External"/><Relationship Id="rId328" Type="http://schemas.openxmlformats.org/officeDocument/2006/relationships/hyperlink" Target="https://chat-conecta.recife.pe.gov.br/live/FW4ExGqp85e4SYzp4/room-info" TargetMode="External"/><Relationship Id="rId327" Type="http://schemas.openxmlformats.org/officeDocument/2006/relationships/hyperlink" Target="https://chat-conecta.recife.pe.gov.br/live/YqEtsef8GL38Hfqgj/room-info" TargetMode="External"/><Relationship Id="rId326" Type="http://schemas.openxmlformats.org/officeDocument/2006/relationships/hyperlink" Target="https://chat-conecta.recife.pe.gov.br/live/BDNWvqX4wD2rjW7SH/room-info" TargetMode="External"/><Relationship Id="rId325" Type="http://schemas.openxmlformats.org/officeDocument/2006/relationships/hyperlink" Target="https://chat-conecta.recife.pe.gov.br/live/AFGrTpCrrTBDNB3xv/room-info" TargetMode="External"/><Relationship Id="rId324" Type="http://schemas.openxmlformats.org/officeDocument/2006/relationships/hyperlink" Target="https://chat-conecta.recife.pe.gov.br/live/iGE4DKSuaLEy3ri2d/room-info" TargetMode="External"/><Relationship Id="rId323" Type="http://schemas.openxmlformats.org/officeDocument/2006/relationships/hyperlink" Target="https://chat-conecta.recife.pe.gov.br/live/C72aX2dcqjFhyA9Go/room-info" TargetMode="External"/><Relationship Id="rId322" Type="http://schemas.openxmlformats.org/officeDocument/2006/relationships/hyperlink" Target="https://chat-conecta.recife.pe.gov.br/live/n7oX7FgRtPjXMp4ub/room-info" TargetMode="External"/><Relationship Id="rId321" Type="http://schemas.openxmlformats.org/officeDocument/2006/relationships/hyperlink" Target="https://chat-conecta.recife.pe.gov.br/live/rxsnhicykwTNSMuP9/room-info" TargetMode="External"/><Relationship Id="rId320" Type="http://schemas.openxmlformats.org/officeDocument/2006/relationships/hyperlink" Target="https://chat-conecta.recife.pe.gov.br/live/dcd55dDsGgHRCeGzQ/room-info" TargetMode="External"/><Relationship Id="rId32" Type="http://schemas.openxmlformats.org/officeDocument/2006/relationships/hyperlink" Target="https://hopchat.susi.crowde.dev/live/vCEYJp8xLFteSYjes/room-info" TargetMode="External"/><Relationship Id="rId319" Type="http://schemas.openxmlformats.org/officeDocument/2006/relationships/hyperlink" Target="https://chat-conecta.recife.pe.gov.br/live/Spijqfgib2aYm3pg6/room-info" TargetMode="External"/><Relationship Id="rId318" Type="http://schemas.openxmlformats.org/officeDocument/2006/relationships/hyperlink" Target="https://chat-conecta.recife.pe.gov.br/live/ZiE3fQRPZphYWRBwP/room-info" TargetMode="External"/><Relationship Id="rId317" Type="http://schemas.openxmlformats.org/officeDocument/2006/relationships/hyperlink" Target="https://chat-conecta.recife.pe.gov.br/live/zsX6xGxtDjdMbnoCG/room-info" TargetMode="External"/><Relationship Id="rId316" Type="http://schemas.openxmlformats.org/officeDocument/2006/relationships/hyperlink" Target="https://chat-conecta.recife.pe.gov.br/live/uDqD2k8CZndhFmgni/room-info" TargetMode="External"/><Relationship Id="rId315" Type="http://schemas.openxmlformats.org/officeDocument/2006/relationships/hyperlink" Target="https://chat-conecta.recife.pe.gov.br/live/mDq8SX9ySjwpCFJyk" TargetMode="External"/><Relationship Id="rId314" Type="http://schemas.openxmlformats.org/officeDocument/2006/relationships/hyperlink" Target="https://chat-conecta.recife.pe.gov.br/live/RfFjHHssLjvexk2fp/room-info" TargetMode="External"/><Relationship Id="rId313" Type="http://schemas.openxmlformats.org/officeDocument/2006/relationships/hyperlink" Target="https://chat-conecta.recife.pe.gov.br/live/zk9NnbhtfBrQ7SBgu" TargetMode="External"/><Relationship Id="rId312" Type="http://schemas.openxmlformats.org/officeDocument/2006/relationships/hyperlink" Target="https://chat-conecta.recife.pe.gov.br/live/vBMwu3ssfvsrrMPzQ/room-info" TargetMode="External"/><Relationship Id="rId311" Type="http://schemas.openxmlformats.org/officeDocument/2006/relationships/hyperlink" Target="https://chat-conecta.recife.pe.gov.br/live/XF9qmAuTB9Gek27EH/room-info" TargetMode="External"/><Relationship Id="rId310" Type="http://schemas.openxmlformats.org/officeDocument/2006/relationships/hyperlink" Target="https://chat-conecta.recife.pe.gov.br/live/pZPj5MoAq8fMgw7mr/room-info" TargetMode="External"/><Relationship Id="rId31" Type="http://schemas.openxmlformats.org/officeDocument/2006/relationships/hyperlink" Target="https://chat.brainyresolution.com/live/AaRikgn3SFBXynFr2/room-info" TargetMode="External"/><Relationship Id="rId309" Type="http://schemas.openxmlformats.org/officeDocument/2006/relationships/hyperlink" Target="https://chat-conecta.recife.pe.gov.br/live/MBHK9sacp5YshTco3/room-info" TargetMode="External"/><Relationship Id="rId308" Type="http://schemas.openxmlformats.org/officeDocument/2006/relationships/hyperlink" Target="https://chat-conecta.recife.pe.gov.br/live/CqqhrAkTraJsziQLB/room-info" TargetMode="External"/><Relationship Id="rId307" Type="http://schemas.openxmlformats.org/officeDocument/2006/relationships/hyperlink" Target="https://chat-conecta.recife.pe.gov.br/live/zjaJmoeKHqmLrdbXQ/room-info" TargetMode="External"/><Relationship Id="rId306" Type="http://schemas.openxmlformats.org/officeDocument/2006/relationships/hyperlink" Target="https://chat-conecta.recife.pe.gov.br/live/4jGR34HwGjZLBDHhJ/room-info" TargetMode="External"/><Relationship Id="rId305" Type="http://schemas.openxmlformats.org/officeDocument/2006/relationships/hyperlink" Target="https://chat-conecta.recife.pe.gov.br/live/FaWuuad7DHZJdzvTZ/room-info" TargetMode="External"/><Relationship Id="rId304" Type="http://schemas.openxmlformats.org/officeDocument/2006/relationships/hyperlink" Target="https://chat-conecta.recife.pe.gov.br/live/BRNu54oBfuy8i2JbB/room-info" TargetMode="External"/><Relationship Id="rId303" Type="http://schemas.openxmlformats.org/officeDocument/2006/relationships/hyperlink" Target="https://chat-conecta.recife.pe.gov.br/live/MeyJazrk6jviTybNu/room-info" TargetMode="External"/><Relationship Id="rId302" Type="http://schemas.openxmlformats.org/officeDocument/2006/relationships/hyperlink" Target="https://chat-conecta.recife.pe.gov.br/live/JCQ28z4wYMD35H4jB/room-info" TargetMode="External"/><Relationship Id="rId301" Type="http://schemas.openxmlformats.org/officeDocument/2006/relationships/hyperlink" Target="https://chat-conecta.recife.pe.gov.br/live/cypqiKKAtQgQMmhE6/room-info" TargetMode="External"/><Relationship Id="rId300" Type="http://schemas.openxmlformats.org/officeDocument/2006/relationships/hyperlink" Target="https://chat-conecta.recife.pe.gov.br/live/fRHqyqFRfAT4aiYqR/room-info" TargetMode="External"/><Relationship Id="rId30" Type="http://schemas.openxmlformats.org/officeDocument/2006/relationships/hyperlink" Target="https://chat.brainyresolution.com/live/LmYEKZwGL5XFkX4hB/user-info" TargetMode="External"/><Relationship Id="rId3" Type="http://schemas.openxmlformats.org/officeDocument/2006/relationships/hyperlink" Target="https://chat.brainyresolution.com/live/kZFKJdw4SmmP8oTmr/room-info" TargetMode="External"/><Relationship Id="rId299" Type="http://schemas.openxmlformats.org/officeDocument/2006/relationships/hyperlink" Target="https://chat-conecta.recife.pe.gov.br/live/rcikRKnCpkrFbE3C2/room-info" TargetMode="External"/><Relationship Id="rId298" Type="http://schemas.openxmlformats.org/officeDocument/2006/relationships/hyperlink" Target="https://chat-conecta.recife.pe.gov.br/live/RRx5Pbp4NujcknTAi/room-info" TargetMode="External"/><Relationship Id="rId297" Type="http://schemas.openxmlformats.org/officeDocument/2006/relationships/hyperlink" Target="https://chat-conecta.recife.pe.gov.br/live/78YnaFQcRbCBfHCtc/room-info" TargetMode="External"/><Relationship Id="rId296" Type="http://schemas.openxmlformats.org/officeDocument/2006/relationships/hyperlink" Target="https://chat-conecta.recife.pe.gov.br/live/2DBGWFuYYz2ymZ5ES/room-info" TargetMode="External"/><Relationship Id="rId295" Type="http://schemas.openxmlformats.org/officeDocument/2006/relationships/hyperlink" Target="https://chat-conecta.recife.pe.gov.br/live/kx654zdpddCyxS4TB/room-info" TargetMode="External"/><Relationship Id="rId294" Type="http://schemas.openxmlformats.org/officeDocument/2006/relationships/hyperlink" Target="https://chat-conecta.recife.pe.gov.br/live/7H5TzgPCwjcroMExJ/room-info" TargetMode="External"/><Relationship Id="rId293" Type="http://schemas.openxmlformats.org/officeDocument/2006/relationships/hyperlink" Target="https://chat-conecta.recife.pe.gov.br/live/7wQxrKnF4ZXWQtHJc/room-info" TargetMode="External"/><Relationship Id="rId292" Type="http://schemas.openxmlformats.org/officeDocument/2006/relationships/hyperlink" Target="https://chat-conecta.recife.pe.gov.br/live/o7anGEizDANG4Tz9g/room-info" TargetMode="External"/><Relationship Id="rId291" Type="http://schemas.openxmlformats.org/officeDocument/2006/relationships/hyperlink" Target="https://chat-conecta.recife.pe.gov.br/live/8tKSh2EoFxFghcTf6/room-info" TargetMode="External"/><Relationship Id="rId290" Type="http://schemas.openxmlformats.org/officeDocument/2006/relationships/hyperlink" Target="https://chat-conecta.recife.pe.gov.br/live/55tmgSH4BhovqPNbs/room-info" TargetMode="External"/><Relationship Id="rId29" Type="http://schemas.openxmlformats.org/officeDocument/2006/relationships/hyperlink" Target="https://chat.brainyresolution.com/live/Xv2Jxnkxv8hs2GxbX/room-info" TargetMode="External"/><Relationship Id="rId289" Type="http://schemas.openxmlformats.org/officeDocument/2006/relationships/hyperlink" Target="https://chat-conecta.recife.pe.gov.br/live/7FoJGNnQAtub8Pbeu/room-info" TargetMode="External"/><Relationship Id="rId288" Type="http://schemas.openxmlformats.org/officeDocument/2006/relationships/hyperlink" Target="https://chat-conecta.recife.pe.gov.br/live/NNKR3geYk5siGhvE6/room-info" TargetMode="External"/><Relationship Id="rId287" Type="http://schemas.openxmlformats.org/officeDocument/2006/relationships/hyperlink" Target="https://chat-conecta.recife.pe.gov.br/live/DbE3MjfgcW4KBqvN8/room-info" TargetMode="External"/><Relationship Id="rId286" Type="http://schemas.openxmlformats.org/officeDocument/2006/relationships/hyperlink" Target="https://chat-conecta.recife.pe.gov.br/live/pKSQmqqrmLMac4uBv/room-info" TargetMode="External"/><Relationship Id="rId285" Type="http://schemas.openxmlformats.org/officeDocument/2006/relationships/hyperlink" Target="https://chat-conecta.recife.pe.gov.br/live/EwPTP2AaAWMm4KSCp/room-info" TargetMode="External"/><Relationship Id="rId284" Type="http://schemas.openxmlformats.org/officeDocument/2006/relationships/hyperlink" Target="https://chat-conecta.recife.pe.gov.br/live/vyqcASbaKNy5pCdvA/room-info" TargetMode="External"/><Relationship Id="rId283" Type="http://schemas.openxmlformats.org/officeDocument/2006/relationships/hyperlink" Target="https://chat-conecta.recife.pe.gov.br/live/j3YXM3ShMxAXMYDzt/room-info" TargetMode="External"/><Relationship Id="rId282" Type="http://schemas.openxmlformats.org/officeDocument/2006/relationships/hyperlink" Target="https://chat-conecta.recife.pe.gov.br/live/3ySpMCufvcGYxggDs/room-info" TargetMode="External"/><Relationship Id="rId281" Type="http://schemas.openxmlformats.org/officeDocument/2006/relationships/hyperlink" Target="https://chat-conecta.recife.pe.gov.br/live/jngDdGmoLDP6hJvWm" TargetMode="External"/><Relationship Id="rId280" Type="http://schemas.openxmlformats.org/officeDocument/2006/relationships/hyperlink" Target="https://chat-conecta.recife.pe.gov.br/live/kMkXfsmpd4QAXeeX8/room-info" TargetMode="External"/><Relationship Id="rId28" Type="http://schemas.openxmlformats.org/officeDocument/2006/relationships/hyperlink" Target="https://chat.brainyresolution.com/live/c79c3FAuNpJMcTgcP/user-info" TargetMode="External"/><Relationship Id="rId279" Type="http://schemas.openxmlformats.org/officeDocument/2006/relationships/hyperlink" Target="https://chat-conecta.recife.pe.gov.br/live/a76hkBTHEoyQSf3WQ/room-info" TargetMode="External"/><Relationship Id="rId278" Type="http://schemas.openxmlformats.org/officeDocument/2006/relationships/hyperlink" Target="https://chat-conecta.recife.pe.gov.br/live/CNNG4FYoy7rTxGfNS" TargetMode="External"/><Relationship Id="rId277" Type="http://schemas.openxmlformats.org/officeDocument/2006/relationships/hyperlink" Target="https://chat-conecta.recife.pe.gov.br/live/swjY6LS9GXMyxMggD/room-info" TargetMode="External"/><Relationship Id="rId276" Type="http://schemas.openxmlformats.org/officeDocument/2006/relationships/hyperlink" Target="https://chat-conecta.recife.pe.gov.br/live/FPjb2X6nEg5B3ivim/room-info" TargetMode="External"/><Relationship Id="rId275" Type="http://schemas.openxmlformats.org/officeDocument/2006/relationships/hyperlink" Target="https://chat-conecta.recife.pe.gov.br/live/qkCDXjSDZcZvnqE87/room-info" TargetMode="External"/><Relationship Id="rId274" Type="http://schemas.openxmlformats.org/officeDocument/2006/relationships/hyperlink" Target="https://chat-conecta.recife.pe.gov.br/live/23SajvLJCWRgWKkhe/room-info" TargetMode="External"/><Relationship Id="rId273" Type="http://schemas.openxmlformats.org/officeDocument/2006/relationships/hyperlink" Target="https://chat-conecta.recife.pe.gov.br/live/TLa2HyAnQjNuAE9qf/room-info" TargetMode="External"/><Relationship Id="rId272" Type="http://schemas.openxmlformats.org/officeDocument/2006/relationships/hyperlink" Target="https://chat-conecta.recife.pe.gov.br/live/aZWM9Ck73gpfS4HRg/room-info" TargetMode="External"/><Relationship Id="rId271" Type="http://schemas.openxmlformats.org/officeDocument/2006/relationships/hyperlink" Target="https://chat-conecta.recife.pe.gov.br/live/5cZw3C9xs2B5efvzE/room-info" TargetMode="External"/><Relationship Id="rId270" Type="http://schemas.openxmlformats.org/officeDocument/2006/relationships/hyperlink" Target="https://chat-conecta.recife.pe.gov.br/live/vjHnnKNpMEyyNes4j/room-info" TargetMode="External"/><Relationship Id="rId27" Type="http://schemas.openxmlformats.org/officeDocument/2006/relationships/hyperlink" Target="https://chat.brainyresolution.com/live/7YPv962zxs2ZQRxML/user-info" TargetMode="External"/><Relationship Id="rId269" Type="http://schemas.openxmlformats.org/officeDocument/2006/relationships/hyperlink" Target="https://chat-conecta.recife.pe.gov.br/live/RfaFeGArBJtum2A4Y/room-info" TargetMode="External"/><Relationship Id="rId268" Type="http://schemas.openxmlformats.org/officeDocument/2006/relationships/hyperlink" Target="https://chat-conecta.recife.pe.gov.br/live/ndCe2RnbsjbYq6EYK/room-info" TargetMode="External"/><Relationship Id="rId267" Type="http://schemas.openxmlformats.org/officeDocument/2006/relationships/hyperlink" Target="https://chat-conecta.recife.pe.gov.br/live/n6FYiyaHifHEuTn8W/room-info" TargetMode="External"/><Relationship Id="rId266" Type="http://schemas.openxmlformats.org/officeDocument/2006/relationships/hyperlink" Target="https://chat-conecta.recife.pe.gov.br/live/TQtBCgLkrd4PFzM28/room-info" TargetMode="External"/><Relationship Id="rId265" Type="http://schemas.openxmlformats.org/officeDocument/2006/relationships/hyperlink" Target="https://chat-conecta.recife.pe.gov.br/live/9AeaRH9NC6zTGwnxs/room-info" TargetMode="External"/><Relationship Id="rId264" Type="http://schemas.openxmlformats.org/officeDocument/2006/relationships/hyperlink" Target="https://chat-conecta.recife.pe.gov.br/live/dm3vBLhWwfzP4Q5en/room-info" TargetMode="External"/><Relationship Id="rId263" Type="http://schemas.openxmlformats.org/officeDocument/2006/relationships/hyperlink" Target="https://chat-conecta.recife.pe.gov.br/live/B3mNBycZyHFa9r6py" TargetMode="External"/><Relationship Id="rId262" Type="http://schemas.openxmlformats.org/officeDocument/2006/relationships/hyperlink" Target="https://chat-conecta.recife.pe.gov.br/live/dwRWD6srjTzWsD9Cz" TargetMode="External"/><Relationship Id="rId261" Type="http://schemas.openxmlformats.org/officeDocument/2006/relationships/hyperlink" Target="https://chat-conecta.recife.pe.gov.br/live/hineX9fQrPYgPo9bs/room-info" TargetMode="External"/><Relationship Id="rId260" Type="http://schemas.openxmlformats.org/officeDocument/2006/relationships/hyperlink" Target="https://chat-conecta.recife.pe.gov.br/live/tevz39eMcPWpxxsyR" TargetMode="External"/><Relationship Id="rId26" Type="http://schemas.openxmlformats.org/officeDocument/2006/relationships/hyperlink" Target="https://chat.brainyresolution.com/live/dxAAHScfueACCCwrt/room-info" TargetMode="External"/><Relationship Id="rId259" Type="http://schemas.openxmlformats.org/officeDocument/2006/relationships/hyperlink" Target="https://chat-conecta.recife.pe.gov.br/live/ZqEwu5isu6gDk2n4c" TargetMode="External"/><Relationship Id="rId258" Type="http://schemas.openxmlformats.org/officeDocument/2006/relationships/hyperlink" Target="https://chat-conecta.recife.pe.gov.br/live/bAY9NTt8kywbYQ5dv" TargetMode="External"/><Relationship Id="rId257" Type="http://schemas.openxmlformats.org/officeDocument/2006/relationships/hyperlink" Target="https://chat-conecta.recife.pe.gov.br/live/bjfQqbxdPAD6v6rtj" TargetMode="External"/><Relationship Id="rId256" Type="http://schemas.openxmlformats.org/officeDocument/2006/relationships/hyperlink" Target="https://chat-conecta.recife.pe.gov.br/live/SZNc73qgbooY85svD" TargetMode="External"/><Relationship Id="rId255" Type="http://schemas.openxmlformats.org/officeDocument/2006/relationships/hyperlink" Target="https://chat-conecta.recife.pe.gov.br/live/PkXBNzxzZcGmMQXSs" TargetMode="External"/><Relationship Id="rId254" Type="http://schemas.openxmlformats.org/officeDocument/2006/relationships/hyperlink" Target="https://chat-conecta.recife.pe.gov.br/live/rzLnXfNdugWLikBRZ/room-info" TargetMode="External"/><Relationship Id="rId253" Type="http://schemas.openxmlformats.org/officeDocument/2006/relationships/hyperlink" Target="https://chat-conecta.recife.pe.gov.br/live/Zbs96JhYHsca9teQs/room-info" TargetMode="External"/><Relationship Id="rId252" Type="http://schemas.openxmlformats.org/officeDocument/2006/relationships/hyperlink" Target="https://chat-conecta.recife.pe.gov.br/live/NqJeEze4pEbwzf2Yn/user-info" TargetMode="External"/><Relationship Id="rId251" Type="http://schemas.openxmlformats.org/officeDocument/2006/relationships/hyperlink" Target="https://chat-conecta.recife.pe.gov.br/live/rapXxPfrzoobNLhGK/user-info" TargetMode="External"/><Relationship Id="rId250" Type="http://schemas.openxmlformats.org/officeDocument/2006/relationships/hyperlink" Target="https://chat-conecta.recife.pe.gov.br/live/2HRvs4qjch5K8kN64/user-info" TargetMode="External"/><Relationship Id="rId25" Type="http://schemas.openxmlformats.org/officeDocument/2006/relationships/hyperlink" Target="https://chat.brainyresolution.com/live/rCRT8RLaMYcDY2rfe/room-info" TargetMode="External"/><Relationship Id="rId249" Type="http://schemas.openxmlformats.org/officeDocument/2006/relationships/hyperlink" Target="https://chat-conecta.recife.pe.gov.br/live/8Ynim4hHGfvXN6EGZ/user-info" TargetMode="External"/><Relationship Id="rId248" Type="http://schemas.openxmlformats.org/officeDocument/2006/relationships/hyperlink" Target="https://chat-conecta.recife.pe.gov.br/live/rx3vegabSnS5iZodZ/user-info" TargetMode="External"/><Relationship Id="rId247" Type="http://schemas.openxmlformats.org/officeDocument/2006/relationships/hyperlink" Target="https://chat-conecta.recife.pe.gov.br/live/isgXLanviyL3G59Ty/user-info" TargetMode="External"/><Relationship Id="rId246" Type="http://schemas.openxmlformats.org/officeDocument/2006/relationships/hyperlink" Target="https://chat-conecta.recife.pe.gov.br/live/8jGKJhrnWRGqhEPBT/user-info" TargetMode="External"/><Relationship Id="rId245" Type="http://schemas.openxmlformats.org/officeDocument/2006/relationships/hyperlink" Target="https://chat-conecta.recife.pe.gov.br/live/HPEYEb9v4H5SKn2Wu/user-info" TargetMode="External"/><Relationship Id="rId244" Type="http://schemas.openxmlformats.org/officeDocument/2006/relationships/hyperlink" Target="https://chat-conecta.recife.pe.gov.br/live/HeNbNXRRQAsjeYdNu/user-info" TargetMode="External"/><Relationship Id="rId243" Type="http://schemas.openxmlformats.org/officeDocument/2006/relationships/hyperlink" Target="https://chat-conecta.recife.pe.gov.br/live/De8vsKptXwiSWqLxD/room-info" TargetMode="External"/><Relationship Id="rId242" Type="http://schemas.openxmlformats.org/officeDocument/2006/relationships/hyperlink" Target="https://chat-conecta.recife.pe.gov.br/live/tvjp6pDo2uhRmuCjE/room-info" TargetMode="External"/><Relationship Id="rId241" Type="http://schemas.openxmlformats.org/officeDocument/2006/relationships/hyperlink" Target="https://chat-conecta.recife.pe.gov.br/live/xMBvEmYSZd2j362XZ/room-info" TargetMode="External"/><Relationship Id="rId240" Type="http://schemas.openxmlformats.org/officeDocument/2006/relationships/hyperlink" Target="https://chat-conecta.recife.pe.gov.br/live/jrY2NJ46AQiT5Wpyd/room-info" TargetMode="External"/><Relationship Id="rId24" Type="http://schemas.openxmlformats.org/officeDocument/2006/relationships/hyperlink" Target="https://chat.brainyresolution.com/live/jkcXobMHjvixkw4dc/room-info" TargetMode="External"/><Relationship Id="rId239" Type="http://schemas.openxmlformats.org/officeDocument/2006/relationships/hyperlink" Target="https://chat-conecta.recife.pe.gov.br/live/3xwE3ptvyFg7YmDtT/room-info" TargetMode="External"/><Relationship Id="rId238" Type="http://schemas.openxmlformats.org/officeDocument/2006/relationships/hyperlink" Target="https://chat-conecta.recife.pe.gov.br/live/gzEttFBYRMnv5d8Yd/room-info" TargetMode="External"/><Relationship Id="rId237" Type="http://schemas.openxmlformats.org/officeDocument/2006/relationships/hyperlink" Target="https://chat-conecta.recife.pe.gov.br/live/5e7tMDSBGQDRkc29z/room-info" TargetMode="External"/><Relationship Id="rId236" Type="http://schemas.openxmlformats.org/officeDocument/2006/relationships/hyperlink" Target="https://chat-conecta.recife.pe.gov.br/live/L6PK6tHPJG764ibck/room-info" TargetMode="External"/><Relationship Id="rId235" Type="http://schemas.openxmlformats.org/officeDocument/2006/relationships/hyperlink" Target="https://chat-conecta.recife.pe.gov.br/live/KWRrFujNCZRsLaCFC/room-info" TargetMode="External"/><Relationship Id="rId234" Type="http://schemas.openxmlformats.org/officeDocument/2006/relationships/hyperlink" Target="https://chat-conecta.recife.pe.gov.br/live/w8xYeuGjv9cH2HsQy/room-info" TargetMode="External"/><Relationship Id="rId233" Type="http://schemas.openxmlformats.org/officeDocument/2006/relationships/hyperlink" Target="https://chat-conecta.recife.pe.gov.br/live/GQuBWPyrtirt3myLb/room-info" TargetMode="External"/><Relationship Id="rId232" Type="http://schemas.openxmlformats.org/officeDocument/2006/relationships/hyperlink" Target="https://chat-conecta.recife.pe.gov.br/live/cmHwaWBLtngautWwb/room-info" TargetMode="External"/><Relationship Id="rId231" Type="http://schemas.openxmlformats.org/officeDocument/2006/relationships/hyperlink" Target="https://chat-conecta.recife.pe.gov.br/live/z5AFLveZahn5LB335/room-info" TargetMode="External"/><Relationship Id="rId230" Type="http://schemas.openxmlformats.org/officeDocument/2006/relationships/hyperlink" Target="https://chat-conecta.recife.pe.gov.br/live/5LtZLBm4BB5CydXsv/room-info" TargetMode="External"/><Relationship Id="rId23" Type="http://schemas.openxmlformats.org/officeDocument/2006/relationships/hyperlink" Target="https://chat.brainyresolution.com/live/4Mtur4GaozxbYMySX/room-info" TargetMode="External"/><Relationship Id="rId229" Type="http://schemas.openxmlformats.org/officeDocument/2006/relationships/hyperlink" Target="https://chat-conecta.recife.pe.gov.br/live/5aNNrfnwAjAjqvdin/room-info" TargetMode="External"/><Relationship Id="rId228" Type="http://schemas.openxmlformats.org/officeDocument/2006/relationships/hyperlink" Target="https://chat-conecta.recife.pe.gov.br/live/GcTN58Sgt2h8BQmsu/room-info" TargetMode="External"/><Relationship Id="rId227" Type="http://schemas.openxmlformats.org/officeDocument/2006/relationships/hyperlink" Target="https://chat-conecta.recife.pe.gov.br/live/8Tobb6DhQw6CMEJoC/room-info" TargetMode="External"/><Relationship Id="rId226" Type="http://schemas.openxmlformats.org/officeDocument/2006/relationships/hyperlink" Target="https://chat-conecta.recife.pe.gov.br/live/ZfGg7cLhQjHcFxts4/room-info" TargetMode="External"/><Relationship Id="rId225" Type="http://schemas.openxmlformats.org/officeDocument/2006/relationships/hyperlink" Target="https://chat-conecta.recife.pe.gov.br/live/4ZiNFLRswKesdMyK9/room-info" TargetMode="External"/><Relationship Id="rId224" Type="http://schemas.openxmlformats.org/officeDocument/2006/relationships/hyperlink" Target="https://chat-conecta.recife.pe.gov.br/live/atjd38tCYZGC3BQ2c/room-info" TargetMode="External"/><Relationship Id="rId223" Type="http://schemas.openxmlformats.org/officeDocument/2006/relationships/hyperlink" Target="https://chat-conecta.recife.pe.gov.br/live/DuaSxpoc2PTCTf95k/room-info" TargetMode="External"/><Relationship Id="rId222" Type="http://schemas.openxmlformats.org/officeDocument/2006/relationships/hyperlink" Target="https://chat-conecta.recife.pe.gov.br/live/kQnTdFMQk94z9ncou/room-info" TargetMode="External"/><Relationship Id="rId221" Type="http://schemas.openxmlformats.org/officeDocument/2006/relationships/hyperlink" Target="https://chat-conecta.recife.pe.gov.br/live/5bXNt88DYLyujEfBh/room-info" TargetMode="External"/><Relationship Id="rId220" Type="http://schemas.openxmlformats.org/officeDocument/2006/relationships/hyperlink" Target="https://chat-conecta.recife.pe.gov.br/live/B2vWiziDTSFapqnDq/room-info" TargetMode="External"/><Relationship Id="rId22" Type="http://schemas.openxmlformats.org/officeDocument/2006/relationships/hyperlink" Target="https://chat.brainyresolution.com/live/rzEoHTmDKHNwNzJYC/room-info" TargetMode="External"/><Relationship Id="rId219" Type="http://schemas.openxmlformats.org/officeDocument/2006/relationships/hyperlink" Target="https://chat-conecta.recife.pe.gov.br/live/dpvcPaQhtBmzPvTF4/room-info" TargetMode="External"/><Relationship Id="rId218" Type="http://schemas.openxmlformats.org/officeDocument/2006/relationships/hyperlink" Target="https://chat-conecta.recife.pe.gov.br/live/EaKQZtuifFYMa8QDg/room-info" TargetMode="External"/><Relationship Id="rId217" Type="http://schemas.openxmlformats.org/officeDocument/2006/relationships/hyperlink" Target="https://chat-conecta.recife.pe.gov.br/live/NECNoyTfRgzGYbmAG/room-info" TargetMode="External"/><Relationship Id="rId216" Type="http://schemas.openxmlformats.org/officeDocument/2006/relationships/hyperlink" Target="https://chat-conecta.recife.pe.gov.br/live/kWBQuHPJ7TR7wkfDN/room-info" TargetMode="External"/><Relationship Id="rId215" Type="http://schemas.openxmlformats.org/officeDocument/2006/relationships/hyperlink" Target="https://chat-conecta.recife.pe.gov.br/live/2XeuA4jDKvc2NSikT/room-info" TargetMode="External"/><Relationship Id="rId214" Type="http://schemas.openxmlformats.org/officeDocument/2006/relationships/hyperlink" Target="https://chat-conecta.recife.pe.gov.br/live/WEByGvLtkcevr879g/room-info" TargetMode="External"/><Relationship Id="rId213" Type="http://schemas.openxmlformats.org/officeDocument/2006/relationships/hyperlink" Target="https://chat-conecta.recife.pe.gov.br/live/gJEMyghr8fxPpZaYk/room-info" TargetMode="External"/><Relationship Id="rId212" Type="http://schemas.openxmlformats.org/officeDocument/2006/relationships/hyperlink" Target="https://chat-conecta.recife.pe.gov.br/live/SaQ9gY92RWAhxRd7n/room-info" TargetMode="External"/><Relationship Id="rId211" Type="http://schemas.openxmlformats.org/officeDocument/2006/relationships/hyperlink" Target="https://chat-conecta.recife.pe.gov.br/live/jgSGX9bpP7RpC8GBR/room-info" TargetMode="External"/><Relationship Id="rId210" Type="http://schemas.openxmlformats.org/officeDocument/2006/relationships/hyperlink" Target="https://chat-conecta.recife.pe.gov.br/live/cwojfC4xEMsjpLdcT/room-info" TargetMode="External"/><Relationship Id="rId21" Type="http://schemas.openxmlformats.org/officeDocument/2006/relationships/hyperlink" Target="https://chat.brainyresolution.com/live/f34n3bnpeADoyov42/room-info" TargetMode="External"/><Relationship Id="rId209" Type="http://schemas.openxmlformats.org/officeDocument/2006/relationships/hyperlink" Target="https://chat-conecta.recife.pe.gov.br/live/XkpapkD7xbjG4fMNo/room-info" TargetMode="External"/><Relationship Id="rId208" Type="http://schemas.openxmlformats.org/officeDocument/2006/relationships/hyperlink" Target="https://chat-conecta.recife.pe.gov.br/live/Zw3gf7gJxXcf4CzRj/room-info" TargetMode="External"/><Relationship Id="rId207" Type="http://schemas.openxmlformats.org/officeDocument/2006/relationships/hyperlink" Target="https://chat-conecta.recife.pe.gov.br/live/TDFpcpJs8z2bak4kZ/room-info" TargetMode="External"/><Relationship Id="rId206" Type="http://schemas.openxmlformats.org/officeDocument/2006/relationships/hyperlink" Target="https://chat-conecta.recife.pe.gov.br/live/iBA7S6DgAbjQ7gPks/room-info" TargetMode="External"/><Relationship Id="rId205" Type="http://schemas.openxmlformats.org/officeDocument/2006/relationships/hyperlink" Target="https://chat-conecta.recife.pe.gov.br/live/8pjfE8v5wbQYdtw62" TargetMode="External"/><Relationship Id="rId204" Type="http://schemas.openxmlformats.org/officeDocument/2006/relationships/hyperlink" Target="https://chat-conecta.recife.pe.gov.br/live/aRfJeQHYA8RwCajND/user-info" TargetMode="External"/><Relationship Id="rId203" Type="http://schemas.openxmlformats.org/officeDocument/2006/relationships/hyperlink" Target="https://chat-conecta.recife.pe.gov.br/live/pBEm8NN2qwNLjY8hk/user-info" TargetMode="External"/><Relationship Id="rId202" Type="http://schemas.openxmlformats.org/officeDocument/2006/relationships/hyperlink" Target="https://chat-conecta.recife.pe.gov.br/live/wfRgKGa2mJAggoFWj" TargetMode="External"/><Relationship Id="rId201" Type="http://schemas.openxmlformats.org/officeDocument/2006/relationships/hyperlink" Target="https://chat-conecta.recife.pe.gov.br/live/khyiQeX5qctQSzsbg/room-info" TargetMode="External"/><Relationship Id="rId200" Type="http://schemas.openxmlformats.org/officeDocument/2006/relationships/hyperlink" Target="https://chat-conecta.recife.pe.gov.br/live/mD6aKRKru4uTd2cij/room-info" TargetMode="External"/><Relationship Id="rId20" Type="http://schemas.openxmlformats.org/officeDocument/2006/relationships/hyperlink" Target="https://chat.brainyresolution.com/live/eK7bjjPrRZFZ5v594/room-info" TargetMode="External"/><Relationship Id="rId2" Type="http://schemas.openxmlformats.org/officeDocument/2006/relationships/hyperlink" Target="https://chat.brainyresolution.com/live/WZRRFcD538k9WGKko/room-info" TargetMode="External"/><Relationship Id="rId199" Type="http://schemas.openxmlformats.org/officeDocument/2006/relationships/hyperlink" Target="https://chat-conecta.recife.pe.gov.br/live/rHhNuQcq5n7dvw7q2/room-info" TargetMode="External"/><Relationship Id="rId198" Type="http://schemas.openxmlformats.org/officeDocument/2006/relationships/hyperlink" Target="https://chat-conecta.recife.pe.gov.br/live/TMNzv5Qb6NwC5zwjP/room-info" TargetMode="External"/><Relationship Id="rId197" Type="http://schemas.openxmlformats.org/officeDocument/2006/relationships/hyperlink" Target="https://chat-conecta.recife.pe.gov.br/live/bzJSihH6GgfrEtpub/room-info" TargetMode="External"/><Relationship Id="rId196" Type="http://schemas.openxmlformats.org/officeDocument/2006/relationships/hyperlink" Target="https://chat-conecta.recife.pe.gov.br/live/icoiWhELwKb4eX7S6" TargetMode="External"/><Relationship Id="rId195" Type="http://schemas.openxmlformats.org/officeDocument/2006/relationships/hyperlink" Target="https://chat-conecta.recife.pe.gov.br/live/86CvmkXzA8zwRzzWt" TargetMode="External"/><Relationship Id="rId194" Type="http://schemas.openxmlformats.org/officeDocument/2006/relationships/hyperlink" Target="https://chat-conecta.recife.pe.gov.br/live/kvnzsEg6bgdt3fzmo/room-info" TargetMode="External"/><Relationship Id="rId193" Type="http://schemas.openxmlformats.org/officeDocument/2006/relationships/hyperlink" Target="https://chat-conecta.recife.pe.gov.br/live/xP2FQCHRHKBeos9HY" TargetMode="External"/><Relationship Id="rId192" Type="http://schemas.openxmlformats.org/officeDocument/2006/relationships/hyperlink" Target="https://chat-conecta.recife.pe.gov.br/live/X7vgMtFgLdMvSXxdK/user-info" TargetMode="External"/><Relationship Id="rId191" Type="http://schemas.openxmlformats.org/officeDocument/2006/relationships/hyperlink" Target="https://chat-conecta.recife.pe.gov.br/live/eQbtZZhzkLJELB5mC" TargetMode="External"/><Relationship Id="rId190" Type="http://schemas.openxmlformats.org/officeDocument/2006/relationships/hyperlink" Target="https://chat-conecta.recife.pe.gov.br/live/bJ3FCqwHmkuLju4Wu/user-info" TargetMode="External"/><Relationship Id="rId19" Type="http://schemas.openxmlformats.org/officeDocument/2006/relationships/hyperlink" Target="https://chat.brainyresolution.com/live/B6cqNNJD9utSg2Wgx/room-info" TargetMode="External"/><Relationship Id="rId189" Type="http://schemas.openxmlformats.org/officeDocument/2006/relationships/hyperlink" Target="https://chat-conecta.recife.pe.gov.br/live/sYQXAd8GFgfcNwEKK/room-info" TargetMode="External"/><Relationship Id="rId188" Type="http://schemas.openxmlformats.org/officeDocument/2006/relationships/hyperlink" Target="https://chat-conecta.recife.pe.gov.br/live/RuwqxuepfRD44wzvg/room-info" TargetMode="External"/><Relationship Id="rId187" Type="http://schemas.openxmlformats.org/officeDocument/2006/relationships/hyperlink" Target="https://chat-conecta.recife.pe.gov.br/live/zSerzZd2fXNsj48ci/room-info" TargetMode="External"/><Relationship Id="rId186" Type="http://schemas.openxmlformats.org/officeDocument/2006/relationships/hyperlink" Target="https://chat-conecta.recife.pe.gov.br/live/sihnqDLmYbNPm6Qkt/room-info" TargetMode="External"/><Relationship Id="rId185" Type="http://schemas.openxmlformats.org/officeDocument/2006/relationships/hyperlink" Target="https://chat-conecta.recife.pe.gov.br/live/XnkZf7HMf5g2qADNX/room-info" TargetMode="External"/><Relationship Id="rId184" Type="http://schemas.openxmlformats.org/officeDocument/2006/relationships/hyperlink" Target="https://chat-conecta.recife.pe.gov.br/live/ZxkQ52GxtHsq6QaWS/room-info" TargetMode="External"/><Relationship Id="rId183" Type="http://schemas.openxmlformats.org/officeDocument/2006/relationships/hyperlink" Target="https://chat-conecta.recife.pe.gov.br/live/dLAt6kozzP8q7YPwm/room-info" TargetMode="External"/><Relationship Id="rId182" Type="http://schemas.openxmlformats.org/officeDocument/2006/relationships/hyperlink" Target="https://chat-conecta.recife.pe.gov.br/live/nWn2Ret9bbsHvh2qe/room-info" TargetMode="External"/><Relationship Id="rId181" Type="http://schemas.openxmlformats.org/officeDocument/2006/relationships/hyperlink" Target="https://chat-conecta.recife.pe.gov.br/live/jKgocvXZKjmtikQoc/room-info" TargetMode="External"/><Relationship Id="rId180" Type="http://schemas.openxmlformats.org/officeDocument/2006/relationships/hyperlink" Target="https://chat-conecta.recife.pe.gov.br/live/rAKb3joCBFo2kGi8s" TargetMode="External"/><Relationship Id="rId18" Type="http://schemas.openxmlformats.org/officeDocument/2006/relationships/hyperlink" Target="https://chat.brainyresolution.com/live/gu2MZpqS44taorwfd" TargetMode="External"/><Relationship Id="rId179" Type="http://schemas.openxmlformats.org/officeDocument/2006/relationships/hyperlink" Target="https://chat-conecta.recife.pe.gov.br/live/P4cpEBAPBTff26piZ" TargetMode="External"/><Relationship Id="rId178" Type="http://schemas.openxmlformats.org/officeDocument/2006/relationships/hyperlink" Target="https://chat-conecta.recife.pe.gov.br/live/vm9n8ocbYoL43ta5a" TargetMode="External"/><Relationship Id="rId177" Type="http://schemas.openxmlformats.org/officeDocument/2006/relationships/hyperlink" Target="https://chat-conecta.recife.pe.gov.br/live/uSnxcbST9vduYjKzc/room-info" TargetMode="External"/><Relationship Id="rId176" Type="http://schemas.openxmlformats.org/officeDocument/2006/relationships/hyperlink" Target="https://chat-conecta.recife.pe.gov.br/live/pvvshwnvAfuj2gsMe/room-info" TargetMode="External"/><Relationship Id="rId175" Type="http://schemas.openxmlformats.org/officeDocument/2006/relationships/hyperlink" Target="https://chat-conecta.recife.pe.gov.br/live/9RnP3Pw8wtLMxgAGe/room-info" TargetMode="External"/><Relationship Id="rId174" Type="http://schemas.openxmlformats.org/officeDocument/2006/relationships/hyperlink" Target="https://chat-conecta.recife.pe.gov.br/live/XdetrSSMRryzADLzP/user-info" TargetMode="External"/><Relationship Id="rId173" Type="http://schemas.openxmlformats.org/officeDocument/2006/relationships/hyperlink" Target="https://chat-conecta.recife.pe.gov.br/live/Xzg5buA5kRzdrHyDN" TargetMode="External"/><Relationship Id="rId172" Type="http://schemas.openxmlformats.org/officeDocument/2006/relationships/hyperlink" Target="https://chat-conecta.recife.pe.gov.br/live/q9Bm9QzPFraHXDxkZ" TargetMode="External"/><Relationship Id="rId171" Type="http://schemas.openxmlformats.org/officeDocument/2006/relationships/hyperlink" Target="https://chat-conecta.recife.pe.gov.br/live/RgjsNABSKKJRhEkoD" TargetMode="External"/><Relationship Id="rId170" Type="http://schemas.openxmlformats.org/officeDocument/2006/relationships/hyperlink" Target="https://chat-conecta.recife.pe.gov.br/live/GBEKjXb5qB7ci4mJT/user-info" TargetMode="External"/><Relationship Id="rId17" Type="http://schemas.openxmlformats.org/officeDocument/2006/relationships/hyperlink" Target="https://chat.brainyresolution.com/live/qwHn8Fvg7oX4ioMCT/room-info" TargetMode="External"/><Relationship Id="rId169" Type="http://schemas.openxmlformats.org/officeDocument/2006/relationships/hyperlink" Target="https://chat-conecta.recife.pe.gov.br/live/yjGXgqJQHMbaHNNiS/user-info" TargetMode="External"/><Relationship Id="rId168" Type="http://schemas.openxmlformats.org/officeDocument/2006/relationships/hyperlink" Target="https://chat-conecta.recife.pe.gov.br/live/XSjcZjXximK4K4dnL/user-info" TargetMode="External"/><Relationship Id="rId167" Type="http://schemas.openxmlformats.org/officeDocument/2006/relationships/hyperlink" Target="https://chat-conecta.recife.pe.gov.br/live/apiPCSWYbBFHGMbuX" TargetMode="External"/><Relationship Id="rId166" Type="http://schemas.openxmlformats.org/officeDocument/2006/relationships/hyperlink" Target="https://chat-conecta.recife.pe.gov.br/omnichannel-directory/chats/view/8SNs3dsnLs8wrRHQn" TargetMode="External"/><Relationship Id="rId165" Type="http://schemas.openxmlformats.org/officeDocument/2006/relationships/hyperlink" Target="https://chat-conecta.recife.pe.gov.br/live/RvKfGja7Na67KXzGc" TargetMode="External"/><Relationship Id="rId164" Type="http://schemas.openxmlformats.org/officeDocument/2006/relationships/hyperlink" Target="https://chat-conecta.recife.pe.gov.br/live/WZZJ47igGCEqbmrMx" TargetMode="External"/><Relationship Id="rId163" Type="http://schemas.openxmlformats.org/officeDocument/2006/relationships/hyperlink" Target="https://chat-conecta.recife.pe.gov.br/live/JQaiPD5gaCfmmB2vB/room-info" TargetMode="External"/><Relationship Id="rId162" Type="http://schemas.openxmlformats.org/officeDocument/2006/relationships/hyperlink" Target="https://chat-conecta.recife.pe.gov.br/live/MDMX4sBnk4BuytErv/room-info" TargetMode="External"/><Relationship Id="rId161" Type="http://schemas.openxmlformats.org/officeDocument/2006/relationships/hyperlink" Target="https://chat-conecta.recife.pe.gov.br/live/Lv6iTajJCbqNWuu5p/room-info" TargetMode="External"/><Relationship Id="rId160" Type="http://schemas.openxmlformats.org/officeDocument/2006/relationships/hyperlink" Target="https://chat-conecta.recife.pe.gov.br/live/cRftuAaHct4cv8tTe/room-info" TargetMode="External"/><Relationship Id="rId16" Type="http://schemas.openxmlformats.org/officeDocument/2006/relationships/hyperlink" Target="https://chat.brainyresolution.com/live/TRz4AwTf6M4rhwXqB/room-info" TargetMode="External"/><Relationship Id="rId159" Type="http://schemas.openxmlformats.org/officeDocument/2006/relationships/hyperlink" Target="https://chat-conecta.recife.pe.gov.br/live/jiALQqAWX2ut6Kf87/room-info" TargetMode="External"/><Relationship Id="rId158" Type="http://schemas.openxmlformats.org/officeDocument/2006/relationships/hyperlink" Target="https://chat-conecta.recife.pe.gov.br/live/5TbmGyR7AucHP2L3G/room-info" TargetMode="External"/><Relationship Id="rId157" Type="http://schemas.openxmlformats.org/officeDocument/2006/relationships/hyperlink" Target="https://chat-conecta.recife.pe.gov.br/live/kuaDRFt8YNDJHtR4E/room-info" TargetMode="External"/><Relationship Id="rId156" Type="http://schemas.openxmlformats.org/officeDocument/2006/relationships/hyperlink" Target="https://chat-conecta.recife.pe.gov.br/live/eYkLHy4mfku8bCcms/room-info" TargetMode="External"/><Relationship Id="rId155" Type="http://schemas.openxmlformats.org/officeDocument/2006/relationships/hyperlink" Target="https://chat-conecta.recife.pe.gov.br/live/tR8ZXSpAwfn3L2TeY/room-info" TargetMode="External"/><Relationship Id="rId154" Type="http://schemas.openxmlformats.org/officeDocument/2006/relationships/hyperlink" Target="https://chat-conecta.recife.pe.gov.br/live/fshKtjtWmgQYwngtq/room-info" TargetMode="External"/><Relationship Id="rId153" Type="http://schemas.openxmlformats.org/officeDocument/2006/relationships/hyperlink" Target="https://chat-conecta.recife.pe.gov.br/live/4QzhWtzvySrb2Qyrw/room-info" TargetMode="External"/><Relationship Id="rId152" Type="http://schemas.openxmlformats.org/officeDocument/2006/relationships/hyperlink" Target="https://chat-conecta.recife.pe.gov.br/live/dp4kLAumgW4aLn2pn/room-info" TargetMode="External"/><Relationship Id="rId151" Type="http://schemas.openxmlformats.org/officeDocument/2006/relationships/hyperlink" Target="https://chat-conecta.recife.pe.gov.br/live/x2WYEaSn642yQv2qx/room-info" TargetMode="External"/><Relationship Id="rId150" Type="http://schemas.openxmlformats.org/officeDocument/2006/relationships/hyperlink" Target="https://chat-conecta.recife.pe.gov.br/live/YNWQ2yYGtWTeeW97Z/room-info" TargetMode="External"/><Relationship Id="rId15" Type="http://schemas.openxmlformats.org/officeDocument/2006/relationships/hyperlink" Target="https://chat.brainyresolution.com/live/WomyPimenE2KBmHGM/room-info" TargetMode="External"/><Relationship Id="rId149" Type="http://schemas.openxmlformats.org/officeDocument/2006/relationships/hyperlink" Target="https://chat-conecta.recife.pe.gov.br/live/3esQwu9Bi98ZStk7B/room-info" TargetMode="External"/><Relationship Id="rId148" Type="http://schemas.openxmlformats.org/officeDocument/2006/relationships/hyperlink" Target="https://chat-conecta.recife.pe.gov.br/live/rivwDgcuD4NgKtwx6/room-info" TargetMode="External"/><Relationship Id="rId147" Type="http://schemas.openxmlformats.org/officeDocument/2006/relationships/hyperlink" Target="https://chat-conecta.recife.pe.gov.br/live/ZY9pTh8xvYv8HDHGx/room-info" TargetMode="External"/><Relationship Id="rId146" Type="http://schemas.openxmlformats.org/officeDocument/2006/relationships/hyperlink" Target="https://chat-conecta.recife.pe.gov.br/live/Cd3oLs5byQLot8gq4/user-info" TargetMode="External"/><Relationship Id="rId145" Type="http://schemas.openxmlformats.org/officeDocument/2006/relationships/hyperlink" Target="https://chat-conecta.recife.pe.gov.br/live/hQNPk9Qw3xHsgQ73W/user-info" TargetMode="External"/><Relationship Id="rId144" Type="http://schemas.openxmlformats.org/officeDocument/2006/relationships/hyperlink" Target="https://chat-conecta.recife.pe.gov.br/live/oHb4uxDS2qBNbpjMc/room-info" TargetMode="External"/><Relationship Id="rId143" Type="http://schemas.openxmlformats.org/officeDocument/2006/relationships/hyperlink" Target="https://chat-conecta.recife.pe.gov.br/live/8ddH4LNxRS39NabZg/room-info" TargetMode="External"/><Relationship Id="rId142" Type="http://schemas.openxmlformats.org/officeDocument/2006/relationships/hyperlink" Target="https://chat-conecta.recife.pe.gov.br/live/zg2JkPW8Lz2cykmh7/room-info" TargetMode="External"/><Relationship Id="rId141" Type="http://schemas.openxmlformats.org/officeDocument/2006/relationships/hyperlink" Target="https://chat-conecta.recife.pe.gov.br/live/Snmnr8goaFWKdTcgj/room-info" TargetMode="External"/><Relationship Id="rId140" Type="http://schemas.openxmlformats.org/officeDocument/2006/relationships/hyperlink" Target="https://chat-conecta.recife.pe.gov.br/live/vH359k3JERvRsbJQc/room-info" TargetMode="External"/><Relationship Id="rId14" Type="http://schemas.openxmlformats.org/officeDocument/2006/relationships/hyperlink" Target="https://chat.brainyresolution.com/live/tR6sMipgEbwHTwW9j/room-info" TargetMode="External"/><Relationship Id="rId139" Type="http://schemas.openxmlformats.org/officeDocument/2006/relationships/hyperlink" Target="https://chat-conecta.recife.pe.gov.br/live/P5HfiupyGbd8cGPX9/room-info" TargetMode="External"/><Relationship Id="rId138" Type="http://schemas.openxmlformats.org/officeDocument/2006/relationships/hyperlink" Target="https://chat-conecta.recife.pe.gov.br/live/3FyCo8kFLnLuuvLo9/room-info" TargetMode="External"/><Relationship Id="rId137" Type="http://schemas.openxmlformats.org/officeDocument/2006/relationships/hyperlink" Target="https://chat-conecta.recife.pe.gov.br/live/x3FJbWcXRtQ8ax2KT/user-info" TargetMode="External"/><Relationship Id="rId136" Type="http://schemas.openxmlformats.org/officeDocument/2006/relationships/hyperlink" Target="https://chat-conecta.recife.pe.gov.br/live/tRXLLw35arhbfy6f8/room-info" TargetMode="External"/><Relationship Id="rId135" Type="http://schemas.openxmlformats.org/officeDocument/2006/relationships/hyperlink" Target="https://chat-conecta.recife.pe.gov.br/live/FgEHuqCm29cHm3hrq/room-info" TargetMode="External"/><Relationship Id="rId134" Type="http://schemas.openxmlformats.org/officeDocument/2006/relationships/hyperlink" Target="https://chat-conecta.recife.pe.gov.br/live/f9LYdF3BiyMp9HviK/room-info" TargetMode="External"/><Relationship Id="rId133" Type="http://schemas.openxmlformats.org/officeDocument/2006/relationships/hyperlink" Target="https://chat-conecta.recife.pe.gov.br/live/eym9ENWJYrhrWTmgS/room-info" TargetMode="External"/><Relationship Id="rId132" Type="http://schemas.openxmlformats.org/officeDocument/2006/relationships/hyperlink" Target="https://chat-conecta.recife.pe.gov.br/live/Wg36iSyWF6N6ZJSY6/room-info" TargetMode="External"/><Relationship Id="rId131" Type="http://schemas.openxmlformats.org/officeDocument/2006/relationships/hyperlink" Target="https://chat-conecta.recife.pe.gov.br/live/8HYYxt3rkCduCh4SE/room-info" TargetMode="External"/><Relationship Id="rId130" Type="http://schemas.openxmlformats.org/officeDocument/2006/relationships/hyperlink" Target="https://chat-conecta.recife.pe.gov.br/live/wNDi3i55bPvXHGkAr/room-info" TargetMode="External"/><Relationship Id="rId13" Type="http://schemas.openxmlformats.org/officeDocument/2006/relationships/hyperlink" Target="https://chat.brainyresolution.com/live/cL6kKATTuKbobJ9JM/room-info" TargetMode="External"/><Relationship Id="rId129" Type="http://schemas.openxmlformats.org/officeDocument/2006/relationships/hyperlink" Target="https://chat-conecta.recife.pe.gov.br/live/R6Esd85vtCSSzNYa2/room-info" TargetMode="External"/><Relationship Id="rId128" Type="http://schemas.openxmlformats.org/officeDocument/2006/relationships/hyperlink" Target="https://chat-conecta.recife.pe.gov.br/live/93DsTTJ7QDh7ejvdR/room-info" TargetMode="External"/><Relationship Id="rId127" Type="http://schemas.openxmlformats.org/officeDocument/2006/relationships/hyperlink" Target="https://chat-conecta.recife.pe.gov.br/live/m2hgxtRX2aMqwciYp/room-info" TargetMode="External"/><Relationship Id="rId126" Type="http://schemas.openxmlformats.org/officeDocument/2006/relationships/hyperlink" Target="https://chat-conecta.recife.pe.gov.br/live/mbTEYefE6FKBgoveY/room-info" TargetMode="External"/><Relationship Id="rId125" Type="http://schemas.openxmlformats.org/officeDocument/2006/relationships/hyperlink" Target="https://chat-conecta.recife.pe.gov.br/live/9BYWYmRPvHeeaeSoq/room-info" TargetMode="External"/><Relationship Id="rId124" Type="http://schemas.openxmlformats.org/officeDocument/2006/relationships/hyperlink" Target="https://chat-conecta.recife.pe.gov.br/live/mKErvR6p2CdyNNP4z/room-info" TargetMode="External"/><Relationship Id="rId123" Type="http://schemas.openxmlformats.org/officeDocument/2006/relationships/hyperlink" Target="https://chat-conecta.recife.pe.gov.br/live/m5e3WYq99hZAZoFr5/room-info" TargetMode="External"/><Relationship Id="rId122" Type="http://schemas.openxmlformats.org/officeDocument/2006/relationships/hyperlink" Target="https://chat-conecta.recife.pe.gov.br/live/fmRMjumBR39MJpbit/room-info" TargetMode="External"/><Relationship Id="rId121" Type="http://schemas.openxmlformats.org/officeDocument/2006/relationships/hyperlink" Target="https://chat-conecta.recife.pe.gov.br/live/X3CCvSC3ARjdRZ8Pi/room-info" TargetMode="External"/><Relationship Id="rId120" Type="http://schemas.openxmlformats.org/officeDocument/2006/relationships/hyperlink" Target="https://chat-conecta.recife.pe.gov.br/live/jtCvQhp4NaZGpW5R2/room-info" TargetMode="External"/><Relationship Id="rId12" Type="http://schemas.openxmlformats.org/officeDocument/2006/relationships/hyperlink" Target="https://chat.brainyresolution.com/live/rumXfxjqK4qTEXcWq/room-info" TargetMode="External"/><Relationship Id="rId119" Type="http://schemas.openxmlformats.org/officeDocument/2006/relationships/hyperlink" Target="https://chat-conecta.recife.pe.gov.br/live/zCDGDgwyrkBkumxtx/room-info" TargetMode="External"/><Relationship Id="rId118" Type="http://schemas.openxmlformats.org/officeDocument/2006/relationships/hyperlink" Target="https://chat-conecta.recife.pe.gov.br/live/RiRsRg3PpanipWNQH/room-info" TargetMode="External"/><Relationship Id="rId117" Type="http://schemas.openxmlformats.org/officeDocument/2006/relationships/hyperlink" Target="https://chat-conecta.recife.pe.gov.br/live/5M8Rian6waTQshzA6/room-info" TargetMode="External"/><Relationship Id="rId116" Type="http://schemas.openxmlformats.org/officeDocument/2006/relationships/hyperlink" Target="https://chat-conecta.recife.pe.gov.br/live/zGSNR4pSErcDAYTnY/room-info" TargetMode="External"/><Relationship Id="rId115" Type="http://schemas.openxmlformats.org/officeDocument/2006/relationships/hyperlink" Target="https://chat-conecta.recife.pe.gov.br/live/fNAHnGRi9nmZBAsRb/room-info" TargetMode="External"/><Relationship Id="rId114" Type="http://schemas.openxmlformats.org/officeDocument/2006/relationships/hyperlink" Target="https://chat-conecta.recife.pe.gov.br/live/G4ywA2gndr3dFcW4j/room-info" TargetMode="External"/><Relationship Id="rId113" Type="http://schemas.openxmlformats.org/officeDocument/2006/relationships/hyperlink" Target="https://chat-conecta.recife.pe.gov.br/live/EWnN8MLEnNGCwXqis/room-info" TargetMode="External"/><Relationship Id="rId112" Type="http://schemas.openxmlformats.org/officeDocument/2006/relationships/hyperlink" Target="https://chat-conecta.recife.pe.gov.br/live/jQ7FLCcjqRWpYYQNM/room-info" TargetMode="External"/><Relationship Id="rId111" Type="http://schemas.openxmlformats.org/officeDocument/2006/relationships/hyperlink" Target="https://chat-conecta.recife.pe.gov.br/omnichannel-directory/chats/view/3wbZYGox6GjRmopPA/room-info" TargetMode="External"/><Relationship Id="rId110" Type="http://schemas.openxmlformats.org/officeDocument/2006/relationships/hyperlink" Target="https://chat-conecta.recife.pe.gov.br/omnichannel-directory/chats/view/FtQuauTnHorYBngRq/room-info" TargetMode="External"/><Relationship Id="rId11" Type="http://schemas.openxmlformats.org/officeDocument/2006/relationships/hyperlink" Target="https://chat.brainyresolution.com/live/ZTu6Fg9rfLcKRCQvJ/room-info" TargetMode="External"/><Relationship Id="rId109" Type="http://schemas.openxmlformats.org/officeDocument/2006/relationships/hyperlink" Target="https://chat-conecta.recife.pe.gov.br/live/tq3hpAjr8cjsdcbS5/room-info" TargetMode="External"/><Relationship Id="rId108" Type="http://schemas.openxmlformats.org/officeDocument/2006/relationships/hyperlink" Target="https://chat-conecta.recife.pe.gov.br/live/mCZDcnrfdZYGSJLav/room-info" TargetMode="External"/><Relationship Id="rId107" Type="http://schemas.openxmlformats.org/officeDocument/2006/relationships/hyperlink" Target="https://chat-conecta.recife.pe.gov.br/live/ihrqFTnW58hTCmsWg/room-info" TargetMode="External"/><Relationship Id="rId106" Type="http://schemas.openxmlformats.org/officeDocument/2006/relationships/hyperlink" Target="https://chat-conecta.recife.pe.gov.br/live/jgWwzRDwbZzAeiXNJ/room-info" TargetMode="External"/><Relationship Id="rId105" Type="http://schemas.openxmlformats.org/officeDocument/2006/relationships/hyperlink" Target="https://chat-conecta.recife.pe.gov.br/live/cPeWt8pRobzkA2nfo/members-list" TargetMode="External"/><Relationship Id="rId104" Type="http://schemas.openxmlformats.org/officeDocument/2006/relationships/hyperlink" Target="https://chat-conecta.recife.pe.gov.br/live/SLmMoPMJ5FGdC9T4H/room-info" TargetMode="External"/><Relationship Id="rId103" Type="http://schemas.openxmlformats.org/officeDocument/2006/relationships/hyperlink" Target="https://chat-conecta.recife.pe.gov.br/live/ax2HDudWeBDRWcKyL/room-info" TargetMode="External"/><Relationship Id="rId102" Type="http://schemas.openxmlformats.org/officeDocument/2006/relationships/hyperlink" Target="https://chat-conecta.recife.pe.gov.br/live/cE7z9wy9rW39tFoEx/room-info" TargetMode="External"/><Relationship Id="rId101" Type="http://schemas.openxmlformats.org/officeDocument/2006/relationships/hyperlink" Target="https://chat-conecta.recife.pe.gov.br/live/yHrCkk86mDojNK4oK/room-info" TargetMode="External"/><Relationship Id="rId100" Type="http://schemas.openxmlformats.org/officeDocument/2006/relationships/hyperlink" Target="https://chat-conecta.recife.pe.gov.br/live/mw7KLPg3vm7WhWdbR/members-list" TargetMode="External"/><Relationship Id="rId10" Type="http://schemas.openxmlformats.org/officeDocument/2006/relationships/hyperlink" Target="https://chat.brainyresolution.com/live/RwKRDJps6i8YPhAWi/room-info" TargetMode="External"/><Relationship Id="rId1" Type="http://schemas.openxmlformats.org/officeDocument/2006/relationships/hyperlink" Target="https://chat.brainyresolution.com/omnichannel-directory/chats/view/toynxpAG5WS8kcDLn/room-info"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17.xml"/><Relationship Id="rId1" Type="http://schemas.openxmlformats.org/officeDocument/2006/relationships/pivotTable" Target="../pivotTables/pivotTable16.xml"/></Relationships>
</file>

<file path=xl/worksheets/_rels/sheet11.xml.rels><?xml version="1.0" encoding="UTF-8" standalone="yes"?>
<Relationships xmlns="http://schemas.openxmlformats.org/package/2006/relationships"><Relationship Id="rId9" Type="http://schemas.openxmlformats.org/officeDocument/2006/relationships/hyperlink" Target="https://chat.brainyresolution.com/live/BZuS5rFFnzPGWhJtv/room-info" TargetMode="External"/><Relationship Id="rId8" Type="http://schemas.openxmlformats.org/officeDocument/2006/relationships/hyperlink" Target="https://chat.brainyresolution.com/live/3x4FdDqutXMZ3mzLX" TargetMode="External"/><Relationship Id="rId7" Type="http://schemas.openxmlformats.org/officeDocument/2006/relationships/hyperlink" Target="https://chat.brainyresolution.com/live/hQujBEk7zZsnQY6M8/user-info" TargetMode="External"/><Relationship Id="rId6" Type="http://schemas.openxmlformats.org/officeDocument/2006/relationships/hyperlink" Target="https://chat.brainyresolution.com/live/sg2dcgrXH7yS9sL2a/room-info" TargetMode="External"/><Relationship Id="rId5" Type="http://schemas.openxmlformats.org/officeDocument/2006/relationships/hyperlink" Target="https://chat.brainyresolution.com/live/R4EejqGt6QdCLvade/user-info" TargetMode="External"/><Relationship Id="rId4" Type="http://schemas.openxmlformats.org/officeDocument/2006/relationships/hyperlink" Target="https://chat.brainyresolution.com/live/RHHQobYjnMYfZsnSh" TargetMode="External"/><Relationship Id="rId3" Type="http://schemas.openxmlformats.org/officeDocument/2006/relationships/hyperlink" Target="https://chat.brainyresolution.com/live/eMevErRXvJJBeEN7H/room-info" TargetMode="External"/><Relationship Id="rId2" Type="http://schemas.openxmlformats.org/officeDocument/2006/relationships/hyperlink" Target="https://chat.brainyresolution.com/omnichannel-directory/chats/info/kawrWMHt9gdgnMpc8" TargetMode="External"/><Relationship Id="rId14" Type="http://schemas.openxmlformats.org/officeDocument/2006/relationships/hyperlink" Target="https://chat.brainyresolution.com/omnichannel-directory/chats/view/toynxpAG5WS8kcDLn/room-info" TargetMode="External"/><Relationship Id="rId13" Type="http://schemas.openxmlformats.org/officeDocument/2006/relationships/hyperlink" Target="https://chat.brainyresolution.com/live/fNXmckNHagPq5LMA8/room-info" TargetMode="External"/><Relationship Id="rId12" Type="http://schemas.openxmlformats.org/officeDocument/2006/relationships/hyperlink" Target="https://chat.brainyresolution.com/live/2rjPWWhBiQ2LyudK5/room-info" TargetMode="External"/><Relationship Id="rId11" Type="http://schemas.openxmlformats.org/officeDocument/2006/relationships/hyperlink" Target="https://chat.brainyresolution.com/live/ZwvRgQfTJNn8GmhwN/room-info" TargetMode="External"/><Relationship Id="rId10" Type="http://schemas.openxmlformats.org/officeDocument/2006/relationships/hyperlink" Target="https://chat.brainyresolution.com/live/SzRui2rJbkkG4qYcP/room-info" TargetMode="External"/><Relationship Id="rId1" Type="http://schemas.openxmlformats.org/officeDocument/2006/relationships/hyperlink" Target="https://chat.brainyresolution.com/live/oSaHuaaqWPCwu9XH6" TargetMode="External"/></Relationships>
</file>

<file path=xl/worksheets/_rels/sheet1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K5703"/>
  <sheetViews>
    <sheetView tabSelected="1" workbookViewId="0">
      <pane ySplit="1" topLeftCell="A2" activePane="bottomLeft" state="frozen"/>
      <selection/>
      <selection pane="bottomLeft" activeCell="A1" sqref="$A1:$XFD1"/>
    </sheetView>
  </sheetViews>
  <sheetFormatPr defaultColWidth="12.5727272727273" defaultRowHeight="15.75" customHeight="1"/>
  <cols>
    <col min="1" max="1" width="17.7090909090909" customWidth="1"/>
    <col min="2" max="2" width="29.4272727272727" customWidth="1"/>
    <col min="3" max="3" width="13.7090909090909" customWidth="1"/>
    <col min="4" max="4" width="15.7090909090909" customWidth="1"/>
    <col min="5" max="10" width="18.8545454545455" customWidth="1"/>
    <col min="11" max="11" width="23.8545454545455" customWidth="1"/>
    <col min="12" max="21" width="18.8545454545455" customWidth="1"/>
    <col min="22" max="22" width="22.1363636363636" customWidth="1"/>
    <col min="23" max="27" width="18.8545454545455" customWidth="1"/>
    <col min="28" max="28" width="21.2818181818182" customWidth="1"/>
    <col min="29" max="31" width="18.8545454545455" customWidth="1"/>
    <col min="32" max="32" width="50.5727272727273" customWidth="1"/>
    <col min="33" max="33" width="53.1363636363636" customWidth="1"/>
    <col min="34" max="34" width="48.7090909090909" customWidth="1"/>
    <col min="35" max="37" width="18.8545454545455" customWidth="1"/>
  </cols>
  <sheetData>
    <row r="1" ht="52" spans="1:37">
      <c r="A1" s="165" t="s">
        <v>0</v>
      </c>
      <c r="B1" s="166" t="s">
        <v>1</v>
      </c>
      <c r="C1" s="167" t="s">
        <v>2</v>
      </c>
      <c r="D1" s="167" t="s">
        <v>3</v>
      </c>
      <c r="E1" s="36" t="s">
        <v>4</v>
      </c>
      <c r="F1" s="36" t="s">
        <v>5</v>
      </c>
      <c r="G1" s="36" t="s">
        <v>6</v>
      </c>
      <c r="H1" s="8" t="s">
        <v>7</v>
      </c>
      <c r="I1" s="184" t="s">
        <v>8</v>
      </c>
      <c r="J1" s="11" t="s">
        <v>9</v>
      </c>
      <c r="K1" s="39" t="s">
        <v>10</v>
      </c>
      <c r="L1" s="36" t="s">
        <v>11</v>
      </c>
      <c r="M1" s="105" t="s">
        <v>12</v>
      </c>
      <c r="N1" s="8" t="s">
        <v>13</v>
      </c>
      <c r="O1" s="185" t="s">
        <v>14</v>
      </c>
      <c r="P1" s="185" t="s">
        <v>15</v>
      </c>
      <c r="Q1" s="8" t="s">
        <v>16</v>
      </c>
      <c r="R1" s="8" t="s">
        <v>17</v>
      </c>
      <c r="S1" s="8" t="s">
        <v>18</v>
      </c>
      <c r="T1" s="8" t="s">
        <v>19</v>
      </c>
      <c r="U1" s="8" t="s">
        <v>20</v>
      </c>
      <c r="V1" s="192" t="s">
        <v>21</v>
      </c>
      <c r="W1" s="193" t="s">
        <v>22</v>
      </c>
      <c r="X1" s="8" t="s">
        <v>23</v>
      </c>
      <c r="Y1" s="185" t="s">
        <v>24</v>
      </c>
      <c r="Z1" s="194" t="s">
        <v>25</v>
      </c>
      <c r="AA1" s="195" t="s">
        <v>26</v>
      </c>
      <c r="AB1" s="196" t="s">
        <v>27</v>
      </c>
      <c r="AC1" s="197" t="s">
        <v>28</v>
      </c>
      <c r="AD1" s="198" t="s">
        <v>29</v>
      </c>
      <c r="AE1" s="194" t="s">
        <v>30</v>
      </c>
      <c r="AF1" s="196" t="s">
        <v>31</v>
      </c>
      <c r="AG1" s="196" t="s">
        <v>32</v>
      </c>
      <c r="AH1" s="200" t="s">
        <v>33</v>
      </c>
      <c r="AI1" s="196" t="s">
        <v>34</v>
      </c>
      <c r="AJ1" s="197"/>
      <c r="AK1" s="197"/>
    </row>
    <row r="2" ht="26" spans="1:35">
      <c r="A2" s="168" t="s">
        <v>35</v>
      </c>
      <c r="B2" s="11"/>
      <c r="C2" s="19"/>
      <c r="D2" s="19"/>
      <c r="E2" s="11"/>
      <c r="F2" s="11"/>
      <c r="G2" s="11"/>
      <c r="H2" s="169"/>
      <c r="I2" s="126"/>
      <c r="J2" s="11"/>
      <c r="K2" s="108"/>
      <c r="L2" s="11"/>
      <c r="M2" s="105"/>
      <c r="N2" s="105"/>
      <c r="O2" s="11"/>
      <c r="P2" s="11"/>
      <c r="Q2" s="105"/>
      <c r="R2" s="105"/>
      <c r="S2" s="105"/>
      <c r="T2" s="105"/>
      <c r="U2" s="105"/>
      <c r="V2" s="169"/>
      <c r="W2" s="105"/>
      <c r="X2" s="11"/>
      <c r="Y2" s="11"/>
      <c r="Z2" s="105"/>
      <c r="AA2" s="11"/>
      <c r="AB2" s="11"/>
      <c r="AC2" s="105"/>
      <c r="AD2" s="11"/>
      <c r="AE2" s="105"/>
      <c r="AF2" s="11"/>
      <c r="AG2" s="11"/>
      <c r="AH2" s="11"/>
      <c r="AI2" s="11"/>
    </row>
    <row r="3" ht="39" spans="1:35">
      <c r="A3" s="170" t="s">
        <v>36</v>
      </c>
      <c r="B3" s="11"/>
      <c r="C3" s="19"/>
      <c r="D3" s="19"/>
      <c r="E3" s="11"/>
      <c r="F3" s="11"/>
      <c r="G3" s="11"/>
      <c r="H3" s="169"/>
      <c r="I3" s="126"/>
      <c r="J3" s="11"/>
      <c r="K3" s="108"/>
      <c r="L3" s="11"/>
      <c r="M3" s="105"/>
      <c r="N3" s="105"/>
      <c r="O3" s="11"/>
      <c r="P3" s="11"/>
      <c r="Q3" s="105"/>
      <c r="R3" s="105"/>
      <c r="S3" s="105"/>
      <c r="T3" s="105"/>
      <c r="U3" s="105"/>
      <c r="V3" s="169"/>
      <c r="W3" s="105"/>
      <c r="X3" s="11"/>
      <c r="Y3" s="11"/>
      <c r="Z3" s="105"/>
      <c r="AA3" s="11"/>
      <c r="AB3" s="11"/>
      <c r="AC3" s="105"/>
      <c r="AD3" s="11"/>
      <c r="AE3" s="105"/>
      <c r="AF3" s="11"/>
      <c r="AG3" s="11"/>
      <c r="AH3" s="11"/>
      <c r="AI3" s="11"/>
    </row>
    <row r="4" ht="26" spans="1:35">
      <c r="A4" s="171" t="s">
        <v>37</v>
      </c>
      <c r="B4" s="11"/>
      <c r="C4" s="19"/>
      <c r="D4" s="19"/>
      <c r="E4" s="11"/>
      <c r="F4" s="11"/>
      <c r="G4" s="11"/>
      <c r="H4" s="169"/>
      <c r="I4" s="126"/>
      <c r="J4" s="11"/>
      <c r="K4" s="108"/>
      <c r="L4" s="11"/>
      <c r="M4" s="105"/>
      <c r="N4" s="105"/>
      <c r="O4" s="11"/>
      <c r="P4" s="11"/>
      <c r="Q4" s="105"/>
      <c r="R4" s="105"/>
      <c r="S4" s="105"/>
      <c r="T4" s="105"/>
      <c r="U4" s="105"/>
      <c r="V4" s="169"/>
      <c r="W4" s="105"/>
      <c r="X4" s="11"/>
      <c r="Y4" s="11"/>
      <c r="Z4" s="105"/>
      <c r="AA4" s="11"/>
      <c r="AB4" s="11"/>
      <c r="AC4" s="105"/>
      <c r="AD4" s="11"/>
      <c r="AE4" s="105"/>
      <c r="AF4" s="11"/>
      <c r="AG4" s="11"/>
      <c r="AH4" s="11"/>
      <c r="AI4" s="11"/>
    </row>
    <row r="5" ht="12.5" spans="1:37">
      <c r="A5" s="172">
        <v>44875.5798642245</v>
      </c>
      <c r="B5" s="173" t="s">
        <v>38</v>
      </c>
      <c r="C5" s="174">
        <v>11298976480</v>
      </c>
      <c r="D5" s="174">
        <v>702309124420318</v>
      </c>
      <c r="E5" s="175" t="s">
        <v>39</v>
      </c>
      <c r="F5" s="173" t="s">
        <v>40</v>
      </c>
      <c r="G5" s="173" t="s">
        <v>41</v>
      </c>
      <c r="H5" s="176">
        <v>31799</v>
      </c>
      <c r="I5" s="186"/>
      <c r="J5" s="173" t="s">
        <v>42</v>
      </c>
      <c r="K5" s="187"/>
      <c r="L5" s="173"/>
      <c r="M5" s="188"/>
      <c r="N5" s="188" t="s">
        <v>43</v>
      </c>
      <c r="O5" s="173" t="s">
        <v>44</v>
      </c>
      <c r="P5" s="173" t="s">
        <v>44</v>
      </c>
      <c r="Q5" s="188" t="s">
        <v>45</v>
      </c>
      <c r="R5" s="188" t="s">
        <v>45</v>
      </c>
      <c r="S5" s="188" t="s">
        <v>44</v>
      </c>
      <c r="T5" s="188" t="s">
        <v>44</v>
      </c>
      <c r="U5" s="188" t="s">
        <v>45</v>
      </c>
      <c r="V5" s="176">
        <v>44875</v>
      </c>
      <c r="W5" s="188" t="s">
        <v>46</v>
      </c>
      <c r="X5" s="173" t="s">
        <v>47</v>
      </c>
      <c r="Y5" s="173" t="s">
        <v>48</v>
      </c>
      <c r="Z5" s="188">
        <v>81985937671</v>
      </c>
      <c r="AA5" s="173"/>
      <c r="AB5" s="173" t="s">
        <v>49</v>
      </c>
      <c r="AC5" s="188" t="s">
        <v>50</v>
      </c>
      <c r="AD5" s="173" t="b">
        <v>0</v>
      </c>
      <c r="AE5" s="188"/>
      <c r="AF5" s="173" t="s">
        <v>51</v>
      </c>
      <c r="AG5" s="173"/>
      <c r="AH5" s="173"/>
      <c r="AI5" s="173"/>
      <c r="AJ5" s="173"/>
      <c r="AK5" s="173"/>
    </row>
    <row r="6" ht="12.5" spans="1:37">
      <c r="A6" s="172">
        <v>44895.4674496181</v>
      </c>
      <c r="B6" s="173" t="s">
        <v>52</v>
      </c>
      <c r="C6" s="174">
        <v>14037728435</v>
      </c>
      <c r="D6" s="174">
        <v>703102331235560</v>
      </c>
      <c r="E6" s="175" t="s">
        <v>53</v>
      </c>
      <c r="F6" s="173" t="s">
        <v>40</v>
      </c>
      <c r="G6" s="173" t="s">
        <v>54</v>
      </c>
      <c r="H6" s="176">
        <v>35803</v>
      </c>
      <c r="I6" s="189">
        <v>44639</v>
      </c>
      <c r="J6" s="173" t="s">
        <v>42</v>
      </c>
      <c r="K6" s="187" t="s">
        <v>55</v>
      </c>
      <c r="L6" s="173"/>
      <c r="M6" s="188"/>
      <c r="N6" s="188" t="s">
        <v>43</v>
      </c>
      <c r="O6" s="173" t="s">
        <v>44</v>
      </c>
      <c r="P6" s="173" t="s">
        <v>56</v>
      </c>
      <c r="Q6" s="188" t="s">
        <v>45</v>
      </c>
      <c r="R6" s="188" t="s">
        <v>45</v>
      </c>
      <c r="S6" s="188" t="s">
        <v>44</v>
      </c>
      <c r="T6" s="188" t="s">
        <v>44</v>
      </c>
      <c r="U6" s="188" t="s">
        <v>45</v>
      </c>
      <c r="V6" s="176">
        <v>44896</v>
      </c>
      <c r="W6" s="188" t="s">
        <v>57</v>
      </c>
      <c r="X6" s="173" t="s">
        <v>47</v>
      </c>
      <c r="Y6" s="173" t="s">
        <v>58</v>
      </c>
      <c r="Z6" s="188">
        <v>81984696256</v>
      </c>
      <c r="AA6" s="173"/>
      <c r="AB6" s="173" t="s">
        <v>49</v>
      </c>
      <c r="AC6" s="188" t="s">
        <v>50</v>
      </c>
      <c r="AD6" s="173" t="b">
        <v>0</v>
      </c>
      <c r="AE6" s="188"/>
      <c r="AF6" s="173" t="s">
        <v>59</v>
      </c>
      <c r="AG6" s="173" t="s">
        <v>60</v>
      </c>
      <c r="AH6" s="173"/>
      <c r="AI6" s="173"/>
      <c r="AJ6" s="173"/>
      <c r="AK6" s="173"/>
    </row>
    <row r="7" ht="12.5" spans="1:37">
      <c r="A7" s="172">
        <v>44910.3802109375</v>
      </c>
      <c r="B7" s="173" t="s">
        <v>61</v>
      </c>
      <c r="C7" s="174">
        <v>70244496404</v>
      </c>
      <c r="D7" s="174">
        <v>705703432034430</v>
      </c>
      <c r="E7" s="175" t="s">
        <v>62</v>
      </c>
      <c r="F7" s="173" t="s">
        <v>40</v>
      </c>
      <c r="G7" s="173" t="s">
        <v>54</v>
      </c>
      <c r="H7" s="176">
        <v>34919</v>
      </c>
      <c r="I7" s="186"/>
      <c r="J7" s="173" t="s">
        <v>42</v>
      </c>
      <c r="K7" s="187" t="s">
        <v>63</v>
      </c>
      <c r="L7" s="173"/>
      <c r="M7" s="188"/>
      <c r="N7" s="188" t="s">
        <v>64</v>
      </c>
      <c r="O7" s="173" t="s">
        <v>65</v>
      </c>
      <c r="P7" s="173" t="s">
        <v>66</v>
      </c>
      <c r="Q7" s="188" t="s">
        <v>44</v>
      </c>
      <c r="R7" s="188" t="s">
        <v>45</v>
      </c>
      <c r="S7" s="188" t="s">
        <v>44</v>
      </c>
      <c r="T7" s="188" t="s">
        <v>44</v>
      </c>
      <c r="U7" s="188" t="s">
        <v>45</v>
      </c>
      <c r="V7" s="176">
        <v>44910</v>
      </c>
      <c r="W7" s="188" t="s">
        <v>57</v>
      </c>
      <c r="X7" s="173" t="s">
        <v>67</v>
      </c>
      <c r="Y7" s="173" t="s">
        <v>68</v>
      </c>
      <c r="Z7" s="188">
        <v>81996295001</v>
      </c>
      <c r="AA7" s="173"/>
      <c r="AB7" s="173" t="s">
        <v>69</v>
      </c>
      <c r="AC7" s="188"/>
      <c r="AD7" s="173" t="b">
        <v>0</v>
      </c>
      <c r="AE7" s="188"/>
      <c r="AF7" s="173" t="s">
        <v>70</v>
      </c>
      <c r="AG7" s="173"/>
      <c r="AH7" s="173"/>
      <c r="AI7" s="173"/>
      <c r="AJ7" s="173"/>
      <c r="AK7" s="173"/>
    </row>
    <row r="8" ht="12.5" spans="1:35">
      <c r="A8" s="177">
        <v>44928.3703414352</v>
      </c>
      <c r="B8" s="11" t="s">
        <v>71</v>
      </c>
      <c r="C8" s="277" t="s">
        <v>72</v>
      </c>
      <c r="D8" s="19">
        <v>705005817013652</v>
      </c>
      <c r="E8" s="18" t="s">
        <v>73</v>
      </c>
      <c r="F8" s="11" t="s">
        <v>40</v>
      </c>
      <c r="G8" s="11" t="s">
        <v>41</v>
      </c>
      <c r="H8" s="169">
        <v>34029</v>
      </c>
      <c r="I8" s="126"/>
      <c r="J8" s="11" t="s">
        <v>42</v>
      </c>
      <c r="K8" s="108" t="s">
        <v>74</v>
      </c>
      <c r="L8" s="11"/>
      <c r="M8" s="105"/>
      <c r="N8" s="105" t="s">
        <v>43</v>
      </c>
      <c r="O8" s="11" t="s">
        <v>44</v>
      </c>
      <c r="P8" s="11" t="s">
        <v>44</v>
      </c>
      <c r="Q8" s="105" t="s">
        <v>44</v>
      </c>
      <c r="R8" s="105" t="s">
        <v>45</v>
      </c>
      <c r="S8" s="105" t="s">
        <v>45</v>
      </c>
      <c r="T8" s="105" t="s">
        <v>44</v>
      </c>
      <c r="U8" s="105" t="s">
        <v>45</v>
      </c>
      <c r="V8" s="169">
        <v>44928</v>
      </c>
      <c r="W8" s="105" t="s">
        <v>46</v>
      </c>
      <c r="X8" s="11" t="s">
        <v>67</v>
      </c>
      <c r="Y8" s="11" t="s">
        <v>58</v>
      </c>
      <c r="Z8" s="105">
        <v>81984531903</v>
      </c>
      <c r="AA8" s="11"/>
      <c r="AB8" s="11" t="s">
        <v>49</v>
      </c>
      <c r="AC8" s="105" t="s">
        <v>75</v>
      </c>
      <c r="AD8" s="11" t="b">
        <v>0</v>
      </c>
      <c r="AE8" s="105"/>
      <c r="AF8" s="11" t="s">
        <v>76</v>
      </c>
      <c r="AG8" s="11" t="s">
        <v>77</v>
      </c>
      <c r="AH8" s="11" t="s">
        <v>78</v>
      </c>
      <c r="AI8" s="11"/>
    </row>
    <row r="9" ht="12.5" spans="1:35">
      <c r="A9" s="177">
        <v>44928.6538679861</v>
      </c>
      <c r="B9" s="11" t="s">
        <v>79</v>
      </c>
      <c r="C9" s="19">
        <v>71158194404</v>
      </c>
      <c r="D9" s="19">
        <v>708407796973663</v>
      </c>
      <c r="E9" s="18" t="s">
        <v>80</v>
      </c>
      <c r="F9" s="11" t="s">
        <v>40</v>
      </c>
      <c r="G9" s="11" t="s">
        <v>54</v>
      </c>
      <c r="H9" s="169">
        <v>37819</v>
      </c>
      <c r="I9" s="190">
        <v>44674</v>
      </c>
      <c r="J9" s="11" t="s">
        <v>81</v>
      </c>
      <c r="K9" s="108"/>
      <c r="L9" s="11" t="s">
        <v>82</v>
      </c>
      <c r="M9" s="105"/>
      <c r="N9" s="105" t="s">
        <v>43</v>
      </c>
      <c r="O9" s="11" t="s">
        <v>44</v>
      </c>
      <c r="P9" s="11" t="s">
        <v>44</v>
      </c>
      <c r="Q9" s="105" t="s">
        <v>44</v>
      </c>
      <c r="R9" s="105" t="s">
        <v>45</v>
      </c>
      <c r="S9" s="105" t="s">
        <v>83</v>
      </c>
      <c r="T9" s="105" t="s">
        <v>44</v>
      </c>
      <c r="U9" s="105" t="s">
        <v>45</v>
      </c>
      <c r="V9" s="169">
        <v>44929</v>
      </c>
      <c r="W9" s="105" t="s">
        <v>57</v>
      </c>
      <c r="X9" s="11" t="s">
        <v>47</v>
      </c>
      <c r="Y9" s="11" t="s">
        <v>58</v>
      </c>
      <c r="Z9" s="105">
        <v>81985904153</v>
      </c>
      <c r="AA9" s="11"/>
      <c r="AB9" s="11" t="s">
        <v>49</v>
      </c>
      <c r="AC9" s="105" t="s">
        <v>84</v>
      </c>
      <c r="AD9" s="11" t="b">
        <v>0</v>
      </c>
      <c r="AE9" s="105"/>
      <c r="AF9" s="11" t="s">
        <v>76</v>
      </c>
      <c r="AG9" s="11" t="s">
        <v>85</v>
      </c>
      <c r="AH9" s="11"/>
      <c r="AI9" s="11"/>
    </row>
    <row r="10" ht="12.5" spans="1:35">
      <c r="A10" s="177">
        <v>44937.4859134375</v>
      </c>
      <c r="B10" s="11" t="s">
        <v>86</v>
      </c>
      <c r="C10" s="19">
        <v>11442698497</v>
      </c>
      <c r="D10" s="19">
        <v>702105777657950</v>
      </c>
      <c r="E10" s="18" t="s">
        <v>87</v>
      </c>
      <c r="F10" s="11" t="s">
        <v>40</v>
      </c>
      <c r="G10" s="11" t="s">
        <v>88</v>
      </c>
      <c r="H10" s="169">
        <v>34928</v>
      </c>
      <c r="I10" s="278" t="s">
        <v>89</v>
      </c>
      <c r="J10" s="11" t="s">
        <v>42</v>
      </c>
      <c r="K10" s="108" t="s">
        <v>90</v>
      </c>
      <c r="L10" s="11"/>
      <c r="M10" s="105"/>
      <c r="N10" s="105" t="s">
        <v>43</v>
      </c>
      <c r="O10" s="11" t="s">
        <v>44</v>
      </c>
      <c r="P10" s="11" t="s">
        <v>44</v>
      </c>
      <c r="Q10" s="105" t="s">
        <v>44</v>
      </c>
      <c r="R10" s="105" t="s">
        <v>45</v>
      </c>
      <c r="S10" s="105" t="s">
        <v>45</v>
      </c>
      <c r="T10" s="105" t="s">
        <v>44</v>
      </c>
      <c r="U10" s="105" t="s">
        <v>45</v>
      </c>
      <c r="V10" s="169">
        <v>44937</v>
      </c>
      <c r="W10" s="105" t="s">
        <v>57</v>
      </c>
      <c r="X10" s="11" t="s">
        <v>47</v>
      </c>
      <c r="Y10" s="11" t="s">
        <v>58</v>
      </c>
      <c r="Z10" s="105">
        <v>81985880259</v>
      </c>
      <c r="AA10" s="11" t="s">
        <v>91</v>
      </c>
      <c r="AB10" s="11" t="s">
        <v>49</v>
      </c>
      <c r="AC10" s="105" t="s">
        <v>92</v>
      </c>
      <c r="AD10" s="11" t="b">
        <v>0</v>
      </c>
      <c r="AE10" s="105"/>
      <c r="AF10" s="11" t="s">
        <v>93</v>
      </c>
      <c r="AG10" s="11"/>
      <c r="AH10" s="11"/>
      <c r="AI10" s="11"/>
    </row>
    <row r="11" ht="12.5" spans="1:35">
      <c r="A11" s="177">
        <v>44937.617202581</v>
      </c>
      <c r="B11" s="11" t="s">
        <v>86</v>
      </c>
      <c r="C11" s="178">
        <v>11442698497</v>
      </c>
      <c r="D11" s="19">
        <v>702105777657950</v>
      </c>
      <c r="F11" s="11" t="s">
        <v>40</v>
      </c>
      <c r="G11" s="11" t="s">
        <v>88</v>
      </c>
      <c r="H11" s="169">
        <v>34928</v>
      </c>
      <c r="I11" s="278" t="s">
        <v>94</v>
      </c>
      <c r="J11" s="11" t="s">
        <v>42</v>
      </c>
      <c r="K11" s="108" t="s">
        <v>90</v>
      </c>
      <c r="L11" s="11"/>
      <c r="M11" s="105"/>
      <c r="N11" s="105" t="s">
        <v>95</v>
      </c>
      <c r="O11" s="11" t="s">
        <v>96</v>
      </c>
      <c r="P11" s="11" t="s">
        <v>56</v>
      </c>
      <c r="Q11" s="105" t="s">
        <v>45</v>
      </c>
      <c r="R11" s="105" t="s">
        <v>45</v>
      </c>
      <c r="S11" s="105" t="s">
        <v>45</v>
      </c>
      <c r="T11" s="105" t="s">
        <v>44</v>
      </c>
      <c r="U11" s="105" t="s">
        <v>45</v>
      </c>
      <c r="V11" s="169">
        <v>44942</v>
      </c>
      <c r="W11" s="105" t="s">
        <v>57</v>
      </c>
      <c r="X11" s="11" t="s">
        <v>97</v>
      </c>
      <c r="Y11" s="11" t="s">
        <v>97</v>
      </c>
      <c r="Z11" s="105">
        <v>81985880259</v>
      </c>
      <c r="AA11" s="11" t="s">
        <v>91</v>
      </c>
      <c r="AB11" s="11" t="s">
        <v>98</v>
      </c>
      <c r="AC11" s="105"/>
      <c r="AD11" s="11" t="b">
        <v>0</v>
      </c>
      <c r="AE11" s="105"/>
      <c r="AF11" s="11"/>
      <c r="AG11" s="11"/>
      <c r="AH11" s="11"/>
      <c r="AI11" s="11"/>
    </row>
    <row r="12" ht="12.5" spans="1:35">
      <c r="A12" s="177">
        <v>44944.4677596181</v>
      </c>
      <c r="B12" s="11" t="s">
        <v>99</v>
      </c>
      <c r="C12" s="19">
        <v>12075004455</v>
      </c>
      <c r="D12" s="19">
        <v>702403017460123</v>
      </c>
      <c r="E12" s="18" t="s">
        <v>100</v>
      </c>
      <c r="F12" s="11" t="s">
        <v>40</v>
      </c>
      <c r="G12" s="11" t="s">
        <v>41</v>
      </c>
      <c r="H12" s="169">
        <v>38347</v>
      </c>
      <c r="I12" s="278" t="s">
        <v>101</v>
      </c>
      <c r="J12" s="11" t="s">
        <v>102</v>
      </c>
      <c r="K12" s="108"/>
      <c r="L12" s="11"/>
      <c r="M12" s="105"/>
      <c r="N12" s="105" t="s">
        <v>43</v>
      </c>
      <c r="O12" s="11" t="s">
        <v>44</v>
      </c>
      <c r="P12" s="11" t="s">
        <v>44</v>
      </c>
      <c r="Q12" s="105" t="s">
        <v>44</v>
      </c>
      <c r="R12" s="105" t="s">
        <v>45</v>
      </c>
      <c r="S12" s="105" t="s">
        <v>44</v>
      </c>
      <c r="T12" s="105" t="s">
        <v>44</v>
      </c>
      <c r="U12" s="105" t="s">
        <v>45</v>
      </c>
      <c r="V12" s="169">
        <v>44951</v>
      </c>
      <c r="W12" s="105" t="s">
        <v>46</v>
      </c>
      <c r="X12" s="11" t="s">
        <v>47</v>
      </c>
      <c r="Y12" s="11" t="s">
        <v>58</v>
      </c>
      <c r="Z12" s="105">
        <v>81999032761</v>
      </c>
      <c r="AA12" s="11" t="s">
        <v>103</v>
      </c>
      <c r="AB12" s="11"/>
      <c r="AC12" s="105"/>
      <c r="AD12" s="11" t="b">
        <v>0</v>
      </c>
      <c r="AE12" s="105"/>
      <c r="AF12" s="11"/>
      <c r="AG12" s="11"/>
      <c r="AH12" s="11"/>
      <c r="AI12" s="11"/>
    </row>
    <row r="13" ht="12.5" spans="1:35">
      <c r="A13" s="177">
        <v>44950.6535041667</v>
      </c>
      <c r="B13" s="11" t="s">
        <v>99</v>
      </c>
      <c r="C13" s="19">
        <v>12075004455</v>
      </c>
      <c r="D13" s="19">
        <v>702403017460123</v>
      </c>
      <c r="E13" s="18" t="s">
        <v>104</v>
      </c>
      <c r="F13" s="11" t="s">
        <v>40</v>
      </c>
      <c r="G13" s="11" t="s">
        <v>41</v>
      </c>
      <c r="H13" s="169">
        <v>38286</v>
      </c>
      <c r="I13" s="278" t="s">
        <v>101</v>
      </c>
      <c r="J13" s="11" t="s">
        <v>42</v>
      </c>
      <c r="K13" s="108" t="s">
        <v>90</v>
      </c>
      <c r="L13" s="11"/>
      <c r="M13" s="105"/>
      <c r="N13" s="105" t="s">
        <v>43</v>
      </c>
      <c r="O13" s="11" t="s">
        <v>65</v>
      </c>
      <c r="P13" s="11" t="s">
        <v>66</v>
      </c>
      <c r="Q13" s="105" t="s">
        <v>44</v>
      </c>
      <c r="R13" s="105" t="s">
        <v>45</v>
      </c>
      <c r="S13" s="105" t="s">
        <v>45</v>
      </c>
      <c r="T13" s="105" t="s">
        <v>44</v>
      </c>
      <c r="U13" s="105" t="s">
        <v>45</v>
      </c>
      <c r="V13" s="169">
        <v>44951</v>
      </c>
      <c r="W13" s="105" t="s">
        <v>46</v>
      </c>
      <c r="X13" s="11" t="s">
        <v>47</v>
      </c>
      <c r="Y13" s="11" t="s">
        <v>58</v>
      </c>
      <c r="Z13" s="105">
        <v>81999032761</v>
      </c>
      <c r="AA13" s="11" t="s">
        <v>105</v>
      </c>
      <c r="AB13" s="11" t="s">
        <v>49</v>
      </c>
      <c r="AC13" s="105" t="s">
        <v>106</v>
      </c>
      <c r="AD13" s="11" t="b">
        <v>0</v>
      </c>
      <c r="AE13" s="105"/>
      <c r="AF13" s="11" t="s">
        <v>107</v>
      </c>
      <c r="AG13" s="11" t="s">
        <v>108</v>
      </c>
      <c r="AH13" s="11"/>
      <c r="AI13" s="11"/>
    </row>
    <row r="14" ht="12.5" spans="1:35">
      <c r="A14" s="177">
        <v>44896.6085248032</v>
      </c>
      <c r="B14" s="11" t="s">
        <v>52</v>
      </c>
      <c r="C14" s="19">
        <v>14037728435</v>
      </c>
      <c r="D14" s="19">
        <v>703102331235560</v>
      </c>
      <c r="F14" s="11" t="s">
        <v>40</v>
      </c>
      <c r="G14" s="11" t="s">
        <v>54</v>
      </c>
      <c r="H14" s="169">
        <v>35803</v>
      </c>
      <c r="I14" s="190">
        <v>44639</v>
      </c>
      <c r="J14" s="11" t="s">
        <v>42</v>
      </c>
      <c r="K14" s="108" t="s">
        <v>55</v>
      </c>
      <c r="L14" s="11"/>
      <c r="M14" s="105"/>
      <c r="N14" s="105" t="s">
        <v>95</v>
      </c>
      <c r="O14" s="11" t="s">
        <v>44</v>
      </c>
      <c r="P14" s="11" t="s">
        <v>44</v>
      </c>
      <c r="Q14" s="105" t="s">
        <v>44</v>
      </c>
      <c r="R14" s="105" t="s">
        <v>45</v>
      </c>
      <c r="S14" s="105" t="s">
        <v>44</v>
      </c>
      <c r="T14" s="105" t="s">
        <v>44</v>
      </c>
      <c r="U14" s="105" t="s">
        <v>44</v>
      </c>
      <c r="V14" s="105"/>
      <c r="W14" s="105" t="s">
        <v>57</v>
      </c>
      <c r="X14" s="11" t="s">
        <v>97</v>
      </c>
      <c r="Y14" s="11" t="s">
        <v>97</v>
      </c>
      <c r="Z14" s="105">
        <v>81984696256</v>
      </c>
      <c r="AA14" s="11"/>
      <c r="AB14" s="11"/>
      <c r="AC14" s="105"/>
      <c r="AD14" s="11" t="b">
        <v>0</v>
      </c>
      <c r="AE14" s="105"/>
      <c r="AF14" s="11"/>
      <c r="AG14" s="11"/>
      <c r="AH14" s="11"/>
      <c r="AI14" s="11"/>
    </row>
    <row r="15" ht="12.5" spans="1:35">
      <c r="A15" s="177">
        <v>44929.6335059838</v>
      </c>
      <c r="B15" s="11" t="s">
        <v>79</v>
      </c>
      <c r="C15" s="19">
        <v>71158194404</v>
      </c>
      <c r="D15" s="19">
        <v>708407796973663</v>
      </c>
      <c r="F15" s="11" t="s">
        <v>40</v>
      </c>
      <c r="G15" s="11" t="s">
        <v>54</v>
      </c>
      <c r="H15" s="169">
        <v>37819</v>
      </c>
      <c r="I15" s="190">
        <v>44674</v>
      </c>
      <c r="J15" s="11" t="s">
        <v>81</v>
      </c>
      <c r="K15" s="108"/>
      <c r="L15" s="11" t="s">
        <v>109</v>
      </c>
      <c r="M15" s="105"/>
      <c r="N15" s="105" t="s">
        <v>95</v>
      </c>
      <c r="O15" s="11" t="s">
        <v>44</v>
      </c>
      <c r="P15" s="11" t="s">
        <v>44</v>
      </c>
      <c r="Q15" s="105" t="s">
        <v>44</v>
      </c>
      <c r="R15" s="105" t="s">
        <v>45</v>
      </c>
      <c r="S15" s="105" t="s">
        <v>83</v>
      </c>
      <c r="T15" s="105" t="s">
        <v>44</v>
      </c>
      <c r="U15" s="105" t="s">
        <v>44</v>
      </c>
      <c r="V15" s="105"/>
      <c r="W15" s="105" t="s">
        <v>57</v>
      </c>
      <c r="X15" s="11" t="s">
        <v>97</v>
      </c>
      <c r="Y15" s="11" t="s">
        <v>97</v>
      </c>
      <c r="Z15" s="105">
        <v>81985904153</v>
      </c>
      <c r="AA15" s="11"/>
      <c r="AB15" s="11"/>
      <c r="AC15" s="105"/>
      <c r="AD15" s="11" t="b">
        <v>0</v>
      </c>
      <c r="AE15" s="105"/>
      <c r="AF15" s="11"/>
      <c r="AG15" s="11"/>
      <c r="AH15" s="11"/>
      <c r="AI15" s="11"/>
    </row>
    <row r="16" ht="12.5" spans="1:35">
      <c r="A16" s="177">
        <v>44929.6363998148</v>
      </c>
      <c r="B16" s="11" t="s">
        <v>71</v>
      </c>
      <c r="C16" s="277" t="s">
        <v>72</v>
      </c>
      <c r="D16" s="19">
        <v>705005817013652</v>
      </c>
      <c r="F16" s="11" t="s">
        <v>40</v>
      </c>
      <c r="G16" s="11" t="s">
        <v>41</v>
      </c>
      <c r="H16" s="169">
        <v>34029</v>
      </c>
      <c r="I16" s="126"/>
      <c r="J16" s="11" t="s">
        <v>42</v>
      </c>
      <c r="K16" s="108" t="s">
        <v>74</v>
      </c>
      <c r="L16" s="11"/>
      <c r="M16" s="105"/>
      <c r="N16" s="105" t="s">
        <v>95</v>
      </c>
      <c r="O16" s="11" t="s">
        <v>44</v>
      </c>
      <c r="P16" s="11" t="s">
        <v>44</v>
      </c>
      <c r="Q16" s="105" t="s">
        <v>44</v>
      </c>
      <c r="R16" s="105" t="s">
        <v>45</v>
      </c>
      <c r="S16" s="105" t="s">
        <v>45</v>
      </c>
      <c r="T16" s="105" t="s">
        <v>44</v>
      </c>
      <c r="U16" s="105" t="s">
        <v>44</v>
      </c>
      <c r="V16" s="105"/>
      <c r="W16" s="105" t="s">
        <v>57</v>
      </c>
      <c r="X16" s="11" t="s">
        <v>97</v>
      </c>
      <c r="Y16" s="11" t="s">
        <v>110</v>
      </c>
      <c r="Z16" s="105">
        <v>81984531903</v>
      </c>
      <c r="AA16" s="11"/>
      <c r="AB16" s="11"/>
      <c r="AC16" s="105"/>
      <c r="AD16" s="11" t="b">
        <v>0</v>
      </c>
      <c r="AE16" s="105"/>
      <c r="AF16" s="11"/>
      <c r="AG16" s="11"/>
      <c r="AH16" s="11"/>
      <c r="AI16" s="11"/>
    </row>
    <row r="17" ht="12.5" spans="1:35">
      <c r="A17" s="177">
        <v>44951.6425588773</v>
      </c>
      <c r="B17" s="11" t="s">
        <v>99</v>
      </c>
      <c r="C17" s="19">
        <v>12075004455</v>
      </c>
      <c r="D17" s="19">
        <v>702403017460123</v>
      </c>
      <c r="F17" s="11" t="s">
        <v>40</v>
      </c>
      <c r="G17" s="11" t="s">
        <v>41</v>
      </c>
      <c r="H17" s="169">
        <v>38347</v>
      </c>
      <c r="I17" s="278" t="s">
        <v>101</v>
      </c>
      <c r="J17" s="11" t="s">
        <v>81</v>
      </c>
      <c r="K17" s="108"/>
      <c r="L17" s="11" t="s">
        <v>109</v>
      </c>
      <c r="M17" s="105"/>
      <c r="N17" s="105" t="s">
        <v>95</v>
      </c>
      <c r="O17" s="11" t="s">
        <v>65</v>
      </c>
      <c r="P17" s="11" t="s">
        <v>66</v>
      </c>
      <c r="Q17" s="105" t="s">
        <v>44</v>
      </c>
      <c r="R17" s="105" t="s">
        <v>45</v>
      </c>
      <c r="S17" s="105" t="s">
        <v>44</v>
      </c>
      <c r="T17" s="105" t="s">
        <v>44</v>
      </c>
      <c r="U17" s="105" t="s">
        <v>45</v>
      </c>
      <c r="V17" s="169">
        <v>44952</v>
      </c>
      <c r="W17" s="105" t="s">
        <v>57</v>
      </c>
      <c r="X17" s="11" t="s">
        <v>97</v>
      </c>
      <c r="Y17" s="11" t="s">
        <v>97</v>
      </c>
      <c r="Z17" s="105">
        <v>81999032761</v>
      </c>
      <c r="AA17" s="11" t="s">
        <v>103</v>
      </c>
      <c r="AB17" s="11" t="s">
        <v>49</v>
      </c>
      <c r="AC17" s="105" t="s">
        <v>75</v>
      </c>
      <c r="AD17" s="11" t="b">
        <v>0</v>
      </c>
      <c r="AE17" s="105"/>
      <c r="AF17" s="11" t="s">
        <v>111</v>
      </c>
      <c r="AG17" s="11" t="s">
        <v>112</v>
      </c>
      <c r="AH17" s="11"/>
      <c r="AI17" s="11"/>
    </row>
    <row r="18" ht="12.5" spans="1:35">
      <c r="A18" s="177">
        <v>44952.6298744444</v>
      </c>
      <c r="B18" s="11" t="s">
        <v>99</v>
      </c>
      <c r="C18" s="19">
        <v>12075004455</v>
      </c>
      <c r="D18" s="19">
        <v>702403017460123</v>
      </c>
      <c r="F18" s="11" t="s">
        <v>40</v>
      </c>
      <c r="G18" s="11" t="s">
        <v>41</v>
      </c>
      <c r="H18" s="169">
        <v>38347</v>
      </c>
      <c r="I18" s="278" t="s">
        <v>101</v>
      </c>
      <c r="J18" s="11" t="s">
        <v>81</v>
      </c>
      <c r="K18" s="108"/>
      <c r="L18" s="11" t="s">
        <v>109</v>
      </c>
      <c r="M18" s="105"/>
      <c r="N18" s="105" t="s">
        <v>95</v>
      </c>
      <c r="O18" s="11" t="s">
        <v>65</v>
      </c>
      <c r="P18" s="11" t="s">
        <v>66</v>
      </c>
      <c r="Q18" s="105" t="s">
        <v>44</v>
      </c>
      <c r="R18" s="105" t="s">
        <v>45</v>
      </c>
      <c r="S18" s="105" t="s">
        <v>45</v>
      </c>
      <c r="T18" s="105" t="s">
        <v>44</v>
      </c>
      <c r="U18" s="105" t="s">
        <v>45</v>
      </c>
      <c r="V18" s="169">
        <v>44953</v>
      </c>
      <c r="W18" s="105" t="s">
        <v>57</v>
      </c>
      <c r="X18" s="11" t="s">
        <v>97</v>
      </c>
      <c r="Y18" s="11" t="s">
        <v>97</v>
      </c>
      <c r="Z18" s="105">
        <v>81999032761</v>
      </c>
      <c r="AA18" s="11" t="s">
        <v>113</v>
      </c>
      <c r="AB18" s="11" t="s">
        <v>49</v>
      </c>
      <c r="AC18" s="105" t="s">
        <v>50</v>
      </c>
      <c r="AD18" s="11" t="b">
        <v>0</v>
      </c>
      <c r="AE18" s="105"/>
      <c r="AF18" s="11" t="s">
        <v>114</v>
      </c>
      <c r="AG18" s="11"/>
      <c r="AH18" s="11"/>
      <c r="AI18" s="11"/>
    </row>
    <row r="19" ht="12.5" spans="1:35">
      <c r="A19" s="177">
        <v>44953.3730771412</v>
      </c>
      <c r="B19" s="11" t="s">
        <v>99</v>
      </c>
      <c r="C19" s="19">
        <v>12075004455</v>
      </c>
      <c r="D19" s="19">
        <v>702403017460123</v>
      </c>
      <c r="F19" s="11" t="s">
        <v>40</v>
      </c>
      <c r="G19" s="11" t="s">
        <v>41</v>
      </c>
      <c r="H19" s="169">
        <v>38347</v>
      </c>
      <c r="I19" s="278" t="s">
        <v>101</v>
      </c>
      <c r="J19" s="11" t="s">
        <v>81</v>
      </c>
      <c r="K19" s="108"/>
      <c r="L19" s="11" t="s">
        <v>109</v>
      </c>
      <c r="M19" s="105"/>
      <c r="N19" s="105" t="s">
        <v>95</v>
      </c>
      <c r="O19" s="11" t="s">
        <v>44</v>
      </c>
      <c r="P19" s="11" t="s">
        <v>44</v>
      </c>
      <c r="Q19" s="105" t="s">
        <v>44</v>
      </c>
      <c r="R19" s="105" t="s">
        <v>45</v>
      </c>
      <c r="S19" s="105" t="s">
        <v>45</v>
      </c>
      <c r="T19" s="105" t="s">
        <v>44</v>
      </c>
      <c r="U19" s="105" t="s">
        <v>44</v>
      </c>
      <c r="V19" s="105"/>
      <c r="W19" s="105" t="s">
        <v>57</v>
      </c>
      <c r="X19" s="11" t="s">
        <v>97</v>
      </c>
      <c r="Y19" s="11" t="s">
        <v>97</v>
      </c>
      <c r="Z19" s="105">
        <v>81999032761</v>
      </c>
      <c r="AA19" s="11" t="s">
        <v>115</v>
      </c>
      <c r="AB19" s="11"/>
      <c r="AC19" s="105"/>
      <c r="AD19" s="11" t="b">
        <v>0</v>
      </c>
      <c r="AE19" s="105"/>
      <c r="AF19" s="11"/>
      <c r="AG19" s="11"/>
      <c r="AH19" s="11"/>
      <c r="AI19" s="11"/>
    </row>
    <row r="20" ht="12.5" spans="1:35">
      <c r="A20" s="177">
        <v>44987.5755662268</v>
      </c>
      <c r="B20" s="11" t="s">
        <v>116</v>
      </c>
      <c r="C20" s="19">
        <v>4882140411</v>
      </c>
      <c r="D20" s="19">
        <v>702301136510514</v>
      </c>
      <c r="E20" s="18" t="s">
        <v>117</v>
      </c>
      <c r="F20" s="11" t="s">
        <v>40</v>
      </c>
      <c r="G20" s="11" t="s">
        <v>54</v>
      </c>
      <c r="H20" s="169">
        <v>30394</v>
      </c>
      <c r="I20" s="278" t="s">
        <v>118</v>
      </c>
      <c r="J20" s="11" t="s">
        <v>81</v>
      </c>
      <c r="K20" s="108"/>
      <c r="L20" s="11" t="s">
        <v>119</v>
      </c>
      <c r="M20" s="105"/>
      <c r="N20" s="105" t="s">
        <v>43</v>
      </c>
      <c r="O20" s="11" t="s">
        <v>44</v>
      </c>
      <c r="P20" s="11" t="s">
        <v>44</v>
      </c>
      <c r="Q20" s="105" t="s">
        <v>44</v>
      </c>
      <c r="R20" s="105" t="s">
        <v>45</v>
      </c>
      <c r="S20" s="105" t="s">
        <v>45</v>
      </c>
      <c r="T20" s="105" t="s">
        <v>44</v>
      </c>
      <c r="U20" s="105" t="s">
        <v>44</v>
      </c>
      <c r="V20" s="105"/>
      <c r="W20" s="105" t="s">
        <v>57</v>
      </c>
      <c r="X20" s="11" t="s">
        <v>47</v>
      </c>
      <c r="Y20" s="11" t="s">
        <v>58</v>
      </c>
      <c r="Z20" s="105">
        <v>81998028449</v>
      </c>
      <c r="AA20" s="11" t="s">
        <v>115</v>
      </c>
      <c r="AB20" s="11"/>
      <c r="AC20" s="105"/>
      <c r="AD20" s="11" t="b">
        <v>0</v>
      </c>
      <c r="AE20" s="105"/>
      <c r="AF20" s="11"/>
      <c r="AG20" s="11"/>
      <c r="AH20" s="11"/>
      <c r="AI20" s="11"/>
    </row>
    <row r="21" customHeight="1" spans="1:35">
      <c r="A21" s="177">
        <v>45002.5043724653</v>
      </c>
      <c r="B21" s="11" t="s">
        <v>120</v>
      </c>
      <c r="C21" s="277" t="s">
        <v>121</v>
      </c>
      <c r="D21" s="19">
        <v>700902926629091</v>
      </c>
      <c r="E21" s="18" t="s">
        <v>122</v>
      </c>
      <c r="F21" s="11" t="s">
        <v>40</v>
      </c>
      <c r="G21" s="11" t="s">
        <v>54</v>
      </c>
      <c r="H21" s="169">
        <v>31336</v>
      </c>
      <c r="I21" s="278" t="s">
        <v>123</v>
      </c>
      <c r="J21" s="11" t="s">
        <v>42</v>
      </c>
      <c r="K21" s="108" t="s">
        <v>124</v>
      </c>
      <c r="L21" s="11"/>
      <c r="M21" s="105"/>
      <c r="N21" s="105" t="s">
        <v>43</v>
      </c>
      <c r="O21" s="11" t="s">
        <v>65</v>
      </c>
      <c r="P21" s="11" t="s">
        <v>66</v>
      </c>
      <c r="Q21" s="105" t="s">
        <v>44</v>
      </c>
      <c r="R21" s="105" t="s">
        <v>45</v>
      </c>
      <c r="S21" s="105" t="s">
        <v>45</v>
      </c>
      <c r="T21" s="105" t="s">
        <v>44</v>
      </c>
      <c r="U21" s="105" t="s">
        <v>45</v>
      </c>
      <c r="V21" s="169">
        <v>45002</v>
      </c>
      <c r="W21" s="105" t="s">
        <v>46</v>
      </c>
      <c r="X21" s="11" t="s">
        <v>47</v>
      </c>
      <c r="Y21" s="11" t="s">
        <v>58</v>
      </c>
      <c r="Z21" s="105">
        <v>81994615795</v>
      </c>
      <c r="AA21" s="11" t="s">
        <v>115</v>
      </c>
      <c r="AB21" s="11" t="s">
        <v>49</v>
      </c>
      <c r="AC21" s="105" t="s">
        <v>50</v>
      </c>
      <c r="AD21" s="11" t="b">
        <v>0</v>
      </c>
      <c r="AE21" s="105"/>
      <c r="AF21" s="11" t="s">
        <v>125</v>
      </c>
      <c r="AG21" s="11"/>
      <c r="AH21" s="11" t="s">
        <v>126</v>
      </c>
      <c r="AI21" s="11"/>
    </row>
    <row r="22" ht="12.5" spans="1:35">
      <c r="A22" s="177">
        <v>45002.7280722801</v>
      </c>
      <c r="B22" s="11" t="s">
        <v>120</v>
      </c>
      <c r="C22" s="277" t="s">
        <v>121</v>
      </c>
      <c r="D22" s="19">
        <v>700902926629091</v>
      </c>
      <c r="F22" s="11" t="s">
        <v>40</v>
      </c>
      <c r="G22" s="11" t="s">
        <v>54</v>
      </c>
      <c r="H22" s="169">
        <v>31336</v>
      </c>
      <c r="I22" s="190">
        <v>44757</v>
      </c>
      <c r="J22" s="11" t="s">
        <v>42</v>
      </c>
      <c r="K22" s="108" t="s">
        <v>124</v>
      </c>
      <c r="L22" s="11"/>
      <c r="M22" s="105"/>
      <c r="N22" s="105" t="s">
        <v>95</v>
      </c>
      <c r="O22" s="11" t="s">
        <v>127</v>
      </c>
      <c r="P22" s="11" t="s">
        <v>44</v>
      </c>
      <c r="Q22" s="105" t="s">
        <v>44</v>
      </c>
      <c r="R22" s="105" t="s">
        <v>45</v>
      </c>
      <c r="S22" s="105" t="s">
        <v>45</v>
      </c>
      <c r="T22" s="105" t="s">
        <v>44</v>
      </c>
      <c r="U22" s="105" t="s">
        <v>45</v>
      </c>
      <c r="V22" s="169">
        <v>45005</v>
      </c>
      <c r="W22" s="105" t="s">
        <v>57</v>
      </c>
      <c r="X22" s="11" t="s">
        <v>97</v>
      </c>
      <c r="Y22" s="11" t="s">
        <v>97</v>
      </c>
      <c r="Z22" s="105">
        <v>81994615795</v>
      </c>
      <c r="AA22" s="11" t="s">
        <v>115</v>
      </c>
      <c r="AB22" s="11" t="s">
        <v>49</v>
      </c>
      <c r="AC22" s="105" t="s">
        <v>50</v>
      </c>
      <c r="AD22" s="11" t="b">
        <v>0</v>
      </c>
      <c r="AE22" s="105"/>
      <c r="AF22" s="75" t="s">
        <v>128</v>
      </c>
      <c r="AG22" s="11"/>
      <c r="AH22" s="11"/>
      <c r="AI22" s="11"/>
    </row>
    <row r="23" ht="12.5" spans="1:35">
      <c r="A23" s="177">
        <v>45005.4259627893</v>
      </c>
      <c r="B23" s="11" t="s">
        <v>120</v>
      </c>
      <c r="C23" s="277" t="s">
        <v>121</v>
      </c>
      <c r="D23" s="19">
        <v>700902926629091</v>
      </c>
      <c r="F23" s="11" t="s">
        <v>40</v>
      </c>
      <c r="G23" s="11" t="s">
        <v>54</v>
      </c>
      <c r="H23" s="24">
        <v>31336</v>
      </c>
      <c r="I23" s="277" t="s">
        <v>129</v>
      </c>
      <c r="J23" s="11" t="s">
        <v>42</v>
      </c>
      <c r="K23" s="108" t="s">
        <v>130</v>
      </c>
      <c r="L23" s="11"/>
      <c r="N23" s="11" t="s">
        <v>95</v>
      </c>
      <c r="O23" s="11" t="s">
        <v>65</v>
      </c>
      <c r="P23" s="11" t="s">
        <v>66</v>
      </c>
      <c r="Q23" s="11" t="s">
        <v>44</v>
      </c>
      <c r="R23" s="11" t="s">
        <v>45</v>
      </c>
      <c r="S23" s="11" t="s">
        <v>45</v>
      </c>
      <c r="T23" s="11" t="s">
        <v>44</v>
      </c>
      <c r="U23" s="11" t="s">
        <v>45</v>
      </c>
      <c r="V23" s="24">
        <v>45006</v>
      </c>
      <c r="W23" s="11" t="s">
        <v>57</v>
      </c>
      <c r="X23" s="11" t="s">
        <v>97</v>
      </c>
      <c r="Y23" s="11" t="s">
        <v>97</v>
      </c>
      <c r="Z23" s="11">
        <v>81994615795</v>
      </c>
      <c r="AA23" s="11" t="s">
        <v>115</v>
      </c>
      <c r="AB23" s="11" t="s">
        <v>49</v>
      </c>
      <c r="AC23" s="11" t="s">
        <v>84</v>
      </c>
      <c r="AD23" s="11" t="b">
        <v>0</v>
      </c>
      <c r="AF23" s="11" t="s">
        <v>131</v>
      </c>
      <c r="AG23" s="11"/>
      <c r="AH23" s="11"/>
      <c r="AI23" s="11"/>
    </row>
    <row r="24" ht="12.5" spans="1:35">
      <c r="A24" s="177">
        <v>45006.6616025</v>
      </c>
      <c r="B24" s="11" t="s">
        <v>120</v>
      </c>
      <c r="C24" s="277" t="s">
        <v>121</v>
      </c>
      <c r="D24" s="19">
        <v>700902926629091</v>
      </c>
      <c r="F24" s="11" t="s">
        <v>40</v>
      </c>
      <c r="G24" s="11" t="s">
        <v>54</v>
      </c>
      <c r="H24" s="24">
        <v>31336</v>
      </c>
      <c r="I24" s="277" t="s">
        <v>129</v>
      </c>
      <c r="J24" s="11" t="s">
        <v>42</v>
      </c>
      <c r="K24" s="108" t="s">
        <v>132</v>
      </c>
      <c r="N24" s="11" t="s">
        <v>95</v>
      </c>
      <c r="O24" s="11" t="s">
        <v>44</v>
      </c>
      <c r="P24" s="11" t="s">
        <v>44</v>
      </c>
      <c r="Q24" s="11" t="s">
        <v>44</v>
      </c>
      <c r="R24" s="11" t="s">
        <v>45</v>
      </c>
      <c r="S24" s="11" t="s">
        <v>45</v>
      </c>
      <c r="T24" s="11" t="s">
        <v>44</v>
      </c>
      <c r="U24" s="11" t="s">
        <v>44</v>
      </c>
      <c r="W24" s="11" t="s">
        <v>57</v>
      </c>
      <c r="X24" s="11" t="s">
        <v>97</v>
      </c>
      <c r="Y24" s="11" t="s">
        <v>97</v>
      </c>
      <c r="Z24" s="11">
        <v>81994615795</v>
      </c>
      <c r="AA24" s="11" t="s">
        <v>105</v>
      </c>
      <c r="AB24" s="11"/>
      <c r="AC24" s="11"/>
      <c r="AD24" s="11" t="b">
        <v>0</v>
      </c>
      <c r="AF24" s="11"/>
      <c r="AG24" s="11"/>
      <c r="AH24" s="11"/>
      <c r="AI24" s="11"/>
    </row>
    <row r="25" ht="12.5" spans="1:35">
      <c r="A25" s="177">
        <v>45021.5075936806</v>
      </c>
      <c r="B25" s="11" t="s">
        <v>133</v>
      </c>
      <c r="C25" s="19">
        <v>70895876493</v>
      </c>
      <c r="D25" s="19">
        <v>700002751960906</v>
      </c>
      <c r="E25" s="18" t="s">
        <v>134</v>
      </c>
      <c r="F25" s="11" t="s">
        <v>40</v>
      </c>
      <c r="G25" s="11" t="s">
        <v>135</v>
      </c>
      <c r="H25" s="24">
        <v>35462</v>
      </c>
      <c r="I25" s="19" t="s">
        <v>136</v>
      </c>
      <c r="J25" s="11" t="s">
        <v>42</v>
      </c>
      <c r="K25" s="108" t="s">
        <v>74</v>
      </c>
      <c r="N25" s="11" t="s">
        <v>43</v>
      </c>
      <c r="O25" s="11" t="s">
        <v>96</v>
      </c>
      <c r="P25" s="11" t="s">
        <v>56</v>
      </c>
      <c r="Q25" s="11" t="s">
        <v>44</v>
      </c>
      <c r="R25" s="11" t="s">
        <v>45</v>
      </c>
      <c r="S25" s="11" t="s">
        <v>83</v>
      </c>
      <c r="T25" s="11" t="s">
        <v>44</v>
      </c>
      <c r="U25" s="11" t="s">
        <v>45</v>
      </c>
      <c r="V25" s="24">
        <v>45023</v>
      </c>
      <c r="W25" s="11" t="s">
        <v>46</v>
      </c>
      <c r="X25" s="11" t="s">
        <v>47</v>
      </c>
      <c r="Y25" s="11" t="s">
        <v>58</v>
      </c>
      <c r="Z25" s="11">
        <v>81985708726</v>
      </c>
      <c r="AA25" s="11" t="s">
        <v>113</v>
      </c>
      <c r="AB25" s="11" t="s">
        <v>49</v>
      </c>
      <c r="AC25" s="11" t="s">
        <v>50</v>
      </c>
      <c r="AD25" s="11" t="b">
        <v>1</v>
      </c>
      <c r="AE25" s="11" t="s">
        <v>137</v>
      </c>
      <c r="AF25" s="199" t="s">
        <v>138</v>
      </c>
      <c r="AG25" s="11"/>
      <c r="AH25" s="11"/>
      <c r="AI25" s="11"/>
    </row>
    <row r="26" ht="12.5" spans="1:35">
      <c r="A26" s="177">
        <v>45023.429143588</v>
      </c>
      <c r="B26" s="11" t="s">
        <v>133</v>
      </c>
      <c r="C26" s="19">
        <v>70895876493</v>
      </c>
      <c r="D26" s="19">
        <v>700002751960906</v>
      </c>
      <c r="E26" s="18" t="s">
        <v>139</v>
      </c>
      <c r="F26" s="11" t="s">
        <v>40</v>
      </c>
      <c r="G26" s="11" t="s">
        <v>135</v>
      </c>
      <c r="H26" s="24" t="s">
        <v>140</v>
      </c>
      <c r="I26" s="277" t="s">
        <v>141</v>
      </c>
      <c r="J26" s="11" t="s">
        <v>42</v>
      </c>
      <c r="K26" s="108" t="s">
        <v>74</v>
      </c>
      <c r="N26" s="11" t="s">
        <v>95</v>
      </c>
      <c r="O26" s="11" t="s">
        <v>44</v>
      </c>
      <c r="P26" s="11" t="s">
        <v>44</v>
      </c>
      <c r="Q26" s="11" t="s">
        <v>44</v>
      </c>
      <c r="R26" s="11" t="s">
        <v>45</v>
      </c>
      <c r="S26" s="11" t="s">
        <v>45</v>
      </c>
      <c r="T26" s="11" t="s">
        <v>44</v>
      </c>
      <c r="U26" s="11" t="s">
        <v>44</v>
      </c>
      <c r="W26" s="11" t="s">
        <v>46</v>
      </c>
      <c r="X26" s="11" t="s">
        <v>97</v>
      </c>
      <c r="Y26" s="11" t="s">
        <v>97</v>
      </c>
      <c r="Z26" s="11">
        <v>81985708726</v>
      </c>
      <c r="AA26" s="11" t="s">
        <v>115</v>
      </c>
      <c r="AB26" s="11"/>
      <c r="AC26" s="11"/>
      <c r="AD26" s="11" t="b">
        <v>0</v>
      </c>
      <c r="AF26" s="11"/>
      <c r="AG26" s="11"/>
      <c r="AH26" s="11"/>
      <c r="AI26" s="11"/>
    </row>
    <row r="27" ht="12.5" spans="1:35">
      <c r="A27" s="177">
        <v>45034.7102007176</v>
      </c>
      <c r="B27" s="11" t="s">
        <v>142</v>
      </c>
      <c r="C27" s="19">
        <v>71176140485</v>
      </c>
      <c r="D27" s="19">
        <v>700002248469009</v>
      </c>
      <c r="E27" s="18" t="s">
        <v>143</v>
      </c>
      <c r="F27" s="11" t="s">
        <v>40</v>
      </c>
      <c r="G27" s="11" t="s">
        <v>54</v>
      </c>
      <c r="H27" s="24">
        <v>36563</v>
      </c>
      <c r="I27" s="277" t="s">
        <v>144</v>
      </c>
      <c r="J27" s="11" t="s">
        <v>145</v>
      </c>
      <c r="K27" s="108"/>
      <c r="N27" s="11" t="s">
        <v>43</v>
      </c>
      <c r="O27" s="11" t="s">
        <v>44</v>
      </c>
      <c r="P27" s="11" t="s">
        <v>44</v>
      </c>
      <c r="Q27" s="11" t="s">
        <v>44</v>
      </c>
      <c r="R27" s="11" t="s">
        <v>45</v>
      </c>
      <c r="S27" s="11" t="s">
        <v>45</v>
      </c>
      <c r="T27" s="11" t="s">
        <v>44</v>
      </c>
      <c r="U27" s="11" t="s">
        <v>44</v>
      </c>
      <c r="W27" s="11" t="s">
        <v>46</v>
      </c>
      <c r="X27" s="11" t="s">
        <v>47</v>
      </c>
      <c r="Y27" s="11" t="s">
        <v>58</v>
      </c>
      <c r="Z27" s="11">
        <v>81996721255</v>
      </c>
      <c r="AA27" s="11" t="s">
        <v>105</v>
      </c>
      <c r="AB27" s="11"/>
      <c r="AC27" s="11"/>
      <c r="AD27" s="11" t="b">
        <v>0</v>
      </c>
      <c r="AF27" s="11"/>
      <c r="AG27" s="11"/>
      <c r="AH27" s="11"/>
      <c r="AI27" s="11"/>
    </row>
    <row r="28" ht="12.5" spans="1:35">
      <c r="A28" s="177">
        <v>45035.6131218634</v>
      </c>
      <c r="B28" s="11" t="s">
        <v>146</v>
      </c>
      <c r="C28" s="19">
        <v>10768708486</v>
      </c>
      <c r="D28" s="19">
        <v>704306570802490</v>
      </c>
      <c r="E28" s="18" t="s">
        <v>147</v>
      </c>
      <c r="F28" s="11" t="s">
        <v>40</v>
      </c>
      <c r="G28" s="11" t="s">
        <v>54</v>
      </c>
      <c r="H28" s="24">
        <v>33525</v>
      </c>
      <c r="I28" s="277" t="s">
        <v>148</v>
      </c>
      <c r="J28" s="11" t="s">
        <v>42</v>
      </c>
      <c r="K28" s="108" t="s">
        <v>149</v>
      </c>
      <c r="N28" s="11" t="s">
        <v>43</v>
      </c>
      <c r="O28" s="11" t="s">
        <v>44</v>
      </c>
      <c r="P28" s="11" t="s">
        <v>44</v>
      </c>
      <c r="Q28" s="11" t="s">
        <v>44</v>
      </c>
      <c r="R28" s="11" t="s">
        <v>45</v>
      </c>
      <c r="S28" s="11" t="s">
        <v>83</v>
      </c>
      <c r="T28" s="11" t="s">
        <v>44</v>
      </c>
      <c r="U28" s="11" t="s">
        <v>45</v>
      </c>
      <c r="V28" s="24">
        <v>45036</v>
      </c>
      <c r="W28" s="11" t="s">
        <v>46</v>
      </c>
      <c r="X28" s="11" t="s">
        <v>47</v>
      </c>
      <c r="Y28" s="11" t="s">
        <v>58</v>
      </c>
      <c r="Z28" s="11">
        <v>81986310755</v>
      </c>
      <c r="AA28" s="11" t="s">
        <v>103</v>
      </c>
      <c r="AB28" s="11" t="s">
        <v>49</v>
      </c>
      <c r="AC28" s="11" t="s">
        <v>75</v>
      </c>
      <c r="AD28" s="11" t="b">
        <v>1</v>
      </c>
      <c r="AE28" s="11" t="s">
        <v>137</v>
      </c>
      <c r="AF28" s="11" t="s">
        <v>150</v>
      </c>
      <c r="AG28" s="11"/>
      <c r="AH28" s="11"/>
      <c r="AI28" s="11"/>
    </row>
    <row r="29" ht="12.5" spans="1:35">
      <c r="A29" s="177">
        <v>45036.3914573264</v>
      </c>
      <c r="B29" s="11" t="s">
        <v>146</v>
      </c>
      <c r="C29" s="19">
        <v>10768708486</v>
      </c>
      <c r="D29" s="19">
        <v>704306570802490</v>
      </c>
      <c r="E29" s="18" t="s">
        <v>151</v>
      </c>
      <c r="F29" s="11" t="s">
        <v>40</v>
      </c>
      <c r="G29" s="11" t="s">
        <v>54</v>
      </c>
      <c r="H29" s="24">
        <v>33525</v>
      </c>
      <c r="I29" s="277" t="s">
        <v>148</v>
      </c>
      <c r="J29" s="11" t="s">
        <v>42</v>
      </c>
      <c r="K29" s="108" t="s">
        <v>152</v>
      </c>
      <c r="N29" s="11" t="s">
        <v>95</v>
      </c>
      <c r="O29" s="11" t="s">
        <v>44</v>
      </c>
      <c r="P29" s="11" t="s">
        <v>44</v>
      </c>
      <c r="Q29" s="11" t="s">
        <v>44</v>
      </c>
      <c r="R29" s="11" t="s">
        <v>45</v>
      </c>
      <c r="S29" s="11" t="s">
        <v>83</v>
      </c>
      <c r="T29" s="11" t="s">
        <v>44</v>
      </c>
      <c r="U29" s="11" t="s">
        <v>44</v>
      </c>
      <c r="W29" s="11" t="s">
        <v>46</v>
      </c>
      <c r="X29" s="11" t="s">
        <v>97</v>
      </c>
      <c r="Y29" s="11" t="s">
        <v>97</v>
      </c>
      <c r="Z29" s="11">
        <v>81986310755</v>
      </c>
      <c r="AA29" s="11" t="s">
        <v>113</v>
      </c>
      <c r="AB29" s="11"/>
      <c r="AC29" s="11"/>
      <c r="AD29" s="11" t="b">
        <v>0</v>
      </c>
      <c r="AF29" s="11"/>
      <c r="AG29" s="11"/>
      <c r="AH29" s="11"/>
      <c r="AI29" s="11"/>
    </row>
    <row r="30" ht="12.5" spans="1:35">
      <c r="A30" s="177">
        <v>45037.3759281366</v>
      </c>
      <c r="B30" s="11" t="s">
        <v>153</v>
      </c>
      <c r="C30" s="19">
        <v>70467347476</v>
      </c>
      <c r="D30" s="19">
        <v>700003309452306</v>
      </c>
      <c r="E30" s="18" t="s">
        <v>154</v>
      </c>
      <c r="F30" s="11" t="s">
        <v>40</v>
      </c>
      <c r="G30" s="11" t="s">
        <v>54</v>
      </c>
      <c r="H30" s="24">
        <v>35588</v>
      </c>
      <c r="I30" s="277" t="s">
        <v>123</v>
      </c>
      <c r="J30" s="11" t="s">
        <v>42</v>
      </c>
      <c r="K30" s="108" t="s">
        <v>155</v>
      </c>
      <c r="N30" s="11" t="s">
        <v>43</v>
      </c>
      <c r="O30" s="11" t="s">
        <v>96</v>
      </c>
      <c r="P30" s="11" t="s">
        <v>66</v>
      </c>
      <c r="Q30" s="11" t="s">
        <v>44</v>
      </c>
      <c r="R30" s="11" t="s">
        <v>45</v>
      </c>
      <c r="S30" s="11" t="s">
        <v>45</v>
      </c>
      <c r="T30" s="11" t="s">
        <v>44</v>
      </c>
      <c r="U30" s="11" t="s">
        <v>45</v>
      </c>
      <c r="V30" s="24">
        <v>45040</v>
      </c>
      <c r="W30" s="11" t="s">
        <v>46</v>
      </c>
      <c r="X30" s="11" t="s">
        <v>156</v>
      </c>
      <c r="Y30" s="11" t="s">
        <v>58</v>
      </c>
      <c r="Z30" s="11">
        <v>81983652242</v>
      </c>
      <c r="AA30" s="11" t="s">
        <v>115</v>
      </c>
      <c r="AB30" s="11" t="s">
        <v>49</v>
      </c>
      <c r="AC30" s="11" t="s">
        <v>84</v>
      </c>
      <c r="AD30" s="11" t="b">
        <v>1</v>
      </c>
      <c r="AE30" s="11" t="s">
        <v>137</v>
      </c>
      <c r="AF30" s="11" t="s">
        <v>157</v>
      </c>
      <c r="AG30" s="11" t="s">
        <v>158</v>
      </c>
      <c r="AH30" s="11"/>
      <c r="AI30" s="11"/>
    </row>
    <row r="31" ht="12.5" spans="1:35">
      <c r="A31" s="177">
        <v>45040.6779728356</v>
      </c>
      <c r="B31" s="11" t="s">
        <v>153</v>
      </c>
      <c r="C31" s="19">
        <v>70467347476</v>
      </c>
      <c r="D31" s="19">
        <v>700003309452306</v>
      </c>
      <c r="F31" s="11" t="s">
        <v>40</v>
      </c>
      <c r="G31" s="11" t="s">
        <v>54</v>
      </c>
      <c r="H31" s="24">
        <v>35588</v>
      </c>
      <c r="I31" s="277" t="s">
        <v>123</v>
      </c>
      <c r="J31" s="11" t="s">
        <v>42</v>
      </c>
      <c r="K31" s="108"/>
      <c r="N31" s="11" t="s">
        <v>95</v>
      </c>
      <c r="O31" s="11" t="s">
        <v>44</v>
      </c>
      <c r="P31" s="11" t="s">
        <v>44</v>
      </c>
      <c r="Q31" s="11" t="s">
        <v>44</v>
      </c>
      <c r="R31" s="11" t="s">
        <v>45</v>
      </c>
      <c r="S31" s="11" t="s">
        <v>83</v>
      </c>
      <c r="T31" s="11" t="s">
        <v>44</v>
      </c>
      <c r="U31" s="11" t="s">
        <v>44</v>
      </c>
      <c r="W31" s="11" t="s">
        <v>57</v>
      </c>
      <c r="X31" s="11" t="s">
        <v>97</v>
      </c>
      <c r="Y31" s="11" t="s">
        <v>97</v>
      </c>
      <c r="Z31" s="11">
        <v>81983652242</v>
      </c>
      <c r="AA31" s="11" t="s">
        <v>105</v>
      </c>
      <c r="AB31" s="11"/>
      <c r="AC31" s="11"/>
      <c r="AD31" s="11" t="b">
        <v>0</v>
      </c>
      <c r="AF31" s="11"/>
      <c r="AG31" s="11"/>
      <c r="AH31" s="11"/>
      <c r="AI31" s="11"/>
    </row>
    <row r="32" ht="12.5" spans="1:35">
      <c r="A32" s="177">
        <v>45048.6319263194</v>
      </c>
      <c r="B32" s="11" t="s">
        <v>146</v>
      </c>
      <c r="C32" s="19">
        <v>10768708486</v>
      </c>
      <c r="D32" s="179">
        <v>704306570802490</v>
      </c>
      <c r="E32" s="18" t="s">
        <v>159</v>
      </c>
      <c r="F32" s="11" t="s">
        <v>40</v>
      </c>
      <c r="G32" s="11" t="s">
        <v>54</v>
      </c>
      <c r="H32" s="24">
        <v>33525</v>
      </c>
      <c r="I32" s="277" t="s">
        <v>148</v>
      </c>
      <c r="J32" s="11" t="s">
        <v>42</v>
      </c>
      <c r="K32" s="108" t="s">
        <v>160</v>
      </c>
      <c r="N32" s="11" t="s">
        <v>43</v>
      </c>
      <c r="O32" s="11" t="s">
        <v>96</v>
      </c>
      <c r="P32" s="11" t="s">
        <v>56</v>
      </c>
      <c r="Q32" s="11" t="s">
        <v>44</v>
      </c>
      <c r="R32" s="11" t="s">
        <v>45</v>
      </c>
      <c r="S32" s="11" t="s">
        <v>44</v>
      </c>
      <c r="T32" s="11" t="s">
        <v>44</v>
      </c>
      <c r="U32" s="11" t="s">
        <v>45</v>
      </c>
      <c r="V32" s="24">
        <v>45049</v>
      </c>
      <c r="W32" s="11" t="s">
        <v>46</v>
      </c>
      <c r="X32" s="11" t="s">
        <v>47</v>
      </c>
      <c r="Y32" s="11" t="s">
        <v>58</v>
      </c>
      <c r="Z32" s="11">
        <v>81986310755</v>
      </c>
      <c r="AA32" s="11" t="s">
        <v>91</v>
      </c>
      <c r="AB32" s="11" t="s">
        <v>49</v>
      </c>
      <c r="AC32" s="11" t="s">
        <v>92</v>
      </c>
      <c r="AD32" s="11" t="b">
        <v>1</v>
      </c>
      <c r="AE32" s="11" t="s">
        <v>137</v>
      </c>
      <c r="AF32" s="11" t="s">
        <v>161</v>
      </c>
      <c r="AG32" s="11"/>
      <c r="AH32" s="11" t="s">
        <v>162</v>
      </c>
      <c r="AI32" s="11"/>
    </row>
    <row r="33" ht="12.5" spans="1:35">
      <c r="A33" s="177">
        <v>45049.4925854745</v>
      </c>
      <c r="B33" s="11" t="s">
        <v>146</v>
      </c>
      <c r="C33" s="19">
        <v>10768708486</v>
      </c>
      <c r="D33" s="19">
        <v>704306570802490</v>
      </c>
      <c r="E33" s="18" t="s">
        <v>163</v>
      </c>
      <c r="F33" s="11" t="s">
        <v>40</v>
      </c>
      <c r="G33" s="11" t="s">
        <v>54</v>
      </c>
      <c r="H33" s="24">
        <v>33525</v>
      </c>
      <c r="I33" s="277" t="s">
        <v>148</v>
      </c>
      <c r="J33" s="11" t="s">
        <v>42</v>
      </c>
      <c r="K33" s="108" t="s">
        <v>164</v>
      </c>
      <c r="N33" s="11" t="s">
        <v>95</v>
      </c>
      <c r="O33" s="11" t="s">
        <v>96</v>
      </c>
      <c r="P33" s="11" t="s">
        <v>56</v>
      </c>
      <c r="Q33" s="11" t="s">
        <v>44</v>
      </c>
      <c r="R33" s="11" t="s">
        <v>45</v>
      </c>
      <c r="S33" s="11" t="s">
        <v>44</v>
      </c>
      <c r="T33" s="11" t="s">
        <v>44</v>
      </c>
      <c r="U33" s="11" t="s">
        <v>45</v>
      </c>
      <c r="V33" s="24">
        <v>45050</v>
      </c>
      <c r="W33" s="11" t="s">
        <v>46</v>
      </c>
      <c r="X33" s="11" t="s">
        <v>97</v>
      </c>
      <c r="Y33" s="11" t="s">
        <v>97</v>
      </c>
      <c r="Z33" s="11">
        <v>81986310755</v>
      </c>
      <c r="AA33" s="11" t="s">
        <v>91</v>
      </c>
      <c r="AB33" s="11" t="s">
        <v>49</v>
      </c>
      <c r="AC33" s="11" t="s">
        <v>92</v>
      </c>
      <c r="AD33" s="11" t="b">
        <v>1</v>
      </c>
      <c r="AE33" s="11" t="s">
        <v>137</v>
      </c>
      <c r="AF33" s="11" t="s">
        <v>165</v>
      </c>
      <c r="AG33" s="11"/>
      <c r="AH33" s="11"/>
      <c r="AI33" s="11"/>
    </row>
    <row r="34" ht="12.5" spans="1:35">
      <c r="A34" s="177">
        <v>45050.6588879977</v>
      </c>
      <c r="B34" s="11" t="s">
        <v>146</v>
      </c>
      <c r="C34" s="19">
        <v>10768708486</v>
      </c>
      <c r="D34" s="19">
        <v>704306570802490</v>
      </c>
      <c r="E34" s="18" t="s">
        <v>166</v>
      </c>
      <c r="F34" s="11" t="s">
        <v>40</v>
      </c>
      <c r="G34" s="11" t="s">
        <v>54</v>
      </c>
      <c r="H34" s="24">
        <v>33525</v>
      </c>
      <c r="I34" s="19">
        <v>26012023</v>
      </c>
      <c r="J34" s="11" t="s">
        <v>42</v>
      </c>
      <c r="K34" s="108" t="s">
        <v>167</v>
      </c>
      <c r="N34" s="11" t="s">
        <v>95</v>
      </c>
      <c r="O34" s="11" t="s">
        <v>44</v>
      </c>
      <c r="P34" s="11" t="s">
        <v>44</v>
      </c>
      <c r="Q34" s="11" t="s">
        <v>44</v>
      </c>
      <c r="R34" s="11" t="s">
        <v>45</v>
      </c>
      <c r="S34" s="11" t="s">
        <v>44</v>
      </c>
      <c r="T34" s="11" t="s">
        <v>44</v>
      </c>
      <c r="U34" s="11" t="s">
        <v>44</v>
      </c>
      <c r="W34" s="11" t="s">
        <v>46</v>
      </c>
      <c r="X34" s="11" t="s">
        <v>97</v>
      </c>
      <c r="Y34" s="11" t="s">
        <v>97</v>
      </c>
      <c r="Z34" s="11">
        <v>81986310755</v>
      </c>
      <c r="AA34" s="11" t="s">
        <v>91</v>
      </c>
      <c r="AB34" s="11"/>
      <c r="AC34" s="11"/>
      <c r="AD34" s="11" t="b">
        <v>0</v>
      </c>
      <c r="AF34" s="11"/>
      <c r="AG34" s="11"/>
      <c r="AH34" s="11"/>
      <c r="AI34" s="11"/>
    </row>
    <row r="35" ht="12.5" spans="1:35">
      <c r="A35" s="177">
        <v>45051.6918225</v>
      </c>
      <c r="B35" s="11" t="s">
        <v>168</v>
      </c>
      <c r="C35" s="19">
        <v>71724929437</v>
      </c>
      <c r="D35" s="19">
        <v>700201400050122</v>
      </c>
      <c r="E35" s="18" t="s">
        <v>169</v>
      </c>
      <c r="F35" s="11" t="s">
        <v>40</v>
      </c>
      <c r="G35" s="11" t="s">
        <v>54</v>
      </c>
      <c r="H35" s="24">
        <v>36868</v>
      </c>
      <c r="I35" s="277" t="s">
        <v>170</v>
      </c>
      <c r="J35" s="11" t="s">
        <v>42</v>
      </c>
      <c r="K35" s="108" t="s">
        <v>74</v>
      </c>
      <c r="N35" s="11" t="s">
        <v>43</v>
      </c>
      <c r="O35" s="11" t="s">
        <v>44</v>
      </c>
      <c r="P35" s="11" t="s">
        <v>44</v>
      </c>
      <c r="Q35" s="11" t="s">
        <v>44</v>
      </c>
      <c r="R35" s="11" t="s">
        <v>45</v>
      </c>
      <c r="S35" s="11" t="s">
        <v>45</v>
      </c>
      <c r="T35" s="11" t="s">
        <v>44</v>
      </c>
      <c r="U35" s="11" t="s">
        <v>44</v>
      </c>
      <c r="W35" s="11" t="s">
        <v>57</v>
      </c>
      <c r="X35" s="11" t="s">
        <v>47</v>
      </c>
      <c r="Y35" s="11" t="s">
        <v>58</v>
      </c>
      <c r="Z35" s="11">
        <v>81984558250</v>
      </c>
      <c r="AA35" s="11" t="s">
        <v>115</v>
      </c>
      <c r="AB35" s="11"/>
      <c r="AC35" s="11"/>
      <c r="AD35" s="11" t="b">
        <v>0</v>
      </c>
      <c r="AF35" s="11"/>
      <c r="AG35" s="11"/>
      <c r="AH35" s="11"/>
      <c r="AI35" s="11"/>
    </row>
    <row r="36" ht="12.5" spans="1:35">
      <c r="A36" s="177">
        <v>45054.4539439236</v>
      </c>
      <c r="B36" s="11" t="s">
        <v>171</v>
      </c>
      <c r="C36" s="19">
        <v>13393664441</v>
      </c>
      <c r="D36" s="19">
        <v>700002665283209</v>
      </c>
      <c r="E36" s="18" t="s">
        <v>172</v>
      </c>
      <c r="F36" s="11" t="s">
        <v>40</v>
      </c>
      <c r="G36" s="11" t="s">
        <v>54</v>
      </c>
      <c r="H36" s="24">
        <v>37474</v>
      </c>
      <c r="I36" s="277" t="s">
        <v>173</v>
      </c>
      <c r="J36" s="11" t="s">
        <v>42</v>
      </c>
      <c r="K36" s="108" t="s">
        <v>174</v>
      </c>
      <c r="N36" s="11" t="s">
        <v>43</v>
      </c>
      <c r="O36" s="11" t="s">
        <v>65</v>
      </c>
      <c r="P36" s="11" t="s">
        <v>66</v>
      </c>
      <c r="Q36" s="11" t="s">
        <v>44</v>
      </c>
      <c r="R36" s="11" t="s">
        <v>45</v>
      </c>
      <c r="S36" s="11" t="s">
        <v>44</v>
      </c>
      <c r="T36" s="11" t="s">
        <v>44</v>
      </c>
      <c r="U36" s="11" t="s">
        <v>45</v>
      </c>
      <c r="V36" s="24">
        <v>45054</v>
      </c>
      <c r="W36" s="11" t="s">
        <v>57</v>
      </c>
      <c r="X36" s="11" t="s">
        <v>156</v>
      </c>
      <c r="Y36" s="11" t="s">
        <v>58</v>
      </c>
      <c r="Z36" s="11">
        <v>81992693254</v>
      </c>
      <c r="AA36" s="11" t="s">
        <v>91</v>
      </c>
      <c r="AB36" s="11" t="s">
        <v>49</v>
      </c>
      <c r="AC36" s="11" t="s">
        <v>84</v>
      </c>
      <c r="AD36" s="11" t="b">
        <v>0</v>
      </c>
      <c r="AF36" s="11" t="s">
        <v>175</v>
      </c>
      <c r="AG36" s="11" t="s">
        <v>176</v>
      </c>
      <c r="AH36" s="11" t="s">
        <v>177</v>
      </c>
      <c r="AI36" s="11"/>
    </row>
    <row r="37" ht="12.5" spans="1:35">
      <c r="A37" s="177">
        <v>45054.6239912037</v>
      </c>
      <c r="B37" s="11" t="s">
        <v>178</v>
      </c>
      <c r="C37" s="19">
        <v>11784645478</v>
      </c>
      <c r="D37" s="19">
        <v>701207029183712</v>
      </c>
      <c r="E37" s="18" t="s">
        <v>179</v>
      </c>
      <c r="F37" s="11" t="s">
        <v>40</v>
      </c>
      <c r="G37" s="11" t="s">
        <v>54</v>
      </c>
      <c r="H37" s="24">
        <v>35445</v>
      </c>
      <c r="I37" s="277" t="s">
        <v>180</v>
      </c>
      <c r="J37" s="11" t="s">
        <v>42</v>
      </c>
      <c r="K37" s="108" t="s">
        <v>55</v>
      </c>
      <c r="N37" s="11" t="s">
        <v>43</v>
      </c>
      <c r="O37" s="11" t="s">
        <v>44</v>
      </c>
      <c r="P37" s="11" t="s">
        <v>44</v>
      </c>
      <c r="Q37" s="11" t="s">
        <v>45</v>
      </c>
      <c r="R37" s="11" t="s">
        <v>45</v>
      </c>
      <c r="S37" s="11" t="s">
        <v>83</v>
      </c>
      <c r="T37" s="11" t="s">
        <v>44</v>
      </c>
      <c r="U37" s="11" t="s">
        <v>45</v>
      </c>
      <c r="V37" s="24">
        <v>45057</v>
      </c>
      <c r="W37" s="11" t="s">
        <v>46</v>
      </c>
      <c r="X37" s="11" t="s">
        <v>47</v>
      </c>
      <c r="Y37" s="11" t="s">
        <v>58</v>
      </c>
      <c r="Z37" s="11">
        <v>81988890611</v>
      </c>
      <c r="AA37" s="11" t="s">
        <v>105</v>
      </c>
      <c r="AB37" s="11" t="s">
        <v>98</v>
      </c>
      <c r="AC37" s="11"/>
      <c r="AD37" s="11" t="b">
        <v>0</v>
      </c>
      <c r="AF37" s="11"/>
      <c r="AG37" s="11"/>
      <c r="AH37" s="11"/>
      <c r="AI37" s="11"/>
    </row>
    <row r="38" ht="12.5" spans="1:35">
      <c r="A38" s="177">
        <v>45054.7408965972</v>
      </c>
      <c r="B38" s="11" t="s">
        <v>171</v>
      </c>
      <c r="C38" s="19">
        <v>13393664441</v>
      </c>
      <c r="D38" s="19">
        <v>700002665283209</v>
      </c>
      <c r="E38" s="18" t="s">
        <v>172</v>
      </c>
      <c r="F38" s="11" t="s">
        <v>40</v>
      </c>
      <c r="G38" s="11" t="s">
        <v>54</v>
      </c>
      <c r="H38" s="24">
        <v>37474</v>
      </c>
      <c r="I38" s="277" t="s">
        <v>173</v>
      </c>
      <c r="J38" s="11" t="s">
        <v>42</v>
      </c>
      <c r="K38" s="108" t="s">
        <v>63</v>
      </c>
      <c r="N38" s="11" t="s">
        <v>95</v>
      </c>
      <c r="O38" s="11" t="s">
        <v>65</v>
      </c>
      <c r="P38" s="11" t="s">
        <v>66</v>
      </c>
      <c r="Q38" s="11" t="s">
        <v>44</v>
      </c>
      <c r="R38" s="11" t="s">
        <v>45</v>
      </c>
      <c r="S38" s="11" t="s">
        <v>45</v>
      </c>
      <c r="T38" s="11" t="s">
        <v>44</v>
      </c>
      <c r="U38" s="11" t="s">
        <v>45</v>
      </c>
      <c r="V38" s="24">
        <v>45055</v>
      </c>
      <c r="W38" s="11" t="s">
        <v>57</v>
      </c>
      <c r="X38" s="11" t="s">
        <v>97</v>
      </c>
      <c r="Y38" s="11" t="s">
        <v>97</v>
      </c>
      <c r="Z38" s="11">
        <v>81992693254</v>
      </c>
      <c r="AA38" s="11" t="s">
        <v>105</v>
      </c>
      <c r="AB38" s="11" t="s">
        <v>98</v>
      </c>
      <c r="AC38" s="11"/>
      <c r="AD38" s="11" t="b">
        <v>0</v>
      </c>
      <c r="AF38" s="11" t="s">
        <v>181</v>
      </c>
      <c r="AG38" s="11"/>
      <c r="AH38" s="11"/>
      <c r="AI38" s="11"/>
    </row>
    <row r="39" ht="12.5" spans="1:35">
      <c r="A39" s="177">
        <v>45056.5269128009</v>
      </c>
      <c r="B39" s="11" t="s">
        <v>182</v>
      </c>
      <c r="C39" s="19">
        <v>70673369455</v>
      </c>
      <c r="D39" s="19">
        <v>700005875085902</v>
      </c>
      <c r="E39" s="18" t="s">
        <v>183</v>
      </c>
      <c r="F39" s="11" t="s">
        <v>40</v>
      </c>
      <c r="G39" s="11" t="s">
        <v>54</v>
      </c>
      <c r="H39" s="24">
        <v>35912</v>
      </c>
      <c r="I39" s="277" t="s">
        <v>184</v>
      </c>
      <c r="J39" s="11" t="s">
        <v>42</v>
      </c>
      <c r="K39" s="108"/>
      <c r="N39" s="11" t="s">
        <v>43</v>
      </c>
      <c r="O39" s="11" t="s">
        <v>96</v>
      </c>
      <c r="P39" s="11" t="s">
        <v>56</v>
      </c>
      <c r="Q39" s="11" t="s">
        <v>44</v>
      </c>
      <c r="R39" s="11" t="s">
        <v>44</v>
      </c>
      <c r="S39" s="11" t="s">
        <v>44</v>
      </c>
      <c r="T39" s="11" t="s">
        <v>44</v>
      </c>
      <c r="U39" s="11" t="s">
        <v>45</v>
      </c>
      <c r="V39" s="24">
        <v>45057</v>
      </c>
      <c r="W39" s="11" t="s">
        <v>46</v>
      </c>
      <c r="X39" s="11" t="s">
        <v>47</v>
      </c>
      <c r="Y39" s="11" t="s">
        <v>185</v>
      </c>
      <c r="Z39" s="11">
        <v>81982403574</v>
      </c>
      <c r="AA39" s="11" t="s">
        <v>91</v>
      </c>
      <c r="AB39" s="11" t="s">
        <v>98</v>
      </c>
      <c r="AC39" s="11"/>
      <c r="AD39" s="11" t="b">
        <v>0</v>
      </c>
      <c r="AF39" s="11" t="s">
        <v>186</v>
      </c>
      <c r="AG39" s="11" t="s">
        <v>186</v>
      </c>
      <c r="AH39" s="11"/>
      <c r="AI39" s="11"/>
    </row>
    <row r="40" ht="12.5" spans="1:35">
      <c r="A40" s="177">
        <v>45062.7519334954</v>
      </c>
      <c r="B40" s="11" t="s">
        <v>187</v>
      </c>
      <c r="C40" s="19">
        <v>70398985430</v>
      </c>
      <c r="D40" s="19">
        <v>700005882298401</v>
      </c>
      <c r="E40" s="18" t="s">
        <v>188</v>
      </c>
      <c r="F40" s="11" t="s">
        <v>40</v>
      </c>
      <c r="G40" s="11" t="s">
        <v>189</v>
      </c>
      <c r="H40" s="24">
        <v>35602</v>
      </c>
      <c r="I40" s="277" t="s">
        <v>190</v>
      </c>
      <c r="J40" s="11" t="s">
        <v>42</v>
      </c>
      <c r="K40" s="108" t="s">
        <v>191</v>
      </c>
      <c r="N40" s="11" t="s">
        <v>43</v>
      </c>
      <c r="O40" s="11" t="s">
        <v>44</v>
      </c>
      <c r="P40" s="11" t="s">
        <v>44</v>
      </c>
      <c r="Q40" s="11" t="s">
        <v>45</v>
      </c>
      <c r="R40" s="11" t="s">
        <v>45</v>
      </c>
      <c r="S40" s="11" t="s">
        <v>45</v>
      </c>
      <c r="T40" s="11" t="s">
        <v>44</v>
      </c>
      <c r="U40" s="11" t="s">
        <v>45</v>
      </c>
      <c r="V40" s="24">
        <v>45068</v>
      </c>
      <c r="W40" s="11" t="s">
        <v>192</v>
      </c>
      <c r="X40" s="11" t="s">
        <v>47</v>
      </c>
      <c r="Y40" s="11" t="s">
        <v>58</v>
      </c>
      <c r="Z40" s="11">
        <v>81999760929</v>
      </c>
      <c r="AA40" s="11" t="s">
        <v>105</v>
      </c>
      <c r="AB40" s="11"/>
      <c r="AC40" s="11"/>
      <c r="AD40" s="11" t="b">
        <v>0</v>
      </c>
      <c r="AF40" s="11" t="s">
        <v>193</v>
      </c>
      <c r="AG40" s="11"/>
      <c r="AH40" s="11" t="s">
        <v>194</v>
      </c>
      <c r="AI40" s="11"/>
    </row>
    <row r="41" ht="13" spans="1:37">
      <c r="A41" s="180">
        <v>45076.4904195602</v>
      </c>
      <c r="B41" s="104" t="s">
        <v>195</v>
      </c>
      <c r="C41" s="181">
        <v>11046557483</v>
      </c>
      <c r="D41" s="19">
        <v>708702189579698</v>
      </c>
      <c r="E41" s="182" t="s">
        <v>196</v>
      </c>
      <c r="F41" s="104" t="s">
        <v>40</v>
      </c>
      <c r="G41" s="104" t="s">
        <v>54</v>
      </c>
      <c r="H41" s="183">
        <v>34584</v>
      </c>
      <c r="I41" s="279" t="s">
        <v>197</v>
      </c>
      <c r="J41" s="104" t="s">
        <v>81</v>
      </c>
      <c r="K41" s="191"/>
      <c r="L41" s="104" t="s">
        <v>109</v>
      </c>
      <c r="M41" s="104"/>
      <c r="N41" s="104" t="s">
        <v>43</v>
      </c>
      <c r="O41" s="104" t="s">
        <v>44</v>
      </c>
      <c r="P41" s="40" t="s">
        <v>44</v>
      </c>
      <c r="Q41" s="104" t="s">
        <v>44</v>
      </c>
      <c r="R41" s="104" t="s">
        <v>45</v>
      </c>
      <c r="S41" s="104" t="s">
        <v>45</v>
      </c>
      <c r="T41" s="104" t="s">
        <v>44</v>
      </c>
      <c r="U41" s="104" t="s">
        <v>44</v>
      </c>
      <c r="V41" s="104"/>
      <c r="W41" s="104" t="s">
        <v>46</v>
      </c>
      <c r="X41" s="104" t="s">
        <v>47</v>
      </c>
      <c r="Y41" s="104" t="s">
        <v>58</v>
      </c>
      <c r="Z41" s="104">
        <v>81988225700</v>
      </c>
      <c r="AA41" s="104" t="s">
        <v>103</v>
      </c>
      <c r="AB41" s="104"/>
      <c r="AC41" s="104"/>
      <c r="AD41" s="104" t="b">
        <v>0</v>
      </c>
      <c r="AE41" s="104"/>
      <c r="AF41" s="104"/>
      <c r="AG41" s="104"/>
      <c r="AH41" s="201" t="s">
        <v>198</v>
      </c>
      <c r="AI41" s="104"/>
      <c r="AJ41" s="104"/>
      <c r="AK41" s="104"/>
    </row>
    <row r="42" ht="12.5" spans="1:35">
      <c r="A42" s="177">
        <v>45076.7719789931</v>
      </c>
      <c r="B42" s="11" t="s">
        <v>199</v>
      </c>
      <c r="C42" s="19">
        <v>5141053482</v>
      </c>
      <c r="D42" s="19">
        <v>700506170046856</v>
      </c>
      <c r="E42" s="18" t="s">
        <v>200</v>
      </c>
      <c r="F42" s="11" t="s">
        <v>40</v>
      </c>
      <c r="G42" s="11" t="s">
        <v>189</v>
      </c>
      <c r="H42" s="24">
        <v>35485</v>
      </c>
      <c r="I42" s="277" t="s">
        <v>201</v>
      </c>
      <c r="J42" s="11" t="s">
        <v>42</v>
      </c>
      <c r="K42" s="108" t="s">
        <v>202</v>
      </c>
      <c r="N42" s="11" t="s">
        <v>43</v>
      </c>
      <c r="O42" s="11" t="s">
        <v>44</v>
      </c>
      <c r="P42" s="11" t="s">
        <v>44</v>
      </c>
      <c r="Q42" s="11" t="s">
        <v>44</v>
      </c>
      <c r="R42" s="11" t="s">
        <v>45</v>
      </c>
      <c r="S42" s="11" t="s">
        <v>45</v>
      </c>
      <c r="T42" s="11" t="s">
        <v>44</v>
      </c>
      <c r="U42" s="11" t="s">
        <v>44</v>
      </c>
      <c r="W42" s="11" t="s">
        <v>46</v>
      </c>
      <c r="X42" s="11" t="s">
        <v>203</v>
      </c>
      <c r="Y42" s="11" t="s">
        <v>58</v>
      </c>
      <c r="Z42" s="11">
        <v>81988872899</v>
      </c>
      <c r="AA42" s="11" t="s">
        <v>105</v>
      </c>
      <c r="AB42" s="11"/>
      <c r="AC42" s="11"/>
      <c r="AD42" s="11" t="b">
        <v>0</v>
      </c>
      <c r="AF42" s="11"/>
      <c r="AG42" s="11"/>
      <c r="AH42" s="11"/>
      <c r="AI42" s="11"/>
    </row>
    <row r="43" ht="12.5" spans="1:35">
      <c r="A43" s="177">
        <v>45076.808883125</v>
      </c>
      <c r="B43" s="11" t="s">
        <v>204</v>
      </c>
      <c r="C43" s="19">
        <v>70823253473</v>
      </c>
      <c r="D43" s="19">
        <v>704705577244340</v>
      </c>
      <c r="E43" s="18" t="s">
        <v>205</v>
      </c>
      <c r="F43" s="11" t="s">
        <v>40</v>
      </c>
      <c r="G43" s="11" t="s">
        <v>88</v>
      </c>
      <c r="H43" s="24">
        <v>34830</v>
      </c>
      <c r="I43" s="277" t="s">
        <v>206</v>
      </c>
      <c r="J43" s="11" t="s">
        <v>42</v>
      </c>
      <c r="K43" s="108" t="s">
        <v>207</v>
      </c>
      <c r="N43" s="11" t="s">
        <v>43</v>
      </c>
      <c r="O43" s="11" t="s">
        <v>44</v>
      </c>
      <c r="P43" s="11" t="s">
        <v>44</v>
      </c>
      <c r="Q43" s="11" t="s">
        <v>44</v>
      </c>
      <c r="R43" s="11" t="s">
        <v>45</v>
      </c>
      <c r="S43" s="11" t="s">
        <v>45</v>
      </c>
      <c r="T43" s="11" t="s">
        <v>44</v>
      </c>
      <c r="U43" s="11" t="s">
        <v>45</v>
      </c>
      <c r="V43" s="24">
        <v>45077</v>
      </c>
      <c r="W43" s="11" t="s">
        <v>46</v>
      </c>
      <c r="X43" s="11" t="s">
        <v>203</v>
      </c>
      <c r="Y43" s="11" t="s">
        <v>58</v>
      </c>
      <c r="Z43" s="11">
        <v>81988510579</v>
      </c>
      <c r="AA43" s="11" t="s">
        <v>105</v>
      </c>
      <c r="AB43" s="11" t="s">
        <v>98</v>
      </c>
      <c r="AC43" s="11"/>
      <c r="AD43" s="11" t="b">
        <v>0</v>
      </c>
      <c r="AF43" s="11"/>
      <c r="AG43" s="11" t="s">
        <v>208</v>
      </c>
      <c r="AH43" s="11" t="s">
        <v>209</v>
      </c>
      <c r="AI43" s="11"/>
    </row>
    <row r="44" ht="12.5" spans="1:35">
      <c r="A44" s="177">
        <v>45077.4296706366</v>
      </c>
      <c r="B44" s="11" t="s">
        <v>210</v>
      </c>
      <c r="C44" s="179">
        <v>6615987481</v>
      </c>
      <c r="D44" s="19">
        <v>700704978103876</v>
      </c>
      <c r="E44" s="18" t="s">
        <v>211</v>
      </c>
      <c r="F44" s="11" t="s">
        <v>40</v>
      </c>
      <c r="G44" s="11" t="s">
        <v>54</v>
      </c>
      <c r="H44" s="24">
        <v>33046</v>
      </c>
      <c r="I44" s="277" t="s">
        <v>212</v>
      </c>
      <c r="J44" s="11" t="s">
        <v>42</v>
      </c>
      <c r="K44" s="108" t="s">
        <v>155</v>
      </c>
      <c r="N44" s="11" t="s">
        <v>43</v>
      </c>
      <c r="O44" s="11" t="s">
        <v>44</v>
      </c>
      <c r="P44" s="11" t="s">
        <v>44</v>
      </c>
      <c r="Q44" s="11" t="s">
        <v>44</v>
      </c>
      <c r="R44" s="11" t="s">
        <v>44</v>
      </c>
      <c r="S44" s="11" t="s">
        <v>44</v>
      </c>
      <c r="T44" s="11" t="s">
        <v>44</v>
      </c>
      <c r="U44" s="11" t="s">
        <v>45</v>
      </c>
      <c r="V44" s="24">
        <v>45078</v>
      </c>
      <c r="W44" s="11" t="s">
        <v>46</v>
      </c>
      <c r="X44" s="11" t="s">
        <v>47</v>
      </c>
      <c r="Y44" s="11" t="s">
        <v>58</v>
      </c>
      <c r="Z44" s="11">
        <v>81997477925</v>
      </c>
      <c r="AA44" s="11" t="s">
        <v>113</v>
      </c>
      <c r="AB44" s="11" t="s">
        <v>49</v>
      </c>
      <c r="AC44" s="11" t="s">
        <v>50</v>
      </c>
      <c r="AD44" s="11" t="b">
        <v>1</v>
      </c>
      <c r="AE44" s="11" t="s">
        <v>137</v>
      </c>
      <c r="AF44" s="11" t="s">
        <v>213</v>
      </c>
      <c r="AG44" s="11"/>
      <c r="AH44" s="11" t="s">
        <v>214</v>
      </c>
      <c r="AI44" s="11"/>
    </row>
    <row r="45" ht="12.5" spans="1:35">
      <c r="A45" s="177">
        <v>45077.6298839005</v>
      </c>
      <c r="B45" s="11" t="s">
        <v>215</v>
      </c>
      <c r="C45" s="19">
        <v>11260421457</v>
      </c>
      <c r="D45" s="19">
        <v>702403012834025</v>
      </c>
      <c r="E45" s="18" t="s">
        <v>216</v>
      </c>
      <c r="F45" s="11" t="s">
        <v>217</v>
      </c>
      <c r="G45" s="11" t="s">
        <v>54</v>
      </c>
      <c r="H45" s="24">
        <v>35530</v>
      </c>
      <c r="I45" s="277" t="s">
        <v>218</v>
      </c>
      <c r="J45" s="11" t="s">
        <v>42</v>
      </c>
      <c r="K45" s="108" t="s">
        <v>219</v>
      </c>
      <c r="N45" s="11" t="s">
        <v>43</v>
      </c>
      <c r="O45" s="40" t="s">
        <v>65</v>
      </c>
      <c r="P45" s="40" t="s">
        <v>66</v>
      </c>
      <c r="Q45" s="11" t="s">
        <v>45</v>
      </c>
      <c r="R45" s="11" t="s">
        <v>45</v>
      </c>
      <c r="S45" s="11" t="s">
        <v>45</v>
      </c>
      <c r="T45" s="11" t="s">
        <v>44</v>
      </c>
      <c r="U45" s="11" t="s">
        <v>45</v>
      </c>
      <c r="V45" s="24">
        <v>45047</v>
      </c>
      <c r="W45" s="11" t="s">
        <v>46</v>
      </c>
      <c r="X45" s="11" t="s">
        <v>47</v>
      </c>
      <c r="Y45" s="11" t="s">
        <v>58</v>
      </c>
      <c r="Z45" s="11">
        <v>81999948085</v>
      </c>
      <c r="AA45" s="11" t="s">
        <v>115</v>
      </c>
      <c r="AB45" s="11" t="s">
        <v>49</v>
      </c>
      <c r="AC45" s="11" t="s">
        <v>220</v>
      </c>
      <c r="AD45" s="11" t="b">
        <v>1</v>
      </c>
      <c r="AE45" s="11" t="s">
        <v>137</v>
      </c>
      <c r="AF45" s="11" t="s">
        <v>221</v>
      </c>
      <c r="AG45" s="11"/>
      <c r="AH45" s="11"/>
      <c r="AI45" s="11"/>
    </row>
    <row r="46" ht="12.5" spans="1:35">
      <c r="A46" s="177">
        <v>45077.6681362269</v>
      </c>
      <c r="B46" s="11" t="s">
        <v>222</v>
      </c>
      <c r="C46" s="277" t="s">
        <v>223</v>
      </c>
      <c r="D46" s="19">
        <v>705702437682030</v>
      </c>
      <c r="E46" s="18" t="s">
        <v>224</v>
      </c>
      <c r="F46" s="11" t="s">
        <v>225</v>
      </c>
      <c r="G46" s="11" t="s">
        <v>54</v>
      </c>
      <c r="H46" s="24">
        <v>35813</v>
      </c>
      <c r="I46" s="277" t="s">
        <v>226</v>
      </c>
      <c r="J46" s="11" t="s">
        <v>42</v>
      </c>
      <c r="K46" s="108" t="s">
        <v>227</v>
      </c>
      <c r="N46" s="11" t="s">
        <v>43</v>
      </c>
      <c r="O46" s="11" t="s">
        <v>65</v>
      </c>
      <c r="P46" s="11" t="s">
        <v>66</v>
      </c>
      <c r="Q46" s="11" t="s">
        <v>44</v>
      </c>
      <c r="R46" s="11" t="s">
        <v>45</v>
      </c>
      <c r="S46" s="11" t="s">
        <v>45</v>
      </c>
      <c r="T46" s="11" t="s">
        <v>44</v>
      </c>
      <c r="U46" s="11" t="s">
        <v>45</v>
      </c>
      <c r="V46" s="24">
        <v>45078</v>
      </c>
      <c r="W46" s="11" t="s">
        <v>46</v>
      </c>
      <c r="X46" s="11" t="s">
        <v>47</v>
      </c>
      <c r="Y46" s="11" t="s">
        <v>58</v>
      </c>
      <c r="Z46" s="11">
        <v>81997216279</v>
      </c>
      <c r="AA46" s="11" t="s">
        <v>115</v>
      </c>
      <c r="AB46" s="11" t="s">
        <v>49</v>
      </c>
      <c r="AC46" s="11" t="s">
        <v>50</v>
      </c>
      <c r="AD46" s="11" t="b">
        <v>1</v>
      </c>
      <c r="AE46" s="11" t="s">
        <v>137</v>
      </c>
      <c r="AF46" s="11" t="s">
        <v>228</v>
      </c>
      <c r="AG46" s="11"/>
      <c r="AH46" s="202" t="s">
        <v>229</v>
      </c>
      <c r="AI46" s="11"/>
    </row>
    <row r="47" ht="12.5" spans="1:35">
      <c r="A47" s="177">
        <v>45077.6906165856</v>
      </c>
      <c r="B47" s="11" t="s">
        <v>230</v>
      </c>
      <c r="C47" s="19">
        <v>17838599466</v>
      </c>
      <c r="D47" s="19">
        <v>706405177561283</v>
      </c>
      <c r="E47" s="18" t="s">
        <v>231</v>
      </c>
      <c r="F47" s="11" t="s">
        <v>40</v>
      </c>
      <c r="G47" s="11" t="s">
        <v>54</v>
      </c>
      <c r="H47" s="24">
        <v>37192</v>
      </c>
      <c r="I47" s="19">
        <v>25082022</v>
      </c>
      <c r="J47" s="11" t="s">
        <v>42</v>
      </c>
      <c r="K47" s="108" t="s">
        <v>55</v>
      </c>
      <c r="N47" s="11" t="s">
        <v>43</v>
      </c>
      <c r="O47" s="11" t="s">
        <v>65</v>
      </c>
      <c r="P47" s="11" t="s">
        <v>66</v>
      </c>
      <c r="Q47" s="11" t="s">
        <v>44</v>
      </c>
      <c r="R47" s="11" t="s">
        <v>45</v>
      </c>
      <c r="S47" s="11" t="s">
        <v>45</v>
      </c>
      <c r="T47" s="11" t="s">
        <v>44</v>
      </c>
      <c r="U47" s="11" t="s">
        <v>45</v>
      </c>
      <c r="V47" s="24">
        <v>45077</v>
      </c>
      <c r="W47" s="11" t="s">
        <v>192</v>
      </c>
      <c r="X47" s="11" t="s">
        <v>47</v>
      </c>
      <c r="Y47" s="11" t="s">
        <v>185</v>
      </c>
      <c r="Z47" s="11">
        <v>81983231984</v>
      </c>
      <c r="AA47" s="11" t="s">
        <v>232</v>
      </c>
      <c r="AB47" s="11" t="s">
        <v>98</v>
      </c>
      <c r="AC47" s="11"/>
      <c r="AD47" s="11" t="b">
        <v>0</v>
      </c>
      <c r="AF47" s="11" t="s">
        <v>233</v>
      </c>
      <c r="AG47" s="11"/>
      <c r="AH47" s="11"/>
      <c r="AI47" s="11"/>
    </row>
    <row r="48" ht="12.5" spans="1:35">
      <c r="A48" s="177">
        <v>45077.6916938773</v>
      </c>
      <c r="B48" s="11" t="s">
        <v>234</v>
      </c>
      <c r="C48" s="163">
        <v>70494219440</v>
      </c>
      <c r="D48" s="19">
        <v>700006505018403</v>
      </c>
      <c r="E48" s="18" t="s">
        <v>235</v>
      </c>
      <c r="F48" s="11" t="s">
        <v>40</v>
      </c>
      <c r="G48" s="11" t="s">
        <v>54</v>
      </c>
      <c r="H48" s="24">
        <v>35629</v>
      </c>
      <c r="I48" s="277" t="s">
        <v>236</v>
      </c>
      <c r="J48" s="11" t="s">
        <v>42</v>
      </c>
      <c r="K48" s="108" t="s">
        <v>237</v>
      </c>
      <c r="N48" s="11" t="s">
        <v>43</v>
      </c>
      <c r="O48" s="11" t="s">
        <v>44</v>
      </c>
      <c r="P48" s="40" t="s">
        <v>56</v>
      </c>
      <c r="Q48" s="11" t="s">
        <v>44</v>
      </c>
      <c r="R48" s="11" t="s">
        <v>45</v>
      </c>
      <c r="S48" s="11" t="s">
        <v>83</v>
      </c>
      <c r="T48" s="11" t="s">
        <v>44</v>
      </c>
      <c r="U48" s="11" t="s">
        <v>45</v>
      </c>
      <c r="V48" s="24">
        <v>45079</v>
      </c>
      <c r="W48" s="11" t="s">
        <v>46</v>
      </c>
      <c r="X48" s="11" t="s">
        <v>47</v>
      </c>
      <c r="Y48" s="11" t="s">
        <v>58</v>
      </c>
      <c r="Z48" s="11">
        <v>81989143627</v>
      </c>
      <c r="AA48" s="11" t="s">
        <v>91</v>
      </c>
      <c r="AB48" s="11" t="s">
        <v>49</v>
      </c>
      <c r="AC48" s="11" t="s">
        <v>92</v>
      </c>
      <c r="AD48" s="11" t="b">
        <v>1</v>
      </c>
      <c r="AE48" s="11" t="s">
        <v>137</v>
      </c>
      <c r="AF48" s="11" t="s">
        <v>238</v>
      </c>
      <c r="AG48" s="11"/>
      <c r="AH48" s="11"/>
      <c r="AI48" s="11"/>
    </row>
    <row r="49" ht="12.5" spans="1:35">
      <c r="A49" s="177">
        <v>45078.3498510185</v>
      </c>
      <c r="B49" s="11" t="s">
        <v>210</v>
      </c>
      <c r="C49" s="19">
        <v>6615987481</v>
      </c>
      <c r="D49" s="19">
        <v>700704978103876</v>
      </c>
      <c r="E49" s="18" t="s">
        <v>239</v>
      </c>
      <c r="F49" s="11" t="s">
        <v>40</v>
      </c>
      <c r="G49" s="11" t="s">
        <v>54</v>
      </c>
      <c r="H49" s="24">
        <v>33046</v>
      </c>
      <c r="I49" s="277" t="s">
        <v>240</v>
      </c>
      <c r="J49" s="11" t="s">
        <v>42</v>
      </c>
      <c r="K49" s="108" t="s">
        <v>155</v>
      </c>
      <c r="N49" s="11" t="s">
        <v>95</v>
      </c>
      <c r="O49" s="11" t="s">
        <v>44</v>
      </c>
      <c r="P49" s="11" t="s">
        <v>44</v>
      </c>
      <c r="Q49" s="11" t="s">
        <v>44</v>
      </c>
      <c r="R49" s="11" t="s">
        <v>44</v>
      </c>
      <c r="S49" s="11" t="s">
        <v>44</v>
      </c>
      <c r="T49" s="11" t="s">
        <v>44</v>
      </c>
      <c r="U49" s="11" t="s">
        <v>44</v>
      </c>
      <c r="W49" s="11" t="s">
        <v>46</v>
      </c>
      <c r="X49" s="11" t="s">
        <v>47</v>
      </c>
      <c r="Y49" s="11" t="s">
        <v>58</v>
      </c>
      <c r="Z49" s="11">
        <v>81997477925</v>
      </c>
      <c r="AA49" s="11" t="s">
        <v>115</v>
      </c>
      <c r="AB49" s="11"/>
      <c r="AC49" s="11"/>
      <c r="AD49" s="11" t="b">
        <v>0</v>
      </c>
      <c r="AF49" s="11"/>
      <c r="AG49" s="11"/>
      <c r="AH49" s="11"/>
      <c r="AI49" s="11"/>
    </row>
    <row r="50" ht="12.5" spans="1:35">
      <c r="A50" s="177">
        <v>45078.3685623264</v>
      </c>
      <c r="B50" s="11" t="s">
        <v>215</v>
      </c>
      <c r="C50" s="19">
        <v>11260421457</v>
      </c>
      <c r="D50" s="19">
        <v>702403012834025</v>
      </c>
      <c r="E50" s="18" t="s">
        <v>241</v>
      </c>
      <c r="F50" s="11" t="s">
        <v>217</v>
      </c>
      <c r="G50" s="11" t="s">
        <v>189</v>
      </c>
      <c r="H50" s="24">
        <v>35530</v>
      </c>
      <c r="I50" s="277" t="s">
        <v>218</v>
      </c>
      <c r="J50" s="11" t="s">
        <v>42</v>
      </c>
      <c r="K50" s="108" t="s">
        <v>63</v>
      </c>
      <c r="N50" s="11" t="s">
        <v>95</v>
      </c>
      <c r="O50" s="11" t="s">
        <v>65</v>
      </c>
      <c r="P50" s="11" t="s">
        <v>66</v>
      </c>
      <c r="Q50" s="11" t="s">
        <v>44</v>
      </c>
      <c r="R50" s="11" t="s">
        <v>45</v>
      </c>
      <c r="S50" s="11" t="s">
        <v>45</v>
      </c>
      <c r="T50" s="11" t="s">
        <v>44</v>
      </c>
      <c r="U50" s="11" t="s">
        <v>45</v>
      </c>
      <c r="V50" s="24">
        <v>45078</v>
      </c>
      <c r="W50" s="11" t="s">
        <v>46</v>
      </c>
      <c r="X50" s="11" t="s">
        <v>97</v>
      </c>
      <c r="Y50" s="11" t="s">
        <v>97</v>
      </c>
      <c r="Z50" s="11">
        <v>81999948085</v>
      </c>
      <c r="AA50" s="11" t="s">
        <v>232</v>
      </c>
      <c r="AB50" s="11" t="s">
        <v>98</v>
      </c>
      <c r="AC50" s="11"/>
      <c r="AD50" s="11" t="b">
        <v>0</v>
      </c>
      <c r="AF50" s="11" t="s">
        <v>242</v>
      </c>
      <c r="AG50" s="11"/>
      <c r="AH50" s="11"/>
      <c r="AI50" s="11"/>
    </row>
    <row r="51" ht="12.5" spans="1:35">
      <c r="A51" s="177">
        <v>45078.4567717014</v>
      </c>
      <c r="B51" s="11" t="s">
        <v>243</v>
      </c>
      <c r="C51" s="277" t="s">
        <v>244</v>
      </c>
      <c r="D51" s="19">
        <v>709205207587931</v>
      </c>
      <c r="E51" s="18" t="s">
        <v>245</v>
      </c>
      <c r="F51" s="11" t="s">
        <v>40</v>
      </c>
      <c r="G51" s="11" t="s">
        <v>54</v>
      </c>
      <c r="H51" s="24">
        <v>34524</v>
      </c>
      <c r="I51" s="277" t="s">
        <v>246</v>
      </c>
      <c r="J51" s="11" t="s">
        <v>42</v>
      </c>
      <c r="K51" s="108" t="s">
        <v>155</v>
      </c>
      <c r="N51" s="11" t="s">
        <v>43</v>
      </c>
      <c r="O51" s="11" t="s">
        <v>44</v>
      </c>
      <c r="P51" s="11" t="s">
        <v>44</v>
      </c>
      <c r="Q51" s="11" t="s">
        <v>44</v>
      </c>
      <c r="R51" s="11" t="s">
        <v>44</v>
      </c>
      <c r="S51" s="11" t="s">
        <v>44</v>
      </c>
      <c r="T51" s="11" t="s">
        <v>44</v>
      </c>
      <c r="U51" s="11" t="s">
        <v>45</v>
      </c>
      <c r="V51" s="24">
        <v>45079</v>
      </c>
      <c r="W51" s="11" t="s">
        <v>46</v>
      </c>
      <c r="X51" s="11" t="s">
        <v>47</v>
      </c>
      <c r="Y51" s="11" t="s">
        <v>58</v>
      </c>
      <c r="Z51" s="11">
        <v>81985247497</v>
      </c>
      <c r="AA51" s="11" t="s">
        <v>115</v>
      </c>
      <c r="AB51" s="11" t="s">
        <v>49</v>
      </c>
      <c r="AC51" s="11" t="s">
        <v>50</v>
      </c>
      <c r="AD51" s="11" t="b">
        <v>1</v>
      </c>
      <c r="AE51" s="11" t="s">
        <v>137</v>
      </c>
      <c r="AF51" s="11" t="s">
        <v>247</v>
      </c>
      <c r="AG51" s="11" t="s">
        <v>248</v>
      </c>
      <c r="AH51" s="11" t="s">
        <v>249</v>
      </c>
      <c r="AI51" s="11"/>
    </row>
    <row r="52" ht="12.5" spans="1:35">
      <c r="A52" s="177">
        <v>45078.503141331</v>
      </c>
      <c r="B52" s="11" t="s">
        <v>250</v>
      </c>
      <c r="C52" s="19">
        <v>17838599466</v>
      </c>
      <c r="D52" s="19">
        <v>706405177561283</v>
      </c>
      <c r="E52" s="18" t="s">
        <v>251</v>
      </c>
      <c r="F52" s="11" t="s">
        <v>40</v>
      </c>
      <c r="G52" s="11" t="s">
        <v>54</v>
      </c>
      <c r="H52" s="24">
        <v>37192</v>
      </c>
      <c r="I52" s="19" t="s">
        <v>252</v>
      </c>
      <c r="J52" s="11" t="s">
        <v>42</v>
      </c>
      <c r="K52" s="108" t="s">
        <v>253</v>
      </c>
      <c r="N52" s="11" t="s">
        <v>43</v>
      </c>
      <c r="O52" s="11" t="s">
        <v>65</v>
      </c>
      <c r="P52" s="11" t="s">
        <v>66</v>
      </c>
      <c r="Q52" s="11" t="s">
        <v>44</v>
      </c>
      <c r="R52" s="11" t="s">
        <v>44</v>
      </c>
      <c r="S52" s="11" t="s">
        <v>83</v>
      </c>
      <c r="T52" s="11" t="s">
        <v>44</v>
      </c>
      <c r="U52" s="11" t="s">
        <v>45</v>
      </c>
      <c r="V52" s="24">
        <v>45079</v>
      </c>
      <c r="W52" s="11" t="s">
        <v>46</v>
      </c>
      <c r="X52" s="11" t="s">
        <v>47</v>
      </c>
      <c r="Y52" s="11" t="s">
        <v>58</v>
      </c>
      <c r="Z52" s="11">
        <v>81983231984</v>
      </c>
      <c r="AA52" s="11" t="s">
        <v>91</v>
      </c>
      <c r="AB52" s="11" t="s">
        <v>98</v>
      </c>
      <c r="AC52" s="11"/>
      <c r="AD52" s="11" t="b">
        <v>0</v>
      </c>
      <c r="AF52" s="11" t="s">
        <v>254</v>
      </c>
      <c r="AG52" s="11"/>
      <c r="AH52" s="11"/>
      <c r="AI52" s="11"/>
    </row>
    <row r="53" ht="12.5" spans="1:35">
      <c r="A53" s="177">
        <v>45078.5290159028</v>
      </c>
      <c r="B53" s="11" t="s">
        <v>222</v>
      </c>
      <c r="C53" s="277" t="s">
        <v>223</v>
      </c>
      <c r="D53" s="19">
        <v>705702437682030</v>
      </c>
      <c r="E53" s="18" t="s">
        <v>255</v>
      </c>
      <c r="F53" s="11" t="s">
        <v>225</v>
      </c>
      <c r="G53" s="11" t="s">
        <v>54</v>
      </c>
      <c r="H53" s="24">
        <v>35813</v>
      </c>
      <c r="I53" s="277" t="s">
        <v>226</v>
      </c>
      <c r="J53" s="11" t="s">
        <v>42</v>
      </c>
      <c r="K53" s="108" t="s">
        <v>227</v>
      </c>
      <c r="N53" s="11" t="s">
        <v>95</v>
      </c>
      <c r="O53" s="11" t="s">
        <v>65</v>
      </c>
      <c r="P53" s="11" t="s">
        <v>66</v>
      </c>
      <c r="Q53" s="11" t="s">
        <v>44</v>
      </c>
      <c r="R53" s="11" t="s">
        <v>45</v>
      </c>
      <c r="S53" s="11" t="s">
        <v>45</v>
      </c>
      <c r="T53" s="11" t="s">
        <v>44</v>
      </c>
      <c r="U53" s="11" t="s">
        <v>45</v>
      </c>
      <c r="V53" s="24">
        <v>45079</v>
      </c>
      <c r="W53" s="11" t="s">
        <v>46</v>
      </c>
      <c r="X53" s="11" t="s">
        <v>47</v>
      </c>
      <c r="Y53" s="11" t="s">
        <v>58</v>
      </c>
      <c r="Z53" s="11">
        <v>81997216279</v>
      </c>
      <c r="AA53" s="11" t="s">
        <v>115</v>
      </c>
      <c r="AB53" s="11" t="s">
        <v>49</v>
      </c>
      <c r="AC53" s="11" t="s">
        <v>256</v>
      </c>
      <c r="AD53" s="11" t="b">
        <v>1</v>
      </c>
      <c r="AE53" s="11" t="s">
        <v>137</v>
      </c>
      <c r="AF53" s="11" t="s">
        <v>257</v>
      </c>
      <c r="AG53" s="11"/>
      <c r="AH53" s="11"/>
      <c r="AI53" s="11"/>
    </row>
    <row r="54" customHeight="1" spans="1:35">
      <c r="A54" s="177">
        <v>45078.7708841319</v>
      </c>
      <c r="B54" s="11" t="s">
        <v>258</v>
      </c>
      <c r="C54" s="277" t="s">
        <v>259</v>
      </c>
      <c r="D54" s="19">
        <v>708704177030094</v>
      </c>
      <c r="E54" s="18" t="s">
        <v>260</v>
      </c>
      <c r="F54" s="11" t="s">
        <v>225</v>
      </c>
      <c r="G54" s="11" t="s">
        <v>41</v>
      </c>
      <c r="H54" s="24">
        <v>31185</v>
      </c>
      <c r="I54" s="277" t="s">
        <v>261</v>
      </c>
      <c r="J54" s="11" t="s">
        <v>262</v>
      </c>
      <c r="K54" s="108"/>
      <c r="N54" s="11" t="s">
        <v>43</v>
      </c>
      <c r="O54" s="11" t="s">
        <v>44</v>
      </c>
      <c r="P54" s="11" t="s">
        <v>44</v>
      </c>
      <c r="Q54" s="11" t="s">
        <v>44</v>
      </c>
      <c r="R54" s="11" t="s">
        <v>44</v>
      </c>
      <c r="S54" s="11" t="s">
        <v>44</v>
      </c>
      <c r="T54" s="11" t="s">
        <v>44</v>
      </c>
      <c r="U54" s="11" t="s">
        <v>44</v>
      </c>
      <c r="W54" s="11" t="s">
        <v>46</v>
      </c>
      <c r="X54" s="11" t="s">
        <v>203</v>
      </c>
      <c r="Y54" s="11" t="s">
        <v>58</v>
      </c>
      <c r="Z54" s="11">
        <v>81992191649</v>
      </c>
      <c r="AA54" s="11" t="s">
        <v>115</v>
      </c>
      <c r="AB54" s="11"/>
      <c r="AC54" s="11"/>
      <c r="AD54" s="11" t="b">
        <v>0</v>
      </c>
      <c r="AF54" s="11"/>
      <c r="AG54" s="11"/>
      <c r="AH54" s="11" t="s">
        <v>263</v>
      </c>
      <c r="AI54" s="11"/>
    </row>
    <row r="55" ht="12.5" spans="1:35">
      <c r="A55" s="177">
        <v>45079.4291702662</v>
      </c>
      <c r="B55" s="11" t="s">
        <v>264</v>
      </c>
      <c r="C55" s="277" t="s">
        <v>265</v>
      </c>
      <c r="D55" s="19">
        <v>708105560163634</v>
      </c>
      <c r="E55" s="18" t="s">
        <v>266</v>
      </c>
      <c r="F55" s="11" t="s">
        <v>40</v>
      </c>
      <c r="G55" s="11" t="s">
        <v>88</v>
      </c>
      <c r="H55" s="24">
        <v>32418</v>
      </c>
      <c r="I55" s="277" t="s">
        <v>267</v>
      </c>
      <c r="J55" s="11" t="s">
        <v>81</v>
      </c>
      <c r="K55" s="108"/>
      <c r="L55" s="11" t="s">
        <v>109</v>
      </c>
      <c r="N55" s="11" t="s">
        <v>43</v>
      </c>
      <c r="O55" s="11" t="s">
        <v>65</v>
      </c>
      <c r="P55" s="11" t="s">
        <v>66</v>
      </c>
      <c r="Q55" s="11" t="s">
        <v>44</v>
      </c>
      <c r="R55" s="11" t="s">
        <v>45</v>
      </c>
      <c r="S55" s="11" t="s">
        <v>83</v>
      </c>
      <c r="T55" s="11" t="s">
        <v>44</v>
      </c>
      <c r="U55" s="11" t="s">
        <v>45</v>
      </c>
      <c r="V55" s="24">
        <v>45080</v>
      </c>
      <c r="W55" s="11" t="s">
        <v>57</v>
      </c>
      <c r="X55" s="11" t="s">
        <v>47</v>
      </c>
      <c r="Y55" s="11" t="s">
        <v>58</v>
      </c>
      <c r="Z55" s="11">
        <v>81996790643</v>
      </c>
      <c r="AA55" s="11" t="s">
        <v>103</v>
      </c>
      <c r="AB55" s="11" t="s">
        <v>49</v>
      </c>
      <c r="AC55" s="11" t="s">
        <v>50</v>
      </c>
      <c r="AD55" s="11" t="b">
        <v>1</v>
      </c>
      <c r="AE55" s="11" t="s">
        <v>137</v>
      </c>
      <c r="AF55" s="11" t="s">
        <v>268</v>
      </c>
      <c r="AG55" s="11"/>
      <c r="AH55" s="11"/>
      <c r="AI55" s="11"/>
    </row>
    <row r="56" customHeight="1" spans="1:35">
      <c r="A56" s="177">
        <v>45079.4796466319</v>
      </c>
      <c r="B56" s="11" t="s">
        <v>269</v>
      </c>
      <c r="C56" s="19">
        <v>10886615488</v>
      </c>
      <c r="D56" s="19">
        <v>701409644710532</v>
      </c>
      <c r="E56" s="18" t="s">
        <v>270</v>
      </c>
      <c r="F56" s="11" t="s">
        <v>40</v>
      </c>
      <c r="G56" s="11" t="s">
        <v>54</v>
      </c>
      <c r="H56" s="24">
        <v>34663</v>
      </c>
      <c r="I56" s="277" t="s">
        <v>271</v>
      </c>
      <c r="J56" s="11" t="s">
        <v>42</v>
      </c>
      <c r="K56" s="108" t="s">
        <v>272</v>
      </c>
      <c r="N56" s="11" t="s">
        <v>43</v>
      </c>
      <c r="O56" s="11" t="s">
        <v>65</v>
      </c>
      <c r="P56" s="11" t="s">
        <v>66</v>
      </c>
      <c r="Q56" s="11" t="s">
        <v>44</v>
      </c>
      <c r="R56" s="11" t="s">
        <v>45</v>
      </c>
      <c r="S56" s="11" t="s">
        <v>45</v>
      </c>
      <c r="T56" s="11" t="s">
        <v>44</v>
      </c>
      <c r="U56" s="11" t="s">
        <v>45</v>
      </c>
      <c r="V56" s="24">
        <v>45080</v>
      </c>
      <c r="W56" s="11" t="s">
        <v>46</v>
      </c>
      <c r="X56" s="11" t="s">
        <v>47</v>
      </c>
      <c r="Y56" s="11" t="s">
        <v>58</v>
      </c>
      <c r="Z56" s="11">
        <v>81998415931</v>
      </c>
      <c r="AA56" s="11" t="s">
        <v>273</v>
      </c>
      <c r="AB56" s="11" t="s">
        <v>49</v>
      </c>
      <c r="AC56" s="11" t="s">
        <v>274</v>
      </c>
      <c r="AD56" s="11" t="b">
        <v>1</v>
      </c>
      <c r="AE56" s="11" t="s">
        <v>137</v>
      </c>
      <c r="AF56" s="11" t="s">
        <v>275</v>
      </c>
      <c r="AG56" s="11" t="s">
        <v>276</v>
      </c>
      <c r="AH56" s="11"/>
      <c r="AI56" s="11"/>
    </row>
    <row r="57" ht="12.5" spans="1:35">
      <c r="A57" s="177">
        <v>45079.4797489352</v>
      </c>
      <c r="B57" s="11" t="s">
        <v>234</v>
      </c>
      <c r="C57" s="19">
        <v>70494219440</v>
      </c>
      <c r="D57" s="19">
        <v>700006505018403</v>
      </c>
      <c r="E57" s="18" t="s">
        <v>277</v>
      </c>
      <c r="F57" s="11" t="s">
        <v>40</v>
      </c>
      <c r="G57" s="11" t="s">
        <v>54</v>
      </c>
      <c r="H57" s="24">
        <v>35629</v>
      </c>
      <c r="I57" s="277" t="s">
        <v>236</v>
      </c>
      <c r="J57" s="11" t="s">
        <v>42</v>
      </c>
      <c r="K57" s="108" t="s">
        <v>278</v>
      </c>
      <c r="N57" s="11" t="s">
        <v>95</v>
      </c>
      <c r="O57" s="11" t="s">
        <v>44</v>
      </c>
      <c r="P57" s="11" t="s">
        <v>44</v>
      </c>
      <c r="Q57" s="11" t="s">
        <v>44</v>
      </c>
      <c r="R57" s="11" t="s">
        <v>45</v>
      </c>
      <c r="S57" s="11" t="s">
        <v>44</v>
      </c>
      <c r="T57" s="11" t="s">
        <v>44</v>
      </c>
      <c r="U57" s="11" t="s">
        <v>45</v>
      </c>
      <c r="V57" s="24">
        <v>45084</v>
      </c>
      <c r="W57" s="11" t="s">
        <v>46</v>
      </c>
      <c r="X57" s="11" t="s">
        <v>97</v>
      </c>
      <c r="Y57" s="11" t="s">
        <v>97</v>
      </c>
      <c r="Z57" s="11">
        <v>81989143627</v>
      </c>
      <c r="AA57" s="11" t="s">
        <v>91</v>
      </c>
      <c r="AB57" s="11" t="s">
        <v>98</v>
      </c>
      <c r="AC57" s="11"/>
      <c r="AD57" s="11" t="b">
        <v>0</v>
      </c>
      <c r="AF57" s="11"/>
      <c r="AG57" s="11"/>
      <c r="AH57" s="11"/>
      <c r="AI57" s="11"/>
    </row>
    <row r="58" ht="12.5" spans="1:35">
      <c r="A58" s="177">
        <v>45079.5322508102</v>
      </c>
      <c r="B58" s="11" t="s">
        <v>279</v>
      </c>
      <c r="C58" s="19">
        <v>70989029425</v>
      </c>
      <c r="D58" s="19">
        <v>700004101187503</v>
      </c>
      <c r="E58" s="18" t="s">
        <v>280</v>
      </c>
      <c r="F58" s="11" t="s">
        <v>225</v>
      </c>
      <c r="G58" s="11" t="s">
        <v>189</v>
      </c>
      <c r="H58" s="24">
        <v>36476</v>
      </c>
      <c r="I58" s="277" t="s">
        <v>281</v>
      </c>
      <c r="J58" s="11" t="s">
        <v>42</v>
      </c>
      <c r="K58" s="108" t="s">
        <v>282</v>
      </c>
      <c r="N58" s="11" t="s">
        <v>43</v>
      </c>
      <c r="O58" s="11" t="s">
        <v>44</v>
      </c>
      <c r="P58" s="11" t="s">
        <v>44</v>
      </c>
      <c r="Q58" s="11" t="s">
        <v>44</v>
      </c>
      <c r="R58" s="11" t="s">
        <v>45</v>
      </c>
      <c r="S58" s="11" t="s">
        <v>83</v>
      </c>
      <c r="T58" s="11" t="s">
        <v>44</v>
      </c>
      <c r="U58" s="11" t="s">
        <v>45</v>
      </c>
      <c r="V58" s="24">
        <v>45081</v>
      </c>
      <c r="W58" s="11" t="s">
        <v>46</v>
      </c>
      <c r="X58" s="11" t="s">
        <v>47</v>
      </c>
      <c r="Y58" s="11" t="s">
        <v>58</v>
      </c>
      <c r="Z58" s="11">
        <v>81986167867</v>
      </c>
      <c r="AA58" s="11" t="s">
        <v>103</v>
      </c>
      <c r="AB58" s="11" t="s">
        <v>98</v>
      </c>
      <c r="AC58" s="11"/>
      <c r="AD58" s="11" t="b">
        <v>0</v>
      </c>
      <c r="AF58" s="11" t="s">
        <v>283</v>
      </c>
      <c r="AG58" s="11" t="s">
        <v>284</v>
      </c>
      <c r="AH58" s="11" t="s">
        <v>285</v>
      </c>
      <c r="AI58" s="11"/>
    </row>
    <row r="59" ht="12.5" spans="1:35">
      <c r="A59" s="177">
        <v>45079.7442229282</v>
      </c>
      <c r="B59" s="11" t="s">
        <v>222</v>
      </c>
      <c r="C59" s="277" t="s">
        <v>223</v>
      </c>
      <c r="D59" s="19">
        <v>705702437682030</v>
      </c>
      <c r="E59" s="18" t="s">
        <v>286</v>
      </c>
      <c r="F59" s="11" t="s">
        <v>225</v>
      </c>
      <c r="G59" s="11" t="s">
        <v>54</v>
      </c>
      <c r="H59" s="24">
        <v>35813</v>
      </c>
      <c r="I59" s="277" t="s">
        <v>287</v>
      </c>
      <c r="J59" s="11" t="s">
        <v>42</v>
      </c>
      <c r="K59" s="108" t="s">
        <v>227</v>
      </c>
      <c r="N59" s="11" t="s">
        <v>95</v>
      </c>
      <c r="O59" s="11" t="s">
        <v>44</v>
      </c>
      <c r="P59" s="11" t="s">
        <v>44</v>
      </c>
      <c r="Q59" s="11" t="s">
        <v>44</v>
      </c>
      <c r="R59" s="11" t="s">
        <v>45</v>
      </c>
      <c r="S59" s="11" t="s">
        <v>83</v>
      </c>
      <c r="T59" s="11" t="s">
        <v>44</v>
      </c>
      <c r="U59" s="11" t="s">
        <v>45</v>
      </c>
      <c r="V59" s="24">
        <v>45081</v>
      </c>
      <c r="W59" s="11" t="s">
        <v>46</v>
      </c>
      <c r="X59" s="11" t="s">
        <v>97</v>
      </c>
      <c r="Y59" s="11" t="s">
        <v>97</v>
      </c>
      <c r="Z59" s="11">
        <v>81997216279</v>
      </c>
      <c r="AA59" s="11" t="s">
        <v>273</v>
      </c>
      <c r="AB59" s="11" t="s">
        <v>49</v>
      </c>
      <c r="AC59" s="11" t="s">
        <v>92</v>
      </c>
      <c r="AD59" s="11" t="b">
        <v>1</v>
      </c>
      <c r="AE59" s="11" t="s">
        <v>137</v>
      </c>
      <c r="AF59" s="11" t="s">
        <v>288</v>
      </c>
      <c r="AG59" s="11" t="s">
        <v>289</v>
      </c>
      <c r="AH59" s="11"/>
      <c r="AI59" s="11"/>
    </row>
    <row r="60" ht="12.5" spans="1:35">
      <c r="A60" s="177">
        <v>45080.3731598843</v>
      </c>
      <c r="B60" s="11" t="s">
        <v>264</v>
      </c>
      <c r="C60" s="277" t="s">
        <v>265</v>
      </c>
      <c r="D60" s="19">
        <v>708105560163634</v>
      </c>
      <c r="E60" s="18" t="s">
        <v>290</v>
      </c>
      <c r="F60" s="11" t="s">
        <v>40</v>
      </c>
      <c r="G60" s="11" t="s">
        <v>88</v>
      </c>
      <c r="H60" s="24">
        <v>32418</v>
      </c>
      <c r="I60" s="277" t="s">
        <v>267</v>
      </c>
      <c r="J60" s="11" t="s">
        <v>42</v>
      </c>
      <c r="K60" s="108" t="s">
        <v>202</v>
      </c>
      <c r="N60" s="11" t="s">
        <v>95</v>
      </c>
      <c r="O60" s="11" t="s">
        <v>44</v>
      </c>
      <c r="P60" s="11" t="s">
        <v>44</v>
      </c>
      <c r="Q60" s="11" t="s">
        <v>44</v>
      </c>
      <c r="R60" s="11" t="s">
        <v>45</v>
      </c>
      <c r="S60" s="11" t="s">
        <v>45</v>
      </c>
      <c r="T60" s="11" t="s">
        <v>44</v>
      </c>
      <c r="U60" s="11" t="s">
        <v>44</v>
      </c>
      <c r="W60" s="11" t="s">
        <v>57</v>
      </c>
      <c r="X60" s="11" t="s">
        <v>156</v>
      </c>
      <c r="Y60" s="11" t="s">
        <v>58</v>
      </c>
      <c r="Z60" s="11">
        <v>81996790643</v>
      </c>
      <c r="AA60" s="11" t="s">
        <v>115</v>
      </c>
      <c r="AB60" s="11"/>
      <c r="AC60" s="11"/>
      <c r="AD60" s="11" t="b">
        <v>0</v>
      </c>
      <c r="AF60" s="11"/>
      <c r="AG60" s="11"/>
      <c r="AH60" s="11"/>
      <c r="AI60" s="11"/>
    </row>
    <row r="61" ht="12.5" spans="1:35">
      <c r="A61" s="177">
        <v>45080.4289594676</v>
      </c>
      <c r="B61" s="11" t="s">
        <v>243</v>
      </c>
      <c r="C61" s="277" t="s">
        <v>244</v>
      </c>
      <c r="D61" s="19">
        <v>709205207587931</v>
      </c>
      <c r="E61" s="18" t="s">
        <v>291</v>
      </c>
      <c r="F61" s="11" t="s">
        <v>40</v>
      </c>
      <c r="G61" s="11" t="s">
        <v>54</v>
      </c>
      <c r="H61" s="24">
        <v>34521</v>
      </c>
      <c r="I61" s="277" t="s">
        <v>246</v>
      </c>
      <c r="J61" s="11" t="s">
        <v>42</v>
      </c>
      <c r="K61" s="108" t="s">
        <v>155</v>
      </c>
      <c r="N61" s="11" t="s">
        <v>95</v>
      </c>
      <c r="O61" s="11" t="s">
        <v>44</v>
      </c>
      <c r="P61" s="11" t="s">
        <v>44</v>
      </c>
      <c r="Q61" s="11" t="s">
        <v>44</v>
      </c>
      <c r="R61" s="11" t="s">
        <v>44</v>
      </c>
      <c r="S61" s="11" t="s">
        <v>44</v>
      </c>
      <c r="T61" s="11" t="s">
        <v>44</v>
      </c>
      <c r="U61" s="11" t="s">
        <v>45</v>
      </c>
      <c r="V61" s="24">
        <v>45082</v>
      </c>
      <c r="W61" s="11" t="s">
        <v>57</v>
      </c>
      <c r="X61" s="11" t="s">
        <v>97</v>
      </c>
      <c r="Y61" s="11" t="s">
        <v>97</v>
      </c>
      <c r="Z61" s="11">
        <v>81985247497</v>
      </c>
      <c r="AA61" s="11" t="s">
        <v>115</v>
      </c>
      <c r="AB61" s="11" t="s">
        <v>69</v>
      </c>
      <c r="AC61" s="11"/>
      <c r="AD61" s="11" t="b">
        <v>0</v>
      </c>
      <c r="AF61" s="63" t="s">
        <v>292</v>
      </c>
      <c r="AG61" s="11"/>
      <c r="AH61" s="11"/>
      <c r="AI61" s="11"/>
    </row>
    <row r="62" ht="12.5" spans="1:35">
      <c r="A62" s="177">
        <v>45080.6852252199</v>
      </c>
      <c r="B62" s="11" t="s">
        <v>269</v>
      </c>
      <c r="C62" s="19">
        <v>10886615488</v>
      </c>
      <c r="D62" s="19">
        <v>701409644710532</v>
      </c>
      <c r="E62" s="18" t="s">
        <v>293</v>
      </c>
      <c r="F62" s="11" t="s">
        <v>40</v>
      </c>
      <c r="G62" s="11" t="s">
        <v>54</v>
      </c>
      <c r="H62" s="24">
        <v>34663</v>
      </c>
      <c r="I62" s="277" t="s">
        <v>294</v>
      </c>
      <c r="J62" s="11" t="s">
        <v>42</v>
      </c>
      <c r="K62" s="108" t="s">
        <v>295</v>
      </c>
      <c r="N62" s="11" t="s">
        <v>95</v>
      </c>
      <c r="O62" s="11" t="s">
        <v>44</v>
      </c>
      <c r="P62" s="11" t="s">
        <v>56</v>
      </c>
      <c r="Q62" s="11" t="s">
        <v>45</v>
      </c>
      <c r="R62" s="11" t="s">
        <v>45</v>
      </c>
      <c r="S62" s="11" t="s">
        <v>45</v>
      </c>
      <c r="T62" s="11" t="s">
        <v>44</v>
      </c>
      <c r="U62" s="11" t="s">
        <v>45</v>
      </c>
      <c r="V62" s="24">
        <v>45082</v>
      </c>
      <c r="W62" s="11" t="s">
        <v>46</v>
      </c>
      <c r="X62" s="11" t="s">
        <v>97</v>
      </c>
      <c r="Y62" s="11" t="s">
        <v>97</v>
      </c>
      <c r="Z62" s="11">
        <v>81998415931</v>
      </c>
      <c r="AA62" s="11" t="s">
        <v>296</v>
      </c>
      <c r="AB62" s="11" t="s">
        <v>98</v>
      </c>
      <c r="AC62" s="11"/>
      <c r="AD62" s="11" t="b">
        <v>0</v>
      </c>
      <c r="AF62" s="11"/>
      <c r="AG62" s="11" t="s">
        <v>297</v>
      </c>
      <c r="AH62" s="11" t="s">
        <v>298</v>
      </c>
      <c r="AI62" s="11"/>
    </row>
    <row r="63" ht="12.5" spans="1:35">
      <c r="A63" s="177">
        <v>45080.7844605787</v>
      </c>
      <c r="B63" s="11" t="s">
        <v>299</v>
      </c>
      <c r="C63" s="19">
        <v>13102393470</v>
      </c>
      <c r="D63" s="19">
        <v>209052022490009</v>
      </c>
      <c r="E63" s="18" t="s">
        <v>300</v>
      </c>
      <c r="F63" s="11" t="s">
        <v>40</v>
      </c>
      <c r="G63" s="11" t="s">
        <v>41</v>
      </c>
      <c r="H63" s="24">
        <v>36719</v>
      </c>
      <c r="I63" s="277" t="s">
        <v>301</v>
      </c>
      <c r="J63" s="11" t="s">
        <v>42</v>
      </c>
      <c r="K63" s="108" t="s">
        <v>302</v>
      </c>
      <c r="N63" s="11" t="s">
        <v>43</v>
      </c>
      <c r="O63" s="11" t="s">
        <v>65</v>
      </c>
      <c r="P63" s="11" t="s">
        <v>66</v>
      </c>
      <c r="Q63" s="11" t="s">
        <v>44</v>
      </c>
      <c r="R63" s="11" t="s">
        <v>45</v>
      </c>
      <c r="S63" s="11" t="s">
        <v>45</v>
      </c>
      <c r="T63" s="11" t="s">
        <v>44</v>
      </c>
      <c r="U63" s="11" t="s">
        <v>45</v>
      </c>
      <c r="V63" s="24">
        <v>45081</v>
      </c>
      <c r="W63" s="11" t="s">
        <v>46</v>
      </c>
      <c r="X63" s="11" t="s">
        <v>303</v>
      </c>
      <c r="Y63" s="11" t="s">
        <v>58</v>
      </c>
      <c r="Z63" s="11">
        <v>81999126856</v>
      </c>
      <c r="AA63" s="11" t="s">
        <v>296</v>
      </c>
      <c r="AB63" s="11" t="s">
        <v>49</v>
      </c>
      <c r="AC63" s="11" t="s">
        <v>256</v>
      </c>
      <c r="AD63" s="11" t="b">
        <v>0</v>
      </c>
      <c r="AF63" s="11" t="s">
        <v>304</v>
      </c>
      <c r="AG63" s="11" t="s">
        <v>305</v>
      </c>
      <c r="AH63" s="11"/>
      <c r="AI63" s="11"/>
    </row>
    <row r="64" ht="12.5" spans="1:35">
      <c r="A64" s="177">
        <v>45081.4172064931</v>
      </c>
      <c r="B64" s="11" t="s">
        <v>306</v>
      </c>
      <c r="C64" s="277" t="s">
        <v>307</v>
      </c>
      <c r="D64" s="19">
        <v>700005112908305</v>
      </c>
      <c r="E64" s="18" t="s">
        <v>308</v>
      </c>
      <c r="F64" s="11" t="s">
        <v>40</v>
      </c>
      <c r="G64" s="11" t="s">
        <v>54</v>
      </c>
      <c r="H64" s="24">
        <v>29690</v>
      </c>
      <c r="I64" s="277" t="s">
        <v>309</v>
      </c>
      <c r="J64" s="11" t="s">
        <v>42</v>
      </c>
      <c r="K64" s="108" t="s">
        <v>63</v>
      </c>
      <c r="N64" s="11" t="s">
        <v>43</v>
      </c>
      <c r="O64" s="11" t="s">
        <v>44</v>
      </c>
      <c r="P64" s="11" t="s">
        <v>44</v>
      </c>
      <c r="Q64" s="11" t="s">
        <v>45</v>
      </c>
      <c r="R64" s="11" t="s">
        <v>45</v>
      </c>
      <c r="S64" s="11" t="s">
        <v>83</v>
      </c>
      <c r="T64" s="11" t="s">
        <v>44</v>
      </c>
      <c r="U64" s="11" t="s">
        <v>44</v>
      </c>
      <c r="W64" s="11" t="s">
        <v>46</v>
      </c>
      <c r="X64" s="11" t="s">
        <v>303</v>
      </c>
      <c r="Y64" s="11" t="s">
        <v>58</v>
      </c>
      <c r="Z64" s="11">
        <v>81986628161</v>
      </c>
      <c r="AA64" s="11" t="s">
        <v>91</v>
      </c>
      <c r="AB64" s="11"/>
      <c r="AC64" s="11"/>
      <c r="AD64" s="11" t="b">
        <v>0</v>
      </c>
      <c r="AF64" s="11"/>
      <c r="AG64" s="11"/>
      <c r="AH64" s="11"/>
      <c r="AI64" s="11"/>
    </row>
    <row r="65" ht="12.5" spans="1:35">
      <c r="A65" s="177">
        <v>45081.5053170833</v>
      </c>
      <c r="B65" s="11" t="s">
        <v>222</v>
      </c>
      <c r="C65" s="277" t="s">
        <v>223</v>
      </c>
      <c r="D65" s="19">
        <v>705702437682030</v>
      </c>
      <c r="E65" s="18" t="s">
        <v>310</v>
      </c>
      <c r="F65" s="11" t="s">
        <v>225</v>
      </c>
      <c r="G65" s="11" t="s">
        <v>54</v>
      </c>
      <c r="H65" s="24">
        <v>35813</v>
      </c>
      <c r="I65" s="277" t="s">
        <v>226</v>
      </c>
      <c r="J65" s="11" t="s">
        <v>42</v>
      </c>
      <c r="K65" s="108" t="s">
        <v>311</v>
      </c>
      <c r="N65" s="11" t="s">
        <v>95</v>
      </c>
      <c r="O65" s="11" t="s">
        <v>44</v>
      </c>
      <c r="P65" s="11" t="s">
        <v>44</v>
      </c>
      <c r="Q65" s="11" t="s">
        <v>44</v>
      </c>
      <c r="R65" s="11" t="s">
        <v>44</v>
      </c>
      <c r="S65" s="11" t="s">
        <v>83</v>
      </c>
      <c r="T65" s="11" t="s">
        <v>44</v>
      </c>
      <c r="U65" s="11" t="s">
        <v>45</v>
      </c>
      <c r="V65" s="24">
        <v>45083</v>
      </c>
      <c r="W65" s="11" t="s">
        <v>46</v>
      </c>
      <c r="X65" s="11" t="s">
        <v>97</v>
      </c>
      <c r="Y65" s="11" t="s">
        <v>97</v>
      </c>
      <c r="Z65" s="11">
        <v>81997216279</v>
      </c>
      <c r="AA65" s="11" t="s">
        <v>91</v>
      </c>
      <c r="AB65" s="11" t="s">
        <v>98</v>
      </c>
      <c r="AC65" s="11"/>
      <c r="AD65" s="11" t="b">
        <v>0</v>
      </c>
      <c r="AF65" s="11"/>
      <c r="AG65" s="11" t="s">
        <v>312</v>
      </c>
      <c r="AH65" s="11"/>
      <c r="AI65" s="11"/>
    </row>
    <row r="66" ht="12.5" spans="1:35">
      <c r="A66" s="177">
        <v>45081.6741865509</v>
      </c>
      <c r="B66" s="11" t="s">
        <v>299</v>
      </c>
      <c r="C66" s="19">
        <v>13102393470</v>
      </c>
      <c r="D66" s="19">
        <v>209052022490009</v>
      </c>
      <c r="F66" s="11" t="s">
        <v>40</v>
      </c>
      <c r="G66" s="11" t="s">
        <v>41</v>
      </c>
      <c r="H66" s="24">
        <v>36719</v>
      </c>
      <c r="I66" s="277" t="s">
        <v>301</v>
      </c>
      <c r="J66" s="11" t="s">
        <v>42</v>
      </c>
      <c r="K66" s="108" t="s">
        <v>302</v>
      </c>
      <c r="N66" s="11" t="s">
        <v>95</v>
      </c>
      <c r="O66" s="11" t="s">
        <v>44</v>
      </c>
      <c r="P66" s="11" t="s">
        <v>44</v>
      </c>
      <c r="Q66" s="11" t="s">
        <v>44</v>
      </c>
      <c r="R66" s="11" t="s">
        <v>45</v>
      </c>
      <c r="S66" s="11" t="s">
        <v>83</v>
      </c>
      <c r="T66" s="11" t="s">
        <v>44</v>
      </c>
      <c r="U66" s="11" t="s">
        <v>45</v>
      </c>
      <c r="V66" s="24">
        <v>45083</v>
      </c>
      <c r="W66" s="11" t="s">
        <v>57</v>
      </c>
      <c r="X66" s="11" t="s">
        <v>97</v>
      </c>
      <c r="Y66" s="11" t="s">
        <v>97</v>
      </c>
      <c r="Z66" s="11">
        <v>81999126856</v>
      </c>
      <c r="AA66" s="11" t="s">
        <v>273</v>
      </c>
      <c r="AB66" s="11" t="s">
        <v>98</v>
      </c>
      <c r="AC66" s="11"/>
      <c r="AD66" s="11" t="b">
        <v>0</v>
      </c>
      <c r="AF66" s="11"/>
      <c r="AG66" s="11" t="s">
        <v>313</v>
      </c>
      <c r="AH66" s="11" t="s">
        <v>314</v>
      </c>
      <c r="AI66" s="11"/>
    </row>
    <row r="67" ht="12.5" spans="1:35">
      <c r="A67" s="177">
        <v>45082.4391798611</v>
      </c>
      <c r="B67" s="11" t="s">
        <v>315</v>
      </c>
      <c r="C67" s="277" t="s">
        <v>316</v>
      </c>
      <c r="D67" s="179">
        <v>704102770029580</v>
      </c>
      <c r="E67" s="18" t="s">
        <v>317</v>
      </c>
      <c r="F67" s="11" t="s">
        <v>40</v>
      </c>
      <c r="G67" s="11" t="s">
        <v>54</v>
      </c>
      <c r="H67" s="24">
        <v>33629</v>
      </c>
      <c r="I67" s="277" t="s">
        <v>318</v>
      </c>
      <c r="J67" s="11" t="s">
        <v>42</v>
      </c>
      <c r="K67" s="108" t="s">
        <v>319</v>
      </c>
      <c r="N67" s="11" t="s">
        <v>43</v>
      </c>
      <c r="O67" s="11" t="s">
        <v>65</v>
      </c>
      <c r="P67" s="11" t="s">
        <v>56</v>
      </c>
      <c r="Q67" s="11" t="s">
        <v>44</v>
      </c>
      <c r="R67" s="11" t="s">
        <v>44</v>
      </c>
      <c r="S67" s="11" t="s">
        <v>83</v>
      </c>
      <c r="T67" s="11" t="s">
        <v>44</v>
      </c>
      <c r="U67" s="11" t="s">
        <v>45</v>
      </c>
      <c r="V67" s="24">
        <v>45084</v>
      </c>
      <c r="W67" s="11" t="s">
        <v>46</v>
      </c>
      <c r="X67" s="11" t="s">
        <v>156</v>
      </c>
      <c r="Y67" s="11" t="s">
        <v>58</v>
      </c>
      <c r="Z67" s="11">
        <v>81997646410</v>
      </c>
      <c r="AA67" s="11" t="s">
        <v>273</v>
      </c>
      <c r="AB67" s="11" t="s">
        <v>49</v>
      </c>
      <c r="AC67" s="11" t="s">
        <v>50</v>
      </c>
      <c r="AD67" s="11" t="b">
        <v>1</v>
      </c>
      <c r="AE67" s="11" t="s">
        <v>137</v>
      </c>
      <c r="AF67" s="11" t="s">
        <v>320</v>
      </c>
      <c r="AG67" s="11"/>
      <c r="AH67" s="11" t="s">
        <v>321</v>
      </c>
      <c r="AI67" s="11"/>
    </row>
    <row r="68" ht="12.5" spans="1:35">
      <c r="A68" s="177">
        <v>45082.4752421181</v>
      </c>
      <c r="B68" s="11" t="s">
        <v>322</v>
      </c>
      <c r="C68" s="277" t="s">
        <v>323</v>
      </c>
      <c r="D68" s="19">
        <v>708602069041586</v>
      </c>
      <c r="E68" s="18" t="s">
        <v>324</v>
      </c>
      <c r="F68" s="11" t="s">
        <v>40</v>
      </c>
      <c r="G68" s="11" t="s">
        <v>54</v>
      </c>
      <c r="H68" s="24">
        <v>34508</v>
      </c>
      <c r="I68" s="277" t="s">
        <v>325</v>
      </c>
      <c r="J68" s="11" t="s">
        <v>42</v>
      </c>
      <c r="K68" s="108" t="s">
        <v>202</v>
      </c>
      <c r="N68" s="11" t="s">
        <v>43</v>
      </c>
      <c r="O68" s="11" t="s">
        <v>65</v>
      </c>
      <c r="P68" s="11" t="s">
        <v>66</v>
      </c>
      <c r="Q68" s="11" t="s">
        <v>44</v>
      </c>
      <c r="R68" s="11" t="s">
        <v>45</v>
      </c>
      <c r="S68" s="11" t="s">
        <v>83</v>
      </c>
      <c r="T68" s="11" t="s">
        <v>44</v>
      </c>
      <c r="U68" s="11" t="s">
        <v>45</v>
      </c>
      <c r="V68" s="24">
        <v>45083</v>
      </c>
      <c r="W68" s="11" t="s">
        <v>46</v>
      </c>
      <c r="X68" s="11" t="s">
        <v>47</v>
      </c>
      <c r="Y68" s="11" t="s">
        <v>58</v>
      </c>
      <c r="Z68" s="11">
        <v>81985120818</v>
      </c>
      <c r="AA68" s="11" t="s">
        <v>103</v>
      </c>
      <c r="AB68" s="11" t="s">
        <v>49</v>
      </c>
      <c r="AC68" s="11" t="s">
        <v>106</v>
      </c>
      <c r="AD68" s="11" t="b">
        <v>1</v>
      </c>
      <c r="AE68" s="11" t="s">
        <v>137</v>
      </c>
      <c r="AF68" s="11" t="s">
        <v>326</v>
      </c>
      <c r="AG68" s="11"/>
      <c r="AH68" s="11"/>
      <c r="AI68" s="11"/>
    </row>
    <row r="69" ht="12.5" spans="1:35">
      <c r="A69" s="177">
        <v>45082.7547444213</v>
      </c>
      <c r="B69" s="11" t="s">
        <v>327</v>
      </c>
      <c r="C69" s="19">
        <v>70672195402</v>
      </c>
      <c r="D69" s="19">
        <v>707405032215277</v>
      </c>
      <c r="E69" s="18" t="s">
        <v>328</v>
      </c>
      <c r="F69" s="11" t="s">
        <v>40</v>
      </c>
      <c r="G69" s="11" t="s">
        <v>54</v>
      </c>
      <c r="H69" s="24">
        <v>35089</v>
      </c>
      <c r="I69" s="277" t="s">
        <v>329</v>
      </c>
      <c r="J69" s="11" t="s">
        <v>42</v>
      </c>
      <c r="K69" s="108" t="s">
        <v>330</v>
      </c>
      <c r="N69" s="11" t="s">
        <v>43</v>
      </c>
      <c r="O69" s="11" t="s">
        <v>65</v>
      </c>
      <c r="P69" s="11" t="s">
        <v>66</v>
      </c>
      <c r="Q69" s="11" t="s">
        <v>44</v>
      </c>
      <c r="R69" s="11" t="s">
        <v>45</v>
      </c>
      <c r="S69" s="11" t="s">
        <v>45</v>
      </c>
      <c r="T69" s="11" t="s">
        <v>44</v>
      </c>
      <c r="U69" s="11" t="s">
        <v>45</v>
      </c>
      <c r="V69" s="24">
        <v>45083</v>
      </c>
      <c r="W69" s="11" t="s">
        <v>46</v>
      </c>
      <c r="X69" s="11" t="s">
        <v>203</v>
      </c>
      <c r="Y69" s="11" t="s">
        <v>58</v>
      </c>
      <c r="Z69" s="11">
        <v>81984643831</v>
      </c>
      <c r="AA69" s="11" t="s">
        <v>273</v>
      </c>
      <c r="AB69" s="11" t="s">
        <v>49</v>
      </c>
      <c r="AC69" s="11" t="s">
        <v>84</v>
      </c>
      <c r="AD69" s="11" t="b">
        <v>1</v>
      </c>
      <c r="AE69" s="11" t="s">
        <v>137</v>
      </c>
      <c r="AF69" s="11" t="s">
        <v>331</v>
      </c>
      <c r="AG69" s="11"/>
      <c r="AH69" s="11"/>
      <c r="AI69" s="11"/>
    </row>
    <row r="70" ht="12.5" spans="1:37">
      <c r="A70" s="203">
        <v>45082.7667314815</v>
      </c>
      <c r="B70" s="4" t="s">
        <v>332</v>
      </c>
      <c r="C70" s="17">
        <v>13188065426</v>
      </c>
      <c r="D70" s="19">
        <v>708207113732745</v>
      </c>
      <c r="E70" s="53" t="s">
        <v>333</v>
      </c>
      <c r="F70" s="4" t="s">
        <v>225</v>
      </c>
      <c r="G70" s="4" t="s">
        <v>189</v>
      </c>
      <c r="H70" s="204">
        <v>35716</v>
      </c>
      <c r="I70" s="280" t="s">
        <v>334</v>
      </c>
      <c r="J70" s="4" t="s">
        <v>42</v>
      </c>
      <c r="K70" s="206" t="s">
        <v>202</v>
      </c>
      <c r="L70" s="4"/>
      <c r="M70" s="4"/>
      <c r="N70" s="4" t="s">
        <v>43</v>
      </c>
      <c r="O70" s="4" t="s">
        <v>44</v>
      </c>
      <c r="P70" s="4" t="s">
        <v>44</v>
      </c>
      <c r="Q70" s="4" t="s">
        <v>45</v>
      </c>
      <c r="R70" s="4" t="s">
        <v>44</v>
      </c>
      <c r="S70" s="4" t="s">
        <v>44</v>
      </c>
      <c r="T70" s="4" t="s">
        <v>45</v>
      </c>
      <c r="U70" s="4" t="s">
        <v>45</v>
      </c>
      <c r="V70" s="204">
        <v>45083</v>
      </c>
      <c r="W70" s="4" t="s">
        <v>57</v>
      </c>
      <c r="X70" s="4" t="s">
        <v>203</v>
      </c>
      <c r="Y70" s="4" t="s">
        <v>58</v>
      </c>
      <c r="Z70" s="4">
        <v>81984182678</v>
      </c>
      <c r="AA70" s="4" t="s">
        <v>105</v>
      </c>
      <c r="AB70" s="4" t="s">
        <v>49</v>
      </c>
      <c r="AC70" s="4" t="s">
        <v>84</v>
      </c>
      <c r="AD70" s="4" t="b">
        <v>1</v>
      </c>
      <c r="AE70" s="4" t="s">
        <v>137</v>
      </c>
      <c r="AF70" s="4"/>
      <c r="AG70" s="4" t="s">
        <v>335</v>
      </c>
      <c r="AH70" s="4" t="s">
        <v>336</v>
      </c>
      <c r="AI70" s="4"/>
      <c r="AJ70" s="4"/>
      <c r="AK70" s="4"/>
    </row>
    <row r="71" ht="12.5" spans="1:35">
      <c r="A71" s="177">
        <v>45082.7958571759</v>
      </c>
      <c r="B71" s="11" t="s">
        <v>337</v>
      </c>
      <c r="C71" s="19">
        <v>9800656405</v>
      </c>
      <c r="D71" s="19">
        <v>709206262169233</v>
      </c>
      <c r="E71" s="18" t="s">
        <v>338</v>
      </c>
      <c r="F71" s="11" t="s">
        <v>40</v>
      </c>
      <c r="G71" s="11" t="s">
        <v>54</v>
      </c>
      <c r="H71" s="24">
        <v>34305</v>
      </c>
      <c r="I71" s="277" t="s">
        <v>339</v>
      </c>
      <c r="J71" s="11" t="s">
        <v>42</v>
      </c>
      <c r="K71" s="108" t="s">
        <v>202</v>
      </c>
      <c r="N71" s="11" t="s">
        <v>43</v>
      </c>
      <c r="O71" s="11" t="s">
        <v>44</v>
      </c>
      <c r="P71" s="11" t="s">
        <v>44</v>
      </c>
      <c r="Q71" s="11" t="s">
        <v>44</v>
      </c>
      <c r="R71" s="11" t="s">
        <v>45</v>
      </c>
      <c r="S71" s="11" t="s">
        <v>45</v>
      </c>
      <c r="T71" s="11" t="s">
        <v>44</v>
      </c>
      <c r="U71" s="11" t="s">
        <v>44</v>
      </c>
      <c r="W71" s="11" t="s">
        <v>46</v>
      </c>
      <c r="X71" s="11" t="s">
        <v>203</v>
      </c>
      <c r="Y71" s="11" t="s">
        <v>58</v>
      </c>
      <c r="Z71" s="11">
        <v>81985052920</v>
      </c>
      <c r="AA71" s="11" t="s">
        <v>105</v>
      </c>
      <c r="AB71" s="11"/>
      <c r="AC71" s="11"/>
      <c r="AD71" s="11" t="b">
        <v>0</v>
      </c>
      <c r="AF71" s="11"/>
      <c r="AG71" s="11"/>
      <c r="AH71" s="11"/>
      <c r="AI71" s="11"/>
    </row>
    <row r="72" ht="12.5" spans="1:35">
      <c r="A72" s="177">
        <v>45082.7961623958</v>
      </c>
      <c r="B72" s="11" t="s">
        <v>340</v>
      </c>
      <c r="C72" s="19">
        <v>71052522432</v>
      </c>
      <c r="D72" s="19">
        <v>700903912525192</v>
      </c>
      <c r="E72" s="18" t="s">
        <v>341</v>
      </c>
      <c r="F72" s="11" t="s">
        <v>40</v>
      </c>
      <c r="G72" s="11" t="s">
        <v>54</v>
      </c>
      <c r="H72" s="24">
        <v>37802</v>
      </c>
      <c r="I72" s="277" t="s">
        <v>342</v>
      </c>
      <c r="J72" s="11" t="s">
        <v>42</v>
      </c>
      <c r="K72" s="108" t="s">
        <v>74</v>
      </c>
      <c r="N72" s="11" t="s">
        <v>43</v>
      </c>
      <c r="O72" s="11" t="s">
        <v>44</v>
      </c>
      <c r="P72" s="11" t="s">
        <v>44</v>
      </c>
      <c r="Q72" s="11" t="s">
        <v>44</v>
      </c>
      <c r="R72" s="11" t="s">
        <v>45</v>
      </c>
      <c r="S72" s="11" t="s">
        <v>45</v>
      </c>
      <c r="T72" s="11" t="s">
        <v>44</v>
      </c>
      <c r="U72" s="11" t="s">
        <v>44</v>
      </c>
      <c r="W72" s="11" t="s">
        <v>46</v>
      </c>
      <c r="X72" s="11" t="s">
        <v>203</v>
      </c>
      <c r="Y72" s="11" t="s">
        <v>58</v>
      </c>
      <c r="Z72" s="11">
        <v>81983454381</v>
      </c>
      <c r="AA72" s="11" t="s">
        <v>273</v>
      </c>
      <c r="AB72" s="11"/>
      <c r="AC72" s="11"/>
      <c r="AD72" s="11" t="b">
        <v>0</v>
      </c>
      <c r="AF72" s="11"/>
      <c r="AG72" s="11"/>
      <c r="AH72" s="11"/>
      <c r="AI72" s="11"/>
    </row>
    <row r="73" ht="12.5" spans="1:35">
      <c r="A73" s="177">
        <v>45083.3878933912</v>
      </c>
      <c r="B73" s="11" t="s">
        <v>343</v>
      </c>
      <c r="C73" s="19">
        <v>13025935448</v>
      </c>
      <c r="D73" s="19">
        <v>702409551791425</v>
      </c>
      <c r="E73" s="18" t="s">
        <v>344</v>
      </c>
      <c r="F73" s="11" t="s">
        <v>40</v>
      </c>
      <c r="G73" s="11" t="s">
        <v>41</v>
      </c>
      <c r="H73" s="24">
        <v>36198</v>
      </c>
      <c r="I73" s="277" t="s">
        <v>345</v>
      </c>
      <c r="J73" s="11" t="s">
        <v>42</v>
      </c>
      <c r="K73" s="108" t="s">
        <v>55</v>
      </c>
      <c r="N73" s="11" t="s">
        <v>43</v>
      </c>
      <c r="O73" s="11" t="s">
        <v>96</v>
      </c>
      <c r="P73" s="11" t="s">
        <v>56</v>
      </c>
      <c r="Q73" s="11" t="s">
        <v>44</v>
      </c>
      <c r="R73" s="11" t="s">
        <v>45</v>
      </c>
      <c r="S73" s="11" t="s">
        <v>83</v>
      </c>
      <c r="T73" s="11" t="s">
        <v>44</v>
      </c>
      <c r="U73" s="11" t="s">
        <v>45</v>
      </c>
      <c r="V73" s="24">
        <v>45084</v>
      </c>
      <c r="W73" s="11" t="s">
        <v>46</v>
      </c>
      <c r="X73" s="11" t="s">
        <v>47</v>
      </c>
      <c r="Y73" s="11" t="s">
        <v>58</v>
      </c>
      <c r="Z73" s="11">
        <v>87991887250</v>
      </c>
      <c r="AA73" s="11" t="s">
        <v>91</v>
      </c>
      <c r="AB73" s="11" t="s">
        <v>98</v>
      </c>
      <c r="AC73" s="11"/>
      <c r="AD73" s="11" t="b">
        <v>0</v>
      </c>
      <c r="AF73" s="11"/>
      <c r="AG73" s="11"/>
      <c r="AH73" s="11"/>
      <c r="AI73" s="11"/>
    </row>
    <row r="74" ht="12.5" spans="1:35">
      <c r="A74" s="177">
        <v>45083.3942799306</v>
      </c>
      <c r="B74" s="11" t="s">
        <v>346</v>
      </c>
      <c r="C74" s="19">
        <v>9778988498</v>
      </c>
      <c r="D74" s="19">
        <v>701204072769313</v>
      </c>
      <c r="E74" s="18" t="s">
        <v>347</v>
      </c>
      <c r="F74" s="11" t="s">
        <v>40</v>
      </c>
      <c r="G74" s="11" t="s">
        <v>54</v>
      </c>
      <c r="H74" s="24">
        <v>34319</v>
      </c>
      <c r="I74" s="277" t="s">
        <v>348</v>
      </c>
      <c r="J74" s="11" t="s">
        <v>81</v>
      </c>
      <c r="K74" s="108"/>
      <c r="L74" s="11" t="s">
        <v>349</v>
      </c>
      <c r="N74" s="11" t="s">
        <v>43</v>
      </c>
      <c r="O74" s="11" t="s">
        <v>44</v>
      </c>
      <c r="P74" s="11" t="s">
        <v>44</v>
      </c>
      <c r="Q74" s="11" t="s">
        <v>45</v>
      </c>
      <c r="R74" s="11" t="s">
        <v>45</v>
      </c>
      <c r="S74" s="11" t="s">
        <v>83</v>
      </c>
      <c r="T74" s="11" t="s">
        <v>44</v>
      </c>
      <c r="U74" s="11" t="s">
        <v>45</v>
      </c>
      <c r="V74" s="24">
        <v>45083</v>
      </c>
      <c r="W74" s="11" t="s">
        <v>46</v>
      </c>
      <c r="X74" s="11" t="s">
        <v>47</v>
      </c>
      <c r="Y74" s="11" t="s">
        <v>58</v>
      </c>
      <c r="Z74" s="11">
        <v>81984639958</v>
      </c>
      <c r="AA74" s="11" t="s">
        <v>103</v>
      </c>
      <c r="AB74" s="11" t="s">
        <v>49</v>
      </c>
      <c r="AC74" s="11" t="s">
        <v>92</v>
      </c>
      <c r="AD74" s="11" t="b">
        <v>1</v>
      </c>
      <c r="AE74" s="11" t="s">
        <v>137</v>
      </c>
      <c r="AF74" s="11" t="s">
        <v>350</v>
      </c>
      <c r="AG74" s="11" t="s">
        <v>351</v>
      </c>
      <c r="AH74" s="11"/>
      <c r="AI74" s="11"/>
    </row>
    <row r="75" ht="12.5" spans="1:35">
      <c r="A75" s="177">
        <v>45083.4254474884</v>
      </c>
      <c r="B75" s="11" t="s">
        <v>352</v>
      </c>
      <c r="C75" s="277" t="s">
        <v>353</v>
      </c>
      <c r="D75" s="179">
        <v>705301484050390</v>
      </c>
      <c r="E75" s="18" t="s">
        <v>354</v>
      </c>
      <c r="F75" s="11" t="s">
        <v>40</v>
      </c>
      <c r="G75" s="11" t="s">
        <v>54</v>
      </c>
      <c r="H75" s="24">
        <v>32621</v>
      </c>
      <c r="I75" s="277" t="s">
        <v>355</v>
      </c>
      <c r="J75" s="11" t="s">
        <v>42</v>
      </c>
      <c r="K75" s="108" t="s">
        <v>356</v>
      </c>
      <c r="N75" s="11" t="s">
        <v>43</v>
      </c>
      <c r="O75" s="11" t="s">
        <v>96</v>
      </c>
      <c r="P75" s="11" t="s">
        <v>56</v>
      </c>
      <c r="Q75" s="11" t="s">
        <v>45</v>
      </c>
      <c r="R75" s="11" t="s">
        <v>45</v>
      </c>
      <c r="S75" s="11" t="s">
        <v>83</v>
      </c>
      <c r="T75" s="11" t="s">
        <v>44</v>
      </c>
      <c r="U75" s="11" t="s">
        <v>45</v>
      </c>
      <c r="V75" s="24">
        <v>45084</v>
      </c>
      <c r="W75" s="11" t="s">
        <v>46</v>
      </c>
      <c r="X75" s="11" t="s">
        <v>47</v>
      </c>
      <c r="Y75" s="11" t="s">
        <v>58</v>
      </c>
      <c r="Z75" s="11">
        <v>81996713494</v>
      </c>
      <c r="AA75" s="11" t="s">
        <v>91</v>
      </c>
      <c r="AB75" s="11" t="s">
        <v>49</v>
      </c>
      <c r="AC75" s="11" t="s">
        <v>92</v>
      </c>
      <c r="AD75" s="11" t="b">
        <v>1</v>
      </c>
      <c r="AE75" s="11" t="s">
        <v>137</v>
      </c>
      <c r="AF75" s="11" t="s">
        <v>357</v>
      </c>
      <c r="AG75" s="11"/>
      <c r="AH75" s="11"/>
      <c r="AI75" s="11"/>
    </row>
    <row r="76" ht="12.5" spans="1:35">
      <c r="A76" s="177">
        <v>45083.4546643981</v>
      </c>
      <c r="B76" s="11" t="s">
        <v>358</v>
      </c>
      <c r="C76" s="277" t="s">
        <v>359</v>
      </c>
      <c r="D76" s="205">
        <v>700504938219751</v>
      </c>
      <c r="E76" s="18" t="s">
        <v>360</v>
      </c>
      <c r="F76" s="11" t="s">
        <v>40</v>
      </c>
      <c r="G76" s="11" t="s">
        <v>54</v>
      </c>
      <c r="H76" s="24">
        <v>34775</v>
      </c>
      <c r="I76" s="277" t="s">
        <v>361</v>
      </c>
      <c r="J76" s="11" t="s">
        <v>42</v>
      </c>
      <c r="K76" s="108" t="s">
        <v>227</v>
      </c>
      <c r="N76" s="11" t="s">
        <v>43</v>
      </c>
      <c r="O76" s="11" t="s">
        <v>96</v>
      </c>
      <c r="P76" s="11" t="s">
        <v>56</v>
      </c>
      <c r="Q76" s="11" t="s">
        <v>44</v>
      </c>
      <c r="R76" s="11" t="s">
        <v>45</v>
      </c>
      <c r="S76" s="11" t="s">
        <v>45</v>
      </c>
      <c r="T76" s="11" t="s">
        <v>44</v>
      </c>
      <c r="U76" s="11" t="s">
        <v>45</v>
      </c>
      <c r="V76" s="24">
        <v>45085</v>
      </c>
      <c r="W76" s="11" t="s">
        <v>46</v>
      </c>
      <c r="X76" s="11" t="s">
        <v>47</v>
      </c>
      <c r="Y76" s="11" t="s">
        <v>58</v>
      </c>
      <c r="Z76" s="11">
        <v>81982131914</v>
      </c>
      <c r="AA76" s="11" t="s">
        <v>105</v>
      </c>
      <c r="AB76" s="11" t="s">
        <v>49</v>
      </c>
      <c r="AC76" s="11" t="s">
        <v>50</v>
      </c>
      <c r="AD76" s="11" t="b">
        <v>0</v>
      </c>
      <c r="AF76" s="11" t="s">
        <v>362</v>
      </c>
      <c r="AG76" s="11"/>
      <c r="AH76" s="11"/>
      <c r="AI76" s="11"/>
    </row>
    <row r="77" ht="12.5" spans="1:35">
      <c r="A77" s="177">
        <v>45083.5000534722</v>
      </c>
      <c r="B77" s="11" t="s">
        <v>363</v>
      </c>
      <c r="C77" s="19">
        <v>10989907490</v>
      </c>
      <c r="D77" s="179">
        <v>701009899857591</v>
      </c>
      <c r="E77" s="18" t="s">
        <v>364</v>
      </c>
      <c r="F77" s="11" t="s">
        <v>225</v>
      </c>
      <c r="G77" s="11" t="s">
        <v>54</v>
      </c>
      <c r="H77" s="24">
        <v>33514</v>
      </c>
      <c r="I77" s="277" t="s">
        <v>180</v>
      </c>
      <c r="J77" s="11" t="s">
        <v>42</v>
      </c>
      <c r="K77" s="108" t="s">
        <v>365</v>
      </c>
      <c r="N77" s="11" t="s">
        <v>43</v>
      </c>
      <c r="O77" s="11" t="s">
        <v>44</v>
      </c>
      <c r="P77" s="11" t="s">
        <v>44</v>
      </c>
      <c r="Q77" s="11" t="s">
        <v>44</v>
      </c>
      <c r="R77" s="11" t="s">
        <v>45</v>
      </c>
      <c r="S77" s="11" t="s">
        <v>45</v>
      </c>
      <c r="T77" s="11" t="s">
        <v>44</v>
      </c>
      <c r="U77" s="11" t="s">
        <v>45</v>
      </c>
      <c r="V77" s="24">
        <v>45084</v>
      </c>
      <c r="W77" s="11" t="s">
        <v>46</v>
      </c>
      <c r="X77" s="11" t="s">
        <v>47</v>
      </c>
      <c r="Y77" s="11" t="s">
        <v>48</v>
      </c>
      <c r="Z77" s="11">
        <v>81991976460</v>
      </c>
      <c r="AA77" s="11" t="s">
        <v>113</v>
      </c>
      <c r="AB77" s="11" t="s">
        <v>98</v>
      </c>
      <c r="AC77" s="11"/>
      <c r="AD77" s="11" t="b">
        <v>0</v>
      </c>
      <c r="AF77" s="11"/>
      <c r="AG77" s="11"/>
      <c r="AH77" s="11" t="s">
        <v>366</v>
      </c>
      <c r="AI77" s="11"/>
    </row>
    <row r="78" ht="12.5" spans="1:35">
      <c r="A78" s="177">
        <v>45083.5051971065</v>
      </c>
      <c r="B78" s="11" t="s">
        <v>367</v>
      </c>
      <c r="C78" s="19">
        <v>70816320411</v>
      </c>
      <c r="D78" s="19">
        <v>706306617689780</v>
      </c>
      <c r="E78" s="18" t="s">
        <v>368</v>
      </c>
      <c r="F78" s="11" t="s">
        <v>40</v>
      </c>
      <c r="G78" s="11" t="s">
        <v>54</v>
      </c>
      <c r="H78" s="24">
        <v>35252</v>
      </c>
      <c r="I78" s="277" t="s">
        <v>369</v>
      </c>
      <c r="J78" s="11" t="s">
        <v>42</v>
      </c>
      <c r="K78" s="108" t="s">
        <v>202</v>
      </c>
      <c r="N78" s="11" t="s">
        <v>43</v>
      </c>
      <c r="O78" s="11" t="s">
        <v>65</v>
      </c>
      <c r="P78" s="11" t="s">
        <v>66</v>
      </c>
      <c r="Q78" s="11" t="s">
        <v>45</v>
      </c>
      <c r="R78" s="11" t="s">
        <v>45</v>
      </c>
      <c r="S78" s="11" t="s">
        <v>83</v>
      </c>
      <c r="T78" s="11" t="s">
        <v>44</v>
      </c>
      <c r="U78" s="11" t="s">
        <v>45</v>
      </c>
      <c r="V78" s="24">
        <v>45084</v>
      </c>
      <c r="W78" s="11" t="s">
        <v>46</v>
      </c>
      <c r="X78" s="11" t="s">
        <v>47</v>
      </c>
      <c r="Y78" s="11" t="s">
        <v>48</v>
      </c>
      <c r="Z78" s="11">
        <v>81986584843</v>
      </c>
      <c r="AA78" s="11" t="s">
        <v>103</v>
      </c>
      <c r="AB78" s="11" t="s">
        <v>49</v>
      </c>
      <c r="AC78" s="11" t="s">
        <v>50</v>
      </c>
      <c r="AD78" s="11" t="b">
        <v>1</v>
      </c>
      <c r="AE78" s="11" t="s">
        <v>137</v>
      </c>
      <c r="AF78" s="11" t="s">
        <v>370</v>
      </c>
      <c r="AG78" s="11"/>
      <c r="AH78" s="11"/>
      <c r="AI78" s="11"/>
    </row>
    <row r="79" ht="12.5" spans="1:35">
      <c r="A79" s="177">
        <v>45083.5382226968</v>
      </c>
      <c r="B79" s="11" t="s">
        <v>327</v>
      </c>
      <c r="C79" s="19">
        <v>70672195402</v>
      </c>
      <c r="D79" s="19">
        <v>707405032215277</v>
      </c>
      <c r="E79" s="18" t="s">
        <v>371</v>
      </c>
      <c r="F79" s="11" t="s">
        <v>40</v>
      </c>
      <c r="G79" s="11" t="s">
        <v>54</v>
      </c>
      <c r="H79" s="24">
        <v>35089</v>
      </c>
      <c r="I79" s="277" t="s">
        <v>372</v>
      </c>
      <c r="J79" s="11" t="s">
        <v>42</v>
      </c>
      <c r="K79" s="108" t="s">
        <v>330</v>
      </c>
      <c r="N79" s="11" t="s">
        <v>95</v>
      </c>
      <c r="O79" s="11" t="s">
        <v>44</v>
      </c>
      <c r="P79" s="11" t="s">
        <v>44</v>
      </c>
      <c r="Q79" s="11" t="s">
        <v>44</v>
      </c>
      <c r="R79" s="11" t="s">
        <v>45</v>
      </c>
      <c r="S79" s="11" t="s">
        <v>45</v>
      </c>
      <c r="T79" s="11" t="s">
        <v>44</v>
      </c>
      <c r="U79" s="11" t="s">
        <v>44</v>
      </c>
      <c r="W79" s="11" t="s">
        <v>46</v>
      </c>
      <c r="X79" s="11" t="s">
        <v>97</v>
      </c>
      <c r="Y79" s="11" t="s">
        <v>97</v>
      </c>
      <c r="Z79" s="11">
        <v>81984643831</v>
      </c>
      <c r="AA79" s="11" t="s">
        <v>105</v>
      </c>
      <c r="AB79" s="11"/>
      <c r="AC79" s="11"/>
      <c r="AD79" s="11" t="b">
        <v>0</v>
      </c>
      <c r="AF79" s="11"/>
      <c r="AG79" s="11"/>
      <c r="AH79" s="11"/>
      <c r="AI79" s="11"/>
    </row>
    <row r="80" ht="12.5" spans="1:35">
      <c r="A80" s="177">
        <v>45083.5421818403</v>
      </c>
      <c r="B80" s="11" t="s">
        <v>373</v>
      </c>
      <c r="C80" s="277" t="s">
        <v>374</v>
      </c>
      <c r="D80" s="19">
        <v>209051471750007</v>
      </c>
      <c r="E80" s="18" t="s">
        <v>375</v>
      </c>
      <c r="F80" s="11" t="s">
        <v>40</v>
      </c>
      <c r="G80" s="11" t="s">
        <v>54</v>
      </c>
      <c r="H80" s="24">
        <v>33519</v>
      </c>
      <c r="I80" s="19" t="s">
        <v>136</v>
      </c>
      <c r="J80" s="11" t="s">
        <v>42</v>
      </c>
      <c r="K80" s="108" t="s">
        <v>55</v>
      </c>
      <c r="N80" s="11" t="s">
        <v>43</v>
      </c>
      <c r="O80" s="11" t="s">
        <v>44</v>
      </c>
      <c r="P80" s="11" t="s">
        <v>66</v>
      </c>
      <c r="Q80" s="11" t="s">
        <v>44</v>
      </c>
      <c r="R80" s="11" t="s">
        <v>45</v>
      </c>
      <c r="S80" s="11" t="s">
        <v>45</v>
      </c>
      <c r="T80" s="11" t="s">
        <v>44</v>
      </c>
      <c r="U80" s="11" t="s">
        <v>45</v>
      </c>
      <c r="V80" s="24">
        <v>45084</v>
      </c>
      <c r="W80" s="11" t="s">
        <v>57</v>
      </c>
      <c r="X80" s="11" t="s">
        <v>47</v>
      </c>
      <c r="Y80" s="11" t="s">
        <v>58</v>
      </c>
      <c r="Z80" s="11">
        <v>81988985623</v>
      </c>
      <c r="AA80" s="11" t="s">
        <v>113</v>
      </c>
      <c r="AB80" s="11" t="s">
        <v>98</v>
      </c>
      <c r="AC80" s="11"/>
      <c r="AD80" s="11" t="b">
        <v>0</v>
      </c>
      <c r="AF80" s="11"/>
      <c r="AG80" s="11"/>
      <c r="AH80" s="11"/>
      <c r="AI80" s="11"/>
    </row>
    <row r="81" ht="12.5" spans="1:35">
      <c r="A81" s="177">
        <v>45083.6402719444</v>
      </c>
      <c r="B81" s="11" t="s">
        <v>376</v>
      </c>
      <c r="C81" s="19">
        <v>9778988498</v>
      </c>
      <c r="D81" s="19">
        <v>701204072769313</v>
      </c>
      <c r="E81" s="18" t="s">
        <v>377</v>
      </c>
      <c r="F81" s="11" t="s">
        <v>40</v>
      </c>
      <c r="G81" s="11" t="s">
        <v>54</v>
      </c>
      <c r="H81" s="24">
        <v>34322</v>
      </c>
      <c r="I81" s="277" t="s">
        <v>348</v>
      </c>
      <c r="J81" s="11" t="s">
        <v>42</v>
      </c>
      <c r="K81" s="108" t="s">
        <v>90</v>
      </c>
      <c r="N81" s="11" t="s">
        <v>95</v>
      </c>
      <c r="O81" s="11" t="s">
        <v>65</v>
      </c>
      <c r="P81" s="11" t="s">
        <v>66</v>
      </c>
      <c r="Q81" s="11" t="s">
        <v>44</v>
      </c>
      <c r="R81" s="11" t="s">
        <v>45</v>
      </c>
      <c r="S81" s="11" t="s">
        <v>45</v>
      </c>
      <c r="T81" s="11" t="s">
        <v>44</v>
      </c>
      <c r="U81" s="11" t="s">
        <v>45</v>
      </c>
      <c r="V81" s="24">
        <v>45084</v>
      </c>
      <c r="W81" s="11" t="s">
        <v>46</v>
      </c>
      <c r="X81" s="11" t="s">
        <v>97</v>
      </c>
      <c r="Y81" s="11" t="s">
        <v>97</v>
      </c>
      <c r="Z81" s="11">
        <v>81984639958</v>
      </c>
      <c r="AA81" s="11" t="s">
        <v>91</v>
      </c>
      <c r="AB81" s="11" t="s">
        <v>49</v>
      </c>
      <c r="AC81" s="11" t="s">
        <v>92</v>
      </c>
      <c r="AD81" s="11" t="b">
        <v>0</v>
      </c>
      <c r="AF81" s="11" t="s">
        <v>378</v>
      </c>
      <c r="AG81" s="11"/>
      <c r="AH81" s="11"/>
      <c r="AI81" s="11"/>
    </row>
    <row r="82" ht="12.5" spans="1:35">
      <c r="A82" s="177">
        <v>45083.6499990972</v>
      </c>
      <c r="B82" s="11" t="s">
        <v>199</v>
      </c>
      <c r="C82" s="277" t="s">
        <v>379</v>
      </c>
      <c r="D82" s="19">
        <v>700506170046856</v>
      </c>
      <c r="E82" s="18" t="s">
        <v>380</v>
      </c>
      <c r="F82" s="11" t="s">
        <v>40</v>
      </c>
      <c r="G82" s="11" t="s">
        <v>54</v>
      </c>
      <c r="H82" s="24">
        <v>35485</v>
      </c>
      <c r="I82" s="277" t="s">
        <v>201</v>
      </c>
      <c r="J82" s="11" t="s">
        <v>81</v>
      </c>
      <c r="K82" s="108"/>
      <c r="L82" s="11" t="s">
        <v>109</v>
      </c>
      <c r="N82" s="11" t="s">
        <v>43</v>
      </c>
      <c r="O82" s="11" t="s">
        <v>44</v>
      </c>
      <c r="P82" s="11" t="s">
        <v>44</v>
      </c>
      <c r="Q82" s="11" t="s">
        <v>44</v>
      </c>
      <c r="R82" s="11" t="s">
        <v>45</v>
      </c>
      <c r="S82" s="11" t="s">
        <v>45</v>
      </c>
      <c r="T82" s="11" t="s">
        <v>44</v>
      </c>
      <c r="U82" s="11" t="s">
        <v>45</v>
      </c>
      <c r="V82" s="24">
        <v>45084</v>
      </c>
      <c r="W82" s="11" t="s">
        <v>46</v>
      </c>
      <c r="X82" s="11" t="s">
        <v>47</v>
      </c>
      <c r="Y82" s="11" t="s">
        <v>58</v>
      </c>
      <c r="Z82" s="11">
        <v>81988872899</v>
      </c>
      <c r="AA82" s="11" t="s">
        <v>381</v>
      </c>
      <c r="AB82" s="11" t="s">
        <v>49</v>
      </c>
      <c r="AC82" s="11" t="s">
        <v>75</v>
      </c>
      <c r="AD82" s="11" t="b">
        <v>0</v>
      </c>
      <c r="AF82" s="11" t="s">
        <v>382</v>
      </c>
      <c r="AG82" s="11"/>
      <c r="AH82" s="11"/>
      <c r="AI82" s="11"/>
    </row>
    <row r="83" ht="12.5" spans="1:37">
      <c r="A83" s="203">
        <v>45083.7319646065</v>
      </c>
      <c r="B83" s="4" t="s">
        <v>383</v>
      </c>
      <c r="C83" s="17">
        <v>13188065426</v>
      </c>
      <c r="D83" s="19">
        <v>708207113732745</v>
      </c>
      <c r="E83" s="53" t="s">
        <v>384</v>
      </c>
      <c r="F83" s="4" t="s">
        <v>225</v>
      </c>
      <c r="G83" s="4" t="s">
        <v>54</v>
      </c>
      <c r="H83" s="204">
        <v>35716</v>
      </c>
      <c r="I83" s="280" t="s">
        <v>334</v>
      </c>
      <c r="J83" s="4" t="s">
        <v>42</v>
      </c>
      <c r="K83" s="206" t="s">
        <v>385</v>
      </c>
      <c r="L83" s="4"/>
      <c r="M83" s="4"/>
      <c r="N83" s="4" t="s">
        <v>95</v>
      </c>
      <c r="O83" s="4" t="s">
        <v>44</v>
      </c>
      <c r="P83" s="4" t="s">
        <v>44</v>
      </c>
      <c r="Q83" s="4" t="s">
        <v>45</v>
      </c>
      <c r="R83" s="4" t="s">
        <v>44</v>
      </c>
      <c r="S83" s="4" t="s">
        <v>44</v>
      </c>
      <c r="T83" s="4" t="s">
        <v>45</v>
      </c>
      <c r="U83" s="4" t="s">
        <v>44</v>
      </c>
      <c r="V83" s="4"/>
      <c r="W83" s="4" t="s">
        <v>46</v>
      </c>
      <c r="X83" s="4" t="s">
        <v>97</v>
      </c>
      <c r="Y83" s="4" t="s">
        <v>97</v>
      </c>
      <c r="Z83" s="4">
        <v>81984182678</v>
      </c>
      <c r="AA83" s="4" t="s">
        <v>105</v>
      </c>
      <c r="AB83" s="4"/>
      <c r="AC83" s="4"/>
      <c r="AD83" s="4" t="b">
        <v>0</v>
      </c>
      <c r="AE83" s="4"/>
      <c r="AF83" s="4"/>
      <c r="AG83" s="4"/>
      <c r="AH83" s="207" t="s">
        <v>386</v>
      </c>
      <c r="AI83" s="4"/>
      <c r="AJ83" s="4"/>
      <c r="AK83" s="4"/>
    </row>
    <row r="84" ht="12.5" spans="1:35">
      <c r="A84" s="177">
        <v>45083.7820300926</v>
      </c>
      <c r="B84" s="11" t="s">
        <v>387</v>
      </c>
      <c r="C84" s="277" t="s">
        <v>388</v>
      </c>
      <c r="D84" s="19">
        <v>708000898780624</v>
      </c>
      <c r="E84" s="18" t="s">
        <v>389</v>
      </c>
      <c r="F84" s="11" t="s">
        <v>40</v>
      </c>
      <c r="G84" s="11" t="s">
        <v>41</v>
      </c>
      <c r="H84" s="24">
        <v>34844</v>
      </c>
      <c r="I84" s="277" t="s">
        <v>390</v>
      </c>
      <c r="J84" s="11" t="s">
        <v>42</v>
      </c>
      <c r="K84" s="108" t="s">
        <v>391</v>
      </c>
      <c r="N84" s="11" t="s">
        <v>43</v>
      </c>
      <c r="O84" s="11" t="s">
        <v>96</v>
      </c>
      <c r="P84" s="11" t="s">
        <v>56</v>
      </c>
      <c r="Q84" s="11" t="s">
        <v>44</v>
      </c>
      <c r="R84" s="11" t="s">
        <v>45</v>
      </c>
      <c r="S84" s="11" t="s">
        <v>83</v>
      </c>
      <c r="T84" s="11" t="s">
        <v>44</v>
      </c>
      <c r="U84" s="11" t="s">
        <v>45</v>
      </c>
      <c r="V84" s="24">
        <v>45084</v>
      </c>
      <c r="W84" s="11" t="s">
        <v>46</v>
      </c>
      <c r="X84" s="11" t="s">
        <v>47</v>
      </c>
      <c r="Y84" s="11" t="s">
        <v>58</v>
      </c>
      <c r="Z84" s="11">
        <v>81985301931</v>
      </c>
      <c r="AA84" s="11" t="s">
        <v>105</v>
      </c>
      <c r="AB84" s="11" t="s">
        <v>49</v>
      </c>
      <c r="AC84" s="11" t="s">
        <v>50</v>
      </c>
      <c r="AD84" s="11" t="b">
        <v>0</v>
      </c>
      <c r="AF84" s="11" t="s">
        <v>392</v>
      </c>
      <c r="AG84" s="11"/>
      <c r="AH84" s="11"/>
      <c r="AI84" s="11"/>
    </row>
    <row r="85" ht="12.5" spans="1:35">
      <c r="A85" s="177">
        <v>45084.3951284259</v>
      </c>
      <c r="B85" s="11" t="s">
        <v>393</v>
      </c>
      <c r="C85" s="19">
        <v>16271078435</v>
      </c>
      <c r="D85" s="19">
        <v>706005856689244</v>
      </c>
      <c r="E85" s="18" t="s">
        <v>394</v>
      </c>
      <c r="F85" s="11" t="s">
        <v>40</v>
      </c>
      <c r="G85" s="11" t="s">
        <v>54</v>
      </c>
      <c r="H85" s="24">
        <v>36806</v>
      </c>
      <c r="I85" s="277" t="s">
        <v>395</v>
      </c>
      <c r="J85" s="11" t="s">
        <v>42</v>
      </c>
      <c r="K85" s="108" t="s">
        <v>202</v>
      </c>
      <c r="N85" s="11" t="s">
        <v>43</v>
      </c>
      <c r="O85" s="11" t="s">
        <v>44</v>
      </c>
      <c r="P85" s="11" t="s">
        <v>44</v>
      </c>
      <c r="Q85" s="11" t="s">
        <v>44</v>
      </c>
      <c r="R85" s="11" t="s">
        <v>45</v>
      </c>
      <c r="S85" s="11" t="s">
        <v>45</v>
      </c>
      <c r="T85" s="11" t="s">
        <v>44</v>
      </c>
      <c r="U85" s="11" t="s">
        <v>44</v>
      </c>
      <c r="W85" s="11" t="s">
        <v>46</v>
      </c>
      <c r="X85" s="11" t="s">
        <v>67</v>
      </c>
      <c r="Y85" s="11" t="s">
        <v>58</v>
      </c>
      <c r="Z85" s="11">
        <v>81985193432</v>
      </c>
      <c r="AA85" s="11" t="s">
        <v>115</v>
      </c>
      <c r="AB85" s="11"/>
      <c r="AC85" s="11"/>
      <c r="AD85" s="11" t="b">
        <v>0</v>
      </c>
      <c r="AF85" s="11"/>
      <c r="AG85" s="11"/>
      <c r="AH85" s="11"/>
      <c r="AI85" s="11"/>
    </row>
    <row r="86" ht="12.5" spans="1:35">
      <c r="A86" s="177">
        <v>45084.3964355787</v>
      </c>
      <c r="B86" s="11" t="s">
        <v>396</v>
      </c>
      <c r="C86" s="19">
        <v>70492275440</v>
      </c>
      <c r="D86" s="179">
        <v>708500376279279</v>
      </c>
      <c r="E86" s="18" t="s">
        <v>397</v>
      </c>
      <c r="F86" s="11" t="s">
        <v>40</v>
      </c>
      <c r="G86" s="11" t="s">
        <v>54</v>
      </c>
      <c r="H86" s="24">
        <v>45015</v>
      </c>
      <c r="I86" s="277" t="s">
        <v>398</v>
      </c>
      <c r="J86" s="11" t="s">
        <v>42</v>
      </c>
      <c r="K86" s="108" t="s">
        <v>399</v>
      </c>
      <c r="N86" s="11" t="s">
        <v>43</v>
      </c>
      <c r="O86" s="11" t="s">
        <v>44</v>
      </c>
      <c r="P86" s="11" t="s">
        <v>44</v>
      </c>
      <c r="Q86" s="11" t="s">
        <v>44</v>
      </c>
      <c r="R86" s="11" t="s">
        <v>45</v>
      </c>
      <c r="S86" s="11" t="s">
        <v>83</v>
      </c>
      <c r="T86" s="11" t="s">
        <v>44</v>
      </c>
      <c r="U86" s="11" t="s">
        <v>45</v>
      </c>
      <c r="V86" s="24">
        <v>45086</v>
      </c>
      <c r="W86" s="11" t="s">
        <v>46</v>
      </c>
      <c r="X86" s="11" t="s">
        <v>47</v>
      </c>
      <c r="Y86" s="11" t="s">
        <v>58</v>
      </c>
      <c r="Z86" s="11">
        <v>81996189614</v>
      </c>
      <c r="AA86" s="11" t="s">
        <v>113</v>
      </c>
      <c r="AB86" s="11" t="s">
        <v>98</v>
      </c>
      <c r="AC86" s="11"/>
      <c r="AD86" s="11" t="b">
        <v>0</v>
      </c>
      <c r="AF86" s="11" t="s">
        <v>400</v>
      </c>
      <c r="AG86" s="11" t="s">
        <v>401</v>
      </c>
      <c r="AH86" s="11"/>
      <c r="AI86" s="11"/>
    </row>
    <row r="87" ht="12.5" spans="1:35">
      <c r="A87" s="177">
        <v>45084.4199123843</v>
      </c>
      <c r="B87" s="11" t="s">
        <v>367</v>
      </c>
      <c r="C87" s="19">
        <v>70816320411</v>
      </c>
      <c r="D87" s="19">
        <v>706306617689780</v>
      </c>
      <c r="E87" s="18" t="s">
        <v>402</v>
      </c>
      <c r="G87" s="11" t="s">
        <v>54</v>
      </c>
      <c r="H87" s="24">
        <v>35252</v>
      </c>
      <c r="I87" s="277" t="s">
        <v>369</v>
      </c>
      <c r="J87" s="11" t="s">
        <v>42</v>
      </c>
      <c r="K87" s="108" t="s">
        <v>202</v>
      </c>
      <c r="N87" s="11" t="s">
        <v>95</v>
      </c>
      <c r="O87" s="11" t="s">
        <v>44</v>
      </c>
      <c r="P87" s="11" t="s">
        <v>44</v>
      </c>
      <c r="Q87" s="11" t="s">
        <v>45</v>
      </c>
      <c r="R87" s="11" t="s">
        <v>45</v>
      </c>
      <c r="S87" s="11" t="s">
        <v>83</v>
      </c>
      <c r="T87" s="11" t="s">
        <v>44</v>
      </c>
      <c r="U87" s="11" t="s">
        <v>44</v>
      </c>
      <c r="W87" s="11" t="s">
        <v>57</v>
      </c>
      <c r="X87" s="11" t="s">
        <v>97</v>
      </c>
      <c r="Y87" s="11" t="s">
        <v>97</v>
      </c>
      <c r="Z87" s="11">
        <v>81986584843</v>
      </c>
      <c r="AA87" s="11" t="s">
        <v>115</v>
      </c>
      <c r="AB87" s="11"/>
      <c r="AC87" s="11"/>
      <c r="AD87" s="11" t="b">
        <v>0</v>
      </c>
      <c r="AF87" s="11"/>
      <c r="AG87" s="11"/>
      <c r="AH87" s="11"/>
      <c r="AI87" s="11"/>
    </row>
    <row r="88" ht="12.5" spans="1:35">
      <c r="A88" s="177">
        <v>45084.4243071528</v>
      </c>
      <c r="B88" s="11" t="s">
        <v>199</v>
      </c>
      <c r="C88" s="277" t="s">
        <v>379</v>
      </c>
      <c r="D88" s="19">
        <v>700506170046856</v>
      </c>
      <c r="F88" s="11" t="s">
        <v>40</v>
      </c>
      <c r="G88" s="11" t="s">
        <v>54</v>
      </c>
      <c r="H88" s="24">
        <v>35485</v>
      </c>
      <c r="I88" s="277" t="s">
        <v>201</v>
      </c>
      <c r="J88" s="11" t="s">
        <v>81</v>
      </c>
      <c r="K88" s="108"/>
      <c r="L88" s="11" t="s">
        <v>109</v>
      </c>
      <c r="N88" s="11" t="s">
        <v>95</v>
      </c>
      <c r="O88" s="11" t="s">
        <v>44</v>
      </c>
      <c r="P88" s="11" t="s">
        <v>66</v>
      </c>
      <c r="Q88" s="11" t="s">
        <v>44</v>
      </c>
      <c r="R88" s="11" t="s">
        <v>45</v>
      </c>
      <c r="S88" s="11" t="s">
        <v>45</v>
      </c>
      <c r="T88" s="11" t="s">
        <v>44</v>
      </c>
      <c r="U88" s="11" t="s">
        <v>45</v>
      </c>
      <c r="V88" s="24">
        <v>45085</v>
      </c>
      <c r="W88" s="11" t="s">
        <v>57</v>
      </c>
      <c r="X88" s="11" t="s">
        <v>97</v>
      </c>
      <c r="Y88" s="11" t="s">
        <v>97</v>
      </c>
      <c r="Z88" s="11">
        <v>81988872899</v>
      </c>
      <c r="AA88" s="11" t="s">
        <v>113</v>
      </c>
      <c r="AB88" s="11" t="s">
        <v>49</v>
      </c>
      <c r="AC88" s="11" t="s">
        <v>274</v>
      </c>
      <c r="AD88" s="11" t="b">
        <v>0</v>
      </c>
      <c r="AF88" s="11" t="s">
        <v>403</v>
      </c>
      <c r="AG88" s="11"/>
      <c r="AH88" s="11" t="s">
        <v>404</v>
      </c>
      <c r="AI88" s="11"/>
    </row>
    <row r="89" ht="12.5" spans="1:35">
      <c r="A89" s="177">
        <v>45084.5222177315</v>
      </c>
      <c r="B89" s="11" t="s">
        <v>352</v>
      </c>
      <c r="C89" s="277" t="s">
        <v>353</v>
      </c>
      <c r="D89" s="179">
        <v>705301484050390</v>
      </c>
      <c r="E89" s="18" t="s">
        <v>405</v>
      </c>
      <c r="F89" s="11" t="s">
        <v>40</v>
      </c>
      <c r="G89" s="11" t="s">
        <v>54</v>
      </c>
      <c r="H89" s="24">
        <v>32621</v>
      </c>
      <c r="I89" s="277" t="s">
        <v>355</v>
      </c>
      <c r="J89" s="11" t="s">
        <v>42</v>
      </c>
      <c r="K89" s="108" t="s">
        <v>356</v>
      </c>
      <c r="N89" s="11" t="s">
        <v>95</v>
      </c>
      <c r="O89" s="11" t="s">
        <v>44</v>
      </c>
      <c r="P89" s="11" t="s">
        <v>44</v>
      </c>
      <c r="Q89" s="11" t="s">
        <v>44</v>
      </c>
      <c r="R89" s="11" t="s">
        <v>45</v>
      </c>
      <c r="S89" s="11" t="s">
        <v>45</v>
      </c>
      <c r="T89" s="11" t="s">
        <v>44</v>
      </c>
      <c r="U89" s="11" t="s">
        <v>44</v>
      </c>
      <c r="W89" s="11" t="s">
        <v>57</v>
      </c>
      <c r="X89" s="11" t="s">
        <v>97</v>
      </c>
      <c r="Y89" s="11" t="s">
        <v>97</v>
      </c>
      <c r="Z89" s="11">
        <v>81996713494</v>
      </c>
      <c r="AA89" s="11" t="s">
        <v>91</v>
      </c>
      <c r="AB89" s="11"/>
      <c r="AC89" s="11"/>
      <c r="AD89" s="11" t="b">
        <v>0</v>
      </c>
      <c r="AF89" s="11"/>
      <c r="AG89" s="11"/>
      <c r="AH89" s="11"/>
      <c r="AI89" s="11"/>
    </row>
    <row r="90" ht="12.5" spans="1:35">
      <c r="A90" s="177">
        <v>45084.5262047801</v>
      </c>
      <c r="B90" s="11" t="s">
        <v>406</v>
      </c>
      <c r="C90" s="277" t="s">
        <v>316</v>
      </c>
      <c r="D90" s="179">
        <v>704102770029580</v>
      </c>
      <c r="F90" s="11" t="s">
        <v>40</v>
      </c>
      <c r="G90" s="11" t="s">
        <v>54</v>
      </c>
      <c r="H90" s="24">
        <v>33629</v>
      </c>
      <c r="I90" s="277" t="s">
        <v>407</v>
      </c>
      <c r="J90" s="11" t="s">
        <v>42</v>
      </c>
      <c r="K90" s="108" t="s">
        <v>227</v>
      </c>
      <c r="N90" s="11" t="s">
        <v>95</v>
      </c>
      <c r="O90" s="11" t="s">
        <v>44</v>
      </c>
      <c r="P90" s="11" t="s">
        <v>44</v>
      </c>
      <c r="Q90" s="11" t="s">
        <v>44</v>
      </c>
      <c r="R90" s="11" t="s">
        <v>44</v>
      </c>
      <c r="S90" s="11" t="s">
        <v>44</v>
      </c>
      <c r="T90" s="11" t="s">
        <v>44</v>
      </c>
      <c r="U90" s="11" t="s">
        <v>44</v>
      </c>
      <c r="W90" s="11" t="s">
        <v>57</v>
      </c>
      <c r="X90" s="11" t="s">
        <v>97</v>
      </c>
      <c r="Y90" s="11" t="s">
        <v>97</v>
      </c>
      <c r="Z90" s="11">
        <v>81997646410</v>
      </c>
      <c r="AA90" s="11" t="s">
        <v>115</v>
      </c>
      <c r="AB90" s="11"/>
      <c r="AC90" s="11"/>
      <c r="AD90" s="11" t="b">
        <v>0</v>
      </c>
      <c r="AF90" s="11"/>
      <c r="AG90" s="11"/>
      <c r="AH90" s="11"/>
      <c r="AI90" s="11"/>
    </row>
    <row r="91" ht="12.5" spans="1:35">
      <c r="A91" s="177">
        <v>45084.5961951273</v>
      </c>
      <c r="B91" s="11" t="s">
        <v>408</v>
      </c>
      <c r="C91" s="19">
        <v>11505533406</v>
      </c>
      <c r="D91" s="19">
        <v>700002491205909</v>
      </c>
      <c r="E91" s="18" t="s">
        <v>409</v>
      </c>
      <c r="F91" s="11" t="s">
        <v>40</v>
      </c>
      <c r="G91" s="11" t="s">
        <v>54</v>
      </c>
      <c r="H91" s="24">
        <v>36109</v>
      </c>
      <c r="I91" s="277" t="s">
        <v>410</v>
      </c>
      <c r="J91" s="11" t="s">
        <v>42</v>
      </c>
      <c r="K91" s="108" t="s">
        <v>74</v>
      </c>
      <c r="N91" s="11" t="s">
        <v>43</v>
      </c>
      <c r="O91" s="11" t="s">
        <v>44</v>
      </c>
      <c r="P91" s="11" t="s">
        <v>44</v>
      </c>
      <c r="Q91" s="11" t="s">
        <v>44</v>
      </c>
      <c r="R91" s="11" t="s">
        <v>45</v>
      </c>
      <c r="S91" s="11" t="s">
        <v>45</v>
      </c>
      <c r="T91" s="11" t="s">
        <v>44</v>
      </c>
      <c r="U91" s="11" t="s">
        <v>45</v>
      </c>
      <c r="V91" s="24">
        <v>45091</v>
      </c>
      <c r="W91" s="11" t="s">
        <v>46</v>
      </c>
      <c r="X91" s="11" t="s">
        <v>47</v>
      </c>
      <c r="Y91" s="11" t="s">
        <v>58</v>
      </c>
      <c r="Z91" s="11">
        <v>81996333421</v>
      </c>
      <c r="AA91" s="11" t="s">
        <v>91</v>
      </c>
      <c r="AB91" s="11" t="s">
        <v>49</v>
      </c>
      <c r="AC91" s="11" t="s">
        <v>256</v>
      </c>
      <c r="AD91" s="11" t="b">
        <v>1</v>
      </c>
      <c r="AE91" s="11" t="s">
        <v>137</v>
      </c>
      <c r="AF91" s="11" t="s">
        <v>411</v>
      </c>
      <c r="AG91" s="11"/>
      <c r="AH91" s="11"/>
      <c r="AI91" s="11"/>
    </row>
    <row r="92" ht="12.5" spans="1:35">
      <c r="A92" s="177">
        <v>45084.6176082986</v>
      </c>
      <c r="B92" s="11" t="s">
        <v>412</v>
      </c>
      <c r="C92" s="277" t="s">
        <v>413</v>
      </c>
      <c r="D92" s="19">
        <v>709601664711271</v>
      </c>
      <c r="E92" s="18" t="s">
        <v>414</v>
      </c>
      <c r="F92" s="11" t="s">
        <v>217</v>
      </c>
      <c r="G92" s="11" t="s">
        <v>189</v>
      </c>
      <c r="H92" s="24">
        <v>36787</v>
      </c>
      <c r="I92" s="277" t="s">
        <v>415</v>
      </c>
      <c r="J92" s="11" t="s">
        <v>42</v>
      </c>
      <c r="K92" s="108" t="s">
        <v>74</v>
      </c>
      <c r="N92" s="11" t="s">
        <v>64</v>
      </c>
      <c r="O92" s="11" t="s">
        <v>96</v>
      </c>
      <c r="P92" s="11" t="s">
        <v>56</v>
      </c>
      <c r="Q92" s="11" t="s">
        <v>44</v>
      </c>
      <c r="R92" s="11" t="s">
        <v>44</v>
      </c>
      <c r="S92" s="11" t="s">
        <v>44</v>
      </c>
      <c r="T92" s="11" t="s">
        <v>44</v>
      </c>
      <c r="U92" s="11" t="s">
        <v>45</v>
      </c>
      <c r="V92" s="24">
        <v>45086</v>
      </c>
      <c r="W92" s="11" t="s">
        <v>46</v>
      </c>
      <c r="X92" s="11" t="s">
        <v>47</v>
      </c>
      <c r="Y92" s="11" t="s">
        <v>58</v>
      </c>
      <c r="Z92" s="11">
        <v>81999556709</v>
      </c>
      <c r="AA92" s="11" t="s">
        <v>103</v>
      </c>
      <c r="AB92" s="11" t="s">
        <v>98</v>
      </c>
      <c r="AC92" s="11"/>
      <c r="AD92" s="11" t="b">
        <v>0</v>
      </c>
      <c r="AF92" s="11" t="s">
        <v>416</v>
      </c>
      <c r="AG92" s="11" t="s">
        <v>417</v>
      </c>
      <c r="AH92" s="11"/>
      <c r="AI92" s="11"/>
    </row>
    <row r="93" ht="12.5" spans="1:35">
      <c r="A93" s="177">
        <v>45084.6322219792</v>
      </c>
      <c r="B93" s="11" t="s">
        <v>418</v>
      </c>
      <c r="C93" s="19">
        <v>16983892488</v>
      </c>
      <c r="D93" s="19">
        <v>898000652731327</v>
      </c>
      <c r="E93" s="18" t="s">
        <v>419</v>
      </c>
      <c r="F93" s="11" t="s">
        <v>40</v>
      </c>
      <c r="G93" s="11" t="s">
        <v>54</v>
      </c>
      <c r="H93" s="24">
        <v>37773</v>
      </c>
      <c r="I93" s="277" t="s">
        <v>420</v>
      </c>
      <c r="J93" s="11" t="s">
        <v>42</v>
      </c>
      <c r="K93" s="108" t="s">
        <v>421</v>
      </c>
      <c r="N93" s="11" t="s">
        <v>43</v>
      </c>
      <c r="O93" s="11" t="s">
        <v>44</v>
      </c>
      <c r="P93" s="11" t="s">
        <v>44</v>
      </c>
      <c r="Q93" s="11" t="s">
        <v>44</v>
      </c>
      <c r="R93" s="11" t="s">
        <v>45</v>
      </c>
      <c r="S93" s="11" t="s">
        <v>45</v>
      </c>
      <c r="T93" s="11" t="s">
        <v>44</v>
      </c>
      <c r="U93" s="11" t="s">
        <v>44</v>
      </c>
      <c r="W93" s="11" t="s">
        <v>57</v>
      </c>
      <c r="X93" s="11" t="s">
        <v>47</v>
      </c>
      <c r="Y93" s="11" t="s">
        <v>58</v>
      </c>
      <c r="Z93" s="11">
        <v>81987031353</v>
      </c>
      <c r="AA93" s="11" t="s">
        <v>115</v>
      </c>
      <c r="AB93" s="11"/>
      <c r="AC93" s="11"/>
      <c r="AD93" s="11" t="b">
        <v>0</v>
      </c>
      <c r="AF93" s="11"/>
      <c r="AG93" s="11"/>
      <c r="AH93" s="11"/>
      <c r="AI93" s="11"/>
    </row>
    <row r="94" ht="12.5" spans="1:35">
      <c r="A94" s="177">
        <v>45084.6580870602</v>
      </c>
      <c r="B94" s="11" t="s">
        <v>422</v>
      </c>
      <c r="C94" s="19">
        <v>70759953406</v>
      </c>
      <c r="D94" s="19">
        <v>700000775385705</v>
      </c>
      <c r="E94" s="18" t="s">
        <v>423</v>
      </c>
      <c r="F94" s="11" t="s">
        <v>40</v>
      </c>
      <c r="G94" s="11" t="s">
        <v>54</v>
      </c>
      <c r="H94" s="24">
        <v>35224</v>
      </c>
      <c r="I94" s="277" t="s">
        <v>424</v>
      </c>
      <c r="J94" s="11" t="s">
        <v>42</v>
      </c>
      <c r="K94" s="108" t="s">
        <v>74</v>
      </c>
      <c r="N94" s="11" t="s">
        <v>43</v>
      </c>
      <c r="O94" s="11" t="s">
        <v>96</v>
      </c>
      <c r="P94" s="11" t="s">
        <v>66</v>
      </c>
      <c r="Q94" s="11" t="s">
        <v>44</v>
      </c>
      <c r="R94" s="11" t="s">
        <v>45</v>
      </c>
      <c r="S94" s="11" t="s">
        <v>45</v>
      </c>
      <c r="T94" s="11" t="s">
        <v>44</v>
      </c>
      <c r="U94" s="11" t="s">
        <v>45</v>
      </c>
      <c r="V94" s="24">
        <v>45085</v>
      </c>
      <c r="W94" s="11" t="s">
        <v>57</v>
      </c>
      <c r="X94" s="11" t="s">
        <v>47</v>
      </c>
      <c r="Y94" s="11" t="s">
        <v>58</v>
      </c>
      <c r="Z94" s="11">
        <v>81988169461</v>
      </c>
      <c r="AA94" s="11" t="s">
        <v>115</v>
      </c>
      <c r="AB94" s="11" t="s">
        <v>98</v>
      </c>
      <c r="AC94" s="11"/>
      <c r="AD94" s="11" t="b">
        <v>0</v>
      </c>
      <c r="AF94" s="11"/>
      <c r="AG94" s="11"/>
      <c r="AH94" s="11"/>
      <c r="AI94" s="11"/>
    </row>
    <row r="95" ht="12.5" spans="1:35">
      <c r="A95" s="177">
        <v>45084.7059133102</v>
      </c>
      <c r="B95" s="11" t="s">
        <v>425</v>
      </c>
      <c r="C95" s="277" t="s">
        <v>323</v>
      </c>
      <c r="D95" s="19">
        <v>708602069041586</v>
      </c>
      <c r="E95" s="18" t="s">
        <v>426</v>
      </c>
      <c r="F95" s="11" t="s">
        <v>40</v>
      </c>
      <c r="G95" s="11" t="s">
        <v>54</v>
      </c>
      <c r="H95" s="24">
        <v>34508</v>
      </c>
      <c r="I95" s="277" t="s">
        <v>325</v>
      </c>
      <c r="J95" s="11" t="s">
        <v>42</v>
      </c>
      <c r="K95" s="108" t="s">
        <v>427</v>
      </c>
      <c r="N95" s="11" t="s">
        <v>95</v>
      </c>
      <c r="O95" s="11" t="s">
        <v>44</v>
      </c>
      <c r="P95" s="11" t="s">
        <v>44</v>
      </c>
      <c r="Q95" s="11" t="s">
        <v>44</v>
      </c>
      <c r="R95" s="11" t="s">
        <v>45</v>
      </c>
      <c r="S95" s="11" t="s">
        <v>83</v>
      </c>
      <c r="T95" s="11" t="s">
        <v>44</v>
      </c>
      <c r="U95" s="11" t="s">
        <v>44</v>
      </c>
      <c r="W95" s="11" t="s">
        <v>46</v>
      </c>
      <c r="X95" s="11" t="s">
        <v>97</v>
      </c>
      <c r="Y95" s="11" t="s">
        <v>97</v>
      </c>
      <c r="Z95" s="11">
        <v>81985120818</v>
      </c>
      <c r="AA95" s="11" t="s">
        <v>103</v>
      </c>
      <c r="AB95" s="11"/>
      <c r="AC95" s="11"/>
      <c r="AD95" s="11" t="b">
        <v>0</v>
      </c>
      <c r="AF95" s="11"/>
      <c r="AG95" s="11"/>
      <c r="AH95" s="11"/>
      <c r="AI95" s="11"/>
    </row>
    <row r="96" ht="12.5" spans="1:35">
      <c r="A96" s="177">
        <v>45084.7858170718</v>
      </c>
      <c r="B96" s="11" t="s">
        <v>387</v>
      </c>
      <c r="C96" s="277" t="s">
        <v>388</v>
      </c>
      <c r="D96" s="19">
        <v>708000898780624</v>
      </c>
      <c r="F96" s="11" t="s">
        <v>40</v>
      </c>
      <c r="G96" s="11" t="s">
        <v>41</v>
      </c>
      <c r="H96" s="24">
        <v>34844</v>
      </c>
      <c r="I96" s="277" t="s">
        <v>390</v>
      </c>
      <c r="J96" s="11" t="s">
        <v>42</v>
      </c>
      <c r="K96" s="108" t="s">
        <v>428</v>
      </c>
      <c r="N96" s="11" t="s">
        <v>95</v>
      </c>
      <c r="O96" s="11" t="s">
        <v>44</v>
      </c>
      <c r="P96" s="11" t="s">
        <v>44</v>
      </c>
      <c r="Q96" s="11" t="s">
        <v>44</v>
      </c>
      <c r="R96" s="11" t="s">
        <v>45</v>
      </c>
      <c r="S96" s="11" t="s">
        <v>83</v>
      </c>
      <c r="T96" s="11" t="s">
        <v>44</v>
      </c>
      <c r="U96" s="11" t="s">
        <v>45</v>
      </c>
      <c r="V96" s="24">
        <v>45087</v>
      </c>
      <c r="W96" s="11" t="s">
        <v>57</v>
      </c>
      <c r="X96" s="11" t="s">
        <v>97</v>
      </c>
      <c r="Y96" s="11" t="s">
        <v>97</v>
      </c>
      <c r="Z96" s="11">
        <v>81985301931</v>
      </c>
      <c r="AA96" s="11" t="s">
        <v>115</v>
      </c>
      <c r="AB96" s="11" t="s">
        <v>49</v>
      </c>
      <c r="AC96" s="11" t="s">
        <v>50</v>
      </c>
      <c r="AD96" s="11" t="b">
        <v>1</v>
      </c>
      <c r="AE96" s="11" t="s">
        <v>137</v>
      </c>
      <c r="AF96" s="11"/>
      <c r="AG96" s="11" t="s">
        <v>429</v>
      </c>
      <c r="AH96" s="11"/>
      <c r="AI96" s="11"/>
    </row>
    <row r="97" ht="12.5" spans="1:35">
      <c r="A97" s="177">
        <v>45084.8151887384</v>
      </c>
      <c r="B97" s="11" t="s">
        <v>430</v>
      </c>
      <c r="C97" s="277" t="s">
        <v>431</v>
      </c>
      <c r="D97" s="19">
        <v>705603421725012</v>
      </c>
      <c r="E97" s="18" t="s">
        <v>432</v>
      </c>
      <c r="F97" s="11" t="s">
        <v>217</v>
      </c>
      <c r="G97" s="11" t="s">
        <v>54</v>
      </c>
      <c r="H97" s="24">
        <v>31316</v>
      </c>
      <c r="I97" s="277" t="s">
        <v>433</v>
      </c>
      <c r="J97" s="11" t="s">
        <v>42</v>
      </c>
      <c r="K97" s="108" t="s">
        <v>227</v>
      </c>
      <c r="N97" s="11" t="s">
        <v>43</v>
      </c>
      <c r="O97" s="11" t="s">
        <v>65</v>
      </c>
      <c r="P97" s="11" t="s">
        <v>66</v>
      </c>
      <c r="Q97" s="11" t="s">
        <v>44</v>
      </c>
      <c r="R97" s="11" t="s">
        <v>45</v>
      </c>
      <c r="S97" s="11" t="s">
        <v>44</v>
      </c>
      <c r="T97" s="11" t="s">
        <v>44</v>
      </c>
      <c r="U97" s="11" t="s">
        <v>45</v>
      </c>
      <c r="V97" s="24">
        <v>45085</v>
      </c>
      <c r="W97" s="11" t="s">
        <v>57</v>
      </c>
      <c r="X97" s="11" t="s">
        <v>203</v>
      </c>
      <c r="Y97" s="11" t="s">
        <v>58</v>
      </c>
      <c r="Z97" s="11">
        <v>81989075471</v>
      </c>
      <c r="AA97" s="11" t="s">
        <v>115</v>
      </c>
      <c r="AB97" s="11" t="s">
        <v>49</v>
      </c>
      <c r="AC97" s="11" t="s">
        <v>50</v>
      </c>
      <c r="AD97" s="11" t="b">
        <v>0</v>
      </c>
      <c r="AF97" s="11" t="s">
        <v>434</v>
      </c>
      <c r="AG97" s="11"/>
      <c r="AH97" s="11"/>
      <c r="AI97" s="11"/>
    </row>
    <row r="98" ht="12.5" spans="1:35">
      <c r="A98" s="177">
        <v>45085.3166300926</v>
      </c>
      <c r="B98" s="11" t="s">
        <v>358</v>
      </c>
      <c r="C98" s="277" t="s">
        <v>359</v>
      </c>
      <c r="D98" s="19">
        <v>700504938219751</v>
      </c>
      <c r="F98" s="11" t="s">
        <v>40</v>
      </c>
      <c r="G98" s="11" t="s">
        <v>54</v>
      </c>
      <c r="H98" s="24" t="s">
        <v>435</v>
      </c>
      <c r="I98" s="277" t="s">
        <v>361</v>
      </c>
      <c r="J98" s="11" t="s">
        <v>42</v>
      </c>
      <c r="K98" s="108" t="s">
        <v>227</v>
      </c>
      <c r="N98" s="11" t="s">
        <v>95</v>
      </c>
      <c r="O98" s="11" t="s">
        <v>44</v>
      </c>
      <c r="P98" s="11" t="s">
        <v>44</v>
      </c>
      <c r="Q98" s="11" t="s">
        <v>44</v>
      </c>
      <c r="R98" s="11" t="s">
        <v>45</v>
      </c>
      <c r="S98" s="11" t="s">
        <v>45</v>
      </c>
      <c r="T98" s="11" t="s">
        <v>44</v>
      </c>
      <c r="U98" s="11" t="s">
        <v>45</v>
      </c>
      <c r="V98" s="24">
        <v>45087</v>
      </c>
      <c r="W98" s="11" t="s">
        <v>57</v>
      </c>
      <c r="X98" s="11" t="s">
        <v>97</v>
      </c>
      <c r="Y98" s="11" t="s">
        <v>97</v>
      </c>
      <c r="Z98" s="11">
        <v>81982131914</v>
      </c>
      <c r="AA98" s="11" t="s">
        <v>115</v>
      </c>
      <c r="AB98" s="11" t="s">
        <v>98</v>
      </c>
      <c r="AC98" s="11"/>
      <c r="AD98" s="11" t="b">
        <v>0</v>
      </c>
      <c r="AF98" s="11" t="s">
        <v>436</v>
      </c>
      <c r="AG98" s="75" t="s">
        <v>437</v>
      </c>
      <c r="AH98" s="11"/>
      <c r="AI98" s="11"/>
    </row>
    <row r="99" ht="12.5" spans="1:35">
      <c r="A99" s="177">
        <v>45085.349034213</v>
      </c>
      <c r="B99" s="11" t="s">
        <v>199</v>
      </c>
      <c r="C99" s="277" t="s">
        <v>379</v>
      </c>
      <c r="D99" s="19">
        <v>700506170046856</v>
      </c>
      <c r="F99" s="11" t="s">
        <v>40</v>
      </c>
      <c r="G99" s="11" t="s">
        <v>54</v>
      </c>
      <c r="H99" s="24">
        <v>35485</v>
      </c>
      <c r="I99" s="277" t="s">
        <v>201</v>
      </c>
      <c r="J99" s="11" t="s">
        <v>438</v>
      </c>
      <c r="K99" s="108"/>
      <c r="M99" s="11" t="s">
        <v>439</v>
      </c>
      <c r="N99" s="11" t="s">
        <v>95</v>
      </c>
      <c r="O99" s="11" t="s">
        <v>127</v>
      </c>
      <c r="P99" s="11" t="s">
        <v>44</v>
      </c>
      <c r="Q99" s="11" t="s">
        <v>44</v>
      </c>
      <c r="R99" s="11" t="s">
        <v>45</v>
      </c>
      <c r="S99" s="11" t="s">
        <v>45</v>
      </c>
      <c r="T99" s="11" t="s">
        <v>44</v>
      </c>
      <c r="U99" s="11" t="s">
        <v>44</v>
      </c>
      <c r="W99" s="11" t="s">
        <v>57</v>
      </c>
      <c r="X99" s="11" t="s">
        <v>97</v>
      </c>
      <c r="Y99" s="11" t="s">
        <v>97</v>
      </c>
      <c r="Z99" s="11">
        <v>81988872899</v>
      </c>
      <c r="AA99" s="11" t="s">
        <v>296</v>
      </c>
      <c r="AB99" s="11"/>
      <c r="AC99" s="11"/>
      <c r="AD99" s="11" t="b">
        <v>0</v>
      </c>
      <c r="AF99" s="11"/>
      <c r="AG99" s="11"/>
      <c r="AH99" s="11"/>
      <c r="AI99" s="11"/>
    </row>
    <row r="100" ht="12.5" spans="1:35">
      <c r="A100" s="177">
        <v>45085.387633287</v>
      </c>
      <c r="B100" s="11" t="s">
        <v>430</v>
      </c>
      <c r="C100" s="277" t="s">
        <v>431</v>
      </c>
      <c r="D100" s="19">
        <v>705603421725012</v>
      </c>
      <c r="F100" s="11" t="s">
        <v>217</v>
      </c>
      <c r="G100" s="11" t="s">
        <v>54</v>
      </c>
      <c r="H100" s="24">
        <v>31316</v>
      </c>
      <c r="I100" s="277" t="s">
        <v>433</v>
      </c>
      <c r="J100" s="11" t="s">
        <v>42</v>
      </c>
      <c r="K100" s="108" t="s">
        <v>227</v>
      </c>
      <c r="N100" s="11" t="s">
        <v>95</v>
      </c>
      <c r="O100" s="11" t="s">
        <v>44</v>
      </c>
      <c r="P100" s="11" t="s">
        <v>56</v>
      </c>
      <c r="Q100" s="11" t="s">
        <v>44</v>
      </c>
      <c r="R100" s="11" t="s">
        <v>45</v>
      </c>
      <c r="S100" s="11" t="s">
        <v>45</v>
      </c>
      <c r="T100" s="11" t="s">
        <v>44</v>
      </c>
      <c r="U100" s="11" t="s">
        <v>45</v>
      </c>
      <c r="V100" s="24">
        <v>45087</v>
      </c>
      <c r="W100" s="11" t="s">
        <v>57</v>
      </c>
      <c r="X100" s="11" t="s">
        <v>97</v>
      </c>
      <c r="Y100" s="11" t="s">
        <v>97</v>
      </c>
      <c r="Z100" s="11">
        <v>81989075471</v>
      </c>
      <c r="AA100" s="11" t="s">
        <v>115</v>
      </c>
      <c r="AB100" s="11" t="s">
        <v>49</v>
      </c>
      <c r="AC100" s="11" t="s">
        <v>50</v>
      </c>
      <c r="AD100" s="11" t="b">
        <v>0</v>
      </c>
      <c r="AF100" s="11" t="s">
        <v>440</v>
      </c>
      <c r="AG100" s="90" t="s">
        <v>441</v>
      </c>
      <c r="AH100" s="11"/>
      <c r="AI100" s="11"/>
    </row>
    <row r="101" ht="12.5" spans="1:35">
      <c r="A101" s="177">
        <v>45085.4327623032</v>
      </c>
      <c r="B101" s="11" t="s">
        <v>442</v>
      </c>
      <c r="C101" s="19">
        <v>11202951490</v>
      </c>
      <c r="D101" s="19">
        <v>702104750775290</v>
      </c>
      <c r="E101" s="18" t="s">
        <v>443</v>
      </c>
      <c r="F101" s="11" t="s">
        <v>225</v>
      </c>
      <c r="G101" s="11" t="s">
        <v>54</v>
      </c>
      <c r="H101" s="24">
        <v>35694</v>
      </c>
      <c r="I101" s="277" t="s">
        <v>261</v>
      </c>
      <c r="J101" s="11" t="s">
        <v>42</v>
      </c>
      <c r="K101" s="108" t="s">
        <v>63</v>
      </c>
      <c r="N101" s="11" t="s">
        <v>43</v>
      </c>
      <c r="O101" s="11" t="s">
        <v>65</v>
      </c>
      <c r="P101" s="11" t="s">
        <v>66</v>
      </c>
      <c r="Q101" s="11" t="s">
        <v>44</v>
      </c>
      <c r="R101" s="11" t="s">
        <v>45</v>
      </c>
      <c r="S101" s="11" t="s">
        <v>45</v>
      </c>
      <c r="T101" s="11" t="s">
        <v>44</v>
      </c>
      <c r="U101" s="11" t="s">
        <v>45</v>
      </c>
      <c r="V101" s="24">
        <v>45086</v>
      </c>
      <c r="W101" s="11" t="s">
        <v>46</v>
      </c>
      <c r="X101" s="11" t="s">
        <v>303</v>
      </c>
      <c r="Y101" s="11" t="s">
        <v>58</v>
      </c>
      <c r="Z101" s="11">
        <v>81987252750</v>
      </c>
      <c r="AA101" s="11" t="s">
        <v>296</v>
      </c>
      <c r="AB101" s="11" t="s">
        <v>49</v>
      </c>
      <c r="AC101" s="11" t="s">
        <v>92</v>
      </c>
      <c r="AD101" s="11" t="b">
        <v>1</v>
      </c>
      <c r="AE101" s="11" t="s">
        <v>137</v>
      </c>
      <c r="AF101" s="11" t="s">
        <v>444</v>
      </c>
      <c r="AG101" s="11"/>
      <c r="AH101" s="11" t="s">
        <v>445</v>
      </c>
      <c r="AI101" s="11"/>
    </row>
    <row r="102" ht="12.5" spans="1:35">
      <c r="A102" s="177">
        <v>45085.5182432523</v>
      </c>
      <c r="B102" s="11" t="s">
        <v>446</v>
      </c>
      <c r="C102" s="19">
        <v>4182489314</v>
      </c>
      <c r="D102" s="19">
        <v>701806212560272</v>
      </c>
      <c r="E102" s="18" t="s">
        <v>447</v>
      </c>
      <c r="F102" s="11" t="s">
        <v>225</v>
      </c>
      <c r="G102" s="11" t="s">
        <v>41</v>
      </c>
      <c r="H102" s="24">
        <v>33967</v>
      </c>
      <c r="I102" s="19" t="s">
        <v>448</v>
      </c>
      <c r="J102" s="11" t="s">
        <v>42</v>
      </c>
      <c r="K102" s="108" t="s">
        <v>449</v>
      </c>
      <c r="N102" s="11" t="s">
        <v>43</v>
      </c>
      <c r="O102" s="11" t="s">
        <v>44</v>
      </c>
      <c r="P102" s="11" t="s">
        <v>56</v>
      </c>
      <c r="Q102" s="11" t="s">
        <v>45</v>
      </c>
      <c r="R102" s="11" t="s">
        <v>45</v>
      </c>
      <c r="S102" s="11" t="s">
        <v>45</v>
      </c>
      <c r="T102" s="11" t="s">
        <v>44</v>
      </c>
      <c r="U102" s="11" t="s">
        <v>45</v>
      </c>
      <c r="V102" s="24">
        <v>45087</v>
      </c>
      <c r="W102" s="11" t="s">
        <v>46</v>
      </c>
      <c r="X102" s="11" t="s">
        <v>303</v>
      </c>
      <c r="Y102" s="11" t="s">
        <v>58</v>
      </c>
      <c r="Z102" s="11">
        <v>81986669422</v>
      </c>
      <c r="AA102" s="11" t="s">
        <v>115</v>
      </c>
      <c r="AB102" s="11" t="s">
        <v>49</v>
      </c>
      <c r="AC102" s="11" t="s">
        <v>450</v>
      </c>
      <c r="AD102" s="11" t="b">
        <v>0</v>
      </c>
      <c r="AF102" s="11" t="s">
        <v>440</v>
      </c>
      <c r="AG102" s="75" t="s">
        <v>451</v>
      </c>
      <c r="AH102" s="11"/>
      <c r="AI102" s="11"/>
    </row>
    <row r="103" ht="12.5" spans="1:35">
      <c r="A103" s="177">
        <v>45085.5887289468</v>
      </c>
      <c r="B103" s="11" t="s">
        <v>452</v>
      </c>
      <c r="C103" s="277" t="s">
        <v>453</v>
      </c>
      <c r="D103" s="19">
        <v>700503541527951</v>
      </c>
      <c r="E103" s="18" t="s">
        <v>454</v>
      </c>
      <c r="F103" s="11" t="s">
        <v>40</v>
      </c>
      <c r="G103" s="11" t="s">
        <v>54</v>
      </c>
      <c r="H103" s="24">
        <v>32674</v>
      </c>
      <c r="I103" s="19" t="s">
        <v>448</v>
      </c>
      <c r="J103" s="11" t="s">
        <v>42</v>
      </c>
      <c r="K103" s="108" t="s">
        <v>455</v>
      </c>
      <c r="N103" s="11" t="s">
        <v>43</v>
      </c>
      <c r="O103" s="11" t="s">
        <v>44</v>
      </c>
      <c r="P103" s="11" t="s">
        <v>56</v>
      </c>
      <c r="Q103" s="11" t="s">
        <v>44</v>
      </c>
      <c r="R103" s="11" t="s">
        <v>45</v>
      </c>
      <c r="S103" s="11" t="s">
        <v>44</v>
      </c>
      <c r="T103" s="11" t="s">
        <v>44</v>
      </c>
      <c r="U103" s="11" t="s">
        <v>45</v>
      </c>
      <c r="V103" s="24">
        <v>45087</v>
      </c>
      <c r="W103" s="11" t="s">
        <v>57</v>
      </c>
      <c r="X103" s="11" t="s">
        <v>303</v>
      </c>
      <c r="Y103" s="11" t="s">
        <v>58</v>
      </c>
      <c r="Z103" s="11">
        <v>81988153975</v>
      </c>
      <c r="AA103" s="11" t="s">
        <v>115</v>
      </c>
      <c r="AB103" s="11" t="s">
        <v>98</v>
      </c>
      <c r="AC103" s="11"/>
      <c r="AD103" s="11" t="b">
        <v>0</v>
      </c>
      <c r="AF103" s="11" t="s">
        <v>456</v>
      </c>
      <c r="AG103" s="90" t="s">
        <v>457</v>
      </c>
      <c r="AH103" s="11" t="s">
        <v>458</v>
      </c>
      <c r="AI103" s="11"/>
    </row>
    <row r="104" ht="12.5" spans="1:35">
      <c r="A104" s="177">
        <v>45085.6075198148</v>
      </c>
      <c r="B104" s="11" t="s">
        <v>459</v>
      </c>
      <c r="C104" s="277" t="s">
        <v>460</v>
      </c>
      <c r="D104" s="19">
        <v>700000822013309</v>
      </c>
      <c r="E104" s="18" t="s">
        <v>461</v>
      </c>
      <c r="F104" s="11" t="s">
        <v>40</v>
      </c>
      <c r="G104" s="11" t="s">
        <v>54</v>
      </c>
      <c r="H104" s="24">
        <v>31266</v>
      </c>
      <c r="I104" s="277" t="s">
        <v>462</v>
      </c>
      <c r="J104" s="11" t="s">
        <v>42</v>
      </c>
      <c r="K104" s="108" t="s">
        <v>202</v>
      </c>
      <c r="N104" s="11" t="s">
        <v>43</v>
      </c>
      <c r="O104" s="11" t="s">
        <v>65</v>
      </c>
      <c r="P104" s="11" t="s">
        <v>66</v>
      </c>
      <c r="Q104" s="11" t="s">
        <v>45</v>
      </c>
      <c r="R104" s="11" t="s">
        <v>45</v>
      </c>
      <c r="S104" s="11" t="s">
        <v>44</v>
      </c>
      <c r="T104" s="11" t="s">
        <v>44</v>
      </c>
      <c r="U104" s="11" t="s">
        <v>45</v>
      </c>
      <c r="V104" s="24">
        <v>45086</v>
      </c>
      <c r="W104" s="11" t="s">
        <v>46</v>
      </c>
      <c r="X104" s="11" t="s">
        <v>303</v>
      </c>
      <c r="Y104" s="11" t="s">
        <v>58</v>
      </c>
      <c r="Z104" s="11">
        <v>81986207791</v>
      </c>
      <c r="AA104" s="11" t="s">
        <v>296</v>
      </c>
      <c r="AB104" s="11" t="s">
        <v>98</v>
      </c>
      <c r="AC104" s="11"/>
      <c r="AD104" s="11" t="b">
        <v>0</v>
      </c>
      <c r="AF104" s="11" t="s">
        <v>463</v>
      </c>
      <c r="AG104" s="108" t="s">
        <v>464</v>
      </c>
      <c r="AH104" s="11"/>
      <c r="AI104" s="11"/>
    </row>
    <row r="105" ht="12.5" spans="1:35">
      <c r="A105" s="177">
        <v>45085.6346251157</v>
      </c>
      <c r="B105" s="11" t="s">
        <v>264</v>
      </c>
      <c r="C105" s="277" t="s">
        <v>265</v>
      </c>
      <c r="D105" s="19">
        <v>708105560163634</v>
      </c>
      <c r="E105" s="18" t="s">
        <v>465</v>
      </c>
      <c r="F105" s="11" t="s">
        <v>40</v>
      </c>
      <c r="G105" s="11" t="s">
        <v>54</v>
      </c>
      <c r="H105" s="24">
        <v>32418</v>
      </c>
      <c r="I105" s="277" t="s">
        <v>267</v>
      </c>
      <c r="J105" s="11" t="s">
        <v>42</v>
      </c>
      <c r="K105" s="108" t="s">
        <v>55</v>
      </c>
      <c r="N105" s="11" t="s">
        <v>43</v>
      </c>
      <c r="O105" s="11" t="s">
        <v>65</v>
      </c>
      <c r="P105" s="11" t="s">
        <v>66</v>
      </c>
      <c r="Q105" s="11" t="s">
        <v>44</v>
      </c>
      <c r="R105" s="11" t="s">
        <v>45</v>
      </c>
      <c r="S105" s="11" t="s">
        <v>45</v>
      </c>
      <c r="T105" s="11" t="s">
        <v>44</v>
      </c>
      <c r="U105" s="11" t="s">
        <v>45</v>
      </c>
      <c r="V105" s="24">
        <v>45086</v>
      </c>
      <c r="W105" s="11" t="s">
        <v>57</v>
      </c>
      <c r="X105" s="11" t="s">
        <v>303</v>
      </c>
      <c r="Y105" s="11" t="s">
        <v>58</v>
      </c>
      <c r="Z105" s="11">
        <v>81996790643</v>
      </c>
      <c r="AA105" s="11" t="s">
        <v>115</v>
      </c>
      <c r="AB105" s="11" t="s">
        <v>98</v>
      </c>
      <c r="AC105" s="11"/>
      <c r="AD105" s="11" t="b">
        <v>0</v>
      </c>
      <c r="AF105" s="11" t="s">
        <v>463</v>
      </c>
      <c r="AG105" s="108" t="s">
        <v>466</v>
      </c>
      <c r="AH105" s="11"/>
      <c r="AI105" s="11"/>
    </row>
    <row r="106" ht="12.5" spans="1:35">
      <c r="A106" s="177">
        <v>45085.7152423032</v>
      </c>
      <c r="B106" s="11" t="s">
        <v>467</v>
      </c>
      <c r="C106" s="163">
        <v>70663872448</v>
      </c>
      <c r="D106" s="19">
        <v>700208434012424</v>
      </c>
      <c r="E106" s="18" t="s">
        <v>468</v>
      </c>
      <c r="F106" s="11" t="s">
        <v>40</v>
      </c>
      <c r="G106" s="11" t="s">
        <v>41</v>
      </c>
      <c r="H106" s="24">
        <v>35530</v>
      </c>
      <c r="I106" s="277" t="s">
        <v>469</v>
      </c>
      <c r="J106" s="11" t="s">
        <v>42</v>
      </c>
      <c r="K106" s="108" t="s">
        <v>470</v>
      </c>
      <c r="N106" s="11" t="s">
        <v>43</v>
      </c>
      <c r="O106" s="11" t="s">
        <v>65</v>
      </c>
      <c r="P106" s="11" t="s">
        <v>66</v>
      </c>
      <c r="Q106" s="11" t="s">
        <v>44</v>
      </c>
      <c r="R106" s="11" t="s">
        <v>45</v>
      </c>
      <c r="S106" s="11" t="s">
        <v>45</v>
      </c>
      <c r="T106" s="11" t="s">
        <v>44</v>
      </c>
      <c r="U106" s="11" t="s">
        <v>45</v>
      </c>
      <c r="V106" s="24">
        <v>45086</v>
      </c>
      <c r="W106" s="11" t="s">
        <v>46</v>
      </c>
      <c r="X106" s="11" t="s">
        <v>303</v>
      </c>
      <c r="Y106" s="11" t="s">
        <v>58</v>
      </c>
      <c r="Z106" s="11">
        <v>81987631286</v>
      </c>
      <c r="AA106" s="11" t="s">
        <v>115</v>
      </c>
      <c r="AB106" s="11" t="s">
        <v>49</v>
      </c>
      <c r="AC106" s="11" t="s">
        <v>256</v>
      </c>
      <c r="AD106" s="11" t="b">
        <v>0</v>
      </c>
      <c r="AF106" s="11" t="s">
        <v>471</v>
      </c>
      <c r="AG106" s="11"/>
      <c r="AH106" s="11" t="s">
        <v>472</v>
      </c>
      <c r="AI106" s="11"/>
    </row>
    <row r="107" ht="12.5" spans="1:35">
      <c r="A107" s="177">
        <v>45085.7465737153</v>
      </c>
      <c r="B107" s="11" t="s">
        <v>473</v>
      </c>
      <c r="C107" s="19">
        <v>70750015403</v>
      </c>
      <c r="D107" s="19">
        <v>708708109195192</v>
      </c>
      <c r="E107" s="18" t="s">
        <v>474</v>
      </c>
      <c r="F107" s="11" t="s">
        <v>40</v>
      </c>
      <c r="G107" s="11" t="s">
        <v>54</v>
      </c>
      <c r="H107" s="24">
        <v>37440</v>
      </c>
      <c r="I107" s="277" t="s">
        <v>475</v>
      </c>
      <c r="J107" s="11" t="s">
        <v>42</v>
      </c>
      <c r="K107" s="108" t="s">
        <v>202</v>
      </c>
      <c r="N107" s="11" t="s">
        <v>43</v>
      </c>
      <c r="O107" s="11" t="s">
        <v>44</v>
      </c>
      <c r="P107" s="11" t="s">
        <v>44</v>
      </c>
      <c r="Q107" s="11" t="s">
        <v>44</v>
      </c>
      <c r="R107" s="11" t="s">
        <v>45</v>
      </c>
      <c r="S107" s="11" t="s">
        <v>45</v>
      </c>
      <c r="T107" s="11" t="s">
        <v>44</v>
      </c>
      <c r="U107" s="11" t="s">
        <v>44</v>
      </c>
      <c r="W107" s="11" t="s">
        <v>46</v>
      </c>
      <c r="X107" s="11" t="s">
        <v>156</v>
      </c>
      <c r="Y107" s="11" t="s">
        <v>58</v>
      </c>
      <c r="Z107" s="11">
        <v>81984211746</v>
      </c>
      <c r="AA107" s="11" t="s">
        <v>296</v>
      </c>
      <c r="AB107" s="11"/>
      <c r="AC107" s="11"/>
      <c r="AD107" s="11" t="b">
        <v>0</v>
      </c>
      <c r="AF107" s="11"/>
      <c r="AG107" s="11"/>
      <c r="AH107" s="11" t="s">
        <v>476</v>
      </c>
      <c r="AI107" s="11"/>
    </row>
    <row r="108" ht="12.5" spans="1:35">
      <c r="A108" s="177">
        <v>45085.7842068866</v>
      </c>
      <c r="B108" s="11" t="s">
        <v>396</v>
      </c>
      <c r="C108" s="19">
        <v>70492275440</v>
      </c>
      <c r="D108" s="19">
        <v>708500376279279</v>
      </c>
      <c r="E108" s="18" t="s">
        <v>477</v>
      </c>
      <c r="F108" s="11" t="s">
        <v>40</v>
      </c>
      <c r="G108" s="11" t="s">
        <v>54</v>
      </c>
      <c r="H108" s="24">
        <v>36725</v>
      </c>
      <c r="I108" s="277" t="s">
        <v>398</v>
      </c>
      <c r="J108" s="11" t="s">
        <v>42</v>
      </c>
      <c r="K108" s="108" t="s">
        <v>63</v>
      </c>
      <c r="N108" s="11" t="s">
        <v>43</v>
      </c>
      <c r="O108" s="11" t="s">
        <v>65</v>
      </c>
      <c r="P108" s="11" t="s">
        <v>66</v>
      </c>
      <c r="Q108" s="11" t="s">
        <v>44</v>
      </c>
      <c r="R108" s="11" t="s">
        <v>45</v>
      </c>
      <c r="S108" s="11" t="s">
        <v>45</v>
      </c>
      <c r="T108" s="11" t="s">
        <v>44</v>
      </c>
      <c r="U108" s="11" t="s">
        <v>45</v>
      </c>
      <c r="V108" s="24">
        <v>45086</v>
      </c>
      <c r="W108" s="11" t="s">
        <v>46</v>
      </c>
      <c r="X108" s="11" t="s">
        <v>303</v>
      </c>
      <c r="Y108" s="11" t="s">
        <v>68</v>
      </c>
      <c r="Z108" s="11">
        <v>81996189614</v>
      </c>
      <c r="AA108" s="11" t="s">
        <v>296</v>
      </c>
      <c r="AB108" s="11" t="s">
        <v>98</v>
      </c>
      <c r="AC108" s="11"/>
      <c r="AD108" s="11" t="b">
        <v>0</v>
      </c>
      <c r="AF108" s="11" t="s">
        <v>478</v>
      </c>
      <c r="AG108" s="108" t="s">
        <v>466</v>
      </c>
      <c r="AH108" s="11"/>
      <c r="AI108" s="11"/>
    </row>
    <row r="109" ht="12.5" spans="1:37">
      <c r="A109" s="177">
        <v>45086.3673399074</v>
      </c>
      <c r="B109" s="11" t="s">
        <v>442</v>
      </c>
      <c r="C109" s="19">
        <v>11202951490</v>
      </c>
      <c r="D109" s="19">
        <v>702104750775290</v>
      </c>
      <c r="E109" s="18" t="s">
        <v>479</v>
      </c>
      <c r="F109" s="11" t="s">
        <v>225</v>
      </c>
      <c r="G109" s="11" t="s">
        <v>54</v>
      </c>
      <c r="H109" s="24">
        <v>35694</v>
      </c>
      <c r="I109" s="277" t="s">
        <v>261</v>
      </c>
      <c r="J109" s="11" t="s">
        <v>42</v>
      </c>
      <c r="K109" s="108" t="s">
        <v>311</v>
      </c>
      <c r="N109" s="11" t="s">
        <v>95</v>
      </c>
      <c r="O109" s="11" t="s">
        <v>96</v>
      </c>
      <c r="P109" s="11" t="s">
        <v>56</v>
      </c>
      <c r="Q109" s="11" t="s">
        <v>44</v>
      </c>
      <c r="R109" s="11" t="s">
        <v>44</v>
      </c>
      <c r="S109" s="11" t="s">
        <v>83</v>
      </c>
      <c r="T109" s="11" t="s">
        <v>44</v>
      </c>
      <c r="U109" s="11" t="s">
        <v>45</v>
      </c>
      <c r="V109" s="24">
        <v>45087</v>
      </c>
      <c r="W109" s="11" t="s">
        <v>46</v>
      </c>
      <c r="X109" s="11" t="s">
        <v>97</v>
      </c>
      <c r="Y109" s="11" t="s">
        <v>97</v>
      </c>
      <c r="Z109" s="11">
        <v>81987252750</v>
      </c>
      <c r="AA109" s="11" t="s">
        <v>91</v>
      </c>
      <c r="AB109" s="11" t="s">
        <v>49</v>
      </c>
      <c r="AC109" s="11" t="s">
        <v>50</v>
      </c>
      <c r="AD109" s="11" t="b">
        <v>1</v>
      </c>
      <c r="AE109" s="11" t="s">
        <v>137</v>
      </c>
      <c r="AF109" s="11" t="s">
        <v>480</v>
      </c>
      <c r="AG109" s="11"/>
      <c r="AH109" s="11" t="s">
        <v>481</v>
      </c>
      <c r="AI109" s="11"/>
      <c r="AK109" s="63" t="s">
        <v>482</v>
      </c>
    </row>
    <row r="110" ht="12.5" spans="1:35">
      <c r="A110" s="177">
        <v>45086.3797704861</v>
      </c>
      <c r="B110" s="11" t="s">
        <v>483</v>
      </c>
      <c r="C110" s="19">
        <v>7018160405</v>
      </c>
      <c r="D110" s="19">
        <v>706806240579420</v>
      </c>
      <c r="E110" s="18" t="s">
        <v>484</v>
      </c>
      <c r="F110" s="11" t="s">
        <v>40</v>
      </c>
      <c r="G110" s="11" t="s">
        <v>41</v>
      </c>
      <c r="H110" s="24">
        <v>30697</v>
      </c>
      <c r="I110" s="277" t="s">
        <v>173</v>
      </c>
      <c r="J110" s="11" t="s">
        <v>42</v>
      </c>
      <c r="K110" s="108" t="s">
        <v>485</v>
      </c>
      <c r="N110" s="11" t="s">
        <v>43</v>
      </c>
      <c r="O110" s="11" t="s">
        <v>44</v>
      </c>
      <c r="P110" s="11" t="s">
        <v>44</v>
      </c>
      <c r="Q110" s="11" t="s">
        <v>44</v>
      </c>
      <c r="R110" s="11" t="s">
        <v>45</v>
      </c>
      <c r="S110" s="11" t="s">
        <v>45</v>
      </c>
      <c r="T110" s="11" t="s">
        <v>44</v>
      </c>
      <c r="U110" s="11" t="s">
        <v>45</v>
      </c>
      <c r="V110" s="24">
        <v>45086</v>
      </c>
      <c r="W110" s="11" t="s">
        <v>46</v>
      </c>
      <c r="X110" s="11" t="s">
        <v>67</v>
      </c>
      <c r="Y110" s="11" t="s">
        <v>58</v>
      </c>
      <c r="Z110" s="11">
        <v>81984663804</v>
      </c>
      <c r="AA110" s="11" t="s">
        <v>273</v>
      </c>
      <c r="AB110" s="11" t="s">
        <v>49</v>
      </c>
      <c r="AC110" s="11" t="s">
        <v>256</v>
      </c>
      <c r="AD110" s="11" t="b">
        <v>1</v>
      </c>
      <c r="AE110" s="11" t="s">
        <v>137</v>
      </c>
      <c r="AF110" s="11" t="s">
        <v>486</v>
      </c>
      <c r="AG110" s="11"/>
      <c r="AH110" s="11"/>
      <c r="AI110" s="11"/>
    </row>
    <row r="111" ht="12.5" spans="1:35">
      <c r="A111" s="177">
        <v>45086.4057499306</v>
      </c>
      <c r="B111" s="11" t="s">
        <v>487</v>
      </c>
      <c r="C111" s="19">
        <v>11477468420</v>
      </c>
      <c r="D111" s="19">
        <v>704804584865841</v>
      </c>
      <c r="E111" s="18" t="s">
        <v>488</v>
      </c>
      <c r="F111" s="11" t="s">
        <v>40</v>
      </c>
      <c r="G111" s="11" t="s">
        <v>54</v>
      </c>
      <c r="H111" s="24">
        <v>35585</v>
      </c>
      <c r="I111" s="19" t="s">
        <v>489</v>
      </c>
      <c r="J111" s="11" t="s">
        <v>42</v>
      </c>
      <c r="K111" s="108" t="s">
        <v>490</v>
      </c>
      <c r="N111" s="11" t="s">
        <v>43</v>
      </c>
      <c r="O111" s="11" t="s">
        <v>44</v>
      </c>
      <c r="P111" s="11" t="s">
        <v>44</v>
      </c>
      <c r="Q111" s="11" t="s">
        <v>44</v>
      </c>
      <c r="R111" s="11" t="s">
        <v>45</v>
      </c>
      <c r="S111" s="11" t="s">
        <v>83</v>
      </c>
      <c r="T111" s="11" t="s">
        <v>44</v>
      </c>
      <c r="U111" s="11" t="s">
        <v>45</v>
      </c>
      <c r="V111" s="24">
        <v>45089</v>
      </c>
      <c r="W111" s="11" t="s">
        <v>46</v>
      </c>
      <c r="X111" s="11" t="s">
        <v>47</v>
      </c>
      <c r="Y111" s="11" t="s">
        <v>58</v>
      </c>
      <c r="Z111" s="11">
        <v>81996444977</v>
      </c>
      <c r="AA111" s="11" t="s">
        <v>91</v>
      </c>
      <c r="AB111" s="11" t="s">
        <v>49</v>
      </c>
      <c r="AC111" s="11" t="s">
        <v>92</v>
      </c>
      <c r="AD111" s="11" t="b">
        <v>1</v>
      </c>
      <c r="AE111" s="11" t="s">
        <v>137</v>
      </c>
      <c r="AF111" s="11" t="s">
        <v>491</v>
      </c>
      <c r="AG111" s="11"/>
      <c r="AH111" s="11" t="s">
        <v>492</v>
      </c>
      <c r="AI111" s="11"/>
    </row>
    <row r="112" ht="12.5" spans="1:35">
      <c r="A112" s="177">
        <v>45086.4746972107</v>
      </c>
      <c r="B112" s="11" t="s">
        <v>493</v>
      </c>
      <c r="C112" s="19">
        <v>11672152496</v>
      </c>
      <c r="D112" s="19">
        <v>705600424812517</v>
      </c>
      <c r="E112" s="18" t="s">
        <v>494</v>
      </c>
      <c r="F112" s="11" t="s">
        <v>225</v>
      </c>
      <c r="G112" s="11" t="s">
        <v>54</v>
      </c>
      <c r="H112" s="24">
        <v>34366</v>
      </c>
      <c r="I112" s="277" t="s">
        <v>495</v>
      </c>
      <c r="J112" s="11" t="s">
        <v>42</v>
      </c>
      <c r="K112" s="108" t="s">
        <v>399</v>
      </c>
      <c r="N112" s="11" t="s">
        <v>43</v>
      </c>
      <c r="O112" s="11" t="s">
        <v>44</v>
      </c>
      <c r="P112" s="11" t="s">
        <v>44</v>
      </c>
      <c r="Q112" s="11" t="s">
        <v>44</v>
      </c>
      <c r="R112" s="11" t="s">
        <v>45</v>
      </c>
      <c r="S112" s="11" t="s">
        <v>83</v>
      </c>
      <c r="T112" s="11" t="s">
        <v>44</v>
      </c>
      <c r="U112" s="11" t="s">
        <v>44</v>
      </c>
      <c r="W112" s="11" t="s">
        <v>46</v>
      </c>
      <c r="X112" s="11" t="s">
        <v>47</v>
      </c>
      <c r="Y112" s="11" t="s">
        <v>58</v>
      </c>
      <c r="Z112" s="11">
        <v>81985559317</v>
      </c>
      <c r="AA112" s="11" t="s">
        <v>91</v>
      </c>
      <c r="AB112" s="11"/>
      <c r="AC112" s="11"/>
      <c r="AD112" s="11" t="b">
        <v>0</v>
      </c>
      <c r="AF112" s="11"/>
      <c r="AG112" s="11"/>
      <c r="AH112" s="11"/>
      <c r="AI112" s="11"/>
    </row>
    <row r="113" ht="12.5" spans="1:35">
      <c r="A113" s="177">
        <v>45086.5009543981</v>
      </c>
      <c r="B113" s="11" t="s">
        <v>496</v>
      </c>
      <c r="C113" s="19">
        <v>10254647456</v>
      </c>
      <c r="D113" s="19">
        <v>708403791520268</v>
      </c>
      <c r="E113" s="18" t="s">
        <v>497</v>
      </c>
      <c r="F113" s="11" t="s">
        <v>40</v>
      </c>
      <c r="G113" s="11" t="s">
        <v>54</v>
      </c>
      <c r="H113" s="24">
        <v>36193</v>
      </c>
      <c r="I113" s="277" t="s">
        <v>498</v>
      </c>
      <c r="J113" s="11" t="s">
        <v>42</v>
      </c>
      <c r="K113" s="108" t="s">
        <v>202</v>
      </c>
      <c r="N113" s="11" t="s">
        <v>43</v>
      </c>
      <c r="O113" s="11" t="s">
        <v>44</v>
      </c>
      <c r="P113" s="11" t="s">
        <v>44</v>
      </c>
      <c r="Q113" s="11" t="s">
        <v>44</v>
      </c>
      <c r="R113" s="11" t="s">
        <v>45</v>
      </c>
      <c r="S113" s="11" t="s">
        <v>44</v>
      </c>
      <c r="T113" s="11" t="s">
        <v>44</v>
      </c>
      <c r="U113" s="11" t="s">
        <v>44</v>
      </c>
      <c r="W113" s="11" t="s">
        <v>46</v>
      </c>
      <c r="X113" s="11" t="s">
        <v>47</v>
      </c>
      <c r="Y113" s="11" t="s">
        <v>58</v>
      </c>
      <c r="Z113" s="11">
        <v>81999669664</v>
      </c>
      <c r="AA113" s="11" t="s">
        <v>91</v>
      </c>
      <c r="AB113" s="11"/>
      <c r="AC113" s="11"/>
      <c r="AD113" s="11" t="b">
        <v>0</v>
      </c>
      <c r="AF113" s="11"/>
      <c r="AG113" s="11"/>
      <c r="AH113" s="11"/>
      <c r="AI113" s="11"/>
    </row>
    <row r="114" ht="12.5" spans="1:35">
      <c r="A114" s="177">
        <v>45086.5103080324</v>
      </c>
      <c r="B114" s="11" t="s">
        <v>467</v>
      </c>
      <c r="C114" s="19">
        <v>70663872448</v>
      </c>
      <c r="D114" s="19">
        <v>700208434012424</v>
      </c>
      <c r="F114" s="11" t="s">
        <v>40</v>
      </c>
      <c r="G114" s="11" t="s">
        <v>54</v>
      </c>
      <c r="H114" s="24">
        <v>35530</v>
      </c>
      <c r="I114" s="277" t="s">
        <v>469</v>
      </c>
      <c r="J114" s="11" t="s">
        <v>42</v>
      </c>
      <c r="K114" s="108" t="s">
        <v>499</v>
      </c>
      <c r="N114" s="11" t="s">
        <v>95</v>
      </c>
      <c r="O114" s="11" t="s">
        <v>44</v>
      </c>
      <c r="P114" s="11" t="s">
        <v>44</v>
      </c>
      <c r="Q114" s="11" t="s">
        <v>44</v>
      </c>
      <c r="R114" s="11" t="s">
        <v>45</v>
      </c>
      <c r="S114" s="11" t="s">
        <v>45</v>
      </c>
      <c r="T114" s="11" t="s">
        <v>44</v>
      </c>
      <c r="U114" s="11" t="s">
        <v>44</v>
      </c>
      <c r="W114" s="11" t="s">
        <v>57</v>
      </c>
      <c r="X114" s="11" t="s">
        <v>97</v>
      </c>
      <c r="Y114" s="11" t="s">
        <v>97</v>
      </c>
      <c r="Z114" s="11">
        <v>81987631286</v>
      </c>
      <c r="AA114" s="11" t="s">
        <v>273</v>
      </c>
      <c r="AB114" s="11"/>
      <c r="AC114" s="11"/>
      <c r="AD114" s="11" t="b">
        <v>0</v>
      </c>
      <c r="AF114" s="11"/>
      <c r="AG114" s="11"/>
      <c r="AH114" s="11"/>
      <c r="AI114" s="11"/>
    </row>
    <row r="115" ht="12.5" spans="1:35">
      <c r="A115" s="177">
        <v>45086.5218061921</v>
      </c>
      <c r="B115" s="11" t="s">
        <v>500</v>
      </c>
      <c r="C115" s="277" t="s">
        <v>501</v>
      </c>
      <c r="D115" s="19">
        <v>701800299538570</v>
      </c>
      <c r="E115" s="18" t="s">
        <v>502</v>
      </c>
      <c r="F115" s="11" t="s">
        <v>40</v>
      </c>
      <c r="G115" s="11" t="s">
        <v>54</v>
      </c>
      <c r="H115" s="24">
        <v>37364</v>
      </c>
      <c r="I115" s="19" t="s">
        <v>503</v>
      </c>
      <c r="J115" s="11" t="s">
        <v>42</v>
      </c>
      <c r="K115" s="108" t="s">
        <v>504</v>
      </c>
      <c r="N115" s="11" t="s">
        <v>43</v>
      </c>
      <c r="O115" s="11" t="s">
        <v>44</v>
      </c>
      <c r="P115" s="11" t="s">
        <v>44</v>
      </c>
      <c r="Q115" s="11" t="s">
        <v>44</v>
      </c>
      <c r="R115" s="11" t="s">
        <v>45</v>
      </c>
      <c r="S115" s="11" t="s">
        <v>83</v>
      </c>
      <c r="T115" s="11" t="s">
        <v>44</v>
      </c>
      <c r="U115" s="11" t="s">
        <v>44</v>
      </c>
      <c r="W115" s="11" t="s">
        <v>46</v>
      </c>
      <c r="X115" s="11" t="s">
        <v>47</v>
      </c>
      <c r="Y115" s="11" t="s">
        <v>58</v>
      </c>
      <c r="Z115" s="11">
        <v>81983140313</v>
      </c>
      <c r="AA115" s="11" t="s">
        <v>91</v>
      </c>
      <c r="AB115" s="11"/>
      <c r="AC115" s="11"/>
      <c r="AD115" s="11" t="b">
        <v>0</v>
      </c>
      <c r="AF115" s="11"/>
      <c r="AG115" s="11"/>
      <c r="AH115" s="11"/>
      <c r="AI115" s="11"/>
    </row>
    <row r="116" ht="12.5" spans="1:35">
      <c r="A116" s="177">
        <v>45086.568246956</v>
      </c>
      <c r="B116" s="11" t="s">
        <v>505</v>
      </c>
      <c r="C116" s="19">
        <v>11686962401</v>
      </c>
      <c r="D116" s="19">
        <v>708201136381242</v>
      </c>
      <c r="E116" s="18" t="s">
        <v>506</v>
      </c>
      <c r="F116" s="11" t="s">
        <v>40</v>
      </c>
      <c r="G116" s="11" t="s">
        <v>54</v>
      </c>
      <c r="H116" s="24">
        <v>33741</v>
      </c>
      <c r="I116" s="277" t="s">
        <v>507</v>
      </c>
      <c r="J116" s="11" t="s">
        <v>42</v>
      </c>
      <c r="K116" s="108" t="s">
        <v>508</v>
      </c>
      <c r="N116" s="11" t="s">
        <v>43</v>
      </c>
      <c r="O116" s="11" t="s">
        <v>96</v>
      </c>
      <c r="P116" s="11" t="s">
        <v>56</v>
      </c>
      <c r="Q116" s="11" t="s">
        <v>45</v>
      </c>
      <c r="R116" s="11" t="s">
        <v>45</v>
      </c>
      <c r="S116" s="11" t="s">
        <v>45</v>
      </c>
      <c r="T116" s="11" t="s">
        <v>44</v>
      </c>
      <c r="U116" s="11" t="s">
        <v>44</v>
      </c>
      <c r="V116" s="24">
        <v>45086</v>
      </c>
      <c r="W116" s="11" t="s">
        <v>46</v>
      </c>
      <c r="X116" s="11" t="s">
        <v>47</v>
      </c>
      <c r="Y116" s="11" t="s">
        <v>58</v>
      </c>
      <c r="Z116" s="11">
        <v>81988117095</v>
      </c>
      <c r="AA116" s="11" t="s">
        <v>103</v>
      </c>
      <c r="AB116" s="11" t="s">
        <v>69</v>
      </c>
      <c r="AC116" s="11"/>
      <c r="AD116" s="11" t="b">
        <v>0</v>
      </c>
      <c r="AF116" s="11" t="s">
        <v>509</v>
      </c>
      <c r="AG116" s="11"/>
      <c r="AH116" s="11" t="s">
        <v>510</v>
      </c>
      <c r="AI116" s="11"/>
    </row>
    <row r="117" ht="12.5" spans="1:35">
      <c r="A117" s="177">
        <v>45086.575329213</v>
      </c>
      <c r="B117" s="11" t="s">
        <v>511</v>
      </c>
      <c r="C117" s="19">
        <v>10134721446</v>
      </c>
      <c r="D117" s="19">
        <v>700508790071751</v>
      </c>
      <c r="E117" s="18" t="s">
        <v>512</v>
      </c>
      <c r="F117" s="11" t="s">
        <v>225</v>
      </c>
      <c r="G117" s="11" t="s">
        <v>54</v>
      </c>
      <c r="H117" s="24">
        <v>36246</v>
      </c>
      <c r="I117" s="277" t="s">
        <v>513</v>
      </c>
      <c r="J117" s="11" t="s">
        <v>42</v>
      </c>
      <c r="K117" s="108" t="s">
        <v>74</v>
      </c>
      <c r="N117" s="11" t="s">
        <v>43</v>
      </c>
      <c r="O117" s="11" t="s">
        <v>96</v>
      </c>
      <c r="P117" s="11" t="s">
        <v>66</v>
      </c>
      <c r="Q117" s="11" t="s">
        <v>45</v>
      </c>
      <c r="R117" s="11" t="s">
        <v>45</v>
      </c>
      <c r="S117" s="11" t="s">
        <v>45</v>
      </c>
      <c r="T117" s="11" t="s">
        <v>44</v>
      </c>
      <c r="U117" s="11" t="s">
        <v>45</v>
      </c>
      <c r="V117" s="24">
        <v>45089</v>
      </c>
      <c r="W117" s="11" t="s">
        <v>46</v>
      </c>
      <c r="X117" s="11" t="s">
        <v>67</v>
      </c>
      <c r="Y117" s="11" t="s">
        <v>48</v>
      </c>
      <c r="Z117" s="11">
        <v>81996695691</v>
      </c>
      <c r="AA117" s="11" t="s">
        <v>273</v>
      </c>
      <c r="AB117" s="11" t="s">
        <v>98</v>
      </c>
      <c r="AC117" s="11"/>
      <c r="AD117" s="11" t="b">
        <v>0</v>
      </c>
      <c r="AF117" s="11" t="s">
        <v>514</v>
      </c>
      <c r="AG117" s="11" t="s">
        <v>515</v>
      </c>
      <c r="AH117" s="11" t="s">
        <v>516</v>
      </c>
      <c r="AI117" s="11"/>
    </row>
    <row r="118" ht="12.5" spans="1:35">
      <c r="A118" s="177">
        <v>45086.580002419</v>
      </c>
      <c r="B118" s="11" t="s">
        <v>517</v>
      </c>
      <c r="C118" s="19">
        <v>10683896482</v>
      </c>
      <c r="D118" s="19">
        <v>704300580759797</v>
      </c>
      <c r="E118" s="18" t="s">
        <v>518</v>
      </c>
      <c r="F118" s="11" t="s">
        <v>40</v>
      </c>
      <c r="G118" s="11" t="s">
        <v>54</v>
      </c>
      <c r="H118" s="24">
        <v>34825</v>
      </c>
      <c r="I118" s="277" t="s">
        <v>519</v>
      </c>
      <c r="J118" s="11" t="s">
        <v>81</v>
      </c>
      <c r="K118" s="108"/>
      <c r="L118" s="11" t="s">
        <v>520</v>
      </c>
      <c r="N118" s="11" t="s">
        <v>43</v>
      </c>
      <c r="O118" s="11" t="s">
        <v>65</v>
      </c>
      <c r="P118" s="11" t="s">
        <v>66</v>
      </c>
      <c r="Q118" s="11" t="s">
        <v>44</v>
      </c>
      <c r="R118" s="11" t="s">
        <v>45</v>
      </c>
      <c r="S118" s="11" t="s">
        <v>45</v>
      </c>
      <c r="T118" s="11" t="s">
        <v>44</v>
      </c>
      <c r="U118" s="11" t="s">
        <v>45</v>
      </c>
      <c r="V118" s="24">
        <v>45087</v>
      </c>
      <c r="W118" s="11" t="s">
        <v>46</v>
      </c>
      <c r="X118" s="11" t="s">
        <v>47</v>
      </c>
      <c r="Y118" s="11" t="s">
        <v>58</v>
      </c>
      <c r="Z118" s="11">
        <v>81984481237</v>
      </c>
      <c r="AA118" s="11" t="s">
        <v>91</v>
      </c>
      <c r="AB118" s="11" t="s">
        <v>49</v>
      </c>
      <c r="AC118" s="11" t="s">
        <v>50</v>
      </c>
      <c r="AD118" s="11" t="b">
        <v>1</v>
      </c>
      <c r="AE118" s="11" t="s">
        <v>137</v>
      </c>
      <c r="AF118" s="11" t="s">
        <v>521</v>
      </c>
      <c r="AG118" s="11"/>
      <c r="AH118" s="11"/>
      <c r="AI118" s="11"/>
    </row>
    <row r="119" ht="12.5" spans="1:35">
      <c r="A119" s="177">
        <v>45086.6149542361</v>
      </c>
      <c r="B119" s="11" t="s">
        <v>522</v>
      </c>
      <c r="C119" s="19">
        <v>13705305441</v>
      </c>
      <c r="D119" s="19">
        <v>206045717250004</v>
      </c>
      <c r="E119" s="18" t="s">
        <v>523</v>
      </c>
      <c r="F119" s="11" t="s">
        <v>40</v>
      </c>
      <c r="G119" s="11" t="s">
        <v>54</v>
      </c>
      <c r="H119" s="24">
        <v>34326</v>
      </c>
      <c r="I119" s="277" t="s">
        <v>524</v>
      </c>
      <c r="J119" s="11" t="s">
        <v>81</v>
      </c>
      <c r="K119" s="108"/>
      <c r="L119" s="11" t="s">
        <v>525</v>
      </c>
      <c r="N119" s="11" t="s">
        <v>43</v>
      </c>
      <c r="O119" s="11" t="s">
        <v>65</v>
      </c>
      <c r="P119" s="11" t="s">
        <v>66</v>
      </c>
      <c r="Q119" s="11" t="s">
        <v>45</v>
      </c>
      <c r="R119" s="11" t="s">
        <v>45</v>
      </c>
      <c r="S119" s="11" t="s">
        <v>45</v>
      </c>
      <c r="T119" s="11" t="s">
        <v>44</v>
      </c>
      <c r="U119" s="11" t="s">
        <v>45</v>
      </c>
      <c r="V119" s="24">
        <v>45087</v>
      </c>
      <c r="W119" s="11" t="s">
        <v>46</v>
      </c>
      <c r="X119" s="11" t="s">
        <v>47</v>
      </c>
      <c r="Y119" s="11" t="s">
        <v>58</v>
      </c>
      <c r="Z119" s="11">
        <v>81986266856</v>
      </c>
      <c r="AA119" s="11" t="s">
        <v>103</v>
      </c>
      <c r="AB119" s="11" t="s">
        <v>98</v>
      </c>
      <c r="AC119" s="11"/>
      <c r="AD119" s="11" t="b">
        <v>0</v>
      </c>
      <c r="AF119" s="11" t="s">
        <v>526</v>
      </c>
      <c r="AG119" s="75" t="s">
        <v>527</v>
      </c>
      <c r="AH119" s="11"/>
      <c r="AI119" s="11"/>
    </row>
    <row r="120" ht="12.5" spans="1:35">
      <c r="A120" s="177">
        <v>45086.6918213079</v>
      </c>
      <c r="B120" s="11" t="s">
        <v>483</v>
      </c>
      <c r="C120" s="19">
        <v>7018160405</v>
      </c>
      <c r="D120" s="19">
        <v>706806240579420</v>
      </c>
      <c r="E120" s="18" t="s">
        <v>528</v>
      </c>
      <c r="F120" s="11" t="s">
        <v>40</v>
      </c>
      <c r="G120" s="11" t="s">
        <v>41</v>
      </c>
      <c r="H120" s="24">
        <v>30697</v>
      </c>
      <c r="I120" s="277" t="s">
        <v>173</v>
      </c>
      <c r="J120" s="11" t="s">
        <v>42</v>
      </c>
      <c r="K120" s="108" t="s">
        <v>529</v>
      </c>
      <c r="N120" s="11" t="s">
        <v>95</v>
      </c>
      <c r="O120" s="11" t="s">
        <v>65</v>
      </c>
      <c r="P120" s="11" t="s">
        <v>66</v>
      </c>
      <c r="Q120" s="11" t="s">
        <v>44</v>
      </c>
      <c r="R120" s="11" t="s">
        <v>45</v>
      </c>
      <c r="S120" s="11" t="s">
        <v>45</v>
      </c>
      <c r="T120" s="11" t="s">
        <v>44</v>
      </c>
      <c r="U120" s="11" t="s">
        <v>45</v>
      </c>
      <c r="V120" s="24">
        <v>45087</v>
      </c>
      <c r="W120" s="11" t="s">
        <v>46</v>
      </c>
      <c r="X120" s="11" t="s">
        <v>97</v>
      </c>
      <c r="Y120" s="11" t="s">
        <v>97</v>
      </c>
      <c r="Z120" s="11">
        <v>81984663804</v>
      </c>
      <c r="AA120" s="11" t="s">
        <v>273</v>
      </c>
      <c r="AB120" s="11" t="s">
        <v>49</v>
      </c>
      <c r="AC120" s="11" t="s">
        <v>50</v>
      </c>
      <c r="AD120" s="11" t="b">
        <v>1</v>
      </c>
      <c r="AE120" s="11" t="s">
        <v>137</v>
      </c>
      <c r="AF120" s="11" t="s">
        <v>530</v>
      </c>
      <c r="AG120" s="11"/>
      <c r="AH120" s="11"/>
      <c r="AI120" s="11"/>
    </row>
    <row r="121" ht="12.5" spans="1:35">
      <c r="A121" s="177">
        <v>45086.8080379167</v>
      </c>
      <c r="B121" s="11" t="s">
        <v>531</v>
      </c>
      <c r="C121" s="19">
        <v>71149073462</v>
      </c>
      <c r="D121" s="19">
        <v>700004086227201</v>
      </c>
      <c r="E121" s="18" t="s">
        <v>532</v>
      </c>
      <c r="F121" s="11" t="s">
        <v>40</v>
      </c>
      <c r="G121" s="11" t="s">
        <v>41</v>
      </c>
      <c r="H121" s="24">
        <v>37609</v>
      </c>
      <c r="I121" s="277" t="s">
        <v>309</v>
      </c>
      <c r="J121" s="11" t="s">
        <v>42</v>
      </c>
      <c r="K121" s="108" t="s">
        <v>302</v>
      </c>
      <c r="N121" s="11" t="s">
        <v>43</v>
      </c>
      <c r="O121" s="11" t="s">
        <v>65</v>
      </c>
      <c r="P121" s="11" t="s">
        <v>66</v>
      </c>
      <c r="Q121" s="11" t="s">
        <v>44</v>
      </c>
      <c r="R121" s="11" t="s">
        <v>44</v>
      </c>
      <c r="S121" s="11" t="s">
        <v>44</v>
      </c>
      <c r="T121" s="11" t="s">
        <v>44</v>
      </c>
      <c r="U121" s="11" t="s">
        <v>45</v>
      </c>
      <c r="V121" s="24">
        <v>45087</v>
      </c>
      <c r="W121" s="11" t="s">
        <v>46</v>
      </c>
      <c r="X121" s="11" t="s">
        <v>203</v>
      </c>
      <c r="Y121" s="11" t="s">
        <v>58</v>
      </c>
      <c r="Z121" s="11">
        <v>81994040588</v>
      </c>
      <c r="AA121" s="11" t="s">
        <v>273</v>
      </c>
      <c r="AB121" s="11" t="s">
        <v>49</v>
      </c>
      <c r="AC121" s="11" t="s">
        <v>450</v>
      </c>
      <c r="AD121" s="11" t="b">
        <v>0</v>
      </c>
      <c r="AF121" s="11" t="s">
        <v>533</v>
      </c>
      <c r="AG121" s="75" t="s">
        <v>534</v>
      </c>
      <c r="AH121" s="11" t="s">
        <v>535</v>
      </c>
      <c r="AI121" s="11"/>
    </row>
    <row r="122" ht="12.5" spans="1:35">
      <c r="A122" s="177">
        <v>45087.3378070023</v>
      </c>
      <c r="B122" s="11" t="s">
        <v>517</v>
      </c>
      <c r="C122" s="19">
        <v>10683896482</v>
      </c>
      <c r="D122" s="19">
        <v>704300580759797</v>
      </c>
      <c r="E122" s="18" t="s">
        <v>536</v>
      </c>
      <c r="F122" s="11" t="s">
        <v>40</v>
      </c>
      <c r="G122" s="11" t="s">
        <v>54</v>
      </c>
      <c r="H122" s="24">
        <v>34825</v>
      </c>
      <c r="I122" s="277" t="s">
        <v>519</v>
      </c>
      <c r="J122" s="11" t="s">
        <v>81</v>
      </c>
      <c r="K122" s="108"/>
      <c r="L122" s="11" t="s">
        <v>520</v>
      </c>
      <c r="N122" s="11" t="s">
        <v>95</v>
      </c>
      <c r="O122" s="11" t="s">
        <v>44</v>
      </c>
      <c r="P122" s="11" t="s">
        <v>44</v>
      </c>
      <c r="Q122" s="11" t="s">
        <v>44</v>
      </c>
      <c r="R122" s="11" t="s">
        <v>45</v>
      </c>
      <c r="S122" s="11" t="s">
        <v>45</v>
      </c>
      <c r="T122" s="11" t="s">
        <v>44</v>
      </c>
      <c r="U122" s="11" t="s">
        <v>45</v>
      </c>
      <c r="V122" s="24">
        <v>45087</v>
      </c>
      <c r="W122" s="11" t="s">
        <v>46</v>
      </c>
      <c r="X122" s="11" t="s">
        <v>97</v>
      </c>
      <c r="Y122" s="11" t="s">
        <v>97</v>
      </c>
      <c r="Z122" s="11">
        <v>81984481237</v>
      </c>
      <c r="AA122" s="11" t="s">
        <v>115</v>
      </c>
      <c r="AB122" s="11" t="s">
        <v>49</v>
      </c>
      <c r="AC122" s="11" t="s">
        <v>450</v>
      </c>
      <c r="AD122" s="11" t="b">
        <v>1</v>
      </c>
      <c r="AE122" s="11" t="s">
        <v>137</v>
      </c>
      <c r="AF122" s="11" t="s">
        <v>537</v>
      </c>
      <c r="AG122" s="11" t="s">
        <v>538</v>
      </c>
      <c r="AH122" s="11"/>
      <c r="AI122" s="11"/>
    </row>
    <row r="123" ht="12.5" spans="1:35">
      <c r="A123" s="177">
        <v>45087.3701759722</v>
      </c>
      <c r="B123" s="11" t="s">
        <v>234</v>
      </c>
      <c r="C123" s="19">
        <v>70494219440</v>
      </c>
      <c r="D123" s="19">
        <v>700006505018403</v>
      </c>
      <c r="E123" s="18" t="s">
        <v>539</v>
      </c>
      <c r="F123" s="11" t="s">
        <v>40</v>
      </c>
      <c r="G123" s="11" t="s">
        <v>54</v>
      </c>
      <c r="H123" s="24">
        <v>35629</v>
      </c>
      <c r="I123" s="277" t="s">
        <v>540</v>
      </c>
      <c r="J123" s="11" t="s">
        <v>42</v>
      </c>
      <c r="K123" s="108" t="s">
        <v>202</v>
      </c>
      <c r="N123" s="11" t="s">
        <v>43</v>
      </c>
      <c r="O123" s="11" t="s">
        <v>44</v>
      </c>
      <c r="P123" s="11" t="s">
        <v>44</v>
      </c>
      <c r="Q123" s="11" t="s">
        <v>44</v>
      </c>
      <c r="R123" s="11" t="s">
        <v>45</v>
      </c>
      <c r="S123" s="11" t="s">
        <v>45</v>
      </c>
      <c r="T123" s="11" t="s">
        <v>44</v>
      </c>
      <c r="U123" s="11" t="s">
        <v>45</v>
      </c>
      <c r="V123" s="24">
        <v>45088</v>
      </c>
      <c r="W123" s="11" t="s">
        <v>46</v>
      </c>
      <c r="X123" s="11" t="s">
        <v>67</v>
      </c>
      <c r="Y123" s="11" t="s">
        <v>68</v>
      </c>
      <c r="Z123" s="11">
        <v>81989143627</v>
      </c>
      <c r="AA123" s="11" t="s">
        <v>541</v>
      </c>
      <c r="AB123" s="11" t="s">
        <v>49</v>
      </c>
      <c r="AC123" s="11" t="s">
        <v>92</v>
      </c>
      <c r="AD123" s="11" t="b">
        <v>1</v>
      </c>
      <c r="AE123" s="11" t="s">
        <v>137</v>
      </c>
      <c r="AF123" s="11" t="s">
        <v>542</v>
      </c>
      <c r="AG123" s="11" t="s">
        <v>543</v>
      </c>
      <c r="AH123" s="11"/>
      <c r="AI123" s="11"/>
    </row>
    <row r="124" ht="12.5" spans="1:35">
      <c r="A124" s="177">
        <v>45087.3878175926</v>
      </c>
      <c r="B124" s="11" t="s">
        <v>544</v>
      </c>
      <c r="C124" s="277" t="s">
        <v>545</v>
      </c>
      <c r="D124" s="19">
        <v>706003892594248</v>
      </c>
      <c r="E124" s="18" t="s">
        <v>546</v>
      </c>
      <c r="F124" s="11" t="s">
        <v>217</v>
      </c>
      <c r="G124" s="11" t="s">
        <v>41</v>
      </c>
      <c r="H124" s="24">
        <v>33030</v>
      </c>
      <c r="I124" s="19" t="s">
        <v>136</v>
      </c>
      <c r="J124" s="11" t="s">
        <v>438</v>
      </c>
      <c r="K124" s="108"/>
      <c r="M124" s="11" t="s">
        <v>547</v>
      </c>
      <c r="N124" s="11" t="s">
        <v>43</v>
      </c>
      <c r="O124" s="11" t="s">
        <v>44</v>
      </c>
      <c r="P124" s="11" t="s">
        <v>44</v>
      </c>
      <c r="Q124" s="11" t="s">
        <v>44</v>
      </c>
      <c r="R124" s="11" t="s">
        <v>45</v>
      </c>
      <c r="S124" s="11" t="s">
        <v>83</v>
      </c>
      <c r="T124" s="11" t="s">
        <v>44</v>
      </c>
      <c r="U124" s="11" t="s">
        <v>45</v>
      </c>
      <c r="V124" s="24">
        <v>45089</v>
      </c>
      <c r="W124" s="11" t="s">
        <v>46</v>
      </c>
      <c r="X124" s="11" t="s">
        <v>303</v>
      </c>
      <c r="Y124" s="11" t="s">
        <v>58</v>
      </c>
      <c r="Z124" s="11">
        <v>81987794735</v>
      </c>
      <c r="AA124" s="11" t="s">
        <v>541</v>
      </c>
      <c r="AB124" s="11" t="s">
        <v>98</v>
      </c>
      <c r="AC124" s="11"/>
      <c r="AD124" s="11" t="b">
        <v>0</v>
      </c>
      <c r="AF124" s="11" t="s">
        <v>548</v>
      </c>
      <c r="AG124" s="11" t="s">
        <v>549</v>
      </c>
      <c r="AH124" s="11" t="s">
        <v>550</v>
      </c>
      <c r="AI124" s="11"/>
    </row>
    <row r="125" ht="12.5" spans="1:35">
      <c r="A125" s="177">
        <v>45087.3933396875</v>
      </c>
      <c r="B125" s="11" t="s">
        <v>483</v>
      </c>
      <c r="C125" s="19">
        <v>7018160405</v>
      </c>
      <c r="D125" s="19">
        <v>706806240579420</v>
      </c>
      <c r="E125" s="18" t="s">
        <v>551</v>
      </c>
      <c r="F125" s="11" t="s">
        <v>40</v>
      </c>
      <c r="G125" s="11" t="s">
        <v>41</v>
      </c>
      <c r="H125" s="24">
        <v>30697</v>
      </c>
      <c r="I125" s="277" t="s">
        <v>173</v>
      </c>
      <c r="J125" s="11" t="s">
        <v>42</v>
      </c>
      <c r="K125" s="108" t="s">
        <v>529</v>
      </c>
      <c r="N125" s="11" t="s">
        <v>95</v>
      </c>
      <c r="O125" s="11" t="s">
        <v>44</v>
      </c>
      <c r="P125" s="11" t="s">
        <v>44</v>
      </c>
      <c r="Q125" s="11" t="s">
        <v>45</v>
      </c>
      <c r="R125" s="11" t="s">
        <v>45</v>
      </c>
      <c r="S125" s="11" t="s">
        <v>45</v>
      </c>
      <c r="T125" s="11" t="s">
        <v>44</v>
      </c>
      <c r="U125" s="11" t="s">
        <v>44</v>
      </c>
      <c r="W125" s="11" t="s">
        <v>46</v>
      </c>
      <c r="X125" s="11" t="s">
        <v>97</v>
      </c>
      <c r="Y125" s="11" t="s">
        <v>97</v>
      </c>
      <c r="Z125" s="11">
        <v>81984663804</v>
      </c>
      <c r="AA125" s="11" t="s">
        <v>115</v>
      </c>
      <c r="AB125" s="11"/>
      <c r="AC125" s="11"/>
      <c r="AD125" s="11" t="b">
        <v>0</v>
      </c>
      <c r="AF125" s="11"/>
      <c r="AG125" s="11"/>
      <c r="AH125" s="11"/>
      <c r="AI125" s="11"/>
    </row>
    <row r="126" ht="12.5" spans="1:35">
      <c r="A126" s="177">
        <v>45087.4015053241</v>
      </c>
      <c r="B126" s="11" t="s">
        <v>552</v>
      </c>
      <c r="C126" s="19">
        <v>9307215430</v>
      </c>
      <c r="D126" s="19">
        <v>700008726340202</v>
      </c>
      <c r="E126" s="18" t="s">
        <v>553</v>
      </c>
      <c r="F126" s="11" t="s">
        <v>225</v>
      </c>
      <c r="G126" s="11" t="s">
        <v>54</v>
      </c>
      <c r="H126" s="24">
        <v>33586</v>
      </c>
      <c r="I126" s="277" t="s">
        <v>554</v>
      </c>
      <c r="J126" s="11" t="s">
        <v>42</v>
      </c>
      <c r="K126" s="108" t="s">
        <v>90</v>
      </c>
      <c r="N126" s="11" t="s">
        <v>43</v>
      </c>
      <c r="O126" s="11" t="s">
        <v>44</v>
      </c>
      <c r="P126" s="11" t="s">
        <v>44</v>
      </c>
      <c r="Q126" s="11" t="s">
        <v>44</v>
      </c>
      <c r="R126" s="11" t="s">
        <v>45</v>
      </c>
      <c r="S126" s="11" t="s">
        <v>83</v>
      </c>
      <c r="T126" s="11" t="s">
        <v>44</v>
      </c>
      <c r="U126" s="11" t="s">
        <v>45</v>
      </c>
      <c r="V126" s="24">
        <v>45087</v>
      </c>
      <c r="W126" s="11" t="s">
        <v>46</v>
      </c>
      <c r="X126" s="11" t="s">
        <v>303</v>
      </c>
      <c r="Y126" s="11" t="s">
        <v>58</v>
      </c>
      <c r="Z126" s="11">
        <v>81997948392</v>
      </c>
      <c r="AA126" s="11" t="s">
        <v>541</v>
      </c>
      <c r="AB126" s="11" t="s">
        <v>98</v>
      </c>
      <c r="AC126" s="11"/>
      <c r="AD126" s="11" t="b">
        <v>0</v>
      </c>
      <c r="AF126" s="11" t="s">
        <v>555</v>
      </c>
      <c r="AG126" s="75" t="s">
        <v>527</v>
      </c>
      <c r="AH126" s="11"/>
      <c r="AI126" s="11"/>
    </row>
    <row r="127" ht="12.5" spans="1:35">
      <c r="A127" s="177">
        <v>45087.4276523958</v>
      </c>
      <c r="B127" s="11" t="s">
        <v>556</v>
      </c>
      <c r="C127" s="19">
        <v>11070665495</v>
      </c>
      <c r="D127" s="19">
        <v>708707109614690</v>
      </c>
      <c r="E127" s="18" t="s">
        <v>557</v>
      </c>
      <c r="F127" s="11" t="s">
        <v>40</v>
      </c>
      <c r="G127" s="11" t="s">
        <v>41</v>
      </c>
      <c r="H127" s="24">
        <v>35220</v>
      </c>
      <c r="I127" s="277" t="s">
        <v>558</v>
      </c>
      <c r="J127" s="11" t="s">
        <v>81</v>
      </c>
      <c r="K127" s="108"/>
      <c r="L127" s="11" t="s">
        <v>520</v>
      </c>
      <c r="N127" s="11" t="s">
        <v>43</v>
      </c>
      <c r="O127" s="11" t="s">
        <v>65</v>
      </c>
      <c r="P127" s="11" t="s">
        <v>66</v>
      </c>
      <c r="Q127" s="11" t="s">
        <v>44</v>
      </c>
      <c r="R127" s="11" t="s">
        <v>45</v>
      </c>
      <c r="S127" s="11" t="s">
        <v>45</v>
      </c>
      <c r="T127" s="11" t="s">
        <v>44</v>
      </c>
      <c r="U127" s="11" t="s">
        <v>45</v>
      </c>
      <c r="V127" s="24">
        <v>45088</v>
      </c>
      <c r="W127" s="11" t="s">
        <v>57</v>
      </c>
      <c r="X127" s="11" t="s">
        <v>303</v>
      </c>
      <c r="Y127" s="11" t="s">
        <v>58</v>
      </c>
      <c r="Z127" s="11">
        <v>81984510881</v>
      </c>
      <c r="AA127" s="11" t="s">
        <v>115</v>
      </c>
      <c r="AB127" s="11" t="s">
        <v>49</v>
      </c>
      <c r="AC127" s="11" t="s">
        <v>92</v>
      </c>
      <c r="AD127" s="11" t="b">
        <v>1</v>
      </c>
      <c r="AE127" s="11" t="s">
        <v>137</v>
      </c>
      <c r="AF127" s="11" t="s">
        <v>559</v>
      </c>
      <c r="AG127" s="11"/>
      <c r="AH127" s="11"/>
      <c r="AI127" s="11"/>
    </row>
    <row r="128" ht="12.5" spans="1:35">
      <c r="A128" s="177">
        <v>45087.4327293287</v>
      </c>
      <c r="B128" s="11" t="s">
        <v>517</v>
      </c>
      <c r="C128" s="19">
        <v>10683896482</v>
      </c>
      <c r="D128" s="19">
        <v>704300580759797</v>
      </c>
      <c r="E128" s="18" t="s">
        <v>560</v>
      </c>
      <c r="F128" s="11" t="s">
        <v>40</v>
      </c>
      <c r="G128" s="11" t="s">
        <v>83</v>
      </c>
      <c r="H128" s="24">
        <v>34825</v>
      </c>
      <c r="I128" s="277" t="s">
        <v>519</v>
      </c>
      <c r="J128" s="11" t="s">
        <v>42</v>
      </c>
      <c r="K128" s="108" t="s">
        <v>90</v>
      </c>
      <c r="N128" s="11" t="s">
        <v>95</v>
      </c>
      <c r="O128" s="11" t="s">
        <v>65</v>
      </c>
      <c r="P128" s="11" t="s">
        <v>66</v>
      </c>
      <c r="Q128" s="11" t="s">
        <v>44</v>
      </c>
      <c r="R128" s="11" t="s">
        <v>45</v>
      </c>
      <c r="S128" s="11" t="s">
        <v>45</v>
      </c>
      <c r="T128" s="11" t="s">
        <v>44</v>
      </c>
      <c r="U128" s="11" t="s">
        <v>45</v>
      </c>
      <c r="V128" s="24">
        <v>45088</v>
      </c>
      <c r="W128" s="11" t="s">
        <v>46</v>
      </c>
      <c r="X128" s="11" t="s">
        <v>97</v>
      </c>
      <c r="Y128" s="11" t="s">
        <v>97</v>
      </c>
      <c r="Z128" s="11">
        <v>81984481237</v>
      </c>
      <c r="AA128" s="11" t="s">
        <v>541</v>
      </c>
      <c r="AB128" s="11" t="s">
        <v>49</v>
      </c>
      <c r="AC128" s="11" t="s">
        <v>561</v>
      </c>
      <c r="AD128" s="11" t="b">
        <v>1</v>
      </c>
      <c r="AE128" s="11" t="s">
        <v>137</v>
      </c>
      <c r="AF128" s="11" t="s">
        <v>562</v>
      </c>
      <c r="AG128" s="11"/>
      <c r="AH128" s="11"/>
      <c r="AI128" s="11"/>
    </row>
    <row r="129" ht="12.5" spans="1:35">
      <c r="A129" s="177">
        <v>45087.4615863079</v>
      </c>
      <c r="B129" s="11" t="s">
        <v>195</v>
      </c>
      <c r="C129" s="19">
        <v>11046557483</v>
      </c>
      <c r="D129" s="19">
        <v>708702189579698</v>
      </c>
      <c r="E129" s="18" t="s">
        <v>563</v>
      </c>
      <c r="F129" s="11" t="s">
        <v>40</v>
      </c>
      <c r="G129" s="11" t="s">
        <v>54</v>
      </c>
      <c r="H129" s="24">
        <v>34584</v>
      </c>
      <c r="I129" s="277" t="s">
        <v>197</v>
      </c>
      <c r="J129" s="11" t="s">
        <v>42</v>
      </c>
      <c r="K129" s="108" t="s">
        <v>564</v>
      </c>
      <c r="N129" s="11" t="s">
        <v>43</v>
      </c>
      <c r="O129" s="11" t="s">
        <v>44</v>
      </c>
      <c r="P129" s="11" t="s">
        <v>44</v>
      </c>
      <c r="Q129" s="11" t="s">
        <v>44</v>
      </c>
      <c r="R129" s="11" t="s">
        <v>45</v>
      </c>
      <c r="S129" s="11" t="s">
        <v>45</v>
      </c>
      <c r="T129" s="11" t="s">
        <v>44</v>
      </c>
      <c r="U129" s="11" t="s">
        <v>44</v>
      </c>
      <c r="W129" s="11" t="s">
        <v>46</v>
      </c>
      <c r="X129" s="11" t="s">
        <v>303</v>
      </c>
      <c r="Y129" s="11" t="s">
        <v>58</v>
      </c>
      <c r="Z129" s="11">
        <v>81988225700</v>
      </c>
      <c r="AA129" s="11" t="s">
        <v>115</v>
      </c>
      <c r="AB129" s="11"/>
      <c r="AC129" s="11"/>
      <c r="AD129" s="11" t="b">
        <v>0</v>
      </c>
      <c r="AF129" s="11"/>
      <c r="AG129" s="11"/>
      <c r="AH129" s="11"/>
      <c r="AI129" s="11"/>
    </row>
    <row r="130" ht="12.5" spans="1:35">
      <c r="A130" s="177">
        <v>45087.4966359028</v>
      </c>
      <c r="B130" s="11" t="s">
        <v>565</v>
      </c>
      <c r="C130" s="19">
        <v>13333687470</v>
      </c>
      <c r="D130" s="19">
        <v>700001403748904</v>
      </c>
      <c r="E130" s="18" t="s">
        <v>566</v>
      </c>
      <c r="F130" s="11" t="s">
        <v>40</v>
      </c>
      <c r="G130" s="11" t="s">
        <v>83</v>
      </c>
      <c r="H130" s="24">
        <v>36699</v>
      </c>
      <c r="I130" s="277" t="s">
        <v>567</v>
      </c>
      <c r="J130" s="11" t="s">
        <v>42</v>
      </c>
      <c r="K130" s="108" t="s">
        <v>568</v>
      </c>
      <c r="N130" s="11" t="s">
        <v>43</v>
      </c>
      <c r="O130" s="11" t="s">
        <v>44</v>
      </c>
      <c r="P130" s="11" t="s">
        <v>44</v>
      </c>
      <c r="Q130" s="11" t="s">
        <v>44</v>
      </c>
      <c r="R130" s="11" t="s">
        <v>45</v>
      </c>
      <c r="S130" s="11" t="s">
        <v>83</v>
      </c>
      <c r="T130" s="11" t="s">
        <v>44</v>
      </c>
      <c r="U130" s="11" t="s">
        <v>45</v>
      </c>
      <c r="V130" s="24">
        <v>45088</v>
      </c>
      <c r="W130" s="11" t="s">
        <v>46</v>
      </c>
      <c r="X130" s="11" t="s">
        <v>303</v>
      </c>
      <c r="Y130" s="11" t="s">
        <v>58</v>
      </c>
      <c r="Z130" s="11">
        <v>81993362529</v>
      </c>
      <c r="AA130" s="11" t="s">
        <v>541</v>
      </c>
      <c r="AB130" s="11" t="s">
        <v>98</v>
      </c>
      <c r="AC130" s="11"/>
      <c r="AD130" s="11" t="b">
        <v>0</v>
      </c>
      <c r="AF130" s="11" t="s">
        <v>569</v>
      </c>
      <c r="AG130" s="11" t="s">
        <v>569</v>
      </c>
      <c r="AH130" s="11"/>
      <c r="AI130" s="11"/>
    </row>
    <row r="131" ht="12.5" spans="1:35">
      <c r="A131" s="177">
        <v>45087.4971983796</v>
      </c>
      <c r="B131" s="11" t="s">
        <v>442</v>
      </c>
      <c r="C131" s="19">
        <v>11202951490</v>
      </c>
      <c r="D131" s="19">
        <v>702104750775290</v>
      </c>
      <c r="E131" s="18" t="s">
        <v>570</v>
      </c>
      <c r="F131" s="11" t="s">
        <v>225</v>
      </c>
      <c r="G131" s="11" t="s">
        <v>54</v>
      </c>
      <c r="H131" s="24">
        <v>35694</v>
      </c>
      <c r="I131" s="277" t="s">
        <v>261</v>
      </c>
      <c r="J131" s="11" t="s">
        <v>42</v>
      </c>
      <c r="K131" s="108" t="s">
        <v>427</v>
      </c>
      <c r="N131" s="11" t="s">
        <v>95</v>
      </c>
      <c r="O131" s="11" t="s">
        <v>44</v>
      </c>
      <c r="P131" s="11" t="s">
        <v>56</v>
      </c>
      <c r="Q131" s="11" t="s">
        <v>44</v>
      </c>
      <c r="R131" s="11" t="s">
        <v>44</v>
      </c>
      <c r="S131" s="11" t="s">
        <v>83</v>
      </c>
      <c r="T131" s="11" t="s">
        <v>44</v>
      </c>
      <c r="U131" s="11" t="s">
        <v>45</v>
      </c>
      <c r="V131" s="24">
        <v>45089</v>
      </c>
      <c r="W131" s="11" t="s">
        <v>46</v>
      </c>
      <c r="X131" s="11" t="s">
        <v>97</v>
      </c>
      <c r="Y131" s="11" t="s">
        <v>97</v>
      </c>
      <c r="Z131" s="11">
        <v>81987252750</v>
      </c>
      <c r="AA131" s="11" t="s">
        <v>115</v>
      </c>
      <c r="AB131" s="11" t="s">
        <v>49</v>
      </c>
      <c r="AC131" s="11" t="s">
        <v>84</v>
      </c>
      <c r="AD131" s="11" t="b">
        <v>1</v>
      </c>
      <c r="AE131" s="11" t="s">
        <v>137</v>
      </c>
      <c r="AF131" s="11" t="s">
        <v>571</v>
      </c>
      <c r="AG131" s="11"/>
      <c r="AH131" s="11"/>
      <c r="AI131" s="11"/>
    </row>
    <row r="132" ht="12.5" spans="1:35">
      <c r="A132" s="177">
        <v>45087.539985</v>
      </c>
      <c r="B132" s="11" t="s">
        <v>572</v>
      </c>
      <c r="C132" s="277" t="s">
        <v>573</v>
      </c>
      <c r="D132" s="19">
        <v>705009821852659</v>
      </c>
      <c r="E132" s="18" t="s">
        <v>574</v>
      </c>
      <c r="F132" s="11" t="s">
        <v>40</v>
      </c>
      <c r="G132" s="11" t="s">
        <v>54</v>
      </c>
      <c r="H132" s="24">
        <v>30438</v>
      </c>
      <c r="I132" s="277" t="s">
        <v>567</v>
      </c>
      <c r="J132" s="11" t="s">
        <v>42</v>
      </c>
      <c r="K132" s="108" t="s">
        <v>63</v>
      </c>
      <c r="N132" s="11" t="s">
        <v>43</v>
      </c>
      <c r="O132" s="11" t="s">
        <v>44</v>
      </c>
      <c r="P132" s="11" t="s">
        <v>44</v>
      </c>
      <c r="Q132" s="11" t="s">
        <v>44</v>
      </c>
      <c r="R132" s="11" t="s">
        <v>45</v>
      </c>
      <c r="S132" s="11" t="s">
        <v>45</v>
      </c>
      <c r="T132" s="11" t="s">
        <v>44</v>
      </c>
      <c r="U132" s="11" t="s">
        <v>44</v>
      </c>
      <c r="W132" s="11" t="s">
        <v>46</v>
      </c>
      <c r="X132" s="11" t="s">
        <v>303</v>
      </c>
      <c r="Y132" s="11" t="s">
        <v>58</v>
      </c>
      <c r="Z132" s="11">
        <v>81995339781</v>
      </c>
      <c r="AA132" s="11" t="s">
        <v>115</v>
      </c>
      <c r="AB132" s="11"/>
      <c r="AC132" s="11"/>
      <c r="AD132" s="11" t="b">
        <v>0</v>
      </c>
      <c r="AF132" s="11"/>
      <c r="AG132" s="11"/>
      <c r="AH132" s="11"/>
      <c r="AI132" s="11"/>
    </row>
    <row r="133" ht="12.5" spans="1:35">
      <c r="A133" s="177">
        <v>45087.5622294907</v>
      </c>
      <c r="B133" s="11" t="s">
        <v>575</v>
      </c>
      <c r="C133" s="277" t="s">
        <v>576</v>
      </c>
      <c r="D133" s="19">
        <v>706809221854422</v>
      </c>
      <c r="E133" s="18" t="s">
        <v>577</v>
      </c>
      <c r="F133" s="11" t="s">
        <v>40</v>
      </c>
      <c r="G133" s="11" t="s">
        <v>83</v>
      </c>
      <c r="H133" s="24">
        <v>32994</v>
      </c>
      <c r="I133" s="277" t="s">
        <v>261</v>
      </c>
      <c r="J133" s="11" t="s">
        <v>42</v>
      </c>
      <c r="K133" s="108" t="s">
        <v>282</v>
      </c>
      <c r="N133" s="11" t="s">
        <v>43</v>
      </c>
      <c r="O133" s="11" t="s">
        <v>44</v>
      </c>
      <c r="P133" s="11" t="s">
        <v>44</v>
      </c>
      <c r="Q133" s="11" t="s">
        <v>44</v>
      </c>
      <c r="R133" s="11" t="s">
        <v>45</v>
      </c>
      <c r="S133" s="11" t="s">
        <v>83</v>
      </c>
      <c r="T133" s="11" t="s">
        <v>44</v>
      </c>
      <c r="U133" s="11" t="s">
        <v>45</v>
      </c>
      <c r="V133" s="24">
        <v>45088</v>
      </c>
      <c r="W133" s="11" t="s">
        <v>46</v>
      </c>
      <c r="X133" s="11" t="s">
        <v>303</v>
      </c>
      <c r="Y133" s="11" t="s">
        <v>58</v>
      </c>
      <c r="Z133" s="11">
        <v>81984049541</v>
      </c>
      <c r="AA133" s="11" t="s">
        <v>541</v>
      </c>
      <c r="AB133" s="11" t="s">
        <v>49</v>
      </c>
      <c r="AC133" s="11" t="s">
        <v>92</v>
      </c>
      <c r="AD133" s="11" t="b">
        <v>1</v>
      </c>
      <c r="AE133" s="11" t="s">
        <v>137</v>
      </c>
      <c r="AF133" s="11" t="s">
        <v>578</v>
      </c>
      <c r="AG133" s="11"/>
      <c r="AH133" s="11" t="s">
        <v>579</v>
      </c>
      <c r="AI133" s="11"/>
    </row>
    <row r="134" ht="12.5" spans="1:35">
      <c r="A134" s="203">
        <v>45087.5911474306</v>
      </c>
      <c r="B134" s="4" t="s">
        <v>363</v>
      </c>
      <c r="C134" s="17">
        <v>10989907490</v>
      </c>
      <c r="D134" s="179">
        <v>701009899857591</v>
      </c>
      <c r="E134" s="53" t="s">
        <v>580</v>
      </c>
      <c r="F134" s="11" t="s">
        <v>225</v>
      </c>
      <c r="G134" s="4" t="s">
        <v>83</v>
      </c>
      <c r="H134" s="204">
        <v>33514</v>
      </c>
      <c r="I134" s="280" t="s">
        <v>180</v>
      </c>
      <c r="J134" s="4" t="s">
        <v>42</v>
      </c>
      <c r="K134" s="206" t="s">
        <v>55</v>
      </c>
      <c r="L134" s="4"/>
      <c r="M134" s="4"/>
      <c r="N134" s="4" t="s">
        <v>43</v>
      </c>
      <c r="O134" s="4" t="s">
        <v>44</v>
      </c>
      <c r="P134" s="4" t="s">
        <v>44</v>
      </c>
      <c r="Q134" s="4" t="s">
        <v>44</v>
      </c>
      <c r="R134" s="4" t="s">
        <v>45</v>
      </c>
      <c r="S134" s="4" t="s">
        <v>45</v>
      </c>
      <c r="T134" s="4" t="s">
        <v>45</v>
      </c>
      <c r="U134" s="4" t="s">
        <v>45</v>
      </c>
      <c r="V134" s="204">
        <v>45088</v>
      </c>
      <c r="W134" s="4" t="s">
        <v>46</v>
      </c>
      <c r="X134" s="4" t="s">
        <v>303</v>
      </c>
      <c r="Y134" s="4" t="s">
        <v>58</v>
      </c>
      <c r="Z134" s="4">
        <v>81991976460</v>
      </c>
      <c r="AA134" s="4" t="s">
        <v>541</v>
      </c>
      <c r="AB134" s="4" t="s">
        <v>98</v>
      </c>
      <c r="AC134" s="4"/>
      <c r="AD134" s="4" t="b">
        <v>0</v>
      </c>
      <c r="AE134" s="4"/>
      <c r="AF134" s="4" t="s">
        <v>581</v>
      </c>
      <c r="AG134" s="4" t="s">
        <v>582</v>
      </c>
      <c r="AH134" s="4" t="s">
        <v>583</v>
      </c>
      <c r="AI134" s="11"/>
    </row>
    <row r="135" ht="12.5" spans="1:35">
      <c r="A135" s="203">
        <v>45087.7084814699</v>
      </c>
      <c r="B135" s="4" t="s">
        <v>584</v>
      </c>
      <c r="C135" s="280" t="s">
        <v>585</v>
      </c>
      <c r="D135" s="19">
        <v>700008372208705</v>
      </c>
      <c r="E135" s="53" t="s">
        <v>586</v>
      </c>
      <c r="F135" s="4" t="s">
        <v>225</v>
      </c>
      <c r="G135" s="4" t="s">
        <v>54</v>
      </c>
      <c r="H135" s="204">
        <v>33091</v>
      </c>
      <c r="I135" s="17" t="s">
        <v>448</v>
      </c>
      <c r="J135" s="4" t="s">
        <v>438</v>
      </c>
      <c r="K135" s="206"/>
      <c r="L135" s="4"/>
      <c r="M135" s="4" t="s">
        <v>587</v>
      </c>
      <c r="N135" s="4" t="s">
        <v>43</v>
      </c>
      <c r="O135" s="4" t="s">
        <v>44</v>
      </c>
      <c r="P135" s="4" t="s">
        <v>44</v>
      </c>
      <c r="Q135" s="4" t="s">
        <v>45</v>
      </c>
      <c r="R135" s="4" t="s">
        <v>45</v>
      </c>
      <c r="S135" s="4" t="s">
        <v>45</v>
      </c>
      <c r="T135" s="4" t="s">
        <v>45</v>
      </c>
      <c r="U135" s="4" t="s">
        <v>44</v>
      </c>
      <c r="V135" s="4"/>
      <c r="W135" s="4" t="s">
        <v>46</v>
      </c>
      <c r="X135" s="4" t="s">
        <v>303</v>
      </c>
      <c r="Y135" s="4" t="s">
        <v>58</v>
      </c>
      <c r="Z135" s="4">
        <v>81996378666</v>
      </c>
      <c r="AA135" s="4" t="s">
        <v>115</v>
      </c>
      <c r="AB135" s="4"/>
      <c r="AC135" s="4"/>
      <c r="AD135" s="4" t="b">
        <v>0</v>
      </c>
      <c r="AE135" s="4"/>
      <c r="AF135" s="4"/>
      <c r="AG135" s="4"/>
      <c r="AH135" s="4" t="s">
        <v>588</v>
      </c>
      <c r="AI135" s="11"/>
    </row>
    <row r="136" ht="12.5" spans="1:35">
      <c r="A136" s="177">
        <v>45087.7210477894</v>
      </c>
      <c r="B136" s="11" t="s">
        <v>387</v>
      </c>
      <c r="C136" s="277" t="s">
        <v>388</v>
      </c>
      <c r="D136" s="19">
        <v>708000898780624</v>
      </c>
      <c r="E136" s="18" t="s">
        <v>589</v>
      </c>
      <c r="F136" s="11" t="s">
        <v>40</v>
      </c>
      <c r="G136" s="11" t="s">
        <v>41</v>
      </c>
      <c r="H136" s="24">
        <v>34844</v>
      </c>
      <c r="I136" s="277" t="s">
        <v>390</v>
      </c>
      <c r="J136" s="11" t="s">
        <v>42</v>
      </c>
      <c r="K136" s="108" t="s">
        <v>428</v>
      </c>
      <c r="N136" s="11" t="s">
        <v>95</v>
      </c>
      <c r="O136" s="11" t="s">
        <v>44</v>
      </c>
      <c r="P136" s="11" t="s">
        <v>44</v>
      </c>
      <c r="Q136" s="11" t="s">
        <v>44</v>
      </c>
      <c r="R136" s="11" t="s">
        <v>45</v>
      </c>
      <c r="S136" s="11" t="s">
        <v>83</v>
      </c>
      <c r="T136" s="11" t="s">
        <v>44</v>
      </c>
      <c r="U136" s="11" t="s">
        <v>44</v>
      </c>
      <c r="W136" s="11" t="s">
        <v>46</v>
      </c>
      <c r="X136" s="11" t="s">
        <v>97</v>
      </c>
      <c r="Y136" s="11" t="s">
        <v>97</v>
      </c>
      <c r="Z136" s="11">
        <v>81985301931</v>
      </c>
      <c r="AA136" s="11" t="s">
        <v>115</v>
      </c>
      <c r="AB136" s="11"/>
      <c r="AC136" s="11"/>
      <c r="AD136" s="11" t="b">
        <v>0</v>
      </c>
      <c r="AF136" s="11"/>
      <c r="AG136" s="11"/>
      <c r="AH136" s="11"/>
      <c r="AI136" s="11"/>
    </row>
    <row r="137" ht="12.5" spans="1:35">
      <c r="A137" s="177">
        <v>45087.7266487384</v>
      </c>
      <c r="B137" s="11" t="s">
        <v>590</v>
      </c>
      <c r="C137" s="19">
        <v>71149073462</v>
      </c>
      <c r="D137" s="19">
        <v>700004086227201</v>
      </c>
      <c r="F137" s="11" t="s">
        <v>40</v>
      </c>
      <c r="G137" s="11" t="s">
        <v>83</v>
      </c>
      <c r="H137" s="24">
        <v>37609</v>
      </c>
      <c r="I137" s="277" t="s">
        <v>309</v>
      </c>
      <c r="J137" s="11" t="s">
        <v>42</v>
      </c>
      <c r="K137" s="108" t="s">
        <v>302</v>
      </c>
      <c r="N137" s="11" t="s">
        <v>95</v>
      </c>
      <c r="O137" s="11" t="s">
        <v>44</v>
      </c>
      <c r="P137" s="11" t="s">
        <v>44</v>
      </c>
      <c r="Q137" s="11" t="s">
        <v>44</v>
      </c>
      <c r="R137" s="11" t="s">
        <v>45</v>
      </c>
      <c r="S137" s="11" t="s">
        <v>45</v>
      </c>
      <c r="T137" s="11" t="s">
        <v>44</v>
      </c>
      <c r="U137" s="11" t="s">
        <v>45</v>
      </c>
      <c r="V137" s="24">
        <v>45093</v>
      </c>
      <c r="W137" s="11" t="s">
        <v>57</v>
      </c>
      <c r="X137" s="11" t="s">
        <v>97</v>
      </c>
      <c r="Y137" s="11" t="s">
        <v>97</v>
      </c>
      <c r="Z137" s="11">
        <v>81991724644</v>
      </c>
      <c r="AA137" s="11" t="s">
        <v>541</v>
      </c>
      <c r="AB137" s="11" t="s">
        <v>98</v>
      </c>
      <c r="AC137" s="11"/>
      <c r="AD137" s="11" t="b">
        <v>0</v>
      </c>
      <c r="AF137" s="11" t="s">
        <v>591</v>
      </c>
      <c r="AG137" s="11" t="s">
        <v>592</v>
      </c>
      <c r="AH137" s="11" t="s">
        <v>593</v>
      </c>
      <c r="AI137" s="11"/>
    </row>
    <row r="138" ht="12.5" spans="1:35">
      <c r="A138" s="177">
        <v>45087.7366850347</v>
      </c>
      <c r="B138" s="11" t="s">
        <v>430</v>
      </c>
      <c r="C138" s="277" t="s">
        <v>431</v>
      </c>
      <c r="D138" s="19">
        <v>705603421725012</v>
      </c>
      <c r="F138" s="11" t="s">
        <v>225</v>
      </c>
      <c r="G138" s="11" t="s">
        <v>54</v>
      </c>
      <c r="H138" s="24">
        <v>31316</v>
      </c>
      <c r="I138" s="277" t="s">
        <v>433</v>
      </c>
      <c r="J138" s="11" t="s">
        <v>42</v>
      </c>
      <c r="K138" s="108" t="s">
        <v>227</v>
      </c>
      <c r="N138" s="11" t="s">
        <v>95</v>
      </c>
      <c r="O138" s="11" t="s">
        <v>44</v>
      </c>
      <c r="P138" s="11" t="s">
        <v>56</v>
      </c>
      <c r="Q138" s="11" t="s">
        <v>44</v>
      </c>
      <c r="R138" s="11" t="s">
        <v>45</v>
      </c>
      <c r="S138" s="11" t="s">
        <v>45</v>
      </c>
      <c r="T138" s="11" t="s">
        <v>44</v>
      </c>
      <c r="U138" s="11" t="s">
        <v>45</v>
      </c>
      <c r="V138" s="24">
        <v>45089</v>
      </c>
      <c r="W138" s="11" t="s">
        <v>57</v>
      </c>
      <c r="X138" s="11" t="s">
        <v>97</v>
      </c>
      <c r="Y138" s="11" t="s">
        <v>97</v>
      </c>
      <c r="Z138" s="11">
        <v>81989075471</v>
      </c>
      <c r="AA138" s="11" t="s">
        <v>115</v>
      </c>
      <c r="AB138" s="11" t="s">
        <v>98</v>
      </c>
      <c r="AC138" s="11"/>
      <c r="AD138" s="11" t="b">
        <v>0</v>
      </c>
      <c r="AF138" s="11" t="s">
        <v>594</v>
      </c>
      <c r="AG138" s="11" t="s">
        <v>595</v>
      </c>
      <c r="AH138" s="11"/>
      <c r="AI138" s="11"/>
    </row>
    <row r="139" ht="12.5" spans="1:35">
      <c r="A139" s="177">
        <v>45087.7514067245</v>
      </c>
      <c r="B139" s="11" t="s">
        <v>446</v>
      </c>
      <c r="C139" s="19">
        <v>4182489314</v>
      </c>
      <c r="D139" s="19">
        <v>701806212560272</v>
      </c>
      <c r="F139" s="11" t="s">
        <v>225</v>
      </c>
      <c r="G139" s="11" t="s">
        <v>83</v>
      </c>
      <c r="H139" s="24">
        <v>33967</v>
      </c>
      <c r="I139" s="277" t="s">
        <v>596</v>
      </c>
      <c r="J139" s="11" t="s">
        <v>42</v>
      </c>
      <c r="K139" s="108" t="s">
        <v>74</v>
      </c>
      <c r="N139" s="11" t="s">
        <v>95</v>
      </c>
      <c r="O139" s="11" t="s">
        <v>96</v>
      </c>
      <c r="P139" s="11" t="s">
        <v>56</v>
      </c>
      <c r="Q139" s="11" t="s">
        <v>44</v>
      </c>
      <c r="R139" s="11" t="s">
        <v>45</v>
      </c>
      <c r="S139" s="11" t="s">
        <v>83</v>
      </c>
      <c r="T139" s="11" t="s">
        <v>44</v>
      </c>
      <c r="U139" s="11" t="s">
        <v>45</v>
      </c>
      <c r="V139" s="24">
        <v>45090</v>
      </c>
      <c r="W139" s="11" t="s">
        <v>57</v>
      </c>
      <c r="X139" s="11" t="s">
        <v>97</v>
      </c>
      <c r="Y139" s="11" t="s">
        <v>97</v>
      </c>
      <c r="Z139" s="11">
        <v>81986669422</v>
      </c>
      <c r="AA139" s="11" t="s">
        <v>541</v>
      </c>
      <c r="AB139" s="11" t="s">
        <v>98</v>
      </c>
      <c r="AC139" s="11"/>
      <c r="AD139" s="11" t="b">
        <v>0</v>
      </c>
      <c r="AF139" s="11" t="s">
        <v>597</v>
      </c>
      <c r="AG139" s="11" t="s">
        <v>598</v>
      </c>
      <c r="AH139" s="11"/>
      <c r="AI139" s="11"/>
    </row>
    <row r="140" ht="12.5" spans="1:35">
      <c r="A140" s="177">
        <v>45087.7928971759</v>
      </c>
      <c r="B140" s="11" t="s">
        <v>599</v>
      </c>
      <c r="C140" s="19">
        <v>70266535470</v>
      </c>
      <c r="D140" s="19">
        <v>704803055421841</v>
      </c>
      <c r="E140" s="18" t="s">
        <v>600</v>
      </c>
      <c r="F140" s="11" t="s">
        <v>40</v>
      </c>
      <c r="G140" s="11" t="s">
        <v>54</v>
      </c>
      <c r="H140" s="24">
        <v>35690</v>
      </c>
      <c r="I140" s="277" t="s">
        <v>554</v>
      </c>
      <c r="J140" s="11" t="s">
        <v>42</v>
      </c>
      <c r="K140" s="108" t="s">
        <v>74</v>
      </c>
      <c r="N140" s="11" t="s">
        <v>43</v>
      </c>
      <c r="O140" s="11" t="s">
        <v>96</v>
      </c>
      <c r="P140" s="11" t="s">
        <v>66</v>
      </c>
      <c r="Q140" s="11" t="s">
        <v>44</v>
      </c>
      <c r="R140" s="11" t="s">
        <v>45</v>
      </c>
      <c r="S140" s="11" t="s">
        <v>45</v>
      </c>
      <c r="T140" s="11" t="s">
        <v>44</v>
      </c>
      <c r="U140" s="11" t="s">
        <v>45</v>
      </c>
      <c r="V140" s="24">
        <v>45089</v>
      </c>
      <c r="W140" s="11" t="s">
        <v>46</v>
      </c>
      <c r="X140" s="11" t="s">
        <v>303</v>
      </c>
      <c r="Y140" s="11" t="s">
        <v>58</v>
      </c>
      <c r="Z140" s="11">
        <v>81983900304</v>
      </c>
      <c r="AA140" s="11" t="s">
        <v>115</v>
      </c>
      <c r="AB140" s="11" t="s">
        <v>49</v>
      </c>
      <c r="AC140" s="11" t="s">
        <v>256</v>
      </c>
      <c r="AD140" s="11" t="b">
        <v>0</v>
      </c>
      <c r="AF140" s="11" t="s">
        <v>601</v>
      </c>
      <c r="AG140" s="11" t="s">
        <v>602</v>
      </c>
      <c r="AH140" s="11"/>
      <c r="AI140" s="11"/>
    </row>
    <row r="141" ht="12.5" spans="1:35">
      <c r="A141" s="177">
        <v>45088.3581162963</v>
      </c>
      <c r="B141" s="11" t="s">
        <v>603</v>
      </c>
      <c r="C141" s="19">
        <v>12681650429</v>
      </c>
      <c r="D141" s="19">
        <v>700004797843807</v>
      </c>
      <c r="E141" s="18" t="s">
        <v>604</v>
      </c>
      <c r="F141" s="11" t="s">
        <v>225</v>
      </c>
      <c r="G141" s="11" t="s">
        <v>54</v>
      </c>
      <c r="H141" s="24">
        <v>36744</v>
      </c>
      <c r="I141" s="277" t="s">
        <v>605</v>
      </c>
      <c r="J141" s="11" t="s">
        <v>42</v>
      </c>
      <c r="K141" s="108" t="s">
        <v>302</v>
      </c>
      <c r="N141" s="11" t="s">
        <v>43</v>
      </c>
      <c r="O141" s="11" t="s">
        <v>96</v>
      </c>
      <c r="P141" s="11" t="s">
        <v>66</v>
      </c>
      <c r="Q141" s="11" t="s">
        <v>44</v>
      </c>
      <c r="R141" s="11" t="s">
        <v>45</v>
      </c>
      <c r="S141" s="11" t="s">
        <v>83</v>
      </c>
      <c r="T141" s="11" t="s">
        <v>44</v>
      </c>
      <c r="U141" s="11" t="s">
        <v>45</v>
      </c>
      <c r="V141" s="24">
        <v>45089</v>
      </c>
      <c r="W141" s="11" t="s">
        <v>46</v>
      </c>
      <c r="X141" s="11" t="s">
        <v>156</v>
      </c>
      <c r="Y141" s="11" t="s">
        <v>58</v>
      </c>
      <c r="Z141" s="11">
        <v>81979150436</v>
      </c>
      <c r="AA141" s="11" t="s">
        <v>91</v>
      </c>
      <c r="AB141" s="11" t="s">
        <v>98</v>
      </c>
      <c r="AC141" s="11"/>
      <c r="AD141" s="11" t="b">
        <v>0</v>
      </c>
      <c r="AF141" s="11" t="s">
        <v>606</v>
      </c>
      <c r="AG141" s="11" t="s">
        <v>607</v>
      </c>
      <c r="AH141" s="11"/>
      <c r="AI141" s="11"/>
    </row>
    <row r="142" ht="12.5" spans="1:35">
      <c r="A142" s="177">
        <v>45088.4053418403</v>
      </c>
      <c r="B142" s="11" t="s">
        <v>556</v>
      </c>
      <c r="C142" s="19">
        <v>11070665495</v>
      </c>
      <c r="D142" s="19">
        <v>708707109614690</v>
      </c>
      <c r="E142" s="18" t="s">
        <v>608</v>
      </c>
      <c r="F142" s="11" t="s">
        <v>40</v>
      </c>
      <c r="G142" s="11" t="s">
        <v>54</v>
      </c>
      <c r="H142" s="24">
        <v>35220</v>
      </c>
      <c r="I142" s="19" t="s">
        <v>609</v>
      </c>
      <c r="J142" s="11" t="s">
        <v>81</v>
      </c>
      <c r="K142" s="108"/>
      <c r="L142" s="11" t="s">
        <v>520</v>
      </c>
      <c r="N142" s="11" t="s">
        <v>95</v>
      </c>
      <c r="O142" s="11" t="s">
        <v>65</v>
      </c>
      <c r="P142" s="11" t="s">
        <v>66</v>
      </c>
      <c r="Q142" s="11" t="s">
        <v>44</v>
      </c>
      <c r="R142" s="11" t="s">
        <v>45</v>
      </c>
      <c r="S142" s="11" t="s">
        <v>45</v>
      </c>
      <c r="T142" s="11" t="s">
        <v>44</v>
      </c>
      <c r="U142" s="11" t="s">
        <v>45</v>
      </c>
      <c r="V142" s="24">
        <v>45088</v>
      </c>
      <c r="W142" s="11" t="s">
        <v>57</v>
      </c>
      <c r="X142" s="11" t="s">
        <v>97</v>
      </c>
      <c r="Y142" s="11" t="s">
        <v>97</v>
      </c>
      <c r="Z142" s="11">
        <v>81984510881</v>
      </c>
      <c r="AA142" s="11" t="s">
        <v>91</v>
      </c>
      <c r="AB142" s="11" t="s">
        <v>49</v>
      </c>
      <c r="AC142" s="11" t="s">
        <v>92</v>
      </c>
      <c r="AD142" s="11" t="b">
        <v>1</v>
      </c>
      <c r="AE142" s="11" t="s">
        <v>137</v>
      </c>
      <c r="AF142" s="11" t="s">
        <v>610</v>
      </c>
      <c r="AG142" s="11" t="s">
        <v>611</v>
      </c>
      <c r="AH142" s="11"/>
      <c r="AI142" s="11"/>
    </row>
    <row r="143" ht="12.5" spans="1:35">
      <c r="A143" s="177">
        <v>45088.4201191435</v>
      </c>
      <c r="B143" s="11" t="s">
        <v>517</v>
      </c>
      <c r="C143" s="19">
        <v>10683896482</v>
      </c>
      <c r="D143" s="19">
        <v>704300580759797</v>
      </c>
      <c r="E143" s="18" t="s">
        <v>612</v>
      </c>
      <c r="F143" s="11" t="s">
        <v>40</v>
      </c>
      <c r="G143" s="11" t="s">
        <v>54</v>
      </c>
      <c r="H143" s="24">
        <v>34825</v>
      </c>
      <c r="I143" s="277" t="s">
        <v>519</v>
      </c>
      <c r="J143" s="11" t="s">
        <v>42</v>
      </c>
      <c r="K143" s="108" t="s">
        <v>90</v>
      </c>
      <c r="N143" s="11" t="s">
        <v>95</v>
      </c>
      <c r="O143" s="11" t="s">
        <v>44</v>
      </c>
      <c r="P143" s="11" t="s">
        <v>44</v>
      </c>
      <c r="Q143" s="11" t="s">
        <v>44</v>
      </c>
      <c r="R143" s="11" t="s">
        <v>45</v>
      </c>
      <c r="S143" s="11" t="s">
        <v>45</v>
      </c>
      <c r="T143" s="11" t="s">
        <v>44</v>
      </c>
      <c r="U143" s="11" t="s">
        <v>45</v>
      </c>
      <c r="V143" s="24">
        <v>45093</v>
      </c>
      <c r="W143" s="11" t="s">
        <v>46</v>
      </c>
      <c r="X143" s="11" t="s">
        <v>97</v>
      </c>
      <c r="Y143" s="11" t="s">
        <v>97</v>
      </c>
      <c r="Z143" s="11">
        <v>81993362529</v>
      </c>
      <c r="AA143" s="11" t="s">
        <v>381</v>
      </c>
      <c r="AB143" s="11" t="s">
        <v>98</v>
      </c>
      <c r="AC143" s="11"/>
      <c r="AD143" s="11" t="b">
        <v>0</v>
      </c>
      <c r="AF143" s="11" t="s">
        <v>613</v>
      </c>
      <c r="AG143" s="11" t="s">
        <v>614</v>
      </c>
      <c r="AH143" s="11"/>
      <c r="AI143" s="11"/>
    </row>
    <row r="144" ht="13" spans="1:37">
      <c r="A144" s="208">
        <v>45088.4902402199</v>
      </c>
      <c r="B144" s="63" t="s">
        <v>615</v>
      </c>
      <c r="C144" s="209">
        <v>12312110407</v>
      </c>
      <c r="D144" s="19">
        <v>706401675238685</v>
      </c>
      <c r="E144" s="210" t="s">
        <v>616</v>
      </c>
      <c r="F144" s="63" t="s">
        <v>40</v>
      </c>
      <c r="G144" s="63" t="s">
        <v>54</v>
      </c>
      <c r="H144" s="129">
        <v>34881</v>
      </c>
      <c r="I144" s="209" t="s">
        <v>252</v>
      </c>
      <c r="J144" s="63" t="s">
        <v>81</v>
      </c>
      <c r="K144" s="213"/>
      <c r="L144" s="63" t="s">
        <v>520</v>
      </c>
      <c r="M144" s="63"/>
      <c r="N144" s="63" t="s">
        <v>43</v>
      </c>
      <c r="O144" s="63" t="s">
        <v>65</v>
      </c>
      <c r="P144" s="63" t="s">
        <v>66</v>
      </c>
      <c r="Q144" s="63" t="s">
        <v>44</v>
      </c>
      <c r="R144" s="63" t="s">
        <v>45</v>
      </c>
      <c r="S144" s="63" t="s">
        <v>44</v>
      </c>
      <c r="T144" s="63" t="s">
        <v>44</v>
      </c>
      <c r="U144" s="63" t="s">
        <v>45</v>
      </c>
      <c r="V144" s="129">
        <v>45088</v>
      </c>
      <c r="W144" s="63" t="s">
        <v>46</v>
      </c>
      <c r="X144" s="63" t="s">
        <v>303</v>
      </c>
      <c r="Y144" s="63" t="s">
        <v>58</v>
      </c>
      <c r="Z144" s="63">
        <v>81999475931</v>
      </c>
      <c r="AA144" s="63" t="s">
        <v>381</v>
      </c>
      <c r="AB144" s="63" t="s">
        <v>49</v>
      </c>
      <c r="AC144" s="63" t="s">
        <v>561</v>
      </c>
      <c r="AD144" s="63" t="b">
        <v>1</v>
      </c>
      <c r="AE144" s="63" t="s">
        <v>137</v>
      </c>
      <c r="AF144" s="63" t="s">
        <v>617</v>
      </c>
      <c r="AG144" s="63"/>
      <c r="AH144" s="215" t="s">
        <v>618</v>
      </c>
      <c r="AI144" s="63"/>
      <c r="AJ144" s="63"/>
      <c r="AK144" s="63"/>
    </row>
    <row r="145" ht="12.5" spans="1:35">
      <c r="A145" s="177">
        <v>45088.5236085301</v>
      </c>
      <c r="B145" s="11" t="s">
        <v>575</v>
      </c>
      <c r="C145" s="277" t="s">
        <v>576</v>
      </c>
      <c r="D145" s="19">
        <v>706809221854422</v>
      </c>
      <c r="E145" s="18" t="s">
        <v>619</v>
      </c>
      <c r="F145" s="11" t="s">
        <v>40</v>
      </c>
      <c r="G145" s="11" t="s">
        <v>54</v>
      </c>
      <c r="H145" s="24">
        <v>32994</v>
      </c>
      <c r="I145" s="277" t="s">
        <v>620</v>
      </c>
      <c r="J145" s="11" t="s">
        <v>42</v>
      </c>
      <c r="K145" s="108" t="s">
        <v>282</v>
      </c>
      <c r="N145" s="11" t="s">
        <v>95</v>
      </c>
      <c r="O145" s="11" t="s">
        <v>65</v>
      </c>
      <c r="P145" s="11" t="s">
        <v>66</v>
      </c>
      <c r="Q145" s="11" t="s">
        <v>44</v>
      </c>
      <c r="R145" s="11" t="s">
        <v>45</v>
      </c>
      <c r="S145" s="11" t="s">
        <v>83</v>
      </c>
      <c r="T145" s="11" t="s">
        <v>44</v>
      </c>
      <c r="U145" s="11" t="s">
        <v>45</v>
      </c>
      <c r="V145" s="24">
        <v>45089</v>
      </c>
      <c r="W145" s="11" t="s">
        <v>46</v>
      </c>
      <c r="X145" s="11" t="s">
        <v>97</v>
      </c>
      <c r="Y145" s="11" t="s">
        <v>97</v>
      </c>
      <c r="Z145" s="11">
        <v>81984049541</v>
      </c>
      <c r="AA145" s="11" t="s">
        <v>91</v>
      </c>
      <c r="AB145" s="11" t="s">
        <v>49</v>
      </c>
      <c r="AC145" s="11" t="s">
        <v>256</v>
      </c>
      <c r="AD145" s="11" t="b">
        <v>1</v>
      </c>
      <c r="AE145" s="11" t="s">
        <v>137</v>
      </c>
      <c r="AF145" s="11" t="s">
        <v>621</v>
      </c>
      <c r="AG145" s="11"/>
      <c r="AH145" s="11"/>
      <c r="AI145" s="11"/>
    </row>
    <row r="146" ht="12.5" spans="1:35">
      <c r="A146" s="177">
        <v>45088.534842581</v>
      </c>
      <c r="B146" s="11" t="s">
        <v>622</v>
      </c>
      <c r="C146" s="277" t="s">
        <v>623</v>
      </c>
      <c r="D146" s="179">
        <v>708603077751784</v>
      </c>
      <c r="E146" s="18" t="s">
        <v>624</v>
      </c>
      <c r="F146" s="11" t="s">
        <v>40</v>
      </c>
      <c r="G146" s="11" t="s">
        <v>88</v>
      </c>
      <c r="H146" s="24">
        <v>35851</v>
      </c>
      <c r="I146" s="19" t="s">
        <v>252</v>
      </c>
      <c r="J146" s="11" t="s">
        <v>42</v>
      </c>
      <c r="K146" s="108" t="s">
        <v>625</v>
      </c>
      <c r="N146" s="11" t="s">
        <v>43</v>
      </c>
      <c r="O146" s="11" t="s">
        <v>44</v>
      </c>
      <c r="P146" s="11" t="s">
        <v>44</v>
      </c>
      <c r="Q146" s="11" t="s">
        <v>44</v>
      </c>
      <c r="R146" s="11" t="s">
        <v>45</v>
      </c>
      <c r="S146" s="11" t="s">
        <v>44</v>
      </c>
      <c r="T146" s="11" t="s">
        <v>44</v>
      </c>
      <c r="U146" s="11" t="s">
        <v>45</v>
      </c>
      <c r="V146" s="24">
        <v>45104</v>
      </c>
      <c r="W146" s="11" t="s">
        <v>46</v>
      </c>
      <c r="X146" s="11" t="s">
        <v>303</v>
      </c>
      <c r="Y146" s="11" t="s">
        <v>68</v>
      </c>
      <c r="Z146" s="11">
        <v>81995176967</v>
      </c>
      <c r="AA146" s="11" t="s">
        <v>381</v>
      </c>
      <c r="AB146" s="11" t="s">
        <v>98</v>
      </c>
      <c r="AC146" s="11"/>
      <c r="AD146" s="11" t="b">
        <v>0</v>
      </c>
      <c r="AF146" s="11" t="s">
        <v>626</v>
      </c>
      <c r="AG146" s="11" t="s">
        <v>627</v>
      </c>
      <c r="AH146" s="11"/>
      <c r="AI146" s="11"/>
    </row>
    <row r="147" ht="12.5" spans="1:35">
      <c r="A147" s="177">
        <v>45088.6041608565</v>
      </c>
      <c r="B147" s="11" t="s">
        <v>234</v>
      </c>
      <c r="C147" s="19">
        <v>70494219440</v>
      </c>
      <c r="D147" s="19">
        <v>700006505018403</v>
      </c>
      <c r="E147" s="18" t="s">
        <v>628</v>
      </c>
      <c r="F147" s="11" t="s">
        <v>40</v>
      </c>
      <c r="G147" s="11" t="s">
        <v>54</v>
      </c>
      <c r="H147" s="24">
        <v>35629</v>
      </c>
      <c r="I147" s="277" t="s">
        <v>629</v>
      </c>
      <c r="J147" s="11" t="s">
        <v>42</v>
      </c>
      <c r="K147" s="108" t="s">
        <v>282</v>
      </c>
      <c r="N147" s="11" t="s">
        <v>95</v>
      </c>
      <c r="O147" s="11" t="s">
        <v>44</v>
      </c>
      <c r="P147" s="11" t="s">
        <v>44</v>
      </c>
      <c r="Q147" s="11" t="s">
        <v>44</v>
      </c>
      <c r="R147" s="11" t="s">
        <v>45</v>
      </c>
      <c r="S147" s="11" t="s">
        <v>83</v>
      </c>
      <c r="T147" s="11" t="s">
        <v>44</v>
      </c>
      <c r="U147" s="11" t="s">
        <v>44</v>
      </c>
      <c r="W147" s="11" t="s">
        <v>46</v>
      </c>
      <c r="X147" s="11" t="s">
        <v>97</v>
      </c>
      <c r="Y147" s="11" t="s">
        <v>97</v>
      </c>
      <c r="Z147" s="11">
        <v>81989143627</v>
      </c>
      <c r="AA147" s="11" t="s">
        <v>91</v>
      </c>
      <c r="AB147" s="11"/>
      <c r="AC147" s="11"/>
      <c r="AD147" s="11" t="b">
        <v>0</v>
      </c>
      <c r="AF147" s="11"/>
      <c r="AG147" s="11"/>
      <c r="AH147" s="11"/>
      <c r="AI147" s="11"/>
    </row>
    <row r="148" ht="12.5" spans="1:35">
      <c r="A148" s="177">
        <v>45088.7285403935</v>
      </c>
      <c r="B148" s="11" t="s">
        <v>556</v>
      </c>
      <c r="C148" s="19">
        <v>11070665495</v>
      </c>
      <c r="D148" s="19">
        <v>708707109614690</v>
      </c>
      <c r="F148" s="11" t="s">
        <v>40</v>
      </c>
      <c r="G148" s="11" t="s">
        <v>54</v>
      </c>
      <c r="H148" s="24">
        <v>35220</v>
      </c>
      <c r="I148" s="19" t="s">
        <v>609</v>
      </c>
      <c r="J148" s="11" t="s">
        <v>81</v>
      </c>
      <c r="K148" s="108"/>
      <c r="L148" s="11" t="s">
        <v>520</v>
      </c>
      <c r="N148" s="11" t="s">
        <v>95</v>
      </c>
      <c r="O148" s="11" t="s">
        <v>127</v>
      </c>
      <c r="P148" s="11" t="s">
        <v>44</v>
      </c>
      <c r="Q148" s="11" t="s">
        <v>44</v>
      </c>
      <c r="R148" s="11" t="s">
        <v>45</v>
      </c>
      <c r="S148" s="11" t="s">
        <v>45</v>
      </c>
      <c r="T148" s="11" t="s">
        <v>44</v>
      </c>
      <c r="U148" s="11" t="s">
        <v>45</v>
      </c>
      <c r="V148" s="24">
        <v>45089</v>
      </c>
      <c r="W148" s="11" t="s">
        <v>57</v>
      </c>
      <c r="X148" s="11" t="s">
        <v>97</v>
      </c>
      <c r="Y148" s="11" t="s">
        <v>97</v>
      </c>
      <c r="Z148" s="11">
        <v>81984510881</v>
      </c>
      <c r="AA148" s="11" t="s">
        <v>91</v>
      </c>
      <c r="AB148" s="11" t="s">
        <v>98</v>
      </c>
      <c r="AC148" s="11"/>
      <c r="AD148" s="11" t="b">
        <v>0</v>
      </c>
      <c r="AF148" s="11" t="s">
        <v>630</v>
      </c>
      <c r="AG148" s="11" t="s">
        <v>631</v>
      </c>
      <c r="AH148" s="11" t="s">
        <v>632</v>
      </c>
      <c r="AI148" s="11"/>
    </row>
    <row r="149" ht="12.5" spans="1:35">
      <c r="A149" s="177">
        <v>45088.7906766898</v>
      </c>
      <c r="B149" s="11" t="s">
        <v>633</v>
      </c>
      <c r="C149" s="277" t="s">
        <v>634</v>
      </c>
      <c r="D149" s="19">
        <v>706703518432319</v>
      </c>
      <c r="E149" s="18" t="s">
        <v>635</v>
      </c>
      <c r="F149" s="11" t="s">
        <v>40</v>
      </c>
      <c r="G149" s="11" t="s">
        <v>83</v>
      </c>
      <c r="H149" s="24">
        <v>35840</v>
      </c>
      <c r="I149" s="277" t="s">
        <v>636</v>
      </c>
      <c r="J149" s="11" t="s">
        <v>42</v>
      </c>
      <c r="K149" s="108" t="s">
        <v>637</v>
      </c>
      <c r="N149" s="11" t="s">
        <v>43</v>
      </c>
      <c r="O149" s="11" t="s">
        <v>44</v>
      </c>
      <c r="P149" s="11" t="s">
        <v>44</v>
      </c>
      <c r="Q149" s="11" t="s">
        <v>44</v>
      </c>
      <c r="R149" s="11" t="s">
        <v>44</v>
      </c>
      <c r="S149" s="11" t="s">
        <v>44</v>
      </c>
      <c r="T149" s="11" t="s">
        <v>44</v>
      </c>
      <c r="U149" s="11" t="s">
        <v>44</v>
      </c>
      <c r="W149" s="11" t="s">
        <v>46</v>
      </c>
      <c r="X149" s="11" t="s">
        <v>303</v>
      </c>
      <c r="Y149" s="11" t="s">
        <v>58</v>
      </c>
      <c r="Z149" s="11">
        <v>81999504585</v>
      </c>
      <c r="AA149" s="11" t="s">
        <v>381</v>
      </c>
      <c r="AB149" s="11"/>
      <c r="AC149" s="11"/>
      <c r="AD149" s="11" t="b">
        <v>0</v>
      </c>
      <c r="AF149" s="11"/>
      <c r="AG149" s="11"/>
      <c r="AH149" s="11"/>
      <c r="AI149" s="11"/>
    </row>
    <row r="150" ht="12.5" spans="1:35">
      <c r="A150" s="177">
        <v>45089.3917474653</v>
      </c>
      <c r="B150" s="11" t="s">
        <v>442</v>
      </c>
      <c r="C150" s="19">
        <v>11202951490</v>
      </c>
      <c r="D150" s="19">
        <v>702104750775290</v>
      </c>
      <c r="E150" s="18" t="s">
        <v>638</v>
      </c>
      <c r="F150" s="11" t="s">
        <v>225</v>
      </c>
      <c r="G150" s="11" t="s">
        <v>54</v>
      </c>
      <c r="H150" s="24">
        <v>35632</v>
      </c>
      <c r="I150" s="277" t="s">
        <v>261</v>
      </c>
      <c r="J150" s="11" t="s">
        <v>42</v>
      </c>
      <c r="K150" s="108" t="s">
        <v>427</v>
      </c>
      <c r="N150" s="11" t="s">
        <v>95</v>
      </c>
      <c r="O150" s="11" t="s">
        <v>44</v>
      </c>
      <c r="P150" s="11" t="s">
        <v>44</v>
      </c>
      <c r="Q150" s="11" t="s">
        <v>44</v>
      </c>
      <c r="R150" s="11" t="s">
        <v>45</v>
      </c>
      <c r="S150" s="11" t="s">
        <v>83</v>
      </c>
      <c r="T150" s="11" t="s">
        <v>44</v>
      </c>
      <c r="U150" s="11" t="s">
        <v>44</v>
      </c>
      <c r="W150" s="11" t="s">
        <v>46</v>
      </c>
      <c r="X150" s="11" t="s">
        <v>97</v>
      </c>
      <c r="Y150" s="11" t="s">
        <v>97</v>
      </c>
      <c r="Z150" s="11">
        <v>81987252750</v>
      </c>
      <c r="AA150" s="11" t="s">
        <v>105</v>
      </c>
      <c r="AB150" s="11"/>
      <c r="AC150" s="11"/>
      <c r="AD150" s="11" t="b">
        <v>0</v>
      </c>
      <c r="AF150" s="11"/>
      <c r="AG150" s="11"/>
      <c r="AH150" s="11"/>
      <c r="AI150" s="11"/>
    </row>
    <row r="151" ht="12.5" spans="1:35">
      <c r="A151" s="177">
        <v>45089.4222875116</v>
      </c>
      <c r="B151" s="11" t="s">
        <v>639</v>
      </c>
      <c r="C151" s="277" t="s">
        <v>640</v>
      </c>
      <c r="D151" s="19">
        <v>701408677522831</v>
      </c>
      <c r="E151" s="18" t="s">
        <v>641</v>
      </c>
      <c r="F151" s="11" t="s">
        <v>225</v>
      </c>
      <c r="G151" s="11" t="s">
        <v>54</v>
      </c>
      <c r="H151" s="24">
        <v>29469</v>
      </c>
      <c r="I151" s="277" t="s">
        <v>642</v>
      </c>
      <c r="J151" s="11" t="s">
        <v>42</v>
      </c>
      <c r="K151" s="108" t="s">
        <v>149</v>
      </c>
      <c r="N151" s="11" t="s">
        <v>43</v>
      </c>
      <c r="O151" s="11" t="s">
        <v>44</v>
      </c>
      <c r="P151" s="11" t="s">
        <v>44</v>
      </c>
      <c r="Q151" s="11" t="s">
        <v>44</v>
      </c>
      <c r="R151" s="11" t="s">
        <v>45</v>
      </c>
      <c r="S151" s="11" t="s">
        <v>45</v>
      </c>
      <c r="T151" s="11" t="s">
        <v>44</v>
      </c>
      <c r="U151" s="11" t="s">
        <v>45</v>
      </c>
      <c r="V151" s="24">
        <v>45090</v>
      </c>
      <c r="W151" s="11" t="s">
        <v>57</v>
      </c>
      <c r="X151" s="11" t="s">
        <v>47</v>
      </c>
      <c r="Y151" s="11" t="s">
        <v>58</v>
      </c>
      <c r="Z151" s="11">
        <v>81984527273</v>
      </c>
      <c r="AA151" s="11" t="s">
        <v>105</v>
      </c>
      <c r="AB151" s="11" t="s">
        <v>49</v>
      </c>
      <c r="AC151" s="11" t="s">
        <v>106</v>
      </c>
      <c r="AD151" s="11" t="b">
        <v>1</v>
      </c>
      <c r="AE151" s="11" t="s">
        <v>137</v>
      </c>
      <c r="AF151" s="11" t="s">
        <v>643</v>
      </c>
      <c r="AG151" s="11"/>
      <c r="AH151" s="11"/>
      <c r="AI151" s="11"/>
    </row>
    <row r="152" ht="12.5" spans="1:35">
      <c r="A152" s="177">
        <v>45089.440734919</v>
      </c>
      <c r="B152" s="11" t="s">
        <v>487</v>
      </c>
      <c r="C152" s="19">
        <v>11477468420</v>
      </c>
      <c r="D152" s="19">
        <v>704804584865841</v>
      </c>
      <c r="E152" s="18" t="s">
        <v>644</v>
      </c>
      <c r="F152" s="11" t="s">
        <v>40</v>
      </c>
      <c r="G152" s="11" t="s">
        <v>54</v>
      </c>
      <c r="H152" s="24">
        <v>35585</v>
      </c>
      <c r="I152" s="277" t="s">
        <v>645</v>
      </c>
      <c r="J152" s="11" t="s">
        <v>42</v>
      </c>
      <c r="K152" s="108" t="s">
        <v>646</v>
      </c>
      <c r="N152" s="11" t="s">
        <v>95</v>
      </c>
      <c r="O152" s="11" t="s">
        <v>44</v>
      </c>
      <c r="P152" s="11" t="s">
        <v>44</v>
      </c>
      <c r="Q152" s="11" t="s">
        <v>44</v>
      </c>
      <c r="R152" s="11" t="s">
        <v>45</v>
      </c>
      <c r="S152" s="11" t="s">
        <v>45</v>
      </c>
      <c r="T152" s="11" t="s">
        <v>44</v>
      </c>
      <c r="U152" s="11" t="s">
        <v>44</v>
      </c>
      <c r="W152" s="11" t="s">
        <v>46</v>
      </c>
      <c r="X152" s="11" t="s">
        <v>97</v>
      </c>
      <c r="Y152" s="11" t="s">
        <v>97</v>
      </c>
      <c r="Z152" s="11">
        <v>81996444977</v>
      </c>
      <c r="AA152" s="11" t="s">
        <v>91</v>
      </c>
      <c r="AB152" s="11"/>
      <c r="AC152" s="11"/>
      <c r="AD152" s="11" t="b">
        <v>0</v>
      </c>
      <c r="AF152" s="11"/>
      <c r="AG152" s="11"/>
      <c r="AH152" s="11"/>
      <c r="AI152" s="11"/>
    </row>
    <row r="153" ht="12.5" spans="1:35">
      <c r="A153" s="177">
        <v>45089.4471088426</v>
      </c>
      <c r="B153" s="11" t="s">
        <v>647</v>
      </c>
      <c r="C153" s="19">
        <v>10871836424</v>
      </c>
      <c r="D153" s="179">
        <v>706200093511568</v>
      </c>
      <c r="E153" s="18" t="s">
        <v>648</v>
      </c>
      <c r="F153" s="11" t="s">
        <v>40</v>
      </c>
      <c r="G153" s="11" t="s">
        <v>54</v>
      </c>
      <c r="H153" s="24">
        <v>34702</v>
      </c>
      <c r="I153" s="277" t="s">
        <v>649</v>
      </c>
      <c r="J153" s="11" t="s">
        <v>438</v>
      </c>
      <c r="K153" s="108"/>
      <c r="M153" s="11" t="s">
        <v>650</v>
      </c>
      <c r="N153" s="11" t="s">
        <v>43</v>
      </c>
      <c r="O153" s="11" t="s">
        <v>44</v>
      </c>
      <c r="P153" s="11" t="s">
        <v>44</v>
      </c>
      <c r="Q153" s="11" t="s">
        <v>44</v>
      </c>
      <c r="R153" s="11" t="s">
        <v>44</v>
      </c>
      <c r="S153" s="11" t="s">
        <v>83</v>
      </c>
      <c r="T153" s="11" t="s">
        <v>44</v>
      </c>
      <c r="U153" s="11" t="s">
        <v>45</v>
      </c>
      <c r="V153" s="24">
        <v>45092</v>
      </c>
      <c r="W153" s="11" t="s">
        <v>46</v>
      </c>
      <c r="X153" s="11" t="s">
        <v>47</v>
      </c>
      <c r="Y153" s="11" t="s">
        <v>58</v>
      </c>
      <c r="Z153" s="11">
        <v>81997022233</v>
      </c>
      <c r="AA153" s="11" t="s">
        <v>91</v>
      </c>
      <c r="AB153" s="11" t="s">
        <v>49</v>
      </c>
      <c r="AC153" s="11" t="s">
        <v>92</v>
      </c>
      <c r="AD153" s="11" t="b">
        <v>0</v>
      </c>
      <c r="AF153" s="11" t="s">
        <v>651</v>
      </c>
      <c r="AG153" s="11" t="s">
        <v>652</v>
      </c>
      <c r="AH153" s="11"/>
      <c r="AI153" s="11"/>
    </row>
    <row r="154" ht="12.5" spans="1:35">
      <c r="A154" s="177">
        <v>45089.4854551505</v>
      </c>
      <c r="B154" s="11" t="s">
        <v>575</v>
      </c>
      <c r="C154" s="277" t="s">
        <v>576</v>
      </c>
      <c r="D154" s="19">
        <v>706809221854422</v>
      </c>
      <c r="E154" s="18" t="s">
        <v>653</v>
      </c>
      <c r="F154" s="11" t="s">
        <v>40</v>
      </c>
      <c r="G154" s="11" t="s">
        <v>54</v>
      </c>
      <c r="H154" s="24">
        <v>32994</v>
      </c>
      <c r="I154" s="277" t="s">
        <v>261</v>
      </c>
      <c r="J154" s="11" t="s">
        <v>42</v>
      </c>
      <c r="K154" s="108" t="s">
        <v>282</v>
      </c>
      <c r="N154" s="11" t="s">
        <v>95</v>
      </c>
      <c r="O154" s="11" t="s">
        <v>96</v>
      </c>
      <c r="P154" s="11" t="s">
        <v>56</v>
      </c>
      <c r="Q154" s="11" t="s">
        <v>44</v>
      </c>
      <c r="R154" s="11" t="s">
        <v>45</v>
      </c>
      <c r="S154" s="11" t="s">
        <v>45</v>
      </c>
      <c r="T154" s="11" t="s">
        <v>44</v>
      </c>
      <c r="U154" s="11" t="s">
        <v>45</v>
      </c>
      <c r="V154" s="24">
        <v>45091</v>
      </c>
      <c r="W154" s="11" t="s">
        <v>46</v>
      </c>
      <c r="X154" s="11" t="s">
        <v>47</v>
      </c>
      <c r="Y154" s="11" t="s">
        <v>58</v>
      </c>
      <c r="Z154" s="11">
        <v>81984049541</v>
      </c>
      <c r="AA154" s="11" t="s">
        <v>273</v>
      </c>
      <c r="AB154" s="11" t="s">
        <v>49</v>
      </c>
      <c r="AC154" s="11" t="s">
        <v>92</v>
      </c>
      <c r="AD154" s="11" t="b">
        <v>0</v>
      </c>
      <c r="AF154" s="11" t="s">
        <v>654</v>
      </c>
      <c r="AG154" s="11"/>
      <c r="AH154" s="11"/>
      <c r="AI154" s="11"/>
    </row>
    <row r="155" customHeight="1" spans="1:35">
      <c r="A155" s="177">
        <v>45089.4982477083</v>
      </c>
      <c r="B155" s="11" t="s">
        <v>655</v>
      </c>
      <c r="C155" s="19">
        <v>70174742444</v>
      </c>
      <c r="D155" s="19">
        <v>704001849620064</v>
      </c>
      <c r="E155" s="18" t="s">
        <v>656</v>
      </c>
      <c r="F155" s="11" t="s">
        <v>40</v>
      </c>
      <c r="G155" s="11" t="s">
        <v>54</v>
      </c>
      <c r="H155" s="24">
        <v>36316</v>
      </c>
      <c r="I155" s="277" t="s">
        <v>657</v>
      </c>
      <c r="J155" s="11" t="s">
        <v>42</v>
      </c>
      <c r="K155" s="108" t="s">
        <v>55</v>
      </c>
      <c r="N155" s="11" t="s">
        <v>43</v>
      </c>
      <c r="O155" s="11" t="s">
        <v>658</v>
      </c>
      <c r="P155" s="11" t="s">
        <v>66</v>
      </c>
      <c r="Q155" s="11" t="s">
        <v>45</v>
      </c>
      <c r="R155" s="11" t="s">
        <v>45</v>
      </c>
      <c r="S155" s="11" t="s">
        <v>44</v>
      </c>
      <c r="T155" s="11" t="s">
        <v>44</v>
      </c>
      <c r="U155" s="11" t="s">
        <v>45</v>
      </c>
      <c r="V155" s="24">
        <v>45090</v>
      </c>
      <c r="W155" s="11" t="s">
        <v>46</v>
      </c>
      <c r="X155" s="11" t="s">
        <v>47</v>
      </c>
      <c r="Y155" s="40" t="s">
        <v>659</v>
      </c>
      <c r="Z155" s="11">
        <v>81999540010</v>
      </c>
      <c r="AA155" s="11" t="s">
        <v>105</v>
      </c>
      <c r="AB155" s="11" t="s">
        <v>49</v>
      </c>
      <c r="AC155" s="11" t="s">
        <v>84</v>
      </c>
      <c r="AD155" s="11" t="b">
        <v>1</v>
      </c>
      <c r="AE155" s="11" t="s">
        <v>137</v>
      </c>
      <c r="AF155" s="11" t="s">
        <v>660</v>
      </c>
      <c r="AG155" s="11"/>
      <c r="AH155" s="11"/>
      <c r="AI155" s="11"/>
    </row>
    <row r="156" ht="12.5" spans="1:35">
      <c r="A156" s="177">
        <v>45089.5708592708</v>
      </c>
      <c r="B156" s="11" t="s">
        <v>661</v>
      </c>
      <c r="C156" s="277" t="s">
        <v>662</v>
      </c>
      <c r="D156" s="19">
        <v>704600736177630</v>
      </c>
      <c r="E156" s="18" t="s">
        <v>663</v>
      </c>
      <c r="F156" s="11" t="s">
        <v>40</v>
      </c>
      <c r="G156" s="11" t="s">
        <v>41</v>
      </c>
      <c r="H156" s="24">
        <v>33857</v>
      </c>
      <c r="I156" s="277" t="s">
        <v>664</v>
      </c>
      <c r="J156" s="11" t="s">
        <v>42</v>
      </c>
      <c r="K156" s="108" t="s">
        <v>665</v>
      </c>
      <c r="N156" s="11" t="s">
        <v>43</v>
      </c>
      <c r="O156" s="11" t="s">
        <v>44</v>
      </c>
      <c r="P156" s="11" t="s">
        <v>44</v>
      </c>
      <c r="Q156" s="11" t="s">
        <v>44</v>
      </c>
      <c r="R156" s="11" t="s">
        <v>45</v>
      </c>
      <c r="S156" s="11" t="s">
        <v>45</v>
      </c>
      <c r="T156" s="11" t="s">
        <v>44</v>
      </c>
      <c r="U156" s="11" t="s">
        <v>44</v>
      </c>
      <c r="W156" s="11" t="s">
        <v>46</v>
      </c>
      <c r="X156" s="11" t="s">
        <v>47</v>
      </c>
      <c r="Y156" s="11" t="s">
        <v>58</v>
      </c>
      <c r="Z156" s="11">
        <v>81986798920</v>
      </c>
      <c r="AA156" s="11" t="s">
        <v>113</v>
      </c>
      <c r="AB156" s="11"/>
      <c r="AC156" s="11"/>
      <c r="AD156" s="11" t="b">
        <v>0</v>
      </c>
      <c r="AF156" s="11"/>
      <c r="AG156" s="11"/>
      <c r="AH156" s="11"/>
      <c r="AI156" s="11"/>
    </row>
    <row r="157" ht="12.5" spans="1:35">
      <c r="A157" s="177">
        <v>45089.5777247685</v>
      </c>
      <c r="B157" s="11" t="s">
        <v>493</v>
      </c>
      <c r="C157" s="19">
        <v>11672152496</v>
      </c>
      <c r="D157" s="179">
        <v>705600424812517</v>
      </c>
      <c r="E157" s="18" t="s">
        <v>666</v>
      </c>
      <c r="F157" s="11" t="s">
        <v>225</v>
      </c>
      <c r="G157" s="11" t="s">
        <v>54</v>
      </c>
      <c r="H157" s="24">
        <v>34366</v>
      </c>
      <c r="I157" s="277" t="s">
        <v>667</v>
      </c>
      <c r="J157" s="11" t="s">
        <v>42</v>
      </c>
      <c r="K157" s="108" t="s">
        <v>74</v>
      </c>
      <c r="N157" s="11" t="s">
        <v>43</v>
      </c>
      <c r="O157" s="11" t="s">
        <v>44</v>
      </c>
      <c r="P157" s="11" t="s">
        <v>44</v>
      </c>
      <c r="Q157" s="11" t="s">
        <v>44</v>
      </c>
      <c r="R157" s="11" t="s">
        <v>45</v>
      </c>
      <c r="S157" s="11" t="s">
        <v>83</v>
      </c>
      <c r="T157" s="11" t="s">
        <v>44</v>
      </c>
      <c r="U157" s="11" t="s">
        <v>45</v>
      </c>
      <c r="V157" s="24">
        <v>45090</v>
      </c>
      <c r="W157" s="11" t="s">
        <v>46</v>
      </c>
      <c r="X157" s="11" t="s">
        <v>47</v>
      </c>
      <c r="Y157" s="11" t="s">
        <v>58</v>
      </c>
      <c r="Z157" s="11">
        <v>81985559317</v>
      </c>
      <c r="AA157" s="11" t="s">
        <v>91</v>
      </c>
      <c r="AB157" s="11" t="s">
        <v>98</v>
      </c>
      <c r="AC157" s="11"/>
      <c r="AD157" s="11" t="b">
        <v>0</v>
      </c>
      <c r="AF157" s="11" t="s">
        <v>668</v>
      </c>
      <c r="AG157" s="11" t="s">
        <v>669</v>
      </c>
      <c r="AH157" s="11"/>
      <c r="AI157" s="11"/>
    </row>
    <row r="158" ht="12.5" spans="1:35">
      <c r="A158" s="177">
        <v>45089.6448843171</v>
      </c>
      <c r="B158" s="11" t="s">
        <v>599</v>
      </c>
      <c r="C158" s="19">
        <v>70266535470</v>
      </c>
      <c r="D158" s="19">
        <v>704803055421841</v>
      </c>
      <c r="F158" s="11" t="s">
        <v>40</v>
      </c>
      <c r="G158" s="11" t="s">
        <v>54</v>
      </c>
      <c r="H158" s="24">
        <v>35690</v>
      </c>
      <c r="I158" s="277" t="s">
        <v>554</v>
      </c>
      <c r="J158" s="11" t="s">
        <v>42</v>
      </c>
      <c r="K158" s="108" t="s">
        <v>74</v>
      </c>
      <c r="N158" s="11" t="s">
        <v>95</v>
      </c>
      <c r="O158" s="11" t="s">
        <v>44</v>
      </c>
      <c r="P158" s="11" t="s">
        <v>44</v>
      </c>
      <c r="Q158" s="11" t="s">
        <v>44</v>
      </c>
      <c r="R158" s="11" t="s">
        <v>45</v>
      </c>
      <c r="S158" s="11" t="s">
        <v>45</v>
      </c>
      <c r="T158" s="11" t="s">
        <v>44</v>
      </c>
      <c r="U158" s="11" t="s">
        <v>44</v>
      </c>
      <c r="W158" s="11" t="s">
        <v>57</v>
      </c>
      <c r="X158" s="11" t="s">
        <v>97</v>
      </c>
      <c r="Y158" s="11" t="s">
        <v>97</v>
      </c>
      <c r="Z158" s="11">
        <v>81983900304</v>
      </c>
      <c r="AA158" s="11" t="s">
        <v>273</v>
      </c>
      <c r="AB158" s="11"/>
      <c r="AC158" s="11"/>
      <c r="AD158" s="11" t="b">
        <v>0</v>
      </c>
      <c r="AF158" s="11"/>
      <c r="AG158" s="11"/>
      <c r="AH158" s="11"/>
      <c r="AI158" s="11"/>
    </row>
    <row r="159" ht="17.25" customHeight="1" spans="1:35">
      <c r="A159" s="177">
        <v>45090.4028449769</v>
      </c>
      <c r="B159" s="11" t="s">
        <v>670</v>
      </c>
      <c r="C159" s="19">
        <v>9840507443</v>
      </c>
      <c r="D159" s="19">
        <v>701003827009297</v>
      </c>
      <c r="E159" s="18" t="s">
        <v>671</v>
      </c>
      <c r="F159" s="11" t="s">
        <v>40</v>
      </c>
      <c r="G159" s="11" t="s">
        <v>54</v>
      </c>
      <c r="H159" s="24">
        <v>32622</v>
      </c>
      <c r="I159" s="277" t="s">
        <v>672</v>
      </c>
      <c r="J159" s="11" t="s">
        <v>42</v>
      </c>
      <c r="K159" s="108" t="s">
        <v>673</v>
      </c>
      <c r="N159" s="11" t="s">
        <v>43</v>
      </c>
      <c r="O159" s="11" t="s">
        <v>44</v>
      </c>
      <c r="P159" s="11" t="s">
        <v>44</v>
      </c>
      <c r="Q159" s="11" t="s">
        <v>44</v>
      </c>
      <c r="R159" s="11" t="s">
        <v>45</v>
      </c>
      <c r="S159" s="11" t="s">
        <v>83</v>
      </c>
      <c r="T159" s="11" t="s">
        <v>44</v>
      </c>
      <c r="U159" s="11" t="s">
        <v>44</v>
      </c>
      <c r="W159" s="11" t="s">
        <v>46</v>
      </c>
      <c r="X159" s="11" t="s">
        <v>67</v>
      </c>
      <c r="Y159" s="11" t="s">
        <v>58</v>
      </c>
      <c r="Z159" s="11">
        <v>81984615045</v>
      </c>
      <c r="AA159" s="11" t="s">
        <v>91</v>
      </c>
      <c r="AB159" s="11"/>
      <c r="AC159" s="11"/>
      <c r="AD159" s="11" t="b">
        <v>0</v>
      </c>
      <c r="AF159" s="11"/>
      <c r="AG159" s="11"/>
      <c r="AH159" s="11"/>
      <c r="AI159" s="11"/>
    </row>
    <row r="160" ht="12.5" spans="1:35">
      <c r="A160" s="177">
        <v>45090.4154394097</v>
      </c>
      <c r="B160" s="11" t="s">
        <v>674</v>
      </c>
      <c r="C160" s="19">
        <v>12618533429</v>
      </c>
      <c r="D160" s="19">
        <v>704201206184189</v>
      </c>
      <c r="E160" s="18" t="s">
        <v>675</v>
      </c>
      <c r="F160" s="11" t="s">
        <v>40</v>
      </c>
      <c r="G160" s="11" t="s">
        <v>54</v>
      </c>
      <c r="H160" s="24">
        <v>35782</v>
      </c>
      <c r="I160" s="19" t="s">
        <v>136</v>
      </c>
      <c r="J160" s="11" t="s">
        <v>42</v>
      </c>
      <c r="K160" s="108" t="s">
        <v>202</v>
      </c>
      <c r="N160" s="11" t="s">
        <v>43</v>
      </c>
      <c r="O160" s="11" t="s">
        <v>96</v>
      </c>
      <c r="P160" s="11" t="s">
        <v>56</v>
      </c>
      <c r="Q160" s="11" t="s">
        <v>44</v>
      </c>
      <c r="R160" s="11" t="s">
        <v>45</v>
      </c>
      <c r="S160" s="11" t="s">
        <v>45</v>
      </c>
      <c r="T160" s="11" t="s">
        <v>44</v>
      </c>
      <c r="U160" s="11" t="s">
        <v>45</v>
      </c>
      <c r="V160" s="24">
        <v>45091</v>
      </c>
      <c r="W160" s="11" t="s">
        <v>46</v>
      </c>
      <c r="X160" s="11" t="s">
        <v>47</v>
      </c>
      <c r="Y160" s="11" t="s">
        <v>58</v>
      </c>
      <c r="Z160" s="11">
        <v>81996549887</v>
      </c>
      <c r="AA160" s="11" t="s">
        <v>103</v>
      </c>
      <c r="AB160" s="11" t="s">
        <v>49</v>
      </c>
      <c r="AC160" s="11" t="s">
        <v>50</v>
      </c>
      <c r="AD160" s="11" t="b">
        <v>1</v>
      </c>
      <c r="AE160" s="11" t="s">
        <v>137</v>
      </c>
      <c r="AF160" s="11" t="s">
        <v>676</v>
      </c>
      <c r="AG160" s="11" t="s">
        <v>677</v>
      </c>
      <c r="AH160" s="11" t="s">
        <v>678</v>
      </c>
      <c r="AI160" s="11"/>
    </row>
    <row r="161" ht="12.5" spans="1:35">
      <c r="A161" s="177">
        <v>45090.4515363773</v>
      </c>
      <c r="B161" s="11" t="s">
        <v>639</v>
      </c>
      <c r="C161" s="277" t="s">
        <v>640</v>
      </c>
      <c r="D161" s="19">
        <v>701408677522831</v>
      </c>
      <c r="E161" s="18" t="s">
        <v>679</v>
      </c>
      <c r="F161" s="11" t="s">
        <v>225</v>
      </c>
      <c r="G161" s="11" t="s">
        <v>41</v>
      </c>
      <c r="H161" s="24">
        <v>29468</v>
      </c>
      <c r="I161" s="277" t="s">
        <v>680</v>
      </c>
      <c r="J161" s="11" t="s">
        <v>42</v>
      </c>
      <c r="K161" s="108" t="s">
        <v>149</v>
      </c>
      <c r="N161" s="11" t="s">
        <v>95</v>
      </c>
      <c r="O161" s="11" t="s">
        <v>44</v>
      </c>
      <c r="P161" s="11" t="s">
        <v>44</v>
      </c>
      <c r="Q161" s="11" t="s">
        <v>44</v>
      </c>
      <c r="R161" s="11" t="s">
        <v>45</v>
      </c>
      <c r="S161" s="11" t="s">
        <v>45</v>
      </c>
      <c r="T161" s="11" t="s">
        <v>44</v>
      </c>
      <c r="U161" s="11" t="s">
        <v>44</v>
      </c>
      <c r="W161" s="11" t="s">
        <v>46</v>
      </c>
      <c r="X161" s="11" t="s">
        <v>47</v>
      </c>
      <c r="Y161" s="11" t="s">
        <v>97</v>
      </c>
      <c r="Z161" s="11">
        <v>81984527273</v>
      </c>
      <c r="AA161" s="11" t="s">
        <v>103</v>
      </c>
      <c r="AB161" s="11"/>
      <c r="AC161" s="11"/>
      <c r="AD161" s="11" t="b">
        <v>0</v>
      </c>
      <c r="AF161" s="11"/>
      <c r="AG161" s="11"/>
      <c r="AH161" s="11"/>
      <c r="AI161" s="11"/>
    </row>
    <row r="162" ht="12.5" spans="1:35">
      <c r="A162" s="177">
        <v>45090.4977449074</v>
      </c>
      <c r="B162" s="11" t="s">
        <v>681</v>
      </c>
      <c r="C162" s="163">
        <v>70332071405</v>
      </c>
      <c r="D162" s="19">
        <v>700208426691628</v>
      </c>
      <c r="E162" s="18" t="s">
        <v>682</v>
      </c>
      <c r="F162" s="11" t="s">
        <v>40</v>
      </c>
      <c r="G162" s="11" t="s">
        <v>54</v>
      </c>
      <c r="H162" s="24">
        <v>36479</v>
      </c>
      <c r="I162" s="277" t="s">
        <v>683</v>
      </c>
      <c r="J162" s="11" t="s">
        <v>42</v>
      </c>
      <c r="K162" s="108" t="s">
        <v>202</v>
      </c>
      <c r="N162" s="11" t="s">
        <v>43</v>
      </c>
      <c r="O162" s="11" t="s">
        <v>96</v>
      </c>
      <c r="P162" s="11" t="s">
        <v>56</v>
      </c>
      <c r="Q162" s="11" t="s">
        <v>44</v>
      </c>
      <c r="R162" s="11" t="s">
        <v>45</v>
      </c>
      <c r="S162" s="11" t="s">
        <v>83</v>
      </c>
      <c r="T162" s="11" t="s">
        <v>44</v>
      </c>
      <c r="U162" s="11" t="s">
        <v>45</v>
      </c>
      <c r="V162" s="24">
        <v>45091</v>
      </c>
      <c r="W162" s="11" t="s">
        <v>57</v>
      </c>
      <c r="X162" s="11" t="s">
        <v>47</v>
      </c>
      <c r="Y162" s="11" t="s">
        <v>58</v>
      </c>
      <c r="Z162" s="11">
        <v>81998770517</v>
      </c>
      <c r="AA162" s="11" t="s">
        <v>103</v>
      </c>
      <c r="AB162" s="11" t="s">
        <v>98</v>
      </c>
      <c r="AC162" s="11"/>
      <c r="AD162" s="11" t="b">
        <v>0</v>
      </c>
      <c r="AF162" s="11" t="s">
        <v>684</v>
      </c>
      <c r="AG162" s="11" t="s">
        <v>685</v>
      </c>
      <c r="AH162" s="11" t="s">
        <v>678</v>
      </c>
      <c r="AI162" s="11"/>
    </row>
    <row r="163" ht="12.5" spans="1:35">
      <c r="A163" s="177">
        <v>45090.5589490741</v>
      </c>
      <c r="B163" s="11" t="s">
        <v>686</v>
      </c>
      <c r="C163" s="19">
        <v>15354635462</v>
      </c>
      <c r="D163" s="19">
        <v>700006684597306</v>
      </c>
      <c r="E163" s="18" t="s">
        <v>687</v>
      </c>
      <c r="F163" s="11" t="s">
        <v>40</v>
      </c>
      <c r="G163" s="11" t="s">
        <v>54</v>
      </c>
      <c r="H163" s="24">
        <v>37942</v>
      </c>
      <c r="I163" s="277" t="s">
        <v>688</v>
      </c>
      <c r="J163" s="11" t="s">
        <v>42</v>
      </c>
      <c r="K163" s="108" t="s">
        <v>63</v>
      </c>
      <c r="N163" s="11" t="s">
        <v>43</v>
      </c>
      <c r="O163" s="11" t="s">
        <v>96</v>
      </c>
      <c r="P163" s="11" t="s">
        <v>66</v>
      </c>
      <c r="Q163" s="11" t="s">
        <v>45</v>
      </c>
      <c r="R163" s="11" t="s">
        <v>45</v>
      </c>
      <c r="S163" s="11" t="s">
        <v>44</v>
      </c>
      <c r="T163" s="11" t="s">
        <v>44</v>
      </c>
      <c r="U163" s="11" t="s">
        <v>44</v>
      </c>
      <c r="W163" s="11" t="s">
        <v>46</v>
      </c>
      <c r="X163" s="11" t="s">
        <v>47</v>
      </c>
      <c r="Y163" s="40" t="s">
        <v>689</v>
      </c>
      <c r="Z163" s="11">
        <v>81996504653</v>
      </c>
      <c r="AA163" s="11" t="s">
        <v>105</v>
      </c>
      <c r="AB163" s="11"/>
      <c r="AC163" s="11"/>
      <c r="AD163" s="11" t="b">
        <v>0</v>
      </c>
      <c r="AF163" s="11" t="s">
        <v>690</v>
      </c>
      <c r="AG163" s="11"/>
      <c r="AH163" s="11"/>
      <c r="AI163" s="11"/>
    </row>
    <row r="164" ht="12.5" spans="1:35">
      <c r="A164" s="177">
        <v>45090.5757959491</v>
      </c>
      <c r="B164" s="11" t="s">
        <v>363</v>
      </c>
      <c r="C164" s="19">
        <v>10989907490</v>
      </c>
      <c r="D164" s="179">
        <v>701009899857591</v>
      </c>
      <c r="E164" s="18" t="s">
        <v>691</v>
      </c>
      <c r="F164" s="11" t="s">
        <v>225</v>
      </c>
      <c r="G164" s="11" t="s">
        <v>54</v>
      </c>
      <c r="H164" s="24">
        <v>33514</v>
      </c>
      <c r="I164" s="277" t="s">
        <v>180</v>
      </c>
      <c r="J164" s="11" t="s">
        <v>81</v>
      </c>
      <c r="K164" s="108"/>
      <c r="L164" s="11" t="s">
        <v>109</v>
      </c>
      <c r="N164" s="11" t="s">
        <v>43</v>
      </c>
      <c r="O164" s="11" t="s">
        <v>96</v>
      </c>
      <c r="P164" s="11" t="s">
        <v>66</v>
      </c>
      <c r="Q164" s="11" t="s">
        <v>44</v>
      </c>
      <c r="R164" s="11" t="s">
        <v>45</v>
      </c>
      <c r="S164" s="11" t="s">
        <v>45</v>
      </c>
      <c r="T164" s="11" t="s">
        <v>44</v>
      </c>
      <c r="U164" s="11" t="s">
        <v>45</v>
      </c>
      <c r="V164" s="24">
        <v>45091</v>
      </c>
      <c r="W164" s="11" t="s">
        <v>46</v>
      </c>
      <c r="X164" s="11" t="s">
        <v>47</v>
      </c>
      <c r="Y164" s="11" t="s">
        <v>58</v>
      </c>
      <c r="Z164" s="11">
        <v>81991976460</v>
      </c>
      <c r="AA164" s="11" t="s">
        <v>91</v>
      </c>
      <c r="AB164" s="11" t="s">
        <v>49</v>
      </c>
      <c r="AC164" s="11" t="s">
        <v>92</v>
      </c>
      <c r="AD164" s="11" t="b">
        <v>1</v>
      </c>
      <c r="AE164" s="11" t="s">
        <v>137</v>
      </c>
      <c r="AF164" s="11" t="s">
        <v>692</v>
      </c>
      <c r="AG164" s="11"/>
      <c r="AH164" s="11"/>
      <c r="AI164" s="11"/>
    </row>
    <row r="165" ht="12.5" spans="1:35">
      <c r="A165" s="177">
        <v>45090.5887313542</v>
      </c>
      <c r="B165" s="11" t="s">
        <v>693</v>
      </c>
      <c r="C165" s="277" t="s">
        <v>694</v>
      </c>
      <c r="D165" s="19">
        <v>706505322497098</v>
      </c>
      <c r="E165" s="18" t="s">
        <v>695</v>
      </c>
      <c r="F165" s="11" t="s">
        <v>40</v>
      </c>
      <c r="G165" s="11" t="s">
        <v>54</v>
      </c>
      <c r="H165" s="24">
        <v>33353</v>
      </c>
      <c r="I165" s="277" t="s">
        <v>696</v>
      </c>
      <c r="J165" s="11" t="s">
        <v>42</v>
      </c>
      <c r="K165" s="108" t="s">
        <v>74</v>
      </c>
      <c r="N165" s="11" t="s">
        <v>43</v>
      </c>
      <c r="O165" s="11" t="s">
        <v>96</v>
      </c>
      <c r="P165" s="11" t="s">
        <v>56</v>
      </c>
      <c r="Q165" s="11" t="s">
        <v>45</v>
      </c>
      <c r="R165" s="11" t="s">
        <v>45</v>
      </c>
      <c r="S165" s="11" t="s">
        <v>83</v>
      </c>
      <c r="T165" s="11" t="s">
        <v>44</v>
      </c>
      <c r="U165" s="11" t="s">
        <v>45</v>
      </c>
      <c r="V165" s="24">
        <v>45092</v>
      </c>
      <c r="W165" s="11" t="s">
        <v>46</v>
      </c>
      <c r="X165" s="11" t="s">
        <v>47</v>
      </c>
      <c r="Y165" s="11" t="s">
        <v>58</v>
      </c>
      <c r="Z165" s="11">
        <v>81982102916</v>
      </c>
      <c r="AA165" s="11" t="s">
        <v>113</v>
      </c>
      <c r="AB165" s="11" t="s">
        <v>98</v>
      </c>
      <c r="AC165" s="11"/>
      <c r="AD165" s="11" t="b">
        <v>0</v>
      </c>
      <c r="AF165" s="11" t="s">
        <v>651</v>
      </c>
      <c r="AG165" s="11" t="s">
        <v>697</v>
      </c>
      <c r="AH165" s="11"/>
      <c r="AI165" s="11"/>
    </row>
    <row r="166" ht="12.5" spans="1:35">
      <c r="A166" s="177">
        <v>45090.672097581</v>
      </c>
      <c r="B166" s="11" t="s">
        <v>698</v>
      </c>
      <c r="C166" s="277" t="s">
        <v>699</v>
      </c>
      <c r="D166" s="19">
        <v>702000338875485</v>
      </c>
      <c r="E166" s="18" t="s">
        <v>700</v>
      </c>
      <c r="F166" s="11" t="s">
        <v>40</v>
      </c>
      <c r="G166" s="11" t="s">
        <v>88</v>
      </c>
      <c r="H166" s="24">
        <v>31232</v>
      </c>
      <c r="I166" s="19" t="s">
        <v>136</v>
      </c>
      <c r="J166" s="11" t="s">
        <v>42</v>
      </c>
      <c r="K166" s="108" t="s">
        <v>55</v>
      </c>
      <c r="N166" s="11" t="s">
        <v>43</v>
      </c>
      <c r="O166" s="11" t="s">
        <v>65</v>
      </c>
      <c r="P166" s="11" t="s">
        <v>66</v>
      </c>
      <c r="Q166" s="11" t="s">
        <v>45</v>
      </c>
      <c r="R166" s="11" t="s">
        <v>45</v>
      </c>
      <c r="S166" s="11" t="s">
        <v>83</v>
      </c>
      <c r="T166" s="11" t="s">
        <v>44</v>
      </c>
      <c r="U166" s="11" t="s">
        <v>45</v>
      </c>
      <c r="V166" s="24">
        <v>45091</v>
      </c>
      <c r="W166" s="11" t="s">
        <v>46</v>
      </c>
      <c r="X166" s="11" t="s">
        <v>47</v>
      </c>
      <c r="Y166" s="40" t="s">
        <v>701</v>
      </c>
      <c r="Z166" s="11">
        <v>81996288296</v>
      </c>
      <c r="AA166" s="11" t="s">
        <v>113</v>
      </c>
      <c r="AB166" s="11" t="s">
        <v>98</v>
      </c>
      <c r="AC166" s="11"/>
      <c r="AD166" s="11" t="b">
        <v>0</v>
      </c>
      <c r="AF166" s="11" t="s">
        <v>702</v>
      </c>
      <c r="AG166" s="11" t="s">
        <v>703</v>
      </c>
      <c r="AH166" s="11"/>
      <c r="AI166" s="11"/>
    </row>
    <row r="167" ht="12.5" spans="1:35">
      <c r="A167" s="177">
        <v>45090.6964890509</v>
      </c>
      <c r="B167" s="11" t="s">
        <v>655</v>
      </c>
      <c r="C167" s="19">
        <v>70174742444</v>
      </c>
      <c r="D167" s="19">
        <v>704001849620064</v>
      </c>
      <c r="E167" s="18" t="s">
        <v>704</v>
      </c>
      <c r="F167" s="11" t="s">
        <v>40</v>
      </c>
      <c r="G167" s="11" t="s">
        <v>54</v>
      </c>
      <c r="H167" s="24">
        <v>36316</v>
      </c>
      <c r="I167" s="277" t="s">
        <v>657</v>
      </c>
      <c r="J167" s="11" t="s">
        <v>42</v>
      </c>
      <c r="K167" s="108" t="s">
        <v>55</v>
      </c>
      <c r="N167" s="11" t="s">
        <v>95</v>
      </c>
      <c r="O167" s="11" t="s">
        <v>127</v>
      </c>
      <c r="P167" s="11" t="s">
        <v>44</v>
      </c>
      <c r="Q167" s="11" t="s">
        <v>44</v>
      </c>
      <c r="R167" s="11" t="s">
        <v>45</v>
      </c>
      <c r="S167" s="11" t="s">
        <v>45</v>
      </c>
      <c r="T167" s="11" t="s">
        <v>44</v>
      </c>
      <c r="U167" s="11" t="s">
        <v>44</v>
      </c>
      <c r="W167" s="11" t="s">
        <v>46</v>
      </c>
      <c r="X167" s="11" t="s">
        <v>97</v>
      </c>
      <c r="Y167" s="11" t="s">
        <v>97</v>
      </c>
      <c r="Z167" s="11">
        <v>81999540010</v>
      </c>
      <c r="AA167" s="11" t="s">
        <v>105</v>
      </c>
      <c r="AB167" s="11"/>
      <c r="AC167" s="11"/>
      <c r="AD167" s="11" t="b">
        <v>0</v>
      </c>
      <c r="AF167" s="11"/>
      <c r="AG167" s="11"/>
      <c r="AH167" s="11"/>
      <c r="AI167" s="11"/>
    </row>
    <row r="168" ht="12.5" spans="1:35">
      <c r="A168" s="177">
        <v>45090.7208045949</v>
      </c>
      <c r="B168" s="11" t="s">
        <v>705</v>
      </c>
      <c r="C168" s="19">
        <v>8886917422</v>
      </c>
      <c r="D168" s="19">
        <v>707609216180397</v>
      </c>
      <c r="E168" s="18" t="s">
        <v>706</v>
      </c>
      <c r="F168" s="11" t="s">
        <v>40</v>
      </c>
      <c r="G168" s="11" t="s">
        <v>54</v>
      </c>
      <c r="H168" s="24">
        <v>33369</v>
      </c>
      <c r="I168" s="277" t="s">
        <v>707</v>
      </c>
      <c r="J168" s="11" t="s">
        <v>42</v>
      </c>
      <c r="K168" s="108" t="s">
        <v>708</v>
      </c>
      <c r="N168" s="11" t="s">
        <v>43</v>
      </c>
      <c r="O168" s="11" t="s">
        <v>44</v>
      </c>
      <c r="P168" s="11" t="s">
        <v>44</v>
      </c>
      <c r="Q168" s="11" t="s">
        <v>44</v>
      </c>
      <c r="R168" s="11" t="s">
        <v>45</v>
      </c>
      <c r="S168" s="11" t="s">
        <v>83</v>
      </c>
      <c r="T168" s="11" t="s">
        <v>44</v>
      </c>
      <c r="U168" s="11" t="s">
        <v>44</v>
      </c>
      <c r="W168" s="11" t="s">
        <v>46</v>
      </c>
      <c r="X168" s="11" t="s">
        <v>47</v>
      </c>
      <c r="Y168" s="11" t="s">
        <v>58</v>
      </c>
      <c r="Z168" s="11">
        <v>81995179608</v>
      </c>
      <c r="AA168" s="11" t="s">
        <v>91</v>
      </c>
      <c r="AB168" s="11"/>
      <c r="AC168" s="11"/>
      <c r="AD168" s="11" t="b">
        <v>0</v>
      </c>
      <c r="AF168" s="11"/>
      <c r="AG168" s="11"/>
      <c r="AH168" s="11"/>
      <c r="AI168" s="11"/>
    </row>
    <row r="169" ht="12.5" spans="1:35">
      <c r="A169" s="177">
        <v>45090.7731261921</v>
      </c>
      <c r="B169" s="11" t="s">
        <v>187</v>
      </c>
      <c r="C169" s="19">
        <v>70398985430</v>
      </c>
      <c r="D169" s="19">
        <v>700005882298401</v>
      </c>
      <c r="E169" s="18" t="s">
        <v>709</v>
      </c>
      <c r="F169" s="11" t="s">
        <v>40</v>
      </c>
      <c r="G169" s="11" t="s">
        <v>41</v>
      </c>
      <c r="H169" s="24">
        <v>35602</v>
      </c>
      <c r="I169" s="277" t="s">
        <v>190</v>
      </c>
      <c r="J169" s="11" t="s">
        <v>42</v>
      </c>
      <c r="K169" s="108" t="s">
        <v>710</v>
      </c>
      <c r="N169" s="11" t="s">
        <v>43</v>
      </c>
      <c r="O169" s="11" t="s">
        <v>44</v>
      </c>
      <c r="P169" s="11" t="s">
        <v>44</v>
      </c>
      <c r="Q169" s="11" t="s">
        <v>44</v>
      </c>
      <c r="R169" s="11" t="s">
        <v>45</v>
      </c>
      <c r="S169" s="11" t="s">
        <v>45</v>
      </c>
      <c r="T169" s="11" t="s">
        <v>44</v>
      </c>
      <c r="U169" s="11" t="s">
        <v>45</v>
      </c>
      <c r="V169" s="24">
        <v>45091</v>
      </c>
      <c r="W169" s="11" t="s">
        <v>46</v>
      </c>
      <c r="X169" s="11" t="s">
        <v>203</v>
      </c>
      <c r="Y169" s="11" t="s">
        <v>58</v>
      </c>
      <c r="Z169" s="11">
        <v>81999760929</v>
      </c>
      <c r="AA169" s="11" t="s">
        <v>105</v>
      </c>
      <c r="AB169" s="11" t="s">
        <v>98</v>
      </c>
      <c r="AC169" s="11"/>
      <c r="AD169" s="11" t="b">
        <v>0</v>
      </c>
      <c r="AF169" s="11" t="s">
        <v>711</v>
      </c>
      <c r="AG169" s="11" t="s">
        <v>712</v>
      </c>
      <c r="AH169" s="11"/>
      <c r="AI169" s="11"/>
    </row>
    <row r="170" ht="12.5" spans="1:35">
      <c r="A170" s="177">
        <v>45091.3689583449</v>
      </c>
      <c r="B170" s="11" t="s">
        <v>178</v>
      </c>
      <c r="C170" s="19">
        <v>11784645478</v>
      </c>
      <c r="D170" s="19">
        <v>70120702918371</v>
      </c>
      <c r="E170" s="18" t="s">
        <v>713</v>
      </c>
      <c r="F170" s="11" t="s">
        <v>40</v>
      </c>
      <c r="G170" s="11" t="s">
        <v>54</v>
      </c>
      <c r="H170" s="24">
        <v>35445</v>
      </c>
      <c r="I170" s="277" t="s">
        <v>714</v>
      </c>
      <c r="J170" s="11" t="s">
        <v>81</v>
      </c>
      <c r="K170" s="108"/>
      <c r="L170" s="11" t="s">
        <v>109</v>
      </c>
      <c r="N170" s="11" t="s">
        <v>43</v>
      </c>
      <c r="O170" s="11" t="s">
        <v>65</v>
      </c>
      <c r="P170" s="11" t="s">
        <v>66</v>
      </c>
      <c r="Q170" s="11" t="s">
        <v>44</v>
      </c>
      <c r="R170" s="11" t="s">
        <v>45</v>
      </c>
      <c r="S170" s="11" t="s">
        <v>45</v>
      </c>
      <c r="T170" s="11" t="s">
        <v>44</v>
      </c>
      <c r="U170" s="11" t="s">
        <v>45</v>
      </c>
      <c r="V170" s="24">
        <v>45091</v>
      </c>
      <c r="W170" s="11" t="s">
        <v>46</v>
      </c>
      <c r="X170" s="11" t="s">
        <v>47</v>
      </c>
      <c r="Y170" s="11" t="s">
        <v>58</v>
      </c>
      <c r="Z170" s="11">
        <v>81988890611</v>
      </c>
      <c r="AA170" s="11" t="s">
        <v>113</v>
      </c>
      <c r="AB170" s="11" t="s">
        <v>49</v>
      </c>
      <c r="AC170" s="11" t="s">
        <v>92</v>
      </c>
      <c r="AD170" s="11" t="b">
        <v>1</v>
      </c>
      <c r="AE170" s="11" t="s">
        <v>137</v>
      </c>
      <c r="AF170" s="11" t="s">
        <v>715</v>
      </c>
      <c r="AG170" s="11" t="s">
        <v>716</v>
      </c>
      <c r="AH170" s="11" t="s">
        <v>717</v>
      </c>
      <c r="AI170" s="11"/>
    </row>
    <row r="171" ht="12.5" spans="1:35">
      <c r="A171" s="177">
        <v>45091.4160303125</v>
      </c>
      <c r="B171" s="11" t="s">
        <v>408</v>
      </c>
      <c r="C171" s="19">
        <v>11505533406</v>
      </c>
      <c r="D171" s="19">
        <v>700002491205909</v>
      </c>
      <c r="E171" s="18" t="s">
        <v>718</v>
      </c>
      <c r="F171" s="11" t="s">
        <v>40</v>
      </c>
      <c r="G171" s="11" t="s">
        <v>41</v>
      </c>
      <c r="H171" s="24">
        <v>36109</v>
      </c>
      <c r="I171" s="277" t="s">
        <v>410</v>
      </c>
      <c r="J171" s="11" t="s">
        <v>42</v>
      </c>
      <c r="K171" s="108" t="s">
        <v>719</v>
      </c>
      <c r="N171" s="11" t="s">
        <v>95</v>
      </c>
      <c r="O171" s="11" t="s">
        <v>44</v>
      </c>
      <c r="P171" s="11" t="s">
        <v>44</v>
      </c>
      <c r="Q171" s="11" t="s">
        <v>44</v>
      </c>
      <c r="R171" s="11" t="s">
        <v>45</v>
      </c>
      <c r="S171" s="11" t="s">
        <v>45</v>
      </c>
      <c r="T171" s="11" t="s">
        <v>44</v>
      </c>
      <c r="U171" s="11" t="s">
        <v>45</v>
      </c>
      <c r="V171" s="24">
        <v>45091</v>
      </c>
      <c r="W171" s="11" t="s">
        <v>46</v>
      </c>
      <c r="X171" s="11" t="s">
        <v>97</v>
      </c>
      <c r="Y171" s="11" t="s">
        <v>97</v>
      </c>
      <c r="Z171" s="11">
        <v>81996333421</v>
      </c>
      <c r="AA171" s="11" t="s">
        <v>273</v>
      </c>
      <c r="AB171" s="11" t="s">
        <v>98</v>
      </c>
      <c r="AC171" s="11"/>
      <c r="AD171" s="11" t="b">
        <v>0</v>
      </c>
      <c r="AF171" s="11" t="s">
        <v>720</v>
      </c>
      <c r="AG171" s="11" t="s">
        <v>721</v>
      </c>
      <c r="AH171" s="11" t="s">
        <v>722</v>
      </c>
      <c r="AI171" s="11"/>
    </row>
    <row r="172" ht="12.5" spans="1:35">
      <c r="A172" s="177">
        <v>45091.4612627546</v>
      </c>
      <c r="B172" s="11" t="s">
        <v>363</v>
      </c>
      <c r="C172" s="19">
        <v>10989907490</v>
      </c>
      <c r="D172" s="179">
        <v>701009899857591</v>
      </c>
      <c r="E172" s="18" t="s">
        <v>723</v>
      </c>
      <c r="F172" s="11" t="s">
        <v>225</v>
      </c>
      <c r="G172" s="11" t="s">
        <v>54</v>
      </c>
      <c r="H172" s="24">
        <v>33514</v>
      </c>
      <c r="I172" s="277" t="s">
        <v>180</v>
      </c>
      <c r="J172" s="11" t="s">
        <v>42</v>
      </c>
      <c r="K172" s="108" t="s">
        <v>90</v>
      </c>
      <c r="N172" s="11" t="s">
        <v>95</v>
      </c>
      <c r="O172" s="11" t="s">
        <v>127</v>
      </c>
      <c r="P172" s="11" t="s">
        <v>44</v>
      </c>
      <c r="Q172" s="11" t="s">
        <v>44</v>
      </c>
      <c r="R172" s="11" t="s">
        <v>45</v>
      </c>
      <c r="S172" s="11" t="s">
        <v>45</v>
      </c>
      <c r="T172" s="11" t="s">
        <v>44</v>
      </c>
      <c r="U172" s="11" t="s">
        <v>45</v>
      </c>
      <c r="V172" s="24">
        <v>45092</v>
      </c>
      <c r="W172" s="11" t="s">
        <v>46</v>
      </c>
      <c r="X172" s="11" t="s">
        <v>97</v>
      </c>
      <c r="Y172" s="11" t="s">
        <v>97</v>
      </c>
      <c r="Z172" s="11">
        <v>81991976460</v>
      </c>
      <c r="AA172" s="11" t="s">
        <v>91</v>
      </c>
      <c r="AB172" s="11" t="s">
        <v>98</v>
      </c>
      <c r="AC172" s="11"/>
      <c r="AD172" s="11" t="b">
        <v>0</v>
      </c>
      <c r="AF172" s="11" t="s">
        <v>724</v>
      </c>
      <c r="AG172" s="11" t="s">
        <v>725</v>
      </c>
      <c r="AH172" s="11" t="s">
        <v>726</v>
      </c>
      <c r="AI172" s="11"/>
    </row>
    <row r="173" ht="12.5" spans="1:35">
      <c r="A173" s="177">
        <v>45091.4764855093</v>
      </c>
      <c r="B173" s="11" t="s">
        <v>727</v>
      </c>
      <c r="C173" s="19">
        <v>71003727476</v>
      </c>
      <c r="D173" s="19">
        <v>707808603525913</v>
      </c>
      <c r="E173" s="18" t="s">
        <v>728</v>
      </c>
      <c r="F173" s="11" t="s">
        <v>40</v>
      </c>
      <c r="G173" s="11" t="s">
        <v>41</v>
      </c>
      <c r="H173" s="24">
        <v>35866</v>
      </c>
      <c r="I173" s="277" t="s">
        <v>729</v>
      </c>
      <c r="J173" s="11" t="s">
        <v>42</v>
      </c>
      <c r="K173" s="108" t="s">
        <v>63</v>
      </c>
      <c r="N173" s="11" t="s">
        <v>43</v>
      </c>
      <c r="O173" s="11" t="s">
        <v>44</v>
      </c>
      <c r="P173" s="11" t="s">
        <v>56</v>
      </c>
      <c r="Q173" s="11" t="s">
        <v>44</v>
      </c>
      <c r="R173" s="11" t="s">
        <v>45</v>
      </c>
      <c r="S173" s="11" t="s">
        <v>83</v>
      </c>
      <c r="T173" s="11" t="s">
        <v>44</v>
      </c>
      <c r="U173" s="11" t="s">
        <v>45</v>
      </c>
      <c r="V173" s="24">
        <v>45093</v>
      </c>
      <c r="W173" s="11" t="s">
        <v>57</v>
      </c>
      <c r="X173" s="11" t="s">
        <v>47</v>
      </c>
      <c r="Y173" s="40" t="s">
        <v>48</v>
      </c>
      <c r="Z173" s="11">
        <v>81994539085</v>
      </c>
      <c r="AA173" s="11" t="s">
        <v>113</v>
      </c>
      <c r="AB173" s="11" t="s">
        <v>49</v>
      </c>
      <c r="AC173" s="11" t="s">
        <v>92</v>
      </c>
      <c r="AD173" s="11" t="b">
        <v>1</v>
      </c>
      <c r="AE173" s="11" t="s">
        <v>137</v>
      </c>
      <c r="AF173" s="11" t="s">
        <v>730</v>
      </c>
      <c r="AG173" s="11"/>
      <c r="AH173" s="11" t="s">
        <v>731</v>
      </c>
      <c r="AI173" s="11"/>
    </row>
    <row r="174" ht="12.5" spans="1:35">
      <c r="A174" s="177">
        <v>45091.480630463</v>
      </c>
      <c r="B174" s="11" t="s">
        <v>575</v>
      </c>
      <c r="C174" s="277" t="s">
        <v>576</v>
      </c>
      <c r="D174" s="19">
        <v>706809221854422</v>
      </c>
      <c r="F174" s="11" t="s">
        <v>40</v>
      </c>
      <c r="G174" s="11" t="s">
        <v>54</v>
      </c>
      <c r="H174" s="24">
        <v>32994</v>
      </c>
      <c r="I174" s="277" t="s">
        <v>261</v>
      </c>
      <c r="J174" s="11" t="s">
        <v>42</v>
      </c>
      <c r="K174" s="108" t="s">
        <v>74</v>
      </c>
      <c r="N174" s="11" t="s">
        <v>95</v>
      </c>
      <c r="O174" s="11" t="s">
        <v>44</v>
      </c>
      <c r="P174" s="11" t="s">
        <v>44</v>
      </c>
      <c r="Q174" s="11" t="s">
        <v>44</v>
      </c>
      <c r="R174" s="11" t="s">
        <v>45</v>
      </c>
      <c r="S174" s="11" t="s">
        <v>45</v>
      </c>
      <c r="T174" s="11" t="s">
        <v>44</v>
      </c>
      <c r="U174" s="11" t="s">
        <v>44</v>
      </c>
      <c r="W174" s="11" t="s">
        <v>57</v>
      </c>
      <c r="X174" s="11" t="s">
        <v>97</v>
      </c>
      <c r="Y174" s="11" t="s">
        <v>97</v>
      </c>
      <c r="Z174" s="11">
        <v>81984049541</v>
      </c>
      <c r="AA174" s="11" t="s">
        <v>91</v>
      </c>
      <c r="AB174" s="11"/>
      <c r="AC174" s="11"/>
      <c r="AD174" s="11" t="b">
        <v>0</v>
      </c>
      <c r="AF174" s="11"/>
      <c r="AG174" s="11"/>
      <c r="AH174" s="11"/>
      <c r="AI174" s="11"/>
    </row>
    <row r="175" ht="12.5" spans="1:35">
      <c r="A175" s="177">
        <v>45091.5467821759</v>
      </c>
      <c r="B175" s="11" t="s">
        <v>732</v>
      </c>
      <c r="C175" s="277" t="s">
        <v>733</v>
      </c>
      <c r="D175" s="19">
        <v>703401295219315</v>
      </c>
      <c r="E175" s="18" t="s">
        <v>734</v>
      </c>
      <c r="F175" s="11" t="s">
        <v>40</v>
      </c>
      <c r="G175" s="11" t="s">
        <v>41</v>
      </c>
      <c r="H175" s="24">
        <v>33877</v>
      </c>
      <c r="I175" s="277" t="s">
        <v>735</v>
      </c>
      <c r="J175" s="11" t="s">
        <v>42</v>
      </c>
      <c r="K175" s="108" t="s">
        <v>74</v>
      </c>
      <c r="N175" s="11" t="s">
        <v>43</v>
      </c>
      <c r="O175" s="11" t="s">
        <v>96</v>
      </c>
      <c r="P175" s="11" t="s">
        <v>56</v>
      </c>
      <c r="Q175" s="11" t="s">
        <v>44</v>
      </c>
      <c r="R175" s="11" t="s">
        <v>45</v>
      </c>
      <c r="S175" s="11" t="s">
        <v>44</v>
      </c>
      <c r="T175" s="11" t="s">
        <v>44</v>
      </c>
      <c r="U175" s="11" t="s">
        <v>45</v>
      </c>
      <c r="V175" s="24">
        <v>45092</v>
      </c>
      <c r="W175" s="11" t="s">
        <v>46</v>
      </c>
      <c r="X175" s="11" t="s">
        <v>47</v>
      </c>
      <c r="Y175" s="11" t="s">
        <v>58</v>
      </c>
      <c r="Z175" s="11">
        <v>81985538117</v>
      </c>
      <c r="AA175" s="11" t="s">
        <v>273</v>
      </c>
      <c r="AB175" s="11" t="s">
        <v>49</v>
      </c>
      <c r="AC175" s="11" t="s">
        <v>50</v>
      </c>
      <c r="AD175" s="11" t="b">
        <v>1</v>
      </c>
      <c r="AE175" s="11" t="s">
        <v>137</v>
      </c>
      <c r="AF175" s="11" t="s">
        <v>736</v>
      </c>
      <c r="AG175" s="11"/>
      <c r="AH175" s="11" t="s">
        <v>737</v>
      </c>
      <c r="AI175" s="11"/>
    </row>
    <row r="176" ht="12.5" spans="1:35">
      <c r="A176" s="177">
        <v>45091.6210619097</v>
      </c>
      <c r="B176" s="11" t="s">
        <v>738</v>
      </c>
      <c r="C176" s="19">
        <v>71212578406</v>
      </c>
      <c r="D176" s="211">
        <v>708004843352020</v>
      </c>
      <c r="E176" s="18" t="s">
        <v>739</v>
      </c>
      <c r="F176" s="11" t="s">
        <v>40</v>
      </c>
      <c r="G176" s="11" t="s">
        <v>54</v>
      </c>
      <c r="H176" s="24">
        <v>36813</v>
      </c>
      <c r="I176" s="19" t="s">
        <v>740</v>
      </c>
      <c r="J176" s="11" t="s">
        <v>42</v>
      </c>
      <c r="K176" s="108" t="s">
        <v>741</v>
      </c>
      <c r="N176" s="11" t="s">
        <v>43</v>
      </c>
      <c r="O176" s="11" t="s">
        <v>65</v>
      </c>
      <c r="P176" s="11" t="s">
        <v>66</v>
      </c>
      <c r="Q176" s="11" t="s">
        <v>44</v>
      </c>
      <c r="R176" s="11" t="s">
        <v>45</v>
      </c>
      <c r="S176" s="11" t="s">
        <v>44</v>
      </c>
      <c r="T176" s="11" t="s">
        <v>44</v>
      </c>
      <c r="U176" s="11" t="s">
        <v>45</v>
      </c>
      <c r="V176" s="24">
        <v>45092</v>
      </c>
      <c r="W176" s="11" t="s">
        <v>46</v>
      </c>
      <c r="X176" s="11" t="s">
        <v>47</v>
      </c>
      <c r="Y176" s="11" t="s">
        <v>58</v>
      </c>
      <c r="Z176" s="11">
        <v>81994710465</v>
      </c>
      <c r="AA176" s="11" t="s">
        <v>273</v>
      </c>
      <c r="AB176" s="11" t="s">
        <v>98</v>
      </c>
      <c r="AC176" s="11"/>
      <c r="AD176" s="11" t="b">
        <v>0</v>
      </c>
      <c r="AF176" s="11" t="s">
        <v>742</v>
      </c>
      <c r="AG176" s="11" t="s">
        <v>743</v>
      </c>
      <c r="AH176" s="11" t="s">
        <v>744</v>
      </c>
      <c r="AI176" s="11"/>
    </row>
    <row r="177" ht="12.5" spans="1:35">
      <c r="A177" s="177">
        <v>45091.6353005093</v>
      </c>
      <c r="B177" s="11" t="s">
        <v>178</v>
      </c>
      <c r="C177" s="19">
        <v>11784645478</v>
      </c>
      <c r="D177" s="19">
        <v>701207029183712</v>
      </c>
      <c r="F177" s="11" t="s">
        <v>40</v>
      </c>
      <c r="G177" s="11" t="s">
        <v>54</v>
      </c>
      <c r="H177" s="24">
        <v>35445</v>
      </c>
      <c r="I177" s="19" t="s">
        <v>745</v>
      </c>
      <c r="J177" s="11" t="s">
        <v>81</v>
      </c>
      <c r="K177" s="108"/>
      <c r="L177" s="11" t="s">
        <v>109</v>
      </c>
      <c r="N177" s="11" t="s">
        <v>95</v>
      </c>
      <c r="O177" s="11" t="s">
        <v>127</v>
      </c>
      <c r="P177" s="11" t="s">
        <v>44</v>
      </c>
      <c r="Q177" s="11" t="s">
        <v>44</v>
      </c>
      <c r="R177" s="11" t="s">
        <v>45</v>
      </c>
      <c r="S177" s="11" t="s">
        <v>45</v>
      </c>
      <c r="T177" s="11" t="s">
        <v>44</v>
      </c>
      <c r="U177" s="11" t="s">
        <v>44</v>
      </c>
      <c r="W177" s="11" t="s">
        <v>57</v>
      </c>
      <c r="X177" s="11" t="s">
        <v>97</v>
      </c>
      <c r="Y177" s="11" t="s">
        <v>97</v>
      </c>
      <c r="Z177" s="11">
        <v>81988890611</v>
      </c>
      <c r="AA177" s="11" t="s">
        <v>91</v>
      </c>
      <c r="AB177" s="11"/>
      <c r="AC177" s="11"/>
      <c r="AD177" s="11" t="b">
        <v>0</v>
      </c>
      <c r="AF177" s="11"/>
      <c r="AG177" s="11"/>
      <c r="AH177" s="11"/>
      <c r="AI177" s="11"/>
    </row>
    <row r="178" ht="12.5" spans="1:35">
      <c r="A178" s="177">
        <v>45091.6505353472</v>
      </c>
      <c r="B178" s="11" t="s">
        <v>746</v>
      </c>
      <c r="C178" s="19">
        <v>11633312445</v>
      </c>
      <c r="D178" s="19">
        <v>703403421894200</v>
      </c>
      <c r="E178" s="18" t="s">
        <v>747</v>
      </c>
      <c r="F178" s="11" t="s">
        <v>40</v>
      </c>
      <c r="G178" s="11" t="s">
        <v>54</v>
      </c>
      <c r="H178" s="24">
        <v>37576</v>
      </c>
      <c r="I178" s="277" t="s">
        <v>748</v>
      </c>
      <c r="J178" s="11" t="s">
        <v>42</v>
      </c>
      <c r="K178" s="108" t="s">
        <v>155</v>
      </c>
      <c r="N178" s="11" t="s">
        <v>64</v>
      </c>
      <c r="O178" s="11" t="s">
        <v>96</v>
      </c>
      <c r="P178" s="11" t="s">
        <v>66</v>
      </c>
      <c r="Q178" s="11" t="s">
        <v>44</v>
      </c>
      <c r="R178" s="11" t="s">
        <v>45</v>
      </c>
      <c r="S178" s="11" t="s">
        <v>83</v>
      </c>
      <c r="T178" s="11" t="s">
        <v>44</v>
      </c>
      <c r="U178" s="11" t="s">
        <v>45</v>
      </c>
      <c r="V178" s="24">
        <v>45092</v>
      </c>
      <c r="W178" s="11" t="s">
        <v>57</v>
      </c>
      <c r="X178" s="11" t="s">
        <v>47</v>
      </c>
      <c r="Y178" s="11" t="s">
        <v>58</v>
      </c>
      <c r="Z178" s="11">
        <v>81988553405</v>
      </c>
      <c r="AA178" s="11" t="s">
        <v>103</v>
      </c>
      <c r="AB178" s="11" t="s">
        <v>98</v>
      </c>
      <c r="AC178" s="11"/>
      <c r="AD178" s="11" t="b">
        <v>0</v>
      </c>
      <c r="AF178" s="11" t="s">
        <v>749</v>
      </c>
      <c r="AG178" s="11" t="s">
        <v>750</v>
      </c>
      <c r="AH178" s="11" t="s">
        <v>751</v>
      </c>
      <c r="AI178" s="11"/>
    </row>
    <row r="179" ht="12.5" spans="1:35">
      <c r="A179" s="177">
        <v>45091.7349049421</v>
      </c>
      <c r="B179" s="11" t="s">
        <v>752</v>
      </c>
      <c r="C179" s="19">
        <v>14118111438</v>
      </c>
      <c r="D179" s="19">
        <v>704007160101070</v>
      </c>
      <c r="E179" s="18" t="s">
        <v>753</v>
      </c>
      <c r="F179" s="11" t="s">
        <v>40</v>
      </c>
      <c r="G179" s="11" t="s">
        <v>135</v>
      </c>
      <c r="H179" s="24">
        <v>37878</v>
      </c>
      <c r="I179" s="277" t="s">
        <v>754</v>
      </c>
      <c r="J179" s="11" t="s">
        <v>42</v>
      </c>
      <c r="K179" s="108" t="s">
        <v>755</v>
      </c>
      <c r="N179" s="11" t="s">
        <v>43</v>
      </c>
      <c r="O179" s="11" t="s">
        <v>44</v>
      </c>
      <c r="P179" s="11" t="s">
        <v>44</v>
      </c>
      <c r="Q179" s="11" t="s">
        <v>44</v>
      </c>
      <c r="R179" s="11" t="s">
        <v>45</v>
      </c>
      <c r="S179" s="11" t="s">
        <v>45</v>
      </c>
      <c r="T179" s="11" t="s">
        <v>44</v>
      </c>
      <c r="U179" s="11" t="s">
        <v>44</v>
      </c>
      <c r="W179" s="11" t="s">
        <v>46</v>
      </c>
      <c r="X179" s="11" t="s">
        <v>203</v>
      </c>
      <c r="Y179" s="11" t="s">
        <v>58</v>
      </c>
      <c r="Z179" s="11">
        <v>81999436287</v>
      </c>
      <c r="AA179" s="11" t="s">
        <v>273</v>
      </c>
      <c r="AB179" s="11"/>
      <c r="AC179" s="11"/>
      <c r="AD179" s="11" t="b">
        <v>0</v>
      </c>
      <c r="AF179" s="11"/>
      <c r="AG179" s="11"/>
      <c r="AH179" s="11"/>
      <c r="AI179" s="11"/>
    </row>
    <row r="180" ht="12.5" spans="1:35">
      <c r="A180" s="177">
        <v>45091.7853436806</v>
      </c>
      <c r="B180" s="11" t="s">
        <v>756</v>
      </c>
      <c r="C180" s="19">
        <v>14549161418</v>
      </c>
      <c r="D180" s="19">
        <v>701805288964276</v>
      </c>
      <c r="E180" s="18" t="s">
        <v>757</v>
      </c>
      <c r="F180" s="11" t="s">
        <v>217</v>
      </c>
      <c r="G180" s="11" t="s">
        <v>41</v>
      </c>
      <c r="H180" s="24">
        <v>37431</v>
      </c>
      <c r="I180" s="277" t="s">
        <v>758</v>
      </c>
      <c r="J180" s="11" t="s">
        <v>42</v>
      </c>
      <c r="K180" s="108" t="s">
        <v>759</v>
      </c>
      <c r="N180" s="11" t="s">
        <v>43</v>
      </c>
      <c r="O180" s="11" t="s">
        <v>96</v>
      </c>
      <c r="P180" s="11" t="s">
        <v>66</v>
      </c>
      <c r="Q180" s="11" t="s">
        <v>44</v>
      </c>
      <c r="R180" s="11" t="s">
        <v>44</v>
      </c>
      <c r="S180" s="11" t="s">
        <v>44</v>
      </c>
      <c r="T180" s="11" t="s">
        <v>44</v>
      </c>
      <c r="U180" s="11" t="s">
        <v>44</v>
      </c>
      <c r="V180" s="24">
        <v>45093</v>
      </c>
      <c r="W180" s="11" t="s">
        <v>46</v>
      </c>
      <c r="X180" s="11" t="s">
        <v>203</v>
      </c>
      <c r="Y180" s="11" t="s">
        <v>58</v>
      </c>
      <c r="Z180" s="11">
        <v>81997627361</v>
      </c>
      <c r="AA180" s="11" t="s">
        <v>273</v>
      </c>
      <c r="AB180" s="11" t="s">
        <v>98</v>
      </c>
      <c r="AC180" s="11"/>
      <c r="AD180" s="11" t="b">
        <v>0</v>
      </c>
      <c r="AF180" s="11" t="s">
        <v>760</v>
      </c>
      <c r="AG180" s="11" t="s">
        <v>614</v>
      </c>
      <c r="AH180" s="11" t="s">
        <v>761</v>
      </c>
      <c r="AI180" s="11"/>
    </row>
    <row r="181" ht="12.5" spans="1:35">
      <c r="A181" s="177">
        <v>45092.396159537</v>
      </c>
      <c r="B181" s="11" t="s">
        <v>732</v>
      </c>
      <c r="C181" s="277" t="s">
        <v>733</v>
      </c>
      <c r="D181" s="19">
        <v>703401295219315</v>
      </c>
      <c r="E181" s="18" t="s">
        <v>762</v>
      </c>
      <c r="F181" s="11" t="s">
        <v>40</v>
      </c>
      <c r="G181" s="11" t="s">
        <v>41</v>
      </c>
      <c r="H181" s="24">
        <v>33877</v>
      </c>
      <c r="I181" s="277" t="s">
        <v>735</v>
      </c>
      <c r="J181" s="11" t="s">
        <v>42</v>
      </c>
      <c r="K181" s="108" t="s">
        <v>74</v>
      </c>
      <c r="N181" s="11" t="s">
        <v>95</v>
      </c>
      <c r="O181" s="11" t="s">
        <v>96</v>
      </c>
      <c r="P181" s="11" t="s">
        <v>56</v>
      </c>
      <c r="Q181" s="11" t="s">
        <v>44</v>
      </c>
      <c r="R181" s="11" t="s">
        <v>45</v>
      </c>
      <c r="S181" s="11" t="s">
        <v>45</v>
      </c>
      <c r="T181" s="11" t="s">
        <v>44</v>
      </c>
      <c r="U181" s="11" t="s">
        <v>45</v>
      </c>
      <c r="V181" s="24">
        <v>45092</v>
      </c>
      <c r="W181" s="11" t="s">
        <v>57</v>
      </c>
      <c r="X181" s="11" t="s">
        <v>97</v>
      </c>
      <c r="Y181" s="11" t="s">
        <v>97</v>
      </c>
      <c r="Z181" s="11">
        <v>81985538117</v>
      </c>
      <c r="AA181" s="11" t="s">
        <v>115</v>
      </c>
      <c r="AB181" s="11" t="s">
        <v>49</v>
      </c>
      <c r="AC181" s="11" t="s">
        <v>50</v>
      </c>
      <c r="AD181" s="11" t="b">
        <v>0</v>
      </c>
      <c r="AF181" s="11" t="s">
        <v>763</v>
      </c>
      <c r="AG181" s="11"/>
      <c r="AH181" s="11"/>
      <c r="AI181" s="11"/>
    </row>
    <row r="182" ht="12.5" spans="1:35">
      <c r="A182" s="177">
        <v>45092.5803183333</v>
      </c>
      <c r="B182" s="11" t="s">
        <v>674</v>
      </c>
      <c r="C182" s="19">
        <v>12618533429</v>
      </c>
      <c r="D182" s="19">
        <v>704201206184189</v>
      </c>
      <c r="E182" s="18" t="s">
        <v>764</v>
      </c>
      <c r="F182" s="11" t="s">
        <v>40</v>
      </c>
      <c r="G182" s="11" t="s">
        <v>54</v>
      </c>
      <c r="H182" s="24">
        <v>35782</v>
      </c>
      <c r="I182" s="19" t="s">
        <v>136</v>
      </c>
      <c r="J182" s="11" t="s">
        <v>42</v>
      </c>
      <c r="K182" s="108" t="s">
        <v>202</v>
      </c>
      <c r="N182" s="11" t="s">
        <v>95</v>
      </c>
      <c r="O182" s="11" t="s">
        <v>44</v>
      </c>
      <c r="P182" s="11" t="s">
        <v>44</v>
      </c>
      <c r="Q182" s="11" t="s">
        <v>44</v>
      </c>
      <c r="R182" s="11" t="s">
        <v>45</v>
      </c>
      <c r="S182" s="11" t="s">
        <v>45</v>
      </c>
      <c r="T182" s="11" t="s">
        <v>44</v>
      </c>
      <c r="U182" s="11" t="s">
        <v>44</v>
      </c>
      <c r="W182" s="11" t="s">
        <v>46</v>
      </c>
      <c r="X182" s="11" t="s">
        <v>97</v>
      </c>
      <c r="Y182" s="11" t="s">
        <v>97</v>
      </c>
      <c r="Z182" s="11">
        <v>81996549887</v>
      </c>
      <c r="AA182" s="11" t="s">
        <v>115</v>
      </c>
      <c r="AB182" s="11"/>
      <c r="AC182" s="11"/>
      <c r="AD182" s="11" t="b">
        <v>0</v>
      </c>
      <c r="AF182" s="11"/>
      <c r="AG182" s="11"/>
      <c r="AH182" s="11" t="s">
        <v>765</v>
      </c>
      <c r="AI182" s="11"/>
    </row>
    <row r="183" ht="12.5" spans="1:35">
      <c r="A183" s="177">
        <v>45092.6433898727</v>
      </c>
      <c r="B183" s="11" t="s">
        <v>647</v>
      </c>
      <c r="C183" s="19">
        <v>10871836424</v>
      </c>
      <c r="D183" s="19">
        <v>706200093511568</v>
      </c>
      <c r="F183" s="11" t="s">
        <v>40</v>
      </c>
      <c r="G183" s="11" t="s">
        <v>54</v>
      </c>
      <c r="H183" s="24">
        <v>34702</v>
      </c>
      <c r="I183" s="19" t="s">
        <v>766</v>
      </c>
      <c r="J183" s="11" t="s">
        <v>438</v>
      </c>
      <c r="K183" s="108"/>
      <c r="M183" s="11" t="s">
        <v>439</v>
      </c>
      <c r="N183" s="11" t="s">
        <v>95</v>
      </c>
      <c r="O183" s="11" t="s">
        <v>44</v>
      </c>
      <c r="P183" s="11" t="s">
        <v>44</v>
      </c>
      <c r="Q183" s="11" t="s">
        <v>44</v>
      </c>
      <c r="R183" s="11" t="s">
        <v>45</v>
      </c>
      <c r="S183" s="11" t="s">
        <v>83</v>
      </c>
      <c r="T183" s="11" t="s">
        <v>44</v>
      </c>
      <c r="U183" s="11" t="s">
        <v>44</v>
      </c>
      <c r="W183" s="11" t="s">
        <v>57</v>
      </c>
      <c r="X183" s="11" t="s">
        <v>97</v>
      </c>
      <c r="Y183" s="11" t="s">
        <v>97</v>
      </c>
      <c r="Z183" s="11">
        <v>81997022233</v>
      </c>
      <c r="AA183" s="11" t="s">
        <v>91</v>
      </c>
      <c r="AB183" s="11"/>
      <c r="AC183" s="11"/>
      <c r="AD183" s="11" t="b">
        <v>0</v>
      </c>
      <c r="AF183" s="11"/>
      <c r="AG183" s="11"/>
      <c r="AH183" s="11"/>
      <c r="AI183" s="11"/>
    </row>
    <row r="184" ht="12.5" spans="1:35">
      <c r="A184" s="177">
        <v>45092.7275694444</v>
      </c>
      <c r="B184" s="11" t="s">
        <v>732</v>
      </c>
      <c r="C184" s="277" t="s">
        <v>733</v>
      </c>
      <c r="D184" s="19">
        <v>703401295219315</v>
      </c>
      <c r="F184" s="11" t="s">
        <v>40</v>
      </c>
      <c r="G184" s="11" t="s">
        <v>41</v>
      </c>
      <c r="H184" s="24">
        <v>33877</v>
      </c>
      <c r="I184" s="277" t="s">
        <v>735</v>
      </c>
      <c r="J184" s="11" t="s">
        <v>42</v>
      </c>
      <c r="K184" s="108" t="s">
        <v>74</v>
      </c>
      <c r="N184" s="11" t="s">
        <v>95</v>
      </c>
      <c r="O184" s="11" t="s">
        <v>96</v>
      </c>
      <c r="P184" s="11" t="s">
        <v>66</v>
      </c>
      <c r="Q184" s="11" t="s">
        <v>44</v>
      </c>
      <c r="R184" s="11" t="s">
        <v>45</v>
      </c>
      <c r="S184" s="11" t="s">
        <v>45</v>
      </c>
      <c r="T184" s="11" t="s">
        <v>44</v>
      </c>
      <c r="U184" s="11" t="s">
        <v>45</v>
      </c>
      <c r="V184" s="24">
        <v>45093</v>
      </c>
      <c r="W184" s="11" t="s">
        <v>57</v>
      </c>
      <c r="X184" s="11" t="s">
        <v>97</v>
      </c>
      <c r="Y184" s="11" t="s">
        <v>97</v>
      </c>
      <c r="Z184" s="11">
        <v>81985538117</v>
      </c>
      <c r="AA184" s="11" t="s">
        <v>115</v>
      </c>
      <c r="AB184" s="11" t="s">
        <v>49</v>
      </c>
      <c r="AC184" s="11" t="s">
        <v>256</v>
      </c>
      <c r="AD184" s="11" t="b">
        <v>0</v>
      </c>
      <c r="AF184" s="11" t="s">
        <v>767</v>
      </c>
      <c r="AG184" s="11" t="s">
        <v>768</v>
      </c>
      <c r="AH184" s="11" t="s">
        <v>769</v>
      </c>
      <c r="AI184" s="11"/>
    </row>
    <row r="185" ht="12.5" spans="1:35">
      <c r="A185" s="212">
        <v>45092.8325747569</v>
      </c>
      <c r="B185" s="11" t="s">
        <v>770</v>
      </c>
      <c r="C185" s="19">
        <v>11635639433</v>
      </c>
      <c r="D185" s="19">
        <v>706401602918082</v>
      </c>
      <c r="E185" s="18" t="s">
        <v>771</v>
      </c>
      <c r="F185" s="11" t="s">
        <v>40</v>
      </c>
      <c r="G185" s="11" t="s">
        <v>54</v>
      </c>
      <c r="H185" s="24">
        <v>35346</v>
      </c>
      <c r="I185" s="277" t="s">
        <v>772</v>
      </c>
      <c r="J185" s="11" t="s">
        <v>42</v>
      </c>
      <c r="K185" s="108" t="s">
        <v>202</v>
      </c>
      <c r="N185" s="11" t="s">
        <v>43</v>
      </c>
      <c r="O185" s="11" t="s">
        <v>44</v>
      </c>
      <c r="P185" s="11" t="s">
        <v>44</v>
      </c>
      <c r="Q185" s="11" t="s">
        <v>44</v>
      </c>
      <c r="R185" s="11" t="s">
        <v>45</v>
      </c>
      <c r="S185" s="11" t="s">
        <v>44</v>
      </c>
      <c r="T185" s="11" t="s">
        <v>44</v>
      </c>
      <c r="U185" s="11" t="s">
        <v>44</v>
      </c>
      <c r="W185" s="11" t="s">
        <v>46</v>
      </c>
      <c r="X185" s="11" t="s">
        <v>203</v>
      </c>
      <c r="Y185" s="11" t="s">
        <v>68</v>
      </c>
      <c r="Z185" s="11">
        <v>81984720957</v>
      </c>
      <c r="AA185" s="11" t="s">
        <v>115</v>
      </c>
      <c r="AB185" s="11"/>
      <c r="AC185" s="11"/>
      <c r="AD185" s="11" t="b">
        <v>0</v>
      </c>
      <c r="AF185" s="11"/>
      <c r="AG185" s="11"/>
      <c r="AH185" s="11"/>
      <c r="AI185" s="11"/>
    </row>
    <row r="186" ht="12.5" spans="1:35">
      <c r="A186" s="177">
        <v>45093.363765463</v>
      </c>
      <c r="B186" s="11" t="s">
        <v>773</v>
      </c>
      <c r="C186" s="277" t="s">
        <v>774</v>
      </c>
      <c r="D186" s="19">
        <v>700801977487189</v>
      </c>
      <c r="E186" s="18" t="s">
        <v>775</v>
      </c>
      <c r="F186" s="11" t="s">
        <v>40</v>
      </c>
      <c r="G186" s="11" t="s">
        <v>54</v>
      </c>
      <c r="H186" s="24">
        <v>37923</v>
      </c>
      <c r="I186" s="277" t="s">
        <v>776</v>
      </c>
      <c r="J186" s="11" t="s">
        <v>42</v>
      </c>
      <c r="K186" s="108" t="s">
        <v>777</v>
      </c>
      <c r="N186" s="11" t="s">
        <v>43</v>
      </c>
      <c r="O186" s="11" t="s">
        <v>44</v>
      </c>
      <c r="P186" s="11" t="s">
        <v>44</v>
      </c>
      <c r="Q186" s="11" t="s">
        <v>44</v>
      </c>
      <c r="R186" s="11" t="s">
        <v>45</v>
      </c>
      <c r="S186" s="11" t="s">
        <v>44</v>
      </c>
      <c r="T186" s="11" t="s">
        <v>44</v>
      </c>
      <c r="U186" s="11" t="s">
        <v>44</v>
      </c>
      <c r="W186" s="11" t="s">
        <v>46</v>
      </c>
      <c r="X186" s="11" t="s">
        <v>67</v>
      </c>
      <c r="Y186" s="11" t="s">
        <v>58</v>
      </c>
      <c r="Z186" s="11">
        <v>81984833707</v>
      </c>
      <c r="AA186" s="11" t="s">
        <v>103</v>
      </c>
      <c r="AB186" s="11"/>
      <c r="AC186" s="11"/>
      <c r="AD186" s="11" t="b">
        <v>0</v>
      </c>
      <c r="AF186" s="11"/>
      <c r="AG186" s="11"/>
      <c r="AH186" s="11"/>
      <c r="AI186" s="11"/>
    </row>
    <row r="187" ht="12.5" spans="1:35">
      <c r="A187" s="177">
        <v>45093.4169917361</v>
      </c>
      <c r="B187" s="11" t="s">
        <v>727</v>
      </c>
      <c r="C187" s="19">
        <v>71003727476</v>
      </c>
      <c r="D187" s="19">
        <v>707808603525913</v>
      </c>
      <c r="E187" s="18" t="s">
        <v>778</v>
      </c>
      <c r="F187" s="11" t="s">
        <v>40</v>
      </c>
      <c r="G187" s="11" t="s">
        <v>54</v>
      </c>
      <c r="H187" s="24">
        <v>35866</v>
      </c>
      <c r="I187" s="277" t="s">
        <v>729</v>
      </c>
      <c r="J187" s="11" t="s">
        <v>42</v>
      </c>
      <c r="K187" s="108" t="s">
        <v>63</v>
      </c>
      <c r="N187" s="11" t="s">
        <v>95</v>
      </c>
      <c r="O187" s="11" t="s">
        <v>44</v>
      </c>
      <c r="P187" s="11" t="s">
        <v>44</v>
      </c>
      <c r="Q187" s="11" t="s">
        <v>44</v>
      </c>
      <c r="R187" s="11" t="s">
        <v>45</v>
      </c>
      <c r="S187" s="11" t="s">
        <v>83</v>
      </c>
      <c r="T187" s="11" t="s">
        <v>44</v>
      </c>
      <c r="U187" s="11" t="s">
        <v>44</v>
      </c>
      <c r="W187" s="11" t="s">
        <v>57</v>
      </c>
      <c r="X187" s="11" t="s">
        <v>97</v>
      </c>
      <c r="Y187" s="11" t="s">
        <v>97</v>
      </c>
      <c r="Z187" s="11">
        <v>81994539085</v>
      </c>
      <c r="AA187" s="11" t="s">
        <v>91</v>
      </c>
      <c r="AB187" s="11"/>
      <c r="AC187" s="11"/>
      <c r="AD187" s="11" t="b">
        <v>0</v>
      </c>
      <c r="AF187" s="11"/>
      <c r="AG187" s="11"/>
      <c r="AH187" s="11"/>
      <c r="AI187" s="11"/>
    </row>
    <row r="188" ht="12.5" spans="1:35">
      <c r="A188" s="177">
        <v>45093.5166221296</v>
      </c>
      <c r="B188" s="11" t="s">
        <v>779</v>
      </c>
      <c r="C188" s="19">
        <v>70161894496</v>
      </c>
      <c r="D188" s="19">
        <v>704805587922146</v>
      </c>
      <c r="E188" s="18" t="s">
        <v>780</v>
      </c>
      <c r="F188" s="11" t="s">
        <v>40</v>
      </c>
      <c r="G188" s="11" t="s">
        <v>41</v>
      </c>
      <c r="H188" s="24">
        <v>36281</v>
      </c>
      <c r="I188" s="19" t="s">
        <v>136</v>
      </c>
      <c r="J188" s="11" t="s">
        <v>81</v>
      </c>
      <c r="K188" s="108"/>
      <c r="L188" s="11" t="s">
        <v>525</v>
      </c>
      <c r="N188" s="11" t="s">
        <v>43</v>
      </c>
      <c r="O188" s="11" t="s">
        <v>65</v>
      </c>
      <c r="P188" s="11" t="s">
        <v>66</v>
      </c>
      <c r="Q188" s="11" t="s">
        <v>45</v>
      </c>
      <c r="R188" s="11" t="s">
        <v>45</v>
      </c>
      <c r="S188" s="11" t="s">
        <v>45</v>
      </c>
      <c r="T188" s="11" t="s">
        <v>44</v>
      </c>
      <c r="U188" s="11" t="s">
        <v>45</v>
      </c>
      <c r="V188" s="24">
        <v>45094</v>
      </c>
      <c r="W188" s="11" t="s">
        <v>46</v>
      </c>
      <c r="X188" s="11" t="s">
        <v>47</v>
      </c>
      <c r="Y188" s="11" t="s">
        <v>58</v>
      </c>
      <c r="Z188" s="11">
        <v>81985169878</v>
      </c>
      <c r="AA188" s="11" t="s">
        <v>103</v>
      </c>
      <c r="AB188" s="11" t="s">
        <v>49</v>
      </c>
      <c r="AC188" s="11" t="s">
        <v>50</v>
      </c>
      <c r="AD188" s="11" t="b">
        <v>1</v>
      </c>
      <c r="AE188" s="11" t="s">
        <v>137</v>
      </c>
      <c r="AF188" s="214" t="s">
        <v>781</v>
      </c>
      <c r="AG188" s="11"/>
      <c r="AH188" s="11"/>
      <c r="AI188" s="11"/>
    </row>
    <row r="189" ht="12.5" spans="1:35">
      <c r="A189" s="177">
        <v>45093.5534460069</v>
      </c>
      <c r="B189" s="11" t="s">
        <v>363</v>
      </c>
      <c r="C189" s="19">
        <v>10989907490</v>
      </c>
      <c r="D189" s="179">
        <v>701009899857591</v>
      </c>
      <c r="E189" s="18" t="s">
        <v>782</v>
      </c>
      <c r="F189" s="11" t="s">
        <v>225</v>
      </c>
      <c r="G189" s="11" t="s">
        <v>54</v>
      </c>
      <c r="H189" s="24">
        <v>33514</v>
      </c>
      <c r="I189" s="277" t="s">
        <v>714</v>
      </c>
      <c r="J189" s="11" t="s">
        <v>81</v>
      </c>
      <c r="K189" s="108"/>
      <c r="L189" s="11" t="s">
        <v>783</v>
      </c>
      <c r="N189" s="11" t="s">
        <v>43</v>
      </c>
      <c r="O189" s="11" t="s">
        <v>65</v>
      </c>
      <c r="P189" s="11" t="s">
        <v>66</v>
      </c>
      <c r="Q189" s="11" t="s">
        <v>44</v>
      </c>
      <c r="R189" s="11" t="s">
        <v>45</v>
      </c>
      <c r="S189" s="11" t="s">
        <v>45</v>
      </c>
      <c r="T189" s="11" t="s">
        <v>44</v>
      </c>
      <c r="U189" s="11" t="s">
        <v>45</v>
      </c>
      <c r="V189" s="24">
        <v>45094</v>
      </c>
      <c r="W189" s="11" t="s">
        <v>46</v>
      </c>
      <c r="X189" s="11" t="s">
        <v>47</v>
      </c>
      <c r="Y189" s="40" t="s">
        <v>784</v>
      </c>
      <c r="Z189" s="11">
        <v>81991976460</v>
      </c>
      <c r="AA189" s="11" t="s">
        <v>91</v>
      </c>
      <c r="AB189" s="11" t="s">
        <v>98</v>
      </c>
      <c r="AC189" s="11"/>
      <c r="AD189" s="11" t="b">
        <v>0</v>
      </c>
      <c r="AF189" s="11" t="s">
        <v>785</v>
      </c>
      <c r="AG189" s="11"/>
      <c r="AH189" s="11"/>
      <c r="AI189" s="11"/>
    </row>
    <row r="190" ht="12.5" spans="1:35">
      <c r="A190" s="177">
        <v>45093.6209915972</v>
      </c>
      <c r="B190" s="11" t="s">
        <v>786</v>
      </c>
      <c r="C190" s="277" t="s">
        <v>787</v>
      </c>
      <c r="D190" s="19">
        <v>706801210740520</v>
      </c>
      <c r="E190" s="18" t="s">
        <v>788</v>
      </c>
      <c r="F190" s="11" t="s">
        <v>225</v>
      </c>
      <c r="G190" s="11" t="s">
        <v>41</v>
      </c>
      <c r="H190" s="24">
        <v>31876</v>
      </c>
      <c r="I190" s="277" t="s">
        <v>789</v>
      </c>
      <c r="J190" s="11" t="s">
        <v>42</v>
      </c>
      <c r="K190" s="108" t="s">
        <v>790</v>
      </c>
      <c r="N190" s="11" t="s">
        <v>43</v>
      </c>
      <c r="O190" s="11" t="s">
        <v>44</v>
      </c>
      <c r="P190" s="11" t="s">
        <v>56</v>
      </c>
      <c r="Q190" s="11" t="s">
        <v>45</v>
      </c>
      <c r="R190" s="11" t="s">
        <v>44</v>
      </c>
      <c r="S190" s="11" t="s">
        <v>44</v>
      </c>
      <c r="T190" s="11" t="s">
        <v>44</v>
      </c>
      <c r="U190" s="11" t="s">
        <v>45</v>
      </c>
      <c r="V190" s="24">
        <v>45107</v>
      </c>
      <c r="W190" s="11" t="s">
        <v>46</v>
      </c>
      <c r="X190" s="11" t="s">
        <v>47</v>
      </c>
      <c r="Y190" s="11" t="s">
        <v>58</v>
      </c>
      <c r="Z190" s="11">
        <v>81996052492</v>
      </c>
      <c r="AA190" s="11" t="s">
        <v>273</v>
      </c>
      <c r="AB190" s="11" t="s">
        <v>49</v>
      </c>
      <c r="AC190" s="11" t="s">
        <v>256</v>
      </c>
      <c r="AD190" s="11" t="b">
        <v>0</v>
      </c>
      <c r="AF190" s="11" t="s">
        <v>791</v>
      </c>
      <c r="AG190" s="11" t="s">
        <v>792</v>
      </c>
      <c r="AH190" s="11" t="s">
        <v>793</v>
      </c>
      <c r="AI190" s="11"/>
    </row>
    <row r="191" ht="12.5" spans="1:35">
      <c r="A191" s="177">
        <v>45093.7096526505</v>
      </c>
      <c r="B191" s="11" t="s">
        <v>794</v>
      </c>
      <c r="C191" s="163">
        <v>70254002463</v>
      </c>
      <c r="D191" s="19">
        <v>700509773550753</v>
      </c>
      <c r="E191" s="18" t="s">
        <v>795</v>
      </c>
      <c r="F191" s="11" t="s">
        <v>225</v>
      </c>
      <c r="G191" s="11" t="s">
        <v>41</v>
      </c>
      <c r="H191" s="24">
        <v>36258</v>
      </c>
      <c r="I191" s="19" t="s">
        <v>796</v>
      </c>
      <c r="J191" s="11" t="s">
        <v>81</v>
      </c>
      <c r="K191" s="108"/>
      <c r="L191" s="11" t="s">
        <v>520</v>
      </c>
      <c r="N191" s="11" t="s">
        <v>43</v>
      </c>
      <c r="O191" s="11" t="s">
        <v>65</v>
      </c>
      <c r="P191" s="11" t="s">
        <v>66</v>
      </c>
      <c r="Q191" s="11" t="s">
        <v>44</v>
      </c>
      <c r="R191" s="11" t="s">
        <v>45</v>
      </c>
      <c r="S191" s="11" t="s">
        <v>45</v>
      </c>
      <c r="T191" s="11" t="s">
        <v>44</v>
      </c>
      <c r="U191" s="11" t="s">
        <v>45</v>
      </c>
      <c r="V191" s="24">
        <v>45094</v>
      </c>
      <c r="W191" s="11" t="s">
        <v>57</v>
      </c>
      <c r="X191" s="11" t="s">
        <v>47</v>
      </c>
      <c r="Y191" s="11" t="s">
        <v>58</v>
      </c>
      <c r="Z191" s="11">
        <v>81995262490</v>
      </c>
      <c r="AA191" s="11" t="s">
        <v>91</v>
      </c>
      <c r="AB191" s="11" t="s">
        <v>49</v>
      </c>
      <c r="AC191" s="11" t="s">
        <v>92</v>
      </c>
      <c r="AD191" s="11" t="b">
        <v>0</v>
      </c>
      <c r="AF191" s="11" t="s">
        <v>797</v>
      </c>
      <c r="AG191" s="11"/>
      <c r="AH191" s="11"/>
      <c r="AI191" s="11"/>
    </row>
    <row r="192" ht="12.5" spans="1:35">
      <c r="A192" s="177">
        <v>45093.7342965972</v>
      </c>
      <c r="B192" s="11" t="s">
        <v>798</v>
      </c>
      <c r="C192" s="19">
        <v>71232849413</v>
      </c>
      <c r="D192" s="17"/>
      <c r="E192" s="18" t="s">
        <v>799</v>
      </c>
      <c r="F192" s="11" t="s">
        <v>40</v>
      </c>
      <c r="G192" s="11" t="s">
        <v>54</v>
      </c>
      <c r="H192" s="24">
        <v>45425</v>
      </c>
      <c r="I192" s="277" t="s">
        <v>800</v>
      </c>
      <c r="J192" s="11" t="s">
        <v>42</v>
      </c>
      <c r="K192" s="108" t="s">
        <v>399</v>
      </c>
      <c r="N192" s="11" t="s">
        <v>43</v>
      </c>
      <c r="O192" s="11" t="s">
        <v>65</v>
      </c>
      <c r="P192" s="11" t="s">
        <v>66</v>
      </c>
      <c r="Q192" s="11" t="s">
        <v>44</v>
      </c>
      <c r="R192" s="11" t="s">
        <v>45</v>
      </c>
      <c r="S192" s="11" t="s">
        <v>45</v>
      </c>
      <c r="T192" s="11" t="s">
        <v>44</v>
      </c>
      <c r="U192" s="11" t="s">
        <v>45</v>
      </c>
      <c r="V192" s="24">
        <v>45094</v>
      </c>
      <c r="W192" s="11" t="s">
        <v>46</v>
      </c>
      <c r="X192" s="11" t="s">
        <v>203</v>
      </c>
      <c r="Y192" s="11" t="s">
        <v>58</v>
      </c>
      <c r="Z192" s="11">
        <v>81983970546</v>
      </c>
      <c r="AA192" s="11" t="s">
        <v>103</v>
      </c>
      <c r="AB192" s="11" t="s">
        <v>98</v>
      </c>
      <c r="AC192" s="11"/>
      <c r="AD192" s="11" t="b">
        <v>0</v>
      </c>
      <c r="AF192" s="11" t="s">
        <v>801</v>
      </c>
      <c r="AG192" s="11"/>
      <c r="AH192" s="11" t="s">
        <v>802</v>
      </c>
      <c r="AI192" s="11"/>
    </row>
    <row r="193" ht="12.5" spans="1:35">
      <c r="A193" s="177">
        <v>45093.7682659722</v>
      </c>
      <c r="B193" s="11" t="s">
        <v>732</v>
      </c>
      <c r="C193" s="277" t="s">
        <v>733</v>
      </c>
      <c r="D193" s="19">
        <v>703401295219315</v>
      </c>
      <c r="F193" s="11" t="s">
        <v>225</v>
      </c>
      <c r="G193" s="11" t="s">
        <v>41</v>
      </c>
      <c r="H193" s="24">
        <v>33877</v>
      </c>
      <c r="I193" s="277" t="s">
        <v>735</v>
      </c>
      <c r="J193" s="11" t="s">
        <v>42</v>
      </c>
      <c r="K193" s="108" t="s">
        <v>74</v>
      </c>
      <c r="N193" s="11" t="s">
        <v>95</v>
      </c>
      <c r="O193" s="11" t="s">
        <v>44</v>
      </c>
      <c r="P193" s="11" t="s">
        <v>44</v>
      </c>
      <c r="Q193" s="11" t="s">
        <v>44</v>
      </c>
      <c r="R193" s="11" t="s">
        <v>45</v>
      </c>
      <c r="S193" s="11" t="s">
        <v>45</v>
      </c>
      <c r="T193" s="11" t="s">
        <v>44</v>
      </c>
      <c r="U193" s="11" t="s">
        <v>44</v>
      </c>
      <c r="W193" s="11" t="s">
        <v>57</v>
      </c>
      <c r="X193" s="11" t="s">
        <v>97</v>
      </c>
      <c r="Y193" s="11" t="s">
        <v>97</v>
      </c>
      <c r="Z193" s="11">
        <v>81985538117</v>
      </c>
      <c r="AA193" s="11" t="s">
        <v>273</v>
      </c>
      <c r="AB193" s="11"/>
      <c r="AC193" s="11"/>
      <c r="AD193" s="11" t="b">
        <v>0</v>
      </c>
      <c r="AF193" s="11"/>
      <c r="AG193" s="11"/>
      <c r="AH193" s="11"/>
      <c r="AI193" s="11"/>
    </row>
    <row r="194" ht="12.5" spans="1:35">
      <c r="A194" s="177">
        <v>45094.3997690625</v>
      </c>
      <c r="B194" s="11" t="s">
        <v>779</v>
      </c>
      <c r="C194" s="19">
        <v>70161894496</v>
      </c>
      <c r="D194" s="19">
        <v>704805587922146</v>
      </c>
      <c r="E194" s="18" t="s">
        <v>803</v>
      </c>
      <c r="F194" s="11" t="s">
        <v>40</v>
      </c>
      <c r="G194" s="11" t="s">
        <v>41</v>
      </c>
      <c r="H194" s="24">
        <v>36281</v>
      </c>
      <c r="I194" s="19" t="s">
        <v>136</v>
      </c>
      <c r="J194" s="11" t="s">
        <v>81</v>
      </c>
      <c r="K194" s="108"/>
      <c r="L194" s="11" t="s">
        <v>525</v>
      </c>
      <c r="N194" s="11" t="s">
        <v>95</v>
      </c>
      <c r="O194" s="11" t="s">
        <v>127</v>
      </c>
      <c r="P194" s="11" t="s">
        <v>44</v>
      </c>
      <c r="Q194" s="11" t="s">
        <v>44</v>
      </c>
      <c r="R194" s="11" t="s">
        <v>45</v>
      </c>
      <c r="S194" s="11" t="s">
        <v>45</v>
      </c>
      <c r="T194" s="11" t="s">
        <v>44</v>
      </c>
      <c r="U194" s="11" t="s">
        <v>44</v>
      </c>
      <c r="W194" s="11" t="s">
        <v>57</v>
      </c>
      <c r="X194" s="11" t="s">
        <v>97</v>
      </c>
      <c r="Y194" s="11" t="s">
        <v>97</v>
      </c>
      <c r="Z194" s="11">
        <v>81985169878</v>
      </c>
      <c r="AA194" s="11" t="s">
        <v>115</v>
      </c>
      <c r="AB194" s="11"/>
      <c r="AC194" s="11"/>
      <c r="AD194" s="11" t="b">
        <v>0</v>
      </c>
      <c r="AF194" s="11"/>
      <c r="AG194" s="11"/>
      <c r="AH194" s="11"/>
      <c r="AI194" s="11"/>
    </row>
    <row r="195" ht="12.5" spans="1:35">
      <c r="A195" s="177">
        <v>45094.4282506713</v>
      </c>
      <c r="B195" s="11" t="s">
        <v>794</v>
      </c>
      <c r="C195" s="19">
        <v>70254002463</v>
      </c>
      <c r="D195" s="19">
        <v>700509773550753</v>
      </c>
      <c r="F195" s="11" t="s">
        <v>225</v>
      </c>
      <c r="G195" s="11" t="s">
        <v>41</v>
      </c>
      <c r="H195" s="24">
        <v>36258</v>
      </c>
      <c r="I195" s="19" t="s">
        <v>804</v>
      </c>
      <c r="J195" s="11" t="s">
        <v>81</v>
      </c>
      <c r="K195" s="108"/>
      <c r="L195" s="11" t="s">
        <v>520</v>
      </c>
      <c r="N195" s="11" t="s">
        <v>95</v>
      </c>
      <c r="O195" s="11" t="s">
        <v>127</v>
      </c>
      <c r="P195" s="11" t="s">
        <v>44</v>
      </c>
      <c r="Q195" s="11" t="s">
        <v>44</v>
      </c>
      <c r="R195" s="11" t="s">
        <v>45</v>
      </c>
      <c r="S195" s="11" t="s">
        <v>45</v>
      </c>
      <c r="T195" s="11" t="s">
        <v>44</v>
      </c>
      <c r="U195" s="11" t="s">
        <v>44</v>
      </c>
      <c r="W195" s="11" t="s">
        <v>57</v>
      </c>
      <c r="X195" s="11" t="s">
        <v>97</v>
      </c>
      <c r="Y195" s="11" t="s">
        <v>97</v>
      </c>
      <c r="Z195" s="11">
        <v>81995262490</v>
      </c>
      <c r="AA195" s="11" t="s">
        <v>91</v>
      </c>
      <c r="AB195" s="11"/>
      <c r="AC195" s="11"/>
      <c r="AD195" s="11" t="b">
        <v>0</v>
      </c>
      <c r="AF195" s="11"/>
      <c r="AG195" s="11"/>
      <c r="AH195" s="11"/>
      <c r="AI195" s="11"/>
    </row>
    <row r="196" ht="12.5" spans="1:35">
      <c r="A196" s="177">
        <v>45094.7204166551</v>
      </c>
      <c r="B196" s="11" t="s">
        <v>805</v>
      </c>
      <c r="C196" s="277" t="s">
        <v>806</v>
      </c>
      <c r="D196" s="19">
        <v>703404238473014</v>
      </c>
      <c r="E196" s="18" t="s">
        <v>807</v>
      </c>
      <c r="F196" s="11" t="s">
        <v>40</v>
      </c>
      <c r="G196" s="11" t="s">
        <v>54</v>
      </c>
      <c r="H196" s="24">
        <v>33399</v>
      </c>
      <c r="I196" s="277" t="s">
        <v>808</v>
      </c>
      <c r="J196" s="11" t="s">
        <v>42</v>
      </c>
      <c r="K196" s="108" t="s">
        <v>399</v>
      </c>
      <c r="N196" s="11" t="s">
        <v>43</v>
      </c>
      <c r="O196" s="11" t="s">
        <v>44</v>
      </c>
      <c r="P196" s="11" t="s">
        <v>44</v>
      </c>
      <c r="Q196" s="11" t="s">
        <v>44</v>
      </c>
      <c r="R196" s="11" t="s">
        <v>45</v>
      </c>
      <c r="S196" s="11" t="s">
        <v>44</v>
      </c>
      <c r="T196" s="11" t="s">
        <v>44</v>
      </c>
      <c r="U196" s="11" t="s">
        <v>45</v>
      </c>
      <c r="V196" s="24">
        <v>45095</v>
      </c>
      <c r="W196" s="11" t="s">
        <v>46</v>
      </c>
      <c r="X196" s="11" t="s">
        <v>303</v>
      </c>
      <c r="Y196" s="11" t="s">
        <v>68</v>
      </c>
      <c r="Z196" s="11">
        <v>81986952337</v>
      </c>
      <c r="AA196" s="11" t="s">
        <v>115</v>
      </c>
      <c r="AB196" s="11" t="s">
        <v>98</v>
      </c>
      <c r="AC196" s="11"/>
      <c r="AD196" s="11" t="b">
        <v>0</v>
      </c>
      <c r="AF196" s="11" t="s">
        <v>809</v>
      </c>
      <c r="AG196" s="75" t="s">
        <v>810</v>
      </c>
      <c r="AH196" s="11"/>
      <c r="AI196" s="11"/>
    </row>
    <row r="197" ht="12.5" spans="1:35">
      <c r="A197" s="177">
        <v>45095.5360677315</v>
      </c>
      <c r="B197" s="11" t="s">
        <v>811</v>
      </c>
      <c r="C197" s="277" t="s">
        <v>812</v>
      </c>
      <c r="D197" s="19">
        <v>700504929873355</v>
      </c>
      <c r="E197" s="18" t="s">
        <v>813</v>
      </c>
      <c r="F197" s="11" t="s">
        <v>40</v>
      </c>
      <c r="G197" s="11" t="s">
        <v>54</v>
      </c>
      <c r="H197" s="24">
        <v>34555</v>
      </c>
      <c r="I197" s="277" t="s">
        <v>754</v>
      </c>
      <c r="J197" s="11" t="s">
        <v>42</v>
      </c>
      <c r="K197" s="108" t="s">
        <v>356</v>
      </c>
      <c r="N197" s="11" t="s">
        <v>43</v>
      </c>
      <c r="O197" s="11" t="s">
        <v>96</v>
      </c>
      <c r="P197" s="11" t="s">
        <v>66</v>
      </c>
      <c r="Q197" s="11" t="s">
        <v>44</v>
      </c>
      <c r="R197" s="11" t="s">
        <v>44</v>
      </c>
      <c r="S197" s="11" t="s">
        <v>45</v>
      </c>
      <c r="T197" s="11" t="s">
        <v>44</v>
      </c>
      <c r="U197" s="11" t="s">
        <v>45</v>
      </c>
      <c r="V197" s="24">
        <v>45096</v>
      </c>
      <c r="W197" s="11" t="s">
        <v>46</v>
      </c>
      <c r="X197" s="11" t="s">
        <v>303</v>
      </c>
      <c r="Y197" s="11" t="s">
        <v>58</v>
      </c>
      <c r="Z197" s="11">
        <v>81985617248</v>
      </c>
      <c r="AA197" s="11" t="s">
        <v>273</v>
      </c>
      <c r="AB197" s="11" t="s">
        <v>49</v>
      </c>
      <c r="AC197" s="11" t="s">
        <v>92</v>
      </c>
      <c r="AD197" s="11" t="b">
        <v>0</v>
      </c>
      <c r="AF197" s="11" t="s">
        <v>814</v>
      </c>
      <c r="AG197" s="11" t="s">
        <v>815</v>
      </c>
      <c r="AH197" s="11" t="s">
        <v>816</v>
      </c>
      <c r="AI197" s="11"/>
    </row>
    <row r="198" ht="12.5" spans="1:35">
      <c r="A198" s="177">
        <v>45095.6222566319</v>
      </c>
      <c r="B198" s="11" t="s">
        <v>817</v>
      </c>
      <c r="C198" s="277" t="s">
        <v>818</v>
      </c>
      <c r="D198" s="19">
        <v>700204926989428</v>
      </c>
      <c r="E198" s="18" t="s">
        <v>819</v>
      </c>
      <c r="F198" s="11" t="s">
        <v>40</v>
      </c>
      <c r="G198" s="11" t="s">
        <v>54</v>
      </c>
      <c r="H198" s="24">
        <v>30954</v>
      </c>
      <c r="I198" s="277" t="s">
        <v>820</v>
      </c>
      <c r="J198" s="11" t="s">
        <v>42</v>
      </c>
      <c r="K198" s="108" t="s">
        <v>821</v>
      </c>
      <c r="N198" s="11" t="s">
        <v>43</v>
      </c>
      <c r="O198" s="11" t="s">
        <v>65</v>
      </c>
      <c r="P198" s="11" t="s">
        <v>66</v>
      </c>
      <c r="Q198" s="11" t="s">
        <v>44</v>
      </c>
      <c r="R198" s="11" t="s">
        <v>44</v>
      </c>
      <c r="S198" s="11" t="s">
        <v>44</v>
      </c>
      <c r="T198" s="11" t="s">
        <v>44</v>
      </c>
      <c r="U198" s="11" t="s">
        <v>45</v>
      </c>
      <c r="V198" s="24">
        <v>45096</v>
      </c>
      <c r="W198" s="11" t="s">
        <v>46</v>
      </c>
      <c r="X198" s="11" t="s">
        <v>303</v>
      </c>
      <c r="Y198" s="11" t="s">
        <v>58</v>
      </c>
      <c r="Z198" s="11">
        <v>81996039055</v>
      </c>
      <c r="AA198" s="11" t="s">
        <v>273</v>
      </c>
      <c r="AB198" s="11" t="s">
        <v>49</v>
      </c>
      <c r="AC198" s="11" t="s">
        <v>50</v>
      </c>
      <c r="AD198" s="11" t="b">
        <v>0</v>
      </c>
      <c r="AF198" s="63" t="s">
        <v>822</v>
      </c>
      <c r="AG198" s="11" t="s">
        <v>823</v>
      </c>
      <c r="AH198" s="11" t="s">
        <v>824</v>
      </c>
      <c r="AI198" s="11"/>
    </row>
    <row r="199" ht="12.5" spans="1:35">
      <c r="A199" s="177">
        <v>45096.344943125</v>
      </c>
      <c r="B199" s="11" t="s">
        <v>825</v>
      </c>
      <c r="C199" s="277" t="s">
        <v>826</v>
      </c>
      <c r="D199" s="19">
        <v>700009740270705</v>
      </c>
      <c r="E199" s="18" t="s">
        <v>827</v>
      </c>
      <c r="F199" s="11" t="s">
        <v>40</v>
      </c>
      <c r="G199" s="11" t="s">
        <v>88</v>
      </c>
      <c r="H199" s="24">
        <v>33115</v>
      </c>
      <c r="I199" s="19" t="s">
        <v>252</v>
      </c>
      <c r="J199" s="11" t="s">
        <v>42</v>
      </c>
      <c r="K199" s="108" t="s">
        <v>155</v>
      </c>
      <c r="N199" s="11" t="s">
        <v>43</v>
      </c>
      <c r="O199" s="11" t="s">
        <v>96</v>
      </c>
      <c r="P199" s="11" t="s">
        <v>66</v>
      </c>
      <c r="Q199" s="11" t="s">
        <v>44</v>
      </c>
      <c r="R199" s="11" t="s">
        <v>45</v>
      </c>
      <c r="S199" s="11" t="s">
        <v>45</v>
      </c>
      <c r="T199" s="11" t="s">
        <v>44</v>
      </c>
      <c r="U199" s="11" t="s">
        <v>45</v>
      </c>
      <c r="V199" s="24">
        <v>45096</v>
      </c>
      <c r="W199" s="11" t="s">
        <v>46</v>
      </c>
      <c r="X199" s="11" t="s">
        <v>67</v>
      </c>
      <c r="Y199" s="11" t="s">
        <v>68</v>
      </c>
      <c r="Z199" s="11">
        <v>81985425213</v>
      </c>
      <c r="AA199" s="11" t="s">
        <v>115</v>
      </c>
      <c r="AB199" s="11" t="s">
        <v>49</v>
      </c>
      <c r="AC199" s="11" t="s">
        <v>50</v>
      </c>
      <c r="AD199" s="11" t="b">
        <v>1</v>
      </c>
      <c r="AE199" s="11" t="s">
        <v>137</v>
      </c>
      <c r="AF199" s="11" t="s">
        <v>828</v>
      </c>
      <c r="AG199" s="11"/>
      <c r="AH199" s="11"/>
      <c r="AI199" s="11"/>
    </row>
    <row r="200" ht="12.5" spans="1:35">
      <c r="A200" s="177">
        <v>45096.4982180903</v>
      </c>
      <c r="B200" s="11" t="s">
        <v>633</v>
      </c>
      <c r="C200" s="277" t="s">
        <v>634</v>
      </c>
      <c r="D200" s="19">
        <v>706703518432319</v>
      </c>
      <c r="E200" s="18" t="s">
        <v>829</v>
      </c>
      <c r="F200" s="11" t="s">
        <v>40</v>
      </c>
      <c r="G200" s="11" t="s">
        <v>41</v>
      </c>
      <c r="H200" s="24">
        <v>35840</v>
      </c>
      <c r="I200" s="277" t="s">
        <v>830</v>
      </c>
      <c r="J200" s="11" t="s">
        <v>42</v>
      </c>
      <c r="K200" s="108" t="s">
        <v>831</v>
      </c>
      <c r="N200" s="11" t="s">
        <v>43</v>
      </c>
      <c r="O200" s="11" t="s">
        <v>96</v>
      </c>
      <c r="P200" s="11" t="s">
        <v>66</v>
      </c>
      <c r="Q200" s="11" t="s">
        <v>44</v>
      </c>
      <c r="R200" s="11" t="s">
        <v>44</v>
      </c>
      <c r="S200" s="11" t="s">
        <v>44</v>
      </c>
      <c r="T200" s="11" t="s">
        <v>44</v>
      </c>
      <c r="U200" s="11" t="s">
        <v>45</v>
      </c>
      <c r="V200" s="24">
        <v>45098</v>
      </c>
      <c r="W200" s="11" t="s">
        <v>46</v>
      </c>
      <c r="X200" s="11" t="s">
        <v>47</v>
      </c>
      <c r="Y200" s="11" t="s">
        <v>58</v>
      </c>
      <c r="Z200" s="11">
        <v>81999504585</v>
      </c>
      <c r="AA200" s="11" t="s">
        <v>115</v>
      </c>
      <c r="AB200" s="11" t="s">
        <v>49</v>
      </c>
      <c r="AC200" s="11" t="s">
        <v>50</v>
      </c>
      <c r="AD200" s="11" t="b">
        <v>0</v>
      </c>
      <c r="AF200" s="11" t="s">
        <v>832</v>
      </c>
      <c r="AG200" s="11"/>
      <c r="AH200" s="11" t="s">
        <v>833</v>
      </c>
      <c r="AI200" s="11"/>
    </row>
    <row r="201" ht="12.5" spans="1:35">
      <c r="A201" s="177">
        <v>45096.5491963773</v>
      </c>
      <c r="B201" s="11" t="s">
        <v>834</v>
      </c>
      <c r="C201" s="19">
        <v>7865414480</v>
      </c>
      <c r="D201" s="19">
        <v>705002239945457</v>
      </c>
      <c r="E201" s="18" t="s">
        <v>835</v>
      </c>
      <c r="F201" s="11" t="s">
        <v>225</v>
      </c>
      <c r="G201" s="11" t="s">
        <v>54</v>
      </c>
      <c r="H201" s="24">
        <v>31902</v>
      </c>
      <c r="I201" s="277" t="s">
        <v>398</v>
      </c>
      <c r="J201" s="11" t="s">
        <v>42</v>
      </c>
      <c r="K201" s="108" t="s">
        <v>63</v>
      </c>
      <c r="N201" s="11" t="s">
        <v>43</v>
      </c>
      <c r="O201" s="11" t="s">
        <v>96</v>
      </c>
      <c r="P201" s="11" t="s">
        <v>56</v>
      </c>
      <c r="Q201" s="11" t="s">
        <v>45</v>
      </c>
      <c r="R201" s="11" t="s">
        <v>45</v>
      </c>
      <c r="S201" s="11" t="s">
        <v>83</v>
      </c>
      <c r="T201" s="11" t="s">
        <v>44</v>
      </c>
      <c r="U201" s="11" t="s">
        <v>45</v>
      </c>
      <c r="V201" s="24">
        <v>45096</v>
      </c>
      <c r="W201" s="11" t="s">
        <v>46</v>
      </c>
      <c r="X201" s="11" t="s">
        <v>47</v>
      </c>
      <c r="Y201" s="11" t="s">
        <v>58</v>
      </c>
      <c r="Z201" s="11">
        <v>81985923299</v>
      </c>
      <c r="AA201" s="11" t="s">
        <v>115</v>
      </c>
      <c r="AB201" s="11" t="s">
        <v>49</v>
      </c>
      <c r="AC201" s="11" t="s">
        <v>50</v>
      </c>
      <c r="AD201" s="11" t="b">
        <v>0</v>
      </c>
      <c r="AF201" s="11" t="s">
        <v>836</v>
      </c>
      <c r="AG201" s="11"/>
      <c r="AH201" s="11"/>
      <c r="AI201" s="11"/>
    </row>
    <row r="202" ht="12.5" spans="1:35">
      <c r="A202" s="177">
        <v>45096.5534017014</v>
      </c>
      <c r="B202" s="11" t="s">
        <v>837</v>
      </c>
      <c r="C202" s="19">
        <v>15164122499</v>
      </c>
      <c r="D202" s="19">
        <v>700005241485109</v>
      </c>
      <c r="E202" s="18" t="s">
        <v>838</v>
      </c>
      <c r="F202" s="11" t="s">
        <v>225</v>
      </c>
      <c r="G202" s="11" t="s">
        <v>54</v>
      </c>
      <c r="H202" s="24">
        <v>38756</v>
      </c>
      <c r="I202" s="277" t="s">
        <v>839</v>
      </c>
      <c r="J202" s="11" t="s">
        <v>42</v>
      </c>
      <c r="K202" s="108" t="s">
        <v>202</v>
      </c>
      <c r="N202" s="11" t="s">
        <v>43</v>
      </c>
      <c r="O202" s="11" t="s">
        <v>658</v>
      </c>
      <c r="P202" s="11" t="s">
        <v>44</v>
      </c>
      <c r="Q202" s="11" t="s">
        <v>45</v>
      </c>
      <c r="R202" s="11" t="s">
        <v>45</v>
      </c>
      <c r="S202" s="11" t="s">
        <v>45</v>
      </c>
      <c r="T202" s="11" t="s">
        <v>44</v>
      </c>
      <c r="U202" s="11" t="s">
        <v>44</v>
      </c>
      <c r="W202" s="11" t="s">
        <v>46</v>
      </c>
      <c r="X202" s="11" t="s">
        <v>47</v>
      </c>
      <c r="Y202" s="11" t="s">
        <v>97</v>
      </c>
      <c r="Z202" s="277" t="s">
        <v>840</v>
      </c>
      <c r="AA202" s="11" t="s">
        <v>115</v>
      </c>
      <c r="AB202" s="11"/>
      <c r="AC202" s="11"/>
      <c r="AD202" s="11" t="b">
        <v>0</v>
      </c>
      <c r="AF202" s="11"/>
      <c r="AG202" s="136"/>
      <c r="AH202" s="11" t="s">
        <v>841</v>
      </c>
      <c r="AI202" s="11"/>
    </row>
    <row r="203" ht="12.5" spans="1:35">
      <c r="A203" s="177">
        <v>45096.5965498264</v>
      </c>
      <c r="B203" s="11" t="s">
        <v>842</v>
      </c>
      <c r="C203" s="19">
        <v>70628172443</v>
      </c>
      <c r="D203" s="19">
        <v>700008035815606</v>
      </c>
      <c r="E203" s="18" t="s">
        <v>843</v>
      </c>
      <c r="F203" s="11" t="s">
        <v>40</v>
      </c>
      <c r="G203" s="11" t="s">
        <v>88</v>
      </c>
      <c r="H203" s="24">
        <v>36302</v>
      </c>
      <c r="I203" s="277" t="s">
        <v>808</v>
      </c>
      <c r="J203" s="11" t="s">
        <v>42</v>
      </c>
      <c r="K203" s="108" t="s">
        <v>777</v>
      </c>
      <c r="N203" s="11" t="s">
        <v>43</v>
      </c>
      <c r="O203" s="11" t="s">
        <v>44</v>
      </c>
      <c r="P203" s="11" t="s">
        <v>44</v>
      </c>
      <c r="Q203" s="11" t="s">
        <v>44</v>
      </c>
      <c r="R203" s="11" t="s">
        <v>45</v>
      </c>
      <c r="S203" s="11" t="s">
        <v>83</v>
      </c>
      <c r="T203" s="11" t="s">
        <v>44</v>
      </c>
      <c r="U203" s="11" t="s">
        <v>44</v>
      </c>
      <c r="W203" s="11" t="s">
        <v>57</v>
      </c>
      <c r="X203" s="11" t="s">
        <v>47</v>
      </c>
      <c r="Y203" s="11" t="s">
        <v>58</v>
      </c>
      <c r="Z203" s="11">
        <v>81981876632</v>
      </c>
      <c r="AA203" s="11" t="s">
        <v>115</v>
      </c>
      <c r="AB203" s="11"/>
      <c r="AC203" s="11"/>
      <c r="AD203" s="11" t="b">
        <v>0</v>
      </c>
      <c r="AF203" s="11"/>
      <c r="AG203" s="11"/>
      <c r="AH203" s="11"/>
      <c r="AI203" s="11"/>
    </row>
    <row r="204" ht="12.5" spans="1:35">
      <c r="A204" s="177">
        <v>45096.635919294</v>
      </c>
      <c r="B204" s="11" t="s">
        <v>844</v>
      </c>
      <c r="C204" s="19">
        <v>70806053429</v>
      </c>
      <c r="D204" s="19">
        <v>206053458500008</v>
      </c>
      <c r="E204" s="18" t="s">
        <v>845</v>
      </c>
      <c r="F204" s="11" t="s">
        <v>217</v>
      </c>
      <c r="G204" s="11" t="s">
        <v>54</v>
      </c>
      <c r="H204" s="24">
        <v>34559</v>
      </c>
      <c r="I204" s="277" t="s">
        <v>846</v>
      </c>
      <c r="J204" s="11" t="s">
        <v>42</v>
      </c>
      <c r="K204" s="108" t="s">
        <v>202</v>
      </c>
      <c r="N204" s="11" t="s">
        <v>43</v>
      </c>
      <c r="O204" s="11" t="s">
        <v>44</v>
      </c>
      <c r="P204" s="11" t="s">
        <v>56</v>
      </c>
      <c r="Q204" s="11" t="s">
        <v>44</v>
      </c>
      <c r="R204" s="11" t="s">
        <v>45</v>
      </c>
      <c r="S204" s="11" t="s">
        <v>83</v>
      </c>
      <c r="T204" s="11" t="s">
        <v>44</v>
      </c>
      <c r="U204" s="11" t="s">
        <v>45</v>
      </c>
      <c r="V204" s="24">
        <v>45098</v>
      </c>
      <c r="W204" s="11" t="s">
        <v>46</v>
      </c>
      <c r="X204" s="11" t="s">
        <v>47</v>
      </c>
      <c r="Y204" s="11" t="s">
        <v>58</v>
      </c>
      <c r="Z204" s="11">
        <v>81988435598</v>
      </c>
      <c r="AA204" s="11" t="s">
        <v>113</v>
      </c>
      <c r="AB204" s="11" t="s">
        <v>98</v>
      </c>
      <c r="AC204" s="11"/>
      <c r="AD204" s="11" t="b">
        <v>0</v>
      </c>
      <c r="AF204" s="11" t="s">
        <v>847</v>
      </c>
      <c r="AG204" s="11"/>
      <c r="AH204" s="11"/>
      <c r="AI204" s="11"/>
    </row>
    <row r="205" ht="12.5" spans="1:35">
      <c r="A205" s="177">
        <v>45096.6900896296</v>
      </c>
      <c r="B205" s="11" t="s">
        <v>848</v>
      </c>
      <c r="C205" s="19">
        <v>13689158419</v>
      </c>
      <c r="D205" s="19">
        <v>708400717008467</v>
      </c>
      <c r="E205" s="18" t="s">
        <v>849</v>
      </c>
      <c r="F205" s="11" t="s">
        <v>40</v>
      </c>
      <c r="G205" s="11" t="s">
        <v>41</v>
      </c>
      <c r="H205" s="24">
        <v>36807</v>
      </c>
      <c r="I205" s="277" t="s">
        <v>850</v>
      </c>
      <c r="J205" s="11" t="s">
        <v>42</v>
      </c>
      <c r="K205" s="108" t="s">
        <v>202</v>
      </c>
      <c r="N205" s="11" t="s">
        <v>43</v>
      </c>
      <c r="O205" s="11" t="s">
        <v>44</v>
      </c>
      <c r="P205" s="11" t="s">
        <v>44</v>
      </c>
      <c r="Q205" s="11" t="s">
        <v>44</v>
      </c>
      <c r="R205" s="11" t="s">
        <v>45</v>
      </c>
      <c r="S205" s="11" t="s">
        <v>45</v>
      </c>
      <c r="T205" s="11" t="s">
        <v>44</v>
      </c>
      <c r="U205" s="11" t="s">
        <v>44</v>
      </c>
      <c r="W205" s="11" t="s">
        <v>57</v>
      </c>
      <c r="X205" s="11" t="s">
        <v>47</v>
      </c>
      <c r="Y205" s="11" t="s">
        <v>58</v>
      </c>
      <c r="Z205" s="11">
        <v>81991424620</v>
      </c>
      <c r="AA205" s="11" t="s">
        <v>113</v>
      </c>
      <c r="AB205" s="11"/>
      <c r="AC205" s="11"/>
      <c r="AD205" s="11" t="b">
        <v>0</v>
      </c>
      <c r="AF205" s="11"/>
      <c r="AG205" s="11"/>
      <c r="AH205" s="11"/>
      <c r="AI205" s="11"/>
    </row>
    <row r="206" ht="12.5" spans="1:35">
      <c r="A206" s="177">
        <v>45096.6927293981</v>
      </c>
      <c r="B206" s="11" t="s">
        <v>851</v>
      </c>
      <c r="C206" s="19">
        <v>70489527418</v>
      </c>
      <c r="D206" s="19">
        <v>702401043319228</v>
      </c>
      <c r="E206" s="18" t="s">
        <v>852</v>
      </c>
      <c r="F206" s="11" t="s">
        <v>40</v>
      </c>
      <c r="G206" s="11" t="s">
        <v>54</v>
      </c>
      <c r="H206" s="24">
        <v>35526</v>
      </c>
      <c r="I206" s="277" t="s">
        <v>390</v>
      </c>
      <c r="J206" s="11" t="s">
        <v>42</v>
      </c>
      <c r="K206" s="108" t="s">
        <v>202</v>
      </c>
      <c r="N206" s="11" t="s">
        <v>43</v>
      </c>
      <c r="O206" s="11" t="s">
        <v>96</v>
      </c>
      <c r="P206" s="11" t="s">
        <v>56</v>
      </c>
      <c r="Q206" s="11" t="s">
        <v>44</v>
      </c>
      <c r="R206" s="11" t="s">
        <v>45</v>
      </c>
      <c r="S206" s="11" t="s">
        <v>45</v>
      </c>
      <c r="T206" s="11" t="s">
        <v>44</v>
      </c>
      <c r="U206" s="11" t="s">
        <v>45</v>
      </c>
      <c r="V206" s="24">
        <v>45005</v>
      </c>
      <c r="W206" s="11" t="s">
        <v>46</v>
      </c>
      <c r="X206" s="11" t="s">
        <v>47</v>
      </c>
      <c r="Y206" s="11" t="s">
        <v>58</v>
      </c>
      <c r="Z206" s="11">
        <v>81992150020</v>
      </c>
      <c r="AA206" s="11" t="s">
        <v>115</v>
      </c>
      <c r="AB206" s="11"/>
      <c r="AC206" s="11"/>
      <c r="AD206" s="11" t="b">
        <v>0</v>
      </c>
      <c r="AF206" s="11"/>
      <c r="AG206" s="11"/>
      <c r="AH206" s="11"/>
      <c r="AI206" s="11"/>
    </row>
    <row r="207" ht="12.5" spans="1:35">
      <c r="A207" s="177">
        <v>45096.7023162616</v>
      </c>
      <c r="B207" s="11" t="s">
        <v>811</v>
      </c>
      <c r="C207" s="277" t="s">
        <v>812</v>
      </c>
      <c r="D207" s="19">
        <v>700504929873355</v>
      </c>
      <c r="E207" s="18" t="s">
        <v>853</v>
      </c>
      <c r="F207" s="11" t="s">
        <v>40</v>
      </c>
      <c r="G207" s="11" t="s">
        <v>54</v>
      </c>
      <c r="H207" s="24">
        <v>34555</v>
      </c>
      <c r="I207" s="277" t="s">
        <v>754</v>
      </c>
      <c r="J207" s="11" t="s">
        <v>81</v>
      </c>
      <c r="K207" s="108"/>
      <c r="L207" s="11" t="s">
        <v>520</v>
      </c>
      <c r="N207" s="11" t="s">
        <v>95</v>
      </c>
      <c r="O207" s="11" t="s">
        <v>65</v>
      </c>
      <c r="P207" s="11" t="s">
        <v>66</v>
      </c>
      <c r="Q207" s="11" t="s">
        <v>854</v>
      </c>
      <c r="R207" s="11" t="s">
        <v>45</v>
      </c>
      <c r="S207" s="11" t="s">
        <v>45</v>
      </c>
      <c r="T207" s="11" t="s">
        <v>44</v>
      </c>
      <c r="U207" s="11" t="s">
        <v>45</v>
      </c>
      <c r="V207" s="24">
        <v>45097</v>
      </c>
      <c r="W207" s="11" t="s">
        <v>46</v>
      </c>
      <c r="X207" s="11" t="s">
        <v>97</v>
      </c>
      <c r="Y207" s="11" t="s">
        <v>97</v>
      </c>
      <c r="Z207" s="11">
        <v>81985617248</v>
      </c>
      <c r="AA207" s="11" t="s">
        <v>91</v>
      </c>
      <c r="AB207" s="11" t="s">
        <v>49</v>
      </c>
      <c r="AC207" s="11" t="s">
        <v>92</v>
      </c>
      <c r="AD207" s="11" t="b">
        <v>0</v>
      </c>
      <c r="AF207" s="11" t="s">
        <v>855</v>
      </c>
      <c r="AG207" s="11" t="s">
        <v>856</v>
      </c>
      <c r="AH207" s="11"/>
      <c r="AI207" s="11"/>
    </row>
    <row r="208" ht="12.5" spans="1:35">
      <c r="A208" s="177">
        <v>45096.7047010532</v>
      </c>
      <c r="B208" s="11" t="s">
        <v>857</v>
      </c>
      <c r="C208" s="19">
        <v>10848694465</v>
      </c>
      <c r="D208" s="19">
        <v>703408046224400</v>
      </c>
      <c r="E208" s="18" t="s">
        <v>858</v>
      </c>
      <c r="F208" s="11" t="s">
        <v>40</v>
      </c>
      <c r="G208" s="11" t="s">
        <v>54</v>
      </c>
      <c r="H208" s="24">
        <v>35192</v>
      </c>
      <c r="I208" s="19" t="s">
        <v>136</v>
      </c>
      <c r="J208" s="11" t="s">
        <v>42</v>
      </c>
      <c r="K208" s="108" t="s">
        <v>202</v>
      </c>
      <c r="N208" s="11" t="s">
        <v>43</v>
      </c>
      <c r="O208" s="11" t="s">
        <v>44</v>
      </c>
      <c r="P208" s="11" t="s">
        <v>44</v>
      </c>
      <c r="Q208" s="11" t="s">
        <v>44</v>
      </c>
      <c r="R208" s="11" t="s">
        <v>45</v>
      </c>
      <c r="S208" s="11" t="s">
        <v>83</v>
      </c>
      <c r="T208" s="11" t="s">
        <v>44</v>
      </c>
      <c r="U208" s="11" t="s">
        <v>45</v>
      </c>
      <c r="V208" s="24">
        <v>45097</v>
      </c>
      <c r="W208" s="11" t="s">
        <v>46</v>
      </c>
      <c r="X208" s="11" t="s">
        <v>47</v>
      </c>
      <c r="Y208" s="11" t="s">
        <v>58</v>
      </c>
      <c r="Z208" s="11">
        <v>81985732569</v>
      </c>
      <c r="AA208" s="11" t="s">
        <v>113</v>
      </c>
      <c r="AB208" s="11" t="s">
        <v>49</v>
      </c>
      <c r="AC208" s="11" t="s">
        <v>75</v>
      </c>
      <c r="AD208" s="11" t="b">
        <v>1</v>
      </c>
      <c r="AE208" s="11" t="s">
        <v>137</v>
      </c>
      <c r="AF208" s="11" t="s">
        <v>859</v>
      </c>
      <c r="AG208" s="11" t="s">
        <v>860</v>
      </c>
      <c r="AH208" s="11" t="s">
        <v>861</v>
      </c>
      <c r="AI208" s="11"/>
    </row>
    <row r="209" ht="12.5" spans="1:35">
      <c r="A209" s="177">
        <v>45096.711855081</v>
      </c>
      <c r="B209" s="11" t="s">
        <v>817</v>
      </c>
      <c r="C209" s="277" t="s">
        <v>818</v>
      </c>
      <c r="D209" s="19">
        <v>700204926989428</v>
      </c>
      <c r="F209" s="11" t="s">
        <v>40</v>
      </c>
      <c r="G209" s="11" t="s">
        <v>54</v>
      </c>
      <c r="H209" s="24">
        <v>30954</v>
      </c>
      <c r="I209" s="277" t="s">
        <v>820</v>
      </c>
      <c r="J209" s="11" t="s">
        <v>42</v>
      </c>
      <c r="K209" s="108" t="s">
        <v>202</v>
      </c>
      <c r="N209" s="11" t="s">
        <v>95</v>
      </c>
      <c r="O209" s="11" t="s">
        <v>65</v>
      </c>
      <c r="P209" s="11" t="s">
        <v>66</v>
      </c>
      <c r="Q209" s="11" t="s">
        <v>44</v>
      </c>
      <c r="R209" s="11" t="s">
        <v>44</v>
      </c>
      <c r="S209" s="11" t="s">
        <v>45</v>
      </c>
      <c r="T209" s="11" t="s">
        <v>44</v>
      </c>
      <c r="U209" s="11" t="s">
        <v>45</v>
      </c>
      <c r="V209" s="24">
        <v>45097</v>
      </c>
      <c r="W209" s="11" t="s">
        <v>57</v>
      </c>
      <c r="X209" s="11" t="s">
        <v>97</v>
      </c>
      <c r="Y209" s="11" t="s">
        <v>97</v>
      </c>
      <c r="Z209" s="11">
        <v>81996039055</v>
      </c>
      <c r="AA209" s="11" t="s">
        <v>115</v>
      </c>
      <c r="AB209" s="11" t="s">
        <v>98</v>
      </c>
      <c r="AC209" s="11"/>
      <c r="AD209" s="11" t="b">
        <v>0</v>
      </c>
      <c r="AF209" s="11" t="s">
        <v>862</v>
      </c>
      <c r="AG209" s="11" t="s">
        <v>863</v>
      </c>
      <c r="AH209" s="11"/>
      <c r="AI209" s="11"/>
    </row>
    <row r="210" ht="12.5" spans="1:35">
      <c r="A210" s="177">
        <v>45096.729481331</v>
      </c>
      <c r="B210" s="11" t="s">
        <v>834</v>
      </c>
      <c r="C210" s="19">
        <v>7865411480</v>
      </c>
      <c r="D210" s="19">
        <v>705002239945457</v>
      </c>
      <c r="F210" s="11" t="s">
        <v>225</v>
      </c>
      <c r="G210" s="11" t="s">
        <v>54</v>
      </c>
      <c r="H210" s="24">
        <v>31902</v>
      </c>
      <c r="I210" s="277" t="s">
        <v>398</v>
      </c>
      <c r="J210" s="11" t="s">
        <v>42</v>
      </c>
      <c r="K210" s="108" t="s">
        <v>63</v>
      </c>
      <c r="N210" s="11" t="s">
        <v>95</v>
      </c>
      <c r="O210" s="11" t="s">
        <v>127</v>
      </c>
      <c r="P210" s="11" t="s">
        <v>44</v>
      </c>
      <c r="Q210" s="11" t="s">
        <v>44</v>
      </c>
      <c r="R210" s="11" t="s">
        <v>45</v>
      </c>
      <c r="S210" s="11" t="s">
        <v>45</v>
      </c>
      <c r="T210" s="11" t="s">
        <v>44</v>
      </c>
      <c r="U210" s="11" t="s">
        <v>44</v>
      </c>
      <c r="W210" s="11" t="s">
        <v>57</v>
      </c>
      <c r="X210" s="11" t="s">
        <v>97</v>
      </c>
      <c r="Y210" s="11" t="s">
        <v>97</v>
      </c>
      <c r="Z210" s="11">
        <v>81985923299</v>
      </c>
      <c r="AA210" s="11" t="s">
        <v>115</v>
      </c>
      <c r="AB210" s="11"/>
      <c r="AC210" s="11"/>
      <c r="AD210" s="11" t="b">
        <v>0</v>
      </c>
      <c r="AF210" s="11"/>
      <c r="AG210" s="11"/>
      <c r="AH210" s="11"/>
      <c r="AI210" s="11"/>
    </row>
    <row r="211" ht="12.5" spans="1:35">
      <c r="A211" s="177">
        <v>45096.783258125</v>
      </c>
      <c r="B211" s="11" t="s">
        <v>825</v>
      </c>
      <c r="C211" s="277" t="s">
        <v>826</v>
      </c>
      <c r="D211" s="19">
        <v>700009740270705</v>
      </c>
      <c r="E211" s="18" t="s">
        <v>864</v>
      </c>
      <c r="F211" s="11" t="s">
        <v>40</v>
      </c>
      <c r="G211" s="11" t="s">
        <v>54</v>
      </c>
      <c r="H211" s="24">
        <v>33115</v>
      </c>
      <c r="I211" s="19" t="s">
        <v>865</v>
      </c>
      <c r="J211" s="11" t="s">
        <v>42</v>
      </c>
      <c r="K211" s="108" t="s">
        <v>155</v>
      </c>
      <c r="N211" s="11" t="s">
        <v>95</v>
      </c>
      <c r="O211" s="11" t="s">
        <v>44</v>
      </c>
      <c r="P211" s="11" t="s">
        <v>44</v>
      </c>
      <c r="Q211" s="11" t="s">
        <v>44</v>
      </c>
      <c r="R211" s="11" t="s">
        <v>45</v>
      </c>
      <c r="S211" s="11" t="s">
        <v>45</v>
      </c>
      <c r="T211" s="11" t="s">
        <v>44</v>
      </c>
      <c r="U211" s="11" t="s">
        <v>44</v>
      </c>
      <c r="W211" s="11" t="s">
        <v>57</v>
      </c>
      <c r="X211" s="11" t="s">
        <v>97</v>
      </c>
      <c r="Y211" s="11" t="s">
        <v>97</v>
      </c>
      <c r="Z211" s="11">
        <v>81985425213</v>
      </c>
      <c r="AA211" s="11" t="s">
        <v>115</v>
      </c>
      <c r="AB211" s="11"/>
      <c r="AC211" s="11"/>
      <c r="AD211" s="11" t="b">
        <v>0</v>
      </c>
      <c r="AF211" s="11"/>
      <c r="AG211" s="11"/>
      <c r="AH211" s="11"/>
      <c r="AI211" s="11"/>
    </row>
    <row r="212" ht="12.5" spans="1:37">
      <c r="A212" s="203">
        <v>45097.4913147338</v>
      </c>
      <c r="B212" s="4" t="s">
        <v>866</v>
      </c>
      <c r="C212" s="17">
        <v>11296639495</v>
      </c>
      <c r="D212" s="19">
        <v>700209466716525</v>
      </c>
      <c r="E212" s="53" t="s">
        <v>867</v>
      </c>
      <c r="F212" s="4" t="s">
        <v>40</v>
      </c>
      <c r="G212" s="4" t="s">
        <v>54</v>
      </c>
      <c r="H212" s="204">
        <v>35206</v>
      </c>
      <c r="I212" s="280" t="s">
        <v>329</v>
      </c>
      <c r="J212" s="4" t="s">
        <v>42</v>
      </c>
      <c r="K212" s="206" t="s">
        <v>282</v>
      </c>
      <c r="L212" s="4"/>
      <c r="M212" s="4"/>
      <c r="N212" s="4" t="s">
        <v>43</v>
      </c>
      <c r="O212" s="4" t="s">
        <v>44</v>
      </c>
      <c r="P212" s="4" t="s">
        <v>44</v>
      </c>
      <c r="Q212" s="4" t="s">
        <v>45</v>
      </c>
      <c r="R212" s="4" t="s">
        <v>45</v>
      </c>
      <c r="S212" s="4" t="s">
        <v>83</v>
      </c>
      <c r="T212" s="4" t="s">
        <v>45</v>
      </c>
      <c r="U212" s="4" t="s">
        <v>45</v>
      </c>
      <c r="V212" s="204">
        <v>45099</v>
      </c>
      <c r="W212" s="4" t="s">
        <v>46</v>
      </c>
      <c r="X212" s="4" t="s">
        <v>47</v>
      </c>
      <c r="Y212" s="4" t="s">
        <v>58</v>
      </c>
      <c r="Z212" s="4">
        <v>81984462332</v>
      </c>
      <c r="AA212" s="4" t="s">
        <v>113</v>
      </c>
      <c r="AB212" s="4" t="s">
        <v>49</v>
      </c>
      <c r="AC212" s="4" t="s">
        <v>75</v>
      </c>
      <c r="AD212" s="4" t="b">
        <v>1</v>
      </c>
      <c r="AE212" s="4" t="s">
        <v>137</v>
      </c>
      <c r="AF212" s="4" t="s">
        <v>868</v>
      </c>
      <c r="AG212" s="4"/>
      <c r="AH212" s="4" t="s">
        <v>386</v>
      </c>
      <c r="AI212" s="4"/>
      <c r="AJ212" s="4"/>
      <c r="AK212" s="4"/>
    </row>
    <row r="213" ht="12.5" spans="1:35">
      <c r="A213" s="177">
        <v>45097.5945707986</v>
      </c>
      <c r="B213" s="11" t="s">
        <v>869</v>
      </c>
      <c r="C213" s="19">
        <v>8867737414</v>
      </c>
      <c r="D213" s="19">
        <v>706206004686362</v>
      </c>
      <c r="E213" s="18" t="s">
        <v>870</v>
      </c>
      <c r="F213" s="11" t="s">
        <v>217</v>
      </c>
      <c r="G213" s="11" t="s">
        <v>54</v>
      </c>
      <c r="H213" s="24">
        <v>33431</v>
      </c>
      <c r="I213" s="19" t="s">
        <v>136</v>
      </c>
      <c r="J213" s="11" t="s">
        <v>42</v>
      </c>
      <c r="K213" s="108" t="s">
        <v>399</v>
      </c>
      <c r="N213" s="11" t="s">
        <v>43</v>
      </c>
      <c r="O213" s="11" t="s">
        <v>44</v>
      </c>
      <c r="P213" s="11" t="s">
        <v>44</v>
      </c>
      <c r="Q213" s="11" t="s">
        <v>44</v>
      </c>
      <c r="R213" s="11" t="s">
        <v>45</v>
      </c>
      <c r="S213" s="11" t="s">
        <v>83</v>
      </c>
      <c r="T213" s="11" t="s">
        <v>44</v>
      </c>
      <c r="U213" s="11" t="s">
        <v>45</v>
      </c>
      <c r="V213" s="24">
        <v>45098</v>
      </c>
      <c r="W213" s="11" t="s">
        <v>46</v>
      </c>
      <c r="X213" s="11" t="s">
        <v>47</v>
      </c>
      <c r="Y213" s="40" t="s">
        <v>871</v>
      </c>
      <c r="Z213" s="11">
        <v>81996867828</v>
      </c>
      <c r="AA213" s="11" t="s">
        <v>91</v>
      </c>
      <c r="AB213" s="11" t="s">
        <v>98</v>
      </c>
      <c r="AC213" s="11"/>
      <c r="AD213" s="11" t="b">
        <v>0</v>
      </c>
      <c r="AF213" s="11" t="s">
        <v>872</v>
      </c>
      <c r="AG213" s="11" t="s">
        <v>873</v>
      </c>
      <c r="AH213" s="11" t="s">
        <v>874</v>
      </c>
      <c r="AI213" s="11"/>
    </row>
    <row r="214" ht="12.5" spans="1:35">
      <c r="A214" s="177">
        <v>45097.6049936921</v>
      </c>
      <c r="B214" s="11" t="s">
        <v>857</v>
      </c>
      <c r="C214" s="19">
        <v>10848694465</v>
      </c>
      <c r="D214" s="19">
        <v>703408046224400</v>
      </c>
      <c r="E214" s="18" t="s">
        <v>875</v>
      </c>
      <c r="F214" s="11" t="s">
        <v>40</v>
      </c>
      <c r="G214" s="11" t="s">
        <v>54</v>
      </c>
      <c r="H214" s="24">
        <v>35192</v>
      </c>
      <c r="I214" s="19" t="s">
        <v>136</v>
      </c>
      <c r="J214" s="11" t="s">
        <v>42</v>
      </c>
      <c r="K214" s="108" t="s">
        <v>202</v>
      </c>
      <c r="N214" s="11" t="s">
        <v>95</v>
      </c>
      <c r="O214" s="11" t="s">
        <v>44</v>
      </c>
      <c r="P214" s="11" t="s">
        <v>44</v>
      </c>
      <c r="Q214" s="11" t="s">
        <v>44</v>
      </c>
      <c r="R214" s="11" t="s">
        <v>45</v>
      </c>
      <c r="S214" s="11" t="s">
        <v>83</v>
      </c>
      <c r="T214" s="11" t="s">
        <v>44</v>
      </c>
      <c r="U214" s="11" t="s">
        <v>44</v>
      </c>
      <c r="W214" s="11" t="s">
        <v>46</v>
      </c>
      <c r="X214" s="11" t="s">
        <v>97</v>
      </c>
      <c r="Y214" s="11" t="s">
        <v>97</v>
      </c>
      <c r="Z214" s="11">
        <v>81985732569</v>
      </c>
      <c r="AA214" s="11" t="s">
        <v>113</v>
      </c>
      <c r="AB214" s="11"/>
      <c r="AC214" s="11"/>
      <c r="AD214" s="11" t="b">
        <v>0</v>
      </c>
      <c r="AF214" s="11"/>
      <c r="AG214" s="11"/>
      <c r="AH214" s="11"/>
      <c r="AI214" s="11"/>
    </row>
    <row r="215" ht="12.5" spans="1:35">
      <c r="A215" s="177">
        <v>45097.6841242245</v>
      </c>
      <c r="B215" s="11" t="s">
        <v>171</v>
      </c>
      <c r="C215" s="19">
        <v>13393664441</v>
      </c>
      <c r="D215" s="19">
        <v>700002665283209</v>
      </c>
      <c r="E215" s="18" t="s">
        <v>876</v>
      </c>
      <c r="F215" s="11" t="s">
        <v>40</v>
      </c>
      <c r="G215" s="11" t="s">
        <v>54</v>
      </c>
      <c r="H215" s="24">
        <v>37474</v>
      </c>
      <c r="I215" s="277" t="s">
        <v>173</v>
      </c>
      <c r="J215" s="11" t="s">
        <v>42</v>
      </c>
      <c r="K215" s="108" t="s">
        <v>877</v>
      </c>
      <c r="N215" s="11" t="s">
        <v>43</v>
      </c>
      <c r="O215" s="11" t="s">
        <v>65</v>
      </c>
      <c r="P215" s="11" t="s">
        <v>66</v>
      </c>
      <c r="Q215" s="11" t="s">
        <v>44</v>
      </c>
      <c r="R215" s="11" t="s">
        <v>45</v>
      </c>
      <c r="S215" s="11" t="s">
        <v>45</v>
      </c>
      <c r="T215" s="11" t="s">
        <v>44</v>
      </c>
      <c r="U215" s="11" t="s">
        <v>45</v>
      </c>
      <c r="V215" s="24">
        <v>45098</v>
      </c>
      <c r="W215" s="11" t="s">
        <v>57</v>
      </c>
      <c r="X215" s="11" t="s">
        <v>47</v>
      </c>
      <c r="Y215" s="11" t="s">
        <v>58</v>
      </c>
      <c r="Z215" s="11">
        <v>81992693254</v>
      </c>
      <c r="AA215" s="11" t="s">
        <v>105</v>
      </c>
      <c r="AB215" s="11" t="s">
        <v>49</v>
      </c>
      <c r="AC215" s="11" t="s">
        <v>75</v>
      </c>
      <c r="AD215" s="11" t="b">
        <v>0</v>
      </c>
      <c r="AF215" s="11" t="s">
        <v>878</v>
      </c>
      <c r="AG215" s="11"/>
      <c r="AH215" s="11" t="s">
        <v>879</v>
      </c>
      <c r="AI215" s="11"/>
    </row>
    <row r="216" ht="12.5" spans="1:35">
      <c r="A216" s="177">
        <v>45097.6877372106</v>
      </c>
      <c r="B216" s="11" t="s">
        <v>811</v>
      </c>
      <c r="C216" s="277" t="s">
        <v>812</v>
      </c>
      <c r="D216" s="19">
        <v>700504929873355</v>
      </c>
      <c r="F216" s="11" t="s">
        <v>40</v>
      </c>
      <c r="G216" s="11" t="s">
        <v>54</v>
      </c>
      <c r="H216" s="24">
        <v>34555</v>
      </c>
      <c r="I216" s="277" t="s">
        <v>754</v>
      </c>
      <c r="J216" s="11" t="s">
        <v>81</v>
      </c>
      <c r="K216" s="108"/>
      <c r="L216" s="11" t="s">
        <v>109</v>
      </c>
      <c r="N216" s="11" t="s">
        <v>95</v>
      </c>
      <c r="O216" s="11" t="s">
        <v>127</v>
      </c>
      <c r="P216" s="11" t="s">
        <v>44</v>
      </c>
      <c r="Q216" s="11" t="s">
        <v>44</v>
      </c>
      <c r="R216" s="11" t="s">
        <v>45</v>
      </c>
      <c r="S216" s="11" t="s">
        <v>45</v>
      </c>
      <c r="T216" s="11" t="s">
        <v>44</v>
      </c>
      <c r="U216" s="11" t="s">
        <v>44</v>
      </c>
      <c r="W216" s="11" t="s">
        <v>57</v>
      </c>
      <c r="X216" s="11" t="s">
        <v>97</v>
      </c>
      <c r="Y216" s="11" t="s">
        <v>97</v>
      </c>
      <c r="Z216" s="11">
        <v>81985617248</v>
      </c>
      <c r="AA216" s="11" t="s">
        <v>91</v>
      </c>
      <c r="AB216" s="11"/>
      <c r="AC216" s="11"/>
      <c r="AD216" s="11" t="b">
        <v>0</v>
      </c>
      <c r="AF216" s="11"/>
      <c r="AG216" s="11"/>
      <c r="AH216" s="11"/>
      <c r="AI216" s="11"/>
    </row>
    <row r="217" ht="12.5" spans="1:35">
      <c r="A217" s="177">
        <v>45097.8170769792</v>
      </c>
      <c r="B217" s="11" t="s">
        <v>880</v>
      </c>
      <c r="C217" s="277" t="s">
        <v>881</v>
      </c>
      <c r="D217" s="19">
        <v>700507529572253</v>
      </c>
      <c r="E217" s="18" t="s">
        <v>882</v>
      </c>
      <c r="F217" s="11" t="s">
        <v>217</v>
      </c>
      <c r="G217" s="11" t="s">
        <v>41</v>
      </c>
      <c r="H217" s="24">
        <v>35925</v>
      </c>
      <c r="I217" s="277" t="s">
        <v>883</v>
      </c>
      <c r="J217" s="11" t="s">
        <v>42</v>
      </c>
      <c r="K217" s="108" t="s">
        <v>884</v>
      </c>
      <c r="N217" s="11" t="s">
        <v>43</v>
      </c>
      <c r="O217" s="11" t="s">
        <v>44</v>
      </c>
      <c r="P217" s="11" t="s">
        <v>44</v>
      </c>
      <c r="Q217" s="11" t="s">
        <v>44</v>
      </c>
      <c r="R217" s="11" t="s">
        <v>44</v>
      </c>
      <c r="S217" s="11" t="s">
        <v>44</v>
      </c>
      <c r="T217" s="11" t="s">
        <v>44</v>
      </c>
      <c r="U217" s="11" t="s">
        <v>44</v>
      </c>
      <c r="W217" s="11" t="s">
        <v>46</v>
      </c>
      <c r="X217" s="11" t="s">
        <v>203</v>
      </c>
      <c r="Y217" s="11" t="s">
        <v>885</v>
      </c>
      <c r="Z217" s="11">
        <v>81991919379</v>
      </c>
      <c r="AA217" s="11" t="s">
        <v>105</v>
      </c>
      <c r="AB217" s="11"/>
      <c r="AC217" s="11"/>
      <c r="AD217" s="11" t="b">
        <v>0</v>
      </c>
      <c r="AF217" s="11"/>
      <c r="AG217" s="11" t="s">
        <v>886</v>
      </c>
      <c r="AH217" s="11" t="s">
        <v>887</v>
      </c>
      <c r="AI217" s="11"/>
    </row>
    <row r="218" ht="12.5" spans="1:35">
      <c r="A218" s="177">
        <v>45098.3476683565</v>
      </c>
      <c r="B218" s="11" t="s">
        <v>633</v>
      </c>
      <c r="C218" s="277" t="s">
        <v>634</v>
      </c>
      <c r="D218" s="19">
        <v>706703518432319</v>
      </c>
      <c r="F218" s="11" t="s">
        <v>40</v>
      </c>
      <c r="G218" s="11" t="s">
        <v>41</v>
      </c>
      <c r="H218" s="24">
        <v>35840</v>
      </c>
      <c r="I218" s="277" t="s">
        <v>636</v>
      </c>
      <c r="J218" s="11" t="s">
        <v>42</v>
      </c>
      <c r="K218" s="108" t="s">
        <v>427</v>
      </c>
      <c r="N218" s="11" t="s">
        <v>95</v>
      </c>
      <c r="O218" s="11" t="s">
        <v>96</v>
      </c>
      <c r="P218" s="11" t="s">
        <v>66</v>
      </c>
      <c r="Q218" s="11" t="s">
        <v>44</v>
      </c>
      <c r="R218" s="11" t="s">
        <v>44</v>
      </c>
      <c r="S218" s="11" t="s">
        <v>44</v>
      </c>
      <c r="T218" s="11" t="s">
        <v>44</v>
      </c>
      <c r="U218" s="11" t="s">
        <v>45</v>
      </c>
      <c r="V218" s="24">
        <v>45100</v>
      </c>
      <c r="W218" s="11" t="s">
        <v>57</v>
      </c>
      <c r="X218" s="11" t="s">
        <v>97</v>
      </c>
      <c r="Y218" s="11" t="s">
        <v>97</v>
      </c>
      <c r="Z218" s="11">
        <v>81999504585</v>
      </c>
      <c r="AA218" s="11" t="s">
        <v>115</v>
      </c>
      <c r="AB218" s="11" t="s">
        <v>49</v>
      </c>
      <c r="AC218" s="11" t="s">
        <v>92</v>
      </c>
      <c r="AD218" s="11" t="b">
        <v>1</v>
      </c>
      <c r="AE218" s="11" t="s">
        <v>137</v>
      </c>
      <c r="AF218" s="11" t="s">
        <v>888</v>
      </c>
      <c r="AG218" s="11"/>
      <c r="AH218" s="11" t="s">
        <v>833</v>
      </c>
      <c r="AI218" s="11"/>
    </row>
    <row r="219" ht="12.5" spans="1:35">
      <c r="A219" s="177">
        <v>45098.3651951505</v>
      </c>
      <c r="B219" s="11" t="s">
        <v>171</v>
      </c>
      <c r="C219" s="19">
        <v>13393664441</v>
      </c>
      <c r="D219" s="19">
        <v>700002665283209</v>
      </c>
      <c r="F219" s="11" t="s">
        <v>40</v>
      </c>
      <c r="G219" s="11" t="s">
        <v>54</v>
      </c>
      <c r="H219" s="24">
        <v>37474</v>
      </c>
      <c r="I219" s="277" t="s">
        <v>173</v>
      </c>
      <c r="J219" s="11" t="s">
        <v>42</v>
      </c>
      <c r="K219" s="108" t="s">
        <v>889</v>
      </c>
      <c r="N219" s="11" t="s">
        <v>95</v>
      </c>
      <c r="O219" s="11" t="s">
        <v>44</v>
      </c>
      <c r="P219" s="11" t="s">
        <v>44</v>
      </c>
      <c r="Q219" s="11" t="s">
        <v>44</v>
      </c>
      <c r="R219" s="11" t="s">
        <v>45</v>
      </c>
      <c r="S219" s="11" t="s">
        <v>45</v>
      </c>
      <c r="T219" s="11" t="s">
        <v>44</v>
      </c>
      <c r="U219" s="11" t="s">
        <v>44</v>
      </c>
      <c r="W219" s="11" t="s">
        <v>57</v>
      </c>
      <c r="X219" s="11" t="s">
        <v>97</v>
      </c>
      <c r="Y219" s="11" t="s">
        <v>97</v>
      </c>
      <c r="Z219" s="11">
        <v>81992693254</v>
      </c>
      <c r="AA219" s="11" t="s">
        <v>113</v>
      </c>
      <c r="AB219" s="11"/>
      <c r="AC219" s="11"/>
      <c r="AD219" s="11" t="b">
        <v>0</v>
      </c>
      <c r="AF219" s="11"/>
      <c r="AG219" s="11"/>
      <c r="AH219" s="11"/>
      <c r="AI219" s="11"/>
    </row>
    <row r="220" ht="12.5" spans="1:35">
      <c r="A220" s="177">
        <v>45098.4408369444</v>
      </c>
      <c r="B220" s="11" t="s">
        <v>890</v>
      </c>
      <c r="C220" s="277" t="s">
        <v>891</v>
      </c>
      <c r="D220" s="19">
        <v>701109380079380</v>
      </c>
      <c r="E220" s="18" t="s">
        <v>892</v>
      </c>
      <c r="F220" s="11" t="s">
        <v>40</v>
      </c>
      <c r="G220" s="11" t="s">
        <v>54</v>
      </c>
      <c r="H220" s="24">
        <v>33384</v>
      </c>
      <c r="I220" s="277" t="s">
        <v>309</v>
      </c>
      <c r="J220" s="11" t="s">
        <v>42</v>
      </c>
      <c r="K220" s="108" t="s">
        <v>893</v>
      </c>
      <c r="N220" s="11" t="s">
        <v>43</v>
      </c>
      <c r="O220" s="11" t="s">
        <v>96</v>
      </c>
      <c r="P220" s="11" t="s">
        <v>56</v>
      </c>
      <c r="Q220" s="11" t="s">
        <v>44</v>
      </c>
      <c r="R220" s="11" t="s">
        <v>45</v>
      </c>
      <c r="S220" s="11" t="s">
        <v>83</v>
      </c>
      <c r="T220" s="11" t="s">
        <v>44</v>
      </c>
      <c r="U220" s="11" t="s">
        <v>45</v>
      </c>
      <c r="V220" s="24">
        <v>45099</v>
      </c>
      <c r="W220" s="11" t="s">
        <v>46</v>
      </c>
      <c r="X220" s="11" t="s">
        <v>47</v>
      </c>
      <c r="Y220" s="11" t="s">
        <v>58</v>
      </c>
      <c r="Z220" s="11">
        <v>81999860751</v>
      </c>
      <c r="AA220" s="11" t="s">
        <v>115</v>
      </c>
      <c r="AB220" s="11" t="s">
        <v>98</v>
      </c>
      <c r="AC220" s="11"/>
      <c r="AD220" s="11" t="b">
        <v>0</v>
      </c>
      <c r="AF220" s="11" t="s">
        <v>894</v>
      </c>
      <c r="AG220" s="11"/>
      <c r="AH220" s="11" t="s">
        <v>895</v>
      </c>
      <c r="AI220" s="11"/>
    </row>
    <row r="221" ht="12.5" spans="1:35">
      <c r="A221" s="177">
        <v>45098.5029143403</v>
      </c>
      <c r="B221" s="11" t="s">
        <v>896</v>
      </c>
      <c r="C221" s="277" t="s">
        <v>897</v>
      </c>
      <c r="D221" s="19">
        <v>707007847940738</v>
      </c>
      <c r="E221" s="18" t="s">
        <v>898</v>
      </c>
      <c r="F221" s="11" t="s">
        <v>40</v>
      </c>
      <c r="G221" s="11" t="s">
        <v>41</v>
      </c>
      <c r="H221" s="24">
        <v>35419</v>
      </c>
      <c r="I221" s="19" t="s">
        <v>136</v>
      </c>
      <c r="J221" s="11" t="s">
        <v>42</v>
      </c>
      <c r="K221" s="108" t="s">
        <v>282</v>
      </c>
      <c r="N221" s="11" t="s">
        <v>43</v>
      </c>
      <c r="O221" s="11" t="s">
        <v>44</v>
      </c>
      <c r="P221" s="11" t="s">
        <v>44</v>
      </c>
      <c r="Q221" s="11" t="s">
        <v>44</v>
      </c>
      <c r="R221" s="11" t="s">
        <v>44</v>
      </c>
      <c r="S221" s="11" t="s">
        <v>44</v>
      </c>
      <c r="T221" s="11" t="s">
        <v>44</v>
      </c>
      <c r="U221" s="11" t="s">
        <v>45</v>
      </c>
      <c r="V221" s="24">
        <v>45099</v>
      </c>
      <c r="W221" s="11" t="s">
        <v>46</v>
      </c>
      <c r="X221" s="11" t="s">
        <v>47</v>
      </c>
      <c r="Y221" s="11" t="s">
        <v>58</v>
      </c>
      <c r="Z221" s="11">
        <v>81995318520</v>
      </c>
      <c r="AA221" s="11" t="s">
        <v>113</v>
      </c>
      <c r="AB221" s="11" t="s">
        <v>49</v>
      </c>
      <c r="AC221" s="11" t="s">
        <v>50</v>
      </c>
      <c r="AD221" s="11" t="b">
        <v>0</v>
      </c>
      <c r="AF221" s="11" t="s">
        <v>899</v>
      </c>
      <c r="AG221" s="11"/>
      <c r="AH221" s="11"/>
      <c r="AI221" s="11"/>
    </row>
    <row r="222" ht="12.5" spans="1:37">
      <c r="A222" s="203">
        <v>45098.6832532292</v>
      </c>
      <c r="B222" s="4" t="s">
        <v>900</v>
      </c>
      <c r="C222" s="280" t="s">
        <v>901</v>
      </c>
      <c r="D222" s="19">
        <v>702805126780461</v>
      </c>
      <c r="E222" s="53" t="s">
        <v>902</v>
      </c>
      <c r="F222" s="4" t="s">
        <v>40</v>
      </c>
      <c r="G222" s="4" t="s">
        <v>54</v>
      </c>
      <c r="H222" s="204">
        <v>32781</v>
      </c>
      <c r="I222" s="280" t="s">
        <v>369</v>
      </c>
      <c r="J222" s="4" t="s">
        <v>42</v>
      </c>
      <c r="K222" s="206" t="s">
        <v>302</v>
      </c>
      <c r="L222" s="4"/>
      <c r="M222" s="4"/>
      <c r="N222" s="4" t="s">
        <v>43</v>
      </c>
      <c r="O222" s="4" t="s">
        <v>96</v>
      </c>
      <c r="P222" s="4" t="s">
        <v>56</v>
      </c>
      <c r="Q222" s="4" t="s">
        <v>45</v>
      </c>
      <c r="R222" s="4" t="s">
        <v>45</v>
      </c>
      <c r="S222" s="4" t="s">
        <v>83</v>
      </c>
      <c r="T222" s="4" t="s">
        <v>45</v>
      </c>
      <c r="U222" s="4" t="s">
        <v>45</v>
      </c>
      <c r="V222" s="204">
        <v>45099</v>
      </c>
      <c r="W222" s="4" t="s">
        <v>46</v>
      </c>
      <c r="X222" s="4" t="s">
        <v>47</v>
      </c>
      <c r="Y222" s="4" t="s">
        <v>58</v>
      </c>
      <c r="Z222" s="4">
        <v>81986345052</v>
      </c>
      <c r="AA222" s="4" t="s">
        <v>115</v>
      </c>
      <c r="AB222" s="4" t="s">
        <v>49</v>
      </c>
      <c r="AC222" s="4" t="s">
        <v>50</v>
      </c>
      <c r="AD222" s="4" t="b">
        <v>1</v>
      </c>
      <c r="AE222" s="4" t="s">
        <v>137</v>
      </c>
      <c r="AF222" s="4" t="s">
        <v>903</v>
      </c>
      <c r="AG222" s="4"/>
      <c r="AH222" s="4"/>
      <c r="AI222" s="4"/>
      <c r="AJ222" s="4"/>
      <c r="AK222" s="4"/>
    </row>
    <row r="223" ht="12.5" spans="1:35">
      <c r="A223" s="177">
        <v>45099.3476652546</v>
      </c>
      <c r="B223" s="11" t="s">
        <v>904</v>
      </c>
      <c r="C223" s="19">
        <v>12379186421</v>
      </c>
      <c r="D223" s="19">
        <v>706403154387587</v>
      </c>
      <c r="E223" s="18" t="s">
        <v>905</v>
      </c>
      <c r="F223" s="11" t="s">
        <v>225</v>
      </c>
      <c r="G223" s="11" t="s">
        <v>54</v>
      </c>
      <c r="H223" s="24">
        <v>36132</v>
      </c>
      <c r="I223" s="19" t="s">
        <v>136</v>
      </c>
      <c r="J223" s="11" t="s">
        <v>42</v>
      </c>
      <c r="K223" s="108" t="s">
        <v>455</v>
      </c>
      <c r="N223" s="11" t="s">
        <v>43</v>
      </c>
      <c r="O223" s="11" t="s">
        <v>44</v>
      </c>
      <c r="P223" s="11" t="s">
        <v>44</v>
      </c>
      <c r="Q223" s="11" t="s">
        <v>44</v>
      </c>
      <c r="R223" s="11" t="s">
        <v>44</v>
      </c>
      <c r="S223" s="11" t="s">
        <v>45</v>
      </c>
      <c r="T223" s="11" t="s">
        <v>44</v>
      </c>
      <c r="U223" s="11" t="s">
        <v>44</v>
      </c>
      <c r="W223" s="11" t="s">
        <v>46</v>
      </c>
      <c r="X223" s="11" t="s">
        <v>67</v>
      </c>
      <c r="Y223" s="11" t="s">
        <v>58</v>
      </c>
      <c r="Z223" s="11">
        <v>81996703831</v>
      </c>
      <c r="AA223" s="11" t="s">
        <v>115</v>
      </c>
      <c r="AB223" s="11"/>
      <c r="AC223" s="11"/>
      <c r="AD223" s="11" t="b">
        <v>0</v>
      </c>
      <c r="AF223" s="11"/>
      <c r="AG223" s="11"/>
      <c r="AH223" s="11"/>
      <c r="AI223" s="11"/>
    </row>
    <row r="224" ht="12.5" spans="1:35">
      <c r="A224" s="177">
        <v>45099.3698887269</v>
      </c>
      <c r="B224" s="11" t="s">
        <v>896</v>
      </c>
      <c r="C224" s="277" t="s">
        <v>897</v>
      </c>
      <c r="D224" s="19">
        <v>707007847940738</v>
      </c>
      <c r="F224" s="11" t="s">
        <v>40</v>
      </c>
      <c r="G224" s="11" t="s">
        <v>41</v>
      </c>
      <c r="H224" s="24">
        <v>35419</v>
      </c>
      <c r="I224" s="19" t="s">
        <v>136</v>
      </c>
      <c r="J224" s="11" t="s">
        <v>42</v>
      </c>
      <c r="K224" s="108" t="s">
        <v>282</v>
      </c>
      <c r="N224" s="11" t="s">
        <v>95</v>
      </c>
      <c r="O224" s="11" t="s">
        <v>44</v>
      </c>
      <c r="P224" s="11" t="s">
        <v>44</v>
      </c>
      <c r="Q224" s="11" t="s">
        <v>44</v>
      </c>
      <c r="R224" s="11" t="s">
        <v>44</v>
      </c>
      <c r="S224" s="11" t="s">
        <v>44</v>
      </c>
      <c r="T224" s="11" t="s">
        <v>44</v>
      </c>
      <c r="U224" s="11" t="s">
        <v>45</v>
      </c>
      <c r="V224" s="24">
        <v>45099</v>
      </c>
      <c r="W224" s="11" t="s">
        <v>57</v>
      </c>
      <c r="X224" s="11" t="s">
        <v>97</v>
      </c>
      <c r="Y224" s="11" t="s">
        <v>97</v>
      </c>
      <c r="Z224" s="11">
        <v>81995318520</v>
      </c>
      <c r="AA224" s="11" t="s">
        <v>115</v>
      </c>
      <c r="AB224" s="11" t="s">
        <v>98</v>
      </c>
      <c r="AC224" s="11"/>
      <c r="AD224" s="11" t="b">
        <v>0</v>
      </c>
      <c r="AF224" s="11" t="s">
        <v>906</v>
      </c>
      <c r="AG224" s="11"/>
      <c r="AH224" s="11" t="s">
        <v>895</v>
      </c>
      <c r="AI224" s="11"/>
    </row>
    <row r="225" ht="12.5" spans="1:35">
      <c r="A225" s="177">
        <v>45099.3756463657</v>
      </c>
      <c r="B225" s="11" t="s">
        <v>866</v>
      </c>
      <c r="C225" s="19">
        <v>11296639495</v>
      </c>
      <c r="D225" s="19">
        <v>700209466716525</v>
      </c>
      <c r="E225" s="18" t="s">
        <v>907</v>
      </c>
      <c r="F225" s="11" t="s">
        <v>40</v>
      </c>
      <c r="G225" s="11" t="s">
        <v>54</v>
      </c>
      <c r="H225" s="24">
        <v>35206</v>
      </c>
      <c r="I225" s="277" t="s">
        <v>329</v>
      </c>
      <c r="J225" s="11" t="s">
        <v>42</v>
      </c>
      <c r="K225" s="108" t="s">
        <v>282</v>
      </c>
      <c r="N225" s="11" t="s">
        <v>95</v>
      </c>
      <c r="O225" s="11" t="s">
        <v>44</v>
      </c>
      <c r="P225" s="11" t="s">
        <v>44</v>
      </c>
      <c r="Q225" s="11" t="s">
        <v>45</v>
      </c>
      <c r="R225" s="11" t="s">
        <v>45</v>
      </c>
      <c r="S225" s="11" t="s">
        <v>83</v>
      </c>
      <c r="T225" s="11" t="s">
        <v>44</v>
      </c>
      <c r="U225" s="11" t="s">
        <v>44</v>
      </c>
      <c r="W225" s="11" t="s">
        <v>46</v>
      </c>
      <c r="X225" s="11" t="s">
        <v>97</v>
      </c>
      <c r="Y225" s="11" t="s">
        <v>97</v>
      </c>
      <c r="Z225" s="11">
        <v>81984462332</v>
      </c>
      <c r="AA225" s="11" t="s">
        <v>113</v>
      </c>
      <c r="AB225" s="11"/>
      <c r="AC225" s="11"/>
      <c r="AD225" s="11" t="b">
        <v>0</v>
      </c>
      <c r="AF225" s="11"/>
      <c r="AG225" s="11"/>
      <c r="AH225" s="11"/>
      <c r="AI225" s="11"/>
    </row>
    <row r="226" ht="12.5" spans="1:35">
      <c r="A226" s="177">
        <v>45099.5181114815</v>
      </c>
      <c r="B226" s="11" t="s">
        <v>908</v>
      </c>
      <c r="C226" s="19">
        <v>13960082410</v>
      </c>
      <c r="D226" s="19">
        <v>700902975908497</v>
      </c>
      <c r="E226" s="18" t="s">
        <v>909</v>
      </c>
      <c r="F226" s="11" t="s">
        <v>225</v>
      </c>
      <c r="G226" s="11" t="s">
        <v>41</v>
      </c>
      <c r="H226" s="24">
        <v>38794</v>
      </c>
      <c r="I226" s="277" t="s">
        <v>339</v>
      </c>
      <c r="J226" s="11" t="s">
        <v>42</v>
      </c>
      <c r="K226" s="108" t="s">
        <v>55</v>
      </c>
      <c r="N226" s="11" t="s">
        <v>43</v>
      </c>
      <c r="O226" s="11" t="s">
        <v>96</v>
      </c>
      <c r="P226" s="11" t="s">
        <v>56</v>
      </c>
      <c r="Q226" s="11" t="s">
        <v>45</v>
      </c>
      <c r="R226" s="11" t="s">
        <v>45</v>
      </c>
      <c r="S226" s="11" t="s">
        <v>45</v>
      </c>
      <c r="T226" s="11" t="s">
        <v>44</v>
      </c>
      <c r="U226" s="11" t="s">
        <v>45</v>
      </c>
      <c r="V226" s="24">
        <v>45100</v>
      </c>
      <c r="W226" s="11" t="s">
        <v>57</v>
      </c>
      <c r="X226" s="11" t="s">
        <v>47</v>
      </c>
      <c r="Y226" s="11" t="s">
        <v>58</v>
      </c>
      <c r="Z226" s="11">
        <v>81992198298</v>
      </c>
      <c r="AA226" s="11" t="s">
        <v>115</v>
      </c>
      <c r="AB226" s="11" t="s">
        <v>98</v>
      </c>
      <c r="AC226" s="11"/>
      <c r="AD226" s="11" t="b">
        <v>0</v>
      </c>
      <c r="AF226" s="11" t="s">
        <v>910</v>
      </c>
      <c r="AG226" s="11"/>
      <c r="AH226" s="11"/>
      <c r="AI226" s="11"/>
    </row>
    <row r="227" ht="12.5" spans="1:35">
      <c r="A227" s="177">
        <v>45099.5388591782</v>
      </c>
      <c r="B227" s="11" t="s">
        <v>911</v>
      </c>
      <c r="C227" s="19">
        <v>13964557447</v>
      </c>
      <c r="D227" s="19">
        <v>704001886504668</v>
      </c>
      <c r="E227" s="18" t="s">
        <v>912</v>
      </c>
      <c r="F227" s="11" t="s">
        <v>40</v>
      </c>
      <c r="G227" s="11" t="s">
        <v>54</v>
      </c>
      <c r="H227" s="24">
        <v>36908</v>
      </c>
      <c r="I227" s="277" t="s">
        <v>180</v>
      </c>
      <c r="J227" s="11" t="s">
        <v>42</v>
      </c>
      <c r="K227" s="108" t="s">
        <v>202</v>
      </c>
      <c r="N227" s="11" t="s">
        <v>43</v>
      </c>
      <c r="O227" s="11" t="s">
        <v>44</v>
      </c>
      <c r="P227" s="11" t="s">
        <v>44</v>
      </c>
      <c r="Q227" s="11" t="s">
        <v>44</v>
      </c>
      <c r="R227" s="11" t="s">
        <v>45</v>
      </c>
      <c r="S227" s="11" t="s">
        <v>83</v>
      </c>
      <c r="T227" s="11" t="s">
        <v>44</v>
      </c>
      <c r="U227" s="11" t="s">
        <v>45</v>
      </c>
      <c r="V227" s="24">
        <v>45099</v>
      </c>
      <c r="W227" s="11" t="s">
        <v>46</v>
      </c>
      <c r="X227" s="11" t="s">
        <v>47</v>
      </c>
      <c r="Y227" s="11" t="s">
        <v>58</v>
      </c>
      <c r="Z227" s="11">
        <v>81986721162</v>
      </c>
      <c r="AA227" s="11" t="s">
        <v>113</v>
      </c>
      <c r="AB227" s="11" t="s">
        <v>98</v>
      </c>
      <c r="AC227" s="11"/>
      <c r="AD227" s="11" t="b">
        <v>0</v>
      </c>
      <c r="AF227" s="11" t="s">
        <v>913</v>
      </c>
      <c r="AG227" s="11" t="s">
        <v>914</v>
      </c>
      <c r="AH227" s="11" t="s">
        <v>895</v>
      </c>
      <c r="AI227" s="11"/>
    </row>
    <row r="228" ht="12.5" spans="1:35">
      <c r="A228" s="177">
        <v>45099.5582165046</v>
      </c>
      <c r="B228" s="11" t="s">
        <v>915</v>
      </c>
      <c r="C228" s="277" t="s">
        <v>916</v>
      </c>
      <c r="D228" s="19">
        <v>702508373337330</v>
      </c>
      <c r="E228" s="18" t="s">
        <v>917</v>
      </c>
      <c r="F228" s="11" t="s">
        <v>40</v>
      </c>
      <c r="G228" s="11" t="s">
        <v>54</v>
      </c>
      <c r="H228" s="24">
        <v>33091</v>
      </c>
      <c r="I228" s="277" t="s">
        <v>918</v>
      </c>
      <c r="J228" s="11" t="s">
        <v>42</v>
      </c>
      <c r="K228" s="108" t="s">
        <v>919</v>
      </c>
      <c r="N228" s="11" t="s">
        <v>43</v>
      </c>
      <c r="O228" s="11" t="s">
        <v>44</v>
      </c>
      <c r="P228" s="11" t="s">
        <v>44</v>
      </c>
      <c r="Q228" s="11" t="s">
        <v>44</v>
      </c>
      <c r="R228" s="11" t="s">
        <v>44</v>
      </c>
      <c r="S228" s="11" t="s">
        <v>44</v>
      </c>
      <c r="T228" s="11" t="s">
        <v>44</v>
      </c>
      <c r="U228" s="11" t="s">
        <v>44</v>
      </c>
      <c r="W228" s="11" t="s">
        <v>46</v>
      </c>
      <c r="X228" s="11" t="s">
        <v>47</v>
      </c>
      <c r="Y228" s="11" t="s">
        <v>58</v>
      </c>
      <c r="Z228" s="11">
        <v>81985913215</v>
      </c>
      <c r="AA228" s="11" t="s">
        <v>115</v>
      </c>
      <c r="AB228" s="11"/>
      <c r="AC228" s="11"/>
      <c r="AD228" s="11" t="b">
        <v>0</v>
      </c>
      <c r="AF228" s="11"/>
      <c r="AG228" s="11"/>
      <c r="AH228" s="11"/>
      <c r="AI228" s="11"/>
    </row>
    <row r="229" ht="12.5" spans="1:35">
      <c r="A229" s="177">
        <v>45099.6046198148</v>
      </c>
      <c r="B229" s="11" t="s">
        <v>920</v>
      </c>
      <c r="C229" s="277" t="s">
        <v>921</v>
      </c>
      <c r="D229" s="19">
        <v>702303171179812</v>
      </c>
      <c r="E229" s="18" t="s">
        <v>922</v>
      </c>
      <c r="F229" s="11" t="s">
        <v>40</v>
      </c>
      <c r="G229" s="11" t="s">
        <v>54</v>
      </c>
      <c r="H229" s="24">
        <v>31751</v>
      </c>
      <c r="I229" s="277" t="s">
        <v>923</v>
      </c>
      <c r="J229" s="11" t="s">
        <v>42</v>
      </c>
      <c r="K229" s="108" t="s">
        <v>202</v>
      </c>
      <c r="N229" s="11" t="s">
        <v>43</v>
      </c>
      <c r="O229" s="11" t="s">
        <v>65</v>
      </c>
      <c r="P229" s="11" t="s">
        <v>66</v>
      </c>
      <c r="Q229" s="11" t="s">
        <v>44</v>
      </c>
      <c r="R229" s="11" t="s">
        <v>45</v>
      </c>
      <c r="S229" s="11" t="s">
        <v>45</v>
      </c>
      <c r="T229" s="11" t="s">
        <v>44</v>
      </c>
      <c r="U229" s="11" t="s">
        <v>45</v>
      </c>
      <c r="V229" s="24">
        <v>45100</v>
      </c>
      <c r="W229" s="11" t="s">
        <v>46</v>
      </c>
      <c r="X229" s="11" t="s">
        <v>47</v>
      </c>
      <c r="Y229" s="11" t="s">
        <v>58</v>
      </c>
      <c r="Z229" s="11">
        <v>81988730807</v>
      </c>
      <c r="AA229" s="11" t="s">
        <v>113</v>
      </c>
      <c r="AB229" s="11" t="s">
        <v>98</v>
      </c>
      <c r="AC229" s="11"/>
      <c r="AD229" s="11" t="b">
        <v>0</v>
      </c>
      <c r="AF229" s="11" t="s">
        <v>924</v>
      </c>
      <c r="AG229" s="11"/>
      <c r="AH229" s="11"/>
      <c r="AI229" s="11"/>
    </row>
    <row r="230" ht="12.5" spans="1:35">
      <c r="A230" s="177">
        <v>45099.6213814236</v>
      </c>
      <c r="B230" s="11" t="s">
        <v>925</v>
      </c>
      <c r="C230" s="163">
        <v>71168341418</v>
      </c>
      <c r="D230" s="19">
        <v>702500371187237</v>
      </c>
      <c r="E230" s="18" t="s">
        <v>926</v>
      </c>
      <c r="F230" s="11" t="s">
        <v>217</v>
      </c>
      <c r="G230" s="11" t="s">
        <v>54</v>
      </c>
      <c r="H230" s="24">
        <v>44396</v>
      </c>
      <c r="I230" s="277" t="s">
        <v>927</v>
      </c>
      <c r="J230" s="11" t="s">
        <v>81</v>
      </c>
      <c r="K230" s="108"/>
      <c r="L230" s="11" t="s">
        <v>109</v>
      </c>
      <c r="N230" s="11" t="s">
        <v>43</v>
      </c>
      <c r="O230" s="11" t="s">
        <v>96</v>
      </c>
      <c r="P230" s="11" t="s">
        <v>66</v>
      </c>
      <c r="Q230" s="11" t="s">
        <v>44</v>
      </c>
      <c r="R230" s="11" t="s">
        <v>45</v>
      </c>
      <c r="S230" s="11" t="s">
        <v>45</v>
      </c>
      <c r="T230" s="11" t="s">
        <v>44</v>
      </c>
      <c r="U230" s="11" t="s">
        <v>45</v>
      </c>
      <c r="V230" s="24">
        <v>45100</v>
      </c>
      <c r="W230" s="11" t="s">
        <v>46</v>
      </c>
      <c r="X230" s="11" t="s">
        <v>47</v>
      </c>
      <c r="Y230" s="11" t="s">
        <v>58</v>
      </c>
      <c r="Z230" s="11">
        <v>81983491216</v>
      </c>
      <c r="AA230" s="11" t="s">
        <v>91</v>
      </c>
      <c r="AB230" s="11" t="s">
        <v>98</v>
      </c>
      <c r="AC230" s="11"/>
      <c r="AD230" s="11" t="b">
        <v>0</v>
      </c>
      <c r="AF230" s="11" t="s">
        <v>928</v>
      </c>
      <c r="AG230" s="11"/>
      <c r="AH230" s="11" t="s">
        <v>321</v>
      </c>
      <c r="AI230" s="11"/>
    </row>
    <row r="231" ht="12.5" spans="1:37">
      <c r="A231" s="203">
        <v>45099.678214375</v>
      </c>
      <c r="B231" s="4" t="s">
        <v>900</v>
      </c>
      <c r="C231" s="280" t="s">
        <v>901</v>
      </c>
      <c r="D231" s="19">
        <v>702805126780461</v>
      </c>
      <c r="E231" s="53" t="s">
        <v>929</v>
      </c>
      <c r="F231" s="4" t="s">
        <v>40</v>
      </c>
      <c r="G231" s="4" t="s">
        <v>54</v>
      </c>
      <c r="H231" s="204">
        <v>32781</v>
      </c>
      <c r="I231" s="280" t="s">
        <v>369</v>
      </c>
      <c r="J231" s="4" t="s">
        <v>42</v>
      </c>
      <c r="K231" s="206" t="s">
        <v>302</v>
      </c>
      <c r="L231" s="4"/>
      <c r="M231" s="4"/>
      <c r="N231" s="4" t="s">
        <v>95</v>
      </c>
      <c r="O231" s="4" t="s">
        <v>44</v>
      </c>
      <c r="P231" s="4" t="s">
        <v>56</v>
      </c>
      <c r="Q231" s="4" t="s">
        <v>44</v>
      </c>
      <c r="R231" s="4" t="s">
        <v>45</v>
      </c>
      <c r="S231" s="4" t="s">
        <v>45</v>
      </c>
      <c r="T231" s="4" t="s">
        <v>45</v>
      </c>
      <c r="U231" s="4" t="s">
        <v>45</v>
      </c>
      <c r="V231" s="204">
        <v>45103</v>
      </c>
      <c r="W231" s="4" t="s">
        <v>46</v>
      </c>
      <c r="X231" s="4" t="s">
        <v>97</v>
      </c>
      <c r="Y231" s="4" t="s">
        <v>97</v>
      </c>
      <c r="Z231" s="4">
        <v>81986345052</v>
      </c>
      <c r="AA231" s="4" t="s">
        <v>115</v>
      </c>
      <c r="AB231" s="4" t="s">
        <v>49</v>
      </c>
      <c r="AC231" s="4" t="s">
        <v>256</v>
      </c>
      <c r="AD231" s="4" t="b">
        <v>1</v>
      </c>
      <c r="AE231" s="4" t="s">
        <v>137</v>
      </c>
      <c r="AF231" s="4" t="s">
        <v>930</v>
      </c>
      <c r="AG231" s="4"/>
      <c r="AH231" s="4" t="s">
        <v>931</v>
      </c>
      <c r="AI231" s="4"/>
      <c r="AJ231" s="4"/>
      <c r="AK231" s="4"/>
    </row>
    <row r="232" ht="12.5" spans="1:35">
      <c r="A232" s="177">
        <v>45100.3655012269</v>
      </c>
      <c r="B232" s="11" t="s">
        <v>896</v>
      </c>
      <c r="C232" s="277" t="s">
        <v>897</v>
      </c>
      <c r="D232" s="19">
        <v>707007847940738</v>
      </c>
      <c r="E232" s="18" t="s">
        <v>932</v>
      </c>
      <c r="F232" s="11" t="s">
        <v>40</v>
      </c>
      <c r="G232" s="11" t="s">
        <v>41</v>
      </c>
      <c r="H232" s="24">
        <v>35419</v>
      </c>
      <c r="I232" s="19" t="s">
        <v>448</v>
      </c>
      <c r="J232" s="11" t="s">
        <v>42</v>
      </c>
      <c r="K232" s="108" t="s">
        <v>282</v>
      </c>
      <c r="N232" s="11" t="s">
        <v>43</v>
      </c>
      <c r="O232" s="11" t="s">
        <v>44</v>
      </c>
      <c r="P232" s="11" t="s">
        <v>44</v>
      </c>
      <c r="Q232" s="11" t="s">
        <v>44</v>
      </c>
      <c r="R232" s="11" t="s">
        <v>44</v>
      </c>
      <c r="S232" s="11" t="s">
        <v>44</v>
      </c>
      <c r="T232" s="11" t="s">
        <v>44</v>
      </c>
      <c r="U232" s="11" t="s">
        <v>45</v>
      </c>
      <c r="V232" s="24">
        <v>45103</v>
      </c>
      <c r="W232" s="11" t="s">
        <v>46</v>
      </c>
      <c r="X232" s="11" t="s">
        <v>156</v>
      </c>
      <c r="Y232" s="40" t="s">
        <v>933</v>
      </c>
      <c r="Z232" s="11">
        <v>81995318520</v>
      </c>
      <c r="AA232" s="11" t="s">
        <v>105</v>
      </c>
      <c r="AB232" s="11" t="s">
        <v>98</v>
      </c>
      <c r="AC232" s="11"/>
      <c r="AD232" s="11" t="b">
        <v>0</v>
      </c>
      <c r="AF232" s="11" t="s">
        <v>934</v>
      </c>
      <c r="AG232" s="11" t="s">
        <v>935</v>
      </c>
      <c r="AH232" s="11" t="s">
        <v>936</v>
      </c>
      <c r="AI232" s="11"/>
    </row>
    <row r="233" ht="12.5" spans="1:35">
      <c r="A233" s="177">
        <v>45100.3663137847</v>
      </c>
      <c r="B233" s="11" t="s">
        <v>633</v>
      </c>
      <c r="C233" s="277" t="s">
        <v>634</v>
      </c>
      <c r="D233" s="19">
        <v>706703518432319</v>
      </c>
      <c r="E233" s="18" t="s">
        <v>937</v>
      </c>
      <c r="F233" s="11" t="s">
        <v>40</v>
      </c>
      <c r="G233" s="11" t="s">
        <v>54</v>
      </c>
      <c r="H233" s="24">
        <v>35840</v>
      </c>
      <c r="I233" s="277" t="s">
        <v>636</v>
      </c>
      <c r="J233" s="11" t="s">
        <v>42</v>
      </c>
      <c r="K233" s="108" t="s">
        <v>938</v>
      </c>
      <c r="N233" s="11" t="s">
        <v>95</v>
      </c>
      <c r="O233" s="11" t="s">
        <v>44</v>
      </c>
      <c r="P233" s="11" t="s">
        <v>44</v>
      </c>
      <c r="Q233" s="11" t="s">
        <v>44</v>
      </c>
      <c r="R233" s="11" t="s">
        <v>44</v>
      </c>
      <c r="S233" s="11" t="s">
        <v>44</v>
      </c>
      <c r="T233" s="11" t="s">
        <v>44</v>
      </c>
      <c r="U233" s="11" t="s">
        <v>45</v>
      </c>
      <c r="V233" s="24">
        <v>45102</v>
      </c>
      <c r="W233" s="11" t="s">
        <v>46</v>
      </c>
      <c r="X233" s="11" t="s">
        <v>97</v>
      </c>
      <c r="Y233" s="11" t="s">
        <v>97</v>
      </c>
      <c r="Z233" s="11">
        <v>81999504585</v>
      </c>
      <c r="AA233" s="11" t="s">
        <v>91</v>
      </c>
      <c r="AB233" s="11" t="s">
        <v>49</v>
      </c>
      <c r="AC233" s="11" t="s">
        <v>92</v>
      </c>
      <c r="AD233" s="11" t="b">
        <v>1</v>
      </c>
      <c r="AE233" s="11" t="s">
        <v>137</v>
      </c>
      <c r="AF233" s="11" t="s">
        <v>939</v>
      </c>
      <c r="AG233" s="11"/>
      <c r="AH233" s="11"/>
      <c r="AI233" s="11"/>
    </row>
    <row r="234" ht="12.5" spans="1:35">
      <c r="A234" s="177">
        <v>45100.4462444676</v>
      </c>
      <c r="B234" s="11" t="s">
        <v>940</v>
      </c>
      <c r="C234" s="277" t="s">
        <v>941</v>
      </c>
      <c r="D234" s="19">
        <v>708501389703679</v>
      </c>
      <c r="E234" s="18" t="s">
        <v>942</v>
      </c>
      <c r="F234" s="11" t="s">
        <v>40</v>
      </c>
      <c r="G234" s="11" t="s">
        <v>54</v>
      </c>
      <c r="H234" s="24">
        <v>32504</v>
      </c>
      <c r="I234" s="277" t="s">
        <v>943</v>
      </c>
      <c r="J234" s="11" t="s">
        <v>42</v>
      </c>
      <c r="K234" s="108" t="s">
        <v>74</v>
      </c>
      <c r="N234" s="11" t="s">
        <v>43</v>
      </c>
      <c r="O234" s="11" t="s">
        <v>96</v>
      </c>
      <c r="P234" s="11" t="s">
        <v>66</v>
      </c>
      <c r="Q234" s="11" t="s">
        <v>44</v>
      </c>
      <c r="R234" s="11" t="s">
        <v>45</v>
      </c>
      <c r="S234" s="11" t="s">
        <v>45</v>
      </c>
      <c r="T234" s="11" t="s">
        <v>44</v>
      </c>
      <c r="U234" s="11" t="s">
        <v>45</v>
      </c>
      <c r="V234" s="24">
        <v>45103</v>
      </c>
      <c r="W234" s="11" t="s">
        <v>46</v>
      </c>
      <c r="X234" s="11" t="s">
        <v>303</v>
      </c>
      <c r="Y234" s="11" t="s">
        <v>58</v>
      </c>
      <c r="Z234" s="11">
        <v>81985309631</v>
      </c>
      <c r="AA234" s="11" t="s">
        <v>273</v>
      </c>
      <c r="AB234" s="11" t="s">
        <v>98</v>
      </c>
      <c r="AC234" s="11"/>
      <c r="AD234" s="11" t="b">
        <v>0</v>
      </c>
      <c r="AF234" s="11" t="s">
        <v>944</v>
      </c>
      <c r="AG234" s="11" t="s">
        <v>945</v>
      </c>
      <c r="AH234" s="11"/>
      <c r="AI234" s="11"/>
    </row>
    <row r="235" ht="12.5" spans="1:35">
      <c r="A235" s="177">
        <v>45101.6123901273</v>
      </c>
      <c r="B235" s="11" t="s">
        <v>946</v>
      </c>
      <c r="C235" s="277" t="s">
        <v>947</v>
      </c>
      <c r="D235" s="19">
        <v>705009899325355</v>
      </c>
      <c r="E235" s="18" t="s">
        <v>948</v>
      </c>
      <c r="F235" s="11" t="s">
        <v>40</v>
      </c>
      <c r="G235" s="11" t="s">
        <v>88</v>
      </c>
      <c r="H235" s="24">
        <v>30984</v>
      </c>
      <c r="I235" s="277" t="s">
        <v>949</v>
      </c>
      <c r="J235" s="11" t="s">
        <v>42</v>
      </c>
      <c r="K235" s="108" t="s">
        <v>74</v>
      </c>
      <c r="N235" s="11" t="s">
        <v>43</v>
      </c>
      <c r="O235" s="11" t="s">
        <v>96</v>
      </c>
      <c r="P235" s="11" t="s">
        <v>66</v>
      </c>
      <c r="Q235" s="11" t="s">
        <v>44</v>
      </c>
      <c r="R235" s="11" t="s">
        <v>45</v>
      </c>
      <c r="S235" s="11" t="s">
        <v>83</v>
      </c>
      <c r="T235" s="11" t="s">
        <v>44</v>
      </c>
      <c r="U235" s="11" t="s">
        <v>44</v>
      </c>
      <c r="W235" s="11" t="s">
        <v>46</v>
      </c>
      <c r="X235" s="11" t="s">
        <v>303</v>
      </c>
      <c r="Y235" s="11" t="s">
        <v>58</v>
      </c>
      <c r="Z235" s="11">
        <v>81999137506</v>
      </c>
      <c r="AA235" s="11" t="s">
        <v>115</v>
      </c>
      <c r="AB235" s="11"/>
      <c r="AC235" s="11"/>
      <c r="AD235" s="11" t="b">
        <v>0</v>
      </c>
      <c r="AF235" s="11"/>
      <c r="AG235" s="11"/>
      <c r="AH235" s="75" t="s">
        <v>950</v>
      </c>
      <c r="AI235" s="11"/>
    </row>
    <row r="236" ht="12.5" spans="1:35">
      <c r="A236" s="177">
        <v>45101.7820644329</v>
      </c>
      <c r="B236" s="11" t="s">
        <v>951</v>
      </c>
      <c r="C236" s="19">
        <v>70981155413</v>
      </c>
      <c r="D236" s="19">
        <v>700007525040502</v>
      </c>
      <c r="E236" s="18" t="s">
        <v>952</v>
      </c>
      <c r="F236" s="11" t="s">
        <v>225</v>
      </c>
      <c r="G236" s="11" t="s">
        <v>41</v>
      </c>
      <c r="H236" s="24">
        <v>35681</v>
      </c>
      <c r="I236" s="277" t="s">
        <v>407</v>
      </c>
      <c r="J236" s="11" t="s">
        <v>42</v>
      </c>
      <c r="K236" s="108" t="s">
        <v>202</v>
      </c>
      <c r="N236" s="11" t="s">
        <v>43</v>
      </c>
      <c r="O236" s="11" t="s">
        <v>96</v>
      </c>
      <c r="P236" s="11" t="s">
        <v>66</v>
      </c>
      <c r="Q236" s="11" t="s">
        <v>44</v>
      </c>
      <c r="R236" s="11" t="s">
        <v>45</v>
      </c>
      <c r="S236" s="11" t="s">
        <v>45</v>
      </c>
      <c r="T236" s="11" t="s">
        <v>44</v>
      </c>
      <c r="U236" s="11" t="s">
        <v>45</v>
      </c>
      <c r="V236" s="24">
        <v>45102</v>
      </c>
      <c r="W236" s="11" t="s">
        <v>46</v>
      </c>
      <c r="X236" s="11" t="s">
        <v>303</v>
      </c>
      <c r="Y236" s="11" t="s">
        <v>58</v>
      </c>
      <c r="Z236" s="11">
        <v>81996176992</v>
      </c>
      <c r="AA236" s="11" t="s">
        <v>115</v>
      </c>
      <c r="AB236" s="11" t="s">
        <v>49</v>
      </c>
      <c r="AC236" s="11" t="s">
        <v>92</v>
      </c>
      <c r="AD236" s="11" t="b">
        <v>0</v>
      </c>
      <c r="AF236" s="11" t="s">
        <v>953</v>
      </c>
      <c r="AG236" s="11"/>
      <c r="AH236" s="11"/>
      <c r="AI236" s="11"/>
    </row>
    <row r="237" ht="12.5" spans="1:37">
      <c r="A237" s="203">
        <v>45102.35509375</v>
      </c>
      <c r="B237" s="4" t="s">
        <v>866</v>
      </c>
      <c r="C237" s="17">
        <v>11296639495</v>
      </c>
      <c r="D237" s="19">
        <v>700209466716525</v>
      </c>
      <c r="E237" s="53" t="s">
        <v>954</v>
      </c>
      <c r="F237" s="4" t="s">
        <v>40</v>
      </c>
      <c r="G237" s="4" t="s">
        <v>54</v>
      </c>
      <c r="H237" s="204">
        <v>35206</v>
      </c>
      <c r="I237" s="17" t="s">
        <v>136</v>
      </c>
      <c r="J237" s="4" t="s">
        <v>42</v>
      </c>
      <c r="K237" s="206" t="s">
        <v>399</v>
      </c>
      <c r="L237" s="4"/>
      <c r="M237" s="4"/>
      <c r="N237" s="4" t="s">
        <v>43</v>
      </c>
      <c r="O237" s="4" t="s">
        <v>65</v>
      </c>
      <c r="P237" s="4" t="s">
        <v>66</v>
      </c>
      <c r="Q237" s="4" t="s">
        <v>44</v>
      </c>
      <c r="R237" s="4" t="s">
        <v>45</v>
      </c>
      <c r="S237" s="4" t="s">
        <v>83</v>
      </c>
      <c r="T237" s="4" t="s">
        <v>45</v>
      </c>
      <c r="U237" s="4" t="s">
        <v>45</v>
      </c>
      <c r="V237" s="204">
        <v>45103</v>
      </c>
      <c r="W237" s="4" t="s">
        <v>46</v>
      </c>
      <c r="X237" s="4" t="s">
        <v>303</v>
      </c>
      <c r="Y237" s="4" t="s">
        <v>58</v>
      </c>
      <c r="Z237" s="4">
        <v>81984462332</v>
      </c>
      <c r="AA237" s="4" t="s">
        <v>91</v>
      </c>
      <c r="AB237" s="4" t="s">
        <v>98</v>
      </c>
      <c r="AC237" s="4"/>
      <c r="AD237" s="4" t="b">
        <v>0</v>
      </c>
      <c r="AE237" s="4"/>
      <c r="AF237" s="4" t="s">
        <v>955</v>
      </c>
      <c r="AG237" s="4" t="s">
        <v>956</v>
      </c>
      <c r="AH237" s="4" t="s">
        <v>386</v>
      </c>
      <c r="AI237" s="4"/>
      <c r="AJ237" s="4"/>
      <c r="AK237" s="4"/>
    </row>
    <row r="238" ht="12.5" spans="1:35">
      <c r="A238" s="177">
        <v>45102.3740755671</v>
      </c>
      <c r="B238" s="11" t="s">
        <v>633</v>
      </c>
      <c r="C238" s="277" t="s">
        <v>634</v>
      </c>
      <c r="D238" s="19">
        <v>706703518432319</v>
      </c>
      <c r="E238" s="18" t="s">
        <v>957</v>
      </c>
      <c r="F238" s="11" t="s">
        <v>40</v>
      </c>
      <c r="G238" s="11" t="s">
        <v>54</v>
      </c>
      <c r="H238" s="24">
        <v>35840</v>
      </c>
      <c r="I238" s="277" t="s">
        <v>636</v>
      </c>
      <c r="J238" s="11" t="s">
        <v>42</v>
      </c>
      <c r="K238" s="108" t="s">
        <v>958</v>
      </c>
      <c r="N238" s="11" t="s">
        <v>95</v>
      </c>
      <c r="O238" s="11" t="s">
        <v>44</v>
      </c>
      <c r="P238" s="11" t="s">
        <v>44</v>
      </c>
      <c r="Q238" s="11" t="s">
        <v>44</v>
      </c>
      <c r="R238" s="11" t="s">
        <v>44</v>
      </c>
      <c r="S238" s="11" t="s">
        <v>83</v>
      </c>
      <c r="T238" s="11" t="s">
        <v>44</v>
      </c>
      <c r="U238" s="11" t="s">
        <v>44</v>
      </c>
      <c r="W238" s="11" t="s">
        <v>46</v>
      </c>
      <c r="X238" s="11" t="s">
        <v>97</v>
      </c>
      <c r="Y238" s="11" t="s">
        <v>97</v>
      </c>
      <c r="Z238" s="11">
        <v>81999504585</v>
      </c>
      <c r="AA238" s="11" t="s">
        <v>91</v>
      </c>
      <c r="AB238" s="11"/>
      <c r="AC238" s="11"/>
      <c r="AD238" s="11" t="b">
        <v>0</v>
      </c>
      <c r="AF238" s="11"/>
      <c r="AG238" s="11"/>
      <c r="AH238" s="11"/>
      <c r="AI238" s="11"/>
    </row>
    <row r="239" ht="12.5" spans="1:35">
      <c r="A239" s="177">
        <v>45102.6785155556</v>
      </c>
      <c r="B239" s="11" t="s">
        <v>959</v>
      </c>
      <c r="C239" s="19">
        <v>70981155413</v>
      </c>
      <c r="D239" s="19">
        <v>700007525040502</v>
      </c>
      <c r="F239" s="11" t="s">
        <v>225</v>
      </c>
      <c r="G239" s="11" t="s">
        <v>41</v>
      </c>
      <c r="H239" s="24">
        <v>35681</v>
      </c>
      <c r="I239" s="277" t="s">
        <v>407</v>
      </c>
      <c r="J239" s="11" t="s">
        <v>42</v>
      </c>
      <c r="K239" s="108" t="s">
        <v>202</v>
      </c>
      <c r="N239" s="11" t="s">
        <v>95</v>
      </c>
      <c r="O239" s="11" t="s">
        <v>127</v>
      </c>
      <c r="P239" s="11" t="s">
        <v>44</v>
      </c>
      <c r="Q239" s="11" t="s">
        <v>44</v>
      </c>
      <c r="R239" s="11" t="s">
        <v>45</v>
      </c>
      <c r="S239" s="11" t="s">
        <v>45</v>
      </c>
      <c r="T239" s="11" t="s">
        <v>44</v>
      </c>
      <c r="U239" s="11" t="s">
        <v>44</v>
      </c>
      <c r="W239" s="11" t="s">
        <v>57</v>
      </c>
      <c r="X239" s="11" t="s">
        <v>97</v>
      </c>
      <c r="Y239" s="11" t="s">
        <v>97</v>
      </c>
      <c r="Z239" s="11">
        <v>81996176992</v>
      </c>
      <c r="AA239" s="11" t="s">
        <v>91</v>
      </c>
      <c r="AB239" s="11"/>
      <c r="AC239" s="11"/>
      <c r="AD239" s="11" t="b">
        <v>0</v>
      </c>
      <c r="AF239" s="11"/>
      <c r="AG239" s="11"/>
      <c r="AH239" s="11"/>
      <c r="AI239" s="11"/>
    </row>
    <row r="240" ht="12.5" spans="1:35">
      <c r="A240" s="177">
        <v>45103.3891419097</v>
      </c>
      <c r="B240" s="11" t="s">
        <v>960</v>
      </c>
      <c r="C240" s="19">
        <v>15111735488</v>
      </c>
      <c r="D240" s="19">
        <v>702506385881039</v>
      </c>
      <c r="E240" s="18" t="s">
        <v>961</v>
      </c>
      <c r="F240" s="11" t="s">
        <v>40</v>
      </c>
      <c r="G240" s="11" t="s">
        <v>54</v>
      </c>
      <c r="H240" s="24">
        <v>37467</v>
      </c>
      <c r="I240" s="277" t="s">
        <v>540</v>
      </c>
      <c r="J240" s="11" t="s">
        <v>42</v>
      </c>
      <c r="K240" s="108" t="s">
        <v>155</v>
      </c>
      <c r="N240" s="11" t="s">
        <v>43</v>
      </c>
      <c r="O240" s="11" t="s">
        <v>65</v>
      </c>
      <c r="P240" s="11" t="s">
        <v>66</v>
      </c>
      <c r="Q240" s="11" t="s">
        <v>44</v>
      </c>
      <c r="R240" s="11" t="s">
        <v>45</v>
      </c>
      <c r="S240" s="11" t="s">
        <v>44</v>
      </c>
      <c r="T240" s="11" t="s">
        <v>44</v>
      </c>
      <c r="U240" s="11" t="s">
        <v>45</v>
      </c>
      <c r="V240" s="24">
        <v>45104</v>
      </c>
      <c r="W240" s="11" t="s">
        <v>46</v>
      </c>
      <c r="X240" s="11" t="s">
        <v>47</v>
      </c>
      <c r="Y240" s="11" t="s">
        <v>58</v>
      </c>
      <c r="Z240" s="11">
        <v>81985750512</v>
      </c>
      <c r="AA240" s="11" t="s">
        <v>103</v>
      </c>
      <c r="AB240" s="11" t="s">
        <v>49</v>
      </c>
      <c r="AC240" s="11" t="s">
        <v>50</v>
      </c>
      <c r="AD240" s="11" t="b">
        <v>0</v>
      </c>
      <c r="AF240" s="214" t="s">
        <v>962</v>
      </c>
      <c r="AG240" s="11"/>
      <c r="AH240" s="11" t="s">
        <v>963</v>
      </c>
      <c r="AI240" s="11"/>
    </row>
    <row r="241" ht="12.5" spans="1:37">
      <c r="A241" s="216">
        <v>45103.6424052431</v>
      </c>
      <c r="B241" s="136" t="s">
        <v>964</v>
      </c>
      <c r="C241" s="281" t="s">
        <v>965</v>
      </c>
      <c r="D241" s="19">
        <v>708209134201740</v>
      </c>
      <c r="E241" s="218" t="s">
        <v>966</v>
      </c>
      <c r="F241" s="136" t="s">
        <v>40</v>
      </c>
      <c r="G241" s="136" t="s">
        <v>54</v>
      </c>
      <c r="H241" s="219">
        <v>32335</v>
      </c>
      <c r="I241" s="281" t="s">
        <v>967</v>
      </c>
      <c r="J241" s="136" t="s">
        <v>42</v>
      </c>
      <c r="K241" s="220" t="s">
        <v>399</v>
      </c>
      <c r="L241" s="136"/>
      <c r="M241" s="136"/>
      <c r="N241" s="136" t="s">
        <v>43</v>
      </c>
      <c r="O241" s="136" t="s">
        <v>96</v>
      </c>
      <c r="P241" s="136" t="s">
        <v>66</v>
      </c>
      <c r="Q241" s="136" t="s">
        <v>44</v>
      </c>
      <c r="R241" s="136" t="s">
        <v>44</v>
      </c>
      <c r="S241" s="136" t="s">
        <v>45</v>
      </c>
      <c r="T241" s="136" t="s">
        <v>44</v>
      </c>
      <c r="U241" s="136" t="s">
        <v>45</v>
      </c>
      <c r="V241" s="219">
        <v>45104</v>
      </c>
      <c r="W241" s="136" t="s">
        <v>46</v>
      </c>
      <c r="X241" s="136" t="s">
        <v>47</v>
      </c>
      <c r="Y241" s="136" t="s">
        <v>58</v>
      </c>
      <c r="Z241" s="136">
        <v>81985451877</v>
      </c>
      <c r="AA241" s="136" t="s">
        <v>273</v>
      </c>
      <c r="AB241" s="136" t="s">
        <v>98</v>
      </c>
      <c r="AC241" s="136"/>
      <c r="AD241" s="136" t="b">
        <v>0</v>
      </c>
      <c r="AE241" s="136"/>
      <c r="AF241" s="148" t="s">
        <v>968</v>
      </c>
      <c r="AG241" s="136"/>
      <c r="AH241" s="136" t="s">
        <v>969</v>
      </c>
      <c r="AI241" s="136"/>
      <c r="AJ241" s="136"/>
      <c r="AK241" s="136"/>
    </row>
    <row r="242" ht="12.5" spans="1:35">
      <c r="A242" s="177">
        <v>45103.6518351157</v>
      </c>
      <c r="B242" s="11" t="s">
        <v>970</v>
      </c>
      <c r="C242" s="277" t="s">
        <v>971</v>
      </c>
      <c r="D242" s="19">
        <v>701103334115080</v>
      </c>
      <c r="E242" s="18" t="s">
        <v>972</v>
      </c>
      <c r="F242" s="11" t="s">
        <v>225</v>
      </c>
      <c r="G242" s="11" t="s">
        <v>54</v>
      </c>
      <c r="H242" s="24">
        <v>32474</v>
      </c>
      <c r="I242" s="277" t="s">
        <v>973</v>
      </c>
      <c r="J242" s="11" t="s">
        <v>42</v>
      </c>
      <c r="K242" s="108" t="s">
        <v>282</v>
      </c>
      <c r="N242" s="11" t="s">
        <v>43</v>
      </c>
      <c r="O242" s="11" t="s">
        <v>44</v>
      </c>
      <c r="P242" s="11" t="s">
        <v>44</v>
      </c>
      <c r="Q242" s="11" t="s">
        <v>44</v>
      </c>
      <c r="R242" s="11" t="s">
        <v>44</v>
      </c>
      <c r="S242" s="11" t="s">
        <v>44</v>
      </c>
      <c r="T242" s="11" t="s">
        <v>44</v>
      </c>
      <c r="U242" s="11" t="s">
        <v>45</v>
      </c>
      <c r="V242" s="24">
        <v>45105</v>
      </c>
      <c r="W242" s="11" t="s">
        <v>46</v>
      </c>
      <c r="X242" s="11" t="s">
        <v>47</v>
      </c>
      <c r="Y242" s="11" t="s">
        <v>185</v>
      </c>
      <c r="Z242" s="11">
        <v>81993617490</v>
      </c>
      <c r="AA242" s="11" t="s">
        <v>113</v>
      </c>
      <c r="AB242" s="11" t="s">
        <v>98</v>
      </c>
      <c r="AC242" s="11"/>
      <c r="AD242" s="11" t="b">
        <v>0</v>
      </c>
      <c r="AF242" s="11" t="s">
        <v>974</v>
      </c>
      <c r="AG242" s="11" t="s">
        <v>975</v>
      </c>
      <c r="AH242" s="11"/>
      <c r="AI242" s="11"/>
    </row>
    <row r="243" ht="12.5" spans="1:37">
      <c r="A243" s="203">
        <v>45103.7231592361</v>
      </c>
      <c r="B243" s="4" t="s">
        <v>900</v>
      </c>
      <c r="C243" s="280" t="s">
        <v>901</v>
      </c>
      <c r="D243" s="19">
        <v>702805126780461</v>
      </c>
      <c r="E243" s="4"/>
      <c r="F243" s="4" t="s">
        <v>40</v>
      </c>
      <c r="G243" s="4" t="s">
        <v>54</v>
      </c>
      <c r="H243" s="204">
        <v>32781</v>
      </c>
      <c r="I243" s="280" t="s">
        <v>369</v>
      </c>
      <c r="J243" s="4" t="s">
        <v>42</v>
      </c>
      <c r="K243" s="206" t="s">
        <v>302</v>
      </c>
      <c r="L243" s="4"/>
      <c r="M243" s="4"/>
      <c r="N243" s="4" t="s">
        <v>95</v>
      </c>
      <c r="O243" s="4" t="s">
        <v>44</v>
      </c>
      <c r="P243" s="4" t="s">
        <v>44</v>
      </c>
      <c r="Q243" s="4" t="s">
        <v>45</v>
      </c>
      <c r="R243" s="4" t="s">
        <v>45</v>
      </c>
      <c r="S243" s="4" t="s">
        <v>44</v>
      </c>
      <c r="T243" s="4" t="s">
        <v>45</v>
      </c>
      <c r="U243" s="4" t="s">
        <v>44</v>
      </c>
      <c r="V243" s="4"/>
      <c r="W243" s="4" t="s">
        <v>57</v>
      </c>
      <c r="X243" s="4" t="s">
        <v>97</v>
      </c>
      <c r="Y243" s="4" t="s">
        <v>97</v>
      </c>
      <c r="Z243" s="4">
        <v>81986345052</v>
      </c>
      <c r="AA243" s="4" t="s">
        <v>273</v>
      </c>
      <c r="AB243" s="4"/>
      <c r="AC243" s="4"/>
      <c r="AD243" s="4" t="b">
        <v>0</v>
      </c>
      <c r="AE243" s="4"/>
      <c r="AF243" s="4"/>
      <c r="AG243" s="4"/>
      <c r="AH243" s="4" t="s">
        <v>386</v>
      </c>
      <c r="AI243" s="4"/>
      <c r="AJ243" s="4"/>
      <c r="AK243" s="4"/>
    </row>
    <row r="244" ht="15" customHeight="1" spans="1:35">
      <c r="A244" s="177">
        <v>45104.3475728009</v>
      </c>
      <c r="B244" s="64" t="s">
        <v>960</v>
      </c>
      <c r="C244" s="19">
        <v>15111735488</v>
      </c>
      <c r="D244" s="19">
        <v>702506385881039</v>
      </c>
      <c r="F244" s="11" t="s">
        <v>40</v>
      </c>
      <c r="G244" s="11" t="s">
        <v>54</v>
      </c>
      <c r="H244" s="24">
        <v>37467</v>
      </c>
      <c r="I244" s="277" t="s">
        <v>540</v>
      </c>
      <c r="J244" s="11" t="s">
        <v>42</v>
      </c>
      <c r="K244" s="108" t="s">
        <v>155</v>
      </c>
      <c r="N244" s="11" t="s">
        <v>95</v>
      </c>
      <c r="O244" s="11" t="s">
        <v>127</v>
      </c>
      <c r="P244" s="11" t="s">
        <v>44</v>
      </c>
      <c r="Q244" s="11" t="s">
        <v>44</v>
      </c>
      <c r="R244" s="11" t="s">
        <v>44</v>
      </c>
      <c r="S244" s="11" t="s">
        <v>44</v>
      </c>
      <c r="T244" s="11" t="s">
        <v>44</v>
      </c>
      <c r="U244" s="11" t="s">
        <v>44</v>
      </c>
      <c r="W244" s="11" t="s">
        <v>57</v>
      </c>
      <c r="X244" s="11" t="s">
        <v>97</v>
      </c>
      <c r="Y244" s="11" t="s">
        <v>97</v>
      </c>
      <c r="Z244" s="11">
        <v>81985750512</v>
      </c>
      <c r="AA244" s="11" t="s">
        <v>115</v>
      </c>
      <c r="AB244" s="11"/>
      <c r="AC244" s="11"/>
      <c r="AD244" s="11" t="b">
        <v>0</v>
      </c>
      <c r="AF244" s="11"/>
      <c r="AG244" s="11"/>
      <c r="AH244" s="11"/>
      <c r="AI244" s="11"/>
    </row>
    <row r="245" ht="12.5" spans="1:35">
      <c r="A245" s="177">
        <v>45104.5508244907</v>
      </c>
      <c r="B245" s="11" t="s">
        <v>976</v>
      </c>
      <c r="C245" s="277" t="s">
        <v>977</v>
      </c>
      <c r="D245" s="19">
        <v>707106366986720</v>
      </c>
      <c r="E245" s="18" t="s">
        <v>978</v>
      </c>
      <c r="F245" s="11" t="s">
        <v>40</v>
      </c>
      <c r="G245" s="11" t="s">
        <v>54</v>
      </c>
      <c r="H245" s="24">
        <v>31865</v>
      </c>
      <c r="I245" s="277" t="s">
        <v>979</v>
      </c>
      <c r="J245" s="11" t="s">
        <v>42</v>
      </c>
      <c r="K245" s="108" t="s">
        <v>980</v>
      </c>
      <c r="N245" s="11" t="s">
        <v>43</v>
      </c>
      <c r="O245" s="11" t="s">
        <v>44</v>
      </c>
      <c r="P245" s="11" t="s">
        <v>44</v>
      </c>
      <c r="Q245" s="11" t="s">
        <v>44</v>
      </c>
      <c r="R245" s="11" t="s">
        <v>45</v>
      </c>
      <c r="S245" s="11" t="s">
        <v>83</v>
      </c>
      <c r="T245" s="11" t="s">
        <v>44</v>
      </c>
      <c r="U245" s="11" t="s">
        <v>44</v>
      </c>
      <c r="W245" s="11" t="s">
        <v>46</v>
      </c>
      <c r="X245" s="11" t="s">
        <v>47</v>
      </c>
      <c r="Y245" s="11" t="s">
        <v>58</v>
      </c>
      <c r="Z245" s="11">
        <v>81986368212</v>
      </c>
      <c r="AA245" s="11" t="s">
        <v>91</v>
      </c>
      <c r="AB245" s="11"/>
      <c r="AC245" s="11"/>
      <c r="AD245" s="11" t="b">
        <v>0</v>
      </c>
      <c r="AF245" s="11"/>
      <c r="AG245" s="11"/>
      <c r="AH245" s="11"/>
      <c r="AI245" s="11"/>
    </row>
    <row r="246" ht="12.5" spans="1:35">
      <c r="A246" s="177">
        <v>45104.6322246065</v>
      </c>
      <c r="B246" s="11" t="s">
        <v>981</v>
      </c>
      <c r="C246" s="19">
        <v>71199151424</v>
      </c>
      <c r="D246" s="19">
        <v>704606180252124</v>
      </c>
      <c r="E246" s="18" t="s">
        <v>982</v>
      </c>
      <c r="F246" s="11" t="s">
        <v>225</v>
      </c>
      <c r="G246" s="11" t="s">
        <v>54</v>
      </c>
      <c r="H246" s="24">
        <v>36970</v>
      </c>
      <c r="I246" s="277" t="s">
        <v>642</v>
      </c>
      <c r="J246" s="11" t="s">
        <v>42</v>
      </c>
      <c r="K246" s="108" t="s">
        <v>302</v>
      </c>
      <c r="N246" s="11" t="s">
        <v>43</v>
      </c>
      <c r="O246" s="11" t="s">
        <v>65</v>
      </c>
      <c r="P246" s="11" t="s">
        <v>66</v>
      </c>
      <c r="Q246" s="11" t="s">
        <v>45</v>
      </c>
      <c r="R246" s="11" t="s">
        <v>45</v>
      </c>
      <c r="S246" s="11" t="s">
        <v>44</v>
      </c>
      <c r="T246" s="11" t="s">
        <v>44</v>
      </c>
      <c r="U246" s="11" t="s">
        <v>45</v>
      </c>
      <c r="V246" s="24">
        <v>45105</v>
      </c>
      <c r="W246" s="11" t="s">
        <v>57</v>
      </c>
      <c r="X246" s="11" t="s">
        <v>47</v>
      </c>
      <c r="Y246" s="11" t="s">
        <v>58</v>
      </c>
      <c r="Z246" s="11">
        <v>81996343446</v>
      </c>
      <c r="AA246" s="11" t="s">
        <v>115</v>
      </c>
      <c r="AB246" s="11" t="s">
        <v>98</v>
      </c>
      <c r="AC246" s="11"/>
      <c r="AD246" s="11" t="b">
        <v>0</v>
      </c>
      <c r="AF246" s="11" t="s">
        <v>983</v>
      </c>
      <c r="AG246" s="11" t="s">
        <v>984</v>
      </c>
      <c r="AH246" s="11" t="s">
        <v>985</v>
      </c>
      <c r="AI246" s="11"/>
    </row>
    <row r="247" ht="12.5" spans="1:35">
      <c r="A247" s="177">
        <v>45104.7470325231</v>
      </c>
      <c r="B247" s="11" t="s">
        <v>986</v>
      </c>
      <c r="C247" s="19">
        <v>70053271440</v>
      </c>
      <c r="D247" s="19">
        <v>708606097669989</v>
      </c>
      <c r="E247" s="18" t="s">
        <v>987</v>
      </c>
      <c r="F247" s="11" t="s">
        <v>40</v>
      </c>
      <c r="G247" s="11" t="s">
        <v>54</v>
      </c>
      <c r="H247" s="24">
        <v>35818</v>
      </c>
      <c r="I247" s="277" t="s">
        <v>988</v>
      </c>
      <c r="J247" s="11" t="s">
        <v>42</v>
      </c>
      <c r="K247" s="108" t="s">
        <v>74</v>
      </c>
      <c r="N247" s="11" t="s">
        <v>43</v>
      </c>
      <c r="O247" s="11" t="s">
        <v>44</v>
      </c>
      <c r="P247" s="11" t="s">
        <v>44</v>
      </c>
      <c r="Q247" s="11" t="s">
        <v>44</v>
      </c>
      <c r="R247" s="11" t="s">
        <v>45</v>
      </c>
      <c r="S247" s="11" t="s">
        <v>45</v>
      </c>
      <c r="T247" s="11" t="s">
        <v>44</v>
      </c>
      <c r="U247" s="11" t="s">
        <v>45</v>
      </c>
      <c r="V247" s="24">
        <v>44739</v>
      </c>
      <c r="W247" s="11" t="s">
        <v>46</v>
      </c>
      <c r="X247" s="11" t="s">
        <v>203</v>
      </c>
      <c r="Y247" s="11" t="s">
        <v>58</v>
      </c>
      <c r="Z247" s="11">
        <v>81992444731</v>
      </c>
      <c r="AA247" s="11" t="s">
        <v>115</v>
      </c>
      <c r="AB247" s="11" t="s">
        <v>49</v>
      </c>
      <c r="AC247" s="11" t="s">
        <v>50</v>
      </c>
      <c r="AD247" s="11" t="b">
        <v>1</v>
      </c>
      <c r="AE247" s="11" t="s">
        <v>137</v>
      </c>
      <c r="AF247" s="11" t="s">
        <v>989</v>
      </c>
      <c r="AG247" s="11"/>
      <c r="AH247" s="11"/>
      <c r="AI247" s="11"/>
    </row>
    <row r="248" ht="12.5" spans="1:35">
      <c r="A248" s="177">
        <v>45104.8174401273</v>
      </c>
      <c r="B248" s="11" t="s">
        <v>986</v>
      </c>
      <c r="C248" s="19">
        <v>70053271440</v>
      </c>
      <c r="D248" s="19">
        <v>708606097669989</v>
      </c>
      <c r="E248" s="18" t="s">
        <v>990</v>
      </c>
      <c r="F248" s="11" t="s">
        <v>40</v>
      </c>
      <c r="G248" s="11" t="s">
        <v>54</v>
      </c>
      <c r="H248" s="24">
        <v>35818</v>
      </c>
      <c r="I248" s="277" t="s">
        <v>988</v>
      </c>
      <c r="J248" s="11" t="s">
        <v>42</v>
      </c>
      <c r="K248" s="108" t="s">
        <v>74</v>
      </c>
      <c r="N248" s="11" t="s">
        <v>95</v>
      </c>
      <c r="O248" s="11" t="s">
        <v>96</v>
      </c>
      <c r="P248" s="11" t="s">
        <v>56</v>
      </c>
      <c r="Q248" s="11" t="s">
        <v>44</v>
      </c>
      <c r="R248" s="11" t="s">
        <v>45</v>
      </c>
      <c r="S248" s="11" t="s">
        <v>45</v>
      </c>
      <c r="T248" s="11" t="s">
        <v>44</v>
      </c>
      <c r="U248" s="11" t="s">
        <v>45</v>
      </c>
      <c r="V248" s="24">
        <v>45108</v>
      </c>
      <c r="W248" s="11" t="s">
        <v>46</v>
      </c>
      <c r="X248" s="11" t="s">
        <v>97</v>
      </c>
      <c r="Y248" s="11" t="s">
        <v>97</v>
      </c>
      <c r="Z248" s="11">
        <v>81992444731</v>
      </c>
      <c r="AA248" s="11" t="s">
        <v>115</v>
      </c>
      <c r="AB248" s="11" t="s">
        <v>98</v>
      </c>
      <c r="AC248" s="11"/>
      <c r="AD248" s="11" t="b">
        <v>0</v>
      </c>
      <c r="AF248" s="11" t="s">
        <v>991</v>
      </c>
      <c r="AG248" s="11"/>
      <c r="AH248" s="90" t="s">
        <v>992</v>
      </c>
      <c r="AI248" s="11"/>
    </row>
    <row r="249" ht="12.5" spans="1:35">
      <c r="A249" s="177">
        <v>45105.516455</v>
      </c>
      <c r="B249" s="11" t="s">
        <v>993</v>
      </c>
      <c r="C249" s="19">
        <v>10347149456</v>
      </c>
      <c r="D249" s="19">
        <v>706801783269029</v>
      </c>
      <c r="E249" s="18" t="s">
        <v>994</v>
      </c>
      <c r="F249" s="11" t="s">
        <v>225</v>
      </c>
      <c r="G249" s="11" t="s">
        <v>135</v>
      </c>
      <c r="H249" s="24">
        <v>33653</v>
      </c>
      <c r="I249" s="277" t="s">
        <v>995</v>
      </c>
      <c r="J249" s="11" t="s">
        <v>42</v>
      </c>
      <c r="K249" s="108" t="s">
        <v>202</v>
      </c>
      <c r="N249" s="11" t="s">
        <v>43</v>
      </c>
      <c r="O249" s="11" t="s">
        <v>44</v>
      </c>
      <c r="P249" s="11" t="s">
        <v>44</v>
      </c>
      <c r="Q249" s="11" t="s">
        <v>44</v>
      </c>
      <c r="R249" s="11" t="s">
        <v>45</v>
      </c>
      <c r="S249" s="11" t="s">
        <v>44</v>
      </c>
      <c r="T249" s="11" t="s">
        <v>44</v>
      </c>
      <c r="U249" s="11" t="s">
        <v>45</v>
      </c>
      <c r="V249" s="24">
        <v>45105</v>
      </c>
      <c r="W249" s="11" t="s">
        <v>46</v>
      </c>
      <c r="X249" s="11" t="s">
        <v>47</v>
      </c>
      <c r="Y249" s="11" t="s">
        <v>58</v>
      </c>
      <c r="Z249" s="11">
        <v>81996851239</v>
      </c>
      <c r="AA249" s="11" t="s">
        <v>273</v>
      </c>
      <c r="AB249" s="11" t="s">
        <v>49</v>
      </c>
      <c r="AC249" s="11" t="s">
        <v>106</v>
      </c>
      <c r="AD249" s="11" t="b">
        <v>1</v>
      </c>
      <c r="AE249" s="11" t="s">
        <v>137</v>
      </c>
      <c r="AF249" s="11" t="s">
        <v>996</v>
      </c>
      <c r="AG249" s="11"/>
      <c r="AH249" s="11"/>
      <c r="AI249" s="11"/>
    </row>
    <row r="250" ht="12.5" spans="1:35">
      <c r="A250" s="177">
        <v>45105.6850258449</v>
      </c>
      <c r="B250" s="11" t="s">
        <v>511</v>
      </c>
      <c r="C250" s="19">
        <v>10134721446</v>
      </c>
      <c r="D250" s="19">
        <v>700508790071751</v>
      </c>
      <c r="E250" s="18" t="s">
        <v>997</v>
      </c>
      <c r="F250" s="11" t="s">
        <v>225</v>
      </c>
      <c r="G250" s="11" t="s">
        <v>54</v>
      </c>
      <c r="H250" s="24">
        <v>36246</v>
      </c>
      <c r="I250" s="277" t="s">
        <v>998</v>
      </c>
      <c r="J250" s="11" t="s">
        <v>81</v>
      </c>
      <c r="K250" s="108"/>
      <c r="L250" s="11" t="s">
        <v>525</v>
      </c>
      <c r="N250" s="11" t="s">
        <v>43</v>
      </c>
      <c r="O250" s="11" t="s">
        <v>96</v>
      </c>
      <c r="P250" s="11" t="s">
        <v>66</v>
      </c>
      <c r="Q250" s="11" t="s">
        <v>44</v>
      </c>
      <c r="R250" s="11" t="s">
        <v>45</v>
      </c>
      <c r="S250" s="11" t="s">
        <v>45</v>
      </c>
      <c r="T250" s="11" t="s">
        <v>44</v>
      </c>
      <c r="U250" s="11" t="s">
        <v>45</v>
      </c>
      <c r="V250" s="24">
        <v>45106</v>
      </c>
      <c r="W250" s="11" t="s">
        <v>46</v>
      </c>
      <c r="X250" s="11" t="s">
        <v>47</v>
      </c>
      <c r="Y250" s="11" t="s">
        <v>58</v>
      </c>
      <c r="Z250" s="11">
        <v>81996695691</v>
      </c>
      <c r="AA250" s="11" t="s">
        <v>273</v>
      </c>
      <c r="AB250" s="11" t="s">
        <v>49</v>
      </c>
      <c r="AC250" s="11" t="s">
        <v>92</v>
      </c>
      <c r="AD250" s="11" t="b">
        <v>0</v>
      </c>
      <c r="AF250" s="11" t="s">
        <v>999</v>
      </c>
      <c r="AG250" s="11" t="s">
        <v>1000</v>
      </c>
      <c r="AH250" s="11" t="s">
        <v>1001</v>
      </c>
      <c r="AI250" s="11"/>
    </row>
    <row r="251" ht="12.5" spans="1:35">
      <c r="A251" s="177">
        <v>45105.7004611921</v>
      </c>
      <c r="B251" s="11" t="s">
        <v>993</v>
      </c>
      <c r="C251" s="19">
        <v>10347149456</v>
      </c>
      <c r="D251" s="19">
        <v>706801783269029</v>
      </c>
      <c r="F251" s="11" t="s">
        <v>225</v>
      </c>
      <c r="G251" s="11" t="s">
        <v>135</v>
      </c>
      <c r="H251" s="24">
        <v>33653</v>
      </c>
      <c r="I251" s="277" t="s">
        <v>995</v>
      </c>
      <c r="J251" s="11" t="s">
        <v>42</v>
      </c>
      <c r="K251" s="108" t="s">
        <v>202</v>
      </c>
      <c r="N251" s="11" t="s">
        <v>95</v>
      </c>
      <c r="O251" s="11" t="s">
        <v>65</v>
      </c>
      <c r="P251" s="11" t="s">
        <v>66</v>
      </c>
      <c r="Q251" s="11" t="s">
        <v>44</v>
      </c>
      <c r="R251" s="11" t="s">
        <v>45</v>
      </c>
      <c r="S251" s="11" t="s">
        <v>45</v>
      </c>
      <c r="T251" s="11" t="s">
        <v>44</v>
      </c>
      <c r="U251" s="11" t="s">
        <v>45</v>
      </c>
      <c r="V251" s="24">
        <v>45106</v>
      </c>
      <c r="W251" s="11" t="s">
        <v>57</v>
      </c>
      <c r="X251" s="11" t="s">
        <v>97</v>
      </c>
      <c r="Y251" s="11" t="s">
        <v>97</v>
      </c>
      <c r="Z251" s="11">
        <v>81996851239</v>
      </c>
      <c r="AA251" s="11" t="s">
        <v>103</v>
      </c>
      <c r="AB251" s="11" t="s">
        <v>49</v>
      </c>
      <c r="AC251" s="11" t="s">
        <v>75</v>
      </c>
      <c r="AD251" s="11" t="b">
        <v>0</v>
      </c>
      <c r="AF251" s="11" t="s">
        <v>1002</v>
      </c>
      <c r="AG251" s="11"/>
      <c r="AH251" s="11" t="s">
        <v>1003</v>
      </c>
      <c r="AI251" s="11"/>
    </row>
    <row r="252" ht="12.5" spans="1:35">
      <c r="A252" s="177">
        <v>45105.759209294</v>
      </c>
      <c r="B252" s="11" t="s">
        <v>1004</v>
      </c>
      <c r="C252" s="19">
        <v>14500412484</v>
      </c>
      <c r="D252" s="19">
        <v>898005174693865</v>
      </c>
      <c r="E252" s="18" t="s">
        <v>1005</v>
      </c>
      <c r="F252" s="11" t="s">
        <v>40</v>
      </c>
      <c r="G252" s="11" t="s">
        <v>41</v>
      </c>
      <c r="H252" s="24">
        <v>37179</v>
      </c>
      <c r="I252" s="277" t="s">
        <v>1006</v>
      </c>
      <c r="J252" s="11" t="s">
        <v>42</v>
      </c>
      <c r="K252" s="108" t="s">
        <v>74</v>
      </c>
      <c r="N252" s="11" t="s">
        <v>43</v>
      </c>
      <c r="O252" s="11" t="s">
        <v>96</v>
      </c>
      <c r="P252" s="11" t="s">
        <v>66</v>
      </c>
      <c r="Q252" s="11" t="s">
        <v>44</v>
      </c>
      <c r="R252" s="11" t="s">
        <v>44</v>
      </c>
      <c r="S252" s="11" t="s">
        <v>44</v>
      </c>
      <c r="T252" s="11" t="s">
        <v>44</v>
      </c>
      <c r="U252" s="11" t="s">
        <v>45</v>
      </c>
      <c r="V252" s="24">
        <v>45106</v>
      </c>
      <c r="W252" s="11" t="s">
        <v>46</v>
      </c>
      <c r="X252" s="11" t="s">
        <v>203</v>
      </c>
      <c r="Y252" s="11" t="s">
        <v>58</v>
      </c>
      <c r="Z252" s="11">
        <v>81991067896</v>
      </c>
      <c r="AA252" s="11" t="s">
        <v>273</v>
      </c>
      <c r="AB252" s="11" t="s">
        <v>49</v>
      </c>
      <c r="AC252" s="11" t="s">
        <v>75</v>
      </c>
      <c r="AD252" s="11" t="b">
        <v>1</v>
      </c>
      <c r="AE252" s="11" t="s">
        <v>137</v>
      </c>
      <c r="AF252" s="11" t="s">
        <v>1007</v>
      </c>
      <c r="AG252" s="11" t="s">
        <v>1008</v>
      </c>
      <c r="AH252" s="11"/>
      <c r="AI252" s="11"/>
    </row>
    <row r="253" ht="12.5" spans="1:35">
      <c r="A253" s="177">
        <v>45106.3919169907</v>
      </c>
      <c r="B253" s="11" t="s">
        <v>1009</v>
      </c>
      <c r="C253" s="19">
        <v>14389171470</v>
      </c>
      <c r="D253" s="19">
        <v>706407666228082</v>
      </c>
      <c r="E253" s="18" t="s">
        <v>1010</v>
      </c>
      <c r="F253" s="11" t="s">
        <v>225</v>
      </c>
      <c r="G253" s="11" t="s">
        <v>54</v>
      </c>
      <c r="H253" s="24">
        <v>36575</v>
      </c>
      <c r="I253" s="277" t="s">
        <v>1011</v>
      </c>
      <c r="J253" s="11" t="s">
        <v>42</v>
      </c>
      <c r="K253" s="108" t="s">
        <v>155</v>
      </c>
      <c r="N253" s="11" t="s">
        <v>43</v>
      </c>
      <c r="O253" s="11" t="s">
        <v>96</v>
      </c>
      <c r="P253" s="11" t="s">
        <v>56</v>
      </c>
      <c r="Q253" s="11" t="s">
        <v>44</v>
      </c>
      <c r="R253" s="11" t="s">
        <v>44</v>
      </c>
      <c r="S253" s="11" t="s">
        <v>44</v>
      </c>
      <c r="T253" s="11" t="s">
        <v>44</v>
      </c>
      <c r="U253" s="11" t="s">
        <v>45</v>
      </c>
      <c r="V253" s="24">
        <v>45107</v>
      </c>
      <c r="W253" s="11" t="s">
        <v>46</v>
      </c>
      <c r="X253" s="11" t="s">
        <v>47</v>
      </c>
      <c r="Y253" s="11" t="s">
        <v>58</v>
      </c>
      <c r="Z253" s="11">
        <v>81996372273</v>
      </c>
      <c r="AA253" s="11" t="s">
        <v>115</v>
      </c>
      <c r="AB253" s="11" t="s">
        <v>49</v>
      </c>
      <c r="AC253" s="11" t="s">
        <v>50</v>
      </c>
      <c r="AD253" s="11" t="b">
        <v>0</v>
      </c>
      <c r="AF253" s="11" t="s">
        <v>1012</v>
      </c>
      <c r="AG253" s="11" t="s">
        <v>1013</v>
      </c>
      <c r="AH253" s="11" t="s">
        <v>1014</v>
      </c>
      <c r="AI253" s="11"/>
    </row>
    <row r="254" ht="12.5" spans="1:35">
      <c r="A254" s="177">
        <v>45106.4904369907</v>
      </c>
      <c r="B254" s="11" t="s">
        <v>993</v>
      </c>
      <c r="C254" s="19">
        <v>10347149456</v>
      </c>
      <c r="D254" s="19">
        <v>706801783269029</v>
      </c>
      <c r="F254" s="11" t="s">
        <v>225</v>
      </c>
      <c r="G254" s="11" t="s">
        <v>135</v>
      </c>
      <c r="H254" s="24">
        <v>33653</v>
      </c>
      <c r="I254" s="277" t="s">
        <v>995</v>
      </c>
      <c r="J254" s="11" t="s">
        <v>42</v>
      </c>
      <c r="K254" s="108" t="s">
        <v>202</v>
      </c>
      <c r="N254" s="11" t="s">
        <v>95</v>
      </c>
      <c r="O254" s="11" t="s">
        <v>65</v>
      </c>
      <c r="P254" s="11" t="s">
        <v>66</v>
      </c>
      <c r="Q254" s="11" t="s">
        <v>44</v>
      </c>
      <c r="R254" s="11" t="s">
        <v>45</v>
      </c>
      <c r="S254" s="11" t="s">
        <v>45</v>
      </c>
      <c r="T254" s="11" t="s">
        <v>44</v>
      </c>
      <c r="U254" s="11" t="s">
        <v>45</v>
      </c>
      <c r="V254" s="24">
        <v>45107</v>
      </c>
      <c r="W254" s="11" t="s">
        <v>57</v>
      </c>
      <c r="X254" s="11" t="s">
        <v>97</v>
      </c>
      <c r="Y254" s="11" t="s">
        <v>97</v>
      </c>
      <c r="Z254" s="11">
        <v>81996851239</v>
      </c>
      <c r="AA254" s="11" t="s">
        <v>113</v>
      </c>
      <c r="AB254" s="11" t="s">
        <v>49</v>
      </c>
      <c r="AC254" s="11" t="s">
        <v>50</v>
      </c>
      <c r="AD254" s="11" t="b">
        <v>1</v>
      </c>
      <c r="AE254" s="11" t="s">
        <v>137</v>
      </c>
      <c r="AF254" s="11" t="s">
        <v>1015</v>
      </c>
      <c r="AG254" s="11"/>
      <c r="AH254" s="11" t="s">
        <v>1016</v>
      </c>
      <c r="AI254" s="11"/>
    </row>
    <row r="255" ht="12.5" spans="1:35">
      <c r="A255" s="177">
        <v>45106.6178154051</v>
      </c>
      <c r="B255" s="11" t="s">
        <v>511</v>
      </c>
      <c r="C255" s="19">
        <v>10134721446</v>
      </c>
      <c r="D255" s="19">
        <v>700508790071751</v>
      </c>
      <c r="E255" s="18" t="s">
        <v>1017</v>
      </c>
      <c r="F255" s="11" t="s">
        <v>225</v>
      </c>
      <c r="G255" s="11" t="s">
        <v>54</v>
      </c>
      <c r="H255" s="24">
        <v>36246</v>
      </c>
      <c r="I255" s="277" t="s">
        <v>513</v>
      </c>
      <c r="J255" s="11" t="s">
        <v>42</v>
      </c>
      <c r="K255" s="108" t="s">
        <v>202</v>
      </c>
      <c r="N255" s="11" t="s">
        <v>95</v>
      </c>
      <c r="O255" s="11" t="s">
        <v>44</v>
      </c>
      <c r="P255" s="11" t="s">
        <v>44</v>
      </c>
      <c r="Q255" s="11" t="s">
        <v>44</v>
      </c>
      <c r="R255" s="11" t="s">
        <v>45</v>
      </c>
      <c r="S255" s="11" t="s">
        <v>45</v>
      </c>
      <c r="T255" s="11" t="s">
        <v>44</v>
      </c>
      <c r="U255" s="11" t="s">
        <v>45</v>
      </c>
      <c r="V255" s="24">
        <v>45107</v>
      </c>
      <c r="W255" s="11" t="s">
        <v>46</v>
      </c>
      <c r="X255" s="11" t="s">
        <v>97</v>
      </c>
      <c r="Y255" s="11" t="s">
        <v>97</v>
      </c>
      <c r="Z255" s="11">
        <v>81996695691</v>
      </c>
      <c r="AA255" s="11" t="s">
        <v>91</v>
      </c>
      <c r="AB255" s="11" t="s">
        <v>49</v>
      </c>
      <c r="AC255" s="11" t="s">
        <v>92</v>
      </c>
      <c r="AD255" s="11" t="b">
        <v>0</v>
      </c>
      <c r="AF255" s="11" t="s">
        <v>1018</v>
      </c>
      <c r="AG255" s="11"/>
      <c r="AH255" s="11" t="s">
        <v>1019</v>
      </c>
      <c r="AI255" s="11"/>
    </row>
    <row r="256" ht="12.5" spans="1:35">
      <c r="A256" s="177">
        <v>45106.6209217477</v>
      </c>
      <c r="B256" s="11" t="s">
        <v>1004</v>
      </c>
      <c r="C256" s="19">
        <v>14500412484</v>
      </c>
      <c r="D256" s="19">
        <v>898005174693865</v>
      </c>
      <c r="E256" s="18" t="s">
        <v>1020</v>
      </c>
      <c r="F256" s="11" t="s">
        <v>40</v>
      </c>
      <c r="G256" s="11" t="s">
        <v>41</v>
      </c>
      <c r="H256" s="24">
        <v>37179</v>
      </c>
      <c r="I256" s="277" t="s">
        <v>1006</v>
      </c>
      <c r="J256" s="11" t="s">
        <v>42</v>
      </c>
      <c r="K256" s="108" t="s">
        <v>155</v>
      </c>
      <c r="N256" s="11" t="s">
        <v>95</v>
      </c>
      <c r="O256" s="11" t="s">
        <v>65</v>
      </c>
      <c r="P256" s="11" t="s">
        <v>66</v>
      </c>
      <c r="Q256" s="11" t="s">
        <v>44</v>
      </c>
      <c r="R256" s="11" t="s">
        <v>45</v>
      </c>
      <c r="S256" s="11" t="s">
        <v>45</v>
      </c>
      <c r="T256" s="11" t="s">
        <v>44</v>
      </c>
      <c r="U256" s="11" t="s">
        <v>45</v>
      </c>
      <c r="V256" s="24">
        <v>45107</v>
      </c>
      <c r="W256" s="11" t="s">
        <v>46</v>
      </c>
      <c r="X256" s="11" t="s">
        <v>97</v>
      </c>
      <c r="Y256" s="11" t="s">
        <v>97</v>
      </c>
      <c r="Z256" s="11">
        <v>81991067896</v>
      </c>
      <c r="AA256" s="11" t="s">
        <v>113</v>
      </c>
      <c r="AB256" s="11" t="s">
        <v>98</v>
      </c>
      <c r="AC256" s="11"/>
      <c r="AD256" s="11" t="b">
        <v>0</v>
      </c>
      <c r="AF256" s="11" t="s">
        <v>1021</v>
      </c>
      <c r="AG256" s="11" t="s">
        <v>1022</v>
      </c>
      <c r="AH256" s="148" t="s">
        <v>1023</v>
      </c>
      <c r="AI256" s="11"/>
    </row>
    <row r="257" ht="12.5" spans="1:35">
      <c r="A257" s="177">
        <v>45106.7348110995</v>
      </c>
      <c r="B257" s="11" t="s">
        <v>1024</v>
      </c>
      <c r="C257" s="19">
        <v>10977407497</v>
      </c>
      <c r="D257" s="19">
        <v>702500368297132</v>
      </c>
      <c r="E257" s="18" t="s">
        <v>1025</v>
      </c>
      <c r="F257" s="11" t="s">
        <v>40</v>
      </c>
      <c r="G257" s="11" t="s">
        <v>41</v>
      </c>
      <c r="H257" s="24">
        <v>36937</v>
      </c>
      <c r="I257" s="277" t="s">
        <v>524</v>
      </c>
      <c r="J257" s="11" t="s">
        <v>42</v>
      </c>
      <c r="K257" s="108" t="s">
        <v>90</v>
      </c>
      <c r="N257" s="11" t="s">
        <v>43</v>
      </c>
      <c r="O257" s="11" t="s">
        <v>44</v>
      </c>
      <c r="P257" s="11" t="s">
        <v>44</v>
      </c>
      <c r="Q257" s="11" t="s">
        <v>44</v>
      </c>
      <c r="R257" s="11" t="s">
        <v>45</v>
      </c>
      <c r="S257" s="11" t="s">
        <v>83</v>
      </c>
      <c r="T257" s="11" t="s">
        <v>44</v>
      </c>
      <c r="U257" s="11" t="s">
        <v>45</v>
      </c>
      <c r="V257" s="24">
        <v>45106</v>
      </c>
      <c r="W257" s="11" t="s">
        <v>46</v>
      </c>
      <c r="X257" s="11" t="s">
        <v>203</v>
      </c>
      <c r="Y257" s="11" t="s">
        <v>58</v>
      </c>
      <c r="Z257" s="11">
        <v>81981490872</v>
      </c>
      <c r="AA257" s="11" t="s">
        <v>115</v>
      </c>
      <c r="AB257" s="11" t="s">
        <v>49</v>
      </c>
      <c r="AC257" s="11" t="s">
        <v>50</v>
      </c>
      <c r="AD257" s="11" t="b">
        <v>1</v>
      </c>
      <c r="AE257" s="11" t="s">
        <v>137</v>
      </c>
      <c r="AF257" s="11" t="s">
        <v>1026</v>
      </c>
      <c r="AG257" s="11"/>
      <c r="AH257" s="11"/>
      <c r="AI257" s="11"/>
    </row>
    <row r="258" ht="12.5" spans="1:35">
      <c r="A258" s="177">
        <v>45106.7720549884</v>
      </c>
      <c r="B258" s="11" t="s">
        <v>1027</v>
      </c>
      <c r="C258" s="19">
        <v>70209688483</v>
      </c>
      <c r="D258" s="19">
        <v>708104596853338</v>
      </c>
      <c r="E258" s="18" t="s">
        <v>1028</v>
      </c>
      <c r="F258" s="11" t="s">
        <v>40</v>
      </c>
      <c r="G258" s="11" t="s">
        <v>41</v>
      </c>
      <c r="H258" s="24">
        <v>35199</v>
      </c>
      <c r="I258" s="277" t="s">
        <v>246</v>
      </c>
      <c r="J258" s="11" t="s">
        <v>42</v>
      </c>
      <c r="K258" s="108" t="s">
        <v>1029</v>
      </c>
      <c r="N258" s="11" t="s">
        <v>43</v>
      </c>
      <c r="O258" s="11" t="s">
        <v>65</v>
      </c>
      <c r="P258" s="11" t="s">
        <v>66</v>
      </c>
      <c r="Q258" s="11" t="s">
        <v>44</v>
      </c>
      <c r="R258" s="11" t="s">
        <v>45</v>
      </c>
      <c r="S258" s="11" t="s">
        <v>44</v>
      </c>
      <c r="T258" s="11" t="s">
        <v>44</v>
      </c>
      <c r="U258" s="11" t="s">
        <v>45</v>
      </c>
      <c r="V258" s="24">
        <v>45107</v>
      </c>
      <c r="W258" s="11" t="s">
        <v>46</v>
      </c>
      <c r="X258" s="11" t="s">
        <v>203</v>
      </c>
      <c r="Y258" s="11" t="s">
        <v>58</v>
      </c>
      <c r="Z258" s="11">
        <v>81993617459</v>
      </c>
      <c r="AA258" s="11" t="s">
        <v>115</v>
      </c>
      <c r="AB258" s="11" t="s">
        <v>49</v>
      </c>
      <c r="AC258" s="11" t="s">
        <v>50</v>
      </c>
      <c r="AD258" s="11" t="b">
        <v>0</v>
      </c>
      <c r="AF258" s="11" t="s">
        <v>1030</v>
      </c>
      <c r="AG258" s="11" t="s">
        <v>1031</v>
      </c>
      <c r="AH258" s="11" t="s">
        <v>1032</v>
      </c>
      <c r="AI258" s="11"/>
    </row>
    <row r="259" ht="12.5" spans="1:35">
      <c r="A259" s="177">
        <v>45106.7966124769</v>
      </c>
      <c r="B259" s="11" t="s">
        <v>1024</v>
      </c>
      <c r="C259" s="19">
        <v>10977407497</v>
      </c>
      <c r="D259" s="19">
        <v>702500368297132</v>
      </c>
      <c r="E259" s="18" t="s">
        <v>1033</v>
      </c>
      <c r="F259" s="11" t="s">
        <v>40</v>
      </c>
      <c r="G259" s="11" t="s">
        <v>41</v>
      </c>
      <c r="H259" s="24">
        <v>45106</v>
      </c>
      <c r="I259" s="277" t="s">
        <v>1034</v>
      </c>
      <c r="J259" s="11" t="s">
        <v>42</v>
      </c>
      <c r="K259" s="108" t="s">
        <v>90</v>
      </c>
      <c r="N259" s="11" t="s">
        <v>95</v>
      </c>
      <c r="O259" s="11" t="s">
        <v>44</v>
      </c>
      <c r="P259" s="11" t="s">
        <v>56</v>
      </c>
      <c r="Q259" s="11" t="s">
        <v>44</v>
      </c>
      <c r="R259" s="11" t="s">
        <v>45</v>
      </c>
      <c r="S259" s="11" t="s">
        <v>45</v>
      </c>
      <c r="T259" s="11" t="s">
        <v>44</v>
      </c>
      <c r="U259" s="11" t="s">
        <v>45</v>
      </c>
      <c r="V259" s="24">
        <v>45107</v>
      </c>
      <c r="W259" s="11" t="s">
        <v>46</v>
      </c>
      <c r="X259" s="11" t="s">
        <v>203</v>
      </c>
      <c r="Y259" s="11" t="s">
        <v>58</v>
      </c>
      <c r="Z259" s="11">
        <v>81981490872</v>
      </c>
      <c r="AA259" s="11" t="s">
        <v>115</v>
      </c>
      <c r="AB259" s="11" t="s">
        <v>49</v>
      </c>
      <c r="AC259" s="11" t="s">
        <v>256</v>
      </c>
      <c r="AD259" s="11" t="b">
        <v>1</v>
      </c>
      <c r="AE259" s="11" t="s">
        <v>137</v>
      </c>
      <c r="AF259" s="11" t="s">
        <v>1035</v>
      </c>
      <c r="AG259" s="11"/>
      <c r="AH259" s="11" t="s">
        <v>1036</v>
      </c>
      <c r="AI259" s="11"/>
    </row>
    <row r="260" ht="12.5" spans="1:35">
      <c r="A260" s="177">
        <v>45107.4507167708</v>
      </c>
      <c r="B260" s="11" t="s">
        <v>993</v>
      </c>
      <c r="C260" s="19">
        <v>10347149456</v>
      </c>
      <c r="D260" s="19">
        <v>706801783269029</v>
      </c>
      <c r="F260" s="11" t="s">
        <v>225</v>
      </c>
      <c r="G260" s="11" t="s">
        <v>135</v>
      </c>
      <c r="H260" s="24">
        <v>33653</v>
      </c>
      <c r="I260" s="277" t="s">
        <v>995</v>
      </c>
      <c r="J260" s="11" t="s">
        <v>42</v>
      </c>
      <c r="K260" s="108" t="s">
        <v>202</v>
      </c>
      <c r="N260" s="11" t="s">
        <v>95</v>
      </c>
      <c r="O260" s="11" t="s">
        <v>96</v>
      </c>
      <c r="P260" s="11" t="s">
        <v>66</v>
      </c>
      <c r="Q260" s="11" t="s">
        <v>44</v>
      </c>
      <c r="R260" s="11" t="s">
        <v>45</v>
      </c>
      <c r="S260" s="11" t="s">
        <v>44</v>
      </c>
      <c r="T260" s="11" t="s">
        <v>44</v>
      </c>
      <c r="U260" s="11" t="s">
        <v>45</v>
      </c>
      <c r="V260" s="24">
        <v>45108</v>
      </c>
      <c r="W260" s="11" t="s">
        <v>57</v>
      </c>
      <c r="X260" s="11" t="s">
        <v>97</v>
      </c>
      <c r="Y260" s="11" t="s">
        <v>97</v>
      </c>
      <c r="Z260" s="11">
        <v>81996851239</v>
      </c>
      <c r="AA260" s="11" t="s">
        <v>115</v>
      </c>
      <c r="AB260" s="11" t="s">
        <v>98</v>
      </c>
      <c r="AC260" s="11"/>
      <c r="AD260" s="11" t="b">
        <v>0</v>
      </c>
      <c r="AF260" s="11" t="s">
        <v>1037</v>
      </c>
      <c r="AG260" s="11" t="s">
        <v>1038</v>
      </c>
      <c r="AH260" s="11" t="s">
        <v>1039</v>
      </c>
      <c r="AI260" s="11"/>
    </row>
    <row r="261" ht="12.5" spans="1:37">
      <c r="A261" s="203">
        <v>45107.4864194907</v>
      </c>
      <c r="B261" s="4" t="s">
        <v>1040</v>
      </c>
      <c r="C261" s="280" t="s">
        <v>1041</v>
      </c>
      <c r="D261" s="19">
        <v>209053623510005</v>
      </c>
      <c r="E261" s="53" t="s">
        <v>1042</v>
      </c>
      <c r="F261" s="4" t="s">
        <v>40</v>
      </c>
      <c r="G261" s="4" t="s">
        <v>41</v>
      </c>
      <c r="H261" s="204">
        <v>31565</v>
      </c>
      <c r="I261" s="280" t="s">
        <v>1043</v>
      </c>
      <c r="J261" s="4" t="s">
        <v>42</v>
      </c>
      <c r="K261" s="206" t="s">
        <v>1044</v>
      </c>
      <c r="L261" s="4"/>
      <c r="M261" s="4"/>
      <c r="N261" s="4" t="s">
        <v>43</v>
      </c>
      <c r="O261" s="4" t="s">
        <v>96</v>
      </c>
      <c r="P261" s="4" t="s">
        <v>66</v>
      </c>
      <c r="Q261" s="4" t="s">
        <v>44</v>
      </c>
      <c r="R261" s="4" t="s">
        <v>45</v>
      </c>
      <c r="S261" s="4" t="s">
        <v>45</v>
      </c>
      <c r="T261" s="4" t="s">
        <v>45</v>
      </c>
      <c r="U261" s="4" t="s">
        <v>45</v>
      </c>
      <c r="V261" s="204">
        <v>45108</v>
      </c>
      <c r="W261" s="4" t="s">
        <v>46</v>
      </c>
      <c r="X261" s="4" t="s">
        <v>47</v>
      </c>
      <c r="Y261" s="4" t="s">
        <v>58</v>
      </c>
      <c r="Z261" s="4">
        <v>81987349723</v>
      </c>
      <c r="AA261" s="4" t="s">
        <v>273</v>
      </c>
      <c r="AB261" s="4" t="s">
        <v>98</v>
      </c>
      <c r="AC261" s="4"/>
      <c r="AD261" s="4" t="b">
        <v>0</v>
      </c>
      <c r="AE261" s="4"/>
      <c r="AF261" s="4" t="s">
        <v>1045</v>
      </c>
      <c r="AG261" s="4"/>
      <c r="AH261" s="4" t="s">
        <v>386</v>
      </c>
      <c r="AI261" s="4"/>
      <c r="AJ261" s="4"/>
      <c r="AK261" s="4"/>
    </row>
    <row r="262" ht="12.5" spans="1:35">
      <c r="A262" s="177">
        <v>45107.5838807639</v>
      </c>
      <c r="B262" s="11" t="s">
        <v>511</v>
      </c>
      <c r="C262" s="19">
        <v>10134721446</v>
      </c>
      <c r="D262" s="19">
        <v>700508790071751</v>
      </c>
      <c r="F262" s="11" t="s">
        <v>225</v>
      </c>
      <c r="G262" s="11" t="s">
        <v>54</v>
      </c>
      <c r="H262" s="24">
        <v>36246</v>
      </c>
      <c r="I262" s="277" t="s">
        <v>513</v>
      </c>
      <c r="J262" s="11" t="s">
        <v>42</v>
      </c>
      <c r="K262" s="108" t="s">
        <v>356</v>
      </c>
      <c r="N262" s="11" t="s">
        <v>95</v>
      </c>
      <c r="O262" s="11" t="s">
        <v>127</v>
      </c>
      <c r="P262" s="11" t="s">
        <v>44</v>
      </c>
      <c r="Q262" s="11" t="s">
        <v>44</v>
      </c>
      <c r="R262" s="11" t="s">
        <v>45</v>
      </c>
      <c r="S262" s="11" t="s">
        <v>45</v>
      </c>
      <c r="T262" s="11" t="s">
        <v>44</v>
      </c>
      <c r="U262" s="11" t="s">
        <v>44</v>
      </c>
      <c r="W262" s="11" t="s">
        <v>57</v>
      </c>
      <c r="X262" s="11" t="s">
        <v>97</v>
      </c>
      <c r="Y262" s="11" t="s">
        <v>97</v>
      </c>
      <c r="Z262" s="11">
        <v>81996695691</v>
      </c>
      <c r="AA262" s="11" t="s">
        <v>91</v>
      </c>
      <c r="AB262" s="11"/>
      <c r="AC262" s="11"/>
      <c r="AD262" s="11" t="b">
        <v>0</v>
      </c>
      <c r="AF262" s="11"/>
      <c r="AG262" s="11"/>
      <c r="AH262" s="90"/>
      <c r="AI262" s="11"/>
    </row>
    <row r="263" ht="12.5" spans="1:35">
      <c r="A263" s="177">
        <v>45107.6527970602</v>
      </c>
      <c r="B263" s="11" t="s">
        <v>786</v>
      </c>
      <c r="C263" s="277" t="s">
        <v>787</v>
      </c>
      <c r="D263" s="19">
        <v>706801210740520</v>
      </c>
      <c r="F263" s="11" t="s">
        <v>225</v>
      </c>
      <c r="G263" s="11" t="s">
        <v>41</v>
      </c>
      <c r="H263" s="24">
        <v>31876</v>
      </c>
      <c r="I263" s="277" t="s">
        <v>789</v>
      </c>
      <c r="J263" s="11" t="s">
        <v>42</v>
      </c>
      <c r="K263" s="108" t="s">
        <v>1046</v>
      </c>
      <c r="N263" s="11" t="s">
        <v>95</v>
      </c>
      <c r="O263" s="11" t="s">
        <v>44</v>
      </c>
      <c r="P263" s="11" t="s">
        <v>44</v>
      </c>
      <c r="Q263" s="11" t="s">
        <v>44</v>
      </c>
      <c r="R263" s="11" t="s">
        <v>45</v>
      </c>
      <c r="S263" s="11" t="s">
        <v>44</v>
      </c>
      <c r="T263" s="11" t="s">
        <v>44</v>
      </c>
      <c r="U263" s="11" t="s">
        <v>44</v>
      </c>
      <c r="W263" s="11" t="s">
        <v>57</v>
      </c>
      <c r="X263" s="11" t="s">
        <v>97</v>
      </c>
      <c r="Y263" s="11" t="s">
        <v>97</v>
      </c>
      <c r="Z263" s="11">
        <v>81996052492</v>
      </c>
      <c r="AA263" s="11" t="s">
        <v>273</v>
      </c>
      <c r="AB263" s="11"/>
      <c r="AC263" s="11"/>
      <c r="AD263" s="11" t="b">
        <v>0</v>
      </c>
      <c r="AF263" s="11"/>
      <c r="AG263" s="11"/>
      <c r="AH263" s="11"/>
      <c r="AI263" s="11"/>
    </row>
    <row r="264" ht="12.5" spans="1:35">
      <c r="A264" s="177">
        <v>45107.7396679745</v>
      </c>
      <c r="B264" s="11" t="s">
        <v>1024</v>
      </c>
      <c r="C264" s="19">
        <v>10977407497</v>
      </c>
      <c r="D264" s="19">
        <v>702500368297132</v>
      </c>
      <c r="E264" s="18" t="s">
        <v>1047</v>
      </c>
      <c r="F264" s="11" t="s">
        <v>40</v>
      </c>
      <c r="G264" s="11" t="s">
        <v>41</v>
      </c>
      <c r="H264" s="24">
        <v>36937</v>
      </c>
      <c r="I264" s="277" t="s">
        <v>524</v>
      </c>
      <c r="J264" s="11" t="s">
        <v>42</v>
      </c>
      <c r="K264" s="108" t="s">
        <v>90</v>
      </c>
      <c r="N264" s="11" t="s">
        <v>95</v>
      </c>
      <c r="O264" s="11" t="s">
        <v>44</v>
      </c>
      <c r="P264" s="11" t="s">
        <v>44</v>
      </c>
      <c r="Q264" s="11" t="s">
        <v>44</v>
      </c>
      <c r="R264" s="11" t="s">
        <v>45</v>
      </c>
      <c r="S264" s="11" t="s">
        <v>83</v>
      </c>
      <c r="T264" s="11" t="s">
        <v>44</v>
      </c>
      <c r="U264" s="11" t="s">
        <v>45</v>
      </c>
      <c r="V264" s="24">
        <v>45111</v>
      </c>
      <c r="W264" s="11" t="s">
        <v>46</v>
      </c>
      <c r="X264" s="11" t="s">
        <v>97</v>
      </c>
      <c r="Y264" s="11" t="s">
        <v>97</v>
      </c>
      <c r="Z264" s="11">
        <v>81981490872</v>
      </c>
      <c r="AA264" s="11" t="s">
        <v>273</v>
      </c>
      <c r="AB264" s="11" t="s">
        <v>49</v>
      </c>
      <c r="AC264" s="11" t="s">
        <v>50</v>
      </c>
      <c r="AD264" s="11" t="b">
        <v>0</v>
      </c>
      <c r="AF264" s="214" t="s">
        <v>1048</v>
      </c>
      <c r="AG264" s="136"/>
      <c r="AH264" s="136" t="s">
        <v>1049</v>
      </c>
      <c r="AI264" s="11"/>
    </row>
    <row r="265" ht="12.5" spans="1:35">
      <c r="A265" s="177">
        <v>45108.372894919</v>
      </c>
      <c r="B265" s="11" t="s">
        <v>367</v>
      </c>
      <c r="C265" s="19">
        <v>70816320411</v>
      </c>
      <c r="D265" s="19">
        <v>706306617689780</v>
      </c>
      <c r="E265" s="18" t="s">
        <v>1050</v>
      </c>
      <c r="F265" s="11" t="s">
        <v>40</v>
      </c>
      <c r="G265" s="11" t="s">
        <v>54</v>
      </c>
      <c r="H265" s="24">
        <v>35252</v>
      </c>
      <c r="I265" s="277" t="s">
        <v>369</v>
      </c>
      <c r="J265" s="11" t="s">
        <v>42</v>
      </c>
      <c r="K265" s="108" t="s">
        <v>202</v>
      </c>
      <c r="N265" s="11" t="s">
        <v>43</v>
      </c>
      <c r="O265" s="11" t="s">
        <v>96</v>
      </c>
      <c r="P265" s="11" t="s">
        <v>66</v>
      </c>
      <c r="Q265" s="11" t="s">
        <v>44</v>
      </c>
      <c r="R265" s="11" t="s">
        <v>45</v>
      </c>
      <c r="S265" s="11" t="s">
        <v>45</v>
      </c>
      <c r="T265" s="11" t="s">
        <v>44</v>
      </c>
      <c r="U265" s="11" t="s">
        <v>45</v>
      </c>
      <c r="V265" s="24">
        <v>45109</v>
      </c>
      <c r="W265" s="11" t="s">
        <v>46</v>
      </c>
      <c r="X265" s="11" t="s">
        <v>67</v>
      </c>
      <c r="Y265" s="11" t="s">
        <v>58</v>
      </c>
      <c r="Z265" s="11">
        <v>81986584843</v>
      </c>
      <c r="AA265" s="11" t="s">
        <v>115</v>
      </c>
      <c r="AB265" s="11" t="s">
        <v>49</v>
      </c>
      <c r="AC265" s="11" t="s">
        <v>92</v>
      </c>
      <c r="AD265" s="11" t="b">
        <v>0</v>
      </c>
      <c r="AF265" s="11" t="s">
        <v>1051</v>
      </c>
      <c r="AG265" s="11"/>
      <c r="AH265" s="11" t="s">
        <v>1052</v>
      </c>
      <c r="AI265" s="11"/>
    </row>
    <row r="266" ht="12.5" spans="1:35">
      <c r="A266" s="177">
        <v>45108.4478650926</v>
      </c>
      <c r="B266" s="11" t="s">
        <v>1053</v>
      </c>
      <c r="C266" s="277" t="s">
        <v>1054</v>
      </c>
      <c r="D266" s="19">
        <v>704300517263690</v>
      </c>
      <c r="E266" s="18" t="s">
        <v>1055</v>
      </c>
      <c r="F266" s="11" t="s">
        <v>40</v>
      </c>
      <c r="G266" s="11" t="s">
        <v>54</v>
      </c>
      <c r="H266" s="24">
        <v>30330</v>
      </c>
      <c r="I266" s="19" t="s">
        <v>136</v>
      </c>
      <c r="J266" s="11" t="s">
        <v>42</v>
      </c>
      <c r="K266" s="108" t="s">
        <v>74</v>
      </c>
      <c r="N266" s="11" t="s">
        <v>43</v>
      </c>
      <c r="O266" s="11" t="s">
        <v>65</v>
      </c>
      <c r="P266" s="11" t="s">
        <v>66</v>
      </c>
      <c r="Q266" s="11" t="s">
        <v>44</v>
      </c>
      <c r="R266" s="11" t="s">
        <v>45</v>
      </c>
      <c r="S266" s="11" t="s">
        <v>44</v>
      </c>
      <c r="T266" s="11" t="s">
        <v>44</v>
      </c>
      <c r="U266" s="11" t="s">
        <v>45</v>
      </c>
      <c r="V266" s="24">
        <v>45109</v>
      </c>
      <c r="W266" s="11" t="s">
        <v>46</v>
      </c>
      <c r="X266" s="11" t="s">
        <v>303</v>
      </c>
      <c r="Y266" s="11" t="s">
        <v>58</v>
      </c>
      <c r="Z266" s="11">
        <v>81988246857</v>
      </c>
      <c r="AA266" s="11" t="s">
        <v>115</v>
      </c>
      <c r="AB266" s="11" t="s">
        <v>98</v>
      </c>
      <c r="AC266" s="11"/>
      <c r="AD266" s="11" t="b">
        <v>0</v>
      </c>
      <c r="AF266" s="11" t="s">
        <v>1056</v>
      </c>
      <c r="AG266" s="11" t="s">
        <v>1057</v>
      </c>
      <c r="AH266" s="11" t="s">
        <v>1058</v>
      </c>
      <c r="AI266" s="11"/>
    </row>
    <row r="267" ht="12.5" spans="1:35">
      <c r="A267" s="177">
        <v>45108.4989198495</v>
      </c>
      <c r="B267" s="11" t="s">
        <v>904</v>
      </c>
      <c r="C267" s="19">
        <v>12379186421</v>
      </c>
      <c r="D267" s="19">
        <v>706403154387587</v>
      </c>
      <c r="E267" s="18" t="s">
        <v>1059</v>
      </c>
      <c r="F267" s="11" t="s">
        <v>225</v>
      </c>
      <c r="G267" s="11" t="s">
        <v>54</v>
      </c>
      <c r="H267" s="24">
        <v>36132</v>
      </c>
      <c r="I267" s="277" t="s">
        <v>420</v>
      </c>
      <c r="J267" s="11" t="s">
        <v>438</v>
      </c>
      <c r="K267" s="108"/>
      <c r="M267" s="11" t="s">
        <v>1060</v>
      </c>
      <c r="N267" s="11" t="s">
        <v>43</v>
      </c>
      <c r="O267" s="11" t="s">
        <v>96</v>
      </c>
      <c r="P267" s="11" t="s">
        <v>66</v>
      </c>
      <c r="Q267" s="11" t="s">
        <v>44</v>
      </c>
      <c r="R267" s="11" t="s">
        <v>44</v>
      </c>
      <c r="S267" s="11" t="s">
        <v>44</v>
      </c>
      <c r="T267" s="11" t="s">
        <v>44</v>
      </c>
      <c r="U267" s="11" t="s">
        <v>45</v>
      </c>
      <c r="V267" s="24">
        <v>45109</v>
      </c>
      <c r="W267" s="11" t="s">
        <v>46</v>
      </c>
      <c r="X267" s="11" t="s">
        <v>303</v>
      </c>
      <c r="Y267" s="11" t="s">
        <v>58</v>
      </c>
      <c r="Z267" s="11">
        <v>81996703831</v>
      </c>
      <c r="AA267" s="11" t="s">
        <v>115</v>
      </c>
      <c r="AB267" s="11" t="s">
        <v>49</v>
      </c>
      <c r="AC267" s="11" t="s">
        <v>92</v>
      </c>
      <c r="AD267" s="11" t="b">
        <v>0</v>
      </c>
      <c r="AF267" s="11" t="s">
        <v>1061</v>
      </c>
      <c r="AG267" s="63" t="s">
        <v>1062</v>
      </c>
      <c r="AH267" s="11" t="s">
        <v>1063</v>
      </c>
      <c r="AI267" s="11"/>
    </row>
    <row r="268" ht="12.5" spans="1:35">
      <c r="A268" s="177">
        <v>45108.6901358449</v>
      </c>
      <c r="B268" s="11" t="s">
        <v>1027</v>
      </c>
      <c r="C268" s="19">
        <v>70209688483</v>
      </c>
      <c r="D268" s="19">
        <v>708104596853338</v>
      </c>
      <c r="F268" s="11" t="s">
        <v>40</v>
      </c>
      <c r="G268" s="11" t="s">
        <v>41</v>
      </c>
      <c r="H268" s="24">
        <v>35199</v>
      </c>
      <c r="I268" s="277" t="s">
        <v>246</v>
      </c>
      <c r="J268" s="11" t="s">
        <v>42</v>
      </c>
      <c r="K268" s="108" t="s">
        <v>1029</v>
      </c>
      <c r="N268" s="11" t="s">
        <v>95</v>
      </c>
      <c r="O268" s="11" t="s">
        <v>44</v>
      </c>
      <c r="P268" s="11" t="s">
        <v>44</v>
      </c>
      <c r="Q268" s="11" t="s">
        <v>44</v>
      </c>
      <c r="R268" s="11" t="s">
        <v>45</v>
      </c>
      <c r="S268" s="11" t="s">
        <v>45</v>
      </c>
      <c r="T268" s="11" t="s">
        <v>44</v>
      </c>
      <c r="U268" s="11" t="s">
        <v>44</v>
      </c>
      <c r="W268" s="11" t="s">
        <v>57</v>
      </c>
      <c r="X268" s="11" t="s">
        <v>97</v>
      </c>
      <c r="Y268" s="11" t="s">
        <v>97</v>
      </c>
      <c r="Z268" s="11">
        <v>81993617459</v>
      </c>
      <c r="AA268" s="11" t="s">
        <v>115</v>
      </c>
      <c r="AB268" s="11"/>
      <c r="AC268" s="11"/>
      <c r="AD268" s="11" t="b">
        <v>0</v>
      </c>
      <c r="AF268" s="11"/>
      <c r="AG268" s="11"/>
      <c r="AH268" s="11" t="s">
        <v>1064</v>
      </c>
      <c r="AI268" s="11"/>
    </row>
    <row r="269" ht="12.5" spans="1:35">
      <c r="A269" s="177">
        <v>45108.708238125</v>
      </c>
      <c r="B269" s="11" t="s">
        <v>1009</v>
      </c>
      <c r="C269" s="19">
        <v>14389171470</v>
      </c>
      <c r="D269" s="19">
        <v>706407666228082</v>
      </c>
      <c r="F269" s="11" t="s">
        <v>225</v>
      </c>
      <c r="G269" s="11" t="s">
        <v>54</v>
      </c>
      <c r="H269" s="24">
        <v>36575</v>
      </c>
      <c r="I269" s="277" t="s">
        <v>1011</v>
      </c>
      <c r="J269" s="11" t="s">
        <v>42</v>
      </c>
      <c r="K269" s="108" t="s">
        <v>155</v>
      </c>
      <c r="N269" s="11" t="s">
        <v>95</v>
      </c>
      <c r="O269" s="11" t="s">
        <v>44</v>
      </c>
      <c r="P269" s="11" t="s">
        <v>44</v>
      </c>
      <c r="Q269" s="11" t="s">
        <v>44</v>
      </c>
      <c r="R269" s="11" t="s">
        <v>45</v>
      </c>
      <c r="S269" s="11" t="s">
        <v>45</v>
      </c>
      <c r="T269" s="11" t="s">
        <v>44</v>
      </c>
      <c r="U269" s="11" t="s">
        <v>44</v>
      </c>
      <c r="W269" s="11" t="s">
        <v>57</v>
      </c>
      <c r="X269" s="11" t="s">
        <v>97</v>
      </c>
      <c r="Y269" s="11" t="s">
        <v>97</v>
      </c>
      <c r="Z269" s="11">
        <v>81996372273</v>
      </c>
      <c r="AA269" s="11" t="s">
        <v>115</v>
      </c>
      <c r="AB269" s="11"/>
      <c r="AC269" s="11"/>
      <c r="AD269" s="11" t="b">
        <v>0</v>
      </c>
      <c r="AF269" s="11"/>
      <c r="AG269" s="11"/>
      <c r="AH269" s="11" t="s">
        <v>1064</v>
      </c>
      <c r="AI269" s="11"/>
    </row>
    <row r="270" ht="12.5" spans="1:37">
      <c r="A270" s="203">
        <v>45109.4011418982</v>
      </c>
      <c r="B270" s="4" t="s">
        <v>1065</v>
      </c>
      <c r="C270" s="17">
        <v>70169058450</v>
      </c>
      <c r="D270" s="17">
        <v>701804291442578</v>
      </c>
      <c r="E270" s="53" t="s">
        <v>1066</v>
      </c>
      <c r="F270" s="4" t="s">
        <v>225</v>
      </c>
      <c r="G270" s="4" t="s">
        <v>54</v>
      </c>
      <c r="H270" s="204">
        <v>35109</v>
      </c>
      <c r="I270" s="280" t="s">
        <v>498</v>
      </c>
      <c r="J270" s="4" t="s">
        <v>81</v>
      </c>
      <c r="K270" s="206"/>
      <c r="L270" s="4" t="s">
        <v>109</v>
      </c>
      <c r="M270" s="4"/>
      <c r="N270" s="4" t="s">
        <v>43</v>
      </c>
      <c r="O270" s="4" t="s">
        <v>96</v>
      </c>
      <c r="P270" s="4" t="s">
        <v>66</v>
      </c>
      <c r="Q270" s="4" t="s">
        <v>44</v>
      </c>
      <c r="R270" s="4" t="s">
        <v>45</v>
      </c>
      <c r="S270" s="4" t="s">
        <v>45</v>
      </c>
      <c r="T270" s="4" t="s">
        <v>45</v>
      </c>
      <c r="U270" s="4" t="s">
        <v>45</v>
      </c>
      <c r="V270" s="204">
        <v>45110</v>
      </c>
      <c r="W270" s="4" t="s">
        <v>46</v>
      </c>
      <c r="X270" s="4" t="s">
        <v>303</v>
      </c>
      <c r="Y270" s="4" t="s">
        <v>58</v>
      </c>
      <c r="Z270" s="4">
        <v>81986896245</v>
      </c>
      <c r="AA270" s="4" t="s">
        <v>273</v>
      </c>
      <c r="AB270" s="4" t="s">
        <v>98</v>
      </c>
      <c r="AC270" s="4"/>
      <c r="AD270" s="4" t="b">
        <v>0</v>
      </c>
      <c r="AE270" s="4"/>
      <c r="AF270" s="4" t="s">
        <v>1067</v>
      </c>
      <c r="AG270" s="4" t="s">
        <v>1068</v>
      </c>
      <c r="AH270" s="4" t="s">
        <v>1069</v>
      </c>
      <c r="AI270" s="4"/>
      <c r="AJ270" s="4"/>
      <c r="AK270" s="4"/>
    </row>
    <row r="271" ht="12.5" spans="1:35">
      <c r="A271" s="177">
        <v>45109.4035092593</v>
      </c>
      <c r="B271" s="11" t="s">
        <v>367</v>
      </c>
      <c r="C271" s="19">
        <v>70816320411</v>
      </c>
      <c r="D271" s="19">
        <v>706306617689780</v>
      </c>
      <c r="F271" s="11" t="s">
        <v>40</v>
      </c>
      <c r="G271" s="11" t="s">
        <v>54</v>
      </c>
      <c r="H271" s="24">
        <v>35252</v>
      </c>
      <c r="I271" s="277" t="s">
        <v>369</v>
      </c>
      <c r="J271" s="11" t="s">
        <v>42</v>
      </c>
      <c r="K271" s="108" t="s">
        <v>74</v>
      </c>
      <c r="N271" s="11" t="s">
        <v>95</v>
      </c>
      <c r="O271" s="11" t="s">
        <v>44</v>
      </c>
      <c r="P271" s="11" t="s">
        <v>44</v>
      </c>
      <c r="Q271" s="11" t="s">
        <v>44</v>
      </c>
      <c r="R271" s="11" t="s">
        <v>45</v>
      </c>
      <c r="S271" s="11" t="s">
        <v>83</v>
      </c>
      <c r="T271" s="11" t="s">
        <v>44</v>
      </c>
      <c r="U271" s="11" t="s">
        <v>45</v>
      </c>
      <c r="V271" s="24">
        <v>45111</v>
      </c>
      <c r="W271" s="11" t="s">
        <v>57</v>
      </c>
      <c r="X271" s="11" t="s">
        <v>97</v>
      </c>
      <c r="Y271" s="11" t="s">
        <v>97</v>
      </c>
      <c r="Z271" s="11">
        <v>81986584843</v>
      </c>
      <c r="AA271" s="11" t="s">
        <v>91</v>
      </c>
      <c r="AB271" s="11" t="s">
        <v>49</v>
      </c>
      <c r="AC271" s="11" t="s">
        <v>50</v>
      </c>
      <c r="AD271" s="11" t="b">
        <v>0</v>
      </c>
      <c r="AF271" s="11" t="s">
        <v>1070</v>
      </c>
      <c r="AG271" s="11" t="s">
        <v>1049</v>
      </c>
      <c r="AH271" s="75" t="s">
        <v>1071</v>
      </c>
      <c r="AI271" s="11"/>
    </row>
    <row r="272" ht="12.5" spans="1:35">
      <c r="A272" s="177">
        <v>45109.5991808102</v>
      </c>
      <c r="B272" s="11" t="s">
        <v>904</v>
      </c>
      <c r="C272" s="19">
        <v>12379186421</v>
      </c>
      <c r="D272" s="19">
        <v>706403154387587</v>
      </c>
      <c r="F272" s="11" t="s">
        <v>225</v>
      </c>
      <c r="G272" s="11" t="s">
        <v>54</v>
      </c>
      <c r="H272" s="24">
        <v>36132</v>
      </c>
      <c r="I272" s="277" t="s">
        <v>420</v>
      </c>
      <c r="J272" s="11" t="s">
        <v>438</v>
      </c>
      <c r="K272" s="108"/>
      <c r="M272" s="11" t="s">
        <v>1072</v>
      </c>
      <c r="N272" s="11" t="s">
        <v>95</v>
      </c>
      <c r="O272" s="11" t="s">
        <v>127</v>
      </c>
      <c r="P272" s="11" t="s">
        <v>44</v>
      </c>
      <c r="Q272" s="11" t="s">
        <v>44</v>
      </c>
      <c r="R272" s="11" t="s">
        <v>44</v>
      </c>
      <c r="S272" s="11" t="s">
        <v>83</v>
      </c>
      <c r="T272" s="11" t="s">
        <v>44</v>
      </c>
      <c r="U272" s="11" t="s">
        <v>44</v>
      </c>
      <c r="W272" s="11" t="s">
        <v>57</v>
      </c>
      <c r="X272" s="11" t="s">
        <v>97</v>
      </c>
      <c r="Y272" s="11" t="s">
        <v>97</v>
      </c>
      <c r="Z272" s="11">
        <v>81996703831</v>
      </c>
      <c r="AA272" s="11" t="s">
        <v>91</v>
      </c>
      <c r="AB272" s="11"/>
      <c r="AC272" s="11"/>
      <c r="AD272" s="11" t="b">
        <v>0</v>
      </c>
      <c r="AF272" s="11"/>
      <c r="AG272" s="11"/>
      <c r="AH272" s="11"/>
      <c r="AI272" s="11"/>
    </row>
    <row r="273" ht="12.5" spans="1:35">
      <c r="A273" s="177">
        <v>45110.4190425926</v>
      </c>
      <c r="B273" s="64" t="s">
        <v>960</v>
      </c>
      <c r="C273" s="19">
        <v>15111735488</v>
      </c>
      <c r="D273" s="19">
        <v>702506385881039</v>
      </c>
      <c r="E273" s="18" t="s">
        <v>1073</v>
      </c>
      <c r="F273" s="11" t="s">
        <v>40</v>
      </c>
      <c r="G273" s="11" t="s">
        <v>54</v>
      </c>
      <c r="H273" s="24">
        <v>37467</v>
      </c>
      <c r="I273" s="277" t="s">
        <v>540</v>
      </c>
      <c r="J273" s="11" t="s">
        <v>438</v>
      </c>
      <c r="K273" s="108"/>
      <c r="M273" s="11" t="s">
        <v>1074</v>
      </c>
      <c r="N273" s="11" t="s">
        <v>43</v>
      </c>
      <c r="O273" s="11" t="s">
        <v>44</v>
      </c>
      <c r="P273" s="11" t="s">
        <v>56</v>
      </c>
      <c r="Q273" s="11" t="s">
        <v>44</v>
      </c>
      <c r="R273" s="11" t="s">
        <v>44</v>
      </c>
      <c r="S273" s="11" t="s">
        <v>83</v>
      </c>
      <c r="T273" s="11" t="s">
        <v>44</v>
      </c>
      <c r="U273" s="11" t="s">
        <v>44</v>
      </c>
      <c r="W273" s="11" t="s">
        <v>46</v>
      </c>
      <c r="X273" s="11" t="s">
        <v>156</v>
      </c>
      <c r="Y273" s="11" t="s">
        <v>58</v>
      </c>
      <c r="Z273" s="11">
        <v>81985750512</v>
      </c>
      <c r="AA273" s="11" t="s">
        <v>273</v>
      </c>
      <c r="AB273" s="11"/>
      <c r="AC273" s="11"/>
      <c r="AD273" s="11" t="b">
        <v>0</v>
      </c>
      <c r="AF273" s="11"/>
      <c r="AG273" s="11"/>
      <c r="AH273" s="11"/>
      <c r="AI273" s="11"/>
    </row>
    <row r="274" ht="12.5" spans="1:35">
      <c r="A274" s="177">
        <v>45110.4594356829</v>
      </c>
      <c r="B274" s="11" t="s">
        <v>633</v>
      </c>
      <c r="C274" s="282" t="s">
        <v>634</v>
      </c>
      <c r="D274" s="19">
        <v>706703518432319</v>
      </c>
      <c r="E274" s="18" t="s">
        <v>1075</v>
      </c>
      <c r="F274" s="11" t="s">
        <v>40</v>
      </c>
      <c r="G274" s="11" t="s">
        <v>135</v>
      </c>
      <c r="H274" s="24">
        <v>35840</v>
      </c>
      <c r="I274" s="277" t="s">
        <v>636</v>
      </c>
      <c r="J274" s="11" t="s">
        <v>42</v>
      </c>
      <c r="K274" s="108" t="s">
        <v>399</v>
      </c>
      <c r="N274" s="11" t="s">
        <v>43</v>
      </c>
      <c r="O274" s="11" t="s">
        <v>44</v>
      </c>
      <c r="P274" s="11" t="s">
        <v>44</v>
      </c>
      <c r="Q274" s="11" t="s">
        <v>44</v>
      </c>
      <c r="R274" s="11" t="s">
        <v>44</v>
      </c>
      <c r="S274" s="11" t="s">
        <v>83</v>
      </c>
      <c r="T274" s="11" t="s">
        <v>44</v>
      </c>
      <c r="U274" s="11" t="s">
        <v>44</v>
      </c>
      <c r="W274" s="11" t="s">
        <v>46</v>
      </c>
      <c r="X274" s="11" t="s">
        <v>97</v>
      </c>
      <c r="Y274" s="11" t="s">
        <v>58</v>
      </c>
      <c r="Z274" s="11">
        <v>81999504585</v>
      </c>
      <c r="AA274" s="11" t="s">
        <v>273</v>
      </c>
      <c r="AB274" s="11"/>
      <c r="AC274" s="11"/>
      <c r="AD274" s="11" t="b">
        <v>0</v>
      </c>
      <c r="AF274" s="11"/>
      <c r="AG274" s="11"/>
      <c r="AH274" s="11"/>
      <c r="AI274" s="11"/>
    </row>
    <row r="275" ht="12.5" spans="1:35">
      <c r="A275" s="177">
        <v>45110.8221519676</v>
      </c>
      <c r="B275" s="11" t="s">
        <v>383</v>
      </c>
      <c r="C275" s="19">
        <v>13188065426</v>
      </c>
      <c r="D275" s="19">
        <v>708207113732745</v>
      </c>
      <c r="E275" s="18" t="s">
        <v>1076</v>
      </c>
      <c r="F275" s="11" t="s">
        <v>225</v>
      </c>
      <c r="G275" s="11" t="s">
        <v>54</v>
      </c>
      <c r="H275" s="24">
        <v>35716</v>
      </c>
      <c r="I275" s="277" t="s">
        <v>334</v>
      </c>
      <c r="J275" s="11" t="s">
        <v>42</v>
      </c>
      <c r="K275" s="108" t="s">
        <v>1077</v>
      </c>
      <c r="N275" s="11" t="s">
        <v>43</v>
      </c>
      <c r="O275" s="11" t="s">
        <v>96</v>
      </c>
      <c r="P275" s="11" t="s">
        <v>66</v>
      </c>
      <c r="Q275" s="11" t="s">
        <v>44</v>
      </c>
      <c r="R275" s="11" t="s">
        <v>45</v>
      </c>
      <c r="S275" s="11" t="s">
        <v>45</v>
      </c>
      <c r="T275" s="11" t="s">
        <v>44</v>
      </c>
      <c r="U275" s="11" t="s">
        <v>45</v>
      </c>
      <c r="V275" s="24">
        <v>45111</v>
      </c>
      <c r="W275" s="11" t="s">
        <v>46</v>
      </c>
      <c r="X275" s="11" t="s">
        <v>203</v>
      </c>
      <c r="Y275" s="11" t="s">
        <v>58</v>
      </c>
      <c r="Z275" s="11">
        <v>81984182678</v>
      </c>
      <c r="AA275" s="11" t="s">
        <v>273</v>
      </c>
      <c r="AB275" s="11" t="s">
        <v>98</v>
      </c>
      <c r="AC275" s="11"/>
      <c r="AD275" s="11" t="b">
        <v>0</v>
      </c>
      <c r="AF275" s="11" t="s">
        <v>1078</v>
      </c>
      <c r="AG275" s="11" t="s">
        <v>1049</v>
      </c>
      <c r="AH275" s="11" t="s">
        <v>1079</v>
      </c>
      <c r="AI275" s="11"/>
    </row>
    <row r="276" ht="12.5" spans="1:35">
      <c r="A276" s="177">
        <v>45111.373739456</v>
      </c>
      <c r="B276" s="11" t="s">
        <v>1080</v>
      </c>
      <c r="C276" s="19">
        <v>10807429481</v>
      </c>
      <c r="D276" s="19">
        <v>700306966503330</v>
      </c>
      <c r="E276" s="18" t="s">
        <v>1081</v>
      </c>
      <c r="F276" s="11" t="s">
        <v>40</v>
      </c>
      <c r="G276" s="11" t="s">
        <v>54</v>
      </c>
      <c r="H276" s="24">
        <v>34562</v>
      </c>
      <c r="I276" s="277" t="s">
        <v>1082</v>
      </c>
      <c r="J276" s="11" t="s">
        <v>42</v>
      </c>
      <c r="K276" s="108" t="s">
        <v>1083</v>
      </c>
      <c r="N276" s="11" t="s">
        <v>43</v>
      </c>
      <c r="O276" s="11" t="s">
        <v>658</v>
      </c>
      <c r="P276" s="11" t="s">
        <v>44</v>
      </c>
      <c r="Q276" s="11" t="s">
        <v>45</v>
      </c>
      <c r="R276" s="11" t="s">
        <v>45</v>
      </c>
      <c r="S276" s="11" t="s">
        <v>83</v>
      </c>
      <c r="T276" s="11" t="s">
        <v>44</v>
      </c>
      <c r="U276" s="11" t="s">
        <v>45</v>
      </c>
      <c r="V276" s="24">
        <v>45112</v>
      </c>
      <c r="W276" s="11" t="s">
        <v>46</v>
      </c>
      <c r="X276" s="11" t="s">
        <v>47</v>
      </c>
      <c r="Y276" s="11" t="s">
        <v>58</v>
      </c>
      <c r="Z276" s="11">
        <v>81988220808</v>
      </c>
      <c r="AA276" s="11" t="s">
        <v>115</v>
      </c>
      <c r="AB276" s="11" t="s">
        <v>49</v>
      </c>
      <c r="AC276" s="11" t="s">
        <v>50</v>
      </c>
      <c r="AD276" s="11" t="b">
        <v>0</v>
      </c>
      <c r="AF276" s="11" t="s">
        <v>1084</v>
      </c>
      <c r="AG276" s="11"/>
      <c r="AH276" s="11"/>
      <c r="AI276" s="11"/>
    </row>
    <row r="277" ht="12.5" spans="1:35">
      <c r="A277" s="177">
        <v>45111.4069735301</v>
      </c>
      <c r="B277" s="11" t="s">
        <v>1085</v>
      </c>
      <c r="C277" s="19">
        <v>10746529406</v>
      </c>
      <c r="D277" s="19">
        <v>706709750051820</v>
      </c>
      <c r="E277" s="18" t="s">
        <v>1086</v>
      </c>
      <c r="F277" s="11" t="s">
        <v>225</v>
      </c>
      <c r="G277" s="11" t="s">
        <v>54</v>
      </c>
      <c r="H277" s="24">
        <v>33535</v>
      </c>
      <c r="I277" s="277" t="s">
        <v>967</v>
      </c>
      <c r="J277" s="11" t="s">
        <v>42</v>
      </c>
      <c r="K277" s="108" t="s">
        <v>1087</v>
      </c>
      <c r="N277" s="11" t="s">
        <v>43</v>
      </c>
      <c r="O277" s="11" t="s">
        <v>65</v>
      </c>
      <c r="P277" s="11" t="s">
        <v>66</v>
      </c>
      <c r="Q277" s="11" t="s">
        <v>44</v>
      </c>
      <c r="R277" s="11" t="s">
        <v>45</v>
      </c>
      <c r="S277" s="11" t="s">
        <v>45</v>
      </c>
      <c r="T277" s="11" t="s">
        <v>44</v>
      </c>
      <c r="U277" s="11" t="s">
        <v>45</v>
      </c>
      <c r="V277" s="24">
        <v>45112</v>
      </c>
      <c r="W277" s="11" t="s">
        <v>46</v>
      </c>
      <c r="X277" s="11" t="s">
        <v>47</v>
      </c>
      <c r="Y277" s="11" t="s">
        <v>58</v>
      </c>
      <c r="Z277" s="11">
        <v>81996831837</v>
      </c>
      <c r="AA277" s="11" t="s">
        <v>115</v>
      </c>
      <c r="AB277" s="11" t="s">
        <v>49</v>
      </c>
      <c r="AC277" s="11" t="s">
        <v>92</v>
      </c>
      <c r="AD277" s="11" t="b">
        <v>1</v>
      </c>
      <c r="AE277" s="11" t="s">
        <v>137</v>
      </c>
      <c r="AF277" s="11" t="s">
        <v>1088</v>
      </c>
      <c r="AG277" s="11" t="s">
        <v>1089</v>
      </c>
      <c r="AH277" s="11"/>
      <c r="AI277" s="11"/>
    </row>
    <row r="278" ht="12.5" spans="1:35">
      <c r="A278" s="177">
        <v>45111.444121956</v>
      </c>
      <c r="B278" s="11" t="s">
        <v>1090</v>
      </c>
      <c r="C278" s="19">
        <v>10859410439</v>
      </c>
      <c r="D278" s="19">
        <v>707802698820718</v>
      </c>
      <c r="E278" s="18" t="s">
        <v>1091</v>
      </c>
      <c r="F278" s="11" t="s">
        <v>40</v>
      </c>
      <c r="G278" s="11" t="s">
        <v>54</v>
      </c>
      <c r="H278" s="24">
        <v>34207</v>
      </c>
      <c r="I278" s="277" t="s">
        <v>1092</v>
      </c>
      <c r="J278" s="11" t="s">
        <v>42</v>
      </c>
      <c r="K278" s="108" t="s">
        <v>74</v>
      </c>
      <c r="N278" s="11" t="s">
        <v>43</v>
      </c>
      <c r="O278" s="11" t="s">
        <v>44</v>
      </c>
      <c r="P278" s="11" t="s">
        <v>44</v>
      </c>
      <c r="Q278" s="11" t="s">
        <v>44</v>
      </c>
      <c r="R278" s="11" t="s">
        <v>45</v>
      </c>
      <c r="S278" s="11" t="s">
        <v>45</v>
      </c>
      <c r="T278" s="11" t="s">
        <v>44</v>
      </c>
      <c r="U278" s="11" t="s">
        <v>45</v>
      </c>
      <c r="V278" s="24">
        <v>45113</v>
      </c>
      <c r="W278" s="11" t="s">
        <v>46</v>
      </c>
      <c r="X278" s="11" t="s">
        <v>47</v>
      </c>
      <c r="Y278" s="11" t="s">
        <v>58</v>
      </c>
      <c r="Z278" s="11">
        <v>81991022399</v>
      </c>
      <c r="AA278" s="11" t="s">
        <v>115</v>
      </c>
      <c r="AB278" s="11" t="s">
        <v>49</v>
      </c>
      <c r="AC278" s="11" t="s">
        <v>256</v>
      </c>
      <c r="AD278" s="11" t="b">
        <v>1</v>
      </c>
      <c r="AE278" s="11" t="s">
        <v>137</v>
      </c>
      <c r="AF278" s="11" t="s">
        <v>1093</v>
      </c>
      <c r="AG278" s="11"/>
      <c r="AH278" s="11" t="s">
        <v>1094</v>
      </c>
      <c r="AI278" s="11"/>
    </row>
    <row r="279" ht="12.5" spans="1:35">
      <c r="A279" s="177">
        <v>45111.6491916319</v>
      </c>
      <c r="B279" s="11" t="s">
        <v>1095</v>
      </c>
      <c r="C279" s="19">
        <v>14671356406</v>
      </c>
      <c r="D279" s="19">
        <v>898003426867976</v>
      </c>
      <c r="E279" s="18" t="s">
        <v>1096</v>
      </c>
      <c r="F279" s="11" t="s">
        <v>40</v>
      </c>
      <c r="G279" s="11" t="s">
        <v>41</v>
      </c>
      <c r="H279" s="24">
        <v>37268</v>
      </c>
      <c r="I279" s="277" t="s">
        <v>1097</v>
      </c>
      <c r="J279" s="11" t="s">
        <v>42</v>
      </c>
      <c r="K279" s="108" t="s">
        <v>155</v>
      </c>
      <c r="N279" s="11" t="s">
        <v>43</v>
      </c>
      <c r="O279" s="11" t="s">
        <v>44</v>
      </c>
      <c r="P279" s="11" t="s">
        <v>44</v>
      </c>
      <c r="Q279" s="11" t="s">
        <v>44</v>
      </c>
      <c r="R279" s="11" t="s">
        <v>45</v>
      </c>
      <c r="S279" s="11" t="s">
        <v>45</v>
      </c>
      <c r="T279" s="11" t="s">
        <v>44</v>
      </c>
      <c r="U279" s="11" t="s">
        <v>44</v>
      </c>
      <c r="W279" s="11" t="s">
        <v>46</v>
      </c>
      <c r="X279" s="11" t="s">
        <v>47</v>
      </c>
      <c r="Y279" s="11" t="s">
        <v>185</v>
      </c>
      <c r="Z279" s="11">
        <v>81984367066</v>
      </c>
      <c r="AA279" s="11" t="s">
        <v>113</v>
      </c>
      <c r="AB279" s="11"/>
      <c r="AC279" s="11"/>
      <c r="AD279" s="11" t="b">
        <v>0</v>
      </c>
      <c r="AF279" s="11"/>
      <c r="AG279" s="11"/>
      <c r="AH279" s="11"/>
      <c r="AI279" s="11"/>
    </row>
    <row r="280" ht="12.5" spans="1:35">
      <c r="A280" s="177">
        <v>45111.7004089352</v>
      </c>
      <c r="B280" s="11" t="s">
        <v>1098</v>
      </c>
      <c r="C280" s="277" t="s">
        <v>1099</v>
      </c>
      <c r="D280" s="19">
        <v>706001315807649</v>
      </c>
      <c r="E280" s="18" t="s">
        <v>1100</v>
      </c>
      <c r="F280" s="11" t="s">
        <v>225</v>
      </c>
      <c r="G280" s="11" t="s">
        <v>54</v>
      </c>
      <c r="H280" s="24">
        <v>30891</v>
      </c>
      <c r="I280" s="277" t="s">
        <v>1101</v>
      </c>
      <c r="J280" s="11" t="s">
        <v>42</v>
      </c>
      <c r="K280" s="108" t="s">
        <v>399</v>
      </c>
      <c r="N280" s="11" t="s">
        <v>43</v>
      </c>
      <c r="O280" s="11" t="s">
        <v>44</v>
      </c>
      <c r="P280" s="11" t="s">
        <v>44</v>
      </c>
      <c r="Q280" s="11" t="s">
        <v>44</v>
      </c>
      <c r="R280" s="11" t="s">
        <v>44</v>
      </c>
      <c r="S280" s="11" t="s">
        <v>44</v>
      </c>
      <c r="T280" s="11" t="s">
        <v>44</v>
      </c>
      <c r="U280" s="11" t="s">
        <v>44</v>
      </c>
      <c r="W280" s="11" t="s">
        <v>46</v>
      </c>
      <c r="X280" s="11" t="s">
        <v>47</v>
      </c>
      <c r="Y280" s="11" t="s">
        <v>185</v>
      </c>
      <c r="Z280" s="11">
        <v>81998373388</v>
      </c>
      <c r="AA280" s="11" t="s">
        <v>113</v>
      </c>
      <c r="AB280" s="11"/>
      <c r="AC280" s="11"/>
      <c r="AD280" s="11" t="b">
        <v>0</v>
      </c>
      <c r="AF280" s="11"/>
      <c r="AG280" s="11"/>
      <c r="AH280" s="11"/>
      <c r="AI280" s="11"/>
    </row>
    <row r="281" ht="12.5" spans="1:35">
      <c r="A281" s="177">
        <v>45112.350570706</v>
      </c>
      <c r="B281" s="11" t="s">
        <v>1095</v>
      </c>
      <c r="C281" s="19">
        <v>14671356406</v>
      </c>
      <c r="D281" s="19">
        <v>898003426867976</v>
      </c>
      <c r="E281" s="18" t="s">
        <v>1102</v>
      </c>
      <c r="F281" s="11" t="s">
        <v>40</v>
      </c>
      <c r="G281" s="11" t="s">
        <v>41</v>
      </c>
      <c r="H281" s="24">
        <v>37268</v>
      </c>
      <c r="I281" s="277" t="s">
        <v>1097</v>
      </c>
      <c r="J281" s="11" t="s">
        <v>42</v>
      </c>
      <c r="K281" s="108" t="s">
        <v>155</v>
      </c>
      <c r="N281" s="11" t="s">
        <v>43</v>
      </c>
      <c r="O281" s="11" t="s">
        <v>96</v>
      </c>
      <c r="P281" s="11" t="s">
        <v>56</v>
      </c>
      <c r="Q281" s="11" t="s">
        <v>44</v>
      </c>
      <c r="R281" s="11" t="s">
        <v>45</v>
      </c>
      <c r="S281" s="11" t="s">
        <v>45</v>
      </c>
      <c r="T281" s="11" t="s">
        <v>44</v>
      </c>
      <c r="U281" s="11" t="s">
        <v>45</v>
      </c>
      <c r="V281" s="24">
        <v>45113</v>
      </c>
      <c r="W281" s="11" t="s">
        <v>46</v>
      </c>
      <c r="X281" s="11" t="s">
        <v>67</v>
      </c>
      <c r="Y281" s="11" t="s">
        <v>58</v>
      </c>
      <c r="Z281" s="11">
        <v>81984367066</v>
      </c>
      <c r="AA281" s="11" t="s">
        <v>115</v>
      </c>
      <c r="AB281" s="11" t="s">
        <v>98</v>
      </c>
      <c r="AC281" s="11"/>
      <c r="AD281" s="11" t="b">
        <v>0</v>
      </c>
      <c r="AF281" s="11" t="s">
        <v>1103</v>
      </c>
      <c r="AG281" s="11"/>
      <c r="AH281" s="11"/>
      <c r="AI281" s="11"/>
    </row>
    <row r="282" ht="12.5" spans="1:35">
      <c r="A282" s="177">
        <v>45112.3619953241</v>
      </c>
      <c r="B282" s="11" t="s">
        <v>1024</v>
      </c>
      <c r="C282" s="19">
        <v>10977407497</v>
      </c>
      <c r="D282" s="19">
        <v>702500368297132</v>
      </c>
      <c r="F282" s="11" t="s">
        <v>40</v>
      </c>
      <c r="G282" s="11" t="s">
        <v>41</v>
      </c>
      <c r="H282" s="24">
        <v>36937</v>
      </c>
      <c r="I282" s="277" t="s">
        <v>524</v>
      </c>
      <c r="J282" s="11" t="s">
        <v>42</v>
      </c>
      <c r="K282" s="108" t="s">
        <v>90</v>
      </c>
      <c r="N282" s="11" t="s">
        <v>95</v>
      </c>
      <c r="O282" s="11" t="s">
        <v>44</v>
      </c>
      <c r="P282" s="11" t="s">
        <v>44</v>
      </c>
      <c r="Q282" s="11" t="s">
        <v>44</v>
      </c>
      <c r="R282" s="11" t="s">
        <v>45</v>
      </c>
      <c r="S282" s="11" t="s">
        <v>45</v>
      </c>
      <c r="T282" s="11" t="s">
        <v>44</v>
      </c>
      <c r="U282" s="11" t="s">
        <v>44</v>
      </c>
      <c r="W282" s="11" t="s">
        <v>57</v>
      </c>
      <c r="X282" s="11" t="s">
        <v>97</v>
      </c>
      <c r="Y282" s="11" t="s">
        <v>97</v>
      </c>
      <c r="Z282" s="11">
        <v>81981490872</v>
      </c>
      <c r="AA282" s="11" t="s">
        <v>115</v>
      </c>
      <c r="AB282" s="11"/>
      <c r="AC282" s="11"/>
      <c r="AD282" s="11" t="b">
        <v>0</v>
      </c>
      <c r="AF282" s="11"/>
      <c r="AG282" s="11"/>
      <c r="AH282" s="11"/>
      <c r="AI282" s="11"/>
    </row>
    <row r="283" ht="12.5" spans="1:35">
      <c r="A283" s="177">
        <v>45112.3627385648</v>
      </c>
      <c r="B283" s="11" t="s">
        <v>408</v>
      </c>
      <c r="C283" s="19">
        <v>11505533406</v>
      </c>
      <c r="D283" s="19">
        <v>700002491205909</v>
      </c>
      <c r="E283" s="18" t="s">
        <v>1104</v>
      </c>
      <c r="F283" s="11" t="s">
        <v>40</v>
      </c>
      <c r="G283" s="11" t="s">
        <v>41</v>
      </c>
      <c r="H283" s="24">
        <v>36109</v>
      </c>
      <c r="I283" s="277" t="s">
        <v>1105</v>
      </c>
      <c r="J283" s="11" t="s">
        <v>42</v>
      </c>
      <c r="K283" s="108" t="s">
        <v>1106</v>
      </c>
      <c r="N283" s="11" t="s">
        <v>43</v>
      </c>
      <c r="O283" s="11" t="s">
        <v>65</v>
      </c>
      <c r="P283" s="11" t="s">
        <v>56</v>
      </c>
      <c r="Q283" s="11" t="s">
        <v>44</v>
      </c>
      <c r="R283" s="11" t="s">
        <v>45</v>
      </c>
      <c r="S283" s="11" t="s">
        <v>83</v>
      </c>
      <c r="T283" s="11" t="s">
        <v>44</v>
      </c>
      <c r="U283" s="11" t="s">
        <v>44</v>
      </c>
      <c r="W283" s="11" t="s">
        <v>46</v>
      </c>
      <c r="X283" s="11" t="s">
        <v>47</v>
      </c>
      <c r="Y283" s="11" t="s">
        <v>58</v>
      </c>
      <c r="Z283" s="11">
        <v>81996333421</v>
      </c>
      <c r="AA283" s="11" t="s">
        <v>113</v>
      </c>
      <c r="AB283" s="11"/>
      <c r="AC283" s="11"/>
      <c r="AD283" s="11" t="b">
        <v>0</v>
      </c>
      <c r="AF283" s="11"/>
      <c r="AG283" s="11"/>
      <c r="AH283" s="11"/>
      <c r="AI283" s="11"/>
    </row>
    <row r="284" ht="12.5" spans="1:35">
      <c r="A284" s="177">
        <v>45112.3820758565</v>
      </c>
      <c r="B284" s="11" t="s">
        <v>1080</v>
      </c>
      <c r="C284" s="19">
        <v>10807429481</v>
      </c>
      <c r="D284" s="19">
        <v>700306966503330</v>
      </c>
      <c r="F284" s="11" t="s">
        <v>40</v>
      </c>
      <c r="G284" s="11" t="s">
        <v>54</v>
      </c>
      <c r="H284" s="24">
        <v>34440</v>
      </c>
      <c r="I284" s="277" t="s">
        <v>1082</v>
      </c>
      <c r="J284" s="11" t="s">
        <v>42</v>
      </c>
      <c r="K284" s="108" t="s">
        <v>1083</v>
      </c>
      <c r="N284" s="11" t="s">
        <v>95</v>
      </c>
      <c r="O284" s="11" t="s">
        <v>44</v>
      </c>
      <c r="P284" s="11" t="s">
        <v>44</v>
      </c>
      <c r="Q284" s="11" t="s">
        <v>45</v>
      </c>
      <c r="R284" s="11" t="s">
        <v>45</v>
      </c>
      <c r="S284" s="11" t="s">
        <v>45</v>
      </c>
      <c r="T284" s="11" t="s">
        <v>44</v>
      </c>
      <c r="U284" s="11" t="s">
        <v>44</v>
      </c>
      <c r="W284" s="11" t="s">
        <v>57</v>
      </c>
      <c r="X284" s="11" t="s">
        <v>97</v>
      </c>
      <c r="Y284" s="11" t="s">
        <v>97</v>
      </c>
      <c r="Z284" s="11">
        <v>81988220808</v>
      </c>
      <c r="AA284" s="11" t="s">
        <v>115</v>
      </c>
      <c r="AB284" s="11"/>
      <c r="AC284" s="11"/>
      <c r="AD284" s="11" t="b">
        <v>0</v>
      </c>
      <c r="AF284" s="11"/>
      <c r="AG284" s="11"/>
      <c r="AH284" s="11"/>
      <c r="AI284" s="11"/>
    </row>
    <row r="285" ht="12.5" spans="1:35">
      <c r="A285" s="177">
        <v>45112.4228103935</v>
      </c>
      <c r="B285" s="11" t="s">
        <v>1107</v>
      </c>
      <c r="C285" s="19">
        <v>13484506490</v>
      </c>
      <c r="D285" s="19">
        <v>700007196049009</v>
      </c>
      <c r="E285" s="18" t="s">
        <v>1108</v>
      </c>
      <c r="F285" s="11" t="s">
        <v>40</v>
      </c>
      <c r="G285" s="11" t="s">
        <v>54</v>
      </c>
      <c r="H285" s="24">
        <v>37197</v>
      </c>
      <c r="I285" s="19" t="s">
        <v>1109</v>
      </c>
      <c r="J285" s="11" t="s">
        <v>42</v>
      </c>
      <c r="K285" s="108" t="s">
        <v>1110</v>
      </c>
      <c r="N285" s="11" t="s">
        <v>43</v>
      </c>
      <c r="O285" s="11" t="s">
        <v>44</v>
      </c>
      <c r="P285" s="11" t="s">
        <v>66</v>
      </c>
      <c r="Q285" s="11" t="s">
        <v>44</v>
      </c>
      <c r="R285" s="11" t="s">
        <v>45</v>
      </c>
      <c r="S285" s="11" t="s">
        <v>45</v>
      </c>
      <c r="T285" s="11" t="s">
        <v>44</v>
      </c>
      <c r="U285" s="11" t="s">
        <v>45</v>
      </c>
      <c r="V285" s="24">
        <v>45114</v>
      </c>
      <c r="W285" s="11" t="s">
        <v>46</v>
      </c>
      <c r="X285" s="11" t="s">
        <v>47</v>
      </c>
      <c r="Y285" s="11" t="s">
        <v>58</v>
      </c>
      <c r="Z285" s="11">
        <v>81986766525</v>
      </c>
      <c r="AA285" s="11" t="s">
        <v>113</v>
      </c>
      <c r="AB285" s="11" t="s">
        <v>98</v>
      </c>
      <c r="AC285" s="11"/>
      <c r="AD285" s="11" t="b">
        <v>0</v>
      </c>
      <c r="AF285" s="11" t="s">
        <v>1111</v>
      </c>
      <c r="AG285" s="11" t="s">
        <v>1112</v>
      </c>
      <c r="AH285" s="11"/>
      <c r="AI285" s="11"/>
    </row>
    <row r="286" ht="12.5" spans="1:35">
      <c r="A286" s="177">
        <v>45112.5527306134</v>
      </c>
      <c r="B286" s="11" t="s">
        <v>817</v>
      </c>
      <c r="C286" s="277" t="s">
        <v>818</v>
      </c>
      <c r="D286" s="19">
        <v>700204926989428</v>
      </c>
      <c r="E286" s="18" t="s">
        <v>1113</v>
      </c>
      <c r="F286" s="11" t="s">
        <v>40</v>
      </c>
      <c r="G286" s="11" t="s">
        <v>54</v>
      </c>
      <c r="H286" s="24">
        <v>30954</v>
      </c>
      <c r="I286" s="277" t="s">
        <v>820</v>
      </c>
      <c r="J286" s="11" t="s">
        <v>42</v>
      </c>
      <c r="K286" s="108" t="s">
        <v>202</v>
      </c>
      <c r="N286" s="11" t="s">
        <v>43</v>
      </c>
      <c r="O286" s="11" t="s">
        <v>96</v>
      </c>
      <c r="P286" s="11" t="s">
        <v>66</v>
      </c>
      <c r="Q286" s="11" t="s">
        <v>44</v>
      </c>
      <c r="R286" s="11" t="s">
        <v>44</v>
      </c>
      <c r="S286" s="11" t="s">
        <v>45</v>
      </c>
      <c r="T286" s="11" t="s">
        <v>44</v>
      </c>
      <c r="U286" s="11" t="s">
        <v>45</v>
      </c>
      <c r="V286" s="24">
        <v>45113</v>
      </c>
      <c r="W286" s="11" t="s">
        <v>46</v>
      </c>
      <c r="X286" s="11" t="s">
        <v>47</v>
      </c>
      <c r="Y286" s="11" t="s">
        <v>58</v>
      </c>
      <c r="Z286" s="11">
        <v>81996039055</v>
      </c>
      <c r="AA286" s="11" t="s">
        <v>115</v>
      </c>
      <c r="AB286" s="11" t="s">
        <v>49</v>
      </c>
      <c r="AC286" s="11" t="s">
        <v>50</v>
      </c>
      <c r="AD286" s="11" t="b">
        <v>0</v>
      </c>
      <c r="AF286" s="11" t="s">
        <v>1114</v>
      </c>
      <c r="AG286" s="11"/>
      <c r="AH286" s="11" t="s">
        <v>1115</v>
      </c>
      <c r="AI286" s="11"/>
    </row>
    <row r="287" ht="12.5" spans="1:35">
      <c r="A287" s="177">
        <v>45112.5766874884</v>
      </c>
      <c r="B287" s="11" t="s">
        <v>367</v>
      </c>
      <c r="C287" s="19">
        <v>70816320411</v>
      </c>
      <c r="D287" s="19">
        <v>706306617689780</v>
      </c>
      <c r="F287" s="11" t="s">
        <v>40</v>
      </c>
      <c r="G287" s="11" t="s">
        <v>54</v>
      </c>
      <c r="H287" s="24">
        <v>35252</v>
      </c>
      <c r="I287" s="277" t="s">
        <v>369</v>
      </c>
      <c r="J287" s="11" t="s">
        <v>42</v>
      </c>
      <c r="K287" s="108" t="s">
        <v>74</v>
      </c>
      <c r="N287" s="11" t="s">
        <v>95</v>
      </c>
      <c r="O287" s="11" t="s">
        <v>44</v>
      </c>
      <c r="P287" s="11" t="s">
        <v>44</v>
      </c>
      <c r="Q287" s="11" t="s">
        <v>44</v>
      </c>
      <c r="R287" s="11" t="s">
        <v>45</v>
      </c>
      <c r="S287" s="11" t="s">
        <v>45</v>
      </c>
      <c r="T287" s="11" t="s">
        <v>44</v>
      </c>
      <c r="U287" s="11" t="s">
        <v>44</v>
      </c>
      <c r="W287" s="11" t="s">
        <v>57</v>
      </c>
      <c r="X287" s="11" t="s">
        <v>97</v>
      </c>
      <c r="Y287" s="11" t="s">
        <v>97</v>
      </c>
      <c r="Z287" s="11">
        <v>81986584843</v>
      </c>
      <c r="AA287" s="11" t="s">
        <v>115</v>
      </c>
      <c r="AB287" s="11"/>
      <c r="AC287" s="11"/>
      <c r="AD287" s="11" t="b">
        <v>0</v>
      </c>
      <c r="AF287" s="11"/>
      <c r="AG287" s="11"/>
      <c r="AH287" s="11"/>
      <c r="AI287" s="11"/>
    </row>
    <row r="288" ht="12.5" spans="1:35">
      <c r="A288" s="177">
        <v>45112.6477314236</v>
      </c>
      <c r="B288" s="11" t="s">
        <v>1116</v>
      </c>
      <c r="C288" s="19">
        <v>71331323460</v>
      </c>
      <c r="D288" s="19">
        <v>702009312004981</v>
      </c>
      <c r="E288" s="18" t="s">
        <v>1117</v>
      </c>
      <c r="F288" s="11" t="s">
        <v>40</v>
      </c>
      <c r="G288" s="11" t="s">
        <v>88</v>
      </c>
      <c r="H288" s="24">
        <v>37826</v>
      </c>
      <c r="I288" s="277" t="s">
        <v>918</v>
      </c>
      <c r="J288" s="11" t="s">
        <v>42</v>
      </c>
      <c r="K288" s="108" t="s">
        <v>202</v>
      </c>
      <c r="N288" s="11" t="s">
        <v>43</v>
      </c>
      <c r="O288" s="11" t="s">
        <v>44</v>
      </c>
      <c r="P288" s="11" t="s">
        <v>44</v>
      </c>
      <c r="Q288" s="11" t="s">
        <v>44</v>
      </c>
      <c r="R288" s="11" t="s">
        <v>45</v>
      </c>
      <c r="S288" s="11" t="s">
        <v>45</v>
      </c>
      <c r="T288" s="11" t="s">
        <v>44</v>
      </c>
      <c r="U288" s="11" t="s">
        <v>44</v>
      </c>
      <c r="W288" s="11" t="s">
        <v>46</v>
      </c>
      <c r="X288" s="11" t="s">
        <v>47</v>
      </c>
      <c r="Y288" s="11" t="s">
        <v>58</v>
      </c>
      <c r="Z288" s="11">
        <v>81987465625</v>
      </c>
      <c r="AA288" s="11" t="s">
        <v>115</v>
      </c>
      <c r="AB288" s="11"/>
      <c r="AC288" s="11"/>
      <c r="AD288" s="11" t="b">
        <v>0</v>
      </c>
      <c r="AF288" s="11"/>
      <c r="AG288" s="11"/>
      <c r="AH288" s="11" t="s">
        <v>1118</v>
      </c>
      <c r="AI288" s="11"/>
    </row>
    <row r="289" ht="12.5" spans="1:35">
      <c r="A289" s="177">
        <v>45112.7055314005</v>
      </c>
      <c r="B289" s="11" t="s">
        <v>1085</v>
      </c>
      <c r="C289" s="19">
        <v>10746529406</v>
      </c>
      <c r="D289" s="19">
        <v>706709750051820</v>
      </c>
      <c r="E289" s="18" t="s">
        <v>1119</v>
      </c>
      <c r="F289" s="11" t="s">
        <v>225</v>
      </c>
      <c r="G289" s="11" t="s">
        <v>54</v>
      </c>
      <c r="H289" s="24">
        <v>33535</v>
      </c>
      <c r="I289" s="277" t="s">
        <v>967</v>
      </c>
      <c r="J289" s="11" t="s">
        <v>42</v>
      </c>
      <c r="K289" s="108" t="s">
        <v>1087</v>
      </c>
      <c r="N289" s="11" t="s">
        <v>95</v>
      </c>
      <c r="O289" s="11" t="s">
        <v>44</v>
      </c>
      <c r="P289" s="11" t="s">
        <v>44</v>
      </c>
      <c r="Q289" s="11" t="s">
        <v>44</v>
      </c>
      <c r="R289" s="11" t="s">
        <v>45</v>
      </c>
      <c r="S289" s="11" t="s">
        <v>45</v>
      </c>
      <c r="T289" s="11" t="s">
        <v>44</v>
      </c>
      <c r="U289" s="11" t="s">
        <v>44</v>
      </c>
      <c r="W289" s="11" t="s">
        <v>46</v>
      </c>
      <c r="X289" s="11" t="s">
        <v>97</v>
      </c>
      <c r="Y289" s="11" t="s">
        <v>97</v>
      </c>
      <c r="Z289" s="11">
        <v>81996831837</v>
      </c>
      <c r="AA289" s="11" t="s">
        <v>91</v>
      </c>
      <c r="AB289" s="11"/>
      <c r="AC289" s="11"/>
      <c r="AD289" s="11" t="b">
        <v>0</v>
      </c>
      <c r="AF289" s="11"/>
      <c r="AG289" s="11"/>
      <c r="AH289" s="11"/>
      <c r="AI289" s="11"/>
    </row>
    <row r="290" ht="12.5" spans="1:37">
      <c r="A290" s="203">
        <v>45112.8064892593</v>
      </c>
      <c r="B290" s="4" t="s">
        <v>1098</v>
      </c>
      <c r="C290" s="280" t="s">
        <v>1099</v>
      </c>
      <c r="D290" s="19">
        <v>706001315807649</v>
      </c>
      <c r="E290" s="53" t="s">
        <v>1120</v>
      </c>
      <c r="F290" s="4" t="s">
        <v>225</v>
      </c>
      <c r="G290" s="4" t="s">
        <v>54</v>
      </c>
      <c r="H290" s="204">
        <v>30891</v>
      </c>
      <c r="I290" s="280" t="s">
        <v>918</v>
      </c>
      <c r="J290" s="4" t="s">
        <v>42</v>
      </c>
      <c r="K290" s="206" t="s">
        <v>1121</v>
      </c>
      <c r="L290" s="4"/>
      <c r="M290" s="4"/>
      <c r="N290" s="4" t="s">
        <v>43</v>
      </c>
      <c r="O290" s="4" t="s">
        <v>44</v>
      </c>
      <c r="P290" s="4" t="s">
        <v>56</v>
      </c>
      <c r="Q290" s="4" t="s">
        <v>44</v>
      </c>
      <c r="R290" s="4" t="s">
        <v>44</v>
      </c>
      <c r="S290" s="4" t="s">
        <v>45</v>
      </c>
      <c r="T290" s="4" t="s">
        <v>45</v>
      </c>
      <c r="U290" s="4" t="s">
        <v>44</v>
      </c>
      <c r="V290" s="169"/>
      <c r="W290" s="4" t="s">
        <v>46</v>
      </c>
      <c r="X290" s="4" t="s">
        <v>203</v>
      </c>
      <c r="Y290" s="4" t="s">
        <v>58</v>
      </c>
      <c r="Z290" s="4">
        <v>81998373388</v>
      </c>
      <c r="AA290" s="4" t="s">
        <v>115</v>
      </c>
      <c r="AB290" s="4"/>
      <c r="AC290" s="4"/>
      <c r="AD290" s="4" t="b">
        <v>0</v>
      </c>
      <c r="AE290" s="4"/>
      <c r="AF290" s="4"/>
      <c r="AG290" s="4" t="s">
        <v>386</v>
      </c>
      <c r="AH290" s="224" t="s">
        <v>1122</v>
      </c>
      <c r="AI290" s="4"/>
      <c r="AJ290" s="4"/>
      <c r="AK290" s="4"/>
    </row>
    <row r="291" ht="12.5" spans="1:35">
      <c r="A291" s="177">
        <v>45113.3780684259</v>
      </c>
      <c r="B291" s="11" t="s">
        <v>1123</v>
      </c>
      <c r="C291" s="19">
        <v>10859410439</v>
      </c>
      <c r="D291" s="19">
        <v>707802698820718</v>
      </c>
      <c r="E291" s="18" t="s">
        <v>1124</v>
      </c>
      <c r="F291" s="11" t="s">
        <v>40</v>
      </c>
      <c r="G291" s="11" t="s">
        <v>54</v>
      </c>
      <c r="H291" s="24">
        <v>34207</v>
      </c>
      <c r="I291" s="277" t="s">
        <v>1092</v>
      </c>
      <c r="J291" s="11" t="s">
        <v>42</v>
      </c>
      <c r="K291" s="108" t="s">
        <v>74</v>
      </c>
      <c r="N291" s="11" t="s">
        <v>95</v>
      </c>
      <c r="O291" s="11" t="s">
        <v>44</v>
      </c>
      <c r="P291" s="11" t="s">
        <v>44</v>
      </c>
      <c r="Q291" s="11" t="s">
        <v>44</v>
      </c>
      <c r="R291" s="11" t="s">
        <v>45</v>
      </c>
      <c r="S291" s="11" t="s">
        <v>83</v>
      </c>
      <c r="T291" s="11" t="s">
        <v>44</v>
      </c>
      <c r="U291" s="11" t="s">
        <v>45</v>
      </c>
      <c r="V291" s="24">
        <v>45116</v>
      </c>
      <c r="W291" s="11" t="s">
        <v>46</v>
      </c>
      <c r="X291" s="11" t="s">
        <v>97</v>
      </c>
      <c r="Y291" s="11" t="s">
        <v>97</v>
      </c>
      <c r="Z291" s="11">
        <v>81991022399</v>
      </c>
      <c r="AA291" s="11" t="s">
        <v>273</v>
      </c>
      <c r="AB291" s="11" t="s">
        <v>49</v>
      </c>
      <c r="AC291" s="11" t="s">
        <v>92</v>
      </c>
      <c r="AD291" s="11" t="b">
        <v>1</v>
      </c>
      <c r="AE291" s="11" t="s">
        <v>137</v>
      </c>
      <c r="AF291" s="152"/>
      <c r="AG291" s="11" t="s">
        <v>1125</v>
      </c>
      <c r="AH291" s="225" t="s">
        <v>1126</v>
      </c>
      <c r="AI291" s="11"/>
    </row>
    <row r="292" ht="12.5" spans="1:35">
      <c r="A292" s="177">
        <v>45113.4574248264</v>
      </c>
      <c r="B292" s="11" t="s">
        <v>1127</v>
      </c>
      <c r="C292" s="277" t="s">
        <v>1128</v>
      </c>
      <c r="D292" s="19">
        <v>700402953155350</v>
      </c>
      <c r="E292" s="18" t="s">
        <v>1129</v>
      </c>
      <c r="F292" s="11" t="s">
        <v>40</v>
      </c>
      <c r="G292" s="11" t="s">
        <v>41</v>
      </c>
      <c r="H292" s="24">
        <v>36694</v>
      </c>
      <c r="I292" s="277" t="s">
        <v>1130</v>
      </c>
      <c r="J292" s="11" t="s">
        <v>42</v>
      </c>
      <c r="K292" s="108" t="s">
        <v>1131</v>
      </c>
      <c r="N292" s="11" t="s">
        <v>43</v>
      </c>
      <c r="O292" s="11" t="s">
        <v>44</v>
      </c>
      <c r="P292" s="11" t="s">
        <v>44</v>
      </c>
      <c r="Q292" s="11" t="s">
        <v>44</v>
      </c>
      <c r="R292" s="11" t="s">
        <v>45</v>
      </c>
      <c r="S292" s="11" t="s">
        <v>45</v>
      </c>
      <c r="T292" s="11" t="s">
        <v>44</v>
      </c>
      <c r="U292" s="11" t="s">
        <v>44</v>
      </c>
      <c r="W292" s="11" t="s">
        <v>46</v>
      </c>
      <c r="X292" s="11" t="s">
        <v>47</v>
      </c>
      <c r="Y292" s="11" t="s">
        <v>58</v>
      </c>
      <c r="Z292" s="11">
        <v>81997727560</v>
      </c>
      <c r="AA292" s="11" t="s">
        <v>115</v>
      </c>
      <c r="AB292" s="11"/>
      <c r="AC292" s="11"/>
      <c r="AD292" s="11" t="b">
        <v>0</v>
      </c>
      <c r="AF292" s="11"/>
      <c r="AG292" s="11"/>
      <c r="AH292" s="11"/>
      <c r="AI292" s="11"/>
    </row>
    <row r="293" ht="12.5" spans="1:35">
      <c r="A293" s="177">
        <v>45113.5086115162</v>
      </c>
      <c r="B293" s="11" t="s">
        <v>1132</v>
      </c>
      <c r="C293" s="19">
        <v>11915750474</v>
      </c>
      <c r="D293" s="19">
        <v>706703501709118</v>
      </c>
      <c r="E293" s="18" t="s">
        <v>1133</v>
      </c>
      <c r="F293" s="11" t="s">
        <v>40</v>
      </c>
      <c r="G293" s="11" t="s">
        <v>41</v>
      </c>
      <c r="H293" s="24">
        <v>35250</v>
      </c>
      <c r="I293" s="277" t="s">
        <v>294</v>
      </c>
      <c r="J293" s="11" t="s">
        <v>42</v>
      </c>
      <c r="K293" s="108" t="s">
        <v>90</v>
      </c>
      <c r="N293" s="11" t="s">
        <v>43</v>
      </c>
      <c r="O293" s="11" t="s">
        <v>65</v>
      </c>
      <c r="P293" s="11" t="s">
        <v>66</v>
      </c>
      <c r="Q293" s="11" t="s">
        <v>44</v>
      </c>
      <c r="R293" s="11" t="s">
        <v>45</v>
      </c>
      <c r="S293" s="11" t="s">
        <v>45</v>
      </c>
      <c r="T293" s="11" t="s">
        <v>44</v>
      </c>
      <c r="U293" s="11" t="s">
        <v>45</v>
      </c>
      <c r="V293" s="24">
        <v>45114</v>
      </c>
      <c r="W293" s="11" t="s">
        <v>46</v>
      </c>
      <c r="X293" s="11" t="s">
        <v>47</v>
      </c>
      <c r="Y293" s="11" t="s">
        <v>58</v>
      </c>
      <c r="Z293" s="11">
        <v>81996042108</v>
      </c>
      <c r="AA293" s="11" t="s">
        <v>115</v>
      </c>
      <c r="AB293" s="11" t="s">
        <v>49</v>
      </c>
      <c r="AC293" s="11" t="s">
        <v>256</v>
      </c>
      <c r="AD293" s="11" t="b">
        <v>0</v>
      </c>
      <c r="AF293" s="11" t="s">
        <v>1134</v>
      </c>
      <c r="AG293" s="11"/>
      <c r="AH293" s="11"/>
      <c r="AI293" s="11"/>
    </row>
    <row r="294" ht="12.5" spans="1:35">
      <c r="A294" s="177">
        <v>45113.5868010069</v>
      </c>
      <c r="B294" s="11" t="s">
        <v>817</v>
      </c>
      <c r="C294" s="277" t="s">
        <v>818</v>
      </c>
      <c r="D294" s="19">
        <v>700204926989428</v>
      </c>
      <c r="F294" s="11" t="s">
        <v>40</v>
      </c>
      <c r="G294" s="11" t="s">
        <v>54</v>
      </c>
      <c r="H294" s="24">
        <v>30954</v>
      </c>
      <c r="I294" s="277" t="s">
        <v>1135</v>
      </c>
      <c r="J294" s="11" t="s">
        <v>42</v>
      </c>
      <c r="K294" s="108" t="s">
        <v>202</v>
      </c>
      <c r="N294" s="11" t="s">
        <v>95</v>
      </c>
      <c r="O294" s="11" t="s">
        <v>127</v>
      </c>
      <c r="P294" s="11" t="s">
        <v>44</v>
      </c>
      <c r="Q294" s="11" t="s">
        <v>44</v>
      </c>
      <c r="R294" s="11" t="s">
        <v>44</v>
      </c>
      <c r="S294" s="11" t="s">
        <v>45</v>
      </c>
      <c r="T294" s="11" t="s">
        <v>44</v>
      </c>
      <c r="U294" s="11" t="s">
        <v>44</v>
      </c>
      <c r="W294" s="11" t="s">
        <v>57</v>
      </c>
      <c r="X294" s="11" t="s">
        <v>97</v>
      </c>
      <c r="Y294" s="11" t="s">
        <v>97</v>
      </c>
      <c r="Z294" s="11">
        <v>81996039055</v>
      </c>
      <c r="AA294" s="11" t="s">
        <v>115</v>
      </c>
      <c r="AB294" s="11"/>
      <c r="AC294" s="11"/>
      <c r="AD294" s="11" t="b">
        <v>0</v>
      </c>
      <c r="AF294" s="11"/>
      <c r="AG294" s="11"/>
      <c r="AH294" s="11"/>
      <c r="AI294" s="11"/>
    </row>
    <row r="295" ht="12.5" spans="1:35">
      <c r="A295" s="177">
        <v>45113.6199515625</v>
      </c>
      <c r="B295" s="11" t="s">
        <v>511</v>
      </c>
      <c r="C295" s="221">
        <v>10134721446</v>
      </c>
      <c r="D295" s="19">
        <v>700508790071751</v>
      </c>
      <c r="E295" s="18" t="s">
        <v>1136</v>
      </c>
      <c r="F295" s="11" t="s">
        <v>225</v>
      </c>
      <c r="G295" s="11" t="s">
        <v>54</v>
      </c>
      <c r="H295" s="24">
        <v>36246</v>
      </c>
      <c r="I295" s="277" t="s">
        <v>513</v>
      </c>
      <c r="J295" s="11" t="s">
        <v>42</v>
      </c>
      <c r="K295" s="108" t="s">
        <v>90</v>
      </c>
      <c r="N295" s="11" t="s">
        <v>43</v>
      </c>
      <c r="O295" s="11" t="s">
        <v>96</v>
      </c>
      <c r="P295" s="11" t="s">
        <v>56</v>
      </c>
      <c r="Q295" s="11" t="s">
        <v>44</v>
      </c>
      <c r="R295" s="11" t="s">
        <v>45</v>
      </c>
      <c r="S295" s="11" t="s">
        <v>83</v>
      </c>
      <c r="T295" s="11" t="s">
        <v>44</v>
      </c>
      <c r="U295" s="11" t="s">
        <v>45</v>
      </c>
      <c r="V295" s="24">
        <v>45114</v>
      </c>
      <c r="W295" s="11" t="s">
        <v>46</v>
      </c>
      <c r="X295" s="11" t="s">
        <v>47</v>
      </c>
      <c r="Y295" s="11" t="s">
        <v>58</v>
      </c>
      <c r="Z295" s="11">
        <v>81996695691</v>
      </c>
      <c r="AA295" s="11" t="s">
        <v>91</v>
      </c>
      <c r="AB295" s="11" t="s">
        <v>98</v>
      </c>
      <c r="AC295" s="11" t="s">
        <v>854</v>
      </c>
      <c r="AD295" s="11" t="b">
        <v>0</v>
      </c>
      <c r="AF295" s="11" t="s">
        <v>1137</v>
      </c>
      <c r="AG295" s="11" t="s">
        <v>1138</v>
      </c>
      <c r="AH295" s="11"/>
      <c r="AI295" s="11"/>
    </row>
    <row r="296" ht="12.5" spans="1:35">
      <c r="A296" s="177">
        <v>45113.7568852083</v>
      </c>
      <c r="B296" s="11" t="s">
        <v>408</v>
      </c>
      <c r="C296" s="19">
        <v>11505533406</v>
      </c>
      <c r="D296" s="19">
        <v>700002491205909</v>
      </c>
      <c r="E296" s="18" t="s">
        <v>1139</v>
      </c>
      <c r="F296" s="11" t="s">
        <v>40</v>
      </c>
      <c r="G296" s="11" t="s">
        <v>41</v>
      </c>
      <c r="H296" s="24">
        <v>36109</v>
      </c>
      <c r="I296" s="277" t="s">
        <v>410</v>
      </c>
      <c r="J296" s="11" t="s">
        <v>42</v>
      </c>
      <c r="K296" s="108" t="s">
        <v>1140</v>
      </c>
      <c r="N296" s="11" t="s">
        <v>43</v>
      </c>
      <c r="O296" s="11" t="s">
        <v>96</v>
      </c>
      <c r="P296" s="11" t="s">
        <v>66</v>
      </c>
      <c r="Q296" s="11" t="s">
        <v>44</v>
      </c>
      <c r="R296" s="11" t="s">
        <v>45</v>
      </c>
      <c r="S296" s="11" t="s">
        <v>45</v>
      </c>
      <c r="T296" s="11" t="s">
        <v>44</v>
      </c>
      <c r="U296" s="11" t="s">
        <v>45</v>
      </c>
      <c r="V296" s="24">
        <v>45114</v>
      </c>
      <c r="W296" s="11" t="s">
        <v>46</v>
      </c>
      <c r="X296" s="11" t="s">
        <v>203</v>
      </c>
      <c r="Y296" s="11" t="s">
        <v>58</v>
      </c>
      <c r="Z296" s="11">
        <v>81996333421</v>
      </c>
      <c r="AA296" s="11" t="s">
        <v>273</v>
      </c>
      <c r="AB296" s="11" t="s">
        <v>49</v>
      </c>
      <c r="AC296" s="11" t="s">
        <v>92</v>
      </c>
      <c r="AD296" s="11" t="b">
        <v>1</v>
      </c>
      <c r="AE296" s="11" t="s">
        <v>137</v>
      </c>
      <c r="AF296" s="11" t="s">
        <v>1141</v>
      </c>
      <c r="AG296" s="11" t="s">
        <v>1142</v>
      </c>
      <c r="AH296" s="214" t="s">
        <v>1143</v>
      </c>
      <c r="AI296" s="11"/>
    </row>
    <row r="297" ht="12.5" spans="1:35">
      <c r="A297" s="177">
        <v>45114.638214294</v>
      </c>
      <c r="B297" s="11" t="s">
        <v>1132</v>
      </c>
      <c r="C297" s="19">
        <v>11915750474</v>
      </c>
      <c r="D297" s="19">
        <v>706703501709118</v>
      </c>
      <c r="E297" s="18" t="s">
        <v>1133</v>
      </c>
      <c r="F297" s="11" t="s">
        <v>40</v>
      </c>
      <c r="G297" s="11" t="s">
        <v>41</v>
      </c>
      <c r="H297" s="24">
        <v>35250</v>
      </c>
      <c r="I297" s="277" t="s">
        <v>294</v>
      </c>
      <c r="J297" s="11" t="s">
        <v>42</v>
      </c>
      <c r="K297" s="108" t="s">
        <v>90</v>
      </c>
      <c r="N297" s="11" t="s">
        <v>95</v>
      </c>
      <c r="O297" s="11" t="s">
        <v>127</v>
      </c>
      <c r="P297" s="11" t="s">
        <v>44</v>
      </c>
      <c r="Q297" s="11" t="s">
        <v>44</v>
      </c>
      <c r="R297" s="11" t="s">
        <v>45</v>
      </c>
      <c r="S297" s="11" t="s">
        <v>45</v>
      </c>
      <c r="T297" s="11" t="s">
        <v>44</v>
      </c>
      <c r="U297" s="11" t="s">
        <v>44</v>
      </c>
      <c r="W297" s="11" t="s">
        <v>57</v>
      </c>
      <c r="X297" s="11" t="s">
        <v>97</v>
      </c>
      <c r="Y297" s="11" t="s">
        <v>97</v>
      </c>
      <c r="Z297" s="11">
        <v>81996042108</v>
      </c>
      <c r="AA297" s="11" t="s">
        <v>273</v>
      </c>
      <c r="AB297" s="11"/>
      <c r="AC297" s="11"/>
      <c r="AD297" s="11" t="b">
        <v>0</v>
      </c>
      <c r="AF297" s="11"/>
      <c r="AG297" s="11"/>
      <c r="AH297" s="11"/>
      <c r="AI297" s="11"/>
    </row>
    <row r="298" ht="12.5" spans="1:35">
      <c r="A298" s="177">
        <v>45114.7134347685</v>
      </c>
      <c r="B298" s="11" t="s">
        <v>408</v>
      </c>
      <c r="C298" s="19">
        <v>11505533406</v>
      </c>
      <c r="D298" s="19">
        <v>700002491205909</v>
      </c>
      <c r="E298" s="18" t="s">
        <v>1144</v>
      </c>
      <c r="F298" s="11" t="s">
        <v>40</v>
      </c>
      <c r="G298" s="11" t="s">
        <v>54</v>
      </c>
      <c r="H298" s="24">
        <v>36109</v>
      </c>
      <c r="I298" s="277" t="s">
        <v>410</v>
      </c>
      <c r="J298" s="11" t="s">
        <v>42</v>
      </c>
      <c r="K298" s="108" t="s">
        <v>1145</v>
      </c>
      <c r="N298" s="11" t="s">
        <v>95</v>
      </c>
      <c r="O298" s="11" t="s">
        <v>44</v>
      </c>
      <c r="P298" s="11" t="s">
        <v>44</v>
      </c>
      <c r="Q298" s="11" t="s">
        <v>44</v>
      </c>
      <c r="R298" s="11" t="s">
        <v>45</v>
      </c>
      <c r="S298" s="11" t="s">
        <v>83</v>
      </c>
      <c r="T298" s="11" t="s">
        <v>44</v>
      </c>
      <c r="U298" s="11" t="s">
        <v>44</v>
      </c>
      <c r="W298" s="11" t="s">
        <v>46</v>
      </c>
      <c r="X298" s="11" t="s">
        <v>97</v>
      </c>
      <c r="Y298" s="11" t="s">
        <v>97</v>
      </c>
      <c r="Z298" s="11">
        <v>81996333421</v>
      </c>
      <c r="AA298" s="11" t="s">
        <v>91</v>
      </c>
      <c r="AB298" s="11"/>
      <c r="AC298" s="11"/>
      <c r="AD298" s="11" t="b">
        <v>0</v>
      </c>
      <c r="AF298" s="11"/>
      <c r="AG298" s="11"/>
      <c r="AH298" s="11"/>
      <c r="AI298" s="11"/>
    </row>
    <row r="299" ht="12.5" spans="1:35">
      <c r="A299" s="177">
        <v>45114.740076331</v>
      </c>
      <c r="B299" s="11" t="s">
        <v>1146</v>
      </c>
      <c r="C299" s="277" t="s">
        <v>1147</v>
      </c>
      <c r="D299" s="19">
        <v>700800924380087</v>
      </c>
      <c r="E299" s="18" t="s">
        <v>1148</v>
      </c>
      <c r="F299" s="11" t="s">
        <v>225</v>
      </c>
      <c r="G299" s="11" t="s">
        <v>135</v>
      </c>
      <c r="H299" s="24">
        <v>31675</v>
      </c>
      <c r="I299" s="277" t="s">
        <v>261</v>
      </c>
      <c r="J299" s="11" t="s">
        <v>42</v>
      </c>
      <c r="K299" s="108" t="s">
        <v>202</v>
      </c>
      <c r="N299" s="11" t="s">
        <v>43</v>
      </c>
      <c r="O299" s="11" t="s">
        <v>44</v>
      </c>
      <c r="P299" s="11" t="s">
        <v>44</v>
      </c>
      <c r="Q299" s="11" t="s">
        <v>45</v>
      </c>
      <c r="R299" s="11" t="s">
        <v>45</v>
      </c>
      <c r="S299" s="11" t="s">
        <v>45</v>
      </c>
      <c r="T299" s="11" t="s">
        <v>44</v>
      </c>
      <c r="U299" s="11" t="s">
        <v>45</v>
      </c>
      <c r="V299" s="24">
        <v>45115</v>
      </c>
      <c r="W299" s="11" t="s">
        <v>46</v>
      </c>
      <c r="X299" s="11" t="s">
        <v>47</v>
      </c>
      <c r="Y299" s="11" t="s">
        <v>58</v>
      </c>
      <c r="Z299" s="11">
        <v>81991663102</v>
      </c>
      <c r="AA299" s="11" t="s">
        <v>273</v>
      </c>
      <c r="AB299" s="11" t="s">
        <v>49</v>
      </c>
      <c r="AC299" s="11" t="s">
        <v>50</v>
      </c>
      <c r="AD299" s="11" t="b">
        <v>0</v>
      </c>
      <c r="AF299" s="11" t="s">
        <v>1149</v>
      </c>
      <c r="AG299" s="11"/>
      <c r="AH299" s="11" t="s">
        <v>1150</v>
      </c>
      <c r="AI299" s="11"/>
    </row>
    <row r="300" ht="12.5" spans="1:37">
      <c r="A300" s="203">
        <v>45115.4158601042</v>
      </c>
      <c r="B300" s="4" t="s">
        <v>1151</v>
      </c>
      <c r="C300" s="280" t="s">
        <v>1152</v>
      </c>
      <c r="D300" s="19">
        <v>705206468768679</v>
      </c>
      <c r="E300" s="53" t="s">
        <v>1153</v>
      </c>
      <c r="F300" s="4" t="s">
        <v>40</v>
      </c>
      <c r="G300" s="4" t="s">
        <v>54</v>
      </c>
      <c r="H300" s="204">
        <v>32760</v>
      </c>
      <c r="I300" s="280" t="s">
        <v>1154</v>
      </c>
      <c r="J300" s="4" t="s">
        <v>42</v>
      </c>
      <c r="K300" s="206" t="s">
        <v>399</v>
      </c>
      <c r="L300" s="4"/>
      <c r="M300" s="4"/>
      <c r="N300" s="4" t="s">
        <v>43</v>
      </c>
      <c r="O300" s="4" t="s">
        <v>44</v>
      </c>
      <c r="P300" s="4" t="s">
        <v>44</v>
      </c>
      <c r="Q300" s="4" t="s">
        <v>44</v>
      </c>
      <c r="R300" s="4" t="s">
        <v>45</v>
      </c>
      <c r="S300" s="4" t="s">
        <v>45</v>
      </c>
      <c r="T300" s="4" t="s">
        <v>45</v>
      </c>
      <c r="U300" s="4" t="s">
        <v>45</v>
      </c>
      <c r="V300" s="204">
        <v>45115</v>
      </c>
      <c r="W300" s="4" t="s">
        <v>46</v>
      </c>
      <c r="X300" s="4" t="s">
        <v>303</v>
      </c>
      <c r="Y300" s="4" t="s">
        <v>58</v>
      </c>
      <c r="Z300" s="4">
        <v>81987103480</v>
      </c>
      <c r="AA300" s="4" t="s">
        <v>115</v>
      </c>
      <c r="AB300" s="4" t="s">
        <v>49</v>
      </c>
      <c r="AC300" s="4" t="s">
        <v>274</v>
      </c>
      <c r="AD300" s="4" t="b">
        <v>1</v>
      </c>
      <c r="AE300" s="4" t="s">
        <v>137</v>
      </c>
      <c r="AF300" s="4" t="s">
        <v>1155</v>
      </c>
      <c r="AG300" s="4"/>
      <c r="AH300" s="4" t="s">
        <v>1156</v>
      </c>
      <c r="AI300" s="4"/>
      <c r="AJ300" s="4"/>
      <c r="AK300" s="4"/>
    </row>
    <row r="301" ht="12.5" spans="1:35">
      <c r="A301" s="177">
        <v>45115.5690938194</v>
      </c>
      <c r="B301" s="11" t="s">
        <v>1146</v>
      </c>
      <c r="C301" s="277" t="s">
        <v>1147</v>
      </c>
      <c r="D301" s="19">
        <v>700800924380087</v>
      </c>
      <c r="F301" s="11" t="s">
        <v>225</v>
      </c>
      <c r="G301" s="11" t="s">
        <v>135</v>
      </c>
      <c r="H301" s="24">
        <v>31675</v>
      </c>
      <c r="I301" s="277" t="s">
        <v>261</v>
      </c>
      <c r="J301" s="11" t="s">
        <v>42</v>
      </c>
      <c r="K301" s="108" t="s">
        <v>202</v>
      </c>
      <c r="N301" s="11" t="s">
        <v>95</v>
      </c>
      <c r="O301" s="11" t="s">
        <v>96</v>
      </c>
      <c r="P301" s="11" t="s">
        <v>66</v>
      </c>
      <c r="Q301" s="11" t="s">
        <v>44</v>
      </c>
      <c r="R301" s="11" t="s">
        <v>45</v>
      </c>
      <c r="S301" s="11" t="s">
        <v>45</v>
      </c>
      <c r="T301" s="11" t="s">
        <v>44</v>
      </c>
      <c r="U301" s="11" t="s">
        <v>45</v>
      </c>
      <c r="V301" s="24">
        <v>45116</v>
      </c>
      <c r="W301" s="11" t="s">
        <v>57</v>
      </c>
      <c r="X301" s="11" t="s">
        <v>97</v>
      </c>
      <c r="Y301" s="11" t="s">
        <v>97</v>
      </c>
      <c r="Z301" s="11">
        <v>81991663102</v>
      </c>
      <c r="AA301" s="11" t="s">
        <v>115</v>
      </c>
      <c r="AB301" s="11" t="s">
        <v>98</v>
      </c>
      <c r="AC301" s="11"/>
      <c r="AD301" s="11" t="b">
        <v>0</v>
      </c>
      <c r="AF301" s="11" t="s">
        <v>1157</v>
      </c>
      <c r="AG301" s="11"/>
      <c r="AH301" s="11"/>
      <c r="AI301" s="11"/>
    </row>
    <row r="302" ht="12.5" spans="1:37">
      <c r="A302" s="203">
        <v>45115.7050758218</v>
      </c>
      <c r="B302" s="4" t="s">
        <v>1151</v>
      </c>
      <c r="C302" s="280" t="s">
        <v>1152</v>
      </c>
      <c r="D302" s="19">
        <v>705206468768679</v>
      </c>
      <c r="E302" s="53" t="s">
        <v>1158</v>
      </c>
      <c r="F302" s="4" t="s">
        <v>40</v>
      </c>
      <c r="G302" s="4" t="s">
        <v>54</v>
      </c>
      <c r="H302" s="204">
        <v>32760</v>
      </c>
      <c r="I302" s="280" t="s">
        <v>1154</v>
      </c>
      <c r="J302" s="4" t="s">
        <v>42</v>
      </c>
      <c r="K302" s="206" t="s">
        <v>399</v>
      </c>
      <c r="L302" s="4"/>
      <c r="M302" s="4"/>
      <c r="N302" s="4" t="s">
        <v>95</v>
      </c>
      <c r="O302" s="4" t="s">
        <v>44</v>
      </c>
      <c r="P302" s="4" t="s">
        <v>44</v>
      </c>
      <c r="Q302" s="4" t="s">
        <v>44</v>
      </c>
      <c r="R302" s="4" t="s">
        <v>45</v>
      </c>
      <c r="S302" s="4" t="s">
        <v>45</v>
      </c>
      <c r="T302" s="4" t="s">
        <v>45</v>
      </c>
      <c r="U302" s="4" t="s">
        <v>44</v>
      </c>
      <c r="V302" s="4"/>
      <c r="W302" s="4" t="s">
        <v>46</v>
      </c>
      <c r="X302" s="4" t="s">
        <v>97</v>
      </c>
      <c r="Y302" s="4" t="s">
        <v>97</v>
      </c>
      <c r="Z302" s="4">
        <v>81987103480</v>
      </c>
      <c r="AA302" s="4" t="s">
        <v>296</v>
      </c>
      <c r="AB302" s="4"/>
      <c r="AC302" s="4"/>
      <c r="AD302" s="4" t="b">
        <v>0</v>
      </c>
      <c r="AE302" s="4"/>
      <c r="AF302" s="4"/>
      <c r="AG302" s="4"/>
      <c r="AH302" s="4"/>
      <c r="AI302" s="4"/>
      <c r="AJ302" s="4"/>
      <c r="AK302" s="4"/>
    </row>
    <row r="303" ht="14" spans="1:35">
      <c r="A303" s="177">
        <v>45115.799887338</v>
      </c>
      <c r="B303" s="11" t="s">
        <v>367</v>
      </c>
      <c r="C303" s="19">
        <v>70816320411</v>
      </c>
      <c r="D303" s="19">
        <v>706306617689780</v>
      </c>
      <c r="E303" s="18" t="s">
        <v>1159</v>
      </c>
      <c r="F303" s="11" t="s">
        <v>40</v>
      </c>
      <c r="G303" s="11" t="s">
        <v>54</v>
      </c>
      <c r="H303" s="24">
        <v>35252</v>
      </c>
      <c r="I303" s="277" t="s">
        <v>369</v>
      </c>
      <c r="J303" s="11" t="s">
        <v>42</v>
      </c>
      <c r="K303" s="108" t="s">
        <v>1083</v>
      </c>
      <c r="N303" s="11" t="s">
        <v>43</v>
      </c>
      <c r="O303" s="11" t="s">
        <v>44</v>
      </c>
      <c r="P303" s="11" t="s">
        <v>44</v>
      </c>
      <c r="Q303" s="11" t="s">
        <v>44</v>
      </c>
      <c r="R303" s="11" t="s">
        <v>45</v>
      </c>
      <c r="S303" s="11" t="s">
        <v>45</v>
      </c>
      <c r="T303" s="11" t="s">
        <v>44</v>
      </c>
      <c r="U303" s="11" t="s">
        <v>44</v>
      </c>
      <c r="W303" s="11" t="s">
        <v>46</v>
      </c>
      <c r="X303" s="11" t="s">
        <v>303</v>
      </c>
      <c r="Y303" s="11" t="s">
        <v>58</v>
      </c>
      <c r="Z303" s="11">
        <v>81986584843</v>
      </c>
      <c r="AA303" s="11" t="s">
        <v>296</v>
      </c>
      <c r="AB303" s="11"/>
      <c r="AC303" s="11"/>
      <c r="AD303" s="11" t="b">
        <v>0</v>
      </c>
      <c r="AF303" s="11"/>
      <c r="AG303" s="11"/>
      <c r="AH303" s="226" t="s">
        <v>1160</v>
      </c>
      <c r="AI303" s="11"/>
    </row>
    <row r="304" ht="12.5" spans="1:35">
      <c r="A304" s="177">
        <v>45116.5906595255</v>
      </c>
      <c r="B304" s="11" t="s">
        <v>1090</v>
      </c>
      <c r="C304" s="19">
        <v>10859410439</v>
      </c>
      <c r="D304" s="19">
        <v>707802698820718</v>
      </c>
      <c r="E304" s="18" t="s">
        <v>1161</v>
      </c>
      <c r="F304" s="11" t="s">
        <v>40</v>
      </c>
      <c r="G304" s="11" t="s">
        <v>54</v>
      </c>
      <c r="H304" s="24">
        <v>34207</v>
      </c>
      <c r="I304" s="277" t="s">
        <v>1092</v>
      </c>
      <c r="J304" s="11" t="s">
        <v>42</v>
      </c>
      <c r="K304" s="108" t="s">
        <v>74</v>
      </c>
      <c r="N304" s="11" t="s">
        <v>95</v>
      </c>
      <c r="O304" s="11" t="s">
        <v>44</v>
      </c>
      <c r="P304" s="11" t="s">
        <v>44</v>
      </c>
      <c r="Q304" s="11" t="s">
        <v>44</v>
      </c>
      <c r="R304" s="11" t="s">
        <v>45</v>
      </c>
      <c r="S304" s="11" t="s">
        <v>83</v>
      </c>
      <c r="T304" s="11" t="s">
        <v>44</v>
      </c>
      <c r="U304" s="11" t="s">
        <v>44</v>
      </c>
      <c r="W304" s="11" t="s">
        <v>46</v>
      </c>
      <c r="X304" s="11" t="s">
        <v>97</v>
      </c>
      <c r="Y304" s="11" t="s">
        <v>97</v>
      </c>
      <c r="Z304" s="11">
        <v>81991022399</v>
      </c>
      <c r="AA304" s="11" t="s">
        <v>91</v>
      </c>
      <c r="AB304" s="11"/>
      <c r="AC304" s="11"/>
      <c r="AD304" s="11" t="b">
        <v>0</v>
      </c>
      <c r="AF304" s="11"/>
      <c r="AG304" s="11"/>
      <c r="AH304" s="11"/>
      <c r="AI304" s="11"/>
    </row>
    <row r="305" ht="12.5" spans="1:35">
      <c r="A305" s="177">
        <v>45117.3991181019</v>
      </c>
      <c r="B305" s="11" t="s">
        <v>1162</v>
      </c>
      <c r="C305" s="19">
        <v>71214897401</v>
      </c>
      <c r="D305" s="19">
        <v>701807289837679</v>
      </c>
      <c r="E305" s="18" t="s">
        <v>1163</v>
      </c>
      <c r="F305" s="11" t="s">
        <v>40</v>
      </c>
      <c r="G305" s="11" t="s">
        <v>54</v>
      </c>
      <c r="H305" s="24">
        <v>37529</v>
      </c>
      <c r="I305" s="277" t="s">
        <v>735</v>
      </c>
      <c r="J305" s="11" t="s">
        <v>42</v>
      </c>
      <c r="K305" s="108" t="s">
        <v>1164</v>
      </c>
      <c r="N305" s="11" t="s">
        <v>43</v>
      </c>
      <c r="O305" s="11" t="s">
        <v>44</v>
      </c>
      <c r="P305" s="11" t="s">
        <v>44</v>
      </c>
      <c r="Q305" s="11" t="s">
        <v>44</v>
      </c>
      <c r="R305" s="11" t="s">
        <v>45</v>
      </c>
      <c r="S305" s="11" t="s">
        <v>45</v>
      </c>
      <c r="T305" s="11" t="s">
        <v>44</v>
      </c>
      <c r="U305" s="11" t="s">
        <v>44</v>
      </c>
      <c r="W305" s="11" t="s">
        <v>46</v>
      </c>
      <c r="X305" s="11" t="s">
        <v>156</v>
      </c>
      <c r="Y305" s="11" t="s">
        <v>58</v>
      </c>
      <c r="Z305" s="11">
        <v>81999943590</v>
      </c>
      <c r="AA305" s="11" t="s">
        <v>273</v>
      </c>
      <c r="AB305" s="11"/>
      <c r="AC305" s="11"/>
      <c r="AD305" s="11" t="b">
        <v>0</v>
      </c>
      <c r="AF305" s="11"/>
      <c r="AG305" s="11"/>
      <c r="AH305" s="11"/>
      <c r="AI305" s="11"/>
    </row>
    <row r="306" ht="12.5" spans="1:37">
      <c r="A306" s="203">
        <v>45117.4489695833</v>
      </c>
      <c r="B306" s="4" t="s">
        <v>1165</v>
      </c>
      <c r="C306" s="17">
        <v>70642278431</v>
      </c>
      <c r="D306" s="19">
        <v>705006843837757</v>
      </c>
      <c r="E306" s="53" t="s">
        <v>1166</v>
      </c>
      <c r="F306" s="4" t="s">
        <v>40</v>
      </c>
      <c r="G306" s="4" t="s">
        <v>41</v>
      </c>
      <c r="H306" s="204">
        <v>36309</v>
      </c>
      <c r="I306" s="17" t="s">
        <v>1167</v>
      </c>
      <c r="J306" s="4" t="s">
        <v>42</v>
      </c>
      <c r="K306" s="206" t="s">
        <v>1168</v>
      </c>
      <c r="L306" s="4"/>
      <c r="M306" s="4"/>
      <c r="N306" s="4" t="s">
        <v>43</v>
      </c>
      <c r="O306" s="4" t="s">
        <v>658</v>
      </c>
      <c r="P306" s="4" t="s">
        <v>44</v>
      </c>
      <c r="Q306" s="4" t="s">
        <v>44</v>
      </c>
      <c r="R306" s="4" t="s">
        <v>45</v>
      </c>
      <c r="S306" s="4" t="s">
        <v>83</v>
      </c>
      <c r="T306" s="4" t="s">
        <v>45</v>
      </c>
      <c r="U306" s="4" t="s">
        <v>45</v>
      </c>
      <c r="V306" s="204">
        <v>45119</v>
      </c>
      <c r="W306" s="4" t="s">
        <v>46</v>
      </c>
      <c r="X306" s="4" t="s">
        <v>47</v>
      </c>
      <c r="Y306" s="4" t="s">
        <v>1169</v>
      </c>
      <c r="Z306" s="4">
        <v>81988866907</v>
      </c>
      <c r="AA306" s="4" t="s">
        <v>113</v>
      </c>
      <c r="AB306" s="4" t="s">
        <v>49</v>
      </c>
      <c r="AC306" s="4" t="s">
        <v>50</v>
      </c>
      <c r="AD306" s="4" t="b">
        <v>0</v>
      </c>
      <c r="AE306" s="4"/>
      <c r="AF306" s="214" t="s">
        <v>1170</v>
      </c>
      <c r="AG306" s="4"/>
      <c r="AH306" s="4" t="s">
        <v>1171</v>
      </c>
      <c r="AI306" s="4"/>
      <c r="AJ306" s="4"/>
      <c r="AK306" s="4"/>
    </row>
    <row r="307" ht="12.5" spans="1:35">
      <c r="A307" s="177">
        <v>45117.5015946065</v>
      </c>
      <c r="B307" s="11" t="s">
        <v>1172</v>
      </c>
      <c r="C307" s="19">
        <v>71772736465</v>
      </c>
      <c r="D307" s="19">
        <v>701804284088071</v>
      </c>
      <c r="E307" s="18" t="s">
        <v>1173</v>
      </c>
      <c r="F307" s="11" t="s">
        <v>225</v>
      </c>
      <c r="G307" s="11" t="s">
        <v>54</v>
      </c>
      <c r="H307" s="24">
        <v>37847</v>
      </c>
      <c r="I307" s="277" t="s">
        <v>1174</v>
      </c>
      <c r="J307" s="11" t="s">
        <v>42</v>
      </c>
      <c r="K307" s="108" t="s">
        <v>282</v>
      </c>
      <c r="N307" s="11" t="s">
        <v>43</v>
      </c>
      <c r="O307" s="11" t="s">
        <v>44</v>
      </c>
      <c r="P307" s="11" t="s">
        <v>66</v>
      </c>
      <c r="Q307" s="11" t="s">
        <v>44</v>
      </c>
      <c r="R307" s="11" t="s">
        <v>45</v>
      </c>
      <c r="S307" s="11" t="s">
        <v>45</v>
      </c>
      <c r="T307" s="11" t="s">
        <v>44</v>
      </c>
      <c r="U307" s="11" t="s">
        <v>45</v>
      </c>
      <c r="V307" s="24">
        <v>45118</v>
      </c>
      <c r="W307" s="11" t="s">
        <v>46</v>
      </c>
      <c r="X307" s="11" t="s">
        <v>47</v>
      </c>
      <c r="Y307" s="11" t="s">
        <v>58</v>
      </c>
      <c r="Z307" s="11">
        <v>81996199221</v>
      </c>
      <c r="AA307" s="11" t="s">
        <v>113</v>
      </c>
      <c r="AB307" s="11" t="s">
        <v>49</v>
      </c>
      <c r="AC307" s="11" t="s">
        <v>92</v>
      </c>
      <c r="AD307" s="11" t="b">
        <v>0</v>
      </c>
      <c r="AF307" s="11" t="s">
        <v>1175</v>
      </c>
      <c r="AG307" s="11"/>
      <c r="AH307" s="11" t="s">
        <v>1176</v>
      </c>
      <c r="AI307" s="11"/>
    </row>
    <row r="308" ht="12.5" spans="1:35">
      <c r="A308" s="177">
        <v>45117.5235510069</v>
      </c>
      <c r="B308" s="11" t="s">
        <v>1177</v>
      </c>
      <c r="C308" s="19">
        <v>11275270450</v>
      </c>
      <c r="D308" s="19">
        <v>704105229464050</v>
      </c>
      <c r="E308" s="18" t="s">
        <v>1178</v>
      </c>
      <c r="F308" s="11" t="s">
        <v>40</v>
      </c>
      <c r="G308" s="11" t="s">
        <v>54</v>
      </c>
      <c r="H308" s="24">
        <v>35731</v>
      </c>
      <c r="I308" s="277" t="s">
        <v>1179</v>
      </c>
      <c r="J308" s="11" t="s">
        <v>42</v>
      </c>
      <c r="K308" s="108" t="s">
        <v>202</v>
      </c>
      <c r="N308" s="11" t="s">
        <v>43</v>
      </c>
      <c r="O308" s="11" t="s">
        <v>44</v>
      </c>
      <c r="P308" s="11" t="s">
        <v>56</v>
      </c>
      <c r="Q308" s="11" t="s">
        <v>44</v>
      </c>
      <c r="R308" s="11" t="s">
        <v>45</v>
      </c>
      <c r="S308" s="11" t="s">
        <v>45</v>
      </c>
      <c r="T308" s="11" t="s">
        <v>44</v>
      </c>
      <c r="U308" s="11" t="s">
        <v>45</v>
      </c>
      <c r="V308" s="24">
        <v>45118</v>
      </c>
      <c r="W308" s="11" t="s">
        <v>46</v>
      </c>
      <c r="X308" s="11" t="s">
        <v>47</v>
      </c>
      <c r="Y308" s="11" t="s">
        <v>58</v>
      </c>
      <c r="Z308" s="11">
        <v>81986747671</v>
      </c>
      <c r="AA308" s="11" t="s">
        <v>113</v>
      </c>
      <c r="AB308" s="11" t="s">
        <v>49</v>
      </c>
      <c r="AC308" s="11" t="s">
        <v>92</v>
      </c>
      <c r="AD308" s="11" t="b">
        <v>1</v>
      </c>
      <c r="AE308" s="11" t="s">
        <v>137</v>
      </c>
      <c r="AF308" s="11" t="s">
        <v>1180</v>
      </c>
      <c r="AG308" s="11"/>
      <c r="AH308" s="11" t="s">
        <v>1181</v>
      </c>
      <c r="AI308" s="11"/>
    </row>
    <row r="309" ht="12.5" spans="1:35">
      <c r="A309" s="177">
        <v>45117.5413406597</v>
      </c>
      <c r="B309" s="11" t="s">
        <v>1182</v>
      </c>
      <c r="C309" s="19">
        <v>70833388410</v>
      </c>
      <c r="D309" s="19">
        <v>702805692567664</v>
      </c>
      <c r="E309" s="18" t="s">
        <v>1183</v>
      </c>
      <c r="F309" s="11" t="s">
        <v>40</v>
      </c>
      <c r="G309" s="11" t="s">
        <v>54</v>
      </c>
      <c r="H309" s="24">
        <v>36363</v>
      </c>
      <c r="I309" s="277" t="s">
        <v>1184</v>
      </c>
      <c r="J309" s="11" t="s">
        <v>81</v>
      </c>
      <c r="K309" s="108"/>
      <c r="L309" s="11" t="s">
        <v>525</v>
      </c>
      <c r="N309" s="11" t="s">
        <v>43</v>
      </c>
      <c r="O309" s="11" t="s">
        <v>65</v>
      </c>
      <c r="P309" s="11" t="s">
        <v>66</v>
      </c>
      <c r="Q309" s="11" t="s">
        <v>44</v>
      </c>
      <c r="R309" s="11" t="s">
        <v>45</v>
      </c>
      <c r="S309" s="11" t="s">
        <v>45</v>
      </c>
      <c r="T309" s="11" t="s">
        <v>44</v>
      </c>
      <c r="U309" s="11" t="s">
        <v>45</v>
      </c>
      <c r="V309" s="24">
        <v>45118</v>
      </c>
      <c r="W309" s="11" t="s">
        <v>46</v>
      </c>
      <c r="X309" s="11" t="s">
        <v>47</v>
      </c>
      <c r="Y309" s="11" t="s">
        <v>58</v>
      </c>
      <c r="Z309" s="11">
        <v>81984526517</v>
      </c>
      <c r="AA309" s="11" t="s">
        <v>91</v>
      </c>
      <c r="AB309" s="11" t="s">
        <v>49</v>
      </c>
      <c r="AC309" s="11" t="s">
        <v>92</v>
      </c>
      <c r="AD309" s="11" t="b">
        <v>1</v>
      </c>
      <c r="AE309" s="11" t="s">
        <v>137</v>
      </c>
      <c r="AF309" s="11" t="s">
        <v>1185</v>
      </c>
      <c r="AG309" s="11" t="s">
        <v>1186</v>
      </c>
      <c r="AH309" s="11" t="s">
        <v>1187</v>
      </c>
      <c r="AI309" s="11"/>
    </row>
    <row r="310" ht="12.5" spans="1:35">
      <c r="A310" s="177">
        <v>45118.4141334491</v>
      </c>
      <c r="B310" s="11" t="s">
        <v>1188</v>
      </c>
      <c r="C310" s="19">
        <v>11152651480</v>
      </c>
      <c r="D310" s="19">
        <v>708704199993898</v>
      </c>
      <c r="E310" s="18" t="s">
        <v>1189</v>
      </c>
      <c r="F310" s="11" t="s">
        <v>40</v>
      </c>
      <c r="G310" s="11" t="s">
        <v>54</v>
      </c>
      <c r="H310" s="24">
        <v>31068</v>
      </c>
      <c r="I310" s="222">
        <v>44946</v>
      </c>
      <c r="J310" s="11" t="s">
        <v>42</v>
      </c>
      <c r="K310" s="108" t="s">
        <v>1190</v>
      </c>
      <c r="N310" s="11" t="s">
        <v>43</v>
      </c>
      <c r="O310" s="11" t="s">
        <v>44</v>
      </c>
      <c r="P310" s="11" t="s">
        <v>44</v>
      </c>
      <c r="Q310" s="11" t="s">
        <v>44</v>
      </c>
      <c r="R310" s="11" t="s">
        <v>45</v>
      </c>
      <c r="S310" s="11" t="s">
        <v>45</v>
      </c>
      <c r="T310" s="11" t="s">
        <v>44</v>
      </c>
      <c r="U310" s="11" t="s">
        <v>45</v>
      </c>
      <c r="V310" s="24">
        <v>45118</v>
      </c>
      <c r="W310" s="11" t="s">
        <v>46</v>
      </c>
      <c r="X310" s="11" t="s">
        <v>47</v>
      </c>
      <c r="Y310" s="11" t="s">
        <v>58</v>
      </c>
      <c r="Z310" s="11">
        <v>81983709670</v>
      </c>
      <c r="AA310" s="11" t="s">
        <v>105</v>
      </c>
      <c r="AB310" s="11" t="s">
        <v>49</v>
      </c>
      <c r="AC310" s="11" t="s">
        <v>84</v>
      </c>
      <c r="AD310" s="11" t="b">
        <v>1</v>
      </c>
      <c r="AE310" s="11" t="s">
        <v>137</v>
      </c>
      <c r="AF310" s="11" t="s">
        <v>1191</v>
      </c>
      <c r="AG310" s="11"/>
      <c r="AH310" s="63" t="s">
        <v>1192</v>
      </c>
      <c r="AI310" s="11"/>
    </row>
    <row r="311" ht="12.5" spans="1:35">
      <c r="A311" s="177">
        <v>45118.5460855556</v>
      </c>
      <c r="B311" s="11" t="s">
        <v>1172</v>
      </c>
      <c r="C311" s="19">
        <v>71772736465</v>
      </c>
      <c r="D311" s="19">
        <v>701804284088071</v>
      </c>
      <c r="F311" s="11" t="s">
        <v>225</v>
      </c>
      <c r="G311" s="11" t="s">
        <v>54</v>
      </c>
      <c r="H311" s="24">
        <v>37847</v>
      </c>
      <c r="I311" s="277" t="s">
        <v>1193</v>
      </c>
      <c r="J311" s="11" t="s">
        <v>81</v>
      </c>
      <c r="K311" s="108"/>
      <c r="L311" s="11" t="s">
        <v>520</v>
      </c>
      <c r="N311" s="11" t="s">
        <v>95</v>
      </c>
      <c r="O311" s="11" t="s">
        <v>127</v>
      </c>
      <c r="P311" s="11" t="s">
        <v>44</v>
      </c>
      <c r="Q311" s="11" t="s">
        <v>44</v>
      </c>
      <c r="R311" s="11" t="s">
        <v>45</v>
      </c>
      <c r="S311" s="11" t="s">
        <v>45</v>
      </c>
      <c r="T311" s="11" t="s">
        <v>44</v>
      </c>
      <c r="U311" s="11" t="s">
        <v>44</v>
      </c>
      <c r="W311" s="11" t="s">
        <v>57</v>
      </c>
      <c r="X311" s="11" t="s">
        <v>97</v>
      </c>
      <c r="Y311" s="11" t="s">
        <v>97</v>
      </c>
      <c r="Z311" s="11">
        <v>81996199221</v>
      </c>
      <c r="AA311" s="11" t="s">
        <v>91</v>
      </c>
      <c r="AB311" s="11"/>
      <c r="AC311" s="11"/>
      <c r="AD311" s="11" t="b">
        <v>0</v>
      </c>
      <c r="AF311" s="11"/>
      <c r="AG311" s="11"/>
      <c r="AH311" s="11"/>
      <c r="AI311" s="11"/>
    </row>
    <row r="312" ht="12.5" spans="1:35">
      <c r="A312" s="177">
        <v>45118.5703773032</v>
      </c>
      <c r="B312" s="11" t="s">
        <v>1177</v>
      </c>
      <c r="C312" s="19">
        <v>11275270450</v>
      </c>
      <c r="D312" s="19">
        <v>704105229464050</v>
      </c>
      <c r="E312" s="18" t="s">
        <v>1194</v>
      </c>
      <c r="F312" s="11" t="s">
        <v>40</v>
      </c>
      <c r="G312" s="11" t="s">
        <v>54</v>
      </c>
      <c r="H312" s="24">
        <v>35671</v>
      </c>
      <c r="I312" s="277" t="s">
        <v>1179</v>
      </c>
      <c r="J312" s="11" t="s">
        <v>42</v>
      </c>
      <c r="K312" s="108" t="s">
        <v>282</v>
      </c>
      <c r="N312" s="11" t="s">
        <v>95</v>
      </c>
      <c r="O312" s="11" t="s">
        <v>44</v>
      </c>
      <c r="P312" s="11" t="s">
        <v>44</v>
      </c>
      <c r="Q312" s="11" t="s">
        <v>44</v>
      </c>
      <c r="R312" s="11" t="s">
        <v>45</v>
      </c>
      <c r="S312" s="11" t="s">
        <v>45</v>
      </c>
      <c r="T312" s="11" t="s">
        <v>44</v>
      </c>
      <c r="U312" s="11" t="s">
        <v>45</v>
      </c>
      <c r="V312" s="24">
        <v>45120</v>
      </c>
      <c r="W312" s="11" t="s">
        <v>46</v>
      </c>
      <c r="X312" s="11" t="s">
        <v>97</v>
      </c>
      <c r="Y312" s="11" t="s">
        <v>97</v>
      </c>
      <c r="Z312" s="11">
        <v>81986747671</v>
      </c>
      <c r="AA312" s="11" t="s">
        <v>91</v>
      </c>
      <c r="AB312" s="11" t="s">
        <v>49</v>
      </c>
      <c r="AC312" s="11" t="s">
        <v>92</v>
      </c>
      <c r="AD312" s="11" t="b">
        <v>1</v>
      </c>
      <c r="AE312" s="11" t="s">
        <v>137</v>
      </c>
      <c r="AF312" s="11" t="s">
        <v>1195</v>
      </c>
      <c r="AG312" s="11" t="s">
        <v>1196</v>
      </c>
      <c r="AH312" s="75" t="s">
        <v>1197</v>
      </c>
      <c r="AI312" s="11"/>
    </row>
    <row r="313" ht="12.5" spans="1:35">
      <c r="A313" s="177">
        <v>45117.5104513889</v>
      </c>
      <c r="B313" s="11" t="s">
        <v>1177</v>
      </c>
      <c r="C313" s="19">
        <v>11275270450</v>
      </c>
      <c r="D313" s="19">
        <v>704105229464050</v>
      </c>
      <c r="E313" s="18" t="s">
        <v>1178</v>
      </c>
      <c r="F313" s="11" t="s">
        <v>40</v>
      </c>
      <c r="G313" s="11" t="s">
        <v>54</v>
      </c>
      <c r="H313" s="24">
        <v>35731</v>
      </c>
      <c r="I313" s="277" t="s">
        <v>1179</v>
      </c>
      <c r="J313" s="11" t="s">
        <v>42</v>
      </c>
      <c r="K313" s="108" t="s">
        <v>282</v>
      </c>
      <c r="N313" s="11" t="s">
        <v>43</v>
      </c>
      <c r="O313" s="11" t="s">
        <v>44</v>
      </c>
      <c r="P313" s="11" t="s">
        <v>56</v>
      </c>
      <c r="Q313" s="11" t="s">
        <v>44</v>
      </c>
      <c r="R313" s="11" t="s">
        <v>45</v>
      </c>
      <c r="S313" s="11" t="s">
        <v>83</v>
      </c>
      <c r="T313" s="11" t="s">
        <v>44</v>
      </c>
      <c r="U313" s="11" t="s">
        <v>44</v>
      </c>
      <c r="W313" s="11" t="s">
        <v>46</v>
      </c>
      <c r="X313" s="11" t="s">
        <v>47</v>
      </c>
      <c r="Y313" s="11" t="s">
        <v>58</v>
      </c>
      <c r="Z313" s="11">
        <v>81986747671</v>
      </c>
      <c r="AA313" s="11" t="s">
        <v>91</v>
      </c>
      <c r="AB313" s="11"/>
      <c r="AC313" s="11"/>
      <c r="AD313" s="11" t="b">
        <v>0</v>
      </c>
      <c r="AF313" s="11"/>
      <c r="AG313" s="11"/>
      <c r="AH313" s="227" t="s">
        <v>1198</v>
      </c>
      <c r="AI313" s="11"/>
    </row>
    <row r="314" ht="12.5" spans="1:35">
      <c r="A314" s="177">
        <v>45118.6325955093</v>
      </c>
      <c r="B314" s="11" t="s">
        <v>1199</v>
      </c>
      <c r="C314" s="19">
        <v>10316599433</v>
      </c>
      <c r="D314" s="19">
        <v>709206255090333</v>
      </c>
      <c r="E314" s="18" t="s">
        <v>1200</v>
      </c>
      <c r="F314" s="11" t="s">
        <v>217</v>
      </c>
      <c r="G314" s="11" t="s">
        <v>41</v>
      </c>
      <c r="H314" s="24">
        <v>34351</v>
      </c>
      <c r="I314" s="277" t="s">
        <v>540</v>
      </c>
      <c r="J314" s="11" t="s">
        <v>42</v>
      </c>
      <c r="K314" s="108" t="s">
        <v>155</v>
      </c>
      <c r="N314" s="11" t="s">
        <v>43</v>
      </c>
      <c r="O314" s="11" t="s">
        <v>65</v>
      </c>
      <c r="P314" s="11" t="s">
        <v>66</v>
      </c>
      <c r="Q314" s="11" t="s">
        <v>44</v>
      </c>
      <c r="R314" s="11" t="s">
        <v>45</v>
      </c>
      <c r="S314" s="11" t="s">
        <v>44</v>
      </c>
      <c r="T314" s="11" t="s">
        <v>44</v>
      </c>
      <c r="U314" s="11" t="s">
        <v>45</v>
      </c>
      <c r="V314" s="24">
        <v>45119</v>
      </c>
      <c r="W314" s="11" t="s">
        <v>46</v>
      </c>
      <c r="X314" s="11" t="s">
        <v>47</v>
      </c>
      <c r="Y314" s="11" t="s">
        <v>58</v>
      </c>
      <c r="Z314" s="11">
        <v>81997643142</v>
      </c>
      <c r="AA314" s="11" t="s">
        <v>105</v>
      </c>
      <c r="AB314" s="11" t="s">
        <v>49</v>
      </c>
      <c r="AC314" s="11" t="s">
        <v>50</v>
      </c>
      <c r="AD314" s="11" t="b">
        <v>0</v>
      </c>
      <c r="AF314" s="11" t="s">
        <v>1201</v>
      </c>
      <c r="AG314" s="11"/>
      <c r="AH314" s="40" t="s">
        <v>1202</v>
      </c>
      <c r="AI314" s="11"/>
    </row>
    <row r="315" ht="12.5" spans="1:35">
      <c r="A315" s="177">
        <v>45118.662851794</v>
      </c>
      <c r="B315" s="11" t="s">
        <v>1182</v>
      </c>
      <c r="C315" s="19">
        <v>70833388410</v>
      </c>
      <c r="D315" s="19">
        <v>702805692567664</v>
      </c>
      <c r="E315" s="18" t="s">
        <v>1203</v>
      </c>
      <c r="F315" s="11" t="s">
        <v>40</v>
      </c>
      <c r="G315" s="11" t="s">
        <v>54</v>
      </c>
      <c r="H315" s="24">
        <v>36363</v>
      </c>
      <c r="I315" s="277" t="s">
        <v>1184</v>
      </c>
      <c r="J315" s="11" t="s">
        <v>42</v>
      </c>
      <c r="K315" s="108" t="s">
        <v>202</v>
      </c>
      <c r="N315" s="11" t="s">
        <v>95</v>
      </c>
      <c r="O315" s="11" t="s">
        <v>44</v>
      </c>
      <c r="P315" s="11" t="s">
        <v>44</v>
      </c>
      <c r="Q315" s="11" t="s">
        <v>44</v>
      </c>
      <c r="R315" s="11" t="s">
        <v>45</v>
      </c>
      <c r="S315" s="11" t="s">
        <v>45</v>
      </c>
      <c r="T315" s="11" t="s">
        <v>44</v>
      </c>
      <c r="U315" s="11" t="s">
        <v>44</v>
      </c>
      <c r="W315" s="11" t="s">
        <v>46</v>
      </c>
      <c r="X315" s="11" t="s">
        <v>97</v>
      </c>
      <c r="Y315" s="11" t="s">
        <v>97</v>
      </c>
      <c r="Z315" s="11">
        <v>81984526517</v>
      </c>
      <c r="AA315" s="11" t="s">
        <v>91</v>
      </c>
      <c r="AB315" s="11"/>
      <c r="AC315" s="11"/>
      <c r="AD315" s="11" t="b">
        <v>0</v>
      </c>
      <c r="AF315" s="11"/>
      <c r="AG315" s="11"/>
      <c r="AH315" s="11"/>
      <c r="AI315" s="11"/>
    </row>
    <row r="316" ht="12.5" spans="1:35">
      <c r="A316" s="177">
        <v>45118.6652232407</v>
      </c>
      <c r="B316" s="11" t="s">
        <v>1188</v>
      </c>
      <c r="C316" s="19">
        <v>11152651480</v>
      </c>
      <c r="D316" s="19">
        <v>708704199993898</v>
      </c>
      <c r="E316" s="18" t="s">
        <v>1204</v>
      </c>
      <c r="F316" s="11" t="s">
        <v>40</v>
      </c>
      <c r="G316" s="11" t="s">
        <v>54</v>
      </c>
      <c r="H316" s="24">
        <v>31099</v>
      </c>
      <c r="I316" s="277" t="s">
        <v>1205</v>
      </c>
      <c r="J316" s="11" t="s">
        <v>42</v>
      </c>
      <c r="K316" s="108" t="s">
        <v>1190</v>
      </c>
      <c r="N316" s="11" t="s">
        <v>95</v>
      </c>
      <c r="O316" s="11" t="s">
        <v>44</v>
      </c>
      <c r="P316" s="11" t="s">
        <v>44</v>
      </c>
      <c r="Q316" s="11" t="s">
        <v>44</v>
      </c>
      <c r="R316" s="11" t="s">
        <v>45</v>
      </c>
      <c r="S316" s="11" t="s">
        <v>45</v>
      </c>
      <c r="T316" s="11" t="s">
        <v>44</v>
      </c>
      <c r="U316" s="11" t="s">
        <v>44</v>
      </c>
      <c r="W316" s="11" t="s">
        <v>57</v>
      </c>
      <c r="X316" s="11" t="s">
        <v>97</v>
      </c>
      <c r="Y316" s="11" t="s">
        <v>97</v>
      </c>
      <c r="Z316" s="11">
        <v>81983709670</v>
      </c>
      <c r="AA316" s="11" t="s">
        <v>105</v>
      </c>
      <c r="AB316" s="11"/>
      <c r="AC316" s="11"/>
      <c r="AD316" s="11" t="b">
        <v>0</v>
      </c>
      <c r="AF316" s="11"/>
      <c r="AG316" s="11"/>
      <c r="AH316" s="11"/>
      <c r="AI316" s="11"/>
    </row>
    <row r="317" ht="12.5" spans="1:35">
      <c r="A317" s="177">
        <v>45118.7333965741</v>
      </c>
      <c r="B317" s="11" t="s">
        <v>1206</v>
      </c>
      <c r="C317" s="277" t="s">
        <v>1207</v>
      </c>
      <c r="D317" s="19">
        <v>702808151424560</v>
      </c>
      <c r="E317" s="18" t="s">
        <v>1208</v>
      </c>
      <c r="F317" s="11" t="s">
        <v>40</v>
      </c>
      <c r="G317" s="11" t="s">
        <v>54</v>
      </c>
      <c r="H317" s="24">
        <v>33959</v>
      </c>
      <c r="I317" s="277" t="s">
        <v>1209</v>
      </c>
      <c r="J317" s="11" t="s">
        <v>42</v>
      </c>
      <c r="K317" s="108" t="s">
        <v>63</v>
      </c>
      <c r="N317" s="11" t="s">
        <v>43</v>
      </c>
      <c r="O317" s="11" t="s">
        <v>44</v>
      </c>
      <c r="P317" s="11" t="s">
        <v>44</v>
      </c>
      <c r="Q317" s="11" t="s">
        <v>44</v>
      </c>
      <c r="R317" s="11" t="s">
        <v>45</v>
      </c>
      <c r="S317" s="11" t="s">
        <v>44</v>
      </c>
      <c r="T317" s="11" t="s">
        <v>44</v>
      </c>
      <c r="U317" s="11" t="s">
        <v>44</v>
      </c>
      <c r="W317" s="11" t="s">
        <v>46</v>
      </c>
      <c r="X317" s="11" t="s">
        <v>47</v>
      </c>
      <c r="Y317" s="11" t="s">
        <v>185</v>
      </c>
      <c r="Z317" s="11">
        <v>81997613230</v>
      </c>
      <c r="AA317" s="11" t="s">
        <v>105</v>
      </c>
      <c r="AB317" s="11"/>
      <c r="AC317" s="11"/>
      <c r="AD317" s="11" t="b">
        <v>0</v>
      </c>
      <c r="AF317" s="11"/>
      <c r="AG317" s="11"/>
      <c r="AH317" s="11"/>
      <c r="AI317" s="11"/>
    </row>
    <row r="318" ht="12.5" spans="1:35">
      <c r="A318" s="177">
        <v>45118.7411330208</v>
      </c>
      <c r="B318" s="11" t="s">
        <v>575</v>
      </c>
      <c r="C318" s="277" t="s">
        <v>576</v>
      </c>
      <c r="D318" s="19">
        <v>706809221854422</v>
      </c>
      <c r="E318" s="18" t="s">
        <v>1210</v>
      </c>
      <c r="F318" s="11" t="s">
        <v>40</v>
      </c>
      <c r="G318" s="11" t="s">
        <v>54</v>
      </c>
      <c r="H318" s="24">
        <v>32994</v>
      </c>
      <c r="I318" s="277" t="s">
        <v>620</v>
      </c>
      <c r="J318" s="11" t="s">
        <v>42</v>
      </c>
      <c r="K318" s="108" t="s">
        <v>63</v>
      </c>
      <c r="N318" s="11" t="s">
        <v>43</v>
      </c>
      <c r="O318" s="11" t="s">
        <v>96</v>
      </c>
      <c r="P318" s="11" t="s">
        <v>66</v>
      </c>
      <c r="Q318" s="11" t="s">
        <v>44</v>
      </c>
      <c r="R318" s="11" t="s">
        <v>45</v>
      </c>
      <c r="S318" s="11" t="s">
        <v>45</v>
      </c>
      <c r="T318" s="11" t="s">
        <v>44</v>
      </c>
      <c r="U318" s="11" t="s">
        <v>45</v>
      </c>
      <c r="V318" s="24">
        <v>45119</v>
      </c>
      <c r="W318" s="11" t="s">
        <v>46</v>
      </c>
      <c r="X318" s="11" t="s">
        <v>47</v>
      </c>
      <c r="Y318" s="11" t="s">
        <v>58</v>
      </c>
      <c r="Z318" s="11">
        <v>81984049541</v>
      </c>
      <c r="AA318" s="11" t="s">
        <v>91</v>
      </c>
      <c r="AB318" s="11" t="s">
        <v>49</v>
      </c>
      <c r="AC318" s="11" t="s">
        <v>92</v>
      </c>
      <c r="AD318" s="11" t="b">
        <v>1</v>
      </c>
      <c r="AE318" s="11" t="s">
        <v>137</v>
      </c>
      <c r="AF318" s="11" t="s">
        <v>1211</v>
      </c>
      <c r="AG318" s="11"/>
      <c r="AH318" s="228" t="s">
        <v>1212</v>
      </c>
      <c r="AI318" s="11"/>
    </row>
    <row r="319" ht="12.5" spans="1:35">
      <c r="A319" s="177">
        <v>45119.4724097222</v>
      </c>
      <c r="B319" s="11" t="s">
        <v>1213</v>
      </c>
      <c r="C319" s="19">
        <v>11004310471</v>
      </c>
      <c r="D319" s="19">
        <v>706808763613626</v>
      </c>
      <c r="E319" s="18" t="s">
        <v>1214</v>
      </c>
      <c r="F319" s="11" t="s">
        <v>40</v>
      </c>
      <c r="G319" s="11" t="s">
        <v>54</v>
      </c>
      <c r="H319" s="24">
        <v>35377</v>
      </c>
      <c r="I319" s="19" t="s">
        <v>136</v>
      </c>
      <c r="J319" s="11" t="s">
        <v>42</v>
      </c>
      <c r="K319" s="108" t="s">
        <v>202</v>
      </c>
      <c r="N319" s="11" t="s">
        <v>43</v>
      </c>
      <c r="O319" s="11" t="s">
        <v>96</v>
      </c>
      <c r="P319" s="11" t="s">
        <v>56</v>
      </c>
      <c r="Q319" s="11" t="s">
        <v>44</v>
      </c>
      <c r="R319" s="11" t="s">
        <v>45</v>
      </c>
      <c r="S319" s="11" t="s">
        <v>44</v>
      </c>
      <c r="T319" s="11" t="s">
        <v>44</v>
      </c>
      <c r="U319" s="11" t="s">
        <v>45</v>
      </c>
      <c r="V319" s="24">
        <v>45121</v>
      </c>
      <c r="W319" s="11" t="s">
        <v>46</v>
      </c>
      <c r="X319" s="11" t="s">
        <v>47</v>
      </c>
      <c r="Y319" s="11" t="s">
        <v>48</v>
      </c>
      <c r="Z319" s="11">
        <v>81985969925</v>
      </c>
      <c r="AA319" s="11" t="s">
        <v>91</v>
      </c>
      <c r="AB319" s="11" t="s">
        <v>98</v>
      </c>
      <c r="AC319" s="11"/>
      <c r="AD319" s="11" t="b">
        <v>0</v>
      </c>
      <c r="AF319" s="11" t="s">
        <v>1215</v>
      </c>
      <c r="AG319" s="11" t="s">
        <v>1216</v>
      </c>
      <c r="AH319" s="11"/>
      <c r="AI319" s="11"/>
    </row>
    <row r="320" ht="15.5" spans="1:35">
      <c r="A320" s="177">
        <v>45119.5169820139</v>
      </c>
      <c r="B320" s="11" t="s">
        <v>1004</v>
      </c>
      <c r="C320" s="19">
        <v>14500412484</v>
      </c>
      <c r="D320" s="19">
        <v>898005174693865</v>
      </c>
      <c r="E320" s="18" t="s">
        <v>1217</v>
      </c>
      <c r="F320" s="11" t="s">
        <v>40</v>
      </c>
      <c r="G320" s="11" t="s">
        <v>41</v>
      </c>
      <c r="H320" s="24">
        <v>37179</v>
      </c>
      <c r="I320" s="277" t="s">
        <v>1006</v>
      </c>
      <c r="J320" s="11" t="s">
        <v>42</v>
      </c>
      <c r="K320" s="108" t="s">
        <v>74</v>
      </c>
      <c r="N320" s="11" t="s">
        <v>43</v>
      </c>
      <c r="O320" s="11" t="s">
        <v>96</v>
      </c>
      <c r="P320" s="11" t="s">
        <v>56</v>
      </c>
      <c r="Q320" s="11" t="s">
        <v>44</v>
      </c>
      <c r="R320" s="11" t="s">
        <v>44</v>
      </c>
      <c r="S320" s="11" t="s">
        <v>45</v>
      </c>
      <c r="T320" s="11" t="s">
        <v>44</v>
      </c>
      <c r="U320" s="11" t="s">
        <v>45</v>
      </c>
      <c r="V320" s="24">
        <v>45120</v>
      </c>
      <c r="W320" s="11" t="s">
        <v>46</v>
      </c>
      <c r="X320" s="11" t="s">
        <v>47</v>
      </c>
      <c r="Y320" s="11" t="s">
        <v>58</v>
      </c>
      <c r="Z320" s="223">
        <v>81991067896</v>
      </c>
      <c r="AA320" s="11" t="s">
        <v>115</v>
      </c>
      <c r="AB320" s="11" t="s">
        <v>49</v>
      </c>
      <c r="AC320" s="11" t="s">
        <v>50</v>
      </c>
      <c r="AD320" s="11" t="b">
        <v>1</v>
      </c>
      <c r="AE320" s="11" t="s">
        <v>137</v>
      </c>
      <c r="AF320" s="11" t="s">
        <v>1218</v>
      </c>
      <c r="AG320" s="11"/>
      <c r="AH320" s="11"/>
      <c r="AI320" s="11"/>
    </row>
    <row r="321" ht="12.5" spans="1:35">
      <c r="A321" s="177">
        <v>45119.6173251273</v>
      </c>
      <c r="B321" s="11" t="s">
        <v>1199</v>
      </c>
      <c r="C321" s="19">
        <v>10316599433</v>
      </c>
      <c r="D321" s="19">
        <v>709206255090333</v>
      </c>
      <c r="F321" s="11" t="s">
        <v>217</v>
      </c>
      <c r="G321" s="11" t="s">
        <v>41</v>
      </c>
      <c r="H321" s="24">
        <v>34351</v>
      </c>
      <c r="I321" s="277" t="s">
        <v>540</v>
      </c>
      <c r="J321" s="11" t="s">
        <v>42</v>
      </c>
      <c r="K321" s="108" t="s">
        <v>155</v>
      </c>
      <c r="N321" s="11" t="s">
        <v>95</v>
      </c>
      <c r="O321" s="11" t="s">
        <v>44</v>
      </c>
      <c r="P321" s="11" t="s">
        <v>44</v>
      </c>
      <c r="Q321" s="11" t="s">
        <v>45</v>
      </c>
      <c r="R321" s="11" t="s">
        <v>45</v>
      </c>
      <c r="S321" s="11" t="s">
        <v>45</v>
      </c>
      <c r="T321" s="11" t="s">
        <v>44</v>
      </c>
      <c r="U321" s="11" t="s">
        <v>44</v>
      </c>
      <c r="W321" s="11" t="s">
        <v>57</v>
      </c>
      <c r="X321" s="11" t="s">
        <v>97</v>
      </c>
      <c r="Y321" s="11" t="s">
        <v>97</v>
      </c>
      <c r="Z321" s="11">
        <v>81997643142</v>
      </c>
      <c r="AA321" s="11" t="s">
        <v>115</v>
      </c>
      <c r="AB321" s="11"/>
      <c r="AC321" s="11"/>
      <c r="AD321" s="11" t="b">
        <v>0</v>
      </c>
      <c r="AF321" s="11"/>
      <c r="AG321" s="11"/>
      <c r="AH321" s="11"/>
      <c r="AI321" s="11"/>
    </row>
    <row r="322" ht="12.5" spans="1:35">
      <c r="A322" s="177">
        <v>45119.6373877778</v>
      </c>
      <c r="B322" s="11" t="s">
        <v>575</v>
      </c>
      <c r="C322" s="277" t="s">
        <v>576</v>
      </c>
      <c r="D322" s="19">
        <v>706809221854422</v>
      </c>
      <c r="E322" s="18" t="s">
        <v>1219</v>
      </c>
      <c r="F322" s="11" t="s">
        <v>40</v>
      </c>
      <c r="G322" s="11" t="s">
        <v>54</v>
      </c>
      <c r="H322" s="24">
        <v>32994</v>
      </c>
      <c r="I322" s="277" t="s">
        <v>261</v>
      </c>
      <c r="J322" s="11" t="s">
        <v>42</v>
      </c>
      <c r="K322" s="108" t="s">
        <v>63</v>
      </c>
      <c r="N322" s="11" t="s">
        <v>95</v>
      </c>
      <c r="O322" s="11" t="s">
        <v>96</v>
      </c>
      <c r="P322" s="11" t="s">
        <v>56</v>
      </c>
      <c r="Q322" s="11" t="s">
        <v>44</v>
      </c>
      <c r="R322" s="11" t="s">
        <v>45</v>
      </c>
      <c r="S322" s="11" t="s">
        <v>45</v>
      </c>
      <c r="T322" s="11" t="s">
        <v>44</v>
      </c>
      <c r="U322" s="11" t="s">
        <v>45</v>
      </c>
      <c r="V322" s="24">
        <v>45120</v>
      </c>
      <c r="W322" s="11" t="s">
        <v>46</v>
      </c>
      <c r="X322" s="11" t="s">
        <v>97</v>
      </c>
      <c r="Y322" s="11" t="s">
        <v>97</v>
      </c>
      <c r="Z322" s="11">
        <v>81984049541</v>
      </c>
      <c r="AA322" s="11" t="s">
        <v>91</v>
      </c>
      <c r="AB322" s="11" t="s">
        <v>98</v>
      </c>
      <c r="AC322" s="11"/>
      <c r="AD322" s="11" t="b">
        <v>0</v>
      </c>
      <c r="AF322" s="11" t="s">
        <v>1220</v>
      </c>
      <c r="AG322" s="11"/>
      <c r="AH322" s="11" t="s">
        <v>1221</v>
      </c>
      <c r="AI322" s="11"/>
    </row>
    <row r="323" ht="12.5" spans="1:35">
      <c r="A323" s="177">
        <v>45119.7500305903</v>
      </c>
      <c r="B323" s="11" t="s">
        <v>1165</v>
      </c>
      <c r="C323" s="19">
        <v>70642278431</v>
      </c>
      <c r="D323" s="19">
        <v>705006843837757</v>
      </c>
      <c r="F323" s="11" t="s">
        <v>40</v>
      </c>
      <c r="G323" s="11" t="s">
        <v>41</v>
      </c>
      <c r="H323" s="24">
        <v>36309</v>
      </c>
      <c r="I323" s="19" t="s">
        <v>865</v>
      </c>
      <c r="J323" s="11" t="s">
        <v>42</v>
      </c>
      <c r="K323" s="108" t="s">
        <v>1222</v>
      </c>
      <c r="N323" s="11" t="s">
        <v>95</v>
      </c>
      <c r="O323" s="11" t="s">
        <v>44</v>
      </c>
      <c r="P323" s="11" t="s">
        <v>56</v>
      </c>
      <c r="Q323" s="11" t="s">
        <v>44</v>
      </c>
      <c r="R323" s="11" t="s">
        <v>45</v>
      </c>
      <c r="S323" s="11" t="s">
        <v>44</v>
      </c>
      <c r="T323" s="11" t="s">
        <v>44</v>
      </c>
      <c r="U323" s="11" t="s">
        <v>45</v>
      </c>
      <c r="V323" s="24">
        <v>45121</v>
      </c>
      <c r="W323" s="11" t="s">
        <v>57</v>
      </c>
      <c r="X323" s="11" t="s">
        <v>97</v>
      </c>
      <c r="Y323" s="11" t="s">
        <v>97</v>
      </c>
      <c r="Z323" s="11">
        <v>81988866907</v>
      </c>
      <c r="AA323" s="11" t="s">
        <v>115</v>
      </c>
      <c r="AB323" s="11" t="s">
        <v>49</v>
      </c>
      <c r="AC323" s="11" t="s">
        <v>256</v>
      </c>
      <c r="AD323" s="11" t="b">
        <v>1</v>
      </c>
      <c r="AE323" s="231" t="s">
        <v>137</v>
      </c>
      <c r="AF323" s="11" t="s">
        <v>1223</v>
      </c>
      <c r="AG323" s="11"/>
      <c r="AH323" s="11"/>
      <c r="AI323" s="11"/>
    </row>
    <row r="324" ht="12.5" spans="1:35">
      <c r="A324" s="177">
        <v>45120.3399570833</v>
      </c>
      <c r="B324" s="11" t="s">
        <v>1224</v>
      </c>
      <c r="C324" s="277" t="s">
        <v>1225</v>
      </c>
      <c r="D324" s="19">
        <v>704207569648590</v>
      </c>
      <c r="E324" s="18" t="s">
        <v>1226</v>
      </c>
      <c r="F324" s="11" t="s">
        <v>40</v>
      </c>
      <c r="G324" s="11" t="s">
        <v>88</v>
      </c>
      <c r="H324" s="24">
        <v>35426</v>
      </c>
      <c r="I324" s="277" t="s">
        <v>1227</v>
      </c>
      <c r="J324" s="11" t="s">
        <v>42</v>
      </c>
      <c r="K324" s="108" t="s">
        <v>74</v>
      </c>
      <c r="N324" s="11" t="s">
        <v>43</v>
      </c>
      <c r="O324" s="11" t="s">
        <v>44</v>
      </c>
      <c r="P324" s="11" t="s">
        <v>44</v>
      </c>
      <c r="Q324" s="11" t="s">
        <v>44</v>
      </c>
      <c r="R324" s="11" t="s">
        <v>45</v>
      </c>
      <c r="S324" s="11" t="s">
        <v>45</v>
      </c>
      <c r="T324" s="11" t="s">
        <v>44</v>
      </c>
      <c r="U324" s="11" t="s">
        <v>45</v>
      </c>
      <c r="V324" s="24">
        <v>45120</v>
      </c>
      <c r="W324" s="11" t="s">
        <v>46</v>
      </c>
      <c r="X324" s="11" t="s">
        <v>67</v>
      </c>
      <c r="Y324" s="11" t="s">
        <v>58</v>
      </c>
      <c r="Z324" s="11">
        <v>81997532155</v>
      </c>
      <c r="AA324" s="11" t="s">
        <v>115</v>
      </c>
      <c r="AB324" s="11" t="s">
        <v>49</v>
      </c>
      <c r="AC324" s="11" t="s">
        <v>75</v>
      </c>
      <c r="AD324" s="11" t="b">
        <v>1</v>
      </c>
      <c r="AE324" s="11" t="s">
        <v>137</v>
      </c>
      <c r="AF324" s="11" t="s">
        <v>1228</v>
      </c>
      <c r="AG324" s="11"/>
      <c r="AH324" s="11"/>
      <c r="AI324" s="11"/>
    </row>
    <row r="325" ht="12.5" spans="1:35">
      <c r="A325" s="177">
        <v>45120.3729342014</v>
      </c>
      <c r="B325" s="11" t="s">
        <v>1229</v>
      </c>
      <c r="C325" s="277" t="s">
        <v>1230</v>
      </c>
      <c r="D325" s="19">
        <v>700009756810909</v>
      </c>
      <c r="E325" s="18" t="s">
        <v>1231</v>
      </c>
      <c r="F325" s="11" t="s">
        <v>40</v>
      </c>
      <c r="G325" s="11" t="s">
        <v>54</v>
      </c>
      <c r="H325" s="24">
        <v>32128</v>
      </c>
      <c r="I325" s="277" t="s">
        <v>1232</v>
      </c>
      <c r="J325" s="11" t="s">
        <v>42</v>
      </c>
      <c r="K325" s="108" t="s">
        <v>202</v>
      </c>
      <c r="N325" s="11" t="s">
        <v>43</v>
      </c>
      <c r="O325" s="11" t="s">
        <v>44</v>
      </c>
      <c r="P325" s="11" t="s">
        <v>44</v>
      </c>
      <c r="Q325" s="11" t="s">
        <v>44</v>
      </c>
      <c r="R325" s="11" t="s">
        <v>45</v>
      </c>
      <c r="S325" s="11" t="s">
        <v>45</v>
      </c>
      <c r="T325" s="11" t="s">
        <v>44</v>
      </c>
      <c r="U325" s="229" t="s">
        <v>44</v>
      </c>
      <c r="W325" s="11" t="s">
        <v>57</v>
      </c>
      <c r="X325" s="11" t="s">
        <v>67</v>
      </c>
      <c r="Y325" s="11" t="s">
        <v>58</v>
      </c>
      <c r="Z325" s="11">
        <v>81997557343</v>
      </c>
      <c r="AA325" s="11" t="s">
        <v>115</v>
      </c>
      <c r="AB325" s="11"/>
      <c r="AC325" s="11"/>
      <c r="AD325" s="11" t="b">
        <v>0</v>
      </c>
      <c r="AF325" s="11"/>
      <c r="AG325" s="11"/>
      <c r="AH325" s="11"/>
      <c r="AI325" s="11"/>
    </row>
    <row r="326" ht="12.5" spans="1:35">
      <c r="A326" s="177">
        <v>45120.4555728472</v>
      </c>
      <c r="B326" s="11" t="s">
        <v>1224</v>
      </c>
      <c r="C326" s="277" t="s">
        <v>1225</v>
      </c>
      <c r="D326" s="19">
        <v>704207569648590</v>
      </c>
      <c r="E326" s="18" t="s">
        <v>1233</v>
      </c>
      <c r="F326" s="11" t="s">
        <v>40</v>
      </c>
      <c r="G326" s="11" t="s">
        <v>88</v>
      </c>
      <c r="H326" s="24">
        <v>44924</v>
      </c>
      <c r="I326" s="277" t="s">
        <v>1227</v>
      </c>
      <c r="J326" s="11" t="s">
        <v>42</v>
      </c>
      <c r="K326" s="108" t="s">
        <v>74</v>
      </c>
      <c r="N326" s="11" t="s">
        <v>95</v>
      </c>
      <c r="O326" s="11" t="s">
        <v>44</v>
      </c>
      <c r="P326" s="11" t="s">
        <v>44</v>
      </c>
      <c r="Q326" s="11" t="s">
        <v>45</v>
      </c>
      <c r="R326" s="11" t="s">
        <v>45</v>
      </c>
      <c r="S326" s="11" t="s">
        <v>45</v>
      </c>
      <c r="T326" s="11" t="s">
        <v>44</v>
      </c>
      <c r="U326" s="11" t="s">
        <v>45</v>
      </c>
      <c r="V326" s="24">
        <v>45124</v>
      </c>
      <c r="W326" s="11" t="s">
        <v>46</v>
      </c>
      <c r="X326" s="11" t="s">
        <v>97</v>
      </c>
      <c r="Y326" s="11" t="s">
        <v>97</v>
      </c>
      <c r="Z326" s="11">
        <v>81997532155</v>
      </c>
      <c r="AA326" s="11" t="s">
        <v>113</v>
      </c>
      <c r="AB326" s="11" t="s">
        <v>98</v>
      </c>
      <c r="AC326" s="11"/>
      <c r="AD326" s="11" t="b">
        <v>0</v>
      </c>
      <c r="AF326" s="11" t="s">
        <v>1234</v>
      </c>
      <c r="AG326" s="11" t="s">
        <v>1235</v>
      </c>
      <c r="AH326" s="11"/>
      <c r="AI326" s="11"/>
    </row>
    <row r="327" ht="12.5" spans="1:35">
      <c r="A327" s="177">
        <v>45120.5107864699</v>
      </c>
      <c r="B327" s="11" t="s">
        <v>1004</v>
      </c>
      <c r="C327" s="19">
        <v>14500412484</v>
      </c>
      <c r="D327" s="19">
        <v>898005174693865</v>
      </c>
      <c r="E327" s="18" t="s">
        <v>1236</v>
      </c>
      <c r="F327" s="11" t="s">
        <v>40</v>
      </c>
      <c r="G327" s="11" t="s">
        <v>41</v>
      </c>
      <c r="H327" s="24">
        <v>37179</v>
      </c>
      <c r="I327" s="277" t="s">
        <v>1006</v>
      </c>
      <c r="J327" s="11" t="s">
        <v>42</v>
      </c>
      <c r="K327" s="108" t="s">
        <v>74</v>
      </c>
      <c r="N327" s="11" t="s">
        <v>95</v>
      </c>
      <c r="O327" s="11" t="s">
        <v>96</v>
      </c>
      <c r="P327" s="11" t="s">
        <v>66</v>
      </c>
      <c r="Q327" s="11" t="s">
        <v>44</v>
      </c>
      <c r="R327" s="11" t="s">
        <v>44</v>
      </c>
      <c r="S327" s="11" t="s">
        <v>45</v>
      </c>
      <c r="T327" s="11" t="s">
        <v>44</v>
      </c>
      <c r="U327" s="11" t="s">
        <v>45</v>
      </c>
      <c r="V327" s="24">
        <v>45122</v>
      </c>
      <c r="W327" s="11" t="s">
        <v>46</v>
      </c>
      <c r="X327" s="11" t="s">
        <v>97</v>
      </c>
      <c r="Y327" s="11" t="s">
        <v>97</v>
      </c>
      <c r="Z327" s="11">
        <v>81991067896</v>
      </c>
      <c r="AA327" s="11" t="s">
        <v>115</v>
      </c>
      <c r="AB327" s="11" t="s">
        <v>98</v>
      </c>
      <c r="AC327" s="11"/>
      <c r="AD327" s="11" t="b">
        <v>0</v>
      </c>
      <c r="AF327" s="11" t="s">
        <v>1237</v>
      </c>
      <c r="AG327" s="11"/>
      <c r="AH327" s="11"/>
      <c r="AI327" s="11"/>
    </row>
    <row r="328" ht="12.5" spans="1:35">
      <c r="A328" s="177">
        <v>45120.5312560764</v>
      </c>
      <c r="B328" s="11" t="s">
        <v>1177</v>
      </c>
      <c r="C328" s="221">
        <v>11275270450</v>
      </c>
      <c r="D328" s="19">
        <v>704105229464050</v>
      </c>
      <c r="E328" s="18" t="s">
        <v>1238</v>
      </c>
      <c r="F328" s="11" t="s">
        <v>40</v>
      </c>
      <c r="G328" s="11" t="s">
        <v>54</v>
      </c>
      <c r="H328" s="24">
        <v>35731</v>
      </c>
      <c r="I328" s="277" t="s">
        <v>281</v>
      </c>
      <c r="J328" s="11" t="s">
        <v>42</v>
      </c>
      <c r="K328" s="108" t="s">
        <v>282</v>
      </c>
      <c r="N328" s="11" t="s">
        <v>95</v>
      </c>
      <c r="O328" s="11" t="s">
        <v>44</v>
      </c>
      <c r="P328" s="11" t="s">
        <v>44</v>
      </c>
      <c r="Q328" s="11" t="s">
        <v>44</v>
      </c>
      <c r="R328" s="11" t="s">
        <v>45</v>
      </c>
      <c r="S328" s="11" t="s">
        <v>83</v>
      </c>
      <c r="T328" s="11" t="s">
        <v>44</v>
      </c>
      <c r="U328" s="136" t="s">
        <v>45</v>
      </c>
      <c r="V328" s="230">
        <v>45128</v>
      </c>
      <c r="W328" s="11" t="s">
        <v>46</v>
      </c>
      <c r="X328" s="11" t="s">
        <v>97</v>
      </c>
      <c r="Y328" s="11" t="s">
        <v>97</v>
      </c>
      <c r="Z328" s="11">
        <v>81986747671</v>
      </c>
      <c r="AA328" s="11" t="s">
        <v>91</v>
      </c>
      <c r="AB328" s="11" t="s">
        <v>98</v>
      </c>
      <c r="AC328" s="11"/>
      <c r="AD328" s="11" t="b">
        <v>0</v>
      </c>
      <c r="AF328" s="11" t="s">
        <v>1239</v>
      </c>
      <c r="AG328" s="11" t="s">
        <v>1240</v>
      </c>
      <c r="AH328" s="11"/>
      <c r="AI328" s="11"/>
    </row>
    <row r="329" ht="12.5" spans="1:35">
      <c r="A329" s="177">
        <v>45120.6114252894</v>
      </c>
      <c r="B329" s="11" t="s">
        <v>1241</v>
      </c>
      <c r="C329" s="19">
        <v>71206260432</v>
      </c>
      <c r="D329" s="19">
        <v>898004112430525</v>
      </c>
      <c r="E329" s="18" t="s">
        <v>1242</v>
      </c>
      <c r="F329" s="11" t="s">
        <v>40</v>
      </c>
      <c r="G329" s="11" t="s">
        <v>54</v>
      </c>
      <c r="H329" s="24">
        <v>36065</v>
      </c>
      <c r="I329" s="277" t="s">
        <v>1209</v>
      </c>
      <c r="J329" s="11" t="s">
        <v>42</v>
      </c>
      <c r="K329" s="108" t="s">
        <v>74</v>
      </c>
      <c r="N329" s="11" t="s">
        <v>43</v>
      </c>
      <c r="O329" s="11" t="s">
        <v>96</v>
      </c>
      <c r="P329" s="11" t="s">
        <v>56</v>
      </c>
      <c r="Q329" s="11" t="s">
        <v>44</v>
      </c>
      <c r="R329" s="11" t="s">
        <v>45</v>
      </c>
      <c r="S329" s="11" t="s">
        <v>44</v>
      </c>
      <c r="T329" s="11" t="s">
        <v>44</v>
      </c>
      <c r="U329" s="11" t="s">
        <v>45</v>
      </c>
      <c r="V329" s="24">
        <v>45122</v>
      </c>
      <c r="W329" s="11" t="s">
        <v>46</v>
      </c>
      <c r="X329" s="11" t="s">
        <v>47</v>
      </c>
      <c r="Y329" s="11" t="s">
        <v>58</v>
      </c>
      <c r="Z329" s="11">
        <v>81986973090</v>
      </c>
      <c r="AA329" s="11" t="s">
        <v>91</v>
      </c>
      <c r="AB329" s="11" t="s">
        <v>98</v>
      </c>
      <c r="AC329" s="11"/>
      <c r="AD329" s="11" t="b">
        <v>0</v>
      </c>
      <c r="AF329" s="11" t="s">
        <v>1243</v>
      </c>
      <c r="AG329" s="11"/>
      <c r="AH329" s="214" t="s">
        <v>1244</v>
      </c>
      <c r="AI329" s="11"/>
    </row>
    <row r="330" ht="12.5" spans="1:35">
      <c r="A330" s="177">
        <v>45120.6740496528</v>
      </c>
      <c r="B330" s="11" t="s">
        <v>1245</v>
      </c>
      <c r="C330" s="19">
        <v>71188041428</v>
      </c>
      <c r="D330" s="19">
        <v>702609237165647</v>
      </c>
      <c r="E330" s="18" t="s">
        <v>1246</v>
      </c>
      <c r="F330" s="11" t="s">
        <v>40</v>
      </c>
      <c r="G330" s="11" t="s">
        <v>88</v>
      </c>
      <c r="H330" s="24">
        <v>37043</v>
      </c>
      <c r="I330" s="277" t="s">
        <v>1247</v>
      </c>
      <c r="J330" s="11" t="s">
        <v>42</v>
      </c>
      <c r="K330" s="108" t="s">
        <v>1248</v>
      </c>
      <c r="N330" s="11" t="s">
        <v>43</v>
      </c>
      <c r="O330" s="11" t="s">
        <v>658</v>
      </c>
      <c r="P330" s="11" t="s">
        <v>44</v>
      </c>
      <c r="Q330" s="11" t="s">
        <v>44</v>
      </c>
      <c r="R330" s="11" t="s">
        <v>45</v>
      </c>
      <c r="S330" s="11" t="s">
        <v>83</v>
      </c>
      <c r="T330" s="11" t="s">
        <v>44</v>
      </c>
      <c r="U330" s="11" t="s">
        <v>45</v>
      </c>
      <c r="V330" s="24">
        <v>45122</v>
      </c>
      <c r="W330" s="11" t="s">
        <v>57</v>
      </c>
      <c r="X330" s="11" t="s">
        <v>47</v>
      </c>
      <c r="Y330" s="11" t="s">
        <v>1169</v>
      </c>
      <c r="Z330" s="11">
        <v>81984460956</v>
      </c>
      <c r="AA330" s="11" t="s">
        <v>113</v>
      </c>
      <c r="AB330" s="11" t="s">
        <v>49</v>
      </c>
      <c r="AC330" s="11" t="s">
        <v>50</v>
      </c>
      <c r="AD330" s="11" t="b">
        <v>0</v>
      </c>
      <c r="AF330" s="11" t="s">
        <v>1249</v>
      </c>
      <c r="AG330" s="11"/>
      <c r="AH330" s="11"/>
      <c r="AI330" s="11"/>
    </row>
    <row r="331" ht="12.5" spans="1:35">
      <c r="A331" s="177">
        <v>45120.7467210648</v>
      </c>
      <c r="B331" s="11" t="s">
        <v>1250</v>
      </c>
      <c r="C331" s="19">
        <v>10258675489</v>
      </c>
      <c r="D331" s="19">
        <v>704706718467333</v>
      </c>
      <c r="E331" s="18" t="s">
        <v>1251</v>
      </c>
      <c r="F331" s="11" t="s">
        <v>40</v>
      </c>
      <c r="G331" s="11" t="s">
        <v>54</v>
      </c>
      <c r="H331" s="24">
        <v>34177</v>
      </c>
      <c r="I331" s="277" t="s">
        <v>309</v>
      </c>
      <c r="J331" s="11" t="s">
        <v>42</v>
      </c>
      <c r="K331" s="108" t="s">
        <v>63</v>
      </c>
      <c r="N331" s="11" t="s">
        <v>43</v>
      </c>
      <c r="O331" s="11" t="s">
        <v>44</v>
      </c>
      <c r="P331" s="11" t="s">
        <v>44</v>
      </c>
      <c r="Q331" s="11" t="s">
        <v>44</v>
      </c>
      <c r="R331" s="11" t="s">
        <v>45</v>
      </c>
      <c r="S331" s="11" t="s">
        <v>45</v>
      </c>
      <c r="T331" s="11" t="s">
        <v>44</v>
      </c>
      <c r="U331" s="11" t="s">
        <v>45</v>
      </c>
      <c r="V331" s="24">
        <v>45121</v>
      </c>
      <c r="W331" s="11" t="s">
        <v>46</v>
      </c>
      <c r="X331" s="11" t="s">
        <v>203</v>
      </c>
      <c r="Y331" s="11" t="s">
        <v>58</v>
      </c>
      <c r="Z331" s="11">
        <v>81986325570</v>
      </c>
      <c r="AA331" s="11" t="s">
        <v>115</v>
      </c>
      <c r="AB331" s="11" t="s">
        <v>49</v>
      </c>
      <c r="AC331" s="11" t="s">
        <v>92</v>
      </c>
      <c r="AD331" s="11" t="b">
        <v>0</v>
      </c>
      <c r="AF331" s="11" t="s">
        <v>1252</v>
      </c>
      <c r="AG331" s="11"/>
      <c r="AH331" s="11"/>
      <c r="AI331" s="11"/>
    </row>
    <row r="332" ht="12.5" spans="1:35">
      <c r="A332" s="177">
        <v>45120.7863132407</v>
      </c>
      <c r="B332" s="11" t="s">
        <v>1253</v>
      </c>
      <c r="C332" s="19">
        <v>11202951490</v>
      </c>
      <c r="D332" s="19">
        <v>702104750775290</v>
      </c>
      <c r="E332" s="18" t="s">
        <v>1254</v>
      </c>
      <c r="F332" s="11" t="s">
        <v>225</v>
      </c>
      <c r="G332" s="11" t="s">
        <v>54</v>
      </c>
      <c r="H332" s="24">
        <v>35694</v>
      </c>
      <c r="I332" s="277" t="s">
        <v>261</v>
      </c>
      <c r="J332" s="11" t="s">
        <v>42</v>
      </c>
      <c r="K332" s="108" t="s">
        <v>1255</v>
      </c>
      <c r="N332" s="11" t="s">
        <v>43</v>
      </c>
      <c r="O332" s="11" t="s">
        <v>44</v>
      </c>
      <c r="P332" s="11" t="s">
        <v>44</v>
      </c>
      <c r="Q332" s="11" t="s">
        <v>44</v>
      </c>
      <c r="R332" s="11" t="s">
        <v>45</v>
      </c>
      <c r="S332" s="11" t="s">
        <v>45</v>
      </c>
      <c r="T332" s="11" t="s">
        <v>44</v>
      </c>
      <c r="U332" s="11" t="s">
        <v>44</v>
      </c>
      <c r="W332" s="11" t="s">
        <v>46</v>
      </c>
      <c r="X332" s="11" t="s">
        <v>203</v>
      </c>
      <c r="Y332" s="11" t="s">
        <v>58</v>
      </c>
      <c r="Z332" s="11">
        <v>81987252750</v>
      </c>
      <c r="AA332" s="11" t="s">
        <v>115</v>
      </c>
      <c r="AB332" s="11"/>
      <c r="AC332" s="11"/>
      <c r="AD332" s="11" t="b">
        <v>0</v>
      </c>
      <c r="AF332" s="11"/>
      <c r="AG332" s="11"/>
      <c r="AH332" s="11"/>
      <c r="AI332" s="11"/>
    </row>
    <row r="333" ht="12.5" spans="1:35">
      <c r="A333" s="177">
        <v>45121.3867727431</v>
      </c>
      <c r="B333" s="11" t="s">
        <v>1250</v>
      </c>
      <c r="C333" s="19">
        <v>10258675489</v>
      </c>
      <c r="D333" s="19">
        <v>704706718467333</v>
      </c>
      <c r="F333" s="11" t="s">
        <v>40</v>
      </c>
      <c r="G333" s="11" t="s">
        <v>54</v>
      </c>
      <c r="H333" s="24">
        <v>35638</v>
      </c>
      <c r="I333" s="277" t="s">
        <v>309</v>
      </c>
      <c r="J333" s="11" t="s">
        <v>42</v>
      </c>
      <c r="K333" s="108" t="s">
        <v>63</v>
      </c>
      <c r="N333" s="11" t="s">
        <v>95</v>
      </c>
      <c r="O333" s="11" t="s">
        <v>44</v>
      </c>
      <c r="P333" s="11" t="s">
        <v>44</v>
      </c>
      <c r="Q333" s="11" t="s">
        <v>44</v>
      </c>
      <c r="R333" s="11" t="s">
        <v>45</v>
      </c>
      <c r="S333" s="11" t="s">
        <v>45</v>
      </c>
      <c r="T333" s="11" t="s">
        <v>44</v>
      </c>
      <c r="U333" s="11" t="s">
        <v>44</v>
      </c>
      <c r="W333" s="11" t="s">
        <v>57</v>
      </c>
      <c r="X333" s="11" t="s">
        <v>97</v>
      </c>
      <c r="Y333" s="11" t="s">
        <v>97</v>
      </c>
      <c r="Z333" s="11">
        <v>81986325570</v>
      </c>
      <c r="AA333" s="11" t="s">
        <v>91</v>
      </c>
      <c r="AB333" s="11"/>
      <c r="AC333" s="11"/>
      <c r="AD333" s="11" t="b">
        <v>0</v>
      </c>
      <c r="AF333" s="11"/>
      <c r="AG333" s="11"/>
      <c r="AH333" s="11"/>
      <c r="AI333" s="11"/>
    </row>
    <row r="334" ht="12.5" spans="1:35">
      <c r="A334" s="177">
        <v>45121.4361521065</v>
      </c>
      <c r="B334" s="11" t="s">
        <v>1165</v>
      </c>
      <c r="C334" s="19">
        <v>70642278431</v>
      </c>
      <c r="D334" s="19">
        <v>705006843837757</v>
      </c>
      <c r="E334" s="18" t="s">
        <v>1256</v>
      </c>
      <c r="F334" s="11" t="s">
        <v>40</v>
      </c>
      <c r="G334" s="11" t="s">
        <v>41</v>
      </c>
      <c r="H334" s="24">
        <v>36309</v>
      </c>
      <c r="I334" s="19" t="s">
        <v>1257</v>
      </c>
      <c r="J334" s="11" t="s">
        <v>42</v>
      </c>
      <c r="K334" s="108" t="s">
        <v>1222</v>
      </c>
      <c r="N334" s="11" t="s">
        <v>95</v>
      </c>
      <c r="O334" s="11" t="s">
        <v>44</v>
      </c>
      <c r="P334" s="11" t="s">
        <v>44</v>
      </c>
      <c r="Q334" s="11" t="s">
        <v>44</v>
      </c>
      <c r="R334" s="11" t="s">
        <v>45</v>
      </c>
      <c r="S334" s="11" t="s">
        <v>45</v>
      </c>
      <c r="T334" s="11" t="s">
        <v>44</v>
      </c>
      <c r="U334" s="11" t="s">
        <v>44</v>
      </c>
      <c r="W334" s="11" t="s">
        <v>46</v>
      </c>
      <c r="X334" s="11" t="s">
        <v>97</v>
      </c>
      <c r="Y334" s="11" t="s">
        <v>97</v>
      </c>
      <c r="Z334" s="11">
        <v>81988866907</v>
      </c>
      <c r="AA334" s="11" t="s">
        <v>273</v>
      </c>
      <c r="AB334" s="11"/>
      <c r="AC334" s="11"/>
      <c r="AD334" s="11" t="b">
        <v>0</v>
      </c>
      <c r="AF334" s="11"/>
      <c r="AG334" s="11"/>
      <c r="AH334" s="11"/>
      <c r="AI334" s="11"/>
    </row>
    <row r="335" ht="12.5" spans="1:35">
      <c r="A335" s="177">
        <v>45121.5206206597</v>
      </c>
      <c r="B335" s="11" t="s">
        <v>1258</v>
      </c>
      <c r="C335" s="277" t="s">
        <v>1259</v>
      </c>
      <c r="D335" s="19">
        <v>701004869342599</v>
      </c>
      <c r="E335" s="18" t="s">
        <v>1260</v>
      </c>
      <c r="F335" s="11" t="s">
        <v>40</v>
      </c>
      <c r="G335" s="11" t="s">
        <v>41</v>
      </c>
      <c r="H335" s="24">
        <v>30947</v>
      </c>
      <c r="I335" s="277" t="s">
        <v>1261</v>
      </c>
      <c r="J335" s="11" t="s">
        <v>42</v>
      </c>
      <c r="K335" s="108" t="s">
        <v>282</v>
      </c>
      <c r="N335" s="11" t="s">
        <v>43</v>
      </c>
      <c r="O335" s="11" t="s">
        <v>96</v>
      </c>
      <c r="P335" s="11" t="s">
        <v>66</v>
      </c>
      <c r="Q335" s="11" t="s">
        <v>44</v>
      </c>
      <c r="R335" s="11" t="s">
        <v>45</v>
      </c>
      <c r="S335" s="11" t="s">
        <v>44</v>
      </c>
      <c r="T335" s="11" t="s">
        <v>44</v>
      </c>
      <c r="U335" s="11" t="s">
        <v>45</v>
      </c>
      <c r="V335" s="24">
        <v>45122</v>
      </c>
      <c r="W335" s="11" t="s">
        <v>46</v>
      </c>
      <c r="X335" s="11" t="s">
        <v>47</v>
      </c>
      <c r="Y335" s="11" t="s">
        <v>58</v>
      </c>
      <c r="Z335" s="11">
        <v>81999881564</v>
      </c>
      <c r="AA335" s="11" t="s">
        <v>273</v>
      </c>
      <c r="AB335" s="11" t="s">
        <v>49</v>
      </c>
      <c r="AC335" s="11" t="s">
        <v>50</v>
      </c>
      <c r="AD335" s="11" t="b">
        <v>0</v>
      </c>
      <c r="AF335" s="228" t="s">
        <v>1262</v>
      </c>
      <c r="AG335" s="11"/>
      <c r="AH335" s="11" t="s">
        <v>1263</v>
      </c>
      <c r="AI335" s="11"/>
    </row>
    <row r="336" ht="12.5" spans="1:35">
      <c r="A336" s="177">
        <v>45121.7351679051</v>
      </c>
      <c r="B336" s="11" t="s">
        <v>1264</v>
      </c>
      <c r="C336" s="277" t="s">
        <v>1265</v>
      </c>
      <c r="D336" s="19">
        <v>702005360528088</v>
      </c>
      <c r="E336" s="18" t="s">
        <v>1266</v>
      </c>
      <c r="F336" s="11" t="s">
        <v>40</v>
      </c>
      <c r="G336" s="11" t="s">
        <v>54</v>
      </c>
      <c r="H336" s="24">
        <v>34442</v>
      </c>
      <c r="I336" s="277" t="s">
        <v>696</v>
      </c>
      <c r="J336" s="11" t="s">
        <v>42</v>
      </c>
      <c r="K336" s="108" t="s">
        <v>202</v>
      </c>
      <c r="N336" s="11" t="s">
        <v>43</v>
      </c>
      <c r="O336" s="11" t="s">
        <v>96</v>
      </c>
      <c r="P336" s="11" t="s">
        <v>66</v>
      </c>
      <c r="Q336" s="11" t="s">
        <v>44</v>
      </c>
      <c r="R336" s="11" t="s">
        <v>45</v>
      </c>
      <c r="S336" s="11" t="s">
        <v>45</v>
      </c>
      <c r="T336" s="11" t="s">
        <v>44</v>
      </c>
      <c r="U336" s="11" t="s">
        <v>45</v>
      </c>
      <c r="V336" s="24">
        <v>45122</v>
      </c>
      <c r="W336" s="11" t="s">
        <v>46</v>
      </c>
      <c r="X336" s="11" t="s">
        <v>47</v>
      </c>
      <c r="Y336" s="11" t="s">
        <v>58</v>
      </c>
      <c r="Z336" s="11">
        <v>81988660392</v>
      </c>
      <c r="AA336" s="11" t="s">
        <v>1267</v>
      </c>
      <c r="AB336" s="11" t="s">
        <v>98</v>
      </c>
      <c r="AC336" s="11"/>
      <c r="AD336" s="11" t="b">
        <v>0</v>
      </c>
      <c r="AF336" s="11" t="s">
        <v>1268</v>
      </c>
      <c r="AG336" s="11"/>
      <c r="AH336" s="11"/>
      <c r="AI336" s="11"/>
    </row>
    <row r="337" ht="12.5" spans="1:35">
      <c r="A337" s="177">
        <v>45122.394147662</v>
      </c>
      <c r="B337" s="11" t="s">
        <v>1258</v>
      </c>
      <c r="C337" s="277" t="s">
        <v>1259</v>
      </c>
      <c r="D337" s="19">
        <v>701004869342599</v>
      </c>
      <c r="F337" s="11" t="s">
        <v>40</v>
      </c>
      <c r="G337" s="11" t="s">
        <v>41</v>
      </c>
      <c r="H337" s="24">
        <v>30947</v>
      </c>
      <c r="I337" s="277" t="s">
        <v>1261</v>
      </c>
      <c r="J337" s="11" t="s">
        <v>42</v>
      </c>
      <c r="K337" s="108" t="s">
        <v>282</v>
      </c>
      <c r="N337" s="11" t="s">
        <v>95</v>
      </c>
      <c r="O337" s="11" t="s">
        <v>44</v>
      </c>
      <c r="P337" s="11" t="s">
        <v>44</v>
      </c>
      <c r="Q337" s="11" t="s">
        <v>44</v>
      </c>
      <c r="R337" s="11" t="s">
        <v>45</v>
      </c>
      <c r="S337" s="11" t="s">
        <v>45</v>
      </c>
      <c r="T337" s="11" t="s">
        <v>44</v>
      </c>
      <c r="U337" s="11" t="s">
        <v>44</v>
      </c>
      <c r="W337" s="11" t="s">
        <v>57</v>
      </c>
      <c r="X337" s="11" t="s">
        <v>97</v>
      </c>
      <c r="Y337" s="11" t="s">
        <v>97</v>
      </c>
      <c r="Z337" s="11">
        <v>81999881564</v>
      </c>
      <c r="AA337" s="11" t="s">
        <v>115</v>
      </c>
      <c r="AB337" s="11"/>
      <c r="AC337" s="11"/>
      <c r="AD337" s="11" t="b">
        <v>0</v>
      </c>
      <c r="AF337" s="11"/>
      <c r="AG337" s="11"/>
      <c r="AH337" s="11"/>
      <c r="AI337" s="11"/>
    </row>
    <row r="338" ht="12.5" spans="1:35">
      <c r="A338" s="177">
        <v>45122.5860391204</v>
      </c>
      <c r="B338" s="11" t="s">
        <v>1165</v>
      </c>
      <c r="C338" s="19">
        <v>70642278431</v>
      </c>
      <c r="D338" s="19">
        <v>705006843837757</v>
      </c>
      <c r="E338" s="18" t="s">
        <v>1269</v>
      </c>
      <c r="F338" s="11" t="s">
        <v>40</v>
      </c>
      <c r="G338" s="11" t="s">
        <v>41</v>
      </c>
      <c r="H338" s="24">
        <v>36309</v>
      </c>
      <c r="I338" s="19" t="s">
        <v>865</v>
      </c>
      <c r="J338" s="11" t="s">
        <v>42</v>
      </c>
      <c r="K338" s="108" t="s">
        <v>399</v>
      </c>
      <c r="N338" s="11" t="s">
        <v>43</v>
      </c>
      <c r="O338" s="11" t="s">
        <v>65</v>
      </c>
      <c r="P338" s="11" t="s">
        <v>66</v>
      </c>
      <c r="Q338" s="11" t="s">
        <v>44</v>
      </c>
      <c r="R338" s="11" t="s">
        <v>45</v>
      </c>
      <c r="S338" s="11" t="s">
        <v>45</v>
      </c>
      <c r="T338" s="11" t="s">
        <v>44</v>
      </c>
      <c r="U338" s="11" t="s">
        <v>45</v>
      </c>
      <c r="V338" s="24">
        <v>45123</v>
      </c>
      <c r="W338" s="11" t="s">
        <v>46</v>
      </c>
      <c r="X338" s="11" t="s">
        <v>303</v>
      </c>
      <c r="Y338" s="11" t="s">
        <v>58</v>
      </c>
      <c r="Z338" s="11">
        <v>81988866907</v>
      </c>
      <c r="AA338" s="11" t="s">
        <v>115</v>
      </c>
      <c r="AB338" s="11" t="s">
        <v>49</v>
      </c>
      <c r="AC338" s="11" t="s">
        <v>256</v>
      </c>
      <c r="AD338" s="11" t="b">
        <v>0</v>
      </c>
      <c r="AF338" s="11" t="s">
        <v>1270</v>
      </c>
      <c r="AG338" s="11"/>
      <c r="AH338" s="11"/>
      <c r="AI338" s="11"/>
    </row>
    <row r="339" ht="12.5" spans="1:35">
      <c r="A339" s="177">
        <v>45122.5902525579</v>
      </c>
      <c r="B339" s="11" t="s">
        <v>1245</v>
      </c>
      <c r="C339" s="19">
        <v>71188041428</v>
      </c>
      <c r="D339" s="19">
        <v>702609237165647</v>
      </c>
      <c r="E339" s="18" t="s">
        <v>1271</v>
      </c>
      <c r="F339" s="11" t="s">
        <v>40</v>
      </c>
      <c r="G339" s="11" t="s">
        <v>88</v>
      </c>
      <c r="H339" s="24">
        <v>37043</v>
      </c>
      <c r="I339" s="277" t="s">
        <v>1272</v>
      </c>
      <c r="J339" s="11" t="s">
        <v>42</v>
      </c>
      <c r="K339" s="108" t="s">
        <v>399</v>
      </c>
      <c r="N339" s="11" t="s">
        <v>95</v>
      </c>
      <c r="O339" s="11" t="s">
        <v>96</v>
      </c>
      <c r="P339" s="11" t="s">
        <v>66</v>
      </c>
      <c r="Q339" s="11" t="s">
        <v>44</v>
      </c>
      <c r="R339" s="11" t="s">
        <v>45</v>
      </c>
      <c r="S339" s="11" t="s">
        <v>45</v>
      </c>
      <c r="T339" s="11" t="s">
        <v>44</v>
      </c>
      <c r="U339" s="11" t="s">
        <v>45</v>
      </c>
      <c r="V339" s="24">
        <v>45123</v>
      </c>
      <c r="W339" s="11" t="s">
        <v>46</v>
      </c>
      <c r="X339" s="11" t="s">
        <v>303</v>
      </c>
      <c r="Y339" s="11" t="s">
        <v>58</v>
      </c>
      <c r="Z339" s="11">
        <v>81984460956</v>
      </c>
      <c r="AA339" s="11" t="s">
        <v>115</v>
      </c>
      <c r="AB339" s="11" t="s">
        <v>98</v>
      </c>
      <c r="AC339" s="11"/>
      <c r="AD339" s="11" t="b">
        <v>0</v>
      </c>
      <c r="AF339" s="11" t="s">
        <v>1273</v>
      </c>
      <c r="AG339" s="11" t="s">
        <v>1274</v>
      </c>
      <c r="AH339" s="11"/>
      <c r="AI339" s="11"/>
    </row>
    <row r="340" ht="12.5" spans="1:35">
      <c r="A340" s="177">
        <v>45122.7828262037</v>
      </c>
      <c r="B340" s="11" t="s">
        <v>1098</v>
      </c>
      <c r="C340" s="277" t="s">
        <v>1099</v>
      </c>
      <c r="D340" s="19">
        <v>706001315807649</v>
      </c>
      <c r="E340" s="18" t="s">
        <v>1275</v>
      </c>
      <c r="F340" s="11" t="s">
        <v>225</v>
      </c>
      <c r="G340" s="11" t="s">
        <v>54</v>
      </c>
      <c r="H340" s="24">
        <v>30891</v>
      </c>
      <c r="I340" s="277" t="s">
        <v>918</v>
      </c>
      <c r="J340" s="11" t="s">
        <v>42</v>
      </c>
      <c r="K340" s="108" t="s">
        <v>455</v>
      </c>
      <c r="N340" s="11" t="s">
        <v>43</v>
      </c>
      <c r="O340" s="11" t="s">
        <v>44</v>
      </c>
      <c r="P340" s="11" t="s">
        <v>44</v>
      </c>
      <c r="Q340" s="11" t="s">
        <v>44</v>
      </c>
      <c r="R340" s="11" t="s">
        <v>44</v>
      </c>
      <c r="S340" s="11" t="s">
        <v>44</v>
      </c>
      <c r="T340" s="11" t="s">
        <v>44</v>
      </c>
      <c r="U340" s="11" t="s">
        <v>44</v>
      </c>
      <c r="W340" s="11" t="s">
        <v>46</v>
      </c>
      <c r="X340" s="11" t="s">
        <v>303</v>
      </c>
      <c r="Y340" s="11" t="s">
        <v>58</v>
      </c>
      <c r="Z340" s="11">
        <v>81998373388</v>
      </c>
      <c r="AA340" s="11" t="s">
        <v>115</v>
      </c>
      <c r="AB340" s="11"/>
      <c r="AC340" s="11"/>
      <c r="AD340" s="11" t="b">
        <v>0</v>
      </c>
      <c r="AF340" s="11"/>
      <c r="AG340" s="11"/>
      <c r="AH340" s="11" t="s">
        <v>1276</v>
      </c>
      <c r="AI340" s="11"/>
    </row>
    <row r="341" ht="12.5" spans="1:35">
      <c r="A341" s="177">
        <v>45123.4345541667</v>
      </c>
      <c r="B341" s="11" t="s">
        <v>1277</v>
      </c>
      <c r="C341" s="19">
        <v>12410257461</v>
      </c>
      <c r="D341" s="19">
        <v>707608210613398</v>
      </c>
      <c r="E341" s="18" t="s">
        <v>1278</v>
      </c>
      <c r="F341" s="11" t="s">
        <v>40</v>
      </c>
      <c r="G341" s="11" t="s">
        <v>41</v>
      </c>
      <c r="H341" s="24">
        <v>35836</v>
      </c>
      <c r="I341" s="277" t="s">
        <v>1279</v>
      </c>
      <c r="J341" s="11" t="s">
        <v>42</v>
      </c>
      <c r="K341" s="108" t="s">
        <v>399</v>
      </c>
      <c r="N341" s="11" t="s">
        <v>43</v>
      </c>
      <c r="O341" s="11" t="s">
        <v>44</v>
      </c>
      <c r="P341" s="11" t="s">
        <v>44</v>
      </c>
      <c r="Q341" s="11" t="s">
        <v>44</v>
      </c>
      <c r="R341" s="11" t="s">
        <v>45</v>
      </c>
      <c r="S341" s="11" t="s">
        <v>45</v>
      </c>
      <c r="T341" s="11" t="s">
        <v>44</v>
      </c>
      <c r="U341" s="11" t="s">
        <v>45</v>
      </c>
      <c r="V341" s="24">
        <v>45124</v>
      </c>
      <c r="W341" s="11" t="s">
        <v>46</v>
      </c>
      <c r="X341" s="11" t="s">
        <v>303</v>
      </c>
      <c r="Y341" s="11" t="s">
        <v>58</v>
      </c>
      <c r="Z341" s="11">
        <v>81997301098</v>
      </c>
      <c r="AA341" s="11" t="s">
        <v>273</v>
      </c>
      <c r="AB341" s="11" t="s">
        <v>49</v>
      </c>
      <c r="AC341" s="11" t="s">
        <v>92</v>
      </c>
      <c r="AD341" s="11" t="b">
        <v>1</v>
      </c>
      <c r="AE341" s="11" t="s">
        <v>137</v>
      </c>
      <c r="AF341" s="11" t="s">
        <v>1280</v>
      </c>
      <c r="AG341" s="11"/>
      <c r="AH341" s="11"/>
      <c r="AI341" s="11"/>
    </row>
    <row r="342" ht="12.5" spans="1:35">
      <c r="A342" s="177">
        <v>45123.5533142824</v>
      </c>
      <c r="B342" s="11" t="s">
        <v>825</v>
      </c>
      <c r="C342" s="277" t="s">
        <v>826</v>
      </c>
      <c r="D342" s="179">
        <v>700009740270705</v>
      </c>
      <c r="E342" s="18" t="s">
        <v>1281</v>
      </c>
      <c r="F342" s="11" t="s">
        <v>40</v>
      </c>
      <c r="G342" s="11" t="s">
        <v>54</v>
      </c>
      <c r="H342" s="24">
        <v>33115</v>
      </c>
      <c r="I342" s="277" t="s">
        <v>642</v>
      </c>
      <c r="J342" s="11" t="s">
        <v>42</v>
      </c>
      <c r="K342" s="108" t="s">
        <v>302</v>
      </c>
      <c r="N342" s="11" t="s">
        <v>43</v>
      </c>
      <c r="O342" s="11" t="s">
        <v>65</v>
      </c>
      <c r="P342" s="11" t="s">
        <v>66</v>
      </c>
      <c r="Q342" s="11" t="s">
        <v>44</v>
      </c>
      <c r="R342" s="11" t="s">
        <v>45</v>
      </c>
      <c r="S342" s="11" t="s">
        <v>45</v>
      </c>
      <c r="T342" s="11" t="s">
        <v>44</v>
      </c>
      <c r="U342" s="11" t="s">
        <v>45</v>
      </c>
      <c r="V342" s="24">
        <v>45123</v>
      </c>
      <c r="W342" s="11" t="s">
        <v>46</v>
      </c>
      <c r="X342" s="11" t="s">
        <v>303</v>
      </c>
      <c r="Y342" s="11" t="s">
        <v>58</v>
      </c>
      <c r="Z342" s="11">
        <v>81985425213</v>
      </c>
      <c r="AA342" s="11" t="s">
        <v>381</v>
      </c>
      <c r="AB342" s="11" t="s">
        <v>49</v>
      </c>
      <c r="AC342" s="11" t="s">
        <v>50</v>
      </c>
      <c r="AD342" s="11" t="b">
        <v>0</v>
      </c>
      <c r="AF342" s="11" t="s">
        <v>1282</v>
      </c>
      <c r="AG342" s="11" t="s">
        <v>1283</v>
      </c>
      <c r="AH342" s="11" t="s">
        <v>1284</v>
      </c>
      <c r="AI342" s="11"/>
    </row>
    <row r="343" ht="12.5" spans="1:35">
      <c r="A343" s="177">
        <v>45123.631970787</v>
      </c>
      <c r="B343" s="11" t="s">
        <v>1285</v>
      </c>
      <c r="C343" s="19">
        <v>70642278431</v>
      </c>
      <c r="D343" s="19">
        <v>705006843837757</v>
      </c>
      <c r="F343" s="11" t="s">
        <v>40</v>
      </c>
      <c r="G343" s="11" t="s">
        <v>41</v>
      </c>
      <c r="H343" s="24">
        <v>36309</v>
      </c>
      <c r="I343" s="19" t="s">
        <v>865</v>
      </c>
      <c r="J343" s="11" t="s">
        <v>42</v>
      </c>
      <c r="K343" s="108" t="s">
        <v>399</v>
      </c>
      <c r="N343" s="11" t="s">
        <v>95</v>
      </c>
      <c r="O343" s="11" t="s">
        <v>127</v>
      </c>
      <c r="P343" s="11" t="s">
        <v>44</v>
      </c>
      <c r="Q343" s="11" t="s">
        <v>44</v>
      </c>
      <c r="R343" s="11" t="s">
        <v>45</v>
      </c>
      <c r="S343" s="11" t="s">
        <v>45</v>
      </c>
      <c r="T343" s="11" t="s">
        <v>44</v>
      </c>
      <c r="U343" s="11" t="s">
        <v>44</v>
      </c>
      <c r="W343" s="11" t="s">
        <v>57</v>
      </c>
      <c r="X343" s="11" t="s">
        <v>97</v>
      </c>
      <c r="Y343" s="11" t="s">
        <v>97</v>
      </c>
      <c r="Z343" s="11">
        <v>81988866907</v>
      </c>
      <c r="AA343" s="11" t="s">
        <v>273</v>
      </c>
      <c r="AB343" s="11"/>
      <c r="AC343" s="11"/>
      <c r="AD343" s="11" t="b">
        <v>0</v>
      </c>
      <c r="AF343" s="11"/>
      <c r="AG343" s="11"/>
      <c r="AH343" s="11"/>
      <c r="AI343" s="11"/>
    </row>
    <row r="344" ht="12.5" spans="1:35">
      <c r="A344" s="177">
        <v>45123.7155034491</v>
      </c>
      <c r="B344" s="11" t="s">
        <v>1286</v>
      </c>
      <c r="C344" s="19">
        <v>70922340420</v>
      </c>
      <c r="D344" s="179">
        <v>708004326100028</v>
      </c>
      <c r="E344" s="18" t="s">
        <v>1287</v>
      </c>
      <c r="F344" s="11" t="s">
        <v>225</v>
      </c>
      <c r="G344" s="11" t="s">
        <v>54</v>
      </c>
      <c r="H344" s="24">
        <v>36066</v>
      </c>
      <c r="I344" s="277" t="s">
        <v>1288</v>
      </c>
      <c r="J344" s="11" t="s">
        <v>42</v>
      </c>
      <c r="K344" s="108" t="s">
        <v>202</v>
      </c>
      <c r="N344" s="11" t="s">
        <v>43</v>
      </c>
      <c r="O344" s="11" t="s">
        <v>44</v>
      </c>
      <c r="P344" s="11" t="s">
        <v>44</v>
      </c>
      <c r="Q344" s="11" t="s">
        <v>44</v>
      </c>
      <c r="R344" s="11" t="s">
        <v>45</v>
      </c>
      <c r="S344" s="11" t="s">
        <v>45</v>
      </c>
      <c r="T344" s="11" t="s">
        <v>44</v>
      </c>
      <c r="U344" s="11" t="s">
        <v>45</v>
      </c>
      <c r="V344" s="24">
        <v>45124</v>
      </c>
      <c r="W344" s="11" t="s">
        <v>46</v>
      </c>
      <c r="X344" s="11" t="s">
        <v>303</v>
      </c>
      <c r="Y344" s="11" t="s">
        <v>58</v>
      </c>
      <c r="Z344" s="11">
        <v>81985560728</v>
      </c>
      <c r="AA344" s="11" t="s">
        <v>381</v>
      </c>
      <c r="AB344" s="11" t="s">
        <v>98</v>
      </c>
      <c r="AC344" s="11"/>
      <c r="AD344" s="11" t="b">
        <v>0</v>
      </c>
      <c r="AF344" s="11" t="s">
        <v>1289</v>
      </c>
      <c r="AG344" s="11" t="s">
        <v>1290</v>
      </c>
      <c r="AH344" s="11"/>
      <c r="AI344" s="11"/>
    </row>
    <row r="345" ht="12.5" spans="1:35">
      <c r="A345" s="177">
        <v>45124.4085970023</v>
      </c>
      <c r="B345" s="11" t="s">
        <v>1277</v>
      </c>
      <c r="C345" s="19">
        <v>12410257461</v>
      </c>
      <c r="D345" s="19">
        <v>707608210613398</v>
      </c>
      <c r="E345" s="18" t="s">
        <v>1291</v>
      </c>
      <c r="F345" s="11" t="s">
        <v>40</v>
      </c>
      <c r="G345" s="11" t="s">
        <v>41</v>
      </c>
      <c r="H345" s="24">
        <v>35836</v>
      </c>
      <c r="I345" s="277" t="s">
        <v>1292</v>
      </c>
      <c r="J345" s="11" t="s">
        <v>42</v>
      </c>
      <c r="K345" s="108" t="s">
        <v>399</v>
      </c>
      <c r="N345" s="11" t="s">
        <v>95</v>
      </c>
      <c r="O345" s="11" t="s">
        <v>44</v>
      </c>
      <c r="P345" s="11" t="s">
        <v>44</v>
      </c>
      <c r="Q345" s="11" t="s">
        <v>44</v>
      </c>
      <c r="R345" s="11" t="s">
        <v>45</v>
      </c>
      <c r="S345" s="11" t="s">
        <v>83</v>
      </c>
      <c r="T345" s="11" t="s">
        <v>44</v>
      </c>
      <c r="U345" s="11" t="s">
        <v>44</v>
      </c>
      <c r="W345" s="11" t="s">
        <v>46</v>
      </c>
      <c r="X345" s="11" t="s">
        <v>97</v>
      </c>
      <c r="Y345" s="11" t="s">
        <v>97</v>
      </c>
      <c r="Z345" s="11">
        <v>81997301098</v>
      </c>
      <c r="AA345" s="11" t="s">
        <v>91</v>
      </c>
      <c r="AB345" s="11"/>
      <c r="AC345" s="11"/>
      <c r="AD345" s="11" t="b">
        <v>0</v>
      </c>
      <c r="AF345" s="11"/>
      <c r="AG345" s="11"/>
      <c r="AH345" s="11"/>
      <c r="AI345" s="11"/>
    </row>
    <row r="346" ht="12.5" spans="1:35">
      <c r="A346" s="177">
        <v>45124.4403884954</v>
      </c>
      <c r="B346" s="11" t="s">
        <v>825</v>
      </c>
      <c r="C346" s="277" t="s">
        <v>826</v>
      </c>
      <c r="D346" s="19">
        <v>700009740270705</v>
      </c>
      <c r="F346" s="11" t="s">
        <v>40</v>
      </c>
      <c r="G346" s="11" t="s">
        <v>54</v>
      </c>
      <c r="H346" s="24">
        <v>33115</v>
      </c>
      <c r="I346" s="19" t="s">
        <v>1293</v>
      </c>
      <c r="J346" s="11" t="s">
        <v>42</v>
      </c>
      <c r="K346" s="108" t="s">
        <v>302</v>
      </c>
      <c r="N346" s="11" t="s">
        <v>95</v>
      </c>
      <c r="O346" s="11" t="s">
        <v>127</v>
      </c>
      <c r="P346" s="11" t="s">
        <v>44</v>
      </c>
      <c r="Q346" s="11" t="s">
        <v>44</v>
      </c>
      <c r="R346" s="11" t="s">
        <v>45</v>
      </c>
      <c r="S346" s="11" t="s">
        <v>45</v>
      </c>
      <c r="T346" s="11" t="s">
        <v>44</v>
      </c>
      <c r="U346" s="11" t="s">
        <v>44</v>
      </c>
      <c r="W346" s="11" t="s">
        <v>57</v>
      </c>
      <c r="X346" s="11" t="s">
        <v>97</v>
      </c>
      <c r="Y346" s="11" t="s">
        <v>97</v>
      </c>
      <c r="Z346" s="11">
        <v>81985425213</v>
      </c>
      <c r="AA346" s="11" t="s">
        <v>91</v>
      </c>
      <c r="AB346" s="11"/>
      <c r="AC346" s="11"/>
      <c r="AD346" s="11" t="b">
        <v>0</v>
      </c>
      <c r="AF346" s="11"/>
      <c r="AG346" s="11"/>
      <c r="AH346" s="11" t="s">
        <v>1294</v>
      </c>
      <c r="AI346" s="11"/>
    </row>
    <row r="347" ht="12.5" spans="1:35">
      <c r="A347" s="177">
        <v>45124.4701525116</v>
      </c>
      <c r="B347" s="11" t="s">
        <v>1295</v>
      </c>
      <c r="C347" s="19">
        <v>11539536416</v>
      </c>
      <c r="D347" s="19">
        <v>707603234727798</v>
      </c>
      <c r="E347" s="18" t="s">
        <v>1296</v>
      </c>
      <c r="F347" s="11" t="s">
        <v>40</v>
      </c>
      <c r="G347" s="11" t="s">
        <v>54</v>
      </c>
      <c r="H347" s="24">
        <v>35035</v>
      </c>
      <c r="I347" s="277" t="s">
        <v>1297</v>
      </c>
      <c r="J347" s="11" t="s">
        <v>42</v>
      </c>
      <c r="K347" s="108" t="s">
        <v>74</v>
      </c>
      <c r="N347" s="11" t="s">
        <v>43</v>
      </c>
      <c r="O347" s="11" t="s">
        <v>96</v>
      </c>
      <c r="P347" s="11" t="s">
        <v>56</v>
      </c>
      <c r="Q347" s="11" t="s">
        <v>44</v>
      </c>
      <c r="R347" s="11" t="s">
        <v>45</v>
      </c>
      <c r="S347" s="11" t="s">
        <v>45</v>
      </c>
      <c r="T347" s="11" t="s">
        <v>44</v>
      </c>
      <c r="U347" s="11" t="s">
        <v>44</v>
      </c>
      <c r="W347" s="11" t="s">
        <v>46</v>
      </c>
      <c r="X347" s="11" t="s">
        <v>47</v>
      </c>
      <c r="Y347" s="11" t="s">
        <v>58</v>
      </c>
      <c r="Z347" s="11">
        <v>81988254664</v>
      </c>
      <c r="AA347" s="11" t="s">
        <v>105</v>
      </c>
      <c r="AB347" s="11"/>
      <c r="AC347" s="11"/>
      <c r="AD347" s="11" t="b">
        <v>0</v>
      </c>
      <c r="AF347" s="11"/>
      <c r="AG347" s="11"/>
      <c r="AH347" s="11"/>
      <c r="AI347" s="11"/>
    </row>
    <row r="348" ht="12.5" spans="1:35">
      <c r="A348" s="177">
        <v>45124.6019520602</v>
      </c>
      <c r="B348" s="11" t="s">
        <v>1264</v>
      </c>
      <c r="C348" s="277" t="s">
        <v>1265</v>
      </c>
      <c r="D348" s="19">
        <v>702005360528088</v>
      </c>
      <c r="E348" s="18" t="s">
        <v>1298</v>
      </c>
      <c r="F348" s="11" t="s">
        <v>40</v>
      </c>
      <c r="G348" s="11" t="s">
        <v>54</v>
      </c>
      <c r="H348" s="24">
        <v>34442</v>
      </c>
      <c r="I348" s="277" t="s">
        <v>342</v>
      </c>
      <c r="J348" s="11" t="s">
        <v>42</v>
      </c>
      <c r="K348" s="108" t="s">
        <v>202</v>
      </c>
      <c r="N348" s="11" t="s">
        <v>43</v>
      </c>
      <c r="O348" s="11" t="s">
        <v>96</v>
      </c>
      <c r="P348" s="11" t="s">
        <v>66</v>
      </c>
      <c r="Q348" s="11" t="s">
        <v>45</v>
      </c>
      <c r="R348" s="11" t="s">
        <v>45</v>
      </c>
      <c r="S348" s="11" t="s">
        <v>45</v>
      </c>
      <c r="T348" s="11" t="s">
        <v>44</v>
      </c>
      <c r="U348" s="11" t="s">
        <v>45</v>
      </c>
      <c r="V348" s="24">
        <v>45125</v>
      </c>
      <c r="W348" s="11" t="s">
        <v>46</v>
      </c>
      <c r="X348" s="11" t="s">
        <v>47</v>
      </c>
      <c r="Y348" s="11" t="s">
        <v>58</v>
      </c>
      <c r="Z348" s="11">
        <v>81988660392</v>
      </c>
      <c r="AA348" s="11" t="s">
        <v>273</v>
      </c>
      <c r="AB348" s="11" t="s">
        <v>98</v>
      </c>
      <c r="AC348" s="11"/>
      <c r="AD348" s="11" t="b">
        <v>0</v>
      </c>
      <c r="AF348" s="11" t="s">
        <v>1299</v>
      </c>
      <c r="AG348" s="11" t="s">
        <v>1300</v>
      </c>
      <c r="AH348" s="11"/>
      <c r="AI348" s="11"/>
    </row>
    <row r="349" ht="12.5" spans="1:35">
      <c r="A349" s="177">
        <v>45125.4668239931</v>
      </c>
      <c r="B349" s="11" t="s">
        <v>1301</v>
      </c>
      <c r="C349" s="19">
        <v>12393596402</v>
      </c>
      <c r="D349" s="19">
        <v>704208796499384</v>
      </c>
      <c r="E349" s="18" t="s">
        <v>1302</v>
      </c>
      <c r="F349" s="11" t="s">
        <v>40</v>
      </c>
      <c r="G349" s="11" t="s">
        <v>41</v>
      </c>
      <c r="H349" s="24">
        <v>36141</v>
      </c>
      <c r="I349" s="277" t="s">
        <v>1303</v>
      </c>
      <c r="J349" s="11" t="s">
        <v>42</v>
      </c>
      <c r="K349" s="108" t="s">
        <v>1304</v>
      </c>
      <c r="N349" s="11" t="s">
        <v>43</v>
      </c>
      <c r="O349" s="11" t="s">
        <v>44</v>
      </c>
      <c r="P349" s="11" t="s">
        <v>44</v>
      </c>
      <c r="Q349" s="11" t="s">
        <v>44</v>
      </c>
      <c r="R349" s="11" t="s">
        <v>45</v>
      </c>
      <c r="S349" s="11" t="s">
        <v>45</v>
      </c>
      <c r="T349" s="11" t="s">
        <v>44</v>
      </c>
      <c r="U349" s="11" t="s">
        <v>44</v>
      </c>
      <c r="W349" s="11" t="s">
        <v>46</v>
      </c>
      <c r="X349" s="11" t="s">
        <v>47</v>
      </c>
      <c r="Y349" s="11" t="s">
        <v>58</v>
      </c>
      <c r="Z349" s="11">
        <v>81986488134</v>
      </c>
      <c r="AA349" s="11" t="s">
        <v>105</v>
      </c>
      <c r="AB349" s="11"/>
      <c r="AC349" s="11"/>
      <c r="AD349" s="11" t="b">
        <v>0</v>
      </c>
      <c r="AF349" s="11"/>
      <c r="AG349" s="11"/>
      <c r="AH349" s="11"/>
      <c r="AI349" s="11"/>
    </row>
    <row r="350" ht="12.5" spans="1:35">
      <c r="A350" s="177">
        <v>45125.4872110995</v>
      </c>
      <c r="B350" s="11" t="s">
        <v>1305</v>
      </c>
      <c r="C350" s="19">
        <v>10709582471</v>
      </c>
      <c r="D350" s="19">
        <v>703106886252060</v>
      </c>
      <c r="E350" s="18" t="s">
        <v>1306</v>
      </c>
      <c r="F350" s="11" t="s">
        <v>40</v>
      </c>
      <c r="G350" s="11" t="s">
        <v>88</v>
      </c>
      <c r="H350" s="24">
        <v>34870</v>
      </c>
      <c r="I350" s="19" t="s">
        <v>136</v>
      </c>
      <c r="J350" s="11" t="s">
        <v>42</v>
      </c>
      <c r="K350" s="108" t="s">
        <v>356</v>
      </c>
      <c r="N350" s="11" t="s">
        <v>43</v>
      </c>
      <c r="O350" s="11" t="s">
        <v>44</v>
      </c>
      <c r="P350" s="11" t="s">
        <v>44</v>
      </c>
      <c r="Q350" s="11" t="s">
        <v>44</v>
      </c>
      <c r="R350" s="11" t="s">
        <v>45</v>
      </c>
      <c r="S350" s="11" t="s">
        <v>44</v>
      </c>
      <c r="T350" s="11" t="s">
        <v>44</v>
      </c>
      <c r="U350" s="11" t="s">
        <v>45</v>
      </c>
      <c r="V350" s="24">
        <v>45125</v>
      </c>
      <c r="W350" s="11" t="s">
        <v>46</v>
      </c>
      <c r="X350" s="11" t="s">
        <v>47</v>
      </c>
      <c r="Y350" s="11" t="s">
        <v>58</v>
      </c>
      <c r="Z350" s="11">
        <v>81994314903</v>
      </c>
      <c r="AA350" s="11" t="s">
        <v>91</v>
      </c>
      <c r="AB350" s="11" t="s">
        <v>49</v>
      </c>
      <c r="AC350" s="11" t="s">
        <v>92</v>
      </c>
      <c r="AD350" s="11" t="b">
        <v>1</v>
      </c>
      <c r="AE350" s="11" t="s">
        <v>137</v>
      </c>
      <c r="AF350" s="11" t="s">
        <v>1307</v>
      </c>
      <c r="AG350" s="11"/>
      <c r="AH350" s="11" t="s">
        <v>1308</v>
      </c>
      <c r="AI350" s="11"/>
    </row>
    <row r="351" ht="12.5" spans="1:35">
      <c r="A351" s="177">
        <v>45125.7017247454</v>
      </c>
      <c r="B351" s="11" t="s">
        <v>1305</v>
      </c>
      <c r="C351" s="19">
        <v>10709582471</v>
      </c>
      <c r="D351" s="19">
        <v>703106886252060</v>
      </c>
      <c r="E351" s="18" t="s">
        <v>1309</v>
      </c>
      <c r="F351" s="11" t="s">
        <v>40</v>
      </c>
      <c r="G351" s="11" t="s">
        <v>88</v>
      </c>
      <c r="H351" s="24">
        <v>34870</v>
      </c>
      <c r="I351" s="19" t="s">
        <v>1310</v>
      </c>
      <c r="J351" s="11" t="s">
        <v>42</v>
      </c>
      <c r="K351" s="108" t="s">
        <v>202</v>
      </c>
      <c r="N351" s="11" t="s">
        <v>95</v>
      </c>
      <c r="O351" s="11" t="s">
        <v>96</v>
      </c>
      <c r="P351" s="11" t="s">
        <v>66</v>
      </c>
      <c r="Q351" s="11" t="s">
        <v>44</v>
      </c>
      <c r="R351" s="11" t="s">
        <v>45</v>
      </c>
      <c r="S351" s="11" t="s">
        <v>44</v>
      </c>
      <c r="T351" s="11" t="s">
        <v>44</v>
      </c>
      <c r="U351" s="11" t="s">
        <v>45</v>
      </c>
      <c r="V351" s="24">
        <v>45126</v>
      </c>
      <c r="W351" s="11" t="s">
        <v>46</v>
      </c>
      <c r="X351" s="11" t="s">
        <v>97</v>
      </c>
      <c r="Y351" s="11" t="s">
        <v>97</v>
      </c>
      <c r="Z351" s="11">
        <v>81994314903</v>
      </c>
      <c r="AA351" s="11" t="s">
        <v>91</v>
      </c>
      <c r="AB351" s="11" t="s">
        <v>98</v>
      </c>
      <c r="AC351" s="11"/>
      <c r="AD351" s="11" t="b">
        <v>0</v>
      </c>
      <c r="AF351" s="11" t="s">
        <v>1311</v>
      </c>
      <c r="AG351" s="11"/>
      <c r="AH351" s="11" t="s">
        <v>1308</v>
      </c>
      <c r="AI351" s="11"/>
    </row>
    <row r="352" ht="12.5" spans="1:35">
      <c r="A352" s="177">
        <v>45125.7478728704</v>
      </c>
      <c r="B352" s="11" t="s">
        <v>1146</v>
      </c>
      <c r="C352" s="277" t="s">
        <v>1147</v>
      </c>
      <c r="D352" s="19">
        <v>700800924380087</v>
      </c>
      <c r="E352" s="18" t="s">
        <v>1312</v>
      </c>
      <c r="F352" s="11" t="s">
        <v>225</v>
      </c>
      <c r="G352" s="11" t="s">
        <v>54</v>
      </c>
      <c r="H352" s="24">
        <v>31675</v>
      </c>
      <c r="I352" s="277" t="s">
        <v>261</v>
      </c>
      <c r="J352" s="11" t="s">
        <v>42</v>
      </c>
      <c r="K352" s="108" t="s">
        <v>202</v>
      </c>
      <c r="N352" s="11" t="s">
        <v>43</v>
      </c>
      <c r="O352" s="11" t="s">
        <v>44</v>
      </c>
      <c r="P352" s="11" t="s">
        <v>44</v>
      </c>
      <c r="Q352" s="11" t="s">
        <v>44</v>
      </c>
      <c r="R352" s="11" t="s">
        <v>45</v>
      </c>
      <c r="S352" s="11" t="s">
        <v>45</v>
      </c>
      <c r="T352" s="11" t="s">
        <v>44</v>
      </c>
      <c r="U352" s="11" t="s">
        <v>45</v>
      </c>
      <c r="V352" s="24">
        <v>45126</v>
      </c>
      <c r="W352" s="11" t="s">
        <v>46</v>
      </c>
      <c r="X352" s="11" t="s">
        <v>47</v>
      </c>
      <c r="Y352" s="11" t="s">
        <v>58</v>
      </c>
      <c r="Z352" s="11">
        <v>81991663102</v>
      </c>
      <c r="AA352" s="11" t="s">
        <v>105</v>
      </c>
      <c r="AB352" s="11" t="s">
        <v>49</v>
      </c>
      <c r="AC352" s="11" t="s">
        <v>50</v>
      </c>
      <c r="AD352" s="11" t="b">
        <v>0</v>
      </c>
      <c r="AF352" s="11" t="s">
        <v>1313</v>
      </c>
      <c r="AG352" s="11"/>
      <c r="AH352" s="11" t="s">
        <v>1314</v>
      </c>
      <c r="AI352" s="11"/>
    </row>
    <row r="353" ht="12.5" spans="1:35">
      <c r="A353" s="177">
        <v>45126.3408295718</v>
      </c>
      <c r="B353" s="11" t="s">
        <v>1315</v>
      </c>
      <c r="C353" s="19">
        <v>70815266405</v>
      </c>
      <c r="D353" s="19">
        <v>700608492019165</v>
      </c>
      <c r="E353" s="18" t="s">
        <v>1316</v>
      </c>
      <c r="F353" s="11" t="s">
        <v>40</v>
      </c>
      <c r="G353" s="11" t="s">
        <v>41</v>
      </c>
      <c r="H353" s="24">
        <v>37126</v>
      </c>
      <c r="I353" s="277" t="s">
        <v>883</v>
      </c>
      <c r="J353" s="11" t="s">
        <v>42</v>
      </c>
      <c r="K353" s="108" t="s">
        <v>1317</v>
      </c>
      <c r="N353" s="11" t="s">
        <v>43</v>
      </c>
      <c r="O353" s="11" t="s">
        <v>44</v>
      </c>
      <c r="P353" s="11" t="s">
        <v>44</v>
      </c>
      <c r="Q353" s="11" t="s">
        <v>44</v>
      </c>
      <c r="R353" s="11" t="s">
        <v>45</v>
      </c>
      <c r="S353" s="11" t="s">
        <v>83</v>
      </c>
      <c r="T353" s="11" t="s">
        <v>44</v>
      </c>
      <c r="U353" s="11" t="s">
        <v>44</v>
      </c>
      <c r="W353" s="11" t="s">
        <v>46</v>
      </c>
      <c r="X353" s="11" t="s">
        <v>67</v>
      </c>
      <c r="Y353" s="11" t="s">
        <v>58</v>
      </c>
      <c r="Z353" s="11">
        <v>81991778012</v>
      </c>
      <c r="AA353" s="11" t="s">
        <v>115</v>
      </c>
      <c r="AB353" s="11"/>
      <c r="AC353" s="11"/>
      <c r="AD353" s="11" t="b">
        <v>0</v>
      </c>
      <c r="AF353" s="11"/>
      <c r="AG353" s="11"/>
      <c r="AH353" s="11"/>
      <c r="AI353" s="11"/>
    </row>
    <row r="354" ht="12.5" spans="1:37">
      <c r="A354" s="203">
        <v>45126.4020554745</v>
      </c>
      <c r="B354" s="4" t="s">
        <v>1146</v>
      </c>
      <c r="C354" s="280" t="s">
        <v>1147</v>
      </c>
      <c r="D354" s="19">
        <v>700800924380087</v>
      </c>
      <c r="E354" s="53" t="s">
        <v>1318</v>
      </c>
      <c r="F354" s="4" t="s">
        <v>225</v>
      </c>
      <c r="G354" s="4" t="s">
        <v>135</v>
      </c>
      <c r="H354" s="204">
        <v>31675</v>
      </c>
      <c r="I354" s="280" t="s">
        <v>261</v>
      </c>
      <c r="J354" s="4" t="s">
        <v>42</v>
      </c>
      <c r="K354" s="206" t="s">
        <v>202</v>
      </c>
      <c r="L354" s="4"/>
      <c r="M354" s="4"/>
      <c r="N354" s="4" t="s">
        <v>95</v>
      </c>
      <c r="O354" s="4" t="s">
        <v>44</v>
      </c>
      <c r="P354" s="4" t="s">
        <v>44</v>
      </c>
      <c r="Q354" s="4" t="s">
        <v>44</v>
      </c>
      <c r="R354" s="4" t="s">
        <v>45</v>
      </c>
      <c r="S354" s="4" t="s">
        <v>45</v>
      </c>
      <c r="T354" s="4" t="s">
        <v>45</v>
      </c>
      <c r="U354" s="4" t="s">
        <v>45</v>
      </c>
      <c r="V354" s="204">
        <v>45128</v>
      </c>
      <c r="W354" s="4" t="s">
        <v>46</v>
      </c>
      <c r="X354" s="4" t="s">
        <v>97</v>
      </c>
      <c r="Y354" s="4" t="s">
        <v>97</v>
      </c>
      <c r="Z354" s="4">
        <v>81991663102</v>
      </c>
      <c r="AA354" s="4" t="s">
        <v>115</v>
      </c>
      <c r="AB354" s="4" t="s">
        <v>49</v>
      </c>
      <c r="AC354" s="4" t="s">
        <v>1319</v>
      </c>
      <c r="AD354" s="4" t="b">
        <v>1</v>
      </c>
      <c r="AE354" s="4" t="s">
        <v>137</v>
      </c>
      <c r="AF354" s="4" t="s">
        <v>1320</v>
      </c>
      <c r="AG354" s="4"/>
      <c r="AH354" s="4" t="s">
        <v>1321</v>
      </c>
      <c r="AI354" s="4"/>
      <c r="AJ354" s="4"/>
      <c r="AK354" s="4"/>
    </row>
    <row r="355" ht="12.5" spans="1:35">
      <c r="A355" s="177">
        <v>45126.5129359838</v>
      </c>
      <c r="B355" s="11" t="s">
        <v>825</v>
      </c>
      <c r="C355" s="277" t="s">
        <v>826</v>
      </c>
      <c r="D355" s="19">
        <v>700009740270705</v>
      </c>
      <c r="F355" s="11" t="s">
        <v>40</v>
      </c>
      <c r="G355" s="11" t="s">
        <v>54</v>
      </c>
      <c r="H355" s="24">
        <v>33115</v>
      </c>
      <c r="I355" s="277" t="s">
        <v>642</v>
      </c>
      <c r="J355" s="11" t="s">
        <v>42</v>
      </c>
      <c r="K355" s="108" t="s">
        <v>302</v>
      </c>
      <c r="N355" s="11" t="s">
        <v>95</v>
      </c>
      <c r="O355" s="11" t="s">
        <v>44</v>
      </c>
      <c r="P355" s="11" t="s">
        <v>44</v>
      </c>
      <c r="Q355" s="11" t="s">
        <v>44</v>
      </c>
      <c r="R355" s="11" t="s">
        <v>45</v>
      </c>
      <c r="S355" s="11" t="s">
        <v>45</v>
      </c>
      <c r="T355" s="11" t="s">
        <v>44</v>
      </c>
      <c r="U355" s="11" t="s">
        <v>44</v>
      </c>
      <c r="W355" s="11" t="s">
        <v>57</v>
      </c>
      <c r="X355" s="11" t="s">
        <v>97</v>
      </c>
      <c r="Y355" s="11" t="s">
        <v>97</v>
      </c>
      <c r="Z355" s="11">
        <v>81985425213</v>
      </c>
      <c r="AA355" s="11" t="s">
        <v>115</v>
      </c>
      <c r="AB355" s="11"/>
      <c r="AC355" s="11"/>
      <c r="AD355" s="11" t="b">
        <v>0</v>
      </c>
      <c r="AF355" s="11"/>
      <c r="AG355" s="11"/>
      <c r="AH355" s="11"/>
      <c r="AI355" s="11"/>
    </row>
    <row r="356" ht="12.5" spans="1:35">
      <c r="A356" s="177">
        <v>45126.6014035995</v>
      </c>
      <c r="B356" s="11" t="s">
        <v>1322</v>
      </c>
      <c r="C356" s="19">
        <v>71140511408</v>
      </c>
      <c r="D356" s="19">
        <v>700001559799204</v>
      </c>
      <c r="E356" s="18" t="s">
        <v>1323</v>
      </c>
      <c r="F356" s="11" t="s">
        <v>40</v>
      </c>
      <c r="G356" s="11" t="s">
        <v>54</v>
      </c>
      <c r="H356" s="24">
        <v>37957</v>
      </c>
      <c r="I356" s="277" t="s">
        <v>355</v>
      </c>
      <c r="J356" s="11" t="s">
        <v>81</v>
      </c>
      <c r="K356" s="108"/>
      <c r="L356" s="11" t="s">
        <v>1324</v>
      </c>
      <c r="N356" s="11" t="s">
        <v>43</v>
      </c>
      <c r="O356" s="11" t="s">
        <v>65</v>
      </c>
      <c r="P356" s="11" t="s">
        <v>66</v>
      </c>
      <c r="Q356" s="11" t="s">
        <v>44</v>
      </c>
      <c r="R356" s="11" t="s">
        <v>45</v>
      </c>
      <c r="S356" s="11" t="s">
        <v>44</v>
      </c>
      <c r="T356" s="11" t="s">
        <v>44</v>
      </c>
      <c r="U356" s="11" t="s">
        <v>45</v>
      </c>
      <c r="V356" s="24">
        <v>45127</v>
      </c>
      <c r="W356" s="11" t="s">
        <v>46</v>
      </c>
      <c r="X356" s="11" t="s">
        <v>47</v>
      </c>
      <c r="Y356" s="11" t="s">
        <v>58</v>
      </c>
      <c r="Z356" s="11">
        <v>81983588962</v>
      </c>
      <c r="AA356" s="11" t="s">
        <v>91</v>
      </c>
      <c r="AB356" s="11" t="s">
        <v>98</v>
      </c>
      <c r="AC356" s="11"/>
      <c r="AD356" s="11" t="b">
        <v>0</v>
      </c>
      <c r="AF356" s="11" t="s">
        <v>1325</v>
      </c>
      <c r="AG356" s="11"/>
      <c r="AH356" s="11" t="s">
        <v>1326</v>
      </c>
      <c r="AI356" s="11"/>
    </row>
    <row r="357" ht="12.5" spans="1:35">
      <c r="A357" s="177">
        <v>45126.6475093634</v>
      </c>
      <c r="B357" s="11" t="s">
        <v>1327</v>
      </c>
      <c r="C357" s="277" t="s">
        <v>1328</v>
      </c>
      <c r="D357" s="19">
        <v>706605501971710</v>
      </c>
      <c r="E357" s="18" t="s">
        <v>1329</v>
      </c>
      <c r="F357" s="11" t="s">
        <v>225</v>
      </c>
      <c r="G357" s="11" t="s">
        <v>54</v>
      </c>
      <c r="H357" s="24">
        <v>34190</v>
      </c>
      <c r="I357" s="277" t="s">
        <v>1330</v>
      </c>
      <c r="J357" s="11" t="s">
        <v>42</v>
      </c>
      <c r="K357" s="108" t="s">
        <v>455</v>
      </c>
      <c r="N357" s="11" t="s">
        <v>43</v>
      </c>
      <c r="O357" s="11" t="s">
        <v>44</v>
      </c>
      <c r="P357" s="11" t="s">
        <v>56</v>
      </c>
      <c r="Q357" s="11" t="s">
        <v>44</v>
      </c>
      <c r="R357" s="11" t="s">
        <v>44</v>
      </c>
      <c r="S357" s="11" t="s">
        <v>44</v>
      </c>
      <c r="T357" s="11" t="s">
        <v>44</v>
      </c>
      <c r="U357" s="11" t="s">
        <v>45</v>
      </c>
      <c r="V357" s="24">
        <v>45129</v>
      </c>
      <c r="W357" s="11" t="s">
        <v>46</v>
      </c>
      <c r="X357" s="11" t="s">
        <v>47</v>
      </c>
      <c r="Y357" s="11" t="s">
        <v>58</v>
      </c>
      <c r="Z357" s="11">
        <v>81994880109</v>
      </c>
      <c r="AA357" s="11" t="s">
        <v>115</v>
      </c>
      <c r="AB357" s="11" t="s">
        <v>49</v>
      </c>
      <c r="AC357" s="11" t="s">
        <v>50</v>
      </c>
      <c r="AD357" s="11" t="b">
        <v>0</v>
      </c>
      <c r="AF357" s="11" t="s">
        <v>1331</v>
      </c>
      <c r="AG357" s="11"/>
      <c r="AH357" s="11" t="s">
        <v>1332</v>
      </c>
      <c r="AI357" s="11"/>
    </row>
    <row r="358" ht="12.5" spans="1:35">
      <c r="A358" s="177">
        <v>45126.6909246643</v>
      </c>
      <c r="B358" s="11" t="s">
        <v>1333</v>
      </c>
      <c r="C358" s="19">
        <v>71345615426</v>
      </c>
      <c r="D358" s="19">
        <v>701803216936576</v>
      </c>
      <c r="E358" s="18" t="s">
        <v>1334</v>
      </c>
      <c r="F358" s="11" t="s">
        <v>40</v>
      </c>
      <c r="G358" s="11" t="s">
        <v>41</v>
      </c>
      <c r="H358" s="24">
        <v>36927</v>
      </c>
      <c r="I358" s="19" t="s">
        <v>136</v>
      </c>
      <c r="J358" s="11" t="s">
        <v>42</v>
      </c>
      <c r="K358" s="108" t="s">
        <v>1335</v>
      </c>
      <c r="N358" s="63" t="s">
        <v>43</v>
      </c>
      <c r="O358" s="11" t="s">
        <v>44</v>
      </c>
      <c r="P358" s="11" t="s">
        <v>56</v>
      </c>
      <c r="Q358" s="11" t="s">
        <v>44</v>
      </c>
      <c r="R358" s="11" t="s">
        <v>45</v>
      </c>
      <c r="S358" s="11" t="s">
        <v>45</v>
      </c>
      <c r="T358" s="11" t="s">
        <v>44</v>
      </c>
      <c r="U358" s="11" t="s">
        <v>45</v>
      </c>
      <c r="V358" s="24">
        <v>45127</v>
      </c>
      <c r="W358" s="11" t="s">
        <v>46</v>
      </c>
      <c r="X358" s="11" t="s">
        <v>47</v>
      </c>
      <c r="Y358" s="11" t="s">
        <v>58</v>
      </c>
      <c r="Z358" s="11">
        <v>81999835531</v>
      </c>
      <c r="AA358" s="11" t="s">
        <v>115</v>
      </c>
      <c r="AB358" s="11" t="s">
        <v>49</v>
      </c>
      <c r="AC358" s="11" t="s">
        <v>50</v>
      </c>
      <c r="AD358" s="11" t="b">
        <v>0</v>
      </c>
      <c r="AF358" s="214" t="s">
        <v>1336</v>
      </c>
      <c r="AG358" s="11"/>
      <c r="AH358" s="63" t="s">
        <v>1337</v>
      </c>
      <c r="AI358" s="11"/>
    </row>
    <row r="359" ht="12.5" spans="1:35">
      <c r="A359" s="177">
        <v>45127.7249193634</v>
      </c>
      <c r="B359" s="11" t="s">
        <v>1333</v>
      </c>
      <c r="C359" s="19">
        <v>71345615426</v>
      </c>
      <c r="D359" s="19">
        <v>701803216936576</v>
      </c>
      <c r="F359" s="11" t="s">
        <v>40</v>
      </c>
      <c r="G359" s="11" t="s">
        <v>41</v>
      </c>
      <c r="H359" s="24">
        <v>36927</v>
      </c>
      <c r="I359" s="277" t="s">
        <v>1338</v>
      </c>
      <c r="J359" s="11" t="s">
        <v>42</v>
      </c>
      <c r="K359" s="108" t="s">
        <v>1335</v>
      </c>
      <c r="N359" s="11" t="s">
        <v>95</v>
      </c>
      <c r="O359" s="11" t="s">
        <v>44</v>
      </c>
      <c r="P359" s="11" t="s">
        <v>44</v>
      </c>
      <c r="Q359" s="11" t="s">
        <v>44</v>
      </c>
      <c r="R359" s="11" t="s">
        <v>45</v>
      </c>
      <c r="S359" s="11" t="s">
        <v>45</v>
      </c>
      <c r="T359" s="11" t="s">
        <v>44</v>
      </c>
      <c r="U359" s="11" t="s">
        <v>44</v>
      </c>
      <c r="W359" s="11" t="s">
        <v>57</v>
      </c>
      <c r="X359" s="11" t="s">
        <v>97</v>
      </c>
      <c r="Y359" s="11" t="s">
        <v>97</v>
      </c>
      <c r="Z359" s="11">
        <v>81999835531</v>
      </c>
      <c r="AA359" s="11" t="s">
        <v>115</v>
      </c>
      <c r="AB359" s="11"/>
      <c r="AC359" s="11"/>
      <c r="AD359" s="11" t="b">
        <v>0</v>
      </c>
      <c r="AF359" s="11"/>
      <c r="AG359" s="11"/>
      <c r="AH359" s="11"/>
      <c r="AI359" s="11"/>
    </row>
    <row r="360" ht="12.5" spans="1:35">
      <c r="A360" s="177">
        <v>45127.774745</v>
      </c>
      <c r="B360" s="11" t="s">
        <v>970</v>
      </c>
      <c r="C360" s="277" t="s">
        <v>971</v>
      </c>
      <c r="D360" s="19">
        <v>701103334115080</v>
      </c>
      <c r="E360" s="18" t="s">
        <v>1339</v>
      </c>
      <c r="F360" s="11" t="s">
        <v>225</v>
      </c>
      <c r="G360" s="11" t="s">
        <v>54</v>
      </c>
      <c r="H360" s="24">
        <v>32474</v>
      </c>
      <c r="I360" s="277" t="s">
        <v>973</v>
      </c>
      <c r="J360" s="11" t="s">
        <v>42</v>
      </c>
      <c r="K360" s="108" t="s">
        <v>282</v>
      </c>
      <c r="N360" s="11" t="s">
        <v>43</v>
      </c>
      <c r="O360" s="11" t="s">
        <v>65</v>
      </c>
      <c r="P360" s="11" t="s">
        <v>66</v>
      </c>
      <c r="Q360" s="11" t="s">
        <v>44</v>
      </c>
      <c r="R360" s="11" t="s">
        <v>44</v>
      </c>
      <c r="S360" s="11" t="s">
        <v>45</v>
      </c>
      <c r="T360" s="11" t="s">
        <v>44</v>
      </c>
      <c r="U360" s="11" t="s">
        <v>45</v>
      </c>
      <c r="V360" s="24">
        <v>45129</v>
      </c>
      <c r="W360" s="11" t="s">
        <v>46</v>
      </c>
      <c r="X360" s="11" t="s">
        <v>203</v>
      </c>
      <c r="Y360" s="11" t="s">
        <v>58</v>
      </c>
      <c r="Z360" s="11">
        <v>81993617490</v>
      </c>
      <c r="AA360" s="11" t="s">
        <v>115</v>
      </c>
      <c r="AB360" s="11" t="s">
        <v>49</v>
      </c>
      <c r="AC360" s="11" t="s">
        <v>50</v>
      </c>
      <c r="AD360" s="11" t="b">
        <v>0</v>
      </c>
      <c r="AF360" s="214" t="s">
        <v>1340</v>
      </c>
      <c r="AG360" s="11"/>
      <c r="AH360" s="11" t="s">
        <v>1341</v>
      </c>
      <c r="AI360" s="11"/>
    </row>
    <row r="361" ht="12.5" spans="1:35">
      <c r="A361" s="177">
        <v>45128.4516166435</v>
      </c>
      <c r="B361" s="11" t="s">
        <v>1146</v>
      </c>
      <c r="C361" s="277" t="s">
        <v>1147</v>
      </c>
      <c r="D361" s="19">
        <v>700800924380087</v>
      </c>
      <c r="E361" s="18" t="s">
        <v>1342</v>
      </c>
      <c r="F361" s="11" t="s">
        <v>225</v>
      </c>
      <c r="G361" s="11" t="s">
        <v>54</v>
      </c>
      <c r="H361" s="24">
        <v>31675</v>
      </c>
      <c r="I361" s="277" t="s">
        <v>261</v>
      </c>
      <c r="J361" s="11" t="s">
        <v>42</v>
      </c>
      <c r="K361" s="108" t="s">
        <v>202</v>
      </c>
      <c r="N361" s="11" t="s">
        <v>95</v>
      </c>
      <c r="O361" s="11" t="s">
        <v>44</v>
      </c>
      <c r="P361" s="11" t="s">
        <v>44</v>
      </c>
      <c r="Q361" s="11" t="s">
        <v>44</v>
      </c>
      <c r="R361" s="11" t="s">
        <v>45</v>
      </c>
      <c r="S361" s="11" t="s">
        <v>45</v>
      </c>
      <c r="T361" s="11" t="s">
        <v>44</v>
      </c>
      <c r="U361" s="11" t="s">
        <v>44</v>
      </c>
      <c r="W361" s="11" t="s">
        <v>46</v>
      </c>
      <c r="X361" s="11" t="s">
        <v>97</v>
      </c>
      <c r="Y361" s="11" t="s">
        <v>97</v>
      </c>
      <c r="Z361" s="11">
        <v>81991663102</v>
      </c>
      <c r="AA361" s="11" t="s">
        <v>1267</v>
      </c>
      <c r="AB361" s="11"/>
      <c r="AC361" s="11"/>
      <c r="AD361" s="11" t="b">
        <v>0</v>
      </c>
      <c r="AF361" s="11"/>
      <c r="AG361" s="11"/>
      <c r="AH361" s="11"/>
      <c r="AI361" s="11"/>
    </row>
    <row r="362" ht="12.5" spans="1:35">
      <c r="A362" s="177">
        <v>45128.5616659954</v>
      </c>
      <c r="B362" s="11" t="s">
        <v>442</v>
      </c>
      <c r="C362" s="19">
        <v>11202951490</v>
      </c>
      <c r="D362" s="19">
        <v>702104750775290</v>
      </c>
      <c r="E362" s="18" t="s">
        <v>1343</v>
      </c>
      <c r="F362" s="11" t="s">
        <v>225</v>
      </c>
      <c r="G362" s="11" t="s">
        <v>54</v>
      </c>
      <c r="H362" s="24">
        <v>35694</v>
      </c>
      <c r="I362" s="277" t="s">
        <v>261</v>
      </c>
      <c r="J362" s="11" t="s">
        <v>42</v>
      </c>
      <c r="K362" s="108" t="s">
        <v>1344</v>
      </c>
      <c r="N362" s="11" t="s">
        <v>43</v>
      </c>
      <c r="O362" s="11" t="s">
        <v>44</v>
      </c>
      <c r="P362" s="11" t="s">
        <v>44</v>
      </c>
      <c r="Q362" s="11" t="s">
        <v>44</v>
      </c>
      <c r="R362" s="11" t="s">
        <v>45</v>
      </c>
      <c r="S362" s="11" t="s">
        <v>45</v>
      </c>
      <c r="T362" s="11" t="s">
        <v>44</v>
      </c>
      <c r="U362" s="11" t="s">
        <v>44</v>
      </c>
      <c r="W362" s="11" t="s">
        <v>46</v>
      </c>
      <c r="X362" s="11" t="s">
        <v>47</v>
      </c>
      <c r="Y362" s="11" t="s">
        <v>58</v>
      </c>
      <c r="Z362" s="11">
        <v>81987252750</v>
      </c>
      <c r="AA362" s="11" t="s">
        <v>1267</v>
      </c>
      <c r="AB362" s="11"/>
      <c r="AC362" s="11"/>
      <c r="AD362" s="11" t="b">
        <v>0</v>
      </c>
      <c r="AF362" s="11"/>
      <c r="AG362" s="11"/>
      <c r="AH362" s="11"/>
      <c r="AI362" s="11"/>
    </row>
    <row r="363" ht="12.5" spans="1:35">
      <c r="A363" s="177">
        <v>45129.3816870139</v>
      </c>
      <c r="B363" s="11" t="s">
        <v>970</v>
      </c>
      <c r="C363" s="277" t="s">
        <v>971</v>
      </c>
      <c r="D363" s="19">
        <v>701103334115080</v>
      </c>
      <c r="F363" s="11" t="s">
        <v>225</v>
      </c>
      <c r="G363" s="11" t="s">
        <v>54</v>
      </c>
      <c r="H363" s="24">
        <v>32474</v>
      </c>
      <c r="I363" s="277" t="s">
        <v>973</v>
      </c>
      <c r="J363" s="11" t="s">
        <v>42</v>
      </c>
      <c r="K363" s="108" t="s">
        <v>282</v>
      </c>
      <c r="N363" s="11" t="s">
        <v>95</v>
      </c>
      <c r="O363" s="11" t="s">
        <v>44</v>
      </c>
      <c r="P363" s="11" t="s">
        <v>44</v>
      </c>
      <c r="Q363" s="11" t="s">
        <v>44</v>
      </c>
      <c r="R363" s="11" t="s">
        <v>44</v>
      </c>
      <c r="S363" s="11" t="s">
        <v>45</v>
      </c>
      <c r="T363" s="11" t="s">
        <v>44</v>
      </c>
      <c r="U363" s="11" t="s">
        <v>44</v>
      </c>
      <c r="W363" s="11" t="s">
        <v>57</v>
      </c>
      <c r="X363" s="11" t="s">
        <v>97</v>
      </c>
      <c r="Y363" s="11" t="s">
        <v>97</v>
      </c>
      <c r="Z363" s="11">
        <v>81993617490</v>
      </c>
      <c r="AA363" s="11" t="s">
        <v>115</v>
      </c>
      <c r="AB363" s="11"/>
      <c r="AC363" s="11"/>
      <c r="AD363" s="11" t="b">
        <v>0</v>
      </c>
      <c r="AF363" s="11"/>
      <c r="AG363" s="11"/>
      <c r="AH363" s="11"/>
      <c r="AI363" s="11"/>
    </row>
    <row r="364" ht="12.5" spans="1:35">
      <c r="A364" s="177">
        <v>45129.4233441319</v>
      </c>
      <c r="B364" s="11" t="s">
        <v>1345</v>
      </c>
      <c r="C364" s="277" t="s">
        <v>1346</v>
      </c>
      <c r="D364" s="19">
        <v>708603017484089</v>
      </c>
      <c r="E364" s="18" t="s">
        <v>1347</v>
      </c>
      <c r="F364" s="11" t="s">
        <v>40</v>
      </c>
      <c r="G364" s="11" t="s">
        <v>83</v>
      </c>
      <c r="H364" s="24">
        <v>33609</v>
      </c>
      <c r="I364" s="277" t="s">
        <v>1348</v>
      </c>
      <c r="J364" s="11" t="s">
        <v>42</v>
      </c>
      <c r="K364" s="108" t="s">
        <v>155</v>
      </c>
      <c r="N364" s="11" t="s">
        <v>43</v>
      </c>
      <c r="O364" s="11" t="s">
        <v>44</v>
      </c>
      <c r="P364" s="11" t="s">
        <v>44</v>
      </c>
      <c r="Q364" s="11" t="s">
        <v>44</v>
      </c>
      <c r="R364" s="11" t="s">
        <v>45</v>
      </c>
      <c r="S364" s="11" t="s">
        <v>45</v>
      </c>
      <c r="T364" s="11" t="s">
        <v>44</v>
      </c>
      <c r="U364" s="11" t="s">
        <v>45</v>
      </c>
      <c r="V364" s="24">
        <v>45130</v>
      </c>
      <c r="W364" s="11" t="s">
        <v>46</v>
      </c>
      <c r="X364" s="11" t="s">
        <v>303</v>
      </c>
      <c r="Y364" s="11" t="s">
        <v>68</v>
      </c>
      <c r="Z364" s="11">
        <v>81998947901</v>
      </c>
      <c r="AA364" s="11" t="s">
        <v>541</v>
      </c>
      <c r="AB364" s="11" t="s">
        <v>49</v>
      </c>
      <c r="AC364" s="11" t="s">
        <v>256</v>
      </c>
      <c r="AD364" s="11" t="b">
        <v>0</v>
      </c>
      <c r="AF364" s="11" t="s">
        <v>1349</v>
      </c>
      <c r="AG364" s="148" t="s">
        <v>1350</v>
      </c>
      <c r="AH364" s="11"/>
      <c r="AI364" s="11"/>
    </row>
    <row r="365" ht="12.5" spans="1:35">
      <c r="A365" s="177">
        <v>45129.4316722569</v>
      </c>
      <c r="B365" s="11" t="s">
        <v>327</v>
      </c>
      <c r="C365" s="19">
        <v>70672195402</v>
      </c>
      <c r="D365" s="19">
        <v>707405032215277</v>
      </c>
      <c r="E365" s="18" t="s">
        <v>1351</v>
      </c>
      <c r="F365" s="11" t="s">
        <v>40</v>
      </c>
      <c r="G365" s="11" t="s">
        <v>54</v>
      </c>
      <c r="H365" s="24">
        <v>35089</v>
      </c>
      <c r="I365" s="277" t="s">
        <v>329</v>
      </c>
      <c r="J365" s="11" t="s">
        <v>42</v>
      </c>
      <c r="K365" s="108" t="s">
        <v>202</v>
      </c>
      <c r="N365" s="11" t="s">
        <v>43</v>
      </c>
      <c r="O365" s="11" t="s">
        <v>65</v>
      </c>
      <c r="P365" s="11" t="s">
        <v>66</v>
      </c>
      <c r="Q365" s="11" t="s">
        <v>44</v>
      </c>
      <c r="R365" s="11" t="s">
        <v>45</v>
      </c>
      <c r="S365" s="11" t="s">
        <v>45</v>
      </c>
      <c r="T365" s="11" t="s">
        <v>44</v>
      </c>
      <c r="U365" s="11" t="s">
        <v>45</v>
      </c>
      <c r="V365" s="24">
        <v>45130</v>
      </c>
      <c r="W365" s="11" t="s">
        <v>46</v>
      </c>
      <c r="X365" s="11" t="s">
        <v>303</v>
      </c>
      <c r="Y365" s="11" t="s">
        <v>58</v>
      </c>
      <c r="Z365" s="11">
        <v>81999301993</v>
      </c>
      <c r="AA365" s="11" t="s">
        <v>115</v>
      </c>
      <c r="AB365" s="11" t="s">
        <v>49</v>
      </c>
      <c r="AC365" s="11" t="s">
        <v>256</v>
      </c>
      <c r="AD365" s="11" t="b">
        <v>0</v>
      </c>
      <c r="AF365" s="11" t="s">
        <v>1352</v>
      </c>
      <c r="AG365" s="11"/>
      <c r="AH365" s="11"/>
      <c r="AI365" s="11"/>
    </row>
    <row r="366" ht="12.5" spans="1:35">
      <c r="A366" s="177">
        <v>45129.7174219097</v>
      </c>
      <c r="B366" s="11" t="s">
        <v>1327</v>
      </c>
      <c r="C366" s="277" t="s">
        <v>1328</v>
      </c>
      <c r="D366" s="19">
        <v>706605501971710</v>
      </c>
      <c r="F366" s="11" t="s">
        <v>225</v>
      </c>
      <c r="G366" s="11" t="s">
        <v>54</v>
      </c>
      <c r="H366" s="24">
        <v>34190</v>
      </c>
      <c r="I366" s="277" t="s">
        <v>1330</v>
      </c>
      <c r="J366" s="11" t="s">
        <v>42</v>
      </c>
      <c r="K366" s="108" t="s">
        <v>455</v>
      </c>
      <c r="N366" s="11" t="s">
        <v>95</v>
      </c>
      <c r="O366" s="11" t="s">
        <v>44</v>
      </c>
      <c r="P366" s="11" t="s">
        <v>44</v>
      </c>
      <c r="Q366" s="11" t="s">
        <v>44</v>
      </c>
      <c r="R366" s="11" t="s">
        <v>44</v>
      </c>
      <c r="S366" s="11" t="s">
        <v>44</v>
      </c>
      <c r="T366" s="11" t="s">
        <v>44</v>
      </c>
      <c r="U366" s="11" t="s">
        <v>44</v>
      </c>
      <c r="W366" s="11" t="s">
        <v>57</v>
      </c>
      <c r="X366" s="11" t="s">
        <v>97</v>
      </c>
      <c r="Y366" s="11" t="s">
        <v>97</v>
      </c>
      <c r="Z366" s="11">
        <v>81994880109</v>
      </c>
      <c r="AA366" s="11" t="s">
        <v>115</v>
      </c>
      <c r="AB366" s="11"/>
      <c r="AC366" s="11"/>
      <c r="AD366" s="11" t="b">
        <v>0</v>
      </c>
      <c r="AF366" s="11"/>
      <c r="AG366" s="11"/>
      <c r="AH366" s="11" t="s">
        <v>1332</v>
      </c>
      <c r="AI366" s="11"/>
    </row>
    <row r="367" ht="12.5" spans="1:35">
      <c r="A367" s="177">
        <v>45129.7722723611</v>
      </c>
      <c r="B367" s="11" t="s">
        <v>1353</v>
      </c>
      <c r="C367" s="19">
        <v>12867231400</v>
      </c>
      <c r="D367" s="19">
        <v>700009213912107</v>
      </c>
      <c r="E367" s="18" t="s">
        <v>1354</v>
      </c>
      <c r="F367" s="11" t="s">
        <v>40</v>
      </c>
      <c r="G367" s="11" t="s">
        <v>54</v>
      </c>
      <c r="H367" s="24">
        <v>37222</v>
      </c>
      <c r="I367" s="277" t="s">
        <v>1355</v>
      </c>
      <c r="J367" s="11" t="s">
        <v>42</v>
      </c>
      <c r="K367" s="108" t="s">
        <v>1356</v>
      </c>
      <c r="N367" s="11" t="s">
        <v>43</v>
      </c>
      <c r="O367" s="11" t="s">
        <v>44</v>
      </c>
      <c r="P367" s="11" t="s">
        <v>44</v>
      </c>
      <c r="Q367" s="11" t="s">
        <v>44</v>
      </c>
      <c r="R367" s="11" t="s">
        <v>45</v>
      </c>
      <c r="S367" s="11" t="s">
        <v>45</v>
      </c>
      <c r="T367" s="11" t="s">
        <v>44</v>
      </c>
      <c r="U367" s="11" t="s">
        <v>45</v>
      </c>
      <c r="V367" s="24">
        <v>45130</v>
      </c>
      <c r="W367" s="11" t="s">
        <v>46</v>
      </c>
      <c r="X367" s="11" t="s">
        <v>303</v>
      </c>
      <c r="Y367" s="11" t="s">
        <v>58</v>
      </c>
      <c r="Z367" s="11">
        <v>81986020267</v>
      </c>
      <c r="AA367" s="11" t="s">
        <v>541</v>
      </c>
      <c r="AB367" s="11" t="s">
        <v>98</v>
      </c>
      <c r="AC367" s="11"/>
      <c r="AD367" s="11" t="b">
        <v>0</v>
      </c>
      <c r="AF367" s="11" t="s">
        <v>1357</v>
      </c>
      <c r="AG367" s="11" t="s">
        <v>1358</v>
      </c>
      <c r="AH367" s="11" t="s">
        <v>1359</v>
      </c>
      <c r="AI367" s="11"/>
    </row>
    <row r="368" ht="12.5" spans="1:35">
      <c r="A368" s="177">
        <v>45130.4040577662</v>
      </c>
      <c r="B368" s="11" t="s">
        <v>327</v>
      </c>
      <c r="C368" s="19">
        <v>70672195402</v>
      </c>
      <c r="D368" s="19">
        <v>707405032215277</v>
      </c>
      <c r="F368" s="11" t="s">
        <v>40</v>
      </c>
      <c r="G368" s="11" t="s">
        <v>54</v>
      </c>
      <c r="H368" s="24">
        <v>35089</v>
      </c>
      <c r="I368" s="277" t="s">
        <v>329</v>
      </c>
      <c r="J368" s="11" t="s">
        <v>42</v>
      </c>
      <c r="K368" s="108" t="s">
        <v>202</v>
      </c>
      <c r="N368" s="11" t="s">
        <v>95</v>
      </c>
      <c r="O368" s="11" t="s">
        <v>44</v>
      </c>
      <c r="P368" s="11" t="s">
        <v>44</v>
      </c>
      <c r="Q368" s="11" t="s">
        <v>44</v>
      </c>
      <c r="R368" s="11" t="s">
        <v>45</v>
      </c>
      <c r="S368" s="11" t="s">
        <v>45</v>
      </c>
      <c r="T368" s="11" t="s">
        <v>44</v>
      </c>
      <c r="U368" s="11" t="s">
        <v>44</v>
      </c>
      <c r="W368" s="11" t="s">
        <v>57</v>
      </c>
      <c r="X368" s="11" t="s">
        <v>97</v>
      </c>
      <c r="Y368" s="11" t="s">
        <v>97</v>
      </c>
      <c r="Z368" s="11">
        <v>81999301993</v>
      </c>
      <c r="AA368" s="11" t="s">
        <v>1360</v>
      </c>
      <c r="AB368" s="11"/>
      <c r="AC368" s="11"/>
      <c r="AD368" s="11" t="b">
        <v>0</v>
      </c>
      <c r="AF368" s="11"/>
      <c r="AG368" s="11"/>
      <c r="AH368" s="11"/>
      <c r="AI368" s="11"/>
    </row>
    <row r="369" ht="12.5" spans="1:35">
      <c r="A369" s="177">
        <v>45130.4945230556</v>
      </c>
      <c r="B369" s="11" t="s">
        <v>1345</v>
      </c>
      <c r="C369" s="277" t="s">
        <v>1346</v>
      </c>
      <c r="D369" s="19">
        <v>708603017484089</v>
      </c>
      <c r="F369" s="11" t="s">
        <v>40</v>
      </c>
      <c r="G369" s="11" t="s">
        <v>54</v>
      </c>
      <c r="H369" s="24">
        <v>33609</v>
      </c>
      <c r="I369" s="277" t="s">
        <v>1348</v>
      </c>
      <c r="J369" s="11" t="s">
        <v>42</v>
      </c>
      <c r="K369" s="108" t="s">
        <v>155</v>
      </c>
      <c r="N369" s="11" t="s">
        <v>95</v>
      </c>
      <c r="O369" s="11" t="s">
        <v>44</v>
      </c>
      <c r="P369" s="11" t="s">
        <v>44</v>
      </c>
      <c r="Q369" s="11" t="s">
        <v>44</v>
      </c>
      <c r="R369" s="11" t="s">
        <v>45</v>
      </c>
      <c r="S369" s="11" t="s">
        <v>83</v>
      </c>
      <c r="T369" s="11" t="s">
        <v>44</v>
      </c>
      <c r="U369" s="11" t="s">
        <v>44</v>
      </c>
      <c r="W369" s="11" t="s">
        <v>57</v>
      </c>
      <c r="X369" s="11" t="s">
        <v>97</v>
      </c>
      <c r="Y369" s="11" t="s">
        <v>97</v>
      </c>
      <c r="Z369" s="11">
        <v>81998947901</v>
      </c>
      <c r="AA369" s="11" t="s">
        <v>1360</v>
      </c>
      <c r="AB369" s="11"/>
      <c r="AC369" s="11"/>
      <c r="AD369" s="11" t="b">
        <v>0</v>
      </c>
      <c r="AF369" s="11"/>
      <c r="AG369" s="11"/>
      <c r="AH369" s="11"/>
      <c r="AI369" s="11"/>
    </row>
    <row r="370" ht="12.5" spans="1:35">
      <c r="A370" s="177">
        <v>45131.5659569097</v>
      </c>
      <c r="B370" s="11" t="s">
        <v>1361</v>
      </c>
      <c r="C370" s="277" t="s">
        <v>1362</v>
      </c>
      <c r="D370" s="19">
        <v>706403175801781</v>
      </c>
      <c r="E370" s="18" t="s">
        <v>1363</v>
      </c>
      <c r="F370" s="11" t="s">
        <v>225</v>
      </c>
      <c r="G370" s="11" t="s">
        <v>54</v>
      </c>
      <c r="H370" s="24">
        <v>31830</v>
      </c>
      <c r="I370" s="277" t="s">
        <v>1364</v>
      </c>
      <c r="J370" s="11" t="s">
        <v>42</v>
      </c>
      <c r="K370" s="108" t="s">
        <v>74</v>
      </c>
      <c r="N370" s="11" t="s">
        <v>43</v>
      </c>
      <c r="O370" s="11" t="s">
        <v>44</v>
      </c>
      <c r="P370" s="11" t="s">
        <v>44</v>
      </c>
      <c r="Q370" s="11" t="s">
        <v>44</v>
      </c>
      <c r="R370" s="11" t="s">
        <v>45</v>
      </c>
      <c r="S370" s="11" t="s">
        <v>83</v>
      </c>
      <c r="T370" s="11" t="s">
        <v>44</v>
      </c>
      <c r="U370" s="11" t="s">
        <v>44</v>
      </c>
      <c r="W370" s="11" t="s">
        <v>46</v>
      </c>
      <c r="X370" s="11" t="s">
        <v>47</v>
      </c>
      <c r="Y370" s="11" t="s">
        <v>58</v>
      </c>
      <c r="Z370" s="11">
        <v>81985753916</v>
      </c>
      <c r="AA370" s="11" t="s">
        <v>113</v>
      </c>
      <c r="AB370" s="11"/>
      <c r="AC370" s="11"/>
      <c r="AD370" s="11" t="b">
        <v>0</v>
      </c>
      <c r="AF370" s="11"/>
      <c r="AG370" s="11"/>
      <c r="AH370" s="11"/>
      <c r="AI370" s="11"/>
    </row>
    <row r="371" ht="12.5" spans="1:35">
      <c r="A371" s="177">
        <v>45132.3892258449</v>
      </c>
      <c r="B371" s="11" t="s">
        <v>1365</v>
      </c>
      <c r="C371" s="19">
        <v>70596684460</v>
      </c>
      <c r="D371" s="19">
        <v>702407068460825</v>
      </c>
      <c r="E371" s="18" t="s">
        <v>1366</v>
      </c>
      <c r="F371" s="11" t="s">
        <v>40</v>
      </c>
      <c r="G371" s="11" t="s">
        <v>54</v>
      </c>
      <c r="H371" s="24">
        <v>35757</v>
      </c>
      <c r="I371" s="277" t="s">
        <v>1367</v>
      </c>
      <c r="J371" s="11" t="s">
        <v>42</v>
      </c>
      <c r="K371" s="108" t="s">
        <v>155</v>
      </c>
      <c r="N371" s="11" t="s">
        <v>43</v>
      </c>
      <c r="O371" s="11" t="s">
        <v>44</v>
      </c>
      <c r="P371" s="11" t="s">
        <v>44</v>
      </c>
      <c r="Q371" s="11" t="s">
        <v>44</v>
      </c>
      <c r="R371" s="11" t="s">
        <v>45</v>
      </c>
      <c r="S371" s="11" t="s">
        <v>83</v>
      </c>
      <c r="T371" s="11" t="s">
        <v>44</v>
      </c>
      <c r="U371" s="11" t="s">
        <v>45</v>
      </c>
      <c r="V371" s="24">
        <v>45133</v>
      </c>
      <c r="W371" s="11" t="s">
        <v>46</v>
      </c>
      <c r="X371" s="11" t="s">
        <v>47</v>
      </c>
      <c r="Y371" s="11" t="s">
        <v>58</v>
      </c>
      <c r="Z371" s="11">
        <v>81983228290</v>
      </c>
      <c r="AA371" s="11" t="s">
        <v>113</v>
      </c>
      <c r="AB371" s="11" t="s">
        <v>49</v>
      </c>
      <c r="AC371" s="11" t="s">
        <v>50</v>
      </c>
      <c r="AD371" s="11" t="b">
        <v>0</v>
      </c>
      <c r="AF371" s="11" t="s">
        <v>1368</v>
      </c>
      <c r="AG371" s="11" t="s">
        <v>1369</v>
      </c>
      <c r="AH371" s="11"/>
      <c r="AI371" s="11"/>
    </row>
    <row r="372" ht="12.5" spans="1:35">
      <c r="A372" s="177">
        <v>45132.465131412</v>
      </c>
      <c r="B372" s="11" t="s">
        <v>1370</v>
      </c>
      <c r="C372" s="19">
        <v>12143833431</v>
      </c>
      <c r="D372" s="19">
        <v>702908566058871</v>
      </c>
      <c r="E372" s="18" t="s">
        <v>1371</v>
      </c>
      <c r="F372" s="11" t="s">
        <v>40</v>
      </c>
      <c r="G372" s="11" t="s">
        <v>54</v>
      </c>
      <c r="H372" s="24">
        <v>33131</v>
      </c>
      <c r="I372" s="19" t="s">
        <v>136</v>
      </c>
      <c r="J372" s="11" t="s">
        <v>42</v>
      </c>
      <c r="K372" s="108" t="s">
        <v>1372</v>
      </c>
      <c r="N372" s="11" t="s">
        <v>43</v>
      </c>
      <c r="O372" s="11" t="s">
        <v>658</v>
      </c>
      <c r="P372" s="11" t="s">
        <v>44</v>
      </c>
      <c r="Q372" s="11" t="s">
        <v>44</v>
      </c>
      <c r="R372" s="11" t="s">
        <v>45</v>
      </c>
      <c r="S372" s="11" t="s">
        <v>45</v>
      </c>
      <c r="T372" s="11" t="s">
        <v>44</v>
      </c>
      <c r="U372" s="11" t="s">
        <v>45</v>
      </c>
      <c r="V372" s="24">
        <v>45134</v>
      </c>
      <c r="W372" s="11" t="s">
        <v>46</v>
      </c>
      <c r="X372" s="11" t="s">
        <v>47</v>
      </c>
      <c r="Y372" s="11" t="s">
        <v>1169</v>
      </c>
      <c r="Z372" s="11">
        <v>81982295697</v>
      </c>
      <c r="AA372" s="11" t="s">
        <v>113</v>
      </c>
      <c r="AB372" s="11" t="s">
        <v>49</v>
      </c>
      <c r="AC372" s="11" t="s">
        <v>75</v>
      </c>
      <c r="AD372" s="11" t="b">
        <v>0</v>
      </c>
      <c r="AF372" s="11" t="s">
        <v>1373</v>
      </c>
      <c r="AG372" s="11"/>
      <c r="AH372" s="11"/>
      <c r="AI372" s="11"/>
    </row>
    <row r="373" ht="12.5" spans="1:37">
      <c r="A373" s="203">
        <v>45132.7001674306</v>
      </c>
      <c r="B373" s="4" t="s">
        <v>1374</v>
      </c>
      <c r="C373" s="280" t="s">
        <v>1375</v>
      </c>
      <c r="D373" s="19">
        <v>700800977538181</v>
      </c>
      <c r="E373" s="53" t="s">
        <v>1376</v>
      </c>
      <c r="F373" s="4" t="s">
        <v>40</v>
      </c>
      <c r="G373" s="4" t="s">
        <v>41</v>
      </c>
      <c r="H373" s="204">
        <v>30049</v>
      </c>
      <c r="I373" s="280" t="s">
        <v>1377</v>
      </c>
      <c r="J373" s="4" t="s">
        <v>42</v>
      </c>
      <c r="K373" s="206" t="s">
        <v>155</v>
      </c>
      <c r="L373" s="4"/>
      <c r="M373" s="4"/>
      <c r="N373" s="4" t="s">
        <v>43</v>
      </c>
      <c r="O373" s="4" t="s">
        <v>44</v>
      </c>
      <c r="P373" s="4" t="s">
        <v>44</v>
      </c>
      <c r="Q373" s="4" t="s">
        <v>44</v>
      </c>
      <c r="R373" s="4" t="s">
        <v>45</v>
      </c>
      <c r="S373" s="4" t="s">
        <v>45</v>
      </c>
      <c r="T373" s="4" t="s">
        <v>45</v>
      </c>
      <c r="U373" s="4" t="s">
        <v>45</v>
      </c>
      <c r="V373" s="204">
        <v>45134</v>
      </c>
      <c r="W373" s="4" t="s">
        <v>46</v>
      </c>
      <c r="X373" s="4" t="s">
        <v>47</v>
      </c>
      <c r="Y373" s="4" t="s">
        <v>58</v>
      </c>
      <c r="Z373" s="4">
        <v>81987398270</v>
      </c>
      <c r="AA373" s="4" t="s">
        <v>113</v>
      </c>
      <c r="AB373" s="4" t="s">
        <v>49</v>
      </c>
      <c r="AC373" s="4" t="s">
        <v>75</v>
      </c>
      <c r="AD373" s="4" t="b">
        <v>1</v>
      </c>
      <c r="AE373" s="4" t="s">
        <v>137</v>
      </c>
      <c r="AF373" s="4" t="s">
        <v>1378</v>
      </c>
      <c r="AG373" s="4" t="s">
        <v>1379</v>
      </c>
      <c r="AH373" s="4" t="s">
        <v>1380</v>
      </c>
      <c r="AI373" s="4"/>
      <c r="AJ373" s="4"/>
      <c r="AK373" s="4"/>
    </row>
    <row r="374" ht="12.5" spans="1:35">
      <c r="A374" s="177">
        <v>45133.4167537731</v>
      </c>
      <c r="B374" s="11" t="s">
        <v>343</v>
      </c>
      <c r="C374" s="19">
        <v>13025935448</v>
      </c>
      <c r="D374" s="19">
        <v>702409551791425</v>
      </c>
      <c r="E374" s="18" t="s">
        <v>1381</v>
      </c>
      <c r="F374" s="11" t="s">
        <v>40</v>
      </c>
      <c r="G374" s="11" t="s">
        <v>41</v>
      </c>
      <c r="H374" s="24">
        <v>36287</v>
      </c>
      <c r="I374" s="277" t="s">
        <v>345</v>
      </c>
      <c r="J374" s="11" t="s">
        <v>42</v>
      </c>
      <c r="K374" s="108" t="s">
        <v>63</v>
      </c>
      <c r="N374" s="11" t="s">
        <v>43</v>
      </c>
      <c r="O374" s="11" t="s">
        <v>65</v>
      </c>
      <c r="P374" s="11" t="s">
        <v>66</v>
      </c>
      <c r="Q374" s="11" t="s">
        <v>44</v>
      </c>
      <c r="R374" s="11" t="s">
        <v>45</v>
      </c>
      <c r="S374" s="11" t="s">
        <v>45</v>
      </c>
      <c r="T374" s="11" t="s">
        <v>44</v>
      </c>
      <c r="U374" s="11" t="s">
        <v>45</v>
      </c>
      <c r="V374" s="24">
        <v>45134</v>
      </c>
      <c r="W374" s="11" t="s">
        <v>46</v>
      </c>
      <c r="X374" s="11" t="s">
        <v>47</v>
      </c>
      <c r="Y374" s="11" t="s">
        <v>58</v>
      </c>
      <c r="Z374" s="11">
        <v>87991887250</v>
      </c>
      <c r="AA374" s="11" t="s">
        <v>113</v>
      </c>
      <c r="AB374" s="11" t="s">
        <v>49</v>
      </c>
      <c r="AC374" s="11" t="s">
        <v>75</v>
      </c>
      <c r="AD374" s="11" t="b">
        <v>0</v>
      </c>
      <c r="AF374" s="11" t="s">
        <v>1382</v>
      </c>
      <c r="AG374" s="11"/>
      <c r="AH374" s="11" t="s">
        <v>1383</v>
      </c>
      <c r="AI374" s="11"/>
    </row>
    <row r="375" ht="12.5" spans="1:35">
      <c r="A375" s="177">
        <v>45133.4364842477</v>
      </c>
      <c r="B375" s="11" t="s">
        <v>1384</v>
      </c>
      <c r="C375" s="19">
        <v>13715554436</v>
      </c>
      <c r="D375" s="19">
        <v>206044337050002</v>
      </c>
      <c r="E375" s="18" t="s">
        <v>1385</v>
      </c>
      <c r="F375" s="11" t="s">
        <v>225</v>
      </c>
      <c r="G375" s="11" t="s">
        <v>54</v>
      </c>
      <c r="H375" s="24">
        <v>36370</v>
      </c>
      <c r="I375" s="19" t="s">
        <v>136</v>
      </c>
      <c r="J375" s="11" t="s">
        <v>42</v>
      </c>
      <c r="K375" s="108" t="s">
        <v>202</v>
      </c>
      <c r="N375" s="11" t="s">
        <v>43</v>
      </c>
      <c r="O375" s="11" t="s">
        <v>44</v>
      </c>
      <c r="P375" s="11" t="s">
        <v>44</v>
      </c>
      <c r="Q375" s="11" t="s">
        <v>44</v>
      </c>
      <c r="R375" s="11" t="s">
        <v>45</v>
      </c>
      <c r="S375" s="11" t="s">
        <v>45</v>
      </c>
      <c r="T375" s="11" t="s">
        <v>44</v>
      </c>
      <c r="U375" s="11" t="s">
        <v>45</v>
      </c>
      <c r="V375" s="24">
        <v>45133</v>
      </c>
      <c r="W375" s="11" t="s">
        <v>46</v>
      </c>
      <c r="X375" s="11" t="s">
        <v>47</v>
      </c>
      <c r="Y375" s="11" t="s">
        <v>58</v>
      </c>
      <c r="Z375" s="11">
        <v>81993878001</v>
      </c>
      <c r="AA375" s="11" t="s">
        <v>115</v>
      </c>
      <c r="AB375" s="11" t="s">
        <v>49</v>
      </c>
      <c r="AC375" s="11" t="s">
        <v>50</v>
      </c>
      <c r="AD375" s="11" t="b">
        <v>0</v>
      </c>
      <c r="AF375" s="11" t="s">
        <v>1386</v>
      </c>
      <c r="AG375" s="11" t="s">
        <v>1387</v>
      </c>
      <c r="AH375" s="11"/>
      <c r="AI375" s="11"/>
    </row>
    <row r="376" ht="12.5" spans="1:35">
      <c r="A376" s="177">
        <v>45133.465762662</v>
      </c>
      <c r="B376" s="11" t="s">
        <v>1116</v>
      </c>
      <c r="C376" s="19">
        <v>71331323460</v>
      </c>
      <c r="D376" s="19">
        <v>702009312004981</v>
      </c>
      <c r="E376" s="18" t="s">
        <v>1388</v>
      </c>
      <c r="F376" s="11" t="s">
        <v>40</v>
      </c>
      <c r="G376" s="11" t="s">
        <v>88</v>
      </c>
      <c r="H376" s="24">
        <v>37826</v>
      </c>
      <c r="I376" s="277" t="s">
        <v>918</v>
      </c>
      <c r="J376" s="11" t="s">
        <v>42</v>
      </c>
      <c r="K376" s="108" t="s">
        <v>202</v>
      </c>
      <c r="N376" s="11" t="s">
        <v>43</v>
      </c>
      <c r="O376" s="11" t="s">
        <v>44</v>
      </c>
      <c r="P376" s="11" t="s">
        <v>44</v>
      </c>
      <c r="Q376" s="11" t="s">
        <v>44</v>
      </c>
      <c r="R376" s="11" t="s">
        <v>45</v>
      </c>
      <c r="S376" s="11" t="s">
        <v>83</v>
      </c>
      <c r="T376" s="11" t="s">
        <v>44</v>
      </c>
      <c r="U376" s="11" t="s">
        <v>44</v>
      </c>
      <c r="W376" s="11" t="s">
        <v>46</v>
      </c>
      <c r="X376" s="11" t="s">
        <v>47</v>
      </c>
      <c r="Y376" s="11" t="s">
        <v>58</v>
      </c>
      <c r="Z376" s="11">
        <v>81987465625</v>
      </c>
      <c r="AA376" s="11" t="s">
        <v>113</v>
      </c>
      <c r="AB376" s="11"/>
      <c r="AC376" s="11"/>
      <c r="AD376" s="11" t="b">
        <v>0</v>
      </c>
      <c r="AF376" s="11"/>
      <c r="AG376" s="11"/>
      <c r="AH376" s="11"/>
      <c r="AI376" s="11"/>
    </row>
    <row r="377" ht="12.5" spans="1:35">
      <c r="A377" s="177">
        <v>45133.7549039583</v>
      </c>
      <c r="B377" s="11" t="s">
        <v>1333</v>
      </c>
      <c r="C377" s="19">
        <v>71345615426</v>
      </c>
      <c r="D377" s="19">
        <v>701803216936576</v>
      </c>
      <c r="E377" s="18" t="s">
        <v>1389</v>
      </c>
      <c r="F377" s="11" t="s">
        <v>40</v>
      </c>
      <c r="G377" s="11" t="s">
        <v>41</v>
      </c>
      <c r="H377" s="24">
        <v>36927</v>
      </c>
      <c r="I377" s="19" t="s">
        <v>136</v>
      </c>
      <c r="J377" s="11" t="s">
        <v>42</v>
      </c>
      <c r="K377" s="108" t="s">
        <v>455</v>
      </c>
      <c r="N377" s="11" t="s">
        <v>43</v>
      </c>
      <c r="O377" s="11" t="s">
        <v>44</v>
      </c>
      <c r="P377" s="11" t="s">
        <v>44</v>
      </c>
      <c r="Q377" s="11" t="s">
        <v>44</v>
      </c>
      <c r="R377" s="11" t="s">
        <v>45</v>
      </c>
      <c r="S377" s="11" t="s">
        <v>45</v>
      </c>
      <c r="T377" s="11" t="s">
        <v>44</v>
      </c>
      <c r="U377" s="11" t="s">
        <v>44</v>
      </c>
      <c r="W377" s="11" t="s">
        <v>46</v>
      </c>
      <c r="X377" s="11" t="s">
        <v>203</v>
      </c>
      <c r="Y377" s="11" t="s">
        <v>58</v>
      </c>
      <c r="Z377" s="11">
        <v>81999835531</v>
      </c>
      <c r="AA377" s="11" t="s">
        <v>115</v>
      </c>
      <c r="AB377" s="11"/>
      <c r="AC377" s="11"/>
      <c r="AD377" s="11" t="b">
        <v>0</v>
      </c>
      <c r="AF377" s="11"/>
      <c r="AG377" s="11"/>
      <c r="AH377" s="11"/>
      <c r="AI377" s="11"/>
    </row>
    <row r="378" ht="12.5" spans="1:35">
      <c r="A378" s="177">
        <v>45134.3686727546</v>
      </c>
      <c r="B378" s="11" t="s">
        <v>1370</v>
      </c>
      <c r="C378" s="19">
        <v>12143833431</v>
      </c>
      <c r="D378" s="19">
        <v>702908566058871</v>
      </c>
      <c r="F378" s="11" t="s">
        <v>40</v>
      </c>
      <c r="G378" s="11" t="s">
        <v>54</v>
      </c>
      <c r="H378" s="24">
        <v>33131</v>
      </c>
      <c r="I378" s="19" t="s">
        <v>1109</v>
      </c>
      <c r="J378" s="11" t="s">
        <v>42</v>
      </c>
      <c r="K378" s="108" t="s">
        <v>1372</v>
      </c>
      <c r="N378" s="11" t="s">
        <v>95</v>
      </c>
      <c r="O378" s="11" t="s">
        <v>44</v>
      </c>
      <c r="P378" s="11" t="s">
        <v>44</v>
      </c>
      <c r="Q378" s="11" t="s">
        <v>44</v>
      </c>
      <c r="R378" s="11" t="s">
        <v>45</v>
      </c>
      <c r="S378" s="11" t="s">
        <v>45</v>
      </c>
      <c r="T378" s="11" t="s">
        <v>44</v>
      </c>
      <c r="U378" s="11" t="s">
        <v>44</v>
      </c>
      <c r="W378" s="11" t="s">
        <v>57</v>
      </c>
      <c r="X378" s="11" t="s">
        <v>97</v>
      </c>
      <c r="Y378" s="11" t="s">
        <v>97</v>
      </c>
      <c r="Z378" s="11">
        <v>81982295697</v>
      </c>
      <c r="AA378" s="11" t="s">
        <v>113</v>
      </c>
      <c r="AB378" s="11"/>
      <c r="AC378" s="11"/>
      <c r="AD378" s="11" t="b">
        <v>0</v>
      </c>
      <c r="AF378" s="11"/>
      <c r="AG378" s="11"/>
      <c r="AH378" s="11"/>
      <c r="AI378" s="11"/>
    </row>
    <row r="379" ht="12.5" spans="1:35">
      <c r="A379" s="177">
        <v>45134.3802258912</v>
      </c>
      <c r="B379" s="11" t="s">
        <v>343</v>
      </c>
      <c r="C379" s="19">
        <v>13025935448</v>
      </c>
      <c r="D379" s="19">
        <v>702409551791425</v>
      </c>
      <c r="F379" s="11" t="s">
        <v>40</v>
      </c>
      <c r="G379" s="11" t="s">
        <v>41</v>
      </c>
      <c r="H379" s="24">
        <v>36287</v>
      </c>
      <c r="I379" s="277" t="s">
        <v>345</v>
      </c>
      <c r="J379" s="11" t="s">
        <v>42</v>
      </c>
      <c r="K379" s="108" t="s">
        <v>63</v>
      </c>
      <c r="N379" s="11" t="s">
        <v>95</v>
      </c>
      <c r="O379" s="11" t="s">
        <v>127</v>
      </c>
      <c r="P379" s="11" t="s">
        <v>44</v>
      </c>
      <c r="Q379" s="11" t="s">
        <v>44</v>
      </c>
      <c r="R379" s="11" t="s">
        <v>45</v>
      </c>
      <c r="S379" s="11" t="s">
        <v>45</v>
      </c>
      <c r="T379" s="11" t="s">
        <v>44</v>
      </c>
      <c r="U379" s="11" t="s">
        <v>45</v>
      </c>
      <c r="V379" s="24">
        <v>45141</v>
      </c>
      <c r="W379" s="11" t="s">
        <v>57</v>
      </c>
      <c r="X379" s="11" t="s">
        <v>97</v>
      </c>
      <c r="Y379" s="11" t="s">
        <v>97</v>
      </c>
      <c r="Z379" s="11">
        <v>87991887250</v>
      </c>
      <c r="AA379" s="11" t="s">
        <v>113</v>
      </c>
      <c r="AB379" s="11" t="s">
        <v>49</v>
      </c>
      <c r="AC379" s="11" t="s">
        <v>92</v>
      </c>
      <c r="AD379" s="11" t="b">
        <v>0</v>
      </c>
      <c r="AF379" s="11" t="s">
        <v>1390</v>
      </c>
      <c r="AG379" s="11"/>
      <c r="AH379" s="11" t="s">
        <v>1383</v>
      </c>
      <c r="AI379" s="11"/>
    </row>
    <row r="380" ht="12.5" spans="1:35">
      <c r="A380" s="177">
        <v>45134.6150825463</v>
      </c>
      <c r="B380" s="11" t="s">
        <v>1374</v>
      </c>
      <c r="C380" s="277" t="s">
        <v>1375</v>
      </c>
      <c r="D380" s="19">
        <v>700800977538181</v>
      </c>
      <c r="E380" s="18" t="s">
        <v>1391</v>
      </c>
      <c r="F380" s="11" t="s">
        <v>40</v>
      </c>
      <c r="G380" s="11" t="s">
        <v>41</v>
      </c>
      <c r="H380" s="24">
        <v>30049</v>
      </c>
      <c r="I380" s="277" t="s">
        <v>1377</v>
      </c>
      <c r="J380" s="11" t="s">
        <v>42</v>
      </c>
      <c r="K380" s="108" t="s">
        <v>155</v>
      </c>
      <c r="N380" s="11" t="s">
        <v>95</v>
      </c>
      <c r="O380" s="11" t="s">
        <v>44</v>
      </c>
      <c r="P380" s="11" t="s">
        <v>44</v>
      </c>
      <c r="Q380" s="11" t="s">
        <v>44</v>
      </c>
      <c r="R380" s="11" t="s">
        <v>45</v>
      </c>
      <c r="S380" s="11" t="s">
        <v>45</v>
      </c>
      <c r="T380" s="11" t="s">
        <v>44</v>
      </c>
      <c r="U380" s="11" t="s">
        <v>44</v>
      </c>
      <c r="W380" s="11" t="s">
        <v>46</v>
      </c>
      <c r="X380" s="11" t="s">
        <v>97</v>
      </c>
      <c r="Y380" s="11" t="s">
        <v>97</v>
      </c>
      <c r="Z380" s="11">
        <v>81987398270</v>
      </c>
      <c r="AA380" s="11" t="s">
        <v>113</v>
      </c>
      <c r="AB380" s="11"/>
      <c r="AC380" s="11"/>
      <c r="AD380" s="11" t="b">
        <v>0</v>
      </c>
      <c r="AF380" s="11"/>
      <c r="AG380" s="11"/>
      <c r="AH380" s="11"/>
      <c r="AI380" s="11"/>
    </row>
    <row r="381" ht="12.5" spans="1:35">
      <c r="A381" s="177">
        <v>45134.6265091898</v>
      </c>
      <c r="B381" s="11" t="s">
        <v>1353</v>
      </c>
      <c r="C381" s="19">
        <v>12867231400</v>
      </c>
      <c r="D381" s="19">
        <v>700009213912107</v>
      </c>
      <c r="E381" s="18" t="s">
        <v>1392</v>
      </c>
      <c r="F381" s="11" t="s">
        <v>40</v>
      </c>
      <c r="G381" s="11" t="s">
        <v>54</v>
      </c>
      <c r="H381" s="24">
        <v>37222</v>
      </c>
      <c r="I381" s="277" t="s">
        <v>1355</v>
      </c>
      <c r="J381" s="11" t="s">
        <v>42</v>
      </c>
      <c r="K381" s="108" t="s">
        <v>877</v>
      </c>
      <c r="N381" s="11" t="s">
        <v>43</v>
      </c>
      <c r="O381" s="11" t="s">
        <v>44</v>
      </c>
      <c r="P381" s="11" t="s">
        <v>44</v>
      </c>
      <c r="Q381" s="11" t="s">
        <v>44</v>
      </c>
      <c r="R381" s="11" t="s">
        <v>45</v>
      </c>
      <c r="S381" s="11" t="s">
        <v>45</v>
      </c>
      <c r="T381" s="11" t="s">
        <v>44</v>
      </c>
      <c r="U381" s="11" t="s">
        <v>44</v>
      </c>
      <c r="W381" s="11" t="s">
        <v>46</v>
      </c>
      <c r="X381" s="11" t="s">
        <v>47</v>
      </c>
      <c r="Y381" s="11" t="s">
        <v>58</v>
      </c>
      <c r="Z381" s="11">
        <v>81986020267</v>
      </c>
      <c r="AA381" s="11" t="s">
        <v>105</v>
      </c>
      <c r="AB381" s="11"/>
      <c r="AC381" s="11"/>
      <c r="AD381" s="11" t="b">
        <v>0</v>
      </c>
      <c r="AF381" s="11"/>
      <c r="AG381" s="11"/>
      <c r="AH381" s="11"/>
      <c r="AI381" s="11"/>
    </row>
    <row r="382" ht="12.5" spans="1:35">
      <c r="A382" s="177">
        <v>45135.4321115856</v>
      </c>
      <c r="B382" s="11" t="s">
        <v>442</v>
      </c>
      <c r="C382" s="19">
        <v>11202951490</v>
      </c>
      <c r="D382" s="19">
        <v>702104750775290</v>
      </c>
      <c r="E382" s="18" t="s">
        <v>1393</v>
      </c>
      <c r="F382" s="11" t="s">
        <v>225</v>
      </c>
      <c r="G382" s="11" t="s">
        <v>54</v>
      </c>
      <c r="H382" s="24">
        <v>35694</v>
      </c>
      <c r="I382" s="277" t="s">
        <v>261</v>
      </c>
      <c r="J382" s="11" t="s">
        <v>42</v>
      </c>
      <c r="K382" s="108" t="s">
        <v>202</v>
      </c>
      <c r="N382" s="11" t="s">
        <v>43</v>
      </c>
      <c r="O382" s="11" t="s">
        <v>44</v>
      </c>
      <c r="P382" s="11" t="s">
        <v>44</v>
      </c>
      <c r="Q382" s="11" t="s">
        <v>44</v>
      </c>
      <c r="R382" s="11" t="s">
        <v>45</v>
      </c>
      <c r="S382" s="11" t="s">
        <v>45</v>
      </c>
      <c r="T382" s="11" t="s">
        <v>44</v>
      </c>
      <c r="U382" s="11" t="s">
        <v>44</v>
      </c>
      <c r="W382" s="11" t="s">
        <v>46</v>
      </c>
      <c r="X382" s="11" t="s">
        <v>47</v>
      </c>
      <c r="Y382" s="11" t="s">
        <v>58</v>
      </c>
      <c r="Z382" s="11">
        <v>81987252750</v>
      </c>
      <c r="AA382" s="11" t="s">
        <v>1267</v>
      </c>
      <c r="AB382" s="11"/>
      <c r="AC382" s="11"/>
      <c r="AD382" s="11" t="b">
        <v>0</v>
      </c>
      <c r="AF382" s="11"/>
      <c r="AG382" s="11"/>
      <c r="AH382" s="11"/>
      <c r="AI382" s="11"/>
    </row>
    <row r="383" ht="12.5" spans="1:35">
      <c r="A383" s="177">
        <v>45135.8087428357</v>
      </c>
      <c r="B383" s="11" t="s">
        <v>1229</v>
      </c>
      <c r="C383" s="277" t="s">
        <v>1230</v>
      </c>
      <c r="D383" s="19">
        <v>700009756810909</v>
      </c>
      <c r="E383" s="18" t="s">
        <v>1394</v>
      </c>
      <c r="F383" s="11" t="s">
        <v>40</v>
      </c>
      <c r="G383" s="11" t="s">
        <v>54</v>
      </c>
      <c r="H383" s="24">
        <v>32128</v>
      </c>
      <c r="I383" s="277" t="s">
        <v>1232</v>
      </c>
      <c r="J383" s="11" t="s">
        <v>42</v>
      </c>
      <c r="K383" s="108" t="s">
        <v>202</v>
      </c>
      <c r="N383" s="11" t="s">
        <v>43</v>
      </c>
      <c r="O383" s="11" t="s">
        <v>44</v>
      </c>
      <c r="P383" s="11" t="s">
        <v>44</v>
      </c>
      <c r="Q383" s="11" t="s">
        <v>44</v>
      </c>
      <c r="R383" s="11" t="s">
        <v>45</v>
      </c>
      <c r="S383" s="11" t="s">
        <v>45</v>
      </c>
      <c r="T383" s="11" t="s">
        <v>44</v>
      </c>
      <c r="U383" s="11" t="s">
        <v>45</v>
      </c>
      <c r="V383" s="24">
        <v>45136</v>
      </c>
      <c r="W383" s="11" t="s">
        <v>57</v>
      </c>
      <c r="X383" s="11" t="s">
        <v>203</v>
      </c>
      <c r="Y383" s="11" t="s">
        <v>58</v>
      </c>
      <c r="Z383" s="11">
        <v>81997557343</v>
      </c>
      <c r="AA383" s="11" t="s">
        <v>1360</v>
      </c>
      <c r="AB383" s="11" t="s">
        <v>49</v>
      </c>
      <c r="AC383" s="11" t="s">
        <v>50</v>
      </c>
      <c r="AD383" s="11" t="b">
        <v>0</v>
      </c>
      <c r="AF383" s="11" t="s">
        <v>1395</v>
      </c>
      <c r="AG383" s="11"/>
      <c r="AH383" s="11"/>
      <c r="AI383" s="11"/>
    </row>
    <row r="384" ht="12.5" spans="1:35">
      <c r="A384" s="177">
        <v>45136.4069104398</v>
      </c>
      <c r="B384" s="11" t="s">
        <v>1396</v>
      </c>
      <c r="C384" s="277" t="s">
        <v>921</v>
      </c>
      <c r="D384" s="19">
        <v>702303171179812</v>
      </c>
      <c r="E384" s="18" t="s">
        <v>1397</v>
      </c>
      <c r="F384" s="11" t="s">
        <v>40</v>
      </c>
      <c r="G384" s="11" t="s">
        <v>41</v>
      </c>
      <c r="H384" s="24">
        <v>31751</v>
      </c>
      <c r="I384" s="277" t="s">
        <v>923</v>
      </c>
      <c r="J384" s="11" t="s">
        <v>42</v>
      </c>
      <c r="K384" s="108" t="s">
        <v>74</v>
      </c>
      <c r="N384" s="11" t="s">
        <v>43</v>
      </c>
      <c r="O384" s="11" t="s">
        <v>44</v>
      </c>
      <c r="P384" s="11" t="s">
        <v>44</v>
      </c>
      <c r="Q384" s="11" t="s">
        <v>44</v>
      </c>
      <c r="R384" s="11" t="s">
        <v>45</v>
      </c>
      <c r="S384" s="11" t="s">
        <v>83</v>
      </c>
      <c r="T384" s="11" t="s">
        <v>44</v>
      </c>
      <c r="U384" s="11" t="s">
        <v>45</v>
      </c>
      <c r="V384" s="24">
        <v>45137</v>
      </c>
      <c r="W384" s="11" t="s">
        <v>46</v>
      </c>
      <c r="X384" s="11" t="s">
        <v>303</v>
      </c>
      <c r="Y384" s="11" t="s">
        <v>58</v>
      </c>
      <c r="Z384" s="11">
        <v>81988730807</v>
      </c>
      <c r="AA384" s="11" t="s">
        <v>115</v>
      </c>
      <c r="AB384" s="11" t="s">
        <v>98</v>
      </c>
      <c r="AC384" s="11"/>
      <c r="AD384" s="11" t="b">
        <v>0</v>
      </c>
      <c r="AF384" s="11" t="s">
        <v>1398</v>
      </c>
      <c r="AG384" s="11" t="s">
        <v>1399</v>
      </c>
      <c r="AH384" s="11"/>
      <c r="AI384" s="11"/>
    </row>
    <row r="385" ht="12.5" spans="1:35">
      <c r="A385" s="177">
        <v>45136.4798823727</v>
      </c>
      <c r="B385" s="11" t="s">
        <v>1229</v>
      </c>
      <c r="C385" s="277" t="s">
        <v>1230</v>
      </c>
      <c r="D385" s="19">
        <v>700009756810909</v>
      </c>
      <c r="F385" s="11" t="s">
        <v>40</v>
      </c>
      <c r="G385" s="11" t="s">
        <v>54</v>
      </c>
      <c r="H385" s="24">
        <v>32128</v>
      </c>
      <c r="I385" s="277" t="s">
        <v>1400</v>
      </c>
      <c r="J385" s="11" t="s">
        <v>42</v>
      </c>
      <c r="K385" s="108" t="s">
        <v>202</v>
      </c>
      <c r="N385" s="11" t="s">
        <v>95</v>
      </c>
      <c r="O385" s="11" t="s">
        <v>44</v>
      </c>
      <c r="P385" s="11" t="s">
        <v>44</v>
      </c>
      <c r="Q385" s="11" t="s">
        <v>44</v>
      </c>
      <c r="R385" s="11" t="s">
        <v>45</v>
      </c>
      <c r="S385" s="11" t="s">
        <v>45</v>
      </c>
      <c r="T385" s="11" t="s">
        <v>44</v>
      </c>
      <c r="U385" s="11" t="s">
        <v>44</v>
      </c>
      <c r="W385" s="11" t="s">
        <v>57</v>
      </c>
      <c r="X385" s="11" t="s">
        <v>97</v>
      </c>
      <c r="Y385" s="11" t="s">
        <v>97</v>
      </c>
      <c r="Z385" s="11">
        <v>81997557343</v>
      </c>
      <c r="AA385" s="11" t="s">
        <v>115</v>
      </c>
      <c r="AB385" s="11"/>
      <c r="AC385" s="11"/>
      <c r="AD385" s="11" t="b">
        <v>0</v>
      </c>
      <c r="AF385" s="11"/>
      <c r="AG385" s="11"/>
      <c r="AH385" s="11"/>
      <c r="AI385" s="11"/>
    </row>
    <row r="386" ht="12.5" spans="1:35">
      <c r="A386" s="177">
        <v>45136.5136728819</v>
      </c>
      <c r="B386" s="11" t="s">
        <v>1384</v>
      </c>
      <c r="C386" s="19">
        <v>13715554436</v>
      </c>
      <c r="D386" s="19">
        <v>206044337050002</v>
      </c>
      <c r="F386" s="11" t="s">
        <v>225</v>
      </c>
      <c r="G386" s="11" t="s">
        <v>54</v>
      </c>
      <c r="H386" s="24">
        <v>36370</v>
      </c>
      <c r="I386" s="19" t="s">
        <v>865</v>
      </c>
      <c r="J386" s="11" t="s">
        <v>42</v>
      </c>
      <c r="K386" s="108" t="s">
        <v>202</v>
      </c>
      <c r="N386" s="11" t="s">
        <v>95</v>
      </c>
      <c r="O386" s="11" t="s">
        <v>44</v>
      </c>
      <c r="P386" s="11" t="s">
        <v>44</v>
      </c>
      <c r="Q386" s="11" t="s">
        <v>44</v>
      </c>
      <c r="R386" s="11" t="s">
        <v>45</v>
      </c>
      <c r="S386" s="11" t="s">
        <v>45</v>
      </c>
      <c r="T386" s="11" t="s">
        <v>44</v>
      </c>
      <c r="U386" s="11" t="s">
        <v>44</v>
      </c>
      <c r="W386" s="11" t="s">
        <v>57</v>
      </c>
      <c r="X386" s="11" t="s">
        <v>97</v>
      </c>
      <c r="Y386" s="11" t="s">
        <v>97</v>
      </c>
      <c r="Z386" s="11">
        <v>81993878001</v>
      </c>
      <c r="AA386" s="11" t="s">
        <v>115</v>
      </c>
      <c r="AB386" s="11"/>
      <c r="AC386" s="11"/>
      <c r="AD386" s="11" t="b">
        <v>0</v>
      </c>
      <c r="AF386" s="11"/>
      <c r="AG386" s="11"/>
      <c r="AH386" s="11"/>
      <c r="AI386" s="11"/>
    </row>
    <row r="387" ht="12.5" spans="1:35">
      <c r="A387" s="177">
        <v>45136.645454375</v>
      </c>
      <c r="B387" s="11" t="s">
        <v>1401</v>
      </c>
      <c r="C387" s="19">
        <v>10966441427</v>
      </c>
      <c r="D387" s="19">
        <v>709604646515272</v>
      </c>
      <c r="E387" s="18" t="s">
        <v>1402</v>
      </c>
      <c r="F387" s="11" t="s">
        <v>40</v>
      </c>
      <c r="G387" s="11" t="s">
        <v>54</v>
      </c>
      <c r="H387" s="24">
        <v>36310</v>
      </c>
      <c r="I387" s="277" t="s">
        <v>1377</v>
      </c>
      <c r="J387" s="11" t="s">
        <v>42</v>
      </c>
      <c r="K387" s="108" t="s">
        <v>1403</v>
      </c>
      <c r="N387" s="11" t="s">
        <v>43</v>
      </c>
      <c r="O387" s="11" t="s">
        <v>44</v>
      </c>
      <c r="P387" s="11" t="s">
        <v>44</v>
      </c>
      <c r="Q387" s="11" t="s">
        <v>45</v>
      </c>
      <c r="R387" s="11" t="s">
        <v>45</v>
      </c>
      <c r="S387" s="11" t="s">
        <v>45</v>
      </c>
      <c r="T387" s="11" t="s">
        <v>44</v>
      </c>
      <c r="U387" s="11" t="s">
        <v>45</v>
      </c>
      <c r="V387" s="24">
        <v>45138</v>
      </c>
      <c r="W387" s="11" t="s">
        <v>46</v>
      </c>
      <c r="X387" s="11" t="s">
        <v>303</v>
      </c>
      <c r="Y387" s="11" t="s">
        <v>58</v>
      </c>
      <c r="Z387" s="11">
        <v>81998490815</v>
      </c>
      <c r="AA387" s="11" t="s">
        <v>115</v>
      </c>
      <c r="AB387" s="11" t="s">
        <v>49</v>
      </c>
      <c r="AC387" s="11" t="s">
        <v>92</v>
      </c>
      <c r="AD387" s="11" t="b">
        <v>1</v>
      </c>
      <c r="AE387" s="11" t="s">
        <v>137</v>
      </c>
      <c r="AF387" s="11" t="s">
        <v>1404</v>
      </c>
      <c r="AG387" s="11"/>
      <c r="AH387" s="11"/>
      <c r="AI387" s="11"/>
    </row>
    <row r="388" ht="12.5" spans="1:35">
      <c r="A388" s="177">
        <v>45136.7892545833</v>
      </c>
      <c r="B388" s="11" t="s">
        <v>1365</v>
      </c>
      <c r="C388" s="19">
        <v>70596684460</v>
      </c>
      <c r="D388" s="19">
        <v>702407068460825</v>
      </c>
      <c r="F388" s="11" t="s">
        <v>40</v>
      </c>
      <c r="G388" s="11" t="s">
        <v>54</v>
      </c>
      <c r="H388" s="24">
        <v>35757</v>
      </c>
      <c r="I388" s="277" t="s">
        <v>1367</v>
      </c>
      <c r="J388" s="11" t="s">
        <v>42</v>
      </c>
      <c r="K388" s="108" t="s">
        <v>155</v>
      </c>
      <c r="N388" s="11" t="s">
        <v>95</v>
      </c>
      <c r="O388" s="11" t="s">
        <v>44</v>
      </c>
      <c r="P388" s="11" t="s">
        <v>44</v>
      </c>
      <c r="Q388" s="11" t="s">
        <v>44</v>
      </c>
      <c r="R388" s="11" t="s">
        <v>45</v>
      </c>
      <c r="S388" s="11" t="s">
        <v>83</v>
      </c>
      <c r="T388" s="11" t="s">
        <v>44</v>
      </c>
      <c r="U388" s="11" t="s">
        <v>44</v>
      </c>
      <c r="W388" s="11" t="s">
        <v>57</v>
      </c>
      <c r="X388" s="11" t="s">
        <v>97</v>
      </c>
      <c r="Y388" s="11" t="s">
        <v>97</v>
      </c>
      <c r="Z388" s="11">
        <v>81983228290</v>
      </c>
      <c r="AA388" s="11" t="s">
        <v>115</v>
      </c>
      <c r="AB388" s="11"/>
      <c r="AC388" s="11"/>
      <c r="AD388" s="11" t="b">
        <v>0</v>
      </c>
      <c r="AF388" s="11"/>
      <c r="AG388" s="11"/>
      <c r="AH388" s="11"/>
      <c r="AI388" s="11"/>
    </row>
    <row r="389" ht="12.5" spans="1:35">
      <c r="A389" s="177">
        <v>45138.6837986227</v>
      </c>
      <c r="B389" s="11" t="s">
        <v>1401</v>
      </c>
      <c r="C389" s="19">
        <v>10966441427</v>
      </c>
      <c r="D389" s="19">
        <v>709604646515272</v>
      </c>
      <c r="F389" s="11" t="s">
        <v>40</v>
      </c>
      <c r="G389" s="11" t="s">
        <v>54</v>
      </c>
      <c r="H389" s="24">
        <v>36310</v>
      </c>
      <c r="I389" s="277" t="s">
        <v>1377</v>
      </c>
      <c r="J389" s="11" t="s">
        <v>42</v>
      </c>
      <c r="K389" s="108" t="s">
        <v>1405</v>
      </c>
      <c r="N389" s="11" t="s">
        <v>95</v>
      </c>
      <c r="O389" s="11" t="s">
        <v>44</v>
      </c>
      <c r="P389" s="11" t="s">
        <v>44</v>
      </c>
      <c r="Q389" s="11" t="s">
        <v>44</v>
      </c>
      <c r="R389" s="11" t="s">
        <v>45</v>
      </c>
      <c r="S389" s="11" t="s">
        <v>45</v>
      </c>
      <c r="T389" s="11" t="s">
        <v>44</v>
      </c>
      <c r="U389" s="11" t="s">
        <v>44</v>
      </c>
      <c r="W389" s="11" t="s">
        <v>57</v>
      </c>
      <c r="X389" s="11" t="s">
        <v>97</v>
      </c>
      <c r="Y389" s="11" t="s">
        <v>97</v>
      </c>
      <c r="Z389" s="11">
        <v>81998490815</v>
      </c>
      <c r="AA389" s="11" t="s">
        <v>91</v>
      </c>
      <c r="AB389" s="11"/>
      <c r="AC389" s="11"/>
      <c r="AD389" s="11" t="b">
        <v>0</v>
      </c>
      <c r="AF389" s="11"/>
      <c r="AG389" s="11"/>
      <c r="AH389" s="11"/>
      <c r="AI389" s="11"/>
    </row>
    <row r="390" ht="12.5" spans="1:35">
      <c r="A390" s="177">
        <v>45138.7141471181</v>
      </c>
      <c r="B390" s="11" t="s">
        <v>1406</v>
      </c>
      <c r="C390" s="19">
        <v>11136345450</v>
      </c>
      <c r="D390" s="19">
        <v>700003714309300</v>
      </c>
      <c r="E390" s="18" t="s">
        <v>1407</v>
      </c>
      <c r="F390" s="11" t="s">
        <v>40</v>
      </c>
      <c r="G390" s="11" t="s">
        <v>54</v>
      </c>
      <c r="H390" s="24">
        <v>35303</v>
      </c>
      <c r="I390" s="277" t="s">
        <v>1408</v>
      </c>
      <c r="J390" s="11" t="s">
        <v>42</v>
      </c>
      <c r="K390" s="108" t="s">
        <v>227</v>
      </c>
      <c r="N390" s="11" t="s">
        <v>43</v>
      </c>
      <c r="O390" s="11" t="s">
        <v>96</v>
      </c>
      <c r="P390" s="11" t="s">
        <v>56</v>
      </c>
      <c r="Q390" s="11" t="s">
        <v>44</v>
      </c>
      <c r="R390" s="11" t="s">
        <v>45</v>
      </c>
      <c r="S390" s="11" t="s">
        <v>45</v>
      </c>
      <c r="T390" s="11" t="s">
        <v>44</v>
      </c>
      <c r="U390" s="11" t="s">
        <v>45</v>
      </c>
      <c r="V390" s="24">
        <v>45139</v>
      </c>
      <c r="W390" s="11" t="s">
        <v>46</v>
      </c>
      <c r="X390" s="11" t="s">
        <v>47</v>
      </c>
      <c r="Y390" s="11" t="s">
        <v>58</v>
      </c>
      <c r="Z390" s="11">
        <v>81996242115</v>
      </c>
      <c r="AA390" s="11" t="s">
        <v>115</v>
      </c>
      <c r="AB390" s="11" t="s">
        <v>49</v>
      </c>
      <c r="AC390" s="11" t="s">
        <v>50</v>
      </c>
      <c r="AD390" s="11" t="b">
        <v>0</v>
      </c>
      <c r="AF390" s="11" t="s">
        <v>1409</v>
      </c>
      <c r="AG390" s="11" t="s">
        <v>1410</v>
      </c>
      <c r="AH390" s="11"/>
      <c r="AI390" s="11"/>
    </row>
    <row r="391" ht="12.5" spans="1:35">
      <c r="A391" s="177">
        <v>45138.7387779167</v>
      </c>
      <c r="B391" s="11" t="s">
        <v>1411</v>
      </c>
      <c r="C391" s="19">
        <v>12417806410</v>
      </c>
      <c r="D391" s="19">
        <v>706200587848067</v>
      </c>
      <c r="E391" s="18" t="s">
        <v>1412</v>
      </c>
      <c r="F391" s="11" t="s">
        <v>40</v>
      </c>
      <c r="G391" s="11" t="s">
        <v>54</v>
      </c>
      <c r="H391" s="24">
        <v>34557</v>
      </c>
      <c r="I391" s="277" t="s">
        <v>1413</v>
      </c>
      <c r="J391" s="11" t="s">
        <v>42</v>
      </c>
      <c r="K391" s="108" t="s">
        <v>74</v>
      </c>
      <c r="N391" s="11" t="s">
        <v>43</v>
      </c>
      <c r="O391" s="11" t="s">
        <v>96</v>
      </c>
      <c r="P391" s="11" t="s">
        <v>56</v>
      </c>
      <c r="Q391" s="11" t="s">
        <v>45</v>
      </c>
      <c r="R391" s="11" t="s">
        <v>45</v>
      </c>
      <c r="S391" s="11" t="s">
        <v>45</v>
      </c>
      <c r="T391" s="11" t="s">
        <v>44</v>
      </c>
      <c r="U391" s="11" t="s">
        <v>45</v>
      </c>
      <c r="V391" s="24">
        <v>45139</v>
      </c>
      <c r="W391" s="11" t="s">
        <v>46</v>
      </c>
      <c r="X391" s="11" t="s">
        <v>203</v>
      </c>
      <c r="Y391" s="11" t="s">
        <v>58</v>
      </c>
      <c r="Z391" s="11">
        <v>81975060868</v>
      </c>
      <c r="AA391" s="11" t="s">
        <v>115</v>
      </c>
      <c r="AB391" s="11" t="s">
        <v>98</v>
      </c>
      <c r="AC391" s="11"/>
      <c r="AD391" s="11" t="b">
        <v>0</v>
      </c>
      <c r="AF391" s="11" t="s">
        <v>1414</v>
      </c>
      <c r="AG391" s="11" t="s">
        <v>1415</v>
      </c>
      <c r="AH391" s="11"/>
      <c r="AI391" s="11"/>
    </row>
    <row r="392" ht="12.5" spans="1:35">
      <c r="A392" s="177">
        <v>45139.6317928241</v>
      </c>
      <c r="B392" s="11" t="s">
        <v>1286</v>
      </c>
      <c r="C392" s="19">
        <v>70922340420</v>
      </c>
      <c r="D392" s="19">
        <v>708004326100028</v>
      </c>
      <c r="E392" s="18" t="s">
        <v>1416</v>
      </c>
      <c r="F392" s="11" t="s">
        <v>225</v>
      </c>
      <c r="G392" s="11" t="s">
        <v>54</v>
      </c>
      <c r="H392" s="24">
        <v>36066</v>
      </c>
      <c r="I392" s="277" t="s">
        <v>1288</v>
      </c>
      <c r="J392" s="11" t="s">
        <v>42</v>
      </c>
      <c r="K392" s="108" t="s">
        <v>1417</v>
      </c>
      <c r="N392" s="11" t="s">
        <v>43</v>
      </c>
      <c r="O392" s="11" t="s">
        <v>96</v>
      </c>
      <c r="P392" s="11" t="s">
        <v>66</v>
      </c>
      <c r="Q392" s="11" t="s">
        <v>44</v>
      </c>
      <c r="R392" s="11" t="s">
        <v>45</v>
      </c>
      <c r="S392" s="11" t="s">
        <v>45</v>
      </c>
      <c r="T392" s="11" t="s">
        <v>44</v>
      </c>
      <c r="U392" s="11" t="s">
        <v>45</v>
      </c>
      <c r="V392" s="24">
        <v>45140</v>
      </c>
      <c r="W392" s="11" t="s">
        <v>46</v>
      </c>
      <c r="X392" s="11" t="s">
        <v>47</v>
      </c>
      <c r="Y392" s="11" t="s">
        <v>58</v>
      </c>
      <c r="Z392" s="11">
        <v>81985560728</v>
      </c>
      <c r="AA392" s="11" t="s">
        <v>115</v>
      </c>
      <c r="AB392" s="11" t="s">
        <v>98</v>
      </c>
      <c r="AC392" s="11"/>
      <c r="AD392" s="11" t="b">
        <v>0</v>
      </c>
      <c r="AF392" s="11" t="s">
        <v>1418</v>
      </c>
      <c r="AG392" s="11" t="s">
        <v>1419</v>
      </c>
      <c r="AH392" s="11"/>
      <c r="AI392" s="11"/>
    </row>
    <row r="393" ht="12.5" spans="1:35">
      <c r="A393" s="177">
        <v>45139.6855518403</v>
      </c>
      <c r="B393" s="11" t="s">
        <v>1420</v>
      </c>
      <c r="C393" s="19">
        <v>70713534419</v>
      </c>
      <c r="D393" s="19">
        <v>702507371552632</v>
      </c>
      <c r="E393" s="18" t="s">
        <v>1421</v>
      </c>
      <c r="F393" s="11" t="s">
        <v>40</v>
      </c>
      <c r="G393" s="11" t="s">
        <v>54</v>
      </c>
      <c r="H393" s="24">
        <v>35218</v>
      </c>
      <c r="I393" s="277" t="s">
        <v>1377</v>
      </c>
      <c r="J393" s="11" t="s">
        <v>42</v>
      </c>
      <c r="K393" s="108" t="s">
        <v>1422</v>
      </c>
      <c r="N393" s="11" t="s">
        <v>43</v>
      </c>
      <c r="O393" s="11" t="s">
        <v>44</v>
      </c>
      <c r="P393" s="11" t="s">
        <v>44</v>
      </c>
      <c r="Q393" s="11" t="s">
        <v>44</v>
      </c>
      <c r="R393" s="11" t="s">
        <v>44</v>
      </c>
      <c r="S393" s="11" t="s">
        <v>83</v>
      </c>
      <c r="T393" s="11" t="s">
        <v>44</v>
      </c>
      <c r="U393" s="11" t="s">
        <v>45</v>
      </c>
      <c r="V393" s="24">
        <v>45141</v>
      </c>
      <c r="W393" s="11" t="s">
        <v>46</v>
      </c>
      <c r="X393" s="11" t="s">
        <v>47</v>
      </c>
      <c r="Y393" s="11" t="s">
        <v>185</v>
      </c>
      <c r="Z393" s="11">
        <v>81973386673</v>
      </c>
      <c r="AA393" s="11" t="s">
        <v>113</v>
      </c>
      <c r="AB393" s="11" t="s">
        <v>49</v>
      </c>
      <c r="AC393" s="11" t="s">
        <v>84</v>
      </c>
      <c r="AD393" s="11" t="b">
        <v>1</v>
      </c>
      <c r="AE393" s="11" t="s">
        <v>137</v>
      </c>
      <c r="AF393" s="11" t="s">
        <v>1423</v>
      </c>
      <c r="AG393" s="11" t="s">
        <v>1424</v>
      </c>
      <c r="AH393" s="11" t="s">
        <v>1425</v>
      </c>
      <c r="AI393" s="11"/>
    </row>
    <row r="394" ht="12.5" spans="1:35">
      <c r="A394" s="177">
        <v>45140.6871028704</v>
      </c>
      <c r="B394" s="11" t="s">
        <v>1098</v>
      </c>
      <c r="C394" s="277" t="s">
        <v>1099</v>
      </c>
      <c r="D394" s="19">
        <v>706001315807649</v>
      </c>
      <c r="E394" s="18" t="s">
        <v>1426</v>
      </c>
      <c r="F394" s="11" t="s">
        <v>225</v>
      </c>
      <c r="G394" s="11" t="s">
        <v>54</v>
      </c>
      <c r="H394" s="24">
        <v>30891</v>
      </c>
      <c r="I394" s="277" t="s">
        <v>1427</v>
      </c>
      <c r="J394" s="11" t="s">
        <v>42</v>
      </c>
      <c r="K394" s="108" t="s">
        <v>63</v>
      </c>
      <c r="N394" s="11" t="s">
        <v>43</v>
      </c>
      <c r="O394" s="11" t="s">
        <v>44</v>
      </c>
      <c r="P394" s="11" t="s">
        <v>44</v>
      </c>
      <c r="Q394" s="11" t="s">
        <v>44</v>
      </c>
      <c r="R394" s="11" t="s">
        <v>44</v>
      </c>
      <c r="S394" s="11" t="s">
        <v>83</v>
      </c>
      <c r="T394" s="11" t="s">
        <v>44</v>
      </c>
      <c r="U394" s="11" t="s">
        <v>45</v>
      </c>
      <c r="V394" s="24">
        <v>45142</v>
      </c>
      <c r="W394" s="11" t="s">
        <v>46</v>
      </c>
      <c r="X394" s="11" t="s">
        <v>47</v>
      </c>
      <c r="Y394" s="11" t="s">
        <v>185</v>
      </c>
      <c r="Z394" s="11">
        <v>81998373388</v>
      </c>
      <c r="AA394" s="11" t="s">
        <v>91</v>
      </c>
      <c r="AB394" s="11" t="s">
        <v>49</v>
      </c>
      <c r="AC394" s="11" t="s">
        <v>50</v>
      </c>
      <c r="AD394" s="11" t="b">
        <v>0</v>
      </c>
      <c r="AF394" s="11" t="s">
        <v>1428</v>
      </c>
      <c r="AG394" s="90" t="s">
        <v>1429</v>
      </c>
      <c r="AH394" s="11" t="s">
        <v>1430</v>
      </c>
      <c r="AI394" s="11"/>
    </row>
    <row r="395" ht="12.5" spans="1:35">
      <c r="A395" s="177">
        <v>45141.3808774884</v>
      </c>
      <c r="B395" s="11" t="s">
        <v>1241</v>
      </c>
      <c r="C395" s="19">
        <v>71206260432</v>
      </c>
      <c r="D395" s="19">
        <v>898004112430525</v>
      </c>
      <c r="E395" s="18" t="s">
        <v>1431</v>
      </c>
      <c r="F395" s="11" t="s">
        <v>40</v>
      </c>
      <c r="G395" s="11" t="s">
        <v>54</v>
      </c>
      <c r="H395" s="24">
        <v>36065</v>
      </c>
      <c r="I395" s="277" t="s">
        <v>1209</v>
      </c>
      <c r="J395" s="11" t="s">
        <v>42</v>
      </c>
      <c r="K395" s="108" t="s">
        <v>74</v>
      </c>
      <c r="N395" s="11" t="s">
        <v>43</v>
      </c>
      <c r="O395" s="11" t="s">
        <v>96</v>
      </c>
      <c r="P395" s="11" t="s">
        <v>56</v>
      </c>
      <c r="Q395" s="11" t="s">
        <v>44</v>
      </c>
      <c r="R395" s="11" t="s">
        <v>45</v>
      </c>
      <c r="S395" s="11" t="s">
        <v>83</v>
      </c>
      <c r="T395" s="11" t="s">
        <v>44</v>
      </c>
      <c r="U395" s="11" t="s">
        <v>45</v>
      </c>
      <c r="V395" s="24">
        <v>45144</v>
      </c>
      <c r="W395" s="11" t="s">
        <v>46</v>
      </c>
      <c r="X395" s="11" t="s">
        <v>47</v>
      </c>
      <c r="Y395" s="11" t="s">
        <v>58</v>
      </c>
      <c r="Z395" s="11">
        <v>81986973090</v>
      </c>
      <c r="AA395" s="11" t="s">
        <v>91</v>
      </c>
      <c r="AB395" s="11" t="s">
        <v>98</v>
      </c>
      <c r="AC395" s="11"/>
      <c r="AD395" s="11" t="b">
        <v>0</v>
      </c>
      <c r="AF395" s="11" t="s">
        <v>1432</v>
      </c>
      <c r="AG395" s="11" t="s">
        <v>1433</v>
      </c>
      <c r="AH395" s="11" t="s">
        <v>1434</v>
      </c>
      <c r="AI395" s="11" t="s">
        <v>1435</v>
      </c>
    </row>
    <row r="396" ht="12.5" spans="1:35">
      <c r="A396" s="177">
        <v>45141.3881239005</v>
      </c>
      <c r="B396" s="11" t="s">
        <v>1436</v>
      </c>
      <c r="C396" s="277" t="s">
        <v>1437</v>
      </c>
      <c r="D396" s="19">
        <v>706906145621538</v>
      </c>
      <c r="E396" s="18" t="s">
        <v>1438</v>
      </c>
      <c r="F396" s="11" t="s">
        <v>225</v>
      </c>
      <c r="G396" s="11" t="s">
        <v>88</v>
      </c>
      <c r="H396" s="24">
        <v>34044</v>
      </c>
      <c r="I396" s="277" t="s">
        <v>369</v>
      </c>
      <c r="J396" s="11" t="s">
        <v>42</v>
      </c>
      <c r="K396" s="108" t="s">
        <v>202</v>
      </c>
      <c r="N396" s="11" t="s">
        <v>43</v>
      </c>
      <c r="O396" s="11" t="s">
        <v>65</v>
      </c>
      <c r="P396" s="11" t="s">
        <v>66</v>
      </c>
      <c r="Q396" s="11" t="s">
        <v>44</v>
      </c>
      <c r="R396" s="11" t="s">
        <v>45</v>
      </c>
      <c r="S396" s="11" t="s">
        <v>45</v>
      </c>
      <c r="T396" s="11" t="s">
        <v>44</v>
      </c>
      <c r="U396" s="11" t="s">
        <v>45</v>
      </c>
      <c r="V396" s="24">
        <v>45141</v>
      </c>
      <c r="W396" s="11" t="s">
        <v>46</v>
      </c>
      <c r="X396" s="11" t="s">
        <v>67</v>
      </c>
      <c r="Y396" s="11" t="s">
        <v>58</v>
      </c>
      <c r="Z396" s="11">
        <v>81999658496</v>
      </c>
      <c r="AA396" s="11" t="s">
        <v>113</v>
      </c>
      <c r="AB396" s="11" t="s">
        <v>98</v>
      </c>
      <c r="AC396" s="11"/>
      <c r="AD396" s="11" t="b">
        <v>0</v>
      </c>
      <c r="AF396" s="11" t="s">
        <v>1439</v>
      </c>
      <c r="AG396" s="11" t="s">
        <v>1440</v>
      </c>
      <c r="AH396" s="11" t="s">
        <v>1441</v>
      </c>
      <c r="AI396" s="11"/>
    </row>
    <row r="397" ht="12.5" spans="1:35">
      <c r="A397" s="177">
        <v>45141.5746230903</v>
      </c>
      <c r="B397" s="11" t="s">
        <v>343</v>
      </c>
      <c r="C397" s="19">
        <v>13025935448</v>
      </c>
      <c r="D397" s="19">
        <v>702409551791425</v>
      </c>
      <c r="F397" s="11" t="s">
        <v>40</v>
      </c>
      <c r="G397" s="11" t="s">
        <v>41</v>
      </c>
      <c r="H397" s="24">
        <v>36287</v>
      </c>
      <c r="I397" s="277" t="s">
        <v>345</v>
      </c>
      <c r="J397" s="11" t="s">
        <v>42</v>
      </c>
      <c r="K397" s="108" t="s">
        <v>55</v>
      </c>
      <c r="N397" s="11" t="s">
        <v>95</v>
      </c>
      <c r="O397" s="11" t="s">
        <v>127</v>
      </c>
      <c r="P397" s="11" t="s">
        <v>44</v>
      </c>
      <c r="Q397" s="11" t="s">
        <v>44</v>
      </c>
      <c r="R397" s="11" t="s">
        <v>45</v>
      </c>
      <c r="S397" s="11" t="s">
        <v>45</v>
      </c>
      <c r="T397" s="11" t="s">
        <v>44</v>
      </c>
      <c r="U397" s="11" t="s">
        <v>44</v>
      </c>
      <c r="W397" s="11" t="s">
        <v>57</v>
      </c>
      <c r="X397" s="11" t="s">
        <v>97</v>
      </c>
      <c r="Y397" s="11" t="s">
        <v>97</v>
      </c>
      <c r="Z397" s="11">
        <v>87991887250</v>
      </c>
      <c r="AA397" s="11" t="s">
        <v>91</v>
      </c>
      <c r="AB397" s="11"/>
      <c r="AC397" s="11"/>
      <c r="AD397" s="11" t="b">
        <v>0</v>
      </c>
      <c r="AF397" s="11"/>
      <c r="AG397" s="11"/>
      <c r="AH397" s="11"/>
      <c r="AI397" s="11"/>
    </row>
    <row r="398" ht="12.5" spans="1:35">
      <c r="A398" s="177">
        <v>45141.6609009722</v>
      </c>
      <c r="B398" s="11" t="s">
        <v>1420</v>
      </c>
      <c r="C398" s="19">
        <v>70713534419</v>
      </c>
      <c r="D398" s="19">
        <v>702507371552632</v>
      </c>
      <c r="E398" s="18" t="s">
        <v>1442</v>
      </c>
      <c r="F398" s="11" t="s">
        <v>40</v>
      </c>
      <c r="G398" s="11" t="s">
        <v>54</v>
      </c>
      <c r="H398" s="24">
        <v>35218</v>
      </c>
      <c r="I398" s="277" t="s">
        <v>1377</v>
      </c>
      <c r="J398" s="11" t="s">
        <v>42</v>
      </c>
      <c r="K398" s="108" t="s">
        <v>1443</v>
      </c>
      <c r="N398" s="11" t="s">
        <v>95</v>
      </c>
      <c r="O398" s="11" t="s">
        <v>44</v>
      </c>
      <c r="P398" s="11" t="s">
        <v>44</v>
      </c>
      <c r="Q398" s="11" t="s">
        <v>44</v>
      </c>
      <c r="R398" s="11" t="s">
        <v>44</v>
      </c>
      <c r="S398" s="11" t="s">
        <v>44</v>
      </c>
      <c r="T398" s="11" t="s">
        <v>44</v>
      </c>
      <c r="U398" s="11" t="s">
        <v>44</v>
      </c>
      <c r="W398" s="11" t="s">
        <v>46</v>
      </c>
      <c r="X398" s="11" t="s">
        <v>97</v>
      </c>
      <c r="Y398" s="11" t="s">
        <v>97</v>
      </c>
      <c r="Z398" s="11">
        <v>81973386673</v>
      </c>
      <c r="AA398" s="11" t="s">
        <v>105</v>
      </c>
      <c r="AB398" s="11"/>
      <c r="AC398" s="11"/>
      <c r="AD398" s="11" t="b">
        <v>0</v>
      </c>
      <c r="AF398" s="11"/>
      <c r="AG398" s="11"/>
      <c r="AH398" s="11"/>
      <c r="AI398" s="11"/>
    </row>
    <row r="399" ht="12.5" spans="1:35">
      <c r="A399" s="177">
        <v>45141.7406308796</v>
      </c>
      <c r="B399" s="11" t="s">
        <v>1444</v>
      </c>
      <c r="C399" s="19">
        <v>17002859471</v>
      </c>
      <c r="D399" s="19">
        <v>898005980124766</v>
      </c>
      <c r="E399" s="18" t="s">
        <v>1445</v>
      </c>
      <c r="F399" s="11" t="s">
        <v>225</v>
      </c>
      <c r="G399" s="11" t="s">
        <v>54</v>
      </c>
      <c r="H399" s="24">
        <v>38353</v>
      </c>
      <c r="I399" s="277" t="s">
        <v>540</v>
      </c>
      <c r="J399" s="11" t="s">
        <v>42</v>
      </c>
      <c r="K399" s="108" t="s">
        <v>63</v>
      </c>
      <c r="N399" s="11" t="s">
        <v>43</v>
      </c>
      <c r="O399" s="11" t="s">
        <v>96</v>
      </c>
      <c r="P399" s="11" t="s">
        <v>56</v>
      </c>
      <c r="Q399" s="11" t="s">
        <v>44</v>
      </c>
      <c r="R399" s="11" t="s">
        <v>45</v>
      </c>
      <c r="S399" s="11" t="s">
        <v>83</v>
      </c>
      <c r="T399" s="11" t="s">
        <v>44</v>
      </c>
      <c r="U399" s="11" t="s">
        <v>45</v>
      </c>
      <c r="V399" s="24">
        <v>45142</v>
      </c>
      <c r="W399" s="11" t="s">
        <v>46</v>
      </c>
      <c r="X399" s="11" t="s">
        <v>303</v>
      </c>
      <c r="Y399" s="11" t="s">
        <v>68</v>
      </c>
      <c r="Z399" s="11">
        <v>81986055473</v>
      </c>
      <c r="AA399" s="11" t="s">
        <v>105</v>
      </c>
      <c r="AB399" s="11" t="s">
        <v>49</v>
      </c>
      <c r="AC399" s="11" t="s">
        <v>256</v>
      </c>
      <c r="AD399" s="11" t="b">
        <v>0</v>
      </c>
      <c r="AF399" s="11" t="s">
        <v>1446</v>
      </c>
      <c r="AG399" s="11"/>
      <c r="AH399" s="11" t="s">
        <v>1447</v>
      </c>
      <c r="AI399" s="11"/>
    </row>
    <row r="400" ht="12.5" spans="1:35">
      <c r="A400" s="177">
        <v>45142.3866280324</v>
      </c>
      <c r="B400" s="11" t="s">
        <v>1448</v>
      </c>
      <c r="C400" s="19">
        <v>10232065446</v>
      </c>
      <c r="D400" s="19">
        <v>703402288081800</v>
      </c>
      <c r="E400" s="18" t="s">
        <v>1449</v>
      </c>
      <c r="F400" s="11" t="s">
        <v>40</v>
      </c>
      <c r="G400" s="11" t="s">
        <v>54</v>
      </c>
      <c r="H400" s="24">
        <v>36376</v>
      </c>
      <c r="I400" s="277" t="s">
        <v>1450</v>
      </c>
      <c r="J400" s="11" t="s">
        <v>42</v>
      </c>
      <c r="K400" s="108" t="s">
        <v>1451</v>
      </c>
      <c r="N400" s="11" t="s">
        <v>43</v>
      </c>
      <c r="O400" s="11" t="s">
        <v>44</v>
      </c>
      <c r="P400" s="11" t="s">
        <v>44</v>
      </c>
      <c r="Q400" s="11" t="s">
        <v>44</v>
      </c>
      <c r="R400" s="11" t="s">
        <v>45</v>
      </c>
      <c r="S400" s="11" t="s">
        <v>83</v>
      </c>
      <c r="T400" s="11" t="s">
        <v>44</v>
      </c>
      <c r="U400" s="11" t="s">
        <v>44</v>
      </c>
      <c r="W400" s="11" t="s">
        <v>57</v>
      </c>
      <c r="X400" s="11" t="s">
        <v>67</v>
      </c>
      <c r="Y400" s="11" t="s">
        <v>58</v>
      </c>
      <c r="Z400" s="11">
        <v>81988766963</v>
      </c>
      <c r="AA400" s="11" t="s">
        <v>91</v>
      </c>
      <c r="AB400" s="11"/>
      <c r="AC400" s="11"/>
      <c r="AD400" s="11" t="b">
        <v>0</v>
      </c>
      <c r="AF400" s="11"/>
      <c r="AG400" s="11"/>
      <c r="AH400" s="11"/>
      <c r="AI400" s="11"/>
    </row>
    <row r="401" ht="12.5" spans="1:35">
      <c r="A401" s="177">
        <v>45142.4981671643</v>
      </c>
      <c r="B401" s="11" t="s">
        <v>1452</v>
      </c>
      <c r="C401" s="19">
        <v>14825985408</v>
      </c>
      <c r="D401" s="19">
        <v>703008821547875</v>
      </c>
      <c r="E401" s="18" t="s">
        <v>1453</v>
      </c>
      <c r="F401" s="11" t="s">
        <v>217</v>
      </c>
      <c r="G401" s="11" t="s">
        <v>54</v>
      </c>
      <c r="H401" s="24">
        <v>38106</v>
      </c>
      <c r="I401" s="277" t="s">
        <v>1454</v>
      </c>
      <c r="J401" s="11" t="s">
        <v>42</v>
      </c>
      <c r="K401" s="108" t="s">
        <v>202</v>
      </c>
      <c r="N401" s="11" t="s">
        <v>43</v>
      </c>
      <c r="O401" s="11" t="s">
        <v>65</v>
      </c>
      <c r="P401" s="11" t="s">
        <v>66</v>
      </c>
      <c r="Q401" s="11" t="s">
        <v>44</v>
      </c>
      <c r="R401" s="11" t="s">
        <v>44</v>
      </c>
      <c r="S401" s="11" t="s">
        <v>83</v>
      </c>
      <c r="T401" s="11" t="s">
        <v>44</v>
      </c>
      <c r="U401" s="11" t="s">
        <v>45</v>
      </c>
      <c r="V401" s="24">
        <v>45143</v>
      </c>
      <c r="W401" s="11" t="s">
        <v>46</v>
      </c>
      <c r="X401" s="11" t="s">
        <v>47</v>
      </c>
      <c r="Y401" s="11" t="s">
        <v>1169</v>
      </c>
      <c r="Z401" s="11">
        <v>81999798361</v>
      </c>
      <c r="AA401" s="11" t="s">
        <v>91</v>
      </c>
      <c r="AB401" s="11" t="s">
        <v>49</v>
      </c>
      <c r="AC401" s="11" t="s">
        <v>92</v>
      </c>
      <c r="AD401" s="11" t="b">
        <v>1</v>
      </c>
      <c r="AE401" s="11" t="s">
        <v>137</v>
      </c>
      <c r="AF401" s="11" t="s">
        <v>1455</v>
      </c>
      <c r="AG401" s="11" t="s">
        <v>1456</v>
      </c>
      <c r="AH401" s="63" t="s">
        <v>1457</v>
      </c>
      <c r="AI401" s="11"/>
    </row>
    <row r="402" ht="12.5" spans="1:35">
      <c r="A402" s="177">
        <v>45142.612039919</v>
      </c>
      <c r="B402" s="11" t="s">
        <v>1458</v>
      </c>
      <c r="C402" s="19">
        <v>37407870829</v>
      </c>
      <c r="D402" s="19">
        <v>705402440429297</v>
      </c>
      <c r="E402" s="18" t="s">
        <v>1459</v>
      </c>
      <c r="F402" s="11" t="s">
        <v>225</v>
      </c>
      <c r="G402" s="11" t="s">
        <v>54</v>
      </c>
      <c r="H402" s="24">
        <v>36295</v>
      </c>
      <c r="I402" s="277" t="s">
        <v>1460</v>
      </c>
      <c r="J402" s="11" t="s">
        <v>42</v>
      </c>
      <c r="K402" s="108" t="s">
        <v>74</v>
      </c>
      <c r="N402" s="11" t="s">
        <v>43</v>
      </c>
      <c r="O402" s="11" t="s">
        <v>44</v>
      </c>
      <c r="P402" s="11" t="s">
        <v>44</v>
      </c>
      <c r="Q402" s="11" t="s">
        <v>44</v>
      </c>
      <c r="R402" s="11" t="s">
        <v>44</v>
      </c>
      <c r="S402" s="11" t="s">
        <v>45</v>
      </c>
      <c r="T402" s="11" t="s">
        <v>44</v>
      </c>
      <c r="U402" s="11" t="s">
        <v>44</v>
      </c>
      <c r="W402" s="11" t="s">
        <v>46</v>
      </c>
      <c r="X402" s="11" t="s">
        <v>47</v>
      </c>
      <c r="Y402" s="11" t="s">
        <v>58</v>
      </c>
      <c r="Z402" s="11">
        <v>81995082136</v>
      </c>
      <c r="AA402" s="11" t="s">
        <v>1360</v>
      </c>
      <c r="AB402" s="11"/>
      <c r="AC402" s="11"/>
      <c r="AD402" s="11" t="b">
        <v>0</v>
      </c>
      <c r="AF402" s="11"/>
      <c r="AG402" s="11"/>
      <c r="AH402" s="233" t="s">
        <v>1461</v>
      </c>
      <c r="AI402" s="11"/>
    </row>
    <row r="403" ht="12.5" spans="1:35">
      <c r="A403" s="177">
        <v>45142.6401542245</v>
      </c>
      <c r="B403" s="11" t="s">
        <v>1462</v>
      </c>
      <c r="C403" s="19">
        <v>17143084484</v>
      </c>
      <c r="D403" s="19">
        <v>898003740931665</v>
      </c>
      <c r="E403" s="18" t="s">
        <v>1463</v>
      </c>
      <c r="F403" s="11" t="s">
        <v>40</v>
      </c>
      <c r="G403" s="11" t="s">
        <v>54</v>
      </c>
      <c r="H403" s="24">
        <v>37466</v>
      </c>
      <c r="I403" s="19" t="s">
        <v>1464</v>
      </c>
      <c r="J403" s="11" t="s">
        <v>81</v>
      </c>
      <c r="K403" s="108"/>
      <c r="L403" s="11" t="s">
        <v>109</v>
      </c>
      <c r="N403" s="11" t="s">
        <v>43</v>
      </c>
      <c r="O403" s="11" t="s">
        <v>96</v>
      </c>
      <c r="P403" s="11" t="s">
        <v>66</v>
      </c>
      <c r="Q403" s="11" t="s">
        <v>44</v>
      </c>
      <c r="R403" s="11" t="s">
        <v>45</v>
      </c>
      <c r="S403" s="11" t="s">
        <v>45</v>
      </c>
      <c r="T403" s="11" t="s">
        <v>44</v>
      </c>
      <c r="U403" s="11" t="s">
        <v>45</v>
      </c>
      <c r="V403" s="24">
        <v>45143</v>
      </c>
      <c r="W403" s="11" t="s">
        <v>46</v>
      </c>
      <c r="X403" s="11" t="s">
        <v>47</v>
      </c>
      <c r="Y403" s="11" t="s">
        <v>58</v>
      </c>
      <c r="Z403" s="11">
        <v>81974019897</v>
      </c>
      <c r="AA403" s="11" t="s">
        <v>103</v>
      </c>
      <c r="AB403" s="11" t="s">
        <v>49</v>
      </c>
      <c r="AC403" s="11" t="s">
        <v>50</v>
      </c>
      <c r="AD403" s="11" t="b">
        <v>0</v>
      </c>
      <c r="AF403" s="11" t="s">
        <v>1465</v>
      </c>
      <c r="AG403" s="11"/>
      <c r="AH403" s="11"/>
      <c r="AI403" s="11"/>
    </row>
    <row r="404" ht="12.5" spans="1:35">
      <c r="A404" s="177">
        <v>45142.6815836921</v>
      </c>
      <c r="B404" s="11" t="s">
        <v>1444</v>
      </c>
      <c r="C404" s="19">
        <v>17002859471</v>
      </c>
      <c r="D404" s="19">
        <v>898005980124766</v>
      </c>
      <c r="F404" s="11" t="s">
        <v>225</v>
      </c>
      <c r="G404" s="11" t="s">
        <v>54</v>
      </c>
      <c r="H404" s="24">
        <v>38353</v>
      </c>
      <c r="I404" s="277" t="s">
        <v>540</v>
      </c>
      <c r="J404" s="11" t="s">
        <v>42</v>
      </c>
      <c r="K404" s="108" t="s">
        <v>63</v>
      </c>
      <c r="N404" s="11" t="s">
        <v>95</v>
      </c>
      <c r="O404" s="11" t="s">
        <v>44</v>
      </c>
      <c r="P404" s="11" t="s">
        <v>44</v>
      </c>
      <c r="Q404" s="11" t="s">
        <v>44</v>
      </c>
      <c r="R404" s="11" t="s">
        <v>45</v>
      </c>
      <c r="S404" s="11" t="s">
        <v>83</v>
      </c>
      <c r="T404" s="11" t="s">
        <v>44</v>
      </c>
      <c r="U404" s="11" t="s">
        <v>44</v>
      </c>
      <c r="W404" s="11" t="s">
        <v>57</v>
      </c>
      <c r="X404" s="11" t="s">
        <v>97</v>
      </c>
      <c r="Y404" s="11" t="s">
        <v>97</v>
      </c>
      <c r="Z404" s="11">
        <v>81986055473</v>
      </c>
      <c r="AA404" s="11" t="s">
        <v>1360</v>
      </c>
      <c r="AB404" s="11"/>
      <c r="AC404" s="11"/>
      <c r="AD404" s="11" t="b">
        <v>0</v>
      </c>
      <c r="AF404" s="11"/>
      <c r="AG404" s="11"/>
      <c r="AH404" s="11"/>
      <c r="AI404" s="11"/>
    </row>
    <row r="405" ht="12.5" spans="1:35">
      <c r="A405" s="177">
        <v>45142.8355563773</v>
      </c>
      <c r="B405" s="11" t="s">
        <v>1090</v>
      </c>
      <c r="C405" s="19">
        <v>10859410439</v>
      </c>
      <c r="D405" s="19">
        <v>707802698820718</v>
      </c>
      <c r="E405" s="18" t="s">
        <v>1466</v>
      </c>
      <c r="F405" s="11" t="s">
        <v>40</v>
      </c>
      <c r="G405" s="11" t="s">
        <v>54</v>
      </c>
      <c r="H405" s="24">
        <v>34207</v>
      </c>
      <c r="I405" s="277" t="s">
        <v>1092</v>
      </c>
      <c r="J405" s="11" t="s">
        <v>42</v>
      </c>
      <c r="K405" s="108" t="s">
        <v>1467</v>
      </c>
      <c r="N405" s="11" t="s">
        <v>43</v>
      </c>
      <c r="O405" s="11" t="s">
        <v>65</v>
      </c>
      <c r="P405" s="11" t="s">
        <v>66</v>
      </c>
      <c r="Q405" s="11" t="s">
        <v>44</v>
      </c>
      <c r="R405" s="11" t="s">
        <v>45</v>
      </c>
      <c r="S405" s="11" t="s">
        <v>44</v>
      </c>
      <c r="T405" s="11" t="s">
        <v>44</v>
      </c>
      <c r="U405" s="11" t="s">
        <v>45</v>
      </c>
      <c r="V405" s="24">
        <v>45143</v>
      </c>
      <c r="W405" s="11" t="s">
        <v>46</v>
      </c>
      <c r="X405" s="11" t="s">
        <v>203</v>
      </c>
      <c r="Y405" s="11" t="s">
        <v>58</v>
      </c>
      <c r="Z405" s="11">
        <v>81994811870</v>
      </c>
      <c r="AA405" s="11" t="s">
        <v>1360</v>
      </c>
      <c r="AB405" s="11" t="s">
        <v>49</v>
      </c>
      <c r="AC405" s="11" t="s">
        <v>92</v>
      </c>
      <c r="AD405" s="11" t="b">
        <v>0</v>
      </c>
      <c r="AF405" s="11" t="s">
        <v>1468</v>
      </c>
      <c r="AG405" s="11"/>
      <c r="AH405" s="11"/>
      <c r="AI405" s="11"/>
    </row>
    <row r="406" ht="12.5" spans="1:35">
      <c r="A406" s="177">
        <v>45143.4068153356</v>
      </c>
      <c r="B406" s="11" t="s">
        <v>1406</v>
      </c>
      <c r="C406" s="19">
        <v>11136345450</v>
      </c>
      <c r="D406" s="19">
        <v>700003714309300</v>
      </c>
      <c r="F406" s="11" t="s">
        <v>40</v>
      </c>
      <c r="G406" s="11" t="s">
        <v>54</v>
      </c>
      <c r="H406" s="24">
        <v>35303</v>
      </c>
      <c r="I406" s="277" t="s">
        <v>1408</v>
      </c>
      <c r="J406" s="11" t="s">
        <v>42</v>
      </c>
      <c r="K406" s="108" t="s">
        <v>427</v>
      </c>
      <c r="N406" s="11" t="s">
        <v>95</v>
      </c>
      <c r="O406" s="11" t="s">
        <v>44</v>
      </c>
      <c r="P406" s="11" t="s">
        <v>44</v>
      </c>
      <c r="Q406" s="11" t="s">
        <v>44</v>
      </c>
      <c r="R406" s="11" t="s">
        <v>45</v>
      </c>
      <c r="S406" s="11" t="s">
        <v>45</v>
      </c>
      <c r="T406" s="11" t="s">
        <v>44</v>
      </c>
      <c r="U406" s="11" t="s">
        <v>44</v>
      </c>
      <c r="W406" s="11" t="s">
        <v>57</v>
      </c>
      <c r="X406" s="11" t="s">
        <v>97</v>
      </c>
      <c r="Y406" s="11" t="s">
        <v>97</v>
      </c>
      <c r="Z406" s="11">
        <v>81996242115</v>
      </c>
      <c r="AA406" s="11" t="s">
        <v>115</v>
      </c>
      <c r="AB406" s="11"/>
      <c r="AC406" s="11"/>
      <c r="AD406" s="11" t="b">
        <v>0</v>
      </c>
      <c r="AF406" s="11"/>
      <c r="AG406" s="11"/>
      <c r="AH406" s="11"/>
      <c r="AI406" s="11"/>
    </row>
    <row r="407" ht="12.5" spans="1:35">
      <c r="A407" s="177">
        <v>45143.5114114699</v>
      </c>
      <c r="B407" s="11" t="s">
        <v>1090</v>
      </c>
      <c r="C407" s="19">
        <v>10859410439</v>
      </c>
      <c r="D407" s="19">
        <v>707802698820718</v>
      </c>
      <c r="F407" s="11" t="s">
        <v>40</v>
      </c>
      <c r="G407" s="11" t="s">
        <v>54</v>
      </c>
      <c r="H407" s="24">
        <v>34207</v>
      </c>
      <c r="I407" s="277" t="s">
        <v>1092</v>
      </c>
      <c r="J407" s="11" t="s">
        <v>42</v>
      </c>
      <c r="K407" s="108" t="s">
        <v>1469</v>
      </c>
      <c r="N407" s="11" t="s">
        <v>95</v>
      </c>
      <c r="O407" s="11" t="s">
        <v>96</v>
      </c>
      <c r="P407" s="11" t="s">
        <v>66</v>
      </c>
      <c r="Q407" s="11" t="s">
        <v>44</v>
      </c>
      <c r="R407" s="11" t="s">
        <v>45</v>
      </c>
      <c r="S407" s="11" t="s">
        <v>44</v>
      </c>
      <c r="T407" s="11" t="s">
        <v>44</v>
      </c>
      <c r="U407" s="11" t="s">
        <v>45</v>
      </c>
      <c r="V407" s="24">
        <v>45144</v>
      </c>
      <c r="W407" s="11" t="s">
        <v>57</v>
      </c>
      <c r="X407" s="11" t="s">
        <v>97</v>
      </c>
      <c r="Y407" s="11" t="s">
        <v>97</v>
      </c>
      <c r="Z407" s="11">
        <v>81991022399</v>
      </c>
      <c r="AA407" s="11" t="s">
        <v>91</v>
      </c>
      <c r="AB407" s="11" t="s">
        <v>49</v>
      </c>
      <c r="AC407" s="11" t="s">
        <v>50</v>
      </c>
      <c r="AD407" s="11" t="b">
        <v>0</v>
      </c>
      <c r="AF407" s="11" t="s">
        <v>1470</v>
      </c>
      <c r="AG407" s="11" t="s">
        <v>1471</v>
      </c>
      <c r="AH407" s="11" t="s">
        <v>1472</v>
      </c>
      <c r="AI407" s="11" t="s">
        <v>1473</v>
      </c>
    </row>
    <row r="408" ht="12.5" spans="1:35">
      <c r="A408" s="177">
        <v>45143.518781331</v>
      </c>
      <c r="B408" s="11" t="s">
        <v>352</v>
      </c>
      <c r="C408" s="277" t="s">
        <v>353</v>
      </c>
      <c r="D408" s="19">
        <v>705301484050390</v>
      </c>
      <c r="E408" s="18" t="s">
        <v>1474</v>
      </c>
      <c r="F408" s="11" t="s">
        <v>225</v>
      </c>
      <c r="G408" s="11" t="s">
        <v>54</v>
      </c>
      <c r="H408" s="24">
        <v>32621</v>
      </c>
      <c r="I408" s="277" t="s">
        <v>355</v>
      </c>
      <c r="J408" s="11" t="s">
        <v>81</v>
      </c>
      <c r="K408" s="108"/>
      <c r="L408" s="11" t="s">
        <v>520</v>
      </c>
      <c r="N408" s="11" t="s">
        <v>43</v>
      </c>
      <c r="O408" s="11" t="s">
        <v>65</v>
      </c>
      <c r="P408" s="11" t="s">
        <v>66</v>
      </c>
      <c r="Q408" s="11" t="s">
        <v>44</v>
      </c>
      <c r="R408" s="11" t="s">
        <v>44</v>
      </c>
      <c r="S408" s="11" t="s">
        <v>45</v>
      </c>
      <c r="T408" s="11" t="s">
        <v>44</v>
      </c>
      <c r="U408" s="11" t="s">
        <v>45</v>
      </c>
      <c r="V408" s="24">
        <v>45144</v>
      </c>
      <c r="W408" s="11" t="s">
        <v>46</v>
      </c>
      <c r="X408" s="11" t="s">
        <v>303</v>
      </c>
      <c r="Y408" s="11" t="s">
        <v>58</v>
      </c>
      <c r="Z408" s="11">
        <v>81996713494</v>
      </c>
      <c r="AA408" s="11" t="s">
        <v>115</v>
      </c>
      <c r="AB408" s="11" t="s">
        <v>98</v>
      </c>
      <c r="AC408" s="11"/>
      <c r="AD408" s="11" t="b">
        <v>0</v>
      </c>
      <c r="AF408" s="11" t="s">
        <v>1475</v>
      </c>
      <c r="AG408" s="11" t="s">
        <v>1476</v>
      </c>
      <c r="AH408" s="11"/>
      <c r="AI408" s="11" t="s">
        <v>1477</v>
      </c>
    </row>
    <row r="409" ht="12.5" spans="1:35">
      <c r="A409" s="177">
        <v>45143.5472783218</v>
      </c>
      <c r="B409" s="11" t="s">
        <v>1462</v>
      </c>
      <c r="C409" s="19">
        <v>17143084484</v>
      </c>
      <c r="D409" s="19">
        <v>898003740931665</v>
      </c>
      <c r="F409" s="11" t="s">
        <v>40</v>
      </c>
      <c r="G409" s="11" t="s">
        <v>41</v>
      </c>
      <c r="H409" s="24">
        <v>37466</v>
      </c>
      <c r="I409" s="277" t="s">
        <v>1478</v>
      </c>
      <c r="J409" s="11" t="s">
        <v>438</v>
      </c>
      <c r="K409" s="108"/>
      <c r="L409" s="11" t="s">
        <v>109</v>
      </c>
      <c r="M409" s="11"/>
      <c r="N409" s="11" t="s">
        <v>95</v>
      </c>
      <c r="O409" s="11" t="s">
        <v>127</v>
      </c>
      <c r="P409" s="11" t="s">
        <v>44</v>
      </c>
      <c r="Q409" s="11" t="s">
        <v>44</v>
      </c>
      <c r="R409" s="11" t="s">
        <v>45</v>
      </c>
      <c r="S409" s="11" t="s">
        <v>45</v>
      </c>
      <c r="T409" s="11" t="s">
        <v>44</v>
      </c>
      <c r="U409" s="11" t="s">
        <v>44</v>
      </c>
      <c r="W409" s="11" t="s">
        <v>57</v>
      </c>
      <c r="X409" s="11" t="s">
        <v>97</v>
      </c>
      <c r="Y409" s="11" t="s">
        <v>97</v>
      </c>
      <c r="Z409" s="11">
        <v>81974019897</v>
      </c>
      <c r="AA409" s="11" t="s">
        <v>115</v>
      </c>
      <c r="AB409" s="11"/>
      <c r="AC409" s="11"/>
      <c r="AD409" s="11" t="b">
        <v>0</v>
      </c>
      <c r="AF409" s="11"/>
      <c r="AG409" s="11"/>
      <c r="AH409" s="11"/>
      <c r="AI409" s="11"/>
    </row>
    <row r="410" ht="12.5" spans="1:35">
      <c r="A410" s="177">
        <v>45143.5771537731</v>
      </c>
      <c r="B410" s="11" t="s">
        <v>1098</v>
      </c>
      <c r="C410" s="277" t="s">
        <v>1099</v>
      </c>
      <c r="D410" s="19">
        <v>706001315807649</v>
      </c>
      <c r="F410" s="11" t="s">
        <v>225</v>
      </c>
      <c r="G410" s="11" t="s">
        <v>54</v>
      </c>
      <c r="H410" s="24">
        <v>30891</v>
      </c>
      <c r="I410" s="277" t="s">
        <v>918</v>
      </c>
      <c r="J410" s="11" t="s">
        <v>42</v>
      </c>
      <c r="K410" s="108" t="s">
        <v>63</v>
      </c>
      <c r="N410" s="11" t="s">
        <v>95</v>
      </c>
      <c r="O410" s="11" t="s">
        <v>44</v>
      </c>
      <c r="P410" s="11" t="s">
        <v>44</v>
      </c>
      <c r="Q410" s="11" t="s">
        <v>44</v>
      </c>
      <c r="R410" s="11" t="s">
        <v>44</v>
      </c>
      <c r="S410" s="11" t="s">
        <v>45</v>
      </c>
      <c r="T410" s="11" t="s">
        <v>44</v>
      </c>
      <c r="U410" s="11" t="s">
        <v>45</v>
      </c>
      <c r="V410" s="24">
        <v>45146</v>
      </c>
      <c r="W410" s="11" t="s">
        <v>57</v>
      </c>
      <c r="X410" s="11" t="s">
        <v>97</v>
      </c>
      <c r="Y410" s="11" t="s">
        <v>97</v>
      </c>
      <c r="Z410" s="11">
        <v>81993804960</v>
      </c>
      <c r="AA410" s="11" t="s">
        <v>115</v>
      </c>
      <c r="AB410" s="11" t="s">
        <v>49</v>
      </c>
      <c r="AC410" s="11" t="s">
        <v>106</v>
      </c>
      <c r="AD410" s="11" t="b">
        <v>1</v>
      </c>
      <c r="AE410" s="11" t="s">
        <v>137</v>
      </c>
      <c r="AF410" s="11" t="s">
        <v>1479</v>
      </c>
      <c r="AG410" s="11"/>
      <c r="AH410" s="11"/>
      <c r="AI410" s="11"/>
    </row>
    <row r="411" ht="12.5" spans="1:35">
      <c r="A411" s="177">
        <v>45143.6001075694</v>
      </c>
      <c r="B411" s="11" t="s">
        <v>1452</v>
      </c>
      <c r="C411" s="19">
        <v>14825985408</v>
      </c>
      <c r="D411" s="19">
        <v>703008821547875</v>
      </c>
      <c r="E411" s="18" t="s">
        <v>1480</v>
      </c>
      <c r="F411" s="11" t="s">
        <v>217</v>
      </c>
      <c r="G411" s="11" t="s">
        <v>54</v>
      </c>
      <c r="H411" s="24">
        <v>38106</v>
      </c>
      <c r="I411" s="277" t="s">
        <v>1454</v>
      </c>
      <c r="J411" s="11" t="s">
        <v>42</v>
      </c>
      <c r="K411" s="108" t="s">
        <v>282</v>
      </c>
      <c r="N411" s="11" t="s">
        <v>95</v>
      </c>
      <c r="O411" s="11" t="s">
        <v>96</v>
      </c>
      <c r="P411" s="11" t="s">
        <v>66</v>
      </c>
      <c r="Q411" s="11" t="s">
        <v>44</v>
      </c>
      <c r="R411" s="11" t="s">
        <v>44</v>
      </c>
      <c r="S411" s="11" t="s">
        <v>44</v>
      </c>
      <c r="T411" s="11" t="s">
        <v>44</v>
      </c>
      <c r="U411" s="11" t="s">
        <v>45</v>
      </c>
      <c r="V411" s="24">
        <v>45144</v>
      </c>
      <c r="W411" s="11" t="s">
        <v>46</v>
      </c>
      <c r="X411" s="11" t="s">
        <v>97</v>
      </c>
      <c r="Y411" s="11" t="s">
        <v>97</v>
      </c>
      <c r="Z411" s="11">
        <v>81999798361</v>
      </c>
      <c r="AA411" s="11" t="s">
        <v>91</v>
      </c>
      <c r="AB411" s="11" t="s">
        <v>98</v>
      </c>
      <c r="AC411" s="11"/>
      <c r="AD411" s="11" t="b">
        <v>0</v>
      </c>
      <c r="AF411" s="11" t="s">
        <v>1481</v>
      </c>
      <c r="AG411" s="11" t="s">
        <v>1482</v>
      </c>
      <c r="AH411" s="63" t="s">
        <v>1457</v>
      </c>
      <c r="AI411" s="11"/>
    </row>
    <row r="412" ht="12.5" spans="1:35">
      <c r="A412" s="177">
        <v>45143.7804715972</v>
      </c>
      <c r="B412" s="11" t="s">
        <v>1483</v>
      </c>
      <c r="C412" s="19">
        <v>71580630464</v>
      </c>
      <c r="D412" s="19">
        <v>706401158848587</v>
      </c>
      <c r="E412" s="18" t="s">
        <v>1484</v>
      </c>
      <c r="F412" s="11" t="s">
        <v>225</v>
      </c>
      <c r="G412" s="11" t="s">
        <v>88</v>
      </c>
      <c r="H412" s="24">
        <v>36596</v>
      </c>
      <c r="I412" s="277" t="s">
        <v>1485</v>
      </c>
      <c r="J412" s="11" t="s">
        <v>42</v>
      </c>
      <c r="K412" s="108" t="s">
        <v>1486</v>
      </c>
      <c r="N412" s="11" t="s">
        <v>43</v>
      </c>
      <c r="O412" s="11" t="s">
        <v>44</v>
      </c>
      <c r="P412" s="11" t="s">
        <v>44</v>
      </c>
      <c r="Q412" s="11" t="s">
        <v>44</v>
      </c>
      <c r="R412" s="11" t="s">
        <v>45</v>
      </c>
      <c r="S412" s="11" t="s">
        <v>45</v>
      </c>
      <c r="T412" s="11" t="s">
        <v>44</v>
      </c>
      <c r="U412" s="11" t="s">
        <v>44</v>
      </c>
      <c r="W412" s="11" t="s">
        <v>57</v>
      </c>
      <c r="X412" s="11" t="s">
        <v>303</v>
      </c>
      <c r="Y412" s="11" t="s">
        <v>68</v>
      </c>
      <c r="Z412" s="11">
        <v>81997035691</v>
      </c>
      <c r="AA412" s="11" t="s">
        <v>91</v>
      </c>
      <c r="AB412" s="11"/>
      <c r="AC412" s="11"/>
      <c r="AD412" s="11" t="b">
        <v>0</v>
      </c>
      <c r="AF412" s="11"/>
      <c r="AG412" s="11"/>
      <c r="AH412" s="11"/>
      <c r="AI412" s="11"/>
    </row>
    <row r="413" ht="12.5" spans="1:35">
      <c r="A413" s="177">
        <v>45144.408139537</v>
      </c>
      <c r="B413" s="11" t="s">
        <v>1487</v>
      </c>
      <c r="C413" s="277" t="s">
        <v>1488</v>
      </c>
      <c r="D413" s="19">
        <v>700708434557280</v>
      </c>
      <c r="E413" s="18" t="s">
        <v>1489</v>
      </c>
      <c r="F413" s="11" t="s">
        <v>225</v>
      </c>
      <c r="G413" s="11" t="s">
        <v>54</v>
      </c>
      <c r="H413" s="24">
        <v>32741</v>
      </c>
      <c r="I413" s="277" t="s">
        <v>1490</v>
      </c>
      <c r="J413" s="11" t="s">
        <v>42</v>
      </c>
      <c r="K413" s="108" t="s">
        <v>74</v>
      </c>
      <c r="N413" s="11" t="s">
        <v>43</v>
      </c>
      <c r="O413" s="11" t="s">
        <v>96</v>
      </c>
      <c r="P413" s="11" t="s">
        <v>56</v>
      </c>
      <c r="Q413" s="11" t="s">
        <v>44</v>
      </c>
      <c r="R413" s="11" t="s">
        <v>45</v>
      </c>
      <c r="S413" s="11" t="s">
        <v>45</v>
      </c>
      <c r="T413" s="11" t="s">
        <v>44</v>
      </c>
      <c r="U413" s="11" t="s">
        <v>45</v>
      </c>
      <c r="V413" s="24">
        <v>45145</v>
      </c>
      <c r="W413" s="11" t="s">
        <v>46</v>
      </c>
      <c r="X413" s="11" t="s">
        <v>303</v>
      </c>
      <c r="Y413" s="11" t="s">
        <v>58</v>
      </c>
      <c r="Z413" s="11">
        <v>81991264656</v>
      </c>
      <c r="AA413" s="11" t="s">
        <v>1360</v>
      </c>
      <c r="AB413" s="11" t="s">
        <v>69</v>
      </c>
      <c r="AC413" s="11" t="s">
        <v>256</v>
      </c>
      <c r="AD413" s="11" t="b">
        <v>0</v>
      </c>
      <c r="AF413" s="11" t="s">
        <v>1491</v>
      </c>
      <c r="AG413" s="11"/>
      <c r="AH413" s="11" t="s">
        <v>1492</v>
      </c>
      <c r="AI413" s="11"/>
    </row>
    <row r="414" ht="12.5" spans="1:35">
      <c r="A414" s="177">
        <v>45145.4327544329</v>
      </c>
      <c r="B414" s="11" t="s">
        <v>1493</v>
      </c>
      <c r="C414" s="19">
        <v>13387549474</v>
      </c>
      <c r="D414" s="19">
        <v>708107808885710</v>
      </c>
      <c r="E414" s="18" t="s">
        <v>1494</v>
      </c>
      <c r="F414" s="11" t="s">
        <v>40</v>
      </c>
      <c r="G414" s="11" t="s">
        <v>41</v>
      </c>
      <c r="H414" s="24">
        <v>37267</v>
      </c>
      <c r="I414" s="277" t="s">
        <v>1495</v>
      </c>
      <c r="J414" s="11" t="s">
        <v>42</v>
      </c>
      <c r="K414" s="108" t="s">
        <v>399</v>
      </c>
      <c r="N414" s="11" t="s">
        <v>43</v>
      </c>
      <c r="O414" s="11" t="s">
        <v>44</v>
      </c>
      <c r="P414" s="11" t="s">
        <v>44</v>
      </c>
      <c r="Q414" s="11" t="s">
        <v>44</v>
      </c>
      <c r="R414" s="11" t="s">
        <v>44</v>
      </c>
      <c r="S414" s="11" t="s">
        <v>44</v>
      </c>
      <c r="T414" s="11" t="s">
        <v>44</v>
      </c>
      <c r="U414" s="11" t="s">
        <v>45</v>
      </c>
      <c r="V414" s="24">
        <v>45155</v>
      </c>
      <c r="W414" s="11" t="s">
        <v>46</v>
      </c>
      <c r="X414" s="11" t="s">
        <v>47</v>
      </c>
      <c r="Y414" s="11" t="s">
        <v>58</v>
      </c>
      <c r="Z414" s="11">
        <v>81985181388</v>
      </c>
      <c r="AA414" s="11" t="s">
        <v>1360</v>
      </c>
      <c r="AB414" s="11" t="s">
        <v>49</v>
      </c>
      <c r="AC414" s="11" t="s">
        <v>256</v>
      </c>
      <c r="AD414" s="11" t="b">
        <v>0</v>
      </c>
      <c r="AF414" s="11" t="s">
        <v>1496</v>
      </c>
      <c r="AG414" s="11" t="s">
        <v>1497</v>
      </c>
      <c r="AH414" s="11" t="s">
        <v>1498</v>
      </c>
      <c r="AI414" s="11"/>
    </row>
    <row r="415" ht="12.5" spans="1:35">
      <c r="A415" s="177">
        <v>45145.4655337037</v>
      </c>
      <c r="B415" s="11" t="s">
        <v>1499</v>
      </c>
      <c r="C415" s="19">
        <v>10509610480</v>
      </c>
      <c r="D415" s="19">
        <v>707806698403118</v>
      </c>
      <c r="E415" s="18" t="s">
        <v>1500</v>
      </c>
      <c r="F415" s="11" t="s">
        <v>217</v>
      </c>
      <c r="G415" s="11" t="s">
        <v>54</v>
      </c>
      <c r="H415" s="24">
        <v>34842</v>
      </c>
      <c r="I415" s="232">
        <v>44888</v>
      </c>
      <c r="J415" s="11" t="s">
        <v>42</v>
      </c>
      <c r="K415" s="108" t="s">
        <v>55</v>
      </c>
      <c r="N415" s="11" t="s">
        <v>43</v>
      </c>
      <c r="O415" s="11" t="s">
        <v>65</v>
      </c>
      <c r="P415" s="11" t="s">
        <v>66</v>
      </c>
      <c r="Q415" s="11" t="s">
        <v>44</v>
      </c>
      <c r="R415" s="11" t="s">
        <v>44</v>
      </c>
      <c r="S415" s="11" t="s">
        <v>44</v>
      </c>
      <c r="T415" s="11" t="s">
        <v>44</v>
      </c>
      <c r="U415" s="11" t="s">
        <v>45</v>
      </c>
      <c r="V415" s="24">
        <v>45145</v>
      </c>
      <c r="W415" s="11" t="s">
        <v>46</v>
      </c>
      <c r="X415" s="11" t="s">
        <v>47</v>
      </c>
      <c r="Y415" s="11" t="s">
        <v>58</v>
      </c>
      <c r="Z415" s="11">
        <v>81988242621</v>
      </c>
      <c r="AA415" s="11" t="s">
        <v>103</v>
      </c>
      <c r="AB415" s="11" t="s">
        <v>49</v>
      </c>
      <c r="AC415" s="11" t="s">
        <v>84</v>
      </c>
      <c r="AD415" s="11" t="b">
        <v>0</v>
      </c>
      <c r="AF415" s="11" t="s">
        <v>1501</v>
      </c>
      <c r="AG415" s="11" t="s">
        <v>1502</v>
      </c>
      <c r="AH415" s="11"/>
      <c r="AI415" s="11"/>
    </row>
    <row r="416" ht="12.5" spans="1:35">
      <c r="A416" s="177">
        <v>45145.536236331</v>
      </c>
      <c r="B416" s="11" t="s">
        <v>1503</v>
      </c>
      <c r="C416" s="19">
        <v>71177047489</v>
      </c>
      <c r="D416" s="19">
        <v>898003033926454</v>
      </c>
      <c r="E416" s="18" t="s">
        <v>1504</v>
      </c>
      <c r="F416" s="11" t="s">
        <v>40</v>
      </c>
      <c r="G416" s="11" t="s">
        <v>54</v>
      </c>
      <c r="H416" s="24">
        <v>37154</v>
      </c>
      <c r="I416" s="277" t="s">
        <v>1505</v>
      </c>
      <c r="J416" s="11" t="s">
        <v>42</v>
      </c>
      <c r="K416" s="108" t="s">
        <v>155</v>
      </c>
      <c r="N416" s="11" t="s">
        <v>43</v>
      </c>
      <c r="O416" s="11" t="s">
        <v>96</v>
      </c>
      <c r="P416" s="11" t="s">
        <v>56</v>
      </c>
      <c r="Q416" s="11" t="s">
        <v>44</v>
      </c>
      <c r="R416" s="11" t="s">
        <v>44</v>
      </c>
      <c r="S416" s="11" t="s">
        <v>45</v>
      </c>
      <c r="T416" s="11" t="s">
        <v>44</v>
      </c>
      <c r="U416" s="11" t="s">
        <v>45</v>
      </c>
      <c r="V416" s="24">
        <v>45146</v>
      </c>
      <c r="W416" s="11" t="s">
        <v>46</v>
      </c>
      <c r="X416" s="11" t="s">
        <v>47</v>
      </c>
      <c r="Y416" s="11" t="s">
        <v>58</v>
      </c>
      <c r="Z416" s="11">
        <v>81985342963</v>
      </c>
      <c r="AA416" s="11" t="s">
        <v>105</v>
      </c>
      <c r="AB416" s="11" t="s">
        <v>49</v>
      </c>
      <c r="AC416" s="11" t="s">
        <v>92</v>
      </c>
      <c r="AD416" s="11" t="b">
        <v>0</v>
      </c>
      <c r="AF416" s="11" t="s">
        <v>1506</v>
      </c>
      <c r="AG416" s="11"/>
      <c r="AH416" s="11"/>
      <c r="AI416" s="11"/>
    </row>
    <row r="417" ht="12.5" spans="1:35">
      <c r="A417" s="177">
        <v>45145.7510235417</v>
      </c>
      <c r="B417" s="11" t="s">
        <v>1499</v>
      </c>
      <c r="C417" s="19">
        <v>10509610480</v>
      </c>
      <c r="D417" s="19">
        <v>707806698403118</v>
      </c>
      <c r="E417" s="18" t="s">
        <v>1500</v>
      </c>
      <c r="F417" s="11" t="s">
        <v>217</v>
      </c>
      <c r="G417" s="11" t="s">
        <v>54</v>
      </c>
      <c r="H417" s="24">
        <v>34842</v>
      </c>
      <c r="I417" s="277" t="s">
        <v>1507</v>
      </c>
      <c r="J417" s="11" t="s">
        <v>42</v>
      </c>
      <c r="K417" s="108" t="s">
        <v>55</v>
      </c>
      <c r="N417" s="11" t="s">
        <v>95</v>
      </c>
      <c r="O417" s="11" t="s">
        <v>44</v>
      </c>
      <c r="P417" s="11" t="s">
        <v>44</v>
      </c>
      <c r="Q417" s="11" t="s">
        <v>44</v>
      </c>
      <c r="R417" s="11" t="s">
        <v>45</v>
      </c>
      <c r="S417" s="11" t="s">
        <v>83</v>
      </c>
      <c r="T417" s="11" t="s">
        <v>44</v>
      </c>
      <c r="U417" s="11" t="s">
        <v>44</v>
      </c>
      <c r="W417" s="11" t="s">
        <v>57</v>
      </c>
      <c r="X417" s="11" t="s">
        <v>97</v>
      </c>
      <c r="Y417" s="11" t="s">
        <v>97</v>
      </c>
      <c r="Z417" s="11">
        <v>81988242621</v>
      </c>
      <c r="AA417" s="11" t="s">
        <v>105</v>
      </c>
      <c r="AB417" s="11"/>
      <c r="AC417" s="11"/>
      <c r="AD417" s="11" t="b">
        <v>0</v>
      </c>
      <c r="AF417" s="11"/>
      <c r="AG417" s="11"/>
      <c r="AH417" s="11"/>
      <c r="AI417" s="11"/>
    </row>
    <row r="418" ht="12.5" spans="1:35">
      <c r="A418" s="177">
        <v>45145.7889314352</v>
      </c>
      <c r="B418" s="11" t="s">
        <v>1508</v>
      </c>
      <c r="C418" s="19">
        <v>16111740407</v>
      </c>
      <c r="D418" s="19">
        <v>700400926071042</v>
      </c>
      <c r="E418" s="18" t="s">
        <v>1509</v>
      </c>
      <c r="F418" s="11" t="s">
        <v>40</v>
      </c>
      <c r="G418" s="11" t="s">
        <v>88</v>
      </c>
      <c r="H418" s="24">
        <v>37566</v>
      </c>
      <c r="I418" s="277" t="s">
        <v>433</v>
      </c>
      <c r="J418" s="11" t="s">
        <v>42</v>
      </c>
      <c r="K418" s="108" t="s">
        <v>74</v>
      </c>
      <c r="N418" s="11" t="s">
        <v>43</v>
      </c>
      <c r="O418" s="11" t="s">
        <v>96</v>
      </c>
      <c r="P418" s="11" t="s">
        <v>56</v>
      </c>
      <c r="Q418" s="11" t="s">
        <v>44</v>
      </c>
      <c r="R418" s="11" t="s">
        <v>45</v>
      </c>
      <c r="S418" s="11" t="s">
        <v>45</v>
      </c>
      <c r="T418" s="11" t="s">
        <v>44</v>
      </c>
      <c r="U418" s="11" t="s">
        <v>45</v>
      </c>
      <c r="V418" s="24">
        <v>45146</v>
      </c>
      <c r="W418" s="11" t="s">
        <v>46</v>
      </c>
      <c r="X418" s="11" t="s">
        <v>203</v>
      </c>
      <c r="Y418" s="11" t="s">
        <v>58</v>
      </c>
      <c r="Z418" s="11">
        <v>81982083500</v>
      </c>
      <c r="AA418" s="11" t="s">
        <v>1360</v>
      </c>
      <c r="AB418" s="11" t="s">
        <v>98</v>
      </c>
      <c r="AC418" s="11"/>
      <c r="AD418" s="11" t="b">
        <v>0</v>
      </c>
      <c r="AF418" s="11" t="s">
        <v>1510</v>
      </c>
      <c r="AG418" s="11" t="s">
        <v>1511</v>
      </c>
      <c r="AH418" s="11" t="s">
        <v>1512</v>
      </c>
      <c r="AI418" s="11"/>
    </row>
    <row r="419" ht="12.5" spans="1:35">
      <c r="A419" s="177">
        <v>45146.3812400116</v>
      </c>
      <c r="B419" s="11" t="s">
        <v>1503</v>
      </c>
      <c r="C419" s="19">
        <v>71177047489</v>
      </c>
      <c r="D419" s="19">
        <v>898003033926454</v>
      </c>
      <c r="F419" s="11" t="s">
        <v>40</v>
      </c>
      <c r="G419" s="11" t="s">
        <v>54</v>
      </c>
      <c r="H419" s="24">
        <v>37154</v>
      </c>
      <c r="I419" s="277" t="s">
        <v>1513</v>
      </c>
      <c r="J419" s="11" t="s">
        <v>42</v>
      </c>
      <c r="K419" s="108" t="s">
        <v>155</v>
      </c>
      <c r="N419" s="11" t="s">
        <v>95</v>
      </c>
      <c r="O419" s="11" t="s">
        <v>44</v>
      </c>
      <c r="P419" s="11" t="s">
        <v>44</v>
      </c>
      <c r="Q419" s="11" t="s">
        <v>44</v>
      </c>
      <c r="R419" s="11" t="s">
        <v>44</v>
      </c>
      <c r="S419" s="11" t="s">
        <v>45</v>
      </c>
      <c r="T419" s="11" t="s">
        <v>44</v>
      </c>
      <c r="U419" s="11" t="s">
        <v>44</v>
      </c>
      <c r="W419" s="11" t="s">
        <v>57</v>
      </c>
      <c r="X419" s="11" t="s">
        <v>97</v>
      </c>
      <c r="Y419" s="11" t="s">
        <v>97</v>
      </c>
      <c r="Z419" s="11">
        <v>81985342963</v>
      </c>
      <c r="AA419" s="11" t="s">
        <v>91</v>
      </c>
      <c r="AB419" s="11"/>
      <c r="AC419" s="11"/>
      <c r="AD419" s="11" t="b">
        <v>0</v>
      </c>
      <c r="AF419" s="11"/>
      <c r="AG419" s="11"/>
      <c r="AH419" s="11"/>
      <c r="AI419" s="11"/>
    </row>
    <row r="420" ht="12.5" spans="1:35">
      <c r="A420" s="177">
        <v>45146.3895201736</v>
      </c>
      <c r="B420" s="11" t="s">
        <v>1098</v>
      </c>
      <c r="C420" s="277" t="s">
        <v>1099</v>
      </c>
      <c r="D420" s="19">
        <v>706001315807649</v>
      </c>
      <c r="F420" s="11" t="s">
        <v>225</v>
      </c>
      <c r="G420" s="11" t="s">
        <v>54</v>
      </c>
      <c r="H420" s="24">
        <v>30891</v>
      </c>
      <c r="I420" s="277" t="s">
        <v>918</v>
      </c>
      <c r="J420" s="11" t="s">
        <v>42</v>
      </c>
      <c r="K420" s="108" t="s">
        <v>63</v>
      </c>
      <c r="N420" s="11" t="s">
        <v>95</v>
      </c>
      <c r="O420" s="11" t="s">
        <v>65</v>
      </c>
      <c r="P420" s="11" t="s">
        <v>66</v>
      </c>
      <c r="Q420" s="11" t="s">
        <v>44</v>
      </c>
      <c r="R420" s="11" t="s">
        <v>45</v>
      </c>
      <c r="S420" s="11" t="s">
        <v>83</v>
      </c>
      <c r="T420" s="11" t="s">
        <v>44</v>
      </c>
      <c r="U420" s="11" t="s">
        <v>45</v>
      </c>
      <c r="V420" s="24">
        <v>45147</v>
      </c>
      <c r="W420" s="11" t="s">
        <v>57</v>
      </c>
      <c r="X420" s="11" t="s">
        <v>97</v>
      </c>
      <c r="Y420" s="11" t="s">
        <v>97</v>
      </c>
      <c r="Z420" s="11">
        <v>81993804960</v>
      </c>
      <c r="AA420" s="11" t="s">
        <v>103</v>
      </c>
      <c r="AB420" s="11" t="s">
        <v>49</v>
      </c>
      <c r="AC420" s="11" t="s">
        <v>50</v>
      </c>
      <c r="AD420" s="11" t="b">
        <v>0</v>
      </c>
      <c r="AF420" s="11" t="s">
        <v>1514</v>
      </c>
      <c r="AG420" s="11" t="s">
        <v>1515</v>
      </c>
      <c r="AH420" s="11"/>
      <c r="AI420" s="11"/>
    </row>
    <row r="421" ht="12.5" spans="1:35">
      <c r="A421" s="177">
        <v>45147.3617676273</v>
      </c>
      <c r="B421" s="11" t="s">
        <v>1516</v>
      </c>
      <c r="C421" s="277" t="s">
        <v>1517</v>
      </c>
      <c r="D421" s="19">
        <v>700007375574701</v>
      </c>
      <c r="E421" s="18" t="s">
        <v>1518</v>
      </c>
      <c r="F421" s="11" t="s">
        <v>40</v>
      </c>
      <c r="G421" s="11" t="s">
        <v>54</v>
      </c>
      <c r="H421" s="24">
        <v>33652</v>
      </c>
      <c r="I421" s="277" t="s">
        <v>776</v>
      </c>
      <c r="J421" s="11" t="s">
        <v>42</v>
      </c>
      <c r="K421" s="108" t="s">
        <v>202</v>
      </c>
      <c r="N421" s="11" t="s">
        <v>43</v>
      </c>
      <c r="O421" s="11" t="s">
        <v>44</v>
      </c>
      <c r="P421" s="11" t="s">
        <v>44</v>
      </c>
      <c r="Q421" s="11" t="s">
        <v>44</v>
      </c>
      <c r="R421" s="11" t="s">
        <v>45</v>
      </c>
      <c r="S421" s="11" t="s">
        <v>83</v>
      </c>
      <c r="T421" s="11" t="s">
        <v>44</v>
      </c>
      <c r="U421" s="11" t="s">
        <v>44</v>
      </c>
      <c r="W421" s="11" t="s">
        <v>57</v>
      </c>
      <c r="X421" s="11" t="s">
        <v>47</v>
      </c>
      <c r="Y421" s="11" t="s">
        <v>58</v>
      </c>
      <c r="Z421" s="11">
        <v>81988582823</v>
      </c>
      <c r="AA421" s="11" t="s">
        <v>113</v>
      </c>
      <c r="AB421" s="11"/>
      <c r="AC421" s="11"/>
      <c r="AD421" s="11" t="b">
        <v>0</v>
      </c>
      <c r="AF421" s="11"/>
      <c r="AG421" s="11"/>
      <c r="AH421" s="11"/>
      <c r="AI421" s="11"/>
    </row>
    <row r="422" ht="12.5" spans="1:35">
      <c r="A422" s="177">
        <v>45147.3680579514</v>
      </c>
      <c r="B422" s="11" t="s">
        <v>1519</v>
      </c>
      <c r="C422" s="277" t="s">
        <v>1520</v>
      </c>
      <c r="D422" s="19">
        <v>700000449927606</v>
      </c>
      <c r="E422" s="18" t="s">
        <v>1521</v>
      </c>
      <c r="F422" s="11" t="s">
        <v>225</v>
      </c>
      <c r="G422" s="11" t="s">
        <v>54</v>
      </c>
      <c r="H422" s="24">
        <v>31540</v>
      </c>
      <c r="I422" s="277" t="s">
        <v>424</v>
      </c>
      <c r="J422" s="11" t="s">
        <v>42</v>
      </c>
      <c r="K422" s="108" t="s">
        <v>155</v>
      </c>
      <c r="N422" s="11" t="s">
        <v>43</v>
      </c>
      <c r="O422" s="11" t="s">
        <v>44</v>
      </c>
      <c r="P422" s="11" t="s">
        <v>44</v>
      </c>
      <c r="Q422" s="11" t="s">
        <v>44</v>
      </c>
      <c r="R422" s="11" t="s">
        <v>45</v>
      </c>
      <c r="S422" s="11" t="s">
        <v>45</v>
      </c>
      <c r="T422" s="11" t="s">
        <v>44</v>
      </c>
      <c r="U422" s="11" t="s">
        <v>45</v>
      </c>
      <c r="V422" s="24">
        <v>45149</v>
      </c>
      <c r="W422" s="11" t="s">
        <v>46</v>
      </c>
      <c r="X422" s="11" t="s">
        <v>203</v>
      </c>
      <c r="Y422" s="11" t="s">
        <v>58</v>
      </c>
      <c r="Z422" s="11">
        <v>81994743066</v>
      </c>
      <c r="AA422" s="11" t="s">
        <v>115</v>
      </c>
      <c r="AB422" s="11" t="s">
        <v>49</v>
      </c>
      <c r="AC422" s="11" t="s">
        <v>106</v>
      </c>
      <c r="AD422" s="11" t="b">
        <v>1</v>
      </c>
      <c r="AE422" s="11" t="s">
        <v>137</v>
      </c>
      <c r="AF422" s="11" t="s">
        <v>1522</v>
      </c>
      <c r="AG422" s="11"/>
      <c r="AH422" s="11"/>
      <c r="AI422" s="11"/>
    </row>
    <row r="423" ht="12.5" spans="1:35">
      <c r="A423" s="177">
        <v>45147.3896671528</v>
      </c>
      <c r="B423" s="11" t="s">
        <v>1090</v>
      </c>
      <c r="C423" s="19">
        <v>10859410439</v>
      </c>
      <c r="D423" s="19">
        <v>707802698820718</v>
      </c>
      <c r="F423" s="11" t="s">
        <v>40</v>
      </c>
      <c r="G423" s="11" t="s">
        <v>54</v>
      </c>
      <c r="H423" s="24">
        <v>34207</v>
      </c>
      <c r="I423" s="277" t="s">
        <v>1092</v>
      </c>
      <c r="J423" s="11" t="s">
        <v>42</v>
      </c>
      <c r="K423" s="108" t="s">
        <v>1469</v>
      </c>
      <c r="N423" s="11" t="s">
        <v>95</v>
      </c>
      <c r="O423" s="11" t="s">
        <v>44</v>
      </c>
      <c r="P423" s="11" t="s">
        <v>44</v>
      </c>
      <c r="Q423" s="11" t="s">
        <v>44</v>
      </c>
      <c r="R423" s="11" t="s">
        <v>45</v>
      </c>
      <c r="S423" s="11" t="s">
        <v>45</v>
      </c>
      <c r="T423" s="11" t="s">
        <v>44</v>
      </c>
      <c r="U423" s="11" t="s">
        <v>44</v>
      </c>
      <c r="W423" s="11" t="s">
        <v>57</v>
      </c>
      <c r="X423" s="11" t="s">
        <v>97</v>
      </c>
      <c r="Y423" s="11" t="s">
        <v>97</v>
      </c>
      <c r="Z423" s="11">
        <v>81991022399</v>
      </c>
      <c r="AA423" s="11" t="s">
        <v>115</v>
      </c>
      <c r="AB423" s="11"/>
      <c r="AC423" s="11"/>
      <c r="AD423" s="11" t="b">
        <v>0</v>
      </c>
      <c r="AF423" s="11"/>
      <c r="AG423" s="11"/>
      <c r="AH423" s="11"/>
      <c r="AI423" s="11"/>
    </row>
    <row r="424" ht="12.5" spans="1:35">
      <c r="A424" s="177">
        <v>45147.4985247107</v>
      </c>
      <c r="B424" s="11" t="s">
        <v>1523</v>
      </c>
      <c r="C424" s="19">
        <v>13439690423</v>
      </c>
      <c r="D424" s="19">
        <v>705804437129030</v>
      </c>
      <c r="E424" s="18" t="s">
        <v>1524</v>
      </c>
      <c r="F424" s="11" t="s">
        <v>225</v>
      </c>
      <c r="G424" s="11" t="s">
        <v>41</v>
      </c>
      <c r="H424" s="24">
        <v>37966</v>
      </c>
      <c r="I424" s="19" t="s">
        <v>865</v>
      </c>
      <c r="J424" s="11" t="s">
        <v>438</v>
      </c>
      <c r="K424" s="108"/>
      <c r="M424" s="11" t="s">
        <v>1525</v>
      </c>
      <c r="N424" s="11" t="s">
        <v>43</v>
      </c>
      <c r="O424" s="11" t="s">
        <v>96</v>
      </c>
      <c r="P424" s="11" t="s">
        <v>56</v>
      </c>
      <c r="Q424" s="11" t="s">
        <v>44</v>
      </c>
      <c r="R424" s="11" t="s">
        <v>45</v>
      </c>
      <c r="S424" s="11" t="s">
        <v>83</v>
      </c>
      <c r="T424" s="11" t="s">
        <v>44</v>
      </c>
      <c r="U424" s="11" t="s">
        <v>44</v>
      </c>
      <c r="W424" s="11" t="s">
        <v>46</v>
      </c>
      <c r="X424" s="11" t="s">
        <v>47</v>
      </c>
      <c r="Y424" s="11" t="s">
        <v>58</v>
      </c>
      <c r="Z424" s="11">
        <v>81983077317</v>
      </c>
      <c r="AA424" s="11" t="s">
        <v>115</v>
      </c>
      <c r="AB424" s="11"/>
      <c r="AC424" s="11"/>
      <c r="AD424" s="11" t="b">
        <v>0</v>
      </c>
      <c r="AF424" s="11"/>
      <c r="AG424" s="11"/>
      <c r="AH424" s="11" t="s">
        <v>1526</v>
      </c>
      <c r="AI424" s="11"/>
    </row>
    <row r="425" ht="12.5" spans="1:35">
      <c r="A425" s="177">
        <v>45147.7615070255</v>
      </c>
      <c r="B425" s="11" t="s">
        <v>1098</v>
      </c>
      <c r="C425" s="277" t="s">
        <v>1099</v>
      </c>
      <c r="D425" s="19">
        <v>706001315807649</v>
      </c>
      <c r="F425" s="11" t="s">
        <v>225</v>
      </c>
      <c r="G425" s="11" t="s">
        <v>54</v>
      </c>
      <c r="H425" s="24">
        <v>30891</v>
      </c>
      <c r="I425" s="277" t="s">
        <v>918</v>
      </c>
      <c r="J425" s="11" t="s">
        <v>42</v>
      </c>
      <c r="K425" s="108" t="s">
        <v>63</v>
      </c>
      <c r="N425" s="11" t="s">
        <v>95</v>
      </c>
      <c r="O425" s="11" t="s">
        <v>44</v>
      </c>
      <c r="P425" s="11" t="s">
        <v>44</v>
      </c>
      <c r="Q425" s="11" t="s">
        <v>44</v>
      </c>
      <c r="R425" s="11" t="s">
        <v>45</v>
      </c>
      <c r="S425" s="11" t="s">
        <v>45</v>
      </c>
      <c r="T425" s="11" t="s">
        <v>44</v>
      </c>
      <c r="U425" s="11" t="s">
        <v>44</v>
      </c>
      <c r="W425" s="11" t="s">
        <v>57</v>
      </c>
      <c r="X425" s="11" t="s">
        <v>97</v>
      </c>
      <c r="Y425" s="11" t="s">
        <v>97</v>
      </c>
      <c r="Z425" s="11">
        <v>81993804960</v>
      </c>
      <c r="AA425" s="11" t="s">
        <v>115</v>
      </c>
      <c r="AB425" s="11"/>
      <c r="AC425" s="11"/>
      <c r="AD425" s="11" t="b">
        <v>0</v>
      </c>
      <c r="AF425" s="11"/>
      <c r="AG425" s="11"/>
      <c r="AH425" s="11"/>
      <c r="AI425" s="11"/>
    </row>
    <row r="426" ht="12.5" spans="1:35">
      <c r="A426" s="177">
        <v>45148.3413772222</v>
      </c>
      <c r="B426" s="11" t="s">
        <v>1333</v>
      </c>
      <c r="C426" s="19">
        <v>71345615426</v>
      </c>
      <c r="D426" s="19">
        <v>701803216936576</v>
      </c>
      <c r="E426" s="18" t="s">
        <v>1527</v>
      </c>
      <c r="F426" s="11" t="s">
        <v>40</v>
      </c>
      <c r="G426" s="11" t="s">
        <v>54</v>
      </c>
      <c r="H426" s="24">
        <v>44232</v>
      </c>
      <c r="I426" s="19" t="s">
        <v>136</v>
      </c>
      <c r="J426" s="11" t="s">
        <v>42</v>
      </c>
      <c r="K426" s="108" t="s">
        <v>90</v>
      </c>
      <c r="N426" s="11" t="s">
        <v>43</v>
      </c>
      <c r="O426" s="11" t="s">
        <v>44</v>
      </c>
      <c r="P426" s="11" t="s">
        <v>44</v>
      </c>
      <c r="Q426" s="11" t="s">
        <v>44</v>
      </c>
      <c r="R426" s="11" t="s">
        <v>45</v>
      </c>
      <c r="S426" s="11" t="s">
        <v>83</v>
      </c>
      <c r="T426" s="11" t="s">
        <v>44</v>
      </c>
      <c r="U426" s="11" t="s">
        <v>45</v>
      </c>
      <c r="V426" s="24"/>
      <c r="W426" s="11" t="s">
        <v>46</v>
      </c>
      <c r="X426" s="11" t="s">
        <v>67</v>
      </c>
      <c r="Y426" s="11" t="s">
        <v>68</v>
      </c>
      <c r="Z426" s="11">
        <v>81999835531</v>
      </c>
      <c r="AA426" s="11" t="s">
        <v>91</v>
      </c>
      <c r="AB426" s="11"/>
      <c r="AC426" s="11"/>
      <c r="AD426" s="11" t="b">
        <v>0</v>
      </c>
      <c r="AF426" s="11" t="s">
        <v>1528</v>
      </c>
      <c r="AG426" s="11"/>
      <c r="AH426" s="11"/>
      <c r="AI426" s="11"/>
    </row>
    <row r="427" ht="12.5" spans="1:35">
      <c r="A427" s="177">
        <v>45148.448770706</v>
      </c>
      <c r="B427" s="11" t="s">
        <v>1333</v>
      </c>
      <c r="C427" s="19">
        <v>71345615426</v>
      </c>
      <c r="D427" s="19">
        <v>701803216936576</v>
      </c>
      <c r="E427" s="18" t="s">
        <v>1529</v>
      </c>
      <c r="F427" s="11" t="s">
        <v>40</v>
      </c>
      <c r="G427" s="11" t="s">
        <v>54</v>
      </c>
      <c r="H427" s="24">
        <v>36927</v>
      </c>
      <c r="I427" s="19" t="s">
        <v>136</v>
      </c>
      <c r="J427" s="11" t="s">
        <v>42</v>
      </c>
      <c r="K427" s="108" t="s">
        <v>202</v>
      </c>
      <c r="N427" s="11" t="s">
        <v>43</v>
      </c>
      <c r="O427" s="11" t="s">
        <v>96</v>
      </c>
      <c r="P427" s="11" t="s">
        <v>66</v>
      </c>
      <c r="Q427" s="11" t="s">
        <v>44</v>
      </c>
      <c r="R427" s="11" t="s">
        <v>45</v>
      </c>
      <c r="S427" s="11" t="s">
        <v>83</v>
      </c>
      <c r="T427" s="11" t="s">
        <v>44</v>
      </c>
      <c r="U427" s="11" t="s">
        <v>45</v>
      </c>
      <c r="V427" s="24">
        <v>45149</v>
      </c>
      <c r="W427" s="11" t="s">
        <v>46</v>
      </c>
      <c r="X427" s="11" t="s">
        <v>47</v>
      </c>
      <c r="Y427" s="11" t="s">
        <v>58</v>
      </c>
      <c r="Z427" s="11">
        <v>81999835531</v>
      </c>
      <c r="AA427" s="11" t="s">
        <v>91</v>
      </c>
      <c r="AB427" s="11" t="s">
        <v>98</v>
      </c>
      <c r="AC427" s="11"/>
      <c r="AD427" s="11" t="b">
        <v>0</v>
      </c>
      <c r="AF427" s="11" t="s">
        <v>1530</v>
      </c>
      <c r="AG427" s="11"/>
      <c r="AH427" s="11"/>
      <c r="AI427" s="11"/>
    </row>
    <row r="428" ht="12.5" spans="1:35">
      <c r="A428" s="177">
        <v>45148.4717386921</v>
      </c>
      <c r="B428" s="11" t="s">
        <v>1531</v>
      </c>
      <c r="C428" s="19">
        <v>11350403466</v>
      </c>
      <c r="D428" s="19">
        <v>700709964698079</v>
      </c>
      <c r="E428" s="18" t="s">
        <v>1532</v>
      </c>
      <c r="F428" s="11" t="s">
        <v>40</v>
      </c>
      <c r="G428" s="11" t="s">
        <v>54</v>
      </c>
      <c r="H428" s="24">
        <v>35380</v>
      </c>
      <c r="I428" s="19" t="s">
        <v>136</v>
      </c>
      <c r="J428" s="11" t="s">
        <v>42</v>
      </c>
      <c r="K428" s="108" t="s">
        <v>1533</v>
      </c>
      <c r="N428" s="11" t="s">
        <v>43</v>
      </c>
      <c r="O428" s="11" t="s">
        <v>65</v>
      </c>
      <c r="P428" s="11" t="s">
        <v>66</v>
      </c>
      <c r="Q428" s="11" t="s">
        <v>44</v>
      </c>
      <c r="R428" s="11" t="s">
        <v>45</v>
      </c>
      <c r="S428" s="11" t="s">
        <v>45</v>
      </c>
      <c r="T428" s="11" t="s">
        <v>44</v>
      </c>
      <c r="U428" s="11" t="s">
        <v>45</v>
      </c>
      <c r="V428" s="24">
        <v>45149</v>
      </c>
      <c r="W428" s="11" t="s">
        <v>46</v>
      </c>
      <c r="X428" s="11" t="s">
        <v>47</v>
      </c>
      <c r="Y428" s="11" t="s">
        <v>58</v>
      </c>
      <c r="Z428" s="11">
        <v>81996584017</v>
      </c>
      <c r="AA428" s="11" t="s">
        <v>113</v>
      </c>
      <c r="AB428" s="11" t="s">
        <v>98</v>
      </c>
      <c r="AC428" s="11"/>
      <c r="AD428" s="11" t="b">
        <v>0</v>
      </c>
      <c r="AF428" s="11" t="s">
        <v>1534</v>
      </c>
      <c r="AG428" s="11" t="s">
        <v>1535</v>
      </c>
      <c r="AH428" s="11"/>
      <c r="AI428" s="11"/>
    </row>
    <row r="429" ht="14" spans="1:35">
      <c r="A429" s="177">
        <v>45148.5906222338</v>
      </c>
      <c r="B429" s="11" t="s">
        <v>1536</v>
      </c>
      <c r="C429" s="19">
        <v>12902294492</v>
      </c>
      <c r="D429" s="19">
        <v>702809136602667</v>
      </c>
      <c r="E429" s="18" t="s">
        <v>1537</v>
      </c>
      <c r="F429" s="11" t="s">
        <v>40</v>
      </c>
      <c r="G429" s="11" t="s">
        <v>54</v>
      </c>
      <c r="H429" s="24">
        <v>38233</v>
      </c>
      <c r="I429" s="277" t="s">
        <v>1538</v>
      </c>
      <c r="J429" s="11" t="s">
        <v>42</v>
      </c>
      <c r="K429" s="108" t="s">
        <v>74</v>
      </c>
      <c r="N429" s="11" t="s">
        <v>43</v>
      </c>
      <c r="O429" s="11" t="s">
        <v>44</v>
      </c>
      <c r="P429" s="11" t="s">
        <v>44</v>
      </c>
      <c r="Q429" s="11" t="s">
        <v>44</v>
      </c>
      <c r="R429" s="11" t="s">
        <v>45</v>
      </c>
      <c r="S429" s="11" t="s">
        <v>83</v>
      </c>
      <c r="T429" s="11" t="s">
        <v>44</v>
      </c>
      <c r="U429" s="11" t="s">
        <v>45</v>
      </c>
      <c r="V429" s="24">
        <v>45150</v>
      </c>
      <c r="W429" s="11" t="s">
        <v>46</v>
      </c>
      <c r="X429" s="11" t="s">
        <v>47</v>
      </c>
      <c r="Y429" s="11" t="s">
        <v>58</v>
      </c>
      <c r="Z429" s="11">
        <v>81985721704</v>
      </c>
      <c r="AA429" s="11" t="s">
        <v>91</v>
      </c>
      <c r="AB429" s="11" t="s">
        <v>49</v>
      </c>
      <c r="AC429" s="11" t="s">
        <v>274</v>
      </c>
      <c r="AD429" s="11" t="b">
        <v>0</v>
      </c>
      <c r="AF429" s="11" t="s">
        <v>1539</v>
      </c>
      <c r="AG429" s="226" t="s">
        <v>1540</v>
      </c>
      <c r="AH429" s="11"/>
      <c r="AI429" s="11"/>
    </row>
    <row r="430" ht="12.5" spans="1:35">
      <c r="A430" s="177">
        <v>45148.6653514352</v>
      </c>
      <c r="B430" s="11" t="s">
        <v>1541</v>
      </c>
      <c r="C430" s="19">
        <v>12871055483</v>
      </c>
      <c r="D430" s="19">
        <v>898003295517772</v>
      </c>
      <c r="E430" s="18" t="s">
        <v>1542</v>
      </c>
      <c r="F430" s="11" t="s">
        <v>40</v>
      </c>
      <c r="G430" s="11" t="s">
        <v>54</v>
      </c>
      <c r="H430" s="24">
        <v>37146</v>
      </c>
      <c r="I430" s="277" t="s">
        <v>1543</v>
      </c>
      <c r="J430" s="11" t="s">
        <v>42</v>
      </c>
      <c r="K430" s="108" t="s">
        <v>1544</v>
      </c>
      <c r="N430" s="11" t="s">
        <v>43</v>
      </c>
      <c r="O430" s="11" t="s">
        <v>44</v>
      </c>
      <c r="P430" s="11" t="s">
        <v>44</v>
      </c>
      <c r="Q430" s="11" t="s">
        <v>44</v>
      </c>
      <c r="R430" s="11" t="s">
        <v>45</v>
      </c>
      <c r="S430" s="11" t="s">
        <v>83</v>
      </c>
      <c r="T430" s="11" t="s">
        <v>44</v>
      </c>
      <c r="U430" s="11" t="s">
        <v>44</v>
      </c>
      <c r="W430" s="11" t="s">
        <v>46</v>
      </c>
      <c r="X430" s="11" t="s">
        <v>47</v>
      </c>
      <c r="Y430" s="11" t="s">
        <v>58</v>
      </c>
      <c r="Z430" s="11">
        <v>81988560009</v>
      </c>
      <c r="AA430" s="11" t="s">
        <v>1360</v>
      </c>
      <c r="AB430" s="11"/>
      <c r="AC430" s="11"/>
      <c r="AD430" s="11" t="b">
        <v>0</v>
      </c>
      <c r="AF430" s="11"/>
      <c r="AG430" s="11"/>
      <c r="AH430" s="11"/>
      <c r="AI430" s="11"/>
    </row>
    <row r="431" ht="12.5" spans="1:35">
      <c r="A431" s="177">
        <v>45148.6840138889</v>
      </c>
      <c r="B431" s="11" t="s">
        <v>1545</v>
      </c>
      <c r="C431" s="277" t="s">
        <v>1546</v>
      </c>
      <c r="D431" s="19">
        <v>706508365166797</v>
      </c>
      <c r="E431" s="18" t="s">
        <v>1547</v>
      </c>
      <c r="F431" s="11" t="s">
        <v>40</v>
      </c>
      <c r="G431" s="11" t="s">
        <v>54</v>
      </c>
      <c r="H431" s="24">
        <v>30884</v>
      </c>
      <c r="I431" s="277" t="s">
        <v>1548</v>
      </c>
      <c r="J431" s="11" t="s">
        <v>42</v>
      </c>
      <c r="K431" s="108" t="s">
        <v>455</v>
      </c>
      <c r="N431" s="11" t="s">
        <v>43</v>
      </c>
      <c r="O431" s="11" t="s">
        <v>658</v>
      </c>
      <c r="P431" s="11" t="s">
        <v>44</v>
      </c>
      <c r="Q431" s="11" t="s">
        <v>45</v>
      </c>
      <c r="R431" s="11" t="s">
        <v>45</v>
      </c>
      <c r="S431" s="11" t="s">
        <v>45</v>
      </c>
      <c r="T431" s="11" t="s">
        <v>44</v>
      </c>
      <c r="U431" s="11" t="s">
        <v>44</v>
      </c>
      <c r="W431" s="11" t="s">
        <v>46</v>
      </c>
      <c r="X431" s="11" t="s">
        <v>47</v>
      </c>
      <c r="Y431" s="11" t="s">
        <v>1169</v>
      </c>
      <c r="Z431" s="11">
        <v>81999786121</v>
      </c>
      <c r="AA431" s="11" t="s">
        <v>1360</v>
      </c>
      <c r="AB431" s="11"/>
      <c r="AC431" s="11"/>
      <c r="AD431" s="11" t="b">
        <v>0</v>
      </c>
      <c r="AF431" s="11"/>
      <c r="AG431" s="11"/>
      <c r="AH431" s="11" t="s">
        <v>1549</v>
      </c>
      <c r="AI431" s="11"/>
    </row>
    <row r="432" ht="12.5" spans="1:35">
      <c r="A432" s="177">
        <v>45148.818246331</v>
      </c>
      <c r="B432" s="11" t="s">
        <v>1550</v>
      </c>
      <c r="C432" s="277" t="s">
        <v>1551</v>
      </c>
      <c r="D432" s="19">
        <v>708601027397586</v>
      </c>
      <c r="E432" s="18" t="s">
        <v>1552</v>
      </c>
      <c r="F432" s="11" t="s">
        <v>40</v>
      </c>
      <c r="G432" s="11" t="s">
        <v>88</v>
      </c>
      <c r="H432" s="24">
        <v>34409</v>
      </c>
      <c r="I432" s="277" t="s">
        <v>1553</v>
      </c>
      <c r="J432" s="11" t="s">
        <v>42</v>
      </c>
      <c r="K432" s="108" t="s">
        <v>1554</v>
      </c>
      <c r="N432" s="11" t="s">
        <v>43</v>
      </c>
      <c r="O432" s="11" t="s">
        <v>44</v>
      </c>
      <c r="P432" s="11" t="s">
        <v>44</v>
      </c>
      <c r="Q432" s="11" t="s">
        <v>44</v>
      </c>
      <c r="R432" s="11" t="s">
        <v>45</v>
      </c>
      <c r="S432" s="11" t="s">
        <v>44</v>
      </c>
      <c r="T432" s="11" t="s">
        <v>44</v>
      </c>
      <c r="U432" s="11" t="s">
        <v>44</v>
      </c>
      <c r="W432" s="11" t="s">
        <v>46</v>
      </c>
      <c r="X432" s="11" t="s">
        <v>203</v>
      </c>
      <c r="Y432" s="11" t="s">
        <v>58</v>
      </c>
      <c r="Z432" s="11">
        <v>81992145270</v>
      </c>
      <c r="AA432" s="11" t="s">
        <v>1360</v>
      </c>
      <c r="AB432" s="11"/>
      <c r="AC432" s="11"/>
      <c r="AD432" s="11" t="b">
        <v>0</v>
      </c>
      <c r="AF432" s="11"/>
      <c r="AG432" s="11"/>
      <c r="AH432" s="11"/>
      <c r="AI432" s="11"/>
    </row>
    <row r="433" ht="12.5" spans="1:35">
      <c r="A433" s="177">
        <v>45149.3724158565</v>
      </c>
      <c r="B433" s="11" t="s">
        <v>1519</v>
      </c>
      <c r="C433" s="277" t="s">
        <v>1520</v>
      </c>
      <c r="D433" s="19">
        <v>700000449927606</v>
      </c>
      <c r="E433" s="18" t="s">
        <v>1555</v>
      </c>
      <c r="F433" s="11" t="s">
        <v>225</v>
      </c>
      <c r="G433" s="11" t="s">
        <v>54</v>
      </c>
      <c r="H433" s="24">
        <v>31540</v>
      </c>
      <c r="I433" s="277" t="s">
        <v>1556</v>
      </c>
      <c r="J433" s="11" t="s">
        <v>42</v>
      </c>
      <c r="K433" s="108" t="s">
        <v>155</v>
      </c>
      <c r="N433" s="11" t="s">
        <v>95</v>
      </c>
      <c r="O433" s="11" t="s">
        <v>44</v>
      </c>
      <c r="P433" s="11" t="s">
        <v>44</v>
      </c>
      <c r="Q433" s="11" t="s">
        <v>44</v>
      </c>
      <c r="R433" s="11" t="s">
        <v>45</v>
      </c>
      <c r="S433" s="11" t="s">
        <v>44</v>
      </c>
      <c r="T433" s="11" t="s">
        <v>44</v>
      </c>
      <c r="U433" s="11" t="s">
        <v>44</v>
      </c>
      <c r="W433" s="11" t="s">
        <v>46</v>
      </c>
      <c r="X433" s="11" t="s">
        <v>97</v>
      </c>
      <c r="Y433" s="11" t="s">
        <v>97</v>
      </c>
      <c r="Z433" s="11">
        <v>81994743066</v>
      </c>
      <c r="AA433" s="11" t="s">
        <v>103</v>
      </c>
      <c r="AB433" s="11"/>
      <c r="AC433" s="11"/>
      <c r="AD433" s="11" t="b">
        <v>0</v>
      </c>
      <c r="AF433" s="11"/>
      <c r="AG433" s="11"/>
      <c r="AH433" s="11"/>
      <c r="AI433" s="11"/>
    </row>
    <row r="434" ht="12.5" spans="1:35">
      <c r="A434" s="177">
        <v>45149.3837979282</v>
      </c>
      <c r="B434" s="11" t="s">
        <v>705</v>
      </c>
      <c r="C434" s="277" t="s">
        <v>1557</v>
      </c>
      <c r="D434" s="19">
        <v>707609216180397</v>
      </c>
      <c r="E434" s="18" t="s">
        <v>1558</v>
      </c>
      <c r="F434" s="11" t="s">
        <v>40</v>
      </c>
      <c r="G434" s="11" t="s">
        <v>54</v>
      </c>
      <c r="H434" s="24">
        <v>33369</v>
      </c>
      <c r="I434" s="277" t="s">
        <v>707</v>
      </c>
      <c r="J434" s="11" t="s">
        <v>42</v>
      </c>
      <c r="K434" s="108" t="s">
        <v>74</v>
      </c>
      <c r="N434" s="11" t="s">
        <v>43</v>
      </c>
      <c r="O434" s="11" t="s">
        <v>44</v>
      </c>
      <c r="P434" s="11" t="s">
        <v>44</v>
      </c>
      <c r="Q434" s="11" t="s">
        <v>44</v>
      </c>
      <c r="R434" s="11" t="s">
        <v>45</v>
      </c>
      <c r="S434" s="11" t="s">
        <v>44</v>
      </c>
      <c r="T434" s="11" t="s">
        <v>44</v>
      </c>
      <c r="U434" s="11" t="s">
        <v>44</v>
      </c>
      <c r="W434" s="11" t="s">
        <v>46</v>
      </c>
      <c r="X434" s="11" t="s">
        <v>67</v>
      </c>
      <c r="Y434" s="11" t="s">
        <v>58</v>
      </c>
      <c r="Z434" s="11">
        <v>81995179608</v>
      </c>
      <c r="AA434" s="11" t="s">
        <v>1360</v>
      </c>
      <c r="AB434" s="11"/>
      <c r="AC434" s="11"/>
      <c r="AD434" s="11" t="b">
        <v>0</v>
      </c>
      <c r="AF434" s="11"/>
      <c r="AG434" s="11"/>
      <c r="AH434" s="11"/>
      <c r="AI434" s="11"/>
    </row>
    <row r="435" ht="12.5" spans="1:35">
      <c r="A435" s="177">
        <v>45149.5552134375</v>
      </c>
      <c r="B435" s="11" t="s">
        <v>1559</v>
      </c>
      <c r="C435" s="277" t="s">
        <v>1560</v>
      </c>
      <c r="D435" s="19">
        <v>706400343153890</v>
      </c>
      <c r="E435" s="18" t="s">
        <v>1561</v>
      </c>
      <c r="F435" s="11" t="s">
        <v>40</v>
      </c>
      <c r="G435" s="11" t="s">
        <v>54</v>
      </c>
      <c r="H435" s="24">
        <v>33405</v>
      </c>
      <c r="I435" s="277" t="s">
        <v>1562</v>
      </c>
      <c r="J435" s="11" t="s">
        <v>42</v>
      </c>
      <c r="K435" s="108" t="s">
        <v>74</v>
      </c>
      <c r="N435" s="11" t="s">
        <v>43</v>
      </c>
      <c r="O435" s="11" t="s">
        <v>44</v>
      </c>
      <c r="P435" s="11" t="s">
        <v>44</v>
      </c>
      <c r="Q435" s="11" t="s">
        <v>44</v>
      </c>
      <c r="R435" s="11" t="s">
        <v>45</v>
      </c>
      <c r="S435" s="11" t="s">
        <v>45</v>
      </c>
      <c r="T435" s="11" t="s">
        <v>44</v>
      </c>
      <c r="U435" s="11" t="s">
        <v>44</v>
      </c>
      <c r="W435" s="11" t="s">
        <v>46</v>
      </c>
      <c r="X435" s="11" t="s">
        <v>47</v>
      </c>
      <c r="Y435" s="11" t="s">
        <v>58</v>
      </c>
      <c r="Z435" s="11">
        <v>81984575102</v>
      </c>
      <c r="AA435" s="11" t="s">
        <v>1360</v>
      </c>
      <c r="AB435" s="11"/>
      <c r="AC435" s="11"/>
      <c r="AD435" s="11" t="b">
        <v>0</v>
      </c>
      <c r="AF435" s="11"/>
      <c r="AG435" s="11"/>
      <c r="AH435" s="11" t="s">
        <v>1563</v>
      </c>
      <c r="AI435" s="11"/>
    </row>
    <row r="436" ht="12.5" spans="1:35">
      <c r="A436" s="177">
        <v>45149.7463854051</v>
      </c>
      <c r="B436" s="11" t="s">
        <v>1564</v>
      </c>
      <c r="C436" s="19">
        <v>17810560484</v>
      </c>
      <c r="D436" s="19">
        <v>707607284854193</v>
      </c>
      <c r="E436" s="18" t="s">
        <v>1565</v>
      </c>
      <c r="F436" s="11" t="s">
        <v>40</v>
      </c>
      <c r="G436" s="11" t="s">
        <v>54</v>
      </c>
      <c r="H436" s="24">
        <v>37663</v>
      </c>
      <c r="I436" s="277" t="s">
        <v>1566</v>
      </c>
      <c r="J436" s="11" t="s">
        <v>42</v>
      </c>
      <c r="K436" s="108" t="s">
        <v>427</v>
      </c>
      <c r="N436" s="11" t="s">
        <v>43</v>
      </c>
      <c r="O436" s="11" t="s">
        <v>96</v>
      </c>
      <c r="P436" s="11" t="s">
        <v>66</v>
      </c>
      <c r="Q436" s="11" t="s">
        <v>44</v>
      </c>
      <c r="R436" s="11" t="s">
        <v>44</v>
      </c>
      <c r="S436" s="11" t="s">
        <v>44</v>
      </c>
      <c r="T436" s="11" t="s">
        <v>44</v>
      </c>
      <c r="U436" s="11" t="s">
        <v>45</v>
      </c>
      <c r="V436" s="24">
        <v>45151</v>
      </c>
      <c r="W436" s="11" t="s">
        <v>46</v>
      </c>
      <c r="X436" s="11" t="s">
        <v>203</v>
      </c>
      <c r="Y436" s="11" t="s">
        <v>58</v>
      </c>
      <c r="Z436" s="11">
        <v>81989194686</v>
      </c>
      <c r="AA436" s="11" t="s">
        <v>1360</v>
      </c>
      <c r="AB436" s="11" t="s">
        <v>98</v>
      </c>
      <c r="AC436" s="11"/>
      <c r="AD436" s="11" t="b">
        <v>0</v>
      </c>
      <c r="AF436" s="11" t="s">
        <v>1567</v>
      </c>
      <c r="AG436" s="11" t="s">
        <v>1568</v>
      </c>
      <c r="AH436" s="63" t="s">
        <v>1569</v>
      </c>
      <c r="AI436" s="11"/>
    </row>
    <row r="437" ht="12.5" spans="1:35">
      <c r="A437" s="177">
        <v>45150.5976959606</v>
      </c>
      <c r="B437" s="11" t="s">
        <v>1570</v>
      </c>
      <c r="C437" s="19">
        <v>70191449423</v>
      </c>
      <c r="D437" s="19">
        <v>702005325092082</v>
      </c>
      <c r="E437" s="18" t="s">
        <v>1571</v>
      </c>
      <c r="F437" s="11" t="s">
        <v>225</v>
      </c>
      <c r="G437" s="11" t="s">
        <v>54</v>
      </c>
      <c r="H437" s="24">
        <v>35737</v>
      </c>
      <c r="I437" s="19" t="s">
        <v>136</v>
      </c>
      <c r="J437" s="11" t="s">
        <v>42</v>
      </c>
      <c r="K437" s="108" t="s">
        <v>202</v>
      </c>
      <c r="N437" s="11" t="s">
        <v>43</v>
      </c>
      <c r="O437" s="11" t="s">
        <v>44</v>
      </c>
      <c r="P437" s="11" t="s">
        <v>44</v>
      </c>
      <c r="Q437" s="11" t="s">
        <v>44</v>
      </c>
      <c r="R437" s="11" t="s">
        <v>45</v>
      </c>
      <c r="S437" s="11" t="s">
        <v>45</v>
      </c>
      <c r="T437" s="11" t="s">
        <v>44</v>
      </c>
      <c r="U437" s="11" t="s">
        <v>45</v>
      </c>
      <c r="V437" s="24">
        <v>45152</v>
      </c>
      <c r="W437" s="11" t="s">
        <v>46</v>
      </c>
      <c r="X437" s="11" t="s">
        <v>303</v>
      </c>
      <c r="Y437" s="11" t="s">
        <v>58</v>
      </c>
      <c r="Z437" s="11">
        <v>81988672345</v>
      </c>
      <c r="AA437" s="11" t="s">
        <v>115</v>
      </c>
      <c r="AB437" s="11" t="s">
        <v>98</v>
      </c>
      <c r="AC437" s="11"/>
      <c r="AD437" s="11" t="b">
        <v>0</v>
      </c>
      <c r="AF437" s="11" t="s">
        <v>1572</v>
      </c>
      <c r="AG437" s="11" t="s">
        <v>1573</v>
      </c>
      <c r="AH437" s="11" t="s">
        <v>1574</v>
      </c>
      <c r="AI437" s="11"/>
    </row>
    <row r="438" ht="12.5" spans="1:35">
      <c r="A438" s="177">
        <v>45150.6662665046</v>
      </c>
      <c r="B438" s="11" t="s">
        <v>1536</v>
      </c>
      <c r="C438" s="19">
        <v>12902294492</v>
      </c>
      <c r="D438" s="19">
        <v>702809136602667</v>
      </c>
      <c r="F438" s="11" t="s">
        <v>40</v>
      </c>
      <c r="G438" s="11" t="s">
        <v>54</v>
      </c>
      <c r="H438" s="24">
        <v>38233</v>
      </c>
      <c r="I438" s="277" t="s">
        <v>1575</v>
      </c>
      <c r="J438" s="11" t="s">
        <v>42</v>
      </c>
      <c r="K438" s="108" t="s">
        <v>74</v>
      </c>
      <c r="N438" s="11" t="s">
        <v>95</v>
      </c>
      <c r="O438" s="11" t="s">
        <v>44</v>
      </c>
      <c r="P438" s="11" t="s">
        <v>44</v>
      </c>
      <c r="Q438" s="11" t="s">
        <v>44</v>
      </c>
      <c r="R438" s="11" t="s">
        <v>45</v>
      </c>
      <c r="S438" s="11" t="s">
        <v>45</v>
      </c>
      <c r="T438" s="11" t="s">
        <v>44</v>
      </c>
      <c r="U438" s="11" t="s">
        <v>44</v>
      </c>
      <c r="W438" s="11" t="s">
        <v>57</v>
      </c>
      <c r="X438" s="11" t="s">
        <v>303</v>
      </c>
      <c r="Y438" s="11" t="s">
        <v>58</v>
      </c>
      <c r="Z438" s="11">
        <v>81985721704</v>
      </c>
      <c r="AA438" s="11" t="s">
        <v>296</v>
      </c>
      <c r="AB438" s="11"/>
      <c r="AC438" s="11"/>
      <c r="AD438" s="11" t="b">
        <v>0</v>
      </c>
      <c r="AF438" s="11"/>
      <c r="AG438" s="11"/>
      <c r="AH438" s="11"/>
      <c r="AI438" s="11"/>
    </row>
    <row r="439" ht="12.5" spans="1:35">
      <c r="A439" s="177">
        <v>45150.7692128472</v>
      </c>
      <c r="B439" s="11" t="s">
        <v>1576</v>
      </c>
      <c r="C439" s="277" t="s">
        <v>1577</v>
      </c>
      <c r="D439" s="19">
        <v>705803458151638</v>
      </c>
      <c r="E439" s="18" t="s">
        <v>1578</v>
      </c>
      <c r="F439" s="11" t="s">
        <v>40</v>
      </c>
      <c r="G439" s="11" t="s">
        <v>88</v>
      </c>
      <c r="H439" s="24">
        <v>44883</v>
      </c>
      <c r="I439" s="277" t="s">
        <v>1579</v>
      </c>
      <c r="J439" s="11" t="s">
        <v>81</v>
      </c>
      <c r="K439" s="108"/>
      <c r="L439" s="11" t="s">
        <v>520</v>
      </c>
      <c r="N439" s="11" t="s">
        <v>43</v>
      </c>
      <c r="O439" s="11" t="s">
        <v>65</v>
      </c>
      <c r="P439" s="11" t="s">
        <v>66</v>
      </c>
      <c r="Q439" s="11" t="s">
        <v>44</v>
      </c>
      <c r="R439" s="11" t="s">
        <v>45</v>
      </c>
      <c r="S439" s="11" t="s">
        <v>45</v>
      </c>
      <c r="T439" s="11" t="s">
        <v>44</v>
      </c>
      <c r="U439" s="11" t="s">
        <v>45</v>
      </c>
      <c r="V439" s="24">
        <v>45151</v>
      </c>
      <c r="W439" s="11" t="s">
        <v>46</v>
      </c>
      <c r="X439" s="11" t="s">
        <v>303</v>
      </c>
      <c r="Y439" s="11" t="s">
        <v>58</v>
      </c>
      <c r="Z439" s="11">
        <v>81987995475</v>
      </c>
      <c r="AA439" s="11" t="s">
        <v>115</v>
      </c>
      <c r="AB439" s="11" t="s">
        <v>98</v>
      </c>
      <c r="AC439" s="11"/>
      <c r="AD439" s="11" t="b">
        <v>0</v>
      </c>
      <c r="AF439" s="11" t="s">
        <v>1580</v>
      </c>
      <c r="AG439" s="11" t="s">
        <v>1581</v>
      </c>
      <c r="AH439" s="11"/>
      <c r="AI439" s="11"/>
    </row>
    <row r="440" ht="12.5" spans="1:35">
      <c r="A440" s="177">
        <v>45152.3945122454</v>
      </c>
      <c r="B440" s="11" t="s">
        <v>1229</v>
      </c>
      <c r="C440" s="277" t="s">
        <v>1230</v>
      </c>
      <c r="D440" s="19">
        <v>700009756810909</v>
      </c>
      <c r="E440" s="18" t="s">
        <v>1582</v>
      </c>
      <c r="F440" s="11" t="s">
        <v>40</v>
      </c>
      <c r="G440" s="11" t="s">
        <v>54</v>
      </c>
      <c r="H440" s="24">
        <v>32128</v>
      </c>
      <c r="I440" s="277" t="s">
        <v>1232</v>
      </c>
      <c r="J440" s="11" t="s">
        <v>42</v>
      </c>
      <c r="K440" s="108" t="s">
        <v>202</v>
      </c>
      <c r="N440" s="11" t="s">
        <v>43</v>
      </c>
      <c r="O440" s="11" t="s">
        <v>44</v>
      </c>
      <c r="P440" s="11" t="s">
        <v>44</v>
      </c>
      <c r="Q440" s="11" t="s">
        <v>44</v>
      </c>
      <c r="R440" s="11" t="s">
        <v>45</v>
      </c>
      <c r="S440" s="11" t="s">
        <v>45</v>
      </c>
      <c r="T440" s="11" t="s">
        <v>44</v>
      </c>
      <c r="U440" s="11" t="s">
        <v>45</v>
      </c>
      <c r="V440" s="24">
        <v>45152</v>
      </c>
      <c r="W440" s="11" t="s">
        <v>46</v>
      </c>
      <c r="X440" s="11" t="s">
        <v>47</v>
      </c>
      <c r="Y440" s="11" t="s">
        <v>58</v>
      </c>
      <c r="Z440" s="11">
        <v>81997557343</v>
      </c>
      <c r="AA440" s="11" t="s">
        <v>1360</v>
      </c>
      <c r="AB440" s="11" t="s">
        <v>49</v>
      </c>
      <c r="AC440" s="11" t="s">
        <v>256</v>
      </c>
      <c r="AD440" s="11" t="b">
        <v>0</v>
      </c>
      <c r="AF440" s="75" t="s">
        <v>1583</v>
      </c>
      <c r="AG440" s="11"/>
      <c r="AH440" s="11" t="s">
        <v>1584</v>
      </c>
      <c r="AI440" s="11"/>
    </row>
    <row r="441" ht="12.5" spans="1:35">
      <c r="A441" s="177">
        <v>45152.4686914005</v>
      </c>
      <c r="B441" s="11" t="s">
        <v>1229</v>
      </c>
      <c r="C441" s="277" t="s">
        <v>1230</v>
      </c>
      <c r="D441" s="19">
        <v>700009756810909</v>
      </c>
      <c r="E441" s="18" t="s">
        <v>1582</v>
      </c>
      <c r="F441" s="11" t="s">
        <v>40</v>
      </c>
      <c r="G441" s="11" t="s">
        <v>54</v>
      </c>
      <c r="H441" s="24">
        <v>32128</v>
      </c>
      <c r="I441" s="277" t="s">
        <v>1232</v>
      </c>
      <c r="J441" s="11" t="s">
        <v>42</v>
      </c>
      <c r="K441" s="108" t="s">
        <v>202</v>
      </c>
      <c r="N441" s="11" t="s">
        <v>95</v>
      </c>
      <c r="O441" s="11" t="s">
        <v>44</v>
      </c>
      <c r="P441" s="11" t="s">
        <v>44</v>
      </c>
      <c r="Q441" s="11" t="s">
        <v>44</v>
      </c>
      <c r="R441" s="11" t="s">
        <v>45</v>
      </c>
      <c r="S441" s="11" t="s">
        <v>45</v>
      </c>
      <c r="T441" s="11" t="s">
        <v>44</v>
      </c>
      <c r="U441" s="11" t="s">
        <v>45</v>
      </c>
      <c r="V441" s="24">
        <v>45152</v>
      </c>
      <c r="W441" s="11" t="s">
        <v>57</v>
      </c>
      <c r="X441" s="11" t="s">
        <v>97</v>
      </c>
      <c r="Y441" s="11" t="s">
        <v>97</v>
      </c>
      <c r="Z441" s="11">
        <v>81997557343</v>
      </c>
      <c r="AA441" s="11" t="s">
        <v>1360</v>
      </c>
      <c r="AB441" s="11" t="s">
        <v>49</v>
      </c>
      <c r="AC441" s="11" t="s">
        <v>256</v>
      </c>
      <c r="AD441" s="11" t="b">
        <v>1</v>
      </c>
      <c r="AE441" s="11" t="s">
        <v>137</v>
      </c>
      <c r="AF441" s="11" t="s">
        <v>1585</v>
      </c>
      <c r="AG441" s="11"/>
      <c r="AH441" s="11"/>
      <c r="AI441" s="11"/>
    </row>
    <row r="442" ht="12.5" spans="1:35">
      <c r="A442" s="177">
        <v>45152.6686549884</v>
      </c>
      <c r="B442" s="11" t="s">
        <v>1229</v>
      </c>
      <c r="C442" s="277" t="s">
        <v>1230</v>
      </c>
      <c r="D442" s="19">
        <v>700009756810909</v>
      </c>
      <c r="E442" s="18" t="s">
        <v>1586</v>
      </c>
      <c r="F442" s="11" t="s">
        <v>40</v>
      </c>
      <c r="G442" s="11" t="s">
        <v>54</v>
      </c>
      <c r="H442" s="24">
        <v>32128</v>
      </c>
      <c r="I442" s="277" t="s">
        <v>1232</v>
      </c>
      <c r="J442" s="11" t="s">
        <v>42</v>
      </c>
      <c r="K442" s="108" t="s">
        <v>202</v>
      </c>
      <c r="N442" s="11" t="s">
        <v>95</v>
      </c>
      <c r="O442" s="11" t="s">
        <v>96</v>
      </c>
      <c r="P442" s="11" t="s">
        <v>66</v>
      </c>
      <c r="Q442" s="11" t="s">
        <v>44</v>
      </c>
      <c r="R442" s="11" t="s">
        <v>45</v>
      </c>
      <c r="S442" s="11" t="s">
        <v>45</v>
      </c>
      <c r="T442" s="11" t="s">
        <v>44</v>
      </c>
      <c r="U442" s="11" t="s">
        <v>45</v>
      </c>
      <c r="V442" s="24">
        <v>45153</v>
      </c>
      <c r="W442" s="11" t="s">
        <v>46</v>
      </c>
      <c r="X442" s="11" t="s">
        <v>97</v>
      </c>
      <c r="Y442" s="11" t="s">
        <v>97</v>
      </c>
      <c r="Z442" s="11">
        <v>81997557343</v>
      </c>
      <c r="AA442" s="11" t="s">
        <v>1360</v>
      </c>
      <c r="AB442" s="11" t="s">
        <v>49</v>
      </c>
      <c r="AC442" s="11" t="s">
        <v>92</v>
      </c>
      <c r="AD442" s="11" t="b">
        <v>0</v>
      </c>
      <c r="AF442" s="11" t="s">
        <v>1587</v>
      </c>
      <c r="AG442" s="11" t="s">
        <v>1588</v>
      </c>
      <c r="AH442" s="11" t="s">
        <v>1589</v>
      </c>
      <c r="AI442" s="11"/>
    </row>
    <row r="443" ht="12.5" spans="1:35">
      <c r="A443" s="177">
        <v>45153.309754456</v>
      </c>
      <c r="B443" s="11" t="s">
        <v>1590</v>
      </c>
      <c r="C443" s="19">
        <v>71252858485</v>
      </c>
      <c r="D443" s="19">
        <v>705008421417954</v>
      </c>
      <c r="E443" s="18" t="s">
        <v>1591</v>
      </c>
      <c r="F443" s="11" t="s">
        <v>40</v>
      </c>
      <c r="G443" s="11" t="s">
        <v>88</v>
      </c>
      <c r="H443" s="24">
        <v>37164</v>
      </c>
      <c r="I443" s="19" t="s">
        <v>865</v>
      </c>
      <c r="J443" s="11" t="s">
        <v>42</v>
      </c>
      <c r="K443" s="108" t="s">
        <v>302</v>
      </c>
      <c r="N443" s="11" t="s">
        <v>43</v>
      </c>
      <c r="O443" s="11" t="s">
        <v>96</v>
      </c>
      <c r="P443" s="11" t="s">
        <v>66</v>
      </c>
      <c r="Q443" s="11" t="s">
        <v>45</v>
      </c>
      <c r="R443" s="11" t="s">
        <v>44</v>
      </c>
      <c r="S443" s="11" t="s">
        <v>44</v>
      </c>
      <c r="T443" s="11" t="s">
        <v>44</v>
      </c>
      <c r="U443" s="11" t="s">
        <v>45</v>
      </c>
      <c r="V443" s="24">
        <v>45153</v>
      </c>
      <c r="W443" s="11" t="s">
        <v>46</v>
      </c>
      <c r="X443" s="11" t="s">
        <v>156</v>
      </c>
      <c r="Y443" s="11" t="s">
        <v>68</v>
      </c>
      <c r="Z443" s="11">
        <v>81999955454</v>
      </c>
      <c r="AA443" s="11" t="s">
        <v>103</v>
      </c>
      <c r="AB443" s="11" t="s">
        <v>98</v>
      </c>
      <c r="AC443" s="11"/>
      <c r="AD443" s="11" t="b">
        <v>0</v>
      </c>
      <c r="AF443" s="11" t="s">
        <v>1592</v>
      </c>
      <c r="AG443" s="11"/>
      <c r="AH443" s="11" t="s">
        <v>1593</v>
      </c>
      <c r="AI443" s="11"/>
    </row>
    <row r="444" ht="12.5" spans="1:35">
      <c r="A444" s="177">
        <v>45153.7765129514</v>
      </c>
      <c r="B444" s="11" t="s">
        <v>1229</v>
      </c>
      <c r="C444" s="277" t="s">
        <v>1230</v>
      </c>
      <c r="D444" s="19">
        <v>700009756810909</v>
      </c>
      <c r="F444" s="11" t="s">
        <v>40</v>
      </c>
      <c r="G444" s="11" t="s">
        <v>54</v>
      </c>
      <c r="H444" s="24">
        <v>32128</v>
      </c>
      <c r="I444" s="277" t="s">
        <v>1232</v>
      </c>
      <c r="J444" s="11" t="s">
        <v>81</v>
      </c>
      <c r="K444" s="108"/>
      <c r="L444" s="11" t="s">
        <v>109</v>
      </c>
      <c r="N444" s="11" t="s">
        <v>95</v>
      </c>
      <c r="O444" s="11" t="s">
        <v>127</v>
      </c>
      <c r="P444" s="11" t="s">
        <v>44</v>
      </c>
      <c r="Q444" s="11" t="s">
        <v>44</v>
      </c>
      <c r="R444" s="11" t="s">
        <v>45</v>
      </c>
      <c r="S444" s="11" t="s">
        <v>45</v>
      </c>
      <c r="T444" s="11" t="s">
        <v>44</v>
      </c>
      <c r="U444" s="11" t="s">
        <v>44</v>
      </c>
      <c r="W444" s="11" t="s">
        <v>57</v>
      </c>
      <c r="X444" s="11" t="s">
        <v>97</v>
      </c>
      <c r="Y444" s="11" t="s">
        <v>97</v>
      </c>
      <c r="Z444" s="11">
        <v>81997557343</v>
      </c>
      <c r="AA444" s="11" t="s">
        <v>91</v>
      </c>
      <c r="AB444" s="11"/>
      <c r="AC444" s="11"/>
      <c r="AD444" s="11" t="b">
        <v>0</v>
      </c>
      <c r="AF444" s="11"/>
      <c r="AG444" s="11"/>
      <c r="AH444" s="11"/>
      <c r="AI444" s="11"/>
    </row>
    <row r="445" ht="12.5" spans="1:35">
      <c r="A445" s="177">
        <v>45153.8073350579</v>
      </c>
      <c r="B445" s="11" t="s">
        <v>1594</v>
      </c>
      <c r="C445" s="19">
        <v>11277531420</v>
      </c>
      <c r="D445" s="19">
        <v>700300942296534</v>
      </c>
      <c r="E445" s="18" t="s">
        <v>1595</v>
      </c>
      <c r="F445" s="11" t="s">
        <v>225</v>
      </c>
      <c r="G445" s="11" t="s">
        <v>135</v>
      </c>
      <c r="H445" s="24">
        <v>35186</v>
      </c>
      <c r="I445" s="277" t="s">
        <v>1364</v>
      </c>
      <c r="J445" s="11" t="s">
        <v>42</v>
      </c>
      <c r="K445" s="108" t="s">
        <v>202</v>
      </c>
      <c r="N445" s="11" t="s">
        <v>43</v>
      </c>
      <c r="O445" s="11" t="s">
        <v>44</v>
      </c>
      <c r="P445" s="11" t="s">
        <v>44</v>
      </c>
      <c r="Q445" s="11" t="s">
        <v>44</v>
      </c>
      <c r="R445" s="11" t="s">
        <v>45</v>
      </c>
      <c r="S445" s="11" t="s">
        <v>44</v>
      </c>
      <c r="T445" s="11" t="s">
        <v>44</v>
      </c>
      <c r="U445" s="11" t="s">
        <v>45</v>
      </c>
      <c r="V445" s="24">
        <v>45155</v>
      </c>
      <c r="W445" s="11" t="s">
        <v>46</v>
      </c>
      <c r="X445" s="11" t="s">
        <v>203</v>
      </c>
      <c r="Y445" s="11" t="s">
        <v>68</v>
      </c>
      <c r="Z445" s="11">
        <v>81983559065</v>
      </c>
      <c r="AA445" s="11" t="s">
        <v>91</v>
      </c>
      <c r="AB445" s="11" t="s">
        <v>98</v>
      </c>
      <c r="AC445" s="11" t="s">
        <v>106</v>
      </c>
      <c r="AD445" s="11" t="b">
        <v>0</v>
      </c>
      <c r="AF445" s="11" t="s">
        <v>1596</v>
      </c>
      <c r="AG445" s="11" t="s">
        <v>1597</v>
      </c>
      <c r="AH445" s="11" t="s">
        <v>1598</v>
      </c>
      <c r="AI445" s="11"/>
    </row>
    <row r="446" ht="12.5" spans="1:35">
      <c r="A446" s="177">
        <v>45154.5198847569</v>
      </c>
      <c r="B446" s="11" t="s">
        <v>1599</v>
      </c>
      <c r="C446" s="19">
        <v>71567974414</v>
      </c>
      <c r="D446" s="19">
        <v>700001451759201</v>
      </c>
      <c r="E446" s="18" t="s">
        <v>1600</v>
      </c>
      <c r="F446" s="11" t="s">
        <v>40</v>
      </c>
      <c r="G446" s="11" t="s">
        <v>54</v>
      </c>
      <c r="H446" s="24">
        <v>36957</v>
      </c>
      <c r="I446" s="277" t="s">
        <v>1601</v>
      </c>
      <c r="J446" s="11" t="s">
        <v>42</v>
      </c>
      <c r="K446" s="108" t="s">
        <v>1083</v>
      </c>
      <c r="N446" s="11" t="s">
        <v>43</v>
      </c>
      <c r="O446" s="11" t="s">
        <v>44</v>
      </c>
      <c r="P446" s="11" t="s">
        <v>44</v>
      </c>
      <c r="Q446" s="11" t="s">
        <v>44</v>
      </c>
      <c r="R446" s="11" t="s">
        <v>45</v>
      </c>
      <c r="S446" s="11" t="s">
        <v>44</v>
      </c>
      <c r="T446" s="11" t="s">
        <v>44</v>
      </c>
      <c r="U446" s="11" t="s">
        <v>44</v>
      </c>
      <c r="W446" s="11" t="s">
        <v>46</v>
      </c>
      <c r="X446" s="11" t="s">
        <v>47</v>
      </c>
      <c r="Y446" s="11" t="s">
        <v>58</v>
      </c>
      <c r="Z446" s="11">
        <v>81996571827</v>
      </c>
      <c r="AA446" s="11" t="s">
        <v>1360</v>
      </c>
      <c r="AB446" s="11"/>
      <c r="AC446" s="11"/>
      <c r="AD446" s="11" t="b">
        <v>0</v>
      </c>
      <c r="AF446" s="11"/>
      <c r="AG446" s="11"/>
      <c r="AH446" s="11"/>
      <c r="AI446" s="11"/>
    </row>
    <row r="447" ht="12.5" spans="1:35">
      <c r="A447" s="177">
        <v>45154.5756604861</v>
      </c>
      <c r="B447" s="11" t="s">
        <v>1602</v>
      </c>
      <c r="C447" s="277" t="s">
        <v>1603</v>
      </c>
      <c r="D447" s="19">
        <v>700009626475204</v>
      </c>
      <c r="E447" s="18" t="s">
        <v>1604</v>
      </c>
      <c r="F447" s="11" t="s">
        <v>40</v>
      </c>
      <c r="G447" s="11" t="s">
        <v>54</v>
      </c>
      <c r="H447" s="24">
        <v>31971</v>
      </c>
      <c r="I447" s="277" t="s">
        <v>261</v>
      </c>
      <c r="J447" s="11" t="s">
        <v>42</v>
      </c>
      <c r="K447" s="108" t="s">
        <v>427</v>
      </c>
      <c r="N447" s="11" t="s">
        <v>43</v>
      </c>
      <c r="O447" s="11" t="s">
        <v>96</v>
      </c>
      <c r="P447" s="11" t="s">
        <v>56</v>
      </c>
      <c r="Q447" s="11" t="s">
        <v>44</v>
      </c>
      <c r="R447" s="11" t="s">
        <v>45</v>
      </c>
      <c r="S447" s="11" t="s">
        <v>83</v>
      </c>
      <c r="T447" s="11" t="s">
        <v>44</v>
      </c>
      <c r="U447" s="11" t="s">
        <v>45</v>
      </c>
      <c r="V447" s="24">
        <v>45155</v>
      </c>
      <c r="W447" s="11" t="s">
        <v>46</v>
      </c>
      <c r="X447" s="11" t="s">
        <v>47</v>
      </c>
      <c r="Y447" s="11" t="s">
        <v>58</v>
      </c>
      <c r="Z447" s="11">
        <v>81987607191</v>
      </c>
      <c r="AA447" s="11" t="s">
        <v>103</v>
      </c>
      <c r="AB447" s="11" t="s">
        <v>49</v>
      </c>
      <c r="AC447" s="11" t="s">
        <v>92</v>
      </c>
      <c r="AD447" s="11" t="b">
        <v>0</v>
      </c>
      <c r="AF447" s="11" t="s">
        <v>1605</v>
      </c>
      <c r="AG447" s="11" t="s">
        <v>1606</v>
      </c>
      <c r="AH447" s="11"/>
      <c r="AI447" s="11"/>
    </row>
    <row r="448" ht="12.5" spans="1:35">
      <c r="A448" s="177">
        <v>45154.7013213426</v>
      </c>
      <c r="B448" s="11" t="s">
        <v>1607</v>
      </c>
      <c r="C448" s="277" t="s">
        <v>1608</v>
      </c>
      <c r="D448" s="19">
        <v>704101120189175</v>
      </c>
      <c r="E448" s="18" t="s">
        <v>1609</v>
      </c>
      <c r="F448" s="11" t="s">
        <v>40</v>
      </c>
      <c r="G448" s="11" t="s">
        <v>54</v>
      </c>
      <c r="H448" s="24">
        <v>33129</v>
      </c>
      <c r="I448" s="277" t="s">
        <v>1610</v>
      </c>
      <c r="J448" s="11" t="s">
        <v>42</v>
      </c>
      <c r="K448" s="108" t="s">
        <v>455</v>
      </c>
      <c r="N448" s="11" t="s">
        <v>43</v>
      </c>
      <c r="O448" s="11" t="s">
        <v>44</v>
      </c>
      <c r="P448" s="11" t="s">
        <v>44</v>
      </c>
      <c r="Q448" s="11" t="s">
        <v>44</v>
      </c>
      <c r="R448" s="11" t="s">
        <v>45</v>
      </c>
      <c r="S448" s="11" t="s">
        <v>45</v>
      </c>
      <c r="T448" s="11" t="s">
        <v>44</v>
      </c>
      <c r="U448" s="11" t="s">
        <v>45</v>
      </c>
      <c r="V448" s="24">
        <v>45155</v>
      </c>
      <c r="W448" s="11" t="s">
        <v>46</v>
      </c>
      <c r="X448" s="11" t="s">
        <v>47</v>
      </c>
      <c r="Y448" s="11" t="s">
        <v>58</v>
      </c>
      <c r="Z448" s="11">
        <v>81988246464</v>
      </c>
      <c r="AA448" s="11" t="s">
        <v>1360</v>
      </c>
      <c r="AB448" s="11" t="s">
        <v>49</v>
      </c>
      <c r="AC448" s="11" t="s">
        <v>256</v>
      </c>
      <c r="AD448" s="11" t="b">
        <v>1</v>
      </c>
      <c r="AE448" s="11" t="s">
        <v>137</v>
      </c>
      <c r="AF448" s="11" t="s">
        <v>1611</v>
      </c>
      <c r="AG448" s="11" t="s">
        <v>1612</v>
      </c>
      <c r="AH448" s="11" t="s">
        <v>1613</v>
      </c>
      <c r="AI448" s="11"/>
    </row>
    <row r="449" ht="12.5" spans="1:35">
      <c r="A449" s="177">
        <v>45155.3837302431</v>
      </c>
      <c r="B449" s="11" t="s">
        <v>1614</v>
      </c>
      <c r="C449" s="19">
        <v>10502529423</v>
      </c>
      <c r="D449" s="19">
        <v>702603781836245</v>
      </c>
      <c r="E449" s="18" t="s">
        <v>1615</v>
      </c>
      <c r="F449" s="11" t="s">
        <v>40</v>
      </c>
      <c r="G449" s="11" t="s">
        <v>54</v>
      </c>
      <c r="H449" s="24">
        <v>33794</v>
      </c>
      <c r="I449" s="277" t="s">
        <v>1616</v>
      </c>
      <c r="J449" s="11" t="s">
        <v>42</v>
      </c>
      <c r="K449" s="108" t="s">
        <v>74</v>
      </c>
      <c r="N449" s="11" t="s">
        <v>43</v>
      </c>
      <c r="O449" s="11" t="s">
        <v>96</v>
      </c>
      <c r="P449" s="11" t="s">
        <v>56</v>
      </c>
      <c r="Q449" s="11" t="s">
        <v>44</v>
      </c>
      <c r="R449" s="11" t="s">
        <v>45</v>
      </c>
      <c r="S449" s="11" t="s">
        <v>83</v>
      </c>
      <c r="T449" s="11" t="s">
        <v>44</v>
      </c>
      <c r="U449" s="11" t="s">
        <v>45</v>
      </c>
      <c r="V449" s="24">
        <v>45156</v>
      </c>
      <c r="W449" s="11" t="s">
        <v>46</v>
      </c>
      <c r="X449" s="11" t="s">
        <v>47</v>
      </c>
      <c r="Y449" s="11" t="s">
        <v>58</v>
      </c>
      <c r="Z449" s="11">
        <v>81999941587</v>
      </c>
      <c r="AA449" s="11" t="s">
        <v>91</v>
      </c>
      <c r="AB449" s="11" t="s">
        <v>98</v>
      </c>
      <c r="AC449" s="11"/>
      <c r="AD449" s="11" t="b">
        <v>0</v>
      </c>
      <c r="AF449" s="11" t="s">
        <v>1617</v>
      </c>
      <c r="AG449" s="11" t="s">
        <v>1618</v>
      </c>
      <c r="AH449" s="11"/>
      <c r="AI449" s="11"/>
    </row>
    <row r="450" ht="12.5" spans="1:35">
      <c r="A450" s="177">
        <v>45155.4963022222</v>
      </c>
      <c r="B450" s="11" t="s">
        <v>1493</v>
      </c>
      <c r="C450" s="19">
        <v>13387549474</v>
      </c>
      <c r="D450" s="19">
        <v>708107808885710</v>
      </c>
      <c r="F450" s="11" t="s">
        <v>40</v>
      </c>
      <c r="G450" s="11" t="s">
        <v>41</v>
      </c>
      <c r="H450" s="24">
        <v>37267</v>
      </c>
      <c r="I450" s="277" t="s">
        <v>1495</v>
      </c>
      <c r="J450" s="11" t="s">
        <v>42</v>
      </c>
      <c r="K450" s="108" t="s">
        <v>399</v>
      </c>
      <c r="N450" s="11" t="s">
        <v>95</v>
      </c>
      <c r="O450" s="11" t="s">
        <v>44</v>
      </c>
      <c r="P450" s="11" t="s">
        <v>44</v>
      </c>
      <c r="Q450" s="11" t="s">
        <v>44</v>
      </c>
      <c r="R450" s="11" t="s">
        <v>45</v>
      </c>
      <c r="S450" s="11" t="s">
        <v>44</v>
      </c>
      <c r="T450" s="11" t="s">
        <v>44</v>
      </c>
      <c r="U450" s="11" t="s">
        <v>44</v>
      </c>
      <c r="W450" s="11" t="s">
        <v>57</v>
      </c>
      <c r="X450" s="11" t="s">
        <v>97</v>
      </c>
      <c r="Y450" s="11" t="s">
        <v>97</v>
      </c>
      <c r="Z450" s="11">
        <v>81985181388</v>
      </c>
      <c r="AA450" s="11" t="s">
        <v>1360</v>
      </c>
      <c r="AB450" s="11"/>
      <c r="AC450" s="11"/>
      <c r="AD450" s="11" t="b">
        <v>0</v>
      </c>
      <c r="AF450" s="11"/>
      <c r="AG450" s="11"/>
      <c r="AH450" s="11"/>
      <c r="AI450" s="11"/>
    </row>
    <row r="451" ht="12.5" spans="1:35">
      <c r="A451" s="177">
        <v>45155.639995</v>
      </c>
      <c r="B451" s="11" t="s">
        <v>1619</v>
      </c>
      <c r="C451" s="19">
        <v>71189011484</v>
      </c>
      <c r="D451" s="19">
        <v>700504398814051</v>
      </c>
      <c r="E451" s="18" t="s">
        <v>1620</v>
      </c>
      <c r="F451" s="11" t="s">
        <v>40</v>
      </c>
      <c r="G451" s="11" t="s">
        <v>88</v>
      </c>
      <c r="H451" s="24">
        <v>37150</v>
      </c>
      <c r="I451" s="277" t="s">
        <v>329</v>
      </c>
      <c r="J451" s="11" t="s">
        <v>81</v>
      </c>
      <c r="K451" s="108"/>
      <c r="L451" s="11" t="s">
        <v>109</v>
      </c>
      <c r="N451" s="11" t="s">
        <v>43</v>
      </c>
      <c r="O451" s="11" t="s">
        <v>44</v>
      </c>
      <c r="P451" s="11" t="s">
        <v>44</v>
      </c>
      <c r="Q451" s="11" t="s">
        <v>44</v>
      </c>
      <c r="R451" s="11" t="s">
        <v>45</v>
      </c>
      <c r="S451" s="11" t="s">
        <v>45</v>
      </c>
      <c r="T451" s="11" t="s">
        <v>44</v>
      </c>
      <c r="U451" s="11" t="s">
        <v>45</v>
      </c>
      <c r="V451" s="24">
        <v>45155</v>
      </c>
      <c r="W451" s="11" t="s">
        <v>46</v>
      </c>
      <c r="X451" s="11" t="s">
        <v>47</v>
      </c>
      <c r="Y451" s="11" t="s">
        <v>58</v>
      </c>
      <c r="Z451" s="11">
        <v>81983841615</v>
      </c>
      <c r="AA451" s="11" t="s">
        <v>1360</v>
      </c>
      <c r="AB451" s="11" t="s">
        <v>49</v>
      </c>
      <c r="AC451" s="11" t="s">
        <v>256</v>
      </c>
      <c r="AD451" s="11" t="b">
        <v>1</v>
      </c>
      <c r="AE451" s="11" t="s">
        <v>137</v>
      </c>
      <c r="AF451" s="11" t="s">
        <v>1621</v>
      </c>
      <c r="AG451" s="11"/>
      <c r="AH451" s="11" t="s">
        <v>1622</v>
      </c>
      <c r="AI451" s="11"/>
    </row>
    <row r="452" ht="12.5" spans="1:35">
      <c r="A452" s="177">
        <v>45155.6641797569</v>
      </c>
      <c r="B452" s="11" t="s">
        <v>857</v>
      </c>
      <c r="C452" s="19">
        <v>10848694465</v>
      </c>
      <c r="D452" s="19">
        <v>703408046224400</v>
      </c>
      <c r="E452" s="18" t="s">
        <v>1623</v>
      </c>
      <c r="F452" s="11" t="s">
        <v>40</v>
      </c>
      <c r="G452" s="11" t="s">
        <v>54</v>
      </c>
      <c r="H452" s="24">
        <v>35192</v>
      </c>
      <c r="I452" s="277" t="s">
        <v>1364</v>
      </c>
      <c r="J452" s="11" t="s">
        <v>42</v>
      </c>
      <c r="K452" s="108" t="s">
        <v>55</v>
      </c>
      <c r="N452" s="11" t="s">
        <v>43</v>
      </c>
      <c r="O452" s="11" t="s">
        <v>44</v>
      </c>
      <c r="P452" s="11" t="s">
        <v>44</v>
      </c>
      <c r="Q452" s="11" t="s">
        <v>44</v>
      </c>
      <c r="R452" s="11" t="s">
        <v>45</v>
      </c>
      <c r="S452" s="11" t="s">
        <v>45</v>
      </c>
      <c r="T452" s="11" t="s">
        <v>44</v>
      </c>
      <c r="U452" s="11" t="s">
        <v>44</v>
      </c>
      <c r="W452" s="11" t="s">
        <v>46</v>
      </c>
      <c r="X452" s="11" t="s">
        <v>47</v>
      </c>
      <c r="Y452" s="11" t="s">
        <v>58</v>
      </c>
      <c r="Z452" s="11">
        <v>81985732569</v>
      </c>
      <c r="AA452" s="11" t="s">
        <v>1360</v>
      </c>
      <c r="AB452" s="11"/>
      <c r="AC452" s="11"/>
      <c r="AD452" s="11" t="b">
        <v>0</v>
      </c>
      <c r="AF452" s="11"/>
      <c r="AG452" s="11"/>
      <c r="AH452" s="11"/>
      <c r="AI452" s="11"/>
    </row>
    <row r="453" ht="12.5" spans="1:35">
      <c r="A453" s="177">
        <v>45155.6642328819</v>
      </c>
      <c r="B453" s="11" t="s">
        <v>1624</v>
      </c>
      <c r="C453" s="19">
        <v>71677469404</v>
      </c>
      <c r="D453" s="19">
        <v>700604928707167</v>
      </c>
      <c r="E453" s="18" t="s">
        <v>1625</v>
      </c>
      <c r="F453" s="11" t="s">
        <v>225</v>
      </c>
      <c r="G453" s="11" t="s">
        <v>54</v>
      </c>
      <c r="H453" s="24">
        <v>38983</v>
      </c>
      <c r="I453" s="277" t="s">
        <v>1626</v>
      </c>
      <c r="J453" s="11" t="s">
        <v>42</v>
      </c>
      <c r="K453" s="108" t="s">
        <v>1627</v>
      </c>
      <c r="N453" s="11" t="s">
        <v>43</v>
      </c>
      <c r="O453" s="11" t="s">
        <v>96</v>
      </c>
      <c r="P453" s="11" t="s">
        <v>56</v>
      </c>
      <c r="Q453" s="11" t="s">
        <v>44</v>
      </c>
      <c r="R453" s="11" t="s">
        <v>45</v>
      </c>
      <c r="S453" s="11" t="s">
        <v>83</v>
      </c>
      <c r="T453" s="11" t="s">
        <v>44</v>
      </c>
      <c r="U453" s="11" t="s">
        <v>45</v>
      </c>
      <c r="V453" s="24">
        <v>45156</v>
      </c>
      <c r="W453" s="11" t="s">
        <v>46</v>
      </c>
      <c r="X453" s="11" t="s">
        <v>47</v>
      </c>
      <c r="Y453" s="11" t="s">
        <v>58</v>
      </c>
      <c r="Z453" s="11">
        <v>81992664814</v>
      </c>
      <c r="AA453" s="11" t="s">
        <v>91</v>
      </c>
      <c r="AB453" s="11" t="s">
        <v>98</v>
      </c>
      <c r="AC453" s="11"/>
      <c r="AD453" s="11" t="b">
        <v>0</v>
      </c>
      <c r="AF453" s="11" t="s">
        <v>1628</v>
      </c>
      <c r="AG453" s="11" t="s">
        <v>1629</v>
      </c>
      <c r="AH453" s="11"/>
      <c r="AI453" s="11"/>
    </row>
    <row r="454" ht="12.5" spans="1:35">
      <c r="A454" s="177">
        <v>45155.7192922801</v>
      </c>
      <c r="B454" s="11" t="s">
        <v>1630</v>
      </c>
      <c r="C454" s="19">
        <v>13785512490</v>
      </c>
      <c r="D454" s="19">
        <v>705609497195117</v>
      </c>
      <c r="E454" s="18" t="s">
        <v>1631</v>
      </c>
      <c r="F454" s="11" t="s">
        <v>40</v>
      </c>
      <c r="G454" s="11" t="s">
        <v>41</v>
      </c>
      <c r="H454" s="24">
        <v>37548</v>
      </c>
      <c r="I454" s="277" t="s">
        <v>1367</v>
      </c>
      <c r="J454" s="11" t="s">
        <v>42</v>
      </c>
      <c r="K454" s="108" t="s">
        <v>1632</v>
      </c>
      <c r="N454" s="11" t="s">
        <v>43</v>
      </c>
      <c r="O454" s="11" t="s">
        <v>44</v>
      </c>
      <c r="P454" s="11" t="s">
        <v>44</v>
      </c>
      <c r="Q454" s="11" t="s">
        <v>44</v>
      </c>
      <c r="R454" s="11" t="s">
        <v>45</v>
      </c>
      <c r="S454" s="11" t="s">
        <v>44</v>
      </c>
      <c r="T454" s="11" t="s">
        <v>44</v>
      </c>
      <c r="U454" s="11" t="s">
        <v>44</v>
      </c>
      <c r="W454" s="11" t="s">
        <v>46</v>
      </c>
      <c r="X454" s="11" t="s">
        <v>47</v>
      </c>
      <c r="Y454" s="11" t="s">
        <v>58</v>
      </c>
      <c r="Z454" s="11">
        <v>81984642088</v>
      </c>
      <c r="AA454" s="11" t="s">
        <v>1360</v>
      </c>
      <c r="AB454" s="11"/>
      <c r="AC454" s="11"/>
      <c r="AD454" s="11" t="b">
        <v>0</v>
      </c>
      <c r="AF454" s="11"/>
      <c r="AG454" s="11"/>
      <c r="AH454" s="11"/>
      <c r="AI454" s="11"/>
    </row>
    <row r="455" ht="12.5" spans="1:35">
      <c r="A455" s="177">
        <v>45155.7193712268</v>
      </c>
      <c r="B455" s="11" t="s">
        <v>1602</v>
      </c>
      <c r="C455" s="277" t="s">
        <v>1603</v>
      </c>
      <c r="D455" s="19">
        <v>700009626475204</v>
      </c>
      <c r="F455" s="11" t="s">
        <v>40</v>
      </c>
      <c r="G455" s="11" t="s">
        <v>54</v>
      </c>
      <c r="H455" s="24">
        <v>31971</v>
      </c>
      <c r="I455" s="277" t="s">
        <v>261</v>
      </c>
      <c r="J455" s="11" t="s">
        <v>42</v>
      </c>
      <c r="K455" s="108" t="s">
        <v>427</v>
      </c>
      <c r="N455" s="11" t="s">
        <v>95</v>
      </c>
      <c r="O455" s="11" t="s">
        <v>44</v>
      </c>
      <c r="P455" s="11" t="s">
        <v>44</v>
      </c>
      <c r="Q455" s="11" t="s">
        <v>44</v>
      </c>
      <c r="R455" s="11" t="s">
        <v>45</v>
      </c>
      <c r="S455" s="11" t="s">
        <v>83</v>
      </c>
      <c r="T455" s="11" t="s">
        <v>44</v>
      </c>
      <c r="U455" s="11" t="s">
        <v>45</v>
      </c>
      <c r="V455" s="24">
        <v>45156</v>
      </c>
      <c r="W455" s="11" t="s">
        <v>57</v>
      </c>
      <c r="X455" s="11" t="s">
        <v>97</v>
      </c>
      <c r="Y455" s="11" t="s">
        <v>97</v>
      </c>
      <c r="Z455" s="11">
        <v>81987607191</v>
      </c>
      <c r="AA455" s="11" t="s">
        <v>91</v>
      </c>
      <c r="AB455" s="11" t="s">
        <v>49</v>
      </c>
      <c r="AC455" s="11" t="s">
        <v>1319</v>
      </c>
      <c r="AD455" s="11" t="b">
        <v>0</v>
      </c>
      <c r="AF455" s="11" t="s">
        <v>1633</v>
      </c>
      <c r="AG455" s="11"/>
      <c r="AH455" s="11" t="s">
        <v>1634</v>
      </c>
      <c r="AI455" s="11"/>
    </row>
    <row r="456" ht="12.5" spans="1:35">
      <c r="A456" s="177">
        <v>45155.7584767593</v>
      </c>
      <c r="B456" s="11" t="s">
        <v>1619</v>
      </c>
      <c r="C456" s="19">
        <v>71189011484</v>
      </c>
      <c r="D456" s="19">
        <v>700504398814051</v>
      </c>
      <c r="F456" s="11" t="s">
        <v>40</v>
      </c>
      <c r="G456" s="11" t="s">
        <v>88</v>
      </c>
      <c r="H456" s="24">
        <v>37150</v>
      </c>
      <c r="I456" s="277" t="s">
        <v>329</v>
      </c>
      <c r="J456" s="11" t="s">
        <v>81</v>
      </c>
      <c r="K456" s="108"/>
      <c r="L456" s="11" t="s">
        <v>109</v>
      </c>
      <c r="N456" s="11" t="s">
        <v>95</v>
      </c>
      <c r="O456" s="11" t="s">
        <v>96</v>
      </c>
      <c r="P456" s="11" t="s">
        <v>66</v>
      </c>
      <c r="Q456" s="11" t="s">
        <v>44</v>
      </c>
      <c r="R456" s="11" t="s">
        <v>45</v>
      </c>
      <c r="S456" s="11" t="s">
        <v>45</v>
      </c>
      <c r="T456" s="11" t="s">
        <v>44</v>
      </c>
      <c r="U456" s="11" t="s">
        <v>45</v>
      </c>
      <c r="V456" s="24">
        <v>45156</v>
      </c>
      <c r="W456" s="11" t="s">
        <v>57</v>
      </c>
      <c r="X456" s="11" t="s">
        <v>97</v>
      </c>
      <c r="Y456" s="11" t="s">
        <v>97</v>
      </c>
      <c r="Z456" s="11">
        <v>81983841615</v>
      </c>
      <c r="AA456" s="11" t="s">
        <v>1360</v>
      </c>
      <c r="AB456" s="11" t="s">
        <v>49</v>
      </c>
      <c r="AC456" s="11" t="s">
        <v>92</v>
      </c>
      <c r="AD456" s="11" t="b">
        <v>0</v>
      </c>
      <c r="AF456" s="11" t="s">
        <v>1635</v>
      </c>
      <c r="AG456" s="11"/>
      <c r="AH456" s="11" t="s">
        <v>1636</v>
      </c>
      <c r="AI456" s="11"/>
    </row>
    <row r="457" ht="12.5" spans="1:35">
      <c r="A457" s="177">
        <v>45155.8339250347</v>
      </c>
      <c r="B457" s="11" t="s">
        <v>1637</v>
      </c>
      <c r="C457" s="277" t="s">
        <v>1638</v>
      </c>
      <c r="D457" s="19">
        <v>706809788150825</v>
      </c>
      <c r="E457" s="18" t="s">
        <v>1639</v>
      </c>
      <c r="F457" s="11" t="s">
        <v>225</v>
      </c>
      <c r="G457" s="11" t="s">
        <v>54</v>
      </c>
      <c r="H457" s="24">
        <v>32626</v>
      </c>
      <c r="I457" s="277" t="s">
        <v>1640</v>
      </c>
      <c r="J457" s="11" t="s">
        <v>42</v>
      </c>
      <c r="K457" s="108" t="s">
        <v>90</v>
      </c>
      <c r="N457" s="11" t="s">
        <v>43</v>
      </c>
      <c r="O457" s="11" t="s">
        <v>44</v>
      </c>
      <c r="P457" s="11" t="s">
        <v>44</v>
      </c>
      <c r="Q457" s="11" t="s">
        <v>45</v>
      </c>
      <c r="R457" s="11" t="s">
        <v>44</v>
      </c>
      <c r="S457" s="11" t="s">
        <v>44</v>
      </c>
      <c r="T457" s="11" t="s">
        <v>44</v>
      </c>
      <c r="U457" s="11" t="s">
        <v>45</v>
      </c>
      <c r="V457" s="24">
        <v>45156</v>
      </c>
      <c r="W457" s="11" t="s">
        <v>57</v>
      </c>
      <c r="X457" s="11" t="s">
        <v>203</v>
      </c>
      <c r="Y457" s="11" t="s">
        <v>58</v>
      </c>
      <c r="Z457" s="11">
        <v>81986970720</v>
      </c>
      <c r="AA457" s="11" t="s">
        <v>1360</v>
      </c>
      <c r="AB457" s="11" t="s">
        <v>49</v>
      </c>
      <c r="AC457" s="11" t="s">
        <v>256</v>
      </c>
      <c r="AD457" s="11" t="b">
        <v>0</v>
      </c>
      <c r="AF457" s="11" t="s">
        <v>1641</v>
      </c>
      <c r="AG457" s="11" t="s">
        <v>1642</v>
      </c>
      <c r="AH457" s="11" t="s">
        <v>1643</v>
      </c>
      <c r="AI457" s="11"/>
    </row>
    <row r="458" ht="12.5" spans="1:35">
      <c r="A458" s="177">
        <v>45156.4078141319</v>
      </c>
      <c r="B458" s="11" t="s">
        <v>1619</v>
      </c>
      <c r="C458" s="19">
        <v>71189011484</v>
      </c>
      <c r="D458" s="19">
        <v>700504398814051</v>
      </c>
      <c r="F458" s="11" t="s">
        <v>40</v>
      </c>
      <c r="G458" s="11" t="s">
        <v>54</v>
      </c>
      <c r="H458" s="24">
        <v>37150</v>
      </c>
      <c r="I458" s="277" t="s">
        <v>329</v>
      </c>
      <c r="J458" s="11" t="s">
        <v>81</v>
      </c>
      <c r="K458" s="108"/>
      <c r="L458" s="11" t="s">
        <v>520</v>
      </c>
      <c r="N458" s="11" t="s">
        <v>95</v>
      </c>
      <c r="O458" s="11" t="s">
        <v>127</v>
      </c>
      <c r="P458" s="11" t="s">
        <v>44</v>
      </c>
      <c r="Q458" s="11" t="s">
        <v>44</v>
      </c>
      <c r="R458" s="11" t="s">
        <v>45</v>
      </c>
      <c r="S458" s="11" t="s">
        <v>45</v>
      </c>
      <c r="T458" s="11" t="s">
        <v>44</v>
      </c>
      <c r="U458" s="11" t="s">
        <v>44</v>
      </c>
      <c r="W458" s="11" t="s">
        <v>57</v>
      </c>
      <c r="X458" s="11" t="s">
        <v>97</v>
      </c>
      <c r="Y458" s="11" t="s">
        <v>97</v>
      </c>
      <c r="Z458" s="11">
        <v>81983841615</v>
      </c>
      <c r="AA458" s="11" t="s">
        <v>91</v>
      </c>
      <c r="AB458" s="11"/>
      <c r="AC458" s="11"/>
      <c r="AD458" s="11" t="b">
        <v>0</v>
      </c>
      <c r="AF458" s="11"/>
      <c r="AG458" s="11"/>
      <c r="AH458" s="11"/>
      <c r="AI458" s="11"/>
    </row>
    <row r="459" ht="12.5" spans="1:35">
      <c r="A459" s="177">
        <v>45156.4177067593</v>
      </c>
      <c r="B459" s="11" t="s">
        <v>1644</v>
      </c>
      <c r="C459" s="19">
        <v>10516087401</v>
      </c>
      <c r="D459" s="19">
        <v>708002323626329</v>
      </c>
      <c r="E459" s="18" t="s">
        <v>1645</v>
      </c>
      <c r="F459" s="11" t="s">
        <v>40</v>
      </c>
      <c r="G459" s="11" t="s">
        <v>54</v>
      </c>
      <c r="H459" s="24">
        <v>34999</v>
      </c>
      <c r="I459" s="234" t="s">
        <v>110</v>
      </c>
      <c r="J459" s="11" t="s">
        <v>438</v>
      </c>
      <c r="K459" s="108"/>
      <c r="M459" s="11" t="s">
        <v>1646</v>
      </c>
      <c r="N459" s="11" t="s">
        <v>43</v>
      </c>
      <c r="O459" s="11" t="s">
        <v>96</v>
      </c>
      <c r="P459" s="11" t="s">
        <v>56</v>
      </c>
      <c r="Q459" s="11" t="s">
        <v>45</v>
      </c>
      <c r="R459" s="11" t="s">
        <v>45</v>
      </c>
      <c r="S459" s="11" t="s">
        <v>45</v>
      </c>
      <c r="T459" s="11" t="s">
        <v>44</v>
      </c>
      <c r="U459" s="11" t="s">
        <v>45</v>
      </c>
      <c r="V459" s="24">
        <v>45157</v>
      </c>
      <c r="W459" s="11" t="s">
        <v>46</v>
      </c>
      <c r="X459" s="11" t="s">
        <v>47</v>
      </c>
      <c r="Y459" s="11" t="s">
        <v>58</v>
      </c>
      <c r="Z459" s="11">
        <v>81996405105</v>
      </c>
      <c r="AA459" s="11" t="s">
        <v>1360</v>
      </c>
      <c r="AB459" s="11" t="s">
        <v>49</v>
      </c>
      <c r="AC459" s="11" t="s">
        <v>561</v>
      </c>
      <c r="AD459" s="11" t="b">
        <v>1</v>
      </c>
      <c r="AE459" s="11" t="s">
        <v>137</v>
      </c>
      <c r="AF459" s="63" t="s">
        <v>1647</v>
      </c>
      <c r="AG459" s="11"/>
      <c r="AH459" s="11" t="s">
        <v>1648</v>
      </c>
      <c r="AI459" s="11"/>
    </row>
    <row r="460" ht="12.5" spans="1:35">
      <c r="A460" s="177">
        <v>45156.4792812847</v>
      </c>
      <c r="B460" s="11" t="s">
        <v>1607</v>
      </c>
      <c r="C460" s="277" t="s">
        <v>1608</v>
      </c>
      <c r="D460" s="19">
        <v>704101120189175</v>
      </c>
      <c r="E460" s="18" t="s">
        <v>1649</v>
      </c>
      <c r="F460" s="11" t="s">
        <v>40</v>
      </c>
      <c r="G460" s="11" t="s">
        <v>54</v>
      </c>
      <c r="H460" s="24">
        <v>33129</v>
      </c>
      <c r="I460" s="277" t="s">
        <v>1650</v>
      </c>
      <c r="J460" s="11" t="s">
        <v>42</v>
      </c>
      <c r="K460" s="108" t="s">
        <v>1651</v>
      </c>
      <c r="N460" s="11" t="s">
        <v>95</v>
      </c>
      <c r="O460" s="11" t="s">
        <v>44</v>
      </c>
      <c r="P460" s="11" t="s">
        <v>44</v>
      </c>
      <c r="Q460" s="11" t="s">
        <v>45</v>
      </c>
      <c r="R460" s="11" t="s">
        <v>45</v>
      </c>
      <c r="S460" s="11" t="s">
        <v>45</v>
      </c>
      <c r="T460" s="11" t="s">
        <v>44</v>
      </c>
      <c r="U460" s="11" t="s">
        <v>44</v>
      </c>
      <c r="W460" s="11" t="s">
        <v>46</v>
      </c>
      <c r="X460" s="11" t="s">
        <v>97</v>
      </c>
      <c r="Y460" s="11" t="s">
        <v>97</v>
      </c>
      <c r="Z460" s="11">
        <v>81988246464</v>
      </c>
      <c r="AA460" s="11" t="s">
        <v>1360</v>
      </c>
      <c r="AB460" s="11"/>
      <c r="AC460" s="11"/>
      <c r="AD460" s="11" t="b">
        <v>0</v>
      </c>
      <c r="AF460" s="11"/>
      <c r="AG460" s="11"/>
      <c r="AH460" s="11" t="s">
        <v>1652</v>
      </c>
      <c r="AI460" s="11"/>
    </row>
    <row r="461" ht="12.5" spans="1:35">
      <c r="A461" s="177">
        <v>45156.520221169</v>
      </c>
      <c r="B461" s="11" t="s">
        <v>1637</v>
      </c>
      <c r="C461" s="277" t="s">
        <v>1638</v>
      </c>
      <c r="D461" s="19">
        <v>706809788150825</v>
      </c>
      <c r="F461" s="11" t="s">
        <v>225</v>
      </c>
      <c r="G461" s="11" t="s">
        <v>54</v>
      </c>
      <c r="H461" s="24">
        <v>32626</v>
      </c>
      <c r="I461" s="277" t="s">
        <v>1640</v>
      </c>
      <c r="J461" s="11" t="s">
        <v>42</v>
      </c>
      <c r="K461" s="108" t="s">
        <v>90</v>
      </c>
      <c r="N461" s="11" t="s">
        <v>95</v>
      </c>
      <c r="O461" s="11" t="s">
        <v>44</v>
      </c>
      <c r="P461" s="11" t="s">
        <v>44</v>
      </c>
      <c r="Q461" s="11" t="s">
        <v>45</v>
      </c>
      <c r="R461" s="11" t="s">
        <v>44</v>
      </c>
      <c r="S461" s="11" t="s">
        <v>44</v>
      </c>
      <c r="T461" s="11" t="s">
        <v>44</v>
      </c>
      <c r="U461" s="11" t="s">
        <v>45</v>
      </c>
      <c r="V461" s="24">
        <v>45160</v>
      </c>
      <c r="W461" s="11" t="s">
        <v>57</v>
      </c>
      <c r="X461" s="11" t="s">
        <v>97</v>
      </c>
      <c r="Y461" s="11" t="s">
        <v>97</v>
      </c>
      <c r="Z461" s="11">
        <v>81986970720</v>
      </c>
      <c r="AA461" s="11" t="s">
        <v>1360</v>
      </c>
      <c r="AB461" s="11" t="s">
        <v>98</v>
      </c>
      <c r="AC461" s="11"/>
      <c r="AD461" s="11" t="b">
        <v>0</v>
      </c>
      <c r="AF461" s="11" t="s">
        <v>1653</v>
      </c>
      <c r="AG461" s="11" t="s">
        <v>1654</v>
      </c>
      <c r="AH461" s="141"/>
      <c r="AI461" s="11"/>
    </row>
    <row r="462" ht="12.5" spans="1:35">
      <c r="A462" s="177">
        <v>45156.6340206829</v>
      </c>
      <c r="B462" s="11" t="s">
        <v>1655</v>
      </c>
      <c r="C462" s="19">
        <v>70761378448</v>
      </c>
      <c r="D462" s="19">
        <v>700007773792504</v>
      </c>
      <c r="E462" s="18" t="s">
        <v>1656</v>
      </c>
      <c r="F462" s="11" t="s">
        <v>225</v>
      </c>
      <c r="G462" s="11" t="s">
        <v>88</v>
      </c>
      <c r="H462" s="24">
        <v>37136</v>
      </c>
      <c r="I462" s="277" t="s">
        <v>1657</v>
      </c>
      <c r="J462" s="11" t="s">
        <v>42</v>
      </c>
      <c r="K462" s="108" t="s">
        <v>302</v>
      </c>
      <c r="N462" s="11" t="s">
        <v>43</v>
      </c>
      <c r="O462" s="11" t="s">
        <v>44</v>
      </c>
      <c r="P462" s="11" t="s">
        <v>44</v>
      </c>
      <c r="Q462" s="11" t="s">
        <v>45</v>
      </c>
      <c r="R462" s="11" t="s">
        <v>45</v>
      </c>
      <c r="S462" s="11" t="s">
        <v>44</v>
      </c>
      <c r="T462" s="11" t="s">
        <v>44</v>
      </c>
      <c r="U462" s="11" t="s">
        <v>44</v>
      </c>
      <c r="W462" s="11" t="s">
        <v>46</v>
      </c>
      <c r="X462" s="11" t="s">
        <v>47</v>
      </c>
      <c r="Y462" s="11" t="s">
        <v>58</v>
      </c>
      <c r="Z462" s="11">
        <v>81986705885</v>
      </c>
      <c r="AA462" s="11" t="s">
        <v>1360</v>
      </c>
      <c r="AB462" s="11"/>
      <c r="AC462" s="11"/>
      <c r="AD462" s="11" t="b">
        <v>0</v>
      </c>
      <c r="AF462" s="11"/>
      <c r="AG462" s="11"/>
      <c r="AH462" s="11"/>
      <c r="AI462" s="11"/>
    </row>
    <row r="463" ht="12.5" spans="1:35">
      <c r="A463" s="177">
        <v>45156.6449158218</v>
      </c>
      <c r="B463" s="11" t="s">
        <v>1602</v>
      </c>
      <c r="C463" s="277" t="s">
        <v>1603</v>
      </c>
      <c r="D463" s="19">
        <v>700009626475204</v>
      </c>
      <c r="F463" s="11" t="s">
        <v>40</v>
      </c>
      <c r="G463" s="11" t="s">
        <v>54</v>
      </c>
      <c r="H463" s="24">
        <v>31971</v>
      </c>
      <c r="I463" s="277" t="s">
        <v>261</v>
      </c>
      <c r="J463" s="11" t="s">
        <v>42</v>
      </c>
      <c r="K463" s="108" t="s">
        <v>427</v>
      </c>
      <c r="N463" s="11" t="s">
        <v>95</v>
      </c>
      <c r="O463" s="11" t="s">
        <v>44</v>
      </c>
      <c r="P463" s="11" t="s">
        <v>44</v>
      </c>
      <c r="Q463" s="11" t="s">
        <v>44</v>
      </c>
      <c r="R463" s="11" t="s">
        <v>45</v>
      </c>
      <c r="S463" s="11" t="s">
        <v>83</v>
      </c>
      <c r="T463" s="11" t="s">
        <v>44</v>
      </c>
      <c r="U463" s="11" t="s">
        <v>45</v>
      </c>
      <c r="V463" s="24">
        <v>45158</v>
      </c>
      <c r="W463" s="11" t="s">
        <v>57</v>
      </c>
      <c r="X463" s="11" t="s">
        <v>97</v>
      </c>
      <c r="Y463" s="11" t="s">
        <v>97</v>
      </c>
      <c r="Z463" s="11">
        <v>81987607191</v>
      </c>
      <c r="AA463" s="11" t="s">
        <v>1267</v>
      </c>
      <c r="AB463" s="11" t="s">
        <v>49</v>
      </c>
      <c r="AC463" s="11" t="s">
        <v>256</v>
      </c>
      <c r="AD463" s="11" t="b">
        <v>1</v>
      </c>
      <c r="AE463" s="11" t="s">
        <v>137</v>
      </c>
      <c r="AF463" s="11" t="s">
        <v>1658</v>
      </c>
      <c r="AG463" s="11"/>
      <c r="AH463" s="11" t="s">
        <v>1659</v>
      </c>
      <c r="AI463" s="11"/>
    </row>
    <row r="464" ht="12.5" spans="1:35">
      <c r="A464" s="177">
        <v>45157.4796254398</v>
      </c>
      <c r="B464" s="11" t="s">
        <v>1660</v>
      </c>
      <c r="C464" s="19">
        <v>70557677416</v>
      </c>
      <c r="D464" s="19">
        <v>706403690402883</v>
      </c>
      <c r="E464" s="18" t="s">
        <v>1661</v>
      </c>
      <c r="F464" s="11" t="s">
        <v>40</v>
      </c>
      <c r="G464" s="11" t="s">
        <v>54</v>
      </c>
      <c r="H464" s="24">
        <v>36390</v>
      </c>
      <c r="I464" s="277" t="s">
        <v>1662</v>
      </c>
      <c r="J464" s="11" t="s">
        <v>42</v>
      </c>
      <c r="K464" s="108" t="s">
        <v>1083</v>
      </c>
      <c r="N464" s="11" t="s">
        <v>43</v>
      </c>
      <c r="O464" s="11" t="s">
        <v>96</v>
      </c>
      <c r="P464" s="11" t="s">
        <v>66</v>
      </c>
      <c r="Q464" s="11" t="s">
        <v>44</v>
      </c>
      <c r="R464" s="11" t="s">
        <v>45</v>
      </c>
      <c r="S464" s="11" t="s">
        <v>44</v>
      </c>
      <c r="T464" s="11" t="s">
        <v>44</v>
      </c>
      <c r="U464" s="11" t="s">
        <v>45</v>
      </c>
      <c r="V464" s="24">
        <v>45158</v>
      </c>
      <c r="W464" s="11" t="s">
        <v>46</v>
      </c>
      <c r="X464" s="11" t="s">
        <v>303</v>
      </c>
      <c r="Y464" s="11" t="s">
        <v>68</v>
      </c>
      <c r="Z464" s="11">
        <v>81984236474</v>
      </c>
      <c r="AA464" s="11" t="s">
        <v>91</v>
      </c>
      <c r="AB464" s="11" t="s">
        <v>49</v>
      </c>
      <c r="AC464" s="11" t="s">
        <v>84</v>
      </c>
      <c r="AD464" s="11" t="b">
        <v>1</v>
      </c>
      <c r="AE464" s="11" t="s">
        <v>137</v>
      </c>
      <c r="AF464" s="11" t="s">
        <v>1663</v>
      </c>
      <c r="AG464" s="11"/>
      <c r="AH464" s="11"/>
      <c r="AI464" s="11"/>
    </row>
    <row r="465" ht="12.5" spans="1:35">
      <c r="A465" s="177">
        <v>45157.4843481134</v>
      </c>
      <c r="B465" s="11" t="s">
        <v>1644</v>
      </c>
      <c r="C465" s="19">
        <v>10516087401</v>
      </c>
      <c r="D465" s="19">
        <v>708002323626329</v>
      </c>
      <c r="E465" s="18" t="s">
        <v>1664</v>
      </c>
      <c r="F465" s="11" t="s">
        <v>40</v>
      </c>
      <c r="G465" s="11" t="s">
        <v>54</v>
      </c>
      <c r="H465" s="24">
        <v>34999</v>
      </c>
      <c r="I465" s="234" t="s">
        <v>110</v>
      </c>
      <c r="J465" s="11" t="s">
        <v>438</v>
      </c>
      <c r="K465" s="108"/>
      <c r="M465" s="11" t="s">
        <v>1646</v>
      </c>
      <c r="N465" s="11" t="s">
        <v>95</v>
      </c>
      <c r="O465" s="11" t="s">
        <v>96</v>
      </c>
      <c r="P465" s="11" t="s">
        <v>56</v>
      </c>
      <c r="Q465" s="11" t="s">
        <v>44</v>
      </c>
      <c r="R465" s="11" t="s">
        <v>45</v>
      </c>
      <c r="S465" s="11" t="s">
        <v>45</v>
      </c>
      <c r="T465" s="11" t="s">
        <v>44</v>
      </c>
      <c r="U465" s="11" t="s">
        <v>45</v>
      </c>
      <c r="V465" s="24">
        <v>45160</v>
      </c>
      <c r="W465" s="11" t="s">
        <v>46</v>
      </c>
      <c r="X465" s="63" t="s">
        <v>97</v>
      </c>
      <c r="Y465" s="63" t="s">
        <v>97</v>
      </c>
      <c r="Z465" s="11">
        <v>81996405105</v>
      </c>
      <c r="AA465" s="11" t="s">
        <v>381</v>
      </c>
      <c r="AB465" s="11" t="s">
        <v>49</v>
      </c>
      <c r="AC465" s="11" t="s">
        <v>92</v>
      </c>
      <c r="AD465" s="11" t="b">
        <v>1</v>
      </c>
      <c r="AE465" s="11" t="s">
        <v>137</v>
      </c>
      <c r="AF465" s="11" t="s">
        <v>1665</v>
      </c>
      <c r="AG465" s="11"/>
      <c r="AH465" s="11"/>
      <c r="AI465" s="11"/>
    </row>
    <row r="466" ht="12.5" spans="1:35">
      <c r="A466" s="177">
        <v>45157.6232554167</v>
      </c>
      <c r="B466" s="11" t="s">
        <v>1666</v>
      </c>
      <c r="C466" s="277" t="s">
        <v>1667</v>
      </c>
      <c r="D466" s="19">
        <v>702305004241420</v>
      </c>
      <c r="E466" s="18" t="s">
        <v>1668</v>
      </c>
      <c r="F466" s="11" t="s">
        <v>40</v>
      </c>
      <c r="G466" s="11" t="s">
        <v>54</v>
      </c>
      <c r="H466" s="24">
        <v>33797</v>
      </c>
      <c r="I466" s="19" t="s">
        <v>796</v>
      </c>
      <c r="J466" s="11" t="s">
        <v>438</v>
      </c>
      <c r="K466" s="108"/>
      <c r="M466" s="11" t="s">
        <v>1669</v>
      </c>
      <c r="N466" s="11" t="s">
        <v>43</v>
      </c>
      <c r="O466" s="11" t="s">
        <v>44</v>
      </c>
      <c r="P466" s="11" t="s">
        <v>44</v>
      </c>
      <c r="Q466" s="11" t="s">
        <v>45</v>
      </c>
      <c r="R466" s="11" t="s">
        <v>44</v>
      </c>
      <c r="S466" s="11" t="s">
        <v>83</v>
      </c>
      <c r="T466" s="11" t="s">
        <v>44</v>
      </c>
      <c r="U466" s="11" t="s">
        <v>45</v>
      </c>
      <c r="V466" s="24">
        <v>45159</v>
      </c>
      <c r="W466" s="11" t="s">
        <v>46</v>
      </c>
      <c r="X466" s="11" t="s">
        <v>303</v>
      </c>
      <c r="Y466" s="11" t="s">
        <v>68</v>
      </c>
      <c r="Z466" s="11">
        <v>81984521902</v>
      </c>
      <c r="AA466" s="11" t="s">
        <v>91</v>
      </c>
      <c r="AB466" s="11" t="s">
        <v>98</v>
      </c>
      <c r="AC466" s="11"/>
      <c r="AD466" s="11" t="b">
        <v>0</v>
      </c>
      <c r="AF466" s="11" t="s">
        <v>1670</v>
      </c>
      <c r="AG466" s="11" t="s">
        <v>1671</v>
      </c>
      <c r="AH466" s="11"/>
      <c r="AI466" s="11"/>
    </row>
    <row r="467" ht="12.5" spans="1:35">
      <c r="A467" s="177">
        <v>45157.6299732523</v>
      </c>
      <c r="B467" s="11" t="s">
        <v>1286</v>
      </c>
      <c r="C467" s="19">
        <v>70922340420</v>
      </c>
      <c r="D467" s="179">
        <v>708004326100028</v>
      </c>
      <c r="E467" s="18" t="s">
        <v>1672</v>
      </c>
      <c r="F467" s="11" t="s">
        <v>225</v>
      </c>
      <c r="G467" s="11" t="s">
        <v>54</v>
      </c>
      <c r="H467" s="24">
        <v>36066</v>
      </c>
      <c r="I467" s="277" t="s">
        <v>1288</v>
      </c>
      <c r="J467" s="11" t="s">
        <v>42</v>
      </c>
      <c r="K467" s="108" t="s">
        <v>1673</v>
      </c>
      <c r="N467" s="11" t="s">
        <v>43</v>
      </c>
      <c r="O467" s="11" t="s">
        <v>96</v>
      </c>
      <c r="P467" s="11" t="s">
        <v>56</v>
      </c>
      <c r="Q467" s="11" t="s">
        <v>44</v>
      </c>
      <c r="R467" s="11" t="s">
        <v>45</v>
      </c>
      <c r="S467" s="11" t="s">
        <v>45</v>
      </c>
      <c r="T467" s="11" t="s">
        <v>44</v>
      </c>
      <c r="U467" s="11" t="s">
        <v>45</v>
      </c>
      <c r="V467" s="24">
        <v>45159</v>
      </c>
      <c r="W467" s="11" t="s">
        <v>46</v>
      </c>
      <c r="X467" s="11" t="s">
        <v>303</v>
      </c>
      <c r="Y467" s="11" t="s">
        <v>68</v>
      </c>
      <c r="Z467" s="11">
        <v>81985560728</v>
      </c>
      <c r="AA467" s="11" t="s">
        <v>381</v>
      </c>
      <c r="AB467" s="11" t="s">
        <v>98</v>
      </c>
      <c r="AC467" s="11"/>
      <c r="AD467" s="11" t="b">
        <v>0</v>
      </c>
      <c r="AF467" s="11" t="s">
        <v>1674</v>
      </c>
      <c r="AG467" s="11" t="s">
        <v>1675</v>
      </c>
      <c r="AH467" s="11"/>
      <c r="AI467" s="11"/>
    </row>
    <row r="468" ht="12.5" spans="1:35">
      <c r="A468" s="177">
        <v>45157.6874394676</v>
      </c>
      <c r="B468" s="11" t="s">
        <v>1676</v>
      </c>
      <c r="C468" s="277" t="s">
        <v>1677</v>
      </c>
      <c r="D468" s="19">
        <v>700205940755030</v>
      </c>
      <c r="E468" s="18" t="s">
        <v>1678</v>
      </c>
      <c r="F468" s="11" t="s">
        <v>40</v>
      </c>
      <c r="G468" s="11" t="s">
        <v>54</v>
      </c>
      <c r="H468" s="24">
        <v>34172</v>
      </c>
      <c r="I468" s="277" t="s">
        <v>1679</v>
      </c>
      <c r="J468" s="11" t="s">
        <v>42</v>
      </c>
      <c r="K468" s="108" t="s">
        <v>302</v>
      </c>
      <c r="N468" s="11" t="s">
        <v>43</v>
      </c>
      <c r="O468" s="11" t="s">
        <v>65</v>
      </c>
      <c r="P468" s="11" t="s">
        <v>66</v>
      </c>
      <c r="Q468" s="11" t="s">
        <v>44</v>
      </c>
      <c r="R468" s="11" t="s">
        <v>45</v>
      </c>
      <c r="S468" s="11" t="s">
        <v>45</v>
      </c>
      <c r="T468" s="11" t="s">
        <v>44</v>
      </c>
      <c r="U468" s="11" t="s">
        <v>45</v>
      </c>
      <c r="V468" s="24">
        <v>45158</v>
      </c>
      <c r="W468" s="11" t="s">
        <v>46</v>
      </c>
      <c r="X468" s="11" t="s">
        <v>303</v>
      </c>
      <c r="Y468" s="11" t="s">
        <v>58</v>
      </c>
      <c r="Z468" s="11">
        <v>81983355218</v>
      </c>
      <c r="AA468" s="11" t="s">
        <v>381</v>
      </c>
      <c r="AB468" s="11" t="s">
        <v>49</v>
      </c>
      <c r="AC468" s="11" t="s">
        <v>84</v>
      </c>
      <c r="AD468" s="11" t="b">
        <v>1</v>
      </c>
      <c r="AE468" s="11" t="s">
        <v>137</v>
      </c>
      <c r="AF468" s="11" t="s">
        <v>1680</v>
      </c>
      <c r="AG468" s="11" t="s">
        <v>1681</v>
      </c>
      <c r="AH468" s="11"/>
      <c r="AI468" s="11"/>
    </row>
    <row r="469" ht="12.5" spans="1:35">
      <c r="A469" s="177">
        <v>45158.3762389699</v>
      </c>
      <c r="B469" s="11" t="s">
        <v>1660</v>
      </c>
      <c r="C469" s="19">
        <v>70557677416</v>
      </c>
      <c r="D469" s="19">
        <v>706403690402883</v>
      </c>
      <c r="E469" s="18" t="s">
        <v>1682</v>
      </c>
      <c r="F469" s="11" t="s">
        <v>40</v>
      </c>
      <c r="G469" s="11" t="s">
        <v>41</v>
      </c>
      <c r="H469" s="24">
        <v>36390</v>
      </c>
      <c r="I469" s="277" t="s">
        <v>1662</v>
      </c>
      <c r="J469" s="11" t="s">
        <v>42</v>
      </c>
      <c r="K469" s="108" t="s">
        <v>1083</v>
      </c>
      <c r="N469" s="11" t="s">
        <v>95</v>
      </c>
      <c r="O469" s="11" t="s">
        <v>44</v>
      </c>
      <c r="P469" s="11" t="s">
        <v>44</v>
      </c>
      <c r="Q469" s="11" t="s">
        <v>44</v>
      </c>
      <c r="R469" s="11" t="s">
        <v>45</v>
      </c>
      <c r="S469" s="11" t="s">
        <v>44</v>
      </c>
      <c r="T469" s="11" t="s">
        <v>44</v>
      </c>
      <c r="U469" s="11" t="s">
        <v>44</v>
      </c>
      <c r="W469" s="11" t="s">
        <v>46</v>
      </c>
      <c r="X469" s="11" t="s">
        <v>97</v>
      </c>
      <c r="Y469" s="11" t="s">
        <v>97</v>
      </c>
      <c r="Z469" s="11">
        <v>81984236474</v>
      </c>
      <c r="AA469" s="11" t="s">
        <v>105</v>
      </c>
      <c r="AB469" s="11"/>
      <c r="AC469" s="11"/>
      <c r="AD469" s="11" t="b">
        <v>0</v>
      </c>
      <c r="AF469" s="11"/>
      <c r="AG469" s="11"/>
      <c r="AH469" s="11"/>
      <c r="AI469" s="11"/>
    </row>
    <row r="470" ht="12.5" spans="1:35">
      <c r="A470" s="177">
        <v>45158.4097189815</v>
      </c>
      <c r="B470" s="11" t="s">
        <v>1602</v>
      </c>
      <c r="C470" s="277" t="s">
        <v>1603</v>
      </c>
      <c r="D470" s="19">
        <v>700009626475204</v>
      </c>
      <c r="E470" s="18" t="s">
        <v>1683</v>
      </c>
      <c r="F470" s="11" t="s">
        <v>40</v>
      </c>
      <c r="G470" s="11" t="s">
        <v>54</v>
      </c>
      <c r="H470" s="24">
        <v>31971</v>
      </c>
      <c r="I470" s="277" t="s">
        <v>261</v>
      </c>
      <c r="J470" s="11" t="s">
        <v>42</v>
      </c>
      <c r="K470" s="108" t="s">
        <v>427</v>
      </c>
      <c r="N470" s="11" t="s">
        <v>95</v>
      </c>
      <c r="O470" s="11" t="s">
        <v>44</v>
      </c>
      <c r="P470" s="11" t="s">
        <v>44</v>
      </c>
      <c r="Q470" s="11" t="s">
        <v>45</v>
      </c>
      <c r="R470" s="11" t="s">
        <v>45</v>
      </c>
      <c r="S470" s="11" t="s">
        <v>45</v>
      </c>
      <c r="T470" s="11" t="s">
        <v>44</v>
      </c>
      <c r="U470" s="11" t="s">
        <v>44</v>
      </c>
      <c r="W470" s="11" t="s">
        <v>46</v>
      </c>
      <c r="X470" s="11" t="s">
        <v>97</v>
      </c>
      <c r="Y470" s="11" t="s">
        <v>97</v>
      </c>
      <c r="Z470" s="11">
        <v>81987607191</v>
      </c>
      <c r="AA470" s="11" t="s">
        <v>1360</v>
      </c>
      <c r="AB470" s="11"/>
      <c r="AC470" s="11"/>
      <c r="AD470" s="11" t="b">
        <v>0</v>
      </c>
      <c r="AF470" s="11"/>
      <c r="AG470" s="11"/>
      <c r="AH470" s="11"/>
      <c r="AI470" s="11"/>
    </row>
    <row r="471" ht="12.5" spans="1:35">
      <c r="A471" s="177">
        <v>45158.6855493056</v>
      </c>
      <c r="B471" s="11" t="s">
        <v>1676</v>
      </c>
      <c r="C471" s="277" t="s">
        <v>1677</v>
      </c>
      <c r="D471" s="19">
        <v>700205940755030</v>
      </c>
      <c r="E471" s="18" t="s">
        <v>1684</v>
      </c>
      <c r="F471" s="11" t="s">
        <v>40</v>
      </c>
      <c r="G471" s="11" t="s">
        <v>41</v>
      </c>
      <c r="H471" s="24">
        <v>34172</v>
      </c>
      <c r="I471" s="277" t="s">
        <v>1679</v>
      </c>
      <c r="J471" s="11" t="s">
        <v>42</v>
      </c>
      <c r="K471" s="108" t="s">
        <v>302</v>
      </c>
      <c r="N471" s="11" t="s">
        <v>95</v>
      </c>
      <c r="O471" s="11" t="s">
        <v>44</v>
      </c>
      <c r="P471" s="11" t="s">
        <v>44</v>
      </c>
      <c r="Q471" s="11" t="s">
        <v>44</v>
      </c>
      <c r="R471" s="11" t="s">
        <v>44</v>
      </c>
      <c r="S471" s="11" t="s">
        <v>44</v>
      </c>
      <c r="T471" s="11" t="s">
        <v>44</v>
      </c>
      <c r="U471" s="11" t="s">
        <v>44</v>
      </c>
      <c r="W471" s="11" t="s">
        <v>46</v>
      </c>
      <c r="X471" s="11" t="s">
        <v>97</v>
      </c>
      <c r="Y471" s="11" t="s">
        <v>97</v>
      </c>
      <c r="Z471" s="11">
        <v>81983355218</v>
      </c>
      <c r="AA471" s="11" t="s">
        <v>105</v>
      </c>
      <c r="AB471" s="11"/>
      <c r="AC471" s="11"/>
      <c r="AD471" s="11" t="b">
        <v>0</v>
      </c>
      <c r="AF471" s="11"/>
      <c r="AG471" s="11"/>
      <c r="AH471" s="11"/>
      <c r="AI471" s="11"/>
    </row>
    <row r="472" ht="12.5" spans="1:35">
      <c r="A472" s="177">
        <v>45159.4020991551</v>
      </c>
      <c r="B472" s="11" t="s">
        <v>1685</v>
      </c>
      <c r="C472" s="277" t="s">
        <v>1686</v>
      </c>
      <c r="D472" s="19">
        <v>700808942449686</v>
      </c>
      <c r="E472" s="18" t="s">
        <v>1687</v>
      </c>
      <c r="F472" s="11" t="s">
        <v>40</v>
      </c>
      <c r="G472" s="11" t="s">
        <v>54</v>
      </c>
      <c r="H472" s="24">
        <v>30719</v>
      </c>
      <c r="I472" s="277" t="s">
        <v>1688</v>
      </c>
      <c r="J472" s="11" t="s">
        <v>42</v>
      </c>
      <c r="K472" s="108" t="s">
        <v>302</v>
      </c>
      <c r="N472" s="11" t="s">
        <v>43</v>
      </c>
      <c r="O472" s="11" t="s">
        <v>96</v>
      </c>
      <c r="P472" s="11" t="s">
        <v>56</v>
      </c>
      <c r="Q472" s="11" t="s">
        <v>45</v>
      </c>
      <c r="R472" s="11" t="s">
        <v>45</v>
      </c>
      <c r="S472" s="11" t="s">
        <v>45</v>
      </c>
      <c r="T472" s="11" t="s">
        <v>44</v>
      </c>
      <c r="U472" s="11" t="s">
        <v>45</v>
      </c>
      <c r="V472" s="24">
        <v>45160</v>
      </c>
      <c r="W472" s="11" t="s">
        <v>46</v>
      </c>
      <c r="X472" s="11" t="s">
        <v>47</v>
      </c>
      <c r="Y472" s="11" t="s">
        <v>58</v>
      </c>
      <c r="Z472" s="11">
        <v>81985165366</v>
      </c>
      <c r="AA472" s="11" t="s">
        <v>103</v>
      </c>
      <c r="AB472" s="11" t="s">
        <v>49</v>
      </c>
      <c r="AC472" s="11" t="s">
        <v>92</v>
      </c>
      <c r="AD472" s="11" t="b">
        <v>0</v>
      </c>
      <c r="AF472" s="11" t="s">
        <v>1689</v>
      </c>
      <c r="AG472" s="11"/>
      <c r="AH472" s="11"/>
      <c r="AI472" s="11"/>
    </row>
    <row r="473" ht="12.5" spans="1:35">
      <c r="A473" s="177">
        <v>45159.5281031366</v>
      </c>
      <c r="B473" s="11" t="s">
        <v>343</v>
      </c>
      <c r="C473" s="19">
        <v>13025935448</v>
      </c>
      <c r="D473" s="19">
        <v>702409551791425</v>
      </c>
      <c r="E473" s="18" t="s">
        <v>1690</v>
      </c>
      <c r="F473" s="11" t="s">
        <v>40</v>
      </c>
      <c r="G473" s="11" t="s">
        <v>54</v>
      </c>
      <c r="H473" s="24">
        <v>36287</v>
      </c>
      <c r="I473" s="277" t="s">
        <v>345</v>
      </c>
      <c r="J473" s="11" t="s">
        <v>42</v>
      </c>
      <c r="K473" s="108" t="s">
        <v>55</v>
      </c>
      <c r="N473" s="11" t="s">
        <v>43</v>
      </c>
      <c r="O473" s="11" t="s">
        <v>65</v>
      </c>
      <c r="P473" s="11" t="s">
        <v>66</v>
      </c>
      <c r="Q473" s="11" t="s">
        <v>44</v>
      </c>
      <c r="R473" s="11" t="s">
        <v>45</v>
      </c>
      <c r="S473" s="11" t="s">
        <v>45</v>
      </c>
      <c r="T473" s="11" t="s">
        <v>44</v>
      </c>
      <c r="U473" s="11" t="s">
        <v>45</v>
      </c>
      <c r="V473" s="24">
        <v>45160</v>
      </c>
      <c r="W473" s="11" t="s">
        <v>46</v>
      </c>
      <c r="X473" s="11" t="s">
        <v>47</v>
      </c>
      <c r="Y473" s="11" t="s">
        <v>1169</v>
      </c>
      <c r="Z473" s="11">
        <v>87991887250</v>
      </c>
      <c r="AA473" s="11" t="s">
        <v>105</v>
      </c>
      <c r="AB473" s="11" t="s">
        <v>98</v>
      </c>
      <c r="AC473" s="11"/>
      <c r="AD473" s="11" t="b">
        <v>0</v>
      </c>
      <c r="AF473" s="11" t="s">
        <v>1691</v>
      </c>
      <c r="AG473" s="11" t="s">
        <v>1692</v>
      </c>
      <c r="AH473" s="11"/>
      <c r="AI473" s="11"/>
    </row>
    <row r="474" ht="12.5" spans="1:35">
      <c r="A474" s="177">
        <v>45159.5739712153</v>
      </c>
      <c r="B474" s="11" t="s">
        <v>1693</v>
      </c>
      <c r="C474" s="277" t="s">
        <v>1694</v>
      </c>
      <c r="D474" s="19">
        <v>704001819954762</v>
      </c>
      <c r="E474" s="18" t="s">
        <v>1695</v>
      </c>
      <c r="F474" s="11" t="s">
        <v>40</v>
      </c>
      <c r="G474" s="11" t="s">
        <v>88</v>
      </c>
      <c r="H474" s="24">
        <v>32482</v>
      </c>
      <c r="I474" s="277" t="s">
        <v>1696</v>
      </c>
      <c r="J474" s="11" t="s">
        <v>42</v>
      </c>
      <c r="K474" s="108" t="s">
        <v>427</v>
      </c>
      <c r="N474" s="11" t="s">
        <v>43</v>
      </c>
      <c r="O474" s="11" t="s">
        <v>96</v>
      </c>
      <c r="P474" s="11" t="s">
        <v>56</v>
      </c>
      <c r="Q474" s="11" t="s">
        <v>45</v>
      </c>
      <c r="R474" s="11" t="s">
        <v>45</v>
      </c>
      <c r="S474" s="11" t="s">
        <v>44</v>
      </c>
      <c r="T474" s="11" t="s">
        <v>44</v>
      </c>
      <c r="U474" s="11" t="s">
        <v>45</v>
      </c>
      <c r="V474" s="24">
        <v>45161</v>
      </c>
      <c r="W474" s="11" t="s">
        <v>46</v>
      </c>
      <c r="X474" s="11" t="s">
        <v>47</v>
      </c>
      <c r="Y474" s="11" t="s">
        <v>58</v>
      </c>
      <c r="Z474" s="11">
        <v>81986133597</v>
      </c>
      <c r="AA474" s="11" t="s">
        <v>1360</v>
      </c>
      <c r="AB474" s="11" t="s">
        <v>49</v>
      </c>
      <c r="AC474" s="11" t="s">
        <v>92</v>
      </c>
      <c r="AD474" s="11" t="b">
        <v>0</v>
      </c>
      <c r="AF474" s="11" t="s">
        <v>1697</v>
      </c>
      <c r="AG474" s="11" t="s">
        <v>1698</v>
      </c>
      <c r="AH474" s="11"/>
      <c r="AI474" s="11"/>
    </row>
    <row r="475" ht="12.5" spans="1:35">
      <c r="A475" s="177">
        <v>45159.6070599769</v>
      </c>
      <c r="B475" s="11" t="s">
        <v>1229</v>
      </c>
      <c r="C475" s="277" t="s">
        <v>1230</v>
      </c>
      <c r="D475" s="19">
        <v>700009756810909</v>
      </c>
      <c r="E475" s="18" t="s">
        <v>1699</v>
      </c>
      <c r="F475" s="11" t="s">
        <v>40</v>
      </c>
      <c r="G475" s="11" t="s">
        <v>54</v>
      </c>
      <c r="H475" s="24">
        <v>32128</v>
      </c>
      <c r="I475" s="234" t="s">
        <v>110</v>
      </c>
      <c r="J475" s="11" t="s">
        <v>438</v>
      </c>
      <c r="K475" s="108"/>
      <c r="M475" s="11" t="s">
        <v>439</v>
      </c>
      <c r="N475" s="11" t="s">
        <v>43</v>
      </c>
      <c r="O475" s="11" t="s">
        <v>44</v>
      </c>
      <c r="P475" s="11" t="s">
        <v>44</v>
      </c>
      <c r="Q475" s="11" t="s">
        <v>44</v>
      </c>
      <c r="R475" s="11" t="s">
        <v>45</v>
      </c>
      <c r="S475" s="11" t="s">
        <v>45</v>
      </c>
      <c r="T475" s="11" t="s">
        <v>44</v>
      </c>
      <c r="U475" s="11" t="s">
        <v>45</v>
      </c>
      <c r="V475" s="24">
        <v>45160</v>
      </c>
      <c r="W475" s="11" t="s">
        <v>46</v>
      </c>
      <c r="X475" s="11" t="s">
        <v>47</v>
      </c>
      <c r="Y475" s="11" t="s">
        <v>58</v>
      </c>
      <c r="Z475" s="11">
        <v>81997557343</v>
      </c>
      <c r="AA475" s="11" t="s">
        <v>113</v>
      </c>
      <c r="AB475" s="11" t="s">
        <v>49</v>
      </c>
      <c r="AC475" s="11" t="s">
        <v>75</v>
      </c>
      <c r="AD475" s="11" t="b">
        <v>1</v>
      </c>
      <c r="AE475" s="11" t="s">
        <v>137</v>
      </c>
      <c r="AF475" s="11" t="s">
        <v>1700</v>
      </c>
      <c r="AG475" s="11" t="s">
        <v>1701</v>
      </c>
      <c r="AH475" s="11"/>
      <c r="AI475" s="11"/>
    </row>
    <row r="476" ht="12.5" spans="1:35">
      <c r="A476" s="177">
        <v>45159.6760601389</v>
      </c>
      <c r="B476" s="11" t="s">
        <v>1702</v>
      </c>
      <c r="C476" s="19">
        <v>10358856469</v>
      </c>
      <c r="D476" s="19">
        <v>705008653771250</v>
      </c>
      <c r="E476" s="18" t="s">
        <v>1703</v>
      </c>
      <c r="F476" s="11" t="s">
        <v>40</v>
      </c>
      <c r="G476" s="11" t="s">
        <v>54</v>
      </c>
      <c r="H476" s="24">
        <v>34671</v>
      </c>
      <c r="I476" s="277" t="s">
        <v>642</v>
      </c>
      <c r="J476" s="11" t="s">
        <v>42</v>
      </c>
      <c r="K476" s="108" t="s">
        <v>1704</v>
      </c>
      <c r="N476" s="11" t="s">
        <v>43</v>
      </c>
      <c r="O476" s="11" t="s">
        <v>44</v>
      </c>
      <c r="P476" s="11" t="s">
        <v>44</v>
      </c>
      <c r="Q476" s="11" t="s">
        <v>44</v>
      </c>
      <c r="R476" s="11" t="s">
        <v>45</v>
      </c>
      <c r="S476" s="11" t="s">
        <v>45</v>
      </c>
      <c r="T476" s="11" t="s">
        <v>44</v>
      </c>
      <c r="U476" s="11" t="s">
        <v>45</v>
      </c>
      <c r="V476" s="24">
        <v>45160</v>
      </c>
      <c r="W476" s="11" t="s">
        <v>46</v>
      </c>
      <c r="X476" s="11" t="s">
        <v>47</v>
      </c>
      <c r="Y476" s="11" t="s">
        <v>58</v>
      </c>
      <c r="Z476" s="11">
        <v>81999117266</v>
      </c>
      <c r="AA476" s="11" t="s">
        <v>1360</v>
      </c>
      <c r="AB476" s="11" t="s">
        <v>49</v>
      </c>
      <c r="AC476" s="11" t="s">
        <v>75</v>
      </c>
      <c r="AD476" s="11" t="b">
        <v>0</v>
      </c>
      <c r="AF476" s="11" t="s">
        <v>1705</v>
      </c>
      <c r="AG476" s="11" t="s">
        <v>1706</v>
      </c>
      <c r="AH476" s="11" t="s">
        <v>1707</v>
      </c>
      <c r="AI476" s="11"/>
    </row>
    <row r="477" ht="12.5" spans="1:35">
      <c r="A477" s="177">
        <v>45160.3881865857</v>
      </c>
      <c r="B477" s="11" t="s">
        <v>1685</v>
      </c>
      <c r="C477" s="277" t="s">
        <v>1686</v>
      </c>
      <c r="D477" s="19">
        <v>700808942449686</v>
      </c>
      <c r="F477" s="11" t="s">
        <v>40</v>
      </c>
      <c r="G477" s="11" t="s">
        <v>54</v>
      </c>
      <c r="H477" s="24">
        <v>30719</v>
      </c>
      <c r="I477" s="277" t="s">
        <v>1708</v>
      </c>
      <c r="J477" s="11" t="s">
        <v>42</v>
      </c>
      <c r="K477" s="108" t="s">
        <v>1083</v>
      </c>
      <c r="N477" s="11" t="s">
        <v>95</v>
      </c>
      <c r="O477" s="11" t="s">
        <v>96</v>
      </c>
      <c r="P477" s="11" t="s">
        <v>56</v>
      </c>
      <c r="Q477" s="11" t="s">
        <v>45</v>
      </c>
      <c r="R477" s="11" t="s">
        <v>45</v>
      </c>
      <c r="S477" s="11" t="s">
        <v>83</v>
      </c>
      <c r="T477" s="11" t="s">
        <v>44</v>
      </c>
      <c r="U477" s="11" t="s">
        <v>45</v>
      </c>
      <c r="V477" s="24">
        <v>45161</v>
      </c>
      <c r="W477" s="11" t="s">
        <v>57</v>
      </c>
      <c r="X477" s="11" t="s">
        <v>97</v>
      </c>
      <c r="Y477" s="11" t="s">
        <v>97</v>
      </c>
      <c r="Z477" s="11">
        <v>81985165366</v>
      </c>
      <c r="AA477" s="11" t="s">
        <v>91</v>
      </c>
      <c r="AB477" s="11" t="s">
        <v>98</v>
      </c>
      <c r="AC477" s="11"/>
      <c r="AD477" s="11" t="b">
        <v>0</v>
      </c>
      <c r="AF477" s="11" t="s">
        <v>1709</v>
      </c>
      <c r="AG477" s="11" t="s">
        <v>1710</v>
      </c>
      <c r="AH477" s="11" t="s">
        <v>1711</v>
      </c>
      <c r="AI477" s="11"/>
    </row>
    <row r="478" ht="12.5" spans="1:35">
      <c r="A478" s="177">
        <v>45160.524388588</v>
      </c>
      <c r="B478" s="11" t="s">
        <v>1644</v>
      </c>
      <c r="C478" s="19">
        <v>10516087401</v>
      </c>
      <c r="D478" s="19">
        <v>708002323626329</v>
      </c>
      <c r="E478" s="18" t="s">
        <v>1712</v>
      </c>
      <c r="F478" s="11" t="s">
        <v>40</v>
      </c>
      <c r="G478" s="11" t="s">
        <v>54</v>
      </c>
      <c r="H478" s="24">
        <v>34999</v>
      </c>
      <c r="I478" s="234" t="s">
        <v>110</v>
      </c>
      <c r="J478" s="11" t="s">
        <v>438</v>
      </c>
      <c r="K478" s="108"/>
      <c r="M478" s="11" t="s">
        <v>1317</v>
      </c>
      <c r="N478" s="11" t="s">
        <v>95</v>
      </c>
      <c r="O478" s="11" t="s">
        <v>44</v>
      </c>
      <c r="P478" s="11" t="s">
        <v>44</v>
      </c>
      <c r="Q478" s="11" t="s">
        <v>44</v>
      </c>
      <c r="R478" s="11" t="s">
        <v>45</v>
      </c>
      <c r="S478" s="11" t="s">
        <v>83</v>
      </c>
      <c r="T478" s="11" t="s">
        <v>44</v>
      </c>
      <c r="U478" s="11" t="s">
        <v>44</v>
      </c>
      <c r="W478" s="11" t="s">
        <v>46</v>
      </c>
      <c r="X478" s="11" t="s">
        <v>97</v>
      </c>
      <c r="Y478" s="11" t="s">
        <v>97</v>
      </c>
      <c r="Z478" s="11">
        <v>81996405105</v>
      </c>
      <c r="AA478" s="11" t="s">
        <v>91</v>
      </c>
      <c r="AB478" s="11"/>
      <c r="AC478" s="11"/>
      <c r="AD478" s="11" t="b">
        <v>0</v>
      </c>
      <c r="AF478" s="11"/>
      <c r="AG478" s="11"/>
      <c r="AH478" s="11"/>
      <c r="AI478" s="11"/>
    </row>
    <row r="479" ht="12.5" spans="1:35">
      <c r="A479" s="177">
        <v>45160.5699786111</v>
      </c>
      <c r="B479" s="11" t="s">
        <v>1702</v>
      </c>
      <c r="C479" s="19">
        <v>10358856469</v>
      </c>
      <c r="D479" s="19">
        <v>705008653771250</v>
      </c>
      <c r="F479" s="11" t="s">
        <v>40</v>
      </c>
      <c r="G479" s="11" t="s">
        <v>54</v>
      </c>
      <c r="H479" s="24">
        <v>34671</v>
      </c>
      <c r="I479" s="277" t="s">
        <v>642</v>
      </c>
      <c r="J479" s="11" t="s">
        <v>42</v>
      </c>
      <c r="K479" s="108"/>
      <c r="N479" s="11" t="s">
        <v>95</v>
      </c>
      <c r="O479" s="11" t="s">
        <v>127</v>
      </c>
      <c r="P479" s="11" t="s">
        <v>44</v>
      </c>
      <c r="Q479" s="11" t="s">
        <v>44</v>
      </c>
      <c r="R479" s="11" t="s">
        <v>45</v>
      </c>
      <c r="S479" s="11" t="s">
        <v>45</v>
      </c>
      <c r="T479" s="11" t="s">
        <v>44</v>
      </c>
      <c r="U479" s="11" t="s">
        <v>44</v>
      </c>
      <c r="W479" s="11" t="s">
        <v>57</v>
      </c>
      <c r="X479" s="11" t="s">
        <v>97</v>
      </c>
      <c r="Y479" s="11" t="s">
        <v>97</v>
      </c>
      <c r="Z479" s="11">
        <v>81999117266</v>
      </c>
      <c r="AA479" s="11" t="s">
        <v>113</v>
      </c>
      <c r="AB479" s="11"/>
      <c r="AC479" s="11"/>
      <c r="AD479" s="11" t="b">
        <v>0</v>
      </c>
      <c r="AF479" s="11"/>
      <c r="AG479" s="11"/>
      <c r="AH479" s="11"/>
      <c r="AI479" s="11"/>
    </row>
    <row r="480" ht="12.5" spans="1:35">
      <c r="A480" s="177">
        <v>45160.626671412</v>
      </c>
      <c r="B480" s="11" t="s">
        <v>1713</v>
      </c>
      <c r="C480" s="277" t="s">
        <v>1714</v>
      </c>
      <c r="D480" s="19">
        <v>700303489595140</v>
      </c>
      <c r="E480" s="18" t="s">
        <v>1715</v>
      </c>
      <c r="F480" s="11" t="s">
        <v>40</v>
      </c>
      <c r="G480" s="11" t="s">
        <v>54</v>
      </c>
      <c r="H480" s="24">
        <v>34462</v>
      </c>
      <c r="I480" s="277" t="s">
        <v>540</v>
      </c>
      <c r="J480" s="11" t="s">
        <v>42</v>
      </c>
      <c r="K480" s="108" t="s">
        <v>55</v>
      </c>
      <c r="N480" s="11" t="s">
        <v>43</v>
      </c>
      <c r="O480" s="11" t="s">
        <v>44</v>
      </c>
      <c r="P480" s="11" t="s">
        <v>44</v>
      </c>
      <c r="Q480" s="11" t="s">
        <v>45</v>
      </c>
      <c r="R480" s="11" t="s">
        <v>45</v>
      </c>
      <c r="S480" s="11" t="s">
        <v>83</v>
      </c>
      <c r="T480" s="11" t="s">
        <v>44</v>
      </c>
      <c r="U480" s="11" t="s">
        <v>45</v>
      </c>
      <c r="V480" s="24">
        <v>45160</v>
      </c>
      <c r="W480" s="11" t="s">
        <v>46</v>
      </c>
      <c r="X480" s="11" t="s">
        <v>47</v>
      </c>
      <c r="Y480" s="11" t="s">
        <v>58</v>
      </c>
      <c r="Z480" s="11">
        <v>81991811812</v>
      </c>
      <c r="AA480" s="11" t="s">
        <v>113</v>
      </c>
      <c r="AB480" s="11" t="s">
        <v>49</v>
      </c>
      <c r="AC480" s="11" t="s">
        <v>75</v>
      </c>
      <c r="AD480" s="11" t="b">
        <v>0</v>
      </c>
      <c r="AF480" s="11" t="s">
        <v>1716</v>
      </c>
      <c r="AG480" s="11"/>
      <c r="AH480" s="11"/>
      <c r="AI480" s="11"/>
    </row>
    <row r="481" ht="12.5" spans="1:35">
      <c r="A481" s="177">
        <v>45160.6868738079</v>
      </c>
      <c r="B481" s="11" t="s">
        <v>1713</v>
      </c>
      <c r="C481" s="277" t="s">
        <v>1714</v>
      </c>
      <c r="D481" s="19">
        <v>700303489595140</v>
      </c>
      <c r="E481" s="18" t="s">
        <v>1715</v>
      </c>
      <c r="F481" s="11" t="s">
        <v>40</v>
      </c>
      <c r="G481" s="11" t="s">
        <v>54</v>
      </c>
      <c r="H481" s="24">
        <v>34462</v>
      </c>
      <c r="I481" s="277" t="s">
        <v>540</v>
      </c>
      <c r="J481" s="11" t="s">
        <v>42</v>
      </c>
      <c r="K481" s="108" t="s">
        <v>55</v>
      </c>
      <c r="N481" s="11" t="s">
        <v>95</v>
      </c>
      <c r="O481" s="11" t="s">
        <v>44</v>
      </c>
      <c r="P481" s="11" t="s">
        <v>44</v>
      </c>
      <c r="Q481" s="11" t="s">
        <v>45</v>
      </c>
      <c r="R481" s="11" t="s">
        <v>45</v>
      </c>
      <c r="S481" s="11" t="s">
        <v>83</v>
      </c>
      <c r="T481" s="11" t="s">
        <v>44</v>
      </c>
      <c r="U481" s="11" t="s">
        <v>44</v>
      </c>
      <c r="W481" s="11" t="s">
        <v>46</v>
      </c>
      <c r="X481" s="11" t="s">
        <v>97</v>
      </c>
      <c r="Y481" s="11" t="s">
        <v>97</v>
      </c>
      <c r="Z481" s="11">
        <v>81991811812</v>
      </c>
      <c r="AA481" s="11" t="s">
        <v>113</v>
      </c>
      <c r="AB481" s="11"/>
      <c r="AC481" s="11"/>
      <c r="AD481" s="11" t="b">
        <v>0</v>
      </c>
      <c r="AF481" s="11"/>
      <c r="AG481" s="11"/>
      <c r="AH481" s="11"/>
      <c r="AI481" s="11"/>
    </row>
    <row r="482" ht="12.5" spans="1:35">
      <c r="A482" s="177">
        <v>45160.6987933218</v>
      </c>
      <c r="B482" s="11" t="s">
        <v>1229</v>
      </c>
      <c r="C482" s="277" t="s">
        <v>1230</v>
      </c>
      <c r="D482" s="19">
        <v>700009756810909</v>
      </c>
      <c r="E482" s="18" t="s">
        <v>1717</v>
      </c>
      <c r="F482" s="11" t="s">
        <v>40</v>
      </c>
      <c r="G482" s="11" t="s">
        <v>54</v>
      </c>
      <c r="H482" s="24">
        <v>32128</v>
      </c>
      <c r="I482" s="234" t="s">
        <v>110</v>
      </c>
      <c r="J482" s="11" t="s">
        <v>438</v>
      </c>
      <c r="K482" s="108"/>
      <c r="M482" s="11" t="s">
        <v>439</v>
      </c>
      <c r="N482" s="11" t="s">
        <v>95</v>
      </c>
      <c r="O482" s="11" t="s">
        <v>44</v>
      </c>
      <c r="P482" s="11" t="s">
        <v>44</v>
      </c>
      <c r="Q482" s="11" t="s">
        <v>44</v>
      </c>
      <c r="R482" s="11" t="s">
        <v>45</v>
      </c>
      <c r="S482" s="11" t="s">
        <v>45</v>
      </c>
      <c r="T482" s="11" t="s">
        <v>44</v>
      </c>
      <c r="U482" s="11" t="s">
        <v>45</v>
      </c>
      <c r="V482" s="24">
        <v>45162</v>
      </c>
      <c r="W482" s="11" t="s">
        <v>46</v>
      </c>
      <c r="X482" s="11" t="s">
        <v>97</v>
      </c>
      <c r="Y482" s="11" t="s">
        <v>97</v>
      </c>
      <c r="Z482" s="11">
        <v>81997557343</v>
      </c>
      <c r="AA482" s="11" t="s">
        <v>113</v>
      </c>
      <c r="AB482" s="11" t="s">
        <v>98</v>
      </c>
      <c r="AC482" s="11"/>
      <c r="AD482" s="11" t="b">
        <v>0</v>
      </c>
      <c r="AF482" s="11" t="s">
        <v>1718</v>
      </c>
      <c r="AG482" s="11" t="s">
        <v>1719</v>
      </c>
      <c r="AH482" s="11" t="s">
        <v>1720</v>
      </c>
      <c r="AI482" s="11"/>
    </row>
    <row r="483" ht="13" spans="1:35">
      <c r="A483" s="177">
        <v>45161.3949384491</v>
      </c>
      <c r="B483" s="11" t="s">
        <v>1721</v>
      </c>
      <c r="C483" s="19">
        <v>7092486440</v>
      </c>
      <c r="D483" s="19">
        <v>704607149910620</v>
      </c>
      <c r="E483" s="18" t="s">
        <v>1722</v>
      </c>
      <c r="F483" s="11" t="s">
        <v>40</v>
      </c>
      <c r="G483" s="11" t="s">
        <v>41</v>
      </c>
      <c r="H483" s="24">
        <v>32851</v>
      </c>
      <c r="I483" s="277" t="s">
        <v>1723</v>
      </c>
      <c r="J483" s="11" t="s">
        <v>42</v>
      </c>
      <c r="K483" s="108" t="s">
        <v>63</v>
      </c>
      <c r="N483" s="11" t="s">
        <v>43</v>
      </c>
      <c r="O483" s="11" t="s">
        <v>96</v>
      </c>
      <c r="P483" s="11" t="s">
        <v>66</v>
      </c>
      <c r="Q483" s="11" t="s">
        <v>45</v>
      </c>
      <c r="R483" s="11" t="s">
        <v>45</v>
      </c>
      <c r="S483" s="11" t="s">
        <v>45</v>
      </c>
      <c r="T483" s="11" t="s">
        <v>44</v>
      </c>
      <c r="U483" s="11" t="s">
        <v>45</v>
      </c>
      <c r="V483" s="24">
        <v>45161</v>
      </c>
      <c r="W483" s="11" t="s">
        <v>46</v>
      </c>
      <c r="X483" s="11" t="s">
        <v>47</v>
      </c>
      <c r="Y483" s="11" t="s">
        <v>58</v>
      </c>
      <c r="Z483" s="11">
        <v>81991217233</v>
      </c>
      <c r="AA483" s="11" t="s">
        <v>1360</v>
      </c>
      <c r="AB483" s="11" t="s">
        <v>49</v>
      </c>
      <c r="AC483" s="11" t="s">
        <v>106</v>
      </c>
      <c r="AD483" s="11" t="b">
        <v>1</v>
      </c>
      <c r="AE483" s="11" t="s">
        <v>137</v>
      </c>
      <c r="AF483" s="11" t="s">
        <v>1724</v>
      </c>
      <c r="AG483" s="11"/>
      <c r="AH483" s="11" t="s">
        <v>1725</v>
      </c>
      <c r="AI483" s="11"/>
    </row>
    <row r="484" ht="12.5" spans="1:35">
      <c r="A484" s="177">
        <v>45161.4003651852</v>
      </c>
      <c r="B484" s="11" t="s">
        <v>1726</v>
      </c>
      <c r="C484" s="277" t="s">
        <v>1727</v>
      </c>
      <c r="D484" s="19">
        <v>700802950647186</v>
      </c>
      <c r="E484" s="18" t="s">
        <v>1728</v>
      </c>
      <c r="F484" s="11" t="s">
        <v>40</v>
      </c>
      <c r="G484" s="11" t="s">
        <v>54</v>
      </c>
      <c r="H484" s="24">
        <v>33468</v>
      </c>
      <c r="I484" s="277" t="s">
        <v>636</v>
      </c>
      <c r="J484" s="11" t="s">
        <v>42</v>
      </c>
      <c r="K484" s="108" t="s">
        <v>282</v>
      </c>
      <c r="N484" s="11" t="s">
        <v>43</v>
      </c>
      <c r="O484" s="11" t="s">
        <v>65</v>
      </c>
      <c r="P484" s="11" t="s">
        <v>66</v>
      </c>
      <c r="Q484" s="11" t="s">
        <v>44</v>
      </c>
      <c r="R484" s="11" t="s">
        <v>45</v>
      </c>
      <c r="S484" s="11" t="s">
        <v>45</v>
      </c>
      <c r="T484" s="11" t="s">
        <v>44</v>
      </c>
      <c r="U484" s="11" t="s">
        <v>45</v>
      </c>
      <c r="V484" s="24">
        <v>45161</v>
      </c>
      <c r="W484" s="11" t="s">
        <v>46</v>
      </c>
      <c r="X484" s="11" t="s">
        <v>67</v>
      </c>
      <c r="Y484" s="11" t="s">
        <v>58</v>
      </c>
      <c r="Z484" s="11">
        <v>81999649609</v>
      </c>
      <c r="AA484" s="11" t="s">
        <v>91</v>
      </c>
      <c r="AB484" s="11" t="s">
        <v>98</v>
      </c>
      <c r="AC484" s="11"/>
      <c r="AD484" s="11" t="b">
        <v>0</v>
      </c>
      <c r="AF484" s="11" t="s">
        <v>1729</v>
      </c>
      <c r="AG484" s="11" t="s">
        <v>1730</v>
      </c>
      <c r="AH484" s="11" t="s">
        <v>1731</v>
      </c>
      <c r="AI484" s="11"/>
    </row>
    <row r="485" ht="12.5" spans="1:35">
      <c r="A485" s="177">
        <v>45161.4119920718</v>
      </c>
      <c r="B485" s="11" t="s">
        <v>1732</v>
      </c>
      <c r="C485" s="19">
        <v>11802983490</v>
      </c>
      <c r="D485" s="19">
        <v>708005873205221</v>
      </c>
      <c r="E485" s="18" t="s">
        <v>1733</v>
      </c>
      <c r="F485" s="11" t="s">
        <v>225</v>
      </c>
      <c r="G485" s="11" t="s">
        <v>54</v>
      </c>
      <c r="H485" s="24">
        <v>33074</v>
      </c>
      <c r="I485" s="234" t="s">
        <v>110</v>
      </c>
      <c r="J485" s="11" t="s">
        <v>438</v>
      </c>
      <c r="K485" s="108"/>
      <c r="M485" s="11" t="s">
        <v>1734</v>
      </c>
      <c r="N485" s="11" t="s">
        <v>43</v>
      </c>
      <c r="O485" s="11" t="s">
        <v>44</v>
      </c>
      <c r="P485" s="11" t="s">
        <v>44</v>
      </c>
      <c r="Q485" s="11" t="s">
        <v>44</v>
      </c>
      <c r="R485" s="11" t="s">
        <v>45</v>
      </c>
      <c r="S485" s="11" t="s">
        <v>83</v>
      </c>
      <c r="T485" s="11" t="s">
        <v>44</v>
      </c>
      <c r="U485" s="11" t="s">
        <v>45</v>
      </c>
      <c r="V485" s="24">
        <v>45161</v>
      </c>
      <c r="W485" s="11" t="s">
        <v>57</v>
      </c>
      <c r="X485" s="11" t="s">
        <v>47</v>
      </c>
      <c r="Y485" s="11" t="s">
        <v>58</v>
      </c>
      <c r="Z485" s="11">
        <v>81985342482</v>
      </c>
      <c r="AA485" s="11" t="s">
        <v>113</v>
      </c>
      <c r="AB485" s="11" t="s">
        <v>49</v>
      </c>
      <c r="AC485" s="11" t="s">
        <v>75</v>
      </c>
      <c r="AD485" s="11" t="b">
        <v>0</v>
      </c>
      <c r="AF485" s="11" t="s">
        <v>1735</v>
      </c>
      <c r="AG485" s="11"/>
      <c r="AH485" s="11" t="s">
        <v>1736</v>
      </c>
      <c r="AI485" s="11"/>
    </row>
    <row r="486" ht="12.5" spans="1:35">
      <c r="A486" s="177">
        <v>45161.4756471759</v>
      </c>
      <c r="B486" s="11" t="s">
        <v>1732</v>
      </c>
      <c r="C486" s="19">
        <v>11802983490</v>
      </c>
      <c r="D486" s="19">
        <v>708005873205221</v>
      </c>
      <c r="F486" s="11" t="s">
        <v>225</v>
      </c>
      <c r="G486" s="11" t="s">
        <v>54</v>
      </c>
      <c r="H486" s="24">
        <v>33074</v>
      </c>
      <c r="I486" s="234" t="s">
        <v>110</v>
      </c>
      <c r="J486" s="11" t="s">
        <v>438</v>
      </c>
      <c r="K486" s="108"/>
      <c r="M486" s="11" t="s">
        <v>1734</v>
      </c>
      <c r="N486" s="11" t="s">
        <v>95</v>
      </c>
      <c r="O486" s="11" t="s">
        <v>44</v>
      </c>
      <c r="P486" s="11" t="s">
        <v>44</v>
      </c>
      <c r="Q486" s="11" t="s">
        <v>44</v>
      </c>
      <c r="R486" s="11" t="s">
        <v>45</v>
      </c>
      <c r="S486" s="11" t="s">
        <v>83</v>
      </c>
      <c r="T486" s="11" t="s">
        <v>44</v>
      </c>
      <c r="U486" s="11" t="s">
        <v>44</v>
      </c>
      <c r="W486" s="11" t="s">
        <v>57</v>
      </c>
      <c r="X486" s="11" t="s">
        <v>97</v>
      </c>
      <c r="Y486" s="11" t="s">
        <v>97</v>
      </c>
      <c r="Z486" s="11">
        <v>81985342482</v>
      </c>
      <c r="AA486" s="11" t="s">
        <v>113</v>
      </c>
      <c r="AB486" s="11"/>
      <c r="AC486" s="11"/>
      <c r="AD486" s="11" t="b">
        <v>0</v>
      </c>
      <c r="AF486" s="11"/>
      <c r="AG486" s="11"/>
      <c r="AH486" s="11"/>
      <c r="AI486" s="11"/>
    </row>
    <row r="487" ht="12.5" spans="1:37">
      <c r="A487" s="203">
        <v>45161.6340086921</v>
      </c>
      <c r="B487" s="4" t="s">
        <v>1737</v>
      </c>
      <c r="C487" s="280" t="s">
        <v>1738</v>
      </c>
      <c r="D487" s="19">
        <v>705200406232877</v>
      </c>
      <c r="E487" s="53" t="s">
        <v>1739</v>
      </c>
      <c r="F487" s="4" t="s">
        <v>40</v>
      </c>
      <c r="G487" s="4" t="s">
        <v>41</v>
      </c>
      <c r="H487" s="204">
        <v>32680</v>
      </c>
      <c r="I487" s="280" t="s">
        <v>1740</v>
      </c>
      <c r="J487" s="4" t="s">
        <v>42</v>
      </c>
      <c r="K487" s="206" t="s">
        <v>1741</v>
      </c>
      <c r="L487" s="4"/>
      <c r="M487" s="4"/>
      <c r="N487" s="4" t="s">
        <v>43</v>
      </c>
      <c r="O487" s="4" t="s">
        <v>44</v>
      </c>
      <c r="P487" s="4" t="s">
        <v>44</v>
      </c>
      <c r="Q487" s="4" t="s">
        <v>45</v>
      </c>
      <c r="R487" s="4" t="s">
        <v>45</v>
      </c>
      <c r="S487" s="4" t="s">
        <v>45</v>
      </c>
      <c r="T487" s="4" t="s">
        <v>45</v>
      </c>
      <c r="U487" s="4" t="s">
        <v>45</v>
      </c>
      <c r="V487" s="204">
        <v>45162</v>
      </c>
      <c r="W487" s="4" t="s">
        <v>46</v>
      </c>
      <c r="X487" s="4" t="s">
        <v>47</v>
      </c>
      <c r="Y487" s="4" t="s">
        <v>58</v>
      </c>
      <c r="Z487" s="4">
        <v>81973038779</v>
      </c>
      <c r="AA487" s="4" t="s">
        <v>1360</v>
      </c>
      <c r="AB487" s="4" t="s">
        <v>49</v>
      </c>
      <c r="AC487" s="4" t="s">
        <v>75</v>
      </c>
      <c r="AD487" s="4" t="b">
        <v>1</v>
      </c>
      <c r="AE487" s="4" t="s">
        <v>137</v>
      </c>
      <c r="AF487" s="4" t="s">
        <v>1742</v>
      </c>
      <c r="AG487" s="4"/>
      <c r="AH487" s="4" t="s">
        <v>1743</v>
      </c>
      <c r="AI487" s="4"/>
      <c r="AJ487" s="4"/>
      <c r="AK487" s="4"/>
    </row>
    <row r="488" ht="12.5" spans="1:35">
      <c r="A488" s="177">
        <v>45161.6681361806</v>
      </c>
      <c r="B488" s="11" t="s">
        <v>1693</v>
      </c>
      <c r="C488" s="277" t="s">
        <v>1694</v>
      </c>
      <c r="D488" s="19">
        <v>704001819954762</v>
      </c>
      <c r="F488" s="11" t="s">
        <v>40</v>
      </c>
      <c r="G488" s="11" t="s">
        <v>54</v>
      </c>
      <c r="H488" s="24">
        <v>32482</v>
      </c>
      <c r="I488" s="277" t="s">
        <v>1696</v>
      </c>
      <c r="J488" s="11" t="s">
        <v>42</v>
      </c>
      <c r="K488" s="108" t="s">
        <v>427</v>
      </c>
      <c r="N488" s="11" t="s">
        <v>95</v>
      </c>
      <c r="O488" s="11" t="s">
        <v>96</v>
      </c>
      <c r="P488" s="11" t="s">
        <v>56</v>
      </c>
      <c r="Q488" s="11" t="s">
        <v>44</v>
      </c>
      <c r="R488" s="11" t="s">
        <v>45</v>
      </c>
      <c r="S488" s="11" t="s">
        <v>83</v>
      </c>
      <c r="T488" s="11" t="s">
        <v>44</v>
      </c>
      <c r="U488" s="11" t="s">
        <v>45</v>
      </c>
      <c r="V488" s="24">
        <v>45163</v>
      </c>
      <c r="W488" s="11" t="s">
        <v>57</v>
      </c>
      <c r="X488" s="11" t="s">
        <v>97</v>
      </c>
      <c r="Y488" s="11" t="s">
        <v>97</v>
      </c>
      <c r="Z488" s="11">
        <v>81986133597</v>
      </c>
      <c r="AA488" s="11" t="s">
        <v>91</v>
      </c>
      <c r="AB488" s="11" t="s">
        <v>98</v>
      </c>
      <c r="AC488" s="11"/>
      <c r="AD488" s="11" t="b">
        <v>0</v>
      </c>
      <c r="AF488" s="11" t="s">
        <v>1744</v>
      </c>
      <c r="AG488" s="11" t="s">
        <v>1745</v>
      </c>
      <c r="AH488" s="11"/>
      <c r="AI488" s="11"/>
    </row>
    <row r="489" ht="12.5" spans="1:35">
      <c r="A489" s="177">
        <v>45161.6883463194</v>
      </c>
      <c r="B489" s="11" t="s">
        <v>1721</v>
      </c>
      <c r="C489" s="277" t="s">
        <v>1746</v>
      </c>
      <c r="D489" s="19">
        <v>704607149910620</v>
      </c>
      <c r="E489" s="18" t="s">
        <v>1747</v>
      </c>
      <c r="F489" s="11" t="s">
        <v>40</v>
      </c>
      <c r="G489" s="11" t="s">
        <v>41</v>
      </c>
      <c r="H489" s="24">
        <v>32120</v>
      </c>
      <c r="I489" s="277" t="s">
        <v>1748</v>
      </c>
      <c r="J489" s="11" t="s">
        <v>42</v>
      </c>
      <c r="K489" s="108" t="s">
        <v>63</v>
      </c>
      <c r="N489" s="11" t="s">
        <v>95</v>
      </c>
      <c r="O489" s="11" t="s">
        <v>44</v>
      </c>
      <c r="P489" s="11" t="s">
        <v>44</v>
      </c>
      <c r="Q489" s="11" t="s">
        <v>44</v>
      </c>
      <c r="R489" s="11" t="s">
        <v>45</v>
      </c>
      <c r="S489" s="11" t="s">
        <v>45</v>
      </c>
      <c r="T489" s="11" t="s">
        <v>44</v>
      </c>
      <c r="U489" s="11" t="s">
        <v>44</v>
      </c>
      <c r="W489" s="11" t="s">
        <v>46</v>
      </c>
      <c r="X489" s="11" t="s">
        <v>97</v>
      </c>
      <c r="Y489" s="11" t="s">
        <v>97</v>
      </c>
      <c r="Z489" s="11">
        <v>81991217233</v>
      </c>
      <c r="AA489" s="11" t="s">
        <v>103</v>
      </c>
      <c r="AB489" s="11"/>
      <c r="AC489" s="11"/>
      <c r="AD489" s="11" t="b">
        <v>0</v>
      </c>
      <c r="AF489" s="11"/>
      <c r="AG489" s="11"/>
      <c r="AH489" s="11"/>
      <c r="AI489" s="11"/>
    </row>
    <row r="490" ht="12.5" spans="1:35">
      <c r="A490" s="177">
        <v>45162.3662658102</v>
      </c>
      <c r="B490" s="11" t="s">
        <v>1737</v>
      </c>
      <c r="C490" s="277" t="s">
        <v>1738</v>
      </c>
      <c r="D490" s="19">
        <v>705200406232877</v>
      </c>
      <c r="E490" s="18" t="s">
        <v>1749</v>
      </c>
      <c r="F490" s="11" t="s">
        <v>40</v>
      </c>
      <c r="G490" s="11" t="s">
        <v>41</v>
      </c>
      <c r="H490" s="24">
        <v>32680</v>
      </c>
      <c r="I490" s="277" t="s">
        <v>1740</v>
      </c>
      <c r="J490" s="11" t="s">
        <v>42</v>
      </c>
      <c r="K490" s="108" t="s">
        <v>1750</v>
      </c>
      <c r="N490" s="11" t="s">
        <v>95</v>
      </c>
      <c r="O490" s="11" t="s">
        <v>44</v>
      </c>
      <c r="P490" s="11" t="s">
        <v>44</v>
      </c>
      <c r="Q490" s="11" t="s">
        <v>45</v>
      </c>
      <c r="R490" s="11" t="s">
        <v>45</v>
      </c>
      <c r="S490" s="11" t="s">
        <v>45</v>
      </c>
      <c r="T490" s="11" t="s">
        <v>44</v>
      </c>
      <c r="U490" s="11" t="s">
        <v>44</v>
      </c>
      <c r="W490" s="11" t="s">
        <v>57</v>
      </c>
      <c r="X490" s="11" t="s">
        <v>97</v>
      </c>
      <c r="Y490" s="11" t="s">
        <v>97</v>
      </c>
      <c r="Z490" s="11">
        <v>81973038779</v>
      </c>
      <c r="AA490" s="11" t="s">
        <v>113</v>
      </c>
      <c r="AB490" s="11"/>
      <c r="AC490" s="11"/>
      <c r="AD490" s="11" t="b">
        <v>0</v>
      </c>
      <c r="AF490" s="11"/>
      <c r="AG490" s="11"/>
      <c r="AH490" s="11"/>
      <c r="AI490" s="11"/>
    </row>
    <row r="491" ht="12.5" spans="1:35">
      <c r="A491" s="177">
        <v>45162.3724204861</v>
      </c>
      <c r="B491" s="11" t="s">
        <v>327</v>
      </c>
      <c r="C491" s="19">
        <v>70672195402</v>
      </c>
      <c r="D491" s="19">
        <v>707405032215277</v>
      </c>
      <c r="E491" s="18" t="s">
        <v>1751</v>
      </c>
      <c r="F491" s="11" t="s">
        <v>40</v>
      </c>
      <c r="G491" s="11" t="s">
        <v>54</v>
      </c>
      <c r="H491" s="24">
        <v>35089</v>
      </c>
      <c r="I491" s="277" t="s">
        <v>372</v>
      </c>
      <c r="J491" s="11" t="s">
        <v>81</v>
      </c>
      <c r="K491" s="108"/>
      <c r="L491" s="11" t="s">
        <v>520</v>
      </c>
      <c r="N491" s="11" t="s">
        <v>43</v>
      </c>
      <c r="O491" s="11" t="s">
        <v>96</v>
      </c>
      <c r="P491" s="11" t="s">
        <v>66</v>
      </c>
      <c r="Q491" s="11" t="s">
        <v>44</v>
      </c>
      <c r="R491" s="11" t="s">
        <v>45</v>
      </c>
      <c r="S491" s="11" t="s">
        <v>45</v>
      </c>
      <c r="T491" s="11" t="s">
        <v>44</v>
      </c>
      <c r="U491" s="11" t="s">
        <v>45</v>
      </c>
      <c r="V491" s="24">
        <v>45163</v>
      </c>
      <c r="W491" s="11" t="s">
        <v>46</v>
      </c>
      <c r="X491" s="11" t="s">
        <v>203</v>
      </c>
      <c r="Y491" s="11" t="s">
        <v>68</v>
      </c>
      <c r="Z491" s="11">
        <v>81999301993</v>
      </c>
      <c r="AA491" s="11" t="s">
        <v>91</v>
      </c>
      <c r="AB491" s="11" t="s">
        <v>98</v>
      </c>
      <c r="AC491" s="11"/>
      <c r="AD491" s="11" t="b">
        <v>0</v>
      </c>
      <c r="AF491" s="11" t="s">
        <v>1752</v>
      </c>
      <c r="AG491" s="11" t="s">
        <v>1753</v>
      </c>
      <c r="AH491" s="11"/>
      <c r="AI491" s="11"/>
    </row>
    <row r="492" ht="12.5" spans="1:35">
      <c r="A492" s="177">
        <v>45163.5325506713</v>
      </c>
      <c r="B492" s="11" t="s">
        <v>1754</v>
      </c>
      <c r="C492" s="277" t="s">
        <v>1755</v>
      </c>
      <c r="D492" s="19">
        <v>705607447469815</v>
      </c>
      <c r="E492" s="18" t="s">
        <v>1756</v>
      </c>
      <c r="F492" s="11" t="s">
        <v>40</v>
      </c>
      <c r="G492" s="11" t="s">
        <v>54</v>
      </c>
      <c r="H492" s="24">
        <v>33419</v>
      </c>
      <c r="I492" s="277" t="s">
        <v>1757</v>
      </c>
      <c r="J492" s="11" t="s">
        <v>42</v>
      </c>
      <c r="K492" s="108" t="s">
        <v>356</v>
      </c>
      <c r="N492" s="11" t="s">
        <v>43</v>
      </c>
      <c r="O492" s="11" t="s">
        <v>96</v>
      </c>
      <c r="P492" s="11" t="s">
        <v>66</v>
      </c>
      <c r="Q492" s="11" t="s">
        <v>44</v>
      </c>
      <c r="R492" s="11" t="s">
        <v>45</v>
      </c>
      <c r="S492" s="11" t="s">
        <v>45</v>
      </c>
      <c r="T492" s="11" t="s">
        <v>44</v>
      </c>
      <c r="U492" s="11" t="s">
        <v>45</v>
      </c>
      <c r="V492" s="24">
        <v>45164</v>
      </c>
      <c r="W492" s="11" t="s">
        <v>46</v>
      </c>
      <c r="X492" s="11" t="s">
        <v>47</v>
      </c>
      <c r="Y492" s="11" t="s">
        <v>58</v>
      </c>
      <c r="Z492" s="11">
        <v>81986886770</v>
      </c>
      <c r="AA492" s="11" t="s">
        <v>1360</v>
      </c>
      <c r="AB492" s="11" t="s">
        <v>49</v>
      </c>
      <c r="AC492" s="11" t="s">
        <v>92</v>
      </c>
      <c r="AD492" s="11" t="b">
        <v>1</v>
      </c>
      <c r="AE492" s="11" t="s">
        <v>137</v>
      </c>
      <c r="AF492" s="11" t="s">
        <v>1758</v>
      </c>
      <c r="AG492" s="11" t="s">
        <v>1759</v>
      </c>
      <c r="AH492" s="11" t="s">
        <v>1760</v>
      </c>
      <c r="AI492" s="11"/>
    </row>
    <row r="493" ht="12.5" spans="1:35">
      <c r="A493" s="177">
        <v>45163.6746140394</v>
      </c>
      <c r="B493" s="11" t="s">
        <v>1721</v>
      </c>
      <c r="C493" s="277" t="s">
        <v>1746</v>
      </c>
      <c r="D493" s="19">
        <v>704607149910620</v>
      </c>
      <c r="E493" s="18" t="s">
        <v>1761</v>
      </c>
      <c r="F493" s="11" t="s">
        <v>40</v>
      </c>
      <c r="G493" s="11" t="s">
        <v>41</v>
      </c>
      <c r="H493" s="24">
        <v>31755</v>
      </c>
      <c r="I493" s="277" t="s">
        <v>1748</v>
      </c>
      <c r="J493" s="11" t="s">
        <v>42</v>
      </c>
      <c r="K493" s="108" t="s">
        <v>455</v>
      </c>
      <c r="N493" s="11" t="s">
        <v>43</v>
      </c>
      <c r="O493" s="11" t="s">
        <v>44</v>
      </c>
      <c r="P493" s="11" t="s">
        <v>44</v>
      </c>
      <c r="Q493" s="11" t="s">
        <v>45</v>
      </c>
      <c r="R493" s="11" t="s">
        <v>45</v>
      </c>
      <c r="S493" s="11" t="s">
        <v>45</v>
      </c>
      <c r="T493" s="11" t="s">
        <v>44</v>
      </c>
      <c r="U493" s="11" t="s">
        <v>44</v>
      </c>
      <c r="W493" s="11" t="s">
        <v>46</v>
      </c>
      <c r="X493" s="11" t="s">
        <v>47</v>
      </c>
      <c r="Y493" s="11" t="s">
        <v>58</v>
      </c>
      <c r="Z493" s="11">
        <v>81991217233</v>
      </c>
      <c r="AA493" s="11" t="s">
        <v>1360</v>
      </c>
      <c r="AB493" s="11"/>
      <c r="AC493" s="11"/>
      <c r="AD493" s="11" t="b">
        <v>0</v>
      </c>
      <c r="AF493" s="11"/>
      <c r="AG493" s="11"/>
      <c r="AH493" s="11"/>
      <c r="AI493" s="11"/>
    </row>
    <row r="494" ht="12.5" spans="1:35">
      <c r="A494" s="177">
        <v>45163.6786244097</v>
      </c>
      <c r="B494" s="11" t="s">
        <v>1762</v>
      </c>
      <c r="C494" s="19">
        <v>10094451460</v>
      </c>
      <c r="D494" s="19">
        <v>898002391102498</v>
      </c>
      <c r="E494" s="18" t="s">
        <v>1763</v>
      </c>
      <c r="F494" s="11" t="s">
        <v>40</v>
      </c>
      <c r="G494" s="11" t="s">
        <v>54</v>
      </c>
      <c r="H494" s="24">
        <v>34029</v>
      </c>
      <c r="I494" s="277" t="s">
        <v>1764</v>
      </c>
      <c r="J494" s="11" t="s">
        <v>42</v>
      </c>
      <c r="K494" s="108" t="s">
        <v>155</v>
      </c>
      <c r="N494" s="11" t="s">
        <v>43</v>
      </c>
      <c r="O494" s="11" t="s">
        <v>96</v>
      </c>
      <c r="P494" s="11" t="s">
        <v>66</v>
      </c>
      <c r="Q494" s="11" t="s">
        <v>44</v>
      </c>
      <c r="R494" s="11" t="s">
        <v>45</v>
      </c>
      <c r="S494" s="11" t="s">
        <v>83</v>
      </c>
      <c r="T494" s="11" t="s">
        <v>44</v>
      </c>
      <c r="U494" s="11" t="s">
        <v>45</v>
      </c>
      <c r="V494" s="24">
        <v>45164</v>
      </c>
      <c r="W494" s="11" t="s">
        <v>46</v>
      </c>
      <c r="X494" s="11" t="s">
        <v>47</v>
      </c>
      <c r="Y494" s="11" t="s">
        <v>58</v>
      </c>
      <c r="Z494" s="11">
        <v>81983101483</v>
      </c>
      <c r="AA494" s="11" t="s">
        <v>1267</v>
      </c>
      <c r="AB494" s="11" t="s">
        <v>49</v>
      </c>
      <c r="AC494" s="11" t="s">
        <v>92</v>
      </c>
      <c r="AD494" s="11" t="b">
        <v>1</v>
      </c>
      <c r="AE494" s="11" t="s">
        <v>137</v>
      </c>
      <c r="AF494" s="11" t="s">
        <v>1765</v>
      </c>
      <c r="AG494" s="11"/>
      <c r="AH494" s="11"/>
      <c r="AI494" s="11"/>
    </row>
    <row r="495" ht="12.5" spans="1:35">
      <c r="A495" s="177">
        <v>45164.4829684607</v>
      </c>
      <c r="B495" s="11" t="s">
        <v>1762</v>
      </c>
      <c r="C495" s="19">
        <v>10094451460</v>
      </c>
      <c r="D495" s="19">
        <v>898002391102498</v>
      </c>
      <c r="E495" s="18" t="s">
        <v>1766</v>
      </c>
      <c r="F495" s="11" t="s">
        <v>40</v>
      </c>
      <c r="G495" s="11" t="s">
        <v>54</v>
      </c>
      <c r="H495" s="24">
        <v>34029</v>
      </c>
      <c r="I495" s="277" t="s">
        <v>1767</v>
      </c>
      <c r="J495" s="11" t="s">
        <v>42</v>
      </c>
      <c r="K495" s="108" t="s">
        <v>155</v>
      </c>
      <c r="N495" s="11" t="s">
        <v>95</v>
      </c>
      <c r="O495" s="11" t="s">
        <v>44</v>
      </c>
      <c r="P495" s="11" t="s">
        <v>44</v>
      </c>
      <c r="Q495" s="11" t="s">
        <v>44</v>
      </c>
      <c r="R495" s="11" t="s">
        <v>45</v>
      </c>
      <c r="S495" s="11" t="s">
        <v>83</v>
      </c>
      <c r="T495" s="11" t="s">
        <v>44</v>
      </c>
      <c r="U495" s="11" t="s">
        <v>44</v>
      </c>
      <c r="W495" s="11" t="s">
        <v>46</v>
      </c>
      <c r="X495" s="11" t="s">
        <v>97</v>
      </c>
      <c r="Y495" s="11" t="s">
        <v>97</v>
      </c>
      <c r="Z495" s="11">
        <v>81983101483</v>
      </c>
      <c r="AA495" s="11" t="s">
        <v>91</v>
      </c>
      <c r="AB495" s="11"/>
      <c r="AC495" s="11"/>
      <c r="AD495" s="11" t="b">
        <v>0</v>
      </c>
      <c r="AF495" s="11"/>
      <c r="AG495" s="11"/>
      <c r="AH495" s="11"/>
      <c r="AI495" s="11"/>
    </row>
    <row r="496" ht="12.5" spans="1:35">
      <c r="A496" s="177">
        <v>45164.5912071875</v>
      </c>
      <c r="B496" s="11" t="s">
        <v>1754</v>
      </c>
      <c r="C496" s="277" t="s">
        <v>1755</v>
      </c>
      <c r="D496" s="19">
        <v>705607447469815</v>
      </c>
      <c r="E496" s="18" t="s">
        <v>1768</v>
      </c>
      <c r="F496" s="11" t="s">
        <v>40</v>
      </c>
      <c r="G496" s="11" t="s">
        <v>54</v>
      </c>
      <c r="H496" s="24">
        <v>33419</v>
      </c>
      <c r="I496" s="19" t="s">
        <v>136</v>
      </c>
      <c r="J496" s="11" t="s">
        <v>42</v>
      </c>
      <c r="K496" s="108" t="s">
        <v>202</v>
      </c>
      <c r="N496" s="11" t="s">
        <v>95</v>
      </c>
      <c r="O496" s="11" t="s">
        <v>44</v>
      </c>
      <c r="P496" s="11" t="s">
        <v>44</v>
      </c>
      <c r="Q496" s="11" t="s">
        <v>44</v>
      </c>
      <c r="R496" s="11" t="s">
        <v>45</v>
      </c>
      <c r="S496" s="11" t="s">
        <v>45</v>
      </c>
      <c r="T496" s="11" t="s">
        <v>44</v>
      </c>
      <c r="U496" s="11" t="s">
        <v>44</v>
      </c>
      <c r="W496" s="11" t="s">
        <v>46</v>
      </c>
      <c r="X496" s="11" t="s">
        <v>97</v>
      </c>
      <c r="Y496" s="11" t="s">
        <v>97</v>
      </c>
      <c r="Z496" s="11">
        <v>81986886770</v>
      </c>
      <c r="AA496" s="11" t="s">
        <v>91</v>
      </c>
      <c r="AB496" s="11"/>
      <c r="AC496" s="11"/>
      <c r="AD496" s="11" t="b">
        <v>0</v>
      </c>
      <c r="AF496" s="11"/>
      <c r="AG496" s="11"/>
      <c r="AH496" s="11"/>
      <c r="AI496" s="11"/>
    </row>
    <row r="497" ht="12.5" spans="1:35">
      <c r="A497" s="177">
        <v>45164.6254158565</v>
      </c>
      <c r="B497" s="11" t="s">
        <v>1769</v>
      </c>
      <c r="C497" s="19">
        <v>13470321426</v>
      </c>
      <c r="D497" s="19">
        <v>709602647540376</v>
      </c>
      <c r="E497" s="18" t="s">
        <v>1770</v>
      </c>
      <c r="F497" s="11" t="s">
        <v>225</v>
      </c>
      <c r="G497" s="11" t="s">
        <v>54</v>
      </c>
      <c r="H497" s="24">
        <v>37726</v>
      </c>
      <c r="I497" s="277" t="s">
        <v>1771</v>
      </c>
      <c r="J497" s="11" t="s">
        <v>42</v>
      </c>
      <c r="K497" s="108" t="s">
        <v>202</v>
      </c>
      <c r="N497" s="11" t="s">
        <v>43</v>
      </c>
      <c r="O497" s="11" t="s">
        <v>44</v>
      </c>
      <c r="P497" s="11" t="s">
        <v>44</v>
      </c>
      <c r="Q497" s="11" t="s">
        <v>44</v>
      </c>
      <c r="R497" s="11" t="s">
        <v>45</v>
      </c>
      <c r="S497" s="11" t="s">
        <v>45</v>
      </c>
      <c r="T497" s="11" t="s">
        <v>44</v>
      </c>
      <c r="U497" s="11" t="s">
        <v>44</v>
      </c>
      <c r="W497" s="11" t="s">
        <v>46</v>
      </c>
      <c r="X497" s="11" t="s">
        <v>303</v>
      </c>
      <c r="Y497" s="11" t="s">
        <v>58</v>
      </c>
      <c r="Z497" s="11">
        <v>81985020601</v>
      </c>
      <c r="AA497" s="11" t="s">
        <v>296</v>
      </c>
      <c r="AB497" s="11"/>
      <c r="AC497" s="11"/>
      <c r="AD497" s="11" t="b">
        <v>0</v>
      </c>
      <c r="AF497" s="11"/>
      <c r="AG497" s="11"/>
      <c r="AH497" s="11"/>
      <c r="AI497" s="11"/>
    </row>
    <row r="498" ht="12.5" spans="1:35">
      <c r="A498" s="177">
        <v>45166.5464351157</v>
      </c>
      <c r="B498" s="11" t="s">
        <v>1772</v>
      </c>
      <c r="C498" s="19">
        <v>70754885461</v>
      </c>
      <c r="D498" s="19">
        <v>700802413288187</v>
      </c>
      <c r="E498" s="18" t="s">
        <v>1773</v>
      </c>
      <c r="F498" s="11" t="s">
        <v>40</v>
      </c>
      <c r="G498" s="11" t="s">
        <v>41</v>
      </c>
      <c r="H498" s="24">
        <v>36463</v>
      </c>
      <c r="I498" s="19" t="s">
        <v>865</v>
      </c>
      <c r="J498" s="11" t="s">
        <v>42</v>
      </c>
      <c r="K498" s="108" t="s">
        <v>1774</v>
      </c>
      <c r="N498" s="11" t="s">
        <v>43</v>
      </c>
      <c r="O498" s="11" t="s">
        <v>96</v>
      </c>
      <c r="P498" s="11" t="s">
        <v>66</v>
      </c>
      <c r="Q498" s="11" t="s">
        <v>45</v>
      </c>
      <c r="R498" s="11" t="s">
        <v>45</v>
      </c>
      <c r="S498" s="11" t="s">
        <v>45</v>
      </c>
      <c r="T498" s="11" t="s">
        <v>44</v>
      </c>
      <c r="U498" s="11" t="s">
        <v>45</v>
      </c>
      <c r="V498" s="24">
        <v>45167</v>
      </c>
      <c r="W498" s="11" t="s">
        <v>46</v>
      </c>
      <c r="X498" s="11" t="s">
        <v>47</v>
      </c>
      <c r="Y498" s="11" t="s">
        <v>58</v>
      </c>
      <c r="Z498" s="11">
        <v>81973474541</v>
      </c>
      <c r="AA498" s="11" t="s">
        <v>1360</v>
      </c>
      <c r="AB498" s="11" t="s">
        <v>98</v>
      </c>
      <c r="AC498" s="11"/>
      <c r="AD498" s="11" t="b">
        <v>0</v>
      </c>
      <c r="AF498" s="11" t="s">
        <v>1775</v>
      </c>
      <c r="AG498" s="11" t="s">
        <v>1776</v>
      </c>
      <c r="AH498" s="11" t="s">
        <v>1777</v>
      </c>
      <c r="AI498" s="11"/>
    </row>
    <row r="499" ht="12.5" spans="1:35">
      <c r="A499" s="177">
        <v>45166.6260911806</v>
      </c>
      <c r="B499" s="11" t="s">
        <v>1778</v>
      </c>
      <c r="C499" s="19">
        <v>12180538448</v>
      </c>
      <c r="D499" s="19">
        <v>700305900737537</v>
      </c>
      <c r="E499" s="18" t="s">
        <v>1779</v>
      </c>
      <c r="F499" s="11" t="s">
        <v>40</v>
      </c>
      <c r="G499" s="11" t="s">
        <v>135</v>
      </c>
      <c r="H499" s="24">
        <v>36661</v>
      </c>
      <c r="I499" s="277" t="s">
        <v>1780</v>
      </c>
      <c r="J499" s="11" t="s">
        <v>42</v>
      </c>
      <c r="K499" s="108" t="s">
        <v>202</v>
      </c>
      <c r="N499" s="11" t="s">
        <v>43</v>
      </c>
      <c r="O499" s="11" t="s">
        <v>44</v>
      </c>
      <c r="P499" s="11" t="s">
        <v>44</v>
      </c>
      <c r="Q499" s="11" t="s">
        <v>44</v>
      </c>
      <c r="R499" s="11" t="s">
        <v>45</v>
      </c>
      <c r="S499" s="11" t="s">
        <v>45</v>
      </c>
      <c r="T499" s="11" t="s">
        <v>44</v>
      </c>
      <c r="U499" s="11" t="s">
        <v>44</v>
      </c>
      <c r="W499" s="11" t="s">
        <v>46</v>
      </c>
      <c r="X499" s="11" t="s">
        <v>47</v>
      </c>
      <c r="Y499" s="11" t="s">
        <v>58</v>
      </c>
      <c r="Z499" s="11">
        <v>81993269683</v>
      </c>
      <c r="AA499" s="11" t="s">
        <v>1360</v>
      </c>
      <c r="AB499" s="11"/>
      <c r="AC499" s="11"/>
      <c r="AD499" s="11" t="b">
        <v>0</v>
      </c>
      <c r="AF499" s="11"/>
      <c r="AG499" s="11"/>
      <c r="AH499" s="11"/>
      <c r="AI499" s="11"/>
    </row>
    <row r="500" ht="12.5" spans="1:35">
      <c r="A500" s="177">
        <v>45166.7916396065</v>
      </c>
      <c r="B500" s="11" t="s">
        <v>1781</v>
      </c>
      <c r="C500" s="19">
        <v>70512638462</v>
      </c>
      <c r="D500" s="19">
        <v>702802502919170</v>
      </c>
      <c r="E500" s="18" t="s">
        <v>1782</v>
      </c>
      <c r="F500" s="11" t="s">
        <v>40</v>
      </c>
      <c r="G500" s="11" t="s">
        <v>54</v>
      </c>
      <c r="H500" s="24">
        <v>36015</v>
      </c>
      <c r="I500" s="277" t="s">
        <v>462</v>
      </c>
      <c r="J500" s="11" t="s">
        <v>42</v>
      </c>
      <c r="K500" s="108" t="s">
        <v>202</v>
      </c>
      <c r="N500" s="11" t="s">
        <v>43</v>
      </c>
      <c r="O500" s="11" t="s">
        <v>44</v>
      </c>
      <c r="P500" s="11" t="s">
        <v>44</v>
      </c>
      <c r="Q500" s="11" t="s">
        <v>44</v>
      </c>
      <c r="R500" s="11" t="s">
        <v>45</v>
      </c>
      <c r="S500" s="11" t="s">
        <v>45</v>
      </c>
      <c r="T500" s="11" t="s">
        <v>44</v>
      </c>
      <c r="U500" s="11" t="s">
        <v>45</v>
      </c>
      <c r="V500" s="24">
        <v>45167</v>
      </c>
      <c r="W500" s="11" t="s">
        <v>46</v>
      </c>
      <c r="X500" s="11" t="s">
        <v>203</v>
      </c>
      <c r="Y500" s="11" t="s">
        <v>58</v>
      </c>
      <c r="Z500" s="11">
        <v>81998266252</v>
      </c>
      <c r="AA500" s="11" t="s">
        <v>1360</v>
      </c>
      <c r="AB500" s="11" t="s">
        <v>98</v>
      </c>
      <c r="AC500" s="11"/>
      <c r="AD500" s="11" t="b">
        <v>0</v>
      </c>
      <c r="AF500" s="11" t="s">
        <v>1783</v>
      </c>
      <c r="AG500" s="11" t="s">
        <v>1784</v>
      </c>
      <c r="AH500" s="11" t="s">
        <v>1785</v>
      </c>
      <c r="AI500" s="11"/>
    </row>
    <row r="501" ht="12.5" spans="1:35">
      <c r="A501" s="177">
        <v>45167.5012912847</v>
      </c>
      <c r="B501" s="11" t="s">
        <v>1786</v>
      </c>
      <c r="C501" s="19">
        <v>17329918474</v>
      </c>
      <c r="D501" s="19">
        <v>709804075482392</v>
      </c>
      <c r="E501" s="18" t="s">
        <v>1787</v>
      </c>
      <c r="F501" s="11" t="s">
        <v>40</v>
      </c>
      <c r="G501" s="11" t="s">
        <v>54</v>
      </c>
      <c r="H501" s="24">
        <v>38264</v>
      </c>
      <c r="I501" s="277" t="s">
        <v>1788</v>
      </c>
      <c r="J501" s="11" t="s">
        <v>42</v>
      </c>
      <c r="K501" s="108" t="s">
        <v>1789</v>
      </c>
      <c r="N501" s="11" t="s">
        <v>43</v>
      </c>
      <c r="O501" s="11" t="s">
        <v>65</v>
      </c>
      <c r="P501" s="11" t="s">
        <v>66</v>
      </c>
      <c r="Q501" s="11" t="s">
        <v>44</v>
      </c>
      <c r="R501" s="11" t="s">
        <v>45</v>
      </c>
      <c r="S501" s="11" t="s">
        <v>83</v>
      </c>
      <c r="T501" s="11" t="s">
        <v>44</v>
      </c>
      <c r="U501" s="11" t="s">
        <v>45</v>
      </c>
      <c r="V501" s="24">
        <v>45168</v>
      </c>
      <c r="W501" s="11" t="s">
        <v>46</v>
      </c>
      <c r="X501" s="11" t="s">
        <v>47</v>
      </c>
      <c r="Y501" s="11" t="s">
        <v>58</v>
      </c>
      <c r="Z501" s="11">
        <v>81984141514</v>
      </c>
      <c r="AA501" s="11" t="s">
        <v>91</v>
      </c>
      <c r="AB501" s="235" t="s">
        <v>49</v>
      </c>
      <c r="AC501" s="11" t="s">
        <v>92</v>
      </c>
      <c r="AD501" s="11" t="b">
        <v>0</v>
      </c>
      <c r="AF501" s="235" t="s">
        <v>1790</v>
      </c>
      <c r="AG501" s="11"/>
      <c r="AH501" s="11"/>
      <c r="AI501" s="11"/>
    </row>
    <row r="502" ht="12.5" spans="1:35">
      <c r="A502" s="177">
        <v>45167.6215990741</v>
      </c>
      <c r="B502" s="11" t="s">
        <v>1791</v>
      </c>
      <c r="C502" s="277" t="s">
        <v>1792</v>
      </c>
      <c r="D502" s="19">
        <v>700503113295351</v>
      </c>
      <c r="E502" s="18" t="s">
        <v>1793</v>
      </c>
      <c r="F502" s="11" t="s">
        <v>40</v>
      </c>
      <c r="G502" s="11" t="s">
        <v>54</v>
      </c>
      <c r="H502" s="24">
        <v>34991</v>
      </c>
      <c r="I502" s="19" t="s">
        <v>136</v>
      </c>
      <c r="J502" s="11" t="s">
        <v>42</v>
      </c>
      <c r="K502" s="108" t="s">
        <v>74</v>
      </c>
      <c r="N502" s="11" t="s">
        <v>43</v>
      </c>
      <c r="O502" s="11" t="s">
        <v>44</v>
      </c>
      <c r="P502" s="11" t="s">
        <v>44</v>
      </c>
      <c r="Q502" s="11" t="s">
        <v>44</v>
      </c>
      <c r="R502" s="11" t="s">
        <v>45</v>
      </c>
      <c r="S502" s="11" t="s">
        <v>83</v>
      </c>
      <c r="T502" s="11" t="s">
        <v>44</v>
      </c>
      <c r="U502" s="11" t="s">
        <v>45</v>
      </c>
      <c r="V502" s="24">
        <v>45168</v>
      </c>
      <c r="W502" s="11" t="s">
        <v>46</v>
      </c>
      <c r="X502" s="11" t="s">
        <v>47</v>
      </c>
      <c r="Y502" s="11" t="s">
        <v>58</v>
      </c>
      <c r="Z502" s="236">
        <v>81987746732</v>
      </c>
      <c r="AA502" s="11" t="s">
        <v>91</v>
      </c>
      <c r="AB502" s="11" t="s">
        <v>98</v>
      </c>
      <c r="AC502" s="11"/>
      <c r="AD502" s="11" t="b">
        <v>0</v>
      </c>
      <c r="AF502" s="11" t="s">
        <v>1794</v>
      </c>
      <c r="AG502" s="11"/>
      <c r="AH502" s="11" t="s">
        <v>1795</v>
      </c>
      <c r="AI502" s="11"/>
    </row>
    <row r="503" ht="12.5" spans="1:37">
      <c r="A503" s="203">
        <v>45167.7112851389</v>
      </c>
      <c r="B503" s="4" t="s">
        <v>1796</v>
      </c>
      <c r="C503" s="17">
        <v>71581178476</v>
      </c>
      <c r="D503" s="19">
        <v>705009691293051</v>
      </c>
      <c r="E503" s="53" t="s">
        <v>1797</v>
      </c>
      <c r="F503" s="4" t="s">
        <v>40</v>
      </c>
      <c r="G503" s="4" t="s">
        <v>88</v>
      </c>
      <c r="H503" s="204">
        <v>37935</v>
      </c>
      <c r="I503" s="280" t="s">
        <v>995</v>
      </c>
      <c r="J503" s="4" t="s">
        <v>42</v>
      </c>
      <c r="K503" s="206" t="s">
        <v>1083</v>
      </c>
      <c r="L503" s="4"/>
      <c r="M503" s="4"/>
      <c r="N503" s="4" t="s">
        <v>43</v>
      </c>
      <c r="O503" s="4" t="s">
        <v>96</v>
      </c>
      <c r="P503" s="4" t="s">
        <v>66</v>
      </c>
      <c r="Q503" s="4" t="s">
        <v>44</v>
      </c>
      <c r="R503" s="4" t="s">
        <v>45</v>
      </c>
      <c r="S503" s="4" t="s">
        <v>44</v>
      </c>
      <c r="T503" s="4" t="s">
        <v>45</v>
      </c>
      <c r="U503" s="4" t="s">
        <v>45</v>
      </c>
      <c r="V503" s="204">
        <v>45168</v>
      </c>
      <c r="W503" s="4" t="s">
        <v>46</v>
      </c>
      <c r="X503" s="4" t="s">
        <v>47</v>
      </c>
      <c r="Y503" s="4" t="s">
        <v>58</v>
      </c>
      <c r="Z503" s="4">
        <v>81984274659</v>
      </c>
      <c r="AA503" s="4" t="s">
        <v>91</v>
      </c>
      <c r="AB503" s="4" t="s">
        <v>98</v>
      </c>
      <c r="AC503" s="4"/>
      <c r="AD503" s="4" t="b">
        <v>0</v>
      </c>
      <c r="AE503" s="4"/>
      <c r="AF503" s="4" t="s">
        <v>1798</v>
      </c>
      <c r="AG503" s="4" t="s">
        <v>1799</v>
      </c>
      <c r="AH503" s="4"/>
      <c r="AI503" s="4"/>
      <c r="AJ503" s="4"/>
      <c r="AK503" s="4"/>
    </row>
    <row r="504" ht="12.5" spans="1:35">
      <c r="A504" s="177">
        <v>45168.3724072338</v>
      </c>
      <c r="B504" s="11" t="s">
        <v>1786</v>
      </c>
      <c r="C504" s="19">
        <v>17329918474</v>
      </c>
      <c r="D504" s="19">
        <v>709804075482392</v>
      </c>
      <c r="E504" s="18" t="s">
        <v>1800</v>
      </c>
      <c r="F504" s="11" t="s">
        <v>40</v>
      </c>
      <c r="G504" s="11" t="s">
        <v>54</v>
      </c>
      <c r="H504" s="24">
        <v>38264</v>
      </c>
      <c r="I504" s="277" t="s">
        <v>1788</v>
      </c>
      <c r="J504" s="11" t="s">
        <v>42</v>
      </c>
      <c r="K504" s="108" t="s">
        <v>1801</v>
      </c>
      <c r="N504" s="11" t="s">
        <v>43</v>
      </c>
      <c r="O504" s="11" t="s">
        <v>44</v>
      </c>
      <c r="P504" s="11" t="s">
        <v>44</v>
      </c>
      <c r="Q504" s="11" t="s">
        <v>44</v>
      </c>
      <c r="R504" s="11" t="s">
        <v>45</v>
      </c>
      <c r="S504" s="11" t="s">
        <v>83</v>
      </c>
      <c r="T504" s="11" t="s">
        <v>44</v>
      </c>
      <c r="U504" s="11" t="s">
        <v>44</v>
      </c>
      <c r="W504" s="11" t="s">
        <v>46</v>
      </c>
      <c r="X504" s="11" t="s">
        <v>47</v>
      </c>
      <c r="Y504" s="11" t="s">
        <v>58</v>
      </c>
      <c r="Z504" s="11">
        <v>81984141514</v>
      </c>
      <c r="AA504" s="11" t="s">
        <v>91</v>
      </c>
      <c r="AB504" s="11"/>
      <c r="AC504" s="11"/>
      <c r="AD504" s="11" t="b">
        <v>0</v>
      </c>
      <c r="AF504" s="11"/>
      <c r="AG504" s="11"/>
      <c r="AH504" s="11"/>
      <c r="AI504" s="11"/>
    </row>
    <row r="505" ht="12.5" spans="1:35">
      <c r="A505" s="177">
        <v>45168.3818977894</v>
      </c>
      <c r="B505" s="11" t="s">
        <v>1802</v>
      </c>
      <c r="C505" s="277" t="s">
        <v>1803</v>
      </c>
      <c r="D505" s="19">
        <v>700001162973506</v>
      </c>
      <c r="E505" s="18" t="s">
        <v>1804</v>
      </c>
      <c r="F505" s="11" t="s">
        <v>40</v>
      </c>
      <c r="G505" s="11" t="s">
        <v>88</v>
      </c>
      <c r="H505" s="24">
        <v>33722</v>
      </c>
      <c r="I505" s="277" t="s">
        <v>1805</v>
      </c>
      <c r="J505" s="11" t="s">
        <v>42</v>
      </c>
      <c r="K505" s="108" t="s">
        <v>1806</v>
      </c>
      <c r="N505" s="11" t="s">
        <v>43</v>
      </c>
      <c r="O505" s="11" t="s">
        <v>44</v>
      </c>
      <c r="P505" s="11" t="s">
        <v>44</v>
      </c>
      <c r="Q505" s="11" t="s">
        <v>45</v>
      </c>
      <c r="R505" s="11" t="s">
        <v>45</v>
      </c>
      <c r="S505" s="11" t="s">
        <v>45</v>
      </c>
      <c r="T505" s="11" t="s">
        <v>44</v>
      </c>
      <c r="U505" s="11" t="s">
        <v>44</v>
      </c>
      <c r="W505" s="11" t="s">
        <v>46</v>
      </c>
      <c r="X505" s="11" t="s">
        <v>47</v>
      </c>
      <c r="Y505" s="11" t="s">
        <v>58</v>
      </c>
      <c r="Z505" s="11">
        <v>81985363028</v>
      </c>
      <c r="AA505" s="11" t="s">
        <v>1360</v>
      </c>
      <c r="AB505" s="11"/>
      <c r="AC505" s="11"/>
      <c r="AD505" s="11" t="b">
        <v>0</v>
      </c>
      <c r="AF505" s="11"/>
      <c r="AG505" s="11"/>
      <c r="AH505" s="11"/>
      <c r="AI505" s="11"/>
    </row>
    <row r="506" ht="12.5" spans="1:35">
      <c r="A506" s="177">
        <v>45168.5939389931</v>
      </c>
      <c r="B506" s="11" t="s">
        <v>1807</v>
      </c>
      <c r="C506" s="277" t="s">
        <v>1808</v>
      </c>
      <c r="D506" s="19">
        <v>700400558690050</v>
      </c>
      <c r="E506" s="18" t="s">
        <v>1809</v>
      </c>
      <c r="F506" s="11" t="s">
        <v>40</v>
      </c>
      <c r="G506" s="11" t="s">
        <v>88</v>
      </c>
      <c r="H506" s="24">
        <v>33153</v>
      </c>
      <c r="I506" s="277" t="s">
        <v>1810</v>
      </c>
      <c r="J506" s="11" t="s">
        <v>42</v>
      </c>
      <c r="K506" s="108" t="s">
        <v>202</v>
      </c>
      <c r="N506" s="11" t="s">
        <v>43</v>
      </c>
      <c r="O506" s="11" t="s">
        <v>65</v>
      </c>
      <c r="P506" s="11" t="s">
        <v>66</v>
      </c>
      <c r="Q506" s="11" t="s">
        <v>44</v>
      </c>
      <c r="R506" s="11" t="s">
        <v>45</v>
      </c>
      <c r="S506" s="11" t="s">
        <v>45</v>
      </c>
      <c r="T506" s="11" t="s">
        <v>44</v>
      </c>
      <c r="U506" s="11" t="s">
        <v>45</v>
      </c>
      <c r="V506" s="24">
        <v>45169</v>
      </c>
      <c r="W506" s="11" t="s">
        <v>46</v>
      </c>
      <c r="X506" s="11" t="s">
        <v>47</v>
      </c>
      <c r="Y506" s="11" t="s">
        <v>58</v>
      </c>
      <c r="Z506" s="11">
        <v>81999243842</v>
      </c>
      <c r="AA506" s="11" t="s">
        <v>103</v>
      </c>
      <c r="AB506" s="11" t="s">
        <v>98</v>
      </c>
      <c r="AC506" s="11"/>
      <c r="AD506" s="11" t="b">
        <v>0</v>
      </c>
      <c r="AF506" s="11" t="s">
        <v>1811</v>
      </c>
      <c r="AG506" s="11" t="s">
        <v>1812</v>
      </c>
      <c r="AH506" s="11"/>
      <c r="AI506" s="11"/>
    </row>
    <row r="507" ht="12.5" spans="1:35">
      <c r="A507" s="177">
        <v>45169.3605399769</v>
      </c>
      <c r="B507" s="11" t="s">
        <v>1813</v>
      </c>
      <c r="C507" s="19">
        <v>10804409412</v>
      </c>
      <c r="D507" s="19">
        <v>709201282056537</v>
      </c>
      <c r="E507" s="18" t="s">
        <v>1814</v>
      </c>
      <c r="F507" s="11" t="s">
        <v>40</v>
      </c>
      <c r="G507" s="11" t="s">
        <v>54</v>
      </c>
      <c r="H507" s="24">
        <v>34496</v>
      </c>
      <c r="I507" s="277" t="s">
        <v>1815</v>
      </c>
      <c r="J507" s="11" t="s">
        <v>42</v>
      </c>
      <c r="K507" s="108" t="s">
        <v>1816</v>
      </c>
      <c r="N507" s="11" t="s">
        <v>43</v>
      </c>
      <c r="O507" s="11" t="s">
        <v>44</v>
      </c>
      <c r="P507" s="11" t="s">
        <v>44</v>
      </c>
      <c r="Q507" s="11" t="s">
        <v>44</v>
      </c>
      <c r="R507" s="11" t="s">
        <v>45</v>
      </c>
      <c r="S507" s="11" t="s">
        <v>44</v>
      </c>
      <c r="T507" s="11" t="s">
        <v>44</v>
      </c>
      <c r="U507" s="11" t="s">
        <v>44</v>
      </c>
      <c r="W507" s="11" t="s">
        <v>46</v>
      </c>
      <c r="X507" s="11" t="s">
        <v>47</v>
      </c>
      <c r="Y507" s="11" t="s">
        <v>58</v>
      </c>
      <c r="Z507" s="11">
        <v>81985581268</v>
      </c>
      <c r="AA507" s="11" t="s">
        <v>1360</v>
      </c>
      <c r="AB507" s="11"/>
      <c r="AC507" s="11"/>
      <c r="AD507" s="11" t="b">
        <v>0</v>
      </c>
      <c r="AF507" s="11"/>
      <c r="AG507" s="11"/>
      <c r="AH507" s="11"/>
      <c r="AI507" s="11"/>
    </row>
    <row r="508" ht="12.5" spans="1:35">
      <c r="A508" s="177">
        <v>45169.4322640741</v>
      </c>
      <c r="B508" s="11" t="s">
        <v>1229</v>
      </c>
      <c r="C508" s="277" t="s">
        <v>1230</v>
      </c>
      <c r="D508" s="19">
        <v>700009756810909</v>
      </c>
      <c r="E508" s="18" t="s">
        <v>1817</v>
      </c>
      <c r="F508" s="11" t="s">
        <v>40</v>
      </c>
      <c r="G508" s="11" t="s">
        <v>54</v>
      </c>
      <c r="H508" s="24">
        <v>32128</v>
      </c>
      <c r="I508" s="234" t="s">
        <v>97</v>
      </c>
      <c r="J508" s="11" t="s">
        <v>438</v>
      </c>
      <c r="K508" s="108"/>
      <c r="M508" s="11" t="s">
        <v>1818</v>
      </c>
      <c r="N508" s="11" t="s">
        <v>43</v>
      </c>
      <c r="O508" s="11" t="s">
        <v>44</v>
      </c>
      <c r="P508" s="11" t="s">
        <v>44</v>
      </c>
      <c r="Q508" s="11" t="s">
        <v>45</v>
      </c>
      <c r="R508" s="11" t="s">
        <v>45</v>
      </c>
      <c r="S508" s="11" t="s">
        <v>45</v>
      </c>
      <c r="T508" s="11" t="s">
        <v>44</v>
      </c>
      <c r="U508" s="11" t="s">
        <v>45</v>
      </c>
      <c r="V508" s="24">
        <v>45170</v>
      </c>
      <c r="W508" s="11" t="s">
        <v>46</v>
      </c>
      <c r="X508" s="11" t="s">
        <v>47</v>
      </c>
      <c r="Y508" s="11" t="s">
        <v>58</v>
      </c>
      <c r="Z508" s="11">
        <v>81997557343</v>
      </c>
      <c r="AA508" s="11" t="s">
        <v>1360</v>
      </c>
      <c r="AB508" s="11" t="s">
        <v>1819</v>
      </c>
      <c r="AC508" s="11" t="s">
        <v>256</v>
      </c>
      <c r="AD508" s="11" t="b">
        <v>0</v>
      </c>
      <c r="AF508" s="11" t="s">
        <v>1820</v>
      </c>
      <c r="AG508" s="11" t="s">
        <v>1821</v>
      </c>
      <c r="AH508" s="40" t="s">
        <v>1822</v>
      </c>
      <c r="AI508" s="11"/>
    </row>
    <row r="509" ht="12.5" spans="1:35">
      <c r="A509" s="177">
        <v>45169.4505483565</v>
      </c>
      <c r="B509" s="11" t="s">
        <v>1823</v>
      </c>
      <c r="C509" s="277" t="s">
        <v>1824</v>
      </c>
      <c r="D509" s="19">
        <v>704703754695933</v>
      </c>
      <c r="E509" s="18" t="s">
        <v>1825</v>
      </c>
      <c r="F509" s="11" t="s">
        <v>40</v>
      </c>
      <c r="G509" s="11" t="s">
        <v>54</v>
      </c>
      <c r="H509" s="24">
        <v>32901</v>
      </c>
      <c r="I509" s="277" t="s">
        <v>1826</v>
      </c>
      <c r="J509" s="11" t="s">
        <v>42</v>
      </c>
      <c r="K509" s="108" t="s">
        <v>74</v>
      </c>
      <c r="N509" s="11" t="s">
        <v>43</v>
      </c>
      <c r="O509" s="11" t="s">
        <v>96</v>
      </c>
      <c r="P509" s="11" t="s">
        <v>56</v>
      </c>
      <c r="Q509" s="11" t="s">
        <v>44</v>
      </c>
      <c r="R509" s="11" t="s">
        <v>45</v>
      </c>
      <c r="S509" s="11" t="s">
        <v>83</v>
      </c>
      <c r="T509" s="11" t="s">
        <v>44</v>
      </c>
      <c r="U509" s="11" t="s">
        <v>45</v>
      </c>
      <c r="V509" s="24">
        <v>45170</v>
      </c>
      <c r="W509" s="11" t="s">
        <v>46</v>
      </c>
      <c r="X509" s="11" t="s">
        <v>47</v>
      </c>
      <c r="Y509" s="11" t="s">
        <v>58</v>
      </c>
      <c r="Z509" s="11">
        <v>81999265625</v>
      </c>
      <c r="AA509" s="11" t="s">
        <v>91</v>
      </c>
      <c r="AB509" s="11" t="s">
        <v>98</v>
      </c>
      <c r="AC509" s="11"/>
      <c r="AD509" s="11" t="b">
        <v>0</v>
      </c>
      <c r="AF509" s="11" t="s">
        <v>1827</v>
      </c>
      <c r="AG509" s="11" t="s">
        <v>1828</v>
      </c>
      <c r="AH509" s="11"/>
      <c r="AI509" s="11"/>
    </row>
    <row r="510" ht="12.5" spans="1:35">
      <c r="A510" s="177">
        <v>45169.7764653819</v>
      </c>
      <c r="B510" s="11" t="s">
        <v>1829</v>
      </c>
      <c r="C510" s="277" t="s">
        <v>1830</v>
      </c>
      <c r="D510" s="19">
        <v>702805654905760</v>
      </c>
      <c r="E510" s="18" t="s">
        <v>1831</v>
      </c>
      <c r="F510" s="11" t="s">
        <v>40</v>
      </c>
      <c r="G510" s="11" t="s">
        <v>88</v>
      </c>
      <c r="H510" s="24">
        <v>31807</v>
      </c>
      <c r="I510" s="277" t="s">
        <v>1832</v>
      </c>
      <c r="J510" s="11" t="s">
        <v>42</v>
      </c>
      <c r="K510" s="108" t="s">
        <v>302</v>
      </c>
      <c r="N510" s="11" t="s">
        <v>43</v>
      </c>
      <c r="O510" s="11" t="s">
        <v>96</v>
      </c>
      <c r="P510" s="11" t="s">
        <v>66</v>
      </c>
      <c r="Q510" s="11" t="s">
        <v>45</v>
      </c>
      <c r="R510" s="11" t="s">
        <v>45</v>
      </c>
      <c r="S510" s="11" t="s">
        <v>44</v>
      </c>
      <c r="T510" s="11" t="s">
        <v>44</v>
      </c>
      <c r="U510" s="11" t="s">
        <v>45</v>
      </c>
      <c r="V510" s="24">
        <v>45170</v>
      </c>
      <c r="W510" s="11" t="s">
        <v>46</v>
      </c>
      <c r="X510" s="11" t="s">
        <v>203</v>
      </c>
      <c r="Y510" s="11" t="s">
        <v>58</v>
      </c>
      <c r="Z510" s="11">
        <v>81996276565</v>
      </c>
      <c r="AA510" s="11" t="s">
        <v>1360</v>
      </c>
      <c r="AB510" s="11" t="s">
        <v>49</v>
      </c>
      <c r="AC510" s="11" t="s">
        <v>106</v>
      </c>
      <c r="AD510" s="11" t="b">
        <v>1</v>
      </c>
      <c r="AE510" s="11" t="s">
        <v>137</v>
      </c>
      <c r="AF510" s="11" t="s">
        <v>1833</v>
      </c>
      <c r="AG510" s="11"/>
      <c r="AH510" s="11" t="s">
        <v>1834</v>
      </c>
      <c r="AI510" s="11"/>
    </row>
    <row r="511" ht="12.5" spans="1:35">
      <c r="A511" s="177">
        <v>45170.3944447917</v>
      </c>
      <c r="B511" s="11" t="s">
        <v>1829</v>
      </c>
      <c r="C511" s="277" t="s">
        <v>1830</v>
      </c>
      <c r="D511" s="19">
        <v>702805654905760</v>
      </c>
      <c r="E511" s="18" t="s">
        <v>1835</v>
      </c>
      <c r="F511" s="11" t="s">
        <v>40</v>
      </c>
      <c r="G511" s="11" t="s">
        <v>88</v>
      </c>
      <c r="H511" s="24">
        <v>31807</v>
      </c>
      <c r="I511" s="277" t="s">
        <v>1832</v>
      </c>
      <c r="J511" s="11" t="s">
        <v>42</v>
      </c>
      <c r="K511" s="108" t="s">
        <v>302</v>
      </c>
      <c r="N511" s="11" t="s">
        <v>95</v>
      </c>
      <c r="O511" s="11" t="s">
        <v>44</v>
      </c>
      <c r="P511" s="11" t="s">
        <v>44</v>
      </c>
      <c r="Q511" s="11" t="s">
        <v>44</v>
      </c>
      <c r="R511" s="11" t="s">
        <v>45</v>
      </c>
      <c r="S511" s="11" t="s">
        <v>83</v>
      </c>
      <c r="T511" s="11" t="s">
        <v>44</v>
      </c>
      <c r="U511" s="11" t="s">
        <v>45</v>
      </c>
      <c r="V511" s="24">
        <v>45172</v>
      </c>
      <c r="W511" s="11" t="s">
        <v>46</v>
      </c>
      <c r="X511" s="11" t="s">
        <v>97</v>
      </c>
      <c r="Y511" s="11" t="s">
        <v>97</v>
      </c>
      <c r="Z511" s="11">
        <v>81996276565</v>
      </c>
      <c r="AA511" s="11" t="s">
        <v>103</v>
      </c>
      <c r="AB511" s="11" t="s">
        <v>98</v>
      </c>
      <c r="AC511" s="11"/>
      <c r="AD511" s="11" t="b">
        <v>0</v>
      </c>
      <c r="AF511" s="11" t="s">
        <v>1836</v>
      </c>
      <c r="AG511" s="11" t="s">
        <v>1837</v>
      </c>
      <c r="AH511" s="11" t="s">
        <v>1838</v>
      </c>
      <c r="AI511" s="11"/>
    </row>
    <row r="512" ht="12.5" spans="1:35">
      <c r="A512" s="177">
        <v>45170.3969839352</v>
      </c>
      <c r="B512" s="11" t="s">
        <v>1839</v>
      </c>
      <c r="C512" s="19">
        <v>10323624480</v>
      </c>
      <c r="D512" s="19">
        <v>708005352616827</v>
      </c>
      <c r="E512" s="18" t="s">
        <v>1840</v>
      </c>
      <c r="F512" s="11" t="s">
        <v>225</v>
      </c>
      <c r="G512" s="11" t="s">
        <v>54</v>
      </c>
      <c r="H512" s="24">
        <v>34631</v>
      </c>
      <c r="I512" s="277" t="s">
        <v>1841</v>
      </c>
      <c r="J512" s="11" t="s">
        <v>42</v>
      </c>
      <c r="K512" s="108" t="s">
        <v>427</v>
      </c>
      <c r="N512" s="11" t="s">
        <v>43</v>
      </c>
      <c r="O512" s="11" t="s">
        <v>96</v>
      </c>
      <c r="P512" s="11" t="s">
        <v>56</v>
      </c>
      <c r="Q512" s="11" t="s">
        <v>44</v>
      </c>
      <c r="R512" s="11" t="s">
        <v>45</v>
      </c>
      <c r="S512" s="11" t="s">
        <v>83</v>
      </c>
      <c r="T512" s="11" t="s">
        <v>44</v>
      </c>
      <c r="U512" s="11" t="s">
        <v>45</v>
      </c>
      <c r="V512" s="24">
        <v>45171</v>
      </c>
      <c r="W512" s="11" t="s">
        <v>46</v>
      </c>
      <c r="X512" s="11" t="s">
        <v>47</v>
      </c>
      <c r="Y512" s="11" t="s">
        <v>58</v>
      </c>
      <c r="Z512" s="11">
        <v>81995236094</v>
      </c>
      <c r="AA512" s="11" t="s">
        <v>1267</v>
      </c>
      <c r="AB512" s="11" t="s">
        <v>98</v>
      </c>
      <c r="AC512" s="11"/>
      <c r="AD512" s="11" t="b">
        <v>0</v>
      </c>
      <c r="AF512" s="11" t="s">
        <v>1842</v>
      </c>
      <c r="AG512" s="11" t="s">
        <v>1843</v>
      </c>
      <c r="AH512" s="11" t="s">
        <v>1844</v>
      </c>
      <c r="AI512" s="11"/>
    </row>
    <row r="513" ht="12.5" spans="1:35">
      <c r="A513" s="177">
        <v>45170.6296551157</v>
      </c>
      <c r="B513" s="11" t="s">
        <v>1401</v>
      </c>
      <c r="C513" s="19">
        <v>10966441427</v>
      </c>
      <c r="D513" s="19">
        <v>709604646515272</v>
      </c>
      <c r="E513" s="18" t="s">
        <v>1845</v>
      </c>
      <c r="F513" s="11" t="s">
        <v>40</v>
      </c>
      <c r="G513" s="11" t="s">
        <v>54</v>
      </c>
      <c r="H513" s="24">
        <v>36310</v>
      </c>
      <c r="I513" s="277" t="s">
        <v>1377</v>
      </c>
      <c r="J513" s="11" t="s">
        <v>42</v>
      </c>
      <c r="K513" s="108" t="s">
        <v>399</v>
      </c>
      <c r="N513" s="11" t="s">
        <v>43</v>
      </c>
      <c r="O513" s="11" t="s">
        <v>44</v>
      </c>
      <c r="P513" s="11" t="s">
        <v>44</v>
      </c>
      <c r="Q513" s="11" t="s">
        <v>44</v>
      </c>
      <c r="R513" s="11" t="s">
        <v>45</v>
      </c>
      <c r="S513" s="11" t="s">
        <v>44</v>
      </c>
      <c r="T513" s="11" t="s">
        <v>44</v>
      </c>
      <c r="U513" s="11" t="s">
        <v>45</v>
      </c>
      <c r="V513" s="24">
        <v>45171</v>
      </c>
      <c r="W513" s="11" t="s">
        <v>46</v>
      </c>
      <c r="X513" s="11" t="s">
        <v>47</v>
      </c>
      <c r="Y513" s="11" t="s">
        <v>58</v>
      </c>
      <c r="Z513" s="11">
        <v>81998490815</v>
      </c>
      <c r="AA513" s="11" t="s">
        <v>1360</v>
      </c>
      <c r="AB513" s="11" t="s">
        <v>49</v>
      </c>
      <c r="AC513" s="11" t="s">
        <v>50</v>
      </c>
      <c r="AD513" s="11" t="b">
        <v>0</v>
      </c>
      <c r="AF513" s="11" t="s">
        <v>1846</v>
      </c>
      <c r="AG513" s="11" t="s">
        <v>1847</v>
      </c>
      <c r="AH513" s="11" t="s">
        <v>1848</v>
      </c>
      <c r="AI513" s="11"/>
    </row>
    <row r="514" ht="12.5" spans="1:35">
      <c r="A514" s="177">
        <v>45170.7532978356</v>
      </c>
      <c r="B514" s="11" t="s">
        <v>1849</v>
      </c>
      <c r="C514" s="19">
        <v>70301390460</v>
      </c>
      <c r="D514" s="19">
        <v>706800705282925</v>
      </c>
      <c r="E514" s="18" t="s">
        <v>1850</v>
      </c>
      <c r="F514" s="11" t="s">
        <v>40</v>
      </c>
      <c r="G514" s="11" t="s">
        <v>54</v>
      </c>
      <c r="H514" s="24">
        <v>35388</v>
      </c>
      <c r="I514" s="277" t="s">
        <v>1851</v>
      </c>
      <c r="J514" s="11" t="s">
        <v>42</v>
      </c>
      <c r="K514" s="108" t="s">
        <v>74</v>
      </c>
      <c r="N514" s="11" t="s">
        <v>43</v>
      </c>
      <c r="O514" s="11" t="s">
        <v>44</v>
      </c>
      <c r="P514" s="11" t="s">
        <v>44</v>
      </c>
      <c r="Q514" s="11" t="s">
        <v>44</v>
      </c>
      <c r="R514" s="11" t="s">
        <v>45</v>
      </c>
      <c r="S514" s="11" t="s">
        <v>44</v>
      </c>
      <c r="T514" s="11" t="s">
        <v>44</v>
      </c>
      <c r="U514" s="11" t="s">
        <v>44</v>
      </c>
      <c r="W514" s="11" t="s">
        <v>46</v>
      </c>
      <c r="X514" s="11" t="s">
        <v>203</v>
      </c>
      <c r="Y514" s="11" t="s">
        <v>58</v>
      </c>
      <c r="Z514" s="11">
        <v>81979127456</v>
      </c>
      <c r="AA514" s="11" t="s">
        <v>1360</v>
      </c>
      <c r="AB514" s="11"/>
      <c r="AC514" s="11"/>
      <c r="AD514" s="11" t="b">
        <v>0</v>
      </c>
      <c r="AF514" s="11"/>
      <c r="AG514" s="11"/>
      <c r="AH514" s="11"/>
      <c r="AI514" s="11"/>
    </row>
    <row r="515" ht="12.5" spans="1:35">
      <c r="A515" s="177">
        <v>45170.764500081</v>
      </c>
      <c r="B515" s="11" t="s">
        <v>1229</v>
      </c>
      <c r="C515" s="277" t="s">
        <v>1230</v>
      </c>
      <c r="D515" s="19">
        <v>700009756810909</v>
      </c>
      <c r="E515" s="18" t="s">
        <v>1817</v>
      </c>
      <c r="F515" s="11" t="s">
        <v>40</v>
      </c>
      <c r="G515" s="11" t="s">
        <v>54</v>
      </c>
      <c r="H515" s="24">
        <v>32128</v>
      </c>
      <c r="I515" s="234" t="s">
        <v>97</v>
      </c>
      <c r="J515" s="11" t="s">
        <v>438</v>
      </c>
      <c r="K515" s="108"/>
      <c r="M515" s="11" t="s">
        <v>1818</v>
      </c>
      <c r="N515" s="11" t="s">
        <v>95</v>
      </c>
      <c r="O515" s="11" t="s">
        <v>44</v>
      </c>
      <c r="P515" s="11" t="s">
        <v>44</v>
      </c>
      <c r="Q515" s="11" t="s">
        <v>45</v>
      </c>
      <c r="R515" s="11" t="s">
        <v>45</v>
      </c>
      <c r="S515" s="11" t="s">
        <v>45</v>
      </c>
      <c r="T515" s="11" t="s">
        <v>44</v>
      </c>
      <c r="U515" s="11" t="s">
        <v>45</v>
      </c>
      <c r="V515" s="24">
        <v>45171</v>
      </c>
      <c r="W515" s="11" t="s">
        <v>57</v>
      </c>
      <c r="X515" s="11" t="s">
        <v>97</v>
      </c>
      <c r="Y515" s="11" t="s">
        <v>97</v>
      </c>
      <c r="Z515" s="11">
        <v>81997557343</v>
      </c>
      <c r="AA515" s="11" t="s">
        <v>1360</v>
      </c>
      <c r="AB515" s="11" t="s">
        <v>49</v>
      </c>
      <c r="AC515" s="11" t="s">
        <v>75</v>
      </c>
      <c r="AD515" s="11" t="b">
        <v>1</v>
      </c>
      <c r="AE515" s="11" t="s">
        <v>137</v>
      </c>
      <c r="AF515" s="11" t="s">
        <v>1852</v>
      </c>
      <c r="AG515" s="11" t="s">
        <v>1853</v>
      </c>
      <c r="AH515" s="11" t="s">
        <v>1854</v>
      </c>
      <c r="AI515" s="11"/>
    </row>
    <row r="516" ht="12.5" spans="1:35">
      <c r="A516" s="177">
        <v>45171.3560546181</v>
      </c>
      <c r="B516" s="11" t="s">
        <v>1855</v>
      </c>
      <c r="C516" s="277" t="s">
        <v>1856</v>
      </c>
      <c r="D516" s="19">
        <v>708408253345263</v>
      </c>
      <c r="E516" s="18" t="s">
        <v>1857</v>
      </c>
      <c r="F516" s="11" t="s">
        <v>40</v>
      </c>
      <c r="G516" s="11" t="s">
        <v>54</v>
      </c>
      <c r="H516" s="24">
        <v>33655</v>
      </c>
      <c r="I516" s="277" t="s">
        <v>1097</v>
      </c>
      <c r="J516" s="11" t="s">
        <v>42</v>
      </c>
      <c r="K516" s="108" t="s">
        <v>399</v>
      </c>
      <c r="N516" s="11" t="s">
        <v>43</v>
      </c>
      <c r="O516" s="11" t="s">
        <v>44</v>
      </c>
      <c r="P516" s="11" t="s">
        <v>44</v>
      </c>
      <c r="Q516" s="11" t="s">
        <v>44</v>
      </c>
      <c r="R516" s="11" t="s">
        <v>45</v>
      </c>
      <c r="S516" s="11" t="s">
        <v>83</v>
      </c>
      <c r="T516" s="11" t="s">
        <v>44</v>
      </c>
      <c r="U516" s="11" t="s">
        <v>45</v>
      </c>
      <c r="V516" s="24">
        <v>45172</v>
      </c>
      <c r="W516" s="11" t="s">
        <v>46</v>
      </c>
      <c r="X516" s="11" t="s">
        <v>303</v>
      </c>
      <c r="Y516" s="11" t="s">
        <v>68</v>
      </c>
      <c r="Z516" s="11">
        <v>81987536216</v>
      </c>
      <c r="AA516" s="11" t="s">
        <v>113</v>
      </c>
      <c r="AB516" s="11" t="s">
        <v>49</v>
      </c>
      <c r="AC516" s="11"/>
      <c r="AD516" s="11" t="b">
        <v>0</v>
      </c>
      <c r="AF516" s="11" t="s">
        <v>1858</v>
      </c>
      <c r="AG516" s="11" t="s">
        <v>1859</v>
      </c>
      <c r="AH516" s="11"/>
      <c r="AI516" s="11"/>
    </row>
    <row r="517" ht="12.5" spans="1:35">
      <c r="A517" s="177">
        <v>45171.55561125</v>
      </c>
      <c r="B517" s="11" t="s">
        <v>1241</v>
      </c>
      <c r="C517" s="19">
        <v>71206260432</v>
      </c>
      <c r="D517" s="19">
        <v>898004112430525</v>
      </c>
      <c r="E517" s="18" t="s">
        <v>1860</v>
      </c>
      <c r="F517" s="11" t="s">
        <v>40</v>
      </c>
      <c r="G517" s="11" t="s">
        <v>54</v>
      </c>
      <c r="H517" s="24">
        <v>36065</v>
      </c>
      <c r="I517" s="234" t="s">
        <v>110</v>
      </c>
      <c r="J517" s="40" t="s">
        <v>1861</v>
      </c>
      <c r="K517" s="108"/>
      <c r="N517" s="11" t="s">
        <v>43</v>
      </c>
      <c r="O517" s="11" t="s">
        <v>65</v>
      </c>
      <c r="P517" s="11" t="s">
        <v>66</v>
      </c>
      <c r="Q517" s="11" t="s">
        <v>44</v>
      </c>
      <c r="R517" s="11" t="s">
        <v>45</v>
      </c>
      <c r="S517" s="11" t="s">
        <v>45</v>
      </c>
      <c r="T517" s="11" t="s">
        <v>44</v>
      </c>
      <c r="U517" s="11" t="s">
        <v>45</v>
      </c>
      <c r="V517" s="24">
        <v>45172</v>
      </c>
      <c r="W517" s="11" t="s">
        <v>46</v>
      </c>
      <c r="X517" s="11" t="s">
        <v>303</v>
      </c>
      <c r="Y517" s="11" t="s">
        <v>68</v>
      </c>
      <c r="Z517" s="11">
        <v>81986973090</v>
      </c>
      <c r="AA517" s="11" t="s">
        <v>113</v>
      </c>
      <c r="AB517" s="11" t="s">
        <v>98</v>
      </c>
      <c r="AC517" s="11"/>
      <c r="AD517" s="11" t="b">
        <v>0</v>
      </c>
      <c r="AF517" s="11" t="s">
        <v>1862</v>
      </c>
      <c r="AG517" s="11" t="s">
        <v>1863</v>
      </c>
      <c r="AH517" s="11"/>
      <c r="AI517" s="11"/>
    </row>
    <row r="518" ht="12.5" spans="1:35">
      <c r="A518" s="177">
        <v>45171.7311347569</v>
      </c>
      <c r="B518" s="11" t="s">
        <v>1864</v>
      </c>
      <c r="C518" s="277" t="s">
        <v>1865</v>
      </c>
      <c r="D518" s="19">
        <v>703002893021874</v>
      </c>
      <c r="E518" s="18" t="s">
        <v>1866</v>
      </c>
      <c r="F518" s="11" t="s">
        <v>225</v>
      </c>
      <c r="G518" s="11" t="s">
        <v>54</v>
      </c>
      <c r="H518" s="24">
        <v>30663</v>
      </c>
      <c r="I518" s="277" t="s">
        <v>1867</v>
      </c>
      <c r="J518" s="11" t="s">
        <v>42</v>
      </c>
      <c r="K518" s="108" t="s">
        <v>155</v>
      </c>
      <c r="N518" s="11" t="s">
        <v>43</v>
      </c>
      <c r="O518" s="11" t="s">
        <v>44</v>
      </c>
      <c r="P518" s="11" t="s">
        <v>44</v>
      </c>
      <c r="Q518" s="11" t="s">
        <v>45</v>
      </c>
      <c r="R518" s="11" t="s">
        <v>45</v>
      </c>
      <c r="S518" s="11" t="s">
        <v>45</v>
      </c>
      <c r="T518" s="11" t="s">
        <v>44</v>
      </c>
      <c r="U518" s="11" t="s">
        <v>45</v>
      </c>
      <c r="V518" s="24">
        <v>45172</v>
      </c>
      <c r="W518" s="11" t="s">
        <v>46</v>
      </c>
      <c r="X518" s="11" t="s">
        <v>303</v>
      </c>
      <c r="Y518" s="11" t="s">
        <v>68</v>
      </c>
      <c r="Z518" s="11">
        <v>81998853817</v>
      </c>
      <c r="AA518" s="11" t="s">
        <v>113</v>
      </c>
      <c r="AB518" s="11" t="s">
        <v>49</v>
      </c>
      <c r="AC518" s="11" t="s">
        <v>50</v>
      </c>
      <c r="AD518" s="11" t="b">
        <v>0</v>
      </c>
      <c r="AF518" s="11" t="s">
        <v>1868</v>
      </c>
      <c r="AG518" s="11" t="s">
        <v>1869</v>
      </c>
      <c r="AH518" s="11" t="s">
        <v>1870</v>
      </c>
      <c r="AI518" s="11"/>
    </row>
    <row r="519" ht="13" spans="1:35">
      <c r="A519" s="177">
        <v>45171.7388142245</v>
      </c>
      <c r="B519" s="11" t="s">
        <v>1229</v>
      </c>
      <c r="C519" s="277" t="s">
        <v>1230</v>
      </c>
      <c r="D519" s="19">
        <v>700009756810909</v>
      </c>
      <c r="F519" s="11" t="s">
        <v>40</v>
      </c>
      <c r="G519" s="11" t="s">
        <v>54</v>
      </c>
      <c r="H519" s="24">
        <v>32128</v>
      </c>
      <c r="I519" s="234" t="s">
        <v>110</v>
      </c>
      <c r="J519" s="11" t="s">
        <v>438</v>
      </c>
      <c r="K519" s="108"/>
      <c r="M519" s="11" t="s">
        <v>1818</v>
      </c>
      <c r="N519" s="11" t="s">
        <v>95</v>
      </c>
      <c r="O519" s="11" t="s">
        <v>44</v>
      </c>
      <c r="P519" s="11" t="s">
        <v>44</v>
      </c>
      <c r="Q519" s="11" t="s">
        <v>44</v>
      </c>
      <c r="R519" s="11" t="s">
        <v>45</v>
      </c>
      <c r="S519" s="11" t="s">
        <v>45</v>
      </c>
      <c r="T519" s="11" t="s">
        <v>44</v>
      </c>
      <c r="U519" s="11" t="s">
        <v>45</v>
      </c>
      <c r="V519" s="24">
        <v>45173</v>
      </c>
      <c r="W519" s="11" t="s">
        <v>57</v>
      </c>
      <c r="X519" s="11" t="s">
        <v>97</v>
      </c>
      <c r="Y519" s="11" t="s">
        <v>97</v>
      </c>
      <c r="Z519" s="11">
        <v>81997557343</v>
      </c>
      <c r="AA519" s="11" t="s">
        <v>113</v>
      </c>
      <c r="AB519" s="11" t="s">
        <v>49</v>
      </c>
      <c r="AC519" s="11" t="s">
        <v>50</v>
      </c>
      <c r="AD519" s="11" t="b">
        <v>0</v>
      </c>
      <c r="AF519" s="11" t="s">
        <v>1871</v>
      </c>
      <c r="AG519" s="11" t="s">
        <v>1872</v>
      </c>
      <c r="AH519" s="11" t="s">
        <v>1873</v>
      </c>
      <c r="AI519" s="11"/>
    </row>
    <row r="520" ht="12.5" spans="1:35">
      <c r="A520" s="177">
        <v>45172.6793751273</v>
      </c>
      <c r="B520" s="11" t="s">
        <v>1855</v>
      </c>
      <c r="C520" s="277" t="s">
        <v>1856</v>
      </c>
      <c r="D520" s="19">
        <v>708408253345263</v>
      </c>
      <c r="F520" s="11" t="s">
        <v>40</v>
      </c>
      <c r="G520" s="11" t="s">
        <v>54</v>
      </c>
      <c r="H520" s="24">
        <v>33655</v>
      </c>
      <c r="I520" s="277" t="s">
        <v>1097</v>
      </c>
      <c r="J520" s="11" t="s">
        <v>42</v>
      </c>
      <c r="K520" s="108" t="s">
        <v>399</v>
      </c>
      <c r="N520" s="11" t="s">
        <v>95</v>
      </c>
      <c r="O520" s="11" t="s">
        <v>44</v>
      </c>
      <c r="P520" s="11" t="s">
        <v>44</v>
      </c>
      <c r="Q520" s="11" t="s">
        <v>44</v>
      </c>
      <c r="R520" s="11" t="s">
        <v>45</v>
      </c>
      <c r="S520" s="11" t="s">
        <v>45</v>
      </c>
      <c r="T520" s="11" t="s">
        <v>44</v>
      </c>
      <c r="U520" s="11" t="s">
        <v>44</v>
      </c>
      <c r="W520" s="11" t="s">
        <v>57</v>
      </c>
      <c r="X520" s="11" t="s">
        <v>97</v>
      </c>
      <c r="Y520" s="11" t="s">
        <v>97</v>
      </c>
      <c r="Z520" s="11">
        <v>81987536216</v>
      </c>
      <c r="AA520" s="11" t="s">
        <v>1360</v>
      </c>
      <c r="AB520" s="11"/>
      <c r="AC520" s="11"/>
      <c r="AD520" s="11" t="b">
        <v>0</v>
      </c>
      <c r="AF520" s="11"/>
      <c r="AG520" s="11"/>
      <c r="AH520" s="11"/>
      <c r="AI520" s="11"/>
    </row>
    <row r="521" ht="12.5" spans="1:35">
      <c r="A521" s="177">
        <v>45173.4450639583</v>
      </c>
      <c r="B521" s="11" t="s">
        <v>1874</v>
      </c>
      <c r="C521" s="19">
        <v>10640834477</v>
      </c>
      <c r="D521" s="19">
        <v>702808142394360</v>
      </c>
      <c r="E521" s="18" t="s">
        <v>1875</v>
      </c>
      <c r="F521" s="11" t="s">
        <v>225</v>
      </c>
      <c r="G521" s="11" t="s">
        <v>41</v>
      </c>
      <c r="H521" s="24">
        <v>34642</v>
      </c>
      <c r="I521" s="277" t="s">
        <v>1876</v>
      </c>
      <c r="J521" s="11" t="s">
        <v>42</v>
      </c>
      <c r="K521" s="108" t="s">
        <v>202</v>
      </c>
      <c r="N521" s="11" t="s">
        <v>43</v>
      </c>
      <c r="O521" s="11" t="s">
        <v>96</v>
      </c>
      <c r="P521" s="11" t="s">
        <v>66</v>
      </c>
      <c r="Q521" s="11" t="s">
        <v>44</v>
      </c>
      <c r="R521" s="11" t="s">
        <v>45</v>
      </c>
      <c r="S521" s="11" t="s">
        <v>44</v>
      </c>
      <c r="T521" s="11" t="s">
        <v>44</v>
      </c>
      <c r="U521" s="11" t="s">
        <v>45</v>
      </c>
      <c r="V521" s="24">
        <v>45174</v>
      </c>
      <c r="W521" s="11" t="s">
        <v>57</v>
      </c>
      <c r="X521" s="11" t="s">
        <v>47</v>
      </c>
      <c r="Y521" s="11" t="s">
        <v>58</v>
      </c>
      <c r="Z521" s="237">
        <v>81995693385</v>
      </c>
      <c r="AA521" s="11" t="s">
        <v>1360</v>
      </c>
      <c r="AB521" s="11" t="s">
        <v>49</v>
      </c>
      <c r="AC521" s="11" t="s">
        <v>256</v>
      </c>
      <c r="AD521" s="11" t="b">
        <v>0</v>
      </c>
      <c r="AF521" s="11" t="s">
        <v>1877</v>
      </c>
      <c r="AG521" s="75" t="s">
        <v>1878</v>
      </c>
      <c r="AH521" s="11" t="s">
        <v>1879</v>
      </c>
      <c r="AI521" s="11"/>
    </row>
    <row r="522" ht="12.5" spans="1:35">
      <c r="A522" s="177">
        <v>45173.7175461458</v>
      </c>
      <c r="B522" s="11" t="s">
        <v>1880</v>
      </c>
      <c r="C522" s="19">
        <v>71688931490</v>
      </c>
      <c r="D522" s="19">
        <v>700801400566786</v>
      </c>
      <c r="E522" s="18" t="s">
        <v>1881</v>
      </c>
      <c r="F522" s="11" t="s">
        <v>40</v>
      </c>
      <c r="G522" s="11" t="s">
        <v>54</v>
      </c>
      <c r="H522" s="24">
        <v>37667</v>
      </c>
      <c r="I522" s="277" t="s">
        <v>1815</v>
      </c>
      <c r="J522" s="11" t="s">
        <v>42</v>
      </c>
      <c r="K522" s="108" t="s">
        <v>302</v>
      </c>
      <c r="N522" s="11" t="s">
        <v>43</v>
      </c>
      <c r="O522" s="11" t="s">
        <v>44</v>
      </c>
      <c r="P522" s="11" t="s">
        <v>44</v>
      </c>
      <c r="Q522" s="11" t="s">
        <v>44</v>
      </c>
      <c r="R522" s="11" t="s">
        <v>45</v>
      </c>
      <c r="S522" s="11" t="s">
        <v>45</v>
      </c>
      <c r="T522" s="11" t="s">
        <v>44</v>
      </c>
      <c r="U522" s="11" t="s">
        <v>44</v>
      </c>
      <c r="W522" s="11" t="s">
        <v>46</v>
      </c>
      <c r="X522" s="11" t="s">
        <v>47</v>
      </c>
      <c r="Y522" s="11" t="s">
        <v>58</v>
      </c>
      <c r="Z522" s="11">
        <v>81984598026</v>
      </c>
      <c r="AA522" s="11" t="s">
        <v>1360</v>
      </c>
      <c r="AB522" s="11"/>
      <c r="AC522" s="11"/>
      <c r="AD522" s="11" t="b">
        <v>0</v>
      </c>
      <c r="AF522" s="11"/>
      <c r="AG522" s="11"/>
      <c r="AH522" s="11"/>
      <c r="AI522" s="11"/>
    </row>
    <row r="523" ht="12.5" spans="1:35">
      <c r="A523" s="177">
        <v>45175.3694620486</v>
      </c>
      <c r="B523" s="11" t="s">
        <v>1874</v>
      </c>
      <c r="C523" s="19">
        <v>10640834477</v>
      </c>
      <c r="D523" s="19">
        <v>702808142394360</v>
      </c>
      <c r="F523" s="11" t="s">
        <v>225</v>
      </c>
      <c r="G523" s="11" t="s">
        <v>41</v>
      </c>
      <c r="H523" s="24">
        <v>34642</v>
      </c>
      <c r="I523" s="277" t="s">
        <v>1876</v>
      </c>
      <c r="J523" s="11" t="s">
        <v>42</v>
      </c>
      <c r="K523" s="108" t="s">
        <v>202</v>
      </c>
      <c r="N523" s="11" t="s">
        <v>95</v>
      </c>
      <c r="O523" s="11" t="s">
        <v>44</v>
      </c>
      <c r="P523" s="11" t="s">
        <v>44</v>
      </c>
      <c r="Q523" s="11" t="s">
        <v>44</v>
      </c>
      <c r="R523" s="11" t="s">
        <v>45</v>
      </c>
      <c r="S523" s="11" t="s">
        <v>45</v>
      </c>
      <c r="T523" s="11" t="s">
        <v>44</v>
      </c>
      <c r="U523" s="11" t="s">
        <v>45</v>
      </c>
      <c r="V523" s="24">
        <v>45177</v>
      </c>
      <c r="W523" s="11" t="s">
        <v>57</v>
      </c>
      <c r="X523" s="11" t="s">
        <v>97</v>
      </c>
      <c r="Y523" s="11" t="s">
        <v>97</v>
      </c>
      <c r="Z523" s="11">
        <v>81995693385</v>
      </c>
      <c r="AA523" s="11" t="s">
        <v>1360</v>
      </c>
      <c r="AB523" s="11" t="s">
        <v>49</v>
      </c>
      <c r="AC523" s="11" t="s">
        <v>256</v>
      </c>
      <c r="AD523" s="11" t="b">
        <v>0</v>
      </c>
      <c r="AF523" s="11" t="s">
        <v>1882</v>
      </c>
      <c r="AG523" s="11"/>
      <c r="AH523" s="11" t="s">
        <v>1883</v>
      </c>
      <c r="AI523" s="11"/>
    </row>
    <row r="524" ht="12.5" spans="1:35">
      <c r="A524" s="177">
        <v>45175.491190081</v>
      </c>
      <c r="B524" s="11" t="s">
        <v>1884</v>
      </c>
      <c r="C524" s="19">
        <v>70195446496</v>
      </c>
      <c r="D524" s="19">
        <v>700107839299990</v>
      </c>
      <c r="E524" s="18" t="s">
        <v>1885</v>
      </c>
      <c r="F524" s="11" t="s">
        <v>40</v>
      </c>
      <c r="G524" s="11" t="s">
        <v>54</v>
      </c>
      <c r="H524" s="24">
        <v>34802</v>
      </c>
      <c r="I524" s="277" t="s">
        <v>1886</v>
      </c>
      <c r="J524" s="11" t="s">
        <v>42</v>
      </c>
      <c r="K524" s="108" t="s">
        <v>1887</v>
      </c>
      <c r="N524" s="11" t="s">
        <v>43</v>
      </c>
      <c r="O524" s="11" t="s">
        <v>44</v>
      </c>
      <c r="P524" s="11" t="s">
        <v>44</v>
      </c>
      <c r="Q524" s="11" t="s">
        <v>44</v>
      </c>
      <c r="R524" s="11" t="s">
        <v>45</v>
      </c>
      <c r="S524" s="11" t="s">
        <v>45</v>
      </c>
      <c r="T524" s="11" t="s">
        <v>44</v>
      </c>
      <c r="U524" s="11" t="s">
        <v>44</v>
      </c>
      <c r="W524" s="11" t="s">
        <v>46</v>
      </c>
      <c r="X524" s="11" t="s">
        <v>47</v>
      </c>
      <c r="Y524" s="11" t="s">
        <v>58</v>
      </c>
      <c r="Z524" s="11">
        <v>81988260702</v>
      </c>
      <c r="AA524" s="11" t="s">
        <v>1360</v>
      </c>
      <c r="AB524" s="11"/>
      <c r="AC524" s="11"/>
      <c r="AD524" s="11" t="b">
        <v>0</v>
      </c>
      <c r="AF524" s="11"/>
      <c r="AG524" s="11"/>
      <c r="AH524" s="11"/>
      <c r="AI524" s="11"/>
    </row>
    <row r="525" ht="12.5" spans="1:35">
      <c r="A525" s="177">
        <v>45176.8098661458</v>
      </c>
      <c r="B525" s="11" t="s">
        <v>1762</v>
      </c>
      <c r="C525" s="19">
        <v>10094451460</v>
      </c>
      <c r="D525" s="179">
        <v>898002391102498</v>
      </c>
      <c r="E525" s="18" t="s">
        <v>1888</v>
      </c>
      <c r="F525" s="11" t="s">
        <v>40</v>
      </c>
      <c r="G525" s="11" t="s">
        <v>54</v>
      </c>
      <c r="H525" s="24">
        <v>34029</v>
      </c>
      <c r="I525" s="277" t="s">
        <v>1764</v>
      </c>
      <c r="J525" s="11" t="s">
        <v>42</v>
      </c>
      <c r="K525" s="108" t="s">
        <v>202</v>
      </c>
      <c r="N525" s="11" t="s">
        <v>43</v>
      </c>
      <c r="O525" s="11" t="s">
        <v>44</v>
      </c>
      <c r="P525" s="11" t="s">
        <v>44</v>
      </c>
      <c r="Q525" s="11" t="s">
        <v>44</v>
      </c>
      <c r="R525" s="11" t="s">
        <v>45</v>
      </c>
      <c r="S525" s="11" t="s">
        <v>44</v>
      </c>
      <c r="T525" s="11" t="s">
        <v>44</v>
      </c>
      <c r="U525" s="11" t="s">
        <v>45</v>
      </c>
      <c r="V525" s="24">
        <v>45177</v>
      </c>
      <c r="W525" s="11" t="s">
        <v>46</v>
      </c>
      <c r="X525" s="11" t="s">
        <v>303</v>
      </c>
      <c r="Y525" s="11" t="s">
        <v>58</v>
      </c>
      <c r="Z525" s="11">
        <v>81983101483</v>
      </c>
      <c r="AA525" s="11" t="s">
        <v>105</v>
      </c>
      <c r="AB525" s="11" t="s">
        <v>49</v>
      </c>
      <c r="AC525" s="11" t="s">
        <v>256</v>
      </c>
      <c r="AD525" s="11" t="b">
        <v>0</v>
      </c>
      <c r="AF525" s="11" t="s">
        <v>1889</v>
      </c>
      <c r="AG525" s="11"/>
      <c r="AH525" s="11"/>
      <c r="AI525" s="11"/>
    </row>
    <row r="526" ht="12.5" spans="1:35">
      <c r="A526" s="177">
        <v>45177.4111664005</v>
      </c>
      <c r="B526" s="11" t="s">
        <v>1874</v>
      </c>
      <c r="C526" s="19">
        <v>10640834477</v>
      </c>
      <c r="D526" s="19">
        <v>702808142394360</v>
      </c>
      <c r="F526" s="11" t="s">
        <v>225</v>
      </c>
      <c r="G526" s="11" t="s">
        <v>41</v>
      </c>
      <c r="H526" s="24">
        <v>34642</v>
      </c>
      <c r="I526" s="234" t="s">
        <v>97</v>
      </c>
      <c r="J526" s="11" t="s">
        <v>438</v>
      </c>
      <c r="K526" s="108"/>
      <c r="M526" s="11" t="s">
        <v>439</v>
      </c>
      <c r="N526" s="11" t="s">
        <v>95</v>
      </c>
      <c r="O526" s="11" t="s">
        <v>127</v>
      </c>
      <c r="P526" s="11" t="s">
        <v>44</v>
      </c>
      <c r="Q526" s="11" t="s">
        <v>44</v>
      </c>
      <c r="R526" s="11" t="s">
        <v>45</v>
      </c>
      <c r="S526" s="11" t="s">
        <v>45</v>
      </c>
      <c r="T526" s="11" t="s">
        <v>44</v>
      </c>
      <c r="U526" s="11" t="s">
        <v>44</v>
      </c>
      <c r="W526" s="11" t="s">
        <v>57</v>
      </c>
      <c r="X526" s="11" t="s">
        <v>97</v>
      </c>
      <c r="Y526" s="11" t="s">
        <v>97</v>
      </c>
      <c r="Z526" s="11">
        <v>81995693385</v>
      </c>
      <c r="AA526" s="11" t="s">
        <v>1360</v>
      </c>
      <c r="AB526" s="11"/>
      <c r="AC526" s="11"/>
      <c r="AD526" s="11" t="b">
        <v>0</v>
      </c>
      <c r="AF526" s="11"/>
      <c r="AG526" s="11"/>
      <c r="AH526" s="11"/>
      <c r="AI526" s="11"/>
    </row>
    <row r="527" ht="12.5" spans="1:35">
      <c r="A527" s="177">
        <v>45177.4679840394</v>
      </c>
      <c r="B527" s="11" t="s">
        <v>1762</v>
      </c>
      <c r="C527" s="19">
        <v>10094451460</v>
      </c>
      <c r="D527" s="19">
        <v>898002391102498</v>
      </c>
      <c r="F527" s="11" t="s">
        <v>40</v>
      </c>
      <c r="G527" s="11" t="s">
        <v>88</v>
      </c>
      <c r="H527" s="24">
        <v>34029</v>
      </c>
      <c r="I527" s="277" t="s">
        <v>1764</v>
      </c>
      <c r="J527" s="11" t="s">
        <v>42</v>
      </c>
      <c r="K527" s="108" t="s">
        <v>202</v>
      </c>
      <c r="N527" s="11" t="s">
        <v>95</v>
      </c>
      <c r="O527" s="11" t="s">
        <v>44</v>
      </c>
      <c r="P527" s="11" t="s">
        <v>44</v>
      </c>
      <c r="Q527" s="11" t="s">
        <v>44</v>
      </c>
      <c r="R527" s="11" t="s">
        <v>45</v>
      </c>
      <c r="S527" s="11" t="s">
        <v>45</v>
      </c>
      <c r="T527" s="11" t="s">
        <v>44</v>
      </c>
      <c r="U527" s="11" t="s">
        <v>44</v>
      </c>
      <c r="W527" s="11" t="s">
        <v>57</v>
      </c>
      <c r="X527" s="11" t="s">
        <v>97</v>
      </c>
      <c r="Y527" s="11" t="s">
        <v>97</v>
      </c>
      <c r="Z527" s="11">
        <v>81983101483</v>
      </c>
      <c r="AA527" s="11" t="s">
        <v>1360</v>
      </c>
      <c r="AB527" s="11"/>
      <c r="AC527" s="11"/>
      <c r="AD527" s="11" t="b">
        <v>0</v>
      </c>
      <c r="AF527" s="11"/>
      <c r="AG527" s="11"/>
      <c r="AH527" s="11" t="s">
        <v>1890</v>
      </c>
      <c r="AI527" s="11"/>
    </row>
    <row r="528" ht="12.5" spans="1:35">
      <c r="A528" s="177">
        <v>45177.5027198727</v>
      </c>
      <c r="B528" s="11" t="s">
        <v>1891</v>
      </c>
      <c r="C528" s="19">
        <v>70793267455</v>
      </c>
      <c r="D528" s="19">
        <v>705604474294912</v>
      </c>
      <c r="E528" s="18" t="s">
        <v>1892</v>
      </c>
      <c r="F528" s="11" t="s">
        <v>40</v>
      </c>
      <c r="G528" s="11" t="s">
        <v>54</v>
      </c>
      <c r="H528" s="24">
        <v>36436</v>
      </c>
      <c r="I528" s="277" t="s">
        <v>1867</v>
      </c>
      <c r="J528" s="11" t="s">
        <v>42</v>
      </c>
      <c r="K528" s="108" t="s">
        <v>63</v>
      </c>
      <c r="N528" s="11" t="s">
        <v>43</v>
      </c>
      <c r="O528" s="11" t="s">
        <v>44</v>
      </c>
      <c r="P528" s="11" t="s">
        <v>44</v>
      </c>
      <c r="Q528" s="11" t="s">
        <v>45</v>
      </c>
      <c r="R528" s="11" t="s">
        <v>45</v>
      </c>
      <c r="S528" s="11" t="s">
        <v>83</v>
      </c>
      <c r="T528" s="11" t="s">
        <v>44</v>
      </c>
      <c r="U528" s="11" t="s">
        <v>45</v>
      </c>
      <c r="V528" s="24">
        <v>45177</v>
      </c>
      <c r="W528" s="11" t="s">
        <v>46</v>
      </c>
      <c r="X528" s="11" t="s">
        <v>303</v>
      </c>
      <c r="Y528" s="11" t="s">
        <v>58</v>
      </c>
      <c r="Z528" s="11">
        <v>81999026819</v>
      </c>
      <c r="AA528" s="11" t="s">
        <v>1360</v>
      </c>
      <c r="AB528" s="11" t="s">
        <v>49</v>
      </c>
      <c r="AC528" s="11" t="s">
        <v>256</v>
      </c>
      <c r="AD528" s="11" t="b">
        <v>1</v>
      </c>
      <c r="AE528" s="11" t="s">
        <v>137</v>
      </c>
      <c r="AF528" s="11" t="s">
        <v>1893</v>
      </c>
      <c r="AG528" s="11"/>
      <c r="AH528" s="11" t="s">
        <v>1894</v>
      </c>
      <c r="AI528" s="11"/>
    </row>
    <row r="529" ht="12.5" spans="1:35">
      <c r="A529" s="177">
        <v>45177.6574511806</v>
      </c>
      <c r="B529" s="11" t="s">
        <v>1891</v>
      </c>
      <c r="C529" s="19">
        <v>70793267455</v>
      </c>
      <c r="D529" s="19">
        <v>705604474294912</v>
      </c>
      <c r="E529" s="18" t="s">
        <v>1895</v>
      </c>
      <c r="F529" s="11" t="s">
        <v>40</v>
      </c>
      <c r="G529" s="11" t="s">
        <v>54</v>
      </c>
      <c r="H529" s="24">
        <v>36436</v>
      </c>
      <c r="I529" s="277" t="s">
        <v>1867</v>
      </c>
      <c r="J529" s="11" t="s">
        <v>42</v>
      </c>
      <c r="K529" s="108" t="s">
        <v>63</v>
      </c>
      <c r="N529" s="11" t="s">
        <v>95</v>
      </c>
      <c r="O529" s="11" t="s">
        <v>44</v>
      </c>
      <c r="P529" s="11" t="s">
        <v>44</v>
      </c>
      <c r="Q529" s="11" t="s">
        <v>44</v>
      </c>
      <c r="R529" s="11" t="s">
        <v>45</v>
      </c>
      <c r="S529" s="11" t="s">
        <v>45</v>
      </c>
      <c r="T529" s="11" t="s">
        <v>44</v>
      </c>
      <c r="U529" s="11" t="s">
        <v>44</v>
      </c>
      <c r="W529" s="11" t="s">
        <v>46</v>
      </c>
      <c r="X529" s="11" t="s">
        <v>97</v>
      </c>
      <c r="Y529" s="11" t="s">
        <v>97</v>
      </c>
      <c r="Z529" s="11">
        <v>81999026819</v>
      </c>
      <c r="AA529" s="11" t="s">
        <v>1360</v>
      </c>
      <c r="AB529" s="11"/>
      <c r="AC529" s="11"/>
      <c r="AD529" s="11" t="b">
        <v>0</v>
      </c>
      <c r="AF529" s="11"/>
      <c r="AG529" s="11"/>
      <c r="AH529" s="11" t="s">
        <v>1896</v>
      </c>
      <c r="AI529" s="11"/>
    </row>
    <row r="530" ht="12.5" spans="1:35">
      <c r="A530" s="177">
        <v>45178.4032756366</v>
      </c>
      <c r="B530" s="11" t="s">
        <v>1897</v>
      </c>
      <c r="C530" s="19">
        <v>16629595408</v>
      </c>
      <c r="D530" s="19">
        <v>704007382536065</v>
      </c>
      <c r="E530" s="18" t="s">
        <v>1898</v>
      </c>
      <c r="F530" s="11" t="s">
        <v>40</v>
      </c>
      <c r="G530" s="11" t="s">
        <v>54</v>
      </c>
      <c r="H530" s="24">
        <v>38430</v>
      </c>
      <c r="I530" s="277" t="s">
        <v>342</v>
      </c>
      <c r="J530" s="11" t="s">
        <v>42</v>
      </c>
      <c r="K530" s="108" t="s">
        <v>63</v>
      </c>
      <c r="N530" s="11" t="s">
        <v>43</v>
      </c>
      <c r="O530" s="11" t="s">
        <v>65</v>
      </c>
      <c r="P530" s="11" t="s">
        <v>66</v>
      </c>
      <c r="Q530" s="11" t="s">
        <v>44</v>
      </c>
      <c r="R530" s="11" t="s">
        <v>45</v>
      </c>
      <c r="S530" s="11" t="s">
        <v>45</v>
      </c>
      <c r="T530" s="11" t="s">
        <v>44</v>
      </c>
      <c r="U530" s="11" t="s">
        <v>45</v>
      </c>
      <c r="V530" s="24">
        <v>45179</v>
      </c>
      <c r="W530" s="11" t="s">
        <v>46</v>
      </c>
      <c r="X530" s="11" t="s">
        <v>303</v>
      </c>
      <c r="Y530" s="11" t="s">
        <v>58</v>
      </c>
      <c r="Z530" s="11">
        <v>81992204106</v>
      </c>
      <c r="AA530" s="11" t="s">
        <v>115</v>
      </c>
      <c r="AB530" s="11" t="s">
        <v>98</v>
      </c>
      <c r="AC530" s="11"/>
      <c r="AD530" s="11" t="b">
        <v>0</v>
      </c>
      <c r="AF530" s="11" t="s">
        <v>1899</v>
      </c>
      <c r="AG530" s="11" t="s">
        <v>1900</v>
      </c>
      <c r="AH530" s="11"/>
      <c r="AI530" s="11"/>
    </row>
    <row r="531" ht="12.5" spans="1:35">
      <c r="A531" s="177">
        <v>45178.6116271759</v>
      </c>
      <c r="B531" s="11" t="s">
        <v>1229</v>
      </c>
      <c r="C531" s="277" t="s">
        <v>1230</v>
      </c>
      <c r="D531" s="19">
        <v>700009756810909</v>
      </c>
      <c r="F531" s="11" t="s">
        <v>40</v>
      </c>
      <c r="G531" s="11" t="s">
        <v>54</v>
      </c>
      <c r="H531" s="24">
        <v>32128</v>
      </c>
      <c r="I531" s="234" t="s">
        <v>97</v>
      </c>
      <c r="J531" s="11" t="s">
        <v>438</v>
      </c>
      <c r="K531" s="108"/>
      <c r="M531" s="11" t="s">
        <v>1818</v>
      </c>
      <c r="N531" s="11" t="s">
        <v>95</v>
      </c>
      <c r="O531" s="11" t="s">
        <v>44</v>
      </c>
      <c r="P531" s="11" t="s">
        <v>44</v>
      </c>
      <c r="Q531" s="11" t="s">
        <v>44</v>
      </c>
      <c r="R531" s="11" t="s">
        <v>45</v>
      </c>
      <c r="S531" s="11" t="s">
        <v>45</v>
      </c>
      <c r="T531" s="11" t="s">
        <v>44</v>
      </c>
      <c r="U531" s="11" t="s">
        <v>44</v>
      </c>
      <c r="W531" s="11" t="s">
        <v>57</v>
      </c>
      <c r="X531" s="11" t="s">
        <v>97</v>
      </c>
      <c r="Y531" s="11" t="s">
        <v>97</v>
      </c>
      <c r="Z531" s="11">
        <v>81997557343</v>
      </c>
      <c r="AA531" s="11" t="s">
        <v>115</v>
      </c>
      <c r="AB531" s="11"/>
      <c r="AC531" s="11"/>
      <c r="AD531" s="11" t="b">
        <v>0</v>
      </c>
      <c r="AF531" s="11"/>
      <c r="AG531" s="11"/>
      <c r="AH531" s="40" t="s">
        <v>1901</v>
      </c>
      <c r="AI531" s="11"/>
    </row>
    <row r="532" ht="12.5" spans="1:35">
      <c r="A532" s="177">
        <v>45178.7171827083</v>
      </c>
      <c r="B532" s="11" t="s">
        <v>1864</v>
      </c>
      <c r="C532" s="277" t="s">
        <v>1865</v>
      </c>
      <c r="D532" s="19">
        <v>703002893021874</v>
      </c>
      <c r="F532" s="11" t="s">
        <v>225</v>
      </c>
      <c r="G532" s="11" t="s">
        <v>54</v>
      </c>
      <c r="H532" s="24">
        <v>30663</v>
      </c>
      <c r="I532" s="277" t="s">
        <v>1867</v>
      </c>
      <c r="J532" s="11" t="s">
        <v>42</v>
      </c>
      <c r="K532" s="108" t="s">
        <v>155</v>
      </c>
      <c r="N532" s="11" t="s">
        <v>95</v>
      </c>
      <c r="O532" s="11" t="s">
        <v>44</v>
      </c>
      <c r="P532" s="11" t="s">
        <v>44</v>
      </c>
      <c r="Q532" s="11" t="s">
        <v>44</v>
      </c>
      <c r="R532" s="11" t="s">
        <v>45</v>
      </c>
      <c r="S532" s="11" t="s">
        <v>45</v>
      </c>
      <c r="T532" s="11" t="s">
        <v>44</v>
      </c>
      <c r="U532" s="11" t="s">
        <v>44</v>
      </c>
      <c r="W532" s="11" t="s">
        <v>57</v>
      </c>
      <c r="X532" s="11" t="s">
        <v>97</v>
      </c>
      <c r="Y532" s="11" t="s">
        <v>97</v>
      </c>
      <c r="Z532" s="11">
        <v>81998853817</v>
      </c>
      <c r="AA532" s="11" t="s">
        <v>115</v>
      </c>
      <c r="AB532" s="11"/>
      <c r="AC532" s="11"/>
      <c r="AD532" s="11" t="b">
        <v>0</v>
      </c>
      <c r="AF532" s="11"/>
      <c r="AG532" s="11"/>
      <c r="AH532" s="40" t="s">
        <v>1902</v>
      </c>
      <c r="AI532" s="11"/>
    </row>
    <row r="533" ht="12.5" spans="1:35">
      <c r="A533" s="177">
        <v>45178.7583315394</v>
      </c>
      <c r="B533" s="11" t="s">
        <v>1401</v>
      </c>
      <c r="C533" s="19">
        <v>10966441427</v>
      </c>
      <c r="D533" s="19">
        <v>709604646515272</v>
      </c>
      <c r="F533" s="11" t="s">
        <v>40</v>
      </c>
      <c r="G533" s="11" t="s">
        <v>54</v>
      </c>
      <c r="H533" s="24">
        <v>36310</v>
      </c>
      <c r="I533" s="277" t="s">
        <v>1377</v>
      </c>
      <c r="J533" s="11" t="s">
        <v>42</v>
      </c>
      <c r="K533" s="108" t="s">
        <v>399</v>
      </c>
      <c r="N533" s="11" t="s">
        <v>95</v>
      </c>
      <c r="O533" s="11" t="s">
        <v>44</v>
      </c>
      <c r="P533" s="11" t="s">
        <v>44</v>
      </c>
      <c r="Q533" s="11" t="s">
        <v>45</v>
      </c>
      <c r="R533" s="11" t="s">
        <v>45</v>
      </c>
      <c r="S533" s="11" t="s">
        <v>45</v>
      </c>
      <c r="T533" s="11" t="s">
        <v>44</v>
      </c>
      <c r="U533" s="11" t="s">
        <v>45</v>
      </c>
      <c r="V533" s="24">
        <v>45179</v>
      </c>
      <c r="W533" s="11" t="s">
        <v>57</v>
      </c>
      <c r="X533" s="11" t="s">
        <v>97</v>
      </c>
      <c r="Y533" s="11" t="s">
        <v>97</v>
      </c>
      <c r="Z533" s="11">
        <v>81998490815</v>
      </c>
      <c r="AA533" s="11" t="s">
        <v>115</v>
      </c>
      <c r="AB533" s="11" t="s">
        <v>98</v>
      </c>
      <c r="AC533" s="11"/>
      <c r="AD533" s="11" t="b">
        <v>0</v>
      </c>
      <c r="AF533" s="11" t="s">
        <v>1903</v>
      </c>
      <c r="AG533" s="11"/>
      <c r="AH533" s="40" t="s">
        <v>1904</v>
      </c>
      <c r="AI533" s="11"/>
    </row>
    <row r="534" ht="12.5" spans="1:35">
      <c r="A534" s="177">
        <v>45178.7951388889</v>
      </c>
      <c r="B534" s="11" t="s">
        <v>383</v>
      </c>
      <c r="C534" s="19">
        <v>13188065426</v>
      </c>
      <c r="D534" s="19">
        <v>708207113732745</v>
      </c>
      <c r="E534" s="18" t="s">
        <v>1905</v>
      </c>
      <c r="F534" s="11" t="s">
        <v>225</v>
      </c>
      <c r="G534" s="11" t="s">
        <v>54</v>
      </c>
      <c r="H534" s="24">
        <v>35716</v>
      </c>
      <c r="I534" s="277" t="s">
        <v>334</v>
      </c>
      <c r="J534" s="11" t="s">
        <v>42</v>
      </c>
      <c r="K534" s="108" t="s">
        <v>202</v>
      </c>
      <c r="N534" s="11" t="s">
        <v>43</v>
      </c>
      <c r="O534" s="11" t="s">
        <v>65</v>
      </c>
      <c r="P534" s="11" t="s">
        <v>66</v>
      </c>
      <c r="Q534" s="11" t="s">
        <v>44</v>
      </c>
      <c r="R534" s="11" t="s">
        <v>45</v>
      </c>
      <c r="S534" s="11" t="s">
        <v>45</v>
      </c>
      <c r="T534" s="11" t="s">
        <v>44</v>
      </c>
      <c r="U534" s="11" t="s">
        <v>45</v>
      </c>
      <c r="V534" s="24">
        <v>45179</v>
      </c>
      <c r="W534" s="11" t="s">
        <v>46</v>
      </c>
      <c r="X534" s="11" t="s">
        <v>303</v>
      </c>
      <c r="Y534" s="11" t="s">
        <v>58</v>
      </c>
      <c r="Z534" s="11">
        <v>81984182678</v>
      </c>
      <c r="AA534" s="11" t="s">
        <v>115</v>
      </c>
      <c r="AB534" s="11" t="s">
        <v>98</v>
      </c>
      <c r="AC534" s="11"/>
      <c r="AD534" s="11" t="b">
        <v>0</v>
      </c>
      <c r="AF534" s="11" t="s">
        <v>1906</v>
      </c>
      <c r="AG534" s="11" t="s">
        <v>1907</v>
      </c>
      <c r="AH534" s="11"/>
      <c r="AI534" s="11"/>
    </row>
    <row r="535" ht="12.5" spans="1:35">
      <c r="A535" s="177">
        <v>45179.4302599653</v>
      </c>
      <c r="B535" s="11" t="s">
        <v>964</v>
      </c>
      <c r="C535" s="277" t="s">
        <v>965</v>
      </c>
      <c r="D535" s="19">
        <v>708209134201740</v>
      </c>
      <c r="E535" s="18" t="s">
        <v>1908</v>
      </c>
      <c r="F535" s="11" t="s">
        <v>40</v>
      </c>
      <c r="G535" s="11" t="s">
        <v>54</v>
      </c>
      <c r="H535" s="24">
        <v>32335</v>
      </c>
      <c r="I535" s="277" t="s">
        <v>967</v>
      </c>
      <c r="J535" s="11" t="s">
        <v>42</v>
      </c>
      <c r="K535" s="108" t="s">
        <v>1909</v>
      </c>
      <c r="N535" s="11" t="s">
        <v>43</v>
      </c>
      <c r="O535" s="11" t="s">
        <v>44</v>
      </c>
      <c r="P535" s="11" t="s">
        <v>44</v>
      </c>
      <c r="Q535" s="11" t="s">
        <v>44</v>
      </c>
      <c r="R535" s="11" t="s">
        <v>45</v>
      </c>
      <c r="S535" s="11" t="s">
        <v>45</v>
      </c>
      <c r="T535" s="11" t="s">
        <v>44</v>
      </c>
      <c r="U535" s="11" t="s">
        <v>45</v>
      </c>
      <c r="V535" s="24">
        <v>45179</v>
      </c>
      <c r="W535" s="11" t="s">
        <v>46</v>
      </c>
      <c r="X535" s="11" t="s">
        <v>303</v>
      </c>
      <c r="Y535" s="11" t="s">
        <v>58</v>
      </c>
      <c r="Z535" s="11">
        <v>81999157370</v>
      </c>
      <c r="AA535" s="11" t="s">
        <v>1360</v>
      </c>
      <c r="AB535" s="11" t="s">
        <v>49</v>
      </c>
      <c r="AC535" s="11" t="s">
        <v>256</v>
      </c>
      <c r="AD535" s="11" t="b">
        <v>1</v>
      </c>
      <c r="AE535" s="11" t="s">
        <v>137</v>
      </c>
      <c r="AF535" s="11" t="s">
        <v>1910</v>
      </c>
      <c r="AG535" s="11"/>
      <c r="AH535" s="11"/>
      <c r="AI535" s="11"/>
    </row>
    <row r="536" ht="12.5" spans="1:35">
      <c r="A536" s="177">
        <v>45179.5109938426</v>
      </c>
      <c r="B536" s="11" t="s">
        <v>964</v>
      </c>
      <c r="C536" s="277" t="s">
        <v>965</v>
      </c>
      <c r="D536" s="19">
        <v>708209134201740</v>
      </c>
      <c r="E536" s="18" t="s">
        <v>1908</v>
      </c>
      <c r="F536" s="11" t="s">
        <v>40</v>
      </c>
      <c r="G536" s="11" t="s">
        <v>54</v>
      </c>
      <c r="H536" s="24">
        <v>32335</v>
      </c>
      <c r="I536" s="277" t="s">
        <v>1911</v>
      </c>
      <c r="J536" s="11" t="s">
        <v>42</v>
      </c>
      <c r="K536" s="108" t="s">
        <v>1909</v>
      </c>
      <c r="N536" s="11" t="s">
        <v>95</v>
      </c>
      <c r="O536" s="11" t="s">
        <v>96</v>
      </c>
      <c r="P536" s="11" t="s">
        <v>66</v>
      </c>
      <c r="Q536" s="11" t="s">
        <v>45</v>
      </c>
      <c r="R536" s="11" t="s">
        <v>45</v>
      </c>
      <c r="S536" s="11" t="s">
        <v>45</v>
      </c>
      <c r="T536" s="11" t="s">
        <v>44</v>
      </c>
      <c r="U536" s="11" t="s">
        <v>45</v>
      </c>
      <c r="V536" s="24">
        <v>45180</v>
      </c>
      <c r="W536" s="11" t="s">
        <v>46</v>
      </c>
      <c r="X536" s="11" t="s">
        <v>97</v>
      </c>
      <c r="Y536" s="11" t="s">
        <v>97</v>
      </c>
      <c r="Z536" s="11">
        <v>81999157370</v>
      </c>
      <c r="AA536" s="11" t="s">
        <v>1360</v>
      </c>
      <c r="AB536" s="11" t="s">
        <v>49</v>
      </c>
      <c r="AC536" s="11" t="s">
        <v>256</v>
      </c>
      <c r="AD536" s="11" t="b">
        <v>0</v>
      </c>
      <c r="AF536" s="11" t="s">
        <v>1912</v>
      </c>
      <c r="AG536" s="11"/>
      <c r="AH536" s="11" t="s">
        <v>1913</v>
      </c>
      <c r="AI536" s="11"/>
    </row>
    <row r="537" ht="12.5" spans="1:35">
      <c r="A537" s="177">
        <v>45179.5963336458</v>
      </c>
      <c r="B537" s="11" t="s">
        <v>1914</v>
      </c>
      <c r="C537" s="19">
        <v>11267816490</v>
      </c>
      <c r="D537" s="19">
        <v>706804729437825</v>
      </c>
      <c r="E537" s="18" t="s">
        <v>1915</v>
      </c>
      <c r="F537" s="11" t="s">
        <v>40</v>
      </c>
      <c r="G537" s="11" t="s">
        <v>54</v>
      </c>
      <c r="H537" s="24">
        <v>34838</v>
      </c>
      <c r="I537" s="277" t="s">
        <v>1916</v>
      </c>
      <c r="J537" s="11" t="s">
        <v>42</v>
      </c>
      <c r="K537" s="108" t="s">
        <v>202</v>
      </c>
      <c r="N537" s="11" t="s">
        <v>43</v>
      </c>
      <c r="O537" s="11" t="s">
        <v>44</v>
      </c>
      <c r="P537" s="11" t="s">
        <v>44</v>
      </c>
      <c r="Q537" s="11" t="s">
        <v>44</v>
      </c>
      <c r="R537" s="11" t="s">
        <v>45</v>
      </c>
      <c r="S537" s="11" t="s">
        <v>45</v>
      </c>
      <c r="T537" s="11" t="s">
        <v>44</v>
      </c>
      <c r="U537" s="11" t="s">
        <v>44</v>
      </c>
      <c r="V537" s="24">
        <v>45179</v>
      </c>
      <c r="W537" s="11" t="s">
        <v>46</v>
      </c>
      <c r="X537" s="11" t="s">
        <v>303</v>
      </c>
      <c r="Y537" s="11" t="s">
        <v>58</v>
      </c>
      <c r="Z537" s="11">
        <v>81984415787</v>
      </c>
      <c r="AA537" s="11" t="s">
        <v>1360</v>
      </c>
      <c r="AB537" s="11" t="s">
        <v>49</v>
      </c>
      <c r="AC537" s="11" t="s">
        <v>256</v>
      </c>
      <c r="AD537" s="11" t="b">
        <v>1</v>
      </c>
      <c r="AE537" s="11" t="s">
        <v>137</v>
      </c>
      <c r="AF537" s="11" t="s">
        <v>1917</v>
      </c>
      <c r="AG537" s="11"/>
      <c r="AH537" s="11" t="s">
        <v>1918</v>
      </c>
      <c r="AI537" s="11"/>
    </row>
    <row r="538" ht="12.5" spans="1:35">
      <c r="A538" s="177">
        <v>45179.7205012616</v>
      </c>
      <c r="B538" s="11" t="s">
        <v>1919</v>
      </c>
      <c r="C538" s="277" t="s">
        <v>1920</v>
      </c>
      <c r="D538" s="19">
        <v>704006815939364</v>
      </c>
      <c r="E538" s="18" t="s">
        <v>1921</v>
      </c>
      <c r="F538" s="11" t="s">
        <v>225</v>
      </c>
      <c r="G538" s="11" t="s">
        <v>54</v>
      </c>
      <c r="H538" s="24">
        <v>32072</v>
      </c>
      <c r="I538" s="277" t="s">
        <v>1922</v>
      </c>
      <c r="J538" s="11" t="s">
        <v>81</v>
      </c>
      <c r="K538" s="108"/>
      <c r="L538" s="11" t="s">
        <v>109</v>
      </c>
      <c r="N538" s="11" t="s">
        <v>43</v>
      </c>
      <c r="O538" s="11" t="s">
        <v>44</v>
      </c>
      <c r="P538" s="11" t="s">
        <v>44</v>
      </c>
      <c r="Q538" s="11" t="s">
        <v>44</v>
      </c>
      <c r="R538" s="11" t="s">
        <v>45</v>
      </c>
      <c r="S538" s="11" t="s">
        <v>45</v>
      </c>
      <c r="T538" s="11" t="s">
        <v>44</v>
      </c>
      <c r="U538" s="11" t="s">
        <v>45</v>
      </c>
      <c r="V538" s="24">
        <v>45180</v>
      </c>
      <c r="W538" s="11" t="s">
        <v>46</v>
      </c>
      <c r="X538" s="11" t="s">
        <v>303</v>
      </c>
      <c r="Y538" s="11" t="s">
        <v>58</v>
      </c>
      <c r="Z538" s="11">
        <v>81988868881</v>
      </c>
      <c r="AA538" s="11" t="s">
        <v>1360</v>
      </c>
      <c r="AB538" s="11" t="s">
        <v>98</v>
      </c>
      <c r="AC538" s="11"/>
      <c r="AD538" s="11" t="b">
        <v>0</v>
      </c>
      <c r="AF538" s="11" t="s">
        <v>1923</v>
      </c>
      <c r="AG538" s="11" t="s">
        <v>1924</v>
      </c>
      <c r="AH538" s="11" t="s">
        <v>1925</v>
      </c>
      <c r="AI538" s="11"/>
    </row>
    <row r="539" ht="12.5" spans="1:35">
      <c r="A539" s="177">
        <v>45179.7487837384</v>
      </c>
      <c r="B539" s="11" t="s">
        <v>1914</v>
      </c>
      <c r="C539" s="19">
        <v>11267816490</v>
      </c>
      <c r="D539" s="19">
        <v>706804729437825</v>
      </c>
      <c r="E539" s="18" t="s">
        <v>1926</v>
      </c>
      <c r="F539" s="11" t="s">
        <v>40</v>
      </c>
      <c r="G539" s="11" t="s">
        <v>54</v>
      </c>
      <c r="H539" s="24">
        <v>34838</v>
      </c>
      <c r="I539" s="277" t="s">
        <v>1927</v>
      </c>
      <c r="J539" s="11" t="s">
        <v>81</v>
      </c>
      <c r="K539" s="108"/>
      <c r="L539" s="11" t="s">
        <v>109</v>
      </c>
      <c r="N539" s="11" t="s">
        <v>95</v>
      </c>
      <c r="O539" s="11" t="s">
        <v>44</v>
      </c>
      <c r="P539" s="11" t="s">
        <v>44</v>
      </c>
      <c r="Q539" s="11" t="s">
        <v>44</v>
      </c>
      <c r="R539" s="11" t="s">
        <v>45</v>
      </c>
      <c r="S539" s="11" t="s">
        <v>45</v>
      </c>
      <c r="T539" s="11" t="s">
        <v>44</v>
      </c>
      <c r="U539" s="11" t="s">
        <v>44</v>
      </c>
      <c r="W539" s="11" t="s">
        <v>46</v>
      </c>
      <c r="X539" s="11" t="s">
        <v>97</v>
      </c>
      <c r="Y539" s="11" t="s">
        <v>97</v>
      </c>
      <c r="Z539" s="11">
        <v>81984415787</v>
      </c>
      <c r="AA539" s="11" t="s">
        <v>1360</v>
      </c>
      <c r="AB539" s="11"/>
      <c r="AC539" s="11"/>
      <c r="AD539" s="11" t="b">
        <v>0</v>
      </c>
      <c r="AF539" s="11"/>
      <c r="AG539" s="11"/>
      <c r="AH539" s="11"/>
      <c r="AI539" s="11"/>
    </row>
    <row r="540" ht="12.5" spans="1:35">
      <c r="A540" s="177">
        <v>45180.3322381713</v>
      </c>
      <c r="B540" s="11" t="s">
        <v>1928</v>
      </c>
      <c r="C540" s="277" t="s">
        <v>1929</v>
      </c>
      <c r="D540" s="19">
        <v>705401411478497</v>
      </c>
      <c r="E540" s="18" t="s">
        <v>1930</v>
      </c>
      <c r="F540" s="11" t="s">
        <v>217</v>
      </c>
      <c r="G540" s="11" t="s">
        <v>88</v>
      </c>
      <c r="H540" s="24">
        <v>30817</v>
      </c>
      <c r="I540" s="19" t="s">
        <v>865</v>
      </c>
      <c r="J540" s="11" t="s">
        <v>42</v>
      </c>
      <c r="K540" s="108" t="s">
        <v>55</v>
      </c>
      <c r="N540" s="11" t="s">
        <v>64</v>
      </c>
      <c r="O540" s="11" t="s">
        <v>65</v>
      </c>
      <c r="P540" s="11" t="s">
        <v>66</v>
      </c>
      <c r="Q540" s="11" t="s">
        <v>45</v>
      </c>
      <c r="R540" s="11" t="s">
        <v>44</v>
      </c>
      <c r="S540" s="11" t="s">
        <v>83</v>
      </c>
      <c r="T540" s="11" t="s">
        <v>44</v>
      </c>
      <c r="U540" s="11" t="s">
        <v>45</v>
      </c>
      <c r="V540" s="24">
        <v>45180</v>
      </c>
      <c r="W540" s="11" t="s">
        <v>46</v>
      </c>
      <c r="X540" s="11" t="s">
        <v>67</v>
      </c>
      <c r="Y540" s="11" t="s">
        <v>58</v>
      </c>
      <c r="Z540" s="11">
        <v>81999378131</v>
      </c>
      <c r="AA540" s="11" t="s">
        <v>1360</v>
      </c>
      <c r="AB540" s="11" t="s">
        <v>49</v>
      </c>
      <c r="AC540" s="11" t="s">
        <v>92</v>
      </c>
      <c r="AD540" s="11" t="b">
        <v>1</v>
      </c>
      <c r="AE540" s="11" t="s">
        <v>137</v>
      </c>
      <c r="AF540" s="11" t="s">
        <v>1931</v>
      </c>
      <c r="AG540" s="11"/>
      <c r="AH540" s="11" t="s">
        <v>1932</v>
      </c>
      <c r="AI540" s="11"/>
    </row>
    <row r="541" ht="12.5" spans="1:35">
      <c r="A541" s="177">
        <v>45180.372723669</v>
      </c>
      <c r="B541" s="11" t="s">
        <v>1823</v>
      </c>
      <c r="C541" s="277" t="s">
        <v>1824</v>
      </c>
      <c r="D541" s="19">
        <v>704703754695933</v>
      </c>
      <c r="E541" s="18" t="s">
        <v>1933</v>
      </c>
      <c r="F541" s="11" t="s">
        <v>40</v>
      </c>
      <c r="G541" s="11" t="s">
        <v>54</v>
      </c>
      <c r="H541" s="24">
        <v>32901</v>
      </c>
      <c r="I541" s="277" t="s">
        <v>1934</v>
      </c>
      <c r="J541" s="11" t="s">
        <v>42</v>
      </c>
      <c r="K541" s="108" t="s">
        <v>427</v>
      </c>
      <c r="N541" s="11" t="s">
        <v>43</v>
      </c>
      <c r="O541" s="11" t="s">
        <v>96</v>
      </c>
      <c r="P541" s="11" t="s">
        <v>56</v>
      </c>
      <c r="Q541" s="11" t="s">
        <v>44</v>
      </c>
      <c r="R541" s="11" t="s">
        <v>45</v>
      </c>
      <c r="S541" s="11" t="s">
        <v>45</v>
      </c>
      <c r="T541" s="11" t="s">
        <v>44</v>
      </c>
      <c r="U541" s="11" t="s">
        <v>45</v>
      </c>
      <c r="V541" s="24">
        <v>45182</v>
      </c>
      <c r="W541" s="11" t="s">
        <v>46</v>
      </c>
      <c r="X541" s="11" t="s">
        <v>156</v>
      </c>
      <c r="Y541" s="11" t="s">
        <v>58</v>
      </c>
      <c r="Z541" s="11">
        <v>81999265625</v>
      </c>
      <c r="AA541" s="11" t="s">
        <v>1360</v>
      </c>
      <c r="AB541" s="11" t="s">
        <v>98</v>
      </c>
      <c r="AC541" s="11"/>
      <c r="AD541" s="11" t="b">
        <v>0</v>
      </c>
      <c r="AF541" s="11" t="s">
        <v>1935</v>
      </c>
      <c r="AG541" s="11" t="s">
        <v>1936</v>
      </c>
      <c r="AH541" s="11"/>
      <c r="AI541" s="11"/>
    </row>
    <row r="542" ht="12.5" spans="1:35">
      <c r="A542" s="177">
        <v>45180.5184498843</v>
      </c>
      <c r="B542" s="11" t="s">
        <v>1937</v>
      </c>
      <c r="C542" s="19">
        <v>70164641483</v>
      </c>
      <c r="D542" s="19">
        <v>706702508531615</v>
      </c>
      <c r="E542" s="18" t="s">
        <v>1938</v>
      </c>
      <c r="F542" s="11" t="s">
        <v>225</v>
      </c>
      <c r="G542" s="11" t="s">
        <v>54</v>
      </c>
      <c r="H542" s="24">
        <v>36333</v>
      </c>
      <c r="I542" s="277" t="s">
        <v>218</v>
      </c>
      <c r="J542" s="11" t="s">
        <v>42</v>
      </c>
      <c r="K542" s="108" t="s">
        <v>202</v>
      </c>
      <c r="N542" s="11" t="s">
        <v>43</v>
      </c>
      <c r="O542" s="11" t="s">
        <v>44</v>
      </c>
      <c r="P542" s="11" t="s">
        <v>44</v>
      </c>
      <c r="Q542" s="11" t="s">
        <v>44</v>
      </c>
      <c r="R542" s="11" t="s">
        <v>45</v>
      </c>
      <c r="S542" s="11" t="s">
        <v>83</v>
      </c>
      <c r="T542" s="11" t="s">
        <v>44</v>
      </c>
      <c r="U542" s="11" t="s">
        <v>44</v>
      </c>
      <c r="W542" s="11" t="s">
        <v>46</v>
      </c>
      <c r="X542" s="11" t="s">
        <v>47</v>
      </c>
      <c r="Y542" s="11" t="s">
        <v>58</v>
      </c>
      <c r="Z542" s="11">
        <v>81984367688</v>
      </c>
      <c r="AA542" s="11" t="s">
        <v>1267</v>
      </c>
      <c r="AB542" s="11"/>
      <c r="AC542" s="11"/>
      <c r="AD542" s="11" t="b">
        <v>0</v>
      </c>
      <c r="AF542" s="11"/>
      <c r="AG542" s="11"/>
      <c r="AH542" s="11"/>
      <c r="AI542" s="11"/>
    </row>
    <row r="543" ht="12.5" spans="1:35">
      <c r="A543" s="177">
        <v>45180.5265681018</v>
      </c>
      <c r="B543" s="11" t="s">
        <v>964</v>
      </c>
      <c r="C543" s="277" t="s">
        <v>965</v>
      </c>
      <c r="D543" s="19">
        <v>708209134201740</v>
      </c>
      <c r="F543" s="11" t="s">
        <v>40</v>
      </c>
      <c r="G543" s="11" t="s">
        <v>54</v>
      </c>
      <c r="H543" s="24">
        <v>32335</v>
      </c>
      <c r="I543" s="277" t="s">
        <v>967</v>
      </c>
      <c r="J543" s="11" t="s">
        <v>42</v>
      </c>
      <c r="K543" s="108" t="s">
        <v>1909</v>
      </c>
      <c r="N543" s="11" t="s">
        <v>95</v>
      </c>
      <c r="O543" s="11" t="s">
        <v>44</v>
      </c>
      <c r="P543" s="11" t="s">
        <v>44</v>
      </c>
      <c r="Q543" s="11" t="s">
        <v>44</v>
      </c>
      <c r="R543" s="11" t="s">
        <v>45</v>
      </c>
      <c r="S543" s="11" t="s">
        <v>45</v>
      </c>
      <c r="T543" s="11" t="s">
        <v>44</v>
      </c>
      <c r="U543" s="11" t="s">
        <v>45</v>
      </c>
      <c r="V543" s="24">
        <v>45180</v>
      </c>
      <c r="W543" s="11" t="s">
        <v>57</v>
      </c>
      <c r="X543" s="11" t="s">
        <v>97</v>
      </c>
      <c r="Y543" s="11" t="s">
        <v>97</v>
      </c>
      <c r="Z543" s="11">
        <v>81999157370</v>
      </c>
      <c r="AA543" s="11" t="s">
        <v>1360</v>
      </c>
      <c r="AB543" s="11" t="s">
        <v>98</v>
      </c>
      <c r="AC543" s="11"/>
      <c r="AD543" s="11" t="b">
        <v>0</v>
      </c>
      <c r="AF543" s="11" t="s">
        <v>1939</v>
      </c>
      <c r="AG543" s="11" t="s">
        <v>1940</v>
      </c>
      <c r="AH543" s="11" t="s">
        <v>1941</v>
      </c>
      <c r="AI543" s="11"/>
    </row>
    <row r="544" ht="12.5" spans="1:35">
      <c r="A544" s="177">
        <v>45180.6233525694</v>
      </c>
      <c r="B544" s="11" t="s">
        <v>1928</v>
      </c>
      <c r="C544" s="277" t="s">
        <v>1929</v>
      </c>
      <c r="D544" s="19">
        <v>705401411478497</v>
      </c>
      <c r="E544" s="18" t="s">
        <v>1942</v>
      </c>
      <c r="F544" s="11" t="s">
        <v>217</v>
      </c>
      <c r="G544" s="11" t="s">
        <v>88</v>
      </c>
      <c r="H544" s="24">
        <v>30817</v>
      </c>
      <c r="I544" s="19" t="s">
        <v>1943</v>
      </c>
      <c r="J544" s="11" t="s">
        <v>42</v>
      </c>
      <c r="K544" s="108" t="s">
        <v>55</v>
      </c>
      <c r="N544" s="11" t="s">
        <v>95</v>
      </c>
      <c r="O544" s="11" t="s">
        <v>96</v>
      </c>
      <c r="P544" s="11" t="s">
        <v>66</v>
      </c>
      <c r="Q544" s="11" t="s">
        <v>44</v>
      </c>
      <c r="R544" s="11" t="s">
        <v>44</v>
      </c>
      <c r="S544" s="11" t="s">
        <v>44</v>
      </c>
      <c r="T544" s="11" t="s">
        <v>44</v>
      </c>
      <c r="U544" s="11" t="s">
        <v>45</v>
      </c>
      <c r="V544" s="24">
        <v>45181</v>
      </c>
      <c r="W544" s="11" t="s">
        <v>46</v>
      </c>
      <c r="X544" s="11" t="s">
        <v>97</v>
      </c>
      <c r="Y544" s="11" t="s">
        <v>97</v>
      </c>
      <c r="Z544" s="11">
        <v>81999378131</v>
      </c>
      <c r="AA544" s="11" t="s">
        <v>91</v>
      </c>
      <c r="AB544" s="11" t="s">
        <v>49</v>
      </c>
      <c r="AC544" s="11" t="s">
        <v>92</v>
      </c>
      <c r="AD544" s="11" t="b">
        <v>1</v>
      </c>
      <c r="AE544" s="11" t="s">
        <v>137</v>
      </c>
      <c r="AF544" s="136" t="s">
        <v>1944</v>
      </c>
      <c r="AG544" s="11"/>
      <c r="AH544" s="11"/>
      <c r="AI544" s="11"/>
    </row>
    <row r="545" ht="12.5" spans="1:35">
      <c r="A545" s="177">
        <v>45181.6213757755</v>
      </c>
      <c r="B545" s="11" t="s">
        <v>1928</v>
      </c>
      <c r="C545" s="277" t="s">
        <v>1929</v>
      </c>
      <c r="D545" s="19">
        <v>705401411478497</v>
      </c>
      <c r="E545" s="18" t="s">
        <v>1945</v>
      </c>
      <c r="F545" s="11" t="s">
        <v>217</v>
      </c>
      <c r="G545" s="11" t="s">
        <v>88</v>
      </c>
      <c r="H545" s="24">
        <v>30817</v>
      </c>
      <c r="I545" s="277" t="s">
        <v>735</v>
      </c>
      <c r="J545" s="11" t="s">
        <v>42</v>
      </c>
      <c r="K545" s="108" t="s">
        <v>63</v>
      </c>
      <c r="N545" s="11" t="s">
        <v>95</v>
      </c>
      <c r="O545" s="11" t="s">
        <v>44</v>
      </c>
      <c r="P545" s="11" t="s">
        <v>44</v>
      </c>
      <c r="Q545" s="11" t="s">
        <v>44</v>
      </c>
      <c r="R545" s="11" t="s">
        <v>44</v>
      </c>
      <c r="S545" s="11" t="s">
        <v>44</v>
      </c>
      <c r="T545" s="11" t="s">
        <v>44</v>
      </c>
      <c r="U545" s="11" t="s">
        <v>45</v>
      </c>
      <c r="V545" s="24">
        <v>45182</v>
      </c>
      <c r="W545" s="11" t="s">
        <v>46</v>
      </c>
      <c r="X545" s="11" t="s">
        <v>97</v>
      </c>
      <c r="Y545" s="11" t="s">
        <v>97</v>
      </c>
      <c r="Z545" s="11">
        <v>81999378131</v>
      </c>
      <c r="AA545" s="11" t="s">
        <v>91</v>
      </c>
      <c r="AB545" s="11" t="s">
        <v>49</v>
      </c>
      <c r="AC545" s="11" t="s">
        <v>92</v>
      </c>
      <c r="AD545" s="11" t="b">
        <v>1</v>
      </c>
      <c r="AE545" s="11" t="s">
        <v>137</v>
      </c>
      <c r="AF545" s="136" t="s">
        <v>1946</v>
      </c>
      <c r="AG545" s="11"/>
      <c r="AH545" s="11"/>
      <c r="AI545" s="11"/>
    </row>
    <row r="546" ht="12.5" spans="1:35">
      <c r="A546" s="177">
        <v>45181.6505341204</v>
      </c>
      <c r="B546" s="11" t="s">
        <v>1660</v>
      </c>
      <c r="C546" s="19">
        <v>70557677416</v>
      </c>
      <c r="D546" s="19">
        <v>706403690402883</v>
      </c>
      <c r="E546" s="18" t="s">
        <v>1947</v>
      </c>
      <c r="F546" s="11" t="s">
        <v>40</v>
      </c>
      <c r="G546" s="11" t="s">
        <v>41</v>
      </c>
      <c r="H546" s="24">
        <v>36390</v>
      </c>
      <c r="I546" s="277" t="s">
        <v>1662</v>
      </c>
      <c r="J546" s="11" t="s">
        <v>42</v>
      </c>
      <c r="K546" s="108" t="s">
        <v>63</v>
      </c>
      <c r="N546" s="11" t="s">
        <v>43</v>
      </c>
      <c r="O546" s="11" t="s">
        <v>44</v>
      </c>
      <c r="P546" s="11" t="s">
        <v>44</v>
      </c>
      <c r="Q546" s="11" t="s">
        <v>44</v>
      </c>
      <c r="R546" s="11" t="s">
        <v>45</v>
      </c>
      <c r="S546" s="11" t="s">
        <v>45</v>
      </c>
      <c r="T546" s="11" t="s">
        <v>44</v>
      </c>
      <c r="U546" s="11" t="s">
        <v>44</v>
      </c>
      <c r="W546" s="11" t="s">
        <v>46</v>
      </c>
      <c r="X546" s="11" t="s">
        <v>47</v>
      </c>
      <c r="Y546" s="11" t="s">
        <v>58</v>
      </c>
      <c r="Z546" s="11">
        <v>81984236474</v>
      </c>
      <c r="AA546" s="11" t="s">
        <v>113</v>
      </c>
      <c r="AB546" s="11"/>
      <c r="AC546" s="11"/>
      <c r="AD546" s="11" t="b">
        <v>0</v>
      </c>
      <c r="AF546" s="11"/>
      <c r="AG546" s="11"/>
      <c r="AH546" s="11"/>
      <c r="AI546" s="11"/>
    </row>
    <row r="547" ht="12.5" spans="1:35">
      <c r="A547" s="177">
        <v>45182.4557225926</v>
      </c>
      <c r="B547" s="11" t="s">
        <v>1928</v>
      </c>
      <c r="C547" s="277" t="s">
        <v>1929</v>
      </c>
      <c r="D547" s="19">
        <v>705401411478497</v>
      </c>
      <c r="E547" s="18" t="s">
        <v>1948</v>
      </c>
      <c r="F547" s="11" t="s">
        <v>217</v>
      </c>
      <c r="G547" s="11" t="s">
        <v>88</v>
      </c>
      <c r="H547" s="24">
        <v>30817</v>
      </c>
      <c r="I547" s="277" t="s">
        <v>735</v>
      </c>
      <c r="J547" s="11" t="s">
        <v>42</v>
      </c>
      <c r="K547" s="108" t="s">
        <v>55</v>
      </c>
      <c r="N547" s="11" t="s">
        <v>95</v>
      </c>
      <c r="O547" s="11" t="s">
        <v>44</v>
      </c>
      <c r="P547" s="11" t="s">
        <v>44</v>
      </c>
      <c r="Q547" s="11" t="s">
        <v>44</v>
      </c>
      <c r="R547" s="11" t="s">
        <v>44</v>
      </c>
      <c r="S547" s="11" t="s">
        <v>44</v>
      </c>
      <c r="T547" s="11" t="s">
        <v>44</v>
      </c>
      <c r="U547" s="11" t="s">
        <v>44</v>
      </c>
      <c r="W547" s="11" t="s">
        <v>46</v>
      </c>
      <c r="X547" s="11" t="s">
        <v>97</v>
      </c>
      <c r="Y547" s="11" t="s">
        <v>97</v>
      </c>
      <c r="Z547" s="11">
        <v>81999378131</v>
      </c>
      <c r="AA547" s="11" t="s">
        <v>91</v>
      </c>
      <c r="AB547" s="11"/>
      <c r="AC547" s="11"/>
      <c r="AD547" s="11" t="b">
        <v>0</v>
      </c>
      <c r="AF547" s="11"/>
      <c r="AG547" s="11"/>
      <c r="AH547" s="11"/>
      <c r="AI547" s="11"/>
    </row>
    <row r="548" ht="12.5" spans="1:35">
      <c r="A548" s="177">
        <v>45182.476357963</v>
      </c>
      <c r="B548" s="11" t="s">
        <v>1949</v>
      </c>
      <c r="C548" s="19">
        <v>10704925400</v>
      </c>
      <c r="D548" s="179">
        <v>704002825635968</v>
      </c>
      <c r="E548" s="18" t="s">
        <v>1950</v>
      </c>
      <c r="F548" s="11" t="s">
        <v>40</v>
      </c>
      <c r="G548" s="11" t="s">
        <v>54</v>
      </c>
      <c r="H548" s="24">
        <v>33591</v>
      </c>
      <c r="I548" s="277" t="s">
        <v>923</v>
      </c>
      <c r="J548" s="11" t="s">
        <v>42</v>
      </c>
      <c r="K548" s="108" t="s">
        <v>74</v>
      </c>
      <c r="N548" s="11" t="s">
        <v>43</v>
      </c>
      <c r="O548" s="11" t="s">
        <v>44</v>
      </c>
      <c r="P548" s="11" t="s">
        <v>44</v>
      </c>
      <c r="Q548" s="11" t="s">
        <v>44</v>
      </c>
      <c r="R548" s="11" t="s">
        <v>45</v>
      </c>
      <c r="S548" s="11" t="s">
        <v>45</v>
      </c>
      <c r="T548" s="11" t="s">
        <v>44</v>
      </c>
      <c r="U548" s="11" t="s">
        <v>45</v>
      </c>
      <c r="V548" s="24">
        <v>45183</v>
      </c>
      <c r="W548" s="11" t="s">
        <v>46</v>
      </c>
      <c r="X548" s="11" t="s">
        <v>47</v>
      </c>
      <c r="Y548" s="11" t="s">
        <v>58</v>
      </c>
      <c r="Z548" s="11">
        <v>81988544578</v>
      </c>
      <c r="AA548" s="11" t="s">
        <v>113</v>
      </c>
      <c r="AB548" s="11" t="s">
        <v>49</v>
      </c>
      <c r="AC548" s="11" t="s">
        <v>75</v>
      </c>
      <c r="AD548" s="11" t="b">
        <v>0</v>
      </c>
      <c r="AF548" s="11" t="s">
        <v>1951</v>
      </c>
      <c r="AG548" s="11" t="s">
        <v>1952</v>
      </c>
      <c r="AH548" s="11"/>
      <c r="AI548" s="11"/>
    </row>
    <row r="549" ht="12.5" spans="1:35">
      <c r="A549" s="177">
        <v>45182.5480484375</v>
      </c>
      <c r="B549" s="11" t="s">
        <v>1953</v>
      </c>
      <c r="C549" s="19">
        <v>6780936448</v>
      </c>
      <c r="D549" s="19">
        <v>700803490012388</v>
      </c>
      <c r="E549" s="18" t="s">
        <v>1954</v>
      </c>
      <c r="F549" s="11" t="s">
        <v>40</v>
      </c>
      <c r="G549" s="11" t="s">
        <v>88</v>
      </c>
      <c r="H549" s="24">
        <v>32640</v>
      </c>
      <c r="I549" s="19" t="s">
        <v>136</v>
      </c>
      <c r="J549" s="11" t="s">
        <v>81</v>
      </c>
      <c r="K549" s="108"/>
      <c r="L549" s="11" t="s">
        <v>1955</v>
      </c>
      <c r="N549" s="11" t="s">
        <v>43</v>
      </c>
      <c r="O549" s="11" t="s">
        <v>44</v>
      </c>
      <c r="P549" s="11" t="s">
        <v>44</v>
      </c>
      <c r="Q549" s="11" t="s">
        <v>44</v>
      </c>
      <c r="R549" s="11" t="s">
        <v>45</v>
      </c>
      <c r="S549" s="11" t="s">
        <v>44</v>
      </c>
      <c r="T549" s="11" t="s">
        <v>44</v>
      </c>
      <c r="U549" s="11" t="s">
        <v>45</v>
      </c>
      <c r="V549" s="24">
        <v>45182</v>
      </c>
      <c r="W549" s="11" t="s">
        <v>46</v>
      </c>
      <c r="X549" s="11" t="s">
        <v>47</v>
      </c>
      <c r="Y549" s="11" t="s">
        <v>58</v>
      </c>
      <c r="Z549" s="11">
        <v>81995927325</v>
      </c>
      <c r="AA549" s="11" t="s">
        <v>91</v>
      </c>
      <c r="AB549" s="11" t="s">
        <v>49</v>
      </c>
      <c r="AC549" s="11" t="s">
        <v>106</v>
      </c>
      <c r="AD549" s="11" t="b">
        <v>1</v>
      </c>
      <c r="AE549" s="11" t="s">
        <v>137</v>
      </c>
      <c r="AF549" s="11" t="s">
        <v>1956</v>
      </c>
      <c r="AG549" s="11"/>
      <c r="AH549" s="11"/>
      <c r="AI549" s="11"/>
    </row>
    <row r="550" ht="12.5" spans="1:35">
      <c r="A550" s="177">
        <v>45182.6038402199</v>
      </c>
      <c r="B550" s="11" t="s">
        <v>1953</v>
      </c>
      <c r="C550" s="277" t="s">
        <v>1957</v>
      </c>
      <c r="D550" s="19">
        <v>700803490012388</v>
      </c>
      <c r="E550" s="18" t="s">
        <v>1958</v>
      </c>
      <c r="F550" s="11" t="s">
        <v>40</v>
      </c>
      <c r="G550" s="11" t="s">
        <v>88</v>
      </c>
      <c r="H550" s="24">
        <v>32640</v>
      </c>
      <c r="I550" s="19" t="s">
        <v>136</v>
      </c>
      <c r="J550" s="11" t="s">
        <v>81</v>
      </c>
      <c r="K550" s="108"/>
      <c r="L550" s="11" t="s">
        <v>525</v>
      </c>
      <c r="N550" s="11" t="s">
        <v>95</v>
      </c>
      <c r="O550" s="11" t="s">
        <v>96</v>
      </c>
      <c r="P550" s="11" t="s">
        <v>66</v>
      </c>
      <c r="Q550" s="11" t="s">
        <v>44</v>
      </c>
      <c r="R550" s="11" t="s">
        <v>45</v>
      </c>
      <c r="S550" s="11" t="s">
        <v>45</v>
      </c>
      <c r="T550" s="11" t="s">
        <v>44</v>
      </c>
      <c r="U550" s="11" t="s">
        <v>45</v>
      </c>
      <c r="V550" s="24">
        <v>45183</v>
      </c>
      <c r="W550" s="11" t="s">
        <v>46</v>
      </c>
      <c r="X550" s="11" t="s">
        <v>97</v>
      </c>
      <c r="Y550" s="11" t="s">
        <v>97</v>
      </c>
      <c r="Z550" s="11">
        <v>81995927325</v>
      </c>
      <c r="AA550" s="11" t="s">
        <v>103</v>
      </c>
      <c r="AB550" s="11" t="s">
        <v>49</v>
      </c>
      <c r="AC550" s="11" t="s">
        <v>75</v>
      </c>
      <c r="AD550" s="11" t="b">
        <v>0</v>
      </c>
      <c r="AF550" s="75" t="s">
        <v>1959</v>
      </c>
      <c r="AG550" s="11" t="s">
        <v>1960</v>
      </c>
      <c r="AH550" s="75" t="s">
        <v>1961</v>
      </c>
      <c r="AI550" s="11"/>
    </row>
    <row r="551" ht="12.5" spans="1:35">
      <c r="A551" s="177">
        <v>45182.7084992361</v>
      </c>
      <c r="B551" s="11" t="s">
        <v>1962</v>
      </c>
      <c r="C551" s="277" t="s">
        <v>1963</v>
      </c>
      <c r="D551" s="19">
        <v>700805993599089</v>
      </c>
      <c r="E551" s="18" t="s">
        <v>1964</v>
      </c>
      <c r="F551" s="11" t="s">
        <v>40</v>
      </c>
      <c r="G551" s="11" t="s">
        <v>88</v>
      </c>
      <c r="H551" s="24">
        <v>29759</v>
      </c>
      <c r="I551" s="277" t="s">
        <v>236</v>
      </c>
      <c r="J551" s="11" t="s">
        <v>42</v>
      </c>
      <c r="K551" s="108" t="s">
        <v>155</v>
      </c>
      <c r="N551" s="11" t="s">
        <v>43</v>
      </c>
      <c r="O551" s="11" t="s">
        <v>96</v>
      </c>
      <c r="P551" s="11" t="s">
        <v>56</v>
      </c>
      <c r="Q551" s="11" t="s">
        <v>44</v>
      </c>
      <c r="R551" s="11" t="s">
        <v>45</v>
      </c>
      <c r="S551" s="11" t="s">
        <v>44</v>
      </c>
      <c r="T551" s="11" t="s">
        <v>44</v>
      </c>
      <c r="U551" s="11" t="s">
        <v>45</v>
      </c>
      <c r="V551" s="24">
        <v>45183</v>
      </c>
      <c r="W551" s="11" t="s">
        <v>46</v>
      </c>
      <c r="X551" s="11" t="s">
        <v>47</v>
      </c>
      <c r="Y551" s="11" t="s">
        <v>58</v>
      </c>
      <c r="Z551" s="11">
        <v>81986675694</v>
      </c>
      <c r="AA551" s="11" t="s">
        <v>103</v>
      </c>
      <c r="AB551" s="11" t="s">
        <v>49</v>
      </c>
      <c r="AC551" s="11" t="s">
        <v>256</v>
      </c>
      <c r="AD551" s="11" t="b">
        <v>0</v>
      </c>
      <c r="AF551" s="11" t="s">
        <v>1965</v>
      </c>
      <c r="AG551" s="11" t="s">
        <v>1966</v>
      </c>
      <c r="AH551" s="64" t="s">
        <v>1967</v>
      </c>
      <c r="AI551" s="11"/>
    </row>
    <row r="552" ht="12.5" spans="1:35">
      <c r="A552" s="177">
        <v>45183.3646651852</v>
      </c>
      <c r="B552" s="11" t="s">
        <v>1968</v>
      </c>
      <c r="C552" s="19">
        <v>12856949452</v>
      </c>
      <c r="D552" s="19">
        <v>707601278100691</v>
      </c>
      <c r="E552" s="18" t="s">
        <v>1969</v>
      </c>
      <c r="F552" s="11" t="s">
        <v>40</v>
      </c>
      <c r="G552" s="11" t="s">
        <v>135</v>
      </c>
      <c r="H552" s="24">
        <v>37687</v>
      </c>
      <c r="I552" s="277" t="s">
        <v>1970</v>
      </c>
      <c r="J552" s="11" t="s">
        <v>42</v>
      </c>
      <c r="K552" s="108" t="s">
        <v>1971</v>
      </c>
      <c r="N552" s="11" t="s">
        <v>43</v>
      </c>
      <c r="O552" s="11" t="s">
        <v>44</v>
      </c>
      <c r="P552" s="11" t="s">
        <v>44</v>
      </c>
      <c r="Q552" s="11" t="s">
        <v>44</v>
      </c>
      <c r="R552" s="11" t="s">
        <v>45</v>
      </c>
      <c r="S552" s="11" t="s">
        <v>45</v>
      </c>
      <c r="T552" s="11" t="s">
        <v>44</v>
      </c>
      <c r="U552" s="11" t="s">
        <v>44</v>
      </c>
      <c r="W552" s="11" t="s">
        <v>46</v>
      </c>
      <c r="X552" s="11" t="s">
        <v>67</v>
      </c>
      <c r="Y552" s="11" t="s">
        <v>58</v>
      </c>
      <c r="Z552" s="11">
        <v>81996712934</v>
      </c>
      <c r="AA552" s="11" t="s">
        <v>1360</v>
      </c>
      <c r="AB552" s="11"/>
      <c r="AC552" s="11"/>
      <c r="AD552" s="11" t="b">
        <v>0</v>
      </c>
      <c r="AF552" s="11"/>
      <c r="AG552" s="11"/>
      <c r="AH552" s="11"/>
      <c r="AI552" s="11"/>
    </row>
    <row r="553" ht="12.5" spans="1:35">
      <c r="A553" s="177">
        <v>45183.3779055556</v>
      </c>
      <c r="B553" s="11" t="s">
        <v>1953</v>
      </c>
      <c r="C553" s="277" t="s">
        <v>1957</v>
      </c>
      <c r="D553" s="19">
        <v>700803490012388</v>
      </c>
      <c r="F553" s="11" t="s">
        <v>40</v>
      </c>
      <c r="G553" s="11" t="s">
        <v>88</v>
      </c>
      <c r="H553" s="24">
        <v>32640</v>
      </c>
      <c r="I553" s="19" t="s">
        <v>136</v>
      </c>
      <c r="J553" s="11" t="s">
        <v>81</v>
      </c>
      <c r="K553" s="108"/>
      <c r="L553" s="11" t="s">
        <v>525</v>
      </c>
      <c r="N553" s="11" t="s">
        <v>95</v>
      </c>
      <c r="O553" s="11" t="s">
        <v>127</v>
      </c>
      <c r="P553" s="11" t="s">
        <v>44</v>
      </c>
      <c r="Q553" s="11" t="s">
        <v>44</v>
      </c>
      <c r="R553" s="11" t="s">
        <v>45</v>
      </c>
      <c r="S553" s="11" t="s">
        <v>45</v>
      </c>
      <c r="T553" s="11" t="s">
        <v>44</v>
      </c>
      <c r="U553" s="11" t="s">
        <v>44</v>
      </c>
      <c r="W553" s="11" t="s">
        <v>57</v>
      </c>
      <c r="X553" s="11" t="s">
        <v>97</v>
      </c>
      <c r="Y553" s="11" t="s">
        <v>97</v>
      </c>
      <c r="Z553" s="11">
        <v>81995927325</v>
      </c>
      <c r="AA553" s="11" t="s">
        <v>113</v>
      </c>
      <c r="AB553" s="11"/>
      <c r="AC553" s="11"/>
      <c r="AD553" s="11" t="b">
        <v>0</v>
      </c>
      <c r="AF553" s="11"/>
      <c r="AG553" s="11"/>
      <c r="AH553" s="11"/>
      <c r="AI553" s="11"/>
    </row>
    <row r="554" ht="12.5" spans="1:35">
      <c r="A554" s="177">
        <v>45183.4703413657</v>
      </c>
      <c r="B554" s="11" t="s">
        <v>1972</v>
      </c>
      <c r="C554" s="19">
        <v>70242221408</v>
      </c>
      <c r="D554" s="19">
        <v>705406415504896</v>
      </c>
      <c r="E554" s="18" t="s">
        <v>1973</v>
      </c>
      <c r="F554" s="11" t="s">
        <v>40</v>
      </c>
      <c r="G554" s="11" t="s">
        <v>54</v>
      </c>
      <c r="H554" s="24">
        <v>35449</v>
      </c>
      <c r="I554" s="277" t="s">
        <v>1841</v>
      </c>
      <c r="J554" s="11" t="s">
        <v>42</v>
      </c>
      <c r="K554" s="108" t="s">
        <v>74</v>
      </c>
      <c r="N554" s="11" t="s">
        <v>43</v>
      </c>
      <c r="O554" s="11" t="s">
        <v>96</v>
      </c>
      <c r="P554" s="11" t="s">
        <v>56</v>
      </c>
      <c r="Q554" s="11" t="s">
        <v>44</v>
      </c>
      <c r="R554" s="11" t="s">
        <v>45</v>
      </c>
      <c r="S554" s="11" t="s">
        <v>45</v>
      </c>
      <c r="T554" s="11" t="s">
        <v>44</v>
      </c>
      <c r="U554" s="11" t="s">
        <v>45</v>
      </c>
      <c r="V554" s="24">
        <v>45185</v>
      </c>
      <c r="W554" s="11" t="s">
        <v>46</v>
      </c>
      <c r="X554" s="11" t="s">
        <v>47</v>
      </c>
      <c r="Y554" s="11" t="s">
        <v>58</v>
      </c>
      <c r="Z554" s="11">
        <v>81987256827</v>
      </c>
      <c r="AA554" s="11" t="s">
        <v>1360</v>
      </c>
      <c r="AB554" s="11" t="s">
        <v>49</v>
      </c>
      <c r="AC554" s="11" t="s">
        <v>50</v>
      </c>
      <c r="AD554" s="11" t="b">
        <v>0</v>
      </c>
      <c r="AF554" s="11" t="s">
        <v>1974</v>
      </c>
      <c r="AG554" s="11"/>
      <c r="AH554" s="11" t="s">
        <v>1975</v>
      </c>
      <c r="AI554" s="11"/>
    </row>
    <row r="555" ht="12.5" spans="1:35">
      <c r="A555" s="177">
        <v>45183.6970373958</v>
      </c>
      <c r="B555" s="11" t="s">
        <v>1949</v>
      </c>
      <c r="C555" s="19">
        <v>10704925400</v>
      </c>
      <c r="D555" s="19">
        <v>704002825635968</v>
      </c>
      <c r="F555" s="11" t="s">
        <v>40</v>
      </c>
      <c r="G555" s="11" t="s">
        <v>54</v>
      </c>
      <c r="H555" s="24">
        <v>33591</v>
      </c>
      <c r="I555" s="277" t="s">
        <v>923</v>
      </c>
      <c r="J555" s="11" t="s">
        <v>42</v>
      </c>
      <c r="K555" s="108" t="s">
        <v>74</v>
      </c>
      <c r="N555" s="11" t="s">
        <v>95</v>
      </c>
      <c r="O555" s="11" t="s">
        <v>96</v>
      </c>
      <c r="P555" s="11" t="s">
        <v>56</v>
      </c>
      <c r="Q555" s="11" t="s">
        <v>44</v>
      </c>
      <c r="R555" s="11" t="s">
        <v>45</v>
      </c>
      <c r="S555" s="11" t="s">
        <v>45</v>
      </c>
      <c r="T555" s="11" t="s">
        <v>44</v>
      </c>
      <c r="U555" s="11" t="s">
        <v>45</v>
      </c>
      <c r="V555" s="24">
        <v>45184</v>
      </c>
      <c r="W555" s="11" t="s">
        <v>57</v>
      </c>
      <c r="X555" s="11" t="s">
        <v>97</v>
      </c>
      <c r="Y555" s="11" t="s">
        <v>97</v>
      </c>
      <c r="Z555" s="11">
        <v>81988544578</v>
      </c>
      <c r="AA555" s="11" t="s">
        <v>113</v>
      </c>
      <c r="AB555" s="11" t="s">
        <v>98</v>
      </c>
      <c r="AC555" s="11"/>
      <c r="AD555" s="11" t="b">
        <v>0</v>
      </c>
      <c r="AF555" s="11" t="s">
        <v>1976</v>
      </c>
      <c r="AG555" s="11" t="s">
        <v>1977</v>
      </c>
      <c r="AH555" s="11" t="s">
        <v>1978</v>
      </c>
      <c r="AI555" s="11"/>
    </row>
    <row r="556" ht="12.5" spans="1:35">
      <c r="A556" s="177">
        <v>45183.7261440972</v>
      </c>
      <c r="B556" s="11" t="s">
        <v>1962</v>
      </c>
      <c r="C556" s="277" t="s">
        <v>1963</v>
      </c>
      <c r="D556" s="19">
        <v>700805993599089</v>
      </c>
      <c r="F556" s="11" t="s">
        <v>40</v>
      </c>
      <c r="G556" s="11" t="s">
        <v>88</v>
      </c>
      <c r="H556" s="24" t="s">
        <v>1979</v>
      </c>
      <c r="I556" s="277" t="s">
        <v>236</v>
      </c>
      <c r="J556" s="11" t="s">
        <v>42</v>
      </c>
      <c r="K556" s="108" t="s">
        <v>155</v>
      </c>
      <c r="N556" s="11" t="s">
        <v>95</v>
      </c>
      <c r="O556" s="11" t="s">
        <v>658</v>
      </c>
      <c r="P556" s="11" t="s">
        <v>44</v>
      </c>
      <c r="Q556" s="11" t="s">
        <v>45</v>
      </c>
      <c r="R556" s="11" t="s">
        <v>45</v>
      </c>
      <c r="S556" s="11" t="s">
        <v>45</v>
      </c>
      <c r="T556" s="11" t="s">
        <v>44</v>
      </c>
      <c r="U556" s="11" t="s">
        <v>44</v>
      </c>
      <c r="W556" s="11" t="s">
        <v>46</v>
      </c>
      <c r="X556" s="11" t="s">
        <v>97</v>
      </c>
      <c r="Y556" s="64" t="s">
        <v>97</v>
      </c>
      <c r="Z556" s="11">
        <v>81986675694</v>
      </c>
      <c r="AA556" s="11" t="s">
        <v>1360</v>
      </c>
      <c r="AB556" s="11"/>
      <c r="AC556" s="11"/>
      <c r="AD556" s="11" t="b">
        <v>0</v>
      </c>
      <c r="AF556" s="11"/>
      <c r="AG556" s="11"/>
      <c r="AH556" s="11" t="s">
        <v>1966</v>
      </c>
      <c r="AI556" s="11"/>
    </row>
    <row r="557" ht="12.5" spans="1:35">
      <c r="A557" s="177">
        <v>45185.6180864699</v>
      </c>
      <c r="B557" s="11" t="s">
        <v>1972</v>
      </c>
      <c r="C557" s="19">
        <v>70242221408</v>
      </c>
      <c r="D557" s="19">
        <v>705406415504896</v>
      </c>
      <c r="F557" s="11" t="s">
        <v>40</v>
      </c>
      <c r="G557" s="11" t="s">
        <v>54</v>
      </c>
      <c r="H557" s="24">
        <v>35449</v>
      </c>
      <c r="I557" s="277" t="s">
        <v>1841</v>
      </c>
      <c r="J557" s="11" t="s">
        <v>42</v>
      </c>
      <c r="K557" s="108" t="s">
        <v>74</v>
      </c>
      <c r="N557" s="11" t="s">
        <v>95</v>
      </c>
      <c r="O557" s="11" t="s">
        <v>96</v>
      </c>
      <c r="P557" s="11" t="s">
        <v>56</v>
      </c>
      <c r="Q557" s="11" t="s">
        <v>44</v>
      </c>
      <c r="R557" s="11" t="s">
        <v>45</v>
      </c>
      <c r="S557" s="11" t="s">
        <v>45</v>
      </c>
      <c r="T557" s="11" t="s">
        <v>44</v>
      </c>
      <c r="U557" s="11" t="s">
        <v>45</v>
      </c>
      <c r="V557" s="24">
        <v>45187</v>
      </c>
      <c r="W557" s="11" t="s">
        <v>57</v>
      </c>
      <c r="X557" s="11" t="s">
        <v>97</v>
      </c>
      <c r="Y557" s="11" t="s">
        <v>97</v>
      </c>
      <c r="Z557" s="11">
        <v>81987256827</v>
      </c>
      <c r="AA557" s="11" t="s">
        <v>115</v>
      </c>
      <c r="AB557" s="11" t="s">
        <v>49</v>
      </c>
      <c r="AC557" s="11" t="s">
        <v>92</v>
      </c>
      <c r="AD557" s="11" t="b">
        <v>1</v>
      </c>
      <c r="AE557" s="11" t="s">
        <v>137</v>
      </c>
      <c r="AF557" s="11" t="s">
        <v>1980</v>
      </c>
      <c r="AG557" s="11" t="s">
        <v>1981</v>
      </c>
      <c r="AH557" s="40" t="s">
        <v>1982</v>
      </c>
      <c r="AI557" s="11"/>
    </row>
    <row r="558" ht="12.5" spans="1:35">
      <c r="A558" s="177">
        <v>45185.6517317708</v>
      </c>
      <c r="B558" s="11" t="s">
        <v>1983</v>
      </c>
      <c r="C558" s="19">
        <v>70373464460</v>
      </c>
      <c r="D558" s="19">
        <v>700208977258122</v>
      </c>
      <c r="E558" s="18" t="s">
        <v>1984</v>
      </c>
      <c r="F558" s="11" t="s">
        <v>40</v>
      </c>
      <c r="G558" s="11" t="s">
        <v>54</v>
      </c>
      <c r="H558" s="24">
        <v>36035</v>
      </c>
      <c r="I558" s="277" t="s">
        <v>462</v>
      </c>
      <c r="J558" s="11" t="s">
        <v>42</v>
      </c>
      <c r="K558" s="108" t="s">
        <v>282</v>
      </c>
      <c r="N558" s="11" t="s">
        <v>43</v>
      </c>
      <c r="O558" s="11" t="s">
        <v>65</v>
      </c>
      <c r="P558" s="11" t="s">
        <v>66</v>
      </c>
      <c r="Q558" s="11" t="s">
        <v>44</v>
      </c>
      <c r="R558" s="11" t="s">
        <v>45</v>
      </c>
      <c r="S558" s="11" t="s">
        <v>45</v>
      </c>
      <c r="T558" s="11" t="s">
        <v>44</v>
      </c>
      <c r="U558" s="11" t="s">
        <v>45</v>
      </c>
      <c r="V558" s="24">
        <v>45186</v>
      </c>
      <c r="W558" s="11" t="s">
        <v>46</v>
      </c>
      <c r="X558" s="11" t="s">
        <v>303</v>
      </c>
      <c r="Y558" s="11" t="s">
        <v>68</v>
      </c>
      <c r="Z558" s="11">
        <v>81988742971</v>
      </c>
      <c r="AA558" s="11" t="s">
        <v>115</v>
      </c>
      <c r="AB558" s="11" t="s">
        <v>49</v>
      </c>
      <c r="AC558" s="11" t="s">
        <v>92</v>
      </c>
      <c r="AD558" s="11" t="b">
        <v>0</v>
      </c>
      <c r="AF558" s="11" t="s">
        <v>1985</v>
      </c>
      <c r="AG558" s="11" t="s">
        <v>1986</v>
      </c>
      <c r="AH558" s="64" t="s">
        <v>1987</v>
      </c>
      <c r="AI558" s="11"/>
    </row>
    <row r="559" ht="12.5" spans="1:35">
      <c r="A559" s="177">
        <v>45185.74287375</v>
      </c>
      <c r="B559" s="11" t="s">
        <v>1988</v>
      </c>
      <c r="C559" s="19">
        <v>70626108446</v>
      </c>
      <c r="D559" s="19">
        <v>704606634032426</v>
      </c>
      <c r="E559" s="18" t="s">
        <v>1989</v>
      </c>
      <c r="F559" s="11" t="s">
        <v>40</v>
      </c>
      <c r="G559" s="11" t="s">
        <v>54</v>
      </c>
      <c r="H559" s="24">
        <v>36978</v>
      </c>
      <c r="I559" s="277" t="s">
        <v>1990</v>
      </c>
      <c r="J559" s="11" t="s">
        <v>42</v>
      </c>
      <c r="K559" s="108" t="s">
        <v>1991</v>
      </c>
      <c r="N559" s="11" t="s">
        <v>43</v>
      </c>
      <c r="O559" s="11" t="s">
        <v>44</v>
      </c>
      <c r="P559" s="11" t="s">
        <v>44</v>
      </c>
      <c r="Q559" s="11" t="s">
        <v>44</v>
      </c>
      <c r="R559" s="11" t="s">
        <v>45</v>
      </c>
      <c r="S559" s="11" t="s">
        <v>83</v>
      </c>
      <c r="T559" s="11" t="s">
        <v>44</v>
      </c>
      <c r="U559" s="11" t="s">
        <v>44</v>
      </c>
      <c r="W559" s="11" t="s">
        <v>46</v>
      </c>
      <c r="X559" s="11" t="s">
        <v>303</v>
      </c>
      <c r="Y559" s="11" t="s">
        <v>58</v>
      </c>
      <c r="Z559" s="11">
        <v>81973464375</v>
      </c>
      <c r="AA559" s="11" t="s">
        <v>91</v>
      </c>
      <c r="AB559" s="11"/>
      <c r="AC559" s="11"/>
      <c r="AD559" s="11" t="b">
        <v>0</v>
      </c>
      <c r="AF559" s="11"/>
      <c r="AG559" s="11"/>
      <c r="AH559" s="11"/>
      <c r="AI559" s="11"/>
    </row>
    <row r="560" ht="12.5" spans="1:35">
      <c r="A560" s="177">
        <v>45185.7758453357</v>
      </c>
      <c r="B560" s="11" t="s">
        <v>1992</v>
      </c>
      <c r="C560" s="277" t="s">
        <v>1993</v>
      </c>
      <c r="D560" s="19">
        <v>702406072275122</v>
      </c>
      <c r="E560" s="18" t="s">
        <v>1994</v>
      </c>
      <c r="F560" s="11" t="s">
        <v>40</v>
      </c>
      <c r="G560" s="11" t="s">
        <v>54</v>
      </c>
      <c r="H560" s="24">
        <v>33800</v>
      </c>
      <c r="I560" s="277" t="s">
        <v>1995</v>
      </c>
      <c r="J560" s="11" t="s">
        <v>42</v>
      </c>
      <c r="K560" s="108" t="s">
        <v>1996</v>
      </c>
      <c r="N560" s="11" t="s">
        <v>43</v>
      </c>
      <c r="O560" s="11" t="s">
        <v>44</v>
      </c>
      <c r="P560" s="11" t="s">
        <v>56</v>
      </c>
      <c r="Q560" s="11" t="s">
        <v>44</v>
      </c>
      <c r="R560" s="11" t="s">
        <v>45</v>
      </c>
      <c r="S560" s="11" t="s">
        <v>45</v>
      </c>
      <c r="T560" s="11" t="s">
        <v>44</v>
      </c>
      <c r="U560" s="11" t="s">
        <v>45</v>
      </c>
      <c r="V560" s="24">
        <v>45187</v>
      </c>
      <c r="W560" s="11" t="s">
        <v>46</v>
      </c>
      <c r="X560" s="11" t="s">
        <v>303</v>
      </c>
      <c r="Y560" s="11" t="s">
        <v>68</v>
      </c>
      <c r="Z560" s="11">
        <v>81985302814</v>
      </c>
      <c r="AA560" s="11" t="s">
        <v>115</v>
      </c>
      <c r="AB560" s="11" t="s">
        <v>98</v>
      </c>
      <c r="AC560" s="11"/>
      <c r="AD560" s="11" t="b">
        <v>0</v>
      </c>
      <c r="AF560" s="11" t="s">
        <v>1980</v>
      </c>
      <c r="AG560" s="11" t="s">
        <v>1997</v>
      </c>
      <c r="AH560" s="141" t="s">
        <v>1998</v>
      </c>
      <c r="AI560" s="11"/>
    </row>
    <row r="561" ht="12.5" spans="1:35">
      <c r="A561" s="177">
        <v>45187.3853714352</v>
      </c>
      <c r="B561" s="11" t="s">
        <v>1004</v>
      </c>
      <c r="C561" s="19">
        <v>14500412484</v>
      </c>
      <c r="D561" s="19">
        <v>898005174693865</v>
      </c>
      <c r="E561" s="18" t="s">
        <v>1999</v>
      </c>
      <c r="F561" s="11" t="s">
        <v>40</v>
      </c>
      <c r="G561" s="11" t="s">
        <v>41</v>
      </c>
      <c r="H561" s="24">
        <v>37179</v>
      </c>
      <c r="I561" s="277" t="s">
        <v>1006</v>
      </c>
      <c r="J561" s="11" t="s">
        <v>42</v>
      </c>
      <c r="K561" s="108" t="s">
        <v>155</v>
      </c>
      <c r="N561" s="11" t="s">
        <v>43</v>
      </c>
      <c r="O561" s="11" t="s">
        <v>44</v>
      </c>
      <c r="P561" s="11" t="s">
        <v>44</v>
      </c>
      <c r="Q561" s="11" t="s">
        <v>44</v>
      </c>
      <c r="R561" s="11" t="s">
        <v>45</v>
      </c>
      <c r="S561" s="11" t="s">
        <v>83</v>
      </c>
      <c r="T561" s="11" t="s">
        <v>44</v>
      </c>
      <c r="U561" s="11" t="s">
        <v>44</v>
      </c>
      <c r="W561" s="11" t="s">
        <v>46</v>
      </c>
      <c r="X561" s="11" t="s">
        <v>47</v>
      </c>
      <c r="Y561" s="11" t="s">
        <v>58</v>
      </c>
      <c r="Z561" s="11">
        <v>81991067896</v>
      </c>
      <c r="AA561" s="11" t="s">
        <v>105</v>
      </c>
      <c r="AB561" s="11"/>
      <c r="AC561" s="11"/>
      <c r="AD561" s="11" t="b">
        <v>0</v>
      </c>
      <c r="AF561" s="11"/>
      <c r="AG561" s="11"/>
      <c r="AH561" s="11"/>
      <c r="AI561" s="11"/>
    </row>
    <row r="562" ht="12.5" spans="1:35">
      <c r="A562" s="216">
        <v>45187.4063128704</v>
      </c>
      <c r="B562" s="11" t="s">
        <v>1897</v>
      </c>
      <c r="C562" s="19">
        <v>16629595408</v>
      </c>
      <c r="D562" s="19">
        <v>704007382536065</v>
      </c>
      <c r="E562" s="18" t="s">
        <v>2000</v>
      </c>
      <c r="F562" s="11" t="s">
        <v>40</v>
      </c>
      <c r="G562" s="11" t="s">
        <v>54</v>
      </c>
      <c r="H562" s="24">
        <v>38430</v>
      </c>
      <c r="I562" s="19" t="s">
        <v>1310</v>
      </c>
      <c r="J562" s="11" t="s">
        <v>42</v>
      </c>
      <c r="K562" s="108" t="s">
        <v>356</v>
      </c>
      <c r="N562" s="11" t="s">
        <v>43</v>
      </c>
      <c r="O562" s="11" t="s">
        <v>65</v>
      </c>
      <c r="P562" s="11" t="s">
        <v>66</v>
      </c>
      <c r="Q562" s="11" t="s">
        <v>44</v>
      </c>
      <c r="R562" s="11" t="s">
        <v>45</v>
      </c>
      <c r="S562" s="11" t="s">
        <v>44</v>
      </c>
      <c r="T562" s="11" t="s">
        <v>44</v>
      </c>
      <c r="U562" s="11" t="s">
        <v>45</v>
      </c>
      <c r="V562" s="24">
        <v>45187</v>
      </c>
      <c r="W562" s="11" t="s">
        <v>46</v>
      </c>
      <c r="X562" s="11" t="s">
        <v>47</v>
      </c>
      <c r="Y562" s="11" t="s">
        <v>58</v>
      </c>
      <c r="Z562" s="11">
        <v>81992204106</v>
      </c>
      <c r="AA562" s="11" t="s">
        <v>91</v>
      </c>
      <c r="AB562" s="11" t="s">
        <v>49</v>
      </c>
      <c r="AC562" s="11" t="s">
        <v>106</v>
      </c>
      <c r="AD562" s="11" t="b">
        <v>0</v>
      </c>
      <c r="AF562" s="11" t="s">
        <v>2001</v>
      </c>
      <c r="AG562" s="11" t="s">
        <v>2002</v>
      </c>
      <c r="AH562" s="40" t="s">
        <v>1982</v>
      </c>
      <c r="AI562" s="11"/>
    </row>
    <row r="563" ht="12.5" spans="1:35">
      <c r="A563" s="177">
        <v>45187.4365234491</v>
      </c>
      <c r="B563" s="11" t="s">
        <v>1983</v>
      </c>
      <c r="C563" s="19">
        <v>70373464460</v>
      </c>
      <c r="D563" s="19">
        <v>700208977258122</v>
      </c>
      <c r="F563" s="11" t="s">
        <v>40</v>
      </c>
      <c r="G563" s="11" t="s">
        <v>54</v>
      </c>
      <c r="H563" s="24">
        <v>36035</v>
      </c>
      <c r="I563" s="277" t="s">
        <v>462</v>
      </c>
      <c r="J563" s="11" t="s">
        <v>42</v>
      </c>
      <c r="K563" s="108" t="s">
        <v>90</v>
      </c>
      <c r="N563" s="11" t="s">
        <v>95</v>
      </c>
      <c r="O563" s="11" t="s">
        <v>2003</v>
      </c>
      <c r="P563" s="11" t="s">
        <v>66</v>
      </c>
      <c r="Q563" s="11" t="s">
        <v>44</v>
      </c>
      <c r="R563" s="11" t="s">
        <v>45</v>
      </c>
      <c r="S563" s="11" t="s">
        <v>45</v>
      </c>
      <c r="T563" s="11" t="s">
        <v>44</v>
      </c>
      <c r="U563" s="11" t="s">
        <v>45</v>
      </c>
      <c r="V563" s="24">
        <v>45187</v>
      </c>
      <c r="W563" s="11" t="s">
        <v>46</v>
      </c>
      <c r="X563" s="11" t="s">
        <v>97</v>
      </c>
      <c r="Y563" s="64" t="s">
        <v>97</v>
      </c>
      <c r="Z563" s="11">
        <v>81988742971</v>
      </c>
      <c r="AA563" s="11" t="s">
        <v>91</v>
      </c>
      <c r="AB563" s="11" t="s">
        <v>49</v>
      </c>
      <c r="AC563" s="11" t="s">
        <v>92</v>
      </c>
      <c r="AD563" s="11" t="b">
        <v>0</v>
      </c>
      <c r="AF563" s="11" t="s">
        <v>2004</v>
      </c>
      <c r="AG563" s="11" t="s">
        <v>2005</v>
      </c>
      <c r="AH563" s="40" t="s">
        <v>1982</v>
      </c>
      <c r="AI563" s="11"/>
    </row>
    <row r="564" ht="12.5" spans="1:35">
      <c r="A564" s="177">
        <v>45187.5955684954</v>
      </c>
      <c r="B564" s="11" t="s">
        <v>993</v>
      </c>
      <c r="C564" s="19">
        <v>10347149456</v>
      </c>
      <c r="D564" s="19">
        <v>706801783269029</v>
      </c>
      <c r="E564" s="18" t="s">
        <v>2006</v>
      </c>
      <c r="F564" s="11" t="s">
        <v>225</v>
      </c>
      <c r="G564" s="11" t="s">
        <v>54</v>
      </c>
      <c r="H564" s="24">
        <v>33653</v>
      </c>
      <c r="I564" s="277" t="s">
        <v>995</v>
      </c>
      <c r="J564" s="11" t="s">
        <v>42</v>
      </c>
      <c r="K564" s="108" t="s">
        <v>2007</v>
      </c>
      <c r="N564" s="11" t="s">
        <v>43</v>
      </c>
      <c r="O564" s="11" t="s">
        <v>44</v>
      </c>
      <c r="P564" s="11" t="s">
        <v>44</v>
      </c>
      <c r="Q564" s="11" t="s">
        <v>44</v>
      </c>
      <c r="R564" s="11" t="s">
        <v>45</v>
      </c>
      <c r="S564" s="11" t="s">
        <v>44</v>
      </c>
      <c r="T564" s="11" t="s">
        <v>44</v>
      </c>
      <c r="U564" s="11" t="s">
        <v>44</v>
      </c>
      <c r="W564" s="11" t="s">
        <v>46</v>
      </c>
      <c r="X564" s="11" t="s">
        <v>47</v>
      </c>
      <c r="Y564" s="11" t="s">
        <v>58</v>
      </c>
      <c r="Z564" s="11">
        <v>81996851239</v>
      </c>
      <c r="AA564" s="11" t="s">
        <v>1360</v>
      </c>
      <c r="AB564" s="11"/>
      <c r="AC564" s="11"/>
      <c r="AD564" s="11" t="b">
        <v>0</v>
      </c>
      <c r="AF564" s="11"/>
      <c r="AG564" s="11"/>
      <c r="AH564" s="11"/>
      <c r="AI564" s="11"/>
    </row>
    <row r="565" ht="12.5" spans="1:35">
      <c r="A565" s="216">
        <v>45187.7962262963</v>
      </c>
      <c r="B565" s="11" t="s">
        <v>1080</v>
      </c>
      <c r="C565" s="19">
        <v>10807429481</v>
      </c>
      <c r="D565" s="19">
        <v>700306966503330</v>
      </c>
      <c r="E565" s="18" t="s">
        <v>2008</v>
      </c>
      <c r="F565" s="11" t="s">
        <v>40</v>
      </c>
      <c r="G565" s="11" t="s">
        <v>54</v>
      </c>
      <c r="H565" s="24">
        <v>34562</v>
      </c>
      <c r="I565" s="277" t="s">
        <v>1082</v>
      </c>
      <c r="J565" s="11" t="s">
        <v>42</v>
      </c>
      <c r="K565" s="108" t="s">
        <v>1190</v>
      </c>
      <c r="N565" s="11" t="s">
        <v>43</v>
      </c>
      <c r="O565" s="11" t="s">
        <v>96</v>
      </c>
      <c r="P565" s="11" t="s">
        <v>66</v>
      </c>
      <c r="Q565" s="11" t="s">
        <v>44</v>
      </c>
      <c r="R565" s="11" t="s">
        <v>45</v>
      </c>
      <c r="S565" s="11" t="s">
        <v>45</v>
      </c>
      <c r="T565" s="11" t="s">
        <v>44</v>
      </c>
      <c r="U565" s="11" t="s">
        <v>45</v>
      </c>
      <c r="V565" s="24">
        <v>45188</v>
      </c>
      <c r="W565" s="11" t="s">
        <v>46</v>
      </c>
      <c r="X565" s="11" t="s">
        <v>203</v>
      </c>
      <c r="Y565" s="11" t="s">
        <v>58</v>
      </c>
      <c r="Z565" s="11">
        <v>81988220808</v>
      </c>
      <c r="AA565" s="11" t="s">
        <v>1360</v>
      </c>
      <c r="AB565" s="11" t="s">
        <v>49</v>
      </c>
      <c r="AC565" s="11" t="s">
        <v>256</v>
      </c>
      <c r="AD565" s="11" t="b">
        <v>0</v>
      </c>
      <c r="AF565" s="11" t="s">
        <v>2009</v>
      </c>
      <c r="AG565" s="11"/>
      <c r="AH565" s="11" t="s">
        <v>2010</v>
      </c>
      <c r="AI565" s="11"/>
    </row>
    <row r="566" ht="12.5" spans="1:35">
      <c r="A566" s="177">
        <v>45188.4456082523</v>
      </c>
      <c r="B566" s="11" t="s">
        <v>1983</v>
      </c>
      <c r="C566" s="19">
        <v>70373464460</v>
      </c>
      <c r="D566" s="19">
        <v>700208977258122</v>
      </c>
      <c r="F566" s="11" t="s">
        <v>40</v>
      </c>
      <c r="G566" s="11" t="s">
        <v>54</v>
      </c>
      <c r="H566" s="24">
        <v>36035</v>
      </c>
      <c r="I566" s="277" t="s">
        <v>462</v>
      </c>
      <c r="J566" s="11" t="s">
        <v>42</v>
      </c>
      <c r="K566" s="108" t="s">
        <v>90</v>
      </c>
      <c r="N566" s="11" t="s">
        <v>95</v>
      </c>
      <c r="O566" s="11" t="s">
        <v>127</v>
      </c>
      <c r="P566" s="11" t="s">
        <v>44</v>
      </c>
      <c r="Q566" s="11" t="s">
        <v>44</v>
      </c>
      <c r="R566" s="11" t="s">
        <v>45</v>
      </c>
      <c r="S566" s="11" t="s">
        <v>45</v>
      </c>
      <c r="T566" s="11" t="s">
        <v>44</v>
      </c>
      <c r="U566" s="11" t="s">
        <v>44</v>
      </c>
      <c r="W566" s="11" t="s">
        <v>57</v>
      </c>
      <c r="X566" s="11" t="s">
        <v>97</v>
      </c>
      <c r="Y566" s="11" t="s">
        <v>97</v>
      </c>
      <c r="Z566" s="11">
        <v>81988742971</v>
      </c>
      <c r="AA566" s="11" t="s">
        <v>91</v>
      </c>
      <c r="AB566" s="11"/>
      <c r="AC566" s="11"/>
      <c r="AD566" s="11" t="b">
        <v>0</v>
      </c>
      <c r="AF566" s="11"/>
      <c r="AG566" s="11"/>
      <c r="AH566" s="11"/>
      <c r="AI566" s="11"/>
    </row>
    <row r="567" ht="12.5" spans="1:35">
      <c r="A567" s="177">
        <v>45188.4815688079</v>
      </c>
      <c r="B567" s="11" t="s">
        <v>1897</v>
      </c>
      <c r="C567" s="19">
        <v>16629595408</v>
      </c>
      <c r="D567" s="19">
        <v>704007382536065</v>
      </c>
      <c r="F567" s="11" t="s">
        <v>40</v>
      </c>
      <c r="G567" s="11" t="s">
        <v>54</v>
      </c>
      <c r="H567" s="24">
        <v>38491</v>
      </c>
      <c r="I567" s="19" t="s">
        <v>865</v>
      </c>
      <c r="J567" s="11" t="s">
        <v>81</v>
      </c>
      <c r="K567" s="108"/>
      <c r="L567" s="11" t="s">
        <v>109</v>
      </c>
      <c r="N567" s="11" t="s">
        <v>95</v>
      </c>
      <c r="O567" s="11" t="s">
        <v>127</v>
      </c>
      <c r="P567" s="11" t="s">
        <v>44</v>
      </c>
      <c r="Q567" s="11" t="s">
        <v>44</v>
      </c>
      <c r="R567" s="11" t="s">
        <v>45</v>
      </c>
      <c r="S567" s="11" t="s">
        <v>45</v>
      </c>
      <c r="T567" s="11" t="s">
        <v>44</v>
      </c>
      <c r="U567" s="11" t="s">
        <v>44</v>
      </c>
      <c r="W567" s="11" t="s">
        <v>57</v>
      </c>
      <c r="X567" s="11" t="s">
        <v>97</v>
      </c>
      <c r="Y567" s="11" t="s">
        <v>97</v>
      </c>
      <c r="Z567" s="11">
        <v>81992204106</v>
      </c>
      <c r="AA567" s="11" t="s">
        <v>103</v>
      </c>
      <c r="AB567" s="11"/>
      <c r="AC567" s="11"/>
      <c r="AD567" s="11" t="b">
        <v>0</v>
      </c>
      <c r="AF567" s="11"/>
      <c r="AG567" s="11"/>
      <c r="AH567" s="11"/>
      <c r="AI567" s="11"/>
    </row>
    <row r="568" ht="12.5" spans="1:35">
      <c r="A568" s="177">
        <v>45188.5970310532</v>
      </c>
      <c r="B568" s="11" t="s">
        <v>1972</v>
      </c>
      <c r="C568" s="19">
        <v>70242221408</v>
      </c>
      <c r="D568" s="19">
        <v>705406415504896</v>
      </c>
      <c r="E568" s="18" t="s">
        <v>2011</v>
      </c>
      <c r="F568" s="11" t="s">
        <v>40</v>
      </c>
      <c r="G568" s="11" t="s">
        <v>54</v>
      </c>
      <c r="H568" s="24">
        <v>35449</v>
      </c>
      <c r="I568" s="277" t="s">
        <v>1841</v>
      </c>
      <c r="J568" s="11" t="s">
        <v>42</v>
      </c>
      <c r="K568" s="108" t="s">
        <v>74</v>
      </c>
      <c r="N568" s="11" t="s">
        <v>95</v>
      </c>
      <c r="O568" s="11" t="s">
        <v>96</v>
      </c>
      <c r="P568" s="11" t="s">
        <v>56</v>
      </c>
      <c r="Q568" s="11" t="s">
        <v>45</v>
      </c>
      <c r="R568" s="11" t="s">
        <v>45</v>
      </c>
      <c r="S568" s="11" t="s">
        <v>83</v>
      </c>
      <c r="T568" s="11" t="s">
        <v>44</v>
      </c>
      <c r="U568" s="11" t="s">
        <v>45</v>
      </c>
      <c r="V568" s="24">
        <v>45190</v>
      </c>
      <c r="W568" s="11" t="s">
        <v>46</v>
      </c>
      <c r="X568" s="11" t="s">
        <v>97</v>
      </c>
      <c r="Y568" s="11" t="s">
        <v>97</v>
      </c>
      <c r="Z568" s="11">
        <v>81987256827</v>
      </c>
      <c r="AA568" s="11" t="s">
        <v>91</v>
      </c>
      <c r="AB568" s="11" t="s">
        <v>49</v>
      </c>
      <c r="AC568" s="11" t="s">
        <v>75</v>
      </c>
      <c r="AD568" s="11" t="b">
        <v>0</v>
      </c>
      <c r="AF568" s="11" t="s">
        <v>2012</v>
      </c>
      <c r="AG568" s="11" t="s">
        <v>2013</v>
      </c>
      <c r="AH568" s="11"/>
      <c r="AI568" s="11"/>
    </row>
    <row r="569" ht="12.5" spans="1:35">
      <c r="A569" s="177">
        <v>45189.6324187268</v>
      </c>
      <c r="B569" s="11" t="s">
        <v>1080</v>
      </c>
      <c r="C569" s="19">
        <v>10807429481</v>
      </c>
      <c r="D569" s="19">
        <v>700306966503330</v>
      </c>
      <c r="F569" s="11" t="s">
        <v>40</v>
      </c>
      <c r="G569" s="11" t="s">
        <v>54</v>
      </c>
      <c r="H569" s="24">
        <v>34562</v>
      </c>
      <c r="I569" s="277" t="s">
        <v>1082</v>
      </c>
      <c r="J569" s="11" t="s">
        <v>42</v>
      </c>
      <c r="K569" s="108" t="s">
        <v>1190</v>
      </c>
      <c r="N569" s="11" t="s">
        <v>95</v>
      </c>
      <c r="O569" s="11" t="s">
        <v>44</v>
      </c>
      <c r="P569" s="11" t="s">
        <v>44</v>
      </c>
      <c r="Q569" s="11" t="s">
        <v>44</v>
      </c>
      <c r="R569" s="11" t="s">
        <v>45</v>
      </c>
      <c r="S569" s="11" t="s">
        <v>45</v>
      </c>
      <c r="T569" s="11" t="s">
        <v>44</v>
      </c>
      <c r="U569" s="11" t="s">
        <v>44</v>
      </c>
      <c r="W569" s="11" t="s">
        <v>57</v>
      </c>
      <c r="X569" s="11" t="s">
        <v>97</v>
      </c>
      <c r="Y569" s="11" t="s">
        <v>97</v>
      </c>
      <c r="Z569" s="11">
        <v>81988220808</v>
      </c>
      <c r="AA569" s="11" t="s">
        <v>1360</v>
      </c>
      <c r="AB569" s="11"/>
      <c r="AC569" s="11"/>
      <c r="AD569" s="11" t="b">
        <v>0</v>
      </c>
      <c r="AF569" s="11"/>
      <c r="AG569" s="11"/>
      <c r="AH569" s="11" t="s">
        <v>2014</v>
      </c>
      <c r="AI569" s="11"/>
    </row>
    <row r="570" ht="12.5" spans="1:35">
      <c r="A570" s="177">
        <v>45190.4434391204</v>
      </c>
      <c r="B570" s="11" t="s">
        <v>2015</v>
      </c>
      <c r="C570" s="277" t="s">
        <v>2016</v>
      </c>
      <c r="D570" s="19">
        <v>704203294432785</v>
      </c>
      <c r="E570" s="18" t="s">
        <v>2017</v>
      </c>
      <c r="F570" s="11" t="s">
        <v>40</v>
      </c>
      <c r="G570" s="11" t="s">
        <v>54</v>
      </c>
      <c r="H570" s="24">
        <v>30495</v>
      </c>
      <c r="I570" s="277" t="s">
        <v>2018</v>
      </c>
      <c r="J570" s="11" t="s">
        <v>42</v>
      </c>
      <c r="K570" s="108" t="s">
        <v>74</v>
      </c>
      <c r="N570" s="11" t="s">
        <v>43</v>
      </c>
      <c r="O570" s="11" t="s">
        <v>96</v>
      </c>
      <c r="P570" s="11" t="s">
        <v>56</v>
      </c>
      <c r="Q570" s="11" t="s">
        <v>45</v>
      </c>
      <c r="R570" s="11" t="s">
        <v>45</v>
      </c>
      <c r="S570" s="11" t="s">
        <v>45</v>
      </c>
      <c r="T570" s="11" t="s">
        <v>44</v>
      </c>
      <c r="U570" s="11" t="s">
        <v>45</v>
      </c>
      <c r="V570" s="24">
        <v>45192</v>
      </c>
      <c r="W570" s="11" t="s">
        <v>46</v>
      </c>
      <c r="X570" s="11" t="s">
        <v>47</v>
      </c>
      <c r="Y570" s="11" t="s">
        <v>48</v>
      </c>
      <c r="Z570" s="11">
        <v>81992190712</v>
      </c>
      <c r="AA570" s="11" t="s">
        <v>115</v>
      </c>
      <c r="AB570" s="11" t="s">
        <v>98</v>
      </c>
      <c r="AC570" s="11"/>
      <c r="AD570" s="11" t="b">
        <v>0</v>
      </c>
      <c r="AF570" s="11" t="s">
        <v>2019</v>
      </c>
      <c r="AG570" s="11"/>
      <c r="AH570" s="11" t="s">
        <v>2020</v>
      </c>
      <c r="AI570" s="11"/>
    </row>
    <row r="571" ht="12.5" spans="1:35">
      <c r="A571" s="177">
        <v>45190.4999449074</v>
      </c>
      <c r="B571" s="11" t="s">
        <v>2021</v>
      </c>
      <c r="C571" s="19">
        <v>71015297471</v>
      </c>
      <c r="D571" s="19">
        <v>704704755758735</v>
      </c>
      <c r="E571" s="18" t="s">
        <v>2022</v>
      </c>
      <c r="F571" s="11" t="s">
        <v>40</v>
      </c>
      <c r="G571" s="11" t="s">
        <v>54</v>
      </c>
      <c r="H571" s="24">
        <v>36534</v>
      </c>
      <c r="I571" s="277" t="s">
        <v>1826</v>
      </c>
      <c r="J571" s="11" t="s">
        <v>42</v>
      </c>
      <c r="K571" s="108" t="s">
        <v>63</v>
      </c>
      <c r="N571" s="11" t="s">
        <v>43</v>
      </c>
      <c r="O571" s="11" t="s">
        <v>44</v>
      </c>
      <c r="P571" s="11" t="s">
        <v>56</v>
      </c>
      <c r="Q571" s="11" t="s">
        <v>45</v>
      </c>
      <c r="R571" s="11" t="s">
        <v>45</v>
      </c>
      <c r="S571" s="11" t="s">
        <v>45</v>
      </c>
      <c r="T571" s="11" t="s">
        <v>44</v>
      </c>
      <c r="U571" s="11" t="s">
        <v>45</v>
      </c>
      <c r="V571" s="24">
        <v>45190</v>
      </c>
      <c r="W571" s="11" t="s">
        <v>46</v>
      </c>
      <c r="X571" s="11" t="s">
        <v>47</v>
      </c>
      <c r="Y571" s="11" t="s">
        <v>58</v>
      </c>
      <c r="Z571" s="11">
        <v>81985136319</v>
      </c>
      <c r="AA571" s="11" t="s">
        <v>115</v>
      </c>
      <c r="AB571" s="11" t="s">
        <v>49</v>
      </c>
      <c r="AC571" s="11" t="s">
        <v>50</v>
      </c>
      <c r="AD571" s="11" t="b">
        <v>1</v>
      </c>
      <c r="AE571" s="11" t="s">
        <v>137</v>
      </c>
      <c r="AF571" s="11" t="s">
        <v>2023</v>
      </c>
      <c r="AG571" s="11"/>
      <c r="AH571" s="11"/>
      <c r="AI571" s="11"/>
    </row>
    <row r="572" ht="12.5" spans="1:35">
      <c r="A572" s="177">
        <v>45190.5176706944</v>
      </c>
      <c r="B572" s="11" t="s">
        <v>993</v>
      </c>
      <c r="C572" s="19">
        <v>10347149456</v>
      </c>
      <c r="D572" s="19">
        <v>706801783269029</v>
      </c>
      <c r="E572" s="18" t="s">
        <v>2024</v>
      </c>
      <c r="F572" s="11" t="s">
        <v>225</v>
      </c>
      <c r="G572" s="11" t="s">
        <v>54</v>
      </c>
      <c r="H572" s="24">
        <v>33653</v>
      </c>
      <c r="I572" s="19" t="s">
        <v>2025</v>
      </c>
      <c r="J572" s="11" t="s">
        <v>81</v>
      </c>
      <c r="K572" s="108"/>
      <c r="L572" s="11" t="s">
        <v>525</v>
      </c>
      <c r="N572" s="11" t="s">
        <v>43</v>
      </c>
      <c r="O572" s="11" t="s">
        <v>96</v>
      </c>
      <c r="P572" s="11" t="s">
        <v>66</v>
      </c>
      <c r="Q572" s="11" t="s">
        <v>44</v>
      </c>
      <c r="R572" s="11" t="s">
        <v>45</v>
      </c>
      <c r="S572" s="11" t="s">
        <v>44</v>
      </c>
      <c r="T572" s="11" t="s">
        <v>44</v>
      </c>
      <c r="U572" s="11" t="s">
        <v>45</v>
      </c>
      <c r="V572" s="24">
        <v>45190</v>
      </c>
      <c r="W572" s="11" t="s">
        <v>46</v>
      </c>
      <c r="X572" s="11" t="s">
        <v>47</v>
      </c>
      <c r="Y572" s="11" t="s">
        <v>58</v>
      </c>
      <c r="Z572" s="11">
        <v>81996851239</v>
      </c>
      <c r="AA572" s="11" t="s">
        <v>91</v>
      </c>
      <c r="AB572" s="11" t="s">
        <v>49</v>
      </c>
      <c r="AC572" s="11" t="s">
        <v>92</v>
      </c>
      <c r="AD572" s="11" t="b">
        <v>1</v>
      </c>
      <c r="AE572" s="11" t="s">
        <v>137</v>
      </c>
      <c r="AF572" s="11" t="s">
        <v>2026</v>
      </c>
      <c r="AG572" s="11" t="s">
        <v>2027</v>
      </c>
      <c r="AH572" s="40" t="s">
        <v>2028</v>
      </c>
      <c r="AI572" s="11"/>
    </row>
    <row r="573" ht="12.5" spans="1:35">
      <c r="A573" s="177">
        <v>45190.6931961111</v>
      </c>
      <c r="B573" s="11" t="s">
        <v>2021</v>
      </c>
      <c r="C573" s="19">
        <v>71015297471</v>
      </c>
      <c r="D573" s="19">
        <v>704704755758735</v>
      </c>
      <c r="E573" s="18" t="s">
        <v>2029</v>
      </c>
      <c r="F573" s="11" t="s">
        <v>40</v>
      </c>
      <c r="G573" s="11" t="s">
        <v>54</v>
      </c>
      <c r="H573" s="24">
        <v>36534</v>
      </c>
      <c r="I573" s="277" t="s">
        <v>1826</v>
      </c>
      <c r="J573" s="11" t="s">
        <v>42</v>
      </c>
      <c r="K573" s="108" t="s">
        <v>63</v>
      </c>
      <c r="N573" s="11" t="s">
        <v>95</v>
      </c>
      <c r="O573" s="11" t="s">
        <v>44</v>
      </c>
      <c r="P573" s="11" t="s">
        <v>56</v>
      </c>
      <c r="Q573" s="11" t="s">
        <v>45</v>
      </c>
      <c r="R573" s="11" t="s">
        <v>45</v>
      </c>
      <c r="S573" s="11" t="s">
        <v>45</v>
      </c>
      <c r="T573" s="11" t="s">
        <v>44</v>
      </c>
      <c r="U573" s="11" t="s">
        <v>44</v>
      </c>
      <c r="W573" s="11" t="s">
        <v>57</v>
      </c>
      <c r="X573" s="11" t="s">
        <v>97</v>
      </c>
      <c r="Y573" s="11" t="s">
        <v>97</v>
      </c>
      <c r="Z573" s="11">
        <v>81985136319</v>
      </c>
      <c r="AA573" s="11" t="s">
        <v>115</v>
      </c>
      <c r="AB573" s="11"/>
      <c r="AC573" s="11"/>
      <c r="AD573" s="11" t="b">
        <v>0</v>
      </c>
      <c r="AF573" s="11"/>
      <c r="AG573" s="11"/>
      <c r="AH573" s="11"/>
      <c r="AI573" s="11"/>
    </row>
    <row r="574" ht="12.5" spans="1:35">
      <c r="A574" s="177">
        <v>45190.6968056597</v>
      </c>
      <c r="B574" s="11" t="s">
        <v>1972</v>
      </c>
      <c r="C574" s="19">
        <v>70242221408</v>
      </c>
      <c r="D574" s="19">
        <v>705406415504896</v>
      </c>
      <c r="F574" s="11" t="s">
        <v>40</v>
      </c>
      <c r="G574" s="11" t="s">
        <v>54</v>
      </c>
      <c r="H574" s="24">
        <v>35449</v>
      </c>
      <c r="I574" s="277" t="s">
        <v>1841</v>
      </c>
      <c r="J574" s="11" t="s">
        <v>42</v>
      </c>
      <c r="K574" s="108" t="s">
        <v>74</v>
      </c>
      <c r="N574" s="11" t="s">
        <v>95</v>
      </c>
      <c r="O574" s="11" t="s">
        <v>44</v>
      </c>
      <c r="P574" s="11" t="s">
        <v>44</v>
      </c>
      <c r="Q574" s="11" t="s">
        <v>44</v>
      </c>
      <c r="R574" s="11" t="s">
        <v>45</v>
      </c>
      <c r="S574" s="11" t="s">
        <v>83</v>
      </c>
      <c r="T574" s="11" t="s">
        <v>44</v>
      </c>
      <c r="U574" s="11" t="s">
        <v>44</v>
      </c>
      <c r="W574" s="11" t="s">
        <v>57</v>
      </c>
      <c r="X574" s="11" t="s">
        <v>97</v>
      </c>
      <c r="Y574" s="11" t="s">
        <v>97</v>
      </c>
      <c r="Z574" s="11">
        <v>81987256827</v>
      </c>
      <c r="AA574" s="11" t="s">
        <v>113</v>
      </c>
      <c r="AB574" s="11"/>
      <c r="AC574" s="11"/>
      <c r="AD574" s="11" t="b">
        <v>0</v>
      </c>
      <c r="AF574" s="11"/>
      <c r="AG574" s="11"/>
      <c r="AH574" s="11"/>
      <c r="AI574" s="11"/>
    </row>
    <row r="575" ht="12.5" spans="1:35">
      <c r="A575" s="177">
        <v>45190.7427491204</v>
      </c>
      <c r="B575" s="11" t="s">
        <v>2030</v>
      </c>
      <c r="C575" s="277" t="s">
        <v>2031</v>
      </c>
      <c r="D575" s="19">
        <v>701807287448470</v>
      </c>
      <c r="E575" s="18" t="s">
        <v>2032</v>
      </c>
      <c r="F575" s="11" t="s">
        <v>40</v>
      </c>
      <c r="G575" s="11" t="s">
        <v>54</v>
      </c>
      <c r="H575" s="24">
        <v>32646</v>
      </c>
      <c r="I575" s="277" t="s">
        <v>301</v>
      </c>
      <c r="J575" s="11" t="s">
        <v>42</v>
      </c>
      <c r="K575" s="108" t="s">
        <v>356</v>
      </c>
      <c r="N575" s="11" t="s">
        <v>43</v>
      </c>
      <c r="O575" s="11" t="s">
        <v>44</v>
      </c>
      <c r="P575" s="11" t="s">
        <v>44</v>
      </c>
      <c r="Q575" s="11" t="s">
        <v>44</v>
      </c>
      <c r="R575" s="11" t="s">
        <v>45</v>
      </c>
      <c r="S575" s="11" t="s">
        <v>45</v>
      </c>
      <c r="T575" s="11" t="s">
        <v>44</v>
      </c>
      <c r="U575" s="11" t="s">
        <v>45</v>
      </c>
      <c r="V575" s="24">
        <v>45191</v>
      </c>
      <c r="W575" s="11" t="s">
        <v>46</v>
      </c>
      <c r="X575" s="11" t="s">
        <v>203</v>
      </c>
      <c r="Y575" s="11" t="s">
        <v>58</v>
      </c>
      <c r="Z575" s="11">
        <v>81996982103</v>
      </c>
      <c r="AA575" s="11" t="s">
        <v>115</v>
      </c>
      <c r="AB575" s="11" t="s">
        <v>49</v>
      </c>
      <c r="AC575" s="11" t="s">
        <v>256</v>
      </c>
      <c r="AD575" s="11" t="b">
        <v>0</v>
      </c>
      <c r="AF575" s="11" t="s">
        <v>2033</v>
      </c>
      <c r="AG575" s="11"/>
      <c r="AH575" s="11"/>
      <c r="AI575" s="11"/>
    </row>
    <row r="576" ht="12.5" spans="1:35">
      <c r="A576" s="177">
        <v>45190.7817271296</v>
      </c>
      <c r="B576" s="11" t="s">
        <v>964</v>
      </c>
      <c r="C576" s="277" t="s">
        <v>965</v>
      </c>
      <c r="D576" s="19">
        <v>708209134201740</v>
      </c>
      <c r="E576" s="18" t="s">
        <v>2034</v>
      </c>
      <c r="F576" s="11" t="s">
        <v>40</v>
      </c>
      <c r="G576" s="11" t="s">
        <v>54</v>
      </c>
      <c r="H576" s="24">
        <v>35987</v>
      </c>
      <c r="I576" s="277" t="s">
        <v>967</v>
      </c>
      <c r="J576" s="11" t="s">
        <v>42</v>
      </c>
      <c r="K576" s="108" t="s">
        <v>155</v>
      </c>
      <c r="N576" s="11" t="s">
        <v>43</v>
      </c>
      <c r="O576" s="11" t="s">
        <v>44</v>
      </c>
      <c r="P576" s="11" t="s">
        <v>44</v>
      </c>
      <c r="Q576" s="11" t="s">
        <v>44</v>
      </c>
      <c r="R576" s="11" t="s">
        <v>45</v>
      </c>
      <c r="S576" s="11" t="s">
        <v>45</v>
      </c>
      <c r="T576" s="11" t="s">
        <v>44</v>
      </c>
      <c r="U576" s="11" t="s">
        <v>45</v>
      </c>
      <c r="V576" s="24">
        <v>45191</v>
      </c>
      <c r="W576" s="11" t="s">
        <v>46</v>
      </c>
      <c r="X576" s="11" t="s">
        <v>203</v>
      </c>
      <c r="Y576" s="11" t="s">
        <v>58</v>
      </c>
      <c r="Z576" s="11">
        <v>81999157370</v>
      </c>
      <c r="AA576" s="11" t="s">
        <v>115</v>
      </c>
      <c r="AB576" s="11" t="s">
        <v>49</v>
      </c>
      <c r="AC576" s="11" t="s">
        <v>256</v>
      </c>
      <c r="AD576" s="11" t="b">
        <v>1</v>
      </c>
      <c r="AE576" s="11" t="s">
        <v>137</v>
      </c>
      <c r="AF576" s="11" t="s">
        <v>2035</v>
      </c>
      <c r="AG576" s="11"/>
      <c r="AH576" s="63" t="s">
        <v>2036</v>
      </c>
      <c r="AI576" s="11"/>
    </row>
    <row r="577" ht="12.5" spans="1:35">
      <c r="A577" s="177">
        <v>45191.3545106366</v>
      </c>
      <c r="B577" s="11" t="s">
        <v>2030</v>
      </c>
      <c r="C577" s="277" t="s">
        <v>2031</v>
      </c>
      <c r="D577" s="19">
        <v>701807287448470</v>
      </c>
      <c r="F577" s="11" t="s">
        <v>40</v>
      </c>
      <c r="G577" s="11" t="s">
        <v>54</v>
      </c>
      <c r="H577" s="24">
        <v>32646</v>
      </c>
      <c r="I577" s="277" t="s">
        <v>2037</v>
      </c>
      <c r="J577" s="11" t="s">
        <v>42</v>
      </c>
      <c r="K577" s="108" t="s">
        <v>356</v>
      </c>
      <c r="N577" s="11" t="s">
        <v>95</v>
      </c>
      <c r="O577" s="11" t="s">
        <v>44</v>
      </c>
      <c r="P577" s="11" t="s">
        <v>44</v>
      </c>
      <c r="Q577" s="11" t="s">
        <v>44</v>
      </c>
      <c r="R577" s="11" t="s">
        <v>45</v>
      </c>
      <c r="S577" s="11" t="s">
        <v>45</v>
      </c>
      <c r="T577" s="11" t="s">
        <v>44</v>
      </c>
      <c r="U577" s="11" t="s">
        <v>44</v>
      </c>
      <c r="W577" s="11" t="s">
        <v>57</v>
      </c>
      <c r="X577" s="11" t="s">
        <v>97</v>
      </c>
      <c r="Y577" s="11" t="s">
        <v>97</v>
      </c>
      <c r="Z577" s="11">
        <v>81996982103</v>
      </c>
      <c r="AA577" s="11" t="s">
        <v>1360</v>
      </c>
      <c r="AB577" s="11"/>
      <c r="AC577" s="11"/>
      <c r="AD577" s="11" t="b">
        <v>0</v>
      </c>
      <c r="AF577" s="11"/>
      <c r="AG577" s="11"/>
      <c r="AH577" s="11"/>
      <c r="AI577" s="11"/>
    </row>
    <row r="578" ht="12.5" spans="1:35">
      <c r="A578" s="177">
        <v>45191.438366088</v>
      </c>
      <c r="B578" s="11" t="s">
        <v>2038</v>
      </c>
      <c r="C578" s="19">
        <v>10056064470</v>
      </c>
      <c r="D578" s="19">
        <v>702505316635031</v>
      </c>
      <c r="E578" s="18" t="s">
        <v>2039</v>
      </c>
      <c r="F578" s="11" t="s">
        <v>40</v>
      </c>
      <c r="G578" s="11" t="s">
        <v>41</v>
      </c>
      <c r="H578" s="24">
        <v>34289</v>
      </c>
      <c r="I578" s="277" t="s">
        <v>1043</v>
      </c>
      <c r="J578" s="11" t="s">
        <v>42</v>
      </c>
      <c r="K578" s="108" t="s">
        <v>155</v>
      </c>
      <c r="N578" s="11" t="s">
        <v>43</v>
      </c>
      <c r="O578" s="11" t="s">
        <v>658</v>
      </c>
      <c r="P578" s="11" t="s">
        <v>44</v>
      </c>
      <c r="Q578" s="11" t="s">
        <v>44</v>
      </c>
      <c r="R578" s="11" t="s">
        <v>45</v>
      </c>
      <c r="S578" s="11" t="s">
        <v>83</v>
      </c>
      <c r="T578" s="11" t="s">
        <v>44</v>
      </c>
      <c r="U578" s="11" t="s">
        <v>45</v>
      </c>
      <c r="V578" s="24">
        <v>45191</v>
      </c>
      <c r="W578" s="11" t="s">
        <v>46</v>
      </c>
      <c r="X578" s="11" t="s">
        <v>47</v>
      </c>
      <c r="Y578" s="11" t="s">
        <v>58</v>
      </c>
      <c r="Z578" s="11">
        <v>81987431933</v>
      </c>
      <c r="AA578" s="11" t="s">
        <v>103</v>
      </c>
      <c r="AB578" s="11" t="s">
        <v>49</v>
      </c>
      <c r="AC578" s="11" t="s">
        <v>92</v>
      </c>
      <c r="AD578" s="11" t="b">
        <v>0</v>
      </c>
      <c r="AF578" s="11" t="s">
        <v>2040</v>
      </c>
      <c r="AG578" s="11"/>
      <c r="AH578" s="40" t="s">
        <v>2041</v>
      </c>
      <c r="AI578" s="11"/>
    </row>
    <row r="579" ht="12.5" spans="1:35">
      <c r="A579" s="177">
        <v>45191.6498777199</v>
      </c>
      <c r="B579" s="11" t="s">
        <v>964</v>
      </c>
      <c r="C579" s="277" t="s">
        <v>965</v>
      </c>
      <c r="D579" s="19">
        <v>708209134201740</v>
      </c>
      <c r="E579" s="18" t="s">
        <v>2042</v>
      </c>
      <c r="F579" s="11" t="s">
        <v>40</v>
      </c>
      <c r="G579" s="11" t="s">
        <v>54</v>
      </c>
      <c r="H579" s="24">
        <v>32335</v>
      </c>
      <c r="I579" s="277" t="s">
        <v>967</v>
      </c>
      <c r="J579" s="11" t="s">
        <v>42</v>
      </c>
      <c r="K579" s="108" t="s">
        <v>155</v>
      </c>
      <c r="N579" s="11" t="s">
        <v>95</v>
      </c>
      <c r="O579" s="11" t="s">
        <v>44</v>
      </c>
      <c r="P579" s="11" t="s">
        <v>44</v>
      </c>
      <c r="Q579" s="11" t="s">
        <v>44</v>
      </c>
      <c r="R579" s="11" t="s">
        <v>45</v>
      </c>
      <c r="S579" s="11" t="s">
        <v>45</v>
      </c>
      <c r="T579" s="11" t="s">
        <v>44</v>
      </c>
      <c r="U579" s="11" t="s">
        <v>44</v>
      </c>
      <c r="W579" s="11" t="s">
        <v>46</v>
      </c>
      <c r="X579" s="11" t="s">
        <v>97</v>
      </c>
      <c r="Y579" s="11" t="s">
        <v>97</v>
      </c>
      <c r="Z579" s="11">
        <v>81999157370</v>
      </c>
      <c r="AA579" s="11" t="s">
        <v>1360</v>
      </c>
      <c r="AB579" s="11"/>
      <c r="AC579" s="11"/>
      <c r="AD579" s="11" t="b">
        <v>0</v>
      </c>
      <c r="AF579" s="11"/>
      <c r="AG579" s="11"/>
      <c r="AH579" s="11"/>
      <c r="AI579" s="11"/>
    </row>
    <row r="580" ht="12.5" spans="1:35">
      <c r="A580" s="177">
        <v>45191.6669778241</v>
      </c>
      <c r="B580" s="11" t="s">
        <v>993</v>
      </c>
      <c r="C580" s="19">
        <v>10347149456</v>
      </c>
      <c r="D580" s="19">
        <v>706801783269029</v>
      </c>
      <c r="E580" s="18" t="s">
        <v>2043</v>
      </c>
      <c r="F580" s="11" t="s">
        <v>225</v>
      </c>
      <c r="G580" s="11" t="s">
        <v>54</v>
      </c>
      <c r="H580" s="24">
        <v>33653</v>
      </c>
      <c r="I580" s="19" t="s">
        <v>2025</v>
      </c>
      <c r="J580" s="11" t="s">
        <v>42</v>
      </c>
      <c r="K580" s="108" t="s">
        <v>2044</v>
      </c>
      <c r="N580" s="11" t="s">
        <v>95</v>
      </c>
      <c r="O580" s="11" t="s">
        <v>44</v>
      </c>
      <c r="P580" s="11" t="s">
        <v>44</v>
      </c>
      <c r="Q580" s="11" t="s">
        <v>44</v>
      </c>
      <c r="R580" s="11" t="s">
        <v>45</v>
      </c>
      <c r="S580" s="11" t="s">
        <v>44</v>
      </c>
      <c r="T580" s="11" t="s">
        <v>44</v>
      </c>
      <c r="U580" s="11" t="s">
        <v>44</v>
      </c>
      <c r="W580" s="11" t="s">
        <v>46</v>
      </c>
      <c r="X580" s="11" t="s">
        <v>97</v>
      </c>
      <c r="Y580" s="11" t="s">
        <v>97</v>
      </c>
      <c r="Z580" s="11">
        <v>81996851239</v>
      </c>
      <c r="AA580" s="11" t="s">
        <v>91</v>
      </c>
      <c r="AB580" s="11"/>
      <c r="AC580" s="11"/>
      <c r="AD580" s="11" t="b">
        <v>0</v>
      </c>
      <c r="AF580" s="11"/>
      <c r="AG580" s="11"/>
      <c r="AH580" s="11"/>
      <c r="AI580" s="11"/>
    </row>
    <row r="581" ht="12.5" spans="1:35">
      <c r="A581" s="177">
        <v>45191.722236956</v>
      </c>
      <c r="B581" s="11" t="s">
        <v>2045</v>
      </c>
      <c r="C581" s="277" t="s">
        <v>2046</v>
      </c>
      <c r="D581" s="19">
        <v>702107726825391</v>
      </c>
      <c r="E581" s="18" t="s">
        <v>2047</v>
      </c>
      <c r="F581" s="11" t="s">
        <v>40</v>
      </c>
      <c r="G581" s="11" t="s">
        <v>88</v>
      </c>
      <c r="H581" s="24">
        <v>32045</v>
      </c>
      <c r="I581" s="277" t="s">
        <v>2048</v>
      </c>
      <c r="J581" s="11" t="s">
        <v>42</v>
      </c>
      <c r="K581" s="108" t="s">
        <v>2049</v>
      </c>
      <c r="N581" s="11" t="s">
        <v>43</v>
      </c>
      <c r="O581" s="11" t="s">
        <v>658</v>
      </c>
      <c r="P581" s="11" t="s">
        <v>44</v>
      </c>
      <c r="Q581" s="11" t="s">
        <v>44</v>
      </c>
      <c r="R581" s="11" t="s">
        <v>45</v>
      </c>
      <c r="S581" s="11" t="s">
        <v>83</v>
      </c>
      <c r="T581" s="11" t="s">
        <v>44</v>
      </c>
      <c r="U581" s="11" t="s">
        <v>44</v>
      </c>
      <c r="W581" s="11" t="s">
        <v>46</v>
      </c>
      <c r="X581" s="11" t="s">
        <v>47</v>
      </c>
      <c r="Y581" s="64" t="s">
        <v>1169</v>
      </c>
      <c r="Z581" s="11">
        <v>81995473141</v>
      </c>
      <c r="AA581" s="11" t="s">
        <v>91</v>
      </c>
      <c r="AB581" s="11"/>
      <c r="AC581" s="11"/>
      <c r="AD581" s="11" t="b">
        <v>0</v>
      </c>
      <c r="AF581" s="11"/>
      <c r="AG581" s="11"/>
      <c r="AH581" s="11"/>
      <c r="AI581" s="11"/>
    </row>
    <row r="582" ht="12.5" spans="1:35">
      <c r="A582" s="177">
        <v>45192.4974012847</v>
      </c>
      <c r="B582" s="11" t="s">
        <v>2050</v>
      </c>
      <c r="C582" s="19">
        <v>11541099419</v>
      </c>
      <c r="D582" s="19">
        <v>700208934984522</v>
      </c>
      <c r="E582" s="18" t="s">
        <v>2051</v>
      </c>
      <c r="F582" s="11" t="s">
        <v>40</v>
      </c>
      <c r="G582" s="11" t="s">
        <v>54</v>
      </c>
      <c r="H582" s="24">
        <v>34900</v>
      </c>
      <c r="I582" s="277" t="s">
        <v>281</v>
      </c>
      <c r="J582" s="11" t="s">
        <v>42</v>
      </c>
      <c r="K582" s="108" t="s">
        <v>2052</v>
      </c>
      <c r="N582" s="11" t="s">
        <v>43</v>
      </c>
      <c r="O582" s="11" t="s">
        <v>44</v>
      </c>
      <c r="P582" s="11" t="s">
        <v>44</v>
      </c>
      <c r="Q582" s="11" t="s">
        <v>44</v>
      </c>
      <c r="R582" s="11" t="s">
        <v>45</v>
      </c>
      <c r="S582" s="11" t="s">
        <v>45</v>
      </c>
      <c r="T582" s="11" t="s">
        <v>44</v>
      </c>
      <c r="U582" s="11" t="s">
        <v>44</v>
      </c>
      <c r="W582" s="11" t="s">
        <v>46</v>
      </c>
      <c r="X582" s="11" t="s">
        <v>303</v>
      </c>
      <c r="Y582" s="11" t="s">
        <v>68</v>
      </c>
      <c r="Z582" s="11">
        <v>81986507692</v>
      </c>
      <c r="AA582" s="11" t="s">
        <v>115</v>
      </c>
      <c r="AB582" s="11"/>
      <c r="AC582" s="11"/>
      <c r="AD582" s="11" t="b">
        <v>0</v>
      </c>
      <c r="AF582" s="11"/>
      <c r="AG582" s="11"/>
      <c r="AH582" s="11"/>
      <c r="AI582" s="11"/>
    </row>
    <row r="583" ht="12.5" spans="1:35">
      <c r="A583" s="177">
        <v>45192.5291134722</v>
      </c>
      <c r="B583" s="11" t="s">
        <v>2053</v>
      </c>
      <c r="C583" s="277" t="s">
        <v>2054</v>
      </c>
      <c r="D583" s="19">
        <v>706403183087685</v>
      </c>
      <c r="E583" s="18" t="s">
        <v>2055</v>
      </c>
      <c r="F583" s="11" t="s">
        <v>40</v>
      </c>
      <c r="G583" s="11" t="s">
        <v>54</v>
      </c>
      <c r="H583" s="24">
        <v>29739</v>
      </c>
      <c r="I583" s="277" t="s">
        <v>2056</v>
      </c>
      <c r="J583" s="11" t="s">
        <v>42</v>
      </c>
      <c r="K583" s="108" t="s">
        <v>155</v>
      </c>
      <c r="N583" s="11" t="s">
        <v>43</v>
      </c>
      <c r="O583" s="11" t="s">
        <v>44</v>
      </c>
      <c r="P583" s="11" t="s">
        <v>44</v>
      </c>
      <c r="Q583" s="11" t="s">
        <v>44</v>
      </c>
      <c r="R583" s="11" t="s">
        <v>44</v>
      </c>
      <c r="S583" s="11" t="s">
        <v>44</v>
      </c>
      <c r="T583" s="11" t="s">
        <v>44</v>
      </c>
      <c r="U583" s="11" t="s">
        <v>45</v>
      </c>
      <c r="V583" s="24">
        <v>45193</v>
      </c>
      <c r="W583" s="11" t="s">
        <v>46</v>
      </c>
      <c r="X583" s="11" t="s">
        <v>303</v>
      </c>
      <c r="Y583" s="11" t="s">
        <v>68</v>
      </c>
      <c r="Z583" s="11">
        <v>81997441291</v>
      </c>
      <c r="AA583" s="11" t="s">
        <v>115</v>
      </c>
      <c r="AB583" s="11" t="s">
        <v>98</v>
      </c>
      <c r="AC583" s="11"/>
      <c r="AD583" s="11" t="b">
        <v>0</v>
      </c>
      <c r="AF583" s="11" t="s">
        <v>2057</v>
      </c>
      <c r="AG583" s="11" t="s">
        <v>2058</v>
      </c>
      <c r="AH583" s="240" t="s">
        <v>2059</v>
      </c>
      <c r="AI583" s="11"/>
    </row>
    <row r="584" ht="12.5" spans="1:35">
      <c r="A584" s="177">
        <v>45193.4787297917</v>
      </c>
      <c r="B584" s="11" t="s">
        <v>2038</v>
      </c>
      <c r="C584" s="19">
        <v>10056064470</v>
      </c>
      <c r="D584" s="19">
        <v>702505316635031</v>
      </c>
      <c r="F584" s="11" t="s">
        <v>40</v>
      </c>
      <c r="G584" s="11" t="s">
        <v>41</v>
      </c>
      <c r="H584" s="24">
        <v>34289</v>
      </c>
      <c r="I584" s="277" t="s">
        <v>1043</v>
      </c>
      <c r="J584" s="11" t="s">
        <v>42</v>
      </c>
      <c r="K584" s="108" t="s">
        <v>155</v>
      </c>
      <c r="N584" s="11" t="s">
        <v>95</v>
      </c>
      <c r="O584" s="11" t="s">
        <v>44</v>
      </c>
      <c r="P584" s="11" t="s">
        <v>44</v>
      </c>
      <c r="Q584" s="11" t="s">
        <v>44</v>
      </c>
      <c r="R584" s="11" t="s">
        <v>45</v>
      </c>
      <c r="S584" s="11" t="s">
        <v>83</v>
      </c>
      <c r="T584" s="11" t="s">
        <v>44</v>
      </c>
      <c r="U584" s="11" t="s">
        <v>44</v>
      </c>
      <c r="W584" s="11" t="s">
        <v>57</v>
      </c>
      <c r="X584" s="11" t="s">
        <v>97</v>
      </c>
      <c r="Y584" s="11" t="s">
        <v>97</v>
      </c>
      <c r="Z584" s="11">
        <v>81987431933</v>
      </c>
      <c r="AA584" s="11" t="s">
        <v>91</v>
      </c>
      <c r="AB584" s="11"/>
      <c r="AC584" s="11"/>
      <c r="AD584" s="11" t="b">
        <v>0</v>
      </c>
      <c r="AF584" s="11"/>
      <c r="AG584" s="11"/>
      <c r="AH584" s="11"/>
      <c r="AI584" s="11"/>
    </row>
    <row r="585" ht="12.5" spans="1:35">
      <c r="A585" s="177">
        <v>45193.7270599421</v>
      </c>
      <c r="B585" s="11" t="s">
        <v>2060</v>
      </c>
      <c r="C585" s="277" t="s">
        <v>2061</v>
      </c>
      <c r="D585" s="19">
        <v>700109984959620</v>
      </c>
      <c r="E585" s="18" t="s">
        <v>2062</v>
      </c>
      <c r="F585" s="11" t="s">
        <v>40</v>
      </c>
      <c r="G585" s="11" t="s">
        <v>88</v>
      </c>
      <c r="H585" s="24">
        <v>32639</v>
      </c>
      <c r="I585" s="277" t="s">
        <v>339</v>
      </c>
      <c r="J585" s="11" t="s">
        <v>42</v>
      </c>
      <c r="K585" s="108" t="s">
        <v>55</v>
      </c>
      <c r="N585" s="11" t="s">
        <v>43</v>
      </c>
      <c r="O585" s="11" t="s">
        <v>65</v>
      </c>
      <c r="P585" s="11" t="s">
        <v>66</v>
      </c>
      <c r="Q585" s="11" t="s">
        <v>44</v>
      </c>
      <c r="R585" s="11" t="s">
        <v>44</v>
      </c>
      <c r="S585" s="11" t="s">
        <v>44</v>
      </c>
      <c r="T585" s="11" t="s">
        <v>44</v>
      </c>
      <c r="U585" s="11" t="s">
        <v>45</v>
      </c>
      <c r="V585" s="24">
        <v>45194</v>
      </c>
      <c r="W585" s="11" t="s">
        <v>46</v>
      </c>
      <c r="X585" s="11" t="s">
        <v>303</v>
      </c>
      <c r="Y585" s="11" t="s">
        <v>58</v>
      </c>
      <c r="Z585" s="11">
        <v>81994409425</v>
      </c>
      <c r="AA585" s="11" t="s">
        <v>1360</v>
      </c>
      <c r="AB585" s="11" t="s">
        <v>49</v>
      </c>
      <c r="AC585" s="11" t="s">
        <v>50</v>
      </c>
      <c r="AD585" s="11" t="b">
        <v>0</v>
      </c>
      <c r="AF585" s="11" t="s">
        <v>2063</v>
      </c>
      <c r="AG585" s="11" t="s">
        <v>2064</v>
      </c>
      <c r="AH585" s="40" t="s">
        <v>2065</v>
      </c>
      <c r="AI585" s="11"/>
    </row>
    <row r="586" ht="12.5" spans="1:35">
      <c r="A586" s="177">
        <v>45193.816873669</v>
      </c>
      <c r="B586" s="11" t="s">
        <v>1406</v>
      </c>
      <c r="C586" s="19">
        <v>11136345450</v>
      </c>
      <c r="D586" s="19">
        <v>700003714309300</v>
      </c>
      <c r="E586" s="18" t="s">
        <v>2066</v>
      </c>
      <c r="F586" s="11" t="s">
        <v>40</v>
      </c>
      <c r="G586" s="11" t="s">
        <v>54</v>
      </c>
      <c r="H586" s="24">
        <v>35303</v>
      </c>
      <c r="I586" s="277" t="s">
        <v>2067</v>
      </c>
      <c r="J586" s="11" t="s">
        <v>42</v>
      </c>
      <c r="K586" s="108" t="s">
        <v>2068</v>
      </c>
      <c r="N586" s="11" t="s">
        <v>43</v>
      </c>
      <c r="O586" s="11" t="s">
        <v>44</v>
      </c>
      <c r="P586" s="11" t="s">
        <v>44</v>
      </c>
      <c r="Q586" s="11" t="s">
        <v>44</v>
      </c>
      <c r="R586" s="11" t="s">
        <v>45</v>
      </c>
      <c r="S586" s="11" t="s">
        <v>44</v>
      </c>
      <c r="T586" s="11" t="s">
        <v>44</v>
      </c>
      <c r="U586" s="11" t="s">
        <v>45</v>
      </c>
      <c r="V586" s="24">
        <v>45194</v>
      </c>
      <c r="W586" s="11" t="s">
        <v>46</v>
      </c>
      <c r="X586" s="11" t="s">
        <v>303</v>
      </c>
      <c r="Y586" s="11" t="s">
        <v>68</v>
      </c>
      <c r="Z586" s="11">
        <v>81996242115</v>
      </c>
      <c r="AA586" s="11" t="s">
        <v>91</v>
      </c>
      <c r="AB586" s="11" t="s">
        <v>98</v>
      </c>
      <c r="AC586" s="11"/>
      <c r="AD586" s="11" t="b">
        <v>0</v>
      </c>
      <c r="AF586" s="229" t="s">
        <v>2069</v>
      </c>
      <c r="AG586" s="229" t="s">
        <v>2070</v>
      </c>
      <c r="AH586" s="11"/>
      <c r="AI586" s="11"/>
    </row>
    <row r="587" ht="12.5" spans="1:35">
      <c r="A587" s="177">
        <v>45194.4054787037</v>
      </c>
      <c r="B587" s="11" t="s">
        <v>2071</v>
      </c>
      <c r="C587" s="19">
        <v>10113198450</v>
      </c>
      <c r="D587" s="19">
        <v>705006858038952</v>
      </c>
      <c r="E587" s="18" t="s">
        <v>2072</v>
      </c>
      <c r="F587" s="11" t="s">
        <v>40</v>
      </c>
      <c r="G587" s="11" t="s">
        <v>88</v>
      </c>
      <c r="H587" s="24">
        <v>35596</v>
      </c>
      <c r="I587" s="277" t="s">
        <v>2073</v>
      </c>
      <c r="J587" s="11" t="s">
        <v>42</v>
      </c>
      <c r="K587" s="108" t="s">
        <v>2074</v>
      </c>
      <c r="N587" s="11" t="s">
        <v>43</v>
      </c>
      <c r="O587" s="11" t="s">
        <v>44</v>
      </c>
      <c r="P587" s="11" t="s">
        <v>44</v>
      </c>
      <c r="Q587" s="11" t="s">
        <v>45</v>
      </c>
      <c r="R587" s="11" t="s">
        <v>45</v>
      </c>
      <c r="S587" s="11" t="s">
        <v>83</v>
      </c>
      <c r="T587" s="11" t="s">
        <v>44</v>
      </c>
      <c r="U587" s="11" t="s">
        <v>44</v>
      </c>
      <c r="W587" s="11" t="s">
        <v>46</v>
      </c>
      <c r="X587" s="11" t="s">
        <v>47</v>
      </c>
      <c r="Y587" s="11" t="s">
        <v>58</v>
      </c>
      <c r="Z587" s="11">
        <v>81987257649</v>
      </c>
      <c r="AA587" s="11" t="s">
        <v>103</v>
      </c>
      <c r="AB587" s="11"/>
      <c r="AC587" s="11"/>
      <c r="AD587" s="11" t="b">
        <v>0</v>
      </c>
      <c r="AF587" s="11"/>
      <c r="AG587" s="11"/>
      <c r="AH587" s="11"/>
      <c r="AI587" s="11"/>
    </row>
    <row r="588" ht="12.5" spans="1:35">
      <c r="A588" s="177">
        <v>45194.4971317824</v>
      </c>
      <c r="B588" s="11" t="s">
        <v>2075</v>
      </c>
      <c r="C588" s="19">
        <v>17756289498</v>
      </c>
      <c r="D588" s="19">
        <v>898004541923736</v>
      </c>
      <c r="E588" s="18" t="s">
        <v>2076</v>
      </c>
      <c r="F588" s="11" t="s">
        <v>40</v>
      </c>
      <c r="G588" s="11" t="s">
        <v>54</v>
      </c>
      <c r="H588" s="24">
        <v>38033</v>
      </c>
      <c r="I588" s="277" t="s">
        <v>2077</v>
      </c>
      <c r="J588" s="11" t="s">
        <v>42</v>
      </c>
      <c r="K588" s="108" t="s">
        <v>155</v>
      </c>
      <c r="N588" s="11" t="s">
        <v>43</v>
      </c>
      <c r="O588" s="11" t="s">
        <v>65</v>
      </c>
      <c r="P588" s="11" t="s">
        <v>66</v>
      </c>
      <c r="Q588" s="11" t="s">
        <v>44</v>
      </c>
      <c r="R588" s="11" t="s">
        <v>45</v>
      </c>
      <c r="S588" s="11" t="s">
        <v>45</v>
      </c>
      <c r="T588" s="11" t="s">
        <v>44</v>
      </c>
      <c r="U588" s="11" t="s">
        <v>45</v>
      </c>
      <c r="V588" s="24">
        <v>45195</v>
      </c>
      <c r="W588" s="11" t="s">
        <v>46</v>
      </c>
      <c r="X588" s="11" t="s">
        <v>47</v>
      </c>
      <c r="Y588" s="11" t="s">
        <v>185</v>
      </c>
      <c r="Z588" s="11">
        <v>81991805871</v>
      </c>
      <c r="AA588" s="11" t="s">
        <v>105</v>
      </c>
      <c r="AB588" s="11" t="s">
        <v>98</v>
      </c>
      <c r="AC588" s="11"/>
      <c r="AD588" s="11" t="b">
        <v>0</v>
      </c>
      <c r="AF588" s="11" t="s">
        <v>2078</v>
      </c>
      <c r="AG588" s="11" t="s">
        <v>2079</v>
      </c>
      <c r="AH588" s="11" t="s">
        <v>2080</v>
      </c>
      <c r="AI588" s="11"/>
    </row>
    <row r="589" ht="12.5" spans="1:35">
      <c r="A589" s="177">
        <v>45194.5394660532</v>
      </c>
      <c r="B589" s="11" t="s">
        <v>396</v>
      </c>
      <c r="C589" s="19">
        <v>70492275440</v>
      </c>
      <c r="D589" s="19">
        <v>708500376279279</v>
      </c>
      <c r="E589" s="18" t="s">
        <v>2081</v>
      </c>
      <c r="F589" s="11" t="s">
        <v>40</v>
      </c>
      <c r="G589" s="11" t="s">
        <v>54</v>
      </c>
      <c r="H589" s="24" t="s">
        <v>2082</v>
      </c>
      <c r="I589" s="277" t="s">
        <v>2083</v>
      </c>
      <c r="J589" s="11" t="s">
        <v>42</v>
      </c>
      <c r="K589" s="108" t="s">
        <v>63</v>
      </c>
      <c r="N589" s="11" t="s">
        <v>43</v>
      </c>
      <c r="O589" s="11" t="s">
        <v>96</v>
      </c>
      <c r="P589" s="11" t="s">
        <v>66</v>
      </c>
      <c r="Q589" s="11" t="s">
        <v>44</v>
      </c>
      <c r="R589" s="11" t="s">
        <v>45</v>
      </c>
      <c r="S589" s="11" t="s">
        <v>83</v>
      </c>
      <c r="T589" s="11" t="s">
        <v>44</v>
      </c>
      <c r="U589" s="11" t="s">
        <v>45</v>
      </c>
      <c r="V589" s="24">
        <v>45195</v>
      </c>
      <c r="W589" s="11" t="s">
        <v>46</v>
      </c>
      <c r="X589" s="11" t="s">
        <v>47</v>
      </c>
      <c r="Y589" s="11" t="s">
        <v>58</v>
      </c>
      <c r="Z589" s="11">
        <v>81999462873</v>
      </c>
      <c r="AA589" s="11" t="s">
        <v>91</v>
      </c>
      <c r="AB589" s="11" t="s">
        <v>98</v>
      </c>
      <c r="AC589" s="11"/>
      <c r="AD589" s="11" t="b">
        <v>0</v>
      </c>
      <c r="AF589" s="11" t="s">
        <v>2084</v>
      </c>
      <c r="AG589" s="11" t="s">
        <v>2085</v>
      </c>
      <c r="AH589" s="11"/>
      <c r="AI589" s="11"/>
    </row>
    <row r="590" ht="12.5" spans="1:35">
      <c r="A590" s="177">
        <v>45194.8035566782</v>
      </c>
      <c r="B590" s="11" t="s">
        <v>693</v>
      </c>
      <c r="C590" s="277" t="s">
        <v>694</v>
      </c>
      <c r="D590" s="19">
        <v>706505322497098</v>
      </c>
      <c r="E590" s="18" t="s">
        <v>2086</v>
      </c>
      <c r="F590" s="11" t="s">
        <v>40</v>
      </c>
      <c r="G590" s="11" t="s">
        <v>54</v>
      </c>
      <c r="H590" s="24">
        <v>33353</v>
      </c>
      <c r="I590" s="277" t="s">
        <v>342</v>
      </c>
      <c r="J590" s="11" t="s">
        <v>81</v>
      </c>
      <c r="K590" s="108"/>
      <c r="L590" s="11" t="s">
        <v>109</v>
      </c>
      <c r="N590" s="11" t="s">
        <v>43</v>
      </c>
      <c r="O590" s="11" t="s">
        <v>96</v>
      </c>
      <c r="P590" s="11" t="s">
        <v>66</v>
      </c>
      <c r="Q590" s="11" t="s">
        <v>44</v>
      </c>
      <c r="R590" s="11" t="s">
        <v>45</v>
      </c>
      <c r="S590" s="11" t="s">
        <v>44</v>
      </c>
      <c r="T590" s="11" t="s">
        <v>44</v>
      </c>
      <c r="U590" s="11" t="s">
        <v>45</v>
      </c>
      <c r="V590" s="24">
        <v>45195</v>
      </c>
      <c r="W590" s="11" t="s">
        <v>46</v>
      </c>
      <c r="X590" s="11" t="s">
        <v>203</v>
      </c>
      <c r="Y590" s="11" t="s">
        <v>58</v>
      </c>
      <c r="Z590" s="11">
        <v>81982102916</v>
      </c>
      <c r="AA590" s="11" t="s">
        <v>1360</v>
      </c>
      <c r="AB590" s="11" t="s">
        <v>49</v>
      </c>
      <c r="AC590" s="11" t="s">
        <v>1319</v>
      </c>
      <c r="AD590" s="11" t="b">
        <v>1</v>
      </c>
      <c r="AE590" s="11" t="s">
        <v>137</v>
      </c>
      <c r="AF590" s="11" t="s">
        <v>2087</v>
      </c>
      <c r="AG590" s="11"/>
      <c r="AH590" s="11" t="s">
        <v>2088</v>
      </c>
      <c r="AI590" s="11"/>
    </row>
    <row r="591" ht="12.5" spans="1:35">
      <c r="A591" s="177">
        <v>45195.6271427894</v>
      </c>
      <c r="B591" s="11" t="s">
        <v>2089</v>
      </c>
      <c r="C591" s="277" t="s">
        <v>2090</v>
      </c>
      <c r="D591" s="19">
        <v>704005380561265</v>
      </c>
      <c r="E591" s="18" t="s">
        <v>2091</v>
      </c>
      <c r="F591" s="11" t="s">
        <v>40</v>
      </c>
      <c r="G591" s="11" t="s">
        <v>54</v>
      </c>
      <c r="H591" s="24">
        <v>34812</v>
      </c>
      <c r="I591" s="277" t="s">
        <v>2048</v>
      </c>
      <c r="J591" s="11" t="s">
        <v>42</v>
      </c>
      <c r="K591" s="108" t="s">
        <v>427</v>
      </c>
      <c r="N591" s="11" t="s">
        <v>43</v>
      </c>
      <c r="O591" s="11" t="s">
        <v>65</v>
      </c>
      <c r="P591" s="11" t="s">
        <v>66</v>
      </c>
      <c r="Q591" s="11" t="s">
        <v>44</v>
      </c>
      <c r="R591" s="11" t="s">
        <v>45</v>
      </c>
      <c r="S591" s="11" t="s">
        <v>83</v>
      </c>
      <c r="T591" s="11" t="s">
        <v>44</v>
      </c>
      <c r="U591" s="11" t="s">
        <v>45</v>
      </c>
      <c r="V591" s="24">
        <v>45197</v>
      </c>
      <c r="W591" s="11" t="s">
        <v>46</v>
      </c>
      <c r="X591" s="11" t="s">
        <v>47</v>
      </c>
      <c r="Y591" s="11" t="s">
        <v>48</v>
      </c>
      <c r="Z591" s="11">
        <v>81983406638</v>
      </c>
      <c r="AA591" s="11" t="s">
        <v>105</v>
      </c>
      <c r="AB591" s="11" t="s">
        <v>98</v>
      </c>
      <c r="AC591" s="11"/>
      <c r="AD591" s="11" t="b">
        <v>0</v>
      </c>
      <c r="AF591" s="11" t="s">
        <v>2092</v>
      </c>
      <c r="AG591" s="11"/>
      <c r="AH591" s="11"/>
      <c r="AI591" s="11"/>
    </row>
    <row r="592" ht="12.5" spans="1:35">
      <c r="A592" s="177">
        <v>45195.6781939583</v>
      </c>
      <c r="B592" s="11" t="s">
        <v>693</v>
      </c>
      <c r="C592" s="277" t="s">
        <v>694</v>
      </c>
      <c r="D592" s="19">
        <v>706505322497098</v>
      </c>
      <c r="E592" s="18" t="s">
        <v>2093</v>
      </c>
      <c r="F592" s="11" t="s">
        <v>40</v>
      </c>
      <c r="G592" s="11" t="s">
        <v>54</v>
      </c>
      <c r="H592" s="24">
        <v>33353</v>
      </c>
      <c r="I592" s="277" t="s">
        <v>342</v>
      </c>
      <c r="J592" s="11" t="s">
        <v>42</v>
      </c>
      <c r="K592" s="108" t="s">
        <v>202</v>
      </c>
      <c r="N592" s="11" t="s">
        <v>95</v>
      </c>
      <c r="O592" s="11" t="s">
        <v>44</v>
      </c>
      <c r="P592" s="11" t="s">
        <v>44</v>
      </c>
      <c r="Q592" s="11" t="s">
        <v>44</v>
      </c>
      <c r="R592" s="11" t="s">
        <v>45</v>
      </c>
      <c r="S592" s="11" t="s">
        <v>44</v>
      </c>
      <c r="T592" s="11" t="s">
        <v>44</v>
      </c>
      <c r="U592" s="11" t="s">
        <v>45</v>
      </c>
      <c r="V592" s="24">
        <v>45197</v>
      </c>
      <c r="W592" s="11" t="s">
        <v>46</v>
      </c>
      <c r="X592" s="11" t="s">
        <v>97</v>
      </c>
      <c r="Y592" s="11" t="s">
        <v>97</v>
      </c>
      <c r="Z592" s="11">
        <v>81982102916</v>
      </c>
      <c r="AA592" s="11" t="s">
        <v>1267</v>
      </c>
      <c r="AB592" s="11" t="s">
        <v>49</v>
      </c>
      <c r="AC592" s="11" t="s">
        <v>50</v>
      </c>
      <c r="AD592" s="11" t="b">
        <v>1</v>
      </c>
      <c r="AE592" s="11" t="s">
        <v>137</v>
      </c>
      <c r="AF592" s="214" t="s">
        <v>2094</v>
      </c>
      <c r="AG592" s="11"/>
      <c r="AH592" s="11" t="s">
        <v>2095</v>
      </c>
      <c r="AI592" s="11"/>
    </row>
    <row r="593" ht="12.5" spans="1:35">
      <c r="A593" s="177">
        <v>45196.6578626273</v>
      </c>
      <c r="B593" s="11" t="s">
        <v>2096</v>
      </c>
      <c r="C593" s="277" t="s">
        <v>2097</v>
      </c>
      <c r="D593" s="19">
        <v>704505318793811</v>
      </c>
      <c r="E593" s="18" t="s">
        <v>2098</v>
      </c>
      <c r="F593" s="11" t="s">
        <v>225</v>
      </c>
      <c r="G593" s="11" t="s">
        <v>54</v>
      </c>
      <c r="H593" s="24">
        <v>34821</v>
      </c>
      <c r="I593" s="277" t="s">
        <v>2099</v>
      </c>
      <c r="J593" s="11" t="s">
        <v>42</v>
      </c>
      <c r="K593" s="108" t="s">
        <v>2100</v>
      </c>
      <c r="N593" s="11" t="s">
        <v>43</v>
      </c>
      <c r="O593" s="11" t="s">
        <v>44</v>
      </c>
      <c r="P593" s="11" t="s">
        <v>56</v>
      </c>
      <c r="Q593" s="11" t="s">
        <v>44</v>
      </c>
      <c r="R593" s="11" t="s">
        <v>45</v>
      </c>
      <c r="S593" s="11" t="s">
        <v>83</v>
      </c>
      <c r="T593" s="11" t="s">
        <v>44</v>
      </c>
      <c r="U593" s="11" t="s">
        <v>45</v>
      </c>
      <c r="V593" s="24">
        <v>45198</v>
      </c>
      <c r="W593" s="11" t="s">
        <v>46</v>
      </c>
      <c r="X593" s="11" t="s">
        <v>47</v>
      </c>
      <c r="Y593" s="11" t="s">
        <v>58</v>
      </c>
      <c r="Z593" s="11">
        <v>81987692261</v>
      </c>
      <c r="AA593" s="11" t="s">
        <v>115</v>
      </c>
      <c r="AB593" s="11" t="s">
        <v>49</v>
      </c>
      <c r="AC593" s="11" t="s">
        <v>106</v>
      </c>
      <c r="AD593" s="11" t="b">
        <v>1</v>
      </c>
      <c r="AE593" s="11" t="s">
        <v>137</v>
      </c>
      <c r="AF593" s="11" t="s">
        <v>2101</v>
      </c>
      <c r="AG593" s="11"/>
      <c r="AH593" s="11"/>
      <c r="AI593" s="11"/>
    </row>
    <row r="594" ht="12.5" spans="1:35">
      <c r="A594" s="177">
        <v>45196.7446156713</v>
      </c>
      <c r="B594" s="11" t="s">
        <v>2060</v>
      </c>
      <c r="C594" s="277" t="s">
        <v>2061</v>
      </c>
      <c r="D594" s="19">
        <v>700109984959620</v>
      </c>
      <c r="F594" s="11" t="s">
        <v>40</v>
      </c>
      <c r="G594" s="11" t="s">
        <v>88</v>
      </c>
      <c r="H594" s="24">
        <v>32639</v>
      </c>
      <c r="I594" s="277" t="s">
        <v>339</v>
      </c>
      <c r="J594" s="11" t="s">
        <v>42</v>
      </c>
      <c r="K594" s="108" t="s">
        <v>55</v>
      </c>
      <c r="N594" s="11" t="s">
        <v>95</v>
      </c>
      <c r="O594" s="11" t="s">
        <v>44</v>
      </c>
      <c r="P594" s="11" t="s">
        <v>56</v>
      </c>
      <c r="Q594" s="11" t="s">
        <v>45</v>
      </c>
      <c r="R594" s="11" t="s">
        <v>45</v>
      </c>
      <c r="S594" s="11" t="s">
        <v>45</v>
      </c>
      <c r="T594" s="11" t="s">
        <v>44</v>
      </c>
      <c r="U594" s="11" t="s">
        <v>45</v>
      </c>
      <c r="V594" s="24">
        <v>45198</v>
      </c>
      <c r="W594" s="11" t="s">
        <v>57</v>
      </c>
      <c r="X594" s="11" t="s">
        <v>97</v>
      </c>
      <c r="Y594" s="11" t="s">
        <v>97</v>
      </c>
      <c r="Z594" s="11">
        <v>81994409425</v>
      </c>
      <c r="AA594" s="11" t="s">
        <v>115</v>
      </c>
      <c r="AB594" s="11"/>
      <c r="AC594" s="11"/>
      <c r="AD594" s="11" t="b">
        <v>0</v>
      </c>
      <c r="AF594" s="11" t="s">
        <v>2102</v>
      </c>
      <c r="AG594" s="11"/>
      <c r="AH594" s="11"/>
      <c r="AI594" s="11"/>
    </row>
    <row r="595" ht="12.5" spans="1:35">
      <c r="A595" s="177">
        <v>45197.3898768866</v>
      </c>
      <c r="B595" s="11" t="s">
        <v>693</v>
      </c>
      <c r="C595" s="277" t="s">
        <v>694</v>
      </c>
      <c r="D595" s="19">
        <v>706505322497098</v>
      </c>
      <c r="E595" s="18" t="s">
        <v>2103</v>
      </c>
      <c r="F595" s="11" t="s">
        <v>40</v>
      </c>
      <c r="G595" s="11" t="s">
        <v>54</v>
      </c>
      <c r="H595" s="24">
        <v>33353</v>
      </c>
      <c r="I595" s="277" t="s">
        <v>342</v>
      </c>
      <c r="J595" s="11" t="s">
        <v>81</v>
      </c>
      <c r="K595" s="108"/>
      <c r="L595" s="11" t="s">
        <v>520</v>
      </c>
      <c r="N595" s="11" t="s">
        <v>95</v>
      </c>
      <c r="O595" s="11" t="s">
        <v>65</v>
      </c>
      <c r="P595" s="11" t="s">
        <v>66</v>
      </c>
      <c r="Q595" s="11" t="s">
        <v>44</v>
      </c>
      <c r="R595" s="11" t="s">
        <v>45</v>
      </c>
      <c r="S595" s="11" t="s">
        <v>45</v>
      </c>
      <c r="T595" s="11" t="s">
        <v>44</v>
      </c>
      <c r="U595" s="11" t="s">
        <v>45</v>
      </c>
      <c r="V595" s="24">
        <v>45198</v>
      </c>
      <c r="W595" s="11" t="s">
        <v>46</v>
      </c>
      <c r="X595" s="11" t="s">
        <v>97</v>
      </c>
      <c r="Y595" s="11" t="s">
        <v>97</v>
      </c>
      <c r="Z595" s="11">
        <v>81982102916</v>
      </c>
      <c r="AA595" s="11" t="s">
        <v>115</v>
      </c>
      <c r="AB595" s="11" t="s">
        <v>49</v>
      </c>
      <c r="AC595" s="11" t="s">
        <v>50</v>
      </c>
      <c r="AD595" s="11" t="b">
        <v>0</v>
      </c>
      <c r="AF595" s="11" t="s">
        <v>2104</v>
      </c>
      <c r="AG595" s="11"/>
      <c r="AH595" s="11"/>
      <c r="AI595" s="11"/>
    </row>
    <row r="596" ht="12.5" spans="1:35">
      <c r="A596" s="177">
        <v>45198.3562104167</v>
      </c>
      <c r="B596" s="11" t="s">
        <v>2096</v>
      </c>
      <c r="C596" s="277" t="s">
        <v>2097</v>
      </c>
      <c r="D596" s="19">
        <v>704505318793811</v>
      </c>
      <c r="E596" s="18" t="s">
        <v>2105</v>
      </c>
      <c r="F596" s="11" t="s">
        <v>40</v>
      </c>
      <c r="G596" s="11" t="s">
        <v>54</v>
      </c>
      <c r="H596" s="24">
        <v>34821</v>
      </c>
      <c r="I596" s="277" t="s">
        <v>2099</v>
      </c>
      <c r="J596" s="11" t="s">
        <v>42</v>
      </c>
      <c r="K596" s="108" t="s">
        <v>2106</v>
      </c>
      <c r="L596" s="11"/>
      <c r="N596" s="11" t="s">
        <v>95</v>
      </c>
      <c r="O596" s="11" t="s">
        <v>44</v>
      </c>
      <c r="P596" s="11" t="s">
        <v>44</v>
      </c>
      <c r="Q596" s="11" t="s">
        <v>44</v>
      </c>
      <c r="R596" s="11" t="s">
        <v>44</v>
      </c>
      <c r="S596" s="11" t="s">
        <v>83</v>
      </c>
      <c r="T596" s="11" t="s">
        <v>44</v>
      </c>
      <c r="U596" s="11" t="s">
        <v>44</v>
      </c>
      <c r="W596" s="11" t="s">
        <v>46</v>
      </c>
      <c r="X596" s="11" t="s">
        <v>97</v>
      </c>
      <c r="Y596" s="11" t="s">
        <v>97</v>
      </c>
      <c r="Z596" s="11">
        <v>81987692261</v>
      </c>
      <c r="AA596" s="11" t="s">
        <v>103</v>
      </c>
      <c r="AB596" s="11"/>
      <c r="AC596" s="11"/>
      <c r="AD596" s="11" t="b">
        <v>0</v>
      </c>
      <c r="AF596" s="11"/>
      <c r="AG596" s="11"/>
      <c r="AH596" s="11"/>
      <c r="AI596" s="11"/>
    </row>
    <row r="597" ht="12.5" spans="1:35">
      <c r="A597" s="177">
        <v>45198.5012927894</v>
      </c>
      <c r="B597" s="11" t="s">
        <v>2107</v>
      </c>
      <c r="C597" s="277" t="s">
        <v>2108</v>
      </c>
      <c r="D597" s="19">
        <v>709805009296498</v>
      </c>
      <c r="E597" s="18" t="s">
        <v>2109</v>
      </c>
      <c r="F597" s="11" t="s">
        <v>40</v>
      </c>
      <c r="G597" s="11" t="s">
        <v>54</v>
      </c>
      <c r="H597" s="24">
        <v>31945</v>
      </c>
      <c r="I597" s="277" t="s">
        <v>707</v>
      </c>
      <c r="J597" s="11" t="s">
        <v>42</v>
      </c>
      <c r="K597" s="108" t="s">
        <v>2110</v>
      </c>
      <c r="L597" s="11"/>
      <c r="N597" s="11" t="s">
        <v>43</v>
      </c>
      <c r="O597" s="11" t="s">
        <v>658</v>
      </c>
      <c r="P597" s="11" t="s">
        <v>44</v>
      </c>
      <c r="Q597" s="11" t="s">
        <v>45</v>
      </c>
      <c r="R597" s="11" t="s">
        <v>45</v>
      </c>
      <c r="S597" s="11" t="s">
        <v>83</v>
      </c>
      <c r="T597" s="11" t="s">
        <v>44</v>
      </c>
      <c r="U597" s="11" t="s">
        <v>44</v>
      </c>
      <c r="W597" s="11" t="s">
        <v>46</v>
      </c>
      <c r="X597" s="11" t="s">
        <v>47</v>
      </c>
      <c r="Y597" s="11" t="s">
        <v>1169</v>
      </c>
      <c r="Z597" s="11">
        <v>81985433775</v>
      </c>
      <c r="AA597" s="11" t="s">
        <v>115</v>
      </c>
      <c r="AB597" s="11"/>
      <c r="AC597" s="11"/>
      <c r="AD597" s="11" t="b">
        <v>0</v>
      </c>
      <c r="AF597" s="11"/>
      <c r="AG597" s="11"/>
      <c r="AH597" s="11"/>
      <c r="AI597" s="11"/>
    </row>
    <row r="598" ht="12.5" spans="1:35">
      <c r="A598" s="177">
        <v>45198.6478030903</v>
      </c>
      <c r="B598" s="11" t="s">
        <v>693</v>
      </c>
      <c r="C598" s="277" t="s">
        <v>694</v>
      </c>
      <c r="D598" s="19">
        <v>706505322497098</v>
      </c>
      <c r="F598" s="11" t="s">
        <v>40</v>
      </c>
      <c r="G598" s="11" t="s">
        <v>54</v>
      </c>
      <c r="H598" s="24">
        <v>33353</v>
      </c>
      <c r="I598" s="19" t="s">
        <v>97</v>
      </c>
      <c r="J598" s="11" t="s">
        <v>81</v>
      </c>
      <c r="K598" s="108"/>
      <c r="L598" s="11" t="s">
        <v>520</v>
      </c>
      <c r="N598" s="11" t="s">
        <v>95</v>
      </c>
      <c r="O598" s="11" t="s">
        <v>127</v>
      </c>
      <c r="P598" s="11" t="s">
        <v>44</v>
      </c>
      <c r="Q598" s="11" t="s">
        <v>44</v>
      </c>
      <c r="R598" s="11" t="s">
        <v>45</v>
      </c>
      <c r="S598" s="11" t="s">
        <v>45</v>
      </c>
      <c r="T598" s="11" t="s">
        <v>44</v>
      </c>
      <c r="U598" s="11" t="s">
        <v>44</v>
      </c>
      <c r="W598" s="11" t="s">
        <v>57</v>
      </c>
      <c r="X598" s="11" t="s">
        <v>97</v>
      </c>
      <c r="Y598" s="11" t="s">
        <v>97</v>
      </c>
      <c r="Z598" s="11">
        <v>81982102916</v>
      </c>
      <c r="AA598" s="11" t="s">
        <v>115</v>
      </c>
      <c r="AB598" s="11"/>
      <c r="AC598" s="11"/>
      <c r="AD598" s="11" t="b">
        <v>0</v>
      </c>
      <c r="AF598" s="11"/>
      <c r="AG598" s="11"/>
      <c r="AH598" s="11"/>
      <c r="AI598" s="11"/>
    </row>
    <row r="599" ht="12.5" spans="1:35">
      <c r="A599" s="177">
        <v>45199.3628466551</v>
      </c>
      <c r="B599" s="11" t="s">
        <v>2111</v>
      </c>
      <c r="C599" s="277" t="s">
        <v>2112</v>
      </c>
      <c r="D599" s="19">
        <v>706805268866024</v>
      </c>
      <c r="E599" s="18" t="s">
        <v>2113</v>
      </c>
      <c r="F599" s="11" t="s">
        <v>40</v>
      </c>
      <c r="G599" s="11" t="s">
        <v>41</v>
      </c>
      <c r="H599" s="24">
        <v>31846</v>
      </c>
      <c r="I599" s="277" t="s">
        <v>2114</v>
      </c>
      <c r="J599" s="11" t="s">
        <v>42</v>
      </c>
      <c r="K599" s="108" t="s">
        <v>282</v>
      </c>
      <c r="N599" s="11" t="s">
        <v>43</v>
      </c>
      <c r="O599" s="11" t="s">
        <v>65</v>
      </c>
      <c r="P599" s="11" t="s">
        <v>66</v>
      </c>
      <c r="Q599" s="11" t="s">
        <v>44</v>
      </c>
      <c r="R599" s="11" t="s">
        <v>45</v>
      </c>
      <c r="S599" s="11" t="s">
        <v>45</v>
      </c>
      <c r="T599" s="11" t="s">
        <v>44</v>
      </c>
      <c r="U599" s="11" t="s">
        <v>45</v>
      </c>
      <c r="V599" s="24">
        <v>45200</v>
      </c>
      <c r="W599" s="11" t="s">
        <v>46</v>
      </c>
      <c r="X599" s="11" t="s">
        <v>303</v>
      </c>
      <c r="Y599" s="11" t="s">
        <v>68</v>
      </c>
      <c r="Z599" s="11">
        <v>81994266778</v>
      </c>
      <c r="AA599" s="11" t="s">
        <v>115</v>
      </c>
      <c r="AB599" s="11" t="s">
        <v>98</v>
      </c>
      <c r="AC599" s="11"/>
      <c r="AD599" s="11" t="b">
        <v>0</v>
      </c>
      <c r="AF599" s="11" t="s">
        <v>2115</v>
      </c>
      <c r="AG599" s="11" t="s">
        <v>2116</v>
      </c>
      <c r="AH599" s="40" t="s">
        <v>2117</v>
      </c>
      <c r="AI599" s="11"/>
    </row>
    <row r="600" ht="12.5" spans="1:35">
      <c r="A600" s="177">
        <v>45200.7316385417</v>
      </c>
      <c r="B600" s="11" t="s">
        <v>2118</v>
      </c>
      <c r="C600" s="19">
        <v>10433701455</v>
      </c>
      <c r="D600" s="19">
        <v>701102044255210</v>
      </c>
      <c r="E600" s="18" t="s">
        <v>2119</v>
      </c>
      <c r="F600" s="11" t="s">
        <v>40</v>
      </c>
      <c r="G600" s="11" t="s">
        <v>135</v>
      </c>
      <c r="H600" s="24">
        <v>34793</v>
      </c>
      <c r="I600" s="277" t="s">
        <v>2120</v>
      </c>
      <c r="J600" s="11" t="s">
        <v>42</v>
      </c>
      <c r="K600" s="108" t="s">
        <v>155</v>
      </c>
      <c r="N600" s="11" t="s">
        <v>43</v>
      </c>
      <c r="O600" s="11" t="s">
        <v>96</v>
      </c>
      <c r="P600" s="11" t="s">
        <v>56</v>
      </c>
      <c r="Q600" s="11" t="s">
        <v>44</v>
      </c>
      <c r="R600" s="11" t="s">
        <v>44</v>
      </c>
      <c r="S600" s="11" t="s">
        <v>44</v>
      </c>
      <c r="T600" s="11" t="s">
        <v>44</v>
      </c>
      <c r="U600" s="11" t="s">
        <v>45</v>
      </c>
      <c r="V600" s="24">
        <v>45202</v>
      </c>
      <c r="W600" s="11" t="s">
        <v>46</v>
      </c>
      <c r="X600" s="11" t="s">
        <v>303</v>
      </c>
      <c r="Y600" s="11" t="s">
        <v>58</v>
      </c>
      <c r="Z600" s="11">
        <v>81997380079</v>
      </c>
      <c r="AA600" s="11" t="s">
        <v>1360</v>
      </c>
      <c r="AB600" s="11" t="s">
        <v>49</v>
      </c>
      <c r="AC600" s="11" t="s">
        <v>1319</v>
      </c>
      <c r="AD600" s="11" t="b">
        <v>1</v>
      </c>
      <c r="AE600" s="11" t="s">
        <v>137</v>
      </c>
      <c r="AF600" s="11"/>
      <c r="AG600" s="11"/>
      <c r="AH600" s="11" t="s">
        <v>2121</v>
      </c>
      <c r="AI600" s="11"/>
    </row>
    <row r="601" ht="12.5" spans="1:35">
      <c r="A601" s="177">
        <v>45201.3674059838</v>
      </c>
      <c r="B601" s="11" t="s">
        <v>1286</v>
      </c>
      <c r="C601" s="19">
        <v>70922340420</v>
      </c>
      <c r="D601" s="19">
        <v>708004326100028</v>
      </c>
      <c r="E601" s="18" t="s">
        <v>2122</v>
      </c>
      <c r="F601" s="11" t="s">
        <v>225</v>
      </c>
      <c r="G601" s="11" t="s">
        <v>54</v>
      </c>
      <c r="H601" s="24">
        <v>36066</v>
      </c>
      <c r="I601" s="277" t="s">
        <v>1288</v>
      </c>
      <c r="J601" s="11" t="s">
        <v>42</v>
      </c>
      <c r="K601" s="108" t="s">
        <v>356</v>
      </c>
      <c r="N601" s="11" t="s">
        <v>43</v>
      </c>
      <c r="O601" s="11" t="s">
        <v>65</v>
      </c>
      <c r="P601" s="11" t="s">
        <v>66</v>
      </c>
      <c r="Q601" s="11" t="s">
        <v>44</v>
      </c>
      <c r="R601" s="11" t="s">
        <v>45</v>
      </c>
      <c r="S601" s="11" t="s">
        <v>45</v>
      </c>
      <c r="T601" s="11" t="s">
        <v>44</v>
      </c>
      <c r="U601" s="11" t="s">
        <v>45</v>
      </c>
      <c r="V601" s="24">
        <v>45202</v>
      </c>
      <c r="W601" s="11" t="s">
        <v>46</v>
      </c>
      <c r="X601" s="11" t="s">
        <v>47</v>
      </c>
      <c r="Y601" s="11" t="s">
        <v>58</v>
      </c>
      <c r="Z601" s="236">
        <v>81985560728</v>
      </c>
      <c r="AA601" s="11" t="s">
        <v>91</v>
      </c>
      <c r="AB601" s="11" t="s">
        <v>49</v>
      </c>
      <c r="AC601" s="11" t="s">
        <v>92</v>
      </c>
      <c r="AD601" s="11" t="b">
        <v>0</v>
      </c>
      <c r="AF601" s="11" t="s">
        <v>2123</v>
      </c>
      <c r="AG601" s="11"/>
      <c r="AH601" s="11"/>
      <c r="AI601" s="11"/>
    </row>
    <row r="602" ht="12.5" spans="1:35">
      <c r="A602" s="177">
        <v>45202.3797568982</v>
      </c>
      <c r="B602" s="11" t="s">
        <v>1286</v>
      </c>
      <c r="C602" s="19">
        <v>70922340420</v>
      </c>
      <c r="D602" s="19">
        <v>708004326100028</v>
      </c>
      <c r="F602" s="11" t="s">
        <v>225</v>
      </c>
      <c r="G602" s="11" t="s">
        <v>54</v>
      </c>
      <c r="H602" s="24">
        <v>36066</v>
      </c>
      <c r="I602" s="277" t="s">
        <v>1288</v>
      </c>
      <c r="J602" s="11" t="s">
        <v>42</v>
      </c>
      <c r="K602" s="108" t="s">
        <v>356</v>
      </c>
      <c r="N602" s="11" t="s">
        <v>95</v>
      </c>
      <c r="O602" s="11" t="s">
        <v>127</v>
      </c>
      <c r="P602" s="11" t="s">
        <v>44</v>
      </c>
      <c r="Q602" s="11" t="s">
        <v>44</v>
      </c>
      <c r="R602" s="11" t="s">
        <v>45</v>
      </c>
      <c r="S602" s="11" t="s">
        <v>45</v>
      </c>
      <c r="T602" s="11" t="s">
        <v>44</v>
      </c>
      <c r="U602" s="11" t="s">
        <v>44</v>
      </c>
      <c r="W602" s="11" t="s">
        <v>57</v>
      </c>
      <c r="X602" s="11" t="s">
        <v>97</v>
      </c>
      <c r="Y602" s="11" t="s">
        <v>97</v>
      </c>
      <c r="Z602" s="11">
        <v>81985560728</v>
      </c>
      <c r="AA602" s="11" t="s">
        <v>91</v>
      </c>
      <c r="AB602" s="11"/>
      <c r="AC602" s="11"/>
      <c r="AD602" s="11" t="b">
        <v>0</v>
      </c>
      <c r="AF602" s="11"/>
      <c r="AG602" s="11"/>
      <c r="AH602" s="11"/>
      <c r="AI602" s="11"/>
    </row>
    <row r="603" ht="12.5" spans="1:35">
      <c r="A603" s="177">
        <v>45202.4679026157</v>
      </c>
      <c r="B603" s="11" t="s">
        <v>2124</v>
      </c>
      <c r="C603" s="277" t="s">
        <v>2125</v>
      </c>
      <c r="D603" s="19">
        <v>700902904075395</v>
      </c>
      <c r="E603" s="18" t="s">
        <v>2126</v>
      </c>
      <c r="F603" s="11" t="s">
        <v>40</v>
      </c>
      <c r="G603" s="11" t="s">
        <v>54</v>
      </c>
      <c r="H603" s="24">
        <v>30426</v>
      </c>
      <c r="I603" s="277" t="s">
        <v>839</v>
      </c>
      <c r="J603" s="11" t="s">
        <v>42</v>
      </c>
      <c r="K603" s="108" t="s">
        <v>919</v>
      </c>
      <c r="N603" s="11" t="s">
        <v>43</v>
      </c>
      <c r="O603" s="11" t="s">
        <v>44</v>
      </c>
      <c r="P603" s="11" t="s">
        <v>44</v>
      </c>
      <c r="Q603" s="11" t="s">
        <v>44</v>
      </c>
      <c r="R603" s="11" t="s">
        <v>45</v>
      </c>
      <c r="S603" s="11" t="s">
        <v>45</v>
      </c>
      <c r="T603" s="11" t="s">
        <v>44</v>
      </c>
      <c r="U603" s="11" t="s">
        <v>45</v>
      </c>
      <c r="V603" s="24">
        <v>44990</v>
      </c>
      <c r="W603" s="11" t="s">
        <v>46</v>
      </c>
      <c r="X603" s="11" t="s">
        <v>47</v>
      </c>
      <c r="Y603" s="11" t="s">
        <v>58</v>
      </c>
      <c r="Z603" s="11">
        <v>81984282723</v>
      </c>
      <c r="AA603" s="11" t="s">
        <v>105</v>
      </c>
      <c r="AB603" s="11"/>
      <c r="AC603" s="11"/>
      <c r="AD603" s="11" t="b">
        <v>0</v>
      </c>
      <c r="AF603" s="11"/>
      <c r="AG603" s="11"/>
      <c r="AH603" s="11"/>
      <c r="AI603" s="11"/>
    </row>
    <row r="604" ht="12.5" spans="1:35">
      <c r="A604" s="177">
        <v>45202.501469537</v>
      </c>
      <c r="B604" s="11" t="s">
        <v>2127</v>
      </c>
      <c r="C604" s="19">
        <v>70289116406</v>
      </c>
      <c r="D604" s="19">
        <v>700507946339054</v>
      </c>
      <c r="E604" s="18" t="s">
        <v>2128</v>
      </c>
      <c r="F604" s="11" t="s">
        <v>40</v>
      </c>
      <c r="G604" s="11" t="s">
        <v>54</v>
      </c>
      <c r="H604" s="24">
        <v>36399</v>
      </c>
      <c r="I604" s="277" t="s">
        <v>2129</v>
      </c>
      <c r="J604" s="11" t="s">
        <v>42</v>
      </c>
      <c r="K604" s="108" t="s">
        <v>63</v>
      </c>
      <c r="N604" s="11" t="s">
        <v>43</v>
      </c>
      <c r="O604" s="11" t="s">
        <v>44</v>
      </c>
      <c r="P604" s="11" t="s">
        <v>44</v>
      </c>
      <c r="Q604" s="11" t="s">
        <v>44</v>
      </c>
      <c r="R604" s="11" t="s">
        <v>45</v>
      </c>
      <c r="S604" s="11" t="s">
        <v>44</v>
      </c>
      <c r="T604" s="11" t="s">
        <v>44</v>
      </c>
      <c r="U604" s="11" t="s">
        <v>45</v>
      </c>
      <c r="V604" s="24">
        <v>45202</v>
      </c>
      <c r="W604" s="11" t="s">
        <v>46</v>
      </c>
      <c r="X604" s="11" t="s">
        <v>47</v>
      </c>
      <c r="Y604" s="11" t="s">
        <v>48</v>
      </c>
      <c r="Z604" s="11">
        <v>81996154820</v>
      </c>
      <c r="AA604" s="11" t="s">
        <v>105</v>
      </c>
      <c r="AB604" s="11" t="s">
        <v>98</v>
      </c>
      <c r="AC604" s="11"/>
      <c r="AD604" s="11" t="b">
        <v>0</v>
      </c>
      <c r="AF604" s="11" t="s">
        <v>2130</v>
      </c>
      <c r="AG604" s="11" t="s">
        <v>2131</v>
      </c>
      <c r="AH604" s="11" t="s">
        <v>2132</v>
      </c>
      <c r="AI604" s="11"/>
    </row>
    <row r="605" ht="12.5" spans="1:35">
      <c r="A605" s="177">
        <v>45202.6991252431</v>
      </c>
      <c r="B605" s="11" t="s">
        <v>2118</v>
      </c>
      <c r="C605" s="19">
        <v>10433701455</v>
      </c>
      <c r="D605" s="19">
        <v>701102044255210</v>
      </c>
      <c r="E605" s="18" t="s">
        <v>2133</v>
      </c>
      <c r="F605" s="11" t="s">
        <v>40</v>
      </c>
      <c r="G605" s="11" t="s">
        <v>54</v>
      </c>
      <c r="H605" s="24">
        <v>34793</v>
      </c>
      <c r="I605" s="277" t="s">
        <v>2120</v>
      </c>
      <c r="J605" s="11" t="s">
        <v>42</v>
      </c>
      <c r="K605" s="108" t="s">
        <v>155</v>
      </c>
      <c r="N605" s="11" t="s">
        <v>95</v>
      </c>
      <c r="O605" s="11" t="s">
        <v>44</v>
      </c>
      <c r="P605" s="11" t="s">
        <v>44</v>
      </c>
      <c r="Q605" s="11" t="s">
        <v>44</v>
      </c>
      <c r="R605" s="11" t="s">
        <v>44</v>
      </c>
      <c r="S605" s="11" t="s">
        <v>44</v>
      </c>
      <c r="T605" s="11" t="s">
        <v>44</v>
      </c>
      <c r="U605" s="11" t="s">
        <v>44</v>
      </c>
      <c r="W605" s="11" t="s">
        <v>192</v>
      </c>
      <c r="X605" s="11" t="s">
        <v>97</v>
      </c>
      <c r="Y605" s="11" t="s">
        <v>97</v>
      </c>
      <c r="Z605" s="11">
        <v>81997380079</v>
      </c>
      <c r="AA605" s="11" t="s">
        <v>1267</v>
      </c>
      <c r="AB605" s="11"/>
      <c r="AC605" s="11"/>
      <c r="AD605" s="11" t="b">
        <v>0</v>
      </c>
      <c r="AF605" s="11"/>
      <c r="AG605" s="11"/>
      <c r="AH605" s="75" t="s">
        <v>2134</v>
      </c>
      <c r="AI605" s="11"/>
    </row>
    <row r="606" ht="12.5" spans="1:35">
      <c r="A606" s="177">
        <v>45203.3991960995</v>
      </c>
      <c r="B606" s="11" t="s">
        <v>993</v>
      </c>
      <c r="C606" s="19">
        <v>10347149456</v>
      </c>
      <c r="D606" s="19">
        <v>706801783269029</v>
      </c>
      <c r="E606" s="18" t="s">
        <v>2135</v>
      </c>
      <c r="F606" s="11" t="s">
        <v>225</v>
      </c>
      <c r="G606" s="11" t="s">
        <v>54</v>
      </c>
      <c r="H606" s="24">
        <v>33653</v>
      </c>
      <c r="I606" s="277" t="s">
        <v>995</v>
      </c>
      <c r="J606" s="11" t="s">
        <v>42</v>
      </c>
      <c r="K606" s="108" t="s">
        <v>302</v>
      </c>
      <c r="N606" s="11" t="s">
        <v>43</v>
      </c>
      <c r="O606" s="11" t="s">
        <v>65</v>
      </c>
      <c r="P606" s="11" t="s">
        <v>66</v>
      </c>
      <c r="Q606" s="11" t="s">
        <v>44</v>
      </c>
      <c r="R606" s="11" t="s">
        <v>45</v>
      </c>
      <c r="S606" s="11" t="s">
        <v>45</v>
      </c>
      <c r="T606" s="11" t="s">
        <v>44</v>
      </c>
      <c r="U606" s="11" t="s">
        <v>45</v>
      </c>
      <c r="V606" s="24">
        <v>45204</v>
      </c>
      <c r="W606" s="11" t="s">
        <v>46</v>
      </c>
      <c r="X606" s="11" t="s">
        <v>47</v>
      </c>
      <c r="Y606" s="11" t="s">
        <v>58</v>
      </c>
      <c r="Z606" s="11">
        <v>81996851239</v>
      </c>
      <c r="AA606" s="11" t="s">
        <v>113</v>
      </c>
      <c r="AB606" s="11" t="s">
        <v>49</v>
      </c>
      <c r="AC606" s="11" t="s">
        <v>75</v>
      </c>
      <c r="AD606" s="11" t="b">
        <v>1</v>
      </c>
      <c r="AE606" s="11" t="s">
        <v>137</v>
      </c>
      <c r="AF606" s="11" t="s">
        <v>2136</v>
      </c>
      <c r="AG606" s="11"/>
      <c r="AH606" s="11"/>
      <c r="AI606" s="11"/>
    </row>
    <row r="607" ht="12.5" spans="1:35">
      <c r="A607" s="177">
        <v>45203.4441827199</v>
      </c>
      <c r="B607" s="11" t="s">
        <v>2137</v>
      </c>
      <c r="C607" s="19">
        <v>70551431440</v>
      </c>
      <c r="D607" s="19">
        <v>701707284385770</v>
      </c>
      <c r="E607" s="18" t="s">
        <v>2138</v>
      </c>
      <c r="F607" s="11" t="s">
        <v>40</v>
      </c>
      <c r="G607" s="11" t="s">
        <v>54</v>
      </c>
      <c r="H607" s="24">
        <v>36817</v>
      </c>
      <c r="I607" s="277" t="s">
        <v>2139</v>
      </c>
      <c r="J607" s="11" t="s">
        <v>42</v>
      </c>
      <c r="K607" s="108" t="s">
        <v>155</v>
      </c>
      <c r="N607" s="11" t="s">
        <v>43</v>
      </c>
      <c r="O607" s="11" t="s">
        <v>44</v>
      </c>
      <c r="P607" s="11" t="s">
        <v>44</v>
      </c>
      <c r="Q607" s="11" t="s">
        <v>44</v>
      </c>
      <c r="R607" s="11" t="s">
        <v>45</v>
      </c>
      <c r="S607" s="11" t="s">
        <v>83</v>
      </c>
      <c r="T607" s="11" t="s">
        <v>44</v>
      </c>
      <c r="U607" s="11" t="s">
        <v>45</v>
      </c>
      <c r="V607" s="24">
        <v>45203</v>
      </c>
      <c r="W607" s="11" t="s">
        <v>46</v>
      </c>
      <c r="X607" s="11" t="s">
        <v>47</v>
      </c>
      <c r="Y607" s="11" t="s">
        <v>48</v>
      </c>
      <c r="Z607" s="11">
        <v>81987563335</v>
      </c>
      <c r="AA607" s="11" t="s">
        <v>91</v>
      </c>
      <c r="AB607" s="11" t="s">
        <v>1819</v>
      </c>
      <c r="AC607" s="11" t="s">
        <v>92</v>
      </c>
      <c r="AD607" s="11" t="b">
        <v>1</v>
      </c>
      <c r="AE607" s="11" t="s">
        <v>137</v>
      </c>
      <c r="AF607" s="11" t="s">
        <v>2140</v>
      </c>
      <c r="AG607" s="11"/>
      <c r="AH607" s="11"/>
      <c r="AI607" s="11"/>
    </row>
    <row r="608" ht="12.5" spans="1:35">
      <c r="A608" s="177">
        <v>45203.4704484375</v>
      </c>
      <c r="B608" s="11" t="s">
        <v>2141</v>
      </c>
      <c r="C608" s="19">
        <v>71152234404</v>
      </c>
      <c r="D608" s="19">
        <v>702504395276837</v>
      </c>
      <c r="E608" s="18" t="s">
        <v>2142</v>
      </c>
      <c r="F608" s="11" t="s">
        <v>40</v>
      </c>
      <c r="G608" s="11" t="s">
        <v>88</v>
      </c>
      <c r="H608" s="24">
        <v>36690</v>
      </c>
      <c r="I608" s="277" t="s">
        <v>2120</v>
      </c>
      <c r="J608" s="11" t="s">
        <v>42</v>
      </c>
      <c r="K608" s="108" t="s">
        <v>2143</v>
      </c>
      <c r="N608" s="11" t="s">
        <v>43</v>
      </c>
      <c r="O608" s="11" t="s">
        <v>44</v>
      </c>
      <c r="P608" s="11" t="s">
        <v>44</v>
      </c>
      <c r="Q608" s="11" t="s">
        <v>45</v>
      </c>
      <c r="R608" s="11" t="s">
        <v>45</v>
      </c>
      <c r="S608" s="11" t="s">
        <v>83</v>
      </c>
      <c r="T608" s="11" t="s">
        <v>44</v>
      </c>
      <c r="U608" s="11" t="s">
        <v>44</v>
      </c>
      <c r="W608" s="11" t="s">
        <v>46</v>
      </c>
      <c r="X608" s="11" t="s">
        <v>47</v>
      </c>
      <c r="Y608" s="11" t="s">
        <v>58</v>
      </c>
      <c r="Z608" s="11">
        <v>81973224484</v>
      </c>
      <c r="AA608" s="11" t="s">
        <v>115</v>
      </c>
      <c r="AB608" s="11"/>
      <c r="AC608" s="11"/>
      <c r="AD608" s="11" t="b">
        <v>0</v>
      </c>
      <c r="AF608" s="11"/>
      <c r="AG608" s="11"/>
      <c r="AH608" s="11"/>
      <c r="AI608" s="11"/>
    </row>
    <row r="609" ht="12.5" spans="1:35">
      <c r="A609" s="177">
        <v>45203.5147748727</v>
      </c>
      <c r="B609" s="11" t="s">
        <v>1098</v>
      </c>
      <c r="C609" s="277" t="s">
        <v>1099</v>
      </c>
      <c r="D609" s="19">
        <v>706001315807649</v>
      </c>
      <c r="E609" s="18" t="s">
        <v>2144</v>
      </c>
      <c r="F609" s="11" t="s">
        <v>225</v>
      </c>
      <c r="G609" s="11" t="s">
        <v>54</v>
      </c>
      <c r="H609" s="24">
        <v>30891</v>
      </c>
      <c r="I609" s="277" t="s">
        <v>918</v>
      </c>
      <c r="J609" s="11" t="s">
        <v>42</v>
      </c>
      <c r="K609" s="108" t="s">
        <v>55</v>
      </c>
      <c r="N609" s="136" t="s">
        <v>43</v>
      </c>
      <c r="O609" s="11" t="s">
        <v>65</v>
      </c>
      <c r="P609" s="11" t="s">
        <v>66</v>
      </c>
      <c r="Q609" s="11" t="s">
        <v>44</v>
      </c>
      <c r="R609" s="11" t="s">
        <v>44</v>
      </c>
      <c r="S609" s="11" t="s">
        <v>45</v>
      </c>
      <c r="T609" s="11" t="s">
        <v>44</v>
      </c>
      <c r="U609" s="11" t="s">
        <v>45</v>
      </c>
      <c r="V609" s="24">
        <v>45204</v>
      </c>
      <c r="W609" s="11" t="s">
        <v>46</v>
      </c>
      <c r="X609" s="11" t="s">
        <v>47</v>
      </c>
      <c r="Y609" s="11" t="s">
        <v>58</v>
      </c>
      <c r="Z609" s="11">
        <v>81998373388</v>
      </c>
      <c r="AA609" s="11" t="s">
        <v>115</v>
      </c>
      <c r="AB609" s="11" t="s">
        <v>98</v>
      </c>
      <c r="AC609" s="11"/>
      <c r="AD609" s="11" t="b">
        <v>0</v>
      </c>
      <c r="AF609" s="11" t="s">
        <v>2145</v>
      </c>
      <c r="AG609" s="11"/>
      <c r="AH609" s="11" t="s">
        <v>2146</v>
      </c>
      <c r="AI609" s="11"/>
    </row>
    <row r="610" ht="12.5" spans="1:35">
      <c r="A610" s="177">
        <v>45203.5847731944</v>
      </c>
      <c r="B610" s="11" t="s">
        <v>2147</v>
      </c>
      <c r="C610" s="19">
        <v>12617371484</v>
      </c>
      <c r="D610" s="19">
        <v>700000331008003</v>
      </c>
      <c r="E610" s="18" t="s">
        <v>2148</v>
      </c>
      <c r="F610" s="11" t="s">
        <v>40</v>
      </c>
      <c r="G610" s="11" t="s">
        <v>54</v>
      </c>
      <c r="H610" s="24">
        <v>37217</v>
      </c>
      <c r="I610" s="277" t="s">
        <v>2149</v>
      </c>
      <c r="J610" s="11" t="s">
        <v>81</v>
      </c>
      <c r="K610" s="108"/>
      <c r="L610" s="11" t="s">
        <v>109</v>
      </c>
      <c r="N610" s="11" t="s">
        <v>43</v>
      </c>
      <c r="O610" s="11" t="s">
        <v>44</v>
      </c>
      <c r="P610" s="11" t="s">
        <v>44</v>
      </c>
      <c r="Q610" s="11" t="s">
        <v>44</v>
      </c>
      <c r="R610" s="11" t="s">
        <v>45</v>
      </c>
      <c r="S610" s="11" t="s">
        <v>45</v>
      </c>
      <c r="T610" s="11" t="s">
        <v>44</v>
      </c>
      <c r="U610" s="11" t="s">
        <v>45</v>
      </c>
      <c r="V610" s="24">
        <v>45203</v>
      </c>
      <c r="W610" s="11" t="s">
        <v>46</v>
      </c>
      <c r="X610" s="11" t="s">
        <v>47</v>
      </c>
      <c r="Y610" s="11" t="s">
        <v>58</v>
      </c>
      <c r="Z610" s="11">
        <v>81985159383</v>
      </c>
      <c r="AA610" s="11" t="s">
        <v>91</v>
      </c>
      <c r="AB610" s="11" t="s">
        <v>49</v>
      </c>
      <c r="AC610" s="11" t="s">
        <v>92</v>
      </c>
      <c r="AD610" s="11" t="b">
        <v>1</v>
      </c>
      <c r="AE610" s="11" t="s">
        <v>137</v>
      </c>
      <c r="AF610" s="11" t="s">
        <v>2150</v>
      </c>
      <c r="AG610" s="11"/>
      <c r="AH610" s="11"/>
      <c r="AI610" s="11"/>
    </row>
    <row r="611" ht="12.5" spans="1:35">
      <c r="A611" s="177">
        <v>45203.6190929051</v>
      </c>
      <c r="B611" s="11" t="s">
        <v>2147</v>
      </c>
      <c r="C611" s="19">
        <v>12617371484</v>
      </c>
      <c r="D611" s="19">
        <v>700000331008003</v>
      </c>
      <c r="E611" s="18" t="s">
        <v>2151</v>
      </c>
      <c r="F611" s="11" t="s">
        <v>40</v>
      </c>
      <c r="G611" s="11" t="s">
        <v>54</v>
      </c>
      <c r="H611" s="24">
        <v>37217</v>
      </c>
      <c r="I611" s="277" t="s">
        <v>2152</v>
      </c>
      <c r="J611" s="11" t="s">
        <v>81</v>
      </c>
      <c r="K611" s="108"/>
      <c r="L611" s="11" t="s">
        <v>520</v>
      </c>
      <c r="N611" s="11" t="s">
        <v>95</v>
      </c>
      <c r="O611" s="11" t="s">
        <v>65</v>
      </c>
      <c r="P611" s="11" t="s">
        <v>66</v>
      </c>
      <c r="Q611" s="11" t="s">
        <v>44</v>
      </c>
      <c r="R611" s="11" t="s">
        <v>45</v>
      </c>
      <c r="S611" s="11" t="s">
        <v>45</v>
      </c>
      <c r="T611" s="11" t="s">
        <v>44</v>
      </c>
      <c r="U611" s="11" t="s">
        <v>45</v>
      </c>
      <c r="V611" s="24">
        <v>45204</v>
      </c>
      <c r="W611" s="11" t="s">
        <v>46</v>
      </c>
      <c r="X611" s="11" t="s">
        <v>97</v>
      </c>
      <c r="Y611" s="11" t="s">
        <v>97</v>
      </c>
      <c r="Z611" s="11">
        <v>81985159383</v>
      </c>
      <c r="AA611" s="11" t="s">
        <v>91</v>
      </c>
      <c r="AB611" s="11" t="s">
        <v>49</v>
      </c>
      <c r="AC611" s="11" t="s">
        <v>92</v>
      </c>
      <c r="AD611" s="11" t="b">
        <v>1</v>
      </c>
      <c r="AE611" s="11" t="s">
        <v>137</v>
      </c>
      <c r="AF611" s="11" t="s">
        <v>2153</v>
      </c>
      <c r="AG611" s="11" t="s">
        <v>2154</v>
      </c>
      <c r="AH611" s="11"/>
      <c r="AI611" s="11"/>
    </row>
    <row r="612" ht="12.5" spans="1:35">
      <c r="A612" s="177">
        <v>45203.6833903009</v>
      </c>
      <c r="B612" s="11" t="s">
        <v>2137</v>
      </c>
      <c r="C612" s="19">
        <v>70551431440</v>
      </c>
      <c r="D612" s="19">
        <v>701707284385770</v>
      </c>
      <c r="E612" s="18" t="s">
        <v>2155</v>
      </c>
      <c r="F612" s="11" t="s">
        <v>40</v>
      </c>
      <c r="G612" s="11" t="s">
        <v>41</v>
      </c>
      <c r="H612" s="24">
        <v>36817</v>
      </c>
      <c r="I612" s="19" t="s">
        <v>2156</v>
      </c>
      <c r="J612" s="11" t="s">
        <v>42</v>
      </c>
      <c r="K612" s="108" t="s">
        <v>74</v>
      </c>
      <c r="N612" s="11" t="s">
        <v>95</v>
      </c>
      <c r="O612" s="11" t="s">
        <v>44</v>
      </c>
      <c r="P612" s="11" t="s">
        <v>44</v>
      </c>
      <c r="Q612" s="11" t="s">
        <v>44</v>
      </c>
      <c r="R612" s="11" t="s">
        <v>45</v>
      </c>
      <c r="S612" s="11" t="s">
        <v>44</v>
      </c>
      <c r="T612" s="11" t="s">
        <v>44</v>
      </c>
      <c r="U612" s="11" t="s">
        <v>45</v>
      </c>
      <c r="V612" s="24">
        <v>45205</v>
      </c>
      <c r="W612" s="11" t="s">
        <v>46</v>
      </c>
      <c r="X612" s="11" t="s">
        <v>97</v>
      </c>
      <c r="Y612" s="11" t="s">
        <v>97</v>
      </c>
      <c r="Z612" s="11">
        <v>81987563335</v>
      </c>
      <c r="AA612" s="11" t="s">
        <v>91</v>
      </c>
      <c r="AB612" s="11" t="s">
        <v>49</v>
      </c>
      <c r="AC612" s="11" t="s">
        <v>92</v>
      </c>
      <c r="AD612" s="11" t="b">
        <v>1</v>
      </c>
      <c r="AE612" s="11" t="s">
        <v>137</v>
      </c>
      <c r="AF612" s="11" t="s">
        <v>2157</v>
      </c>
      <c r="AG612" s="11"/>
      <c r="AH612" s="11"/>
      <c r="AI612" s="11"/>
    </row>
    <row r="613" ht="12.5" spans="1:35">
      <c r="A613" s="177">
        <v>45203.6858334491</v>
      </c>
      <c r="B613" s="11" t="s">
        <v>2158</v>
      </c>
      <c r="C613" s="19">
        <v>4854471425</v>
      </c>
      <c r="D613" s="19">
        <v>706409146148787</v>
      </c>
      <c r="E613" s="18" t="s">
        <v>2159</v>
      </c>
      <c r="F613" s="11" t="s">
        <v>225</v>
      </c>
      <c r="G613" s="11" t="s">
        <v>54</v>
      </c>
      <c r="H613" s="24">
        <v>33638</v>
      </c>
      <c r="I613" s="277" t="s">
        <v>846</v>
      </c>
      <c r="J613" s="11" t="s">
        <v>42</v>
      </c>
      <c r="K613" s="108" t="s">
        <v>1996</v>
      </c>
      <c r="N613" s="11" t="s">
        <v>43</v>
      </c>
      <c r="O613" s="11" t="s">
        <v>44</v>
      </c>
      <c r="P613" s="11" t="s">
        <v>56</v>
      </c>
      <c r="Q613" s="11" t="s">
        <v>44</v>
      </c>
      <c r="R613" s="11" t="s">
        <v>45</v>
      </c>
      <c r="S613" s="11" t="s">
        <v>45</v>
      </c>
      <c r="T613" s="11" t="s">
        <v>44</v>
      </c>
      <c r="U613" s="11" t="s">
        <v>45</v>
      </c>
      <c r="V613" s="24">
        <v>45203</v>
      </c>
      <c r="W613" s="11" t="s">
        <v>46</v>
      </c>
      <c r="X613" s="11" t="s">
        <v>47</v>
      </c>
      <c r="Y613" s="11" t="s">
        <v>58</v>
      </c>
      <c r="Z613" s="11">
        <v>81988844325</v>
      </c>
      <c r="AA613" s="11" t="s">
        <v>115</v>
      </c>
      <c r="AB613" s="11" t="s">
        <v>49</v>
      </c>
      <c r="AC613" s="11" t="s">
        <v>50</v>
      </c>
      <c r="AD613" s="11" t="b">
        <v>1</v>
      </c>
      <c r="AE613" s="11" t="s">
        <v>137</v>
      </c>
      <c r="AF613" s="11" t="s">
        <v>2160</v>
      </c>
      <c r="AG613" s="11"/>
      <c r="AH613" s="40" t="s">
        <v>2161</v>
      </c>
      <c r="AI613" s="11"/>
    </row>
    <row r="614" ht="12.5" spans="1:35">
      <c r="A614" s="177">
        <v>45204.3703004514</v>
      </c>
      <c r="B614" s="11" t="s">
        <v>2162</v>
      </c>
      <c r="C614" s="277" t="s">
        <v>2163</v>
      </c>
      <c r="D614" s="19">
        <v>700503392857351</v>
      </c>
      <c r="E614" s="18" t="s">
        <v>2164</v>
      </c>
      <c r="F614" s="11" t="s">
        <v>225</v>
      </c>
      <c r="G614" s="11" t="s">
        <v>135</v>
      </c>
      <c r="H614" s="24">
        <v>32045</v>
      </c>
      <c r="I614" s="277" t="s">
        <v>883</v>
      </c>
      <c r="J614" s="11" t="s">
        <v>81</v>
      </c>
      <c r="K614" s="108"/>
      <c r="L614" s="11" t="s">
        <v>2165</v>
      </c>
      <c r="N614" s="11" t="s">
        <v>43</v>
      </c>
      <c r="O614" s="11" t="s">
        <v>127</v>
      </c>
      <c r="P614" s="11" t="s">
        <v>44</v>
      </c>
      <c r="Q614" s="11" t="s">
        <v>44</v>
      </c>
      <c r="R614" s="11" t="s">
        <v>45</v>
      </c>
      <c r="S614" s="11" t="s">
        <v>45</v>
      </c>
      <c r="T614" s="11" t="s">
        <v>44</v>
      </c>
      <c r="U614" s="11" t="s">
        <v>44</v>
      </c>
      <c r="W614" s="11" t="s">
        <v>57</v>
      </c>
      <c r="X614" s="11" t="s">
        <v>67</v>
      </c>
      <c r="Y614" s="11" t="s">
        <v>68</v>
      </c>
      <c r="Z614" s="11">
        <v>81987938918</v>
      </c>
      <c r="AA614" s="11" t="s">
        <v>115</v>
      </c>
      <c r="AB614" s="11"/>
      <c r="AC614" s="11"/>
      <c r="AD614" s="11" t="b">
        <v>0</v>
      </c>
      <c r="AF614" s="11"/>
      <c r="AG614" s="11"/>
      <c r="AH614" s="11"/>
      <c r="AI614" s="11"/>
    </row>
    <row r="615" ht="12.5" spans="1:35">
      <c r="A615" s="177">
        <v>45204.3999665972</v>
      </c>
      <c r="B615" s="11" t="s">
        <v>993</v>
      </c>
      <c r="C615" s="19">
        <v>10347149456</v>
      </c>
      <c r="D615" s="19">
        <v>706801783269029</v>
      </c>
      <c r="E615" s="18" t="s">
        <v>2166</v>
      </c>
      <c r="F615" s="11" t="s">
        <v>225</v>
      </c>
      <c r="G615" s="11" t="s">
        <v>54</v>
      </c>
      <c r="H615" s="24">
        <v>33653</v>
      </c>
      <c r="I615" s="277" t="s">
        <v>995</v>
      </c>
      <c r="J615" s="11" t="s">
        <v>42</v>
      </c>
      <c r="K615" s="108" t="s">
        <v>302</v>
      </c>
      <c r="N615" s="11" t="s">
        <v>95</v>
      </c>
      <c r="O615" s="11" t="s">
        <v>44</v>
      </c>
      <c r="P615" s="11" t="s">
        <v>44</v>
      </c>
      <c r="Q615" s="11" t="s">
        <v>44</v>
      </c>
      <c r="R615" s="11" t="s">
        <v>45</v>
      </c>
      <c r="S615" s="11" t="s">
        <v>45</v>
      </c>
      <c r="T615" s="11" t="s">
        <v>44</v>
      </c>
      <c r="U615" s="11" t="s">
        <v>44</v>
      </c>
      <c r="W615" s="11" t="s">
        <v>46</v>
      </c>
      <c r="X615" s="11" t="s">
        <v>97</v>
      </c>
      <c r="Y615" s="11" t="s">
        <v>97</v>
      </c>
      <c r="Z615" s="11">
        <v>81996851239</v>
      </c>
      <c r="AA615" s="11" t="s">
        <v>113</v>
      </c>
      <c r="AB615" s="11"/>
      <c r="AC615" s="11"/>
      <c r="AD615" s="11" t="b">
        <v>0</v>
      </c>
      <c r="AF615" s="11"/>
      <c r="AG615" s="11"/>
      <c r="AH615" s="11"/>
      <c r="AI615" s="11"/>
    </row>
    <row r="616" ht="12.5" spans="1:35">
      <c r="A616" s="177">
        <v>45204.4919049537</v>
      </c>
      <c r="B616" s="11" t="s">
        <v>2167</v>
      </c>
      <c r="C616" s="19">
        <v>14640046413</v>
      </c>
      <c r="D616" s="19">
        <v>898006177047124</v>
      </c>
      <c r="E616" s="18" t="s">
        <v>2168</v>
      </c>
      <c r="F616" s="11" t="s">
        <v>40</v>
      </c>
      <c r="G616" s="11" t="s">
        <v>54</v>
      </c>
      <c r="H616" s="24">
        <v>37004</v>
      </c>
      <c r="I616" s="277" t="s">
        <v>2169</v>
      </c>
      <c r="J616" s="11" t="s">
        <v>42</v>
      </c>
      <c r="K616" s="108" t="s">
        <v>155</v>
      </c>
      <c r="N616" s="11" t="s">
        <v>43</v>
      </c>
      <c r="O616" s="11" t="s">
        <v>44</v>
      </c>
      <c r="P616" s="11" t="s">
        <v>44</v>
      </c>
      <c r="Q616" s="11" t="s">
        <v>44</v>
      </c>
      <c r="R616" s="11" t="s">
        <v>45</v>
      </c>
      <c r="S616" s="11" t="s">
        <v>83</v>
      </c>
      <c r="T616" s="11" t="s">
        <v>44</v>
      </c>
      <c r="U616" s="11" t="s">
        <v>45</v>
      </c>
      <c r="V616" s="24">
        <v>45205</v>
      </c>
      <c r="W616" s="11" t="s">
        <v>46</v>
      </c>
      <c r="X616" s="11" t="s">
        <v>47</v>
      </c>
      <c r="Y616" s="11" t="s">
        <v>58</v>
      </c>
      <c r="Z616" s="11">
        <v>87999556188</v>
      </c>
      <c r="AA616" s="11" t="s">
        <v>115</v>
      </c>
      <c r="AB616" s="11" t="s">
        <v>98</v>
      </c>
      <c r="AC616" s="11"/>
      <c r="AD616" s="11" t="b">
        <v>0</v>
      </c>
      <c r="AF616" s="11" t="s">
        <v>2170</v>
      </c>
      <c r="AG616" s="11" t="s">
        <v>2171</v>
      </c>
      <c r="AH616" s="11" t="s">
        <v>2172</v>
      </c>
      <c r="AI616" s="11"/>
    </row>
    <row r="617" ht="12.5" spans="1:35">
      <c r="A617" s="177">
        <v>45204.567680625</v>
      </c>
      <c r="B617" s="11" t="s">
        <v>2147</v>
      </c>
      <c r="C617" s="19">
        <v>12617371484</v>
      </c>
      <c r="D617" s="19">
        <v>700000331008003</v>
      </c>
      <c r="E617" s="18" t="s">
        <v>2173</v>
      </c>
      <c r="F617" s="11" t="s">
        <v>40</v>
      </c>
      <c r="G617" s="11" t="s">
        <v>54</v>
      </c>
      <c r="H617" s="24">
        <v>37217</v>
      </c>
      <c r="I617" s="277" t="s">
        <v>2174</v>
      </c>
      <c r="J617" s="11" t="s">
        <v>81</v>
      </c>
      <c r="K617" s="108"/>
      <c r="L617" s="11" t="s">
        <v>520</v>
      </c>
      <c r="N617" s="11" t="s">
        <v>95</v>
      </c>
      <c r="O617" s="11" t="s">
        <v>127</v>
      </c>
      <c r="P617" s="11" t="s">
        <v>44</v>
      </c>
      <c r="Q617" s="11" t="s">
        <v>44</v>
      </c>
      <c r="R617" s="11" t="s">
        <v>45</v>
      </c>
      <c r="S617" s="11" t="s">
        <v>45</v>
      </c>
      <c r="T617" s="11" t="s">
        <v>44</v>
      </c>
      <c r="U617" s="11" t="s">
        <v>44</v>
      </c>
      <c r="W617" s="11" t="s">
        <v>46</v>
      </c>
      <c r="X617" s="11" t="s">
        <v>97</v>
      </c>
      <c r="Y617" s="11" t="s">
        <v>97</v>
      </c>
      <c r="Z617" s="11">
        <v>81985159383</v>
      </c>
      <c r="AA617" s="11" t="s">
        <v>91</v>
      </c>
      <c r="AB617" s="11"/>
      <c r="AC617" s="11"/>
      <c r="AD617" s="11" t="b">
        <v>0</v>
      </c>
      <c r="AF617" s="11"/>
      <c r="AG617" s="11"/>
      <c r="AH617" s="11"/>
      <c r="AI617" s="11"/>
    </row>
    <row r="618" ht="12.5" spans="1:35">
      <c r="A618" s="177">
        <v>45204.5887783912</v>
      </c>
      <c r="B618" s="11" t="s">
        <v>2175</v>
      </c>
      <c r="C618" s="19">
        <v>11412482470</v>
      </c>
      <c r="D618" s="19">
        <v>200329141690001</v>
      </c>
      <c r="E618" s="18" t="s">
        <v>2176</v>
      </c>
      <c r="F618" s="11" t="s">
        <v>40</v>
      </c>
      <c r="G618" s="11" t="s">
        <v>54</v>
      </c>
      <c r="H618" s="24">
        <v>35429</v>
      </c>
      <c r="I618" s="277" t="s">
        <v>2177</v>
      </c>
      <c r="J618" s="11" t="s">
        <v>42</v>
      </c>
      <c r="K618" s="108"/>
      <c r="L618" s="11" t="s">
        <v>2178</v>
      </c>
      <c r="N618" s="11" t="s">
        <v>43</v>
      </c>
      <c r="O618" s="11" t="s">
        <v>44</v>
      </c>
      <c r="P618" s="11" t="s">
        <v>44</v>
      </c>
      <c r="Q618" s="11" t="s">
        <v>44</v>
      </c>
      <c r="R618" s="11" t="s">
        <v>45</v>
      </c>
      <c r="S618" s="11" t="s">
        <v>45</v>
      </c>
      <c r="T618" s="11" t="s">
        <v>44</v>
      </c>
      <c r="U618" s="11" t="s">
        <v>45</v>
      </c>
      <c r="V618" s="24">
        <v>45204</v>
      </c>
      <c r="W618" s="11" t="s">
        <v>57</v>
      </c>
      <c r="X618" s="11" t="s">
        <v>47</v>
      </c>
      <c r="Y618" s="11" t="s">
        <v>58</v>
      </c>
      <c r="Z618" s="11">
        <v>81986412953</v>
      </c>
      <c r="AA618" s="11" t="s">
        <v>115</v>
      </c>
      <c r="AB618" s="11" t="s">
        <v>49</v>
      </c>
      <c r="AC618" s="11" t="s">
        <v>50</v>
      </c>
      <c r="AD618" s="11" t="b">
        <v>0</v>
      </c>
      <c r="AF618" s="11" t="s">
        <v>2179</v>
      </c>
      <c r="AG618" s="11"/>
      <c r="AH618" s="11"/>
      <c r="AI618" s="11"/>
    </row>
    <row r="619" ht="12.5" spans="1:35">
      <c r="A619" s="177">
        <v>45204.722776794</v>
      </c>
      <c r="B619" s="11" t="s">
        <v>2175</v>
      </c>
      <c r="C619" s="19">
        <v>11412482470</v>
      </c>
      <c r="D619" s="19">
        <v>200329141690001</v>
      </c>
      <c r="F619" s="11" t="s">
        <v>40</v>
      </c>
      <c r="G619" s="11" t="s">
        <v>54</v>
      </c>
      <c r="H619" s="24">
        <v>35429</v>
      </c>
      <c r="I619" s="277" t="s">
        <v>2177</v>
      </c>
      <c r="J619" s="11" t="s">
        <v>42</v>
      </c>
      <c r="K619" s="108"/>
      <c r="L619" s="11" t="s">
        <v>2180</v>
      </c>
      <c r="N619" s="11" t="s">
        <v>95</v>
      </c>
      <c r="O619" s="11" t="s">
        <v>44</v>
      </c>
      <c r="P619" s="11" t="s">
        <v>44</v>
      </c>
      <c r="Q619" s="11" t="s">
        <v>44</v>
      </c>
      <c r="R619" s="11" t="s">
        <v>45</v>
      </c>
      <c r="S619" s="11" t="s">
        <v>45</v>
      </c>
      <c r="T619" s="11" t="s">
        <v>44</v>
      </c>
      <c r="U619" s="11" t="s">
        <v>44</v>
      </c>
      <c r="W619" s="11" t="s">
        <v>57</v>
      </c>
      <c r="X619" s="11" t="s">
        <v>97</v>
      </c>
      <c r="Y619" s="11" t="s">
        <v>97</v>
      </c>
      <c r="Z619" s="11">
        <v>81986412953</v>
      </c>
      <c r="AA619" s="11" t="s">
        <v>115</v>
      </c>
      <c r="AB619" s="11"/>
      <c r="AC619" s="11"/>
      <c r="AD619" s="11" t="b">
        <v>0</v>
      </c>
      <c r="AF619" s="11"/>
      <c r="AG619" s="11"/>
      <c r="AH619" s="11"/>
      <c r="AI619" s="11"/>
    </row>
    <row r="620" ht="12.5" spans="1:35">
      <c r="A620" s="177">
        <v>45204.7723700926</v>
      </c>
      <c r="B620" s="11" t="s">
        <v>2158</v>
      </c>
      <c r="C620" s="19">
        <v>4854471425</v>
      </c>
      <c r="D620" s="19">
        <v>706409146148787</v>
      </c>
      <c r="E620" s="18" t="s">
        <v>2181</v>
      </c>
      <c r="F620" s="11" t="s">
        <v>225</v>
      </c>
      <c r="G620" s="11" t="s">
        <v>54</v>
      </c>
      <c r="H620" s="24">
        <v>33638</v>
      </c>
      <c r="I620" s="277" t="s">
        <v>846</v>
      </c>
      <c r="J620" s="11" t="s">
        <v>42</v>
      </c>
      <c r="K620" s="108" t="s">
        <v>1996</v>
      </c>
      <c r="L620" s="11"/>
      <c r="N620" s="11" t="s">
        <v>95</v>
      </c>
      <c r="O620" s="11" t="s">
        <v>96</v>
      </c>
      <c r="P620" s="11" t="s">
        <v>56</v>
      </c>
      <c r="Q620" s="11" t="s">
        <v>45</v>
      </c>
      <c r="R620" s="11" t="s">
        <v>45</v>
      </c>
      <c r="S620" s="11" t="s">
        <v>45</v>
      </c>
      <c r="T620" s="11" t="s">
        <v>44</v>
      </c>
      <c r="U620" s="11" t="s">
        <v>45</v>
      </c>
      <c r="V620" s="24">
        <v>45206</v>
      </c>
      <c r="W620" s="11" t="s">
        <v>57</v>
      </c>
      <c r="X620" s="11" t="s">
        <v>97</v>
      </c>
      <c r="Y620" s="11" t="s">
        <v>97</v>
      </c>
      <c r="Z620" s="11">
        <v>81988844325</v>
      </c>
      <c r="AA620" s="11" t="s">
        <v>115</v>
      </c>
      <c r="AB620" s="11" t="s">
        <v>49</v>
      </c>
      <c r="AC620" s="11" t="s">
        <v>50</v>
      </c>
      <c r="AD620" s="11" t="b">
        <v>0</v>
      </c>
      <c r="AF620" s="11" t="s">
        <v>2182</v>
      </c>
      <c r="AG620" s="11" t="s">
        <v>2183</v>
      </c>
      <c r="AH620" s="11"/>
      <c r="AI620" s="11"/>
    </row>
    <row r="621" ht="12.5" spans="1:35">
      <c r="A621" s="177">
        <v>45205.3699727199</v>
      </c>
      <c r="B621" s="11" t="s">
        <v>2137</v>
      </c>
      <c r="C621" s="19">
        <v>70551431440</v>
      </c>
      <c r="D621" s="19">
        <v>701707284385770</v>
      </c>
      <c r="E621" s="18" t="s">
        <v>2184</v>
      </c>
      <c r="F621" s="11" t="s">
        <v>40</v>
      </c>
      <c r="G621" s="11" t="s">
        <v>41</v>
      </c>
      <c r="H621" s="24">
        <v>36817</v>
      </c>
      <c r="I621" s="19" t="s">
        <v>2156</v>
      </c>
      <c r="J621" s="11" t="s">
        <v>42</v>
      </c>
      <c r="K621" s="108" t="s">
        <v>74</v>
      </c>
      <c r="L621" s="11"/>
      <c r="N621" s="11" t="s">
        <v>95</v>
      </c>
      <c r="O621" s="11" t="s">
        <v>44</v>
      </c>
      <c r="P621" s="11" t="s">
        <v>44</v>
      </c>
      <c r="Q621" s="11" t="s">
        <v>44</v>
      </c>
      <c r="R621" s="11" t="s">
        <v>45</v>
      </c>
      <c r="S621" s="11" t="s">
        <v>44</v>
      </c>
      <c r="T621" s="11" t="s">
        <v>44</v>
      </c>
      <c r="U621" s="11" t="s">
        <v>44</v>
      </c>
      <c r="W621" s="11" t="s">
        <v>46</v>
      </c>
      <c r="X621" s="11" t="s">
        <v>97</v>
      </c>
      <c r="Y621" s="11" t="s">
        <v>97</v>
      </c>
      <c r="Z621" s="11">
        <v>81987563335</v>
      </c>
      <c r="AA621" s="11" t="s">
        <v>91</v>
      </c>
      <c r="AB621" s="11"/>
      <c r="AC621" s="11"/>
      <c r="AD621" s="11" t="b">
        <v>0</v>
      </c>
      <c r="AF621" s="11"/>
      <c r="AG621" s="11"/>
      <c r="AH621" s="11"/>
      <c r="AI621" s="11"/>
    </row>
    <row r="622" ht="12.5" spans="1:35">
      <c r="A622" s="177">
        <v>45205.4412092708</v>
      </c>
      <c r="B622" s="11" t="s">
        <v>2185</v>
      </c>
      <c r="C622" s="19">
        <v>12993275402</v>
      </c>
      <c r="D622" s="19">
        <v>898004847610948</v>
      </c>
      <c r="E622" s="18" t="s">
        <v>2186</v>
      </c>
      <c r="F622" s="11" t="s">
        <v>40</v>
      </c>
      <c r="G622" s="11" t="s">
        <v>54</v>
      </c>
      <c r="H622" s="24">
        <v>36711</v>
      </c>
      <c r="I622" s="277" t="s">
        <v>2187</v>
      </c>
      <c r="J622" s="11" t="s">
        <v>42</v>
      </c>
      <c r="K622" s="108" t="s">
        <v>155</v>
      </c>
      <c r="L622" s="11"/>
      <c r="N622" s="11" t="s">
        <v>43</v>
      </c>
      <c r="O622" s="11" t="s">
        <v>44</v>
      </c>
      <c r="P622" s="11" t="s">
        <v>44</v>
      </c>
      <c r="Q622" s="11" t="s">
        <v>44</v>
      </c>
      <c r="R622" s="11" t="s">
        <v>45</v>
      </c>
      <c r="S622" s="11" t="s">
        <v>45</v>
      </c>
      <c r="T622" s="11" t="s">
        <v>44</v>
      </c>
      <c r="U622" s="11" t="s">
        <v>44</v>
      </c>
      <c r="W622" s="11" t="s">
        <v>46</v>
      </c>
      <c r="X622" s="11" t="s">
        <v>47</v>
      </c>
      <c r="Y622" s="11" t="s">
        <v>58</v>
      </c>
      <c r="Z622" s="11">
        <v>81996273745</v>
      </c>
      <c r="AA622" s="11" t="s">
        <v>1360</v>
      </c>
      <c r="AB622" s="11"/>
      <c r="AC622" s="11"/>
      <c r="AD622" s="11" t="b">
        <v>0</v>
      </c>
      <c r="AF622" s="11"/>
      <c r="AG622" s="11"/>
      <c r="AH622" s="11" t="s">
        <v>2188</v>
      </c>
      <c r="AI622" s="11"/>
    </row>
    <row r="623" ht="12.5" spans="1:35">
      <c r="A623" s="177">
        <v>45205.5776586806</v>
      </c>
      <c r="B623" s="11" t="s">
        <v>2189</v>
      </c>
      <c r="C623" s="19">
        <v>12169521402</v>
      </c>
      <c r="D623" s="19">
        <v>708606000411280</v>
      </c>
      <c r="E623" s="18" t="s">
        <v>2190</v>
      </c>
      <c r="F623" s="11" t="s">
        <v>40</v>
      </c>
      <c r="G623" s="11" t="s">
        <v>54</v>
      </c>
      <c r="H623" s="24">
        <v>35085</v>
      </c>
      <c r="I623" s="277" t="s">
        <v>2191</v>
      </c>
      <c r="J623" s="11" t="s">
        <v>81</v>
      </c>
      <c r="K623" s="108"/>
      <c r="L623" s="11" t="s">
        <v>109</v>
      </c>
      <c r="N623" s="11" t="s">
        <v>43</v>
      </c>
      <c r="O623" s="11" t="s">
        <v>44</v>
      </c>
      <c r="P623" s="11" t="s">
        <v>44</v>
      </c>
      <c r="Q623" s="11" t="s">
        <v>44</v>
      </c>
      <c r="R623" s="11" t="s">
        <v>45</v>
      </c>
      <c r="S623" s="11" t="s">
        <v>83</v>
      </c>
      <c r="T623" s="11" t="s">
        <v>44</v>
      </c>
      <c r="U623" s="11" t="s">
        <v>45</v>
      </c>
      <c r="V623" s="24">
        <v>45206</v>
      </c>
      <c r="W623" s="11" t="s">
        <v>46</v>
      </c>
      <c r="X623" s="11" t="s">
        <v>47</v>
      </c>
      <c r="Y623" s="11" t="s">
        <v>58</v>
      </c>
      <c r="Z623" s="11">
        <v>81998119834</v>
      </c>
      <c r="AA623" s="11" t="s">
        <v>103</v>
      </c>
      <c r="AB623" s="11" t="s">
        <v>49</v>
      </c>
      <c r="AC623" s="11" t="s">
        <v>274</v>
      </c>
      <c r="AD623" s="11" t="b">
        <v>1</v>
      </c>
      <c r="AE623" s="11" t="s">
        <v>137</v>
      </c>
      <c r="AF623" s="238" t="s">
        <v>2192</v>
      </c>
      <c r="AG623" s="11"/>
      <c r="AH623" s="11"/>
      <c r="AI623" s="11"/>
    </row>
    <row r="624" ht="12.5" spans="1:35">
      <c r="A624" s="177">
        <v>45205.5888114931</v>
      </c>
      <c r="B624" s="11" t="s">
        <v>2193</v>
      </c>
      <c r="C624" s="19">
        <v>10088703401</v>
      </c>
      <c r="D624" s="19">
        <v>700204487588122</v>
      </c>
      <c r="E624" s="18" t="s">
        <v>2194</v>
      </c>
      <c r="F624" s="11" t="s">
        <v>40</v>
      </c>
      <c r="G624" s="11" t="s">
        <v>54</v>
      </c>
      <c r="H624" s="24">
        <v>33344</v>
      </c>
      <c r="I624" s="281" t="s">
        <v>2195</v>
      </c>
      <c r="J624" s="11" t="s">
        <v>42</v>
      </c>
      <c r="K624" s="108" t="s">
        <v>202</v>
      </c>
      <c r="L624" s="11"/>
      <c r="N624" s="11" t="s">
        <v>43</v>
      </c>
      <c r="O624" s="11" t="s">
        <v>44</v>
      </c>
      <c r="P624" s="11" t="s">
        <v>44</v>
      </c>
      <c r="Q624" s="11" t="s">
        <v>45</v>
      </c>
      <c r="R624" s="11" t="s">
        <v>45</v>
      </c>
      <c r="S624" s="11" t="s">
        <v>83</v>
      </c>
      <c r="T624" s="11" t="s">
        <v>44</v>
      </c>
      <c r="U624" s="11" t="s">
        <v>45</v>
      </c>
      <c r="V624" s="24">
        <v>45209</v>
      </c>
      <c r="W624" s="11" t="s">
        <v>46</v>
      </c>
      <c r="X624" s="11" t="s">
        <v>47</v>
      </c>
      <c r="Y624" s="11" t="s">
        <v>58</v>
      </c>
      <c r="Z624" s="11">
        <v>81983511855</v>
      </c>
      <c r="AA624" s="11" t="s">
        <v>91</v>
      </c>
      <c r="AB624" s="11" t="s">
        <v>49</v>
      </c>
      <c r="AC624" s="11" t="s">
        <v>92</v>
      </c>
      <c r="AD624" s="11" t="b">
        <v>1</v>
      </c>
      <c r="AE624" s="11" t="s">
        <v>137</v>
      </c>
      <c r="AF624" s="11" t="s">
        <v>2196</v>
      </c>
      <c r="AG624" s="11"/>
      <c r="AH624" s="11"/>
      <c r="AI624" s="11"/>
    </row>
    <row r="625" ht="12.5" spans="1:35">
      <c r="A625" s="177">
        <v>45206.3444042708</v>
      </c>
      <c r="B625" s="11" t="s">
        <v>2189</v>
      </c>
      <c r="C625" s="19">
        <v>12169521402</v>
      </c>
      <c r="D625" s="19">
        <v>708606000411280</v>
      </c>
      <c r="F625" s="11" t="s">
        <v>40</v>
      </c>
      <c r="G625" s="11" t="s">
        <v>54</v>
      </c>
      <c r="H625" s="24">
        <v>35085</v>
      </c>
      <c r="I625" s="277" t="s">
        <v>390</v>
      </c>
      <c r="J625" s="11" t="s">
        <v>81</v>
      </c>
      <c r="K625" s="108"/>
      <c r="L625" s="11" t="s">
        <v>109</v>
      </c>
      <c r="N625" s="11" t="s">
        <v>95</v>
      </c>
      <c r="O625" s="11" t="s">
        <v>65</v>
      </c>
      <c r="P625" s="11" t="s">
        <v>66</v>
      </c>
      <c r="Q625" s="11" t="s">
        <v>44</v>
      </c>
      <c r="R625" s="11" t="s">
        <v>45</v>
      </c>
      <c r="S625" s="11" t="s">
        <v>45</v>
      </c>
      <c r="T625" s="11" t="s">
        <v>44</v>
      </c>
      <c r="U625" s="11" t="s">
        <v>45</v>
      </c>
      <c r="V625" s="24">
        <v>45206</v>
      </c>
      <c r="W625" s="11" t="s">
        <v>57</v>
      </c>
      <c r="X625" s="11" t="s">
        <v>97</v>
      </c>
      <c r="Y625" s="11" t="s">
        <v>97</v>
      </c>
      <c r="Z625" s="11">
        <v>81998119834</v>
      </c>
      <c r="AA625" s="11" t="s">
        <v>296</v>
      </c>
      <c r="AB625" s="11" t="s">
        <v>49</v>
      </c>
      <c r="AC625" s="11" t="s">
        <v>274</v>
      </c>
      <c r="AD625" s="11" t="b">
        <v>0</v>
      </c>
      <c r="AF625" s="239" t="s">
        <v>2197</v>
      </c>
      <c r="AG625" s="11"/>
      <c r="AH625" s="11"/>
      <c r="AI625" s="11"/>
    </row>
    <row r="626" ht="12.5" spans="1:35">
      <c r="A626" s="177">
        <v>45206.6169467593</v>
      </c>
      <c r="B626" s="11" t="s">
        <v>2158</v>
      </c>
      <c r="C626" s="19">
        <v>4854471425</v>
      </c>
      <c r="D626" s="19">
        <v>706409146148787</v>
      </c>
      <c r="F626" s="11" t="s">
        <v>225</v>
      </c>
      <c r="G626" s="11" t="s">
        <v>54</v>
      </c>
      <c r="H626" s="24">
        <v>33638</v>
      </c>
      <c r="I626" s="277" t="s">
        <v>846</v>
      </c>
      <c r="J626" s="11" t="s">
        <v>42</v>
      </c>
      <c r="K626" s="108" t="s">
        <v>1996</v>
      </c>
      <c r="N626" s="11" t="s">
        <v>95</v>
      </c>
      <c r="O626" s="11" t="s">
        <v>44</v>
      </c>
      <c r="P626" s="11" t="s">
        <v>44</v>
      </c>
      <c r="Q626" s="11" t="s">
        <v>44</v>
      </c>
      <c r="R626" s="11" t="s">
        <v>45</v>
      </c>
      <c r="S626" s="11" t="s">
        <v>45</v>
      </c>
      <c r="T626" s="11" t="s">
        <v>44</v>
      </c>
      <c r="U626" s="11" t="s">
        <v>45</v>
      </c>
      <c r="V626" s="24">
        <v>45208</v>
      </c>
      <c r="W626" s="11" t="s">
        <v>57</v>
      </c>
      <c r="X626" s="11" t="s">
        <v>97</v>
      </c>
      <c r="Y626" s="11" t="s">
        <v>97</v>
      </c>
      <c r="Z626" s="11">
        <v>81988844325</v>
      </c>
      <c r="AA626" s="11" t="s">
        <v>115</v>
      </c>
      <c r="AB626" s="136" t="s">
        <v>49</v>
      </c>
      <c r="AC626" s="11" t="s">
        <v>92</v>
      </c>
      <c r="AD626" s="11" t="b">
        <v>1</v>
      </c>
      <c r="AE626" s="11" t="s">
        <v>137</v>
      </c>
      <c r="AF626" s="11" t="s">
        <v>2198</v>
      </c>
      <c r="AG626" s="11" t="s">
        <v>2199</v>
      </c>
      <c r="AH626" s="40" t="s">
        <v>2200</v>
      </c>
      <c r="AI626" s="11"/>
    </row>
    <row r="627" ht="12.5" spans="1:35">
      <c r="A627" s="177">
        <v>45206.6872566435</v>
      </c>
      <c r="B627" s="11" t="s">
        <v>2189</v>
      </c>
      <c r="C627" s="19">
        <v>12169521402</v>
      </c>
      <c r="D627" s="19">
        <v>708606000411280</v>
      </c>
      <c r="F627" s="11" t="s">
        <v>40</v>
      </c>
      <c r="G627" s="11" t="s">
        <v>54</v>
      </c>
      <c r="H627" s="24">
        <v>35085</v>
      </c>
      <c r="I627" s="277" t="s">
        <v>390</v>
      </c>
      <c r="J627" s="11" t="s">
        <v>81</v>
      </c>
      <c r="K627" s="108"/>
      <c r="L627" s="11" t="s">
        <v>2201</v>
      </c>
      <c r="N627" s="11" t="s">
        <v>95</v>
      </c>
      <c r="O627" s="11" t="s">
        <v>127</v>
      </c>
      <c r="P627" s="11" t="s">
        <v>44</v>
      </c>
      <c r="Q627" s="11" t="s">
        <v>44</v>
      </c>
      <c r="R627" s="11" t="s">
        <v>45</v>
      </c>
      <c r="S627" s="11" t="s">
        <v>45</v>
      </c>
      <c r="T627" s="11" t="s">
        <v>44</v>
      </c>
      <c r="U627" s="11" t="s">
        <v>44</v>
      </c>
      <c r="W627" s="11" t="s">
        <v>57</v>
      </c>
      <c r="X627" s="11" t="s">
        <v>97</v>
      </c>
      <c r="Y627" s="11" t="s">
        <v>97</v>
      </c>
      <c r="Z627" s="11">
        <v>81998119834</v>
      </c>
      <c r="AA627" s="11" t="s">
        <v>296</v>
      </c>
      <c r="AB627" s="11"/>
      <c r="AC627" s="11"/>
      <c r="AD627" s="11" t="b">
        <v>0</v>
      </c>
      <c r="AF627" s="11"/>
      <c r="AG627" s="11"/>
      <c r="AH627" s="11"/>
      <c r="AI627" s="11"/>
    </row>
    <row r="628" ht="12.5" spans="1:35">
      <c r="A628" s="177">
        <v>45207.3838954977</v>
      </c>
      <c r="B628" s="11" t="s">
        <v>964</v>
      </c>
      <c r="C628" s="277" t="s">
        <v>965</v>
      </c>
      <c r="D628" s="19">
        <v>708209134201740</v>
      </c>
      <c r="E628" s="18" t="s">
        <v>2202</v>
      </c>
      <c r="F628" s="11" t="s">
        <v>40</v>
      </c>
      <c r="G628" s="11" t="s">
        <v>54</v>
      </c>
      <c r="H628" s="24">
        <v>32335</v>
      </c>
      <c r="I628" s="277" t="s">
        <v>967</v>
      </c>
      <c r="J628" s="11" t="s">
        <v>42</v>
      </c>
      <c r="K628" s="108" t="s">
        <v>427</v>
      </c>
      <c r="N628" s="11" t="s">
        <v>43</v>
      </c>
      <c r="O628" s="11" t="s">
        <v>96</v>
      </c>
      <c r="P628" s="11" t="s">
        <v>66</v>
      </c>
      <c r="Q628" s="11" t="s">
        <v>44</v>
      </c>
      <c r="R628" s="11" t="s">
        <v>45</v>
      </c>
      <c r="S628" s="11" t="s">
        <v>45</v>
      </c>
      <c r="T628" s="11" t="s">
        <v>44</v>
      </c>
      <c r="U628" s="11" t="s">
        <v>45</v>
      </c>
      <c r="V628" s="24">
        <v>45209</v>
      </c>
      <c r="W628" s="11" t="s">
        <v>46</v>
      </c>
      <c r="X628" s="11" t="s">
        <v>303</v>
      </c>
      <c r="Y628" s="11" t="s">
        <v>58</v>
      </c>
      <c r="Z628" s="11">
        <v>81999157370</v>
      </c>
      <c r="AA628" s="11" t="s">
        <v>1267</v>
      </c>
      <c r="AB628" s="40"/>
      <c r="AC628" s="11"/>
      <c r="AD628" s="11" t="b">
        <v>0</v>
      </c>
      <c r="AF628" s="40" t="s">
        <v>2203</v>
      </c>
      <c r="AG628" s="11"/>
      <c r="AH628" s="63" t="s">
        <v>2204</v>
      </c>
      <c r="AI628" s="11"/>
    </row>
    <row r="629" ht="12.5" spans="1:35">
      <c r="A629" s="177">
        <v>45208.4814340856</v>
      </c>
      <c r="B629" s="11" t="s">
        <v>2205</v>
      </c>
      <c r="C629" s="277" t="s">
        <v>2206</v>
      </c>
      <c r="D629" s="19">
        <v>700608461938568</v>
      </c>
      <c r="E629" s="18" t="s">
        <v>2207</v>
      </c>
      <c r="F629" s="11" t="s">
        <v>40</v>
      </c>
      <c r="G629" s="11" t="s">
        <v>54</v>
      </c>
      <c r="H629" s="24">
        <v>32807</v>
      </c>
      <c r="I629" s="277" t="s">
        <v>2208</v>
      </c>
      <c r="J629" s="11" t="s">
        <v>42</v>
      </c>
      <c r="K629" s="108" t="s">
        <v>149</v>
      </c>
      <c r="N629" s="11" t="s">
        <v>43</v>
      </c>
      <c r="O629" s="11" t="s">
        <v>44</v>
      </c>
      <c r="P629" s="11" t="s">
        <v>44</v>
      </c>
      <c r="Q629" s="11" t="s">
        <v>44</v>
      </c>
      <c r="R629" s="11" t="s">
        <v>45</v>
      </c>
      <c r="S629" s="11" t="s">
        <v>44</v>
      </c>
      <c r="T629" s="11" t="s">
        <v>44</v>
      </c>
      <c r="U629" s="11" t="s">
        <v>45</v>
      </c>
      <c r="V629" s="24">
        <v>45208</v>
      </c>
      <c r="W629" s="11" t="s">
        <v>46</v>
      </c>
      <c r="X629" s="11" t="s">
        <v>47</v>
      </c>
      <c r="Y629" s="11" t="s">
        <v>58</v>
      </c>
      <c r="Z629" s="11">
        <v>81973377388</v>
      </c>
      <c r="AA629" s="11" t="s">
        <v>105</v>
      </c>
      <c r="AB629" s="11" t="s">
        <v>49</v>
      </c>
      <c r="AC629" s="11" t="s">
        <v>84</v>
      </c>
      <c r="AD629" s="11" t="b">
        <v>0</v>
      </c>
      <c r="AF629" s="11" t="s">
        <v>2209</v>
      </c>
      <c r="AG629" s="11"/>
      <c r="AH629" s="11" t="s">
        <v>2210</v>
      </c>
      <c r="AI629" s="11"/>
    </row>
    <row r="630" ht="12.5" spans="1:35">
      <c r="A630" s="177">
        <v>45208.5027433912</v>
      </c>
      <c r="B630" s="11" t="s">
        <v>2211</v>
      </c>
      <c r="C630" s="19">
        <v>71521746443</v>
      </c>
      <c r="D630" s="19">
        <v>700001066797603</v>
      </c>
      <c r="E630" s="18" t="s">
        <v>2212</v>
      </c>
      <c r="F630" s="11" t="s">
        <v>40</v>
      </c>
      <c r="G630" s="11" t="s">
        <v>54</v>
      </c>
      <c r="H630" s="24">
        <v>39120</v>
      </c>
      <c r="I630" s="19" t="s">
        <v>136</v>
      </c>
      <c r="J630" s="11" t="s">
        <v>42</v>
      </c>
      <c r="K630" s="108" t="s">
        <v>202</v>
      </c>
      <c r="N630" s="11" t="s">
        <v>43</v>
      </c>
      <c r="O630" s="11" t="s">
        <v>96</v>
      </c>
      <c r="P630" s="11" t="s">
        <v>66</v>
      </c>
      <c r="Q630" s="11" t="s">
        <v>45</v>
      </c>
      <c r="R630" s="11" t="s">
        <v>45</v>
      </c>
      <c r="S630" s="11" t="s">
        <v>45</v>
      </c>
      <c r="T630" s="11" t="s">
        <v>44</v>
      </c>
      <c r="U630" s="11" t="s">
        <v>45</v>
      </c>
      <c r="V630" s="24">
        <v>45209</v>
      </c>
      <c r="W630" s="11" t="s">
        <v>46</v>
      </c>
      <c r="X630" s="11" t="s">
        <v>47</v>
      </c>
      <c r="Y630" s="11" t="s">
        <v>185</v>
      </c>
      <c r="Z630" s="11">
        <v>81981810115</v>
      </c>
      <c r="AA630" s="11" t="s">
        <v>103</v>
      </c>
      <c r="AB630" s="11" t="s">
        <v>49</v>
      </c>
      <c r="AC630" s="11" t="s">
        <v>1319</v>
      </c>
      <c r="AD630" s="11" t="b">
        <v>1</v>
      </c>
      <c r="AE630" s="11" t="s">
        <v>137</v>
      </c>
      <c r="AF630" s="11" t="s">
        <v>2213</v>
      </c>
      <c r="AG630" s="11"/>
      <c r="AH630" s="11"/>
      <c r="AI630" s="11"/>
    </row>
    <row r="631" ht="12.5" spans="1:35">
      <c r="A631" s="177">
        <v>45208.6455573611</v>
      </c>
      <c r="B631" s="11" t="s">
        <v>2205</v>
      </c>
      <c r="C631" s="277" t="s">
        <v>2206</v>
      </c>
      <c r="D631" s="19">
        <v>700608461938568</v>
      </c>
      <c r="E631" s="18" t="s">
        <v>2214</v>
      </c>
      <c r="F631" s="11" t="s">
        <v>40</v>
      </c>
      <c r="G631" s="11" t="s">
        <v>54</v>
      </c>
      <c r="H631" s="24">
        <v>32807</v>
      </c>
      <c r="I631" s="277" t="s">
        <v>2208</v>
      </c>
      <c r="J631" s="11" t="s">
        <v>42</v>
      </c>
      <c r="K631" s="108" t="s">
        <v>149</v>
      </c>
      <c r="N631" s="11" t="s">
        <v>95</v>
      </c>
      <c r="O631" s="11" t="s">
        <v>44</v>
      </c>
      <c r="P631" s="11" t="s">
        <v>44</v>
      </c>
      <c r="Q631" s="11" t="s">
        <v>44</v>
      </c>
      <c r="R631" s="11" t="s">
        <v>44</v>
      </c>
      <c r="S631" s="11" t="s">
        <v>83</v>
      </c>
      <c r="T631" s="11" t="s">
        <v>44</v>
      </c>
      <c r="U631" s="11" t="s">
        <v>45</v>
      </c>
      <c r="V631" s="24">
        <v>45209</v>
      </c>
      <c r="W631" s="11" t="s">
        <v>46</v>
      </c>
      <c r="X631" s="11" t="s">
        <v>97</v>
      </c>
      <c r="Y631" s="11" t="s">
        <v>97</v>
      </c>
      <c r="Z631" s="11">
        <v>81973377388</v>
      </c>
      <c r="AA631" s="11" t="s">
        <v>113</v>
      </c>
      <c r="AB631" s="11" t="s">
        <v>49</v>
      </c>
      <c r="AC631" s="11" t="s">
        <v>1319</v>
      </c>
      <c r="AD631" s="11" t="b">
        <v>1</v>
      </c>
      <c r="AE631" s="11" t="s">
        <v>137</v>
      </c>
      <c r="AF631" s="11"/>
      <c r="AG631" s="11"/>
      <c r="AH631" s="11"/>
      <c r="AI631" s="11"/>
    </row>
    <row r="632" ht="12.5" spans="1:35">
      <c r="A632" s="177">
        <v>45208.6498839005</v>
      </c>
      <c r="B632" s="11" t="s">
        <v>2205</v>
      </c>
      <c r="C632" s="277" t="s">
        <v>2206</v>
      </c>
      <c r="D632" s="19">
        <v>700608461938568</v>
      </c>
      <c r="E632" s="18" t="s">
        <v>2215</v>
      </c>
      <c r="F632" s="11" t="s">
        <v>40</v>
      </c>
      <c r="G632" s="11" t="s">
        <v>54</v>
      </c>
      <c r="H632" s="24">
        <v>32807</v>
      </c>
      <c r="I632" s="277" t="s">
        <v>2208</v>
      </c>
      <c r="J632" s="11" t="s">
        <v>42</v>
      </c>
      <c r="K632" s="108" t="s">
        <v>149</v>
      </c>
      <c r="N632" s="11" t="s">
        <v>95</v>
      </c>
      <c r="O632" s="11" t="s">
        <v>44</v>
      </c>
      <c r="P632" s="11" t="s">
        <v>44</v>
      </c>
      <c r="Q632" s="11" t="s">
        <v>44</v>
      </c>
      <c r="R632" s="11" t="s">
        <v>45</v>
      </c>
      <c r="S632" s="11" t="s">
        <v>44</v>
      </c>
      <c r="T632" s="11" t="s">
        <v>44</v>
      </c>
      <c r="U632" s="11" t="s">
        <v>44</v>
      </c>
      <c r="W632" s="11" t="s">
        <v>46</v>
      </c>
      <c r="X632" s="11" t="s">
        <v>97</v>
      </c>
      <c r="Y632" s="11" t="s">
        <v>97</v>
      </c>
      <c r="Z632" s="11">
        <v>81973377388</v>
      </c>
      <c r="AA632" s="11" t="s">
        <v>105</v>
      </c>
      <c r="AB632" s="11"/>
      <c r="AC632" s="11"/>
      <c r="AD632" s="11" t="b">
        <v>0</v>
      </c>
      <c r="AF632" s="11"/>
      <c r="AG632" s="11"/>
      <c r="AH632" s="11"/>
      <c r="AI632" s="11"/>
    </row>
    <row r="633" ht="12.5" spans="1:35">
      <c r="A633" s="177">
        <v>45209.4015603357</v>
      </c>
      <c r="B633" s="11" t="s">
        <v>2216</v>
      </c>
      <c r="C633" s="19">
        <v>70161958486</v>
      </c>
      <c r="D633" s="19">
        <v>708602561840888</v>
      </c>
      <c r="E633" s="18" t="s">
        <v>2217</v>
      </c>
      <c r="F633" s="11" t="s">
        <v>40</v>
      </c>
      <c r="G633" s="11" t="s">
        <v>54</v>
      </c>
      <c r="H633" s="24">
        <v>34882</v>
      </c>
      <c r="I633" s="19" t="s">
        <v>448</v>
      </c>
      <c r="J633" s="11" t="s">
        <v>42</v>
      </c>
      <c r="K633" s="108" t="s">
        <v>74</v>
      </c>
      <c r="N633" s="11" t="s">
        <v>43</v>
      </c>
      <c r="O633" s="11" t="s">
        <v>65</v>
      </c>
      <c r="P633" s="11" t="s">
        <v>66</v>
      </c>
      <c r="Q633" s="11" t="s">
        <v>44</v>
      </c>
      <c r="R633" s="11" t="s">
        <v>45</v>
      </c>
      <c r="S633" s="11" t="s">
        <v>45</v>
      </c>
      <c r="T633" s="11" t="s">
        <v>44</v>
      </c>
      <c r="U633" s="11" t="s">
        <v>45</v>
      </c>
      <c r="V633" s="24">
        <v>45209</v>
      </c>
      <c r="W633" s="11" t="s">
        <v>46</v>
      </c>
      <c r="X633" s="11" t="s">
        <v>47</v>
      </c>
      <c r="Y633" s="11" t="s">
        <v>58</v>
      </c>
      <c r="Z633" s="11">
        <v>81996395460</v>
      </c>
      <c r="AA633" s="11" t="s">
        <v>105</v>
      </c>
      <c r="AB633" s="11" t="s">
        <v>98</v>
      </c>
      <c r="AC633" s="11"/>
      <c r="AD633" s="11" t="b">
        <v>0</v>
      </c>
      <c r="AF633" s="11" t="s">
        <v>2218</v>
      </c>
      <c r="AG633" s="11" t="s">
        <v>2219</v>
      </c>
      <c r="AH633" s="11" t="s">
        <v>2220</v>
      </c>
      <c r="AI633" s="11"/>
    </row>
    <row r="634" ht="12.5" spans="1:35">
      <c r="A634" s="177">
        <v>45209.4039439815</v>
      </c>
      <c r="B634" s="11" t="s">
        <v>2211</v>
      </c>
      <c r="C634" s="19">
        <v>71521746443</v>
      </c>
      <c r="D634" s="19">
        <v>700001066797603</v>
      </c>
      <c r="E634" s="18" t="s">
        <v>2221</v>
      </c>
      <c r="F634" s="11" t="s">
        <v>40</v>
      </c>
      <c r="G634" s="11" t="s">
        <v>54</v>
      </c>
      <c r="H634" s="24">
        <v>39120</v>
      </c>
      <c r="I634" s="277" t="s">
        <v>1505</v>
      </c>
      <c r="J634" s="11" t="s">
        <v>42</v>
      </c>
      <c r="K634" s="108" t="s">
        <v>202</v>
      </c>
      <c r="N634" s="11" t="s">
        <v>95</v>
      </c>
      <c r="O634" s="11" t="s">
        <v>44</v>
      </c>
      <c r="P634" s="11" t="s">
        <v>44</v>
      </c>
      <c r="Q634" s="11" t="s">
        <v>44</v>
      </c>
      <c r="R634" s="11" t="s">
        <v>45</v>
      </c>
      <c r="S634" s="11" t="s">
        <v>44</v>
      </c>
      <c r="T634" s="11" t="s">
        <v>44</v>
      </c>
      <c r="U634" s="11" t="s">
        <v>44</v>
      </c>
      <c r="W634" s="11" t="s">
        <v>46</v>
      </c>
      <c r="X634" s="11" t="s">
        <v>97</v>
      </c>
      <c r="Y634" s="11" t="s">
        <v>97</v>
      </c>
      <c r="Z634" s="11">
        <v>81981810115</v>
      </c>
      <c r="AA634" s="11" t="s">
        <v>1267</v>
      </c>
      <c r="AB634" s="11"/>
      <c r="AC634" s="11"/>
      <c r="AD634" s="11" t="b">
        <v>0</v>
      </c>
      <c r="AF634" s="11"/>
      <c r="AG634" s="11"/>
      <c r="AH634" s="11"/>
      <c r="AI634" s="11"/>
    </row>
    <row r="635" ht="12.5" spans="1:35">
      <c r="A635" s="177">
        <v>45209.4395335764</v>
      </c>
      <c r="B635" s="11" t="s">
        <v>2193</v>
      </c>
      <c r="C635" s="19">
        <v>10088703401</v>
      </c>
      <c r="D635" s="19">
        <v>700204487588122</v>
      </c>
      <c r="E635" s="18" t="s">
        <v>2222</v>
      </c>
      <c r="F635" s="11" t="s">
        <v>40</v>
      </c>
      <c r="G635" s="11" t="s">
        <v>54</v>
      </c>
      <c r="H635" s="24">
        <v>33344</v>
      </c>
      <c r="I635" s="277" t="s">
        <v>2195</v>
      </c>
      <c r="J635" s="11" t="s">
        <v>42</v>
      </c>
      <c r="K635" s="108" t="s">
        <v>2223</v>
      </c>
      <c r="N635" s="11" t="s">
        <v>95</v>
      </c>
      <c r="O635" s="11" t="s">
        <v>96</v>
      </c>
      <c r="P635" s="11" t="s">
        <v>56</v>
      </c>
      <c r="Q635" s="11" t="s">
        <v>44</v>
      </c>
      <c r="R635" s="11" t="s">
        <v>45</v>
      </c>
      <c r="S635" s="11" t="s">
        <v>83</v>
      </c>
      <c r="T635" s="11" t="s">
        <v>44</v>
      </c>
      <c r="U635" s="11" t="s">
        <v>44</v>
      </c>
      <c r="W635" s="11" t="s">
        <v>46</v>
      </c>
      <c r="X635" s="11" t="s">
        <v>97</v>
      </c>
      <c r="Y635" s="11" t="s">
        <v>97</v>
      </c>
      <c r="Z635" s="11">
        <v>81983511855</v>
      </c>
      <c r="AA635" s="11" t="s">
        <v>91</v>
      </c>
      <c r="AB635" s="11"/>
      <c r="AC635" s="11"/>
      <c r="AD635" s="11" t="b">
        <v>0</v>
      </c>
      <c r="AF635" s="11"/>
      <c r="AG635" s="11"/>
      <c r="AH635" s="11" t="s">
        <v>2224</v>
      </c>
      <c r="AI635" s="11"/>
    </row>
    <row r="636" ht="12.5" spans="1:35">
      <c r="A636" s="177">
        <v>45209.4457019329</v>
      </c>
      <c r="B636" s="11" t="s">
        <v>2205</v>
      </c>
      <c r="C636" s="277" t="s">
        <v>2206</v>
      </c>
      <c r="D636" s="19">
        <v>700608461938568</v>
      </c>
      <c r="E636" s="18" t="s">
        <v>2225</v>
      </c>
      <c r="F636" s="11" t="s">
        <v>40</v>
      </c>
      <c r="G636" s="11" t="s">
        <v>54</v>
      </c>
      <c r="H636" s="24">
        <v>32807</v>
      </c>
      <c r="I636" s="277" t="s">
        <v>2208</v>
      </c>
      <c r="J636" s="11" t="s">
        <v>42</v>
      </c>
      <c r="K636" s="108" t="s">
        <v>149</v>
      </c>
      <c r="N636" s="11" t="s">
        <v>95</v>
      </c>
      <c r="O636" s="11" t="s">
        <v>44</v>
      </c>
      <c r="P636" s="11" t="s">
        <v>56</v>
      </c>
      <c r="Q636" s="11" t="s">
        <v>44</v>
      </c>
      <c r="R636" s="11" t="s">
        <v>44</v>
      </c>
      <c r="S636" s="11" t="s">
        <v>44</v>
      </c>
      <c r="T636" s="11" t="s">
        <v>44</v>
      </c>
      <c r="U636" s="11" t="s">
        <v>45</v>
      </c>
      <c r="V636" s="24">
        <v>45211</v>
      </c>
      <c r="W636" s="11" t="s">
        <v>46</v>
      </c>
      <c r="X636" s="11" t="s">
        <v>97</v>
      </c>
      <c r="Y636" s="11" t="s">
        <v>97</v>
      </c>
      <c r="Z636" s="11">
        <v>81973377388</v>
      </c>
      <c r="AA636" s="11" t="s">
        <v>1267</v>
      </c>
      <c r="AB636" s="11" t="s">
        <v>98</v>
      </c>
      <c r="AC636" s="11"/>
      <c r="AD636" s="11" t="b">
        <v>0</v>
      </c>
      <c r="AF636" s="11" t="s">
        <v>2226</v>
      </c>
      <c r="AG636" s="11"/>
      <c r="AH636" s="11" t="s">
        <v>2227</v>
      </c>
      <c r="AI636" s="11"/>
    </row>
    <row r="637" ht="12.5" spans="1:35">
      <c r="A637" s="177">
        <v>45209.5714064236</v>
      </c>
      <c r="B637" s="11" t="s">
        <v>2158</v>
      </c>
      <c r="C637" s="19">
        <v>4854471425</v>
      </c>
      <c r="D637" s="19">
        <v>706409146148787</v>
      </c>
      <c r="E637" s="18" t="s">
        <v>2228</v>
      </c>
      <c r="F637" s="11" t="s">
        <v>225</v>
      </c>
      <c r="G637" s="11" t="s">
        <v>54</v>
      </c>
      <c r="H637" s="24">
        <v>33638</v>
      </c>
      <c r="I637" s="277" t="s">
        <v>846</v>
      </c>
      <c r="J637" s="11" t="s">
        <v>42</v>
      </c>
      <c r="K637" s="108" t="s">
        <v>427</v>
      </c>
      <c r="N637" s="11" t="s">
        <v>95</v>
      </c>
      <c r="O637" s="11" t="s">
        <v>44</v>
      </c>
      <c r="P637" s="11" t="s">
        <v>44</v>
      </c>
      <c r="Q637" s="11" t="s">
        <v>44</v>
      </c>
      <c r="R637" s="11" t="s">
        <v>45</v>
      </c>
      <c r="S637" s="11" t="s">
        <v>45</v>
      </c>
      <c r="T637" s="11" t="s">
        <v>44</v>
      </c>
      <c r="U637" s="11" t="s">
        <v>45</v>
      </c>
      <c r="V637" s="24">
        <v>45211</v>
      </c>
      <c r="W637" s="11" t="s">
        <v>46</v>
      </c>
      <c r="X637" s="11" t="s">
        <v>97</v>
      </c>
      <c r="Y637" s="11" t="s">
        <v>97</v>
      </c>
      <c r="Z637" s="11">
        <v>81988844325</v>
      </c>
      <c r="AA637" s="11" t="s">
        <v>91</v>
      </c>
      <c r="AB637" s="11" t="s">
        <v>98</v>
      </c>
      <c r="AC637" s="11"/>
      <c r="AD637" s="11" t="b">
        <v>0</v>
      </c>
      <c r="AF637" s="90" t="s">
        <v>2226</v>
      </c>
      <c r="AG637" s="11"/>
      <c r="AH637" s="11"/>
      <c r="AI637" s="11"/>
    </row>
    <row r="638" ht="12.5" spans="1:35">
      <c r="A638" s="177">
        <v>45209.6771621181</v>
      </c>
      <c r="B638" s="11" t="s">
        <v>2229</v>
      </c>
      <c r="C638" s="277" t="s">
        <v>2230</v>
      </c>
      <c r="D638" s="19">
        <v>706809158603030</v>
      </c>
      <c r="E638" s="18" t="s">
        <v>2231</v>
      </c>
      <c r="F638" s="11" t="s">
        <v>40</v>
      </c>
      <c r="G638" s="11" t="s">
        <v>54</v>
      </c>
      <c r="H638" s="24">
        <v>32913</v>
      </c>
      <c r="I638" s="277" t="s">
        <v>2077</v>
      </c>
      <c r="J638" s="11" t="s">
        <v>42</v>
      </c>
      <c r="K638" s="108" t="s">
        <v>2232</v>
      </c>
      <c r="N638" s="11" t="s">
        <v>43</v>
      </c>
      <c r="O638" s="11" t="s">
        <v>44</v>
      </c>
      <c r="P638" s="11" t="s">
        <v>56</v>
      </c>
      <c r="Q638" s="11" t="s">
        <v>45</v>
      </c>
      <c r="R638" s="11" t="s">
        <v>45</v>
      </c>
      <c r="S638" s="11" t="s">
        <v>45</v>
      </c>
      <c r="T638" s="11" t="s">
        <v>44</v>
      </c>
      <c r="U638" s="11" t="s">
        <v>45</v>
      </c>
      <c r="V638" s="24">
        <v>45210</v>
      </c>
      <c r="W638" s="11" t="s">
        <v>57</v>
      </c>
      <c r="X638" s="11" t="s">
        <v>47</v>
      </c>
      <c r="Y638" s="11" t="s">
        <v>58</v>
      </c>
      <c r="Z638" s="11">
        <v>81985615653</v>
      </c>
      <c r="AA638" s="11" t="s">
        <v>113</v>
      </c>
      <c r="AB638" s="11" t="s">
        <v>49</v>
      </c>
      <c r="AC638" s="11" t="s">
        <v>75</v>
      </c>
      <c r="AD638" s="11" t="b">
        <v>1</v>
      </c>
      <c r="AE638" s="11" t="s">
        <v>137</v>
      </c>
      <c r="AF638" s="11" t="s">
        <v>2233</v>
      </c>
      <c r="AG638" s="11"/>
      <c r="AH638" s="11" t="s">
        <v>2234</v>
      </c>
      <c r="AI638" s="11"/>
    </row>
    <row r="639" ht="12.5" spans="1:35">
      <c r="A639" s="177">
        <v>45210.421378588</v>
      </c>
      <c r="B639" s="11" t="s">
        <v>2229</v>
      </c>
      <c r="C639" s="277" t="s">
        <v>2230</v>
      </c>
      <c r="D639" s="19">
        <v>706809158603030</v>
      </c>
      <c r="E639" s="18" t="s">
        <v>2235</v>
      </c>
      <c r="F639" s="11" t="s">
        <v>40</v>
      </c>
      <c r="G639" s="11" t="s">
        <v>54</v>
      </c>
      <c r="H639" s="24">
        <v>32913</v>
      </c>
      <c r="I639" s="277" t="s">
        <v>2077</v>
      </c>
      <c r="J639" s="11" t="s">
        <v>42</v>
      </c>
      <c r="K639" s="108" t="s">
        <v>2232</v>
      </c>
      <c r="N639" s="11" t="s">
        <v>95</v>
      </c>
      <c r="O639" s="11" t="s">
        <v>65</v>
      </c>
      <c r="P639" s="11" t="s">
        <v>66</v>
      </c>
      <c r="Q639" s="11" t="s">
        <v>45</v>
      </c>
      <c r="R639" s="11" t="s">
        <v>45</v>
      </c>
      <c r="S639" s="11" t="s">
        <v>45</v>
      </c>
      <c r="T639" s="11" t="s">
        <v>44</v>
      </c>
      <c r="U639" s="11" t="s">
        <v>45</v>
      </c>
      <c r="V639" s="24">
        <v>45211</v>
      </c>
      <c r="W639" s="11" t="s">
        <v>46</v>
      </c>
      <c r="X639" s="11" t="s">
        <v>97</v>
      </c>
      <c r="Y639" s="11" t="s">
        <v>97</v>
      </c>
      <c r="Z639" s="11">
        <v>81985615653</v>
      </c>
      <c r="AA639" s="11" t="s">
        <v>113</v>
      </c>
      <c r="AB639" s="11" t="s">
        <v>49</v>
      </c>
      <c r="AC639" s="11" t="s">
        <v>50</v>
      </c>
      <c r="AD639" s="11" t="b">
        <v>0</v>
      </c>
      <c r="AF639" s="11" t="s">
        <v>2236</v>
      </c>
      <c r="AG639" s="11"/>
      <c r="AH639" s="11" t="s">
        <v>2237</v>
      </c>
      <c r="AI639" s="11"/>
    </row>
    <row r="640" ht="12.5" spans="1:35">
      <c r="A640" s="177">
        <v>45211.6726955093</v>
      </c>
      <c r="B640" s="11" t="s">
        <v>2229</v>
      </c>
      <c r="C640" s="277" t="s">
        <v>2230</v>
      </c>
      <c r="D640" s="19">
        <v>706809158603030</v>
      </c>
      <c r="F640" s="11" t="s">
        <v>40</v>
      </c>
      <c r="G640" s="11" t="s">
        <v>54</v>
      </c>
      <c r="H640" s="24">
        <v>32913</v>
      </c>
      <c r="I640" s="19" t="s">
        <v>97</v>
      </c>
      <c r="J640" s="11" t="s">
        <v>42</v>
      </c>
      <c r="K640" s="108" t="s">
        <v>2232</v>
      </c>
      <c r="N640" s="11" t="s">
        <v>95</v>
      </c>
      <c r="O640" s="11" t="s">
        <v>127</v>
      </c>
      <c r="P640" s="11" t="s">
        <v>44</v>
      </c>
      <c r="Q640" s="11" t="s">
        <v>44</v>
      </c>
      <c r="R640" s="11" t="s">
        <v>45</v>
      </c>
      <c r="S640" s="11" t="s">
        <v>45</v>
      </c>
      <c r="T640" s="11" t="s">
        <v>44</v>
      </c>
      <c r="U640" s="11" t="s">
        <v>44</v>
      </c>
      <c r="W640" s="11" t="s">
        <v>57</v>
      </c>
      <c r="X640" s="11" t="s">
        <v>97</v>
      </c>
      <c r="Y640" s="11" t="s">
        <v>97</v>
      </c>
      <c r="Z640" s="11">
        <v>81985615653</v>
      </c>
      <c r="AA640" s="11" t="s">
        <v>115</v>
      </c>
      <c r="AB640" s="11"/>
      <c r="AC640" s="11"/>
      <c r="AD640" s="11" t="b">
        <v>0</v>
      </c>
      <c r="AF640" s="11"/>
      <c r="AG640" s="11"/>
      <c r="AH640" s="11"/>
      <c r="AI640" s="11"/>
    </row>
    <row r="641" ht="12.5" spans="1:35">
      <c r="A641" s="177">
        <v>45211.8093936227</v>
      </c>
      <c r="B641" s="11" t="s">
        <v>2211</v>
      </c>
      <c r="C641" s="19">
        <v>71521746443</v>
      </c>
      <c r="D641" s="19">
        <v>700001066797603</v>
      </c>
      <c r="E641" s="18" t="s">
        <v>2238</v>
      </c>
      <c r="F641" s="11" t="s">
        <v>40</v>
      </c>
      <c r="G641" s="11" t="s">
        <v>54</v>
      </c>
      <c r="H641" s="24">
        <v>39120</v>
      </c>
      <c r="I641" s="277" t="s">
        <v>1505</v>
      </c>
      <c r="J641" s="11" t="s">
        <v>42</v>
      </c>
      <c r="K641" s="108" t="s">
        <v>202</v>
      </c>
      <c r="N641" s="11" t="s">
        <v>43</v>
      </c>
      <c r="O641" s="11" t="s">
        <v>44</v>
      </c>
      <c r="P641" s="11" t="s">
        <v>44</v>
      </c>
      <c r="Q641" s="11" t="s">
        <v>44</v>
      </c>
      <c r="R641" s="11" t="s">
        <v>45</v>
      </c>
      <c r="S641" s="11" t="s">
        <v>45</v>
      </c>
      <c r="T641" s="11" t="s">
        <v>44</v>
      </c>
      <c r="U641" s="11" t="s">
        <v>45</v>
      </c>
      <c r="V641" s="24">
        <v>45212</v>
      </c>
      <c r="W641" s="11" t="s">
        <v>46</v>
      </c>
      <c r="X641" s="11" t="s">
        <v>303</v>
      </c>
      <c r="Y641" s="11" t="s">
        <v>68</v>
      </c>
      <c r="Z641" s="11">
        <v>81981810115</v>
      </c>
      <c r="AA641" s="11" t="s">
        <v>115</v>
      </c>
      <c r="AB641" s="11" t="s">
        <v>49</v>
      </c>
      <c r="AC641" s="11" t="s">
        <v>50</v>
      </c>
      <c r="AD641" s="11" t="b">
        <v>0</v>
      </c>
      <c r="AF641" s="11" t="s">
        <v>2239</v>
      </c>
      <c r="AG641" s="11" t="s">
        <v>2240</v>
      </c>
      <c r="AH641" s="40" t="s">
        <v>2241</v>
      </c>
      <c r="AI641" s="11"/>
    </row>
    <row r="642" ht="12.5" spans="1:35">
      <c r="A642" s="177">
        <v>45212.4757357523</v>
      </c>
      <c r="B642" s="11" t="s">
        <v>2242</v>
      </c>
      <c r="C642" s="19">
        <v>13184626490</v>
      </c>
      <c r="D642" s="19">
        <v>702803607991069</v>
      </c>
      <c r="E642" s="18" t="s">
        <v>2243</v>
      </c>
      <c r="F642" s="11" t="s">
        <v>40</v>
      </c>
      <c r="G642" s="11" t="s">
        <v>54</v>
      </c>
      <c r="H642" s="24">
        <v>37599</v>
      </c>
      <c r="I642" s="277" t="s">
        <v>2244</v>
      </c>
      <c r="J642" s="11" t="s">
        <v>42</v>
      </c>
      <c r="K642" s="108" t="s">
        <v>2245</v>
      </c>
      <c r="N642" s="11" t="s">
        <v>43</v>
      </c>
      <c r="O642" s="11" t="s">
        <v>96</v>
      </c>
      <c r="P642" s="11" t="s">
        <v>66</v>
      </c>
      <c r="Q642" s="11" t="s">
        <v>44</v>
      </c>
      <c r="R642" s="11" t="s">
        <v>45</v>
      </c>
      <c r="S642" s="11" t="s">
        <v>45</v>
      </c>
      <c r="T642" s="11" t="s">
        <v>44</v>
      </c>
      <c r="U642" s="11" t="s">
        <v>45</v>
      </c>
      <c r="V642" s="24">
        <v>45213</v>
      </c>
      <c r="W642" s="11" t="s">
        <v>46</v>
      </c>
      <c r="X642" s="11" t="s">
        <v>303</v>
      </c>
      <c r="Y642" s="11" t="s">
        <v>58</v>
      </c>
      <c r="Z642" s="11">
        <v>81997115128</v>
      </c>
      <c r="AA642" s="11" t="s">
        <v>1360</v>
      </c>
      <c r="AB642" s="11" t="s">
        <v>49</v>
      </c>
      <c r="AC642" s="11" t="s">
        <v>50</v>
      </c>
      <c r="AD642" s="11" t="b">
        <v>0</v>
      </c>
      <c r="AF642" s="214" t="s">
        <v>2246</v>
      </c>
      <c r="AG642" s="11"/>
      <c r="AH642" s="11" t="s">
        <v>2247</v>
      </c>
      <c r="AI642" s="11"/>
    </row>
    <row r="643" ht="12.5" spans="1:35">
      <c r="A643" s="177">
        <v>45212.7688848611</v>
      </c>
      <c r="B643" s="11" t="s">
        <v>2248</v>
      </c>
      <c r="C643" s="19">
        <v>70991800451</v>
      </c>
      <c r="D643" s="19">
        <v>702608728208647</v>
      </c>
      <c r="E643" s="18" t="s">
        <v>2249</v>
      </c>
      <c r="F643" s="11" t="s">
        <v>40</v>
      </c>
      <c r="G643" s="11" t="s">
        <v>54</v>
      </c>
      <c r="H643" s="24">
        <v>36685</v>
      </c>
      <c r="I643" s="277" t="s">
        <v>1205</v>
      </c>
      <c r="J643" s="11" t="s">
        <v>42</v>
      </c>
      <c r="K643" s="108" t="s">
        <v>202</v>
      </c>
      <c r="N643" s="11" t="s">
        <v>43</v>
      </c>
      <c r="O643" s="11" t="s">
        <v>44</v>
      </c>
      <c r="P643" s="11" t="s">
        <v>44</v>
      </c>
      <c r="Q643" s="11" t="s">
        <v>44</v>
      </c>
      <c r="R643" s="11" t="s">
        <v>45</v>
      </c>
      <c r="S643" s="11" t="s">
        <v>44</v>
      </c>
      <c r="T643" s="11" t="s">
        <v>44</v>
      </c>
      <c r="U643" s="11" t="s">
        <v>45</v>
      </c>
      <c r="V643" s="24">
        <v>45214</v>
      </c>
      <c r="W643" s="11" t="s">
        <v>46</v>
      </c>
      <c r="X643" s="11" t="s">
        <v>303</v>
      </c>
      <c r="Y643" s="11" t="s">
        <v>58</v>
      </c>
      <c r="Z643" s="11">
        <v>81996197690</v>
      </c>
      <c r="AA643" s="11" t="s">
        <v>1360</v>
      </c>
      <c r="AB643" s="11" t="s">
        <v>98</v>
      </c>
      <c r="AC643" s="11"/>
      <c r="AD643" s="11" t="b">
        <v>0</v>
      </c>
      <c r="AF643" s="214" t="s">
        <v>2250</v>
      </c>
      <c r="AG643" s="214" t="s">
        <v>2251</v>
      </c>
      <c r="AH643" s="11" t="s">
        <v>2252</v>
      </c>
      <c r="AI643" s="11"/>
    </row>
    <row r="644" ht="12.5" spans="1:35">
      <c r="A644" s="177">
        <v>45213.4617967593</v>
      </c>
      <c r="B644" s="11" t="s">
        <v>2253</v>
      </c>
      <c r="C644" s="19">
        <v>70397467435</v>
      </c>
      <c r="D644" s="19">
        <v>705005422471356</v>
      </c>
      <c r="E644" s="18" t="s">
        <v>2254</v>
      </c>
      <c r="F644" s="11" t="s">
        <v>225</v>
      </c>
      <c r="G644" s="11" t="s">
        <v>54</v>
      </c>
      <c r="H644" s="24">
        <v>37258</v>
      </c>
      <c r="I644" s="277" t="s">
        <v>2255</v>
      </c>
      <c r="J644" s="11" t="s">
        <v>42</v>
      </c>
      <c r="K644" s="108" t="s">
        <v>74</v>
      </c>
      <c r="N644" s="11" t="s">
        <v>43</v>
      </c>
      <c r="O644" s="11" t="s">
        <v>44</v>
      </c>
      <c r="P644" s="11" t="s">
        <v>56</v>
      </c>
      <c r="Q644" s="11" t="s">
        <v>44</v>
      </c>
      <c r="R644" s="11" t="s">
        <v>45</v>
      </c>
      <c r="S644" s="11" t="s">
        <v>45</v>
      </c>
      <c r="T644" s="11" t="s">
        <v>44</v>
      </c>
      <c r="U644" s="11" t="s">
        <v>45</v>
      </c>
      <c r="V644" s="24">
        <v>45215</v>
      </c>
      <c r="W644" s="11" t="s">
        <v>46</v>
      </c>
      <c r="X644" s="11" t="s">
        <v>303</v>
      </c>
      <c r="Y644" s="11" t="s">
        <v>68</v>
      </c>
      <c r="Z644" s="11">
        <v>81973325614</v>
      </c>
      <c r="AA644" s="11" t="s">
        <v>115</v>
      </c>
      <c r="AB644" s="11" t="s">
        <v>49</v>
      </c>
      <c r="AC644" s="11" t="s">
        <v>50</v>
      </c>
      <c r="AD644" s="11" t="b">
        <v>0</v>
      </c>
      <c r="AF644" s="243" t="s">
        <v>2256</v>
      </c>
      <c r="AG644" s="11"/>
      <c r="AH644" s="11" t="s">
        <v>2257</v>
      </c>
      <c r="AI644" s="11"/>
    </row>
    <row r="645" ht="12.5" spans="1:35">
      <c r="A645" s="177">
        <v>45213.5240807755</v>
      </c>
      <c r="B645" s="11" t="s">
        <v>2211</v>
      </c>
      <c r="C645" s="19">
        <v>71521746443</v>
      </c>
      <c r="D645" s="19">
        <v>700001066797603</v>
      </c>
      <c r="F645" s="11" t="s">
        <v>40</v>
      </c>
      <c r="G645" s="11" t="s">
        <v>54</v>
      </c>
      <c r="H645" s="24">
        <v>39120</v>
      </c>
      <c r="I645" s="277" t="s">
        <v>1505</v>
      </c>
      <c r="J645" s="11" t="s">
        <v>42</v>
      </c>
      <c r="K645" s="108" t="s">
        <v>202</v>
      </c>
      <c r="N645" s="11" t="s">
        <v>95</v>
      </c>
      <c r="O645" s="11" t="s">
        <v>44</v>
      </c>
      <c r="P645" s="11" t="s">
        <v>44</v>
      </c>
      <c r="Q645" s="11" t="s">
        <v>44</v>
      </c>
      <c r="R645" s="11" t="s">
        <v>45</v>
      </c>
      <c r="S645" s="11" t="s">
        <v>45</v>
      </c>
      <c r="T645" s="11" t="s">
        <v>44</v>
      </c>
      <c r="U645" s="11" t="s">
        <v>44</v>
      </c>
      <c r="W645" s="11" t="s">
        <v>57</v>
      </c>
      <c r="X645" s="11" t="s">
        <v>97</v>
      </c>
      <c r="Y645" s="11" t="s">
        <v>97</v>
      </c>
      <c r="Z645" s="11">
        <v>81981810115</v>
      </c>
      <c r="AA645" s="11" t="s">
        <v>115</v>
      </c>
      <c r="AB645" s="11"/>
      <c r="AC645" s="11"/>
      <c r="AD645" s="11" t="b">
        <v>0</v>
      </c>
      <c r="AF645" s="148"/>
      <c r="AG645" s="11"/>
      <c r="AH645" s="11"/>
      <c r="AI645" s="11"/>
    </row>
    <row r="646" ht="12.5" spans="1:35">
      <c r="A646" s="177">
        <v>45213.5792616898</v>
      </c>
      <c r="B646" s="11" t="s">
        <v>2242</v>
      </c>
      <c r="C646" s="19">
        <v>13184626490</v>
      </c>
      <c r="D646" s="19">
        <v>702803607991069</v>
      </c>
      <c r="F646" s="11" t="s">
        <v>40</v>
      </c>
      <c r="G646" s="11" t="s">
        <v>54</v>
      </c>
      <c r="H646" s="24">
        <v>37599</v>
      </c>
      <c r="I646" s="277" t="s">
        <v>2258</v>
      </c>
      <c r="J646" s="11" t="s">
        <v>42</v>
      </c>
      <c r="K646" s="108" t="s">
        <v>63</v>
      </c>
      <c r="N646" s="11" t="s">
        <v>95</v>
      </c>
      <c r="O646" s="11" t="s">
        <v>44</v>
      </c>
      <c r="P646" s="11" t="s">
        <v>44</v>
      </c>
      <c r="Q646" s="11" t="s">
        <v>44</v>
      </c>
      <c r="R646" s="11" t="s">
        <v>45</v>
      </c>
      <c r="S646" s="11" t="s">
        <v>45</v>
      </c>
      <c r="T646" s="11" t="s">
        <v>44</v>
      </c>
      <c r="U646" s="11" t="s">
        <v>44</v>
      </c>
      <c r="W646" s="11" t="s">
        <v>57</v>
      </c>
      <c r="X646" s="11" t="s">
        <v>97</v>
      </c>
      <c r="Y646" s="11" t="s">
        <v>97</v>
      </c>
      <c r="Z646" s="11">
        <v>81997115128</v>
      </c>
      <c r="AA646" s="11" t="s">
        <v>115</v>
      </c>
      <c r="AB646" s="11"/>
      <c r="AC646" s="11"/>
      <c r="AD646" s="11" t="b">
        <v>0</v>
      </c>
      <c r="AF646" s="11"/>
      <c r="AG646" s="11"/>
      <c r="AH646" s="40" t="s">
        <v>2241</v>
      </c>
      <c r="AI646" s="11"/>
    </row>
    <row r="647" ht="12.5" spans="1:35">
      <c r="A647" s="177">
        <v>45214.3501226042</v>
      </c>
      <c r="B647" s="11" t="s">
        <v>2259</v>
      </c>
      <c r="C647" s="19">
        <v>71484091442</v>
      </c>
      <c r="D647" s="19">
        <v>704806523960048</v>
      </c>
      <c r="E647" s="18" t="s">
        <v>2260</v>
      </c>
      <c r="F647" s="11" t="s">
        <v>40</v>
      </c>
      <c r="G647" s="11" t="s">
        <v>41</v>
      </c>
      <c r="H647" s="24">
        <v>38453</v>
      </c>
      <c r="I647" s="277" t="s">
        <v>967</v>
      </c>
      <c r="J647" s="11" t="s">
        <v>42</v>
      </c>
      <c r="K647" s="108" t="s">
        <v>155</v>
      </c>
      <c r="N647" s="11" t="s">
        <v>43</v>
      </c>
      <c r="O647" s="11" t="s">
        <v>44</v>
      </c>
      <c r="P647" s="11" t="s">
        <v>44</v>
      </c>
      <c r="Q647" s="11" t="s">
        <v>44</v>
      </c>
      <c r="R647" s="11" t="s">
        <v>45</v>
      </c>
      <c r="S647" s="11" t="s">
        <v>44</v>
      </c>
      <c r="T647" s="11" t="s">
        <v>44</v>
      </c>
      <c r="U647" s="11" t="s">
        <v>45</v>
      </c>
      <c r="V647" s="24">
        <v>45215</v>
      </c>
      <c r="W647" s="11" t="s">
        <v>46</v>
      </c>
      <c r="X647" s="11" t="s">
        <v>156</v>
      </c>
      <c r="Y647" s="11" t="s">
        <v>58</v>
      </c>
      <c r="Z647" s="11">
        <v>81994623601</v>
      </c>
      <c r="AA647" s="11" t="s">
        <v>1360</v>
      </c>
      <c r="AB647" s="11" t="s">
        <v>49</v>
      </c>
      <c r="AC647" s="11" t="s">
        <v>50</v>
      </c>
      <c r="AD647" s="11" t="b">
        <v>0</v>
      </c>
      <c r="AF647" s="11" t="s">
        <v>2261</v>
      </c>
      <c r="AG647" s="11"/>
      <c r="AH647" s="11"/>
      <c r="AI647" s="11"/>
    </row>
    <row r="648" ht="12.5" spans="1:35">
      <c r="A648" s="177">
        <v>45214.4574942361</v>
      </c>
      <c r="B648" s="11" t="s">
        <v>2262</v>
      </c>
      <c r="C648" s="19">
        <v>70770332447</v>
      </c>
      <c r="D648" s="19">
        <v>705005617278156</v>
      </c>
      <c r="E648" s="18" t="s">
        <v>2263</v>
      </c>
      <c r="F648" s="11" t="s">
        <v>225</v>
      </c>
      <c r="G648" s="11" t="s">
        <v>54</v>
      </c>
      <c r="H648" s="24">
        <v>37691</v>
      </c>
      <c r="I648" s="277" t="s">
        <v>2264</v>
      </c>
      <c r="J648" s="11" t="s">
        <v>42</v>
      </c>
      <c r="K648" s="108" t="s">
        <v>2265</v>
      </c>
      <c r="N648" s="11" t="s">
        <v>43</v>
      </c>
      <c r="O648" s="11" t="s">
        <v>44</v>
      </c>
      <c r="P648" s="11" t="s">
        <v>44</v>
      </c>
      <c r="Q648" s="11" t="s">
        <v>44</v>
      </c>
      <c r="R648" s="11" t="s">
        <v>45</v>
      </c>
      <c r="S648" s="11" t="s">
        <v>44</v>
      </c>
      <c r="T648" s="11" t="s">
        <v>44</v>
      </c>
      <c r="U648" s="11" t="s">
        <v>44</v>
      </c>
      <c r="W648" s="11" t="s">
        <v>46</v>
      </c>
      <c r="X648" s="11" t="s">
        <v>303</v>
      </c>
      <c r="Y648" s="11" t="s">
        <v>58</v>
      </c>
      <c r="Z648" s="11">
        <v>81998756609</v>
      </c>
      <c r="AA648" s="11" t="s">
        <v>1360</v>
      </c>
      <c r="AB648" s="11"/>
      <c r="AC648" s="11"/>
      <c r="AD648" s="11" t="b">
        <v>0</v>
      </c>
      <c r="AF648" s="11"/>
      <c r="AG648" s="11"/>
      <c r="AH648" s="11"/>
      <c r="AI648" s="11"/>
    </row>
    <row r="649" ht="12.5" spans="1:35">
      <c r="A649" s="177">
        <v>45215.3619157292</v>
      </c>
      <c r="B649" s="11" t="s">
        <v>2259</v>
      </c>
      <c r="C649" s="19">
        <v>71484091442</v>
      </c>
      <c r="D649" s="19">
        <v>704806523960048</v>
      </c>
      <c r="F649" s="11" t="s">
        <v>40</v>
      </c>
      <c r="G649" s="11" t="s">
        <v>41</v>
      </c>
      <c r="H649" s="24">
        <v>38453</v>
      </c>
      <c r="I649" s="277" t="s">
        <v>967</v>
      </c>
      <c r="J649" s="11" t="s">
        <v>42</v>
      </c>
      <c r="K649" s="108" t="s">
        <v>155</v>
      </c>
      <c r="N649" s="11" t="s">
        <v>95</v>
      </c>
      <c r="O649" s="11" t="s">
        <v>44</v>
      </c>
      <c r="P649" s="11" t="s">
        <v>44</v>
      </c>
      <c r="Q649" s="11" t="s">
        <v>44</v>
      </c>
      <c r="R649" s="11" t="s">
        <v>45</v>
      </c>
      <c r="S649" s="11" t="s">
        <v>45</v>
      </c>
      <c r="T649" s="11" t="s">
        <v>44</v>
      </c>
      <c r="U649" s="11" t="s">
        <v>44</v>
      </c>
      <c r="W649" s="11" t="s">
        <v>57</v>
      </c>
      <c r="X649" s="11" t="s">
        <v>97</v>
      </c>
      <c r="Y649" s="11" t="s">
        <v>97</v>
      </c>
      <c r="Z649" s="11">
        <v>81994623601</v>
      </c>
      <c r="AA649" s="11" t="s">
        <v>115</v>
      </c>
      <c r="AB649" s="11"/>
      <c r="AC649" s="11"/>
      <c r="AD649" s="11" t="b">
        <v>0</v>
      </c>
      <c r="AF649" s="11"/>
      <c r="AG649" s="11"/>
      <c r="AH649" s="11"/>
      <c r="AI649" s="11"/>
    </row>
    <row r="650" ht="12.5" spans="1:35">
      <c r="A650" s="177">
        <v>45215.5520955324</v>
      </c>
      <c r="B650" s="11" t="s">
        <v>2253</v>
      </c>
      <c r="C650" s="19">
        <v>70397467435</v>
      </c>
      <c r="D650" s="19">
        <v>705005422471356</v>
      </c>
      <c r="F650" s="11" t="s">
        <v>225</v>
      </c>
      <c r="G650" s="11" t="s">
        <v>54</v>
      </c>
      <c r="H650" s="24">
        <v>37258</v>
      </c>
      <c r="I650" s="277" t="s">
        <v>2255</v>
      </c>
      <c r="J650" s="11" t="s">
        <v>42</v>
      </c>
      <c r="K650" s="108" t="s">
        <v>74</v>
      </c>
      <c r="N650" s="11" t="s">
        <v>95</v>
      </c>
      <c r="O650" s="11" t="s">
        <v>96</v>
      </c>
      <c r="P650" s="11" t="s">
        <v>56</v>
      </c>
      <c r="Q650" s="11" t="s">
        <v>44</v>
      </c>
      <c r="R650" s="11" t="s">
        <v>45</v>
      </c>
      <c r="S650" s="11" t="s">
        <v>45</v>
      </c>
      <c r="T650" s="11" t="s">
        <v>44</v>
      </c>
      <c r="U650" s="11" t="s">
        <v>45</v>
      </c>
      <c r="V650" s="24">
        <v>45216</v>
      </c>
      <c r="W650" s="11" t="s">
        <v>57</v>
      </c>
      <c r="X650" s="11" t="s">
        <v>97</v>
      </c>
      <c r="Y650" s="11" t="s">
        <v>97</v>
      </c>
      <c r="Z650" s="11">
        <v>81973325614</v>
      </c>
      <c r="AA650" s="11" t="s">
        <v>115</v>
      </c>
      <c r="AB650" s="11" t="s">
        <v>49</v>
      </c>
      <c r="AC650" s="11" t="s">
        <v>50</v>
      </c>
      <c r="AD650" s="11" t="b">
        <v>1</v>
      </c>
      <c r="AE650" s="11" t="s">
        <v>137</v>
      </c>
      <c r="AF650" s="11" t="s">
        <v>2266</v>
      </c>
      <c r="AG650" s="11"/>
      <c r="AH650" s="11" t="s">
        <v>2267</v>
      </c>
      <c r="AI650" s="11"/>
    </row>
    <row r="651" ht="12.5" spans="1:35">
      <c r="A651" s="177">
        <v>45215.7244527778</v>
      </c>
      <c r="B651" s="11" t="s">
        <v>2268</v>
      </c>
      <c r="C651" s="277" t="s">
        <v>2269</v>
      </c>
      <c r="D651" s="19">
        <v>700006358142601</v>
      </c>
      <c r="E651" s="18" t="s">
        <v>2270</v>
      </c>
      <c r="F651" s="11" t="s">
        <v>40</v>
      </c>
      <c r="G651" s="11" t="s">
        <v>54</v>
      </c>
      <c r="H651" s="24">
        <v>33738</v>
      </c>
      <c r="I651" s="277" t="s">
        <v>2271</v>
      </c>
      <c r="J651" s="11" t="s">
        <v>42</v>
      </c>
      <c r="K651" s="108" t="s">
        <v>155</v>
      </c>
      <c r="N651" s="11" t="s">
        <v>43</v>
      </c>
      <c r="O651" s="11" t="s">
        <v>96</v>
      </c>
      <c r="P651" s="11" t="s">
        <v>66</v>
      </c>
      <c r="Q651" s="11" t="s">
        <v>45</v>
      </c>
      <c r="R651" s="11" t="s">
        <v>45</v>
      </c>
      <c r="S651" s="11" t="s">
        <v>83</v>
      </c>
      <c r="T651" s="11" t="s">
        <v>44</v>
      </c>
      <c r="U651" s="11" t="s">
        <v>45</v>
      </c>
      <c r="V651" s="24">
        <v>45216</v>
      </c>
      <c r="W651" s="11" t="s">
        <v>46</v>
      </c>
      <c r="X651" s="11" t="s">
        <v>47</v>
      </c>
      <c r="Y651" s="11" t="s">
        <v>58</v>
      </c>
      <c r="Z651" s="11">
        <v>81984315301</v>
      </c>
      <c r="AA651" s="11" t="s">
        <v>91</v>
      </c>
      <c r="AB651" s="11" t="s">
        <v>49</v>
      </c>
      <c r="AC651" s="11" t="s">
        <v>106</v>
      </c>
      <c r="AD651" s="11" t="b">
        <v>1</v>
      </c>
      <c r="AE651" s="11" t="s">
        <v>137</v>
      </c>
      <c r="AF651" s="11" t="s">
        <v>2272</v>
      </c>
      <c r="AG651" s="11"/>
      <c r="AH651" s="11"/>
      <c r="AI651" s="11"/>
    </row>
    <row r="652" ht="12.5" spans="1:35">
      <c r="A652" s="177">
        <v>45215.7425834954</v>
      </c>
      <c r="B652" s="11" t="s">
        <v>2273</v>
      </c>
      <c r="C652" s="277" t="s">
        <v>2274</v>
      </c>
      <c r="D652" s="19">
        <v>704706748082936</v>
      </c>
      <c r="E652" s="18" t="s">
        <v>2275</v>
      </c>
      <c r="F652" s="11" t="s">
        <v>40</v>
      </c>
      <c r="G652" s="11" t="s">
        <v>54</v>
      </c>
      <c r="H652" s="24">
        <v>32943</v>
      </c>
      <c r="I652" s="277" t="s">
        <v>707</v>
      </c>
      <c r="J652" s="11" t="s">
        <v>42</v>
      </c>
      <c r="K652" s="108" t="s">
        <v>2276</v>
      </c>
      <c r="N652" s="11" t="s">
        <v>43</v>
      </c>
      <c r="O652" s="11" t="s">
        <v>65</v>
      </c>
      <c r="P652" s="11" t="s">
        <v>66</v>
      </c>
      <c r="Q652" s="11" t="s">
        <v>45</v>
      </c>
      <c r="R652" s="11" t="s">
        <v>45</v>
      </c>
      <c r="S652" s="11" t="s">
        <v>45</v>
      </c>
      <c r="T652" s="11" t="s">
        <v>44</v>
      </c>
      <c r="U652" s="11" t="s">
        <v>45</v>
      </c>
      <c r="V652" s="24">
        <v>45216</v>
      </c>
      <c r="W652" s="11" t="s">
        <v>46</v>
      </c>
      <c r="X652" s="11" t="s">
        <v>303</v>
      </c>
      <c r="Y652" s="11" t="s">
        <v>58</v>
      </c>
      <c r="Z652" s="11">
        <v>81985512584</v>
      </c>
      <c r="AA652" s="11" t="s">
        <v>105</v>
      </c>
      <c r="AB652" s="11" t="s">
        <v>49</v>
      </c>
      <c r="AC652" s="11" t="s">
        <v>50</v>
      </c>
      <c r="AD652" s="11" t="b">
        <v>0</v>
      </c>
      <c r="AF652" s="11" t="s">
        <v>2277</v>
      </c>
      <c r="AG652" s="11" t="s">
        <v>2278</v>
      </c>
      <c r="AH652" s="11" t="s">
        <v>2132</v>
      </c>
      <c r="AI652" s="11"/>
    </row>
    <row r="653" ht="12.5" spans="1:35">
      <c r="A653" s="177">
        <v>45216.3978355208</v>
      </c>
      <c r="B653" s="11" t="s">
        <v>2279</v>
      </c>
      <c r="C653" s="277" t="s">
        <v>2269</v>
      </c>
      <c r="D653" s="19">
        <v>700006358142601</v>
      </c>
      <c r="E653" s="18" t="s">
        <v>2280</v>
      </c>
      <c r="F653" s="11" t="s">
        <v>40</v>
      </c>
      <c r="G653" s="11" t="s">
        <v>54</v>
      </c>
      <c r="H653" s="24">
        <v>33728</v>
      </c>
      <c r="I653" s="19" t="s">
        <v>136</v>
      </c>
      <c r="J653" s="11" t="s">
        <v>42</v>
      </c>
      <c r="K653" s="108" t="s">
        <v>155</v>
      </c>
      <c r="N653" s="11" t="s">
        <v>95</v>
      </c>
      <c r="O653" s="11" t="s">
        <v>44</v>
      </c>
      <c r="P653" s="11" t="s">
        <v>44</v>
      </c>
      <c r="Q653" s="11" t="s">
        <v>44</v>
      </c>
      <c r="R653" s="11" t="s">
        <v>45</v>
      </c>
      <c r="S653" s="11" t="s">
        <v>45</v>
      </c>
      <c r="T653" s="11" t="s">
        <v>44</v>
      </c>
      <c r="U653" s="11" t="s">
        <v>44</v>
      </c>
      <c r="W653" s="11" t="s">
        <v>46</v>
      </c>
      <c r="X653" s="11" t="s">
        <v>97</v>
      </c>
      <c r="Y653" s="11" t="s">
        <v>97</v>
      </c>
      <c r="Z653" s="11">
        <v>81984315301</v>
      </c>
      <c r="AA653" s="11" t="s">
        <v>103</v>
      </c>
      <c r="AB653" s="11"/>
      <c r="AC653" s="11"/>
      <c r="AD653" s="11" t="b">
        <v>0</v>
      </c>
      <c r="AF653" s="11"/>
      <c r="AG653" s="11"/>
      <c r="AH653" s="11"/>
      <c r="AI653" s="11"/>
    </row>
    <row r="654" ht="12.5" spans="1:35">
      <c r="A654" s="177">
        <v>45216.5295867593</v>
      </c>
      <c r="B654" s="11" t="s">
        <v>2281</v>
      </c>
      <c r="C654" s="19">
        <v>70961475439</v>
      </c>
      <c r="D654" s="19">
        <v>700204427919629</v>
      </c>
      <c r="E654" s="18" t="s">
        <v>2282</v>
      </c>
      <c r="F654" s="11" t="s">
        <v>40</v>
      </c>
      <c r="G654" s="11" t="s">
        <v>54</v>
      </c>
      <c r="H654" s="24" t="s">
        <v>2283</v>
      </c>
      <c r="I654" s="277" t="s">
        <v>2284</v>
      </c>
      <c r="J654" s="11" t="s">
        <v>42</v>
      </c>
      <c r="K654" s="108" t="s">
        <v>155</v>
      </c>
      <c r="N654" s="11" t="s">
        <v>43</v>
      </c>
      <c r="O654" s="11" t="s">
        <v>96</v>
      </c>
      <c r="P654" s="11" t="s">
        <v>66</v>
      </c>
      <c r="Q654" s="11" t="s">
        <v>44</v>
      </c>
      <c r="R654" s="11" t="s">
        <v>45</v>
      </c>
      <c r="S654" s="11" t="s">
        <v>83</v>
      </c>
      <c r="T654" s="11" t="s">
        <v>44</v>
      </c>
      <c r="U654" s="11" t="s">
        <v>45</v>
      </c>
      <c r="V654" s="24">
        <v>45217</v>
      </c>
      <c r="W654" s="11" t="s">
        <v>46</v>
      </c>
      <c r="X654" s="11" t="s">
        <v>47</v>
      </c>
      <c r="Y654" s="11" t="s">
        <v>58</v>
      </c>
      <c r="Z654" s="11">
        <v>81996939717</v>
      </c>
      <c r="AA654" s="11" t="s">
        <v>91</v>
      </c>
      <c r="AB654" s="11" t="s">
        <v>49</v>
      </c>
      <c r="AC654" s="11" t="s">
        <v>256</v>
      </c>
      <c r="AD654" s="11" t="b">
        <v>0</v>
      </c>
      <c r="AF654" s="11" t="s">
        <v>2285</v>
      </c>
      <c r="AG654" s="11" t="s">
        <v>2286</v>
      </c>
      <c r="AH654" s="11" t="s">
        <v>2287</v>
      </c>
      <c r="AI654" s="11"/>
    </row>
    <row r="655" ht="12.5" spans="1:35">
      <c r="A655" s="177">
        <v>45216.5325358565</v>
      </c>
      <c r="B655" s="11" t="s">
        <v>1286</v>
      </c>
      <c r="C655" s="19">
        <v>70922340420</v>
      </c>
      <c r="D655" s="19">
        <v>708004326100028</v>
      </c>
      <c r="E655" s="18" t="s">
        <v>2288</v>
      </c>
      <c r="F655" s="11" t="s">
        <v>40</v>
      </c>
      <c r="G655" s="11" t="s">
        <v>54</v>
      </c>
      <c r="H655" s="24">
        <v>36066</v>
      </c>
      <c r="I655" s="277" t="s">
        <v>1288</v>
      </c>
      <c r="J655" s="11" t="s">
        <v>42</v>
      </c>
      <c r="K655" s="108" t="s">
        <v>564</v>
      </c>
      <c r="N655" s="11" t="s">
        <v>43</v>
      </c>
      <c r="O655" s="11" t="s">
        <v>65</v>
      </c>
      <c r="P655" s="11" t="s">
        <v>66</v>
      </c>
      <c r="Q655" s="11" t="s">
        <v>44</v>
      </c>
      <c r="R655" s="11" t="s">
        <v>45</v>
      </c>
      <c r="S655" s="11" t="s">
        <v>45</v>
      </c>
      <c r="T655" s="11" t="s">
        <v>44</v>
      </c>
      <c r="U655" s="11" t="s">
        <v>45</v>
      </c>
      <c r="V655" s="24">
        <v>45217</v>
      </c>
      <c r="W655" s="11" t="s">
        <v>57</v>
      </c>
      <c r="X655" s="11" t="s">
        <v>47</v>
      </c>
      <c r="Y655" s="11" t="s">
        <v>58</v>
      </c>
      <c r="Z655" s="11">
        <v>81985560728</v>
      </c>
      <c r="AA655" s="11" t="s">
        <v>105</v>
      </c>
      <c r="AB655" s="11" t="s">
        <v>98</v>
      </c>
      <c r="AC655" s="11"/>
      <c r="AD655" s="11" t="b">
        <v>0</v>
      </c>
      <c r="AF655" s="11" t="s">
        <v>2289</v>
      </c>
      <c r="AG655" s="11" t="s">
        <v>2290</v>
      </c>
      <c r="AH655" s="11"/>
      <c r="AI655" s="11"/>
    </row>
    <row r="656" ht="12.5" spans="1:35">
      <c r="A656" s="177">
        <v>45216.5788584606</v>
      </c>
      <c r="B656" s="11" t="s">
        <v>2253</v>
      </c>
      <c r="C656" s="19">
        <v>70397467435</v>
      </c>
      <c r="D656" s="19">
        <v>705005422471356</v>
      </c>
      <c r="E656" s="18" t="s">
        <v>2291</v>
      </c>
      <c r="F656" s="11" t="s">
        <v>225</v>
      </c>
      <c r="G656" s="11" t="s">
        <v>54</v>
      </c>
      <c r="H656" s="24">
        <v>37258</v>
      </c>
      <c r="I656" s="277" t="s">
        <v>2255</v>
      </c>
      <c r="J656" s="11" t="s">
        <v>42</v>
      </c>
      <c r="K656" s="108" t="s">
        <v>74</v>
      </c>
      <c r="N656" s="11" t="s">
        <v>95</v>
      </c>
      <c r="O656" s="11" t="s">
        <v>44</v>
      </c>
      <c r="P656" s="11" t="s">
        <v>44</v>
      </c>
      <c r="Q656" s="11" t="s">
        <v>44</v>
      </c>
      <c r="R656" s="11" t="s">
        <v>45</v>
      </c>
      <c r="S656" s="11" t="s">
        <v>45</v>
      </c>
      <c r="T656" s="11" t="s">
        <v>44</v>
      </c>
      <c r="U656" s="11" t="s">
        <v>44</v>
      </c>
      <c r="W656" s="11" t="s">
        <v>57</v>
      </c>
      <c r="X656" s="11" t="s">
        <v>97</v>
      </c>
      <c r="Y656" s="11" t="s">
        <v>97</v>
      </c>
      <c r="Z656" s="11">
        <v>81973325614</v>
      </c>
      <c r="AA656" s="11" t="s">
        <v>115</v>
      </c>
      <c r="AB656" s="11"/>
      <c r="AC656" s="11"/>
      <c r="AD656" s="11" t="b">
        <v>0</v>
      </c>
      <c r="AF656" s="11"/>
      <c r="AG656" s="11"/>
      <c r="AH656" s="11"/>
      <c r="AI656" s="11"/>
    </row>
    <row r="657" ht="12.5" spans="1:35">
      <c r="A657" s="177">
        <v>45216.6001076157</v>
      </c>
      <c r="B657" s="11" t="s">
        <v>2292</v>
      </c>
      <c r="C657" s="19">
        <v>11538332477</v>
      </c>
      <c r="D657" s="19">
        <v>700606470263967</v>
      </c>
      <c r="E657" s="18" t="s">
        <v>2293</v>
      </c>
      <c r="F657" s="11" t="s">
        <v>40</v>
      </c>
      <c r="G657" s="11" t="s">
        <v>54</v>
      </c>
      <c r="H657" s="24">
        <v>35349</v>
      </c>
      <c r="I657" s="277" t="s">
        <v>979</v>
      </c>
      <c r="J657" s="11" t="s">
        <v>42</v>
      </c>
      <c r="K657" s="108" t="s">
        <v>2294</v>
      </c>
      <c r="N657" s="11" t="s">
        <v>43</v>
      </c>
      <c r="O657" s="11" t="s">
        <v>65</v>
      </c>
      <c r="P657" s="11" t="s">
        <v>66</v>
      </c>
      <c r="Q657" s="11" t="s">
        <v>44</v>
      </c>
      <c r="R657" s="11" t="s">
        <v>45</v>
      </c>
      <c r="S657" s="11" t="s">
        <v>45</v>
      </c>
      <c r="T657" s="11" t="s">
        <v>44</v>
      </c>
      <c r="U657" s="11" t="s">
        <v>45</v>
      </c>
      <c r="V657" s="24">
        <v>45217</v>
      </c>
      <c r="W657" s="11" t="s">
        <v>46</v>
      </c>
      <c r="X657" s="11" t="s">
        <v>47</v>
      </c>
      <c r="Y657" s="11" t="s">
        <v>48</v>
      </c>
      <c r="Z657" s="11">
        <v>81999809367</v>
      </c>
      <c r="AA657" s="11" t="s">
        <v>105</v>
      </c>
      <c r="AB657" s="11" t="s">
        <v>49</v>
      </c>
      <c r="AC657" s="11" t="s">
        <v>256</v>
      </c>
      <c r="AD657" s="11" t="b">
        <v>0</v>
      </c>
      <c r="AF657" s="11" t="s">
        <v>2295</v>
      </c>
      <c r="AG657" s="11" t="s">
        <v>2296</v>
      </c>
      <c r="AH657" s="11"/>
      <c r="AI657" s="11"/>
    </row>
    <row r="658" ht="12.5" spans="1:35">
      <c r="A658" s="177">
        <v>45216.6623496875</v>
      </c>
      <c r="B658" s="11" t="s">
        <v>2297</v>
      </c>
      <c r="C658" s="277" t="s">
        <v>2298</v>
      </c>
      <c r="D658" s="19">
        <v>700904910650594</v>
      </c>
      <c r="E658" s="18" t="s">
        <v>2299</v>
      </c>
      <c r="F658" s="11" t="s">
        <v>40</v>
      </c>
      <c r="G658" s="11" t="s">
        <v>54</v>
      </c>
      <c r="H658" s="24">
        <v>32739</v>
      </c>
      <c r="I658" s="277" t="s">
        <v>2300</v>
      </c>
      <c r="J658" s="11" t="s">
        <v>438</v>
      </c>
      <c r="K658" s="108"/>
      <c r="M658" s="11" t="s">
        <v>2301</v>
      </c>
      <c r="N658" s="11" t="s">
        <v>43</v>
      </c>
      <c r="O658" s="11" t="s">
        <v>65</v>
      </c>
      <c r="P658" s="11" t="s">
        <v>66</v>
      </c>
      <c r="Q658" s="11" t="s">
        <v>44</v>
      </c>
      <c r="R658" s="11" t="s">
        <v>45</v>
      </c>
      <c r="S658" s="11" t="s">
        <v>83</v>
      </c>
      <c r="T658" s="11" t="s">
        <v>44</v>
      </c>
      <c r="U658" s="11" t="s">
        <v>45</v>
      </c>
      <c r="V658" s="24">
        <v>45217</v>
      </c>
      <c r="W658" s="11" t="s">
        <v>46</v>
      </c>
      <c r="X658" s="11" t="s">
        <v>47</v>
      </c>
      <c r="Y658" s="11" t="s">
        <v>58</v>
      </c>
      <c r="Z658" s="11">
        <v>81983355478</v>
      </c>
      <c r="AA658" s="11" t="s">
        <v>105</v>
      </c>
      <c r="AB658" s="11" t="s">
        <v>98</v>
      </c>
      <c r="AC658" s="11"/>
      <c r="AD658" s="11" t="b">
        <v>0</v>
      </c>
      <c r="AF658" s="11" t="s">
        <v>2302</v>
      </c>
      <c r="AG658" s="11" t="s">
        <v>2303</v>
      </c>
      <c r="AH658" s="11"/>
      <c r="AI658" s="11"/>
    </row>
    <row r="659" ht="12.5" spans="1:35">
      <c r="A659" s="177">
        <v>45216.6981344444</v>
      </c>
      <c r="B659" s="11" t="s">
        <v>2304</v>
      </c>
      <c r="C659" s="277" t="s">
        <v>2305</v>
      </c>
      <c r="D659" s="19">
        <v>706205719106970</v>
      </c>
      <c r="E659" s="18" t="s">
        <v>2306</v>
      </c>
      <c r="F659" s="11" t="s">
        <v>40</v>
      </c>
      <c r="G659" s="11" t="s">
        <v>54</v>
      </c>
      <c r="H659" s="24">
        <v>33979</v>
      </c>
      <c r="I659" s="277" t="s">
        <v>2307</v>
      </c>
      <c r="J659" s="11" t="s">
        <v>42</v>
      </c>
      <c r="K659" s="108" t="s">
        <v>455</v>
      </c>
      <c r="N659" s="11" t="s">
        <v>43</v>
      </c>
      <c r="O659" s="11" t="s">
        <v>44</v>
      </c>
      <c r="P659" s="11" t="s">
        <v>44</v>
      </c>
      <c r="Q659" s="11" t="s">
        <v>44</v>
      </c>
      <c r="R659" s="11" t="s">
        <v>45</v>
      </c>
      <c r="S659" s="11" t="s">
        <v>44</v>
      </c>
      <c r="T659" s="11" t="s">
        <v>44</v>
      </c>
      <c r="U659" s="11" t="s">
        <v>44</v>
      </c>
      <c r="W659" s="11" t="s">
        <v>46</v>
      </c>
      <c r="X659" s="11" t="s">
        <v>47</v>
      </c>
      <c r="Y659" s="11" t="s">
        <v>58</v>
      </c>
      <c r="Z659" s="11">
        <v>81986340399</v>
      </c>
      <c r="AA659" s="11" t="s">
        <v>1267</v>
      </c>
      <c r="AB659" s="11"/>
      <c r="AC659" s="11"/>
      <c r="AD659" s="11" t="b">
        <v>0</v>
      </c>
      <c r="AF659" s="11"/>
      <c r="AG659" s="11"/>
      <c r="AH659" s="11"/>
      <c r="AI659" s="11"/>
    </row>
    <row r="660" ht="12.5" spans="1:35">
      <c r="A660" s="177">
        <v>45216.7240737616</v>
      </c>
      <c r="B660" s="11" t="s">
        <v>2308</v>
      </c>
      <c r="C660" s="277" t="s">
        <v>2309</v>
      </c>
      <c r="D660" s="19">
        <v>708209198296742</v>
      </c>
      <c r="E660" s="18" t="s">
        <v>2310</v>
      </c>
      <c r="F660" s="11" t="s">
        <v>40</v>
      </c>
      <c r="G660" s="11" t="s">
        <v>54</v>
      </c>
      <c r="H660" s="24">
        <v>31319</v>
      </c>
      <c r="I660" s="277" t="s">
        <v>301</v>
      </c>
      <c r="J660" s="11" t="s">
        <v>42</v>
      </c>
      <c r="K660" s="108" t="s">
        <v>2311</v>
      </c>
      <c r="N660" s="11" t="s">
        <v>43</v>
      </c>
      <c r="O660" s="11" t="s">
        <v>44</v>
      </c>
      <c r="P660" s="11" t="s">
        <v>44</v>
      </c>
      <c r="Q660" s="11" t="s">
        <v>44</v>
      </c>
      <c r="R660" s="11" t="s">
        <v>45</v>
      </c>
      <c r="S660" s="11" t="s">
        <v>45</v>
      </c>
      <c r="T660" s="11" t="s">
        <v>44</v>
      </c>
      <c r="U660" s="11" t="s">
        <v>44</v>
      </c>
      <c r="W660" s="11" t="s">
        <v>46</v>
      </c>
      <c r="X660" s="11" t="s">
        <v>47</v>
      </c>
      <c r="Y660" s="11" t="s">
        <v>58</v>
      </c>
      <c r="Z660" s="11">
        <v>81992920910</v>
      </c>
      <c r="AA660" s="11" t="s">
        <v>105</v>
      </c>
      <c r="AB660" s="11"/>
      <c r="AC660" s="11"/>
      <c r="AD660" s="11" t="b">
        <v>0</v>
      </c>
      <c r="AF660" s="11"/>
      <c r="AG660" s="11"/>
      <c r="AH660" s="11"/>
      <c r="AI660" s="11"/>
    </row>
    <row r="661" ht="12.5" spans="1:35">
      <c r="A661" s="177">
        <v>45216.7443231134</v>
      </c>
      <c r="B661" s="11" t="s">
        <v>2273</v>
      </c>
      <c r="C661" s="277" t="s">
        <v>2274</v>
      </c>
      <c r="D661" s="19">
        <v>704706748082936</v>
      </c>
      <c r="F661" s="11" t="s">
        <v>40</v>
      </c>
      <c r="G661" s="11" t="s">
        <v>54</v>
      </c>
      <c r="H661" s="24">
        <v>32943</v>
      </c>
      <c r="I661" s="277" t="s">
        <v>707</v>
      </c>
      <c r="J661" s="11" t="s">
        <v>42</v>
      </c>
      <c r="K661" s="108" t="s">
        <v>2276</v>
      </c>
      <c r="N661" s="11" t="s">
        <v>95</v>
      </c>
      <c r="O661" s="11" t="s">
        <v>44</v>
      </c>
      <c r="P661" s="11" t="s">
        <v>44</v>
      </c>
      <c r="Q661" s="11" t="s">
        <v>44</v>
      </c>
      <c r="R661" s="11" t="s">
        <v>45</v>
      </c>
      <c r="S661" s="11" t="s">
        <v>45</v>
      </c>
      <c r="T661" s="11" t="s">
        <v>44</v>
      </c>
      <c r="U661" s="11" t="s">
        <v>44</v>
      </c>
      <c r="W661" s="11" t="s">
        <v>57</v>
      </c>
      <c r="X661" s="11" t="s">
        <v>97</v>
      </c>
      <c r="Y661" s="11" t="s">
        <v>97</v>
      </c>
      <c r="Z661" s="11">
        <v>81985512584</v>
      </c>
      <c r="AA661" s="11" t="s">
        <v>115</v>
      </c>
      <c r="AB661" s="11"/>
      <c r="AC661" s="11"/>
      <c r="AD661" s="11" t="b">
        <v>0</v>
      </c>
      <c r="AF661" s="11"/>
      <c r="AG661" s="11"/>
      <c r="AH661" s="11"/>
      <c r="AI661" s="11"/>
    </row>
    <row r="662" ht="12.5" spans="1:35">
      <c r="A662" s="177">
        <v>45217.4954098843</v>
      </c>
      <c r="B662" s="11" t="s">
        <v>2281</v>
      </c>
      <c r="C662" s="19">
        <v>70961475439</v>
      </c>
      <c r="D662" s="19">
        <v>700204427919629</v>
      </c>
      <c r="F662" s="11" t="s">
        <v>40</v>
      </c>
      <c r="G662" s="11" t="s">
        <v>54</v>
      </c>
      <c r="H662" s="24">
        <v>37549</v>
      </c>
      <c r="I662" s="277" t="s">
        <v>2284</v>
      </c>
      <c r="J662" s="11" t="s">
        <v>42</v>
      </c>
      <c r="K662" s="108" t="s">
        <v>155</v>
      </c>
      <c r="N662" s="11" t="s">
        <v>95</v>
      </c>
      <c r="O662" s="11" t="s">
        <v>127</v>
      </c>
      <c r="P662" s="11" t="s">
        <v>44</v>
      </c>
      <c r="Q662" s="11" t="s">
        <v>44</v>
      </c>
      <c r="R662" s="11" t="s">
        <v>45</v>
      </c>
      <c r="S662" s="11" t="s">
        <v>45</v>
      </c>
      <c r="T662" s="11" t="s">
        <v>44</v>
      </c>
      <c r="U662" s="11" t="s">
        <v>44</v>
      </c>
      <c r="W662" s="11" t="s">
        <v>57</v>
      </c>
      <c r="X662" s="11" t="s">
        <v>97</v>
      </c>
      <c r="Y662" s="11" t="s">
        <v>97</v>
      </c>
      <c r="Z662" s="11">
        <v>81987608875</v>
      </c>
      <c r="AA662" s="11" t="s">
        <v>1360</v>
      </c>
      <c r="AB662" s="11"/>
      <c r="AC662" s="11"/>
      <c r="AD662" s="11" t="b">
        <v>0</v>
      </c>
      <c r="AF662" s="11"/>
      <c r="AG662" s="11"/>
      <c r="AH662" s="11"/>
      <c r="AI662" s="11"/>
    </row>
    <row r="663" ht="12.5" spans="1:35">
      <c r="A663" s="177">
        <v>45217.6488715162</v>
      </c>
      <c r="B663" s="11" t="s">
        <v>2312</v>
      </c>
      <c r="C663" s="19">
        <v>70879519479</v>
      </c>
      <c r="D663" s="19">
        <v>700006916653005</v>
      </c>
      <c r="E663" s="18" t="s">
        <v>2313</v>
      </c>
      <c r="F663" s="11" t="s">
        <v>40</v>
      </c>
      <c r="G663" s="11" t="s">
        <v>41</v>
      </c>
      <c r="H663" s="24">
        <v>36198</v>
      </c>
      <c r="I663" s="277" t="s">
        <v>2314</v>
      </c>
      <c r="J663" s="11" t="s">
        <v>42</v>
      </c>
      <c r="K663" s="108" t="s">
        <v>2315</v>
      </c>
      <c r="N663" s="11" t="s">
        <v>43</v>
      </c>
      <c r="O663" s="11" t="s">
        <v>44</v>
      </c>
      <c r="P663" s="11" t="s">
        <v>44</v>
      </c>
      <c r="Q663" s="11" t="s">
        <v>44</v>
      </c>
      <c r="R663" s="11" t="s">
        <v>45</v>
      </c>
      <c r="S663" s="11" t="s">
        <v>45</v>
      </c>
      <c r="T663" s="11" t="s">
        <v>44</v>
      </c>
      <c r="U663" s="11" t="s">
        <v>44</v>
      </c>
      <c r="W663" s="11" t="s">
        <v>46</v>
      </c>
      <c r="X663" s="11" t="s">
        <v>47</v>
      </c>
      <c r="Y663" s="11" t="s">
        <v>58</v>
      </c>
      <c r="Z663" s="11">
        <v>81997029440</v>
      </c>
      <c r="AA663" s="11" t="s">
        <v>1360</v>
      </c>
      <c r="AB663" s="11"/>
      <c r="AC663" s="11"/>
      <c r="AD663" s="11" t="b">
        <v>0</v>
      </c>
      <c r="AF663" s="11"/>
      <c r="AG663" s="11"/>
      <c r="AH663" s="11"/>
      <c r="AI663" s="11"/>
    </row>
    <row r="664" ht="12.5" spans="1:35">
      <c r="A664" s="177">
        <v>45217.7629428588</v>
      </c>
      <c r="B664" s="11" t="s">
        <v>2292</v>
      </c>
      <c r="C664" s="19">
        <v>11538332477</v>
      </c>
      <c r="D664" s="19">
        <v>700606470263967</v>
      </c>
      <c r="F664" s="11" t="s">
        <v>40</v>
      </c>
      <c r="G664" s="11" t="s">
        <v>54</v>
      </c>
      <c r="H664" s="24">
        <v>35349</v>
      </c>
      <c r="I664" s="277" t="s">
        <v>2316</v>
      </c>
      <c r="J664" s="11" t="s">
        <v>42</v>
      </c>
      <c r="K664" s="108" t="s">
        <v>2294</v>
      </c>
      <c r="N664" s="11" t="s">
        <v>95</v>
      </c>
      <c r="O664" s="11" t="s">
        <v>44</v>
      </c>
      <c r="P664" s="11" t="s">
        <v>44</v>
      </c>
      <c r="Q664" s="11" t="s">
        <v>45</v>
      </c>
      <c r="R664" s="11" t="s">
        <v>45</v>
      </c>
      <c r="S664" s="11" t="s">
        <v>45</v>
      </c>
      <c r="T664" s="11" t="s">
        <v>44</v>
      </c>
      <c r="U664" s="11" t="s">
        <v>44</v>
      </c>
      <c r="W664" s="11" t="s">
        <v>57</v>
      </c>
      <c r="X664" s="11" t="s">
        <v>47</v>
      </c>
      <c r="Y664" s="11" t="s">
        <v>97</v>
      </c>
      <c r="Z664" s="11">
        <v>81999809367</v>
      </c>
      <c r="AA664" s="11" t="s">
        <v>1360</v>
      </c>
      <c r="AB664" s="11"/>
      <c r="AC664" s="11"/>
      <c r="AD664" s="11" t="b">
        <v>0</v>
      </c>
      <c r="AF664" s="11"/>
      <c r="AG664" s="11"/>
      <c r="AH664" s="11" t="s">
        <v>2317</v>
      </c>
      <c r="AI664" s="11"/>
    </row>
    <row r="665" ht="12.5" spans="1:35">
      <c r="A665" s="177">
        <v>45217.7902889699</v>
      </c>
      <c r="B665" s="11" t="s">
        <v>2318</v>
      </c>
      <c r="C665" s="19">
        <v>10750085495</v>
      </c>
      <c r="D665" s="19">
        <v>703405401695700</v>
      </c>
      <c r="E665" s="18" t="s">
        <v>2319</v>
      </c>
      <c r="F665" s="11" t="s">
        <v>40</v>
      </c>
      <c r="G665" s="11" t="s">
        <v>54</v>
      </c>
      <c r="H665" s="24">
        <v>35251</v>
      </c>
      <c r="I665" s="277" t="s">
        <v>2320</v>
      </c>
      <c r="J665" s="11" t="s">
        <v>42</v>
      </c>
      <c r="K665" s="108" t="s">
        <v>55</v>
      </c>
      <c r="N665" s="11" t="s">
        <v>43</v>
      </c>
      <c r="O665" s="11" t="s">
        <v>65</v>
      </c>
      <c r="P665" s="11" t="s">
        <v>66</v>
      </c>
      <c r="Q665" s="11" t="s">
        <v>44</v>
      </c>
      <c r="R665" s="11" t="s">
        <v>45</v>
      </c>
      <c r="S665" s="11" t="s">
        <v>45</v>
      </c>
      <c r="T665" s="11" t="s">
        <v>44</v>
      </c>
      <c r="U665" s="11" t="s">
        <v>45</v>
      </c>
      <c r="V665" s="24">
        <v>45218</v>
      </c>
      <c r="W665" s="11" t="s">
        <v>46</v>
      </c>
      <c r="X665" s="11" t="s">
        <v>203</v>
      </c>
      <c r="Y665" s="11" t="s">
        <v>68</v>
      </c>
      <c r="Z665" s="11">
        <v>81998327586</v>
      </c>
      <c r="AA665" s="11" t="s">
        <v>103</v>
      </c>
      <c r="AB665" s="11" t="s">
        <v>98</v>
      </c>
      <c r="AC665" s="11"/>
      <c r="AD665" s="11" t="b">
        <v>0</v>
      </c>
      <c r="AF665" s="11" t="s">
        <v>2321</v>
      </c>
      <c r="AG665" s="11" t="s">
        <v>2322</v>
      </c>
      <c r="AH665" s="11"/>
      <c r="AI665" s="11"/>
    </row>
    <row r="666" ht="12.5" spans="1:35">
      <c r="A666" s="177">
        <v>45218.420028125</v>
      </c>
      <c r="B666" s="11" t="s">
        <v>2323</v>
      </c>
      <c r="C666" s="19">
        <v>12329685440</v>
      </c>
      <c r="D666" s="19">
        <v>706808268468226</v>
      </c>
      <c r="E666" s="18" t="s">
        <v>2324</v>
      </c>
      <c r="F666" s="11" t="s">
        <v>40</v>
      </c>
      <c r="G666" s="11" t="s">
        <v>54</v>
      </c>
      <c r="H666" s="24">
        <v>36274</v>
      </c>
      <c r="I666" s="277" t="s">
        <v>2325</v>
      </c>
      <c r="J666" s="11" t="s">
        <v>42</v>
      </c>
      <c r="K666" s="108" t="s">
        <v>155</v>
      </c>
      <c r="N666" s="11" t="s">
        <v>43</v>
      </c>
      <c r="O666" s="11" t="s">
        <v>44</v>
      </c>
      <c r="P666" s="11" t="s">
        <v>44</v>
      </c>
      <c r="Q666" s="11" t="s">
        <v>44</v>
      </c>
      <c r="R666" s="11" t="s">
        <v>45</v>
      </c>
      <c r="S666" s="11" t="s">
        <v>45</v>
      </c>
      <c r="T666" s="11" t="s">
        <v>44</v>
      </c>
      <c r="U666" s="11" t="s">
        <v>44</v>
      </c>
      <c r="W666" s="11" t="s">
        <v>46</v>
      </c>
      <c r="X666" s="11" t="s">
        <v>47</v>
      </c>
      <c r="Y666" s="11" t="s">
        <v>58</v>
      </c>
      <c r="Z666" s="11">
        <v>81996798735</v>
      </c>
      <c r="AA666" s="11" t="s">
        <v>1267</v>
      </c>
      <c r="AB666" s="11"/>
      <c r="AC666" s="11"/>
      <c r="AD666" s="11" t="b">
        <v>0</v>
      </c>
      <c r="AF666" s="11"/>
      <c r="AG666" s="11"/>
      <c r="AH666" s="11"/>
      <c r="AI666" s="11"/>
    </row>
    <row r="667" ht="12.5" spans="1:35">
      <c r="A667" s="177">
        <v>45218.652270787</v>
      </c>
      <c r="B667" s="11" t="s">
        <v>2253</v>
      </c>
      <c r="C667" s="19">
        <v>70397467435</v>
      </c>
      <c r="D667" s="19">
        <v>705005422471356</v>
      </c>
      <c r="E667" s="18" t="s">
        <v>2326</v>
      </c>
      <c r="F667" s="11" t="s">
        <v>225</v>
      </c>
      <c r="G667" s="11" t="s">
        <v>54</v>
      </c>
      <c r="H667" s="24">
        <v>37258</v>
      </c>
      <c r="I667" s="19" t="s">
        <v>2327</v>
      </c>
      <c r="J667" s="11" t="s">
        <v>42</v>
      </c>
      <c r="K667" s="108" t="s">
        <v>155</v>
      </c>
      <c r="N667" s="11" t="s">
        <v>43</v>
      </c>
      <c r="O667" s="11" t="s">
        <v>96</v>
      </c>
      <c r="P667" s="11" t="s">
        <v>56</v>
      </c>
      <c r="Q667" s="11" t="s">
        <v>44</v>
      </c>
      <c r="R667" s="11" t="s">
        <v>45</v>
      </c>
      <c r="S667" s="11" t="s">
        <v>83</v>
      </c>
      <c r="T667" s="11" t="s">
        <v>44</v>
      </c>
      <c r="U667" s="11" t="s">
        <v>45</v>
      </c>
      <c r="V667" s="24">
        <v>45219</v>
      </c>
      <c r="W667" s="11" t="s">
        <v>46</v>
      </c>
      <c r="X667" s="11" t="s">
        <v>47</v>
      </c>
      <c r="Y667" s="11" t="s">
        <v>58</v>
      </c>
      <c r="Z667" s="11">
        <v>81973325614</v>
      </c>
      <c r="AA667" s="11" t="s">
        <v>1267</v>
      </c>
      <c r="AB667" s="11" t="s">
        <v>49</v>
      </c>
      <c r="AC667" s="11" t="s">
        <v>92</v>
      </c>
      <c r="AD667" s="11" t="b">
        <v>1</v>
      </c>
      <c r="AE667" s="11" t="s">
        <v>137</v>
      </c>
      <c r="AF667" s="11" t="s">
        <v>2328</v>
      </c>
      <c r="AG667" s="11" t="s">
        <v>2329</v>
      </c>
      <c r="AH667" s="40" t="s">
        <v>2330</v>
      </c>
      <c r="AI667" s="11"/>
    </row>
    <row r="668" ht="12.5" spans="1:35">
      <c r="A668" s="177">
        <v>45219.335845463</v>
      </c>
      <c r="B668" s="11" t="s">
        <v>1004</v>
      </c>
      <c r="C668" s="19">
        <v>14500412484</v>
      </c>
      <c r="D668" s="19">
        <v>898005174693865</v>
      </c>
      <c r="E668" s="18" t="s">
        <v>2331</v>
      </c>
      <c r="F668" s="11" t="s">
        <v>40</v>
      </c>
      <c r="G668" s="11" t="s">
        <v>41</v>
      </c>
      <c r="H668" s="24">
        <v>37179</v>
      </c>
      <c r="I668" s="277" t="s">
        <v>1006</v>
      </c>
      <c r="J668" s="11" t="s">
        <v>42</v>
      </c>
      <c r="K668" s="108" t="s">
        <v>155</v>
      </c>
      <c r="N668" s="11" t="s">
        <v>43</v>
      </c>
      <c r="O668" s="11" t="s">
        <v>44</v>
      </c>
      <c r="P668" s="11" t="s">
        <v>44</v>
      </c>
      <c r="Q668" s="11" t="s">
        <v>44</v>
      </c>
      <c r="R668" s="11" t="s">
        <v>45</v>
      </c>
      <c r="S668" s="11" t="s">
        <v>45</v>
      </c>
      <c r="T668" s="11" t="s">
        <v>44</v>
      </c>
      <c r="U668" s="11" t="s">
        <v>44</v>
      </c>
      <c r="W668" s="11" t="s">
        <v>46</v>
      </c>
      <c r="X668" s="11" t="s">
        <v>2332</v>
      </c>
      <c r="Y668" s="11" t="s">
        <v>58</v>
      </c>
      <c r="Z668" s="11">
        <v>81991067896</v>
      </c>
      <c r="AA668" s="11" t="s">
        <v>1360</v>
      </c>
      <c r="AB668" s="11"/>
      <c r="AC668" s="11"/>
      <c r="AD668" s="11" t="b">
        <v>0</v>
      </c>
      <c r="AF668" s="11"/>
      <c r="AG668" s="11"/>
      <c r="AH668" s="11"/>
      <c r="AI668" s="11"/>
    </row>
    <row r="669" ht="12.5" spans="1:35">
      <c r="A669" s="177">
        <v>45219.3725059375</v>
      </c>
      <c r="B669" s="11" t="s">
        <v>2333</v>
      </c>
      <c r="C669" s="277" t="s">
        <v>2334</v>
      </c>
      <c r="D669" s="19">
        <v>704604695814821</v>
      </c>
      <c r="E669" s="18" t="s">
        <v>2335</v>
      </c>
      <c r="F669" s="11" t="s">
        <v>225</v>
      </c>
      <c r="G669" s="11" t="s">
        <v>41</v>
      </c>
      <c r="H669" s="24">
        <v>31289</v>
      </c>
      <c r="I669" s="277" t="s">
        <v>995</v>
      </c>
      <c r="J669" s="11" t="s">
        <v>81</v>
      </c>
      <c r="K669" s="108"/>
      <c r="L669" s="11" t="s">
        <v>109</v>
      </c>
      <c r="N669" s="11" t="s">
        <v>43</v>
      </c>
      <c r="O669" s="11" t="s">
        <v>44</v>
      </c>
      <c r="P669" s="11" t="s">
        <v>44</v>
      </c>
      <c r="Q669" s="11" t="s">
        <v>44</v>
      </c>
      <c r="R669" s="11" t="s">
        <v>45</v>
      </c>
      <c r="S669" s="11" t="s">
        <v>45</v>
      </c>
      <c r="T669" s="11" t="s">
        <v>44</v>
      </c>
      <c r="U669" s="11" t="s">
        <v>44</v>
      </c>
      <c r="W669" s="11" t="s">
        <v>46</v>
      </c>
      <c r="X669" s="11" t="s">
        <v>2332</v>
      </c>
      <c r="Y669" s="11" t="s">
        <v>58</v>
      </c>
      <c r="Z669" s="11">
        <v>81987804307</v>
      </c>
      <c r="AA669" s="11" t="s">
        <v>1360</v>
      </c>
      <c r="AB669" s="11"/>
      <c r="AC669" s="11"/>
      <c r="AD669" s="11" t="b">
        <v>0</v>
      </c>
      <c r="AF669" s="11"/>
      <c r="AG669" s="11"/>
      <c r="AH669" s="11"/>
      <c r="AI669" s="11"/>
    </row>
    <row r="670" ht="12.5" spans="1:35">
      <c r="A670" s="177">
        <v>45219.3837848032</v>
      </c>
      <c r="B670" s="11" t="s">
        <v>2336</v>
      </c>
      <c r="C670" s="277" t="s">
        <v>2337</v>
      </c>
      <c r="D670" s="19">
        <v>700801410371082</v>
      </c>
      <c r="E670" s="18" t="s">
        <v>2338</v>
      </c>
      <c r="F670" s="11" t="s">
        <v>40</v>
      </c>
      <c r="G670" s="11" t="s">
        <v>54</v>
      </c>
      <c r="H670" s="24">
        <v>32041</v>
      </c>
      <c r="I670" s="277" t="s">
        <v>2339</v>
      </c>
      <c r="J670" s="11" t="s">
        <v>42</v>
      </c>
      <c r="K670" s="108" t="s">
        <v>2340</v>
      </c>
      <c r="N670" s="11" t="s">
        <v>43</v>
      </c>
      <c r="O670" s="11" t="s">
        <v>96</v>
      </c>
      <c r="P670" s="11" t="s">
        <v>66</v>
      </c>
      <c r="Q670" s="11" t="s">
        <v>44</v>
      </c>
      <c r="R670" s="11" t="s">
        <v>45</v>
      </c>
      <c r="S670" s="11" t="s">
        <v>83</v>
      </c>
      <c r="T670" s="11" t="s">
        <v>45</v>
      </c>
      <c r="U670" s="11" t="s">
        <v>45</v>
      </c>
      <c r="V670" s="24">
        <v>45220</v>
      </c>
      <c r="W670" s="11" t="s">
        <v>46</v>
      </c>
      <c r="X670" s="11" t="s">
        <v>2332</v>
      </c>
      <c r="Y670" s="11" t="s">
        <v>58</v>
      </c>
      <c r="Z670" s="11">
        <v>81987882133</v>
      </c>
      <c r="AA670" s="11" t="s">
        <v>91</v>
      </c>
      <c r="AB670" s="11" t="s">
        <v>49</v>
      </c>
      <c r="AC670" s="11" t="s">
        <v>50</v>
      </c>
      <c r="AD670" s="11" t="b">
        <v>1</v>
      </c>
      <c r="AE670" s="11" t="s">
        <v>137</v>
      </c>
      <c r="AF670" s="11" t="s">
        <v>2341</v>
      </c>
      <c r="AG670" s="214" t="s">
        <v>2342</v>
      </c>
      <c r="AH670" s="11"/>
      <c r="AI670" s="11"/>
    </row>
    <row r="671" ht="12.5" spans="1:35">
      <c r="A671" s="177">
        <v>45219.398696956</v>
      </c>
      <c r="B671" s="11" t="s">
        <v>2343</v>
      </c>
      <c r="C671" s="19">
        <v>11760505404</v>
      </c>
      <c r="D671" s="19">
        <v>700801935528685</v>
      </c>
      <c r="E671" s="18" t="s">
        <v>2344</v>
      </c>
      <c r="F671" s="11" t="s">
        <v>40</v>
      </c>
      <c r="G671" s="11" t="s">
        <v>54</v>
      </c>
      <c r="H671" s="24">
        <v>35947</v>
      </c>
      <c r="I671" s="277" t="s">
        <v>2345</v>
      </c>
      <c r="J671" s="11" t="s">
        <v>42</v>
      </c>
      <c r="K671" s="108" t="s">
        <v>202</v>
      </c>
      <c r="N671" s="11" t="s">
        <v>43</v>
      </c>
      <c r="O671" s="11" t="s">
        <v>44</v>
      </c>
      <c r="P671" s="11" t="s">
        <v>44</v>
      </c>
      <c r="Q671" s="11" t="s">
        <v>44</v>
      </c>
      <c r="R671" s="11" t="s">
        <v>45</v>
      </c>
      <c r="S671" s="11" t="s">
        <v>45</v>
      </c>
      <c r="T671" s="11" t="s">
        <v>44</v>
      </c>
      <c r="U671" s="11" t="s">
        <v>44</v>
      </c>
      <c r="W671" s="11" t="s">
        <v>46</v>
      </c>
      <c r="X671" s="11" t="s">
        <v>47</v>
      </c>
      <c r="Y671" s="11" t="s">
        <v>58</v>
      </c>
      <c r="Z671" s="11">
        <v>81984096017</v>
      </c>
      <c r="AA671" s="11" t="s">
        <v>1360</v>
      </c>
      <c r="AB671" s="11"/>
      <c r="AC671" s="11"/>
      <c r="AD671" s="11" t="b">
        <v>0</v>
      </c>
      <c r="AF671" s="11"/>
      <c r="AG671" s="11"/>
      <c r="AH671" s="11"/>
      <c r="AI671" s="11"/>
    </row>
    <row r="672" ht="12.5" spans="1:35">
      <c r="A672" s="177">
        <v>45220.409958588</v>
      </c>
      <c r="B672" s="11" t="s">
        <v>2253</v>
      </c>
      <c r="C672" s="19">
        <v>70397467435</v>
      </c>
      <c r="D672" s="19">
        <v>705005422471356</v>
      </c>
      <c r="E672" s="18" t="s">
        <v>2346</v>
      </c>
      <c r="F672" s="11" t="s">
        <v>225</v>
      </c>
      <c r="G672" s="11" t="s">
        <v>54</v>
      </c>
      <c r="H672" s="24">
        <v>37258</v>
      </c>
      <c r="I672" s="19" t="s">
        <v>2347</v>
      </c>
      <c r="J672" s="11" t="s">
        <v>42</v>
      </c>
      <c r="K672" s="108" t="s">
        <v>155</v>
      </c>
      <c r="N672" s="11" t="s">
        <v>95</v>
      </c>
      <c r="O672" s="11" t="s">
        <v>44</v>
      </c>
      <c r="P672" s="11" t="s">
        <v>44</v>
      </c>
      <c r="Q672" s="11" t="s">
        <v>44</v>
      </c>
      <c r="R672" s="11" t="s">
        <v>45</v>
      </c>
      <c r="S672" s="11" t="s">
        <v>83</v>
      </c>
      <c r="T672" s="11" t="s">
        <v>44</v>
      </c>
      <c r="U672" s="11" t="s">
        <v>44</v>
      </c>
      <c r="W672" s="11" t="s">
        <v>46</v>
      </c>
      <c r="X672" s="11" t="s">
        <v>97</v>
      </c>
      <c r="Y672" s="11" t="s">
        <v>97</v>
      </c>
      <c r="Z672" s="11">
        <v>81973325614</v>
      </c>
      <c r="AA672" s="11" t="s">
        <v>91</v>
      </c>
      <c r="AB672" s="11"/>
      <c r="AC672" s="11"/>
      <c r="AD672" s="11" t="b">
        <v>0</v>
      </c>
      <c r="AF672" s="11"/>
      <c r="AG672" s="11"/>
      <c r="AH672" s="40" t="s">
        <v>2348</v>
      </c>
      <c r="AI672" s="11"/>
    </row>
    <row r="673" ht="12.5" spans="1:35">
      <c r="A673" s="177">
        <v>45220.5516197222</v>
      </c>
      <c r="B673" s="11" t="s">
        <v>2349</v>
      </c>
      <c r="C673" s="277" t="s">
        <v>2350</v>
      </c>
      <c r="D673" s="19">
        <v>705600430738218</v>
      </c>
      <c r="E673" s="18" t="s">
        <v>2351</v>
      </c>
      <c r="F673" s="11" t="s">
        <v>40</v>
      </c>
      <c r="G673" s="11" t="s">
        <v>54</v>
      </c>
      <c r="H673" s="24">
        <v>32024</v>
      </c>
      <c r="I673" s="277" t="s">
        <v>2352</v>
      </c>
      <c r="J673" s="11" t="s">
        <v>42</v>
      </c>
      <c r="K673" s="108" t="s">
        <v>2353</v>
      </c>
      <c r="N673" s="11" t="s">
        <v>43</v>
      </c>
      <c r="O673" s="11" t="s">
        <v>44</v>
      </c>
      <c r="P673" s="11" t="s">
        <v>44</v>
      </c>
      <c r="Q673" s="11" t="s">
        <v>44</v>
      </c>
      <c r="R673" s="11" t="s">
        <v>45</v>
      </c>
      <c r="S673" s="11" t="s">
        <v>83</v>
      </c>
      <c r="T673" s="11" t="s">
        <v>44</v>
      </c>
      <c r="U673" s="11" t="s">
        <v>44</v>
      </c>
      <c r="W673" s="11" t="s">
        <v>46</v>
      </c>
      <c r="X673" s="11" t="s">
        <v>303</v>
      </c>
      <c r="Y673" s="11" t="s">
        <v>68</v>
      </c>
      <c r="Z673" s="11">
        <v>81997109350</v>
      </c>
      <c r="AA673" s="11" t="s">
        <v>115</v>
      </c>
      <c r="AB673" s="11"/>
      <c r="AC673" s="11"/>
      <c r="AD673" s="11" t="b">
        <v>0</v>
      </c>
      <c r="AF673" s="11"/>
      <c r="AG673" s="11"/>
      <c r="AH673" s="11"/>
      <c r="AI673" s="11"/>
    </row>
    <row r="674" ht="12.5" spans="1:35">
      <c r="A674" s="177">
        <v>45220.5724069444</v>
      </c>
      <c r="B674" s="11" t="s">
        <v>2336</v>
      </c>
      <c r="C674" s="277" t="s">
        <v>2337</v>
      </c>
      <c r="D674" s="19">
        <v>700801410371082</v>
      </c>
      <c r="E674" s="18" t="s">
        <v>2354</v>
      </c>
      <c r="F674" s="11" t="s">
        <v>40</v>
      </c>
      <c r="G674" s="11" t="s">
        <v>41</v>
      </c>
      <c r="H674" s="24">
        <v>32041</v>
      </c>
      <c r="I674" s="277" t="s">
        <v>2339</v>
      </c>
      <c r="J674" s="11" t="s">
        <v>42</v>
      </c>
      <c r="K674" s="108" t="s">
        <v>202</v>
      </c>
      <c r="N674" s="11" t="s">
        <v>95</v>
      </c>
      <c r="O674" s="11" t="s">
        <v>44</v>
      </c>
      <c r="P674" s="11" t="s">
        <v>44</v>
      </c>
      <c r="Q674" s="11" t="s">
        <v>44</v>
      </c>
      <c r="R674" s="11" t="s">
        <v>45</v>
      </c>
      <c r="S674" s="11" t="s">
        <v>45</v>
      </c>
      <c r="T674" s="11" t="s">
        <v>44</v>
      </c>
      <c r="U674" s="11" t="s">
        <v>44</v>
      </c>
      <c r="W674" s="11" t="s">
        <v>57</v>
      </c>
      <c r="X674" s="11" t="s">
        <v>97</v>
      </c>
      <c r="Y674" s="11" t="s">
        <v>97</v>
      </c>
      <c r="Z674" s="11">
        <v>81987882133</v>
      </c>
      <c r="AA674" s="11" t="s">
        <v>115</v>
      </c>
      <c r="AB674" s="11"/>
      <c r="AC674" s="11"/>
      <c r="AD674" s="11" t="b">
        <v>0</v>
      </c>
      <c r="AF674" s="11"/>
      <c r="AG674" s="11"/>
      <c r="AH674" s="11"/>
      <c r="AI674" s="11"/>
    </row>
    <row r="675" ht="12.5" spans="1:35">
      <c r="A675" s="177">
        <v>45220.6747784028</v>
      </c>
      <c r="B675" s="11" t="s">
        <v>2355</v>
      </c>
      <c r="C675" s="277" t="s">
        <v>2356</v>
      </c>
      <c r="D675" s="19">
        <v>707606278263595</v>
      </c>
      <c r="E675" s="18" t="s">
        <v>2357</v>
      </c>
      <c r="F675" s="11" t="s">
        <v>40</v>
      </c>
      <c r="G675" s="11" t="s">
        <v>41</v>
      </c>
      <c r="H675" s="24">
        <v>31296</v>
      </c>
      <c r="I675" s="19" t="s">
        <v>97</v>
      </c>
      <c r="J675" s="11" t="s">
        <v>438</v>
      </c>
      <c r="K675" s="108"/>
      <c r="M675" s="11" t="s">
        <v>2358</v>
      </c>
      <c r="N675" s="11" t="s">
        <v>43</v>
      </c>
      <c r="O675" s="11" t="s">
        <v>44</v>
      </c>
      <c r="P675" s="11" t="s">
        <v>44</v>
      </c>
      <c r="Q675" s="11" t="s">
        <v>44</v>
      </c>
      <c r="R675" s="11" t="s">
        <v>45</v>
      </c>
      <c r="S675" s="11" t="s">
        <v>45</v>
      </c>
      <c r="T675" s="11" t="s">
        <v>44</v>
      </c>
      <c r="U675" s="11" t="s">
        <v>45</v>
      </c>
      <c r="V675" s="24">
        <v>45221</v>
      </c>
      <c r="W675" s="11" t="s">
        <v>46</v>
      </c>
      <c r="X675" s="11" t="s">
        <v>303</v>
      </c>
      <c r="Y675" s="11" t="s">
        <v>68</v>
      </c>
      <c r="Z675" s="11">
        <v>81999139376</v>
      </c>
      <c r="AA675" s="11" t="s">
        <v>115</v>
      </c>
      <c r="AB675" s="11" t="s">
        <v>98</v>
      </c>
      <c r="AC675" s="11"/>
      <c r="AD675" s="11" t="b">
        <v>0</v>
      </c>
      <c r="AF675" s="11" t="s">
        <v>2359</v>
      </c>
      <c r="AG675" s="11" t="s">
        <v>2360</v>
      </c>
      <c r="AH675" s="11"/>
      <c r="AI675" s="11"/>
    </row>
    <row r="676" ht="12.5" spans="1:35">
      <c r="A676" s="177">
        <v>45220.6860529051</v>
      </c>
      <c r="B676" s="11" t="s">
        <v>2361</v>
      </c>
      <c r="C676" s="19">
        <v>11053974400</v>
      </c>
      <c r="D676" s="241">
        <v>703403585430800</v>
      </c>
      <c r="E676" s="18" t="s">
        <v>2362</v>
      </c>
      <c r="F676" s="11" t="s">
        <v>225</v>
      </c>
      <c r="G676" s="11" t="s">
        <v>54</v>
      </c>
      <c r="H676" s="24">
        <v>34679</v>
      </c>
      <c r="I676" s="277" t="s">
        <v>2363</v>
      </c>
      <c r="J676" s="11" t="s">
        <v>42</v>
      </c>
      <c r="K676" s="108" t="s">
        <v>202</v>
      </c>
      <c r="N676" s="11" t="s">
        <v>43</v>
      </c>
      <c r="O676" s="11" t="s">
        <v>44</v>
      </c>
      <c r="P676" s="11" t="s">
        <v>44</v>
      </c>
      <c r="Q676" s="11" t="s">
        <v>44</v>
      </c>
      <c r="R676" s="11" t="s">
        <v>45</v>
      </c>
      <c r="S676" s="11" t="s">
        <v>83</v>
      </c>
      <c r="T676" s="11" t="s">
        <v>44</v>
      </c>
      <c r="U676" s="11" t="s">
        <v>45</v>
      </c>
      <c r="V676" s="24">
        <v>45220</v>
      </c>
      <c r="W676" s="11" t="s">
        <v>57</v>
      </c>
      <c r="X676" s="11" t="s">
        <v>156</v>
      </c>
      <c r="Y676" s="11" t="s">
        <v>58</v>
      </c>
      <c r="Z676" s="11">
        <v>81985589495</v>
      </c>
      <c r="AA676" s="11" t="s">
        <v>91</v>
      </c>
      <c r="AB676" s="11" t="s">
        <v>49</v>
      </c>
      <c r="AC676" s="11" t="s">
        <v>92</v>
      </c>
      <c r="AD676" s="11" t="b">
        <v>1</v>
      </c>
      <c r="AE676" s="11" t="s">
        <v>137</v>
      </c>
      <c r="AF676" s="11" t="s">
        <v>2364</v>
      </c>
      <c r="AG676" s="11"/>
      <c r="AH676" s="11"/>
      <c r="AI676" s="11"/>
    </row>
    <row r="677" ht="12.5" spans="1:35">
      <c r="A677" s="177">
        <v>45220.8011371528</v>
      </c>
      <c r="B677" s="11" t="s">
        <v>2361</v>
      </c>
      <c r="C677" s="19">
        <v>11053974400</v>
      </c>
      <c r="D677" s="241">
        <v>703403585430800</v>
      </c>
      <c r="E677" s="18" t="s">
        <v>2365</v>
      </c>
      <c r="F677" s="11" t="s">
        <v>225</v>
      </c>
      <c r="G677" s="11" t="s">
        <v>54</v>
      </c>
      <c r="H677" s="24">
        <v>34376</v>
      </c>
      <c r="I677" s="277" t="s">
        <v>2363</v>
      </c>
      <c r="J677" s="11" t="s">
        <v>81</v>
      </c>
      <c r="K677" s="108"/>
      <c r="L677" s="11" t="s">
        <v>525</v>
      </c>
      <c r="N677" s="11" t="s">
        <v>95</v>
      </c>
      <c r="O677" s="11" t="s">
        <v>96</v>
      </c>
      <c r="P677" s="11" t="s">
        <v>66</v>
      </c>
      <c r="Q677" s="11" t="s">
        <v>44</v>
      </c>
      <c r="R677" s="11" t="s">
        <v>45</v>
      </c>
      <c r="S677" s="11" t="s">
        <v>83</v>
      </c>
      <c r="T677" s="11" t="s">
        <v>44</v>
      </c>
      <c r="U677" s="11" t="s">
        <v>45</v>
      </c>
      <c r="V677" s="24">
        <v>45221</v>
      </c>
      <c r="W677" s="11" t="s">
        <v>57</v>
      </c>
      <c r="X677" s="11" t="s">
        <v>97</v>
      </c>
      <c r="Y677" s="11" t="s">
        <v>97</v>
      </c>
      <c r="Z677" s="11">
        <v>81985589495</v>
      </c>
      <c r="AA677" s="11" t="s">
        <v>91</v>
      </c>
      <c r="AB677" s="11" t="s">
        <v>49</v>
      </c>
      <c r="AC677" s="11" t="s">
        <v>92</v>
      </c>
      <c r="AD677" s="11" t="b">
        <v>1</v>
      </c>
      <c r="AE677" s="11" t="s">
        <v>137</v>
      </c>
      <c r="AF677" s="11" t="s">
        <v>2366</v>
      </c>
      <c r="AG677" s="11"/>
      <c r="AH677" s="11"/>
      <c r="AI677" s="11"/>
    </row>
    <row r="678" ht="12.5" spans="1:35">
      <c r="A678" s="177">
        <v>45221.384667662</v>
      </c>
      <c r="B678" s="11" t="s">
        <v>2367</v>
      </c>
      <c r="C678" s="19">
        <v>71776241479</v>
      </c>
      <c r="D678" s="19">
        <v>700503166072055</v>
      </c>
      <c r="E678" s="18" t="s">
        <v>2368</v>
      </c>
      <c r="F678" s="11" t="s">
        <v>40</v>
      </c>
      <c r="G678" s="11" t="s">
        <v>54</v>
      </c>
      <c r="H678" s="24">
        <v>36949</v>
      </c>
      <c r="I678" s="277" t="s">
        <v>2369</v>
      </c>
      <c r="J678" s="11" t="s">
        <v>42</v>
      </c>
      <c r="K678" s="108" t="s">
        <v>282</v>
      </c>
      <c r="N678" s="11" t="s">
        <v>43</v>
      </c>
      <c r="O678" s="11" t="s">
        <v>44</v>
      </c>
      <c r="P678" s="11" t="s">
        <v>56</v>
      </c>
      <c r="Q678" s="11" t="s">
        <v>44</v>
      </c>
      <c r="R678" s="11" t="s">
        <v>45</v>
      </c>
      <c r="S678" s="11" t="s">
        <v>45</v>
      </c>
      <c r="T678" s="11" t="s">
        <v>44</v>
      </c>
      <c r="U678" s="11" t="s">
        <v>45</v>
      </c>
      <c r="V678" s="24">
        <v>45222</v>
      </c>
      <c r="W678" s="11" t="s">
        <v>46</v>
      </c>
      <c r="X678" s="11" t="s">
        <v>303</v>
      </c>
      <c r="Y678" s="11" t="s">
        <v>58</v>
      </c>
      <c r="Z678" s="11">
        <v>81992950741</v>
      </c>
      <c r="AA678" s="11" t="s">
        <v>1360</v>
      </c>
      <c r="AB678" s="11" t="s">
        <v>98</v>
      </c>
      <c r="AC678" s="11"/>
      <c r="AD678" s="11" t="b">
        <v>0</v>
      </c>
      <c r="AF678" s="11" t="s">
        <v>2370</v>
      </c>
      <c r="AG678" s="11" t="s">
        <v>2371</v>
      </c>
      <c r="AH678" s="11" t="s">
        <v>2372</v>
      </c>
      <c r="AI678" s="11"/>
    </row>
    <row r="679" ht="12.5" spans="1:35">
      <c r="A679" s="177">
        <v>45221.38623375</v>
      </c>
      <c r="B679" s="11" t="s">
        <v>2361</v>
      </c>
      <c r="C679" s="19">
        <v>11053974400</v>
      </c>
      <c r="D679" s="241">
        <v>703403585430800</v>
      </c>
      <c r="E679" s="18" t="s">
        <v>2373</v>
      </c>
      <c r="F679" s="11" t="s">
        <v>225</v>
      </c>
      <c r="G679" s="11" t="s">
        <v>54</v>
      </c>
      <c r="H679" s="24">
        <v>34376</v>
      </c>
      <c r="I679" s="277" t="s">
        <v>2363</v>
      </c>
      <c r="J679" s="11" t="s">
        <v>42</v>
      </c>
      <c r="K679" s="108" t="s">
        <v>202</v>
      </c>
      <c r="N679" s="11" t="s">
        <v>95</v>
      </c>
      <c r="O679" s="11" t="s">
        <v>44</v>
      </c>
      <c r="P679" s="11" t="s">
        <v>44</v>
      </c>
      <c r="Q679" s="11" t="s">
        <v>44</v>
      </c>
      <c r="R679" s="11" t="s">
        <v>45</v>
      </c>
      <c r="S679" s="11" t="s">
        <v>83</v>
      </c>
      <c r="T679" s="11" t="s">
        <v>44</v>
      </c>
      <c r="U679" s="11" t="s">
        <v>44</v>
      </c>
      <c r="W679" s="11" t="s">
        <v>57</v>
      </c>
      <c r="X679" s="11" t="s">
        <v>97</v>
      </c>
      <c r="Y679" s="11" t="s">
        <v>97</v>
      </c>
      <c r="Z679" s="11">
        <v>81985589495</v>
      </c>
      <c r="AA679" s="11" t="s">
        <v>91</v>
      </c>
      <c r="AB679" s="11"/>
      <c r="AC679" s="11"/>
      <c r="AD679" s="11" t="b">
        <v>0</v>
      </c>
      <c r="AF679" s="11"/>
      <c r="AG679" s="11"/>
      <c r="AH679" s="11"/>
      <c r="AI679" s="11"/>
    </row>
    <row r="680" ht="12.5" spans="1:35">
      <c r="A680" s="177">
        <v>45221.5791374537</v>
      </c>
      <c r="B680" s="11" t="s">
        <v>2374</v>
      </c>
      <c r="C680" s="277" t="s">
        <v>2375</v>
      </c>
      <c r="D680" s="19">
        <v>700600475815563</v>
      </c>
      <c r="E680" s="18" t="s">
        <v>2376</v>
      </c>
      <c r="F680" s="11" t="s">
        <v>225</v>
      </c>
      <c r="G680" s="11" t="s">
        <v>54</v>
      </c>
      <c r="H680" s="24">
        <v>33220</v>
      </c>
      <c r="I680" s="277" t="s">
        <v>2377</v>
      </c>
      <c r="J680" s="11" t="s">
        <v>42</v>
      </c>
      <c r="K680" s="108" t="s">
        <v>282</v>
      </c>
      <c r="N680" s="11" t="s">
        <v>43</v>
      </c>
      <c r="O680" s="11" t="s">
        <v>96</v>
      </c>
      <c r="P680" s="11" t="s">
        <v>66</v>
      </c>
      <c r="Q680" s="11" t="s">
        <v>44</v>
      </c>
      <c r="R680" s="11" t="s">
        <v>45</v>
      </c>
      <c r="S680" s="11" t="s">
        <v>83</v>
      </c>
      <c r="T680" s="11" t="s">
        <v>44</v>
      </c>
      <c r="U680" s="11" t="s">
        <v>45</v>
      </c>
      <c r="V680" s="24">
        <v>45222</v>
      </c>
      <c r="W680" s="11" t="s">
        <v>46</v>
      </c>
      <c r="X680" s="11" t="s">
        <v>303</v>
      </c>
      <c r="Y680" s="11" t="s">
        <v>58</v>
      </c>
      <c r="Z680" s="11">
        <v>81985297553</v>
      </c>
      <c r="AA680" s="11" t="s">
        <v>91</v>
      </c>
      <c r="AB680" s="136" t="s">
        <v>98</v>
      </c>
      <c r="AC680" s="11"/>
      <c r="AD680" s="11" t="b">
        <v>0</v>
      </c>
      <c r="AF680" s="11" t="s">
        <v>2378</v>
      </c>
      <c r="AG680" s="11"/>
      <c r="AH680" s="11" t="s">
        <v>2379</v>
      </c>
      <c r="AI680" s="11"/>
    </row>
    <row r="681" ht="12.5" spans="1:35">
      <c r="A681" s="177">
        <v>45221.8040218056</v>
      </c>
      <c r="B681" s="11" t="s">
        <v>2380</v>
      </c>
      <c r="C681" s="19">
        <v>71334389411</v>
      </c>
      <c r="D681" s="19">
        <v>700503923254059</v>
      </c>
      <c r="E681" s="18" t="s">
        <v>2381</v>
      </c>
      <c r="F681" s="11" t="s">
        <v>225</v>
      </c>
      <c r="G681" s="11" t="s">
        <v>54</v>
      </c>
      <c r="H681" s="24">
        <v>36832</v>
      </c>
      <c r="I681" s="277" t="s">
        <v>2382</v>
      </c>
      <c r="J681" s="11" t="s">
        <v>81</v>
      </c>
      <c r="K681" s="108"/>
      <c r="L681" s="11" t="s">
        <v>109</v>
      </c>
      <c r="N681" s="11" t="s">
        <v>43</v>
      </c>
      <c r="O681" s="11" t="s">
        <v>44</v>
      </c>
      <c r="P681" s="11" t="s">
        <v>44</v>
      </c>
      <c r="Q681" s="11" t="s">
        <v>44</v>
      </c>
      <c r="R681" s="11" t="s">
        <v>45</v>
      </c>
      <c r="S681" s="11" t="s">
        <v>45</v>
      </c>
      <c r="T681" s="11" t="s">
        <v>44</v>
      </c>
      <c r="U681" s="11" t="s">
        <v>45</v>
      </c>
      <c r="V681" s="24">
        <v>45222</v>
      </c>
      <c r="W681" s="11" t="s">
        <v>46</v>
      </c>
      <c r="X681" s="11" t="s">
        <v>303</v>
      </c>
      <c r="Y681" s="11" t="s">
        <v>58</v>
      </c>
      <c r="Z681" s="11">
        <v>81987057335</v>
      </c>
      <c r="AA681" s="11" t="s">
        <v>1360</v>
      </c>
      <c r="AB681" s="11" t="s">
        <v>98</v>
      </c>
      <c r="AC681" s="11"/>
      <c r="AD681" s="11" t="b">
        <v>0</v>
      </c>
      <c r="AF681" s="11"/>
      <c r="AG681" s="11" t="s">
        <v>2383</v>
      </c>
      <c r="AH681" s="11" t="s">
        <v>2384</v>
      </c>
      <c r="AI681" s="11"/>
    </row>
    <row r="682" ht="12.5" spans="1:35">
      <c r="A682" s="177">
        <v>45222.3536224421</v>
      </c>
      <c r="B682" s="11" t="s">
        <v>2385</v>
      </c>
      <c r="C682" s="19">
        <v>71093916478</v>
      </c>
      <c r="D682" s="19">
        <v>708206629187642</v>
      </c>
      <c r="E682" s="18" t="s">
        <v>2386</v>
      </c>
      <c r="F682" s="11" t="s">
        <v>40</v>
      </c>
      <c r="G682" s="11" t="s">
        <v>54</v>
      </c>
      <c r="H682" s="24">
        <v>37567</v>
      </c>
      <c r="I682" s="277" t="s">
        <v>2339</v>
      </c>
      <c r="J682" s="11" t="s">
        <v>42</v>
      </c>
      <c r="K682" s="108" t="s">
        <v>427</v>
      </c>
      <c r="N682" s="11" t="s">
        <v>43</v>
      </c>
      <c r="O682" s="11" t="s">
        <v>96</v>
      </c>
      <c r="P682" s="11" t="s">
        <v>66</v>
      </c>
      <c r="Q682" s="11" t="s">
        <v>45</v>
      </c>
      <c r="R682" s="11" t="s">
        <v>45</v>
      </c>
      <c r="S682" s="11" t="s">
        <v>45</v>
      </c>
      <c r="T682" s="11" t="s">
        <v>44</v>
      </c>
      <c r="U682" s="11" t="s">
        <v>45</v>
      </c>
      <c r="V682" s="24">
        <v>45223</v>
      </c>
      <c r="W682" s="11" t="s">
        <v>46</v>
      </c>
      <c r="X682" s="11" t="s">
        <v>156</v>
      </c>
      <c r="Y682" s="11" t="s">
        <v>58</v>
      </c>
      <c r="Z682" s="11">
        <v>81996694014</v>
      </c>
      <c r="AA682" s="11" t="s">
        <v>1360</v>
      </c>
      <c r="AB682" s="11" t="s">
        <v>49</v>
      </c>
      <c r="AC682" s="11" t="s">
        <v>1319</v>
      </c>
      <c r="AD682" s="11" t="b">
        <v>1</v>
      </c>
      <c r="AE682" s="11" t="s">
        <v>137</v>
      </c>
      <c r="AF682" s="11"/>
      <c r="AG682" s="11"/>
      <c r="AH682" s="11"/>
      <c r="AI682" s="11"/>
    </row>
    <row r="683" ht="12.5" spans="1:35">
      <c r="A683" s="177">
        <v>45222.6579731829</v>
      </c>
      <c r="B683" s="11" t="s">
        <v>1401</v>
      </c>
      <c r="C683" s="19">
        <v>10966441427</v>
      </c>
      <c r="D683" s="19">
        <v>709604646515272</v>
      </c>
      <c r="E683" s="18" t="s">
        <v>2387</v>
      </c>
      <c r="F683" s="11" t="s">
        <v>40</v>
      </c>
      <c r="G683" s="11" t="s">
        <v>54</v>
      </c>
      <c r="H683" s="24">
        <v>36310</v>
      </c>
      <c r="I683" s="277" t="s">
        <v>1377</v>
      </c>
      <c r="J683" s="11" t="s">
        <v>42</v>
      </c>
      <c r="K683" s="108" t="s">
        <v>1190</v>
      </c>
      <c r="N683" s="11" t="s">
        <v>43</v>
      </c>
      <c r="O683" s="11" t="s">
        <v>44</v>
      </c>
      <c r="P683" s="11" t="s">
        <v>44</v>
      </c>
      <c r="Q683" s="11" t="s">
        <v>44</v>
      </c>
      <c r="R683" s="11" t="s">
        <v>45</v>
      </c>
      <c r="S683" s="11" t="s">
        <v>45</v>
      </c>
      <c r="T683" s="11" t="s">
        <v>44</v>
      </c>
      <c r="U683" s="11" t="s">
        <v>44</v>
      </c>
      <c r="W683" s="11" t="s">
        <v>46</v>
      </c>
      <c r="X683" s="11" t="s">
        <v>47</v>
      </c>
      <c r="Y683" s="11" t="s">
        <v>58</v>
      </c>
      <c r="Z683" s="11">
        <v>81998490815</v>
      </c>
      <c r="AA683" s="11" t="s">
        <v>105</v>
      </c>
      <c r="AB683" s="11"/>
      <c r="AC683" s="11"/>
      <c r="AD683" s="11" t="b">
        <v>0</v>
      </c>
      <c r="AF683" s="11"/>
      <c r="AG683" s="11"/>
      <c r="AH683" s="11"/>
      <c r="AI683" s="11"/>
    </row>
    <row r="684" ht="12.5" spans="1:35">
      <c r="A684" s="177">
        <v>45222.7404115278</v>
      </c>
      <c r="B684" s="11" t="s">
        <v>2388</v>
      </c>
      <c r="C684" s="19">
        <v>10499567455</v>
      </c>
      <c r="D684" s="19">
        <v>700003730687608</v>
      </c>
      <c r="E684" s="18" t="s">
        <v>2389</v>
      </c>
      <c r="F684" s="11" t="s">
        <v>40</v>
      </c>
      <c r="G684" s="11" t="s">
        <v>54</v>
      </c>
      <c r="H684" s="24">
        <v>34027</v>
      </c>
      <c r="I684" s="277" t="s">
        <v>2177</v>
      </c>
      <c r="J684" s="11" t="s">
        <v>42</v>
      </c>
      <c r="K684" s="108" t="s">
        <v>90</v>
      </c>
      <c r="N684" s="11" t="s">
        <v>43</v>
      </c>
      <c r="O684" s="11" t="s">
        <v>96</v>
      </c>
      <c r="P684" s="11" t="s">
        <v>66</v>
      </c>
      <c r="Q684" s="11" t="s">
        <v>44</v>
      </c>
      <c r="R684" s="11" t="s">
        <v>45</v>
      </c>
      <c r="S684" s="11" t="s">
        <v>45</v>
      </c>
      <c r="T684" s="11" t="s">
        <v>44</v>
      </c>
      <c r="U684" s="11" t="s">
        <v>45</v>
      </c>
      <c r="V684" s="24">
        <v>45223</v>
      </c>
      <c r="W684" s="11" t="s">
        <v>46</v>
      </c>
      <c r="X684" s="11" t="s">
        <v>47</v>
      </c>
      <c r="Y684" s="11" t="s">
        <v>58</v>
      </c>
      <c r="Z684" s="11">
        <v>81985445494</v>
      </c>
      <c r="AA684" s="11" t="s">
        <v>1360</v>
      </c>
      <c r="AB684" s="11" t="s">
        <v>49</v>
      </c>
      <c r="AC684" s="11" t="s">
        <v>106</v>
      </c>
      <c r="AD684" s="11" t="b">
        <v>1</v>
      </c>
      <c r="AE684" s="11" t="s">
        <v>137</v>
      </c>
      <c r="AF684" s="11" t="s">
        <v>2390</v>
      </c>
      <c r="AG684" s="11"/>
      <c r="AH684" s="11"/>
      <c r="AI684" s="11"/>
    </row>
    <row r="685" ht="12.5" spans="1:35">
      <c r="A685" s="177">
        <v>45223.4588722917</v>
      </c>
      <c r="B685" s="11" t="s">
        <v>2391</v>
      </c>
      <c r="C685" s="19">
        <v>11585400432</v>
      </c>
      <c r="D685" s="19">
        <v>898004515051239</v>
      </c>
      <c r="E685" s="18" t="s">
        <v>2392</v>
      </c>
      <c r="F685" s="11" t="s">
        <v>225</v>
      </c>
      <c r="G685" s="11" t="s">
        <v>54</v>
      </c>
      <c r="H685" s="24">
        <v>35248</v>
      </c>
      <c r="I685" s="277" t="s">
        <v>2393</v>
      </c>
      <c r="J685" s="11" t="s">
        <v>42</v>
      </c>
      <c r="K685" s="108" t="s">
        <v>2394</v>
      </c>
      <c r="N685" s="11" t="s">
        <v>43</v>
      </c>
      <c r="O685" s="11" t="s">
        <v>96</v>
      </c>
      <c r="P685" s="11" t="s">
        <v>56</v>
      </c>
      <c r="Q685" s="11" t="s">
        <v>44</v>
      </c>
      <c r="R685" s="11" t="s">
        <v>45</v>
      </c>
      <c r="S685" s="11" t="s">
        <v>45</v>
      </c>
      <c r="T685" s="11" t="s">
        <v>44</v>
      </c>
      <c r="U685" s="11" t="s">
        <v>45</v>
      </c>
      <c r="V685" s="24">
        <v>45224</v>
      </c>
      <c r="W685" s="11" t="s">
        <v>46</v>
      </c>
      <c r="X685" s="11" t="s">
        <v>67</v>
      </c>
      <c r="Y685" s="11" t="s">
        <v>68</v>
      </c>
      <c r="Z685" s="11">
        <v>81993402761</v>
      </c>
      <c r="AA685" s="11" t="s">
        <v>103</v>
      </c>
      <c r="AB685" s="11" t="s">
        <v>49</v>
      </c>
      <c r="AC685" s="11" t="s">
        <v>92</v>
      </c>
      <c r="AD685" s="11" t="b">
        <v>1</v>
      </c>
      <c r="AE685" s="11" t="s">
        <v>137</v>
      </c>
      <c r="AF685" s="11" t="s">
        <v>2395</v>
      </c>
      <c r="AG685" s="11"/>
      <c r="AH685" s="11"/>
      <c r="AI685" s="11"/>
    </row>
    <row r="686" ht="12.5" spans="1:35">
      <c r="A686" s="177">
        <v>45223.4015410764</v>
      </c>
      <c r="B686" s="11" t="s">
        <v>2385</v>
      </c>
      <c r="C686" s="19">
        <v>71093916478</v>
      </c>
      <c r="D686" s="19">
        <v>708206629187642</v>
      </c>
      <c r="E686" s="18" t="s">
        <v>2396</v>
      </c>
      <c r="F686" s="11" t="s">
        <v>40</v>
      </c>
      <c r="G686" s="11" t="s">
        <v>54</v>
      </c>
      <c r="H686" s="24">
        <v>37567</v>
      </c>
      <c r="I686" s="277" t="s">
        <v>2339</v>
      </c>
      <c r="J686" s="11" t="s">
        <v>42</v>
      </c>
      <c r="K686" s="108" t="s">
        <v>427</v>
      </c>
      <c r="N686" s="11" t="s">
        <v>95</v>
      </c>
      <c r="O686" s="11" t="s">
        <v>44</v>
      </c>
      <c r="P686" s="11" t="s">
        <v>44</v>
      </c>
      <c r="Q686" s="11" t="s">
        <v>44</v>
      </c>
      <c r="R686" s="11" t="s">
        <v>45</v>
      </c>
      <c r="S686" s="11" t="s">
        <v>83</v>
      </c>
      <c r="T686" s="11" t="s">
        <v>44</v>
      </c>
      <c r="U686" s="11" t="s">
        <v>45</v>
      </c>
      <c r="V686" s="24">
        <v>45225</v>
      </c>
      <c r="W686" s="11" t="s">
        <v>46</v>
      </c>
      <c r="X686" s="11" t="s">
        <v>97</v>
      </c>
      <c r="Y686" s="11" t="s">
        <v>97</v>
      </c>
      <c r="Z686" s="11">
        <v>81996694014</v>
      </c>
      <c r="AA686" s="11" t="s">
        <v>1267</v>
      </c>
      <c r="AB686" s="11" t="s">
        <v>49</v>
      </c>
      <c r="AC686" s="11" t="s">
        <v>50</v>
      </c>
      <c r="AD686" s="11" t="b">
        <v>1</v>
      </c>
      <c r="AE686" s="11" t="s">
        <v>137</v>
      </c>
      <c r="AF686" s="214" t="s">
        <v>2397</v>
      </c>
      <c r="AG686" s="11"/>
      <c r="AH686" s="11"/>
      <c r="AI686" s="11"/>
    </row>
    <row r="687" ht="12.5" spans="1:35">
      <c r="A687" s="177">
        <v>45223.4177792477</v>
      </c>
      <c r="B687" s="11" t="s">
        <v>2398</v>
      </c>
      <c r="C687" s="277" t="s">
        <v>2399</v>
      </c>
      <c r="D687" s="19">
        <v>700805405532786</v>
      </c>
      <c r="E687" s="18" t="s">
        <v>2400</v>
      </c>
      <c r="F687" s="11" t="s">
        <v>40</v>
      </c>
      <c r="G687" s="11" t="s">
        <v>54</v>
      </c>
      <c r="H687" s="24">
        <v>32240</v>
      </c>
      <c r="I687" s="19" t="s">
        <v>2401</v>
      </c>
      <c r="J687" s="11" t="s">
        <v>42</v>
      </c>
      <c r="K687" s="108" t="s">
        <v>2402</v>
      </c>
      <c r="N687" s="11" t="s">
        <v>43</v>
      </c>
      <c r="O687" s="11" t="s">
        <v>96</v>
      </c>
      <c r="P687" s="11" t="s">
        <v>56</v>
      </c>
      <c r="Q687" s="11" t="s">
        <v>44</v>
      </c>
      <c r="R687" s="11" t="s">
        <v>45</v>
      </c>
      <c r="S687" s="11" t="s">
        <v>44</v>
      </c>
      <c r="T687" s="11" t="s">
        <v>44</v>
      </c>
      <c r="U687" s="11" t="s">
        <v>45</v>
      </c>
      <c r="V687" s="24">
        <v>45224</v>
      </c>
      <c r="W687" s="11" t="s">
        <v>46</v>
      </c>
      <c r="X687" s="11" t="s">
        <v>47</v>
      </c>
      <c r="Y687" s="11" t="s">
        <v>58</v>
      </c>
      <c r="Z687" s="11">
        <v>81985526497</v>
      </c>
      <c r="AA687" s="11" t="s">
        <v>91</v>
      </c>
      <c r="AB687" s="11" t="s">
        <v>49</v>
      </c>
      <c r="AC687" s="11" t="s">
        <v>50</v>
      </c>
      <c r="AD687" s="11" t="b">
        <v>1</v>
      </c>
      <c r="AE687" s="11" t="s">
        <v>137</v>
      </c>
      <c r="AF687" s="11"/>
      <c r="AG687" s="11"/>
      <c r="AH687" s="11"/>
      <c r="AI687" s="11"/>
    </row>
    <row r="688" ht="12.5" spans="1:35">
      <c r="A688" s="177">
        <v>45223.4695118866</v>
      </c>
      <c r="B688" s="11" t="s">
        <v>2388</v>
      </c>
      <c r="C688" s="19">
        <v>10499567455</v>
      </c>
      <c r="D688" s="19">
        <v>700003730687608</v>
      </c>
      <c r="E688" s="18" t="s">
        <v>2403</v>
      </c>
      <c r="F688" s="11" t="s">
        <v>40</v>
      </c>
      <c r="G688" s="11" t="s">
        <v>54</v>
      </c>
      <c r="H688" s="24">
        <v>34027</v>
      </c>
      <c r="I688" s="277" t="s">
        <v>2177</v>
      </c>
      <c r="J688" s="11" t="s">
        <v>81</v>
      </c>
      <c r="K688" s="108"/>
      <c r="L688" s="11" t="s">
        <v>109</v>
      </c>
      <c r="N688" s="11" t="s">
        <v>95</v>
      </c>
      <c r="O688" s="11" t="s">
        <v>44</v>
      </c>
      <c r="P688" s="11" t="s">
        <v>44</v>
      </c>
      <c r="Q688" s="11" t="s">
        <v>44</v>
      </c>
      <c r="R688" s="11" t="s">
        <v>45</v>
      </c>
      <c r="S688" s="11" t="s">
        <v>44</v>
      </c>
      <c r="T688" s="11" t="s">
        <v>44</v>
      </c>
      <c r="U688" s="11" t="s">
        <v>44</v>
      </c>
      <c r="W688" s="11" t="s">
        <v>46</v>
      </c>
      <c r="X688" s="11" t="s">
        <v>97</v>
      </c>
      <c r="Y688" s="11" t="s">
        <v>97</v>
      </c>
      <c r="Z688" s="11">
        <v>81985445494</v>
      </c>
      <c r="AA688" s="11" t="s">
        <v>103</v>
      </c>
      <c r="AB688" s="11"/>
      <c r="AC688" s="11"/>
      <c r="AD688" s="11" t="b">
        <v>0</v>
      </c>
      <c r="AF688" s="11"/>
      <c r="AG688" s="11"/>
      <c r="AH688" s="11"/>
      <c r="AI688" s="11"/>
    </row>
    <row r="689" ht="12.5" spans="1:35">
      <c r="A689" s="177">
        <v>45223.5627184838</v>
      </c>
      <c r="B689" s="11" t="s">
        <v>2404</v>
      </c>
      <c r="C689" s="19">
        <v>70577554492</v>
      </c>
      <c r="D689" s="19">
        <v>707809636197614</v>
      </c>
      <c r="E689" s="18" t="s">
        <v>2405</v>
      </c>
      <c r="F689" s="11" t="s">
        <v>40</v>
      </c>
      <c r="G689" s="11" t="s">
        <v>54</v>
      </c>
      <c r="H689" s="24">
        <v>35494</v>
      </c>
      <c r="I689" s="277" t="s">
        <v>2406</v>
      </c>
      <c r="J689" s="11" t="s">
        <v>42</v>
      </c>
      <c r="K689" s="108" t="s">
        <v>2407</v>
      </c>
      <c r="N689" s="11" t="s">
        <v>43</v>
      </c>
      <c r="O689" s="11" t="s">
        <v>44</v>
      </c>
      <c r="P689" s="11" t="s">
        <v>44</v>
      </c>
      <c r="Q689" s="11" t="s">
        <v>44</v>
      </c>
      <c r="R689" s="11" t="s">
        <v>45</v>
      </c>
      <c r="S689" s="11" t="s">
        <v>83</v>
      </c>
      <c r="T689" s="11" t="s">
        <v>44</v>
      </c>
      <c r="U689" s="11" t="s">
        <v>44</v>
      </c>
      <c r="W689" s="11" t="s">
        <v>46</v>
      </c>
      <c r="X689" s="11" t="s">
        <v>47</v>
      </c>
      <c r="Y689" s="11" t="s">
        <v>58</v>
      </c>
      <c r="Z689" s="11">
        <v>81979134906</v>
      </c>
      <c r="AA689" s="11" t="s">
        <v>1267</v>
      </c>
      <c r="AB689" s="11"/>
      <c r="AC689" s="11"/>
      <c r="AD689" s="11" t="b">
        <v>0</v>
      </c>
      <c r="AF689" s="11"/>
      <c r="AG689" s="11"/>
      <c r="AH689" s="11"/>
      <c r="AI689" s="11"/>
    </row>
    <row r="690" ht="12.5" spans="1:35">
      <c r="A690" s="177">
        <v>45224.3552977778</v>
      </c>
      <c r="B690" s="11" t="s">
        <v>2408</v>
      </c>
      <c r="C690" s="19">
        <v>70584483457</v>
      </c>
      <c r="D690" s="19">
        <v>703400956786400</v>
      </c>
      <c r="E690" s="18" t="s">
        <v>2409</v>
      </c>
      <c r="F690" s="11" t="s">
        <v>40</v>
      </c>
      <c r="G690" s="11" t="s">
        <v>54</v>
      </c>
      <c r="H690" s="24">
        <v>36801</v>
      </c>
      <c r="I690" s="277" t="s">
        <v>2410</v>
      </c>
      <c r="J690" s="11" t="s">
        <v>42</v>
      </c>
      <c r="K690" s="108" t="s">
        <v>202</v>
      </c>
      <c r="N690" s="11" t="s">
        <v>43</v>
      </c>
      <c r="O690" s="11" t="s">
        <v>44</v>
      </c>
      <c r="P690" s="11" t="s">
        <v>44</v>
      </c>
      <c r="Q690" s="11" t="s">
        <v>45</v>
      </c>
      <c r="R690" s="11" t="s">
        <v>45</v>
      </c>
      <c r="S690" s="11" t="s">
        <v>83</v>
      </c>
      <c r="T690" s="11" t="s">
        <v>44</v>
      </c>
      <c r="U690" s="11" t="s">
        <v>45</v>
      </c>
      <c r="V690" s="24">
        <v>45227</v>
      </c>
      <c r="W690" s="11" t="s">
        <v>46</v>
      </c>
      <c r="X690" s="11" t="s">
        <v>203</v>
      </c>
      <c r="Y690" s="11" t="s">
        <v>58</v>
      </c>
      <c r="Z690" s="11">
        <v>81983151406</v>
      </c>
      <c r="AA690" s="11" t="s">
        <v>115</v>
      </c>
      <c r="AB690" s="11" t="s">
        <v>98</v>
      </c>
      <c r="AC690" s="11"/>
      <c r="AD690" s="11" t="b">
        <v>0</v>
      </c>
      <c r="AF690" s="11" t="s">
        <v>2411</v>
      </c>
      <c r="AG690" s="11" t="s">
        <v>2412</v>
      </c>
      <c r="AH690" s="214" t="s">
        <v>2413</v>
      </c>
      <c r="AI690" s="11"/>
    </row>
    <row r="691" ht="12.5" spans="1:35">
      <c r="A691" s="177">
        <v>45224.375924537</v>
      </c>
      <c r="B691" s="11" t="s">
        <v>2398</v>
      </c>
      <c r="C691" s="277" t="s">
        <v>2399</v>
      </c>
      <c r="D691" s="19">
        <v>700805405532786</v>
      </c>
      <c r="E691" s="18" t="s">
        <v>2414</v>
      </c>
      <c r="F691" s="11" t="s">
        <v>40</v>
      </c>
      <c r="G691" s="11" t="s">
        <v>54</v>
      </c>
      <c r="H691" s="24">
        <v>32240</v>
      </c>
      <c r="I691" s="277" t="s">
        <v>2415</v>
      </c>
      <c r="J691" s="11" t="s">
        <v>42</v>
      </c>
      <c r="K691" s="108" t="s">
        <v>2402</v>
      </c>
      <c r="N691" s="11" t="s">
        <v>95</v>
      </c>
      <c r="O691" s="11" t="s">
        <v>44</v>
      </c>
      <c r="P691" s="11" t="s">
        <v>44</v>
      </c>
      <c r="Q691" s="11" t="s">
        <v>44</v>
      </c>
      <c r="R691" s="11" t="s">
        <v>45</v>
      </c>
      <c r="S691" s="11" t="s">
        <v>45</v>
      </c>
      <c r="T691" s="11" t="s">
        <v>44</v>
      </c>
      <c r="U691" s="11" t="s">
        <v>44</v>
      </c>
      <c r="W691" s="11" t="s">
        <v>46</v>
      </c>
      <c r="X691" s="11" t="s">
        <v>97</v>
      </c>
      <c r="Y691" s="11" t="s">
        <v>97</v>
      </c>
      <c r="Z691" s="11">
        <v>81985526497</v>
      </c>
      <c r="AA691" s="11" t="s">
        <v>115</v>
      </c>
      <c r="AB691" s="11"/>
      <c r="AC691" s="11"/>
      <c r="AD691" s="11" t="b">
        <v>0</v>
      </c>
      <c r="AF691" s="11"/>
      <c r="AG691" s="11"/>
      <c r="AH691" s="11"/>
      <c r="AI691" s="11"/>
    </row>
    <row r="692" ht="12.5" spans="1:35">
      <c r="A692" s="177">
        <v>45224.3764009375</v>
      </c>
      <c r="B692" s="11" t="s">
        <v>2391</v>
      </c>
      <c r="C692" s="19">
        <v>11585400432</v>
      </c>
      <c r="D692" s="19">
        <v>898004515051239</v>
      </c>
      <c r="E692" s="18" t="s">
        <v>2416</v>
      </c>
      <c r="F692" s="11" t="s">
        <v>225</v>
      </c>
      <c r="G692" s="11" t="s">
        <v>54</v>
      </c>
      <c r="H692" s="24">
        <v>35248</v>
      </c>
      <c r="I692" s="277" t="s">
        <v>1995</v>
      </c>
      <c r="J692" s="11" t="s">
        <v>42</v>
      </c>
      <c r="K692" s="108" t="s">
        <v>282</v>
      </c>
      <c r="N692" s="11" t="s">
        <v>95</v>
      </c>
      <c r="O692" s="11" t="s">
        <v>127</v>
      </c>
      <c r="P692" s="11" t="s">
        <v>44</v>
      </c>
      <c r="Q692" s="11" t="s">
        <v>44</v>
      </c>
      <c r="R692" s="11" t="s">
        <v>45</v>
      </c>
      <c r="S692" s="11" t="s">
        <v>45</v>
      </c>
      <c r="T692" s="11" t="s">
        <v>44</v>
      </c>
      <c r="U692" s="11" t="s">
        <v>44</v>
      </c>
      <c r="W692" s="11" t="s">
        <v>57</v>
      </c>
      <c r="X692" s="11" t="s">
        <v>97</v>
      </c>
      <c r="Y692" s="11" t="s">
        <v>97</v>
      </c>
      <c r="Z692" s="11">
        <v>81993402761</v>
      </c>
      <c r="AA692" s="11" t="s">
        <v>91</v>
      </c>
      <c r="AB692" s="11"/>
      <c r="AC692" s="11"/>
      <c r="AD692" s="11" t="b">
        <v>0</v>
      </c>
      <c r="AF692" s="11"/>
      <c r="AG692" s="11"/>
      <c r="AH692" s="11"/>
      <c r="AI692" s="11"/>
    </row>
    <row r="693" ht="12.5" spans="1:35">
      <c r="A693" s="177">
        <v>45224.6653337037</v>
      </c>
      <c r="B693" s="11" t="s">
        <v>2417</v>
      </c>
      <c r="C693" s="19">
        <v>70840198477</v>
      </c>
      <c r="D693" s="19">
        <v>707602265290390</v>
      </c>
      <c r="E693" s="18" t="s">
        <v>2418</v>
      </c>
      <c r="F693" s="11" t="s">
        <v>40</v>
      </c>
      <c r="G693" s="11" t="s">
        <v>54</v>
      </c>
      <c r="H693" s="24">
        <v>36304</v>
      </c>
      <c r="I693" s="277" t="s">
        <v>1771</v>
      </c>
      <c r="J693" s="11" t="s">
        <v>42</v>
      </c>
      <c r="K693" s="108" t="s">
        <v>155</v>
      </c>
      <c r="N693" s="11" t="s">
        <v>43</v>
      </c>
      <c r="O693" s="11" t="s">
        <v>96</v>
      </c>
      <c r="P693" s="11" t="s">
        <v>56</v>
      </c>
      <c r="Q693" s="11" t="s">
        <v>44</v>
      </c>
      <c r="R693" s="11" t="s">
        <v>45</v>
      </c>
      <c r="S693" s="11" t="s">
        <v>45</v>
      </c>
      <c r="T693" s="11" t="s">
        <v>44</v>
      </c>
      <c r="U693" s="11" t="s">
        <v>45</v>
      </c>
      <c r="V693" s="24">
        <v>45225</v>
      </c>
      <c r="W693" s="11" t="s">
        <v>46</v>
      </c>
      <c r="X693" s="11" t="s">
        <v>47</v>
      </c>
      <c r="Y693" s="11" t="s">
        <v>58</v>
      </c>
      <c r="Z693" s="11">
        <v>81991602979</v>
      </c>
      <c r="AA693" s="11" t="s">
        <v>91</v>
      </c>
      <c r="AB693" s="11" t="s">
        <v>98</v>
      </c>
      <c r="AC693" s="11"/>
      <c r="AD693" s="11" t="b">
        <v>0</v>
      </c>
      <c r="AF693" s="11" t="s">
        <v>2419</v>
      </c>
      <c r="AG693" s="11" t="s">
        <v>2420</v>
      </c>
      <c r="AH693" s="11"/>
      <c r="AI693" s="11"/>
    </row>
    <row r="694" ht="12.5" spans="1:35">
      <c r="A694" s="177">
        <v>45225.3525629282</v>
      </c>
      <c r="B694" s="11" t="s">
        <v>2385</v>
      </c>
      <c r="C694" s="19">
        <v>71093916478</v>
      </c>
      <c r="D694" s="19">
        <v>708206629187642</v>
      </c>
      <c r="E694" s="18" t="s">
        <v>2421</v>
      </c>
      <c r="F694" s="11" t="s">
        <v>40</v>
      </c>
      <c r="G694" s="11" t="s">
        <v>54</v>
      </c>
      <c r="H694" s="24">
        <v>37567</v>
      </c>
      <c r="I694" s="277" t="s">
        <v>2339</v>
      </c>
      <c r="J694" s="11" t="s">
        <v>42</v>
      </c>
      <c r="K694" s="108" t="s">
        <v>427</v>
      </c>
      <c r="N694" s="11" t="s">
        <v>95</v>
      </c>
      <c r="O694" s="11" t="s">
        <v>44</v>
      </c>
      <c r="P694" s="11" t="s">
        <v>44</v>
      </c>
      <c r="Q694" s="11" t="s">
        <v>44</v>
      </c>
      <c r="R694" s="11" t="s">
        <v>45</v>
      </c>
      <c r="S694" s="11" t="s">
        <v>45</v>
      </c>
      <c r="T694" s="11" t="s">
        <v>44</v>
      </c>
      <c r="U694" s="11" t="s">
        <v>45</v>
      </c>
      <c r="V694" s="219">
        <v>45227</v>
      </c>
      <c r="W694" s="11" t="s">
        <v>46</v>
      </c>
      <c r="X694" s="11" t="s">
        <v>97</v>
      </c>
      <c r="Y694" s="11" t="s">
        <v>97</v>
      </c>
      <c r="Z694" s="11">
        <v>81996694014</v>
      </c>
      <c r="AA694" s="11" t="s">
        <v>115</v>
      </c>
      <c r="AB694" s="11" t="s">
        <v>49</v>
      </c>
      <c r="AC694" s="11" t="s">
        <v>92</v>
      </c>
      <c r="AD694" s="11" t="b">
        <v>1</v>
      </c>
      <c r="AE694" s="11" t="s">
        <v>137</v>
      </c>
      <c r="AF694" s="11" t="s">
        <v>2422</v>
      </c>
      <c r="AG694" s="11" t="s">
        <v>2423</v>
      </c>
      <c r="AH694" s="40" t="s">
        <v>2424</v>
      </c>
      <c r="AI694" s="11"/>
    </row>
    <row r="695" ht="12.5" spans="1:35">
      <c r="A695" s="177">
        <v>45225.4413953009</v>
      </c>
      <c r="B695" s="11" t="s">
        <v>2216</v>
      </c>
      <c r="C695" s="19">
        <v>70161958486</v>
      </c>
      <c r="D695" s="19">
        <v>708602561840888</v>
      </c>
      <c r="E695" s="18" t="s">
        <v>2425</v>
      </c>
      <c r="F695" s="11" t="s">
        <v>40</v>
      </c>
      <c r="G695" s="11" t="s">
        <v>54</v>
      </c>
      <c r="H695" s="24">
        <v>34882</v>
      </c>
      <c r="I695" s="277" t="s">
        <v>1364</v>
      </c>
      <c r="J695" s="11" t="s">
        <v>42</v>
      </c>
      <c r="K695" s="108" t="s">
        <v>74</v>
      </c>
      <c r="N695" s="11" t="s">
        <v>43</v>
      </c>
      <c r="O695" s="11" t="s">
        <v>44</v>
      </c>
      <c r="P695" s="11" t="s">
        <v>44</v>
      </c>
      <c r="Q695" s="11" t="s">
        <v>44</v>
      </c>
      <c r="R695" s="11" t="s">
        <v>45</v>
      </c>
      <c r="S695" s="11" t="s">
        <v>45</v>
      </c>
      <c r="T695" s="11" t="s">
        <v>44</v>
      </c>
      <c r="U695" s="11" t="s">
        <v>45</v>
      </c>
      <c r="V695" s="24">
        <v>45225</v>
      </c>
      <c r="W695" s="11" t="s">
        <v>46</v>
      </c>
      <c r="X695" s="11" t="s">
        <v>47</v>
      </c>
      <c r="Y695" s="11" t="s">
        <v>58</v>
      </c>
      <c r="Z695" s="11">
        <v>81996395460</v>
      </c>
      <c r="AA695" s="11" t="s">
        <v>115</v>
      </c>
      <c r="AB695" s="11" t="s">
        <v>98</v>
      </c>
      <c r="AC695" s="11"/>
      <c r="AD695" s="11" t="b">
        <v>0</v>
      </c>
      <c r="AF695" s="11" t="s">
        <v>2426</v>
      </c>
      <c r="AG695" s="11"/>
      <c r="AH695" s="11" t="s">
        <v>2427</v>
      </c>
      <c r="AI695" s="11"/>
    </row>
    <row r="696" ht="12.5" spans="1:35">
      <c r="A696" s="177">
        <v>45225.5907574768</v>
      </c>
      <c r="B696" s="11" t="s">
        <v>2428</v>
      </c>
      <c r="C696" s="19">
        <v>10039731405</v>
      </c>
      <c r="D696" s="19">
        <v>705000630829352</v>
      </c>
      <c r="E696" s="18" t="s">
        <v>2429</v>
      </c>
      <c r="F696" s="11" t="s">
        <v>225</v>
      </c>
      <c r="G696" s="11" t="s">
        <v>41</v>
      </c>
      <c r="H696" s="24">
        <v>34061</v>
      </c>
      <c r="I696" s="19" t="s">
        <v>110</v>
      </c>
      <c r="J696" s="11" t="s">
        <v>438</v>
      </c>
      <c r="K696" s="108"/>
      <c r="M696" s="11" t="s">
        <v>2430</v>
      </c>
      <c r="N696" s="11" t="s">
        <v>43</v>
      </c>
      <c r="O696" s="11" t="s">
        <v>44</v>
      </c>
      <c r="P696" s="11" t="s">
        <v>44</v>
      </c>
      <c r="Q696" s="11" t="s">
        <v>44</v>
      </c>
      <c r="R696" s="11" t="s">
        <v>45</v>
      </c>
      <c r="S696" s="11" t="s">
        <v>83</v>
      </c>
      <c r="T696" s="11" t="s">
        <v>44</v>
      </c>
      <c r="U696" s="11" t="s">
        <v>45</v>
      </c>
      <c r="V696" s="24">
        <v>45226</v>
      </c>
      <c r="W696" s="11" t="s">
        <v>46</v>
      </c>
      <c r="X696" s="11" t="s">
        <v>47</v>
      </c>
      <c r="Y696" s="11" t="s">
        <v>58</v>
      </c>
      <c r="Z696" s="11">
        <v>83996529934</v>
      </c>
      <c r="AA696" s="11" t="s">
        <v>91</v>
      </c>
      <c r="AB696" s="11" t="s">
        <v>98</v>
      </c>
      <c r="AC696" s="11"/>
      <c r="AD696" s="11" t="b">
        <v>0</v>
      </c>
      <c r="AF696" s="11" t="s">
        <v>2431</v>
      </c>
      <c r="AG696" s="11" t="s">
        <v>2432</v>
      </c>
      <c r="AH696" s="11" t="s">
        <v>2433</v>
      </c>
      <c r="AI696" s="11"/>
    </row>
    <row r="697" ht="12.5" spans="1:35">
      <c r="A697" s="177">
        <v>45226.3649897685</v>
      </c>
      <c r="B697" s="11" t="s">
        <v>2216</v>
      </c>
      <c r="C697" s="19">
        <v>70161958486</v>
      </c>
      <c r="D697" s="19">
        <v>708602561840888</v>
      </c>
      <c r="E697" s="18" t="s">
        <v>2434</v>
      </c>
      <c r="F697" s="11" t="s">
        <v>40</v>
      </c>
      <c r="G697" s="11" t="s">
        <v>41</v>
      </c>
      <c r="H697" s="24">
        <v>34882</v>
      </c>
      <c r="I697" s="277" t="s">
        <v>2435</v>
      </c>
      <c r="J697" s="11" t="s">
        <v>81</v>
      </c>
      <c r="K697" s="108"/>
      <c r="L697" s="11" t="s">
        <v>520</v>
      </c>
      <c r="N697" s="11" t="s">
        <v>43</v>
      </c>
      <c r="O697" s="11" t="s">
        <v>96</v>
      </c>
      <c r="P697" s="11" t="s">
        <v>66</v>
      </c>
      <c r="Q697" s="11" t="s">
        <v>44</v>
      </c>
      <c r="R697" s="11" t="s">
        <v>45</v>
      </c>
      <c r="S697" s="11" t="s">
        <v>45</v>
      </c>
      <c r="T697" s="11" t="s">
        <v>44</v>
      </c>
      <c r="U697" s="11" t="s">
        <v>45</v>
      </c>
      <c r="V697" s="24">
        <v>45226</v>
      </c>
      <c r="W697" s="11" t="s">
        <v>46</v>
      </c>
      <c r="X697" s="11" t="s">
        <v>203</v>
      </c>
      <c r="Y697" s="11" t="s">
        <v>58</v>
      </c>
      <c r="Z697" s="11">
        <v>81996395460</v>
      </c>
      <c r="AA697" s="11" t="s">
        <v>1360</v>
      </c>
      <c r="AB697" s="11" t="s">
        <v>98</v>
      </c>
      <c r="AC697" s="11"/>
      <c r="AD697" s="11" t="b">
        <v>0</v>
      </c>
      <c r="AF697" s="11" t="s">
        <v>2436</v>
      </c>
      <c r="AG697" s="11" t="s">
        <v>2437</v>
      </c>
      <c r="AH697" s="11" t="s">
        <v>2438</v>
      </c>
      <c r="AI697" s="11"/>
    </row>
    <row r="698" ht="12.5" spans="1:35">
      <c r="A698" s="177">
        <v>45226.4925828472</v>
      </c>
      <c r="B698" s="11" t="s">
        <v>2404</v>
      </c>
      <c r="C698" s="19">
        <v>70577554492</v>
      </c>
      <c r="D698" s="19">
        <v>707809636197614</v>
      </c>
      <c r="E698" s="18" t="s">
        <v>2439</v>
      </c>
      <c r="F698" s="11" t="s">
        <v>40</v>
      </c>
      <c r="G698" s="11" t="s">
        <v>54</v>
      </c>
      <c r="H698" s="24">
        <v>35494</v>
      </c>
      <c r="I698" s="277" t="s">
        <v>2406</v>
      </c>
      <c r="J698" s="11" t="s">
        <v>42</v>
      </c>
      <c r="K698" s="108" t="s">
        <v>427</v>
      </c>
      <c r="N698" s="11" t="s">
        <v>43</v>
      </c>
      <c r="O698" s="11" t="s">
        <v>96</v>
      </c>
      <c r="P698" s="11" t="s">
        <v>56</v>
      </c>
      <c r="Q698" s="11" t="s">
        <v>44</v>
      </c>
      <c r="R698" s="11" t="s">
        <v>45</v>
      </c>
      <c r="S698" s="11" t="s">
        <v>83</v>
      </c>
      <c r="T698" s="11" t="s">
        <v>44</v>
      </c>
      <c r="U698" s="11" t="s">
        <v>45</v>
      </c>
      <c r="V698" s="24">
        <v>45227</v>
      </c>
      <c r="W698" s="11" t="s">
        <v>46</v>
      </c>
      <c r="X698" s="11" t="s">
        <v>47</v>
      </c>
      <c r="Y698" s="11" t="s">
        <v>58</v>
      </c>
      <c r="Z698" s="11">
        <v>81979134906</v>
      </c>
      <c r="AA698" s="11" t="s">
        <v>103</v>
      </c>
      <c r="AB698" s="11" t="s">
        <v>98</v>
      </c>
      <c r="AC698" s="11"/>
      <c r="AD698" s="11" t="b">
        <v>0</v>
      </c>
      <c r="AF698" s="11" t="s">
        <v>2440</v>
      </c>
      <c r="AG698" s="11" t="s">
        <v>2441</v>
      </c>
      <c r="AH698" s="75" t="s">
        <v>2442</v>
      </c>
      <c r="AI698" s="11"/>
    </row>
    <row r="699" ht="12.5" spans="1:35">
      <c r="A699" s="177">
        <v>45226.7099644907</v>
      </c>
      <c r="B699" s="11" t="s">
        <v>1962</v>
      </c>
      <c r="C699" s="277" t="s">
        <v>1963</v>
      </c>
      <c r="D699" s="19">
        <v>700805993599089</v>
      </c>
      <c r="E699" s="18" t="s">
        <v>2443</v>
      </c>
      <c r="F699" s="11" t="s">
        <v>40</v>
      </c>
      <c r="G699" s="11" t="s">
        <v>88</v>
      </c>
      <c r="H699" s="24">
        <v>29759</v>
      </c>
      <c r="I699" s="277" t="s">
        <v>236</v>
      </c>
      <c r="J699" s="11" t="s">
        <v>42</v>
      </c>
      <c r="K699" s="108" t="s">
        <v>155</v>
      </c>
      <c r="N699" s="11" t="s">
        <v>43</v>
      </c>
      <c r="O699" s="11" t="s">
        <v>658</v>
      </c>
      <c r="P699" s="11" t="s">
        <v>44</v>
      </c>
      <c r="Q699" s="11" t="s">
        <v>45</v>
      </c>
      <c r="R699" s="11" t="s">
        <v>45</v>
      </c>
      <c r="S699" s="11" t="s">
        <v>45</v>
      </c>
      <c r="T699" s="11" t="s">
        <v>44</v>
      </c>
      <c r="U699" s="11" t="s">
        <v>45</v>
      </c>
      <c r="V699" s="24">
        <v>45227</v>
      </c>
      <c r="W699" s="11" t="s">
        <v>46</v>
      </c>
      <c r="X699" s="11" t="s">
        <v>47</v>
      </c>
      <c r="Y699" s="11" t="s">
        <v>58</v>
      </c>
      <c r="Z699" s="11">
        <v>81986675694</v>
      </c>
      <c r="AA699" s="11" t="s">
        <v>103</v>
      </c>
      <c r="AB699" s="11" t="s">
        <v>98</v>
      </c>
      <c r="AC699" s="11"/>
      <c r="AD699" s="11" t="b">
        <v>0</v>
      </c>
      <c r="AF699" s="11" t="s">
        <v>2444</v>
      </c>
      <c r="AG699" s="11" t="s">
        <v>2445</v>
      </c>
      <c r="AH699" s="11" t="s">
        <v>2446</v>
      </c>
      <c r="AI699" s="11"/>
    </row>
    <row r="700" ht="12.5" spans="1:35">
      <c r="A700" s="177">
        <v>45226.817981412</v>
      </c>
      <c r="B700" s="11" t="s">
        <v>2262</v>
      </c>
      <c r="C700" s="19">
        <v>70770332447</v>
      </c>
      <c r="D700" s="19">
        <v>705005617278156</v>
      </c>
      <c r="E700" s="18" t="s">
        <v>2447</v>
      </c>
      <c r="F700" s="11" t="s">
        <v>225</v>
      </c>
      <c r="G700" s="11" t="s">
        <v>54</v>
      </c>
      <c r="H700" s="24">
        <v>37691</v>
      </c>
      <c r="I700" s="277" t="s">
        <v>2264</v>
      </c>
      <c r="J700" s="11" t="s">
        <v>438</v>
      </c>
      <c r="K700" s="108"/>
      <c r="M700" s="11" t="s">
        <v>439</v>
      </c>
      <c r="N700" s="11" t="s">
        <v>43</v>
      </c>
      <c r="O700" s="11" t="s">
        <v>44</v>
      </c>
      <c r="P700" s="11" t="s">
        <v>56</v>
      </c>
      <c r="Q700" s="11" t="s">
        <v>45</v>
      </c>
      <c r="R700" s="11" t="s">
        <v>45</v>
      </c>
      <c r="S700" s="11" t="s">
        <v>45</v>
      </c>
      <c r="T700" s="11" t="s">
        <v>44</v>
      </c>
      <c r="U700" s="11" t="s">
        <v>45</v>
      </c>
      <c r="V700" s="24">
        <v>45227</v>
      </c>
      <c r="W700" s="11" t="s">
        <v>57</v>
      </c>
      <c r="X700" s="11" t="s">
        <v>203</v>
      </c>
      <c r="Y700" s="11" t="s">
        <v>58</v>
      </c>
      <c r="Z700" s="11">
        <v>81998756609</v>
      </c>
      <c r="AA700" s="11" t="s">
        <v>1360</v>
      </c>
      <c r="AB700" s="11" t="s">
        <v>98</v>
      </c>
      <c r="AC700" s="11"/>
      <c r="AD700" s="11" t="b">
        <v>0</v>
      </c>
      <c r="AF700" s="11" t="s">
        <v>2448</v>
      </c>
      <c r="AG700" s="11" t="s">
        <v>2449</v>
      </c>
      <c r="AH700" s="75" t="s">
        <v>2450</v>
      </c>
      <c r="AI700" s="11"/>
    </row>
    <row r="701" ht="12.5" spans="1:35">
      <c r="A701" s="177">
        <v>45227.3614283449</v>
      </c>
      <c r="B701" s="11" t="s">
        <v>2451</v>
      </c>
      <c r="C701" s="277" t="s">
        <v>2452</v>
      </c>
      <c r="D701" s="19">
        <v>700406468974640</v>
      </c>
      <c r="E701" s="18" t="s">
        <v>2453</v>
      </c>
      <c r="F701" s="11" t="s">
        <v>225</v>
      </c>
      <c r="G701" s="11" t="s">
        <v>54</v>
      </c>
      <c r="H701" s="24">
        <v>30945</v>
      </c>
      <c r="I701" s="277" t="s">
        <v>2454</v>
      </c>
      <c r="J701" s="11" t="s">
        <v>42</v>
      </c>
      <c r="K701" s="108" t="s">
        <v>202</v>
      </c>
      <c r="N701" s="11" t="s">
        <v>43</v>
      </c>
      <c r="O701" s="11" t="s">
        <v>96</v>
      </c>
      <c r="P701" s="11" t="s">
        <v>66</v>
      </c>
      <c r="Q701" s="11" t="s">
        <v>44</v>
      </c>
      <c r="R701" s="11" t="s">
        <v>45</v>
      </c>
      <c r="S701" s="11" t="s">
        <v>45</v>
      </c>
      <c r="T701" s="11" t="s">
        <v>44</v>
      </c>
      <c r="U701" s="11" t="s">
        <v>45</v>
      </c>
      <c r="V701" s="24">
        <v>45229</v>
      </c>
      <c r="W701" s="11" t="s">
        <v>46</v>
      </c>
      <c r="X701" s="11" t="s">
        <v>303</v>
      </c>
      <c r="Y701" s="11" t="s">
        <v>68</v>
      </c>
      <c r="Z701" s="11">
        <v>81983218317</v>
      </c>
      <c r="AA701" s="11" t="s">
        <v>115</v>
      </c>
      <c r="AB701" s="11" t="s">
        <v>49</v>
      </c>
      <c r="AC701" s="11" t="s">
        <v>50</v>
      </c>
      <c r="AD701" s="11" t="b">
        <v>0</v>
      </c>
      <c r="AF701" s="11" t="s">
        <v>2455</v>
      </c>
      <c r="AG701" s="11" t="s">
        <v>2456</v>
      </c>
      <c r="AH701" s="40" t="s">
        <v>2457</v>
      </c>
      <c r="AI701" s="11"/>
    </row>
    <row r="702" ht="14" spans="1:35">
      <c r="A702" s="177">
        <v>45228.7676556019</v>
      </c>
      <c r="B702" s="11" t="s">
        <v>2458</v>
      </c>
      <c r="C702" s="19">
        <v>14024568400</v>
      </c>
      <c r="D702" s="19">
        <v>700005003646709</v>
      </c>
      <c r="E702" s="18" t="s">
        <v>2459</v>
      </c>
      <c r="F702" s="11" t="s">
        <v>40</v>
      </c>
      <c r="G702" s="11" t="s">
        <v>54</v>
      </c>
      <c r="H702" s="24" t="s">
        <v>2460</v>
      </c>
      <c r="I702" s="277" t="s">
        <v>2461</v>
      </c>
      <c r="J702" s="11" t="s">
        <v>42</v>
      </c>
      <c r="K702" s="108" t="s">
        <v>202</v>
      </c>
      <c r="N702" s="11" t="s">
        <v>43</v>
      </c>
      <c r="O702" s="11" t="s">
        <v>44</v>
      </c>
      <c r="P702" s="11" t="s">
        <v>44</v>
      </c>
      <c r="Q702" s="11" t="s">
        <v>44</v>
      </c>
      <c r="R702" s="11" t="s">
        <v>45</v>
      </c>
      <c r="S702" s="11" t="s">
        <v>83</v>
      </c>
      <c r="T702" s="11" t="s">
        <v>44</v>
      </c>
      <c r="U702" s="11" t="s">
        <v>45</v>
      </c>
      <c r="V702" s="24">
        <v>45230</v>
      </c>
      <c r="W702" s="11" t="s">
        <v>46</v>
      </c>
      <c r="X702" s="242" t="s">
        <v>303</v>
      </c>
      <c r="Y702" s="11" t="s">
        <v>58</v>
      </c>
      <c r="Z702" s="11">
        <v>81985585545</v>
      </c>
      <c r="AA702" s="11" t="s">
        <v>91</v>
      </c>
      <c r="AB702" s="11" t="s">
        <v>98</v>
      </c>
      <c r="AC702" s="11"/>
      <c r="AD702" s="11" t="b">
        <v>0</v>
      </c>
      <c r="AF702" s="11" t="s">
        <v>2462</v>
      </c>
      <c r="AG702" s="11" t="s">
        <v>2463</v>
      </c>
      <c r="AH702" s="11"/>
      <c r="AI702" s="11"/>
    </row>
    <row r="703" ht="12.5" spans="1:35">
      <c r="A703" s="177">
        <v>45228.8212214468</v>
      </c>
      <c r="B703" s="11" t="s">
        <v>2464</v>
      </c>
      <c r="C703" s="19">
        <v>10903890437</v>
      </c>
      <c r="D703" s="19">
        <v>705205410973570</v>
      </c>
      <c r="E703" s="18" t="s">
        <v>2465</v>
      </c>
      <c r="F703" s="11" t="s">
        <v>225</v>
      </c>
      <c r="G703" s="11" t="s">
        <v>54</v>
      </c>
      <c r="H703" s="24">
        <v>35545</v>
      </c>
      <c r="I703" s="19" t="s">
        <v>136</v>
      </c>
      <c r="J703" s="11" t="s">
        <v>42</v>
      </c>
      <c r="K703" s="108" t="s">
        <v>2340</v>
      </c>
      <c r="N703" s="11" t="s">
        <v>43</v>
      </c>
      <c r="O703" s="11" t="s">
        <v>96</v>
      </c>
      <c r="P703" s="11" t="s">
        <v>66</v>
      </c>
      <c r="Q703" s="11" t="s">
        <v>44</v>
      </c>
      <c r="R703" s="11" t="s">
        <v>45</v>
      </c>
      <c r="S703" s="11" t="s">
        <v>83</v>
      </c>
      <c r="T703" s="11" t="s">
        <v>44</v>
      </c>
      <c r="U703" s="11" t="s">
        <v>45</v>
      </c>
      <c r="V703" s="24">
        <v>45229</v>
      </c>
      <c r="W703" s="11" t="s">
        <v>46</v>
      </c>
      <c r="X703" s="11" t="s">
        <v>303</v>
      </c>
      <c r="Y703" s="11" t="s">
        <v>58</v>
      </c>
      <c r="Z703" s="11">
        <v>81983560834</v>
      </c>
      <c r="AA703" s="11" t="s">
        <v>91</v>
      </c>
      <c r="AB703" s="11" t="s">
        <v>49</v>
      </c>
      <c r="AC703" s="11" t="s">
        <v>50</v>
      </c>
      <c r="AD703" s="11" t="b">
        <v>1</v>
      </c>
      <c r="AE703" s="11" t="s">
        <v>137</v>
      </c>
      <c r="AF703" s="11" t="s">
        <v>2466</v>
      </c>
      <c r="AG703" s="11" t="s">
        <v>2467</v>
      </c>
      <c r="AH703" s="40" t="s">
        <v>2468</v>
      </c>
      <c r="AI703" s="11"/>
    </row>
    <row r="704" ht="12.5" spans="1:35">
      <c r="A704" s="177">
        <v>45229.4949256944</v>
      </c>
      <c r="B704" s="11" t="s">
        <v>2469</v>
      </c>
      <c r="C704" s="277" t="s">
        <v>2470</v>
      </c>
      <c r="D704" s="19">
        <v>706206023630466</v>
      </c>
      <c r="E704" s="18" t="s">
        <v>2471</v>
      </c>
      <c r="F704" s="11" t="s">
        <v>40</v>
      </c>
      <c r="G704" s="11" t="s">
        <v>54</v>
      </c>
      <c r="H704" s="24">
        <v>34842</v>
      </c>
      <c r="I704" s="277" t="s">
        <v>2472</v>
      </c>
      <c r="J704" s="11" t="s">
        <v>42</v>
      </c>
      <c r="K704" s="108" t="s">
        <v>455</v>
      </c>
      <c r="N704" s="11" t="s">
        <v>43</v>
      </c>
      <c r="O704" s="11" t="s">
        <v>96</v>
      </c>
      <c r="P704" s="11" t="s">
        <v>66</v>
      </c>
      <c r="Q704" s="11" t="s">
        <v>45</v>
      </c>
      <c r="R704" s="11" t="s">
        <v>45</v>
      </c>
      <c r="S704" s="11" t="s">
        <v>45</v>
      </c>
      <c r="T704" s="11" t="s">
        <v>44</v>
      </c>
      <c r="U704" s="11" t="s">
        <v>45</v>
      </c>
      <c r="V704" s="24">
        <v>45230</v>
      </c>
      <c r="W704" s="11" t="s">
        <v>46</v>
      </c>
      <c r="X704" s="11" t="s">
        <v>47</v>
      </c>
      <c r="Y704" s="11" t="s">
        <v>1169</v>
      </c>
      <c r="Z704" s="11">
        <v>81999439996</v>
      </c>
      <c r="AA704" s="11" t="s">
        <v>1360</v>
      </c>
      <c r="AB704" s="11" t="s">
        <v>98</v>
      </c>
      <c r="AC704" s="11"/>
      <c r="AD704" s="11" t="b">
        <v>0</v>
      </c>
      <c r="AF704" s="11" t="s">
        <v>2473</v>
      </c>
      <c r="AG704" s="75" t="s">
        <v>2474</v>
      </c>
      <c r="AH704" s="11" t="s">
        <v>2475</v>
      </c>
      <c r="AI704" s="11"/>
    </row>
    <row r="705" ht="12.5" spans="1:35">
      <c r="A705" s="177">
        <v>45229.6440909606</v>
      </c>
      <c r="B705" s="11" t="s">
        <v>2476</v>
      </c>
      <c r="C705" s="277" t="s">
        <v>2477</v>
      </c>
      <c r="D705" s="19">
        <v>709008832920318</v>
      </c>
      <c r="E705" s="18" t="s">
        <v>2478</v>
      </c>
      <c r="F705" s="11" t="s">
        <v>225</v>
      </c>
      <c r="G705" s="11" t="s">
        <v>41</v>
      </c>
      <c r="H705" s="24">
        <v>32488</v>
      </c>
      <c r="I705" s="277" t="s">
        <v>1662</v>
      </c>
      <c r="J705" s="11" t="s">
        <v>42</v>
      </c>
      <c r="K705" s="108" t="s">
        <v>399</v>
      </c>
      <c r="N705" s="11" t="s">
        <v>43</v>
      </c>
      <c r="O705" s="11" t="s">
        <v>44</v>
      </c>
      <c r="P705" s="11" t="s">
        <v>44</v>
      </c>
      <c r="Q705" s="11" t="s">
        <v>45</v>
      </c>
      <c r="R705" s="11" t="s">
        <v>45</v>
      </c>
      <c r="S705" s="11" t="s">
        <v>45</v>
      </c>
      <c r="T705" s="11" t="s">
        <v>44</v>
      </c>
      <c r="U705" s="11" t="s">
        <v>44</v>
      </c>
      <c r="W705" s="11" t="s">
        <v>46</v>
      </c>
      <c r="X705" s="11" t="s">
        <v>47</v>
      </c>
      <c r="Y705" s="11" t="s">
        <v>58</v>
      </c>
      <c r="Z705" s="11">
        <v>81993937356</v>
      </c>
      <c r="AA705" s="11" t="s">
        <v>1360</v>
      </c>
      <c r="AB705" s="11"/>
      <c r="AC705" s="11"/>
      <c r="AD705" s="11" t="b">
        <v>0</v>
      </c>
      <c r="AF705" s="11"/>
      <c r="AG705" s="11"/>
      <c r="AH705" s="11"/>
      <c r="AI705" s="11"/>
    </row>
    <row r="706" ht="12.5" spans="1:35">
      <c r="A706" s="177">
        <v>45229.6798255787</v>
      </c>
      <c r="B706" s="11" t="s">
        <v>2385</v>
      </c>
      <c r="C706" s="19">
        <v>71093916478</v>
      </c>
      <c r="D706" s="19">
        <v>708206629187642</v>
      </c>
      <c r="E706" s="18" t="s">
        <v>2479</v>
      </c>
      <c r="F706" s="11" t="s">
        <v>40</v>
      </c>
      <c r="G706" s="11" t="s">
        <v>54</v>
      </c>
      <c r="H706" s="24">
        <v>37567</v>
      </c>
      <c r="I706" s="277" t="s">
        <v>2339</v>
      </c>
      <c r="J706" s="11" t="s">
        <v>42</v>
      </c>
      <c r="K706" s="108" t="s">
        <v>427</v>
      </c>
      <c r="N706" s="11" t="s">
        <v>95</v>
      </c>
      <c r="O706" s="11" t="s">
        <v>44</v>
      </c>
      <c r="P706" s="11" t="s">
        <v>44</v>
      </c>
      <c r="Q706" s="11" t="s">
        <v>44</v>
      </c>
      <c r="R706" s="11" t="s">
        <v>45</v>
      </c>
      <c r="S706" s="11" t="s">
        <v>83</v>
      </c>
      <c r="T706" s="11" t="s">
        <v>44</v>
      </c>
      <c r="U706" s="11" t="s">
        <v>45</v>
      </c>
      <c r="V706" s="24">
        <v>45231</v>
      </c>
      <c r="W706" s="11" t="s">
        <v>46</v>
      </c>
      <c r="X706" s="11" t="s">
        <v>97</v>
      </c>
      <c r="Y706" s="11" t="s">
        <v>97</v>
      </c>
      <c r="Z706" s="11">
        <v>81996694014</v>
      </c>
      <c r="AA706" s="11" t="s">
        <v>91</v>
      </c>
      <c r="AB706" s="11" t="s">
        <v>49</v>
      </c>
      <c r="AC706" s="11" t="s">
        <v>50</v>
      </c>
      <c r="AD706" s="11" t="b">
        <v>0</v>
      </c>
      <c r="AF706" s="11" t="s">
        <v>2480</v>
      </c>
      <c r="AG706" s="214" t="s">
        <v>2481</v>
      </c>
      <c r="AH706" s="40" t="s">
        <v>2482</v>
      </c>
      <c r="AI706" s="11"/>
    </row>
    <row r="707" ht="12.5" spans="1:35">
      <c r="A707" s="177">
        <v>45229.6929636227</v>
      </c>
      <c r="B707" s="11" t="s">
        <v>2483</v>
      </c>
      <c r="C707" s="19">
        <v>12266138456</v>
      </c>
      <c r="D707" s="19">
        <v>706803700987028</v>
      </c>
      <c r="E707" s="18" t="s">
        <v>2484</v>
      </c>
      <c r="F707" s="11" t="s">
        <v>40</v>
      </c>
      <c r="G707" s="11" t="s">
        <v>41</v>
      </c>
      <c r="H707" s="24">
        <v>36234</v>
      </c>
      <c r="I707" s="277" t="s">
        <v>2485</v>
      </c>
      <c r="J707" s="11" t="s">
        <v>42</v>
      </c>
      <c r="K707" s="108" t="s">
        <v>74</v>
      </c>
      <c r="N707" s="11" t="s">
        <v>64</v>
      </c>
      <c r="O707" s="11" t="s">
        <v>96</v>
      </c>
      <c r="P707" s="11" t="s">
        <v>56</v>
      </c>
      <c r="Q707" s="11" t="s">
        <v>44</v>
      </c>
      <c r="R707" s="11" t="s">
        <v>45</v>
      </c>
      <c r="S707" s="11" t="s">
        <v>83</v>
      </c>
      <c r="T707" s="11" t="s">
        <v>44</v>
      </c>
      <c r="U707" s="11" t="s">
        <v>44</v>
      </c>
      <c r="W707" s="11" t="s">
        <v>192</v>
      </c>
      <c r="X707" s="11" t="s">
        <v>47</v>
      </c>
      <c r="Y707" s="11" t="s">
        <v>58</v>
      </c>
      <c r="Z707" s="11">
        <v>81982436357</v>
      </c>
      <c r="AA707" s="11" t="s">
        <v>1360</v>
      </c>
      <c r="AB707" s="11"/>
      <c r="AC707" s="11"/>
      <c r="AD707" s="11" t="b">
        <v>0</v>
      </c>
      <c r="AF707" s="11"/>
      <c r="AG707" s="148"/>
      <c r="AH707" s="11" t="s">
        <v>2486</v>
      </c>
      <c r="AI707" s="11"/>
    </row>
    <row r="708" ht="12.5" spans="1:35">
      <c r="A708" s="177">
        <v>45229.7774759954</v>
      </c>
      <c r="B708" s="11" t="s">
        <v>2487</v>
      </c>
      <c r="C708" s="19">
        <v>10581440498</v>
      </c>
      <c r="D708" s="19">
        <v>705009243104050</v>
      </c>
      <c r="E708" s="18" t="s">
        <v>2488</v>
      </c>
      <c r="F708" s="11" t="s">
        <v>40</v>
      </c>
      <c r="G708" s="11" t="s">
        <v>54</v>
      </c>
      <c r="H708" s="24">
        <v>34040</v>
      </c>
      <c r="I708" s="277" t="s">
        <v>2284</v>
      </c>
      <c r="J708" s="11" t="s">
        <v>81</v>
      </c>
      <c r="K708" s="108"/>
      <c r="L708" s="11" t="s">
        <v>525</v>
      </c>
      <c r="N708" s="11" t="s">
        <v>43</v>
      </c>
      <c r="O708" s="11" t="s">
        <v>96</v>
      </c>
      <c r="P708" s="11" t="s">
        <v>66</v>
      </c>
      <c r="Q708" s="11" t="s">
        <v>44</v>
      </c>
      <c r="R708" s="11" t="s">
        <v>45</v>
      </c>
      <c r="S708" s="11" t="s">
        <v>45</v>
      </c>
      <c r="T708" s="11" t="s">
        <v>44</v>
      </c>
      <c r="U708" s="11" t="s">
        <v>45</v>
      </c>
      <c r="V708" s="24">
        <v>45230</v>
      </c>
      <c r="W708" s="11" t="s">
        <v>46</v>
      </c>
      <c r="X708" s="11" t="s">
        <v>203</v>
      </c>
      <c r="Y708" s="11" t="s">
        <v>58</v>
      </c>
      <c r="Z708" s="11">
        <v>81994106859</v>
      </c>
      <c r="AA708" s="11" t="s">
        <v>1360</v>
      </c>
      <c r="AB708" s="11" t="s">
        <v>98</v>
      </c>
      <c r="AC708" s="11"/>
      <c r="AD708" s="11" t="b">
        <v>0</v>
      </c>
      <c r="AF708" s="11" t="s">
        <v>2489</v>
      </c>
      <c r="AG708" s="245" t="s">
        <v>2490</v>
      </c>
      <c r="AH708" s="11"/>
      <c r="AI708" s="11"/>
    </row>
    <row r="709" ht="12.5" spans="1:35">
      <c r="A709" s="177">
        <v>45230.4291946875</v>
      </c>
      <c r="B709" s="11" t="s">
        <v>2464</v>
      </c>
      <c r="C709" s="19">
        <v>10903890437</v>
      </c>
      <c r="D709" s="19">
        <v>705205410973570</v>
      </c>
      <c r="E709" s="18" t="s">
        <v>2491</v>
      </c>
      <c r="F709" s="11" t="s">
        <v>225</v>
      </c>
      <c r="G709" s="11" t="s">
        <v>54</v>
      </c>
      <c r="H709" s="24">
        <v>35545</v>
      </c>
      <c r="I709" s="19" t="s">
        <v>865</v>
      </c>
      <c r="J709" s="11" t="s">
        <v>42</v>
      </c>
      <c r="K709" s="108" t="s">
        <v>2492</v>
      </c>
      <c r="N709" s="11" t="s">
        <v>95</v>
      </c>
      <c r="O709" s="11" t="s">
        <v>96</v>
      </c>
      <c r="P709" s="11" t="s">
        <v>56</v>
      </c>
      <c r="Q709" s="11" t="s">
        <v>44</v>
      </c>
      <c r="R709" s="11" t="s">
        <v>45</v>
      </c>
      <c r="S709" s="11" t="s">
        <v>83</v>
      </c>
      <c r="T709" s="11" t="s">
        <v>44</v>
      </c>
      <c r="U709" s="11" t="s">
        <v>45</v>
      </c>
      <c r="V709" s="24">
        <v>45232</v>
      </c>
      <c r="W709" s="11" t="s">
        <v>46</v>
      </c>
      <c r="X709" s="11" t="s">
        <v>97</v>
      </c>
      <c r="Y709" s="11" t="s">
        <v>97</v>
      </c>
      <c r="Z709" s="11">
        <v>81983560834</v>
      </c>
      <c r="AA709" s="11" t="s">
        <v>115</v>
      </c>
      <c r="AB709" s="11" t="s">
        <v>98</v>
      </c>
      <c r="AC709" s="11"/>
      <c r="AD709" s="11" t="b">
        <v>0</v>
      </c>
      <c r="AF709" s="11" t="s">
        <v>2493</v>
      </c>
      <c r="AG709" s="11"/>
      <c r="AH709" s="40" t="s">
        <v>2494</v>
      </c>
      <c r="AI709" s="11"/>
    </row>
    <row r="710" ht="12.5" spans="1:35">
      <c r="A710" s="177">
        <v>45230.5353650926</v>
      </c>
      <c r="B710" s="11" t="s">
        <v>2495</v>
      </c>
      <c r="C710" s="19">
        <v>70550585460</v>
      </c>
      <c r="D710" s="19">
        <v>898003279196983</v>
      </c>
      <c r="E710" s="18" t="s">
        <v>2496</v>
      </c>
      <c r="F710" s="11" t="s">
        <v>40</v>
      </c>
      <c r="G710" s="11" t="s">
        <v>54</v>
      </c>
      <c r="H710" s="24">
        <v>34397</v>
      </c>
      <c r="I710" s="277" t="s">
        <v>2497</v>
      </c>
      <c r="J710" s="11" t="s">
        <v>42</v>
      </c>
      <c r="K710" s="108" t="s">
        <v>302</v>
      </c>
      <c r="N710" s="11" t="s">
        <v>43</v>
      </c>
      <c r="O710" s="11" t="s">
        <v>96</v>
      </c>
      <c r="P710" s="11" t="s">
        <v>66</v>
      </c>
      <c r="Q710" s="11" t="s">
        <v>44</v>
      </c>
      <c r="R710" s="11" t="s">
        <v>45</v>
      </c>
      <c r="S710" s="11" t="s">
        <v>45</v>
      </c>
      <c r="T710" s="11" t="s">
        <v>44</v>
      </c>
      <c r="U710" s="11" t="s">
        <v>45</v>
      </c>
      <c r="V710" s="24">
        <v>45231</v>
      </c>
      <c r="W710" s="11" t="s">
        <v>46</v>
      </c>
      <c r="X710" s="11" t="s">
        <v>47</v>
      </c>
      <c r="Y710" s="11" t="s">
        <v>58</v>
      </c>
      <c r="Z710" s="11">
        <v>81996706320</v>
      </c>
      <c r="AA710" s="11" t="s">
        <v>1267</v>
      </c>
      <c r="AB710" s="11" t="s">
        <v>98</v>
      </c>
      <c r="AC710" s="11"/>
      <c r="AD710" s="11" t="b">
        <v>0</v>
      </c>
      <c r="AF710" s="11" t="s">
        <v>2498</v>
      </c>
      <c r="AG710" s="11" t="s">
        <v>2499</v>
      </c>
      <c r="AH710" s="11"/>
      <c r="AI710" s="11"/>
    </row>
    <row r="711" ht="12.5" spans="1:35">
      <c r="A711" s="177">
        <v>45231.4275295718</v>
      </c>
      <c r="B711" s="11" t="s">
        <v>2451</v>
      </c>
      <c r="C711" s="277" t="s">
        <v>2452</v>
      </c>
      <c r="D711" s="19">
        <v>700406468974640</v>
      </c>
      <c r="F711" s="11" t="s">
        <v>225</v>
      </c>
      <c r="G711" s="11" t="s">
        <v>54</v>
      </c>
      <c r="H711" s="24">
        <v>30945</v>
      </c>
      <c r="I711" s="277" t="s">
        <v>2500</v>
      </c>
      <c r="J711" s="11" t="s">
        <v>42</v>
      </c>
      <c r="K711" s="108" t="s">
        <v>202</v>
      </c>
      <c r="N711" s="11" t="s">
        <v>95</v>
      </c>
      <c r="O711" s="11" t="s">
        <v>44</v>
      </c>
      <c r="P711" s="11" t="s">
        <v>44</v>
      </c>
      <c r="Q711" s="11" t="s">
        <v>44</v>
      </c>
      <c r="R711" s="11" t="s">
        <v>45</v>
      </c>
      <c r="S711" s="11" t="s">
        <v>45</v>
      </c>
      <c r="T711" s="11" t="s">
        <v>44</v>
      </c>
      <c r="U711" s="11" t="s">
        <v>45</v>
      </c>
      <c r="V711" s="24">
        <v>45233</v>
      </c>
      <c r="W711" s="11" t="s">
        <v>57</v>
      </c>
      <c r="X711" s="11" t="s">
        <v>97</v>
      </c>
      <c r="Y711" s="11" t="s">
        <v>97</v>
      </c>
      <c r="Z711" s="11">
        <v>81983218317</v>
      </c>
      <c r="AA711" s="11" t="s">
        <v>115</v>
      </c>
      <c r="AB711" s="11" t="s">
        <v>49</v>
      </c>
      <c r="AC711" s="11" t="s">
        <v>84</v>
      </c>
      <c r="AD711" s="11" t="b">
        <v>1</v>
      </c>
      <c r="AE711" s="11" t="s">
        <v>137</v>
      </c>
      <c r="AF711" s="11" t="s">
        <v>2501</v>
      </c>
      <c r="AG711" s="11"/>
      <c r="AH711" s="40" t="s">
        <v>2494</v>
      </c>
      <c r="AI711" s="11"/>
    </row>
    <row r="712" ht="12.5" spans="1:35">
      <c r="A712" s="177">
        <v>45231.6122558912</v>
      </c>
      <c r="B712" s="11" t="s">
        <v>2385</v>
      </c>
      <c r="C712" s="19">
        <v>71093916478</v>
      </c>
      <c r="D712" s="19">
        <v>708206629187642</v>
      </c>
      <c r="F712" s="11" t="s">
        <v>40</v>
      </c>
      <c r="G712" s="11" t="s">
        <v>54</v>
      </c>
      <c r="H712" s="24">
        <v>37567</v>
      </c>
      <c r="I712" s="277" t="s">
        <v>2339</v>
      </c>
      <c r="J712" s="11" t="s">
        <v>42</v>
      </c>
      <c r="K712" s="108" t="s">
        <v>427</v>
      </c>
      <c r="N712" s="11" t="s">
        <v>95</v>
      </c>
      <c r="O712" s="11" t="s">
        <v>44</v>
      </c>
      <c r="P712" s="11" t="s">
        <v>44</v>
      </c>
      <c r="Q712" s="11" t="s">
        <v>44</v>
      </c>
      <c r="R712" s="11" t="s">
        <v>45</v>
      </c>
      <c r="S712" s="11" t="s">
        <v>83</v>
      </c>
      <c r="T712" s="11" t="s">
        <v>44</v>
      </c>
      <c r="U712" s="11" t="s">
        <v>44</v>
      </c>
      <c r="W712" s="11" t="s">
        <v>57</v>
      </c>
      <c r="X712" s="11" t="s">
        <v>97</v>
      </c>
      <c r="Y712" s="11" t="s">
        <v>97</v>
      </c>
      <c r="Z712" s="11">
        <v>81996694014</v>
      </c>
      <c r="AA712" s="11" t="s">
        <v>115</v>
      </c>
      <c r="AB712" s="11"/>
      <c r="AC712" s="11"/>
      <c r="AD712" s="11" t="b">
        <v>0</v>
      </c>
      <c r="AF712" s="11"/>
      <c r="AG712" s="11"/>
      <c r="AH712" s="11"/>
      <c r="AI712" s="11"/>
    </row>
    <row r="713" ht="12.5" spans="1:35">
      <c r="A713" s="177">
        <v>45232.4781765856</v>
      </c>
      <c r="B713" s="11" t="s">
        <v>2502</v>
      </c>
      <c r="C713" s="19">
        <v>16762881475</v>
      </c>
      <c r="D713" s="19">
        <v>702007717649390</v>
      </c>
      <c r="E713" s="18" t="s">
        <v>2503</v>
      </c>
      <c r="F713" s="11" t="s">
        <v>40</v>
      </c>
      <c r="G713" s="11" t="s">
        <v>54</v>
      </c>
      <c r="H713" s="24">
        <v>39279</v>
      </c>
      <c r="I713" s="19" t="s">
        <v>865</v>
      </c>
      <c r="J713" s="11" t="s">
        <v>81</v>
      </c>
      <c r="K713" s="108"/>
      <c r="L713" s="11" t="s">
        <v>109</v>
      </c>
      <c r="N713" s="11" t="s">
        <v>43</v>
      </c>
      <c r="O713" s="11" t="s">
        <v>44</v>
      </c>
      <c r="P713" s="11" t="s">
        <v>44</v>
      </c>
      <c r="Q713" s="11" t="s">
        <v>44</v>
      </c>
      <c r="R713" s="11" t="s">
        <v>45</v>
      </c>
      <c r="S713" s="11" t="s">
        <v>45</v>
      </c>
      <c r="T713" s="11" t="s">
        <v>44</v>
      </c>
      <c r="U713" s="11" t="s">
        <v>45</v>
      </c>
      <c r="V713" s="24">
        <v>45232</v>
      </c>
      <c r="W713" s="11" t="s">
        <v>46</v>
      </c>
      <c r="X713" s="11" t="s">
        <v>303</v>
      </c>
      <c r="Y713" s="11" t="s">
        <v>58</v>
      </c>
      <c r="Z713" s="11">
        <v>81994600307</v>
      </c>
      <c r="AA713" s="11" t="s">
        <v>115</v>
      </c>
      <c r="AB713" s="11" t="s">
        <v>98</v>
      </c>
      <c r="AC713" s="11"/>
      <c r="AD713" s="11" t="b">
        <v>0</v>
      </c>
      <c r="AF713" s="11" t="s">
        <v>2504</v>
      </c>
      <c r="AG713" s="11"/>
      <c r="AH713" s="11"/>
      <c r="AI713" s="11"/>
    </row>
    <row r="714" ht="12.5" spans="1:35">
      <c r="A714" s="177">
        <v>45232.4937460417</v>
      </c>
      <c r="B714" s="11" t="s">
        <v>2505</v>
      </c>
      <c r="C714" s="19">
        <v>13034821425</v>
      </c>
      <c r="D714" s="19">
        <v>700006996160604</v>
      </c>
      <c r="E714" s="18" t="s">
        <v>2506</v>
      </c>
      <c r="F714" s="11" t="s">
        <v>40</v>
      </c>
      <c r="G714" s="11" t="s">
        <v>41</v>
      </c>
      <c r="H714" s="24">
        <v>36094</v>
      </c>
      <c r="I714" s="19" t="s">
        <v>865</v>
      </c>
      <c r="J714" s="11" t="s">
        <v>2507</v>
      </c>
      <c r="K714" s="108"/>
      <c r="N714" s="11" t="s">
        <v>43</v>
      </c>
      <c r="O714" s="11" t="s">
        <v>44</v>
      </c>
      <c r="P714" s="11" t="s">
        <v>44</v>
      </c>
      <c r="Q714" s="11" t="s">
        <v>44</v>
      </c>
      <c r="R714" s="11" t="s">
        <v>45</v>
      </c>
      <c r="S714" s="11" t="s">
        <v>45</v>
      </c>
      <c r="T714" s="11" t="s">
        <v>44</v>
      </c>
      <c r="U714" s="11" t="s">
        <v>45</v>
      </c>
      <c r="V714" s="24">
        <v>45233</v>
      </c>
      <c r="W714" s="11" t="s">
        <v>46</v>
      </c>
      <c r="X714" s="11" t="s">
        <v>303</v>
      </c>
      <c r="Y714" s="11" t="s">
        <v>58</v>
      </c>
      <c r="Z714" s="11">
        <v>81986662442</v>
      </c>
      <c r="AA714" s="11" t="s">
        <v>115</v>
      </c>
      <c r="AB714" s="11" t="s">
        <v>49</v>
      </c>
      <c r="AC714" s="11" t="s">
        <v>84</v>
      </c>
      <c r="AD714" s="11" t="b">
        <v>0</v>
      </c>
      <c r="AF714" s="11" t="s">
        <v>2508</v>
      </c>
      <c r="AG714" s="11"/>
      <c r="AH714" s="11"/>
      <c r="AI714" s="11"/>
    </row>
    <row r="715" ht="12.5" spans="1:35">
      <c r="A715" s="177">
        <v>45232.5850189583</v>
      </c>
      <c r="B715" s="11" t="s">
        <v>2509</v>
      </c>
      <c r="C715" s="19">
        <v>13172784452</v>
      </c>
      <c r="D715" s="19">
        <v>707400095300870</v>
      </c>
      <c r="E715" s="18" t="s">
        <v>2510</v>
      </c>
      <c r="F715" s="11" t="s">
        <v>40</v>
      </c>
      <c r="G715" s="11" t="s">
        <v>54</v>
      </c>
      <c r="H715" s="24">
        <v>36511</v>
      </c>
      <c r="I715" s="277" t="s">
        <v>1826</v>
      </c>
      <c r="J715" s="11" t="s">
        <v>42</v>
      </c>
      <c r="K715" s="108" t="s">
        <v>2511</v>
      </c>
      <c r="N715" s="11" t="s">
        <v>43</v>
      </c>
      <c r="O715" s="11" t="s">
        <v>44</v>
      </c>
      <c r="P715" s="11" t="s">
        <v>44</v>
      </c>
      <c r="Q715" s="11" t="s">
        <v>44</v>
      </c>
      <c r="R715" s="11" t="s">
        <v>45</v>
      </c>
      <c r="S715" s="11" t="s">
        <v>83</v>
      </c>
      <c r="T715" s="11" t="s">
        <v>44</v>
      </c>
      <c r="U715" s="11" t="s">
        <v>44</v>
      </c>
      <c r="W715" s="11" t="s">
        <v>46</v>
      </c>
      <c r="X715" s="11" t="s">
        <v>303</v>
      </c>
      <c r="Y715" s="11" t="s">
        <v>68</v>
      </c>
      <c r="Z715" s="11">
        <v>81971153767</v>
      </c>
      <c r="AA715" s="11" t="s">
        <v>115</v>
      </c>
      <c r="AB715" s="11"/>
      <c r="AC715" s="11"/>
      <c r="AD715" s="11" t="b">
        <v>0</v>
      </c>
      <c r="AF715" s="11"/>
      <c r="AG715" s="11"/>
      <c r="AH715" s="11"/>
      <c r="AI715" s="11"/>
    </row>
    <row r="716" ht="12.5" spans="1:35">
      <c r="A716" s="177">
        <v>45233.3758993056</v>
      </c>
      <c r="B716" s="11" t="s">
        <v>2451</v>
      </c>
      <c r="C716" s="277" t="s">
        <v>2452</v>
      </c>
      <c r="D716" s="19">
        <v>700406468974640</v>
      </c>
      <c r="E716" s="18" t="s">
        <v>2512</v>
      </c>
      <c r="F716" s="11" t="s">
        <v>225</v>
      </c>
      <c r="G716" s="11" t="s">
        <v>54</v>
      </c>
      <c r="H716" s="24">
        <v>30945</v>
      </c>
      <c r="I716" s="277" t="s">
        <v>2454</v>
      </c>
      <c r="J716" s="11" t="s">
        <v>42</v>
      </c>
      <c r="K716" s="108" t="s">
        <v>202</v>
      </c>
      <c r="N716" s="11" t="s">
        <v>95</v>
      </c>
      <c r="O716" s="11" t="s">
        <v>44</v>
      </c>
      <c r="P716" s="11" t="s">
        <v>44</v>
      </c>
      <c r="Q716" s="11" t="s">
        <v>44</v>
      </c>
      <c r="R716" s="11" t="s">
        <v>45</v>
      </c>
      <c r="S716" s="11" t="s">
        <v>44</v>
      </c>
      <c r="T716" s="11" t="s">
        <v>44</v>
      </c>
      <c r="U716" s="11" t="s">
        <v>44</v>
      </c>
      <c r="W716" s="11" t="s">
        <v>46</v>
      </c>
      <c r="X716" s="11" t="s">
        <v>97</v>
      </c>
      <c r="Y716" s="11" t="s">
        <v>97</v>
      </c>
      <c r="Z716" s="11">
        <v>81983218317</v>
      </c>
      <c r="AA716" s="11" t="s">
        <v>105</v>
      </c>
      <c r="AB716" s="11"/>
      <c r="AC716" s="11"/>
      <c r="AD716" s="11" t="b">
        <v>0</v>
      </c>
      <c r="AF716" s="11"/>
      <c r="AG716" s="11"/>
      <c r="AH716" s="11"/>
      <c r="AI716" s="11"/>
    </row>
    <row r="717" ht="12.5" spans="1:35">
      <c r="A717" s="177">
        <v>45233.4470125463</v>
      </c>
      <c r="B717" s="105" t="s">
        <v>2505</v>
      </c>
      <c r="C717" s="19">
        <v>13034821425</v>
      </c>
      <c r="D717" s="19">
        <v>700006996160604</v>
      </c>
      <c r="F717" s="11" t="s">
        <v>40</v>
      </c>
      <c r="G717" s="11" t="s">
        <v>41</v>
      </c>
      <c r="H717" s="24">
        <v>36094</v>
      </c>
      <c r="I717" s="19" t="s">
        <v>865</v>
      </c>
      <c r="J717" s="11" t="s">
        <v>2507</v>
      </c>
      <c r="K717" s="108"/>
      <c r="N717" s="11" t="s">
        <v>95</v>
      </c>
      <c r="O717" s="11" t="s">
        <v>44</v>
      </c>
      <c r="P717" s="11" t="s">
        <v>44</v>
      </c>
      <c r="Q717" s="11" t="s">
        <v>44</v>
      </c>
      <c r="R717" s="11" t="s">
        <v>45</v>
      </c>
      <c r="S717" s="11" t="s">
        <v>44</v>
      </c>
      <c r="T717" s="11" t="s">
        <v>44</v>
      </c>
      <c r="U717" s="11" t="s">
        <v>44</v>
      </c>
      <c r="W717" s="11" t="s">
        <v>57</v>
      </c>
      <c r="X717" s="11" t="s">
        <v>97</v>
      </c>
      <c r="Y717" s="11" t="s">
        <v>97</v>
      </c>
      <c r="Z717" s="11">
        <v>81986662442</v>
      </c>
      <c r="AA717" s="11" t="s">
        <v>105</v>
      </c>
      <c r="AB717" s="11"/>
      <c r="AC717" s="11"/>
      <c r="AD717" s="11" t="b">
        <v>0</v>
      </c>
      <c r="AF717" s="11"/>
      <c r="AG717" s="11"/>
      <c r="AH717" s="11"/>
      <c r="AI717" s="11"/>
    </row>
    <row r="718" ht="12.5" spans="1:35">
      <c r="A718" s="177">
        <v>45233.7497231481</v>
      </c>
      <c r="B718" s="11" t="s">
        <v>2513</v>
      </c>
      <c r="C718" s="19">
        <v>71484595408</v>
      </c>
      <c r="D718" s="19">
        <v>704507398766818</v>
      </c>
      <c r="E718" s="18" t="s">
        <v>2514</v>
      </c>
      <c r="F718" s="11" t="s">
        <v>40</v>
      </c>
      <c r="G718" s="11" t="s">
        <v>54</v>
      </c>
      <c r="H718" s="24">
        <v>38499</v>
      </c>
      <c r="I718" s="19" t="s">
        <v>865</v>
      </c>
      <c r="J718" s="11" t="s">
        <v>42</v>
      </c>
      <c r="K718" s="108" t="s">
        <v>90</v>
      </c>
      <c r="N718" s="11" t="s">
        <v>43</v>
      </c>
      <c r="O718" s="11" t="s">
        <v>44</v>
      </c>
      <c r="P718" s="11" t="s">
        <v>44</v>
      </c>
      <c r="Q718" s="11" t="s">
        <v>44</v>
      </c>
      <c r="R718" s="11" t="s">
        <v>45</v>
      </c>
      <c r="S718" s="11" t="s">
        <v>45</v>
      </c>
      <c r="T718" s="11" t="s">
        <v>44</v>
      </c>
      <c r="U718" s="11" t="s">
        <v>45</v>
      </c>
      <c r="V718" s="24">
        <v>45233</v>
      </c>
      <c r="W718" s="11" t="s">
        <v>46</v>
      </c>
      <c r="X718" s="11" t="s">
        <v>303</v>
      </c>
      <c r="Y718" s="11" t="s">
        <v>68</v>
      </c>
      <c r="Z718" s="11">
        <v>81986451042</v>
      </c>
      <c r="AA718" s="11" t="s">
        <v>105</v>
      </c>
      <c r="AB718" s="11" t="s">
        <v>49</v>
      </c>
      <c r="AC718" s="11" t="s">
        <v>84</v>
      </c>
      <c r="AD718" s="11" t="b">
        <v>0</v>
      </c>
      <c r="AF718" s="11"/>
      <c r="AG718" s="11"/>
      <c r="AH718" s="246" t="s">
        <v>2515</v>
      </c>
      <c r="AI718" s="11"/>
    </row>
    <row r="719" ht="12.5" spans="1:35">
      <c r="A719" s="177">
        <v>45233.7900615972</v>
      </c>
      <c r="B719" s="11" t="s">
        <v>2513</v>
      </c>
      <c r="C719" s="19">
        <v>71484595408</v>
      </c>
      <c r="D719" s="19">
        <v>704507398766818</v>
      </c>
      <c r="E719" s="18" t="s">
        <v>2516</v>
      </c>
      <c r="F719" s="11" t="s">
        <v>40</v>
      </c>
      <c r="G719" s="11" t="s">
        <v>54</v>
      </c>
      <c r="H719" s="24">
        <v>38499</v>
      </c>
      <c r="I719" s="19" t="s">
        <v>865</v>
      </c>
      <c r="J719" s="11" t="s">
        <v>42</v>
      </c>
      <c r="K719" s="108" t="s">
        <v>90</v>
      </c>
      <c r="N719" s="11" t="s">
        <v>95</v>
      </c>
      <c r="O719" s="11" t="s">
        <v>44</v>
      </c>
      <c r="P719" s="11" t="s">
        <v>44</v>
      </c>
      <c r="Q719" s="11" t="s">
        <v>44</v>
      </c>
      <c r="R719" s="11" t="s">
        <v>45</v>
      </c>
      <c r="S719" s="11" t="s">
        <v>45</v>
      </c>
      <c r="T719" s="11" t="s">
        <v>44</v>
      </c>
      <c r="U719" s="11" t="s">
        <v>45</v>
      </c>
      <c r="V719" s="24">
        <v>45234</v>
      </c>
      <c r="W719" s="11" t="s">
        <v>46</v>
      </c>
      <c r="X719" s="11" t="s">
        <v>97</v>
      </c>
      <c r="Y719" s="11" t="s">
        <v>97</v>
      </c>
      <c r="Z719" s="11">
        <v>81986451042</v>
      </c>
      <c r="AA719" s="11" t="s">
        <v>105</v>
      </c>
      <c r="AB719" s="11" t="s">
        <v>49</v>
      </c>
      <c r="AC719" s="11" t="s">
        <v>50</v>
      </c>
      <c r="AD719" s="11" t="b">
        <v>0</v>
      </c>
      <c r="AF719" s="244" t="s">
        <v>2517</v>
      </c>
      <c r="AG719" s="11"/>
      <c r="AH719" s="247"/>
      <c r="AI719" s="11"/>
    </row>
    <row r="720" ht="12.5" spans="1:35">
      <c r="A720" s="177">
        <v>45234.4092961458</v>
      </c>
      <c r="B720" s="11" t="s">
        <v>2513</v>
      </c>
      <c r="C720" s="19">
        <v>71484595408</v>
      </c>
      <c r="D720" s="19">
        <v>704507398766818</v>
      </c>
      <c r="F720" s="11" t="s">
        <v>40</v>
      </c>
      <c r="G720" s="11" t="s">
        <v>54</v>
      </c>
      <c r="H720" s="24">
        <v>38499</v>
      </c>
      <c r="I720" s="277" t="s">
        <v>2518</v>
      </c>
      <c r="J720" s="11" t="s">
        <v>42</v>
      </c>
      <c r="K720" s="108" t="s">
        <v>90</v>
      </c>
      <c r="N720" s="11" t="s">
        <v>95</v>
      </c>
      <c r="O720" s="11" t="s">
        <v>44</v>
      </c>
      <c r="P720" s="11" t="s">
        <v>44</v>
      </c>
      <c r="Q720" s="11" t="s">
        <v>44</v>
      </c>
      <c r="R720" s="11" t="s">
        <v>45</v>
      </c>
      <c r="S720" s="11" t="s">
        <v>45</v>
      </c>
      <c r="T720" s="11" t="s">
        <v>44</v>
      </c>
      <c r="U720" s="11" t="s">
        <v>44</v>
      </c>
      <c r="W720" s="11" t="s">
        <v>57</v>
      </c>
      <c r="X720" s="11" t="s">
        <v>97</v>
      </c>
      <c r="Y720" s="11" t="s">
        <v>97</v>
      </c>
      <c r="Z720" s="11">
        <v>81986451042</v>
      </c>
      <c r="AA720" s="11" t="s">
        <v>115</v>
      </c>
      <c r="AB720" s="11"/>
      <c r="AC720" s="11"/>
      <c r="AD720" s="11" t="b">
        <v>0</v>
      </c>
      <c r="AF720" s="11"/>
      <c r="AG720" s="11"/>
      <c r="AH720" s="11"/>
      <c r="AI720" s="11"/>
    </row>
    <row r="721" ht="12.5" spans="1:37">
      <c r="A721" s="177">
        <v>45234.5633570949</v>
      </c>
      <c r="B721" s="11" t="s">
        <v>2361</v>
      </c>
      <c r="C721" s="19">
        <v>11053974400</v>
      </c>
      <c r="D721" s="19">
        <v>703403585430800</v>
      </c>
      <c r="E721" s="18" t="s">
        <v>2519</v>
      </c>
      <c r="F721" s="11" t="s">
        <v>225</v>
      </c>
      <c r="G721" s="11" t="s">
        <v>54</v>
      </c>
      <c r="H721" s="24">
        <v>34679</v>
      </c>
      <c r="I721" s="277" t="s">
        <v>2363</v>
      </c>
      <c r="J721" s="11" t="s">
        <v>42</v>
      </c>
      <c r="K721" s="108" t="s">
        <v>155</v>
      </c>
      <c r="N721" s="11" t="s">
        <v>43</v>
      </c>
      <c r="O721" s="11" t="s">
        <v>65</v>
      </c>
      <c r="P721" s="11" t="s">
        <v>66</v>
      </c>
      <c r="Q721" s="11" t="s">
        <v>44</v>
      </c>
      <c r="R721" s="11" t="s">
        <v>45</v>
      </c>
      <c r="S721" s="11" t="s">
        <v>45</v>
      </c>
      <c r="T721" s="11" t="s">
        <v>44</v>
      </c>
      <c r="U721" s="11" t="s">
        <v>45</v>
      </c>
      <c r="V721" s="24">
        <v>45235</v>
      </c>
      <c r="W721" s="11" t="s">
        <v>57</v>
      </c>
      <c r="X721" s="11" t="s">
        <v>303</v>
      </c>
      <c r="Y721" s="11" t="s">
        <v>58</v>
      </c>
      <c r="Z721" s="11">
        <v>81985589495</v>
      </c>
      <c r="AA721" s="11" t="s">
        <v>115</v>
      </c>
      <c r="AB721" s="11" t="s">
        <v>98</v>
      </c>
      <c r="AC721" s="11"/>
      <c r="AD721" s="11" t="b">
        <v>0</v>
      </c>
      <c r="AF721" s="11" t="s">
        <v>2520</v>
      </c>
      <c r="AG721" s="11" t="s">
        <v>2521</v>
      </c>
      <c r="AH721" s="11" t="s">
        <v>2522</v>
      </c>
      <c r="AI721" s="63"/>
      <c r="AJ721" s="63"/>
      <c r="AK721" s="63"/>
    </row>
    <row r="722" ht="12.5" spans="1:35">
      <c r="A722" s="177">
        <v>45235.5921368056</v>
      </c>
      <c r="B722" s="11" t="s">
        <v>1823</v>
      </c>
      <c r="C722" s="277" t="s">
        <v>1824</v>
      </c>
      <c r="D722" s="19">
        <v>704703754695933</v>
      </c>
      <c r="E722" s="18" t="s">
        <v>2523</v>
      </c>
      <c r="F722" s="11" t="s">
        <v>40</v>
      </c>
      <c r="G722" s="11" t="s">
        <v>54</v>
      </c>
      <c r="H722" s="24">
        <v>32901</v>
      </c>
      <c r="I722" s="277" t="s">
        <v>1934</v>
      </c>
      <c r="J722" s="11" t="s">
        <v>42</v>
      </c>
      <c r="K722" s="108" t="s">
        <v>74</v>
      </c>
      <c r="N722" s="11" t="s">
        <v>43</v>
      </c>
      <c r="O722" s="11" t="s">
        <v>65</v>
      </c>
      <c r="P722" s="11" t="s">
        <v>66</v>
      </c>
      <c r="Q722" s="11" t="s">
        <v>44</v>
      </c>
      <c r="R722" s="11" t="s">
        <v>45</v>
      </c>
      <c r="S722" s="11" t="s">
        <v>45</v>
      </c>
      <c r="T722" s="11" t="s">
        <v>44</v>
      </c>
      <c r="U722" s="11" t="s">
        <v>45</v>
      </c>
      <c r="V722" s="24">
        <v>45236</v>
      </c>
      <c r="W722" s="11" t="s">
        <v>46</v>
      </c>
      <c r="X722" s="11" t="s">
        <v>303</v>
      </c>
      <c r="Y722" s="11" t="s">
        <v>68</v>
      </c>
      <c r="Z722" s="11">
        <v>81999265625</v>
      </c>
      <c r="AA722" s="11" t="s">
        <v>115</v>
      </c>
      <c r="AB722" s="11" t="s">
        <v>49</v>
      </c>
      <c r="AC722" s="11" t="s">
        <v>256</v>
      </c>
      <c r="AD722" s="11" t="b">
        <v>1</v>
      </c>
      <c r="AE722" s="231" t="s">
        <v>137</v>
      </c>
      <c r="AF722" s="11" t="s">
        <v>2524</v>
      </c>
      <c r="AG722" s="11"/>
      <c r="AH722" s="214" t="s">
        <v>2525</v>
      </c>
      <c r="AI722" s="11"/>
    </row>
    <row r="723" ht="12.5" spans="1:35">
      <c r="A723" s="177">
        <v>45236.3757435069</v>
      </c>
      <c r="B723" s="11" t="s">
        <v>1823</v>
      </c>
      <c r="C723" s="277" t="s">
        <v>1824</v>
      </c>
      <c r="D723" s="19">
        <v>704703754695933</v>
      </c>
      <c r="E723" s="18" t="s">
        <v>2526</v>
      </c>
      <c r="F723" s="11" t="s">
        <v>40</v>
      </c>
      <c r="G723" s="11" t="s">
        <v>54</v>
      </c>
      <c r="H723" s="24">
        <v>32901</v>
      </c>
      <c r="I723" s="277" t="s">
        <v>1934</v>
      </c>
      <c r="J723" s="11" t="s">
        <v>42</v>
      </c>
      <c r="K723" s="108" t="s">
        <v>74</v>
      </c>
      <c r="N723" s="11" t="s">
        <v>95</v>
      </c>
      <c r="O723" s="11" t="s">
        <v>44</v>
      </c>
      <c r="P723" s="11" t="s">
        <v>44</v>
      </c>
      <c r="Q723" s="11" t="s">
        <v>44</v>
      </c>
      <c r="R723" s="11" t="s">
        <v>45</v>
      </c>
      <c r="S723" s="11" t="s">
        <v>45</v>
      </c>
      <c r="T723" s="11" t="s">
        <v>44</v>
      </c>
      <c r="U723" s="11" t="s">
        <v>44</v>
      </c>
      <c r="W723" s="11" t="s">
        <v>46</v>
      </c>
      <c r="X723" s="11" t="s">
        <v>97</v>
      </c>
      <c r="Y723" s="11" t="s">
        <v>97</v>
      </c>
      <c r="Z723" s="11">
        <v>81999265625</v>
      </c>
      <c r="AA723" s="11" t="s">
        <v>1360</v>
      </c>
      <c r="AB723" s="11"/>
      <c r="AC723" s="11"/>
      <c r="AD723" s="11" t="b">
        <v>0</v>
      </c>
      <c r="AF723" s="11"/>
      <c r="AG723" s="11"/>
      <c r="AH723" s="11"/>
      <c r="AI723" s="11"/>
    </row>
    <row r="724" ht="12.5" spans="1:35">
      <c r="A724" s="177">
        <v>45236.455918912</v>
      </c>
      <c r="B724" s="11" t="s">
        <v>2527</v>
      </c>
      <c r="C724" s="19">
        <v>14045185410</v>
      </c>
      <c r="D724" s="19">
        <v>702604210262744</v>
      </c>
      <c r="E724" s="18" t="s">
        <v>2528</v>
      </c>
      <c r="F724" s="11" t="s">
        <v>40</v>
      </c>
      <c r="G724" s="11" t="s">
        <v>41</v>
      </c>
      <c r="H724" s="24">
        <v>37252</v>
      </c>
      <c r="I724" s="277" t="s">
        <v>2529</v>
      </c>
      <c r="J724" s="11" t="s">
        <v>438</v>
      </c>
      <c r="K724" s="108"/>
      <c r="M724" s="11" t="s">
        <v>2530</v>
      </c>
      <c r="N724" s="11" t="s">
        <v>43</v>
      </c>
      <c r="O724" s="11" t="s">
        <v>96</v>
      </c>
      <c r="P724" s="11" t="s">
        <v>56</v>
      </c>
      <c r="Q724" s="11" t="s">
        <v>45</v>
      </c>
      <c r="R724" s="11" t="s">
        <v>45</v>
      </c>
      <c r="S724" s="11" t="s">
        <v>44</v>
      </c>
      <c r="T724" s="11" t="s">
        <v>44</v>
      </c>
      <c r="U724" s="11" t="s">
        <v>45</v>
      </c>
      <c r="V724" s="24">
        <v>45237</v>
      </c>
      <c r="W724" s="11" t="s">
        <v>46</v>
      </c>
      <c r="X724" s="11" t="s">
        <v>47</v>
      </c>
      <c r="Y724" s="11" t="s">
        <v>58</v>
      </c>
      <c r="Z724" s="11">
        <v>81983653106</v>
      </c>
      <c r="AA724" s="11" t="s">
        <v>1360</v>
      </c>
      <c r="AB724" s="11" t="s">
        <v>98</v>
      </c>
      <c r="AC724" s="11"/>
      <c r="AD724" s="11" t="b">
        <v>0</v>
      </c>
      <c r="AF724" s="11" t="s">
        <v>2531</v>
      </c>
      <c r="AG724" s="11" t="s">
        <v>2532</v>
      </c>
      <c r="AH724" s="11" t="s">
        <v>2533</v>
      </c>
      <c r="AI724" s="11"/>
    </row>
    <row r="725" ht="12.5" spans="1:35">
      <c r="A725" s="177">
        <v>45236.5568679167</v>
      </c>
      <c r="B725" s="11" t="s">
        <v>2534</v>
      </c>
      <c r="C725" s="19">
        <v>12049566425</v>
      </c>
      <c r="D725" s="19">
        <v>706808715942623</v>
      </c>
      <c r="E725" s="18" t="s">
        <v>2535</v>
      </c>
      <c r="F725" s="11" t="s">
        <v>225</v>
      </c>
      <c r="G725" s="11" t="s">
        <v>54</v>
      </c>
      <c r="H725" s="24">
        <v>35802</v>
      </c>
      <c r="I725" s="277" t="s">
        <v>596</v>
      </c>
      <c r="J725" s="11" t="s">
        <v>42</v>
      </c>
      <c r="K725" s="108" t="s">
        <v>2536</v>
      </c>
      <c r="N725" s="11" t="s">
        <v>43</v>
      </c>
      <c r="O725" s="11" t="s">
        <v>96</v>
      </c>
      <c r="P725" s="11" t="s">
        <v>56</v>
      </c>
      <c r="Q725" s="11" t="s">
        <v>44</v>
      </c>
      <c r="R725" s="11" t="s">
        <v>45</v>
      </c>
      <c r="S725" s="11" t="s">
        <v>83</v>
      </c>
      <c r="T725" s="11" t="s">
        <v>44</v>
      </c>
      <c r="U725" s="11" t="s">
        <v>45</v>
      </c>
      <c r="V725" s="24">
        <v>45237</v>
      </c>
      <c r="W725" s="11" t="s">
        <v>46</v>
      </c>
      <c r="X725" s="11" t="s">
        <v>47</v>
      </c>
      <c r="Y725" s="11" t="s">
        <v>58</v>
      </c>
      <c r="Z725" s="11">
        <v>81973173355</v>
      </c>
      <c r="AA725" s="11" t="s">
        <v>105</v>
      </c>
      <c r="AB725" s="11" t="s">
        <v>98</v>
      </c>
      <c r="AC725" s="11"/>
      <c r="AD725" s="11" t="b">
        <v>0</v>
      </c>
      <c r="AF725" s="11" t="s">
        <v>2537</v>
      </c>
      <c r="AG725" s="11" t="s">
        <v>2538</v>
      </c>
      <c r="AH725" s="11"/>
      <c r="AI725" s="11"/>
    </row>
    <row r="726" ht="12.5" spans="1:35">
      <c r="A726" s="177">
        <v>45236.8068920602</v>
      </c>
      <c r="B726" s="11" t="s">
        <v>1516</v>
      </c>
      <c r="C726" s="277" t="s">
        <v>1517</v>
      </c>
      <c r="D726" s="19">
        <v>700007375574701</v>
      </c>
      <c r="E726" s="18" t="s">
        <v>2539</v>
      </c>
      <c r="F726" s="11" t="s">
        <v>40</v>
      </c>
      <c r="G726" s="11" t="s">
        <v>54</v>
      </c>
      <c r="H726" s="24">
        <v>33652</v>
      </c>
      <c r="I726" s="277" t="s">
        <v>776</v>
      </c>
      <c r="J726" s="11" t="s">
        <v>42</v>
      </c>
      <c r="K726" s="108" t="s">
        <v>2540</v>
      </c>
      <c r="N726" s="11" t="s">
        <v>43</v>
      </c>
      <c r="O726" s="11" t="s">
        <v>44</v>
      </c>
      <c r="P726" s="11" t="s">
        <v>44</v>
      </c>
      <c r="Q726" s="11" t="s">
        <v>45</v>
      </c>
      <c r="R726" s="11" t="s">
        <v>45</v>
      </c>
      <c r="S726" s="11" t="s">
        <v>83</v>
      </c>
      <c r="T726" s="11" t="s">
        <v>44</v>
      </c>
      <c r="U726" s="11" t="s">
        <v>44</v>
      </c>
      <c r="W726" s="11" t="s">
        <v>46</v>
      </c>
      <c r="X726" s="11" t="s">
        <v>203</v>
      </c>
      <c r="Y726" s="11" t="s">
        <v>58</v>
      </c>
      <c r="Z726" s="11">
        <v>81988582823</v>
      </c>
      <c r="AA726" s="11" t="s">
        <v>1360</v>
      </c>
      <c r="AB726" s="11"/>
      <c r="AC726" s="11"/>
      <c r="AD726" s="11" t="b">
        <v>0</v>
      </c>
      <c r="AF726" s="11"/>
      <c r="AG726" s="11"/>
      <c r="AH726" s="11"/>
      <c r="AI726" s="11"/>
    </row>
    <row r="727" ht="12.5" spans="1:35">
      <c r="A727" s="177">
        <v>45237.4020022685</v>
      </c>
      <c r="B727" s="11" t="s">
        <v>2541</v>
      </c>
      <c r="C727" s="19">
        <v>23273886862</v>
      </c>
      <c r="D727" s="19">
        <v>700002178721200</v>
      </c>
      <c r="E727" s="18" t="s">
        <v>2542</v>
      </c>
      <c r="F727" s="11" t="s">
        <v>40</v>
      </c>
      <c r="G727" s="11" t="s">
        <v>54</v>
      </c>
      <c r="H727" s="24">
        <v>33729</v>
      </c>
      <c r="I727" s="277" t="s">
        <v>1006</v>
      </c>
      <c r="J727" s="11" t="s">
        <v>42</v>
      </c>
      <c r="K727" s="108" t="s">
        <v>202</v>
      </c>
      <c r="N727" s="11" t="s">
        <v>43</v>
      </c>
      <c r="O727" s="11" t="s">
        <v>96</v>
      </c>
      <c r="P727" s="11" t="s">
        <v>56</v>
      </c>
      <c r="Q727" s="11" t="s">
        <v>44</v>
      </c>
      <c r="R727" s="11" t="s">
        <v>45</v>
      </c>
      <c r="S727" s="11" t="s">
        <v>83</v>
      </c>
      <c r="T727" s="11" t="s">
        <v>44</v>
      </c>
      <c r="U727" s="11" t="s">
        <v>45</v>
      </c>
      <c r="V727" s="24">
        <v>45238</v>
      </c>
      <c r="W727" s="11" t="s">
        <v>57</v>
      </c>
      <c r="X727" s="11" t="s">
        <v>47</v>
      </c>
      <c r="Y727" s="11" t="s">
        <v>58</v>
      </c>
      <c r="Z727" s="11">
        <v>81989081790</v>
      </c>
      <c r="AA727" s="11" t="s">
        <v>1267</v>
      </c>
      <c r="AB727" s="11" t="s">
        <v>98</v>
      </c>
      <c r="AC727" s="11"/>
      <c r="AD727" s="11" t="b">
        <v>0</v>
      </c>
      <c r="AF727" s="11" t="s">
        <v>2543</v>
      </c>
      <c r="AG727" s="11"/>
      <c r="AH727" s="11" t="s">
        <v>2544</v>
      </c>
      <c r="AI727" s="11"/>
    </row>
    <row r="728" ht="12.5" spans="1:35">
      <c r="A728" s="177">
        <v>45237.4032000463</v>
      </c>
      <c r="B728" s="11" t="s">
        <v>2545</v>
      </c>
      <c r="C728" s="19">
        <v>10704405407</v>
      </c>
      <c r="D728" s="19">
        <v>707002893267434</v>
      </c>
      <c r="E728" s="18" t="s">
        <v>2546</v>
      </c>
      <c r="F728" s="11" t="s">
        <v>40</v>
      </c>
      <c r="G728" s="11" t="s">
        <v>41</v>
      </c>
      <c r="H728" s="24">
        <v>36649</v>
      </c>
      <c r="I728" s="277" t="s">
        <v>495</v>
      </c>
      <c r="J728" s="11" t="s">
        <v>42</v>
      </c>
      <c r="K728" s="108" t="s">
        <v>74</v>
      </c>
      <c r="N728" s="11" t="s">
        <v>43</v>
      </c>
      <c r="O728" s="11" t="s">
        <v>44</v>
      </c>
      <c r="P728" s="11" t="s">
        <v>44</v>
      </c>
      <c r="Q728" s="11" t="s">
        <v>44</v>
      </c>
      <c r="R728" s="11" t="s">
        <v>45</v>
      </c>
      <c r="S728" s="11" t="s">
        <v>45</v>
      </c>
      <c r="T728" s="11" t="s">
        <v>44</v>
      </c>
      <c r="U728" s="11" t="s">
        <v>45</v>
      </c>
      <c r="V728" s="24">
        <v>45237</v>
      </c>
      <c r="W728" s="11" t="s">
        <v>57</v>
      </c>
      <c r="X728" s="11" t="s">
        <v>203</v>
      </c>
      <c r="Y728" s="11" t="s">
        <v>58</v>
      </c>
      <c r="Z728" s="11">
        <v>81983741915</v>
      </c>
      <c r="AA728" s="11" t="s">
        <v>91</v>
      </c>
      <c r="AB728" s="11" t="s">
        <v>98</v>
      </c>
      <c r="AC728" s="11"/>
      <c r="AD728" s="11" t="b">
        <v>0</v>
      </c>
      <c r="AF728" s="11" t="s">
        <v>2547</v>
      </c>
      <c r="AG728" s="11" t="s">
        <v>2548</v>
      </c>
      <c r="AH728" s="11"/>
      <c r="AI728" s="11"/>
    </row>
    <row r="729" ht="12.5" spans="1:35">
      <c r="A729" s="177">
        <v>45238.5209344444</v>
      </c>
      <c r="B729" s="11" t="s">
        <v>2549</v>
      </c>
      <c r="C729" s="277" t="s">
        <v>2550</v>
      </c>
      <c r="D729" s="19">
        <v>700704905278072</v>
      </c>
      <c r="E729" s="18" t="s">
        <v>2551</v>
      </c>
      <c r="F729" s="11" t="s">
        <v>225</v>
      </c>
      <c r="G729" s="11" t="s">
        <v>54</v>
      </c>
      <c r="H729" s="24">
        <v>32543</v>
      </c>
      <c r="I729" s="277" t="s">
        <v>923</v>
      </c>
      <c r="J729" s="11" t="s">
        <v>42</v>
      </c>
      <c r="K729" s="108" t="s">
        <v>2552</v>
      </c>
      <c r="N729" s="11" t="s">
        <v>43</v>
      </c>
      <c r="O729" s="11" t="s">
        <v>96</v>
      </c>
      <c r="P729" s="11" t="s">
        <v>66</v>
      </c>
      <c r="Q729" s="11" t="s">
        <v>44</v>
      </c>
      <c r="R729" s="11" t="s">
        <v>45</v>
      </c>
      <c r="S729" s="11" t="s">
        <v>45</v>
      </c>
      <c r="T729" s="11" t="s">
        <v>44</v>
      </c>
      <c r="U729" s="11" t="s">
        <v>45</v>
      </c>
      <c r="V729" s="24">
        <v>45239</v>
      </c>
      <c r="W729" s="11" t="s">
        <v>46</v>
      </c>
      <c r="X729" s="11" t="s">
        <v>47</v>
      </c>
      <c r="Y729" s="11" t="s">
        <v>58</v>
      </c>
      <c r="Z729" s="11">
        <v>81991262140</v>
      </c>
      <c r="AA729" s="11" t="s">
        <v>91</v>
      </c>
      <c r="AB729" s="11" t="s">
        <v>49</v>
      </c>
      <c r="AC729" s="11" t="s">
        <v>1319</v>
      </c>
      <c r="AD729" s="11" t="b">
        <v>0</v>
      </c>
      <c r="AF729" s="11" t="s">
        <v>2553</v>
      </c>
      <c r="AG729" s="11" t="s">
        <v>2554</v>
      </c>
      <c r="AH729" s="11"/>
      <c r="AI729" s="11"/>
    </row>
    <row r="730" ht="12.5" spans="1:35">
      <c r="A730" s="177">
        <v>45239.3802090856</v>
      </c>
      <c r="B730" s="11" t="s">
        <v>2555</v>
      </c>
      <c r="C730" s="277" t="s">
        <v>2556</v>
      </c>
      <c r="D730" s="19">
        <v>706502381193293</v>
      </c>
      <c r="E730" s="18" t="s">
        <v>2557</v>
      </c>
      <c r="F730" s="11" t="s">
        <v>40</v>
      </c>
      <c r="G730" s="11" t="s">
        <v>54</v>
      </c>
      <c r="H730" s="24">
        <v>33625</v>
      </c>
      <c r="I730" s="277" t="s">
        <v>839</v>
      </c>
      <c r="J730" s="11" t="s">
        <v>42</v>
      </c>
      <c r="K730" s="108" t="s">
        <v>2558</v>
      </c>
      <c r="N730" s="11" t="s">
        <v>43</v>
      </c>
      <c r="O730" s="11" t="s">
        <v>96</v>
      </c>
      <c r="P730" s="40" t="s">
        <v>2559</v>
      </c>
      <c r="Q730" s="11" t="s">
        <v>44</v>
      </c>
      <c r="R730" s="11" t="s">
        <v>45</v>
      </c>
      <c r="S730" s="11" t="s">
        <v>45</v>
      </c>
      <c r="T730" s="11" t="s">
        <v>44</v>
      </c>
      <c r="U730" s="11" t="s">
        <v>45</v>
      </c>
      <c r="V730" s="24">
        <v>45240</v>
      </c>
      <c r="W730" s="11" t="s">
        <v>46</v>
      </c>
      <c r="X730" s="11" t="s">
        <v>67</v>
      </c>
      <c r="Y730" s="11" t="s">
        <v>58</v>
      </c>
      <c r="Z730" s="11">
        <v>81988592394</v>
      </c>
      <c r="AA730" s="11" t="s">
        <v>1360</v>
      </c>
      <c r="AB730" s="11"/>
      <c r="AC730" s="11"/>
      <c r="AD730" s="11" t="b">
        <v>0</v>
      </c>
      <c r="AF730" s="11" t="s">
        <v>2560</v>
      </c>
      <c r="AG730" s="11" t="s">
        <v>2561</v>
      </c>
      <c r="AH730" s="11" t="s">
        <v>2562</v>
      </c>
      <c r="AI730" s="11"/>
    </row>
    <row r="731" ht="12.5" spans="1:35">
      <c r="A731" s="177">
        <v>45239.4153858681</v>
      </c>
      <c r="B731" s="11" t="s">
        <v>2549</v>
      </c>
      <c r="C731" s="277" t="s">
        <v>2550</v>
      </c>
      <c r="D731" s="19">
        <v>700704905278072</v>
      </c>
      <c r="F731" s="11" t="s">
        <v>225</v>
      </c>
      <c r="G731" s="11" t="s">
        <v>54</v>
      </c>
      <c r="H731" s="24">
        <v>32543</v>
      </c>
      <c r="I731" s="277" t="s">
        <v>923</v>
      </c>
      <c r="J731" s="11" t="s">
        <v>42</v>
      </c>
      <c r="K731" s="108" t="s">
        <v>2552</v>
      </c>
      <c r="N731" s="11" t="s">
        <v>95</v>
      </c>
      <c r="O731" s="11" t="s">
        <v>96</v>
      </c>
      <c r="P731" s="11" t="s">
        <v>66</v>
      </c>
      <c r="Q731" s="11" t="s">
        <v>44</v>
      </c>
      <c r="R731" s="11" t="s">
        <v>45</v>
      </c>
      <c r="S731" s="11" t="s">
        <v>45</v>
      </c>
      <c r="T731" s="11" t="s">
        <v>44</v>
      </c>
      <c r="U731" s="11" t="s">
        <v>45</v>
      </c>
      <c r="V731" s="24">
        <v>45240</v>
      </c>
      <c r="W731" s="11" t="s">
        <v>57</v>
      </c>
      <c r="X731" s="11" t="s">
        <v>97</v>
      </c>
      <c r="Y731" s="11" t="s">
        <v>97</v>
      </c>
      <c r="Z731" s="11">
        <v>81991262140</v>
      </c>
      <c r="AA731" s="11" t="s">
        <v>1267</v>
      </c>
      <c r="AB731" s="11" t="s">
        <v>98</v>
      </c>
      <c r="AC731" s="11"/>
      <c r="AD731" s="11" t="b">
        <v>0</v>
      </c>
      <c r="AF731" s="11" t="s">
        <v>2563</v>
      </c>
      <c r="AG731" s="11" t="s">
        <v>2564</v>
      </c>
      <c r="AH731" s="11"/>
      <c r="AI731" s="11"/>
    </row>
    <row r="732" ht="12.5" spans="1:35">
      <c r="A732" s="177">
        <v>45241.5516254861</v>
      </c>
      <c r="B732" s="11" t="s">
        <v>2565</v>
      </c>
      <c r="C732" s="19">
        <v>71714309444</v>
      </c>
      <c r="D732" s="19">
        <v>898003292542652</v>
      </c>
      <c r="E732" s="18" t="s">
        <v>2566</v>
      </c>
      <c r="F732" s="11" t="s">
        <v>40</v>
      </c>
      <c r="G732" s="11" t="s">
        <v>54</v>
      </c>
      <c r="H732" s="24">
        <v>37851</v>
      </c>
      <c r="I732" s="19" t="s">
        <v>136</v>
      </c>
      <c r="J732" s="11" t="s">
        <v>81</v>
      </c>
      <c r="K732" s="108"/>
      <c r="L732" s="11" t="s">
        <v>109</v>
      </c>
      <c r="N732" s="11" t="s">
        <v>43</v>
      </c>
      <c r="O732" s="11" t="s">
        <v>44</v>
      </c>
      <c r="P732" s="11" t="s">
        <v>44</v>
      </c>
      <c r="Q732" s="11" t="s">
        <v>44</v>
      </c>
      <c r="R732" s="11" t="s">
        <v>45</v>
      </c>
      <c r="S732" s="11" t="s">
        <v>44</v>
      </c>
      <c r="T732" s="11" t="s">
        <v>44</v>
      </c>
      <c r="U732" s="11" t="s">
        <v>45</v>
      </c>
      <c r="V732" s="24">
        <v>45241</v>
      </c>
      <c r="W732" s="11" t="s">
        <v>46</v>
      </c>
      <c r="X732" s="11" t="s">
        <v>303</v>
      </c>
      <c r="Y732" s="11" t="s">
        <v>58</v>
      </c>
      <c r="Z732" s="11">
        <v>81999668497</v>
      </c>
      <c r="AA732" s="11" t="s">
        <v>91</v>
      </c>
      <c r="AB732" s="11" t="s">
        <v>98</v>
      </c>
      <c r="AC732" s="11"/>
      <c r="AD732" s="11" t="b">
        <v>0</v>
      </c>
      <c r="AF732" s="11" t="s">
        <v>2567</v>
      </c>
      <c r="AG732" s="11" t="s">
        <v>2568</v>
      </c>
      <c r="AH732" s="11"/>
      <c r="AI732" s="11"/>
    </row>
    <row r="733" ht="12.5" spans="1:35">
      <c r="A733" s="177">
        <v>45242.4346099306</v>
      </c>
      <c r="B733" s="11" t="s">
        <v>2569</v>
      </c>
      <c r="C733" s="277" t="s">
        <v>2570</v>
      </c>
      <c r="D733" s="19">
        <v>706900193331433</v>
      </c>
      <c r="E733" s="18" t="s">
        <v>2571</v>
      </c>
      <c r="F733" s="11" t="s">
        <v>40</v>
      </c>
      <c r="G733" s="11" t="s">
        <v>54</v>
      </c>
      <c r="H733" s="24">
        <v>45115</v>
      </c>
      <c r="I733" s="277" t="s">
        <v>2572</v>
      </c>
      <c r="J733" s="11" t="s">
        <v>2573</v>
      </c>
      <c r="K733" s="108"/>
      <c r="N733" s="11" t="s">
        <v>43</v>
      </c>
      <c r="O733" s="11" t="s">
        <v>96</v>
      </c>
      <c r="P733" s="11" t="s">
        <v>56</v>
      </c>
      <c r="Q733" s="11" t="s">
        <v>45</v>
      </c>
      <c r="R733" s="11" t="s">
        <v>45</v>
      </c>
      <c r="S733" s="11" t="s">
        <v>44</v>
      </c>
      <c r="T733" s="11" t="s">
        <v>44</v>
      </c>
      <c r="U733" s="11" t="s">
        <v>45</v>
      </c>
      <c r="V733" s="24">
        <v>45244</v>
      </c>
      <c r="W733" s="11" t="s">
        <v>46</v>
      </c>
      <c r="X733" s="11" t="s">
        <v>156</v>
      </c>
      <c r="Y733" s="11" t="s">
        <v>58</v>
      </c>
      <c r="Z733" s="11">
        <v>81984673362</v>
      </c>
      <c r="AA733" s="11" t="s">
        <v>91</v>
      </c>
      <c r="AB733" s="11" t="s">
        <v>49</v>
      </c>
      <c r="AC733" s="11" t="s">
        <v>92</v>
      </c>
      <c r="AD733" s="11" t="b">
        <v>1</v>
      </c>
      <c r="AE733" s="11" t="s">
        <v>137</v>
      </c>
      <c r="AF733" s="11" t="s">
        <v>2574</v>
      </c>
      <c r="AG733" s="11" t="s">
        <v>2575</v>
      </c>
      <c r="AH733" s="11"/>
      <c r="AI733" s="11"/>
    </row>
    <row r="734" ht="12.5" spans="1:35">
      <c r="A734" s="177">
        <v>45243.5511017593</v>
      </c>
      <c r="B734" s="11" t="s">
        <v>2576</v>
      </c>
      <c r="C734" s="277" t="s">
        <v>2577</v>
      </c>
      <c r="D734" s="19">
        <v>703008898676378</v>
      </c>
      <c r="E734" s="18" t="s">
        <v>2578</v>
      </c>
      <c r="F734" s="11" t="s">
        <v>40</v>
      </c>
      <c r="G734" s="11" t="s">
        <v>41</v>
      </c>
      <c r="H734" s="24">
        <v>31438</v>
      </c>
      <c r="I734" s="277" t="s">
        <v>2339</v>
      </c>
      <c r="J734" s="11" t="s">
        <v>2507</v>
      </c>
      <c r="K734" s="108"/>
      <c r="M734" s="11" t="s">
        <v>2579</v>
      </c>
      <c r="N734" s="11" t="s">
        <v>43</v>
      </c>
      <c r="O734" s="11" t="s">
        <v>96</v>
      </c>
      <c r="P734" s="11" t="s">
        <v>56</v>
      </c>
      <c r="Q734" s="11" t="s">
        <v>45</v>
      </c>
      <c r="R734" s="11" t="s">
        <v>45</v>
      </c>
      <c r="S734" s="11" t="s">
        <v>45</v>
      </c>
      <c r="T734" s="11" t="s">
        <v>44</v>
      </c>
      <c r="U734" s="11" t="s">
        <v>45</v>
      </c>
      <c r="V734" s="24">
        <v>45245</v>
      </c>
      <c r="W734" s="11" t="s">
        <v>57</v>
      </c>
      <c r="X734" s="11" t="s">
        <v>47</v>
      </c>
      <c r="Y734" s="11" t="s">
        <v>58</v>
      </c>
      <c r="Z734" s="11">
        <v>81986970750</v>
      </c>
      <c r="AA734" s="11" t="s">
        <v>1360</v>
      </c>
      <c r="AB734" s="11" t="s">
        <v>49</v>
      </c>
      <c r="AC734" s="11" t="s">
        <v>50</v>
      </c>
      <c r="AD734" s="11" t="b">
        <v>1</v>
      </c>
      <c r="AE734" s="11" t="s">
        <v>137</v>
      </c>
      <c r="AF734" s="11" t="s">
        <v>2580</v>
      </c>
      <c r="AG734" s="11" t="s">
        <v>2581</v>
      </c>
      <c r="AH734" s="11" t="s">
        <v>2582</v>
      </c>
      <c r="AI734" s="11"/>
    </row>
    <row r="735" ht="12.5" spans="1:35">
      <c r="A735" s="177">
        <v>45243.83068375</v>
      </c>
      <c r="B735" s="11" t="s">
        <v>2583</v>
      </c>
      <c r="C735" s="19">
        <v>14320726766</v>
      </c>
      <c r="D735" s="19">
        <v>700804961486083</v>
      </c>
      <c r="E735" s="18" t="s">
        <v>2584</v>
      </c>
      <c r="F735" s="11" t="s">
        <v>225</v>
      </c>
      <c r="G735" s="11" t="s">
        <v>54</v>
      </c>
      <c r="H735" s="24">
        <v>35503</v>
      </c>
      <c r="I735" s="277" t="s">
        <v>2056</v>
      </c>
      <c r="J735" s="11" t="s">
        <v>42</v>
      </c>
      <c r="K735" s="108" t="s">
        <v>2540</v>
      </c>
      <c r="N735" s="11" t="s">
        <v>43</v>
      </c>
      <c r="O735" s="11" t="s">
        <v>44</v>
      </c>
      <c r="P735" s="11" t="s">
        <v>44</v>
      </c>
      <c r="Q735" s="11" t="s">
        <v>45</v>
      </c>
      <c r="R735" s="11" t="s">
        <v>45</v>
      </c>
      <c r="S735" s="11" t="s">
        <v>45</v>
      </c>
      <c r="T735" s="11" t="s">
        <v>44</v>
      </c>
      <c r="U735" s="11" t="s">
        <v>44</v>
      </c>
      <c r="W735" s="11" t="s">
        <v>46</v>
      </c>
      <c r="X735" s="11" t="s">
        <v>203</v>
      </c>
      <c r="Y735" s="11" t="s">
        <v>58</v>
      </c>
      <c r="Z735" s="11">
        <v>81987944918</v>
      </c>
      <c r="AA735" s="11" t="s">
        <v>1360</v>
      </c>
      <c r="AB735" s="11"/>
      <c r="AC735" s="11"/>
      <c r="AD735" s="11" t="b">
        <v>0</v>
      </c>
      <c r="AF735" s="11"/>
      <c r="AG735" s="11"/>
      <c r="AH735" s="11"/>
      <c r="AI735" s="11"/>
    </row>
    <row r="736" ht="12.5" spans="1:35">
      <c r="A736" s="177">
        <v>45243.8426170486</v>
      </c>
      <c r="B736" s="11" t="s">
        <v>2585</v>
      </c>
      <c r="C736" s="19">
        <v>15819343433</v>
      </c>
      <c r="D736" s="19">
        <v>702408513624427</v>
      </c>
      <c r="E736" s="18" t="s">
        <v>2586</v>
      </c>
      <c r="F736" s="11" t="s">
        <v>225</v>
      </c>
      <c r="G736" s="11" t="s">
        <v>54</v>
      </c>
      <c r="H736" s="24">
        <v>37637</v>
      </c>
      <c r="I736" s="277" t="s">
        <v>1679</v>
      </c>
      <c r="J736" s="11" t="s">
        <v>42</v>
      </c>
      <c r="K736" s="108" t="s">
        <v>202</v>
      </c>
      <c r="N736" s="11" t="s">
        <v>43</v>
      </c>
      <c r="O736" s="11" t="s">
        <v>96</v>
      </c>
      <c r="P736" s="11" t="s">
        <v>66</v>
      </c>
      <c r="Q736" s="11" t="s">
        <v>44</v>
      </c>
      <c r="R736" s="11" t="s">
        <v>45</v>
      </c>
      <c r="S736" s="11" t="s">
        <v>44</v>
      </c>
      <c r="T736" s="11" t="s">
        <v>44</v>
      </c>
      <c r="U736" s="11" t="s">
        <v>45</v>
      </c>
      <c r="V736" s="24">
        <v>45244</v>
      </c>
      <c r="W736" s="11" t="s">
        <v>46</v>
      </c>
      <c r="X736" s="11" t="s">
        <v>203</v>
      </c>
      <c r="Y736" s="11" t="s">
        <v>58</v>
      </c>
      <c r="Z736" s="11">
        <v>81981659368</v>
      </c>
      <c r="AA736" s="11" t="s">
        <v>1360</v>
      </c>
      <c r="AB736" s="11" t="s">
        <v>49</v>
      </c>
      <c r="AC736" s="11" t="s">
        <v>1319</v>
      </c>
      <c r="AD736" s="11" t="b">
        <v>0</v>
      </c>
      <c r="AF736" s="11"/>
      <c r="AG736" s="11"/>
      <c r="AH736" s="11" t="s">
        <v>2587</v>
      </c>
      <c r="AI736" s="11"/>
    </row>
    <row r="737" ht="12.5" spans="1:35">
      <c r="A737" s="177">
        <v>45244.4210548495</v>
      </c>
      <c r="B737" s="11" t="s">
        <v>2585</v>
      </c>
      <c r="C737" s="19">
        <v>15819343433</v>
      </c>
      <c r="D737" s="19">
        <v>702408513624427</v>
      </c>
      <c r="F737" s="11" t="s">
        <v>225</v>
      </c>
      <c r="G737" s="11" t="s">
        <v>54</v>
      </c>
      <c r="H737" s="24">
        <v>37637</v>
      </c>
      <c r="I737" s="277" t="s">
        <v>1679</v>
      </c>
      <c r="J737" s="11" t="s">
        <v>42</v>
      </c>
      <c r="K737" s="108" t="s">
        <v>202</v>
      </c>
      <c r="N737" s="11" t="s">
        <v>95</v>
      </c>
      <c r="O737" s="11" t="s">
        <v>44</v>
      </c>
      <c r="P737" s="11" t="s">
        <v>44</v>
      </c>
      <c r="Q737" s="11" t="s">
        <v>44</v>
      </c>
      <c r="R737" s="11" t="s">
        <v>45</v>
      </c>
      <c r="S737" s="11" t="s">
        <v>44</v>
      </c>
      <c r="T737" s="11" t="s">
        <v>44</v>
      </c>
      <c r="U737" s="11" t="s">
        <v>44</v>
      </c>
      <c r="W737" s="11" t="s">
        <v>57</v>
      </c>
      <c r="X737" s="11" t="s">
        <v>97</v>
      </c>
      <c r="Y737" s="11" t="s">
        <v>97</v>
      </c>
      <c r="Z737" s="11">
        <v>81981659368</v>
      </c>
      <c r="AA737" s="11" t="s">
        <v>1267</v>
      </c>
      <c r="AB737" s="11"/>
      <c r="AC737" s="11"/>
      <c r="AD737" s="11" t="b">
        <v>0</v>
      </c>
      <c r="AF737" s="11" t="s">
        <v>2588</v>
      </c>
      <c r="AG737" s="11"/>
      <c r="AH737" s="11"/>
      <c r="AI737" s="11"/>
    </row>
    <row r="738" ht="12.5" spans="1:35">
      <c r="A738" s="177">
        <v>45244.441706713</v>
      </c>
      <c r="B738" s="11" t="s">
        <v>2569</v>
      </c>
      <c r="C738" s="277" t="s">
        <v>2570</v>
      </c>
      <c r="D738" s="19">
        <v>706900193331433</v>
      </c>
      <c r="E738" s="18" t="s">
        <v>2589</v>
      </c>
      <c r="F738" s="11" t="s">
        <v>40</v>
      </c>
      <c r="G738" s="11" t="s">
        <v>54</v>
      </c>
      <c r="H738" s="24">
        <v>45115</v>
      </c>
      <c r="I738" s="277" t="s">
        <v>2572</v>
      </c>
      <c r="J738" s="11" t="s">
        <v>42</v>
      </c>
      <c r="K738" s="108" t="s">
        <v>2590</v>
      </c>
      <c r="N738" s="11" t="s">
        <v>95</v>
      </c>
      <c r="O738" s="11" t="s">
        <v>44</v>
      </c>
      <c r="P738" s="11" t="s">
        <v>44</v>
      </c>
      <c r="Q738" s="11" t="s">
        <v>44</v>
      </c>
      <c r="R738" s="11" t="s">
        <v>45</v>
      </c>
      <c r="S738" s="11" t="s">
        <v>83</v>
      </c>
      <c r="T738" s="11" t="s">
        <v>44</v>
      </c>
      <c r="U738" s="11" t="s">
        <v>45</v>
      </c>
      <c r="V738" s="24"/>
      <c r="W738" s="11" t="s">
        <v>46</v>
      </c>
      <c r="X738" s="11" t="s">
        <v>97</v>
      </c>
      <c r="Y738" s="11" t="s">
        <v>97</v>
      </c>
      <c r="Z738" s="11">
        <v>81984673362</v>
      </c>
      <c r="AA738" s="11" t="s">
        <v>91</v>
      </c>
      <c r="AB738" s="11"/>
      <c r="AC738" s="11"/>
      <c r="AD738" s="11" t="b">
        <v>0</v>
      </c>
      <c r="AF738" s="11" t="s">
        <v>2591</v>
      </c>
      <c r="AG738" s="11"/>
      <c r="AH738" s="11"/>
      <c r="AI738" s="11"/>
    </row>
    <row r="739" ht="12.5" spans="1:35">
      <c r="A739" s="177">
        <v>45244.5602988773</v>
      </c>
      <c r="B739" s="11" t="s">
        <v>2592</v>
      </c>
      <c r="C739" s="19">
        <v>15953902433</v>
      </c>
      <c r="D739" s="19">
        <v>706505362955291</v>
      </c>
      <c r="E739" s="18" t="s">
        <v>2593</v>
      </c>
      <c r="F739" s="11" t="s">
        <v>40</v>
      </c>
      <c r="G739" s="11" t="s">
        <v>54</v>
      </c>
      <c r="H739" s="24">
        <v>37076</v>
      </c>
      <c r="I739" s="277" t="s">
        <v>2594</v>
      </c>
      <c r="J739" s="11" t="s">
        <v>42</v>
      </c>
      <c r="K739" s="108" t="s">
        <v>202</v>
      </c>
      <c r="N739" s="11" t="s">
        <v>43</v>
      </c>
      <c r="O739" s="11" t="s">
        <v>96</v>
      </c>
      <c r="P739" s="11" t="s">
        <v>66</v>
      </c>
      <c r="Q739" s="11" t="s">
        <v>44</v>
      </c>
      <c r="R739" s="11" t="s">
        <v>45</v>
      </c>
      <c r="S739" s="11" t="s">
        <v>44</v>
      </c>
      <c r="T739" s="11" t="s">
        <v>44</v>
      </c>
      <c r="U739" s="11" t="s">
        <v>45</v>
      </c>
      <c r="V739" s="24">
        <v>45245</v>
      </c>
      <c r="W739" s="11" t="s">
        <v>46</v>
      </c>
      <c r="X739" s="11" t="s">
        <v>47</v>
      </c>
      <c r="Y739" s="11" t="s">
        <v>58</v>
      </c>
      <c r="Z739" s="11">
        <v>81986394297</v>
      </c>
      <c r="AA739" s="11" t="s">
        <v>1267</v>
      </c>
      <c r="AB739" s="11" t="s">
        <v>98</v>
      </c>
      <c r="AC739" s="11"/>
      <c r="AD739" s="11" t="b">
        <v>0</v>
      </c>
      <c r="AF739" s="11" t="s">
        <v>2595</v>
      </c>
      <c r="AG739" s="11"/>
      <c r="AH739" s="11"/>
      <c r="AI739" s="11"/>
    </row>
    <row r="740" ht="12.5" spans="1:35">
      <c r="A740" s="177">
        <v>45244.6106240741</v>
      </c>
      <c r="B740" s="11" t="s">
        <v>2569</v>
      </c>
      <c r="C740" s="277" t="s">
        <v>2570</v>
      </c>
      <c r="D740" s="19">
        <v>706900193331433</v>
      </c>
      <c r="E740" s="18" t="s">
        <v>2596</v>
      </c>
      <c r="F740" s="11" t="s">
        <v>40</v>
      </c>
      <c r="G740" s="11" t="s">
        <v>54</v>
      </c>
      <c r="H740" s="24">
        <v>33427</v>
      </c>
      <c r="I740" s="277" t="s">
        <v>2572</v>
      </c>
      <c r="J740" s="11" t="s">
        <v>2573</v>
      </c>
      <c r="K740" s="108"/>
      <c r="N740" s="11" t="s">
        <v>95</v>
      </c>
      <c r="O740" s="11" t="s">
        <v>44</v>
      </c>
      <c r="P740" s="11" t="s">
        <v>44</v>
      </c>
      <c r="Q740" s="11" t="s">
        <v>45</v>
      </c>
      <c r="R740" s="11" t="s">
        <v>45</v>
      </c>
      <c r="S740" s="11" t="s">
        <v>45</v>
      </c>
      <c r="T740" s="11" t="s">
        <v>45</v>
      </c>
      <c r="U740" s="11" t="s">
        <v>44</v>
      </c>
      <c r="W740" s="11" t="s">
        <v>46</v>
      </c>
      <c r="X740" s="11" t="s">
        <v>97</v>
      </c>
      <c r="Y740" s="11" t="s">
        <v>97</v>
      </c>
      <c r="Z740" s="11">
        <v>81984673362</v>
      </c>
      <c r="AA740" s="11" t="s">
        <v>113</v>
      </c>
      <c r="AB740" s="11"/>
      <c r="AC740" s="11"/>
      <c r="AD740" s="11" t="b">
        <v>0</v>
      </c>
      <c r="AF740" s="11"/>
      <c r="AG740" s="11"/>
      <c r="AH740" s="11"/>
      <c r="AI740" s="11"/>
    </row>
    <row r="741" ht="12.5" spans="1:35">
      <c r="A741" s="177">
        <v>45244.7098041551</v>
      </c>
      <c r="B741" s="11" t="s">
        <v>2597</v>
      </c>
      <c r="C741" s="19">
        <v>11237571430</v>
      </c>
      <c r="D741" s="19">
        <v>700607443905067</v>
      </c>
      <c r="E741" s="18" t="s">
        <v>2598</v>
      </c>
      <c r="F741" s="11" t="s">
        <v>40</v>
      </c>
      <c r="G741" s="11" t="s">
        <v>54</v>
      </c>
      <c r="H741" s="24">
        <v>35886</v>
      </c>
      <c r="I741" s="277" t="s">
        <v>2599</v>
      </c>
      <c r="J741" s="11" t="s">
        <v>42</v>
      </c>
      <c r="K741" s="108" t="s">
        <v>427</v>
      </c>
      <c r="N741" s="11" t="s">
        <v>43</v>
      </c>
      <c r="O741" s="11" t="s">
        <v>96</v>
      </c>
      <c r="P741" s="11" t="s">
        <v>56</v>
      </c>
      <c r="Q741" s="11" t="s">
        <v>44</v>
      </c>
      <c r="R741" s="11" t="s">
        <v>45</v>
      </c>
      <c r="S741" s="11" t="s">
        <v>44</v>
      </c>
      <c r="T741" s="11" t="s">
        <v>44</v>
      </c>
      <c r="U741" s="11" t="s">
        <v>45</v>
      </c>
      <c r="V741" s="24">
        <v>45245</v>
      </c>
      <c r="W741" s="11" t="s">
        <v>46</v>
      </c>
      <c r="X741" s="11" t="s">
        <v>47</v>
      </c>
      <c r="Y741" s="11" t="s">
        <v>58</v>
      </c>
      <c r="Z741" s="11">
        <v>87999559848</v>
      </c>
      <c r="AA741" s="11" t="s">
        <v>91</v>
      </c>
      <c r="AB741" s="11" t="s">
        <v>49</v>
      </c>
      <c r="AC741" s="11" t="s">
        <v>50</v>
      </c>
      <c r="AD741" s="11" t="b">
        <v>0</v>
      </c>
      <c r="AF741" s="214" t="s">
        <v>2600</v>
      </c>
      <c r="AG741" s="11"/>
      <c r="AH741" s="11"/>
      <c r="AI741" s="11"/>
    </row>
    <row r="742" ht="12.5" spans="1:35">
      <c r="A742" s="177">
        <v>45245.3946487731</v>
      </c>
      <c r="B742" s="11" t="s">
        <v>2601</v>
      </c>
      <c r="C742" s="19">
        <v>71136052496</v>
      </c>
      <c r="D742" s="19">
        <v>898002058966432</v>
      </c>
      <c r="E742" s="18" t="s">
        <v>2602</v>
      </c>
      <c r="F742" s="11" t="s">
        <v>40</v>
      </c>
      <c r="G742" s="11" t="s">
        <v>54</v>
      </c>
      <c r="H742" s="24">
        <v>36602</v>
      </c>
      <c r="I742" s="277" t="s">
        <v>2603</v>
      </c>
      <c r="J742" s="11" t="s">
        <v>42</v>
      </c>
      <c r="K742" s="108" t="s">
        <v>282</v>
      </c>
      <c r="N742" s="11" t="s">
        <v>43</v>
      </c>
      <c r="O742" s="11" t="s">
        <v>65</v>
      </c>
      <c r="P742" s="11" t="s">
        <v>66</v>
      </c>
      <c r="Q742" s="11" t="s">
        <v>44</v>
      </c>
      <c r="R742" s="11" t="s">
        <v>45</v>
      </c>
      <c r="S742" s="11" t="s">
        <v>45</v>
      </c>
      <c r="T742" s="11" t="s">
        <v>44</v>
      </c>
      <c r="U742" s="11" t="s">
        <v>45</v>
      </c>
      <c r="V742" s="24">
        <v>45246</v>
      </c>
      <c r="W742" s="11" t="s">
        <v>46</v>
      </c>
      <c r="X742" s="11" t="s">
        <v>303</v>
      </c>
      <c r="Y742" s="11" t="s">
        <v>58</v>
      </c>
      <c r="Z742" s="11">
        <v>81971065968</v>
      </c>
      <c r="AA742" s="11" t="s">
        <v>115</v>
      </c>
      <c r="AB742" s="11" t="s">
        <v>98</v>
      </c>
      <c r="AC742" s="11"/>
      <c r="AD742" s="11" t="b">
        <v>0</v>
      </c>
      <c r="AF742" s="11" t="s">
        <v>1435</v>
      </c>
      <c r="AG742" s="11" t="s">
        <v>1491</v>
      </c>
      <c r="AH742" s="11"/>
      <c r="AI742" s="11"/>
    </row>
    <row r="743" ht="12.5" spans="1:35">
      <c r="A743" s="177">
        <v>45245.5661412847</v>
      </c>
      <c r="B743" s="11" t="s">
        <v>2597</v>
      </c>
      <c r="C743" s="19">
        <v>11237571430</v>
      </c>
      <c r="D743" s="19">
        <v>700607443905067</v>
      </c>
      <c r="F743" s="11" t="s">
        <v>40</v>
      </c>
      <c r="G743" s="11" t="s">
        <v>54</v>
      </c>
      <c r="H743" s="24">
        <v>35886</v>
      </c>
      <c r="I743" s="277" t="s">
        <v>2599</v>
      </c>
      <c r="J743" s="11" t="s">
        <v>42</v>
      </c>
      <c r="K743" s="108" t="s">
        <v>427</v>
      </c>
      <c r="N743" s="11" t="s">
        <v>95</v>
      </c>
      <c r="O743" s="11" t="s">
        <v>44</v>
      </c>
      <c r="P743" s="11" t="s">
        <v>56</v>
      </c>
      <c r="Q743" s="11" t="s">
        <v>44</v>
      </c>
      <c r="R743" s="11" t="s">
        <v>45</v>
      </c>
      <c r="S743" s="11" t="s">
        <v>45</v>
      </c>
      <c r="T743" s="11" t="s">
        <v>44</v>
      </c>
      <c r="U743" s="11" t="s">
        <v>45</v>
      </c>
      <c r="V743" s="24">
        <v>45247</v>
      </c>
      <c r="W743" s="11" t="s">
        <v>57</v>
      </c>
      <c r="X743" s="11" t="s">
        <v>97</v>
      </c>
      <c r="Y743" s="11" t="s">
        <v>97</v>
      </c>
      <c r="Z743" s="11">
        <v>87999559848</v>
      </c>
      <c r="AA743" s="11" t="s">
        <v>115</v>
      </c>
      <c r="AB743" s="11" t="s">
        <v>98</v>
      </c>
      <c r="AC743" s="11"/>
      <c r="AD743" s="11" t="b">
        <v>0</v>
      </c>
      <c r="AF743" s="11" t="s">
        <v>1491</v>
      </c>
      <c r="AG743" s="11" t="s">
        <v>2604</v>
      </c>
      <c r="AH743" s="11" t="s">
        <v>2036</v>
      </c>
      <c r="AI743" s="11"/>
    </row>
    <row r="744" ht="12.5" spans="1:35">
      <c r="A744" s="177">
        <v>45245.7600879977</v>
      </c>
      <c r="B744" s="11" t="s">
        <v>2576</v>
      </c>
      <c r="C744" s="277" t="s">
        <v>2577</v>
      </c>
      <c r="D744" s="19">
        <v>703008898676378</v>
      </c>
      <c r="E744" s="18" t="s">
        <v>2605</v>
      </c>
      <c r="F744" s="11" t="s">
        <v>40</v>
      </c>
      <c r="G744" s="11" t="s">
        <v>41</v>
      </c>
      <c r="H744" s="24">
        <v>31438</v>
      </c>
      <c r="I744" s="19" t="s">
        <v>865</v>
      </c>
      <c r="J744" s="11" t="s">
        <v>2507</v>
      </c>
      <c r="K744" s="108"/>
      <c r="N744" s="11" t="s">
        <v>95</v>
      </c>
      <c r="O744" s="11" t="s">
        <v>44</v>
      </c>
      <c r="P744" s="11" t="s">
        <v>44</v>
      </c>
      <c r="Q744" s="11" t="s">
        <v>45</v>
      </c>
      <c r="R744" s="11" t="s">
        <v>45</v>
      </c>
      <c r="S744" s="11" t="s">
        <v>45</v>
      </c>
      <c r="T744" s="11" t="s">
        <v>45</v>
      </c>
      <c r="U744" s="11" t="s">
        <v>45</v>
      </c>
      <c r="V744" s="24">
        <v>45248</v>
      </c>
      <c r="W744" s="11" t="s">
        <v>57</v>
      </c>
      <c r="X744" s="11" t="s">
        <v>97</v>
      </c>
      <c r="Y744" s="11" t="s">
        <v>97</v>
      </c>
      <c r="Z744" s="11">
        <v>81986970750</v>
      </c>
      <c r="AA744" s="11" t="s">
        <v>115</v>
      </c>
      <c r="AB744" s="11" t="s">
        <v>49</v>
      </c>
      <c r="AC744" s="11" t="s">
        <v>50</v>
      </c>
      <c r="AD744" s="11" t="b">
        <v>1</v>
      </c>
      <c r="AE744" s="11" t="s">
        <v>137</v>
      </c>
      <c r="AF744" s="214" t="s">
        <v>2606</v>
      </c>
      <c r="AG744" s="11"/>
      <c r="AH744" s="148" t="s">
        <v>257</v>
      </c>
      <c r="AI744" s="11"/>
    </row>
    <row r="745" ht="12.5" spans="1:35">
      <c r="A745" s="177">
        <v>45246.4480988194</v>
      </c>
      <c r="B745" s="11" t="s">
        <v>1365</v>
      </c>
      <c r="C745" s="19">
        <v>70596684460</v>
      </c>
      <c r="D745" s="19">
        <v>702407068460825</v>
      </c>
      <c r="E745" s="18" t="s">
        <v>2607</v>
      </c>
      <c r="F745" s="11" t="s">
        <v>40</v>
      </c>
      <c r="G745" s="11" t="s">
        <v>54</v>
      </c>
      <c r="H745" s="24">
        <v>35757</v>
      </c>
      <c r="I745" s="277" t="s">
        <v>1367</v>
      </c>
      <c r="J745" s="11" t="s">
        <v>42</v>
      </c>
      <c r="K745" s="108" t="s">
        <v>356</v>
      </c>
      <c r="N745" s="11" t="s">
        <v>43</v>
      </c>
      <c r="O745" s="11" t="s">
        <v>44</v>
      </c>
      <c r="P745" s="11" t="s">
        <v>44</v>
      </c>
      <c r="Q745" s="11" t="s">
        <v>44</v>
      </c>
      <c r="R745" s="11" t="s">
        <v>45</v>
      </c>
      <c r="S745" s="11" t="s">
        <v>45</v>
      </c>
      <c r="T745" s="11" t="s">
        <v>44</v>
      </c>
      <c r="U745" s="11" t="s">
        <v>44</v>
      </c>
      <c r="W745" s="11" t="s">
        <v>46</v>
      </c>
      <c r="X745" s="11" t="s">
        <v>203</v>
      </c>
      <c r="Y745" s="11" t="s">
        <v>68</v>
      </c>
      <c r="Z745" s="11">
        <v>81983228290</v>
      </c>
      <c r="AA745" s="11" t="s">
        <v>113</v>
      </c>
      <c r="AB745" s="11"/>
      <c r="AC745" s="11"/>
      <c r="AD745" s="11" t="b">
        <v>0</v>
      </c>
      <c r="AF745" s="214"/>
      <c r="AG745" s="11"/>
      <c r="AH745" s="11" t="s">
        <v>2608</v>
      </c>
      <c r="AI745" s="11"/>
    </row>
    <row r="746" ht="12.5" spans="1:35">
      <c r="A746" s="177">
        <v>45246.7731852778</v>
      </c>
      <c r="B746" s="11" t="s">
        <v>2609</v>
      </c>
      <c r="C746" s="19">
        <v>11034320440</v>
      </c>
      <c r="D746" s="19">
        <v>707600208687994</v>
      </c>
      <c r="E746" s="18" t="s">
        <v>2610</v>
      </c>
      <c r="F746" s="11" t="s">
        <v>40</v>
      </c>
      <c r="G746" s="11" t="s">
        <v>54</v>
      </c>
      <c r="H746" s="24">
        <v>33516</v>
      </c>
      <c r="I746" s="277" t="s">
        <v>2611</v>
      </c>
      <c r="J746" s="11" t="s">
        <v>42</v>
      </c>
      <c r="K746" s="108" t="s">
        <v>2612</v>
      </c>
      <c r="N746" s="11" t="s">
        <v>43</v>
      </c>
      <c r="O746" s="11" t="s">
        <v>44</v>
      </c>
      <c r="P746" s="11" t="s">
        <v>56</v>
      </c>
      <c r="Q746" s="11" t="s">
        <v>44</v>
      </c>
      <c r="R746" s="11" t="s">
        <v>45</v>
      </c>
      <c r="S746" s="11" t="s">
        <v>45</v>
      </c>
      <c r="T746" s="11" t="s">
        <v>44</v>
      </c>
      <c r="U746" s="11" t="s">
        <v>45</v>
      </c>
      <c r="V746" s="24">
        <v>45247</v>
      </c>
      <c r="W746" s="11" t="s">
        <v>46</v>
      </c>
      <c r="X746" s="11" t="s">
        <v>203</v>
      </c>
      <c r="Y746" s="11" t="s">
        <v>58</v>
      </c>
      <c r="Z746" s="11">
        <v>81991817786</v>
      </c>
      <c r="AA746" s="11" t="s">
        <v>115</v>
      </c>
      <c r="AB746" s="11" t="s">
        <v>98</v>
      </c>
      <c r="AC746" s="11"/>
      <c r="AD746" s="11" t="b">
        <v>0</v>
      </c>
      <c r="AF746" s="11" t="s">
        <v>2613</v>
      </c>
      <c r="AG746" s="11" t="s">
        <v>2614</v>
      </c>
      <c r="AH746" s="11" t="s">
        <v>2172</v>
      </c>
      <c r="AI746" s="11"/>
    </row>
    <row r="747" ht="12.5" spans="1:35">
      <c r="A747" s="177">
        <v>45247.5141883681</v>
      </c>
      <c r="B747" s="11" t="s">
        <v>1660</v>
      </c>
      <c r="C747" s="19">
        <v>70557677416</v>
      </c>
      <c r="D747" s="19">
        <v>706403690402883</v>
      </c>
      <c r="E747" s="18" t="s">
        <v>2615</v>
      </c>
      <c r="F747" s="11" t="s">
        <v>40</v>
      </c>
      <c r="G747" s="11" t="s">
        <v>41</v>
      </c>
      <c r="H747" s="24">
        <v>36390</v>
      </c>
      <c r="I747" s="277" t="s">
        <v>1662</v>
      </c>
      <c r="J747" s="11" t="s">
        <v>42</v>
      </c>
      <c r="K747" s="108" t="s">
        <v>2616</v>
      </c>
      <c r="N747" s="11" t="s">
        <v>43</v>
      </c>
      <c r="O747" s="11" t="s">
        <v>44</v>
      </c>
      <c r="P747" s="11" t="s">
        <v>44</v>
      </c>
      <c r="Q747" s="11" t="s">
        <v>44</v>
      </c>
      <c r="R747" s="11" t="s">
        <v>45</v>
      </c>
      <c r="S747" s="11" t="s">
        <v>45</v>
      </c>
      <c r="T747" s="11" t="s">
        <v>44</v>
      </c>
      <c r="U747" s="11" t="s">
        <v>44</v>
      </c>
      <c r="W747" s="11" t="s">
        <v>46</v>
      </c>
      <c r="X747" s="11" t="s">
        <v>47</v>
      </c>
      <c r="Y747" s="11" t="s">
        <v>58</v>
      </c>
      <c r="Z747" s="11">
        <v>81984236474</v>
      </c>
      <c r="AA747" s="11" t="s">
        <v>1360</v>
      </c>
      <c r="AB747" s="11"/>
      <c r="AC747" s="11"/>
      <c r="AD747" s="11" t="b">
        <v>0</v>
      </c>
      <c r="AF747" s="11"/>
      <c r="AG747" s="11"/>
      <c r="AH747" s="63" t="s">
        <v>2617</v>
      </c>
      <c r="AI747" s="11"/>
    </row>
    <row r="748" ht="12.5" spans="1:35">
      <c r="A748" s="177">
        <v>45248.3800600347</v>
      </c>
      <c r="B748" s="136" t="s">
        <v>2618</v>
      </c>
      <c r="C748" s="19">
        <v>70294687408</v>
      </c>
      <c r="D748" s="19">
        <v>706601511240510</v>
      </c>
      <c r="E748" s="18" t="s">
        <v>2619</v>
      </c>
      <c r="F748" s="11" t="s">
        <v>40</v>
      </c>
      <c r="G748" s="11" t="s">
        <v>41</v>
      </c>
      <c r="H748" s="24">
        <v>34816</v>
      </c>
      <c r="I748" s="277" t="s">
        <v>2620</v>
      </c>
      <c r="J748" s="11" t="s">
        <v>42</v>
      </c>
      <c r="K748" s="108" t="s">
        <v>74</v>
      </c>
      <c r="N748" s="11" t="s">
        <v>43</v>
      </c>
      <c r="O748" s="11" t="s">
        <v>44</v>
      </c>
      <c r="P748" s="11" t="s">
        <v>44</v>
      </c>
      <c r="Q748" s="11" t="s">
        <v>44</v>
      </c>
      <c r="R748" s="11" t="s">
        <v>45</v>
      </c>
      <c r="S748" s="11" t="s">
        <v>45</v>
      </c>
      <c r="T748" s="11" t="s">
        <v>44</v>
      </c>
      <c r="U748" s="11" t="s">
        <v>44</v>
      </c>
      <c r="W748" s="11" t="s">
        <v>46</v>
      </c>
      <c r="X748" s="11" t="s">
        <v>303</v>
      </c>
      <c r="Y748" s="11" t="s">
        <v>58</v>
      </c>
      <c r="Z748" s="11">
        <v>81985283060</v>
      </c>
      <c r="AA748" s="11" t="s">
        <v>115</v>
      </c>
      <c r="AB748" s="11"/>
      <c r="AC748" s="11"/>
      <c r="AD748" s="11" t="b">
        <v>0</v>
      </c>
      <c r="AF748" s="11"/>
      <c r="AG748" s="11"/>
      <c r="AH748" s="11"/>
      <c r="AI748" s="11"/>
    </row>
    <row r="749" ht="12.5" spans="1:35">
      <c r="A749" s="177">
        <v>45248.7176772106</v>
      </c>
      <c r="B749" s="11" t="s">
        <v>2576</v>
      </c>
      <c r="C749" s="277" t="s">
        <v>2577</v>
      </c>
      <c r="D749" s="19">
        <v>703008898676378</v>
      </c>
      <c r="E749" s="18" t="s">
        <v>2621</v>
      </c>
      <c r="F749" s="11" t="s">
        <v>40</v>
      </c>
      <c r="G749" s="11" t="s">
        <v>41</v>
      </c>
      <c r="H749" s="24">
        <v>31438</v>
      </c>
      <c r="I749" s="19" t="s">
        <v>865</v>
      </c>
      <c r="J749" s="11" t="s">
        <v>2507</v>
      </c>
      <c r="K749" s="108"/>
      <c r="N749" s="11" t="s">
        <v>95</v>
      </c>
      <c r="O749" s="11" t="s">
        <v>44</v>
      </c>
      <c r="P749" s="11" t="s">
        <v>44</v>
      </c>
      <c r="Q749" s="11" t="s">
        <v>44</v>
      </c>
      <c r="R749" s="11" t="s">
        <v>45</v>
      </c>
      <c r="S749" s="11" t="s">
        <v>45</v>
      </c>
      <c r="T749" s="11" t="s">
        <v>44</v>
      </c>
      <c r="U749" s="11" t="s">
        <v>44</v>
      </c>
      <c r="W749" s="11" t="s">
        <v>57</v>
      </c>
      <c r="X749" s="11" t="s">
        <v>97</v>
      </c>
      <c r="Y749" s="11" t="s">
        <v>97</v>
      </c>
      <c r="Z749" s="11">
        <v>81986970750</v>
      </c>
      <c r="AA749" s="11" t="s">
        <v>115</v>
      </c>
      <c r="AB749" s="11"/>
      <c r="AC749" s="11"/>
      <c r="AD749" s="11" t="b">
        <v>0</v>
      </c>
      <c r="AF749" s="11"/>
      <c r="AG749" s="11"/>
      <c r="AH749" s="11"/>
      <c r="AI749" s="11"/>
    </row>
    <row r="750" ht="12.5" spans="1:35">
      <c r="A750" s="177">
        <v>45248.7708709375</v>
      </c>
      <c r="B750" s="136" t="s">
        <v>2622</v>
      </c>
      <c r="C750" s="217">
        <v>70534816460</v>
      </c>
      <c r="D750" s="19">
        <v>701808284741275</v>
      </c>
      <c r="F750" s="11" t="s">
        <v>40</v>
      </c>
      <c r="G750" s="11" t="s">
        <v>54</v>
      </c>
      <c r="H750" s="24">
        <v>36031</v>
      </c>
      <c r="I750" s="277" t="s">
        <v>1408</v>
      </c>
      <c r="J750" s="11" t="s">
        <v>42</v>
      </c>
      <c r="K750" s="108" t="s">
        <v>63</v>
      </c>
      <c r="N750" s="11" t="s">
        <v>43</v>
      </c>
      <c r="O750" s="11" t="s">
        <v>65</v>
      </c>
      <c r="P750" s="11" t="s">
        <v>66</v>
      </c>
      <c r="Q750" s="11" t="s">
        <v>44</v>
      </c>
      <c r="R750" s="11" t="s">
        <v>45</v>
      </c>
      <c r="S750" s="11" t="s">
        <v>83</v>
      </c>
      <c r="T750" s="11" t="s">
        <v>44</v>
      </c>
      <c r="U750" s="11" t="s">
        <v>45</v>
      </c>
      <c r="V750" s="24">
        <v>45249</v>
      </c>
      <c r="W750" s="11" t="s">
        <v>46</v>
      </c>
      <c r="X750" s="11" t="s">
        <v>303</v>
      </c>
      <c r="Y750" s="11" t="s">
        <v>58</v>
      </c>
      <c r="Z750" s="11">
        <v>81999690193</v>
      </c>
      <c r="AA750" s="11" t="s">
        <v>91</v>
      </c>
      <c r="AB750" s="11" t="s">
        <v>98</v>
      </c>
      <c r="AC750" s="11"/>
      <c r="AD750" s="11" t="b">
        <v>0</v>
      </c>
      <c r="AF750" s="11" t="s">
        <v>2623</v>
      </c>
      <c r="AG750" s="11" t="s">
        <v>2251</v>
      </c>
      <c r="AH750" s="11"/>
      <c r="AI750" s="11"/>
    </row>
    <row r="751" ht="12.5" spans="1:35">
      <c r="A751" s="177">
        <v>45249.3574909259</v>
      </c>
      <c r="B751" s="136" t="s">
        <v>2624</v>
      </c>
      <c r="C751" s="19">
        <v>70837351405</v>
      </c>
      <c r="D751" s="19">
        <v>704204284423989</v>
      </c>
      <c r="E751" s="18" t="s">
        <v>2625</v>
      </c>
      <c r="F751" s="11" t="s">
        <v>40</v>
      </c>
      <c r="G751" s="11" t="s">
        <v>54</v>
      </c>
      <c r="H751" s="24">
        <v>35659</v>
      </c>
      <c r="I751" s="277" t="s">
        <v>2626</v>
      </c>
      <c r="J751" s="11" t="s">
        <v>42</v>
      </c>
      <c r="K751" s="108" t="s">
        <v>202</v>
      </c>
      <c r="N751" s="11" t="s">
        <v>43</v>
      </c>
      <c r="O751" s="11" t="s">
        <v>44</v>
      </c>
      <c r="P751" s="11" t="s">
        <v>44</v>
      </c>
      <c r="Q751" s="11" t="s">
        <v>44</v>
      </c>
      <c r="R751" s="11" t="s">
        <v>45</v>
      </c>
      <c r="S751" s="11" t="s">
        <v>45</v>
      </c>
      <c r="T751" s="11" t="s">
        <v>44</v>
      </c>
      <c r="U751" s="11" t="s">
        <v>44</v>
      </c>
      <c r="W751" s="11" t="s">
        <v>46</v>
      </c>
      <c r="X751" s="11" t="s">
        <v>156</v>
      </c>
      <c r="Y751" s="11" t="s">
        <v>58</v>
      </c>
      <c r="Z751" s="11">
        <v>81987133870</v>
      </c>
      <c r="AA751" s="11" t="s">
        <v>1360</v>
      </c>
      <c r="AB751" s="11"/>
      <c r="AC751" s="11"/>
      <c r="AD751" s="11" t="b">
        <v>0</v>
      </c>
      <c r="AF751" s="11"/>
      <c r="AG751" s="11"/>
      <c r="AH751" s="11"/>
      <c r="AI751" s="11"/>
    </row>
    <row r="752" ht="12.5" spans="1:35">
      <c r="A752" s="177">
        <v>45249.4295202199</v>
      </c>
      <c r="B752" s="136" t="s">
        <v>2627</v>
      </c>
      <c r="C752" s="19">
        <v>10816028486</v>
      </c>
      <c r="D752" s="19">
        <v>700502539523455</v>
      </c>
      <c r="E752" s="18" t="s">
        <v>2628</v>
      </c>
      <c r="F752" s="11" t="s">
        <v>40</v>
      </c>
      <c r="G752" s="11" t="s">
        <v>54</v>
      </c>
      <c r="H752" s="24">
        <v>34477</v>
      </c>
      <c r="I752" s="277" t="s">
        <v>2629</v>
      </c>
      <c r="J752" s="11" t="s">
        <v>42</v>
      </c>
      <c r="K752" s="108" t="s">
        <v>399</v>
      </c>
      <c r="N752" s="11" t="s">
        <v>43</v>
      </c>
      <c r="O752" s="11" t="s">
        <v>44</v>
      </c>
      <c r="P752" s="11" t="s">
        <v>44</v>
      </c>
      <c r="Q752" s="11" t="s">
        <v>44</v>
      </c>
      <c r="R752" s="11" t="s">
        <v>45</v>
      </c>
      <c r="S752" s="11" t="s">
        <v>44</v>
      </c>
      <c r="T752" s="11" t="s">
        <v>44</v>
      </c>
      <c r="U752" s="11" t="s">
        <v>44</v>
      </c>
      <c r="W752" s="11" t="s">
        <v>46</v>
      </c>
      <c r="X752" s="11" t="s">
        <v>303</v>
      </c>
      <c r="Y752" s="11" t="s">
        <v>58</v>
      </c>
      <c r="Z752" s="11">
        <v>81985794011</v>
      </c>
      <c r="AA752" s="11" t="s">
        <v>1360</v>
      </c>
      <c r="AB752" s="11"/>
      <c r="AC752" s="11"/>
      <c r="AD752" s="11" t="b">
        <v>0</v>
      </c>
      <c r="AF752" s="11"/>
      <c r="AG752" s="11"/>
      <c r="AH752" s="11"/>
      <c r="AI752" s="11"/>
    </row>
    <row r="753" ht="12.5" spans="1:35">
      <c r="A753" s="177">
        <v>45249.5597633912</v>
      </c>
      <c r="B753" s="136" t="s">
        <v>2630</v>
      </c>
      <c r="C753" s="277" t="s">
        <v>2631</v>
      </c>
      <c r="D753" s="19">
        <v>200344031610009</v>
      </c>
      <c r="E753" s="18" t="s">
        <v>2632</v>
      </c>
      <c r="F753" s="11" t="s">
        <v>40</v>
      </c>
      <c r="G753" s="11" t="s">
        <v>88</v>
      </c>
      <c r="H753" s="24">
        <v>35577</v>
      </c>
      <c r="I753" s="277" t="s">
        <v>2633</v>
      </c>
      <c r="J753" s="11" t="s">
        <v>42</v>
      </c>
      <c r="K753" s="108" t="s">
        <v>2634</v>
      </c>
      <c r="N753" s="11" t="s">
        <v>43</v>
      </c>
      <c r="O753" s="11" t="s">
        <v>44</v>
      </c>
      <c r="P753" s="11" t="s">
        <v>44</v>
      </c>
      <c r="Q753" s="11" t="s">
        <v>44</v>
      </c>
      <c r="R753" s="11" t="s">
        <v>45</v>
      </c>
      <c r="S753" s="11" t="s">
        <v>45</v>
      </c>
      <c r="T753" s="11" t="s">
        <v>44</v>
      </c>
      <c r="U753" s="11" t="s">
        <v>44</v>
      </c>
      <c r="W753" s="11" t="s">
        <v>46</v>
      </c>
      <c r="X753" s="11" t="s">
        <v>303</v>
      </c>
      <c r="Y753" s="11" t="s">
        <v>58</v>
      </c>
      <c r="Z753" s="11">
        <v>81985740316</v>
      </c>
      <c r="AA753" s="11" t="s">
        <v>1360</v>
      </c>
      <c r="AB753" s="11"/>
      <c r="AC753" s="11"/>
      <c r="AD753" s="11" t="b">
        <v>0</v>
      </c>
      <c r="AF753" s="11"/>
      <c r="AG753" s="11"/>
      <c r="AH753" s="11"/>
      <c r="AI753" s="11"/>
    </row>
    <row r="754" ht="12.5" spans="1:35">
      <c r="A754" s="177">
        <v>45249.6453243518</v>
      </c>
      <c r="B754" s="136" t="s">
        <v>2635</v>
      </c>
      <c r="C754" s="19">
        <v>10501742409</v>
      </c>
      <c r="D754" s="19">
        <v>704203767834281</v>
      </c>
      <c r="E754" s="18" t="s">
        <v>2636</v>
      </c>
      <c r="F754" s="11" t="s">
        <v>40</v>
      </c>
      <c r="G754" s="11" t="s">
        <v>54</v>
      </c>
      <c r="H754" s="24">
        <v>34386</v>
      </c>
      <c r="I754" s="277" t="s">
        <v>2637</v>
      </c>
      <c r="J754" s="11" t="s">
        <v>42</v>
      </c>
      <c r="K754" s="108" t="s">
        <v>2638</v>
      </c>
      <c r="N754" s="11" t="s">
        <v>43</v>
      </c>
      <c r="O754" s="11" t="s">
        <v>44</v>
      </c>
      <c r="P754" s="11" t="s">
        <v>44</v>
      </c>
      <c r="Q754" s="11" t="s">
        <v>44</v>
      </c>
      <c r="R754" s="11" t="s">
        <v>45</v>
      </c>
      <c r="S754" s="11" t="s">
        <v>45</v>
      </c>
      <c r="T754" s="11" t="s">
        <v>44</v>
      </c>
      <c r="U754" s="11" t="s">
        <v>44</v>
      </c>
      <c r="W754" s="11" t="s">
        <v>46</v>
      </c>
      <c r="X754" s="11" t="s">
        <v>303</v>
      </c>
      <c r="Y754" s="11" t="s">
        <v>58</v>
      </c>
      <c r="Z754" s="11">
        <v>81986100124</v>
      </c>
      <c r="AA754" s="11" t="s">
        <v>1360</v>
      </c>
      <c r="AB754" s="11"/>
      <c r="AC754" s="11"/>
      <c r="AD754" s="11" t="b">
        <v>0</v>
      </c>
      <c r="AF754" s="11"/>
      <c r="AG754" s="11"/>
      <c r="AH754" s="11"/>
      <c r="AI754" s="11"/>
    </row>
    <row r="755" ht="12.5" spans="1:35">
      <c r="A755" s="177">
        <v>45250.4313933681</v>
      </c>
      <c r="B755" s="11" t="s">
        <v>2639</v>
      </c>
      <c r="C755" s="19">
        <v>71376795442</v>
      </c>
      <c r="D755" s="19">
        <v>709203216580438</v>
      </c>
      <c r="E755" s="18" t="s">
        <v>2640</v>
      </c>
      <c r="F755" s="11" t="s">
        <v>40</v>
      </c>
      <c r="G755" s="11" t="s">
        <v>54</v>
      </c>
      <c r="H755" s="24">
        <v>37755</v>
      </c>
      <c r="I755" s="222">
        <v>44972</v>
      </c>
      <c r="J755" s="11" t="s">
        <v>42</v>
      </c>
      <c r="K755" s="108" t="s">
        <v>2641</v>
      </c>
      <c r="N755" s="11" t="s">
        <v>43</v>
      </c>
      <c r="O755" s="11" t="s">
        <v>96</v>
      </c>
      <c r="P755" s="11" t="s">
        <v>56</v>
      </c>
      <c r="Q755" s="11" t="s">
        <v>45</v>
      </c>
      <c r="R755" s="11" t="s">
        <v>45</v>
      </c>
      <c r="S755" s="11" t="s">
        <v>45</v>
      </c>
      <c r="T755" s="11" t="s">
        <v>44</v>
      </c>
      <c r="U755" s="11" t="s">
        <v>45</v>
      </c>
      <c r="V755" s="24">
        <v>45251</v>
      </c>
      <c r="W755" s="11" t="s">
        <v>46</v>
      </c>
      <c r="X755" s="11" t="s">
        <v>47</v>
      </c>
      <c r="Y755" s="11" t="s">
        <v>48</v>
      </c>
      <c r="Z755" s="236">
        <v>81973430677</v>
      </c>
      <c r="AA755" s="11" t="s">
        <v>103</v>
      </c>
      <c r="AB755" s="11" t="s">
        <v>49</v>
      </c>
      <c r="AC755" s="11" t="s">
        <v>106</v>
      </c>
      <c r="AD755" s="11" t="b">
        <v>1</v>
      </c>
      <c r="AE755" s="11" t="s">
        <v>137</v>
      </c>
      <c r="AF755" s="11" t="s">
        <v>2642</v>
      </c>
      <c r="AG755" s="11"/>
      <c r="AH755" s="11"/>
      <c r="AI755" s="11"/>
    </row>
    <row r="756" ht="12.5" spans="1:35">
      <c r="A756" s="177">
        <v>45250.6353389468</v>
      </c>
      <c r="B756" s="105" t="s">
        <v>2643</v>
      </c>
      <c r="C756" s="277" t="s">
        <v>2644</v>
      </c>
      <c r="D756" s="19">
        <v>898001088704583</v>
      </c>
      <c r="E756" s="18" t="s">
        <v>2645</v>
      </c>
      <c r="F756" s="11" t="s">
        <v>40</v>
      </c>
      <c r="G756" s="11" t="s">
        <v>54</v>
      </c>
      <c r="H756" s="24">
        <v>31382</v>
      </c>
      <c r="I756" s="277" t="s">
        <v>2646</v>
      </c>
      <c r="J756" s="11" t="s">
        <v>42</v>
      </c>
      <c r="K756" s="108" t="s">
        <v>2647</v>
      </c>
      <c r="N756" s="11" t="s">
        <v>43</v>
      </c>
      <c r="O756" s="11" t="s">
        <v>44</v>
      </c>
      <c r="P756" s="11" t="s">
        <v>44</v>
      </c>
      <c r="Q756" s="11" t="s">
        <v>45</v>
      </c>
      <c r="R756" s="11" t="s">
        <v>45</v>
      </c>
      <c r="S756" s="11" t="s">
        <v>44</v>
      </c>
      <c r="T756" s="11" t="s">
        <v>44</v>
      </c>
      <c r="U756" s="11" t="s">
        <v>45</v>
      </c>
      <c r="V756" s="24">
        <v>45251</v>
      </c>
      <c r="W756" s="11" t="s">
        <v>46</v>
      </c>
      <c r="X756" s="11" t="s">
        <v>47</v>
      </c>
      <c r="Y756" s="11" t="s">
        <v>58</v>
      </c>
      <c r="Z756" s="11">
        <v>81996794277</v>
      </c>
      <c r="AA756" s="11" t="s">
        <v>1360</v>
      </c>
      <c r="AB756" s="11" t="s">
        <v>49</v>
      </c>
      <c r="AC756" s="11" t="s">
        <v>1319</v>
      </c>
      <c r="AD756" s="11" t="b">
        <v>1</v>
      </c>
      <c r="AE756" s="11" t="s">
        <v>137</v>
      </c>
      <c r="AF756" s="11" t="s">
        <v>2648</v>
      </c>
      <c r="AG756" s="11"/>
      <c r="AH756" s="11" t="s">
        <v>2649</v>
      </c>
      <c r="AI756" s="11"/>
    </row>
    <row r="757" ht="12.5" spans="1:35">
      <c r="A757" s="177">
        <v>45250.6574077431</v>
      </c>
      <c r="B757" s="11" t="s">
        <v>2650</v>
      </c>
      <c r="C757" s="19">
        <v>71377648435</v>
      </c>
      <c r="D757" s="19">
        <v>898003026839444</v>
      </c>
      <c r="E757" s="18" t="s">
        <v>2651</v>
      </c>
      <c r="F757" s="11" t="s">
        <v>40</v>
      </c>
      <c r="G757" s="11" t="s">
        <v>54</v>
      </c>
      <c r="H757" s="24">
        <v>36596</v>
      </c>
      <c r="I757" s="277" t="s">
        <v>2652</v>
      </c>
      <c r="J757" s="11" t="s">
        <v>42</v>
      </c>
      <c r="K757" s="108" t="s">
        <v>2653</v>
      </c>
      <c r="N757" s="11" t="s">
        <v>43</v>
      </c>
      <c r="O757" s="11" t="s">
        <v>44</v>
      </c>
      <c r="P757" s="11" t="s">
        <v>44</v>
      </c>
      <c r="Q757" s="11" t="s">
        <v>44</v>
      </c>
      <c r="R757" s="11" t="s">
        <v>45</v>
      </c>
      <c r="S757" s="11" t="s">
        <v>45</v>
      </c>
      <c r="T757" s="11" t="s">
        <v>44</v>
      </c>
      <c r="U757" s="11" t="s">
        <v>44</v>
      </c>
      <c r="W757" s="11" t="s">
        <v>46</v>
      </c>
      <c r="X757" s="11" t="s">
        <v>47</v>
      </c>
      <c r="Y757" s="11" t="s">
        <v>58</v>
      </c>
      <c r="Z757" s="11">
        <v>81983096272</v>
      </c>
      <c r="AA757" s="11" t="s">
        <v>105</v>
      </c>
      <c r="AB757" s="11"/>
      <c r="AC757" s="11"/>
      <c r="AD757" s="11" t="b">
        <v>0</v>
      </c>
      <c r="AF757" s="11"/>
      <c r="AG757" s="11"/>
      <c r="AH757" s="11"/>
      <c r="AI757" s="11"/>
    </row>
    <row r="758" ht="12.5" spans="1:35">
      <c r="A758" s="177">
        <v>45250.6793919907</v>
      </c>
      <c r="B758" s="11" t="s">
        <v>2654</v>
      </c>
      <c r="C758" s="277" t="s">
        <v>2655</v>
      </c>
      <c r="D758" s="19">
        <v>708700190774790</v>
      </c>
      <c r="E758" s="18" t="s">
        <v>2656</v>
      </c>
      <c r="F758" s="11" t="s">
        <v>40</v>
      </c>
      <c r="G758" s="11" t="s">
        <v>54</v>
      </c>
      <c r="H758" s="24">
        <v>32775</v>
      </c>
      <c r="I758" s="222">
        <v>44961</v>
      </c>
      <c r="J758" s="11" t="s">
        <v>42</v>
      </c>
      <c r="K758" s="108" t="s">
        <v>90</v>
      </c>
      <c r="N758" s="11" t="s">
        <v>43</v>
      </c>
      <c r="O758" s="11" t="s">
        <v>96</v>
      </c>
      <c r="P758" s="11" t="s">
        <v>66</v>
      </c>
      <c r="Q758" s="11" t="s">
        <v>44</v>
      </c>
      <c r="R758" s="11" t="s">
        <v>45</v>
      </c>
      <c r="S758" s="11" t="s">
        <v>44</v>
      </c>
      <c r="T758" s="11" t="s">
        <v>44</v>
      </c>
      <c r="U758" s="11" t="s">
        <v>45</v>
      </c>
      <c r="V758" s="24">
        <v>45251</v>
      </c>
      <c r="W758" s="11" t="s">
        <v>46</v>
      </c>
      <c r="X758" s="11" t="s">
        <v>47</v>
      </c>
      <c r="Y758" s="11" t="s">
        <v>58</v>
      </c>
      <c r="Z758" s="11">
        <v>81999223285</v>
      </c>
      <c r="AA758" s="11" t="s">
        <v>91</v>
      </c>
      <c r="AB758" s="11" t="s">
        <v>49</v>
      </c>
      <c r="AC758" s="11" t="s">
        <v>106</v>
      </c>
      <c r="AD758" s="11" t="b">
        <v>1</v>
      </c>
      <c r="AE758" s="11" t="s">
        <v>137</v>
      </c>
      <c r="AF758" s="11" t="s">
        <v>2657</v>
      </c>
      <c r="AG758" s="11"/>
      <c r="AH758" s="11"/>
      <c r="AI758" s="11"/>
    </row>
    <row r="759" ht="12.5" spans="1:35">
      <c r="A759" s="177">
        <v>45251.3704422685</v>
      </c>
      <c r="B759" s="11" t="s">
        <v>2639</v>
      </c>
      <c r="C759" s="19">
        <v>71376795442</v>
      </c>
      <c r="D759" s="19">
        <v>709203216580438</v>
      </c>
      <c r="F759" s="11" t="s">
        <v>40</v>
      </c>
      <c r="G759" s="11" t="s">
        <v>54</v>
      </c>
      <c r="H759" s="24">
        <v>37755</v>
      </c>
      <c r="I759" s="277" t="s">
        <v>395</v>
      </c>
      <c r="J759" s="11" t="s">
        <v>42</v>
      </c>
      <c r="K759" s="108" t="s">
        <v>2658</v>
      </c>
      <c r="N759" s="11" t="s">
        <v>95</v>
      </c>
      <c r="O759" s="11" t="s">
        <v>44</v>
      </c>
      <c r="P759" s="11" t="s">
        <v>44</v>
      </c>
      <c r="Q759" s="11" t="s">
        <v>44</v>
      </c>
      <c r="R759" s="11" t="s">
        <v>45</v>
      </c>
      <c r="S759" s="11" t="s">
        <v>45</v>
      </c>
      <c r="T759" s="11" t="s">
        <v>44</v>
      </c>
      <c r="U759" s="11" t="s">
        <v>45</v>
      </c>
      <c r="V759" s="24">
        <v>45253</v>
      </c>
      <c r="W759" s="11" t="s">
        <v>57</v>
      </c>
      <c r="X759" s="11" t="s">
        <v>97</v>
      </c>
      <c r="Y759" s="11" t="s">
        <v>97</v>
      </c>
      <c r="Z759" s="11">
        <v>81973430677</v>
      </c>
      <c r="AA759" s="11" t="s">
        <v>103</v>
      </c>
      <c r="AB759" s="11" t="s">
        <v>49</v>
      </c>
      <c r="AC759" s="11" t="s">
        <v>84</v>
      </c>
      <c r="AD759" s="11" t="b">
        <v>1</v>
      </c>
      <c r="AE759" s="11" t="s">
        <v>137</v>
      </c>
      <c r="AF759" s="11" t="s">
        <v>2659</v>
      </c>
      <c r="AG759" s="11"/>
      <c r="AH759" s="11"/>
      <c r="AI759" s="11"/>
    </row>
    <row r="760" ht="12.5" spans="1:35">
      <c r="A760" s="177">
        <v>45251.3765621759</v>
      </c>
      <c r="B760" s="11" t="s">
        <v>1080</v>
      </c>
      <c r="C760" s="19">
        <v>10807429481</v>
      </c>
      <c r="D760" s="19">
        <v>700306966503330</v>
      </c>
      <c r="E760" s="18" t="s">
        <v>2660</v>
      </c>
      <c r="F760" s="11" t="s">
        <v>40</v>
      </c>
      <c r="G760" s="11" t="s">
        <v>54</v>
      </c>
      <c r="H760" s="24">
        <v>34562</v>
      </c>
      <c r="I760" s="277" t="s">
        <v>1082</v>
      </c>
      <c r="J760" s="11" t="s">
        <v>42</v>
      </c>
      <c r="K760" s="108" t="s">
        <v>399</v>
      </c>
      <c r="N760" s="11" t="s">
        <v>43</v>
      </c>
      <c r="O760" s="11" t="s">
        <v>44</v>
      </c>
      <c r="P760" s="11" t="s">
        <v>56</v>
      </c>
      <c r="Q760" s="11" t="s">
        <v>44</v>
      </c>
      <c r="R760" s="11" t="s">
        <v>45</v>
      </c>
      <c r="S760" s="11" t="s">
        <v>45</v>
      </c>
      <c r="T760" s="11" t="s">
        <v>44</v>
      </c>
      <c r="U760" s="11" t="s">
        <v>44</v>
      </c>
      <c r="W760" s="11" t="s">
        <v>46</v>
      </c>
      <c r="X760" s="11" t="s">
        <v>67</v>
      </c>
      <c r="Y760" s="11" t="s">
        <v>58</v>
      </c>
      <c r="Z760" s="11">
        <v>81988220808</v>
      </c>
      <c r="AA760" s="11" t="s">
        <v>115</v>
      </c>
      <c r="AB760" s="11"/>
      <c r="AC760" s="11"/>
      <c r="AD760" s="11" t="b">
        <v>0</v>
      </c>
      <c r="AF760" s="11"/>
      <c r="AG760" s="11"/>
      <c r="AH760" s="11"/>
      <c r="AI760" s="11"/>
    </row>
    <row r="761" ht="12.5" spans="1:35">
      <c r="A761" s="177">
        <v>45251.3916314468</v>
      </c>
      <c r="B761" s="105" t="s">
        <v>2643</v>
      </c>
      <c r="C761" s="277" t="s">
        <v>2644</v>
      </c>
      <c r="D761" s="19">
        <v>898001088704583</v>
      </c>
      <c r="E761" s="18" t="s">
        <v>2661</v>
      </c>
      <c r="F761" s="11" t="s">
        <v>40</v>
      </c>
      <c r="G761" s="11" t="s">
        <v>54</v>
      </c>
      <c r="H761" s="24">
        <v>31382</v>
      </c>
      <c r="I761" s="277" t="s">
        <v>2646</v>
      </c>
      <c r="J761" s="11" t="s">
        <v>42</v>
      </c>
      <c r="K761" s="108" t="s">
        <v>149</v>
      </c>
      <c r="N761" s="11" t="s">
        <v>95</v>
      </c>
      <c r="O761" s="11" t="s">
        <v>44</v>
      </c>
      <c r="P761" s="11" t="s">
        <v>44</v>
      </c>
      <c r="Q761" s="11" t="s">
        <v>44</v>
      </c>
      <c r="R761" s="11" t="s">
        <v>45</v>
      </c>
      <c r="S761" s="11" t="s">
        <v>45</v>
      </c>
      <c r="T761" s="11" t="s">
        <v>44</v>
      </c>
      <c r="U761" s="11" t="s">
        <v>44</v>
      </c>
      <c r="W761" s="11" t="s">
        <v>46</v>
      </c>
      <c r="X761" s="11" t="s">
        <v>97</v>
      </c>
      <c r="Y761" s="11" t="s">
        <v>97</v>
      </c>
      <c r="Z761" s="11">
        <v>81996794277</v>
      </c>
      <c r="AA761" s="11" t="s">
        <v>1267</v>
      </c>
      <c r="AB761" s="11"/>
      <c r="AC761" s="11"/>
      <c r="AD761" s="11" t="b">
        <v>0</v>
      </c>
      <c r="AF761" s="11"/>
      <c r="AG761" s="11"/>
      <c r="AH761" s="11"/>
      <c r="AI761" s="11"/>
    </row>
    <row r="762" ht="12.5" spans="1:35">
      <c r="A762" s="177">
        <v>45251.4670553009</v>
      </c>
      <c r="B762" s="11" t="s">
        <v>2654</v>
      </c>
      <c r="C762" s="277" t="s">
        <v>2655</v>
      </c>
      <c r="D762" s="19">
        <v>708700190774790</v>
      </c>
      <c r="E762" s="18" t="s">
        <v>2662</v>
      </c>
      <c r="F762" s="11" t="s">
        <v>40</v>
      </c>
      <c r="G762" s="11" t="s">
        <v>54</v>
      </c>
      <c r="H762" s="24">
        <v>32775</v>
      </c>
      <c r="I762" s="277" t="s">
        <v>301</v>
      </c>
      <c r="J762" s="11" t="s">
        <v>81</v>
      </c>
      <c r="K762" s="108"/>
      <c r="L762" s="11" t="s">
        <v>2663</v>
      </c>
      <c r="N762" s="11" t="s">
        <v>95</v>
      </c>
      <c r="O762" s="11" t="s">
        <v>96</v>
      </c>
      <c r="P762" s="11" t="s">
        <v>66</v>
      </c>
      <c r="Q762" s="11" t="s">
        <v>44</v>
      </c>
      <c r="R762" s="11" t="s">
        <v>45</v>
      </c>
      <c r="S762" s="11" t="s">
        <v>45</v>
      </c>
      <c r="T762" s="11" t="s">
        <v>44</v>
      </c>
      <c r="U762" s="11" t="s">
        <v>45</v>
      </c>
      <c r="V762" s="24">
        <v>45252</v>
      </c>
      <c r="W762" s="11" t="s">
        <v>46</v>
      </c>
      <c r="X762" s="11" t="s">
        <v>97</v>
      </c>
      <c r="Y762" s="11" t="s">
        <v>97</v>
      </c>
      <c r="Z762" s="11">
        <v>81999223285</v>
      </c>
      <c r="AA762" s="11" t="s">
        <v>103</v>
      </c>
      <c r="AB762" s="63" t="s">
        <v>49</v>
      </c>
      <c r="AC762" s="63" t="s">
        <v>256</v>
      </c>
      <c r="AD762" s="11" t="b">
        <v>0</v>
      </c>
      <c r="AF762" s="11" t="s">
        <v>2664</v>
      </c>
      <c r="AG762" s="63" t="s">
        <v>2665</v>
      </c>
      <c r="AH762" s="11"/>
      <c r="AI762" s="11"/>
    </row>
    <row r="763" ht="12.5" spans="1:35">
      <c r="A763" s="177">
        <v>45251.5006579398</v>
      </c>
      <c r="B763" s="11" t="s">
        <v>2666</v>
      </c>
      <c r="C763" s="19">
        <v>70968471463</v>
      </c>
      <c r="D763" s="19">
        <v>700601419972161</v>
      </c>
      <c r="E763" s="18" t="s">
        <v>2667</v>
      </c>
      <c r="F763" s="11" t="s">
        <v>40</v>
      </c>
      <c r="G763" s="11" t="s">
        <v>54</v>
      </c>
      <c r="H763" s="24">
        <v>36275</v>
      </c>
      <c r="I763" s="277" t="s">
        <v>2668</v>
      </c>
      <c r="J763" s="11" t="s">
        <v>42</v>
      </c>
      <c r="K763" s="108" t="s">
        <v>2180</v>
      </c>
      <c r="N763" s="11" t="s">
        <v>43</v>
      </c>
      <c r="O763" s="11" t="s">
        <v>44</v>
      </c>
      <c r="P763" s="11" t="s">
        <v>44</v>
      </c>
      <c r="Q763" s="11" t="s">
        <v>44</v>
      </c>
      <c r="R763" s="11" t="s">
        <v>45</v>
      </c>
      <c r="S763" s="11" t="s">
        <v>45</v>
      </c>
      <c r="T763" s="11" t="s">
        <v>44</v>
      </c>
      <c r="U763" s="11" t="s">
        <v>44</v>
      </c>
      <c r="W763" s="11" t="s">
        <v>46</v>
      </c>
      <c r="X763" s="11" t="s">
        <v>47</v>
      </c>
      <c r="Y763" s="11" t="s">
        <v>58</v>
      </c>
      <c r="Z763" s="11">
        <v>81984044583</v>
      </c>
      <c r="AA763" s="11" t="s">
        <v>115</v>
      </c>
      <c r="AB763" s="11"/>
      <c r="AC763" s="11"/>
      <c r="AD763" s="11" t="b">
        <v>0</v>
      </c>
      <c r="AF763" s="11"/>
      <c r="AG763" s="11"/>
      <c r="AH763" s="11"/>
      <c r="AI763" s="11"/>
    </row>
    <row r="764" ht="12.5" spans="1:35">
      <c r="A764" s="177">
        <v>45251.5217947917</v>
      </c>
      <c r="B764" s="11" t="s">
        <v>2669</v>
      </c>
      <c r="C764" s="277" t="s">
        <v>2670</v>
      </c>
      <c r="D764" s="19">
        <v>706006347560740</v>
      </c>
      <c r="E764" s="18" t="s">
        <v>2671</v>
      </c>
      <c r="F764" s="11" t="s">
        <v>40</v>
      </c>
      <c r="G764" s="11" t="s">
        <v>54</v>
      </c>
      <c r="H764" s="24">
        <v>33136</v>
      </c>
      <c r="I764" s="277" t="s">
        <v>1413</v>
      </c>
      <c r="J764" s="11" t="s">
        <v>42</v>
      </c>
      <c r="K764" s="108" t="s">
        <v>202</v>
      </c>
      <c r="N764" s="11" t="s">
        <v>43</v>
      </c>
      <c r="O764" s="11" t="s">
        <v>96</v>
      </c>
      <c r="P764" s="11" t="s">
        <v>66</v>
      </c>
      <c r="Q764" s="11" t="s">
        <v>44</v>
      </c>
      <c r="R764" s="11" t="s">
        <v>45</v>
      </c>
      <c r="S764" s="11" t="s">
        <v>44</v>
      </c>
      <c r="T764" s="11" t="s">
        <v>44</v>
      </c>
      <c r="U764" s="11" t="s">
        <v>45</v>
      </c>
      <c r="V764" s="24">
        <v>45251</v>
      </c>
      <c r="W764" s="11" t="s">
        <v>46</v>
      </c>
      <c r="X764" s="11" t="s">
        <v>47</v>
      </c>
      <c r="Y764" s="11" t="s">
        <v>58</v>
      </c>
      <c r="Z764" s="11">
        <v>81973448407</v>
      </c>
      <c r="AA764" s="11" t="s">
        <v>1267</v>
      </c>
      <c r="AB764" s="11" t="s">
        <v>49</v>
      </c>
      <c r="AC764" s="11" t="s">
        <v>1319</v>
      </c>
      <c r="AD764" s="11" t="b">
        <v>0</v>
      </c>
      <c r="AF764" s="11" t="s">
        <v>2672</v>
      </c>
      <c r="AG764" s="11"/>
      <c r="AH764" s="11" t="s">
        <v>2673</v>
      </c>
      <c r="AI764" s="11"/>
    </row>
    <row r="765" ht="12.5" spans="1:35">
      <c r="A765" s="177">
        <v>45251.6414186111</v>
      </c>
      <c r="B765" s="11" t="s">
        <v>2674</v>
      </c>
      <c r="C765" s="277" t="s">
        <v>2675</v>
      </c>
      <c r="D765" s="19">
        <v>706801746390324</v>
      </c>
      <c r="E765" s="18" t="s">
        <v>2676</v>
      </c>
      <c r="F765" s="11" t="s">
        <v>40</v>
      </c>
      <c r="G765" s="11" t="s">
        <v>54</v>
      </c>
      <c r="H765" s="24">
        <v>33729</v>
      </c>
      <c r="I765" s="277" t="s">
        <v>2677</v>
      </c>
      <c r="J765" s="11" t="s">
        <v>42</v>
      </c>
      <c r="K765" s="108" t="s">
        <v>55</v>
      </c>
      <c r="N765" s="11" t="s">
        <v>43</v>
      </c>
      <c r="O765" s="11" t="s">
        <v>65</v>
      </c>
      <c r="P765" s="11" t="s">
        <v>66</v>
      </c>
      <c r="Q765" s="11" t="s">
        <v>44</v>
      </c>
      <c r="R765" s="11" t="s">
        <v>45</v>
      </c>
      <c r="S765" s="11" t="s">
        <v>45</v>
      </c>
      <c r="T765" s="11" t="s">
        <v>44</v>
      </c>
      <c r="U765" s="11" t="s">
        <v>45</v>
      </c>
      <c r="V765" s="24">
        <v>45252</v>
      </c>
      <c r="W765" s="11" t="s">
        <v>46</v>
      </c>
      <c r="X765" s="11" t="s">
        <v>47</v>
      </c>
      <c r="Y765" s="11" t="s">
        <v>58</v>
      </c>
      <c r="Z765" s="11">
        <v>81986188286</v>
      </c>
      <c r="AA765" s="11" t="s">
        <v>115</v>
      </c>
      <c r="AB765" s="11" t="s">
        <v>49</v>
      </c>
      <c r="AC765" s="11" t="s">
        <v>92</v>
      </c>
      <c r="AD765" s="11" t="b">
        <v>1</v>
      </c>
      <c r="AE765" s="11" t="s">
        <v>137</v>
      </c>
      <c r="AF765" s="11" t="s">
        <v>2678</v>
      </c>
      <c r="AG765" s="11" t="s">
        <v>2679</v>
      </c>
      <c r="AH765" s="11"/>
      <c r="AI765" s="11"/>
    </row>
    <row r="766" ht="12.5" spans="1:35">
      <c r="A766" s="177">
        <v>45251.642167662</v>
      </c>
      <c r="B766" s="11" t="s">
        <v>2669</v>
      </c>
      <c r="C766" s="277" t="s">
        <v>2670</v>
      </c>
      <c r="D766" s="19">
        <v>706006347560740</v>
      </c>
      <c r="F766" s="11" t="s">
        <v>40</v>
      </c>
      <c r="G766" s="11" t="s">
        <v>54</v>
      </c>
      <c r="H766" s="24">
        <v>32902</v>
      </c>
      <c r="I766" s="277" t="s">
        <v>1413</v>
      </c>
      <c r="J766" s="11" t="s">
        <v>42</v>
      </c>
      <c r="K766" s="108" t="s">
        <v>202</v>
      </c>
      <c r="N766" s="11" t="s">
        <v>95</v>
      </c>
      <c r="O766" s="11" t="s">
        <v>44</v>
      </c>
      <c r="P766" s="11" t="s">
        <v>44</v>
      </c>
      <c r="Q766" s="11" t="s">
        <v>44</v>
      </c>
      <c r="R766" s="11" t="s">
        <v>45</v>
      </c>
      <c r="S766" s="11" t="s">
        <v>44</v>
      </c>
      <c r="T766" s="11" t="s">
        <v>44</v>
      </c>
      <c r="U766" s="11" t="s">
        <v>45</v>
      </c>
      <c r="V766" s="24">
        <v>45252</v>
      </c>
      <c r="W766" s="11" t="s">
        <v>57</v>
      </c>
      <c r="X766" s="11" t="s">
        <v>97</v>
      </c>
      <c r="Y766" s="11" t="s">
        <v>97</v>
      </c>
      <c r="Z766" s="11">
        <v>81973448407</v>
      </c>
      <c r="AA766" s="11" t="s">
        <v>1267</v>
      </c>
      <c r="AB766" s="11" t="s">
        <v>49</v>
      </c>
      <c r="AC766" s="11" t="s">
        <v>256</v>
      </c>
      <c r="AD766" s="11" t="b">
        <v>1</v>
      </c>
      <c r="AE766" s="231" t="s">
        <v>137</v>
      </c>
      <c r="AF766" s="11" t="s">
        <v>2680</v>
      </c>
      <c r="AG766" s="11"/>
      <c r="AH766" s="75" t="s">
        <v>2681</v>
      </c>
      <c r="AI766" s="11"/>
    </row>
    <row r="767" ht="12.5" spans="1:35">
      <c r="A767" s="177">
        <v>45251.7134833912</v>
      </c>
      <c r="B767" s="11" t="s">
        <v>2650</v>
      </c>
      <c r="C767" s="19">
        <v>71377648435</v>
      </c>
      <c r="D767" s="19">
        <v>898003026839444</v>
      </c>
      <c r="E767" s="18" t="s">
        <v>2682</v>
      </c>
      <c r="F767" s="11" t="s">
        <v>40</v>
      </c>
      <c r="G767" s="11" t="s">
        <v>54</v>
      </c>
      <c r="H767" s="24">
        <v>36596</v>
      </c>
      <c r="I767" s="277" t="s">
        <v>2652</v>
      </c>
      <c r="J767" s="11" t="s">
        <v>42</v>
      </c>
      <c r="K767" s="108" t="s">
        <v>427</v>
      </c>
      <c r="N767" s="11" t="s">
        <v>43</v>
      </c>
      <c r="O767" s="11" t="s">
        <v>96</v>
      </c>
      <c r="P767" s="11" t="s">
        <v>56</v>
      </c>
      <c r="Q767" s="11" t="s">
        <v>44</v>
      </c>
      <c r="R767" s="11" t="s">
        <v>45</v>
      </c>
      <c r="S767" s="11" t="s">
        <v>45</v>
      </c>
      <c r="T767" s="11" t="s">
        <v>44</v>
      </c>
      <c r="U767" s="11" t="s">
        <v>45</v>
      </c>
      <c r="V767" s="24">
        <v>45253</v>
      </c>
      <c r="W767" s="11" t="s">
        <v>46</v>
      </c>
      <c r="X767" s="11" t="s">
        <v>47</v>
      </c>
      <c r="Y767" s="11" t="s">
        <v>58</v>
      </c>
      <c r="Z767" s="11">
        <v>81983096272</v>
      </c>
      <c r="AA767" s="11" t="s">
        <v>115</v>
      </c>
      <c r="AB767" s="11" t="s">
        <v>98</v>
      </c>
      <c r="AC767" s="11"/>
      <c r="AD767" s="11" t="b">
        <v>0</v>
      </c>
      <c r="AF767" s="11" t="s">
        <v>2683</v>
      </c>
      <c r="AG767" s="11"/>
      <c r="AH767" s="11"/>
      <c r="AI767" s="11"/>
    </row>
    <row r="768" ht="12.5" spans="1:35">
      <c r="A768" s="216">
        <v>45252.357610787</v>
      </c>
      <c r="B768" s="11" t="s">
        <v>2654</v>
      </c>
      <c r="C768" s="277" t="s">
        <v>2655</v>
      </c>
      <c r="D768" s="19">
        <v>708700190774790</v>
      </c>
      <c r="E768" s="18" t="s">
        <v>2684</v>
      </c>
      <c r="F768" s="11" t="s">
        <v>40</v>
      </c>
      <c r="G768" s="11" t="s">
        <v>54</v>
      </c>
      <c r="H768" s="24">
        <v>32775</v>
      </c>
      <c r="I768" s="277" t="s">
        <v>301</v>
      </c>
      <c r="J768" s="11" t="s">
        <v>81</v>
      </c>
      <c r="K768" s="108"/>
      <c r="L768" s="11" t="s">
        <v>109</v>
      </c>
      <c r="N768" s="11" t="s">
        <v>43</v>
      </c>
      <c r="O768" s="11" t="s">
        <v>65</v>
      </c>
      <c r="P768" s="11" t="s">
        <v>66</v>
      </c>
      <c r="Q768" s="11" t="s">
        <v>44</v>
      </c>
      <c r="R768" s="11" t="s">
        <v>45</v>
      </c>
      <c r="S768" s="11" t="s">
        <v>44</v>
      </c>
      <c r="T768" s="11" t="s">
        <v>44</v>
      </c>
      <c r="U768" s="11" t="s">
        <v>45</v>
      </c>
      <c r="V768" s="24">
        <v>45253</v>
      </c>
      <c r="W768" s="11" t="s">
        <v>46</v>
      </c>
      <c r="X768" s="11" t="s">
        <v>67</v>
      </c>
      <c r="Y768" s="11" t="s">
        <v>58</v>
      </c>
      <c r="Z768" s="11">
        <v>81999223285</v>
      </c>
      <c r="AA768" s="11" t="s">
        <v>1360</v>
      </c>
      <c r="AB768" s="11" t="s">
        <v>49</v>
      </c>
      <c r="AC768" s="11" t="s">
        <v>92</v>
      </c>
      <c r="AD768" s="11" t="b">
        <v>0</v>
      </c>
      <c r="AF768" s="11" t="s">
        <v>2685</v>
      </c>
      <c r="AG768" s="11"/>
      <c r="AH768" s="11" t="s">
        <v>2686</v>
      </c>
      <c r="AI768" s="11"/>
    </row>
    <row r="769" ht="12.5" spans="1:35">
      <c r="A769" s="248">
        <v>45252.4477044792</v>
      </c>
      <c r="B769" s="11" t="s">
        <v>2669</v>
      </c>
      <c r="C769" s="277" t="s">
        <v>2670</v>
      </c>
      <c r="D769" s="19">
        <v>706006347560740</v>
      </c>
      <c r="F769" s="11" t="s">
        <v>40</v>
      </c>
      <c r="G769" s="11" t="s">
        <v>54</v>
      </c>
      <c r="H769" s="24">
        <v>33145</v>
      </c>
      <c r="I769" s="277" t="s">
        <v>1413</v>
      </c>
      <c r="J769" s="11" t="s">
        <v>81</v>
      </c>
      <c r="K769" s="108"/>
      <c r="L769" s="11" t="s">
        <v>525</v>
      </c>
      <c r="N769" s="11" t="s">
        <v>95</v>
      </c>
      <c r="O769" s="11" t="s">
        <v>65</v>
      </c>
      <c r="P769" s="40" t="s">
        <v>2687</v>
      </c>
      <c r="Q769" s="11" t="s">
        <v>44</v>
      </c>
      <c r="R769" s="11" t="s">
        <v>45</v>
      </c>
      <c r="S769" s="11" t="s">
        <v>45</v>
      </c>
      <c r="T769" s="11" t="s">
        <v>44</v>
      </c>
      <c r="U769" s="11" t="s">
        <v>44</v>
      </c>
      <c r="W769" s="11" t="s">
        <v>57</v>
      </c>
      <c r="X769" s="11" t="s">
        <v>97</v>
      </c>
      <c r="Y769" s="11" t="s">
        <v>97</v>
      </c>
      <c r="Z769" s="11">
        <v>81989667779</v>
      </c>
      <c r="AA769" s="11" t="s">
        <v>1360</v>
      </c>
      <c r="AB769" s="11"/>
      <c r="AC769" s="11"/>
      <c r="AD769" s="11" t="b">
        <v>0</v>
      </c>
      <c r="AF769" s="11"/>
      <c r="AG769" s="11"/>
      <c r="AH769" s="11"/>
      <c r="AI769" s="11"/>
    </row>
    <row r="770" ht="12.5" spans="1:35">
      <c r="A770" s="177">
        <v>45252.4861872801</v>
      </c>
      <c r="B770" s="11" t="s">
        <v>2688</v>
      </c>
      <c r="C770" s="19">
        <v>11378137418</v>
      </c>
      <c r="D770" s="19">
        <v>200336850740008</v>
      </c>
      <c r="E770" s="18" t="s">
        <v>2689</v>
      </c>
      <c r="F770" s="11" t="s">
        <v>40</v>
      </c>
      <c r="G770" s="11" t="s">
        <v>54</v>
      </c>
      <c r="H770" s="24">
        <v>34980</v>
      </c>
      <c r="I770" s="277" t="s">
        <v>2690</v>
      </c>
      <c r="J770" s="11" t="s">
        <v>42</v>
      </c>
      <c r="K770" s="108" t="s">
        <v>155</v>
      </c>
      <c r="N770" s="11" t="s">
        <v>43</v>
      </c>
      <c r="O770" s="11" t="s">
        <v>44</v>
      </c>
      <c r="P770" s="11" t="s">
        <v>44</v>
      </c>
      <c r="Q770" s="11" t="s">
        <v>44</v>
      </c>
      <c r="R770" s="11" t="s">
        <v>45</v>
      </c>
      <c r="S770" s="11" t="s">
        <v>45</v>
      </c>
      <c r="T770" s="11" t="s">
        <v>44</v>
      </c>
      <c r="U770" s="11" t="s">
        <v>45</v>
      </c>
      <c r="V770" s="24">
        <v>45253</v>
      </c>
      <c r="W770" s="11" t="s">
        <v>46</v>
      </c>
      <c r="X770" s="11" t="s">
        <v>47</v>
      </c>
      <c r="Y770" s="11" t="s">
        <v>58</v>
      </c>
      <c r="Z770" s="11">
        <v>81996254951</v>
      </c>
      <c r="AA770" s="11" t="s">
        <v>115</v>
      </c>
      <c r="AB770" s="11" t="s">
        <v>49</v>
      </c>
      <c r="AC770" s="11" t="s">
        <v>84</v>
      </c>
      <c r="AD770" s="11" t="b">
        <v>0</v>
      </c>
      <c r="AF770" s="11" t="s">
        <v>2691</v>
      </c>
      <c r="AG770" s="11"/>
      <c r="AH770" s="11"/>
      <c r="AI770" s="11"/>
    </row>
    <row r="771" ht="12.5" spans="1:35">
      <c r="A771" s="177">
        <v>45252.5072113542</v>
      </c>
      <c r="B771" s="11" t="s">
        <v>2692</v>
      </c>
      <c r="C771" s="19">
        <v>10811398463</v>
      </c>
      <c r="D771" s="19">
        <v>701301617122130</v>
      </c>
      <c r="E771" s="18" t="s">
        <v>2693</v>
      </c>
      <c r="F771" s="11" t="s">
        <v>225</v>
      </c>
      <c r="G771" s="11" t="s">
        <v>54</v>
      </c>
      <c r="H771" s="24">
        <v>34131</v>
      </c>
      <c r="I771" s="277" t="s">
        <v>2694</v>
      </c>
      <c r="J771" s="11" t="s">
        <v>42</v>
      </c>
      <c r="K771" s="108" t="s">
        <v>399</v>
      </c>
      <c r="N771" s="11" t="s">
        <v>43</v>
      </c>
      <c r="O771" s="11" t="s">
        <v>44</v>
      </c>
      <c r="P771" s="11" t="s">
        <v>44</v>
      </c>
      <c r="Q771" s="11" t="s">
        <v>44</v>
      </c>
      <c r="R771" s="11" t="s">
        <v>45</v>
      </c>
      <c r="S771" s="11" t="s">
        <v>83</v>
      </c>
      <c r="T771" s="11" t="s">
        <v>44</v>
      </c>
      <c r="U771" s="11" t="s">
        <v>45</v>
      </c>
      <c r="V771" s="24">
        <v>45253</v>
      </c>
      <c r="W771" s="11" t="s">
        <v>46</v>
      </c>
      <c r="X771" s="11" t="s">
        <v>47</v>
      </c>
      <c r="Y771" s="11" t="s">
        <v>58</v>
      </c>
      <c r="Z771" s="11">
        <v>81984640980</v>
      </c>
      <c r="AA771" s="11" t="s">
        <v>91</v>
      </c>
      <c r="AB771" s="11" t="s">
        <v>98</v>
      </c>
      <c r="AC771" s="11"/>
      <c r="AD771" s="11" t="b">
        <v>0</v>
      </c>
      <c r="AF771" s="11" t="s">
        <v>2695</v>
      </c>
      <c r="AG771" s="11" t="s">
        <v>2696</v>
      </c>
      <c r="AH771" s="11"/>
      <c r="AI771" s="11"/>
    </row>
    <row r="772" ht="12.5" spans="1:35">
      <c r="A772" s="177">
        <v>45252.5597239352</v>
      </c>
      <c r="B772" s="11" t="s">
        <v>2674</v>
      </c>
      <c r="C772" s="277" t="s">
        <v>2675</v>
      </c>
      <c r="D772" s="19">
        <v>706801746390324</v>
      </c>
      <c r="E772" s="18" t="s">
        <v>2697</v>
      </c>
      <c r="F772" s="11" t="s">
        <v>40</v>
      </c>
      <c r="G772" s="11" t="s">
        <v>54</v>
      </c>
      <c r="H772" s="24">
        <v>33729</v>
      </c>
      <c r="I772" s="277" t="s">
        <v>2698</v>
      </c>
      <c r="J772" s="11" t="s">
        <v>42</v>
      </c>
      <c r="K772" s="108" t="s">
        <v>55</v>
      </c>
      <c r="N772" s="11" t="s">
        <v>95</v>
      </c>
      <c r="O772" s="11" t="s">
        <v>65</v>
      </c>
      <c r="P772" s="11" t="s">
        <v>66</v>
      </c>
      <c r="Q772" s="11" t="s">
        <v>44</v>
      </c>
      <c r="R772" s="11" t="s">
        <v>45</v>
      </c>
      <c r="S772" s="11" t="s">
        <v>44</v>
      </c>
      <c r="T772" s="11" t="s">
        <v>44</v>
      </c>
      <c r="U772" s="11" t="s">
        <v>45</v>
      </c>
      <c r="V772" s="24">
        <v>45253</v>
      </c>
      <c r="W772" s="11" t="s">
        <v>46</v>
      </c>
      <c r="X772" s="11" t="s">
        <v>97</v>
      </c>
      <c r="Y772" s="11" t="s">
        <v>97</v>
      </c>
      <c r="Z772" s="11">
        <v>81986188286</v>
      </c>
      <c r="AA772" s="11" t="s">
        <v>91</v>
      </c>
      <c r="AB772" s="11" t="s">
        <v>98</v>
      </c>
      <c r="AC772" s="11"/>
      <c r="AD772" s="11" t="b">
        <v>0</v>
      </c>
      <c r="AF772" s="11" t="s">
        <v>2699</v>
      </c>
      <c r="AG772" s="11" t="s">
        <v>2700</v>
      </c>
      <c r="AH772" s="11"/>
      <c r="AI772" s="11"/>
    </row>
    <row r="773" ht="12.5" spans="1:35">
      <c r="A773" s="177">
        <v>45253.3725645718</v>
      </c>
      <c r="B773" s="11" t="s">
        <v>2654</v>
      </c>
      <c r="C773" s="277" t="s">
        <v>2655</v>
      </c>
      <c r="D773" s="19">
        <v>708700190774790</v>
      </c>
      <c r="F773" s="11" t="s">
        <v>40</v>
      </c>
      <c r="G773" s="11" t="s">
        <v>54</v>
      </c>
      <c r="H773" s="24">
        <v>32775</v>
      </c>
      <c r="I773" s="277" t="s">
        <v>301</v>
      </c>
      <c r="J773" s="11" t="s">
        <v>81</v>
      </c>
      <c r="K773" s="108"/>
      <c r="L773" s="11" t="s">
        <v>520</v>
      </c>
      <c r="N773" s="11" t="s">
        <v>95</v>
      </c>
      <c r="O773" s="11" t="s">
        <v>127</v>
      </c>
      <c r="P773" s="11" t="s">
        <v>44</v>
      </c>
      <c r="Q773" s="11" t="s">
        <v>44</v>
      </c>
      <c r="R773" s="11" t="s">
        <v>45</v>
      </c>
      <c r="S773" s="11" t="s">
        <v>45</v>
      </c>
      <c r="T773" s="11" t="s">
        <v>44</v>
      </c>
      <c r="U773" s="11" t="s">
        <v>44</v>
      </c>
      <c r="W773" s="11" t="s">
        <v>57</v>
      </c>
      <c r="X773" s="11" t="s">
        <v>97</v>
      </c>
      <c r="Y773" s="11" t="s">
        <v>1169</v>
      </c>
      <c r="Z773" s="11">
        <v>81999223285</v>
      </c>
      <c r="AA773" s="11" t="s">
        <v>91</v>
      </c>
      <c r="AB773" s="11"/>
      <c r="AC773" s="11"/>
      <c r="AD773" s="11" t="b">
        <v>0</v>
      </c>
      <c r="AF773" s="11"/>
      <c r="AG773" s="11"/>
      <c r="AH773" s="11"/>
      <c r="AI773" s="11"/>
    </row>
    <row r="774" ht="12.5" spans="1:35">
      <c r="A774" s="177">
        <v>45253.3989675926</v>
      </c>
      <c r="B774" s="11" t="s">
        <v>2688</v>
      </c>
      <c r="C774" s="19">
        <v>11378137418</v>
      </c>
      <c r="D774" s="19">
        <v>200336850740008</v>
      </c>
      <c r="E774" s="18" t="s">
        <v>2689</v>
      </c>
      <c r="F774" s="11" t="s">
        <v>40</v>
      </c>
      <c r="G774" s="11" t="s">
        <v>54</v>
      </c>
      <c r="H774" s="24">
        <v>34980</v>
      </c>
      <c r="I774" s="277" t="s">
        <v>1886</v>
      </c>
      <c r="J774" s="11" t="s">
        <v>42</v>
      </c>
      <c r="K774" s="108" t="s">
        <v>155</v>
      </c>
      <c r="N774" s="11" t="s">
        <v>95</v>
      </c>
      <c r="O774" s="11" t="s">
        <v>44</v>
      </c>
      <c r="P774" s="11" t="s">
        <v>44</v>
      </c>
      <c r="Q774" s="11" t="s">
        <v>44</v>
      </c>
      <c r="R774" s="11" t="s">
        <v>45</v>
      </c>
      <c r="S774" s="11" t="s">
        <v>83</v>
      </c>
      <c r="T774" s="11" t="s">
        <v>44</v>
      </c>
      <c r="U774" s="11" t="s">
        <v>44</v>
      </c>
      <c r="W774" s="11" t="s">
        <v>57</v>
      </c>
      <c r="X774" s="11" t="s">
        <v>97</v>
      </c>
      <c r="Y774" s="11" t="s">
        <v>97</v>
      </c>
      <c r="Z774" s="11">
        <v>81996254951</v>
      </c>
      <c r="AA774" s="11" t="s">
        <v>105</v>
      </c>
      <c r="AB774" s="11"/>
      <c r="AC774" s="11"/>
      <c r="AD774" s="11" t="b">
        <v>0</v>
      </c>
      <c r="AF774" s="11"/>
      <c r="AG774" s="11"/>
      <c r="AH774" s="11"/>
      <c r="AI774" s="11"/>
    </row>
    <row r="775" ht="12.5" spans="1:35">
      <c r="A775" s="177">
        <v>45253.4723951042</v>
      </c>
      <c r="B775" s="11" t="s">
        <v>1949</v>
      </c>
      <c r="C775" s="19">
        <v>10704925400</v>
      </c>
      <c r="D775" s="19">
        <v>704002825635968</v>
      </c>
      <c r="E775" s="18" t="s">
        <v>2701</v>
      </c>
      <c r="F775" s="11" t="s">
        <v>40</v>
      </c>
      <c r="G775" s="11" t="s">
        <v>54</v>
      </c>
      <c r="H775" s="24">
        <v>33591</v>
      </c>
      <c r="I775" s="277" t="s">
        <v>923</v>
      </c>
      <c r="J775" s="11" t="s">
        <v>42</v>
      </c>
      <c r="K775" s="108" t="s">
        <v>74</v>
      </c>
      <c r="N775" s="11" t="s">
        <v>43</v>
      </c>
      <c r="O775" s="11" t="s">
        <v>96</v>
      </c>
      <c r="P775" s="11" t="s">
        <v>56</v>
      </c>
      <c r="Q775" s="11" t="s">
        <v>45</v>
      </c>
      <c r="R775" s="11" t="s">
        <v>45</v>
      </c>
      <c r="S775" s="11" t="s">
        <v>45</v>
      </c>
      <c r="T775" s="11" t="s">
        <v>44</v>
      </c>
      <c r="U775" s="11" t="s">
        <v>45</v>
      </c>
      <c r="V775" s="24">
        <v>45254</v>
      </c>
      <c r="W775" s="11" t="s">
        <v>46</v>
      </c>
      <c r="X775" s="11" t="s">
        <v>47</v>
      </c>
      <c r="Y775" s="11" t="s">
        <v>58</v>
      </c>
      <c r="Z775" s="11">
        <v>81988544578</v>
      </c>
      <c r="AA775" s="11" t="s">
        <v>1267</v>
      </c>
      <c r="AB775" s="11" t="s">
        <v>98</v>
      </c>
      <c r="AC775" s="11"/>
      <c r="AD775" s="11" t="b">
        <v>0</v>
      </c>
      <c r="AF775" s="11" t="s">
        <v>1976</v>
      </c>
      <c r="AG775" s="11" t="s">
        <v>2702</v>
      </c>
      <c r="AH775" s="11" t="s">
        <v>2703</v>
      </c>
      <c r="AI775" s="11"/>
    </row>
    <row r="776" ht="12.5" spans="1:35">
      <c r="A776" s="177">
        <v>45253.7557232639</v>
      </c>
      <c r="B776" s="11" t="s">
        <v>2704</v>
      </c>
      <c r="C776" s="19">
        <v>70946113408</v>
      </c>
      <c r="D776" s="19">
        <v>700707925864875</v>
      </c>
      <c r="E776" s="18" t="s">
        <v>2705</v>
      </c>
      <c r="F776" s="11" t="s">
        <v>40</v>
      </c>
      <c r="G776" s="11" t="s">
        <v>54</v>
      </c>
      <c r="H776" s="24">
        <v>37282</v>
      </c>
      <c r="I776" s="277" t="s">
        <v>2706</v>
      </c>
      <c r="J776" s="11" t="s">
        <v>42</v>
      </c>
      <c r="K776" s="108" t="s">
        <v>564</v>
      </c>
      <c r="N776" s="11" t="s">
        <v>43</v>
      </c>
      <c r="O776" s="11" t="s">
        <v>65</v>
      </c>
      <c r="P776" s="11" t="s">
        <v>66</v>
      </c>
      <c r="Q776" s="11" t="s">
        <v>44</v>
      </c>
      <c r="R776" s="11" t="s">
        <v>45</v>
      </c>
      <c r="S776" s="11" t="s">
        <v>45</v>
      </c>
      <c r="T776" s="11" t="s">
        <v>44</v>
      </c>
      <c r="U776" s="11" t="s">
        <v>45</v>
      </c>
      <c r="V776" s="24">
        <v>45254</v>
      </c>
      <c r="W776" s="11" t="s">
        <v>46</v>
      </c>
      <c r="X776" s="11" t="s">
        <v>203</v>
      </c>
      <c r="Y776" s="11" t="s">
        <v>68</v>
      </c>
      <c r="Z776" s="11">
        <v>81973256369</v>
      </c>
      <c r="AA776" s="11" t="s">
        <v>105</v>
      </c>
      <c r="AB776" s="11" t="s">
        <v>49</v>
      </c>
      <c r="AC776" s="11" t="s">
        <v>106</v>
      </c>
      <c r="AD776" s="11" t="b">
        <v>0</v>
      </c>
      <c r="AF776" s="11" t="s">
        <v>2707</v>
      </c>
      <c r="AG776" s="11"/>
      <c r="AH776" s="11"/>
      <c r="AI776" s="11"/>
    </row>
    <row r="777" ht="12.5" spans="1:35">
      <c r="A777" s="177">
        <v>45253.7700989699</v>
      </c>
      <c r="B777" s="11" t="s">
        <v>1250</v>
      </c>
      <c r="C777" s="19">
        <v>10258675489</v>
      </c>
      <c r="D777" s="19">
        <v>704706718467333</v>
      </c>
      <c r="E777" s="18" t="s">
        <v>2708</v>
      </c>
      <c r="F777" s="11" t="s">
        <v>40</v>
      </c>
      <c r="G777" s="11" t="s">
        <v>54</v>
      </c>
      <c r="H777" s="24">
        <v>34177</v>
      </c>
      <c r="I777" s="277" t="s">
        <v>309</v>
      </c>
      <c r="J777" s="11" t="s">
        <v>42</v>
      </c>
      <c r="K777" s="108" t="s">
        <v>2709</v>
      </c>
      <c r="N777" s="11" t="s">
        <v>43</v>
      </c>
      <c r="O777" s="11" t="s">
        <v>96</v>
      </c>
      <c r="P777" s="11" t="s">
        <v>66</v>
      </c>
      <c r="Q777" s="11" t="s">
        <v>44</v>
      </c>
      <c r="R777" s="11" t="s">
        <v>45</v>
      </c>
      <c r="S777" s="11" t="s">
        <v>45</v>
      </c>
      <c r="T777" s="11" t="s">
        <v>44</v>
      </c>
      <c r="U777" s="11" t="s">
        <v>45</v>
      </c>
      <c r="V777" s="24">
        <v>45254</v>
      </c>
      <c r="W777" s="11" t="s">
        <v>46</v>
      </c>
      <c r="X777" s="11" t="s">
        <v>203</v>
      </c>
      <c r="Y777" s="11" t="s">
        <v>68</v>
      </c>
      <c r="Z777" s="11">
        <v>81986325570</v>
      </c>
      <c r="AA777" s="11" t="s">
        <v>105</v>
      </c>
      <c r="AB777" s="11" t="s">
        <v>98</v>
      </c>
      <c r="AC777" s="11"/>
      <c r="AD777" s="11" t="b">
        <v>0</v>
      </c>
      <c r="AF777" s="11" t="s">
        <v>2710</v>
      </c>
      <c r="AG777" s="11" t="s">
        <v>2711</v>
      </c>
      <c r="AH777" s="11"/>
      <c r="AI777" s="11"/>
    </row>
    <row r="778" ht="12.5" spans="1:35">
      <c r="A778" s="177">
        <v>45253.7755376736</v>
      </c>
      <c r="B778" s="11" t="s">
        <v>2639</v>
      </c>
      <c r="C778" s="19">
        <v>71376795442</v>
      </c>
      <c r="D778" s="19">
        <v>709203216580438</v>
      </c>
      <c r="F778" s="11" t="s">
        <v>40</v>
      </c>
      <c r="G778" s="11" t="s">
        <v>54</v>
      </c>
      <c r="H778" s="24">
        <v>37755</v>
      </c>
      <c r="I778" s="277" t="s">
        <v>395</v>
      </c>
      <c r="J778" s="11" t="s">
        <v>42</v>
      </c>
      <c r="K778" s="108" t="s">
        <v>2712</v>
      </c>
      <c r="N778" s="11" t="s">
        <v>95</v>
      </c>
      <c r="O778" s="11" t="s">
        <v>44</v>
      </c>
      <c r="P778" s="11" t="s">
        <v>44</v>
      </c>
      <c r="Q778" s="11" t="s">
        <v>44</v>
      </c>
      <c r="R778" s="11" t="s">
        <v>45</v>
      </c>
      <c r="S778" s="11" t="s">
        <v>45</v>
      </c>
      <c r="T778" s="11" t="s">
        <v>44</v>
      </c>
      <c r="U778" s="11" t="s">
        <v>44</v>
      </c>
      <c r="W778" s="11" t="s">
        <v>46</v>
      </c>
      <c r="X778" s="11" t="s">
        <v>97</v>
      </c>
      <c r="Y778" s="11" t="s">
        <v>97</v>
      </c>
      <c r="Z778" s="11">
        <v>81973430677</v>
      </c>
      <c r="AA778" s="11" t="s">
        <v>105</v>
      </c>
      <c r="AB778" s="11"/>
      <c r="AC778" s="11"/>
      <c r="AD778" s="11" t="b">
        <v>0</v>
      </c>
      <c r="AF778" s="11"/>
      <c r="AG778" s="11"/>
      <c r="AH778" s="11"/>
      <c r="AI778" s="11"/>
    </row>
    <row r="779" ht="12.5" spans="1:35">
      <c r="A779" s="177">
        <v>45254.3521534375</v>
      </c>
      <c r="B779" s="11" t="s">
        <v>2704</v>
      </c>
      <c r="C779" s="19">
        <v>70946113408</v>
      </c>
      <c r="D779" s="19">
        <v>700707925864875</v>
      </c>
      <c r="F779" s="11" t="s">
        <v>40</v>
      </c>
      <c r="G779" s="11" t="s">
        <v>54</v>
      </c>
      <c r="H779" s="24">
        <v>37282</v>
      </c>
      <c r="I779" s="277" t="s">
        <v>2706</v>
      </c>
      <c r="J779" s="11" t="s">
        <v>81</v>
      </c>
      <c r="K779" s="108"/>
      <c r="L779" s="11" t="s">
        <v>525</v>
      </c>
      <c r="N779" s="11" t="s">
        <v>95</v>
      </c>
      <c r="O779" s="11" t="s">
        <v>44</v>
      </c>
      <c r="P779" s="11" t="s">
        <v>44</v>
      </c>
      <c r="Q779" s="11" t="s">
        <v>44</v>
      </c>
      <c r="R779" s="11" t="s">
        <v>45</v>
      </c>
      <c r="S779" s="11" t="s">
        <v>45</v>
      </c>
      <c r="T779" s="11" t="s">
        <v>44</v>
      </c>
      <c r="U779" s="11" t="s">
        <v>44</v>
      </c>
      <c r="W779" s="11" t="s">
        <v>57</v>
      </c>
      <c r="X779" s="11" t="s">
        <v>97</v>
      </c>
      <c r="Y779" s="11" t="s">
        <v>97</v>
      </c>
      <c r="Z779" s="11">
        <v>81973256369</v>
      </c>
      <c r="AA779" s="11" t="s">
        <v>103</v>
      </c>
      <c r="AB779" s="11"/>
      <c r="AC779" s="11"/>
      <c r="AD779" s="11" t="b">
        <v>0</v>
      </c>
      <c r="AF779" s="11"/>
      <c r="AG779" s="11"/>
      <c r="AH779" s="11"/>
      <c r="AI779" s="11"/>
    </row>
    <row r="780" ht="12.5" spans="1:35">
      <c r="A780" s="177">
        <v>45254.4780597222</v>
      </c>
      <c r="B780" s="11" t="s">
        <v>2704</v>
      </c>
      <c r="C780" s="19">
        <v>70946113408</v>
      </c>
      <c r="D780" s="19">
        <v>700707925864875</v>
      </c>
      <c r="E780" s="18" t="s">
        <v>2713</v>
      </c>
      <c r="F780" s="11" t="s">
        <v>40</v>
      </c>
      <c r="G780" s="11" t="s">
        <v>54</v>
      </c>
      <c r="H780" s="24">
        <v>37282</v>
      </c>
      <c r="I780" s="277" t="s">
        <v>2706</v>
      </c>
      <c r="J780" s="11" t="s">
        <v>42</v>
      </c>
      <c r="K780" s="108" t="s">
        <v>2714</v>
      </c>
      <c r="N780" s="11" t="s">
        <v>43</v>
      </c>
      <c r="O780" s="11" t="s">
        <v>44</v>
      </c>
      <c r="P780" s="11" t="s">
        <v>44</v>
      </c>
      <c r="Q780" s="11" t="s">
        <v>44</v>
      </c>
      <c r="R780" s="11" t="s">
        <v>45</v>
      </c>
      <c r="S780" s="11" t="s">
        <v>44</v>
      </c>
      <c r="T780" s="11" t="s">
        <v>44</v>
      </c>
      <c r="U780" s="11" t="s">
        <v>44</v>
      </c>
      <c r="W780" s="11" t="s">
        <v>46</v>
      </c>
      <c r="X780" s="11" t="s">
        <v>47</v>
      </c>
      <c r="Y780" s="11" t="s">
        <v>58</v>
      </c>
      <c r="Z780" s="11">
        <v>81973256369</v>
      </c>
      <c r="AA780" s="11" t="s">
        <v>91</v>
      </c>
      <c r="AB780" s="11"/>
      <c r="AC780" s="11"/>
      <c r="AD780" s="11" t="b">
        <v>0</v>
      </c>
      <c r="AF780" s="11"/>
      <c r="AG780" s="11"/>
      <c r="AH780" s="11"/>
      <c r="AI780" s="11"/>
    </row>
    <row r="781" ht="14" spans="1:35">
      <c r="A781" s="216">
        <v>45254.8003804167</v>
      </c>
      <c r="B781" s="11" t="s">
        <v>2715</v>
      </c>
      <c r="C781" s="277" t="s">
        <v>2716</v>
      </c>
      <c r="D781" s="19">
        <v>706206062450465</v>
      </c>
      <c r="E781" s="18" t="s">
        <v>2717</v>
      </c>
      <c r="F781" s="11" t="s">
        <v>40</v>
      </c>
      <c r="G781" s="11" t="s">
        <v>54</v>
      </c>
      <c r="H781" s="24">
        <v>33010</v>
      </c>
      <c r="I781" s="277" t="s">
        <v>2718</v>
      </c>
      <c r="J781" s="11" t="s">
        <v>42</v>
      </c>
      <c r="K781" s="108" t="s">
        <v>427</v>
      </c>
      <c r="N781" s="11" t="s">
        <v>43</v>
      </c>
      <c r="O781" s="11" t="s">
        <v>96</v>
      </c>
      <c r="P781" s="11" t="s">
        <v>66</v>
      </c>
      <c r="Q781" s="11" t="s">
        <v>45</v>
      </c>
      <c r="R781" s="11" t="s">
        <v>45</v>
      </c>
      <c r="S781" s="11" t="s">
        <v>83</v>
      </c>
      <c r="T781" s="11" t="s">
        <v>44</v>
      </c>
      <c r="U781" s="11" t="s">
        <v>45</v>
      </c>
      <c r="V781" s="24">
        <v>45255</v>
      </c>
      <c r="W781" s="11" t="s">
        <v>46</v>
      </c>
      <c r="X781" s="11" t="s">
        <v>203</v>
      </c>
      <c r="Y781" s="11" t="s">
        <v>58</v>
      </c>
      <c r="Z781" s="11">
        <v>81985118857</v>
      </c>
      <c r="AA781" s="11" t="s">
        <v>1360</v>
      </c>
      <c r="AB781" s="11" t="s">
        <v>49</v>
      </c>
      <c r="AC781" s="11" t="s">
        <v>274</v>
      </c>
      <c r="AD781" s="11" t="b">
        <v>0</v>
      </c>
      <c r="AF781" s="250" t="s">
        <v>2719</v>
      </c>
      <c r="AG781" s="11"/>
      <c r="AH781" s="11"/>
      <c r="AI781" s="11"/>
    </row>
    <row r="782" ht="12.5" spans="1:35">
      <c r="A782" s="216">
        <v>45255.5276059838</v>
      </c>
      <c r="B782" s="11" t="s">
        <v>2720</v>
      </c>
      <c r="C782" s="19">
        <v>71396500460</v>
      </c>
      <c r="D782" s="19">
        <v>209047280690005</v>
      </c>
      <c r="E782" s="18" t="s">
        <v>2721</v>
      </c>
      <c r="F782" s="11" t="s">
        <v>40</v>
      </c>
      <c r="G782" s="11" t="s">
        <v>54</v>
      </c>
      <c r="H782" s="24">
        <v>36125</v>
      </c>
      <c r="I782" s="277" t="s">
        <v>2722</v>
      </c>
      <c r="J782" s="11" t="s">
        <v>42</v>
      </c>
      <c r="K782" s="108" t="s">
        <v>427</v>
      </c>
      <c r="N782" s="11" t="s">
        <v>43</v>
      </c>
      <c r="O782" s="11" t="s">
        <v>44</v>
      </c>
      <c r="P782" s="11" t="s">
        <v>56</v>
      </c>
      <c r="Q782" s="11" t="s">
        <v>44</v>
      </c>
      <c r="R782" s="11" t="s">
        <v>45</v>
      </c>
      <c r="S782" s="11" t="s">
        <v>45</v>
      </c>
      <c r="T782" s="11" t="s">
        <v>44</v>
      </c>
      <c r="U782" s="11" t="s">
        <v>45</v>
      </c>
      <c r="V782" s="24">
        <v>45257</v>
      </c>
      <c r="W782" s="11" t="s">
        <v>46</v>
      </c>
      <c r="X782" s="11" t="s">
        <v>303</v>
      </c>
      <c r="Y782" s="11" t="s">
        <v>58</v>
      </c>
      <c r="Z782" s="11">
        <v>81973234869</v>
      </c>
      <c r="AA782" s="11" t="s">
        <v>115</v>
      </c>
      <c r="AB782" s="11" t="s">
        <v>49</v>
      </c>
      <c r="AC782" s="11" t="s">
        <v>50</v>
      </c>
      <c r="AD782" s="11" t="b">
        <v>0</v>
      </c>
      <c r="AF782" s="11" t="s">
        <v>2723</v>
      </c>
      <c r="AG782" s="11"/>
      <c r="AH782" s="11" t="s">
        <v>2724</v>
      </c>
      <c r="AI782" s="11"/>
    </row>
    <row r="783" ht="12.5" spans="1:35">
      <c r="A783" s="216">
        <v>45255.5892552662</v>
      </c>
      <c r="B783" s="11" t="s">
        <v>2725</v>
      </c>
      <c r="C783" s="19">
        <v>13211084436</v>
      </c>
      <c r="D783" s="19">
        <v>898004654931653</v>
      </c>
      <c r="E783" s="18" t="s">
        <v>2726</v>
      </c>
      <c r="F783" s="11" t="s">
        <v>40</v>
      </c>
      <c r="G783" s="11" t="s">
        <v>54</v>
      </c>
      <c r="H783" s="24">
        <v>36285</v>
      </c>
      <c r="I783" s="19" t="s">
        <v>865</v>
      </c>
      <c r="J783" s="11" t="s">
        <v>42</v>
      </c>
      <c r="K783" s="108" t="s">
        <v>2727</v>
      </c>
      <c r="N783" s="11" t="s">
        <v>43</v>
      </c>
      <c r="O783" s="11" t="s">
        <v>44</v>
      </c>
      <c r="P783" s="11" t="s">
        <v>44</v>
      </c>
      <c r="Q783" s="11" t="s">
        <v>44</v>
      </c>
      <c r="R783" s="11" t="s">
        <v>44</v>
      </c>
      <c r="S783" s="11" t="s">
        <v>45</v>
      </c>
      <c r="T783" s="11" t="s">
        <v>44</v>
      </c>
      <c r="U783" s="11" t="s">
        <v>44</v>
      </c>
      <c r="W783" s="11" t="s">
        <v>46</v>
      </c>
      <c r="X783" s="11" t="s">
        <v>303</v>
      </c>
      <c r="Y783" s="11" t="s">
        <v>58</v>
      </c>
      <c r="Z783" s="11">
        <v>81996942014</v>
      </c>
      <c r="AA783" s="11" t="s">
        <v>115</v>
      </c>
      <c r="AB783" s="11"/>
      <c r="AC783" s="11"/>
      <c r="AD783" s="11" t="b">
        <v>0</v>
      </c>
      <c r="AF783" s="11"/>
      <c r="AG783" s="11"/>
      <c r="AH783" s="11" t="s">
        <v>854</v>
      </c>
      <c r="AI783" s="11"/>
    </row>
    <row r="784" ht="12.5" spans="1:35">
      <c r="A784" s="216">
        <v>45255.6178298611</v>
      </c>
      <c r="B784" s="11" t="s">
        <v>2728</v>
      </c>
      <c r="C784" s="19">
        <v>11520185405</v>
      </c>
      <c r="D784" s="19">
        <v>700503741989150</v>
      </c>
      <c r="E784" s="18" t="s">
        <v>2729</v>
      </c>
      <c r="F784" s="11" t="s">
        <v>40</v>
      </c>
      <c r="G784" s="11" t="s">
        <v>54</v>
      </c>
      <c r="H784" s="24">
        <v>34740</v>
      </c>
      <c r="I784" s="277" t="s">
        <v>2195</v>
      </c>
      <c r="J784" s="11" t="s">
        <v>42</v>
      </c>
      <c r="K784" s="108" t="s">
        <v>427</v>
      </c>
      <c r="N784" s="11" t="s">
        <v>43</v>
      </c>
      <c r="O784" s="11" t="s">
        <v>96</v>
      </c>
      <c r="P784" s="11" t="s">
        <v>66</v>
      </c>
      <c r="Q784" s="11" t="s">
        <v>44</v>
      </c>
      <c r="R784" s="11" t="s">
        <v>45</v>
      </c>
      <c r="S784" s="11" t="s">
        <v>45</v>
      </c>
      <c r="T784" s="11" t="s">
        <v>44</v>
      </c>
      <c r="U784" s="11" t="s">
        <v>45</v>
      </c>
      <c r="V784" s="24">
        <v>45256</v>
      </c>
      <c r="W784" s="11" t="s">
        <v>46</v>
      </c>
      <c r="X784" s="11" t="s">
        <v>303</v>
      </c>
      <c r="Y784" s="11" t="s">
        <v>58</v>
      </c>
      <c r="Z784" s="11">
        <v>81987690599</v>
      </c>
      <c r="AA784" s="11" t="s">
        <v>296</v>
      </c>
      <c r="AB784" s="11" t="s">
        <v>98</v>
      </c>
      <c r="AC784" s="11"/>
      <c r="AD784" s="11" t="b">
        <v>0</v>
      </c>
      <c r="AF784" s="11"/>
      <c r="AG784" s="11"/>
      <c r="AH784" s="11" t="s">
        <v>2730</v>
      </c>
      <c r="AI784" s="11"/>
    </row>
    <row r="785" ht="12.5" spans="1:35">
      <c r="A785" s="177">
        <v>45255.6518452546</v>
      </c>
      <c r="B785" s="11" t="s">
        <v>2715</v>
      </c>
      <c r="C785" s="277" t="s">
        <v>2716</v>
      </c>
      <c r="D785" s="19">
        <v>706206062450465</v>
      </c>
      <c r="F785" s="11" t="s">
        <v>40</v>
      </c>
      <c r="G785" s="11" t="s">
        <v>54</v>
      </c>
      <c r="H785" s="24">
        <v>33010</v>
      </c>
      <c r="I785" s="277" t="s">
        <v>2406</v>
      </c>
      <c r="J785" s="11" t="s">
        <v>42</v>
      </c>
      <c r="K785" s="108" t="s">
        <v>427</v>
      </c>
      <c r="N785" s="11" t="s">
        <v>95</v>
      </c>
      <c r="O785" s="11" t="s">
        <v>44</v>
      </c>
      <c r="P785" s="11" t="s">
        <v>44</v>
      </c>
      <c r="Q785" s="11" t="s">
        <v>44</v>
      </c>
      <c r="R785" s="11" t="s">
        <v>45</v>
      </c>
      <c r="S785" s="11" t="s">
        <v>45</v>
      </c>
      <c r="T785" s="11" t="s">
        <v>44</v>
      </c>
      <c r="U785" s="11" t="s">
        <v>45</v>
      </c>
      <c r="V785" s="24">
        <v>45257</v>
      </c>
      <c r="W785" s="11" t="s">
        <v>57</v>
      </c>
      <c r="X785" s="11" t="s">
        <v>97</v>
      </c>
      <c r="Y785" s="11" t="s">
        <v>97</v>
      </c>
      <c r="Z785" s="11">
        <v>81985118857</v>
      </c>
      <c r="AA785" s="11" t="s">
        <v>296</v>
      </c>
      <c r="AB785" s="11" t="s">
        <v>98</v>
      </c>
      <c r="AC785" s="11"/>
      <c r="AD785" s="11" t="b">
        <v>0</v>
      </c>
      <c r="AF785" s="11" t="s">
        <v>2731</v>
      </c>
      <c r="AG785" s="11"/>
      <c r="AH785" s="11" t="s">
        <v>2732</v>
      </c>
      <c r="AI785" s="11"/>
    </row>
    <row r="786" ht="12.5" spans="1:35">
      <c r="A786" s="216">
        <v>45256.4635075579</v>
      </c>
      <c r="B786" s="11" t="s">
        <v>1864</v>
      </c>
      <c r="C786" s="277" t="s">
        <v>1865</v>
      </c>
      <c r="D786" s="19">
        <v>703002893021874</v>
      </c>
      <c r="E786" s="18" t="s">
        <v>2733</v>
      </c>
      <c r="F786" s="11" t="s">
        <v>225</v>
      </c>
      <c r="G786" s="11" t="s">
        <v>54</v>
      </c>
      <c r="H786" s="24">
        <v>30663</v>
      </c>
      <c r="I786" s="277" t="s">
        <v>967</v>
      </c>
      <c r="J786" s="11" t="s">
        <v>42</v>
      </c>
      <c r="K786" s="108" t="s">
        <v>202</v>
      </c>
      <c r="N786" s="11" t="s">
        <v>43</v>
      </c>
      <c r="O786" s="11" t="s">
        <v>44</v>
      </c>
      <c r="P786" s="11" t="s">
        <v>44</v>
      </c>
      <c r="Q786" s="11" t="s">
        <v>44</v>
      </c>
      <c r="R786" s="11" t="s">
        <v>45</v>
      </c>
      <c r="S786" s="11" t="s">
        <v>45</v>
      </c>
      <c r="T786" s="11" t="s">
        <v>44</v>
      </c>
      <c r="U786" s="11" t="s">
        <v>44</v>
      </c>
      <c r="W786" s="11" t="s">
        <v>46</v>
      </c>
      <c r="X786" s="11" t="s">
        <v>303</v>
      </c>
      <c r="Y786" s="11" t="s">
        <v>58</v>
      </c>
      <c r="Z786" s="11">
        <v>81998853817</v>
      </c>
      <c r="AA786" s="11" t="s">
        <v>1360</v>
      </c>
      <c r="AB786" s="11"/>
      <c r="AC786" s="11"/>
      <c r="AD786" s="11" t="b">
        <v>0</v>
      </c>
      <c r="AF786" s="11"/>
      <c r="AG786" s="11"/>
      <c r="AH786" s="11"/>
      <c r="AI786" s="11"/>
    </row>
    <row r="787" ht="12.5" spans="1:35">
      <c r="A787" s="216">
        <v>45256.4894712037</v>
      </c>
      <c r="B787" s="11" t="s">
        <v>2211</v>
      </c>
      <c r="C787" s="19">
        <v>71521746443</v>
      </c>
      <c r="D787" s="19">
        <v>700001066797603</v>
      </c>
      <c r="E787" s="18" t="s">
        <v>2734</v>
      </c>
      <c r="F787" s="11" t="s">
        <v>40</v>
      </c>
      <c r="G787" s="11" t="s">
        <v>54</v>
      </c>
      <c r="H787" s="24">
        <v>39120</v>
      </c>
      <c r="I787" s="277" t="s">
        <v>2735</v>
      </c>
      <c r="J787" s="11" t="s">
        <v>42</v>
      </c>
      <c r="K787" s="108" t="s">
        <v>2736</v>
      </c>
      <c r="N787" s="11" t="s">
        <v>43</v>
      </c>
      <c r="O787" s="11" t="s">
        <v>44</v>
      </c>
      <c r="P787" s="11" t="s">
        <v>44</v>
      </c>
      <c r="Q787" s="11" t="s">
        <v>44</v>
      </c>
      <c r="R787" s="11" t="s">
        <v>45</v>
      </c>
      <c r="S787" s="11" t="s">
        <v>45</v>
      </c>
      <c r="T787" s="11" t="s">
        <v>44</v>
      </c>
      <c r="U787" s="11" t="s">
        <v>44</v>
      </c>
      <c r="W787" s="11" t="s">
        <v>46</v>
      </c>
      <c r="X787" s="11" t="s">
        <v>303</v>
      </c>
      <c r="Y787" s="11" t="s">
        <v>58</v>
      </c>
      <c r="Z787" s="11">
        <v>81981810115</v>
      </c>
      <c r="AA787" s="11" t="s">
        <v>1360</v>
      </c>
      <c r="AB787" s="11"/>
      <c r="AC787" s="11"/>
      <c r="AD787" s="11" t="b">
        <v>0</v>
      </c>
      <c r="AF787" s="11"/>
      <c r="AG787" s="11"/>
      <c r="AH787" s="11"/>
      <c r="AI787" s="11"/>
    </row>
    <row r="788" ht="12.5" spans="1:35">
      <c r="A788" s="216">
        <v>45256.525476713</v>
      </c>
      <c r="B788" s="11" t="s">
        <v>2737</v>
      </c>
      <c r="C788" s="19">
        <v>71181541484</v>
      </c>
      <c r="D788" s="19">
        <v>706500337525497</v>
      </c>
      <c r="E788" s="18" t="s">
        <v>2738</v>
      </c>
      <c r="F788" s="11" t="s">
        <v>40</v>
      </c>
      <c r="G788" s="11" t="s">
        <v>135</v>
      </c>
      <c r="H788" s="24">
        <v>45145</v>
      </c>
      <c r="I788" s="277" t="s">
        <v>236</v>
      </c>
      <c r="J788" s="11" t="s">
        <v>42</v>
      </c>
      <c r="K788" s="108" t="s">
        <v>202</v>
      </c>
      <c r="N788" s="11" t="s">
        <v>43</v>
      </c>
      <c r="O788" s="11" t="s">
        <v>44</v>
      </c>
      <c r="P788" s="11" t="s">
        <v>44</v>
      </c>
      <c r="Q788" s="11" t="s">
        <v>44</v>
      </c>
      <c r="R788" s="11" t="s">
        <v>45</v>
      </c>
      <c r="S788" s="11" t="s">
        <v>44</v>
      </c>
      <c r="T788" s="11" t="s">
        <v>44</v>
      </c>
      <c r="U788" s="11" t="s">
        <v>44</v>
      </c>
      <c r="W788" s="11" t="s">
        <v>46</v>
      </c>
      <c r="X788" s="11" t="s">
        <v>303</v>
      </c>
      <c r="Y788" s="11" t="s">
        <v>58</v>
      </c>
      <c r="Z788" s="11">
        <v>81986948863</v>
      </c>
      <c r="AA788" s="11" t="s">
        <v>1360</v>
      </c>
      <c r="AB788" s="11"/>
      <c r="AC788" s="11"/>
      <c r="AD788" s="11" t="b">
        <v>0</v>
      </c>
      <c r="AF788" s="11"/>
      <c r="AG788" s="11"/>
      <c r="AH788" s="11"/>
      <c r="AI788" s="11"/>
    </row>
    <row r="789" ht="12.5" spans="1:35">
      <c r="A789" s="177">
        <v>45256.5806155324</v>
      </c>
      <c r="B789" s="11" t="s">
        <v>2739</v>
      </c>
      <c r="C789" s="19">
        <v>13114627404</v>
      </c>
      <c r="D789" s="19">
        <v>209964255210002</v>
      </c>
      <c r="E789" s="18" t="s">
        <v>2740</v>
      </c>
      <c r="F789" s="11" t="s">
        <v>225</v>
      </c>
      <c r="G789" s="11" t="s">
        <v>54</v>
      </c>
      <c r="H789" s="24">
        <v>36120</v>
      </c>
      <c r="I789" s="277" t="s">
        <v>2415</v>
      </c>
      <c r="J789" s="11" t="s">
        <v>42</v>
      </c>
      <c r="K789" s="108" t="s">
        <v>74</v>
      </c>
      <c r="N789" s="11" t="s">
        <v>43</v>
      </c>
      <c r="O789" s="11" t="s">
        <v>96</v>
      </c>
      <c r="P789" s="11" t="s">
        <v>56</v>
      </c>
      <c r="Q789" s="11" t="s">
        <v>44</v>
      </c>
      <c r="R789" s="11" t="s">
        <v>45</v>
      </c>
      <c r="S789" s="11" t="s">
        <v>44</v>
      </c>
      <c r="T789" s="11" t="s">
        <v>44</v>
      </c>
      <c r="U789" s="11" t="s">
        <v>45</v>
      </c>
      <c r="V789" s="24">
        <v>45258</v>
      </c>
      <c r="W789" s="11" t="s">
        <v>46</v>
      </c>
      <c r="X789" s="11" t="s">
        <v>303</v>
      </c>
      <c r="Y789" s="11" t="s">
        <v>58</v>
      </c>
      <c r="Z789" s="11">
        <v>81993635858</v>
      </c>
      <c r="AA789" s="11" t="s">
        <v>1360</v>
      </c>
      <c r="AB789" s="11" t="s">
        <v>98</v>
      </c>
      <c r="AC789" s="11"/>
      <c r="AD789" s="11" t="b">
        <v>0</v>
      </c>
      <c r="AF789" s="11" t="s">
        <v>2741</v>
      </c>
      <c r="AG789" s="11" t="s">
        <v>2742</v>
      </c>
      <c r="AH789" s="11" t="s">
        <v>2743</v>
      </c>
      <c r="AI789" s="11"/>
    </row>
    <row r="790" ht="12.5" spans="1:35">
      <c r="A790" s="216">
        <v>45258.3236539931</v>
      </c>
      <c r="B790" s="11" t="s">
        <v>2744</v>
      </c>
      <c r="C790" s="19">
        <v>70910159408</v>
      </c>
      <c r="D790" s="19">
        <v>702608761483341</v>
      </c>
      <c r="E790" s="18" t="s">
        <v>2745</v>
      </c>
      <c r="F790" s="11" t="s">
        <v>40</v>
      </c>
      <c r="G790" s="11" t="s">
        <v>54</v>
      </c>
      <c r="H790" s="24">
        <v>36189</v>
      </c>
      <c r="I790" s="277" t="s">
        <v>923</v>
      </c>
      <c r="J790" s="11" t="s">
        <v>42</v>
      </c>
      <c r="K790" s="108" t="s">
        <v>55</v>
      </c>
      <c r="N790" s="11" t="s">
        <v>43</v>
      </c>
      <c r="O790" s="11" t="s">
        <v>65</v>
      </c>
      <c r="P790" s="11" t="s">
        <v>66</v>
      </c>
      <c r="Q790" s="11" t="s">
        <v>44</v>
      </c>
      <c r="R790" s="11" t="s">
        <v>45</v>
      </c>
      <c r="S790" s="11" t="s">
        <v>45</v>
      </c>
      <c r="T790" s="11" t="s">
        <v>44</v>
      </c>
      <c r="U790" s="11" t="s">
        <v>45</v>
      </c>
      <c r="V790" s="24">
        <v>45258</v>
      </c>
      <c r="W790" s="11" t="s">
        <v>46</v>
      </c>
      <c r="X790" s="9" t="s">
        <v>67</v>
      </c>
      <c r="Y790" s="11" t="s">
        <v>68</v>
      </c>
      <c r="Z790" s="11">
        <v>81992602566</v>
      </c>
      <c r="AA790" s="11" t="s">
        <v>103</v>
      </c>
      <c r="AB790" s="11" t="s">
        <v>49</v>
      </c>
      <c r="AC790" s="11" t="s">
        <v>50</v>
      </c>
      <c r="AD790" s="11" t="b">
        <v>0</v>
      </c>
      <c r="AF790" s="11" t="s">
        <v>2746</v>
      </c>
      <c r="AG790" s="11" t="s">
        <v>2747</v>
      </c>
      <c r="AH790" s="11"/>
      <c r="AI790" s="11"/>
    </row>
    <row r="791" ht="12.5" spans="1:35">
      <c r="A791" s="177">
        <v>45258.3738918403</v>
      </c>
      <c r="B791" s="11" t="s">
        <v>1004</v>
      </c>
      <c r="C791" s="19">
        <v>14500412484</v>
      </c>
      <c r="D791" s="19">
        <v>898005174693865</v>
      </c>
      <c r="E791" s="18" t="s">
        <v>2748</v>
      </c>
      <c r="F791" s="11" t="s">
        <v>40</v>
      </c>
      <c r="G791" s="11" t="s">
        <v>41</v>
      </c>
      <c r="H791" s="24">
        <v>37179</v>
      </c>
      <c r="I791" s="277" t="s">
        <v>2749</v>
      </c>
      <c r="J791" s="11" t="s">
        <v>42</v>
      </c>
      <c r="K791" s="108" t="s">
        <v>202</v>
      </c>
      <c r="N791" s="11" t="s">
        <v>43</v>
      </c>
      <c r="O791" s="11" t="s">
        <v>96</v>
      </c>
      <c r="P791" s="11" t="s">
        <v>56</v>
      </c>
      <c r="Q791" s="11" t="s">
        <v>44</v>
      </c>
      <c r="R791" s="11" t="s">
        <v>45</v>
      </c>
      <c r="S791" s="11" t="s">
        <v>45</v>
      </c>
      <c r="T791" s="11" t="s">
        <v>44</v>
      </c>
      <c r="U791" s="11" t="s">
        <v>45</v>
      </c>
      <c r="V791" s="24">
        <v>45258</v>
      </c>
      <c r="W791" s="11" t="s">
        <v>46</v>
      </c>
      <c r="X791" s="11" t="s">
        <v>47</v>
      </c>
      <c r="Y791" s="11" t="s">
        <v>58</v>
      </c>
      <c r="Z791" s="11">
        <v>81991067896</v>
      </c>
      <c r="AA791" s="11" t="s">
        <v>115</v>
      </c>
      <c r="AB791" s="11" t="s">
        <v>49</v>
      </c>
      <c r="AC791" s="11" t="s">
        <v>50</v>
      </c>
      <c r="AD791" s="11" t="b">
        <v>0</v>
      </c>
      <c r="AF791" s="11" t="s">
        <v>2750</v>
      </c>
      <c r="AG791" s="11"/>
      <c r="AH791" s="11"/>
      <c r="AI791" s="11"/>
    </row>
    <row r="792" ht="12.5" spans="1:35">
      <c r="A792" s="177">
        <v>45258.4318609375</v>
      </c>
      <c r="B792" s="11" t="s">
        <v>1004</v>
      </c>
      <c r="C792" s="19">
        <v>14500412484</v>
      </c>
      <c r="D792" s="19">
        <v>898005174693865</v>
      </c>
      <c r="E792" s="18" t="s">
        <v>2748</v>
      </c>
      <c r="F792" s="11" t="s">
        <v>40</v>
      </c>
      <c r="G792" s="11" t="s">
        <v>41</v>
      </c>
      <c r="H792" s="24">
        <v>37179</v>
      </c>
      <c r="I792" s="277" t="s">
        <v>1006</v>
      </c>
      <c r="J792" s="11" t="s">
        <v>42</v>
      </c>
      <c r="K792" s="108" t="s">
        <v>202</v>
      </c>
      <c r="N792" s="11" t="s">
        <v>95</v>
      </c>
      <c r="O792" s="11" t="s">
        <v>96</v>
      </c>
      <c r="P792" s="11" t="s">
        <v>66</v>
      </c>
      <c r="Q792" s="11" t="s">
        <v>44</v>
      </c>
      <c r="R792" s="11" t="s">
        <v>45</v>
      </c>
      <c r="S792" s="11" t="s">
        <v>45</v>
      </c>
      <c r="T792" s="11" t="s">
        <v>44</v>
      </c>
      <c r="U792" s="11" t="s">
        <v>45</v>
      </c>
      <c r="V792" s="24">
        <v>45259</v>
      </c>
      <c r="W792" s="11" t="s">
        <v>46</v>
      </c>
      <c r="X792" s="11" t="s">
        <v>97</v>
      </c>
      <c r="Y792" s="11" t="s">
        <v>97</v>
      </c>
      <c r="Z792" s="11">
        <v>81991067896</v>
      </c>
      <c r="AA792" s="11" t="s">
        <v>115</v>
      </c>
      <c r="AB792" s="63" t="s">
        <v>49</v>
      </c>
      <c r="AC792" s="63" t="s">
        <v>50</v>
      </c>
      <c r="AD792" s="11" t="b">
        <v>0</v>
      </c>
      <c r="AF792" s="63" t="s">
        <v>2751</v>
      </c>
      <c r="AG792" s="11"/>
      <c r="AH792" s="11"/>
      <c r="AI792" s="11"/>
    </row>
    <row r="793" ht="12.5" spans="1:35">
      <c r="A793" s="216">
        <v>45258.437272662</v>
      </c>
      <c r="B793" s="11" t="s">
        <v>2752</v>
      </c>
      <c r="C793" s="277" t="s">
        <v>2753</v>
      </c>
      <c r="D793" s="19">
        <v>702300129263816</v>
      </c>
      <c r="E793" s="18" t="s">
        <v>2754</v>
      </c>
      <c r="F793" s="11" t="s">
        <v>225</v>
      </c>
      <c r="G793" s="11" t="s">
        <v>54</v>
      </c>
      <c r="H793" s="24">
        <v>36293</v>
      </c>
      <c r="I793" s="277" t="s">
        <v>2594</v>
      </c>
      <c r="J793" s="11" t="s">
        <v>42</v>
      </c>
      <c r="K793" s="108" t="s">
        <v>63</v>
      </c>
      <c r="N793" s="11" t="s">
        <v>43</v>
      </c>
      <c r="O793" s="11" t="s">
        <v>96</v>
      </c>
      <c r="P793" s="11" t="s">
        <v>66</v>
      </c>
      <c r="Q793" s="11" t="s">
        <v>44</v>
      </c>
      <c r="R793" s="11" t="s">
        <v>45</v>
      </c>
      <c r="S793" s="11" t="s">
        <v>44</v>
      </c>
      <c r="T793" s="11" t="s">
        <v>44</v>
      </c>
      <c r="U793" s="11" t="s">
        <v>45</v>
      </c>
      <c r="V793" s="24">
        <v>45259</v>
      </c>
      <c r="W793" s="11" t="s">
        <v>46</v>
      </c>
      <c r="X793" s="11" t="s">
        <v>47</v>
      </c>
      <c r="Y793" s="11" t="s">
        <v>58</v>
      </c>
      <c r="Z793" s="11">
        <v>81987457715</v>
      </c>
      <c r="AA793" s="11" t="s">
        <v>1267</v>
      </c>
      <c r="AB793" s="11" t="s">
        <v>98</v>
      </c>
      <c r="AC793" s="11"/>
      <c r="AD793" s="11" t="b">
        <v>0</v>
      </c>
      <c r="AF793" s="11" t="s">
        <v>2755</v>
      </c>
      <c r="AG793" s="11"/>
      <c r="AH793" s="11"/>
      <c r="AI793" s="11"/>
    </row>
    <row r="794" ht="12.5" spans="1:35">
      <c r="A794" s="177">
        <v>45258.7004713657</v>
      </c>
      <c r="B794" s="11" t="s">
        <v>2756</v>
      </c>
      <c r="C794" s="277" t="s">
        <v>2757</v>
      </c>
      <c r="D794" s="19">
        <v>705003083480658</v>
      </c>
      <c r="E794" s="18" t="s">
        <v>2758</v>
      </c>
      <c r="F794" s="11" t="s">
        <v>40</v>
      </c>
      <c r="G794" s="11" t="s">
        <v>41</v>
      </c>
      <c r="H794" s="24">
        <v>34545</v>
      </c>
      <c r="I794" s="277" t="s">
        <v>2759</v>
      </c>
      <c r="J794" s="11" t="s">
        <v>42</v>
      </c>
      <c r="K794" s="108" t="s">
        <v>2760</v>
      </c>
      <c r="N794" s="11" t="s">
        <v>43</v>
      </c>
      <c r="O794" s="11" t="s">
        <v>44</v>
      </c>
      <c r="P794" s="11" t="s">
        <v>44</v>
      </c>
      <c r="Q794" s="11" t="s">
        <v>44</v>
      </c>
      <c r="R794" s="11" t="s">
        <v>45</v>
      </c>
      <c r="S794" s="11" t="s">
        <v>45</v>
      </c>
      <c r="T794" s="11" t="s">
        <v>44</v>
      </c>
      <c r="U794" s="11" t="s">
        <v>44</v>
      </c>
      <c r="W794" s="11" t="s">
        <v>46</v>
      </c>
      <c r="X794" s="11" t="s">
        <v>47</v>
      </c>
      <c r="Y794" s="11" t="s">
        <v>185</v>
      </c>
      <c r="Z794" s="11">
        <v>81992557501</v>
      </c>
      <c r="AA794" s="11" t="s">
        <v>115</v>
      </c>
      <c r="AB794" s="11"/>
      <c r="AC794" s="11"/>
      <c r="AD794" s="11" t="b">
        <v>0</v>
      </c>
      <c r="AF794" s="11"/>
      <c r="AG794" s="11"/>
      <c r="AH794" s="11"/>
      <c r="AI794" s="11"/>
    </row>
    <row r="795" ht="12.5" spans="1:35">
      <c r="A795" s="177">
        <v>45258.7187656829</v>
      </c>
      <c r="B795" s="11" t="s">
        <v>2761</v>
      </c>
      <c r="C795" s="19">
        <v>71235645452</v>
      </c>
      <c r="D795" s="19">
        <v>702005810307087</v>
      </c>
      <c r="E795" s="18" t="s">
        <v>2762</v>
      </c>
      <c r="F795" s="11" t="s">
        <v>225</v>
      </c>
      <c r="G795" s="11" t="s">
        <v>54</v>
      </c>
      <c r="H795" s="24">
        <v>36949</v>
      </c>
      <c r="I795" s="19" t="s">
        <v>865</v>
      </c>
      <c r="J795" s="11" t="s">
        <v>42</v>
      </c>
      <c r="K795" s="108" t="s">
        <v>1083</v>
      </c>
      <c r="N795" s="11" t="s">
        <v>43</v>
      </c>
      <c r="O795" s="11" t="s">
        <v>44</v>
      </c>
      <c r="P795" s="11" t="s">
        <v>56</v>
      </c>
      <c r="Q795" s="11" t="s">
        <v>44</v>
      </c>
      <c r="R795" s="11" t="s">
        <v>45</v>
      </c>
      <c r="S795" s="11" t="s">
        <v>45</v>
      </c>
      <c r="T795" s="11" t="s">
        <v>44</v>
      </c>
      <c r="U795" s="11" t="s">
        <v>45</v>
      </c>
      <c r="V795" s="24">
        <v>45259</v>
      </c>
      <c r="W795" s="11" t="s">
        <v>46</v>
      </c>
      <c r="X795" s="11" t="s">
        <v>47</v>
      </c>
      <c r="Y795" s="11" t="s">
        <v>58</v>
      </c>
      <c r="Z795" s="11">
        <v>81985102138</v>
      </c>
      <c r="AA795" s="11" t="s">
        <v>115</v>
      </c>
      <c r="AB795" s="11" t="s">
        <v>98</v>
      </c>
      <c r="AC795" s="11"/>
      <c r="AD795" s="11" t="b">
        <v>0</v>
      </c>
      <c r="AF795" s="11" t="s">
        <v>2440</v>
      </c>
      <c r="AG795" s="11"/>
      <c r="AH795" s="11" t="s">
        <v>2172</v>
      </c>
      <c r="AI795" s="11"/>
    </row>
    <row r="796" ht="12.5" spans="1:35">
      <c r="A796" s="177">
        <v>45258.7311754977</v>
      </c>
      <c r="B796" s="11" t="s">
        <v>2744</v>
      </c>
      <c r="C796" s="19">
        <v>70910159408</v>
      </c>
      <c r="D796" s="19">
        <v>702608761483341</v>
      </c>
      <c r="F796" s="11" t="s">
        <v>40</v>
      </c>
      <c r="G796" s="11" t="s">
        <v>54</v>
      </c>
      <c r="H796" s="24">
        <v>36189</v>
      </c>
      <c r="I796" s="277" t="s">
        <v>923</v>
      </c>
      <c r="J796" s="11" t="s">
        <v>42</v>
      </c>
      <c r="K796" s="108" t="s">
        <v>55</v>
      </c>
      <c r="N796" s="11" t="s">
        <v>95</v>
      </c>
      <c r="O796" s="11" t="s">
        <v>127</v>
      </c>
      <c r="P796" s="11" t="s">
        <v>44</v>
      </c>
      <c r="Q796" s="11" t="s">
        <v>44</v>
      </c>
      <c r="R796" s="11" t="s">
        <v>45</v>
      </c>
      <c r="S796" s="11" t="s">
        <v>45</v>
      </c>
      <c r="T796" s="11" t="s">
        <v>44</v>
      </c>
      <c r="U796" s="11" t="s">
        <v>44</v>
      </c>
      <c r="W796" s="11" t="s">
        <v>57</v>
      </c>
      <c r="X796" s="11" t="s">
        <v>97</v>
      </c>
      <c r="Y796" s="11" t="s">
        <v>97</v>
      </c>
      <c r="Z796" s="11">
        <v>81992602566</v>
      </c>
      <c r="AA796" s="11" t="s">
        <v>115</v>
      </c>
      <c r="AB796" s="11"/>
      <c r="AC796" s="11"/>
      <c r="AD796" s="11" t="b">
        <v>0</v>
      </c>
      <c r="AF796" s="11"/>
      <c r="AG796" s="11"/>
      <c r="AH796" s="11"/>
      <c r="AI796" s="11"/>
    </row>
    <row r="797" ht="12.5" spans="1:35">
      <c r="A797" s="177">
        <v>45258.781252338</v>
      </c>
      <c r="B797" s="11" t="s">
        <v>2720</v>
      </c>
      <c r="C797" s="19">
        <v>71396500460</v>
      </c>
      <c r="D797" s="19">
        <v>209047280690005</v>
      </c>
      <c r="F797" s="11" t="s">
        <v>40</v>
      </c>
      <c r="G797" s="11" t="s">
        <v>54</v>
      </c>
      <c r="H797" s="24">
        <v>36125</v>
      </c>
      <c r="I797" s="277" t="s">
        <v>2722</v>
      </c>
      <c r="J797" s="11" t="s">
        <v>42</v>
      </c>
      <c r="K797" s="108" t="s">
        <v>427</v>
      </c>
      <c r="N797" s="11" t="s">
        <v>95</v>
      </c>
      <c r="O797" s="11" t="s">
        <v>44</v>
      </c>
      <c r="P797" s="11" t="s">
        <v>44</v>
      </c>
      <c r="Q797" s="11" t="s">
        <v>44</v>
      </c>
      <c r="R797" s="11" t="s">
        <v>45</v>
      </c>
      <c r="S797" s="11" t="s">
        <v>45</v>
      </c>
      <c r="T797" s="11" t="s">
        <v>44</v>
      </c>
      <c r="U797" s="11" t="s">
        <v>44</v>
      </c>
      <c r="W797" s="11" t="s">
        <v>57</v>
      </c>
      <c r="X797" s="11" t="s">
        <v>97</v>
      </c>
      <c r="Y797" s="11" t="s">
        <v>97</v>
      </c>
      <c r="Z797" s="11">
        <v>81973234869</v>
      </c>
      <c r="AA797" s="11" t="s">
        <v>115</v>
      </c>
      <c r="AB797" s="11"/>
      <c r="AC797" s="11"/>
      <c r="AD797" s="11" t="b">
        <v>0</v>
      </c>
      <c r="AF797" s="11"/>
      <c r="AG797" s="11"/>
      <c r="AH797" s="11"/>
      <c r="AI797" s="11"/>
    </row>
    <row r="798" ht="12.5" spans="1:37">
      <c r="A798" s="208">
        <v>45259.3660936343</v>
      </c>
      <c r="B798" s="63" t="s">
        <v>1004</v>
      </c>
      <c r="C798" s="209">
        <v>14500412484</v>
      </c>
      <c r="D798" s="19">
        <v>898005174693865</v>
      </c>
      <c r="E798" s="210" t="s">
        <v>2763</v>
      </c>
      <c r="F798" s="63" t="s">
        <v>40</v>
      </c>
      <c r="G798" s="63" t="s">
        <v>41</v>
      </c>
      <c r="H798" s="129">
        <v>37179</v>
      </c>
      <c r="I798" s="283" t="s">
        <v>1006</v>
      </c>
      <c r="J798" s="63" t="s">
        <v>81</v>
      </c>
      <c r="K798" s="213"/>
      <c r="L798" s="63" t="s">
        <v>525</v>
      </c>
      <c r="M798" s="63"/>
      <c r="N798" s="63" t="s">
        <v>43</v>
      </c>
      <c r="O798" s="63" t="s">
        <v>65</v>
      </c>
      <c r="P798" s="63" t="s">
        <v>66</v>
      </c>
      <c r="Q798" s="63" t="s">
        <v>44</v>
      </c>
      <c r="R798" s="63" t="s">
        <v>45</v>
      </c>
      <c r="S798" s="63" t="s">
        <v>45</v>
      </c>
      <c r="T798" s="63" t="s">
        <v>44</v>
      </c>
      <c r="U798" s="63" t="s">
        <v>45</v>
      </c>
      <c r="V798" s="129">
        <v>45259</v>
      </c>
      <c r="W798" s="63" t="s">
        <v>46</v>
      </c>
      <c r="X798" s="63" t="s">
        <v>67</v>
      </c>
      <c r="Y798" s="63" t="s">
        <v>58</v>
      </c>
      <c r="Z798" s="63">
        <v>81991067896</v>
      </c>
      <c r="AA798" s="63" t="s">
        <v>115</v>
      </c>
      <c r="AB798" s="63" t="s">
        <v>49</v>
      </c>
      <c r="AC798" s="63" t="s">
        <v>50</v>
      </c>
      <c r="AD798" s="63" t="b">
        <v>0</v>
      </c>
      <c r="AE798" s="63"/>
      <c r="AF798" s="251" t="s">
        <v>2764</v>
      </c>
      <c r="AG798" s="63"/>
      <c r="AH798" s="63"/>
      <c r="AI798" s="63"/>
      <c r="AJ798" s="63"/>
      <c r="AK798" s="63"/>
    </row>
    <row r="799" ht="12.5" spans="1:35">
      <c r="A799" s="177">
        <v>45259.5470822569</v>
      </c>
      <c r="B799" s="11" t="s">
        <v>2765</v>
      </c>
      <c r="C799" s="277" t="s">
        <v>2766</v>
      </c>
      <c r="D799" s="19">
        <v>709206248183631</v>
      </c>
      <c r="E799" s="18" t="s">
        <v>2767</v>
      </c>
      <c r="F799" s="11" t="s">
        <v>40</v>
      </c>
      <c r="G799" s="11" t="s">
        <v>54</v>
      </c>
      <c r="H799" s="24">
        <v>32675</v>
      </c>
      <c r="I799" s="277" t="s">
        <v>1454</v>
      </c>
      <c r="J799" s="11" t="s">
        <v>42</v>
      </c>
      <c r="K799" s="108" t="s">
        <v>2768</v>
      </c>
      <c r="N799" s="11" t="s">
        <v>43</v>
      </c>
      <c r="O799" s="11" t="s">
        <v>96</v>
      </c>
      <c r="P799" s="11" t="s">
        <v>56</v>
      </c>
      <c r="Q799" s="11" t="s">
        <v>44</v>
      </c>
      <c r="R799" s="11" t="s">
        <v>45</v>
      </c>
      <c r="S799" s="11" t="s">
        <v>83</v>
      </c>
      <c r="T799" s="11" t="s">
        <v>44</v>
      </c>
      <c r="U799" s="11" t="s">
        <v>45</v>
      </c>
      <c r="V799" s="24">
        <v>45260</v>
      </c>
      <c r="W799" s="11" t="s">
        <v>46</v>
      </c>
      <c r="X799" s="11" t="s">
        <v>47</v>
      </c>
      <c r="Y799" s="11" t="s">
        <v>58</v>
      </c>
      <c r="Z799" s="11">
        <v>81997260987</v>
      </c>
      <c r="AA799" s="11" t="s">
        <v>115</v>
      </c>
      <c r="AB799" s="11" t="s">
        <v>98</v>
      </c>
      <c r="AC799" s="11"/>
      <c r="AD799" s="11" t="b">
        <v>0</v>
      </c>
      <c r="AF799" s="11" t="s">
        <v>2769</v>
      </c>
      <c r="AG799" s="11"/>
      <c r="AH799" s="11"/>
      <c r="AI799" s="11"/>
    </row>
    <row r="800" ht="12.5" spans="1:35">
      <c r="A800" s="177">
        <v>45259.7271061806</v>
      </c>
      <c r="B800" s="11" t="s">
        <v>1004</v>
      </c>
      <c r="C800" s="19">
        <v>14500412484</v>
      </c>
      <c r="D800" s="19">
        <v>898005174693865</v>
      </c>
      <c r="F800" s="11" t="s">
        <v>40</v>
      </c>
      <c r="G800" s="11" t="s">
        <v>41</v>
      </c>
      <c r="H800" s="24">
        <v>37179</v>
      </c>
      <c r="I800" s="277" t="s">
        <v>1006</v>
      </c>
      <c r="J800" s="11" t="s">
        <v>81</v>
      </c>
      <c r="K800" s="108"/>
      <c r="L800" s="11" t="s">
        <v>525</v>
      </c>
      <c r="N800" s="11" t="s">
        <v>95</v>
      </c>
      <c r="O800" s="11" t="s">
        <v>44</v>
      </c>
      <c r="P800" s="11" t="s">
        <v>44</v>
      </c>
      <c r="Q800" s="11" t="s">
        <v>44</v>
      </c>
      <c r="R800" s="11" t="s">
        <v>45</v>
      </c>
      <c r="S800" s="11" t="s">
        <v>45</v>
      </c>
      <c r="T800" s="11" t="s">
        <v>44</v>
      </c>
      <c r="U800" s="11" t="s">
        <v>44</v>
      </c>
      <c r="W800" s="11" t="s">
        <v>57</v>
      </c>
      <c r="X800" s="11" t="s">
        <v>97</v>
      </c>
      <c r="Y800" s="11" t="s">
        <v>97</v>
      </c>
      <c r="Z800" s="11">
        <v>81991067896</v>
      </c>
      <c r="AA800" s="11" t="s">
        <v>115</v>
      </c>
      <c r="AB800" s="11"/>
      <c r="AC800" s="11"/>
      <c r="AD800" s="11" t="b">
        <v>0</v>
      </c>
      <c r="AF800" s="11"/>
      <c r="AG800" s="11"/>
      <c r="AH800" s="11"/>
      <c r="AI800" s="11"/>
    </row>
    <row r="801" ht="12.5" spans="1:35">
      <c r="A801" s="177">
        <v>45259.748816713</v>
      </c>
      <c r="B801" s="11" t="s">
        <v>2770</v>
      </c>
      <c r="C801" s="277" t="s">
        <v>2771</v>
      </c>
      <c r="D801" s="19">
        <v>700003377103400</v>
      </c>
      <c r="E801" s="18" t="s">
        <v>2772</v>
      </c>
      <c r="F801" s="136" t="s">
        <v>40</v>
      </c>
      <c r="G801" s="11" t="s">
        <v>54</v>
      </c>
      <c r="H801" s="24">
        <v>29745</v>
      </c>
      <c r="I801" s="277" t="s">
        <v>2773</v>
      </c>
      <c r="J801" s="11" t="s">
        <v>42</v>
      </c>
      <c r="K801" s="108" t="s">
        <v>155</v>
      </c>
      <c r="N801" s="11" t="s">
        <v>43</v>
      </c>
      <c r="O801" s="11" t="s">
        <v>65</v>
      </c>
      <c r="P801" s="11" t="s">
        <v>66</v>
      </c>
      <c r="Q801" s="11" t="s">
        <v>44</v>
      </c>
      <c r="R801" s="11" t="s">
        <v>45</v>
      </c>
      <c r="S801" s="11" t="s">
        <v>44</v>
      </c>
      <c r="T801" s="11" t="s">
        <v>44</v>
      </c>
      <c r="U801" s="11" t="s">
        <v>45</v>
      </c>
      <c r="V801" s="24">
        <v>45260</v>
      </c>
      <c r="W801" s="11" t="s">
        <v>46</v>
      </c>
      <c r="X801" s="11" t="s">
        <v>203</v>
      </c>
      <c r="Y801" s="11" t="s">
        <v>68</v>
      </c>
      <c r="Z801" s="11">
        <v>81993962617</v>
      </c>
      <c r="AA801" s="11" t="s">
        <v>91</v>
      </c>
      <c r="AB801" s="11" t="s">
        <v>98</v>
      </c>
      <c r="AC801" s="11"/>
      <c r="AD801" s="11" t="b">
        <v>0</v>
      </c>
      <c r="AF801" s="11" t="s">
        <v>2774</v>
      </c>
      <c r="AG801" s="11" t="s">
        <v>2775</v>
      </c>
      <c r="AH801" s="11"/>
      <c r="AI801" s="11"/>
    </row>
    <row r="802" ht="12.5" spans="1:35">
      <c r="A802" s="177">
        <v>45260.5588516898</v>
      </c>
      <c r="B802" s="11" t="s">
        <v>2776</v>
      </c>
      <c r="C802" s="19">
        <v>16330430454</v>
      </c>
      <c r="D802" s="19">
        <v>708100531892831</v>
      </c>
      <c r="E802" s="18" t="s">
        <v>2777</v>
      </c>
      <c r="F802" s="11" t="s">
        <v>40</v>
      </c>
      <c r="G802" s="11" t="s">
        <v>54</v>
      </c>
      <c r="H802" s="24">
        <v>39576</v>
      </c>
      <c r="I802" s="277" t="s">
        <v>707</v>
      </c>
      <c r="J802" s="11" t="s">
        <v>42</v>
      </c>
      <c r="K802" s="108" t="s">
        <v>90</v>
      </c>
      <c r="N802" s="11" t="s">
        <v>43</v>
      </c>
      <c r="O802" s="11" t="s">
        <v>96</v>
      </c>
      <c r="P802" s="11" t="s">
        <v>66</v>
      </c>
      <c r="Q802" s="11" t="s">
        <v>44</v>
      </c>
      <c r="R802" s="11" t="s">
        <v>45</v>
      </c>
      <c r="S802" s="11" t="s">
        <v>45</v>
      </c>
      <c r="T802" s="11" t="s">
        <v>44</v>
      </c>
      <c r="U802" s="11" t="s">
        <v>45</v>
      </c>
      <c r="V802" s="24">
        <v>45261</v>
      </c>
      <c r="W802" s="11" t="s">
        <v>57</v>
      </c>
      <c r="X802" s="11" t="s">
        <v>47</v>
      </c>
      <c r="Y802" s="11" t="s">
        <v>58</v>
      </c>
      <c r="Z802" s="11">
        <v>81987743516</v>
      </c>
      <c r="AA802" s="11" t="s">
        <v>91</v>
      </c>
      <c r="AB802" s="11" t="s">
        <v>98</v>
      </c>
      <c r="AC802" s="11"/>
      <c r="AD802" s="11" t="b">
        <v>0</v>
      </c>
      <c r="AF802" s="11" t="s">
        <v>2778</v>
      </c>
      <c r="AG802" s="11"/>
      <c r="AH802" s="11"/>
      <c r="AI802" s="11"/>
    </row>
    <row r="803" ht="12.5" spans="1:35">
      <c r="A803" s="177">
        <v>45260.6406529745</v>
      </c>
      <c r="B803" s="11" t="s">
        <v>2779</v>
      </c>
      <c r="C803" s="19">
        <v>10704405407</v>
      </c>
      <c r="D803" s="19">
        <v>707002893267434</v>
      </c>
      <c r="E803" s="18" t="s">
        <v>2780</v>
      </c>
      <c r="F803" s="136" t="s">
        <v>40</v>
      </c>
      <c r="G803" s="11" t="s">
        <v>54</v>
      </c>
      <c r="H803" s="24">
        <v>36649</v>
      </c>
      <c r="I803" s="277" t="s">
        <v>1261</v>
      </c>
      <c r="J803" s="11" t="s">
        <v>42</v>
      </c>
      <c r="K803" s="108" t="s">
        <v>90</v>
      </c>
      <c r="N803" s="11" t="s">
        <v>43</v>
      </c>
      <c r="O803" s="11" t="s">
        <v>96</v>
      </c>
      <c r="P803" s="11" t="s">
        <v>56</v>
      </c>
      <c r="Q803" s="11" t="s">
        <v>44</v>
      </c>
      <c r="R803" s="11" t="s">
        <v>45</v>
      </c>
      <c r="S803" s="11" t="s">
        <v>45</v>
      </c>
      <c r="T803" s="11" t="s">
        <v>44</v>
      </c>
      <c r="U803" s="11" t="s">
        <v>45</v>
      </c>
      <c r="V803" s="24">
        <v>45261</v>
      </c>
      <c r="W803" s="11" t="s">
        <v>46</v>
      </c>
      <c r="X803" s="11" t="s">
        <v>47</v>
      </c>
      <c r="Y803" s="11" t="s">
        <v>58</v>
      </c>
      <c r="Z803" s="11">
        <v>81983741915</v>
      </c>
      <c r="AA803" s="11" t="s">
        <v>115</v>
      </c>
      <c r="AB803" s="11" t="s">
        <v>98</v>
      </c>
      <c r="AC803" s="11"/>
      <c r="AD803" s="11" t="b">
        <v>0</v>
      </c>
      <c r="AF803" s="11" t="s">
        <v>2778</v>
      </c>
      <c r="AG803" s="11"/>
      <c r="AH803" s="11"/>
      <c r="AI803" s="11"/>
    </row>
    <row r="804" ht="12.5" spans="1:35">
      <c r="A804" s="216">
        <v>45261.3859769676</v>
      </c>
      <c r="B804" s="11" t="s">
        <v>2781</v>
      </c>
      <c r="C804" s="19">
        <v>10290032466</v>
      </c>
      <c r="D804" s="19">
        <v>700604473930660</v>
      </c>
      <c r="E804" s="18" t="s">
        <v>2782</v>
      </c>
      <c r="F804" s="136" t="s">
        <v>40</v>
      </c>
      <c r="G804" s="11" t="s">
        <v>88</v>
      </c>
      <c r="H804" s="24">
        <v>33468</v>
      </c>
      <c r="I804" s="19" t="s">
        <v>2783</v>
      </c>
      <c r="J804" s="11" t="s">
        <v>42</v>
      </c>
      <c r="K804" s="108" t="s">
        <v>63</v>
      </c>
      <c r="N804" s="11" t="s">
        <v>43</v>
      </c>
      <c r="O804" s="11" t="s">
        <v>44</v>
      </c>
      <c r="P804" s="11" t="s">
        <v>44</v>
      </c>
      <c r="Q804" s="11" t="s">
        <v>44</v>
      </c>
      <c r="R804" s="11" t="s">
        <v>45</v>
      </c>
      <c r="S804" s="11" t="s">
        <v>83</v>
      </c>
      <c r="T804" s="11" t="s">
        <v>44</v>
      </c>
      <c r="U804" s="11" t="s">
        <v>45</v>
      </c>
      <c r="V804" s="24">
        <v>45261</v>
      </c>
      <c r="W804" s="11" t="s">
        <v>46</v>
      </c>
      <c r="X804" s="11" t="s">
        <v>47</v>
      </c>
      <c r="Y804" s="11" t="s">
        <v>58</v>
      </c>
      <c r="Z804" s="11">
        <v>81993828086</v>
      </c>
      <c r="AA804" s="11" t="s">
        <v>115</v>
      </c>
      <c r="AB804" s="11" t="s">
        <v>49</v>
      </c>
      <c r="AC804" s="11" t="s">
        <v>50</v>
      </c>
      <c r="AD804" s="11" t="b">
        <v>0</v>
      </c>
      <c r="AF804" s="214" t="s">
        <v>2784</v>
      </c>
      <c r="AG804" s="11"/>
      <c r="AH804" s="11"/>
      <c r="AI804" s="11"/>
    </row>
    <row r="805" ht="12.5" spans="1:35">
      <c r="A805" s="177">
        <v>45261.727415787</v>
      </c>
      <c r="B805" s="11" t="s">
        <v>2781</v>
      </c>
      <c r="C805" s="19">
        <v>10290032466</v>
      </c>
      <c r="D805" s="19">
        <v>700604473930660</v>
      </c>
      <c r="F805" s="11" t="s">
        <v>40</v>
      </c>
      <c r="G805" s="11" t="s">
        <v>88</v>
      </c>
      <c r="H805" s="24">
        <v>33468</v>
      </c>
      <c r="I805" s="277" t="s">
        <v>2785</v>
      </c>
      <c r="J805" s="11" t="s">
        <v>42</v>
      </c>
      <c r="K805" s="108" t="s">
        <v>63</v>
      </c>
      <c r="N805" s="11" t="s">
        <v>95</v>
      </c>
      <c r="O805" s="11" t="s">
        <v>44</v>
      </c>
      <c r="P805" s="11" t="s">
        <v>44</v>
      </c>
      <c r="Q805" s="11" t="s">
        <v>44</v>
      </c>
      <c r="R805" s="11" t="s">
        <v>45</v>
      </c>
      <c r="S805" s="11" t="s">
        <v>83</v>
      </c>
      <c r="T805" s="11" t="s">
        <v>44</v>
      </c>
      <c r="U805" s="11" t="s">
        <v>44</v>
      </c>
      <c r="W805" s="11" t="s">
        <v>57</v>
      </c>
      <c r="X805" s="11" t="s">
        <v>97</v>
      </c>
      <c r="Y805" s="11" t="s">
        <v>97</v>
      </c>
      <c r="Z805" s="11">
        <v>81993828086</v>
      </c>
      <c r="AA805" s="11" t="s">
        <v>115</v>
      </c>
      <c r="AB805" s="11"/>
      <c r="AC805" s="11"/>
      <c r="AD805" s="11" t="b">
        <v>0</v>
      </c>
      <c r="AF805" s="11"/>
      <c r="AG805" s="11"/>
      <c r="AH805" s="11"/>
      <c r="AI805" s="11"/>
    </row>
    <row r="806" ht="12.5" spans="1:35">
      <c r="A806" s="216">
        <v>45262.3388685301</v>
      </c>
      <c r="B806" s="11" t="s">
        <v>2786</v>
      </c>
      <c r="C806" s="19">
        <v>11584236400</v>
      </c>
      <c r="D806" s="19">
        <v>702009388657587</v>
      </c>
      <c r="E806" s="18" t="s">
        <v>2787</v>
      </c>
      <c r="F806" s="136" t="s">
        <v>225</v>
      </c>
      <c r="G806" s="11" t="s">
        <v>54</v>
      </c>
      <c r="H806" s="24">
        <v>35516</v>
      </c>
      <c r="I806" s="277" t="s">
        <v>1708</v>
      </c>
      <c r="J806" s="11" t="s">
        <v>42</v>
      </c>
      <c r="K806" s="108" t="s">
        <v>90</v>
      </c>
      <c r="N806" s="11" t="s">
        <v>43</v>
      </c>
      <c r="O806" s="11" t="s">
        <v>44</v>
      </c>
      <c r="P806" s="11" t="s">
        <v>44</v>
      </c>
      <c r="Q806" s="11" t="s">
        <v>44</v>
      </c>
      <c r="R806" s="11" t="s">
        <v>45</v>
      </c>
      <c r="S806" s="11" t="s">
        <v>83</v>
      </c>
      <c r="T806" s="11" t="s">
        <v>44</v>
      </c>
      <c r="U806" s="11" t="s">
        <v>45</v>
      </c>
      <c r="V806" s="24">
        <v>45262</v>
      </c>
      <c r="W806" s="11" t="s">
        <v>46</v>
      </c>
      <c r="X806" s="11" t="s">
        <v>303</v>
      </c>
      <c r="Y806" s="11" t="s">
        <v>58</v>
      </c>
      <c r="Z806" s="11">
        <v>81988322020</v>
      </c>
      <c r="AA806" s="11" t="s">
        <v>115</v>
      </c>
      <c r="AB806" s="11" t="s">
        <v>98</v>
      </c>
      <c r="AC806" s="11"/>
      <c r="AD806" s="11" t="b">
        <v>0</v>
      </c>
      <c r="AF806" s="11" t="s">
        <v>2788</v>
      </c>
      <c r="AG806" s="11"/>
      <c r="AH806" s="11" t="s">
        <v>2789</v>
      </c>
      <c r="AI806" s="11"/>
    </row>
    <row r="807" ht="12.5" spans="1:35">
      <c r="A807" s="216">
        <v>45262.5387807755</v>
      </c>
      <c r="B807" s="11" t="s">
        <v>2790</v>
      </c>
      <c r="C807" s="277" t="s">
        <v>2791</v>
      </c>
      <c r="D807" s="19">
        <v>700006014004909</v>
      </c>
      <c r="E807" s="18" t="s">
        <v>2792</v>
      </c>
      <c r="F807" s="11" t="s">
        <v>225</v>
      </c>
      <c r="G807" s="11" t="s">
        <v>41</v>
      </c>
      <c r="H807" s="24">
        <v>33391</v>
      </c>
      <c r="I807" s="277" t="s">
        <v>2793</v>
      </c>
      <c r="J807" s="11" t="s">
        <v>42</v>
      </c>
      <c r="K807" s="108" t="s">
        <v>155</v>
      </c>
      <c r="N807" s="11" t="s">
        <v>43</v>
      </c>
      <c r="O807" s="11" t="s">
        <v>96</v>
      </c>
      <c r="P807" s="11" t="s">
        <v>66</v>
      </c>
      <c r="Q807" s="11" t="s">
        <v>44</v>
      </c>
      <c r="R807" s="11" t="s">
        <v>44</v>
      </c>
      <c r="S807" s="11" t="s">
        <v>45</v>
      </c>
      <c r="T807" s="11" t="s">
        <v>44</v>
      </c>
      <c r="U807" s="11" t="s">
        <v>45</v>
      </c>
      <c r="V807" s="24">
        <v>45263</v>
      </c>
      <c r="W807" s="11" t="s">
        <v>46</v>
      </c>
      <c r="X807" s="11" t="s">
        <v>303</v>
      </c>
      <c r="Y807" s="11" t="s">
        <v>58</v>
      </c>
      <c r="Z807" s="11">
        <v>81994999937</v>
      </c>
      <c r="AA807" s="11" t="s">
        <v>115</v>
      </c>
      <c r="AB807" s="11" t="s">
        <v>98</v>
      </c>
      <c r="AC807" s="11"/>
      <c r="AD807" s="11" t="b">
        <v>0</v>
      </c>
      <c r="AF807" s="11" t="s">
        <v>2794</v>
      </c>
      <c r="AG807" s="11" t="s">
        <v>2795</v>
      </c>
      <c r="AH807" s="214" t="s">
        <v>2796</v>
      </c>
      <c r="AI807" s="11"/>
    </row>
    <row r="808" ht="12.5" spans="1:35">
      <c r="A808" s="216">
        <v>45263.3739566088</v>
      </c>
      <c r="B808" s="11" t="s">
        <v>2725</v>
      </c>
      <c r="C808" s="19">
        <v>13211084436</v>
      </c>
      <c r="D808" s="19">
        <v>898004654931653</v>
      </c>
      <c r="E808" s="18" t="s">
        <v>2797</v>
      </c>
      <c r="F808" s="11" t="s">
        <v>40</v>
      </c>
      <c r="G808" s="11" t="s">
        <v>54</v>
      </c>
      <c r="H808" s="24">
        <v>36285</v>
      </c>
      <c r="I808" s="19" t="s">
        <v>865</v>
      </c>
      <c r="J808" s="11" t="s">
        <v>42</v>
      </c>
      <c r="K808" s="108" t="s">
        <v>63</v>
      </c>
      <c r="N808" s="11" t="s">
        <v>43</v>
      </c>
      <c r="O808" s="11" t="s">
        <v>44</v>
      </c>
      <c r="P808" s="11" t="s">
        <v>44</v>
      </c>
      <c r="Q808" s="11" t="s">
        <v>44</v>
      </c>
      <c r="R808" s="11" t="s">
        <v>44</v>
      </c>
      <c r="S808" s="11" t="s">
        <v>45</v>
      </c>
      <c r="T808" s="11" t="s">
        <v>44</v>
      </c>
      <c r="U808" s="11" t="s">
        <v>44</v>
      </c>
      <c r="W808" s="11" t="s">
        <v>46</v>
      </c>
      <c r="X808" s="11" t="s">
        <v>303</v>
      </c>
      <c r="Y808" s="11" t="s">
        <v>58</v>
      </c>
      <c r="Z808" s="11">
        <v>81996942014</v>
      </c>
      <c r="AA808" s="11" t="s">
        <v>1360</v>
      </c>
      <c r="AB808" s="11"/>
      <c r="AC808" s="11"/>
      <c r="AD808" s="11" t="b">
        <v>0</v>
      </c>
      <c r="AF808" s="11"/>
      <c r="AG808" s="11"/>
      <c r="AH808" s="11"/>
      <c r="AI808" s="11"/>
    </row>
    <row r="809" ht="12.5" spans="1:35">
      <c r="A809" s="216">
        <v>45263.7178259606</v>
      </c>
      <c r="B809" s="11" t="s">
        <v>2798</v>
      </c>
      <c r="C809" s="19">
        <v>10436365448</v>
      </c>
      <c r="D809" s="19">
        <v>700004274892705</v>
      </c>
      <c r="E809" s="18" t="s">
        <v>2799</v>
      </c>
      <c r="F809" s="11" t="s">
        <v>40</v>
      </c>
      <c r="G809" s="11" t="s">
        <v>54</v>
      </c>
      <c r="H809" s="24">
        <v>33830</v>
      </c>
      <c r="I809" s="277" t="s">
        <v>2800</v>
      </c>
      <c r="J809" s="11" t="s">
        <v>42</v>
      </c>
      <c r="K809" s="108" t="s">
        <v>2760</v>
      </c>
      <c r="N809" s="11" t="s">
        <v>43</v>
      </c>
      <c r="O809" s="11" t="s">
        <v>96</v>
      </c>
      <c r="P809" s="11" t="s">
        <v>56</v>
      </c>
      <c r="Q809" s="11" t="s">
        <v>44</v>
      </c>
      <c r="R809" s="11" t="s">
        <v>45</v>
      </c>
      <c r="S809" s="11" t="s">
        <v>45</v>
      </c>
      <c r="T809" s="11" t="s">
        <v>44</v>
      </c>
      <c r="U809" s="11" t="s">
        <v>45</v>
      </c>
      <c r="V809" s="24">
        <v>45265</v>
      </c>
      <c r="W809" s="11" t="s">
        <v>57</v>
      </c>
      <c r="X809" s="11" t="s">
        <v>303</v>
      </c>
      <c r="Y809" s="11" t="s">
        <v>58</v>
      </c>
      <c r="Z809" s="11">
        <v>81987481419</v>
      </c>
      <c r="AA809" s="11" t="s">
        <v>1360</v>
      </c>
      <c r="AB809" s="11" t="s">
        <v>49</v>
      </c>
      <c r="AC809" s="11" t="s">
        <v>84</v>
      </c>
      <c r="AD809" s="11" t="b">
        <v>0</v>
      </c>
      <c r="AF809" s="11" t="s">
        <v>2801</v>
      </c>
      <c r="AG809" s="11"/>
      <c r="AH809" s="11" t="s">
        <v>2802</v>
      </c>
      <c r="AI809" s="11"/>
    </row>
    <row r="810" ht="12.5" spans="1:35">
      <c r="A810" s="216">
        <v>45264.3636881944</v>
      </c>
      <c r="B810" s="11" t="s">
        <v>1004</v>
      </c>
      <c r="C810" s="19">
        <v>14500412484</v>
      </c>
      <c r="D810" s="19">
        <v>898005174693865</v>
      </c>
      <c r="E810" s="18" t="s">
        <v>2803</v>
      </c>
      <c r="F810" s="11" t="s">
        <v>40</v>
      </c>
      <c r="G810" s="11" t="s">
        <v>41</v>
      </c>
      <c r="H810" s="24">
        <v>37179</v>
      </c>
      <c r="I810" s="277" t="s">
        <v>1006</v>
      </c>
      <c r="J810" s="11" t="s">
        <v>81</v>
      </c>
      <c r="K810" s="108"/>
      <c r="L810" s="11" t="s">
        <v>525</v>
      </c>
      <c r="N810" s="11" t="s">
        <v>43</v>
      </c>
      <c r="O810" s="11" t="s">
        <v>65</v>
      </c>
      <c r="P810" s="11" t="s">
        <v>66</v>
      </c>
      <c r="Q810" s="11" t="s">
        <v>44</v>
      </c>
      <c r="R810" s="11" t="s">
        <v>45</v>
      </c>
      <c r="S810" s="11" t="s">
        <v>45</v>
      </c>
      <c r="T810" s="11" t="s">
        <v>44</v>
      </c>
      <c r="U810" s="11" t="s">
        <v>45</v>
      </c>
      <c r="V810" s="24">
        <v>45265</v>
      </c>
      <c r="W810" s="11" t="s">
        <v>46</v>
      </c>
      <c r="X810" s="9" t="s">
        <v>156</v>
      </c>
      <c r="Y810" s="11" t="s">
        <v>58</v>
      </c>
      <c r="Z810" s="11">
        <v>81991067896</v>
      </c>
      <c r="AA810" s="11" t="s">
        <v>1360</v>
      </c>
      <c r="AB810" s="11" t="s">
        <v>49</v>
      </c>
      <c r="AC810" s="11" t="s">
        <v>106</v>
      </c>
      <c r="AD810" s="11" t="b">
        <v>0</v>
      </c>
      <c r="AF810" s="11" t="s">
        <v>2804</v>
      </c>
      <c r="AG810" s="11"/>
      <c r="AH810" s="11" t="s">
        <v>2805</v>
      </c>
      <c r="AI810" s="11"/>
    </row>
    <row r="811" ht="12.5" spans="1:35">
      <c r="A811" s="216">
        <v>45264.3915449653</v>
      </c>
      <c r="B811" s="11" t="s">
        <v>2806</v>
      </c>
      <c r="C811" s="277" t="s">
        <v>2807</v>
      </c>
      <c r="D811" s="19">
        <v>700206468913724</v>
      </c>
      <c r="E811" s="18" t="s">
        <v>2808</v>
      </c>
      <c r="F811" s="136" t="s">
        <v>40</v>
      </c>
      <c r="G811" s="11" t="s">
        <v>54</v>
      </c>
      <c r="H811" s="24">
        <v>33515</v>
      </c>
      <c r="I811" s="277" t="s">
        <v>1764</v>
      </c>
      <c r="J811" s="11" t="s">
        <v>42</v>
      </c>
      <c r="K811" s="108" t="s">
        <v>74</v>
      </c>
      <c r="N811" s="11" t="s">
        <v>43</v>
      </c>
      <c r="O811" s="11" t="s">
        <v>96</v>
      </c>
      <c r="P811" s="11" t="s">
        <v>56</v>
      </c>
      <c r="Q811" s="11" t="s">
        <v>45</v>
      </c>
      <c r="R811" s="11" t="s">
        <v>45</v>
      </c>
      <c r="S811" s="11" t="s">
        <v>83</v>
      </c>
      <c r="T811" s="11" t="s">
        <v>44</v>
      </c>
      <c r="U811" s="11" t="s">
        <v>45</v>
      </c>
      <c r="V811" s="24">
        <v>45264</v>
      </c>
      <c r="W811" s="11" t="s">
        <v>46</v>
      </c>
      <c r="X811" s="11" t="s">
        <v>47</v>
      </c>
      <c r="Y811" s="11" t="s">
        <v>58</v>
      </c>
      <c r="Z811" s="11">
        <v>81984950254</v>
      </c>
      <c r="AA811" s="11" t="s">
        <v>115</v>
      </c>
      <c r="AB811" s="11" t="s">
        <v>98</v>
      </c>
      <c r="AC811" s="11"/>
      <c r="AD811" s="11" t="b">
        <v>0</v>
      </c>
      <c r="AF811" s="11" t="s">
        <v>2809</v>
      </c>
      <c r="AG811" s="11" t="s">
        <v>2810</v>
      </c>
      <c r="AH811" s="11" t="s">
        <v>2811</v>
      </c>
      <c r="AI811" s="11"/>
    </row>
    <row r="812" ht="12.5" spans="1:35">
      <c r="A812" s="216">
        <v>45264.4413335995</v>
      </c>
      <c r="B812" s="11" t="s">
        <v>2812</v>
      </c>
      <c r="C812" s="19">
        <v>12153382440</v>
      </c>
      <c r="D812" s="19">
        <v>700009583339207</v>
      </c>
      <c r="E812" s="18" t="s">
        <v>2813</v>
      </c>
      <c r="F812" s="136" t="s">
        <v>40</v>
      </c>
      <c r="G812" s="11" t="s">
        <v>54</v>
      </c>
      <c r="H812" s="24">
        <v>35396</v>
      </c>
      <c r="I812" s="277" t="s">
        <v>2814</v>
      </c>
      <c r="J812" s="11" t="s">
        <v>42</v>
      </c>
      <c r="K812" s="108" t="s">
        <v>2815</v>
      </c>
      <c r="N812" s="11" t="s">
        <v>43</v>
      </c>
      <c r="O812" s="11" t="s">
        <v>44</v>
      </c>
      <c r="P812" s="11" t="s">
        <v>44</v>
      </c>
      <c r="Q812" s="11" t="s">
        <v>45</v>
      </c>
      <c r="R812" s="11" t="s">
        <v>45</v>
      </c>
      <c r="S812" s="11" t="s">
        <v>45</v>
      </c>
      <c r="T812" s="11" t="s">
        <v>44</v>
      </c>
      <c r="U812" s="11" t="s">
        <v>44</v>
      </c>
      <c r="W812" s="11" t="s">
        <v>46</v>
      </c>
      <c r="X812" s="11" t="s">
        <v>47</v>
      </c>
      <c r="Y812" s="11" t="s">
        <v>58</v>
      </c>
      <c r="Z812" s="11">
        <v>81984082823</v>
      </c>
      <c r="AA812" s="11" t="s">
        <v>1360</v>
      </c>
      <c r="AB812" s="11"/>
      <c r="AC812" s="11"/>
      <c r="AD812" s="11" t="b">
        <v>0</v>
      </c>
      <c r="AF812" s="11"/>
      <c r="AG812" s="11"/>
      <c r="AH812" s="11"/>
      <c r="AI812" s="11"/>
    </row>
    <row r="813" ht="12.5" spans="1:35">
      <c r="A813" s="216">
        <v>45264.4440877083</v>
      </c>
      <c r="B813" s="11" t="s">
        <v>2816</v>
      </c>
      <c r="C813" s="19">
        <v>10628668430</v>
      </c>
      <c r="D813" s="19">
        <v>701103348258180</v>
      </c>
      <c r="E813" s="18" t="s">
        <v>2817</v>
      </c>
      <c r="F813" s="136" t="s">
        <v>40</v>
      </c>
      <c r="G813" s="11" t="s">
        <v>54</v>
      </c>
      <c r="H813" s="24">
        <v>34410</v>
      </c>
      <c r="I813" s="277" t="s">
        <v>2818</v>
      </c>
      <c r="J813" s="11" t="s">
        <v>42</v>
      </c>
      <c r="K813" s="108" t="s">
        <v>302</v>
      </c>
      <c r="N813" s="11" t="s">
        <v>43</v>
      </c>
      <c r="O813" s="11" t="s">
        <v>65</v>
      </c>
      <c r="P813" s="11" t="s">
        <v>66</v>
      </c>
      <c r="Q813" s="11" t="s">
        <v>45</v>
      </c>
      <c r="R813" s="11" t="s">
        <v>45</v>
      </c>
      <c r="S813" s="11" t="s">
        <v>45</v>
      </c>
      <c r="T813" s="11" t="s">
        <v>44</v>
      </c>
      <c r="U813" s="11" t="s">
        <v>45</v>
      </c>
      <c r="V813" s="24">
        <v>45264</v>
      </c>
      <c r="W813" s="11" t="s">
        <v>46</v>
      </c>
      <c r="X813" s="11" t="s">
        <v>47</v>
      </c>
      <c r="Y813" s="11" t="s">
        <v>58</v>
      </c>
      <c r="Z813" s="11">
        <v>81971071937</v>
      </c>
      <c r="AA813" s="11" t="s">
        <v>115</v>
      </c>
      <c r="AB813" s="11" t="s">
        <v>98</v>
      </c>
      <c r="AC813" s="11"/>
      <c r="AD813" s="11" t="b">
        <v>0</v>
      </c>
      <c r="AF813" s="11" t="s">
        <v>2819</v>
      </c>
      <c r="AG813" s="11" t="s">
        <v>2820</v>
      </c>
      <c r="AH813" s="11" t="s">
        <v>2821</v>
      </c>
      <c r="AI813" s="11"/>
    </row>
    <row r="814" ht="12.5" spans="1:35">
      <c r="A814" s="216">
        <v>45264.4822965741</v>
      </c>
      <c r="B814" s="11" t="s">
        <v>1146</v>
      </c>
      <c r="C814" s="277" t="s">
        <v>1147</v>
      </c>
      <c r="D814" s="19">
        <v>700800924380087</v>
      </c>
      <c r="E814" s="18" t="s">
        <v>2822</v>
      </c>
      <c r="F814" s="136" t="s">
        <v>225</v>
      </c>
      <c r="G814" s="11" t="s">
        <v>54</v>
      </c>
      <c r="H814" s="24">
        <v>31675</v>
      </c>
      <c r="I814" s="277" t="s">
        <v>261</v>
      </c>
      <c r="J814" s="11" t="s">
        <v>42</v>
      </c>
      <c r="K814" s="108" t="s">
        <v>2823</v>
      </c>
      <c r="N814" s="11" t="s">
        <v>43</v>
      </c>
      <c r="O814" s="11" t="s">
        <v>44</v>
      </c>
      <c r="P814" s="11" t="s">
        <v>44</v>
      </c>
      <c r="Q814" s="11" t="s">
        <v>45</v>
      </c>
      <c r="R814" s="11" t="s">
        <v>45</v>
      </c>
      <c r="S814" s="11" t="s">
        <v>45</v>
      </c>
      <c r="T814" s="11" t="s">
        <v>44</v>
      </c>
      <c r="U814" s="11" t="s">
        <v>44</v>
      </c>
      <c r="W814" s="11" t="s">
        <v>46</v>
      </c>
      <c r="X814" s="11" t="s">
        <v>47</v>
      </c>
      <c r="Y814" s="11" t="s">
        <v>58</v>
      </c>
      <c r="Z814" s="11">
        <v>81991663102</v>
      </c>
      <c r="AA814" s="11" t="s">
        <v>103</v>
      </c>
      <c r="AB814" s="11"/>
      <c r="AC814" s="11"/>
      <c r="AD814" s="11" t="b">
        <v>0</v>
      </c>
      <c r="AF814" s="11"/>
      <c r="AG814" s="11"/>
      <c r="AH814" s="11"/>
      <c r="AI814" s="11"/>
    </row>
    <row r="815" ht="12.5" spans="1:35">
      <c r="A815" s="216">
        <v>45264.5360771528</v>
      </c>
      <c r="B815" s="11" t="s">
        <v>2824</v>
      </c>
      <c r="C815" s="19">
        <v>8147055455</v>
      </c>
      <c r="D815" s="19">
        <v>700407937351846</v>
      </c>
      <c r="E815" s="18" t="s">
        <v>2825</v>
      </c>
      <c r="F815" s="136" t="s">
        <v>225</v>
      </c>
      <c r="G815" s="11" t="s">
        <v>54</v>
      </c>
      <c r="H815" s="24">
        <v>31968</v>
      </c>
      <c r="I815" s="277" t="s">
        <v>2826</v>
      </c>
      <c r="J815" s="11" t="s">
        <v>42</v>
      </c>
      <c r="K815" s="108" t="s">
        <v>155</v>
      </c>
      <c r="N815" s="11" t="s">
        <v>43</v>
      </c>
      <c r="O815" s="11" t="s">
        <v>96</v>
      </c>
      <c r="P815" s="11" t="s">
        <v>66</v>
      </c>
      <c r="Q815" s="11" t="s">
        <v>44</v>
      </c>
      <c r="R815" s="11" t="s">
        <v>44</v>
      </c>
      <c r="S815" s="11" t="s">
        <v>45</v>
      </c>
      <c r="T815" s="11" t="s">
        <v>44</v>
      </c>
      <c r="U815" s="11" t="s">
        <v>45</v>
      </c>
      <c r="V815" s="24">
        <v>45265</v>
      </c>
      <c r="W815" s="11" t="s">
        <v>46</v>
      </c>
      <c r="X815" s="11" t="s">
        <v>47</v>
      </c>
      <c r="Y815" s="11" t="s">
        <v>58</v>
      </c>
      <c r="Z815" s="11">
        <v>81999494735</v>
      </c>
      <c r="AA815" s="11" t="s">
        <v>115</v>
      </c>
      <c r="AB815" s="11" t="s">
        <v>49</v>
      </c>
      <c r="AC815" s="11" t="s">
        <v>84</v>
      </c>
      <c r="AD815" s="11" t="b">
        <v>1</v>
      </c>
      <c r="AE815" s="11" t="s">
        <v>137</v>
      </c>
      <c r="AF815" s="11" t="s">
        <v>2827</v>
      </c>
      <c r="AG815" s="11"/>
      <c r="AH815" s="11"/>
      <c r="AI815" s="11"/>
    </row>
    <row r="816" ht="12.5" spans="1:35">
      <c r="A816" s="177">
        <v>45264.6452673148</v>
      </c>
      <c r="B816" s="11" t="s">
        <v>2828</v>
      </c>
      <c r="C816" s="19">
        <v>71848583443</v>
      </c>
      <c r="D816" s="19">
        <v>898005949436026</v>
      </c>
      <c r="E816" s="18" t="s">
        <v>2829</v>
      </c>
      <c r="F816" s="136" t="s">
        <v>225</v>
      </c>
      <c r="G816" s="11" t="s">
        <v>54</v>
      </c>
      <c r="H816" s="24">
        <v>37885</v>
      </c>
      <c r="I816" s="19" t="s">
        <v>136</v>
      </c>
      <c r="J816" s="11" t="s">
        <v>42</v>
      </c>
      <c r="K816" s="108" t="s">
        <v>74</v>
      </c>
      <c r="N816" s="11" t="s">
        <v>43</v>
      </c>
      <c r="O816" s="11" t="s">
        <v>96</v>
      </c>
      <c r="P816" s="11" t="s">
        <v>56</v>
      </c>
      <c r="Q816" s="11" t="s">
        <v>44</v>
      </c>
      <c r="R816" s="11" t="s">
        <v>45</v>
      </c>
      <c r="S816" s="11" t="s">
        <v>45</v>
      </c>
      <c r="T816" s="11" t="s">
        <v>44</v>
      </c>
      <c r="U816" s="11" t="s">
        <v>45</v>
      </c>
      <c r="V816" s="24">
        <v>45265</v>
      </c>
      <c r="W816" s="11" t="s">
        <v>57</v>
      </c>
      <c r="X816" s="11" t="s">
        <v>47</v>
      </c>
      <c r="Y816" s="11" t="s">
        <v>58</v>
      </c>
      <c r="Z816" s="11">
        <v>81989796337</v>
      </c>
      <c r="AA816" s="11" t="s">
        <v>113</v>
      </c>
      <c r="AB816" s="11" t="s">
        <v>49</v>
      </c>
      <c r="AC816" s="11" t="s">
        <v>1319</v>
      </c>
      <c r="AD816" s="11" t="b">
        <v>0</v>
      </c>
      <c r="AF816" s="11" t="s">
        <v>2830</v>
      </c>
      <c r="AG816" s="11"/>
      <c r="AH816" s="11"/>
      <c r="AI816" s="11"/>
    </row>
    <row r="817" ht="12.5" spans="1:35">
      <c r="A817" s="177">
        <v>45265.3518564699</v>
      </c>
      <c r="B817" s="11" t="s">
        <v>1004</v>
      </c>
      <c r="C817" s="19">
        <v>14500412484</v>
      </c>
      <c r="D817" s="19">
        <v>898005174693865</v>
      </c>
      <c r="F817" s="136" t="s">
        <v>40</v>
      </c>
      <c r="G817" s="11" t="s">
        <v>41</v>
      </c>
      <c r="H817" s="24">
        <v>37179</v>
      </c>
      <c r="I817" s="19" t="s">
        <v>136</v>
      </c>
      <c r="J817" s="11" t="s">
        <v>81</v>
      </c>
      <c r="K817" s="108"/>
      <c r="L817" s="11" t="s">
        <v>525</v>
      </c>
      <c r="N817" s="11" t="s">
        <v>95</v>
      </c>
      <c r="O817" s="11" t="s">
        <v>127</v>
      </c>
      <c r="P817" s="11" t="s">
        <v>44</v>
      </c>
      <c r="Q817" s="11" t="s">
        <v>45</v>
      </c>
      <c r="R817" s="11" t="s">
        <v>45</v>
      </c>
      <c r="S817" s="11" t="s">
        <v>45</v>
      </c>
      <c r="T817" s="11" t="s">
        <v>44</v>
      </c>
      <c r="U817" s="11" t="s">
        <v>44</v>
      </c>
      <c r="W817" s="11" t="s">
        <v>57</v>
      </c>
      <c r="X817" s="11" t="s">
        <v>97</v>
      </c>
      <c r="Y817" s="11" t="s">
        <v>97</v>
      </c>
      <c r="Z817" s="11">
        <v>81991067896</v>
      </c>
      <c r="AA817" s="11" t="s">
        <v>103</v>
      </c>
      <c r="AB817" s="11"/>
      <c r="AC817" s="11"/>
      <c r="AD817" s="11" t="b">
        <v>0</v>
      </c>
      <c r="AF817" s="11"/>
      <c r="AG817" s="11"/>
      <c r="AH817" s="11"/>
      <c r="AI817" s="11"/>
    </row>
    <row r="818" ht="12.5" spans="1:35">
      <c r="A818" s="177">
        <v>45265.3609777083</v>
      </c>
      <c r="B818" s="11" t="s">
        <v>2739</v>
      </c>
      <c r="C818" s="19">
        <v>13114627404</v>
      </c>
      <c r="D818" s="19">
        <v>209964255210002</v>
      </c>
      <c r="E818" s="18" t="s">
        <v>2831</v>
      </c>
      <c r="F818" s="136" t="s">
        <v>225</v>
      </c>
      <c r="G818" s="11" t="s">
        <v>54</v>
      </c>
      <c r="H818" s="24">
        <v>36120</v>
      </c>
      <c r="I818" s="277" t="s">
        <v>2415</v>
      </c>
      <c r="J818" s="11" t="s">
        <v>42</v>
      </c>
      <c r="K818" s="108" t="s">
        <v>302</v>
      </c>
      <c r="N818" s="11" t="s">
        <v>43</v>
      </c>
      <c r="O818" s="11" t="s">
        <v>65</v>
      </c>
      <c r="P818" s="11" t="s">
        <v>66</v>
      </c>
      <c r="Q818" s="11" t="s">
        <v>44</v>
      </c>
      <c r="R818" s="11" t="s">
        <v>45</v>
      </c>
      <c r="S818" s="11" t="s">
        <v>45</v>
      </c>
      <c r="T818" s="11" t="s">
        <v>44</v>
      </c>
      <c r="U818" s="11" t="s">
        <v>45</v>
      </c>
      <c r="V818" s="24">
        <v>45266</v>
      </c>
      <c r="W818" s="11" t="s">
        <v>46</v>
      </c>
      <c r="X818" s="9" t="s">
        <v>67</v>
      </c>
      <c r="Y818" s="11" t="s">
        <v>58</v>
      </c>
      <c r="Z818" s="11">
        <v>81993635858</v>
      </c>
      <c r="AA818" s="11" t="s">
        <v>115</v>
      </c>
      <c r="AB818" s="11" t="s">
        <v>49</v>
      </c>
      <c r="AC818" s="11" t="s">
        <v>256</v>
      </c>
      <c r="AD818" s="11" t="b">
        <v>0</v>
      </c>
      <c r="AF818" s="11" t="s">
        <v>2832</v>
      </c>
      <c r="AG818" s="11"/>
      <c r="AH818" s="11" t="s">
        <v>2833</v>
      </c>
      <c r="AI818" s="11"/>
    </row>
    <row r="819" ht="12.5" spans="1:35">
      <c r="A819" s="177">
        <v>45265.3734612847</v>
      </c>
      <c r="B819" s="11" t="s">
        <v>2834</v>
      </c>
      <c r="C819" s="19">
        <v>71848583443</v>
      </c>
      <c r="D819" s="19">
        <v>898005949436026</v>
      </c>
      <c r="F819" s="136" t="s">
        <v>225</v>
      </c>
      <c r="G819" s="11" t="s">
        <v>54</v>
      </c>
      <c r="H819" s="24">
        <v>37885</v>
      </c>
      <c r="I819" s="19" t="s">
        <v>448</v>
      </c>
      <c r="J819" s="11" t="s">
        <v>42</v>
      </c>
      <c r="K819" s="108" t="s">
        <v>74</v>
      </c>
      <c r="N819" s="11" t="s">
        <v>95</v>
      </c>
      <c r="O819" s="11" t="s">
        <v>44</v>
      </c>
      <c r="P819" s="11" t="s">
        <v>44</v>
      </c>
      <c r="Q819" s="11" t="s">
        <v>44</v>
      </c>
      <c r="R819" s="11" t="s">
        <v>45</v>
      </c>
      <c r="S819" s="11" t="s">
        <v>83</v>
      </c>
      <c r="T819" s="11" t="s">
        <v>44</v>
      </c>
      <c r="U819" s="11" t="s">
        <v>44</v>
      </c>
      <c r="W819" s="11" t="s">
        <v>57</v>
      </c>
      <c r="X819" s="11" t="s">
        <v>97</v>
      </c>
      <c r="Y819" s="11" t="s">
        <v>97</v>
      </c>
      <c r="Z819" s="11">
        <v>81989796337</v>
      </c>
      <c r="AA819" s="11" t="s">
        <v>2835</v>
      </c>
      <c r="AB819" s="11"/>
      <c r="AC819" s="11"/>
      <c r="AD819" s="11" t="b">
        <v>0</v>
      </c>
      <c r="AF819" s="11"/>
      <c r="AG819" s="11"/>
      <c r="AH819" s="11"/>
      <c r="AI819" s="11"/>
    </row>
    <row r="820" ht="12.5" spans="1:35">
      <c r="A820" s="177">
        <v>45265.5655232986</v>
      </c>
      <c r="B820" s="11" t="s">
        <v>2836</v>
      </c>
      <c r="C820" s="19">
        <v>10436365448</v>
      </c>
      <c r="D820" s="19">
        <v>700004274892705</v>
      </c>
      <c r="F820" s="11" t="s">
        <v>40</v>
      </c>
      <c r="G820" s="11" t="s">
        <v>54</v>
      </c>
      <c r="H820" s="24">
        <v>33830</v>
      </c>
      <c r="I820" s="277" t="s">
        <v>2837</v>
      </c>
      <c r="J820" s="11" t="s">
        <v>42</v>
      </c>
      <c r="K820" s="108" t="s">
        <v>2760</v>
      </c>
      <c r="N820" s="11" t="s">
        <v>95</v>
      </c>
      <c r="O820" s="11" t="s">
        <v>44</v>
      </c>
      <c r="P820" s="11" t="s">
        <v>44</v>
      </c>
      <c r="Q820" s="11" t="s">
        <v>44</v>
      </c>
      <c r="R820" s="11" t="s">
        <v>45</v>
      </c>
      <c r="S820" s="11" t="s">
        <v>45</v>
      </c>
      <c r="T820" s="11" t="s">
        <v>44</v>
      </c>
      <c r="U820" s="11" t="s">
        <v>44</v>
      </c>
      <c r="W820" s="11" t="s">
        <v>57</v>
      </c>
      <c r="X820" s="11" t="s">
        <v>97</v>
      </c>
      <c r="Y820" s="11" t="s">
        <v>97</v>
      </c>
      <c r="Z820" s="11">
        <v>81987481419</v>
      </c>
      <c r="AA820" s="11" t="s">
        <v>105</v>
      </c>
      <c r="AB820" s="11"/>
      <c r="AC820" s="11"/>
      <c r="AD820" s="11" t="b">
        <v>0</v>
      </c>
      <c r="AF820" s="11"/>
      <c r="AG820" s="11"/>
      <c r="AH820" s="11"/>
      <c r="AI820" s="11"/>
    </row>
    <row r="821" ht="12.5" spans="1:35">
      <c r="A821" s="177">
        <v>45265.6918015741</v>
      </c>
      <c r="B821" s="11" t="s">
        <v>2824</v>
      </c>
      <c r="C821" s="19">
        <v>8147055455</v>
      </c>
      <c r="D821" s="19">
        <v>700407937351846</v>
      </c>
      <c r="E821" s="18" t="s">
        <v>2838</v>
      </c>
      <c r="F821" s="11" t="s">
        <v>40</v>
      </c>
      <c r="G821" s="11" t="s">
        <v>54</v>
      </c>
      <c r="H821" s="24">
        <v>31968</v>
      </c>
      <c r="I821" s="19" t="s">
        <v>448</v>
      </c>
      <c r="J821" s="11" t="s">
        <v>42</v>
      </c>
      <c r="K821" s="108" t="s">
        <v>155</v>
      </c>
      <c r="N821" s="11" t="s">
        <v>95</v>
      </c>
      <c r="O821" s="11" t="s">
        <v>44</v>
      </c>
      <c r="P821" s="11" t="s">
        <v>44</v>
      </c>
      <c r="Q821" s="11" t="s">
        <v>44</v>
      </c>
      <c r="R821" s="11" t="s">
        <v>44</v>
      </c>
      <c r="S821" s="11" t="s">
        <v>45</v>
      </c>
      <c r="T821" s="11" t="s">
        <v>44</v>
      </c>
      <c r="U821" s="11" t="s">
        <v>44</v>
      </c>
      <c r="W821" s="11" t="s">
        <v>46</v>
      </c>
      <c r="X821" s="11" t="s">
        <v>97</v>
      </c>
      <c r="Y821" s="11" t="s">
        <v>97</v>
      </c>
      <c r="Z821" s="11">
        <v>81999494735</v>
      </c>
      <c r="AA821" s="11" t="s">
        <v>105</v>
      </c>
      <c r="AB821" s="11"/>
      <c r="AC821" s="11"/>
      <c r="AD821" s="11" t="b">
        <v>0</v>
      </c>
      <c r="AF821" s="11"/>
      <c r="AG821" s="11"/>
      <c r="AH821" s="11"/>
      <c r="AI821" s="11"/>
    </row>
    <row r="822" ht="12.5" spans="1:35">
      <c r="A822" s="177">
        <v>45266.3674006481</v>
      </c>
      <c r="B822" s="11" t="s">
        <v>2739</v>
      </c>
      <c r="C822" s="19">
        <v>13114627404</v>
      </c>
      <c r="D822" s="19">
        <v>209964255210002</v>
      </c>
      <c r="E822" s="18" t="s">
        <v>2831</v>
      </c>
      <c r="F822" s="11" t="s">
        <v>225</v>
      </c>
      <c r="G822" s="11" t="s">
        <v>54</v>
      </c>
      <c r="H822" s="24">
        <v>36120</v>
      </c>
      <c r="I822" s="277" t="s">
        <v>2415</v>
      </c>
      <c r="J822" s="11" t="s">
        <v>42</v>
      </c>
      <c r="K822" s="108" t="s">
        <v>302</v>
      </c>
      <c r="N822" s="11" t="s">
        <v>95</v>
      </c>
      <c r="O822" s="11" t="s">
        <v>127</v>
      </c>
      <c r="P822" s="11" t="s">
        <v>44</v>
      </c>
      <c r="Q822" s="11" t="s">
        <v>44</v>
      </c>
      <c r="R822" s="11" t="s">
        <v>45</v>
      </c>
      <c r="S822" s="11" t="s">
        <v>45</v>
      </c>
      <c r="T822" s="11" t="s">
        <v>44</v>
      </c>
      <c r="U822" s="11" t="s">
        <v>44</v>
      </c>
      <c r="W822" s="11" t="s">
        <v>57</v>
      </c>
      <c r="X822" s="11" t="s">
        <v>97</v>
      </c>
      <c r="Y822" s="11" t="s">
        <v>97</v>
      </c>
      <c r="Z822" s="11">
        <v>81993635858</v>
      </c>
      <c r="AA822" s="11" t="s">
        <v>1360</v>
      </c>
      <c r="AB822" s="11"/>
      <c r="AC822" s="11"/>
      <c r="AD822" s="11" t="b">
        <v>0</v>
      </c>
      <c r="AF822" s="11"/>
      <c r="AG822" s="11"/>
      <c r="AH822" s="11"/>
      <c r="AI822" s="11"/>
    </row>
    <row r="823" ht="12.5" spans="1:35">
      <c r="A823" s="177">
        <v>45266.4630761458</v>
      </c>
      <c r="B823" s="249" t="s">
        <v>2839</v>
      </c>
      <c r="C823" s="19">
        <v>70766391493</v>
      </c>
      <c r="D823" s="19">
        <v>705008613920859</v>
      </c>
      <c r="E823" s="18" t="s">
        <v>2840</v>
      </c>
      <c r="F823" s="11" t="s">
        <v>40</v>
      </c>
      <c r="G823" s="11" t="s">
        <v>41</v>
      </c>
      <c r="H823" s="24">
        <v>36047</v>
      </c>
      <c r="I823" s="19" t="s">
        <v>1109</v>
      </c>
      <c r="J823" s="11" t="s">
        <v>42</v>
      </c>
      <c r="K823" s="108" t="s">
        <v>455</v>
      </c>
      <c r="N823" s="11" t="s">
        <v>43</v>
      </c>
      <c r="O823" s="11" t="s">
        <v>658</v>
      </c>
      <c r="P823" s="11" t="s">
        <v>44</v>
      </c>
      <c r="Q823" s="11" t="s">
        <v>44</v>
      </c>
      <c r="R823" s="11" t="s">
        <v>45</v>
      </c>
      <c r="S823" s="11" t="s">
        <v>45</v>
      </c>
      <c r="T823" s="11" t="s">
        <v>44</v>
      </c>
      <c r="U823" s="11" t="s">
        <v>44</v>
      </c>
      <c r="W823" s="11" t="s">
        <v>46</v>
      </c>
      <c r="X823" s="11" t="s">
        <v>47</v>
      </c>
      <c r="Y823" s="11" t="s">
        <v>1169</v>
      </c>
      <c r="Z823" s="11">
        <v>81988920228</v>
      </c>
      <c r="AA823" s="11" t="s">
        <v>113</v>
      </c>
      <c r="AB823" s="11"/>
      <c r="AC823" s="11"/>
      <c r="AD823" s="11" t="b">
        <v>0</v>
      </c>
      <c r="AF823" s="11"/>
      <c r="AG823" s="11"/>
      <c r="AH823" s="11"/>
      <c r="AI823" s="11"/>
    </row>
    <row r="824" ht="12.5" spans="1:35">
      <c r="A824" s="177">
        <v>45266.4970325231</v>
      </c>
      <c r="B824" s="11" t="s">
        <v>2824</v>
      </c>
      <c r="C824" s="19">
        <v>8147055455</v>
      </c>
      <c r="D824" s="19">
        <v>700407937351846</v>
      </c>
      <c r="E824" s="18" t="s">
        <v>2841</v>
      </c>
      <c r="F824" s="136" t="s">
        <v>225</v>
      </c>
      <c r="G824" s="11" t="s">
        <v>54</v>
      </c>
      <c r="H824" s="24">
        <v>31968</v>
      </c>
      <c r="I824" s="277" t="s">
        <v>2826</v>
      </c>
      <c r="J824" s="11" t="s">
        <v>438</v>
      </c>
      <c r="K824" s="108"/>
      <c r="M824" s="11" t="s">
        <v>2842</v>
      </c>
      <c r="N824" s="11" t="s">
        <v>43</v>
      </c>
      <c r="O824" s="11" t="s">
        <v>44</v>
      </c>
      <c r="P824" s="11" t="s">
        <v>44</v>
      </c>
      <c r="Q824" s="11" t="s">
        <v>44</v>
      </c>
      <c r="R824" s="11" t="s">
        <v>44</v>
      </c>
      <c r="S824" s="11" t="s">
        <v>45</v>
      </c>
      <c r="T824" s="11" t="s">
        <v>44</v>
      </c>
      <c r="U824" s="11" t="s">
        <v>44</v>
      </c>
      <c r="W824" s="11" t="s">
        <v>46</v>
      </c>
      <c r="X824" s="11" t="s">
        <v>47</v>
      </c>
      <c r="Y824" s="11" t="s">
        <v>58</v>
      </c>
      <c r="Z824" s="11">
        <v>81999494735</v>
      </c>
      <c r="AA824" s="11" t="s">
        <v>1360</v>
      </c>
      <c r="AB824" s="11"/>
      <c r="AC824" s="11"/>
      <c r="AD824" s="11" t="b">
        <v>0</v>
      </c>
      <c r="AF824" s="11"/>
      <c r="AG824" s="11"/>
      <c r="AH824" s="11"/>
      <c r="AI824" s="11"/>
    </row>
    <row r="825" ht="12.5" spans="1:35">
      <c r="A825" s="177">
        <v>45266.6175761227</v>
      </c>
      <c r="B825" s="11" t="s">
        <v>2843</v>
      </c>
      <c r="C825" s="19">
        <v>12417806410</v>
      </c>
      <c r="D825" s="19">
        <v>706200587848067</v>
      </c>
      <c r="E825" s="18" t="s">
        <v>2844</v>
      </c>
      <c r="F825" s="11" t="s">
        <v>40</v>
      </c>
      <c r="G825" s="11" t="s">
        <v>54</v>
      </c>
      <c r="H825" s="24">
        <v>34557</v>
      </c>
      <c r="I825" s="277" t="s">
        <v>1413</v>
      </c>
      <c r="J825" s="11" t="s">
        <v>42</v>
      </c>
      <c r="K825" s="108" t="s">
        <v>427</v>
      </c>
      <c r="N825" s="11" t="s">
        <v>43</v>
      </c>
      <c r="O825" s="11" t="s">
        <v>96</v>
      </c>
      <c r="P825" s="11" t="s">
        <v>66</v>
      </c>
      <c r="Q825" s="11" t="s">
        <v>44</v>
      </c>
      <c r="R825" s="11" t="s">
        <v>45</v>
      </c>
      <c r="S825" s="11" t="s">
        <v>44</v>
      </c>
      <c r="T825" s="11" t="s">
        <v>44</v>
      </c>
      <c r="U825" s="11" t="s">
        <v>45</v>
      </c>
      <c r="V825" s="24">
        <v>45267</v>
      </c>
      <c r="W825" s="11" t="s">
        <v>46</v>
      </c>
      <c r="X825" s="11" t="s">
        <v>47</v>
      </c>
      <c r="Y825" s="11" t="s">
        <v>48</v>
      </c>
      <c r="Z825" s="11">
        <v>81975060868</v>
      </c>
      <c r="AA825" s="11" t="s">
        <v>2835</v>
      </c>
      <c r="AB825" s="11" t="s">
        <v>69</v>
      </c>
      <c r="AC825" s="11"/>
      <c r="AD825" s="11" t="b">
        <v>0</v>
      </c>
      <c r="AF825" s="11" t="s">
        <v>2845</v>
      </c>
      <c r="AG825" s="11"/>
      <c r="AH825" s="11"/>
      <c r="AI825" s="11"/>
    </row>
    <row r="826" ht="12.5" spans="1:35">
      <c r="A826" s="177">
        <v>45266.653613287</v>
      </c>
      <c r="B826" s="136" t="s">
        <v>2846</v>
      </c>
      <c r="C826" s="19">
        <v>11540327442</v>
      </c>
      <c r="D826" s="19">
        <v>709203201351233</v>
      </c>
      <c r="E826" s="18" t="s">
        <v>2847</v>
      </c>
      <c r="F826" s="11" t="s">
        <v>40</v>
      </c>
      <c r="G826" s="11" t="s">
        <v>88</v>
      </c>
      <c r="H826" s="24">
        <v>35650</v>
      </c>
      <c r="I826" s="277" t="s">
        <v>2848</v>
      </c>
      <c r="J826" s="11" t="s">
        <v>42</v>
      </c>
      <c r="K826" s="108" t="s">
        <v>202</v>
      </c>
      <c r="N826" s="11" t="s">
        <v>43</v>
      </c>
      <c r="O826" s="11" t="s">
        <v>96</v>
      </c>
      <c r="P826" s="11" t="s">
        <v>66</v>
      </c>
      <c r="Q826" s="11" t="s">
        <v>44</v>
      </c>
      <c r="R826" s="11" t="s">
        <v>45</v>
      </c>
      <c r="S826" s="11" t="s">
        <v>44</v>
      </c>
      <c r="T826" s="11" t="s">
        <v>44</v>
      </c>
      <c r="U826" s="11" t="s">
        <v>45</v>
      </c>
      <c r="V826" s="24">
        <v>45267</v>
      </c>
      <c r="W826" s="11" t="s">
        <v>57</v>
      </c>
      <c r="X826" s="11" t="s">
        <v>47</v>
      </c>
      <c r="Y826" s="11" t="s">
        <v>58</v>
      </c>
      <c r="Z826" s="11">
        <v>81996664142</v>
      </c>
      <c r="AA826" s="11" t="s">
        <v>1360</v>
      </c>
      <c r="AB826" s="11" t="s">
        <v>49</v>
      </c>
      <c r="AC826" s="11" t="s">
        <v>84</v>
      </c>
      <c r="AD826" s="11" t="b">
        <v>0</v>
      </c>
      <c r="AF826" s="11" t="s">
        <v>2849</v>
      </c>
      <c r="AG826" s="11"/>
      <c r="AH826" s="11" t="s">
        <v>2850</v>
      </c>
      <c r="AI826" s="11"/>
    </row>
    <row r="827" ht="12.5" spans="1:35">
      <c r="A827" s="177">
        <v>45266.8041908565</v>
      </c>
      <c r="B827" s="11" t="s">
        <v>2851</v>
      </c>
      <c r="C827" s="277" t="s">
        <v>2852</v>
      </c>
      <c r="D827" s="19">
        <v>701308698720730</v>
      </c>
      <c r="E827" s="18" t="s">
        <v>2853</v>
      </c>
      <c r="F827" s="136" t="s">
        <v>40</v>
      </c>
      <c r="G827" s="11" t="s">
        <v>135</v>
      </c>
      <c r="H827" s="24">
        <v>30683</v>
      </c>
      <c r="I827" s="277" t="s">
        <v>2854</v>
      </c>
      <c r="J827" s="11" t="s">
        <v>81</v>
      </c>
      <c r="K827" s="108"/>
      <c r="L827" s="11" t="s">
        <v>525</v>
      </c>
      <c r="N827" s="11" t="s">
        <v>43</v>
      </c>
      <c r="O827" s="11" t="s">
        <v>65</v>
      </c>
      <c r="P827" s="11" t="s">
        <v>66</v>
      </c>
      <c r="Q827" s="11" t="s">
        <v>44</v>
      </c>
      <c r="R827" s="11" t="s">
        <v>45</v>
      </c>
      <c r="S827" s="11" t="s">
        <v>45</v>
      </c>
      <c r="T827" s="11" t="s">
        <v>44</v>
      </c>
      <c r="U827" s="11" t="s">
        <v>45</v>
      </c>
      <c r="V827" s="24">
        <v>45267</v>
      </c>
      <c r="W827" s="11" t="s">
        <v>46</v>
      </c>
      <c r="X827" s="11" t="s">
        <v>203</v>
      </c>
      <c r="Y827" s="11" t="s">
        <v>58</v>
      </c>
      <c r="Z827" s="11">
        <v>81987132722</v>
      </c>
      <c r="AA827" s="11" t="s">
        <v>1360</v>
      </c>
      <c r="AB827" s="11" t="s">
        <v>69</v>
      </c>
      <c r="AC827" s="11"/>
      <c r="AD827" s="11" t="b">
        <v>0</v>
      </c>
      <c r="AF827" s="11" t="s">
        <v>2855</v>
      </c>
      <c r="AG827" s="11"/>
      <c r="AH827" s="11" t="s">
        <v>2856</v>
      </c>
      <c r="AI827" s="11"/>
    </row>
    <row r="828" ht="12.5" spans="1:35">
      <c r="A828" s="177">
        <v>45267.4621195486</v>
      </c>
      <c r="B828" s="136" t="s">
        <v>2824</v>
      </c>
      <c r="C828" s="19">
        <v>8147055455</v>
      </c>
      <c r="D828" s="19">
        <v>700407937351846</v>
      </c>
      <c r="E828" s="18" t="s">
        <v>2857</v>
      </c>
      <c r="F828" s="11" t="s">
        <v>225</v>
      </c>
      <c r="G828" s="11" t="s">
        <v>54</v>
      </c>
      <c r="H828" s="24">
        <v>31968</v>
      </c>
      <c r="I828" s="19" t="s">
        <v>97</v>
      </c>
      <c r="J828" s="11" t="s">
        <v>438</v>
      </c>
      <c r="K828" s="108"/>
      <c r="M828" s="11" t="s">
        <v>2858</v>
      </c>
      <c r="N828" s="11" t="s">
        <v>43</v>
      </c>
      <c r="O828" s="11" t="s">
        <v>44</v>
      </c>
      <c r="P828" s="11" t="s">
        <v>44</v>
      </c>
      <c r="Q828" s="11" t="s">
        <v>44</v>
      </c>
      <c r="R828" s="11" t="s">
        <v>45</v>
      </c>
      <c r="S828" s="11" t="s">
        <v>44</v>
      </c>
      <c r="T828" s="11" t="s">
        <v>44</v>
      </c>
      <c r="U828" s="11" t="s">
        <v>44</v>
      </c>
      <c r="W828" s="11" t="s">
        <v>46</v>
      </c>
      <c r="X828" s="11" t="s">
        <v>47</v>
      </c>
      <c r="Y828" s="11" t="s">
        <v>58</v>
      </c>
      <c r="Z828" s="11">
        <v>81999494735</v>
      </c>
      <c r="AA828" s="11" t="s">
        <v>2835</v>
      </c>
      <c r="AB828" s="11"/>
      <c r="AC828" s="11"/>
      <c r="AD828" s="11" t="b">
        <v>0</v>
      </c>
      <c r="AF828" s="11"/>
      <c r="AG828" s="11"/>
      <c r="AH828" s="11"/>
      <c r="AI828" s="11"/>
    </row>
    <row r="829" ht="12.5" spans="1:35">
      <c r="A829" s="177">
        <v>45267.4922444792</v>
      </c>
      <c r="B829" s="136" t="s">
        <v>2846</v>
      </c>
      <c r="C829" s="19">
        <v>11540327442</v>
      </c>
      <c r="D829" s="19">
        <v>709203201351233</v>
      </c>
      <c r="F829" s="11" t="s">
        <v>40</v>
      </c>
      <c r="G829" s="11" t="s">
        <v>88</v>
      </c>
      <c r="H829" s="24">
        <v>35650</v>
      </c>
      <c r="I829" s="277" t="s">
        <v>2848</v>
      </c>
      <c r="J829" s="11" t="s">
        <v>42</v>
      </c>
      <c r="K829" s="108" t="s">
        <v>202</v>
      </c>
      <c r="N829" s="11" t="s">
        <v>95</v>
      </c>
      <c r="O829" s="11" t="s">
        <v>44</v>
      </c>
      <c r="P829" s="11" t="s">
        <v>44</v>
      </c>
      <c r="Q829" s="11" t="s">
        <v>44</v>
      </c>
      <c r="R829" s="11" t="s">
        <v>45</v>
      </c>
      <c r="S829" s="11" t="s">
        <v>45</v>
      </c>
      <c r="T829" s="11" t="s">
        <v>44</v>
      </c>
      <c r="U829" s="11" t="s">
        <v>44</v>
      </c>
      <c r="W829" s="11" t="s">
        <v>57</v>
      </c>
      <c r="X829" s="11" t="s">
        <v>97</v>
      </c>
      <c r="Y829" s="11" t="s">
        <v>97</v>
      </c>
      <c r="Z829" s="11">
        <v>81996664142</v>
      </c>
      <c r="AA829" s="11" t="s">
        <v>105</v>
      </c>
      <c r="AB829" s="11"/>
      <c r="AC829" s="11"/>
      <c r="AD829" s="11" t="b">
        <v>0</v>
      </c>
      <c r="AF829" s="11"/>
      <c r="AG829" s="11"/>
      <c r="AH829" s="11"/>
      <c r="AI829" s="11"/>
    </row>
    <row r="830" ht="12.5" spans="1:35">
      <c r="A830" s="177">
        <v>45267.6404430093</v>
      </c>
      <c r="B830" s="136" t="s">
        <v>2859</v>
      </c>
      <c r="C830" s="277" t="s">
        <v>2860</v>
      </c>
      <c r="D830" s="19">
        <v>898000651859796</v>
      </c>
      <c r="E830" s="18" t="s">
        <v>2861</v>
      </c>
      <c r="F830" s="11" t="s">
        <v>40</v>
      </c>
      <c r="G830" s="11" t="s">
        <v>54</v>
      </c>
      <c r="H830" s="24">
        <v>37938</v>
      </c>
      <c r="I830" s="277" t="s">
        <v>1657</v>
      </c>
      <c r="J830" s="11" t="s">
        <v>42</v>
      </c>
      <c r="K830" s="108" t="s">
        <v>202</v>
      </c>
      <c r="N830" s="11" t="s">
        <v>43</v>
      </c>
      <c r="O830" s="11" t="s">
        <v>96</v>
      </c>
      <c r="P830" s="11" t="s">
        <v>66</v>
      </c>
      <c r="Q830" s="11" t="s">
        <v>44</v>
      </c>
      <c r="R830" s="11" t="s">
        <v>45</v>
      </c>
      <c r="S830" s="11" t="s">
        <v>45</v>
      </c>
      <c r="T830" s="11" t="s">
        <v>44</v>
      </c>
      <c r="U830" s="11" t="s">
        <v>45</v>
      </c>
      <c r="V830" s="24">
        <v>45268</v>
      </c>
      <c r="W830" s="11" t="s">
        <v>46</v>
      </c>
      <c r="X830" s="11" t="s">
        <v>47</v>
      </c>
      <c r="Y830" s="11" t="s">
        <v>58</v>
      </c>
      <c r="Z830" s="11">
        <v>81999116999</v>
      </c>
      <c r="AA830" s="11" t="s">
        <v>2835</v>
      </c>
      <c r="AB830" s="11" t="s">
        <v>98</v>
      </c>
      <c r="AC830" s="11"/>
      <c r="AD830" s="11" t="b">
        <v>0</v>
      </c>
      <c r="AF830" s="11" t="s">
        <v>2862</v>
      </c>
      <c r="AG830" s="11"/>
      <c r="AH830" s="11" t="s">
        <v>2863</v>
      </c>
      <c r="AI830" s="11"/>
    </row>
    <row r="831" ht="12.5" spans="1:35">
      <c r="A831" s="177">
        <v>45267.7219597106</v>
      </c>
      <c r="B831" s="136" t="s">
        <v>2669</v>
      </c>
      <c r="C831" s="277" t="s">
        <v>2670</v>
      </c>
      <c r="D831" s="19">
        <v>706006347560740</v>
      </c>
      <c r="E831" s="18" t="s">
        <v>2864</v>
      </c>
      <c r="F831" s="11" t="s">
        <v>40</v>
      </c>
      <c r="G831" s="11" t="s">
        <v>54</v>
      </c>
      <c r="H831" s="24">
        <v>33145</v>
      </c>
      <c r="I831" s="277" t="s">
        <v>1413</v>
      </c>
      <c r="J831" s="11" t="s">
        <v>42</v>
      </c>
      <c r="K831" s="108" t="s">
        <v>2865</v>
      </c>
      <c r="N831" s="11" t="s">
        <v>43</v>
      </c>
      <c r="O831" s="11" t="s">
        <v>44</v>
      </c>
      <c r="P831" s="11" t="s">
        <v>44</v>
      </c>
      <c r="Q831" s="11" t="s">
        <v>44</v>
      </c>
      <c r="R831" s="11" t="s">
        <v>44</v>
      </c>
      <c r="S831" s="11" t="s">
        <v>45</v>
      </c>
      <c r="T831" s="11" t="s">
        <v>44</v>
      </c>
      <c r="U831" s="11" t="s">
        <v>44</v>
      </c>
      <c r="W831" s="11" t="s">
        <v>46</v>
      </c>
      <c r="X831" s="11" t="s">
        <v>47</v>
      </c>
      <c r="Y831" s="11" t="s">
        <v>58</v>
      </c>
      <c r="Z831" s="11">
        <v>81973448407</v>
      </c>
      <c r="AA831" s="11" t="s">
        <v>105</v>
      </c>
      <c r="AB831" s="11"/>
      <c r="AC831" s="11"/>
      <c r="AD831" s="11" t="b">
        <v>1</v>
      </c>
      <c r="AE831" s="11" t="s">
        <v>137</v>
      </c>
      <c r="AF831" s="11"/>
      <c r="AG831" s="11"/>
      <c r="AH831" s="11"/>
      <c r="AI831" s="11"/>
    </row>
    <row r="832" ht="12.5" spans="1:35">
      <c r="A832" s="177">
        <v>45267.7353071759</v>
      </c>
      <c r="B832" s="136" t="s">
        <v>2866</v>
      </c>
      <c r="C832" s="19">
        <v>13380297461</v>
      </c>
      <c r="D832" s="19">
        <v>703408691844200</v>
      </c>
      <c r="E832" s="18" t="s">
        <v>2867</v>
      </c>
      <c r="F832" s="11" t="s">
        <v>40</v>
      </c>
      <c r="G832" s="11" t="s">
        <v>54</v>
      </c>
      <c r="H832" s="24">
        <v>38425</v>
      </c>
      <c r="I832" s="277" t="s">
        <v>2868</v>
      </c>
      <c r="J832" s="11" t="s">
        <v>42</v>
      </c>
      <c r="K832" s="108" t="s">
        <v>455</v>
      </c>
      <c r="N832" s="11" t="s">
        <v>43</v>
      </c>
      <c r="O832" s="11" t="s">
        <v>96</v>
      </c>
      <c r="P832" s="11" t="s">
        <v>56</v>
      </c>
      <c r="Q832" s="11" t="s">
        <v>44</v>
      </c>
      <c r="R832" s="11" t="s">
        <v>44</v>
      </c>
      <c r="S832" s="11" t="s">
        <v>44</v>
      </c>
      <c r="T832" s="11" t="s">
        <v>44</v>
      </c>
      <c r="U832" s="11" t="s">
        <v>45</v>
      </c>
      <c r="V832" s="24">
        <v>45268</v>
      </c>
      <c r="W832" s="11" t="s">
        <v>46</v>
      </c>
      <c r="X832" s="11" t="s">
        <v>47</v>
      </c>
      <c r="Y832" s="11" t="s">
        <v>58</v>
      </c>
      <c r="Z832" s="11">
        <v>81998540547</v>
      </c>
      <c r="AA832" s="11" t="s">
        <v>105</v>
      </c>
      <c r="AB832" s="11" t="s">
        <v>49</v>
      </c>
      <c r="AC832" s="11" t="s">
        <v>50</v>
      </c>
      <c r="AD832" s="11" t="b">
        <v>0</v>
      </c>
      <c r="AF832" s="11" t="s">
        <v>2869</v>
      </c>
      <c r="AG832" s="11" t="s">
        <v>2870</v>
      </c>
      <c r="AH832" s="11" t="s">
        <v>2871</v>
      </c>
      <c r="AI832" s="11"/>
    </row>
    <row r="833" ht="12.5" spans="1:35">
      <c r="A833" s="177">
        <v>45267.7676067477</v>
      </c>
      <c r="B833" s="136" t="s">
        <v>2872</v>
      </c>
      <c r="C833" s="19">
        <v>71281728403</v>
      </c>
      <c r="D833" s="19">
        <v>708100564765235</v>
      </c>
      <c r="E833" s="18" t="s">
        <v>2873</v>
      </c>
      <c r="F833" s="11" t="s">
        <v>40</v>
      </c>
      <c r="G833" s="11" t="s">
        <v>54</v>
      </c>
      <c r="H833" s="24">
        <v>36817</v>
      </c>
      <c r="I833" s="19" t="s">
        <v>136</v>
      </c>
      <c r="J833" s="11" t="s">
        <v>42</v>
      </c>
      <c r="K833" s="108" t="s">
        <v>356</v>
      </c>
      <c r="N833" s="11" t="s">
        <v>43</v>
      </c>
      <c r="O833" s="11" t="s">
        <v>44</v>
      </c>
      <c r="P833" s="11" t="s">
        <v>44</v>
      </c>
      <c r="Q833" s="11" t="s">
        <v>44</v>
      </c>
      <c r="R833" s="11" t="s">
        <v>45</v>
      </c>
      <c r="S833" s="11" t="s">
        <v>45</v>
      </c>
      <c r="T833" s="11" t="s">
        <v>44</v>
      </c>
      <c r="U833" s="11" t="s">
        <v>45</v>
      </c>
      <c r="V833" s="24">
        <v>45268</v>
      </c>
      <c r="W833" s="11" t="s">
        <v>46</v>
      </c>
      <c r="X833" s="11" t="s">
        <v>47</v>
      </c>
      <c r="Y833" s="11" t="s">
        <v>58</v>
      </c>
      <c r="Z833" s="11">
        <v>81986697774</v>
      </c>
      <c r="AA833" s="11" t="s">
        <v>105</v>
      </c>
      <c r="AB833" s="11" t="s">
        <v>49</v>
      </c>
      <c r="AC833" s="11" t="s">
        <v>50</v>
      </c>
      <c r="AD833" s="11" t="b">
        <v>0</v>
      </c>
      <c r="AF833" s="11" t="s">
        <v>2869</v>
      </c>
      <c r="AG833" s="214" t="s">
        <v>2874</v>
      </c>
      <c r="AH833" s="11" t="s">
        <v>2875</v>
      </c>
      <c r="AI833" s="11"/>
    </row>
    <row r="834" ht="12.5" spans="1:35">
      <c r="A834" s="177">
        <v>45268.4090767593</v>
      </c>
      <c r="B834" s="136" t="s">
        <v>2876</v>
      </c>
      <c r="C834" s="19">
        <v>10760602425</v>
      </c>
      <c r="D834" s="19">
        <v>703108860418060</v>
      </c>
      <c r="E834" s="18" t="s">
        <v>2877</v>
      </c>
      <c r="F834" s="11" t="s">
        <v>40</v>
      </c>
      <c r="G834" s="11" t="s">
        <v>54</v>
      </c>
      <c r="H834" s="24">
        <v>35092</v>
      </c>
      <c r="I834" s="277" t="s">
        <v>2878</v>
      </c>
      <c r="J834" s="11" t="s">
        <v>42</v>
      </c>
      <c r="K834" s="108" t="s">
        <v>2879</v>
      </c>
      <c r="N834" s="11" t="s">
        <v>43</v>
      </c>
      <c r="O834" s="11" t="s">
        <v>96</v>
      </c>
      <c r="P834" s="11" t="s">
        <v>66</v>
      </c>
      <c r="Q834" s="11" t="s">
        <v>44</v>
      </c>
      <c r="R834" s="11" t="s">
        <v>45</v>
      </c>
      <c r="S834" s="11" t="s">
        <v>45</v>
      </c>
      <c r="T834" s="11" t="s">
        <v>44</v>
      </c>
      <c r="U834" s="11" t="s">
        <v>45</v>
      </c>
      <c r="V834" s="24">
        <v>45269</v>
      </c>
      <c r="W834" s="11" t="s">
        <v>46</v>
      </c>
      <c r="X834" s="11" t="s">
        <v>303</v>
      </c>
      <c r="Y834" s="11" t="s">
        <v>58</v>
      </c>
      <c r="Z834" s="11">
        <v>81987967686</v>
      </c>
      <c r="AA834" s="11" t="s">
        <v>115</v>
      </c>
      <c r="AB834" s="11" t="s">
        <v>49</v>
      </c>
      <c r="AC834" s="11" t="s">
        <v>50</v>
      </c>
      <c r="AD834" s="11" t="b">
        <v>0</v>
      </c>
      <c r="AF834" s="11" t="s">
        <v>2880</v>
      </c>
      <c r="AG834" s="214" t="s">
        <v>2881</v>
      </c>
      <c r="AH834" s="11"/>
      <c r="AI834" s="11"/>
    </row>
    <row r="835" ht="12.5" spans="1:35">
      <c r="A835" s="177">
        <v>45268.5574872107</v>
      </c>
      <c r="B835" s="136" t="s">
        <v>2872</v>
      </c>
      <c r="C835" s="19">
        <v>71281728403</v>
      </c>
      <c r="D835" s="19">
        <v>708100564765235</v>
      </c>
      <c r="E835" s="18" t="s">
        <v>2882</v>
      </c>
      <c r="F835" s="11" t="s">
        <v>40</v>
      </c>
      <c r="G835" s="11" t="s">
        <v>54</v>
      </c>
      <c r="H835" s="24">
        <v>36817</v>
      </c>
      <c r="I835" s="19" t="s">
        <v>865</v>
      </c>
      <c r="J835" s="11" t="s">
        <v>81</v>
      </c>
      <c r="K835" s="108"/>
      <c r="L835" s="11" t="s">
        <v>520</v>
      </c>
      <c r="N835" s="11" t="s">
        <v>43</v>
      </c>
      <c r="O835" s="11" t="s">
        <v>65</v>
      </c>
      <c r="P835" s="11" t="s">
        <v>66</v>
      </c>
      <c r="Q835" s="11" t="s">
        <v>44</v>
      </c>
      <c r="R835" s="11" t="s">
        <v>45</v>
      </c>
      <c r="S835" s="11" t="s">
        <v>45</v>
      </c>
      <c r="T835" s="11" t="s">
        <v>44</v>
      </c>
      <c r="U835" s="11" t="s">
        <v>45</v>
      </c>
      <c r="V835" s="24">
        <v>45269</v>
      </c>
      <c r="W835" s="11" t="s">
        <v>46</v>
      </c>
      <c r="X835" s="11" t="s">
        <v>303</v>
      </c>
      <c r="Y835" s="11" t="s">
        <v>58</v>
      </c>
      <c r="Z835" s="11">
        <v>81986697774</v>
      </c>
      <c r="AA835" s="11" t="s">
        <v>115</v>
      </c>
      <c r="AB835" s="11" t="s">
        <v>98</v>
      </c>
      <c r="AC835" s="11"/>
      <c r="AD835" s="11" t="b">
        <v>0</v>
      </c>
      <c r="AF835" s="11" t="s">
        <v>2883</v>
      </c>
      <c r="AG835" s="11"/>
      <c r="AH835" s="11"/>
      <c r="AI835" s="11"/>
    </row>
    <row r="836" ht="12.5" spans="1:35">
      <c r="A836" s="177">
        <v>45268.5728176968</v>
      </c>
      <c r="B836" s="11" t="s">
        <v>2884</v>
      </c>
      <c r="C836" s="19">
        <v>16861664430</v>
      </c>
      <c r="D836" s="19">
        <v>704303576561298</v>
      </c>
      <c r="E836" s="18" t="s">
        <v>2885</v>
      </c>
      <c r="F836" s="11" t="s">
        <v>40</v>
      </c>
      <c r="G836" s="11" t="s">
        <v>54</v>
      </c>
      <c r="H836" s="24">
        <v>38139</v>
      </c>
      <c r="I836" s="277" t="s">
        <v>1740</v>
      </c>
      <c r="J836" s="11" t="s">
        <v>42</v>
      </c>
      <c r="K836" s="108" t="s">
        <v>2886</v>
      </c>
      <c r="N836" s="11" t="s">
        <v>43</v>
      </c>
      <c r="O836" s="11" t="s">
        <v>44</v>
      </c>
      <c r="P836" s="11" t="s">
        <v>44</v>
      </c>
      <c r="Q836" s="11" t="s">
        <v>44</v>
      </c>
      <c r="R836" s="11" t="s">
        <v>45</v>
      </c>
      <c r="S836" s="11" t="s">
        <v>45</v>
      </c>
      <c r="T836" s="11" t="s">
        <v>44</v>
      </c>
      <c r="U836" s="11" t="s">
        <v>44</v>
      </c>
      <c r="W836" s="11" t="s">
        <v>57</v>
      </c>
      <c r="X836" s="11" t="s">
        <v>303</v>
      </c>
      <c r="Y836" s="11" t="s">
        <v>58</v>
      </c>
      <c r="Z836" s="11">
        <v>81994064485</v>
      </c>
      <c r="AA836" s="11" t="s">
        <v>115</v>
      </c>
      <c r="AB836" s="11"/>
      <c r="AC836" s="11"/>
      <c r="AD836" s="11" t="b">
        <v>0</v>
      </c>
      <c r="AF836" s="11"/>
      <c r="AG836" s="11"/>
      <c r="AH836" s="11"/>
      <c r="AI836" s="11"/>
    </row>
    <row r="837" ht="12.5" spans="1:35">
      <c r="A837" s="177">
        <v>45268.5849239583</v>
      </c>
      <c r="B837" s="136" t="s">
        <v>2866</v>
      </c>
      <c r="C837" s="19">
        <v>13380297461</v>
      </c>
      <c r="D837" s="19">
        <v>703408691844200</v>
      </c>
      <c r="F837" s="11" t="s">
        <v>40</v>
      </c>
      <c r="G837" s="11" t="s">
        <v>54</v>
      </c>
      <c r="H837" s="24">
        <v>38425</v>
      </c>
      <c r="I837" s="277" t="s">
        <v>2868</v>
      </c>
      <c r="J837" s="11" t="s">
        <v>42</v>
      </c>
      <c r="K837" s="108" t="s">
        <v>455</v>
      </c>
      <c r="N837" s="11" t="s">
        <v>95</v>
      </c>
      <c r="O837" s="11" t="s">
        <v>44</v>
      </c>
      <c r="P837" s="11" t="s">
        <v>44</v>
      </c>
      <c r="Q837" s="11" t="s">
        <v>44</v>
      </c>
      <c r="R837" s="11" t="s">
        <v>44</v>
      </c>
      <c r="S837" s="11" t="s">
        <v>44</v>
      </c>
      <c r="T837" s="11" t="s">
        <v>44</v>
      </c>
      <c r="U837" s="11" t="s">
        <v>44</v>
      </c>
      <c r="W837" s="11" t="s">
        <v>57</v>
      </c>
      <c r="X837" s="11" t="s">
        <v>97</v>
      </c>
      <c r="Y837" s="11" t="s">
        <v>97</v>
      </c>
      <c r="Z837" s="11">
        <v>81998540547</v>
      </c>
      <c r="AA837" s="11" t="s">
        <v>115</v>
      </c>
      <c r="AB837" s="11"/>
      <c r="AC837" s="11"/>
      <c r="AD837" s="11" t="b">
        <v>0</v>
      </c>
      <c r="AF837" s="11"/>
      <c r="AG837" s="11"/>
      <c r="AH837" s="11"/>
      <c r="AI837" s="11"/>
    </row>
    <row r="838" ht="12.5" spans="1:35">
      <c r="A838" s="177">
        <v>45268.6879379745</v>
      </c>
      <c r="B838" s="136" t="s">
        <v>2887</v>
      </c>
      <c r="C838" s="19">
        <v>10922880409</v>
      </c>
      <c r="D838" s="19">
        <v>700305988617540</v>
      </c>
      <c r="E838" s="18" t="s">
        <v>2888</v>
      </c>
      <c r="F838" s="11" t="s">
        <v>40</v>
      </c>
      <c r="G838" s="11" t="s">
        <v>54</v>
      </c>
      <c r="H838" s="24">
        <v>35364</v>
      </c>
      <c r="I838" s="277" t="s">
        <v>2889</v>
      </c>
      <c r="J838" s="11" t="s">
        <v>42</v>
      </c>
      <c r="K838" s="108" t="s">
        <v>455</v>
      </c>
      <c r="N838" s="11" t="s">
        <v>43</v>
      </c>
      <c r="O838" s="11" t="s">
        <v>44</v>
      </c>
      <c r="P838" s="11" t="s">
        <v>44</v>
      </c>
      <c r="Q838" s="11" t="s">
        <v>44</v>
      </c>
      <c r="R838" s="11" t="s">
        <v>45</v>
      </c>
      <c r="S838" s="11" t="s">
        <v>45</v>
      </c>
      <c r="T838" s="11" t="s">
        <v>44</v>
      </c>
      <c r="U838" s="11" t="s">
        <v>44</v>
      </c>
      <c r="W838" s="11" t="s">
        <v>46</v>
      </c>
      <c r="X838" s="11" t="s">
        <v>303</v>
      </c>
      <c r="Y838" s="11" t="s">
        <v>58</v>
      </c>
      <c r="Z838" s="11">
        <v>81999960609</v>
      </c>
      <c r="AA838" s="11" t="s">
        <v>115</v>
      </c>
      <c r="AB838" s="11"/>
      <c r="AC838" s="11"/>
      <c r="AD838" s="11" t="b">
        <v>0</v>
      </c>
      <c r="AF838" s="11"/>
      <c r="AG838" s="11"/>
      <c r="AH838" s="11"/>
      <c r="AI838" s="11"/>
    </row>
    <row r="839" ht="12.5" spans="1:35">
      <c r="A839" s="177">
        <v>45269.4660353588</v>
      </c>
      <c r="B839" s="136" t="s">
        <v>2876</v>
      </c>
      <c r="C839" s="19">
        <v>10760602425</v>
      </c>
      <c r="D839" s="19">
        <v>703108860418060</v>
      </c>
      <c r="F839" s="11" t="s">
        <v>40</v>
      </c>
      <c r="G839" s="11" t="s">
        <v>54</v>
      </c>
      <c r="H839" s="24">
        <v>35092</v>
      </c>
      <c r="I839" s="277" t="s">
        <v>2878</v>
      </c>
      <c r="J839" s="11" t="s">
        <v>42</v>
      </c>
      <c r="K839" s="108" t="s">
        <v>2879</v>
      </c>
      <c r="N839" s="11" t="s">
        <v>95</v>
      </c>
      <c r="O839" s="11" t="s">
        <v>44</v>
      </c>
      <c r="P839" s="11" t="s">
        <v>44</v>
      </c>
      <c r="Q839" s="11" t="s">
        <v>44</v>
      </c>
      <c r="R839" s="11" t="s">
        <v>45</v>
      </c>
      <c r="S839" s="11" t="s">
        <v>45</v>
      </c>
      <c r="T839" s="11" t="s">
        <v>44</v>
      </c>
      <c r="U839" s="11" t="s">
        <v>44</v>
      </c>
      <c r="W839" s="11" t="s">
        <v>57</v>
      </c>
      <c r="X839" s="11" t="s">
        <v>97</v>
      </c>
      <c r="Y839" s="11" t="s">
        <v>97</v>
      </c>
      <c r="Z839" s="11">
        <v>81987967686</v>
      </c>
      <c r="AA839" s="11" t="s">
        <v>115</v>
      </c>
      <c r="AB839" s="11"/>
      <c r="AC839" s="11"/>
      <c r="AD839" s="11" t="b">
        <v>0</v>
      </c>
      <c r="AF839" s="11"/>
      <c r="AG839" s="11"/>
      <c r="AH839" s="11"/>
      <c r="AI839" s="11"/>
    </row>
    <row r="840" ht="12.5" spans="1:35">
      <c r="A840" s="177">
        <v>45269.7427988889</v>
      </c>
      <c r="B840" s="136" t="s">
        <v>2890</v>
      </c>
      <c r="C840" s="277" t="s">
        <v>2891</v>
      </c>
      <c r="D840" s="19">
        <v>700304967450840</v>
      </c>
      <c r="E840" s="18" t="s">
        <v>2892</v>
      </c>
      <c r="F840" s="11" t="s">
        <v>40</v>
      </c>
      <c r="G840" s="11" t="s">
        <v>88</v>
      </c>
      <c r="H840" s="24">
        <v>30363</v>
      </c>
      <c r="I840" s="19" t="s">
        <v>865</v>
      </c>
      <c r="J840" s="11" t="s">
        <v>81</v>
      </c>
      <c r="K840" s="108"/>
      <c r="L840" s="11" t="s">
        <v>109</v>
      </c>
      <c r="N840" s="11" t="s">
        <v>43</v>
      </c>
      <c r="O840" s="11" t="s">
        <v>44</v>
      </c>
      <c r="P840" s="11" t="s">
        <v>44</v>
      </c>
      <c r="Q840" s="11" t="s">
        <v>44</v>
      </c>
      <c r="R840" s="11" t="s">
        <v>45</v>
      </c>
      <c r="S840" s="11" t="s">
        <v>45</v>
      </c>
      <c r="T840" s="11" t="s">
        <v>44</v>
      </c>
      <c r="U840" s="11" t="s">
        <v>45</v>
      </c>
      <c r="V840" s="24">
        <v>45270</v>
      </c>
      <c r="W840" s="11" t="s">
        <v>46</v>
      </c>
      <c r="X840" s="11" t="s">
        <v>303</v>
      </c>
      <c r="Y840" s="11" t="s">
        <v>58</v>
      </c>
      <c r="Z840" s="11">
        <v>81988442904</v>
      </c>
      <c r="AA840" s="11" t="s">
        <v>115</v>
      </c>
      <c r="AB840" s="11" t="s">
        <v>49</v>
      </c>
      <c r="AC840" s="11" t="s">
        <v>50</v>
      </c>
      <c r="AD840" s="11" t="b">
        <v>0</v>
      </c>
      <c r="AF840" s="11" t="s">
        <v>2893</v>
      </c>
      <c r="AG840" s="11"/>
      <c r="AH840" s="11"/>
      <c r="AI840" s="11"/>
    </row>
    <row r="841" ht="12.5" spans="1:35">
      <c r="A841" s="177">
        <v>45270.4488059607</v>
      </c>
      <c r="B841" s="136" t="s">
        <v>2894</v>
      </c>
      <c r="C841" s="19">
        <v>11959329448</v>
      </c>
      <c r="D841" s="19">
        <v>700000267360805</v>
      </c>
      <c r="E841" s="18" t="s">
        <v>2895</v>
      </c>
      <c r="F841" s="11" t="s">
        <v>40</v>
      </c>
      <c r="G841" s="11" t="s">
        <v>54</v>
      </c>
      <c r="H841" s="24">
        <v>35704</v>
      </c>
      <c r="I841" s="277" t="s">
        <v>2896</v>
      </c>
      <c r="J841" s="11" t="s">
        <v>42</v>
      </c>
      <c r="K841" s="108" t="s">
        <v>63</v>
      </c>
      <c r="N841" s="11" t="s">
        <v>43</v>
      </c>
      <c r="O841" s="11" t="s">
        <v>44</v>
      </c>
      <c r="P841" s="11" t="s">
        <v>44</v>
      </c>
      <c r="Q841" s="11" t="s">
        <v>44</v>
      </c>
      <c r="R841" s="11" t="s">
        <v>45</v>
      </c>
      <c r="S841" s="11" t="s">
        <v>83</v>
      </c>
      <c r="T841" s="11" t="s">
        <v>44</v>
      </c>
      <c r="U841" s="11" t="s">
        <v>45</v>
      </c>
      <c r="V841" s="24">
        <v>45270</v>
      </c>
      <c r="W841" s="11" t="s">
        <v>46</v>
      </c>
      <c r="X841" s="11" t="s">
        <v>303</v>
      </c>
      <c r="Y841" s="11" t="s">
        <v>58</v>
      </c>
      <c r="Z841" s="11">
        <v>81999604732</v>
      </c>
      <c r="AA841" s="11" t="s">
        <v>115</v>
      </c>
      <c r="AB841" s="11" t="s">
        <v>49</v>
      </c>
      <c r="AC841" s="11" t="s">
        <v>50</v>
      </c>
      <c r="AD841" s="11" t="b">
        <v>0</v>
      </c>
      <c r="AF841" s="214" t="s">
        <v>2897</v>
      </c>
      <c r="AG841" s="11"/>
      <c r="AH841" s="11"/>
      <c r="AI841" s="11"/>
    </row>
    <row r="842" ht="12.5" spans="1:35">
      <c r="A842" s="177">
        <v>45270.6251056713</v>
      </c>
      <c r="B842" s="11" t="s">
        <v>2890</v>
      </c>
      <c r="C842" s="277" t="s">
        <v>2891</v>
      </c>
      <c r="D842" s="19">
        <v>700304967450840</v>
      </c>
      <c r="F842" s="11" t="s">
        <v>40</v>
      </c>
      <c r="G842" s="11" t="s">
        <v>88</v>
      </c>
      <c r="H842" s="24">
        <v>30363</v>
      </c>
      <c r="I842" s="19" t="s">
        <v>865</v>
      </c>
      <c r="J842" s="11" t="s">
        <v>81</v>
      </c>
      <c r="K842" s="108"/>
      <c r="L842" s="11" t="s">
        <v>109</v>
      </c>
      <c r="N842" s="11" t="s">
        <v>95</v>
      </c>
      <c r="O842" s="11" t="s">
        <v>44</v>
      </c>
      <c r="P842" s="11" t="s">
        <v>44</v>
      </c>
      <c r="Q842" s="11" t="s">
        <v>44</v>
      </c>
      <c r="R842" s="11" t="s">
        <v>45</v>
      </c>
      <c r="S842" s="11" t="s">
        <v>45</v>
      </c>
      <c r="T842" s="11" t="s">
        <v>44</v>
      </c>
      <c r="U842" s="11" t="s">
        <v>44</v>
      </c>
      <c r="W842" s="11" t="s">
        <v>57</v>
      </c>
      <c r="X842" s="11" t="s">
        <v>97</v>
      </c>
      <c r="Y842" s="11" t="s">
        <v>97</v>
      </c>
      <c r="Z842" s="11">
        <v>81988442904</v>
      </c>
      <c r="AA842" s="11" t="s">
        <v>115</v>
      </c>
      <c r="AB842" s="11"/>
      <c r="AC842" s="11"/>
      <c r="AD842" s="11" t="b">
        <v>0</v>
      </c>
      <c r="AF842" s="11"/>
      <c r="AG842" s="11"/>
      <c r="AH842" s="11"/>
      <c r="AI842" s="11"/>
    </row>
    <row r="843" ht="12.5" spans="1:35">
      <c r="A843" s="177">
        <v>45270.6777894907</v>
      </c>
      <c r="B843" s="136" t="s">
        <v>2894</v>
      </c>
      <c r="C843" s="19">
        <v>11959329448</v>
      </c>
      <c r="D843" s="19">
        <v>700000267360805</v>
      </c>
      <c r="F843" s="11" t="s">
        <v>40</v>
      </c>
      <c r="G843" s="11" t="s">
        <v>54</v>
      </c>
      <c r="H843" s="24">
        <v>35704</v>
      </c>
      <c r="I843" s="277" t="s">
        <v>2896</v>
      </c>
      <c r="J843" s="11" t="s">
        <v>42</v>
      </c>
      <c r="K843" s="108" t="s">
        <v>63</v>
      </c>
      <c r="N843" s="11" t="s">
        <v>95</v>
      </c>
      <c r="O843" s="11" t="s">
        <v>44</v>
      </c>
      <c r="P843" s="11" t="s">
        <v>44</v>
      </c>
      <c r="Q843" s="11" t="s">
        <v>44</v>
      </c>
      <c r="R843" s="11" t="s">
        <v>45</v>
      </c>
      <c r="S843" s="11" t="s">
        <v>83</v>
      </c>
      <c r="T843" s="11" t="s">
        <v>44</v>
      </c>
      <c r="U843" s="11" t="s">
        <v>44</v>
      </c>
      <c r="W843" s="11" t="s">
        <v>57</v>
      </c>
      <c r="X843" s="11" t="s">
        <v>97</v>
      </c>
      <c r="Y843" s="11" t="s">
        <v>97</v>
      </c>
      <c r="Z843" s="11">
        <v>81999604732</v>
      </c>
      <c r="AA843" s="11" t="s">
        <v>115</v>
      </c>
      <c r="AB843" s="11"/>
      <c r="AC843" s="11"/>
      <c r="AD843" s="11" t="b">
        <v>0</v>
      </c>
      <c r="AF843" s="11"/>
      <c r="AG843" s="11"/>
      <c r="AH843" s="11"/>
      <c r="AI843" s="11"/>
    </row>
    <row r="844" ht="12.5" spans="1:35">
      <c r="A844" s="177">
        <v>45271.4714210532</v>
      </c>
      <c r="B844" s="136" t="s">
        <v>2898</v>
      </c>
      <c r="C844" s="277" t="s">
        <v>2899</v>
      </c>
      <c r="D844" s="19">
        <v>898004089980765</v>
      </c>
      <c r="E844" s="18" t="s">
        <v>2900</v>
      </c>
      <c r="F844" s="11" t="s">
        <v>40</v>
      </c>
      <c r="G844" s="11" t="s">
        <v>88</v>
      </c>
      <c r="H844" s="24">
        <v>38371</v>
      </c>
      <c r="I844" s="277" t="s">
        <v>2901</v>
      </c>
      <c r="J844" s="11" t="s">
        <v>42</v>
      </c>
      <c r="K844" s="108" t="s">
        <v>2902</v>
      </c>
      <c r="N844" s="11" t="s">
        <v>43</v>
      </c>
      <c r="O844" s="11" t="s">
        <v>44</v>
      </c>
      <c r="P844" s="11" t="s">
        <v>44</v>
      </c>
      <c r="Q844" s="11" t="s">
        <v>45</v>
      </c>
      <c r="R844" s="11" t="s">
        <v>45</v>
      </c>
      <c r="S844" s="11" t="s">
        <v>83</v>
      </c>
      <c r="T844" s="11" t="s">
        <v>44</v>
      </c>
      <c r="U844" s="11" t="s">
        <v>44</v>
      </c>
      <c r="W844" s="11" t="s">
        <v>57</v>
      </c>
      <c r="X844" s="11" t="s">
        <v>47</v>
      </c>
      <c r="Y844" s="11" t="s">
        <v>58</v>
      </c>
      <c r="Z844" s="11">
        <v>11939424033</v>
      </c>
      <c r="AA844" s="11" t="s">
        <v>103</v>
      </c>
      <c r="AB844" s="11"/>
      <c r="AC844" s="11"/>
      <c r="AD844" s="11" t="b">
        <v>0</v>
      </c>
      <c r="AF844" s="11"/>
      <c r="AG844" s="11"/>
      <c r="AH844" s="11"/>
      <c r="AI844" s="11"/>
    </row>
    <row r="845" ht="12.5" spans="1:35">
      <c r="A845" s="177">
        <v>45271.4726244792</v>
      </c>
      <c r="B845" s="11" t="s">
        <v>2704</v>
      </c>
      <c r="C845" s="19">
        <v>70946113408</v>
      </c>
      <c r="D845" s="19">
        <v>700707925864875</v>
      </c>
      <c r="E845" s="18" t="s">
        <v>2903</v>
      </c>
      <c r="F845" s="136" t="s">
        <v>40</v>
      </c>
      <c r="G845" s="11" t="s">
        <v>54</v>
      </c>
      <c r="H845" s="24">
        <v>37282</v>
      </c>
      <c r="I845" s="277" t="s">
        <v>2904</v>
      </c>
      <c r="J845" s="11" t="s">
        <v>42</v>
      </c>
      <c r="K845" s="108" t="s">
        <v>74</v>
      </c>
      <c r="N845" s="11" t="s">
        <v>43</v>
      </c>
      <c r="O845" s="11" t="s">
        <v>96</v>
      </c>
      <c r="P845" s="11" t="s">
        <v>56</v>
      </c>
      <c r="Q845" s="11" t="s">
        <v>44</v>
      </c>
      <c r="R845" s="11" t="s">
        <v>45</v>
      </c>
      <c r="S845" s="11" t="s">
        <v>44</v>
      </c>
      <c r="T845" s="11" t="s">
        <v>44</v>
      </c>
      <c r="U845" s="11" t="s">
        <v>45</v>
      </c>
      <c r="V845" s="24">
        <v>45272</v>
      </c>
      <c r="W845" s="11" t="s">
        <v>46</v>
      </c>
      <c r="X845" s="11" t="s">
        <v>47</v>
      </c>
      <c r="Y845" s="11" t="s">
        <v>58</v>
      </c>
      <c r="Z845" s="11">
        <v>81973256369</v>
      </c>
      <c r="AA845" s="11" t="s">
        <v>1360</v>
      </c>
      <c r="AB845" s="11" t="s">
        <v>49</v>
      </c>
      <c r="AC845" s="11" t="s">
        <v>84</v>
      </c>
      <c r="AD845" s="11" t="b">
        <v>0</v>
      </c>
      <c r="AF845" s="11" t="s">
        <v>2905</v>
      </c>
      <c r="AG845" s="11" t="s">
        <v>2906</v>
      </c>
      <c r="AH845" s="11" t="s">
        <v>2907</v>
      </c>
      <c r="AI845" s="11"/>
    </row>
    <row r="846" ht="12.5" spans="1:35">
      <c r="A846" s="177">
        <v>45271.5065124306</v>
      </c>
      <c r="B846" s="11" t="s">
        <v>2908</v>
      </c>
      <c r="C846" s="19">
        <v>14039865413</v>
      </c>
      <c r="D846" s="19">
        <v>898005182839644</v>
      </c>
      <c r="E846" s="18" t="s">
        <v>2909</v>
      </c>
      <c r="F846" s="136" t="s">
        <v>225</v>
      </c>
      <c r="G846" s="11" t="s">
        <v>54</v>
      </c>
      <c r="H846" s="24">
        <v>37361</v>
      </c>
      <c r="I846" s="277" t="s">
        <v>2518</v>
      </c>
      <c r="J846" s="11" t="s">
        <v>42</v>
      </c>
      <c r="K846" s="108" t="s">
        <v>427</v>
      </c>
      <c r="N846" s="11" t="s">
        <v>43</v>
      </c>
      <c r="O846" s="11" t="s">
        <v>44</v>
      </c>
      <c r="P846" s="11" t="s">
        <v>44</v>
      </c>
      <c r="Q846" s="11" t="s">
        <v>44</v>
      </c>
      <c r="R846" s="11" t="s">
        <v>45</v>
      </c>
      <c r="S846" s="11" t="s">
        <v>44</v>
      </c>
      <c r="T846" s="11" t="s">
        <v>44</v>
      </c>
      <c r="U846" s="11" t="s">
        <v>44</v>
      </c>
      <c r="W846" s="11" t="s">
        <v>46</v>
      </c>
      <c r="X846" s="11" t="s">
        <v>47</v>
      </c>
      <c r="Y846" s="11" t="s">
        <v>58</v>
      </c>
      <c r="Z846" s="11">
        <v>81997119148</v>
      </c>
      <c r="AA846" s="11" t="s">
        <v>1360</v>
      </c>
      <c r="AB846" s="11"/>
      <c r="AC846" s="11"/>
      <c r="AD846" s="11" t="b">
        <v>0</v>
      </c>
      <c r="AF846" s="11"/>
      <c r="AG846" s="11"/>
      <c r="AH846" s="11"/>
      <c r="AI846" s="11"/>
    </row>
    <row r="847" ht="12.5" spans="1:35">
      <c r="A847" s="177">
        <v>45271.5648918171</v>
      </c>
      <c r="B847" s="11" t="s">
        <v>2910</v>
      </c>
      <c r="C847" s="277" t="s">
        <v>2911</v>
      </c>
      <c r="D847" s="19">
        <v>700003623132602</v>
      </c>
      <c r="E847" s="18" t="s">
        <v>2912</v>
      </c>
      <c r="F847" s="136" t="s">
        <v>225</v>
      </c>
      <c r="G847" s="11" t="s">
        <v>54</v>
      </c>
      <c r="H847" s="24">
        <v>35156</v>
      </c>
      <c r="I847" s="277" t="s">
        <v>2913</v>
      </c>
      <c r="J847" s="11" t="s">
        <v>42</v>
      </c>
      <c r="K847" s="108" t="s">
        <v>202</v>
      </c>
      <c r="N847" s="11" t="s">
        <v>43</v>
      </c>
      <c r="O847" s="11" t="s">
        <v>44</v>
      </c>
      <c r="P847" s="11" t="s">
        <v>44</v>
      </c>
      <c r="Q847" s="11" t="s">
        <v>44</v>
      </c>
      <c r="R847" s="11" t="s">
        <v>45</v>
      </c>
      <c r="S847" s="11" t="s">
        <v>45</v>
      </c>
      <c r="T847" s="11" t="s">
        <v>44</v>
      </c>
      <c r="U847" s="11" t="s">
        <v>45</v>
      </c>
      <c r="V847" s="24">
        <v>45271</v>
      </c>
      <c r="W847" s="11" t="s">
        <v>46</v>
      </c>
      <c r="X847" s="11" t="s">
        <v>47</v>
      </c>
      <c r="Y847" s="11" t="s">
        <v>58</v>
      </c>
      <c r="Z847" s="11">
        <v>81999132949</v>
      </c>
      <c r="AA847" s="11" t="s">
        <v>105</v>
      </c>
      <c r="AB847" s="11" t="s">
        <v>49</v>
      </c>
      <c r="AC847" s="11" t="s">
        <v>84</v>
      </c>
      <c r="AD847" s="11" t="b">
        <v>1</v>
      </c>
      <c r="AE847" s="11" t="s">
        <v>137</v>
      </c>
      <c r="AF847" s="11" t="s">
        <v>2914</v>
      </c>
      <c r="AG847" s="11"/>
      <c r="AH847" s="11"/>
      <c r="AI847" s="11"/>
    </row>
    <row r="848" ht="12.5" spans="1:35">
      <c r="A848" s="177">
        <v>45271.5979829282</v>
      </c>
      <c r="B848" s="11" t="s">
        <v>2915</v>
      </c>
      <c r="C848" s="19">
        <v>14092906463</v>
      </c>
      <c r="D848" s="19">
        <v>706803713587228</v>
      </c>
      <c r="E848" s="18" t="s">
        <v>2916</v>
      </c>
      <c r="F848" s="136" t="s">
        <v>40</v>
      </c>
      <c r="G848" s="11" t="s">
        <v>54</v>
      </c>
      <c r="H848" s="24">
        <v>37593</v>
      </c>
      <c r="I848" s="277" t="s">
        <v>2917</v>
      </c>
      <c r="J848" s="11" t="s">
        <v>42</v>
      </c>
      <c r="K848" s="108" t="s">
        <v>2918</v>
      </c>
      <c r="N848" s="11" t="s">
        <v>43</v>
      </c>
      <c r="O848" s="11" t="s">
        <v>44</v>
      </c>
      <c r="P848" s="11" t="s">
        <v>44</v>
      </c>
      <c r="Q848" s="11" t="s">
        <v>44</v>
      </c>
      <c r="R848" s="11" t="s">
        <v>45</v>
      </c>
      <c r="S848" s="11" t="s">
        <v>45</v>
      </c>
      <c r="T848" s="11" t="s">
        <v>44</v>
      </c>
      <c r="U848" s="11" t="s">
        <v>44</v>
      </c>
      <c r="W848" s="11" t="s">
        <v>46</v>
      </c>
      <c r="X848" s="11" t="s">
        <v>47</v>
      </c>
      <c r="Y848" s="11" t="s">
        <v>58</v>
      </c>
      <c r="Z848" s="11">
        <v>81988572654</v>
      </c>
      <c r="AA848" s="11" t="s">
        <v>113</v>
      </c>
      <c r="AB848" s="11"/>
      <c r="AC848" s="11"/>
      <c r="AD848" s="11" t="b">
        <v>0</v>
      </c>
      <c r="AF848" s="11"/>
      <c r="AG848" s="11"/>
      <c r="AH848" s="11"/>
      <c r="AI848" s="11"/>
    </row>
    <row r="849" ht="12.5" spans="1:35">
      <c r="A849" s="177">
        <v>45271.6321662847</v>
      </c>
      <c r="B849" s="11" t="s">
        <v>2919</v>
      </c>
      <c r="C849" s="19">
        <v>6462481463</v>
      </c>
      <c r="D849" s="19">
        <v>709200207002734</v>
      </c>
      <c r="E849" s="18" t="s">
        <v>2920</v>
      </c>
      <c r="F849" s="136" t="s">
        <v>40</v>
      </c>
      <c r="G849" s="11" t="s">
        <v>54</v>
      </c>
      <c r="H849" s="24">
        <v>31833</v>
      </c>
      <c r="I849" s="19" t="s">
        <v>448</v>
      </c>
      <c r="J849" s="11" t="s">
        <v>42</v>
      </c>
      <c r="K849" s="108" t="s">
        <v>2921</v>
      </c>
      <c r="N849" s="11" t="s">
        <v>43</v>
      </c>
      <c r="O849" s="11" t="s">
        <v>44</v>
      </c>
      <c r="P849" s="11" t="s">
        <v>44</v>
      </c>
      <c r="Q849" s="11" t="s">
        <v>44</v>
      </c>
      <c r="R849" s="11" t="s">
        <v>44</v>
      </c>
      <c r="S849" s="11" t="s">
        <v>44</v>
      </c>
      <c r="T849" s="11" t="s">
        <v>44</v>
      </c>
      <c r="U849" s="11" t="s">
        <v>44</v>
      </c>
      <c r="W849" s="11" t="s">
        <v>46</v>
      </c>
      <c r="X849" s="11" t="s">
        <v>47</v>
      </c>
      <c r="Y849" s="11" t="s">
        <v>58</v>
      </c>
      <c r="Z849" s="11">
        <v>81995215397</v>
      </c>
      <c r="AA849" s="11" t="s">
        <v>2835</v>
      </c>
      <c r="AB849" s="11"/>
      <c r="AC849" s="11"/>
      <c r="AD849" s="11" t="b">
        <v>0</v>
      </c>
      <c r="AF849" s="11"/>
      <c r="AG849" s="11"/>
      <c r="AH849" s="11"/>
      <c r="AI849" s="11"/>
    </row>
    <row r="850" ht="12.5" spans="1:35">
      <c r="A850" s="177">
        <v>45271.6548482523</v>
      </c>
      <c r="B850" s="11" t="s">
        <v>2910</v>
      </c>
      <c r="C850" s="277" t="s">
        <v>2911</v>
      </c>
      <c r="D850" s="205">
        <v>700003623132602</v>
      </c>
      <c r="E850" s="18" t="s">
        <v>2922</v>
      </c>
      <c r="F850" s="136" t="s">
        <v>225</v>
      </c>
      <c r="G850" s="11" t="s">
        <v>54</v>
      </c>
      <c r="H850" s="24">
        <v>35156</v>
      </c>
      <c r="I850" s="277" t="s">
        <v>2913</v>
      </c>
      <c r="J850" s="11" t="s">
        <v>42</v>
      </c>
      <c r="K850" s="108" t="s">
        <v>202</v>
      </c>
      <c r="N850" s="11" t="s">
        <v>95</v>
      </c>
      <c r="O850" s="11" t="s">
        <v>44</v>
      </c>
      <c r="P850" s="11" t="s">
        <v>44</v>
      </c>
      <c r="Q850" s="11" t="s">
        <v>45</v>
      </c>
      <c r="R850" s="11" t="s">
        <v>44</v>
      </c>
      <c r="S850" s="11" t="s">
        <v>45</v>
      </c>
      <c r="T850" s="11" t="s">
        <v>44</v>
      </c>
      <c r="U850" s="11" t="s">
        <v>44</v>
      </c>
      <c r="W850" s="11" t="s">
        <v>46</v>
      </c>
      <c r="X850" s="11" t="s">
        <v>97</v>
      </c>
      <c r="Y850" s="11" t="s">
        <v>97</v>
      </c>
      <c r="Z850" s="11">
        <v>81999132949</v>
      </c>
      <c r="AA850" s="11" t="s">
        <v>105</v>
      </c>
      <c r="AB850" s="11"/>
      <c r="AC850" s="11"/>
      <c r="AD850" s="11" t="b">
        <v>0</v>
      </c>
      <c r="AF850" s="11"/>
      <c r="AG850" s="11"/>
      <c r="AH850" s="11"/>
      <c r="AI850" s="11"/>
    </row>
    <row r="851" ht="12.5" spans="1:35">
      <c r="A851" s="177">
        <v>45271.6556865509</v>
      </c>
      <c r="B851" s="11" t="s">
        <v>2923</v>
      </c>
      <c r="C851" s="19">
        <v>10219392420</v>
      </c>
      <c r="D851" s="19">
        <v>702608252042142</v>
      </c>
      <c r="E851" s="18" t="s">
        <v>2924</v>
      </c>
      <c r="F851" s="11" t="s">
        <v>40</v>
      </c>
      <c r="G851" s="11" t="s">
        <v>54</v>
      </c>
      <c r="H851" s="24">
        <v>33541</v>
      </c>
      <c r="I851" s="277" t="s">
        <v>2925</v>
      </c>
      <c r="J851" s="11" t="s">
        <v>42</v>
      </c>
      <c r="K851" s="108" t="s">
        <v>399</v>
      </c>
      <c r="N851" s="11" t="s">
        <v>43</v>
      </c>
      <c r="O851" s="11" t="s">
        <v>44</v>
      </c>
      <c r="P851" s="11" t="s">
        <v>44</v>
      </c>
      <c r="Q851" s="11" t="s">
        <v>44</v>
      </c>
      <c r="R851" s="11" t="s">
        <v>44</v>
      </c>
      <c r="S851" s="11" t="s">
        <v>45</v>
      </c>
      <c r="T851" s="11" t="s">
        <v>44</v>
      </c>
      <c r="U851" s="11" t="s">
        <v>44</v>
      </c>
      <c r="W851" s="11" t="s">
        <v>46</v>
      </c>
      <c r="X851" s="11" t="s">
        <v>47</v>
      </c>
      <c r="Y851" s="11" t="s">
        <v>58</v>
      </c>
      <c r="Z851" s="11">
        <v>81995576564</v>
      </c>
      <c r="AA851" s="11" t="s">
        <v>1360</v>
      </c>
      <c r="AB851" s="11"/>
      <c r="AC851" s="11"/>
      <c r="AD851" s="11" t="b">
        <v>0</v>
      </c>
      <c r="AF851" s="11"/>
      <c r="AG851" s="11"/>
      <c r="AH851" s="11"/>
      <c r="AI851" s="11"/>
    </row>
    <row r="852" ht="12.5" spans="1:35">
      <c r="A852" s="177">
        <v>45271.904585463</v>
      </c>
      <c r="B852" s="11" t="s">
        <v>844</v>
      </c>
      <c r="C852" s="19">
        <v>70806053429</v>
      </c>
      <c r="D852" s="19">
        <v>206053458500008</v>
      </c>
      <c r="E852" s="18" t="s">
        <v>2926</v>
      </c>
      <c r="F852" s="136" t="s">
        <v>225</v>
      </c>
      <c r="G852" s="11" t="s">
        <v>54</v>
      </c>
      <c r="H852" s="24">
        <v>34559</v>
      </c>
      <c r="I852" s="277" t="s">
        <v>846</v>
      </c>
      <c r="J852" s="11" t="s">
        <v>42</v>
      </c>
      <c r="K852" s="108" t="s">
        <v>90</v>
      </c>
      <c r="N852" s="11" t="s">
        <v>43</v>
      </c>
      <c r="O852" s="11" t="s">
        <v>44</v>
      </c>
      <c r="P852" s="11" t="s">
        <v>44</v>
      </c>
      <c r="Q852" s="11" t="s">
        <v>44</v>
      </c>
      <c r="R852" s="11" t="s">
        <v>45</v>
      </c>
      <c r="S852" s="11" t="s">
        <v>45</v>
      </c>
      <c r="T852" s="11" t="s">
        <v>44</v>
      </c>
      <c r="U852" s="11" t="s">
        <v>44</v>
      </c>
      <c r="W852" s="11" t="s">
        <v>57</v>
      </c>
      <c r="X852" s="11" t="s">
        <v>203</v>
      </c>
      <c r="Y852" s="11" t="s">
        <v>58</v>
      </c>
      <c r="Z852" s="11">
        <v>81988435598</v>
      </c>
      <c r="AA852" s="11" t="s">
        <v>1360</v>
      </c>
      <c r="AB852" s="11"/>
      <c r="AC852" s="11"/>
      <c r="AD852" s="11" t="b">
        <v>0</v>
      </c>
      <c r="AF852" s="11"/>
      <c r="AG852" s="11"/>
      <c r="AH852" s="11"/>
      <c r="AI852" s="11"/>
    </row>
    <row r="853" ht="12.5" spans="1:35">
      <c r="A853" s="177">
        <v>45272.5258621991</v>
      </c>
      <c r="B853" s="11" t="s">
        <v>2927</v>
      </c>
      <c r="C853" s="19">
        <v>70561899460</v>
      </c>
      <c r="D853" s="19">
        <v>702309116567518</v>
      </c>
      <c r="E853" s="18" t="s">
        <v>2928</v>
      </c>
      <c r="F853" s="11" t="s">
        <v>225</v>
      </c>
      <c r="G853" s="11" t="s">
        <v>54</v>
      </c>
      <c r="H853" s="24">
        <v>35283</v>
      </c>
      <c r="I853" s="277" t="s">
        <v>2837</v>
      </c>
      <c r="J853" s="11" t="s">
        <v>42</v>
      </c>
      <c r="K853" s="108" t="s">
        <v>282</v>
      </c>
      <c r="N853" s="11" t="s">
        <v>43</v>
      </c>
      <c r="O853" s="11" t="s">
        <v>44</v>
      </c>
      <c r="P853" s="11" t="s">
        <v>56</v>
      </c>
      <c r="Q853" s="11" t="s">
        <v>44</v>
      </c>
      <c r="R853" s="11" t="s">
        <v>44</v>
      </c>
      <c r="S853" s="11" t="s">
        <v>45</v>
      </c>
      <c r="T853" s="11" t="s">
        <v>44</v>
      </c>
      <c r="U853" s="11" t="s">
        <v>45</v>
      </c>
      <c r="V853" s="24">
        <v>45275</v>
      </c>
      <c r="W853" s="11" t="s">
        <v>46</v>
      </c>
      <c r="X853" s="11" t="s">
        <v>47</v>
      </c>
      <c r="Y853" s="11" t="s">
        <v>58</v>
      </c>
      <c r="Z853" s="11">
        <v>81985294355</v>
      </c>
      <c r="AA853" s="11" t="s">
        <v>105</v>
      </c>
      <c r="AB853" s="11" t="s">
        <v>49</v>
      </c>
      <c r="AC853" s="11" t="s">
        <v>106</v>
      </c>
      <c r="AD853" s="11" t="b">
        <v>1</v>
      </c>
      <c r="AE853" s="11" t="s">
        <v>137</v>
      </c>
      <c r="AF853" s="11" t="s">
        <v>2929</v>
      </c>
      <c r="AG853" s="11"/>
      <c r="AH853" s="11"/>
      <c r="AI853" s="11"/>
    </row>
    <row r="854" ht="12.5" spans="1:35">
      <c r="A854" s="177">
        <v>45272.5720466667</v>
      </c>
      <c r="B854" s="11" t="s">
        <v>2930</v>
      </c>
      <c r="C854" s="277" t="s">
        <v>2931</v>
      </c>
      <c r="D854" s="19">
        <v>700605925532170</v>
      </c>
      <c r="E854" s="18" t="s">
        <v>2932</v>
      </c>
      <c r="F854" s="11" t="s">
        <v>40</v>
      </c>
      <c r="G854" s="11" t="s">
        <v>54</v>
      </c>
      <c r="H854" s="24">
        <v>33468</v>
      </c>
      <c r="I854" s="277" t="s">
        <v>2933</v>
      </c>
      <c r="J854" s="11" t="s">
        <v>42</v>
      </c>
      <c r="K854" s="108" t="s">
        <v>155</v>
      </c>
      <c r="N854" s="11" t="s">
        <v>43</v>
      </c>
      <c r="O854" s="11" t="s">
        <v>44</v>
      </c>
      <c r="P854" s="11" t="s">
        <v>44</v>
      </c>
      <c r="Q854" s="11" t="s">
        <v>44</v>
      </c>
      <c r="R854" s="11" t="s">
        <v>45</v>
      </c>
      <c r="S854" s="11" t="s">
        <v>45</v>
      </c>
      <c r="T854" s="11" t="s">
        <v>44</v>
      </c>
      <c r="U854" s="11" t="s">
        <v>44</v>
      </c>
      <c r="W854" s="11" t="s">
        <v>46</v>
      </c>
      <c r="X854" s="11" t="s">
        <v>47</v>
      </c>
      <c r="Y854" s="11" t="s">
        <v>58</v>
      </c>
      <c r="Z854" s="11">
        <v>81988204940</v>
      </c>
      <c r="AA854" s="11" t="s">
        <v>115</v>
      </c>
      <c r="AB854" s="11"/>
      <c r="AC854" s="11"/>
      <c r="AD854" s="11" t="b">
        <v>0</v>
      </c>
      <c r="AF854" s="11"/>
      <c r="AG854" s="11"/>
      <c r="AH854" s="11"/>
      <c r="AI854" s="11"/>
    </row>
    <row r="855" ht="12.5" spans="1:35">
      <c r="A855" s="177">
        <v>45272.7474030556</v>
      </c>
      <c r="B855" s="11" t="s">
        <v>2704</v>
      </c>
      <c r="C855" s="19">
        <v>70946113408</v>
      </c>
      <c r="D855" s="19">
        <v>700707925864875</v>
      </c>
      <c r="F855" s="11" t="s">
        <v>40</v>
      </c>
      <c r="G855" s="11" t="s">
        <v>54</v>
      </c>
      <c r="H855" s="24">
        <v>37282</v>
      </c>
      <c r="I855" s="277" t="s">
        <v>2904</v>
      </c>
      <c r="J855" s="11" t="s">
        <v>42</v>
      </c>
      <c r="K855" s="108" t="s">
        <v>74</v>
      </c>
      <c r="N855" s="11" t="s">
        <v>95</v>
      </c>
      <c r="O855" s="11" t="s">
        <v>44</v>
      </c>
      <c r="P855" s="11" t="s">
        <v>44</v>
      </c>
      <c r="Q855" s="11" t="s">
        <v>44</v>
      </c>
      <c r="R855" s="11" t="s">
        <v>45</v>
      </c>
      <c r="S855" s="11" t="s">
        <v>44</v>
      </c>
      <c r="T855" s="11" t="s">
        <v>44</v>
      </c>
      <c r="U855" s="11" t="s">
        <v>44</v>
      </c>
      <c r="W855" s="11" t="s">
        <v>57</v>
      </c>
      <c r="X855" s="11" t="s">
        <v>97</v>
      </c>
      <c r="Y855" s="11" t="s">
        <v>97</v>
      </c>
      <c r="Z855" s="11">
        <v>81973256369</v>
      </c>
      <c r="AA855" s="11" t="s">
        <v>105</v>
      </c>
      <c r="AB855" s="11"/>
      <c r="AC855" s="11"/>
      <c r="AD855" s="11" t="b">
        <v>0</v>
      </c>
      <c r="AF855" s="11"/>
      <c r="AG855" s="11"/>
      <c r="AH855" s="11"/>
      <c r="AI855" s="11"/>
    </row>
    <row r="856" ht="12.5" spans="1:35">
      <c r="A856" s="177">
        <v>45273.3637350231</v>
      </c>
      <c r="B856" s="11" t="s">
        <v>2934</v>
      </c>
      <c r="C856" s="277" t="s">
        <v>2935</v>
      </c>
      <c r="D856" s="19">
        <v>705603432558317</v>
      </c>
      <c r="E856" s="18" t="s">
        <v>2936</v>
      </c>
      <c r="F856" s="11" t="s">
        <v>40</v>
      </c>
      <c r="G856" s="11" t="s">
        <v>88</v>
      </c>
      <c r="H856" s="24">
        <v>32781</v>
      </c>
      <c r="I856" s="277" t="s">
        <v>261</v>
      </c>
      <c r="J856" s="11" t="s">
        <v>81</v>
      </c>
      <c r="K856" s="108"/>
      <c r="L856" s="11" t="s">
        <v>109</v>
      </c>
      <c r="N856" s="11" t="s">
        <v>43</v>
      </c>
      <c r="O856" s="11" t="s">
        <v>96</v>
      </c>
      <c r="P856" s="11" t="s">
        <v>56</v>
      </c>
      <c r="Q856" s="11" t="s">
        <v>44</v>
      </c>
      <c r="R856" s="11" t="s">
        <v>45</v>
      </c>
      <c r="S856" s="11" t="s">
        <v>45</v>
      </c>
      <c r="T856" s="11" t="s">
        <v>44</v>
      </c>
      <c r="U856" s="11" t="s">
        <v>45</v>
      </c>
      <c r="V856" s="24">
        <v>45273</v>
      </c>
      <c r="W856" s="11" t="s">
        <v>46</v>
      </c>
      <c r="X856" s="11" t="s">
        <v>47</v>
      </c>
      <c r="Y856" s="11" t="s">
        <v>58</v>
      </c>
      <c r="Z856" s="11">
        <v>81984981525</v>
      </c>
      <c r="AA856" s="11" t="s">
        <v>115</v>
      </c>
      <c r="AB856" s="11" t="s">
        <v>49</v>
      </c>
      <c r="AC856" s="11" t="s">
        <v>50</v>
      </c>
      <c r="AD856" s="11" t="b">
        <v>0</v>
      </c>
      <c r="AF856" s="11" t="s">
        <v>2937</v>
      </c>
      <c r="AG856" s="11"/>
      <c r="AH856" s="75">
        <v>-999273159</v>
      </c>
      <c r="AI856" s="11"/>
    </row>
    <row r="857" ht="12.5" spans="1:35">
      <c r="A857" s="177">
        <v>45273.4357633912</v>
      </c>
      <c r="B857" s="11" t="s">
        <v>2938</v>
      </c>
      <c r="C857" s="19">
        <v>70611531488</v>
      </c>
      <c r="D857" s="19">
        <v>706300725356872</v>
      </c>
      <c r="E857" s="18" t="s">
        <v>2939</v>
      </c>
      <c r="F857" s="11" t="s">
        <v>40</v>
      </c>
      <c r="G857" s="11" t="s">
        <v>54</v>
      </c>
      <c r="H857" s="24">
        <v>35398</v>
      </c>
      <c r="I857" s="277" t="s">
        <v>2940</v>
      </c>
      <c r="J857" s="11" t="s">
        <v>81</v>
      </c>
      <c r="K857" s="108"/>
      <c r="L857" s="11" t="s">
        <v>525</v>
      </c>
      <c r="N857" s="11" t="s">
        <v>43</v>
      </c>
      <c r="O857" s="11" t="s">
        <v>96</v>
      </c>
      <c r="P857" s="11" t="s">
        <v>56</v>
      </c>
      <c r="Q857" s="11" t="s">
        <v>44</v>
      </c>
      <c r="R857" s="11" t="s">
        <v>45</v>
      </c>
      <c r="S857" s="11" t="s">
        <v>45</v>
      </c>
      <c r="T857" s="11" t="s">
        <v>44</v>
      </c>
      <c r="U857" s="11" t="s">
        <v>45</v>
      </c>
      <c r="V857" s="24">
        <v>45274</v>
      </c>
      <c r="W857" s="11" t="s">
        <v>57</v>
      </c>
      <c r="X857" s="11" t="s">
        <v>47</v>
      </c>
      <c r="Y857" s="11" t="s">
        <v>58</v>
      </c>
      <c r="Z857" s="11">
        <v>81996807173</v>
      </c>
      <c r="AA857" s="11" t="s">
        <v>103</v>
      </c>
      <c r="AB857" s="11" t="s">
        <v>49</v>
      </c>
      <c r="AC857" s="11" t="s">
        <v>1319</v>
      </c>
      <c r="AD857" s="11" t="b">
        <v>0</v>
      </c>
      <c r="AF857" s="11" t="s">
        <v>2941</v>
      </c>
      <c r="AG857" s="11"/>
      <c r="AH857" s="11"/>
      <c r="AI857" s="11"/>
    </row>
    <row r="858" ht="12.5" spans="1:35">
      <c r="A858" s="177">
        <v>45273.4725189468</v>
      </c>
      <c r="B858" s="11" t="s">
        <v>2942</v>
      </c>
      <c r="C858" s="19">
        <v>13497029432</v>
      </c>
      <c r="D858" s="19">
        <v>707803652437114</v>
      </c>
      <c r="E858" s="18" t="s">
        <v>2943</v>
      </c>
      <c r="F858" s="11" t="s">
        <v>40</v>
      </c>
      <c r="G858" s="11" t="s">
        <v>41</v>
      </c>
      <c r="H858" s="24">
        <v>37830</v>
      </c>
      <c r="I858" s="19" t="s">
        <v>865</v>
      </c>
      <c r="J858" s="11" t="s">
        <v>42</v>
      </c>
      <c r="K858" s="108" t="s">
        <v>2394</v>
      </c>
      <c r="N858" s="11" t="s">
        <v>43</v>
      </c>
      <c r="O858" s="11" t="s">
        <v>96</v>
      </c>
      <c r="P858" s="11" t="s">
        <v>56</v>
      </c>
      <c r="Q858" s="11" t="s">
        <v>45</v>
      </c>
      <c r="R858" s="11" t="s">
        <v>45</v>
      </c>
      <c r="S858" s="11" t="s">
        <v>83</v>
      </c>
      <c r="T858" s="11" t="s">
        <v>44</v>
      </c>
      <c r="U858" s="11" t="s">
        <v>45</v>
      </c>
      <c r="V858" s="24">
        <v>45273</v>
      </c>
      <c r="W858" s="11" t="s">
        <v>46</v>
      </c>
      <c r="X858" s="11" t="s">
        <v>47</v>
      </c>
      <c r="Y858" s="11" t="s">
        <v>58</v>
      </c>
      <c r="Z858" s="11">
        <v>81999054479</v>
      </c>
      <c r="AA858" s="11" t="s">
        <v>103</v>
      </c>
      <c r="AB858" s="11" t="s">
        <v>49</v>
      </c>
      <c r="AC858" s="11" t="s">
        <v>75</v>
      </c>
      <c r="AD858" s="11" t="b">
        <v>0</v>
      </c>
      <c r="AF858" s="11" t="s">
        <v>2944</v>
      </c>
      <c r="AG858" s="11" t="s">
        <v>2945</v>
      </c>
      <c r="AH858" s="11"/>
      <c r="AI858" s="11"/>
    </row>
    <row r="859" ht="12.5" spans="1:35">
      <c r="A859" s="216">
        <v>45273.4792549769</v>
      </c>
      <c r="B859" s="11" t="s">
        <v>2946</v>
      </c>
      <c r="C859" s="19">
        <v>9099317476</v>
      </c>
      <c r="D859" s="19">
        <v>702603216645547</v>
      </c>
      <c r="E859" s="218" t="s">
        <v>2947</v>
      </c>
      <c r="F859" s="136" t="s">
        <v>40</v>
      </c>
      <c r="G859" s="136" t="s">
        <v>54</v>
      </c>
      <c r="H859" s="219">
        <v>33487</v>
      </c>
      <c r="I859" s="217" t="s">
        <v>865</v>
      </c>
      <c r="J859" s="136" t="s">
        <v>42</v>
      </c>
      <c r="K859" s="220" t="s">
        <v>2948</v>
      </c>
      <c r="L859" s="136"/>
      <c r="M859" s="136"/>
      <c r="N859" s="136" t="s">
        <v>43</v>
      </c>
      <c r="O859" s="136" t="s">
        <v>658</v>
      </c>
      <c r="P859" s="136" t="s">
        <v>44</v>
      </c>
      <c r="Q859" s="136" t="s">
        <v>44</v>
      </c>
      <c r="R859" s="136" t="s">
        <v>45</v>
      </c>
      <c r="S859" s="136" t="s">
        <v>83</v>
      </c>
      <c r="T859" s="136" t="s">
        <v>44</v>
      </c>
      <c r="U859" s="136" t="s">
        <v>45</v>
      </c>
      <c r="V859" s="219">
        <v>45275</v>
      </c>
      <c r="W859" s="136" t="s">
        <v>46</v>
      </c>
      <c r="X859" s="136" t="s">
        <v>47</v>
      </c>
      <c r="Y859" s="136" t="s">
        <v>1169</v>
      </c>
      <c r="Z859" s="136">
        <v>81985881505</v>
      </c>
      <c r="AA859" s="136" t="s">
        <v>115</v>
      </c>
      <c r="AB859" s="63" t="s">
        <v>49</v>
      </c>
      <c r="AC859" s="63" t="s">
        <v>50</v>
      </c>
      <c r="AD859" s="63" t="b">
        <v>0</v>
      </c>
      <c r="AE859" s="63"/>
      <c r="AF859" s="63" t="s">
        <v>2949</v>
      </c>
      <c r="AG859" s="63" t="s">
        <v>2950</v>
      </c>
      <c r="AH859" s="63"/>
      <c r="AI859" s="11"/>
    </row>
    <row r="860" ht="12.5" spans="1:35">
      <c r="A860" s="177">
        <v>45273.6317984606</v>
      </c>
      <c r="B860" s="11" t="s">
        <v>2934</v>
      </c>
      <c r="C860" s="277" t="s">
        <v>2935</v>
      </c>
      <c r="D860" s="19">
        <v>705603432558317</v>
      </c>
      <c r="F860" s="11" t="s">
        <v>40</v>
      </c>
      <c r="G860" s="11" t="s">
        <v>88</v>
      </c>
      <c r="H860" s="24">
        <v>32781</v>
      </c>
      <c r="I860" s="277" t="s">
        <v>261</v>
      </c>
      <c r="J860" s="11" t="s">
        <v>81</v>
      </c>
      <c r="K860" s="108"/>
      <c r="L860" s="11" t="s">
        <v>109</v>
      </c>
      <c r="N860" s="11" t="s">
        <v>95</v>
      </c>
      <c r="O860" s="11" t="s">
        <v>44</v>
      </c>
      <c r="P860" s="11" t="s">
        <v>44</v>
      </c>
      <c r="Q860" s="11" t="s">
        <v>44</v>
      </c>
      <c r="R860" s="11" t="s">
        <v>45</v>
      </c>
      <c r="S860" s="11" t="s">
        <v>45</v>
      </c>
      <c r="T860" s="11" t="s">
        <v>44</v>
      </c>
      <c r="U860" s="11" t="s">
        <v>44</v>
      </c>
      <c r="W860" s="11" t="s">
        <v>57</v>
      </c>
      <c r="X860" s="11" t="s">
        <v>97</v>
      </c>
      <c r="Y860" s="11" t="s">
        <v>97</v>
      </c>
      <c r="Z860" s="11">
        <v>81984981525</v>
      </c>
      <c r="AA860" s="11" t="s">
        <v>115</v>
      </c>
      <c r="AB860" s="11"/>
      <c r="AC860" s="11"/>
      <c r="AD860" s="11" t="b">
        <v>0</v>
      </c>
      <c r="AF860" s="11"/>
      <c r="AG860" s="11"/>
      <c r="AH860" s="11"/>
      <c r="AI860" s="11"/>
    </row>
    <row r="861" ht="12.5" spans="1:35">
      <c r="A861" s="177">
        <v>45273.6463868518</v>
      </c>
      <c r="B861" s="11" t="s">
        <v>2942</v>
      </c>
      <c r="C861" s="19">
        <v>13497029432</v>
      </c>
      <c r="D861" s="19">
        <v>707803652437114</v>
      </c>
      <c r="F861" s="136" t="s">
        <v>40</v>
      </c>
      <c r="G861" s="11" t="s">
        <v>41</v>
      </c>
      <c r="H861" s="24">
        <v>37830</v>
      </c>
      <c r="I861" s="19" t="s">
        <v>136</v>
      </c>
      <c r="J861" s="11" t="s">
        <v>42</v>
      </c>
      <c r="K861" s="108" t="s">
        <v>2394</v>
      </c>
      <c r="N861" s="11" t="s">
        <v>95</v>
      </c>
      <c r="O861" s="11" t="s">
        <v>96</v>
      </c>
      <c r="P861" s="11" t="s">
        <v>56</v>
      </c>
      <c r="Q861" s="11" t="s">
        <v>44</v>
      </c>
      <c r="R861" s="11" t="s">
        <v>45</v>
      </c>
      <c r="S861" s="11" t="s">
        <v>83</v>
      </c>
      <c r="T861" s="11" t="s">
        <v>44</v>
      </c>
      <c r="U861" s="11" t="s">
        <v>45</v>
      </c>
      <c r="V861" s="24">
        <v>45274</v>
      </c>
      <c r="W861" s="11" t="s">
        <v>57</v>
      </c>
      <c r="X861" s="11" t="s">
        <v>97</v>
      </c>
      <c r="Y861" s="11" t="s">
        <v>97</v>
      </c>
      <c r="Z861" s="11">
        <v>81999054479</v>
      </c>
      <c r="AA861" s="11" t="s">
        <v>113</v>
      </c>
      <c r="AB861" s="11" t="s">
        <v>49</v>
      </c>
      <c r="AC861" s="11" t="s">
        <v>50</v>
      </c>
      <c r="AD861" s="11" t="b">
        <v>0</v>
      </c>
      <c r="AF861" s="11" t="s">
        <v>2951</v>
      </c>
      <c r="AG861" s="214" t="s">
        <v>2952</v>
      </c>
      <c r="AH861" s="11" t="s">
        <v>2953</v>
      </c>
      <c r="AI861" s="11"/>
    </row>
    <row r="862" ht="12.5" spans="1:35">
      <c r="A862" s="177">
        <v>45274.3872449653</v>
      </c>
      <c r="B862" s="11" t="s">
        <v>2938</v>
      </c>
      <c r="C862" s="19">
        <v>70611531488</v>
      </c>
      <c r="D862" s="19">
        <v>706300725356872</v>
      </c>
      <c r="F862" s="11" t="s">
        <v>40</v>
      </c>
      <c r="G862" s="11" t="s">
        <v>54</v>
      </c>
      <c r="H862" s="24">
        <v>35398</v>
      </c>
      <c r="I862" s="277" t="s">
        <v>2706</v>
      </c>
      <c r="J862" s="11" t="s">
        <v>81</v>
      </c>
      <c r="K862" s="108"/>
      <c r="L862" s="11" t="s">
        <v>525</v>
      </c>
      <c r="N862" s="11" t="s">
        <v>95</v>
      </c>
      <c r="O862" s="11" t="s">
        <v>44</v>
      </c>
      <c r="P862" s="11" t="s">
        <v>44</v>
      </c>
      <c r="Q862" s="11" t="s">
        <v>44</v>
      </c>
      <c r="R862" s="11" t="s">
        <v>45</v>
      </c>
      <c r="S862" s="11" t="s">
        <v>45</v>
      </c>
      <c r="T862" s="11" t="s">
        <v>44</v>
      </c>
      <c r="U862" s="11" t="s">
        <v>44</v>
      </c>
      <c r="W862" s="11" t="s">
        <v>57</v>
      </c>
      <c r="X862" s="11" t="s">
        <v>97</v>
      </c>
      <c r="Y862" s="11" t="s">
        <v>97</v>
      </c>
      <c r="Z862" s="11">
        <v>81996807173</v>
      </c>
      <c r="AA862" s="11" t="s">
        <v>2835</v>
      </c>
      <c r="AB862" s="11"/>
      <c r="AC862" s="11"/>
      <c r="AD862" s="11" t="b">
        <v>0</v>
      </c>
      <c r="AF862" s="11"/>
      <c r="AG862" s="11"/>
      <c r="AH862" s="11"/>
      <c r="AI862" s="11"/>
    </row>
    <row r="863" ht="12.5" spans="1:35">
      <c r="A863" s="177">
        <v>45274.4864122801</v>
      </c>
      <c r="B863" s="252" t="s">
        <v>2954</v>
      </c>
      <c r="C863" s="19">
        <v>70237674440</v>
      </c>
      <c r="D863" s="19">
        <v>708405226095569</v>
      </c>
      <c r="E863" s="18" t="s">
        <v>2955</v>
      </c>
      <c r="F863" s="11" t="s">
        <v>40</v>
      </c>
      <c r="G863" s="11" t="s">
        <v>54</v>
      </c>
      <c r="H863" s="24">
        <v>33949</v>
      </c>
      <c r="I863" s="277" t="s">
        <v>967</v>
      </c>
      <c r="J863" s="11" t="s">
        <v>42</v>
      </c>
      <c r="K863" s="108" t="s">
        <v>55</v>
      </c>
      <c r="N863" s="11" t="s">
        <v>43</v>
      </c>
      <c r="O863" s="11" t="s">
        <v>65</v>
      </c>
      <c r="P863" s="11" t="s">
        <v>2687</v>
      </c>
      <c r="Q863" s="11" t="s">
        <v>44</v>
      </c>
      <c r="R863" s="11" t="s">
        <v>45</v>
      </c>
      <c r="S863" s="11" t="s">
        <v>45</v>
      </c>
      <c r="T863" s="11" t="s">
        <v>44</v>
      </c>
      <c r="U863" s="11" t="s">
        <v>45</v>
      </c>
      <c r="V863" s="24">
        <v>45274</v>
      </c>
      <c r="W863" s="11" t="s">
        <v>46</v>
      </c>
      <c r="X863" s="11" t="s">
        <v>47</v>
      </c>
      <c r="Y863" s="11" t="s">
        <v>1169</v>
      </c>
      <c r="Z863" s="163">
        <v>81994002361</v>
      </c>
      <c r="AA863" s="11" t="s">
        <v>113</v>
      </c>
      <c r="AB863" s="11" t="s">
        <v>49</v>
      </c>
      <c r="AC863" s="11" t="s">
        <v>50</v>
      </c>
      <c r="AD863" s="11" t="b">
        <v>0</v>
      </c>
      <c r="AF863" s="11" t="s">
        <v>2956</v>
      </c>
      <c r="AG863" s="214" t="s">
        <v>2957</v>
      </c>
      <c r="AH863" s="11"/>
      <c r="AI863" s="11"/>
    </row>
    <row r="864" ht="12.5" spans="1:35">
      <c r="A864" s="216">
        <v>45274.5570472106</v>
      </c>
      <c r="B864" s="136" t="s">
        <v>2958</v>
      </c>
      <c r="C864" s="217">
        <v>71369959494</v>
      </c>
      <c r="D864" s="19">
        <v>702600251436948</v>
      </c>
      <c r="E864" s="218" t="s">
        <v>2959</v>
      </c>
      <c r="F864" s="136" t="s">
        <v>40</v>
      </c>
      <c r="G864" s="136" t="s">
        <v>54</v>
      </c>
      <c r="H864" s="219">
        <v>36867</v>
      </c>
      <c r="I864" s="281" t="s">
        <v>2960</v>
      </c>
      <c r="J864" s="136" t="s">
        <v>42</v>
      </c>
      <c r="K864" s="220" t="s">
        <v>63</v>
      </c>
      <c r="L864" s="136"/>
      <c r="M864" s="136"/>
      <c r="N864" s="136" t="s">
        <v>43</v>
      </c>
      <c r="O864" s="136" t="s">
        <v>96</v>
      </c>
      <c r="P864" s="136" t="s">
        <v>56</v>
      </c>
      <c r="Q864" s="136" t="s">
        <v>45</v>
      </c>
      <c r="R864" s="136" t="s">
        <v>45</v>
      </c>
      <c r="S864" s="136" t="s">
        <v>45</v>
      </c>
      <c r="T864" s="136" t="s">
        <v>44</v>
      </c>
      <c r="U864" s="136" t="s">
        <v>45</v>
      </c>
      <c r="V864" s="219">
        <v>45275</v>
      </c>
      <c r="W864" s="136" t="s">
        <v>46</v>
      </c>
      <c r="X864" s="136" t="s">
        <v>47</v>
      </c>
      <c r="Y864" s="136" t="s">
        <v>58</v>
      </c>
      <c r="Z864" s="136">
        <v>81999191169</v>
      </c>
      <c r="AA864" s="136" t="s">
        <v>115</v>
      </c>
      <c r="AB864" s="63" t="s">
        <v>49</v>
      </c>
      <c r="AC864" s="63" t="s">
        <v>50</v>
      </c>
      <c r="AD864" s="63" t="b">
        <v>0</v>
      </c>
      <c r="AE864" s="63"/>
      <c r="AF864" s="63" t="s">
        <v>2267</v>
      </c>
      <c r="AG864" s="225" t="s">
        <v>2961</v>
      </c>
      <c r="AH864" s="63"/>
      <c r="AI864" s="11"/>
    </row>
    <row r="865" ht="12.5" spans="1:35">
      <c r="A865" s="177">
        <v>45274.58793125</v>
      </c>
      <c r="B865" s="11" t="s">
        <v>2962</v>
      </c>
      <c r="C865" s="277" t="s">
        <v>2852</v>
      </c>
      <c r="D865" s="19">
        <v>701308698720730</v>
      </c>
      <c r="E865" s="18" t="s">
        <v>2963</v>
      </c>
      <c r="F865" s="11" t="s">
        <v>40</v>
      </c>
      <c r="G865" s="11" t="s">
        <v>135</v>
      </c>
      <c r="H865" s="24">
        <v>30683</v>
      </c>
      <c r="I865" s="277" t="s">
        <v>2854</v>
      </c>
      <c r="J865" s="11" t="s">
        <v>42</v>
      </c>
      <c r="K865" s="108" t="s">
        <v>2948</v>
      </c>
      <c r="N865" s="11" t="s">
        <v>43</v>
      </c>
      <c r="O865" s="11" t="s">
        <v>96</v>
      </c>
      <c r="P865" s="11" t="s">
        <v>56</v>
      </c>
      <c r="Q865" s="11" t="s">
        <v>44</v>
      </c>
      <c r="R865" s="11" t="s">
        <v>45</v>
      </c>
      <c r="S865" s="11" t="s">
        <v>45</v>
      </c>
      <c r="T865" s="11" t="s">
        <v>44</v>
      </c>
      <c r="U865" s="11" t="s">
        <v>45</v>
      </c>
      <c r="V865" s="24">
        <v>45275</v>
      </c>
      <c r="W865" s="11" t="s">
        <v>46</v>
      </c>
      <c r="X865" s="11" t="s">
        <v>47</v>
      </c>
      <c r="Y865" s="11" t="s">
        <v>58</v>
      </c>
      <c r="Z865" s="11">
        <v>81987132722</v>
      </c>
      <c r="AA865" s="11" t="s">
        <v>115</v>
      </c>
      <c r="AB865" s="11" t="s">
        <v>49</v>
      </c>
      <c r="AC865" s="11" t="s">
        <v>106</v>
      </c>
      <c r="AD865" s="11" t="b">
        <v>1</v>
      </c>
      <c r="AE865" s="11" t="s">
        <v>137</v>
      </c>
      <c r="AF865" s="11"/>
      <c r="AG865" s="11"/>
      <c r="AH865" s="11"/>
      <c r="AI865" s="11"/>
    </row>
    <row r="866" ht="12.5" spans="1:35">
      <c r="A866" s="177">
        <v>45274.6738770949</v>
      </c>
      <c r="B866" s="11" t="s">
        <v>2942</v>
      </c>
      <c r="C866" s="19">
        <v>13497029432</v>
      </c>
      <c r="D866" s="19">
        <v>707803652437114</v>
      </c>
      <c r="F866" s="11" t="s">
        <v>40</v>
      </c>
      <c r="G866" s="11" t="s">
        <v>41</v>
      </c>
      <c r="H866" s="24">
        <v>37830</v>
      </c>
      <c r="I866" s="19" t="s">
        <v>136</v>
      </c>
      <c r="J866" s="11" t="s">
        <v>42</v>
      </c>
      <c r="K866" s="108" t="s">
        <v>2394</v>
      </c>
      <c r="N866" s="11" t="s">
        <v>95</v>
      </c>
      <c r="O866" s="11" t="s">
        <v>44</v>
      </c>
      <c r="P866" s="11" t="s">
        <v>44</v>
      </c>
      <c r="Q866" s="11" t="s">
        <v>44</v>
      </c>
      <c r="R866" s="11" t="s">
        <v>45</v>
      </c>
      <c r="S866" s="11" t="s">
        <v>83</v>
      </c>
      <c r="T866" s="11" t="s">
        <v>44</v>
      </c>
      <c r="U866" s="11" t="s">
        <v>44</v>
      </c>
      <c r="W866" s="11" t="s">
        <v>57</v>
      </c>
      <c r="X866" s="11" t="s">
        <v>97</v>
      </c>
      <c r="Y866" s="11" t="s">
        <v>97</v>
      </c>
      <c r="Z866" s="11">
        <v>81999054479</v>
      </c>
      <c r="AA866" s="11" t="s">
        <v>115</v>
      </c>
      <c r="AB866" s="11"/>
      <c r="AC866" s="11"/>
      <c r="AD866" s="11" t="b">
        <v>0</v>
      </c>
      <c r="AF866" s="11"/>
      <c r="AG866" s="11"/>
      <c r="AH866" s="11"/>
      <c r="AI866" s="11"/>
    </row>
    <row r="867" ht="12.5" spans="1:35">
      <c r="A867" s="216">
        <v>45274.6799813194</v>
      </c>
      <c r="B867" s="136" t="s">
        <v>2964</v>
      </c>
      <c r="C867" s="281" t="s">
        <v>2965</v>
      </c>
      <c r="D867" s="19">
        <v>704704091932240</v>
      </c>
      <c r="E867" s="218" t="s">
        <v>2966</v>
      </c>
      <c r="F867" s="136" t="s">
        <v>40</v>
      </c>
      <c r="G867" s="136" t="s">
        <v>54</v>
      </c>
      <c r="H867" s="219">
        <v>33990</v>
      </c>
      <c r="I867" s="217" t="s">
        <v>448</v>
      </c>
      <c r="J867" s="136" t="s">
        <v>42</v>
      </c>
      <c r="K867" s="220" t="s">
        <v>202</v>
      </c>
      <c r="L867" s="136"/>
      <c r="M867" s="136"/>
      <c r="N867" s="136" t="s">
        <v>43</v>
      </c>
      <c r="O867" s="136" t="s">
        <v>96</v>
      </c>
      <c r="P867" s="136" t="s">
        <v>66</v>
      </c>
      <c r="Q867" s="136" t="s">
        <v>44</v>
      </c>
      <c r="R867" s="136" t="s">
        <v>45</v>
      </c>
      <c r="S867" s="136" t="s">
        <v>44</v>
      </c>
      <c r="T867" s="136" t="s">
        <v>44</v>
      </c>
      <c r="U867" s="136" t="s">
        <v>45</v>
      </c>
      <c r="V867" s="219">
        <v>45275</v>
      </c>
      <c r="W867" s="136" t="s">
        <v>46</v>
      </c>
      <c r="X867" s="136" t="s">
        <v>47</v>
      </c>
      <c r="Y867" s="136" t="s">
        <v>58</v>
      </c>
      <c r="Z867" s="136">
        <v>81987335359</v>
      </c>
      <c r="AA867" s="136" t="s">
        <v>2835</v>
      </c>
      <c r="AB867" s="63" t="s">
        <v>49</v>
      </c>
      <c r="AC867" s="63" t="s">
        <v>50</v>
      </c>
      <c r="AD867" s="63" t="b">
        <v>0</v>
      </c>
      <c r="AE867" s="63"/>
      <c r="AF867" s="63" t="s">
        <v>2967</v>
      </c>
      <c r="AG867" s="63" t="s">
        <v>2968</v>
      </c>
      <c r="AH867" s="63" t="s">
        <v>2969</v>
      </c>
      <c r="AI867" s="11"/>
    </row>
    <row r="868" ht="12.5" spans="1:35">
      <c r="A868" s="177">
        <v>45274.7417071181</v>
      </c>
      <c r="B868" s="11" t="s">
        <v>2954</v>
      </c>
      <c r="C868" s="19">
        <v>70237674440</v>
      </c>
      <c r="D868" s="19">
        <v>708405226095569</v>
      </c>
      <c r="F868" s="136" t="s">
        <v>40</v>
      </c>
      <c r="G868" s="11" t="s">
        <v>54</v>
      </c>
      <c r="H868" s="24">
        <v>33949</v>
      </c>
      <c r="I868" s="277" t="s">
        <v>967</v>
      </c>
      <c r="J868" s="11" t="s">
        <v>42</v>
      </c>
      <c r="K868" s="108" t="s">
        <v>55</v>
      </c>
      <c r="N868" s="11" t="s">
        <v>95</v>
      </c>
      <c r="O868" s="11" t="s">
        <v>127</v>
      </c>
      <c r="P868" s="11" t="s">
        <v>44</v>
      </c>
      <c r="Q868" s="11" t="s">
        <v>44</v>
      </c>
      <c r="R868" s="11" t="s">
        <v>45</v>
      </c>
      <c r="S868" s="11" t="s">
        <v>45</v>
      </c>
      <c r="T868" s="11" t="s">
        <v>44</v>
      </c>
      <c r="U868" s="11" t="s">
        <v>44</v>
      </c>
      <c r="W868" s="11" t="s">
        <v>57</v>
      </c>
      <c r="X868" s="11" t="s">
        <v>97</v>
      </c>
      <c r="Y868" s="11" t="s">
        <v>97</v>
      </c>
      <c r="Z868" s="11">
        <v>81994002361</v>
      </c>
      <c r="AA868" s="11" t="s">
        <v>115</v>
      </c>
      <c r="AB868" s="11"/>
      <c r="AC868" s="11"/>
      <c r="AD868" s="11" t="b">
        <v>0</v>
      </c>
      <c r="AF868" s="11"/>
      <c r="AG868" s="11"/>
      <c r="AH868" s="11"/>
      <c r="AI868" s="11"/>
    </row>
    <row r="869" ht="12.5" spans="1:35">
      <c r="A869" s="177">
        <v>45275.3913501505</v>
      </c>
      <c r="B869" s="11" t="s">
        <v>2927</v>
      </c>
      <c r="C869" s="19">
        <v>70561899460</v>
      </c>
      <c r="D869" s="19">
        <v>702309116567518</v>
      </c>
      <c r="E869" s="18" t="s">
        <v>2970</v>
      </c>
      <c r="F869" s="11" t="s">
        <v>225</v>
      </c>
      <c r="G869" s="11" t="s">
        <v>54</v>
      </c>
      <c r="H869" s="24">
        <v>35283</v>
      </c>
      <c r="I869" s="277" t="s">
        <v>2837</v>
      </c>
      <c r="J869" s="11" t="s">
        <v>42</v>
      </c>
      <c r="K869" s="108" t="s">
        <v>282</v>
      </c>
      <c r="N869" s="11" t="s">
        <v>95</v>
      </c>
      <c r="O869" s="11" t="s">
        <v>44</v>
      </c>
      <c r="P869" s="11" t="s">
        <v>44</v>
      </c>
      <c r="Q869" s="11" t="s">
        <v>44</v>
      </c>
      <c r="R869" s="11" t="s">
        <v>45</v>
      </c>
      <c r="S869" s="11" t="s">
        <v>45</v>
      </c>
      <c r="T869" s="11" t="s">
        <v>44</v>
      </c>
      <c r="U869" s="11" t="s">
        <v>44</v>
      </c>
      <c r="W869" s="11" t="s">
        <v>46</v>
      </c>
      <c r="X869" s="11" t="s">
        <v>97</v>
      </c>
      <c r="Y869" s="11" t="s">
        <v>97</v>
      </c>
      <c r="Z869" s="11">
        <v>81985294355</v>
      </c>
      <c r="AA869" s="11" t="s">
        <v>103</v>
      </c>
      <c r="AB869" s="11"/>
      <c r="AC869" s="11"/>
      <c r="AD869" s="11" t="b">
        <v>0</v>
      </c>
      <c r="AF869" s="11"/>
      <c r="AG869" s="11"/>
      <c r="AH869" s="11"/>
      <c r="AI869" s="11"/>
    </row>
    <row r="870" ht="18.75" customHeight="1" spans="1:35">
      <c r="A870" s="177">
        <v>45275.4293734375</v>
      </c>
      <c r="B870" s="11" t="s">
        <v>2971</v>
      </c>
      <c r="C870" s="19">
        <v>70797418407</v>
      </c>
      <c r="D870" s="19">
        <v>702401092249521</v>
      </c>
      <c r="E870" s="18" t="s">
        <v>2972</v>
      </c>
      <c r="F870" s="11" t="s">
        <v>40</v>
      </c>
      <c r="G870" s="11" t="s">
        <v>54</v>
      </c>
      <c r="H870" s="24">
        <v>36199</v>
      </c>
      <c r="I870" s="277" t="s">
        <v>2973</v>
      </c>
      <c r="J870" s="11" t="s">
        <v>42</v>
      </c>
      <c r="K870" s="108" t="s">
        <v>427</v>
      </c>
      <c r="N870" s="11" t="s">
        <v>43</v>
      </c>
      <c r="O870" s="11" t="s">
        <v>96</v>
      </c>
      <c r="P870" s="11" t="s">
        <v>66</v>
      </c>
      <c r="Q870" s="11" t="s">
        <v>44</v>
      </c>
      <c r="R870" s="11" t="s">
        <v>45</v>
      </c>
      <c r="S870" s="11" t="s">
        <v>45</v>
      </c>
      <c r="T870" s="11" t="s">
        <v>44</v>
      </c>
      <c r="U870" s="11" t="s">
        <v>45</v>
      </c>
      <c r="V870" s="24">
        <v>45276</v>
      </c>
      <c r="W870" s="11" t="s">
        <v>46</v>
      </c>
      <c r="X870" s="11" t="s">
        <v>47</v>
      </c>
      <c r="Y870" s="11" t="s">
        <v>58</v>
      </c>
      <c r="Z870" s="11">
        <v>81996209137</v>
      </c>
      <c r="AA870" s="11" t="s">
        <v>1360</v>
      </c>
      <c r="AB870" s="11" t="s">
        <v>49</v>
      </c>
      <c r="AC870" s="11" t="s">
        <v>50</v>
      </c>
      <c r="AD870" s="11" t="b">
        <v>0</v>
      </c>
      <c r="AF870" s="11" t="s">
        <v>2974</v>
      </c>
      <c r="AG870" s="11" t="s">
        <v>2975</v>
      </c>
      <c r="AH870" s="11" t="s">
        <v>2976</v>
      </c>
      <c r="AI870" s="11"/>
    </row>
    <row r="871" ht="12.5" spans="1:35">
      <c r="A871" s="177">
        <v>45275.6900685995</v>
      </c>
      <c r="B871" s="11" t="s">
        <v>2851</v>
      </c>
      <c r="C871" s="277" t="s">
        <v>2852</v>
      </c>
      <c r="D871" s="19">
        <v>701308698720730</v>
      </c>
      <c r="E871" s="18" t="s">
        <v>2977</v>
      </c>
      <c r="F871" s="11" t="s">
        <v>40</v>
      </c>
      <c r="G871" s="11" t="s">
        <v>54</v>
      </c>
      <c r="H871" s="24">
        <v>30683</v>
      </c>
      <c r="I871" s="277" t="s">
        <v>2854</v>
      </c>
      <c r="J871" s="11" t="s">
        <v>42</v>
      </c>
      <c r="K871" s="108" t="s">
        <v>427</v>
      </c>
      <c r="N871" s="11" t="s">
        <v>95</v>
      </c>
      <c r="O871" s="11" t="s">
        <v>44</v>
      </c>
      <c r="P871" s="11" t="s">
        <v>44</v>
      </c>
      <c r="Q871" s="11" t="s">
        <v>45</v>
      </c>
      <c r="R871" s="11" t="s">
        <v>45</v>
      </c>
      <c r="S871" s="11" t="s">
        <v>45</v>
      </c>
      <c r="T871" s="11" t="s">
        <v>44</v>
      </c>
      <c r="U871" s="11" t="s">
        <v>45</v>
      </c>
      <c r="V871" s="24">
        <v>45277</v>
      </c>
      <c r="W871" s="11" t="s">
        <v>46</v>
      </c>
      <c r="X871" s="11" t="s">
        <v>97</v>
      </c>
      <c r="Y871" s="11" t="s">
        <v>97</v>
      </c>
      <c r="Z871" s="11">
        <v>81987132722</v>
      </c>
      <c r="AA871" s="11" t="s">
        <v>103</v>
      </c>
      <c r="AB871" s="11" t="s">
        <v>49</v>
      </c>
      <c r="AC871" s="11" t="s">
        <v>256</v>
      </c>
      <c r="AD871" s="11" t="b">
        <v>0</v>
      </c>
      <c r="AF871" s="11" t="s">
        <v>2978</v>
      </c>
      <c r="AG871" s="11"/>
      <c r="AH871" s="11"/>
      <c r="AI871" s="11"/>
    </row>
    <row r="872" ht="12.5" spans="1:35">
      <c r="A872" s="177">
        <v>45276.4383203009</v>
      </c>
      <c r="B872" s="11" t="s">
        <v>2979</v>
      </c>
      <c r="C872" s="277" t="s">
        <v>2980</v>
      </c>
      <c r="D872" s="19">
        <v>709204257043837</v>
      </c>
      <c r="E872" s="18" t="s">
        <v>2981</v>
      </c>
      <c r="F872" s="11" t="s">
        <v>40</v>
      </c>
      <c r="G872" s="11" t="s">
        <v>54</v>
      </c>
      <c r="H872" s="24">
        <v>32548</v>
      </c>
      <c r="I872" s="277" t="s">
        <v>2925</v>
      </c>
      <c r="J872" s="11" t="s">
        <v>42</v>
      </c>
      <c r="K872" s="108" t="s">
        <v>427</v>
      </c>
      <c r="N872" s="11" t="s">
        <v>43</v>
      </c>
      <c r="O872" s="11" t="s">
        <v>96</v>
      </c>
      <c r="P872" s="11" t="s">
        <v>66</v>
      </c>
      <c r="Q872" s="11" t="s">
        <v>45</v>
      </c>
      <c r="R872" s="11" t="s">
        <v>45</v>
      </c>
      <c r="S872" s="11" t="s">
        <v>45</v>
      </c>
      <c r="T872" s="11" t="s">
        <v>44</v>
      </c>
      <c r="U872" s="11" t="s">
        <v>45</v>
      </c>
      <c r="V872" s="24">
        <v>45277</v>
      </c>
      <c r="W872" s="11" t="s">
        <v>46</v>
      </c>
      <c r="X872" s="11" t="s">
        <v>303</v>
      </c>
      <c r="Y872" s="11" t="s">
        <v>58</v>
      </c>
      <c r="Z872" s="11">
        <v>81985958602</v>
      </c>
      <c r="AA872" s="11" t="s">
        <v>115</v>
      </c>
      <c r="AB872" s="11" t="s">
        <v>98</v>
      </c>
      <c r="AC872" s="11"/>
      <c r="AD872" s="11" t="b">
        <v>0</v>
      </c>
      <c r="AF872" s="11" t="s">
        <v>2982</v>
      </c>
      <c r="AG872" s="11" t="s">
        <v>2983</v>
      </c>
      <c r="AH872" s="11" t="s">
        <v>2984</v>
      </c>
      <c r="AI872" s="11"/>
    </row>
    <row r="873" ht="12.5" spans="1:35">
      <c r="A873" s="177">
        <v>45276.4677711227</v>
      </c>
      <c r="B873" s="11" t="s">
        <v>2946</v>
      </c>
      <c r="C873" s="19">
        <v>9099317476</v>
      </c>
      <c r="D873" s="19">
        <v>702603216645547</v>
      </c>
      <c r="F873" s="11" t="s">
        <v>40</v>
      </c>
      <c r="G873" s="11" t="s">
        <v>54</v>
      </c>
      <c r="H873" s="24">
        <v>33487</v>
      </c>
      <c r="I873" s="19" t="s">
        <v>136</v>
      </c>
      <c r="J873" s="11" t="s">
        <v>42</v>
      </c>
      <c r="K873" s="108" t="s">
        <v>2985</v>
      </c>
      <c r="N873" s="11" t="s">
        <v>95</v>
      </c>
      <c r="O873" s="11" t="s">
        <v>44</v>
      </c>
      <c r="P873" s="11" t="s">
        <v>44</v>
      </c>
      <c r="Q873" s="11" t="s">
        <v>44</v>
      </c>
      <c r="R873" s="11" t="s">
        <v>45</v>
      </c>
      <c r="S873" s="11" t="s">
        <v>45</v>
      </c>
      <c r="T873" s="11" t="s">
        <v>44</v>
      </c>
      <c r="U873" s="11" t="s">
        <v>45</v>
      </c>
      <c r="V873" s="24">
        <v>45277</v>
      </c>
      <c r="W873" s="11" t="s">
        <v>57</v>
      </c>
      <c r="X873" s="11" t="s">
        <v>97</v>
      </c>
      <c r="Y873" s="11" t="s">
        <v>97</v>
      </c>
      <c r="Z873" s="11">
        <v>81985881505</v>
      </c>
      <c r="AA873" s="11" t="s">
        <v>115</v>
      </c>
      <c r="AB873" s="11" t="s">
        <v>49</v>
      </c>
      <c r="AC873" s="11" t="s">
        <v>256</v>
      </c>
      <c r="AD873" s="11" t="b">
        <v>0</v>
      </c>
      <c r="AF873" s="11" t="s">
        <v>2986</v>
      </c>
      <c r="AG873" s="11"/>
      <c r="AH873" s="214" t="s">
        <v>2987</v>
      </c>
      <c r="AI873" s="11"/>
    </row>
    <row r="874" ht="12.5" spans="1:35">
      <c r="A874" s="177">
        <v>45276.4744056019</v>
      </c>
      <c r="B874" s="11" t="s">
        <v>2958</v>
      </c>
      <c r="C874" s="19">
        <v>71369959494</v>
      </c>
      <c r="D874" s="19">
        <v>702600251436948</v>
      </c>
      <c r="F874" s="11" t="s">
        <v>40</v>
      </c>
      <c r="G874" s="11" t="s">
        <v>54</v>
      </c>
      <c r="H874" s="24">
        <v>36867</v>
      </c>
      <c r="I874" s="277" t="s">
        <v>2960</v>
      </c>
      <c r="J874" s="11" t="s">
        <v>42</v>
      </c>
      <c r="K874" s="108" t="s">
        <v>63</v>
      </c>
      <c r="N874" s="11" t="s">
        <v>95</v>
      </c>
      <c r="O874" s="11" t="s">
        <v>44</v>
      </c>
      <c r="P874" s="11" t="s">
        <v>44</v>
      </c>
      <c r="Q874" s="11" t="s">
        <v>44</v>
      </c>
      <c r="R874" s="11" t="s">
        <v>45</v>
      </c>
      <c r="S874" s="11" t="s">
        <v>45</v>
      </c>
      <c r="T874" s="11" t="s">
        <v>44</v>
      </c>
      <c r="U874" s="11" t="s">
        <v>44</v>
      </c>
      <c r="W874" s="11" t="s">
        <v>57</v>
      </c>
      <c r="X874" s="11" t="s">
        <v>97</v>
      </c>
      <c r="Y874" s="11" t="s">
        <v>97</v>
      </c>
      <c r="Z874" s="11">
        <v>81999191169</v>
      </c>
      <c r="AA874" s="11" t="s">
        <v>115</v>
      </c>
      <c r="AB874" s="11"/>
      <c r="AC874" s="11"/>
      <c r="AD874" s="11" t="b">
        <v>0</v>
      </c>
      <c r="AF874" s="11"/>
      <c r="AG874" s="11"/>
      <c r="AH874" s="11"/>
      <c r="AI874" s="11"/>
    </row>
    <row r="875" ht="12.5" spans="1:35">
      <c r="A875" s="177">
        <v>45276.4832295602</v>
      </c>
      <c r="B875" s="11" t="s">
        <v>2964</v>
      </c>
      <c r="C875" s="277" t="s">
        <v>2965</v>
      </c>
      <c r="D875" s="19">
        <v>704704091932240</v>
      </c>
      <c r="F875" s="11" t="s">
        <v>40</v>
      </c>
      <c r="G875" s="11" t="s">
        <v>54</v>
      </c>
      <c r="H875" s="24">
        <v>33990</v>
      </c>
      <c r="I875" s="19" t="s">
        <v>865</v>
      </c>
      <c r="J875" s="11" t="s">
        <v>42</v>
      </c>
      <c r="K875" s="108" t="s">
        <v>202</v>
      </c>
      <c r="N875" s="11" t="s">
        <v>95</v>
      </c>
      <c r="O875" s="11" t="s">
        <v>44</v>
      </c>
      <c r="P875" s="11" t="s">
        <v>44</v>
      </c>
      <c r="Q875" s="11" t="s">
        <v>44</v>
      </c>
      <c r="R875" s="11" t="s">
        <v>45</v>
      </c>
      <c r="S875" s="11" t="s">
        <v>45</v>
      </c>
      <c r="T875" s="11" t="s">
        <v>44</v>
      </c>
      <c r="U875" s="11" t="s">
        <v>44</v>
      </c>
      <c r="W875" s="11" t="s">
        <v>57</v>
      </c>
      <c r="X875" s="11" t="s">
        <v>97</v>
      </c>
      <c r="Y875" s="11" t="s">
        <v>97</v>
      </c>
      <c r="Z875" s="11">
        <v>81987335359</v>
      </c>
      <c r="AA875" s="11" t="s">
        <v>115</v>
      </c>
      <c r="AB875" s="11"/>
      <c r="AC875" s="11"/>
      <c r="AD875" s="11" t="b">
        <v>0</v>
      </c>
      <c r="AF875" s="11"/>
      <c r="AG875" s="11"/>
      <c r="AH875" s="11"/>
      <c r="AI875" s="11"/>
    </row>
    <row r="876" ht="12.5" spans="1:35">
      <c r="A876" s="177">
        <v>45276.5270598495</v>
      </c>
      <c r="B876" s="11" t="s">
        <v>2971</v>
      </c>
      <c r="C876" s="19">
        <v>70797418407</v>
      </c>
      <c r="D876" s="19">
        <v>702401092249521</v>
      </c>
      <c r="F876" s="11" t="s">
        <v>40</v>
      </c>
      <c r="G876" s="11" t="s">
        <v>54</v>
      </c>
      <c r="H876" s="24">
        <v>36199</v>
      </c>
      <c r="I876" s="277" t="s">
        <v>2973</v>
      </c>
      <c r="J876" s="11" t="s">
        <v>42</v>
      </c>
      <c r="K876" s="108" t="s">
        <v>427</v>
      </c>
      <c r="N876" s="11" t="s">
        <v>95</v>
      </c>
      <c r="O876" s="11" t="s">
        <v>44</v>
      </c>
      <c r="P876" s="11" t="s">
        <v>44</v>
      </c>
      <c r="Q876" s="11" t="s">
        <v>44</v>
      </c>
      <c r="R876" s="11" t="s">
        <v>45</v>
      </c>
      <c r="S876" s="11" t="s">
        <v>45</v>
      </c>
      <c r="T876" s="11" t="s">
        <v>44</v>
      </c>
      <c r="U876" s="11" t="s">
        <v>45</v>
      </c>
      <c r="V876" s="24">
        <v>45278</v>
      </c>
      <c r="W876" s="11" t="s">
        <v>57</v>
      </c>
      <c r="X876" s="11" t="s">
        <v>97</v>
      </c>
      <c r="Y876" s="11" t="s">
        <v>97</v>
      </c>
      <c r="Z876" s="11">
        <v>81996209137</v>
      </c>
      <c r="AA876" s="11" t="s">
        <v>115</v>
      </c>
      <c r="AB876" s="11" t="s">
        <v>98</v>
      </c>
      <c r="AC876" s="11"/>
      <c r="AD876" s="11" t="b">
        <v>0</v>
      </c>
      <c r="AF876" s="11" t="s">
        <v>2988</v>
      </c>
      <c r="AG876" s="11" t="s">
        <v>2989</v>
      </c>
      <c r="AH876" s="11"/>
      <c r="AI876" s="11"/>
    </row>
    <row r="877" ht="12.5" spans="1:35">
      <c r="A877" s="177">
        <v>45277.3631079861</v>
      </c>
      <c r="B877" s="11" t="s">
        <v>2990</v>
      </c>
      <c r="C877" s="19">
        <v>70482917458</v>
      </c>
      <c r="D877" s="19">
        <v>708700168884694</v>
      </c>
      <c r="E877" s="18" t="s">
        <v>2991</v>
      </c>
      <c r="F877" s="11" t="s">
        <v>40</v>
      </c>
      <c r="G877" s="11" t="s">
        <v>41</v>
      </c>
      <c r="H877" s="24">
        <v>36040</v>
      </c>
      <c r="I877" s="277" t="s">
        <v>2992</v>
      </c>
      <c r="J877" s="11" t="s">
        <v>42</v>
      </c>
      <c r="K877" s="108" t="s">
        <v>427</v>
      </c>
      <c r="N877" s="11" t="s">
        <v>43</v>
      </c>
      <c r="O877" s="11" t="s">
        <v>96</v>
      </c>
      <c r="P877" s="11" t="s">
        <v>66</v>
      </c>
      <c r="Q877" s="11" t="s">
        <v>44</v>
      </c>
      <c r="R877" s="11" t="s">
        <v>45</v>
      </c>
      <c r="S877" s="11" t="s">
        <v>45</v>
      </c>
      <c r="T877" s="11" t="s">
        <v>44</v>
      </c>
      <c r="U877" s="11" t="s">
        <v>45</v>
      </c>
      <c r="V877" s="24">
        <v>45278</v>
      </c>
      <c r="W877" s="11" t="s">
        <v>46</v>
      </c>
      <c r="X877" s="9" t="s">
        <v>156</v>
      </c>
      <c r="Y877" s="11" t="s">
        <v>58</v>
      </c>
      <c r="Z877" s="11">
        <v>81988110275</v>
      </c>
      <c r="AA877" s="11" t="s">
        <v>1360</v>
      </c>
      <c r="AB877" s="11" t="s">
        <v>49</v>
      </c>
      <c r="AC877" s="11" t="s">
        <v>84</v>
      </c>
      <c r="AD877" s="11" t="b">
        <v>1</v>
      </c>
      <c r="AE877" s="11" t="s">
        <v>137</v>
      </c>
      <c r="AF877" s="11" t="s">
        <v>2993</v>
      </c>
      <c r="AG877" s="11" t="s">
        <v>2994</v>
      </c>
      <c r="AH877" s="11"/>
      <c r="AI877" s="11"/>
    </row>
    <row r="878" ht="12.5" spans="1:35">
      <c r="A878" s="253">
        <v>45275.8125</v>
      </c>
      <c r="B878" s="11" t="s">
        <v>2995</v>
      </c>
      <c r="C878" s="19">
        <v>10153924403</v>
      </c>
      <c r="D878" s="19">
        <v>706703534950019</v>
      </c>
      <c r="E878" s="18" t="s">
        <v>2996</v>
      </c>
      <c r="F878" s="11" t="s">
        <v>40</v>
      </c>
      <c r="G878" s="11" t="s">
        <v>88</v>
      </c>
      <c r="H878" s="24">
        <v>34135</v>
      </c>
      <c r="I878" s="277" t="s">
        <v>2706</v>
      </c>
      <c r="J878" s="11" t="s">
        <v>42</v>
      </c>
      <c r="K878" s="108" t="s">
        <v>2997</v>
      </c>
      <c r="N878" s="11" t="s">
        <v>43</v>
      </c>
      <c r="O878" s="11" t="s">
        <v>44</v>
      </c>
      <c r="P878" s="11" t="s">
        <v>44</v>
      </c>
      <c r="Q878" s="11" t="s">
        <v>44</v>
      </c>
      <c r="R878" s="11" t="s">
        <v>45</v>
      </c>
      <c r="S878" s="11" t="s">
        <v>45</v>
      </c>
      <c r="T878" s="11" t="s">
        <v>44</v>
      </c>
      <c r="U878" s="11" t="s">
        <v>45</v>
      </c>
      <c r="V878" s="24">
        <v>45292</v>
      </c>
      <c r="W878" s="11" t="s">
        <v>46</v>
      </c>
      <c r="X878" s="11" t="s">
        <v>203</v>
      </c>
      <c r="Y878" s="11" t="s">
        <v>58</v>
      </c>
      <c r="Z878" s="11">
        <v>81998484608</v>
      </c>
      <c r="AA878" s="11" t="s">
        <v>1360</v>
      </c>
      <c r="AB878" s="11" t="s">
        <v>69</v>
      </c>
      <c r="AC878" s="11"/>
      <c r="AD878" s="11" t="b">
        <v>0</v>
      </c>
      <c r="AF878" s="11" t="s">
        <v>2998</v>
      </c>
      <c r="AG878" s="11" t="s">
        <v>2999</v>
      </c>
      <c r="AH878" s="11" t="s">
        <v>3000</v>
      </c>
      <c r="AI878" s="11"/>
    </row>
    <row r="879" ht="12.5" spans="1:35">
      <c r="A879" s="177">
        <v>45277.4909089236</v>
      </c>
      <c r="B879" s="11" t="s">
        <v>2851</v>
      </c>
      <c r="C879" s="277" t="s">
        <v>2852</v>
      </c>
      <c r="D879" s="19">
        <v>701308698720730</v>
      </c>
      <c r="F879" s="11" t="s">
        <v>40</v>
      </c>
      <c r="G879" s="11" t="s">
        <v>135</v>
      </c>
      <c r="H879" s="24">
        <v>30683</v>
      </c>
      <c r="I879" s="277" t="s">
        <v>2854</v>
      </c>
      <c r="J879" s="11" t="s">
        <v>42</v>
      </c>
      <c r="K879" s="108" t="s">
        <v>427</v>
      </c>
      <c r="N879" s="11" t="s">
        <v>95</v>
      </c>
      <c r="O879" s="11" t="s">
        <v>44</v>
      </c>
      <c r="P879" s="11" t="s">
        <v>44</v>
      </c>
      <c r="Q879" s="11" t="s">
        <v>44</v>
      </c>
      <c r="R879" s="11" t="s">
        <v>45</v>
      </c>
      <c r="S879" s="11" t="s">
        <v>45</v>
      </c>
      <c r="T879" s="11" t="s">
        <v>44</v>
      </c>
      <c r="U879" s="11" t="s">
        <v>44</v>
      </c>
      <c r="W879" s="11" t="s">
        <v>57</v>
      </c>
      <c r="X879" s="11" t="s">
        <v>97</v>
      </c>
      <c r="Y879" s="11" t="s">
        <v>97</v>
      </c>
      <c r="Z879" s="11">
        <v>81987132722</v>
      </c>
      <c r="AA879" s="11" t="s">
        <v>1360</v>
      </c>
      <c r="AB879" s="11"/>
      <c r="AC879" s="11"/>
      <c r="AD879" s="11" t="b">
        <v>0</v>
      </c>
      <c r="AF879" s="11"/>
      <c r="AG879" s="11"/>
      <c r="AH879" s="11"/>
      <c r="AI879" s="11"/>
    </row>
    <row r="880" ht="12.5" spans="1:35">
      <c r="A880" s="177">
        <v>45277.521855</v>
      </c>
      <c r="B880" s="11" t="s">
        <v>2946</v>
      </c>
      <c r="C880" s="19">
        <v>9099317476</v>
      </c>
      <c r="D880" s="19">
        <v>702603216645547</v>
      </c>
      <c r="F880" s="11" t="s">
        <v>40</v>
      </c>
      <c r="G880" s="11" t="s">
        <v>54</v>
      </c>
      <c r="H880" s="24">
        <v>33487</v>
      </c>
      <c r="I880" s="277" t="s">
        <v>3001</v>
      </c>
      <c r="J880" s="11" t="s">
        <v>42</v>
      </c>
      <c r="K880" s="108" t="s">
        <v>427</v>
      </c>
      <c r="N880" s="11" t="s">
        <v>95</v>
      </c>
      <c r="O880" s="11" t="s">
        <v>44</v>
      </c>
      <c r="P880" s="11" t="s">
        <v>44</v>
      </c>
      <c r="Q880" s="11" t="s">
        <v>44</v>
      </c>
      <c r="R880" s="11" t="s">
        <v>45</v>
      </c>
      <c r="S880" s="11" t="s">
        <v>45</v>
      </c>
      <c r="T880" s="11" t="s">
        <v>44</v>
      </c>
      <c r="U880" s="11" t="s">
        <v>44</v>
      </c>
      <c r="W880" s="11" t="s">
        <v>57</v>
      </c>
      <c r="X880" s="11" t="s">
        <v>97</v>
      </c>
      <c r="Y880" s="11" t="s">
        <v>97</v>
      </c>
      <c r="Z880" s="11">
        <v>81985881505</v>
      </c>
      <c r="AA880" s="11" t="s">
        <v>1360</v>
      </c>
      <c r="AB880" s="11"/>
      <c r="AC880" s="11"/>
      <c r="AD880" s="11" t="b">
        <v>0</v>
      </c>
      <c r="AF880" s="11"/>
      <c r="AG880" s="11"/>
      <c r="AH880" s="11"/>
      <c r="AI880" s="11">
        <f t="shared" ref="AI880:AI881" si="0">I880+280</f>
        <v>45471</v>
      </c>
    </row>
    <row r="881" ht="12.5" spans="1:35">
      <c r="A881" s="177">
        <v>45277.6617245255</v>
      </c>
      <c r="B881" s="136" t="s">
        <v>3002</v>
      </c>
      <c r="C881" s="277" t="s">
        <v>3003</v>
      </c>
      <c r="D881" s="19">
        <v>700402456980442</v>
      </c>
      <c r="E881" s="18" t="s">
        <v>3004</v>
      </c>
      <c r="F881" s="11" t="s">
        <v>40</v>
      </c>
      <c r="G881" s="11" t="s">
        <v>54</v>
      </c>
      <c r="H881" s="24">
        <v>32231</v>
      </c>
      <c r="I881" s="277" t="s">
        <v>3005</v>
      </c>
      <c r="J881" s="11" t="s">
        <v>42</v>
      </c>
      <c r="K881" s="108" t="s">
        <v>3006</v>
      </c>
      <c r="N881" s="11" t="s">
        <v>43</v>
      </c>
      <c r="O881" s="11" t="s">
        <v>44</v>
      </c>
      <c r="P881" s="11" t="s">
        <v>44</v>
      </c>
      <c r="Q881" s="11" t="s">
        <v>44</v>
      </c>
      <c r="R881" s="11" t="s">
        <v>45</v>
      </c>
      <c r="S881" s="11" t="s">
        <v>45</v>
      </c>
      <c r="T881" s="11" t="s">
        <v>44</v>
      </c>
      <c r="U881" s="11" t="s">
        <v>44</v>
      </c>
      <c r="W881" s="11" t="s">
        <v>46</v>
      </c>
      <c r="X881" s="11" t="s">
        <v>303</v>
      </c>
      <c r="Y881" s="11" t="s">
        <v>58</v>
      </c>
      <c r="Z881" s="11">
        <v>81981219447</v>
      </c>
      <c r="AA881" s="11" t="s">
        <v>1360</v>
      </c>
      <c r="AB881" s="11"/>
      <c r="AC881" s="11"/>
      <c r="AD881" s="11" t="b">
        <v>0</v>
      </c>
      <c r="AF881" s="11"/>
      <c r="AG881" s="11"/>
      <c r="AH881" s="11"/>
      <c r="AI881" s="11" t="e">
        <f t="shared" si="0"/>
        <v>#VALUE!</v>
      </c>
    </row>
    <row r="882" ht="12.5" spans="1:35">
      <c r="A882" s="177">
        <v>45278.3877034722</v>
      </c>
      <c r="B882" s="11" t="s">
        <v>3007</v>
      </c>
      <c r="C882" s="19">
        <v>71429101431</v>
      </c>
      <c r="D882" s="19">
        <v>701805248891170</v>
      </c>
      <c r="E882" s="18" t="s">
        <v>3008</v>
      </c>
      <c r="F882" s="11" t="s">
        <v>40</v>
      </c>
      <c r="G882" s="11" t="s">
        <v>41</v>
      </c>
      <c r="H882" s="24">
        <v>37355</v>
      </c>
      <c r="I882" s="277" t="s">
        <v>1657</v>
      </c>
      <c r="J882" s="11" t="s">
        <v>81</v>
      </c>
      <c r="K882" s="108"/>
      <c r="L882" s="11" t="s">
        <v>109</v>
      </c>
      <c r="N882" s="11" t="s">
        <v>43</v>
      </c>
      <c r="O882" s="11" t="s">
        <v>96</v>
      </c>
      <c r="P882" s="11" t="s">
        <v>66</v>
      </c>
      <c r="Q882" s="11" t="s">
        <v>44</v>
      </c>
      <c r="R882" s="11" t="s">
        <v>45</v>
      </c>
      <c r="S882" s="11" t="s">
        <v>45</v>
      </c>
      <c r="T882" s="11" t="s">
        <v>44</v>
      </c>
      <c r="U882" s="11" t="s">
        <v>45</v>
      </c>
      <c r="V882" s="24">
        <v>45279</v>
      </c>
      <c r="W882" s="11" t="s">
        <v>46</v>
      </c>
      <c r="X882" s="254" t="s">
        <v>67</v>
      </c>
      <c r="Y882" s="11" t="s">
        <v>58</v>
      </c>
      <c r="Z882" s="11">
        <v>81981323257</v>
      </c>
      <c r="AA882" s="11" t="s">
        <v>1360</v>
      </c>
      <c r="AB882" s="11" t="s">
        <v>49</v>
      </c>
      <c r="AC882" s="11" t="s">
        <v>50</v>
      </c>
      <c r="AD882" s="11" t="b">
        <v>0</v>
      </c>
      <c r="AF882" s="11" t="s">
        <v>3009</v>
      </c>
      <c r="AG882" s="228" t="s">
        <v>3010</v>
      </c>
      <c r="AH882" s="11"/>
      <c r="AI882" s="11"/>
    </row>
    <row r="883" ht="12.5" spans="1:35">
      <c r="A883" s="177">
        <v>45278.4994303704</v>
      </c>
      <c r="B883" s="136" t="s">
        <v>3011</v>
      </c>
      <c r="C883" s="19">
        <v>37157378833</v>
      </c>
      <c r="D883" s="19">
        <v>705001805425558</v>
      </c>
      <c r="E883" s="18" t="s">
        <v>3012</v>
      </c>
      <c r="F883" s="11" t="s">
        <v>40</v>
      </c>
      <c r="G883" s="11" t="s">
        <v>54</v>
      </c>
      <c r="H883" s="24">
        <v>32204</v>
      </c>
      <c r="I883" s="19" t="s">
        <v>136</v>
      </c>
      <c r="J883" s="11" t="s">
        <v>42</v>
      </c>
      <c r="K883" s="108" t="s">
        <v>202</v>
      </c>
      <c r="N883" s="11" t="s">
        <v>43</v>
      </c>
      <c r="O883" s="11" t="s">
        <v>65</v>
      </c>
      <c r="P883" s="11" t="s">
        <v>66</v>
      </c>
      <c r="Q883" s="11" t="s">
        <v>44</v>
      </c>
      <c r="R883" s="11" t="s">
        <v>45</v>
      </c>
      <c r="S883" s="11" t="s">
        <v>44</v>
      </c>
      <c r="T883" s="11" t="s">
        <v>44</v>
      </c>
      <c r="U883" s="11" t="s">
        <v>45</v>
      </c>
      <c r="V883" s="24">
        <v>45279</v>
      </c>
      <c r="W883" s="11" t="s">
        <v>46</v>
      </c>
      <c r="X883" s="11" t="s">
        <v>47</v>
      </c>
      <c r="Y883" s="11" t="s">
        <v>58</v>
      </c>
      <c r="Z883" s="11">
        <v>81995211209</v>
      </c>
      <c r="AA883" s="11" t="s">
        <v>105</v>
      </c>
      <c r="AB883" s="11" t="s">
        <v>49</v>
      </c>
      <c r="AC883" s="11" t="s">
        <v>50</v>
      </c>
      <c r="AD883" s="11" t="b">
        <v>0</v>
      </c>
      <c r="AF883" s="11" t="s">
        <v>3013</v>
      </c>
      <c r="AG883" s="11" t="s">
        <v>3014</v>
      </c>
      <c r="AH883" s="11"/>
      <c r="AI883" s="11"/>
    </row>
    <row r="884" ht="12.5" spans="1:35">
      <c r="A884" s="177">
        <v>45278.5300385185</v>
      </c>
      <c r="B884" s="136" t="s">
        <v>3015</v>
      </c>
      <c r="C884" s="277" t="s">
        <v>3016</v>
      </c>
      <c r="D884" s="19">
        <v>706208590259767</v>
      </c>
      <c r="E884" s="18" t="s">
        <v>3017</v>
      </c>
      <c r="F884" s="136" t="s">
        <v>40</v>
      </c>
      <c r="G884" s="11" t="s">
        <v>54</v>
      </c>
      <c r="H884" s="24">
        <v>33363</v>
      </c>
      <c r="I884" s="277" t="s">
        <v>2837</v>
      </c>
      <c r="J884" s="11" t="s">
        <v>42</v>
      </c>
      <c r="K884" s="108" t="s">
        <v>149</v>
      </c>
      <c r="N884" s="11" t="s">
        <v>43</v>
      </c>
      <c r="O884" s="11" t="s">
        <v>44</v>
      </c>
      <c r="P884" s="11" t="s">
        <v>44</v>
      </c>
      <c r="Q884" s="11" t="s">
        <v>45</v>
      </c>
      <c r="R884" s="11" t="s">
        <v>45</v>
      </c>
      <c r="S884" s="11" t="s">
        <v>83</v>
      </c>
      <c r="T884" s="11" t="s">
        <v>44</v>
      </c>
      <c r="U884" s="11" t="s">
        <v>45</v>
      </c>
      <c r="V884" s="24">
        <v>45280</v>
      </c>
      <c r="W884" s="11" t="s">
        <v>46</v>
      </c>
      <c r="X884" s="11" t="s">
        <v>47</v>
      </c>
      <c r="Y884" s="11" t="s">
        <v>58</v>
      </c>
      <c r="Z884" s="11">
        <v>81998388026</v>
      </c>
      <c r="AA884" s="11" t="s">
        <v>105</v>
      </c>
      <c r="AB884" s="11" t="s">
        <v>98</v>
      </c>
      <c r="AC884" s="11"/>
      <c r="AD884" s="11" t="b">
        <v>0</v>
      </c>
      <c r="AF884" s="11" t="s">
        <v>3018</v>
      </c>
      <c r="AG884" s="11" t="s">
        <v>3019</v>
      </c>
      <c r="AH884" s="11"/>
      <c r="AI884" s="11"/>
    </row>
    <row r="885" ht="12.5" spans="1:35">
      <c r="A885" s="177">
        <v>45278.620641713</v>
      </c>
      <c r="B885" s="136" t="s">
        <v>3020</v>
      </c>
      <c r="C885" s="19">
        <v>70808893408</v>
      </c>
      <c r="D885" s="19">
        <v>705006070731455</v>
      </c>
      <c r="E885" s="18" t="s">
        <v>3021</v>
      </c>
      <c r="F885" s="11" t="s">
        <v>40</v>
      </c>
      <c r="G885" s="11" t="s">
        <v>54</v>
      </c>
      <c r="H885" s="24">
        <v>35564</v>
      </c>
      <c r="I885" s="277" t="s">
        <v>3022</v>
      </c>
      <c r="J885" s="11" t="s">
        <v>42</v>
      </c>
      <c r="K885" s="108" t="s">
        <v>282</v>
      </c>
      <c r="N885" s="11" t="s">
        <v>43</v>
      </c>
      <c r="O885" s="11" t="s">
        <v>44</v>
      </c>
      <c r="P885" s="11" t="s">
        <v>44</v>
      </c>
      <c r="Q885" s="11" t="s">
        <v>44</v>
      </c>
      <c r="R885" s="11" t="s">
        <v>45</v>
      </c>
      <c r="S885" s="11" t="s">
        <v>45</v>
      </c>
      <c r="T885" s="11" t="s">
        <v>44</v>
      </c>
      <c r="U885" s="11" t="s">
        <v>45</v>
      </c>
      <c r="V885" s="24">
        <v>45278</v>
      </c>
      <c r="W885" s="11" t="s">
        <v>46</v>
      </c>
      <c r="X885" s="11" t="s">
        <v>47</v>
      </c>
      <c r="Y885" s="11" t="s">
        <v>58</v>
      </c>
      <c r="Z885" s="11">
        <v>81988921498</v>
      </c>
      <c r="AA885" s="11" t="s">
        <v>113</v>
      </c>
      <c r="AB885" s="11" t="s">
        <v>49</v>
      </c>
      <c r="AC885" s="11" t="s">
        <v>84</v>
      </c>
      <c r="AD885" s="11" t="b">
        <v>1</v>
      </c>
      <c r="AE885" s="11" t="s">
        <v>137</v>
      </c>
      <c r="AF885" s="11" t="s">
        <v>3023</v>
      </c>
      <c r="AG885" s="11"/>
      <c r="AH885" s="18" t="s">
        <v>3024</v>
      </c>
      <c r="AI885" s="11"/>
    </row>
    <row r="886" ht="12.5" spans="1:35">
      <c r="A886" s="177">
        <v>45278.6218023264</v>
      </c>
      <c r="B886" s="136" t="s">
        <v>1004</v>
      </c>
      <c r="C886" s="19">
        <v>14500412484</v>
      </c>
      <c r="D886" s="19">
        <v>898005174693865</v>
      </c>
      <c r="E886" s="18" t="s">
        <v>3025</v>
      </c>
      <c r="F886" s="11" t="s">
        <v>40</v>
      </c>
      <c r="G886" s="11" t="s">
        <v>41</v>
      </c>
      <c r="H886" s="24">
        <v>37179</v>
      </c>
      <c r="I886" s="277" t="s">
        <v>1006</v>
      </c>
      <c r="J886" s="11" t="s">
        <v>42</v>
      </c>
      <c r="K886" s="108" t="s">
        <v>202</v>
      </c>
      <c r="N886" s="11" t="s">
        <v>43</v>
      </c>
      <c r="O886" s="11" t="s">
        <v>44</v>
      </c>
      <c r="P886" s="11" t="s">
        <v>44</v>
      </c>
      <c r="Q886" s="11" t="s">
        <v>44</v>
      </c>
      <c r="R886" s="11" t="s">
        <v>45</v>
      </c>
      <c r="S886" s="11" t="s">
        <v>45</v>
      </c>
      <c r="T886" s="11" t="s">
        <v>44</v>
      </c>
      <c r="U886" s="11" t="s">
        <v>45</v>
      </c>
      <c r="V886" s="24">
        <v>45278</v>
      </c>
      <c r="W886" s="11" t="s">
        <v>46</v>
      </c>
      <c r="X886" s="11" t="s">
        <v>47</v>
      </c>
      <c r="Y886" s="11" t="s">
        <v>58</v>
      </c>
      <c r="Z886" s="11">
        <v>81991067896</v>
      </c>
      <c r="AA886" s="11" t="s">
        <v>113</v>
      </c>
      <c r="AB886" s="11" t="s">
        <v>49</v>
      </c>
      <c r="AC886" s="11" t="s">
        <v>256</v>
      </c>
      <c r="AD886" s="11" t="b">
        <v>1</v>
      </c>
      <c r="AE886" s="11" t="s">
        <v>137</v>
      </c>
      <c r="AF886" s="11" t="s">
        <v>3026</v>
      </c>
      <c r="AG886" s="11" t="s">
        <v>3027</v>
      </c>
      <c r="AH886" s="11"/>
      <c r="AI886" s="11"/>
    </row>
    <row r="887" ht="12.5" spans="1:35">
      <c r="A887" s="177">
        <v>45278.655043206</v>
      </c>
      <c r="B887" s="136" t="s">
        <v>2990</v>
      </c>
      <c r="C887" s="19">
        <v>70482917458</v>
      </c>
      <c r="D887" s="19">
        <v>708700168884694</v>
      </c>
      <c r="E887" s="18" t="s">
        <v>3028</v>
      </c>
      <c r="F887" s="11" t="s">
        <v>40</v>
      </c>
      <c r="G887" s="11" t="s">
        <v>41</v>
      </c>
      <c r="H887" s="24">
        <v>36040</v>
      </c>
      <c r="I887" s="277" t="s">
        <v>2992</v>
      </c>
      <c r="J887" s="11" t="s">
        <v>42</v>
      </c>
      <c r="K887" s="108" t="s">
        <v>427</v>
      </c>
      <c r="N887" s="11" t="s">
        <v>95</v>
      </c>
      <c r="O887" s="11" t="s">
        <v>44</v>
      </c>
      <c r="P887" s="11" t="s">
        <v>44</v>
      </c>
      <c r="Q887" s="11" t="s">
        <v>44</v>
      </c>
      <c r="R887" s="11" t="s">
        <v>45</v>
      </c>
      <c r="S887" s="11" t="s">
        <v>45</v>
      </c>
      <c r="T887" s="11" t="s">
        <v>44</v>
      </c>
      <c r="U887" s="11" t="s">
        <v>45</v>
      </c>
      <c r="V887" s="24">
        <v>45280</v>
      </c>
      <c r="W887" s="11" t="s">
        <v>46</v>
      </c>
      <c r="X887" s="11" t="s">
        <v>97</v>
      </c>
      <c r="Y887" s="11" t="s">
        <v>97</v>
      </c>
      <c r="Z887" s="11">
        <v>81988110275</v>
      </c>
      <c r="AA887" s="11" t="s">
        <v>105</v>
      </c>
      <c r="AB887" s="11" t="s">
        <v>98</v>
      </c>
      <c r="AC887" s="11"/>
      <c r="AD887" s="11" t="b">
        <v>0</v>
      </c>
      <c r="AF887" s="11" t="s">
        <v>3029</v>
      </c>
      <c r="AG887" s="11" t="s">
        <v>3030</v>
      </c>
      <c r="AH887" s="11"/>
      <c r="AI887" s="11"/>
    </row>
    <row r="888" ht="12.5" spans="1:35">
      <c r="A888" s="177">
        <v>45278.7216953472</v>
      </c>
      <c r="B888" s="136" t="s">
        <v>3020</v>
      </c>
      <c r="C888" s="19">
        <v>70808893408</v>
      </c>
      <c r="D888" s="19">
        <v>705006070731455</v>
      </c>
      <c r="E888" s="18" t="s">
        <v>3031</v>
      </c>
      <c r="F888" s="11" t="s">
        <v>40</v>
      </c>
      <c r="G888" s="11" t="s">
        <v>41</v>
      </c>
      <c r="H888" s="24">
        <v>35564</v>
      </c>
      <c r="I888" s="277" t="s">
        <v>3022</v>
      </c>
      <c r="J888" s="11" t="s">
        <v>42</v>
      </c>
      <c r="K888" s="108" t="s">
        <v>282</v>
      </c>
      <c r="N888" s="11" t="s">
        <v>95</v>
      </c>
      <c r="O888" s="11" t="s">
        <v>65</v>
      </c>
      <c r="P888" s="11" t="s">
        <v>66</v>
      </c>
      <c r="Q888" s="11" t="s">
        <v>44</v>
      </c>
      <c r="R888" s="11" t="s">
        <v>45</v>
      </c>
      <c r="S888" s="11" t="s">
        <v>45</v>
      </c>
      <c r="T888" s="11" t="s">
        <v>44</v>
      </c>
      <c r="U888" s="11" t="s">
        <v>45</v>
      </c>
      <c r="V888" s="24">
        <v>45280</v>
      </c>
      <c r="W888" s="11" t="s">
        <v>57</v>
      </c>
      <c r="X888" s="11" t="s">
        <v>97</v>
      </c>
      <c r="Y888" s="11" t="s">
        <v>97</v>
      </c>
      <c r="Z888" s="11">
        <v>81988921498</v>
      </c>
      <c r="AA888" s="11" t="s">
        <v>105</v>
      </c>
      <c r="AB888" s="11" t="s">
        <v>49</v>
      </c>
      <c r="AC888" s="11" t="s">
        <v>256</v>
      </c>
      <c r="AD888" s="11" t="b">
        <v>1</v>
      </c>
      <c r="AE888" s="11" t="s">
        <v>137</v>
      </c>
      <c r="AF888" s="11" t="s">
        <v>3032</v>
      </c>
      <c r="AG888" s="11"/>
      <c r="AH888" s="11"/>
      <c r="AI888" s="11"/>
    </row>
    <row r="889" ht="12.5" spans="1:35">
      <c r="A889" s="177">
        <v>45278.7489790856</v>
      </c>
      <c r="B889" s="136" t="s">
        <v>2859</v>
      </c>
      <c r="C889" s="277" t="s">
        <v>2860</v>
      </c>
      <c r="D889" s="19">
        <v>898000651859796</v>
      </c>
      <c r="E889" s="18" t="s">
        <v>3033</v>
      </c>
      <c r="F889" s="11" t="s">
        <v>40</v>
      </c>
      <c r="G889" s="11" t="s">
        <v>54</v>
      </c>
      <c r="H889" s="24">
        <v>37938</v>
      </c>
      <c r="I889" s="277" t="s">
        <v>1657</v>
      </c>
      <c r="J889" s="11" t="s">
        <v>42</v>
      </c>
      <c r="K889" s="108" t="s">
        <v>202</v>
      </c>
      <c r="N889" s="11" t="s">
        <v>43</v>
      </c>
      <c r="O889" s="11" t="s">
        <v>65</v>
      </c>
      <c r="P889" s="11" t="s">
        <v>66</v>
      </c>
      <c r="Q889" s="11" t="s">
        <v>44</v>
      </c>
      <c r="R889" s="11" t="s">
        <v>45</v>
      </c>
      <c r="S889" s="11" t="s">
        <v>45</v>
      </c>
      <c r="T889" s="11" t="s">
        <v>44</v>
      </c>
      <c r="U889" s="11" t="s">
        <v>45</v>
      </c>
      <c r="V889" s="24">
        <v>45279</v>
      </c>
      <c r="W889" s="11" t="s">
        <v>46</v>
      </c>
      <c r="X889" s="11" t="s">
        <v>203</v>
      </c>
      <c r="Y889" s="11" t="s">
        <v>68</v>
      </c>
      <c r="Z889" s="11">
        <v>81999116999</v>
      </c>
      <c r="AA889" s="11" t="s">
        <v>105</v>
      </c>
      <c r="AB889" s="11" t="s">
        <v>98</v>
      </c>
      <c r="AC889" s="11"/>
      <c r="AD889" s="11" t="b">
        <v>0</v>
      </c>
      <c r="AF889" s="11" t="s">
        <v>3034</v>
      </c>
      <c r="AG889" s="11"/>
      <c r="AH889" s="11"/>
      <c r="AI889" s="11"/>
    </row>
    <row r="890" ht="12.5" spans="1:35">
      <c r="A890" s="177">
        <v>45278.7755318171</v>
      </c>
      <c r="B890" s="136" t="s">
        <v>1004</v>
      </c>
      <c r="C890" s="19">
        <v>14500412484</v>
      </c>
      <c r="D890" s="19">
        <v>898005174693865</v>
      </c>
      <c r="E890" s="18" t="s">
        <v>3035</v>
      </c>
      <c r="F890" s="136" t="s">
        <v>40</v>
      </c>
      <c r="G890" s="11" t="s">
        <v>41</v>
      </c>
      <c r="H890" s="24">
        <v>37179</v>
      </c>
      <c r="I890" s="277" t="s">
        <v>1006</v>
      </c>
      <c r="J890" s="11" t="s">
        <v>81</v>
      </c>
      <c r="K890" s="108"/>
      <c r="L890" s="11" t="s">
        <v>109</v>
      </c>
      <c r="N890" s="11" t="s">
        <v>95</v>
      </c>
      <c r="O890" s="11" t="s">
        <v>44</v>
      </c>
      <c r="P890" s="11" t="s">
        <v>44</v>
      </c>
      <c r="Q890" s="11" t="s">
        <v>44</v>
      </c>
      <c r="R890" s="11" t="s">
        <v>45</v>
      </c>
      <c r="S890" s="11" t="s">
        <v>45</v>
      </c>
      <c r="T890" s="11" t="s">
        <v>44</v>
      </c>
      <c r="U890" s="11" t="s">
        <v>44</v>
      </c>
      <c r="W890" s="11" t="s">
        <v>46</v>
      </c>
      <c r="X890" s="11" t="s">
        <v>97</v>
      </c>
      <c r="Y890" s="11" t="s">
        <v>97</v>
      </c>
      <c r="Z890" s="11">
        <v>81991067896</v>
      </c>
      <c r="AA890" s="11" t="s">
        <v>1360</v>
      </c>
      <c r="AB890" s="11"/>
      <c r="AC890" s="11"/>
      <c r="AD890" s="11" t="b">
        <v>0</v>
      </c>
      <c r="AF890" s="11"/>
      <c r="AG890" s="11"/>
      <c r="AH890" s="11"/>
      <c r="AI890" s="11"/>
    </row>
    <row r="891" ht="12.5" spans="1:35">
      <c r="A891" s="177">
        <v>45279.480314213</v>
      </c>
      <c r="B891" s="136" t="s">
        <v>3036</v>
      </c>
      <c r="C891" s="277" t="s">
        <v>3037</v>
      </c>
      <c r="D891" s="19">
        <v>700503438361760</v>
      </c>
      <c r="E891" s="18" t="s">
        <v>3038</v>
      </c>
      <c r="F891" s="136" t="s">
        <v>40</v>
      </c>
      <c r="G891" s="11" t="s">
        <v>54</v>
      </c>
      <c r="H891" s="24">
        <v>29660</v>
      </c>
      <c r="I891" s="277" t="s">
        <v>2048</v>
      </c>
      <c r="J891" s="11" t="s">
        <v>42</v>
      </c>
      <c r="K891" s="108" t="s">
        <v>427</v>
      </c>
      <c r="N891" s="11" t="s">
        <v>43</v>
      </c>
      <c r="O891" s="11" t="s">
        <v>96</v>
      </c>
      <c r="P891" s="11" t="s">
        <v>56</v>
      </c>
      <c r="Q891" s="11" t="s">
        <v>44</v>
      </c>
      <c r="R891" s="11" t="s">
        <v>45</v>
      </c>
      <c r="S891" s="11" t="s">
        <v>44</v>
      </c>
      <c r="T891" s="11" t="s">
        <v>44</v>
      </c>
      <c r="U891" s="11" t="s">
        <v>45</v>
      </c>
      <c r="V891" s="24">
        <v>45280</v>
      </c>
      <c r="W891" s="11" t="s">
        <v>46</v>
      </c>
      <c r="X891" s="11" t="s">
        <v>47</v>
      </c>
      <c r="Y891" s="11" t="s">
        <v>58</v>
      </c>
      <c r="Z891" s="11">
        <v>81986701653</v>
      </c>
      <c r="AA891" s="11" t="s">
        <v>2835</v>
      </c>
      <c r="AB891" s="11" t="s">
        <v>49</v>
      </c>
      <c r="AC891" s="11" t="s">
        <v>256</v>
      </c>
      <c r="AD891" s="11" t="b">
        <v>0</v>
      </c>
      <c r="AF891" s="11" t="s">
        <v>3039</v>
      </c>
      <c r="AG891" s="11"/>
      <c r="AH891" s="11" t="s">
        <v>3040</v>
      </c>
      <c r="AI891" s="11"/>
    </row>
    <row r="892" ht="12.5" spans="1:35">
      <c r="A892" s="177">
        <v>45279.4857673148</v>
      </c>
      <c r="B892" s="136" t="s">
        <v>2851</v>
      </c>
      <c r="C892" s="277" t="s">
        <v>2852</v>
      </c>
      <c r="D892" s="19">
        <v>701308698720730</v>
      </c>
      <c r="E892" s="18" t="s">
        <v>3041</v>
      </c>
      <c r="F892" s="136" t="s">
        <v>40</v>
      </c>
      <c r="G892" s="11" t="s">
        <v>54</v>
      </c>
      <c r="H892" s="24">
        <v>30683</v>
      </c>
      <c r="I892" s="277" t="s">
        <v>3042</v>
      </c>
      <c r="J892" s="11" t="s">
        <v>42</v>
      </c>
      <c r="K892" s="108" t="s">
        <v>3043</v>
      </c>
      <c r="N892" s="11" t="s">
        <v>43</v>
      </c>
      <c r="O892" s="11" t="s">
        <v>44</v>
      </c>
      <c r="P892" s="11" t="s">
        <v>44</v>
      </c>
      <c r="Q892" s="11" t="s">
        <v>44</v>
      </c>
      <c r="R892" s="11" t="s">
        <v>45</v>
      </c>
      <c r="S892" s="11" t="s">
        <v>45</v>
      </c>
      <c r="T892" s="11" t="s">
        <v>44</v>
      </c>
      <c r="U892" s="11" t="s">
        <v>44</v>
      </c>
      <c r="W892" s="11" t="s">
        <v>46</v>
      </c>
      <c r="X892" s="11" t="s">
        <v>47</v>
      </c>
      <c r="Y892" s="11" t="s">
        <v>58</v>
      </c>
      <c r="Z892" s="11">
        <v>81987132722</v>
      </c>
      <c r="AA892" s="11" t="s">
        <v>103</v>
      </c>
      <c r="AB892" s="11"/>
      <c r="AC892" s="11"/>
      <c r="AD892" s="11" t="b">
        <v>0</v>
      </c>
      <c r="AF892" s="11"/>
      <c r="AG892" s="11"/>
      <c r="AH892" s="11"/>
      <c r="AI892" s="11"/>
    </row>
    <row r="893" ht="12.5" spans="1:35">
      <c r="A893" s="177">
        <v>45279.567453912</v>
      </c>
      <c r="B893" s="136" t="s">
        <v>3044</v>
      </c>
      <c r="C893" s="19">
        <v>11904965423</v>
      </c>
      <c r="D893" s="19">
        <v>705201424814778</v>
      </c>
      <c r="E893" s="18" t="s">
        <v>3045</v>
      </c>
      <c r="F893" s="136" t="s">
        <v>40</v>
      </c>
      <c r="G893" s="11" t="s">
        <v>54</v>
      </c>
      <c r="H893" s="24">
        <v>36087</v>
      </c>
      <c r="I893" s="277" t="s">
        <v>2454</v>
      </c>
      <c r="J893" s="11" t="s">
        <v>42</v>
      </c>
      <c r="K893" s="108" t="s">
        <v>2394</v>
      </c>
      <c r="N893" s="11" t="s">
        <v>43</v>
      </c>
      <c r="O893" s="11" t="s">
        <v>96</v>
      </c>
      <c r="P893" s="11" t="s">
        <v>66</v>
      </c>
      <c r="Q893" s="11" t="s">
        <v>44</v>
      </c>
      <c r="R893" s="11" t="s">
        <v>45</v>
      </c>
      <c r="S893" s="11" t="s">
        <v>45</v>
      </c>
      <c r="T893" s="11" t="s">
        <v>44</v>
      </c>
      <c r="U893" s="11" t="s">
        <v>45</v>
      </c>
      <c r="V893" s="24">
        <v>45280</v>
      </c>
      <c r="W893" s="11" t="s">
        <v>46</v>
      </c>
      <c r="X893" s="11" t="s">
        <v>47</v>
      </c>
      <c r="Y893" s="11" t="s">
        <v>58</v>
      </c>
      <c r="Z893" s="11">
        <v>81985740050</v>
      </c>
      <c r="AA893" s="11" t="s">
        <v>115</v>
      </c>
      <c r="AB893" s="11" t="s">
        <v>49</v>
      </c>
      <c r="AC893" s="11" t="s">
        <v>75</v>
      </c>
      <c r="AD893" s="11" t="b">
        <v>0</v>
      </c>
      <c r="AF893" s="11" t="s">
        <v>3046</v>
      </c>
      <c r="AG893" s="11"/>
      <c r="AH893" s="11"/>
      <c r="AI893" s="11"/>
    </row>
    <row r="894" ht="12.5" spans="1:35">
      <c r="A894" s="177">
        <v>45279.6279109491</v>
      </c>
      <c r="B894" s="11" t="s">
        <v>3047</v>
      </c>
      <c r="C894" s="19">
        <v>71631042432</v>
      </c>
      <c r="D894" s="19">
        <v>705404474201797</v>
      </c>
      <c r="E894" s="18" t="s">
        <v>3048</v>
      </c>
      <c r="F894" s="136" t="s">
        <v>40</v>
      </c>
      <c r="G894" s="11" t="s">
        <v>54</v>
      </c>
      <c r="H894" s="24">
        <v>36300</v>
      </c>
      <c r="I894" s="277" t="s">
        <v>3049</v>
      </c>
      <c r="J894" s="11" t="s">
        <v>42</v>
      </c>
      <c r="K894" s="108" t="s">
        <v>282</v>
      </c>
      <c r="N894" s="11" t="s">
        <v>43</v>
      </c>
      <c r="O894" s="11" t="s">
        <v>96</v>
      </c>
      <c r="P894" s="11" t="s">
        <v>56</v>
      </c>
      <c r="Q894" s="11" t="s">
        <v>44</v>
      </c>
      <c r="R894" s="11" t="s">
        <v>45</v>
      </c>
      <c r="S894" s="11" t="s">
        <v>44</v>
      </c>
      <c r="T894" s="11" t="s">
        <v>44</v>
      </c>
      <c r="U894" s="11" t="s">
        <v>45</v>
      </c>
      <c r="V894" s="24">
        <v>45280</v>
      </c>
      <c r="W894" s="11" t="s">
        <v>46</v>
      </c>
      <c r="X894" s="11" t="s">
        <v>47</v>
      </c>
      <c r="Y894" s="11" t="s">
        <v>58</v>
      </c>
      <c r="Z894" s="11">
        <v>81995960230</v>
      </c>
      <c r="AA894" s="11" t="s">
        <v>2835</v>
      </c>
      <c r="AB894" s="11" t="s">
        <v>49</v>
      </c>
      <c r="AC894" s="11" t="s">
        <v>256</v>
      </c>
      <c r="AD894" s="11" t="b">
        <v>0</v>
      </c>
      <c r="AF894" s="11" t="s">
        <v>3050</v>
      </c>
      <c r="AG894" s="11"/>
      <c r="AH894" s="11" t="s">
        <v>3051</v>
      </c>
      <c r="AI894" s="11"/>
    </row>
    <row r="895" ht="12.5" spans="1:35">
      <c r="A895" s="177">
        <v>45279.648933669</v>
      </c>
      <c r="B895" s="136" t="s">
        <v>3011</v>
      </c>
      <c r="C895" s="19">
        <v>37157378833</v>
      </c>
      <c r="D895" s="19">
        <v>705001805425558</v>
      </c>
      <c r="F895" s="136" t="s">
        <v>40</v>
      </c>
      <c r="G895" s="11" t="s">
        <v>54</v>
      </c>
      <c r="H895" s="24">
        <v>32204</v>
      </c>
      <c r="I895" s="19" t="s">
        <v>136</v>
      </c>
      <c r="J895" s="11" t="s">
        <v>42</v>
      </c>
      <c r="K895" s="108" t="s">
        <v>202</v>
      </c>
      <c r="N895" s="11" t="s">
        <v>95</v>
      </c>
      <c r="O895" s="11" t="s">
        <v>658</v>
      </c>
      <c r="P895" s="11" t="s">
        <v>44</v>
      </c>
      <c r="Q895" s="11" t="s">
        <v>44</v>
      </c>
      <c r="R895" s="11" t="s">
        <v>45</v>
      </c>
      <c r="S895" s="11" t="s">
        <v>45</v>
      </c>
      <c r="T895" s="11" t="s">
        <v>44</v>
      </c>
      <c r="U895" s="11" t="s">
        <v>44</v>
      </c>
      <c r="W895" s="11" t="s">
        <v>57</v>
      </c>
      <c r="X895" s="11" t="s">
        <v>97</v>
      </c>
      <c r="Y895" s="11" t="s">
        <v>97</v>
      </c>
      <c r="Z895" s="11">
        <v>81995211209</v>
      </c>
      <c r="AA895" s="11" t="s">
        <v>115</v>
      </c>
      <c r="AB895" s="11"/>
      <c r="AC895" s="11"/>
      <c r="AD895" s="11" t="b">
        <v>0</v>
      </c>
      <c r="AF895" s="11"/>
      <c r="AG895" s="11"/>
      <c r="AH895" s="11"/>
      <c r="AI895" s="11"/>
    </row>
    <row r="896" ht="12.5" spans="1:35">
      <c r="A896" s="177">
        <v>45279.7253176157</v>
      </c>
      <c r="B896" s="11" t="s">
        <v>3007</v>
      </c>
      <c r="C896" s="19">
        <v>71429101431</v>
      </c>
      <c r="D896" s="19">
        <v>701805248891170</v>
      </c>
      <c r="F896" s="11" t="s">
        <v>40</v>
      </c>
      <c r="G896" s="11" t="s">
        <v>41</v>
      </c>
      <c r="H896" s="24">
        <v>37355</v>
      </c>
      <c r="I896" s="277" t="s">
        <v>1657</v>
      </c>
      <c r="J896" s="11" t="s">
        <v>81</v>
      </c>
      <c r="K896" s="108"/>
      <c r="L896" s="11" t="s">
        <v>109</v>
      </c>
      <c r="N896" s="11" t="s">
        <v>95</v>
      </c>
      <c r="O896" s="11" t="s">
        <v>127</v>
      </c>
      <c r="P896" s="11" t="s">
        <v>44</v>
      </c>
      <c r="Q896" s="11" t="s">
        <v>44</v>
      </c>
      <c r="R896" s="11" t="s">
        <v>45</v>
      </c>
      <c r="S896" s="11" t="s">
        <v>45</v>
      </c>
      <c r="T896" s="11" t="s">
        <v>44</v>
      </c>
      <c r="U896" s="11" t="s">
        <v>44</v>
      </c>
      <c r="W896" s="11" t="s">
        <v>57</v>
      </c>
      <c r="X896" s="11" t="s">
        <v>97</v>
      </c>
      <c r="Y896" s="11" t="s">
        <v>97</v>
      </c>
      <c r="Z896" s="11">
        <v>81981323257</v>
      </c>
      <c r="AA896" s="11" t="s">
        <v>115</v>
      </c>
      <c r="AB896" s="11"/>
      <c r="AC896" s="11"/>
      <c r="AD896" s="11" t="b">
        <v>0</v>
      </c>
      <c r="AF896" s="11"/>
      <c r="AG896" s="11"/>
      <c r="AH896" s="11"/>
      <c r="AI896" s="11"/>
    </row>
    <row r="897" ht="12.5" spans="1:35">
      <c r="A897" s="177">
        <v>45279.7742562153</v>
      </c>
      <c r="B897" s="136" t="s">
        <v>3052</v>
      </c>
      <c r="C897" s="19">
        <v>1065749431</v>
      </c>
      <c r="D897" s="19">
        <v>703202606885594</v>
      </c>
      <c r="E897" s="18" t="s">
        <v>3053</v>
      </c>
      <c r="F897" s="136" t="s">
        <v>40</v>
      </c>
      <c r="G897" s="11" t="s">
        <v>41</v>
      </c>
      <c r="H897" s="24">
        <v>36443</v>
      </c>
      <c r="I897" s="277" t="s">
        <v>605</v>
      </c>
      <c r="J897" s="11" t="s">
        <v>42</v>
      </c>
      <c r="K897" s="108" t="s">
        <v>427</v>
      </c>
      <c r="N897" s="11" t="s">
        <v>43</v>
      </c>
      <c r="O897" s="11" t="s">
        <v>96</v>
      </c>
      <c r="P897" s="11" t="s">
        <v>66</v>
      </c>
      <c r="Q897" s="11" t="s">
        <v>44</v>
      </c>
      <c r="R897" s="11" t="s">
        <v>45</v>
      </c>
      <c r="S897" s="11" t="s">
        <v>45</v>
      </c>
      <c r="T897" s="11" t="s">
        <v>44</v>
      </c>
      <c r="U897" s="11" t="s">
        <v>45</v>
      </c>
      <c r="V897" s="24">
        <v>45280</v>
      </c>
      <c r="W897" s="11" t="s">
        <v>46</v>
      </c>
      <c r="X897" s="11" t="s">
        <v>203</v>
      </c>
      <c r="Y897" s="11" t="s">
        <v>58</v>
      </c>
      <c r="Z897" s="11">
        <v>81988791348</v>
      </c>
      <c r="AA897" s="11" t="s">
        <v>115</v>
      </c>
      <c r="AB897" s="11" t="s">
        <v>49</v>
      </c>
      <c r="AC897" s="11" t="s">
        <v>256</v>
      </c>
      <c r="AD897" s="11" t="b">
        <v>0</v>
      </c>
      <c r="AF897" s="11" t="s">
        <v>3054</v>
      </c>
      <c r="AG897" s="11" t="s">
        <v>3055</v>
      </c>
      <c r="AH897" s="11"/>
      <c r="AI897" s="11"/>
    </row>
    <row r="898" ht="12.5" spans="1:35">
      <c r="A898" s="177">
        <v>45279.8043094213</v>
      </c>
      <c r="B898" s="136" t="s">
        <v>1004</v>
      </c>
      <c r="C898" s="19">
        <v>14500412484</v>
      </c>
      <c r="D898" s="179">
        <v>898005174693865</v>
      </c>
      <c r="E898" s="18" t="s">
        <v>3056</v>
      </c>
      <c r="F898" s="136" t="s">
        <v>40</v>
      </c>
      <c r="G898" s="11" t="s">
        <v>41</v>
      </c>
      <c r="H898" s="24">
        <v>37179</v>
      </c>
      <c r="I898" s="277" t="s">
        <v>1006</v>
      </c>
      <c r="J898" s="11" t="s">
        <v>81</v>
      </c>
      <c r="K898" s="108"/>
      <c r="L898" s="11" t="s">
        <v>520</v>
      </c>
      <c r="N898" s="11" t="s">
        <v>43</v>
      </c>
      <c r="O898" s="11" t="s">
        <v>65</v>
      </c>
      <c r="P898" s="11" t="s">
        <v>66</v>
      </c>
      <c r="Q898" s="11" t="s">
        <v>44</v>
      </c>
      <c r="R898" s="11" t="s">
        <v>45</v>
      </c>
      <c r="S898" s="11" t="s">
        <v>45</v>
      </c>
      <c r="T898" s="11" t="s">
        <v>44</v>
      </c>
      <c r="U898" s="11" t="s">
        <v>45</v>
      </c>
      <c r="V898" s="24">
        <v>45280</v>
      </c>
      <c r="W898" s="11" t="s">
        <v>46</v>
      </c>
      <c r="X898" s="11" t="s">
        <v>203</v>
      </c>
      <c r="Y898" s="11" t="s">
        <v>58</v>
      </c>
      <c r="Z898" s="11">
        <v>81991067896</v>
      </c>
      <c r="AA898" s="11" t="s">
        <v>115</v>
      </c>
      <c r="AB898" s="11" t="s">
        <v>98</v>
      </c>
      <c r="AC898" s="11"/>
      <c r="AD898" s="11" t="b">
        <v>0</v>
      </c>
      <c r="AF898" s="11" t="s">
        <v>3057</v>
      </c>
      <c r="AG898" s="11" t="s">
        <v>3058</v>
      </c>
      <c r="AH898" s="11"/>
      <c r="AI898" s="11"/>
    </row>
    <row r="899" ht="12.5" spans="1:35">
      <c r="A899" s="177">
        <v>45280.3791163542</v>
      </c>
      <c r="B899" s="11" t="s">
        <v>3044</v>
      </c>
      <c r="C899" s="19">
        <v>11904965423</v>
      </c>
      <c r="D899" s="19">
        <v>705201424814778</v>
      </c>
      <c r="F899" s="11" t="s">
        <v>40</v>
      </c>
      <c r="G899" s="11" t="s">
        <v>54</v>
      </c>
      <c r="H899" s="24">
        <v>36087</v>
      </c>
      <c r="I899" s="277" t="s">
        <v>2454</v>
      </c>
      <c r="J899" s="11" t="s">
        <v>42</v>
      </c>
      <c r="K899" s="108" t="s">
        <v>2394</v>
      </c>
      <c r="N899" s="11" t="s">
        <v>95</v>
      </c>
      <c r="O899" s="11" t="s">
        <v>44</v>
      </c>
      <c r="P899" s="11" t="s">
        <v>44</v>
      </c>
      <c r="Q899" s="11" t="s">
        <v>44</v>
      </c>
      <c r="R899" s="11" t="s">
        <v>45</v>
      </c>
      <c r="S899" s="11" t="s">
        <v>45</v>
      </c>
      <c r="T899" s="11" t="s">
        <v>44</v>
      </c>
      <c r="U899" s="11" t="s">
        <v>45</v>
      </c>
      <c r="V899" s="24">
        <v>45282</v>
      </c>
      <c r="W899" s="11" t="s">
        <v>57</v>
      </c>
      <c r="X899" s="11" t="s">
        <v>97</v>
      </c>
      <c r="Y899" s="11" t="s">
        <v>97</v>
      </c>
      <c r="Z899" s="11">
        <v>81985740050</v>
      </c>
      <c r="AA899" s="11" t="s">
        <v>113</v>
      </c>
      <c r="AB899" s="11" t="s">
        <v>98</v>
      </c>
      <c r="AC899" s="11"/>
      <c r="AD899" s="11" t="b">
        <v>0</v>
      </c>
      <c r="AF899" s="11" t="s">
        <v>3059</v>
      </c>
      <c r="AG899" s="11" t="s">
        <v>3060</v>
      </c>
      <c r="AH899" s="11"/>
      <c r="AI899" s="11"/>
    </row>
    <row r="900" ht="12.5" spans="1:35">
      <c r="A900" s="177">
        <v>45280.3929337616</v>
      </c>
      <c r="B900" s="11" t="s">
        <v>3036</v>
      </c>
      <c r="C900" s="277" t="s">
        <v>3037</v>
      </c>
      <c r="D900" s="19">
        <v>700503438361760</v>
      </c>
      <c r="E900" s="18" t="s">
        <v>3061</v>
      </c>
      <c r="F900" s="11" t="s">
        <v>40</v>
      </c>
      <c r="G900" s="11" t="s">
        <v>54</v>
      </c>
      <c r="H900" s="24">
        <v>29660</v>
      </c>
      <c r="I900" s="277" t="s">
        <v>3062</v>
      </c>
      <c r="J900" s="11" t="s">
        <v>42</v>
      </c>
      <c r="K900" s="108" t="s">
        <v>427</v>
      </c>
      <c r="N900" s="11" t="s">
        <v>43</v>
      </c>
      <c r="O900" s="11" t="s">
        <v>96</v>
      </c>
      <c r="P900" s="11" t="s">
        <v>56</v>
      </c>
      <c r="Q900" s="11" t="s">
        <v>45</v>
      </c>
      <c r="R900" s="11" t="s">
        <v>45</v>
      </c>
      <c r="S900" s="11" t="s">
        <v>45</v>
      </c>
      <c r="T900" s="11" t="s">
        <v>44</v>
      </c>
      <c r="U900" s="11" t="s">
        <v>45</v>
      </c>
      <c r="V900" s="24">
        <v>45281</v>
      </c>
      <c r="W900" s="11" t="s">
        <v>46</v>
      </c>
      <c r="X900" s="254" t="s">
        <v>67</v>
      </c>
      <c r="Y900" s="11" t="s">
        <v>58</v>
      </c>
      <c r="Z900" s="11">
        <v>81986701653</v>
      </c>
      <c r="AA900" s="11" t="s">
        <v>1360</v>
      </c>
      <c r="AB900" s="11" t="s">
        <v>98</v>
      </c>
      <c r="AC900" s="11"/>
      <c r="AD900" s="11" t="b">
        <v>0</v>
      </c>
      <c r="AF900" s="11" t="s">
        <v>3063</v>
      </c>
      <c r="AG900" s="11"/>
      <c r="AH900" s="11"/>
      <c r="AI900" s="11"/>
    </row>
    <row r="901" ht="12.5" spans="1:35">
      <c r="A901" s="177">
        <v>45280.4433260417</v>
      </c>
      <c r="B901" s="136" t="s">
        <v>3020</v>
      </c>
      <c r="C901" s="19">
        <v>70808893408</v>
      </c>
      <c r="D901" s="19">
        <v>705006070731455</v>
      </c>
      <c r="E901" s="18" t="s">
        <v>3064</v>
      </c>
      <c r="F901" s="11" t="s">
        <v>40</v>
      </c>
      <c r="G901" s="11" t="s">
        <v>54</v>
      </c>
      <c r="H901" s="24">
        <v>35564</v>
      </c>
      <c r="I901" s="277" t="s">
        <v>3065</v>
      </c>
      <c r="J901" s="11" t="s">
        <v>42</v>
      </c>
      <c r="K901" s="108" t="s">
        <v>282</v>
      </c>
      <c r="N901" s="11" t="s">
        <v>95</v>
      </c>
      <c r="O901" s="11" t="s">
        <v>44</v>
      </c>
      <c r="P901" s="11" t="s">
        <v>44</v>
      </c>
      <c r="Q901" s="11" t="s">
        <v>44</v>
      </c>
      <c r="R901" s="11" t="s">
        <v>45</v>
      </c>
      <c r="S901" s="11" t="s">
        <v>45</v>
      </c>
      <c r="T901" s="11" t="s">
        <v>44</v>
      </c>
      <c r="U901" s="11" t="s">
        <v>44</v>
      </c>
      <c r="W901" s="11" t="s">
        <v>46</v>
      </c>
      <c r="X901" s="11" t="s">
        <v>97</v>
      </c>
      <c r="Y901" s="11" t="s">
        <v>97</v>
      </c>
      <c r="Z901" s="11">
        <v>81988921498</v>
      </c>
      <c r="AA901" s="11" t="s">
        <v>1360</v>
      </c>
      <c r="AB901" s="11"/>
      <c r="AC901" s="11"/>
      <c r="AD901" s="11" t="b">
        <v>0</v>
      </c>
      <c r="AF901" s="11"/>
      <c r="AG901" s="11"/>
      <c r="AH901" s="11"/>
      <c r="AI901" s="11"/>
    </row>
    <row r="902" ht="12.5" spans="1:35">
      <c r="A902" s="216">
        <v>45280.5241622454</v>
      </c>
      <c r="B902" s="136" t="s">
        <v>3066</v>
      </c>
      <c r="C902" s="217">
        <v>11984497480</v>
      </c>
      <c r="D902" s="19">
        <v>703403268268213</v>
      </c>
      <c r="E902" s="218" t="s">
        <v>3067</v>
      </c>
      <c r="F902" s="136" t="s">
        <v>40</v>
      </c>
      <c r="G902" s="136" t="s">
        <v>54</v>
      </c>
      <c r="H902" s="219">
        <v>36478</v>
      </c>
      <c r="I902" s="256">
        <v>45198</v>
      </c>
      <c r="J902" s="136" t="s">
        <v>42</v>
      </c>
      <c r="K902" s="220" t="s">
        <v>1083</v>
      </c>
      <c r="L902" s="136"/>
      <c r="M902" s="136"/>
      <c r="N902" s="136" t="s">
        <v>43</v>
      </c>
      <c r="O902" s="136" t="s">
        <v>96</v>
      </c>
      <c r="P902" s="136" t="s">
        <v>56</v>
      </c>
      <c r="Q902" s="136" t="s">
        <v>44</v>
      </c>
      <c r="R902" s="136" t="s">
        <v>45</v>
      </c>
      <c r="S902" s="136" t="s">
        <v>83</v>
      </c>
      <c r="T902" s="136" t="s">
        <v>44</v>
      </c>
      <c r="U902" s="136" t="s">
        <v>45</v>
      </c>
      <c r="V902" s="24">
        <v>45281</v>
      </c>
      <c r="W902" s="11" t="s">
        <v>46</v>
      </c>
      <c r="X902" s="11" t="s">
        <v>47</v>
      </c>
      <c r="Y902" s="11" t="s">
        <v>58</v>
      </c>
      <c r="Z902" s="11">
        <v>81996320248</v>
      </c>
      <c r="AA902" s="11" t="s">
        <v>103</v>
      </c>
      <c r="AB902" s="11" t="s">
        <v>49</v>
      </c>
      <c r="AC902" s="11" t="s">
        <v>75</v>
      </c>
      <c r="AD902" s="11" t="b">
        <v>1</v>
      </c>
      <c r="AE902" s="11" t="s">
        <v>137</v>
      </c>
      <c r="AF902" s="11" t="s">
        <v>3068</v>
      </c>
      <c r="AG902" s="11"/>
      <c r="AH902" s="11"/>
      <c r="AI902" s="11"/>
    </row>
    <row r="903" ht="12.5" spans="1:35">
      <c r="A903" s="177">
        <v>45280.5942766898</v>
      </c>
      <c r="B903" s="11" t="s">
        <v>3047</v>
      </c>
      <c r="C903" s="19">
        <v>71631042432</v>
      </c>
      <c r="D903" s="19">
        <v>705404474201797</v>
      </c>
      <c r="F903" s="11" t="s">
        <v>40</v>
      </c>
      <c r="G903" s="11" t="s">
        <v>54</v>
      </c>
      <c r="H903" s="24">
        <v>36302</v>
      </c>
      <c r="I903" s="277" t="s">
        <v>3049</v>
      </c>
      <c r="J903" s="11" t="s">
        <v>42</v>
      </c>
      <c r="K903" s="108" t="s">
        <v>282</v>
      </c>
      <c r="N903" s="11" t="s">
        <v>95</v>
      </c>
      <c r="O903" s="11" t="s">
        <v>658</v>
      </c>
      <c r="P903" s="11" t="s">
        <v>44</v>
      </c>
      <c r="Q903" s="11" t="s">
        <v>44</v>
      </c>
      <c r="R903" s="11" t="s">
        <v>45</v>
      </c>
      <c r="S903" s="11" t="s">
        <v>45</v>
      </c>
      <c r="T903" s="11" t="s">
        <v>44</v>
      </c>
      <c r="U903" s="11" t="s">
        <v>44</v>
      </c>
      <c r="W903" s="11" t="s">
        <v>57</v>
      </c>
      <c r="X903" s="11" t="s">
        <v>97</v>
      </c>
      <c r="Y903" s="11" t="s">
        <v>97</v>
      </c>
      <c r="Z903" s="11">
        <v>81995960230</v>
      </c>
      <c r="AA903" s="11" t="s">
        <v>1360</v>
      </c>
      <c r="AB903" s="11"/>
      <c r="AC903" s="11"/>
      <c r="AD903" s="11" t="b">
        <v>0</v>
      </c>
      <c r="AF903" s="11"/>
      <c r="AG903" s="11"/>
      <c r="AH903" s="11"/>
      <c r="AI903" s="11"/>
    </row>
    <row r="904" ht="12.5" spans="1:35">
      <c r="A904" s="177">
        <v>45280.613533206</v>
      </c>
      <c r="B904" s="136" t="s">
        <v>3052</v>
      </c>
      <c r="C904" s="19">
        <v>10657449431</v>
      </c>
      <c r="D904" s="19">
        <v>703202606885594</v>
      </c>
      <c r="F904" s="11" t="s">
        <v>40</v>
      </c>
      <c r="G904" s="11" t="s">
        <v>41</v>
      </c>
      <c r="H904" s="24">
        <v>36443</v>
      </c>
      <c r="I904" s="277" t="s">
        <v>605</v>
      </c>
      <c r="J904" s="11" t="s">
        <v>42</v>
      </c>
      <c r="K904" s="108" t="s">
        <v>427</v>
      </c>
      <c r="N904" s="11" t="s">
        <v>95</v>
      </c>
      <c r="O904" s="11" t="s">
        <v>44</v>
      </c>
      <c r="P904" s="11" t="s">
        <v>44</v>
      </c>
      <c r="Q904" s="11" t="s">
        <v>44</v>
      </c>
      <c r="R904" s="11" t="s">
        <v>45</v>
      </c>
      <c r="S904" s="11" t="s">
        <v>45</v>
      </c>
      <c r="T904" s="11" t="s">
        <v>44</v>
      </c>
      <c r="U904" s="11" t="s">
        <v>45</v>
      </c>
      <c r="V904" s="24">
        <v>45281</v>
      </c>
      <c r="W904" s="11" t="s">
        <v>57</v>
      </c>
      <c r="X904" s="11" t="s">
        <v>97</v>
      </c>
      <c r="Y904" s="11" t="s">
        <v>97</v>
      </c>
      <c r="Z904" s="11">
        <v>81988791348</v>
      </c>
      <c r="AA904" s="11" t="s">
        <v>1360</v>
      </c>
      <c r="AB904" s="11" t="s">
        <v>98</v>
      </c>
      <c r="AC904" s="11"/>
      <c r="AD904" s="11" t="b">
        <v>0</v>
      </c>
      <c r="AF904" s="11" t="s">
        <v>3069</v>
      </c>
      <c r="AG904" s="11"/>
      <c r="AH904" s="11"/>
      <c r="AI904" s="11"/>
    </row>
    <row r="905" ht="12.5" spans="1:35">
      <c r="A905" s="177">
        <v>45280.8428103472</v>
      </c>
      <c r="B905" s="136" t="s">
        <v>3070</v>
      </c>
      <c r="C905" s="277" t="s">
        <v>3071</v>
      </c>
      <c r="D905" s="19">
        <v>702601274645447</v>
      </c>
      <c r="E905" s="18" t="s">
        <v>3072</v>
      </c>
      <c r="F905" s="136" t="s">
        <v>40</v>
      </c>
      <c r="G905" s="11" t="s">
        <v>54</v>
      </c>
      <c r="H905" s="24">
        <v>33306</v>
      </c>
      <c r="I905" s="277" t="s">
        <v>3073</v>
      </c>
      <c r="J905" s="11" t="s">
        <v>42</v>
      </c>
      <c r="K905" s="108" t="s">
        <v>155</v>
      </c>
      <c r="N905" s="11" t="s">
        <v>43</v>
      </c>
      <c r="O905" s="11" t="s">
        <v>44</v>
      </c>
      <c r="P905" s="11" t="s">
        <v>44</v>
      </c>
      <c r="Q905" s="11" t="s">
        <v>45</v>
      </c>
      <c r="R905" s="11" t="s">
        <v>45</v>
      </c>
      <c r="S905" s="11" t="s">
        <v>45</v>
      </c>
      <c r="T905" s="11" t="s">
        <v>44</v>
      </c>
      <c r="U905" s="11" t="s">
        <v>45</v>
      </c>
      <c r="V905" s="24">
        <v>45282</v>
      </c>
      <c r="W905" s="11" t="s">
        <v>46</v>
      </c>
      <c r="X905" s="11" t="s">
        <v>203</v>
      </c>
      <c r="Y905" s="11" t="s">
        <v>58</v>
      </c>
      <c r="Z905" s="11">
        <v>81992130286</v>
      </c>
      <c r="AA905" s="11" t="s">
        <v>1360</v>
      </c>
      <c r="AB905" s="11" t="s">
        <v>49</v>
      </c>
      <c r="AC905" s="11" t="s">
        <v>106</v>
      </c>
      <c r="AD905" s="11" t="b">
        <v>1</v>
      </c>
      <c r="AE905" s="11" t="s">
        <v>137</v>
      </c>
      <c r="AF905" s="11" t="s">
        <v>3074</v>
      </c>
      <c r="AG905" s="11"/>
      <c r="AH905" s="11" t="s">
        <v>3075</v>
      </c>
      <c r="AI905" s="11"/>
    </row>
    <row r="906" ht="12.5" spans="1:35">
      <c r="A906" s="177">
        <v>45281.393794456</v>
      </c>
      <c r="B906" s="11" t="s">
        <v>3076</v>
      </c>
      <c r="C906" s="19">
        <v>11066349428</v>
      </c>
      <c r="D906" s="19">
        <v>707803605040017</v>
      </c>
      <c r="E906" s="18" t="s">
        <v>3077</v>
      </c>
      <c r="F906" s="11" t="s">
        <v>40</v>
      </c>
      <c r="G906" s="11" t="s">
        <v>54</v>
      </c>
      <c r="H906" s="24">
        <v>35115</v>
      </c>
      <c r="I906" s="277" t="s">
        <v>1601</v>
      </c>
      <c r="J906" s="11" t="s">
        <v>42</v>
      </c>
      <c r="K906" s="108" t="s">
        <v>74</v>
      </c>
      <c r="N906" s="11" t="s">
        <v>43</v>
      </c>
      <c r="O906" s="11" t="s">
        <v>96</v>
      </c>
      <c r="P906" s="11" t="s">
        <v>56</v>
      </c>
      <c r="Q906" s="11" t="s">
        <v>44</v>
      </c>
      <c r="R906" s="11" t="s">
        <v>45</v>
      </c>
      <c r="S906" s="11" t="s">
        <v>45</v>
      </c>
      <c r="T906" s="11" t="s">
        <v>45</v>
      </c>
      <c r="U906" s="11" t="s">
        <v>45</v>
      </c>
      <c r="V906" s="24">
        <v>45282</v>
      </c>
      <c r="W906" s="11" t="s">
        <v>46</v>
      </c>
      <c r="X906" s="11" t="s">
        <v>47</v>
      </c>
      <c r="Y906" s="11" t="s">
        <v>58</v>
      </c>
      <c r="Z906" s="11">
        <v>81999382889</v>
      </c>
      <c r="AA906" s="11" t="s">
        <v>2835</v>
      </c>
      <c r="AB906" s="11" t="s">
        <v>98</v>
      </c>
      <c r="AC906" s="11"/>
      <c r="AD906" s="11" t="b">
        <v>0</v>
      </c>
      <c r="AF906" s="11" t="s">
        <v>3078</v>
      </c>
      <c r="AG906" s="11" t="s">
        <v>3079</v>
      </c>
      <c r="AH906" s="11"/>
      <c r="AI906" s="11"/>
    </row>
    <row r="907" ht="12.5" spans="1:35">
      <c r="A907" s="177">
        <v>45281.4203584259</v>
      </c>
      <c r="B907" s="11" t="s">
        <v>3080</v>
      </c>
      <c r="C907" s="277" t="s">
        <v>3081</v>
      </c>
      <c r="D907" s="19">
        <v>704305563905890</v>
      </c>
      <c r="E907" s="18" t="s">
        <v>3082</v>
      </c>
      <c r="F907" s="11" t="s">
        <v>40</v>
      </c>
      <c r="G907" s="11" t="s">
        <v>54</v>
      </c>
      <c r="H907" s="24">
        <v>33955</v>
      </c>
      <c r="I907" s="277" t="s">
        <v>3083</v>
      </c>
      <c r="J907" s="11" t="s">
        <v>42</v>
      </c>
      <c r="K907" s="108" t="s">
        <v>202</v>
      </c>
      <c r="N907" s="11" t="s">
        <v>43</v>
      </c>
      <c r="O907" s="11" t="s">
        <v>44</v>
      </c>
      <c r="P907" s="11" t="s">
        <v>56</v>
      </c>
      <c r="Q907" s="11" t="s">
        <v>45</v>
      </c>
      <c r="R907" s="11" t="s">
        <v>45</v>
      </c>
      <c r="S907" s="11" t="s">
        <v>45</v>
      </c>
      <c r="T907" s="11" t="s">
        <v>44</v>
      </c>
      <c r="U907" s="11" t="s">
        <v>45</v>
      </c>
      <c r="V907" s="24">
        <v>45282</v>
      </c>
      <c r="W907" s="11" t="s">
        <v>46</v>
      </c>
      <c r="X907" s="11" t="s">
        <v>47</v>
      </c>
      <c r="Y907" s="11" t="s">
        <v>58</v>
      </c>
      <c r="Z907" s="11">
        <v>81984251260</v>
      </c>
      <c r="AA907" s="11" t="s">
        <v>113</v>
      </c>
      <c r="AB907" s="11" t="s">
        <v>49</v>
      </c>
      <c r="AC907" s="11" t="s">
        <v>256</v>
      </c>
      <c r="AD907" s="11" t="b">
        <v>0</v>
      </c>
      <c r="AF907" s="11" t="s">
        <v>3084</v>
      </c>
      <c r="AG907" s="11"/>
      <c r="AH907" s="11"/>
      <c r="AI907" s="11"/>
    </row>
    <row r="908" ht="12.5" spans="1:35">
      <c r="A908" s="216">
        <v>45281.4946517245</v>
      </c>
      <c r="B908" s="136" t="s">
        <v>3066</v>
      </c>
      <c r="C908" s="217">
        <v>11984497480</v>
      </c>
      <c r="D908" s="19">
        <v>703403268268213</v>
      </c>
      <c r="E908" s="218" t="s">
        <v>3085</v>
      </c>
      <c r="F908" s="136" t="s">
        <v>40</v>
      </c>
      <c r="G908" s="136" t="s">
        <v>54</v>
      </c>
      <c r="H908" s="219">
        <v>36478</v>
      </c>
      <c r="I908" s="281" t="s">
        <v>3086</v>
      </c>
      <c r="J908" s="136" t="s">
        <v>42</v>
      </c>
      <c r="K908" s="220" t="s">
        <v>1083</v>
      </c>
      <c r="L908" s="136"/>
      <c r="M908" s="136"/>
      <c r="N908" s="136" t="s">
        <v>95</v>
      </c>
      <c r="O908" s="136" t="s">
        <v>44</v>
      </c>
      <c r="P908" s="136" t="s">
        <v>44</v>
      </c>
      <c r="Q908" s="136" t="s">
        <v>45</v>
      </c>
      <c r="R908" s="136" t="s">
        <v>45</v>
      </c>
      <c r="S908" s="136" t="s">
        <v>83</v>
      </c>
      <c r="T908" s="136" t="s">
        <v>44</v>
      </c>
      <c r="U908" s="136" t="s">
        <v>45</v>
      </c>
      <c r="V908" s="219">
        <v>45289</v>
      </c>
      <c r="W908" s="11" t="s">
        <v>57</v>
      </c>
      <c r="X908" s="11" t="s">
        <v>97</v>
      </c>
      <c r="Y908" s="11" t="s">
        <v>97</v>
      </c>
      <c r="Z908" s="11">
        <v>81996320248</v>
      </c>
      <c r="AA908" s="11" t="s">
        <v>113</v>
      </c>
      <c r="AB908" s="11" t="s">
        <v>49</v>
      </c>
      <c r="AC908" s="11"/>
      <c r="AD908" s="11" t="b">
        <v>1</v>
      </c>
      <c r="AE908" s="11" t="s">
        <v>137</v>
      </c>
      <c r="AF908" s="11" t="s">
        <v>3087</v>
      </c>
      <c r="AG908" s="11"/>
      <c r="AH908" s="11"/>
      <c r="AI908" s="11"/>
    </row>
    <row r="909" ht="12.5" spans="1:35">
      <c r="A909" s="177">
        <v>45281.6067279051</v>
      </c>
      <c r="B909" s="11" t="s">
        <v>3088</v>
      </c>
      <c r="C909" s="19">
        <v>10909927421</v>
      </c>
      <c r="D909" s="19">
        <v>704000838863067</v>
      </c>
      <c r="E909" s="18" t="s">
        <v>3089</v>
      </c>
      <c r="F909" s="136" t="s">
        <v>40</v>
      </c>
      <c r="G909" s="11" t="s">
        <v>54</v>
      </c>
      <c r="H909" s="24">
        <v>37698</v>
      </c>
      <c r="I909" s="277" t="s">
        <v>3090</v>
      </c>
      <c r="J909" s="11" t="s">
        <v>42</v>
      </c>
      <c r="K909" s="108" t="s">
        <v>399</v>
      </c>
      <c r="N909" s="11" t="s">
        <v>43</v>
      </c>
      <c r="O909" s="11" t="s">
        <v>96</v>
      </c>
      <c r="P909" s="11" t="s">
        <v>66</v>
      </c>
      <c r="Q909" s="11" t="s">
        <v>44</v>
      </c>
      <c r="R909" s="11" t="s">
        <v>45</v>
      </c>
      <c r="S909" s="11" t="s">
        <v>44</v>
      </c>
      <c r="T909" s="11" t="s">
        <v>44</v>
      </c>
      <c r="U909" s="11" t="s">
        <v>45</v>
      </c>
      <c r="V909" s="24">
        <v>45282</v>
      </c>
      <c r="W909" s="11" t="s">
        <v>46</v>
      </c>
      <c r="X909" s="11" t="s">
        <v>47</v>
      </c>
      <c r="Y909" s="11" t="s">
        <v>58</v>
      </c>
      <c r="Z909" s="11">
        <v>81998641117</v>
      </c>
      <c r="AA909" s="11" t="s">
        <v>2835</v>
      </c>
      <c r="AB909" s="11" t="s">
        <v>49</v>
      </c>
      <c r="AC909" s="11" t="s">
        <v>256</v>
      </c>
      <c r="AD909" s="11" t="b">
        <v>1</v>
      </c>
      <c r="AE909" s="11" t="s">
        <v>137</v>
      </c>
      <c r="AF909" s="11" t="s">
        <v>3091</v>
      </c>
      <c r="AG909" s="11"/>
      <c r="AH909" s="11" t="s">
        <v>3092</v>
      </c>
      <c r="AI909" s="11"/>
    </row>
    <row r="910" ht="12.5" spans="1:35">
      <c r="A910" s="177">
        <v>45281.6928620833</v>
      </c>
      <c r="B910" s="11" t="s">
        <v>3093</v>
      </c>
      <c r="C910" s="19">
        <v>70425234401</v>
      </c>
      <c r="D910" s="19">
        <v>708601566411089</v>
      </c>
      <c r="E910" s="18" t="s">
        <v>3094</v>
      </c>
      <c r="F910" s="11" t="s">
        <v>40</v>
      </c>
      <c r="G910" s="11" t="s">
        <v>54</v>
      </c>
      <c r="H910" s="24">
        <v>36519</v>
      </c>
      <c r="I910" s="277" t="s">
        <v>3095</v>
      </c>
      <c r="J910" s="11" t="s">
        <v>42</v>
      </c>
      <c r="K910" s="108" t="s">
        <v>1996</v>
      </c>
      <c r="N910" s="11" t="s">
        <v>43</v>
      </c>
      <c r="O910" s="11" t="s">
        <v>44</v>
      </c>
      <c r="P910" s="11" t="s">
        <v>56</v>
      </c>
      <c r="Q910" s="11" t="s">
        <v>44</v>
      </c>
      <c r="R910" s="11" t="s">
        <v>44</v>
      </c>
      <c r="S910" s="11" t="s">
        <v>44</v>
      </c>
      <c r="T910" s="11" t="s">
        <v>44</v>
      </c>
      <c r="U910" s="11" t="s">
        <v>45</v>
      </c>
      <c r="V910" s="24">
        <v>45283</v>
      </c>
      <c r="W910" s="11" t="s">
        <v>46</v>
      </c>
      <c r="X910" s="11" t="s">
        <v>47</v>
      </c>
      <c r="Y910" s="11" t="s">
        <v>58</v>
      </c>
      <c r="Z910" s="11">
        <v>81991610989</v>
      </c>
      <c r="AA910" s="11" t="s">
        <v>105</v>
      </c>
      <c r="AB910" s="11" t="s">
        <v>98</v>
      </c>
      <c r="AC910" s="11"/>
      <c r="AD910" s="11" t="b">
        <v>0</v>
      </c>
      <c r="AF910" s="11" t="s">
        <v>3096</v>
      </c>
      <c r="AG910" s="11" t="s">
        <v>3097</v>
      </c>
      <c r="AH910" s="11"/>
      <c r="AI910" s="11"/>
    </row>
    <row r="911" ht="12.5" spans="1:35">
      <c r="A911" s="177">
        <v>45281.74019875</v>
      </c>
      <c r="B911" s="11" t="s">
        <v>3066</v>
      </c>
      <c r="C911" s="19">
        <v>11984497480</v>
      </c>
      <c r="D911" s="19">
        <v>703403268268213</v>
      </c>
      <c r="E911" s="18" t="s">
        <v>3098</v>
      </c>
      <c r="F911" s="136" t="s">
        <v>40</v>
      </c>
      <c r="G911" s="11" t="s">
        <v>54</v>
      </c>
      <c r="H911" s="24">
        <v>36478</v>
      </c>
      <c r="I911" s="277" t="s">
        <v>3086</v>
      </c>
      <c r="J911" s="11" t="s">
        <v>42</v>
      </c>
      <c r="K911" s="108" t="s">
        <v>2394</v>
      </c>
      <c r="N911" s="11" t="s">
        <v>43</v>
      </c>
      <c r="O911" s="11" t="s">
        <v>65</v>
      </c>
      <c r="P911" s="11" t="s">
        <v>66</v>
      </c>
      <c r="Q911" s="11" t="s">
        <v>44</v>
      </c>
      <c r="R911" s="11" t="s">
        <v>45</v>
      </c>
      <c r="S911" s="11" t="s">
        <v>45</v>
      </c>
      <c r="T911" s="11" t="s">
        <v>44</v>
      </c>
      <c r="U911" s="11" t="s">
        <v>45</v>
      </c>
      <c r="V911" s="24">
        <v>45282</v>
      </c>
      <c r="W911" s="11" t="s">
        <v>46</v>
      </c>
      <c r="X911" s="11" t="s">
        <v>47</v>
      </c>
      <c r="Y911" s="11" t="s">
        <v>58</v>
      </c>
      <c r="Z911" s="11">
        <v>81996320248</v>
      </c>
      <c r="AA911" s="11" t="s">
        <v>105</v>
      </c>
      <c r="AB911" s="11" t="s">
        <v>49</v>
      </c>
      <c r="AC911" s="11" t="s">
        <v>256</v>
      </c>
      <c r="AD911" s="11" t="b">
        <v>1</v>
      </c>
      <c r="AE911" s="11" t="s">
        <v>137</v>
      </c>
      <c r="AF911" s="11" t="s">
        <v>3099</v>
      </c>
      <c r="AG911" s="11"/>
      <c r="AH911" s="11"/>
      <c r="AI911" s="11"/>
    </row>
    <row r="912" ht="12.5" spans="1:35">
      <c r="A912" s="177">
        <v>45282.4371395833</v>
      </c>
      <c r="B912" s="11" t="s">
        <v>3070</v>
      </c>
      <c r="C912" s="277" t="s">
        <v>3071</v>
      </c>
      <c r="D912" s="19">
        <v>702601274645447</v>
      </c>
      <c r="E912" s="18" t="s">
        <v>3100</v>
      </c>
      <c r="F912" s="11" t="s">
        <v>40</v>
      </c>
      <c r="G912" s="11" t="s">
        <v>54</v>
      </c>
      <c r="H912" s="24">
        <v>33306</v>
      </c>
      <c r="I912" s="277" t="s">
        <v>3073</v>
      </c>
      <c r="J912" s="11" t="s">
        <v>42</v>
      </c>
      <c r="K912" s="108" t="s">
        <v>155</v>
      </c>
      <c r="N912" s="11" t="s">
        <v>95</v>
      </c>
      <c r="O912" s="11" t="s">
        <v>44</v>
      </c>
      <c r="P912" s="11" t="s">
        <v>44</v>
      </c>
      <c r="Q912" s="11" t="s">
        <v>45</v>
      </c>
      <c r="R912" s="11" t="s">
        <v>45</v>
      </c>
      <c r="S912" s="11" t="s">
        <v>45</v>
      </c>
      <c r="T912" s="11" t="s">
        <v>44</v>
      </c>
      <c r="U912" s="11" t="s">
        <v>44</v>
      </c>
      <c r="W912" s="11" t="s">
        <v>46</v>
      </c>
      <c r="X912" s="11" t="s">
        <v>97</v>
      </c>
      <c r="Y912" s="11" t="s">
        <v>97</v>
      </c>
      <c r="Z912" s="11">
        <v>81992130286</v>
      </c>
      <c r="AA912" s="11" t="s">
        <v>103</v>
      </c>
      <c r="AB912" s="11"/>
      <c r="AC912" s="11"/>
      <c r="AD912" s="11" t="b">
        <v>0</v>
      </c>
      <c r="AF912" s="11"/>
      <c r="AG912" s="11"/>
      <c r="AH912" s="11"/>
      <c r="AI912" s="11"/>
    </row>
    <row r="913" ht="12.5" spans="1:35">
      <c r="A913" s="177">
        <v>45282.4553864468</v>
      </c>
      <c r="B913" s="11" t="s">
        <v>2866</v>
      </c>
      <c r="C913" s="19">
        <v>13380297461</v>
      </c>
      <c r="D913" s="19">
        <v>703408691844200</v>
      </c>
      <c r="E913" s="18" t="s">
        <v>3101</v>
      </c>
      <c r="F913" s="11" t="s">
        <v>40</v>
      </c>
      <c r="G913" s="11" t="s">
        <v>54</v>
      </c>
      <c r="H913" s="24">
        <v>38425</v>
      </c>
      <c r="I913" s="277" t="s">
        <v>2868</v>
      </c>
      <c r="J913" s="11" t="s">
        <v>42</v>
      </c>
      <c r="K913" s="108" t="s">
        <v>427</v>
      </c>
      <c r="N913" s="11" t="s">
        <v>43</v>
      </c>
      <c r="O913" s="11" t="s">
        <v>96</v>
      </c>
      <c r="P913" s="11" t="s">
        <v>66</v>
      </c>
      <c r="Q913" s="11" t="s">
        <v>45</v>
      </c>
      <c r="R913" s="11" t="s">
        <v>45</v>
      </c>
      <c r="S913" s="11" t="s">
        <v>45</v>
      </c>
      <c r="T913" s="11" t="s">
        <v>44</v>
      </c>
      <c r="U913" s="11" t="s">
        <v>45</v>
      </c>
      <c r="V913" s="24">
        <v>45283</v>
      </c>
      <c r="W913" s="11" t="s">
        <v>46</v>
      </c>
      <c r="X913" s="64" t="s">
        <v>203</v>
      </c>
      <c r="Y913" s="11" t="s">
        <v>58</v>
      </c>
      <c r="Z913" s="11">
        <v>81998540547</v>
      </c>
      <c r="AA913" s="11" t="s">
        <v>103</v>
      </c>
      <c r="AB913" s="11" t="s">
        <v>49</v>
      </c>
      <c r="AC913" s="11" t="s">
        <v>75</v>
      </c>
      <c r="AD913" s="11" t="b">
        <v>0</v>
      </c>
      <c r="AF913" s="11" t="s">
        <v>3102</v>
      </c>
      <c r="AG913" s="11"/>
      <c r="AH913" s="11"/>
      <c r="AI913" s="11"/>
    </row>
    <row r="914" ht="12.5" spans="1:35">
      <c r="A914" s="177">
        <v>45282.4566834028</v>
      </c>
      <c r="B914" s="11" t="s">
        <v>3103</v>
      </c>
      <c r="C914" s="278" t="s">
        <v>3081</v>
      </c>
      <c r="D914" s="19">
        <v>704305563905890</v>
      </c>
      <c r="F914" s="136" t="s">
        <v>40</v>
      </c>
      <c r="G914" s="11" t="s">
        <v>54</v>
      </c>
      <c r="H914" s="24">
        <v>33955</v>
      </c>
      <c r="I914" s="277" t="s">
        <v>3104</v>
      </c>
      <c r="J914" s="11" t="s">
        <v>81</v>
      </c>
      <c r="K914" s="108"/>
      <c r="L914" s="11" t="s">
        <v>109</v>
      </c>
      <c r="N914" s="11" t="s">
        <v>95</v>
      </c>
      <c r="O914" s="11" t="s">
        <v>127</v>
      </c>
      <c r="P914" s="11" t="s">
        <v>44</v>
      </c>
      <c r="Q914" s="11" t="s">
        <v>44</v>
      </c>
      <c r="R914" s="11" t="s">
        <v>45</v>
      </c>
      <c r="S914" s="11" t="s">
        <v>45</v>
      </c>
      <c r="T914" s="11" t="s">
        <v>44</v>
      </c>
      <c r="U914" s="11" t="s">
        <v>44</v>
      </c>
      <c r="W914" s="11" t="s">
        <v>57</v>
      </c>
      <c r="X914" s="11" t="s">
        <v>97</v>
      </c>
      <c r="Y914" s="11" t="s">
        <v>97</v>
      </c>
      <c r="Z914" s="11">
        <v>81984251260</v>
      </c>
      <c r="AA914" s="11" t="s">
        <v>1360</v>
      </c>
      <c r="AB914" s="11"/>
      <c r="AC914" s="11"/>
      <c r="AD914" s="11" t="b">
        <v>0</v>
      </c>
      <c r="AF914" s="11"/>
      <c r="AG914" s="11"/>
      <c r="AH914" s="11"/>
      <c r="AI914" s="11"/>
    </row>
    <row r="915" ht="12.5" spans="1:35">
      <c r="A915" s="216">
        <v>45282.6272191435</v>
      </c>
      <c r="B915" s="136" t="s">
        <v>3066</v>
      </c>
      <c r="C915" s="255">
        <v>11984497480</v>
      </c>
      <c r="D915" s="19">
        <v>703403268268213</v>
      </c>
      <c r="E915" s="218" t="s">
        <v>3105</v>
      </c>
      <c r="F915" s="136" t="s">
        <v>40</v>
      </c>
      <c r="G915" s="136" t="s">
        <v>54</v>
      </c>
      <c r="H915" s="219">
        <v>36478</v>
      </c>
      <c r="I915" s="281" t="s">
        <v>3106</v>
      </c>
      <c r="J915" s="136" t="s">
        <v>42</v>
      </c>
      <c r="K915" s="220" t="s">
        <v>2394</v>
      </c>
      <c r="L915" s="136"/>
      <c r="M915" s="136"/>
      <c r="N915" s="136" t="s">
        <v>95</v>
      </c>
      <c r="O915" s="136" t="s">
        <v>44</v>
      </c>
      <c r="P915" s="136" t="s">
        <v>44</v>
      </c>
      <c r="Q915" s="136" t="s">
        <v>45</v>
      </c>
      <c r="R915" s="136" t="s">
        <v>45</v>
      </c>
      <c r="S915" s="136" t="s">
        <v>45</v>
      </c>
      <c r="T915" s="136" t="s">
        <v>44</v>
      </c>
      <c r="U915" s="136" t="s">
        <v>44</v>
      </c>
      <c r="V915" s="136"/>
      <c r="W915" s="11" t="s">
        <v>46</v>
      </c>
      <c r="X915" s="11" t="s">
        <v>97</v>
      </c>
      <c r="Y915" s="11" t="s">
        <v>97</v>
      </c>
      <c r="Z915" s="11">
        <v>81996320248</v>
      </c>
      <c r="AA915" s="11" t="s">
        <v>1360</v>
      </c>
      <c r="AB915" s="11"/>
      <c r="AC915" s="11"/>
      <c r="AD915" s="11" t="b">
        <v>0</v>
      </c>
      <c r="AF915" s="11"/>
      <c r="AG915" s="11"/>
      <c r="AH915" s="11"/>
      <c r="AI915" s="11"/>
    </row>
    <row r="916" ht="12.5" spans="1:35">
      <c r="A916" s="177">
        <v>45282.6541622569</v>
      </c>
      <c r="B916" s="11" t="s">
        <v>2669</v>
      </c>
      <c r="C916" s="278" t="s">
        <v>2670</v>
      </c>
      <c r="D916" s="19">
        <v>706006347560740</v>
      </c>
      <c r="E916" s="18" t="s">
        <v>3107</v>
      </c>
      <c r="F916" s="136" t="s">
        <v>40</v>
      </c>
      <c r="G916" s="11" t="s">
        <v>54</v>
      </c>
      <c r="H916" s="24">
        <v>33145</v>
      </c>
      <c r="I916" s="277" t="s">
        <v>1413</v>
      </c>
      <c r="J916" s="11" t="s">
        <v>81</v>
      </c>
      <c r="K916" s="108"/>
      <c r="L916" s="11" t="s">
        <v>520</v>
      </c>
      <c r="N916" s="11" t="s">
        <v>43</v>
      </c>
      <c r="O916" s="11" t="s">
        <v>65</v>
      </c>
      <c r="P916" s="11" t="s">
        <v>66</v>
      </c>
      <c r="Q916" s="11" t="s">
        <v>44</v>
      </c>
      <c r="R916" s="11" t="s">
        <v>45</v>
      </c>
      <c r="S916" s="11" t="s">
        <v>45</v>
      </c>
      <c r="T916" s="11" t="s">
        <v>44</v>
      </c>
      <c r="U916" s="11" t="s">
        <v>45</v>
      </c>
      <c r="V916" s="24">
        <v>45283</v>
      </c>
      <c r="W916" s="11" t="s">
        <v>46</v>
      </c>
      <c r="X916" s="11" t="s">
        <v>47</v>
      </c>
      <c r="Y916" s="11" t="s">
        <v>58</v>
      </c>
      <c r="Z916" s="11">
        <v>81973448407</v>
      </c>
      <c r="AA916" s="11" t="s">
        <v>1360</v>
      </c>
      <c r="AB916" s="11" t="s">
        <v>98</v>
      </c>
      <c r="AC916" s="11"/>
      <c r="AD916" s="11" t="b">
        <v>0</v>
      </c>
      <c r="AF916" s="11" t="s">
        <v>3108</v>
      </c>
      <c r="AG916" s="11"/>
      <c r="AH916" s="11" t="s">
        <v>3109</v>
      </c>
      <c r="AI916" s="11"/>
    </row>
    <row r="917" ht="12.5" spans="1:35">
      <c r="A917" s="177">
        <v>45282.6888874653</v>
      </c>
      <c r="B917" s="11" t="s">
        <v>3088</v>
      </c>
      <c r="C917" s="19">
        <v>10909927421</v>
      </c>
      <c r="D917" s="19">
        <v>704000838863067</v>
      </c>
      <c r="F917" s="136" t="s">
        <v>40</v>
      </c>
      <c r="G917" s="11" t="s">
        <v>54</v>
      </c>
      <c r="H917" s="24">
        <v>37698</v>
      </c>
      <c r="I917" s="277" t="s">
        <v>3090</v>
      </c>
      <c r="J917" s="11" t="s">
        <v>42</v>
      </c>
      <c r="K917" s="108" t="s">
        <v>399</v>
      </c>
      <c r="N917" s="11" t="s">
        <v>95</v>
      </c>
      <c r="O917" s="11" t="s">
        <v>44</v>
      </c>
      <c r="P917" s="11" t="s">
        <v>44</v>
      </c>
      <c r="Q917" s="11" t="s">
        <v>44</v>
      </c>
      <c r="R917" s="11" t="s">
        <v>45</v>
      </c>
      <c r="S917" s="11" t="s">
        <v>45</v>
      </c>
      <c r="T917" s="11" t="s">
        <v>44</v>
      </c>
      <c r="U917" s="11" t="s">
        <v>45</v>
      </c>
      <c r="V917" s="24">
        <v>45283</v>
      </c>
      <c r="W917" s="11" t="s">
        <v>46</v>
      </c>
      <c r="X917" s="11" t="s">
        <v>97</v>
      </c>
      <c r="Y917" s="11" t="s">
        <v>97</v>
      </c>
      <c r="Z917" s="11">
        <v>81998641117</v>
      </c>
      <c r="AA917" s="11" t="s">
        <v>1360</v>
      </c>
      <c r="AB917" s="11" t="s">
        <v>98</v>
      </c>
      <c r="AC917" s="11"/>
      <c r="AD917" s="11" t="b">
        <v>0</v>
      </c>
      <c r="AF917" s="75" t="s">
        <v>3108</v>
      </c>
      <c r="AG917" s="11"/>
      <c r="AH917" s="11"/>
      <c r="AI917" s="11"/>
    </row>
    <row r="918" ht="12.5" spans="1:35">
      <c r="A918" s="177">
        <v>45283.4396241319</v>
      </c>
      <c r="B918" s="11" t="s">
        <v>2866</v>
      </c>
      <c r="C918" s="19">
        <v>13380297461</v>
      </c>
      <c r="D918" s="19">
        <v>703408691844200</v>
      </c>
      <c r="F918" s="11" t="s">
        <v>40</v>
      </c>
      <c r="G918" s="11" t="s">
        <v>54</v>
      </c>
      <c r="H918" s="24">
        <v>38425</v>
      </c>
      <c r="I918" s="277" t="s">
        <v>2868</v>
      </c>
      <c r="J918" s="11" t="s">
        <v>42</v>
      </c>
      <c r="K918" s="108" t="s">
        <v>427</v>
      </c>
      <c r="N918" s="11" t="s">
        <v>95</v>
      </c>
      <c r="O918" s="11" t="s">
        <v>44</v>
      </c>
      <c r="P918" s="11" t="s">
        <v>44</v>
      </c>
      <c r="Q918" s="11" t="s">
        <v>44</v>
      </c>
      <c r="R918" s="11" t="s">
        <v>45</v>
      </c>
      <c r="S918" s="11" t="s">
        <v>45</v>
      </c>
      <c r="T918" s="11" t="s">
        <v>44</v>
      </c>
      <c r="U918" s="11" t="s">
        <v>44</v>
      </c>
      <c r="W918" s="11" t="s">
        <v>57</v>
      </c>
      <c r="X918" s="11" t="s">
        <v>97</v>
      </c>
      <c r="Y918" s="11" t="s">
        <v>97</v>
      </c>
      <c r="Z918" s="11">
        <v>81998540547</v>
      </c>
      <c r="AA918" s="11" t="s">
        <v>113</v>
      </c>
      <c r="AB918" s="11"/>
      <c r="AC918" s="11"/>
      <c r="AD918" s="11" t="b">
        <v>0</v>
      </c>
      <c r="AF918" s="11"/>
      <c r="AG918" s="11"/>
      <c r="AH918" s="11"/>
      <c r="AI918" s="11"/>
    </row>
    <row r="919" ht="12.5" spans="1:35">
      <c r="A919" s="177">
        <v>45283.6097317245</v>
      </c>
      <c r="B919" s="11" t="s">
        <v>3110</v>
      </c>
      <c r="C919" s="19">
        <v>71346312494</v>
      </c>
      <c r="D919" s="19">
        <v>700908942014999</v>
      </c>
      <c r="E919" s="18" t="s">
        <v>3111</v>
      </c>
      <c r="F919" s="11" t="s">
        <v>40</v>
      </c>
      <c r="G919" s="11" t="s">
        <v>54</v>
      </c>
      <c r="H919" s="24">
        <v>36823</v>
      </c>
      <c r="I919" s="277" t="s">
        <v>3112</v>
      </c>
      <c r="J919" s="11" t="s">
        <v>42</v>
      </c>
      <c r="K919" s="108" t="s">
        <v>399</v>
      </c>
      <c r="N919" s="11" t="s">
        <v>43</v>
      </c>
      <c r="O919" s="11" t="s">
        <v>44</v>
      </c>
      <c r="P919" s="11" t="s">
        <v>44</v>
      </c>
      <c r="Q919" s="11" t="s">
        <v>44</v>
      </c>
      <c r="R919" s="11" t="s">
        <v>45</v>
      </c>
      <c r="S919" s="11" t="s">
        <v>44</v>
      </c>
      <c r="T919" s="11" t="s">
        <v>44</v>
      </c>
      <c r="U919" s="11" t="s">
        <v>44</v>
      </c>
      <c r="W919" s="11" t="s">
        <v>46</v>
      </c>
      <c r="X919" s="11" t="s">
        <v>303</v>
      </c>
      <c r="Y919" s="11" t="s">
        <v>58</v>
      </c>
      <c r="Z919" s="11">
        <v>81920019987</v>
      </c>
      <c r="AA919" s="11" t="s">
        <v>115</v>
      </c>
      <c r="AB919" s="11"/>
      <c r="AC919" s="11"/>
      <c r="AD919" s="11" t="b">
        <v>0</v>
      </c>
      <c r="AF919" s="11"/>
      <c r="AG919" s="11"/>
      <c r="AH919" s="11"/>
      <c r="AI919" s="11"/>
    </row>
    <row r="920" ht="12.5" spans="1:35">
      <c r="A920" s="177">
        <v>45285.6671422685</v>
      </c>
      <c r="B920" s="11" t="s">
        <v>3113</v>
      </c>
      <c r="C920" s="19">
        <v>10517656418</v>
      </c>
      <c r="D920" s="19">
        <v>702502399664139</v>
      </c>
      <c r="E920" s="18" t="s">
        <v>3114</v>
      </c>
      <c r="F920" s="11" t="s">
        <v>40</v>
      </c>
      <c r="G920" s="11" t="s">
        <v>54</v>
      </c>
      <c r="H920" s="24">
        <v>34078</v>
      </c>
      <c r="I920" s="277" t="s">
        <v>3115</v>
      </c>
      <c r="J920" s="11" t="s">
        <v>42</v>
      </c>
      <c r="K920" s="108" t="s">
        <v>202</v>
      </c>
      <c r="N920" s="11" t="s">
        <v>43</v>
      </c>
      <c r="O920" s="11" t="s">
        <v>96</v>
      </c>
      <c r="P920" s="11" t="s">
        <v>66</v>
      </c>
      <c r="Q920" s="11" t="s">
        <v>44</v>
      </c>
      <c r="R920" s="11" t="s">
        <v>45</v>
      </c>
      <c r="S920" s="11" t="s">
        <v>45</v>
      </c>
      <c r="T920" s="11" t="s">
        <v>44</v>
      </c>
      <c r="U920" s="11" t="s">
        <v>45</v>
      </c>
      <c r="V920" s="24">
        <v>45286</v>
      </c>
      <c r="W920" s="11" t="s">
        <v>46</v>
      </c>
      <c r="X920" s="11" t="s">
        <v>303</v>
      </c>
      <c r="Y920" s="11" t="s">
        <v>58</v>
      </c>
      <c r="Z920" s="11">
        <v>81991716417</v>
      </c>
      <c r="AA920" s="11" t="s">
        <v>115</v>
      </c>
      <c r="AB920" s="11" t="s">
        <v>49</v>
      </c>
      <c r="AC920" s="11" t="s">
        <v>106</v>
      </c>
      <c r="AD920" s="11" t="b">
        <v>1</v>
      </c>
      <c r="AE920" s="11" t="s">
        <v>137</v>
      </c>
      <c r="AF920" s="11" t="s">
        <v>3116</v>
      </c>
      <c r="AG920" s="11"/>
      <c r="AH920" s="11"/>
      <c r="AI920" s="11"/>
    </row>
    <row r="921" ht="12.5" spans="1:35">
      <c r="A921" s="177">
        <v>45285.7698786921</v>
      </c>
      <c r="B921" s="11" t="s">
        <v>442</v>
      </c>
      <c r="C921" s="19">
        <v>11202951490</v>
      </c>
      <c r="D921" s="19">
        <v>702104750775290</v>
      </c>
      <c r="E921" s="18" t="s">
        <v>3117</v>
      </c>
      <c r="F921" s="136" t="s">
        <v>40</v>
      </c>
      <c r="G921" s="11" t="s">
        <v>54</v>
      </c>
      <c r="H921" s="24">
        <v>35694</v>
      </c>
      <c r="I921" s="19" t="s">
        <v>97</v>
      </c>
      <c r="J921" s="11" t="s">
        <v>438</v>
      </c>
      <c r="K921" s="108"/>
      <c r="M921" s="11" t="s">
        <v>3118</v>
      </c>
      <c r="N921" s="11" t="s">
        <v>43</v>
      </c>
      <c r="O921" s="11" t="s">
        <v>96</v>
      </c>
      <c r="P921" s="11" t="s">
        <v>2559</v>
      </c>
      <c r="Q921" s="11" t="s">
        <v>44</v>
      </c>
      <c r="R921" s="11" t="s">
        <v>45</v>
      </c>
      <c r="S921" s="11" t="s">
        <v>45</v>
      </c>
      <c r="T921" s="11" t="s">
        <v>44</v>
      </c>
      <c r="U921" s="11" t="s">
        <v>44</v>
      </c>
      <c r="W921" s="11" t="s">
        <v>46</v>
      </c>
      <c r="X921" s="11" t="s">
        <v>303</v>
      </c>
      <c r="Y921" s="11" t="s">
        <v>58</v>
      </c>
      <c r="Z921" s="11">
        <v>81987252750</v>
      </c>
      <c r="AA921" s="11" t="s">
        <v>115</v>
      </c>
      <c r="AB921" s="11"/>
      <c r="AC921" s="11"/>
      <c r="AD921" s="11" t="b">
        <v>0</v>
      </c>
      <c r="AF921" s="11"/>
      <c r="AG921" s="11"/>
      <c r="AH921" s="11"/>
      <c r="AI921" s="11"/>
    </row>
    <row r="922" ht="12.5" spans="1:35">
      <c r="A922" s="177">
        <v>45286.3910575116</v>
      </c>
      <c r="B922" s="11" t="s">
        <v>1004</v>
      </c>
      <c r="C922" s="19">
        <v>14500412484</v>
      </c>
      <c r="D922" s="19">
        <v>898005174693865</v>
      </c>
      <c r="E922" s="18" t="s">
        <v>3119</v>
      </c>
      <c r="F922" s="11" t="s">
        <v>40</v>
      </c>
      <c r="G922" s="11" t="s">
        <v>54</v>
      </c>
      <c r="H922" s="24">
        <v>37179</v>
      </c>
      <c r="I922" s="277" t="s">
        <v>1006</v>
      </c>
      <c r="J922" s="11" t="s">
        <v>42</v>
      </c>
      <c r="K922" s="108" t="s">
        <v>202</v>
      </c>
      <c r="N922" s="11" t="s">
        <v>43</v>
      </c>
      <c r="O922" s="11" t="s">
        <v>96</v>
      </c>
      <c r="P922" s="11" t="s">
        <v>66</v>
      </c>
      <c r="Q922" s="11" t="s">
        <v>44</v>
      </c>
      <c r="R922" s="11" t="s">
        <v>45</v>
      </c>
      <c r="S922" s="11" t="s">
        <v>45</v>
      </c>
      <c r="T922" s="11" t="s">
        <v>44</v>
      </c>
      <c r="U922" s="11" t="s">
        <v>45</v>
      </c>
      <c r="V922" s="24">
        <v>45287</v>
      </c>
      <c r="W922" s="11" t="s">
        <v>46</v>
      </c>
      <c r="X922" s="11" t="s">
        <v>47</v>
      </c>
      <c r="Y922" s="11" t="s">
        <v>58</v>
      </c>
      <c r="Z922" s="11">
        <v>81991067896</v>
      </c>
      <c r="AA922" s="11" t="s">
        <v>2835</v>
      </c>
      <c r="AB922" s="11" t="s">
        <v>98</v>
      </c>
      <c r="AC922" s="11"/>
      <c r="AD922" s="11" t="b">
        <v>0</v>
      </c>
      <c r="AF922" s="11" t="s">
        <v>3120</v>
      </c>
      <c r="AG922" s="11" t="s">
        <v>3121</v>
      </c>
      <c r="AH922" s="11" t="s">
        <v>3122</v>
      </c>
      <c r="AI922" s="11"/>
    </row>
    <row r="923" ht="12.5" spans="1:35">
      <c r="A923" s="177">
        <v>45286.3951778819</v>
      </c>
      <c r="B923" s="11" t="s">
        <v>3113</v>
      </c>
      <c r="C923" s="19">
        <v>10517656418</v>
      </c>
      <c r="D923" s="19">
        <v>702502399664139</v>
      </c>
      <c r="E923" s="18" t="s">
        <v>3123</v>
      </c>
      <c r="F923" s="136" t="s">
        <v>40</v>
      </c>
      <c r="G923" s="11" t="s">
        <v>54</v>
      </c>
      <c r="H923" s="24">
        <v>34078</v>
      </c>
      <c r="I923" s="277" t="s">
        <v>3115</v>
      </c>
      <c r="J923" s="11" t="s">
        <v>42</v>
      </c>
      <c r="K923" s="108" t="s">
        <v>202</v>
      </c>
      <c r="N923" s="11" t="s">
        <v>95</v>
      </c>
      <c r="O923" s="11" t="s">
        <v>44</v>
      </c>
      <c r="P923" s="11" t="s">
        <v>44</v>
      </c>
      <c r="Q923" s="11" t="s">
        <v>44</v>
      </c>
      <c r="R923" s="11" t="s">
        <v>45</v>
      </c>
      <c r="S923" s="11" t="s">
        <v>45</v>
      </c>
      <c r="T923" s="11" t="s">
        <v>44</v>
      </c>
      <c r="U923" s="11" t="s">
        <v>44</v>
      </c>
      <c r="W923" s="11" t="s">
        <v>46</v>
      </c>
      <c r="X923" s="11" t="s">
        <v>97</v>
      </c>
      <c r="Y923" s="11" t="s">
        <v>97</v>
      </c>
      <c r="Z923" s="11">
        <v>81991716417</v>
      </c>
      <c r="AA923" s="11" t="s">
        <v>103</v>
      </c>
      <c r="AB923" s="11"/>
      <c r="AC923" s="11"/>
      <c r="AD923" s="11" t="b">
        <v>0</v>
      </c>
      <c r="AF923" s="11"/>
      <c r="AG923" s="11"/>
      <c r="AH923" s="11"/>
      <c r="AI923" s="11"/>
    </row>
    <row r="924" ht="12.5" spans="1:35">
      <c r="A924" s="177">
        <v>45286.7116200694</v>
      </c>
      <c r="B924" s="11" t="s">
        <v>1004</v>
      </c>
      <c r="C924" s="19">
        <v>14500412484</v>
      </c>
      <c r="D924" s="19">
        <v>898005174693865</v>
      </c>
      <c r="E924" s="18" t="s">
        <v>3124</v>
      </c>
      <c r="F924" s="136" t="s">
        <v>40</v>
      </c>
      <c r="G924" s="11" t="s">
        <v>54</v>
      </c>
      <c r="H924" s="24">
        <v>37179</v>
      </c>
      <c r="I924" s="277" t="s">
        <v>1006</v>
      </c>
      <c r="J924" s="11" t="s">
        <v>42</v>
      </c>
      <c r="K924" s="108" t="s">
        <v>202</v>
      </c>
      <c r="N924" s="11" t="s">
        <v>43</v>
      </c>
      <c r="O924" s="11" t="s">
        <v>44</v>
      </c>
      <c r="P924" s="11" t="s">
        <v>44</v>
      </c>
      <c r="Q924" s="11" t="s">
        <v>44</v>
      </c>
      <c r="R924" s="11" t="s">
        <v>45</v>
      </c>
      <c r="S924" s="11" t="s">
        <v>45</v>
      </c>
      <c r="T924" s="11" t="s">
        <v>44</v>
      </c>
      <c r="U924" s="11" t="s">
        <v>44</v>
      </c>
      <c r="W924" s="11" t="s">
        <v>46</v>
      </c>
      <c r="X924" s="11" t="s">
        <v>47</v>
      </c>
      <c r="Y924" s="11" t="s">
        <v>58</v>
      </c>
      <c r="Z924" s="11">
        <v>81991067896</v>
      </c>
      <c r="AA924" s="11" t="s">
        <v>113</v>
      </c>
      <c r="AB924" s="11"/>
      <c r="AC924" s="11"/>
      <c r="AD924" s="11" t="b">
        <v>0</v>
      </c>
      <c r="AF924" s="11"/>
      <c r="AG924" s="11"/>
      <c r="AH924" s="11"/>
      <c r="AI924" s="11"/>
    </row>
    <row r="925" ht="12.5" spans="1:35">
      <c r="A925" s="177">
        <v>45287.4133966898</v>
      </c>
      <c r="B925" s="11" t="s">
        <v>3125</v>
      </c>
      <c r="C925" s="277" t="s">
        <v>3126</v>
      </c>
      <c r="D925" s="19">
        <v>708700165310395</v>
      </c>
      <c r="E925" s="18" t="s">
        <v>3127</v>
      </c>
      <c r="F925" s="11" t="s">
        <v>40</v>
      </c>
      <c r="G925" s="11" t="s">
        <v>54</v>
      </c>
      <c r="H925" s="24">
        <v>33841</v>
      </c>
      <c r="I925" s="277" t="s">
        <v>1662</v>
      </c>
      <c r="J925" s="11" t="s">
        <v>42</v>
      </c>
      <c r="K925" s="108" t="s">
        <v>63</v>
      </c>
      <c r="N925" s="11" t="s">
        <v>43</v>
      </c>
      <c r="O925" s="11" t="s">
        <v>44</v>
      </c>
      <c r="P925" s="11" t="s">
        <v>44</v>
      </c>
      <c r="Q925" s="11" t="s">
        <v>44</v>
      </c>
      <c r="R925" s="11" t="s">
        <v>45</v>
      </c>
      <c r="S925" s="11" t="s">
        <v>45</v>
      </c>
      <c r="T925" s="11" t="s">
        <v>44</v>
      </c>
      <c r="U925" s="11" t="s">
        <v>45</v>
      </c>
      <c r="V925" s="24">
        <v>45288</v>
      </c>
      <c r="W925" s="11" t="s">
        <v>46</v>
      </c>
      <c r="X925" s="11" t="s">
        <v>47</v>
      </c>
      <c r="Y925" s="11" t="s">
        <v>58</v>
      </c>
      <c r="Z925" s="11">
        <v>81992042946</v>
      </c>
      <c r="AA925" s="11" t="s">
        <v>113</v>
      </c>
      <c r="AB925" s="11" t="s">
        <v>98</v>
      </c>
      <c r="AC925" s="11"/>
      <c r="AD925" s="11" t="b">
        <v>0</v>
      </c>
      <c r="AF925" s="11" t="s">
        <v>3128</v>
      </c>
      <c r="AG925" s="11" t="s">
        <v>3128</v>
      </c>
      <c r="AH925" s="11" t="s">
        <v>3129</v>
      </c>
      <c r="AI925" s="11"/>
    </row>
    <row r="926" ht="12.5" spans="1:35">
      <c r="A926" s="177">
        <v>45287.4325464815</v>
      </c>
      <c r="B926" s="11" t="s">
        <v>3130</v>
      </c>
      <c r="C926" s="277" t="s">
        <v>3131</v>
      </c>
      <c r="D926" s="19">
        <v>704605631258422</v>
      </c>
      <c r="E926" s="18" t="s">
        <v>3132</v>
      </c>
      <c r="F926" s="136" t="s">
        <v>40</v>
      </c>
      <c r="G926" s="11" t="s">
        <v>88</v>
      </c>
      <c r="H926" s="24">
        <v>33501</v>
      </c>
      <c r="I926" s="277" t="s">
        <v>1934</v>
      </c>
      <c r="J926" s="11" t="s">
        <v>42</v>
      </c>
      <c r="K926" s="108" t="s">
        <v>3133</v>
      </c>
      <c r="N926" s="11" t="s">
        <v>43</v>
      </c>
      <c r="O926" s="11" t="s">
        <v>44</v>
      </c>
      <c r="P926" s="11" t="s">
        <v>44</v>
      </c>
      <c r="Q926" s="11" t="s">
        <v>44</v>
      </c>
      <c r="R926" s="11" t="s">
        <v>44</v>
      </c>
      <c r="S926" s="11" t="s">
        <v>45</v>
      </c>
      <c r="T926" s="11" t="s">
        <v>44</v>
      </c>
      <c r="U926" s="11" t="s">
        <v>44</v>
      </c>
      <c r="W926" s="11" t="s">
        <v>46</v>
      </c>
      <c r="X926" s="9" t="s">
        <v>156</v>
      </c>
      <c r="Y926" s="11" t="s">
        <v>58</v>
      </c>
      <c r="Z926" s="11">
        <v>81998610345</v>
      </c>
      <c r="AA926" s="11" t="s">
        <v>1360</v>
      </c>
      <c r="AB926" s="11"/>
      <c r="AC926" s="11"/>
      <c r="AD926" s="11" t="b">
        <v>0</v>
      </c>
      <c r="AF926" s="11"/>
      <c r="AG926" s="11"/>
      <c r="AH926" s="11"/>
      <c r="AI926" s="11"/>
    </row>
    <row r="927" ht="12.5" spans="1:35">
      <c r="A927" s="177">
        <v>45287.6761930556</v>
      </c>
      <c r="B927" s="11" t="s">
        <v>3134</v>
      </c>
      <c r="C927" s="19">
        <v>14461093484</v>
      </c>
      <c r="D927" s="19">
        <v>700203928579021</v>
      </c>
      <c r="E927" s="18" t="s">
        <v>3135</v>
      </c>
      <c r="F927" s="11" t="s">
        <v>40</v>
      </c>
      <c r="G927" s="11" t="s">
        <v>54</v>
      </c>
      <c r="H927" s="24">
        <v>38498</v>
      </c>
      <c r="I927" s="19" t="s">
        <v>97</v>
      </c>
      <c r="J927" s="11" t="s">
        <v>438</v>
      </c>
      <c r="K927" s="108" t="s">
        <v>227</v>
      </c>
      <c r="M927" s="11" t="s">
        <v>227</v>
      </c>
      <c r="N927" s="11" t="s">
        <v>43</v>
      </c>
      <c r="O927" s="11" t="s">
        <v>96</v>
      </c>
      <c r="P927" s="11" t="s">
        <v>66</v>
      </c>
      <c r="Q927" s="11" t="s">
        <v>44</v>
      </c>
      <c r="R927" s="11" t="s">
        <v>45</v>
      </c>
      <c r="S927" s="11" t="s">
        <v>45</v>
      </c>
      <c r="T927" s="11" t="s">
        <v>44</v>
      </c>
      <c r="U927" s="11" t="s">
        <v>45</v>
      </c>
      <c r="V927" s="24">
        <v>45288</v>
      </c>
      <c r="W927" s="11" t="s">
        <v>46</v>
      </c>
      <c r="X927" s="11" t="s">
        <v>47</v>
      </c>
      <c r="Y927" s="11" t="s">
        <v>58</v>
      </c>
      <c r="Z927" s="11">
        <v>81988112794</v>
      </c>
      <c r="AA927" s="11" t="s">
        <v>1360</v>
      </c>
      <c r="AB927" s="11" t="s">
        <v>98</v>
      </c>
      <c r="AC927" s="11"/>
      <c r="AD927" s="11" t="b">
        <v>0</v>
      </c>
      <c r="AF927" s="11" t="s">
        <v>3136</v>
      </c>
      <c r="AG927" s="11" t="s">
        <v>3137</v>
      </c>
      <c r="AH927" s="11"/>
      <c r="AI927" s="11"/>
    </row>
    <row r="928" ht="12.5" spans="1:35">
      <c r="A928" s="177">
        <v>45287.7060494097</v>
      </c>
      <c r="B928" s="11" t="s">
        <v>3138</v>
      </c>
      <c r="C928" s="19">
        <v>10687511429</v>
      </c>
      <c r="D928" s="19">
        <v>700400590955250</v>
      </c>
      <c r="E928" s="18" t="s">
        <v>3139</v>
      </c>
      <c r="F928" s="11" t="s">
        <v>40</v>
      </c>
      <c r="G928" s="11" t="s">
        <v>41</v>
      </c>
      <c r="H928" s="24">
        <v>35447</v>
      </c>
      <c r="I928" s="19" t="s">
        <v>136</v>
      </c>
      <c r="J928" s="11" t="s">
        <v>42</v>
      </c>
      <c r="K928" s="108" t="s">
        <v>3140</v>
      </c>
      <c r="N928" s="11" t="s">
        <v>43</v>
      </c>
      <c r="O928" s="11" t="s">
        <v>44</v>
      </c>
      <c r="P928" s="11" t="s">
        <v>44</v>
      </c>
      <c r="Q928" s="11" t="s">
        <v>45</v>
      </c>
      <c r="R928" s="11" t="s">
        <v>44</v>
      </c>
      <c r="S928" s="11" t="s">
        <v>44</v>
      </c>
      <c r="T928" s="11" t="s">
        <v>44</v>
      </c>
      <c r="U928" s="11" t="s">
        <v>44</v>
      </c>
      <c r="W928" s="11" t="s">
        <v>46</v>
      </c>
      <c r="X928" s="11" t="s">
        <v>47</v>
      </c>
      <c r="Y928" s="11" t="s">
        <v>58</v>
      </c>
      <c r="Z928" s="11">
        <v>81993902315</v>
      </c>
      <c r="AA928" s="11" t="s">
        <v>103</v>
      </c>
      <c r="AB928" s="11"/>
      <c r="AC928" s="11"/>
      <c r="AD928" s="11" t="b">
        <v>0</v>
      </c>
      <c r="AF928" s="11"/>
      <c r="AG928" s="11"/>
      <c r="AH928" s="11"/>
      <c r="AI928" s="11"/>
    </row>
    <row r="929" ht="12.5" spans="1:35">
      <c r="A929" s="177">
        <v>45288.5335833218</v>
      </c>
      <c r="B929" s="11" t="s">
        <v>3141</v>
      </c>
      <c r="C929" s="19">
        <v>71053651457</v>
      </c>
      <c r="D929" s="19">
        <v>706700704298020</v>
      </c>
      <c r="E929" s="18" t="s">
        <v>3142</v>
      </c>
      <c r="F929" s="11" t="s">
        <v>40</v>
      </c>
      <c r="G929" s="11" t="s">
        <v>54</v>
      </c>
      <c r="H929" s="24">
        <v>38065</v>
      </c>
      <c r="I929" s="277" t="s">
        <v>1788</v>
      </c>
      <c r="J929" s="11" t="s">
        <v>42</v>
      </c>
      <c r="K929" s="108" t="s">
        <v>282</v>
      </c>
      <c r="N929" s="11" t="s">
        <v>43</v>
      </c>
      <c r="O929" s="11" t="s">
        <v>65</v>
      </c>
      <c r="P929" s="11" t="s">
        <v>66</v>
      </c>
      <c r="Q929" s="11" t="s">
        <v>45</v>
      </c>
      <c r="R929" s="11" t="s">
        <v>45</v>
      </c>
      <c r="S929" s="11" t="s">
        <v>45</v>
      </c>
      <c r="T929" s="11" t="s">
        <v>44</v>
      </c>
      <c r="U929" s="11" t="s">
        <v>45</v>
      </c>
      <c r="V929" s="24">
        <v>45289</v>
      </c>
      <c r="W929" s="11" t="s">
        <v>46</v>
      </c>
      <c r="X929" s="11" t="s">
        <v>47</v>
      </c>
      <c r="Y929" s="11" t="s">
        <v>58</v>
      </c>
      <c r="Z929" s="11">
        <v>81988623208</v>
      </c>
      <c r="AA929" s="11" t="s">
        <v>1360</v>
      </c>
      <c r="AB929" s="11" t="s">
        <v>49</v>
      </c>
      <c r="AC929" s="11" t="s">
        <v>92</v>
      </c>
      <c r="AD929" s="11" t="b">
        <v>0</v>
      </c>
      <c r="AF929" s="11" t="s">
        <v>3143</v>
      </c>
      <c r="AG929" s="11"/>
      <c r="AH929" s="11" t="s">
        <v>3144</v>
      </c>
      <c r="AI929" s="11"/>
    </row>
    <row r="930" ht="12.5" spans="1:35">
      <c r="A930" s="177">
        <v>45288.5502128125</v>
      </c>
      <c r="B930" s="11" t="s">
        <v>3145</v>
      </c>
      <c r="C930" s="277" t="s">
        <v>3146</v>
      </c>
      <c r="D930" s="19">
        <v>707502276153390</v>
      </c>
      <c r="E930" s="18" t="s">
        <v>3147</v>
      </c>
      <c r="F930" s="136" t="s">
        <v>225</v>
      </c>
      <c r="G930" s="11" t="s">
        <v>54</v>
      </c>
      <c r="H930" s="24">
        <v>33732</v>
      </c>
      <c r="I930" s="277" t="s">
        <v>2603</v>
      </c>
      <c r="J930" s="11" t="s">
        <v>42</v>
      </c>
      <c r="K930" s="108" t="s">
        <v>427</v>
      </c>
      <c r="N930" s="11" t="s">
        <v>43</v>
      </c>
      <c r="O930" s="11" t="s">
        <v>96</v>
      </c>
      <c r="P930" s="11" t="s">
        <v>66</v>
      </c>
      <c r="Q930" s="11" t="s">
        <v>44</v>
      </c>
      <c r="R930" s="11" t="s">
        <v>45</v>
      </c>
      <c r="S930" s="11" t="s">
        <v>45</v>
      </c>
      <c r="T930" s="11" t="s">
        <v>44</v>
      </c>
      <c r="U930" s="11" t="s">
        <v>45</v>
      </c>
      <c r="V930" s="24">
        <v>45289</v>
      </c>
      <c r="W930" s="11" t="s">
        <v>46</v>
      </c>
      <c r="X930" s="11" t="s">
        <v>47</v>
      </c>
      <c r="Y930" s="11" t="s">
        <v>58</v>
      </c>
      <c r="Z930" s="11">
        <v>81985934090</v>
      </c>
      <c r="AA930" s="11" t="s">
        <v>1360</v>
      </c>
      <c r="AB930" s="11" t="s">
        <v>49</v>
      </c>
      <c r="AC930" s="11" t="s">
        <v>256</v>
      </c>
      <c r="AD930" s="11" t="b">
        <v>1</v>
      </c>
      <c r="AE930" s="11" t="s">
        <v>137</v>
      </c>
      <c r="AF930" s="11" t="s">
        <v>3148</v>
      </c>
      <c r="AG930" s="11"/>
      <c r="AH930" s="11" t="s">
        <v>3149</v>
      </c>
      <c r="AI930" s="11"/>
    </row>
    <row r="931" ht="12.5" spans="1:35">
      <c r="A931" s="177">
        <v>45288.6993908333</v>
      </c>
      <c r="B931" s="11" t="s">
        <v>3150</v>
      </c>
      <c r="C931" s="19">
        <v>70198196482</v>
      </c>
      <c r="D931" s="19">
        <v>705608478820418</v>
      </c>
      <c r="E931" s="18" t="s">
        <v>3151</v>
      </c>
      <c r="F931" s="11" t="s">
        <v>40</v>
      </c>
      <c r="G931" s="11" t="s">
        <v>54</v>
      </c>
      <c r="H931" s="24">
        <v>34542</v>
      </c>
      <c r="I931" s="277" t="s">
        <v>3152</v>
      </c>
      <c r="J931" s="11" t="s">
        <v>42</v>
      </c>
      <c r="K931" s="108" t="s">
        <v>3153</v>
      </c>
      <c r="N931" s="11" t="s">
        <v>43</v>
      </c>
      <c r="O931" s="11" t="s">
        <v>44</v>
      </c>
      <c r="P931" s="11" t="s">
        <v>44</v>
      </c>
      <c r="Q931" s="11" t="s">
        <v>44</v>
      </c>
      <c r="R931" s="11" t="s">
        <v>45</v>
      </c>
      <c r="S931" s="11" t="s">
        <v>45</v>
      </c>
      <c r="T931" s="11" t="s">
        <v>44</v>
      </c>
      <c r="U931" s="11" t="s">
        <v>44</v>
      </c>
      <c r="W931" s="11" t="s">
        <v>46</v>
      </c>
      <c r="X931" s="11" t="s">
        <v>47</v>
      </c>
      <c r="Y931" s="11" t="s">
        <v>58</v>
      </c>
      <c r="Z931" s="11">
        <v>81998566649</v>
      </c>
      <c r="AA931" s="11" t="s">
        <v>1360</v>
      </c>
      <c r="AB931" s="11"/>
      <c r="AC931" s="11"/>
      <c r="AD931" s="11" t="b">
        <v>0</v>
      </c>
      <c r="AF931" s="11"/>
      <c r="AG931" s="11"/>
      <c r="AH931" s="11"/>
      <c r="AI931" s="11"/>
    </row>
    <row r="932" ht="12.5" spans="1:35">
      <c r="A932" s="177">
        <v>45288.7460019792</v>
      </c>
      <c r="B932" s="11" t="s">
        <v>1004</v>
      </c>
      <c r="C932" s="19">
        <v>14500412484</v>
      </c>
      <c r="D932" s="19">
        <v>898005174693865</v>
      </c>
      <c r="E932" s="18" t="s">
        <v>3154</v>
      </c>
      <c r="F932" s="11" t="s">
        <v>40</v>
      </c>
      <c r="G932" s="11" t="s">
        <v>41</v>
      </c>
      <c r="H932" s="24">
        <v>37179</v>
      </c>
      <c r="I932" s="277" t="s">
        <v>1006</v>
      </c>
      <c r="J932" s="11" t="s">
        <v>42</v>
      </c>
      <c r="K932" s="108" t="s">
        <v>74</v>
      </c>
      <c r="N932" s="11" t="s">
        <v>43</v>
      </c>
      <c r="O932" s="11" t="s">
        <v>44</v>
      </c>
      <c r="P932" s="11" t="s">
        <v>44</v>
      </c>
      <c r="Q932" s="11" t="s">
        <v>44</v>
      </c>
      <c r="R932" s="11" t="s">
        <v>45</v>
      </c>
      <c r="S932" s="11" t="s">
        <v>45</v>
      </c>
      <c r="T932" s="11" t="s">
        <v>44</v>
      </c>
      <c r="U932" s="11" t="s">
        <v>44</v>
      </c>
      <c r="W932" s="11" t="s">
        <v>46</v>
      </c>
      <c r="X932" s="11" t="s">
        <v>203</v>
      </c>
      <c r="Y932" s="11" t="s">
        <v>58</v>
      </c>
      <c r="Z932" s="11">
        <v>81991067896</v>
      </c>
      <c r="AA932" s="11" t="s">
        <v>1360</v>
      </c>
      <c r="AB932" s="11"/>
      <c r="AC932" s="11"/>
      <c r="AD932" s="11" t="b">
        <v>0</v>
      </c>
      <c r="AF932" s="11"/>
      <c r="AG932" s="11"/>
      <c r="AH932" s="11"/>
      <c r="AI932" s="11"/>
    </row>
    <row r="933" ht="12.5" spans="1:35">
      <c r="A933" s="177">
        <v>45288.7587076157</v>
      </c>
      <c r="B933" s="11" t="s">
        <v>3155</v>
      </c>
      <c r="C933" s="277" t="s">
        <v>3156</v>
      </c>
      <c r="D933" s="19">
        <v>700605425008863</v>
      </c>
      <c r="E933" s="18" t="s">
        <v>3157</v>
      </c>
      <c r="F933" s="136" t="s">
        <v>40</v>
      </c>
      <c r="G933" s="11" t="s">
        <v>54</v>
      </c>
      <c r="H933" s="24">
        <v>36509</v>
      </c>
      <c r="I933" s="277" t="s">
        <v>605</v>
      </c>
      <c r="J933" s="11" t="s">
        <v>81</v>
      </c>
      <c r="K933" s="108"/>
      <c r="L933" s="11" t="s">
        <v>109</v>
      </c>
      <c r="N933" s="11" t="s">
        <v>43</v>
      </c>
      <c r="O933" s="11" t="s">
        <v>44</v>
      </c>
      <c r="P933" s="11" t="s">
        <v>44</v>
      </c>
      <c r="Q933" s="11" t="s">
        <v>44</v>
      </c>
      <c r="R933" s="11" t="s">
        <v>45</v>
      </c>
      <c r="S933" s="11" t="s">
        <v>45</v>
      </c>
      <c r="T933" s="11" t="s">
        <v>44</v>
      </c>
      <c r="U933" s="11" t="s">
        <v>44</v>
      </c>
      <c r="W933" s="11" t="s">
        <v>46</v>
      </c>
      <c r="X933" s="11" t="s">
        <v>203</v>
      </c>
      <c r="Y933" s="11" t="s">
        <v>58</v>
      </c>
      <c r="Z933" s="11">
        <v>81996059971</v>
      </c>
      <c r="AA933" s="11" t="s">
        <v>1360</v>
      </c>
      <c r="AB933" s="11"/>
      <c r="AC933" s="11"/>
      <c r="AD933" s="11" t="b">
        <v>0</v>
      </c>
      <c r="AF933" s="11"/>
      <c r="AG933" s="11"/>
      <c r="AH933" s="11"/>
      <c r="AI933" s="11"/>
    </row>
    <row r="934" ht="12.5" spans="1:35">
      <c r="A934" s="177">
        <v>45289.4574045139</v>
      </c>
      <c r="B934" s="11" t="s">
        <v>3158</v>
      </c>
      <c r="C934" s="277" t="s">
        <v>3146</v>
      </c>
      <c r="D934" s="19">
        <v>707502276153390</v>
      </c>
      <c r="E934" s="18" t="s">
        <v>3159</v>
      </c>
      <c r="F934" s="136" t="s">
        <v>225</v>
      </c>
      <c r="G934" s="11" t="s">
        <v>54</v>
      </c>
      <c r="H934" s="24">
        <v>33821</v>
      </c>
      <c r="I934" s="277" t="s">
        <v>2603</v>
      </c>
      <c r="J934" s="11" t="s">
        <v>42</v>
      </c>
      <c r="K934" s="108" t="s">
        <v>427</v>
      </c>
      <c r="N934" s="11" t="s">
        <v>95</v>
      </c>
      <c r="O934" s="11" t="s">
        <v>44</v>
      </c>
      <c r="P934" s="11" t="s">
        <v>44</v>
      </c>
      <c r="Q934" s="11" t="s">
        <v>44</v>
      </c>
      <c r="R934" s="11" t="s">
        <v>45</v>
      </c>
      <c r="S934" s="11" t="s">
        <v>45</v>
      </c>
      <c r="T934" s="11" t="s">
        <v>44</v>
      </c>
      <c r="U934" s="11" t="s">
        <v>45</v>
      </c>
      <c r="V934" s="24">
        <v>45290</v>
      </c>
      <c r="W934" s="11" t="s">
        <v>46</v>
      </c>
      <c r="X934" s="11" t="s">
        <v>97</v>
      </c>
      <c r="Y934" s="11" t="s">
        <v>97</v>
      </c>
      <c r="Z934" s="11">
        <v>81985934090</v>
      </c>
      <c r="AA934" s="11" t="s">
        <v>1360</v>
      </c>
      <c r="AB934" s="11" t="s">
        <v>49</v>
      </c>
      <c r="AC934" s="11" t="s">
        <v>50</v>
      </c>
      <c r="AD934" s="11" t="b">
        <v>0</v>
      </c>
      <c r="AF934" s="11" t="s">
        <v>3160</v>
      </c>
      <c r="AG934" s="11" t="s">
        <v>3161</v>
      </c>
      <c r="AH934" s="11" t="s">
        <v>3162</v>
      </c>
      <c r="AI934" s="11"/>
    </row>
    <row r="935" ht="12.5" spans="1:35">
      <c r="A935" s="177">
        <v>45289.4924715394</v>
      </c>
      <c r="B935" s="11" t="s">
        <v>3163</v>
      </c>
      <c r="C935" s="19">
        <v>12472908407</v>
      </c>
      <c r="D935" s="19">
        <v>701802207308575</v>
      </c>
      <c r="E935" s="18" t="s">
        <v>3164</v>
      </c>
      <c r="F935" s="11" t="s">
        <v>40</v>
      </c>
      <c r="G935" s="11" t="s">
        <v>41</v>
      </c>
      <c r="H935" s="24">
        <v>36455</v>
      </c>
      <c r="I935" s="277" t="s">
        <v>3165</v>
      </c>
      <c r="J935" s="11" t="s">
        <v>42</v>
      </c>
      <c r="K935" s="108" t="s">
        <v>3166</v>
      </c>
      <c r="N935" s="11" t="s">
        <v>43</v>
      </c>
      <c r="O935" s="11" t="s">
        <v>44</v>
      </c>
      <c r="P935" s="11" t="s">
        <v>44</v>
      </c>
      <c r="Q935" s="11" t="s">
        <v>45</v>
      </c>
      <c r="R935" s="11" t="s">
        <v>45</v>
      </c>
      <c r="S935" s="11" t="s">
        <v>83</v>
      </c>
      <c r="T935" s="11" t="s">
        <v>44</v>
      </c>
      <c r="U935" s="11" t="s">
        <v>44</v>
      </c>
      <c r="W935" s="11" t="s">
        <v>46</v>
      </c>
      <c r="X935" s="11" t="s">
        <v>47</v>
      </c>
      <c r="Y935" s="11" t="s">
        <v>185</v>
      </c>
      <c r="Z935" s="11">
        <v>81984043153</v>
      </c>
      <c r="AA935" s="11" t="s">
        <v>103</v>
      </c>
      <c r="AB935" s="11"/>
      <c r="AC935" s="11"/>
      <c r="AD935" s="11" t="b">
        <v>0</v>
      </c>
      <c r="AF935" s="11"/>
      <c r="AG935" s="11"/>
      <c r="AH935" s="11"/>
      <c r="AI935" s="11"/>
    </row>
    <row r="936" ht="12.5" spans="1:35">
      <c r="A936" s="177">
        <v>45289.8061993634</v>
      </c>
      <c r="B936" s="11" t="s">
        <v>3167</v>
      </c>
      <c r="C936" s="19">
        <v>71430049448</v>
      </c>
      <c r="D936" s="19">
        <v>700006792641809</v>
      </c>
      <c r="E936" s="18" t="s">
        <v>3168</v>
      </c>
      <c r="F936" s="11" t="s">
        <v>40</v>
      </c>
      <c r="G936" s="11" t="s">
        <v>135</v>
      </c>
      <c r="H936" s="24">
        <v>37598</v>
      </c>
      <c r="I936" s="277" t="s">
        <v>1740</v>
      </c>
      <c r="J936" s="11" t="s">
        <v>42</v>
      </c>
      <c r="K936" s="108" t="s">
        <v>3169</v>
      </c>
      <c r="N936" s="11" t="s">
        <v>43</v>
      </c>
      <c r="O936" s="11" t="s">
        <v>44</v>
      </c>
      <c r="P936" s="11" t="s">
        <v>44</v>
      </c>
      <c r="Q936" s="11" t="s">
        <v>45</v>
      </c>
      <c r="R936" s="11" t="s">
        <v>45</v>
      </c>
      <c r="S936" s="11" t="s">
        <v>45</v>
      </c>
      <c r="T936" s="11" t="s">
        <v>44</v>
      </c>
      <c r="U936" s="11" t="s">
        <v>44</v>
      </c>
      <c r="W936" s="11" t="s">
        <v>46</v>
      </c>
      <c r="X936" s="11" t="s">
        <v>203</v>
      </c>
      <c r="Y936" s="11" t="s">
        <v>58</v>
      </c>
      <c r="Z936" s="11">
        <v>81985540097</v>
      </c>
      <c r="AA936" s="11" t="s">
        <v>1360</v>
      </c>
      <c r="AB936" s="11"/>
      <c r="AC936" s="11"/>
      <c r="AD936" s="11" t="b">
        <v>0</v>
      </c>
      <c r="AF936" s="11"/>
      <c r="AG936" s="11"/>
      <c r="AH936" s="11"/>
      <c r="AI936" s="11"/>
    </row>
    <row r="937" ht="12.5" spans="1:35">
      <c r="A937" s="177">
        <v>45290.3407884144</v>
      </c>
      <c r="B937" s="11" t="s">
        <v>1004</v>
      </c>
      <c r="C937" s="19">
        <v>14500412484</v>
      </c>
      <c r="D937" s="19">
        <v>898005174693865</v>
      </c>
      <c r="E937" s="18" t="s">
        <v>3170</v>
      </c>
      <c r="F937" s="11" t="s">
        <v>40</v>
      </c>
      <c r="G937" s="11" t="s">
        <v>41</v>
      </c>
      <c r="H937" s="24">
        <v>37179</v>
      </c>
      <c r="I937" s="277" t="s">
        <v>1006</v>
      </c>
      <c r="J937" s="11" t="s">
        <v>81</v>
      </c>
      <c r="K937" s="108"/>
      <c r="L937" s="11" t="s">
        <v>109</v>
      </c>
      <c r="N937" s="11" t="s">
        <v>43</v>
      </c>
      <c r="O937" s="11" t="s">
        <v>96</v>
      </c>
      <c r="P937" s="11" t="s">
        <v>66</v>
      </c>
      <c r="Q937" s="11" t="s">
        <v>44</v>
      </c>
      <c r="R937" s="11" t="s">
        <v>45</v>
      </c>
      <c r="S937" s="11" t="s">
        <v>45</v>
      </c>
      <c r="T937" s="11" t="s">
        <v>44</v>
      </c>
      <c r="U937" s="11" t="s">
        <v>45</v>
      </c>
      <c r="V937" s="24">
        <v>45290</v>
      </c>
      <c r="W937" s="11" t="s">
        <v>46</v>
      </c>
      <c r="X937" s="11" t="s">
        <v>303</v>
      </c>
      <c r="Y937" s="11" t="s">
        <v>58</v>
      </c>
      <c r="Z937" s="11">
        <v>81991067896</v>
      </c>
      <c r="AA937" s="11" t="s">
        <v>115</v>
      </c>
      <c r="AB937" s="11" t="s">
        <v>98</v>
      </c>
      <c r="AC937" s="11"/>
      <c r="AD937" s="11" t="b">
        <v>0</v>
      </c>
      <c r="AF937" s="11" t="s">
        <v>3171</v>
      </c>
      <c r="AG937" s="11"/>
      <c r="AH937" s="11" t="s">
        <v>3172</v>
      </c>
      <c r="AI937" s="11"/>
    </row>
    <row r="938" ht="12.5" spans="1:35">
      <c r="A938" s="177">
        <v>45290.3676187037</v>
      </c>
      <c r="B938" s="11" t="s">
        <v>3173</v>
      </c>
      <c r="C938" s="19">
        <v>12226276475</v>
      </c>
      <c r="D938" s="19">
        <v>702403520927427</v>
      </c>
      <c r="E938" s="18" t="s">
        <v>3174</v>
      </c>
      <c r="F938" s="11" t="s">
        <v>40</v>
      </c>
      <c r="G938" s="11" t="s">
        <v>54</v>
      </c>
      <c r="H938" s="24">
        <v>35986</v>
      </c>
      <c r="I938" s="277" t="s">
        <v>3001</v>
      </c>
      <c r="J938" s="11" t="s">
        <v>42</v>
      </c>
      <c r="K938" s="108" t="s">
        <v>427</v>
      </c>
      <c r="N938" s="11" t="s">
        <v>43</v>
      </c>
      <c r="O938" s="11" t="s">
        <v>44</v>
      </c>
      <c r="P938" s="11" t="s">
        <v>56</v>
      </c>
      <c r="Q938" s="11" t="s">
        <v>44</v>
      </c>
      <c r="R938" s="11" t="s">
        <v>45</v>
      </c>
      <c r="S938" s="11" t="s">
        <v>45</v>
      </c>
      <c r="T938" s="11" t="s">
        <v>44</v>
      </c>
      <c r="U938" s="11" t="s">
        <v>45</v>
      </c>
      <c r="V938" s="24">
        <v>45292</v>
      </c>
      <c r="W938" s="11" t="s">
        <v>46</v>
      </c>
      <c r="X938" s="11" t="s">
        <v>303</v>
      </c>
      <c r="Y938" s="11" t="s">
        <v>58</v>
      </c>
      <c r="Z938" s="11">
        <v>81998295230</v>
      </c>
      <c r="AA938" s="11" t="s">
        <v>115</v>
      </c>
      <c r="AB938" s="11" t="s">
        <v>49</v>
      </c>
      <c r="AC938" s="11" t="s">
        <v>256</v>
      </c>
      <c r="AD938" s="11" t="b">
        <v>1</v>
      </c>
      <c r="AE938" s="11" t="s">
        <v>137</v>
      </c>
      <c r="AF938" s="11" t="s">
        <v>3175</v>
      </c>
      <c r="AG938" s="11"/>
      <c r="AH938" s="11"/>
      <c r="AI938" s="11"/>
    </row>
    <row r="939" ht="12.5" spans="1:35">
      <c r="A939" s="177">
        <v>45290.7295887384</v>
      </c>
      <c r="B939" s="11" t="s">
        <v>3158</v>
      </c>
      <c r="C939" s="277" t="s">
        <v>3146</v>
      </c>
      <c r="D939" s="19">
        <v>707502276153390</v>
      </c>
      <c r="F939" s="11" t="s">
        <v>40</v>
      </c>
      <c r="G939" s="11" t="s">
        <v>54</v>
      </c>
      <c r="H939" s="24">
        <v>33821</v>
      </c>
      <c r="I939" s="277" t="s">
        <v>2603</v>
      </c>
      <c r="J939" s="11" t="s">
        <v>42</v>
      </c>
      <c r="K939" s="108" t="s">
        <v>427</v>
      </c>
      <c r="N939" s="11" t="s">
        <v>95</v>
      </c>
      <c r="O939" s="11" t="s">
        <v>44</v>
      </c>
      <c r="P939" s="11" t="s">
        <v>44</v>
      </c>
      <c r="Q939" s="11" t="s">
        <v>44</v>
      </c>
      <c r="R939" s="11" t="s">
        <v>45</v>
      </c>
      <c r="S939" s="11" t="s">
        <v>45</v>
      </c>
      <c r="T939" s="11" t="s">
        <v>44</v>
      </c>
      <c r="U939" s="11" t="s">
        <v>45</v>
      </c>
      <c r="V939" s="24">
        <v>45292</v>
      </c>
      <c r="W939" s="11" t="s">
        <v>57</v>
      </c>
      <c r="X939" s="11" t="s">
        <v>97</v>
      </c>
      <c r="Y939" s="11" t="s">
        <v>97</v>
      </c>
      <c r="Z939" s="11">
        <v>81985934090</v>
      </c>
      <c r="AA939" s="11" t="s">
        <v>115</v>
      </c>
      <c r="AB939" s="11" t="s">
        <v>98</v>
      </c>
      <c r="AC939" s="11"/>
      <c r="AD939" s="11" t="b">
        <v>0</v>
      </c>
      <c r="AF939" s="11" t="s">
        <v>3176</v>
      </c>
      <c r="AG939" s="11"/>
      <c r="AH939" s="11"/>
      <c r="AI939" s="11"/>
    </row>
    <row r="940" ht="12.5" spans="1:35">
      <c r="A940" s="177">
        <v>45290.8199847222</v>
      </c>
      <c r="B940" s="11" t="s">
        <v>3177</v>
      </c>
      <c r="C940" s="19">
        <v>10160330440</v>
      </c>
      <c r="D940" s="19">
        <v>700005247862109</v>
      </c>
      <c r="E940" s="18" t="s">
        <v>3178</v>
      </c>
      <c r="F940" s="11" t="s">
        <v>225</v>
      </c>
      <c r="G940" s="11" t="s">
        <v>88</v>
      </c>
      <c r="H940" s="24">
        <v>34121</v>
      </c>
      <c r="I940" s="277" t="s">
        <v>3179</v>
      </c>
      <c r="J940" s="11" t="s">
        <v>42</v>
      </c>
      <c r="K940" s="108" t="s">
        <v>155</v>
      </c>
      <c r="N940" s="11" t="s">
        <v>43</v>
      </c>
      <c r="O940" s="11" t="s">
        <v>44</v>
      </c>
      <c r="P940" s="11" t="s">
        <v>44</v>
      </c>
      <c r="Q940" s="11" t="s">
        <v>44</v>
      </c>
      <c r="R940" s="11" t="s">
        <v>45</v>
      </c>
      <c r="S940" s="11" t="s">
        <v>45</v>
      </c>
      <c r="T940" s="11" t="s">
        <v>44</v>
      </c>
      <c r="U940" s="11" t="s">
        <v>45</v>
      </c>
      <c r="V940" s="24">
        <v>45291</v>
      </c>
      <c r="W940" s="11" t="s">
        <v>46</v>
      </c>
      <c r="X940" s="11" t="s">
        <v>303</v>
      </c>
      <c r="Y940" s="11" t="s">
        <v>58</v>
      </c>
      <c r="Z940" s="11">
        <v>81993208596</v>
      </c>
      <c r="AA940" s="11" t="s">
        <v>115</v>
      </c>
      <c r="AB940" s="11" t="s">
        <v>49</v>
      </c>
      <c r="AC940" s="11" t="s">
        <v>50</v>
      </c>
      <c r="AD940" s="11" t="b">
        <v>0</v>
      </c>
      <c r="AF940" s="11" t="s">
        <v>3180</v>
      </c>
      <c r="AG940" s="11" t="s">
        <v>3181</v>
      </c>
      <c r="AH940" s="11"/>
      <c r="AI940" s="11"/>
    </row>
    <row r="941" ht="12.5" spans="1:35">
      <c r="A941" s="177">
        <v>45292.4475626736</v>
      </c>
      <c r="B941" s="11" t="s">
        <v>1004</v>
      </c>
      <c r="C941" s="19">
        <v>14500412484</v>
      </c>
      <c r="D941" s="19">
        <v>898005174693865</v>
      </c>
      <c r="E941" s="18" t="s">
        <v>3182</v>
      </c>
      <c r="F941" s="11" t="s">
        <v>40</v>
      </c>
      <c r="G941" s="11" t="s">
        <v>41</v>
      </c>
      <c r="H941" s="24">
        <v>37179</v>
      </c>
      <c r="I941" s="277" t="s">
        <v>1006</v>
      </c>
      <c r="J941" s="11" t="s">
        <v>81</v>
      </c>
      <c r="K941" s="108"/>
      <c r="L941" s="11" t="s">
        <v>109</v>
      </c>
      <c r="N941" s="11" t="s">
        <v>43</v>
      </c>
      <c r="O941" s="11" t="s">
        <v>96</v>
      </c>
      <c r="P941" s="11" t="s">
        <v>66</v>
      </c>
      <c r="Q941" s="11" t="s">
        <v>44</v>
      </c>
      <c r="R941" s="11" t="s">
        <v>45</v>
      </c>
      <c r="S941" s="11" t="s">
        <v>45</v>
      </c>
      <c r="T941" s="11" t="s">
        <v>44</v>
      </c>
      <c r="U941" s="11" t="s">
        <v>45</v>
      </c>
      <c r="V941" s="24">
        <v>45293</v>
      </c>
      <c r="W941" s="11" t="s">
        <v>46</v>
      </c>
      <c r="X941" s="11" t="s">
        <v>303</v>
      </c>
      <c r="Y941" s="11" t="s">
        <v>58</v>
      </c>
      <c r="Z941" s="11">
        <v>81991067896</v>
      </c>
      <c r="AA941" s="11" t="s">
        <v>1360</v>
      </c>
      <c r="AB941" s="11" t="s">
        <v>98</v>
      </c>
      <c r="AC941" s="11"/>
      <c r="AD941" s="11" t="b">
        <v>0</v>
      </c>
      <c r="AF941" s="11" t="s">
        <v>3183</v>
      </c>
      <c r="AG941" s="11" t="s">
        <v>3184</v>
      </c>
      <c r="AH941" s="11" t="s">
        <v>3185</v>
      </c>
      <c r="AI941" s="11"/>
    </row>
    <row r="942" ht="12.5" spans="1:35">
      <c r="A942" s="177">
        <v>45292.4905475347</v>
      </c>
      <c r="B942" s="11" t="s">
        <v>3173</v>
      </c>
      <c r="C942" s="19">
        <v>12226276475</v>
      </c>
      <c r="D942" s="19">
        <v>702403520927427</v>
      </c>
      <c r="E942" s="18" t="s">
        <v>3186</v>
      </c>
      <c r="F942" s="11" t="s">
        <v>40</v>
      </c>
      <c r="G942" s="11" t="s">
        <v>54</v>
      </c>
      <c r="H942" s="24">
        <v>35986</v>
      </c>
      <c r="I942" s="277" t="s">
        <v>3001</v>
      </c>
      <c r="J942" s="11" t="s">
        <v>42</v>
      </c>
      <c r="K942" s="108" t="s">
        <v>427</v>
      </c>
      <c r="N942" s="11" t="s">
        <v>95</v>
      </c>
      <c r="O942" s="11" t="s">
        <v>44</v>
      </c>
      <c r="P942" s="11" t="s">
        <v>44</v>
      </c>
      <c r="Q942" s="11" t="s">
        <v>44</v>
      </c>
      <c r="R942" s="11" t="s">
        <v>45</v>
      </c>
      <c r="S942" s="11" t="s">
        <v>45</v>
      </c>
      <c r="T942" s="11" t="s">
        <v>44</v>
      </c>
      <c r="U942" s="11" t="s">
        <v>45</v>
      </c>
      <c r="V942" s="24">
        <v>45293</v>
      </c>
      <c r="W942" s="11" t="s">
        <v>46</v>
      </c>
      <c r="X942" s="11" t="s">
        <v>97</v>
      </c>
      <c r="Y942" s="11" t="s">
        <v>97</v>
      </c>
      <c r="Z942" s="11">
        <v>81998295230</v>
      </c>
      <c r="AA942" s="11" t="s">
        <v>1360</v>
      </c>
      <c r="AB942" s="11" t="s">
        <v>49</v>
      </c>
      <c r="AC942" s="11" t="s">
        <v>50</v>
      </c>
      <c r="AD942" s="11" t="b">
        <v>0</v>
      </c>
      <c r="AF942" s="11" t="s">
        <v>3187</v>
      </c>
      <c r="AG942" s="11" t="s">
        <v>3188</v>
      </c>
      <c r="AH942" s="11"/>
      <c r="AI942" s="11"/>
    </row>
    <row r="943" ht="12.5" spans="1:35">
      <c r="A943" s="177">
        <v>45293.3680091667</v>
      </c>
      <c r="B943" s="11" t="s">
        <v>915</v>
      </c>
      <c r="C943" s="277" t="s">
        <v>916</v>
      </c>
      <c r="D943" s="19">
        <v>702508373337330</v>
      </c>
      <c r="E943" s="18" t="s">
        <v>3189</v>
      </c>
      <c r="F943" s="11" t="s">
        <v>40</v>
      </c>
      <c r="G943" s="11" t="s">
        <v>54</v>
      </c>
      <c r="H943" s="24">
        <v>33091</v>
      </c>
      <c r="I943" s="277" t="s">
        <v>3190</v>
      </c>
      <c r="J943" s="11" t="s">
        <v>42</v>
      </c>
      <c r="K943" s="108" t="s">
        <v>3191</v>
      </c>
      <c r="N943" s="11" t="s">
        <v>43</v>
      </c>
      <c r="O943" s="11" t="s">
        <v>44</v>
      </c>
      <c r="P943" s="11" t="s">
        <v>44</v>
      </c>
      <c r="Q943" s="11" t="s">
        <v>44</v>
      </c>
      <c r="R943" s="11" t="s">
        <v>45</v>
      </c>
      <c r="S943" s="11" t="s">
        <v>83</v>
      </c>
      <c r="T943" s="11" t="s">
        <v>44</v>
      </c>
      <c r="U943" s="11" t="s">
        <v>45</v>
      </c>
      <c r="V943" s="24">
        <v>45293</v>
      </c>
      <c r="W943" s="11" t="s">
        <v>46</v>
      </c>
      <c r="X943" s="11" t="s">
        <v>47</v>
      </c>
      <c r="Y943" s="11" t="s">
        <v>58</v>
      </c>
      <c r="Z943" s="11">
        <v>81985913215</v>
      </c>
      <c r="AA943" s="11" t="s">
        <v>113</v>
      </c>
      <c r="AB943" s="11" t="s">
        <v>98</v>
      </c>
      <c r="AC943" s="11"/>
      <c r="AD943" s="11" t="b">
        <v>0</v>
      </c>
      <c r="AE943" s="11"/>
      <c r="AF943" s="11" t="s">
        <v>3192</v>
      </c>
      <c r="AG943" s="11"/>
      <c r="AH943" s="11" t="s">
        <v>3193</v>
      </c>
      <c r="AI943" s="11"/>
    </row>
    <row r="944" ht="12.5" spans="1:35">
      <c r="A944" s="177">
        <v>45293.4378449653</v>
      </c>
      <c r="B944" s="11" t="s">
        <v>3066</v>
      </c>
      <c r="C944" s="19">
        <v>11984497480</v>
      </c>
      <c r="D944" s="19">
        <v>703403268268213</v>
      </c>
      <c r="F944" s="11" t="s">
        <v>40</v>
      </c>
      <c r="G944" s="11" t="s">
        <v>54</v>
      </c>
      <c r="H944" s="24">
        <v>36478</v>
      </c>
      <c r="I944" s="277" t="s">
        <v>3086</v>
      </c>
      <c r="J944" s="11" t="s">
        <v>42</v>
      </c>
      <c r="K944" s="108" t="s">
        <v>1083</v>
      </c>
      <c r="N944" s="11" t="s">
        <v>95</v>
      </c>
      <c r="O944" s="11" t="s">
        <v>44</v>
      </c>
      <c r="P944" s="11" t="s">
        <v>44</v>
      </c>
      <c r="Q944" s="11" t="s">
        <v>44</v>
      </c>
      <c r="R944" s="11" t="s">
        <v>45</v>
      </c>
      <c r="S944" s="11" t="s">
        <v>45</v>
      </c>
      <c r="T944" s="11" t="s">
        <v>44</v>
      </c>
      <c r="U944" s="11" t="s">
        <v>44</v>
      </c>
      <c r="W944" s="11" t="s">
        <v>57</v>
      </c>
      <c r="X944" s="11" t="s">
        <v>97</v>
      </c>
      <c r="Y944" s="11" t="s">
        <v>97</v>
      </c>
      <c r="Z944" s="11">
        <v>81996320248</v>
      </c>
      <c r="AA944" s="11" t="s">
        <v>113</v>
      </c>
      <c r="AB944" s="11"/>
      <c r="AC944" s="11"/>
      <c r="AD944" s="11" t="b">
        <v>0</v>
      </c>
      <c r="AF944" s="11"/>
      <c r="AG944" s="11"/>
      <c r="AH944" s="11"/>
      <c r="AI944" s="11"/>
    </row>
    <row r="945" ht="12.5" spans="1:35">
      <c r="A945" s="177">
        <v>45293.5803398032</v>
      </c>
      <c r="B945" s="11" t="s">
        <v>2995</v>
      </c>
      <c r="C945" s="19">
        <v>10153924403</v>
      </c>
      <c r="D945" s="19">
        <v>706703534950019</v>
      </c>
      <c r="E945" s="18" t="s">
        <v>3194</v>
      </c>
      <c r="F945" s="11" t="s">
        <v>40</v>
      </c>
      <c r="G945" s="11" t="s">
        <v>54</v>
      </c>
      <c r="H945" s="24">
        <v>34135</v>
      </c>
      <c r="I945" s="277" t="s">
        <v>2706</v>
      </c>
      <c r="J945" s="11" t="s">
        <v>42</v>
      </c>
      <c r="K945" s="108" t="s">
        <v>3195</v>
      </c>
      <c r="N945" s="11" t="s">
        <v>43</v>
      </c>
      <c r="O945" s="11" t="s">
        <v>96</v>
      </c>
      <c r="P945" s="11" t="s">
        <v>66</v>
      </c>
      <c r="Q945" s="11" t="s">
        <v>44</v>
      </c>
      <c r="R945" s="11" t="s">
        <v>45</v>
      </c>
      <c r="S945" s="11" t="s">
        <v>45</v>
      </c>
      <c r="T945" s="11" t="s">
        <v>44</v>
      </c>
      <c r="U945" s="11" t="s">
        <v>45</v>
      </c>
      <c r="V945" s="24">
        <v>45294</v>
      </c>
      <c r="W945" s="11" t="s">
        <v>46</v>
      </c>
      <c r="X945" s="11" t="s">
        <v>47</v>
      </c>
      <c r="Y945" s="11" t="s">
        <v>58</v>
      </c>
      <c r="Z945" s="11">
        <v>81998484608</v>
      </c>
      <c r="AA945" s="11" t="s">
        <v>2835</v>
      </c>
      <c r="AB945" s="11" t="s">
        <v>49</v>
      </c>
      <c r="AC945" s="11" t="s">
        <v>92</v>
      </c>
      <c r="AD945" s="11" t="b">
        <v>1</v>
      </c>
      <c r="AE945" s="11" t="s">
        <v>137</v>
      </c>
      <c r="AF945" s="11" t="s">
        <v>3196</v>
      </c>
      <c r="AG945" s="11" t="s">
        <v>3197</v>
      </c>
      <c r="AH945" s="11"/>
      <c r="AI945" s="11"/>
    </row>
    <row r="946" ht="12.5" spans="1:35">
      <c r="A946" s="177">
        <v>45293.6120738194</v>
      </c>
      <c r="B946" s="11" t="s">
        <v>3177</v>
      </c>
      <c r="C946" s="19">
        <v>10160330440</v>
      </c>
      <c r="D946" s="19">
        <v>700005247862109</v>
      </c>
      <c r="F946" s="11" t="s">
        <v>40</v>
      </c>
      <c r="G946" s="11" t="s">
        <v>88</v>
      </c>
      <c r="H946" s="24">
        <v>34121</v>
      </c>
      <c r="I946" s="277" t="s">
        <v>3179</v>
      </c>
      <c r="J946" s="11" t="s">
        <v>42</v>
      </c>
      <c r="K946" s="108" t="s">
        <v>155</v>
      </c>
      <c r="N946" s="11" t="s">
        <v>95</v>
      </c>
      <c r="O946" s="11" t="s">
        <v>44</v>
      </c>
      <c r="P946" s="11" t="s">
        <v>44</v>
      </c>
      <c r="Q946" s="11" t="s">
        <v>44</v>
      </c>
      <c r="R946" s="11" t="s">
        <v>45</v>
      </c>
      <c r="S946" s="11" t="s">
        <v>45</v>
      </c>
      <c r="T946" s="11" t="s">
        <v>44</v>
      </c>
      <c r="U946" s="11" t="s">
        <v>45</v>
      </c>
      <c r="V946" s="24">
        <v>45294</v>
      </c>
      <c r="W946" s="11" t="s">
        <v>57</v>
      </c>
      <c r="X946" s="11" t="s">
        <v>97</v>
      </c>
      <c r="Y946" s="11" t="s">
        <v>97</v>
      </c>
      <c r="Z946" s="11">
        <v>81993208596</v>
      </c>
      <c r="AA946" s="11" t="s">
        <v>115</v>
      </c>
      <c r="AB946" s="11" t="s">
        <v>49</v>
      </c>
      <c r="AC946" s="11" t="s">
        <v>50</v>
      </c>
      <c r="AD946" s="11" t="b">
        <v>0</v>
      </c>
      <c r="AF946" s="11" t="s">
        <v>3198</v>
      </c>
      <c r="AG946" s="214" t="s">
        <v>3199</v>
      </c>
      <c r="AH946" s="11" t="s">
        <v>3200</v>
      </c>
      <c r="AI946" s="11"/>
    </row>
    <row r="947" ht="12.5" spans="1:35">
      <c r="A947" s="177">
        <v>45293.6224690278</v>
      </c>
      <c r="B947" s="11" t="s">
        <v>3173</v>
      </c>
      <c r="C947" s="19">
        <v>12226276475</v>
      </c>
      <c r="D947" s="19">
        <v>702403520927427</v>
      </c>
      <c r="F947" s="11" t="s">
        <v>40</v>
      </c>
      <c r="G947" s="11" t="s">
        <v>54</v>
      </c>
      <c r="H947" s="24">
        <v>35986</v>
      </c>
      <c r="I947" s="277" t="s">
        <v>3001</v>
      </c>
      <c r="J947" s="11" t="s">
        <v>42</v>
      </c>
      <c r="K947" s="108" t="s">
        <v>427</v>
      </c>
      <c r="N947" s="11" t="s">
        <v>95</v>
      </c>
      <c r="O947" s="11" t="s">
        <v>44</v>
      </c>
      <c r="P947" s="11" t="s">
        <v>44</v>
      </c>
      <c r="Q947" s="11" t="s">
        <v>44</v>
      </c>
      <c r="R947" s="11" t="s">
        <v>45</v>
      </c>
      <c r="S947" s="11" t="s">
        <v>45</v>
      </c>
      <c r="T947" s="11" t="s">
        <v>44</v>
      </c>
      <c r="U947" s="11" t="s">
        <v>45</v>
      </c>
      <c r="V947" s="24">
        <v>45295</v>
      </c>
      <c r="W947" s="11" t="s">
        <v>57</v>
      </c>
      <c r="X947" s="11" t="s">
        <v>97</v>
      </c>
      <c r="Y947" s="11" t="s">
        <v>97</v>
      </c>
      <c r="Z947" s="11">
        <v>81998295230</v>
      </c>
      <c r="AA947" s="11" t="s">
        <v>115</v>
      </c>
      <c r="AB947" s="11" t="s">
        <v>49</v>
      </c>
      <c r="AC947" s="11" t="s">
        <v>50</v>
      </c>
      <c r="AD947" s="11" t="b">
        <v>0</v>
      </c>
      <c r="AF947" s="214" t="s">
        <v>3201</v>
      </c>
      <c r="AG947" s="148"/>
      <c r="AH947" s="11"/>
      <c r="AI947" s="11"/>
    </row>
    <row r="948" ht="12.5" spans="1:35">
      <c r="A948" s="177">
        <v>45293.6765718287</v>
      </c>
      <c r="B948" s="11" t="s">
        <v>3202</v>
      </c>
      <c r="C948" s="277" t="s">
        <v>3203</v>
      </c>
      <c r="D948" s="19">
        <v>704107738689680</v>
      </c>
      <c r="E948" s="18" t="s">
        <v>3204</v>
      </c>
      <c r="F948" s="11" t="s">
        <v>225</v>
      </c>
      <c r="G948" s="11" t="s">
        <v>41</v>
      </c>
      <c r="H948" s="24">
        <v>33671</v>
      </c>
      <c r="I948" s="277" t="s">
        <v>3205</v>
      </c>
      <c r="J948" s="11" t="s">
        <v>42</v>
      </c>
      <c r="K948" s="108" t="s">
        <v>3206</v>
      </c>
      <c r="N948" s="11" t="s">
        <v>43</v>
      </c>
      <c r="O948" s="11" t="s">
        <v>44</v>
      </c>
      <c r="P948" s="11" t="s">
        <v>44</v>
      </c>
      <c r="Q948" s="11" t="s">
        <v>44</v>
      </c>
      <c r="R948" s="11" t="s">
        <v>45</v>
      </c>
      <c r="S948" s="11" t="s">
        <v>45</v>
      </c>
      <c r="T948" s="11" t="s">
        <v>44</v>
      </c>
      <c r="U948" s="11" t="s">
        <v>44</v>
      </c>
      <c r="W948" s="11" t="s">
        <v>46</v>
      </c>
      <c r="X948" s="11" t="s">
        <v>47</v>
      </c>
      <c r="Y948" s="11" t="s">
        <v>58</v>
      </c>
      <c r="Z948" s="11">
        <v>81997054490</v>
      </c>
      <c r="AA948" s="11" t="s">
        <v>113</v>
      </c>
      <c r="AB948" s="11"/>
      <c r="AC948" s="11"/>
      <c r="AD948" s="11" t="b">
        <v>0</v>
      </c>
      <c r="AF948" s="11"/>
      <c r="AG948" s="11"/>
      <c r="AH948" s="11"/>
      <c r="AI948" s="11"/>
    </row>
    <row r="949" ht="12.5" spans="1:35">
      <c r="A949" s="177">
        <v>45293.7976806019</v>
      </c>
      <c r="B949" s="11" t="s">
        <v>3207</v>
      </c>
      <c r="C949" s="277" t="s">
        <v>3208</v>
      </c>
      <c r="D949" s="19">
        <v>704301569733796</v>
      </c>
      <c r="E949" s="18" t="s">
        <v>3209</v>
      </c>
      <c r="F949" s="11" t="s">
        <v>40</v>
      </c>
      <c r="G949" s="11" t="s">
        <v>54</v>
      </c>
      <c r="H949" s="24">
        <v>33885</v>
      </c>
      <c r="I949" s="277" t="s">
        <v>943</v>
      </c>
      <c r="J949" s="11" t="s">
        <v>81</v>
      </c>
      <c r="K949" s="108"/>
      <c r="L949" s="11" t="s">
        <v>109</v>
      </c>
      <c r="N949" s="11" t="s">
        <v>43</v>
      </c>
      <c r="O949" s="11" t="s">
        <v>65</v>
      </c>
      <c r="P949" s="11" t="s">
        <v>66</v>
      </c>
      <c r="Q949" s="11" t="s">
        <v>44</v>
      </c>
      <c r="R949" s="11" t="s">
        <v>45</v>
      </c>
      <c r="S949" s="11" t="s">
        <v>45</v>
      </c>
      <c r="T949" s="11" t="s">
        <v>44</v>
      </c>
      <c r="U949" s="11" t="s">
        <v>45</v>
      </c>
      <c r="V949" s="24">
        <v>45294</v>
      </c>
      <c r="W949" s="11" t="s">
        <v>46</v>
      </c>
      <c r="X949" s="11" t="s">
        <v>203</v>
      </c>
      <c r="Y949" s="11" t="s">
        <v>58</v>
      </c>
      <c r="Z949" s="11">
        <v>81997250896</v>
      </c>
      <c r="AA949" s="11" t="s">
        <v>115</v>
      </c>
      <c r="AB949" s="11" t="s">
        <v>49</v>
      </c>
      <c r="AC949" s="11" t="s">
        <v>50</v>
      </c>
      <c r="AD949" s="11" t="b">
        <v>0</v>
      </c>
      <c r="AF949" s="228" t="s">
        <v>3210</v>
      </c>
      <c r="AG949" s="11"/>
      <c r="AH949" s="11" t="s">
        <v>3211</v>
      </c>
      <c r="AI949" s="11"/>
    </row>
    <row r="950" ht="12.5" spans="1:35">
      <c r="A950" s="177">
        <v>45294.3567805671</v>
      </c>
      <c r="B950" s="11" t="s">
        <v>3207</v>
      </c>
      <c r="C950" s="277" t="s">
        <v>3208</v>
      </c>
      <c r="D950" s="19">
        <v>704301569733796</v>
      </c>
      <c r="F950" s="11" t="s">
        <v>40</v>
      </c>
      <c r="G950" s="11" t="s">
        <v>54</v>
      </c>
      <c r="H950" s="24">
        <v>33885</v>
      </c>
      <c r="I950" s="277" t="s">
        <v>943</v>
      </c>
      <c r="J950" s="11" t="s">
        <v>81</v>
      </c>
      <c r="K950" s="108"/>
      <c r="L950" s="11" t="s">
        <v>109</v>
      </c>
      <c r="N950" s="11" t="s">
        <v>95</v>
      </c>
      <c r="O950" s="11" t="s">
        <v>44</v>
      </c>
      <c r="P950" s="11" t="s">
        <v>44</v>
      </c>
      <c r="Q950" s="11" t="s">
        <v>44</v>
      </c>
      <c r="R950" s="11" t="s">
        <v>45</v>
      </c>
      <c r="S950" s="11" t="s">
        <v>45</v>
      </c>
      <c r="T950" s="11" t="s">
        <v>44</v>
      </c>
      <c r="U950" s="11" t="s">
        <v>44</v>
      </c>
      <c r="W950" s="11" t="s">
        <v>57</v>
      </c>
      <c r="X950" s="11" t="s">
        <v>97</v>
      </c>
      <c r="Y950" s="11" t="s">
        <v>97</v>
      </c>
      <c r="Z950" s="11">
        <v>81997250896</v>
      </c>
      <c r="AA950" s="11" t="s">
        <v>115</v>
      </c>
      <c r="AB950" s="11"/>
      <c r="AC950" s="11"/>
      <c r="AD950" s="11" t="b">
        <v>0</v>
      </c>
      <c r="AF950" s="11"/>
      <c r="AG950" s="11"/>
      <c r="AH950" s="11"/>
      <c r="AI950" s="11"/>
    </row>
    <row r="951" ht="12.5" spans="1:35">
      <c r="A951" s="177">
        <v>45294.4276963773</v>
      </c>
      <c r="B951" s="11" t="s">
        <v>3177</v>
      </c>
      <c r="C951" s="19">
        <v>10160330440</v>
      </c>
      <c r="D951" s="19">
        <v>700005247862109</v>
      </c>
      <c r="F951" s="11" t="s">
        <v>225</v>
      </c>
      <c r="G951" s="11" t="s">
        <v>88</v>
      </c>
      <c r="H951" s="24">
        <v>34121</v>
      </c>
      <c r="I951" s="277" t="s">
        <v>3179</v>
      </c>
      <c r="J951" s="11" t="s">
        <v>42</v>
      </c>
      <c r="K951" s="108" t="s">
        <v>155</v>
      </c>
      <c r="N951" s="11" t="s">
        <v>95</v>
      </c>
      <c r="O951" s="11" t="s">
        <v>127</v>
      </c>
      <c r="P951" s="11" t="s">
        <v>44</v>
      </c>
      <c r="Q951" s="11" t="s">
        <v>44</v>
      </c>
      <c r="R951" s="11" t="s">
        <v>45</v>
      </c>
      <c r="S951" s="11" t="s">
        <v>45</v>
      </c>
      <c r="T951" s="11" t="s">
        <v>44</v>
      </c>
      <c r="U951" s="11" t="s">
        <v>44</v>
      </c>
      <c r="W951" s="11" t="s">
        <v>57</v>
      </c>
      <c r="X951" s="11" t="s">
        <v>97</v>
      </c>
      <c r="Y951" s="11" t="s">
        <v>97</v>
      </c>
      <c r="Z951" s="11">
        <v>81993208596</v>
      </c>
      <c r="AA951" s="11" t="s">
        <v>115</v>
      </c>
      <c r="AB951" s="11"/>
      <c r="AC951" s="11"/>
      <c r="AD951" s="11" t="b">
        <v>0</v>
      </c>
      <c r="AF951" s="11"/>
      <c r="AG951" s="11"/>
      <c r="AH951" s="11"/>
      <c r="AI951" s="11"/>
    </row>
    <row r="952" ht="12.5" spans="1:35">
      <c r="A952" s="177">
        <v>45294.4590418287</v>
      </c>
      <c r="B952" s="11" t="s">
        <v>2995</v>
      </c>
      <c r="C952" s="19">
        <v>10153924403</v>
      </c>
      <c r="D952" s="19">
        <v>706703534950019</v>
      </c>
      <c r="E952" s="18" t="s">
        <v>3212</v>
      </c>
      <c r="F952" s="11" t="s">
        <v>40</v>
      </c>
      <c r="G952" s="11" t="s">
        <v>54</v>
      </c>
      <c r="H952" s="24">
        <v>34135</v>
      </c>
      <c r="I952" s="277" t="s">
        <v>2706</v>
      </c>
      <c r="J952" s="11" t="s">
        <v>42</v>
      </c>
      <c r="K952" s="108" t="s">
        <v>3213</v>
      </c>
      <c r="N952" s="11" t="s">
        <v>95</v>
      </c>
      <c r="O952" s="11" t="s">
        <v>44</v>
      </c>
      <c r="P952" s="11" t="s">
        <v>44</v>
      </c>
      <c r="Q952" s="11" t="s">
        <v>44</v>
      </c>
      <c r="R952" s="11" t="s">
        <v>45</v>
      </c>
      <c r="S952" s="11" t="s">
        <v>44</v>
      </c>
      <c r="T952" s="11" t="s">
        <v>44</v>
      </c>
      <c r="U952" s="11" t="s">
        <v>44</v>
      </c>
      <c r="W952" s="11" t="s">
        <v>46</v>
      </c>
      <c r="X952" s="11" t="s">
        <v>97</v>
      </c>
      <c r="Y952" s="11" t="s">
        <v>97</v>
      </c>
      <c r="Z952" s="11">
        <v>81998484608</v>
      </c>
      <c r="AA952" s="11" t="s">
        <v>91</v>
      </c>
      <c r="AB952" s="11"/>
      <c r="AC952" s="11"/>
      <c r="AD952" s="11" t="b">
        <v>0</v>
      </c>
      <c r="AF952" s="11"/>
      <c r="AG952" s="11"/>
      <c r="AH952" s="11"/>
      <c r="AI952" s="11"/>
    </row>
    <row r="953" ht="12.5" spans="1:35">
      <c r="A953" s="177">
        <v>45294.4744156597</v>
      </c>
      <c r="B953" s="11" t="s">
        <v>3214</v>
      </c>
      <c r="C953" s="19">
        <v>12247533485</v>
      </c>
      <c r="D953" s="19">
        <v>700402954359847</v>
      </c>
      <c r="E953" s="18" t="s">
        <v>3215</v>
      </c>
      <c r="F953" s="11" t="s">
        <v>40</v>
      </c>
      <c r="G953" s="11" t="s">
        <v>41</v>
      </c>
      <c r="H953" s="24">
        <v>34671</v>
      </c>
      <c r="I953" s="277" t="s">
        <v>636</v>
      </c>
      <c r="J953" s="11" t="s">
        <v>42</v>
      </c>
      <c r="K953" s="108" t="s">
        <v>455</v>
      </c>
      <c r="N953" s="11" t="s">
        <v>43</v>
      </c>
      <c r="O953" s="11" t="s">
        <v>44</v>
      </c>
      <c r="P953" s="11" t="s">
        <v>44</v>
      </c>
      <c r="Q953" s="11" t="s">
        <v>44</v>
      </c>
      <c r="R953" s="11" t="s">
        <v>45</v>
      </c>
      <c r="S953" s="11" t="s">
        <v>45</v>
      </c>
      <c r="T953" s="11" t="s">
        <v>44</v>
      </c>
      <c r="U953" s="11" t="s">
        <v>45</v>
      </c>
      <c r="V953" s="24">
        <v>45294</v>
      </c>
      <c r="W953" s="11" t="s">
        <v>46</v>
      </c>
      <c r="X953" s="11" t="s">
        <v>47</v>
      </c>
      <c r="Y953" s="11" t="s">
        <v>58</v>
      </c>
      <c r="Z953" s="11">
        <v>81983075401</v>
      </c>
      <c r="AA953" s="11" t="s">
        <v>115</v>
      </c>
      <c r="AB953" s="11" t="s">
        <v>49</v>
      </c>
      <c r="AC953" s="11" t="s">
        <v>50</v>
      </c>
      <c r="AD953" s="11" t="b">
        <v>1</v>
      </c>
      <c r="AE953" s="11" t="s">
        <v>137</v>
      </c>
      <c r="AF953" s="214" t="s">
        <v>3216</v>
      </c>
      <c r="AG953" s="11"/>
      <c r="AH953" s="11" t="s">
        <v>3217</v>
      </c>
      <c r="AI953" s="11"/>
    </row>
    <row r="954" ht="12.5" spans="1:35">
      <c r="A954" s="177">
        <v>45294.5067045602</v>
      </c>
      <c r="B954" s="11" t="s">
        <v>2971</v>
      </c>
      <c r="C954" s="19">
        <v>70797418407</v>
      </c>
      <c r="D954" s="19">
        <v>702401092249521</v>
      </c>
      <c r="E954" s="18" t="s">
        <v>3218</v>
      </c>
      <c r="F954" s="11" t="s">
        <v>40</v>
      </c>
      <c r="G954" s="11" t="s">
        <v>54</v>
      </c>
      <c r="H954" s="24">
        <v>36199</v>
      </c>
      <c r="I954" s="277" t="s">
        <v>2973</v>
      </c>
      <c r="J954" s="11" t="s">
        <v>42</v>
      </c>
      <c r="K954" s="108" t="s">
        <v>399</v>
      </c>
      <c r="N954" s="11" t="s">
        <v>43</v>
      </c>
      <c r="O954" s="11" t="s">
        <v>44</v>
      </c>
      <c r="P954" s="11" t="s">
        <v>44</v>
      </c>
      <c r="Q954" s="11" t="s">
        <v>44</v>
      </c>
      <c r="R954" s="11" t="s">
        <v>45</v>
      </c>
      <c r="S954" s="11" t="s">
        <v>45</v>
      </c>
      <c r="T954" s="11" t="s">
        <v>44</v>
      </c>
      <c r="U954" s="11" t="s">
        <v>45</v>
      </c>
      <c r="V954" s="24">
        <v>45294</v>
      </c>
      <c r="W954" s="11" t="s">
        <v>46</v>
      </c>
      <c r="X954" s="11" t="s">
        <v>47</v>
      </c>
      <c r="Y954" s="11" t="s">
        <v>58</v>
      </c>
      <c r="Z954" s="11">
        <v>81996209137</v>
      </c>
      <c r="AA954" s="11" t="s">
        <v>115</v>
      </c>
      <c r="AB954" s="11" t="s">
        <v>98</v>
      </c>
      <c r="AC954" s="11"/>
      <c r="AD954" s="11" t="b">
        <v>0</v>
      </c>
      <c r="AE954" s="11"/>
      <c r="AF954" s="11" t="s">
        <v>3219</v>
      </c>
      <c r="AG954" s="11"/>
      <c r="AH954" s="11" t="s">
        <v>3220</v>
      </c>
      <c r="AI954" s="11"/>
    </row>
    <row r="955" ht="12.5" spans="1:35">
      <c r="A955" s="177">
        <v>45294.5865931713</v>
      </c>
      <c r="B955" s="11" t="s">
        <v>1250</v>
      </c>
      <c r="C955" s="19">
        <v>10258675489</v>
      </c>
      <c r="D955" s="19">
        <v>704706718467333</v>
      </c>
      <c r="E955" s="18" t="s">
        <v>3221</v>
      </c>
      <c r="F955" s="11" t="s">
        <v>40</v>
      </c>
      <c r="G955" s="11" t="s">
        <v>54</v>
      </c>
      <c r="H955" s="24">
        <v>34177</v>
      </c>
      <c r="I955" s="277" t="s">
        <v>309</v>
      </c>
      <c r="J955" s="11" t="s">
        <v>81</v>
      </c>
      <c r="K955" s="108"/>
      <c r="L955" s="11" t="s">
        <v>109</v>
      </c>
      <c r="N955" s="11" t="s">
        <v>43</v>
      </c>
      <c r="O955" s="11" t="s">
        <v>44</v>
      </c>
      <c r="P955" s="11" t="s">
        <v>44</v>
      </c>
      <c r="Q955" s="11" t="s">
        <v>44</v>
      </c>
      <c r="R955" s="11" t="s">
        <v>45</v>
      </c>
      <c r="S955" s="11" t="s">
        <v>45</v>
      </c>
      <c r="T955" s="11" t="s">
        <v>44</v>
      </c>
      <c r="U955" s="11" t="s">
        <v>45</v>
      </c>
      <c r="V955" s="24">
        <v>45294</v>
      </c>
      <c r="W955" s="11" t="s">
        <v>46</v>
      </c>
      <c r="X955" s="11" t="s">
        <v>47</v>
      </c>
      <c r="Y955" s="11" t="s">
        <v>58</v>
      </c>
      <c r="Z955" s="11">
        <v>81986325570</v>
      </c>
      <c r="AA955" s="11" t="s">
        <v>115</v>
      </c>
      <c r="AB955" s="11" t="s">
        <v>49</v>
      </c>
      <c r="AC955" s="11" t="s">
        <v>92</v>
      </c>
      <c r="AD955" s="11" t="b">
        <v>0</v>
      </c>
      <c r="AF955" s="11"/>
      <c r="AG955" s="11"/>
      <c r="AH955" s="11"/>
      <c r="AI955" s="11"/>
    </row>
    <row r="956" ht="12.5" spans="1:35">
      <c r="A956" s="177">
        <v>45294.5887888194</v>
      </c>
      <c r="B956" s="11" t="s">
        <v>2158</v>
      </c>
      <c r="C956" s="19">
        <v>4854471425</v>
      </c>
      <c r="D956" s="19">
        <v>706409146148787</v>
      </c>
      <c r="E956" s="18" t="s">
        <v>3222</v>
      </c>
      <c r="F956" s="11" t="s">
        <v>217</v>
      </c>
      <c r="G956" s="11" t="s">
        <v>54</v>
      </c>
      <c r="H956" s="24">
        <v>33638</v>
      </c>
      <c r="I956" s="19" t="s">
        <v>97</v>
      </c>
      <c r="J956" s="11" t="s">
        <v>438</v>
      </c>
      <c r="K956" s="108"/>
      <c r="M956" s="11" t="s">
        <v>650</v>
      </c>
      <c r="N956" s="11" t="s">
        <v>43</v>
      </c>
      <c r="O956" s="11" t="s">
        <v>44</v>
      </c>
      <c r="P956" s="11" t="s">
        <v>56</v>
      </c>
      <c r="Q956" s="11" t="s">
        <v>44</v>
      </c>
      <c r="R956" s="11" t="s">
        <v>44</v>
      </c>
      <c r="S956" s="11" t="s">
        <v>83</v>
      </c>
      <c r="T956" s="11" t="s">
        <v>44</v>
      </c>
      <c r="U956" s="11" t="s">
        <v>45</v>
      </c>
      <c r="V956" s="24">
        <v>45296</v>
      </c>
      <c r="W956" s="11" t="s">
        <v>46</v>
      </c>
      <c r="X956" s="11" t="s">
        <v>47</v>
      </c>
      <c r="Y956" s="11" t="s">
        <v>58</v>
      </c>
      <c r="Z956" s="11">
        <v>81988844325</v>
      </c>
      <c r="AA956" s="11" t="s">
        <v>91</v>
      </c>
      <c r="AB956" s="11" t="s">
        <v>98</v>
      </c>
      <c r="AC956" s="11"/>
      <c r="AD956" s="11" t="b">
        <v>0</v>
      </c>
      <c r="AE956" s="11"/>
      <c r="AF956" s="11" t="s">
        <v>3223</v>
      </c>
      <c r="AG956" s="11" t="s">
        <v>3224</v>
      </c>
      <c r="AH956" s="11"/>
      <c r="AI956" s="11"/>
    </row>
    <row r="957" ht="12.5" spans="1:35">
      <c r="A957" s="177">
        <v>45294.6312215046</v>
      </c>
      <c r="B957" s="11" t="s">
        <v>1516</v>
      </c>
      <c r="C957" s="277" t="s">
        <v>1517</v>
      </c>
      <c r="D957" s="19">
        <v>700007375574701</v>
      </c>
      <c r="E957" s="18" t="s">
        <v>3225</v>
      </c>
      <c r="F957" s="11" t="s">
        <v>40</v>
      </c>
      <c r="G957" s="11" t="s">
        <v>54</v>
      </c>
      <c r="H957" s="24">
        <v>33652</v>
      </c>
      <c r="I957" s="277" t="s">
        <v>776</v>
      </c>
      <c r="J957" s="11" t="s">
        <v>81</v>
      </c>
      <c r="K957" s="108"/>
      <c r="L957" s="11" t="s">
        <v>520</v>
      </c>
      <c r="N957" s="11" t="s">
        <v>43</v>
      </c>
      <c r="O957" s="11" t="s">
        <v>65</v>
      </c>
      <c r="P957" s="11" t="s">
        <v>66</v>
      </c>
      <c r="Q957" s="11" t="s">
        <v>44</v>
      </c>
      <c r="R957" s="11" t="s">
        <v>45</v>
      </c>
      <c r="S957" s="11" t="s">
        <v>45</v>
      </c>
      <c r="T957" s="11" t="s">
        <v>44</v>
      </c>
      <c r="U957" s="11" t="s">
        <v>45</v>
      </c>
      <c r="V957" s="24">
        <v>45295</v>
      </c>
      <c r="W957" s="11" t="s">
        <v>46</v>
      </c>
      <c r="X957" s="11" t="s">
        <v>47</v>
      </c>
      <c r="Y957" s="11" t="s">
        <v>58</v>
      </c>
      <c r="Z957" s="11">
        <v>81988582823</v>
      </c>
      <c r="AA957" s="11" t="s">
        <v>115</v>
      </c>
      <c r="AB957" s="11" t="s">
        <v>49</v>
      </c>
      <c r="AC957" s="11" t="s">
        <v>50</v>
      </c>
      <c r="AD957" s="11" t="b">
        <v>0</v>
      </c>
      <c r="AF957" s="11" t="s">
        <v>3226</v>
      </c>
      <c r="AG957" s="11" t="s">
        <v>3227</v>
      </c>
      <c r="AH957" s="11"/>
      <c r="AI957" s="11"/>
    </row>
    <row r="958" ht="12.5" spans="1:35">
      <c r="A958" s="177">
        <v>45294.6526756829</v>
      </c>
      <c r="B958" s="11" t="s">
        <v>3214</v>
      </c>
      <c r="C958" s="19">
        <v>12247533485</v>
      </c>
      <c r="D958" s="19">
        <v>700402954359847</v>
      </c>
      <c r="E958" s="18" t="s">
        <v>3228</v>
      </c>
      <c r="F958" s="11" t="s">
        <v>40</v>
      </c>
      <c r="G958" s="11" t="s">
        <v>41</v>
      </c>
      <c r="H958" s="24">
        <v>34671</v>
      </c>
      <c r="I958" s="277" t="s">
        <v>636</v>
      </c>
      <c r="J958" s="11" t="s">
        <v>42</v>
      </c>
      <c r="K958" s="108" t="s">
        <v>455</v>
      </c>
      <c r="N958" s="11" t="s">
        <v>95</v>
      </c>
      <c r="O958" s="11" t="s">
        <v>65</v>
      </c>
      <c r="P958" s="11" t="s">
        <v>66</v>
      </c>
      <c r="Q958" s="11" t="s">
        <v>44</v>
      </c>
      <c r="R958" s="11" t="s">
        <v>45</v>
      </c>
      <c r="S958" s="11" t="s">
        <v>45</v>
      </c>
      <c r="T958" s="11" t="s">
        <v>44</v>
      </c>
      <c r="U958" s="11" t="s">
        <v>45</v>
      </c>
      <c r="V958" s="24">
        <v>45295</v>
      </c>
      <c r="W958" s="11" t="s">
        <v>57</v>
      </c>
      <c r="X958" s="11" t="s">
        <v>97</v>
      </c>
      <c r="Y958" s="11" t="s">
        <v>97</v>
      </c>
      <c r="Z958" s="11">
        <v>81983075401</v>
      </c>
      <c r="AA958" s="11" t="s">
        <v>115</v>
      </c>
      <c r="AB958" s="11" t="s">
        <v>49</v>
      </c>
      <c r="AC958" s="11" t="s">
        <v>50</v>
      </c>
      <c r="AD958" s="11" t="b">
        <v>0</v>
      </c>
      <c r="AF958" s="11" t="s">
        <v>3229</v>
      </c>
      <c r="AG958" s="214" t="s">
        <v>3230</v>
      </c>
      <c r="AH958" s="11" t="s">
        <v>3231</v>
      </c>
      <c r="AI958" s="11"/>
    </row>
    <row r="959" ht="12.5" spans="1:35">
      <c r="A959" s="177">
        <v>45294.7129927662</v>
      </c>
      <c r="B959" s="11" t="s">
        <v>1250</v>
      </c>
      <c r="C959" s="19">
        <v>10258675489</v>
      </c>
      <c r="D959" s="19">
        <v>704706718467333</v>
      </c>
      <c r="E959" s="18" t="s">
        <v>3232</v>
      </c>
      <c r="F959" s="11" t="s">
        <v>40</v>
      </c>
      <c r="G959" s="11" t="s">
        <v>54</v>
      </c>
      <c r="H959" s="24">
        <v>34177</v>
      </c>
      <c r="I959" s="277" t="s">
        <v>309</v>
      </c>
      <c r="J959" s="11" t="s">
        <v>42</v>
      </c>
      <c r="K959" s="108" t="s">
        <v>90</v>
      </c>
      <c r="N959" s="11" t="s">
        <v>95</v>
      </c>
      <c r="O959" s="11" t="s">
        <v>96</v>
      </c>
      <c r="P959" s="11" t="s">
        <v>66</v>
      </c>
      <c r="Q959" s="11" t="s">
        <v>44</v>
      </c>
      <c r="R959" s="11" t="s">
        <v>45</v>
      </c>
      <c r="S959" s="11" t="s">
        <v>45</v>
      </c>
      <c r="T959" s="11" t="s">
        <v>44</v>
      </c>
      <c r="U959" s="11" t="s">
        <v>45</v>
      </c>
      <c r="V959" s="24">
        <v>45295</v>
      </c>
      <c r="W959" s="11" t="s">
        <v>46</v>
      </c>
      <c r="X959" s="11" t="s">
        <v>97</v>
      </c>
      <c r="Y959" s="11" t="s">
        <v>97</v>
      </c>
      <c r="Z959" s="11">
        <v>81986325570</v>
      </c>
      <c r="AA959" s="11" t="s">
        <v>91</v>
      </c>
      <c r="AB959" s="11" t="s">
        <v>98</v>
      </c>
      <c r="AC959" s="11"/>
      <c r="AD959" s="11" t="b">
        <v>0</v>
      </c>
      <c r="AE959" s="11"/>
      <c r="AF959" s="11" t="s">
        <v>3233</v>
      </c>
      <c r="AG959" s="11" t="s">
        <v>3234</v>
      </c>
      <c r="AH959" s="11"/>
      <c r="AI959" s="11"/>
    </row>
    <row r="960" ht="12.5" spans="1:35">
      <c r="A960" s="177">
        <v>45294.7414265046</v>
      </c>
      <c r="B960" s="11" t="s">
        <v>1452</v>
      </c>
      <c r="C960" s="19">
        <v>14825985408</v>
      </c>
      <c r="D960" s="19">
        <v>703008821547875</v>
      </c>
      <c r="E960" s="18" t="s">
        <v>3235</v>
      </c>
      <c r="F960" s="11" t="s">
        <v>40</v>
      </c>
      <c r="G960" s="11" t="s">
        <v>54</v>
      </c>
      <c r="H960" s="24">
        <v>38106</v>
      </c>
      <c r="I960" s="277" t="s">
        <v>1454</v>
      </c>
      <c r="J960" s="11" t="s">
        <v>42</v>
      </c>
      <c r="K960" s="108" t="s">
        <v>202</v>
      </c>
      <c r="N960" s="11" t="s">
        <v>43</v>
      </c>
      <c r="O960" s="11" t="s">
        <v>65</v>
      </c>
      <c r="P960" s="11" t="s">
        <v>66</v>
      </c>
      <c r="Q960" s="11" t="s">
        <v>45</v>
      </c>
      <c r="R960" s="11" t="s">
        <v>44</v>
      </c>
      <c r="S960" s="11" t="s">
        <v>45</v>
      </c>
      <c r="T960" s="11" t="s">
        <v>44</v>
      </c>
      <c r="U960" s="11" t="s">
        <v>45</v>
      </c>
      <c r="V960" s="24">
        <v>45295</v>
      </c>
      <c r="W960" s="11" t="s">
        <v>46</v>
      </c>
      <c r="X960" s="11" t="s">
        <v>203</v>
      </c>
      <c r="Y960" s="11" t="s">
        <v>58</v>
      </c>
      <c r="Z960" s="11">
        <v>81999205254</v>
      </c>
      <c r="AA960" s="11" t="s">
        <v>115</v>
      </c>
      <c r="AB960" s="11" t="s">
        <v>49</v>
      </c>
      <c r="AC960" s="11" t="s">
        <v>50</v>
      </c>
      <c r="AD960" s="11" t="b">
        <v>0</v>
      </c>
      <c r="AF960" s="214" t="s">
        <v>3236</v>
      </c>
      <c r="AG960" s="11"/>
      <c r="AH960" s="11" t="s">
        <v>3237</v>
      </c>
      <c r="AI960" s="11"/>
    </row>
    <row r="961" ht="12.5" spans="1:35">
      <c r="A961" s="177">
        <v>45294.7783490278</v>
      </c>
      <c r="B961" s="11" t="s">
        <v>3238</v>
      </c>
      <c r="C961" s="19">
        <v>71450636462</v>
      </c>
      <c r="D961" s="19">
        <v>704102152406970</v>
      </c>
      <c r="E961" s="18" t="s">
        <v>3239</v>
      </c>
      <c r="F961" s="11" t="s">
        <v>225</v>
      </c>
      <c r="G961" s="11" t="s">
        <v>41</v>
      </c>
      <c r="H961" s="24">
        <v>33539</v>
      </c>
      <c r="I961" s="19" t="s">
        <v>136</v>
      </c>
      <c r="J961" s="11" t="s">
        <v>42</v>
      </c>
      <c r="K961" s="108" t="s">
        <v>282</v>
      </c>
      <c r="N961" s="11" t="s">
        <v>43</v>
      </c>
      <c r="O961" s="11" t="s">
        <v>44</v>
      </c>
      <c r="P961" s="11" t="s">
        <v>44</v>
      </c>
      <c r="Q961" s="11" t="s">
        <v>44</v>
      </c>
      <c r="R961" s="11" t="s">
        <v>45</v>
      </c>
      <c r="S961" s="11" t="s">
        <v>45</v>
      </c>
      <c r="T961" s="11" t="s">
        <v>44</v>
      </c>
      <c r="U961" s="11" t="s">
        <v>44</v>
      </c>
      <c r="W961" s="11" t="s">
        <v>46</v>
      </c>
      <c r="X961" s="11" t="s">
        <v>203</v>
      </c>
      <c r="Y961" s="11" t="s">
        <v>58</v>
      </c>
      <c r="Z961" s="11">
        <v>81987484980</v>
      </c>
      <c r="AA961" s="11" t="s">
        <v>115</v>
      </c>
      <c r="AB961" s="11"/>
      <c r="AC961" s="11"/>
      <c r="AD961" s="11" t="b">
        <v>0</v>
      </c>
      <c r="AF961" s="11"/>
      <c r="AG961" s="11"/>
      <c r="AH961" s="11"/>
      <c r="AI961" s="11"/>
    </row>
    <row r="962" ht="12.5" spans="1:35">
      <c r="A962" s="177">
        <v>45295.3545569329</v>
      </c>
      <c r="B962" s="11" t="s">
        <v>3240</v>
      </c>
      <c r="C962" s="19">
        <v>14825985408</v>
      </c>
      <c r="D962" s="19">
        <v>703008821547875</v>
      </c>
      <c r="F962" s="11" t="s">
        <v>40</v>
      </c>
      <c r="G962" s="11" t="s">
        <v>54</v>
      </c>
      <c r="H962" s="24">
        <v>38106</v>
      </c>
      <c r="I962" s="277" t="s">
        <v>1454</v>
      </c>
      <c r="J962" s="11" t="s">
        <v>42</v>
      </c>
      <c r="K962" s="108" t="s">
        <v>202</v>
      </c>
      <c r="N962" s="11" t="s">
        <v>95</v>
      </c>
      <c r="O962" s="11" t="s">
        <v>65</v>
      </c>
      <c r="P962" s="11" t="s">
        <v>66</v>
      </c>
      <c r="Q962" s="11" t="s">
        <v>45</v>
      </c>
      <c r="R962" s="11" t="s">
        <v>44</v>
      </c>
      <c r="S962" s="11" t="s">
        <v>45</v>
      </c>
      <c r="T962" s="11" t="s">
        <v>44</v>
      </c>
      <c r="U962" s="11" t="s">
        <v>45</v>
      </c>
      <c r="V962" s="24">
        <v>45295</v>
      </c>
      <c r="W962" s="11" t="s">
        <v>57</v>
      </c>
      <c r="X962" s="11" t="s">
        <v>97</v>
      </c>
      <c r="Y962" s="11" t="s">
        <v>97</v>
      </c>
      <c r="Z962" s="11">
        <v>81999205254</v>
      </c>
      <c r="AA962" s="11" t="s">
        <v>115</v>
      </c>
      <c r="AB962" s="11" t="s">
        <v>98</v>
      </c>
      <c r="AC962" s="11"/>
      <c r="AD962" s="11" t="b">
        <v>0</v>
      </c>
      <c r="AE962" s="11"/>
      <c r="AF962" s="11" t="s">
        <v>3241</v>
      </c>
      <c r="AG962" s="11" t="s">
        <v>3242</v>
      </c>
      <c r="AH962" s="11" t="s">
        <v>3237</v>
      </c>
      <c r="AI962" s="11"/>
    </row>
    <row r="963" ht="12.5" spans="1:35">
      <c r="A963" s="177">
        <v>45295.4449754514</v>
      </c>
      <c r="B963" s="11" t="s">
        <v>3141</v>
      </c>
      <c r="C963" s="19">
        <v>71053651457</v>
      </c>
      <c r="D963" s="19">
        <v>706700704298020</v>
      </c>
      <c r="E963" s="18" t="s">
        <v>3243</v>
      </c>
      <c r="F963" s="11" t="s">
        <v>40</v>
      </c>
      <c r="G963" s="11" t="s">
        <v>54</v>
      </c>
      <c r="H963" s="24">
        <v>38065</v>
      </c>
      <c r="I963" s="277" t="s">
        <v>1788</v>
      </c>
      <c r="J963" s="11" t="s">
        <v>42</v>
      </c>
      <c r="K963" s="108" t="s">
        <v>63</v>
      </c>
      <c r="N963" s="11" t="s">
        <v>43</v>
      </c>
      <c r="O963" s="11" t="s">
        <v>65</v>
      </c>
      <c r="P963" s="11" t="s">
        <v>66</v>
      </c>
      <c r="Q963" s="11" t="s">
        <v>44</v>
      </c>
      <c r="R963" s="11" t="s">
        <v>45</v>
      </c>
      <c r="S963" s="11" t="s">
        <v>45</v>
      </c>
      <c r="T963" s="11" t="s">
        <v>44</v>
      </c>
      <c r="U963" s="11" t="s">
        <v>45</v>
      </c>
      <c r="V963" s="24">
        <v>45295</v>
      </c>
      <c r="W963" s="11" t="s">
        <v>46</v>
      </c>
      <c r="X963" s="11" t="s">
        <v>47</v>
      </c>
      <c r="Y963" s="11" t="s">
        <v>58</v>
      </c>
      <c r="Z963" s="11">
        <v>81988623208</v>
      </c>
      <c r="AA963" s="11" t="s">
        <v>115</v>
      </c>
      <c r="AB963" s="11" t="s">
        <v>98</v>
      </c>
      <c r="AC963" s="11"/>
      <c r="AD963" s="11" t="b">
        <v>0</v>
      </c>
      <c r="AE963" s="11"/>
      <c r="AF963" s="11" t="s">
        <v>3244</v>
      </c>
      <c r="AG963" s="11"/>
      <c r="AH963" s="11"/>
      <c r="AI963" s="11"/>
    </row>
    <row r="964" ht="12.5" spans="1:35">
      <c r="A964" s="177">
        <v>45295.4555783796</v>
      </c>
      <c r="B964" s="11" t="s">
        <v>3173</v>
      </c>
      <c r="C964" s="19">
        <v>12226276475</v>
      </c>
      <c r="D964" s="19">
        <v>702403520927427</v>
      </c>
      <c r="F964" s="11" t="s">
        <v>40</v>
      </c>
      <c r="G964" s="11" t="s">
        <v>54</v>
      </c>
      <c r="H964" s="24">
        <v>35986</v>
      </c>
      <c r="I964" s="277" t="s">
        <v>3001</v>
      </c>
      <c r="J964" s="11" t="s">
        <v>42</v>
      </c>
      <c r="K964" s="108" t="s">
        <v>427</v>
      </c>
      <c r="N964" s="11" t="s">
        <v>95</v>
      </c>
      <c r="O964" s="11" t="s">
        <v>658</v>
      </c>
      <c r="P964" s="11" t="s">
        <v>44</v>
      </c>
      <c r="Q964" s="11" t="s">
        <v>44</v>
      </c>
      <c r="R964" s="11" t="s">
        <v>45</v>
      </c>
      <c r="S964" s="11" t="s">
        <v>45</v>
      </c>
      <c r="T964" s="11" t="s">
        <v>44</v>
      </c>
      <c r="U964" s="11" t="s">
        <v>44</v>
      </c>
      <c r="W964" s="11" t="s">
        <v>57</v>
      </c>
      <c r="X964" s="11" t="s">
        <v>97</v>
      </c>
      <c r="Y964" s="11" t="s">
        <v>97</v>
      </c>
      <c r="Z964" s="11">
        <v>81998295230</v>
      </c>
      <c r="AA964" s="11" t="s">
        <v>115</v>
      </c>
      <c r="AB964" s="11"/>
      <c r="AC964" s="11"/>
      <c r="AD964" s="11" t="b">
        <v>0</v>
      </c>
      <c r="AF964" s="11"/>
      <c r="AG964" s="11"/>
      <c r="AH964" s="11"/>
      <c r="AI964" s="11"/>
    </row>
    <row r="965" ht="12.5" spans="1:35">
      <c r="A965" s="177">
        <v>45295.4806627662</v>
      </c>
      <c r="B965" s="11" t="s">
        <v>3245</v>
      </c>
      <c r="C965" s="19">
        <v>70500049440</v>
      </c>
      <c r="D965" s="19">
        <v>700307924703340</v>
      </c>
      <c r="E965" s="18" t="s">
        <v>3246</v>
      </c>
      <c r="F965" s="11" t="s">
        <v>40</v>
      </c>
      <c r="G965" s="11" t="s">
        <v>54</v>
      </c>
      <c r="H965" s="24">
        <v>35187</v>
      </c>
      <c r="I965" s="277" t="s">
        <v>3165</v>
      </c>
      <c r="J965" s="11" t="s">
        <v>42</v>
      </c>
      <c r="K965" s="108" t="s">
        <v>155</v>
      </c>
      <c r="N965" s="11" t="s">
        <v>43</v>
      </c>
      <c r="O965" s="11" t="s">
        <v>96</v>
      </c>
      <c r="P965" s="11" t="s">
        <v>66</v>
      </c>
      <c r="Q965" s="11" t="s">
        <v>44</v>
      </c>
      <c r="R965" s="11" t="s">
        <v>45</v>
      </c>
      <c r="S965" s="11" t="s">
        <v>45</v>
      </c>
      <c r="T965" s="11" t="s">
        <v>44</v>
      </c>
      <c r="U965" s="11" t="s">
        <v>45</v>
      </c>
      <c r="V965" s="24">
        <v>45296</v>
      </c>
      <c r="W965" s="11" t="s">
        <v>46</v>
      </c>
      <c r="X965" s="11" t="s">
        <v>47</v>
      </c>
      <c r="Y965" s="11" t="s">
        <v>58</v>
      </c>
      <c r="Z965" s="11">
        <v>81999094317</v>
      </c>
      <c r="AA965" s="11" t="s">
        <v>2835</v>
      </c>
      <c r="AB965" s="11" t="s">
        <v>49</v>
      </c>
      <c r="AC965" s="11" t="s">
        <v>92</v>
      </c>
      <c r="AD965" s="11" t="b">
        <v>0</v>
      </c>
      <c r="AF965" s="11" t="s">
        <v>3247</v>
      </c>
      <c r="AG965" s="11"/>
      <c r="AH965" s="11"/>
      <c r="AI965" s="11"/>
    </row>
    <row r="966" ht="12.5" spans="1:35">
      <c r="A966" s="177">
        <v>45295.4895318287</v>
      </c>
      <c r="B966" s="11" t="s">
        <v>3248</v>
      </c>
      <c r="C966" s="19">
        <v>16484138460</v>
      </c>
      <c r="D966" s="19">
        <v>898003065205434</v>
      </c>
      <c r="E966" s="18" t="s">
        <v>3249</v>
      </c>
      <c r="F966" s="11" t="s">
        <v>40</v>
      </c>
      <c r="G966" s="11" t="s">
        <v>54</v>
      </c>
      <c r="H966" s="24">
        <v>38894</v>
      </c>
      <c r="I966" s="277" t="s">
        <v>3250</v>
      </c>
      <c r="J966" s="11" t="s">
        <v>81</v>
      </c>
      <c r="K966" s="108"/>
      <c r="L966" s="11" t="s">
        <v>109</v>
      </c>
      <c r="N966" s="11" t="s">
        <v>43</v>
      </c>
      <c r="O966" s="11" t="s">
        <v>44</v>
      </c>
      <c r="P966" s="11" t="s">
        <v>44</v>
      </c>
      <c r="Q966" s="11" t="s">
        <v>44</v>
      </c>
      <c r="R966" s="11" t="s">
        <v>45</v>
      </c>
      <c r="S966" s="11" t="s">
        <v>44</v>
      </c>
      <c r="T966" s="11" t="s">
        <v>44</v>
      </c>
      <c r="U966" s="11" t="s">
        <v>45</v>
      </c>
      <c r="V966" s="24">
        <v>45295</v>
      </c>
      <c r="W966" s="11" t="s">
        <v>57</v>
      </c>
      <c r="X966" s="11" t="s">
        <v>47</v>
      </c>
      <c r="Y966" s="11" t="s">
        <v>58</v>
      </c>
      <c r="Z966" s="11">
        <v>81985743105</v>
      </c>
      <c r="AA966" s="11" t="s">
        <v>91</v>
      </c>
      <c r="AB966" s="11" t="s">
        <v>49</v>
      </c>
      <c r="AC966" s="11" t="s">
        <v>92</v>
      </c>
      <c r="AD966" s="11" t="b">
        <v>0</v>
      </c>
      <c r="AF966" s="11" t="s">
        <v>3251</v>
      </c>
      <c r="AG966" s="11"/>
      <c r="AH966" s="11"/>
      <c r="AI966" s="11"/>
    </row>
    <row r="967" ht="12.5" spans="1:35">
      <c r="A967" s="177">
        <v>45295.5911693171</v>
      </c>
      <c r="B967" s="11" t="s">
        <v>3252</v>
      </c>
      <c r="C967" s="19">
        <v>11480668451</v>
      </c>
      <c r="D967" s="19">
        <v>706002865429044</v>
      </c>
      <c r="E967" s="18" t="s">
        <v>3253</v>
      </c>
      <c r="F967" s="11" t="s">
        <v>40</v>
      </c>
      <c r="G967" s="11" t="s">
        <v>54</v>
      </c>
      <c r="H967" s="24">
        <v>35161</v>
      </c>
      <c r="I967" s="277" t="s">
        <v>1348</v>
      </c>
      <c r="J967" s="11" t="s">
        <v>42</v>
      </c>
      <c r="K967" s="108" t="s">
        <v>202</v>
      </c>
      <c r="N967" s="11" t="s">
        <v>43</v>
      </c>
      <c r="O967" s="11" t="s">
        <v>658</v>
      </c>
      <c r="P967" s="11" t="s">
        <v>44</v>
      </c>
      <c r="Q967" s="11" t="s">
        <v>44</v>
      </c>
      <c r="R967" s="11" t="s">
        <v>45</v>
      </c>
      <c r="S967" s="11" t="s">
        <v>44</v>
      </c>
      <c r="T967" s="11" t="s">
        <v>44</v>
      </c>
      <c r="U967" s="11" t="s">
        <v>45</v>
      </c>
      <c r="V967" s="24">
        <v>45296</v>
      </c>
      <c r="W967" s="11" t="s">
        <v>57</v>
      </c>
      <c r="X967" s="11" t="s">
        <v>47</v>
      </c>
      <c r="Y967" s="11" t="s">
        <v>58</v>
      </c>
      <c r="Z967" s="11">
        <v>81987982284</v>
      </c>
      <c r="AA967" s="11" t="s">
        <v>91</v>
      </c>
      <c r="AB967" s="11" t="s">
        <v>49</v>
      </c>
      <c r="AC967" s="11" t="s">
        <v>92</v>
      </c>
      <c r="AD967" s="11" t="b">
        <v>0</v>
      </c>
      <c r="AF967" s="11" t="s">
        <v>3254</v>
      </c>
      <c r="AG967" s="11"/>
      <c r="AH967" s="11"/>
      <c r="AI967" s="11"/>
    </row>
    <row r="968" ht="12.5" spans="1:35">
      <c r="A968" s="177">
        <v>45295.6060861921</v>
      </c>
      <c r="B968" s="11" t="s">
        <v>1516</v>
      </c>
      <c r="C968" s="277" t="s">
        <v>1517</v>
      </c>
      <c r="D968" s="19">
        <v>700007375574701</v>
      </c>
      <c r="F968" s="11" t="s">
        <v>40</v>
      </c>
      <c r="G968" s="11" t="s">
        <v>54</v>
      </c>
      <c r="H968" s="24">
        <v>33652</v>
      </c>
      <c r="I968" s="277" t="s">
        <v>776</v>
      </c>
      <c r="J968" s="11" t="s">
        <v>81</v>
      </c>
      <c r="K968" s="108"/>
      <c r="L968" s="11" t="s">
        <v>520</v>
      </c>
      <c r="N968" s="11" t="s">
        <v>95</v>
      </c>
      <c r="O968" s="11" t="s">
        <v>127</v>
      </c>
      <c r="P968" s="11" t="s">
        <v>44</v>
      </c>
      <c r="Q968" s="11" t="s">
        <v>44</v>
      </c>
      <c r="R968" s="11" t="s">
        <v>45</v>
      </c>
      <c r="S968" s="11" t="s">
        <v>45</v>
      </c>
      <c r="T968" s="11" t="s">
        <v>44</v>
      </c>
      <c r="U968" s="11" t="s">
        <v>44</v>
      </c>
      <c r="W968" s="11" t="s">
        <v>57</v>
      </c>
      <c r="X968" s="11" t="s">
        <v>97</v>
      </c>
      <c r="Y968" s="11" t="s">
        <v>97</v>
      </c>
      <c r="Z968" s="11">
        <v>81988582823</v>
      </c>
      <c r="AA968" s="11" t="s">
        <v>115</v>
      </c>
      <c r="AB968" s="11"/>
      <c r="AC968" s="11"/>
      <c r="AD968" s="11" t="b">
        <v>0</v>
      </c>
      <c r="AF968" s="11"/>
      <c r="AG968" s="11"/>
      <c r="AH968" s="11"/>
      <c r="AI968" s="11"/>
    </row>
    <row r="969" ht="12.5" spans="1:35">
      <c r="A969" s="177">
        <v>45295.6085578819</v>
      </c>
      <c r="B969" s="11" t="s">
        <v>3255</v>
      </c>
      <c r="C969" s="277" t="s">
        <v>3256</v>
      </c>
      <c r="D969" s="19">
        <v>702302192126016</v>
      </c>
      <c r="E969" s="18" t="s">
        <v>3257</v>
      </c>
      <c r="F969" s="11" t="s">
        <v>40</v>
      </c>
      <c r="G969" s="11" t="s">
        <v>88</v>
      </c>
      <c r="H969" s="24">
        <v>29890</v>
      </c>
      <c r="I969" s="277" t="s">
        <v>3258</v>
      </c>
      <c r="J969" s="11" t="s">
        <v>42</v>
      </c>
      <c r="K969" s="108" t="s">
        <v>202</v>
      </c>
      <c r="N969" s="11" t="s">
        <v>43</v>
      </c>
      <c r="O969" s="11" t="s">
        <v>44</v>
      </c>
      <c r="P969" s="11" t="s">
        <v>44</v>
      </c>
      <c r="Q969" s="11" t="s">
        <v>45</v>
      </c>
      <c r="R969" s="11" t="s">
        <v>45</v>
      </c>
      <c r="S969" s="11" t="s">
        <v>45</v>
      </c>
      <c r="T969" s="11" t="s">
        <v>45</v>
      </c>
      <c r="U969" s="11" t="s">
        <v>45</v>
      </c>
      <c r="V969" s="24">
        <v>45295</v>
      </c>
      <c r="W969" s="11" t="s">
        <v>46</v>
      </c>
      <c r="X969" s="11" t="s">
        <v>47</v>
      </c>
      <c r="Y969" s="11" t="s">
        <v>58</v>
      </c>
      <c r="Z969" s="11">
        <v>81986285773</v>
      </c>
      <c r="AA969" s="11" t="s">
        <v>113</v>
      </c>
      <c r="AB969" s="11" t="s">
        <v>49</v>
      </c>
      <c r="AC969" s="11" t="s">
        <v>75</v>
      </c>
      <c r="AD969" s="11" t="b">
        <v>0</v>
      </c>
      <c r="AF969" s="11" t="s">
        <v>3259</v>
      </c>
      <c r="AG969" s="11"/>
      <c r="AH969" s="11"/>
      <c r="AI969" s="11"/>
    </row>
    <row r="970" ht="12.5" spans="1:35">
      <c r="A970" s="177">
        <v>45295.6838265046</v>
      </c>
      <c r="B970" s="11" t="s">
        <v>3248</v>
      </c>
      <c r="C970" s="19">
        <v>16484138460</v>
      </c>
      <c r="D970" s="19">
        <v>898003065205434</v>
      </c>
      <c r="F970" s="11" t="s">
        <v>40</v>
      </c>
      <c r="G970" s="11" t="s">
        <v>54</v>
      </c>
      <c r="H970" s="24">
        <v>38894</v>
      </c>
      <c r="I970" s="277" t="s">
        <v>1348</v>
      </c>
      <c r="J970" s="11" t="s">
        <v>42</v>
      </c>
      <c r="K970" s="108" t="s">
        <v>202</v>
      </c>
      <c r="N970" s="11" t="s">
        <v>95</v>
      </c>
      <c r="O970" s="11" t="s">
        <v>44</v>
      </c>
      <c r="P970" s="11" t="s">
        <v>44</v>
      </c>
      <c r="Q970" s="11" t="s">
        <v>44</v>
      </c>
      <c r="R970" s="11" t="s">
        <v>45</v>
      </c>
      <c r="S970" s="11" t="s">
        <v>44</v>
      </c>
      <c r="T970" s="11" t="s">
        <v>44</v>
      </c>
      <c r="U970" s="11" t="s">
        <v>44</v>
      </c>
      <c r="W970" s="11" t="s">
        <v>57</v>
      </c>
      <c r="X970" s="11" t="s">
        <v>97</v>
      </c>
      <c r="Y970" s="11" t="s">
        <v>97</v>
      </c>
      <c r="Z970" s="11">
        <v>81985743105</v>
      </c>
      <c r="AA970" s="11" t="s">
        <v>91</v>
      </c>
      <c r="AB970" s="11"/>
      <c r="AC970" s="11"/>
      <c r="AD970" s="11" t="b">
        <v>0</v>
      </c>
      <c r="AF970" s="11"/>
      <c r="AG970" s="11"/>
      <c r="AH970" s="11"/>
      <c r="AI970" s="11"/>
    </row>
    <row r="971" ht="12.5" spans="1:35">
      <c r="A971" s="177">
        <v>45295.6967878357</v>
      </c>
      <c r="B971" s="11" t="s">
        <v>3255</v>
      </c>
      <c r="C971" s="277" t="s">
        <v>3256</v>
      </c>
      <c r="D971" s="19">
        <v>702302192126016</v>
      </c>
      <c r="E971" s="18" t="s">
        <v>3257</v>
      </c>
      <c r="F971" s="11" t="s">
        <v>40</v>
      </c>
      <c r="G971" s="11" t="s">
        <v>88</v>
      </c>
      <c r="H971" s="24">
        <v>29890</v>
      </c>
      <c r="I971" s="277" t="s">
        <v>3258</v>
      </c>
      <c r="J971" s="11" t="s">
        <v>42</v>
      </c>
      <c r="K971" s="108" t="s">
        <v>202</v>
      </c>
      <c r="N971" s="11" t="s">
        <v>95</v>
      </c>
      <c r="O971" s="11" t="s">
        <v>127</v>
      </c>
      <c r="P971" s="11" t="s">
        <v>44</v>
      </c>
      <c r="Q971" s="11" t="s">
        <v>45</v>
      </c>
      <c r="R971" s="11" t="s">
        <v>45</v>
      </c>
      <c r="S971" s="11" t="s">
        <v>45</v>
      </c>
      <c r="T971" s="11" t="s">
        <v>45</v>
      </c>
      <c r="U971" s="11" t="s">
        <v>45</v>
      </c>
      <c r="V971" s="24">
        <v>45296</v>
      </c>
      <c r="W971" s="11" t="s">
        <v>57</v>
      </c>
      <c r="X971" s="11" t="s">
        <v>97</v>
      </c>
      <c r="Y971" s="11" t="s">
        <v>97</v>
      </c>
      <c r="Z971" s="11">
        <v>81986285773</v>
      </c>
      <c r="AA971" s="11" t="s">
        <v>113</v>
      </c>
      <c r="AB971" s="11" t="s">
        <v>49</v>
      </c>
      <c r="AC971" s="11" t="s">
        <v>92</v>
      </c>
      <c r="AD971" s="11" t="b">
        <v>1</v>
      </c>
      <c r="AE971" s="11" t="s">
        <v>137</v>
      </c>
      <c r="AF971" s="11" t="s">
        <v>3260</v>
      </c>
      <c r="AG971" s="11"/>
      <c r="AH971" s="11"/>
      <c r="AI971" s="11"/>
    </row>
    <row r="972" ht="12.5" spans="1:35">
      <c r="A972" s="177">
        <v>45295.7140776389</v>
      </c>
      <c r="B972" s="11" t="s">
        <v>3214</v>
      </c>
      <c r="C972" s="19">
        <v>12247533485</v>
      </c>
      <c r="D972" s="19">
        <v>700402954359847</v>
      </c>
      <c r="F972" s="11" t="s">
        <v>40</v>
      </c>
      <c r="G972" s="11" t="s">
        <v>41</v>
      </c>
      <c r="H972" s="24">
        <v>34671</v>
      </c>
      <c r="I972" s="277" t="s">
        <v>636</v>
      </c>
      <c r="J972" s="11" t="s">
        <v>42</v>
      </c>
      <c r="K972" s="108" t="s">
        <v>455</v>
      </c>
      <c r="N972" s="11" t="s">
        <v>95</v>
      </c>
      <c r="O972" s="11" t="s">
        <v>44</v>
      </c>
      <c r="P972" s="11" t="s">
        <v>44</v>
      </c>
      <c r="Q972" s="11" t="s">
        <v>44</v>
      </c>
      <c r="R972" s="11" t="s">
        <v>45</v>
      </c>
      <c r="S972" s="11" t="s">
        <v>45</v>
      </c>
      <c r="T972" s="11" t="s">
        <v>44</v>
      </c>
      <c r="U972" s="11" t="s">
        <v>44</v>
      </c>
      <c r="W972" s="11" t="s">
        <v>57</v>
      </c>
      <c r="X972" s="11" t="s">
        <v>97</v>
      </c>
      <c r="Y972" s="11" t="s">
        <v>97</v>
      </c>
      <c r="Z972" s="11">
        <v>81983075401</v>
      </c>
      <c r="AA972" s="11" t="s">
        <v>115</v>
      </c>
      <c r="AB972" s="11"/>
      <c r="AC972" s="11"/>
      <c r="AD972" s="11" t="b">
        <v>0</v>
      </c>
      <c r="AF972" s="11"/>
      <c r="AG972" s="11"/>
      <c r="AH972" s="11"/>
      <c r="AI972" s="11"/>
    </row>
    <row r="973" ht="12.5" spans="1:35">
      <c r="A973" s="177">
        <v>45296.3642365046</v>
      </c>
      <c r="B973" s="11" t="s">
        <v>3245</v>
      </c>
      <c r="C973" s="19">
        <v>70500049440</v>
      </c>
      <c r="D973" s="19">
        <v>700307924703340</v>
      </c>
      <c r="F973" s="11" t="s">
        <v>40</v>
      </c>
      <c r="G973" s="11" t="s">
        <v>54</v>
      </c>
      <c r="H973" s="24">
        <v>35187</v>
      </c>
      <c r="I973" s="277" t="s">
        <v>3165</v>
      </c>
      <c r="J973" s="11" t="s">
        <v>42</v>
      </c>
      <c r="K973" s="108" t="s">
        <v>155</v>
      </c>
      <c r="N973" s="11" t="s">
        <v>95</v>
      </c>
      <c r="O973" s="11" t="s">
        <v>127</v>
      </c>
      <c r="P973" s="11" t="s">
        <v>44</v>
      </c>
      <c r="Q973" s="11" t="s">
        <v>44</v>
      </c>
      <c r="R973" s="11" t="s">
        <v>45</v>
      </c>
      <c r="S973" s="11" t="s">
        <v>45</v>
      </c>
      <c r="T973" s="11" t="s">
        <v>44</v>
      </c>
      <c r="U973" s="11" t="s">
        <v>44</v>
      </c>
      <c r="W973" s="11" t="s">
        <v>57</v>
      </c>
      <c r="X973" s="11" t="s">
        <v>97</v>
      </c>
      <c r="Y973" s="11" t="s">
        <v>97</v>
      </c>
      <c r="Z973" s="11">
        <v>81999094317</v>
      </c>
      <c r="AA973" s="11" t="s">
        <v>91</v>
      </c>
      <c r="AB973" s="11"/>
      <c r="AC973" s="11"/>
      <c r="AD973" s="11" t="b">
        <v>0</v>
      </c>
      <c r="AF973" s="11"/>
      <c r="AG973" s="11"/>
      <c r="AH973" s="11"/>
      <c r="AI973" s="11"/>
    </row>
    <row r="974" ht="12.5" spans="1:35">
      <c r="A974" s="177">
        <v>45296.3828343287</v>
      </c>
      <c r="B974" s="11" t="s">
        <v>3252</v>
      </c>
      <c r="C974" s="19">
        <v>11480668451</v>
      </c>
      <c r="D974" s="19">
        <v>706002865429044</v>
      </c>
      <c r="F974" s="11" t="s">
        <v>40</v>
      </c>
      <c r="G974" s="11" t="s">
        <v>54</v>
      </c>
      <c r="H974" s="24">
        <v>35161</v>
      </c>
      <c r="I974" s="277" t="s">
        <v>1348</v>
      </c>
      <c r="J974" s="11" t="s">
        <v>42</v>
      </c>
      <c r="K974" s="108" t="s">
        <v>202</v>
      </c>
      <c r="N974" s="11" t="s">
        <v>95</v>
      </c>
      <c r="O974" s="11" t="s">
        <v>44</v>
      </c>
      <c r="P974" s="11" t="s">
        <v>44</v>
      </c>
      <c r="Q974" s="11" t="s">
        <v>44</v>
      </c>
      <c r="R974" s="11" t="s">
        <v>45</v>
      </c>
      <c r="S974" s="11" t="s">
        <v>44</v>
      </c>
      <c r="T974" s="11" t="s">
        <v>44</v>
      </c>
      <c r="U974" s="11" t="s">
        <v>44</v>
      </c>
      <c r="W974" s="11" t="s">
        <v>57</v>
      </c>
      <c r="X974" s="11" t="s">
        <v>97</v>
      </c>
      <c r="Y974" s="11" t="s">
        <v>97</v>
      </c>
      <c r="Z974" s="11">
        <v>81987982284</v>
      </c>
      <c r="AA974" s="11" t="s">
        <v>91</v>
      </c>
      <c r="AB974" s="11"/>
      <c r="AC974" s="11"/>
      <c r="AD974" s="11" t="b">
        <v>0</v>
      </c>
      <c r="AF974" s="11"/>
      <c r="AG974" s="11"/>
      <c r="AH974" s="11"/>
      <c r="AI974" s="11"/>
    </row>
    <row r="975" ht="12.5" spans="1:35">
      <c r="A975" s="177">
        <v>45296.4109624653</v>
      </c>
      <c r="B975" s="11" t="s">
        <v>3255</v>
      </c>
      <c r="C975" s="277" t="s">
        <v>3256</v>
      </c>
      <c r="D975" s="19">
        <v>702302192126016</v>
      </c>
      <c r="E975" s="18" t="s">
        <v>3261</v>
      </c>
      <c r="F975" s="11" t="s">
        <v>40</v>
      </c>
      <c r="G975" s="11" t="s">
        <v>88</v>
      </c>
      <c r="H975" s="24">
        <v>29890</v>
      </c>
      <c r="I975" s="277" t="s">
        <v>3258</v>
      </c>
      <c r="J975" s="11" t="s">
        <v>42</v>
      </c>
      <c r="K975" s="108" t="s">
        <v>202</v>
      </c>
      <c r="N975" s="11" t="s">
        <v>95</v>
      </c>
      <c r="O975" s="11" t="s">
        <v>44</v>
      </c>
      <c r="P975" s="11" t="s">
        <v>44</v>
      </c>
      <c r="Q975" s="11" t="s">
        <v>44</v>
      </c>
      <c r="R975" s="11" t="s">
        <v>45</v>
      </c>
      <c r="S975" s="11" t="s">
        <v>45</v>
      </c>
      <c r="T975" s="11" t="s">
        <v>45</v>
      </c>
      <c r="U975" s="11" t="s">
        <v>44</v>
      </c>
      <c r="W975" s="11" t="s">
        <v>46</v>
      </c>
      <c r="X975" s="11" t="s">
        <v>97</v>
      </c>
      <c r="Y975" s="11" t="s">
        <v>97</v>
      </c>
      <c r="Z975" s="11">
        <v>81986285773</v>
      </c>
      <c r="AA975" s="11" t="s">
        <v>91</v>
      </c>
      <c r="AB975" s="11"/>
      <c r="AC975" s="11"/>
      <c r="AD975" s="11" t="b">
        <v>0</v>
      </c>
      <c r="AF975" s="11"/>
      <c r="AG975" s="11"/>
      <c r="AH975" s="11"/>
      <c r="AI975" s="11"/>
    </row>
    <row r="976" ht="12.5" spans="1:35">
      <c r="A976" s="177">
        <v>45296.4805630556</v>
      </c>
      <c r="B976" s="11" t="s">
        <v>3262</v>
      </c>
      <c r="C976" s="277" t="s">
        <v>3263</v>
      </c>
      <c r="D976" s="19">
        <v>701000843555192</v>
      </c>
      <c r="E976" s="18" t="s">
        <v>3264</v>
      </c>
      <c r="F976" s="11" t="s">
        <v>225</v>
      </c>
      <c r="G976" s="11" t="s">
        <v>41</v>
      </c>
      <c r="H976" s="24">
        <v>32993</v>
      </c>
      <c r="I976" s="277" t="s">
        <v>923</v>
      </c>
      <c r="J976" s="11" t="s">
        <v>42</v>
      </c>
      <c r="K976" s="108" t="s">
        <v>90</v>
      </c>
      <c r="N976" s="11" t="s">
        <v>43</v>
      </c>
      <c r="O976" s="11" t="s">
        <v>96</v>
      </c>
      <c r="P976" s="11" t="s">
        <v>66</v>
      </c>
      <c r="Q976" s="11" t="s">
        <v>44</v>
      </c>
      <c r="R976" s="11" t="s">
        <v>45</v>
      </c>
      <c r="S976" s="11" t="s">
        <v>45</v>
      </c>
      <c r="T976" s="11" t="s">
        <v>44</v>
      </c>
      <c r="U976" s="11" t="s">
        <v>45</v>
      </c>
      <c r="V976" s="24">
        <v>45297</v>
      </c>
      <c r="W976" s="11" t="s">
        <v>46</v>
      </c>
      <c r="X976" s="11" t="s">
        <v>47</v>
      </c>
      <c r="Y976" s="11" t="s">
        <v>58</v>
      </c>
      <c r="Z976" s="11">
        <v>81982606927</v>
      </c>
      <c r="AA976" s="11" t="s">
        <v>1360</v>
      </c>
      <c r="AB976" s="11" t="s">
        <v>98</v>
      </c>
      <c r="AC976" s="11"/>
      <c r="AD976" s="11" t="b">
        <v>0</v>
      </c>
      <c r="AE976" s="11"/>
      <c r="AF976" s="11" t="s">
        <v>3265</v>
      </c>
      <c r="AG976" s="11" t="s">
        <v>3266</v>
      </c>
      <c r="AH976" s="11" t="s">
        <v>3267</v>
      </c>
      <c r="AI976" s="11"/>
    </row>
    <row r="977" ht="12.5" spans="1:35">
      <c r="A977" s="177">
        <v>45296.5711290162</v>
      </c>
      <c r="B977" s="11" t="s">
        <v>3268</v>
      </c>
      <c r="C977" s="19">
        <v>72068534479</v>
      </c>
      <c r="D977" s="19">
        <v>898006294626805</v>
      </c>
      <c r="E977" s="18" t="s">
        <v>3269</v>
      </c>
      <c r="F977" s="11" t="s">
        <v>225</v>
      </c>
      <c r="G977" s="11" t="s">
        <v>54</v>
      </c>
      <c r="H977" s="24">
        <v>36916</v>
      </c>
      <c r="I977" s="277" t="s">
        <v>1261</v>
      </c>
      <c r="J977" s="11" t="s">
        <v>42</v>
      </c>
      <c r="K977" s="108" t="s">
        <v>90</v>
      </c>
      <c r="N977" s="11" t="s">
        <v>43</v>
      </c>
      <c r="O977" s="11" t="s">
        <v>96</v>
      </c>
      <c r="P977" s="11" t="s">
        <v>66</v>
      </c>
      <c r="Q977" s="11" t="s">
        <v>44</v>
      </c>
      <c r="R977" s="11" t="s">
        <v>45</v>
      </c>
      <c r="S977" s="11" t="s">
        <v>83</v>
      </c>
      <c r="T977" s="11" t="s">
        <v>44</v>
      </c>
      <c r="U977" s="11" t="s">
        <v>45</v>
      </c>
      <c r="V977" s="24">
        <v>45297</v>
      </c>
      <c r="W977" s="11" t="s">
        <v>46</v>
      </c>
      <c r="X977" s="11" t="s">
        <v>47</v>
      </c>
      <c r="Y977" s="11" t="s">
        <v>58</v>
      </c>
      <c r="Z977" s="11">
        <v>81994675269</v>
      </c>
      <c r="AA977" s="11" t="s">
        <v>91</v>
      </c>
      <c r="AB977" s="11" t="s">
        <v>49</v>
      </c>
      <c r="AC977" s="11" t="s">
        <v>256</v>
      </c>
      <c r="AD977" s="11" t="b">
        <v>0</v>
      </c>
      <c r="AF977" s="11" t="s">
        <v>3270</v>
      </c>
      <c r="AG977" s="11"/>
      <c r="AH977" s="11" t="s">
        <v>3271</v>
      </c>
      <c r="AI977" s="11"/>
    </row>
    <row r="978" ht="12.5" spans="1:35">
      <c r="A978" s="177">
        <v>45296.7068666204</v>
      </c>
      <c r="B978" s="11" t="s">
        <v>3272</v>
      </c>
      <c r="C978" s="19">
        <v>13951086416</v>
      </c>
      <c r="D978" s="19">
        <v>706301747155471</v>
      </c>
      <c r="E978" s="18" t="s">
        <v>3273</v>
      </c>
      <c r="F978" s="11" t="s">
        <v>225</v>
      </c>
      <c r="G978" s="11" t="s">
        <v>83</v>
      </c>
      <c r="H978" s="24">
        <v>37443</v>
      </c>
      <c r="I978" s="277" t="s">
        <v>2406</v>
      </c>
      <c r="J978" s="11" t="s">
        <v>42</v>
      </c>
      <c r="K978" s="108" t="s">
        <v>202</v>
      </c>
      <c r="N978" s="11" t="s">
        <v>64</v>
      </c>
      <c r="O978" s="11" t="s">
        <v>3274</v>
      </c>
      <c r="P978" s="11" t="s">
        <v>66</v>
      </c>
      <c r="Q978" s="11" t="s">
        <v>44</v>
      </c>
      <c r="R978" s="11" t="s">
        <v>45</v>
      </c>
      <c r="S978" s="11" t="s">
        <v>83</v>
      </c>
      <c r="T978" s="11" t="s">
        <v>44</v>
      </c>
      <c r="U978" s="11" t="s">
        <v>44</v>
      </c>
      <c r="W978" s="11" t="s">
        <v>192</v>
      </c>
      <c r="X978" s="11" t="s">
        <v>47</v>
      </c>
      <c r="Y978" s="11" t="s">
        <v>58</v>
      </c>
      <c r="Z978" s="11">
        <v>81987342247</v>
      </c>
      <c r="AA978" s="11" t="s">
        <v>1360</v>
      </c>
      <c r="AB978" s="11"/>
      <c r="AC978" s="11"/>
      <c r="AD978" s="11" t="b">
        <v>0</v>
      </c>
      <c r="AF978" s="11"/>
      <c r="AG978" s="11"/>
      <c r="AH978" s="11"/>
      <c r="AI978" s="11"/>
    </row>
    <row r="979" ht="12.5" spans="1:35">
      <c r="A979" s="177">
        <v>45297.5243983796</v>
      </c>
      <c r="B979" s="11" t="s">
        <v>3275</v>
      </c>
      <c r="C979" s="19">
        <v>10752547445</v>
      </c>
      <c r="D979" s="19">
        <v>705005428340253</v>
      </c>
      <c r="E979" s="18" t="s">
        <v>3276</v>
      </c>
      <c r="F979" s="11" t="s">
        <v>40</v>
      </c>
      <c r="G979" s="11" t="s">
        <v>54</v>
      </c>
      <c r="H979" s="24">
        <v>34798</v>
      </c>
      <c r="I979" s="277" t="s">
        <v>2722</v>
      </c>
      <c r="J979" s="11" t="s">
        <v>42</v>
      </c>
      <c r="K979" s="108" t="s">
        <v>155</v>
      </c>
      <c r="N979" s="11" t="s">
        <v>43</v>
      </c>
      <c r="O979" s="11" t="s">
        <v>44</v>
      </c>
      <c r="P979" s="11" t="s">
        <v>44</v>
      </c>
      <c r="Q979" s="11" t="s">
        <v>44</v>
      </c>
      <c r="R979" s="11" t="s">
        <v>44</v>
      </c>
      <c r="S979" s="11" t="s">
        <v>44</v>
      </c>
      <c r="T979" s="11" t="s">
        <v>44</v>
      </c>
      <c r="U979" s="11" t="s">
        <v>44</v>
      </c>
      <c r="W979" s="11" t="s">
        <v>46</v>
      </c>
      <c r="X979" s="11" t="s">
        <v>303</v>
      </c>
      <c r="Y979" s="11" t="s">
        <v>58</v>
      </c>
      <c r="Z979" s="11">
        <v>81993658458</v>
      </c>
      <c r="AA979" s="11" t="s">
        <v>1360</v>
      </c>
      <c r="AB979" s="11"/>
      <c r="AC979" s="11"/>
      <c r="AD979" s="11" t="b">
        <v>0</v>
      </c>
      <c r="AF979" s="11"/>
      <c r="AG979" s="11"/>
      <c r="AH979" s="11"/>
      <c r="AI979" s="11"/>
    </row>
    <row r="980" ht="12.5" spans="1:35">
      <c r="A980" s="177">
        <v>45297.6608407292</v>
      </c>
      <c r="B980" s="11" t="s">
        <v>3277</v>
      </c>
      <c r="C980" s="19">
        <v>70494219440</v>
      </c>
      <c r="D980" s="19">
        <v>700006505018403</v>
      </c>
      <c r="E980" s="18" t="s">
        <v>3278</v>
      </c>
      <c r="F980" s="11" t="s">
        <v>40</v>
      </c>
      <c r="G980" s="11" t="s">
        <v>54</v>
      </c>
      <c r="H980" s="24">
        <v>35629</v>
      </c>
      <c r="I980" s="277" t="s">
        <v>540</v>
      </c>
      <c r="J980" s="11" t="s">
        <v>42</v>
      </c>
      <c r="K980" s="108" t="s">
        <v>74</v>
      </c>
      <c r="N980" s="11" t="s">
        <v>43</v>
      </c>
      <c r="O980" s="11" t="s">
        <v>96</v>
      </c>
      <c r="P980" s="11" t="s">
        <v>56</v>
      </c>
      <c r="Q980" s="11" t="s">
        <v>44</v>
      </c>
      <c r="R980" s="11" t="s">
        <v>45</v>
      </c>
      <c r="S980" s="11" t="s">
        <v>45</v>
      </c>
      <c r="T980" s="11" t="s">
        <v>44</v>
      </c>
      <c r="U980" s="11" t="s">
        <v>45</v>
      </c>
      <c r="V980" s="24">
        <v>45300</v>
      </c>
      <c r="W980" s="11" t="s">
        <v>46</v>
      </c>
      <c r="X980" s="11" t="s">
        <v>303</v>
      </c>
      <c r="Y980" s="11" t="s">
        <v>58</v>
      </c>
      <c r="Z980" s="11">
        <v>81989143627</v>
      </c>
      <c r="AA980" s="11" t="s">
        <v>1360</v>
      </c>
      <c r="AB980" s="11" t="s">
        <v>49</v>
      </c>
      <c r="AC980" s="11" t="s">
        <v>50</v>
      </c>
      <c r="AD980" s="11" t="b">
        <v>0</v>
      </c>
      <c r="AF980" s="11" t="s">
        <v>3279</v>
      </c>
      <c r="AG980" s="11" t="s">
        <v>3280</v>
      </c>
      <c r="AH980" s="11"/>
      <c r="AI980" s="11"/>
    </row>
    <row r="981" ht="12.5" spans="1:35">
      <c r="A981" s="177">
        <v>45297.6984395602</v>
      </c>
      <c r="B981" s="11" t="s">
        <v>3268</v>
      </c>
      <c r="C981" s="19">
        <v>72068534479</v>
      </c>
      <c r="D981" s="19">
        <v>898006294626805</v>
      </c>
      <c r="F981" s="11" t="s">
        <v>40</v>
      </c>
      <c r="G981" s="11" t="s">
        <v>54</v>
      </c>
      <c r="H981" s="24">
        <v>36916</v>
      </c>
      <c r="I981" s="277" t="s">
        <v>1261</v>
      </c>
      <c r="J981" s="11" t="s">
        <v>42</v>
      </c>
      <c r="K981" s="108" t="s">
        <v>90</v>
      </c>
      <c r="N981" s="11" t="s">
        <v>95</v>
      </c>
      <c r="O981" s="11" t="s">
        <v>44</v>
      </c>
      <c r="P981" s="11" t="s">
        <v>44</v>
      </c>
      <c r="Q981" s="11" t="s">
        <v>44</v>
      </c>
      <c r="R981" s="11" t="s">
        <v>45</v>
      </c>
      <c r="S981" s="11" t="s">
        <v>45</v>
      </c>
      <c r="T981" s="11" t="s">
        <v>44</v>
      </c>
      <c r="U981" s="11" t="s">
        <v>44</v>
      </c>
      <c r="W981" s="11" t="s">
        <v>57</v>
      </c>
      <c r="X981" s="11" t="s">
        <v>97</v>
      </c>
      <c r="Y981" s="11" t="s">
        <v>97</v>
      </c>
      <c r="Z981" s="11">
        <v>81994675269</v>
      </c>
      <c r="AA981" s="11" t="s">
        <v>1360</v>
      </c>
      <c r="AB981" s="11"/>
      <c r="AC981" s="11"/>
      <c r="AD981" s="11" t="b">
        <v>0</v>
      </c>
      <c r="AF981" s="11"/>
      <c r="AG981" s="11"/>
      <c r="AH981" s="11"/>
      <c r="AI981" s="11"/>
    </row>
    <row r="982" ht="12.5" spans="1:35">
      <c r="A982" s="177">
        <v>45297.7289517361</v>
      </c>
      <c r="B982" s="11" t="s">
        <v>844</v>
      </c>
      <c r="C982" s="19">
        <v>70806053429</v>
      </c>
      <c r="D982" s="19">
        <v>206053458500008</v>
      </c>
      <c r="E982" s="18" t="s">
        <v>3281</v>
      </c>
      <c r="F982" s="11" t="s">
        <v>225</v>
      </c>
      <c r="G982" s="11" t="s">
        <v>54</v>
      </c>
      <c r="H982" s="24">
        <v>34559</v>
      </c>
      <c r="I982" s="277" t="s">
        <v>846</v>
      </c>
      <c r="J982" s="11" t="s">
        <v>42</v>
      </c>
      <c r="K982" s="108" t="s">
        <v>282</v>
      </c>
      <c r="N982" s="11" t="s">
        <v>43</v>
      </c>
      <c r="O982" s="11" t="s">
        <v>44</v>
      </c>
      <c r="P982" s="11" t="s">
        <v>44</v>
      </c>
      <c r="Q982" s="11" t="s">
        <v>45</v>
      </c>
      <c r="R982" s="11" t="s">
        <v>45</v>
      </c>
      <c r="S982" s="11" t="s">
        <v>45</v>
      </c>
      <c r="T982" s="11" t="s">
        <v>44</v>
      </c>
      <c r="U982" s="11" t="s">
        <v>45</v>
      </c>
      <c r="V982" s="24">
        <v>45298</v>
      </c>
      <c r="W982" s="11" t="s">
        <v>46</v>
      </c>
      <c r="X982" s="11" t="s">
        <v>303</v>
      </c>
      <c r="Y982" s="11" t="s">
        <v>58</v>
      </c>
      <c r="Z982" s="11">
        <v>81988435598</v>
      </c>
      <c r="AA982" s="11" t="s">
        <v>1360</v>
      </c>
      <c r="AB982" s="11" t="s">
        <v>49</v>
      </c>
      <c r="AC982" s="11" t="s">
        <v>92</v>
      </c>
      <c r="AD982" s="11" t="b">
        <v>1</v>
      </c>
      <c r="AE982" s="11" t="s">
        <v>137</v>
      </c>
      <c r="AF982" s="11" t="s">
        <v>3282</v>
      </c>
      <c r="AG982" s="11"/>
      <c r="AH982" s="11" t="s">
        <v>3283</v>
      </c>
      <c r="AI982" s="11"/>
    </row>
    <row r="983" ht="12.5" spans="1:35">
      <c r="A983" s="177">
        <v>45297.7651723032</v>
      </c>
      <c r="B983" s="11" t="s">
        <v>3284</v>
      </c>
      <c r="C983" s="19">
        <v>22784714810</v>
      </c>
      <c r="D983" s="19">
        <v>704607655945022</v>
      </c>
      <c r="E983" s="18" t="s">
        <v>3285</v>
      </c>
      <c r="F983" s="11" t="s">
        <v>40</v>
      </c>
      <c r="G983" s="11" t="s">
        <v>54</v>
      </c>
      <c r="H983" s="24">
        <v>31306</v>
      </c>
      <c r="I983" s="277" t="s">
        <v>3286</v>
      </c>
      <c r="J983" s="11" t="s">
        <v>42</v>
      </c>
      <c r="K983" s="108" t="s">
        <v>3287</v>
      </c>
      <c r="N983" s="11" t="s">
        <v>43</v>
      </c>
      <c r="O983" s="11" t="s">
        <v>44</v>
      </c>
      <c r="P983" s="11" t="s">
        <v>44</v>
      </c>
      <c r="Q983" s="11" t="s">
        <v>44</v>
      </c>
      <c r="R983" s="11" t="s">
        <v>45</v>
      </c>
      <c r="S983" s="11" t="s">
        <v>45</v>
      </c>
      <c r="T983" s="11" t="s">
        <v>44</v>
      </c>
      <c r="U983" s="11" t="s">
        <v>44</v>
      </c>
      <c r="W983" s="11" t="s">
        <v>46</v>
      </c>
      <c r="X983" s="11" t="s">
        <v>303</v>
      </c>
      <c r="Y983" s="11" t="s">
        <v>58</v>
      </c>
      <c r="Z983" s="11">
        <v>81989722443</v>
      </c>
      <c r="AA983" s="11" t="s">
        <v>1360</v>
      </c>
      <c r="AB983" s="11"/>
      <c r="AC983" s="11"/>
      <c r="AD983" s="11" t="b">
        <v>0</v>
      </c>
      <c r="AF983" s="11"/>
      <c r="AG983" s="11"/>
      <c r="AH983" s="11"/>
      <c r="AI983" s="11"/>
    </row>
    <row r="984" ht="12.5" spans="1:35">
      <c r="A984" s="177">
        <v>45299.3918500694</v>
      </c>
      <c r="B984" s="11" t="s">
        <v>844</v>
      </c>
      <c r="C984" s="19">
        <v>70806053429</v>
      </c>
      <c r="D984" s="19">
        <v>206053458500008</v>
      </c>
      <c r="E984" s="18" t="s">
        <v>3288</v>
      </c>
      <c r="F984" s="11" t="s">
        <v>225</v>
      </c>
      <c r="G984" s="11" t="s">
        <v>54</v>
      </c>
      <c r="H984" s="24">
        <v>34559</v>
      </c>
      <c r="I984" s="277" t="s">
        <v>846</v>
      </c>
      <c r="J984" s="11" t="s">
        <v>42</v>
      </c>
      <c r="K984" s="108" t="s">
        <v>282</v>
      </c>
      <c r="N984" s="11" t="s">
        <v>95</v>
      </c>
      <c r="O984" s="11" t="s">
        <v>44</v>
      </c>
      <c r="P984" s="11" t="s">
        <v>44</v>
      </c>
      <c r="Q984" s="11" t="s">
        <v>45</v>
      </c>
      <c r="R984" s="11" t="s">
        <v>45</v>
      </c>
      <c r="S984" s="11" t="s">
        <v>45</v>
      </c>
      <c r="T984" s="11" t="s">
        <v>44</v>
      </c>
      <c r="U984" s="11" t="s">
        <v>44</v>
      </c>
      <c r="W984" s="11" t="s">
        <v>46</v>
      </c>
      <c r="X984" s="11" t="s">
        <v>97</v>
      </c>
      <c r="Y984" s="11" t="s">
        <v>97</v>
      </c>
      <c r="Z984" s="11">
        <v>81988435598</v>
      </c>
      <c r="AA984" s="11" t="s">
        <v>91</v>
      </c>
      <c r="AB984" s="11"/>
      <c r="AC984" s="11"/>
      <c r="AD984" s="11" t="b">
        <v>0</v>
      </c>
      <c r="AF984" s="11"/>
      <c r="AG984" s="11"/>
      <c r="AH984" s="11" t="s">
        <v>3289</v>
      </c>
      <c r="AI984" s="11"/>
    </row>
    <row r="985" ht="12.5" spans="1:35">
      <c r="A985" s="177">
        <v>45299.4575515394</v>
      </c>
      <c r="B985" s="11" t="s">
        <v>3290</v>
      </c>
      <c r="C985" s="19">
        <v>70261856405</v>
      </c>
      <c r="D985" s="19">
        <v>706902172422830</v>
      </c>
      <c r="E985" s="18" t="s">
        <v>3291</v>
      </c>
      <c r="F985" s="42" t="s">
        <v>225</v>
      </c>
      <c r="G985" s="11" t="s">
        <v>54</v>
      </c>
      <c r="H985" s="24">
        <v>35510</v>
      </c>
      <c r="I985" s="19" t="s">
        <v>3292</v>
      </c>
      <c r="J985" s="11" t="s">
        <v>42</v>
      </c>
      <c r="K985" s="108" t="s">
        <v>63</v>
      </c>
      <c r="N985" s="11" t="s">
        <v>43</v>
      </c>
      <c r="O985" s="11" t="s">
        <v>96</v>
      </c>
      <c r="P985" s="11" t="s">
        <v>56</v>
      </c>
      <c r="Q985" s="11" t="s">
        <v>44</v>
      </c>
      <c r="R985" s="11" t="s">
        <v>45</v>
      </c>
      <c r="S985" s="11" t="s">
        <v>83</v>
      </c>
      <c r="T985" s="11" t="s">
        <v>44</v>
      </c>
      <c r="U985" s="11" t="s">
        <v>45</v>
      </c>
      <c r="V985" s="24">
        <v>45300</v>
      </c>
      <c r="W985" s="11" t="s">
        <v>46</v>
      </c>
      <c r="X985" s="11" t="s">
        <v>47</v>
      </c>
      <c r="Y985" s="11" t="s">
        <v>58</v>
      </c>
      <c r="Z985" s="11">
        <v>81983870031</v>
      </c>
      <c r="AA985" s="11" t="s">
        <v>91</v>
      </c>
      <c r="AB985" s="11" t="s">
        <v>98</v>
      </c>
      <c r="AC985" s="11"/>
      <c r="AD985" s="11" t="b">
        <v>0</v>
      </c>
      <c r="AE985" s="11"/>
      <c r="AF985" s="11" t="s">
        <v>3293</v>
      </c>
      <c r="AG985" s="11"/>
      <c r="AH985" s="11"/>
      <c r="AI985" s="11"/>
    </row>
    <row r="986" ht="12.5" spans="1:35">
      <c r="A986" s="177">
        <v>45300.4592875694</v>
      </c>
      <c r="B986" s="11" t="s">
        <v>3277</v>
      </c>
      <c r="C986" s="19">
        <v>70494219440</v>
      </c>
      <c r="D986" s="19">
        <v>700006505018403</v>
      </c>
      <c r="F986" s="11" t="s">
        <v>40</v>
      </c>
      <c r="G986" s="11" t="s">
        <v>54</v>
      </c>
      <c r="H986" s="24">
        <v>35629</v>
      </c>
      <c r="I986" s="277" t="s">
        <v>540</v>
      </c>
      <c r="J986" s="11" t="s">
        <v>42</v>
      </c>
      <c r="K986" s="108" t="s">
        <v>74</v>
      </c>
      <c r="N986" s="11" t="s">
        <v>95</v>
      </c>
      <c r="O986" s="11" t="s">
        <v>44</v>
      </c>
      <c r="P986" s="11" t="s">
        <v>44</v>
      </c>
      <c r="Q986" s="11" t="s">
        <v>44</v>
      </c>
      <c r="R986" s="11" t="s">
        <v>45</v>
      </c>
      <c r="S986" s="11" t="s">
        <v>45</v>
      </c>
      <c r="T986" s="11" t="s">
        <v>44</v>
      </c>
      <c r="U986" s="11" t="s">
        <v>44</v>
      </c>
      <c r="W986" s="11" t="s">
        <v>57</v>
      </c>
      <c r="X986" s="11" t="s">
        <v>97</v>
      </c>
      <c r="Y986" s="11" t="s">
        <v>97</v>
      </c>
      <c r="Z986" s="11">
        <v>81989143627</v>
      </c>
      <c r="AA986" s="11" t="s">
        <v>115</v>
      </c>
      <c r="AB986" s="11"/>
      <c r="AC986" s="11"/>
      <c r="AD986" s="11" t="b">
        <v>0</v>
      </c>
      <c r="AF986" s="11"/>
      <c r="AG986" s="11"/>
      <c r="AH986" s="11"/>
      <c r="AI986" s="11"/>
    </row>
    <row r="987" ht="12.5" spans="1:35">
      <c r="A987" s="177">
        <v>45300.5107391435</v>
      </c>
      <c r="B987" s="11" t="s">
        <v>3294</v>
      </c>
      <c r="C987" s="277" t="s">
        <v>3295</v>
      </c>
      <c r="D987" s="19">
        <v>700204950900830</v>
      </c>
      <c r="E987" s="18" t="s">
        <v>3296</v>
      </c>
      <c r="F987" s="11" t="s">
        <v>40</v>
      </c>
      <c r="G987" s="11" t="s">
        <v>54</v>
      </c>
      <c r="H987" s="24">
        <v>33284</v>
      </c>
      <c r="I987" s="277" t="s">
        <v>2652</v>
      </c>
      <c r="J987" s="11" t="s">
        <v>42</v>
      </c>
      <c r="K987" s="108" t="s">
        <v>149</v>
      </c>
      <c r="N987" s="11" t="s">
        <v>43</v>
      </c>
      <c r="O987" s="11" t="s">
        <v>44</v>
      </c>
      <c r="P987" s="11" t="s">
        <v>44</v>
      </c>
      <c r="Q987" s="11" t="s">
        <v>44</v>
      </c>
      <c r="R987" s="11" t="s">
        <v>45</v>
      </c>
      <c r="S987" s="11" t="s">
        <v>45</v>
      </c>
      <c r="T987" s="11" t="s">
        <v>44</v>
      </c>
      <c r="U987" s="11" t="s">
        <v>45</v>
      </c>
      <c r="V987" s="24">
        <v>45301</v>
      </c>
      <c r="W987" s="11" t="s">
        <v>46</v>
      </c>
      <c r="X987" s="11" t="s">
        <v>47</v>
      </c>
      <c r="Y987" s="11" t="s">
        <v>58</v>
      </c>
      <c r="Z987" s="11">
        <v>81999990960</v>
      </c>
      <c r="AA987" s="11" t="s">
        <v>115</v>
      </c>
      <c r="AB987" s="11" t="s">
        <v>49</v>
      </c>
      <c r="AC987" s="11" t="s">
        <v>50</v>
      </c>
      <c r="AD987" s="11" t="b">
        <v>0</v>
      </c>
      <c r="AF987" s="11" t="s">
        <v>3297</v>
      </c>
      <c r="AG987" s="11"/>
      <c r="AH987" s="11"/>
      <c r="AI987" s="11"/>
    </row>
    <row r="988" ht="12.5" spans="1:35">
      <c r="A988" s="177">
        <v>45300.5150970833</v>
      </c>
      <c r="B988" s="11" t="s">
        <v>2725</v>
      </c>
      <c r="C988" s="19">
        <v>13211084436</v>
      </c>
      <c r="D988" s="19">
        <v>898004654931653</v>
      </c>
      <c r="E988" s="18" t="s">
        <v>3298</v>
      </c>
      <c r="F988" s="11" t="s">
        <v>40</v>
      </c>
      <c r="G988" s="11" t="s">
        <v>54</v>
      </c>
      <c r="H988" s="24">
        <v>36285</v>
      </c>
      <c r="I988" s="19" t="s">
        <v>136</v>
      </c>
      <c r="J988" s="11" t="s">
        <v>42</v>
      </c>
      <c r="K988" s="108" t="s">
        <v>399</v>
      </c>
      <c r="N988" s="11" t="s">
        <v>43</v>
      </c>
      <c r="O988" s="11" t="s">
        <v>44</v>
      </c>
      <c r="P988" s="11" t="s">
        <v>44</v>
      </c>
      <c r="Q988" s="11" t="s">
        <v>45</v>
      </c>
      <c r="R988" s="11" t="s">
        <v>44</v>
      </c>
      <c r="S988" s="11" t="s">
        <v>45</v>
      </c>
      <c r="T988" s="11" t="s">
        <v>44</v>
      </c>
      <c r="U988" s="11" t="s">
        <v>45</v>
      </c>
      <c r="V988" s="24">
        <v>45301</v>
      </c>
      <c r="W988" s="11" t="s">
        <v>46</v>
      </c>
      <c r="X988" s="11" t="s">
        <v>47</v>
      </c>
      <c r="Y988" s="11" t="s">
        <v>58</v>
      </c>
      <c r="Z988" s="11">
        <v>81982233897</v>
      </c>
      <c r="AA988" s="11" t="s">
        <v>91</v>
      </c>
      <c r="AB988" s="11" t="s">
        <v>49</v>
      </c>
      <c r="AC988" s="11" t="s">
        <v>92</v>
      </c>
      <c r="AD988" s="11" t="b">
        <v>1</v>
      </c>
      <c r="AE988" s="11" t="s">
        <v>137</v>
      </c>
      <c r="AF988" s="11" t="s">
        <v>3299</v>
      </c>
      <c r="AG988" s="11"/>
      <c r="AH988" s="11"/>
      <c r="AI988" s="11"/>
    </row>
    <row r="989" ht="12.5" spans="1:35">
      <c r="A989" s="177">
        <v>45300.5369376042</v>
      </c>
      <c r="B989" s="11" t="s">
        <v>3300</v>
      </c>
      <c r="C989" s="19">
        <v>71258001497</v>
      </c>
      <c r="D989" s="19">
        <v>703407527388000</v>
      </c>
      <c r="E989" s="18" t="s">
        <v>3301</v>
      </c>
      <c r="F989" s="11" t="s">
        <v>40</v>
      </c>
      <c r="G989" s="11" t="s">
        <v>54</v>
      </c>
      <c r="H989" s="24">
        <v>36378</v>
      </c>
      <c r="I989" s="19" t="s">
        <v>136</v>
      </c>
      <c r="J989" s="11" t="s">
        <v>42</v>
      </c>
      <c r="K989" s="108" t="s">
        <v>3302</v>
      </c>
      <c r="N989" s="11" t="s">
        <v>43</v>
      </c>
      <c r="O989" s="11" t="s">
        <v>44</v>
      </c>
      <c r="P989" s="11" t="s">
        <v>44</v>
      </c>
      <c r="Q989" s="11" t="s">
        <v>45</v>
      </c>
      <c r="R989" s="11" t="s">
        <v>45</v>
      </c>
      <c r="S989" s="11" t="s">
        <v>83</v>
      </c>
      <c r="T989" s="11" t="s">
        <v>44</v>
      </c>
      <c r="U989" s="11" t="s">
        <v>44</v>
      </c>
      <c r="W989" s="11" t="s">
        <v>46</v>
      </c>
      <c r="X989" s="11" t="s">
        <v>47</v>
      </c>
      <c r="Y989" s="11" t="s">
        <v>58</v>
      </c>
      <c r="Z989" s="11">
        <v>81996855296</v>
      </c>
      <c r="AA989" s="11" t="s">
        <v>113</v>
      </c>
      <c r="AB989" s="11"/>
      <c r="AC989" s="11"/>
      <c r="AD989" s="11" t="b">
        <v>0</v>
      </c>
      <c r="AF989" s="11"/>
      <c r="AG989" s="11"/>
      <c r="AH989" s="11"/>
      <c r="AI989" s="11"/>
    </row>
    <row r="990" ht="12.5" spans="1:35">
      <c r="A990" s="177">
        <v>45300.615610463</v>
      </c>
      <c r="B990" s="11" t="s">
        <v>3303</v>
      </c>
      <c r="C990" s="19">
        <v>39403127899</v>
      </c>
      <c r="D990" s="19">
        <v>701006878226794</v>
      </c>
      <c r="E990" s="18" t="s">
        <v>3304</v>
      </c>
      <c r="F990" s="11" t="s">
        <v>40</v>
      </c>
      <c r="G990" s="11" t="s">
        <v>54</v>
      </c>
      <c r="H990" s="24">
        <v>44692</v>
      </c>
      <c r="I990" s="277" t="s">
        <v>3305</v>
      </c>
      <c r="J990" s="11" t="s">
        <v>42</v>
      </c>
      <c r="K990" s="108" t="s">
        <v>3306</v>
      </c>
      <c r="N990" s="11" t="s">
        <v>43</v>
      </c>
      <c r="O990" s="11" t="s">
        <v>96</v>
      </c>
      <c r="P990" s="11" t="s">
        <v>56</v>
      </c>
      <c r="Q990" s="11" t="s">
        <v>44</v>
      </c>
      <c r="R990" s="11" t="s">
        <v>45</v>
      </c>
      <c r="S990" s="11" t="s">
        <v>44</v>
      </c>
      <c r="T990" s="11" t="s">
        <v>44</v>
      </c>
      <c r="U990" s="11" t="s">
        <v>45</v>
      </c>
      <c r="V990" s="24">
        <v>45301</v>
      </c>
      <c r="W990" s="11" t="s">
        <v>46</v>
      </c>
      <c r="X990" s="11" t="s">
        <v>47</v>
      </c>
      <c r="Y990" s="11" t="s">
        <v>58</v>
      </c>
      <c r="Z990" s="11">
        <v>81997795224</v>
      </c>
      <c r="AA990" s="11" t="s">
        <v>2835</v>
      </c>
      <c r="AB990" s="11" t="s">
        <v>98</v>
      </c>
      <c r="AC990" s="11"/>
      <c r="AD990" s="11" t="b">
        <v>0</v>
      </c>
      <c r="AE990" s="11"/>
      <c r="AF990" s="11" t="s">
        <v>3307</v>
      </c>
      <c r="AG990" s="11" t="s">
        <v>3308</v>
      </c>
      <c r="AH990" s="11"/>
      <c r="AI990" s="11"/>
    </row>
    <row r="991" ht="12.5" spans="1:35">
      <c r="A991" s="177">
        <v>45300.6977236227</v>
      </c>
      <c r="B991" s="11" t="s">
        <v>1116</v>
      </c>
      <c r="C991" s="19">
        <v>71331323460</v>
      </c>
      <c r="D991" s="19">
        <v>702009312004981</v>
      </c>
      <c r="E991" s="18" t="s">
        <v>3309</v>
      </c>
      <c r="F991" s="11" t="s">
        <v>40</v>
      </c>
      <c r="G991" s="11" t="s">
        <v>54</v>
      </c>
      <c r="H991" s="24">
        <v>37826</v>
      </c>
      <c r="I991" s="277" t="s">
        <v>918</v>
      </c>
      <c r="J991" s="11" t="s">
        <v>42</v>
      </c>
      <c r="K991" s="108" t="s">
        <v>3310</v>
      </c>
      <c r="N991" s="11" t="s">
        <v>43</v>
      </c>
      <c r="O991" s="11" t="s">
        <v>44</v>
      </c>
      <c r="P991" s="11" t="s">
        <v>44</v>
      </c>
      <c r="Q991" s="11" t="s">
        <v>44</v>
      </c>
      <c r="R991" s="11" t="s">
        <v>45</v>
      </c>
      <c r="S991" s="11" t="s">
        <v>83</v>
      </c>
      <c r="T991" s="11" t="s">
        <v>44</v>
      </c>
      <c r="U991" s="11" t="s">
        <v>45</v>
      </c>
      <c r="V991" s="24">
        <v>45301</v>
      </c>
      <c r="W991" s="11" t="s">
        <v>46</v>
      </c>
      <c r="X991" s="11" t="s">
        <v>47</v>
      </c>
      <c r="Y991" s="11" t="s">
        <v>58</v>
      </c>
      <c r="Z991" s="11">
        <v>81987465625</v>
      </c>
      <c r="AA991" s="11" t="s">
        <v>91</v>
      </c>
      <c r="AB991" s="11" t="s">
        <v>49</v>
      </c>
      <c r="AC991" s="11" t="s">
        <v>92</v>
      </c>
      <c r="AD991" s="11" t="b">
        <v>1</v>
      </c>
      <c r="AE991" s="11" t="s">
        <v>137</v>
      </c>
      <c r="AF991" s="11" t="s">
        <v>3311</v>
      </c>
      <c r="AG991" s="11"/>
      <c r="AH991" s="11" t="s">
        <v>3312</v>
      </c>
      <c r="AI991" s="11"/>
    </row>
    <row r="992" ht="12.5" spans="1:35">
      <c r="A992" s="177">
        <v>45301.4111982292</v>
      </c>
      <c r="B992" s="11" t="s">
        <v>2990</v>
      </c>
      <c r="C992" s="19">
        <v>70482917458</v>
      </c>
      <c r="D992" s="19">
        <v>708700168884694</v>
      </c>
      <c r="E992" s="18" t="s">
        <v>3313</v>
      </c>
      <c r="F992" s="11" t="s">
        <v>40</v>
      </c>
      <c r="G992" s="11" t="s">
        <v>41</v>
      </c>
      <c r="H992" s="24">
        <v>36040</v>
      </c>
      <c r="I992" s="19" t="s">
        <v>136</v>
      </c>
      <c r="J992" s="11" t="s">
        <v>42</v>
      </c>
      <c r="K992" s="108" t="s">
        <v>202</v>
      </c>
      <c r="N992" s="11" t="s">
        <v>43</v>
      </c>
      <c r="O992" s="11" t="s">
        <v>44</v>
      </c>
      <c r="P992" s="11" t="s">
        <v>44</v>
      </c>
      <c r="Q992" s="11" t="s">
        <v>44</v>
      </c>
      <c r="R992" s="11" t="s">
        <v>45</v>
      </c>
      <c r="S992" s="11" t="s">
        <v>83</v>
      </c>
      <c r="T992" s="11" t="s">
        <v>44</v>
      </c>
      <c r="U992" s="11" t="s">
        <v>45</v>
      </c>
      <c r="V992" s="24">
        <v>45301</v>
      </c>
      <c r="W992" s="11" t="s">
        <v>57</v>
      </c>
      <c r="X992" s="11" t="s">
        <v>47</v>
      </c>
      <c r="Y992" s="11" t="s">
        <v>58</v>
      </c>
      <c r="Z992" s="11">
        <v>81988110275</v>
      </c>
      <c r="AA992" s="11" t="s">
        <v>113</v>
      </c>
      <c r="AB992" s="11" t="s">
        <v>49</v>
      </c>
      <c r="AC992" s="11" t="s">
        <v>50</v>
      </c>
      <c r="AD992" s="11" t="b">
        <v>0</v>
      </c>
      <c r="AF992" s="11" t="s">
        <v>3314</v>
      </c>
      <c r="AG992" s="11"/>
      <c r="AH992" s="11" t="s">
        <v>3315</v>
      </c>
      <c r="AI992" s="11"/>
    </row>
    <row r="993" ht="12.5" spans="1:35">
      <c r="A993" s="177">
        <v>45301.4490816435</v>
      </c>
      <c r="B993" s="11" t="s">
        <v>2725</v>
      </c>
      <c r="C993" s="19">
        <v>13211084436</v>
      </c>
      <c r="D993" s="19">
        <v>898004654931653</v>
      </c>
      <c r="E993" s="18" t="s">
        <v>3316</v>
      </c>
      <c r="F993" s="11" t="s">
        <v>40</v>
      </c>
      <c r="G993" s="11" t="s">
        <v>54</v>
      </c>
      <c r="H993" s="24">
        <v>36285</v>
      </c>
      <c r="I993" s="19" t="s">
        <v>136</v>
      </c>
      <c r="J993" s="11" t="s">
        <v>42</v>
      </c>
      <c r="K993" s="108" t="s">
        <v>399</v>
      </c>
      <c r="N993" s="11" t="s">
        <v>95</v>
      </c>
      <c r="O993" s="11" t="s">
        <v>44</v>
      </c>
      <c r="P993" s="11" t="s">
        <v>44</v>
      </c>
      <c r="Q993" s="11" t="s">
        <v>44</v>
      </c>
      <c r="R993" s="11" t="s">
        <v>45</v>
      </c>
      <c r="S993" s="11" t="s">
        <v>83</v>
      </c>
      <c r="T993" s="11" t="s">
        <v>44</v>
      </c>
      <c r="U993" s="11" t="s">
        <v>44</v>
      </c>
      <c r="W993" s="11" t="s">
        <v>46</v>
      </c>
      <c r="X993" s="11" t="s">
        <v>97</v>
      </c>
      <c r="Y993" s="11" t="s">
        <v>97</v>
      </c>
      <c r="Z993" s="11">
        <v>81982233897</v>
      </c>
      <c r="AA993" s="11" t="s">
        <v>91</v>
      </c>
      <c r="AB993" s="11"/>
      <c r="AC993" s="11"/>
      <c r="AD993" s="11" t="b">
        <v>0</v>
      </c>
      <c r="AF993" s="11"/>
      <c r="AG993" s="11"/>
      <c r="AH993" s="11"/>
      <c r="AI993" s="11"/>
    </row>
    <row r="994" ht="12.5" spans="1:35">
      <c r="A994" s="177">
        <v>45301.4649352546</v>
      </c>
      <c r="B994" s="11" t="s">
        <v>3317</v>
      </c>
      <c r="C994" s="277" t="s">
        <v>3318</v>
      </c>
      <c r="D994" s="19">
        <v>701005891945099</v>
      </c>
      <c r="E994" s="18" t="s">
        <v>3319</v>
      </c>
      <c r="F994" s="11" t="s">
        <v>40</v>
      </c>
      <c r="G994" s="11" t="s">
        <v>88</v>
      </c>
      <c r="H994" s="24">
        <v>32013</v>
      </c>
      <c r="I994" s="277" t="s">
        <v>2339</v>
      </c>
      <c r="J994" s="11" t="s">
        <v>42</v>
      </c>
      <c r="K994" s="108" t="s">
        <v>3320</v>
      </c>
      <c r="N994" s="11" t="s">
        <v>43</v>
      </c>
      <c r="O994" s="11" t="s">
        <v>44</v>
      </c>
      <c r="P994" s="11" t="s">
        <v>44</v>
      </c>
      <c r="Q994" s="11" t="s">
        <v>44</v>
      </c>
      <c r="R994" s="11" t="s">
        <v>44</v>
      </c>
      <c r="S994" s="11" t="s">
        <v>83</v>
      </c>
      <c r="T994" s="11" t="s">
        <v>44</v>
      </c>
      <c r="U994" s="11" t="s">
        <v>45</v>
      </c>
      <c r="V994" s="24">
        <v>45301</v>
      </c>
      <c r="W994" s="11" t="s">
        <v>46</v>
      </c>
      <c r="X994" s="11" t="s">
        <v>47</v>
      </c>
      <c r="Y994" s="11" t="s">
        <v>58</v>
      </c>
      <c r="Z994" s="11">
        <v>81987137943</v>
      </c>
      <c r="AA994" s="11" t="s">
        <v>115</v>
      </c>
      <c r="AB994" s="11" t="s">
        <v>98</v>
      </c>
      <c r="AC994" s="11"/>
      <c r="AD994" s="11" t="b">
        <v>0</v>
      </c>
      <c r="AE994" s="11"/>
      <c r="AF994" s="11" t="s">
        <v>3321</v>
      </c>
      <c r="AG994" s="11"/>
      <c r="AH994" s="11" t="s">
        <v>2132</v>
      </c>
      <c r="AI994" s="11"/>
    </row>
    <row r="995" ht="12.5" spans="1:35">
      <c r="A995" s="177">
        <v>45301.5100540857</v>
      </c>
      <c r="B995" s="11" t="s">
        <v>1116</v>
      </c>
      <c r="C995" s="19">
        <v>71331323460</v>
      </c>
      <c r="D995" s="19">
        <v>702009312004981</v>
      </c>
      <c r="E995" s="18" t="s">
        <v>3322</v>
      </c>
      <c r="F995" s="11" t="s">
        <v>40</v>
      </c>
      <c r="G995" s="11" t="s">
        <v>54</v>
      </c>
      <c r="H995" s="24">
        <v>37826</v>
      </c>
      <c r="I995" s="277" t="s">
        <v>918</v>
      </c>
      <c r="J995" s="11" t="s">
        <v>42</v>
      </c>
      <c r="K995" s="108" t="s">
        <v>3310</v>
      </c>
      <c r="N995" s="11" t="s">
        <v>95</v>
      </c>
      <c r="O995" s="11" t="s">
        <v>44</v>
      </c>
      <c r="P995" s="11" t="s">
        <v>44</v>
      </c>
      <c r="Q995" s="11" t="s">
        <v>44</v>
      </c>
      <c r="R995" s="11" t="s">
        <v>45</v>
      </c>
      <c r="S995" s="11" t="s">
        <v>83</v>
      </c>
      <c r="T995" s="11" t="s">
        <v>44</v>
      </c>
      <c r="U995" s="11" t="s">
        <v>44</v>
      </c>
      <c r="W995" s="11" t="s">
        <v>46</v>
      </c>
      <c r="X995" s="11" t="s">
        <v>97</v>
      </c>
      <c r="Y995" s="11" t="s">
        <v>97</v>
      </c>
      <c r="Z995" s="11">
        <v>81987465625</v>
      </c>
      <c r="AA995" s="11" t="s">
        <v>91</v>
      </c>
      <c r="AB995" s="11"/>
      <c r="AC995" s="11"/>
      <c r="AD995" s="11" t="b">
        <v>0</v>
      </c>
      <c r="AF995" s="11"/>
      <c r="AG995" s="11"/>
      <c r="AH995" s="11"/>
      <c r="AI995" s="11"/>
    </row>
    <row r="996" ht="12.5" spans="1:35">
      <c r="A996" s="177">
        <v>45301.5948327315</v>
      </c>
      <c r="B996" s="11" t="s">
        <v>3294</v>
      </c>
      <c r="C996" s="277" t="s">
        <v>3295</v>
      </c>
      <c r="D996" s="19">
        <v>700204950900830</v>
      </c>
      <c r="F996" s="11" t="s">
        <v>40</v>
      </c>
      <c r="G996" s="11" t="s">
        <v>54</v>
      </c>
      <c r="H996" s="24">
        <v>33284</v>
      </c>
      <c r="I996" s="277" t="s">
        <v>2652</v>
      </c>
      <c r="J996" s="11" t="s">
        <v>42</v>
      </c>
      <c r="K996" s="108" t="s">
        <v>149</v>
      </c>
      <c r="N996" s="11" t="s">
        <v>95</v>
      </c>
      <c r="O996" s="11" t="s">
        <v>44</v>
      </c>
      <c r="P996" s="11" t="s">
        <v>44</v>
      </c>
      <c r="Q996" s="11" t="s">
        <v>44</v>
      </c>
      <c r="R996" s="11" t="s">
        <v>45</v>
      </c>
      <c r="S996" s="11" t="s">
        <v>45</v>
      </c>
      <c r="T996" s="11" t="s">
        <v>44</v>
      </c>
      <c r="U996" s="11" t="s">
        <v>44</v>
      </c>
      <c r="W996" s="11" t="s">
        <v>57</v>
      </c>
      <c r="X996" s="11" t="s">
        <v>97</v>
      </c>
      <c r="Y996" s="11" t="s">
        <v>97</v>
      </c>
      <c r="Z996" s="11">
        <v>81999990960</v>
      </c>
      <c r="AA996" s="11" t="s">
        <v>115</v>
      </c>
      <c r="AB996" s="11"/>
      <c r="AC996" s="11"/>
      <c r="AD996" s="11" t="b">
        <v>0</v>
      </c>
      <c r="AF996" s="11"/>
      <c r="AG996" s="11"/>
      <c r="AH996" s="11"/>
      <c r="AI996" s="11"/>
    </row>
    <row r="997" ht="12.5" spans="1:35">
      <c r="A997" s="177">
        <v>45301.6625726273</v>
      </c>
      <c r="B997" s="11" t="s">
        <v>2990</v>
      </c>
      <c r="C997" s="19">
        <v>70482917458</v>
      </c>
      <c r="D997" s="19">
        <v>708700168884694</v>
      </c>
      <c r="F997" s="11" t="s">
        <v>40</v>
      </c>
      <c r="G997" s="11" t="s">
        <v>41</v>
      </c>
      <c r="H997" s="24">
        <v>36040</v>
      </c>
      <c r="I997" s="19" t="s">
        <v>865</v>
      </c>
      <c r="J997" s="11" t="s">
        <v>42</v>
      </c>
      <c r="K997" s="108" t="s">
        <v>202</v>
      </c>
      <c r="N997" s="11" t="s">
        <v>95</v>
      </c>
      <c r="O997" s="11" t="s">
        <v>44</v>
      </c>
      <c r="P997" s="11" t="s">
        <v>44</v>
      </c>
      <c r="Q997" s="11" t="s">
        <v>44</v>
      </c>
      <c r="R997" s="11" t="s">
        <v>45</v>
      </c>
      <c r="S997" s="11" t="s">
        <v>83</v>
      </c>
      <c r="T997" s="11" t="s">
        <v>44</v>
      </c>
      <c r="U997" s="11" t="s">
        <v>45</v>
      </c>
      <c r="V997" s="24">
        <v>45302</v>
      </c>
      <c r="W997" s="11" t="s">
        <v>57</v>
      </c>
      <c r="X997" s="11" t="s">
        <v>97</v>
      </c>
      <c r="Y997" s="11" t="s">
        <v>97</v>
      </c>
      <c r="Z997" s="11">
        <v>81988110275</v>
      </c>
      <c r="AA997" s="11" t="s">
        <v>115</v>
      </c>
      <c r="AB997" s="11" t="s">
        <v>49</v>
      </c>
      <c r="AC997" s="11" t="s">
        <v>92</v>
      </c>
      <c r="AD997" s="11" t="b">
        <v>0</v>
      </c>
      <c r="AF997" s="11" t="s">
        <v>3323</v>
      </c>
      <c r="AG997" s="11" t="s">
        <v>3324</v>
      </c>
      <c r="AH997" s="11"/>
      <c r="AI997" s="11"/>
    </row>
    <row r="998" ht="12.5" spans="1:35">
      <c r="A998" s="177">
        <v>45301.7121681713</v>
      </c>
      <c r="B998" s="11" t="s">
        <v>3141</v>
      </c>
      <c r="C998" s="19">
        <v>71053651457</v>
      </c>
      <c r="D998" s="19">
        <v>706700704298020</v>
      </c>
      <c r="E998" s="18" t="s">
        <v>3325</v>
      </c>
      <c r="F998" s="11" t="s">
        <v>40</v>
      </c>
      <c r="G998" s="11" t="s">
        <v>54</v>
      </c>
      <c r="H998" s="24">
        <v>38065</v>
      </c>
      <c r="I998" s="277" t="s">
        <v>1450</v>
      </c>
      <c r="J998" s="11" t="s">
        <v>42</v>
      </c>
      <c r="K998" s="108" t="s">
        <v>202</v>
      </c>
      <c r="N998" s="11" t="s">
        <v>43</v>
      </c>
      <c r="O998" s="11" t="s">
        <v>96</v>
      </c>
      <c r="P998" s="11" t="s">
        <v>66</v>
      </c>
      <c r="Q998" s="11" t="s">
        <v>45</v>
      </c>
      <c r="R998" s="11" t="s">
        <v>45</v>
      </c>
      <c r="S998" s="11" t="s">
        <v>44</v>
      </c>
      <c r="T998" s="11" t="s">
        <v>44</v>
      </c>
      <c r="U998" s="11" t="s">
        <v>45</v>
      </c>
      <c r="V998" s="257">
        <v>45302</v>
      </c>
      <c r="W998" s="11" t="s">
        <v>46</v>
      </c>
      <c r="X998" s="11" t="s">
        <v>47</v>
      </c>
      <c r="Y998" s="11" t="s">
        <v>58</v>
      </c>
      <c r="Z998" s="11">
        <v>81988623208</v>
      </c>
      <c r="AA998" s="11" t="s">
        <v>91</v>
      </c>
      <c r="AB998" s="11" t="s">
        <v>98</v>
      </c>
      <c r="AC998" s="11"/>
      <c r="AD998" s="11" t="b">
        <v>0</v>
      </c>
      <c r="AE998" s="11"/>
      <c r="AF998" s="11" t="s">
        <v>3326</v>
      </c>
      <c r="AG998" s="227" t="s">
        <v>3327</v>
      </c>
      <c r="AH998" s="11"/>
      <c r="AI998" s="11"/>
    </row>
    <row r="999" ht="12.5" spans="1:35">
      <c r="A999" s="177">
        <v>45301.7628447222</v>
      </c>
      <c r="B999" s="11" t="s">
        <v>1599</v>
      </c>
      <c r="C999" s="19">
        <v>71567974414</v>
      </c>
      <c r="D999" s="19">
        <v>700001451759201</v>
      </c>
      <c r="E999" s="18" t="s">
        <v>3328</v>
      </c>
      <c r="F999" s="11" t="s">
        <v>40</v>
      </c>
      <c r="G999" s="11" t="s">
        <v>54</v>
      </c>
      <c r="H999" s="24">
        <v>36957</v>
      </c>
      <c r="I999" s="277" t="s">
        <v>1601</v>
      </c>
      <c r="J999" s="11" t="s">
        <v>42</v>
      </c>
      <c r="K999" s="108" t="s">
        <v>55</v>
      </c>
      <c r="N999" s="11" t="s">
        <v>43</v>
      </c>
      <c r="O999" s="11" t="s">
        <v>65</v>
      </c>
      <c r="P999" s="11" t="s">
        <v>66</v>
      </c>
      <c r="Q999" s="11" t="s">
        <v>44</v>
      </c>
      <c r="R999" s="11" t="s">
        <v>45</v>
      </c>
      <c r="S999" s="11" t="s">
        <v>45</v>
      </c>
      <c r="T999" s="11" t="s">
        <v>44</v>
      </c>
      <c r="U999" s="11" t="s">
        <v>45</v>
      </c>
      <c r="V999" s="257">
        <v>45302</v>
      </c>
      <c r="W999" s="11" t="s">
        <v>46</v>
      </c>
      <c r="X999" s="11" t="s">
        <v>203</v>
      </c>
      <c r="Y999" s="11" t="s">
        <v>58</v>
      </c>
      <c r="Z999" s="11">
        <v>81996571827</v>
      </c>
      <c r="AA999" s="11" t="s">
        <v>115</v>
      </c>
      <c r="AB999" s="11" t="s">
        <v>98</v>
      </c>
      <c r="AC999" s="11"/>
      <c r="AD999" s="11" t="b">
        <v>0</v>
      </c>
      <c r="AE999" s="11"/>
      <c r="AF999" s="11" t="s">
        <v>3329</v>
      </c>
      <c r="AG999" s="227" t="s">
        <v>3327</v>
      </c>
      <c r="AH999" s="11"/>
      <c r="AI999" s="11"/>
    </row>
    <row r="1000" ht="12.5" spans="1:35">
      <c r="A1000" s="177">
        <v>45301.7916666667</v>
      </c>
      <c r="B1000" s="11" t="s">
        <v>3330</v>
      </c>
      <c r="C1000" s="277" t="s">
        <v>3331</v>
      </c>
      <c r="D1000" s="19">
        <v>708006803184625</v>
      </c>
      <c r="E1000" s="18" t="s">
        <v>3332</v>
      </c>
      <c r="F1000" s="11" t="s">
        <v>40</v>
      </c>
      <c r="G1000" s="11" t="s">
        <v>54</v>
      </c>
      <c r="H1000" s="24">
        <v>36994</v>
      </c>
      <c r="I1000" s="277" t="s">
        <v>2773</v>
      </c>
      <c r="J1000" s="11" t="s">
        <v>42</v>
      </c>
      <c r="K1000" s="108" t="s">
        <v>74</v>
      </c>
      <c r="N1000" s="11" t="s">
        <v>43</v>
      </c>
      <c r="O1000" s="11" t="s">
        <v>44</v>
      </c>
      <c r="P1000" s="11" t="s">
        <v>56</v>
      </c>
      <c r="Q1000" s="11" t="s">
        <v>44</v>
      </c>
      <c r="R1000" s="11" t="s">
        <v>45</v>
      </c>
      <c r="S1000" s="11" t="s">
        <v>45</v>
      </c>
      <c r="T1000" s="11" t="s">
        <v>44</v>
      </c>
      <c r="U1000" s="11" t="s">
        <v>45</v>
      </c>
      <c r="V1000" s="24">
        <v>45302</v>
      </c>
      <c r="W1000" s="11" t="s">
        <v>46</v>
      </c>
      <c r="X1000" s="11" t="s">
        <v>203</v>
      </c>
      <c r="Y1000" s="11" t="s">
        <v>58</v>
      </c>
      <c r="Z1000" s="11">
        <v>81988596650</v>
      </c>
      <c r="AA1000" s="11" t="s">
        <v>115</v>
      </c>
      <c r="AB1000" s="11" t="s">
        <v>49</v>
      </c>
      <c r="AC1000" s="11" t="s">
        <v>50</v>
      </c>
      <c r="AD1000" s="11" t="b">
        <v>0</v>
      </c>
      <c r="AF1000" s="214" t="s">
        <v>3333</v>
      </c>
      <c r="AG1000" s="11"/>
      <c r="AH1000" s="11"/>
      <c r="AI1000" s="11"/>
    </row>
    <row r="1001" ht="12.5" spans="1:35">
      <c r="A1001" s="177">
        <v>45302.4163773727</v>
      </c>
      <c r="B1001" s="11" t="s">
        <v>2725</v>
      </c>
      <c r="C1001" s="19">
        <v>13211084436</v>
      </c>
      <c r="D1001" s="19">
        <v>898004654931653</v>
      </c>
      <c r="E1001" s="18" t="s">
        <v>3334</v>
      </c>
      <c r="F1001" s="11" t="s">
        <v>40</v>
      </c>
      <c r="G1001" s="11" t="s">
        <v>54</v>
      </c>
      <c r="H1001" s="24">
        <v>36285</v>
      </c>
      <c r="I1001" s="19" t="s">
        <v>865</v>
      </c>
      <c r="J1001" s="11" t="s">
        <v>42</v>
      </c>
      <c r="K1001" s="108" t="s">
        <v>149</v>
      </c>
      <c r="N1001" s="11" t="s">
        <v>43</v>
      </c>
      <c r="O1001" s="11" t="s">
        <v>44</v>
      </c>
      <c r="P1001" s="11" t="s">
        <v>44</v>
      </c>
      <c r="Q1001" s="11" t="s">
        <v>44</v>
      </c>
      <c r="R1001" s="11" t="s">
        <v>45</v>
      </c>
      <c r="S1001" s="11" t="s">
        <v>45</v>
      </c>
      <c r="T1001" s="11" t="s">
        <v>44</v>
      </c>
      <c r="U1001" s="11" t="s">
        <v>45</v>
      </c>
      <c r="V1001" s="24">
        <v>45303</v>
      </c>
      <c r="W1001" s="11" t="s">
        <v>46</v>
      </c>
      <c r="X1001" s="11" t="s">
        <v>47</v>
      </c>
      <c r="Y1001" s="11" t="s">
        <v>58</v>
      </c>
      <c r="Z1001" s="11">
        <v>81982233897</v>
      </c>
      <c r="AA1001" s="11" t="s">
        <v>2835</v>
      </c>
      <c r="AB1001" s="11" t="s">
        <v>98</v>
      </c>
      <c r="AC1001" s="11"/>
      <c r="AD1001" s="11" t="b">
        <v>0</v>
      </c>
      <c r="AE1001" s="11"/>
      <c r="AF1001" s="11" t="s">
        <v>3335</v>
      </c>
      <c r="AG1001" s="11" t="s">
        <v>3336</v>
      </c>
      <c r="AH1001" s="11" t="s">
        <v>3185</v>
      </c>
      <c r="AI1001" s="11"/>
    </row>
    <row r="1002" ht="12.5" spans="1:35">
      <c r="A1002" s="177">
        <v>45302.4504627315</v>
      </c>
      <c r="B1002" s="11" t="s">
        <v>2971</v>
      </c>
      <c r="C1002" s="19">
        <v>70797418407</v>
      </c>
      <c r="D1002" s="19">
        <v>702401092249521</v>
      </c>
      <c r="E1002" s="18" t="s">
        <v>3337</v>
      </c>
      <c r="F1002" s="11" t="s">
        <v>40</v>
      </c>
      <c r="G1002" s="11" t="s">
        <v>54</v>
      </c>
      <c r="H1002" s="24">
        <v>36199</v>
      </c>
      <c r="I1002" s="277" t="s">
        <v>2973</v>
      </c>
      <c r="J1002" s="11" t="s">
        <v>42</v>
      </c>
      <c r="K1002" s="108" t="s">
        <v>155</v>
      </c>
      <c r="N1002" s="11" t="s">
        <v>43</v>
      </c>
      <c r="O1002" s="11" t="s">
        <v>96</v>
      </c>
      <c r="P1002" s="11" t="s">
        <v>66</v>
      </c>
      <c r="Q1002" s="11" t="s">
        <v>44</v>
      </c>
      <c r="R1002" s="11" t="s">
        <v>45</v>
      </c>
      <c r="S1002" s="11" t="s">
        <v>45</v>
      </c>
      <c r="T1002" s="11" t="s">
        <v>44</v>
      </c>
      <c r="U1002" s="11" t="s">
        <v>45</v>
      </c>
      <c r="V1002" s="257">
        <v>45302</v>
      </c>
      <c r="W1002" s="11" t="s">
        <v>57</v>
      </c>
      <c r="X1002" s="11" t="s">
        <v>47</v>
      </c>
      <c r="Y1002" s="11" t="s">
        <v>58</v>
      </c>
      <c r="Z1002" s="11">
        <v>81996209137</v>
      </c>
      <c r="AA1002" s="11" t="s">
        <v>115</v>
      </c>
      <c r="AB1002" s="11" t="s">
        <v>98</v>
      </c>
      <c r="AC1002" s="11"/>
      <c r="AD1002" s="11" t="b">
        <v>0</v>
      </c>
      <c r="AE1002" s="11"/>
      <c r="AF1002" s="11" t="s">
        <v>3338</v>
      </c>
      <c r="AG1002" s="227" t="s">
        <v>3339</v>
      </c>
      <c r="AH1002" s="11"/>
      <c r="AI1002" s="11"/>
    </row>
    <row r="1003" ht="12.5" spans="1:35">
      <c r="A1003" s="177">
        <v>45302.4977838773</v>
      </c>
      <c r="B1003" s="11" t="s">
        <v>3340</v>
      </c>
      <c r="C1003" s="19">
        <v>16009723493</v>
      </c>
      <c r="D1003" s="19">
        <v>709201209698230</v>
      </c>
      <c r="E1003" s="18" t="s">
        <v>3341</v>
      </c>
      <c r="F1003" s="11" t="s">
        <v>40</v>
      </c>
      <c r="G1003" s="11" t="s">
        <v>54</v>
      </c>
      <c r="H1003" s="24">
        <v>38375</v>
      </c>
      <c r="I1003" s="277" t="s">
        <v>605</v>
      </c>
      <c r="J1003" s="11" t="s">
        <v>81</v>
      </c>
      <c r="K1003" s="108"/>
      <c r="L1003" s="11" t="s">
        <v>109</v>
      </c>
      <c r="N1003" s="11" t="s">
        <v>43</v>
      </c>
      <c r="O1003" s="11" t="s">
        <v>44</v>
      </c>
      <c r="P1003" s="11" t="s">
        <v>44</v>
      </c>
      <c r="Q1003" s="11" t="s">
        <v>44</v>
      </c>
      <c r="R1003" s="11" t="s">
        <v>45</v>
      </c>
      <c r="S1003" s="11" t="s">
        <v>45</v>
      </c>
      <c r="T1003" s="11" t="s">
        <v>44</v>
      </c>
      <c r="U1003" s="11" t="s">
        <v>44</v>
      </c>
      <c r="W1003" s="11" t="s">
        <v>46</v>
      </c>
      <c r="X1003" s="11" t="s">
        <v>47</v>
      </c>
      <c r="Y1003" s="11" t="s">
        <v>58</v>
      </c>
      <c r="Z1003" s="11">
        <v>81985161570</v>
      </c>
      <c r="AA1003" s="11" t="s">
        <v>115</v>
      </c>
      <c r="AB1003" s="11"/>
      <c r="AC1003" s="11"/>
      <c r="AD1003" s="11" t="b">
        <v>0</v>
      </c>
      <c r="AF1003" s="11"/>
      <c r="AG1003" s="11"/>
      <c r="AH1003" s="11"/>
      <c r="AI1003" s="11"/>
    </row>
    <row r="1004" ht="12.5" spans="1:35">
      <c r="A1004" s="177">
        <v>45302.5352572569</v>
      </c>
      <c r="B1004" s="11" t="s">
        <v>2990</v>
      </c>
      <c r="C1004" s="19">
        <v>70482917458</v>
      </c>
      <c r="D1004" s="19">
        <v>708700168884694</v>
      </c>
      <c r="F1004" s="11" t="s">
        <v>40</v>
      </c>
      <c r="G1004" s="11" t="s">
        <v>41</v>
      </c>
      <c r="H1004" s="24">
        <v>36040</v>
      </c>
      <c r="I1004" s="19" t="s">
        <v>865</v>
      </c>
      <c r="J1004" s="11" t="s">
        <v>42</v>
      </c>
      <c r="K1004" s="108" t="s">
        <v>202</v>
      </c>
      <c r="N1004" s="11" t="s">
        <v>95</v>
      </c>
      <c r="O1004" s="11" t="s">
        <v>44</v>
      </c>
      <c r="P1004" s="11" t="s">
        <v>44</v>
      </c>
      <c r="Q1004" s="11" t="s">
        <v>44</v>
      </c>
      <c r="R1004" s="11" t="s">
        <v>45</v>
      </c>
      <c r="S1004" s="11" t="s">
        <v>83</v>
      </c>
      <c r="T1004" s="11" t="s">
        <v>44</v>
      </c>
      <c r="U1004" s="11" t="s">
        <v>44</v>
      </c>
      <c r="W1004" s="11" t="s">
        <v>57</v>
      </c>
      <c r="X1004" s="11" t="s">
        <v>97</v>
      </c>
      <c r="Y1004" s="11" t="s">
        <v>97</v>
      </c>
      <c r="Z1004" s="11">
        <v>81988110275</v>
      </c>
      <c r="AA1004" s="11" t="s">
        <v>91</v>
      </c>
      <c r="AB1004" s="11"/>
      <c r="AC1004" s="11"/>
      <c r="AD1004" s="11" t="b">
        <v>0</v>
      </c>
      <c r="AF1004" s="11"/>
      <c r="AG1004" s="11"/>
      <c r="AH1004" s="11"/>
      <c r="AI1004" s="11"/>
    </row>
    <row r="1005" ht="12.5" spans="1:35">
      <c r="A1005" s="177">
        <v>45302.5495100231</v>
      </c>
      <c r="B1005" s="11" t="s">
        <v>2866</v>
      </c>
      <c r="C1005" s="19">
        <v>13380297461</v>
      </c>
      <c r="D1005" s="19">
        <v>703408691844200</v>
      </c>
      <c r="E1005" s="18" t="s">
        <v>3342</v>
      </c>
      <c r="F1005" s="11" t="s">
        <v>40</v>
      </c>
      <c r="G1005" s="11" t="s">
        <v>54</v>
      </c>
      <c r="H1005" s="24">
        <v>38425</v>
      </c>
      <c r="I1005" s="277" t="s">
        <v>2868</v>
      </c>
      <c r="J1005" s="11" t="s">
        <v>42</v>
      </c>
      <c r="K1005" s="108" t="s">
        <v>202</v>
      </c>
      <c r="N1005" s="11" t="s">
        <v>43</v>
      </c>
      <c r="O1005" s="11" t="s">
        <v>44</v>
      </c>
      <c r="P1005" s="11" t="s">
        <v>44</v>
      </c>
      <c r="Q1005" s="11" t="s">
        <v>44</v>
      </c>
      <c r="R1005" s="11" t="s">
        <v>45</v>
      </c>
      <c r="S1005" s="11" t="s">
        <v>44</v>
      </c>
      <c r="T1005" s="11" t="s">
        <v>44</v>
      </c>
      <c r="U1005" s="11" t="s">
        <v>45</v>
      </c>
      <c r="V1005" s="257">
        <v>45303</v>
      </c>
      <c r="W1005" s="11" t="s">
        <v>46</v>
      </c>
      <c r="X1005" s="11" t="s">
        <v>47</v>
      </c>
      <c r="Y1005" s="11" t="s">
        <v>58</v>
      </c>
      <c r="Z1005" s="11">
        <v>81998540547</v>
      </c>
      <c r="AA1005" s="11" t="s">
        <v>2835</v>
      </c>
      <c r="AB1005" s="11" t="s">
        <v>98</v>
      </c>
      <c r="AC1005" s="11"/>
      <c r="AD1005" s="11" t="b">
        <v>0</v>
      </c>
      <c r="AE1005" s="11"/>
      <c r="AF1005" s="11" t="s">
        <v>3343</v>
      </c>
      <c r="AG1005" s="11"/>
      <c r="AH1005" s="11"/>
      <c r="AI1005" s="11"/>
    </row>
    <row r="1006" ht="12.5" spans="1:35">
      <c r="A1006" s="177">
        <v>45302.5614886111</v>
      </c>
      <c r="B1006" s="11" t="s">
        <v>3344</v>
      </c>
      <c r="C1006" s="19">
        <v>71266803416</v>
      </c>
      <c r="D1006" s="19">
        <v>706408648170389</v>
      </c>
      <c r="E1006" s="18" t="s">
        <v>3345</v>
      </c>
      <c r="F1006" s="11" t="s">
        <v>40</v>
      </c>
      <c r="G1006" s="11" t="s">
        <v>41</v>
      </c>
      <c r="H1006" s="24">
        <v>38428</v>
      </c>
      <c r="I1006" s="277" t="s">
        <v>1495</v>
      </c>
      <c r="J1006" s="11" t="s">
        <v>42</v>
      </c>
      <c r="K1006" s="108" t="s">
        <v>202</v>
      </c>
      <c r="N1006" s="11" t="s">
        <v>43</v>
      </c>
      <c r="O1006" s="11" t="s">
        <v>96</v>
      </c>
      <c r="P1006" s="11" t="s">
        <v>56</v>
      </c>
      <c r="Q1006" s="11" t="s">
        <v>45</v>
      </c>
      <c r="R1006" s="11" t="s">
        <v>45</v>
      </c>
      <c r="S1006" s="11" t="s">
        <v>45</v>
      </c>
      <c r="T1006" s="11" t="s">
        <v>44</v>
      </c>
      <c r="U1006" s="11" t="s">
        <v>45</v>
      </c>
      <c r="V1006" s="257">
        <v>45302</v>
      </c>
      <c r="W1006" s="11" t="s">
        <v>46</v>
      </c>
      <c r="X1006" s="11" t="s">
        <v>47</v>
      </c>
      <c r="Y1006" s="11" t="s">
        <v>58</v>
      </c>
      <c r="Z1006" s="11">
        <v>81983364314</v>
      </c>
      <c r="AA1006" s="11" t="s">
        <v>115</v>
      </c>
      <c r="AB1006" s="11" t="s">
        <v>49</v>
      </c>
      <c r="AC1006" s="11" t="s">
        <v>50</v>
      </c>
      <c r="AD1006" s="11" t="b">
        <v>0</v>
      </c>
      <c r="AE1006" s="11"/>
      <c r="AF1006" s="11" t="s">
        <v>3346</v>
      </c>
      <c r="AG1006" s="11"/>
      <c r="AH1006" s="11" t="s">
        <v>3347</v>
      </c>
      <c r="AI1006" s="11"/>
    </row>
    <row r="1007" ht="12.5" spans="1:35">
      <c r="A1007" s="177">
        <v>45302.6233475926</v>
      </c>
      <c r="B1007" s="11" t="s">
        <v>3348</v>
      </c>
      <c r="C1007" s="277" t="s">
        <v>3331</v>
      </c>
      <c r="D1007" s="19">
        <v>708006803184625</v>
      </c>
      <c r="F1007" s="11" t="s">
        <v>40</v>
      </c>
      <c r="G1007" s="11" t="s">
        <v>54</v>
      </c>
      <c r="H1007" s="24">
        <v>36994</v>
      </c>
      <c r="I1007" s="277" t="s">
        <v>1400</v>
      </c>
      <c r="J1007" s="11" t="s">
        <v>42</v>
      </c>
      <c r="K1007" s="108" t="s">
        <v>74</v>
      </c>
      <c r="N1007" s="11" t="s">
        <v>95</v>
      </c>
      <c r="O1007" s="11" t="s">
        <v>44</v>
      </c>
      <c r="P1007" s="11" t="s">
        <v>44</v>
      </c>
      <c r="Q1007" s="11" t="s">
        <v>44</v>
      </c>
      <c r="R1007" s="11" t="s">
        <v>45</v>
      </c>
      <c r="S1007" s="11" t="s">
        <v>45</v>
      </c>
      <c r="T1007" s="11" t="s">
        <v>44</v>
      </c>
      <c r="U1007" s="11" t="s">
        <v>45</v>
      </c>
      <c r="V1007" s="24">
        <v>45304</v>
      </c>
      <c r="W1007" s="11" t="s">
        <v>57</v>
      </c>
      <c r="X1007" s="11" t="s">
        <v>97</v>
      </c>
      <c r="Y1007" s="11" t="s">
        <v>97</v>
      </c>
      <c r="Z1007" s="11">
        <v>81988596650</v>
      </c>
      <c r="AA1007" s="11" t="s">
        <v>115</v>
      </c>
      <c r="AB1007" s="11" t="s">
        <v>49</v>
      </c>
      <c r="AC1007" s="11" t="s">
        <v>92</v>
      </c>
      <c r="AD1007" s="11" t="b">
        <v>1</v>
      </c>
      <c r="AE1007" s="11" t="s">
        <v>137</v>
      </c>
      <c r="AF1007" s="11" t="s">
        <v>3349</v>
      </c>
      <c r="AG1007" s="11"/>
      <c r="AH1007" s="11"/>
      <c r="AI1007" s="11"/>
    </row>
    <row r="1008" ht="12.5" spans="1:35">
      <c r="A1008" s="177">
        <v>45303.4831615393</v>
      </c>
      <c r="B1008" s="11" t="s">
        <v>3350</v>
      </c>
      <c r="C1008" s="19">
        <v>11012606457</v>
      </c>
      <c r="D1008" s="19">
        <v>700907904325795</v>
      </c>
      <c r="E1008" s="18" t="s">
        <v>3351</v>
      </c>
      <c r="F1008" s="11" t="s">
        <v>40</v>
      </c>
      <c r="G1008" s="11" t="s">
        <v>41</v>
      </c>
      <c r="H1008" s="24">
        <v>34213</v>
      </c>
      <c r="I1008" s="277" t="s">
        <v>3352</v>
      </c>
      <c r="J1008" s="11" t="s">
        <v>42</v>
      </c>
      <c r="K1008" s="108" t="s">
        <v>3353</v>
      </c>
      <c r="N1008" s="11" t="s">
        <v>43</v>
      </c>
      <c r="O1008" s="11" t="s">
        <v>44</v>
      </c>
      <c r="P1008" s="11" t="s">
        <v>44</v>
      </c>
      <c r="Q1008" s="11" t="s">
        <v>44</v>
      </c>
      <c r="R1008" s="11" t="s">
        <v>45</v>
      </c>
      <c r="S1008" s="11" t="s">
        <v>45</v>
      </c>
      <c r="T1008" s="11" t="s">
        <v>44</v>
      </c>
      <c r="U1008" s="11" t="s">
        <v>44</v>
      </c>
      <c r="W1008" s="11" t="s">
        <v>46</v>
      </c>
      <c r="X1008" s="11" t="s">
        <v>47</v>
      </c>
      <c r="Y1008" s="11" t="s">
        <v>58</v>
      </c>
      <c r="Z1008" s="11">
        <v>81997701407</v>
      </c>
      <c r="AA1008" s="11" t="s">
        <v>1360</v>
      </c>
      <c r="AB1008" s="11"/>
      <c r="AC1008" s="11"/>
      <c r="AD1008" s="11" t="b">
        <v>0</v>
      </c>
      <c r="AF1008" s="11"/>
      <c r="AG1008" s="11"/>
      <c r="AH1008" s="11"/>
      <c r="AI1008" s="11"/>
    </row>
    <row r="1009" ht="12.5" spans="1:35">
      <c r="A1009" s="177">
        <v>45303.5615721412</v>
      </c>
      <c r="B1009" s="11" t="s">
        <v>3303</v>
      </c>
      <c r="C1009" s="19">
        <v>39403127899</v>
      </c>
      <c r="D1009" s="19">
        <v>701006878226794</v>
      </c>
      <c r="E1009" s="18" t="s">
        <v>3354</v>
      </c>
      <c r="F1009" s="11" t="s">
        <v>40</v>
      </c>
      <c r="G1009" s="11" t="s">
        <v>54</v>
      </c>
      <c r="H1009" s="24">
        <v>37387</v>
      </c>
      <c r="I1009" s="277" t="s">
        <v>3305</v>
      </c>
      <c r="J1009" s="11" t="s">
        <v>42</v>
      </c>
      <c r="K1009" s="108" t="s">
        <v>282</v>
      </c>
      <c r="N1009" s="11" t="s">
        <v>43</v>
      </c>
      <c r="O1009" s="11" t="s">
        <v>44</v>
      </c>
      <c r="P1009" s="11" t="s">
        <v>44</v>
      </c>
      <c r="Q1009" s="11" t="s">
        <v>44</v>
      </c>
      <c r="R1009" s="11" t="s">
        <v>45</v>
      </c>
      <c r="S1009" s="11" t="s">
        <v>45</v>
      </c>
      <c r="T1009" s="11" t="s">
        <v>45</v>
      </c>
      <c r="U1009" s="11" t="s">
        <v>45</v>
      </c>
      <c r="V1009" s="24">
        <v>45305</v>
      </c>
      <c r="W1009" s="11" t="s">
        <v>46</v>
      </c>
      <c r="X1009" s="11" t="s">
        <v>47</v>
      </c>
      <c r="Y1009" s="11" t="s">
        <v>58</v>
      </c>
      <c r="Z1009" s="11">
        <v>81997795224</v>
      </c>
      <c r="AA1009" s="11" t="s">
        <v>1360</v>
      </c>
      <c r="AB1009" s="11" t="s">
        <v>98</v>
      </c>
      <c r="AC1009" s="11"/>
      <c r="AD1009" s="11" t="b">
        <v>0</v>
      </c>
      <c r="AF1009" s="11" t="s">
        <v>3355</v>
      </c>
      <c r="AG1009" s="108" t="s">
        <v>3356</v>
      </c>
      <c r="AH1009" s="11"/>
      <c r="AI1009" s="11"/>
    </row>
    <row r="1010" ht="12.5" spans="1:35">
      <c r="A1010" s="177">
        <v>45303.5761511806</v>
      </c>
      <c r="B1010" s="11" t="s">
        <v>3357</v>
      </c>
      <c r="C1010" s="19">
        <v>9753564457</v>
      </c>
      <c r="D1010" s="19">
        <v>708700165310395</v>
      </c>
      <c r="E1010" s="18" t="s">
        <v>3358</v>
      </c>
      <c r="F1010" s="11" t="s">
        <v>40</v>
      </c>
      <c r="G1010" s="11" t="s">
        <v>88</v>
      </c>
      <c r="H1010" s="24">
        <v>33841</v>
      </c>
      <c r="I1010" s="277" t="s">
        <v>1662</v>
      </c>
      <c r="J1010" s="11" t="s">
        <v>42</v>
      </c>
      <c r="K1010" s="108" t="s">
        <v>919</v>
      </c>
      <c r="N1010" s="11" t="s">
        <v>43</v>
      </c>
      <c r="O1010" s="11" t="s">
        <v>96</v>
      </c>
      <c r="P1010" s="11" t="s">
        <v>56</v>
      </c>
      <c r="Q1010" s="11" t="s">
        <v>44</v>
      </c>
      <c r="R1010" s="11" t="s">
        <v>44</v>
      </c>
      <c r="S1010" s="11" t="s">
        <v>83</v>
      </c>
      <c r="T1010" s="11" t="s">
        <v>44</v>
      </c>
      <c r="U1010" s="11" t="s">
        <v>45</v>
      </c>
      <c r="V1010" s="24">
        <v>45304</v>
      </c>
      <c r="W1010" s="11" t="s">
        <v>46</v>
      </c>
      <c r="X1010" s="11" t="s">
        <v>47</v>
      </c>
      <c r="Y1010" s="11" t="s">
        <v>58</v>
      </c>
      <c r="Z1010" s="11">
        <v>81992042946</v>
      </c>
      <c r="AA1010" s="11" t="s">
        <v>91</v>
      </c>
      <c r="AB1010" s="11" t="s">
        <v>98</v>
      </c>
      <c r="AC1010" s="11"/>
      <c r="AD1010" s="11" t="b">
        <v>0</v>
      </c>
      <c r="AF1010" s="11" t="s">
        <v>3359</v>
      </c>
      <c r="AG1010" s="11" t="s">
        <v>3360</v>
      </c>
      <c r="AH1010" s="11"/>
      <c r="AI1010" s="11"/>
    </row>
    <row r="1011" ht="12.5" spans="1:35">
      <c r="A1011" s="177">
        <v>45303.643664294</v>
      </c>
      <c r="B1011" s="11" t="s">
        <v>3361</v>
      </c>
      <c r="C1011" s="19">
        <v>11229954406</v>
      </c>
      <c r="D1011" s="19">
        <v>700404429566845</v>
      </c>
      <c r="E1011" s="18" t="s">
        <v>3362</v>
      </c>
      <c r="F1011" s="11" t="s">
        <v>225</v>
      </c>
      <c r="G1011" s="11" t="s">
        <v>54</v>
      </c>
      <c r="H1011" s="24">
        <v>34729</v>
      </c>
      <c r="I1011" s="277" t="s">
        <v>2826</v>
      </c>
      <c r="J1011" s="11" t="s">
        <v>42</v>
      </c>
      <c r="K1011" s="108" t="s">
        <v>155</v>
      </c>
      <c r="N1011" s="11" t="s">
        <v>43</v>
      </c>
      <c r="O1011" s="11" t="s">
        <v>44</v>
      </c>
      <c r="P1011" s="11" t="s">
        <v>44</v>
      </c>
      <c r="Q1011" s="11" t="s">
        <v>44</v>
      </c>
      <c r="R1011" s="11" t="s">
        <v>45</v>
      </c>
      <c r="S1011" s="11" t="s">
        <v>44</v>
      </c>
      <c r="T1011" s="11" t="s">
        <v>44</v>
      </c>
      <c r="U1011" s="11" t="s">
        <v>44</v>
      </c>
      <c r="W1011" s="11" t="s">
        <v>46</v>
      </c>
      <c r="X1011" s="11" t="s">
        <v>47</v>
      </c>
      <c r="Y1011" s="11" t="s">
        <v>58</v>
      </c>
      <c r="Z1011" s="11">
        <v>81984881221</v>
      </c>
      <c r="AA1011" s="11" t="s">
        <v>1360</v>
      </c>
      <c r="AB1011" s="11"/>
      <c r="AC1011" s="11"/>
      <c r="AD1011" s="11" t="b">
        <v>0</v>
      </c>
      <c r="AF1011" s="11"/>
      <c r="AG1011" s="11"/>
      <c r="AH1011" s="11"/>
      <c r="AI1011" s="11"/>
    </row>
    <row r="1012" ht="12.5" spans="1:35">
      <c r="A1012" s="177">
        <v>45304.386854919</v>
      </c>
      <c r="B1012" s="11" t="s">
        <v>3344</v>
      </c>
      <c r="C1012" s="19">
        <v>71266803416</v>
      </c>
      <c r="D1012" s="19">
        <v>706408648170389</v>
      </c>
      <c r="F1012" s="11" t="s">
        <v>40</v>
      </c>
      <c r="G1012" s="11" t="s">
        <v>41</v>
      </c>
      <c r="H1012" s="24">
        <v>38428</v>
      </c>
      <c r="I1012" s="277" t="s">
        <v>1495</v>
      </c>
      <c r="J1012" s="11" t="s">
        <v>42</v>
      </c>
      <c r="K1012" s="108" t="s">
        <v>202</v>
      </c>
      <c r="N1012" s="11" t="s">
        <v>95</v>
      </c>
      <c r="O1012" s="4" t="s">
        <v>44</v>
      </c>
      <c r="P1012" s="4" t="s">
        <v>44</v>
      </c>
      <c r="Q1012" s="4" t="s">
        <v>44</v>
      </c>
      <c r="R1012" s="4" t="s">
        <v>45</v>
      </c>
      <c r="S1012" s="4" t="s">
        <v>45</v>
      </c>
      <c r="T1012" s="4" t="s">
        <v>44</v>
      </c>
      <c r="U1012" s="4" t="s">
        <v>44</v>
      </c>
      <c r="V1012" s="4"/>
      <c r="W1012" s="4" t="s">
        <v>57</v>
      </c>
      <c r="X1012" s="4" t="s">
        <v>97</v>
      </c>
      <c r="Y1012" s="4" t="s">
        <v>97</v>
      </c>
      <c r="Z1012" s="4">
        <v>81983364314</v>
      </c>
      <c r="AA1012" s="4" t="s">
        <v>115</v>
      </c>
      <c r="AB1012" s="4"/>
      <c r="AC1012" s="4"/>
      <c r="AD1012" s="4" t="b">
        <v>0</v>
      </c>
      <c r="AE1012" s="4"/>
      <c r="AF1012" s="4"/>
      <c r="AG1012" s="4"/>
      <c r="AH1012" s="4" t="s">
        <v>3363</v>
      </c>
      <c r="AI1012" s="11"/>
    </row>
    <row r="1013" ht="12.5" spans="1:35">
      <c r="A1013" s="177">
        <v>45304.3967056829</v>
      </c>
      <c r="B1013" s="11" t="s">
        <v>3348</v>
      </c>
      <c r="C1013" s="277" t="s">
        <v>3331</v>
      </c>
      <c r="D1013" s="19">
        <v>708006803184625</v>
      </c>
      <c r="E1013" s="18" t="s">
        <v>3364</v>
      </c>
      <c r="F1013" s="11" t="s">
        <v>40</v>
      </c>
      <c r="G1013" s="11" t="s">
        <v>54</v>
      </c>
      <c r="H1013" s="24">
        <v>36994</v>
      </c>
      <c r="I1013" s="277" t="s">
        <v>1400</v>
      </c>
      <c r="J1013" s="11" t="s">
        <v>42</v>
      </c>
      <c r="K1013" s="108" t="s">
        <v>74</v>
      </c>
      <c r="N1013" s="11" t="s">
        <v>95</v>
      </c>
      <c r="O1013" s="11" t="s">
        <v>44</v>
      </c>
      <c r="P1013" s="11" t="s">
        <v>44</v>
      </c>
      <c r="Q1013" s="11" t="s">
        <v>44</v>
      </c>
      <c r="R1013" s="11" t="s">
        <v>45</v>
      </c>
      <c r="S1013" s="11" t="s">
        <v>45</v>
      </c>
      <c r="T1013" s="11" t="s">
        <v>44</v>
      </c>
      <c r="U1013" s="11" t="s">
        <v>44</v>
      </c>
      <c r="W1013" s="11" t="s">
        <v>46</v>
      </c>
      <c r="X1013" s="11" t="s">
        <v>97</v>
      </c>
      <c r="Y1013" s="11" t="s">
        <v>97</v>
      </c>
      <c r="Z1013" s="11">
        <v>81988596650</v>
      </c>
      <c r="AA1013" s="11" t="s">
        <v>91</v>
      </c>
      <c r="AB1013" s="11"/>
      <c r="AC1013" s="11"/>
      <c r="AD1013" s="11" t="b">
        <v>0</v>
      </c>
      <c r="AF1013" s="11"/>
      <c r="AG1013" s="11"/>
      <c r="AH1013" s="11"/>
      <c r="AI1013" s="11"/>
    </row>
    <row r="1014" ht="12.5" spans="1:35">
      <c r="A1014" s="177">
        <v>45305.5563305208</v>
      </c>
      <c r="B1014" s="11" t="s">
        <v>3365</v>
      </c>
      <c r="C1014" s="277" t="s">
        <v>3366</v>
      </c>
      <c r="D1014" s="19">
        <v>701205029878719</v>
      </c>
      <c r="E1014" s="18" t="s">
        <v>3367</v>
      </c>
      <c r="F1014" s="11" t="s">
        <v>40</v>
      </c>
      <c r="G1014" s="11" t="s">
        <v>54</v>
      </c>
      <c r="H1014" s="24">
        <v>29966</v>
      </c>
      <c r="I1014" s="19" t="s">
        <v>136</v>
      </c>
      <c r="J1014" s="11" t="s">
        <v>42</v>
      </c>
      <c r="K1014" s="108" t="s">
        <v>3368</v>
      </c>
      <c r="N1014" s="11" t="s">
        <v>43</v>
      </c>
      <c r="O1014" s="11" t="s">
        <v>44</v>
      </c>
      <c r="P1014" s="11" t="s">
        <v>56</v>
      </c>
      <c r="Q1014" s="11" t="s">
        <v>45</v>
      </c>
      <c r="R1014" s="11" t="s">
        <v>44</v>
      </c>
      <c r="S1014" s="11" t="s">
        <v>83</v>
      </c>
      <c r="T1014" s="11" t="s">
        <v>45</v>
      </c>
      <c r="U1014" s="11" t="s">
        <v>45</v>
      </c>
      <c r="V1014" s="24">
        <v>45306</v>
      </c>
      <c r="W1014" s="11" t="s">
        <v>46</v>
      </c>
      <c r="X1014" s="11" t="s">
        <v>303</v>
      </c>
      <c r="Y1014" s="11" t="s">
        <v>58</v>
      </c>
      <c r="Z1014" s="11">
        <v>81983567401</v>
      </c>
      <c r="AA1014" s="11" t="s">
        <v>91</v>
      </c>
      <c r="AB1014" s="11" t="s">
        <v>49</v>
      </c>
      <c r="AC1014" s="11" t="s">
        <v>92</v>
      </c>
      <c r="AD1014" s="11" t="b">
        <v>1</v>
      </c>
      <c r="AE1014" s="11" t="s">
        <v>137</v>
      </c>
      <c r="AF1014" s="11" t="s">
        <v>3369</v>
      </c>
      <c r="AG1014" s="11"/>
      <c r="AH1014" s="11" t="s">
        <v>3370</v>
      </c>
      <c r="AI1014" s="11"/>
    </row>
    <row r="1015" ht="12.5" spans="1:35">
      <c r="A1015" s="177">
        <v>45305.6042031597</v>
      </c>
      <c r="B1015" s="11" t="s">
        <v>3371</v>
      </c>
      <c r="C1015" s="277" t="s">
        <v>3372</v>
      </c>
      <c r="D1015" s="19">
        <v>700003859109000</v>
      </c>
      <c r="E1015" s="18" t="s">
        <v>3373</v>
      </c>
      <c r="F1015" s="11" t="s">
        <v>40</v>
      </c>
      <c r="G1015" s="11" t="s">
        <v>41</v>
      </c>
      <c r="H1015" s="24">
        <v>32067</v>
      </c>
      <c r="I1015" s="277" t="s">
        <v>2255</v>
      </c>
      <c r="J1015" s="11" t="s">
        <v>42</v>
      </c>
      <c r="K1015" s="108" t="s">
        <v>202</v>
      </c>
      <c r="N1015" s="11" t="s">
        <v>43</v>
      </c>
      <c r="O1015" s="11" t="s">
        <v>44</v>
      </c>
      <c r="P1015" s="11" t="s">
        <v>44</v>
      </c>
      <c r="Q1015" s="11" t="s">
        <v>44</v>
      </c>
      <c r="R1015" s="11" t="s">
        <v>45</v>
      </c>
      <c r="S1015" s="11" t="s">
        <v>83</v>
      </c>
      <c r="T1015" s="11" t="s">
        <v>44</v>
      </c>
      <c r="U1015" s="11" t="s">
        <v>45</v>
      </c>
      <c r="V1015" s="24">
        <v>45306</v>
      </c>
      <c r="W1015" s="11" t="s">
        <v>46</v>
      </c>
      <c r="X1015" s="11" t="s">
        <v>303</v>
      </c>
      <c r="Y1015" s="11" t="s">
        <v>58</v>
      </c>
      <c r="Z1015" s="11">
        <v>81973451334</v>
      </c>
      <c r="AA1015" s="11" t="s">
        <v>91</v>
      </c>
      <c r="AB1015" s="11" t="s">
        <v>49</v>
      </c>
      <c r="AC1015" s="11" t="s">
        <v>92</v>
      </c>
      <c r="AD1015" s="11" t="b">
        <v>1</v>
      </c>
      <c r="AE1015" s="11" t="s">
        <v>137</v>
      </c>
      <c r="AF1015" s="228" t="s">
        <v>3374</v>
      </c>
      <c r="AG1015" s="11"/>
      <c r="AH1015" s="11"/>
      <c r="AI1015" s="11"/>
    </row>
    <row r="1016" ht="12.5" spans="1:35">
      <c r="A1016" s="177">
        <v>45305.7768169792</v>
      </c>
      <c r="B1016" s="11" t="s">
        <v>3375</v>
      </c>
      <c r="C1016" s="277" t="s">
        <v>3376</v>
      </c>
      <c r="D1016" s="19">
        <v>708101541341936</v>
      </c>
      <c r="E1016" s="18" t="s">
        <v>3377</v>
      </c>
      <c r="F1016" s="11" t="s">
        <v>217</v>
      </c>
      <c r="G1016" s="11" t="s">
        <v>41</v>
      </c>
      <c r="H1016" s="24">
        <v>30662</v>
      </c>
      <c r="I1016" s="277" t="s">
        <v>3378</v>
      </c>
      <c r="J1016" s="11" t="s">
        <v>42</v>
      </c>
      <c r="K1016" s="108" t="s">
        <v>3379</v>
      </c>
      <c r="N1016" s="11" t="s">
        <v>43</v>
      </c>
      <c r="O1016" s="11" t="s">
        <v>44</v>
      </c>
      <c r="P1016" s="11" t="s">
        <v>56</v>
      </c>
      <c r="Q1016" s="11" t="s">
        <v>44</v>
      </c>
      <c r="R1016" s="11" t="s">
        <v>44</v>
      </c>
      <c r="S1016" s="11" t="s">
        <v>44</v>
      </c>
      <c r="T1016" s="11" t="s">
        <v>45</v>
      </c>
      <c r="U1016" s="11" t="s">
        <v>45</v>
      </c>
      <c r="V1016" s="24">
        <v>45306</v>
      </c>
      <c r="W1016" s="11" t="s">
        <v>46</v>
      </c>
      <c r="X1016" s="11" t="s">
        <v>303</v>
      </c>
      <c r="Y1016" s="11" t="s">
        <v>58</v>
      </c>
      <c r="Z1016" s="11">
        <v>81987520952</v>
      </c>
      <c r="AA1016" s="11" t="s">
        <v>91</v>
      </c>
      <c r="AB1016" s="11" t="s">
        <v>98</v>
      </c>
      <c r="AC1016" s="11"/>
      <c r="AD1016" s="11" t="b">
        <v>0</v>
      </c>
      <c r="AF1016" s="11" t="s">
        <v>3380</v>
      </c>
      <c r="AG1016" s="11" t="s">
        <v>3381</v>
      </c>
      <c r="AH1016" s="11" t="s">
        <v>3382</v>
      </c>
      <c r="AI1016" s="11"/>
    </row>
    <row r="1017" ht="12.5" spans="1:35">
      <c r="A1017" s="177">
        <v>45306.4099878125</v>
      </c>
      <c r="B1017" s="11" t="s">
        <v>3383</v>
      </c>
      <c r="C1017" s="19">
        <v>71681386429</v>
      </c>
      <c r="D1017" s="19">
        <v>898001087401617</v>
      </c>
      <c r="E1017" s="18" t="s">
        <v>3384</v>
      </c>
      <c r="F1017" s="11" t="s">
        <v>40</v>
      </c>
      <c r="G1017" s="11" t="s">
        <v>54</v>
      </c>
      <c r="H1017" s="24">
        <v>36965</v>
      </c>
      <c r="I1017" s="277" t="s">
        <v>3385</v>
      </c>
      <c r="J1017" s="11" t="s">
        <v>3386</v>
      </c>
      <c r="K1017" s="108"/>
      <c r="N1017" s="11" t="s">
        <v>43</v>
      </c>
      <c r="O1017" s="11" t="s">
        <v>44</v>
      </c>
      <c r="P1017" s="11" t="s">
        <v>44</v>
      </c>
      <c r="Q1017" s="11" t="s">
        <v>44</v>
      </c>
      <c r="R1017" s="11" t="s">
        <v>45</v>
      </c>
      <c r="S1017" s="11" t="s">
        <v>44</v>
      </c>
      <c r="T1017" s="11" t="s">
        <v>44</v>
      </c>
      <c r="U1017" s="11" t="s">
        <v>44</v>
      </c>
      <c r="W1017" s="11" t="s">
        <v>46</v>
      </c>
      <c r="X1017" s="11" t="s">
        <v>156</v>
      </c>
      <c r="Y1017" s="11" t="s">
        <v>58</v>
      </c>
      <c r="Z1017" s="11">
        <v>81984835437</v>
      </c>
      <c r="AA1017" s="11" t="s">
        <v>1360</v>
      </c>
      <c r="AB1017" s="11"/>
      <c r="AC1017" s="11"/>
      <c r="AD1017" s="11" t="b">
        <v>0</v>
      </c>
      <c r="AF1017" s="11"/>
      <c r="AG1017" s="11"/>
      <c r="AH1017" s="11"/>
      <c r="AI1017" s="11"/>
    </row>
    <row r="1018" ht="12.5" spans="1:35">
      <c r="A1018" s="177">
        <v>45306.4167723611</v>
      </c>
      <c r="B1018" s="11" t="s">
        <v>3387</v>
      </c>
      <c r="C1018" s="19">
        <v>15842009447</v>
      </c>
      <c r="D1018" s="19">
        <v>898003064619731</v>
      </c>
      <c r="E1018" s="18" t="s">
        <v>3388</v>
      </c>
      <c r="F1018" s="11" t="s">
        <v>40</v>
      </c>
      <c r="G1018" s="11" t="s">
        <v>54</v>
      </c>
      <c r="H1018" s="24">
        <v>38234</v>
      </c>
      <c r="I1018" s="19" t="s">
        <v>136</v>
      </c>
      <c r="J1018" s="11" t="s">
        <v>42</v>
      </c>
      <c r="K1018" s="108" t="s">
        <v>90</v>
      </c>
      <c r="N1018" s="11" t="s">
        <v>43</v>
      </c>
      <c r="O1018" s="11" t="s">
        <v>44</v>
      </c>
      <c r="P1018" s="11" t="s">
        <v>44</v>
      </c>
      <c r="Q1018" s="11" t="s">
        <v>44</v>
      </c>
      <c r="R1018" s="11" t="s">
        <v>45</v>
      </c>
      <c r="S1018" s="11" t="s">
        <v>83</v>
      </c>
      <c r="T1018" s="11" t="s">
        <v>44</v>
      </c>
      <c r="U1018" s="11" t="s">
        <v>45</v>
      </c>
      <c r="V1018" s="24">
        <v>45306</v>
      </c>
      <c r="W1018" s="11" t="s">
        <v>46</v>
      </c>
      <c r="X1018" s="11" t="s">
        <v>47</v>
      </c>
      <c r="Y1018" s="11" t="s">
        <v>58</v>
      </c>
      <c r="Z1018" s="11">
        <v>81995110700</v>
      </c>
      <c r="AA1018" s="11" t="s">
        <v>91</v>
      </c>
      <c r="AB1018" s="11" t="s">
        <v>98</v>
      </c>
      <c r="AC1018" s="11"/>
      <c r="AD1018" s="11" t="b">
        <v>0</v>
      </c>
      <c r="AF1018" s="11" t="s">
        <v>3389</v>
      </c>
      <c r="AG1018" s="11"/>
      <c r="AH1018" s="11" t="s">
        <v>3390</v>
      </c>
      <c r="AI1018" s="11"/>
    </row>
    <row r="1019" ht="12.5" spans="1:35">
      <c r="A1019" s="177">
        <v>45306.6765323032</v>
      </c>
      <c r="B1019" s="11" t="s">
        <v>3365</v>
      </c>
      <c r="C1019" s="277" t="s">
        <v>3366</v>
      </c>
      <c r="D1019" s="19">
        <v>701205029878719</v>
      </c>
      <c r="E1019" s="18" t="s">
        <v>3391</v>
      </c>
      <c r="F1019" s="11" t="s">
        <v>40</v>
      </c>
      <c r="G1019" s="11" t="s">
        <v>54</v>
      </c>
      <c r="H1019" s="24">
        <v>45306</v>
      </c>
      <c r="I1019" s="19" t="s">
        <v>136</v>
      </c>
      <c r="J1019" s="11" t="s">
        <v>42</v>
      </c>
      <c r="K1019" s="108" t="s">
        <v>3392</v>
      </c>
      <c r="N1019" s="11" t="s">
        <v>95</v>
      </c>
      <c r="O1019" s="11" t="s">
        <v>44</v>
      </c>
      <c r="P1019" s="11" t="s">
        <v>56</v>
      </c>
      <c r="Q1019" s="11" t="s">
        <v>44</v>
      </c>
      <c r="R1019" s="11" t="s">
        <v>44</v>
      </c>
      <c r="S1019" s="11" t="s">
        <v>83</v>
      </c>
      <c r="T1019" s="11" t="s">
        <v>44</v>
      </c>
      <c r="U1019" s="11" t="s">
        <v>45</v>
      </c>
      <c r="V1019" s="24">
        <v>45308</v>
      </c>
      <c r="W1019" s="11" t="s">
        <v>46</v>
      </c>
      <c r="X1019" s="11" t="s">
        <v>97</v>
      </c>
      <c r="Y1019" s="11" t="s">
        <v>97</v>
      </c>
      <c r="Z1019" s="11">
        <v>81983567401</v>
      </c>
      <c r="AA1019" s="11" t="s">
        <v>91</v>
      </c>
      <c r="AB1019" s="11" t="s">
        <v>49</v>
      </c>
      <c r="AC1019" s="11" t="s">
        <v>50</v>
      </c>
      <c r="AD1019" s="11" t="b">
        <v>0</v>
      </c>
      <c r="AF1019" s="11" t="s">
        <v>3393</v>
      </c>
      <c r="AG1019" s="11"/>
      <c r="AH1019" s="11"/>
      <c r="AI1019" s="11"/>
    </row>
    <row r="1020" ht="12.5" spans="1:35">
      <c r="A1020" s="177">
        <v>45306.6949075463</v>
      </c>
      <c r="B1020" s="11" t="s">
        <v>3371</v>
      </c>
      <c r="C1020" s="277" t="s">
        <v>3372</v>
      </c>
      <c r="D1020" s="19">
        <v>700003859109000</v>
      </c>
      <c r="E1020" s="18" t="s">
        <v>3394</v>
      </c>
      <c r="F1020" s="11" t="s">
        <v>40</v>
      </c>
      <c r="G1020" s="11" t="s">
        <v>41</v>
      </c>
      <c r="H1020" s="24">
        <v>32067</v>
      </c>
      <c r="I1020" s="277" t="s">
        <v>2255</v>
      </c>
      <c r="J1020" s="11" t="s">
        <v>42</v>
      </c>
      <c r="K1020" s="108" t="s">
        <v>202</v>
      </c>
      <c r="N1020" s="11" t="s">
        <v>95</v>
      </c>
      <c r="O1020" s="11" t="s">
        <v>44</v>
      </c>
      <c r="P1020" s="11" t="s">
        <v>44</v>
      </c>
      <c r="Q1020" s="11" t="s">
        <v>44</v>
      </c>
      <c r="R1020" s="11" t="s">
        <v>45</v>
      </c>
      <c r="S1020" s="11" t="s">
        <v>83</v>
      </c>
      <c r="T1020" s="11" t="s">
        <v>44</v>
      </c>
      <c r="U1020" s="11" t="s">
        <v>44</v>
      </c>
      <c r="W1020" s="11" t="s">
        <v>46</v>
      </c>
      <c r="X1020" s="11" t="s">
        <v>97</v>
      </c>
      <c r="Y1020" s="11" t="s">
        <v>97</v>
      </c>
      <c r="Z1020" s="11">
        <v>81973451334</v>
      </c>
      <c r="AA1020" s="11" t="s">
        <v>91</v>
      </c>
      <c r="AB1020" s="11"/>
      <c r="AC1020" s="11"/>
      <c r="AD1020" s="11" t="b">
        <v>0</v>
      </c>
      <c r="AF1020" s="11"/>
      <c r="AG1020" s="11"/>
      <c r="AH1020" s="11"/>
      <c r="AI1020" s="11"/>
    </row>
    <row r="1021" ht="12.5" spans="1:35">
      <c r="A1021" s="177">
        <v>45306.8376174537</v>
      </c>
      <c r="B1021" s="11" t="s">
        <v>3395</v>
      </c>
      <c r="C1021" s="277" t="s">
        <v>3396</v>
      </c>
      <c r="D1021" s="19">
        <v>700809484779783</v>
      </c>
      <c r="E1021" s="18" t="s">
        <v>3397</v>
      </c>
      <c r="F1021" s="11" t="s">
        <v>40</v>
      </c>
      <c r="G1021" s="11" t="s">
        <v>88</v>
      </c>
      <c r="H1021" s="24">
        <v>32401</v>
      </c>
      <c r="I1021" s="277" t="s">
        <v>3398</v>
      </c>
      <c r="J1021" s="11" t="s">
        <v>42</v>
      </c>
      <c r="K1021" s="108" t="s">
        <v>282</v>
      </c>
      <c r="N1021" s="11" t="s">
        <v>43</v>
      </c>
      <c r="O1021" s="11" t="s">
        <v>44</v>
      </c>
      <c r="P1021" s="11" t="s">
        <v>44</v>
      </c>
      <c r="Q1021" s="11" t="s">
        <v>45</v>
      </c>
      <c r="R1021" s="11" t="s">
        <v>45</v>
      </c>
      <c r="S1021" s="11" t="s">
        <v>45</v>
      </c>
      <c r="T1021" s="11" t="s">
        <v>44</v>
      </c>
      <c r="U1021" s="11" t="s">
        <v>45</v>
      </c>
      <c r="V1021" s="24">
        <v>45308</v>
      </c>
      <c r="W1021" s="11" t="s">
        <v>46</v>
      </c>
      <c r="X1021" s="11" t="s">
        <v>203</v>
      </c>
      <c r="Y1021" s="11" t="s">
        <v>58</v>
      </c>
      <c r="Z1021" s="11">
        <v>81986103821</v>
      </c>
      <c r="AA1021" s="11" t="s">
        <v>1360</v>
      </c>
      <c r="AB1021" s="11" t="s">
        <v>49</v>
      </c>
      <c r="AC1021" s="11" t="s">
        <v>50</v>
      </c>
      <c r="AD1021" s="11" t="b">
        <v>1</v>
      </c>
      <c r="AE1021" s="11" t="s">
        <v>137</v>
      </c>
      <c r="AF1021" s="214" t="s">
        <v>3399</v>
      </c>
      <c r="AG1021" s="11"/>
      <c r="AH1021" s="11"/>
      <c r="AI1021" s="11"/>
    </row>
    <row r="1022" ht="12.5" spans="1:35">
      <c r="A1022" s="177">
        <v>45307.4080068519</v>
      </c>
      <c r="B1022" s="11" t="s">
        <v>3400</v>
      </c>
      <c r="C1022" s="277" t="s">
        <v>1746</v>
      </c>
      <c r="D1022" s="19">
        <v>704607149910620</v>
      </c>
      <c r="E1022" s="18" t="s">
        <v>3401</v>
      </c>
      <c r="F1022" s="11" t="s">
        <v>40</v>
      </c>
      <c r="G1022" s="11" t="s">
        <v>54</v>
      </c>
      <c r="H1022" s="24">
        <v>31755</v>
      </c>
      <c r="I1022" s="19" t="s">
        <v>3402</v>
      </c>
      <c r="J1022" s="11" t="s">
        <v>42</v>
      </c>
      <c r="K1022" s="108" t="s">
        <v>202</v>
      </c>
      <c r="N1022" s="11" t="s">
        <v>43</v>
      </c>
      <c r="O1022" s="11" t="s">
        <v>96</v>
      </c>
      <c r="P1022" s="11" t="s">
        <v>66</v>
      </c>
      <c r="Q1022" s="11" t="s">
        <v>44</v>
      </c>
      <c r="R1022" s="11" t="s">
        <v>45</v>
      </c>
      <c r="S1022" s="11" t="s">
        <v>45</v>
      </c>
      <c r="T1022" s="11" t="s">
        <v>44</v>
      </c>
      <c r="U1022" s="11" t="s">
        <v>45</v>
      </c>
      <c r="V1022" s="24">
        <v>45308</v>
      </c>
      <c r="W1022" s="11" t="s">
        <v>46</v>
      </c>
      <c r="X1022" s="11" t="s">
        <v>47</v>
      </c>
      <c r="Y1022" s="11" t="s">
        <v>58</v>
      </c>
      <c r="Z1022" s="11">
        <v>81991217233</v>
      </c>
      <c r="AA1022" s="11" t="s">
        <v>91</v>
      </c>
      <c r="AB1022" s="11" t="s">
        <v>49</v>
      </c>
      <c r="AC1022" s="11" t="s">
        <v>92</v>
      </c>
      <c r="AD1022" s="11" t="b">
        <v>1</v>
      </c>
      <c r="AE1022" s="11" t="s">
        <v>137</v>
      </c>
      <c r="AF1022" s="11" t="s">
        <v>3403</v>
      </c>
      <c r="AG1022" s="11"/>
      <c r="AH1022" s="11"/>
      <c r="AI1022" s="11"/>
    </row>
    <row r="1023" ht="12.5" spans="1:35">
      <c r="A1023" s="177">
        <v>45307.6520921412</v>
      </c>
      <c r="B1023" s="11" t="s">
        <v>3404</v>
      </c>
      <c r="C1023" s="19">
        <v>70085444480</v>
      </c>
      <c r="D1023" s="19">
        <v>708907785709116</v>
      </c>
      <c r="E1023" s="18" t="s">
        <v>3405</v>
      </c>
      <c r="F1023" s="11" t="s">
        <v>40</v>
      </c>
      <c r="G1023" s="11" t="s">
        <v>41</v>
      </c>
      <c r="H1023" s="24">
        <v>36908</v>
      </c>
      <c r="I1023" s="277" t="s">
        <v>3406</v>
      </c>
      <c r="J1023" s="11" t="s">
        <v>42</v>
      </c>
      <c r="K1023" s="108" t="s">
        <v>455</v>
      </c>
      <c r="N1023" s="11" t="s">
        <v>43</v>
      </c>
      <c r="O1023" s="11" t="s">
        <v>96</v>
      </c>
      <c r="P1023" s="11" t="s">
        <v>56</v>
      </c>
      <c r="Q1023" s="11" t="s">
        <v>45</v>
      </c>
      <c r="R1023" s="11" t="s">
        <v>45</v>
      </c>
      <c r="S1023" s="11" t="s">
        <v>45</v>
      </c>
      <c r="T1023" s="11" t="s">
        <v>44</v>
      </c>
      <c r="U1023" s="11" t="s">
        <v>45</v>
      </c>
      <c r="V1023" s="24">
        <v>45308</v>
      </c>
      <c r="W1023" s="11" t="s">
        <v>46</v>
      </c>
      <c r="X1023" s="11" t="s">
        <v>47</v>
      </c>
      <c r="Y1023" s="11" t="s">
        <v>58</v>
      </c>
      <c r="Z1023" s="11">
        <v>83991581234</v>
      </c>
      <c r="AA1023" s="11" t="s">
        <v>105</v>
      </c>
      <c r="AB1023" s="11" t="s">
        <v>49</v>
      </c>
      <c r="AC1023" s="11" t="s">
        <v>50</v>
      </c>
      <c r="AD1023" s="11" t="b">
        <v>0</v>
      </c>
      <c r="AF1023" s="11" t="s">
        <v>3407</v>
      </c>
      <c r="AG1023" s="11"/>
      <c r="AH1023" s="11" t="s">
        <v>3408</v>
      </c>
      <c r="AI1023" s="11"/>
    </row>
    <row r="1024" ht="12.5" spans="1:35">
      <c r="A1024" s="177">
        <v>45308.3519574074</v>
      </c>
      <c r="B1024" s="11" t="s">
        <v>3365</v>
      </c>
      <c r="C1024" s="277" t="s">
        <v>3366</v>
      </c>
      <c r="D1024" s="19">
        <v>701205029878719</v>
      </c>
      <c r="F1024" s="11" t="s">
        <v>40</v>
      </c>
      <c r="G1024" s="11" t="s">
        <v>54</v>
      </c>
      <c r="H1024" s="24">
        <v>29966</v>
      </c>
      <c r="I1024" s="19" t="s">
        <v>865</v>
      </c>
      <c r="J1024" s="11" t="s">
        <v>3386</v>
      </c>
      <c r="K1024" s="108"/>
      <c r="N1024" s="11" t="s">
        <v>95</v>
      </c>
      <c r="O1024" s="11" t="s">
        <v>44</v>
      </c>
      <c r="P1024" s="11" t="s">
        <v>44</v>
      </c>
      <c r="Q1024" s="11" t="s">
        <v>45</v>
      </c>
      <c r="R1024" s="11" t="s">
        <v>45</v>
      </c>
      <c r="S1024" s="11" t="s">
        <v>83</v>
      </c>
      <c r="T1024" s="11" t="s">
        <v>44</v>
      </c>
      <c r="U1024" s="11" t="s">
        <v>45</v>
      </c>
      <c r="V1024" s="24">
        <v>45315</v>
      </c>
      <c r="W1024" s="11" t="s">
        <v>57</v>
      </c>
      <c r="X1024" s="11" t="s">
        <v>97</v>
      </c>
      <c r="Y1024" s="11" t="s">
        <v>97</v>
      </c>
      <c r="Z1024" s="11">
        <v>81983567401</v>
      </c>
      <c r="AA1024" s="11" t="s">
        <v>115</v>
      </c>
      <c r="AB1024" s="11" t="s">
        <v>49</v>
      </c>
      <c r="AC1024" s="11" t="s">
        <v>50</v>
      </c>
      <c r="AD1024" s="11" t="b">
        <v>0</v>
      </c>
      <c r="AF1024" s="11" t="s">
        <v>3409</v>
      </c>
      <c r="AG1024" s="11"/>
      <c r="AH1024" s="11" t="s">
        <v>3410</v>
      </c>
      <c r="AI1024" s="11"/>
    </row>
    <row r="1025" ht="12.5" spans="1:35">
      <c r="A1025" s="177">
        <v>45308.392137963</v>
      </c>
      <c r="B1025" s="11" t="s">
        <v>3395</v>
      </c>
      <c r="C1025" s="277" t="s">
        <v>3396</v>
      </c>
      <c r="D1025" s="19">
        <v>700809484779783</v>
      </c>
      <c r="E1025" s="18" t="s">
        <v>3411</v>
      </c>
      <c r="F1025" s="11" t="s">
        <v>40</v>
      </c>
      <c r="G1025" s="11" t="s">
        <v>88</v>
      </c>
      <c r="H1025" s="24">
        <v>32401</v>
      </c>
      <c r="I1025" s="277" t="s">
        <v>3398</v>
      </c>
      <c r="J1025" s="11" t="s">
        <v>42</v>
      </c>
      <c r="K1025" s="108" t="s">
        <v>282</v>
      </c>
      <c r="N1025" s="11" t="s">
        <v>95</v>
      </c>
      <c r="O1025" s="11" t="s">
        <v>44</v>
      </c>
      <c r="P1025" s="11" t="s">
        <v>44</v>
      </c>
      <c r="Q1025" s="11" t="s">
        <v>44</v>
      </c>
      <c r="R1025" s="11" t="s">
        <v>45</v>
      </c>
      <c r="S1025" s="11" t="s">
        <v>45</v>
      </c>
      <c r="T1025" s="11" t="s">
        <v>44</v>
      </c>
      <c r="U1025" s="11" t="s">
        <v>45</v>
      </c>
      <c r="V1025" s="24">
        <v>45322</v>
      </c>
      <c r="W1025" s="11" t="s">
        <v>46</v>
      </c>
      <c r="X1025" s="11" t="s">
        <v>97</v>
      </c>
      <c r="Y1025" s="11" t="s">
        <v>97</v>
      </c>
      <c r="Z1025" s="11">
        <v>81986103821</v>
      </c>
      <c r="AA1025" s="11" t="s">
        <v>115</v>
      </c>
      <c r="AB1025" s="11" t="s">
        <v>49</v>
      </c>
      <c r="AC1025" s="11" t="s">
        <v>256</v>
      </c>
      <c r="AD1025" s="11" t="b">
        <v>1</v>
      </c>
      <c r="AE1025" s="11" t="s">
        <v>137</v>
      </c>
      <c r="AF1025" s="11" t="s">
        <v>3412</v>
      </c>
      <c r="AG1025" s="11"/>
      <c r="AH1025" s="11"/>
      <c r="AI1025" s="11"/>
    </row>
    <row r="1026" ht="12.5" spans="1:35">
      <c r="A1026" s="177">
        <v>45308.4003771296</v>
      </c>
      <c r="B1026" s="11" t="s">
        <v>3400</v>
      </c>
      <c r="C1026" s="277" t="s">
        <v>1746</v>
      </c>
      <c r="D1026" s="19">
        <v>704607149910620</v>
      </c>
      <c r="E1026" s="18" t="s">
        <v>3413</v>
      </c>
      <c r="F1026" s="11" t="s">
        <v>40</v>
      </c>
      <c r="G1026" s="11" t="s">
        <v>54</v>
      </c>
      <c r="H1026" s="24">
        <v>31755</v>
      </c>
      <c r="I1026" s="19" t="s">
        <v>3402</v>
      </c>
      <c r="J1026" s="11" t="s">
        <v>42</v>
      </c>
      <c r="K1026" s="108" t="s">
        <v>202</v>
      </c>
      <c r="N1026" s="11" t="s">
        <v>95</v>
      </c>
      <c r="O1026" s="11" t="s">
        <v>44</v>
      </c>
      <c r="P1026" s="11" t="s">
        <v>44</v>
      </c>
      <c r="Q1026" s="11" t="s">
        <v>44</v>
      </c>
      <c r="R1026" s="11" t="s">
        <v>44</v>
      </c>
      <c r="S1026" s="11" t="s">
        <v>45</v>
      </c>
      <c r="T1026" s="11" t="s">
        <v>44</v>
      </c>
      <c r="U1026" s="11" t="s">
        <v>44</v>
      </c>
      <c r="W1026" s="11" t="s">
        <v>46</v>
      </c>
      <c r="X1026" s="11" t="s">
        <v>97</v>
      </c>
      <c r="Y1026" s="11" t="s">
        <v>97</v>
      </c>
      <c r="Z1026" s="11">
        <v>81991217233</v>
      </c>
      <c r="AA1026" s="11" t="s">
        <v>91</v>
      </c>
      <c r="AB1026" s="11"/>
      <c r="AC1026" s="11"/>
      <c r="AD1026" s="11" t="b">
        <v>0</v>
      </c>
      <c r="AF1026" s="11"/>
      <c r="AG1026" s="11"/>
      <c r="AH1026" s="11"/>
      <c r="AI1026" s="11"/>
    </row>
    <row r="1027" ht="12.5" spans="1:35">
      <c r="A1027" s="177">
        <v>45308.5120842593</v>
      </c>
      <c r="B1027" s="11" t="s">
        <v>1452</v>
      </c>
      <c r="C1027" s="277" t="s">
        <v>3414</v>
      </c>
      <c r="D1027" s="19">
        <v>703008821547875</v>
      </c>
      <c r="E1027" s="18" t="s">
        <v>3415</v>
      </c>
      <c r="F1027" s="11" t="s">
        <v>40</v>
      </c>
      <c r="G1027" s="11" t="s">
        <v>54</v>
      </c>
      <c r="H1027" s="24">
        <v>38106</v>
      </c>
      <c r="I1027" s="277" t="s">
        <v>3416</v>
      </c>
      <c r="J1027" s="11" t="s">
        <v>42</v>
      </c>
      <c r="K1027" s="108" t="s">
        <v>63</v>
      </c>
      <c r="N1027" s="11" t="s">
        <v>43</v>
      </c>
      <c r="O1027" s="11" t="s">
        <v>65</v>
      </c>
      <c r="P1027" s="11" t="s">
        <v>66</v>
      </c>
      <c r="Q1027" s="11" t="s">
        <v>44</v>
      </c>
      <c r="R1027" s="11" t="s">
        <v>45</v>
      </c>
      <c r="S1027" s="11" t="s">
        <v>45</v>
      </c>
      <c r="T1027" s="11" t="s">
        <v>44</v>
      </c>
      <c r="U1027" s="11" t="s">
        <v>45</v>
      </c>
      <c r="V1027" s="24">
        <v>45309</v>
      </c>
      <c r="W1027" s="11" t="s">
        <v>46</v>
      </c>
      <c r="X1027" s="11" t="s">
        <v>47</v>
      </c>
      <c r="Y1027" s="11" t="s">
        <v>58</v>
      </c>
      <c r="Z1027" s="11">
        <v>81999205254</v>
      </c>
      <c r="AA1027" s="11" t="s">
        <v>115</v>
      </c>
      <c r="AB1027" s="11" t="s">
        <v>49</v>
      </c>
      <c r="AC1027" s="11" t="s">
        <v>50</v>
      </c>
      <c r="AD1027" s="11" t="b">
        <v>1</v>
      </c>
      <c r="AE1027" s="11" t="s">
        <v>137</v>
      </c>
      <c r="AF1027" s="11" t="s">
        <v>3417</v>
      </c>
      <c r="AG1027" s="11" t="s">
        <v>3418</v>
      </c>
      <c r="AH1027" s="214" t="s">
        <v>3419</v>
      </c>
      <c r="AI1027" s="11"/>
    </row>
    <row r="1028" ht="12.5" spans="1:35">
      <c r="A1028" s="177">
        <v>45308.6083026968</v>
      </c>
      <c r="B1028" s="11" t="s">
        <v>3404</v>
      </c>
      <c r="C1028" s="19">
        <v>70085444480</v>
      </c>
      <c r="D1028" s="19">
        <v>708907785709116</v>
      </c>
      <c r="F1028" s="11" t="s">
        <v>40</v>
      </c>
      <c r="G1028" s="11" t="s">
        <v>41</v>
      </c>
      <c r="H1028" s="24">
        <v>36908</v>
      </c>
      <c r="I1028" s="277" t="s">
        <v>1788</v>
      </c>
      <c r="J1028" s="11" t="s">
        <v>42</v>
      </c>
      <c r="K1028" s="108" t="s">
        <v>455</v>
      </c>
      <c r="N1028" s="11" t="s">
        <v>95</v>
      </c>
      <c r="O1028" s="11" t="s">
        <v>44</v>
      </c>
      <c r="P1028" s="11" t="s">
        <v>44</v>
      </c>
      <c r="Q1028" s="11" t="s">
        <v>44</v>
      </c>
      <c r="R1028" s="11" t="s">
        <v>45</v>
      </c>
      <c r="S1028" s="11" t="s">
        <v>45</v>
      </c>
      <c r="T1028" s="11" t="s">
        <v>44</v>
      </c>
      <c r="U1028" s="11" t="s">
        <v>44</v>
      </c>
      <c r="W1028" s="11" t="s">
        <v>57</v>
      </c>
      <c r="X1028" s="11" t="s">
        <v>97</v>
      </c>
      <c r="Y1028" s="11" t="s">
        <v>97</v>
      </c>
      <c r="Z1028" s="11">
        <v>83991581234</v>
      </c>
      <c r="AA1028" s="11" t="s">
        <v>115</v>
      </c>
      <c r="AB1028" s="11"/>
      <c r="AC1028" s="11"/>
      <c r="AD1028" s="11" t="b">
        <v>0</v>
      </c>
      <c r="AF1028" s="11"/>
      <c r="AG1028" s="11"/>
      <c r="AH1028" s="11"/>
      <c r="AI1028" s="11"/>
    </row>
    <row r="1029" ht="12.5" spans="1:35">
      <c r="A1029" s="177">
        <v>45308.6943737037</v>
      </c>
      <c r="B1029" s="11" t="s">
        <v>3420</v>
      </c>
      <c r="C1029" s="19">
        <v>11274887402</v>
      </c>
      <c r="D1029" s="19">
        <v>705005202258750</v>
      </c>
      <c r="E1029" s="18" t="s">
        <v>3421</v>
      </c>
      <c r="F1029" s="11" t="s">
        <v>40</v>
      </c>
      <c r="G1029" s="11" t="s">
        <v>54</v>
      </c>
      <c r="H1029" s="24">
        <v>34969</v>
      </c>
      <c r="I1029" s="277" t="s">
        <v>636</v>
      </c>
      <c r="J1029" s="11" t="s">
        <v>42</v>
      </c>
      <c r="K1029" s="108" t="s">
        <v>3422</v>
      </c>
      <c r="N1029" s="11" t="s">
        <v>43</v>
      </c>
      <c r="O1029" s="11" t="s">
        <v>44</v>
      </c>
      <c r="P1029" s="11" t="s">
        <v>44</v>
      </c>
      <c r="Q1029" s="11" t="s">
        <v>44</v>
      </c>
      <c r="R1029" s="11" t="s">
        <v>45</v>
      </c>
      <c r="S1029" s="11" t="s">
        <v>45</v>
      </c>
      <c r="T1029" s="11" t="s">
        <v>44</v>
      </c>
      <c r="U1029" s="11" t="s">
        <v>44</v>
      </c>
      <c r="W1029" s="11" t="s">
        <v>46</v>
      </c>
      <c r="X1029" s="11" t="s">
        <v>47</v>
      </c>
      <c r="Y1029" s="11" t="s">
        <v>58</v>
      </c>
      <c r="Z1029" s="11">
        <v>81984021585</v>
      </c>
      <c r="AA1029" s="11" t="s">
        <v>115</v>
      </c>
      <c r="AB1029" s="11"/>
      <c r="AC1029" s="11"/>
      <c r="AD1029" s="11" t="b">
        <v>0</v>
      </c>
      <c r="AF1029" s="11"/>
      <c r="AG1029" s="11"/>
      <c r="AH1029" s="11"/>
      <c r="AI1029" s="11"/>
    </row>
    <row r="1030" ht="12.5" spans="1:35">
      <c r="A1030" s="177">
        <v>45309.4469320486</v>
      </c>
      <c r="B1030" s="11" t="s">
        <v>3423</v>
      </c>
      <c r="C1030" s="19">
        <v>12912334403</v>
      </c>
      <c r="D1030" s="19">
        <v>707105809407820</v>
      </c>
      <c r="E1030" s="18" t="s">
        <v>3424</v>
      </c>
      <c r="F1030" s="11" t="s">
        <v>40</v>
      </c>
      <c r="G1030" s="11" t="s">
        <v>88</v>
      </c>
      <c r="H1030" s="24">
        <v>35926</v>
      </c>
      <c r="I1030" s="277" t="s">
        <v>3425</v>
      </c>
      <c r="J1030" s="11" t="s">
        <v>42</v>
      </c>
      <c r="K1030" s="108" t="s">
        <v>74</v>
      </c>
      <c r="N1030" s="11" t="s">
        <v>43</v>
      </c>
      <c r="O1030" s="11" t="s">
        <v>44</v>
      </c>
      <c r="P1030" s="11" t="s">
        <v>56</v>
      </c>
      <c r="Q1030" s="11" t="s">
        <v>45</v>
      </c>
      <c r="R1030" s="11" t="s">
        <v>45</v>
      </c>
      <c r="S1030" s="11" t="s">
        <v>45</v>
      </c>
      <c r="T1030" s="11" t="s">
        <v>44</v>
      </c>
      <c r="U1030" s="11" t="s">
        <v>45</v>
      </c>
      <c r="V1030" s="24">
        <v>45310</v>
      </c>
      <c r="W1030" s="11" t="s">
        <v>46</v>
      </c>
      <c r="X1030" s="11" t="s">
        <v>47</v>
      </c>
      <c r="Y1030" s="11" t="s">
        <v>58</v>
      </c>
      <c r="Z1030" s="11">
        <v>81989668159</v>
      </c>
      <c r="AA1030" s="11" t="s">
        <v>115</v>
      </c>
      <c r="AB1030" s="11" t="s">
        <v>49</v>
      </c>
      <c r="AC1030" s="11" t="s">
        <v>256</v>
      </c>
      <c r="AD1030" s="11" t="b">
        <v>1</v>
      </c>
      <c r="AE1030" s="11" t="s">
        <v>137</v>
      </c>
      <c r="AF1030" s="11"/>
      <c r="AG1030" s="11"/>
      <c r="AH1030" s="11" t="s">
        <v>3426</v>
      </c>
      <c r="AI1030" s="11"/>
    </row>
    <row r="1031" ht="12.5" spans="1:35">
      <c r="A1031" s="177">
        <v>45309.5146867477</v>
      </c>
      <c r="B1031" s="11" t="s">
        <v>3268</v>
      </c>
      <c r="C1031" s="19">
        <v>72068534479</v>
      </c>
      <c r="D1031" s="19">
        <v>898006294626805</v>
      </c>
      <c r="E1031" s="18" t="s">
        <v>3427</v>
      </c>
      <c r="F1031" s="11" t="s">
        <v>225</v>
      </c>
      <c r="G1031" s="11" t="s">
        <v>54</v>
      </c>
      <c r="H1031" s="24">
        <v>36916</v>
      </c>
      <c r="I1031" s="277" t="s">
        <v>1261</v>
      </c>
      <c r="J1031" s="11" t="s">
        <v>42</v>
      </c>
      <c r="K1031" s="108" t="s">
        <v>202</v>
      </c>
      <c r="N1031" s="11" t="s">
        <v>43</v>
      </c>
      <c r="O1031" s="11" t="s">
        <v>96</v>
      </c>
      <c r="P1031" s="11" t="s">
        <v>66</v>
      </c>
      <c r="Q1031" s="11" t="s">
        <v>44</v>
      </c>
      <c r="R1031" s="11" t="s">
        <v>45</v>
      </c>
      <c r="S1031" s="11" t="s">
        <v>83</v>
      </c>
      <c r="T1031" s="11" t="s">
        <v>44</v>
      </c>
      <c r="U1031" s="11" t="s">
        <v>45</v>
      </c>
      <c r="V1031" s="24">
        <v>45310</v>
      </c>
      <c r="W1031" s="11" t="s">
        <v>46</v>
      </c>
      <c r="X1031" s="11" t="s">
        <v>47</v>
      </c>
      <c r="Y1031" s="11" t="s">
        <v>58</v>
      </c>
      <c r="Z1031" s="11">
        <v>81994675269</v>
      </c>
      <c r="AA1031" s="11" t="s">
        <v>2835</v>
      </c>
      <c r="AB1031" s="11" t="s">
        <v>98</v>
      </c>
      <c r="AC1031" s="11"/>
      <c r="AD1031" s="11" t="b">
        <v>0</v>
      </c>
      <c r="AF1031" s="11" t="s">
        <v>3428</v>
      </c>
      <c r="AG1031" s="11" t="s">
        <v>3429</v>
      </c>
      <c r="AH1031" s="11"/>
      <c r="AI1031" s="11"/>
    </row>
    <row r="1032" ht="12.5" spans="1:35">
      <c r="A1032" s="177">
        <v>45309.5256787384</v>
      </c>
      <c r="B1032" s="11" t="s">
        <v>1452</v>
      </c>
      <c r="C1032" s="277" t="s">
        <v>3414</v>
      </c>
      <c r="D1032" s="19">
        <v>703008821547875</v>
      </c>
      <c r="E1032" s="18" t="s">
        <v>3430</v>
      </c>
      <c r="F1032" s="11" t="s">
        <v>40</v>
      </c>
      <c r="G1032" s="11" t="s">
        <v>54</v>
      </c>
      <c r="H1032" s="24">
        <v>38106</v>
      </c>
      <c r="I1032" s="277" t="s">
        <v>3416</v>
      </c>
      <c r="J1032" s="11" t="s">
        <v>42</v>
      </c>
      <c r="K1032" s="108" t="s">
        <v>63</v>
      </c>
      <c r="N1032" s="11" t="s">
        <v>95</v>
      </c>
      <c r="O1032" s="11" t="s">
        <v>96</v>
      </c>
      <c r="P1032" s="11" t="s">
        <v>56</v>
      </c>
      <c r="Q1032" s="11" t="s">
        <v>44</v>
      </c>
      <c r="R1032" s="11" t="s">
        <v>45</v>
      </c>
      <c r="S1032" s="11" t="s">
        <v>45</v>
      </c>
      <c r="T1032" s="11" t="s">
        <v>44</v>
      </c>
      <c r="U1032" s="11" t="s">
        <v>45</v>
      </c>
      <c r="V1032" s="24">
        <v>45310</v>
      </c>
      <c r="W1032" s="11" t="s">
        <v>57</v>
      </c>
      <c r="X1032" s="11" t="s">
        <v>97</v>
      </c>
      <c r="Y1032" s="11" t="s">
        <v>97</v>
      </c>
      <c r="Z1032" s="11">
        <v>81999205254</v>
      </c>
      <c r="AA1032" s="11" t="s">
        <v>115</v>
      </c>
      <c r="AB1032" s="11" t="s">
        <v>49</v>
      </c>
      <c r="AC1032" s="11" t="s">
        <v>92</v>
      </c>
      <c r="AD1032" s="11" t="b">
        <v>0</v>
      </c>
      <c r="AF1032" s="11" t="s">
        <v>3431</v>
      </c>
      <c r="AG1032" s="11" t="s">
        <v>3432</v>
      </c>
      <c r="AH1032" s="245" t="s">
        <v>3237</v>
      </c>
      <c r="AI1032" s="11"/>
    </row>
    <row r="1033" ht="12.5" spans="1:35">
      <c r="A1033" s="177">
        <v>45309.5943062847</v>
      </c>
      <c r="B1033" s="11" t="s">
        <v>3433</v>
      </c>
      <c r="C1033" s="277" t="s">
        <v>3434</v>
      </c>
      <c r="D1033" s="19">
        <v>704703781901239</v>
      </c>
      <c r="E1033" s="18" t="s">
        <v>3435</v>
      </c>
      <c r="F1033" s="11" t="s">
        <v>40</v>
      </c>
      <c r="G1033" s="11" t="s">
        <v>54</v>
      </c>
      <c r="H1033" s="24">
        <v>32721</v>
      </c>
      <c r="I1033" s="277" t="s">
        <v>2415</v>
      </c>
      <c r="J1033" s="11" t="s">
        <v>42</v>
      </c>
      <c r="K1033" s="108" t="s">
        <v>455</v>
      </c>
      <c r="N1033" s="11" t="s">
        <v>43</v>
      </c>
      <c r="O1033" s="11" t="s">
        <v>44</v>
      </c>
      <c r="P1033" s="11" t="s">
        <v>44</v>
      </c>
      <c r="Q1033" s="11" t="s">
        <v>44</v>
      </c>
      <c r="R1033" s="11" t="s">
        <v>45</v>
      </c>
      <c r="S1033" s="11" t="s">
        <v>83</v>
      </c>
      <c r="T1033" s="11" t="s">
        <v>44</v>
      </c>
      <c r="U1033" s="11" t="s">
        <v>45</v>
      </c>
      <c r="V1033" s="24">
        <v>45313</v>
      </c>
      <c r="W1033" s="11" t="s">
        <v>46</v>
      </c>
      <c r="X1033" s="11" t="s">
        <v>47</v>
      </c>
      <c r="Y1033" s="11" t="s">
        <v>48</v>
      </c>
      <c r="Z1033" s="11">
        <v>81998380141</v>
      </c>
      <c r="AA1033" s="11" t="s">
        <v>91</v>
      </c>
      <c r="AB1033" s="11" t="s">
        <v>49</v>
      </c>
      <c r="AC1033" s="11" t="s">
        <v>92</v>
      </c>
      <c r="AD1033" s="11" t="b">
        <v>0</v>
      </c>
      <c r="AF1033" s="11" t="s">
        <v>3436</v>
      </c>
      <c r="AG1033" s="11"/>
      <c r="AH1033" s="11"/>
      <c r="AI1033" s="11"/>
    </row>
    <row r="1034" ht="12.5" spans="1:35">
      <c r="A1034" s="177">
        <v>45310.5158776157</v>
      </c>
      <c r="B1034" s="11" t="s">
        <v>3437</v>
      </c>
      <c r="C1034" s="19">
        <v>70505915480</v>
      </c>
      <c r="D1034" s="19">
        <v>700500121853551</v>
      </c>
      <c r="E1034" s="18" t="s">
        <v>3438</v>
      </c>
      <c r="F1034" s="11" t="s">
        <v>40</v>
      </c>
      <c r="G1034" s="11" t="s">
        <v>54</v>
      </c>
      <c r="H1034" s="24">
        <v>36242</v>
      </c>
      <c r="I1034" s="277" t="s">
        <v>1886</v>
      </c>
      <c r="J1034" s="11" t="s">
        <v>42</v>
      </c>
      <c r="K1034" s="108" t="s">
        <v>74</v>
      </c>
      <c r="N1034" s="11" t="s">
        <v>43</v>
      </c>
      <c r="O1034" s="11" t="s">
        <v>44</v>
      </c>
      <c r="P1034" s="11" t="s">
        <v>44</v>
      </c>
      <c r="Q1034" s="11" t="s">
        <v>44</v>
      </c>
      <c r="R1034" s="11" t="s">
        <v>45</v>
      </c>
      <c r="S1034" s="11" t="s">
        <v>44</v>
      </c>
      <c r="T1034" s="11" t="s">
        <v>44</v>
      </c>
      <c r="U1034" s="11" t="s">
        <v>44</v>
      </c>
      <c r="W1034" s="11" t="s">
        <v>46</v>
      </c>
      <c r="X1034" s="11" t="s">
        <v>47</v>
      </c>
      <c r="Y1034" s="11" t="s">
        <v>58</v>
      </c>
      <c r="Z1034" s="11">
        <v>81985770668</v>
      </c>
      <c r="AA1034" s="11" t="s">
        <v>1360</v>
      </c>
      <c r="AB1034" s="11"/>
      <c r="AC1034" s="11"/>
      <c r="AD1034" s="11" t="b">
        <v>0</v>
      </c>
      <c r="AF1034" s="11"/>
      <c r="AG1034" s="11"/>
      <c r="AH1034" s="11"/>
      <c r="AI1034" s="11"/>
    </row>
    <row r="1035" ht="12.5" spans="1:35">
      <c r="A1035" s="177">
        <v>45310.5297120486</v>
      </c>
      <c r="B1035" s="11" t="s">
        <v>3141</v>
      </c>
      <c r="C1035" s="19">
        <v>71053651457</v>
      </c>
      <c r="D1035" s="19">
        <v>706700704298020</v>
      </c>
      <c r="E1035" s="18" t="s">
        <v>3439</v>
      </c>
      <c r="F1035" s="11" t="s">
        <v>40</v>
      </c>
      <c r="G1035" s="11" t="s">
        <v>54</v>
      </c>
      <c r="H1035" s="24">
        <v>38065</v>
      </c>
      <c r="I1035" s="277" t="s">
        <v>3440</v>
      </c>
      <c r="J1035" s="11" t="s">
        <v>42</v>
      </c>
      <c r="K1035" s="108" t="s">
        <v>399</v>
      </c>
      <c r="N1035" s="11" t="s">
        <v>43</v>
      </c>
      <c r="O1035" s="11" t="s">
        <v>96</v>
      </c>
      <c r="P1035" s="11" t="s">
        <v>56</v>
      </c>
      <c r="Q1035" s="11" t="s">
        <v>44</v>
      </c>
      <c r="R1035" s="11" t="s">
        <v>45</v>
      </c>
      <c r="S1035" s="11" t="s">
        <v>45</v>
      </c>
      <c r="T1035" s="11" t="s">
        <v>44</v>
      </c>
      <c r="U1035" s="11" t="s">
        <v>45</v>
      </c>
      <c r="V1035" s="24">
        <v>45311</v>
      </c>
      <c r="W1035" s="11" t="s">
        <v>46</v>
      </c>
      <c r="X1035" s="11" t="s">
        <v>47</v>
      </c>
      <c r="Y1035" s="11" t="s">
        <v>58</v>
      </c>
      <c r="Z1035" s="11">
        <v>81988623208</v>
      </c>
      <c r="AA1035" s="11" t="s">
        <v>91</v>
      </c>
      <c r="AB1035" s="11" t="s">
        <v>98</v>
      </c>
      <c r="AC1035" s="11"/>
      <c r="AD1035" s="11" t="b">
        <v>0</v>
      </c>
      <c r="AF1035" s="258" t="s">
        <v>3441</v>
      </c>
      <c r="AG1035" s="11" t="s">
        <v>3442</v>
      </c>
      <c r="AH1035" s="11"/>
      <c r="AI1035" s="11"/>
    </row>
    <row r="1036" ht="12.5" spans="1:35">
      <c r="A1036" s="177">
        <v>45310.5405606713</v>
      </c>
      <c r="B1036" s="11" t="s">
        <v>3443</v>
      </c>
      <c r="C1036" s="277" t="s">
        <v>3444</v>
      </c>
      <c r="D1036" s="19">
        <v>704205713036486</v>
      </c>
      <c r="E1036" s="18" t="s">
        <v>3445</v>
      </c>
      <c r="F1036" s="11" t="s">
        <v>40</v>
      </c>
      <c r="G1036" s="11" t="s">
        <v>135</v>
      </c>
      <c r="H1036" s="24">
        <v>30918</v>
      </c>
      <c r="I1036" s="277" t="s">
        <v>3446</v>
      </c>
      <c r="J1036" s="11" t="s">
        <v>42</v>
      </c>
      <c r="K1036" s="108" t="s">
        <v>3447</v>
      </c>
      <c r="N1036" s="11" t="s">
        <v>43</v>
      </c>
      <c r="O1036" s="11" t="s">
        <v>44</v>
      </c>
      <c r="P1036" s="11" t="s">
        <v>44</v>
      </c>
      <c r="Q1036" s="11" t="s">
        <v>44</v>
      </c>
      <c r="R1036" s="11" t="s">
        <v>45</v>
      </c>
      <c r="S1036" s="11" t="s">
        <v>45</v>
      </c>
      <c r="T1036" s="11" t="s">
        <v>44</v>
      </c>
      <c r="U1036" s="11" t="s">
        <v>44</v>
      </c>
      <c r="W1036" s="11" t="s">
        <v>46</v>
      </c>
      <c r="X1036" s="11" t="s">
        <v>47</v>
      </c>
      <c r="Y1036" s="11" t="s">
        <v>58</v>
      </c>
      <c r="Z1036" s="11">
        <v>81985681543</v>
      </c>
      <c r="AA1036" s="11" t="s">
        <v>1360</v>
      </c>
      <c r="AB1036" s="11"/>
      <c r="AC1036" s="11"/>
      <c r="AD1036" s="11" t="b">
        <v>0</v>
      </c>
      <c r="AF1036" s="11"/>
      <c r="AG1036" s="11"/>
      <c r="AH1036" s="11"/>
      <c r="AI1036" s="11"/>
    </row>
    <row r="1037" ht="12.5" spans="1:35">
      <c r="A1037" s="177">
        <v>45310.6958387269</v>
      </c>
      <c r="B1037" s="11" t="s">
        <v>1452</v>
      </c>
      <c r="C1037" s="277" t="s">
        <v>3414</v>
      </c>
      <c r="D1037" s="19">
        <v>703008821547875</v>
      </c>
      <c r="F1037" s="11" t="s">
        <v>40</v>
      </c>
      <c r="G1037" s="11" t="s">
        <v>54</v>
      </c>
      <c r="H1037" s="24">
        <v>38106</v>
      </c>
      <c r="I1037" s="277" t="s">
        <v>3416</v>
      </c>
      <c r="J1037" s="11" t="s">
        <v>42</v>
      </c>
      <c r="K1037" s="108" t="s">
        <v>63</v>
      </c>
      <c r="N1037" s="11" t="s">
        <v>95</v>
      </c>
      <c r="O1037" s="11" t="s">
        <v>96</v>
      </c>
      <c r="P1037" s="11" t="s">
        <v>56</v>
      </c>
      <c r="Q1037" s="11" t="s">
        <v>44</v>
      </c>
      <c r="R1037" s="11" t="s">
        <v>45</v>
      </c>
      <c r="S1037" s="11" t="s">
        <v>45</v>
      </c>
      <c r="T1037" s="11" t="s">
        <v>44</v>
      </c>
      <c r="U1037" s="11" t="s">
        <v>45</v>
      </c>
      <c r="V1037" s="24">
        <v>45311</v>
      </c>
      <c r="W1037" s="11" t="s">
        <v>57</v>
      </c>
      <c r="X1037" s="11" t="s">
        <v>97</v>
      </c>
      <c r="Y1037" s="11" t="s">
        <v>97</v>
      </c>
      <c r="Z1037" s="11">
        <v>81999205254</v>
      </c>
      <c r="AA1037" s="11" t="s">
        <v>91</v>
      </c>
      <c r="AB1037" s="11" t="s">
        <v>98</v>
      </c>
      <c r="AC1037" s="11"/>
      <c r="AD1037" s="11" t="b">
        <v>0</v>
      </c>
      <c r="AF1037" s="258" t="s">
        <v>3448</v>
      </c>
      <c r="AG1037" s="11"/>
      <c r="AH1037" s="258" t="s">
        <v>3237</v>
      </c>
      <c r="AI1037" s="11"/>
    </row>
    <row r="1038" ht="12.5" spans="1:35">
      <c r="A1038" s="177">
        <v>45310.7359361111</v>
      </c>
      <c r="B1038" s="11" t="s">
        <v>3423</v>
      </c>
      <c r="C1038" s="19">
        <v>12912334403</v>
      </c>
      <c r="D1038" s="19">
        <v>707105809407820</v>
      </c>
      <c r="E1038" s="18" t="s">
        <v>3449</v>
      </c>
      <c r="F1038" s="11" t="s">
        <v>40</v>
      </c>
      <c r="G1038" s="11" t="s">
        <v>88</v>
      </c>
      <c r="H1038" s="24">
        <v>36053</v>
      </c>
      <c r="I1038" s="277" t="s">
        <v>3425</v>
      </c>
      <c r="J1038" s="11" t="s">
        <v>42</v>
      </c>
      <c r="K1038" s="108" t="s">
        <v>55</v>
      </c>
      <c r="N1038" s="11" t="s">
        <v>95</v>
      </c>
      <c r="O1038" s="11" t="s">
        <v>96</v>
      </c>
      <c r="P1038" s="11" t="s">
        <v>66</v>
      </c>
      <c r="Q1038" s="11" t="s">
        <v>45</v>
      </c>
      <c r="R1038" s="11" t="s">
        <v>45</v>
      </c>
      <c r="S1038" s="11" t="s">
        <v>44</v>
      </c>
      <c r="T1038" s="11" t="s">
        <v>44</v>
      </c>
      <c r="U1038" s="11" t="s">
        <v>45</v>
      </c>
      <c r="V1038" s="24">
        <v>45311</v>
      </c>
      <c r="W1038" s="11" t="s">
        <v>46</v>
      </c>
      <c r="X1038" s="11" t="s">
        <v>97</v>
      </c>
      <c r="Y1038" s="11" t="s">
        <v>97</v>
      </c>
      <c r="Z1038" s="11">
        <v>81989668159</v>
      </c>
      <c r="AA1038" s="11" t="s">
        <v>1360</v>
      </c>
      <c r="AB1038" s="11" t="s">
        <v>49</v>
      </c>
      <c r="AC1038" s="11" t="s">
        <v>92</v>
      </c>
      <c r="AD1038" s="11" t="b">
        <v>1</v>
      </c>
      <c r="AE1038" s="11" t="s">
        <v>137</v>
      </c>
      <c r="AF1038" s="11" t="s">
        <v>3450</v>
      </c>
      <c r="AG1038" s="11"/>
      <c r="AH1038" s="11" t="s">
        <v>3451</v>
      </c>
      <c r="AI1038" s="11"/>
    </row>
    <row r="1039" ht="12.5" spans="1:35">
      <c r="A1039" s="177">
        <v>45311.4058538426</v>
      </c>
      <c r="B1039" s="11" t="s">
        <v>3452</v>
      </c>
      <c r="C1039" s="19">
        <v>13393293443</v>
      </c>
      <c r="D1039" s="19">
        <v>206049713590009</v>
      </c>
      <c r="E1039" s="18" t="s">
        <v>3453</v>
      </c>
      <c r="F1039" s="11" t="s">
        <v>225</v>
      </c>
      <c r="G1039" s="11" t="s">
        <v>54</v>
      </c>
      <c r="H1039" s="24">
        <v>36657</v>
      </c>
      <c r="I1039" s="277" t="s">
        <v>2706</v>
      </c>
      <c r="J1039" s="11" t="s">
        <v>42</v>
      </c>
      <c r="K1039" s="108" t="s">
        <v>55</v>
      </c>
      <c r="N1039" s="11" t="s">
        <v>43</v>
      </c>
      <c r="O1039" s="11" t="s">
        <v>65</v>
      </c>
      <c r="P1039" s="11" t="s">
        <v>66</v>
      </c>
      <c r="Q1039" s="11" t="s">
        <v>44</v>
      </c>
      <c r="R1039" s="11" t="s">
        <v>45</v>
      </c>
      <c r="S1039" s="11" t="s">
        <v>45</v>
      </c>
      <c r="T1039" s="11" t="s">
        <v>44</v>
      </c>
      <c r="U1039" s="11" t="s">
        <v>45</v>
      </c>
      <c r="V1039" s="24">
        <v>45311</v>
      </c>
      <c r="W1039" s="11" t="s">
        <v>46</v>
      </c>
      <c r="X1039" s="11" t="s">
        <v>303</v>
      </c>
      <c r="Y1039" s="11" t="s">
        <v>58</v>
      </c>
      <c r="Z1039" s="11">
        <v>81986888830</v>
      </c>
      <c r="AA1039" s="11" t="s">
        <v>115</v>
      </c>
      <c r="AB1039" s="11" t="s">
        <v>49</v>
      </c>
      <c r="AC1039" s="11" t="s">
        <v>50</v>
      </c>
      <c r="AD1039" s="11" t="b">
        <v>0</v>
      </c>
      <c r="AF1039" s="11" t="s">
        <v>3454</v>
      </c>
      <c r="AG1039" s="214" t="s">
        <v>3455</v>
      </c>
      <c r="AH1039" s="11" t="s">
        <v>2132</v>
      </c>
      <c r="AI1039" s="11"/>
    </row>
    <row r="1040" ht="12.5" spans="1:35">
      <c r="A1040" s="177">
        <v>45311.4568352083</v>
      </c>
      <c r="B1040" s="11" t="s">
        <v>3423</v>
      </c>
      <c r="C1040" s="19">
        <v>12912334403</v>
      </c>
      <c r="D1040" s="19">
        <v>707105809407820</v>
      </c>
      <c r="E1040" s="18" t="s">
        <v>3456</v>
      </c>
      <c r="F1040" s="11" t="s">
        <v>40</v>
      </c>
      <c r="G1040" s="11" t="s">
        <v>88</v>
      </c>
      <c r="H1040" s="24">
        <v>36053</v>
      </c>
      <c r="I1040" s="277" t="s">
        <v>3425</v>
      </c>
      <c r="J1040" s="11" t="s">
        <v>42</v>
      </c>
      <c r="K1040" s="108" t="s">
        <v>63</v>
      </c>
      <c r="N1040" s="11" t="s">
        <v>95</v>
      </c>
      <c r="O1040" s="11" t="s">
        <v>44</v>
      </c>
      <c r="P1040" s="11" t="s">
        <v>44</v>
      </c>
      <c r="Q1040" s="11" t="s">
        <v>45</v>
      </c>
      <c r="R1040" s="11" t="s">
        <v>45</v>
      </c>
      <c r="S1040" s="11" t="s">
        <v>44</v>
      </c>
      <c r="T1040" s="11" t="s">
        <v>44</v>
      </c>
      <c r="U1040" s="11" t="s">
        <v>45</v>
      </c>
      <c r="V1040" s="24">
        <v>45311</v>
      </c>
      <c r="W1040" s="11" t="s">
        <v>46</v>
      </c>
      <c r="X1040" s="11" t="s">
        <v>97</v>
      </c>
      <c r="Y1040" s="11" t="s">
        <v>97</v>
      </c>
      <c r="Z1040" s="11">
        <v>81989668159</v>
      </c>
      <c r="AA1040" s="11" t="s">
        <v>91</v>
      </c>
      <c r="AB1040" s="11" t="s">
        <v>49</v>
      </c>
      <c r="AC1040" s="11" t="s">
        <v>92</v>
      </c>
      <c r="AD1040" s="11" t="b">
        <v>1</v>
      </c>
      <c r="AE1040" s="11" t="s">
        <v>137</v>
      </c>
      <c r="AF1040" s="11"/>
      <c r="AG1040" s="11"/>
      <c r="AH1040" s="11"/>
      <c r="AI1040" s="11"/>
    </row>
    <row r="1041" ht="12.5" spans="1:35">
      <c r="A1041" s="177">
        <v>45311.6700341435</v>
      </c>
      <c r="B1041" s="11" t="s">
        <v>3452</v>
      </c>
      <c r="C1041" s="19">
        <v>13393293443</v>
      </c>
      <c r="D1041" s="19">
        <v>206049713590009</v>
      </c>
      <c r="F1041" s="11" t="s">
        <v>225</v>
      </c>
      <c r="G1041" s="11" t="s">
        <v>54</v>
      </c>
      <c r="H1041" s="24">
        <v>36657</v>
      </c>
      <c r="I1041" s="277" t="s">
        <v>2706</v>
      </c>
      <c r="J1041" s="11" t="s">
        <v>42</v>
      </c>
      <c r="K1041" s="108" t="s">
        <v>55</v>
      </c>
      <c r="N1041" s="11" t="s">
        <v>95</v>
      </c>
      <c r="O1041" s="11" t="s">
        <v>127</v>
      </c>
      <c r="P1041" s="11" t="s">
        <v>44</v>
      </c>
      <c r="Q1041" s="11" t="s">
        <v>44</v>
      </c>
      <c r="R1041" s="11" t="s">
        <v>45</v>
      </c>
      <c r="S1041" s="11" t="s">
        <v>45</v>
      </c>
      <c r="T1041" s="11" t="s">
        <v>44</v>
      </c>
      <c r="U1041" s="11" t="s">
        <v>44</v>
      </c>
      <c r="W1041" s="11" t="s">
        <v>57</v>
      </c>
      <c r="X1041" s="11" t="s">
        <v>97</v>
      </c>
      <c r="Y1041" s="11" t="s">
        <v>97</v>
      </c>
      <c r="Z1041" s="11">
        <v>81986888830</v>
      </c>
      <c r="AA1041" s="11" t="s">
        <v>115</v>
      </c>
      <c r="AB1041" s="11"/>
      <c r="AC1041" s="11"/>
      <c r="AD1041" s="11" t="b">
        <v>0</v>
      </c>
      <c r="AF1041" s="11"/>
      <c r="AG1041" s="11"/>
      <c r="AH1041" s="11"/>
      <c r="AI1041" s="11"/>
    </row>
    <row r="1042" ht="12.5" spans="1:35">
      <c r="A1042" s="177">
        <v>45311.6772677083</v>
      </c>
      <c r="B1042" s="11" t="s">
        <v>3423</v>
      </c>
      <c r="C1042" s="19">
        <v>12912334403</v>
      </c>
      <c r="D1042" s="19">
        <v>707105809407820</v>
      </c>
      <c r="E1042" s="18" t="s">
        <v>3457</v>
      </c>
      <c r="F1042" s="11" t="s">
        <v>40</v>
      </c>
      <c r="G1042" s="11" t="s">
        <v>88</v>
      </c>
      <c r="H1042" s="24">
        <v>36053</v>
      </c>
      <c r="I1042" s="277" t="s">
        <v>3425</v>
      </c>
      <c r="J1042" s="11" t="s">
        <v>42</v>
      </c>
      <c r="K1042" s="108" t="s">
        <v>63</v>
      </c>
      <c r="N1042" s="11" t="s">
        <v>95</v>
      </c>
      <c r="O1042" s="11" t="s">
        <v>44</v>
      </c>
      <c r="P1042" s="11" t="s">
        <v>44</v>
      </c>
      <c r="Q1042" s="11" t="s">
        <v>44</v>
      </c>
      <c r="R1042" s="11" t="s">
        <v>45</v>
      </c>
      <c r="S1042" s="11" t="s">
        <v>44</v>
      </c>
      <c r="T1042" s="11" t="s">
        <v>44</v>
      </c>
      <c r="U1042" s="11" t="s">
        <v>44</v>
      </c>
      <c r="W1042" s="11" t="s">
        <v>46</v>
      </c>
      <c r="X1042" s="11" t="s">
        <v>97</v>
      </c>
      <c r="Y1042" s="11" t="s">
        <v>97</v>
      </c>
      <c r="Z1042" s="11">
        <v>81989668159</v>
      </c>
      <c r="AA1042" s="11" t="s">
        <v>91</v>
      </c>
      <c r="AB1042" s="11"/>
      <c r="AC1042" s="11"/>
      <c r="AD1042" s="11" t="b">
        <v>0</v>
      </c>
      <c r="AF1042" s="11"/>
      <c r="AG1042" s="11"/>
      <c r="AH1042" s="11"/>
      <c r="AI1042" s="11"/>
    </row>
    <row r="1043" ht="12.5" spans="1:35">
      <c r="A1043" s="177">
        <v>45312.5559261343</v>
      </c>
      <c r="B1043" s="11" t="s">
        <v>3458</v>
      </c>
      <c r="C1043" s="19">
        <v>11257950428</v>
      </c>
      <c r="D1043" s="19">
        <v>700505366831350</v>
      </c>
      <c r="E1043" s="18" t="s">
        <v>3459</v>
      </c>
      <c r="F1043" s="11" t="s">
        <v>40</v>
      </c>
      <c r="G1043" s="11" t="s">
        <v>41</v>
      </c>
      <c r="H1043" s="24">
        <v>45280</v>
      </c>
      <c r="I1043" s="277" t="s">
        <v>3460</v>
      </c>
      <c r="J1043" s="11" t="s">
        <v>42</v>
      </c>
      <c r="K1043" s="108" t="s">
        <v>155</v>
      </c>
      <c r="N1043" s="11" t="s">
        <v>43</v>
      </c>
      <c r="O1043" s="11" t="s">
        <v>96</v>
      </c>
      <c r="P1043" s="11" t="s">
        <v>66</v>
      </c>
      <c r="Q1043" s="11" t="s">
        <v>44</v>
      </c>
      <c r="R1043" s="11" t="s">
        <v>45</v>
      </c>
      <c r="S1043" s="11" t="s">
        <v>44</v>
      </c>
      <c r="T1043" s="11" t="s">
        <v>44</v>
      </c>
      <c r="U1043" s="11" t="s">
        <v>45</v>
      </c>
      <c r="V1043" s="24">
        <v>45313</v>
      </c>
      <c r="W1043" s="11" t="s">
        <v>46</v>
      </c>
      <c r="X1043" s="11" t="s">
        <v>303</v>
      </c>
      <c r="Y1043" s="11" t="s">
        <v>68</v>
      </c>
      <c r="Z1043" s="11">
        <v>81992204837</v>
      </c>
      <c r="AA1043" s="11" t="s">
        <v>91</v>
      </c>
      <c r="AB1043" s="11" t="s">
        <v>98</v>
      </c>
      <c r="AC1043" s="11"/>
      <c r="AD1043" s="11" t="b">
        <v>1</v>
      </c>
      <c r="AE1043" s="11" t="s">
        <v>137</v>
      </c>
      <c r="AF1043" s="11" t="s">
        <v>3461</v>
      </c>
      <c r="AG1043" s="11" t="s">
        <v>854</v>
      </c>
      <c r="AH1043" s="11" t="s">
        <v>3462</v>
      </c>
      <c r="AI1043" s="11"/>
    </row>
    <row r="1044" ht="12.5" spans="1:35">
      <c r="A1044" s="177">
        <v>45312.634478287</v>
      </c>
      <c r="B1044" s="11" t="s">
        <v>3463</v>
      </c>
      <c r="C1044" s="19">
        <v>12265832456</v>
      </c>
      <c r="D1044" s="19">
        <v>706803732958228</v>
      </c>
      <c r="E1044" s="18" t="s">
        <v>3464</v>
      </c>
      <c r="F1044" s="11" t="s">
        <v>40</v>
      </c>
      <c r="G1044" s="11" t="s">
        <v>54</v>
      </c>
      <c r="H1044" s="24">
        <v>36325</v>
      </c>
      <c r="I1044" s="19" t="s">
        <v>865</v>
      </c>
      <c r="J1044" s="11" t="s">
        <v>42</v>
      </c>
      <c r="K1044" s="108" t="s">
        <v>63</v>
      </c>
      <c r="N1044" s="11" t="s">
        <v>43</v>
      </c>
      <c r="O1044" s="11" t="s">
        <v>44</v>
      </c>
      <c r="P1044" s="11" t="s">
        <v>44</v>
      </c>
      <c r="Q1044" s="11" t="s">
        <v>44</v>
      </c>
      <c r="R1044" s="11" t="s">
        <v>44</v>
      </c>
      <c r="S1044" s="11" t="s">
        <v>44</v>
      </c>
      <c r="T1044" s="11" t="s">
        <v>44</v>
      </c>
      <c r="U1044" s="11" t="s">
        <v>45</v>
      </c>
      <c r="V1044" s="24">
        <v>45313</v>
      </c>
      <c r="W1044" s="11" t="s">
        <v>46</v>
      </c>
      <c r="X1044" s="11" t="s">
        <v>303</v>
      </c>
      <c r="Y1044" s="11" t="s">
        <v>68</v>
      </c>
      <c r="Z1044" s="11">
        <v>81984288154</v>
      </c>
      <c r="AA1044" s="11" t="s">
        <v>91</v>
      </c>
      <c r="AB1044" s="11" t="s">
        <v>49</v>
      </c>
      <c r="AC1044" s="11" t="s">
        <v>50</v>
      </c>
      <c r="AD1044" s="11" t="b">
        <v>0</v>
      </c>
      <c r="AF1044" s="11" t="s">
        <v>3465</v>
      </c>
      <c r="AG1044" s="11"/>
      <c r="AH1044" s="11" t="s">
        <v>3466</v>
      </c>
      <c r="AI1044" s="11"/>
    </row>
    <row r="1045" ht="12.5" spans="1:35">
      <c r="A1045" s="177">
        <v>45313.4763463426</v>
      </c>
      <c r="B1045" s="11" t="s">
        <v>3433</v>
      </c>
      <c r="C1045" s="277" t="s">
        <v>3434</v>
      </c>
      <c r="D1045" s="19">
        <v>704703781901239</v>
      </c>
      <c r="E1045" s="18" t="s">
        <v>3467</v>
      </c>
      <c r="F1045" s="11" t="s">
        <v>40</v>
      </c>
      <c r="G1045" s="11" t="s">
        <v>54</v>
      </c>
      <c r="H1045" s="24">
        <v>32721</v>
      </c>
      <c r="I1045" s="277" t="s">
        <v>2415</v>
      </c>
      <c r="J1045" s="11" t="s">
        <v>42</v>
      </c>
      <c r="K1045" s="108" t="s">
        <v>455</v>
      </c>
      <c r="N1045" s="11" t="s">
        <v>95</v>
      </c>
      <c r="O1045" s="11" t="s">
        <v>44</v>
      </c>
      <c r="P1045" s="11" t="s">
        <v>44</v>
      </c>
      <c r="Q1045" s="11" t="s">
        <v>45</v>
      </c>
      <c r="R1045" s="11" t="s">
        <v>45</v>
      </c>
      <c r="S1045" s="11" t="s">
        <v>83</v>
      </c>
      <c r="T1045" s="11" t="s">
        <v>44</v>
      </c>
      <c r="U1045" s="11" t="s">
        <v>44</v>
      </c>
      <c r="W1045" s="11" t="s">
        <v>46</v>
      </c>
      <c r="X1045" s="11" t="s">
        <v>97</v>
      </c>
      <c r="Y1045" s="11" t="s">
        <v>97</v>
      </c>
      <c r="Z1045" s="11">
        <v>81991625680</v>
      </c>
      <c r="AA1045" s="11" t="s">
        <v>91</v>
      </c>
      <c r="AB1045" s="11"/>
      <c r="AC1045" s="11"/>
      <c r="AD1045" s="11" t="b">
        <v>0</v>
      </c>
      <c r="AF1045" s="11"/>
      <c r="AG1045" s="11"/>
      <c r="AH1045" s="11"/>
      <c r="AI1045" s="11"/>
    </row>
    <row r="1046" ht="12.5" spans="1:35">
      <c r="A1046" s="177">
        <v>45313.5997144444</v>
      </c>
      <c r="B1046" s="11" t="s">
        <v>3463</v>
      </c>
      <c r="C1046" s="19">
        <v>12265832456</v>
      </c>
      <c r="D1046" s="19">
        <v>706803732958228</v>
      </c>
      <c r="F1046" s="11" t="s">
        <v>40</v>
      </c>
      <c r="G1046" s="11" t="s">
        <v>54</v>
      </c>
      <c r="H1046" s="24">
        <v>36325</v>
      </c>
      <c r="I1046" s="19" t="s">
        <v>865</v>
      </c>
      <c r="J1046" s="11" t="s">
        <v>42</v>
      </c>
      <c r="K1046" s="108" t="s">
        <v>63</v>
      </c>
      <c r="N1046" s="11" t="s">
        <v>95</v>
      </c>
      <c r="O1046" s="11" t="s">
        <v>44</v>
      </c>
      <c r="P1046" s="11" t="s">
        <v>44</v>
      </c>
      <c r="Q1046" s="11" t="s">
        <v>44</v>
      </c>
      <c r="R1046" s="11" t="s">
        <v>45</v>
      </c>
      <c r="S1046" s="11" t="s">
        <v>83</v>
      </c>
      <c r="T1046" s="11" t="s">
        <v>44</v>
      </c>
      <c r="U1046" s="11" t="s">
        <v>44</v>
      </c>
      <c r="W1046" s="11" t="s">
        <v>57</v>
      </c>
      <c r="X1046" s="11" t="s">
        <v>97</v>
      </c>
      <c r="Y1046" s="11" t="s">
        <v>97</v>
      </c>
      <c r="Z1046" s="11">
        <v>81984288154</v>
      </c>
      <c r="AA1046" s="11" t="s">
        <v>115</v>
      </c>
      <c r="AB1046" s="11"/>
      <c r="AC1046" s="11"/>
      <c r="AD1046" s="11" t="b">
        <v>0</v>
      </c>
      <c r="AF1046" s="11"/>
      <c r="AG1046" s="11"/>
      <c r="AH1046" s="11"/>
      <c r="AI1046" s="11"/>
    </row>
    <row r="1047" ht="12.5" spans="1:35">
      <c r="A1047" s="177">
        <v>45314.4621291204</v>
      </c>
      <c r="B1047" s="11" t="s">
        <v>3468</v>
      </c>
      <c r="C1047" s="19">
        <v>12932162403</v>
      </c>
      <c r="D1047" s="19">
        <v>700306906631332</v>
      </c>
      <c r="E1047" s="18" t="s">
        <v>3469</v>
      </c>
      <c r="F1047" s="11" t="s">
        <v>40</v>
      </c>
      <c r="G1047" s="11" t="s">
        <v>54</v>
      </c>
      <c r="H1047" s="24">
        <v>33645</v>
      </c>
      <c r="I1047" s="277" t="s">
        <v>415</v>
      </c>
      <c r="J1047" s="11" t="s">
        <v>42</v>
      </c>
      <c r="K1047" s="108" t="s">
        <v>90</v>
      </c>
      <c r="N1047" s="11" t="s">
        <v>43</v>
      </c>
      <c r="O1047" s="11" t="s">
        <v>44</v>
      </c>
      <c r="P1047" s="11" t="s">
        <v>44</v>
      </c>
      <c r="Q1047" s="11" t="s">
        <v>44</v>
      </c>
      <c r="R1047" s="11" t="s">
        <v>45</v>
      </c>
      <c r="S1047" s="11" t="s">
        <v>83</v>
      </c>
      <c r="T1047" s="11" t="s">
        <v>44</v>
      </c>
      <c r="U1047" s="11" t="s">
        <v>45</v>
      </c>
      <c r="V1047" s="24">
        <v>45314</v>
      </c>
      <c r="W1047" s="11" t="s">
        <v>46</v>
      </c>
      <c r="X1047" s="11" t="s">
        <v>47</v>
      </c>
      <c r="Y1047" s="11" t="s">
        <v>48</v>
      </c>
      <c r="Z1047" s="11">
        <v>81996870283</v>
      </c>
      <c r="AA1047" s="11" t="s">
        <v>91</v>
      </c>
      <c r="AB1047" s="11" t="s">
        <v>49</v>
      </c>
      <c r="AC1047" s="11" t="s">
        <v>92</v>
      </c>
      <c r="AD1047" s="11" t="b">
        <v>1</v>
      </c>
      <c r="AE1047" s="11" t="s">
        <v>137</v>
      </c>
      <c r="AF1047" s="64" t="s">
        <v>3470</v>
      </c>
      <c r="AG1047" s="11"/>
      <c r="AH1047" s="11"/>
      <c r="AI1047" s="11"/>
    </row>
    <row r="1048" ht="12.5" spans="1:35">
      <c r="A1048" s="177">
        <v>45314.4975677778</v>
      </c>
      <c r="B1048" s="11" t="s">
        <v>3471</v>
      </c>
      <c r="C1048" s="19">
        <v>12627302442</v>
      </c>
      <c r="D1048" s="19">
        <v>700407938011445</v>
      </c>
      <c r="E1048" s="18" t="s">
        <v>3472</v>
      </c>
      <c r="F1048" s="11" t="s">
        <v>40</v>
      </c>
      <c r="G1048" s="11" t="s">
        <v>54</v>
      </c>
      <c r="H1048" s="24">
        <v>35891</v>
      </c>
      <c r="I1048" s="277" t="s">
        <v>3473</v>
      </c>
      <c r="J1048" s="11" t="s">
        <v>42</v>
      </c>
      <c r="K1048" s="108" t="s">
        <v>202</v>
      </c>
      <c r="N1048" s="11" t="s">
        <v>43</v>
      </c>
      <c r="O1048" s="11" t="s">
        <v>96</v>
      </c>
      <c r="P1048" s="11" t="s">
        <v>56</v>
      </c>
      <c r="Q1048" s="11" t="s">
        <v>44</v>
      </c>
      <c r="R1048" s="11" t="s">
        <v>45</v>
      </c>
      <c r="S1048" s="11" t="s">
        <v>45</v>
      </c>
      <c r="T1048" s="11" t="s">
        <v>44</v>
      </c>
      <c r="U1048" s="11" t="s">
        <v>45</v>
      </c>
      <c r="V1048" s="24">
        <v>45314</v>
      </c>
      <c r="W1048" s="11" t="s">
        <v>46</v>
      </c>
      <c r="X1048" s="11" t="s">
        <v>47</v>
      </c>
      <c r="Y1048" s="11" t="s">
        <v>58</v>
      </c>
      <c r="Z1048" s="11">
        <v>81999740853</v>
      </c>
      <c r="AA1048" s="11" t="s">
        <v>105</v>
      </c>
      <c r="AB1048" s="11" t="s">
        <v>49</v>
      </c>
      <c r="AC1048" s="11" t="s">
        <v>84</v>
      </c>
      <c r="AD1048" s="11" t="b">
        <v>1</v>
      </c>
      <c r="AE1048" s="11" t="s">
        <v>137</v>
      </c>
      <c r="AF1048" s="11"/>
      <c r="AG1048" s="11"/>
      <c r="AH1048" s="11" t="s">
        <v>3474</v>
      </c>
      <c r="AI1048" s="11"/>
    </row>
    <row r="1049" ht="12.5" spans="1:35">
      <c r="A1049" s="177">
        <v>45314.6226805556</v>
      </c>
      <c r="B1049" s="11" t="s">
        <v>3475</v>
      </c>
      <c r="C1049" s="277" t="s">
        <v>3476</v>
      </c>
      <c r="D1049" s="19">
        <v>898001085848827</v>
      </c>
      <c r="E1049" s="18" t="s">
        <v>3477</v>
      </c>
      <c r="F1049" s="11" t="s">
        <v>40</v>
      </c>
      <c r="G1049" s="11" t="s">
        <v>41</v>
      </c>
      <c r="H1049" s="24">
        <v>34249</v>
      </c>
      <c r="I1049" s="277" t="s">
        <v>3112</v>
      </c>
      <c r="J1049" s="11" t="s">
        <v>42</v>
      </c>
      <c r="K1049" s="108" t="s">
        <v>3478</v>
      </c>
      <c r="N1049" s="11" t="s">
        <v>43</v>
      </c>
      <c r="O1049" s="11" t="s">
        <v>44</v>
      </c>
      <c r="P1049" s="11" t="s">
        <v>44</v>
      </c>
      <c r="Q1049" s="11" t="s">
        <v>44</v>
      </c>
      <c r="R1049" s="11" t="s">
        <v>45</v>
      </c>
      <c r="S1049" s="11" t="s">
        <v>44</v>
      </c>
      <c r="T1049" s="11" t="s">
        <v>44</v>
      </c>
      <c r="U1049" s="11" t="s">
        <v>44</v>
      </c>
      <c r="W1049" s="11" t="s">
        <v>46</v>
      </c>
      <c r="X1049" s="11" t="s">
        <v>47</v>
      </c>
      <c r="Y1049" s="11" t="s">
        <v>58</v>
      </c>
      <c r="Z1049" s="11">
        <v>81999051600</v>
      </c>
      <c r="AA1049" s="11" t="s">
        <v>105</v>
      </c>
      <c r="AB1049" s="11"/>
      <c r="AC1049" s="11"/>
      <c r="AD1049" s="11" t="b">
        <v>0</v>
      </c>
      <c r="AF1049" s="11"/>
      <c r="AG1049" s="11"/>
      <c r="AH1049" s="11"/>
      <c r="AI1049" s="11"/>
    </row>
    <row r="1050" ht="12.5" spans="1:35">
      <c r="A1050" s="177">
        <v>45314.6861846759</v>
      </c>
      <c r="B1050" s="11" t="s">
        <v>3468</v>
      </c>
      <c r="C1050" s="19">
        <v>12932162403</v>
      </c>
      <c r="D1050" s="19">
        <v>700306906631332</v>
      </c>
      <c r="E1050" s="18" t="s">
        <v>3479</v>
      </c>
      <c r="F1050" s="11" t="s">
        <v>40</v>
      </c>
      <c r="G1050" s="11" t="s">
        <v>54</v>
      </c>
      <c r="H1050" s="24">
        <v>36506</v>
      </c>
      <c r="I1050" s="277" t="s">
        <v>415</v>
      </c>
      <c r="J1050" s="11" t="s">
        <v>42</v>
      </c>
      <c r="K1050" s="108" t="s">
        <v>90</v>
      </c>
      <c r="N1050" s="11" t="s">
        <v>95</v>
      </c>
      <c r="O1050" s="11" t="s">
        <v>96</v>
      </c>
      <c r="P1050" s="11" t="s">
        <v>66</v>
      </c>
      <c r="Q1050" s="11" t="s">
        <v>44</v>
      </c>
      <c r="R1050" s="11" t="s">
        <v>45</v>
      </c>
      <c r="S1050" s="11" t="s">
        <v>44</v>
      </c>
      <c r="T1050" s="11" t="s">
        <v>44</v>
      </c>
      <c r="U1050" s="11" t="s">
        <v>45</v>
      </c>
      <c r="V1050" s="24">
        <v>45315</v>
      </c>
      <c r="W1050" s="11" t="s">
        <v>46</v>
      </c>
      <c r="X1050" s="11" t="s">
        <v>97</v>
      </c>
      <c r="Y1050" s="11" t="s">
        <v>97</v>
      </c>
      <c r="Z1050" s="11">
        <v>81996870283</v>
      </c>
      <c r="AA1050" s="11" t="s">
        <v>91</v>
      </c>
      <c r="AB1050" s="11" t="s">
        <v>98</v>
      </c>
      <c r="AC1050" s="11"/>
      <c r="AD1050" s="11" t="b">
        <v>0</v>
      </c>
      <c r="AF1050" s="11" t="s">
        <v>3480</v>
      </c>
      <c r="AG1050" s="11" t="s">
        <v>3481</v>
      </c>
      <c r="AH1050" s="11"/>
      <c r="AI1050" s="11"/>
    </row>
    <row r="1051" ht="12.5" spans="1:35">
      <c r="A1051" s="177">
        <v>45314.7427159838</v>
      </c>
      <c r="B1051" s="11" t="s">
        <v>3471</v>
      </c>
      <c r="C1051" s="19">
        <v>12627302442</v>
      </c>
      <c r="D1051" s="19">
        <v>700407938011445</v>
      </c>
      <c r="E1051" s="18" t="s">
        <v>3482</v>
      </c>
      <c r="F1051" s="11" t="s">
        <v>40</v>
      </c>
      <c r="G1051" s="11" t="s">
        <v>54</v>
      </c>
      <c r="H1051" s="24">
        <v>35891</v>
      </c>
      <c r="I1051" s="277" t="s">
        <v>3473</v>
      </c>
      <c r="J1051" s="11" t="s">
        <v>42</v>
      </c>
      <c r="K1051" s="108" t="s">
        <v>202</v>
      </c>
      <c r="N1051" s="11" t="s">
        <v>95</v>
      </c>
      <c r="O1051" s="11" t="s">
        <v>44</v>
      </c>
      <c r="P1051" s="11" t="s">
        <v>44</v>
      </c>
      <c r="Q1051" s="11" t="s">
        <v>44</v>
      </c>
      <c r="R1051" s="11" t="s">
        <v>45</v>
      </c>
      <c r="S1051" s="11" t="s">
        <v>44</v>
      </c>
      <c r="T1051" s="11" t="s">
        <v>44</v>
      </c>
      <c r="U1051" s="11" t="s">
        <v>44</v>
      </c>
      <c r="W1051" s="11" t="s">
        <v>46</v>
      </c>
      <c r="X1051" s="11" t="s">
        <v>97</v>
      </c>
      <c r="Y1051" s="11" t="s">
        <v>97</v>
      </c>
      <c r="Z1051" s="11">
        <v>81999740853</v>
      </c>
      <c r="AA1051" s="11" t="s">
        <v>105</v>
      </c>
      <c r="AB1051" s="11"/>
      <c r="AC1051" s="11"/>
      <c r="AD1051" s="11" t="b">
        <v>0</v>
      </c>
      <c r="AF1051" s="11"/>
      <c r="AG1051" s="11"/>
      <c r="AH1051" s="11"/>
      <c r="AI1051" s="11"/>
    </row>
    <row r="1052" ht="12.5" spans="1:35">
      <c r="A1052" s="177">
        <v>45314.7752945718</v>
      </c>
      <c r="B1052" s="11" t="s">
        <v>1004</v>
      </c>
      <c r="C1052" s="19">
        <v>14500412484</v>
      </c>
      <c r="D1052" s="19">
        <v>898005174693865</v>
      </c>
      <c r="E1052" s="18" t="s">
        <v>3483</v>
      </c>
      <c r="F1052" s="11" t="s">
        <v>40</v>
      </c>
      <c r="G1052" s="11" t="s">
        <v>54</v>
      </c>
      <c r="H1052" s="24">
        <v>37179</v>
      </c>
      <c r="I1052" s="19" t="s">
        <v>136</v>
      </c>
      <c r="J1052" s="11" t="s">
        <v>438</v>
      </c>
      <c r="K1052" s="108"/>
      <c r="M1052" s="11" t="s">
        <v>1669</v>
      </c>
      <c r="N1052" s="11" t="s">
        <v>43</v>
      </c>
      <c r="O1052" s="11" t="s">
        <v>44</v>
      </c>
      <c r="P1052" s="11" t="s">
        <v>44</v>
      </c>
      <c r="Q1052" s="11" t="s">
        <v>44</v>
      </c>
      <c r="R1052" s="11" t="s">
        <v>45</v>
      </c>
      <c r="S1052" s="11" t="s">
        <v>45</v>
      </c>
      <c r="T1052" s="11" t="s">
        <v>44</v>
      </c>
      <c r="U1052" s="11" t="s">
        <v>45</v>
      </c>
      <c r="V1052" s="24">
        <v>45315</v>
      </c>
      <c r="W1052" s="11" t="s">
        <v>46</v>
      </c>
      <c r="X1052" s="11" t="s">
        <v>203</v>
      </c>
      <c r="Y1052" s="11" t="s">
        <v>58</v>
      </c>
      <c r="Z1052" s="11">
        <v>81991067896</v>
      </c>
      <c r="AA1052" s="11" t="s">
        <v>105</v>
      </c>
      <c r="AB1052" s="11" t="s">
        <v>98</v>
      </c>
      <c r="AC1052" s="11"/>
      <c r="AD1052" s="11" t="b">
        <v>0</v>
      </c>
      <c r="AF1052" s="11" t="s">
        <v>3484</v>
      </c>
      <c r="AG1052" s="11" t="s">
        <v>3485</v>
      </c>
      <c r="AH1052" s="11" t="s">
        <v>3486</v>
      </c>
      <c r="AI1052" s="11"/>
    </row>
    <row r="1053" ht="12.5" spans="1:35">
      <c r="A1053" s="177">
        <v>45315.3419019329</v>
      </c>
      <c r="B1053" s="11" t="s">
        <v>3365</v>
      </c>
      <c r="C1053" s="277" t="s">
        <v>3366</v>
      </c>
      <c r="D1053" s="19">
        <v>701205029878719</v>
      </c>
      <c r="F1053" s="11" t="s">
        <v>40</v>
      </c>
      <c r="G1053" s="11" t="s">
        <v>54</v>
      </c>
      <c r="H1053" s="24">
        <v>29966</v>
      </c>
      <c r="I1053" s="19" t="s">
        <v>865</v>
      </c>
      <c r="J1053" s="11" t="s">
        <v>3386</v>
      </c>
      <c r="K1053" s="108"/>
      <c r="N1053" s="11" t="s">
        <v>95</v>
      </c>
      <c r="O1053" s="11" t="s">
        <v>44</v>
      </c>
      <c r="P1053" s="11" t="s">
        <v>44</v>
      </c>
      <c r="Q1053" s="11" t="s">
        <v>44</v>
      </c>
      <c r="R1053" s="11" t="s">
        <v>45</v>
      </c>
      <c r="S1053" s="11" t="s">
        <v>45</v>
      </c>
      <c r="T1053" s="11" t="s">
        <v>44</v>
      </c>
      <c r="U1053" s="11" t="s">
        <v>44</v>
      </c>
      <c r="W1053" s="11" t="s">
        <v>57</v>
      </c>
      <c r="X1053" s="11" t="s">
        <v>97</v>
      </c>
      <c r="Y1053" s="11" t="s">
        <v>97</v>
      </c>
      <c r="Z1053" s="11">
        <v>81983567401</v>
      </c>
      <c r="AA1053" s="11" t="s">
        <v>115</v>
      </c>
      <c r="AB1053" s="11"/>
      <c r="AC1053" s="11"/>
      <c r="AD1053" s="11" t="b">
        <v>0</v>
      </c>
      <c r="AF1053" s="11"/>
      <c r="AG1053" s="11"/>
      <c r="AH1053" s="11"/>
      <c r="AI1053" s="11"/>
    </row>
    <row r="1054" ht="12.5" spans="1:35">
      <c r="A1054" s="177">
        <v>45315.4326974768</v>
      </c>
      <c r="B1054" s="11" t="s">
        <v>3487</v>
      </c>
      <c r="C1054" s="19">
        <v>10979586470</v>
      </c>
      <c r="D1054" s="19">
        <v>706000304788442</v>
      </c>
      <c r="E1054" s="18" t="s">
        <v>3488</v>
      </c>
      <c r="F1054" s="11" t="s">
        <v>40</v>
      </c>
      <c r="G1054" s="11" t="s">
        <v>54</v>
      </c>
      <c r="H1054" s="24">
        <v>33511</v>
      </c>
      <c r="I1054" s="277" t="s">
        <v>2139</v>
      </c>
      <c r="J1054" s="11" t="s">
        <v>42</v>
      </c>
      <c r="K1054" s="108" t="s">
        <v>74</v>
      </c>
      <c r="N1054" s="11" t="s">
        <v>43</v>
      </c>
      <c r="O1054" s="11" t="s">
        <v>96</v>
      </c>
      <c r="P1054" s="11" t="s">
        <v>66</v>
      </c>
      <c r="Q1054" s="11" t="s">
        <v>44</v>
      </c>
      <c r="R1054" s="11" t="s">
        <v>44</v>
      </c>
      <c r="S1054" s="11" t="s">
        <v>45</v>
      </c>
      <c r="T1054" s="11" t="s">
        <v>44</v>
      </c>
      <c r="U1054" s="11" t="s">
        <v>45</v>
      </c>
      <c r="V1054" s="24">
        <v>45316</v>
      </c>
      <c r="W1054" s="11" t="s">
        <v>46</v>
      </c>
      <c r="X1054" s="11" t="s">
        <v>47</v>
      </c>
      <c r="Y1054" s="11" t="s">
        <v>185</v>
      </c>
      <c r="Z1054" s="11">
        <v>81982740512</v>
      </c>
      <c r="AA1054" s="11" t="s">
        <v>115</v>
      </c>
      <c r="AB1054" s="11" t="s">
        <v>98</v>
      </c>
      <c r="AC1054" s="11"/>
      <c r="AD1054" s="11" t="b">
        <v>0</v>
      </c>
      <c r="AF1054" s="11" t="s">
        <v>3489</v>
      </c>
      <c r="AG1054" s="11" t="s">
        <v>3490</v>
      </c>
      <c r="AH1054" s="11"/>
      <c r="AI1054" s="11"/>
    </row>
    <row r="1055" ht="12.5" spans="1:35">
      <c r="A1055" s="177">
        <v>45315.4421641435</v>
      </c>
      <c r="B1055" s="11" t="s">
        <v>3110</v>
      </c>
      <c r="C1055" s="19">
        <v>71346312494</v>
      </c>
      <c r="D1055" s="19">
        <v>700908942014999</v>
      </c>
      <c r="E1055" s="18" t="s">
        <v>3491</v>
      </c>
      <c r="F1055" s="11" t="s">
        <v>40</v>
      </c>
      <c r="G1055" s="11" t="s">
        <v>54</v>
      </c>
      <c r="H1055" s="24">
        <v>36828</v>
      </c>
      <c r="I1055" s="277" t="s">
        <v>3112</v>
      </c>
      <c r="J1055" s="11" t="s">
        <v>42</v>
      </c>
      <c r="K1055" s="108" t="s">
        <v>63</v>
      </c>
      <c r="N1055" s="11" t="s">
        <v>43</v>
      </c>
      <c r="O1055" s="11" t="s">
        <v>96</v>
      </c>
      <c r="P1055" s="11" t="s">
        <v>56</v>
      </c>
      <c r="Q1055" s="11" t="s">
        <v>45</v>
      </c>
      <c r="R1055" s="11" t="s">
        <v>45</v>
      </c>
      <c r="S1055" s="11" t="s">
        <v>44</v>
      </c>
      <c r="T1055" s="11" t="s">
        <v>44</v>
      </c>
      <c r="U1055" s="11" t="s">
        <v>45</v>
      </c>
      <c r="V1055" s="24">
        <v>45316</v>
      </c>
      <c r="W1055" s="11" t="s">
        <v>46</v>
      </c>
      <c r="X1055" s="11" t="s">
        <v>47</v>
      </c>
      <c r="Y1055" s="11" t="s">
        <v>58</v>
      </c>
      <c r="Z1055" s="11">
        <v>81920019987</v>
      </c>
      <c r="AA1055" s="11" t="s">
        <v>91</v>
      </c>
      <c r="AB1055" s="11" t="s">
        <v>49</v>
      </c>
      <c r="AC1055" s="11" t="s">
        <v>256</v>
      </c>
      <c r="AD1055" s="11" t="b">
        <v>1</v>
      </c>
      <c r="AE1055" s="11" t="s">
        <v>137</v>
      </c>
      <c r="AF1055" s="11" t="s">
        <v>3492</v>
      </c>
      <c r="AG1055" s="11"/>
      <c r="AH1055" s="11"/>
      <c r="AI1055" s="11"/>
    </row>
    <row r="1056" ht="12.5" spans="1:35">
      <c r="A1056" s="177">
        <v>45316.4249270023</v>
      </c>
      <c r="B1056" s="11" t="s">
        <v>3110</v>
      </c>
      <c r="C1056" s="19">
        <v>71346312494</v>
      </c>
      <c r="D1056" s="19">
        <v>700908942014999</v>
      </c>
      <c r="E1056" s="18" t="s">
        <v>3493</v>
      </c>
      <c r="F1056" s="11" t="s">
        <v>40</v>
      </c>
      <c r="G1056" s="11" t="s">
        <v>54</v>
      </c>
      <c r="H1056" s="24">
        <v>36823</v>
      </c>
      <c r="I1056" s="277" t="s">
        <v>3112</v>
      </c>
      <c r="J1056" s="11" t="s">
        <v>42</v>
      </c>
      <c r="K1056" s="108" t="s">
        <v>63</v>
      </c>
      <c r="N1056" s="11" t="s">
        <v>95</v>
      </c>
      <c r="O1056" s="11" t="s">
        <v>44</v>
      </c>
      <c r="P1056" s="11" t="s">
        <v>44</v>
      </c>
      <c r="Q1056" s="11" t="s">
        <v>45</v>
      </c>
      <c r="R1056" s="11" t="s">
        <v>45</v>
      </c>
      <c r="S1056" s="11" t="s">
        <v>45</v>
      </c>
      <c r="T1056" s="11" t="s">
        <v>44</v>
      </c>
      <c r="U1056" s="11" t="s">
        <v>44</v>
      </c>
      <c r="W1056" s="11" t="s">
        <v>46</v>
      </c>
      <c r="X1056" s="11" t="s">
        <v>97</v>
      </c>
      <c r="Y1056" s="11" t="s">
        <v>97</v>
      </c>
      <c r="Z1056" s="11">
        <v>81920019987</v>
      </c>
      <c r="AA1056" s="11" t="s">
        <v>1360</v>
      </c>
      <c r="AB1056" s="11"/>
      <c r="AC1056" s="11"/>
      <c r="AD1056" s="11" t="b">
        <v>0</v>
      </c>
      <c r="AF1056" s="11"/>
      <c r="AG1056" s="11"/>
      <c r="AH1056" s="11"/>
      <c r="AI1056" s="11"/>
    </row>
    <row r="1057" ht="12.5" spans="1:35">
      <c r="A1057" s="177">
        <v>45317.3625329514</v>
      </c>
      <c r="B1057" s="11" t="s">
        <v>3443</v>
      </c>
      <c r="C1057" s="277" t="s">
        <v>3444</v>
      </c>
      <c r="D1057" s="19">
        <v>704205713036486</v>
      </c>
      <c r="E1057" s="18" t="s">
        <v>3494</v>
      </c>
      <c r="F1057" s="11" t="s">
        <v>40</v>
      </c>
      <c r="G1057" s="11" t="s">
        <v>135</v>
      </c>
      <c r="H1057" s="24">
        <v>30918</v>
      </c>
      <c r="I1057" s="277" t="s">
        <v>3446</v>
      </c>
      <c r="J1057" s="11" t="s">
        <v>42</v>
      </c>
      <c r="K1057" s="108" t="s">
        <v>3495</v>
      </c>
      <c r="N1057" s="11" t="s">
        <v>43</v>
      </c>
      <c r="O1057" s="11" t="s">
        <v>44</v>
      </c>
      <c r="P1057" s="11" t="s">
        <v>44</v>
      </c>
      <c r="Q1057" s="11" t="s">
        <v>45</v>
      </c>
      <c r="R1057" s="11" t="s">
        <v>45</v>
      </c>
      <c r="S1057" s="11" t="s">
        <v>45</v>
      </c>
      <c r="T1057" s="11" t="s">
        <v>44</v>
      </c>
      <c r="U1057" s="11" t="s">
        <v>44</v>
      </c>
      <c r="W1057" s="11" t="s">
        <v>46</v>
      </c>
      <c r="X1057" s="254" t="s">
        <v>67</v>
      </c>
      <c r="Y1057" s="11" t="s">
        <v>58</v>
      </c>
      <c r="Z1057" s="11">
        <v>81985681543</v>
      </c>
      <c r="AA1057" s="11" t="s">
        <v>1360</v>
      </c>
      <c r="AB1057" s="11"/>
      <c r="AC1057" s="11"/>
      <c r="AD1057" s="11" t="b">
        <v>0</v>
      </c>
      <c r="AF1057" s="11"/>
      <c r="AG1057" s="11"/>
      <c r="AH1057" s="11"/>
      <c r="AI1057" s="11"/>
    </row>
    <row r="1058" ht="12.5" spans="1:35">
      <c r="A1058" s="177">
        <v>45317.4348161227</v>
      </c>
      <c r="B1058" s="11" t="s">
        <v>2927</v>
      </c>
      <c r="C1058" s="19">
        <v>70561899460</v>
      </c>
      <c r="D1058" s="19">
        <v>702309116567518</v>
      </c>
      <c r="E1058" s="18" t="s">
        <v>3496</v>
      </c>
      <c r="F1058" s="11" t="s">
        <v>225</v>
      </c>
      <c r="G1058" s="11" t="s">
        <v>54</v>
      </c>
      <c r="H1058" s="24">
        <v>35283</v>
      </c>
      <c r="I1058" s="277" t="s">
        <v>2837</v>
      </c>
      <c r="J1058" s="11" t="s">
        <v>42</v>
      </c>
      <c r="K1058" s="108" t="s">
        <v>3497</v>
      </c>
      <c r="N1058" s="11" t="s">
        <v>43</v>
      </c>
      <c r="O1058" s="11" t="s">
        <v>44</v>
      </c>
      <c r="P1058" s="11" t="s">
        <v>44</v>
      </c>
      <c r="Q1058" s="11" t="s">
        <v>45</v>
      </c>
      <c r="R1058" s="11" t="s">
        <v>44</v>
      </c>
      <c r="S1058" s="11" t="s">
        <v>45</v>
      </c>
      <c r="T1058" s="11" t="s">
        <v>44</v>
      </c>
      <c r="U1058" s="11" t="s">
        <v>44</v>
      </c>
      <c r="W1058" s="11" t="s">
        <v>46</v>
      </c>
      <c r="X1058" s="11" t="s">
        <v>47</v>
      </c>
      <c r="Y1058" s="11" t="s">
        <v>58</v>
      </c>
      <c r="Z1058" s="11">
        <v>81985294355</v>
      </c>
      <c r="AA1058" s="11" t="s">
        <v>1360</v>
      </c>
      <c r="AB1058" s="11"/>
      <c r="AC1058" s="11"/>
      <c r="AD1058" s="11" t="b">
        <v>0</v>
      </c>
      <c r="AF1058" s="11"/>
      <c r="AG1058" s="11"/>
      <c r="AH1058" s="11"/>
      <c r="AI1058" s="11"/>
    </row>
    <row r="1059" ht="12.5" spans="1:35">
      <c r="A1059" s="177">
        <v>45317.602654294</v>
      </c>
      <c r="B1059" s="11" t="s">
        <v>3498</v>
      </c>
      <c r="C1059" s="19">
        <v>70191405485</v>
      </c>
      <c r="D1059" s="19">
        <v>700505399532654</v>
      </c>
      <c r="E1059" s="18" t="s">
        <v>3499</v>
      </c>
      <c r="F1059" s="11" t="s">
        <v>40</v>
      </c>
      <c r="G1059" s="11" t="s">
        <v>54</v>
      </c>
      <c r="H1059" s="24">
        <v>35105</v>
      </c>
      <c r="I1059" s="277" t="s">
        <v>3500</v>
      </c>
      <c r="J1059" s="11" t="s">
        <v>3501</v>
      </c>
      <c r="K1059" s="108"/>
      <c r="N1059" s="11" t="s">
        <v>43</v>
      </c>
      <c r="O1059" s="11" t="s">
        <v>44</v>
      </c>
      <c r="P1059" s="11" t="s">
        <v>44</v>
      </c>
      <c r="Q1059" s="11" t="s">
        <v>44</v>
      </c>
      <c r="R1059" s="11" t="s">
        <v>44</v>
      </c>
      <c r="S1059" s="11" t="s">
        <v>44</v>
      </c>
      <c r="T1059" s="11" t="s">
        <v>44</v>
      </c>
      <c r="U1059" s="11" t="s">
        <v>45</v>
      </c>
      <c r="V1059" s="24">
        <v>45322</v>
      </c>
      <c r="W1059" s="11" t="s">
        <v>46</v>
      </c>
      <c r="X1059" s="11" t="s">
        <v>47</v>
      </c>
      <c r="Y1059" s="11" t="s">
        <v>185</v>
      </c>
      <c r="Z1059" s="11">
        <v>81992186999</v>
      </c>
      <c r="AA1059" s="11" t="s">
        <v>91</v>
      </c>
      <c r="AB1059" s="11" t="s">
        <v>49</v>
      </c>
      <c r="AC1059" s="11" t="s">
        <v>256</v>
      </c>
      <c r="AD1059" s="11" t="b">
        <v>1</v>
      </c>
      <c r="AE1059" s="11" t="s">
        <v>137</v>
      </c>
      <c r="AF1059" s="11" t="s">
        <v>3502</v>
      </c>
      <c r="AG1059" s="11"/>
      <c r="AH1059" s="11"/>
      <c r="AI1059" s="11"/>
    </row>
    <row r="1060" ht="12.5" spans="1:35">
      <c r="A1060" s="177">
        <v>45317.6571745255</v>
      </c>
      <c r="B1060" s="11" t="s">
        <v>1676</v>
      </c>
      <c r="C1060" s="277" t="s">
        <v>1677</v>
      </c>
      <c r="D1060" s="19">
        <v>700205940755030</v>
      </c>
      <c r="E1060" s="18" t="s">
        <v>3503</v>
      </c>
      <c r="F1060" s="11" t="s">
        <v>40</v>
      </c>
      <c r="G1060" s="11" t="s">
        <v>54</v>
      </c>
      <c r="H1060" s="24">
        <v>34172</v>
      </c>
      <c r="I1060" s="277" t="s">
        <v>1679</v>
      </c>
      <c r="J1060" s="11" t="s">
        <v>42</v>
      </c>
      <c r="K1060" s="108" t="s">
        <v>3504</v>
      </c>
      <c r="N1060" s="11" t="s">
        <v>43</v>
      </c>
      <c r="O1060" s="11" t="s">
        <v>44</v>
      </c>
      <c r="P1060" s="11" t="s">
        <v>44</v>
      </c>
      <c r="Q1060" s="11" t="s">
        <v>44</v>
      </c>
      <c r="R1060" s="11" t="s">
        <v>45</v>
      </c>
      <c r="S1060" s="11" t="s">
        <v>45</v>
      </c>
      <c r="T1060" s="11" t="s">
        <v>44</v>
      </c>
      <c r="U1060" s="11" t="s">
        <v>44</v>
      </c>
      <c r="W1060" s="11" t="s">
        <v>46</v>
      </c>
      <c r="X1060" s="11" t="s">
        <v>47</v>
      </c>
      <c r="Y1060" s="11" t="s">
        <v>58</v>
      </c>
      <c r="Z1060" s="11">
        <v>81983355218</v>
      </c>
      <c r="AA1060" s="11" t="s">
        <v>1360</v>
      </c>
      <c r="AB1060" s="11"/>
      <c r="AC1060" s="11"/>
      <c r="AD1060" s="11" t="b">
        <v>0</v>
      </c>
      <c r="AF1060" s="11"/>
      <c r="AG1060" s="11"/>
      <c r="AH1060" s="11"/>
      <c r="AI1060" s="11"/>
    </row>
    <row r="1061" ht="12.5" spans="1:35">
      <c r="A1061" s="177">
        <v>45317.7490045833</v>
      </c>
      <c r="B1061" s="11" t="s">
        <v>3505</v>
      </c>
      <c r="C1061" s="277" t="s">
        <v>3506</v>
      </c>
      <c r="D1061" s="19">
        <v>700009010750307</v>
      </c>
      <c r="E1061" s="18" t="s">
        <v>3507</v>
      </c>
      <c r="F1061" s="11" t="s">
        <v>40</v>
      </c>
      <c r="G1061" s="11" t="s">
        <v>54</v>
      </c>
      <c r="H1061" s="24">
        <v>30945</v>
      </c>
      <c r="I1061" s="19" t="s">
        <v>136</v>
      </c>
      <c r="J1061" s="11" t="s">
        <v>3386</v>
      </c>
      <c r="K1061" s="108"/>
      <c r="N1061" s="11" t="s">
        <v>43</v>
      </c>
      <c r="O1061" s="11" t="s">
        <v>96</v>
      </c>
      <c r="P1061" s="11" t="s">
        <v>66</v>
      </c>
      <c r="Q1061" s="11" t="s">
        <v>45</v>
      </c>
      <c r="R1061" s="11" t="s">
        <v>45</v>
      </c>
      <c r="S1061" s="11" t="s">
        <v>45</v>
      </c>
      <c r="T1061" s="11" t="s">
        <v>44</v>
      </c>
      <c r="U1061" s="11" t="s">
        <v>45</v>
      </c>
      <c r="V1061" s="24">
        <v>45318</v>
      </c>
      <c r="W1061" s="11" t="s">
        <v>46</v>
      </c>
      <c r="X1061" s="11" t="s">
        <v>203</v>
      </c>
      <c r="Y1061" s="11" t="s">
        <v>58</v>
      </c>
      <c r="Z1061" s="11">
        <v>81985598551</v>
      </c>
      <c r="AA1061" s="11" t="s">
        <v>1360</v>
      </c>
      <c r="AB1061" s="11" t="s">
        <v>49</v>
      </c>
      <c r="AC1061" s="11" t="s">
        <v>274</v>
      </c>
      <c r="AD1061" s="11" t="b">
        <v>0</v>
      </c>
      <c r="AF1061" s="141" t="s">
        <v>3508</v>
      </c>
      <c r="AG1061" s="11"/>
      <c r="AH1061" s="228" t="s">
        <v>3509</v>
      </c>
      <c r="AI1061" s="11"/>
    </row>
    <row r="1062" ht="12.5" spans="1:35">
      <c r="A1062" s="177">
        <v>45317.7874620139</v>
      </c>
      <c r="B1062" s="11" t="s">
        <v>3510</v>
      </c>
      <c r="C1062" s="277" t="s">
        <v>3511</v>
      </c>
      <c r="D1062" s="19">
        <v>708605175423090</v>
      </c>
      <c r="E1062" s="18" t="s">
        <v>3512</v>
      </c>
      <c r="F1062" s="11" t="s">
        <v>225</v>
      </c>
      <c r="G1062" s="11" t="s">
        <v>88</v>
      </c>
      <c r="H1062" s="24">
        <v>34886</v>
      </c>
      <c r="I1062" s="277" t="s">
        <v>3513</v>
      </c>
      <c r="J1062" s="11" t="s">
        <v>438</v>
      </c>
      <c r="K1062" s="108"/>
      <c r="M1062" s="11" t="s">
        <v>3514</v>
      </c>
      <c r="N1062" s="11" t="s">
        <v>43</v>
      </c>
      <c r="O1062" s="11" t="s">
        <v>44</v>
      </c>
      <c r="P1062" s="11" t="s">
        <v>44</v>
      </c>
      <c r="Q1062" s="11" t="s">
        <v>44</v>
      </c>
      <c r="R1062" s="11" t="s">
        <v>45</v>
      </c>
      <c r="S1062" s="11" t="s">
        <v>83</v>
      </c>
      <c r="T1062" s="11" t="s">
        <v>44</v>
      </c>
      <c r="U1062" s="11" t="s">
        <v>44</v>
      </c>
      <c r="W1062" s="11" t="s">
        <v>46</v>
      </c>
      <c r="X1062" s="11" t="s">
        <v>203</v>
      </c>
      <c r="Y1062" s="11" t="s">
        <v>58</v>
      </c>
      <c r="Z1062" s="11">
        <v>81988747018</v>
      </c>
      <c r="AA1062" s="11" t="s">
        <v>1360</v>
      </c>
      <c r="AB1062" s="11"/>
      <c r="AC1062" s="11"/>
      <c r="AD1062" s="11" t="b">
        <v>0</v>
      </c>
      <c r="AF1062" s="11"/>
      <c r="AG1062" s="11"/>
      <c r="AH1062" s="11"/>
      <c r="AI1062" s="11"/>
    </row>
    <row r="1063" ht="12.5" spans="1:35">
      <c r="A1063" s="177">
        <v>45318.5897038657</v>
      </c>
      <c r="B1063" s="11" t="s">
        <v>3505</v>
      </c>
      <c r="C1063" s="277" t="s">
        <v>3506</v>
      </c>
      <c r="D1063" s="19">
        <v>700009010750307</v>
      </c>
      <c r="F1063" s="11" t="s">
        <v>40</v>
      </c>
      <c r="G1063" s="11" t="s">
        <v>54</v>
      </c>
      <c r="H1063" s="24">
        <v>30945</v>
      </c>
      <c r="I1063" s="19" t="s">
        <v>865</v>
      </c>
      <c r="J1063" s="11" t="s">
        <v>3515</v>
      </c>
      <c r="K1063" s="108"/>
      <c r="N1063" s="11" t="s">
        <v>95</v>
      </c>
      <c r="O1063" s="11" t="s">
        <v>44</v>
      </c>
      <c r="P1063" s="11" t="s">
        <v>56</v>
      </c>
      <c r="Q1063" s="11" t="s">
        <v>44</v>
      </c>
      <c r="R1063" s="11" t="s">
        <v>45</v>
      </c>
      <c r="S1063" s="11" t="s">
        <v>45</v>
      </c>
      <c r="T1063" s="11" t="s">
        <v>45</v>
      </c>
      <c r="U1063" s="11" t="s">
        <v>44</v>
      </c>
      <c r="W1063" s="11" t="s">
        <v>57</v>
      </c>
      <c r="X1063" s="11" t="s">
        <v>97</v>
      </c>
      <c r="Y1063" s="11" t="s">
        <v>97</v>
      </c>
      <c r="Z1063" s="11">
        <v>81985598551</v>
      </c>
      <c r="AA1063" s="11" t="s">
        <v>296</v>
      </c>
      <c r="AB1063" s="11"/>
      <c r="AC1063" s="11"/>
      <c r="AD1063" s="11" t="b">
        <v>0</v>
      </c>
      <c r="AF1063" s="11"/>
      <c r="AG1063" s="11"/>
      <c r="AH1063" s="11"/>
      <c r="AI1063" s="11"/>
    </row>
    <row r="1064" ht="12.5" spans="1:35">
      <c r="A1064" s="177">
        <v>45318.6780577199</v>
      </c>
      <c r="B1064" s="11" t="s">
        <v>3516</v>
      </c>
      <c r="C1064" s="277" t="s">
        <v>3517</v>
      </c>
      <c r="D1064" s="19">
        <v>700006321187806</v>
      </c>
      <c r="E1064" s="18" t="s">
        <v>3518</v>
      </c>
      <c r="F1064" s="11" t="s">
        <v>40</v>
      </c>
      <c r="G1064" s="11" t="s">
        <v>54</v>
      </c>
      <c r="H1064" s="24">
        <v>33054</v>
      </c>
      <c r="I1064" s="277" t="s">
        <v>2633</v>
      </c>
      <c r="J1064" s="11" t="s">
        <v>42</v>
      </c>
      <c r="K1064" s="108" t="s">
        <v>63</v>
      </c>
      <c r="N1064" s="11" t="s">
        <v>43</v>
      </c>
      <c r="O1064" s="11" t="s">
        <v>96</v>
      </c>
      <c r="P1064" s="11" t="s">
        <v>66</v>
      </c>
      <c r="Q1064" s="11" t="s">
        <v>44</v>
      </c>
      <c r="R1064" s="11" t="s">
        <v>45</v>
      </c>
      <c r="S1064" s="11" t="s">
        <v>45</v>
      </c>
      <c r="T1064" s="11" t="s">
        <v>44</v>
      </c>
      <c r="U1064" s="11" t="s">
        <v>45</v>
      </c>
      <c r="V1064" s="24">
        <v>45319</v>
      </c>
      <c r="W1064" s="11" t="s">
        <v>46</v>
      </c>
      <c r="X1064" s="11" t="s">
        <v>303</v>
      </c>
      <c r="Y1064" s="11" t="s">
        <v>58</v>
      </c>
      <c r="Z1064" s="11">
        <v>81987240188</v>
      </c>
      <c r="AA1064" s="11" t="s">
        <v>296</v>
      </c>
      <c r="AB1064" s="11" t="s">
        <v>49</v>
      </c>
      <c r="AC1064" s="11" t="s">
        <v>84</v>
      </c>
      <c r="AD1064" s="11" t="b">
        <v>1</v>
      </c>
      <c r="AE1064" s="11" t="s">
        <v>137</v>
      </c>
      <c r="AF1064" s="11" t="s">
        <v>3519</v>
      </c>
      <c r="AG1064" s="11"/>
      <c r="AH1064" s="11"/>
      <c r="AI1064" s="11"/>
    </row>
    <row r="1065" ht="12.5" spans="1:35">
      <c r="A1065" s="177">
        <v>45320.405691088</v>
      </c>
      <c r="B1065" s="11" t="s">
        <v>3516</v>
      </c>
      <c r="C1065" s="277" t="s">
        <v>3517</v>
      </c>
      <c r="D1065" s="19">
        <v>700006321187806</v>
      </c>
      <c r="E1065" s="18" t="s">
        <v>3520</v>
      </c>
      <c r="F1065" s="11" t="s">
        <v>40</v>
      </c>
      <c r="G1065" s="11" t="s">
        <v>54</v>
      </c>
      <c r="H1065" s="24">
        <v>33054</v>
      </c>
      <c r="I1065" s="277" t="s">
        <v>2633</v>
      </c>
      <c r="J1065" s="11" t="s">
        <v>42</v>
      </c>
      <c r="K1065" s="108" t="s">
        <v>63</v>
      </c>
      <c r="N1065" s="11" t="s">
        <v>95</v>
      </c>
      <c r="O1065" s="11" t="s">
        <v>127</v>
      </c>
      <c r="P1065" s="11" t="s">
        <v>44</v>
      </c>
      <c r="Q1065" s="11" t="s">
        <v>44</v>
      </c>
      <c r="R1065" s="11" t="s">
        <v>45</v>
      </c>
      <c r="S1065" s="11" t="s">
        <v>45</v>
      </c>
      <c r="T1065" s="11" t="s">
        <v>44</v>
      </c>
      <c r="U1065" s="11" t="s">
        <v>44</v>
      </c>
      <c r="W1065" s="11" t="s">
        <v>46</v>
      </c>
      <c r="X1065" s="11" t="s">
        <v>97</v>
      </c>
      <c r="Y1065" s="11" t="s">
        <v>97</v>
      </c>
      <c r="Z1065" s="11">
        <v>81987240188</v>
      </c>
      <c r="AA1065" s="11" t="s">
        <v>105</v>
      </c>
      <c r="AB1065" s="11"/>
      <c r="AC1065" s="11"/>
      <c r="AD1065" s="11" t="b">
        <v>0</v>
      </c>
      <c r="AF1065" s="11"/>
      <c r="AG1065" s="11"/>
      <c r="AH1065" s="11"/>
      <c r="AI1065" s="11"/>
    </row>
    <row r="1066" ht="12.5" spans="1:35">
      <c r="A1066" s="177">
        <v>45320.6144977662</v>
      </c>
      <c r="B1066" s="11" t="s">
        <v>3521</v>
      </c>
      <c r="C1066" s="277" t="s">
        <v>3522</v>
      </c>
      <c r="D1066" s="19">
        <v>702403509228925</v>
      </c>
      <c r="E1066" s="18" t="s">
        <v>3523</v>
      </c>
      <c r="F1066" s="11" t="s">
        <v>40</v>
      </c>
      <c r="G1066" s="11" t="s">
        <v>54</v>
      </c>
      <c r="H1066" s="24">
        <v>32897</v>
      </c>
      <c r="I1066" s="277" t="s">
        <v>3398</v>
      </c>
      <c r="J1066" s="11" t="s">
        <v>42</v>
      </c>
      <c r="K1066" s="108" t="s">
        <v>399</v>
      </c>
      <c r="N1066" s="11" t="s">
        <v>43</v>
      </c>
      <c r="O1066" s="11" t="s">
        <v>96</v>
      </c>
      <c r="P1066" s="11" t="s">
        <v>66</v>
      </c>
      <c r="Q1066" s="11" t="s">
        <v>44</v>
      </c>
      <c r="R1066" s="11" t="s">
        <v>45</v>
      </c>
      <c r="S1066" s="11" t="s">
        <v>45</v>
      </c>
      <c r="T1066" s="11" t="s">
        <v>44</v>
      </c>
      <c r="U1066" s="11" t="s">
        <v>45</v>
      </c>
      <c r="V1066" s="24">
        <v>45321</v>
      </c>
      <c r="W1066" s="11" t="s">
        <v>46</v>
      </c>
      <c r="X1066" s="11" t="s">
        <v>47</v>
      </c>
      <c r="Y1066" s="11" t="s">
        <v>58</v>
      </c>
      <c r="Z1066" s="11">
        <v>81998504012</v>
      </c>
      <c r="AA1066" s="11" t="s">
        <v>115</v>
      </c>
      <c r="AB1066" s="11" t="s">
        <v>49</v>
      </c>
      <c r="AC1066" s="11" t="s">
        <v>84</v>
      </c>
      <c r="AD1066" s="11" t="b">
        <v>1</v>
      </c>
      <c r="AE1066" s="11" t="s">
        <v>137</v>
      </c>
      <c r="AF1066" s="11" t="s">
        <v>3524</v>
      </c>
      <c r="AG1066" s="11"/>
      <c r="AH1066" s="11"/>
      <c r="AI1066" s="11"/>
    </row>
    <row r="1067" ht="12.5" spans="1:35">
      <c r="A1067" s="177">
        <v>45320.6486934607</v>
      </c>
      <c r="B1067" s="11" t="s">
        <v>3303</v>
      </c>
      <c r="C1067" s="19">
        <v>39403127899</v>
      </c>
      <c r="D1067" s="19">
        <v>701006878226794</v>
      </c>
      <c r="E1067" s="18" t="s">
        <v>3525</v>
      </c>
      <c r="F1067" s="11" t="s">
        <v>40</v>
      </c>
      <c r="G1067" s="11" t="s">
        <v>54</v>
      </c>
      <c r="H1067" s="24">
        <v>37387</v>
      </c>
      <c r="I1067" s="277" t="s">
        <v>3305</v>
      </c>
      <c r="J1067" s="11" t="s">
        <v>42</v>
      </c>
      <c r="K1067" s="108" t="s">
        <v>3526</v>
      </c>
      <c r="N1067" s="11" t="s">
        <v>43</v>
      </c>
      <c r="O1067" s="11" t="s">
        <v>44</v>
      </c>
      <c r="P1067" s="11" t="s">
        <v>44</v>
      </c>
      <c r="Q1067" s="11" t="s">
        <v>44</v>
      </c>
      <c r="R1067" s="11" t="s">
        <v>45</v>
      </c>
      <c r="S1067" s="11" t="s">
        <v>83</v>
      </c>
      <c r="T1067" s="11" t="s">
        <v>44</v>
      </c>
      <c r="U1067" s="11" t="s">
        <v>44</v>
      </c>
      <c r="W1067" s="11" t="s">
        <v>46</v>
      </c>
      <c r="X1067" s="11" t="s">
        <v>47</v>
      </c>
      <c r="Y1067" s="11" t="s">
        <v>58</v>
      </c>
      <c r="Z1067" s="11">
        <v>81997795224</v>
      </c>
      <c r="AA1067" s="11" t="s">
        <v>105</v>
      </c>
      <c r="AB1067" s="11"/>
      <c r="AC1067" s="11"/>
      <c r="AD1067" s="11" t="b">
        <v>0</v>
      </c>
      <c r="AF1067" s="11"/>
      <c r="AG1067" s="11"/>
      <c r="AH1067" s="11"/>
      <c r="AI1067" s="11"/>
    </row>
    <row r="1068" ht="12.5" spans="1:35">
      <c r="A1068" s="177">
        <v>45321.4044539931</v>
      </c>
      <c r="B1068" s="11" t="s">
        <v>3521</v>
      </c>
      <c r="C1068" s="277" t="s">
        <v>3522</v>
      </c>
      <c r="D1068" s="19">
        <v>702403509228925</v>
      </c>
      <c r="E1068" s="18" t="s">
        <v>3527</v>
      </c>
      <c r="F1068" s="11" t="s">
        <v>40</v>
      </c>
      <c r="G1068" s="11" t="s">
        <v>54</v>
      </c>
      <c r="H1068" s="24">
        <v>32897</v>
      </c>
      <c r="I1068" s="277" t="s">
        <v>3398</v>
      </c>
      <c r="J1068" s="11" t="s">
        <v>42</v>
      </c>
      <c r="K1068" s="108" t="s">
        <v>399</v>
      </c>
      <c r="N1068" s="11" t="s">
        <v>95</v>
      </c>
      <c r="O1068" s="11" t="s">
        <v>65</v>
      </c>
      <c r="P1068" s="11" t="s">
        <v>66</v>
      </c>
      <c r="Q1068" s="11" t="s">
        <v>44</v>
      </c>
      <c r="R1068" s="11" t="s">
        <v>45</v>
      </c>
      <c r="S1068" s="11" t="s">
        <v>45</v>
      </c>
      <c r="T1068" s="11" t="s">
        <v>44</v>
      </c>
      <c r="U1068" s="11" t="s">
        <v>44</v>
      </c>
      <c r="W1068" s="11" t="s">
        <v>46</v>
      </c>
      <c r="X1068" s="11" t="s">
        <v>97</v>
      </c>
      <c r="Y1068" s="11" t="s">
        <v>97</v>
      </c>
      <c r="Z1068" s="11">
        <v>81998504012</v>
      </c>
      <c r="AA1068" s="11" t="s">
        <v>105</v>
      </c>
      <c r="AB1068" s="11"/>
      <c r="AC1068" s="11"/>
      <c r="AD1068" s="11" t="b">
        <v>0</v>
      </c>
      <c r="AF1068" s="11"/>
      <c r="AG1068" s="11"/>
      <c r="AH1068" s="11"/>
      <c r="AI1068" s="11"/>
    </row>
    <row r="1069" ht="12.5" spans="1:35">
      <c r="A1069" s="177">
        <v>45321.4101917708</v>
      </c>
      <c r="B1069" s="11" t="s">
        <v>3528</v>
      </c>
      <c r="C1069" s="19">
        <v>12256305414</v>
      </c>
      <c r="D1069" s="19">
        <v>706406613229288</v>
      </c>
      <c r="E1069" s="18" t="s">
        <v>3529</v>
      </c>
      <c r="F1069" s="11" t="s">
        <v>40</v>
      </c>
      <c r="G1069" s="11" t="s">
        <v>54</v>
      </c>
      <c r="H1069" s="24">
        <v>36524</v>
      </c>
      <c r="I1069" s="277" t="s">
        <v>3179</v>
      </c>
      <c r="J1069" s="11" t="s">
        <v>42</v>
      </c>
      <c r="K1069" s="108" t="s">
        <v>427</v>
      </c>
      <c r="N1069" s="11" t="s">
        <v>43</v>
      </c>
      <c r="O1069" s="11" t="s">
        <v>96</v>
      </c>
      <c r="P1069" s="11" t="s">
        <v>56</v>
      </c>
      <c r="Q1069" s="11" t="s">
        <v>44</v>
      </c>
      <c r="R1069" s="11" t="s">
        <v>45</v>
      </c>
      <c r="S1069" s="11" t="s">
        <v>44</v>
      </c>
      <c r="T1069" s="11" t="s">
        <v>44</v>
      </c>
      <c r="U1069" s="11" t="s">
        <v>45</v>
      </c>
      <c r="V1069" s="24">
        <v>45322</v>
      </c>
      <c r="W1069" s="11" t="s">
        <v>46</v>
      </c>
      <c r="X1069" s="11" t="s">
        <v>47</v>
      </c>
      <c r="Y1069" s="11" t="s">
        <v>58</v>
      </c>
      <c r="Z1069" s="11">
        <v>81987997416</v>
      </c>
      <c r="AA1069" s="11" t="s">
        <v>91</v>
      </c>
      <c r="AB1069" s="11" t="s">
        <v>49</v>
      </c>
      <c r="AC1069" s="11" t="s">
        <v>92</v>
      </c>
      <c r="AD1069" s="11" t="b">
        <v>1</v>
      </c>
      <c r="AE1069" s="11" t="s">
        <v>137</v>
      </c>
      <c r="AF1069" s="11" t="s">
        <v>3530</v>
      </c>
      <c r="AG1069" s="11"/>
      <c r="AH1069" s="11"/>
      <c r="AI1069" s="11"/>
    </row>
    <row r="1070" ht="12.5" spans="1:35">
      <c r="A1070" s="177">
        <v>45321.4717375463</v>
      </c>
      <c r="B1070" s="11" t="s">
        <v>3531</v>
      </c>
      <c r="C1070" s="19">
        <v>70937498440</v>
      </c>
      <c r="D1070" s="19">
        <v>702808108979661</v>
      </c>
      <c r="E1070" s="18" t="s">
        <v>3532</v>
      </c>
      <c r="F1070" s="11" t="s">
        <v>225</v>
      </c>
      <c r="G1070" s="11" t="s">
        <v>54</v>
      </c>
      <c r="H1070" s="24">
        <v>36902</v>
      </c>
      <c r="I1070" s="277" t="s">
        <v>1934</v>
      </c>
      <c r="J1070" s="11" t="s">
        <v>42</v>
      </c>
      <c r="K1070" s="108" t="s">
        <v>282</v>
      </c>
      <c r="N1070" s="11" t="s">
        <v>43</v>
      </c>
      <c r="O1070" s="11" t="s">
        <v>44</v>
      </c>
      <c r="P1070" s="11" t="s">
        <v>44</v>
      </c>
      <c r="Q1070" s="11" t="s">
        <v>44</v>
      </c>
      <c r="R1070" s="11" t="s">
        <v>45</v>
      </c>
      <c r="S1070" s="11" t="s">
        <v>83</v>
      </c>
      <c r="T1070" s="11" t="s">
        <v>44</v>
      </c>
      <c r="U1070" s="11" t="s">
        <v>45</v>
      </c>
      <c r="V1070" s="24">
        <v>45323</v>
      </c>
      <c r="W1070" s="11" t="s">
        <v>46</v>
      </c>
      <c r="X1070" s="11" t="s">
        <v>47</v>
      </c>
      <c r="Y1070" s="11" t="s">
        <v>58</v>
      </c>
      <c r="Z1070" s="11">
        <v>81985610818</v>
      </c>
      <c r="AA1070" s="11" t="s">
        <v>105</v>
      </c>
      <c r="AB1070" s="11" t="s">
        <v>98</v>
      </c>
      <c r="AC1070" s="11"/>
      <c r="AD1070" s="11" t="b">
        <v>0</v>
      </c>
      <c r="AF1070" s="11" t="s">
        <v>3533</v>
      </c>
      <c r="AG1070" s="11" t="s">
        <v>3534</v>
      </c>
      <c r="AH1070" s="11" t="s">
        <v>3535</v>
      </c>
      <c r="AI1070" s="11"/>
    </row>
    <row r="1071" ht="12.5" spans="1:35">
      <c r="A1071" s="177">
        <v>45321.6765185417</v>
      </c>
      <c r="B1071" s="11" t="s">
        <v>1452</v>
      </c>
      <c r="C1071" s="19">
        <v>14825985408</v>
      </c>
      <c r="D1071" s="19">
        <v>703008821547875</v>
      </c>
      <c r="E1071" s="18" t="s">
        <v>3536</v>
      </c>
      <c r="F1071" s="11" t="s">
        <v>40</v>
      </c>
      <c r="G1071" s="11" t="s">
        <v>54</v>
      </c>
      <c r="H1071" s="24">
        <v>38106</v>
      </c>
      <c r="I1071" s="277" t="s">
        <v>2818</v>
      </c>
      <c r="J1071" s="11" t="s">
        <v>42</v>
      </c>
      <c r="K1071" s="108" t="s">
        <v>3537</v>
      </c>
      <c r="N1071" s="11" t="s">
        <v>43</v>
      </c>
      <c r="O1071" s="11" t="s">
        <v>44</v>
      </c>
      <c r="P1071" s="11" t="s">
        <v>44</v>
      </c>
      <c r="Q1071" s="11" t="s">
        <v>44</v>
      </c>
      <c r="R1071" s="11" t="s">
        <v>45</v>
      </c>
      <c r="S1071" s="11" t="s">
        <v>45</v>
      </c>
      <c r="T1071" s="11" t="s">
        <v>44</v>
      </c>
      <c r="U1071" s="11" t="s">
        <v>44</v>
      </c>
      <c r="W1071" s="11" t="s">
        <v>46</v>
      </c>
      <c r="X1071" s="11" t="s">
        <v>47</v>
      </c>
      <c r="Y1071" s="11" t="s">
        <v>58</v>
      </c>
      <c r="Z1071" s="11">
        <v>81999205254</v>
      </c>
      <c r="AA1071" s="11" t="s">
        <v>105</v>
      </c>
      <c r="AB1071" s="11"/>
      <c r="AC1071" s="11"/>
      <c r="AD1071" s="11" t="b">
        <v>0</v>
      </c>
      <c r="AF1071" s="11"/>
      <c r="AG1071" s="11"/>
      <c r="AH1071" s="11"/>
      <c r="AI1071" s="11"/>
    </row>
    <row r="1072" ht="12.5" spans="1:35">
      <c r="A1072" s="177">
        <v>45321.7627241319</v>
      </c>
      <c r="B1072" s="11" t="s">
        <v>3538</v>
      </c>
      <c r="C1072" s="277" t="s">
        <v>3539</v>
      </c>
      <c r="D1072" s="19">
        <v>700601478937660</v>
      </c>
      <c r="E1072" s="18" t="s">
        <v>3540</v>
      </c>
      <c r="F1072" s="11" t="s">
        <v>40</v>
      </c>
      <c r="G1072" s="11" t="s">
        <v>54</v>
      </c>
      <c r="H1072" s="24">
        <v>33436</v>
      </c>
      <c r="I1072" s="277" t="s">
        <v>2848</v>
      </c>
      <c r="J1072" s="11" t="s">
        <v>42</v>
      </c>
      <c r="K1072" s="108" t="s">
        <v>3541</v>
      </c>
      <c r="N1072" s="11" t="s">
        <v>43</v>
      </c>
      <c r="O1072" s="11" t="s">
        <v>44</v>
      </c>
      <c r="P1072" s="11" t="s">
        <v>44</v>
      </c>
      <c r="Q1072" s="11" t="s">
        <v>45</v>
      </c>
      <c r="R1072" s="11" t="s">
        <v>45</v>
      </c>
      <c r="S1072" s="11" t="s">
        <v>45</v>
      </c>
      <c r="T1072" s="11" t="s">
        <v>44</v>
      </c>
      <c r="U1072" s="11" t="s">
        <v>45</v>
      </c>
      <c r="V1072" s="24">
        <v>45322</v>
      </c>
      <c r="W1072" s="11" t="s">
        <v>46</v>
      </c>
      <c r="X1072" s="11" t="s">
        <v>203</v>
      </c>
      <c r="Y1072" s="11" t="s">
        <v>58</v>
      </c>
      <c r="Z1072" s="11">
        <v>81983704324</v>
      </c>
      <c r="AA1072" s="11" t="s">
        <v>105</v>
      </c>
      <c r="AB1072" s="11" t="s">
        <v>49</v>
      </c>
      <c r="AC1072" s="11" t="s">
        <v>256</v>
      </c>
      <c r="AD1072" s="11" t="b">
        <v>0</v>
      </c>
      <c r="AF1072" s="11" t="s">
        <v>3542</v>
      </c>
      <c r="AG1072" s="11"/>
      <c r="AH1072" s="11"/>
      <c r="AI1072" s="11"/>
    </row>
    <row r="1073" ht="12.5" spans="1:35">
      <c r="A1073" s="177">
        <v>45322.3725838657</v>
      </c>
      <c r="B1073" s="11" t="s">
        <v>3361</v>
      </c>
      <c r="C1073" s="19">
        <v>11229954406</v>
      </c>
      <c r="D1073" s="19">
        <v>700404429566845</v>
      </c>
      <c r="E1073" s="18" t="s">
        <v>3543</v>
      </c>
      <c r="F1073" s="11" t="s">
        <v>225</v>
      </c>
      <c r="G1073" s="11" t="s">
        <v>54</v>
      </c>
      <c r="H1073" s="24">
        <v>34729</v>
      </c>
      <c r="I1073" s="277" t="s">
        <v>3544</v>
      </c>
      <c r="J1073" s="11" t="s">
        <v>42</v>
      </c>
      <c r="K1073" s="108" t="s">
        <v>427</v>
      </c>
      <c r="N1073" s="11" t="s">
        <v>43</v>
      </c>
      <c r="O1073" s="11" t="s">
        <v>96</v>
      </c>
      <c r="P1073" s="11" t="s">
        <v>56</v>
      </c>
      <c r="Q1073" s="11" t="s">
        <v>44</v>
      </c>
      <c r="R1073" s="11" t="s">
        <v>45</v>
      </c>
      <c r="S1073" s="11" t="s">
        <v>44</v>
      </c>
      <c r="T1073" s="11" t="s">
        <v>44</v>
      </c>
      <c r="U1073" s="11" t="s">
        <v>45</v>
      </c>
      <c r="V1073" s="24">
        <v>45323</v>
      </c>
      <c r="W1073" s="11" t="s">
        <v>46</v>
      </c>
      <c r="X1073" s="254" t="s">
        <v>67</v>
      </c>
      <c r="Y1073" s="11" t="s">
        <v>58</v>
      </c>
      <c r="Z1073" s="11">
        <v>81984881221</v>
      </c>
      <c r="AA1073" s="11" t="s">
        <v>91</v>
      </c>
      <c r="AB1073" s="11" t="s">
        <v>98</v>
      </c>
      <c r="AC1073" s="11"/>
      <c r="AD1073" s="11" t="b">
        <v>0</v>
      </c>
      <c r="AF1073" s="11" t="s">
        <v>3545</v>
      </c>
      <c r="AG1073" s="11" t="s">
        <v>3546</v>
      </c>
      <c r="AH1073" s="11"/>
      <c r="AI1073" s="11"/>
    </row>
    <row r="1074" ht="12.5" spans="1:35">
      <c r="A1074" s="177">
        <v>45322.473876956</v>
      </c>
      <c r="B1074" s="11" t="s">
        <v>3395</v>
      </c>
      <c r="C1074" s="277" t="s">
        <v>3396</v>
      </c>
      <c r="D1074" s="19">
        <v>700809484779783</v>
      </c>
      <c r="E1074" s="18" t="s">
        <v>3547</v>
      </c>
      <c r="F1074" s="11" t="s">
        <v>40</v>
      </c>
      <c r="G1074" s="11" t="s">
        <v>88</v>
      </c>
      <c r="H1074" s="24">
        <v>32401</v>
      </c>
      <c r="I1074" s="277" t="s">
        <v>3548</v>
      </c>
      <c r="J1074" s="11" t="s">
        <v>42</v>
      </c>
      <c r="K1074" s="108" t="s">
        <v>282</v>
      </c>
      <c r="N1074" s="11" t="s">
        <v>95</v>
      </c>
      <c r="O1074" s="11" t="s">
        <v>44</v>
      </c>
      <c r="P1074" s="11" t="s">
        <v>44</v>
      </c>
      <c r="Q1074" s="11" t="s">
        <v>45</v>
      </c>
      <c r="R1074" s="11" t="s">
        <v>45</v>
      </c>
      <c r="S1074" s="11" t="s">
        <v>45</v>
      </c>
      <c r="T1074" s="11" t="s">
        <v>44</v>
      </c>
      <c r="U1074" s="11" t="s">
        <v>44</v>
      </c>
      <c r="W1074" s="11" t="s">
        <v>46</v>
      </c>
      <c r="X1074" s="11" t="s">
        <v>97</v>
      </c>
      <c r="Y1074" s="11" t="s">
        <v>97</v>
      </c>
      <c r="Z1074" s="11">
        <v>81986103821</v>
      </c>
      <c r="AA1074" s="11" t="s">
        <v>1360</v>
      </c>
      <c r="AB1074" s="11"/>
      <c r="AC1074" s="11"/>
      <c r="AD1074" s="11" t="b">
        <v>0</v>
      </c>
      <c r="AF1074" s="11"/>
      <c r="AG1074" s="11"/>
      <c r="AH1074" s="11"/>
      <c r="AI1074" s="11"/>
    </row>
    <row r="1075" ht="12.5" spans="1:35">
      <c r="A1075" s="177">
        <v>45322.4984083681</v>
      </c>
      <c r="B1075" s="11" t="s">
        <v>3528</v>
      </c>
      <c r="C1075" s="19">
        <v>12256305414</v>
      </c>
      <c r="D1075" s="19">
        <v>706406613229288</v>
      </c>
      <c r="E1075" s="18" t="s">
        <v>3549</v>
      </c>
      <c r="F1075" s="11" t="s">
        <v>40</v>
      </c>
      <c r="G1075" s="11" t="s">
        <v>54</v>
      </c>
      <c r="H1075" s="24">
        <v>36524</v>
      </c>
      <c r="I1075" s="277" t="s">
        <v>3179</v>
      </c>
      <c r="J1075" s="11" t="s">
        <v>42</v>
      </c>
      <c r="K1075" s="108" t="s">
        <v>427</v>
      </c>
      <c r="N1075" s="11" t="s">
        <v>95</v>
      </c>
      <c r="O1075" s="11" t="s">
        <v>96</v>
      </c>
      <c r="P1075" s="11" t="s">
        <v>66</v>
      </c>
      <c r="Q1075" s="11" t="s">
        <v>44</v>
      </c>
      <c r="R1075" s="11" t="s">
        <v>45</v>
      </c>
      <c r="S1075" s="11" t="s">
        <v>44</v>
      </c>
      <c r="T1075" s="11" t="s">
        <v>44</v>
      </c>
      <c r="U1075" s="11" t="s">
        <v>45</v>
      </c>
      <c r="V1075" s="24">
        <v>45323</v>
      </c>
      <c r="W1075" s="11" t="s">
        <v>46</v>
      </c>
      <c r="X1075" s="11" t="s">
        <v>97</v>
      </c>
      <c r="Y1075" s="11" t="s">
        <v>97</v>
      </c>
      <c r="Z1075" s="11">
        <v>81987997416</v>
      </c>
      <c r="AA1075" s="11" t="s">
        <v>91</v>
      </c>
      <c r="AB1075" s="11" t="s">
        <v>49</v>
      </c>
      <c r="AC1075" s="11" t="s">
        <v>92</v>
      </c>
      <c r="AD1075" s="11" t="b">
        <v>1</v>
      </c>
      <c r="AE1075" s="11" t="s">
        <v>137</v>
      </c>
      <c r="AF1075" s="11" t="s">
        <v>3550</v>
      </c>
      <c r="AG1075" s="11" t="s">
        <v>3551</v>
      </c>
      <c r="AH1075" s="11"/>
      <c r="AI1075" s="11"/>
    </row>
    <row r="1076" ht="12.5" spans="1:35">
      <c r="A1076" s="177">
        <v>45322.5394770023</v>
      </c>
      <c r="B1076" s="11" t="s">
        <v>3498</v>
      </c>
      <c r="C1076" s="19">
        <v>70191405485</v>
      </c>
      <c r="D1076" s="19">
        <v>700505399532654</v>
      </c>
      <c r="E1076" s="18" t="s">
        <v>3552</v>
      </c>
      <c r="F1076" s="11" t="s">
        <v>40</v>
      </c>
      <c r="G1076" s="11" t="s">
        <v>54</v>
      </c>
      <c r="H1076" s="24">
        <v>35105</v>
      </c>
      <c r="I1076" s="277" t="s">
        <v>3500</v>
      </c>
      <c r="J1076" s="11" t="s">
        <v>42</v>
      </c>
      <c r="K1076" s="108" t="s">
        <v>399</v>
      </c>
      <c r="N1076" s="11" t="s">
        <v>95</v>
      </c>
      <c r="O1076" s="11" t="s">
        <v>96</v>
      </c>
      <c r="P1076" s="11" t="s">
        <v>66</v>
      </c>
      <c r="Q1076" s="11" t="s">
        <v>44</v>
      </c>
      <c r="R1076" s="11" t="s">
        <v>44</v>
      </c>
      <c r="S1076" s="11" t="s">
        <v>45</v>
      </c>
      <c r="T1076" s="11" t="s">
        <v>44</v>
      </c>
      <c r="U1076" s="11" t="s">
        <v>45</v>
      </c>
      <c r="V1076" s="24">
        <v>45324</v>
      </c>
      <c r="W1076" s="11" t="s">
        <v>46</v>
      </c>
      <c r="X1076" s="11" t="s">
        <v>97</v>
      </c>
      <c r="Y1076" s="11" t="s">
        <v>97</v>
      </c>
      <c r="Z1076" s="11">
        <v>81992186999</v>
      </c>
      <c r="AA1076" s="11" t="s">
        <v>1360</v>
      </c>
      <c r="AB1076" s="11" t="s">
        <v>49</v>
      </c>
      <c r="AC1076" s="11" t="s">
        <v>256</v>
      </c>
      <c r="AD1076" s="11" t="b">
        <v>0</v>
      </c>
      <c r="AF1076" s="11" t="s">
        <v>3553</v>
      </c>
      <c r="AG1076" s="11"/>
      <c r="AH1076" s="11" t="s">
        <v>1913</v>
      </c>
      <c r="AI1076" s="11"/>
    </row>
    <row r="1077" ht="12.5" spans="1:35">
      <c r="A1077" s="177">
        <v>45322.6434253935</v>
      </c>
      <c r="B1077" s="11" t="s">
        <v>3554</v>
      </c>
      <c r="C1077" s="19">
        <v>71144197406</v>
      </c>
      <c r="D1077" s="19">
        <v>700605968716869</v>
      </c>
      <c r="E1077" s="18" t="s">
        <v>3555</v>
      </c>
      <c r="F1077" s="136" t="s">
        <v>40</v>
      </c>
      <c r="G1077" s="11" t="s">
        <v>54</v>
      </c>
      <c r="H1077" s="24">
        <v>36039</v>
      </c>
      <c r="I1077" s="19" t="s">
        <v>3556</v>
      </c>
      <c r="J1077" s="11" t="s">
        <v>438</v>
      </c>
      <c r="K1077" s="108"/>
      <c r="M1077" s="11" t="s">
        <v>3557</v>
      </c>
      <c r="N1077" s="11" t="s">
        <v>43</v>
      </c>
      <c r="O1077" s="11" t="s">
        <v>44</v>
      </c>
      <c r="P1077" s="11" t="s">
        <v>44</v>
      </c>
      <c r="Q1077" s="11" t="s">
        <v>44</v>
      </c>
      <c r="R1077" s="11" t="s">
        <v>45</v>
      </c>
      <c r="S1077" s="11" t="s">
        <v>83</v>
      </c>
      <c r="T1077" s="11" t="s">
        <v>44</v>
      </c>
      <c r="U1077" s="11" t="s">
        <v>44</v>
      </c>
      <c r="W1077" s="11" t="s">
        <v>46</v>
      </c>
      <c r="X1077" s="11" t="s">
        <v>47</v>
      </c>
      <c r="Y1077" s="11" t="s">
        <v>58</v>
      </c>
      <c r="Z1077" s="11">
        <v>81999181171</v>
      </c>
      <c r="AA1077" s="11" t="s">
        <v>91</v>
      </c>
      <c r="AB1077" s="11"/>
      <c r="AC1077" s="11"/>
      <c r="AD1077" s="11" t="b">
        <v>0</v>
      </c>
      <c r="AF1077" s="11"/>
      <c r="AG1077" s="11"/>
      <c r="AH1077" s="11"/>
      <c r="AI1077" s="11"/>
    </row>
    <row r="1078" ht="12.5" spans="1:35">
      <c r="A1078" s="177">
        <v>45322.6961058912</v>
      </c>
      <c r="B1078" s="11" t="s">
        <v>3558</v>
      </c>
      <c r="C1078" s="19">
        <v>12102109402</v>
      </c>
      <c r="D1078" s="19">
        <v>702609215868645</v>
      </c>
      <c r="E1078" s="18" t="s">
        <v>3559</v>
      </c>
      <c r="F1078" s="11" t="s">
        <v>40</v>
      </c>
      <c r="G1078" s="11" t="s">
        <v>41</v>
      </c>
      <c r="H1078" s="24">
        <v>36166</v>
      </c>
      <c r="I1078" s="19" t="s">
        <v>136</v>
      </c>
      <c r="J1078" s="11" t="s">
        <v>42</v>
      </c>
      <c r="K1078" s="108" t="s">
        <v>3560</v>
      </c>
      <c r="N1078" s="11" t="s">
        <v>43</v>
      </c>
      <c r="O1078" s="11" t="s">
        <v>44</v>
      </c>
      <c r="P1078" s="11" t="s">
        <v>44</v>
      </c>
      <c r="Q1078" s="11" t="s">
        <v>45</v>
      </c>
      <c r="R1078" s="11" t="s">
        <v>45</v>
      </c>
      <c r="S1078" s="11" t="s">
        <v>44</v>
      </c>
      <c r="T1078" s="11" t="s">
        <v>44</v>
      </c>
      <c r="U1078" s="11" t="s">
        <v>45</v>
      </c>
      <c r="V1078" s="24">
        <v>45324</v>
      </c>
      <c r="W1078" s="11" t="s">
        <v>46</v>
      </c>
      <c r="X1078" s="11" t="s">
        <v>47</v>
      </c>
      <c r="Y1078" s="11" t="s">
        <v>58</v>
      </c>
      <c r="Z1078" s="11">
        <v>81987073783</v>
      </c>
      <c r="AA1078" s="11" t="s">
        <v>91</v>
      </c>
      <c r="AB1078" s="11" t="s">
        <v>98</v>
      </c>
      <c r="AC1078" s="11"/>
      <c r="AD1078" s="11" t="b">
        <v>0</v>
      </c>
      <c r="AF1078" s="11" t="s">
        <v>3561</v>
      </c>
      <c r="AG1078" s="11" t="s">
        <v>3562</v>
      </c>
      <c r="AH1078" s="11"/>
      <c r="AI1078" s="11"/>
    </row>
    <row r="1079" ht="12.5" spans="1:35">
      <c r="A1079" s="177">
        <v>45322.7261230903</v>
      </c>
      <c r="B1079" s="11" t="s">
        <v>3538</v>
      </c>
      <c r="C1079" s="277" t="s">
        <v>3539</v>
      </c>
      <c r="D1079" s="19">
        <v>700601478937660</v>
      </c>
      <c r="F1079" s="11" t="s">
        <v>40</v>
      </c>
      <c r="G1079" s="11" t="s">
        <v>54</v>
      </c>
      <c r="H1079" s="24">
        <v>33436</v>
      </c>
      <c r="I1079" s="277" t="s">
        <v>2848</v>
      </c>
      <c r="J1079" s="11" t="s">
        <v>42</v>
      </c>
      <c r="K1079" s="108" t="s">
        <v>455</v>
      </c>
      <c r="N1079" s="11" t="s">
        <v>95</v>
      </c>
      <c r="O1079" s="11" t="s">
        <v>127</v>
      </c>
      <c r="P1079" s="11" t="s">
        <v>44</v>
      </c>
      <c r="Q1079" s="11" t="s">
        <v>44</v>
      </c>
      <c r="R1079" s="11" t="s">
        <v>45</v>
      </c>
      <c r="S1079" s="11" t="s">
        <v>45</v>
      </c>
      <c r="T1079" s="11" t="s">
        <v>44</v>
      </c>
      <c r="U1079" s="11" t="s">
        <v>44</v>
      </c>
      <c r="W1079" s="11" t="s">
        <v>57</v>
      </c>
      <c r="X1079" s="11" t="s">
        <v>97</v>
      </c>
      <c r="Y1079" s="11" t="s">
        <v>97</v>
      </c>
      <c r="Z1079" s="11">
        <v>81983704324</v>
      </c>
      <c r="AA1079" s="11" t="s">
        <v>1360</v>
      </c>
      <c r="AB1079" s="11"/>
      <c r="AC1079" s="11"/>
      <c r="AD1079" s="11" t="b">
        <v>0</v>
      </c>
      <c r="AF1079" s="11"/>
      <c r="AG1079" s="11"/>
      <c r="AH1079" s="11"/>
      <c r="AI1079" s="11"/>
    </row>
    <row r="1080" ht="12.5" spans="1:35">
      <c r="A1080" s="177">
        <v>45323.3273559259</v>
      </c>
      <c r="B1080" s="11" t="s">
        <v>3563</v>
      </c>
      <c r="C1080" s="19">
        <v>70493080481</v>
      </c>
      <c r="D1080" s="19">
        <v>700506558264153</v>
      </c>
      <c r="E1080" s="18" t="s">
        <v>3564</v>
      </c>
      <c r="F1080" s="11" t="s">
        <v>40</v>
      </c>
      <c r="G1080" s="11" t="s">
        <v>54</v>
      </c>
      <c r="H1080" s="24">
        <v>35824</v>
      </c>
      <c r="I1080" s="277" t="s">
        <v>1454</v>
      </c>
      <c r="J1080" s="11" t="s">
        <v>42</v>
      </c>
      <c r="K1080" s="108" t="s">
        <v>63</v>
      </c>
      <c r="N1080" s="11" t="s">
        <v>43</v>
      </c>
      <c r="O1080" s="11" t="s">
        <v>44</v>
      </c>
      <c r="P1080" s="11" t="s">
        <v>44</v>
      </c>
      <c r="Q1080" s="11" t="s">
        <v>44</v>
      </c>
      <c r="R1080" s="11" t="s">
        <v>45</v>
      </c>
      <c r="S1080" s="11" t="s">
        <v>45</v>
      </c>
      <c r="T1080" s="11" t="s">
        <v>44</v>
      </c>
      <c r="U1080" s="11" t="s">
        <v>45</v>
      </c>
      <c r="V1080" s="24">
        <v>45323</v>
      </c>
      <c r="W1080" s="11" t="s">
        <v>57</v>
      </c>
      <c r="X1080" s="254" t="s">
        <v>67</v>
      </c>
      <c r="Y1080" s="11" t="s">
        <v>58</v>
      </c>
      <c r="Z1080" s="11">
        <v>81983931851</v>
      </c>
      <c r="AA1080" s="11" t="s">
        <v>105</v>
      </c>
      <c r="AB1080" s="11" t="s">
        <v>49</v>
      </c>
      <c r="AC1080" s="11" t="s">
        <v>92</v>
      </c>
      <c r="AD1080" s="11" t="b">
        <v>0</v>
      </c>
      <c r="AF1080" s="11" t="s">
        <v>3565</v>
      </c>
      <c r="AG1080" s="11"/>
      <c r="AH1080" s="11" t="s">
        <v>3566</v>
      </c>
      <c r="AI1080" s="11"/>
    </row>
    <row r="1081" ht="12.5" spans="1:35">
      <c r="A1081" s="177">
        <v>45323.4836096991</v>
      </c>
      <c r="B1081" s="11" t="s">
        <v>3563</v>
      </c>
      <c r="C1081" s="19">
        <v>70493080481</v>
      </c>
      <c r="D1081" s="19">
        <v>700506558264153</v>
      </c>
      <c r="E1081" s="18" t="s">
        <v>3567</v>
      </c>
      <c r="F1081" s="11" t="s">
        <v>40</v>
      </c>
      <c r="G1081" s="11" t="s">
        <v>54</v>
      </c>
      <c r="H1081" s="24">
        <v>35824</v>
      </c>
      <c r="I1081" s="277" t="s">
        <v>1454</v>
      </c>
      <c r="J1081" s="11" t="s">
        <v>42</v>
      </c>
      <c r="K1081" s="108" t="s">
        <v>63</v>
      </c>
      <c r="N1081" s="11" t="s">
        <v>95</v>
      </c>
      <c r="O1081" s="11" t="s">
        <v>44</v>
      </c>
      <c r="P1081" s="11" t="s">
        <v>44</v>
      </c>
      <c r="Q1081" s="11" t="s">
        <v>44</v>
      </c>
      <c r="R1081" s="11" t="s">
        <v>45</v>
      </c>
      <c r="S1081" s="11" t="s">
        <v>83</v>
      </c>
      <c r="T1081" s="11" t="s">
        <v>44</v>
      </c>
      <c r="U1081" s="11" t="s">
        <v>45</v>
      </c>
      <c r="V1081" s="24">
        <v>45323</v>
      </c>
      <c r="W1081" s="11" t="s">
        <v>57</v>
      </c>
      <c r="X1081" s="11" t="s">
        <v>97</v>
      </c>
      <c r="Y1081" s="11" t="s">
        <v>97</v>
      </c>
      <c r="Z1081" s="11">
        <v>81983931851</v>
      </c>
      <c r="AA1081" s="11" t="s">
        <v>91</v>
      </c>
      <c r="AB1081" s="11" t="s">
        <v>49</v>
      </c>
      <c r="AC1081" s="11" t="s">
        <v>84</v>
      </c>
      <c r="AD1081" s="11" t="b">
        <v>0</v>
      </c>
      <c r="AF1081" s="11" t="s">
        <v>3568</v>
      </c>
      <c r="AG1081" s="11"/>
      <c r="AH1081" s="11"/>
      <c r="AI1081" s="11"/>
    </row>
    <row r="1082" ht="12.5" spans="1:35">
      <c r="A1082" s="177">
        <v>45323.5721529051</v>
      </c>
      <c r="B1082" s="11" t="s">
        <v>3528</v>
      </c>
      <c r="C1082" s="19">
        <v>12256305414</v>
      </c>
      <c r="D1082" s="19">
        <v>706406613229288</v>
      </c>
      <c r="E1082" s="18" t="s">
        <v>3569</v>
      </c>
      <c r="F1082" s="11" t="s">
        <v>40</v>
      </c>
      <c r="G1082" s="11" t="s">
        <v>54</v>
      </c>
      <c r="H1082" s="24">
        <v>36524</v>
      </c>
      <c r="I1082" s="277" t="s">
        <v>3179</v>
      </c>
      <c r="J1082" s="11" t="s">
        <v>42</v>
      </c>
      <c r="K1082" s="108" t="s">
        <v>427</v>
      </c>
      <c r="N1082" s="11" t="s">
        <v>95</v>
      </c>
      <c r="O1082" s="11" t="s">
        <v>44</v>
      </c>
      <c r="P1082" s="11" t="s">
        <v>44</v>
      </c>
      <c r="Q1082" s="11" t="s">
        <v>44</v>
      </c>
      <c r="R1082" s="11" t="s">
        <v>45</v>
      </c>
      <c r="S1082" s="11" t="s">
        <v>44</v>
      </c>
      <c r="T1082" s="11" t="s">
        <v>44</v>
      </c>
      <c r="U1082" s="11" t="s">
        <v>44</v>
      </c>
      <c r="W1082" s="11" t="s">
        <v>46</v>
      </c>
      <c r="X1082" s="11" t="s">
        <v>97</v>
      </c>
      <c r="Y1082" s="11" t="s">
        <v>97</v>
      </c>
      <c r="Z1082" s="11">
        <v>81987997416</v>
      </c>
      <c r="AA1082" s="11" t="s">
        <v>91</v>
      </c>
      <c r="AB1082" s="11"/>
      <c r="AC1082" s="11"/>
      <c r="AD1082" s="11" t="b">
        <v>0</v>
      </c>
      <c r="AF1082" s="11"/>
      <c r="AG1082" s="11"/>
      <c r="AH1082" s="11"/>
      <c r="AI1082" s="11"/>
    </row>
    <row r="1083" ht="12.5" spans="1:35">
      <c r="A1083" s="177">
        <v>45323.6033829861</v>
      </c>
      <c r="B1083" s="11" t="s">
        <v>3570</v>
      </c>
      <c r="C1083" s="19">
        <v>71998664457</v>
      </c>
      <c r="D1083" s="19">
        <v>701403685953337</v>
      </c>
      <c r="E1083" s="18" t="s">
        <v>3571</v>
      </c>
      <c r="F1083" s="11" t="s">
        <v>225</v>
      </c>
      <c r="G1083" s="11" t="s">
        <v>54</v>
      </c>
      <c r="H1083" s="24">
        <v>37472</v>
      </c>
      <c r="I1083" s="277" t="s">
        <v>3572</v>
      </c>
      <c r="J1083" s="11" t="s">
        <v>42</v>
      </c>
      <c r="K1083" s="108" t="s">
        <v>1734</v>
      </c>
      <c r="N1083" s="11" t="s">
        <v>43</v>
      </c>
      <c r="O1083" s="11" t="s">
        <v>65</v>
      </c>
      <c r="P1083" s="11" t="s">
        <v>66</v>
      </c>
      <c r="Q1083" s="11" t="s">
        <v>44</v>
      </c>
      <c r="R1083" s="11" t="s">
        <v>45</v>
      </c>
      <c r="S1083" s="11" t="s">
        <v>45</v>
      </c>
      <c r="T1083" s="11" t="s">
        <v>44</v>
      </c>
      <c r="U1083" s="11" t="s">
        <v>45</v>
      </c>
      <c r="V1083" s="24">
        <v>45323</v>
      </c>
      <c r="W1083" s="11" t="s">
        <v>46</v>
      </c>
      <c r="X1083" s="11" t="s">
        <v>47</v>
      </c>
      <c r="Y1083" s="11" t="s">
        <v>58</v>
      </c>
      <c r="Z1083" s="11">
        <v>81984540854</v>
      </c>
      <c r="AA1083" s="11" t="s">
        <v>232</v>
      </c>
      <c r="AB1083" s="11" t="s">
        <v>98</v>
      </c>
      <c r="AC1083" s="11"/>
      <c r="AD1083" s="11" t="b">
        <v>0</v>
      </c>
      <c r="AF1083" s="11" t="s">
        <v>3573</v>
      </c>
      <c r="AG1083" s="11" t="s">
        <v>3574</v>
      </c>
      <c r="AH1083" s="11"/>
      <c r="AI1083" s="11"/>
    </row>
    <row r="1084" ht="12.5" spans="1:35">
      <c r="A1084" s="177">
        <v>45323.6273334375</v>
      </c>
      <c r="B1084" s="11" t="s">
        <v>3563</v>
      </c>
      <c r="C1084" s="19">
        <v>70493080481</v>
      </c>
      <c r="D1084" s="19">
        <v>700506558264153</v>
      </c>
      <c r="F1084" s="11" t="s">
        <v>40</v>
      </c>
      <c r="G1084" s="11" t="s">
        <v>54</v>
      </c>
      <c r="H1084" s="24">
        <v>35824</v>
      </c>
      <c r="I1084" s="277" t="s">
        <v>1454</v>
      </c>
      <c r="J1084" s="11" t="s">
        <v>42</v>
      </c>
      <c r="K1084" s="108" t="s">
        <v>63</v>
      </c>
      <c r="N1084" s="11" t="s">
        <v>95</v>
      </c>
      <c r="O1084" s="11" t="s">
        <v>96</v>
      </c>
      <c r="P1084" s="11" t="s">
        <v>66</v>
      </c>
      <c r="Q1084" s="11" t="s">
        <v>44</v>
      </c>
      <c r="R1084" s="11" t="s">
        <v>45</v>
      </c>
      <c r="S1084" s="11" t="s">
        <v>45</v>
      </c>
      <c r="T1084" s="11" t="s">
        <v>44</v>
      </c>
      <c r="U1084" s="11" t="s">
        <v>45</v>
      </c>
      <c r="V1084" s="24">
        <v>45324</v>
      </c>
      <c r="W1084" s="11" t="s">
        <v>57</v>
      </c>
      <c r="X1084" s="11" t="s">
        <v>97</v>
      </c>
      <c r="Y1084" s="11" t="s">
        <v>97</v>
      </c>
      <c r="Z1084" s="11">
        <v>81983931851</v>
      </c>
      <c r="AA1084" s="11" t="s">
        <v>105</v>
      </c>
      <c r="AB1084" s="11" t="s">
        <v>49</v>
      </c>
      <c r="AC1084" s="11" t="s">
        <v>106</v>
      </c>
      <c r="AD1084" s="11" t="b">
        <v>0</v>
      </c>
      <c r="AF1084" s="11" t="s">
        <v>3575</v>
      </c>
      <c r="AG1084" s="11"/>
      <c r="AH1084" s="11" t="s">
        <v>3576</v>
      </c>
      <c r="AI1084" s="11"/>
    </row>
    <row r="1085" ht="12.5" spans="1:35">
      <c r="A1085" s="177">
        <v>45324.3860890741</v>
      </c>
      <c r="B1085" s="11" t="s">
        <v>3498</v>
      </c>
      <c r="C1085" s="19">
        <v>70191405485</v>
      </c>
      <c r="D1085" s="19">
        <v>700505399532654</v>
      </c>
      <c r="F1085" s="11" t="s">
        <v>40</v>
      </c>
      <c r="G1085" s="11" t="s">
        <v>54</v>
      </c>
      <c r="H1085" s="24">
        <v>35105</v>
      </c>
      <c r="I1085" s="277" t="s">
        <v>3577</v>
      </c>
      <c r="J1085" s="11" t="s">
        <v>42</v>
      </c>
      <c r="K1085" s="108" t="s">
        <v>74</v>
      </c>
      <c r="N1085" s="11" t="s">
        <v>95</v>
      </c>
      <c r="O1085" s="11" t="s">
        <v>96</v>
      </c>
      <c r="P1085" s="11" t="s">
        <v>66</v>
      </c>
      <c r="Q1085" s="11" t="s">
        <v>44</v>
      </c>
      <c r="R1085" s="11" t="s">
        <v>44</v>
      </c>
      <c r="S1085" s="11" t="s">
        <v>45</v>
      </c>
      <c r="T1085" s="11" t="s">
        <v>44</v>
      </c>
      <c r="U1085" s="11" t="s">
        <v>45</v>
      </c>
      <c r="V1085" s="24">
        <v>45325</v>
      </c>
      <c r="W1085" s="11" t="s">
        <v>57</v>
      </c>
      <c r="X1085" s="11" t="s">
        <v>97</v>
      </c>
      <c r="Y1085" s="11" t="s">
        <v>97</v>
      </c>
      <c r="Z1085" s="11">
        <v>81992186999</v>
      </c>
      <c r="AA1085" s="11" t="s">
        <v>1360</v>
      </c>
      <c r="AB1085" s="11" t="s">
        <v>49</v>
      </c>
      <c r="AC1085" s="11" t="s">
        <v>256</v>
      </c>
      <c r="AD1085" s="11" t="b">
        <v>0</v>
      </c>
      <c r="AF1085" s="11" t="s">
        <v>3578</v>
      </c>
      <c r="AG1085" s="11"/>
      <c r="AH1085" s="11"/>
      <c r="AI1085" s="11"/>
    </row>
    <row r="1086" ht="12.5" spans="1:35">
      <c r="A1086" s="177">
        <v>45324.5961269213</v>
      </c>
      <c r="B1086" s="11" t="s">
        <v>3579</v>
      </c>
      <c r="C1086" s="19">
        <v>70981237495</v>
      </c>
      <c r="D1086" s="19">
        <v>708405244029769</v>
      </c>
      <c r="E1086" s="18" t="s">
        <v>3580</v>
      </c>
      <c r="F1086" s="11" t="s">
        <v>40</v>
      </c>
      <c r="G1086" s="11" t="s">
        <v>54</v>
      </c>
      <c r="H1086" s="24">
        <v>34359</v>
      </c>
      <c r="I1086" s="19" t="s">
        <v>110</v>
      </c>
      <c r="J1086" s="11" t="s">
        <v>438</v>
      </c>
      <c r="K1086" s="108"/>
      <c r="M1086" s="11" t="s">
        <v>650</v>
      </c>
      <c r="N1086" s="11" t="s">
        <v>43</v>
      </c>
      <c r="O1086" s="11" t="s">
        <v>44</v>
      </c>
      <c r="P1086" s="11" t="s">
        <v>56</v>
      </c>
      <c r="Q1086" s="11" t="s">
        <v>44</v>
      </c>
      <c r="R1086" s="11" t="s">
        <v>45</v>
      </c>
      <c r="S1086" s="11" t="s">
        <v>83</v>
      </c>
      <c r="T1086" s="11" t="s">
        <v>44</v>
      </c>
      <c r="U1086" s="11" t="s">
        <v>44</v>
      </c>
      <c r="W1086" s="11" t="s">
        <v>46</v>
      </c>
      <c r="X1086" s="11" t="s">
        <v>47</v>
      </c>
      <c r="Y1086" s="11" t="s">
        <v>58</v>
      </c>
      <c r="Z1086" s="11">
        <v>81999730260</v>
      </c>
      <c r="AA1086" s="11" t="s">
        <v>91</v>
      </c>
      <c r="AB1086" s="11"/>
      <c r="AC1086" s="11"/>
      <c r="AD1086" s="11" t="b">
        <v>0</v>
      </c>
      <c r="AF1086" s="11"/>
      <c r="AG1086" s="11"/>
      <c r="AH1086" s="11"/>
      <c r="AI1086" s="11"/>
    </row>
    <row r="1087" ht="12.5" spans="1:35">
      <c r="A1087" s="177">
        <v>45324.6029773611</v>
      </c>
      <c r="B1087" s="11" t="s">
        <v>3563</v>
      </c>
      <c r="C1087" s="19">
        <v>70493080481</v>
      </c>
      <c r="D1087" s="19">
        <v>700506558264153</v>
      </c>
      <c r="F1087" s="11" t="s">
        <v>40</v>
      </c>
      <c r="G1087" s="11" t="s">
        <v>54</v>
      </c>
      <c r="H1087" s="24">
        <v>35824</v>
      </c>
      <c r="I1087" s="277" t="s">
        <v>1454</v>
      </c>
      <c r="J1087" s="11" t="s">
        <v>42</v>
      </c>
      <c r="K1087" s="108" t="s">
        <v>63</v>
      </c>
      <c r="N1087" s="11" t="s">
        <v>95</v>
      </c>
      <c r="O1087" s="11" t="s">
        <v>44</v>
      </c>
      <c r="P1087" s="11" t="s">
        <v>44</v>
      </c>
      <c r="Q1087" s="11" t="s">
        <v>44</v>
      </c>
      <c r="R1087" s="11" t="s">
        <v>45</v>
      </c>
      <c r="S1087" s="11" t="s">
        <v>45</v>
      </c>
      <c r="T1087" s="11" t="s">
        <v>44</v>
      </c>
      <c r="U1087" s="11" t="s">
        <v>44</v>
      </c>
      <c r="W1087" s="11" t="s">
        <v>57</v>
      </c>
      <c r="X1087" s="11" t="s">
        <v>97</v>
      </c>
      <c r="Y1087" s="11" t="s">
        <v>97</v>
      </c>
      <c r="Z1087" s="11">
        <v>81983931851</v>
      </c>
      <c r="AA1087" s="11" t="s">
        <v>103</v>
      </c>
      <c r="AB1087" s="11"/>
      <c r="AC1087" s="11"/>
      <c r="AD1087" s="11" t="b">
        <v>0</v>
      </c>
      <c r="AF1087" s="11"/>
      <c r="AG1087" s="11"/>
      <c r="AH1087" s="11"/>
      <c r="AI1087" s="11"/>
    </row>
    <row r="1088" ht="12.5" spans="1:35">
      <c r="A1088" s="177">
        <v>45325.3559550579</v>
      </c>
      <c r="B1088" s="11" t="s">
        <v>3581</v>
      </c>
      <c r="C1088" s="19">
        <v>70443909431</v>
      </c>
      <c r="D1088" s="19">
        <v>702304159779113</v>
      </c>
      <c r="E1088" s="18" t="s">
        <v>3582</v>
      </c>
      <c r="F1088" s="11" t="s">
        <v>40</v>
      </c>
      <c r="G1088" s="11" t="s">
        <v>54</v>
      </c>
      <c r="H1088" s="24">
        <v>36020</v>
      </c>
      <c r="I1088" s="277" t="s">
        <v>3583</v>
      </c>
      <c r="J1088" s="11" t="s">
        <v>42</v>
      </c>
      <c r="K1088" s="108" t="s">
        <v>155</v>
      </c>
      <c r="N1088" s="11" t="s">
        <v>43</v>
      </c>
      <c r="O1088" s="11" t="s">
        <v>44</v>
      </c>
      <c r="P1088" s="11" t="s">
        <v>44</v>
      </c>
      <c r="Q1088" s="11" t="s">
        <v>44</v>
      </c>
      <c r="R1088" s="11" t="s">
        <v>45</v>
      </c>
      <c r="S1088" s="11" t="s">
        <v>45</v>
      </c>
      <c r="T1088" s="11" t="s">
        <v>44</v>
      </c>
      <c r="U1088" s="11" t="s">
        <v>44</v>
      </c>
      <c r="W1088" s="11" t="s">
        <v>46</v>
      </c>
      <c r="X1088" s="11" t="s">
        <v>303</v>
      </c>
      <c r="Y1088" s="11" t="s">
        <v>58</v>
      </c>
      <c r="Z1088" s="11">
        <v>81985021687</v>
      </c>
      <c r="AA1088" s="11" t="s">
        <v>1360</v>
      </c>
      <c r="AB1088" s="11"/>
      <c r="AC1088" s="11"/>
      <c r="AD1088" s="11" t="b">
        <v>0</v>
      </c>
      <c r="AF1088" s="11"/>
      <c r="AG1088" s="11"/>
      <c r="AH1088" s="11"/>
      <c r="AI1088" s="11"/>
    </row>
    <row r="1089" ht="12.5" spans="1:35">
      <c r="A1089" s="177">
        <v>45325.4180384375</v>
      </c>
      <c r="B1089" s="11" t="s">
        <v>1599</v>
      </c>
      <c r="C1089" s="19">
        <v>71567974414</v>
      </c>
      <c r="D1089" s="19">
        <v>700001451759201</v>
      </c>
      <c r="E1089" s="18" t="s">
        <v>3584</v>
      </c>
      <c r="F1089" s="11" t="s">
        <v>40</v>
      </c>
      <c r="G1089" s="11" t="s">
        <v>54</v>
      </c>
      <c r="H1089" s="24">
        <v>36957</v>
      </c>
      <c r="I1089" s="277" t="s">
        <v>3446</v>
      </c>
      <c r="J1089" s="11" t="s">
        <v>438</v>
      </c>
      <c r="K1089" s="108"/>
      <c r="M1089" s="11" t="s">
        <v>3585</v>
      </c>
      <c r="N1089" s="11" t="s">
        <v>43</v>
      </c>
      <c r="O1089" s="11" t="s">
        <v>44</v>
      </c>
      <c r="P1089" s="11" t="s">
        <v>44</v>
      </c>
      <c r="Q1089" s="11" t="s">
        <v>44</v>
      </c>
      <c r="R1089" s="11" t="s">
        <v>45</v>
      </c>
      <c r="S1089" s="11" t="s">
        <v>83</v>
      </c>
      <c r="T1089" s="11" t="s">
        <v>44</v>
      </c>
      <c r="U1089" s="11" t="s">
        <v>44</v>
      </c>
      <c r="W1089" s="11" t="s">
        <v>46</v>
      </c>
      <c r="X1089" s="254" t="s">
        <v>156</v>
      </c>
      <c r="Y1089" s="11" t="s">
        <v>58</v>
      </c>
      <c r="Z1089" s="11">
        <v>81996571827</v>
      </c>
      <c r="AA1089" s="11" t="s">
        <v>1360</v>
      </c>
      <c r="AB1089" s="11"/>
      <c r="AC1089" s="11"/>
      <c r="AD1089" s="11" t="b">
        <v>0</v>
      </c>
      <c r="AF1089" s="11"/>
      <c r="AG1089" s="11"/>
      <c r="AH1089" s="11"/>
      <c r="AI1089" s="11"/>
    </row>
    <row r="1090" ht="12.5" spans="1:35">
      <c r="A1090" s="177">
        <v>45325.5197480556</v>
      </c>
      <c r="B1090" s="11" t="s">
        <v>3498</v>
      </c>
      <c r="C1090" s="19">
        <v>70191405485</v>
      </c>
      <c r="D1090" s="19">
        <v>700505399532654</v>
      </c>
      <c r="E1090" s="18" t="s">
        <v>3586</v>
      </c>
      <c r="F1090" s="11" t="s">
        <v>40</v>
      </c>
      <c r="G1090" s="11" t="s">
        <v>54</v>
      </c>
      <c r="H1090" s="24">
        <v>35105</v>
      </c>
      <c r="I1090" s="277" t="s">
        <v>3500</v>
      </c>
      <c r="J1090" s="11" t="s">
        <v>42</v>
      </c>
      <c r="K1090" s="108" t="s">
        <v>74</v>
      </c>
      <c r="N1090" s="11" t="s">
        <v>95</v>
      </c>
      <c r="O1090" s="11" t="s">
        <v>44</v>
      </c>
      <c r="P1090" s="11" t="s">
        <v>44</v>
      </c>
      <c r="Q1090" s="11" t="s">
        <v>44</v>
      </c>
      <c r="R1090" s="11" t="s">
        <v>44</v>
      </c>
      <c r="S1090" s="11" t="s">
        <v>45</v>
      </c>
      <c r="T1090" s="11" t="s">
        <v>44</v>
      </c>
      <c r="U1090" s="11" t="s">
        <v>44</v>
      </c>
      <c r="W1090" s="11" t="s">
        <v>57</v>
      </c>
      <c r="X1090" s="11" t="s">
        <v>97</v>
      </c>
      <c r="Y1090" s="11" t="s">
        <v>97</v>
      </c>
      <c r="Z1090" s="11">
        <v>81992186999</v>
      </c>
      <c r="AA1090" s="11" t="s">
        <v>1360</v>
      </c>
      <c r="AB1090" s="11"/>
      <c r="AC1090" s="11"/>
      <c r="AD1090" s="11" t="b">
        <v>0</v>
      </c>
      <c r="AF1090" s="11"/>
      <c r="AG1090" s="11"/>
      <c r="AH1090" s="11"/>
      <c r="AI1090" s="11"/>
    </row>
    <row r="1091" ht="12.5" spans="1:35">
      <c r="A1091" s="177">
        <v>45325.5971327778</v>
      </c>
      <c r="B1091" s="11" t="s">
        <v>3587</v>
      </c>
      <c r="C1091" s="19">
        <v>70942859499</v>
      </c>
      <c r="D1091" s="19">
        <v>700006238173704</v>
      </c>
      <c r="E1091" s="18" t="s">
        <v>3588</v>
      </c>
      <c r="F1091" s="11" t="s">
        <v>40</v>
      </c>
      <c r="G1091" s="11" t="s">
        <v>41</v>
      </c>
      <c r="H1091" s="24">
        <v>34498</v>
      </c>
      <c r="I1091" s="277" t="s">
        <v>3589</v>
      </c>
      <c r="J1091" s="11" t="s">
        <v>42</v>
      </c>
      <c r="K1091" s="108" t="s">
        <v>455</v>
      </c>
      <c r="N1091" s="11" t="s">
        <v>43</v>
      </c>
      <c r="O1091" s="11" t="s">
        <v>44</v>
      </c>
      <c r="P1091" s="11" t="s">
        <v>44</v>
      </c>
      <c r="Q1091" s="11" t="s">
        <v>44</v>
      </c>
      <c r="R1091" s="11" t="s">
        <v>45</v>
      </c>
      <c r="S1091" s="11" t="s">
        <v>45</v>
      </c>
      <c r="T1091" s="11" t="s">
        <v>44</v>
      </c>
      <c r="U1091" s="11" t="s">
        <v>44</v>
      </c>
      <c r="W1091" s="11" t="s">
        <v>46</v>
      </c>
      <c r="X1091" s="11" t="s">
        <v>303</v>
      </c>
      <c r="Y1091" s="11" t="s">
        <v>58</v>
      </c>
      <c r="Z1091" s="11">
        <v>81988114569</v>
      </c>
      <c r="AA1091" s="11" t="s">
        <v>1360</v>
      </c>
      <c r="AB1091" s="11"/>
      <c r="AC1091" s="11"/>
      <c r="AD1091" s="11" t="b">
        <v>0</v>
      </c>
      <c r="AF1091" s="11"/>
      <c r="AG1091" s="11"/>
      <c r="AH1091" s="11"/>
      <c r="AI1091" s="11"/>
    </row>
    <row r="1092" ht="12.5" spans="1:35">
      <c r="A1092" s="177">
        <v>45326.6822022569</v>
      </c>
      <c r="B1092" s="11" t="s">
        <v>3563</v>
      </c>
      <c r="C1092" s="19">
        <v>70493080481</v>
      </c>
      <c r="D1092" s="19">
        <v>700506558264153</v>
      </c>
      <c r="E1092" s="18" t="s">
        <v>3590</v>
      </c>
      <c r="F1092" s="11" t="s">
        <v>40</v>
      </c>
      <c r="G1092" s="11" t="s">
        <v>54</v>
      </c>
      <c r="H1092" s="24">
        <v>44955</v>
      </c>
      <c r="I1092" s="277" t="s">
        <v>1454</v>
      </c>
      <c r="J1092" s="11" t="s">
        <v>42</v>
      </c>
      <c r="K1092" s="108" t="s">
        <v>90</v>
      </c>
      <c r="N1092" s="11" t="s">
        <v>43</v>
      </c>
      <c r="O1092" s="11" t="s">
        <v>96</v>
      </c>
      <c r="P1092" s="11" t="s">
        <v>66</v>
      </c>
      <c r="Q1092" s="11" t="s">
        <v>44</v>
      </c>
      <c r="R1092" s="11" t="s">
        <v>45</v>
      </c>
      <c r="S1092" s="11" t="s">
        <v>45</v>
      </c>
      <c r="T1092" s="11" t="s">
        <v>44</v>
      </c>
      <c r="U1092" s="11" t="s">
        <v>45</v>
      </c>
      <c r="V1092" s="24">
        <v>45327</v>
      </c>
      <c r="W1092" s="11" t="s">
        <v>57</v>
      </c>
      <c r="X1092" s="11" t="s">
        <v>303</v>
      </c>
      <c r="Y1092" s="11" t="s">
        <v>58</v>
      </c>
      <c r="Z1092" s="11">
        <v>81983931851</v>
      </c>
      <c r="AA1092" s="11" t="s">
        <v>91</v>
      </c>
      <c r="AB1092" s="11" t="s">
        <v>49</v>
      </c>
      <c r="AC1092" s="11" t="s">
        <v>256</v>
      </c>
      <c r="AD1092" s="11" t="b">
        <v>0</v>
      </c>
      <c r="AF1092" s="11" t="s">
        <v>3591</v>
      </c>
      <c r="AG1092" s="11" t="s">
        <v>3592</v>
      </c>
      <c r="AH1092" s="11"/>
      <c r="AI1092" s="11"/>
    </row>
    <row r="1093" ht="12.5" spans="1:35">
      <c r="A1093" s="177">
        <v>45327.3806685185</v>
      </c>
      <c r="B1093" s="11" t="s">
        <v>1401</v>
      </c>
      <c r="C1093" s="19">
        <v>10966441427</v>
      </c>
      <c r="D1093" s="19">
        <v>709604646515272</v>
      </c>
      <c r="E1093" s="18" t="s">
        <v>3593</v>
      </c>
      <c r="F1093" s="11" t="s">
        <v>40</v>
      </c>
      <c r="G1093" s="11" t="s">
        <v>54</v>
      </c>
      <c r="H1093" s="24">
        <v>36310</v>
      </c>
      <c r="I1093" s="277" t="s">
        <v>1377</v>
      </c>
      <c r="J1093" s="11" t="s">
        <v>42</v>
      </c>
      <c r="K1093" s="108" t="s">
        <v>877</v>
      </c>
      <c r="N1093" s="11" t="s">
        <v>43</v>
      </c>
      <c r="O1093" s="11" t="s">
        <v>44</v>
      </c>
      <c r="P1093" s="11" t="s">
        <v>44</v>
      </c>
      <c r="Q1093" s="11" t="s">
        <v>44</v>
      </c>
      <c r="R1093" s="11" t="s">
        <v>45</v>
      </c>
      <c r="S1093" s="11" t="s">
        <v>45</v>
      </c>
      <c r="T1093" s="11" t="s">
        <v>44</v>
      </c>
      <c r="U1093" s="11" t="s">
        <v>45</v>
      </c>
      <c r="V1093" s="24">
        <v>45327</v>
      </c>
      <c r="W1093" s="11" t="s">
        <v>46</v>
      </c>
      <c r="X1093" s="11" t="s">
        <v>47</v>
      </c>
      <c r="Y1093" s="11" t="s">
        <v>58</v>
      </c>
      <c r="Z1093" s="11">
        <v>81998490815</v>
      </c>
      <c r="AA1093" s="11" t="s">
        <v>105</v>
      </c>
      <c r="AB1093" s="11" t="s">
        <v>49</v>
      </c>
      <c r="AC1093" s="11" t="s">
        <v>84</v>
      </c>
      <c r="AD1093" s="11" t="b">
        <v>0</v>
      </c>
      <c r="AF1093" s="11" t="s">
        <v>3594</v>
      </c>
      <c r="AG1093" s="11" t="s">
        <v>3595</v>
      </c>
      <c r="AH1093" s="11" t="s">
        <v>3596</v>
      </c>
      <c r="AI1093" s="11"/>
    </row>
    <row r="1094" ht="12.5" spans="1:35">
      <c r="A1094" s="177">
        <v>45327.5228684375</v>
      </c>
      <c r="B1094" s="11" t="s">
        <v>3597</v>
      </c>
      <c r="C1094" s="19">
        <v>10991103432</v>
      </c>
      <c r="D1094" s="19">
        <v>706809705489420</v>
      </c>
      <c r="E1094" s="18" t="s">
        <v>3598</v>
      </c>
      <c r="F1094" s="11" t="s">
        <v>40</v>
      </c>
      <c r="G1094" s="11" t="s">
        <v>41</v>
      </c>
      <c r="H1094" s="24">
        <v>34508</v>
      </c>
      <c r="I1094" s="277" t="s">
        <v>2410</v>
      </c>
      <c r="J1094" s="11" t="s">
        <v>42</v>
      </c>
      <c r="K1094" s="108" t="s">
        <v>174</v>
      </c>
      <c r="N1094" s="11" t="s">
        <v>43</v>
      </c>
      <c r="O1094" s="11" t="s">
        <v>44</v>
      </c>
      <c r="P1094" s="11" t="s">
        <v>44</v>
      </c>
      <c r="Q1094" s="11" t="s">
        <v>44</v>
      </c>
      <c r="R1094" s="11" t="s">
        <v>45</v>
      </c>
      <c r="S1094" s="11" t="s">
        <v>83</v>
      </c>
      <c r="T1094" s="11" t="s">
        <v>44</v>
      </c>
      <c r="U1094" s="11" t="s">
        <v>45</v>
      </c>
      <c r="V1094" s="24">
        <v>45327</v>
      </c>
      <c r="W1094" s="11" t="s">
        <v>46</v>
      </c>
      <c r="X1094" s="11" t="s">
        <v>47</v>
      </c>
      <c r="Y1094" s="11" t="s">
        <v>58</v>
      </c>
      <c r="Z1094" s="11">
        <v>81993803029</v>
      </c>
      <c r="AA1094" s="11" t="s">
        <v>91</v>
      </c>
      <c r="AB1094" s="11" t="s">
        <v>49</v>
      </c>
      <c r="AC1094" s="11" t="s">
        <v>92</v>
      </c>
      <c r="AD1094" s="11" t="b">
        <v>1</v>
      </c>
      <c r="AE1094" s="11" t="s">
        <v>137</v>
      </c>
      <c r="AF1094" s="11" t="s">
        <v>3599</v>
      </c>
      <c r="AG1094" s="11"/>
      <c r="AH1094" s="11" t="s">
        <v>3600</v>
      </c>
      <c r="AI1094" s="11"/>
    </row>
    <row r="1095" ht="12.5" spans="1:35">
      <c r="A1095" s="177">
        <v>45327.5265551273</v>
      </c>
      <c r="B1095" s="11" t="s">
        <v>3601</v>
      </c>
      <c r="C1095" s="19">
        <v>14567730461</v>
      </c>
      <c r="D1095" s="19">
        <v>898005185455359</v>
      </c>
      <c r="E1095" s="18" t="s">
        <v>3602</v>
      </c>
      <c r="F1095" s="11" t="s">
        <v>40</v>
      </c>
      <c r="G1095" s="11" t="s">
        <v>54</v>
      </c>
      <c r="H1095" s="24">
        <v>37166</v>
      </c>
      <c r="I1095" s="277" t="s">
        <v>1708</v>
      </c>
      <c r="J1095" s="11" t="s">
        <v>42</v>
      </c>
      <c r="K1095" s="108" t="s">
        <v>202</v>
      </c>
      <c r="N1095" s="11" t="s">
        <v>43</v>
      </c>
      <c r="O1095" s="11" t="s">
        <v>44</v>
      </c>
      <c r="P1095" s="11" t="s">
        <v>44</v>
      </c>
      <c r="Q1095" s="11" t="s">
        <v>44</v>
      </c>
      <c r="R1095" s="11" t="s">
        <v>45</v>
      </c>
      <c r="S1095" s="11" t="s">
        <v>45</v>
      </c>
      <c r="T1095" s="11" t="s">
        <v>44</v>
      </c>
      <c r="U1095" s="11" t="s">
        <v>45</v>
      </c>
      <c r="V1095" s="24">
        <v>45327</v>
      </c>
      <c r="W1095" s="11" t="s">
        <v>46</v>
      </c>
      <c r="X1095" s="11" t="s">
        <v>47</v>
      </c>
      <c r="Y1095" s="11" t="s">
        <v>58</v>
      </c>
      <c r="Z1095" s="11">
        <v>81996465987</v>
      </c>
      <c r="AA1095" s="11" t="s">
        <v>1360</v>
      </c>
      <c r="AB1095" s="11" t="s">
        <v>49</v>
      </c>
      <c r="AC1095" s="11" t="s">
        <v>84</v>
      </c>
      <c r="AD1095" s="11" t="b">
        <v>0</v>
      </c>
      <c r="AF1095" s="11" t="s">
        <v>3603</v>
      </c>
      <c r="AG1095" s="11"/>
      <c r="AH1095" s="11" t="s">
        <v>3604</v>
      </c>
      <c r="AI1095" s="11"/>
    </row>
    <row r="1096" ht="12.5" spans="1:35">
      <c r="A1096" s="177">
        <v>45327.6650605903</v>
      </c>
      <c r="B1096" s="11" t="s">
        <v>1401</v>
      </c>
      <c r="C1096" s="19">
        <v>10966441427</v>
      </c>
      <c r="D1096" s="19">
        <v>709604646515272</v>
      </c>
      <c r="F1096" s="11" t="s">
        <v>40</v>
      </c>
      <c r="G1096" s="11" t="s">
        <v>54</v>
      </c>
      <c r="H1096" s="24">
        <v>36310</v>
      </c>
      <c r="I1096" s="277" t="s">
        <v>1377</v>
      </c>
      <c r="J1096" s="11" t="s">
        <v>42</v>
      </c>
      <c r="K1096" s="108" t="s">
        <v>877</v>
      </c>
      <c r="N1096" s="11" t="s">
        <v>95</v>
      </c>
      <c r="O1096" s="11" t="s">
        <v>44</v>
      </c>
      <c r="P1096" s="11" t="s">
        <v>44</v>
      </c>
      <c r="Q1096" s="11" t="s">
        <v>44</v>
      </c>
      <c r="R1096" s="11" t="s">
        <v>45</v>
      </c>
      <c r="S1096" s="11" t="s">
        <v>45</v>
      </c>
      <c r="T1096" s="11" t="s">
        <v>44</v>
      </c>
      <c r="U1096" s="11" t="s">
        <v>44</v>
      </c>
      <c r="W1096" s="11" t="s">
        <v>57</v>
      </c>
      <c r="X1096" s="11" t="s">
        <v>97</v>
      </c>
      <c r="Y1096" s="11" t="s">
        <v>97</v>
      </c>
      <c r="Z1096" s="11">
        <v>81998490815</v>
      </c>
      <c r="AA1096" s="11" t="s">
        <v>105</v>
      </c>
      <c r="AB1096" s="11"/>
      <c r="AC1096" s="11"/>
      <c r="AD1096" s="11" t="b">
        <v>0</v>
      </c>
      <c r="AF1096" s="11"/>
      <c r="AG1096" s="11"/>
      <c r="AH1096" s="11"/>
      <c r="AI1096" s="11"/>
    </row>
    <row r="1097" ht="12.5" spans="1:35">
      <c r="A1097" s="177">
        <v>45327.7043546644</v>
      </c>
      <c r="B1097" s="11" t="s">
        <v>3597</v>
      </c>
      <c r="C1097" s="19">
        <v>10991103432</v>
      </c>
      <c r="D1097" s="19">
        <v>706809705489420</v>
      </c>
      <c r="E1097" s="18" t="s">
        <v>3605</v>
      </c>
      <c r="F1097" s="11" t="s">
        <v>40</v>
      </c>
      <c r="G1097" s="11" t="s">
        <v>41</v>
      </c>
      <c r="H1097" s="24">
        <v>34508</v>
      </c>
      <c r="I1097" s="277" t="s">
        <v>2410</v>
      </c>
      <c r="J1097" s="11" t="s">
        <v>42</v>
      </c>
      <c r="K1097" s="108" t="s">
        <v>2340</v>
      </c>
      <c r="N1097" s="11" t="s">
        <v>95</v>
      </c>
      <c r="O1097" s="11" t="s">
        <v>44</v>
      </c>
      <c r="P1097" s="11" t="s">
        <v>44</v>
      </c>
      <c r="Q1097" s="11" t="s">
        <v>44</v>
      </c>
      <c r="R1097" s="11" t="s">
        <v>45</v>
      </c>
      <c r="S1097" s="11" t="s">
        <v>83</v>
      </c>
      <c r="T1097" s="11" t="s">
        <v>44</v>
      </c>
      <c r="U1097" s="11" t="s">
        <v>44</v>
      </c>
      <c r="W1097" s="11" t="s">
        <v>46</v>
      </c>
      <c r="X1097" s="11" t="s">
        <v>97</v>
      </c>
      <c r="Y1097" s="11" t="s">
        <v>97</v>
      </c>
      <c r="Z1097" s="11">
        <v>81993803029</v>
      </c>
      <c r="AA1097" s="11" t="s">
        <v>91</v>
      </c>
      <c r="AB1097" s="11"/>
      <c r="AC1097" s="11"/>
      <c r="AD1097" s="11" t="b">
        <v>0</v>
      </c>
      <c r="AF1097" s="11"/>
      <c r="AG1097" s="11"/>
      <c r="AH1097" s="11"/>
      <c r="AI1097" s="11"/>
    </row>
    <row r="1098" ht="12.5" spans="1:35">
      <c r="A1098" s="177">
        <v>45327.7062228704</v>
      </c>
      <c r="B1098" s="11" t="s">
        <v>3563</v>
      </c>
      <c r="C1098" s="19">
        <v>70493080481</v>
      </c>
      <c r="D1098" s="19">
        <v>700506558264153</v>
      </c>
      <c r="F1098" s="11" t="s">
        <v>40</v>
      </c>
      <c r="G1098" s="11" t="s">
        <v>54</v>
      </c>
      <c r="H1098" s="24">
        <v>35824</v>
      </c>
      <c r="I1098" s="277" t="s">
        <v>1454</v>
      </c>
      <c r="J1098" s="11" t="s">
        <v>42</v>
      </c>
      <c r="K1098" s="108" t="s">
        <v>90</v>
      </c>
      <c r="N1098" s="11" t="s">
        <v>95</v>
      </c>
      <c r="O1098" s="11" t="s">
        <v>44</v>
      </c>
      <c r="P1098" s="11" t="s">
        <v>44</v>
      </c>
      <c r="Q1098" s="11" t="s">
        <v>44</v>
      </c>
      <c r="R1098" s="11" t="s">
        <v>45</v>
      </c>
      <c r="S1098" s="11" t="s">
        <v>45</v>
      </c>
      <c r="T1098" s="11" t="s">
        <v>44</v>
      </c>
      <c r="U1098" s="11" t="s">
        <v>44</v>
      </c>
      <c r="W1098" s="11" t="s">
        <v>57</v>
      </c>
      <c r="X1098" s="11" t="s">
        <v>97</v>
      </c>
      <c r="Y1098" s="11" t="s">
        <v>97</v>
      </c>
      <c r="Z1098" s="11">
        <v>81983931851</v>
      </c>
      <c r="AA1098" s="11" t="s">
        <v>1360</v>
      </c>
      <c r="AB1098" s="11"/>
      <c r="AC1098" s="11"/>
      <c r="AD1098" s="11" t="b">
        <v>0</v>
      </c>
      <c r="AF1098" s="11"/>
      <c r="AG1098" s="11"/>
      <c r="AH1098" s="11"/>
      <c r="AI1098" s="11"/>
    </row>
    <row r="1099" ht="12.5" spans="1:35">
      <c r="A1099" s="177">
        <v>45327.722855463</v>
      </c>
      <c r="B1099" s="11" t="s">
        <v>3601</v>
      </c>
      <c r="C1099" s="19">
        <v>14567730461</v>
      </c>
      <c r="D1099" s="19">
        <v>898005185455359</v>
      </c>
      <c r="F1099" s="11" t="s">
        <v>40</v>
      </c>
      <c r="G1099" s="11" t="s">
        <v>54</v>
      </c>
      <c r="H1099" s="24">
        <v>37166</v>
      </c>
      <c r="I1099" s="277" t="s">
        <v>1708</v>
      </c>
      <c r="J1099" s="11" t="s">
        <v>42</v>
      </c>
      <c r="K1099" s="108" t="s">
        <v>202</v>
      </c>
      <c r="N1099" s="11" t="s">
        <v>95</v>
      </c>
      <c r="O1099" s="11" t="s">
        <v>44</v>
      </c>
      <c r="P1099" s="11" t="s">
        <v>44</v>
      </c>
      <c r="Q1099" s="11" t="s">
        <v>44</v>
      </c>
      <c r="R1099" s="11" t="s">
        <v>45</v>
      </c>
      <c r="S1099" s="11" t="s">
        <v>45</v>
      </c>
      <c r="T1099" s="11" t="s">
        <v>44</v>
      </c>
      <c r="U1099" s="11" t="s">
        <v>44</v>
      </c>
      <c r="W1099" s="11" t="s">
        <v>57</v>
      </c>
      <c r="X1099" s="11" t="s">
        <v>97</v>
      </c>
      <c r="Y1099" s="11" t="s">
        <v>97</v>
      </c>
      <c r="Z1099" s="11">
        <v>81996465987</v>
      </c>
      <c r="AA1099" s="11" t="s">
        <v>105</v>
      </c>
      <c r="AB1099" s="11"/>
      <c r="AC1099" s="11"/>
      <c r="AD1099" s="11" t="b">
        <v>0</v>
      </c>
      <c r="AF1099" s="11"/>
      <c r="AG1099" s="11"/>
      <c r="AH1099" s="11"/>
      <c r="AI1099" s="11"/>
    </row>
    <row r="1100" ht="12.5" spans="1:35">
      <c r="A1100" s="177">
        <v>45328.7836552315</v>
      </c>
      <c r="B1100" s="11" t="s">
        <v>3563</v>
      </c>
      <c r="C1100" s="19">
        <v>70493080481</v>
      </c>
      <c r="D1100" s="19">
        <v>700506558264153</v>
      </c>
      <c r="E1100" s="18" t="s">
        <v>3606</v>
      </c>
      <c r="F1100" s="11" t="s">
        <v>40</v>
      </c>
      <c r="G1100" s="11" t="s">
        <v>54</v>
      </c>
      <c r="H1100" s="24">
        <v>35824</v>
      </c>
      <c r="I1100" s="277" t="s">
        <v>1454</v>
      </c>
      <c r="J1100" s="11" t="s">
        <v>42</v>
      </c>
      <c r="K1100" s="108" t="s">
        <v>202</v>
      </c>
      <c r="N1100" s="11" t="s">
        <v>43</v>
      </c>
      <c r="O1100" s="11" t="s">
        <v>44</v>
      </c>
      <c r="P1100" s="11" t="s">
        <v>44</v>
      </c>
      <c r="Q1100" s="11" t="s">
        <v>44</v>
      </c>
      <c r="R1100" s="11" t="s">
        <v>45</v>
      </c>
      <c r="S1100" s="11" t="s">
        <v>45</v>
      </c>
      <c r="T1100" s="11" t="s">
        <v>44</v>
      </c>
      <c r="U1100" s="11" t="s">
        <v>45</v>
      </c>
      <c r="V1100" s="24">
        <v>45329</v>
      </c>
      <c r="W1100" s="11" t="s">
        <v>57</v>
      </c>
      <c r="X1100" s="11" t="s">
        <v>203</v>
      </c>
      <c r="Y1100" s="11" t="s">
        <v>58</v>
      </c>
      <c r="Z1100" s="11">
        <v>81983931851</v>
      </c>
      <c r="AA1100" s="11" t="s">
        <v>105</v>
      </c>
      <c r="AB1100" s="11" t="s">
        <v>49</v>
      </c>
      <c r="AC1100" s="11" t="s">
        <v>256</v>
      </c>
      <c r="AD1100" s="11" t="b">
        <v>0</v>
      </c>
      <c r="AF1100" s="11" t="s">
        <v>3607</v>
      </c>
      <c r="AG1100" s="11"/>
      <c r="AH1100" s="11"/>
      <c r="AI1100" s="11"/>
    </row>
    <row r="1101" ht="12.5" spans="1:35">
      <c r="A1101" s="177">
        <v>45328.8072186806</v>
      </c>
      <c r="B1101" s="11" t="s">
        <v>3608</v>
      </c>
      <c r="C1101" s="19">
        <v>13645225439</v>
      </c>
      <c r="D1101" s="19">
        <v>898050095465067</v>
      </c>
      <c r="E1101" s="18" t="s">
        <v>3609</v>
      </c>
      <c r="F1101" s="11" t="s">
        <v>225</v>
      </c>
      <c r="G1101" s="11" t="s">
        <v>54</v>
      </c>
      <c r="H1101" s="24">
        <v>36888</v>
      </c>
      <c r="I1101" s="277" t="s">
        <v>3610</v>
      </c>
      <c r="J1101" s="11" t="s">
        <v>42</v>
      </c>
      <c r="K1101" s="108" t="s">
        <v>3611</v>
      </c>
      <c r="N1101" s="11" t="s">
        <v>43</v>
      </c>
      <c r="O1101" s="11" t="s">
        <v>44</v>
      </c>
      <c r="P1101" s="11" t="s">
        <v>44</v>
      </c>
      <c r="Q1101" s="11" t="s">
        <v>45</v>
      </c>
      <c r="R1101" s="11" t="s">
        <v>45</v>
      </c>
      <c r="S1101" s="11" t="s">
        <v>83</v>
      </c>
      <c r="T1101" s="11" t="s">
        <v>44</v>
      </c>
      <c r="U1101" s="11" t="s">
        <v>44</v>
      </c>
      <c r="W1101" s="11" t="s">
        <v>46</v>
      </c>
      <c r="X1101" s="11" t="s">
        <v>203</v>
      </c>
      <c r="Y1101" s="11" t="s">
        <v>58</v>
      </c>
      <c r="Z1101" s="11">
        <v>81983641497</v>
      </c>
      <c r="AA1101" s="11" t="s">
        <v>105</v>
      </c>
      <c r="AB1101" s="11"/>
      <c r="AC1101" s="11"/>
      <c r="AD1101" s="11" t="b">
        <v>0</v>
      </c>
      <c r="AF1101" s="11"/>
      <c r="AG1101" s="11"/>
      <c r="AH1101" s="11"/>
      <c r="AI1101" s="11"/>
    </row>
    <row r="1102" ht="12.5" spans="1:35">
      <c r="A1102" s="177">
        <v>45329.3744288542</v>
      </c>
      <c r="B1102" s="11" t="s">
        <v>3563</v>
      </c>
      <c r="C1102" s="19">
        <v>70493080481</v>
      </c>
      <c r="D1102" s="19">
        <v>700506558264153</v>
      </c>
      <c r="F1102" s="11" t="s">
        <v>40</v>
      </c>
      <c r="G1102" s="11" t="s">
        <v>54</v>
      </c>
      <c r="H1102" s="24">
        <v>35824</v>
      </c>
      <c r="I1102" s="277" t="s">
        <v>1454</v>
      </c>
      <c r="J1102" s="11" t="s">
        <v>42</v>
      </c>
      <c r="K1102" s="108" t="s">
        <v>202</v>
      </c>
      <c r="N1102" s="11" t="s">
        <v>95</v>
      </c>
      <c r="O1102" s="11" t="s">
        <v>44</v>
      </c>
      <c r="P1102" s="11" t="s">
        <v>44</v>
      </c>
      <c r="Q1102" s="11" t="s">
        <v>44</v>
      </c>
      <c r="R1102" s="11" t="s">
        <v>45</v>
      </c>
      <c r="S1102" s="11" t="s">
        <v>45</v>
      </c>
      <c r="T1102" s="11" t="s">
        <v>44</v>
      </c>
      <c r="U1102" s="11" t="s">
        <v>44</v>
      </c>
      <c r="W1102" s="11" t="s">
        <v>57</v>
      </c>
      <c r="X1102" s="11" t="s">
        <v>97</v>
      </c>
      <c r="Y1102" s="11" t="s">
        <v>97</v>
      </c>
      <c r="Z1102" s="11">
        <v>81983931851</v>
      </c>
      <c r="AA1102" s="11" t="s">
        <v>1360</v>
      </c>
      <c r="AB1102" s="11"/>
      <c r="AC1102" s="11"/>
      <c r="AD1102" s="11" t="b">
        <v>0</v>
      </c>
      <c r="AF1102" s="11"/>
      <c r="AG1102" s="11"/>
      <c r="AH1102" s="11"/>
      <c r="AI1102" s="11"/>
    </row>
    <row r="1103" ht="12.5" spans="1:35">
      <c r="A1103" s="177">
        <v>45329.4119256944</v>
      </c>
      <c r="B1103" s="11" t="s">
        <v>3612</v>
      </c>
      <c r="C1103" s="277" t="s">
        <v>3613</v>
      </c>
      <c r="D1103" s="19">
        <v>708409268304569</v>
      </c>
      <c r="E1103" s="18" t="s">
        <v>3614</v>
      </c>
      <c r="F1103" s="11" t="s">
        <v>225</v>
      </c>
      <c r="G1103" s="11" t="s">
        <v>88</v>
      </c>
      <c r="H1103" s="24">
        <v>33282</v>
      </c>
      <c r="I1103" s="277" t="s">
        <v>3022</v>
      </c>
      <c r="J1103" s="11" t="s">
        <v>42</v>
      </c>
      <c r="K1103" s="108" t="s">
        <v>63</v>
      </c>
      <c r="N1103" s="11" t="s">
        <v>43</v>
      </c>
      <c r="O1103" s="11" t="s">
        <v>65</v>
      </c>
      <c r="P1103" s="11" t="s">
        <v>66</v>
      </c>
      <c r="Q1103" s="11" t="s">
        <v>44</v>
      </c>
      <c r="R1103" s="11" t="s">
        <v>45</v>
      </c>
      <c r="S1103" s="11" t="s">
        <v>45</v>
      </c>
      <c r="T1103" s="11" t="s">
        <v>44</v>
      </c>
      <c r="U1103" s="11" t="s">
        <v>45</v>
      </c>
      <c r="V1103" s="24">
        <v>45330</v>
      </c>
      <c r="W1103" s="11" t="s">
        <v>46</v>
      </c>
      <c r="X1103" s="11" t="s">
        <v>47</v>
      </c>
      <c r="Y1103" s="11" t="s">
        <v>58</v>
      </c>
      <c r="Z1103" s="11">
        <v>81995453063</v>
      </c>
      <c r="AA1103" s="11" t="s">
        <v>115</v>
      </c>
      <c r="AB1103" s="11" t="s">
        <v>49</v>
      </c>
      <c r="AC1103" s="11" t="s">
        <v>50</v>
      </c>
      <c r="AD1103" s="11" t="b">
        <v>1</v>
      </c>
      <c r="AE1103" s="11" t="s">
        <v>137</v>
      </c>
      <c r="AF1103" s="11" t="s">
        <v>3615</v>
      </c>
      <c r="AG1103" s="11" t="s">
        <v>3616</v>
      </c>
      <c r="AH1103" s="11"/>
      <c r="AI1103" s="11"/>
    </row>
    <row r="1104" ht="12.5" spans="1:35">
      <c r="A1104" s="177">
        <v>45329.4618444792</v>
      </c>
      <c r="B1104" s="11" t="s">
        <v>3558</v>
      </c>
      <c r="C1104" s="19">
        <v>12102109402</v>
      </c>
      <c r="D1104" s="19">
        <v>702609215868645</v>
      </c>
      <c r="E1104" s="18" t="s">
        <v>3617</v>
      </c>
      <c r="F1104" s="11" t="s">
        <v>40</v>
      </c>
      <c r="G1104" s="11" t="s">
        <v>41</v>
      </c>
      <c r="H1104" s="24">
        <v>36166</v>
      </c>
      <c r="I1104" s="19" t="s">
        <v>136</v>
      </c>
      <c r="J1104" s="11" t="s">
        <v>42</v>
      </c>
      <c r="K1104" s="108" t="s">
        <v>3618</v>
      </c>
      <c r="N1104" s="11" t="s">
        <v>43</v>
      </c>
      <c r="O1104" s="11" t="s">
        <v>44</v>
      </c>
      <c r="P1104" s="11" t="s">
        <v>44</v>
      </c>
      <c r="Q1104" s="11" t="s">
        <v>44</v>
      </c>
      <c r="R1104" s="11" t="s">
        <v>45</v>
      </c>
      <c r="S1104" s="11" t="s">
        <v>45</v>
      </c>
      <c r="T1104" s="11" t="s">
        <v>44</v>
      </c>
      <c r="U1104" s="11" t="s">
        <v>44</v>
      </c>
      <c r="W1104" s="11" t="s">
        <v>46</v>
      </c>
      <c r="X1104" s="11" t="s">
        <v>47</v>
      </c>
      <c r="Y1104" s="11" t="s">
        <v>58</v>
      </c>
      <c r="Z1104" s="11">
        <v>81987073783</v>
      </c>
      <c r="AA1104" s="11" t="s">
        <v>113</v>
      </c>
      <c r="AB1104" s="11"/>
      <c r="AC1104" s="11"/>
      <c r="AD1104" s="11" t="b">
        <v>0</v>
      </c>
      <c r="AF1104" s="11"/>
      <c r="AG1104" s="11"/>
      <c r="AH1104" s="11"/>
      <c r="AI1104" s="11"/>
    </row>
    <row r="1105" ht="12.5" spans="1:35">
      <c r="A1105" s="177">
        <v>45329.4644915972</v>
      </c>
      <c r="B1105" s="11" t="s">
        <v>3619</v>
      </c>
      <c r="C1105" s="19">
        <v>12479929426</v>
      </c>
      <c r="D1105" s="19">
        <v>704209289839282</v>
      </c>
      <c r="E1105" s="18" t="s">
        <v>3620</v>
      </c>
      <c r="F1105" s="11" t="s">
        <v>40</v>
      </c>
      <c r="G1105" s="11" t="s">
        <v>54</v>
      </c>
      <c r="H1105" s="24">
        <v>36222</v>
      </c>
      <c r="I1105" s="277" t="s">
        <v>3621</v>
      </c>
      <c r="J1105" s="11" t="s">
        <v>42</v>
      </c>
      <c r="K1105" s="108" t="s">
        <v>3622</v>
      </c>
      <c r="N1105" s="11" t="s">
        <v>43</v>
      </c>
      <c r="O1105" s="11" t="s">
        <v>44</v>
      </c>
      <c r="P1105" s="11" t="s">
        <v>44</v>
      </c>
      <c r="Q1105" s="11" t="s">
        <v>44</v>
      </c>
      <c r="R1105" s="11" t="s">
        <v>44</v>
      </c>
      <c r="S1105" s="11" t="s">
        <v>45</v>
      </c>
      <c r="T1105" s="11" t="s">
        <v>44</v>
      </c>
      <c r="U1105" s="11" t="s">
        <v>44</v>
      </c>
      <c r="W1105" s="11" t="s">
        <v>46</v>
      </c>
      <c r="X1105" s="11" t="s">
        <v>47</v>
      </c>
      <c r="Y1105" s="11" t="s">
        <v>58</v>
      </c>
      <c r="Z1105" s="11">
        <v>81991216312</v>
      </c>
      <c r="AA1105" s="11" t="s">
        <v>1360</v>
      </c>
      <c r="AB1105" s="11"/>
      <c r="AC1105" s="11"/>
      <c r="AD1105" s="11" t="b">
        <v>0</v>
      </c>
      <c r="AF1105" s="11"/>
      <c r="AG1105" s="11"/>
      <c r="AH1105" s="11"/>
      <c r="AI1105" s="11"/>
    </row>
    <row r="1106" ht="12.5" spans="1:35">
      <c r="A1106" s="177">
        <v>45329.754279294</v>
      </c>
      <c r="B1106" s="11" t="s">
        <v>2385</v>
      </c>
      <c r="C1106" s="19">
        <v>71093916478</v>
      </c>
      <c r="D1106" s="19">
        <v>708206629187642</v>
      </c>
      <c r="E1106" s="18" t="s">
        <v>3623</v>
      </c>
      <c r="F1106" s="11" t="s">
        <v>40</v>
      </c>
      <c r="G1106" s="11" t="s">
        <v>54</v>
      </c>
      <c r="H1106" s="24">
        <v>37567</v>
      </c>
      <c r="I1106" s="277" t="s">
        <v>2339</v>
      </c>
      <c r="J1106" s="11" t="s">
        <v>42</v>
      </c>
      <c r="K1106" s="108" t="s">
        <v>282</v>
      </c>
      <c r="N1106" s="11" t="s">
        <v>43</v>
      </c>
      <c r="O1106" s="11" t="s">
        <v>44</v>
      </c>
      <c r="P1106" s="11" t="s">
        <v>44</v>
      </c>
      <c r="Q1106" s="11" t="s">
        <v>44</v>
      </c>
      <c r="R1106" s="11" t="s">
        <v>45</v>
      </c>
      <c r="S1106" s="11" t="s">
        <v>45</v>
      </c>
      <c r="T1106" s="11" t="s">
        <v>44</v>
      </c>
      <c r="U1106" s="11" t="s">
        <v>44</v>
      </c>
      <c r="W1106" s="11" t="s">
        <v>46</v>
      </c>
      <c r="X1106" s="11" t="s">
        <v>203</v>
      </c>
      <c r="Y1106" s="11" t="s">
        <v>58</v>
      </c>
      <c r="Z1106" s="11">
        <v>81996694014</v>
      </c>
      <c r="AA1106" s="11" t="s">
        <v>1360</v>
      </c>
      <c r="AB1106" s="11"/>
      <c r="AC1106" s="11"/>
      <c r="AD1106" s="11" t="b">
        <v>0</v>
      </c>
      <c r="AF1106" s="11"/>
      <c r="AG1106" s="11"/>
      <c r="AH1106" s="11"/>
      <c r="AI1106" s="11"/>
    </row>
    <row r="1107" ht="12.5" spans="1:35">
      <c r="A1107" s="177">
        <v>45330.472256169</v>
      </c>
      <c r="B1107" s="11" t="s">
        <v>3612</v>
      </c>
      <c r="C1107" s="277" t="s">
        <v>3613</v>
      </c>
      <c r="D1107" s="19">
        <v>708409268304569</v>
      </c>
      <c r="E1107" s="18" t="s">
        <v>3624</v>
      </c>
      <c r="F1107" s="11" t="s">
        <v>225</v>
      </c>
      <c r="G1107" s="11" t="s">
        <v>88</v>
      </c>
      <c r="H1107" s="24">
        <v>33282</v>
      </c>
      <c r="I1107" s="222">
        <v>45133</v>
      </c>
      <c r="J1107" s="11" t="s">
        <v>42</v>
      </c>
      <c r="K1107" s="108" t="s">
        <v>63</v>
      </c>
      <c r="N1107" s="11" t="s">
        <v>95</v>
      </c>
      <c r="O1107" s="11" t="s">
        <v>96</v>
      </c>
      <c r="P1107" s="11" t="s">
        <v>56</v>
      </c>
      <c r="Q1107" s="11" t="s">
        <v>44</v>
      </c>
      <c r="R1107" s="11" t="s">
        <v>45</v>
      </c>
      <c r="S1107" s="11" t="s">
        <v>45</v>
      </c>
      <c r="T1107" s="11" t="s">
        <v>44</v>
      </c>
      <c r="U1107" s="11" t="s">
        <v>45</v>
      </c>
      <c r="V1107" s="24">
        <v>45330</v>
      </c>
      <c r="W1107" s="11" t="s">
        <v>57</v>
      </c>
      <c r="X1107" s="11" t="s">
        <v>97</v>
      </c>
      <c r="Y1107" s="11" t="s">
        <v>97</v>
      </c>
      <c r="Z1107" s="11">
        <v>81995453063</v>
      </c>
      <c r="AA1107" s="11" t="s">
        <v>115</v>
      </c>
      <c r="AB1107" s="11" t="s">
        <v>49</v>
      </c>
      <c r="AC1107" s="11" t="s">
        <v>75</v>
      </c>
      <c r="AD1107" s="11" t="b">
        <v>1</v>
      </c>
      <c r="AE1107" s="11" t="s">
        <v>137</v>
      </c>
      <c r="AF1107" s="11" t="s">
        <v>3625</v>
      </c>
      <c r="AG1107" s="11"/>
      <c r="AH1107" s="11"/>
      <c r="AI1107" s="11"/>
    </row>
    <row r="1108" ht="12.5" spans="1:35">
      <c r="A1108" s="177">
        <v>45330.6938732176</v>
      </c>
      <c r="B1108" s="11" t="s">
        <v>3612</v>
      </c>
      <c r="C1108" s="277" t="s">
        <v>3613</v>
      </c>
      <c r="D1108" s="19">
        <v>708409268304569</v>
      </c>
      <c r="E1108" s="18" t="s">
        <v>3626</v>
      </c>
      <c r="F1108" s="11" t="s">
        <v>225</v>
      </c>
      <c r="G1108" s="11" t="s">
        <v>88</v>
      </c>
      <c r="H1108" s="24">
        <v>35474</v>
      </c>
      <c r="I1108" s="277" t="s">
        <v>3627</v>
      </c>
      <c r="J1108" s="11" t="s">
        <v>42</v>
      </c>
      <c r="K1108" s="108" t="s">
        <v>63</v>
      </c>
      <c r="N1108" s="11" t="s">
        <v>95</v>
      </c>
      <c r="O1108" s="11" t="s">
        <v>44</v>
      </c>
      <c r="P1108" s="11" t="s">
        <v>44</v>
      </c>
      <c r="Q1108" s="11" t="s">
        <v>44</v>
      </c>
      <c r="R1108" s="11" t="s">
        <v>45</v>
      </c>
      <c r="S1108" s="11" t="s">
        <v>45</v>
      </c>
      <c r="T1108" s="11" t="s">
        <v>44</v>
      </c>
      <c r="U1108" s="11" t="s">
        <v>45</v>
      </c>
      <c r="V1108" s="24">
        <v>45332</v>
      </c>
      <c r="W1108" s="11" t="s">
        <v>57</v>
      </c>
      <c r="X1108" s="11" t="s">
        <v>97</v>
      </c>
      <c r="Y1108" s="11" t="s">
        <v>97</v>
      </c>
      <c r="Z1108" s="11">
        <v>81995453063</v>
      </c>
      <c r="AA1108" s="11" t="s">
        <v>113</v>
      </c>
      <c r="AB1108" s="11" t="s">
        <v>98</v>
      </c>
      <c r="AC1108" s="11"/>
      <c r="AD1108" s="11" t="b">
        <v>0</v>
      </c>
      <c r="AF1108" s="11" t="s">
        <v>3628</v>
      </c>
      <c r="AG1108" s="11"/>
      <c r="AH1108" s="11"/>
      <c r="AI1108" s="11"/>
    </row>
    <row r="1109" ht="12.5" spans="1:35">
      <c r="A1109" s="177">
        <v>45330.7590507292</v>
      </c>
      <c r="B1109" s="11" t="s">
        <v>3629</v>
      </c>
      <c r="C1109" s="19">
        <v>14039334485</v>
      </c>
      <c r="D1109" s="19">
        <v>706303740457075</v>
      </c>
      <c r="E1109" s="18" t="s">
        <v>3630</v>
      </c>
      <c r="F1109" s="11" t="s">
        <v>40</v>
      </c>
      <c r="G1109" s="11" t="s">
        <v>54</v>
      </c>
      <c r="H1109" s="24">
        <v>38773</v>
      </c>
      <c r="I1109" s="277" t="s">
        <v>3631</v>
      </c>
      <c r="J1109" s="11" t="s">
        <v>42</v>
      </c>
      <c r="K1109" s="108" t="s">
        <v>63</v>
      </c>
      <c r="N1109" s="11" t="s">
        <v>43</v>
      </c>
      <c r="O1109" s="11" t="s">
        <v>44</v>
      </c>
      <c r="P1109" s="11" t="s">
        <v>44</v>
      </c>
      <c r="Q1109" s="11" t="s">
        <v>44</v>
      </c>
      <c r="R1109" s="11" t="s">
        <v>45</v>
      </c>
      <c r="S1109" s="11" t="s">
        <v>83</v>
      </c>
      <c r="T1109" s="11" t="s">
        <v>44</v>
      </c>
      <c r="U1109" s="11" t="s">
        <v>45</v>
      </c>
      <c r="V1109" s="24">
        <v>45331</v>
      </c>
      <c r="W1109" s="11" t="s">
        <v>46</v>
      </c>
      <c r="X1109" s="11" t="s">
        <v>203</v>
      </c>
      <c r="Y1109" s="11" t="s">
        <v>58</v>
      </c>
      <c r="Z1109" s="11">
        <v>81985758942</v>
      </c>
      <c r="AA1109" s="11" t="s">
        <v>115</v>
      </c>
      <c r="AB1109" s="11" t="s">
        <v>49</v>
      </c>
      <c r="AC1109" s="11" t="s">
        <v>256</v>
      </c>
      <c r="AD1109" s="11" t="b">
        <v>1</v>
      </c>
      <c r="AE1109" s="11" t="s">
        <v>137</v>
      </c>
      <c r="AF1109" s="11" t="s">
        <v>3632</v>
      </c>
      <c r="AG1109" s="11"/>
      <c r="AH1109" s="11" t="s">
        <v>2267</v>
      </c>
      <c r="AI1109" s="11"/>
    </row>
    <row r="1110" ht="12.5" spans="1:35">
      <c r="A1110" s="177">
        <v>45331.452716713</v>
      </c>
      <c r="B1110" s="11" t="s">
        <v>3633</v>
      </c>
      <c r="C1110" s="19">
        <v>11123861498</v>
      </c>
      <c r="D1110" s="19">
        <v>700504323315155</v>
      </c>
      <c r="E1110" s="18" t="s">
        <v>3634</v>
      </c>
      <c r="F1110" s="11" t="s">
        <v>40</v>
      </c>
      <c r="G1110" s="11" t="s">
        <v>54</v>
      </c>
      <c r="H1110" s="24">
        <v>35671</v>
      </c>
      <c r="I1110" s="277" t="s">
        <v>3635</v>
      </c>
      <c r="J1110" s="11" t="s">
        <v>42</v>
      </c>
      <c r="K1110" s="108" t="s">
        <v>3636</v>
      </c>
      <c r="N1110" s="11" t="s">
        <v>43</v>
      </c>
      <c r="O1110" s="11" t="s">
        <v>44</v>
      </c>
      <c r="P1110" s="11" t="s">
        <v>44</v>
      </c>
      <c r="Q1110" s="11" t="s">
        <v>45</v>
      </c>
      <c r="R1110" s="11" t="s">
        <v>44</v>
      </c>
      <c r="S1110" s="11" t="s">
        <v>45</v>
      </c>
      <c r="T1110" s="11" t="s">
        <v>44</v>
      </c>
      <c r="U1110" s="11" t="s">
        <v>44</v>
      </c>
      <c r="W1110" s="11" t="s">
        <v>46</v>
      </c>
      <c r="X1110" s="11" t="s">
        <v>303</v>
      </c>
      <c r="Y1110" s="11" t="s">
        <v>58</v>
      </c>
      <c r="Z1110" s="11">
        <v>81987532782</v>
      </c>
      <c r="AA1110" s="11" t="s">
        <v>1360</v>
      </c>
      <c r="AB1110" s="11"/>
      <c r="AC1110" s="11"/>
      <c r="AD1110" s="11" t="b">
        <v>0</v>
      </c>
      <c r="AF1110" s="11"/>
      <c r="AG1110" s="11"/>
      <c r="AH1110" s="11"/>
      <c r="AI1110" s="11"/>
    </row>
    <row r="1111" ht="12.5" spans="1:35">
      <c r="A1111" s="177">
        <v>45331.6678985995</v>
      </c>
      <c r="B1111" s="11" t="s">
        <v>3375</v>
      </c>
      <c r="C1111" s="277" t="s">
        <v>3376</v>
      </c>
      <c r="D1111" s="19">
        <v>708101541341936</v>
      </c>
      <c r="E1111" s="18" t="s">
        <v>3637</v>
      </c>
      <c r="F1111" s="11" t="s">
        <v>217</v>
      </c>
      <c r="G1111" s="11" t="s">
        <v>41</v>
      </c>
      <c r="H1111" s="24">
        <v>30662</v>
      </c>
      <c r="I1111" s="277" t="s">
        <v>3378</v>
      </c>
      <c r="J1111" s="11" t="s">
        <v>42</v>
      </c>
      <c r="K1111" s="108" t="s">
        <v>155</v>
      </c>
      <c r="N1111" s="11" t="s">
        <v>43</v>
      </c>
      <c r="O1111" s="11" t="s">
        <v>44</v>
      </c>
      <c r="P1111" s="11" t="s">
        <v>44</v>
      </c>
      <c r="Q1111" s="11" t="s">
        <v>44</v>
      </c>
      <c r="R1111" s="11" t="s">
        <v>44</v>
      </c>
      <c r="S1111" s="11" t="s">
        <v>44</v>
      </c>
      <c r="T1111" s="11" t="s">
        <v>44</v>
      </c>
      <c r="U1111" s="11" t="s">
        <v>44</v>
      </c>
      <c r="W1111" s="11" t="s">
        <v>46</v>
      </c>
      <c r="X1111" s="11" t="s">
        <v>303</v>
      </c>
      <c r="Y1111" s="11" t="s">
        <v>58</v>
      </c>
      <c r="Z1111" s="11">
        <v>81987520952</v>
      </c>
      <c r="AA1111" s="11" t="s">
        <v>1360</v>
      </c>
      <c r="AB1111" s="11"/>
      <c r="AC1111" s="11"/>
      <c r="AD1111" s="11" t="b">
        <v>0</v>
      </c>
      <c r="AF1111" s="11"/>
      <c r="AG1111" s="11"/>
      <c r="AH1111" s="11"/>
      <c r="AI1111" s="11"/>
    </row>
    <row r="1112" ht="12.5" spans="1:35">
      <c r="A1112" s="177">
        <v>45331.6925740278</v>
      </c>
      <c r="B1112" s="11" t="s">
        <v>3629</v>
      </c>
      <c r="C1112" s="19">
        <v>14039334485</v>
      </c>
      <c r="D1112" s="19">
        <v>706303740457075</v>
      </c>
      <c r="E1112" s="18" t="s">
        <v>3638</v>
      </c>
      <c r="F1112" s="11" t="s">
        <v>40</v>
      </c>
      <c r="G1112" s="11" t="s">
        <v>54</v>
      </c>
      <c r="H1112" s="24">
        <v>38773</v>
      </c>
      <c r="I1112" s="277" t="s">
        <v>3631</v>
      </c>
      <c r="J1112" s="11" t="s">
        <v>42</v>
      </c>
      <c r="K1112" s="108" t="s">
        <v>3639</v>
      </c>
      <c r="N1112" s="11" t="s">
        <v>95</v>
      </c>
      <c r="O1112" s="11" t="s">
        <v>44</v>
      </c>
      <c r="P1112" s="11" t="s">
        <v>44</v>
      </c>
      <c r="Q1112" s="11" t="s">
        <v>44</v>
      </c>
      <c r="R1112" s="11" t="s">
        <v>45</v>
      </c>
      <c r="S1112" s="11" t="s">
        <v>45</v>
      </c>
      <c r="T1112" s="11" t="s">
        <v>44</v>
      </c>
      <c r="U1112" s="11" t="s">
        <v>44</v>
      </c>
      <c r="W1112" s="11" t="s">
        <v>46</v>
      </c>
      <c r="X1112" s="11" t="s">
        <v>97</v>
      </c>
      <c r="Y1112" s="11" t="s">
        <v>97</v>
      </c>
      <c r="Z1112" s="11">
        <v>81985758942</v>
      </c>
      <c r="AA1112" s="11" t="s">
        <v>1360</v>
      </c>
      <c r="AB1112" s="11"/>
      <c r="AC1112" s="11"/>
      <c r="AD1112" s="11" t="b">
        <v>0</v>
      </c>
      <c r="AF1112" s="11"/>
      <c r="AG1112" s="11"/>
      <c r="AH1112" s="11"/>
      <c r="AI1112" s="11"/>
    </row>
    <row r="1113" ht="12.5" spans="1:35">
      <c r="A1113" s="177">
        <v>45332.3929715509</v>
      </c>
      <c r="B1113" s="11" t="s">
        <v>3640</v>
      </c>
      <c r="C1113" s="19">
        <v>70410093432</v>
      </c>
      <c r="D1113" s="19">
        <v>706406390910290</v>
      </c>
      <c r="E1113" s="18" t="s">
        <v>3641</v>
      </c>
      <c r="F1113" s="11" t="s">
        <v>40</v>
      </c>
      <c r="G1113" s="11" t="s">
        <v>54</v>
      </c>
      <c r="H1113" s="24">
        <v>36352</v>
      </c>
      <c r="I1113" s="277" t="s">
        <v>1454</v>
      </c>
      <c r="J1113" s="11" t="s">
        <v>81</v>
      </c>
      <c r="K1113" s="108"/>
      <c r="L1113" s="11" t="s">
        <v>109</v>
      </c>
      <c r="N1113" s="11" t="s">
        <v>43</v>
      </c>
      <c r="O1113" s="11" t="s">
        <v>44</v>
      </c>
      <c r="P1113" s="11" t="s">
        <v>44</v>
      </c>
      <c r="Q1113" s="11" t="s">
        <v>44</v>
      </c>
      <c r="R1113" s="11" t="s">
        <v>45</v>
      </c>
      <c r="S1113" s="11" t="s">
        <v>45</v>
      </c>
      <c r="T1113" s="11" t="s">
        <v>44</v>
      </c>
      <c r="U1113" s="11" t="s">
        <v>45</v>
      </c>
      <c r="V1113" s="24">
        <v>45332</v>
      </c>
      <c r="W1113" s="11" t="s">
        <v>46</v>
      </c>
      <c r="X1113" s="11" t="s">
        <v>303</v>
      </c>
      <c r="Y1113" s="11" t="s">
        <v>58</v>
      </c>
      <c r="Z1113" s="11">
        <v>81984881246</v>
      </c>
      <c r="AA1113" s="11" t="s">
        <v>115</v>
      </c>
      <c r="AB1113" s="11" t="s">
        <v>49</v>
      </c>
      <c r="AC1113" s="11" t="s">
        <v>50</v>
      </c>
      <c r="AD1113" s="11" t="b">
        <v>0</v>
      </c>
      <c r="AF1113" s="11" t="s">
        <v>3642</v>
      </c>
      <c r="AG1113" s="11"/>
      <c r="AH1113" s="11"/>
      <c r="AI1113" s="11"/>
    </row>
    <row r="1114" ht="12.5" spans="1:35">
      <c r="A1114" s="177">
        <v>45332.4799960648</v>
      </c>
      <c r="B1114" s="11" t="s">
        <v>3640</v>
      </c>
      <c r="C1114" s="19">
        <v>70410093432</v>
      </c>
      <c r="D1114" s="19">
        <v>706406390910290</v>
      </c>
      <c r="E1114" s="18" t="s">
        <v>3641</v>
      </c>
      <c r="F1114" s="11" t="s">
        <v>40</v>
      </c>
      <c r="G1114" s="11" t="s">
        <v>54</v>
      </c>
      <c r="H1114" s="24">
        <v>36352</v>
      </c>
      <c r="I1114" s="277" t="s">
        <v>1454</v>
      </c>
      <c r="J1114" s="11" t="s">
        <v>81</v>
      </c>
      <c r="K1114" s="108"/>
      <c r="L1114" s="11" t="s">
        <v>109</v>
      </c>
      <c r="N1114" s="11" t="s">
        <v>95</v>
      </c>
      <c r="O1114" s="11" t="s">
        <v>65</v>
      </c>
      <c r="P1114" s="11" t="s">
        <v>66</v>
      </c>
      <c r="Q1114" s="11" t="s">
        <v>44</v>
      </c>
      <c r="R1114" s="11" t="s">
        <v>45</v>
      </c>
      <c r="S1114" s="11" t="s">
        <v>45</v>
      </c>
      <c r="T1114" s="11" t="s">
        <v>44</v>
      </c>
      <c r="U1114" s="11" t="s">
        <v>45</v>
      </c>
      <c r="V1114" s="24">
        <v>45333</v>
      </c>
      <c r="W1114" s="11" t="s">
        <v>46</v>
      </c>
      <c r="X1114" s="11" t="s">
        <v>97</v>
      </c>
      <c r="Y1114" s="11" t="s">
        <v>97</v>
      </c>
      <c r="Z1114" s="11">
        <v>81984881246</v>
      </c>
      <c r="AA1114" s="11" t="s">
        <v>115</v>
      </c>
      <c r="AB1114" s="11" t="s">
        <v>98</v>
      </c>
      <c r="AC1114" s="11"/>
      <c r="AD1114" s="11" t="b">
        <v>0</v>
      </c>
      <c r="AF1114" s="11" t="s">
        <v>3643</v>
      </c>
      <c r="AG1114" s="11" t="s">
        <v>3644</v>
      </c>
      <c r="AH1114" s="11"/>
      <c r="AI1114" s="11"/>
    </row>
    <row r="1115" ht="12.5" spans="1:35">
      <c r="A1115" s="177">
        <v>45332.5155429977</v>
      </c>
      <c r="B1115" s="11" t="s">
        <v>3645</v>
      </c>
      <c r="C1115" s="277" t="s">
        <v>3646</v>
      </c>
      <c r="D1115" s="19">
        <v>705603430524911</v>
      </c>
      <c r="E1115" s="18" t="s">
        <v>3647</v>
      </c>
      <c r="F1115" s="11" t="s">
        <v>225</v>
      </c>
      <c r="G1115" s="11" t="s">
        <v>41</v>
      </c>
      <c r="H1115" s="24">
        <v>32065</v>
      </c>
      <c r="I1115" s="277" t="s">
        <v>3648</v>
      </c>
      <c r="J1115" s="11" t="s">
        <v>81</v>
      </c>
      <c r="K1115" s="108"/>
      <c r="L1115" s="11" t="s">
        <v>525</v>
      </c>
      <c r="N1115" s="11" t="s">
        <v>43</v>
      </c>
      <c r="O1115" s="11" t="s">
        <v>65</v>
      </c>
      <c r="P1115" s="11" t="s">
        <v>66</v>
      </c>
      <c r="Q1115" s="11" t="s">
        <v>44</v>
      </c>
      <c r="R1115" s="11" t="s">
        <v>45</v>
      </c>
      <c r="S1115" s="11" t="s">
        <v>45</v>
      </c>
      <c r="T1115" s="11" t="s">
        <v>44</v>
      </c>
      <c r="U1115" s="11" t="s">
        <v>45</v>
      </c>
      <c r="V1115" s="24">
        <v>45333</v>
      </c>
      <c r="W1115" s="11" t="s">
        <v>46</v>
      </c>
      <c r="X1115" s="11" t="s">
        <v>303</v>
      </c>
      <c r="Y1115" s="11" t="s">
        <v>58</v>
      </c>
      <c r="Z1115" s="11">
        <v>81998109162</v>
      </c>
      <c r="AA1115" s="11" t="s">
        <v>115</v>
      </c>
      <c r="AB1115" s="11" t="s">
        <v>49</v>
      </c>
      <c r="AC1115" s="11" t="s">
        <v>256</v>
      </c>
      <c r="AD1115" s="11" t="b">
        <v>0</v>
      </c>
      <c r="AF1115" s="11" t="s">
        <v>3649</v>
      </c>
      <c r="AG1115" s="11" t="s">
        <v>3650</v>
      </c>
      <c r="AH1115" s="11"/>
      <c r="AI1115" s="11"/>
    </row>
    <row r="1116" ht="12.5" spans="1:35">
      <c r="A1116" s="177">
        <v>45332.8136262731</v>
      </c>
      <c r="B1116" s="11" t="s">
        <v>3563</v>
      </c>
      <c r="C1116" s="19">
        <v>70493080481</v>
      </c>
      <c r="D1116" s="19">
        <v>700506558264153</v>
      </c>
      <c r="E1116" s="18" t="s">
        <v>3651</v>
      </c>
      <c r="F1116" s="11" t="s">
        <v>40</v>
      </c>
      <c r="G1116" s="11" t="s">
        <v>54</v>
      </c>
      <c r="H1116" s="24">
        <v>35824</v>
      </c>
      <c r="I1116" s="277" t="s">
        <v>1454</v>
      </c>
      <c r="J1116" s="11" t="s">
        <v>81</v>
      </c>
      <c r="K1116" s="108"/>
      <c r="L1116" s="11" t="s">
        <v>109</v>
      </c>
      <c r="N1116" s="11" t="s">
        <v>43</v>
      </c>
      <c r="O1116" s="11" t="s">
        <v>44</v>
      </c>
      <c r="P1116" s="11" t="s">
        <v>44</v>
      </c>
      <c r="Q1116" s="11" t="s">
        <v>44</v>
      </c>
      <c r="R1116" s="11" t="s">
        <v>45</v>
      </c>
      <c r="S1116" s="11" t="s">
        <v>45</v>
      </c>
      <c r="T1116" s="11" t="s">
        <v>44</v>
      </c>
      <c r="U1116" s="11" t="s">
        <v>45</v>
      </c>
      <c r="V1116" s="24">
        <v>45333</v>
      </c>
      <c r="W1116" s="11" t="s">
        <v>57</v>
      </c>
      <c r="X1116" s="11" t="s">
        <v>303</v>
      </c>
      <c r="Y1116" s="11" t="s">
        <v>58</v>
      </c>
      <c r="Z1116" s="11">
        <v>81983931851</v>
      </c>
      <c r="AA1116" s="11" t="s">
        <v>115</v>
      </c>
      <c r="AB1116" s="11" t="s">
        <v>49</v>
      </c>
      <c r="AC1116" s="11" t="s">
        <v>256</v>
      </c>
      <c r="AD1116" s="11" t="b">
        <v>0</v>
      </c>
      <c r="AF1116" s="11" t="s">
        <v>3652</v>
      </c>
      <c r="AG1116" s="11"/>
      <c r="AH1116" s="11"/>
      <c r="AI1116" s="11"/>
    </row>
    <row r="1117" ht="12.5" spans="1:35">
      <c r="A1117" s="177">
        <v>45332.8334632407</v>
      </c>
      <c r="B1117" s="11" t="s">
        <v>3653</v>
      </c>
      <c r="C1117" s="19">
        <v>10717354466</v>
      </c>
      <c r="D1117" s="19">
        <v>703004884010476</v>
      </c>
      <c r="E1117" s="18" t="s">
        <v>3654</v>
      </c>
      <c r="F1117" s="11" t="s">
        <v>225</v>
      </c>
      <c r="G1117" s="11" t="s">
        <v>54</v>
      </c>
      <c r="H1117" s="24">
        <v>38672</v>
      </c>
      <c r="I1117" s="19" t="s">
        <v>865</v>
      </c>
      <c r="J1117" s="11" t="s">
        <v>42</v>
      </c>
      <c r="K1117" s="108" t="s">
        <v>90</v>
      </c>
      <c r="N1117" s="11" t="s">
        <v>43</v>
      </c>
      <c r="O1117" s="11" t="s">
        <v>96</v>
      </c>
      <c r="P1117" s="11" t="s">
        <v>66</v>
      </c>
      <c r="Q1117" s="11" t="s">
        <v>44</v>
      </c>
      <c r="R1117" s="11" t="s">
        <v>45</v>
      </c>
      <c r="S1117" s="11" t="s">
        <v>45</v>
      </c>
      <c r="T1117" s="11" t="s">
        <v>44</v>
      </c>
      <c r="U1117" s="11" t="s">
        <v>45</v>
      </c>
      <c r="V1117" s="24">
        <v>45333</v>
      </c>
      <c r="W1117" s="11" t="s">
        <v>46</v>
      </c>
      <c r="X1117" s="11" t="s">
        <v>303</v>
      </c>
      <c r="Y1117" s="11" t="s">
        <v>58</v>
      </c>
      <c r="Z1117" s="11">
        <v>81973074593</v>
      </c>
      <c r="AA1117" s="11" t="s">
        <v>115</v>
      </c>
      <c r="AB1117" s="11" t="s">
        <v>49</v>
      </c>
      <c r="AC1117" s="11" t="s">
        <v>256</v>
      </c>
      <c r="AD1117" s="11" t="b">
        <v>0</v>
      </c>
      <c r="AF1117" s="11" t="s">
        <v>3655</v>
      </c>
      <c r="AG1117" s="11"/>
      <c r="AH1117" s="11"/>
      <c r="AI1117" s="11"/>
    </row>
    <row r="1118" ht="12.5" spans="1:35">
      <c r="A1118" s="177">
        <v>45333.4817733333</v>
      </c>
      <c r="B1118" s="11" t="s">
        <v>3563</v>
      </c>
      <c r="C1118" s="19">
        <v>70493080481</v>
      </c>
      <c r="D1118" s="19">
        <v>700506558264153</v>
      </c>
      <c r="F1118" s="11" t="s">
        <v>40</v>
      </c>
      <c r="G1118" s="11" t="s">
        <v>54</v>
      </c>
      <c r="H1118" s="24">
        <v>35824</v>
      </c>
      <c r="I1118" s="277" t="s">
        <v>1454</v>
      </c>
      <c r="J1118" s="11" t="s">
        <v>42</v>
      </c>
      <c r="K1118" s="108" t="s">
        <v>202</v>
      </c>
      <c r="N1118" s="11" t="s">
        <v>95</v>
      </c>
      <c r="O1118" s="11" t="s">
        <v>44</v>
      </c>
      <c r="P1118" s="11" t="s">
        <v>44</v>
      </c>
      <c r="Q1118" s="11" t="s">
        <v>44</v>
      </c>
      <c r="R1118" s="11" t="s">
        <v>45</v>
      </c>
      <c r="S1118" s="11" t="s">
        <v>45</v>
      </c>
      <c r="T1118" s="11" t="s">
        <v>44</v>
      </c>
      <c r="U1118" s="11" t="s">
        <v>44</v>
      </c>
      <c r="W1118" s="11" t="s">
        <v>57</v>
      </c>
      <c r="X1118" s="11" t="s">
        <v>97</v>
      </c>
      <c r="Y1118" s="11" t="s">
        <v>97</v>
      </c>
      <c r="Z1118" s="11">
        <v>81983931851</v>
      </c>
      <c r="AA1118" s="11" t="s">
        <v>1360</v>
      </c>
      <c r="AB1118" s="11"/>
      <c r="AC1118" s="11"/>
      <c r="AD1118" s="11" t="b">
        <v>0</v>
      </c>
      <c r="AF1118" s="11"/>
      <c r="AG1118" s="11"/>
      <c r="AH1118" s="11"/>
      <c r="AI1118" s="11"/>
    </row>
    <row r="1119" ht="12.5" spans="1:35">
      <c r="A1119" s="177">
        <v>45333.5036298495</v>
      </c>
      <c r="B1119" s="11" t="s">
        <v>2185</v>
      </c>
      <c r="C1119" s="19">
        <v>12993275402</v>
      </c>
      <c r="D1119" s="19">
        <v>705008073985751</v>
      </c>
      <c r="E1119" s="18" t="s">
        <v>3656</v>
      </c>
      <c r="F1119" s="11" t="s">
        <v>40</v>
      </c>
      <c r="G1119" s="11" t="s">
        <v>54</v>
      </c>
      <c r="H1119" s="24">
        <v>36711</v>
      </c>
      <c r="I1119" s="277" t="s">
        <v>3657</v>
      </c>
      <c r="J1119" s="11" t="s">
        <v>42</v>
      </c>
      <c r="K1119" s="108" t="s">
        <v>3658</v>
      </c>
      <c r="N1119" s="11" t="s">
        <v>43</v>
      </c>
      <c r="O1119" s="11" t="s">
        <v>44</v>
      </c>
      <c r="P1119" s="11" t="s">
        <v>44</v>
      </c>
      <c r="Q1119" s="11" t="s">
        <v>44</v>
      </c>
      <c r="R1119" s="11" t="s">
        <v>45</v>
      </c>
      <c r="S1119" s="11" t="s">
        <v>45</v>
      </c>
      <c r="T1119" s="11" t="s">
        <v>44</v>
      </c>
      <c r="U1119" s="11" t="s">
        <v>44</v>
      </c>
      <c r="W1119" s="11" t="s">
        <v>46</v>
      </c>
      <c r="X1119" s="11" t="s">
        <v>303</v>
      </c>
      <c r="Y1119" s="11" t="s">
        <v>58</v>
      </c>
      <c r="Z1119" s="11">
        <v>81987371375</v>
      </c>
      <c r="AA1119" s="11" t="s">
        <v>1360</v>
      </c>
      <c r="AB1119" s="11"/>
      <c r="AC1119" s="11"/>
      <c r="AD1119" s="11" t="b">
        <v>0</v>
      </c>
      <c r="AF1119" s="11"/>
      <c r="AG1119" s="11"/>
      <c r="AH1119" s="11"/>
      <c r="AI1119" s="11"/>
    </row>
    <row r="1120" ht="12.5" spans="1:35">
      <c r="A1120" s="177">
        <v>45333.5632923264</v>
      </c>
      <c r="B1120" s="11" t="s">
        <v>3659</v>
      </c>
      <c r="C1120" s="19">
        <v>71466211466</v>
      </c>
      <c r="D1120" s="19">
        <v>700608427804260</v>
      </c>
      <c r="E1120" s="18" t="s">
        <v>3660</v>
      </c>
      <c r="F1120" s="11" t="s">
        <v>40</v>
      </c>
      <c r="G1120" s="11" t="s">
        <v>54</v>
      </c>
      <c r="H1120" s="24">
        <v>36965</v>
      </c>
      <c r="I1120" s="277" t="s">
        <v>3473</v>
      </c>
      <c r="J1120" s="11" t="s">
        <v>42</v>
      </c>
      <c r="K1120" s="108" t="s">
        <v>202</v>
      </c>
      <c r="N1120" s="11" t="s">
        <v>43</v>
      </c>
      <c r="O1120" s="11" t="s">
        <v>96</v>
      </c>
      <c r="P1120" s="11" t="s">
        <v>66</v>
      </c>
      <c r="Q1120" s="11" t="s">
        <v>45</v>
      </c>
      <c r="R1120" s="11" t="s">
        <v>44</v>
      </c>
      <c r="S1120" s="11" t="s">
        <v>44</v>
      </c>
      <c r="T1120" s="11" t="s">
        <v>44</v>
      </c>
      <c r="U1120" s="11" t="s">
        <v>45</v>
      </c>
      <c r="V1120" s="24">
        <v>45334</v>
      </c>
      <c r="W1120" s="11" t="s">
        <v>46</v>
      </c>
      <c r="X1120" s="11" t="s">
        <v>303</v>
      </c>
      <c r="Y1120" s="11" t="s">
        <v>58</v>
      </c>
      <c r="Z1120" s="11">
        <v>81986515879</v>
      </c>
      <c r="AA1120" s="11" t="s">
        <v>1360</v>
      </c>
      <c r="AB1120" s="11" t="s">
        <v>98</v>
      </c>
      <c r="AC1120" s="11"/>
      <c r="AD1120" s="11" t="b">
        <v>0</v>
      </c>
      <c r="AF1120" s="11" t="s">
        <v>3661</v>
      </c>
      <c r="AG1120" s="11"/>
      <c r="AH1120" s="11" t="s">
        <v>3662</v>
      </c>
      <c r="AI1120" s="11"/>
    </row>
    <row r="1121" ht="12.5" spans="1:35">
      <c r="A1121" s="177">
        <v>45333.6005755903</v>
      </c>
      <c r="B1121" s="11" t="s">
        <v>3663</v>
      </c>
      <c r="C1121" s="277" t="s">
        <v>3664</v>
      </c>
      <c r="D1121" s="19">
        <v>707600256228694</v>
      </c>
      <c r="E1121" s="18" t="s">
        <v>3665</v>
      </c>
      <c r="F1121" s="11" t="s">
        <v>40</v>
      </c>
      <c r="G1121" s="11" t="s">
        <v>41</v>
      </c>
      <c r="H1121" s="24">
        <v>31837</v>
      </c>
      <c r="I1121" s="277" t="s">
        <v>3666</v>
      </c>
      <c r="J1121" s="11" t="s">
        <v>42</v>
      </c>
      <c r="K1121" s="108" t="s">
        <v>3667</v>
      </c>
      <c r="N1121" s="11" t="s">
        <v>43</v>
      </c>
      <c r="O1121" s="11" t="s">
        <v>96</v>
      </c>
      <c r="P1121" s="11" t="s">
        <v>66</v>
      </c>
      <c r="Q1121" s="11" t="s">
        <v>44</v>
      </c>
      <c r="R1121" s="11" t="s">
        <v>44</v>
      </c>
      <c r="S1121" s="11" t="s">
        <v>45</v>
      </c>
      <c r="T1121" s="11" t="s">
        <v>44</v>
      </c>
      <c r="U1121" s="11" t="s">
        <v>45</v>
      </c>
      <c r="V1121" s="24">
        <v>45334</v>
      </c>
      <c r="W1121" s="11" t="s">
        <v>46</v>
      </c>
      <c r="X1121" s="11" t="s">
        <v>303</v>
      </c>
      <c r="Y1121" s="11" t="s">
        <v>58</v>
      </c>
      <c r="Z1121" s="11">
        <v>81983419322</v>
      </c>
      <c r="AA1121" s="11" t="s">
        <v>1360</v>
      </c>
      <c r="AB1121" s="11" t="s">
        <v>49</v>
      </c>
      <c r="AC1121" s="11" t="s">
        <v>50</v>
      </c>
      <c r="AD1121" s="11" t="b">
        <v>1</v>
      </c>
      <c r="AE1121" s="11" t="s">
        <v>137</v>
      </c>
      <c r="AF1121" s="214" t="s">
        <v>3668</v>
      </c>
      <c r="AG1121" s="11"/>
      <c r="AH1121" s="11" t="s">
        <v>3669</v>
      </c>
      <c r="AI1121" s="11"/>
    </row>
    <row r="1122" ht="12.5" spans="1:35">
      <c r="A1122" s="177">
        <v>45333.6360122338</v>
      </c>
      <c r="B1122" s="11" t="s">
        <v>3670</v>
      </c>
      <c r="C1122" s="277" t="s">
        <v>3671</v>
      </c>
      <c r="D1122" s="19">
        <v>705009823463358</v>
      </c>
      <c r="E1122" s="18" t="s">
        <v>3672</v>
      </c>
      <c r="F1122" s="11" t="s">
        <v>225</v>
      </c>
      <c r="G1122" s="11" t="s">
        <v>54</v>
      </c>
      <c r="H1122" s="24">
        <v>34198</v>
      </c>
      <c r="I1122" s="277" t="s">
        <v>3062</v>
      </c>
      <c r="J1122" s="11" t="s">
        <v>42</v>
      </c>
      <c r="K1122" s="108" t="s">
        <v>3673</v>
      </c>
      <c r="N1122" s="11" t="s">
        <v>43</v>
      </c>
      <c r="O1122" s="11" t="s">
        <v>96</v>
      </c>
      <c r="P1122" s="11" t="s">
        <v>2559</v>
      </c>
      <c r="Q1122" s="11" t="s">
        <v>44</v>
      </c>
      <c r="R1122" s="11" t="s">
        <v>45</v>
      </c>
      <c r="S1122" s="11" t="s">
        <v>45</v>
      </c>
      <c r="T1122" s="11" t="s">
        <v>44</v>
      </c>
      <c r="U1122" s="11" t="s">
        <v>45</v>
      </c>
      <c r="V1122" s="24">
        <v>45334</v>
      </c>
      <c r="W1122" s="11" t="s">
        <v>46</v>
      </c>
      <c r="X1122" s="11" t="s">
        <v>303</v>
      </c>
      <c r="Y1122" s="11" t="s">
        <v>58</v>
      </c>
      <c r="Z1122" s="11">
        <v>81987060164</v>
      </c>
      <c r="AA1122" s="11" t="s">
        <v>1360</v>
      </c>
      <c r="AB1122" s="11" t="s">
        <v>98</v>
      </c>
      <c r="AC1122" s="11"/>
      <c r="AD1122" s="11" t="b">
        <v>0</v>
      </c>
      <c r="AF1122" s="11" t="s">
        <v>3674</v>
      </c>
      <c r="AG1122" s="11"/>
      <c r="AH1122" s="11" t="s">
        <v>3675</v>
      </c>
      <c r="AI1122" s="11"/>
    </row>
    <row r="1123" ht="12.5" spans="1:35">
      <c r="A1123" s="177">
        <v>45333.7314933333</v>
      </c>
      <c r="B1123" s="11" t="s">
        <v>3653</v>
      </c>
      <c r="C1123" s="19">
        <v>10717354466</v>
      </c>
      <c r="D1123" s="19">
        <v>703004884010476</v>
      </c>
      <c r="E1123" s="18" t="s">
        <v>3676</v>
      </c>
      <c r="F1123" s="11" t="s">
        <v>225</v>
      </c>
      <c r="G1123" s="11" t="s">
        <v>54</v>
      </c>
      <c r="H1123" s="24">
        <v>38672</v>
      </c>
      <c r="I1123" s="277" t="s">
        <v>1377</v>
      </c>
      <c r="J1123" s="11" t="s">
        <v>42</v>
      </c>
      <c r="K1123" s="108" t="s">
        <v>90</v>
      </c>
      <c r="N1123" s="11" t="s">
        <v>95</v>
      </c>
      <c r="O1123" s="11" t="s">
        <v>44</v>
      </c>
      <c r="P1123" s="11" t="s">
        <v>44</v>
      </c>
      <c r="Q1123" s="11" t="s">
        <v>44</v>
      </c>
      <c r="R1123" s="11" t="s">
        <v>45</v>
      </c>
      <c r="S1123" s="11" t="s">
        <v>45</v>
      </c>
      <c r="T1123" s="11" t="s">
        <v>44</v>
      </c>
      <c r="U1123" s="11" t="s">
        <v>44</v>
      </c>
      <c r="W1123" s="11" t="s">
        <v>57</v>
      </c>
      <c r="X1123" s="11" t="s">
        <v>97</v>
      </c>
      <c r="Y1123" s="11" t="s">
        <v>97</v>
      </c>
      <c r="Z1123" s="11">
        <v>81973074593</v>
      </c>
      <c r="AA1123" s="11" t="s">
        <v>1360</v>
      </c>
      <c r="AB1123" s="11"/>
      <c r="AC1123" s="11"/>
      <c r="AD1123" s="11" t="b">
        <v>0</v>
      </c>
      <c r="AF1123" s="11"/>
      <c r="AG1123" s="11"/>
      <c r="AH1123" s="11"/>
      <c r="AI1123" s="11"/>
    </row>
    <row r="1124" ht="12.5" spans="1:35">
      <c r="A1124" s="177">
        <v>45333.7518892245</v>
      </c>
      <c r="B1124" s="11" t="s">
        <v>3645</v>
      </c>
      <c r="C1124" s="277" t="s">
        <v>3646</v>
      </c>
      <c r="D1124" s="19">
        <v>705603430524911</v>
      </c>
      <c r="F1124" s="11" t="s">
        <v>225</v>
      </c>
      <c r="G1124" s="11" t="s">
        <v>41</v>
      </c>
      <c r="H1124" s="24">
        <v>32065</v>
      </c>
      <c r="I1124" s="277" t="s">
        <v>3648</v>
      </c>
      <c r="J1124" s="11" t="s">
        <v>42</v>
      </c>
      <c r="K1124" s="108" t="s">
        <v>202</v>
      </c>
      <c r="N1124" s="11" t="s">
        <v>95</v>
      </c>
      <c r="O1124" s="11" t="s">
        <v>44</v>
      </c>
      <c r="P1124" s="11" t="s">
        <v>44</v>
      </c>
      <c r="Q1124" s="11" t="s">
        <v>44</v>
      </c>
      <c r="R1124" s="11" t="s">
        <v>45</v>
      </c>
      <c r="S1124" s="11" t="s">
        <v>45</v>
      </c>
      <c r="T1124" s="11" t="s">
        <v>44</v>
      </c>
      <c r="U1124" s="11" t="s">
        <v>44</v>
      </c>
      <c r="W1124" s="11" t="s">
        <v>57</v>
      </c>
      <c r="X1124" s="11" t="s">
        <v>97</v>
      </c>
      <c r="Y1124" s="11" t="s">
        <v>97</v>
      </c>
      <c r="Z1124" s="11">
        <v>81998109162</v>
      </c>
      <c r="AA1124" s="11" t="s">
        <v>1360</v>
      </c>
      <c r="AB1124" s="11"/>
      <c r="AC1124" s="11"/>
      <c r="AD1124" s="11" t="b">
        <v>0</v>
      </c>
      <c r="AF1124" s="11"/>
      <c r="AG1124" s="11"/>
      <c r="AH1124" s="11"/>
      <c r="AI1124" s="11"/>
    </row>
    <row r="1125" ht="12.5" spans="1:35">
      <c r="A1125" s="177">
        <v>45334.4860420718</v>
      </c>
      <c r="B1125" s="11" t="s">
        <v>3677</v>
      </c>
      <c r="C1125" s="277" t="s">
        <v>3678</v>
      </c>
      <c r="D1125" s="19">
        <v>702801187246062</v>
      </c>
      <c r="E1125" s="18" t="s">
        <v>3679</v>
      </c>
      <c r="F1125" s="11" t="s">
        <v>225</v>
      </c>
      <c r="G1125" s="11" t="s">
        <v>54</v>
      </c>
      <c r="H1125" s="24">
        <v>34474</v>
      </c>
      <c r="I1125" s="277" t="s">
        <v>1748</v>
      </c>
      <c r="J1125" s="11" t="s">
        <v>81</v>
      </c>
      <c r="K1125" s="108"/>
      <c r="L1125" s="11" t="s">
        <v>520</v>
      </c>
      <c r="N1125" s="11" t="s">
        <v>43</v>
      </c>
      <c r="O1125" s="11" t="s">
        <v>65</v>
      </c>
      <c r="P1125" s="11" t="s">
        <v>66</v>
      </c>
      <c r="Q1125" s="11" t="s">
        <v>44</v>
      </c>
      <c r="R1125" s="11" t="s">
        <v>45</v>
      </c>
      <c r="S1125" s="11" t="s">
        <v>45</v>
      </c>
      <c r="T1125" s="11" t="s">
        <v>44</v>
      </c>
      <c r="U1125" s="11" t="s">
        <v>45</v>
      </c>
      <c r="V1125" s="24">
        <v>45335</v>
      </c>
      <c r="W1125" s="11" t="s">
        <v>46</v>
      </c>
      <c r="X1125" s="11" t="s">
        <v>303</v>
      </c>
      <c r="Y1125" s="11" t="s">
        <v>58</v>
      </c>
      <c r="Z1125" s="11">
        <v>81984274446</v>
      </c>
      <c r="AA1125" s="11" t="s">
        <v>115</v>
      </c>
      <c r="AB1125" s="11" t="s">
        <v>49</v>
      </c>
      <c r="AC1125" s="11" t="s">
        <v>50</v>
      </c>
      <c r="AD1125" s="11" t="b">
        <v>0</v>
      </c>
      <c r="AF1125" s="11" t="s">
        <v>3680</v>
      </c>
      <c r="AG1125" s="11"/>
      <c r="AH1125" s="11"/>
      <c r="AI1125" s="11"/>
    </row>
    <row r="1126" ht="12.5" spans="1:35">
      <c r="A1126" s="177">
        <v>45334.5692552083</v>
      </c>
      <c r="B1126" s="11" t="s">
        <v>3663</v>
      </c>
      <c r="C1126" s="277" t="s">
        <v>3664</v>
      </c>
      <c r="D1126" s="19">
        <v>707600256228694</v>
      </c>
      <c r="E1126" s="18" t="s">
        <v>3681</v>
      </c>
      <c r="F1126" s="11" t="s">
        <v>40</v>
      </c>
      <c r="G1126" s="11" t="s">
        <v>41</v>
      </c>
      <c r="H1126" s="24">
        <v>31837</v>
      </c>
      <c r="I1126" s="277" t="s">
        <v>3666</v>
      </c>
      <c r="J1126" s="11" t="s">
        <v>42</v>
      </c>
      <c r="K1126" s="108" t="s">
        <v>3682</v>
      </c>
      <c r="N1126" s="11" t="s">
        <v>95</v>
      </c>
      <c r="O1126" s="11" t="s">
        <v>44</v>
      </c>
      <c r="P1126" s="11" t="s">
        <v>44</v>
      </c>
      <c r="Q1126" s="11" t="s">
        <v>44</v>
      </c>
      <c r="R1126" s="11" t="s">
        <v>45</v>
      </c>
      <c r="S1126" s="11" t="s">
        <v>45</v>
      </c>
      <c r="T1126" s="11" t="s">
        <v>44</v>
      </c>
      <c r="U1126" s="11" t="s">
        <v>44</v>
      </c>
      <c r="W1126" s="11" t="s">
        <v>46</v>
      </c>
      <c r="X1126" s="11" t="s">
        <v>97</v>
      </c>
      <c r="Y1126" s="11" t="s">
        <v>97</v>
      </c>
      <c r="Z1126" s="11">
        <v>81983419322</v>
      </c>
      <c r="AA1126" s="11" t="s">
        <v>115</v>
      </c>
      <c r="AB1126" s="11"/>
      <c r="AC1126" s="11"/>
      <c r="AD1126" s="11" t="b">
        <v>0</v>
      </c>
      <c r="AF1126" s="11"/>
      <c r="AG1126" s="11"/>
      <c r="AH1126" s="11"/>
      <c r="AI1126" s="11"/>
    </row>
    <row r="1127" ht="12.5" spans="1:35">
      <c r="A1127" s="177">
        <v>45335.3982999537</v>
      </c>
      <c r="B1127" s="11" t="s">
        <v>3683</v>
      </c>
      <c r="C1127" s="19">
        <v>71557419493</v>
      </c>
      <c r="D1127" s="19">
        <v>706200504791062</v>
      </c>
      <c r="E1127" s="18" t="s">
        <v>3684</v>
      </c>
      <c r="F1127" s="11" t="s">
        <v>40</v>
      </c>
      <c r="G1127" s="11" t="s">
        <v>54</v>
      </c>
      <c r="H1127" s="24">
        <v>37762</v>
      </c>
      <c r="I1127" s="277" t="s">
        <v>3685</v>
      </c>
      <c r="J1127" s="11" t="s">
        <v>42</v>
      </c>
      <c r="K1127" s="108" t="s">
        <v>155</v>
      </c>
      <c r="N1127" s="11" t="s">
        <v>43</v>
      </c>
      <c r="O1127" s="11" t="s">
        <v>44</v>
      </c>
      <c r="P1127" s="11" t="s">
        <v>44</v>
      </c>
      <c r="Q1127" s="11" t="s">
        <v>44</v>
      </c>
      <c r="R1127" s="11" t="s">
        <v>45</v>
      </c>
      <c r="S1127" s="11" t="s">
        <v>45</v>
      </c>
      <c r="T1127" s="11" t="s">
        <v>44</v>
      </c>
      <c r="U1127" s="11" t="s">
        <v>45</v>
      </c>
      <c r="V1127" s="24">
        <v>45335</v>
      </c>
      <c r="W1127" s="11" t="s">
        <v>46</v>
      </c>
      <c r="X1127" s="11" t="s">
        <v>303</v>
      </c>
      <c r="Y1127" s="11" t="s">
        <v>58</v>
      </c>
      <c r="Z1127" s="11">
        <v>81999881737</v>
      </c>
      <c r="AA1127" s="11" t="s">
        <v>115</v>
      </c>
      <c r="AB1127" s="11" t="s">
        <v>49</v>
      </c>
      <c r="AC1127" s="11" t="s">
        <v>50</v>
      </c>
      <c r="AD1127" s="11" t="b">
        <v>0</v>
      </c>
      <c r="AF1127" s="11" t="s">
        <v>3686</v>
      </c>
      <c r="AG1127" s="11"/>
      <c r="AH1127" s="11" t="s">
        <v>2132</v>
      </c>
      <c r="AI1127" s="11"/>
    </row>
    <row r="1128" ht="12.5" spans="1:35">
      <c r="A1128" s="177">
        <v>45335.4793821759</v>
      </c>
      <c r="B1128" s="11" t="s">
        <v>3677</v>
      </c>
      <c r="C1128" s="277" t="s">
        <v>3678</v>
      </c>
      <c r="D1128" s="19">
        <v>702801187246062</v>
      </c>
      <c r="F1128" s="11" t="s">
        <v>225</v>
      </c>
      <c r="G1128" s="11" t="s">
        <v>54</v>
      </c>
      <c r="H1128" s="24">
        <v>34474</v>
      </c>
      <c r="I1128" s="277" t="s">
        <v>1748</v>
      </c>
      <c r="J1128" s="11" t="s">
        <v>81</v>
      </c>
      <c r="K1128" s="108"/>
      <c r="L1128" s="11" t="s">
        <v>520</v>
      </c>
      <c r="N1128" s="11" t="s">
        <v>95</v>
      </c>
      <c r="O1128" s="11" t="s">
        <v>127</v>
      </c>
      <c r="P1128" s="11" t="s">
        <v>44</v>
      </c>
      <c r="Q1128" s="11" t="s">
        <v>44</v>
      </c>
      <c r="R1128" s="11" t="s">
        <v>45</v>
      </c>
      <c r="S1128" s="11" t="s">
        <v>45</v>
      </c>
      <c r="T1128" s="11" t="s">
        <v>44</v>
      </c>
      <c r="U1128" s="11" t="s">
        <v>44</v>
      </c>
      <c r="W1128" s="11" t="s">
        <v>57</v>
      </c>
      <c r="X1128" s="11" t="s">
        <v>97</v>
      </c>
      <c r="Y1128" s="11" t="s">
        <v>97</v>
      </c>
      <c r="Z1128" s="11">
        <v>81984274446</v>
      </c>
      <c r="AA1128" s="11" t="s">
        <v>115</v>
      </c>
      <c r="AB1128" s="11"/>
      <c r="AC1128" s="11"/>
      <c r="AD1128" s="11" t="b">
        <v>0</v>
      </c>
      <c r="AF1128" s="11"/>
      <c r="AG1128" s="11"/>
      <c r="AH1128" s="11"/>
      <c r="AI1128" s="11"/>
    </row>
    <row r="1129" ht="12.5" spans="1:35">
      <c r="A1129" s="177">
        <v>45335.5857202778</v>
      </c>
      <c r="B1129" s="11" t="s">
        <v>3687</v>
      </c>
      <c r="C1129" s="19">
        <v>10930499441</v>
      </c>
      <c r="D1129" s="19">
        <v>708205636294946</v>
      </c>
      <c r="E1129" s="18" t="s">
        <v>3688</v>
      </c>
      <c r="F1129" s="11" t="s">
        <v>40</v>
      </c>
      <c r="G1129" s="11" t="s">
        <v>41</v>
      </c>
      <c r="H1129" s="24">
        <v>38989</v>
      </c>
      <c r="I1129" s="277" t="s">
        <v>2410</v>
      </c>
      <c r="J1129" s="11" t="s">
        <v>42</v>
      </c>
      <c r="K1129" s="108" t="s">
        <v>149</v>
      </c>
      <c r="N1129" s="11" t="s">
        <v>43</v>
      </c>
      <c r="O1129" s="11" t="s">
        <v>44</v>
      </c>
      <c r="P1129" s="11" t="s">
        <v>44</v>
      </c>
      <c r="Q1129" s="11" t="s">
        <v>44</v>
      </c>
      <c r="R1129" s="11" t="s">
        <v>45</v>
      </c>
      <c r="S1129" s="11" t="s">
        <v>45</v>
      </c>
      <c r="T1129" s="11" t="s">
        <v>44</v>
      </c>
      <c r="U1129" s="11" t="s">
        <v>45</v>
      </c>
      <c r="V1129" s="24">
        <v>45336</v>
      </c>
      <c r="W1129" s="11" t="s">
        <v>46</v>
      </c>
      <c r="X1129" s="11" t="s">
        <v>303</v>
      </c>
      <c r="Y1129" s="11" t="s">
        <v>58</v>
      </c>
      <c r="Z1129" s="11">
        <v>81985236769</v>
      </c>
      <c r="AA1129" s="11" t="s">
        <v>115</v>
      </c>
      <c r="AB1129" s="11" t="s">
        <v>98</v>
      </c>
      <c r="AC1129" s="11"/>
      <c r="AD1129" s="11" t="b">
        <v>0</v>
      </c>
      <c r="AF1129" s="11" t="s">
        <v>3689</v>
      </c>
      <c r="AG1129" s="11"/>
      <c r="AH1129" s="11" t="s">
        <v>2267</v>
      </c>
      <c r="AI1129" s="11"/>
    </row>
    <row r="1130" ht="12.5" spans="1:35">
      <c r="A1130" s="177">
        <v>45335.6876909375</v>
      </c>
      <c r="B1130" s="11" t="s">
        <v>3683</v>
      </c>
      <c r="C1130" s="19">
        <v>71557419493</v>
      </c>
      <c r="D1130" s="19">
        <v>706200504791062</v>
      </c>
      <c r="E1130" s="18" t="s">
        <v>3690</v>
      </c>
      <c r="F1130" s="11" t="s">
        <v>40</v>
      </c>
      <c r="G1130" s="11" t="s">
        <v>54</v>
      </c>
      <c r="H1130" s="24">
        <v>37762</v>
      </c>
      <c r="I1130" s="277" t="s">
        <v>3685</v>
      </c>
      <c r="J1130" s="11" t="s">
        <v>42</v>
      </c>
      <c r="K1130" s="108" t="s">
        <v>155</v>
      </c>
      <c r="N1130" s="11" t="s">
        <v>95</v>
      </c>
      <c r="O1130" s="11" t="s">
        <v>44</v>
      </c>
      <c r="P1130" s="11" t="s">
        <v>44</v>
      </c>
      <c r="Q1130" s="11" t="s">
        <v>44</v>
      </c>
      <c r="R1130" s="11" t="s">
        <v>45</v>
      </c>
      <c r="S1130" s="11" t="s">
        <v>45</v>
      </c>
      <c r="T1130" s="11" t="s">
        <v>44</v>
      </c>
      <c r="U1130" s="11" t="s">
        <v>44</v>
      </c>
      <c r="W1130" s="11" t="s">
        <v>57</v>
      </c>
      <c r="X1130" s="11" t="s">
        <v>97</v>
      </c>
      <c r="Y1130" s="11" t="s">
        <v>97</v>
      </c>
      <c r="Z1130" s="11">
        <v>81999881737</v>
      </c>
      <c r="AA1130" s="11" t="s">
        <v>115</v>
      </c>
      <c r="AB1130" s="11"/>
      <c r="AC1130" s="11"/>
      <c r="AD1130" s="11" t="b">
        <v>0</v>
      </c>
      <c r="AF1130" s="11"/>
      <c r="AG1130" s="11"/>
      <c r="AH1130" s="11"/>
      <c r="AI1130" s="11"/>
    </row>
    <row r="1131" ht="12.5" spans="1:35">
      <c r="A1131" s="177">
        <v>45336.6836311458</v>
      </c>
      <c r="B1131" s="11" t="s">
        <v>3691</v>
      </c>
      <c r="C1131" s="277" t="s">
        <v>3692</v>
      </c>
      <c r="D1131" s="19">
        <v>704004819053865</v>
      </c>
      <c r="E1131" s="18" t="s">
        <v>3693</v>
      </c>
      <c r="F1131" s="11" t="s">
        <v>40</v>
      </c>
      <c r="G1131" s="11" t="s">
        <v>54</v>
      </c>
      <c r="H1131" s="24">
        <v>31754</v>
      </c>
      <c r="I1131" s="19" t="s">
        <v>97</v>
      </c>
      <c r="J1131" s="11" t="s">
        <v>438</v>
      </c>
      <c r="K1131" s="108"/>
      <c r="M1131" s="11" t="s">
        <v>3694</v>
      </c>
      <c r="N1131" s="11" t="s">
        <v>43</v>
      </c>
      <c r="O1131" s="11" t="s">
        <v>96</v>
      </c>
      <c r="P1131" s="11" t="s">
        <v>66</v>
      </c>
      <c r="Q1131" s="11" t="s">
        <v>44</v>
      </c>
      <c r="R1131" s="11" t="s">
        <v>45</v>
      </c>
      <c r="S1131" s="11" t="s">
        <v>45</v>
      </c>
      <c r="T1131" s="11" t="s">
        <v>44</v>
      </c>
      <c r="U1131" s="11" t="s">
        <v>45</v>
      </c>
      <c r="V1131" s="24">
        <v>45337</v>
      </c>
      <c r="W1131" s="11" t="s">
        <v>46</v>
      </c>
      <c r="X1131" s="11" t="s">
        <v>303</v>
      </c>
      <c r="Y1131" s="11" t="s">
        <v>58</v>
      </c>
      <c r="Z1131" s="11">
        <v>81983197702</v>
      </c>
      <c r="AA1131" s="11" t="s">
        <v>115</v>
      </c>
      <c r="AB1131" s="11" t="s">
        <v>49</v>
      </c>
      <c r="AC1131" s="11" t="s">
        <v>75</v>
      </c>
      <c r="AD1131" s="11" t="b">
        <v>0</v>
      </c>
      <c r="AF1131" s="11" t="s">
        <v>3695</v>
      </c>
      <c r="AG1131" s="11"/>
      <c r="AH1131" s="11"/>
      <c r="AI1131" s="11"/>
    </row>
    <row r="1132" ht="12.5" spans="1:35">
      <c r="A1132" s="177">
        <v>45337.3756661458</v>
      </c>
      <c r="B1132" s="11" t="s">
        <v>3691</v>
      </c>
      <c r="C1132" s="277" t="s">
        <v>3692</v>
      </c>
      <c r="D1132" s="19">
        <v>704004819053865</v>
      </c>
      <c r="F1132" s="11" t="s">
        <v>40</v>
      </c>
      <c r="G1132" s="11" t="s">
        <v>54</v>
      </c>
      <c r="H1132" s="24">
        <v>31754</v>
      </c>
      <c r="I1132" s="19" t="s">
        <v>97</v>
      </c>
      <c r="J1132" s="11" t="s">
        <v>438</v>
      </c>
      <c r="K1132" s="108"/>
      <c r="M1132" s="11" t="s">
        <v>3694</v>
      </c>
      <c r="N1132" s="11" t="s">
        <v>95</v>
      </c>
      <c r="O1132" s="11" t="s">
        <v>44</v>
      </c>
      <c r="P1132" s="11" t="s">
        <v>44</v>
      </c>
      <c r="Q1132" s="11" t="s">
        <v>44</v>
      </c>
      <c r="R1132" s="11" t="s">
        <v>45</v>
      </c>
      <c r="S1132" s="11" t="s">
        <v>45</v>
      </c>
      <c r="T1132" s="11" t="s">
        <v>44</v>
      </c>
      <c r="U1132" s="11" t="s">
        <v>44</v>
      </c>
      <c r="W1132" s="11" t="s">
        <v>57</v>
      </c>
      <c r="X1132" s="11" t="s">
        <v>97</v>
      </c>
      <c r="Y1132" s="11" t="s">
        <v>97</v>
      </c>
      <c r="Z1132" s="11">
        <v>81983197702</v>
      </c>
      <c r="AA1132" s="11" t="s">
        <v>113</v>
      </c>
      <c r="AB1132" s="11"/>
      <c r="AC1132" s="11"/>
      <c r="AD1132" s="11" t="b">
        <v>0</v>
      </c>
      <c r="AF1132" s="11"/>
      <c r="AG1132" s="11"/>
      <c r="AH1132" s="11"/>
      <c r="AI1132" s="11"/>
    </row>
    <row r="1133" ht="12.5" spans="1:35">
      <c r="A1133" s="177">
        <v>45337.3892136458</v>
      </c>
      <c r="B1133" s="11" t="s">
        <v>3696</v>
      </c>
      <c r="C1133" s="19">
        <v>71818397480</v>
      </c>
      <c r="D1133" s="19">
        <v>708107140970040</v>
      </c>
      <c r="E1133" s="18" t="s">
        <v>3697</v>
      </c>
      <c r="F1133" s="11" t="s">
        <v>225</v>
      </c>
      <c r="G1133" s="11" t="s">
        <v>54</v>
      </c>
      <c r="H1133" s="24">
        <v>39440</v>
      </c>
      <c r="I1133" s="277" t="s">
        <v>3179</v>
      </c>
      <c r="J1133" s="11" t="s">
        <v>42</v>
      </c>
      <c r="K1133" s="108" t="s">
        <v>3698</v>
      </c>
      <c r="N1133" s="11" t="s">
        <v>43</v>
      </c>
      <c r="O1133" s="11" t="s">
        <v>65</v>
      </c>
      <c r="P1133" s="11" t="s">
        <v>66</v>
      </c>
      <c r="Q1133" s="11" t="s">
        <v>44</v>
      </c>
      <c r="R1133" s="11" t="s">
        <v>45</v>
      </c>
      <c r="S1133" s="11" t="s">
        <v>44</v>
      </c>
      <c r="T1133" s="11" t="s">
        <v>44</v>
      </c>
      <c r="U1133" s="11" t="s">
        <v>45</v>
      </c>
      <c r="V1133" s="24">
        <v>45338</v>
      </c>
      <c r="W1133" s="11" t="s">
        <v>46</v>
      </c>
      <c r="X1133" s="11" t="s">
        <v>203</v>
      </c>
      <c r="Y1133" s="11" t="s">
        <v>68</v>
      </c>
      <c r="Z1133" s="11">
        <v>81986512658</v>
      </c>
      <c r="AA1133" s="11" t="s">
        <v>91</v>
      </c>
      <c r="AB1133" s="11" t="s">
        <v>98</v>
      </c>
      <c r="AC1133" s="11"/>
      <c r="AD1133" s="11" t="b">
        <v>0</v>
      </c>
      <c r="AF1133" s="11" t="s">
        <v>3699</v>
      </c>
      <c r="AG1133" s="11" t="s">
        <v>3700</v>
      </c>
      <c r="AH1133" s="11"/>
      <c r="AI1133" s="11"/>
    </row>
    <row r="1134" ht="12.5" spans="1:35">
      <c r="A1134" s="177">
        <v>45337.8149634143</v>
      </c>
      <c r="B1134" s="11" t="s">
        <v>3701</v>
      </c>
      <c r="C1134" s="19">
        <v>70632914408</v>
      </c>
      <c r="D1134" s="19">
        <v>703200612913497</v>
      </c>
      <c r="E1134" s="18" t="s">
        <v>3702</v>
      </c>
      <c r="F1134" s="11" t="s">
        <v>40</v>
      </c>
      <c r="G1134" s="11" t="s">
        <v>54</v>
      </c>
      <c r="H1134" s="24">
        <v>31150</v>
      </c>
      <c r="I1134" s="277" t="s">
        <v>1764</v>
      </c>
      <c r="J1134" s="11" t="s">
        <v>42</v>
      </c>
      <c r="K1134" s="108" t="s">
        <v>3703</v>
      </c>
      <c r="N1134" s="11" t="s">
        <v>43</v>
      </c>
      <c r="O1134" s="11" t="s">
        <v>44</v>
      </c>
      <c r="P1134" s="11" t="s">
        <v>56</v>
      </c>
      <c r="Q1134" s="11" t="s">
        <v>45</v>
      </c>
      <c r="R1134" s="11" t="s">
        <v>45</v>
      </c>
      <c r="S1134" s="11" t="s">
        <v>45</v>
      </c>
      <c r="T1134" s="11" t="s">
        <v>44</v>
      </c>
      <c r="U1134" s="11" t="s">
        <v>45</v>
      </c>
      <c r="V1134" s="24">
        <v>45338</v>
      </c>
      <c r="W1134" s="11" t="s">
        <v>46</v>
      </c>
      <c r="X1134" s="11" t="s">
        <v>203</v>
      </c>
      <c r="Y1134" s="11" t="s">
        <v>58</v>
      </c>
      <c r="Z1134" s="11">
        <v>81986531979</v>
      </c>
      <c r="AA1134" s="11" t="s">
        <v>115</v>
      </c>
      <c r="AB1134" s="11" t="s">
        <v>98</v>
      </c>
      <c r="AC1134" s="11"/>
      <c r="AD1134" s="11" t="b">
        <v>0</v>
      </c>
      <c r="AF1134" s="11" t="s">
        <v>3704</v>
      </c>
      <c r="AG1134" s="11" t="s">
        <v>3705</v>
      </c>
      <c r="AH1134" s="63" t="s">
        <v>3706</v>
      </c>
      <c r="AI1134" s="11"/>
    </row>
    <row r="1135" ht="12.5" spans="1:35">
      <c r="A1135" s="177">
        <v>45338.3893113079</v>
      </c>
      <c r="B1135" s="11" t="s">
        <v>3707</v>
      </c>
      <c r="C1135" s="277" t="s">
        <v>3708</v>
      </c>
      <c r="D1135" s="19">
        <v>703409215242819</v>
      </c>
      <c r="E1135" s="18" t="s">
        <v>3709</v>
      </c>
      <c r="F1135" s="11" t="s">
        <v>40</v>
      </c>
      <c r="G1135" s="11" t="s">
        <v>54</v>
      </c>
      <c r="H1135" s="24">
        <v>32820</v>
      </c>
      <c r="I1135" s="277" t="s">
        <v>2073</v>
      </c>
      <c r="J1135" s="11" t="s">
        <v>42</v>
      </c>
      <c r="K1135" s="108" t="s">
        <v>149</v>
      </c>
      <c r="N1135" s="11" t="s">
        <v>43</v>
      </c>
      <c r="O1135" s="11" t="s">
        <v>44</v>
      </c>
      <c r="P1135" s="11" t="s">
        <v>44</v>
      </c>
      <c r="Q1135" s="11" t="s">
        <v>44</v>
      </c>
      <c r="R1135" s="11" t="s">
        <v>45</v>
      </c>
      <c r="S1135" s="11" t="s">
        <v>45</v>
      </c>
      <c r="T1135" s="11" t="s">
        <v>44</v>
      </c>
      <c r="U1135" s="11" t="s">
        <v>45</v>
      </c>
      <c r="V1135" s="24">
        <v>45339</v>
      </c>
      <c r="W1135" s="11" t="s">
        <v>46</v>
      </c>
      <c r="X1135" s="9" t="s">
        <v>67</v>
      </c>
      <c r="Y1135" s="11" t="s">
        <v>58</v>
      </c>
      <c r="Z1135" s="11">
        <v>81984452259</v>
      </c>
      <c r="AA1135" s="11" t="s">
        <v>91</v>
      </c>
      <c r="AB1135" s="11" t="s">
        <v>98</v>
      </c>
      <c r="AC1135" s="11"/>
      <c r="AD1135" s="11" t="b">
        <v>0</v>
      </c>
      <c r="AF1135" s="11" t="s">
        <v>3710</v>
      </c>
      <c r="AG1135" s="11"/>
      <c r="AH1135" s="11"/>
      <c r="AI1135" s="11"/>
    </row>
    <row r="1136" ht="12.5" spans="1:35">
      <c r="A1136" s="177">
        <v>45338.3978258333</v>
      </c>
      <c r="B1136" s="11" t="s">
        <v>3711</v>
      </c>
      <c r="C1136" s="277" t="s">
        <v>3712</v>
      </c>
      <c r="D1136" s="19">
        <v>700009022856504</v>
      </c>
      <c r="E1136" s="18" t="s">
        <v>3713</v>
      </c>
      <c r="F1136" s="11" t="s">
        <v>225</v>
      </c>
      <c r="G1136" s="11" t="s">
        <v>54</v>
      </c>
      <c r="H1136" s="24">
        <v>30900</v>
      </c>
      <c r="I1136" s="277" t="s">
        <v>3714</v>
      </c>
      <c r="J1136" s="11" t="s">
        <v>42</v>
      </c>
      <c r="K1136" s="108" t="s">
        <v>155</v>
      </c>
      <c r="N1136" s="11" t="s">
        <v>43</v>
      </c>
      <c r="O1136" s="11" t="s">
        <v>44</v>
      </c>
      <c r="P1136" s="11" t="s">
        <v>44</v>
      </c>
      <c r="Q1136" s="11" t="s">
        <v>44</v>
      </c>
      <c r="R1136" s="11" t="s">
        <v>44</v>
      </c>
      <c r="S1136" s="11" t="s">
        <v>44</v>
      </c>
      <c r="T1136" s="11" t="s">
        <v>44</v>
      </c>
      <c r="U1136" s="11" t="s">
        <v>44</v>
      </c>
      <c r="W1136" s="11" t="s">
        <v>46</v>
      </c>
      <c r="X1136" s="9" t="s">
        <v>156</v>
      </c>
      <c r="Y1136" s="11" t="s">
        <v>58</v>
      </c>
      <c r="Z1136" s="11">
        <v>81991216235</v>
      </c>
      <c r="AA1136" s="11" t="s">
        <v>1360</v>
      </c>
      <c r="AB1136" s="11"/>
      <c r="AC1136" s="11"/>
      <c r="AD1136" s="11" t="b">
        <v>0</v>
      </c>
      <c r="AF1136" s="11"/>
      <c r="AG1136" s="11"/>
      <c r="AH1136" s="11"/>
      <c r="AI1136" s="11"/>
    </row>
    <row r="1137" ht="12.5" spans="1:35">
      <c r="A1137" s="177">
        <v>45338.5612798495</v>
      </c>
      <c r="B1137" s="11" t="s">
        <v>3715</v>
      </c>
      <c r="C1137" s="19">
        <v>10499514416</v>
      </c>
      <c r="D1137" s="19">
        <v>702603799229847</v>
      </c>
      <c r="E1137" s="18" t="s">
        <v>3716</v>
      </c>
      <c r="F1137" s="11" t="s">
        <v>40</v>
      </c>
      <c r="G1137" s="11" t="s">
        <v>88</v>
      </c>
      <c r="H1137" s="24">
        <v>35109</v>
      </c>
      <c r="I1137" s="277" t="s">
        <v>3090</v>
      </c>
      <c r="J1137" s="11" t="s">
        <v>42</v>
      </c>
      <c r="K1137" s="108" t="s">
        <v>202</v>
      </c>
      <c r="N1137" s="11" t="s">
        <v>43</v>
      </c>
      <c r="O1137" s="11" t="s">
        <v>44</v>
      </c>
      <c r="P1137" s="11" t="s">
        <v>44</v>
      </c>
      <c r="Q1137" s="11" t="s">
        <v>44</v>
      </c>
      <c r="R1137" s="11" t="s">
        <v>45</v>
      </c>
      <c r="S1137" s="11" t="s">
        <v>45</v>
      </c>
      <c r="T1137" s="11" t="s">
        <v>44</v>
      </c>
      <c r="U1137" s="11" t="s">
        <v>44</v>
      </c>
      <c r="W1137" s="11" t="s">
        <v>46</v>
      </c>
      <c r="X1137" s="11" t="s">
        <v>47</v>
      </c>
      <c r="Y1137" s="11" t="s">
        <v>58</v>
      </c>
      <c r="Z1137" s="11">
        <v>81984720608</v>
      </c>
      <c r="AA1137" s="11" t="s">
        <v>1360</v>
      </c>
      <c r="AB1137" s="11"/>
      <c r="AC1137" s="11"/>
      <c r="AD1137" s="11" t="b">
        <v>0</v>
      </c>
      <c r="AF1137" s="11"/>
      <c r="AG1137" s="11"/>
      <c r="AH1137" s="11"/>
      <c r="AI1137" s="11"/>
    </row>
    <row r="1138" ht="12.5" spans="1:35">
      <c r="A1138" s="177">
        <v>45338.5639978819</v>
      </c>
      <c r="B1138" s="11" t="s">
        <v>3717</v>
      </c>
      <c r="C1138" s="19">
        <v>16751619413</v>
      </c>
      <c r="D1138" s="19">
        <v>898006193597036</v>
      </c>
      <c r="E1138" s="18" t="s">
        <v>3718</v>
      </c>
      <c r="F1138" s="11" t="s">
        <v>40</v>
      </c>
      <c r="G1138" s="11" t="s">
        <v>54</v>
      </c>
      <c r="H1138" s="24">
        <v>37915</v>
      </c>
      <c r="I1138" s="277" t="s">
        <v>2759</v>
      </c>
      <c r="J1138" s="11" t="s">
        <v>42</v>
      </c>
      <c r="K1138" s="108" t="s">
        <v>3719</v>
      </c>
      <c r="N1138" s="11" t="s">
        <v>43</v>
      </c>
      <c r="O1138" s="11" t="s">
        <v>44</v>
      </c>
      <c r="P1138" s="11" t="s">
        <v>44</v>
      </c>
      <c r="Q1138" s="11" t="s">
        <v>44</v>
      </c>
      <c r="R1138" s="11" t="s">
        <v>45</v>
      </c>
      <c r="S1138" s="11" t="s">
        <v>83</v>
      </c>
      <c r="T1138" s="11" t="s">
        <v>44</v>
      </c>
      <c r="U1138" s="11" t="s">
        <v>44</v>
      </c>
      <c r="W1138" s="11" t="s">
        <v>57</v>
      </c>
      <c r="X1138" s="11" t="s">
        <v>47</v>
      </c>
      <c r="Y1138" s="11" t="s">
        <v>185</v>
      </c>
      <c r="Z1138" s="11">
        <v>81988130942</v>
      </c>
      <c r="AA1138" s="11" t="s">
        <v>91</v>
      </c>
      <c r="AB1138" s="11"/>
      <c r="AC1138" s="11"/>
      <c r="AD1138" s="11" t="b">
        <v>0</v>
      </c>
      <c r="AF1138" s="11"/>
      <c r="AG1138" s="11"/>
      <c r="AH1138" s="11"/>
      <c r="AI1138" s="11"/>
    </row>
    <row r="1139" ht="12.5" spans="1:35">
      <c r="A1139" s="177">
        <v>45339.6756190393</v>
      </c>
      <c r="B1139" s="11" t="s">
        <v>3711</v>
      </c>
      <c r="C1139" s="277" t="s">
        <v>3712</v>
      </c>
      <c r="D1139" s="19">
        <v>700009022856504</v>
      </c>
      <c r="E1139" s="18" t="s">
        <v>3720</v>
      </c>
      <c r="F1139" s="11" t="s">
        <v>225</v>
      </c>
      <c r="G1139" s="11" t="s">
        <v>54</v>
      </c>
      <c r="H1139" s="24">
        <v>30900</v>
      </c>
      <c r="I1139" s="277" t="s">
        <v>3714</v>
      </c>
      <c r="J1139" s="11" t="s">
        <v>42</v>
      </c>
      <c r="K1139" s="108" t="s">
        <v>155</v>
      </c>
      <c r="N1139" s="11" t="s">
        <v>43</v>
      </c>
      <c r="O1139" s="11" t="s">
        <v>96</v>
      </c>
      <c r="P1139" s="11" t="s">
        <v>66</v>
      </c>
      <c r="Q1139" s="11" t="s">
        <v>44</v>
      </c>
      <c r="R1139" s="11" t="s">
        <v>44</v>
      </c>
      <c r="S1139" s="11" t="s">
        <v>45</v>
      </c>
      <c r="T1139" s="11" t="s">
        <v>44</v>
      </c>
      <c r="U1139" s="11" t="s">
        <v>45</v>
      </c>
      <c r="V1139" s="24">
        <v>45340</v>
      </c>
      <c r="W1139" s="11" t="s">
        <v>46</v>
      </c>
      <c r="X1139" s="11" t="s">
        <v>303</v>
      </c>
      <c r="Y1139" s="11" t="s">
        <v>58</v>
      </c>
      <c r="Z1139" s="11">
        <v>81991216235</v>
      </c>
      <c r="AA1139" s="11" t="s">
        <v>115</v>
      </c>
      <c r="AB1139" s="11" t="s">
        <v>49</v>
      </c>
      <c r="AC1139" s="11" t="s">
        <v>256</v>
      </c>
      <c r="AD1139" s="11" t="b">
        <v>1</v>
      </c>
      <c r="AE1139" s="11" t="s">
        <v>137</v>
      </c>
      <c r="AF1139" s="11" t="s">
        <v>3643</v>
      </c>
      <c r="AG1139" s="11" t="s">
        <v>3721</v>
      </c>
      <c r="AH1139" s="11" t="s">
        <v>3722</v>
      </c>
      <c r="AI1139" s="11"/>
    </row>
    <row r="1140" ht="12.5" spans="1:35">
      <c r="A1140" s="177">
        <v>45339.7307881018</v>
      </c>
      <c r="B1140" s="11" t="s">
        <v>3723</v>
      </c>
      <c r="C1140" s="277" t="s">
        <v>3724</v>
      </c>
      <c r="D1140" s="19">
        <v>898004913866631</v>
      </c>
      <c r="E1140" s="18" t="s">
        <v>3725</v>
      </c>
      <c r="F1140" s="11" t="s">
        <v>225</v>
      </c>
      <c r="G1140" s="11" t="s">
        <v>41</v>
      </c>
      <c r="H1140" s="24">
        <v>35324</v>
      </c>
      <c r="I1140" s="277" t="s">
        <v>2629</v>
      </c>
      <c r="J1140" s="11" t="s">
        <v>42</v>
      </c>
      <c r="K1140" s="108" t="s">
        <v>3726</v>
      </c>
      <c r="N1140" s="11" t="s">
        <v>43</v>
      </c>
      <c r="O1140" s="11" t="s">
        <v>96</v>
      </c>
      <c r="P1140" s="11" t="s">
        <v>66</v>
      </c>
      <c r="Q1140" s="11" t="s">
        <v>44</v>
      </c>
      <c r="R1140" s="11" t="s">
        <v>45</v>
      </c>
      <c r="S1140" s="11" t="s">
        <v>45</v>
      </c>
      <c r="T1140" s="11" t="s">
        <v>44</v>
      </c>
      <c r="U1140" s="11" t="s">
        <v>45</v>
      </c>
      <c r="V1140" s="24">
        <v>45340</v>
      </c>
      <c r="W1140" s="11" t="s">
        <v>46</v>
      </c>
      <c r="X1140" s="11" t="s">
        <v>303</v>
      </c>
      <c r="Y1140" s="11" t="s">
        <v>58</v>
      </c>
      <c r="Z1140" s="11">
        <v>81986961681</v>
      </c>
      <c r="AA1140" s="11" t="s">
        <v>115</v>
      </c>
      <c r="AB1140" s="11" t="s">
        <v>98</v>
      </c>
      <c r="AC1140" s="11"/>
      <c r="AD1140" s="11" t="b">
        <v>0</v>
      </c>
      <c r="AF1140" s="11" t="s">
        <v>3649</v>
      </c>
      <c r="AG1140" s="11" t="s">
        <v>3727</v>
      </c>
      <c r="AH1140" s="11" t="s">
        <v>3728</v>
      </c>
      <c r="AI1140" s="11"/>
    </row>
    <row r="1141" ht="12.5" spans="1:35">
      <c r="A1141" s="177">
        <v>45340.5385436458</v>
      </c>
      <c r="B1141" s="11" t="s">
        <v>3729</v>
      </c>
      <c r="C1141" s="19">
        <v>12362817482</v>
      </c>
      <c r="D1141" s="19">
        <v>898003946734946</v>
      </c>
      <c r="E1141" s="18" t="s">
        <v>3730</v>
      </c>
      <c r="F1141" s="11" t="s">
        <v>225</v>
      </c>
      <c r="G1141" s="11" t="s">
        <v>54</v>
      </c>
      <c r="H1141" s="24">
        <v>36004</v>
      </c>
      <c r="I1141" s="277" t="s">
        <v>3152</v>
      </c>
      <c r="J1141" s="11" t="s">
        <v>81</v>
      </c>
      <c r="K1141" s="108"/>
      <c r="L1141" s="11" t="s">
        <v>520</v>
      </c>
      <c r="N1141" s="11" t="s">
        <v>43</v>
      </c>
      <c r="O1141" s="11" t="s">
        <v>96</v>
      </c>
      <c r="P1141" s="11" t="s">
        <v>66</v>
      </c>
      <c r="Q1141" s="11" t="s">
        <v>44</v>
      </c>
      <c r="R1141" s="11" t="s">
        <v>45</v>
      </c>
      <c r="S1141" s="11" t="s">
        <v>44</v>
      </c>
      <c r="T1141" s="11" t="s">
        <v>44</v>
      </c>
      <c r="U1141" s="11" t="s">
        <v>45</v>
      </c>
      <c r="V1141" s="24">
        <v>45341</v>
      </c>
      <c r="W1141" s="11" t="s">
        <v>46</v>
      </c>
      <c r="X1141" s="11" t="s">
        <v>303</v>
      </c>
      <c r="Y1141" s="11" t="s">
        <v>58</v>
      </c>
      <c r="Z1141" s="11">
        <v>81996957250</v>
      </c>
      <c r="AA1141" s="11" t="s">
        <v>1360</v>
      </c>
      <c r="AB1141" s="11" t="s">
        <v>49</v>
      </c>
      <c r="AC1141" s="11" t="s">
        <v>84</v>
      </c>
      <c r="AD1141" s="11" t="b">
        <v>0</v>
      </c>
      <c r="AF1141" s="11" t="s">
        <v>3731</v>
      </c>
      <c r="AG1141" s="11" t="s">
        <v>3732</v>
      </c>
      <c r="AH1141" s="11"/>
      <c r="AI1141" s="11"/>
    </row>
    <row r="1142" ht="12.5" spans="1:35">
      <c r="A1142" s="177">
        <v>45340.7468633796</v>
      </c>
      <c r="B1142" s="11" t="s">
        <v>3711</v>
      </c>
      <c r="C1142" s="277" t="s">
        <v>3712</v>
      </c>
      <c r="D1142" s="19">
        <v>700009022856504</v>
      </c>
      <c r="E1142" s="18" t="s">
        <v>3733</v>
      </c>
      <c r="F1142" s="11" t="s">
        <v>225</v>
      </c>
      <c r="G1142" s="11" t="s">
        <v>54</v>
      </c>
      <c r="H1142" s="24">
        <v>30900</v>
      </c>
      <c r="I1142" s="277" t="s">
        <v>3714</v>
      </c>
      <c r="J1142" s="11" t="s">
        <v>42</v>
      </c>
      <c r="K1142" s="108" t="s">
        <v>155</v>
      </c>
      <c r="N1142" s="11" t="s">
        <v>95</v>
      </c>
      <c r="O1142" s="11" t="s">
        <v>44</v>
      </c>
      <c r="P1142" s="11" t="s">
        <v>44</v>
      </c>
      <c r="Q1142" s="11" t="s">
        <v>44</v>
      </c>
      <c r="R1142" s="11" t="s">
        <v>44</v>
      </c>
      <c r="S1142" s="11" t="s">
        <v>45</v>
      </c>
      <c r="T1142" s="11" t="s">
        <v>44</v>
      </c>
      <c r="U1142" s="11" t="s">
        <v>45</v>
      </c>
      <c r="V1142" s="24">
        <v>45342</v>
      </c>
      <c r="W1142" s="11" t="s">
        <v>46</v>
      </c>
      <c r="X1142" s="11" t="s">
        <v>97</v>
      </c>
      <c r="Y1142" s="11" t="s">
        <v>97</v>
      </c>
      <c r="Z1142" s="11">
        <v>81991216235</v>
      </c>
      <c r="AA1142" s="11" t="s">
        <v>1360</v>
      </c>
      <c r="AB1142" s="11" t="s">
        <v>49</v>
      </c>
      <c r="AC1142" s="11" t="s">
        <v>92</v>
      </c>
      <c r="AD1142" s="11" t="b">
        <v>1</v>
      </c>
      <c r="AE1142" s="11" t="s">
        <v>137</v>
      </c>
      <c r="AF1142" s="11" t="s">
        <v>3734</v>
      </c>
      <c r="AG1142" s="11" t="s">
        <v>3735</v>
      </c>
      <c r="AH1142" s="11" t="s">
        <v>3736</v>
      </c>
      <c r="AI1142" s="11"/>
    </row>
    <row r="1143" ht="12.5" spans="1:35">
      <c r="A1143" s="177">
        <v>45341.4770368634</v>
      </c>
      <c r="B1143" s="11" t="s">
        <v>3717</v>
      </c>
      <c r="C1143" s="19">
        <v>16751619413</v>
      </c>
      <c r="D1143" s="19">
        <v>898006193597036</v>
      </c>
      <c r="E1143" s="18" t="s">
        <v>3737</v>
      </c>
      <c r="F1143" s="11" t="s">
        <v>40</v>
      </c>
      <c r="G1143" s="11" t="s">
        <v>54</v>
      </c>
      <c r="H1143" s="24">
        <v>37915</v>
      </c>
      <c r="I1143" s="277" t="s">
        <v>1454</v>
      </c>
      <c r="J1143" s="11" t="s">
        <v>42</v>
      </c>
      <c r="K1143" s="108" t="s">
        <v>90</v>
      </c>
      <c r="N1143" s="11" t="s">
        <v>43</v>
      </c>
      <c r="O1143" s="11" t="s">
        <v>44</v>
      </c>
      <c r="P1143" s="11" t="s">
        <v>44</v>
      </c>
      <c r="Q1143" s="11" t="s">
        <v>45</v>
      </c>
      <c r="R1143" s="11" t="s">
        <v>45</v>
      </c>
      <c r="S1143" s="11" t="s">
        <v>45</v>
      </c>
      <c r="T1143" s="11" t="s">
        <v>44</v>
      </c>
      <c r="U1143" s="11" t="s">
        <v>45</v>
      </c>
      <c r="V1143" s="24">
        <v>45341</v>
      </c>
      <c r="W1143" s="11" t="s">
        <v>57</v>
      </c>
      <c r="X1143" s="11" t="s">
        <v>47</v>
      </c>
      <c r="Y1143" s="11" t="s">
        <v>58</v>
      </c>
      <c r="Z1143" s="11">
        <v>81987368493</v>
      </c>
      <c r="AA1143" s="11" t="s">
        <v>105</v>
      </c>
      <c r="AB1143" s="11" t="s">
        <v>49</v>
      </c>
      <c r="AC1143" s="11" t="s">
        <v>84</v>
      </c>
      <c r="AD1143" s="11" t="b">
        <v>0</v>
      </c>
      <c r="AF1143" s="11" t="s">
        <v>3738</v>
      </c>
      <c r="AG1143" s="11" t="s">
        <v>3739</v>
      </c>
      <c r="AH1143" s="11" t="s">
        <v>3740</v>
      </c>
      <c r="AI1143" s="11"/>
    </row>
    <row r="1144" ht="12.5" spans="1:35">
      <c r="A1144" s="177">
        <v>45341.4895223495</v>
      </c>
      <c r="B1144" s="11" t="s">
        <v>1452</v>
      </c>
      <c r="C1144" s="19">
        <v>14825985408</v>
      </c>
      <c r="D1144" s="19">
        <v>703008821547875</v>
      </c>
      <c r="E1144" s="18" t="s">
        <v>3741</v>
      </c>
      <c r="F1144" s="11" t="s">
        <v>40</v>
      </c>
      <c r="G1144" s="11" t="s">
        <v>88</v>
      </c>
      <c r="H1144" s="24">
        <v>38106</v>
      </c>
      <c r="I1144" s="19" t="s">
        <v>136</v>
      </c>
      <c r="J1144" s="11" t="s">
        <v>42</v>
      </c>
      <c r="K1144" s="108" t="s">
        <v>202</v>
      </c>
      <c r="N1144" s="11" t="s">
        <v>43</v>
      </c>
      <c r="O1144" s="11" t="s">
        <v>96</v>
      </c>
      <c r="P1144" s="11" t="s">
        <v>66</v>
      </c>
      <c r="Q1144" s="11" t="s">
        <v>44</v>
      </c>
      <c r="R1144" s="11" t="s">
        <v>45</v>
      </c>
      <c r="S1144" s="11" t="s">
        <v>45</v>
      </c>
      <c r="T1144" s="11" t="s">
        <v>44</v>
      </c>
      <c r="U1144" s="11" t="s">
        <v>45</v>
      </c>
      <c r="V1144" s="24">
        <v>45342</v>
      </c>
      <c r="W1144" s="11" t="s">
        <v>46</v>
      </c>
      <c r="X1144" s="11" t="s">
        <v>47</v>
      </c>
      <c r="Y1144" s="11" t="s">
        <v>48</v>
      </c>
      <c r="Z1144" s="11">
        <v>81987368493</v>
      </c>
      <c r="AA1144" s="11" t="s">
        <v>103</v>
      </c>
      <c r="AB1144" s="11" t="s">
        <v>49</v>
      </c>
      <c r="AC1144" s="11" t="s">
        <v>92</v>
      </c>
      <c r="AD1144" s="11" t="b">
        <v>0</v>
      </c>
      <c r="AF1144" s="11" t="s">
        <v>3742</v>
      </c>
      <c r="AG1144" s="11" t="s">
        <v>3743</v>
      </c>
      <c r="AH1144" s="11"/>
      <c r="AI1144" s="11"/>
    </row>
    <row r="1145" ht="12.5" spans="1:35">
      <c r="A1145" s="177">
        <v>45341.5970617593</v>
      </c>
      <c r="B1145" s="11" t="s">
        <v>3729</v>
      </c>
      <c r="C1145" s="19">
        <v>12362817482</v>
      </c>
      <c r="D1145" s="19">
        <v>898003946734946</v>
      </c>
      <c r="F1145" s="11" t="s">
        <v>225</v>
      </c>
      <c r="G1145" s="11" t="s">
        <v>54</v>
      </c>
      <c r="H1145" s="24">
        <v>36004</v>
      </c>
      <c r="I1145" s="277" t="s">
        <v>3152</v>
      </c>
      <c r="J1145" s="11" t="s">
        <v>42</v>
      </c>
      <c r="K1145" s="108" t="s">
        <v>81</v>
      </c>
      <c r="N1145" s="11" t="s">
        <v>95</v>
      </c>
      <c r="O1145" s="11" t="s">
        <v>44</v>
      </c>
      <c r="P1145" s="11" t="s">
        <v>44</v>
      </c>
      <c r="Q1145" s="11" t="s">
        <v>44</v>
      </c>
      <c r="R1145" s="11" t="s">
        <v>45</v>
      </c>
      <c r="S1145" s="11" t="s">
        <v>45</v>
      </c>
      <c r="T1145" s="11" t="s">
        <v>44</v>
      </c>
      <c r="U1145" s="11" t="s">
        <v>44</v>
      </c>
      <c r="W1145" s="11" t="s">
        <v>57</v>
      </c>
      <c r="X1145" s="11" t="s">
        <v>97</v>
      </c>
      <c r="Y1145" s="11" t="s">
        <v>97</v>
      </c>
      <c r="Z1145" s="11">
        <v>81996957250</v>
      </c>
      <c r="AA1145" s="11" t="s">
        <v>105</v>
      </c>
      <c r="AB1145" s="11"/>
      <c r="AC1145" s="11"/>
      <c r="AD1145" s="11" t="b">
        <v>0</v>
      </c>
      <c r="AF1145" s="11"/>
      <c r="AG1145" s="11"/>
      <c r="AH1145" s="11"/>
      <c r="AI1145" s="11"/>
    </row>
    <row r="1146" ht="12.5" spans="1:35">
      <c r="A1146" s="177">
        <v>45341.6186998495</v>
      </c>
      <c r="B1146" s="11" t="s">
        <v>3717</v>
      </c>
      <c r="C1146" s="19">
        <v>16751619413</v>
      </c>
      <c r="D1146" s="19">
        <v>898006193597036</v>
      </c>
      <c r="E1146" s="18" t="s">
        <v>3744</v>
      </c>
      <c r="F1146" s="11" t="s">
        <v>40</v>
      </c>
      <c r="G1146" s="11" t="s">
        <v>54</v>
      </c>
      <c r="H1146" s="24">
        <v>37915</v>
      </c>
      <c r="I1146" s="277" t="s">
        <v>3745</v>
      </c>
      <c r="J1146" s="11" t="s">
        <v>42</v>
      </c>
      <c r="K1146" s="108" t="s">
        <v>90</v>
      </c>
      <c r="N1146" s="11" t="s">
        <v>95</v>
      </c>
      <c r="O1146" s="11" t="s">
        <v>96</v>
      </c>
      <c r="P1146" s="11" t="s">
        <v>66</v>
      </c>
      <c r="Q1146" s="11" t="s">
        <v>45</v>
      </c>
      <c r="R1146" s="11" t="s">
        <v>45</v>
      </c>
      <c r="S1146" s="11" t="s">
        <v>45</v>
      </c>
      <c r="T1146" s="11" t="s">
        <v>44</v>
      </c>
      <c r="U1146" s="11" t="s">
        <v>45</v>
      </c>
      <c r="V1146" s="24">
        <v>45342</v>
      </c>
      <c r="W1146" s="11" t="s">
        <v>57</v>
      </c>
      <c r="X1146" s="11" t="s">
        <v>97</v>
      </c>
      <c r="Y1146" s="11" t="s">
        <v>97</v>
      </c>
      <c r="Z1146" s="11">
        <v>81987368493</v>
      </c>
      <c r="AA1146" s="11" t="s">
        <v>105</v>
      </c>
      <c r="AB1146" s="11" t="s">
        <v>98</v>
      </c>
      <c r="AC1146" s="11"/>
      <c r="AD1146" s="11" t="b">
        <v>0</v>
      </c>
      <c r="AF1146" s="11" t="s">
        <v>3746</v>
      </c>
      <c r="AG1146" s="11" t="s">
        <v>3747</v>
      </c>
      <c r="AH1146" s="11"/>
      <c r="AI1146" s="11"/>
    </row>
    <row r="1147" ht="12.5" spans="1:35">
      <c r="A1147" s="177">
        <v>45341.7898041319</v>
      </c>
      <c r="B1147" s="11" t="s">
        <v>3361</v>
      </c>
      <c r="C1147" s="19">
        <v>11229954406</v>
      </c>
      <c r="D1147" s="19">
        <v>700404429566845</v>
      </c>
      <c r="E1147" s="18" t="s">
        <v>3748</v>
      </c>
      <c r="F1147" s="11" t="s">
        <v>40</v>
      </c>
      <c r="G1147" s="11" t="s">
        <v>54</v>
      </c>
      <c r="H1147" s="24">
        <v>34729</v>
      </c>
      <c r="I1147" s="277" t="s">
        <v>2826</v>
      </c>
      <c r="J1147" s="11" t="s">
        <v>42</v>
      </c>
      <c r="K1147" s="108" t="s">
        <v>63</v>
      </c>
      <c r="N1147" s="11" t="s">
        <v>43</v>
      </c>
      <c r="O1147" s="11" t="s">
        <v>44</v>
      </c>
      <c r="P1147" s="11" t="s">
        <v>44</v>
      </c>
      <c r="Q1147" s="11" t="s">
        <v>44</v>
      </c>
      <c r="R1147" s="11" t="s">
        <v>45</v>
      </c>
      <c r="S1147" s="11" t="s">
        <v>83</v>
      </c>
      <c r="T1147" s="11" t="s">
        <v>45</v>
      </c>
      <c r="U1147" s="11" t="s">
        <v>45</v>
      </c>
      <c r="V1147" s="24">
        <v>45342</v>
      </c>
      <c r="W1147" s="11" t="s">
        <v>46</v>
      </c>
      <c r="X1147" s="11" t="s">
        <v>203</v>
      </c>
      <c r="Y1147" s="11" t="s">
        <v>58</v>
      </c>
      <c r="Z1147" s="11">
        <v>81984881221</v>
      </c>
      <c r="AA1147" s="11" t="s">
        <v>105</v>
      </c>
      <c r="AB1147" s="11" t="s">
        <v>49</v>
      </c>
      <c r="AC1147" s="11" t="s">
        <v>84</v>
      </c>
      <c r="AD1147" s="11" t="b">
        <v>0</v>
      </c>
      <c r="AF1147" s="11" t="s">
        <v>3749</v>
      </c>
      <c r="AG1147" s="11" t="s">
        <v>3750</v>
      </c>
      <c r="AH1147" s="11" t="s">
        <v>3751</v>
      </c>
      <c r="AI1147" s="11"/>
    </row>
    <row r="1148" ht="12.5" spans="1:35">
      <c r="A1148" s="177">
        <v>45342.4687490509</v>
      </c>
      <c r="B1148" s="11" t="s">
        <v>3141</v>
      </c>
      <c r="C1148" s="19">
        <v>71053651457</v>
      </c>
      <c r="D1148" s="19">
        <v>706700704298020</v>
      </c>
      <c r="E1148" s="18" t="s">
        <v>3752</v>
      </c>
      <c r="F1148" s="11" t="s">
        <v>40</v>
      </c>
      <c r="G1148" s="11" t="s">
        <v>54</v>
      </c>
      <c r="H1148" s="24">
        <v>38065</v>
      </c>
      <c r="I1148" s="277" t="s">
        <v>3406</v>
      </c>
      <c r="J1148" s="11" t="s">
        <v>42</v>
      </c>
      <c r="K1148" s="108" t="s">
        <v>564</v>
      </c>
      <c r="N1148" s="11" t="s">
        <v>43</v>
      </c>
      <c r="O1148" s="11" t="s">
        <v>44</v>
      </c>
      <c r="P1148" s="11" t="s">
        <v>44</v>
      </c>
      <c r="Q1148" s="11" t="s">
        <v>44</v>
      </c>
      <c r="R1148" s="11" t="s">
        <v>45</v>
      </c>
      <c r="S1148" s="11" t="s">
        <v>45</v>
      </c>
      <c r="T1148" s="11" t="s">
        <v>44</v>
      </c>
      <c r="U1148" s="11" t="s">
        <v>44</v>
      </c>
      <c r="W1148" s="11" t="s">
        <v>46</v>
      </c>
      <c r="X1148" s="11" t="s">
        <v>47</v>
      </c>
      <c r="Y1148" s="11" t="s">
        <v>58</v>
      </c>
      <c r="Z1148" s="11">
        <v>81988623208</v>
      </c>
      <c r="AA1148" s="11" t="s">
        <v>105</v>
      </c>
      <c r="AB1148" s="11"/>
      <c r="AC1148" s="11"/>
      <c r="AD1148" s="11" t="b">
        <v>0</v>
      </c>
      <c r="AF1148" s="11"/>
      <c r="AG1148" s="11"/>
      <c r="AH1148" s="11"/>
      <c r="AI1148" s="11"/>
    </row>
    <row r="1149" ht="12.5" spans="1:35">
      <c r="A1149" s="177">
        <v>45342.4841168982</v>
      </c>
      <c r="B1149" s="11" t="s">
        <v>3753</v>
      </c>
      <c r="C1149" s="277" t="s">
        <v>3754</v>
      </c>
      <c r="D1149" s="19">
        <v>707004810892931</v>
      </c>
      <c r="E1149" s="18" t="s">
        <v>3755</v>
      </c>
      <c r="F1149" s="11" t="s">
        <v>40</v>
      </c>
      <c r="G1149" s="11" t="s">
        <v>54</v>
      </c>
      <c r="H1149" s="24">
        <v>34152</v>
      </c>
      <c r="I1149" s="277" t="s">
        <v>3756</v>
      </c>
      <c r="J1149" s="11" t="s">
        <v>42</v>
      </c>
      <c r="K1149" s="108" t="s">
        <v>2394</v>
      </c>
      <c r="N1149" s="11" t="s">
        <v>43</v>
      </c>
      <c r="O1149" s="11" t="s">
        <v>96</v>
      </c>
      <c r="P1149" s="11" t="s">
        <v>66</v>
      </c>
      <c r="Q1149" s="11" t="s">
        <v>44</v>
      </c>
      <c r="R1149" s="11" t="s">
        <v>45</v>
      </c>
      <c r="S1149" s="11" t="s">
        <v>45</v>
      </c>
      <c r="T1149" s="11" t="s">
        <v>44</v>
      </c>
      <c r="U1149" s="11" t="s">
        <v>45</v>
      </c>
      <c r="V1149" s="24">
        <v>45343</v>
      </c>
      <c r="W1149" s="11" t="s">
        <v>46</v>
      </c>
      <c r="X1149" s="11" t="s">
        <v>47</v>
      </c>
      <c r="Y1149" s="11" t="s">
        <v>58</v>
      </c>
      <c r="Z1149" s="11">
        <v>81987471315</v>
      </c>
      <c r="AA1149" s="11" t="s">
        <v>103</v>
      </c>
      <c r="AB1149" s="11" t="s">
        <v>49</v>
      </c>
      <c r="AC1149" s="11" t="s">
        <v>92</v>
      </c>
      <c r="AD1149" s="11" t="b">
        <v>1</v>
      </c>
      <c r="AE1149" s="11" t="s">
        <v>137</v>
      </c>
      <c r="AF1149" s="11" t="s">
        <v>3757</v>
      </c>
      <c r="AG1149" s="11" t="s">
        <v>3758</v>
      </c>
      <c r="AH1149" s="11"/>
      <c r="AI1149" s="11"/>
    </row>
    <row r="1150" ht="12.5" spans="1:35">
      <c r="A1150" s="177">
        <v>45342.5625695255</v>
      </c>
      <c r="B1150" s="11" t="s">
        <v>3711</v>
      </c>
      <c r="C1150" s="277" t="s">
        <v>3712</v>
      </c>
      <c r="D1150" s="19">
        <v>700009022856504</v>
      </c>
      <c r="E1150" s="18" t="s">
        <v>3759</v>
      </c>
      <c r="F1150" s="11" t="s">
        <v>225</v>
      </c>
      <c r="G1150" s="11" t="s">
        <v>54</v>
      </c>
      <c r="H1150" s="24">
        <v>30900</v>
      </c>
      <c r="I1150" s="277" t="s">
        <v>3760</v>
      </c>
      <c r="J1150" s="11" t="s">
        <v>42</v>
      </c>
      <c r="K1150" s="108" t="s">
        <v>155</v>
      </c>
      <c r="N1150" s="11" t="s">
        <v>95</v>
      </c>
      <c r="O1150" s="11" t="s">
        <v>96</v>
      </c>
      <c r="P1150" s="11" t="s">
        <v>66</v>
      </c>
      <c r="Q1150" s="11" t="s">
        <v>44</v>
      </c>
      <c r="R1150" s="11" t="s">
        <v>45</v>
      </c>
      <c r="S1150" s="11" t="s">
        <v>45</v>
      </c>
      <c r="T1150" s="11" t="s">
        <v>45</v>
      </c>
      <c r="U1150" s="11" t="s">
        <v>45</v>
      </c>
      <c r="V1150" s="24">
        <v>45343</v>
      </c>
      <c r="W1150" s="11" t="s">
        <v>46</v>
      </c>
      <c r="X1150" s="11" t="s">
        <v>97</v>
      </c>
      <c r="Y1150" s="11" t="s">
        <v>97</v>
      </c>
      <c r="Z1150" s="11">
        <v>81991216235</v>
      </c>
      <c r="AA1150" s="11" t="s">
        <v>91</v>
      </c>
      <c r="AB1150" s="11" t="s">
        <v>49</v>
      </c>
      <c r="AC1150" s="11" t="s">
        <v>50</v>
      </c>
      <c r="AD1150" s="11" t="b">
        <v>0</v>
      </c>
      <c r="AF1150" s="11" t="s">
        <v>3761</v>
      </c>
      <c r="AG1150" s="11" t="s">
        <v>3762</v>
      </c>
      <c r="AH1150" s="11"/>
      <c r="AI1150" s="11"/>
    </row>
    <row r="1151" ht="12.5" spans="1:35">
      <c r="A1151" s="177">
        <v>45342.7050444444</v>
      </c>
      <c r="B1151" s="11" t="s">
        <v>1452</v>
      </c>
      <c r="C1151" s="19">
        <v>14825985408</v>
      </c>
      <c r="D1151" s="19">
        <v>703008821547875</v>
      </c>
      <c r="F1151" s="11" t="s">
        <v>40</v>
      </c>
      <c r="G1151" s="11" t="s">
        <v>88</v>
      </c>
      <c r="H1151" s="24">
        <v>38106</v>
      </c>
      <c r="I1151" s="277" t="s">
        <v>3763</v>
      </c>
      <c r="J1151" s="11" t="s">
        <v>42</v>
      </c>
      <c r="K1151" s="108" t="s">
        <v>202</v>
      </c>
      <c r="N1151" s="11" t="s">
        <v>95</v>
      </c>
      <c r="O1151" s="11" t="s">
        <v>44</v>
      </c>
      <c r="P1151" s="11" t="s">
        <v>44</v>
      </c>
      <c r="Q1151" s="11" t="s">
        <v>44</v>
      </c>
      <c r="R1151" s="11" t="s">
        <v>45</v>
      </c>
      <c r="S1151" s="11" t="s">
        <v>45</v>
      </c>
      <c r="T1151" s="11" t="s">
        <v>44</v>
      </c>
      <c r="U1151" s="11" t="s">
        <v>44</v>
      </c>
      <c r="W1151" s="11" t="s">
        <v>57</v>
      </c>
      <c r="X1151" s="11" t="s">
        <v>97</v>
      </c>
      <c r="Y1151" s="11" t="s">
        <v>97</v>
      </c>
      <c r="Z1151" s="11">
        <v>81987368493</v>
      </c>
      <c r="AA1151" s="11" t="s">
        <v>91</v>
      </c>
      <c r="AB1151" s="11"/>
      <c r="AC1151" s="11"/>
      <c r="AD1151" s="11" t="b">
        <v>0</v>
      </c>
      <c r="AF1151" s="11"/>
      <c r="AG1151" s="11"/>
      <c r="AH1151" s="11"/>
      <c r="AI1151" s="11"/>
    </row>
    <row r="1152" ht="12.5" spans="1:35">
      <c r="A1152" s="177">
        <v>45343.4212543287</v>
      </c>
      <c r="B1152" s="11" t="s">
        <v>3764</v>
      </c>
      <c r="C1152" s="19">
        <v>12935047427</v>
      </c>
      <c r="D1152" s="19">
        <v>706706562283717</v>
      </c>
      <c r="E1152" s="18" t="s">
        <v>3765</v>
      </c>
      <c r="F1152" s="11" t="s">
        <v>40</v>
      </c>
      <c r="G1152" s="11" t="s">
        <v>54</v>
      </c>
      <c r="H1152" s="24">
        <v>36151</v>
      </c>
      <c r="I1152" s="277" t="s">
        <v>3766</v>
      </c>
      <c r="J1152" s="11" t="s">
        <v>42</v>
      </c>
      <c r="K1152" s="108" t="s">
        <v>202</v>
      </c>
      <c r="N1152" s="11" t="s">
        <v>43</v>
      </c>
      <c r="O1152" s="11" t="s">
        <v>44</v>
      </c>
      <c r="P1152" s="11" t="s">
        <v>44</v>
      </c>
      <c r="Q1152" s="11" t="s">
        <v>44</v>
      </c>
      <c r="R1152" s="11" t="s">
        <v>45</v>
      </c>
      <c r="S1152" s="11" t="s">
        <v>45</v>
      </c>
      <c r="T1152" s="11" t="s">
        <v>44</v>
      </c>
      <c r="U1152" s="11" t="s">
        <v>44</v>
      </c>
      <c r="W1152" s="11" t="s">
        <v>57</v>
      </c>
      <c r="X1152" s="11" t="s">
        <v>47</v>
      </c>
      <c r="Y1152" s="11" t="s">
        <v>58</v>
      </c>
      <c r="Z1152" s="11">
        <v>81984318059</v>
      </c>
      <c r="AA1152" s="11" t="s">
        <v>113</v>
      </c>
      <c r="AB1152" s="11"/>
      <c r="AC1152" s="11"/>
      <c r="AD1152" s="11" t="b">
        <v>0</v>
      </c>
      <c r="AF1152" s="11"/>
      <c r="AG1152" s="11"/>
      <c r="AH1152" s="11"/>
      <c r="AI1152" s="11"/>
    </row>
    <row r="1153" ht="12.5" spans="1:35">
      <c r="A1153" s="177">
        <v>45343.4824457176</v>
      </c>
      <c r="B1153" s="11" t="s">
        <v>3020</v>
      </c>
      <c r="C1153" s="19">
        <v>70808893408</v>
      </c>
      <c r="D1153" s="19">
        <v>705006070731455</v>
      </c>
      <c r="E1153" s="18" t="s">
        <v>3767</v>
      </c>
      <c r="F1153" s="11" t="s">
        <v>40</v>
      </c>
      <c r="G1153" s="11" t="s">
        <v>54</v>
      </c>
      <c r="H1153" s="24">
        <v>35564</v>
      </c>
      <c r="I1153" s="277" t="s">
        <v>3022</v>
      </c>
      <c r="J1153" s="11" t="s">
        <v>42</v>
      </c>
      <c r="K1153" s="108" t="s">
        <v>202</v>
      </c>
      <c r="N1153" s="11" t="s">
        <v>43</v>
      </c>
      <c r="O1153" s="11" t="s">
        <v>65</v>
      </c>
      <c r="P1153" s="11" t="s">
        <v>66</v>
      </c>
      <c r="Q1153" s="11" t="s">
        <v>44</v>
      </c>
      <c r="R1153" s="11" t="s">
        <v>45</v>
      </c>
      <c r="S1153" s="11" t="s">
        <v>44</v>
      </c>
      <c r="T1153" s="11" t="s">
        <v>44</v>
      </c>
      <c r="U1153" s="11" t="s">
        <v>45</v>
      </c>
      <c r="V1153" s="24">
        <v>45344</v>
      </c>
      <c r="W1153" s="11" t="s">
        <v>46</v>
      </c>
      <c r="X1153" s="11" t="s">
        <v>47</v>
      </c>
      <c r="Y1153" s="11" t="s">
        <v>58</v>
      </c>
      <c r="Z1153" s="11">
        <v>81988921498</v>
      </c>
      <c r="AA1153" s="11" t="s">
        <v>91</v>
      </c>
      <c r="AB1153" s="11" t="s">
        <v>49</v>
      </c>
      <c r="AC1153" s="11" t="s">
        <v>92</v>
      </c>
      <c r="AD1153" s="11" t="b">
        <v>1</v>
      </c>
      <c r="AE1153" s="11" t="s">
        <v>137</v>
      </c>
      <c r="AF1153" s="11" t="s">
        <v>3768</v>
      </c>
      <c r="AG1153" s="11"/>
      <c r="AH1153" s="11"/>
      <c r="AI1153" s="11"/>
    </row>
    <row r="1154" ht="12.5" spans="1:35">
      <c r="A1154" s="177">
        <v>45343.5961897917</v>
      </c>
      <c r="B1154" s="11" t="s">
        <v>3711</v>
      </c>
      <c r="C1154" s="277" t="s">
        <v>3712</v>
      </c>
      <c r="D1154" s="19">
        <v>700009022856504</v>
      </c>
      <c r="F1154" s="11" t="s">
        <v>225</v>
      </c>
      <c r="G1154" s="11" t="s">
        <v>54</v>
      </c>
      <c r="H1154" s="24">
        <v>30900</v>
      </c>
      <c r="I1154" s="19" t="s">
        <v>110</v>
      </c>
      <c r="J1154" s="11" t="s">
        <v>2507</v>
      </c>
      <c r="K1154" s="108"/>
      <c r="N1154" s="11" t="s">
        <v>95</v>
      </c>
      <c r="O1154" s="11" t="s">
        <v>44</v>
      </c>
      <c r="P1154" s="11" t="s">
        <v>44</v>
      </c>
      <c r="Q1154" s="11" t="s">
        <v>44</v>
      </c>
      <c r="R1154" s="11" t="s">
        <v>45</v>
      </c>
      <c r="S1154" s="11" t="s">
        <v>45</v>
      </c>
      <c r="T1154" s="11" t="s">
        <v>44</v>
      </c>
      <c r="U1154" s="11" t="s">
        <v>44</v>
      </c>
      <c r="W1154" s="11" t="s">
        <v>57</v>
      </c>
      <c r="X1154" s="11" t="s">
        <v>97</v>
      </c>
      <c r="Y1154" s="11" t="s">
        <v>97</v>
      </c>
      <c r="Z1154" s="11">
        <v>81991216235</v>
      </c>
      <c r="AA1154" s="11" t="s">
        <v>115</v>
      </c>
      <c r="AB1154" s="11"/>
      <c r="AC1154" s="11"/>
      <c r="AD1154" s="11" t="b">
        <v>0</v>
      </c>
      <c r="AF1154" s="11"/>
      <c r="AG1154" s="11"/>
      <c r="AH1154" s="11"/>
      <c r="AI1154" s="11"/>
    </row>
    <row r="1155" ht="12.5" spans="1:35">
      <c r="A1155" s="177">
        <v>45343.6793487731</v>
      </c>
      <c r="B1155" s="11" t="s">
        <v>3753</v>
      </c>
      <c r="C1155" s="277" t="s">
        <v>3754</v>
      </c>
      <c r="D1155" s="19">
        <v>707004810892931</v>
      </c>
      <c r="E1155" s="18" t="s">
        <v>3769</v>
      </c>
      <c r="F1155" s="11" t="s">
        <v>40</v>
      </c>
      <c r="G1155" s="11" t="s">
        <v>54</v>
      </c>
      <c r="H1155" s="24">
        <v>34152</v>
      </c>
      <c r="I1155" s="277" t="s">
        <v>3756</v>
      </c>
      <c r="J1155" s="11" t="s">
        <v>42</v>
      </c>
      <c r="K1155" s="108" t="s">
        <v>282</v>
      </c>
      <c r="N1155" s="11" t="s">
        <v>95</v>
      </c>
      <c r="O1155" s="11" t="s">
        <v>44</v>
      </c>
      <c r="P1155" s="11" t="s">
        <v>44</v>
      </c>
      <c r="Q1155" s="11" t="s">
        <v>44</v>
      </c>
      <c r="R1155" s="11" t="s">
        <v>45</v>
      </c>
      <c r="S1155" s="11" t="s">
        <v>45</v>
      </c>
      <c r="T1155" s="11" t="s">
        <v>44</v>
      </c>
      <c r="U1155" s="11" t="s">
        <v>45</v>
      </c>
      <c r="V1155" s="24">
        <v>45353</v>
      </c>
      <c r="W1155" s="11" t="s">
        <v>46</v>
      </c>
      <c r="X1155" s="11" t="s">
        <v>97</v>
      </c>
      <c r="Y1155" s="11" t="s">
        <v>97</v>
      </c>
      <c r="Z1155" s="11">
        <v>81987471315</v>
      </c>
      <c r="AA1155" s="11" t="s">
        <v>91</v>
      </c>
      <c r="AB1155" s="11" t="s">
        <v>98</v>
      </c>
      <c r="AC1155" s="11"/>
      <c r="AD1155" s="11" t="b">
        <v>0</v>
      </c>
      <c r="AF1155" s="11" t="s">
        <v>3770</v>
      </c>
      <c r="AG1155" s="11"/>
      <c r="AH1155" s="11"/>
      <c r="AI1155" s="11"/>
    </row>
    <row r="1156" ht="12.5" spans="1:35">
      <c r="A1156" s="177">
        <v>45344.3750279051</v>
      </c>
      <c r="B1156" s="11" t="s">
        <v>3020</v>
      </c>
      <c r="C1156" s="19">
        <v>70808893408</v>
      </c>
      <c r="D1156" s="19">
        <v>705006070731455</v>
      </c>
      <c r="E1156" s="18" t="s">
        <v>3771</v>
      </c>
      <c r="F1156" s="11" t="s">
        <v>40</v>
      </c>
      <c r="G1156" s="11" t="s">
        <v>54</v>
      </c>
      <c r="H1156" s="24">
        <v>35564</v>
      </c>
      <c r="I1156" s="277" t="s">
        <v>3022</v>
      </c>
      <c r="J1156" s="11" t="s">
        <v>42</v>
      </c>
      <c r="K1156" s="108" t="s">
        <v>202</v>
      </c>
      <c r="N1156" s="11" t="s">
        <v>95</v>
      </c>
      <c r="O1156" s="11" t="s">
        <v>44</v>
      </c>
      <c r="P1156" s="11" t="s">
        <v>44</v>
      </c>
      <c r="Q1156" s="11" t="s">
        <v>44</v>
      </c>
      <c r="R1156" s="11" t="s">
        <v>45</v>
      </c>
      <c r="S1156" s="11" t="s">
        <v>44</v>
      </c>
      <c r="T1156" s="11" t="s">
        <v>44</v>
      </c>
      <c r="U1156" s="11" t="s">
        <v>45</v>
      </c>
      <c r="V1156" s="24">
        <v>45347</v>
      </c>
      <c r="W1156" s="11" t="s">
        <v>46</v>
      </c>
      <c r="X1156" s="11" t="s">
        <v>97</v>
      </c>
      <c r="Y1156" s="11" t="s">
        <v>97</v>
      </c>
      <c r="Z1156" s="11">
        <v>81988921498</v>
      </c>
      <c r="AA1156" s="11" t="s">
        <v>91</v>
      </c>
      <c r="AB1156" s="11" t="s">
        <v>49</v>
      </c>
      <c r="AC1156" s="11" t="s">
        <v>92</v>
      </c>
      <c r="AD1156" s="11" t="b">
        <v>1</v>
      </c>
      <c r="AE1156" s="11" t="s">
        <v>137</v>
      </c>
      <c r="AF1156" s="11" t="s">
        <v>3772</v>
      </c>
      <c r="AG1156" s="11"/>
      <c r="AH1156" s="11"/>
      <c r="AI1156" s="11"/>
    </row>
    <row r="1157" ht="12.5" spans="1:35">
      <c r="A1157" s="177">
        <v>45344.4126965509</v>
      </c>
      <c r="B1157" s="11" t="s">
        <v>3581</v>
      </c>
      <c r="C1157" s="19">
        <v>70443909431</v>
      </c>
      <c r="D1157" s="19">
        <v>702304159779113</v>
      </c>
      <c r="E1157" s="18" t="s">
        <v>3773</v>
      </c>
      <c r="F1157" s="11" t="s">
        <v>40</v>
      </c>
      <c r="G1157" s="11" t="s">
        <v>54</v>
      </c>
      <c r="H1157" s="24">
        <v>36020</v>
      </c>
      <c r="I1157" s="277" t="s">
        <v>3774</v>
      </c>
      <c r="J1157" s="11" t="s">
        <v>42</v>
      </c>
      <c r="K1157" s="108" t="s">
        <v>3775</v>
      </c>
      <c r="N1157" s="11" t="s">
        <v>43</v>
      </c>
      <c r="O1157" s="11" t="s">
        <v>65</v>
      </c>
      <c r="P1157" s="11" t="s">
        <v>66</v>
      </c>
      <c r="Q1157" s="11" t="s">
        <v>44</v>
      </c>
      <c r="R1157" s="11" t="s">
        <v>45</v>
      </c>
      <c r="S1157" s="11" t="s">
        <v>45</v>
      </c>
      <c r="T1157" s="11" t="s">
        <v>44</v>
      </c>
      <c r="U1157" s="11" t="s">
        <v>45</v>
      </c>
      <c r="V1157" s="24">
        <v>45345</v>
      </c>
      <c r="W1157" s="11" t="s">
        <v>46</v>
      </c>
      <c r="X1157" s="11" t="s">
        <v>47</v>
      </c>
      <c r="Y1157" s="11" t="s">
        <v>58</v>
      </c>
      <c r="Z1157" s="11">
        <v>81985021687</v>
      </c>
      <c r="AA1157" s="11" t="s">
        <v>232</v>
      </c>
      <c r="AB1157" s="11" t="s">
        <v>49</v>
      </c>
      <c r="AC1157" s="11" t="s">
        <v>92</v>
      </c>
      <c r="AD1157" s="11" t="b">
        <v>1</v>
      </c>
      <c r="AE1157" s="11" t="s">
        <v>137</v>
      </c>
      <c r="AF1157" s="11" t="s">
        <v>3776</v>
      </c>
      <c r="AG1157" s="11"/>
      <c r="AH1157" s="11"/>
      <c r="AI1157" s="11"/>
    </row>
    <row r="1158" ht="12.5" spans="1:35">
      <c r="A1158" s="177">
        <v>45344.4310004977</v>
      </c>
      <c r="B1158" s="11" t="s">
        <v>3777</v>
      </c>
      <c r="C1158" s="19">
        <v>11229954406</v>
      </c>
      <c r="D1158" s="19">
        <v>700404429566845</v>
      </c>
      <c r="F1158" s="11" t="s">
        <v>225</v>
      </c>
      <c r="G1158" s="11" t="s">
        <v>54</v>
      </c>
      <c r="H1158" s="24">
        <v>34729</v>
      </c>
      <c r="I1158" s="277" t="s">
        <v>2826</v>
      </c>
      <c r="J1158" s="11" t="s">
        <v>42</v>
      </c>
      <c r="K1158" s="108" t="s">
        <v>63</v>
      </c>
      <c r="N1158" s="11" t="s">
        <v>95</v>
      </c>
      <c r="O1158" s="11" t="s">
        <v>44</v>
      </c>
      <c r="P1158" s="11" t="s">
        <v>44</v>
      </c>
      <c r="Q1158" s="11" t="s">
        <v>45</v>
      </c>
      <c r="R1158" s="11" t="s">
        <v>45</v>
      </c>
      <c r="S1158" s="11" t="s">
        <v>45</v>
      </c>
      <c r="T1158" s="11" t="s">
        <v>44</v>
      </c>
      <c r="U1158" s="11" t="s">
        <v>44</v>
      </c>
      <c r="W1158" s="11" t="s">
        <v>57</v>
      </c>
      <c r="X1158" s="11" t="s">
        <v>97</v>
      </c>
      <c r="Y1158" s="11" t="s">
        <v>97</v>
      </c>
      <c r="Z1158" s="11">
        <v>81984881221</v>
      </c>
      <c r="AA1158" s="11" t="s">
        <v>105</v>
      </c>
      <c r="AB1158" s="11"/>
      <c r="AC1158" s="11"/>
      <c r="AD1158" s="11" t="b">
        <v>0</v>
      </c>
      <c r="AF1158" s="11" t="s">
        <v>3778</v>
      </c>
      <c r="AG1158" s="11"/>
      <c r="AH1158" s="11"/>
      <c r="AI1158" s="11"/>
    </row>
    <row r="1159" ht="12.5" spans="1:35">
      <c r="A1159" s="177">
        <v>45344.7371152778</v>
      </c>
      <c r="B1159" s="11" t="s">
        <v>3020</v>
      </c>
      <c r="C1159" s="19">
        <v>70808893408</v>
      </c>
      <c r="D1159" s="19">
        <v>705006070731455</v>
      </c>
      <c r="E1159" s="18" t="s">
        <v>3779</v>
      </c>
      <c r="F1159" s="11" t="s">
        <v>40</v>
      </c>
      <c r="G1159" s="11" t="s">
        <v>54</v>
      </c>
      <c r="H1159" s="24">
        <v>35564</v>
      </c>
      <c r="I1159" s="277" t="s">
        <v>3022</v>
      </c>
      <c r="J1159" s="11" t="s">
        <v>42</v>
      </c>
      <c r="K1159" s="108" t="s">
        <v>3780</v>
      </c>
      <c r="N1159" s="11" t="s">
        <v>43</v>
      </c>
      <c r="O1159" s="11" t="s">
        <v>44</v>
      </c>
      <c r="P1159" s="11" t="s">
        <v>44</v>
      </c>
      <c r="Q1159" s="11" t="s">
        <v>44</v>
      </c>
      <c r="R1159" s="11" t="s">
        <v>45</v>
      </c>
      <c r="S1159" s="11" t="s">
        <v>45</v>
      </c>
      <c r="T1159" s="11" t="s">
        <v>44</v>
      </c>
      <c r="U1159" s="11" t="s">
        <v>45</v>
      </c>
      <c r="V1159" s="24">
        <v>45345</v>
      </c>
      <c r="W1159" s="11" t="s">
        <v>46</v>
      </c>
      <c r="X1159" s="11" t="s">
        <v>203</v>
      </c>
      <c r="Y1159" s="11" t="s">
        <v>58</v>
      </c>
      <c r="Z1159" s="11">
        <v>81988921498</v>
      </c>
      <c r="AA1159" s="11" t="s">
        <v>105</v>
      </c>
      <c r="AB1159" s="11" t="s">
        <v>49</v>
      </c>
      <c r="AC1159" s="11" t="s">
        <v>256</v>
      </c>
      <c r="AD1159" s="11" t="b">
        <v>1</v>
      </c>
      <c r="AE1159" s="11" t="s">
        <v>137</v>
      </c>
      <c r="AF1159" s="11" t="s">
        <v>3781</v>
      </c>
      <c r="AG1159" s="11"/>
      <c r="AH1159" s="11"/>
      <c r="AI1159" s="11"/>
    </row>
    <row r="1160" ht="12.5" spans="1:35">
      <c r="A1160" s="177">
        <v>45345.3906514583</v>
      </c>
      <c r="B1160" s="11" t="s">
        <v>3581</v>
      </c>
      <c r="C1160" s="19">
        <v>70443909431</v>
      </c>
      <c r="D1160" s="19">
        <v>702304159779113</v>
      </c>
      <c r="E1160" s="18" t="s">
        <v>3782</v>
      </c>
      <c r="F1160" s="11" t="s">
        <v>40</v>
      </c>
      <c r="G1160" s="11" t="s">
        <v>54</v>
      </c>
      <c r="H1160" s="24">
        <v>36020</v>
      </c>
      <c r="I1160" s="277" t="s">
        <v>3774</v>
      </c>
      <c r="J1160" s="11" t="s">
        <v>42</v>
      </c>
      <c r="K1160" s="108" t="s">
        <v>3775</v>
      </c>
      <c r="N1160" s="11" t="s">
        <v>95</v>
      </c>
      <c r="O1160" s="11" t="s">
        <v>44</v>
      </c>
      <c r="P1160" s="11" t="s">
        <v>44</v>
      </c>
      <c r="Q1160" s="11" t="s">
        <v>44</v>
      </c>
      <c r="R1160" s="11" t="s">
        <v>45</v>
      </c>
      <c r="S1160" s="11" t="s">
        <v>45</v>
      </c>
      <c r="T1160" s="11" t="s">
        <v>44</v>
      </c>
      <c r="U1160" s="11" t="s">
        <v>44</v>
      </c>
      <c r="W1160" s="11" t="s">
        <v>46</v>
      </c>
      <c r="X1160" s="11" t="s">
        <v>97</v>
      </c>
      <c r="Y1160" s="11" t="s">
        <v>97</v>
      </c>
      <c r="Z1160" s="11">
        <v>81985021687</v>
      </c>
      <c r="AA1160" s="11" t="s">
        <v>91</v>
      </c>
      <c r="AB1160" s="11"/>
      <c r="AC1160" s="11"/>
      <c r="AD1160" s="11" t="b">
        <v>0</v>
      </c>
      <c r="AF1160" s="11"/>
      <c r="AG1160" s="11"/>
      <c r="AH1160" s="11"/>
      <c r="AI1160" s="11"/>
    </row>
    <row r="1161" ht="12.5" spans="1:35">
      <c r="A1161" s="177">
        <v>45345.4368129282</v>
      </c>
      <c r="B1161" s="11" t="s">
        <v>2185</v>
      </c>
      <c r="C1161" s="19">
        <v>12993275402</v>
      </c>
      <c r="D1161" s="19">
        <v>705008073985751</v>
      </c>
      <c r="E1161" s="18" t="s">
        <v>3783</v>
      </c>
      <c r="F1161" s="11" t="s">
        <v>40</v>
      </c>
      <c r="G1161" s="11" t="s">
        <v>54</v>
      </c>
      <c r="H1161" s="24">
        <v>36711</v>
      </c>
      <c r="I1161" s="277" t="s">
        <v>1154</v>
      </c>
      <c r="J1161" s="11" t="s">
        <v>42</v>
      </c>
      <c r="K1161" s="108" t="s">
        <v>3784</v>
      </c>
      <c r="N1161" s="11" t="s">
        <v>43</v>
      </c>
      <c r="O1161" s="11" t="s">
        <v>65</v>
      </c>
      <c r="P1161" s="11" t="s">
        <v>2559</v>
      </c>
      <c r="Q1161" s="11" t="s">
        <v>44</v>
      </c>
      <c r="R1161" s="11" t="s">
        <v>45</v>
      </c>
      <c r="S1161" s="11" t="s">
        <v>83</v>
      </c>
      <c r="T1161" s="11" t="s">
        <v>44</v>
      </c>
      <c r="U1161" s="11" t="s">
        <v>45</v>
      </c>
      <c r="V1161" s="24">
        <v>45346</v>
      </c>
      <c r="W1161" s="11" t="s">
        <v>46</v>
      </c>
      <c r="X1161" s="11" t="s">
        <v>47</v>
      </c>
      <c r="Y1161" s="11" t="s">
        <v>58</v>
      </c>
      <c r="Z1161" s="11">
        <v>81987371375</v>
      </c>
      <c r="AA1161" s="11" t="s">
        <v>91</v>
      </c>
      <c r="AB1161" s="11" t="s">
        <v>98</v>
      </c>
      <c r="AC1161" s="11"/>
      <c r="AD1161" s="11" t="b">
        <v>0</v>
      </c>
      <c r="AF1161" s="11" t="s">
        <v>3785</v>
      </c>
      <c r="AG1161" s="11"/>
      <c r="AH1161" s="11"/>
      <c r="AI1161" s="11"/>
    </row>
    <row r="1162" ht="12.5" spans="1:35">
      <c r="A1162" s="177">
        <v>45345.4403744097</v>
      </c>
      <c r="B1162" s="11" t="s">
        <v>3020</v>
      </c>
      <c r="C1162" s="19">
        <v>70808893408</v>
      </c>
      <c r="D1162" s="19">
        <v>705006070731455</v>
      </c>
      <c r="E1162" s="18" t="s">
        <v>3786</v>
      </c>
      <c r="F1162" s="11" t="s">
        <v>40</v>
      </c>
      <c r="G1162" s="11" t="s">
        <v>54</v>
      </c>
      <c r="H1162" s="24">
        <v>35564</v>
      </c>
      <c r="I1162" s="277" t="s">
        <v>3065</v>
      </c>
      <c r="J1162" s="11" t="s">
        <v>42</v>
      </c>
      <c r="K1162" s="108" t="s">
        <v>282</v>
      </c>
      <c r="N1162" s="11" t="s">
        <v>95</v>
      </c>
      <c r="O1162" s="11" t="s">
        <v>44</v>
      </c>
      <c r="P1162" s="11" t="s">
        <v>44</v>
      </c>
      <c r="Q1162" s="11" t="s">
        <v>44</v>
      </c>
      <c r="R1162" s="11" t="s">
        <v>45</v>
      </c>
      <c r="S1162" s="11" t="s">
        <v>45</v>
      </c>
      <c r="T1162" s="11" t="s">
        <v>44</v>
      </c>
      <c r="U1162" s="11" t="s">
        <v>44</v>
      </c>
      <c r="W1162" s="11" t="s">
        <v>46</v>
      </c>
      <c r="X1162" s="11" t="s">
        <v>97</v>
      </c>
      <c r="Y1162" s="11" t="s">
        <v>97</v>
      </c>
      <c r="Z1162" s="11">
        <v>81988921498</v>
      </c>
      <c r="AA1162" s="11" t="s">
        <v>1360</v>
      </c>
      <c r="AB1162" s="11"/>
      <c r="AC1162" s="11"/>
      <c r="AD1162" s="11" t="b">
        <v>0</v>
      </c>
      <c r="AF1162" s="11"/>
      <c r="AG1162" s="11"/>
      <c r="AH1162" s="11"/>
      <c r="AI1162" s="11"/>
    </row>
    <row r="1163" ht="12.5" spans="1:35">
      <c r="A1163" s="177">
        <v>45345.6296379398</v>
      </c>
      <c r="B1163" s="11" t="s">
        <v>2089</v>
      </c>
      <c r="C1163" s="277" t="s">
        <v>2090</v>
      </c>
      <c r="D1163" s="19">
        <v>704005380561265</v>
      </c>
      <c r="E1163" s="18" t="s">
        <v>3787</v>
      </c>
      <c r="F1163" s="136" t="s">
        <v>40</v>
      </c>
      <c r="G1163" s="11" t="s">
        <v>54</v>
      </c>
      <c r="H1163" s="24">
        <v>34812</v>
      </c>
      <c r="I1163" s="277" t="s">
        <v>3305</v>
      </c>
      <c r="J1163" s="11" t="s">
        <v>42</v>
      </c>
      <c r="K1163" s="108" t="s">
        <v>202</v>
      </c>
      <c r="N1163" s="11" t="s">
        <v>43</v>
      </c>
      <c r="O1163" s="11" t="s">
        <v>44</v>
      </c>
      <c r="P1163" s="11" t="s">
        <v>44</v>
      </c>
      <c r="Q1163" s="11" t="s">
        <v>44</v>
      </c>
      <c r="R1163" s="11" t="s">
        <v>45</v>
      </c>
      <c r="S1163" s="11" t="s">
        <v>45</v>
      </c>
      <c r="T1163" s="11" t="s">
        <v>44</v>
      </c>
      <c r="U1163" s="11" t="s">
        <v>45</v>
      </c>
      <c r="V1163" s="24">
        <v>45345</v>
      </c>
      <c r="W1163" s="11" t="s">
        <v>46</v>
      </c>
      <c r="X1163" s="11" t="s">
        <v>47</v>
      </c>
      <c r="Y1163" s="11" t="s">
        <v>58</v>
      </c>
      <c r="Z1163" s="11">
        <v>81997399707</v>
      </c>
      <c r="AA1163" s="11" t="s">
        <v>1360</v>
      </c>
      <c r="AB1163" s="11" t="s">
        <v>98</v>
      </c>
      <c r="AC1163" s="11"/>
      <c r="AD1163" s="11" t="b">
        <v>0</v>
      </c>
      <c r="AF1163" s="11" t="s">
        <v>3788</v>
      </c>
      <c r="AG1163" s="11" t="s">
        <v>3789</v>
      </c>
      <c r="AH1163" s="11" t="s">
        <v>3790</v>
      </c>
      <c r="AI1163" s="11"/>
    </row>
    <row r="1164" ht="12.5" spans="1:35">
      <c r="A1164" s="177">
        <v>45346.6737915625</v>
      </c>
      <c r="B1164" s="11" t="s">
        <v>3791</v>
      </c>
      <c r="C1164" s="19">
        <v>70428539467</v>
      </c>
      <c r="D1164" s="19">
        <v>707607211389792</v>
      </c>
      <c r="E1164" s="18" t="s">
        <v>3792</v>
      </c>
      <c r="F1164" s="11" t="s">
        <v>225</v>
      </c>
      <c r="G1164" s="11" t="s">
        <v>41</v>
      </c>
      <c r="H1164" s="24">
        <v>36671</v>
      </c>
      <c r="I1164" s="277" t="s">
        <v>1934</v>
      </c>
      <c r="J1164" s="11" t="s">
        <v>42</v>
      </c>
      <c r="K1164" s="108" t="s">
        <v>155</v>
      </c>
      <c r="N1164" s="11" t="s">
        <v>43</v>
      </c>
      <c r="O1164" s="11" t="s">
        <v>44</v>
      </c>
      <c r="P1164" s="11" t="s">
        <v>44</v>
      </c>
      <c r="Q1164" s="11" t="s">
        <v>44</v>
      </c>
      <c r="R1164" s="11" t="s">
        <v>45</v>
      </c>
      <c r="S1164" s="11" t="s">
        <v>45</v>
      </c>
      <c r="T1164" s="11" t="s">
        <v>44</v>
      </c>
      <c r="U1164" s="11" t="s">
        <v>44</v>
      </c>
      <c r="W1164" s="11" t="s">
        <v>46</v>
      </c>
      <c r="X1164" s="11" t="s">
        <v>303</v>
      </c>
      <c r="Y1164" s="11" t="s">
        <v>58</v>
      </c>
      <c r="Z1164" s="11">
        <v>83987898364</v>
      </c>
      <c r="AA1164" s="11" t="s">
        <v>115</v>
      </c>
      <c r="AB1164" s="11"/>
      <c r="AC1164" s="11"/>
      <c r="AD1164" s="11" t="b">
        <v>0</v>
      </c>
      <c r="AF1164" s="11"/>
      <c r="AG1164" s="11"/>
      <c r="AH1164" s="11"/>
      <c r="AI1164" s="11"/>
    </row>
    <row r="1165" ht="12.5" spans="1:35">
      <c r="A1165" s="177">
        <v>45346.7429942245</v>
      </c>
      <c r="B1165" s="11" t="s">
        <v>3581</v>
      </c>
      <c r="C1165" s="19">
        <v>70443909431</v>
      </c>
      <c r="D1165" s="19">
        <v>702304159779113</v>
      </c>
      <c r="E1165" s="18" t="s">
        <v>3793</v>
      </c>
      <c r="F1165" s="11" t="s">
        <v>40</v>
      </c>
      <c r="G1165" s="11" t="s">
        <v>54</v>
      </c>
      <c r="H1165" s="24">
        <v>36020</v>
      </c>
      <c r="I1165" s="277" t="s">
        <v>3774</v>
      </c>
      <c r="J1165" s="11" t="s">
        <v>42</v>
      </c>
      <c r="K1165" s="108" t="s">
        <v>3794</v>
      </c>
      <c r="N1165" s="11" t="s">
        <v>43</v>
      </c>
      <c r="O1165" s="11" t="s">
        <v>44</v>
      </c>
      <c r="P1165" s="11" t="s">
        <v>44</v>
      </c>
      <c r="Q1165" s="11" t="s">
        <v>44</v>
      </c>
      <c r="R1165" s="11" t="s">
        <v>45</v>
      </c>
      <c r="S1165" s="11" t="s">
        <v>45</v>
      </c>
      <c r="T1165" s="11" t="s">
        <v>44</v>
      </c>
      <c r="U1165" s="11" t="s">
        <v>45</v>
      </c>
      <c r="V1165" s="24">
        <v>45347</v>
      </c>
      <c r="W1165" s="11" t="s">
        <v>46</v>
      </c>
      <c r="X1165" s="11" t="s">
        <v>303</v>
      </c>
      <c r="Y1165" s="11" t="s">
        <v>58</v>
      </c>
      <c r="Z1165" s="11">
        <v>81985021687</v>
      </c>
      <c r="AA1165" s="11" t="s">
        <v>115</v>
      </c>
      <c r="AB1165" s="11" t="s">
        <v>49</v>
      </c>
      <c r="AC1165" s="11" t="s">
        <v>92</v>
      </c>
      <c r="AD1165" s="11" t="b">
        <v>1</v>
      </c>
      <c r="AE1165" s="11" t="s">
        <v>137</v>
      </c>
      <c r="AF1165" s="11" t="s">
        <v>3795</v>
      </c>
      <c r="AG1165" s="11" t="s">
        <v>3796</v>
      </c>
      <c r="AH1165" s="11"/>
      <c r="AI1165" s="11"/>
    </row>
    <row r="1166" ht="12.5" spans="1:35">
      <c r="A1166" s="177">
        <v>45347.3621622454</v>
      </c>
      <c r="B1166" s="11" t="s">
        <v>3797</v>
      </c>
      <c r="C1166" s="277" t="s">
        <v>3798</v>
      </c>
      <c r="D1166" s="19">
        <v>706403116869782</v>
      </c>
      <c r="E1166" s="18" t="s">
        <v>3799</v>
      </c>
      <c r="F1166" s="11" t="s">
        <v>40</v>
      </c>
      <c r="G1166" s="11" t="s">
        <v>54</v>
      </c>
      <c r="H1166" s="24">
        <v>33323</v>
      </c>
      <c r="I1166" s="277" t="s">
        <v>3800</v>
      </c>
      <c r="J1166" s="11" t="s">
        <v>42</v>
      </c>
      <c r="K1166" s="108" t="s">
        <v>427</v>
      </c>
      <c r="N1166" s="11" t="s">
        <v>43</v>
      </c>
      <c r="O1166" s="11" t="s">
        <v>96</v>
      </c>
      <c r="P1166" s="11" t="s">
        <v>66</v>
      </c>
      <c r="Q1166" s="11" t="s">
        <v>44</v>
      </c>
      <c r="R1166" s="11" t="s">
        <v>44</v>
      </c>
      <c r="S1166" s="11" t="s">
        <v>44</v>
      </c>
      <c r="T1166" s="11" t="s">
        <v>44</v>
      </c>
      <c r="U1166" s="11" t="s">
        <v>45</v>
      </c>
      <c r="V1166" s="24">
        <v>45348</v>
      </c>
      <c r="W1166" s="11" t="s">
        <v>46</v>
      </c>
      <c r="X1166" s="11" t="s">
        <v>156</v>
      </c>
      <c r="Y1166" s="11" t="s">
        <v>58</v>
      </c>
      <c r="Z1166" s="11">
        <v>81985942821</v>
      </c>
      <c r="AA1166" s="11" t="s">
        <v>91</v>
      </c>
      <c r="AB1166" s="11" t="s">
        <v>49</v>
      </c>
      <c r="AC1166" s="11" t="s">
        <v>256</v>
      </c>
      <c r="AD1166" s="11" t="b">
        <v>0</v>
      </c>
      <c r="AF1166" s="11" t="s">
        <v>3801</v>
      </c>
      <c r="AG1166" s="11" t="s">
        <v>3802</v>
      </c>
      <c r="AH1166" s="11"/>
      <c r="AI1166" s="11"/>
    </row>
    <row r="1167" ht="12.5" spans="1:35">
      <c r="A1167" s="177">
        <v>45347.3821656481</v>
      </c>
      <c r="B1167" s="11" t="s">
        <v>3020</v>
      </c>
      <c r="C1167" s="19">
        <v>70808893408</v>
      </c>
      <c r="D1167" s="19">
        <v>705006070731455</v>
      </c>
      <c r="E1167" s="18" t="s">
        <v>3803</v>
      </c>
      <c r="F1167" s="11" t="s">
        <v>40</v>
      </c>
      <c r="G1167" s="11" t="s">
        <v>54</v>
      </c>
      <c r="H1167" s="24">
        <v>35564</v>
      </c>
      <c r="I1167" s="277" t="s">
        <v>3022</v>
      </c>
      <c r="J1167" s="11" t="s">
        <v>42</v>
      </c>
      <c r="K1167" s="108" t="s">
        <v>202</v>
      </c>
      <c r="N1167" s="11" t="s">
        <v>95</v>
      </c>
      <c r="O1167" s="11" t="s">
        <v>44</v>
      </c>
      <c r="P1167" s="11" t="s">
        <v>44</v>
      </c>
      <c r="Q1167" s="11" t="s">
        <v>44</v>
      </c>
      <c r="R1167" s="11" t="s">
        <v>45</v>
      </c>
      <c r="S1167" s="11" t="s">
        <v>44</v>
      </c>
      <c r="T1167" s="11" t="s">
        <v>45</v>
      </c>
      <c r="U1167" s="11" t="s">
        <v>45</v>
      </c>
      <c r="V1167" s="24">
        <v>45352</v>
      </c>
      <c r="W1167" s="11" t="s">
        <v>46</v>
      </c>
      <c r="X1167" s="11" t="s">
        <v>97</v>
      </c>
      <c r="Y1167" s="11" t="s">
        <v>97</v>
      </c>
      <c r="Z1167" s="11">
        <v>81988921498</v>
      </c>
      <c r="AA1167" s="11" t="s">
        <v>91</v>
      </c>
      <c r="AB1167" s="11" t="s">
        <v>49</v>
      </c>
      <c r="AC1167" s="11" t="s">
        <v>92</v>
      </c>
      <c r="AD1167" s="11" t="b">
        <v>1</v>
      </c>
      <c r="AE1167" s="11" t="s">
        <v>137</v>
      </c>
      <c r="AF1167" s="11" t="s">
        <v>3804</v>
      </c>
      <c r="AG1167" s="11"/>
      <c r="AH1167" s="11"/>
      <c r="AI1167" s="11"/>
    </row>
    <row r="1168" ht="12.5" spans="1:35">
      <c r="A1168" s="177">
        <v>45347.4893090625</v>
      </c>
      <c r="B1168" s="11" t="s">
        <v>3805</v>
      </c>
      <c r="C1168" s="19">
        <v>15871498426</v>
      </c>
      <c r="D1168" s="19">
        <v>702309180867918</v>
      </c>
      <c r="E1168" s="18" t="s">
        <v>3806</v>
      </c>
      <c r="F1168" s="11" t="s">
        <v>225</v>
      </c>
      <c r="G1168" s="11" t="s">
        <v>54</v>
      </c>
      <c r="H1168" s="24">
        <v>40009</v>
      </c>
      <c r="I1168" s="19" t="s">
        <v>252</v>
      </c>
      <c r="J1168" s="11" t="s">
        <v>42</v>
      </c>
      <c r="K1168" s="108" t="s">
        <v>3807</v>
      </c>
      <c r="N1168" s="11" t="s">
        <v>43</v>
      </c>
      <c r="O1168" s="11" t="s">
        <v>44</v>
      </c>
      <c r="P1168" s="11" t="s">
        <v>44</v>
      </c>
      <c r="Q1168" s="11" t="s">
        <v>44</v>
      </c>
      <c r="R1168" s="11" t="s">
        <v>44</v>
      </c>
      <c r="S1168" s="11" t="s">
        <v>45</v>
      </c>
      <c r="T1168" s="11" t="s">
        <v>44</v>
      </c>
      <c r="U1168" s="11" t="s">
        <v>44</v>
      </c>
      <c r="W1168" s="11" t="s">
        <v>46</v>
      </c>
      <c r="X1168" s="11" t="s">
        <v>303</v>
      </c>
      <c r="Y1168" s="11" t="s">
        <v>58</v>
      </c>
      <c r="Z1168" s="11">
        <v>81985794776</v>
      </c>
      <c r="AA1168" s="11" t="s">
        <v>91</v>
      </c>
      <c r="AB1168" s="11"/>
      <c r="AC1168" s="11"/>
      <c r="AD1168" s="11" t="b">
        <v>0</v>
      </c>
      <c r="AF1168" s="11"/>
      <c r="AG1168" s="11"/>
      <c r="AH1168" s="11"/>
      <c r="AI1168" s="11"/>
    </row>
    <row r="1169" ht="12.5" spans="1:35">
      <c r="A1169" s="177">
        <v>45347.5277246991</v>
      </c>
      <c r="B1169" s="11" t="s">
        <v>3581</v>
      </c>
      <c r="C1169" s="19">
        <v>70443909431</v>
      </c>
      <c r="D1169" s="19">
        <v>702304159779113</v>
      </c>
      <c r="E1169" s="18" t="s">
        <v>3808</v>
      </c>
      <c r="F1169" s="11" t="s">
        <v>40</v>
      </c>
      <c r="G1169" s="11" t="s">
        <v>54</v>
      </c>
      <c r="H1169" s="24">
        <v>36020</v>
      </c>
      <c r="I1169" s="277" t="s">
        <v>3774</v>
      </c>
      <c r="J1169" s="11" t="s">
        <v>42</v>
      </c>
      <c r="K1169" s="108" t="s">
        <v>3794</v>
      </c>
      <c r="N1169" s="11" t="s">
        <v>95</v>
      </c>
      <c r="O1169" s="11" t="s">
        <v>44</v>
      </c>
      <c r="P1169" s="11" t="s">
        <v>44</v>
      </c>
      <c r="Q1169" s="11" t="s">
        <v>44</v>
      </c>
      <c r="R1169" s="11" t="s">
        <v>45</v>
      </c>
      <c r="S1169" s="11" t="s">
        <v>45</v>
      </c>
      <c r="T1169" s="11" t="s">
        <v>44</v>
      </c>
      <c r="U1169" s="11" t="s">
        <v>44</v>
      </c>
      <c r="W1169" s="11" t="s">
        <v>46</v>
      </c>
      <c r="X1169" s="11" t="s">
        <v>97</v>
      </c>
      <c r="Y1169" s="11" t="s">
        <v>97</v>
      </c>
      <c r="Z1169" s="11">
        <v>81985021687</v>
      </c>
      <c r="AA1169" s="11" t="s">
        <v>91</v>
      </c>
      <c r="AB1169" s="11"/>
      <c r="AC1169" s="11"/>
      <c r="AD1169" s="11" t="b">
        <v>0</v>
      </c>
      <c r="AF1169" s="11"/>
      <c r="AG1169" s="11"/>
      <c r="AH1169" s="11"/>
      <c r="AI1169" s="11"/>
    </row>
    <row r="1170" ht="12.5" spans="1:35">
      <c r="A1170" s="177">
        <v>45348.4777530787</v>
      </c>
      <c r="B1170" s="11" t="s">
        <v>3809</v>
      </c>
      <c r="C1170" s="277" t="s">
        <v>3810</v>
      </c>
      <c r="D1170" s="19">
        <v>700600901502064</v>
      </c>
      <c r="E1170" s="18" t="s">
        <v>3811</v>
      </c>
      <c r="F1170" s="11" t="s">
        <v>40</v>
      </c>
      <c r="G1170" s="11" t="s">
        <v>54</v>
      </c>
      <c r="H1170" s="24">
        <v>32410</v>
      </c>
      <c r="I1170" s="277" t="s">
        <v>3812</v>
      </c>
      <c r="J1170" s="11" t="s">
        <v>42</v>
      </c>
      <c r="K1170" s="108" t="s">
        <v>3813</v>
      </c>
      <c r="N1170" s="11" t="s">
        <v>43</v>
      </c>
      <c r="O1170" s="11" t="s">
        <v>44</v>
      </c>
      <c r="P1170" s="11" t="s">
        <v>44</v>
      </c>
      <c r="Q1170" s="11" t="s">
        <v>45</v>
      </c>
      <c r="R1170" s="11" t="s">
        <v>45</v>
      </c>
      <c r="S1170" s="11" t="s">
        <v>83</v>
      </c>
      <c r="T1170" s="11" t="s">
        <v>44</v>
      </c>
      <c r="U1170" s="11" t="s">
        <v>44</v>
      </c>
      <c r="W1170" s="11" t="s">
        <v>57</v>
      </c>
      <c r="X1170" s="11" t="s">
        <v>47</v>
      </c>
      <c r="Y1170" s="11" t="s">
        <v>48</v>
      </c>
      <c r="Z1170" s="11">
        <v>81986784448</v>
      </c>
      <c r="AA1170" s="11" t="s">
        <v>103</v>
      </c>
      <c r="AB1170" s="11"/>
      <c r="AC1170" s="11"/>
      <c r="AD1170" s="11" t="b">
        <v>0</v>
      </c>
      <c r="AF1170" s="11"/>
      <c r="AG1170" s="11"/>
      <c r="AH1170" s="11"/>
      <c r="AI1170" s="11"/>
    </row>
    <row r="1171" ht="12.5" spans="1:35">
      <c r="A1171" s="177">
        <v>45348.5227604167</v>
      </c>
      <c r="B1171" s="11" t="s">
        <v>3797</v>
      </c>
      <c r="C1171" s="277" t="s">
        <v>3798</v>
      </c>
      <c r="D1171" s="19">
        <v>706403116869782</v>
      </c>
      <c r="F1171" s="136" t="s">
        <v>40</v>
      </c>
      <c r="G1171" s="11" t="s">
        <v>54</v>
      </c>
      <c r="H1171" s="24">
        <v>33323</v>
      </c>
      <c r="I1171" s="277" t="s">
        <v>3800</v>
      </c>
      <c r="J1171" s="11" t="s">
        <v>42</v>
      </c>
      <c r="K1171" s="108" t="s">
        <v>427</v>
      </c>
      <c r="N1171" s="11" t="s">
        <v>95</v>
      </c>
      <c r="O1171" s="11" t="s">
        <v>44</v>
      </c>
      <c r="P1171" s="11" t="s">
        <v>44</v>
      </c>
      <c r="Q1171" s="11" t="s">
        <v>44</v>
      </c>
      <c r="R1171" s="11" t="s">
        <v>44</v>
      </c>
      <c r="S1171" s="11" t="s">
        <v>44</v>
      </c>
      <c r="T1171" s="11" t="s">
        <v>44</v>
      </c>
      <c r="U1171" s="11" t="s">
        <v>45</v>
      </c>
      <c r="V1171" s="24">
        <v>45349</v>
      </c>
      <c r="W1171" s="11" t="s">
        <v>57</v>
      </c>
      <c r="X1171" s="11" t="s">
        <v>97</v>
      </c>
      <c r="Y1171" s="11" t="s">
        <v>97</v>
      </c>
      <c r="Z1171" s="11">
        <v>81985942821</v>
      </c>
      <c r="AA1171" s="11" t="s">
        <v>1360</v>
      </c>
      <c r="AB1171" s="11" t="s">
        <v>49</v>
      </c>
      <c r="AC1171" s="11" t="s">
        <v>92</v>
      </c>
      <c r="AD1171" s="11" t="b">
        <v>1</v>
      </c>
      <c r="AE1171" s="11" t="s">
        <v>137</v>
      </c>
      <c r="AF1171" s="11"/>
      <c r="AG1171" s="11"/>
      <c r="AH1171" s="11" t="s">
        <v>3814</v>
      </c>
      <c r="AI1171" s="11"/>
    </row>
    <row r="1172" ht="12.5" spans="1:35">
      <c r="A1172" s="177">
        <v>45348.6764813889</v>
      </c>
      <c r="B1172" s="11" t="s">
        <v>2806</v>
      </c>
      <c r="C1172" s="277" t="s">
        <v>2807</v>
      </c>
      <c r="D1172" s="19">
        <v>700206468913724</v>
      </c>
      <c r="E1172" s="18" t="s">
        <v>3815</v>
      </c>
      <c r="F1172" s="11" t="s">
        <v>40</v>
      </c>
      <c r="G1172" s="11" t="s">
        <v>54</v>
      </c>
      <c r="H1172" s="24">
        <v>33515</v>
      </c>
      <c r="I1172" s="277" t="s">
        <v>1764</v>
      </c>
      <c r="J1172" s="11" t="s">
        <v>42</v>
      </c>
      <c r="K1172" s="108" t="s">
        <v>55</v>
      </c>
      <c r="N1172" s="11" t="s">
        <v>43</v>
      </c>
      <c r="O1172" s="11" t="s">
        <v>65</v>
      </c>
      <c r="P1172" s="11" t="s">
        <v>66</v>
      </c>
      <c r="Q1172" s="11" t="s">
        <v>44</v>
      </c>
      <c r="R1172" s="11" t="s">
        <v>45</v>
      </c>
      <c r="S1172" s="11" t="s">
        <v>45</v>
      </c>
      <c r="T1172" s="11" t="s">
        <v>44</v>
      </c>
      <c r="U1172" s="11" t="s">
        <v>45</v>
      </c>
      <c r="V1172" s="24">
        <v>45348</v>
      </c>
      <c r="W1172" s="11" t="s">
        <v>46</v>
      </c>
      <c r="X1172" s="11" t="s">
        <v>47</v>
      </c>
      <c r="Y1172" s="11" t="s">
        <v>58</v>
      </c>
      <c r="Z1172" s="11">
        <v>81984950254</v>
      </c>
      <c r="AA1172" s="11" t="s">
        <v>232</v>
      </c>
      <c r="AB1172" s="11" t="s">
        <v>98</v>
      </c>
      <c r="AC1172" s="11"/>
      <c r="AD1172" s="11" t="b">
        <v>0</v>
      </c>
      <c r="AF1172" s="11" t="s">
        <v>3816</v>
      </c>
      <c r="AG1172" s="11" t="s">
        <v>3817</v>
      </c>
      <c r="AH1172" s="11" t="s">
        <v>3818</v>
      </c>
      <c r="AI1172" s="11"/>
    </row>
    <row r="1173" ht="12.5" spans="1:35">
      <c r="A1173" s="177">
        <v>45348.6891217477</v>
      </c>
      <c r="B1173" s="11" t="s">
        <v>3777</v>
      </c>
      <c r="C1173" s="19">
        <v>11229954406</v>
      </c>
      <c r="D1173" s="19">
        <v>700404429566845</v>
      </c>
      <c r="E1173" s="18" t="s">
        <v>3819</v>
      </c>
      <c r="F1173" s="11" t="s">
        <v>225</v>
      </c>
      <c r="G1173" s="11" t="s">
        <v>54</v>
      </c>
      <c r="H1173" s="24">
        <v>34729</v>
      </c>
      <c r="I1173" s="277" t="s">
        <v>2826</v>
      </c>
      <c r="J1173" s="11" t="s">
        <v>42</v>
      </c>
      <c r="K1173" s="108" t="s">
        <v>3820</v>
      </c>
      <c r="N1173" s="11" t="s">
        <v>43</v>
      </c>
      <c r="O1173" s="11" t="s">
        <v>44</v>
      </c>
      <c r="P1173" s="11" t="s">
        <v>56</v>
      </c>
      <c r="Q1173" s="11" t="s">
        <v>45</v>
      </c>
      <c r="R1173" s="11" t="s">
        <v>45</v>
      </c>
      <c r="S1173" s="11" t="s">
        <v>45</v>
      </c>
      <c r="T1173" s="11" t="s">
        <v>45</v>
      </c>
      <c r="U1173" s="11" t="s">
        <v>44</v>
      </c>
      <c r="W1173" s="11" t="s">
        <v>46</v>
      </c>
      <c r="X1173" s="11" t="s">
        <v>47</v>
      </c>
      <c r="Y1173" s="11" t="s">
        <v>58</v>
      </c>
      <c r="Z1173" s="11">
        <v>81984881221</v>
      </c>
      <c r="AA1173" s="11" t="s">
        <v>105</v>
      </c>
      <c r="AB1173" s="11"/>
      <c r="AC1173" s="11"/>
      <c r="AD1173" s="11" t="b">
        <v>0</v>
      </c>
      <c r="AF1173" s="11"/>
      <c r="AG1173" s="11"/>
      <c r="AH1173" s="11"/>
      <c r="AI1173" s="11"/>
    </row>
    <row r="1174" ht="12.5" spans="1:35">
      <c r="A1174" s="177">
        <v>45348.7128939005</v>
      </c>
      <c r="B1174" s="11" t="s">
        <v>3020</v>
      </c>
      <c r="C1174" s="19">
        <v>70808893408</v>
      </c>
      <c r="D1174" s="19">
        <v>705006070731455</v>
      </c>
      <c r="E1174" s="18" t="s">
        <v>3821</v>
      </c>
      <c r="F1174" s="11" t="s">
        <v>40</v>
      </c>
      <c r="G1174" s="11" t="s">
        <v>54</v>
      </c>
      <c r="H1174" s="24">
        <v>35564</v>
      </c>
      <c r="I1174" s="277" t="s">
        <v>3065</v>
      </c>
      <c r="J1174" s="11" t="s">
        <v>42</v>
      </c>
      <c r="K1174" s="108" t="s">
        <v>202</v>
      </c>
      <c r="N1174" s="11" t="s">
        <v>43</v>
      </c>
      <c r="O1174" s="11" t="s">
        <v>96</v>
      </c>
      <c r="P1174" s="11" t="s">
        <v>66</v>
      </c>
      <c r="Q1174" s="11" t="s">
        <v>45</v>
      </c>
      <c r="R1174" s="11" t="s">
        <v>45</v>
      </c>
      <c r="S1174" s="11" t="s">
        <v>45</v>
      </c>
      <c r="T1174" s="11" t="s">
        <v>44</v>
      </c>
      <c r="U1174" s="11" t="s">
        <v>45</v>
      </c>
      <c r="V1174" s="24">
        <v>45349</v>
      </c>
      <c r="W1174" s="11" t="s">
        <v>46</v>
      </c>
      <c r="X1174" s="11" t="s">
        <v>203</v>
      </c>
      <c r="Y1174" s="11" t="s">
        <v>58</v>
      </c>
      <c r="Z1174" s="11">
        <v>81988921498</v>
      </c>
      <c r="AA1174" s="11" t="s">
        <v>1360</v>
      </c>
      <c r="AB1174" s="11" t="s">
        <v>49</v>
      </c>
      <c r="AC1174" s="11" t="s">
        <v>92</v>
      </c>
      <c r="AD1174" s="11" t="b">
        <v>1</v>
      </c>
      <c r="AE1174" s="11" t="s">
        <v>137</v>
      </c>
      <c r="AF1174" s="11" t="s">
        <v>3822</v>
      </c>
      <c r="AG1174" s="11"/>
      <c r="AH1174" s="11" t="s">
        <v>3823</v>
      </c>
      <c r="AI1174" s="11"/>
    </row>
    <row r="1175" ht="12.5" spans="1:35">
      <c r="A1175" s="177">
        <v>45349.3559969097</v>
      </c>
      <c r="B1175" s="11" t="s">
        <v>3764</v>
      </c>
      <c r="C1175" s="19">
        <v>12935047427</v>
      </c>
      <c r="D1175" s="19">
        <v>706706562283717</v>
      </c>
      <c r="E1175" s="18" t="s">
        <v>3824</v>
      </c>
      <c r="F1175" s="11" t="s">
        <v>40</v>
      </c>
      <c r="G1175" s="11" t="s">
        <v>54</v>
      </c>
      <c r="H1175" s="24">
        <v>36151</v>
      </c>
      <c r="I1175" s="277" t="s">
        <v>3766</v>
      </c>
      <c r="J1175" s="11" t="s">
        <v>42</v>
      </c>
      <c r="K1175" s="108" t="s">
        <v>3422</v>
      </c>
      <c r="N1175" s="11" t="s">
        <v>43</v>
      </c>
      <c r="O1175" s="11" t="s">
        <v>44</v>
      </c>
      <c r="P1175" s="11" t="s">
        <v>44</v>
      </c>
      <c r="Q1175" s="11" t="s">
        <v>44</v>
      </c>
      <c r="R1175" s="11" t="s">
        <v>45</v>
      </c>
      <c r="S1175" s="11" t="s">
        <v>45</v>
      </c>
      <c r="T1175" s="11" t="s">
        <v>44</v>
      </c>
      <c r="U1175" s="11" t="s">
        <v>44</v>
      </c>
      <c r="W1175" s="11" t="s">
        <v>57</v>
      </c>
      <c r="X1175" s="254" t="s">
        <v>67</v>
      </c>
      <c r="Y1175" s="11" t="s">
        <v>58</v>
      </c>
      <c r="Z1175" s="11">
        <v>81984318059</v>
      </c>
      <c r="AA1175" s="11" t="s">
        <v>105</v>
      </c>
      <c r="AB1175" s="11"/>
      <c r="AC1175" s="11"/>
      <c r="AD1175" s="11" t="b">
        <v>0</v>
      </c>
      <c r="AF1175" s="11"/>
      <c r="AG1175" s="11"/>
      <c r="AH1175" s="11"/>
      <c r="AI1175" s="11"/>
    </row>
    <row r="1176" ht="12.5" spans="1:35">
      <c r="A1176" s="177">
        <v>45349.4196676157</v>
      </c>
      <c r="B1176" s="11" t="s">
        <v>3020</v>
      </c>
      <c r="C1176" s="19">
        <v>70808893408</v>
      </c>
      <c r="D1176" s="19">
        <v>705006070731455</v>
      </c>
      <c r="E1176" s="18" t="s">
        <v>3825</v>
      </c>
      <c r="F1176" s="11" t="s">
        <v>40</v>
      </c>
      <c r="G1176" s="11" t="s">
        <v>54</v>
      </c>
      <c r="H1176" s="24">
        <v>35564</v>
      </c>
      <c r="I1176" s="277" t="s">
        <v>3065</v>
      </c>
      <c r="J1176" s="11" t="s">
        <v>42</v>
      </c>
      <c r="K1176" s="108" t="s">
        <v>202</v>
      </c>
      <c r="N1176" s="11" t="s">
        <v>95</v>
      </c>
      <c r="O1176" s="11" t="s">
        <v>44</v>
      </c>
      <c r="P1176" s="11" t="s">
        <v>44</v>
      </c>
      <c r="Q1176" s="11" t="s">
        <v>44</v>
      </c>
      <c r="R1176" s="11" t="s">
        <v>45</v>
      </c>
      <c r="S1176" s="11" t="s">
        <v>45</v>
      </c>
      <c r="T1176" s="11" t="s">
        <v>45</v>
      </c>
      <c r="U1176" s="11" t="s">
        <v>44</v>
      </c>
      <c r="W1176" s="11" t="s">
        <v>46</v>
      </c>
      <c r="X1176" s="11" t="s">
        <v>97</v>
      </c>
      <c r="Y1176" s="11" t="s">
        <v>97</v>
      </c>
      <c r="Z1176" s="11">
        <v>81988921498</v>
      </c>
      <c r="AA1176" s="11" t="s">
        <v>91</v>
      </c>
      <c r="AB1176" s="11"/>
      <c r="AC1176" s="11"/>
      <c r="AD1176" s="11" t="b">
        <v>0</v>
      </c>
      <c r="AF1176" s="11"/>
      <c r="AG1176" s="11"/>
      <c r="AH1176" s="11"/>
      <c r="AI1176" s="11"/>
    </row>
    <row r="1177" ht="12.5" spans="1:35">
      <c r="A1177" s="177">
        <v>45349.4362592245</v>
      </c>
      <c r="B1177" s="11" t="s">
        <v>3797</v>
      </c>
      <c r="C1177" s="277" t="s">
        <v>3798</v>
      </c>
      <c r="D1177" s="19">
        <v>706403116869782</v>
      </c>
      <c r="E1177" s="18" t="s">
        <v>3826</v>
      </c>
      <c r="F1177" s="11" t="s">
        <v>40</v>
      </c>
      <c r="G1177" s="11" t="s">
        <v>54</v>
      </c>
      <c r="H1177" s="24">
        <v>33323</v>
      </c>
      <c r="I1177" s="277" t="s">
        <v>3800</v>
      </c>
      <c r="J1177" s="11" t="s">
        <v>42</v>
      </c>
      <c r="K1177" s="108" t="s">
        <v>427</v>
      </c>
      <c r="N1177" s="11" t="s">
        <v>95</v>
      </c>
      <c r="O1177" s="11" t="s">
        <v>44</v>
      </c>
      <c r="P1177" s="11" t="s">
        <v>44</v>
      </c>
      <c r="Q1177" s="11" t="s">
        <v>44</v>
      </c>
      <c r="R1177" s="11" t="s">
        <v>44</v>
      </c>
      <c r="S1177" s="11" t="s">
        <v>44</v>
      </c>
      <c r="T1177" s="11" t="s">
        <v>44</v>
      </c>
      <c r="U1177" s="11" t="s">
        <v>45</v>
      </c>
      <c r="V1177" s="24">
        <v>45352</v>
      </c>
      <c r="W1177" s="11" t="s">
        <v>46</v>
      </c>
      <c r="X1177" s="11" t="s">
        <v>97</v>
      </c>
      <c r="Y1177" s="11" t="s">
        <v>97</v>
      </c>
      <c r="Z1177" s="11">
        <v>81985942821</v>
      </c>
      <c r="AA1177" s="11" t="s">
        <v>91</v>
      </c>
      <c r="AB1177" s="11" t="s">
        <v>98</v>
      </c>
      <c r="AC1177" s="11"/>
      <c r="AD1177" s="11" t="b">
        <v>0</v>
      </c>
      <c r="AF1177" s="11" t="s">
        <v>3827</v>
      </c>
      <c r="AG1177" s="11" t="s">
        <v>3828</v>
      </c>
      <c r="AH1177" s="11"/>
      <c r="AI1177" s="11"/>
    </row>
    <row r="1178" ht="12.5" spans="1:35">
      <c r="A1178" s="177">
        <v>45349.5837340741</v>
      </c>
      <c r="B1178" s="11" t="s">
        <v>3829</v>
      </c>
      <c r="C1178" s="19">
        <v>12513606450</v>
      </c>
      <c r="D1178" s="19">
        <v>704005827730561</v>
      </c>
      <c r="E1178" s="18" t="s">
        <v>3830</v>
      </c>
      <c r="F1178" s="11" t="s">
        <v>225</v>
      </c>
      <c r="G1178" s="11" t="s">
        <v>135</v>
      </c>
      <c r="H1178" s="24">
        <v>36598</v>
      </c>
      <c r="I1178" s="277" t="s">
        <v>3831</v>
      </c>
      <c r="J1178" s="11" t="s">
        <v>42</v>
      </c>
      <c r="K1178" s="108" t="s">
        <v>202</v>
      </c>
      <c r="N1178" s="11" t="s">
        <v>43</v>
      </c>
      <c r="O1178" s="11" t="s">
        <v>44</v>
      </c>
      <c r="P1178" s="11" t="s">
        <v>44</v>
      </c>
      <c r="Q1178" s="11" t="s">
        <v>44</v>
      </c>
      <c r="R1178" s="11" t="s">
        <v>45</v>
      </c>
      <c r="S1178" s="11" t="s">
        <v>44</v>
      </c>
      <c r="T1178" s="11" t="s">
        <v>44</v>
      </c>
      <c r="U1178" s="11" t="s">
        <v>45</v>
      </c>
      <c r="V1178" s="24">
        <v>45349</v>
      </c>
      <c r="W1178" s="11" t="s">
        <v>46</v>
      </c>
      <c r="X1178" s="11" t="s">
        <v>47</v>
      </c>
      <c r="Y1178" s="11" t="s">
        <v>58</v>
      </c>
      <c r="Z1178" s="11">
        <v>81982184251</v>
      </c>
      <c r="AA1178" s="11" t="s">
        <v>113</v>
      </c>
      <c r="AB1178" s="11" t="s">
        <v>98</v>
      </c>
      <c r="AC1178" s="11"/>
      <c r="AD1178" s="11" t="b">
        <v>0</v>
      </c>
      <c r="AF1178" s="11" t="s">
        <v>3832</v>
      </c>
      <c r="AG1178" s="11" t="s">
        <v>3833</v>
      </c>
      <c r="AH1178" s="11" t="s">
        <v>3834</v>
      </c>
      <c r="AI1178" s="11"/>
    </row>
    <row r="1179" ht="12.5" spans="1:35">
      <c r="A1179" s="177">
        <v>45350.5088339583</v>
      </c>
      <c r="B1179" s="11" t="s">
        <v>3835</v>
      </c>
      <c r="C1179" s="19">
        <v>71415495440</v>
      </c>
      <c r="D1179" s="19">
        <v>898005133793156</v>
      </c>
      <c r="E1179" s="18" t="s">
        <v>3836</v>
      </c>
      <c r="F1179" s="11" t="s">
        <v>40</v>
      </c>
      <c r="G1179" s="11" t="s">
        <v>54</v>
      </c>
      <c r="H1179" s="24">
        <v>37430</v>
      </c>
      <c r="I1179" s="277" t="s">
        <v>1708</v>
      </c>
      <c r="J1179" s="11" t="s">
        <v>42</v>
      </c>
      <c r="K1179" s="108" t="s">
        <v>455</v>
      </c>
      <c r="N1179" s="11" t="s">
        <v>43</v>
      </c>
      <c r="O1179" s="11" t="s">
        <v>44</v>
      </c>
      <c r="P1179" s="11" t="s">
        <v>44</v>
      </c>
      <c r="Q1179" s="11" t="s">
        <v>45</v>
      </c>
      <c r="R1179" s="11" t="s">
        <v>45</v>
      </c>
      <c r="S1179" s="11" t="s">
        <v>45</v>
      </c>
      <c r="T1179" s="11" t="s">
        <v>44</v>
      </c>
      <c r="U1179" s="11" t="s">
        <v>44</v>
      </c>
      <c r="W1179" s="11" t="s">
        <v>46</v>
      </c>
      <c r="X1179" s="11" t="s">
        <v>47</v>
      </c>
      <c r="Y1179" s="11" t="s">
        <v>58</v>
      </c>
      <c r="Z1179" s="11">
        <v>81996624832</v>
      </c>
      <c r="AA1179" s="11" t="s">
        <v>115</v>
      </c>
      <c r="AB1179" s="11"/>
      <c r="AC1179" s="11"/>
      <c r="AD1179" s="11" t="b">
        <v>0</v>
      </c>
      <c r="AF1179" s="11"/>
      <c r="AG1179" s="11"/>
      <c r="AH1179" s="11"/>
      <c r="AI1179" s="11"/>
    </row>
    <row r="1180" ht="12.5" spans="1:35">
      <c r="A1180" s="177">
        <v>45350.5643805903</v>
      </c>
      <c r="B1180" s="11" t="s">
        <v>3020</v>
      </c>
      <c r="C1180" s="19">
        <v>70808893408</v>
      </c>
      <c r="D1180" s="19">
        <v>705006070731455</v>
      </c>
      <c r="E1180" s="18" t="s">
        <v>3837</v>
      </c>
      <c r="F1180" s="11" t="s">
        <v>40</v>
      </c>
      <c r="G1180" s="11" t="s">
        <v>54</v>
      </c>
      <c r="H1180" s="24">
        <v>35564</v>
      </c>
      <c r="I1180" s="277" t="s">
        <v>3022</v>
      </c>
      <c r="J1180" s="11" t="s">
        <v>42</v>
      </c>
      <c r="K1180" s="108" t="s">
        <v>3838</v>
      </c>
      <c r="N1180" s="11" t="s">
        <v>43</v>
      </c>
      <c r="O1180" s="11" t="s">
        <v>44</v>
      </c>
      <c r="P1180" s="11" t="s">
        <v>44</v>
      </c>
      <c r="Q1180" s="11" t="s">
        <v>45</v>
      </c>
      <c r="R1180" s="11" t="s">
        <v>45</v>
      </c>
      <c r="S1180" s="11" t="s">
        <v>45</v>
      </c>
      <c r="T1180" s="11" t="s">
        <v>44</v>
      </c>
      <c r="U1180" s="11" t="s">
        <v>44</v>
      </c>
      <c r="W1180" s="11" t="s">
        <v>46</v>
      </c>
      <c r="X1180" s="11" t="s">
        <v>47</v>
      </c>
      <c r="Y1180" s="11" t="s">
        <v>48</v>
      </c>
      <c r="Z1180" s="11">
        <v>81988921498</v>
      </c>
      <c r="AA1180" s="11" t="s">
        <v>103</v>
      </c>
      <c r="AB1180" s="11"/>
      <c r="AC1180" s="11"/>
      <c r="AD1180" s="11" t="b">
        <v>0</v>
      </c>
      <c r="AF1180" s="11"/>
      <c r="AG1180" s="11"/>
      <c r="AH1180" s="11"/>
      <c r="AI1180" s="11"/>
    </row>
    <row r="1181" ht="12.5" spans="1:35">
      <c r="A1181" s="177">
        <v>45351.4912815162</v>
      </c>
      <c r="B1181" s="11" t="s">
        <v>3839</v>
      </c>
      <c r="C1181" s="19">
        <v>10793952450</v>
      </c>
      <c r="D1181" s="19">
        <v>707701685156210</v>
      </c>
      <c r="E1181" s="18" t="s">
        <v>3840</v>
      </c>
      <c r="F1181" s="11" t="s">
        <v>40</v>
      </c>
      <c r="G1181" s="11" t="s">
        <v>54</v>
      </c>
      <c r="H1181" s="24">
        <v>34902</v>
      </c>
      <c r="I1181" s="277" t="s">
        <v>3841</v>
      </c>
      <c r="J1181" s="11" t="s">
        <v>42</v>
      </c>
      <c r="K1181" s="108" t="s">
        <v>202</v>
      </c>
      <c r="N1181" s="11" t="s">
        <v>43</v>
      </c>
      <c r="O1181" s="11" t="s">
        <v>44</v>
      </c>
      <c r="P1181" s="11" t="s">
        <v>44</v>
      </c>
      <c r="Q1181" s="11" t="s">
        <v>44</v>
      </c>
      <c r="R1181" s="11" t="s">
        <v>45</v>
      </c>
      <c r="S1181" s="11" t="s">
        <v>45</v>
      </c>
      <c r="T1181" s="11" t="s">
        <v>44</v>
      </c>
      <c r="U1181" s="11" t="s">
        <v>45</v>
      </c>
      <c r="V1181" s="24">
        <v>45352</v>
      </c>
      <c r="W1181" s="11" t="s">
        <v>46</v>
      </c>
      <c r="X1181" s="11" t="s">
        <v>47</v>
      </c>
      <c r="Y1181" s="11" t="s">
        <v>58</v>
      </c>
      <c r="Z1181" s="11">
        <v>81985701664</v>
      </c>
      <c r="AA1181" s="11" t="s">
        <v>115</v>
      </c>
      <c r="AB1181" s="11" t="s">
        <v>49</v>
      </c>
      <c r="AC1181" s="11" t="s">
        <v>256</v>
      </c>
      <c r="AD1181" s="11" t="b">
        <v>0</v>
      </c>
      <c r="AF1181" s="11" t="s">
        <v>3842</v>
      </c>
      <c r="AG1181" s="11" t="s">
        <v>3843</v>
      </c>
      <c r="AH1181" s="11" t="s">
        <v>3844</v>
      </c>
      <c r="AI1181" s="11"/>
    </row>
    <row r="1182" ht="12.5" spans="1:35">
      <c r="A1182" s="177">
        <v>45351.4943869213</v>
      </c>
      <c r="B1182" s="11" t="s">
        <v>3845</v>
      </c>
      <c r="C1182" s="19">
        <v>10340541474</v>
      </c>
      <c r="D1182" s="19">
        <v>709608657226378</v>
      </c>
      <c r="E1182" s="18" t="s">
        <v>3846</v>
      </c>
      <c r="F1182" s="11" t="s">
        <v>40</v>
      </c>
      <c r="G1182" s="11" t="s">
        <v>54</v>
      </c>
      <c r="H1182" s="24">
        <v>34532</v>
      </c>
      <c r="I1182" s="277" t="s">
        <v>629</v>
      </c>
      <c r="J1182" s="11" t="s">
        <v>42</v>
      </c>
      <c r="K1182" s="108" t="s">
        <v>3847</v>
      </c>
      <c r="N1182" s="11" t="s">
        <v>43</v>
      </c>
      <c r="O1182" s="11" t="s">
        <v>44</v>
      </c>
      <c r="P1182" s="11" t="s">
        <v>44</v>
      </c>
      <c r="Q1182" s="11" t="s">
        <v>44</v>
      </c>
      <c r="R1182" s="11" t="s">
        <v>45</v>
      </c>
      <c r="S1182" s="11" t="s">
        <v>45</v>
      </c>
      <c r="T1182" s="11" t="s">
        <v>44</v>
      </c>
      <c r="U1182" s="11" t="s">
        <v>44</v>
      </c>
      <c r="W1182" s="11" t="s">
        <v>46</v>
      </c>
      <c r="X1182" s="11" t="s">
        <v>47</v>
      </c>
      <c r="Y1182" s="11" t="s">
        <v>58</v>
      </c>
      <c r="Z1182" s="11">
        <v>81985237440</v>
      </c>
      <c r="AA1182" s="11" t="s">
        <v>113</v>
      </c>
      <c r="AB1182" s="11"/>
      <c r="AC1182" s="11"/>
      <c r="AD1182" s="11" t="b">
        <v>0</v>
      </c>
      <c r="AF1182" s="11"/>
      <c r="AG1182" s="11"/>
      <c r="AH1182" s="11"/>
      <c r="AI1182" s="11"/>
    </row>
    <row r="1183" ht="12.5" spans="1:35">
      <c r="A1183" s="177">
        <v>45351.5097166551</v>
      </c>
      <c r="B1183" s="11" t="s">
        <v>2990</v>
      </c>
      <c r="C1183" s="19">
        <v>70482917458</v>
      </c>
      <c r="D1183" s="19">
        <v>708700168884694</v>
      </c>
      <c r="E1183" s="70" t="s">
        <v>3848</v>
      </c>
      <c r="F1183" s="11" t="s">
        <v>40</v>
      </c>
      <c r="G1183" s="11" t="s">
        <v>41</v>
      </c>
      <c r="H1183" s="24">
        <v>36040</v>
      </c>
      <c r="I1183" s="277" t="s">
        <v>2992</v>
      </c>
      <c r="J1183" s="11" t="s">
        <v>42</v>
      </c>
      <c r="K1183" s="108" t="s">
        <v>3849</v>
      </c>
      <c r="N1183" s="11" t="s">
        <v>43</v>
      </c>
      <c r="O1183" s="11" t="s">
        <v>44</v>
      </c>
      <c r="P1183" s="11" t="s">
        <v>44</v>
      </c>
      <c r="Q1183" s="11" t="s">
        <v>44</v>
      </c>
      <c r="R1183" s="11" t="s">
        <v>45</v>
      </c>
      <c r="S1183" s="11" t="s">
        <v>45</v>
      </c>
      <c r="T1183" s="11" t="s">
        <v>44</v>
      </c>
      <c r="U1183" s="11" t="s">
        <v>44</v>
      </c>
      <c r="W1183" s="11" t="s">
        <v>46</v>
      </c>
      <c r="X1183" s="11" t="s">
        <v>47</v>
      </c>
      <c r="Y1183" s="11" t="s">
        <v>58</v>
      </c>
      <c r="Z1183" s="11">
        <v>81988110275</v>
      </c>
      <c r="AA1183" s="11" t="s">
        <v>232</v>
      </c>
      <c r="AB1183" s="11"/>
      <c r="AC1183" s="11"/>
      <c r="AD1183" s="11" t="b">
        <v>0</v>
      </c>
      <c r="AF1183" s="11"/>
      <c r="AG1183" s="11"/>
      <c r="AH1183" s="11"/>
      <c r="AI1183" s="11"/>
    </row>
    <row r="1184" ht="12.5" spans="1:35">
      <c r="A1184" s="177">
        <v>45351.5496959607</v>
      </c>
      <c r="B1184" s="11" t="s">
        <v>3463</v>
      </c>
      <c r="C1184" s="19">
        <v>12265832456</v>
      </c>
      <c r="D1184" s="19">
        <v>706803732958228</v>
      </c>
      <c r="E1184" s="18" t="s">
        <v>3850</v>
      </c>
      <c r="F1184" s="11" t="s">
        <v>40</v>
      </c>
      <c r="G1184" s="11" t="s">
        <v>54</v>
      </c>
      <c r="H1184" s="24">
        <v>36325</v>
      </c>
      <c r="I1184" s="277" t="s">
        <v>3851</v>
      </c>
      <c r="J1184" s="11" t="s">
        <v>42</v>
      </c>
      <c r="K1184" s="108" t="s">
        <v>63</v>
      </c>
      <c r="N1184" s="11" t="s">
        <v>43</v>
      </c>
      <c r="O1184" s="11" t="s">
        <v>44</v>
      </c>
      <c r="P1184" s="11" t="s">
        <v>44</v>
      </c>
      <c r="Q1184" s="11" t="s">
        <v>45</v>
      </c>
      <c r="R1184" s="11" t="s">
        <v>44</v>
      </c>
      <c r="S1184" s="11" t="s">
        <v>83</v>
      </c>
      <c r="T1184" s="11" t="s">
        <v>45</v>
      </c>
      <c r="U1184" s="11" t="s">
        <v>45</v>
      </c>
      <c r="V1184" s="24">
        <v>45351</v>
      </c>
      <c r="W1184" s="11" t="s">
        <v>46</v>
      </c>
      <c r="X1184" s="11" t="s">
        <v>47</v>
      </c>
      <c r="Y1184" s="11" t="s">
        <v>58</v>
      </c>
      <c r="Z1184" s="11">
        <v>81984288154</v>
      </c>
      <c r="AA1184" s="11" t="s">
        <v>115</v>
      </c>
      <c r="AB1184" s="11" t="s">
        <v>49</v>
      </c>
      <c r="AC1184" s="11"/>
      <c r="AD1184" s="11" t="b">
        <v>0</v>
      </c>
      <c r="AF1184" s="11" t="s">
        <v>3852</v>
      </c>
      <c r="AG1184" s="11" t="s">
        <v>3853</v>
      </c>
      <c r="AH1184" s="11" t="s">
        <v>3854</v>
      </c>
      <c r="AI1184" s="11"/>
    </row>
    <row r="1185" ht="12.5" spans="1:35">
      <c r="A1185" s="177">
        <v>45351.7000129745</v>
      </c>
      <c r="B1185" s="11" t="s">
        <v>3463</v>
      </c>
      <c r="C1185" s="19">
        <v>12265832456</v>
      </c>
      <c r="D1185" s="19">
        <v>706803732958228</v>
      </c>
      <c r="F1185" s="11" t="s">
        <v>40</v>
      </c>
      <c r="G1185" s="11" t="s">
        <v>54</v>
      </c>
      <c r="H1185" s="24">
        <v>36325</v>
      </c>
      <c r="I1185" s="277" t="s">
        <v>3851</v>
      </c>
      <c r="J1185" s="11" t="s">
        <v>42</v>
      </c>
      <c r="K1185" s="108" t="s">
        <v>63</v>
      </c>
      <c r="N1185" s="11" t="s">
        <v>95</v>
      </c>
      <c r="O1185" s="11" t="s">
        <v>44</v>
      </c>
      <c r="P1185" s="11" t="s">
        <v>44</v>
      </c>
      <c r="Q1185" s="11" t="s">
        <v>44</v>
      </c>
      <c r="R1185" s="11" t="s">
        <v>44</v>
      </c>
      <c r="S1185" s="11" t="s">
        <v>83</v>
      </c>
      <c r="T1185" s="11" t="s">
        <v>45</v>
      </c>
      <c r="U1185" s="11" t="s">
        <v>44</v>
      </c>
      <c r="W1185" s="11" t="s">
        <v>57</v>
      </c>
      <c r="X1185" s="11" t="s">
        <v>97</v>
      </c>
      <c r="Y1185" s="11" t="s">
        <v>97</v>
      </c>
      <c r="Z1185" s="11">
        <v>81984288154</v>
      </c>
      <c r="AA1185" s="11" t="s">
        <v>115</v>
      </c>
      <c r="AB1185" s="11"/>
      <c r="AC1185" s="11"/>
      <c r="AD1185" s="11" t="b">
        <v>0</v>
      </c>
      <c r="AF1185" s="11"/>
      <c r="AG1185" s="11"/>
      <c r="AH1185" s="11"/>
      <c r="AI1185" s="11"/>
    </row>
    <row r="1186" ht="12.5" spans="1:35">
      <c r="A1186" s="177">
        <v>45352.3633370949</v>
      </c>
      <c r="B1186" s="11" t="s">
        <v>3855</v>
      </c>
      <c r="C1186" s="277" t="s">
        <v>3856</v>
      </c>
      <c r="D1186" s="19">
        <v>700503768967050</v>
      </c>
      <c r="E1186" s="18" t="s">
        <v>3857</v>
      </c>
      <c r="F1186" s="11" t="s">
        <v>40</v>
      </c>
      <c r="G1186" s="11" t="s">
        <v>88</v>
      </c>
      <c r="H1186" s="24">
        <v>32368</v>
      </c>
      <c r="I1186" s="277" t="s">
        <v>3685</v>
      </c>
      <c r="J1186" s="11" t="s">
        <v>42</v>
      </c>
      <c r="K1186" s="108" t="s">
        <v>1083</v>
      </c>
      <c r="N1186" s="11" t="s">
        <v>43</v>
      </c>
      <c r="O1186" s="11" t="s">
        <v>44</v>
      </c>
      <c r="P1186" s="11" t="s">
        <v>44</v>
      </c>
      <c r="Q1186" s="11" t="s">
        <v>44</v>
      </c>
      <c r="R1186" s="11" t="s">
        <v>45</v>
      </c>
      <c r="S1186" s="11" t="s">
        <v>44</v>
      </c>
      <c r="T1186" s="11" t="s">
        <v>44</v>
      </c>
      <c r="U1186" s="11" t="s">
        <v>44</v>
      </c>
      <c r="W1186" s="11" t="s">
        <v>46</v>
      </c>
      <c r="X1186" s="254" t="s">
        <v>67</v>
      </c>
      <c r="Y1186" s="11" t="s">
        <v>68</v>
      </c>
      <c r="Z1186" s="11">
        <v>81998356074</v>
      </c>
      <c r="AA1186" s="11" t="s">
        <v>1360</v>
      </c>
      <c r="AB1186" s="11"/>
      <c r="AC1186" s="11"/>
      <c r="AD1186" s="11" t="b">
        <v>0</v>
      </c>
      <c r="AF1186" s="11"/>
      <c r="AG1186" s="11"/>
      <c r="AH1186" s="11"/>
      <c r="AI1186" s="11"/>
    </row>
    <row r="1187" ht="12.5" spans="1:35">
      <c r="A1187" s="177">
        <v>45352.3633865162</v>
      </c>
      <c r="B1187" s="11" t="s">
        <v>3020</v>
      </c>
      <c r="C1187" s="19">
        <v>70808893408</v>
      </c>
      <c r="D1187" s="19">
        <v>705006070731455</v>
      </c>
      <c r="E1187" s="18" t="s">
        <v>3858</v>
      </c>
      <c r="F1187" s="11" t="s">
        <v>40</v>
      </c>
      <c r="G1187" s="11" t="s">
        <v>54</v>
      </c>
      <c r="H1187" s="24">
        <v>35564</v>
      </c>
      <c r="I1187" s="277" t="s">
        <v>3022</v>
      </c>
      <c r="J1187" s="11" t="s">
        <v>42</v>
      </c>
      <c r="K1187" s="108" t="s">
        <v>202</v>
      </c>
      <c r="N1187" s="11" t="s">
        <v>95</v>
      </c>
      <c r="O1187" s="11" t="s">
        <v>44</v>
      </c>
      <c r="P1187" s="11" t="s">
        <v>44</v>
      </c>
      <c r="Q1187" s="11" t="s">
        <v>44</v>
      </c>
      <c r="R1187" s="11" t="s">
        <v>45</v>
      </c>
      <c r="S1187" s="11" t="s">
        <v>44</v>
      </c>
      <c r="T1187" s="11" t="s">
        <v>45</v>
      </c>
      <c r="U1187" s="11" t="s">
        <v>44</v>
      </c>
      <c r="W1187" s="11" t="s">
        <v>46</v>
      </c>
      <c r="X1187" s="11" t="s">
        <v>97</v>
      </c>
      <c r="Y1187" s="11" t="s">
        <v>97</v>
      </c>
      <c r="Z1187" s="11">
        <v>81988921498</v>
      </c>
      <c r="AA1187" s="11" t="s">
        <v>91</v>
      </c>
      <c r="AB1187" s="11"/>
      <c r="AC1187" s="11"/>
      <c r="AD1187" s="11" t="b">
        <v>0</v>
      </c>
      <c r="AF1187" s="11"/>
      <c r="AG1187" s="11"/>
      <c r="AH1187" s="11"/>
      <c r="AI1187" s="11"/>
    </row>
    <row r="1188" ht="12.5" spans="1:35">
      <c r="A1188" s="177">
        <v>45352.3741188773</v>
      </c>
      <c r="B1188" s="11" t="s">
        <v>2167</v>
      </c>
      <c r="C1188" s="19">
        <v>14640046413</v>
      </c>
      <c r="D1188" s="19">
        <v>898006177047124</v>
      </c>
      <c r="E1188" s="18" t="s">
        <v>3859</v>
      </c>
      <c r="F1188" s="11" t="s">
        <v>40</v>
      </c>
      <c r="G1188" s="11" t="s">
        <v>54</v>
      </c>
      <c r="H1188" s="24">
        <v>37004</v>
      </c>
      <c r="I1188" s="222">
        <v>45162</v>
      </c>
      <c r="J1188" s="11" t="s">
        <v>42</v>
      </c>
      <c r="K1188" s="108" t="s">
        <v>427</v>
      </c>
      <c r="N1188" s="11" t="s">
        <v>43</v>
      </c>
      <c r="O1188" s="11" t="s">
        <v>96</v>
      </c>
      <c r="P1188" s="11" t="s">
        <v>66</v>
      </c>
      <c r="Q1188" s="11" t="s">
        <v>45</v>
      </c>
      <c r="R1188" s="11" t="s">
        <v>44</v>
      </c>
      <c r="S1188" s="11" t="s">
        <v>45</v>
      </c>
      <c r="T1188" s="11" t="s">
        <v>44</v>
      </c>
      <c r="U1188" s="11" t="s">
        <v>45</v>
      </c>
      <c r="V1188" s="24">
        <v>45352</v>
      </c>
      <c r="W1188" s="11" t="s">
        <v>46</v>
      </c>
      <c r="X1188" s="254" t="s">
        <v>67</v>
      </c>
      <c r="Y1188" s="11" t="s">
        <v>68</v>
      </c>
      <c r="Z1188" s="11">
        <v>87999556188</v>
      </c>
      <c r="AA1188" s="11" t="s">
        <v>103</v>
      </c>
      <c r="AB1188" s="11" t="s">
        <v>49</v>
      </c>
      <c r="AC1188" s="11" t="s">
        <v>106</v>
      </c>
      <c r="AD1188" s="11" t="b">
        <v>0</v>
      </c>
      <c r="AE1188" s="11" t="s">
        <v>137</v>
      </c>
      <c r="AF1188" s="11" t="s">
        <v>3860</v>
      </c>
      <c r="AG1188" s="11"/>
      <c r="AH1188" s="11"/>
      <c r="AI1188" s="11"/>
    </row>
    <row r="1189" ht="12.5" spans="1:35">
      <c r="A1189" s="177">
        <v>45352.4380012037</v>
      </c>
      <c r="B1189" s="11" t="s">
        <v>3002</v>
      </c>
      <c r="C1189" s="277" t="s">
        <v>3003</v>
      </c>
      <c r="D1189" s="19">
        <v>700402456980442</v>
      </c>
      <c r="E1189" s="18" t="s">
        <v>3861</v>
      </c>
      <c r="F1189" s="11" t="s">
        <v>40</v>
      </c>
      <c r="G1189" s="11" t="s">
        <v>54</v>
      </c>
      <c r="H1189" s="24">
        <v>32231</v>
      </c>
      <c r="I1189" s="277" t="s">
        <v>3862</v>
      </c>
      <c r="J1189" s="11" t="s">
        <v>42</v>
      </c>
      <c r="K1189" s="108" t="s">
        <v>427</v>
      </c>
      <c r="N1189" s="11" t="s">
        <v>43</v>
      </c>
      <c r="O1189" s="11" t="s">
        <v>96</v>
      </c>
      <c r="P1189" s="11" t="s">
        <v>66</v>
      </c>
      <c r="Q1189" s="11" t="s">
        <v>44</v>
      </c>
      <c r="R1189" s="11" t="s">
        <v>45</v>
      </c>
      <c r="S1189" s="11" t="s">
        <v>44</v>
      </c>
      <c r="T1189" s="11" t="s">
        <v>44</v>
      </c>
      <c r="U1189" s="11" t="s">
        <v>45</v>
      </c>
      <c r="V1189" s="24">
        <v>45353</v>
      </c>
      <c r="W1189" s="11" t="s">
        <v>46</v>
      </c>
      <c r="X1189" s="11" t="s">
        <v>47</v>
      </c>
      <c r="Y1189" s="11" t="s">
        <v>58</v>
      </c>
      <c r="Z1189" s="11">
        <v>81981219447</v>
      </c>
      <c r="AA1189" s="11" t="s">
        <v>91</v>
      </c>
      <c r="AB1189" s="11" t="s">
        <v>49</v>
      </c>
      <c r="AC1189" s="11" t="s">
        <v>50</v>
      </c>
      <c r="AD1189" s="11" t="b">
        <v>0</v>
      </c>
      <c r="AF1189" s="11" t="s">
        <v>3863</v>
      </c>
      <c r="AG1189" s="11" t="s">
        <v>3864</v>
      </c>
      <c r="AH1189" s="11"/>
      <c r="AI1189" s="11"/>
    </row>
    <row r="1190" ht="12.5" spans="1:35">
      <c r="A1190" s="177">
        <v>45352.6813850231</v>
      </c>
      <c r="B1190" s="11" t="s">
        <v>3839</v>
      </c>
      <c r="C1190" s="19">
        <v>10793952450</v>
      </c>
      <c r="D1190" s="19">
        <v>707701685156210</v>
      </c>
      <c r="F1190" s="11" t="s">
        <v>40</v>
      </c>
      <c r="G1190" s="11" t="s">
        <v>54</v>
      </c>
      <c r="H1190" s="24">
        <v>34902</v>
      </c>
      <c r="I1190" s="277" t="s">
        <v>3841</v>
      </c>
      <c r="J1190" s="11" t="s">
        <v>42</v>
      </c>
      <c r="K1190" s="108" t="s">
        <v>202</v>
      </c>
      <c r="N1190" s="11" t="s">
        <v>95</v>
      </c>
      <c r="O1190" s="11" t="s">
        <v>44</v>
      </c>
      <c r="P1190" s="11" t="s">
        <v>44</v>
      </c>
      <c r="Q1190" s="11" t="s">
        <v>45</v>
      </c>
      <c r="R1190" s="11" t="s">
        <v>45</v>
      </c>
      <c r="S1190" s="11" t="s">
        <v>45</v>
      </c>
      <c r="T1190" s="11" t="s">
        <v>44</v>
      </c>
      <c r="U1190" s="11" t="s">
        <v>44</v>
      </c>
      <c r="W1190" s="11" t="s">
        <v>57</v>
      </c>
      <c r="X1190" s="11" t="s">
        <v>97</v>
      </c>
      <c r="Y1190" s="11" t="s">
        <v>97</v>
      </c>
      <c r="Z1190" s="11">
        <v>81985701664</v>
      </c>
      <c r="AA1190" s="11" t="s">
        <v>1360</v>
      </c>
      <c r="AB1190" s="11"/>
      <c r="AC1190" s="11"/>
      <c r="AD1190" s="11" t="b">
        <v>0</v>
      </c>
      <c r="AF1190" s="11"/>
      <c r="AG1190" s="11"/>
      <c r="AH1190" s="11"/>
      <c r="AI1190" s="11"/>
    </row>
    <row r="1191" ht="12.5" spans="1:35">
      <c r="A1191" s="177">
        <v>45352.6979753935</v>
      </c>
      <c r="B1191" s="11" t="s">
        <v>2167</v>
      </c>
      <c r="C1191" s="19">
        <v>14640046413</v>
      </c>
      <c r="D1191" s="19">
        <v>898006177047124</v>
      </c>
      <c r="F1191" s="11" t="s">
        <v>40</v>
      </c>
      <c r="G1191" s="11" t="s">
        <v>54</v>
      </c>
      <c r="H1191" s="24">
        <v>37004</v>
      </c>
      <c r="I1191" s="277" t="s">
        <v>2169</v>
      </c>
      <c r="J1191" s="11" t="s">
        <v>42</v>
      </c>
      <c r="K1191" s="108" t="s">
        <v>427</v>
      </c>
      <c r="N1191" s="11" t="s">
        <v>95</v>
      </c>
      <c r="O1191" s="11" t="s">
        <v>44</v>
      </c>
      <c r="P1191" s="11" t="s">
        <v>44</v>
      </c>
      <c r="Q1191" s="11" t="s">
        <v>45</v>
      </c>
      <c r="R1191" s="11" t="s">
        <v>44</v>
      </c>
      <c r="S1191" s="11" t="s">
        <v>45</v>
      </c>
      <c r="T1191" s="11" t="s">
        <v>44</v>
      </c>
      <c r="U1191" s="11" t="s">
        <v>45</v>
      </c>
      <c r="V1191" s="24">
        <v>45354</v>
      </c>
      <c r="W1191" s="11" t="s">
        <v>46</v>
      </c>
      <c r="X1191" s="11" t="s">
        <v>97</v>
      </c>
      <c r="Y1191" s="11" t="s">
        <v>97</v>
      </c>
      <c r="Z1191" s="11">
        <v>87999556188</v>
      </c>
      <c r="AA1191" s="11" t="s">
        <v>103</v>
      </c>
      <c r="AB1191" s="11" t="s">
        <v>49</v>
      </c>
      <c r="AC1191" s="11" t="s">
        <v>50</v>
      </c>
      <c r="AD1191" s="11" t="b">
        <v>0</v>
      </c>
      <c r="AF1191" s="11" t="s">
        <v>2869</v>
      </c>
      <c r="AG1191" s="214" t="s">
        <v>3865</v>
      </c>
      <c r="AH1191" s="11"/>
      <c r="AI1191" s="11"/>
    </row>
    <row r="1192" ht="12.5" spans="1:35">
      <c r="A1192" s="177">
        <v>45352.7593491782</v>
      </c>
      <c r="B1192" s="11" t="s">
        <v>3866</v>
      </c>
      <c r="C1192" s="19">
        <v>70713534419</v>
      </c>
      <c r="D1192" s="19">
        <v>702507371552632</v>
      </c>
      <c r="E1192" s="18" t="s">
        <v>3867</v>
      </c>
      <c r="F1192" s="11" t="s">
        <v>40</v>
      </c>
      <c r="G1192" s="11" t="s">
        <v>54</v>
      </c>
      <c r="H1192" s="24">
        <v>35218</v>
      </c>
      <c r="I1192" s="277" t="s">
        <v>3868</v>
      </c>
      <c r="J1192" s="11" t="s">
        <v>42</v>
      </c>
      <c r="K1192" s="108" t="s">
        <v>3869</v>
      </c>
      <c r="N1192" s="11" t="s">
        <v>43</v>
      </c>
      <c r="O1192" s="11" t="s">
        <v>44</v>
      </c>
      <c r="P1192" s="11" t="s">
        <v>44</v>
      </c>
      <c r="Q1192" s="11" t="s">
        <v>44</v>
      </c>
      <c r="R1192" s="11" t="s">
        <v>45</v>
      </c>
      <c r="S1192" s="11" t="s">
        <v>44</v>
      </c>
      <c r="T1192" s="11" t="s">
        <v>44</v>
      </c>
      <c r="U1192" s="11" t="s">
        <v>44</v>
      </c>
      <c r="W1192" s="11" t="s">
        <v>46</v>
      </c>
      <c r="X1192" s="11" t="s">
        <v>203</v>
      </c>
      <c r="Y1192" s="11" t="s">
        <v>58</v>
      </c>
      <c r="Z1192" s="11">
        <v>81973386673</v>
      </c>
      <c r="AA1192" s="11" t="s">
        <v>1360</v>
      </c>
      <c r="AB1192" s="11"/>
      <c r="AC1192" s="11"/>
      <c r="AD1192" s="11" t="b">
        <v>0</v>
      </c>
      <c r="AF1192" s="11"/>
      <c r="AG1192" s="11"/>
      <c r="AH1192" s="11"/>
      <c r="AI1192" s="11"/>
    </row>
    <row r="1193" ht="12.5" spans="1:35">
      <c r="A1193" s="177">
        <v>45353.3719468287</v>
      </c>
      <c r="B1193" s="11" t="s">
        <v>3870</v>
      </c>
      <c r="C1193" s="19">
        <v>71492471488</v>
      </c>
      <c r="D1193" s="19">
        <v>898003275844239</v>
      </c>
      <c r="E1193" s="18" t="s">
        <v>3871</v>
      </c>
      <c r="F1193" s="11" t="s">
        <v>40</v>
      </c>
      <c r="G1193" s="11" t="s">
        <v>54</v>
      </c>
      <c r="H1193" s="24">
        <v>38242</v>
      </c>
      <c r="I1193" s="277" t="s">
        <v>3872</v>
      </c>
      <c r="J1193" s="11" t="s">
        <v>42</v>
      </c>
      <c r="K1193" s="108" t="s">
        <v>282</v>
      </c>
      <c r="N1193" s="11" t="s">
        <v>43</v>
      </c>
      <c r="O1193" s="11" t="s">
        <v>96</v>
      </c>
      <c r="P1193" s="11" t="s">
        <v>66</v>
      </c>
      <c r="Q1193" s="11" t="s">
        <v>44</v>
      </c>
      <c r="R1193" s="11" t="s">
        <v>45</v>
      </c>
      <c r="S1193" s="11" t="s">
        <v>45</v>
      </c>
      <c r="T1193" s="11" t="s">
        <v>44</v>
      </c>
      <c r="U1193" s="11" t="s">
        <v>45</v>
      </c>
      <c r="V1193" s="24">
        <v>45355</v>
      </c>
      <c r="W1193" s="11" t="s">
        <v>46</v>
      </c>
      <c r="X1193" s="11" t="s">
        <v>303</v>
      </c>
      <c r="Y1193" s="11" t="s">
        <v>58</v>
      </c>
      <c r="Z1193" s="11">
        <v>81983688294</v>
      </c>
      <c r="AA1193" s="11" t="s">
        <v>115</v>
      </c>
      <c r="AB1193" s="11" t="s">
        <v>49</v>
      </c>
      <c r="AC1193" s="11" t="s">
        <v>84</v>
      </c>
      <c r="AD1193" s="11" t="b">
        <v>1</v>
      </c>
      <c r="AE1193" s="11" t="s">
        <v>137</v>
      </c>
      <c r="AF1193" s="11" t="s">
        <v>3873</v>
      </c>
      <c r="AG1193" s="11"/>
      <c r="AH1193" s="11"/>
      <c r="AI1193" s="11"/>
    </row>
    <row r="1194" ht="12.5" spans="1:35">
      <c r="A1194" s="177">
        <v>45353.3986921528</v>
      </c>
      <c r="B1194" s="11" t="s">
        <v>3653</v>
      </c>
      <c r="C1194" s="19">
        <v>10717354466</v>
      </c>
      <c r="D1194" s="19">
        <v>703004884010476</v>
      </c>
      <c r="E1194" s="18" t="s">
        <v>3874</v>
      </c>
      <c r="F1194" s="11" t="s">
        <v>225</v>
      </c>
      <c r="G1194" s="11" t="s">
        <v>54</v>
      </c>
      <c r="H1194" s="24">
        <v>38672</v>
      </c>
      <c r="I1194" s="19" t="s">
        <v>865</v>
      </c>
      <c r="J1194" s="11" t="s">
        <v>42</v>
      </c>
      <c r="K1194" s="108" t="s">
        <v>3875</v>
      </c>
      <c r="N1194" s="11" t="s">
        <v>43</v>
      </c>
      <c r="O1194" s="11" t="s">
        <v>44</v>
      </c>
      <c r="P1194" s="11" t="s">
        <v>44</v>
      </c>
      <c r="Q1194" s="11" t="s">
        <v>44</v>
      </c>
      <c r="R1194" s="11" t="s">
        <v>44</v>
      </c>
      <c r="S1194" s="11" t="s">
        <v>45</v>
      </c>
      <c r="T1194" s="11" t="s">
        <v>44</v>
      </c>
      <c r="U1194" s="11" t="s">
        <v>44</v>
      </c>
      <c r="W1194" s="11" t="s">
        <v>46</v>
      </c>
      <c r="X1194" s="11" t="s">
        <v>303</v>
      </c>
      <c r="Y1194" s="11" t="s">
        <v>97</v>
      </c>
      <c r="Z1194" s="11">
        <v>81973074593</v>
      </c>
      <c r="AA1194" s="11" t="s">
        <v>115</v>
      </c>
      <c r="AB1194" s="11"/>
      <c r="AC1194" s="11"/>
      <c r="AD1194" s="11" t="b">
        <v>0</v>
      </c>
      <c r="AF1194" s="11"/>
      <c r="AG1194" s="11"/>
      <c r="AH1194" s="11"/>
      <c r="AI1194" s="11"/>
    </row>
    <row r="1195" ht="12.5" spans="1:35">
      <c r="A1195" s="177">
        <v>45353.4977546065</v>
      </c>
      <c r="B1195" s="11" t="s">
        <v>2739</v>
      </c>
      <c r="C1195" s="19">
        <v>13114627404</v>
      </c>
      <c r="D1195" s="19">
        <v>209964255210002</v>
      </c>
      <c r="E1195" s="18" t="s">
        <v>3876</v>
      </c>
      <c r="F1195" s="11" t="s">
        <v>225</v>
      </c>
      <c r="G1195" s="11" t="s">
        <v>54</v>
      </c>
      <c r="H1195" s="24">
        <v>36120</v>
      </c>
      <c r="I1195" s="277" t="s">
        <v>2415</v>
      </c>
      <c r="J1195" s="11" t="s">
        <v>42</v>
      </c>
      <c r="K1195" s="108" t="s">
        <v>1403</v>
      </c>
      <c r="N1195" s="11" t="s">
        <v>43</v>
      </c>
      <c r="O1195" s="11" t="s">
        <v>44</v>
      </c>
      <c r="P1195" s="11" t="s">
        <v>44</v>
      </c>
      <c r="Q1195" s="11" t="s">
        <v>44</v>
      </c>
      <c r="R1195" s="11" t="s">
        <v>45</v>
      </c>
      <c r="S1195" s="11" t="s">
        <v>45</v>
      </c>
      <c r="T1195" s="11" t="s">
        <v>44</v>
      </c>
      <c r="U1195" s="11" t="s">
        <v>45</v>
      </c>
      <c r="V1195" s="24">
        <v>45353</v>
      </c>
      <c r="W1195" s="11" t="s">
        <v>46</v>
      </c>
      <c r="X1195" s="11" t="s">
        <v>303</v>
      </c>
      <c r="Y1195" s="11" t="s">
        <v>58</v>
      </c>
      <c r="Z1195" s="11">
        <v>81973172221</v>
      </c>
      <c r="AA1195" s="11" t="s">
        <v>115</v>
      </c>
      <c r="AB1195" s="11" t="s">
        <v>49</v>
      </c>
      <c r="AC1195" s="11" t="s">
        <v>50</v>
      </c>
      <c r="AD1195" s="11" t="b">
        <v>0</v>
      </c>
      <c r="AF1195" s="11" t="s">
        <v>3877</v>
      </c>
      <c r="AG1195" s="11"/>
      <c r="AH1195" s="11"/>
      <c r="AI1195" s="11"/>
    </row>
    <row r="1196" ht="12.5" spans="1:35">
      <c r="A1196" s="177">
        <v>45353.6024953125</v>
      </c>
      <c r="B1196" s="11" t="s">
        <v>3002</v>
      </c>
      <c r="C1196" s="277" t="s">
        <v>3003</v>
      </c>
      <c r="D1196" s="19">
        <v>700402456980442</v>
      </c>
      <c r="F1196" s="11" t="s">
        <v>40</v>
      </c>
      <c r="G1196" s="11" t="s">
        <v>54</v>
      </c>
      <c r="H1196" s="24">
        <v>32231</v>
      </c>
      <c r="I1196" s="277" t="s">
        <v>3862</v>
      </c>
      <c r="J1196" s="11" t="s">
        <v>42</v>
      </c>
      <c r="K1196" s="108" t="s">
        <v>427</v>
      </c>
      <c r="N1196" s="11" t="s">
        <v>95</v>
      </c>
      <c r="O1196" s="11" t="s">
        <v>44</v>
      </c>
      <c r="P1196" s="11" t="s">
        <v>44</v>
      </c>
      <c r="Q1196" s="11" t="s">
        <v>44</v>
      </c>
      <c r="R1196" s="11" t="s">
        <v>45</v>
      </c>
      <c r="S1196" s="11" t="s">
        <v>45</v>
      </c>
      <c r="T1196" s="11" t="s">
        <v>44</v>
      </c>
      <c r="U1196" s="11" t="s">
        <v>45</v>
      </c>
      <c r="V1196" s="24">
        <v>45355</v>
      </c>
      <c r="W1196" s="11" t="s">
        <v>57</v>
      </c>
      <c r="X1196" s="11" t="s">
        <v>97</v>
      </c>
      <c r="Y1196" s="11" t="s">
        <v>97</v>
      </c>
      <c r="Z1196" s="11">
        <v>81981219447</v>
      </c>
      <c r="AA1196" s="11" t="s">
        <v>115</v>
      </c>
      <c r="AB1196" s="11" t="s">
        <v>49</v>
      </c>
      <c r="AC1196" s="11" t="s">
        <v>106</v>
      </c>
      <c r="AD1196" s="11" t="b">
        <v>1</v>
      </c>
      <c r="AE1196" s="11" t="s">
        <v>137</v>
      </c>
      <c r="AF1196" s="11" t="s">
        <v>3878</v>
      </c>
      <c r="AG1196" s="11"/>
      <c r="AH1196" s="11"/>
      <c r="AI1196" s="11"/>
    </row>
    <row r="1197" ht="12.5" spans="1:35">
      <c r="A1197" s="177">
        <v>45353.6323396875</v>
      </c>
      <c r="B1197" s="11" t="s">
        <v>2739</v>
      </c>
      <c r="C1197" s="19">
        <v>13114627404</v>
      </c>
      <c r="D1197" s="19">
        <v>209964255210002</v>
      </c>
      <c r="E1197" s="18" t="s">
        <v>3876</v>
      </c>
      <c r="F1197" s="11" t="s">
        <v>225</v>
      </c>
      <c r="G1197" s="11" t="s">
        <v>54</v>
      </c>
      <c r="H1197" s="24">
        <v>36120</v>
      </c>
      <c r="I1197" s="277" t="s">
        <v>2415</v>
      </c>
      <c r="J1197" s="11" t="s">
        <v>42</v>
      </c>
      <c r="K1197" s="108" t="s">
        <v>1403</v>
      </c>
      <c r="N1197" s="11" t="s">
        <v>95</v>
      </c>
      <c r="O1197" s="11" t="s">
        <v>96</v>
      </c>
      <c r="P1197" s="11" t="s">
        <v>66</v>
      </c>
      <c r="Q1197" s="11" t="s">
        <v>44</v>
      </c>
      <c r="R1197" s="11" t="s">
        <v>45</v>
      </c>
      <c r="S1197" s="11" t="s">
        <v>45</v>
      </c>
      <c r="T1197" s="11" t="s">
        <v>44</v>
      </c>
      <c r="U1197" s="11" t="s">
        <v>45</v>
      </c>
      <c r="V1197" s="24">
        <v>45354</v>
      </c>
      <c r="W1197" s="11" t="s">
        <v>46</v>
      </c>
      <c r="X1197" s="11" t="s">
        <v>97</v>
      </c>
      <c r="Y1197" s="11" t="s">
        <v>97</v>
      </c>
      <c r="Z1197" s="11">
        <v>81973172221</v>
      </c>
      <c r="AA1197" s="11" t="s">
        <v>115</v>
      </c>
      <c r="AB1197" s="11" t="s">
        <v>98</v>
      </c>
      <c r="AC1197" s="11"/>
      <c r="AD1197" s="11" t="b">
        <v>0</v>
      </c>
      <c r="AF1197" s="75" t="s">
        <v>3879</v>
      </c>
      <c r="AG1197" s="11"/>
      <c r="AH1197" s="11"/>
      <c r="AI1197" s="11"/>
    </row>
    <row r="1198" ht="12.5" spans="1:35">
      <c r="A1198" s="177">
        <v>45353.7607179861</v>
      </c>
      <c r="B1198" s="11" t="s">
        <v>3880</v>
      </c>
      <c r="C1198" s="19">
        <v>71662525451</v>
      </c>
      <c r="D1198" s="19">
        <v>700400904372244</v>
      </c>
      <c r="E1198" s="18" t="s">
        <v>3881</v>
      </c>
      <c r="F1198" s="11" t="s">
        <v>225</v>
      </c>
      <c r="G1198" s="11" t="s">
        <v>54</v>
      </c>
      <c r="H1198" s="24">
        <v>37826</v>
      </c>
      <c r="I1198" s="19" t="s">
        <v>865</v>
      </c>
      <c r="J1198" s="11" t="s">
        <v>42</v>
      </c>
      <c r="K1198" s="108" t="s">
        <v>74</v>
      </c>
      <c r="N1198" s="11" t="s">
        <v>43</v>
      </c>
      <c r="O1198" s="11" t="s">
        <v>44</v>
      </c>
      <c r="P1198" s="11" t="s">
        <v>56</v>
      </c>
      <c r="Q1198" s="11" t="s">
        <v>44</v>
      </c>
      <c r="R1198" s="11" t="s">
        <v>45</v>
      </c>
      <c r="S1198" s="11" t="s">
        <v>45</v>
      </c>
      <c r="T1198" s="11" t="s">
        <v>44</v>
      </c>
      <c r="U1198" s="11" t="s">
        <v>45</v>
      </c>
      <c r="V1198" s="24">
        <v>45355</v>
      </c>
      <c r="W1198" s="11" t="s">
        <v>46</v>
      </c>
      <c r="X1198" s="11" t="s">
        <v>303</v>
      </c>
      <c r="Y1198" s="11" t="s">
        <v>58</v>
      </c>
      <c r="Z1198" s="11">
        <v>81983895897</v>
      </c>
      <c r="AA1198" s="11" t="s">
        <v>115</v>
      </c>
      <c r="AB1198" s="11" t="s">
        <v>98</v>
      </c>
      <c r="AC1198" s="11"/>
      <c r="AD1198" s="11" t="b">
        <v>0</v>
      </c>
      <c r="AF1198" s="11" t="s">
        <v>3882</v>
      </c>
      <c r="AG1198" s="11" t="s">
        <v>3883</v>
      </c>
      <c r="AH1198" s="11"/>
      <c r="AI1198" s="11"/>
    </row>
    <row r="1199" ht="12.5" spans="1:35">
      <c r="A1199" s="177">
        <v>45354.3932995139</v>
      </c>
      <c r="B1199" s="11" t="s">
        <v>1452</v>
      </c>
      <c r="C1199" s="19">
        <v>14825985408</v>
      </c>
      <c r="D1199" s="19">
        <v>703008821547875</v>
      </c>
      <c r="E1199" s="18" t="s">
        <v>3884</v>
      </c>
      <c r="F1199" s="11" t="s">
        <v>40</v>
      </c>
      <c r="G1199" s="11" t="s">
        <v>54</v>
      </c>
      <c r="H1199" s="24">
        <v>38106</v>
      </c>
      <c r="I1199" s="277" t="s">
        <v>3416</v>
      </c>
      <c r="J1199" s="11" t="s">
        <v>42</v>
      </c>
      <c r="K1199" s="108" t="s">
        <v>63</v>
      </c>
      <c r="N1199" s="11" t="s">
        <v>43</v>
      </c>
      <c r="O1199" s="11" t="s">
        <v>65</v>
      </c>
      <c r="P1199" s="11" t="s">
        <v>66</v>
      </c>
      <c r="Q1199" s="11" t="s">
        <v>45</v>
      </c>
      <c r="R1199" s="11" t="s">
        <v>45</v>
      </c>
      <c r="S1199" s="11" t="s">
        <v>45</v>
      </c>
      <c r="T1199" s="11" t="s">
        <v>44</v>
      </c>
      <c r="U1199" s="11" t="s">
        <v>45</v>
      </c>
      <c r="V1199" s="24">
        <v>45355</v>
      </c>
      <c r="W1199" s="11" t="s">
        <v>46</v>
      </c>
      <c r="X1199" s="259" t="s">
        <v>156</v>
      </c>
      <c r="Y1199" s="11" t="s">
        <v>58</v>
      </c>
      <c r="Z1199" s="11">
        <v>81987368493</v>
      </c>
      <c r="AA1199" s="11" t="s">
        <v>115</v>
      </c>
      <c r="AB1199" s="11" t="s">
        <v>98</v>
      </c>
      <c r="AC1199" s="11"/>
      <c r="AD1199" s="11" t="b">
        <v>0</v>
      </c>
      <c r="AF1199" s="11" t="s">
        <v>3885</v>
      </c>
      <c r="AG1199" s="11" t="s">
        <v>3886</v>
      </c>
      <c r="AH1199" s="11"/>
      <c r="AI1199" s="11"/>
    </row>
    <row r="1200" ht="12.5" spans="1:35">
      <c r="A1200" s="177">
        <v>45354.6487227431</v>
      </c>
      <c r="B1200" s="11" t="s">
        <v>2167</v>
      </c>
      <c r="C1200" s="19">
        <v>14640046413</v>
      </c>
      <c r="D1200" s="19">
        <v>898006177047124</v>
      </c>
      <c r="F1200" s="11" t="s">
        <v>40</v>
      </c>
      <c r="G1200" s="11" t="s">
        <v>54</v>
      </c>
      <c r="H1200" s="24">
        <v>37004</v>
      </c>
      <c r="I1200" s="277" t="s">
        <v>2169</v>
      </c>
      <c r="J1200" s="11" t="s">
        <v>42</v>
      </c>
      <c r="K1200" s="108" t="s">
        <v>427</v>
      </c>
      <c r="N1200" s="11" t="s">
        <v>95</v>
      </c>
      <c r="O1200" s="11" t="s">
        <v>44</v>
      </c>
      <c r="P1200" s="11" t="s">
        <v>44</v>
      </c>
      <c r="Q1200" s="11" t="s">
        <v>44</v>
      </c>
      <c r="R1200" s="11" t="s">
        <v>44</v>
      </c>
      <c r="S1200" s="11" t="s">
        <v>45</v>
      </c>
      <c r="T1200" s="11" t="s">
        <v>44</v>
      </c>
      <c r="U1200" s="11" t="s">
        <v>45</v>
      </c>
      <c r="V1200" s="24">
        <v>45356</v>
      </c>
      <c r="W1200" s="11" t="s">
        <v>57</v>
      </c>
      <c r="X1200" s="11" t="s">
        <v>97</v>
      </c>
      <c r="Y1200" s="11" t="s">
        <v>97</v>
      </c>
      <c r="Z1200" s="11">
        <v>87999556188</v>
      </c>
      <c r="AA1200" s="11" t="s">
        <v>115</v>
      </c>
      <c r="AB1200" s="11" t="s">
        <v>98</v>
      </c>
      <c r="AC1200" s="11"/>
      <c r="AD1200" s="11" t="b">
        <v>0</v>
      </c>
      <c r="AF1200" s="11" t="s">
        <v>3887</v>
      </c>
      <c r="AG1200" s="11" t="s">
        <v>3888</v>
      </c>
      <c r="AH1200" s="11" t="s">
        <v>3889</v>
      </c>
      <c r="AI1200" s="11"/>
    </row>
    <row r="1201" ht="12.5" spans="1:35">
      <c r="A1201" s="177">
        <v>45355.362512963</v>
      </c>
      <c r="B1201" s="11" t="s">
        <v>3890</v>
      </c>
      <c r="C1201" s="19">
        <v>71492471488</v>
      </c>
      <c r="D1201" s="19">
        <v>898003275844239</v>
      </c>
      <c r="E1201" s="18" t="s">
        <v>3891</v>
      </c>
      <c r="F1201" s="11" t="s">
        <v>40</v>
      </c>
      <c r="G1201" s="11" t="s">
        <v>54</v>
      </c>
      <c r="H1201" s="24">
        <v>38242</v>
      </c>
      <c r="I1201" s="277" t="s">
        <v>3872</v>
      </c>
      <c r="J1201" s="11" t="s">
        <v>42</v>
      </c>
      <c r="K1201" s="108" t="s">
        <v>282</v>
      </c>
      <c r="N1201" s="11" t="s">
        <v>95</v>
      </c>
      <c r="O1201" s="11" t="s">
        <v>44</v>
      </c>
      <c r="P1201" s="11" t="s">
        <v>44</v>
      </c>
      <c r="Q1201" s="11" t="s">
        <v>44</v>
      </c>
      <c r="R1201" s="11" t="s">
        <v>45</v>
      </c>
      <c r="S1201" s="11" t="s">
        <v>45</v>
      </c>
      <c r="T1201" s="11" t="s">
        <v>44</v>
      </c>
      <c r="U1201" s="11" t="s">
        <v>45</v>
      </c>
      <c r="V1201" s="24">
        <v>45360</v>
      </c>
      <c r="W1201" s="11" t="s">
        <v>46</v>
      </c>
      <c r="X1201" s="11" t="s">
        <v>97</v>
      </c>
      <c r="Y1201" s="11" t="s">
        <v>97</v>
      </c>
      <c r="Z1201" s="11">
        <v>81983688294</v>
      </c>
      <c r="AA1201" s="11" t="s">
        <v>105</v>
      </c>
      <c r="AB1201" s="11" t="s">
        <v>49</v>
      </c>
      <c r="AC1201" s="11" t="s">
        <v>3892</v>
      </c>
      <c r="AD1201" s="11" t="b">
        <v>1</v>
      </c>
      <c r="AE1201" s="11" t="s">
        <v>137</v>
      </c>
      <c r="AF1201" s="11" t="s">
        <v>3893</v>
      </c>
      <c r="AG1201" s="11"/>
      <c r="AH1201" s="11" t="s">
        <v>3894</v>
      </c>
      <c r="AI1201" s="11"/>
    </row>
    <row r="1202" ht="12.5" spans="1:35">
      <c r="A1202" s="177">
        <v>45355.3800410995</v>
      </c>
      <c r="B1202" s="11" t="s">
        <v>3895</v>
      </c>
      <c r="C1202" s="19">
        <v>70528685473</v>
      </c>
      <c r="D1202" s="19">
        <v>706705540068510</v>
      </c>
      <c r="E1202" s="18" t="s">
        <v>3896</v>
      </c>
      <c r="F1202" s="11" t="s">
        <v>40</v>
      </c>
      <c r="G1202" s="11" t="s">
        <v>88</v>
      </c>
      <c r="H1202" s="24">
        <v>35951</v>
      </c>
      <c r="I1202" s="277" t="s">
        <v>3897</v>
      </c>
      <c r="J1202" s="11" t="s">
        <v>42</v>
      </c>
      <c r="K1202" s="108" t="s">
        <v>399</v>
      </c>
      <c r="N1202" s="11" t="s">
        <v>43</v>
      </c>
      <c r="O1202" s="11" t="s">
        <v>44</v>
      </c>
      <c r="P1202" s="11" t="s">
        <v>44</v>
      </c>
      <c r="Q1202" s="11" t="s">
        <v>44</v>
      </c>
      <c r="R1202" s="11" t="s">
        <v>45</v>
      </c>
      <c r="S1202" s="11" t="s">
        <v>45</v>
      </c>
      <c r="T1202" s="11" t="s">
        <v>44</v>
      </c>
      <c r="U1202" s="11" t="s">
        <v>44</v>
      </c>
      <c r="W1202" s="11" t="s">
        <v>46</v>
      </c>
      <c r="X1202" s="259" t="s">
        <v>156</v>
      </c>
      <c r="Y1202" s="11" t="s">
        <v>58</v>
      </c>
      <c r="Z1202" s="11">
        <v>81998371130</v>
      </c>
      <c r="AA1202" s="11" t="s">
        <v>1360</v>
      </c>
      <c r="AB1202" s="11"/>
      <c r="AC1202" s="11"/>
      <c r="AD1202" s="11" t="b">
        <v>0</v>
      </c>
      <c r="AF1202" s="11"/>
      <c r="AG1202" s="11"/>
      <c r="AH1202" s="11"/>
      <c r="AI1202" s="11"/>
    </row>
    <row r="1203" ht="12.5" spans="1:35">
      <c r="A1203" s="177">
        <v>45355.4108372106</v>
      </c>
      <c r="B1203" s="11" t="s">
        <v>3002</v>
      </c>
      <c r="C1203" s="277" t="s">
        <v>3003</v>
      </c>
      <c r="D1203" s="19">
        <v>700402456980442</v>
      </c>
      <c r="F1203" s="11" t="s">
        <v>40</v>
      </c>
      <c r="G1203" s="11" t="s">
        <v>54</v>
      </c>
      <c r="H1203" s="24">
        <v>32231</v>
      </c>
      <c r="I1203" s="277" t="s">
        <v>3862</v>
      </c>
      <c r="J1203" s="11" t="s">
        <v>42</v>
      </c>
      <c r="K1203" s="108" t="s">
        <v>427</v>
      </c>
      <c r="N1203" s="11" t="s">
        <v>95</v>
      </c>
      <c r="O1203" s="11" t="s">
        <v>44</v>
      </c>
      <c r="P1203" s="11" t="s">
        <v>44</v>
      </c>
      <c r="Q1203" s="11" t="s">
        <v>44</v>
      </c>
      <c r="R1203" s="11" t="s">
        <v>45</v>
      </c>
      <c r="S1203" s="11" t="s">
        <v>45</v>
      </c>
      <c r="T1203" s="11" t="s">
        <v>44</v>
      </c>
      <c r="U1203" s="11" t="s">
        <v>45</v>
      </c>
      <c r="V1203" s="24">
        <v>45356</v>
      </c>
      <c r="W1203" s="11" t="s">
        <v>46</v>
      </c>
      <c r="X1203" s="11" t="s">
        <v>97</v>
      </c>
      <c r="Y1203" s="11" t="s">
        <v>97</v>
      </c>
      <c r="Z1203" s="11">
        <v>81981219447</v>
      </c>
      <c r="AA1203" s="11" t="s">
        <v>103</v>
      </c>
      <c r="AB1203" s="11" t="s">
        <v>49</v>
      </c>
      <c r="AC1203" s="11" t="s">
        <v>106</v>
      </c>
      <c r="AD1203" s="11" t="b">
        <v>1</v>
      </c>
      <c r="AE1203" s="11" t="s">
        <v>137</v>
      </c>
      <c r="AF1203" s="11" t="s">
        <v>3898</v>
      </c>
      <c r="AG1203" s="11"/>
      <c r="AH1203" s="11"/>
      <c r="AI1203" s="11"/>
    </row>
    <row r="1204" ht="12.5" spans="1:35">
      <c r="A1204" s="177">
        <v>45355.4507847338</v>
      </c>
      <c r="B1204" s="11" t="s">
        <v>3141</v>
      </c>
      <c r="C1204" s="19">
        <v>71053651457</v>
      </c>
      <c r="D1204" s="19">
        <v>706700704298020</v>
      </c>
      <c r="E1204" s="18" t="s">
        <v>3899</v>
      </c>
      <c r="F1204" s="11" t="s">
        <v>40</v>
      </c>
      <c r="G1204" s="11" t="s">
        <v>54</v>
      </c>
      <c r="H1204" s="24">
        <v>38065</v>
      </c>
      <c r="I1204" s="277" t="s">
        <v>1788</v>
      </c>
      <c r="J1204" s="11" t="s">
        <v>438</v>
      </c>
      <c r="K1204" s="108"/>
      <c r="M1204" s="11" t="s">
        <v>1669</v>
      </c>
      <c r="N1204" s="11" t="s">
        <v>43</v>
      </c>
      <c r="O1204" s="11" t="s">
        <v>44</v>
      </c>
      <c r="P1204" s="11" t="s">
        <v>44</v>
      </c>
      <c r="Q1204" s="11" t="s">
        <v>45</v>
      </c>
      <c r="R1204" s="11" t="s">
        <v>45</v>
      </c>
      <c r="S1204" s="11" t="s">
        <v>45</v>
      </c>
      <c r="T1204" s="11" t="s">
        <v>44</v>
      </c>
      <c r="U1204" s="11" t="s">
        <v>45</v>
      </c>
      <c r="V1204" s="24">
        <v>45356</v>
      </c>
      <c r="W1204" s="11" t="s">
        <v>46</v>
      </c>
      <c r="X1204" s="11" t="s">
        <v>47</v>
      </c>
      <c r="Y1204" s="11" t="s">
        <v>58</v>
      </c>
      <c r="Z1204" s="11">
        <v>81988623208</v>
      </c>
      <c r="AA1204" s="11" t="s">
        <v>105</v>
      </c>
      <c r="AB1204" s="11" t="s">
        <v>49</v>
      </c>
      <c r="AC1204" s="11" t="s">
        <v>84</v>
      </c>
      <c r="AD1204" s="11" t="b">
        <v>1</v>
      </c>
      <c r="AE1204" s="11" t="s">
        <v>137</v>
      </c>
      <c r="AF1204" s="11" t="s">
        <v>3900</v>
      </c>
      <c r="AG1204" s="11" t="s">
        <v>3901</v>
      </c>
      <c r="AH1204" s="11"/>
      <c r="AI1204" s="11"/>
    </row>
    <row r="1205" ht="12.5" spans="1:35">
      <c r="A1205" s="177">
        <v>45355.4877132407</v>
      </c>
      <c r="B1205" s="11" t="s">
        <v>2946</v>
      </c>
      <c r="C1205" s="19">
        <v>9099317476</v>
      </c>
      <c r="D1205" s="19">
        <v>702603216645547</v>
      </c>
      <c r="E1205" s="18" t="s">
        <v>3902</v>
      </c>
      <c r="F1205" s="11" t="s">
        <v>40</v>
      </c>
      <c r="G1205" s="11" t="s">
        <v>54</v>
      </c>
      <c r="H1205" s="24">
        <v>33487</v>
      </c>
      <c r="I1205" s="277" t="s">
        <v>3001</v>
      </c>
      <c r="J1205" s="11" t="s">
        <v>42</v>
      </c>
      <c r="K1205" s="108" t="s">
        <v>3903</v>
      </c>
      <c r="N1205" s="11" t="s">
        <v>43</v>
      </c>
      <c r="O1205" s="11" t="s">
        <v>44</v>
      </c>
      <c r="P1205" s="11" t="s">
        <v>44</v>
      </c>
      <c r="Q1205" s="11" t="s">
        <v>44</v>
      </c>
      <c r="R1205" s="11" t="s">
        <v>45</v>
      </c>
      <c r="S1205" s="11" t="s">
        <v>45</v>
      </c>
      <c r="T1205" s="11" t="s">
        <v>44</v>
      </c>
      <c r="U1205" s="11" t="s">
        <v>44</v>
      </c>
      <c r="W1205" s="11" t="s">
        <v>46</v>
      </c>
      <c r="X1205" s="11" t="s">
        <v>47</v>
      </c>
      <c r="Y1205" s="11" t="s">
        <v>58</v>
      </c>
      <c r="Z1205" s="11">
        <v>81985881505</v>
      </c>
      <c r="AA1205" s="11" t="s">
        <v>1360</v>
      </c>
      <c r="AB1205" s="11"/>
      <c r="AC1205" s="11"/>
      <c r="AD1205" s="11" t="b">
        <v>0</v>
      </c>
      <c r="AF1205" s="11"/>
      <c r="AG1205" s="11"/>
      <c r="AH1205" s="11"/>
      <c r="AI1205" s="11"/>
    </row>
    <row r="1206" ht="12.5" spans="1:35">
      <c r="A1206" s="177">
        <v>45355.6134762847</v>
      </c>
      <c r="B1206" s="11" t="s">
        <v>3130</v>
      </c>
      <c r="C1206" s="277" t="s">
        <v>3131</v>
      </c>
      <c r="D1206" s="205">
        <v>704605631258422</v>
      </c>
      <c r="E1206" s="18" t="s">
        <v>3904</v>
      </c>
      <c r="F1206" s="11" t="s">
        <v>225</v>
      </c>
      <c r="G1206" s="11" t="s">
        <v>88</v>
      </c>
      <c r="H1206" s="24">
        <v>33501</v>
      </c>
      <c r="I1206" s="277" t="s">
        <v>1934</v>
      </c>
      <c r="J1206" s="11" t="s">
        <v>42</v>
      </c>
      <c r="K1206" s="108" t="s">
        <v>3905</v>
      </c>
      <c r="N1206" s="11" t="s">
        <v>43</v>
      </c>
      <c r="O1206" s="11" t="s">
        <v>44</v>
      </c>
      <c r="P1206" s="11" t="s">
        <v>44</v>
      </c>
      <c r="Q1206" s="11" t="s">
        <v>44</v>
      </c>
      <c r="R1206" s="11" t="s">
        <v>45</v>
      </c>
      <c r="S1206" s="11" t="s">
        <v>45</v>
      </c>
      <c r="T1206" s="11" t="s">
        <v>44</v>
      </c>
      <c r="U1206" s="11" t="s">
        <v>44</v>
      </c>
      <c r="W1206" s="11" t="s">
        <v>46</v>
      </c>
      <c r="X1206" s="11" t="s">
        <v>47</v>
      </c>
      <c r="Y1206" s="11" t="s">
        <v>58</v>
      </c>
      <c r="Z1206" s="11">
        <v>81998610345</v>
      </c>
      <c r="AA1206" s="11" t="s">
        <v>1360</v>
      </c>
      <c r="AB1206" s="11"/>
      <c r="AC1206" s="11"/>
      <c r="AD1206" s="11" t="b">
        <v>0</v>
      </c>
      <c r="AF1206" s="11"/>
      <c r="AG1206" s="11"/>
      <c r="AH1206" s="11"/>
      <c r="AI1206" s="11"/>
    </row>
    <row r="1207" ht="12.5" spans="1:35">
      <c r="A1207" s="177">
        <v>45356.3481333681</v>
      </c>
      <c r="B1207" s="11" t="s">
        <v>2592</v>
      </c>
      <c r="C1207" s="19">
        <v>15953902433</v>
      </c>
      <c r="D1207" s="19">
        <v>706505362955291</v>
      </c>
      <c r="E1207" s="18" t="s">
        <v>3906</v>
      </c>
      <c r="F1207" s="11" t="s">
        <v>40</v>
      </c>
      <c r="G1207" s="11" t="s">
        <v>54</v>
      </c>
      <c r="H1207" s="24">
        <v>37076</v>
      </c>
      <c r="I1207" s="277" t="s">
        <v>2594</v>
      </c>
      <c r="J1207" s="11" t="s">
        <v>42</v>
      </c>
      <c r="K1207" s="108" t="s">
        <v>427</v>
      </c>
      <c r="N1207" s="11" t="s">
        <v>43</v>
      </c>
      <c r="O1207" s="11" t="s">
        <v>96</v>
      </c>
      <c r="P1207" s="11" t="s">
        <v>56</v>
      </c>
      <c r="Q1207" s="11" t="s">
        <v>44</v>
      </c>
      <c r="R1207" s="11" t="s">
        <v>45</v>
      </c>
      <c r="S1207" s="11" t="s">
        <v>45</v>
      </c>
      <c r="T1207" s="11" t="s">
        <v>44</v>
      </c>
      <c r="U1207" s="11" t="s">
        <v>45</v>
      </c>
      <c r="V1207" s="24">
        <v>45357</v>
      </c>
      <c r="W1207" s="11" t="s">
        <v>46</v>
      </c>
      <c r="X1207" s="254" t="s">
        <v>67</v>
      </c>
      <c r="Y1207" s="11" t="s">
        <v>58</v>
      </c>
      <c r="Z1207" s="11">
        <v>81986394297</v>
      </c>
      <c r="AA1207" s="11" t="s">
        <v>115</v>
      </c>
      <c r="AB1207" s="11" t="s">
        <v>98</v>
      </c>
      <c r="AC1207" s="11"/>
      <c r="AD1207" s="11" t="b">
        <v>0</v>
      </c>
      <c r="AF1207" s="11" t="s">
        <v>3907</v>
      </c>
      <c r="AG1207" s="11"/>
      <c r="AH1207" s="11"/>
      <c r="AI1207" s="11"/>
    </row>
    <row r="1208" ht="12.5" spans="1:35">
      <c r="A1208" s="177">
        <v>45356.3980305903</v>
      </c>
      <c r="B1208" s="11" t="s">
        <v>3002</v>
      </c>
      <c r="C1208" s="277" t="s">
        <v>3003</v>
      </c>
      <c r="D1208" s="19">
        <v>700402456980442</v>
      </c>
      <c r="E1208" s="18" t="s">
        <v>3908</v>
      </c>
      <c r="F1208" s="11" t="s">
        <v>40</v>
      </c>
      <c r="G1208" s="11" t="s">
        <v>54</v>
      </c>
      <c r="H1208" s="24">
        <v>32231</v>
      </c>
      <c r="I1208" s="277" t="s">
        <v>3862</v>
      </c>
      <c r="J1208" s="11" t="s">
        <v>42</v>
      </c>
      <c r="K1208" s="108" t="s">
        <v>427</v>
      </c>
      <c r="N1208" s="11" t="s">
        <v>95</v>
      </c>
      <c r="O1208" s="11" t="s">
        <v>44</v>
      </c>
      <c r="P1208" s="11" t="s">
        <v>44</v>
      </c>
      <c r="Q1208" s="11" t="s">
        <v>44</v>
      </c>
      <c r="R1208" s="11" t="s">
        <v>45</v>
      </c>
      <c r="S1208" s="11" t="s">
        <v>83</v>
      </c>
      <c r="T1208" s="11" t="s">
        <v>44</v>
      </c>
      <c r="U1208" s="11" t="s">
        <v>45</v>
      </c>
      <c r="V1208" s="24">
        <v>45358</v>
      </c>
      <c r="W1208" s="11" t="s">
        <v>46</v>
      </c>
      <c r="X1208" s="11" t="s">
        <v>97</v>
      </c>
      <c r="Y1208" s="11" t="s">
        <v>97</v>
      </c>
      <c r="Z1208" s="11">
        <v>81981219447</v>
      </c>
      <c r="AA1208" s="11" t="s">
        <v>103</v>
      </c>
      <c r="AB1208" s="11" t="s">
        <v>49</v>
      </c>
      <c r="AC1208" s="11" t="s">
        <v>92</v>
      </c>
      <c r="AD1208" s="11" t="b">
        <v>1</v>
      </c>
      <c r="AE1208" s="11" t="s">
        <v>137</v>
      </c>
      <c r="AF1208" s="11" t="s">
        <v>3909</v>
      </c>
      <c r="AG1208" s="11"/>
      <c r="AH1208" s="11"/>
      <c r="AI1208" s="11"/>
    </row>
    <row r="1209" ht="12.5" spans="1:35">
      <c r="A1209" s="177">
        <v>45356.4213383796</v>
      </c>
      <c r="B1209" s="11" t="s">
        <v>3910</v>
      </c>
      <c r="C1209" s="19">
        <v>12351052455</v>
      </c>
      <c r="D1209" s="19">
        <v>700002676161908</v>
      </c>
      <c r="E1209" s="18" t="s">
        <v>3911</v>
      </c>
      <c r="F1209" s="11" t="s">
        <v>40</v>
      </c>
      <c r="G1209" s="11" t="s">
        <v>54</v>
      </c>
      <c r="H1209" s="24">
        <v>37181</v>
      </c>
      <c r="I1209" s="277" t="s">
        <v>3912</v>
      </c>
      <c r="J1209" s="11" t="s">
        <v>42</v>
      </c>
      <c r="K1209" s="108" t="s">
        <v>63</v>
      </c>
      <c r="N1209" s="11" t="s">
        <v>43</v>
      </c>
      <c r="O1209" s="11" t="s">
        <v>44</v>
      </c>
      <c r="P1209" s="11" t="s">
        <v>44</v>
      </c>
      <c r="Q1209" s="11" t="s">
        <v>45</v>
      </c>
      <c r="R1209" s="11" t="s">
        <v>45</v>
      </c>
      <c r="S1209" s="11" t="s">
        <v>83</v>
      </c>
      <c r="T1209" s="11" t="s">
        <v>45</v>
      </c>
      <c r="U1209" s="11" t="s">
        <v>45</v>
      </c>
      <c r="V1209" s="24">
        <v>45356</v>
      </c>
      <c r="W1209" s="11" t="s">
        <v>46</v>
      </c>
      <c r="X1209" s="11" t="s">
        <v>47</v>
      </c>
      <c r="Y1209" s="11" t="s">
        <v>58</v>
      </c>
      <c r="Z1209" s="11">
        <v>81991605647</v>
      </c>
      <c r="AA1209" s="11" t="s">
        <v>91</v>
      </c>
      <c r="AB1209" s="11" t="s">
        <v>49</v>
      </c>
      <c r="AC1209" s="11" t="s">
        <v>3892</v>
      </c>
      <c r="AD1209" s="11" t="b">
        <v>0</v>
      </c>
      <c r="AF1209" s="11" t="s">
        <v>3913</v>
      </c>
      <c r="AG1209" s="11"/>
      <c r="AH1209" s="11" t="s">
        <v>3914</v>
      </c>
      <c r="AI1209" s="11"/>
    </row>
    <row r="1210" ht="12.5" spans="1:35">
      <c r="A1210" s="177">
        <v>45356.4451612037</v>
      </c>
      <c r="B1210" s="11" t="s">
        <v>3141</v>
      </c>
      <c r="C1210" s="19">
        <v>71053651457</v>
      </c>
      <c r="D1210" s="19">
        <v>706700704298020</v>
      </c>
      <c r="E1210" s="18" t="s">
        <v>3915</v>
      </c>
      <c r="F1210" s="11" t="s">
        <v>40</v>
      </c>
      <c r="G1210" s="11" t="s">
        <v>54</v>
      </c>
      <c r="H1210" s="24">
        <v>38065</v>
      </c>
      <c r="I1210" s="277" t="s">
        <v>1788</v>
      </c>
      <c r="J1210" s="11" t="s">
        <v>438</v>
      </c>
      <c r="K1210" s="108"/>
      <c r="M1210" s="11" t="s">
        <v>1669</v>
      </c>
      <c r="N1210" s="11" t="s">
        <v>95</v>
      </c>
      <c r="O1210" s="11" t="s">
        <v>44</v>
      </c>
      <c r="P1210" s="11" t="s">
        <v>44</v>
      </c>
      <c r="Q1210" s="11" t="s">
        <v>45</v>
      </c>
      <c r="R1210" s="11" t="s">
        <v>45</v>
      </c>
      <c r="S1210" s="11" t="s">
        <v>45</v>
      </c>
      <c r="T1210" s="11" t="s">
        <v>44</v>
      </c>
      <c r="U1210" s="11" t="s">
        <v>45</v>
      </c>
      <c r="V1210" s="24">
        <v>45357</v>
      </c>
      <c r="W1210" s="11" t="s">
        <v>46</v>
      </c>
      <c r="X1210" s="11" t="s">
        <v>97</v>
      </c>
      <c r="Y1210" s="11" t="s">
        <v>97</v>
      </c>
      <c r="Z1210" s="11">
        <v>81988623208</v>
      </c>
      <c r="AA1210" s="11" t="s">
        <v>105</v>
      </c>
      <c r="AB1210" s="11" t="s">
        <v>49</v>
      </c>
      <c r="AC1210" s="11" t="s">
        <v>50</v>
      </c>
      <c r="AD1210" s="11" t="b">
        <v>0</v>
      </c>
      <c r="AF1210" s="11" t="s">
        <v>3916</v>
      </c>
      <c r="AG1210" s="11" t="s">
        <v>3917</v>
      </c>
      <c r="AH1210" s="11"/>
      <c r="AI1210" s="11"/>
    </row>
    <row r="1211" ht="12.5" spans="1:35">
      <c r="A1211" s="177">
        <v>45356.513546331</v>
      </c>
      <c r="B1211" s="11" t="s">
        <v>3910</v>
      </c>
      <c r="C1211" s="19">
        <v>12351052455</v>
      </c>
      <c r="D1211" s="19">
        <v>700002676161908</v>
      </c>
      <c r="E1211" s="18" t="s">
        <v>3918</v>
      </c>
      <c r="F1211" s="11" t="s">
        <v>40</v>
      </c>
      <c r="G1211" s="11" t="s">
        <v>54</v>
      </c>
      <c r="H1211" s="24">
        <v>37181</v>
      </c>
      <c r="I1211" s="277" t="s">
        <v>3912</v>
      </c>
      <c r="J1211" s="11" t="s">
        <v>42</v>
      </c>
      <c r="K1211" s="108" t="s">
        <v>63</v>
      </c>
      <c r="N1211" s="11" t="s">
        <v>95</v>
      </c>
      <c r="O1211" s="11" t="s">
        <v>96</v>
      </c>
      <c r="P1211" s="11" t="s">
        <v>56</v>
      </c>
      <c r="Q1211" s="11" t="s">
        <v>44</v>
      </c>
      <c r="R1211" s="11" t="s">
        <v>45</v>
      </c>
      <c r="S1211" s="11" t="s">
        <v>45</v>
      </c>
      <c r="T1211" s="11" t="s">
        <v>45</v>
      </c>
      <c r="U1211" s="11" t="s">
        <v>45</v>
      </c>
      <c r="V1211" s="24">
        <v>45357</v>
      </c>
      <c r="W1211" s="11" t="s">
        <v>46</v>
      </c>
      <c r="X1211" s="11" t="s">
        <v>97</v>
      </c>
      <c r="Y1211" s="11" t="s">
        <v>97</v>
      </c>
      <c r="Z1211" s="11">
        <v>81991605647</v>
      </c>
      <c r="AA1211" s="11" t="s">
        <v>3919</v>
      </c>
      <c r="AB1211" s="11" t="s">
        <v>98</v>
      </c>
      <c r="AC1211" s="11"/>
      <c r="AD1211" s="11" t="b">
        <v>0</v>
      </c>
      <c r="AF1211" s="11" t="s">
        <v>3907</v>
      </c>
      <c r="AG1211" s="11"/>
      <c r="AH1211" s="11"/>
      <c r="AI1211" s="11"/>
    </row>
    <row r="1212" ht="12.5" spans="1:35">
      <c r="A1212" s="177">
        <v>45356.5993835532</v>
      </c>
      <c r="B1212" s="11" t="s">
        <v>352</v>
      </c>
      <c r="C1212" s="277" t="s">
        <v>353</v>
      </c>
      <c r="D1212" s="19">
        <v>705301484050390</v>
      </c>
      <c r="E1212" s="18" t="s">
        <v>3920</v>
      </c>
      <c r="F1212" s="11" t="s">
        <v>40</v>
      </c>
      <c r="G1212" s="11" t="s">
        <v>54</v>
      </c>
      <c r="H1212" s="24">
        <v>32621</v>
      </c>
      <c r="I1212" s="277" t="s">
        <v>3921</v>
      </c>
      <c r="J1212" s="11" t="s">
        <v>42</v>
      </c>
      <c r="K1212" s="108" t="s">
        <v>63</v>
      </c>
      <c r="N1212" s="11" t="s">
        <v>43</v>
      </c>
      <c r="O1212" s="11" t="s">
        <v>96</v>
      </c>
      <c r="P1212" s="11" t="s">
        <v>56</v>
      </c>
      <c r="Q1212" s="11" t="s">
        <v>45</v>
      </c>
      <c r="R1212" s="11" t="s">
        <v>44</v>
      </c>
      <c r="S1212" s="11" t="s">
        <v>45</v>
      </c>
      <c r="T1212" s="11" t="s">
        <v>44</v>
      </c>
      <c r="U1212" s="11" t="s">
        <v>45</v>
      </c>
      <c r="V1212" s="24">
        <v>45357</v>
      </c>
      <c r="W1212" s="11" t="s">
        <v>57</v>
      </c>
      <c r="X1212" s="11" t="s">
        <v>47</v>
      </c>
      <c r="Y1212" s="11" t="s">
        <v>58</v>
      </c>
      <c r="Z1212" s="11">
        <v>81986928714</v>
      </c>
      <c r="AA1212" s="11" t="s">
        <v>115</v>
      </c>
      <c r="AB1212" s="11" t="s">
        <v>98</v>
      </c>
      <c r="AC1212" s="11"/>
      <c r="AD1212" s="11" t="b">
        <v>0</v>
      </c>
      <c r="AF1212" s="11" t="s">
        <v>3907</v>
      </c>
      <c r="AG1212" s="11"/>
      <c r="AH1212" s="11" t="s">
        <v>3922</v>
      </c>
      <c r="AI1212" s="11"/>
    </row>
    <row r="1213" ht="12.5" spans="1:35">
      <c r="A1213" s="177">
        <v>45357.3539843634</v>
      </c>
      <c r="B1213" s="11" t="s">
        <v>3923</v>
      </c>
      <c r="C1213" s="277" t="s">
        <v>3924</v>
      </c>
      <c r="D1213" s="19">
        <v>707008845418334</v>
      </c>
      <c r="E1213" s="18" t="s">
        <v>3925</v>
      </c>
      <c r="F1213" s="11" t="s">
        <v>225</v>
      </c>
      <c r="G1213" s="11" t="s">
        <v>54</v>
      </c>
      <c r="H1213" s="24">
        <v>32604</v>
      </c>
      <c r="I1213" s="277" t="s">
        <v>3926</v>
      </c>
      <c r="J1213" s="11" t="s">
        <v>42</v>
      </c>
      <c r="K1213" s="108" t="s">
        <v>74</v>
      </c>
      <c r="N1213" s="11" t="s">
        <v>43</v>
      </c>
      <c r="O1213" s="11" t="s">
        <v>44</v>
      </c>
      <c r="P1213" s="11" t="s">
        <v>56</v>
      </c>
      <c r="Q1213" s="11" t="s">
        <v>44</v>
      </c>
      <c r="R1213" s="11" t="s">
        <v>45</v>
      </c>
      <c r="S1213" s="11" t="s">
        <v>45</v>
      </c>
      <c r="T1213" s="11" t="s">
        <v>44</v>
      </c>
      <c r="U1213" s="11" t="s">
        <v>45</v>
      </c>
      <c r="V1213" s="24">
        <v>45358</v>
      </c>
      <c r="W1213" s="11" t="s">
        <v>46</v>
      </c>
      <c r="X1213" s="11" t="s">
        <v>303</v>
      </c>
      <c r="Y1213" s="11" t="s">
        <v>58</v>
      </c>
      <c r="Z1213" s="11">
        <v>81992396730</v>
      </c>
      <c r="AA1213" s="11" t="s">
        <v>115</v>
      </c>
      <c r="AB1213" s="11" t="s">
        <v>49</v>
      </c>
      <c r="AC1213" s="11" t="s">
        <v>50</v>
      </c>
      <c r="AD1213" s="11" t="b">
        <v>0</v>
      </c>
      <c r="AF1213" s="11" t="s">
        <v>3927</v>
      </c>
      <c r="AG1213" s="214" t="s">
        <v>3928</v>
      </c>
      <c r="AH1213" s="11"/>
      <c r="AI1213" s="11"/>
    </row>
    <row r="1214" ht="12.5" spans="1:35">
      <c r="A1214" s="177">
        <v>45357.4733177662</v>
      </c>
      <c r="B1214" s="11" t="s">
        <v>3929</v>
      </c>
      <c r="C1214" s="19">
        <v>71219042412</v>
      </c>
      <c r="D1214" s="19">
        <v>209056779050004</v>
      </c>
      <c r="E1214" s="18" t="s">
        <v>3930</v>
      </c>
      <c r="F1214" s="11" t="s">
        <v>40</v>
      </c>
      <c r="G1214" s="11" t="s">
        <v>54</v>
      </c>
      <c r="H1214" s="24">
        <v>36504</v>
      </c>
      <c r="I1214" s="277" t="s">
        <v>1841</v>
      </c>
      <c r="J1214" s="11" t="s">
        <v>42</v>
      </c>
      <c r="K1214" s="108" t="s">
        <v>90</v>
      </c>
      <c r="N1214" s="11" t="s">
        <v>43</v>
      </c>
      <c r="O1214" s="11" t="s">
        <v>44</v>
      </c>
      <c r="P1214" s="11" t="s">
        <v>44</v>
      </c>
      <c r="Q1214" s="11" t="s">
        <v>44</v>
      </c>
      <c r="R1214" s="11" t="s">
        <v>45</v>
      </c>
      <c r="S1214" s="11" t="s">
        <v>45</v>
      </c>
      <c r="T1214" s="11" t="s">
        <v>44</v>
      </c>
      <c r="U1214" s="11" t="s">
        <v>45</v>
      </c>
      <c r="V1214" s="24">
        <v>45357</v>
      </c>
      <c r="W1214" s="11" t="s">
        <v>46</v>
      </c>
      <c r="X1214" s="11" t="s">
        <v>303</v>
      </c>
      <c r="Y1214" s="11" t="s">
        <v>58</v>
      </c>
      <c r="Z1214" s="11">
        <v>81997280465</v>
      </c>
      <c r="AA1214" s="11" t="s">
        <v>115</v>
      </c>
      <c r="AB1214" s="11" t="s">
        <v>98</v>
      </c>
      <c r="AC1214" s="11"/>
      <c r="AD1214" s="11" t="b">
        <v>0</v>
      </c>
      <c r="AF1214" s="11" t="s">
        <v>3931</v>
      </c>
      <c r="AG1214" s="11"/>
      <c r="AH1214" s="11" t="s">
        <v>2172</v>
      </c>
      <c r="AI1214" s="11"/>
    </row>
    <row r="1215" ht="12.5" spans="1:35">
      <c r="A1215" s="177">
        <v>45357.5163446296</v>
      </c>
      <c r="B1215" s="11" t="s">
        <v>3932</v>
      </c>
      <c r="C1215" s="19">
        <v>70758250460</v>
      </c>
      <c r="D1215" s="19">
        <v>705409414644999</v>
      </c>
      <c r="E1215" s="18" t="s">
        <v>3933</v>
      </c>
      <c r="F1215" s="11" t="s">
        <v>40</v>
      </c>
      <c r="G1215" s="11" t="s">
        <v>54</v>
      </c>
      <c r="H1215" s="24">
        <v>35567</v>
      </c>
      <c r="I1215" s="277" t="s">
        <v>3378</v>
      </c>
      <c r="J1215" s="11" t="s">
        <v>42</v>
      </c>
      <c r="K1215" s="108" t="s">
        <v>149</v>
      </c>
      <c r="N1215" s="11" t="s">
        <v>43</v>
      </c>
      <c r="O1215" s="11" t="s">
        <v>44</v>
      </c>
      <c r="P1215" s="11" t="s">
        <v>44</v>
      </c>
      <c r="Q1215" s="11" t="s">
        <v>44</v>
      </c>
      <c r="R1215" s="11" t="s">
        <v>45</v>
      </c>
      <c r="S1215" s="11" t="s">
        <v>45</v>
      </c>
      <c r="T1215" s="11" t="s">
        <v>44</v>
      </c>
      <c r="U1215" s="11" t="s">
        <v>45</v>
      </c>
      <c r="V1215" s="24">
        <v>45358</v>
      </c>
      <c r="W1215" s="11" t="s">
        <v>57</v>
      </c>
      <c r="X1215" s="11" t="s">
        <v>303</v>
      </c>
      <c r="Y1215" s="11" t="s">
        <v>58</v>
      </c>
      <c r="Z1215" s="11">
        <v>81986391614</v>
      </c>
      <c r="AA1215" s="11" t="s">
        <v>115</v>
      </c>
      <c r="AB1215" s="11" t="s">
        <v>98</v>
      </c>
      <c r="AC1215" s="11"/>
      <c r="AD1215" s="11" t="b">
        <v>0</v>
      </c>
      <c r="AF1215" s="11" t="s">
        <v>3934</v>
      </c>
      <c r="AG1215" s="11"/>
      <c r="AH1215" s="11" t="s">
        <v>3935</v>
      </c>
      <c r="AI1215" s="11"/>
    </row>
    <row r="1216" ht="12.5" spans="1:35">
      <c r="A1216" s="177">
        <v>45357.6100305556</v>
      </c>
      <c r="B1216" s="11" t="s">
        <v>3141</v>
      </c>
      <c r="C1216" s="19">
        <v>71053651457</v>
      </c>
      <c r="D1216" s="19">
        <v>706700704298020</v>
      </c>
      <c r="F1216" s="11" t="s">
        <v>40</v>
      </c>
      <c r="G1216" s="11" t="s">
        <v>54</v>
      </c>
      <c r="H1216" s="24">
        <v>38065</v>
      </c>
      <c r="I1216" s="19" t="s">
        <v>97</v>
      </c>
      <c r="J1216" s="11" t="s">
        <v>438</v>
      </c>
      <c r="K1216" s="108"/>
      <c r="M1216" s="11" t="s">
        <v>1669</v>
      </c>
      <c r="N1216" s="11" t="s">
        <v>95</v>
      </c>
      <c r="O1216" s="11" t="s">
        <v>44</v>
      </c>
      <c r="P1216" s="11" t="s">
        <v>44</v>
      </c>
      <c r="Q1216" s="11" t="s">
        <v>44</v>
      </c>
      <c r="R1216" s="11" t="s">
        <v>45</v>
      </c>
      <c r="S1216" s="11" t="s">
        <v>45</v>
      </c>
      <c r="T1216" s="11" t="s">
        <v>44</v>
      </c>
      <c r="U1216" s="11" t="s">
        <v>44</v>
      </c>
      <c r="W1216" s="11" t="s">
        <v>57</v>
      </c>
      <c r="X1216" s="11" t="s">
        <v>97</v>
      </c>
      <c r="Y1216" s="11" t="s">
        <v>97</v>
      </c>
      <c r="Z1216" s="11">
        <v>81988623208</v>
      </c>
      <c r="AA1216" s="11" t="s">
        <v>115</v>
      </c>
      <c r="AB1216" s="11"/>
      <c r="AC1216" s="11"/>
      <c r="AD1216" s="11" t="b">
        <v>0</v>
      </c>
      <c r="AF1216" s="11"/>
      <c r="AG1216" s="11"/>
      <c r="AH1216" s="11"/>
      <c r="AI1216" s="11"/>
    </row>
    <row r="1217" ht="12.5" spans="1:35">
      <c r="A1217" s="177">
        <v>45358.3860928588</v>
      </c>
      <c r="B1217" s="11" t="s">
        <v>3002</v>
      </c>
      <c r="C1217" s="277" t="s">
        <v>3003</v>
      </c>
      <c r="D1217" s="19">
        <v>700402456980442</v>
      </c>
      <c r="E1217" s="18" t="s">
        <v>3936</v>
      </c>
      <c r="F1217" s="11" t="s">
        <v>40</v>
      </c>
      <c r="G1217" s="11" t="s">
        <v>54</v>
      </c>
      <c r="H1217" s="24">
        <v>32231</v>
      </c>
      <c r="I1217" s="277" t="s">
        <v>3862</v>
      </c>
      <c r="J1217" s="11" t="s">
        <v>42</v>
      </c>
      <c r="K1217" s="108" t="s">
        <v>427</v>
      </c>
      <c r="N1217" s="11" t="s">
        <v>95</v>
      </c>
      <c r="O1217" s="11" t="s">
        <v>44</v>
      </c>
      <c r="P1217" s="11" t="s">
        <v>44</v>
      </c>
      <c r="Q1217" s="11" t="s">
        <v>44</v>
      </c>
      <c r="R1217" s="11" t="s">
        <v>45</v>
      </c>
      <c r="S1217" s="11" t="s">
        <v>83</v>
      </c>
      <c r="T1217" s="11" t="s">
        <v>44</v>
      </c>
      <c r="U1217" s="11" t="s">
        <v>45</v>
      </c>
      <c r="V1217" s="24">
        <v>45361</v>
      </c>
      <c r="W1217" s="11" t="s">
        <v>46</v>
      </c>
      <c r="X1217" s="11" t="s">
        <v>97</v>
      </c>
      <c r="Y1217" s="11" t="s">
        <v>97</v>
      </c>
      <c r="Z1217" s="11">
        <v>81981219447</v>
      </c>
      <c r="AA1217" s="11" t="s">
        <v>91</v>
      </c>
      <c r="AB1217" s="11" t="s">
        <v>98</v>
      </c>
      <c r="AC1217" s="11"/>
      <c r="AD1217" s="11" t="b">
        <v>0</v>
      </c>
      <c r="AF1217" s="11" t="s">
        <v>3937</v>
      </c>
      <c r="AG1217" s="11" t="s">
        <v>3938</v>
      </c>
      <c r="AH1217" s="11"/>
      <c r="AI1217" s="11"/>
    </row>
    <row r="1218" ht="12.5" spans="1:35">
      <c r="A1218" s="177">
        <v>45358.4074252083</v>
      </c>
      <c r="B1218" s="11" t="s">
        <v>3939</v>
      </c>
      <c r="C1218" s="19">
        <v>11786881438</v>
      </c>
      <c r="D1218" s="19">
        <v>703406342965000</v>
      </c>
      <c r="E1218" s="18" t="s">
        <v>3940</v>
      </c>
      <c r="F1218" s="11" t="s">
        <v>225</v>
      </c>
      <c r="G1218" s="11" t="s">
        <v>135</v>
      </c>
      <c r="H1218" s="24">
        <v>36345</v>
      </c>
      <c r="I1218" s="277" t="s">
        <v>3941</v>
      </c>
      <c r="J1218" s="11" t="s">
        <v>42</v>
      </c>
      <c r="K1218" s="108" t="s">
        <v>3942</v>
      </c>
      <c r="N1218" s="11" t="s">
        <v>43</v>
      </c>
      <c r="O1218" s="11" t="s">
        <v>65</v>
      </c>
      <c r="P1218" s="11" t="s">
        <v>66</v>
      </c>
      <c r="Q1218" s="11" t="s">
        <v>44</v>
      </c>
      <c r="R1218" s="11" t="s">
        <v>45</v>
      </c>
      <c r="S1218" s="11" t="s">
        <v>45</v>
      </c>
      <c r="T1218" s="11" t="s">
        <v>44</v>
      </c>
      <c r="U1218" s="11" t="s">
        <v>45</v>
      </c>
      <c r="V1218" s="24">
        <v>45358</v>
      </c>
      <c r="W1218" s="11" t="s">
        <v>46</v>
      </c>
      <c r="X1218" s="11" t="s">
        <v>47</v>
      </c>
      <c r="Y1218" s="11" t="s">
        <v>58</v>
      </c>
      <c r="Z1218" s="11">
        <v>81998030891</v>
      </c>
      <c r="AA1218" s="11" t="s">
        <v>232</v>
      </c>
      <c r="AB1218" s="11" t="s">
        <v>49</v>
      </c>
      <c r="AC1218" s="11" t="s">
        <v>50</v>
      </c>
      <c r="AD1218" s="11" t="b">
        <v>1</v>
      </c>
      <c r="AE1218" s="11" t="s">
        <v>137</v>
      </c>
      <c r="AF1218" s="214" t="s">
        <v>3943</v>
      </c>
      <c r="AG1218" s="11"/>
      <c r="AH1218" s="261" t="s">
        <v>3944</v>
      </c>
      <c r="AI1218" s="11"/>
    </row>
    <row r="1219" ht="12.5" spans="1:35">
      <c r="A1219" s="177">
        <v>45358.5764804514</v>
      </c>
      <c r="B1219" s="11" t="s">
        <v>3945</v>
      </c>
      <c r="C1219" s="19">
        <v>12494781469</v>
      </c>
      <c r="D1219" s="19">
        <v>704107116893373</v>
      </c>
      <c r="E1219" s="18" t="s">
        <v>3946</v>
      </c>
      <c r="F1219" s="11" t="s">
        <v>225</v>
      </c>
      <c r="G1219" s="11" t="s">
        <v>54</v>
      </c>
      <c r="H1219" s="24">
        <v>36239</v>
      </c>
      <c r="I1219" s="19" t="s">
        <v>136</v>
      </c>
      <c r="J1219" s="11" t="s">
        <v>42</v>
      </c>
      <c r="K1219" s="108" t="s">
        <v>282</v>
      </c>
      <c r="N1219" s="11" t="s">
        <v>43</v>
      </c>
      <c r="O1219" s="11" t="s">
        <v>44</v>
      </c>
      <c r="P1219" s="11" t="s">
        <v>44</v>
      </c>
      <c r="Q1219" s="11" t="s">
        <v>44</v>
      </c>
      <c r="R1219" s="11" t="s">
        <v>45</v>
      </c>
      <c r="S1219" s="11" t="s">
        <v>45</v>
      </c>
      <c r="T1219" s="11" t="s">
        <v>44</v>
      </c>
      <c r="U1219" s="11" t="s">
        <v>45</v>
      </c>
      <c r="V1219" s="24">
        <v>45359</v>
      </c>
      <c r="W1219" s="11" t="s">
        <v>46</v>
      </c>
      <c r="X1219" s="11" t="s">
        <v>47</v>
      </c>
      <c r="Y1219" s="11" t="s">
        <v>58</v>
      </c>
      <c r="Z1219" s="11">
        <v>81996905073</v>
      </c>
      <c r="AA1219" s="11" t="s">
        <v>91</v>
      </c>
      <c r="AB1219" s="11" t="s">
        <v>49</v>
      </c>
      <c r="AC1219" s="11" t="s">
        <v>256</v>
      </c>
      <c r="AD1219" s="11" t="b">
        <v>0</v>
      </c>
      <c r="AF1219" s="214" t="s">
        <v>3947</v>
      </c>
      <c r="AG1219" s="11" t="s">
        <v>3948</v>
      </c>
      <c r="AH1219" s="11"/>
      <c r="AI1219" s="11"/>
    </row>
    <row r="1220" ht="12.5" spans="1:35">
      <c r="A1220" s="177">
        <v>45358.7334935532</v>
      </c>
      <c r="B1220" s="11" t="s">
        <v>3939</v>
      </c>
      <c r="C1220" s="19">
        <v>11786881438</v>
      </c>
      <c r="D1220" s="19">
        <v>703406342965000</v>
      </c>
      <c r="E1220" s="18" t="s">
        <v>3949</v>
      </c>
      <c r="F1220" s="11" t="s">
        <v>225</v>
      </c>
      <c r="G1220" s="11" t="s">
        <v>135</v>
      </c>
      <c r="H1220" s="24">
        <v>36345</v>
      </c>
      <c r="I1220" s="277" t="s">
        <v>3941</v>
      </c>
      <c r="J1220" s="11" t="s">
        <v>42</v>
      </c>
      <c r="K1220" s="108" t="s">
        <v>3950</v>
      </c>
      <c r="N1220" s="11" t="s">
        <v>95</v>
      </c>
      <c r="O1220" s="11" t="s">
        <v>44</v>
      </c>
      <c r="P1220" s="11" t="s">
        <v>44</v>
      </c>
      <c r="Q1220" s="11" t="s">
        <v>44</v>
      </c>
      <c r="R1220" s="11" t="s">
        <v>45</v>
      </c>
      <c r="S1220" s="11" t="s">
        <v>45</v>
      </c>
      <c r="T1220" s="11" t="s">
        <v>44</v>
      </c>
      <c r="U1220" s="11" t="s">
        <v>45</v>
      </c>
      <c r="V1220" s="24">
        <v>45359</v>
      </c>
      <c r="W1220" s="11" t="s">
        <v>57</v>
      </c>
      <c r="X1220" s="11" t="s">
        <v>97</v>
      </c>
      <c r="Y1220" s="11" t="s">
        <v>97</v>
      </c>
      <c r="Z1220" s="11">
        <v>81998030891</v>
      </c>
      <c r="AA1220" s="11" t="s">
        <v>115</v>
      </c>
      <c r="AB1220" s="11" t="s">
        <v>49</v>
      </c>
      <c r="AC1220" s="11" t="s">
        <v>256</v>
      </c>
      <c r="AD1220" s="11" t="b">
        <v>1</v>
      </c>
      <c r="AE1220" s="11" t="s">
        <v>137</v>
      </c>
      <c r="AF1220" s="11" t="s">
        <v>3951</v>
      </c>
      <c r="AG1220" s="11"/>
      <c r="AH1220" s="11"/>
      <c r="AI1220" s="11"/>
    </row>
    <row r="1221" ht="12.5" spans="1:35">
      <c r="A1221" s="177">
        <v>45358.7410105903</v>
      </c>
      <c r="B1221" s="11" t="s">
        <v>3923</v>
      </c>
      <c r="C1221" s="277" t="s">
        <v>3924</v>
      </c>
      <c r="D1221" s="19">
        <v>707008845418334</v>
      </c>
      <c r="F1221" s="11" t="s">
        <v>225</v>
      </c>
      <c r="G1221" s="11" t="s">
        <v>54</v>
      </c>
      <c r="H1221" s="24">
        <v>32604</v>
      </c>
      <c r="I1221" s="277" t="s">
        <v>3926</v>
      </c>
      <c r="J1221" s="11" t="s">
        <v>42</v>
      </c>
      <c r="K1221" s="108" t="s">
        <v>74</v>
      </c>
      <c r="N1221" s="11" t="s">
        <v>95</v>
      </c>
      <c r="O1221" s="11" t="s">
        <v>44</v>
      </c>
      <c r="P1221" s="11" t="s">
        <v>44</v>
      </c>
      <c r="Q1221" s="11" t="s">
        <v>44</v>
      </c>
      <c r="R1221" s="11" t="s">
        <v>45</v>
      </c>
      <c r="S1221" s="11" t="s">
        <v>45</v>
      </c>
      <c r="T1221" s="11" t="s">
        <v>44</v>
      </c>
      <c r="U1221" s="11" t="s">
        <v>44</v>
      </c>
      <c r="W1221" s="11" t="s">
        <v>57</v>
      </c>
      <c r="X1221" s="11" t="s">
        <v>97</v>
      </c>
      <c r="Y1221" s="11" t="s">
        <v>97</v>
      </c>
      <c r="Z1221" s="11">
        <v>81992396730</v>
      </c>
      <c r="AA1221" s="11" t="s">
        <v>115</v>
      </c>
      <c r="AB1221" s="11"/>
      <c r="AC1221" s="11"/>
      <c r="AD1221" s="11" t="b">
        <v>0</v>
      </c>
      <c r="AF1221" s="11"/>
      <c r="AG1221" s="11"/>
      <c r="AH1221" s="11"/>
      <c r="AI1221" s="11"/>
    </row>
    <row r="1222" ht="12.5" spans="1:35">
      <c r="A1222" s="177">
        <v>45359.4579675579</v>
      </c>
      <c r="B1222" s="11" t="s">
        <v>3952</v>
      </c>
      <c r="C1222" s="19">
        <v>10956410421</v>
      </c>
      <c r="D1222" s="19">
        <v>700606459947766</v>
      </c>
      <c r="E1222" s="18" t="s">
        <v>3953</v>
      </c>
      <c r="F1222" s="11" t="s">
        <v>40</v>
      </c>
      <c r="G1222" s="11" t="s">
        <v>88</v>
      </c>
      <c r="H1222" s="24">
        <v>34775</v>
      </c>
      <c r="I1222" s="277" t="s">
        <v>3954</v>
      </c>
      <c r="J1222" s="11" t="s">
        <v>42</v>
      </c>
      <c r="K1222" s="108" t="s">
        <v>3955</v>
      </c>
      <c r="N1222" s="11" t="s">
        <v>43</v>
      </c>
      <c r="O1222" s="11" t="s">
        <v>44</v>
      </c>
      <c r="P1222" s="11" t="s">
        <v>44</v>
      </c>
      <c r="Q1222" s="11" t="s">
        <v>45</v>
      </c>
      <c r="R1222" s="11" t="s">
        <v>45</v>
      </c>
      <c r="S1222" s="11" t="s">
        <v>45</v>
      </c>
      <c r="T1222" s="11" t="s">
        <v>44</v>
      </c>
      <c r="U1222" s="11" t="s">
        <v>44</v>
      </c>
      <c r="W1222" s="11" t="s">
        <v>46</v>
      </c>
      <c r="X1222" s="11" t="s">
        <v>47</v>
      </c>
      <c r="Y1222" s="11" t="s">
        <v>58</v>
      </c>
      <c r="Z1222" s="11">
        <v>81992406319</v>
      </c>
      <c r="AA1222" s="11" t="s">
        <v>1360</v>
      </c>
      <c r="AB1222" s="11"/>
      <c r="AC1222" s="11"/>
      <c r="AD1222" s="11" t="b">
        <v>0</v>
      </c>
      <c r="AF1222" s="11"/>
      <c r="AG1222" s="11"/>
      <c r="AH1222" s="11"/>
      <c r="AI1222" s="11"/>
    </row>
    <row r="1223" ht="12.5" spans="1:35">
      <c r="A1223" s="177">
        <v>45359.5172718519</v>
      </c>
      <c r="B1223" s="11" t="s">
        <v>3939</v>
      </c>
      <c r="C1223" s="19">
        <v>11786881438</v>
      </c>
      <c r="D1223" s="19">
        <v>703406342965000</v>
      </c>
      <c r="E1223" s="18" t="s">
        <v>3956</v>
      </c>
      <c r="F1223" s="11" t="s">
        <v>225</v>
      </c>
      <c r="G1223" s="11" t="s">
        <v>135</v>
      </c>
      <c r="H1223" s="24">
        <v>36345</v>
      </c>
      <c r="I1223" s="277" t="s">
        <v>3941</v>
      </c>
      <c r="J1223" s="11" t="s">
        <v>42</v>
      </c>
      <c r="K1223" s="108" t="s">
        <v>3957</v>
      </c>
      <c r="N1223" s="11" t="s">
        <v>95</v>
      </c>
      <c r="O1223" s="11" t="s">
        <v>44</v>
      </c>
      <c r="P1223" s="11" t="s">
        <v>44</v>
      </c>
      <c r="Q1223" s="11" t="s">
        <v>44</v>
      </c>
      <c r="R1223" s="11" t="s">
        <v>45</v>
      </c>
      <c r="S1223" s="11" t="s">
        <v>45</v>
      </c>
      <c r="T1223" s="11" t="s">
        <v>44</v>
      </c>
      <c r="U1223" s="11" t="s">
        <v>45</v>
      </c>
      <c r="V1223" s="24">
        <v>45360</v>
      </c>
      <c r="W1223" s="11" t="s">
        <v>46</v>
      </c>
      <c r="X1223" s="11" t="s">
        <v>97</v>
      </c>
      <c r="Y1223" s="11" t="s">
        <v>97</v>
      </c>
      <c r="Z1223" s="11">
        <v>81998030891</v>
      </c>
      <c r="AA1223" s="11" t="s">
        <v>1360</v>
      </c>
      <c r="AB1223" s="11" t="s">
        <v>49</v>
      </c>
      <c r="AC1223" s="11" t="s">
        <v>92</v>
      </c>
      <c r="AD1223" s="11" t="b">
        <v>0</v>
      </c>
      <c r="AF1223" s="11" t="s">
        <v>3958</v>
      </c>
      <c r="AG1223" s="11"/>
      <c r="AH1223" s="11"/>
      <c r="AI1223" s="11"/>
    </row>
    <row r="1224" ht="12.5" spans="1:35">
      <c r="A1224" s="177">
        <v>45359.6507832523</v>
      </c>
      <c r="B1224" s="11" t="s">
        <v>3945</v>
      </c>
      <c r="C1224" s="19">
        <v>12494781469</v>
      </c>
      <c r="D1224" s="19">
        <v>704107116893373</v>
      </c>
      <c r="F1224" s="11" t="s">
        <v>225</v>
      </c>
      <c r="G1224" s="11" t="s">
        <v>41</v>
      </c>
      <c r="H1224" s="24">
        <v>36239</v>
      </c>
      <c r="I1224" s="277" t="s">
        <v>1272</v>
      </c>
      <c r="J1224" s="11" t="s">
        <v>42</v>
      </c>
      <c r="K1224" s="108" t="s">
        <v>282</v>
      </c>
      <c r="N1224" s="11" t="s">
        <v>95</v>
      </c>
      <c r="O1224" s="11" t="s">
        <v>44</v>
      </c>
      <c r="P1224" s="11" t="s">
        <v>44</v>
      </c>
      <c r="Q1224" s="11" t="s">
        <v>44</v>
      </c>
      <c r="R1224" s="11" t="s">
        <v>45</v>
      </c>
      <c r="S1224" s="11" t="s">
        <v>45</v>
      </c>
      <c r="T1224" s="11" t="s">
        <v>44</v>
      </c>
      <c r="U1224" s="11" t="s">
        <v>44</v>
      </c>
      <c r="W1224" s="11" t="s">
        <v>57</v>
      </c>
      <c r="X1224" s="11" t="s">
        <v>97</v>
      </c>
      <c r="Y1224" s="11" t="s">
        <v>97</v>
      </c>
      <c r="Z1224" s="11">
        <v>81996905073</v>
      </c>
      <c r="AA1224" s="11" t="s">
        <v>1360</v>
      </c>
      <c r="AB1224" s="11"/>
      <c r="AC1224" s="11"/>
      <c r="AD1224" s="11" t="b">
        <v>0</v>
      </c>
      <c r="AF1224" s="11"/>
      <c r="AG1224" s="11"/>
      <c r="AH1224" s="11"/>
      <c r="AI1224" s="11"/>
    </row>
    <row r="1225" ht="12.5" spans="1:35">
      <c r="A1225" s="177">
        <v>45359.7610834259</v>
      </c>
      <c r="B1225" s="11" t="s">
        <v>3959</v>
      </c>
      <c r="C1225" s="19">
        <v>10813817447</v>
      </c>
      <c r="D1225" s="19">
        <v>701004837238699</v>
      </c>
      <c r="E1225" s="18" t="s">
        <v>3960</v>
      </c>
      <c r="F1225" s="11" t="s">
        <v>225</v>
      </c>
      <c r="G1225" s="11" t="s">
        <v>83</v>
      </c>
      <c r="H1225" s="24">
        <v>34977</v>
      </c>
      <c r="I1225" s="277" t="s">
        <v>2992</v>
      </c>
      <c r="J1225" s="11" t="s">
        <v>42</v>
      </c>
      <c r="K1225" s="108" t="s">
        <v>777</v>
      </c>
      <c r="N1225" s="11" t="s">
        <v>43</v>
      </c>
      <c r="O1225" s="11" t="s">
        <v>44</v>
      </c>
      <c r="P1225" s="11" t="s">
        <v>44</v>
      </c>
      <c r="Q1225" s="11" t="s">
        <v>45</v>
      </c>
      <c r="R1225" s="11" t="s">
        <v>45</v>
      </c>
      <c r="S1225" s="11" t="s">
        <v>45</v>
      </c>
      <c r="T1225" s="11" t="s">
        <v>44</v>
      </c>
      <c r="U1225" s="11" t="s">
        <v>44</v>
      </c>
      <c r="W1225" s="11" t="s">
        <v>46</v>
      </c>
      <c r="X1225" s="11" t="s">
        <v>203</v>
      </c>
      <c r="Y1225" s="11" t="s">
        <v>58</v>
      </c>
      <c r="Z1225" s="11">
        <v>81994019557</v>
      </c>
      <c r="AA1225" s="11" t="s">
        <v>1360</v>
      </c>
      <c r="AB1225" s="11"/>
      <c r="AC1225" s="11"/>
      <c r="AD1225" s="11" t="b">
        <v>0</v>
      </c>
      <c r="AF1225" s="11"/>
      <c r="AG1225" s="11"/>
      <c r="AH1225" s="11"/>
      <c r="AI1225" s="11"/>
    </row>
    <row r="1226" ht="12.5" spans="1:35">
      <c r="A1226" s="177">
        <v>45360.4492065278</v>
      </c>
      <c r="B1226" s="11" t="s">
        <v>3890</v>
      </c>
      <c r="C1226" s="19">
        <v>71492471488</v>
      </c>
      <c r="D1226" s="19">
        <v>898003275844239</v>
      </c>
      <c r="E1226" s="18" t="s">
        <v>3961</v>
      </c>
      <c r="F1226" s="11" t="s">
        <v>40</v>
      </c>
      <c r="G1226" s="11" t="s">
        <v>54</v>
      </c>
      <c r="H1226" s="24">
        <v>38242</v>
      </c>
      <c r="I1226" s="277" t="s">
        <v>3872</v>
      </c>
      <c r="J1226" s="11" t="s">
        <v>42</v>
      </c>
      <c r="K1226" s="108" t="s">
        <v>282</v>
      </c>
      <c r="N1226" s="11" t="s">
        <v>95</v>
      </c>
      <c r="O1226" s="11" t="s">
        <v>44</v>
      </c>
      <c r="P1226" s="11" t="s">
        <v>44</v>
      </c>
      <c r="Q1226" s="11" t="s">
        <v>44</v>
      </c>
      <c r="R1226" s="11" t="s">
        <v>45</v>
      </c>
      <c r="S1226" s="11" t="s">
        <v>45</v>
      </c>
      <c r="T1226" s="11" t="s">
        <v>44</v>
      </c>
      <c r="U1226" s="11" t="s">
        <v>45</v>
      </c>
      <c r="V1226" s="24">
        <v>45370</v>
      </c>
      <c r="W1226" s="11" t="s">
        <v>46</v>
      </c>
      <c r="X1226" s="11" t="s">
        <v>97</v>
      </c>
      <c r="Y1226" s="11" t="s">
        <v>97</v>
      </c>
      <c r="Z1226" s="11">
        <v>81983688294</v>
      </c>
      <c r="AA1226" s="11" t="s">
        <v>3919</v>
      </c>
      <c r="AB1226" s="11" t="s">
        <v>49</v>
      </c>
      <c r="AC1226" s="11" t="s">
        <v>92</v>
      </c>
      <c r="AD1226" s="11" t="b">
        <v>0</v>
      </c>
      <c r="AF1226" s="11" t="s">
        <v>3962</v>
      </c>
      <c r="AG1226" s="11"/>
      <c r="AH1226" s="141" t="s">
        <v>3963</v>
      </c>
      <c r="AI1226" s="11"/>
    </row>
    <row r="1227" ht="12.5" spans="1:35">
      <c r="A1227" s="177">
        <v>45360.475204375</v>
      </c>
      <c r="B1227" s="11" t="s">
        <v>3020</v>
      </c>
      <c r="C1227" s="19">
        <v>70808893408</v>
      </c>
      <c r="D1227" s="19">
        <v>705006070731455</v>
      </c>
      <c r="E1227" s="18" t="s">
        <v>3964</v>
      </c>
      <c r="F1227" s="11" t="s">
        <v>40</v>
      </c>
      <c r="G1227" s="11" t="s">
        <v>88</v>
      </c>
      <c r="H1227" s="24">
        <v>35564</v>
      </c>
      <c r="I1227" s="277" t="s">
        <v>3022</v>
      </c>
      <c r="J1227" s="11" t="s">
        <v>42</v>
      </c>
      <c r="K1227" s="108" t="s">
        <v>2049</v>
      </c>
      <c r="N1227" s="11" t="s">
        <v>43</v>
      </c>
      <c r="O1227" s="11" t="s">
        <v>65</v>
      </c>
      <c r="P1227" s="11" t="s">
        <v>2559</v>
      </c>
      <c r="Q1227" s="11" t="s">
        <v>44</v>
      </c>
      <c r="R1227" s="11" t="s">
        <v>45</v>
      </c>
      <c r="S1227" s="11" t="s">
        <v>45</v>
      </c>
      <c r="T1227" s="11" t="s">
        <v>44</v>
      </c>
      <c r="U1227" s="11" t="s">
        <v>45</v>
      </c>
      <c r="V1227" s="24">
        <v>45361</v>
      </c>
      <c r="W1227" s="11" t="s">
        <v>46</v>
      </c>
      <c r="X1227" s="11" t="s">
        <v>97</v>
      </c>
      <c r="Y1227" s="11" t="s">
        <v>97</v>
      </c>
      <c r="Z1227" s="11">
        <v>81988921498</v>
      </c>
      <c r="AA1227" s="11" t="s">
        <v>3919</v>
      </c>
      <c r="AB1227" s="11" t="s">
        <v>49</v>
      </c>
      <c r="AC1227" s="11" t="s">
        <v>256</v>
      </c>
      <c r="AD1227" s="11" t="b">
        <v>1</v>
      </c>
      <c r="AE1227" s="11" t="s">
        <v>137</v>
      </c>
      <c r="AF1227" s="11" t="s">
        <v>3965</v>
      </c>
      <c r="AG1227" s="11" t="s">
        <v>3966</v>
      </c>
      <c r="AH1227" s="11" t="s">
        <v>3967</v>
      </c>
      <c r="AI1227" s="11"/>
    </row>
    <row r="1228" ht="12.5" spans="1:35">
      <c r="A1228" s="177">
        <v>45360.4808924074</v>
      </c>
      <c r="B1228" s="11" t="s">
        <v>3939</v>
      </c>
      <c r="C1228" s="19">
        <v>11786881438</v>
      </c>
      <c r="D1228" s="19">
        <v>703406342965000</v>
      </c>
      <c r="F1228" s="11" t="s">
        <v>225</v>
      </c>
      <c r="G1228" s="11" t="s">
        <v>135</v>
      </c>
      <c r="H1228" s="24">
        <v>36345</v>
      </c>
      <c r="I1228" s="277" t="s">
        <v>3941</v>
      </c>
      <c r="J1228" s="11" t="s">
        <v>42</v>
      </c>
      <c r="K1228" s="108" t="s">
        <v>3957</v>
      </c>
      <c r="N1228" s="11" t="s">
        <v>95</v>
      </c>
      <c r="O1228" s="11" t="s">
        <v>44</v>
      </c>
      <c r="P1228" s="11" t="s">
        <v>44</v>
      </c>
      <c r="Q1228" s="11" t="s">
        <v>44</v>
      </c>
      <c r="R1228" s="11" t="s">
        <v>45</v>
      </c>
      <c r="S1228" s="11" t="s">
        <v>45</v>
      </c>
      <c r="T1228" s="11" t="s">
        <v>44</v>
      </c>
      <c r="U1228" s="11" t="s">
        <v>45</v>
      </c>
      <c r="V1228" s="24">
        <v>45361</v>
      </c>
      <c r="W1228" s="11" t="s">
        <v>57</v>
      </c>
      <c r="X1228" s="11" t="s">
        <v>97</v>
      </c>
      <c r="Y1228" s="11" t="s">
        <v>97</v>
      </c>
      <c r="Z1228" s="11">
        <v>81998030891</v>
      </c>
      <c r="AA1228" s="11" t="s">
        <v>91</v>
      </c>
      <c r="AB1228" s="11" t="s">
        <v>98</v>
      </c>
      <c r="AC1228" s="11"/>
      <c r="AD1228" s="11" t="b">
        <v>0</v>
      </c>
      <c r="AF1228" s="11" t="s">
        <v>3968</v>
      </c>
      <c r="AG1228" s="11" t="s">
        <v>3969</v>
      </c>
      <c r="AH1228" s="11"/>
      <c r="AI1228" s="11"/>
    </row>
    <row r="1229" ht="12.5" spans="1:35">
      <c r="A1229" s="177">
        <v>45360.6729500463</v>
      </c>
      <c r="B1229" s="11" t="s">
        <v>3970</v>
      </c>
      <c r="C1229" s="19">
        <v>11608060470</v>
      </c>
      <c r="D1229" s="19">
        <v>708004814765525</v>
      </c>
      <c r="E1229" s="18" t="s">
        <v>3971</v>
      </c>
      <c r="F1229" s="11" t="s">
        <v>40</v>
      </c>
      <c r="G1229" s="11" t="s">
        <v>54</v>
      </c>
      <c r="H1229" s="24">
        <v>35436</v>
      </c>
      <c r="I1229" s="277" t="s">
        <v>2454</v>
      </c>
      <c r="J1229" s="11" t="s">
        <v>42</v>
      </c>
      <c r="K1229" s="108" t="s">
        <v>74</v>
      </c>
      <c r="N1229" s="11" t="s">
        <v>43</v>
      </c>
      <c r="O1229" s="11" t="s">
        <v>96</v>
      </c>
      <c r="P1229" s="11" t="s">
        <v>56</v>
      </c>
      <c r="Q1229" s="11" t="s">
        <v>44</v>
      </c>
      <c r="R1229" s="11" t="s">
        <v>45</v>
      </c>
      <c r="S1229" s="11" t="s">
        <v>45</v>
      </c>
      <c r="T1229" s="11" t="s">
        <v>44</v>
      </c>
      <c r="U1229" s="11" t="s">
        <v>45</v>
      </c>
      <c r="V1229" s="24">
        <v>45362</v>
      </c>
      <c r="W1229" s="11" t="s">
        <v>46</v>
      </c>
      <c r="X1229" s="11" t="s">
        <v>97</v>
      </c>
      <c r="Y1229" s="11" t="s">
        <v>97</v>
      </c>
      <c r="Z1229" s="11">
        <v>81997157620</v>
      </c>
      <c r="AB1229" s="11" t="s">
        <v>49</v>
      </c>
      <c r="AC1229" s="11" t="s">
        <v>92</v>
      </c>
      <c r="AD1229" s="11" t="b">
        <v>1</v>
      </c>
      <c r="AE1229" s="11" t="s">
        <v>137</v>
      </c>
      <c r="AF1229" s="11" t="s">
        <v>3972</v>
      </c>
      <c r="AG1229" s="11"/>
      <c r="AH1229" s="11" t="s">
        <v>3973</v>
      </c>
      <c r="AI1229" s="11"/>
    </row>
    <row r="1230" ht="12.5" spans="1:35">
      <c r="A1230" s="177">
        <v>45361.7456750463</v>
      </c>
      <c r="B1230" s="11" t="s">
        <v>3020</v>
      </c>
      <c r="C1230" s="19">
        <v>70808893408</v>
      </c>
      <c r="D1230" s="19">
        <v>705006070731455</v>
      </c>
      <c r="E1230" s="18" t="s">
        <v>3974</v>
      </c>
      <c r="F1230" s="11" t="s">
        <v>40</v>
      </c>
      <c r="G1230" s="11" t="s">
        <v>54</v>
      </c>
      <c r="H1230" s="24">
        <v>35564</v>
      </c>
      <c r="I1230" s="277" t="s">
        <v>3065</v>
      </c>
      <c r="J1230" s="11" t="s">
        <v>42</v>
      </c>
      <c r="K1230" s="108" t="s">
        <v>2760</v>
      </c>
      <c r="N1230" s="11" t="s">
        <v>95</v>
      </c>
      <c r="O1230" s="11" t="s">
        <v>44</v>
      </c>
      <c r="P1230" s="11" t="s">
        <v>44</v>
      </c>
      <c r="Q1230" s="11" t="s">
        <v>44</v>
      </c>
      <c r="R1230" s="11" t="s">
        <v>45</v>
      </c>
      <c r="S1230" s="11" t="s">
        <v>45</v>
      </c>
      <c r="T1230" s="11" t="s">
        <v>44</v>
      </c>
      <c r="U1230" s="11" t="s">
        <v>45</v>
      </c>
      <c r="V1230" s="24">
        <v>45362</v>
      </c>
      <c r="W1230" s="11" t="s">
        <v>46</v>
      </c>
      <c r="X1230" s="11" t="s">
        <v>97</v>
      </c>
      <c r="Y1230" s="11" t="s">
        <v>97</v>
      </c>
      <c r="Z1230" s="11">
        <v>81988921498</v>
      </c>
      <c r="AA1230" s="11" t="s">
        <v>1360</v>
      </c>
      <c r="AB1230" s="11" t="s">
        <v>49</v>
      </c>
      <c r="AC1230" s="11" t="s">
        <v>92</v>
      </c>
      <c r="AD1230" s="11" t="b">
        <v>1</v>
      </c>
      <c r="AE1230" s="11" t="s">
        <v>137</v>
      </c>
      <c r="AF1230" s="11" t="s">
        <v>3975</v>
      </c>
      <c r="AG1230" s="11"/>
      <c r="AH1230" s="11" t="s">
        <v>3976</v>
      </c>
      <c r="AI1230" s="11"/>
    </row>
    <row r="1231" ht="12.5" spans="1:35">
      <c r="A1231" s="177">
        <v>45362.574254375</v>
      </c>
      <c r="B1231" s="11" t="s">
        <v>3970</v>
      </c>
      <c r="C1231" s="19">
        <v>11608060470</v>
      </c>
      <c r="D1231" s="19">
        <v>708004814765525</v>
      </c>
      <c r="E1231" s="18" t="s">
        <v>3977</v>
      </c>
      <c r="F1231" s="11" t="s">
        <v>40</v>
      </c>
      <c r="G1231" s="11" t="s">
        <v>54</v>
      </c>
      <c r="H1231" s="24">
        <v>35436</v>
      </c>
      <c r="I1231" s="277" t="s">
        <v>2454</v>
      </c>
      <c r="J1231" s="11" t="s">
        <v>42</v>
      </c>
      <c r="K1231" s="108" t="s">
        <v>74</v>
      </c>
      <c r="N1231" s="11" t="s">
        <v>95</v>
      </c>
      <c r="O1231" s="11" t="s">
        <v>96</v>
      </c>
      <c r="P1231" s="11" t="s">
        <v>56</v>
      </c>
      <c r="Q1231" s="11" t="s">
        <v>44</v>
      </c>
      <c r="R1231" s="11" t="s">
        <v>45</v>
      </c>
      <c r="S1231" s="11" t="s">
        <v>45</v>
      </c>
      <c r="T1231" s="11" t="s">
        <v>44</v>
      </c>
      <c r="U1231" s="11" t="s">
        <v>45</v>
      </c>
      <c r="V1231" s="24">
        <v>45364</v>
      </c>
      <c r="W1231" s="11" t="s">
        <v>46</v>
      </c>
      <c r="X1231" s="11" t="s">
        <v>97</v>
      </c>
      <c r="Y1231" s="11" t="s">
        <v>97</v>
      </c>
      <c r="Z1231" s="11">
        <v>81997157620</v>
      </c>
      <c r="AA1231" s="11" t="s">
        <v>91</v>
      </c>
      <c r="AB1231" s="11" t="s">
        <v>49</v>
      </c>
      <c r="AC1231" s="11" t="s">
        <v>50</v>
      </c>
      <c r="AD1231" s="11" t="b">
        <v>0</v>
      </c>
      <c r="AF1231" s="11" t="s">
        <v>3978</v>
      </c>
      <c r="AG1231" s="214" t="s">
        <v>3979</v>
      </c>
      <c r="AH1231" s="11"/>
      <c r="AI1231" s="11"/>
    </row>
    <row r="1232" ht="12.5" spans="1:35">
      <c r="A1232" s="177">
        <v>45362.600635787</v>
      </c>
      <c r="B1232" s="11" t="s">
        <v>3020</v>
      </c>
      <c r="C1232" s="19">
        <v>70808893408</v>
      </c>
      <c r="D1232" s="19">
        <v>705006070731455</v>
      </c>
      <c r="F1232" s="11" t="s">
        <v>40</v>
      </c>
      <c r="G1232" s="11" t="s">
        <v>54</v>
      </c>
      <c r="H1232" s="24">
        <v>35564</v>
      </c>
      <c r="I1232" s="19" t="s">
        <v>3980</v>
      </c>
      <c r="J1232" s="11" t="s">
        <v>42</v>
      </c>
      <c r="K1232" s="108" t="s">
        <v>2760</v>
      </c>
      <c r="N1232" s="11" t="s">
        <v>95</v>
      </c>
      <c r="O1232" s="11" t="s">
        <v>44</v>
      </c>
      <c r="P1232" s="11" t="s">
        <v>44</v>
      </c>
      <c r="Q1232" s="11" t="s">
        <v>44</v>
      </c>
      <c r="R1232" s="11" t="s">
        <v>45</v>
      </c>
      <c r="S1232" s="11" t="s">
        <v>45</v>
      </c>
      <c r="T1232" s="11" t="s">
        <v>44</v>
      </c>
      <c r="U1232" s="11" t="s">
        <v>44</v>
      </c>
      <c r="W1232" s="11" t="s">
        <v>57</v>
      </c>
      <c r="X1232" s="11" t="s">
        <v>97</v>
      </c>
      <c r="Y1232" s="11" t="s">
        <v>97</v>
      </c>
      <c r="Z1232" s="11">
        <v>81988921498</v>
      </c>
      <c r="AA1232" s="11" t="s">
        <v>91</v>
      </c>
      <c r="AB1232" s="11"/>
      <c r="AC1232" s="11"/>
      <c r="AD1232" s="11" t="b">
        <v>0</v>
      </c>
      <c r="AF1232" s="11"/>
      <c r="AG1232" s="11"/>
      <c r="AH1232" s="11"/>
      <c r="AI1232" s="11"/>
    </row>
    <row r="1233" ht="12.5" spans="1:35">
      <c r="A1233" s="177">
        <v>45362.6523824537</v>
      </c>
      <c r="B1233" s="11" t="s">
        <v>3981</v>
      </c>
      <c r="C1233" s="19">
        <v>11098787455</v>
      </c>
      <c r="D1233" s="19">
        <v>705000834244751</v>
      </c>
      <c r="E1233" s="18" t="s">
        <v>3982</v>
      </c>
      <c r="F1233" s="136" t="s">
        <v>225</v>
      </c>
      <c r="G1233" s="11" t="s">
        <v>54</v>
      </c>
      <c r="H1233" s="24">
        <v>35283</v>
      </c>
      <c r="I1233" s="277" t="s">
        <v>3095</v>
      </c>
      <c r="J1233" s="11" t="s">
        <v>42</v>
      </c>
      <c r="K1233" s="108" t="s">
        <v>427</v>
      </c>
      <c r="N1233" s="11" t="s">
        <v>43</v>
      </c>
      <c r="O1233" s="11" t="s">
        <v>96</v>
      </c>
      <c r="P1233" s="11" t="s">
        <v>56</v>
      </c>
      <c r="Q1233" s="11" t="s">
        <v>44</v>
      </c>
      <c r="R1233" s="11" t="s">
        <v>45</v>
      </c>
      <c r="S1233" s="11" t="s">
        <v>45</v>
      </c>
      <c r="T1233" s="11" t="s">
        <v>44</v>
      </c>
      <c r="U1233" s="11" t="s">
        <v>45</v>
      </c>
      <c r="V1233" s="24">
        <v>45363</v>
      </c>
      <c r="W1233" s="11" t="s">
        <v>57</v>
      </c>
      <c r="X1233" s="11" t="s">
        <v>47</v>
      </c>
      <c r="Y1233" s="11" t="s">
        <v>58</v>
      </c>
      <c r="Z1233" s="11">
        <v>81985500133</v>
      </c>
      <c r="AA1233" s="11" t="s">
        <v>105</v>
      </c>
      <c r="AB1233" s="11" t="s">
        <v>98</v>
      </c>
      <c r="AC1233" s="11"/>
      <c r="AD1233" s="11" t="b">
        <v>0</v>
      </c>
      <c r="AF1233" s="11" t="s">
        <v>3983</v>
      </c>
      <c r="AG1233" s="11" t="s">
        <v>3984</v>
      </c>
      <c r="AH1233" s="11"/>
      <c r="AI1233" s="11"/>
    </row>
    <row r="1234" ht="12.5" spans="1:35">
      <c r="A1234" s="177">
        <v>45363.3563412963</v>
      </c>
      <c r="B1234" s="11" t="s">
        <v>3707</v>
      </c>
      <c r="C1234" s="277" t="s">
        <v>3708</v>
      </c>
      <c r="D1234" s="19">
        <v>703409215242819</v>
      </c>
      <c r="E1234" s="18" t="s">
        <v>3985</v>
      </c>
      <c r="F1234" s="11" t="s">
        <v>40</v>
      </c>
      <c r="G1234" s="11" t="s">
        <v>54</v>
      </c>
      <c r="H1234" s="24">
        <v>32820</v>
      </c>
      <c r="I1234" s="277" t="s">
        <v>2073</v>
      </c>
      <c r="J1234" s="11" t="s">
        <v>42</v>
      </c>
      <c r="K1234" s="108" t="s">
        <v>202</v>
      </c>
      <c r="N1234" s="11" t="s">
        <v>43</v>
      </c>
      <c r="O1234" s="11" t="s">
        <v>96</v>
      </c>
      <c r="P1234" s="11" t="s">
        <v>56</v>
      </c>
      <c r="Q1234" s="11" t="s">
        <v>44</v>
      </c>
      <c r="R1234" s="11" t="s">
        <v>45</v>
      </c>
      <c r="S1234" s="11" t="s">
        <v>45</v>
      </c>
      <c r="T1234" s="11" t="s">
        <v>44</v>
      </c>
      <c r="U1234" s="11" t="s">
        <v>45</v>
      </c>
      <c r="V1234" s="24">
        <v>45364</v>
      </c>
      <c r="W1234" s="11" t="s">
        <v>46</v>
      </c>
      <c r="X1234" s="254" t="s">
        <v>67</v>
      </c>
      <c r="Y1234" s="11" t="s">
        <v>58</v>
      </c>
      <c r="Z1234" s="11">
        <v>81984452259</v>
      </c>
      <c r="AA1234" s="11" t="s">
        <v>105</v>
      </c>
      <c r="AB1234" s="11" t="s">
        <v>98</v>
      </c>
      <c r="AC1234" s="11"/>
      <c r="AD1234" s="11" t="b">
        <v>0</v>
      </c>
      <c r="AF1234" s="11" t="s">
        <v>3986</v>
      </c>
      <c r="AG1234" s="11"/>
      <c r="AH1234" s="11"/>
      <c r="AI1234" s="11"/>
    </row>
    <row r="1235" ht="12.5" spans="1:35">
      <c r="A1235" s="177">
        <v>45363.5932465394</v>
      </c>
      <c r="B1235" s="11" t="s">
        <v>3987</v>
      </c>
      <c r="C1235" s="277" t="s">
        <v>3988</v>
      </c>
      <c r="D1235" s="19">
        <v>708204603766643</v>
      </c>
      <c r="E1235" s="18" t="s">
        <v>3989</v>
      </c>
      <c r="F1235" s="11" t="s">
        <v>217</v>
      </c>
      <c r="G1235" s="11" t="s">
        <v>135</v>
      </c>
      <c r="H1235" s="24">
        <v>31831</v>
      </c>
      <c r="I1235" s="277" t="s">
        <v>2339</v>
      </c>
      <c r="J1235" s="11" t="s">
        <v>42</v>
      </c>
      <c r="K1235" s="108" t="s">
        <v>3990</v>
      </c>
      <c r="N1235" s="11" t="s">
        <v>43</v>
      </c>
      <c r="O1235" s="11" t="s">
        <v>44</v>
      </c>
      <c r="P1235" s="11" t="s">
        <v>44</v>
      </c>
      <c r="Q1235" s="11" t="s">
        <v>44</v>
      </c>
      <c r="R1235" s="11" t="s">
        <v>44</v>
      </c>
      <c r="S1235" s="11" t="s">
        <v>44</v>
      </c>
      <c r="T1235" s="11" t="s">
        <v>44</v>
      </c>
      <c r="U1235" s="11" t="s">
        <v>45</v>
      </c>
      <c r="V1235" s="24">
        <v>45364</v>
      </c>
      <c r="W1235" s="11" t="s">
        <v>46</v>
      </c>
      <c r="X1235" s="11" t="s">
        <v>47</v>
      </c>
      <c r="Y1235" s="11" t="s">
        <v>58</v>
      </c>
      <c r="Z1235" s="11">
        <v>81988015557</v>
      </c>
      <c r="AA1235" s="11" t="s">
        <v>113</v>
      </c>
      <c r="AB1235" s="11" t="s">
        <v>49</v>
      </c>
      <c r="AC1235" s="11" t="s">
        <v>50</v>
      </c>
      <c r="AD1235" s="11" t="b">
        <v>1</v>
      </c>
      <c r="AE1235" s="11" t="s">
        <v>137</v>
      </c>
      <c r="AF1235" s="11" t="s">
        <v>3991</v>
      </c>
      <c r="AG1235" s="214" t="s">
        <v>3992</v>
      </c>
      <c r="AH1235" s="11"/>
      <c r="AI1235" s="11"/>
    </row>
    <row r="1236" ht="12.5" spans="1:35">
      <c r="A1236" s="177">
        <v>45364.4432478472</v>
      </c>
      <c r="B1236" s="11" t="s">
        <v>3993</v>
      </c>
      <c r="C1236" s="19">
        <v>13973758417</v>
      </c>
      <c r="D1236" s="19">
        <v>702803109430863</v>
      </c>
      <c r="E1236" s="18" t="s">
        <v>3994</v>
      </c>
      <c r="F1236" s="11" t="s">
        <v>40</v>
      </c>
      <c r="G1236" s="11" t="s">
        <v>54</v>
      </c>
      <c r="H1236" s="24">
        <v>36861</v>
      </c>
      <c r="I1236" s="277" t="s">
        <v>3416</v>
      </c>
      <c r="J1236" s="11" t="s">
        <v>42</v>
      </c>
      <c r="K1236" s="108" t="s">
        <v>3995</v>
      </c>
      <c r="N1236" s="11" t="s">
        <v>43</v>
      </c>
      <c r="O1236" s="11" t="s">
        <v>44</v>
      </c>
      <c r="P1236" s="11" t="s">
        <v>44</v>
      </c>
      <c r="Q1236" s="11" t="s">
        <v>44</v>
      </c>
      <c r="R1236" s="11" t="s">
        <v>45</v>
      </c>
      <c r="S1236" s="11" t="s">
        <v>45</v>
      </c>
      <c r="T1236" s="11" t="s">
        <v>44</v>
      </c>
      <c r="U1236" s="11" t="s">
        <v>44</v>
      </c>
      <c r="W1236" s="11" t="s">
        <v>46</v>
      </c>
      <c r="X1236" s="11" t="s">
        <v>47</v>
      </c>
      <c r="Y1236" s="11" t="s">
        <v>58</v>
      </c>
      <c r="Z1236" s="11">
        <v>81993877340</v>
      </c>
      <c r="AA1236" s="11" t="s">
        <v>115</v>
      </c>
      <c r="AB1236" s="11"/>
      <c r="AC1236" s="11"/>
      <c r="AD1236" s="11" t="b">
        <v>0</v>
      </c>
      <c r="AF1236" s="11"/>
      <c r="AG1236" s="11"/>
      <c r="AH1236" s="11"/>
      <c r="AI1236" s="11"/>
    </row>
    <row r="1237" ht="12.5" spans="1:35">
      <c r="A1237" s="177">
        <v>45364.5766492593</v>
      </c>
      <c r="B1237" s="11" t="s">
        <v>3996</v>
      </c>
      <c r="C1237" s="277" t="s">
        <v>3988</v>
      </c>
      <c r="D1237" s="19">
        <v>708204603766643</v>
      </c>
      <c r="E1237" s="18" t="s">
        <v>3997</v>
      </c>
      <c r="F1237" s="11" t="s">
        <v>217</v>
      </c>
      <c r="G1237" s="11" t="s">
        <v>135</v>
      </c>
      <c r="H1237" s="24">
        <v>31831</v>
      </c>
      <c r="I1237" s="277" t="s">
        <v>2339</v>
      </c>
      <c r="J1237" s="11" t="s">
        <v>42</v>
      </c>
      <c r="K1237" s="108" t="s">
        <v>3990</v>
      </c>
      <c r="N1237" s="11" t="s">
        <v>95</v>
      </c>
      <c r="O1237" s="11" t="s">
        <v>44</v>
      </c>
      <c r="P1237" s="11" t="s">
        <v>44</v>
      </c>
      <c r="Q1237" s="11" t="s">
        <v>44</v>
      </c>
      <c r="R1237" s="11" t="s">
        <v>44</v>
      </c>
      <c r="S1237" s="11" t="s">
        <v>45</v>
      </c>
      <c r="T1237" s="11" t="s">
        <v>44</v>
      </c>
      <c r="U1237" s="11" t="s">
        <v>45</v>
      </c>
      <c r="V1237" s="24">
        <v>45366</v>
      </c>
      <c r="W1237" s="11" t="s">
        <v>57</v>
      </c>
      <c r="X1237" s="11" t="s">
        <v>97</v>
      </c>
      <c r="Y1237" s="11" t="s">
        <v>97</v>
      </c>
      <c r="Z1237" s="11">
        <v>81988015557</v>
      </c>
      <c r="AA1237" s="11" t="s">
        <v>115</v>
      </c>
      <c r="AB1237" s="11" t="s">
        <v>49</v>
      </c>
      <c r="AC1237" s="11" t="s">
        <v>256</v>
      </c>
      <c r="AD1237" s="11" t="b">
        <v>0</v>
      </c>
      <c r="AF1237" s="11" t="s">
        <v>3998</v>
      </c>
      <c r="AG1237" s="11"/>
      <c r="AH1237" s="11"/>
      <c r="AI1237" s="11"/>
    </row>
    <row r="1238" ht="12.5" spans="1:35">
      <c r="A1238" s="177">
        <v>45364.6274859144</v>
      </c>
      <c r="B1238" s="11" t="s">
        <v>3015</v>
      </c>
      <c r="C1238" s="277" t="s">
        <v>3016</v>
      </c>
      <c r="D1238" s="19">
        <v>706208590259767</v>
      </c>
      <c r="E1238" s="18" t="s">
        <v>3999</v>
      </c>
      <c r="F1238" s="11" t="s">
        <v>40</v>
      </c>
      <c r="G1238" s="11" t="s">
        <v>54</v>
      </c>
      <c r="H1238" s="24">
        <v>33363</v>
      </c>
      <c r="I1238" s="277" t="s">
        <v>2837</v>
      </c>
      <c r="J1238" s="11" t="s">
        <v>42</v>
      </c>
      <c r="K1238" s="108" t="s">
        <v>202</v>
      </c>
      <c r="N1238" s="11" t="s">
        <v>43</v>
      </c>
      <c r="O1238" s="11" t="s">
        <v>44</v>
      </c>
      <c r="P1238" s="11" t="s">
        <v>44</v>
      </c>
      <c r="Q1238" s="11" t="s">
        <v>45</v>
      </c>
      <c r="R1238" s="11" t="s">
        <v>45</v>
      </c>
      <c r="S1238" s="11" t="s">
        <v>45</v>
      </c>
      <c r="T1238" s="11" t="s">
        <v>44</v>
      </c>
      <c r="U1238" s="11" t="s">
        <v>44</v>
      </c>
      <c r="W1238" s="11" t="s">
        <v>46</v>
      </c>
      <c r="X1238" s="11" t="s">
        <v>47</v>
      </c>
      <c r="Y1238" s="11" t="s">
        <v>58</v>
      </c>
      <c r="Z1238" s="11">
        <v>81998388026</v>
      </c>
      <c r="AA1238" s="11" t="s">
        <v>103</v>
      </c>
      <c r="AB1238" s="11"/>
      <c r="AC1238" s="11"/>
      <c r="AD1238" s="11" t="b">
        <v>0</v>
      </c>
      <c r="AF1238" s="11"/>
      <c r="AG1238" s="11"/>
      <c r="AH1238" s="11"/>
      <c r="AI1238" s="11"/>
    </row>
    <row r="1239" ht="12.5" spans="1:35">
      <c r="A1239" s="177">
        <v>45364.6467261806</v>
      </c>
      <c r="B1239" s="11" t="s">
        <v>4000</v>
      </c>
      <c r="C1239" s="19">
        <v>11267539470</v>
      </c>
      <c r="D1239" s="19">
        <v>702104741250695</v>
      </c>
      <c r="E1239" s="18" t="s">
        <v>4001</v>
      </c>
      <c r="F1239" s="11" t="s">
        <v>40</v>
      </c>
      <c r="G1239" s="11" t="s">
        <v>41</v>
      </c>
      <c r="H1239" s="24">
        <v>34899</v>
      </c>
      <c r="I1239" s="277" t="s">
        <v>4002</v>
      </c>
      <c r="J1239" s="11" t="s">
        <v>42</v>
      </c>
      <c r="K1239" s="108" t="s">
        <v>356</v>
      </c>
      <c r="N1239" s="11" t="s">
        <v>43</v>
      </c>
      <c r="O1239" s="11" t="s">
        <v>96</v>
      </c>
      <c r="P1239" s="11" t="s">
        <v>66</v>
      </c>
      <c r="Q1239" s="11" t="s">
        <v>44</v>
      </c>
      <c r="R1239" s="11" t="s">
        <v>45</v>
      </c>
      <c r="S1239" s="11" t="s">
        <v>45</v>
      </c>
      <c r="T1239" s="11" t="s">
        <v>44</v>
      </c>
      <c r="U1239" s="11" t="s">
        <v>45</v>
      </c>
      <c r="V1239" s="24">
        <v>45365</v>
      </c>
      <c r="W1239" s="11" t="s">
        <v>57</v>
      </c>
      <c r="X1239" s="11" t="s">
        <v>47</v>
      </c>
      <c r="Y1239" s="11" t="s">
        <v>58</v>
      </c>
      <c r="Z1239" s="11">
        <v>81984467712</v>
      </c>
      <c r="AA1239" s="11" t="s">
        <v>4003</v>
      </c>
      <c r="AB1239" s="11" t="s">
        <v>49</v>
      </c>
      <c r="AC1239" s="11" t="s">
        <v>50</v>
      </c>
      <c r="AD1239" s="11" t="b">
        <v>0</v>
      </c>
      <c r="AF1239" s="214" t="s">
        <v>4004</v>
      </c>
      <c r="AG1239" s="11"/>
      <c r="AH1239" s="11"/>
      <c r="AI1239" s="11"/>
    </row>
    <row r="1240" ht="12.5" spans="1:35">
      <c r="A1240" s="177">
        <v>45364.6989926852</v>
      </c>
      <c r="B1240" s="11" t="s">
        <v>3970</v>
      </c>
      <c r="C1240" s="19">
        <v>11608060470</v>
      </c>
      <c r="D1240" s="19">
        <v>708004814765525</v>
      </c>
      <c r="F1240" s="11" t="s">
        <v>40</v>
      </c>
      <c r="G1240" s="11" t="s">
        <v>54</v>
      </c>
      <c r="H1240" s="24">
        <v>35436</v>
      </c>
      <c r="I1240" s="277" t="s">
        <v>2454</v>
      </c>
      <c r="J1240" s="11" t="s">
        <v>42</v>
      </c>
      <c r="K1240" s="108" t="s">
        <v>74</v>
      </c>
      <c r="N1240" s="11" t="s">
        <v>95</v>
      </c>
      <c r="O1240" s="11" t="s">
        <v>44</v>
      </c>
      <c r="P1240" s="11" t="s">
        <v>44</v>
      </c>
      <c r="Q1240" s="11" t="s">
        <v>44</v>
      </c>
      <c r="R1240" s="11" t="s">
        <v>45</v>
      </c>
      <c r="S1240" s="11" t="s">
        <v>45</v>
      </c>
      <c r="T1240" s="11" t="s">
        <v>44</v>
      </c>
      <c r="U1240" s="11" t="s">
        <v>44</v>
      </c>
      <c r="W1240" s="11" t="s">
        <v>57</v>
      </c>
      <c r="X1240" s="11" t="s">
        <v>97</v>
      </c>
      <c r="Y1240" s="11" t="s">
        <v>97</v>
      </c>
      <c r="Z1240" s="11">
        <v>81997157620</v>
      </c>
      <c r="AA1240" s="11" t="s">
        <v>115</v>
      </c>
      <c r="AB1240" s="11"/>
      <c r="AC1240" s="11"/>
      <c r="AD1240" s="11" t="b">
        <v>0</v>
      </c>
      <c r="AF1240" s="11"/>
      <c r="AG1240" s="11"/>
      <c r="AH1240" s="11"/>
      <c r="AI1240" s="11"/>
    </row>
    <row r="1241" ht="12.5" spans="1:35">
      <c r="A1241" s="177">
        <v>45365.3593104745</v>
      </c>
      <c r="B1241" s="11" t="s">
        <v>4005</v>
      </c>
      <c r="C1241" s="277" t="s">
        <v>4006</v>
      </c>
      <c r="D1241" s="19">
        <v>708201632190743</v>
      </c>
      <c r="E1241" s="18" t="s">
        <v>4007</v>
      </c>
      <c r="F1241" s="11" t="s">
        <v>40</v>
      </c>
      <c r="G1241" s="11" t="s">
        <v>54</v>
      </c>
      <c r="H1241" s="24">
        <v>34446</v>
      </c>
      <c r="I1241" s="277" t="s">
        <v>2599</v>
      </c>
      <c r="J1241" s="11" t="s">
        <v>42</v>
      </c>
      <c r="K1241" s="108" t="s">
        <v>427</v>
      </c>
      <c r="N1241" s="11" t="s">
        <v>43</v>
      </c>
      <c r="O1241" s="11" t="s">
        <v>44</v>
      </c>
      <c r="P1241" s="11" t="s">
        <v>44</v>
      </c>
      <c r="Q1241" s="11" t="s">
        <v>44</v>
      </c>
      <c r="R1241" s="11" t="s">
        <v>45</v>
      </c>
      <c r="S1241" s="11" t="s">
        <v>44</v>
      </c>
      <c r="T1241" s="11" t="s">
        <v>44</v>
      </c>
      <c r="U1241" s="11" t="s">
        <v>45</v>
      </c>
      <c r="V1241" s="24">
        <v>45366</v>
      </c>
      <c r="W1241" s="11" t="s">
        <v>46</v>
      </c>
      <c r="X1241" s="11" t="s">
        <v>203</v>
      </c>
      <c r="Y1241" s="11" t="s">
        <v>58</v>
      </c>
      <c r="Z1241" s="11">
        <v>81988861025</v>
      </c>
      <c r="AA1241" s="11" t="s">
        <v>3919</v>
      </c>
      <c r="AB1241" s="11" t="s">
        <v>98</v>
      </c>
      <c r="AC1241" s="11"/>
      <c r="AD1241" s="11" t="b">
        <v>0</v>
      </c>
      <c r="AF1241" s="11" t="s">
        <v>4008</v>
      </c>
      <c r="AG1241" s="11" t="s">
        <v>4009</v>
      </c>
      <c r="AH1241" s="11"/>
      <c r="AI1241" s="11"/>
    </row>
    <row r="1242" ht="12.5" spans="1:35">
      <c r="A1242" s="177">
        <v>45365.4112339352</v>
      </c>
      <c r="B1242" s="11" t="s">
        <v>4000</v>
      </c>
      <c r="C1242" s="19">
        <v>11267539470</v>
      </c>
      <c r="D1242" s="19">
        <v>702104741250695</v>
      </c>
      <c r="F1242" s="11" t="s">
        <v>40</v>
      </c>
      <c r="G1242" s="11" t="s">
        <v>41</v>
      </c>
      <c r="H1242" s="24">
        <v>34899</v>
      </c>
      <c r="I1242" s="277" t="s">
        <v>4002</v>
      </c>
      <c r="J1242" s="11" t="s">
        <v>42</v>
      </c>
      <c r="K1242" s="108" t="s">
        <v>356</v>
      </c>
      <c r="N1242" s="11" t="s">
        <v>95</v>
      </c>
      <c r="O1242" s="11" t="s">
        <v>127</v>
      </c>
      <c r="P1242" s="11" t="s">
        <v>44</v>
      </c>
      <c r="Q1242" s="11" t="s">
        <v>44</v>
      </c>
      <c r="R1242" s="11" t="s">
        <v>45</v>
      </c>
      <c r="S1242" s="11" t="s">
        <v>45</v>
      </c>
      <c r="T1242" s="11" t="s">
        <v>44</v>
      </c>
      <c r="U1242" s="11" t="s">
        <v>45</v>
      </c>
      <c r="V1242" s="24">
        <v>45367</v>
      </c>
      <c r="W1242" s="11" t="s">
        <v>57</v>
      </c>
      <c r="X1242" s="11" t="s">
        <v>97</v>
      </c>
      <c r="Y1242" s="11" t="s">
        <v>97</v>
      </c>
      <c r="Z1242" s="11">
        <v>81984467712</v>
      </c>
      <c r="AA1242" s="11" t="s">
        <v>115</v>
      </c>
      <c r="AB1242" s="11" t="s">
        <v>49</v>
      </c>
      <c r="AC1242" s="11" t="s">
        <v>92</v>
      </c>
      <c r="AD1242" s="11" t="b">
        <v>1</v>
      </c>
      <c r="AE1242" s="11" t="s">
        <v>137</v>
      </c>
      <c r="AF1242" s="11" t="s">
        <v>4010</v>
      </c>
      <c r="AG1242" s="11" t="s">
        <v>4011</v>
      </c>
      <c r="AH1242" s="11"/>
      <c r="AI1242" s="11"/>
    </row>
    <row r="1243" ht="12.5" spans="1:35">
      <c r="A1243" s="177">
        <v>45365.4461053125</v>
      </c>
      <c r="B1243" s="11" t="s">
        <v>3141</v>
      </c>
      <c r="C1243" s="19">
        <v>71053651457</v>
      </c>
      <c r="D1243" s="19">
        <v>706700704298020</v>
      </c>
      <c r="E1243" s="18" t="s">
        <v>4012</v>
      </c>
      <c r="F1243" s="11" t="s">
        <v>40</v>
      </c>
      <c r="G1243" s="11" t="s">
        <v>54</v>
      </c>
      <c r="H1243" s="24">
        <v>38065</v>
      </c>
      <c r="I1243" s="19" t="s">
        <v>3556</v>
      </c>
      <c r="J1243" s="11" t="s">
        <v>438</v>
      </c>
      <c r="K1243" s="108"/>
      <c r="M1243" s="11" t="s">
        <v>1669</v>
      </c>
      <c r="N1243" s="11" t="s">
        <v>43</v>
      </c>
      <c r="O1243" s="11" t="s">
        <v>96</v>
      </c>
      <c r="P1243" s="11" t="s">
        <v>66</v>
      </c>
      <c r="Q1243" s="11" t="s">
        <v>44</v>
      </c>
      <c r="R1243" s="11" t="s">
        <v>45</v>
      </c>
      <c r="S1243" s="11" t="s">
        <v>45</v>
      </c>
      <c r="T1243" s="11" t="s">
        <v>44</v>
      </c>
      <c r="U1243" s="11" t="s">
        <v>45</v>
      </c>
      <c r="V1243" s="24">
        <v>45366</v>
      </c>
      <c r="W1243" s="11" t="s">
        <v>46</v>
      </c>
      <c r="X1243" s="11" t="s">
        <v>47</v>
      </c>
      <c r="Y1243" s="11" t="s">
        <v>58</v>
      </c>
      <c r="Z1243" s="11">
        <v>81988623208</v>
      </c>
      <c r="AA1243" s="11" t="s">
        <v>3919</v>
      </c>
      <c r="AB1243" s="11" t="s">
        <v>49</v>
      </c>
      <c r="AC1243" s="11" t="s">
        <v>92</v>
      </c>
      <c r="AD1243" s="11" t="b">
        <v>0</v>
      </c>
      <c r="AF1243" s="11" t="s">
        <v>4013</v>
      </c>
      <c r="AG1243" s="11" t="s">
        <v>4014</v>
      </c>
      <c r="AH1243" s="11"/>
      <c r="AI1243" s="11"/>
    </row>
    <row r="1244" ht="12.5" spans="1:35">
      <c r="A1244" s="177">
        <v>45365.4560058449</v>
      </c>
      <c r="B1244" s="11" t="s">
        <v>4015</v>
      </c>
      <c r="C1244" s="19">
        <v>11754544436</v>
      </c>
      <c r="D1244" s="19">
        <v>709200279783635</v>
      </c>
      <c r="E1244" s="18" t="s">
        <v>4016</v>
      </c>
      <c r="F1244" s="11" t="s">
        <v>40</v>
      </c>
      <c r="G1244" s="11" t="s">
        <v>41</v>
      </c>
      <c r="H1244" s="24">
        <v>34934</v>
      </c>
      <c r="I1244" s="277" t="s">
        <v>3610</v>
      </c>
      <c r="J1244" s="11" t="s">
        <v>42</v>
      </c>
      <c r="K1244" s="108" t="s">
        <v>4017</v>
      </c>
      <c r="N1244" s="11" t="s">
        <v>43</v>
      </c>
      <c r="O1244" s="11" t="s">
        <v>65</v>
      </c>
      <c r="P1244" s="11" t="s">
        <v>2559</v>
      </c>
      <c r="Q1244" s="11" t="s">
        <v>44</v>
      </c>
      <c r="R1244" s="11" t="s">
        <v>45</v>
      </c>
      <c r="S1244" s="11" t="s">
        <v>45</v>
      </c>
      <c r="T1244" s="11" t="s">
        <v>44</v>
      </c>
      <c r="U1244" s="11" t="s">
        <v>44</v>
      </c>
      <c r="W1244" s="11" t="s">
        <v>46</v>
      </c>
      <c r="X1244" s="11" t="s">
        <v>47</v>
      </c>
      <c r="Y1244" s="11" t="s">
        <v>185</v>
      </c>
      <c r="Z1244" s="11">
        <v>81984607615</v>
      </c>
      <c r="AA1244" s="11" t="s">
        <v>4018</v>
      </c>
      <c r="AB1244" s="11"/>
      <c r="AC1244" s="11"/>
      <c r="AD1244" s="11" t="b">
        <v>0</v>
      </c>
      <c r="AF1244" s="11"/>
      <c r="AG1244" s="11"/>
      <c r="AH1244" s="11"/>
      <c r="AI1244" s="11"/>
    </row>
    <row r="1245" ht="12.5" spans="1:35">
      <c r="A1245" s="177">
        <v>45365.6772024306</v>
      </c>
      <c r="B1245" s="11" t="s">
        <v>4019</v>
      </c>
      <c r="C1245" s="19">
        <v>71228826404</v>
      </c>
      <c r="D1245" s="19">
        <v>898003836744750</v>
      </c>
      <c r="E1245" s="18" t="s">
        <v>4020</v>
      </c>
      <c r="F1245" s="11" t="s">
        <v>40</v>
      </c>
      <c r="G1245" s="11" t="s">
        <v>54</v>
      </c>
      <c r="H1245" s="24">
        <v>36588</v>
      </c>
      <c r="I1245" s="19" t="s">
        <v>136</v>
      </c>
      <c r="J1245" s="11" t="s">
        <v>42</v>
      </c>
      <c r="K1245" s="108" t="s">
        <v>427</v>
      </c>
      <c r="N1245" s="11" t="s">
        <v>43</v>
      </c>
      <c r="O1245" s="11" t="s">
        <v>96</v>
      </c>
      <c r="P1245" s="11" t="s">
        <v>66</v>
      </c>
      <c r="Q1245" s="11" t="s">
        <v>44</v>
      </c>
      <c r="R1245" s="11" t="s">
        <v>45</v>
      </c>
      <c r="S1245" s="11" t="s">
        <v>45</v>
      </c>
      <c r="T1245" s="11" t="s">
        <v>44</v>
      </c>
      <c r="U1245" s="11" t="s">
        <v>45</v>
      </c>
      <c r="V1245" s="24">
        <v>45366</v>
      </c>
      <c r="W1245" s="11" t="s">
        <v>46</v>
      </c>
      <c r="X1245" s="11" t="s">
        <v>47</v>
      </c>
      <c r="Y1245" s="11" t="s">
        <v>58</v>
      </c>
      <c r="Z1245" s="11">
        <v>81987812320</v>
      </c>
      <c r="AA1245" s="11" t="s">
        <v>3919</v>
      </c>
      <c r="AB1245" s="11" t="s">
        <v>49</v>
      </c>
      <c r="AC1245" s="11" t="s">
        <v>92</v>
      </c>
      <c r="AD1245" s="11" t="b">
        <v>1</v>
      </c>
      <c r="AE1245" s="11" t="s">
        <v>137</v>
      </c>
      <c r="AF1245" s="11" t="s">
        <v>4021</v>
      </c>
      <c r="AG1245" s="11"/>
      <c r="AH1245" s="11"/>
      <c r="AI1245" s="11"/>
    </row>
    <row r="1246" ht="12.5" spans="1:35">
      <c r="A1246" s="177">
        <v>45365.8001259143</v>
      </c>
      <c r="B1246" s="11" t="s">
        <v>4022</v>
      </c>
      <c r="C1246" s="19">
        <v>70292521448</v>
      </c>
      <c r="D1246" s="19">
        <v>700301934830331</v>
      </c>
      <c r="E1246" s="18" t="s">
        <v>4023</v>
      </c>
      <c r="F1246" s="11" t="s">
        <v>40</v>
      </c>
      <c r="G1246" s="11" t="s">
        <v>88</v>
      </c>
      <c r="H1246" s="24">
        <v>37235</v>
      </c>
      <c r="I1246" s="19" t="s">
        <v>865</v>
      </c>
      <c r="J1246" s="11" t="s">
        <v>42</v>
      </c>
      <c r="K1246" s="108" t="s">
        <v>2760</v>
      </c>
      <c r="N1246" s="11" t="s">
        <v>43</v>
      </c>
      <c r="O1246" s="11" t="s">
        <v>65</v>
      </c>
      <c r="P1246" s="11" t="s">
        <v>2559</v>
      </c>
      <c r="Q1246" s="11" t="s">
        <v>44</v>
      </c>
      <c r="R1246" s="11" t="s">
        <v>45</v>
      </c>
      <c r="S1246" s="11" t="s">
        <v>45</v>
      </c>
      <c r="T1246" s="11" t="s">
        <v>44</v>
      </c>
      <c r="U1246" s="11" t="s">
        <v>45</v>
      </c>
      <c r="V1246" s="24">
        <v>45366</v>
      </c>
      <c r="W1246" s="11" t="s">
        <v>46</v>
      </c>
      <c r="X1246" s="11" t="s">
        <v>203</v>
      </c>
      <c r="Y1246" s="11" t="s">
        <v>58</v>
      </c>
      <c r="Z1246" s="11">
        <v>81996224087</v>
      </c>
      <c r="AA1246" s="11" t="s">
        <v>115</v>
      </c>
      <c r="AB1246" s="11" t="s">
        <v>49</v>
      </c>
      <c r="AC1246" s="11" t="s">
        <v>92</v>
      </c>
      <c r="AD1246" s="11" t="b">
        <v>1</v>
      </c>
      <c r="AE1246" s="11" t="s">
        <v>137</v>
      </c>
      <c r="AF1246" s="11" t="s">
        <v>4024</v>
      </c>
      <c r="AG1246" s="11" t="s">
        <v>4025</v>
      </c>
      <c r="AH1246" s="11"/>
      <c r="AI1246" s="11"/>
    </row>
    <row r="1247" ht="12.5" spans="1:35">
      <c r="A1247" s="177">
        <v>45366.3670536111</v>
      </c>
      <c r="B1247" s="11" t="s">
        <v>3996</v>
      </c>
      <c r="C1247" s="277" t="s">
        <v>3988</v>
      </c>
      <c r="D1247" s="19">
        <v>708204603766643</v>
      </c>
      <c r="F1247" s="11" t="s">
        <v>217</v>
      </c>
      <c r="G1247" s="11" t="s">
        <v>135</v>
      </c>
      <c r="H1247" s="24">
        <v>31831</v>
      </c>
      <c r="I1247" s="277" t="s">
        <v>2339</v>
      </c>
      <c r="J1247" s="11" t="s">
        <v>42</v>
      </c>
      <c r="K1247" s="108" t="s">
        <v>4026</v>
      </c>
      <c r="N1247" s="11" t="s">
        <v>95</v>
      </c>
      <c r="O1247" s="11" t="s">
        <v>44</v>
      </c>
      <c r="P1247" s="11" t="s">
        <v>44</v>
      </c>
      <c r="Q1247" s="11" t="s">
        <v>44</v>
      </c>
      <c r="R1247" s="11" t="s">
        <v>45</v>
      </c>
      <c r="S1247" s="11" t="s">
        <v>45</v>
      </c>
      <c r="T1247" s="11" t="s">
        <v>44</v>
      </c>
      <c r="U1247" s="11" t="s">
        <v>44</v>
      </c>
      <c r="W1247" s="11" t="s">
        <v>57</v>
      </c>
      <c r="X1247" s="11" t="s">
        <v>97</v>
      </c>
      <c r="Y1247" s="11" t="s">
        <v>97</v>
      </c>
      <c r="Z1247" s="11">
        <v>81988015557</v>
      </c>
      <c r="AA1247" s="11" t="s">
        <v>1360</v>
      </c>
      <c r="AB1247" s="11"/>
      <c r="AC1247" s="11"/>
      <c r="AD1247" s="11" t="b">
        <v>0</v>
      </c>
      <c r="AF1247" s="11"/>
      <c r="AG1247" s="11"/>
      <c r="AH1247" s="11"/>
      <c r="AI1247" s="11"/>
    </row>
    <row r="1248" ht="12.5" spans="1:35">
      <c r="A1248" s="177">
        <v>45366.589346331</v>
      </c>
      <c r="B1248" s="11" t="s">
        <v>4019</v>
      </c>
      <c r="C1248" s="19">
        <v>71228826404</v>
      </c>
      <c r="D1248" s="19">
        <v>898003836744750</v>
      </c>
      <c r="E1248" s="18" t="s">
        <v>4027</v>
      </c>
      <c r="F1248" s="11" t="s">
        <v>40</v>
      </c>
      <c r="G1248" s="11" t="s">
        <v>54</v>
      </c>
      <c r="H1248" s="24">
        <v>36588</v>
      </c>
      <c r="I1248" s="19" t="s">
        <v>1310</v>
      </c>
      <c r="J1248" s="11" t="s">
        <v>42</v>
      </c>
      <c r="K1248" s="108" t="s">
        <v>427</v>
      </c>
      <c r="N1248" s="11" t="s">
        <v>95</v>
      </c>
      <c r="O1248" s="11" t="s">
        <v>44</v>
      </c>
      <c r="P1248" s="11" t="s">
        <v>44</v>
      </c>
      <c r="Q1248" s="11" t="s">
        <v>44</v>
      </c>
      <c r="R1248" s="11" t="s">
        <v>45</v>
      </c>
      <c r="S1248" s="11" t="s">
        <v>45</v>
      </c>
      <c r="T1248" s="11" t="s">
        <v>44</v>
      </c>
      <c r="U1248" s="11" t="s">
        <v>45</v>
      </c>
      <c r="V1248" s="24">
        <v>45368</v>
      </c>
      <c r="W1248" s="11" t="s">
        <v>46</v>
      </c>
      <c r="X1248" s="11" t="s">
        <v>97</v>
      </c>
      <c r="Y1248" s="11" t="s">
        <v>97</v>
      </c>
      <c r="Z1248" s="11">
        <v>81987812320</v>
      </c>
      <c r="AA1248" s="11" t="s">
        <v>91</v>
      </c>
      <c r="AB1248" s="11" t="s">
        <v>98</v>
      </c>
      <c r="AC1248" s="11"/>
      <c r="AD1248" s="11" t="b">
        <v>0</v>
      </c>
      <c r="AF1248" s="11" t="s">
        <v>4028</v>
      </c>
      <c r="AG1248" s="11" t="s">
        <v>4029</v>
      </c>
      <c r="AH1248" s="11"/>
      <c r="AI1248" s="11"/>
    </row>
    <row r="1249" ht="12.5" spans="1:35">
      <c r="A1249" s="177">
        <v>45366.6032910764</v>
      </c>
      <c r="B1249" s="11" t="s">
        <v>4030</v>
      </c>
      <c r="C1249" s="19">
        <v>71171552483</v>
      </c>
      <c r="D1249" s="19">
        <v>702400036521121</v>
      </c>
      <c r="E1249" s="18" t="s">
        <v>4031</v>
      </c>
      <c r="F1249" s="11" t="s">
        <v>40</v>
      </c>
      <c r="G1249" s="11" t="s">
        <v>54</v>
      </c>
      <c r="H1249" s="24">
        <v>37679</v>
      </c>
      <c r="I1249" s="277" t="s">
        <v>1708</v>
      </c>
      <c r="J1249" s="11" t="s">
        <v>81</v>
      </c>
      <c r="K1249" s="108"/>
      <c r="L1249" s="11" t="s">
        <v>109</v>
      </c>
      <c r="N1249" s="11" t="s">
        <v>43</v>
      </c>
      <c r="O1249" s="11" t="s">
        <v>44</v>
      </c>
      <c r="P1249" s="11" t="s">
        <v>44</v>
      </c>
      <c r="Q1249" s="11" t="s">
        <v>44</v>
      </c>
      <c r="R1249" s="11" t="s">
        <v>45</v>
      </c>
      <c r="S1249" s="11" t="s">
        <v>45</v>
      </c>
      <c r="T1249" s="11" t="s">
        <v>44</v>
      </c>
      <c r="U1249" s="11" t="s">
        <v>44</v>
      </c>
      <c r="W1249" s="11" t="s">
        <v>46</v>
      </c>
      <c r="X1249" s="11" t="s">
        <v>47</v>
      </c>
      <c r="Y1249" s="11" t="s">
        <v>58</v>
      </c>
      <c r="Z1249" s="11">
        <v>81986321327</v>
      </c>
      <c r="AA1249" s="11" t="s">
        <v>1360</v>
      </c>
      <c r="AB1249" s="11"/>
      <c r="AC1249" s="11"/>
      <c r="AD1249" s="11" t="b">
        <v>0</v>
      </c>
      <c r="AF1249" s="11"/>
      <c r="AG1249" s="11"/>
      <c r="AH1249" s="11"/>
      <c r="AI1249" s="11"/>
    </row>
    <row r="1250" ht="12.5" spans="1:35">
      <c r="A1250" s="177">
        <v>45366.6434726042</v>
      </c>
      <c r="B1250" s="11" t="s">
        <v>4032</v>
      </c>
      <c r="C1250" s="19">
        <v>70292521448</v>
      </c>
      <c r="D1250" s="19">
        <v>700301934830331</v>
      </c>
      <c r="E1250" s="18" t="s">
        <v>4033</v>
      </c>
      <c r="F1250" s="11" t="s">
        <v>40</v>
      </c>
      <c r="G1250" s="11" t="s">
        <v>88</v>
      </c>
      <c r="H1250" s="24">
        <v>37235</v>
      </c>
      <c r="I1250" s="19" t="s">
        <v>865</v>
      </c>
      <c r="J1250" s="11" t="s">
        <v>42</v>
      </c>
      <c r="K1250" s="108" t="s">
        <v>2760</v>
      </c>
      <c r="N1250" s="11" t="s">
        <v>95</v>
      </c>
      <c r="O1250" s="11" t="s">
        <v>44</v>
      </c>
      <c r="P1250" s="11" t="s">
        <v>44</v>
      </c>
      <c r="Q1250" s="11" t="s">
        <v>44</v>
      </c>
      <c r="R1250" s="11" t="s">
        <v>45</v>
      </c>
      <c r="S1250" s="11" t="s">
        <v>45</v>
      </c>
      <c r="T1250" s="11" t="s">
        <v>44</v>
      </c>
      <c r="U1250" s="11" t="s">
        <v>45</v>
      </c>
      <c r="V1250" s="24">
        <v>45367</v>
      </c>
      <c r="W1250" s="11" t="s">
        <v>46</v>
      </c>
      <c r="X1250" s="11" t="s">
        <v>97</v>
      </c>
      <c r="Y1250" s="11" t="s">
        <v>97</v>
      </c>
      <c r="Z1250" s="11">
        <v>81996224087</v>
      </c>
      <c r="AA1250" s="11" t="s">
        <v>91</v>
      </c>
      <c r="AB1250" s="11" t="s">
        <v>49</v>
      </c>
      <c r="AC1250" s="11" t="s">
        <v>92</v>
      </c>
      <c r="AD1250" s="11" t="b">
        <v>0</v>
      </c>
      <c r="AF1250" s="11" t="s">
        <v>4034</v>
      </c>
      <c r="AG1250" s="11"/>
      <c r="AH1250" s="11"/>
      <c r="AI1250" s="11"/>
    </row>
    <row r="1251" ht="12.5" spans="1:35">
      <c r="A1251" s="177">
        <v>45366.6644564931</v>
      </c>
      <c r="B1251" s="11" t="s">
        <v>3141</v>
      </c>
      <c r="C1251" s="19">
        <v>71053651457</v>
      </c>
      <c r="D1251" s="19">
        <v>706700704298020</v>
      </c>
      <c r="F1251" s="11" t="s">
        <v>40</v>
      </c>
      <c r="G1251" s="11" t="s">
        <v>54</v>
      </c>
      <c r="H1251" s="24">
        <v>38065</v>
      </c>
      <c r="I1251" s="19" t="s">
        <v>4035</v>
      </c>
      <c r="J1251" s="11" t="s">
        <v>438</v>
      </c>
      <c r="K1251" s="108"/>
      <c r="M1251" s="11" t="s">
        <v>1669</v>
      </c>
      <c r="N1251" s="11" t="s">
        <v>95</v>
      </c>
      <c r="O1251" s="11" t="s">
        <v>127</v>
      </c>
      <c r="P1251" s="11" t="s">
        <v>44</v>
      </c>
      <c r="Q1251" s="11" t="s">
        <v>44</v>
      </c>
      <c r="R1251" s="11" t="s">
        <v>45</v>
      </c>
      <c r="S1251" s="11" t="s">
        <v>45</v>
      </c>
      <c r="T1251" s="11" t="s">
        <v>44</v>
      </c>
      <c r="U1251" s="11" t="s">
        <v>44</v>
      </c>
      <c r="W1251" s="11" t="s">
        <v>57</v>
      </c>
      <c r="X1251" s="11" t="s">
        <v>97</v>
      </c>
      <c r="Y1251" s="11" t="s">
        <v>97</v>
      </c>
      <c r="Z1251" s="11">
        <v>81988623208</v>
      </c>
      <c r="AA1251" s="11" t="s">
        <v>91</v>
      </c>
      <c r="AB1251" s="11"/>
      <c r="AC1251" s="11"/>
      <c r="AD1251" s="11" t="b">
        <v>0</v>
      </c>
      <c r="AF1251" s="11"/>
      <c r="AG1251" s="11"/>
      <c r="AH1251" s="11"/>
      <c r="AI1251" s="11"/>
    </row>
    <row r="1252" ht="12.5" spans="1:35">
      <c r="A1252" s="177">
        <v>45367.6178623032</v>
      </c>
      <c r="B1252" s="11" t="s">
        <v>4032</v>
      </c>
      <c r="C1252" s="19">
        <v>70292521448</v>
      </c>
      <c r="D1252" s="19">
        <v>700301934830331</v>
      </c>
      <c r="F1252" s="11" t="s">
        <v>40</v>
      </c>
      <c r="G1252" s="11" t="s">
        <v>88</v>
      </c>
      <c r="H1252" s="24">
        <v>37235</v>
      </c>
      <c r="I1252" s="19" t="s">
        <v>865</v>
      </c>
      <c r="J1252" s="11" t="s">
        <v>42</v>
      </c>
      <c r="K1252" s="108" t="s">
        <v>2760</v>
      </c>
      <c r="N1252" s="11" t="s">
        <v>95</v>
      </c>
      <c r="O1252" s="11" t="s">
        <v>44</v>
      </c>
      <c r="P1252" s="11" t="s">
        <v>44</v>
      </c>
      <c r="Q1252" s="11" t="s">
        <v>44</v>
      </c>
      <c r="R1252" s="11" t="s">
        <v>45</v>
      </c>
      <c r="S1252" s="11" t="s">
        <v>45</v>
      </c>
      <c r="T1252" s="11" t="s">
        <v>44</v>
      </c>
      <c r="U1252" s="11" t="s">
        <v>44</v>
      </c>
      <c r="W1252" s="11" t="s">
        <v>57</v>
      </c>
      <c r="X1252" s="11" t="s">
        <v>97</v>
      </c>
      <c r="Y1252" s="11" t="s">
        <v>97</v>
      </c>
      <c r="Z1252" s="11">
        <v>81996224087</v>
      </c>
      <c r="AA1252" s="11" t="s">
        <v>91</v>
      </c>
      <c r="AB1252" s="11"/>
      <c r="AC1252" s="11"/>
      <c r="AD1252" s="11" t="b">
        <v>0</v>
      </c>
      <c r="AF1252" s="11"/>
      <c r="AG1252" s="11"/>
      <c r="AH1252" s="11"/>
      <c r="AI1252" s="11"/>
    </row>
    <row r="1253" ht="12.5" spans="1:35">
      <c r="A1253" s="177">
        <v>45367.699585463</v>
      </c>
      <c r="B1253" s="11" t="s">
        <v>4000</v>
      </c>
      <c r="C1253" s="19">
        <v>11267539470</v>
      </c>
      <c r="D1253" s="19">
        <v>702104741250695</v>
      </c>
      <c r="E1253" s="18" t="s">
        <v>4036</v>
      </c>
      <c r="F1253" s="11" t="s">
        <v>40</v>
      </c>
      <c r="G1253" s="11" t="s">
        <v>41</v>
      </c>
      <c r="H1253" s="24">
        <v>34899</v>
      </c>
      <c r="I1253" s="277" t="s">
        <v>4002</v>
      </c>
      <c r="J1253" s="11" t="s">
        <v>42</v>
      </c>
      <c r="K1253" s="108" t="s">
        <v>356</v>
      </c>
      <c r="N1253" s="11" t="s">
        <v>95</v>
      </c>
      <c r="O1253" s="11" t="s">
        <v>44</v>
      </c>
      <c r="P1253" s="11" t="s">
        <v>44</v>
      </c>
      <c r="Q1253" s="11" t="s">
        <v>44</v>
      </c>
      <c r="R1253" s="11" t="s">
        <v>45</v>
      </c>
      <c r="S1253" s="11" t="s">
        <v>45</v>
      </c>
      <c r="T1253" s="11" t="s">
        <v>44</v>
      </c>
      <c r="U1253" s="11" t="s">
        <v>44</v>
      </c>
      <c r="W1253" s="11" t="s">
        <v>57</v>
      </c>
      <c r="X1253" s="11" t="s">
        <v>97</v>
      </c>
      <c r="Y1253" s="11" t="s">
        <v>97</v>
      </c>
      <c r="Z1253" s="11">
        <v>81984467712</v>
      </c>
      <c r="AA1253" s="11" t="s">
        <v>91</v>
      </c>
      <c r="AB1253" s="11"/>
      <c r="AC1253" s="11"/>
      <c r="AD1253" s="11" t="b">
        <v>0</v>
      </c>
      <c r="AF1253" s="11"/>
      <c r="AG1253" s="11"/>
      <c r="AH1253" s="11"/>
      <c r="AI1253" s="11"/>
    </row>
    <row r="1254" ht="12.5" spans="1:35">
      <c r="A1254" s="177">
        <v>45367.7059815625</v>
      </c>
      <c r="B1254" s="11" t="s">
        <v>4037</v>
      </c>
      <c r="C1254" s="19">
        <v>13320250485</v>
      </c>
      <c r="D1254" s="19">
        <v>704202542975790</v>
      </c>
      <c r="E1254" s="18" t="s">
        <v>4038</v>
      </c>
      <c r="F1254" s="11" t="s">
        <v>40</v>
      </c>
      <c r="G1254" s="11" t="s">
        <v>54</v>
      </c>
      <c r="H1254" s="24">
        <v>38890</v>
      </c>
      <c r="I1254" s="19" t="s">
        <v>136</v>
      </c>
      <c r="J1254" s="11" t="s">
        <v>42</v>
      </c>
      <c r="K1254" s="108" t="s">
        <v>399</v>
      </c>
      <c r="N1254" s="11" t="s">
        <v>43</v>
      </c>
      <c r="O1254" s="11" t="s">
        <v>3274</v>
      </c>
      <c r="P1254" s="11" t="s">
        <v>66</v>
      </c>
      <c r="Q1254" s="11" t="s">
        <v>44</v>
      </c>
      <c r="R1254" s="11" t="s">
        <v>45</v>
      </c>
      <c r="S1254" s="11" t="s">
        <v>44</v>
      </c>
      <c r="T1254" s="11" t="s">
        <v>44</v>
      </c>
      <c r="U1254" s="11" t="s">
        <v>45</v>
      </c>
      <c r="V1254" s="24">
        <v>45368</v>
      </c>
      <c r="W1254" s="11" t="s">
        <v>46</v>
      </c>
      <c r="X1254" s="11" t="s">
        <v>303</v>
      </c>
      <c r="Y1254" s="11" t="s">
        <v>68</v>
      </c>
      <c r="Z1254" s="11">
        <v>81994794426</v>
      </c>
      <c r="AA1254" s="11" t="s">
        <v>3919</v>
      </c>
      <c r="AB1254" s="11" t="s">
        <v>98</v>
      </c>
      <c r="AC1254" s="11"/>
      <c r="AD1254" s="11" t="b">
        <v>0</v>
      </c>
      <c r="AF1254" s="11" t="s">
        <v>4039</v>
      </c>
      <c r="AG1254" s="11" t="s">
        <v>4040</v>
      </c>
      <c r="AH1254" s="11"/>
      <c r="AI1254" s="11"/>
    </row>
    <row r="1255" ht="12.5" spans="1:35">
      <c r="A1255" s="177">
        <v>45367.8067560417</v>
      </c>
      <c r="B1255" s="11" t="s">
        <v>3303</v>
      </c>
      <c r="C1255" s="19">
        <v>39403127899</v>
      </c>
      <c r="D1255" s="19">
        <v>701006878226794</v>
      </c>
      <c r="E1255" s="18" t="s">
        <v>4041</v>
      </c>
      <c r="F1255" s="11" t="s">
        <v>40</v>
      </c>
      <c r="G1255" s="11" t="s">
        <v>54</v>
      </c>
      <c r="H1255" s="24">
        <v>37387</v>
      </c>
      <c r="I1255" s="19" t="s">
        <v>3556</v>
      </c>
      <c r="J1255" s="11" t="s">
        <v>438</v>
      </c>
      <c r="K1255" s="108"/>
      <c r="M1255" s="11" t="s">
        <v>4042</v>
      </c>
      <c r="N1255" s="11" t="s">
        <v>43</v>
      </c>
      <c r="O1255" s="11" t="s">
        <v>44</v>
      </c>
      <c r="P1255" s="11" t="s">
        <v>44</v>
      </c>
      <c r="Q1255" s="11" t="s">
        <v>44</v>
      </c>
      <c r="R1255" s="11" t="s">
        <v>45</v>
      </c>
      <c r="S1255" s="11" t="s">
        <v>45</v>
      </c>
      <c r="T1255" s="11" t="s">
        <v>44</v>
      </c>
      <c r="U1255" s="11" t="s">
        <v>45</v>
      </c>
      <c r="V1255" s="24">
        <v>45368</v>
      </c>
      <c r="W1255" s="11" t="s">
        <v>46</v>
      </c>
      <c r="X1255" s="11" t="s">
        <v>303</v>
      </c>
      <c r="Y1255" s="11" t="s">
        <v>68</v>
      </c>
      <c r="Z1255" s="11">
        <v>81997795224</v>
      </c>
      <c r="AA1255" s="11" t="s">
        <v>3919</v>
      </c>
      <c r="AB1255" s="11" t="s">
        <v>98</v>
      </c>
      <c r="AC1255" s="11"/>
      <c r="AD1255" s="11" t="b">
        <v>0</v>
      </c>
      <c r="AF1255" s="11" t="s">
        <v>4043</v>
      </c>
      <c r="AG1255" s="245" t="s">
        <v>4044</v>
      </c>
      <c r="AH1255" s="11"/>
      <c r="AI1255" s="11"/>
    </row>
    <row r="1256" ht="12.5" spans="1:35">
      <c r="A1256" s="177">
        <v>45369.3680454282</v>
      </c>
      <c r="B1256" s="11" t="s">
        <v>4045</v>
      </c>
      <c r="C1256" s="19">
        <v>10566423430</v>
      </c>
      <c r="D1256" s="19">
        <v>704007823903560</v>
      </c>
      <c r="E1256" s="18" t="s">
        <v>4046</v>
      </c>
      <c r="F1256" s="11" t="s">
        <v>40</v>
      </c>
      <c r="G1256" s="11" t="s">
        <v>54</v>
      </c>
      <c r="H1256" s="24">
        <v>35835</v>
      </c>
      <c r="I1256" s="277" t="s">
        <v>4047</v>
      </c>
      <c r="J1256" s="11" t="s">
        <v>42</v>
      </c>
      <c r="K1256" s="108" t="s">
        <v>74</v>
      </c>
      <c r="N1256" s="11" t="s">
        <v>43</v>
      </c>
      <c r="O1256" s="11" t="s">
        <v>96</v>
      </c>
      <c r="P1256" s="11" t="s">
        <v>56</v>
      </c>
      <c r="Q1256" s="11" t="s">
        <v>45</v>
      </c>
      <c r="R1256" s="11" t="s">
        <v>45</v>
      </c>
      <c r="S1256" s="11" t="s">
        <v>45</v>
      </c>
      <c r="T1256" s="11" t="s">
        <v>44</v>
      </c>
      <c r="U1256" s="11" t="s">
        <v>45</v>
      </c>
      <c r="V1256" s="24">
        <v>45372</v>
      </c>
      <c r="W1256" s="11" t="s">
        <v>46</v>
      </c>
      <c r="X1256" s="259" t="s">
        <v>156</v>
      </c>
      <c r="Y1256" s="11" t="s">
        <v>58</v>
      </c>
      <c r="Z1256" s="11">
        <v>81989011281</v>
      </c>
      <c r="AA1256" s="11" t="s">
        <v>105</v>
      </c>
      <c r="AB1256" s="11" t="s">
        <v>49</v>
      </c>
      <c r="AC1256" s="11" t="s">
        <v>50</v>
      </c>
      <c r="AD1256" s="11" t="b">
        <v>0</v>
      </c>
      <c r="AF1256" s="11" t="s">
        <v>4048</v>
      </c>
      <c r="AG1256" s="214" t="s">
        <v>4049</v>
      </c>
      <c r="AH1256" s="11"/>
      <c r="AI1256" s="11"/>
    </row>
    <row r="1257" ht="12.5" spans="1:35">
      <c r="A1257" s="177">
        <v>45369.7724559491</v>
      </c>
      <c r="B1257" s="11" t="s">
        <v>3777</v>
      </c>
      <c r="C1257" s="19">
        <v>11229954406</v>
      </c>
      <c r="D1257" s="19">
        <v>700404429566845</v>
      </c>
      <c r="E1257" s="18" t="s">
        <v>4050</v>
      </c>
      <c r="F1257" s="11" t="s">
        <v>225</v>
      </c>
      <c r="G1257" s="11" t="s">
        <v>54</v>
      </c>
      <c r="H1257" s="24">
        <v>34729</v>
      </c>
      <c r="I1257" s="277" t="s">
        <v>2826</v>
      </c>
      <c r="J1257" s="11" t="s">
        <v>42</v>
      </c>
      <c r="K1257" s="108" t="s">
        <v>63</v>
      </c>
      <c r="N1257" s="11" t="s">
        <v>43</v>
      </c>
      <c r="O1257" s="11" t="s">
        <v>44</v>
      </c>
      <c r="P1257" s="11" t="s">
        <v>44</v>
      </c>
      <c r="Q1257" s="11" t="s">
        <v>45</v>
      </c>
      <c r="R1257" s="11" t="s">
        <v>44</v>
      </c>
      <c r="S1257" s="11" t="s">
        <v>45</v>
      </c>
      <c r="T1257" s="11" t="s">
        <v>44</v>
      </c>
      <c r="U1257" s="11" t="s">
        <v>44</v>
      </c>
      <c r="W1257" s="11" t="s">
        <v>46</v>
      </c>
      <c r="X1257" s="11" t="s">
        <v>203</v>
      </c>
      <c r="Y1257" s="11" t="s">
        <v>58</v>
      </c>
      <c r="Z1257" s="11">
        <v>81984881221</v>
      </c>
      <c r="AA1257" s="11" t="s">
        <v>105</v>
      </c>
      <c r="AB1257" s="11"/>
      <c r="AC1257" s="11"/>
      <c r="AD1257" s="11" t="b">
        <v>0</v>
      </c>
      <c r="AF1257" s="11"/>
      <c r="AG1257" s="11"/>
      <c r="AH1257" s="11"/>
      <c r="AI1257" s="11"/>
    </row>
    <row r="1258" ht="12.5" spans="1:35">
      <c r="A1258" s="177">
        <v>45370.362383206</v>
      </c>
      <c r="B1258" s="11" t="s">
        <v>3890</v>
      </c>
      <c r="C1258" s="19">
        <v>71492471488</v>
      </c>
      <c r="D1258" s="19">
        <v>898003275844239</v>
      </c>
      <c r="F1258" s="11" t="s">
        <v>40</v>
      </c>
      <c r="G1258" s="11" t="s">
        <v>54</v>
      </c>
      <c r="H1258" s="24">
        <v>38242</v>
      </c>
      <c r="I1258" s="277" t="s">
        <v>3872</v>
      </c>
      <c r="J1258" s="11" t="s">
        <v>42</v>
      </c>
      <c r="K1258" s="108" t="s">
        <v>282</v>
      </c>
      <c r="N1258" s="11" t="s">
        <v>95</v>
      </c>
      <c r="O1258" s="11" t="s">
        <v>44</v>
      </c>
      <c r="P1258" s="11" t="s">
        <v>44</v>
      </c>
      <c r="Q1258" s="11" t="s">
        <v>44</v>
      </c>
      <c r="R1258" s="11" t="s">
        <v>45</v>
      </c>
      <c r="S1258" s="11" t="s">
        <v>45</v>
      </c>
      <c r="T1258" s="11" t="s">
        <v>44</v>
      </c>
      <c r="U1258" s="11" t="s">
        <v>44</v>
      </c>
      <c r="W1258" s="11" t="s">
        <v>57</v>
      </c>
      <c r="X1258" s="11" t="s">
        <v>97</v>
      </c>
      <c r="Y1258" s="11" t="s">
        <v>97</v>
      </c>
      <c r="Z1258" s="11">
        <v>81983688294</v>
      </c>
      <c r="AA1258" s="11" t="s">
        <v>91</v>
      </c>
      <c r="AB1258" s="11"/>
      <c r="AC1258" s="11"/>
      <c r="AD1258" s="11" t="b">
        <v>0</v>
      </c>
      <c r="AF1258" s="11"/>
      <c r="AG1258" s="11"/>
      <c r="AH1258" s="11"/>
      <c r="AI1258" s="11"/>
    </row>
    <row r="1259" ht="13" spans="1:35">
      <c r="A1259" s="177">
        <v>45370.3804807407</v>
      </c>
      <c r="B1259" s="11" t="s">
        <v>3125</v>
      </c>
      <c r="C1259" s="277" t="s">
        <v>3126</v>
      </c>
      <c r="D1259" s="19">
        <v>708700165310395</v>
      </c>
      <c r="E1259" s="18" t="s">
        <v>4051</v>
      </c>
      <c r="F1259" s="11" t="s">
        <v>40</v>
      </c>
      <c r="G1259" s="11" t="s">
        <v>54</v>
      </c>
      <c r="H1259" s="24">
        <v>33841</v>
      </c>
      <c r="I1259" s="277" t="s">
        <v>1662</v>
      </c>
      <c r="J1259" s="11" t="s">
        <v>42</v>
      </c>
      <c r="K1259" s="108" t="s">
        <v>63</v>
      </c>
      <c r="N1259" s="11" t="s">
        <v>43</v>
      </c>
      <c r="O1259" s="11" t="s">
        <v>96</v>
      </c>
      <c r="P1259" s="11" t="s">
        <v>66</v>
      </c>
      <c r="Q1259" s="11" t="s">
        <v>45</v>
      </c>
      <c r="R1259" s="11" t="s">
        <v>45</v>
      </c>
      <c r="S1259" s="11" t="s">
        <v>45</v>
      </c>
      <c r="T1259" s="11" t="s">
        <v>44</v>
      </c>
      <c r="U1259" s="11" t="s">
        <v>45</v>
      </c>
      <c r="V1259" s="24">
        <v>45370</v>
      </c>
      <c r="W1259" s="11" t="s">
        <v>46</v>
      </c>
      <c r="X1259" s="11" t="s">
        <v>47</v>
      </c>
      <c r="Y1259" s="11" t="s">
        <v>58</v>
      </c>
      <c r="Z1259" s="11">
        <v>81992042946</v>
      </c>
      <c r="AA1259" s="11" t="s">
        <v>103</v>
      </c>
      <c r="AB1259" s="11" t="s">
        <v>98</v>
      </c>
      <c r="AC1259" s="11"/>
      <c r="AD1259" s="11" t="b">
        <v>0</v>
      </c>
      <c r="AF1259" s="11" t="s">
        <v>4052</v>
      </c>
      <c r="AG1259" s="11" t="s">
        <v>4053</v>
      </c>
      <c r="AH1259" s="35" t="s">
        <v>4054</v>
      </c>
      <c r="AI1259" s="11"/>
    </row>
    <row r="1260" ht="12.5" spans="1:35">
      <c r="A1260" s="177">
        <v>45371.3981329051</v>
      </c>
      <c r="B1260" s="11" t="s">
        <v>4055</v>
      </c>
      <c r="C1260" s="19">
        <v>71130378446</v>
      </c>
      <c r="D1260" s="19">
        <v>707109303720920</v>
      </c>
      <c r="E1260" s="18" t="s">
        <v>4056</v>
      </c>
      <c r="F1260" s="11" t="s">
        <v>40</v>
      </c>
      <c r="G1260" s="11" t="s">
        <v>41</v>
      </c>
      <c r="H1260" s="24">
        <v>36949</v>
      </c>
      <c r="I1260" s="277" t="s">
        <v>4057</v>
      </c>
      <c r="J1260" s="11" t="s">
        <v>42</v>
      </c>
      <c r="K1260" s="108" t="s">
        <v>63</v>
      </c>
      <c r="N1260" s="11" t="s">
        <v>43</v>
      </c>
      <c r="O1260" s="11" t="s">
        <v>65</v>
      </c>
      <c r="P1260" s="11" t="s">
        <v>66</v>
      </c>
      <c r="Q1260" s="11" t="s">
        <v>45</v>
      </c>
      <c r="R1260" s="11" t="s">
        <v>45</v>
      </c>
      <c r="S1260" s="11" t="s">
        <v>45</v>
      </c>
      <c r="T1260" s="11" t="s">
        <v>44</v>
      </c>
      <c r="U1260" s="11" t="s">
        <v>45</v>
      </c>
      <c r="V1260" s="24">
        <v>45371</v>
      </c>
      <c r="W1260" s="11" t="s">
        <v>46</v>
      </c>
      <c r="X1260" s="11" t="s">
        <v>47</v>
      </c>
      <c r="Y1260" s="11" t="s">
        <v>58</v>
      </c>
      <c r="Z1260" s="11">
        <v>81999843984</v>
      </c>
      <c r="AA1260" s="11" t="s">
        <v>103</v>
      </c>
      <c r="AB1260" s="11" t="s">
        <v>49</v>
      </c>
      <c r="AC1260" s="11" t="s">
        <v>50</v>
      </c>
      <c r="AD1260" s="11" t="b">
        <v>0</v>
      </c>
      <c r="AF1260" s="11" t="s">
        <v>4058</v>
      </c>
      <c r="AG1260" s="11"/>
      <c r="AH1260" s="11"/>
      <c r="AI1260" s="11"/>
    </row>
    <row r="1261" ht="12.5" spans="1:35">
      <c r="A1261" s="177">
        <v>45371.4386014352</v>
      </c>
      <c r="B1261" s="11" t="s">
        <v>2385</v>
      </c>
      <c r="C1261" s="19">
        <v>71093916478</v>
      </c>
      <c r="D1261" s="19">
        <v>708206629187642</v>
      </c>
      <c r="E1261" s="18" t="s">
        <v>4059</v>
      </c>
      <c r="F1261" s="11" t="s">
        <v>40</v>
      </c>
      <c r="G1261" s="11" t="s">
        <v>54</v>
      </c>
      <c r="H1261" s="24">
        <v>37567</v>
      </c>
      <c r="I1261" s="277" t="s">
        <v>2339</v>
      </c>
      <c r="J1261" s="11" t="s">
        <v>42</v>
      </c>
      <c r="K1261" s="108" t="s">
        <v>74</v>
      </c>
      <c r="N1261" s="11" t="s">
        <v>43</v>
      </c>
      <c r="O1261" s="11" t="s">
        <v>96</v>
      </c>
      <c r="P1261" s="11" t="s">
        <v>56</v>
      </c>
      <c r="Q1261" s="11" t="s">
        <v>45</v>
      </c>
      <c r="R1261" s="11" t="s">
        <v>45</v>
      </c>
      <c r="S1261" s="11" t="s">
        <v>45</v>
      </c>
      <c r="T1261" s="11" t="s">
        <v>44</v>
      </c>
      <c r="U1261" s="11" t="s">
        <v>45</v>
      </c>
      <c r="V1261" s="24">
        <v>45371</v>
      </c>
      <c r="W1261" s="11" t="s">
        <v>46</v>
      </c>
      <c r="X1261" s="11" t="s">
        <v>47</v>
      </c>
      <c r="Y1261" s="11" t="s">
        <v>58</v>
      </c>
      <c r="Z1261" s="11">
        <v>81996694014</v>
      </c>
      <c r="AA1261" s="11" t="s">
        <v>115</v>
      </c>
      <c r="AB1261" s="11" t="s">
        <v>98</v>
      </c>
      <c r="AC1261" s="11"/>
      <c r="AD1261" s="11" t="b">
        <v>0</v>
      </c>
      <c r="AE1261" s="11"/>
      <c r="AF1261" s="11" t="s">
        <v>4060</v>
      </c>
      <c r="AG1261" s="11" t="s">
        <v>4061</v>
      </c>
      <c r="AH1261" s="11"/>
      <c r="AI1261" s="11"/>
    </row>
    <row r="1262" ht="12.5" spans="1:35">
      <c r="A1262" s="177">
        <v>45371.6725474537</v>
      </c>
      <c r="B1262" s="11" t="s">
        <v>4055</v>
      </c>
      <c r="C1262" s="19">
        <v>71130378446</v>
      </c>
      <c r="D1262" s="19">
        <v>707109303720920</v>
      </c>
      <c r="F1262" s="11" t="s">
        <v>40</v>
      </c>
      <c r="G1262" s="11" t="s">
        <v>41</v>
      </c>
      <c r="H1262" s="24">
        <v>36949</v>
      </c>
      <c r="I1262" s="277" t="s">
        <v>4057</v>
      </c>
      <c r="J1262" s="11" t="s">
        <v>42</v>
      </c>
      <c r="K1262" s="108" t="s">
        <v>63</v>
      </c>
      <c r="N1262" s="11" t="s">
        <v>95</v>
      </c>
      <c r="O1262" s="11" t="s">
        <v>127</v>
      </c>
      <c r="P1262" s="11" t="s">
        <v>44</v>
      </c>
      <c r="Q1262" s="11" t="s">
        <v>44</v>
      </c>
      <c r="R1262" s="11" t="s">
        <v>45</v>
      </c>
      <c r="S1262" s="11" t="s">
        <v>45</v>
      </c>
      <c r="T1262" s="11" t="s">
        <v>44</v>
      </c>
      <c r="U1262" s="11" t="s">
        <v>44</v>
      </c>
      <c r="W1262" s="11" t="s">
        <v>57</v>
      </c>
      <c r="X1262" s="11" t="s">
        <v>97</v>
      </c>
      <c r="Y1262" s="11" t="s">
        <v>97</v>
      </c>
      <c r="Z1262" s="11">
        <v>81999843984</v>
      </c>
      <c r="AA1262" s="11" t="s">
        <v>115</v>
      </c>
      <c r="AB1262" s="11"/>
      <c r="AC1262" s="11"/>
      <c r="AD1262" s="11" t="b">
        <v>0</v>
      </c>
      <c r="AF1262" s="11"/>
      <c r="AG1262" s="11"/>
      <c r="AH1262" s="11"/>
      <c r="AI1262" s="11"/>
    </row>
    <row r="1263" ht="12.5" spans="1:35">
      <c r="A1263" s="177">
        <v>45371.7538845486</v>
      </c>
      <c r="B1263" s="11" t="s">
        <v>4062</v>
      </c>
      <c r="C1263" s="19">
        <v>13465265408</v>
      </c>
      <c r="D1263" s="19">
        <v>702403542804824</v>
      </c>
      <c r="E1263" s="18" t="s">
        <v>4063</v>
      </c>
      <c r="F1263" s="11" t="s">
        <v>225</v>
      </c>
      <c r="G1263" s="11" t="s">
        <v>135</v>
      </c>
      <c r="H1263" s="24">
        <v>37489</v>
      </c>
      <c r="I1263" s="277" t="s">
        <v>3165</v>
      </c>
      <c r="J1263" s="11" t="s">
        <v>42</v>
      </c>
      <c r="K1263" s="108" t="s">
        <v>202</v>
      </c>
      <c r="N1263" s="11" t="s">
        <v>43</v>
      </c>
      <c r="O1263" s="11" t="s">
        <v>96</v>
      </c>
      <c r="P1263" s="11" t="s">
        <v>66</v>
      </c>
      <c r="Q1263" s="11" t="s">
        <v>44</v>
      </c>
      <c r="R1263" s="11" t="s">
        <v>44</v>
      </c>
      <c r="S1263" s="11" t="s">
        <v>45</v>
      </c>
      <c r="T1263" s="11" t="s">
        <v>44</v>
      </c>
      <c r="U1263" s="11" t="s">
        <v>45</v>
      </c>
      <c r="V1263" s="24">
        <v>45372</v>
      </c>
      <c r="W1263" s="11" t="s">
        <v>46</v>
      </c>
      <c r="X1263" s="11" t="s">
        <v>203</v>
      </c>
      <c r="Y1263" s="11" t="s">
        <v>58</v>
      </c>
      <c r="Z1263" s="11">
        <v>81994983239</v>
      </c>
      <c r="AA1263" s="11" t="s">
        <v>115</v>
      </c>
      <c r="AB1263" s="11" t="s">
        <v>98</v>
      </c>
      <c r="AC1263" s="11"/>
      <c r="AD1263" s="11" t="b">
        <v>0</v>
      </c>
      <c r="AF1263" s="11" t="s">
        <v>4064</v>
      </c>
      <c r="AG1263" s="11" t="s">
        <v>4065</v>
      </c>
      <c r="AH1263" s="11" t="s">
        <v>4066</v>
      </c>
      <c r="AI1263" s="11"/>
    </row>
    <row r="1264" ht="12.5" spans="1:35">
      <c r="A1264" s="177">
        <v>45372.3491869329</v>
      </c>
      <c r="B1264" s="11" t="s">
        <v>3173</v>
      </c>
      <c r="C1264" s="19">
        <v>12226276475</v>
      </c>
      <c r="D1264" s="19">
        <v>702403520927427</v>
      </c>
      <c r="E1264" s="18" t="s">
        <v>4067</v>
      </c>
      <c r="F1264" s="11" t="s">
        <v>40</v>
      </c>
      <c r="G1264" s="11" t="s">
        <v>54</v>
      </c>
      <c r="H1264" s="24">
        <v>35986</v>
      </c>
      <c r="I1264" s="277" t="s">
        <v>3001</v>
      </c>
      <c r="J1264" s="11" t="s">
        <v>42</v>
      </c>
      <c r="K1264" s="108" t="s">
        <v>427</v>
      </c>
      <c r="N1264" s="11" t="s">
        <v>43</v>
      </c>
      <c r="O1264" s="11" t="s">
        <v>96</v>
      </c>
      <c r="P1264" s="11" t="s">
        <v>56</v>
      </c>
      <c r="Q1264" s="11" t="s">
        <v>44</v>
      </c>
      <c r="R1264" s="11" t="s">
        <v>45</v>
      </c>
      <c r="S1264" s="11" t="s">
        <v>83</v>
      </c>
      <c r="T1264" s="11" t="s">
        <v>44</v>
      </c>
      <c r="U1264" s="11" t="s">
        <v>45</v>
      </c>
      <c r="V1264" s="24">
        <v>45372</v>
      </c>
      <c r="W1264" s="11" t="s">
        <v>46</v>
      </c>
      <c r="X1264" s="254" t="s">
        <v>67</v>
      </c>
      <c r="Y1264" s="11" t="s">
        <v>68</v>
      </c>
      <c r="Z1264" s="11">
        <v>81998295230</v>
      </c>
      <c r="AA1264" s="11" t="s">
        <v>115</v>
      </c>
      <c r="AB1264" s="11" t="s">
        <v>49</v>
      </c>
      <c r="AC1264" s="11" t="s">
        <v>50</v>
      </c>
      <c r="AD1264" s="11" t="b">
        <v>0</v>
      </c>
      <c r="AF1264" s="214" t="s">
        <v>4068</v>
      </c>
      <c r="AG1264" s="11"/>
      <c r="AH1264" s="11" t="s">
        <v>2132</v>
      </c>
      <c r="AI1264" s="11"/>
    </row>
    <row r="1265" ht="12.5" spans="1:35">
      <c r="A1265" s="177">
        <v>45372.4103903009</v>
      </c>
      <c r="B1265" s="11" t="s">
        <v>4069</v>
      </c>
      <c r="C1265" s="19">
        <v>11441339477</v>
      </c>
      <c r="D1265" s="19">
        <v>704205751140481</v>
      </c>
      <c r="E1265" s="18" t="s">
        <v>4070</v>
      </c>
      <c r="F1265" s="11" t="s">
        <v>40</v>
      </c>
      <c r="G1265" s="11" t="s">
        <v>54</v>
      </c>
      <c r="H1265" s="24">
        <v>34256</v>
      </c>
      <c r="I1265" s="19" t="s">
        <v>136</v>
      </c>
      <c r="J1265" s="11" t="s">
        <v>81</v>
      </c>
      <c r="K1265" s="108"/>
      <c r="L1265" s="11" t="s">
        <v>109</v>
      </c>
      <c r="N1265" s="11" t="s">
        <v>43</v>
      </c>
      <c r="O1265" s="11" t="s">
        <v>96</v>
      </c>
      <c r="P1265" s="11" t="s">
        <v>66</v>
      </c>
      <c r="Q1265" s="11" t="s">
        <v>44</v>
      </c>
      <c r="R1265" s="11" t="s">
        <v>45</v>
      </c>
      <c r="S1265" s="11" t="s">
        <v>44</v>
      </c>
      <c r="T1265" s="11" t="s">
        <v>44</v>
      </c>
      <c r="U1265" s="11" t="s">
        <v>45</v>
      </c>
      <c r="V1265" s="24">
        <v>45372</v>
      </c>
      <c r="W1265" s="11" t="s">
        <v>57</v>
      </c>
      <c r="X1265" s="11" t="s">
        <v>47</v>
      </c>
      <c r="Y1265" s="11" t="s">
        <v>58</v>
      </c>
      <c r="Z1265" s="11">
        <v>87981278418</v>
      </c>
      <c r="AA1265" s="11" t="s">
        <v>3919</v>
      </c>
      <c r="AB1265" s="11" t="s">
        <v>49</v>
      </c>
      <c r="AC1265" s="11" t="s">
        <v>3892</v>
      </c>
      <c r="AD1265" s="11" t="b">
        <v>0</v>
      </c>
      <c r="AF1265" s="11" t="s">
        <v>4071</v>
      </c>
      <c r="AG1265" s="11"/>
      <c r="AH1265" s="11">
        <v>81997324176</v>
      </c>
      <c r="AI1265" s="11"/>
    </row>
    <row r="1266" ht="12.5" spans="1:35">
      <c r="A1266" s="177">
        <v>45372.4944903009</v>
      </c>
      <c r="B1266" s="11" t="s">
        <v>4072</v>
      </c>
      <c r="C1266" s="277" t="s">
        <v>4073</v>
      </c>
      <c r="D1266" s="19">
        <v>700905995764191</v>
      </c>
      <c r="E1266" s="18" t="s">
        <v>4074</v>
      </c>
      <c r="F1266" s="11" t="s">
        <v>40</v>
      </c>
      <c r="G1266" s="11" t="s">
        <v>54</v>
      </c>
      <c r="H1266" s="24">
        <v>32351</v>
      </c>
      <c r="I1266" s="277" t="s">
        <v>3086</v>
      </c>
      <c r="J1266" s="11" t="s">
        <v>42</v>
      </c>
      <c r="K1266" s="108" t="s">
        <v>4075</v>
      </c>
      <c r="N1266" s="11" t="s">
        <v>43</v>
      </c>
      <c r="O1266" s="11" t="s">
        <v>658</v>
      </c>
      <c r="P1266" s="11" t="s">
        <v>2559</v>
      </c>
      <c r="Q1266" s="11" t="s">
        <v>45</v>
      </c>
      <c r="R1266" s="11" t="s">
        <v>45</v>
      </c>
      <c r="S1266" s="11" t="s">
        <v>45</v>
      </c>
      <c r="T1266" s="11" t="s">
        <v>44</v>
      </c>
      <c r="U1266" s="11" t="s">
        <v>45</v>
      </c>
      <c r="V1266" s="24">
        <v>45378</v>
      </c>
      <c r="W1266" s="11" t="s">
        <v>46</v>
      </c>
      <c r="X1266" s="11" t="s">
        <v>47</v>
      </c>
      <c r="Y1266" s="254" t="s">
        <v>1169</v>
      </c>
      <c r="Z1266" s="11">
        <v>81998413517</v>
      </c>
      <c r="AA1266" s="11" t="s">
        <v>4003</v>
      </c>
      <c r="AB1266" s="11" t="s">
        <v>98</v>
      </c>
      <c r="AC1266" s="11"/>
      <c r="AD1266" s="11" t="b">
        <v>0</v>
      </c>
      <c r="AF1266" s="11" t="s">
        <v>4076</v>
      </c>
      <c r="AG1266" s="11" t="s">
        <v>4077</v>
      </c>
      <c r="AH1266" s="11" t="s">
        <v>4078</v>
      </c>
      <c r="AI1266" s="11"/>
    </row>
    <row r="1267" ht="12.5" spans="1:35">
      <c r="A1267" s="177">
        <v>45372.667663125</v>
      </c>
      <c r="B1267" s="11" t="s">
        <v>3173</v>
      </c>
      <c r="C1267" s="19">
        <v>12226276475</v>
      </c>
      <c r="D1267" s="19">
        <v>702403520927427</v>
      </c>
      <c r="F1267" s="11" t="s">
        <v>40</v>
      </c>
      <c r="G1267" s="11" t="s">
        <v>54</v>
      </c>
      <c r="H1267" s="24">
        <v>35986</v>
      </c>
      <c r="I1267" s="277" t="s">
        <v>3001</v>
      </c>
      <c r="J1267" s="11" t="s">
        <v>42</v>
      </c>
      <c r="K1267" s="108" t="s">
        <v>427</v>
      </c>
      <c r="N1267" s="11" t="s">
        <v>95</v>
      </c>
      <c r="O1267" s="11" t="s">
        <v>44</v>
      </c>
      <c r="P1267" s="11" t="s">
        <v>56</v>
      </c>
      <c r="Q1267" s="11" t="s">
        <v>44</v>
      </c>
      <c r="R1267" s="11" t="s">
        <v>45</v>
      </c>
      <c r="S1267" s="11" t="s">
        <v>83</v>
      </c>
      <c r="T1267" s="11" t="s">
        <v>44</v>
      </c>
      <c r="U1267" s="11" t="s">
        <v>45</v>
      </c>
      <c r="V1267" s="24">
        <v>45373</v>
      </c>
      <c r="W1267" s="11" t="s">
        <v>57</v>
      </c>
      <c r="X1267" s="11" t="s">
        <v>97</v>
      </c>
      <c r="Y1267" s="11" t="s">
        <v>97</v>
      </c>
      <c r="Z1267" s="11">
        <v>81998295230</v>
      </c>
      <c r="AA1267" s="11" t="s">
        <v>115</v>
      </c>
      <c r="AB1267" s="11" t="s">
        <v>49</v>
      </c>
      <c r="AC1267" s="11" t="s">
        <v>106</v>
      </c>
      <c r="AD1267" s="11" t="b">
        <v>0</v>
      </c>
      <c r="AE1267" s="11" t="s">
        <v>137</v>
      </c>
      <c r="AF1267" s="11" t="s">
        <v>4079</v>
      </c>
      <c r="AG1267" s="11" t="s">
        <v>4080</v>
      </c>
      <c r="AH1267" s="11" t="s">
        <v>2172</v>
      </c>
      <c r="AI1267" s="11"/>
    </row>
    <row r="1268" ht="12.5" spans="1:35">
      <c r="A1268" s="177">
        <v>45372.6693983333</v>
      </c>
      <c r="B1268" s="11" t="s">
        <v>4069</v>
      </c>
      <c r="C1268" s="19">
        <v>11441339477</v>
      </c>
      <c r="D1268" s="19">
        <v>704205751140481</v>
      </c>
      <c r="F1268" s="11" t="s">
        <v>40</v>
      </c>
      <c r="G1268" s="11" t="s">
        <v>54</v>
      </c>
      <c r="H1268" s="24">
        <v>34256</v>
      </c>
      <c r="I1268" s="19" t="s">
        <v>136</v>
      </c>
      <c r="J1268" s="11" t="s">
        <v>81</v>
      </c>
      <c r="K1268" s="108"/>
      <c r="L1268" s="11" t="s">
        <v>109</v>
      </c>
      <c r="N1268" s="11" t="s">
        <v>95</v>
      </c>
      <c r="O1268" s="11" t="s">
        <v>127</v>
      </c>
      <c r="P1268" s="11" t="s">
        <v>44</v>
      </c>
      <c r="Q1268" s="11" t="s">
        <v>44</v>
      </c>
      <c r="R1268" s="11" t="s">
        <v>45</v>
      </c>
      <c r="S1268" s="11" t="s">
        <v>45</v>
      </c>
      <c r="T1268" s="11" t="s">
        <v>44</v>
      </c>
      <c r="U1268" s="11" t="s">
        <v>44</v>
      </c>
      <c r="W1268" s="11" t="s">
        <v>57</v>
      </c>
      <c r="X1268" s="11" t="s">
        <v>97</v>
      </c>
      <c r="Y1268" s="11" t="s">
        <v>97</v>
      </c>
      <c r="Z1268" s="11">
        <v>81997324176</v>
      </c>
      <c r="AA1268" s="11" t="s">
        <v>3919</v>
      </c>
      <c r="AB1268" s="11"/>
      <c r="AC1268" s="11"/>
      <c r="AD1268" s="11" t="b">
        <v>0</v>
      </c>
      <c r="AF1268" s="11"/>
      <c r="AG1268" s="11"/>
      <c r="AH1268" s="11"/>
      <c r="AI1268" s="11"/>
    </row>
    <row r="1269" ht="12.5" spans="1:35">
      <c r="A1269" s="177">
        <v>45372.7179828472</v>
      </c>
      <c r="B1269" s="11" t="s">
        <v>4045</v>
      </c>
      <c r="C1269" s="19">
        <v>10566423430</v>
      </c>
      <c r="D1269" s="19">
        <v>704007823903560</v>
      </c>
      <c r="F1269" s="11" t="s">
        <v>40</v>
      </c>
      <c r="G1269" s="11" t="s">
        <v>54</v>
      </c>
      <c r="H1269" s="24">
        <v>35835</v>
      </c>
      <c r="I1269" s="277" t="s">
        <v>4047</v>
      </c>
      <c r="J1269" s="11" t="s">
        <v>42</v>
      </c>
      <c r="K1269" s="108" t="s">
        <v>74</v>
      </c>
      <c r="N1269" s="11" t="s">
        <v>95</v>
      </c>
      <c r="O1269" s="11" t="s">
        <v>2003</v>
      </c>
      <c r="P1269" s="11" t="s">
        <v>56</v>
      </c>
      <c r="Q1269" s="11" t="s">
        <v>44</v>
      </c>
      <c r="R1269" s="11" t="s">
        <v>45</v>
      </c>
      <c r="S1269" s="11" t="s">
        <v>45</v>
      </c>
      <c r="T1269" s="11" t="s">
        <v>44</v>
      </c>
      <c r="U1269" s="11" t="s">
        <v>45</v>
      </c>
      <c r="V1269" s="24">
        <v>45374</v>
      </c>
      <c r="W1269" s="11" t="s">
        <v>57</v>
      </c>
      <c r="X1269" s="11" t="s">
        <v>97</v>
      </c>
      <c r="Y1269" s="11" t="s">
        <v>97</v>
      </c>
      <c r="Z1269" s="11">
        <v>81989011281</v>
      </c>
      <c r="AA1269" s="11" t="s">
        <v>115</v>
      </c>
      <c r="AB1269" s="11" t="s">
        <v>49</v>
      </c>
      <c r="AC1269" s="11" t="s">
        <v>50</v>
      </c>
      <c r="AD1269" s="11" t="b">
        <v>0</v>
      </c>
      <c r="AF1269" s="11" t="s">
        <v>4081</v>
      </c>
      <c r="AG1269" s="11"/>
      <c r="AH1269" s="11"/>
      <c r="AI1269" s="11"/>
    </row>
    <row r="1270" ht="12.5" spans="1:35">
      <c r="A1270" s="177">
        <v>45372.8559326273</v>
      </c>
      <c r="B1270" s="11" t="s">
        <v>4082</v>
      </c>
      <c r="C1270" s="19">
        <v>51035953897</v>
      </c>
      <c r="D1270" s="19">
        <v>700001740952906</v>
      </c>
      <c r="E1270" s="18" t="s">
        <v>4083</v>
      </c>
      <c r="F1270" s="11" t="s">
        <v>40</v>
      </c>
      <c r="G1270" s="11" t="s">
        <v>54</v>
      </c>
      <c r="H1270" s="24">
        <v>35764</v>
      </c>
      <c r="I1270" s="277" t="s">
        <v>2129</v>
      </c>
      <c r="J1270" s="11" t="s">
        <v>42</v>
      </c>
      <c r="K1270" s="108" t="s">
        <v>4084</v>
      </c>
      <c r="N1270" s="11" t="s">
        <v>43</v>
      </c>
      <c r="O1270" s="11" t="s">
        <v>44</v>
      </c>
      <c r="P1270" s="11" t="s">
        <v>56</v>
      </c>
      <c r="Q1270" s="11" t="s">
        <v>45</v>
      </c>
      <c r="R1270" s="11" t="s">
        <v>45</v>
      </c>
      <c r="S1270" s="11" t="s">
        <v>45</v>
      </c>
      <c r="T1270" s="11" t="s">
        <v>44</v>
      </c>
      <c r="U1270" s="11" t="s">
        <v>44</v>
      </c>
      <c r="W1270" s="11" t="s">
        <v>46</v>
      </c>
      <c r="X1270" s="11" t="s">
        <v>203</v>
      </c>
      <c r="Y1270" s="11" t="s">
        <v>58</v>
      </c>
      <c r="Z1270" s="11">
        <v>12991876039</v>
      </c>
      <c r="AA1270" s="11" t="s">
        <v>115</v>
      </c>
      <c r="AB1270" s="11"/>
      <c r="AC1270" s="11"/>
      <c r="AD1270" s="11" t="b">
        <v>0</v>
      </c>
      <c r="AF1270" s="11"/>
      <c r="AG1270" s="11"/>
      <c r="AH1270" s="11"/>
      <c r="AI1270" s="11"/>
    </row>
    <row r="1271" ht="12.5" spans="1:35">
      <c r="A1271" s="177">
        <v>45373.4477442593</v>
      </c>
      <c r="B1271" s="11" t="s">
        <v>4085</v>
      </c>
      <c r="C1271" s="19">
        <v>71533059470</v>
      </c>
      <c r="D1271" s="19">
        <v>706309795634071</v>
      </c>
      <c r="E1271" s="260" t="s">
        <v>4086</v>
      </c>
      <c r="F1271" s="11" t="s">
        <v>40</v>
      </c>
      <c r="G1271" s="11" t="s">
        <v>54</v>
      </c>
      <c r="H1271" s="24">
        <v>38093</v>
      </c>
      <c r="I1271" s="277" t="s">
        <v>4087</v>
      </c>
      <c r="J1271" s="11" t="s">
        <v>42</v>
      </c>
      <c r="K1271" s="108" t="s">
        <v>282</v>
      </c>
      <c r="N1271" s="11" t="s">
        <v>43</v>
      </c>
      <c r="O1271" s="11" t="s">
        <v>65</v>
      </c>
      <c r="P1271" s="11" t="s">
        <v>66</v>
      </c>
      <c r="Q1271" s="11" t="s">
        <v>45</v>
      </c>
      <c r="R1271" s="11" t="s">
        <v>45</v>
      </c>
      <c r="S1271" s="11" t="s">
        <v>45</v>
      </c>
      <c r="T1271" s="11" t="s">
        <v>44</v>
      </c>
      <c r="U1271" s="11" t="s">
        <v>45</v>
      </c>
      <c r="V1271" s="24">
        <v>45373</v>
      </c>
      <c r="W1271" s="11" t="s">
        <v>46</v>
      </c>
      <c r="X1271" s="11" t="s">
        <v>47</v>
      </c>
      <c r="Y1271" s="11" t="s">
        <v>58</v>
      </c>
      <c r="Z1271" s="11">
        <v>81987150471</v>
      </c>
      <c r="AA1271" s="11" t="s">
        <v>4088</v>
      </c>
      <c r="AB1271" s="11" t="s">
        <v>98</v>
      </c>
      <c r="AC1271" s="11"/>
      <c r="AD1271" s="11" t="b">
        <v>0</v>
      </c>
      <c r="AF1271" s="11" t="s">
        <v>4079</v>
      </c>
      <c r="AG1271" s="11" t="s">
        <v>4089</v>
      </c>
      <c r="AH1271" s="11"/>
      <c r="AI1271" s="11"/>
    </row>
    <row r="1272" ht="12.5" spans="1:35">
      <c r="A1272" s="177">
        <v>45373.678566412</v>
      </c>
      <c r="B1272" s="11" t="s">
        <v>3173</v>
      </c>
      <c r="C1272" s="19">
        <v>12226276475</v>
      </c>
      <c r="D1272" s="19">
        <v>702403520927427</v>
      </c>
      <c r="E1272" s="18" t="s">
        <v>4090</v>
      </c>
      <c r="F1272" s="11" t="s">
        <v>40</v>
      </c>
      <c r="G1272" s="11" t="s">
        <v>54</v>
      </c>
      <c r="H1272" s="24">
        <v>35986</v>
      </c>
      <c r="I1272" s="277" t="s">
        <v>3001</v>
      </c>
      <c r="J1272" s="11" t="s">
        <v>42</v>
      </c>
      <c r="K1272" s="108" t="s">
        <v>427</v>
      </c>
      <c r="N1272" s="11" t="s">
        <v>95</v>
      </c>
      <c r="O1272" s="11" t="s">
        <v>44</v>
      </c>
      <c r="P1272" s="11" t="s">
        <v>44</v>
      </c>
      <c r="Q1272" s="11" t="s">
        <v>44</v>
      </c>
      <c r="R1272" s="11" t="s">
        <v>45</v>
      </c>
      <c r="S1272" s="11" t="s">
        <v>83</v>
      </c>
      <c r="T1272" s="11" t="s">
        <v>44</v>
      </c>
      <c r="U1272" s="11" t="s">
        <v>45</v>
      </c>
      <c r="V1272" s="24">
        <v>45375</v>
      </c>
      <c r="W1272" s="11" t="s">
        <v>46</v>
      </c>
      <c r="X1272" s="11" t="s">
        <v>97</v>
      </c>
      <c r="Y1272" s="11" t="s">
        <v>97</v>
      </c>
      <c r="Z1272" s="11">
        <v>81998295230</v>
      </c>
      <c r="AA1272" s="11" t="s">
        <v>103</v>
      </c>
      <c r="AB1272" s="11" t="s">
        <v>98</v>
      </c>
      <c r="AC1272" s="11"/>
      <c r="AD1272" s="11" t="b">
        <v>0</v>
      </c>
      <c r="AF1272" s="11" t="s">
        <v>4091</v>
      </c>
      <c r="AG1272" s="11" t="s">
        <v>4092</v>
      </c>
      <c r="AH1272" s="11"/>
      <c r="AI1272" s="11"/>
    </row>
    <row r="1273" ht="12.5" spans="1:35">
      <c r="A1273" s="177">
        <v>45373.7502998958</v>
      </c>
      <c r="B1273" s="11" t="s">
        <v>4093</v>
      </c>
      <c r="C1273" s="277" t="s">
        <v>4094</v>
      </c>
      <c r="D1273" s="19">
        <v>702102783439697</v>
      </c>
      <c r="E1273" s="18" t="s">
        <v>4095</v>
      </c>
      <c r="F1273" s="11" t="s">
        <v>40</v>
      </c>
      <c r="G1273" s="11" t="s">
        <v>54</v>
      </c>
      <c r="H1273" s="24">
        <v>35866</v>
      </c>
      <c r="I1273" s="277" t="s">
        <v>2208</v>
      </c>
      <c r="J1273" s="11" t="s">
        <v>42</v>
      </c>
      <c r="K1273" s="108" t="s">
        <v>4096</v>
      </c>
      <c r="N1273" s="11" t="s">
        <v>43</v>
      </c>
      <c r="O1273" s="11" t="s">
        <v>44</v>
      </c>
      <c r="P1273" s="11" t="s">
        <v>44</v>
      </c>
      <c r="Q1273" s="11" t="s">
        <v>44</v>
      </c>
      <c r="R1273" s="11" t="s">
        <v>45</v>
      </c>
      <c r="S1273" s="11" t="s">
        <v>83</v>
      </c>
      <c r="T1273" s="11" t="s">
        <v>44</v>
      </c>
      <c r="U1273" s="11" t="s">
        <v>44</v>
      </c>
      <c r="W1273" s="11" t="s">
        <v>46</v>
      </c>
      <c r="X1273" s="11" t="s">
        <v>203</v>
      </c>
      <c r="Y1273" s="11" t="s">
        <v>68</v>
      </c>
      <c r="Z1273" s="11">
        <v>81983338379</v>
      </c>
      <c r="AA1273" s="11" t="s">
        <v>4097</v>
      </c>
      <c r="AB1273" s="11"/>
      <c r="AC1273" s="11"/>
      <c r="AF1273" s="11"/>
      <c r="AG1273" s="11"/>
      <c r="AH1273" s="11"/>
      <c r="AI1273" s="11"/>
    </row>
    <row r="1274" ht="12.5" spans="1:35">
      <c r="A1274" s="177">
        <v>45373.7813317708</v>
      </c>
      <c r="B1274" s="11" t="s">
        <v>2927</v>
      </c>
      <c r="C1274" s="19">
        <v>70561899460</v>
      </c>
      <c r="D1274" s="19">
        <v>702309116567518</v>
      </c>
      <c r="E1274" s="18" t="s">
        <v>4098</v>
      </c>
      <c r="F1274" s="11" t="s">
        <v>225</v>
      </c>
      <c r="G1274" s="11" t="s">
        <v>88</v>
      </c>
      <c r="H1274" s="24">
        <v>35283</v>
      </c>
      <c r="I1274" s="277" t="s">
        <v>2837</v>
      </c>
      <c r="J1274" s="11" t="s">
        <v>42</v>
      </c>
      <c r="K1274" s="108" t="s">
        <v>63</v>
      </c>
      <c r="N1274" s="11" t="s">
        <v>43</v>
      </c>
      <c r="O1274" s="11" t="s">
        <v>44</v>
      </c>
      <c r="P1274" s="11" t="s">
        <v>44</v>
      </c>
      <c r="Q1274" s="11" t="s">
        <v>44</v>
      </c>
      <c r="R1274" s="11" t="s">
        <v>45</v>
      </c>
      <c r="S1274" s="11" t="s">
        <v>83</v>
      </c>
      <c r="T1274" s="11" t="s">
        <v>44</v>
      </c>
      <c r="U1274" s="11" t="s">
        <v>44</v>
      </c>
      <c r="W1274" s="11" t="s">
        <v>46</v>
      </c>
      <c r="X1274" s="11" t="s">
        <v>203</v>
      </c>
      <c r="Y1274" s="11" t="s">
        <v>68</v>
      </c>
      <c r="Z1274" s="11">
        <v>81985294355</v>
      </c>
      <c r="AA1274" s="11" t="s">
        <v>4097</v>
      </c>
      <c r="AB1274" s="11"/>
      <c r="AC1274" s="11"/>
      <c r="AF1274" s="11"/>
      <c r="AG1274" s="11"/>
      <c r="AH1274" s="11"/>
      <c r="AI1274" s="11"/>
    </row>
    <row r="1275" ht="12.5" spans="1:35">
      <c r="A1275" s="177">
        <v>45374.5604206597</v>
      </c>
      <c r="B1275" s="11" t="s">
        <v>3629</v>
      </c>
      <c r="C1275" s="19">
        <v>14039334485</v>
      </c>
      <c r="D1275" s="19">
        <v>706303740457075</v>
      </c>
      <c r="E1275" s="18" t="s">
        <v>4099</v>
      </c>
      <c r="F1275" s="11" t="s">
        <v>40</v>
      </c>
      <c r="G1275" s="11" t="s">
        <v>54</v>
      </c>
      <c r="H1275" s="24">
        <v>38773</v>
      </c>
      <c r="I1275" s="277" t="s">
        <v>4100</v>
      </c>
      <c r="J1275" s="11" t="s">
        <v>42</v>
      </c>
      <c r="K1275" s="108" t="s">
        <v>427</v>
      </c>
      <c r="N1275" s="11" t="s">
        <v>43</v>
      </c>
      <c r="O1275" s="11" t="s">
        <v>65</v>
      </c>
      <c r="P1275" s="11" t="s">
        <v>66</v>
      </c>
      <c r="Q1275" s="11" t="s">
        <v>44</v>
      </c>
      <c r="R1275" s="11" t="s">
        <v>45</v>
      </c>
      <c r="S1275" s="11" t="s">
        <v>83</v>
      </c>
      <c r="T1275" s="11" t="s">
        <v>44</v>
      </c>
      <c r="U1275" s="11" t="s">
        <v>45</v>
      </c>
      <c r="V1275" s="24">
        <v>45375</v>
      </c>
      <c r="W1275" s="11" t="s">
        <v>46</v>
      </c>
      <c r="X1275" s="11" t="s">
        <v>303</v>
      </c>
      <c r="Y1275" s="11" t="s">
        <v>68</v>
      </c>
      <c r="Z1275" s="11">
        <v>81985758942</v>
      </c>
      <c r="AA1275" s="11" t="s">
        <v>4101</v>
      </c>
      <c r="AB1275" s="11" t="s">
        <v>49</v>
      </c>
      <c r="AC1275" s="11" t="s">
        <v>3892</v>
      </c>
      <c r="AD1275" s="11" t="b">
        <v>1</v>
      </c>
      <c r="AE1275" s="11" t="s">
        <v>137</v>
      </c>
      <c r="AF1275" s="11"/>
      <c r="AG1275" s="11"/>
      <c r="AH1275" s="63" t="s">
        <v>4102</v>
      </c>
      <c r="AI1275" s="11"/>
    </row>
    <row r="1276" ht="12.5" spans="1:35">
      <c r="A1276" s="177">
        <v>45374.5672562616</v>
      </c>
      <c r="B1276" s="11" t="s">
        <v>4045</v>
      </c>
      <c r="C1276" s="19">
        <v>10566423430</v>
      </c>
      <c r="D1276" s="19">
        <v>704007823903560</v>
      </c>
      <c r="F1276" s="11" t="s">
        <v>40</v>
      </c>
      <c r="G1276" s="11" t="s">
        <v>54</v>
      </c>
      <c r="H1276" s="24">
        <v>35835</v>
      </c>
      <c r="I1276" s="277" t="s">
        <v>4047</v>
      </c>
      <c r="J1276" s="11" t="s">
        <v>42</v>
      </c>
      <c r="K1276" s="108" t="s">
        <v>74</v>
      </c>
      <c r="N1276" s="11" t="s">
        <v>95</v>
      </c>
      <c r="O1276" s="11" t="s">
        <v>44</v>
      </c>
      <c r="P1276" s="11" t="s">
        <v>56</v>
      </c>
      <c r="Q1276" s="11" t="s">
        <v>44</v>
      </c>
      <c r="R1276" s="11" t="s">
        <v>45</v>
      </c>
      <c r="S1276" s="11" t="s">
        <v>45</v>
      </c>
      <c r="T1276" s="11" t="s">
        <v>44</v>
      </c>
      <c r="U1276" s="11" t="s">
        <v>45</v>
      </c>
      <c r="V1276" s="24">
        <v>45378</v>
      </c>
      <c r="W1276" s="11" t="s">
        <v>57</v>
      </c>
      <c r="X1276" s="11" t="s">
        <v>97</v>
      </c>
      <c r="Y1276" s="11" t="s">
        <v>97</v>
      </c>
      <c r="Z1276" s="11">
        <v>81989011281</v>
      </c>
      <c r="AA1276" s="11" t="s">
        <v>115</v>
      </c>
      <c r="AB1276" s="11" t="s">
        <v>49</v>
      </c>
      <c r="AC1276" s="11" t="s">
        <v>84</v>
      </c>
      <c r="AD1276" s="11" t="b">
        <v>0</v>
      </c>
      <c r="AF1276" s="11" t="s">
        <v>4103</v>
      </c>
      <c r="AG1276" s="11"/>
      <c r="AH1276" s="11"/>
      <c r="AI1276" s="11"/>
    </row>
    <row r="1277" ht="12.5" spans="1:35">
      <c r="A1277" s="177">
        <v>45374.7034963657</v>
      </c>
      <c r="B1277" s="11" t="s">
        <v>4104</v>
      </c>
      <c r="C1277" s="19">
        <v>71235645452</v>
      </c>
      <c r="D1277" s="19">
        <v>702005810307087</v>
      </c>
      <c r="E1277" s="18" t="s">
        <v>4105</v>
      </c>
      <c r="F1277" s="11" t="s">
        <v>225</v>
      </c>
      <c r="G1277" s="11" t="s">
        <v>54</v>
      </c>
      <c r="H1277" s="24">
        <v>36949</v>
      </c>
      <c r="I1277" s="277" t="s">
        <v>3416</v>
      </c>
      <c r="J1277" s="11" t="s">
        <v>42</v>
      </c>
      <c r="K1277" s="108" t="s">
        <v>4106</v>
      </c>
      <c r="N1277" s="11" t="s">
        <v>43</v>
      </c>
      <c r="O1277" s="11" t="s">
        <v>65</v>
      </c>
      <c r="P1277" s="11" t="s">
        <v>66</v>
      </c>
      <c r="Q1277" s="11" t="s">
        <v>44</v>
      </c>
      <c r="R1277" s="11" t="s">
        <v>45</v>
      </c>
      <c r="S1277" s="11" t="s">
        <v>83</v>
      </c>
      <c r="T1277" s="11" t="s">
        <v>44</v>
      </c>
      <c r="U1277" s="11" t="s">
        <v>45</v>
      </c>
      <c r="V1277" s="24">
        <v>45375</v>
      </c>
      <c r="W1277" s="11" t="s">
        <v>46</v>
      </c>
      <c r="X1277" s="11" t="s">
        <v>303</v>
      </c>
      <c r="Y1277" s="11" t="s">
        <v>68</v>
      </c>
      <c r="Z1277" s="11">
        <v>81985102138</v>
      </c>
      <c r="AA1277" s="11" t="s">
        <v>4101</v>
      </c>
      <c r="AB1277" s="11" t="s">
        <v>98</v>
      </c>
      <c r="AC1277" s="11"/>
      <c r="AD1277" s="11" t="b">
        <v>0</v>
      </c>
      <c r="AF1277" s="11" t="s">
        <v>4107</v>
      </c>
      <c r="AG1277" s="11" t="s">
        <v>4108</v>
      </c>
      <c r="AH1277" s="11"/>
      <c r="AI1277" s="11"/>
    </row>
    <row r="1278" ht="12.5" spans="1:35">
      <c r="A1278" s="177">
        <v>45375.5022779167</v>
      </c>
      <c r="B1278" s="11" t="s">
        <v>3629</v>
      </c>
      <c r="C1278" s="19">
        <v>14039334485</v>
      </c>
      <c r="D1278" s="19">
        <v>706303740457075</v>
      </c>
      <c r="E1278" s="18" t="s">
        <v>4109</v>
      </c>
      <c r="F1278" s="136" t="s">
        <v>40</v>
      </c>
      <c r="G1278" s="11" t="s">
        <v>54</v>
      </c>
      <c r="H1278" s="24">
        <v>38773</v>
      </c>
      <c r="I1278" s="277" t="s">
        <v>4110</v>
      </c>
      <c r="J1278" s="11" t="s">
        <v>42</v>
      </c>
      <c r="K1278" s="108" t="s">
        <v>427</v>
      </c>
      <c r="N1278" s="11" t="s">
        <v>95</v>
      </c>
      <c r="O1278" s="11" t="s">
        <v>44</v>
      </c>
      <c r="P1278" s="11" t="s">
        <v>44</v>
      </c>
      <c r="Q1278" s="11" t="s">
        <v>44</v>
      </c>
      <c r="R1278" s="11" t="s">
        <v>45</v>
      </c>
      <c r="S1278" s="11" t="s">
        <v>45</v>
      </c>
      <c r="T1278" s="11" t="s">
        <v>44</v>
      </c>
      <c r="U1278" s="11" t="s">
        <v>45</v>
      </c>
      <c r="V1278" s="24">
        <v>45376</v>
      </c>
      <c r="W1278" s="11" t="s">
        <v>46</v>
      </c>
      <c r="X1278" s="11" t="s">
        <v>97</v>
      </c>
      <c r="Y1278" s="11" t="s">
        <v>97</v>
      </c>
      <c r="Z1278" s="11">
        <v>81985758942</v>
      </c>
      <c r="AA1278" s="11" t="s">
        <v>3919</v>
      </c>
      <c r="AB1278" s="11" t="s">
        <v>49</v>
      </c>
      <c r="AC1278" s="11" t="s">
        <v>50</v>
      </c>
      <c r="AD1278" s="11" t="b">
        <v>0</v>
      </c>
      <c r="AF1278" s="11" t="s">
        <v>4111</v>
      </c>
      <c r="AG1278" s="11" t="s">
        <v>4112</v>
      </c>
      <c r="AH1278" s="63" t="s">
        <v>4102</v>
      </c>
      <c r="AI1278" s="11"/>
    </row>
    <row r="1279" ht="12.5" spans="1:35">
      <c r="A1279" s="177">
        <v>45375.7323665162</v>
      </c>
      <c r="B1279" s="11" t="s">
        <v>4113</v>
      </c>
      <c r="C1279" s="277" t="s">
        <v>4114</v>
      </c>
      <c r="D1279" s="19">
        <v>700805988142483</v>
      </c>
      <c r="E1279" s="18" t="s">
        <v>4115</v>
      </c>
      <c r="F1279" s="11" t="s">
        <v>225</v>
      </c>
      <c r="G1279" s="11" t="s">
        <v>54</v>
      </c>
      <c r="H1279" s="24">
        <v>33761</v>
      </c>
      <c r="I1279" s="277" t="s">
        <v>4116</v>
      </c>
      <c r="J1279" s="11" t="s">
        <v>42</v>
      </c>
      <c r="K1279" s="108" t="s">
        <v>155</v>
      </c>
      <c r="N1279" s="11" t="s">
        <v>43</v>
      </c>
      <c r="O1279" s="11" t="s">
        <v>44</v>
      </c>
      <c r="P1279" s="11" t="s">
        <v>44</v>
      </c>
      <c r="Q1279" s="11" t="s">
        <v>44</v>
      </c>
      <c r="R1279" s="11" t="s">
        <v>45</v>
      </c>
      <c r="S1279" s="11" t="s">
        <v>44</v>
      </c>
      <c r="T1279" s="11" t="s">
        <v>44</v>
      </c>
      <c r="U1279" s="11" t="s">
        <v>45</v>
      </c>
      <c r="V1279" s="24">
        <v>45376</v>
      </c>
      <c r="W1279" s="11" t="s">
        <v>46</v>
      </c>
      <c r="X1279" s="11" t="s">
        <v>303</v>
      </c>
      <c r="Y1279" s="11" t="s">
        <v>68</v>
      </c>
      <c r="Z1279" s="11">
        <v>81973155325</v>
      </c>
      <c r="AA1279" s="11" t="s">
        <v>3919</v>
      </c>
      <c r="AB1279" s="11" t="s">
        <v>49</v>
      </c>
      <c r="AC1279" s="11" t="s">
        <v>4117</v>
      </c>
      <c r="AD1279" s="11" t="b">
        <v>0</v>
      </c>
      <c r="AF1279" s="11" t="s">
        <v>4118</v>
      </c>
      <c r="AG1279" s="11" t="s">
        <v>4119</v>
      </c>
      <c r="AH1279" s="11"/>
      <c r="AI1279" s="11"/>
    </row>
    <row r="1280" ht="12.5" spans="1:35">
      <c r="A1280" s="177">
        <v>45376.3624300463</v>
      </c>
      <c r="B1280" s="11" t="s">
        <v>4120</v>
      </c>
      <c r="C1280" s="19">
        <v>13010353430</v>
      </c>
      <c r="D1280" s="19">
        <v>701407682433336</v>
      </c>
      <c r="E1280" s="18" t="s">
        <v>4121</v>
      </c>
      <c r="F1280" s="11" t="s">
        <v>225</v>
      </c>
      <c r="G1280" s="11" t="s">
        <v>41</v>
      </c>
      <c r="H1280" s="24">
        <v>36368</v>
      </c>
      <c r="I1280" s="277" t="s">
        <v>4122</v>
      </c>
      <c r="J1280" s="11" t="s">
        <v>42</v>
      </c>
      <c r="K1280" s="108" t="s">
        <v>427</v>
      </c>
      <c r="N1280" s="11" t="s">
        <v>43</v>
      </c>
      <c r="O1280" s="11" t="s">
        <v>96</v>
      </c>
      <c r="P1280" s="11" t="s">
        <v>56</v>
      </c>
      <c r="Q1280" s="11" t="s">
        <v>44</v>
      </c>
      <c r="R1280" s="11" t="s">
        <v>45</v>
      </c>
      <c r="S1280" s="11" t="s">
        <v>83</v>
      </c>
      <c r="T1280" s="11" t="s">
        <v>44</v>
      </c>
      <c r="U1280" s="11" t="s">
        <v>45</v>
      </c>
      <c r="V1280" s="24">
        <v>45377</v>
      </c>
      <c r="W1280" s="11" t="s">
        <v>46</v>
      </c>
      <c r="X1280" s="11" t="s">
        <v>67</v>
      </c>
      <c r="Y1280" s="11" t="s">
        <v>58</v>
      </c>
      <c r="Z1280" s="11">
        <v>81985353416</v>
      </c>
      <c r="AA1280" s="11" t="s">
        <v>115</v>
      </c>
      <c r="AB1280" s="11" t="s">
        <v>49</v>
      </c>
      <c r="AC1280" s="11" t="s">
        <v>84</v>
      </c>
      <c r="AD1280" s="11" t="b">
        <v>1</v>
      </c>
      <c r="AE1280" s="11" t="s">
        <v>137</v>
      </c>
      <c r="AF1280" s="11" t="s">
        <v>4123</v>
      </c>
      <c r="AG1280" s="11"/>
      <c r="AH1280" s="11"/>
      <c r="AI1280" s="11"/>
    </row>
    <row r="1281" ht="12.5" spans="1:35">
      <c r="A1281" s="177">
        <v>45376.503589838</v>
      </c>
      <c r="B1281" s="11" t="s">
        <v>4124</v>
      </c>
      <c r="C1281" s="19">
        <v>10630912416</v>
      </c>
      <c r="D1281" s="19">
        <v>702401024102529</v>
      </c>
      <c r="E1281" s="18" t="s">
        <v>4125</v>
      </c>
      <c r="F1281" s="11" t="s">
        <v>225</v>
      </c>
      <c r="G1281" s="11" t="s">
        <v>54</v>
      </c>
      <c r="H1281" s="24">
        <v>33618</v>
      </c>
      <c r="I1281" s="19" t="s">
        <v>110</v>
      </c>
      <c r="J1281" s="11" t="s">
        <v>438</v>
      </c>
      <c r="K1281" s="108"/>
      <c r="M1281" s="11" t="s">
        <v>650</v>
      </c>
      <c r="N1281" s="11" t="s">
        <v>43</v>
      </c>
      <c r="O1281" s="11" t="s">
        <v>96</v>
      </c>
      <c r="P1281" s="11" t="s">
        <v>56</v>
      </c>
      <c r="Q1281" s="11" t="s">
        <v>45</v>
      </c>
      <c r="R1281" s="11" t="s">
        <v>45</v>
      </c>
      <c r="S1281" s="11" t="s">
        <v>83</v>
      </c>
      <c r="T1281" s="11" t="s">
        <v>44</v>
      </c>
      <c r="U1281" s="11" t="s">
        <v>45</v>
      </c>
      <c r="V1281" s="24">
        <v>45377</v>
      </c>
      <c r="W1281" s="11" t="s">
        <v>46</v>
      </c>
      <c r="X1281" s="11" t="s">
        <v>47</v>
      </c>
      <c r="Y1281" s="11" t="s">
        <v>58</v>
      </c>
      <c r="Z1281" s="11">
        <v>81985914384</v>
      </c>
      <c r="AA1281" s="11" t="s">
        <v>103</v>
      </c>
      <c r="AB1281" s="11" t="s">
        <v>49</v>
      </c>
      <c r="AC1281" s="11" t="s">
        <v>84</v>
      </c>
      <c r="AD1281" s="11" t="b">
        <v>1</v>
      </c>
      <c r="AE1281" s="11" t="s">
        <v>137</v>
      </c>
      <c r="AF1281" s="11" t="s">
        <v>4126</v>
      </c>
      <c r="AG1281" s="11" t="s">
        <v>4127</v>
      </c>
      <c r="AH1281" s="11" t="s">
        <v>4128</v>
      </c>
      <c r="AI1281" s="11"/>
    </row>
    <row r="1282" ht="12.5" spans="1:35">
      <c r="A1282" s="177">
        <v>45376.6392856944</v>
      </c>
      <c r="B1282" s="11" t="s">
        <v>3629</v>
      </c>
      <c r="C1282" s="19">
        <v>14039334485</v>
      </c>
      <c r="D1282" s="19">
        <v>706303740457075</v>
      </c>
      <c r="F1282" s="11" t="s">
        <v>40</v>
      </c>
      <c r="G1282" s="11" t="s">
        <v>54</v>
      </c>
      <c r="H1282" s="24">
        <v>38773</v>
      </c>
      <c r="I1282" s="277" t="s">
        <v>4110</v>
      </c>
      <c r="J1282" s="11" t="s">
        <v>42</v>
      </c>
      <c r="K1282" s="108" t="s">
        <v>427</v>
      </c>
      <c r="N1282" s="11" t="s">
        <v>95</v>
      </c>
      <c r="O1282" s="11" t="s">
        <v>44</v>
      </c>
      <c r="P1282" s="11" t="s">
        <v>44</v>
      </c>
      <c r="Q1282" s="11" t="s">
        <v>45</v>
      </c>
      <c r="R1282" s="11" t="s">
        <v>45</v>
      </c>
      <c r="S1282" s="11" t="s">
        <v>45</v>
      </c>
      <c r="T1282" s="11" t="s">
        <v>44</v>
      </c>
      <c r="U1282" s="11" t="s">
        <v>45</v>
      </c>
      <c r="V1282" s="24">
        <v>45377</v>
      </c>
      <c r="W1282" s="11" t="s">
        <v>57</v>
      </c>
      <c r="X1282" s="11" t="s">
        <v>97</v>
      </c>
      <c r="Y1282" s="11" t="s">
        <v>97</v>
      </c>
      <c r="Z1282" s="11">
        <v>81985758942</v>
      </c>
      <c r="AA1282" s="11" t="s">
        <v>115</v>
      </c>
      <c r="AB1282" s="11" t="s">
        <v>49</v>
      </c>
      <c r="AC1282" s="11" t="s">
        <v>4129</v>
      </c>
      <c r="AD1282" s="11" t="b">
        <v>1</v>
      </c>
      <c r="AE1282" s="11" t="s">
        <v>137</v>
      </c>
      <c r="AF1282" s="11" t="s">
        <v>4130</v>
      </c>
      <c r="AG1282" s="11"/>
      <c r="AH1282" s="63" t="s">
        <v>4131</v>
      </c>
      <c r="AI1282" s="11"/>
    </row>
    <row r="1283" ht="12.5" spans="1:35">
      <c r="A1283" s="177">
        <v>45376.657252338</v>
      </c>
      <c r="B1283" s="11" t="s">
        <v>4113</v>
      </c>
      <c r="C1283" s="277" t="s">
        <v>4114</v>
      </c>
      <c r="D1283" s="19">
        <v>700805988142483</v>
      </c>
      <c r="F1283" s="11" t="s">
        <v>225</v>
      </c>
      <c r="G1283" s="11" t="s">
        <v>41</v>
      </c>
      <c r="H1283" s="24">
        <v>33761</v>
      </c>
      <c r="I1283" s="277" t="s">
        <v>4116</v>
      </c>
      <c r="J1283" s="11" t="s">
        <v>42</v>
      </c>
      <c r="K1283" s="108" t="s">
        <v>155</v>
      </c>
      <c r="N1283" s="11" t="s">
        <v>95</v>
      </c>
      <c r="O1283" s="11" t="s">
        <v>44</v>
      </c>
      <c r="P1283" s="11" t="s">
        <v>44</v>
      </c>
      <c r="Q1283" s="11" t="s">
        <v>44</v>
      </c>
      <c r="R1283" s="11" t="s">
        <v>45</v>
      </c>
      <c r="S1283" s="11" t="s">
        <v>44</v>
      </c>
      <c r="T1283" s="11" t="s">
        <v>44</v>
      </c>
      <c r="U1283" s="11" t="s">
        <v>44</v>
      </c>
      <c r="W1283" s="11" t="s">
        <v>57</v>
      </c>
      <c r="X1283" s="11" t="s">
        <v>97</v>
      </c>
      <c r="Y1283" s="11" t="s">
        <v>97</v>
      </c>
      <c r="Z1283" s="11">
        <v>81973155325</v>
      </c>
      <c r="AA1283" s="11" t="s">
        <v>4003</v>
      </c>
      <c r="AB1283" s="11" t="s">
        <v>49</v>
      </c>
      <c r="AC1283" s="11"/>
      <c r="AD1283" s="11" t="b">
        <v>0</v>
      </c>
      <c r="AF1283" s="11"/>
      <c r="AG1283" s="11"/>
      <c r="AH1283" s="11"/>
      <c r="AI1283" s="11"/>
    </row>
    <row r="1284" ht="12.5" spans="1:35">
      <c r="A1284" s="177">
        <v>45377.4680964236</v>
      </c>
      <c r="B1284" s="11" t="s">
        <v>3895</v>
      </c>
      <c r="C1284" s="19">
        <v>70528685473</v>
      </c>
      <c r="D1284" s="19">
        <v>706705540068510</v>
      </c>
      <c r="E1284" s="18" t="s">
        <v>4132</v>
      </c>
      <c r="F1284" s="11" t="s">
        <v>225</v>
      </c>
      <c r="G1284" s="11" t="s">
        <v>88</v>
      </c>
      <c r="H1284" s="24">
        <v>35951</v>
      </c>
      <c r="I1284" s="277" t="s">
        <v>3897</v>
      </c>
      <c r="J1284" s="11" t="s">
        <v>438</v>
      </c>
      <c r="K1284" s="108"/>
      <c r="M1284" s="11" t="s">
        <v>1669</v>
      </c>
      <c r="N1284" s="11" t="s">
        <v>43</v>
      </c>
      <c r="O1284" s="11" t="s">
        <v>44</v>
      </c>
      <c r="P1284" s="11" t="s">
        <v>44</v>
      </c>
      <c r="Q1284" s="11" t="s">
        <v>45</v>
      </c>
      <c r="R1284" s="11" t="s">
        <v>45</v>
      </c>
      <c r="S1284" s="11" t="s">
        <v>45</v>
      </c>
      <c r="T1284" s="11" t="s">
        <v>44</v>
      </c>
      <c r="U1284" s="11" t="s">
        <v>45</v>
      </c>
      <c r="V1284" s="24">
        <v>45378</v>
      </c>
      <c r="W1284" s="11" t="s">
        <v>46</v>
      </c>
      <c r="X1284" s="11" t="s">
        <v>47</v>
      </c>
      <c r="Y1284" s="11" t="s">
        <v>58</v>
      </c>
      <c r="Z1284" s="11">
        <v>81998371130</v>
      </c>
      <c r="AA1284" s="11" t="s">
        <v>4003</v>
      </c>
      <c r="AB1284" s="11" t="s">
        <v>49</v>
      </c>
      <c r="AC1284" s="11" t="s">
        <v>4117</v>
      </c>
      <c r="AD1284" s="11" t="b">
        <v>1</v>
      </c>
      <c r="AE1284" s="11" t="s">
        <v>137</v>
      </c>
      <c r="AF1284" s="11"/>
      <c r="AG1284" s="11"/>
      <c r="AH1284" s="11"/>
      <c r="AI1284" s="11"/>
    </row>
    <row r="1285" ht="12.5" spans="1:35">
      <c r="A1285" s="177">
        <v>45377.4706981944</v>
      </c>
      <c r="B1285" s="11" t="s">
        <v>3020</v>
      </c>
      <c r="C1285" s="19">
        <v>70808893408</v>
      </c>
      <c r="D1285" s="19">
        <v>705006070731455</v>
      </c>
      <c r="E1285" s="18" t="s">
        <v>4133</v>
      </c>
      <c r="F1285" s="11" t="s">
        <v>40</v>
      </c>
      <c r="G1285" s="11" t="s">
        <v>83</v>
      </c>
      <c r="H1285" s="24">
        <v>35564</v>
      </c>
      <c r="I1285" s="277" t="s">
        <v>3022</v>
      </c>
      <c r="J1285" s="11" t="s">
        <v>438</v>
      </c>
      <c r="K1285" s="108"/>
      <c r="M1285" s="11" t="s">
        <v>4134</v>
      </c>
      <c r="N1285" s="11" t="s">
        <v>43</v>
      </c>
      <c r="O1285" s="11" t="s">
        <v>65</v>
      </c>
      <c r="P1285" s="11" t="s">
        <v>66</v>
      </c>
      <c r="Q1285" s="11" t="s">
        <v>44</v>
      </c>
      <c r="R1285" s="11" t="s">
        <v>45</v>
      </c>
      <c r="S1285" s="11" t="s">
        <v>45</v>
      </c>
      <c r="T1285" s="11" t="s">
        <v>45</v>
      </c>
      <c r="U1285" s="11" t="s">
        <v>45</v>
      </c>
      <c r="V1285" s="24">
        <v>45378</v>
      </c>
      <c r="W1285" s="11" t="s">
        <v>46</v>
      </c>
      <c r="X1285" s="11" t="s">
        <v>47</v>
      </c>
      <c r="Y1285" s="11" t="s">
        <v>58</v>
      </c>
      <c r="Z1285" s="11">
        <v>81988921498</v>
      </c>
      <c r="AA1285" s="11" t="s">
        <v>4101</v>
      </c>
      <c r="AB1285" s="11" t="s">
        <v>49</v>
      </c>
      <c r="AC1285" s="11" t="s">
        <v>4117</v>
      </c>
      <c r="AD1285" s="11" t="b">
        <v>0</v>
      </c>
      <c r="AF1285" s="11"/>
      <c r="AG1285" s="11"/>
      <c r="AH1285" s="11"/>
      <c r="AI1285" s="11"/>
    </row>
    <row r="1286" ht="12.5" spans="1:35">
      <c r="A1286" s="177">
        <v>45377.4739760185</v>
      </c>
      <c r="B1286" s="11" t="s">
        <v>4120</v>
      </c>
      <c r="C1286" s="19">
        <v>13010353430</v>
      </c>
      <c r="D1286" s="19">
        <v>701407682433336</v>
      </c>
      <c r="E1286" s="18" t="s">
        <v>4135</v>
      </c>
      <c r="F1286" s="11" t="s">
        <v>225</v>
      </c>
      <c r="G1286" s="11" t="s">
        <v>54</v>
      </c>
      <c r="H1286" s="24">
        <v>36368</v>
      </c>
      <c r="I1286" s="277" t="s">
        <v>4122</v>
      </c>
      <c r="J1286" s="11" t="s">
        <v>42</v>
      </c>
      <c r="K1286" s="108" t="s">
        <v>202</v>
      </c>
      <c r="N1286" s="11" t="s">
        <v>95</v>
      </c>
      <c r="O1286" s="11" t="s">
        <v>65</v>
      </c>
      <c r="P1286" s="11" t="s">
        <v>66</v>
      </c>
      <c r="Q1286" s="11" t="s">
        <v>44</v>
      </c>
      <c r="R1286" s="11" t="s">
        <v>45</v>
      </c>
      <c r="S1286" s="11" t="s">
        <v>44</v>
      </c>
      <c r="T1286" s="11" t="s">
        <v>44</v>
      </c>
      <c r="U1286" s="11" t="s">
        <v>45</v>
      </c>
      <c r="V1286" s="24">
        <v>45378</v>
      </c>
      <c r="W1286" s="11" t="s">
        <v>46</v>
      </c>
      <c r="X1286" s="11" t="s">
        <v>97</v>
      </c>
      <c r="Y1286" s="11" t="s">
        <v>97</v>
      </c>
      <c r="Z1286" s="11">
        <v>81985353416</v>
      </c>
      <c r="AA1286" s="11" t="s">
        <v>105</v>
      </c>
      <c r="AB1286" s="11" t="s">
        <v>49</v>
      </c>
      <c r="AC1286" s="11" t="s">
        <v>4117</v>
      </c>
      <c r="AD1286" s="11" t="b">
        <v>1</v>
      </c>
      <c r="AE1286" s="11" t="s">
        <v>137</v>
      </c>
      <c r="AF1286" s="11"/>
      <c r="AG1286" s="11"/>
      <c r="AH1286" s="11"/>
      <c r="AI1286" s="11"/>
    </row>
    <row r="1287" ht="12.5" spans="1:35">
      <c r="A1287" s="177">
        <v>45377.6934669097</v>
      </c>
      <c r="B1287" s="11" t="s">
        <v>4136</v>
      </c>
      <c r="C1287" s="277" t="s">
        <v>4137</v>
      </c>
      <c r="D1287" s="19">
        <v>702303148692312</v>
      </c>
      <c r="E1287" s="18" t="s">
        <v>4138</v>
      </c>
      <c r="F1287" s="11" t="s">
        <v>40</v>
      </c>
      <c r="G1287" s="11" t="s">
        <v>54</v>
      </c>
      <c r="H1287" s="24">
        <v>29641</v>
      </c>
      <c r="I1287" s="277" t="s">
        <v>4139</v>
      </c>
      <c r="J1287" s="11" t="s">
        <v>42</v>
      </c>
      <c r="K1287" s="108" t="s">
        <v>202</v>
      </c>
      <c r="N1287" s="11" t="s">
        <v>43</v>
      </c>
      <c r="O1287" s="11" t="s">
        <v>65</v>
      </c>
      <c r="P1287" s="11" t="s">
        <v>66</v>
      </c>
      <c r="Q1287" s="11" t="s">
        <v>44</v>
      </c>
      <c r="R1287" s="11" t="s">
        <v>45</v>
      </c>
      <c r="S1287" s="11" t="s">
        <v>44</v>
      </c>
      <c r="T1287" s="11" t="s">
        <v>44</v>
      </c>
      <c r="U1287" s="11" t="s">
        <v>45</v>
      </c>
      <c r="V1287" s="24">
        <v>45378</v>
      </c>
      <c r="W1287" s="11" t="s">
        <v>46</v>
      </c>
      <c r="X1287" s="11" t="s">
        <v>47</v>
      </c>
      <c r="Y1287" s="11" t="s">
        <v>58</v>
      </c>
      <c r="Z1287" s="11">
        <v>81996224664</v>
      </c>
      <c r="AA1287" s="11" t="s">
        <v>105</v>
      </c>
      <c r="AB1287" s="11" t="s">
        <v>49</v>
      </c>
      <c r="AC1287" s="11" t="s">
        <v>84</v>
      </c>
      <c r="AD1287" s="11" t="b">
        <v>1</v>
      </c>
      <c r="AE1287" s="11" t="s">
        <v>137</v>
      </c>
      <c r="AF1287" s="11" t="s">
        <v>4140</v>
      </c>
      <c r="AG1287" s="11"/>
      <c r="AH1287" s="11"/>
      <c r="AI1287" s="11"/>
    </row>
    <row r="1288" ht="12.5" spans="1:35">
      <c r="A1288" s="177">
        <v>45377.7034342593</v>
      </c>
      <c r="B1288" s="11" t="s">
        <v>3629</v>
      </c>
      <c r="C1288" s="19">
        <v>14039334485</v>
      </c>
      <c r="D1288" s="19">
        <v>706303740457075</v>
      </c>
      <c r="E1288" s="18" t="s">
        <v>4141</v>
      </c>
      <c r="F1288" s="11" t="s">
        <v>40</v>
      </c>
      <c r="G1288" s="11" t="s">
        <v>83</v>
      </c>
      <c r="H1288" s="24">
        <v>38773</v>
      </c>
      <c r="I1288" s="277" t="s">
        <v>4110</v>
      </c>
      <c r="J1288" s="11" t="s">
        <v>42</v>
      </c>
      <c r="K1288" s="108" t="s">
        <v>427</v>
      </c>
      <c r="N1288" s="11" t="s">
        <v>95</v>
      </c>
      <c r="O1288" s="11" t="s">
        <v>44</v>
      </c>
      <c r="P1288" s="11" t="s">
        <v>44</v>
      </c>
      <c r="Q1288" s="11" t="s">
        <v>44</v>
      </c>
      <c r="R1288" s="11" t="s">
        <v>45</v>
      </c>
      <c r="S1288" s="11" t="s">
        <v>45</v>
      </c>
      <c r="T1288" s="11" t="s">
        <v>44</v>
      </c>
      <c r="U1288" s="11" t="s">
        <v>45</v>
      </c>
      <c r="V1288" s="24">
        <v>45378</v>
      </c>
      <c r="W1288" s="11" t="s">
        <v>46</v>
      </c>
      <c r="X1288" s="11" t="s">
        <v>47</v>
      </c>
      <c r="Y1288" s="11" t="s">
        <v>58</v>
      </c>
      <c r="Z1288" s="11">
        <v>81985758942</v>
      </c>
      <c r="AA1288" s="11" t="s">
        <v>4101</v>
      </c>
      <c r="AB1288" s="11" t="s">
        <v>49</v>
      </c>
      <c r="AC1288" s="11" t="s">
        <v>4142</v>
      </c>
      <c r="AD1288" s="11" t="b">
        <v>1</v>
      </c>
      <c r="AE1288" s="11" t="s">
        <v>137</v>
      </c>
      <c r="AF1288" s="75" t="s">
        <v>4143</v>
      </c>
      <c r="AG1288" s="11"/>
      <c r="AH1288" s="63" t="s">
        <v>4131</v>
      </c>
      <c r="AI1288" s="11"/>
    </row>
    <row r="1289" ht="12.5" spans="1:35">
      <c r="A1289" s="177">
        <v>45377.7641116088</v>
      </c>
      <c r="B1289" s="11" t="s">
        <v>4124</v>
      </c>
      <c r="C1289" s="19">
        <v>10630912416</v>
      </c>
      <c r="D1289" s="19">
        <v>702401024102529</v>
      </c>
      <c r="E1289" s="18" t="s">
        <v>4144</v>
      </c>
      <c r="F1289" s="11" t="s">
        <v>225</v>
      </c>
      <c r="G1289" s="11" t="s">
        <v>54</v>
      </c>
      <c r="H1289" s="24">
        <v>33618</v>
      </c>
      <c r="I1289" s="277" t="s">
        <v>629</v>
      </c>
      <c r="J1289" s="11" t="s">
        <v>438</v>
      </c>
      <c r="K1289" s="108"/>
      <c r="M1289" s="11" t="s">
        <v>650</v>
      </c>
      <c r="N1289" s="11" t="s">
        <v>95</v>
      </c>
      <c r="O1289" s="11" t="s">
        <v>96</v>
      </c>
      <c r="P1289" s="11" t="s">
        <v>66</v>
      </c>
      <c r="Q1289" s="11" t="s">
        <v>45</v>
      </c>
      <c r="R1289" s="11" t="s">
        <v>45</v>
      </c>
      <c r="S1289" s="11" t="s">
        <v>45</v>
      </c>
      <c r="T1289" s="11" t="s">
        <v>44</v>
      </c>
      <c r="U1289" s="11" t="s">
        <v>45</v>
      </c>
      <c r="V1289" s="24">
        <v>45378</v>
      </c>
      <c r="W1289" s="11" t="s">
        <v>46</v>
      </c>
      <c r="X1289" s="11" t="s">
        <v>97</v>
      </c>
      <c r="Y1289" s="11" t="s">
        <v>97</v>
      </c>
      <c r="Z1289" s="11">
        <v>81985914384</v>
      </c>
      <c r="AA1289" s="11" t="s">
        <v>105</v>
      </c>
      <c r="AB1289" s="136" t="s">
        <v>49</v>
      </c>
      <c r="AC1289" s="11" t="s">
        <v>4117</v>
      </c>
      <c r="AD1289" s="11" t="b">
        <v>1</v>
      </c>
      <c r="AE1289" s="11" t="s">
        <v>137</v>
      </c>
      <c r="AF1289" s="136" t="s">
        <v>4145</v>
      </c>
      <c r="AG1289" s="11"/>
      <c r="AH1289" s="11"/>
      <c r="AI1289" s="11"/>
    </row>
    <row r="1290" ht="12.5" spans="1:35">
      <c r="A1290" s="177">
        <v>45378.4602025</v>
      </c>
      <c r="B1290" s="11" t="s">
        <v>4045</v>
      </c>
      <c r="C1290" s="19">
        <v>10566423430</v>
      </c>
      <c r="D1290" s="19">
        <v>704007823903560</v>
      </c>
      <c r="F1290" s="11" t="s">
        <v>40</v>
      </c>
      <c r="G1290" s="11" t="s">
        <v>54</v>
      </c>
      <c r="H1290" s="24">
        <v>35835</v>
      </c>
      <c r="I1290" s="277" t="s">
        <v>4047</v>
      </c>
      <c r="J1290" s="11" t="s">
        <v>42</v>
      </c>
      <c r="K1290" s="108" t="s">
        <v>74</v>
      </c>
      <c r="N1290" s="11" t="s">
        <v>95</v>
      </c>
      <c r="O1290" s="11" t="s">
        <v>658</v>
      </c>
      <c r="P1290" s="11" t="s">
        <v>44</v>
      </c>
      <c r="Q1290" s="11" t="s">
        <v>44</v>
      </c>
      <c r="R1290" s="11" t="s">
        <v>45</v>
      </c>
      <c r="S1290" s="11" t="s">
        <v>44</v>
      </c>
      <c r="T1290" s="11" t="s">
        <v>44</v>
      </c>
      <c r="U1290" s="11" t="s">
        <v>44</v>
      </c>
      <c r="W1290" s="11" t="s">
        <v>57</v>
      </c>
      <c r="X1290" s="11" t="s">
        <v>97</v>
      </c>
      <c r="Y1290" s="11" t="s">
        <v>97</v>
      </c>
      <c r="Z1290" s="11">
        <v>81989011281</v>
      </c>
      <c r="AA1290" s="11" t="s">
        <v>105</v>
      </c>
      <c r="AB1290" s="11"/>
      <c r="AC1290" s="11"/>
      <c r="AD1290" s="11" t="b">
        <v>0</v>
      </c>
      <c r="AF1290" s="11"/>
      <c r="AG1290" s="11"/>
      <c r="AH1290" s="11"/>
      <c r="AI1290" s="11"/>
    </row>
    <row r="1291" ht="12.5" spans="1:35">
      <c r="A1291" s="177">
        <v>45378.498115625</v>
      </c>
      <c r="B1291" s="11" t="s">
        <v>3895</v>
      </c>
      <c r="C1291" s="19">
        <v>70528685473</v>
      </c>
      <c r="D1291" s="19">
        <v>706705540068510</v>
      </c>
      <c r="F1291" s="11" t="s">
        <v>225</v>
      </c>
      <c r="G1291" s="11" t="s">
        <v>88</v>
      </c>
      <c r="H1291" s="24">
        <v>35951</v>
      </c>
      <c r="I1291" s="277" t="s">
        <v>3897</v>
      </c>
      <c r="J1291" s="11" t="s">
        <v>438</v>
      </c>
      <c r="K1291" s="108"/>
      <c r="M1291" s="11" t="s">
        <v>1669</v>
      </c>
      <c r="N1291" s="11" t="s">
        <v>95</v>
      </c>
      <c r="O1291" s="11" t="s">
        <v>44</v>
      </c>
      <c r="P1291" s="11" t="s">
        <v>44</v>
      </c>
      <c r="Q1291" s="11" t="s">
        <v>44</v>
      </c>
      <c r="R1291" s="11" t="s">
        <v>45</v>
      </c>
      <c r="S1291" s="11" t="s">
        <v>45</v>
      </c>
      <c r="T1291" s="11" t="s">
        <v>44</v>
      </c>
      <c r="U1291" s="11" t="s">
        <v>44</v>
      </c>
      <c r="W1291" s="11" t="s">
        <v>57</v>
      </c>
      <c r="X1291" s="11" t="s">
        <v>47</v>
      </c>
      <c r="Y1291" s="11" t="s">
        <v>97</v>
      </c>
      <c r="Z1291" s="11">
        <v>81998371130</v>
      </c>
      <c r="AA1291" s="11" t="s">
        <v>4003</v>
      </c>
      <c r="AB1291" s="11"/>
      <c r="AC1291" s="11"/>
      <c r="AD1291" s="11" t="b">
        <v>0</v>
      </c>
      <c r="AF1291" s="11"/>
      <c r="AG1291" s="11"/>
      <c r="AH1291" s="11"/>
      <c r="AI1291" s="11"/>
    </row>
    <row r="1292" ht="12.5" spans="1:35">
      <c r="A1292" s="177">
        <v>45378.5098039583</v>
      </c>
      <c r="B1292" s="11" t="s">
        <v>4146</v>
      </c>
      <c r="C1292" s="19">
        <v>15493280426</v>
      </c>
      <c r="D1292" s="19">
        <v>700309983361339</v>
      </c>
      <c r="E1292" s="18" t="s">
        <v>4147</v>
      </c>
      <c r="F1292" s="11" t="s">
        <v>40</v>
      </c>
      <c r="G1292" s="11" t="s">
        <v>88</v>
      </c>
      <c r="H1292" s="24">
        <v>37319</v>
      </c>
      <c r="I1292" s="277" t="s">
        <v>4148</v>
      </c>
      <c r="J1292" s="11" t="s">
        <v>42</v>
      </c>
      <c r="K1292" s="108" t="s">
        <v>4149</v>
      </c>
      <c r="N1292" s="11" t="s">
        <v>43</v>
      </c>
      <c r="O1292" s="11" t="s">
        <v>44</v>
      </c>
      <c r="P1292" s="11" t="s">
        <v>44</v>
      </c>
      <c r="Q1292" s="11" t="s">
        <v>44</v>
      </c>
      <c r="R1292" s="11" t="s">
        <v>45</v>
      </c>
      <c r="S1292" s="11" t="s">
        <v>45</v>
      </c>
      <c r="T1292" s="11" t="s">
        <v>44</v>
      </c>
      <c r="U1292" s="11" t="s">
        <v>44</v>
      </c>
      <c r="W1292" s="11" t="s">
        <v>46</v>
      </c>
      <c r="X1292" s="11" t="s">
        <v>47</v>
      </c>
      <c r="Y1292" s="11" t="s">
        <v>58</v>
      </c>
      <c r="Z1292" s="11">
        <v>81997507759</v>
      </c>
      <c r="AA1292" s="11" t="s">
        <v>105</v>
      </c>
      <c r="AB1292" s="11"/>
      <c r="AC1292" s="11"/>
      <c r="AD1292" s="11" t="b">
        <v>0</v>
      </c>
      <c r="AF1292" s="11"/>
      <c r="AG1292" s="11"/>
      <c r="AH1292" s="11"/>
      <c r="AI1292" s="11"/>
    </row>
    <row r="1293" ht="12.5" spans="1:35">
      <c r="A1293" s="177">
        <v>45378.5574927662</v>
      </c>
      <c r="B1293" s="11" t="s">
        <v>4150</v>
      </c>
      <c r="C1293" s="19">
        <v>71284004430</v>
      </c>
      <c r="D1293" s="19">
        <v>898004986881584</v>
      </c>
      <c r="E1293" s="18" t="s">
        <v>4151</v>
      </c>
      <c r="F1293" s="11" t="s">
        <v>225</v>
      </c>
      <c r="G1293" s="11" t="s">
        <v>54</v>
      </c>
      <c r="H1293" s="24">
        <v>36968</v>
      </c>
      <c r="I1293" s="277" t="s">
        <v>3841</v>
      </c>
      <c r="J1293" s="11" t="s">
        <v>42</v>
      </c>
      <c r="K1293" s="108" t="s">
        <v>4152</v>
      </c>
      <c r="N1293" s="11" t="s">
        <v>43</v>
      </c>
      <c r="O1293" s="11" t="s">
        <v>96</v>
      </c>
      <c r="P1293" s="11" t="s">
        <v>56</v>
      </c>
      <c r="Q1293" s="11" t="s">
        <v>44</v>
      </c>
      <c r="R1293" s="11" t="s">
        <v>45</v>
      </c>
      <c r="S1293" s="11" t="s">
        <v>83</v>
      </c>
      <c r="T1293" s="11" t="s">
        <v>44</v>
      </c>
      <c r="U1293" s="11" t="s">
        <v>45</v>
      </c>
      <c r="V1293" s="24">
        <v>45379</v>
      </c>
      <c r="W1293" s="11" t="s">
        <v>46</v>
      </c>
      <c r="X1293" s="11" t="s">
        <v>47</v>
      </c>
      <c r="Y1293" s="11" t="s">
        <v>58</v>
      </c>
      <c r="Z1293" s="11">
        <v>81986058506</v>
      </c>
      <c r="AA1293" s="11" t="s">
        <v>105</v>
      </c>
      <c r="AB1293" s="11" t="s">
        <v>98</v>
      </c>
      <c r="AC1293" s="11"/>
      <c r="AD1293" s="11" t="b">
        <v>0</v>
      </c>
      <c r="AF1293" s="11" t="s">
        <v>4153</v>
      </c>
      <c r="AG1293" s="11" t="s">
        <v>4154</v>
      </c>
      <c r="AH1293" s="11"/>
      <c r="AI1293" s="11"/>
    </row>
    <row r="1294" ht="12.5" spans="1:35">
      <c r="A1294" s="177">
        <v>45378.6009847338</v>
      </c>
      <c r="B1294" s="11" t="s">
        <v>3020</v>
      </c>
      <c r="C1294" s="19">
        <v>70808893408</v>
      </c>
      <c r="D1294" s="19">
        <v>705006070731455</v>
      </c>
      <c r="F1294" s="11" t="s">
        <v>40</v>
      </c>
      <c r="G1294" s="11" t="s">
        <v>54</v>
      </c>
      <c r="H1294" s="24">
        <v>35564</v>
      </c>
      <c r="I1294" s="277" t="s">
        <v>4155</v>
      </c>
      <c r="J1294" s="11" t="s">
        <v>438</v>
      </c>
      <c r="K1294" s="108"/>
      <c r="M1294" s="11" t="s">
        <v>4156</v>
      </c>
      <c r="N1294" s="11" t="s">
        <v>95</v>
      </c>
      <c r="O1294" s="11" t="s">
        <v>44</v>
      </c>
      <c r="P1294" s="11" t="s">
        <v>44</v>
      </c>
      <c r="Q1294" s="11" t="s">
        <v>44</v>
      </c>
      <c r="R1294" s="11" t="s">
        <v>45</v>
      </c>
      <c r="S1294" s="11" t="s">
        <v>45</v>
      </c>
      <c r="T1294" s="11" t="s">
        <v>44</v>
      </c>
      <c r="U1294" s="11" t="s">
        <v>44</v>
      </c>
      <c r="W1294" s="11" t="s">
        <v>57</v>
      </c>
      <c r="X1294" s="11" t="s">
        <v>97</v>
      </c>
      <c r="Y1294" s="11" t="s">
        <v>97</v>
      </c>
      <c r="Z1294" s="11">
        <v>81988921498</v>
      </c>
      <c r="AA1294" s="11" t="s">
        <v>4003</v>
      </c>
      <c r="AB1294" s="11"/>
      <c r="AC1294" s="11"/>
      <c r="AD1294" s="11" t="b">
        <v>0</v>
      </c>
      <c r="AF1294" s="11"/>
      <c r="AG1294" s="11"/>
      <c r="AH1294" s="11"/>
      <c r="AI1294" s="11"/>
    </row>
    <row r="1295" ht="12.5" spans="1:35">
      <c r="A1295" s="177">
        <v>45378.6416853704</v>
      </c>
      <c r="B1295" s="11" t="s">
        <v>4157</v>
      </c>
      <c r="C1295" s="19">
        <v>13010353430</v>
      </c>
      <c r="D1295" s="19">
        <v>701407682433336</v>
      </c>
      <c r="E1295" s="18" t="s">
        <v>4158</v>
      </c>
      <c r="F1295" s="11" t="s">
        <v>225</v>
      </c>
      <c r="G1295" s="11" t="s">
        <v>54</v>
      </c>
      <c r="H1295" s="24">
        <v>36368</v>
      </c>
      <c r="I1295" s="277" t="s">
        <v>4122</v>
      </c>
      <c r="J1295" s="11" t="s">
        <v>42</v>
      </c>
      <c r="K1295" s="108" t="s">
        <v>202</v>
      </c>
      <c r="N1295" s="11" t="s">
        <v>95</v>
      </c>
      <c r="O1295" s="11" t="s">
        <v>44</v>
      </c>
      <c r="P1295" s="11" t="s">
        <v>66</v>
      </c>
      <c r="Q1295" s="11" t="s">
        <v>44</v>
      </c>
      <c r="R1295" s="11" t="s">
        <v>44</v>
      </c>
      <c r="S1295" s="11" t="s">
        <v>44</v>
      </c>
      <c r="T1295" s="11" t="s">
        <v>44</v>
      </c>
      <c r="U1295" s="11" t="s">
        <v>45</v>
      </c>
      <c r="V1295" s="24">
        <v>45379</v>
      </c>
      <c r="W1295" s="11" t="s">
        <v>57</v>
      </c>
      <c r="X1295" s="11" t="s">
        <v>97</v>
      </c>
      <c r="Y1295" s="11" t="s">
        <v>97</v>
      </c>
      <c r="Z1295" s="11">
        <v>81985353416</v>
      </c>
      <c r="AA1295" s="11" t="s">
        <v>4003</v>
      </c>
      <c r="AB1295" s="11" t="s">
        <v>98</v>
      </c>
      <c r="AC1295" s="11"/>
      <c r="AD1295" s="11" t="b">
        <v>0</v>
      </c>
      <c r="AF1295" s="11" t="s">
        <v>4159</v>
      </c>
      <c r="AG1295" s="11" t="s">
        <v>4160</v>
      </c>
      <c r="AH1295" s="11"/>
      <c r="AI1295" s="11"/>
    </row>
    <row r="1296" ht="12.5" spans="1:35">
      <c r="A1296" s="177">
        <v>45378.6628991435</v>
      </c>
      <c r="B1296" s="11" t="s">
        <v>3777</v>
      </c>
      <c r="C1296" s="19">
        <v>11229954406</v>
      </c>
      <c r="D1296" s="19">
        <v>700404429566845</v>
      </c>
      <c r="E1296" s="18" t="s">
        <v>4161</v>
      </c>
      <c r="F1296" s="11" t="s">
        <v>225</v>
      </c>
      <c r="G1296" s="11" t="s">
        <v>88</v>
      </c>
      <c r="H1296" s="24">
        <v>34729</v>
      </c>
      <c r="I1296" s="277" t="s">
        <v>2826</v>
      </c>
      <c r="J1296" s="11" t="s">
        <v>42</v>
      </c>
      <c r="K1296" s="108" t="s">
        <v>4162</v>
      </c>
      <c r="N1296" s="11" t="s">
        <v>43</v>
      </c>
      <c r="O1296" s="11" t="s">
        <v>44</v>
      </c>
      <c r="P1296" s="11" t="s">
        <v>44</v>
      </c>
      <c r="Q1296" s="11" t="s">
        <v>44</v>
      </c>
      <c r="R1296" s="11" t="s">
        <v>45</v>
      </c>
      <c r="S1296" s="11" t="s">
        <v>45</v>
      </c>
      <c r="T1296" s="11" t="s">
        <v>44</v>
      </c>
      <c r="U1296" s="11" t="s">
        <v>44</v>
      </c>
      <c r="W1296" s="11" t="s">
        <v>46</v>
      </c>
      <c r="X1296" s="11" t="s">
        <v>47</v>
      </c>
      <c r="Y1296" s="11" t="s">
        <v>58</v>
      </c>
      <c r="Z1296" s="11">
        <v>81984881221</v>
      </c>
      <c r="AA1296" s="11" t="s">
        <v>105</v>
      </c>
      <c r="AB1296" s="11"/>
      <c r="AC1296" s="11"/>
      <c r="AD1296" s="11" t="b">
        <v>0</v>
      </c>
      <c r="AF1296" s="11"/>
      <c r="AG1296" s="11"/>
      <c r="AH1296" s="11"/>
      <c r="AI1296" s="11"/>
    </row>
    <row r="1297" ht="12.5" spans="1:35">
      <c r="A1297" s="177">
        <v>45378.6739481134</v>
      </c>
      <c r="B1297" s="11" t="s">
        <v>4163</v>
      </c>
      <c r="C1297" s="19">
        <v>12567294422</v>
      </c>
      <c r="D1297" s="19">
        <v>703000803629779</v>
      </c>
      <c r="E1297" s="18" t="s">
        <v>4164</v>
      </c>
      <c r="F1297" s="11" t="s">
        <v>40</v>
      </c>
      <c r="G1297" s="11" t="s">
        <v>41</v>
      </c>
      <c r="H1297" s="24">
        <v>35716</v>
      </c>
      <c r="I1297" s="277" t="s">
        <v>4165</v>
      </c>
      <c r="J1297" s="11" t="s">
        <v>42</v>
      </c>
      <c r="K1297" s="108" t="s">
        <v>202</v>
      </c>
      <c r="N1297" s="11" t="s">
        <v>43</v>
      </c>
      <c r="O1297" s="11" t="s">
        <v>44</v>
      </c>
      <c r="P1297" s="11" t="s">
        <v>44</v>
      </c>
      <c r="Q1297" s="11" t="s">
        <v>44</v>
      </c>
      <c r="R1297" s="11" t="s">
        <v>45</v>
      </c>
      <c r="S1297" s="11" t="s">
        <v>45</v>
      </c>
      <c r="T1297" s="11" t="s">
        <v>44</v>
      </c>
      <c r="U1297" s="11" t="s">
        <v>44</v>
      </c>
      <c r="W1297" s="11" t="s">
        <v>46</v>
      </c>
      <c r="X1297" s="11" t="s">
        <v>47</v>
      </c>
      <c r="Y1297" s="11" t="s">
        <v>58</v>
      </c>
      <c r="Z1297" s="11">
        <v>81997887559</v>
      </c>
      <c r="AA1297" s="11" t="s">
        <v>105</v>
      </c>
      <c r="AB1297" s="11"/>
      <c r="AC1297" s="11"/>
      <c r="AD1297" s="11" t="b">
        <v>0</v>
      </c>
      <c r="AF1297" s="11"/>
      <c r="AG1297" s="11"/>
      <c r="AH1297" s="11"/>
      <c r="AI1297" s="11"/>
    </row>
    <row r="1298" ht="12.5" spans="1:35">
      <c r="A1298" s="177">
        <v>45378.6957062963</v>
      </c>
      <c r="B1298" s="11" t="s">
        <v>4124</v>
      </c>
      <c r="C1298" s="19">
        <v>10630912416</v>
      </c>
      <c r="D1298" s="19">
        <v>702401024102529</v>
      </c>
      <c r="F1298" s="11" t="s">
        <v>225</v>
      </c>
      <c r="G1298" s="11" t="s">
        <v>54</v>
      </c>
      <c r="H1298" s="24">
        <v>33618</v>
      </c>
      <c r="I1298" s="277" t="s">
        <v>629</v>
      </c>
      <c r="J1298" s="11" t="s">
        <v>438</v>
      </c>
      <c r="K1298" s="108"/>
      <c r="M1298" s="11" t="s">
        <v>650</v>
      </c>
      <c r="N1298" s="11" t="s">
        <v>95</v>
      </c>
      <c r="O1298" s="11" t="s">
        <v>44</v>
      </c>
      <c r="P1298" s="11" t="s">
        <v>44</v>
      </c>
      <c r="Q1298" s="11" t="s">
        <v>45</v>
      </c>
      <c r="R1298" s="11" t="s">
        <v>45</v>
      </c>
      <c r="S1298" s="11" t="s">
        <v>44</v>
      </c>
      <c r="T1298" s="11" t="s">
        <v>44</v>
      </c>
      <c r="U1298" s="11" t="s">
        <v>45</v>
      </c>
      <c r="V1298" s="24">
        <v>45380</v>
      </c>
      <c r="W1298" s="11" t="s">
        <v>57</v>
      </c>
      <c r="X1298" s="11" t="s">
        <v>97</v>
      </c>
      <c r="Y1298" s="11" t="s">
        <v>97</v>
      </c>
      <c r="Z1298" s="11">
        <v>81985914384</v>
      </c>
      <c r="AA1298" s="11" t="s">
        <v>4003</v>
      </c>
      <c r="AB1298" s="63" t="s">
        <v>49</v>
      </c>
      <c r="AC1298" s="63" t="s">
        <v>106</v>
      </c>
      <c r="AD1298" s="11" t="b">
        <v>1</v>
      </c>
      <c r="AE1298" s="11" t="s">
        <v>137</v>
      </c>
      <c r="AF1298" s="63" t="s">
        <v>4166</v>
      </c>
      <c r="AG1298" s="11" t="s">
        <v>4167</v>
      </c>
      <c r="AH1298" s="11"/>
      <c r="AI1298" s="11"/>
    </row>
    <row r="1299" ht="12.5" spans="1:35">
      <c r="A1299" s="177">
        <v>45378.696145787</v>
      </c>
      <c r="B1299" s="11" t="s">
        <v>3629</v>
      </c>
      <c r="C1299" s="19">
        <v>14039334485</v>
      </c>
      <c r="D1299" s="19">
        <v>706303740457075</v>
      </c>
      <c r="E1299" s="18" t="s">
        <v>4168</v>
      </c>
      <c r="F1299" s="11" t="s">
        <v>40</v>
      </c>
      <c r="G1299" s="11" t="s">
        <v>54</v>
      </c>
      <c r="H1299" s="24">
        <v>38773</v>
      </c>
      <c r="I1299" s="222">
        <v>45239</v>
      </c>
      <c r="J1299" s="11" t="s">
        <v>42</v>
      </c>
      <c r="K1299" s="108" t="s">
        <v>427</v>
      </c>
      <c r="N1299" s="11" t="s">
        <v>95</v>
      </c>
      <c r="O1299" s="11" t="s">
        <v>65</v>
      </c>
      <c r="P1299" s="11" t="s">
        <v>66</v>
      </c>
      <c r="Q1299" s="11" t="s">
        <v>45</v>
      </c>
      <c r="R1299" s="11" t="s">
        <v>45</v>
      </c>
      <c r="S1299" s="11" t="s">
        <v>45</v>
      </c>
      <c r="T1299" s="11" t="s">
        <v>44</v>
      </c>
      <c r="U1299" s="11" t="s">
        <v>45</v>
      </c>
      <c r="V1299" s="24">
        <v>45380</v>
      </c>
      <c r="W1299" s="11" t="s">
        <v>46</v>
      </c>
      <c r="X1299" s="11" t="s">
        <v>97</v>
      </c>
      <c r="Y1299" s="11" t="s">
        <v>97</v>
      </c>
      <c r="Z1299" s="11">
        <v>81985758942</v>
      </c>
      <c r="AA1299" s="11" t="s">
        <v>4088</v>
      </c>
      <c r="AB1299" s="11" t="s">
        <v>49</v>
      </c>
      <c r="AC1299" s="11" t="s">
        <v>50</v>
      </c>
      <c r="AD1299" s="11" t="b">
        <v>0</v>
      </c>
      <c r="AF1299" s="136" t="s">
        <v>4169</v>
      </c>
      <c r="AG1299" s="11" t="s">
        <v>4170</v>
      </c>
      <c r="AH1299" s="63" t="s">
        <v>4131</v>
      </c>
      <c r="AI1299" s="11"/>
    </row>
    <row r="1300" ht="12.5" spans="1:35">
      <c r="A1300" s="177">
        <v>45378.7132373032</v>
      </c>
      <c r="B1300" s="11" t="s">
        <v>4171</v>
      </c>
      <c r="C1300" s="19">
        <v>13200818433</v>
      </c>
      <c r="D1300" s="19">
        <v>700404905544050</v>
      </c>
      <c r="E1300" s="18" t="s">
        <v>4172</v>
      </c>
      <c r="F1300" s="11" t="s">
        <v>40</v>
      </c>
      <c r="G1300" s="11" t="s">
        <v>83</v>
      </c>
      <c r="H1300" s="24">
        <v>38396</v>
      </c>
      <c r="I1300" s="19" t="s">
        <v>2327</v>
      </c>
      <c r="J1300" s="11" t="s">
        <v>42</v>
      </c>
      <c r="K1300" s="108" t="s">
        <v>4173</v>
      </c>
      <c r="N1300" s="11" t="s">
        <v>43</v>
      </c>
      <c r="O1300" s="11" t="s">
        <v>44</v>
      </c>
      <c r="P1300" s="11" t="s">
        <v>44</v>
      </c>
      <c r="Q1300" s="11" t="s">
        <v>44</v>
      </c>
      <c r="R1300" s="11" t="s">
        <v>44</v>
      </c>
      <c r="S1300" s="11" t="s">
        <v>45</v>
      </c>
      <c r="T1300" s="11" t="s">
        <v>44</v>
      </c>
      <c r="U1300" s="11" t="s">
        <v>44</v>
      </c>
      <c r="W1300" s="11" t="s">
        <v>46</v>
      </c>
      <c r="X1300" s="11" t="s">
        <v>47</v>
      </c>
      <c r="Y1300" s="11" t="s">
        <v>58</v>
      </c>
      <c r="Z1300" s="11">
        <v>81979142738</v>
      </c>
      <c r="AA1300" s="11" t="s">
        <v>4003</v>
      </c>
      <c r="AB1300" s="11"/>
      <c r="AC1300" s="11"/>
      <c r="AD1300" s="11" t="b">
        <v>0</v>
      </c>
      <c r="AF1300" s="11"/>
      <c r="AG1300" s="11"/>
      <c r="AH1300" s="11"/>
      <c r="AI1300" s="11"/>
    </row>
    <row r="1301" ht="12.5" spans="1:35">
      <c r="A1301" s="177">
        <v>45378.7399718981</v>
      </c>
      <c r="B1301" s="11" t="s">
        <v>4136</v>
      </c>
      <c r="C1301" s="277" t="s">
        <v>4137</v>
      </c>
      <c r="D1301" s="19">
        <v>702303148692312</v>
      </c>
      <c r="E1301" s="18" t="s">
        <v>4174</v>
      </c>
      <c r="F1301" s="11" t="s">
        <v>40</v>
      </c>
      <c r="G1301" s="11" t="s">
        <v>54</v>
      </c>
      <c r="H1301" s="24">
        <v>29641</v>
      </c>
      <c r="I1301" s="277" t="s">
        <v>4139</v>
      </c>
      <c r="J1301" s="11" t="s">
        <v>42</v>
      </c>
      <c r="K1301" s="108" t="s">
        <v>202</v>
      </c>
      <c r="N1301" s="11" t="s">
        <v>95</v>
      </c>
      <c r="O1301" s="11" t="s">
        <v>44</v>
      </c>
      <c r="P1301" s="11" t="s">
        <v>44</v>
      </c>
      <c r="Q1301" s="11" t="s">
        <v>45</v>
      </c>
      <c r="R1301" s="11" t="s">
        <v>45</v>
      </c>
      <c r="S1301" s="11" t="s">
        <v>45</v>
      </c>
      <c r="T1301" s="11" t="s">
        <v>45</v>
      </c>
      <c r="U1301" s="11" t="s">
        <v>44</v>
      </c>
      <c r="W1301" s="11" t="s">
        <v>46</v>
      </c>
      <c r="X1301" s="11" t="s">
        <v>97</v>
      </c>
      <c r="Y1301" s="11" t="s">
        <v>97</v>
      </c>
      <c r="Z1301" s="11">
        <v>81996224664</v>
      </c>
      <c r="AA1301" s="11" t="s">
        <v>105</v>
      </c>
      <c r="AB1301" s="11"/>
      <c r="AC1301" s="11"/>
      <c r="AD1301" s="11" t="b">
        <v>0</v>
      </c>
      <c r="AF1301" s="11"/>
      <c r="AG1301" s="11"/>
      <c r="AH1301" s="11"/>
      <c r="AI1301" s="11"/>
    </row>
    <row r="1302" ht="12.5" spans="1:35">
      <c r="A1302" s="177">
        <v>45378.7731896644</v>
      </c>
      <c r="B1302" s="11" t="s">
        <v>4175</v>
      </c>
      <c r="C1302" s="19">
        <v>11289973474</v>
      </c>
      <c r="D1302" s="19">
        <v>702501342525732</v>
      </c>
      <c r="E1302" s="18" t="s">
        <v>4176</v>
      </c>
      <c r="F1302" s="11" t="s">
        <v>225</v>
      </c>
      <c r="G1302" s="11" t="s">
        <v>41</v>
      </c>
      <c r="H1302" s="24">
        <v>34671</v>
      </c>
      <c r="I1302" s="277" t="s">
        <v>4177</v>
      </c>
      <c r="J1302" s="11" t="s">
        <v>42</v>
      </c>
      <c r="K1302" s="108" t="s">
        <v>202</v>
      </c>
      <c r="N1302" s="11" t="s">
        <v>43</v>
      </c>
      <c r="O1302" s="11" t="s">
        <v>44</v>
      </c>
      <c r="P1302" s="11" t="s">
        <v>44</v>
      </c>
      <c r="Q1302" s="11" t="s">
        <v>44</v>
      </c>
      <c r="R1302" s="11" t="s">
        <v>45</v>
      </c>
      <c r="S1302" s="11" t="s">
        <v>45</v>
      </c>
      <c r="T1302" s="11" t="s">
        <v>44</v>
      </c>
      <c r="U1302" s="11" t="s">
        <v>45</v>
      </c>
      <c r="V1302" s="24">
        <v>45380</v>
      </c>
      <c r="W1302" s="11" t="s">
        <v>46</v>
      </c>
      <c r="X1302" s="11" t="s">
        <v>203</v>
      </c>
      <c r="Y1302" s="11" t="s">
        <v>58</v>
      </c>
      <c r="Z1302" s="11">
        <v>81984841582</v>
      </c>
      <c r="AA1302" s="11" t="s">
        <v>105</v>
      </c>
      <c r="AB1302" s="11" t="s">
        <v>98</v>
      </c>
      <c r="AC1302" s="11"/>
      <c r="AD1302" s="11" t="b">
        <v>0</v>
      </c>
      <c r="AF1302" s="11" t="s">
        <v>4178</v>
      </c>
      <c r="AG1302" s="11"/>
      <c r="AH1302" s="11"/>
      <c r="AI1302" s="11"/>
    </row>
    <row r="1303" ht="12.5" spans="1:35">
      <c r="A1303" s="177">
        <v>45378.8106546759</v>
      </c>
      <c r="B1303" s="11" t="s">
        <v>4179</v>
      </c>
      <c r="C1303" s="19">
        <v>12002249490</v>
      </c>
      <c r="D1303" s="19">
        <v>700002442144101</v>
      </c>
      <c r="E1303" s="18" t="s">
        <v>4180</v>
      </c>
      <c r="F1303" s="11" t="s">
        <v>225</v>
      </c>
      <c r="G1303" s="11" t="s">
        <v>54</v>
      </c>
      <c r="H1303" s="24">
        <v>36554</v>
      </c>
      <c r="I1303" s="277" t="s">
        <v>4110</v>
      </c>
      <c r="J1303" s="11" t="s">
        <v>42</v>
      </c>
      <c r="K1303" s="108" t="s">
        <v>4181</v>
      </c>
      <c r="N1303" s="11" t="s">
        <v>43</v>
      </c>
      <c r="O1303" s="11" t="s">
        <v>44</v>
      </c>
      <c r="P1303" s="11" t="s">
        <v>44</v>
      </c>
      <c r="Q1303" s="11" t="s">
        <v>44</v>
      </c>
      <c r="R1303" s="11" t="s">
        <v>45</v>
      </c>
      <c r="S1303" s="11" t="s">
        <v>45</v>
      </c>
      <c r="T1303" s="11" t="s">
        <v>44</v>
      </c>
      <c r="U1303" s="11" t="s">
        <v>45</v>
      </c>
      <c r="V1303" s="24">
        <v>45380</v>
      </c>
      <c r="W1303" s="11" t="s">
        <v>46</v>
      </c>
      <c r="X1303" s="11" t="s">
        <v>203</v>
      </c>
      <c r="Y1303" s="11" t="s">
        <v>58</v>
      </c>
      <c r="Z1303" s="11">
        <v>81997047849</v>
      </c>
      <c r="AA1303" s="11" t="s">
        <v>105</v>
      </c>
      <c r="AB1303" s="11" t="s">
        <v>49</v>
      </c>
      <c r="AC1303" s="11" t="s">
        <v>50</v>
      </c>
      <c r="AD1303" s="11" t="b">
        <v>1</v>
      </c>
      <c r="AE1303" s="11" t="s">
        <v>137</v>
      </c>
      <c r="AF1303" s="11" t="s">
        <v>4182</v>
      </c>
      <c r="AG1303" s="11"/>
      <c r="AH1303" s="11"/>
      <c r="AI1303" s="11"/>
    </row>
    <row r="1304" ht="12.5" spans="1:35">
      <c r="A1304" s="177">
        <v>45378.8115492245</v>
      </c>
      <c r="B1304" s="11" t="s">
        <v>4183</v>
      </c>
      <c r="C1304" s="19">
        <v>70421798467</v>
      </c>
      <c r="D1304" s="19">
        <v>705006427006555</v>
      </c>
      <c r="F1304" s="11" t="s">
        <v>40</v>
      </c>
      <c r="G1304" s="11" t="s">
        <v>54</v>
      </c>
      <c r="H1304" s="24">
        <v>35858</v>
      </c>
      <c r="I1304" s="277" t="s">
        <v>3657</v>
      </c>
      <c r="J1304" s="11" t="s">
        <v>42</v>
      </c>
      <c r="K1304" s="108" t="s">
        <v>202</v>
      </c>
      <c r="N1304" s="11" t="s">
        <v>43</v>
      </c>
      <c r="O1304" s="11" t="s">
        <v>44</v>
      </c>
      <c r="P1304" s="11" t="s">
        <v>44</v>
      </c>
      <c r="Q1304" s="11" t="s">
        <v>45</v>
      </c>
      <c r="R1304" s="11" t="s">
        <v>45</v>
      </c>
      <c r="S1304" s="11" t="s">
        <v>45</v>
      </c>
      <c r="T1304" s="11" t="s">
        <v>44</v>
      </c>
      <c r="U1304" s="11" t="s">
        <v>45</v>
      </c>
      <c r="V1304" s="24">
        <v>45383</v>
      </c>
      <c r="W1304" s="11" t="s">
        <v>46</v>
      </c>
      <c r="X1304" s="11" t="s">
        <v>203</v>
      </c>
      <c r="Y1304" s="11" t="s">
        <v>58</v>
      </c>
      <c r="Z1304" s="11">
        <v>81983065319</v>
      </c>
      <c r="AA1304" s="11" t="s">
        <v>4088</v>
      </c>
      <c r="AB1304" s="11" t="s">
        <v>98</v>
      </c>
      <c r="AC1304" s="11"/>
      <c r="AD1304" s="11" t="b">
        <v>0</v>
      </c>
      <c r="AF1304" s="11" t="s">
        <v>4184</v>
      </c>
      <c r="AG1304" s="11" t="s">
        <v>4185</v>
      </c>
      <c r="AH1304" s="11"/>
      <c r="AI1304" s="11"/>
    </row>
    <row r="1305" ht="12.5" spans="1:35">
      <c r="A1305" s="177">
        <v>45379.3773156366</v>
      </c>
      <c r="B1305" s="11" t="s">
        <v>4186</v>
      </c>
      <c r="C1305" s="19">
        <v>71144539498</v>
      </c>
      <c r="D1305" s="19">
        <v>708601549792983</v>
      </c>
      <c r="E1305" s="18" t="s">
        <v>4187</v>
      </c>
      <c r="F1305" s="11" t="s">
        <v>40</v>
      </c>
      <c r="G1305" s="11" t="s">
        <v>54</v>
      </c>
      <c r="H1305" s="24">
        <v>37519</v>
      </c>
      <c r="I1305" s="277" t="s">
        <v>2415</v>
      </c>
      <c r="J1305" s="11" t="s">
        <v>42</v>
      </c>
      <c r="K1305" s="108" t="s">
        <v>399</v>
      </c>
      <c r="N1305" s="11" t="s">
        <v>43</v>
      </c>
      <c r="O1305" s="11" t="s">
        <v>44</v>
      </c>
      <c r="P1305" s="11" t="s">
        <v>44</v>
      </c>
      <c r="Q1305" s="11" t="s">
        <v>44</v>
      </c>
      <c r="R1305" s="11" t="s">
        <v>45</v>
      </c>
      <c r="S1305" s="11" t="s">
        <v>45</v>
      </c>
      <c r="T1305" s="11" t="s">
        <v>44</v>
      </c>
      <c r="U1305" s="11" t="s">
        <v>45</v>
      </c>
      <c r="V1305" s="24">
        <v>45379</v>
      </c>
      <c r="W1305" s="11" t="s">
        <v>46</v>
      </c>
      <c r="X1305" s="259" t="s">
        <v>156</v>
      </c>
      <c r="Y1305" s="11" t="s">
        <v>68</v>
      </c>
      <c r="Z1305" s="11">
        <v>81988130508</v>
      </c>
      <c r="AA1305" s="11" t="s">
        <v>3919</v>
      </c>
      <c r="AB1305" s="11" t="s">
        <v>49</v>
      </c>
      <c r="AC1305" s="11" t="s">
        <v>3892</v>
      </c>
      <c r="AD1305" s="11" t="b">
        <v>1</v>
      </c>
      <c r="AE1305" s="11" t="s">
        <v>137</v>
      </c>
      <c r="AF1305" s="11" t="s">
        <v>4188</v>
      </c>
      <c r="AG1305" s="11"/>
      <c r="AH1305" s="11" t="s">
        <v>4189</v>
      </c>
      <c r="AI1305" s="11"/>
    </row>
    <row r="1306" ht="12.5" spans="1:35">
      <c r="A1306" s="177">
        <v>45379.4947479398</v>
      </c>
      <c r="B1306" s="11" t="s">
        <v>3753</v>
      </c>
      <c r="C1306" s="277" t="s">
        <v>3754</v>
      </c>
      <c r="D1306" s="19">
        <v>707004810892931</v>
      </c>
      <c r="E1306" s="18" t="s">
        <v>4190</v>
      </c>
      <c r="F1306" s="11" t="s">
        <v>40</v>
      </c>
      <c r="G1306" s="11" t="s">
        <v>54</v>
      </c>
      <c r="H1306" s="24">
        <v>33787</v>
      </c>
      <c r="I1306" s="277" t="s">
        <v>3756</v>
      </c>
      <c r="J1306" s="11" t="s">
        <v>42</v>
      </c>
      <c r="K1306" s="108" t="s">
        <v>63</v>
      </c>
      <c r="N1306" s="11" t="s">
        <v>43</v>
      </c>
      <c r="O1306" s="11" t="s">
        <v>65</v>
      </c>
      <c r="P1306" s="11" t="s">
        <v>66</v>
      </c>
      <c r="Q1306" s="11" t="s">
        <v>44</v>
      </c>
      <c r="R1306" s="11" t="s">
        <v>45</v>
      </c>
      <c r="S1306" s="11" t="s">
        <v>44</v>
      </c>
      <c r="T1306" s="11" t="s">
        <v>44</v>
      </c>
      <c r="U1306" s="11" t="s">
        <v>45</v>
      </c>
      <c r="V1306" s="24">
        <v>45380</v>
      </c>
      <c r="W1306" s="11" t="s">
        <v>46</v>
      </c>
      <c r="X1306" s="11" t="s">
        <v>303</v>
      </c>
      <c r="Y1306" s="11" t="s">
        <v>68</v>
      </c>
      <c r="Z1306" s="11">
        <v>81987471315</v>
      </c>
      <c r="AA1306" s="11" t="s">
        <v>3919</v>
      </c>
      <c r="AB1306" s="11" t="s">
        <v>98</v>
      </c>
      <c r="AC1306" s="11"/>
      <c r="AD1306" s="11" t="b">
        <v>0</v>
      </c>
      <c r="AF1306" s="11" t="s">
        <v>4191</v>
      </c>
      <c r="AG1306" s="11"/>
      <c r="AH1306" s="11"/>
      <c r="AI1306" s="11"/>
    </row>
    <row r="1307" ht="12.5" spans="1:35">
      <c r="A1307" s="177">
        <v>45379.6947564699</v>
      </c>
      <c r="B1307" s="11" t="s">
        <v>4192</v>
      </c>
      <c r="C1307" s="19">
        <v>12864877490</v>
      </c>
      <c r="D1307" s="19">
        <v>700003787331608</v>
      </c>
      <c r="E1307" s="18" t="s">
        <v>4193</v>
      </c>
      <c r="F1307" s="11" t="s">
        <v>40</v>
      </c>
      <c r="G1307" s="11" t="s">
        <v>54</v>
      </c>
      <c r="H1307" s="24">
        <v>36811</v>
      </c>
      <c r="I1307" s="277" t="s">
        <v>4194</v>
      </c>
      <c r="J1307" s="11" t="s">
        <v>42</v>
      </c>
      <c r="K1307" s="108" t="s">
        <v>4195</v>
      </c>
      <c r="N1307" s="11" t="s">
        <v>43</v>
      </c>
      <c r="O1307" s="11" t="s">
        <v>44</v>
      </c>
      <c r="P1307" s="11" t="s">
        <v>44</v>
      </c>
      <c r="Q1307" s="11" t="s">
        <v>44</v>
      </c>
      <c r="R1307" s="11" t="s">
        <v>45</v>
      </c>
      <c r="S1307" s="11" t="s">
        <v>44</v>
      </c>
      <c r="T1307" s="11" t="s">
        <v>44</v>
      </c>
      <c r="U1307" s="11" t="s">
        <v>44</v>
      </c>
      <c r="W1307" s="11" t="s">
        <v>46</v>
      </c>
      <c r="X1307" s="11" t="s">
        <v>303</v>
      </c>
      <c r="Y1307" s="11" t="s">
        <v>68</v>
      </c>
      <c r="Z1307" s="11">
        <v>81999133249</v>
      </c>
      <c r="AA1307" s="11" t="s">
        <v>3919</v>
      </c>
      <c r="AB1307" s="11"/>
      <c r="AC1307" s="11"/>
      <c r="AD1307" s="11" t="b">
        <v>0</v>
      </c>
      <c r="AF1307" s="11"/>
      <c r="AG1307" s="11"/>
      <c r="AH1307" s="11"/>
      <c r="AI1307" s="11"/>
    </row>
    <row r="1308" ht="12.5" spans="1:35">
      <c r="A1308" s="177">
        <v>45379.7042104282</v>
      </c>
      <c r="B1308" s="11" t="s">
        <v>4186</v>
      </c>
      <c r="C1308" s="19">
        <v>71144539498</v>
      </c>
      <c r="D1308" s="19">
        <v>708601549792983</v>
      </c>
      <c r="F1308" s="11" t="s">
        <v>40</v>
      </c>
      <c r="G1308" s="11" t="s">
        <v>54</v>
      </c>
      <c r="H1308" s="24">
        <v>37519</v>
      </c>
      <c r="I1308" s="277" t="s">
        <v>4196</v>
      </c>
      <c r="J1308" s="11" t="s">
        <v>42</v>
      </c>
      <c r="K1308" s="108" t="s">
        <v>63</v>
      </c>
      <c r="N1308" s="11" t="s">
        <v>95</v>
      </c>
      <c r="O1308" s="11" t="s">
        <v>96</v>
      </c>
      <c r="P1308" s="11" t="s">
        <v>66</v>
      </c>
      <c r="Q1308" s="11" t="s">
        <v>44</v>
      </c>
      <c r="R1308" s="11" t="s">
        <v>45</v>
      </c>
      <c r="S1308" s="11" t="s">
        <v>45</v>
      </c>
      <c r="T1308" s="11" t="s">
        <v>44</v>
      </c>
      <c r="U1308" s="11" t="s">
        <v>45</v>
      </c>
      <c r="V1308" s="24">
        <v>45380</v>
      </c>
      <c r="W1308" s="11" t="s">
        <v>57</v>
      </c>
      <c r="X1308" s="11" t="s">
        <v>97</v>
      </c>
      <c r="Y1308" s="11" t="s">
        <v>97</v>
      </c>
      <c r="Z1308" s="11">
        <v>81988130508</v>
      </c>
      <c r="AA1308" s="11" t="s">
        <v>3919</v>
      </c>
      <c r="AB1308" s="11" t="s">
        <v>49</v>
      </c>
      <c r="AC1308" s="11" t="s">
        <v>50</v>
      </c>
      <c r="AD1308" s="11" t="b">
        <v>0</v>
      </c>
      <c r="AF1308" s="214" t="s">
        <v>4197</v>
      </c>
      <c r="AG1308" s="11"/>
      <c r="AH1308" s="11"/>
      <c r="AI1308" s="11"/>
    </row>
    <row r="1309" ht="12.5" spans="1:35">
      <c r="A1309" s="177">
        <v>45380.3748951157</v>
      </c>
      <c r="B1309" s="11" t="s">
        <v>4124</v>
      </c>
      <c r="C1309" s="19">
        <v>10630912416</v>
      </c>
      <c r="D1309" s="19">
        <v>702401024102529</v>
      </c>
      <c r="E1309" s="18" t="s">
        <v>4198</v>
      </c>
      <c r="F1309" s="11" t="s">
        <v>225</v>
      </c>
      <c r="G1309" s="11" t="s">
        <v>54</v>
      </c>
      <c r="H1309" s="24">
        <v>33618</v>
      </c>
      <c r="I1309" s="19" t="s">
        <v>97</v>
      </c>
      <c r="J1309" s="11" t="s">
        <v>438</v>
      </c>
      <c r="K1309" s="108"/>
      <c r="N1309" s="11" t="s">
        <v>95</v>
      </c>
      <c r="O1309" s="11" t="s">
        <v>44</v>
      </c>
      <c r="P1309" s="11" t="s">
        <v>44</v>
      </c>
      <c r="Q1309" s="11" t="s">
        <v>44</v>
      </c>
      <c r="R1309" s="11" t="s">
        <v>45</v>
      </c>
      <c r="S1309" s="11" t="s">
        <v>45</v>
      </c>
      <c r="T1309" s="11" t="s">
        <v>44</v>
      </c>
      <c r="U1309" s="11" t="s">
        <v>45</v>
      </c>
      <c r="V1309" s="24">
        <v>45383</v>
      </c>
      <c r="W1309" s="11" t="s">
        <v>46</v>
      </c>
      <c r="X1309" s="11" t="s">
        <v>97</v>
      </c>
      <c r="Y1309" s="11" t="s">
        <v>97</v>
      </c>
      <c r="Z1309" s="11">
        <v>81985914384</v>
      </c>
      <c r="AA1309" s="11" t="s">
        <v>103</v>
      </c>
      <c r="AB1309" s="11" t="s">
        <v>49</v>
      </c>
      <c r="AC1309" s="11" t="s">
        <v>92</v>
      </c>
      <c r="AD1309" s="11" t="b">
        <v>1</v>
      </c>
      <c r="AE1309" s="11" t="s">
        <v>137</v>
      </c>
      <c r="AF1309" s="11" t="s">
        <v>4199</v>
      </c>
      <c r="AG1309" s="11" t="s">
        <v>4200</v>
      </c>
      <c r="AH1309" s="11"/>
      <c r="AI1309" s="11"/>
    </row>
    <row r="1310" ht="12.5" spans="1:35">
      <c r="A1310" s="177">
        <v>45380.378874919</v>
      </c>
      <c r="B1310" s="11" t="s">
        <v>4179</v>
      </c>
      <c r="C1310" s="19">
        <v>12002249490</v>
      </c>
      <c r="D1310" s="19">
        <v>700002442144101</v>
      </c>
      <c r="E1310" s="18" t="s">
        <v>4201</v>
      </c>
      <c r="F1310" s="11" t="s">
        <v>225</v>
      </c>
      <c r="G1310" s="11" t="s">
        <v>54</v>
      </c>
      <c r="H1310" s="24">
        <v>36554</v>
      </c>
      <c r="I1310" s="277" t="s">
        <v>4110</v>
      </c>
      <c r="J1310" s="11" t="s">
        <v>42</v>
      </c>
      <c r="K1310" s="108" t="s">
        <v>4202</v>
      </c>
      <c r="N1310" s="11" t="s">
        <v>95</v>
      </c>
      <c r="O1310" s="11" t="s">
        <v>96</v>
      </c>
      <c r="P1310" s="11" t="s">
        <v>66</v>
      </c>
      <c r="Q1310" s="11" t="s">
        <v>44</v>
      </c>
      <c r="R1310" s="11" t="s">
        <v>45</v>
      </c>
      <c r="S1310" s="11" t="s">
        <v>45</v>
      </c>
      <c r="T1310" s="11" t="s">
        <v>44</v>
      </c>
      <c r="U1310" s="11" t="s">
        <v>45</v>
      </c>
      <c r="V1310" s="24">
        <v>45381</v>
      </c>
      <c r="W1310" s="11" t="s">
        <v>57</v>
      </c>
      <c r="X1310" s="11" t="s">
        <v>97</v>
      </c>
      <c r="Y1310" s="11" t="s">
        <v>97</v>
      </c>
      <c r="Z1310" s="11">
        <v>81997047849</v>
      </c>
      <c r="AA1310" s="11" t="s">
        <v>115</v>
      </c>
      <c r="AB1310" s="11" t="s">
        <v>98</v>
      </c>
      <c r="AC1310" s="11"/>
      <c r="AD1310" s="11" t="b">
        <v>0</v>
      </c>
      <c r="AF1310" s="11" t="s">
        <v>4203</v>
      </c>
      <c r="AG1310" s="11" t="s">
        <v>4204</v>
      </c>
      <c r="AH1310" s="11"/>
      <c r="AI1310" s="11"/>
    </row>
    <row r="1311" ht="12.5" spans="1:35">
      <c r="A1311" s="177">
        <v>45380.3943577083</v>
      </c>
      <c r="B1311" s="11" t="s">
        <v>4186</v>
      </c>
      <c r="C1311" s="19">
        <v>71144539498</v>
      </c>
      <c r="D1311" s="19">
        <v>708601549792983</v>
      </c>
      <c r="F1311" s="11" t="s">
        <v>40</v>
      </c>
      <c r="G1311" s="11" t="s">
        <v>54</v>
      </c>
      <c r="H1311" s="24">
        <v>37519</v>
      </c>
      <c r="I1311" s="277" t="s">
        <v>2415</v>
      </c>
      <c r="J1311" s="11" t="s">
        <v>42</v>
      </c>
      <c r="K1311" s="108" t="s">
        <v>63</v>
      </c>
      <c r="N1311" s="11" t="s">
        <v>95</v>
      </c>
      <c r="O1311" s="11" t="s">
        <v>44</v>
      </c>
      <c r="P1311" s="11" t="s">
        <v>44</v>
      </c>
      <c r="Q1311" s="11" t="s">
        <v>44</v>
      </c>
      <c r="R1311" s="11" t="s">
        <v>45</v>
      </c>
      <c r="S1311" s="11" t="s">
        <v>45</v>
      </c>
      <c r="T1311" s="11" t="s">
        <v>44</v>
      </c>
      <c r="U1311" s="11" t="s">
        <v>44</v>
      </c>
      <c r="W1311" s="11" t="s">
        <v>57</v>
      </c>
      <c r="X1311" s="11" t="s">
        <v>97</v>
      </c>
      <c r="Y1311" s="11" t="s">
        <v>97</v>
      </c>
      <c r="Z1311" s="11">
        <v>81988130508</v>
      </c>
      <c r="AA1311" s="11" t="s">
        <v>115</v>
      </c>
      <c r="AB1311" s="11"/>
      <c r="AC1311" s="11"/>
      <c r="AD1311" s="11" t="b">
        <v>0</v>
      </c>
      <c r="AF1311" s="11"/>
      <c r="AG1311" s="11"/>
      <c r="AH1311" s="11"/>
      <c r="AI1311" s="11"/>
    </row>
    <row r="1312" ht="12.5" spans="1:35">
      <c r="A1312" s="177">
        <v>45380.4136759375</v>
      </c>
      <c r="B1312" s="11" t="s">
        <v>2692</v>
      </c>
      <c r="C1312" s="19">
        <v>10811398463</v>
      </c>
      <c r="D1312" s="19">
        <v>701301617122130</v>
      </c>
      <c r="E1312" s="18" t="s">
        <v>4205</v>
      </c>
      <c r="F1312" s="11" t="s">
        <v>225</v>
      </c>
      <c r="G1312" s="11" t="s">
        <v>54</v>
      </c>
      <c r="H1312" s="24">
        <v>34131</v>
      </c>
      <c r="I1312" s="277" t="s">
        <v>2694</v>
      </c>
      <c r="J1312" s="11" t="s">
        <v>42</v>
      </c>
      <c r="K1312" s="108" t="s">
        <v>4206</v>
      </c>
      <c r="N1312" s="11" t="s">
        <v>43</v>
      </c>
      <c r="O1312" s="11" t="s">
        <v>96</v>
      </c>
      <c r="P1312" s="11" t="s">
        <v>66</v>
      </c>
      <c r="Q1312" s="11" t="s">
        <v>44</v>
      </c>
      <c r="R1312" s="11" t="s">
        <v>45</v>
      </c>
      <c r="S1312" s="11" t="s">
        <v>45</v>
      </c>
      <c r="T1312" s="11" t="s">
        <v>44</v>
      </c>
      <c r="U1312" s="11" t="s">
        <v>44</v>
      </c>
      <c r="W1312" s="11" t="s">
        <v>46</v>
      </c>
      <c r="X1312" s="11" t="s">
        <v>303</v>
      </c>
      <c r="Y1312" s="11" t="s">
        <v>68</v>
      </c>
      <c r="Z1312" s="11">
        <v>81984640980</v>
      </c>
      <c r="AA1312" s="11" t="s">
        <v>103</v>
      </c>
      <c r="AB1312" s="11"/>
      <c r="AC1312" s="11"/>
      <c r="AD1312" s="11" t="b">
        <v>0</v>
      </c>
      <c r="AF1312" s="11"/>
      <c r="AG1312" s="11"/>
      <c r="AH1312" s="11"/>
      <c r="AI1312" s="11"/>
    </row>
    <row r="1313" ht="12.5" spans="1:35">
      <c r="A1313" s="177">
        <v>45380.6803447569</v>
      </c>
      <c r="B1313" s="11" t="s">
        <v>2739</v>
      </c>
      <c r="C1313" s="19">
        <v>13114627404</v>
      </c>
      <c r="D1313" s="19">
        <v>700701979525674</v>
      </c>
      <c r="E1313" s="18" t="s">
        <v>4207</v>
      </c>
      <c r="F1313" s="11" t="s">
        <v>40</v>
      </c>
      <c r="G1313" s="11" t="s">
        <v>54</v>
      </c>
      <c r="H1313" s="24">
        <v>36120</v>
      </c>
      <c r="I1313" s="277" t="s">
        <v>2415</v>
      </c>
      <c r="J1313" s="11" t="s">
        <v>81</v>
      </c>
      <c r="K1313" s="108"/>
      <c r="L1313" s="11" t="s">
        <v>520</v>
      </c>
      <c r="N1313" s="11" t="s">
        <v>43</v>
      </c>
      <c r="O1313" s="11" t="s">
        <v>65</v>
      </c>
      <c r="P1313" s="11" t="s">
        <v>66</v>
      </c>
      <c r="Q1313" s="11" t="s">
        <v>44</v>
      </c>
      <c r="R1313" s="11" t="s">
        <v>45</v>
      </c>
      <c r="S1313" s="11" t="s">
        <v>45</v>
      </c>
      <c r="T1313" s="11" t="s">
        <v>44</v>
      </c>
      <c r="U1313" s="11" t="s">
        <v>45</v>
      </c>
      <c r="V1313" s="24">
        <v>45381</v>
      </c>
      <c r="W1313" s="11" t="s">
        <v>46</v>
      </c>
      <c r="X1313" s="11" t="s">
        <v>303</v>
      </c>
      <c r="Y1313" s="11" t="s">
        <v>58</v>
      </c>
      <c r="Z1313" s="11">
        <v>81973172221</v>
      </c>
      <c r="AA1313" s="11" t="s">
        <v>115</v>
      </c>
      <c r="AB1313" s="11" t="s">
        <v>49</v>
      </c>
      <c r="AC1313" s="11" t="s">
        <v>3892</v>
      </c>
      <c r="AD1313" s="11" t="b">
        <v>0</v>
      </c>
      <c r="AF1313" s="11"/>
      <c r="AG1313" s="11"/>
      <c r="AH1313" s="11" t="s">
        <v>4208</v>
      </c>
      <c r="AI1313" s="11"/>
    </row>
    <row r="1314" ht="12.5" spans="1:35">
      <c r="A1314" s="177">
        <v>45380.7847390856</v>
      </c>
      <c r="B1314" s="11" t="s">
        <v>3629</v>
      </c>
      <c r="C1314" s="19">
        <v>14039334485</v>
      </c>
      <c r="D1314" s="19">
        <v>706303740457075</v>
      </c>
      <c r="E1314" s="18" t="s">
        <v>4209</v>
      </c>
      <c r="F1314" s="11" t="s">
        <v>40</v>
      </c>
      <c r="G1314" s="11" t="s">
        <v>54</v>
      </c>
      <c r="H1314" s="24">
        <v>38773</v>
      </c>
      <c r="I1314" s="277" t="s">
        <v>4110</v>
      </c>
      <c r="J1314" s="11" t="s">
        <v>42</v>
      </c>
      <c r="K1314" s="108" t="s">
        <v>427</v>
      </c>
      <c r="N1314" s="11" t="s">
        <v>95</v>
      </c>
      <c r="O1314" s="11" t="s">
        <v>96</v>
      </c>
      <c r="P1314" s="11" t="s">
        <v>66</v>
      </c>
      <c r="Q1314" s="11" t="s">
        <v>44</v>
      </c>
      <c r="R1314" s="11" t="s">
        <v>45</v>
      </c>
      <c r="S1314" s="11" t="s">
        <v>45</v>
      </c>
      <c r="T1314" s="11" t="s">
        <v>44</v>
      </c>
      <c r="U1314" s="11" t="s">
        <v>45</v>
      </c>
      <c r="V1314" s="24">
        <v>45382</v>
      </c>
      <c r="W1314" s="11" t="s">
        <v>46</v>
      </c>
      <c r="X1314" s="11" t="s">
        <v>97</v>
      </c>
      <c r="Y1314" s="11" t="s">
        <v>97</v>
      </c>
      <c r="Z1314" s="11">
        <v>81985758942</v>
      </c>
      <c r="AA1314" s="11" t="s">
        <v>115</v>
      </c>
      <c r="AB1314" s="11" t="s">
        <v>49</v>
      </c>
      <c r="AC1314" s="11" t="s">
        <v>4129</v>
      </c>
      <c r="AD1314" s="11" t="b">
        <v>1</v>
      </c>
      <c r="AE1314" s="11" t="s">
        <v>137</v>
      </c>
      <c r="AF1314" s="11" t="s">
        <v>4210</v>
      </c>
      <c r="AG1314" s="11"/>
      <c r="AH1314" s="63" t="s">
        <v>4131</v>
      </c>
      <c r="AI1314" s="11"/>
    </row>
    <row r="1315" ht="12.5" spans="1:35">
      <c r="A1315" s="177">
        <v>45381.3397628588</v>
      </c>
      <c r="B1315" s="11" t="s">
        <v>4211</v>
      </c>
      <c r="C1315" s="19">
        <v>17785739404</v>
      </c>
      <c r="D1315" s="19">
        <v>898006252474861</v>
      </c>
      <c r="E1315" s="18" t="s">
        <v>4212</v>
      </c>
      <c r="F1315" s="11" t="s">
        <v>40</v>
      </c>
      <c r="G1315" s="11" t="s">
        <v>88</v>
      </c>
      <c r="H1315" s="24">
        <v>39127</v>
      </c>
      <c r="I1315" s="19" t="s">
        <v>136</v>
      </c>
      <c r="J1315" s="11" t="s">
        <v>42</v>
      </c>
      <c r="K1315" s="108" t="s">
        <v>4213</v>
      </c>
      <c r="N1315" s="11" t="s">
        <v>43</v>
      </c>
      <c r="O1315" s="11" t="s">
        <v>44</v>
      </c>
      <c r="P1315" s="11" t="s">
        <v>56</v>
      </c>
      <c r="Q1315" s="11" t="s">
        <v>44</v>
      </c>
      <c r="R1315" s="11" t="s">
        <v>45</v>
      </c>
      <c r="S1315" s="11" t="s">
        <v>45</v>
      </c>
      <c r="T1315" s="11" t="s">
        <v>44</v>
      </c>
      <c r="U1315" s="11" t="s">
        <v>45</v>
      </c>
      <c r="V1315" s="24">
        <v>45383</v>
      </c>
      <c r="W1315" s="11" t="s">
        <v>46</v>
      </c>
      <c r="X1315" s="259" t="s">
        <v>156</v>
      </c>
      <c r="Y1315" s="11" t="s">
        <v>68</v>
      </c>
      <c r="Z1315" s="11">
        <v>81985643153</v>
      </c>
      <c r="AA1315" s="11" t="s">
        <v>3919</v>
      </c>
      <c r="AB1315" s="11" t="s">
        <v>49</v>
      </c>
      <c r="AC1315" s="11" t="s">
        <v>92</v>
      </c>
      <c r="AD1315" s="11" t="b">
        <v>1</v>
      </c>
      <c r="AE1315" s="11" t="s">
        <v>137</v>
      </c>
      <c r="AF1315" s="11" t="s">
        <v>4214</v>
      </c>
      <c r="AG1315" s="11"/>
      <c r="AH1315" s="11" t="s">
        <v>4215</v>
      </c>
      <c r="AI1315" s="11"/>
    </row>
    <row r="1316" ht="12.5" spans="1:35">
      <c r="A1316" s="177">
        <v>45381.4397143981</v>
      </c>
      <c r="B1316" s="11" t="s">
        <v>2739</v>
      </c>
      <c r="C1316" s="19">
        <v>13114627404</v>
      </c>
      <c r="D1316" s="19">
        <v>700701979525674</v>
      </c>
      <c r="F1316" s="11" t="s">
        <v>40</v>
      </c>
      <c r="G1316" s="11" t="s">
        <v>54</v>
      </c>
      <c r="H1316" s="24">
        <v>36120</v>
      </c>
      <c r="I1316" s="277" t="s">
        <v>2415</v>
      </c>
      <c r="J1316" s="11" t="s">
        <v>438</v>
      </c>
      <c r="K1316" s="108"/>
      <c r="L1316" s="11" t="s">
        <v>520</v>
      </c>
      <c r="M1316" s="11"/>
      <c r="N1316" s="11" t="s">
        <v>95</v>
      </c>
      <c r="O1316" s="11" t="s">
        <v>127</v>
      </c>
      <c r="P1316" s="11" t="s">
        <v>44</v>
      </c>
      <c r="Q1316" s="11" t="s">
        <v>44</v>
      </c>
      <c r="R1316" s="11" t="s">
        <v>45</v>
      </c>
      <c r="S1316" s="11" t="s">
        <v>45</v>
      </c>
      <c r="T1316" s="11" t="s">
        <v>44</v>
      </c>
      <c r="U1316" s="11" t="s">
        <v>44</v>
      </c>
      <c r="W1316" s="11" t="s">
        <v>57</v>
      </c>
      <c r="X1316" s="11" t="s">
        <v>97</v>
      </c>
      <c r="Y1316" s="11" t="s">
        <v>97</v>
      </c>
      <c r="Z1316" s="11">
        <v>81973172221</v>
      </c>
      <c r="AA1316" s="11" t="s">
        <v>3919</v>
      </c>
      <c r="AB1316" s="11"/>
      <c r="AC1316" s="11"/>
      <c r="AD1316" s="11" t="b">
        <v>0</v>
      </c>
      <c r="AF1316" s="11"/>
      <c r="AG1316" s="11"/>
      <c r="AH1316" s="11"/>
      <c r="AI1316" s="11"/>
    </row>
    <row r="1317" ht="12.5" spans="1:35">
      <c r="A1317" s="177">
        <v>45381.7465366435</v>
      </c>
      <c r="B1317" s="11" t="s">
        <v>4216</v>
      </c>
      <c r="C1317" s="277" t="s">
        <v>4217</v>
      </c>
      <c r="D1317" s="19">
        <v>701401691934339</v>
      </c>
      <c r="E1317" s="18" t="s">
        <v>4218</v>
      </c>
      <c r="F1317" s="11" t="s">
        <v>40</v>
      </c>
      <c r="G1317" s="11" t="s">
        <v>88</v>
      </c>
      <c r="H1317" s="24">
        <v>33770</v>
      </c>
      <c r="I1317" s="277" t="s">
        <v>2925</v>
      </c>
      <c r="J1317" s="11" t="s">
        <v>42</v>
      </c>
      <c r="K1317" s="108" t="s">
        <v>4219</v>
      </c>
      <c r="N1317" s="11" t="s">
        <v>43</v>
      </c>
      <c r="O1317" s="11" t="s">
        <v>44</v>
      </c>
      <c r="P1317" s="11" t="s">
        <v>56</v>
      </c>
      <c r="Q1317" s="11" t="s">
        <v>44</v>
      </c>
      <c r="R1317" s="11" t="s">
        <v>45</v>
      </c>
      <c r="S1317" s="11" t="s">
        <v>45</v>
      </c>
      <c r="T1317" s="11" t="s">
        <v>44</v>
      </c>
      <c r="U1317" s="11" t="s">
        <v>45</v>
      </c>
      <c r="V1317" s="24">
        <v>45383</v>
      </c>
      <c r="W1317" s="11" t="s">
        <v>46</v>
      </c>
      <c r="X1317" s="11" t="s">
        <v>303</v>
      </c>
      <c r="Y1317" s="11" t="s">
        <v>68</v>
      </c>
      <c r="Z1317" s="11">
        <v>81984622358</v>
      </c>
      <c r="AA1317" s="11" t="s">
        <v>3919</v>
      </c>
      <c r="AB1317" s="11" t="s">
        <v>98</v>
      </c>
      <c r="AC1317" s="11"/>
      <c r="AD1317" s="11" t="b">
        <v>0</v>
      </c>
      <c r="AF1317" s="11" t="s">
        <v>4220</v>
      </c>
      <c r="AG1317" s="11"/>
      <c r="AH1317" s="11"/>
      <c r="AI1317" s="11"/>
    </row>
    <row r="1318" ht="12.5" spans="1:35">
      <c r="A1318" s="177">
        <v>45382.4835643403</v>
      </c>
      <c r="B1318" s="11" t="s">
        <v>4221</v>
      </c>
      <c r="C1318" s="19">
        <v>12839471450</v>
      </c>
      <c r="D1318" s="19">
        <v>700209919843124</v>
      </c>
      <c r="E1318" s="18" t="s">
        <v>4222</v>
      </c>
      <c r="F1318" s="11" t="s">
        <v>40</v>
      </c>
      <c r="G1318" s="11" t="s">
        <v>83</v>
      </c>
      <c r="H1318" s="24">
        <v>34298</v>
      </c>
      <c r="I1318" s="277" t="s">
        <v>4223</v>
      </c>
      <c r="J1318" s="11" t="s">
        <v>42</v>
      </c>
      <c r="K1318" s="108" t="s">
        <v>4224</v>
      </c>
      <c r="N1318" s="11" t="s">
        <v>43</v>
      </c>
      <c r="O1318" s="11" t="s">
        <v>44</v>
      </c>
      <c r="P1318" s="11" t="s">
        <v>66</v>
      </c>
      <c r="Q1318" s="11" t="s">
        <v>44</v>
      </c>
      <c r="R1318" s="11" t="s">
        <v>45</v>
      </c>
      <c r="S1318" s="11" t="s">
        <v>83</v>
      </c>
      <c r="T1318" s="11" t="s">
        <v>44</v>
      </c>
      <c r="U1318" s="11" t="s">
        <v>45</v>
      </c>
      <c r="V1318" s="24">
        <v>45383</v>
      </c>
      <c r="W1318" s="11" t="s">
        <v>46</v>
      </c>
      <c r="X1318" s="11" t="s">
        <v>303</v>
      </c>
      <c r="Y1318" s="11" t="s">
        <v>68</v>
      </c>
      <c r="Z1318" s="11">
        <v>81984044057</v>
      </c>
      <c r="AA1318" s="11" t="s">
        <v>4101</v>
      </c>
      <c r="AB1318" s="11" t="s">
        <v>98</v>
      </c>
      <c r="AC1318" s="11"/>
      <c r="AD1318" s="11" t="b">
        <v>0</v>
      </c>
      <c r="AF1318" s="11" t="s">
        <v>4225</v>
      </c>
      <c r="AG1318" s="11" t="s">
        <v>4226</v>
      </c>
      <c r="AH1318" s="11"/>
      <c r="AI1318" s="11"/>
    </row>
    <row r="1319" ht="12.5" spans="1:35">
      <c r="A1319" s="177">
        <v>45382.5156353125</v>
      </c>
      <c r="B1319" s="11" t="s">
        <v>3629</v>
      </c>
      <c r="C1319" s="19">
        <v>14039334485</v>
      </c>
      <c r="D1319" s="19">
        <v>706303740457075</v>
      </c>
      <c r="E1319" s="18" t="s">
        <v>4227</v>
      </c>
      <c r="F1319" s="11" t="s">
        <v>40</v>
      </c>
      <c r="G1319" s="11" t="s">
        <v>83</v>
      </c>
      <c r="H1319" s="24">
        <v>38773</v>
      </c>
      <c r="I1319" s="277" t="s">
        <v>4110</v>
      </c>
      <c r="J1319" s="11" t="s">
        <v>42</v>
      </c>
      <c r="K1319" s="108" t="s">
        <v>74</v>
      </c>
      <c r="N1319" s="11" t="s">
        <v>95</v>
      </c>
      <c r="O1319" s="11" t="s">
        <v>96</v>
      </c>
      <c r="P1319" s="11" t="s">
        <v>56</v>
      </c>
      <c r="Q1319" s="11" t="s">
        <v>44</v>
      </c>
      <c r="R1319" s="11" t="s">
        <v>45</v>
      </c>
      <c r="S1319" s="11" t="s">
        <v>83</v>
      </c>
      <c r="T1319" s="11" t="s">
        <v>44</v>
      </c>
      <c r="U1319" s="11" t="s">
        <v>45</v>
      </c>
      <c r="V1319" s="24">
        <v>45383</v>
      </c>
      <c r="W1319" s="11" t="s">
        <v>46</v>
      </c>
      <c r="X1319" s="11" t="s">
        <v>303</v>
      </c>
      <c r="Y1319" s="11" t="s">
        <v>68</v>
      </c>
      <c r="Z1319" s="11">
        <v>81985758942</v>
      </c>
      <c r="AA1319" s="11" t="s">
        <v>4101</v>
      </c>
      <c r="AB1319" s="11" t="s">
        <v>98</v>
      </c>
      <c r="AC1319" s="11"/>
      <c r="AD1319" s="11" t="b">
        <v>0</v>
      </c>
      <c r="AF1319" s="11" t="s">
        <v>4228</v>
      </c>
      <c r="AG1319" s="11"/>
      <c r="AH1319" s="63" t="s">
        <v>4131</v>
      </c>
      <c r="AI1319" s="11"/>
    </row>
    <row r="1320" ht="12.5" spans="1:35">
      <c r="A1320" s="177">
        <v>45383.4370574074</v>
      </c>
      <c r="B1320" s="11" t="s">
        <v>4229</v>
      </c>
      <c r="C1320" s="19">
        <v>13115492421</v>
      </c>
      <c r="D1320" s="19">
        <v>705106307521540</v>
      </c>
      <c r="E1320" s="18" t="s">
        <v>4230</v>
      </c>
      <c r="F1320" s="11" t="s">
        <v>40</v>
      </c>
      <c r="G1320" s="11" t="s">
        <v>41</v>
      </c>
      <c r="H1320" s="24">
        <v>36174</v>
      </c>
      <c r="I1320" s="222">
        <v>45146</v>
      </c>
      <c r="J1320" s="11" t="s">
        <v>42</v>
      </c>
      <c r="K1320" s="108" t="s">
        <v>4231</v>
      </c>
      <c r="N1320" s="11" t="s">
        <v>43</v>
      </c>
      <c r="O1320" s="11" t="s">
        <v>44</v>
      </c>
      <c r="P1320" s="11" t="s">
        <v>44</v>
      </c>
      <c r="Q1320" s="11" t="s">
        <v>45</v>
      </c>
      <c r="R1320" s="11" t="s">
        <v>45</v>
      </c>
      <c r="S1320" s="11" t="s">
        <v>83</v>
      </c>
      <c r="T1320" s="11" t="s">
        <v>44</v>
      </c>
      <c r="U1320" s="11" t="s">
        <v>44</v>
      </c>
      <c r="W1320" s="11" t="s">
        <v>46</v>
      </c>
      <c r="X1320" s="11" t="s">
        <v>47</v>
      </c>
      <c r="Y1320" s="11" t="s">
        <v>58</v>
      </c>
      <c r="Z1320" s="11">
        <v>81999335722</v>
      </c>
      <c r="AA1320" s="11" t="s">
        <v>103</v>
      </c>
      <c r="AB1320" s="11"/>
      <c r="AC1320" s="11"/>
      <c r="AD1320" s="11" t="b">
        <v>0</v>
      </c>
      <c r="AF1320" s="11"/>
      <c r="AG1320" s="11"/>
      <c r="AH1320" s="11"/>
      <c r="AI1320" s="262">
        <f t="shared" ref="AI1320:AI1466" si="1">I1320+280</f>
        <v>45426</v>
      </c>
    </row>
    <row r="1321" ht="12.5" spans="1:35">
      <c r="A1321" s="177">
        <v>45383.5230415625</v>
      </c>
      <c r="B1321" s="11" t="s">
        <v>4232</v>
      </c>
      <c r="C1321" s="19">
        <v>11239307403</v>
      </c>
      <c r="D1321" s="19">
        <v>700407440739044</v>
      </c>
      <c r="E1321" s="18" t="s">
        <v>4233</v>
      </c>
      <c r="F1321" s="11" t="s">
        <v>40</v>
      </c>
      <c r="G1321" s="11" t="s">
        <v>54</v>
      </c>
      <c r="H1321" s="24">
        <v>35880</v>
      </c>
      <c r="I1321" s="222">
        <v>45305</v>
      </c>
      <c r="J1321" s="11" t="s">
        <v>42</v>
      </c>
      <c r="K1321" s="108" t="s">
        <v>399</v>
      </c>
      <c r="N1321" s="11" t="s">
        <v>43</v>
      </c>
      <c r="O1321" s="11" t="s">
        <v>44</v>
      </c>
      <c r="P1321" s="11" t="s">
        <v>44</v>
      </c>
      <c r="Q1321" s="11" t="s">
        <v>44</v>
      </c>
      <c r="R1321" s="11" t="s">
        <v>45</v>
      </c>
      <c r="S1321" s="11" t="s">
        <v>83</v>
      </c>
      <c r="T1321" s="11" t="s">
        <v>44</v>
      </c>
      <c r="U1321" s="11" t="s">
        <v>44</v>
      </c>
      <c r="W1321" s="11" t="s">
        <v>46</v>
      </c>
      <c r="X1321" s="11" t="s">
        <v>47</v>
      </c>
      <c r="Y1321" s="11" t="s">
        <v>58</v>
      </c>
      <c r="Z1321" s="11">
        <v>81996820579</v>
      </c>
      <c r="AA1321" s="11" t="s">
        <v>103</v>
      </c>
      <c r="AB1321" s="11"/>
      <c r="AC1321" s="11"/>
      <c r="AD1321" s="11" t="b">
        <v>0</v>
      </c>
      <c r="AF1321" s="11"/>
      <c r="AG1321" s="11"/>
      <c r="AH1321" s="11"/>
      <c r="AI1321" s="262">
        <f t="shared" si="1"/>
        <v>45585</v>
      </c>
    </row>
    <row r="1322" ht="12.5" spans="1:35">
      <c r="A1322" s="177">
        <v>45383.5470235185</v>
      </c>
      <c r="B1322" s="11" t="s">
        <v>4234</v>
      </c>
      <c r="C1322" s="277" t="s">
        <v>4235</v>
      </c>
      <c r="D1322" s="19">
        <v>700009363682808</v>
      </c>
      <c r="E1322" s="18" t="s">
        <v>4236</v>
      </c>
      <c r="F1322" s="11" t="s">
        <v>40</v>
      </c>
      <c r="G1322" s="11" t="s">
        <v>54</v>
      </c>
      <c r="H1322" s="24">
        <v>33312</v>
      </c>
      <c r="I1322" s="222">
        <v>45310</v>
      </c>
      <c r="J1322" s="11" t="s">
        <v>42</v>
      </c>
      <c r="K1322" s="108" t="s">
        <v>427</v>
      </c>
      <c r="N1322" s="11" t="s">
        <v>43</v>
      </c>
      <c r="O1322" s="11" t="s">
        <v>96</v>
      </c>
      <c r="P1322" s="11" t="s">
        <v>56</v>
      </c>
      <c r="Q1322" s="11" t="s">
        <v>44</v>
      </c>
      <c r="R1322" s="11" t="s">
        <v>45</v>
      </c>
      <c r="S1322" s="11" t="s">
        <v>83</v>
      </c>
      <c r="T1322" s="11" t="s">
        <v>44</v>
      </c>
      <c r="U1322" s="11" t="s">
        <v>45</v>
      </c>
      <c r="V1322" s="24">
        <v>45384</v>
      </c>
      <c r="W1322" s="11" t="s">
        <v>46</v>
      </c>
      <c r="X1322" s="11" t="s">
        <v>47</v>
      </c>
      <c r="Y1322" s="11" t="s">
        <v>58</v>
      </c>
      <c r="Z1322" s="11">
        <v>81985975422</v>
      </c>
      <c r="AA1322" s="11" t="s">
        <v>91</v>
      </c>
      <c r="AB1322" s="11" t="s">
        <v>49</v>
      </c>
      <c r="AC1322" s="11" t="s">
        <v>92</v>
      </c>
      <c r="AD1322" s="11" t="b">
        <v>1</v>
      </c>
      <c r="AE1322" s="11" t="s">
        <v>137</v>
      </c>
      <c r="AF1322" s="11" t="s">
        <v>4237</v>
      </c>
      <c r="AG1322" s="11"/>
      <c r="AH1322" s="11"/>
      <c r="AI1322" s="262">
        <f t="shared" si="1"/>
        <v>45590</v>
      </c>
    </row>
    <row r="1323" ht="12.5" spans="1:35">
      <c r="A1323" s="177">
        <v>45383.6044725</v>
      </c>
      <c r="B1323" s="11" t="s">
        <v>4238</v>
      </c>
      <c r="C1323" s="19">
        <v>13775678425</v>
      </c>
      <c r="D1323" s="19">
        <v>700709444210780</v>
      </c>
      <c r="E1323" s="18" t="s">
        <v>4239</v>
      </c>
      <c r="F1323" s="11" t="s">
        <v>40</v>
      </c>
      <c r="G1323" s="11" t="s">
        <v>54</v>
      </c>
      <c r="H1323" s="24">
        <v>37484</v>
      </c>
      <c r="I1323" s="222">
        <v>45143</v>
      </c>
      <c r="J1323" s="11" t="s">
        <v>42</v>
      </c>
      <c r="K1323" s="108" t="s">
        <v>202</v>
      </c>
      <c r="N1323" s="11" t="s">
        <v>43</v>
      </c>
      <c r="O1323" s="11" t="s">
        <v>44</v>
      </c>
      <c r="P1323" s="11" t="s">
        <v>44</v>
      </c>
      <c r="Q1323" s="11" t="s">
        <v>44</v>
      </c>
      <c r="R1323" s="11" t="s">
        <v>45</v>
      </c>
      <c r="S1323" s="11" t="s">
        <v>83</v>
      </c>
      <c r="T1323" s="11" t="s">
        <v>44</v>
      </c>
      <c r="U1323" s="11" t="s">
        <v>45</v>
      </c>
      <c r="V1323" s="24">
        <v>45383</v>
      </c>
      <c r="W1323" s="11" t="s">
        <v>46</v>
      </c>
      <c r="X1323" s="11" t="s">
        <v>47</v>
      </c>
      <c r="Y1323" s="11" t="s">
        <v>58</v>
      </c>
      <c r="Z1323" s="11">
        <v>81984670109</v>
      </c>
      <c r="AA1323" s="11" t="s">
        <v>91</v>
      </c>
      <c r="AB1323" s="11" t="s">
        <v>98</v>
      </c>
      <c r="AC1323" s="11"/>
      <c r="AD1323" s="11" t="b">
        <v>0</v>
      </c>
      <c r="AF1323" s="11" t="s">
        <v>4240</v>
      </c>
      <c r="AG1323" s="11"/>
      <c r="AH1323" s="11"/>
      <c r="AI1323" s="262">
        <f t="shared" si="1"/>
        <v>45423</v>
      </c>
    </row>
    <row r="1324" ht="12.5" spans="1:35">
      <c r="A1324" s="177">
        <v>45383.6061634954</v>
      </c>
      <c r="B1324" s="11" t="s">
        <v>4241</v>
      </c>
      <c r="C1324" s="277" t="s">
        <v>4242</v>
      </c>
      <c r="D1324" s="19">
        <v>704601654770126</v>
      </c>
      <c r="E1324" s="18" t="s">
        <v>4243</v>
      </c>
      <c r="F1324" s="11" t="s">
        <v>40</v>
      </c>
      <c r="G1324" s="11" t="s">
        <v>41</v>
      </c>
      <c r="H1324" s="24">
        <v>35111</v>
      </c>
      <c r="I1324" s="222">
        <v>45193</v>
      </c>
      <c r="J1324" s="11" t="s">
        <v>42</v>
      </c>
      <c r="K1324" s="108" t="s">
        <v>63</v>
      </c>
      <c r="N1324" s="11" t="s">
        <v>43</v>
      </c>
      <c r="O1324" s="11" t="s">
        <v>65</v>
      </c>
      <c r="P1324" s="11" t="s">
        <v>66</v>
      </c>
      <c r="Q1324" s="11" t="s">
        <v>45</v>
      </c>
      <c r="R1324" s="11" t="s">
        <v>45</v>
      </c>
      <c r="S1324" s="11" t="s">
        <v>45</v>
      </c>
      <c r="T1324" s="11" t="s">
        <v>45</v>
      </c>
      <c r="U1324" s="11" t="s">
        <v>45</v>
      </c>
      <c r="V1324" s="24">
        <v>45384</v>
      </c>
      <c r="W1324" s="11" t="s">
        <v>46</v>
      </c>
      <c r="X1324" s="11" t="s">
        <v>47</v>
      </c>
      <c r="Y1324" s="11" t="s">
        <v>58</v>
      </c>
      <c r="Z1324" s="11">
        <v>81983148301</v>
      </c>
      <c r="AA1324" s="11" t="s">
        <v>105</v>
      </c>
      <c r="AB1324" s="11" t="s">
        <v>49</v>
      </c>
      <c r="AC1324" s="11" t="s">
        <v>84</v>
      </c>
      <c r="AD1324" s="11" t="b">
        <v>1</v>
      </c>
      <c r="AE1324" s="11" t="s">
        <v>137</v>
      </c>
      <c r="AF1324" s="63" t="s">
        <v>4244</v>
      </c>
      <c r="AG1324" s="11"/>
      <c r="AH1324" s="11" t="s">
        <v>4245</v>
      </c>
      <c r="AI1324" s="262">
        <f t="shared" si="1"/>
        <v>45473</v>
      </c>
    </row>
    <row r="1325" ht="12.5" spans="1:35">
      <c r="A1325" s="177">
        <v>45383.6373849769</v>
      </c>
      <c r="B1325" s="11" t="s">
        <v>4124</v>
      </c>
      <c r="C1325" s="19">
        <v>10630912416</v>
      </c>
      <c r="D1325" s="19">
        <v>702401024102529</v>
      </c>
      <c r="E1325" s="18" t="s">
        <v>4246</v>
      </c>
      <c r="F1325" s="11" t="s">
        <v>225</v>
      </c>
      <c r="G1325" s="11" t="s">
        <v>54</v>
      </c>
      <c r="H1325" s="24">
        <v>33618</v>
      </c>
      <c r="I1325" s="19" t="s">
        <v>97</v>
      </c>
      <c r="J1325" s="11" t="s">
        <v>438</v>
      </c>
      <c r="K1325" s="108"/>
      <c r="M1325" s="11" t="s">
        <v>650</v>
      </c>
      <c r="N1325" s="11" t="s">
        <v>95</v>
      </c>
      <c r="O1325" s="11" t="s">
        <v>44</v>
      </c>
      <c r="P1325" s="11" t="s">
        <v>44</v>
      </c>
      <c r="Q1325" s="11" t="s">
        <v>44</v>
      </c>
      <c r="R1325" s="11" t="s">
        <v>44</v>
      </c>
      <c r="S1325" s="11" t="s">
        <v>83</v>
      </c>
      <c r="T1325" s="11" t="s">
        <v>44</v>
      </c>
      <c r="U1325" s="11" t="s">
        <v>44</v>
      </c>
      <c r="W1325" s="11" t="s">
        <v>46</v>
      </c>
      <c r="X1325" s="11" t="s">
        <v>97</v>
      </c>
      <c r="Y1325" s="11" t="s">
        <v>97</v>
      </c>
      <c r="Z1325" s="11">
        <v>81985914384</v>
      </c>
      <c r="AA1325" s="11" t="s">
        <v>91</v>
      </c>
      <c r="AB1325" s="11"/>
      <c r="AC1325" s="11"/>
      <c r="AD1325" s="11" t="b">
        <v>0</v>
      </c>
      <c r="AF1325" s="11"/>
      <c r="AG1325" s="11"/>
      <c r="AH1325" s="11"/>
      <c r="AI1325" s="263" t="e">
        <f t="shared" si="1"/>
        <v>#VALUE!</v>
      </c>
    </row>
    <row r="1326" ht="12.5" spans="1:35">
      <c r="A1326" s="177">
        <v>45383.6530791667</v>
      </c>
      <c r="B1326" s="11" t="s">
        <v>4211</v>
      </c>
      <c r="C1326" s="19">
        <v>17785739404</v>
      </c>
      <c r="D1326" s="19">
        <v>898006252474861</v>
      </c>
      <c r="F1326" s="11" t="s">
        <v>40</v>
      </c>
      <c r="G1326" s="11" t="s">
        <v>88</v>
      </c>
      <c r="H1326" s="24">
        <v>39127</v>
      </c>
      <c r="I1326" s="19" t="s">
        <v>136</v>
      </c>
      <c r="J1326" s="11" t="s">
        <v>42</v>
      </c>
      <c r="K1326" s="108" t="s">
        <v>4213</v>
      </c>
      <c r="N1326" s="11" t="s">
        <v>95</v>
      </c>
      <c r="O1326" s="11" t="s">
        <v>44</v>
      </c>
      <c r="P1326" s="11" t="s">
        <v>44</v>
      </c>
      <c r="Q1326" s="11" t="s">
        <v>44</v>
      </c>
      <c r="R1326" s="11" t="s">
        <v>45</v>
      </c>
      <c r="S1326" s="11" t="s">
        <v>45</v>
      </c>
      <c r="T1326" s="11" t="s">
        <v>44</v>
      </c>
      <c r="U1326" s="11" t="s">
        <v>45</v>
      </c>
      <c r="V1326" s="24">
        <v>45384</v>
      </c>
      <c r="W1326" s="11" t="s">
        <v>57</v>
      </c>
      <c r="X1326" s="11" t="s">
        <v>97</v>
      </c>
      <c r="Y1326" s="11" t="s">
        <v>97</v>
      </c>
      <c r="Z1326" s="11">
        <v>81985643153</v>
      </c>
      <c r="AA1326" s="11" t="s">
        <v>91</v>
      </c>
      <c r="AB1326" s="11" t="s">
        <v>98</v>
      </c>
      <c r="AC1326" s="11"/>
      <c r="AD1326" s="11" t="b">
        <v>0</v>
      </c>
      <c r="AF1326" s="11" t="s">
        <v>4247</v>
      </c>
      <c r="AG1326" s="11"/>
      <c r="AH1326" s="11"/>
      <c r="AI1326" s="263" t="e">
        <f t="shared" si="1"/>
        <v>#VALUE!</v>
      </c>
    </row>
    <row r="1327" ht="12.5" spans="1:35">
      <c r="A1327" s="177">
        <v>45383.7177968519</v>
      </c>
      <c r="B1327" s="11" t="s">
        <v>4248</v>
      </c>
      <c r="C1327" s="19">
        <v>70896728404</v>
      </c>
      <c r="D1327" s="19">
        <v>700306991570631</v>
      </c>
      <c r="E1327" s="18" t="s">
        <v>4249</v>
      </c>
      <c r="F1327" s="11" t="s">
        <v>40</v>
      </c>
      <c r="G1327" s="11" t="s">
        <v>88</v>
      </c>
      <c r="H1327" s="24">
        <v>36934</v>
      </c>
      <c r="I1327" s="222">
        <v>45147</v>
      </c>
      <c r="J1327" s="11" t="s">
        <v>42</v>
      </c>
      <c r="K1327" s="108" t="s">
        <v>74</v>
      </c>
      <c r="N1327" s="11" t="s">
        <v>43</v>
      </c>
      <c r="O1327" s="11" t="s">
        <v>44</v>
      </c>
      <c r="P1327" s="11" t="s">
        <v>44</v>
      </c>
      <c r="Q1327" s="11" t="s">
        <v>45</v>
      </c>
      <c r="R1327" s="11" t="s">
        <v>45</v>
      </c>
      <c r="S1327" s="11" t="s">
        <v>83</v>
      </c>
      <c r="T1327" s="11" t="s">
        <v>44</v>
      </c>
      <c r="U1327" s="11" t="s">
        <v>44</v>
      </c>
      <c r="W1327" s="11" t="s">
        <v>46</v>
      </c>
      <c r="X1327" s="11" t="s">
        <v>47</v>
      </c>
      <c r="Y1327" s="11" t="s">
        <v>58</v>
      </c>
      <c r="Z1327" s="11">
        <v>81981521958</v>
      </c>
      <c r="AA1327" s="11" t="s">
        <v>4097</v>
      </c>
      <c r="AB1327" s="11"/>
      <c r="AC1327" s="11"/>
      <c r="AD1327" s="11" t="b">
        <v>0</v>
      </c>
      <c r="AF1327" s="11"/>
      <c r="AG1327" s="11"/>
      <c r="AH1327" s="11"/>
      <c r="AI1327" s="264">
        <f t="shared" si="1"/>
        <v>45427</v>
      </c>
    </row>
    <row r="1328" ht="12.5" spans="1:35">
      <c r="A1328" s="177">
        <v>45383.7459390741</v>
      </c>
      <c r="B1328" s="11" t="s">
        <v>4250</v>
      </c>
      <c r="C1328" s="19">
        <v>10888762429</v>
      </c>
      <c r="D1328" s="19">
        <v>700501737690853</v>
      </c>
      <c r="E1328" s="18" t="s">
        <v>4251</v>
      </c>
      <c r="F1328" s="11" t="s">
        <v>40</v>
      </c>
      <c r="G1328" s="11" t="s">
        <v>41</v>
      </c>
      <c r="H1328" s="24">
        <v>35577</v>
      </c>
      <c r="I1328" s="222">
        <v>45178</v>
      </c>
      <c r="J1328" s="11" t="s">
        <v>42</v>
      </c>
      <c r="K1328" s="108" t="s">
        <v>4195</v>
      </c>
      <c r="N1328" s="11" t="s">
        <v>43</v>
      </c>
      <c r="O1328" s="11" t="s">
        <v>44</v>
      </c>
      <c r="P1328" s="11" t="s">
        <v>44</v>
      </c>
      <c r="Q1328" s="11" t="s">
        <v>44</v>
      </c>
      <c r="R1328" s="11" t="s">
        <v>45</v>
      </c>
      <c r="S1328" s="11" t="s">
        <v>45</v>
      </c>
      <c r="T1328" s="11" t="s">
        <v>44</v>
      </c>
      <c r="U1328" s="11" t="s">
        <v>44</v>
      </c>
      <c r="W1328" s="11" t="s">
        <v>57</v>
      </c>
      <c r="X1328" s="11" t="s">
        <v>47</v>
      </c>
      <c r="Y1328" s="11" t="s">
        <v>58</v>
      </c>
      <c r="Z1328" s="11">
        <v>81989820679</v>
      </c>
      <c r="AA1328" s="11" t="s">
        <v>105</v>
      </c>
      <c r="AB1328" s="11"/>
      <c r="AC1328" s="11"/>
      <c r="AD1328" s="11" t="b">
        <v>0</v>
      </c>
      <c r="AF1328" s="11"/>
      <c r="AG1328" s="11"/>
      <c r="AH1328" s="11"/>
      <c r="AI1328" s="264">
        <f t="shared" si="1"/>
        <v>45458</v>
      </c>
    </row>
    <row r="1329" ht="12.5" spans="1:35">
      <c r="A1329" s="177">
        <v>45384.3933749537</v>
      </c>
      <c r="B1329" s="11" t="s">
        <v>4234</v>
      </c>
      <c r="C1329" s="277" t="s">
        <v>4235</v>
      </c>
      <c r="D1329" s="19">
        <v>700009363682808</v>
      </c>
      <c r="E1329" s="18" t="s">
        <v>4252</v>
      </c>
      <c r="F1329" s="11" t="s">
        <v>40</v>
      </c>
      <c r="G1329" s="11" t="s">
        <v>54</v>
      </c>
      <c r="H1329" s="24">
        <v>33312</v>
      </c>
      <c r="I1329" s="222">
        <v>45310</v>
      </c>
      <c r="J1329" s="11" t="s">
        <v>42</v>
      </c>
      <c r="K1329" s="108" t="s">
        <v>427</v>
      </c>
      <c r="N1329" s="11" t="s">
        <v>95</v>
      </c>
      <c r="O1329" s="11" t="s">
        <v>44</v>
      </c>
      <c r="P1329" s="11" t="s">
        <v>44</v>
      </c>
      <c r="Q1329" s="11" t="s">
        <v>44</v>
      </c>
      <c r="R1329" s="11" t="s">
        <v>45</v>
      </c>
      <c r="S1329" s="11" t="s">
        <v>83</v>
      </c>
      <c r="T1329" s="11" t="s">
        <v>44</v>
      </c>
      <c r="U1329" s="11" t="s">
        <v>45</v>
      </c>
      <c r="V1329" s="24">
        <v>45386</v>
      </c>
      <c r="W1329" s="11" t="s">
        <v>46</v>
      </c>
      <c r="X1329" s="11" t="s">
        <v>97</v>
      </c>
      <c r="Y1329" s="11" t="s">
        <v>97</v>
      </c>
      <c r="Z1329" s="11">
        <v>81985975422</v>
      </c>
      <c r="AA1329" s="11" t="s">
        <v>91</v>
      </c>
      <c r="AB1329" s="11" t="s">
        <v>49</v>
      </c>
      <c r="AC1329" s="11" t="s">
        <v>92</v>
      </c>
      <c r="AD1329" s="11" t="b">
        <v>1</v>
      </c>
      <c r="AE1329" s="11" t="s">
        <v>137</v>
      </c>
      <c r="AF1329" s="11" t="s">
        <v>4253</v>
      </c>
      <c r="AG1329" s="11" t="s">
        <v>4254</v>
      </c>
      <c r="AH1329" s="11"/>
      <c r="AI1329" s="264">
        <f t="shared" si="1"/>
        <v>45590</v>
      </c>
    </row>
    <row r="1330" ht="12.5" spans="1:35">
      <c r="A1330" s="177">
        <v>45384.4658551505</v>
      </c>
      <c r="B1330" s="11" t="s">
        <v>4183</v>
      </c>
      <c r="C1330" s="19">
        <v>70421798467</v>
      </c>
      <c r="D1330" s="19">
        <v>705006427006555</v>
      </c>
      <c r="E1330" s="18" t="s">
        <v>4255</v>
      </c>
      <c r="F1330" s="11" t="s">
        <v>40</v>
      </c>
      <c r="G1330" s="11" t="s">
        <v>54</v>
      </c>
      <c r="H1330" s="24">
        <v>35858</v>
      </c>
      <c r="I1330" s="222">
        <v>45126</v>
      </c>
      <c r="J1330" s="11" t="s">
        <v>42</v>
      </c>
      <c r="K1330" s="108" t="s">
        <v>4256</v>
      </c>
      <c r="N1330" s="11" t="s">
        <v>43</v>
      </c>
      <c r="O1330" s="11" t="s">
        <v>44</v>
      </c>
      <c r="P1330" s="11" t="s">
        <v>56</v>
      </c>
      <c r="Q1330" s="11" t="s">
        <v>44</v>
      </c>
      <c r="R1330" s="11" t="s">
        <v>45</v>
      </c>
      <c r="S1330" s="11" t="s">
        <v>45</v>
      </c>
      <c r="T1330" s="11" t="s">
        <v>44</v>
      </c>
      <c r="U1330" s="11" t="s">
        <v>44</v>
      </c>
      <c r="W1330" s="11" t="s">
        <v>46</v>
      </c>
      <c r="X1330" s="11" t="s">
        <v>47</v>
      </c>
      <c r="Y1330" s="11" t="s">
        <v>58</v>
      </c>
      <c r="Z1330" s="11">
        <v>81983065319</v>
      </c>
      <c r="AA1330" s="11" t="s">
        <v>103</v>
      </c>
      <c r="AB1330" s="11"/>
      <c r="AC1330" s="11"/>
      <c r="AD1330" s="11" t="b">
        <v>0</v>
      </c>
      <c r="AF1330" s="11"/>
      <c r="AG1330" s="11"/>
      <c r="AH1330" s="11"/>
      <c r="AI1330" s="264">
        <f t="shared" si="1"/>
        <v>45406</v>
      </c>
    </row>
    <row r="1331" ht="12.5" spans="1:35">
      <c r="A1331" s="177">
        <v>45384.7112522106</v>
      </c>
      <c r="B1331" s="11" t="s">
        <v>4241</v>
      </c>
      <c r="C1331" s="277" t="s">
        <v>4242</v>
      </c>
      <c r="D1331" s="19">
        <v>704601654770126</v>
      </c>
      <c r="E1331" s="18" t="s">
        <v>4257</v>
      </c>
      <c r="F1331" s="11" t="s">
        <v>40</v>
      </c>
      <c r="G1331" s="11" t="s">
        <v>41</v>
      </c>
      <c r="H1331" s="24">
        <v>35111</v>
      </c>
      <c r="I1331" s="222">
        <v>45193</v>
      </c>
      <c r="J1331" s="11" t="s">
        <v>42</v>
      </c>
      <c r="K1331" s="108" t="s">
        <v>63</v>
      </c>
      <c r="N1331" s="11" t="s">
        <v>95</v>
      </c>
      <c r="O1331" s="11" t="s">
        <v>44</v>
      </c>
      <c r="P1331" s="11" t="s">
        <v>44</v>
      </c>
      <c r="Q1331" s="11" t="s">
        <v>44</v>
      </c>
      <c r="R1331" s="11" t="s">
        <v>45</v>
      </c>
      <c r="S1331" s="11" t="s">
        <v>45</v>
      </c>
      <c r="T1331" s="11" t="s">
        <v>45</v>
      </c>
      <c r="U1331" s="11" t="s">
        <v>45</v>
      </c>
      <c r="V1331" s="24">
        <v>45387</v>
      </c>
      <c r="W1331" s="11" t="s">
        <v>46</v>
      </c>
      <c r="X1331" s="11" t="s">
        <v>97</v>
      </c>
      <c r="Y1331" s="11" t="s">
        <v>97</v>
      </c>
      <c r="Z1331" s="11">
        <v>81983148301</v>
      </c>
      <c r="AA1331" s="11" t="s">
        <v>105</v>
      </c>
      <c r="AB1331" s="11" t="s">
        <v>98</v>
      </c>
      <c r="AC1331" s="11"/>
      <c r="AD1331" s="11" t="b">
        <v>0</v>
      </c>
      <c r="AF1331" s="11" t="s">
        <v>4258</v>
      </c>
      <c r="AG1331" s="11" t="s">
        <v>4259</v>
      </c>
      <c r="AH1331" s="11"/>
      <c r="AI1331" s="264">
        <f t="shared" si="1"/>
        <v>45473</v>
      </c>
    </row>
    <row r="1332" ht="12.5" spans="1:35">
      <c r="A1332" s="177">
        <v>45385.3218773727</v>
      </c>
      <c r="B1332" s="11" t="s">
        <v>4260</v>
      </c>
      <c r="C1332" s="19">
        <v>13180404426</v>
      </c>
      <c r="D1332" s="19">
        <v>702707606116460</v>
      </c>
      <c r="E1332" s="18" t="s">
        <v>4261</v>
      </c>
      <c r="F1332" s="11" t="s">
        <v>40</v>
      </c>
      <c r="G1332" s="11" t="s">
        <v>54</v>
      </c>
      <c r="H1332" s="24">
        <v>39073</v>
      </c>
      <c r="I1332" s="222">
        <v>45104</v>
      </c>
      <c r="J1332" s="11" t="s">
        <v>42</v>
      </c>
      <c r="K1332" s="108" t="s">
        <v>4262</v>
      </c>
      <c r="N1332" s="11" t="s">
        <v>43</v>
      </c>
      <c r="O1332" s="11" t="s">
        <v>44</v>
      </c>
      <c r="P1332" s="11" t="s">
        <v>44</v>
      </c>
      <c r="Q1332" s="11" t="s">
        <v>44</v>
      </c>
      <c r="R1332" s="11" t="s">
        <v>45</v>
      </c>
      <c r="S1332" s="11" t="s">
        <v>45</v>
      </c>
      <c r="T1332" s="11" t="s">
        <v>44</v>
      </c>
      <c r="U1332" s="11" t="s">
        <v>44</v>
      </c>
      <c r="W1332" s="11" t="s">
        <v>46</v>
      </c>
      <c r="X1332" s="254" t="s">
        <v>67</v>
      </c>
      <c r="Y1332" s="11" t="s">
        <v>58</v>
      </c>
      <c r="Z1332" s="11">
        <v>81994084776</v>
      </c>
      <c r="AA1332" s="11" t="s">
        <v>115</v>
      </c>
      <c r="AB1332" s="11"/>
      <c r="AC1332" s="11"/>
      <c r="AD1332" s="11" t="b">
        <v>0</v>
      </c>
      <c r="AF1332" s="11"/>
      <c r="AG1332" s="11"/>
      <c r="AH1332" s="11"/>
      <c r="AI1332" s="264">
        <f t="shared" si="1"/>
        <v>45384</v>
      </c>
    </row>
    <row r="1333" ht="12.5" spans="1:35">
      <c r="A1333" s="177">
        <v>45385.3470229977</v>
      </c>
      <c r="B1333" s="11" t="s">
        <v>4263</v>
      </c>
      <c r="C1333" s="19">
        <v>11542933439</v>
      </c>
      <c r="D1333" s="19">
        <v>700908992000398</v>
      </c>
      <c r="E1333" s="18" t="s">
        <v>4264</v>
      </c>
      <c r="F1333" s="11" t="s">
        <v>40</v>
      </c>
      <c r="G1333" s="11" t="s">
        <v>54</v>
      </c>
      <c r="H1333" s="24">
        <v>35474</v>
      </c>
      <c r="I1333" s="222">
        <v>45316</v>
      </c>
      <c r="J1333" s="11" t="s">
        <v>42</v>
      </c>
      <c r="K1333" s="108" t="s">
        <v>155</v>
      </c>
      <c r="N1333" s="11" t="s">
        <v>43</v>
      </c>
      <c r="O1333" s="11" t="s">
        <v>44</v>
      </c>
      <c r="P1333" s="11" t="s">
        <v>44</v>
      </c>
      <c r="Q1333" s="11" t="s">
        <v>44</v>
      </c>
      <c r="R1333" s="11" t="s">
        <v>45</v>
      </c>
      <c r="S1333" s="11" t="s">
        <v>45</v>
      </c>
      <c r="T1333" s="11" t="s">
        <v>44</v>
      </c>
      <c r="U1333" s="11" t="s">
        <v>45</v>
      </c>
      <c r="V1333" s="24">
        <v>45386</v>
      </c>
      <c r="W1333" s="11" t="s">
        <v>46</v>
      </c>
      <c r="X1333" s="254" t="s">
        <v>67</v>
      </c>
      <c r="Y1333" s="11" t="s">
        <v>58</v>
      </c>
      <c r="Z1333" s="11">
        <v>81999243918</v>
      </c>
      <c r="AA1333" s="11" t="s">
        <v>115</v>
      </c>
      <c r="AB1333" s="11" t="s">
        <v>49</v>
      </c>
      <c r="AC1333" s="11" t="s">
        <v>3892</v>
      </c>
      <c r="AD1333" s="11" t="b">
        <v>1</v>
      </c>
      <c r="AE1333" s="11" t="s">
        <v>137</v>
      </c>
      <c r="AF1333" s="136" t="s">
        <v>4265</v>
      </c>
      <c r="AG1333" s="11"/>
      <c r="AH1333" s="11"/>
      <c r="AI1333" s="264">
        <f t="shared" si="1"/>
        <v>45596</v>
      </c>
    </row>
    <row r="1334" ht="12.5" spans="1:35">
      <c r="A1334" s="177">
        <v>45385.3700137153</v>
      </c>
      <c r="B1334" s="11" t="s">
        <v>4238</v>
      </c>
      <c r="C1334" s="19">
        <v>13775678425</v>
      </c>
      <c r="D1334" s="19">
        <v>700709444210780</v>
      </c>
      <c r="E1334" s="18" t="s">
        <v>4266</v>
      </c>
      <c r="F1334" s="11" t="s">
        <v>40</v>
      </c>
      <c r="G1334" s="11" t="s">
        <v>54</v>
      </c>
      <c r="H1334" s="24">
        <v>37484</v>
      </c>
      <c r="I1334" s="222">
        <v>45143</v>
      </c>
      <c r="J1334" s="11" t="s">
        <v>42</v>
      </c>
      <c r="K1334" s="108" t="s">
        <v>202</v>
      </c>
      <c r="N1334" s="11" t="s">
        <v>43</v>
      </c>
      <c r="O1334" s="11" t="s">
        <v>44</v>
      </c>
      <c r="P1334" s="11" t="s">
        <v>44</v>
      </c>
      <c r="Q1334" s="11" t="s">
        <v>44</v>
      </c>
      <c r="R1334" s="11" t="s">
        <v>45</v>
      </c>
      <c r="S1334" s="11" t="s">
        <v>45</v>
      </c>
      <c r="T1334" s="11" t="s">
        <v>45</v>
      </c>
      <c r="U1334" s="11" t="s">
        <v>44</v>
      </c>
      <c r="W1334" s="11" t="s">
        <v>46</v>
      </c>
      <c r="X1334" s="11" t="s">
        <v>47</v>
      </c>
      <c r="Y1334" s="11" t="s">
        <v>58</v>
      </c>
      <c r="Z1334" s="11">
        <v>81984670109</v>
      </c>
      <c r="AA1334" s="11" t="s">
        <v>91</v>
      </c>
      <c r="AB1334" s="11"/>
      <c r="AC1334" s="11"/>
      <c r="AD1334" s="11" t="b">
        <v>0</v>
      </c>
      <c r="AF1334" s="11"/>
      <c r="AG1334" s="11"/>
      <c r="AH1334" s="11"/>
      <c r="AI1334" s="264">
        <f t="shared" si="1"/>
        <v>45423</v>
      </c>
    </row>
    <row r="1335" ht="12.5" spans="1:35">
      <c r="A1335" s="177">
        <v>45386.4249192361</v>
      </c>
      <c r="B1335" s="11" t="s">
        <v>4229</v>
      </c>
      <c r="C1335" s="19">
        <v>13115492421</v>
      </c>
      <c r="D1335" s="19">
        <v>705106307521540</v>
      </c>
      <c r="E1335" s="18" t="s">
        <v>4267</v>
      </c>
      <c r="F1335" s="11" t="s">
        <v>40</v>
      </c>
      <c r="G1335" s="11" t="s">
        <v>41</v>
      </c>
      <c r="H1335" s="24">
        <v>36174</v>
      </c>
      <c r="I1335" s="222">
        <v>36380</v>
      </c>
      <c r="J1335" s="11" t="s">
        <v>42</v>
      </c>
      <c r="K1335" s="108" t="s">
        <v>55</v>
      </c>
      <c r="N1335" s="11" t="s">
        <v>43</v>
      </c>
      <c r="O1335" s="11" t="s">
        <v>65</v>
      </c>
      <c r="P1335" s="11" t="s">
        <v>66</v>
      </c>
      <c r="Q1335" s="11" t="s">
        <v>45</v>
      </c>
      <c r="R1335" s="11" t="s">
        <v>45</v>
      </c>
      <c r="S1335" s="11" t="s">
        <v>45</v>
      </c>
      <c r="T1335" s="11" t="s">
        <v>44</v>
      </c>
      <c r="U1335" s="11" t="s">
        <v>45</v>
      </c>
      <c r="V1335" s="24">
        <v>45386</v>
      </c>
      <c r="W1335" s="11" t="s">
        <v>46</v>
      </c>
      <c r="X1335" s="254" t="s">
        <v>67</v>
      </c>
      <c r="Y1335" s="11" t="s">
        <v>58</v>
      </c>
      <c r="Z1335" s="11">
        <v>81999335722</v>
      </c>
      <c r="AA1335" s="11" t="s">
        <v>115</v>
      </c>
      <c r="AB1335" s="11" t="s">
        <v>49</v>
      </c>
      <c r="AC1335" s="11" t="s">
        <v>50</v>
      </c>
      <c r="AD1335" s="11" t="b">
        <v>1</v>
      </c>
      <c r="AE1335" s="11" t="s">
        <v>137</v>
      </c>
      <c r="AF1335" s="214" t="s">
        <v>4268</v>
      </c>
      <c r="AG1335" s="11"/>
      <c r="AH1335" s="11"/>
      <c r="AI1335" s="264">
        <f t="shared" si="1"/>
        <v>36660</v>
      </c>
    </row>
    <row r="1336" ht="12.5" spans="1:35">
      <c r="A1336" s="177">
        <v>45386.4428595949</v>
      </c>
      <c r="B1336" s="11" t="s">
        <v>4263</v>
      </c>
      <c r="C1336" s="19">
        <v>11542933439</v>
      </c>
      <c r="D1336" s="19">
        <v>700908992000398</v>
      </c>
      <c r="F1336" s="11" t="s">
        <v>40</v>
      </c>
      <c r="G1336" s="11" t="s">
        <v>54</v>
      </c>
      <c r="H1336" s="24">
        <v>35474</v>
      </c>
      <c r="I1336" s="222">
        <v>45316</v>
      </c>
      <c r="J1336" s="11" t="s">
        <v>42</v>
      </c>
      <c r="K1336" s="108" t="s">
        <v>155</v>
      </c>
      <c r="N1336" s="11" t="s">
        <v>95</v>
      </c>
      <c r="O1336" s="11" t="s">
        <v>44</v>
      </c>
      <c r="P1336" s="11" t="s">
        <v>56</v>
      </c>
      <c r="Q1336" s="11" t="s">
        <v>44</v>
      </c>
      <c r="R1336" s="11" t="s">
        <v>45</v>
      </c>
      <c r="S1336" s="11" t="s">
        <v>44</v>
      </c>
      <c r="T1336" s="11" t="s">
        <v>44</v>
      </c>
      <c r="U1336" s="11" t="s">
        <v>45</v>
      </c>
      <c r="V1336" s="24">
        <v>45387</v>
      </c>
      <c r="W1336" s="11" t="s">
        <v>57</v>
      </c>
      <c r="X1336" s="11" t="s">
        <v>97</v>
      </c>
      <c r="Y1336" s="11" t="s">
        <v>97</v>
      </c>
      <c r="Z1336" s="11">
        <v>81999243918</v>
      </c>
      <c r="AA1336" s="11" t="s">
        <v>3919</v>
      </c>
      <c r="AB1336" s="11" t="s">
        <v>49</v>
      </c>
      <c r="AC1336" s="11" t="s">
        <v>106</v>
      </c>
      <c r="AD1336" s="11" t="b">
        <v>1</v>
      </c>
      <c r="AE1336" s="11" t="s">
        <v>137</v>
      </c>
      <c r="AF1336" s="214" t="s">
        <v>4269</v>
      </c>
      <c r="AG1336" s="11"/>
      <c r="AH1336" s="11"/>
      <c r="AI1336" s="264">
        <f t="shared" si="1"/>
        <v>45596</v>
      </c>
    </row>
    <row r="1337" ht="12.5" spans="1:35">
      <c r="A1337" s="177">
        <v>45386.524280162</v>
      </c>
      <c r="B1337" s="11" t="s">
        <v>4234</v>
      </c>
      <c r="C1337" s="277" t="s">
        <v>4235</v>
      </c>
      <c r="D1337" s="19">
        <v>700009363682808</v>
      </c>
      <c r="E1337" s="18" t="s">
        <v>4270</v>
      </c>
      <c r="F1337" s="11" t="s">
        <v>40</v>
      </c>
      <c r="G1337" s="11" t="s">
        <v>54</v>
      </c>
      <c r="H1337" s="24">
        <v>33312</v>
      </c>
      <c r="I1337" s="222">
        <v>45310</v>
      </c>
      <c r="J1337" s="11" t="s">
        <v>42</v>
      </c>
      <c r="K1337" s="108" t="s">
        <v>427</v>
      </c>
      <c r="N1337" s="11" t="s">
        <v>95</v>
      </c>
      <c r="O1337" s="11" t="s">
        <v>44</v>
      </c>
      <c r="P1337" s="11" t="s">
        <v>44</v>
      </c>
      <c r="Q1337" s="11" t="s">
        <v>44</v>
      </c>
      <c r="R1337" s="11" t="s">
        <v>45</v>
      </c>
      <c r="S1337" s="11" t="s">
        <v>83</v>
      </c>
      <c r="T1337" s="11" t="s">
        <v>44</v>
      </c>
      <c r="U1337" s="11" t="s">
        <v>44</v>
      </c>
      <c r="W1337" s="11" t="s">
        <v>46</v>
      </c>
      <c r="X1337" s="11" t="s">
        <v>97</v>
      </c>
      <c r="Y1337" s="11" t="s">
        <v>97</v>
      </c>
      <c r="Z1337" s="11">
        <v>81985975422</v>
      </c>
      <c r="AA1337" s="11" t="s">
        <v>91</v>
      </c>
      <c r="AB1337" s="11"/>
      <c r="AC1337" s="11"/>
      <c r="AD1337" s="11" t="b">
        <v>0</v>
      </c>
      <c r="AF1337" s="11"/>
      <c r="AG1337" s="11"/>
      <c r="AH1337" s="11"/>
      <c r="AI1337" s="264">
        <f t="shared" si="1"/>
        <v>45590</v>
      </c>
    </row>
    <row r="1338" ht="12.5" spans="1:35">
      <c r="A1338" s="177">
        <v>45386.5479116319</v>
      </c>
      <c r="B1338" s="11" t="s">
        <v>4271</v>
      </c>
      <c r="C1338" s="277" t="s">
        <v>4272</v>
      </c>
      <c r="D1338" s="19">
        <v>702004331949681</v>
      </c>
      <c r="E1338" s="18" t="s">
        <v>4273</v>
      </c>
      <c r="F1338" s="11" t="s">
        <v>40</v>
      </c>
      <c r="G1338" s="11" t="s">
        <v>54</v>
      </c>
      <c r="H1338" s="24">
        <v>30392</v>
      </c>
      <c r="I1338" s="222">
        <v>45105</v>
      </c>
      <c r="J1338" s="11" t="s">
        <v>42</v>
      </c>
      <c r="K1338" s="108" t="s">
        <v>427</v>
      </c>
      <c r="N1338" s="11" t="s">
        <v>43</v>
      </c>
      <c r="O1338" s="11" t="s">
        <v>96</v>
      </c>
      <c r="P1338" s="11" t="s">
        <v>66</v>
      </c>
      <c r="Q1338" s="11" t="s">
        <v>45</v>
      </c>
      <c r="R1338" s="11" t="s">
        <v>45</v>
      </c>
      <c r="S1338" s="11" t="s">
        <v>45</v>
      </c>
      <c r="T1338" s="11" t="s">
        <v>44</v>
      </c>
      <c r="U1338" s="11" t="s">
        <v>45</v>
      </c>
      <c r="V1338" s="24">
        <v>45387</v>
      </c>
      <c r="W1338" s="11" t="s">
        <v>46</v>
      </c>
      <c r="X1338" s="11" t="s">
        <v>47</v>
      </c>
      <c r="Y1338" s="11" t="s">
        <v>58</v>
      </c>
      <c r="Z1338" s="11">
        <v>81998414154</v>
      </c>
      <c r="AA1338" s="11" t="s">
        <v>3919</v>
      </c>
      <c r="AB1338" s="11" t="s">
        <v>49</v>
      </c>
      <c r="AC1338" s="11" t="s">
        <v>256</v>
      </c>
      <c r="AD1338" s="11" t="b">
        <v>0</v>
      </c>
      <c r="AF1338" s="11" t="s">
        <v>4274</v>
      </c>
      <c r="AG1338" s="11"/>
      <c r="AH1338" s="11"/>
      <c r="AI1338" s="264">
        <f t="shared" si="1"/>
        <v>45385</v>
      </c>
    </row>
    <row r="1339" ht="12.5" spans="1:35">
      <c r="A1339" s="177">
        <v>45386.730215706</v>
      </c>
      <c r="B1339" s="11" t="s">
        <v>4229</v>
      </c>
      <c r="C1339" s="19">
        <v>13115492421</v>
      </c>
      <c r="D1339" s="19">
        <v>705106307521540</v>
      </c>
      <c r="E1339" s="18" t="s">
        <v>4275</v>
      </c>
      <c r="F1339" s="11" t="s">
        <v>40</v>
      </c>
      <c r="G1339" s="11" t="s">
        <v>54</v>
      </c>
      <c r="H1339" s="24">
        <v>36174</v>
      </c>
      <c r="I1339" s="222">
        <v>45146</v>
      </c>
      <c r="J1339" s="11" t="s">
        <v>42</v>
      </c>
      <c r="K1339" s="108" t="s">
        <v>55</v>
      </c>
      <c r="N1339" s="11" t="s">
        <v>95</v>
      </c>
      <c r="O1339" s="11" t="s">
        <v>44</v>
      </c>
      <c r="P1339" s="11" t="s">
        <v>44</v>
      </c>
      <c r="Q1339" s="11" t="s">
        <v>45</v>
      </c>
      <c r="R1339" s="11" t="s">
        <v>45</v>
      </c>
      <c r="S1339" s="11" t="s">
        <v>45</v>
      </c>
      <c r="T1339" s="11" t="s">
        <v>44</v>
      </c>
      <c r="U1339" s="11" t="s">
        <v>44</v>
      </c>
      <c r="W1339" s="11" t="s">
        <v>46</v>
      </c>
      <c r="X1339" s="11" t="s">
        <v>97</v>
      </c>
      <c r="Y1339" s="11" t="s">
        <v>97</v>
      </c>
      <c r="Z1339" s="11">
        <v>81999335722</v>
      </c>
      <c r="AA1339" s="11" t="s">
        <v>115</v>
      </c>
      <c r="AB1339" s="11"/>
      <c r="AC1339" s="11"/>
      <c r="AD1339" s="11" t="b">
        <v>0</v>
      </c>
      <c r="AF1339" s="11"/>
      <c r="AG1339" s="11"/>
      <c r="AH1339" s="11"/>
      <c r="AI1339" s="264">
        <f t="shared" si="1"/>
        <v>45426</v>
      </c>
    </row>
    <row r="1340" ht="12.5" spans="1:35">
      <c r="A1340" s="177">
        <v>45386.8201425347</v>
      </c>
      <c r="B1340" s="11" t="s">
        <v>4276</v>
      </c>
      <c r="C1340" s="19">
        <v>70620658460</v>
      </c>
      <c r="D1340" s="19">
        <v>704509368524613</v>
      </c>
      <c r="E1340" s="18" t="s">
        <v>4277</v>
      </c>
      <c r="F1340" s="11" t="s">
        <v>225</v>
      </c>
      <c r="G1340" s="11" t="s">
        <v>54</v>
      </c>
      <c r="H1340" s="24">
        <v>37126</v>
      </c>
      <c r="I1340" s="222">
        <v>45206</v>
      </c>
      <c r="J1340" s="11" t="s">
        <v>42</v>
      </c>
      <c r="K1340" s="108" t="s">
        <v>2760</v>
      </c>
      <c r="N1340" s="11" t="s">
        <v>43</v>
      </c>
      <c r="O1340" s="11" t="s">
        <v>65</v>
      </c>
      <c r="P1340" s="11" t="s">
        <v>2559</v>
      </c>
      <c r="Q1340" s="11" t="s">
        <v>44</v>
      </c>
      <c r="R1340" s="11" t="s">
        <v>45</v>
      </c>
      <c r="S1340" s="11" t="s">
        <v>83</v>
      </c>
      <c r="T1340" s="11" t="s">
        <v>44</v>
      </c>
      <c r="U1340" s="11" t="s">
        <v>45</v>
      </c>
      <c r="V1340" s="24">
        <v>45387</v>
      </c>
      <c r="W1340" s="11" t="s">
        <v>46</v>
      </c>
      <c r="X1340" s="11" t="s">
        <v>203</v>
      </c>
      <c r="Y1340" s="11" t="s">
        <v>58</v>
      </c>
      <c r="Z1340" s="11">
        <v>81984342490</v>
      </c>
      <c r="AA1340" s="11" t="s">
        <v>115</v>
      </c>
      <c r="AB1340" s="11" t="s">
        <v>98</v>
      </c>
      <c r="AC1340" s="11"/>
      <c r="AD1340" s="11" t="b">
        <v>0</v>
      </c>
      <c r="AF1340" s="11" t="s">
        <v>4278</v>
      </c>
      <c r="AG1340" s="11" t="s">
        <v>4279</v>
      </c>
      <c r="AH1340" s="11"/>
      <c r="AI1340" s="264">
        <f t="shared" si="1"/>
        <v>45486</v>
      </c>
    </row>
    <row r="1341" ht="12.5" spans="1:35">
      <c r="A1341" s="177">
        <v>45387.3538321296</v>
      </c>
      <c r="B1341" s="11" t="s">
        <v>4263</v>
      </c>
      <c r="C1341" s="19">
        <v>11542933439</v>
      </c>
      <c r="D1341" s="19">
        <v>700908992000398</v>
      </c>
      <c r="E1341" s="18" t="s">
        <v>4280</v>
      </c>
      <c r="F1341" s="11" t="s">
        <v>40</v>
      </c>
      <c r="G1341" s="11" t="s">
        <v>54</v>
      </c>
      <c r="H1341" s="24">
        <v>35474</v>
      </c>
      <c r="I1341" s="222">
        <v>45316</v>
      </c>
      <c r="J1341" s="11" t="s">
        <v>42</v>
      </c>
      <c r="K1341" s="108" t="s">
        <v>155</v>
      </c>
      <c r="N1341" s="11" t="s">
        <v>95</v>
      </c>
      <c r="O1341" s="11" t="s">
        <v>44</v>
      </c>
      <c r="P1341" s="11" t="s">
        <v>44</v>
      </c>
      <c r="Q1341" s="11" t="s">
        <v>45</v>
      </c>
      <c r="R1341" s="11" t="s">
        <v>45</v>
      </c>
      <c r="S1341" s="11" t="s">
        <v>83</v>
      </c>
      <c r="T1341" s="11" t="s">
        <v>44</v>
      </c>
      <c r="U1341" s="11" t="s">
        <v>45</v>
      </c>
      <c r="V1341" s="24">
        <v>45388</v>
      </c>
      <c r="W1341" s="11" t="s">
        <v>46</v>
      </c>
      <c r="X1341" s="11" t="s">
        <v>97</v>
      </c>
      <c r="Y1341" s="11" t="s">
        <v>97</v>
      </c>
      <c r="Z1341" s="11">
        <v>81999243918</v>
      </c>
      <c r="AA1341" s="11" t="s">
        <v>103</v>
      </c>
      <c r="AB1341" s="11" t="s">
        <v>49</v>
      </c>
      <c r="AC1341" s="11" t="s">
        <v>3892</v>
      </c>
      <c r="AD1341" s="11" t="b">
        <v>1</v>
      </c>
      <c r="AE1341" s="11" t="s">
        <v>137</v>
      </c>
      <c r="AF1341" s="11" t="s">
        <v>4281</v>
      </c>
      <c r="AG1341" s="11" t="s">
        <v>4282</v>
      </c>
      <c r="AH1341" s="11" t="s">
        <v>4283</v>
      </c>
      <c r="AI1341" s="264">
        <f t="shared" si="1"/>
        <v>45596</v>
      </c>
    </row>
    <row r="1342" ht="12.5" spans="1:35">
      <c r="A1342" s="177">
        <v>45387.3743944097</v>
      </c>
      <c r="B1342" s="11" t="s">
        <v>4271</v>
      </c>
      <c r="C1342" s="277" t="s">
        <v>4272</v>
      </c>
      <c r="D1342" s="19">
        <v>702004331949681</v>
      </c>
      <c r="F1342" s="11" t="s">
        <v>40</v>
      </c>
      <c r="G1342" s="11" t="s">
        <v>54</v>
      </c>
      <c r="H1342" s="24">
        <v>30392</v>
      </c>
      <c r="I1342" s="222">
        <v>45105</v>
      </c>
      <c r="J1342" s="11" t="s">
        <v>42</v>
      </c>
      <c r="K1342" s="108" t="s">
        <v>427</v>
      </c>
      <c r="N1342" s="11" t="s">
        <v>95</v>
      </c>
      <c r="O1342" s="11" t="s">
        <v>658</v>
      </c>
      <c r="P1342" s="11" t="s">
        <v>44</v>
      </c>
      <c r="Q1342" s="11" t="s">
        <v>45</v>
      </c>
      <c r="R1342" s="11" t="s">
        <v>45</v>
      </c>
      <c r="S1342" s="11" t="s">
        <v>45</v>
      </c>
      <c r="T1342" s="11" t="s">
        <v>44</v>
      </c>
      <c r="U1342" s="11" t="s">
        <v>45</v>
      </c>
      <c r="V1342" s="24">
        <v>45388</v>
      </c>
      <c r="W1342" s="11" t="s">
        <v>57</v>
      </c>
      <c r="X1342" s="11" t="s">
        <v>97</v>
      </c>
      <c r="Y1342" s="11" t="s">
        <v>97</v>
      </c>
      <c r="Z1342" s="11">
        <v>81998414154</v>
      </c>
      <c r="AA1342" s="11" t="s">
        <v>1360</v>
      </c>
      <c r="AB1342" s="11" t="s">
        <v>98</v>
      </c>
      <c r="AC1342" s="11"/>
      <c r="AD1342" s="11" t="b">
        <v>0</v>
      </c>
      <c r="AF1342" s="11" t="s">
        <v>4281</v>
      </c>
      <c r="AG1342" s="11" t="s">
        <v>4284</v>
      </c>
      <c r="AH1342" s="11"/>
      <c r="AI1342" s="264">
        <f t="shared" si="1"/>
        <v>45385</v>
      </c>
    </row>
    <row r="1343" ht="12.5" spans="1:35">
      <c r="A1343" s="177">
        <v>45388.6721501505</v>
      </c>
      <c r="B1343" s="11" t="s">
        <v>4263</v>
      </c>
      <c r="C1343" s="19">
        <v>11542933439</v>
      </c>
      <c r="D1343" s="19">
        <v>700908992000398</v>
      </c>
      <c r="F1343" s="11" t="s">
        <v>40</v>
      </c>
      <c r="G1343" s="11" t="s">
        <v>54</v>
      </c>
      <c r="H1343" s="24">
        <v>35474</v>
      </c>
      <c r="I1343" s="222">
        <v>45316</v>
      </c>
      <c r="J1343" s="11" t="s">
        <v>42</v>
      </c>
      <c r="K1343" s="108" t="s">
        <v>155</v>
      </c>
      <c r="N1343" s="11" t="s">
        <v>95</v>
      </c>
      <c r="O1343" s="11" t="s">
        <v>44</v>
      </c>
      <c r="P1343" s="11" t="s">
        <v>44</v>
      </c>
      <c r="Q1343" s="11" t="s">
        <v>44</v>
      </c>
      <c r="R1343" s="11" t="s">
        <v>45</v>
      </c>
      <c r="S1343" s="11" t="s">
        <v>44</v>
      </c>
      <c r="T1343" s="11" t="s">
        <v>44</v>
      </c>
      <c r="U1343" s="11" t="s">
        <v>45</v>
      </c>
      <c r="V1343" s="24">
        <v>45394</v>
      </c>
      <c r="W1343" s="11" t="s">
        <v>57</v>
      </c>
      <c r="X1343" s="11" t="s">
        <v>97</v>
      </c>
      <c r="Y1343" s="11" t="s">
        <v>97</v>
      </c>
      <c r="Z1343" s="11">
        <v>81999243918</v>
      </c>
      <c r="AA1343" s="11" t="s">
        <v>3919</v>
      </c>
      <c r="AB1343" s="11" t="s">
        <v>98</v>
      </c>
      <c r="AC1343" s="11"/>
      <c r="AD1343" s="11" t="b">
        <v>0</v>
      </c>
      <c r="AF1343" s="11" t="s">
        <v>4285</v>
      </c>
      <c r="AG1343" s="11" t="s">
        <v>4286</v>
      </c>
      <c r="AH1343" s="11"/>
      <c r="AI1343" s="264">
        <f t="shared" si="1"/>
        <v>45596</v>
      </c>
    </row>
    <row r="1344" ht="12.5" spans="1:35">
      <c r="A1344" s="177">
        <v>45389.3703332755</v>
      </c>
      <c r="B1344" s="11" t="s">
        <v>4287</v>
      </c>
      <c r="C1344" s="277" t="s">
        <v>4288</v>
      </c>
      <c r="D1344" s="19">
        <v>708207643005344</v>
      </c>
      <c r="E1344" s="18" t="s">
        <v>4289</v>
      </c>
      <c r="F1344" s="11" t="s">
        <v>225</v>
      </c>
      <c r="G1344" s="11" t="s">
        <v>83</v>
      </c>
      <c r="H1344" s="24">
        <v>31728</v>
      </c>
      <c r="I1344" s="232">
        <v>45219</v>
      </c>
      <c r="J1344" s="11" t="s">
        <v>42</v>
      </c>
      <c r="K1344" s="108" t="s">
        <v>427</v>
      </c>
      <c r="N1344" s="11" t="s">
        <v>43</v>
      </c>
      <c r="O1344" s="11" t="s">
        <v>96</v>
      </c>
      <c r="P1344" s="11" t="s">
        <v>56</v>
      </c>
      <c r="Q1344" s="11" t="s">
        <v>44</v>
      </c>
      <c r="R1344" s="11" t="s">
        <v>45</v>
      </c>
      <c r="S1344" s="11" t="s">
        <v>83</v>
      </c>
      <c r="T1344" s="11" t="s">
        <v>44</v>
      </c>
      <c r="U1344" s="11" t="s">
        <v>45</v>
      </c>
      <c r="V1344" s="24">
        <v>45390</v>
      </c>
      <c r="W1344" s="11" t="s">
        <v>46</v>
      </c>
      <c r="X1344" s="259" t="s">
        <v>156</v>
      </c>
      <c r="Y1344" s="11" t="s">
        <v>68</v>
      </c>
      <c r="Z1344" s="11">
        <v>81997816176</v>
      </c>
      <c r="AA1344" s="11" t="s">
        <v>4101</v>
      </c>
      <c r="AB1344" s="11" t="s">
        <v>98</v>
      </c>
      <c r="AC1344" s="11"/>
      <c r="AD1344" s="11" t="b">
        <v>0</v>
      </c>
      <c r="AF1344" s="11" t="s">
        <v>4290</v>
      </c>
      <c r="AG1344" s="11" t="s">
        <v>4291</v>
      </c>
      <c r="AH1344" s="11" t="s">
        <v>4292</v>
      </c>
      <c r="AI1344" s="265">
        <f t="shared" si="1"/>
        <v>45499</v>
      </c>
    </row>
    <row r="1345" ht="12.5" spans="1:35">
      <c r="A1345" s="177">
        <v>45389.4290310069</v>
      </c>
      <c r="B1345" s="11" t="s">
        <v>4293</v>
      </c>
      <c r="C1345" s="19">
        <v>11088441467</v>
      </c>
      <c r="D1345" s="19">
        <v>706204598670268</v>
      </c>
      <c r="E1345" s="18" t="s">
        <v>4294</v>
      </c>
      <c r="F1345" s="11" t="s">
        <v>225</v>
      </c>
      <c r="G1345" s="11" t="s">
        <v>83</v>
      </c>
      <c r="H1345" s="24">
        <v>34603</v>
      </c>
      <c r="I1345" s="222">
        <v>45102</v>
      </c>
      <c r="J1345" s="11" t="s">
        <v>42</v>
      </c>
      <c r="K1345" s="108" t="s">
        <v>282</v>
      </c>
      <c r="N1345" s="11" t="s">
        <v>43</v>
      </c>
      <c r="O1345" s="11" t="s">
        <v>96</v>
      </c>
      <c r="P1345" s="11" t="s">
        <v>66</v>
      </c>
      <c r="Q1345" s="11" t="s">
        <v>44</v>
      </c>
      <c r="R1345" s="11" t="s">
        <v>45</v>
      </c>
      <c r="S1345" s="11" t="s">
        <v>83</v>
      </c>
      <c r="T1345" s="11" t="s">
        <v>44</v>
      </c>
      <c r="U1345" s="11" t="s">
        <v>45</v>
      </c>
      <c r="V1345" s="24">
        <v>45390</v>
      </c>
      <c r="W1345" s="11" t="s">
        <v>46</v>
      </c>
      <c r="X1345" s="11" t="s">
        <v>303</v>
      </c>
      <c r="Y1345" s="11" t="s">
        <v>68</v>
      </c>
      <c r="Z1345" s="11">
        <v>81993805933</v>
      </c>
      <c r="AA1345" s="11" t="s">
        <v>4101</v>
      </c>
      <c r="AB1345" s="11" t="s">
        <v>49</v>
      </c>
      <c r="AC1345" s="11" t="s">
        <v>84</v>
      </c>
      <c r="AD1345" s="11" t="b">
        <v>1</v>
      </c>
      <c r="AE1345" s="11" t="s">
        <v>137</v>
      </c>
      <c r="AF1345" s="11"/>
      <c r="AG1345" s="11"/>
      <c r="AH1345" s="11" t="s">
        <v>4295</v>
      </c>
      <c r="AI1345" s="264">
        <f t="shared" si="1"/>
        <v>45382</v>
      </c>
    </row>
    <row r="1346" ht="12.5" spans="1:35">
      <c r="A1346" s="177">
        <v>45389.4544176389</v>
      </c>
      <c r="B1346" s="11" t="s">
        <v>4296</v>
      </c>
      <c r="C1346" s="19">
        <v>10733452469</v>
      </c>
      <c r="D1346" s="19">
        <v>706403650143380</v>
      </c>
      <c r="E1346" s="18" t="s">
        <v>4297</v>
      </c>
      <c r="F1346" s="11" t="s">
        <v>40</v>
      </c>
      <c r="G1346" s="11" t="s">
        <v>83</v>
      </c>
      <c r="H1346" s="24">
        <v>34985</v>
      </c>
      <c r="I1346" s="19" t="s">
        <v>136</v>
      </c>
      <c r="J1346" s="11" t="s">
        <v>42</v>
      </c>
      <c r="K1346" s="108" t="s">
        <v>427</v>
      </c>
      <c r="N1346" s="11" t="s">
        <v>43</v>
      </c>
      <c r="O1346" s="11" t="s">
        <v>96</v>
      </c>
      <c r="P1346" s="11" t="s">
        <v>56</v>
      </c>
      <c r="Q1346" s="11" t="s">
        <v>44</v>
      </c>
      <c r="R1346" s="11" t="s">
        <v>45</v>
      </c>
      <c r="S1346" s="11" t="s">
        <v>83</v>
      </c>
      <c r="T1346" s="11" t="s">
        <v>44</v>
      </c>
      <c r="U1346" s="11" t="s">
        <v>45</v>
      </c>
      <c r="V1346" s="24">
        <v>45390</v>
      </c>
      <c r="W1346" s="11" t="s">
        <v>46</v>
      </c>
      <c r="X1346" s="11" t="s">
        <v>303</v>
      </c>
      <c r="Y1346" s="11" t="s">
        <v>68</v>
      </c>
      <c r="Z1346" s="11">
        <v>81988559938</v>
      </c>
      <c r="AA1346" s="11" t="s">
        <v>4101</v>
      </c>
      <c r="AB1346" s="11" t="s">
        <v>98</v>
      </c>
      <c r="AC1346" s="11"/>
      <c r="AD1346" s="11" t="b">
        <v>0</v>
      </c>
      <c r="AF1346" s="11" t="s">
        <v>4298</v>
      </c>
      <c r="AG1346" s="11" t="s">
        <v>4299</v>
      </c>
      <c r="AH1346" s="11" t="s">
        <v>4300</v>
      </c>
      <c r="AI1346" s="263" t="e">
        <f t="shared" si="1"/>
        <v>#VALUE!</v>
      </c>
    </row>
    <row r="1347" ht="12.5" spans="1:35">
      <c r="A1347" s="177">
        <v>45389.5184997106</v>
      </c>
      <c r="B1347" s="11" t="s">
        <v>4301</v>
      </c>
      <c r="C1347" s="277" t="s">
        <v>4302</v>
      </c>
      <c r="D1347" s="19">
        <v>700009780363305</v>
      </c>
      <c r="E1347" s="18" t="s">
        <v>4303</v>
      </c>
      <c r="F1347" s="11" t="s">
        <v>40</v>
      </c>
      <c r="G1347" s="11" t="s">
        <v>83</v>
      </c>
      <c r="H1347" s="24">
        <v>36287</v>
      </c>
      <c r="I1347" s="222">
        <v>45194</v>
      </c>
      <c r="J1347" s="11" t="s">
        <v>42</v>
      </c>
      <c r="K1347" s="108" t="s">
        <v>4304</v>
      </c>
      <c r="N1347" s="11" t="s">
        <v>43</v>
      </c>
      <c r="O1347" s="11" t="s">
        <v>65</v>
      </c>
      <c r="P1347" s="11" t="s">
        <v>66</v>
      </c>
      <c r="Q1347" s="11" t="s">
        <v>44</v>
      </c>
      <c r="R1347" s="11" t="s">
        <v>45</v>
      </c>
      <c r="S1347" s="11" t="s">
        <v>83</v>
      </c>
      <c r="T1347" s="11" t="s">
        <v>44</v>
      </c>
      <c r="U1347" s="11" t="s">
        <v>45</v>
      </c>
      <c r="V1347" s="24">
        <v>45390</v>
      </c>
      <c r="W1347" s="11" t="s">
        <v>46</v>
      </c>
      <c r="X1347" s="11" t="s">
        <v>303</v>
      </c>
      <c r="Y1347" s="11" t="s">
        <v>68</v>
      </c>
      <c r="Z1347" s="11">
        <v>81999615364</v>
      </c>
      <c r="AA1347" s="11" t="s">
        <v>4101</v>
      </c>
      <c r="AB1347" s="11" t="s">
        <v>98</v>
      </c>
      <c r="AC1347" s="11"/>
      <c r="AD1347" s="11" t="b">
        <v>0</v>
      </c>
      <c r="AF1347" s="11" t="s">
        <v>4305</v>
      </c>
      <c r="AG1347" s="11" t="s">
        <v>4306</v>
      </c>
      <c r="AH1347" s="11"/>
      <c r="AI1347" s="264">
        <f t="shared" si="1"/>
        <v>45474</v>
      </c>
    </row>
    <row r="1348" ht="12.5" spans="1:35">
      <c r="A1348" s="177">
        <v>45390.4134032176</v>
      </c>
      <c r="B1348" s="11" t="s">
        <v>4293</v>
      </c>
      <c r="C1348" s="19">
        <v>11088441467</v>
      </c>
      <c r="D1348" s="19">
        <v>706204598670268</v>
      </c>
      <c r="E1348" s="18" t="s">
        <v>4307</v>
      </c>
      <c r="F1348" s="11" t="s">
        <v>225</v>
      </c>
      <c r="G1348" s="11" t="s">
        <v>54</v>
      </c>
      <c r="H1348" s="24">
        <v>34603</v>
      </c>
      <c r="I1348" s="222">
        <v>45102</v>
      </c>
      <c r="J1348" s="11" t="s">
        <v>42</v>
      </c>
      <c r="K1348" s="108" t="s">
        <v>282</v>
      </c>
      <c r="N1348" s="11" t="s">
        <v>95</v>
      </c>
      <c r="O1348" s="11" t="s">
        <v>96</v>
      </c>
      <c r="P1348" s="11" t="s">
        <v>56</v>
      </c>
      <c r="Q1348" s="11" t="s">
        <v>45</v>
      </c>
      <c r="R1348" s="11" t="s">
        <v>45</v>
      </c>
      <c r="S1348" s="11" t="s">
        <v>45</v>
      </c>
      <c r="T1348" s="11" t="s">
        <v>44</v>
      </c>
      <c r="U1348" s="11" t="s">
        <v>45</v>
      </c>
      <c r="V1348" s="24">
        <v>45390</v>
      </c>
      <c r="W1348" s="11" t="s">
        <v>46</v>
      </c>
      <c r="X1348" s="11" t="s">
        <v>97</v>
      </c>
      <c r="Y1348" s="11" t="s">
        <v>97</v>
      </c>
      <c r="Z1348" s="11">
        <v>81993805933</v>
      </c>
      <c r="AA1348" s="11" t="s">
        <v>105</v>
      </c>
      <c r="AB1348" s="11" t="s">
        <v>49</v>
      </c>
      <c r="AC1348" s="11" t="s">
        <v>84</v>
      </c>
      <c r="AD1348" s="11" t="b">
        <v>1</v>
      </c>
      <c r="AE1348" s="11" t="s">
        <v>137</v>
      </c>
      <c r="AF1348" s="11" t="s">
        <v>4308</v>
      </c>
      <c r="AG1348" s="11"/>
      <c r="AH1348" s="63" t="s">
        <v>4309</v>
      </c>
      <c r="AI1348" s="264">
        <f t="shared" si="1"/>
        <v>45382</v>
      </c>
    </row>
    <row r="1349" ht="12.5" spans="1:35">
      <c r="A1349" s="177">
        <v>45390.4529895949</v>
      </c>
      <c r="B1349" s="11" t="s">
        <v>4310</v>
      </c>
      <c r="C1349" s="19">
        <v>16611354476</v>
      </c>
      <c r="D1349" s="19">
        <v>709201274976134</v>
      </c>
      <c r="E1349" s="18" t="s">
        <v>4311</v>
      </c>
      <c r="F1349" s="11" t="s">
        <v>40</v>
      </c>
      <c r="G1349" s="11" t="s">
        <v>54</v>
      </c>
      <c r="H1349" s="24">
        <v>38067</v>
      </c>
      <c r="I1349" s="222">
        <v>45332</v>
      </c>
      <c r="J1349" s="11" t="s">
        <v>42</v>
      </c>
      <c r="K1349" s="108" t="s">
        <v>399</v>
      </c>
      <c r="N1349" s="11" t="s">
        <v>43</v>
      </c>
      <c r="O1349" s="11" t="s">
        <v>44</v>
      </c>
      <c r="P1349" s="11" t="s">
        <v>44</v>
      </c>
      <c r="Q1349" s="11" t="s">
        <v>44</v>
      </c>
      <c r="R1349" s="11" t="s">
        <v>45</v>
      </c>
      <c r="S1349" s="11" t="s">
        <v>83</v>
      </c>
      <c r="T1349" s="11" t="s">
        <v>44</v>
      </c>
      <c r="U1349" s="11" t="s">
        <v>45</v>
      </c>
      <c r="V1349" s="24">
        <v>45392</v>
      </c>
      <c r="W1349" s="11" t="s">
        <v>46</v>
      </c>
      <c r="X1349" s="11" t="s">
        <v>47</v>
      </c>
      <c r="Y1349" s="11" t="s">
        <v>58</v>
      </c>
      <c r="Z1349" s="11">
        <v>81996629612</v>
      </c>
      <c r="AA1349" s="11" t="s">
        <v>91</v>
      </c>
      <c r="AB1349" s="11" t="s">
        <v>49</v>
      </c>
      <c r="AC1349" s="11" t="s">
        <v>50</v>
      </c>
      <c r="AD1349" s="11" t="b">
        <v>1</v>
      </c>
      <c r="AE1349" s="11" t="s">
        <v>137</v>
      </c>
      <c r="AF1349" s="11" t="s">
        <v>4312</v>
      </c>
      <c r="AG1349" s="11" t="s">
        <v>4313</v>
      </c>
      <c r="AH1349" s="11"/>
      <c r="AI1349" s="264">
        <f t="shared" si="1"/>
        <v>45612</v>
      </c>
    </row>
    <row r="1350" ht="12.5" spans="1:35">
      <c r="A1350" s="177">
        <v>45390.6497510185</v>
      </c>
      <c r="B1350" s="11" t="s">
        <v>4314</v>
      </c>
      <c r="C1350" s="277" t="s">
        <v>4315</v>
      </c>
      <c r="D1350" s="19">
        <v>701809220718672</v>
      </c>
      <c r="E1350" s="18" t="s">
        <v>4316</v>
      </c>
      <c r="F1350" s="11" t="s">
        <v>40</v>
      </c>
      <c r="G1350" s="11" t="s">
        <v>41</v>
      </c>
      <c r="H1350" s="24">
        <v>31743</v>
      </c>
      <c r="I1350" s="222">
        <v>45235</v>
      </c>
      <c r="J1350" s="11" t="s">
        <v>42</v>
      </c>
      <c r="K1350" s="108" t="s">
        <v>202</v>
      </c>
      <c r="N1350" s="11" t="s">
        <v>43</v>
      </c>
      <c r="O1350" s="11" t="s">
        <v>44</v>
      </c>
      <c r="P1350" s="11" t="s">
        <v>44</v>
      </c>
      <c r="Q1350" s="11" t="s">
        <v>44</v>
      </c>
      <c r="R1350" s="11" t="s">
        <v>45</v>
      </c>
      <c r="S1350" s="11" t="s">
        <v>83</v>
      </c>
      <c r="T1350" s="11" t="s">
        <v>44</v>
      </c>
      <c r="U1350" s="11" t="s">
        <v>45</v>
      </c>
      <c r="V1350" s="24">
        <v>45394</v>
      </c>
      <c r="W1350" s="11" t="s">
        <v>46</v>
      </c>
      <c r="X1350" s="11" t="s">
        <v>47</v>
      </c>
      <c r="Y1350" s="11" t="s">
        <v>58</v>
      </c>
      <c r="Z1350" s="11">
        <v>81997987041</v>
      </c>
      <c r="AA1350" s="11" t="s">
        <v>4097</v>
      </c>
      <c r="AB1350" s="11" t="s">
        <v>98</v>
      </c>
      <c r="AC1350" s="11"/>
      <c r="AD1350" s="11" t="b">
        <v>0</v>
      </c>
      <c r="AF1350" s="11" t="s">
        <v>4317</v>
      </c>
      <c r="AG1350" s="11" t="s">
        <v>4318</v>
      </c>
      <c r="AH1350" s="11"/>
      <c r="AI1350" s="264">
        <f t="shared" si="1"/>
        <v>45515</v>
      </c>
    </row>
    <row r="1351" ht="12.5" spans="1:35">
      <c r="A1351" s="177">
        <v>45390.6780062037</v>
      </c>
      <c r="B1351" s="11" t="s">
        <v>4293</v>
      </c>
      <c r="C1351" s="19">
        <v>11088441467</v>
      </c>
      <c r="D1351" s="19">
        <v>706204598670268</v>
      </c>
      <c r="E1351" s="18" t="s">
        <v>4319</v>
      </c>
      <c r="F1351" s="11" t="s">
        <v>225</v>
      </c>
      <c r="G1351" s="11" t="s">
        <v>54</v>
      </c>
      <c r="H1351" s="24">
        <v>34603</v>
      </c>
      <c r="I1351" s="222">
        <v>45102</v>
      </c>
      <c r="J1351" s="11" t="s">
        <v>42</v>
      </c>
      <c r="K1351" s="108" t="s">
        <v>282</v>
      </c>
      <c r="N1351" s="11" t="s">
        <v>95</v>
      </c>
      <c r="O1351" s="11" t="s">
        <v>44</v>
      </c>
      <c r="P1351" s="11" t="s">
        <v>44</v>
      </c>
      <c r="Q1351" s="11" t="s">
        <v>44</v>
      </c>
      <c r="R1351" s="11" t="s">
        <v>45</v>
      </c>
      <c r="S1351" s="11" t="s">
        <v>45</v>
      </c>
      <c r="T1351" s="11" t="s">
        <v>44</v>
      </c>
      <c r="U1351" s="11" t="s">
        <v>45</v>
      </c>
      <c r="V1351" s="24">
        <v>45401</v>
      </c>
      <c r="W1351" s="11" t="s">
        <v>46</v>
      </c>
      <c r="X1351" s="11" t="s">
        <v>97</v>
      </c>
      <c r="Y1351" s="11" t="s">
        <v>97</v>
      </c>
      <c r="Z1351" s="11">
        <v>81993805933</v>
      </c>
      <c r="AA1351" s="11" t="s">
        <v>105</v>
      </c>
      <c r="AB1351" s="11" t="s">
        <v>98</v>
      </c>
      <c r="AC1351" s="11"/>
      <c r="AD1351" s="11" t="b">
        <v>0</v>
      </c>
      <c r="AF1351" s="11" t="s">
        <v>4320</v>
      </c>
      <c r="AG1351" s="11" t="s">
        <v>4321</v>
      </c>
      <c r="AH1351" s="11"/>
      <c r="AI1351" s="264">
        <f t="shared" si="1"/>
        <v>45382</v>
      </c>
    </row>
    <row r="1352" ht="12.5" spans="1:35">
      <c r="A1352" s="177">
        <v>45390.8662903935</v>
      </c>
      <c r="B1352" s="11" t="s">
        <v>3423</v>
      </c>
      <c r="C1352" s="19">
        <v>12912334403</v>
      </c>
      <c r="D1352" s="19">
        <v>707105809407820</v>
      </c>
      <c r="E1352" s="18" t="s">
        <v>4322</v>
      </c>
      <c r="F1352" s="11" t="s">
        <v>40</v>
      </c>
      <c r="G1352" s="11" t="s">
        <v>88</v>
      </c>
      <c r="H1352" s="24">
        <v>36053</v>
      </c>
      <c r="I1352" s="232">
        <v>45230</v>
      </c>
      <c r="J1352" s="11" t="s">
        <v>42</v>
      </c>
      <c r="K1352" s="108" t="s">
        <v>4323</v>
      </c>
      <c r="N1352" s="11" t="s">
        <v>43</v>
      </c>
      <c r="O1352" s="11" t="s">
        <v>44</v>
      </c>
      <c r="P1352" s="11" t="s">
        <v>44</v>
      </c>
      <c r="Q1352" s="11" t="s">
        <v>44</v>
      </c>
      <c r="R1352" s="11" t="s">
        <v>45</v>
      </c>
      <c r="S1352" s="11" t="s">
        <v>44</v>
      </c>
      <c r="T1352" s="11" t="s">
        <v>44</v>
      </c>
      <c r="U1352" s="11" t="s">
        <v>45</v>
      </c>
      <c r="V1352" s="24">
        <v>45391</v>
      </c>
      <c r="W1352" s="11" t="s">
        <v>46</v>
      </c>
      <c r="X1352" s="11" t="s">
        <v>203</v>
      </c>
      <c r="Y1352" s="11" t="s">
        <v>58</v>
      </c>
      <c r="Z1352" s="11">
        <v>81989668159</v>
      </c>
      <c r="AA1352" s="11" t="s">
        <v>1360</v>
      </c>
      <c r="AB1352" s="11" t="s">
        <v>49</v>
      </c>
      <c r="AC1352" s="11" t="s">
        <v>84</v>
      </c>
      <c r="AD1352" s="11" t="b">
        <v>1</v>
      </c>
      <c r="AE1352" s="11" t="s">
        <v>137</v>
      </c>
      <c r="AF1352" s="11" t="s">
        <v>4324</v>
      </c>
      <c r="AG1352" s="11"/>
      <c r="AH1352" s="11" t="s">
        <v>4325</v>
      </c>
      <c r="AI1352" s="265">
        <f t="shared" si="1"/>
        <v>45510</v>
      </c>
    </row>
    <row r="1353" ht="12.5" spans="1:35">
      <c r="A1353" s="177">
        <v>45391.3367684259</v>
      </c>
      <c r="B1353" s="11" t="s">
        <v>4326</v>
      </c>
      <c r="C1353" s="19">
        <v>12109949414</v>
      </c>
      <c r="D1353" s="19">
        <v>708601593540986</v>
      </c>
      <c r="E1353" s="18" t="s">
        <v>4327</v>
      </c>
      <c r="F1353" s="11" t="s">
        <v>40</v>
      </c>
      <c r="G1353" s="11" t="s">
        <v>54</v>
      </c>
      <c r="H1353" s="24">
        <v>35531</v>
      </c>
      <c r="I1353" s="222">
        <v>45321</v>
      </c>
      <c r="J1353" s="11" t="s">
        <v>42</v>
      </c>
      <c r="K1353" s="108" t="s">
        <v>63</v>
      </c>
      <c r="N1353" s="11" t="s">
        <v>43</v>
      </c>
      <c r="O1353" s="11" t="s">
        <v>44</v>
      </c>
      <c r="P1353" s="11" t="s">
        <v>44</v>
      </c>
      <c r="Q1353" s="11" t="s">
        <v>45</v>
      </c>
      <c r="R1353" s="11" t="s">
        <v>45</v>
      </c>
      <c r="S1353" s="11" t="s">
        <v>83</v>
      </c>
      <c r="T1353" s="11" t="s">
        <v>44</v>
      </c>
      <c r="U1353" s="11" t="s">
        <v>44</v>
      </c>
      <c r="W1353" s="11" t="s">
        <v>46</v>
      </c>
      <c r="X1353" s="254" t="s">
        <v>67</v>
      </c>
      <c r="Y1353" s="11" t="s">
        <v>58</v>
      </c>
      <c r="Z1353" s="11">
        <v>81992808416</v>
      </c>
      <c r="AA1353" s="11" t="s">
        <v>105</v>
      </c>
      <c r="AB1353" s="11"/>
      <c r="AC1353" s="11"/>
      <c r="AD1353" s="11" t="b">
        <v>0</v>
      </c>
      <c r="AF1353" s="11"/>
      <c r="AG1353" s="11"/>
      <c r="AH1353" s="11"/>
      <c r="AI1353" s="264">
        <f t="shared" si="1"/>
        <v>45601</v>
      </c>
    </row>
    <row r="1354" ht="12.5" spans="1:35">
      <c r="A1354" s="177">
        <v>45391.4080335648</v>
      </c>
      <c r="B1354" s="11" t="s">
        <v>3423</v>
      </c>
      <c r="C1354" s="19">
        <v>12912334403</v>
      </c>
      <c r="D1354" s="19">
        <v>707105809407820</v>
      </c>
      <c r="E1354" s="18" t="s">
        <v>4328</v>
      </c>
      <c r="F1354" s="11" t="s">
        <v>40</v>
      </c>
      <c r="G1354" s="11" t="s">
        <v>88</v>
      </c>
      <c r="H1354" s="24">
        <v>36053</v>
      </c>
      <c r="I1354" s="232">
        <v>45230</v>
      </c>
      <c r="J1354" s="11" t="s">
        <v>42</v>
      </c>
      <c r="K1354" s="108" t="s">
        <v>4323</v>
      </c>
      <c r="N1354" s="11" t="s">
        <v>95</v>
      </c>
      <c r="O1354" s="11" t="s">
        <v>44</v>
      </c>
      <c r="P1354" s="11" t="s">
        <v>44</v>
      </c>
      <c r="Q1354" s="11" t="s">
        <v>44</v>
      </c>
      <c r="R1354" s="11" t="s">
        <v>45</v>
      </c>
      <c r="S1354" s="11" t="s">
        <v>45</v>
      </c>
      <c r="T1354" s="11" t="s">
        <v>44</v>
      </c>
      <c r="U1354" s="11" t="s">
        <v>45</v>
      </c>
      <c r="V1354" s="24">
        <v>45393</v>
      </c>
      <c r="W1354" s="11" t="s">
        <v>46</v>
      </c>
      <c r="X1354" s="11" t="s">
        <v>97</v>
      </c>
      <c r="Y1354" s="11" t="s">
        <v>97</v>
      </c>
      <c r="Z1354" s="11">
        <v>81989668159</v>
      </c>
      <c r="AA1354" s="11" t="s">
        <v>105</v>
      </c>
      <c r="AB1354" s="11" t="s">
        <v>49</v>
      </c>
      <c r="AC1354" s="11" t="s">
        <v>256</v>
      </c>
      <c r="AD1354" s="11" t="b">
        <v>1</v>
      </c>
      <c r="AE1354" s="231" t="s">
        <v>137</v>
      </c>
      <c r="AF1354" s="11" t="s">
        <v>4329</v>
      </c>
      <c r="AG1354" s="11"/>
      <c r="AH1354" s="11" t="s">
        <v>4330</v>
      </c>
      <c r="AI1354" s="265">
        <f t="shared" si="1"/>
        <v>45510</v>
      </c>
    </row>
    <row r="1355" ht="12.5" spans="1:35">
      <c r="A1355" s="177">
        <v>45391.8195654861</v>
      </c>
      <c r="B1355" s="11" t="s">
        <v>4331</v>
      </c>
      <c r="C1355" s="277" t="s">
        <v>4332</v>
      </c>
      <c r="D1355" s="19">
        <v>700503594407756</v>
      </c>
      <c r="E1355" s="18" t="s">
        <v>4333</v>
      </c>
      <c r="F1355" s="11" t="s">
        <v>225</v>
      </c>
      <c r="G1355" s="11" t="s">
        <v>41</v>
      </c>
      <c r="H1355" s="24">
        <v>31736</v>
      </c>
      <c r="I1355" s="222">
        <v>45202</v>
      </c>
      <c r="J1355" s="11" t="s">
        <v>42</v>
      </c>
      <c r="K1355" s="108" t="s">
        <v>63</v>
      </c>
      <c r="N1355" s="11" t="s">
        <v>43</v>
      </c>
      <c r="O1355" s="11" t="s">
        <v>65</v>
      </c>
      <c r="P1355" s="11" t="s">
        <v>66</v>
      </c>
      <c r="Q1355" s="11" t="s">
        <v>45</v>
      </c>
      <c r="R1355" s="11" t="s">
        <v>45</v>
      </c>
      <c r="S1355" s="11" t="s">
        <v>45</v>
      </c>
      <c r="T1355" s="11" t="s">
        <v>44</v>
      </c>
      <c r="U1355" s="11" t="s">
        <v>45</v>
      </c>
      <c r="V1355" s="24">
        <v>45392</v>
      </c>
      <c r="W1355" s="11" t="s">
        <v>46</v>
      </c>
      <c r="X1355" s="11" t="s">
        <v>203</v>
      </c>
      <c r="Y1355" s="11" t="s">
        <v>58</v>
      </c>
      <c r="Z1355" s="11">
        <v>81996443303</v>
      </c>
      <c r="AA1355" s="11" t="s">
        <v>105</v>
      </c>
      <c r="AB1355" s="11" t="s">
        <v>98</v>
      </c>
      <c r="AC1355" s="11"/>
      <c r="AD1355" s="11" t="b">
        <v>0</v>
      </c>
      <c r="AF1355" s="11" t="s">
        <v>4334</v>
      </c>
      <c r="AG1355" s="11" t="s">
        <v>4335</v>
      </c>
      <c r="AH1355" s="11"/>
      <c r="AI1355" s="264">
        <f t="shared" si="1"/>
        <v>45482</v>
      </c>
    </row>
    <row r="1356" ht="12.5" spans="1:35">
      <c r="A1356" s="177">
        <v>45391.8340710417</v>
      </c>
      <c r="B1356" s="11" t="s">
        <v>2385</v>
      </c>
      <c r="C1356" s="19">
        <v>71093916478</v>
      </c>
      <c r="D1356" s="19">
        <v>708206629187642</v>
      </c>
      <c r="E1356" s="18" t="s">
        <v>4336</v>
      </c>
      <c r="F1356" s="11" t="s">
        <v>40</v>
      </c>
      <c r="G1356" s="11" t="s">
        <v>83</v>
      </c>
      <c r="H1356" s="24">
        <v>37567</v>
      </c>
      <c r="I1356" s="222">
        <v>45166</v>
      </c>
      <c r="J1356" s="11" t="s">
        <v>42</v>
      </c>
      <c r="K1356" s="108" t="s">
        <v>4337</v>
      </c>
      <c r="N1356" s="11" t="s">
        <v>43</v>
      </c>
      <c r="O1356" s="11" t="s">
        <v>65</v>
      </c>
      <c r="P1356" s="11" t="s">
        <v>66</v>
      </c>
      <c r="Q1356" s="11" t="s">
        <v>44</v>
      </c>
      <c r="R1356" s="11" t="s">
        <v>45</v>
      </c>
      <c r="S1356" s="11" t="s">
        <v>83</v>
      </c>
      <c r="T1356" s="11" t="s">
        <v>44</v>
      </c>
      <c r="U1356" s="11" t="s">
        <v>45</v>
      </c>
      <c r="V1356" s="24">
        <v>45392</v>
      </c>
      <c r="W1356" s="11" t="s">
        <v>46</v>
      </c>
      <c r="X1356" s="11" t="s">
        <v>203</v>
      </c>
      <c r="Y1356" s="11" t="s">
        <v>68</v>
      </c>
      <c r="Z1356" s="11">
        <v>81996694014</v>
      </c>
      <c r="AA1356" s="11" t="s">
        <v>4101</v>
      </c>
      <c r="AB1356" s="11" t="s">
        <v>49</v>
      </c>
      <c r="AC1356" s="11" t="s">
        <v>50</v>
      </c>
      <c r="AD1356" s="11" t="b">
        <v>0</v>
      </c>
      <c r="AF1356" s="11" t="s">
        <v>4338</v>
      </c>
      <c r="AG1356" s="11" t="s">
        <v>4339</v>
      </c>
      <c r="AH1356" s="11"/>
      <c r="AI1356" s="264">
        <f t="shared" si="1"/>
        <v>45446</v>
      </c>
    </row>
    <row r="1357" ht="12.5" spans="1:35">
      <c r="A1357" s="177">
        <v>45392.4535860648</v>
      </c>
      <c r="B1357" s="11" t="s">
        <v>4310</v>
      </c>
      <c r="C1357" s="19">
        <v>16611354476</v>
      </c>
      <c r="D1357" s="19">
        <v>709201274976134</v>
      </c>
      <c r="E1357" s="18" t="s">
        <v>4340</v>
      </c>
      <c r="F1357" s="11" t="s">
        <v>40</v>
      </c>
      <c r="G1357" s="11" t="s">
        <v>54</v>
      </c>
      <c r="H1357" s="24">
        <v>38067</v>
      </c>
      <c r="I1357" s="222">
        <v>45332</v>
      </c>
      <c r="J1357" s="11" t="s">
        <v>42</v>
      </c>
      <c r="K1357" s="108" t="s">
        <v>399</v>
      </c>
      <c r="N1357" s="11" t="s">
        <v>95</v>
      </c>
      <c r="O1357" s="11" t="s">
        <v>44</v>
      </c>
      <c r="P1357" s="11" t="s">
        <v>44</v>
      </c>
      <c r="Q1357" s="11" t="s">
        <v>45</v>
      </c>
      <c r="R1357" s="11" t="s">
        <v>45</v>
      </c>
      <c r="S1357" s="11" t="s">
        <v>83</v>
      </c>
      <c r="T1357" s="11" t="s">
        <v>44</v>
      </c>
      <c r="U1357" s="11" t="s">
        <v>44</v>
      </c>
      <c r="W1357" s="11" t="s">
        <v>46</v>
      </c>
      <c r="X1357" s="11" t="s">
        <v>97</v>
      </c>
      <c r="Y1357" s="11" t="s">
        <v>97</v>
      </c>
      <c r="Z1357" s="11">
        <v>81996629612</v>
      </c>
      <c r="AA1357" s="11" t="s">
        <v>115</v>
      </c>
      <c r="AB1357" s="11"/>
      <c r="AC1357" s="11"/>
      <c r="AD1357" s="11" t="b">
        <v>0</v>
      </c>
      <c r="AF1357" s="11"/>
      <c r="AG1357" s="11"/>
      <c r="AH1357" s="11"/>
      <c r="AI1357" s="264">
        <f t="shared" si="1"/>
        <v>45612</v>
      </c>
    </row>
    <row r="1358" ht="12.5" spans="1:35">
      <c r="A1358" s="177">
        <v>45392.6365817361</v>
      </c>
      <c r="B1358" s="11" t="s">
        <v>2385</v>
      </c>
      <c r="C1358" s="19">
        <v>71093916478</v>
      </c>
      <c r="D1358" s="19">
        <v>708206629187642</v>
      </c>
      <c r="F1358" s="11" t="s">
        <v>40</v>
      </c>
      <c r="G1358" s="11" t="s">
        <v>54</v>
      </c>
      <c r="H1358" s="24">
        <v>37567</v>
      </c>
      <c r="I1358" s="222">
        <v>45166</v>
      </c>
      <c r="J1358" s="11" t="s">
        <v>42</v>
      </c>
      <c r="K1358" s="108" t="s">
        <v>4337</v>
      </c>
      <c r="N1358" s="11" t="s">
        <v>95</v>
      </c>
      <c r="O1358" s="11" t="s">
        <v>44</v>
      </c>
      <c r="P1358" s="11" t="s">
        <v>44</v>
      </c>
      <c r="Q1358" s="11" t="s">
        <v>45</v>
      </c>
      <c r="R1358" s="11" t="s">
        <v>45</v>
      </c>
      <c r="S1358" s="11" t="s">
        <v>45</v>
      </c>
      <c r="T1358" s="40" t="s">
        <v>4341</v>
      </c>
      <c r="U1358" s="11" t="s">
        <v>44</v>
      </c>
      <c r="W1358" s="11" t="s">
        <v>57</v>
      </c>
      <c r="X1358" s="11" t="s">
        <v>97</v>
      </c>
      <c r="Y1358" s="11" t="s">
        <v>97</v>
      </c>
      <c r="Z1358" s="11">
        <v>81996694014</v>
      </c>
      <c r="AA1358" s="11" t="s">
        <v>115</v>
      </c>
      <c r="AB1358" s="11"/>
      <c r="AC1358" s="11"/>
      <c r="AD1358" s="11" t="b">
        <v>0</v>
      </c>
      <c r="AF1358" s="11"/>
      <c r="AG1358" s="11"/>
      <c r="AH1358" s="11"/>
      <c r="AI1358" s="264">
        <f t="shared" si="1"/>
        <v>45446</v>
      </c>
    </row>
    <row r="1359" ht="12.5" spans="1:35">
      <c r="A1359" s="177">
        <v>45392.6536102431</v>
      </c>
      <c r="B1359" s="11" t="s">
        <v>2385</v>
      </c>
      <c r="C1359" s="19">
        <v>71093916478</v>
      </c>
      <c r="D1359" s="19">
        <v>708206629187642</v>
      </c>
      <c r="F1359" s="11" t="s">
        <v>40</v>
      </c>
      <c r="G1359" s="11" t="s">
        <v>54</v>
      </c>
      <c r="H1359" s="24">
        <v>45392</v>
      </c>
      <c r="I1359" s="222">
        <v>45166</v>
      </c>
      <c r="J1359" s="11" t="s">
        <v>42</v>
      </c>
      <c r="K1359" s="108" t="s">
        <v>4342</v>
      </c>
      <c r="N1359" s="11" t="s">
        <v>43</v>
      </c>
      <c r="O1359" s="11" t="s">
        <v>44</v>
      </c>
      <c r="P1359" s="11" t="s">
        <v>44</v>
      </c>
      <c r="Q1359" s="11" t="s">
        <v>45</v>
      </c>
      <c r="R1359" s="11" t="s">
        <v>45</v>
      </c>
      <c r="S1359" s="11" t="s">
        <v>45</v>
      </c>
      <c r="T1359" s="11" t="s">
        <v>44</v>
      </c>
      <c r="U1359" s="11" t="s">
        <v>45</v>
      </c>
      <c r="V1359" s="24">
        <v>45393</v>
      </c>
      <c r="W1359" s="11" t="s">
        <v>57</v>
      </c>
      <c r="X1359" s="11" t="s">
        <v>47</v>
      </c>
      <c r="Y1359" s="11" t="s">
        <v>58</v>
      </c>
      <c r="Z1359" s="11">
        <v>81996694014</v>
      </c>
      <c r="AA1359" s="11" t="s">
        <v>4088</v>
      </c>
      <c r="AB1359" s="11" t="s">
        <v>98</v>
      </c>
      <c r="AC1359" s="11"/>
      <c r="AD1359" s="11" t="b">
        <v>0</v>
      </c>
      <c r="AF1359" s="11" t="s">
        <v>4343</v>
      </c>
      <c r="AG1359" s="11"/>
      <c r="AH1359" s="11"/>
      <c r="AI1359" s="264">
        <f t="shared" si="1"/>
        <v>45446</v>
      </c>
    </row>
    <row r="1360" ht="12.5" spans="1:35">
      <c r="A1360" s="177">
        <v>45393.4309706829</v>
      </c>
      <c r="B1360" s="11" t="s">
        <v>3423</v>
      </c>
      <c r="C1360" s="19">
        <v>12912334403</v>
      </c>
      <c r="D1360" s="19">
        <v>707105809407820</v>
      </c>
      <c r="F1360" s="11" t="s">
        <v>40</v>
      </c>
      <c r="G1360" s="11" t="s">
        <v>88</v>
      </c>
      <c r="H1360" s="24">
        <v>36053</v>
      </c>
      <c r="I1360" s="232">
        <v>45230</v>
      </c>
      <c r="J1360" s="11" t="s">
        <v>42</v>
      </c>
      <c r="K1360" s="108" t="s">
        <v>427</v>
      </c>
      <c r="N1360" s="11" t="s">
        <v>95</v>
      </c>
      <c r="O1360" s="11" t="s">
        <v>96</v>
      </c>
      <c r="P1360" s="11" t="s">
        <v>56</v>
      </c>
      <c r="Q1360" s="11" t="s">
        <v>44</v>
      </c>
      <c r="R1360" s="11" t="s">
        <v>45</v>
      </c>
      <c r="S1360" s="11" t="s">
        <v>45</v>
      </c>
      <c r="T1360" s="11" t="s">
        <v>44</v>
      </c>
      <c r="U1360" s="11" t="s">
        <v>45</v>
      </c>
      <c r="V1360" s="24">
        <v>45394</v>
      </c>
      <c r="W1360" s="11" t="s">
        <v>46</v>
      </c>
      <c r="X1360" s="11" t="s">
        <v>97</v>
      </c>
      <c r="Y1360" s="11" t="s">
        <v>97</v>
      </c>
      <c r="Z1360" s="11">
        <v>81989668159</v>
      </c>
      <c r="AA1360" s="11" t="s">
        <v>1360</v>
      </c>
      <c r="AB1360" s="11" t="s">
        <v>49</v>
      </c>
      <c r="AC1360" s="11" t="s">
        <v>3892</v>
      </c>
      <c r="AD1360" s="11" t="b">
        <v>1</v>
      </c>
      <c r="AE1360" s="11" t="s">
        <v>137</v>
      </c>
      <c r="AF1360" s="11" t="s">
        <v>4344</v>
      </c>
      <c r="AG1360" s="11" t="s">
        <v>4345</v>
      </c>
      <c r="AH1360" s="11" t="s">
        <v>4346</v>
      </c>
      <c r="AI1360" s="265">
        <f t="shared" si="1"/>
        <v>45510</v>
      </c>
    </row>
    <row r="1361" ht="12.5" spans="1:35">
      <c r="A1361" s="177">
        <v>45393.5334461111</v>
      </c>
      <c r="B1361" s="11" t="s">
        <v>4310</v>
      </c>
      <c r="C1361" s="19">
        <v>16611354476</v>
      </c>
      <c r="D1361" s="19">
        <v>709201274976134</v>
      </c>
      <c r="E1361" s="18" t="s">
        <v>4347</v>
      </c>
      <c r="F1361" s="11" t="s">
        <v>40</v>
      </c>
      <c r="G1361" s="11" t="s">
        <v>54</v>
      </c>
      <c r="H1361" s="24">
        <v>38067</v>
      </c>
      <c r="I1361" s="222">
        <v>45332</v>
      </c>
      <c r="J1361" s="11" t="s">
        <v>42</v>
      </c>
      <c r="K1361" s="108" t="s">
        <v>399</v>
      </c>
      <c r="N1361" s="11" t="s">
        <v>43</v>
      </c>
      <c r="O1361" s="11" t="s">
        <v>44</v>
      </c>
      <c r="P1361" s="11" t="s">
        <v>44</v>
      </c>
      <c r="Q1361" s="11" t="s">
        <v>45</v>
      </c>
      <c r="R1361" s="11" t="s">
        <v>45</v>
      </c>
      <c r="S1361" s="11" t="s">
        <v>44</v>
      </c>
      <c r="T1361" s="11" t="s">
        <v>4348</v>
      </c>
      <c r="U1361" s="11" t="s">
        <v>45</v>
      </c>
      <c r="V1361" s="24">
        <v>45394</v>
      </c>
      <c r="W1361" s="11" t="s">
        <v>46</v>
      </c>
      <c r="X1361" s="11" t="s">
        <v>47</v>
      </c>
      <c r="Y1361" s="11" t="s">
        <v>58</v>
      </c>
      <c r="Z1361" s="11">
        <v>81996629612</v>
      </c>
      <c r="AA1361" s="11" t="s">
        <v>1360</v>
      </c>
      <c r="AB1361" s="11" t="s">
        <v>98</v>
      </c>
      <c r="AC1361" s="11"/>
      <c r="AD1361" s="11" t="b">
        <v>0</v>
      </c>
      <c r="AF1361" s="11" t="s">
        <v>4349</v>
      </c>
      <c r="AG1361" s="11" t="s">
        <v>4350</v>
      </c>
      <c r="AH1361" s="11"/>
      <c r="AI1361" s="264">
        <f t="shared" si="1"/>
        <v>45612</v>
      </c>
    </row>
    <row r="1362" ht="12.5" spans="1:35">
      <c r="A1362" s="177">
        <v>45394.3339452662</v>
      </c>
      <c r="B1362" s="11" t="s">
        <v>4082</v>
      </c>
      <c r="C1362" s="19">
        <v>51035953897</v>
      </c>
      <c r="D1362" s="19">
        <v>700001740952906</v>
      </c>
      <c r="E1362" s="18" t="s">
        <v>4351</v>
      </c>
      <c r="F1362" s="11" t="s">
        <v>40</v>
      </c>
      <c r="G1362" s="11" t="s">
        <v>54</v>
      </c>
      <c r="H1362" s="24">
        <v>35764</v>
      </c>
      <c r="I1362" s="222">
        <v>45137</v>
      </c>
      <c r="J1362" s="11" t="s">
        <v>42</v>
      </c>
      <c r="K1362" s="108" t="s">
        <v>55</v>
      </c>
      <c r="N1362" s="11" t="s">
        <v>43</v>
      </c>
      <c r="O1362" s="11" t="s">
        <v>65</v>
      </c>
      <c r="P1362" s="11" t="s">
        <v>66</v>
      </c>
      <c r="Q1362" s="11" t="s">
        <v>44</v>
      </c>
      <c r="R1362" s="11" t="s">
        <v>45</v>
      </c>
      <c r="S1362" s="11" t="s">
        <v>45</v>
      </c>
      <c r="T1362" s="11" t="s">
        <v>44</v>
      </c>
      <c r="U1362" s="11" t="s">
        <v>45</v>
      </c>
      <c r="V1362" s="24">
        <v>45394</v>
      </c>
      <c r="W1362" s="11" t="s">
        <v>46</v>
      </c>
      <c r="X1362" s="254" t="s">
        <v>67</v>
      </c>
      <c r="Y1362" s="11" t="s">
        <v>68</v>
      </c>
      <c r="Z1362" s="11">
        <v>81991473240</v>
      </c>
      <c r="AA1362" s="11" t="s">
        <v>103</v>
      </c>
      <c r="AB1362" s="11" t="s">
        <v>49</v>
      </c>
      <c r="AC1362" s="11" t="s">
        <v>3892</v>
      </c>
      <c r="AD1362" s="11" t="b">
        <v>0</v>
      </c>
      <c r="AF1362" s="229" t="s">
        <v>4352</v>
      </c>
      <c r="AG1362" s="11" t="s">
        <v>4353</v>
      </c>
      <c r="AH1362" s="266" t="s">
        <v>4354</v>
      </c>
      <c r="AI1362" s="264">
        <f t="shared" si="1"/>
        <v>45417</v>
      </c>
    </row>
    <row r="1363" ht="12.5" spans="1:35">
      <c r="A1363" s="177">
        <v>45394.3592282523</v>
      </c>
      <c r="B1363" s="11" t="s">
        <v>2404</v>
      </c>
      <c r="C1363" s="19">
        <v>70577554492</v>
      </c>
      <c r="D1363" s="19">
        <v>707809636197614</v>
      </c>
      <c r="E1363" s="18" t="s">
        <v>4355</v>
      </c>
      <c r="F1363" s="11" t="s">
        <v>40</v>
      </c>
      <c r="G1363" s="11" t="s">
        <v>54</v>
      </c>
      <c r="H1363" s="24">
        <v>35494</v>
      </c>
      <c r="I1363" s="222">
        <v>45115</v>
      </c>
      <c r="J1363" s="11" t="s">
        <v>81</v>
      </c>
      <c r="K1363" s="108"/>
      <c r="L1363" s="11" t="s">
        <v>109</v>
      </c>
      <c r="N1363" s="11" t="s">
        <v>43</v>
      </c>
      <c r="O1363" s="11" t="s">
        <v>65</v>
      </c>
      <c r="P1363" s="11" t="s">
        <v>66</v>
      </c>
      <c r="Q1363" s="11" t="s">
        <v>44</v>
      </c>
      <c r="R1363" s="11" t="s">
        <v>45</v>
      </c>
      <c r="S1363" s="11" t="s">
        <v>45</v>
      </c>
      <c r="T1363" s="11" t="s">
        <v>44</v>
      </c>
      <c r="U1363" s="11" t="s">
        <v>45</v>
      </c>
      <c r="V1363" s="24">
        <v>45395</v>
      </c>
      <c r="W1363" s="11" t="s">
        <v>46</v>
      </c>
      <c r="X1363" s="11" t="s">
        <v>47</v>
      </c>
      <c r="Y1363" s="11" t="s">
        <v>58</v>
      </c>
      <c r="Z1363" s="11">
        <v>81979134906</v>
      </c>
      <c r="AA1363" s="11" t="s">
        <v>4097</v>
      </c>
      <c r="AB1363" s="11" t="s">
        <v>69</v>
      </c>
      <c r="AC1363" s="11"/>
      <c r="AD1363" s="11" t="b">
        <v>0</v>
      </c>
      <c r="AF1363" s="11"/>
      <c r="AG1363" s="11"/>
      <c r="AH1363" s="11"/>
      <c r="AI1363" s="264">
        <f t="shared" si="1"/>
        <v>45395</v>
      </c>
    </row>
    <row r="1364" ht="12.5" spans="1:35">
      <c r="A1364" s="177">
        <v>45394.665513287</v>
      </c>
      <c r="B1364" s="11" t="s">
        <v>3423</v>
      </c>
      <c r="C1364" s="19">
        <v>12912334403</v>
      </c>
      <c r="D1364" s="19">
        <v>707105809407820</v>
      </c>
      <c r="E1364" s="18" t="s">
        <v>4356</v>
      </c>
      <c r="F1364" s="11" t="s">
        <v>40</v>
      </c>
      <c r="G1364" s="11" t="s">
        <v>54</v>
      </c>
      <c r="H1364" s="24">
        <v>36053</v>
      </c>
      <c r="I1364" s="232">
        <v>45230</v>
      </c>
      <c r="J1364" s="11" t="s">
        <v>42</v>
      </c>
      <c r="K1364" s="108" t="s">
        <v>427</v>
      </c>
      <c r="N1364" s="11" t="s">
        <v>95</v>
      </c>
      <c r="O1364" s="11" t="s">
        <v>44</v>
      </c>
      <c r="P1364" s="11" t="s">
        <v>44</v>
      </c>
      <c r="Q1364" s="11" t="s">
        <v>44</v>
      </c>
      <c r="R1364" s="11" t="s">
        <v>45</v>
      </c>
      <c r="S1364" s="11" t="s">
        <v>45</v>
      </c>
      <c r="T1364" s="11" t="s">
        <v>4348</v>
      </c>
      <c r="U1364" s="11" t="s">
        <v>45</v>
      </c>
      <c r="V1364" s="24">
        <v>45395</v>
      </c>
      <c r="W1364" s="11" t="s">
        <v>46</v>
      </c>
      <c r="X1364" s="11" t="s">
        <v>97</v>
      </c>
      <c r="Y1364" s="11" t="s">
        <v>97</v>
      </c>
      <c r="Z1364" s="11">
        <v>81989668159</v>
      </c>
      <c r="AA1364" s="11" t="s">
        <v>3919</v>
      </c>
      <c r="AB1364" s="11" t="s">
        <v>49</v>
      </c>
      <c r="AC1364" s="11" t="s">
        <v>3892</v>
      </c>
      <c r="AD1364" s="11" t="b">
        <v>1</v>
      </c>
      <c r="AE1364" s="11" t="s">
        <v>137</v>
      </c>
      <c r="AF1364" s="11" t="s">
        <v>4357</v>
      </c>
      <c r="AG1364" s="11"/>
      <c r="AH1364" s="11" t="s">
        <v>4358</v>
      </c>
      <c r="AI1364" s="265">
        <f t="shared" si="1"/>
        <v>45510</v>
      </c>
    </row>
    <row r="1365" ht="12.5" spans="1:35">
      <c r="A1365" s="177">
        <v>45394.7547166782</v>
      </c>
      <c r="B1365" s="11" t="s">
        <v>4082</v>
      </c>
      <c r="C1365" s="19">
        <v>51035953897</v>
      </c>
      <c r="D1365" s="19">
        <v>700001740952906</v>
      </c>
      <c r="F1365" s="11" t="s">
        <v>40</v>
      </c>
      <c r="G1365" s="11" t="s">
        <v>54</v>
      </c>
      <c r="H1365" s="24">
        <v>35764</v>
      </c>
      <c r="I1365" s="222">
        <v>45137</v>
      </c>
      <c r="J1365" s="11" t="s">
        <v>42</v>
      </c>
      <c r="K1365" s="108" t="s">
        <v>55</v>
      </c>
      <c r="N1365" s="11" t="s">
        <v>95</v>
      </c>
      <c r="O1365" s="11" t="s">
        <v>127</v>
      </c>
      <c r="P1365" s="11" t="s">
        <v>44</v>
      </c>
      <c r="Q1365" s="11" t="s">
        <v>44</v>
      </c>
      <c r="R1365" s="11" t="s">
        <v>45</v>
      </c>
      <c r="S1365" s="11" t="s">
        <v>45</v>
      </c>
      <c r="T1365" s="11" t="s">
        <v>44</v>
      </c>
      <c r="U1365" s="11" t="s">
        <v>44</v>
      </c>
      <c r="W1365" s="11" t="s">
        <v>57</v>
      </c>
      <c r="X1365" s="11" t="s">
        <v>97</v>
      </c>
      <c r="Y1365" s="11" t="s">
        <v>97</v>
      </c>
      <c r="Z1365" s="11">
        <v>81991473240</v>
      </c>
      <c r="AA1365" s="11" t="s">
        <v>3919</v>
      </c>
      <c r="AB1365" s="11"/>
      <c r="AC1365" s="11"/>
      <c r="AD1365" s="11" t="b">
        <v>0</v>
      </c>
      <c r="AF1365" s="11"/>
      <c r="AG1365" s="11"/>
      <c r="AH1365" s="11"/>
      <c r="AI1365" s="264">
        <f t="shared" si="1"/>
        <v>45417</v>
      </c>
    </row>
    <row r="1366" ht="12.5" spans="1:35">
      <c r="A1366" s="177">
        <v>45395.4726898148</v>
      </c>
      <c r="B1366" s="11" t="s">
        <v>4293</v>
      </c>
      <c r="C1366" s="19">
        <v>11088441467</v>
      </c>
      <c r="D1366" s="19">
        <v>706204598670268</v>
      </c>
      <c r="E1366" s="18" t="s">
        <v>4359</v>
      </c>
      <c r="F1366" s="11" t="s">
        <v>225</v>
      </c>
      <c r="G1366" s="11" t="s">
        <v>54</v>
      </c>
      <c r="H1366" s="24">
        <v>34603</v>
      </c>
      <c r="I1366" s="222">
        <v>45102</v>
      </c>
      <c r="J1366" s="11" t="s">
        <v>42</v>
      </c>
      <c r="K1366" s="108" t="s">
        <v>4360</v>
      </c>
      <c r="N1366" s="11" t="s">
        <v>43</v>
      </c>
      <c r="O1366" s="11" t="s">
        <v>65</v>
      </c>
      <c r="P1366" s="11" t="s">
        <v>66</v>
      </c>
      <c r="Q1366" s="11" t="s">
        <v>44</v>
      </c>
      <c r="R1366" s="11" t="s">
        <v>45</v>
      </c>
      <c r="S1366" s="11" t="s">
        <v>45</v>
      </c>
      <c r="T1366" s="11" t="s">
        <v>44</v>
      </c>
      <c r="U1366" s="11" t="s">
        <v>45</v>
      </c>
      <c r="V1366" s="24">
        <v>45395</v>
      </c>
      <c r="W1366" s="11" t="s">
        <v>46</v>
      </c>
      <c r="X1366" s="11" t="s">
        <v>303</v>
      </c>
      <c r="Y1366" s="11" t="s">
        <v>68</v>
      </c>
      <c r="Z1366" s="11">
        <v>81993805933</v>
      </c>
      <c r="AA1366" s="11" t="s">
        <v>3919</v>
      </c>
      <c r="AB1366" s="11" t="s">
        <v>49</v>
      </c>
      <c r="AC1366" s="11" t="s">
        <v>3892</v>
      </c>
      <c r="AD1366" s="11" t="b">
        <v>0</v>
      </c>
      <c r="AF1366" s="11" t="s">
        <v>4361</v>
      </c>
      <c r="AG1366" s="11" t="s">
        <v>4362</v>
      </c>
      <c r="AH1366" s="11"/>
      <c r="AI1366" s="264">
        <f t="shared" si="1"/>
        <v>45382</v>
      </c>
    </row>
    <row r="1367" ht="12.5" spans="1:35">
      <c r="A1367" s="177">
        <v>45395.5030261111</v>
      </c>
      <c r="B1367" s="11" t="s">
        <v>4310</v>
      </c>
      <c r="C1367" s="19">
        <v>16611354476</v>
      </c>
      <c r="D1367" s="19">
        <v>709201274976134</v>
      </c>
      <c r="E1367" s="18" t="s">
        <v>4363</v>
      </c>
      <c r="F1367" s="11" t="s">
        <v>40</v>
      </c>
      <c r="G1367" s="11" t="s">
        <v>88</v>
      </c>
      <c r="H1367" s="24">
        <v>38067</v>
      </c>
      <c r="I1367" s="222">
        <v>45332</v>
      </c>
      <c r="J1367" s="11" t="s">
        <v>42</v>
      </c>
      <c r="K1367" s="108" t="s">
        <v>399</v>
      </c>
      <c r="N1367" s="11" t="s">
        <v>43</v>
      </c>
      <c r="O1367" s="11" t="s">
        <v>44</v>
      </c>
      <c r="P1367" s="11" t="s">
        <v>44</v>
      </c>
      <c r="Q1367" s="11" t="s">
        <v>44</v>
      </c>
      <c r="R1367" s="11" t="s">
        <v>45</v>
      </c>
      <c r="S1367" s="11" t="s">
        <v>45</v>
      </c>
      <c r="T1367" s="11" t="s">
        <v>44</v>
      </c>
      <c r="U1367" s="11" t="s">
        <v>44</v>
      </c>
      <c r="W1367" s="11" t="s">
        <v>46</v>
      </c>
      <c r="X1367" s="11" t="s">
        <v>303</v>
      </c>
      <c r="Y1367" s="11" t="s">
        <v>68</v>
      </c>
      <c r="Z1367" s="11">
        <v>81996629612</v>
      </c>
      <c r="AA1367" s="11" t="s">
        <v>3919</v>
      </c>
      <c r="AB1367" s="11"/>
      <c r="AC1367" s="11"/>
      <c r="AD1367" s="11" t="b">
        <v>0</v>
      </c>
      <c r="AF1367" s="11"/>
      <c r="AG1367" s="11"/>
      <c r="AH1367" s="11"/>
      <c r="AI1367" s="264">
        <f t="shared" si="1"/>
        <v>45612</v>
      </c>
    </row>
    <row r="1368" ht="12.5" spans="1:35">
      <c r="A1368" s="177">
        <v>45395.662531956</v>
      </c>
      <c r="B1368" s="11" t="s">
        <v>3423</v>
      </c>
      <c r="C1368" s="19">
        <v>12912334403</v>
      </c>
      <c r="D1368" s="19">
        <v>707105809407820</v>
      </c>
      <c r="F1368" s="11" t="s">
        <v>40</v>
      </c>
      <c r="G1368" s="11" t="s">
        <v>54</v>
      </c>
      <c r="H1368" s="24">
        <v>36053</v>
      </c>
      <c r="I1368" s="232">
        <v>45230</v>
      </c>
      <c r="J1368" s="11" t="s">
        <v>42</v>
      </c>
      <c r="K1368" s="108" t="s">
        <v>427</v>
      </c>
      <c r="N1368" s="11" t="s">
        <v>95</v>
      </c>
      <c r="O1368" s="11" t="s">
        <v>44</v>
      </c>
      <c r="P1368" s="11" t="s">
        <v>44</v>
      </c>
      <c r="Q1368" s="11" t="s">
        <v>44</v>
      </c>
      <c r="R1368" s="11" t="s">
        <v>45</v>
      </c>
      <c r="S1368" s="11" t="s">
        <v>45</v>
      </c>
      <c r="T1368" s="11" t="s">
        <v>44</v>
      </c>
      <c r="U1368" s="11" t="s">
        <v>45</v>
      </c>
      <c r="V1368" s="24">
        <v>45396</v>
      </c>
      <c r="W1368" s="11" t="s">
        <v>57</v>
      </c>
      <c r="X1368" s="11" t="s">
        <v>97</v>
      </c>
      <c r="Y1368" s="11" t="s">
        <v>97</v>
      </c>
      <c r="Z1368" s="11">
        <v>81989668159</v>
      </c>
      <c r="AA1368" s="11" t="s">
        <v>3919</v>
      </c>
      <c r="AB1368" s="11" t="s">
        <v>49</v>
      </c>
      <c r="AC1368" s="11" t="s">
        <v>50</v>
      </c>
      <c r="AD1368" s="11" t="b">
        <v>0</v>
      </c>
      <c r="AF1368" s="11" t="s">
        <v>4364</v>
      </c>
      <c r="AG1368" s="214" t="s">
        <v>4365</v>
      </c>
      <c r="AH1368" s="11"/>
      <c r="AI1368" s="265">
        <f t="shared" si="1"/>
        <v>45510</v>
      </c>
    </row>
    <row r="1369" ht="12.5" spans="1:35">
      <c r="A1369" s="177">
        <v>45397.3446262269</v>
      </c>
      <c r="B1369" s="11" t="s">
        <v>4366</v>
      </c>
      <c r="C1369" s="19">
        <v>10303523484</v>
      </c>
      <c r="D1369" s="19">
        <v>708008375922927</v>
      </c>
      <c r="E1369" s="18" t="s">
        <v>4367</v>
      </c>
      <c r="F1369" s="11" t="s">
        <v>40</v>
      </c>
      <c r="G1369" s="11" t="s">
        <v>54</v>
      </c>
      <c r="H1369" s="24">
        <v>34678</v>
      </c>
      <c r="I1369" s="222">
        <v>45137</v>
      </c>
      <c r="J1369" s="11" t="s">
        <v>81</v>
      </c>
      <c r="K1369" s="108"/>
      <c r="L1369" s="11" t="s">
        <v>109</v>
      </c>
      <c r="N1369" s="11" t="s">
        <v>43</v>
      </c>
      <c r="O1369" s="11" t="s">
        <v>44</v>
      </c>
      <c r="P1369" s="11" t="s">
        <v>44</v>
      </c>
      <c r="Q1369" s="11" t="s">
        <v>44</v>
      </c>
      <c r="R1369" s="11" t="s">
        <v>45</v>
      </c>
      <c r="S1369" s="11" t="s">
        <v>83</v>
      </c>
      <c r="T1369" s="11" t="s">
        <v>44</v>
      </c>
      <c r="U1369" s="11" t="s">
        <v>45</v>
      </c>
      <c r="V1369" s="24">
        <v>45397</v>
      </c>
      <c r="W1369" s="11" t="s">
        <v>46</v>
      </c>
      <c r="X1369" s="254" t="s">
        <v>67</v>
      </c>
      <c r="Y1369" s="11" t="s">
        <v>58</v>
      </c>
      <c r="Z1369" s="11">
        <v>81995151718</v>
      </c>
      <c r="AA1369" s="11" t="s">
        <v>115</v>
      </c>
      <c r="AB1369" s="11" t="s">
        <v>49</v>
      </c>
      <c r="AC1369" s="11" t="s">
        <v>50</v>
      </c>
      <c r="AD1369" s="11" t="b">
        <v>0</v>
      </c>
      <c r="AF1369" s="244" t="s">
        <v>4368</v>
      </c>
      <c r="AG1369" s="11"/>
      <c r="AH1369" s="11"/>
      <c r="AI1369" s="264">
        <f t="shared" si="1"/>
        <v>45417</v>
      </c>
    </row>
    <row r="1370" ht="12.5" spans="1:35">
      <c r="A1370" s="177">
        <v>45397.4372857407</v>
      </c>
      <c r="B1370" s="11" t="s">
        <v>4369</v>
      </c>
      <c r="C1370" s="19">
        <v>16086979405</v>
      </c>
      <c r="D1370" s="19">
        <v>898005944310342</v>
      </c>
      <c r="E1370" s="18" t="s">
        <v>4370</v>
      </c>
      <c r="F1370" s="11" t="s">
        <v>40</v>
      </c>
      <c r="G1370" s="11" t="s">
        <v>54</v>
      </c>
      <c r="H1370" s="24">
        <v>39770</v>
      </c>
      <c r="I1370" s="222">
        <v>45338</v>
      </c>
      <c r="J1370" s="11" t="s">
        <v>42</v>
      </c>
      <c r="K1370" s="108" t="s">
        <v>399</v>
      </c>
      <c r="N1370" s="11" t="s">
        <v>43</v>
      </c>
      <c r="O1370" s="11" t="s">
        <v>44</v>
      </c>
      <c r="P1370" s="11" t="s">
        <v>44</v>
      </c>
      <c r="Q1370" s="11" t="s">
        <v>45</v>
      </c>
      <c r="R1370" s="11" t="s">
        <v>45</v>
      </c>
      <c r="S1370" s="11" t="s">
        <v>45</v>
      </c>
      <c r="T1370" s="11" t="s">
        <v>44</v>
      </c>
      <c r="U1370" s="11" t="s">
        <v>45</v>
      </c>
      <c r="V1370" s="24">
        <v>45398</v>
      </c>
      <c r="W1370" s="11" t="s">
        <v>46</v>
      </c>
      <c r="X1370" s="11" t="s">
        <v>47</v>
      </c>
      <c r="Y1370" s="11" t="s">
        <v>58</v>
      </c>
      <c r="Z1370" s="11">
        <v>81996549426</v>
      </c>
      <c r="AA1370" s="11" t="s">
        <v>1360</v>
      </c>
      <c r="AB1370" s="11" t="s">
        <v>49</v>
      </c>
      <c r="AC1370" s="11" t="s">
        <v>50</v>
      </c>
      <c r="AD1370" s="11" t="b">
        <v>1</v>
      </c>
      <c r="AE1370" s="11" t="s">
        <v>137</v>
      </c>
      <c r="AF1370" s="214" t="s">
        <v>4371</v>
      </c>
      <c r="AG1370" s="11"/>
      <c r="AH1370" s="11" t="s">
        <v>4372</v>
      </c>
      <c r="AI1370" s="264">
        <f t="shared" si="1"/>
        <v>45618</v>
      </c>
    </row>
    <row r="1371" ht="12.5" spans="1:35">
      <c r="A1371" s="177">
        <v>45397.4410075463</v>
      </c>
      <c r="B1371" s="11" t="s">
        <v>4366</v>
      </c>
      <c r="C1371" s="19">
        <v>10303523484</v>
      </c>
      <c r="D1371" s="19">
        <v>708008375922927</v>
      </c>
      <c r="E1371" s="18" t="s">
        <v>4367</v>
      </c>
      <c r="F1371" s="11" t="s">
        <v>40</v>
      </c>
      <c r="G1371" s="11" t="s">
        <v>54</v>
      </c>
      <c r="H1371" s="24">
        <v>34678</v>
      </c>
      <c r="I1371" s="222">
        <v>45137</v>
      </c>
      <c r="J1371" s="11" t="s">
        <v>81</v>
      </c>
      <c r="K1371" s="108"/>
      <c r="L1371" s="11" t="s">
        <v>109</v>
      </c>
      <c r="N1371" s="11" t="s">
        <v>95</v>
      </c>
      <c r="O1371" s="11" t="s">
        <v>44</v>
      </c>
      <c r="P1371" s="11" t="s">
        <v>44</v>
      </c>
      <c r="Q1371" s="11" t="s">
        <v>44</v>
      </c>
      <c r="R1371" s="11" t="s">
        <v>45</v>
      </c>
      <c r="S1371" s="11" t="s">
        <v>45</v>
      </c>
      <c r="T1371" s="11" t="s">
        <v>44</v>
      </c>
      <c r="U1371" s="11" t="s">
        <v>45</v>
      </c>
      <c r="V1371" s="24">
        <v>45399</v>
      </c>
      <c r="W1371" s="11" t="s">
        <v>57</v>
      </c>
      <c r="X1371" s="11" t="s">
        <v>97</v>
      </c>
      <c r="Y1371" s="11" t="s">
        <v>97</v>
      </c>
      <c r="Z1371" s="11">
        <v>81995151718</v>
      </c>
      <c r="AA1371" s="11" t="s">
        <v>115</v>
      </c>
      <c r="AB1371" s="11" t="s">
        <v>98</v>
      </c>
      <c r="AC1371" s="11"/>
      <c r="AD1371" s="11" t="b">
        <v>0</v>
      </c>
      <c r="AF1371" s="11" t="s">
        <v>4373</v>
      </c>
      <c r="AG1371" s="11"/>
      <c r="AH1371" s="11"/>
      <c r="AI1371" s="264">
        <f t="shared" si="1"/>
        <v>45417</v>
      </c>
    </row>
    <row r="1372" ht="12.5" spans="1:35">
      <c r="A1372" s="177">
        <v>45397.4897798958</v>
      </c>
      <c r="B1372" s="11" t="s">
        <v>2971</v>
      </c>
      <c r="C1372" s="19">
        <v>70797418407</v>
      </c>
      <c r="D1372" s="19">
        <v>702401092249521</v>
      </c>
      <c r="E1372" s="18" t="s">
        <v>4374</v>
      </c>
      <c r="F1372" s="11" t="s">
        <v>40</v>
      </c>
      <c r="G1372" s="11" t="s">
        <v>54</v>
      </c>
      <c r="H1372" s="24">
        <v>36199</v>
      </c>
      <c r="I1372" s="222">
        <v>45202</v>
      </c>
      <c r="J1372" s="11" t="s">
        <v>42</v>
      </c>
      <c r="K1372" s="108" t="s">
        <v>427</v>
      </c>
      <c r="N1372" s="11" t="s">
        <v>43</v>
      </c>
      <c r="O1372" s="11" t="s">
        <v>96</v>
      </c>
      <c r="P1372" s="11" t="s">
        <v>56</v>
      </c>
      <c r="Q1372" s="11" t="s">
        <v>44</v>
      </c>
      <c r="R1372" s="11" t="s">
        <v>45</v>
      </c>
      <c r="S1372" s="11" t="s">
        <v>83</v>
      </c>
      <c r="T1372" s="11" t="s">
        <v>44</v>
      </c>
      <c r="U1372" s="11" t="s">
        <v>45</v>
      </c>
      <c r="V1372" s="24">
        <v>45398</v>
      </c>
      <c r="W1372" s="11" t="s">
        <v>57</v>
      </c>
      <c r="X1372" s="11" t="s">
        <v>47</v>
      </c>
      <c r="Y1372" s="11" t="s">
        <v>58</v>
      </c>
      <c r="Z1372" s="11">
        <v>81996209137</v>
      </c>
      <c r="AA1372" s="11" t="s">
        <v>115</v>
      </c>
      <c r="AB1372" s="11" t="s">
        <v>98</v>
      </c>
      <c r="AC1372" s="11"/>
      <c r="AD1372" s="11" t="b">
        <v>0</v>
      </c>
      <c r="AF1372" s="11" t="s">
        <v>4375</v>
      </c>
      <c r="AG1372" s="11" t="s">
        <v>4376</v>
      </c>
      <c r="AH1372" s="11"/>
      <c r="AI1372" s="264">
        <f t="shared" si="1"/>
        <v>45482</v>
      </c>
    </row>
    <row r="1373" ht="12.5" spans="1:35">
      <c r="A1373" s="177">
        <v>45397.6557445718</v>
      </c>
      <c r="B1373" s="11" t="s">
        <v>3423</v>
      </c>
      <c r="C1373" s="19">
        <v>12912334403</v>
      </c>
      <c r="D1373" s="19">
        <v>707105809407820</v>
      </c>
      <c r="F1373" s="11" t="s">
        <v>40</v>
      </c>
      <c r="G1373" s="11" t="s">
        <v>88</v>
      </c>
      <c r="H1373" s="24">
        <v>36053</v>
      </c>
      <c r="I1373" s="232">
        <v>45230</v>
      </c>
      <c r="J1373" s="11" t="s">
        <v>42</v>
      </c>
      <c r="K1373" s="108" t="s">
        <v>427</v>
      </c>
      <c r="N1373" s="11" t="s">
        <v>95</v>
      </c>
      <c r="O1373" s="11" t="s">
        <v>44</v>
      </c>
      <c r="P1373" s="11" t="s">
        <v>44</v>
      </c>
      <c r="Q1373" s="11" t="s">
        <v>44</v>
      </c>
      <c r="R1373" s="11" t="s">
        <v>45</v>
      </c>
      <c r="S1373" s="11" t="s">
        <v>45</v>
      </c>
      <c r="T1373" s="11" t="s">
        <v>44</v>
      </c>
      <c r="U1373" s="11" t="s">
        <v>44</v>
      </c>
      <c r="W1373" s="11" t="s">
        <v>57</v>
      </c>
      <c r="X1373" s="11" t="s">
        <v>97</v>
      </c>
      <c r="Y1373" s="11" t="s">
        <v>97</v>
      </c>
      <c r="Z1373" s="11">
        <v>81989668159</v>
      </c>
      <c r="AA1373" s="11" t="s">
        <v>115</v>
      </c>
      <c r="AB1373" s="11"/>
      <c r="AC1373" s="11"/>
      <c r="AD1373" s="11" t="b">
        <v>0</v>
      </c>
      <c r="AF1373" s="11"/>
      <c r="AG1373" s="11"/>
      <c r="AH1373" s="11"/>
      <c r="AI1373" s="265">
        <f t="shared" si="1"/>
        <v>45510</v>
      </c>
    </row>
    <row r="1374" ht="12.5" spans="1:35">
      <c r="A1374" s="177">
        <v>45398.5905842824</v>
      </c>
      <c r="B1374" s="11" t="s">
        <v>4369</v>
      </c>
      <c r="C1374" s="19">
        <v>16086979405</v>
      </c>
      <c r="D1374" s="19">
        <v>898005944310342</v>
      </c>
      <c r="F1374" s="11" t="s">
        <v>40</v>
      </c>
      <c r="G1374" s="11" t="s">
        <v>54</v>
      </c>
      <c r="H1374" s="24">
        <v>39770</v>
      </c>
      <c r="I1374" s="222">
        <v>45338</v>
      </c>
      <c r="J1374" s="11" t="s">
        <v>42</v>
      </c>
      <c r="K1374" s="108" t="s">
        <v>399</v>
      </c>
      <c r="N1374" s="11" t="s">
        <v>95</v>
      </c>
      <c r="O1374" s="11" t="s">
        <v>44</v>
      </c>
      <c r="P1374" s="11" t="s">
        <v>44</v>
      </c>
      <c r="Q1374" s="11" t="s">
        <v>45</v>
      </c>
      <c r="R1374" s="11" t="s">
        <v>45</v>
      </c>
      <c r="S1374" s="11" t="s">
        <v>45</v>
      </c>
      <c r="T1374" s="11" t="s">
        <v>4341</v>
      </c>
      <c r="U1374" s="11" t="s">
        <v>44</v>
      </c>
      <c r="W1374" s="11" t="s">
        <v>57</v>
      </c>
      <c r="X1374" s="11" t="s">
        <v>97</v>
      </c>
      <c r="Y1374" s="11" t="s">
        <v>97</v>
      </c>
      <c r="Z1374" s="11">
        <v>81996549426</v>
      </c>
      <c r="AA1374" s="11" t="s">
        <v>115</v>
      </c>
      <c r="AB1374" s="11"/>
      <c r="AC1374" s="11"/>
      <c r="AD1374" s="11" t="b">
        <v>0</v>
      </c>
      <c r="AF1374" s="63" t="s">
        <v>4377</v>
      </c>
      <c r="AG1374" s="11"/>
      <c r="AH1374" s="11"/>
      <c r="AI1374" s="264">
        <f t="shared" si="1"/>
        <v>45618</v>
      </c>
    </row>
    <row r="1375" ht="12.5" spans="1:35">
      <c r="A1375" s="177">
        <v>45399.3825574421</v>
      </c>
      <c r="B1375" s="11" t="s">
        <v>4378</v>
      </c>
      <c r="C1375" s="19">
        <v>70477443478</v>
      </c>
      <c r="D1375" s="19">
        <v>705007699222453</v>
      </c>
      <c r="E1375" s="18" t="s">
        <v>4379</v>
      </c>
      <c r="F1375" s="11" t="s">
        <v>40</v>
      </c>
      <c r="G1375" s="11" t="s">
        <v>54</v>
      </c>
      <c r="H1375" s="24">
        <v>35085</v>
      </c>
      <c r="I1375" s="19" t="s">
        <v>4380</v>
      </c>
      <c r="J1375" s="11" t="s">
        <v>42</v>
      </c>
      <c r="K1375" s="108" t="s">
        <v>202</v>
      </c>
      <c r="N1375" s="11" t="s">
        <v>43</v>
      </c>
      <c r="O1375" s="11" t="s">
        <v>44</v>
      </c>
      <c r="P1375" s="11" t="s">
        <v>44</v>
      </c>
      <c r="Q1375" s="11" t="s">
        <v>45</v>
      </c>
      <c r="R1375" s="11" t="s">
        <v>45</v>
      </c>
      <c r="S1375" s="11" t="s">
        <v>83</v>
      </c>
      <c r="T1375" s="11" t="s">
        <v>44</v>
      </c>
      <c r="U1375" s="11" t="s">
        <v>45</v>
      </c>
      <c r="V1375" s="24">
        <v>45399</v>
      </c>
      <c r="W1375" s="11" t="s">
        <v>57</v>
      </c>
      <c r="X1375" s="254" t="s">
        <v>67</v>
      </c>
      <c r="Y1375" s="11" t="s">
        <v>68</v>
      </c>
      <c r="Z1375" s="11">
        <v>81989715546</v>
      </c>
      <c r="AA1375" s="11" t="s">
        <v>4381</v>
      </c>
      <c r="AB1375" s="11" t="s">
        <v>49</v>
      </c>
      <c r="AC1375" s="11" t="s">
        <v>4382</v>
      </c>
      <c r="AD1375" s="11" t="b">
        <v>0</v>
      </c>
      <c r="AF1375" s="11" t="s">
        <v>4383</v>
      </c>
      <c r="AG1375" s="11"/>
      <c r="AH1375" s="11"/>
      <c r="AI1375" s="263" t="e">
        <f t="shared" si="1"/>
        <v>#VALUE!</v>
      </c>
    </row>
    <row r="1376" ht="12.5" spans="1:35">
      <c r="A1376" s="177">
        <v>45399.3888443287</v>
      </c>
      <c r="B1376" s="11" t="s">
        <v>4384</v>
      </c>
      <c r="C1376" s="19">
        <v>10300749414</v>
      </c>
      <c r="D1376" s="19">
        <v>701404634334932</v>
      </c>
      <c r="E1376" s="18" t="s">
        <v>4385</v>
      </c>
      <c r="F1376" s="11" t="s">
        <v>40</v>
      </c>
      <c r="G1376" s="11" t="s">
        <v>54</v>
      </c>
      <c r="H1376" s="24">
        <v>34616</v>
      </c>
      <c r="I1376" s="222">
        <v>45127</v>
      </c>
      <c r="J1376" s="11" t="s">
        <v>42</v>
      </c>
      <c r="K1376" s="108" t="s">
        <v>356</v>
      </c>
      <c r="N1376" s="11" t="s">
        <v>43</v>
      </c>
      <c r="O1376" s="11" t="s">
        <v>44</v>
      </c>
      <c r="P1376" s="11" t="s">
        <v>44</v>
      </c>
      <c r="Q1376" s="11" t="s">
        <v>44</v>
      </c>
      <c r="R1376" s="11" t="s">
        <v>45</v>
      </c>
      <c r="S1376" s="11" t="s">
        <v>45</v>
      </c>
      <c r="T1376" s="11" t="s">
        <v>44</v>
      </c>
      <c r="U1376" s="11" t="s">
        <v>45</v>
      </c>
      <c r="V1376" s="24">
        <v>45399</v>
      </c>
      <c r="W1376" s="11" t="s">
        <v>46</v>
      </c>
      <c r="X1376" s="11" t="s">
        <v>203</v>
      </c>
      <c r="Y1376" s="11" t="s">
        <v>58</v>
      </c>
      <c r="Z1376" s="11">
        <v>81998395631</v>
      </c>
      <c r="AA1376" s="11" t="s">
        <v>115</v>
      </c>
      <c r="AB1376" s="11" t="s">
        <v>49</v>
      </c>
      <c r="AC1376" s="11" t="s">
        <v>50</v>
      </c>
      <c r="AD1376" s="11" t="b">
        <v>0</v>
      </c>
      <c r="AF1376" s="11" t="s">
        <v>4386</v>
      </c>
      <c r="AG1376" s="11"/>
      <c r="AH1376" s="11" t="s">
        <v>2172</v>
      </c>
      <c r="AI1376" s="264">
        <f t="shared" si="1"/>
        <v>45407</v>
      </c>
    </row>
    <row r="1377" ht="12.5" spans="1:35">
      <c r="A1377" s="177">
        <v>45399.559552581</v>
      </c>
      <c r="B1377" s="11" t="s">
        <v>4378</v>
      </c>
      <c r="C1377" s="19">
        <v>70477443478</v>
      </c>
      <c r="D1377" s="19">
        <v>705007699222453</v>
      </c>
      <c r="E1377" s="18" t="s">
        <v>4387</v>
      </c>
      <c r="F1377" s="11" t="s">
        <v>40</v>
      </c>
      <c r="G1377" s="11" t="s">
        <v>54</v>
      </c>
      <c r="H1377" s="24">
        <v>35085</v>
      </c>
      <c r="I1377" s="19" t="s">
        <v>865</v>
      </c>
      <c r="J1377" s="11" t="s">
        <v>81</v>
      </c>
      <c r="K1377" s="108"/>
      <c r="L1377" s="11" t="s">
        <v>525</v>
      </c>
      <c r="N1377" s="11" t="s">
        <v>95</v>
      </c>
      <c r="O1377" s="11" t="s">
        <v>96</v>
      </c>
      <c r="P1377" s="11" t="s">
        <v>66</v>
      </c>
      <c r="Q1377" s="11" t="s">
        <v>44</v>
      </c>
      <c r="R1377" s="11" t="s">
        <v>45</v>
      </c>
      <c r="S1377" s="11" t="s">
        <v>83</v>
      </c>
      <c r="T1377" s="11" t="s">
        <v>4348</v>
      </c>
      <c r="U1377" s="11" t="s">
        <v>45</v>
      </c>
      <c r="V1377" s="24">
        <v>45400</v>
      </c>
      <c r="W1377" s="11" t="s">
        <v>46</v>
      </c>
      <c r="X1377" s="11" t="s">
        <v>97</v>
      </c>
      <c r="Y1377" s="11" t="s">
        <v>97</v>
      </c>
      <c r="Z1377" s="11">
        <v>81989715546</v>
      </c>
      <c r="AA1377" s="11" t="s">
        <v>103</v>
      </c>
      <c r="AB1377" s="11" t="s">
        <v>49</v>
      </c>
      <c r="AC1377" s="11" t="s">
        <v>50</v>
      </c>
      <c r="AD1377" s="11" t="b">
        <v>1</v>
      </c>
      <c r="AE1377" s="11" t="s">
        <v>137</v>
      </c>
      <c r="AF1377" s="11" t="s">
        <v>4388</v>
      </c>
      <c r="AG1377" s="11" t="s">
        <v>4389</v>
      </c>
      <c r="AH1377" s="11"/>
      <c r="AI1377" s="263" t="e">
        <f t="shared" si="1"/>
        <v>#VALUE!</v>
      </c>
    </row>
    <row r="1378" ht="12.5" spans="1:35">
      <c r="A1378" s="177">
        <v>45399.5957731829</v>
      </c>
      <c r="B1378" s="11" t="s">
        <v>4384</v>
      </c>
      <c r="C1378" s="19">
        <v>10300749414</v>
      </c>
      <c r="D1378" s="19">
        <v>701404634334932</v>
      </c>
      <c r="E1378" s="18" t="s">
        <v>4385</v>
      </c>
      <c r="F1378" s="11" t="s">
        <v>40</v>
      </c>
      <c r="G1378" s="11" t="s">
        <v>54</v>
      </c>
      <c r="H1378" s="24">
        <v>34616</v>
      </c>
      <c r="I1378" s="222">
        <v>45127</v>
      </c>
      <c r="J1378" s="11" t="s">
        <v>42</v>
      </c>
      <c r="K1378" s="108" t="s">
        <v>356</v>
      </c>
      <c r="N1378" s="11" t="s">
        <v>95</v>
      </c>
      <c r="O1378" s="11" t="s">
        <v>65</v>
      </c>
      <c r="P1378" s="11" t="s">
        <v>66</v>
      </c>
      <c r="Q1378" s="11" t="s">
        <v>44</v>
      </c>
      <c r="R1378" s="11" t="s">
        <v>45</v>
      </c>
      <c r="S1378" s="11" t="s">
        <v>45</v>
      </c>
      <c r="T1378" s="11" t="s">
        <v>44</v>
      </c>
      <c r="U1378" s="11" t="s">
        <v>45</v>
      </c>
      <c r="V1378" s="24">
        <v>45400</v>
      </c>
      <c r="W1378" s="11" t="s">
        <v>46</v>
      </c>
      <c r="X1378" s="11" t="s">
        <v>97</v>
      </c>
      <c r="Y1378" s="11" t="s">
        <v>97</v>
      </c>
      <c r="Z1378" s="11">
        <v>81998395631</v>
      </c>
      <c r="AA1378" s="11" t="s">
        <v>115</v>
      </c>
      <c r="AB1378" s="11" t="s">
        <v>98</v>
      </c>
      <c r="AC1378" s="11"/>
      <c r="AD1378" s="11" t="b">
        <v>0</v>
      </c>
      <c r="AF1378" s="11" t="s">
        <v>4390</v>
      </c>
      <c r="AG1378" s="11" t="s">
        <v>4391</v>
      </c>
      <c r="AH1378" s="11"/>
      <c r="AI1378" s="264">
        <f t="shared" si="1"/>
        <v>45407</v>
      </c>
    </row>
    <row r="1379" ht="12.5" spans="1:35">
      <c r="A1379" s="177">
        <v>45399.6018434143</v>
      </c>
      <c r="B1379" s="11" t="s">
        <v>4392</v>
      </c>
      <c r="C1379" s="19">
        <v>11983677418</v>
      </c>
      <c r="D1379" s="19">
        <v>702300180822916</v>
      </c>
      <c r="E1379" s="18" t="s">
        <v>4393</v>
      </c>
      <c r="F1379" s="11" t="s">
        <v>40</v>
      </c>
      <c r="G1379" s="11" t="s">
        <v>41</v>
      </c>
      <c r="H1379" s="24">
        <v>36606</v>
      </c>
      <c r="I1379" s="19" t="s">
        <v>865</v>
      </c>
      <c r="J1379" s="11" t="s">
        <v>42</v>
      </c>
      <c r="K1379" s="108" t="s">
        <v>74</v>
      </c>
      <c r="N1379" s="11" t="s">
        <v>43</v>
      </c>
      <c r="O1379" s="11" t="s">
        <v>96</v>
      </c>
      <c r="P1379" s="11" t="s">
        <v>56</v>
      </c>
      <c r="Q1379" s="11" t="s">
        <v>44</v>
      </c>
      <c r="R1379" s="11" t="s">
        <v>45</v>
      </c>
      <c r="S1379" s="11" t="s">
        <v>44</v>
      </c>
      <c r="T1379" s="11" t="s">
        <v>44</v>
      </c>
      <c r="U1379" s="11" t="s">
        <v>45</v>
      </c>
      <c r="V1379" s="24">
        <v>45400</v>
      </c>
      <c r="W1379" s="11" t="s">
        <v>46</v>
      </c>
      <c r="X1379" s="11" t="s">
        <v>47</v>
      </c>
      <c r="Y1379" s="11" t="s">
        <v>58</v>
      </c>
      <c r="Z1379" s="11">
        <v>81991211451</v>
      </c>
      <c r="AA1379" s="11" t="s">
        <v>103</v>
      </c>
      <c r="AB1379" s="11" t="s">
        <v>98</v>
      </c>
      <c r="AC1379" s="11"/>
      <c r="AD1379" s="11" t="b">
        <v>0</v>
      </c>
      <c r="AF1379" s="11" t="s">
        <v>4394</v>
      </c>
      <c r="AG1379" s="11" t="s">
        <v>4395</v>
      </c>
      <c r="AH1379" s="11"/>
      <c r="AI1379" s="263" t="e">
        <f t="shared" si="1"/>
        <v>#VALUE!</v>
      </c>
    </row>
    <row r="1380" ht="12.5" spans="1:35">
      <c r="A1380" s="177">
        <v>45400.3474405671</v>
      </c>
      <c r="B1380" s="11" t="s">
        <v>4293</v>
      </c>
      <c r="C1380" s="19">
        <v>11088441467</v>
      </c>
      <c r="D1380" s="19">
        <v>706204598670268</v>
      </c>
      <c r="F1380" s="11" t="s">
        <v>225</v>
      </c>
      <c r="G1380" s="11" t="s">
        <v>54</v>
      </c>
      <c r="H1380" s="24">
        <v>34603</v>
      </c>
      <c r="I1380" s="222">
        <v>45102</v>
      </c>
      <c r="J1380" s="11" t="s">
        <v>42</v>
      </c>
      <c r="K1380" s="108" t="s">
        <v>4396</v>
      </c>
      <c r="N1380" s="11" t="s">
        <v>95</v>
      </c>
      <c r="O1380" s="11" t="s">
        <v>127</v>
      </c>
      <c r="P1380" s="11" t="s">
        <v>66</v>
      </c>
      <c r="Q1380" s="11" t="s">
        <v>44</v>
      </c>
      <c r="R1380" s="11" t="s">
        <v>45</v>
      </c>
      <c r="S1380" s="11" t="s">
        <v>45</v>
      </c>
      <c r="T1380" s="11" t="s">
        <v>44</v>
      </c>
      <c r="U1380" s="11" t="s">
        <v>44</v>
      </c>
      <c r="W1380" s="11" t="s">
        <v>57</v>
      </c>
      <c r="X1380" s="11" t="s">
        <v>97</v>
      </c>
      <c r="Y1380" s="11" t="s">
        <v>97</v>
      </c>
      <c r="Z1380" s="11">
        <v>81993805933</v>
      </c>
      <c r="AA1380" s="11" t="s">
        <v>3919</v>
      </c>
      <c r="AB1380" s="11"/>
      <c r="AC1380" s="11"/>
      <c r="AD1380" s="11" t="b">
        <v>0</v>
      </c>
      <c r="AF1380" s="11"/>
      <c r="AG1380" s="11"/>
      <c r="AH1380" s="11" t="s">
        <v>4397</v>
      </c>
      <c r="AI1380" s="264">
        <f t="shared" si="1"/>
        <v>45382</v>
      </c>
    </row>
    <row r="1381" ht="12.5" spans="1:35">
      <c r="A1381" s="177">
        <v>45400.4980162616</v>
      </c>
      <c r="B1381" s="11" t="s">
        <v>4378</v>
      </c>
      <c r="C1381" s="19">
        <v>70477443478</v>
      </c>
      <c r="D1381" s="19">
        <v>705007699222453</v>
      </c>
      <c r="E1381" s="18" t="s">
        <v>4398</v>
      </c>
      <c r="F1381" s="11" t="s">
        <v>40</v>
      </c>
      <c r="G1381" s="11" t="s">
        <v>54</v>
      </c>
      <c r="H1381" s="24">
        <v>35085</v>
      </c>
      <c r="I1381" s="19" t="s">
        <v>865</v>
      </c>
      <c r="J1381" s="11" t="s">
        <v>42</v>
      </c>
      <c r="K1381" s="108" t="s">
        <v>202</v>
      </c>
      <c r="N1381" s="11" t="s">
        <v>95</v>
      </c>
      <c r="O1381" s="11" t="s">
        <v>65</v>
      </c>
      <c r="P1381" s="11" t="s">
        <v>66</v>
      </c>
      <c r="Q1381" s="11" t="s">
        <v>45</v>
      </c>
      <c r="R1381" s="11" t="s">
        <v>45</v>
      </c>
      <c r="S1381" s="11" t="s">
        <v>45</v>
      </c>
      <c r="T1381" s="11" t="s">
        <v>44</v>
      </c>
      <c r="U1381" s="11" t="s">
        <v>45</v>
      </c>
      <c r="V1381" s="24">
        <v>45401</v>
      </c>
      <c r="W1381" s="11" t="s">
        <v>57</v>
      </c>
      <c r="X1381" s="11" t="s">
        <v>97</v>
      </c>
      <c r="Y1381" s="11" t="s">
        <v>97</v>
      </c>
      <c r="Z1381" s="11">
        <v>81989715546</v>
      </c>
      <c r="AA1381" s="11" t="s">
        <v>115</v>
      </c>
      <c r="AB1381" s="11" t="s">
        <v>98</v>
      </c>
      <c r="AC1381" s="11"/>
      <c r="AD1381" s="11" t="b">
        <v>0</v>
      </c>
      <c r="AF1381" s="11" t="s">
        <v>4399</v>
      </c>
      <c r="AG1381" s="11" t="s">
        <v>4400</v>
      </c>
      <c r="AH1381" s="11"/>
      <c r="AI1381" s="263" t="e">
        <f t="shared" si="1"/>
        <v>#VALUE!</v>
      </c>
    </row>
    <row r="1382" ht="12.5" spans="1:35">
      <c r="A1382" s="177">
        <v>45400.7736173148</v>
      </c>
      <c r="B1382" s="11" t="s">
        <v>4401</v>
      </c>
      <c r="C1382" s="19">
        <v>70407529489</v>
      </c>
      <c r="D1382" s="19">
        <v>708508517123080</v>
      </c>
      <c r="E1382" s="18" t="s">
        <v>4402</v>
      </c>
      <c r="F1382" s="11" t="s">
        <v>40</v>
      </c>
      <c r="G1382" s="11" t="s">
        <v>54</v>
      </c>
      <c r="H1382" s="24">
        <v>36135</v>
      </c>
      <c r="I1382" s="232">
        <v>45254</v>
      </c>
      <c r="J1382" s="11" t="s">
        <v>42</v>
      </c>
      <c r="K1382" s="108" t="s">
        <v>202</v>
      </c>
      <c r="N1382" s="11" t="s">
        <v>43</v>
      </c>
      <c r="O1382" s="11" t="s">
        <v>44</v>
      </c>
      <c r="P1382" s="11" t="s">
        <v>44</v>
      </c>
      <c r="Q1382" s="11" t="s">
        <v>44</v>
      </c>
      <c r="R1382" s="11" t="s">
        <v>45</v>
      </c>
      <c r="S1382" s="11" t="s">
        <v>45</v>
      </c>
      <c r="T1382" s="11" t="s">
        <v>4348</v>
      </c>
      <c r="U1382" s="11" t="s">
        <v>45</v>
      </c>
      <c r="V1382" s="24">
        <v>45401</v>
      </c>
      <c r="W1382" s="11" t="s">
        <v>46</v>
      </c>
      <c r="X1382" s="11" t="s">
        <v>203</v>
      </c>
      <c r="Y1382" s="11" t="s">
        <v>58</v>
      </c>
      <c r="Z1382" s="11">
        <v>81999319275</v>
      </c>
      <c r="AA1382" s="11" t="s">
        <v>115</v>
      </c>
      <c r="AB1382" s="11" t="s">
        <v>49</v>
      </c>
      <c r="AC1382" s="11" t="s">
        <v>256</v>
      </c>
      <c r="AD1382" s="11" t="b">
        <v>1</v>
      </c>
      <c r="AE1382" s="11" t="s">
        <v>137</v>
      </c>
      <c r="AF1382" s="11" t="s">
        <v>4403</v>
      </c>
      <c r="AG1382" s="11"/>
      <c r="AH1382" s="11"/>
      <c r="AI1382" s="265">
        <f t="shared" si="1"/>
        <v>45534</v>
      </c>
    </row>
    <row r="1383" ht="12.5" spans="1:35">
      <c r="A1383" s="177">
        <v>45400.8092345602</v>
      </c>
      <c r="B1383" s="11" t="s">
        <v>4369</v>
      </c>
      <c r="C1383" s="19">
        <v>16086979405</v>
      </c>
      <c r="D1383" s="19">
        <v>898002264795109</v>
      </c>
      <c r="F1383" s="11" t="s">
        <v>40</v>
      </c>
      <c r="G1383" s="11" t="s">
        <v>83</v>
      </c>
      <c r="H1383" s="24">
        <v>39770</v>
      </c>
      <c r="I1383" s="222">
        <v>45338</v>
      </c>
      <c r="J1383" s="11" t="s">
        <v>42</v>
      </c>
      <c r="K1383" s="108" t="s">
        <v>4404</v>
      </c>
      <c r="N1383" s="11" t="s">
        <v>43</v>
      </c>
      <c r="O1383" s="11" t="s">
        <v>44</v>
      </c>
      <c r="P1383" s="11" t="s">
        <v>44</v>
      </c>
      <c r="Q1383" s="11" t="s">
        <v>45</v>
      </c>
      <c r="R1383" s="11" t="s">
        <v>45</v>
      </c>
      <c r="S1383" s="11" t="s">
        <v>83</v>
      </c>
      <c r="T1383" s="11" t="s">
        <v>4405</v>
      </c>
      <c r="U1383" s="11" t="s">
        <v>45</v>
      </c>
      <c r="V1383" s="24">
        <v>45401</v>
      </c>
      <c r="W1383" s="11" t="s">
        <v>57</v>
      </c>
      <c r="X1383" s="11" t="s">
        <v>203</v>
      </c>
      <c r="Y1383" s="11" t="s">
        <v>58</v>
      </c>
      <c r="Z1383" s="11">
        <v>81996549426</v>
      </c>
      <c r="AA1383" s="11" t="s">
        <v>4381</v>
      </c>
      <c r="AB1383" s="11" t="s">
        <v>49</v>
      </c>
      <c r="AC1383" s="11" t="s">
        <v>4382</v>
      </c>
      <c r="AD1383" s="11" t="b">
        <v>0</v>
      </c>
      <c r="AF1383" s="11" t="s">
        <v>4406</v>
      </c>
      <c r="AG1383" s="11"/>
      <c r="AH1383" s="11"/>
      <c r="AI1383" s="264">
        <f t="shared" si="1"/>
        <v>45618</v>
      </c>
    </row>
    <row r="1384" ht="12.5" spans="1:35">
      <c r="A1384" s="177">
        <v>45401.4317377778</v>
      </c>
      <c r="B1384" s="11" t="s">
        <v>4401</v>
      </c>
      <c r="C1384" s="19">
        <v>70407529489</v>
      </c>
      <c r="D1384" s="19">
        <v>708508517123080</v>
      </c>
      <c r="E1384" s="18" t="s">
        <v>4407</v>
      </c>
      <c r="F1384" s="11" t="s">
        <v>40</v>
      </c>
      <c r="G1384" s="11" t="s">
        <v>54</v>
      </c>
      <c r="H1384" s="24">
        <v>36135</v>
      </c>
      <c r="I1384" s="232">
        <v>45254</v>
      </c>
      <c r="J1384" s="11" t="s">
        <v>42</v>
      </c>
      <c r="K1384" s="108" t="s">
        <v>202</v>
      </c>
      <c r="N1384" s="11" t="s">
        <v>95</v>
      </c>
      <c r="O1384" s="11" t="s">
        <v>44</v>
      </c>
      <c r="P1384" s="11" t="s">
        <v>44</v>
      </c>
      <c r="Q1384" s="11" t="s">
        <v>45</v>
      </c>
      <c r="R1384" s="11" t="s">
        <v>45</v>
      </c>
      <c r="S1384" s="11" t="s">
        <v>45</v>
      </c>
      <c r="T1384" s="11" t="s">
        <v>44</v>
      </c>
      <c r="U1384" s="11" t="s">
        <v>44</v>
      </c>
      <c r="W1384" s="11" t="s">
        <v>46</v>
      </c>
      <c r="X1384" s="11" t="s">
        <v>97</v>
      </c>
      <c r="Y1384" s="11" t="s">
        <v>97</v>
      </c>
      <c r="Z1384" s="11">
        <v>81999319275</v>
      </c>
      <c r="AA1384" s="11" t="s">
        <v>1360</v>
      </c>
      <c r="AB1384" s="11"/>
      <c r="AC1384" s="11"/>
      <c r="AD1384" s="11" t="b">
        <v>0</v>
      </c>
      <c r="AF1384" s="11"/>
      <c r="AG1384" s="11"/>
      <c r="AH1384" s="11"/>
      <c r="AI1384" s="265">
        <f t="shared" si="1"/>
        <v>45534</v>
      </c>
    </row>
    <row r="1385" ht="12.5" spans="1:35">
      <c r="A1385" s="177">
        <v>45401.4733407407</v>
      </c>
      <c r="B1385" s="11" t="s">
        <v>4408</v>
      </c>
      <c r="C1385" s="19">
        <v>70048226483</v>
      </c>
      <c r="D1385" s="19">
        <v>700508714573156</v>
      </c>
      <c r="E1385" s="18" t="s">
        <v>4409</v>
      </c>
      <c r="F1385" s="11" t="s">
        <v>40</v>
      </c>
      <c r="G1385" s="11" t="s">
        <v>54</v>
      </c>
      <c r="H1385" s="24">
        <v>36221</v>
      </c>
      <c r="I1385" s="222">
        <v>45138</v>
      </c>
      <c r="J1385" s="11" t="s">
        <v>42</v>
      </c>
      <c r="K1385" s="108" t="s">
        <v>74</v>
      </c>
      <c r="N1385" s="11" t="s">
        <v>64</v>
      </c>
      <c r="O1385" s="11" t="s">
        <v>44</v>
      </c>
      <c r="P1385" s="11" t="s">
        <v>56</v>
      </c>
      <c r="Q1385" s="11" t="s">
        <v>44</v>
      </c>
      <c r="R1385" s="11" t="s">
        <v>45</v>
      </c>
      <c r="S1385" s="11" t="s">
        <v>44</v>
      </c>
      <c r="T1385" s="11" t="s">
        <v>44</v>
      </c>
      <c r="U1385" s="11" t="s">
        <v>44</v>
      </c>
      <c r="W1385" s="11" t="s">
        <v>46</v>
      </c>
      <c r="X1385" s="11" t="s">
        <v>303</v>
      </c>
      <c r="Y1385" s="11" t="s">
        <v>68</v>
      </c>
      <c r="Z1385" s="11">
        <v>81989306813</v>
      </c>
      <c r="AA1385" s="11" t="s">
        <v>3919</v>
      </c>
      <c r="AB1385" s="11"/>
      <c r="AC1385" s="11"/>
      <c r="AD1385" s="11" t="b">
        <v>0</v>
      </c>
      <c r="AF1385" s="11"/>
      <c r="AG1385" s="11"/>
      <c r="AH1385" s="11" t="s">
        <v>4410</v>
      </c>
      <c r="AI1385" s="264">
        <f t="shared" si="1"/>
        <v>45418</v>
      </c>
    </row>
    <row r="1386" ht="12.5" spans="1:35">
      <c r="A1386" s="177">
        <v>45401.4761915046</v>
      </c>
      <c r="B1386" s="11" t="s">
        <v>4411</v>
      </c>
      <c r="C1386" s="19">
        <v>71436568447</v>
      </c>
      <c r="D1386" s="19">
        <v>898003024599446</v>
      </c>
      <c r="E1386" s="18" t="s">
        <v>4412</v>
      </c>
      <c r="F1386" s="11" t="s">
        <v>40</v>
      </c>
      <c r="G1386" s="11" t="s">
        <v>54</v>
      </c>
      <c r="H1386" s="24">
        <v>38132</v>
      </c>
      <c r="I1386" s="222">
        <v>45149</v>
      </c>
      <c r="J1386" s="11" t="s">
        <v>81</v>
      </c>
      <c r="K1386" s="108"/>
      <c r="L1386" s="11" t="s">
        <v>525</v>
      </c>
      <c r="N1386" s="11" t="s">
        <v>43</v>
      </c>
      <c r="O1386" s="11" t="s">
        <v>96</v>
      </c>
      <c r="P1386" s="11" t="s">
        <v>66</v>
      </c>
      <c r="Q1386" s="11" t="s">
        <v>44</v>
      </c>
      <c r="R1386" s="11" t="s">
        <v>45</v>
      </c>
      <c r="S1386" s="11" t="s">
        <v>45</v>
      </c>
      <c r="T1386" s="11" t="s">
        <v>44</v>
      </c>
      <c r="U1386" s="11" t="s">
        <v>45</v>
      </c>
      <c r="V1386" s="24">
        <v>45402</v>
      </c>
      <c r="W1386" s="11" t="s">
        <v>46</v>
      </c>
      <c r="X1386" s="11" t="s">
        <v>47</v>
      </c>
      <c r="Y1386" s="11" t="s">
        <v>58</v>
      </c>
      <c r="Z1386" s="11">
        <v>81989745875</v>
      </c>
      <c r="AA1386" s="11" t="s">
        <v>1360</v>
      </c>
      <c r="AB1386" s="11" t="s">
        <v>49</v>
      </c>
      <c r="AC1386" s="11" t="s">
        <v>3892</v>
      </c>
      <c r="AD1386" s="11" t="b">
        <v>0</v>
      </c>
      <c r="AF1386" s="11" t="s">
        <v>4413</v>
      </c>
      <c r="AG1386" s="11" t="s">
        <v>4414</v>
      </c>
      <c r="AH1386" s="11" t="s">
        <v>4415</v>
      </c>
      <c r="AI1386" s="264">
        <f t="shared" si="1"/>
        <v>45429</v>
      </c>
    </row>
    <row r="1387" ht="12.5" spans="1:35">
      <c r="A1387" s="177">
        <v>45401.7981276852</v>
      </c>
      <c r="B1387" s="11" t="s">
        <v>4326</v>
      </c>
      <c r="C1387" s="19">
        <v>12109949414</v>
      </c>
      <c r="D1387" s="19">
        <v>708601593540986</v>
      </c>
      <c r="E1387" s="18" t="s">
        <v>4416</v>
      </c>
      <c r="F1387" s="11" t="s">
        <v>40</v>
      </c>
      <c r="G1387" s="11" t="s">
        <v>54</v>
      </c>
      <c r="H1387" s="24">
        <v>35531</v>
      </c>
      <c r="I1387" s="222">
        <v>45321</v>
      </c>
      <c r="J1387" s="11" t="s">
        <v>42</v>
      </c>
      <c r="K1387" s="108" t="s">
        <v>74</v>
      </c>
      <c r="N1387" s="11" t="s">
        <v>43</v>
      </c>
      <c r="O1387" s="11" t="s">
        <v>44</v>
      </c>
      <c r="P1387" s="11" t="s">
        <v>44</v>
      </c>
      <c r="Q1387" s="11" t="s">
        <v>44</v>
      </c>
      <c r="R1387" s="11" t="s">
        <v>45</v>
      </c>
      <c r="S1387" s="11" t="s">
        <v>45</v>
      </c>
      <c r="T1387" s="11" t="s">
        <v>44</v>
      </c>
      <c r="U1387" s="11" t="s">
        <v>44</v>
      </c>
      <c r="W1387" s="11" t="s">
        <v>46</v>
      </c>
      <c r="X1387" s="11" t="s">
        <v>203</v>
      </c>
      <c r="Y1387" s="11" t="s">
        <v>58</v>
      </c>
      <c r="Z1387" s="11">
        <v>81992808416</v>
      </c>
      <c r="AA1387" s="11" t="s">
        <v>1360</v>
      </c>
      <c r="AB1387" s="11"/>
      <c r="AC1387" s="11"/>
      <c r="AD1387" s="11" t="b">
        <v>0</v>
      </c>
      <c r="AF1387" s="11"/>
      <c r="AG1387" s="11"/>
      <c r="AH1387" s="11"/>
      <c r="AI1387" s="264">
        <f t="shared" si="1"/>
        <v>45601</v>
      </c>
    </row>
    <row r="1388" ht="12.5" spans="1:35">
      <c r="A1388" s="177">
        <v>45402.3836203935</v>
      </c>
      <c r="B1388" s="11" t="s">
        <v>4417</v>
      </c>
      <c r="C1388" s="277" t="s">
        <v>4418</v>
      </c>
      <c r="D1388" s="19">
        <v>702903507965774</v>
      </c>
      <c r="E1388" s="18" t="s">
        <v>4419</v>
      </c>
      <c r="F1388" s="11" t="s">
        <v>40</v>
      </c>
      <c r="G1388" s="11" t="s">
        <v>88</v>
      </c>
      <c r="H1388" s="24">
        <v>33423</v>
      </c>
      <c r="I1388" s="222">
        <v>45148</v>
      </c>
      <c r="J1388" s="11" t="s">
        <v>81</v>
      </c>
      <c r="K1388" s="108"/>
      <c r="L1388" s="11" t="s">
        <v>525</v>
      </c>
      <c r="N1388" s="11" t="s">
        <v>43</v>
      </c>
      <c r="O1388" s="11" t="s">
        <v>65</v>
      </c>
      <c r="P1388" s="11" t="s">
        <v>66</v>
      </c>
      <c r="Q1388" s="11" t="s">
        <v>44</v>
      </c>
      <c r="R1388" s="11" t="s">
        <v>45</v>
      </c>
      <c r="S1388" s="11" t="s">
        <v>44</v>
      </c>
      <c r="T1388" s="11" t="s">
        <v>44</v>
      </c>
      <c r="U1388" s="11" t="s">
        <v>45</v>
      </c>
      <c r="V1388" s="24">
        <v>45402</v>
      </c>
      <c r="W1388" s="11" t="s">
        <v>46</v>
      </c>
      <c r="X1388" s="11" t="s">
        <v>303</v>
      </c>
      <c r="Y1388" s="11" t="s">
        <v>68</v>
      </c>
      <c r="Z1388" s="11">
        <v>81996787625</v>
      </c>
      <c r="AA1388" s="11" t="s">
        <v>3919</v>
      </c>
      <c r="AB1388" s="11" t="s">
        <v>49</v>
      </c>
      <c r="AC1388" s="11" t="s">
        <v>3892</v>
      </c>
      <c r="AD1388" s="11" t="b">
        <v>1</v>
      </c>
      <c r="AE1388" s="11" t="s">
        <v>137</v>
      </c>
      <c r="AF1388" s="11" t="s">
        <v>4420</v>
      </c>
      <c r="AG1388" s="11"/>
      <c r="AH1388" s="11" t="s">
        <v>4421</v>
      </c>
      <c r="AI1388" s="264">
        <f t="shared" si="1"/>
        <v>45428</v>
      </c>
    </row>
    <row r="1389" ht="12.5" spans="1:35">
      <c r="A1389" s="177">
        <v>45402.4111367708</v>
      </c>
      <c r="B1389" s="11" t="s">
        <v>4082</v>
      </c>
      <c r="C1389" s="19">
        <v>51035953897</v>
      </c>
      <c r="D1389" s="19">
        <v>700001740952906</v>
      </c>
      <c r="E1389" s="18" t="s">
        <v>4422</v>
      </c>
      <c r="F1389" s="11" t="s">
        <v>40</v>
      </c>
      <c r="G1389" s="11" t="s">
        <v>54</v>
      </c>
      <c r="H1389" s="24">
        <v>35764</v>
      </c>
      <c r="I1389" s="222">
        <v>45137</v>
      </c>
      <c r="J1389" s="11" t="s">
        <v>438</v>
      </c>
      <c r="K1389" s="108"/>
      <c r="M1389" s="11" t="s">
        <v>650</v>
      </c>
      <c r="N1389" s="11" t="s">
        <v>43</v>
      </c>
      <c r="O1389" s="11" t="s">
        <v>44</v>
      </c>
      <c r="P1389" s="11" t="s">
        <v>56</v>
      </c>
      <c r="Q1389" s="11" t="s">
        <v>44</v>
      </c>
      <c r="R1389" s="11" t="s">
        <v>45</v>
      </c>
      <c r="S1389" s="11" t="s">
        <v>45</v>
      </c>
      <c r="T1389" s="11" t="s">
        <v>44</v>
      </c>
      <c r="U1389" s="11" t="s">
        <v>45</v>
      </c>
      <c r="V1389" s="24">
        <v>45404</v>
      </c>
      <c r="W1389" s="11" t="s">
        <v>46</v>
      </c>
      <c r="X1389" s="11" t="s">
        <v>303</v>
      </c>
      <c r="Y1389" s="11" t="s">
        <v>68</v>
      </c>
      <c r="Z1389" s="11">
        <v>12991876039</v>
      </c>
      <c r="AA1389" s="11" t="s">
        <v>3919</v>
      </c>
      <c r="AB1389" s="11" t="s">
        <v>98</v>
      </c>
      <c r="AC1389" s="11"/>
      <c r="AD1389" s="11" t="b">
        <v>0</v>
      </c>
      <c r="AF1389" s="11" t="s">
        <v>4423</v>
      </c>
      <c r="AG1389" s="11" t="s">
        <v>4424</v>
      </c>
      <c r="AH1389" s="11" t="s">
        <v>2036</v>
      </c>
      <c r="AI1389" s="264">
        <f t="shared" si="1"/>
        <v>45417</v>
      </c>
    </row>
    <row r="1390" ht="12.5" spans="1:35">
      <c r="A1390" s="177">
        <v>45402.7271805556</v>
      </c>
      <c r="B1390" s="11" t="s">
        <v>4411</v>
      </c>
      <c r="C1390" s="19">
        <v>71436568447</v>
      </c>
      <c r="D1390" s="19">
        <v>898003024599446</v>
      </c>
      <c r="F1390" s="11" t="s">
        <v>40</v>
      </c>
      <c r="G1390" s="11" t="s">
        <v>54</v>
      </c>
      <c r="H1390" s="24">
        <v>38132</v>
      </c>
      <c r="I1390" s="222">
        <v>45149</v>
      </c>
      <c r="J1390" s="11" t="s">
        <v>42</v>
      </c>
      <c r="K1390" s="108" t="s">
        <v>4425</v>
      </c>
      <c r="N1390" s="11" t="s">
        <v>95</v>
      </c>
      <c r="O1390" s="11" t="s">
        <v>127</v>
      </c>
      <c r="P1390" s="11" t="s">
        <v>44</v>
      </c>
      <c r="Q1390" s="11" t="s">
        <v>44</v>
      </c>
      <c r="R1390" s="11" t="s">
        <v>45</v>
      </c>
      <c r="S1390" s="11" t="s">
        <v>45</v>
      </c>
      <c r="T1390" s="11" t="s">
        <v>44</v>
      </c>
      <c r="U1390" s="11" t="s">
        <v>44</v>
      </c>
      <c r="W1390" s="11" t="s">
        <v>57</v>
      </c>
      <c r="X1390" s="11" t="s">
        <v>97</v>
      </c>
      <c r="Y1390" s="11" t="s">
        <v>97</v>
      </c>
      <c r="Z1390" s="11">
        <v>81989745875</v>
      </c>
      <c r="AA1390" s="11" t="s">
        <v>3919</v>
      </c>
      <c r="AB1390" s="11"/>
      <c r="AC1390" s="11"/>
      <c r="AD1390" s="11" t="b">
        <v>0</v>
      </c>
      <c r="AF1390" s="11"/>
      <c r="AG1390" s="11"/>
      <c r="AH1390" s="11"/>
      <c r="AI1390" s="264">
        <f t="shared" si="1"/>
        <v>45429</v>
      </c>
    </row>
    <row r="1391" ht="12.5" spans="1:35">
      <c r="A1391" s="177">
        <v>45402.7345929167</v>
      </c>
      <c r="B1391" s="11" t="s">
        <v>4417</v>
      </c>
      <c r="C1391" s="277" t="s">
        <v>4418</v>
      </c>
      <c r="D1391" s="19">
        <v>702903507965774</v>
      </c>
      <c r="F1391" s="11" t="s">
        <v>40</v>
      </c>
      <c r="G1391" s="11" t="s">
        <v>54</v>
      </c>
      <c r="H1391" s="24">
        <v>33423</v>
      </c>
      <c r="I1391" s="222">
        <v>45148</v>
      </c>
      <c r="J1391" s="11" t="s">
        <v>81</v>
      </c>
      <c r="K1391" s="108"/>
      <c r="L1391" s="11" t="s">
        <v>525</v>
      </c>
      <c r="N1391" s="11" t="s">
        <v>95</v>
      </c>
      <c r="O1391" s="11" t="s">
        <v>65</v>
      </c>
      <c r="P1391" s="11" t="s">
        <v>66</v>
      </c>
      <c r="Q1391" s="11" t="s">
        <v>44</v>
      </c>
      <c r="R1391" s="11" t="s">
        <v>45</v>
      </c>
      <c r="S1391" s="11" t="s">
        <v>44</v>
      </c>
      <c r="T1391" s="11" t="s">
        <v>44</v>
      </c>
      <c r="U1391" s="11" t="s">
        <v>45</v>
      </c>
      <c r="V1391" s="24">
        <v>45403</v>
      </c>
      <c r="W1391" s="11" t="s">
        <v>57</v>
      </c>
      <c r="X1391" s="11" t="s">
        <v>97</v>
      </c>
      <c r="Y1391" s="11" t="s">
        <v>97</v>
      </c>
      <c r="Z1391" s="11">
        <v>81996787625</v>
      </c>
      <c r="AA1391" s="11" t="s">
        <v>3919</v>
      </c>
      <c r="AB1391" s="11" t="s">
        <v>49</v>
      </c>
      <c r="AC1391" s="11" t="s">
        <v>50</v>
      </c>
      <c r="AD1391" s="11" t="b">
        <v>1</v>
      </c>
      <c r="AE1391" s="11" t="s">
        <v>137</v>
      </c>
      <c r="AF1391" s="214" t="s">
        <v>4426</v>
      </c>
      <c r="AG1391" s="11"/>
      <c r="AH1391" s="63" t="s">
        <v>4427</v>
      </c>
      <c r="AI1391" s="264">
        <f t="shared" si="1"/>
        <v>45428</v>
      </c>
    </row>
    <row r="1392" ht="12.5" spans="1:35">
      <c r="A1392" s="177">
        <v>45403.4670437037</v>
      </c>
      <c r="B1392" s="11" t="s">
        <v>4428</v>
      </c>
      <c r="C1392" s="19">
        <v>12936692458</v>
      </c>
      <c r="D1392" s="19">
        <v>700002198921507</v>
      </c>
      <c r="E1392" s="18" t="s">
        <v>4429</v>
      </c>
      <c r="F1392" s="11" t="s">
        <v>40</v>
      </c>
      <c r="G1392" s="11" t="s">
        <v>54</v>
      </c>
      <c r="H1392" s="24">
        <v>37130</v>
      </c>
      <c r="I1392" s="19" t="s">
        <v>136</v>
      </c>
      <c r="J1392" s="11" t="s">
        <v>42</v>
      </c>
      <c r="K1392" s="108" t="s">
        <v>282</v>
      </c>
      <c r="N1392" s="11" t="s">
        <v>43</v>
      </c>
      <c r="O1392" s="11" t="s">
        <v>65</v>
      </c>
      <c r="P1392" s="11" t="s">
        <v>66</v>
      </c>
      <c r="Q1392" s="11" t="s">
        <v>44</v>
      </c>
      <c r="R1392" s="11" t="s">
        <v>45</v>
      </c>
      <c r="S1392" s="11" t="s">
        <v>44</v>
      </c>
      <c r="T1392" s="11" t="s">
        <v>4405</v>
      </c>
      <c r="U1392" s="11" t="s">
        <v>45</v>
      </c>
      <c r="V1392" s="24">
        <v>45404</v>
      </c>
      <c r="W1392" s="11" t="s">
        <v>46</v>
      </c>
      <c r="X1392" s="11" t="s">
        <v>303</v>
      </c>
      <c r="Y1392" s="11" t="s">
        <v>58</v>
      </c>
      <c r="Z1392" s="11">
        <v>81993807364</v>
      </c>
      <c r="AA1392" s="11" t="s">
        <v>115</v>
      </c>
      <c r="AB1392" s="11" t="s">
        <v>49</v>
      </c>
      <c r="AC1392" s="11" t="s">
        <v>106</v>
      </c>
      <c r="AD1392" s="11" t="b">
        <v>1</v>
      </c>
      <c r="AE1392" s="11" t="s">
        <v>137</v>
      </c>
      <c r="AF1392" s="11" t="s">
        <v>4430</v>
      </c>
      <c r="AG1392" s="11" t="s">
        <v>4431</v>
      </c>
      <c r="AH1392" s="11" t="s">
        <v>4432</v>
      </c>
      <c r="AI1392" s="263" t="e">
        <f t="shared" si="1"/>
        <v>#VALUE!</v>
      </c>
    </row>
    <row r="1393" ht="12.5" spans="1:35">
      <c r="A1393" s="177">
        <v>45403.5139554282</v>
      </c>
      <c r="B1393" s="11" t="s">
        <v>4417</v>
      </c>
      <c r="C1393" s="277" t="s">
        <v>4418</v>
      </c>
      <c r="D1393" s="19">
        <v>702903507965774</v>
      </c>
      <c r="F1393" s="11" t="s">
        <v>40</v>
      </c>
      <c r="G1393" s="11" t="s">
        <v>54</v>
      </c>
      <c r="H1393" s="24">
        <v>33423</v>
      </c>
      <c r="I1393" s="222">
        <v>45148</v>
      </c>
      <c r="J1393" s="11" t="s">
        <v>81</v>
      </c>
      <c r="K1393" s="108"/>
      <c r="L1393" s="11" t="s">
        <v>525</v>
      </c>
      <c r="N1393" s="11" t="s">
        <v>95</v>
      </c>
      <c r="O1393" s="11" t="s">
        <v>65</v>
      </c>
      <c r="P1393" s="11" t="s">
        <v>66</v>
      </c>
      <c r="Q1393" s="11" t="s">
        <v>44</v>
      </c>
      <c r="R1393" s="11" t="s">
        <v>45</v>
      </c>
      <c r="S1393" s="11" t="s">
        <v>45</v>
      </c>
      <c r="T1393" s="11" t="s">
        <v>44</v>
      </c>
      <c r="U1393" s="11" t="s">
        <v>45</v>
      </c>
      <c r="V1393" s="24">
        <v>45404</v>
      </c>
      <c r="W1393" s="11" t="s">
        <v>57</v>
      </c>
      <c r="X1393" s="11" t="s">
        <v>97</v>
      </c>
      <c r="Y1393" s="11" t="s">
        <v>97</v>
      </c>
      <c r="Z1393" s="11">
        <v>81996787625</v>
      </c>
      <c r="AA1393" s="11" t="s">
        <v>115</v>
      </c>
      <c r="AB1393" s="11" t="s">
        <v>49</v>
      </c>
      <c r="AC1393" s="11" t="s">
        <v>92</v>
      </c>
      <c r="AD1393" s="11" t="b">
        <v>0</v>
      </c>
      <c r="AF1393" s="11" t="s">
        <v>4433</v>
      </c>
      <c r="AG1393" s="11" t="s">
        <v>4434</v>
      </c>
      <c r="AH1393" s="11"/>
      <c r="AI1393" s="264">
        <f t="shared" si="1"/>
        <v>45428</v>
      </c>
    </row>
    <row r="1394" ht="12.5" spans="1:35">
      <c r="A1394" s="177">
        <v>45404.3538756366</v>
      </c>
      <c r="B1394" s="11" t="s">
        <v>4369</v>
      </c>
      <c r="C1394" s="19">
        <v>16086979405</v>
      </c>
      <c r="D1394" s="11">
        <v>898002264795109</v>
      </c>
      <c r="F1394" s="11" t="s">
        <v>40</v>
      </c>
      <c r="G1394" s="11" t="s">
        <v>54</v>
      </c>
      <c r="H1394" s="24">
        <v>39770</v>
      </c>
      <c r="I1394" s="222">
        <v>45338</v>
      </c>
      <c r="J1394" s="11" t="s">
        <v>42</v>
      </c>
      <c r="K1394" s="108" t="s">
        <v>4404</v>
      </c>
      <c r="N1394" s="11" t="s">
        <v>95</v>
      </c>
      <c r="O1394" s="11" t="s">
        <v>44</v>
      </c>
      <c r="P1394" s="11" t="s">
        <v>44</v>
      </c>
      <c r="Q1394" s="11" t="s">
        <v>45</v>
      </c>
      <c r="R1394" s="11" t="s">
        <v>45</v>
      </c>
      <c r="S1394" s="11" t="s">
        <v>83</v>
      </c>
      <c r="T1394" s="11" t="s">
        <v>4405</v>
      </c>
      <c r="U1394" s="11" t="s">
        <v>44</v>
      </c>
      <c r="W1394" s="11" t="s">
        <v>57</v>
      </c>
      <c r="X1394" s="11" t="s">
        <v>203</v>
      </c>
      <c r="Y1394" s="11" t="s">
        <v>68</v>
      </c>
      <c r="Z1394" s="11">
        <v>81996549426</v>
      </c>
      <c r="AA1394" s="11" t="s">
        <v>4381</v>
      </c>
      <c r="AB1394" s="11"/>
      <c r="AC1394" s="11"/>
      <c r="AD1394" s="11" t="b">
        <v>0</v>
      </c>
      <c r="AF1394" s="11"/>
      <c r="AG1394" s="11"/>
      <c r="AH1394" s="11"/>
      <c r="AI1394" s="264">
        <f t="shared" si="1"/>
        <v>45618</v>
      </c>
    </row>
    <row r="1395" ht="12.5" spans="1:35">
      <c r="A1395" s="177">
        <v>45404.3808509259</v>
      </c>
      <c r="B1395" s="11" t="s">
        <v>4435</v>
      </c>
      <c r="C1395" s="19">
        <v>12351052455</v>
      </c>
      <c r="D1395" s="11">
        <v>700002676161908</v>
      </c>
      <c r="E1395" s="18" t="s">
        <v>4436</v>
      </c>
      <c r="F1395" s="11" t="s">
        <v>40</v>
      </c>
      <c r="G1395" s="11" t="s">
        <v>41</v>
      </c>
      <c r="H1395" s="24">
        <v>37181</v>
      </c>
      <c r="I1395" s="232">
        <v>45256</v>
      </c>
      <c r="J1395" s="11" t="s">
        <v>42</v>
      </c>
      <c r="K1395" s="108" t="s">
        <v>4437</v>
      </c>
      <c r="N1395" s="11" t="s">
        <v>43</v>
      </c>
      <c r="O1395" s="11" t="s">
        <v>44</v>
      </c>
      <c r="P1395" s="11" t="s">
        <v>44</v>
      </c>
      <c r="Q1395" s="11" t="s">
        <v>44</v>
      </c>
      <c r="R1395" s="11" t="s">
        <v>45</v>
      </c>
      <c r="S1395" s="11" t="s">
        <v>44</v>
      </c>
      <c r="T1395" s="11" t="s">
        <v>44</v>
      </c>
      <c r="U1395" s="11" t="s">
        <v>44</v>
      </c>
      <c r="W1395" s="11" t="s">
        <v>46</v>
      </c>
      <c r="X1395" s="254" t="s">
        <v>156</v>
      </c>
      <c r="Y1395" s="11" t="s">
        <v>58</v>
      </c>
      <c r="Z1395" s="11">
        <v>81991605647</v>
      </c>
      <c r="AA1395" s="11" t="s">
        <v>1360</v>
      </c>
      <c r="AB1395" s="11"/>
      <c r="AC1395" s="11"/>
      <c r="AD1395" s="11" t="b">
        <v>0</v>
      </c>
      <c r="AF1395" s="11"/>
      <c r="AG1395" s="11"/>
      <c r="AH1395" s="11"/>
      <c r="AI1395" s="265">
        <f t="shared" si="1"/>
        <v>45536</v>
      </c>
    </row>
    <row r="1396" ht="12.5" spans="1:35">
      <c r="A1396" s="177">
        <v>45404.4104849768</v>
      </c>
      <c r="B1396" s="11" t="s">
        <v>4438</v>
      </c>
      <c r="C1396" s="19">
        <v>11486071457</v>
      </c>
      <c r="D1396" s="11">
        <v>702602297172546</v>
      </c>
      <c r="E1396" s="18" t="s">
        <v>4439</v>
      </c>
      <c r="F1396" s="11" t="s">
        <v>40</v>
      </c>
      <c r="G1396" s="11" t="s">
        <v>54</v>
      </c>
      <c r="H1396" s="24">
        <v>36189</v>
      </c>
      <c r="I1396" s="222">
        <v>45344</v>
      </c>
      <c r="J1396" s="11" t="s">
        <v>42</v>
      </c>
      <c r="K1396" s="108" t="s">
        <v>4440</v>
      </c>
      <c r="N1396" s="11" t="s">
        <v>43</v>
      </c>
      <c r="O1396" s="11" t="s">
        <v>44</v>
      </c>
      <c r="P1396" s="11" t="s">
        <v>44</v>
      </c>
      <c r="Q1396" s="11" t="s">
        <v>45</v>
      </c>
      <c r="R1396" s="11" t="s">
        <v>45</v>
      </c>
      <c r="S1396" s="11" t="s">
        <v>45</v>
      </c>
      <c r="T1396" s="11" t="s">
        <v>44</v>
      </c>
      <c r="U1396" s="11" t="s">
        <v>44</v>
      </c>
      <c r="W1396" s="11" t="s">
        <v>46</v>
      </c>
      <c r="X1396" s="11" t="s">
        <v>47</v>
      </c>
      <c r="Y1396" s="254" t="s">
        <v>1169</v>
      </c>
      <c r="Z1396" s="11">
        <v>81983570659</v>
      </c>
      <c r="AA1396" s="11" t="s">
        <v>105</v>
      </c>
      <c r="AB1396" s="11"/>
      <c r="AC1396" s="11"/>
      <c r="AD1396" s="11" t="b">
        <v>0</v>
      </c>
      <c r="AF1396" s="11"/>
      <c r="AG1396" s="11"/>
      <c r="AH1396" s="11"/>
      <c r="AI1396" s="264">
        <f t="shared" si="1"/>
        <v>45624</v>
      </c>
    </row>
    <row r="1397" ht="12.5" spans="1:35">
      <c r="A1397" s="177">
        <v>45404.428368831</v>
      </c>
      <c r="B1397" s="11" t="s">
        <v>4441</v>
      </c>
      <c r="C1397" s="19">
        <v>12328336493</v>
      </c>
      <c r="D1397" s="11">
        <v>706500311039498</v>
      </c>
      <c r="E1397" s="18" t="s">
        <v>4442</v>
      </c>
      <c r="F1397" s="11" t="s">
        <v>40</v>
      </c>
      <c r="G1397" s="11" t="s">
        <v>54</v>
      </c>
      <c r="H1397" s="24">
        <v>36079</v>
      </c>
      <c r="I1397" s="222">
        <v>45265</v>
      </c>
      <c r="J1397" s="11" t="s">
        <v>42</v>
      </c>
      <c r="K1397" s="108" t="s">
        <v>155</v>
      </c>
      <c r="N1397" s="11" t="s">
        <v>43</v>
      </c>
      <c r="O1397" s="11" t="s">
        <v>44</v>
      </c>
      <c r="P1397" s="11" t="s">
        <v>44</v>
      </c>
      <c r="Q1397" s="11" t="s">
        <v>44</v>
      </c>
      <c r="R1397" s="11" t="s">
        <v>45</v>
      </c>
      <c r="S1397" s="11" t="s">
        <v>45</v>
      </c>
      <c r="T1397" s="11" t="s">
        <v>44</v>
      </c>
      <c r="U1397" s="11" t="s">
        <v>44</v>
      </c>
      <c r="W1397" s="11" t="s">
        <v>46</v>
      </c>
      <c r="X1397" s="11" t="s">
        <v>47</v>
      </c>
      <c r="Y1397" s="11" t="s">
        <v>58</v>
      </c>
      <c r="Z1397" s="11">
        <v>81988511057</v>
      </c>
      <c r="AA1397" s="11" t="s">
        <v>1360</v>
      </c>
      <c r="AB1397" s="11"/>
      <c r="AC1397" s="11"/>
      <c r="AD1397" s="11" t="b">
        <v>0</v>
      </c>
      <c r="AF1397" s="11"/>
      <c r="AG1397" s="11"/>
      <c r="AH1397" s="11"/>
      <c r="AI1397" s="264">
        <f t="shared" si="1"/>
        <v>45545</v>
      </c>
    </row>
    <row r="1398" ht="12.5" spans="1:35">
      <c r="A1398" s="177">
        <v>45404.4675710185</v>
      </c>
      <c r="B1398" s="11" t="s">
        <v>4428</v>
      </c>
      <c r="C1398" s="19">
        <v>12936692458</v>
      </c>
      <c r="D1398" s="11">
        <v>700002198921507</v>
      </c>
      <c r="F1398" s="11" t="s">
        <v>40</v>
      </c>
      <c r="G1398" s="11" t="s">
        <v>54</v>
      </c>
      <c r="H1398" s="24">
        <v>37130</v>
      </c>
      <c r="I1398" s="232">
        <v>45246</v>
      </c>
      <c r="J1398" s="11" t="s">
        <v>42</v>
      </c>
      <c r="K1398" s="108" t="s">
        <v>202</v>
      </c>
      <c r="N1398" s="11" t="s">
        <v>95</v>
      </c>
      <c r="O1398" s="11" t="s">
        <v>96</v>
      </c>
      <c r="P1398" s="11" t="s">
        <v>66</v>
      </c>
      <c r="Q1398" s="11" t="s">
        <v>45</v>
      </c>
      <c r="R1398" s="11" t="s">
        <v>45</v>
      </c>
      <c r="S1398" s="11" t="s">
        <v>45</v>
      </c>
      <c r="T1398" s="11" t="s">
        <v>44</v>
      </c>
      <c r="U1398" s="11" t="s">
        <v>45</v>
      </c>
      <c r="V1398" s="24">
        <v>45404</v>
      </c>
      <c r="W1398" s="11" t="s">
        <v>57</v>
      </c>
      <c r="X1398" s="11" t="s">
        <v>97</v>
      </c>
      <c r="Y1398" s="11" t="s">
        <v>97</v>
      </c>
      <c r="Z1398" s="11">
        <v>81993807364</v>
      </c>
      <c r="AA1398" s="11" t="s">
        <v>103</v>
      </c>
      <c r="AB1398" s="11" t="s">
        <v>49</v>
      </c>
      <c r="AC1398" s="11" t="s">
        <v>92</v>
      </c>
      <c r="AD1398" s="11" t="b">
        <v>1</v>
      </c>
      <c r="AE1398" s="11" t="s">
        <v>137</v>
      </c>
      <c r="AF1398" s="11" t="s">
        <v>4443</v>
      </c>
      <c r="AG1398" s="11"/>
      <c r="AH1398" s="11" t="s">
        <v>4444</v>
      </c>
      <c r="AI1398" s="265">
        <f t="shared" si="1"/>
        <v>45526</v>
      </c>
    </row>
    <row r="1399" ht="12.5" spans="1:35">
      <c r="A1399" s="177">
        <v>45404.4871390394</v>
      </c>
      <c r="B1399" s="11" t="s">
        <v>4441</v>
      </c>
      <c r="C1399" s="19">
        <v>12328336493</v>
      </c>
      <c r="D1399" s="11">
        <v>706500311039498</v>
      </c>
      <c r="E1399" s="18" t="s">
        <v>4445</v>
      </c>
      <c r="F1399" s="11" t="s">
        <v>40</v>
      </c>
      <c r="G1399" s="11" t="s">
        <v>54</v>
      </c>
      <c r="H1399" s="24">
        <v>36079</v>
      </c>
      <c r="I1399" s="222">
        <v>45265</v>
      </c>
      <c r="J1399" s="11" t="s">
        <v>42</v>
      </c>
      <c r="K1399" s="108" t="s">
        <v>155</v>
      </c>
      <c r="N1399" s="11" t="s">
        <v>43</v>
      </c>
      <c r="O1399" s="11" t="s">
        <v>44</v>
      </c>
      <c r="P1399" s="11" t="s">
        <v>44</v>
      </c>
      <c r="Q1399" s="11" t="s">
        <v>44</v>
      </c>
      <c r="R1399" s="11" t="s">
        <v>45</v>
      </c>
      <c r="S1399" s="11" t="s">
        <v>45</v>
      </c>
      <c r="T1399" s="11" t="s">
        <v>44</v>
      </c>
      <c r="U1399" s="11" t="s">
        <v>44</v>
      </c>
      <c r="W1399" s="11" t="s">
        <v>46</v>
      </c>
      <c r="X1399" s="11" t="s">
        <v>47</v>
      </c>
      <c r="Y1399" s="11" t="s">
        <v>58</v>
      </c>
      <c r="Z1399" s="11">
        <v>81988511057</v>
      </c>
      <c r="AA1399" s="11" t="s">
        <v>105</v>
      </c>
      <c r="AB1399" s="11"/>
      <c r="AC1399" s="11"/>
      <c r="AD1399" s="11" t="b">
        <v>0</v>
      </c>
      <c r="AF1399" s="11"/>
      <c r="AG1399" s="11"/>
      <c r="AH1399" s="11"/>
      <c r="AI1399" s="264">
        <f t="shared" si="1"/>
        <v>45545</v>
      </c>
    </row>
    <row r="1400" ht="12.5" spans="1:35">
      <c r="A1400" s="177">
        <v>45404.6949799074</v>
      </c>
      <c r="B1400" s="11" t="s">
        <v>4428</v>
      </c>
      <c r="C1400" s="19">
        <v>12936692458</v>
      </c>
      <c r="D1400" s="11">
        <v>700002198921507</v>
      </c>
      <c r="E1400" s="18" t="s">
        <v>4446</v>
      </c>
      <c r="F1400" s="11" t="s">
        <v>40</v>
      </c>
      <c r="G1400" s="11" t="s">
        <v>54</v>
      </c>
      <c r="H1400" s="24">
        <v>37130</v>
      </c>
      <c r="I1400" s="19" t="s">
        <v>865</v>
      </c>
      <c r="J1400" s="11" t="s">
        <v>42</v>
      </c>
      <c r="K1400" s="108" t="s">
        <v>202</v>
      </c>
      <c r="N1400" s="11" t="s">
        <v>95</v>
      </c>
      <c r="O1400" s="11" t="s">
        <v>65</v>
      </c>
      <c r="P1400" s="11" t="s">
        <v>66</v>
      </c>
      <c r="Q1400" s="11" t="s">
        <v>44</v>
      </c>
      <c r="R1400" s="11" t="s">
        <v>45</v>
      </c>
      <c r="S1400" s="11" t="s">
        <v>45</v>
      </c>
      <c r="T1400" s="11" t="s">
        <v>44</v>
      </c>
      <c r="U1400" s="11" t="s">
        <v>45</v>
      </c>
      <c r="V1400" s="24">
        <v>45404</v>
      </c>
      <c r="W1400" s="11" t="s">
        <v>46</v>
      </c>
      <c r="X1400" s="11" t="s">
        <v>97</v>
      </c>
      <c r="Y1400" s="11" t="s">
        <v>97</v>
      </c>
      <c r="Z1400" s="11">
        <v>81993807364</v>
      </c>
      <c r="AA1400" s="11" t="s">
        <v>91</v>
      </c>
      <c r="AB1400" s="11" t="s">
        <v>98</v>
      </c>
      <c r="AC1400" s="11"/>
      <c r="AD1400" s="11" t="b">
        <v>0</v>
      </c>
      <c r="AF1400" s="11" t="s">
        <v>4447</v>
      </c>
      <c r="AG1400" s="11" t="s">
        <v>4448</v>
      </c>
      <c r="AH1400" s="11"/>
      <c r="AI1400" s="263" t="e">
        <f t="shared" si="1"/>
        <v>#VALUE!</v>
      </c>
    </row>
    <row r="1401" ht="12.5" spans="1:35">
      <c r="A1401" s="177">
        <v>45404.7104326968</v>
      </c>
      <c r="B1401" s="11" t="s">
        <v>4417</v>
      </c>
      <c r="C1401" s="277" t="s">
        <v>4418</v>
      </c>
      <c r="D1401" s="11">
        <v>702903507965774</v>
      </c>
      <c r="F1401" s="11" t="s">
        <v>40</v>
      </c>
      <c r="G1401" s="11" t="s">
        <v>54</v>
      </c>
      <c r="H1401" s="24">
        <v>33423</v>
      </c>
      <c r="I1401" s="222">
        <v>45148</v>
      </c>
      <c r="J1401" s="11" t="s">
        <v>81</v>
      </c>
      <c r="K1401" s="108"/>
      <c r="L1401" s="11" t="s">
        <v>525</v>
      </c>
      <c r="N1401" s="11" t="s">
        <v>95</v>
      </c>
      <c r="O1401" s="11" t="s">
        <v>127</v>
      </c>
      <c r="P1401" s="11" t="s">
        <v>44</v>
      </c>
      <c r="Q1401" s="11" t="s">
        <v>44</v>
      </c>
      <c r="R1401" s="11" t="s">
        <v>45</v>
      </c>
      <c r="S1401" s="11" t="s">
        <v>45</v>
      </c>
      <c r="T1401" s="11" t="s">
        <v>44</v>
      </c>
      <c r="U1401" s="11" t="s">
        <v>44</v>
      </c>
      <c r="W1401" s="11" t="s">
        <v>57</v>
      </c>
      <c r="X1401" s="11" t="s">
        <v>97</v>
      </c>
      <c r="Y1401" s="11" t="s">
        <v>97</v>
      </c>
      <c r="Z1401" s="11">
        <v>81996787625</v>
      </c>
      <c r="AA1401" s="11" t="s">
        <v>91</v>
      </c>
      <c r="AB1401" s="11"/>
      <c r="AC1401" s="11"/>
      <c r="AD1401" s="11" t="b">
        <v>0</v>
      </c>
      <c r="AF1401" s="11"/>
      <c r="AG1401" s="11"/>
      <c r="AH1401" s="11"/>
      <c r="AI1401" s="264">
        <f t="shared" si="1"/>
        <v>45428</v>
      </c>
    </row>
    <row r="1402" ht="12.5" spans="1:35">
      <c r="A1402" s="177">
        <v>45404.7500846875</v>
      </c>
      <c r="B1402" s="11" t="s">
        <v>4449</v>
      </c>
      <c r="C1402" s="19">
        <v>70568093402</v>
      </c>
      <c r="D1402" s="11">
        <v>709601686997275</v>
      </c>
      <c r="E1402" s="18" t="s">
        <v>4450</v>
      </c>
      <c r="F1402" s="11" t="s">
        <v>40</v>
      </c>
      <c r="G1402" s="11" t="s">
        <v>88</v>
      </c>
      <c r="H1402" s="24">
        <v>36295</v>
      </c>
      <c r="I1402" s="222">
        <v>45199</v>
      </c>
      <c r="J1402" s="11" t="s">
        <v>42</v>
      </c>
      <c r="K1402" s="108" t="s">
        <v>202</v>
      </c>
      <c r="N1402" s="11" t="s">
        <v>43</v>
      </c>
      <c r="O1402" s="11" t="s">
        <v>65</v>
      </c>
      <c r="P1402" s="11" t="s">
        <v>66</v>
      </c>
      <c r="Q1402" s="11" t="s">
        <v>44</v>
      </c>
      <c r="R1402" s="11" t="s">
        <v>45</v>
      </c>
      <c r="S1402" s="11" t="s">
        <v>45</v>
      </c>
      <c r="T1402" s="11" t="s">
        <v>44</v>
      </c>
      <c r="U1402" s="11" t="s">
        <v>45</v>
      </c>
      <c r="V1402" s="24">
        <v>45405</v>
      </c>
      <c r="W1402" s="11" t="s">
        <v>46</v>
      </c>
      <c r="X1402" s="11" t="s">
        <v>47</v>
      </c>
      <c r="Y1402" s="11" t="s">
        <v>58</v>
      </c>
      <c r="Z1402" s="11">
        <v>81985712079</v>
      </c>
      <c r="AA1402" s="11" t="s">
        <v>105</v>
      </c>
      <c r="AB1402" s="11" t="s">
        <v>98</v>
      </c>
      <c r="AC1402" s="11"/>
      <c r="AD1402" s="11" t="b">
        <v>0</v>
      </c>
      <c r="AF1402" s="11" t="s">
        <v>4451</v>
      </c>
      <c r="AG1402" s="11" t="s">
        <v>2378</v>
      </c>
      <c r="AH1402" s="11"/>
      <c r="AI1402" s="264">
        <f t="shared" si="1"/>
        <v>45479</v>
      </c>
    </row>
    <row r="1403" ht="12.5" spans="1:35">
      <c r="A1403" s="177">
        <v>45405.3740329745</v>
      </c>
      <c r="B1403" s="11" t="s">
        <v>3809</v>
      </c>
      <c r="C1403" s="277" t="s">
        <v>3810</v>
      </c>
      <c r="D1403" s="11">
        <v>700600901502064</v>
      </c>
      <c r="E1403" s="18" t="s">
        <v>4452</v>
      </c>
      <c r="F1403" s="11" t="s">
        <v>40</v>
      </c>
      <c r="G1403" s="11" t="s">
        <v>54</v>
      </c>
      <c r="H1403" s="24">
        <v>32410</v>
      </c>
      <c r="I1403" s="222">
        <v>45309</v>
      </c>
      <c r="J1403" s="11" t="s">
        <v>42</v>
      </c>
      <c r="K1403" s="108" t="s">
        <v>4453</v>
      </c>
      <c r="N1403" s="11" t="s">
        <v>43</v>
      </c>
      <c r="O1403" s="11" t="s">
        <v>44</v>
      </c>
      <c r="P1403" s="11" t="s">
        <v>44</v>
      </c>
      <c r="Q1403" s="11" t="s">
        <v>44</v>
      </c>
      <c r="R1403" s="11" t="s">
        <v>45</v>
      </c>
      <c r="S1403" s="11" t="s">
        <v>83</v>
      </c>
      <c r="T1403" s="11" t="s">
        <v>44</v>
      </c>
      <c r="U1403" s="11" t="s">
        <v>44</v>
      </c>
      <c r="W1403" s="11" t="s">
        <v>57</v>
      </c>
      <c r="X1403" s="11" t="s">
        <v>47</v>
      </c>
      <c r="Y1403" s="11" t="s">
        <v>58</v>
      </c>
      <c r="Z1403" s="11">
        <v>81986784448</v>
      </c>
      <c r="AA1403" s="11" t="s">
        <v>105</v>
      </c>
      <c r="AB1403" s="11"/>
      <c r="AC1403" s="11"/>
      <c r="AD1403" s="11" t="b">
        <v>0</v>
      </c>
      <c r="AF1403" s="11"/>
      <c r="AG1403" s="11"/>
      <c r="AH1403" s="11"/>
      <c r="AI1403" s="264">
        <f t="shared" si="1"/>
        <v>45589</v>
      </c>
    </row>
    <row r="1404" ht="12.5" spans="1:35">
      <c r="A1404" s="177">
        <v>45405.4151329051</v>
      </c>
      <c r="B1404" s="11" t="s">
        <v>4454</v>
      </c>
      <c r="C1404" s="277" t="s">
        <v>4455</v>
      </c>
      <c r="D1404" s="51">
        <v>700007158565208</v>
      </c>
      <c r="E1404" s="18" t="s">
        <v>4456</v>
      </c>
      <c r="F1404" s="11" t="s">
        <v>40</v>
      </c>
      <c r="G1404" s="11" t="s">
        <v>88</v>
      </c>
      <c r="H1404" s="24">
        <v>31040</v>
      </c>
      <c r="I1404" s="222">
        <v>45316</v>
      </c>
      <c r="J1404" s="11" t="s">
        <v>42</v>
      </c>
      <c r="K1404" s="108" t="s">
        <v>4457</v>
      </c>
      <c r="N1404" s="11" t="s">
        <v>43</v>
      </c>
      <c r="O1404" s="11" t="s">
        <v>65</v>
      </c>
      <c r="P1404" s="11" t="s">
        <v>66</v>
      </c>
      <c r="Q1404" s="11" t="s">
        <v>44</v>
      </c>
      <c r="R1404" s="11" t="s">
        <v>44</v>
      </c>
      <c r="S1404" s="11" t="s">
        <v>44</v>
      </c>
      <c r="T1404" s="11" t="s">
        <v>44</v>
      </c>
      <c r="U1404" s="11" t="s">
        <v>45</v>
      </c>
      <c r="V1404" s="24">
        <v>45406</v>
      </c>
      <c r="W1404" s="11" t="s">
        <v>46</v>
      </c>
      <c r="X1404" s="11" t="s">
        <v>47</v>
      </c>
      <c r="Y1404" s="11" t="s">
        <v>58</v>
      </c>
      <c r="Z1404" s="11">
        <v>81988619515</v>
      </c>
      <c r="AA1404" s="11" t="s">
        <v>3919</v>
      </c>
      <c r="AB1404" s="11" t="s">
        <v>98</v>
      </c>
      <c r="AC1404" s="11"/>
      <c r="AD1404" s="11" t="b">
        <v>0</v>
      </c>
      <c r="AF1404" s="11" t="s">
        <v>4458</v>
      </c>
      <c r="AG1404" s="11" t="s">
        <v>4459</v>
      </c>
      <c r="AH1404" s="11"/>
      <c r="AI1404" s="264">
        <f t="shared" si="1"/>
        <v>45596</v>
      </c>
    </row>
    <row r="1405" ht="12.5" spans="1:35">
      <c r="A1405" s="177">
        <v>45405.4720383218</v>
      </c>
      <c r="B1405" s="11" t="s">
        <v>3663</v>
      </c>
      <c r="C1405" s="277" t="s">
        <v>3664</v>
      </c>
      <c r="D1405" s="11">
        <v>707600256228694</v>
      </c>
      <c r="E1405" s="18" t="s">
        <v>4460</v>
      </c>
      <c r="F1405" s="11" t="s">
        <v>40</v>
      </c>
      <c r="G1405" s="11" t="s">
        <v>54</v>
      </c>
      <c r="H1405" s="24">
        <v>31837</v>
      </c>
      <c r="I1405" s="232">
        <v>45287</v>
      </c>
      <c r="J1405" s="11" t="s">
        <v>42</v>
      </c>
      <c r="K1405" s="108" t="s">
        <v>4461</v>
      </c>
      <c r="N1405" s="11" t="s">
        <v>43</v>
      </c>
      <c r="O1405" s="11" t="s">
        <v>44</v>
      </c>
      <c r="P1405" s="11" t="s">
        <v>44</v>
      </c>
      <c r="Q1405" s="11" t="s">
        <v>44</v>
      </c>
      <c r="R1405" s="11" t="s">
        <v>45</v>
      </c>
      <c r="S1405" s="11" t="s">
        <v>83</v>
      </c>
      <c r="T1405" s="11" t="s">
        <v>44</v>
      </c>
      <c r="U1405" s="11" t="s">
        <v>45</v>
      </c>
      <c r="V1405" s="24">
        <v>45406</v>
      </c>
      <c r="W1405" s="11" t="s">
        <v>46</v>
      </c>
      <c r="X1405" s="11" t="s">
        <v>47</v>
      </c>
      <c r="Y1405" s="11" t="s">
        <v>58</v>
      </c>
      <c r="Z1405" s="11">
        <v>81983419322</v>
      </c>
      <c r="AA1405" s="11" t="s">
        <v>3919</v>
      </c>
      <c r="AB1405" s="11" t="s">
        <v>49</v>
      </c>
      <c r="AC1405" s="11" t="s">
        <v>92</v>
      </c>
      <c r="AD1405" s="11" t="b">
        <v>0</v>
      </c>
      <c r="AF1405" s="11" t="s">
        <v>4462</v>
      </c>
      <c r="AG1405" s="11" t="s">
        <v>4463</v>
      </c>
      <c r="AH1405" s="11"/>
      <c r="AI1405" s="265">
        <f t="shared" si="1"/>
        <v>45567</v>
      </c>
    </row>
    <row r="1406" ht="12.5" spans="1:35">
      <c r="A1406" s="177">
        <v>45405.5184731713</v>
      </c>
      <c r="B1406" s="11" t="s">
        <v>2268</v>
      </c>
      <c r="C1406" s="277" t="s">
        <v>2269</v>
      </c>
      <c r="D1406" s="11">
        <v>700006358142601</v>
      </c>
      <c r="E1406" s="18" t="s">
        <v>4464</v>
      </c>
      <c r="F1406" s="11" t="s">
        <v>40</v>
      </c>
      <c r="G1406" s="11" t="s">
        <v>54</v>
      </c>
      <c r="H1406" s="24">
        <v>33738</v>
      </c>
      <c r="I1406" s="19" t="s">
        <v>865</v>
      </c>
      <c r="J1406" s="11" t="s">
        <v>42</v>
      </c>
      <c r="K1406" s="108" t="s">
        <v>302</v>
      </c>
      <c r="N1406" s="11" t="s">
        <v>43</v>
      </c>
      <c r="O1406" s="11" t="s">
        <v>44</v>
      </c>
      <c r="P1406" s="11" t="s">
        <v>44</v>
      </c>
      <c r="Q1406" s="11" t="s">
        <v>44</v>
      </c>
      <c r="R1406" s="11" t="s">
        <v>45</v>
      </c>
      <c r="S1406" s="11" t="s">
        <v>45</v>
      </c>
      <c r="T1406" s="11" t="s">
        <v>44</v>
      </c>
      <c r="U1406" s="11" t="s">
        <v>45</v>
      </c>
      <c r="V1406" s="24">
        <v>45406</v>
      </c>
      <c r="W1406" s="11" t="s">
        <v>46</v>
      </c>
      <c r="X1406" s="11" t="s">
        <v>47</v>
      </c>
      <c r="Y1406" s="11" t="s">
        <v>58</v>
      </c>
      <c r="Z1406" s="11">
        <v>81984315301</v>
      </c>
      <c r="AA1406" s="11" t="s">
        <v>3919</v>
      </c>
      <c r="AB1406" s="11" t="s">
        <v>49</v>
      </c>
      <c r="AC1406" s="11" t="s">
        <v>92</v>
      </c>
      <c r="AD1406" s="11" t="b">
        <v>0</v>
      </c>
      <c r="AF1406" s="11" t="s">
        <v>4465</v>
      </c>
      <c r="AG1406" s="11"/>
      <c r="AH1406" s="11"/>
      <c r="AI1406" s="263" t="e">
        <f t="shared" si="1"/>
        <v>#VALUE!</v>
      </c>
    </row>
    <row r="1407" ht="12.5" spans="1:35">
      <c r="A1407" s="177">
        <v>45406.406636412</v>
      </c>
      <c r="B1407" s="11" t="s">
        <v>2268</v>
      </c>
      <c r="C1407" s="277" t="s">
        <v>2269</v>
      </c>
      <c r="D1407" s="11">
        <v>700006358142601</v>
      </c>
      <c r="F1407" s="11" t="s">
        <v>40</v>
      </c>
      <c r="G1407" s="11" t="s">
        <v>54</v>
      </c>
      <c r="H1407" s="24">
        <v>33738</v>
      </c>
      <c r="I1407" s="19" t="s">
        <v>136</v>
      </c>
      <c r="J1407" s="11" t="s">
        <v>42</v>
      </c>
      <c r="K1407" s="108" t="s">
        <v>302</v>
      </c>
      <c r="N1407" s="11" t="s">
        <v>95</v>
      </c>
      <c r="O1407" s="11" t="s">
        <v>44</v>
      </c>
      <c r="P1407" s="11" t="s">
        <v>44</v>
      </c>
      <c r="Q1407" s="11" t="s">
        <v>44</v>
      </c>
      <c r="R1407" s="11" t="s">
        <v>45</v>
      </c>
      <c r="S1407" s="11" t="s">
        <v>45</v>
      </c>
      <c r="T1407" s="11" t="s">
        <v>44</v>
      </c>
      <c r="U1407" s="11" t="s">
        <v>45</v>
      </c>
      <c r="V1407" s="24">
        <v>45407</v>
      </c>
      <c r="W1407" s="11" t="s">
        <v>57</v>
      </c>
      <c r="X1407" s="11" t="s">
        <v>97</v>
      </c>
      <c r="Y1407" s="11" t="s">
        <v>97</v>
      </c>
      <c r="Z1407" s="11">
        <v>81984315301</v>
      </c>
      <c r="AA1407" s="11" t="s">
        <v>91</v>
      </c>
      <c r="AB1407" s="11" t="s">
        <v>49</v>
      </c>
      <c r="AC1407" s="11" t="s">
        <v>92</v>
      </c>
      <c r="AD1407" s="11" t="b">
        <v>0</v>
      </c>
      <c r="AF1407" s="11" t="s">
        <v>4466</v>
      </c>
      <c r="AG1407" s="11" t="s">
        <v>4467</v>
      </c>
      <c r="AH1407" s="11"/>
      <c r="AI1407" s="263" t="e">
        <f t="shared" si="1"/>
        <v>#VALUE!</v>
      </c>
    </row>
    <row r="1408" ht="12.5" spans="1:35">
      <c r="A1408" s="177">
        <v>45406.4521731597</v>
      </c>
      <c r="B1408" s="11" t="s">
        <v>4468</v>
      </c>
      <c r="C1408" s="19">
        <v>70541703420</v>
      </c>
      <c r="D1408" s="11">
        <v>700004688616605</v>
      </c>
      <c r="E1408" s="18" t="s">
        <v>4469</v>
      </c>
      <c r="F1408" s="11" t="s">
        <v>225</v>
      </c>
      <c r="G1408" s="11" t="s">
        <v>41</v>
      </c>
      <c r="H1408" s="24">
        <v>35163</v>
      </c>
      <c r="I1408" s="232">
        <v>45221</v>
      </c>
      <c r="J1408" s="11" t="s">
        <v>42</v>
      </c>
      <c r="K1408" s="108" t="s">
        <v>3422</v>
      </c>
      <c r="N1408" s="11" t="s">
        <v>43</v>
      </c>
      <c r="O1408" s="11" t="s">
        <v>44</v>
      </c>
      <c r="P1408" s="11" t="s">
        <v>44</v>
      </c>
      <c r="Q1408" s="11" t="s">
        <v>44</v>
      </c>
      <c r="R1408" s="11" t="s">
        <v>45</v>
      </c>
      <c r="S1408" s="11" t="s">
        <v>45</v>
      </c>
      <c r="T1408" s="11" t="s">
        <v>44</v>
      </c>
      <c r="U1408" s="11" t="s">
        <v>44</v>
      </c>
      <c r="W1408" s="11" t="s">
        <v>57</v>
      </c>
      <c r="X1408" s="254" t="s">
        <v>67</v>
      </c>
      <c r="Y1408" s="11" t="s">
        <v>58</v>
      </c>
      <c r="Z1408" s="11">
        <v>81979060734</v>
      </c>
      <c r="AA1408" s="11" t="s">
        <v>105</v>
      </c>
      <c r="AB1408" s="11"/>
      <c r="AC1408" s="11"/>
      <c r="AD1408" s="11" t="b">
        <v>0</v>
      </c>
      <c r="AF1408" s="11"/>
      <c r="AG1408" s="11"/>
      <c r="AH1408" s="11"/>
      <c r="AI1408" s="265">
        <f t="shared" si="1"/>
        <v>45501</v>
      </c>
    </row>
    <row r="1409" ht="12.5" spans="1:35">
      <c r="A1409" s="177">
        <v>45406.5330077894</v>
      </c>
      <c r="B1409" s="11" t="s">
        <v>4470</v>
      </c>
      <c r="C1409" s="19">
        <v>70447520474</v>
      </c>
      <c r="D1409" s="11">
        <v>700006909687501</v>
      </c>
      <c r="E1409" s="18" t="s">
        <v>4471</v>
      </c>
      <c r="F1409" s="11" t="s">
        <v>40</v>
      </c>
      <c r="G1409" s="11" t="s">
        <v>54</v>
      </c>
      <c r="H1409" s="24">
        <v>33360</v>
      </c>
      <c r="I1409" s="222">
        <v>45190</v>
      </c>
      <c r="J1409" s="11" t="s">
        <v>42</v>
      </c>
      <c r="K1409" s="108" t="s">
        <v>81</v>
      </c>
      <c r="N1409" s="11" t="s">
        <v>43</v>
      </c>
      <c r="O1409" s="11" t="s">
        <v>65</v>
      </c>
      <c r="P1409" s="11" t="s">
        <v>66</v>
      </c>
      <c r="Q1409" s="11" t="s">
        <v>44</v>
      </c>
      <c r="R1409" s="11" t="s">
        <v>44</v>
      </c>
      <c r="S1409" s="11" t="s">
        <v>44</v>
      </c>
      <c r="T1409" s="11" t="s">
        <v>44</v>
      </c>
      <c r="U1409" s="11" t="s">
        <v>45</v>
      </c>
      <c r="V1409" s="24">
        <v>45407</v>
      </c>
      <c r="W1409" s="11" t="s">
        <v>46</v>
      </c>
      <c r="X1409" s="11" t="s">
        <v>47</v>
      </c>
      <c r="Y1409" s="11" t="s">
        <v>58</v>
      </c>
      <c r="Z1409" s="11">
        <v>81974009779</v>
      </c>
      <c r="AA1409" s="11" t="s">
        <v>105</v>
      </c>
      <c r="AB1409" s="11" t="s">
        <v>98</v>
      </c>
      <c r="AC1409" s="11"/>
      <c r="AD1409" s="11" t="b">
        <v>0</v>
      </c>
      <c r="AF1409" s="11" t="s">
        <v>4472</v>
      </c>
      <c r="AG1409" s="11" t="s">
        <v>4473</v>
      </c>
      <c r="AH1409" s="11"/>
      <c r="AI1409" s="264">
        <f t="shared" si="1"/>
        <v>45470</v>
      </c>
    </row>
    <row r="1410" ht="12.5" spans="1:35">
      <c r="A1410" s="177">
        <v>45406.5980382292</v>
      </c>
      <c r="B1410" s="11" t="s">
        <v>3663</v>
      </c>
      <c r="C1410" s="277" t="s">
        <v>3664</v>
      </c>
      <c r="D1410" s="11">
        <v>707600256228694</v>
      </c>
      <c r="F1410" s="11" t="s">
        <v>40</v>
      </c>
      <c r="G1410" s="11" t="s">
        <v>54</v>
      </c>
      <c r="H1410" s="24">
        <v>31837</v>
      </c>
      <c r="I1410" s="232">
        <v>45287</v>
      </c>
      <c r="J1410" s="11" t="s">
        <v>42</v>
      </c>
      <c r="K1410" s="108" t="s">
        <v>4474</v>
      </c>
      <c r="N1410" s="11" t="s">
        <v>95</v>
      </c>
      <c r="O1410" s="11" t="s">
        <v>44</v>
      </c>
      <c r="P1410" s="11" t="s">
        <v>44</v>
      </c>
      <c r="Q1410" s="11" t="s">
        <v>44</v>
      </c>
      <c r="R1410" s="11" t="s">
        <v>45</v>
      </c>
      <c r="S1410" s="11" t="s">
        <v>45</v>
      </c>
      <c r="T1410" s="11" t="s">
        <v>44</v>
      </c>
      <c r="U1410" s="11" t="s">
        <v>44</v>
      </c>
      <c r="W1410" s="11" t="s">
        <v>57</v>
      </c>
      <c r="X1410" s="11" t="s">
        <v>97</v>
      </c>
      <c r="Y1410" s="11" t="s">
        <v>97</v>
      </c>
      <c r="Z1410" s="11">
        <v>81983419322</v>
      </c>
      <c r="AA1410" s="11" t="s">
        <v>91</v>
      </c>
      <c r="AB1410" s="11"/>
      <c r="AC1410" s="11"/>
      <c r="AD1410" s="11" t="b">
        <v>0</v>
      </c>
      <c r="AF1410" s="11"/>
      <c r="AG1410" s="11"/>
      <c r="AH1410" s="11"/>
      <c r="AI1410" s="265">
        <f t="shared" si="1"/>
        <v>45567</v>
      </c>
    </row>
    <row r="1411" ht="12.5" spans="1:35">
      <c r="A1411" s="177">
        <v>45407.3753662153</v>
      </c>
      <c r="B1411" s="11" t="s">
        <v>4475</v>
      </c>
      <c r="C1411" s="19">
        <v>16111438450</v>
      </c>
      <c r="D1411" s="11">
        <v>702803137555969</v>
      </c>
      <c r="E1411" s="18" t="s">
        <v>4476</v>
      </c>
      <c r="F1411" s="11" t="s">
        <v>40</v>
      </c>
      <c r="G1411" s="11" t="s">
        <v>41</v>
      </c>
      <c r="H1411" s="24">
        <v>37871</v>
      </c>
      <c r="I1411" s="222">
        <v>45356</v>
      </c>
      <c r="J1411" s="11" t="s">
        <v>42</v>
      </c>
      <c r="K1411" s="108" t="s">
        <v>155</v>
      </c>
      <c r="N1411" s="11" t="s">
        <v>43</v>
      </c>
      <c r="O1411" s="11" t="s">
        <v>65</v>
      </c>
      <c r="P1411" s="11" t="s">
        <v>66</v>
      </c>
      <c r="Q1411" s="11" t="s">
        <v>44</v>
      </c>
      <c r="R1411" s="11" t="s">
        <v>45</v>
      </c>
      <c r="S1411" s="11" t="s">
        <v>45</v>
      </c>
      <c r="T1411" s="11" t="s">
        <v>44</v>
      </c>
      <c r="U1411" s="11" t="s">
        <v>45</v>
      </c>
      <c r="V1411" s="24">
        <v>45408</v>
      </c>
      <c r="W1411" s="11" t="s">
        <v>46</v>
      </c>
      <c r="X1411" s="11" t="s">
        <v>47</v>
      </c>
      <c r="Y1411" s="11" t="s">
        <v>58</v>
      </c>
      <c r="Z1411" s="11">
        <v>81981215396</v>
      </c>
      <c r="AA1411" s="11" t="s">
        <v>105</v>
      </c>
      <c r="AB1411" s="11" t="s">
        <v>98</v>
      </c>
      <c r="AC1411" s="11"/>
      <c r="AD1411" s="11" t="b">
        <v>0</v>
      </c>
      <c r="AF1411" s="11" t="s">
        <v>4477</v>
      </c>
      <c r="AG1411" s="11" t="s">
        <v>4478</v>
      </c>
      <c r="AH1411" s="11"/>
      <c r="AI1411" s="264">
        <f t="shared" si="1"/>
        <v>45636</v>
      </c>
    </row>
    <row r="1412" ht="12.5" spans="1:35">
      <c r="A1412" s="177">
        <v>45407.4129511343</v>
      </c>
      <c r="B1412" s="11" t="s">
        <v>4479</v>
      </c>
      <c r="C1412" s="19">
        <v>17100735432</v>
      </c>
      <c r="D1412" s="11">
        <v>705001079158354</v>
      </c>
      <c r="E1412" s="18" t="s">
        <v>4480</v>
      </c>
      <c r="F1412" s="11" t="s">
        <v>40</v>
      </c>
      <c r="G1412" s="11" t="s">
        <v>88</v>
      </c>
      <c r="H1412" s="24">
        <v>39081</v>
      </c>
      <c r="I1412" s="232">
        <v>45288</v>
      </c>
      <c r="J1412" s="11" t="s">
        <v>42</v>
      </c>
      <c r="K1412" s="108" t="s">
        <v>74</v>
      </c>
      <c r="N1412" s="11" t="s">
        <v>43</v>
      </c>
      <c r="O1412" s="11" t="s">
        <v>96</v>
      </c>
      <c r="P1412" s="11" t="s">
        <v>56</v>
      </c>
      <c r="Q1412" s="11" t="s">
        <v>44</v>
      </c>
      <c r="R1412" s="11" t="s">
        <v>45</v>
      </c>
      <c r="S1412" s="11" t="s">
        <v>45</v>
      </c>
      <c r="T1412" s="11" t="s">
        <v>44</v>
      </c>
      <c r="U1412" s="11" t="s">
        <v>45</v>
      </c>
      <c r="V1412" s="24">
        <v>45408</v>
      </c>
      <c r="W1412" s="11" t="s">
        <v>46</v>
      </c>
      <c r="X1412" s="11" t="s">
        <v>47</v>
      </c>
      <c r="Y1412" s="11" t="s">
        <v>185</v>
      </c>
      <c r="Z1412" s="11">
        <v>81989923992</v>
      </c>
      <c r="AA1412" s="11" t="s">
        <v>3919</v>
      </c>
      <c r="AB1412" s="11" t="s">
        <v>98</v>
      </c>
      <c r="AC1412" s="11"/>
      <c r="AD1412" s="11" t="b">
        <v>0</v>
      </c>
      <c r="AF1412" s="11" t="s">
        <v>4481</v>
      </c>
      <c r="AG1412" s="11" t="s">
        <v>4482</v>
      </c>
      <c r="AH1412" s="141" t="s">
        <v>4483</v>
      </c>
      <c r="AI1412" s="265">
        <f t="shared" si="1"/>
        <v>45568</v>
      </c>
    </row>
    <row r="1413" ht="12.5" spans="1:35">
      <c r="A1413" s="177">
        <v>45407.6630554745</v>
      </c>
      <c r="B1413" s="11" t="s">
        <v>4484</v>
      </c>
      <c r="C1413" s="19">
        <v>71099512433</v>
      </c>
      <c r="D1413" s="11">
        <v>898004836101605</v>
      </c>
      <c r="E1413" s="18" t="s">
        <v>4485</v>
      </c>
      <c r="F1413" s="11" t="s">
        <v>40</v>
      </c>
      <c r="G1413" s="11" t="s">
        <v>54</v>
      </c>
      <c r="H1413" s="24">
        <v>36837</v>
      </c>
      <c r="I1413" s="19" t="s">
        <v>1310</v>
      </c>
      <c r="J1413" s="11" t="s">
        <v>42</v>
      </c>
      <c r="K1413" s="108" t="s">
        <v>4486</v>
      </c>
      <c r="N1413" s="11" t="s">
        <v>43</v>
      </c>
      <c r="O1413" s="11" t="s">
        <v>44</v>
      </c>
      <c r="P1413" s="11" t="s">
        <v>44</v>
      </c>
      <c r="Q1413" s="11" t="s">
        <v>44</v>
      </c>
      <c r="R1413" s="11" t="s">
        <v>44</v>
      </c>
      <c r="S1413" s="11" t="s">
        <v>44</v>
      </c>
      <c r="T1413" s="11" t="s">
        <v>44</v>
      </c>
      <c r="U1413" s="11" t="s">
        <v>44</v>
      </c>
      <c r="W1413" s="11" t="s">
        <v>46</v>
      </c>
      <c r="X1413" s="11" t="s">
        <v>47</v>
      </c>
      <c r="Y1413" s="11" t="s">
        <v>58</v>
      </c>
      <c r="Z1413" s="11">
        <v>81999538590</v>
      </c>
      <c r="AA1413" s="11" t="s">
        <v>91</v>
      </c>
      <c r="AB1413" s="11"/>
      <c r="AC1413" s="11"/>
      <c r="AD1413" s="11" t="b">
        <v>0</v>
      </c>
      <c r="AF1413" s="11"/>
      <c r="AG1413" s="11"/>
      <c r="AH1413" s="11"/>
      <c r="AI1413" s="263" t="e">
        <f t="shared" si="1"/>
        <v>#VALUE!</v>
      </c>
    </row>
    <row r="1414" ht="12.5" spans="1:35">
      <c r="A1414" s="177">
        <v>45407.6817520486</v>
      </c>
      <c r="B1414" s="11" t="s">
        <v>2268</v>
      </c>
      <c r="C1414" s="277" t="s">
        <v>2269</v>
      </c>
      <c r="D1414" s="11">
        <v>700006358142601</v>
      </c>
      <c r="F1414" s="11" t="s">
        <v>40</v>
      </c>
      <c r="G1414" s="11" t="s">
        <v>54</v>
      </c>
      <c r="H1414" s="24">
        <v>33739</v>
      </c>
      <c r="I1414" s="19" t="s">
        <v>136</v>
      </c>
      <c r="J1414" s="11" t="s">
        <v>42</v>
      </c>
      <c r="K1414" s="108" t="s">
        <v>302</v>
      </c>
      <c r="N1414" s="11" t="s">
        <v>95</v>
      </c>
      <c r="O1414" s="11" t="s">
        <v>44</v>
      </c>
      <c r="P1414" s="11" t="s">
        <v>44</v>
      </c>
      <c r="Q1414" s="11" t="s">
        <v>44</v>
      </c>
      <c r="R1414" s="11" t="s">
        <v>45</v>
      </c>
      <c r="S1414" s="11" t="s">
        <v>45</v>
      </c>
      <c r="T1414" s="11" t="s">
        <v>44</v>
      </c>
      <c r="U1414" s="11" t="s">
        <v>44</v>
      </c>
      <c r="W1414" s="11" t="s">
        <v>57</v>
      </c>
      <c r="X1414" s="11" t="s">
        <v>97</v>
      </c>
      <c r="Y1414" s="11" t="s">
        <v>97</v>
      </c>
      <c r="Z1414" s="11">
        <v>81984315301</v>
      </c>
      <c r="AA1414" s="11" t="s">
        <v>91</v>
      </c>
      <c r="AB1414" s="11"/>
      <c r="AC1414" s="11"/>
      <c r="AD1414" s="11" t="b">
        <v>0</v>
      </c>
      <c r="AF1414" s="11"/>
      <c r="AG1414" s="11"/>
      <c r="AH1414" s="11"/>
      <c r="AI1414" s="263" t="e">
        <f t="shared" si="1"/>
        <v>#VALUE!</v>
      </c>
    </row>
    <row r="1415" ht="12.5" spans="1:35">
      <c r="A1415" s="177">
        <v>45407.7945187732</v>
      </c>
      <c r="B1415" s="11" t="s">
        <v>4487</v>
      </c>
      <c r="C1415" s="277" t="s">
        <v>4488</v>
      </c>
      <c r="D1415" s="11">
        <v>700802998286086</v>
      </c>
      <c r="E1415" s="18" t="s">
        <v>4489</v>
      </c>
      <c r="F1415" s="11" t="s">
        <v>225</v>
      </c>
      <c r="G1415" s="11" t="s">
        <v>54</v>
      </c>
      <c r="H1415" s="24">
        <v>31662</v>
      </c>
      <c r="I1415" s="222">
        <v>45360</v>
      </c>
      <c r="J1415" s="11" t="s">
        <v>42</v>
      </c>
      <c r="K1415" s="108" t="s">
        <v>155</v>
      </c>
      <c r="N1415" s="11" t="s">
        <v>43</v>
      </c>
      <c r="O1415" s="11" t="s">
        <v>44</v>
      </c>
      <c r="P1415" s="11" t="s">
        <v>44</v>
      </c>
      <c r="Q1415" s="11" t="s">
        <v>44</v>
      </c>
      <c r="R1415" s="11" t="s">
        <v>44</v>
      </c>
      <c r="S1415" s="11" t="s">
        <v>44</v>
      </c>
      <c r="T1415" s="11" t="s">
        <v>4341</v>
      </c>
      <c r="U1415" s="11" t="s">
        <v>45</v>
      </c>
      <c r="V1415" s="24">
        <v>45408</v>
      </c>
      <c r="W1415" s="11" t="s">
        <v>46</v>
      </c>
      <c r="X1415" s="11" t="s">
        <v>303</v>
      </c>
      <c r="Y1415" s="11" t="s">
        <v>68</v>
      </c>
      <c r="Z1415" s="11">
        <v>81988004358</v>
      </c>
      <c r="AA1415" s="11" t="s">
        <v>3919</v>
      </c>
      <c r="AB1415" s="11" t="s">
        <v>49</v>
      </c>
      <c r="AC1415" s="11" t="s">
        <v>106</v>
      </c>
      <c r="AD1415" s="11" t="b">
        <v>1</v>
      </c>
      <c r="AE1415" s="11" t="s">
        <v>137</v>
      </c>
      <c r="AF1415" s="11" t="s">
        <v>4490</v>
      </c>
      <c r="AG1415" s="11"/>
      <c r="AH1415" s="11"/>
      <c r="AI1415" s="264">
        <f t="shared" si="1"/>
        <v>45640</v>
      </c>
    </row>
    <row r="1416" ht="12.5" spans="1:35">
      <c r="A1416" s="177">
        <v>45408.4088714005</v>
      </c>
      <c r="B1416" s="11" t="s">
        <v>4487</v>
      </c>
      <c r="C1416" s="277" t="s">
        <v>4488</v>
      </c>
      <c r="D1416" s="11">
        <v>700802998286086</v>
      </c>
      <c r="E1416" s="18" t="s">
        <v>4491</v>
      </c>
      <c r="F1416" s="11" t="s">
        <v>225</v>
      </c>
      <c r="G1416" s="11" t="s">
        <v>54</v>
      </c>
      <c r="H1416" s="24">
        <v>45408</v>
      </c>
      <c r="I1416" s="222">
        <v>45360</v>
      </c>
      <c r="J1416" s="11" t="s">
        <v>42</v>
      </c>
      <c r="K1416" s="108" t="s">
        <v>155</v>
      </c>
      <c r="N1416" s="11" t="s">
        <v>95</v>
      </c>
      <c r="O1416" s="11" t="s">
        <v>44</v>
      </c>
      <c r="P1416" s="11" t="s">
        <v>56</v>
      </c>
      <c r="Q1416" s="11" t="s">
        <v>45</v>
      </c>
      <c r="R1416" s="11" t="s">
        <v>44</v>
      </c>
      <c r="S1416" s="11" t="s">
        <v>83</v>
      </c>
      <c r="T1416" s="11" t="s">
        <v>44</v>
      </c>
      <c r="U1416" s="11" t="s">
        <v>44</v>
      </c>
      <c r="W1416" s="11" t="s">
        <v>46</v>
      </c>
      <c r="X1416" s="11" t="s">
        <v>97</v>
      </c>
      <c r="Y1416" s="11" t="s">
        <v>97</v>
      </c>
      <c r="Z1416" s="11">
        <v>81988004358</v>
      </c>
      <c r="AA1416" s="11" t="s">
        <v>103</v>
      </c>
      <c r="AB1416" s="11"/>
      <c r="AC1416" s="11"/>
      <c r="AD1416" s="11" t="b">
        <v>0</v>
      </c>
      <c r="AF1416" s="11"/>
      <c r="AG1416" s="11"/>
      <c r="AH1416" s="11"/>
      <c r="AI1416" s="264">
        <f t="shared" si="1"/>
        <v>45640</v>
      </c>
    </row>
    <row r="1417" ht="12.5" spans="1:35">
      <c r="A1417" s="177">
        <v>45408.4167530903</v>
      </c>
      <c r="B1417" s="11" t="s">
        <v>2958</v>
      </c>
      <c r="C1417" s="19">
        <v>71369959494</v>
      </c>
      <c r="D1417" s="11">
        <v>702600251436948</v>
      </c>
      <c r="E1417" s="18" t="s">
        <v>4492</v>
      </c>
      <c r="F1417" s="11" t="s">
        <v>40</v>
      </c>
      <c r="G1417" s="11" t="s">
        <v>54</v>
      </c>
      <c r="H1417" s="24">
        <v>36867</v>
      </c>
      <c r="I1417" s="222">
        <v>45196</v>
      </c>
      <c r="J1417" s="11" t="s">
        <v>42</v>
      </c>
      <c r="K1417" s="108" t="s">
        <v>4493</v>
      </c>
      <c r="N1417" s="11" t="s">
        <v>43</v>
      </c>
      <c r="O1417" s="11" t="s">
        <v>44</v>
      </c>
      <c r="P1417" s="11" t="s">
        <v>44</v>
      </c>
      <c r="Q1417" s="11" t="s">
        <v>44</v>
      </c>
      <c r="R1417" s="11" t="s">
        <v>45</v>
      </c>
      <c r="S1417" s="11" t="s">
        <v>45</v>
      </c>
      <c r="T1417" s="11" t="s">
        <v>44</v>
      </c>
      <c r="U1417" s="11" t="s">
        <v>45</v>
      </c>
      <c r="V1417" s="24">
        <v>45409</v>
      </c>
      <c r="W1417" s="11" t="s">
        <v>46</v>
      </c>
      <c r="X1417" s="11" t="s">
        <v>47</v>
      </c>
      <c r="Y1417" s="11" t="s">
        <v>58</v>
      </c>
      <c r="Z1417" s="11">
        <v>81999191169</v>
      </c>
      <c r="AA1417" s="11" t="s">
        <v>1360</v>
      </c>
      <c r="AB1417" s="11" t="s">
        <v>98</v>
      </c>
      <c r="AC1417" s="11"/>
      <c r="AD1417" s="11" t="b">
        <v>0</v>
      </c>
      <c r="AF1417" s="11" t="s">
        <v>4494</v>
      </c>
      <c r="AG1417" s="11" t="s">
        <v>4495</v>
      </c>
      <c r="AH1417" s="11"/>
      <c r="AI1417" s="264">
        <f t="shared" si="1"/>
        <v>45476</v>
      </c>
    </row>
    <row r="1418" ht="12.5" spans="1:35">
      <c r="A1418" s="177">
        <v>45408.5781848843</v>
      </c>
      <c r="B1418" s="11" t="s">
        <v>4428</v>
      </c>
      <c r="C1418" s="19">
        <v>12936692458</v>
      </c>
      <c r="D1418" s="11">
        <v>700002198921507</v>
      </c>
      <c r="E1418" s="18" t="s">
        <v>4496</v>
      </c>
      <c r="F1418" s="11" t="s">
        <v>40</v>
      </c>
      <c r="G1418" s="11" t="s">
        <v>54</v>
      </c>
      <c r="H1418" s="24">
        <v>37130</v>
      </c>
      <c r="I1418" s="232">
        <v>45246</v>
      </c>
      <c r="J1418" s="11" t="s">
        <v>42</v>
      </c>
      <c r="K1418" s="108" t="s">
        <v>399</v>
      </c>
      <c r="N1418" s="11" t="s">
        <v>43</v>
      </c>
      <c r="O1418" s="11" t="s">
        <v>44</v>
      </c>
      <c r="P1418" s="11" t="s">
        <v>44</v>
      </c>
      <c r="Q1418" s="11" t="s">
        <v>44</v>
      </c>
      <c r="R1418" s="11" t="s">
        <v>45</v>
      </c>
      <c r="S1418" s="11" t="s">
        <v>83</v>
      </c>
      <c r="T1418" s="11" t="s">
        <v>4348</v>
      </c>
      <c r="U1418" s="11" t="s">
        <v>45</v>
      </c>
      <c r="V1418" s="24">
        <v>45409</v>
      </c>
      <c r="W1418" s="11" t="s">
        <v>46</v>
      </c>
      <c r="X1418" s="11" t="s">
        <v>47</v>
      </c>
      <c r="Y1418" s="11" t="s">
        <v>58</v>
      </c>
      <c r="Z1418" s="11">
        <v>81982850804</v>
      </c>
      <c r="AA1418" s="11" t="s">
        <v>91</v>
      </c>
      <c r="AB1418" s="11" t="s">
        <v>49</v>
      </c>
      <c r="AC1418" s="11" t="s">
        <v>3892</v>
      </c>
      <c r="AD1418" s="11" t="b">
        <v>0</v>
      </c>
      <c r="AF1418" s="11" t="s">
        <v>4497</v>
      </c>
      <c r="AG1418" s="11"/>
      <c r="AH1418" s="11" t="s">
        <v>4498</v>
      </c>
      <c r="AI1418" s="265">
        <f t="shared" si="1"/>
        <v>45526</v>
      </c>
    </row>
    <row r="1419" ht="12.5" spans="1:35">
      <c r="A1419" s="177">
        <v>45408.708451794</v>
      </c>
      <c r="B1419" s="11" t="s">
        <v>4499</v>
      </c>
      <c r="C1419" s="19">
        <v>11231776439</v>
      </c>
      <c r="D1419" s="11">
        <v>705304457650490</v>
      </c>
      <c r="E1419" s="18" t="s">
        <v>4500</v>
      </c>
      <c r="F1419" s="11" t="s">
        <v>40</v>
      </c>
      <c r="G1419" s="11" t="s">
        <v>54</v>
      </c>
      <c r="H1419" s="24">
        <v>36055</v>
      </c>
      <c r="I1419" s="222">
        <v>45346</v>
      </c>
      <c r="J1419" s="11" t="s">
        <v>42</v>
      </c>
      <c r="K1419" s="108" t="s">
        <v>4501</v>
      </c>
      <c r="N1419" s="11" t="s">
        <v>43</v>
      </c>
      <c r="O1419" s="11" t="s">
        <v>96</v>
      </c>
      <c r="P1419" s="11" t="s">
        <v>2559</v>
      </c>
      <c r="Q1419" s="11" t="s">
        <v>44</v>
      </c>
      <c r="R1419" s="11" t="s">
        <v>45</v>
      </c>
      <c r="S1419" s="11" t="s">
        <v>45</v>
      </c>
      <c r="T1419" s="11" t="s">
        <v>44</v>
      </c>
      <c r="U1419" s="11" t="s">
        <v>44</v>
      </c>
      <c r="V1419" s="24">
        <v>45409</v>
      </c>
      <c r="W1419" s="11" t="s">
        <v>46</v>
      </c>
      <c r="X1419" s="11" t="s">
        <v>47</v>
      </c>
      <c r="Y1419" s="11" t="s">
        <v>58</v>
      </c>
      <c r="Z1419" s="11">
        <v>81982204976</v>
      </c>
      <c r="AA1419" s="11" t="s">
        <v>1360</v>
      </c>
      <c r="AB1419" s="11" t="s">
        <v>98</v>
      </c>
      <c r="AC1419" s="11"/>
      <c r="AD1419" s="11" t="b">
        <v>0</v>
      </c>
      <c r="AF1419" s="11" t="s">
        <v>4502</v>
      </c>
      <c r="AG1419" s="11" t="s">
        <v>4503</v>
      </c>
      <c r="AH1419" s="11"/>
      <c r="AI1419" s="264">
        <f t="shared" si="1"/>
        <v>45626</v>
      </c>
    </row>
    <row r="1420" ht="12.5" spans="1:35">
      <c r="A1420" s="177">
        <v>45409.3909285301</v>
      </c>
      <c r="B1420" s="11" t="s">
        <v>4504</v>
      </c>
      <c r="C1420" s="277" t="s">
        <v>4505</v>
      </c>
      <c r="D1420" s="11">
        <v>700001137575802</v>
      </c>
      <c r="E1420" s="18" t="s">
        <v>4506</v>
      </c>
      <c r="F1420" s="11" t="s">
        <v>40</v>
      </c>
      <c r="G1420" s="11" t="s">
        <v>54</v>
      </c>
      <c r="H1420" s="24">
        <v>30152</v>
      </c>
      <c r="I1420" s="222">
        <v>45301</v>
      </c>
      <c r="J1420" s="11" t="s">
        <v>42</v>
      </c>
      <c r="K1420" s="108" t="s">
        <v>155</v>
      </c>
      <c r="N1420" s="11" t="s">
        <v>43</v>
      </c>
      <c r="O1420" s="11" t="s">
        <v>65</v>
      </c>
      <c r="P1420" s="11" t="s">
        <v>66</v>
      </c>
      <c r="Q1420" s="11" t="s">
        <v>44</v>
      </c>
      <c r="R1420" s="11" t="s">
        <v>45</v>
      </c>
      <c r="S1420" s="11" t="s">
        <v>44</v>
      </c>
      <c r="T1420" s="11" t="s">
        <v>44</v>
      </c>
      <c r="U1420" s="11" t="s">
        <v>45</v>
      </c>
      <c r="V1420" s="24">
        <v>45409</v>
      </c>
      <c r="W1420" s="11" t="s">
        <v>46</v>
      </c>
      <c r="X1420" s="11" t="s">
        <v>303</v>
      </c>
      <c r="Y1420" s="11" t="s">
        <v>68</v>
      </c>
      <c r="Z1420" s="11">
        <v>81987469835</v>
      </c>
      <c r="AA1420" s="11" t="s">
        <v>3919</v>
      </c>
      <c r="AB1420" s="11" t="s">
        <v>98</v>
      </c>
      <c r="AC1420" s="11"/>
      <c r="AD1420" s="11" t="b">
        <v>0</v>
      </c>
      <c r="AF1420" s="11" t="s">
        <v>4507</v>
      </c>
      <c r="AG1420" s="11" t="s">
        <v>4508</v>
      </c>
      <c r="AH1420" s="11" t="s">
        <v>4509</v>
      </c>
      <c r="AI1420" s="264">
        <f t="shared" si="1"/>
        <v>45581</v>
      </c>
    </row>
    <row r="1421" ht="12.5" spans="1:35">
      <c r="A1421" s="177">
        <v>45409.4047112037</v>
      </c>
      <c r="B1421" s="11" t="s">
        <v>4510</v>
      </c>
      <c r="C1421" s="19">
        <v>12936692458</v>
      </c>
      <c r="D1421" s="11">
        <v>700002198921507</v>
      </c>
      <c r="F1421" s="11" t="s">
        <v>40</v>
      </c>
      <c r="G1421" s="11" t="s">
        <v>54</v>
      </c>
      <c r="H1421" s="24">
        <v>37130</v>
      </c>
      <c r="I1421" s="232">
        <v>45246</v>
      </c>
      <c r="J1421" s="11" t="s">
        <v>42</v>
      </c>
      <c r="K1421" s="108" t="s">
        <v>399</v>
      </c>
      <c r="N1421" s="11" t="s">
        <v>95</v>
      </c>
      <c r="O1421" s="11" t="s">
        <v>44</v>
      </c>
      <c r="P1421" s="11" t="s">
        <v>44</v>
      </c>
      <c r="Q1421" s="11" t="s">
        <v>44</v>
      </c>
      <c r="R1421" s="11" t="s">
        <v>45</v>
      </c>
      <c r="S1421" s="11" t="s">
        <v>45</v>
      </c>
      <c r="T1421" s="11" t="s">
        <v>44</v>
      </c>
      <c r="U1421" s="11" t="s">
        <v>44</v>
      </c>
      <c r="W1421" s="11" t="s">
        <v>57</v>
      </c>
      <c r="X1421" s="11" t="s">
        <v>97</v>
      </c>
      <c r="Y1421" s="11" t="s">
        <v>97</v>
      </c>
      <c r="Z1421" s="11">
        <v>81982850804</v>
      </c>
      <c r="AA1421" s="11" t="s">
        <v>3919</v>
      </c>
      <c r="AB1421" s="11"/>
      <c r="AC1421" s="11"/>
      <c r="AD1421" s="11" t="b">
        <v>0</v>
      </c>
      <c r="AF1421" s="11"/>
      <c r="AG1421" s="11"/>
      <c r="AH1421" s="11"/>
      <c r="AI1421" s="265">
        <f t="shared" si="1"/>
        <v>45526</v>
      </c>
    </row>
    <row r="1422" ht="12.5" spans="1:35">
      <c r="A1422" s="177">
        <v>45409.8014265162</v>
      </c>
      <c r="B1422" s="11" t="s">
        <v>4310</v>
      </c>
      <c r="C1422" s="19">
        <v>16611354476</v>
      </c>
      <c r="D1422" s="11">
        <v>709201274976134</v>
      </c>
      <c r="E1422" s="18" t="s">
        <v>4511</v>
      </c>
      <c r="F1422" s="11" t="s">
        <v>40</v>
      </c>
      <c r="G1422" s="11" t="s">
        <v>88</v>
      </c>
      <c r="H1422" s="24">
        <v>38067</v>
      </c>
      <c r="I1422" s="222">
        <v>45332</v>
      </c>
      <c r="J1422" s="11" t="s">
        <v>42</v>
      </c>
      <c r="K1422" s="108" t="s">
        <v>4512</v>
      </c>
      <c r="N1422" s="11" t="s">
        <v>43</v>
      </c>
      <c r="O1422" s="11" t="s">
        <v>44</v>
      </c>
      <c r="P1422" s="11" t="s">
        <v>56</v>
      </c>
      <c r="Q1422" s="11" t="s">
        <v>44</v>
      </c>
      <c r="R1422" s="11" t="s">
        <v>45</v>
      </c>
      <c r="S1422" s="11" t="s">
        <v>45</v>
      </c>
      <c r="T1422" s="11" t="s">
        <v>44</v>
      </c>
      <c r="U1422" s="11" t="s">
        <v>45</v>
      </c>
      <c r="V1422" s="24">
        <v>45411</v>
      </c>
      <c r="W1422" s="11" t="s">
        <v>46</v>
      </c>
      <c r="X1422" s="11" t="s">
        <v>303</v>
      </c>
      <c r="Y1422" s="11" t="s">
        <v>68</v>
      </c>
      <c r="Z1422" s="11">
        <v>81996629612</v>
      </c>
      <c r="AA1422" s="11" t="s">
        <v>3919</v>
      </c>
      <c r="AB1422" s="11" t="s">
        <v>49</v>
      </c>
      <c r="AC1422" s="11" t="s">
        <v>84</v>
      </c>
      <c r="AD1422" s="11" t="b">
        <v>1</v>
      </c>
      <c r="AE1422" s="11" t="s">
        <v>137</v>
      </c>
      <c r="AF1422" s="11" t="s">
        <v>4513</v>
      </c>
      <c r="AG1422" s="11"/>
      <c r="AH1422" s="11"/>
      <c r="AI1422" s="264">
        <f t="shared" si="1"/>
        <v>45612</v>
      </c>
    </row>
    <row r="1423" ht="12.5" spans="1:35">
      <c r="A1423" s="177">
        <v>45410.6680077199</v>
      </c>
      <c r="B1423" s="11" t="s">
        <v>4514</v>
      </c>
      <c r="C1423" s="277" t="s">
        <v>4515</v>
      </c>
      <c r="D1423" s="11">
        <v>708201171128140</v>
      </c>
      <c r="E1423" s="18" t="s">
        <v>4516</v>
      </c>
      <c r="F1423" s="11" t="s">
        <v>40</v>
      </c>
      <c r="G1423" s="11" t="s">
        <v>88</v>
      </c>
      <c r="H1423" s="24">
        <v>31992</v>
      </c>
      <c r="I1423" s="222">
        <v>45123</v>
      </c>
      <c r="J1423" s="11" t="s">
        <v>81</v>
      </c>
      <c r="K1423" s="108"/>
      <c r="L1423" s="11" t="s">
        <v>520</v>
      </c>
      <c r="N1423" s="11" t="s">
        <v>43</v>
      </c>
      <c r="O1423" s="11" t="s">
        <v>65</v>
      </c>
      <c r="P1423" s="11" t="s">
        <v>66</v>
      </c>
      <c r="Q1423" s="11" t="s">
        <v>44</v>
      </c>
      <c r="R1423" s="11" t="s">
        <v>45</v>
      </c>
      <c r="S1423" s="11" t="s">
        <v>45</v>
      </c>
      <c r="T1423" s="11" t="s">
        <v>44</v>
      </c>
      <c r="U1423" s="11" t="s">
        <v>45</v>
      </c>
      <c r="V1423" s="24">
        <v>45411</v>
      </c>
      <c r="W1423" s="11" t="s">
        <v>46</v>
      </c>
      <c r="X1423" s="11" t="s">
        <v>303</v>
      </c>
      <c r="Y1423" s="11" t="s">
        <v>58</v>
      </c>
      <c r="Z1423" s="11">
        <v>81988844350</v>
      </c>
      <c r="AA1423" s="11" t="s">
        <v>1360</v>
      </c>
      <c r="AB1423" s="11" t="s">
        <v>49</v>
      </c>
      <c r="AC1423" s="11" t="s">
        <v>84</v>
      </c>
      <c r="AD1423" s="11" t="b">
        <v>0</v>
      </c>
      <c r="AF1423" s="11" t="s">
        <v>4517</v>
      </c>
      <c r="AG1423" s="11"/>
      <c r="AH1423" s="11"/>
      <c r="AI1423" s="264">
        <f t="shared" si="1"/>
        <v>45403</v>
      </c>
    </row>
    <row r="1424" ht="12.5" spans="1:35">
      <c r="A1424" s="177">
        <v>45410.6820471991</v>
      </c>
      <c r="B1424" s="11" t="s">
        <v>4518</v>
      </c>
      <c r="C1424" s="277" t="s">
        <v>4519</v>
      </c>
      <c r="D1424" s="11">
        <v>702803685947161</v>
      </c>
      <c r="E1424" s="18" t="s">
        <v>4516</v>
      </c>
      <c r="F1424" s="11" t="s">
        <v>40</v>
      </c>
      <c r="G1424" s="11" t="s">
        <v>54</v>
      </c>
      <c r="H1424" s="24">
        <v>32541</v>
      </c>
      <c r="I1424" s="222">
        <v>45293</v>
      </c>
      <c r="J1424" s="11" t="s">
        <v>42</v>
      </c>
      <c r="K1424" s="108" t="s">
        <v>63</v>
      </c>
      <c r="N1424" s="11" t="s">
        <v>43</v>
      </c>
      <c r="O1424" s="11" t="s">
        <v>44</v>
      </c>
      <c r="P1424" s="11" t="s">
        <v>44</v>
      </c>
      <c r="Q1424" s="11" t="s">
        <v>45</v>
      </c>
      <c r="R1424" s="11" t="s">
        <v>45</v>
      </c>
      <c r="S1424" s="11" t="s">
        <v>45</v>
      </c>
      <c r="T1424" s="11" t="s">
        <v>44</v>
      </c>
      <c r="U1424" s="11" t="s">
        <v>45</v>
      </c>
      <c r="V1424" s="24">
        <v>45410</v>
      </c>
      <c r="W1424" s="11" t="s">
        <v>46</v>
      </c>
      <c r="X1424" s="11" t="s">
        <v>303</v>
      </c>
      <c r="Y1424" s="11" t="s">
        <v>58</v>
      </c>
      <c r="Z1424" s="11">
        <v>81999619052</v>
      </c>
      <c r="AA1424" s="11" t="s">
        <v>1360</v>
      </c>
      <c r="AB1424" s="11" t="s">
        <v>49</v>
      </c>
      <c r="AC1424" s="11" t="s">
        <v>256</v>
      </c>
      <c r="AD1424" s="11" t="b">
        <v>1</v>
      </c>
      <c r="AE1424" s="11" t="s">
        <v>137</v>
      </c>
      <c r="AF1424" s="11" t="s">
        <v>4520</v>
      </c>
      <c r="AG1424" s="11"/>
      <c r="AH1424" s="11"/>
      <c r="AI1424" s="264">
        <f t="shared" si="1"/>
        <v>45573</v>
      </c>
    </row>
    <row r="1425" ht="12.5" spans="1:35">
      <c r="A1425" s="177">
        <v>45410.7355370949</v>
      </c>
      <c r="B1425" s="11" t="s">
        <v>4518</v>
      </c>
      <c r="C1425" s="277" t="s">
        <v>4519</v>
      </c>
      <c r="D1425" s="11">
        <v>702803685947161</v>
      </c>
      <c r="E1425" s="18" t="s">
        <v>4521</v>
      </c>
      <c r="F1425" s="11" t="s">
        <v>40</v>
      </c>
      <c r="G1425" s="11" t="s">
        <v>54</v>
      </c>
      <c r="H1425" s="24">
        <v>32541</v>
      </c>
      <c r="I1425" s="222">
        <v>45293</v>
      </c>
      <c r="J1425" s="11" t="s">
        <v>42</v>
      </c>
      <c r="K1425" s="108" t="s">
        <v>63</v>
      </c>
      <c r="N1425" s="11" t="s">
        <v>95</v>
      </c>
      <c r="O1425" s="11" t="s">
        <v>44</v>
      </c>
      <c r="P1425" s="11" t="s">
        <v>44</v>
      </c>
      <c r="Q1425" s="11" t="s">
        <v>44</v>
      </c>
      <c r="R1425" s="11" t="s">
        <v>45</v>
      </c>
      <c r="S1425" s="11" t="s">
        <v>45</v>
      </c>
      <c r="T1425" s="11" t="s">
        <v>44</v>
      </c>
      <c r="U1425" s="11" t="s">
        <v>44</v>
      </c>
      <c r="W1425" s="11" t="s">
        <v>46</v>
      </c>
      <c r="X1425" s="11" t="s">
        <v>97</v>
      </c>
      <c r="Y1425" s="11" t="s">
        <v>97</v>
      </c>
      <c r="Z1425" s="11">
        <v>81999619052</v>
      </c>
      <c r="AA1425" s="11" t="s">
        <v>1360</v>
      </c>
      <c r="AB1425" s="11"/>
      <c r="AC1425" s="11"/>
      <c r="AD1425" s="11" t="b">
        <v>0</v>
      </c>
      <c r="AF1425" s="11"/>
      <c r="AG1425" s="11"/>
      <c r="AH1425" s="11"/>
      <c r="AI1425" s="264">
        <f t="shared" si="1"/>
        <v>45573</v>
      </c>
    </row>
    <row r="1426" ht="12.5" spans="1:35">
      <c r="A1426" s="177">
        <v>45411.3673309028</v>
      </c>
      <c r="B1426" s="11" t="s">
        <v>4514</v>
      </c>
      <c r="C1426" s="277" t="s">
        <v>4515</v>
      </c>
      <c r="D1426" s="11">
        <v>708201171128140</v>
      </c>
      <c r="F1426" s="11" t="s">
        <v>40</v>
      </c>
      <c r="G1426" s="11" t="s">
        <v>88</v>
      </c>
      <c r="H1426" s="24">
        <v>31992</v>
      </c>
      <c r="I1426" s="222">
        <v>45123</v>
      </c>
      <c r="J1426" s="11" t="s">
        <v>42</v>
      </c>
      <c r="K1426" s="108" t="s">
        <v>81</v>
      </c>
      <c r="N1426" s="11" t="s">
        <v>95</v>
      </c>
      <c r="O1426" s="11" t="s">
        <v>127</v>
      </c>
      <c r="P1426" s="11" t="s">
        <v>44</v>
      </c>
      <c r="Q1426" s="11" t="s">
        <v>44</v>
      </c>
      <c r="R1426" s="11" t="s">
        <v>45</v>
      </c>
      <c r="S1426" s="11" t="s">
        <v>45</v>
      </c>
      <c r="T1426" s="11" t="s">
        <v>44</v>
      </c>
      <c r="U1426" s="11" t="s">
        <v>44</v>
      </c>
      <c r="W1426" s="11" t="s">
        <v>57</v>
      </c>
      <c r="X1426" s="11" t="s">
        <v>97</v>
      </c>
      <c r="Y1426" s="11" t="s">
        <v>97</v>
      </c>
      <c r="Z1426" s="11">
        <v>81988844350</v>
      </c>
      <c r="AA1426" s="11" t="s">
        <v>105</v>
      </c>
      <c r="AB1426" s="11"/>
      <c r="AC1426" s="11"/>
      <c r="AD1426" s="11" t="b">
        <v>0</v>
      </c>
      <c r="AF1426" s="11"/>
      <c r="AG1426" s="11"/>
      <c r="AH1426" s="11"/>
      <c r="AI1426" s="264">
        <f t="shared" si="1"/>
        <v>45403</v>
      </c>
    </row>
    <row r="1427" ht="12.5" spans="1:35">
      <c r="A1427" s="177">
        <v>45411.4592965162</v>
      </c>
      <c r="B1427" s="11" t="s">
        <v>4310</v>
      </c>
      <c r="C1427" s="19">
        <v>16611354476</v>
      </c>
      <c r="D1427" s="11">
        <v>709201274976134</v>
      </c>
      <c r="E1427" s="18" t="s">
        <v>4522</v>
      </c>
      <c r="F1427" s="11" t="s">
        <v>40</v>
      </c>
      <c r="G1427" s="11" t="s">
        <v>54</v>
      </c>
      <c r="H1427" s="24">
        <v>45372</v>
      </c>
      <c r="I1427" s="222">
        <v>45332</v>
      </c>
      <c r="J1427" s="11" t="s">
        <v>42</v>
      </c>
      <c r="K1427" s="108" t="s">
        <v>399</v>
      </c>
      <c r="N1427" s="11" t="s">
        <v>95</v>
      </c>
      <c r="O1427" s="11" t="s">
        <v>44</v>
      </c>
      <c r="P1427" s="11" t="s">
        <v>44</v>
      </c>
      <c r="Q1427" s="11" t="s">
        <v>44</v>
      </c>
      <c r="R1427" s="11" t="s">
        <v>45</v>
      </c>
      <c r="S1427" s="11" t="s">
        <v>45</v>
      </c>
      <c r="T1427" s="11" t="s">
        <v>44</v>
      </c>
      <c r="U1427" s="11" t="s">
        <v>44</v>
      </c>
      <c r="W1427" s="11" t="s">
        <v>46</v>
      </c>
      <c r="X1427" s="11" t="s">
        <v>97</v>
      </c>
      <c r="Y1427" s="11" t="s">
        <v>97</v>
      </c>
      <c r="Z1427" s="11">
        <v>81996629612</v>
      </c>
      <c r="AA1427" s="11" t="s">
        <v>105</v>
      </c>
      <c r="AB1427" s="11"/>
      <c r="AC1427" s="11"/>
      <c r="AD1427" s="11" t="b">
        <v>0</v>
      </c>
      <c r="AF1427" s="11"/>
      <c r="AG1427" s="11"/>
      <c r="AH1427" s="11"/>
      <c r="AI1427" s="264">
        <f t="shared" si="1"/>
        <v>45612</v>
      </c>
    </row>
    <row r="1428" ht="12.5" spans="1:35">
      <c r="A1428" s="177">
        <v>45412.7415199306</v>
      </c>
      <c r="B1428" s="11" t="s">
        <v>4523</v>
      </c>
      <c r="C1428" s="19">
        <v>12310877492</v>
      </c>
      <c r="D1428" s="11">
        <v>704603187289721</v>
      </c>
      <c r="E1428" s="18" t="s">
        <v>4524</v>
      </c>
      <c r="F1428" s="11" t="s">
        <v>225</v>
      </c>
      <c r="G1428" s="11" t="s">
        <v>54</v>
      </c>
      <c r="H1428" s="24">
        <v>36250</v>
      </c>
      <c r="I1428" s="222">
        <v>45301</v>
      </c>
      <c r="J1428" s="11" t="s">
        <v>42</v>
      </c>
      <c r="K1428" s="108" t="s">
        <v>63</v>
      </c>
      <c r="N1428" s="11" t="s">
        <v>43</v>
      </c>
      <c r="O1428" s="11" t="s">
        <v>96</v>
      </c>
      <c r="P1428" s="11" t="s">
        <v>56</v>
      </c>
      <c r="Q1428" s="11" t="s">
        <v>45</v>
      </c>
      <c r="R1428" s="11" t="s">
        <v>45</v>
      </c>
      <c r="S1428" s="11" t="s">
        <v>83</v>
      </c>
      <c r="T1428" s="11" t="s">
        <v>44</v>
      </c>
      <c r="U1428" s="11" t="s">
        <v>45</v>
      </c>
      <c r="V1428" s="24">
        <v>45414</v>
      </c>
      <c r="W1428" s="11" t="s">
        <v>57</v>
      </c>
      <c r="X1428" s="11" t="s">
        <v>47</v>
      </c>
      <c r="Y1428" s="11" t="s">
        <v>58</v>
      </c>
      <c r="Z1428" s="11">
        <v>81971166096</v>
      </c>
      <c r="AA1428" s="11" t="s">
        <v>105</v>
      </c>
      <c r="AB1428" s="11" t="s">
        <v>49</v>
      </c>
      <c r="AC1428" s="11" t="s">
        <v>3892</v>
      </c>
      <c r="AD1428" s="11" t="b">
        <v>1</v>
      </c>
      <c r="AE1428" s="11" t="s">
        <v>137</v>
      </c>
      <c r="AF1428" s="11" t="s">
        <v>4525</v>
      </c>
      <c r="AH1428" s="11" t="s">
        <v>4526</v>
      </c>
      <c r="AI1428" s="264">
        <f t="shared" si="1"/>
        <v>45581</v>
      </c>
    </row>
    <row r="1429" ht="12.5" spans="1:35">
      <c r="A1429" s="177">
        <v>45413.3840715741</v>
      </c>
      <c r="B1429" s="11" t="s">
        <v>4527</v>
      </c>
      <c r="C1429" s="19">
        <v>12327939496</v>
      </c>
      <c r="D1429" s="11">
        <v>703608024227030</v>
      </c>
      <c r="E1429" s="18" t="s">
        <v>4528</v>
      </c>
      <c r="F1429" s="11" t="s">
        <v>225</v>
      </c>
      <c r="G1429" s="11" t="s">
        <v>54</v>
      </c>
      <c r="H1429" s="24">
        <v>36721</v>
      </c>
      <c r="I1429" s="222">
        <v>36753</v>
      </c>
      <c r="J1429" s="11" t="s">
        <v>42</v>
      </c>
      <c r="K1429" s="108" t="s">
        <v>155</v>
      </c>
      <c r="N1429" s="11" t="s">
        <v>43</v>
      </c>
      <c r="O1429" s="11" t="s">
        <v>96</v>
      </c>
      <c r="P1429" s="11" t="s">
        <v>66</v>
      </c>
      <c r="Q1429" s="11" t="s">
        <v>44</v>
      </c>
      <c r="R1429" s="11" t="s">
        <v>45</v>
      </c>
      <c r="S1429" s="11" t="s">
        <v>45</v>
      </c>
      <c r="T1429" s="11" t="s">
        <v>44</v>
      </c>
      <c r="U1429" s="11" t="s">
        <v>45</v>
      </c>
      <c r="V1429" s="24">
        <v>45414</v>
      </c>
      <c r="W1429" s="11" t="s">
        <v>46</v>
      </c>
      <c r="X1429" s="11" t="s">
        <v>303</v>
      </c>
      <c r="Y1429" s="11" t="s">
        <v>58</v>
      </c>
      <c r="Z1429" s="11">
        <v>81997950258</v>
      </c>
      <c r="AA1429" s="11" t="s">
        <v>115</v>
      </c>
      <c r="AB1429" s="11" t="s">
        <v>98</v>
      </c>
      <c r="AC1429" s="11"/>
      <c r="AD1429" s="11" t="b">
        <v>0</v>
      </c>
      <c r="AF1429" s="11" t="s">
        <v>4529</v>
      </c>
      <c r="AH1429" s="11" t="s">
        <v>257</v>
      </c>
      <c r="AI1429" s="264">
        <f t="shared" si="1"/>
        <v>37033</v>
      </c>
    </row>
    <row r="1430" ht="12.5" spans="1:35">
      <c r="A1430" s="177">
        <v>45414.4075042477</v>
      </c>
      <c r="B1430" s="11" t="s">
        <v>4530</v>
      </c>
      <c r="C1430" s="19">
        <v>13393664441</v>
      </c>
      <c r="D1430" s="11">
        <v>700002665283209</v>
      </c>
      <c r="E1430" s="18" t="s">
        <v>4531</v>
      </c>
      <c r="F1430" s="11" t="s">
        <v>40</v>
      </c>
      <c r="G1430" s="11" t="s">
        <v>54</v>
      </c>
      <c r="H1430" s="24">
        <v>37474</v>
      </c>
      <c r="I1430" s="222">
        <v>45300</v>
      </c>
      <c r="J1430" s="11" t="s">
        <v>42</v>
      </c>
      <c r="K1430" s="108" t="s">
        <v>399</v>
      </c>
      <c r="N1430" s="11" t="s">
        <v>43</v>
      </c>
      <c r="O1430" s="11" t="s">
        <v>65</v>
      </c>
      <c r="P1430" s="11" t="s">
        <v>66</v>
      </c>
      <c r="Q1430" s="11" t="s">
        <v>44</v>
      </c>
      <c r="R1430" s="11" t="s">
        <v>45</v>
      </c>
      <c r="S1430" s="11" t="s">
        <v>45</v>
      </c>
      <c r="T1430" s="11" t="s">
        <v>44</v>
      </c>
      <c r="U1430" s="11" t="s">
        <v>45</v>
      </c>
      <c r="V1430" s="24">
        <v>45414</v>
      </c>
      <c r="W1430" s="11" t="s">
        <v>46</v>
      </c>
      <c r="X1430" s="11" t="s">
        <v>47</v>
      </c>
      <c r="Y1430" s="11" t="s">
        <v>58</v>
      </c>
      <c r="Z1430" s="11">
        <v>81992693254</v>
      </c>
      <c r="AA1430" s="11" t="s">
        <v>3919</v>
      </c>
      <c r="AB1430" s="11" t="s">
        <v>49</v>
      </c>
      <c r="AC1430" s="11" t="s">
        <v>3892</v>
      </c>
      <c r="AD1430" s="11" t="b">
        <v>1</v>
      </c>
      <c r="AE1430" s="11" t="s">
        <v>137</v>
      </c>
      <c r="AF1430" s="11" t="s">
        <v>4525</v>
      </c>
      <c r="AH1430" s="11" t="s">
        <v>4532</v>
      </c>
      <c r="AI1430" s="264">
        <f t="shared" si="1"/>
        <v>45580</v>
      </c>
    </row>
    <row r="1431" ht="12.5" spans="1:35">
      <c r="A1431" s="177">
        <v>45414.4352508796</v>
      </c>
      <c r="B1431" s="11" t="s">
        <v>4523</v>
      </c>
      <c r="C1431" s="19">
        <v>12310877492</v>
      </c>
      <c r="D1431" s="11">
        <v>704603187289721</v>
      </c>
      <c r="F1431" s="11" t="s">
        <v>225</v>
      </c>
      <c r="G1431" s="11" t="s">
        <v>54</v>
      </c>
      <c r="H1431" s="24">
        <v>36250</v>
      </c>
      <c r="I1431" s="222">
        <v>45301</v>
      </c>
      <c r="J1431" s="11" t="s">
        <v>42</v>
      </c>
      <c r="K1431" s="108" t="s">
        <v>63</v>
      </c>
      <c r="N1431" s="11" t="s">
        <v>95</v>
      </c>
      <c r="O1431" s="11" t="s">
        <v>96</v>
      </c>
      <c r="P1431" s="11" t="s">
        <v>66</v>
      </c>
      <c r="Q1431" s="11" t="s">
        <v>44</v>
      </c>
      <c r="R1431" s="11" t="s">
        <v>45</v>
      </c>
      <c r="S1431" s="11" t="s">
        <v>83</v>
      </c>
      <c r="T1431" s="11" t="s">
        <v>44</v>
      </c>
      <c r="U1431" s="11" t="s">
        <v>45</v>
      </c>
      <c r="V1431" s="24">
        <v>45415</v>
      </c>
      <c r="W1431" s="11" t="s">
        <v>57</v>
      </c>
      <c r="X1431" s="11" t="s">
        <v>97</v>
      </c>
      <c r="Y1431" s="11" t="s">
        <v>97</v>
      </c>
      <c r="Z1431" s="11">
        <v>81971166096</v>
      </c>
      <c r="AA1431" s="11" t="s">
        <v>3919</v>
      </c>
      <c r="AB1431" s="11" t="s">
        <v>49</v>
      </c>
      <c r="AC1431" s="11" t="s">
        <v>106</v>
      </c>
      <c r="AD1431" s="11" t="b">
        <v>0</v>
      </c>
      <c r="AF1431" s="11" t="s">
        <v>4533</v>
      </c>
      <c r="AH1431" s="11" t="s">
        <v>4534</v>
      </c>
      <c r="AI1431" s="264">
        <f t="shared" si="1"/>
        <v>45581</v>
      </c>
    </row>
    <row r="1432" ht="12.5" spans="1:35">
      <c r="A1432" s="177">
        <v>45414.4939708333</v>
      </c>
      <c r="B1432" s="11" t="s">
        <v>4428</v>
      </c>
      <c r="C1432" s="19">
        <v>12936692458</v>
      </c>
      <c r="D1432" s="11">
        <v>700002198921507</v>
      </c>
      <c r="E1432" s="18" t="s">
        <v>4535</v>
      </c>
      <c r="F1432" s="11" t="s">
        <v>40</v>
      </c>
      <c r="G1432" s="11" t="s">
        <v>54</v>
      </c>
      <c r="H1432" s="24">
        <v>37130</v>
      </c>
      <c r="I1432" s="19" t="s">
        <v>865</v>
      </c>
      <c r="J1432" s="11" t="s">
        <v>42</v>
      </c>
      <c r="K1432" s="108" t="s">
        <v>399</v>
      </c>
      <c r="N1432" s="11" t="s">
        <v>43</v>
      </c>
      <c r="O1432" s="11" t="s">
        <v>65</v>
      </c>
      <c r="P1432" s="11" t="s">
        <v>66</v>
      </c>
      <c r="Q1432" s="11" t="s">
        <v>44</v>
      </c>
      <c r="R1432" s="11" t="s">
        <v>45</v>
      </c>
      <c r="S1432" s="11" t="s">
        <v>45</v>
      </c>
      <c r="T1432" s="11" t="s">
        <v>44</v>
      </c>
      <c r="U1432" s="11" t="s">
        <v>45</v>
      </c>
      <c r="V1432" s="24">
        <v>45414</v>
      </c>
      <c r="W1432" s="11" t="s">
        <v>46</v>
      </c>
      <c r="X1432" s="11" t="s">
        <v>47</v>
      </c>
      <c r="Y1432" s="11" t="s">
        <v>58</v>
      </c>
      <c r="Z1432" s="11">
        <v>81982850804</v>
      </c>
      <c r="AA1432" s="11" t="s">
        <v>3919</v>
      </c>
      <c r="AB1432" s="11" t="s">
        <v>49</v>
      </c>
      <c r="AC1432" s="11" t="s">
        <v>50</v>
      </c>
      <c r="AD1432" s="11" t="b">
        <v>0</v>
      </c>
      <c r="AF1432" s="11" t="s">
        <v>4536</v>
      </c>
      <c r="AG1432" s="214" t="s">
        <v>4537</v>
      </c>
      <c r="AH1432" s="11" t="s">
        <v>4538</v>
      </c>
      <c r="AI1432" s="263" t="e">
        <f t="shared" si="1"/>
        <v>#VALUE!</v>
      </c>
    </row>
    <row r="1433" ht="12.5" spans="1:35">
      <c r="A1433" s="177">
        <v>45414.6853973958</v>
      </c>
      <c r="B1433" s="11" t="s">
        <v>4539</v>
      </c>
      <c r="C1433" s="277" t="s">
        <v>4540</v>
      </c>
      <c r="D1433" s="11">
        <v>703401251990911</v>
      </c>
      <c r="E1433" s="18" t="s">
        <v>4541</v>
      </c>
      <c r="F1433" s="11" t="s">
        <v>225</v>
      </c>
      <c r="G1433" s="11" t="s">
        <v>54</v>
      </c>
      <c r="H1433" s="24">
        <v>32834</v>
      </c>
      <c r="I1433" s="19" t="s">
        <v>865</v>
      </c>
      <c r="J1433" s="11" t="s">
        <v>42</v>
      </c>
      <c r="K1433" s="108" t="s">
        <v>55</v>
      </c>
      <c r="N1433" s="11" t="s">
        <v>43</v>
      </c>
      <c r="O1433" s="11" t="s">
        <v>65</v>
      </c>
      <c r="P1433" s="11" t="s">
        <v>66</v>
      </c>
      <c r="Q1433" s="11" t="s">
        <v>44</v>
      </c>
      <c r="R1433" s="11" t="s">
        <v>45</v>
      </c>
      <c r="S1433" s="11" t="s">
        <v>45</v>
      </c>
      <c r="T1433" s="11" t="s">
        <v>44</v>
      </c>
      <c r="U1433" s="11" t="s">
        <v>45</v>
      </c>
      <c r="V1433" s="24">
        <v>45415</v>
      </c>
      <c r="W1433" s="11" t="s">
        <v>46</v>
      </c>
      <c r="X1433" s="11" t="s">
        <v>47</v>
      </c>
      <c r="Y1433" s="11" t="s">
        <v>58</v>
      </c>
      <c r="Z1433" s="11">
        <v>81981929106</v>
      </c>
      <c r="AA1433" s="11" t="s">
        <v>3919</v>
      </c>
      <c r="AB1433" s="11" t="s">
        <v>98</v>
      </c>
      <c r="AC1433" s="11"/>
      <c r="AD1433" s="11" t="b">
        <v>0</v>
      </c>
      <c r="AF1433" s="11" t="s">
        <v>4542</v>
      </c>
      <c r="AG1433" s="11" t="s">
        <v>4543</v>
      </c>
      <c r="AI1433" s="263" t="e">
        <f t="shared" si="1"/>
        <v>#VALUE!</v>
      </c>
    </row>
    <row r="1434" ht="12.5" spans="1:35">
      <c r="A1434" s="177">
        <v>45414.7185126852</v>
      </c>
      <c r="B1434" s="11" t="s">
        <v>4428</v>
      </c>
      <c r="C1434" s="19">
        <v>12936692458</v>
      </c>
      <c r="D1434" s="11">
        <v>700002198921507</v>
      </c>
      <c r="F1434" s="11" t="s">
        <v>40</v>
      </c>
      <c r="G1434" s="11" t="s">
        <v>54</v>
      </c>
      <c r="H1434" s="24">
        <v>37130</v>
      </c>
      <c r="I1434" s="19" t="s">
        <v>865</v>
      </c>
      <c r="J1434" s="11" t="s">
        <v>42</v>
      </c>
      <c r="K1434" s="108" t="s">
        <v>399</v>
      </c>
      <c r="N1434" s="11" t="s">
        <v>95</v>
      </c>
      <c r="O1434" s="11" t="s">
        <v>127</v>
      </c>
      <c r="P1434" s="11" t="s">
        <v>44</v>
      </c>
      <c r="Q1434" s="11" t="s">
        <v>44</v>
      </c>
      <c r="R1434" s="11" t="s">
        <v>45</v>
      </c>
      <c r="S1434" s="11" t="s">
        <v>45</v>
      </c>
      <c r="T1434" s="11" t="s">
        <v>44</v>
      </c>
      <c r="U1434" s="11" t="s">
        <v>45</v>
      </c>
      <c r="V1434" s="24">
        <v>45415</v>
      </c>
      <c r="W1434" s="11" t="s">
        <v>57</v>
      </c>
      <c r="X1434" s="11" t="s">
        <v>97</v>
      </c>
      <c r="Y1434" s="11" t="s">
        <v>97</v>
      </c>
      <c r="Z1434" s="11">
        <v>81982850804</v>
      </c>
      <c r="AA1434" s="11" t="s">
        <v>115</v>
      </c>
      <c r="AB1434" s="11" t="s">
        <v>49</v>
      </c>
      <c r="AC1434" s="11" t="s">
        <v>92</v>
      </c>
      <c r="AD1434" s="11" t="b">
        <v>1</v>
      </c>
      <c r="AE1434" s="11" t="s">
        <v>137</v>
      </c>
      <c r="AF1434" s="11" t="s">
        <v>4544</v>
      </c>
      <c r="AG1434" s="11" t="s">
        <v>4545</v>
      </c>
      <c r="AI1434" s="263" t="e">
        <f t="shared" si="1"/>
        <v>#VALUE!</v>
      </c>
    </row>
    <row r="1435" ht="12.5" spans="1:35">
      <c r="A1435" s="177">
        <v>45414.725961956</v>
      </c>
      <c r="B1435" s="11" t="s">
        <v>4530</v>
      </c>
      <c r="C1435" s="19">
        <v>13393664441</v>
      </c>
      <c r="D1435" s="11">
        <v>700002665283209</v>
      </c>
      <c r="F1435" s="11" t="s">
        <v>40</v>
      </c>
      <c r="G1435" s="11" t="s">
        <v>54</v>
      </c>
      <c r="H1435" s="24">
        <v>37474</v>
      </c>
      <c r="I1435" s="222">
        <v>45300</v>
      </c>
      <c r="J1435" s="11" t="s">
        <v>42</v>
      </c>
      <c r="K1435" s="108" t="s">
        <v>399</v>
      </c>
      <c r="N1435" s="11" t="s">
        <v>95</v>
      </c>
      <c r="O1435" s="11" t="s">
        <v>127</v>
      </c>
      <c r="P1435" s="11" t="s">
        <v>66</v>
      </c>
      <c r="Q1435" s="11" t="s">
        <v>44</v>
      </c>
      <c r="R1435" s="11" t="s">
        <v>45</v>
      </c>
      <c r="S1435" s="11" t="s">
        <v>45</v>
      </c>
      <c r="T1435" s="11" t="s">
        <v>44</v>
      </c>
      <c r="U1435" s="11" t="s">
        <v>45</v>
      </c>
      <c r="V1435" s="24">
        <v>45415</v>
      </c>
      <c r="W1435" s="11" t="s">
        <v>57</v>
      </c>
      <c r="X1435" s="11" t="s">
        <v>97</v>
      </c>
      <c r="Y1435" s="11" t="s">
        <v>97</v>
      </c>
      <c r="Z1435" s="11">
        <v>81992693254</v>
      </c>
      <c r="AA1435" s="11" t="s">
        <v>3919</v>
      </c>
      <c r="AB1435" s="11" t="s">
        <v>98</v>
      </c>
      <c r="AC1435" s="11"/>
      <c r="AD1435" s="11" t="b">
        <v>0</v>
      </c>
      <c r="AF1435" s="11" t="s">
        <v>4546</v>
      </c>
      <c r="AG1435" s="11" t="s">
        <v>4547</v>
      </c>
      <c r="AI1435" s="264">
        <f t="shared" si="1"/>
        <v>45580</v>
      </c>
    </row>
    <row r="1436" ht="12.5" spans="1:35">
      <c r="A1436" s="177">
        <v>45414.7596749884</v>
      </c>
      <c r="B1436" s="11" t="s">
        <v>4548</v>
      </c>
      <c r="C1436" s="19">
        <v>70280817452</v>
      </c>
      <c r="D1436" s="11">
        <v>700409923504043</v>
      </c>
      <c r="E1436" s="18" t="s">
        <v>4549</v>
      </c>
      <c r="F1436" s="11" t="s">
        <v>225</v>
      </c>
      <c r="G1436" s="11" t="s">
        <v>41</v>
      </c>
      <c r="H1436" s="24">
        <v>35524</v>
      </c>
      <c r="I1436" s="222">
        <v>45334</v>
      </c>
      <c r="J1436" s="11" t="s">
        <v>42</v>
      </c>
      <c r="K1436" s="108" t="s">
        <v>4550</v>
      </c>
      <c r="N1436" s="11" t="s">
        <v>43</v>
      </c>
      <c r="O1436" s="11" t="s">
        <v>65</v>
      </c>
      <c r="P1436" s="11" t="s">
        <v>66</v>
      </c>
      <c r="Q1436" s="11" t="s">
        <v>44</v>
      </c>
      <c r="R1436" s="11" t="s">
        <v>45</v>
      </c>
      <c r="S1436" s="11" t="s">
        <v>45</v>
      </c>
      <c r="T1436" s="11" t="s">
        <v>44</v>
      </c>
      <c r="U1436" s="11" t="s">
        <v>45</v>
      </c>
      <c r="V1436" s="24">
        <v>45415</v>
      </c>
      <c r="W1436" s="11" t="s">
        <v>57</v>
      </c>
      <c r="X1436" s="11" t="s">
        <v>203</v>
      </c>
      <c r="Y1436" s="11" t="s">
        <v>58</v>
      </c>
      <c r="Z1436" s="11">
        <v>81985803167</v>
      </c>
      <c r="AA1436" s="11" t="s">
        <v>115</v>
      </c>
      <c r="AB1436" s="11" t="s">
        <v>98</v>
      </c>
      <c r="AC1436" s="11"/>
      <c r="AD1436" s="11" t="b">
        <v>0</v>
      </c>
      <c r="AF1436" s="11" t="s">
        <v>4551</v>
      </c>
      <c r="AG1436" s="11" t="s">
        <v>4543</v>
      </c>
      <c r="AI1436" s="264">
        <f t="shared" si="1"/>
        <v>45614</v>
      </c>
    </row>
    <row r="1437" ht="12.5" spans="1:35">
      <c r="A1437" s="177">
        <v>45415.4410297917</v>
      </c>
      <c r="B1437" s="11" t="s">
        <v>4523</v>
      </c>
      <c r="C1437" s="19">
        <v>12310877492</v>
      </c>
      <c r="D1437" s="11">
        <v>704603187289721</v>
      </c>
      <c r="F1437" s="11" t="s">
        <v>225</v>
      </c>
      <c r="G1437" s="11" t="s">
        <v>54</v>
      </c>
      <c r="H1437" s="24">
        <v>36250</v>
      </c>
      <c r="I1437" s="222">
        <v>45301</v>
      </c>
      <c r="J1437" s="11" t="s">
        <v>42</v>
      </c>
      <c r="K1437" s="108" t="s">
        <v>63</v>
      </c>
      <c r="N1437" s="11" t="s">
        <v>95</v>
      </c>
      <c r="O1437" s="11" t="s">
        <v>44</v>
      </c>
      <c r="P1437" s="11" t="s">
        <v>44</v>
      </c>
      <c r="Q1437" s="11" t="s">
        <v>44</v>
      </c>
      <c r="R1437" s="11" t="s">
        <v>45</v>
      </c>
      <c r="S1437" s="11" t="s">
        <v>83</v>
      </c>
      <c r="T1437" s="11" t="s">
        <v>44</v>
      </c>
      <c r="U1437" s="11" t="s">
        <v>44</v>
      </c>
      <c r="W1437" s="11" t="s">
        <v>57</v>
      </c>
      <c r="X1437" s="11" t="s">
        <v>97</v>
      </c>
      <c r="Y1437" s="11" t="s">
        <v>97</v>
      </c>
      <c r="Z1437" s="11">
        <v>81971166096</v>
      </c>
      <c r="AA1437" s="11" t="s">
        <v>103</v>
      </c>
      <c r="AB1437" s="11"/>
      <c r="AC1437" s="11"/>
      <c r="AD1437" s="11" t="b">
        <v>0</v>
      </c>
      <c r="AI1437" s="264">
        <f t="shared" si="1"/>
        <v>45581</v>
      </c>
    </row>
    <row r="1438" ht="12.5" spans="1:35">
      <c r="A1438" s="177">
        <v>45415.4937487268</v>
      </c>
      <c r="B1438" s="11" t="s">
        <v>4552</v>
      </c>
      <c r="C1438" s="19">
        <v>16530557741</v>
      </c>
      <c r="D1438" s="11">
        <v>700401493992148</v>
      </c>
      <c r="E1438" s="18" t="s">
        <v>4553</v>
      </c>
      <c r="F1438" s="11" t="s">
        <v>40</v>
      </c>
      <c r="G1438" s="11" t="s">
        <v>41</v>
      </c>
      <c r="H1438" s="24">
        <v>34177</v>
      </c>
      <c r="I1438" s="232">
        <v>45260</v>
      </c>
      <c r="J1438" s="11" t="s">
        <v>42</v>
      </c>
      <c r="K1438" s="108" t="s">
        <v>302</v>
      </c>
      <c r="N1438" s="11" t="s">
        <v>43</v>
      </c>
      <c r="O1438" s="11" t="s">
        <v>96</v>
      </c>
      <c r="P1438" s="11" t="s">
        <v>56</v>
      </c>
      <c r="Q1438" s="11" t="s">
        <v>44</v>
      </c>
      <c r="R1438" s="11" t="s">
        <v>45</v>
      </c>
      <c r="S1438" s="11" t="s">
        <v>83</v>
      </c>
      <c r="T1438" s="11" t="s">
        <v>44</v>
      </c>
      <c r="U1438" s="11" t="s">
        <v>45</v>
      </c>
      <c r="V1438" s="24">
        <v>45416</v>
      </c>
      <c r="W1438" s="11" t="s">
        <v>46</v>
      </c>
      <c r="X1438" s="11" t="s">
        <v>47</v>
      </c>
      <c r="Y1438" s="11" t="s">
        <v>58</v>
      </c>
      <c r="Z1438" s="11">
        <v>81994149250</v>
      </c>
      <c r="AA1438" s="11" t="s">
        <v>103</v>
      </c>
      <c r="AB1438" s="11" t="s">
        <v>49</v>
      </c>
      <c r="AC1438" s="11" t="s">
        <v>50</v>
      </c>
      <c r="AD1438" s="11" t="b">
        <v>1</v>
      </c>
      <c r="AE1438" s="11" t="s">
        <v>137</v>
      </c>
      <c r="AF1438" s="214" t="s">
        <v>4554</v>
      </c>
      <c r="AI1438" s="265">
        <f t="shared" si="1"/>
        <v>45540</v>
      </c>
    </row>
    <row r="1439" ht="12.5" spans="1:35">
      <c r="A1439" s="177">
        <v>45415.5497199537</v>
      </c>
      <c r="B1439" s="11" t="s">
        <v>4555</v>
      </c>
      <c r="C1439" s="19">
        <v>17517363425</v>
      </c>
      <c r="D1439" s="11">
        <v>706902134978738</v>
      </c>
      <c r="E1439" s="18" t="s">
        <v>4556</v>
      </c>
      <c r="F1439" s="11" t="s">
        <v>40</v>
      </c>
      <c r="G1439" s="11" t="s">
        <v>88</v>
      </c>
      <c r="H1439" s="24">
        <v>38537</v>
      </c>
      <c r="I1439" s="222">
        <v>45267</v>
      </c>
      <c r="J1439" s="11" t="s">
        <v>42</v>
      </c>
      <c r="K1439" s="108" t="s">
        <v>155</v>
      </c>
      <c r="N1439" s="11" t="s">
        <v>43</v>
      </c>
      <c r="O1439" s="11" t="s">
        <v>96</v>
      </c>
      <c r="P1439" s="11" t="s">
        <v>66</v>
      </c>
      <c r="Q1439" s="11" t="s">
        <v>45</v>
      </c>
      <c r="R1439" s="11" t="s">
        <v>44</v>
      </c>
      <c r="S1439" s="11" t="s">
        <v>44</v>
      </c>
      <c r="T1439" s="11" t="s">
        <v>44</v>
      </c>
      <c r="U1439" s="11" t="s">
        <v>45</v>
      </c>
      <c r="V1439" s="24">
        <v>45416</v>
      </c>
      <c r="W1439" s="11" t="s">
        <v>46</v>
      </c>
      <c r="X1439" s="11" t="s">
        <v>47</v>
      </c>
      <c r="Y1439" s="11" t="s">
        <v>58</v>
      </c>
      <c r="Z1439" s="11">
        <v>81999446407</v>
      </c>
      <c r="AA1439" s="11" t="s">
        <v>4003</v>
      </c>
      <c r="AB1439" s="11" t="s">
        <v>49</v>
      </c>
      <c r="AC1439" s="11" t="s">
        <v>50</v>
      </c>
      <c r="AD1439" s="11" t="b">
        <v>1</v>
      </c>
      <c r="AE1439" s="11" t="s">
        <v>137</v>
      </c>
      <c r="AF1439" s="148" t="s">
        <v>4557</v>
      </c>
      <c r="AH1439" s="63" t="s">
        <v>4558</v>
      </c>
      <c r="AI1439" s="264">
        <f t="shared" si="1"/>
        <v>45547</v>
      </c>
    </row>
    <row r="1440" ht="12.5" spans="1:35">
      <c r="A1440" s="177">
        <v>45415.606561956</v>
      </c>
      <c r="B1440" s="11" t="s">
        <v>4428</v>
      </c>
      <c r="C1440" s="19">
        <v>12936692458</v>
      </c>
      <c r="D1440" s="11">
        <v>700002198921507</v>
      </c>
      <c r="E1440" s="18" t="s">
        <v>4559</v>
      </c>
      <c r="F1440" s="11" t="s">
        <v>40</v>
      </c>
      <c r="G1440" s="11" t="s">
        <v>54</v>
      </c>
      <c r="H1440" s="24">
        <v>37130</v>
      </c>
      <c r="I1440" s="19" t="s">
        <v>865</v>
      </c>
      <c r="J1440" s="11" t="s">
        <v>42</v>
      </c>
      <c r="K1440" s="108" t="s">
        <v>399</v>
      </c>
      <c r="N1440" s="11" t="s">
        <v>95</v>
      </c>
      <c r="O1440" s="11" t="s">
        <v>44</v>
      </c>
      <c r="P1440" s="11" t="s">
        <v>44</v>
      </c>
      <c r="Q1440" s="11" t="s">
        <v>44</v>
      </c>
      <c r="R1440" s="11" t="s">
        <v>45</v>
      </c>
      <c r="S1440" s="11" t="s">
        <v>45</v>
      </c>
      <c r="T1440" s="11" t="s">
        <v>4348</v>
      </c>
      <c r="U1440" s="11" t="s">
        <v>44</v>
      </c>
      <c r="W1440" s="11" t="s">
        <v>46</v>
      </c>
      <c r="X1440" s="11" t="s">
        <v>97</v>
      </c>
      <c r="Y1440" s="11" t="s">
        <v>97</v>
      </c>
      <c r="Z1440" s="11">
        <v>81982850804</v>
      </c>
      <c r="AA1440" s="11" t="s">
        <v>91</v>
      </c>
      <c r="AB1440" s="11"/>
      <c r="AC1440" s="11"/>
      <c r="AD1440" s="11" t="b">
        <v>0</v>
      </c>
      <c r="AI1440" s="263" t="e">
        <f t="shared" si="1"/>
        <v>#VALUE!</v>
      </c>
    </row>
    <row r="1441" ht="12.5" spans="1:35">
      <c r="A1441" s="177">
        <v>45415.68538375</v>
      </c>
      <c r="B1441" s="11" t="s">
        <v>3110</v>
      </c>
      <c r="C1441" s="19">
        <v>71346312494</v>
      </c>
      <c r="D1441" s="11">
        <v>700908942014999</v>
      </c>
      <c r="E1441" s="18" t="s">
        <v>4560</v>
      </c>
      <c r="F1441" s="11" t="s">
        <v>40</v>
      </c>
      <c r="G1441" s="11" t="s">
        <v>54</v>
      </c>
      <c r="H1441" s="24">
        <v>36823</v>
      </c>
      <c r="I1441" s="222">
        <v>45231</v>
      </c>
      <c r="J1441" s="11" t="s">
        <v>42</v>
      </c>
      <c r="K1441" s="108" t="s">
        <v>4561</v>
      </c>
      <c r="N1441" s="11" t="s">
        <v>43</v>
      </c>
      <c r="O1441" s="11" t="s">
        <v>44</v>
      </c>
      <c r="P1441" s="11" t="s">
        <v>44</v>
      </c>
      <c r="Q1441" s="11" t="s">
        <v>44</v>
      </c>
      <c r="R1441" s="11" t="s">
        <v>45</v>
      </c>
      <c r="S1441" s="11" t="s">
        <v>45</v>
      </c>
      <c r="T1441" s="11" t="s">
        <v>44</v>
      </c>
      <c r="U1441" s="11" t="s">
        <v>44</v>
      </c>
      <c r="W1441" s="11" t="s">
        <v>46</v>
      </c>
      <c r="X1441" s="11" t="s">
        <v>47</v>
      </c>
      <c r="Y1441" s="11" t="s">
        <v>58</v>
      </c>
      <c r="Z1441" s="11">
        <v>81920019987</v>
      </c>
      <c r="AA1441" s="11" t="s">
        <v>1360</v>
      </c>
      <c r="AB1441" s="11"/>
      <c r="AC1441" s="11"/>
      <c r="AD1441" s="11" t="b">
        <v>0</v>
      </c>
      <c r="AI1441" s="264">
        <f t="shared" si="1"/>
        <v>45511</v>
      </c>
    </row>
    <row r="1442" ht="12.5" spans="1:35">
      <c r="A1442" s="177">
        <v>45415.6942502662</v>
      </c>
      <c r="B1442" s="11" t="s">
        <v>4562</v>
      </c>
      <c r="C1442" s="19">
        <v>71056621400</v>
      </c>
      <c r="D1442" s="11">
        <v>700001899481804</v>
      </c>
      <c r="E1442" s="18" t="s">
        <v>4563</v>
      </c>
      <c r="F1442" s="11" t="s">
        <v>40</v>
      </c>
      <c r="G1442" s="11" t="s">
        <v>54</v>
      </c>
      <c r="H1442" s="24">
        <v>36292</v>
      </c>
      <c r="I1442" s="222">
        <v>45369</v>
      </c>
      <c r="J1442" s="11" t="s">
        <v>42</v>
      </c>
      <c r="K1442" s="108" t="s">
        <v>155</v>
      </c>
      <c r="N1442" s="11" t="s">
        <v>43</v>
      </c>
      <c r="O1442" s="11" t="s">
        <v>96</v>
      </c>
      <c r="P1442" s="11" t="s">
        <v>66</v>
      </c>
      <c r="Q1442" s="11" t="s">
        <v>44</v>
      </c>
      <c r="R1442" s="11" t="s">
        <v>45</v>
      </c>
      <c r="S1442" s="11" t="s">
        <v>44</v>
      </c>
      <c r="T1442" s="11" t="s">
        <v>44</v>
      </c>
      <c r="U1442" s="11" t="s">
        <v>45</v>
      </c>
      <c r="V1442" s="24">
        <v>45416</v>
      </c>
      <c r="W1442" s="11" t="s">
        <v>46</v>
      </c>
      <c r="X1442" s="11" t="s">
        <v>47</v>
      </c>
      <c r="Y1442" s="11" t="s">
        <v>58</v>
      </c>
      <c r="Z1442" s="11">
        <v>81996884713</v>
      </c>
      <c r="AA1442" s="11" t="s">
        <v>91</v>
      </c>
      <c r="AB1442" s="11" t="s">
        <v>98</v>
      </c>
      <c r="AC1442" s="11"/>
      <c r="AD1442" s="11" t="b">
        <v>0</v>
      </c>
      <c r="AF1442" s="11" t="s">
        <v>4564</v>
      </c>
      <c r="AI1442" s="264">
        <f t="shared" si="1"/>
        <v>45649</v>
      </c>
    </row>
    <row r="1443" ht="12.5" spans="1:35">
      <c r="A1443" s="177">
        <v>45416.4048148032</v>
      </c>
      <c r="B1443" s="11" t="s">
        <v>4552</v>
      </c>
      <c r="C1443" s="19">
        <v>16530557741</v>
      </c>
      <c r="D1443" s="11">
        <v>700401493992148</v>
      </c>
      <c r="E1443" s="18" t="s">
        <v>4565</v>
      </c>
      <c r="F1443" s="11" t="s">
        <v>40</v>
      </c>
      <c r="G1443" s="11" t="s">
        <v>41</v>
      </c>
      <c r="H1443" s="24">
        <v>34177</v>
      </c>
      <c r="I1443" s="232">
        <v>45260</v>
      </c>
      <c r="J1443" s="11" t="s">
        <v>42</v>
      </c>
      <c r="K1443" s="108" t="s">
        <v>302</v>
      </c>
      <c r="N1443" s="11" t="s">
        <v>95</v>
      </c>
      <c r="O1443" s="11" t="s">
        <v>44</v>
      </c>
      <c r="P1443" s="11" t="s">
        <v>44</v>
      </c>
      <c r="Q1443" s="11" t="s">
        <v>44</v>
      </c>
      <c r="R1443" s="11" t="s">
        <v>45</v>
      </c>
      <c r="S1443" s="11" t="s">
        <v>45</v>
      </c>
      <c r="T1443" s="11" t="s">
        <v>44</v>
      </c>
      <c r="U1443" s="11" t="s">
        <v>44</v>
      </c>
      <c r="W1443" s="11" t="s">
        <v>46</v>
      </c>
      <c r="X1443" s="11" t="s">
        <v>97</v>
      </c>
      <c r="Y1443" s="11" t="s">
        <v>97</v>
      </c>
      <c r="Z1443" s="11">
        <v>81994149250</v>
      </c>
      <c r="AA1443" s="11" t="s">
        <v>115</v>
      </c>
      <c r="AB1443" s="11"/>
      <c r="AC1443" s="11"/>
      <c r="AD1443" s="11" t="b">
        <v>0</v>
      </c>
      <c r="AI1443" s="265">
        <f t="shared" si="1"/>
        <v>45540</v>
      </c>
    </row>
    <row r="1444" ht="12.5" spans="1:35">
      <c r="A1444" s="177">
        <v>45416.4402110995</v>
      </c>
      <c r="B1444" s="11" t="s">
        <v>4566</v>
      </c>
      <c r="C1444" s="19">
        <v>17517363425</v>
      </c>
      <c r="D1444" s="11">
        <v>706902134978738</v>
      </c>
      <c r="E1444" s="18" t="s">
        <v>4567</v>
      </c>
      <c r="F1444" s="11" t="s">
        <v>40</v>
      </c>
      <c r="G1444" s="11" t="s">
        <v>88</v>
      </c>
      <c r="H1444" s="24">
        <v>38537</v>
      </c>
      <c r="I1444" s="222">
        <v>45267</v>
      </c>
      <c r="J1444" s="11" t="s">
        <v>42</v>
      </c>
      <c r="K1444" s="108" t="s">
        <v>155</v>
      </c>
      <c r="N1444" s="11" t="s">
        <v>95</v>
      </c>
      <c r="O1444" s="11" t="s">
        <v>96</v>
      </c>
      <c r="P1444" s="11" t="s">
        <v>66</v>
      </c>
      <c r="Q1444" s="11" t="s">
        <v>44</v>
      </c>
      <c r="R1444" s="11" t="s">
        <v>45</v>
      </c>
      <c r="S1444" s="11" t="s">
        <v>45</v>
      </c>
      <c r="T1444" s="11" t="s">
        <v>44</v>
      </c>
      <c r="U1444" s="11" t="s">
        <v>45</v>
      </c>
      <c r="V1444" s="24">
        <v>45417</v>
      </c>
      <c r="W1444" s="11" t="s">
        <v>57</v>
      </c>
      <c r="X1444" s="11" t="s">
        <v>97</v>
      </c>
      <c r="Y1444" s="11" t="s">
        <v>97</v>
      </c>
      <c r="Z1444" s="11">
        <v>81999446407</v>
      </c>
      <c r="AA1444" s="11" t="s">
        <v>115</v>
      </c>
      <c r="AB1444" s="11" t="s">
        <v>98</v>
      </c>
      <c r="AC1444" s="11"/>
      <c r="AD1444" s="11" t="b">
        <v>0</v>
      </c>
      <c r="AF1444" s="11" t="s">
        <v>4568</v>
      </c>
      <c r="AG1444" s="11" t="s">
        <v>4569</v>
      </c>
      <c r="AI1444" s="264">
        <f t="shared" si="1"/>
        <v>45547</v>
      </c>
    </row>
    <row r="1445" ht="12.5" spans="1:35">
      <c r="A1445" s="177">
        <v>45417.4307382176</v>
      </c>
      <c r="B1445" s="11" t="s">
        <v>4570</v>
      </c>
      <c r="C1445" s="19">
        <v>11170401430</v>
      </c>
      <c r="D1445" s="11">
        <v>707609219415093</v>
      </c>
      <c r="E1445" s="18" t="s">
        <v>4571</v>
      </c>
      <c r="F1445" s="11" t="s">
        <v>40</v>
      </c>
      <c r="G1445" s="11" t="s">
        <v>54</v>
      </c>
      <c r="H1445" s="24">
        <v>33764</v>
      </c>
      <c r="I1445" s="19" t="s">
        <v>136</v>
      </c>
      <c r="J1445" s="11" t="s">
        <v>42</v>
      </c>
      <c r="K1445" s="108" t="s">
        <v>90</v>
      </c>
      <c r="N1445" s="11" t="s">
        <v>43</v>
      </c>
      <c r="O1445" s="11" t="s">
        <v>44</v>
      </c>
      <c r="P1445" s="11" t="s">
        <v>44</v>
      </c>
      <c r="Q1445" s="11" t="s">
        <v>44</v>
      </c>
      <c r="R1445" s="11" t="s">
        <v>45</v>
      </c>
      <c r="S1445" s="11" t="s">
        <v>45</v>
      </c>
      <c r="T1445" s="11" t="s">
        <v>44</v>
      </c>
      <c r="U1445" s="11" t="s">
        <v>45</v>
      </c>
      <c r="V1445" s="24">
        <v>45417</v>
      </c>
      <c r="W1445" s="11" t="s">
        <v>46</v>
      </c>
      <c r="X1445" s="11" t="s">
        <v>303</v>
      </c>
      <c r="Y1445" s="11" t="s">
        <v>68</v>
      </c>
      <c r="Z1445" s="11">
        <v>81982653316</v>
      </c>
      <c r="AA1445" s="11" t="s">
        <v>3919</v>
      </c>
      <c r="AB1445" s="11" t="s">
        <v>49</v>
      </c>
      <c r="AC1445" s="11" t="s">
        <v>3892</v>
      </c>
      <c r="AD1445" s="11" t="b">
        <v>1</v>
      </c>
      <c r="AE1445" s="11" t="s">
        <v>137</v>
      </c>
      <c r="AF1445" s="11" t="s">
        <v>4572</v>
      </c>
      <c r="AI1445" s="263" t="e">
        <f t="shared" si="1"/>
        <v>#VALUE!</v>
      </c>
    </row>
    <row r="1446" ht="12.5" spans="1:35">
      <c r="A1446" s="177">
        <v>45417.4940871875</v>
      </c>
      <c r="B1446" s="11" t="s">
        <v>4570</v>
      </c>
      <c r="C1446" s="19">
        <v>11170401430</v>
      </c>
      <c r="D1446" s="11">
        <v>707609219415093</v>
      </c>
      <c r="E1446" s="18" t="s">
        <v>4573</v>
      </c>
      <c r="F1446" s="11" t="s">
        <v>40</v>
      </c>
      <c r="G1446" s="11" t="s">
        <v>54</v>
      </c>
      <c r="H1446" s="24">
        <v>33764</v>
      </c>
      <c r="I1446" s="19" t="s">
        <v>136</v>
      </c>
      <c r="J1446" s="11" t="s">
        <v>42</v>
      </c>
      <c r="K1446" s="108" t="s">
        <v>90</v>
      </c>
      <c r="N1446" s="11" t="s">
        <v>95</v>
      </c>
      <c r="O1446" s="11" t="s">
        <v>65</v>
      </c>
      <c r="P1446" s="11" t="s">
        <v>66</v>
      </c>
      <c r="Q1446" s="11" t="s">
        <v>44</v>
      </c>
      <c r="R1446" s="11" t="s">
        <v>45</v>
      </c>
      <c r="S1446" s="11" t="s">
        <v>45</v>
      </c>
      <c r="T1446" s="11" t="s">
        <v>44</v>
      </c>
      <c r="U1446" s="11" t="s">
        <v>45</v>
      </c>
      <c r="V1446" s="24">
        <v>45418</v>
      </c>
      <c r="W1446" s="11" t="s">
        <v>46</v>
      </c>
      <c r="X1446" s="11" t="s">
        <v>97</v>
      </c>
      <c r="Y1446" s="11" t="s">
        <v>97</v>
      </c>
      <c r="Z1446" s="11">
        <v>81982653316</v>
      </c>
      <c r="AA1446" s="11" t="s">
        <v>3919</v>
      </c>
      <c r="AB1446" s="11" t="s">
        <v>49</v>
      </c>
      <c r="AC1446" s="11" t="s">
        <v>92</v>
      </c>
      <c r="AD1446" s="11" t="b">
        <v>1</v>
      </c>
      <c r="AE1446" s="11" t="s">
        <v>137</v>
      </c>
      <c r="AF1446" s="11" t="s">
        <v>4574</v>
      </c>
      <c r="AG1446" s="11" t="s">
        <v>4575</v>
      </c>
      <c r="AI1446" s="263" t="e">
        <f t="shared" si="1"/>
        <v>#VALUE!</v>
      </c>
    </row>
    <row r="1447" ht="12.5" spans="1:35">
      <c r="A1447" s="177">
        <v>45418.6762580208</v>
      </c>
      <c r="B1447" s="11" t="s">
        <v>4576</v>
      </c>
      <c r="C1447" s="19">
        <v>71590593448</v>
      </c>
      <c r="D1447" s="11">
        <v>706804286131323</v>
      </c>
      <c r="E1447" s="18" t="s">
        <v>4577</v>
      </c>
      <c r="F1447" s="11" t="s">
        <v>40</v>
      </c>
      <c r="G1447" s="11" t="s">
        <v>54</v>
      </c>
      <c r="H1447" s="24">
        <v>37881</v>
      </c>
      <c r="I1447" s="222">
        <v>45313</v>
      </c>
      <c r="J1447" s="11" t="s">
        <v>42</v>
      </c>
      <c r="K1447" s="108" t="s">
        <v>4578</v>
      </c>
      <c r="N1447" s="11" t="s">
        <v>43</v>
      </c>
      <c r="O1447" s="11" t="s">
        <v>44</v>
      </c>
      <c r="P1447" s="11" t="s">
        <v>44</v>
      </c>
      <c r="Q1447" s="11" t="s">
        <v>44</v>
      </c>
      <c r="R1447" s="11" t="s">
        <v>45</v>
      </c>
      <c r="S1447" s="11" t="s">
        <v>83</v>
      </c>
      <c r="T1447" s="11" t="s">
        <v>44</v>
      </c>
      <c r="U1447" s="11" t="s">
        <v>45</v>
      </c>
      <c r="V1447" s="24">
        <v>45427</v>
      </c>
      <c r="W1447" s="11" t="s">
        <v>46</v>
      </c>
      <c r="X1447" s="11" t="s">
        <v>47</v>
      </c>
      <c r="Y1447" s="11" t="s">
        <v>58</v>
      </c>
      <c r="Z1447" s="11">
        <v>81992513955</v>
      </c>
      <c r="AA1447" s="11" t="s">
        <v>1360</v>
      </c>
      <c r="AB1447" s="11" t="s">
        <v>49</v>
      </c>
      <c r="AC1447" s="11" t="s">
        <v>4117</v>
      </c>
      <c r="AD1447" s="11" t="b">
        <v>0</v>
      </c>
      <c r="AF1447" s="11" t="s">
        <v>4579</v>
      </c>
      <c r="AH1447" s="11" t="s">
        <v>4580</v>
      </c>
      <c r="AI1447" s="264">
        <f t="shared" si="1"/>
        <v>45593</v>
      </c>
    </row>
    <row r="1448" ht="12.5" spans="1:35">
      <c r="A1448" s="177">
        <v>45418.6881989468</v>
      </c>
      <c r="B1448" s="11" t="s">
        <v>4570</v>
      </c>
      <c r="C1448" s="19">
        <v>11170401430</v>
      </c>
      <c r="D1448" s="11">
        <v>707609219415093</v>
      </c>
      <c r="F1448" s="11" t="s">
        <v>40</v>
      </c>
      <c r="G1448" s="11" t="s">
        <v>54</v>
      </c>
      <c r="H1448" s="24">
        <v>33764</v>
      </c>
      <c r="I1448" s="222">
        <v>45142</v>
      </c>
      <c r="J1448" s="11" t="s">
        <v>42</v>
      </c>
      <c r="K1448" s="108" t="s">
        <v>90</v>
      </c>
      <c r="N1448" s="11" t="s">
        <v>95</v>
      </c>
      <c r="O1448" s="11" t="s">
        <v>44</v>
      </c>
      <c r="P1448" s="11" t="s">
        <v>44</v>
      </c>
      <c r="Q1448" s="11" t="s">
        <v>44</v>
      </c>
      <c r="R1448" s="11" t="s">
        <v>45</v>
      </c>
      <c r="S1448" s="11" t="s">
        <v>45</v>
      </c>
      <c r="T1448" s="11" t="s">
        <v>44</v>
      </c>
      <c r="U1448" s="11" t="s">
        <v>44</v>
      </c>
      <c r="W1448" s="11" t="s">
        <v>57</v>
      </c>
      <c r="X1448" s="11" t="s">
        <v>97</v>
      </c>
      <c r="Y1448" s="11" t="s">
        <v>97</v>
      </c>
      <c r="Z1448" s="11">
        <v>81982653316</v>
      </c>
      <c r="AA1448" s="11" t="s">
        <v>91</v>
      </c>
      <c r="AB1448" s="11"/>
      <c r="AC1448" s="11"/>
      <c r="AD1448" s="11" t="b">
        <v>0</v>
      </c>
      <c r="AI1448" s="264">
        <f t="shared" si="1"/>
        <v>45422</v>
      </c>
    </row>
    <row r="1449" ht="12.5" spans="1:35">
      <c r="A1449" s="177">
        <v>45419.4163170833</v>
      </c>
      <c r="B1449" s="11" t="s">
        <v>4163</v>
      </c>
      <c r="C1449" s="19">
        <v>12567294422</v>
      </c>
      <c r="D1449" s="11">
        <v>703000803629779</v>
      </c>
      <c r="E1449" s="18" t="s">
        <v>4581</v>
      </c>
      <c r="F1449" s="11" t="s">
        <v>40</v>
      </c>
      <c r="G1449" s="11" t="s">
        <v>54</v>
      </c>
      <c r="H1449" s="24">
        <v>35716</v>
      </c>
      <c r="I1449" s="232">
        <v>45247</v>
      </c>
      <c r="J1449" s="11" t="s">
        <v>42</v>
      </c>
      <c r="K1449" s="108" t="s">
        <v>4582</v>
      </c>
      <c r="N1449" s="11" t="s">
        <v>43</v>
      </c>
      <c r="O1449" s="11" t="s">
        <v>44</v>
      </c>
      <c r="P1449" s="11" t="s">
        <v>44</v>
      </c>
      <c r="Q1449" s="11" t="s">
        <v>44</v>
      </c>
      <c r="R1449" s="11" t="s">
        <v>45</v>
      </c>
      <c r="S1449" s="11" t="s">
        <v>83</v>
      </c>
      <c r="T1449" s="11" t="s">
        <v>4348</v>
      </c>
      <c r="U1449" s="11" t="s">
        <v>44</v>
      </c>
      <c r="W1449" s="11" t="s">
        <v>46</v>
      </c>
      <c r="X1449" s="11" t="s">
        <v>47</v>
      </c>
      <c r="Y1449" s="11" t="s">
        <v>58</v>
      </c>
      <c r="Z1449" s="11">
        <v>81997887559</v>
      </c>
      <c r="AA1449" s="11" t="s">
        <v>103</v>
      </c>
      <c r="AB1449" s="11"/>
      <c r="AC1449" s="11"/>
      <c r="AD1449" s="11" t="b">
        <v>0</v>
      </c>
      <c r="AI1449" s="265">
        <f t="shared" si="1"/>
        <v>45527</v>
      </c>
    </row>
    <row r="1450" ht="12.5" spans="1:35">
      <c r="A1450" s="177">
        <v>45419.4687602083</v>
      </c>
      <c r="B1450" s="11" t="s">
        <v>2971</v>
      </c>
      <c r="C1450" s="19">
        <v>70797418407</v>
      </c>
      <c r="D1450" s="11">
        <v>702401092249521</v>
      </c>
      <c r="E1450" s="18" t="s">
        <v>4583</v>
      </c>
      <c r="F1450" s="11" t="s">
        <v>40</v>
      </c>
      <c r="G1450" s="11" t="s">
        <v>54</v>
      </c>
      <c r="H1450" s="24">
        <v>36199</v>
      </c>
      <c r="I1450" s="222">
        <v>45202</v>
      </c>
      <c r="J1450" s="11" t="s">
        <v>42</v>
      </c>
      <c r="K1450" s="108" t="s">
        <v>202</v>
      </c>
      <c r="N1450" s="11" t="s">
        <v>43</v>
      </c>
      <c r="O1450" s="11" t="s">
        <v>44</v>
      </c>
      <c r="P1450" s="11" t="s">
        <v>44</v>
      </c>
      <c r="Q1450" s="11" t="s">
        <v>44</v>
      </c>
      <c r="R1450" s="11" t="s">
        <v>45</v>
      </c>
      <c r="S1450" s="11" t="s">
        <v>45</v>
      </c>
      <c r="T1450" s="11" t="s">
        <v>44</v>
      </c>
      <c r="U1450" s="11" t="s">
        <v>45</v>
      </c>
      <c r="V1450" s="24">
        <v>45419</v>
      </c>
      <c r="W1450" s="11" t="s">
        <v>57</v>
      </c>
      <c r="X1450" s="11" t="s">
        <v>47</v>
      </c>
      <c r="Y1450" s="11" t="s">
        <v>58</v>
      </c>
      <c r="Z1450" s="11">
        <v>81996209137</v>
      </c>
      <c r="AA1450" s="11" t="s">
        <v>4003</v>
      </c>
      <c r="AB1450" s="11" t="s">
        <v>49</v>
      </c>
      <c r="AC1450" s="11" t="s">
        <v>4117</v>
      </c>
      <c r="AD1450" s="11" t="b">
        <v>1</v>
      </c>
      <c r="AE1450" s="11" t="s">
        <v>137</v>
      </c>
      <c r="AF1450" s="11" t="s">
        <v>4584</v>
      </c>
      <c r="AH1450" s="11" t="s">
        <v>2132</v>
      </c>
      <c r="AI1450" s="264">
        <f t="shared" si="1"/>
        <v>45482</v>
      </c>
    </row>
    <row r="1451" ht="12.5" spans="1:35">
      <c r="A1451" s="177">
        <v>45419.6789933912</v>
      </c>
      <c r="B1451" s="11" t="s">
        <v>2971</v>
      </c>
      <c r="C1451" s="19">
        <v>70797418407</v>
      </c>
      <c r="D1451" s="11">
        <v>702401092249521</v>
      </c>
      <c r="E1451" s="18" t="s">
        <v>4585</v>
      </c>
      <c r="F1451" s="11" t="s">
        <v>40</v>
      </c>
      <c r="G1451" s="11" t="s">
        <v>54</v>
      </c>
      <c r="H1451" s="24">
        <v>36199</v>
      </c>
      <c r="I1451" s="222">
        <v>45202</v>
      </c>
      <c r="J1451" s="11" t="s">
        <v>42</v>
      </c>
      <c r="K1451" s="108" t="s">
        <v>202</v>
      </c>
      <c r="N1451" s="11" t="s">
        <v>95</v>
      </c>
      <c r="O1451" s="11" t="s">
        <v>44</v>
      </c>
      <c r="P1451" s="11" t="s">
        <v>44</v>
      </c>
      <c r="Q1451" s="11" t="s">
        <v>44</v>
      </c>
      <c r="R1451" s="11" t="s">
        <v>45</v>
      </c>
      <c r="S1451" s="11" t="s">
        <v>45</v>
      </c>
      <c r="T1451" s="11" t="s">
        <v>4341</v>
      </c>
      <c r="U1451" s="11" t="s">
        <v>44</v>
      </c>
      <c r="W1451" s="11" t="s">
        <v>57</v>
      </c>
      <c r="X1451" s="11" t="s">
        <v>47</v>
      </c>
      <c r="Y1451" s="11" t="s">
        <v>58</v>
      </c>
      <c r="Z1451" s="11">
        <v>81996209137</v>
      </c>
      <c r="AA1451" s="11" t="s">
        <v>4003</v>
      </c>
      <c r="AB1451" s="11"/>
      <c r="AC1451" s="11"/>
      <c r="AD1451" s="11" t="b">
        <v>0</v>
      </c>
      <c r="AI1451" s="264">
        <f t="shared" si="1"/>
        <v>45482</v>
      </c>
    </row>
    <row r="1452" ht="12.5" spans="1:35">
      <c r="A1452" s="177">
        <v>45419.7087931829</v>
      </c>
      <c r="B1452" s="11" t="s">
        <v>2971</v>
      </c>
      <c r="C1452" s="19">
        <v>70797418407</v>
      </c>
      <c r="D1452" s="11">
        <v>702401092249521</v>
      </c>
      <c r="E1452" s="18" t="s">
        <v>4586</v>
      </c>
      <c r="F1452" s="11" t="s">
        <v>40</v>
      </c>
      <c r="G1452" s="11" t="s">
        <v>54</v>
      </c>
      <c r="H1452" s="24">
        <v>36199</v>
      </c>
      <c r="I1452" s="222">
        <v>45202</v>
      </c>
      <c r="J1452" s="11" t="s">
        <v>42</v>
      </c>
      <c r="K1452" s="108" t="s">
        <v>282</v>
      </c>
      <c r="N1452" s="11" t="s">
        <v>43</v>
      </c>
      <c r="O1452" s="11" t="s">
        <v>44</v>
      </c>
      <c r="P1452" s="11" t="s">
        <v>44</v>
      </c>
      <c r="Q1452" s="11" t="s">
        <v>45</v>
      </c>
      <c r="R1452" s="11" t="s">
        <v>45</v>
      </c>
      <c r="S1452" s="11" t="s">
        <v>45</v>
      </c>
      <c r="T1452" s="11" t="s">
        <v>44</v>
      </c>
      <c r="U1452" s="11" t="s">
        <v>45</v>
      </c>
      <c r="V1452" s="24">
        <v>45428</v>
      </c>
      <c r="W1452" s="11" t="s">
        <v>57</v>
      </c>
      <c r="X1452" s="11" t="s">
        <v>47</v>
      </c>
      <c r="Y1452" s="11" t="s">
        <v>58</v>
      </c>
      <c r="Z1452" s="11">
        <v>81996209137</v>
      </c>
      <c r="AA1452" s="11" t="s">
        <v>4088</v>
      </c>
      <c r="AB1452" s="11" t="s">
        <v>98</v>
      </c>
      <c r="AC1452" s="11"/>
      <c r="AD1452" s="11" t="b">
        <v>0</v>
      </c>
      <c r="AF1452" s="11" t="s">
        <v>4587</v>
      </c>
      <c r="AG1452" s="11" t="s">
        <v>4588</v>
      </c>
      <c r="AI1452" s="264">
        <f t="shared" si="1"/>
        <v>45482</v>
      </c>
    </row>
    <row r="1453" ht="12.5" spans="1:35">
      <c r="A1453" s="177">
        <v>45420.3983780903</v>
      </c>
      <c r="B1453" s="11" t="s">
        <v>4589</v>
      </c>
      <c r="C1453" s="277" t="s">
        <v>4590</v>
      </c>
      <c r="D1453" s="11">
        <v>702106712699096</v>
      </c>
      <c r="E1453" s="18" t="s">
        <v>4591</v>
      </c>
      <c r="F1453" s="11" t="s">
        <v>40</v>
      </c>
      <c r="G1453" s="11" t="s">
        <v>88</v>
      </c>
      <c r="H1453" s="24">
        <v>34592</v>
      </c>
      <c r="I1453" s="222">
        <v>45175</v>
      </c>
      <c r="J1453" s="11" t="s">
        <v>42</v>
      </c>
      <c r="K1453" s="108" t="s">
        <v>455</v>
      </c>
      <c r="N1453" s="11" t="s">
        <v>43</v>
      </c>
      <c r="O1453" s="11" t="s">
        <v>96</v>
      </c>
      <c r="P1453" s="11" t="s">
        <v>56</v>
      </c>
      <c r="Q1453" s="11" t="s">
        <v>44</v>
      </c>
      <c r="R1453" s="11" t="s">
        <v>45</v>
      </c>
      <c r="S1453" s="11" t="s">
        <v>83</v>
      </c>
      <c r="T1453" s="11" t="s">
        <v>44</v>
      </c>
      <c r="U1453" s="11" t="s">
        <v>45</v>
      </c>
      <c r="V1453" s="24">
        <v>45420</v>
      </c>
      <c r="W1453" s="11" t="s">
        <v>46</v>
      </c>
      <c r="X1453" s="11" t="s">
        <v>47</v>
      </c>
      <c r="Y1453" s="11" t="s">
        <v>58</v>
      </c>
      <c r="Z1453" s="11">
        <v>81988900219</v>
      </c>
      <c r="AA1453" s="11" t="s">
        <v>115</v>
      </c>
      <c r="AB1453" s="136" t="s">
        <v>49</v>
      </c>
      <c r="AC1453" s="136" t="s">
        <v>50</v>
      </c>
      <c r="AD1453" s="11" t="b">
        <v>0</v>
      </c>
      <c r="AF1453" s="11" t="s">
        <v>4592</v>
      </c>
      <c r="AI1453" s="264">
        <f t="shared" si="1"/>
        <v>45455</v>
      </c>
    </row>
    <row r="1454" ht="12.5" spans="1:35">
      <c r="A1454" s="177">
        <v>45420.4474284954</v>
      </c>
      <c r="B1454" s="11" t="s">
        <v>4593</v>
      </c>
      <c r="C1454" s="19">
        <v>71578122406</v>
      </c>
      <c r="D1454" s="11">
        <v>700908946200096</v>
      </c>
      <c r="E1454" s="18" t="s">
        <v>4594</v>
      </c>
      <c r="F1454" s="11" t="s">
        <v>40</v>
      </c>
      <c r="G1454" s="11" t="s">
        <v>54</v>
      </c>
      <c r="H1454" s="24">
        <v>37106</v>
      </c>
      <c r="I1454" s="19" t="s">
        <v>136</v>
      </c>
      <c r="J1454" s="11" t="s">
        <v>42</v>
      </c>
      <c r="K1454" s="108" t="s">
        <v>4595</v>
      </c>
      <c r="N1454" s="11" t="s">
        <v>43</v>
      </c>
      <c r="O1454" s="11" t="s">
        <v>65</v>
      </c>
      <c r="P1454" s="11" t="s">
        <v>66</v>
      </c>
      <c r="Q1454" s="11" t="s">
        <v>45</v>
      </c>
      <c r="R1454" s="11" t="s">
        <v>45</v>
      </c>
      <c r="S1454" s="11" t="s">
        <v>45</v>
      </c>
      <c r="T1454" s="11" t="s">
        <v>44</v>
      </c>
      <c r="U1454" s="11" t="s">
        <v>45</v>
      </c>
      <c r="V1454" s="24">
        <v>45421</v>
      </c>
      <c r="W1454" s="11" t="s">
        <v>46</v>
      </c>
      <c r="X1454" s="11" t="s">
        <v>47</v>
      </c>
      <c r="Y1454" s="11" t="s">
        <v>58</v>
      </c>
      <c r="Z1454" s="11">
        <v>81993282644</v>
      </c>
      <c r="AA1454" s="11" t="s">
        <v>103</v>
      </c>
      <c r="AB1454" s="11" t="s">
        <v>49</v>
      </c>
      <c r="AC1454" s="11" t="s">
        <v>3892</v>
      </c>
      <c r="AD1454" s="11" t="b">
        <v>1</v>
      </c>
      <c r="AE1454" s="11" t="s">
        <v>137</v>
      </c>
      <c r="AF1454" s="11" t="s">
        <v>4596</v>
      </c>
      <c r="AI1454" s="263" t="e">
        <f t="shared" si="1"/>
        <v>#VALUE!</v>
      </c>
    </row>
    <row r="1455" ht="12.5" spans="1:35">
      <c r="A1455" s="177">
        <v>45420.6039786343</v>
      </c>
      <c r="B1455" s="11" t="s">
        <v>4597</v>
      </c>
      <c r="C1455" s="277" t="s">
        <v>4598</v>
      </c>
      <c r="D1455" s="11">
        <v>702804665755861</v>
      </c>
      <c r="E1455" s="18" t="s">
        <v>4599</v>
      </c>
      <c r="F1455" s="11" t="s">
        <v>40</v>
      </c>
      <c r="G1455" s="11" t="s">
        <v>41</v>
      </c>
      <c r="H1455" s="24">
        <v>32376</v>
      </c>
      <c r="I1455" s="222">
        <v>45153</v>
      </c>
      <c r="J1455" s="11" t="s">
        <v>42</v>
      </c>
      <c r="K1455" s="108" t="s">
        <v>4600</v>
      </c>
      <c r="N1455" s="11" t="s">
        <v>43</v>
      </c>
      <c r="O1455" s="11" t="s">
        <v>44</v>
      </c>
      <c r="P1455" s="11" t="s">
        <v>44</v>
      </c>
      <c r="Q1455" s="11" t="s">
        <v>44</v>
      </c>
      <c r="R1455" s="11" t="s">
        <v>45</v>
      </c>
      <c r="S1455" s="11" t="s">
        <v>45</v>
      </c>
      <c r="T1455" s="11" t="s">
        <v>4348</v>
      </c>
      <c r="U1455" s="11" t="s">
        <v>45</v>
      </c>
      <c r="V1455" s="24">
        <v>45421</v>
      </c>
      <c r="W1455" s="11" t="s">
        <v>46</v>
      </c>
      <c r="X1455" s="11" t="s">
        <v>47</v>
      </c>
      <c r="Y1455" s="11" t="s">
        <v>58</v>
      </c>
      <c r="Z1455" s="11">
        <v>81986591644</v>
      </c>
      <c r="AA1455" s="11" t="s">
        <v>115</v>
      </c>
      <c r="AB1455" s="11" t="s">
        <v>98</v>
      </c>
      <c r="AC1455" s="11"/>
      <c r="AD1455" s="11" t="b">
        <v>0</v>
      </c>
      <c r="AF1455" s="11" t="s">
        <v>4601</v>
      </c>
      <c r="AG1455" s="11" t="s">
        <v>4602</v>
      </c>
      <c r="AI1455" s="264">
        <f t="shared" si="1"/>
        <v>45433</v>
      </c>
    </row>
    <row r="1456" ht="12.5" spans="1:35">
      <c r="A1456" s="177">
        <v>45420.7115442361</v>
      </c>
      <c r="B1456" s="11" t="s">
        <v>4589</v>
      </c>
      <c r="C1456" s="277" t="s">
        <v>4590</v>
      </c>
      <c r="D1456" s="11">
        <v>702106712699096</v>
      </c>
      <c r="F1456" s="11" t="s">
        <v>40</v>
      </c>
      <c r="G1456" s="11" t="s">
        <v>88</v>
      </c>
      <c r="H1456" s="24">
        <v>34592</v>
      </c>
      <c r="I1456" s="222">
        <v>45175</v>
      </c>
      <c r="J1456" s="11" t="s">
        <v>42</v>
      </c>
      <c r="K1456" s="108" t="s">
        <v>455</v>
      </c>
      <c r="N1456" s="11" t="s">
        <v>95</v>
      </c>
      <c r="O1456" s="11" t="s">
        <v>44</v>
      </c>
      <c r="P1456" s="11" t="s">
        <v>44</v>
      </c>
      <c r="Q1456" s="11" t="s">
        <v>45</v>
      </c>
      <c r="R1456" s="11" t="s">
        <v>45</v>
      </c>
      <c r="S1456" s="11" t="s">
        <v>45</v>
      </c>
      <c r="T1456" s="11" t="s">
        <v>44</v>
      </c>
      <c r="U1456" s="11" t="s">
        <v>45</v>
      </c>
      <c r="V1456" s="24">
        <v>45427</v>
      </c>
      <c r="W1456" s="11" t="s">
        <v>57</v>
      </c>
      <c r="X1456" s="11" t="s">
        <v>97</v>
      </c>
      <c r="Y1456" s="11" t="s">
        <v>97</v>
      </c>
      <c r="Z1456" s="11">
        <v>81988900219</v>
      </c>
      <c r="AA1456" s="11" t="s">
        <v>115</v>
      </c>
      <c r="AB1456" s="11" t="s">
        <v>49</v>
      </c>
      <c r="AC1456" s="11" t="s">
        <v>50</v>
      </c>
      <c r="AD1456" s="11" t="b">
        <v>1</v>
      </c>
      <c r="AE1456" s="11" t="s">
        <v>137</v>
      </c>
      <c r="AF1456" s="11" t="s">
        <v>4603</v>
      </c>
      <c r="AI1456" s="264">
        <f t="shared" si="1"/>
        <v>45455</v>
      </c>
    </row>
    <row r="1457" ht="14" spans="1:35">
      <c r="A1457" s="177">
        <v>45420.7737193171</v>
      </c>
      <c r="B1457" s="11" t="s">
        <v>4604</v>
      </c>
      <c r="C1457" s="277" t="s">
        <v>4605</v>
      </c>
      <c r="D1457" s="11">
        <v>704001314656365</v>
      </c>
      <c r="E1457" s="18" t="s">
        <v>4606</v>
      </c>
      <c r="F1457" s="11" t="s">
        <v>225</v>
      </c>
      <c r="G1457" s="11" t="s">
        <v>54</v>
      </c>
      <c r="H1457" s="24">
        <v>36333</v>
      </c>
      <c r="I1457" s="222">
        <v>45309</v>
      </c>
      <c r="J1457" s="11" t="s">
        <v>42</v>
      </c>
      <c r="K1457" s="108" t="s">
        <v>4607</v>
      </c>
      <c r="N1457" s="11" t="s">
        <v>43</v>
      </c>
      <c r="O1457" s="11" t="s">
        <v>44</v>
      </c>
      <c r="P1457" s="11" t="s">
        <v>44</v>
      </c>
      <c r="Q1457" s="11" t="s">
        <v>45</v>
      </c>
      <c r="R1457" s="11" t="s">
        <v>45</v>
      </c>
      <c r="S1457" s="11" t="s">
        <v>83</v>
      </c>
      <c r="T1457" s="11" t="s">
        <v>44</v>
      </c>
      <c r="U1457" s="11" t="s">
        <v>45</v>
      </c>
      <c r="V1457" s="24">
        <v>45421</v>
      </c>
      <c r="W1457" s="11" t="s">
        <v>46</v>
      </c>
      <c r="X1457" s="11" t="s">
        <v>203</v>
      </c>
      <c r="Y1457" s="11" t="s">
        <v>58</v>
      </c>
      <c r="Z1457" s="11">
        <v>81986597131</v>
      </c>
      <c r="AA1457" s="11" t="s">
        <v>4088</v>
      </c>
      <c r="AB1457" s="11" t="s">
        <v>98</v>
      </c>
      <c r="AC1457" s="11"/>
      <c r="AD1457" s="11" t="b">
        <v>0</v>
      </c>
      <c r="AF1457" s="11" t="s">
        <v>4608</v>
      </c>
      <c r="AG1457" s="11" t="s">
        <v>4609</v>
      </c>
      <c r="AH1457" s="250" t="s">
        <v>4610</v>
      </c>
      <c r="AI1457" s="264">
        <f t="shared" si="1"/>
        <v>45589</v>
      </c>
    </row>
    <row r="1458" ht="12.5" spans="1:35">
      <c r="A1458" s="177">
        <v>45420.7884190625</v>
      </c>
      <c r="B1458" s="11" t="s">
        <v>4611</v>
      </c>
      <c r="C1458" s="19">
        <v>11332924450</v>
      </c>
      <c r="D1458" s="11">
        <v>708102586377337</v>
      </c>
      <c r="E1458" s="18" t="s">
        <v>4612</v>
      </c>
      <c r="F1458" s="11" t="s">
        <v>225</v>
      </c>
      <c r="G1458" s="11" t="s">
        <v>41</v>
      </c>
      <c r="H1458" s="24">
        <v>34528</v>
      </c>
      <c r="I1458" s="222">
        <v>45146</v>
      </c>
      <c r="J1458" s="11" t="s">
        <v>438</v>
      </c>
      <c r="K1458" s="108"/>
      <c r="M1458" s="11" t="s">
        <v>4613</v>
      </c>
      <c r="N1458" s="11" t="s">
        <v>43</v>
      </c>
      <c r="O1458" s="11" t="s">
        <v>65</v>
      </c>
      <c r="P1458" s="11" t="s">
        <v>66</v>
      </c>
      <c r="Q1458" s="11" t="s">
        <v>45</v>
      </c>
      <c r="R1458" s="11" t="s">
        <v>45</v>
      </c>
      <c r="S1458" s="11" t="s">
        <v>45</v>
      </c>
      <c r="T1458" s="11" t="s">
        <v>4405</v>
      </c>
      <c r="U1458" s="11" t="s">
        <v>45</v>
      </c>
      <c r="V1458" s="24">
        <v>45421</v>
      </c>
      <c r="W1458" s="11" t="s">
        <v>46</v>
      </c>
      <c r="X1458" s="11" t="s">
        <v>203</v>
      </c>
      <c r="Y1458" s="11" t="s">
        <v>58</v>
      </c>
      <c r="Z1458" s="11">
        <v>81973403446</v>
      </c>
      <c r="AA1458" s="11" t="s">
        <v>115</v>
      </c>
      <c r="AB1458" s="11" t="s">
        <v>49</v>
      </c>
      <c r="AC1458" s="11" t="s">
        <v>92</v>
      </c>
      <c r="AD1458" s="11" t="b">
        <v>0</v>
      </c>
      <c r="AF1458" s="11" t="s">
        <v>4614</v>
      </c>
      <c r="AI1458" s="264">
        <f t="shared" si="1"/>
        <v>45426</v>
      </c>
    </row>
    <row r="1459" ht="12.5" spans="1:35">
      <c r="A1459" s="177">
        <v>45420.8047668519</v>
      </c>
      <c r="B1459" s="11" t="s">
        <v>4615</v>
      </c>
      <c r="C1459" s="19">
        <v>11067662456</v>
      </c>
      <c r="D1459" s="11">
        <v>700601999498266</v>
      </c>
      <c r="E1459" s="18" t="s">
        <v>4616</v>
      </c>
      <c r="F1459" s="11" t="s">
        <v>40</v>
      </c>
      <c r="G1459" s="11" t="s">
        <v>41</v>
      </c>
      <c r="H1459" s="24">
        <v>34420</v>
      </c>
      <c r="I1459" s="19" t="s">
        <v>136</v>
      </c>
      <c r="J1459" s="11" t="s">
        <v>42</v>
      </c>
      <c r="K1459" s="108" t="s">
        <v>4617</v>
      </c>
      <c r="N1459" s="11" t="s">
        <v>43</v>
      </c>
      <c r="O1459" s="11" t="s">
        <v>44</v>
      </c>
      <c r="P1459" s="11" t="s">
        <v>44</v>
      </c>
      <c r="Q1459" s="11" t="s">
        <v>45</v>
      </c>
      <c r="R1459" s="11" t="s">
        <v>45</v>
      </c>
      <c r="S1459" s="11" t="s">
        <v>45</v>
      </c>
      <c r="T1459" s="11" t="s">
        <v>44</v>
      </c>
      <c r="U1459" s="11" t="s">
        <v>44</v>
      </c>
      <c r="W1459" s="11" t="s">
        <v>46</v>
      </c>
      <c r="X1459" s="11" t="s">
        <v>203</v>
      </c>
      <c r="Y1459" s="11" t="s">
        <v>58</v>
      </c>
      <c r="Z1459" s="11">
        <v>81985888198</v>
      </c>
      <c r="AA1459" s="11" t="s">
        <v>4088</v>
      </c>
      <c r="AB1459" s="11"/>
      <c r="AC1459" s="11"/>
      <c r="AD1459" s="11" t="b">
        <v>0</v>
      </c>
      <c r="AI1459" s="263" t="e">
        <f t="shared" si="1"/>
        <v>#VALUE!</v>
      </c>
    </row>
    <row r="1460" ht="12.5" spans="1:35">
      <c r="A1460" s="177">
        <v>45420.9394106366</v>
      </c>
      <c r="B1460" s="11" t="s">
        <v>4618</v>
      </c>
      <c r="C1460" s="19">
        <v>10919300405</v>
      </c>
      <c r="D1460" s="11">
        <v>708400273864269</v>
      </c>
      <c r="E1460" s="18" t="s">
        <v>4619</v>
      </c>
      <c r="F1460" s="11" t="s">
        <v>40</v>
      </c>
      <c r="G1460" s="11" t="s">
        <v>41</v>
      </c>
      <c r="H1460" s="24">
        <v>38075</v>
      </c>
      <c r="I1460" s="222">
        <v>45184</v>
      </c>
      <c r="J1460" s="11" t="s">
        <v>42</v>
      </c>
      <c r="K1460" s="108" t="s">
        <v>202</v>
      </c>
      <c r="N1460" s="11" t="s">
        <v>43</v>
      </c>
      <c r="O1460" s="11" t="s">
        <v>44</v>
      </c>
      <c r="P1460" s="11" t="s">
        <v>44</v>
      </c>
      <c r="Q1460" s="11" t="s">
        <v>45</v>
      </c>
      <c r="R1460" s="11" t="s">
        <v>45</v>
      </c>
      <c r="S1460" s="11" t="s">
        <v>45</v>
      </c>
      <c r="T1460" s="11" t="s">
        <v>44</v>
      </c>
      <c r="U1460" s="11" t="s">
        <v>45</v>
      </c>
      <c r="V1460" s="24">
        <v>45421</v>
      </c>
      <c r="W1460" s="11" t="s">
        <v>46</v>
      </c>
      <c r="X1460" s="11" t="s">
        <v>203</v>
      </c>
      <c r="Y1460" s="11" t="s">
        <v>58</v>
      </c>
      <c r="Z1460" s="11">
        <v>81981883103</v>
      </c>
      <c r="AA1460" s="11" t="s">
        <v>115</v>
      </c>
      <c r="AB1460" s="11" t="s">
        <v>49</v>
      </c>
      <c r="AC1460" s="11" t="s">
        <v>50</v>
      </c>
      <c r="AD1460" s="11" t="b">
        <v>0</v>
      </c>
      <c r="AF1460" s="11" t="s">
        <v>4620</v>
      </c>
      <c r="AH1460" s="11" t="s">
        <v>2132</v>
      </c>
      <c r="AI1460" s="264">
        <f t="shared" si="1"/>
        <v>45464</v>
      </c>
    </row>
    <row r="1461" ht="12.5" spans="1:35">
      <c r="A1461" s="177">
        <v>45421.3468990046</v>
      </c>
      <c r="B1461" s="11" t="s">
        <v>4593</v>
      </c>
      <c r="C1461" s="19">
        <v>71578122406</v>
      </c>
      <c r="D1461" s="11">
        <v>700908946200096</v>
      </c>
      <c r="F1461" s="11" t="s">
        <v>40</v>
      </c>
      <c r="G1461" s="11" t="s">
        <v>54</v>
      </c>
      <c r="H1461" s="24">
        <v>37106</v>
      </c>
      <c r="I1461" s="222">
        <v>45169</v>
      </c>
      <c r="J1461" s="11" t="s">
        <v>42</v>
      </c>
      <c r="K1461" s="108" t="s">
        <v>4621</v>
      </c>
      <c r="N1461" s="11" t="s">
        <v>95</v>
      </c>
      <c r="O1461" s="11" t="s">
        <v>127</v>
      </c>
      <c r="P1461" s="11" t="s">
        <v>44</v>
      </c>
      <c r="Q1461" s="11" t="s">
        <v>44</v>
      </c>
      <c r="R1461" s="11" t="s">
        <v>45</v>
      </c>
      <c r="S1461" s="11" t="s">
        <v>45</v>
      </c>
      <c r="T1461" s="11" t="s">
        <v>44</v>
      </c>
      <c r="U1461" s="11" t="s">
        <v>44</v>
      </c>
      <c r="W1461" s="11" t="s">
        <v>57</v>
      </c>
      <c r="X1461" s="11" t="s">
        <v>97</v>
      </c>
      <c r="Y1461" s="11" t="s">
        <v>97</v>
      </c>
      <c r="Z1461" s="11">
        <v>81993282644</v>
      </c>
      <c r="AA1461" s="11" t="s">
        <v>3919</v>
      </c>
      <c r="AB1461" s="11"/>
      <c r="AC1461" s="11"/>
      <c r="AD1461" s="11" t="b">
        <v>0</v>
      </c>
      <c r="AI1461" s="264">
        <f t="shared" si="1"/>
        <v>45449</v>
      </c>
    </row>
    <row r="1462" ht="12.5" spans="1:35">
      <c r="A1462" s="177">
        <v>45421.3657722685</v>
      </c>
      <c r="B1462" s="11" t="s">
        <v>4622</v>
      </c>
      <c r="C1462" s="19">
        <v>10657267406</v>
      </c>
      <c r="D1462" s="11">
        <v>701402691924237</v>
      </c>
      <c r="E1462" s="18" t="s">
        <v>4623</v>
      </c>
      <c r="F1462" s="11" t="s">
        <v>40</v>
      </c>
      <c r="G1462" s="11" t="s">
        <v>41</v>
      </c>
      <c r="H1462" s="24">
        <v>35219</v>
      </c>
      <c r="I1462" s="222">
        <v>45194</v>
      </c>
      <c r="J1462" s="11" t="s">
        <v>42</v>
      </c>
      <c r="K1462" s="108" t="s">
        <v>63</v>
      </c>
      <c r="N1462" s="11" t="s">
        <v>43</v>
      </c>
      <c r="O1462" s="11" t="s">
        <v>96</v>
      </c>
      <c r="P1462" s="11" t="s">
        <v>56</v>
      </c>
      <c r="Q1462" s="11" t="s">
        <v>44</v>
      </c>
      <c r="R1462" s="11" t="s">
        <v>45</v>
      </c>
      <c r="S1462" s="11" t="s">
        <v>45</v>
      </c>
      <c r="T1462" s="11" t="s">
        <v>4405</v>
      </c>
      <c r="U1462" s="11" t="s">
        <v>45</v>
      </c>
      <c r="V1462" s="24">
        <v>45421</v>
      </c>
      <c r="W1462" s="11" t="s">
        <v>46</v>
      </c>
      <c r="X1462" s="254" t="s">
        <v>67</v>
      </c>
      <c r="Y1462" s="11" t="s">
        <v>58</v>
      </c>
      <c r="Z1462" s="11">
        <v>81996540791</v>
      </c>
      <c r="AA1462" s="11" t="s">
        <v>115</v>
      </c>
      <c r="AB1462" s="11" t="s">
        <v>49</v>
      </c>
      <c r="AC1462" s="11" t="s">
        <v>50</v>
      </c>
      <c r="AD1462" s="11" t="b">
        <v>0</v>
      </c>
      <c r="AF1462" s="214" t="s">
        <v>4624</v>
      </c>
      <c r="AI1462" s="264">
        <f t="shared" si="1"/>
        <v>45474</v>
      </c>
    </row>
    <row r="1463" ht="12.5" spans="1:35">
      <c r="A1463" s="177">
        <v>45421.4426863426</v>
      </c>
      <c r="B1463" s="11" t="s">
        <v>4625</v>
      </c>
      <c r="C1463" s="19">
        <v>13483484450</v>
      </c>
      <c r="D1463" s="11">
        <v>704205746556985</v>
      </c>
      <c r="E1463" s="18" t="s">
        <v>4626</v>
      </c>
      <c r="F1463" s="11" t="s">
        <v>40</v>
      </c>
      <c r="G1463" s="11" t="s">
        <v>54</v>
      </c>
      <c r="H1463" s="24">
        <v>37330</v>
      </c>
      <c r="I1463" s="222">
        <v>45177</v>
      </c>
      <c r="J1463" s="11" t="s">
        <v>42</v>
      </c>
      <c r="K1463" s="108" t="s">
        <v>202</v>
      </c>
      <c r="N1463" s="11" t="s">
        <v>43</v>
      </c>
      <c r="O1463" s="11" t="s">
        <v>44</v>
      </c>
      <c r="P1463" s="11" t="s">
        <v>44</v>
      </c>
      <c r="Q1463" s="11" t="s">
        <v>45</v>
      </c>
      <c r="R1463" s="11" t="s">
        <v>45</v>
      </c>
      <c r="S1463" s="11" t="s">
        <v>44</v>
      </c>
      <c r="T1463" s="11" t="s">
        <v>44</v>
      </c>
      <c r="U1463" s="11" t="s">
        <v>45</v>
      </c>
      <c r="V1463" s="24">
        <v>45422</v>
      </c>
      <c r="W1463" s="11" t="s">
        <v>46</v>
      </c>
      <c r="X1463" s="11" t="s">
        <v>47</v>
      </c>
      <c r="Y1463" s="11" t="s">
        <v>58</v>
      </c>
      <c r="Z1463" s="11">
        <v>81985562754</v>
      </c>
      <c r="AA1463" s="11" t="s">
        <v>3919</v>
      </c>
      <c r="AB1463" s="11" t="s">
        <v>98</v>
      </c>
      <c r="AC1463" s="11"/>
      <c r="AD1463" s="11" t="b">
        <v>0</v>
      </c>
      <c r="AF1463" s="11" t="s">
        <v>4627</v>
      </c>
      <c r="AG1463" s="11" t="s">
        <v>4628</v>
      </c>
      <c r="AI1463" s="264">
        <f t="shared" si="1"/>
        <v>45457</v>
      </c>
    </row>
    <row r="1464" ht="12.5" spans="1:35">
      <c r="A1464" s="177">
        <v>45421.4663575579</v>
      </c>
      <c r="B1464" s="11" t="s">
        <v>4611</v>
      </c>
      <c r="C1464" s="19">
        <v>11332924450</v>
      </c>
      <c r="D1464" s="11">
        <v>708102586377337</v>
      </c>
      <c r="F1464" s="11" t="s">
        <v>225</v>
      </c>
      <c r="G1464" s="11" t="s">
        <v>41</v>
      </c>
      <c r="H1464" s="24">
        <v>34528</v>
      </c>
      <c r="I1464" s="19" t="s">
        <v>97</v>
      </c>
      <c r="J1464" s="11" t="s">
        <v>438</v>
      </c>
      <c r="K1464" s="108"/>
      <c r="M1464" s="11" t="s">
        <v>4629</v>
      </c>
      <c r="N1464" s="11" t="s">
        <v>95</v>
      </c>
      <c r="O1464" s="11" t="s">
        <v>44</v>
      </c>
      <c r="P1464" s="11" t="s">
        <v>44</v>
      </c>
      <c r="Q1464" s="11" t="s">
        <v>45</v>
      </c>
      <c r="R1464" s="11" t="s">
        <v>45</v>
      </c>
      <c r="S1464" s="11" t="s">
        <v>45</v>
      </c>
      <c r="T1464" s="11" t="s">
        <v>4405</v>
      </c>
      <c r="U1464" s="11" t="s">
        <v>44</v>
      </c>
      <c r="W1464" s="11" t="s">
        <v>57</v>
      </c>
      <c r="X1464" s="11" t="s">
        <v>97</v>
      </c>
      <c r="Y1464" s="11" t="s">
        <v>97</v>
      </c>
      <c r="Z1464" s="11">
        <v>81973403446</v>
      </c>
      <c r="AA1464" s="11" t="s">
        <v>91</v>
      </c>
      <c r="AB1464" s="11"/>
      <c r="AC1464" s="11"/>
      <c r="AD1464" s="11" t="b">
        <v>0</v>
      </c>
      <c r="AI1464" s="263" t="e">
        <f t="shared" si="1"/>
        <v>#VALUE!</v>
      </c>
    </row>
    <row r="1465" ht="12.5" spans="1:35">
      <c r="A1465" s="177">
        <v>45421.4726689583</v>
      </c>
      <c r="B1465" s="11" t="s">
        <v>4630</v>
      </c>
      <c r="C1465" s="19">
        <v>15877271458</v>
      </c>
      <c r="D1465" s="11">
        <v>703206662088894</v>
      </c>
      <c r="E1465" s="18" t="s">
        <v>4631</v>
      </c>
      <c r="F1465" s="11" t="s">
        <v>40</v>
      </c>
      <c r="G1465" s="11" t="s">
        <v>54</v>
      </c>
      <c r="H1465" s="24">
        <v>38711</v>
      </c>
      <c r="I1465" s="222">
        <v>45364</v>
      </c>
      <c r="J1465" s="11" t="s">
        <v>42</v>
      </c>
      <c r="K1465" s="108" t="s">
        <v>202</v>
      </c>
      <c r="N1465" s="11" t="s">
        <v>43</v>
      </c>
      <c r="O1465" s="11" t="s">
        <v>44</v>
      </c>
      <c r="P1465" s="11" t="s">
        <v>44</v>
      </c>
      <c r="Q1465" s="11" t="s">
        <v>44</v>
      </c>
      <c r="R1465" s="11" t="s">
        <v>44</v>
      </c>
      <c r="S1465" s="11" t="s">
        <v>44</v>
      </c>
      <c r="T1465" s="11" t="s">
        <v>44</v>
      </c>
      <c r="U1465" s="11" t="s">
        <v>45</v>
      </c>
      <c r="V1465" s="24">
        <v>45422</v>
      </c>
      <c r="W1465" s="11" t="s">
        <v>46</v>
      </c>
      <c r="X1465" s="11" t="s">
        <v>47</v>
      </c>
      <c r="Y1465" s="11" t="s">
        <v>58</v>
      </c>
      <c r="Z1465" s="11">
        <v>81998028777</v>
      </c>
      <c r="AA1465" s="11" t="s">
        <v>3919</v>
      </c>
      <c r="AB1465" s="11" t="s">
        <v>49</v>
      </c>
      <c r="AC1465" s="11" t="s">
        <v>256</v>
      </c>
      <c r="AD1465" s="11" t="b">
        <v>0</v>
      </c>
      <c r="AF1465" s="11" t="s">
        <v>4632</v>
      </c>
      <c r="AI1465" s="264">
        <f t="shared" si="1"/>
        <v>45644</v>
      </c>
    </row>
    <row r="1466" ht="12.5" spans="1:35">
      <c r="A1466" s="177">
        <v>45421.6124717708</v>
      </c>
      <c r="B1466" s="11" t="s">
        <v>4622</v>
      </c>
      <c r="C1466" s="19">
        <v>10657267406</v>
      </c>
      <c r="D1466" s="11">
        <v>701402691924237</v>
      </c>
      <c r="F1466" s="11" t="s">
        <v>40</v>
      </c>
      <c r="G1466" s="11" t="s">
        <v>41</v>
      </c>
      <c r="H1466" s="24">
        <v>35219</v>
      </c>
      <c r="I1466" s="222">
        <v>45194</v>
      </c>
      <c r="J1466" s="11" t="s">
        <v>42</v>
      </c>
      <c r="K1466" s="108" t="s">
        <v>63</v>
      </c>
      <c r="N1466" s="11" t="s">
        <v>95</v>
      </c>
      <c r="O1466" s="11" t="s">
        <v>44</v>
      </c>
      <c r="P1466" s="11" t="s">
        <v>44</v>
      </c>
      <c r="Q1466" s="11" t="s">
        <v>44</v>
      </c>
      <c r="R1466" s="11" t="s">
        <v>45</v>
      </c>
      <c r="S1466" s="11" t="s">
        <v>45</v>
      </c>
      <c r="T1466" s="11" t="s">
        <v>44</v>
      </c>
      <c r="U1466" s="11" t="s">
        <v>44</v>
      </c>
      <c r="W1466" s="11" t="s">
        <v>57</v>
      </c>
      <c r="X1466" s="11" t="s">
        <v>97</v>
      </c>
      <c r="Y1466" s="11" t="s">
        <v>97</v>
      </c>
      <c r="Z1466" s="11">
        <v>81996540791</v>
      </c>
      <c r="AA1466" s="11" t="s">
        <v>115</v>
      </c>
      <c r="AB1466" s="11"/>
      <c r="AC1466" s="11"/>
      <c r="AD1466" s="11" t="b">
        <v>0</v>
      </c>
      <c r="AI1466" s="264">
        <f t="shared" si="1"/>
        <v>45474</v>
      </c>
    </row>
    <row r="1467" ht="12.5" spans="1:30">
      <c r="A1467" s="177">
        <v>45421.7029838079</v>
      </c>
      <c r="B1467" s="11" t="s">
        <v>4618</v>
      </c>
      <c r="C1467" s="19">
        <v>10919300405</v>
      </c>
      <c r="D1467" s="11">
        <v>708400273864269</v>
      </c>
      <c r="F1467" s="11" t="s">
        <v>40</v>
      </c>
      <c r="G1467" s="11" t="s">
        <v>41</v>
      </c>
      <c r="H1467" s="24">
        <v>38075</v>
      </c>
      <c r="I1467" s="277" t="s">
        <v>2629</v>
      </c>
      <c r="J1467" s="11" t="s">
        <v>42</v>
      </c>
      <c r="K1467" s="11" t="s">
        <v>202</v>
      </c>
      <c r="N1467" s="11" t="s">
        <v>95</v>
      </c>
      <c r="O1467" s="11" t="s">
        <v>44</v>
      </c>
      <c r="P1467" s="11" t="s">
        <v>44</v>
      </c>
      <c r="Q1467" s="11" t="s">
        <v>44</v>
      </c>
      <c r="R1467" s="11" t="s">
        <v>45</v>
      </c>
      <c r="S1467" s="11" t="s">
        <v>44</v>
      </c>
      <c r="T1467" s="11" t="s">
        <v>44</v>
      </c>
      <c r="U1467" s="11" t="s">
        <v>44</v>
      </c>
      <c r="W1467" s="11" t="s">
        <v>57</v>
      </c>
      <c r="X1467" s="11" t="s">
        <v>97</v>
      </c>
      <c r="Y1467" s="11" t="s">
        <v>97</v>
      </c>
      <c r="Z1467" s="11">
        <v>81981883103</v>
      </c>
      <c r="AA1467" s="11" t="s">
        <v>115</v>
      </c>
      <c r="AB1467" s="11"/>
      <c r="AC1467" s="11"/>
      <c r="AD1467" s="11" t="b">
        <v>0</v>
      </c>
    </row>
    <row r="1468" ht="12.5" spans="1:30">
      <c r="A1468" s="177">
        <v>45421.709023669</v>
      </c>
      <c r="B1468" s="11" t="s">
        <v>4633</v>
      </c>
      <c r="C1468" s="19">
        <v>10622975471</v>
      </c>
      <c r="D1468" s="11">
        <v>702804142472767</v>
      </c>
      <c r="E1468" s="18" t="s">
        <v>4634</v>
      </c>
      <c r="F1468" s="11" t="s">
        <v>40</v>
      </c>
      <c r="G1468" s="11" t="s">
        <v>54</v>
      </c>
      <c r="H1468" s="24">
        <v>34864</v>
      </c>
      <c r="I1468" s="19" t="s">
        <v>4635</v>
      </c>
      <c r="J1468" s="11" t="s">
        <v>42</v>
      </c>
      <c r="K1468" s="11" t="s">
        <v>4636</v>
      </c>
      <c r="N1468" s="11" t="s">
        <v>43</v>
      </c>
      <c r="O1468" s="11" t="s">
        <v>44</v>
      </c>
      <c r="P1468" s="11" t="s">
        <v>44</v>
      </c>
      <c r="Q1468" s="11" t="s">
        <v>44</v>
      </c>
      <c r="R1468" s="11" t="s">
        <v>45</v>
      </c>
      <c r="S1468" s="11" t="s">
        <v>45</v>
      </c>
      <c r="T1468" s="11" t="s">
        <v>44</v>
      </c>
      <c r="U1468" s="11" t="s">
        <v>44</v>
      </c>
      <c r="W1468" s="11" t="s">
        <v>46</v>
      </c>
      <c r="X1468" s="11" t="s">
        <v>47</v>
      </c>
      <c r="Y1468" s="11" t="s">
        <v>58</v>
      </c>
      <c r="Z1468" s="11">
        <v>81987726291</v>
      </c>
      <c r="AA1468" s="11" t="s">
        <v>3919</v>
      </c>
      <c r="AB1468" s="11"/>
      <c r="AC1468" s="11"/>
      <c r="AD1468" s="11" t="b">
        <v>0</v>
      </c>
    </row>
    <row r="1469" ht="12.5" spans="1:30">
      <c r="A1469" s="177">
        <v>45422.3908951157</v>
      </c>
      <c r="B1469" s="11" t="s">
        <v>4630</v>
      </c>
      <c r="C1469" s="19">
        <v>15877271458</v>
      </c>
      <c r="D1469" s="11">
        <v>703206662088894</v>
      </c>
      <c r="F1469" s="11" t="s">
        <v>40</v>
      </c>
      <c r="G1469" s="11" t="s">
        <v>54</v>
      </c>
      <c r="H1469" s="24">
        <v>38711</v>
      </c>
      <c r="I1469" s="277" t="s">
        <v>4637</v>
      </c>
      <c r="J1469" s="11" t="s">
        <v>42</v>
      </c>
      <c r="K1469" s="11" t="s">
        <v>202</v>
      </c>
      <c r="N1469" s="11" t="s">
        <v>95</v>
      </c>
      <c r="O1469" s="11" t="s">
        <v>44</v>
      </c>
      <c r="P1469" s="11" t="s">
        <v>44</v>
      </c>
      <c r="Q1469" s="11" t="s">
        <v>44</v>
      </c>
      <c r="R1469" s="11" t="s">
        <v>45</v>
      </c>
      <c r="S1469" s="11" t="s">
        <v>45</v>
      </c>
      <c r="T1469" s="11" t="s">
        <v>44</v>
      </c>
      <c r="U1469" s="11" t="s">
        <v>44</v>
      </c>
      <c r="W1469" s="11" t="s">
        <v>57</v>
      </c>
      <c r="X1469" s="11" t="s">
        <v>97</v>
      </c>
      <c r="Y1469" s="11" t="s">
        <v>97</v>
      </c>
      <c r="Z1469" s="11">
        <v>81998028777</v>
      </c>
      <c r="AA1469" s="11" t="s">
        <v>1360</v>
      </c>
      <c r="AB1469" s="11"/>
      <c r="AC1469" s="11"/>
      <c r="AD1469" s="11" t="b">
        <v>0</v>
      </c>
    </row>
    <row r="1470" ht="12.5" spans="1:30">
      <c r="A1470" s="177">
        <v>45422.5185301968</v>
      </c>
      <c r="B1470" s="11" t="s">
        <v>4638</v>
      </c>
      <c r="C1470" s="19">
        <v>11772993484</v>
      </c>
      <c r="D1470" s="11">
        <v>702505722923040</v>
      </c>
      <c r="E1470" s="18" t="s">
        <v>4639</v>
      </c>
      <c r="F1470" s="11" t="s">
        <v>225</v>
      </c>
      <c r="G1470" s="11" t="s">
        <v>54</v>
      </c>
      <c r="H1470" s="24">
        <v>36390</v>
      </c>
      <c r="I1470" s="284" t="s">
        <v>2410</v>
      </c>
      <c r="J1470" s="11" t="s">
        <v>42</v>
      </c>
      <c r="K1470" s="11" t="s">
        <v>74</v>
      </c>
      <c r="N1470" s="11" t="s">
        <v>43</v>
      </c>
      <c r="O1470" s="11" t="s">
        <v>44</v>
      </c>
      <c r="P1470" s="11" t="s">
        <v>44</v>
      </c>
      <c r="Q1470" s="11" t="s">
        <v>44</v>
      </c>
      <c r="R1470" s="11" t="s">
        <v>45</v>
      </c>
      <c r="S1470" s="11" t="s">
        <v>45</v>
      </c>
      <c r="T1470" s="11" t="s">
        <v>44</v>
      </c>
      <c r="U1470" s="11" t="s">
        <v>44</v>
      </c>
      <c r="W1470" s="11" t="s">
        <v>46</v>
      </c>
      <c r="X1470" s="11" t="s">
        <v>47</v>
      </c>
      <c r="Y1470" s="11" t="s">
        <v>58</v>
      </c>
      <c r="Z1470" s="11">
        <v>81983401161</v>
      </c>
      <c r="AA1470" s="11" t="s">
        <v>1360</v>
      </c>
      <c r="AB1470" s="11"/>
      <c r="AC1470" s="11"/>
      <c r="AD1470" s="11" t="b">
        <v>0</v>
      </c>
    </row>
    <row r="1471" ht="12.5" spans="1:34">
      <c r="A1471" s="177">
        <v>45422.5732002083</v>
      </c>
      <c r="B1471" s="11" t="s">
        <v>4640</v>
      </c>
      <c r="C1471" s="277" t="s">
        <v>4641</v>
      </c>
      <c r="D1471" s="11">
        <v>708601053636584</v>
      </c>
      <c r="E1471" s="18" t="s">
        <v>4642</v>
      </c>
      <c r="F1471" s="11" t="s">
        <v>40</v>
      </c>
      <c r="G1471" s="11" t="s">
        <v>54</v>
      </c>
      <c r="H1471" s="24">
        <v>32625</v>
      </c>
      <c r="I1471" s="284" t="s">
        <v>4643</v>
      </c>
      <c r="J1471" s="11" t="s">
        <v>42</v>
      </c>
      <c r="K1471" s="11" t="s">
        <v>4644</v>
      </c>
      <c r="N1471" s="11" t="s">
        <v>43</v>
      </c>
      <c r="O1471" s="11" t="s">
        <v>96</v>
      </c>
      <c r="P1471" s="11" t="s">
        <v>56</v>
      </c>
      <c r="Q1471" s="11" t="s">
        <v>44</v>
      </c>
      <c r="R1471" s="11" t="s">
        <v>45</v>
      </c>
      <c r="S1471" s="11" t="s">
        <v>44</v>
      </c>
      <c r="T1471" s="11" t="s">
        <v>44</v>
      </c>
      <c r="U1471" s="11" t="s">
        <v>45</v>
      </c>
      <c r="V1471" s="24">
        <v>45425</v>
      </c>
      <c r="W1471" s="11" t="s">
        <v>46</v>
      </c>
      <c r="X1471" s="11" t="s">
        <v>47</v>
      </c>
      <c r="Y1471" s="11" t="s">
        <v>58</v>
      </c>
      <c r="Z1471" s="11">
        <v>81985550457</v>
      </c>
      <c r="AA1471" s="11" t="s">
        <v>4003</v>
      </c>
      <c r="AB1471" s="11" t="s">
        <v>49</v>
      </c>
      <c r="AC1471" s="11" t="s">
        <v>4117</v>
      </c>
      <c r="AD1471" s="11" t="b">
        <v>0</v>
      </c>
      <c r="AF1471" s="11" t="s">
        <v>4645</v>
      </c>
      <c r="AH1471" s="11" t="s">
        <v>3426</v>
      </c>
    </row>
    <row r="1472" ht="12.5" spans="1:30">
      <c r="A1472" s="177">
        <v>45422.7789978588</v>
      </c>
      <c r="B1472" s="11" t="s">
        <v>2958</v>
      </c>
      <c r="C1472" s="19">
        <v>71369959494</v>
      </c>
      <c r="D1472" s="11">
        <v>702600251436948</v>
      </c>
      <c r="E1472" s="18" t="s">
        <v>4646</v>
      </c>
      <c r="F1472" s="11" t="s">
        <v>40</v>
      </c>
      <c r="G1472" s="11" t="s">
        <v>54</v>
      </c>
      <c r="H1472" s="24">
        <v>36867</v>
      </c>
      <c r="I1472" s="284" t="s">
        <v>4647</v>
      </c>
      <c r="J1472" s="11" t="s">
        <v>42</v>
      </c>
      <c r="K1472" s="11" t="s">
        <v>4648</v>
      </c>
      <c r="N1472" s="11" t="s">
        <v>43</v>
      </c>
      <c r="O1472" s="11" t="s">
        <v>44</v>
      </c>
      <c r="P1472" s="11" t="s">
        <v>44</v>
      </c>
      <c r="Q1472" s="11" t="s">
        <v>44</v>
      </c>
      <c r="R1472" s="11" t="s">
        <v>45</v>
      </c>
      <c r="S1472" s="11" t="s">
        <v>45</v>
      </c>
      <c r="T1472" s="11" t="s">
        <v>44</v>
      </c>
      <c r="U1472" s="11" t="s">
        <v>44</v>
      </c>
      <c r="W1472" s="11" t="s">
        <v>46</v>
      </c>
      <c r="X1472" s="11" t="s">
        <v>203</v>
      </c>
      <c r="Y1472" s="11" t="s">
        <v>58</v>
      </c>
      <c r="Z1472" s="11">
        <v>81999191169</v>
      </c>
      <c r="AA1472" s="11" t="s">
        <v>1360</v>
      </c>
      <c r="AB1472" s="11"/>
      <c r="AC1472" s="11"/>
      <c r="AD1472" s="11" t="b">
        <v>0</v>
      </c>
    </row>
    <row r="1473" ht="12.5" spans="1:32">
      <c r="A1473" s="177">
        <v>45423.5290044329</v>
      </c>
      <c r="B1473" s="11" t="s">
        <v>4441</v>
      </c>
      <c r="C1473" s="19">
        <v>12328336493</v>
      </c>
      <c r="D1473" s="11">
        <v>706500311039498</v>
      </c>
      <c r="E1473" s="18" t="s">
        <v>4649</v>
      </c>
      <c r="F1473" s="11" t="s">
        <v>40</v>
      </c>
      <c r="G1473" s="11" t="s">
        <v>54</v>
      </c>
      <c r="H1473" s="24">
        <v>36079</v>
      </c>
      <c r="I1473" s="284" t="s">
        <v>4650</v>
      </c>
      <c r="J1473" s="11" t="s">
        <v>42</v>
      </c>
      <c r="K1473" s="11" t="s">
        <v>155</v>
      </c>
      <c r="N1473" s="11" t="s">
        <v>43</v>
      </c>
      <c r="O1473" s="11" t="s">
        <v>96</v>
      </c>
      <c r="P1473" s="11" t="s">
        <v>66</v>
      </c>
      <c r="Q1473" s="11" t="s">
        <v>44</v>
      </c>
      <c r="R1473" s="11" t="s">
        <v>45</v>
      </c>
      <c r="S1473" s="11" t="s">
        <v>45</v>
      </c>
      <c r="T1473" s="11" t="s">
        <v>44</v>
      </c>
      <c r="U1473" s="11" t="s">
        <v>45</v>
      </c>
      <c r="V1473" s="24">
        <v>45424</v>
      </c>
      <c r="W1473" s="11" t="s">
        <v>46</v>
      </c>
      <c r="X1473" s="11" t="s">
        <v>303</v>
      </c>
      <c r="Y1473" s="11" t="s">
        <v>68</v>
      </c>
      <c r="Z1473" s="11">
        <v>81988511057</v>
      </c>
      <c r="AA1473" s="11" t="s">
        <v>3919</v>
      </c>
      <c r="AB1473" s="11" t="s">
        <v>49</v>
      </c>
      <c r="AC1473" s="11" t="s">
        <v>92</v>
      </c>
      <c r="AD1473" s="11" t="b">
        <v>0</v>
      </c>
      <c r="AF1473" s="11" t="s">
        <v>4651</v>
      </c>
    </row>
    <row r="1474" ht="12.5" spans="1:33">
      <c r="A1474" s="177">
        <v>45423.5356514931</v>
      </c>
      <c r="B1474" s="11" t="s">
        <v>4652</v>
      </c>
      <c r="C1474" s="19">
        <v>11257485407</v>
      </c>
      <c r="D1474" s="11">
        <v>701105390920580</v>
      </c>
      <c r="E1474" s="18" t="s">
        <v>4653</v>
      </c>
      <c r="F1474" s="11" t="s">
        <v>40</v>
      </c>
      <c r="G1474" s="11" t="s">
        <v>54</v>
      </c>
      <c r="H1474" s="24">
        <v>35211</v>
      </c>
      <c r="I1474" s="284" t="s">
        <v>2646</v>
      </c>
      <c r="J1474" s="11" t="s">
        <v>81</v>
      </c>
      <c r="L1474" s="11" t="s">
        <v>109</v>
      </c>
      <c r="N1474" s="11" t="s">
        <v>43</v>
      </c>
      <c r="O1474" s="11" t="s">
        <v>44</v>
      </c>
      <c r="P1474" s="11" t="s">
        <v>44</v>
      </c>
      <c r="Q1474" s="11" t="s">
        <v>44</v>
      </c>
      <c r="R1474" s="11" t="s">
        <v>45</v>
      </c>
      <c r="S1474" s="11" t="s">
        <v>45</v>
      </c>
      <c r="T1474" s="11" t="s">
        <v>44</v>
      </c>
      <c r="U1474" s="11" t="s">
        <v>45</v>
      </c>
      <c r="V1474" s="24">
        <v>45424</v>
      </c>
      <c r="W1474" s="11" t="s">
        <v>46</v>
      </c>
      <c r="X1474" s="11" t="s">
        <v>303</v>
      </c>
      <c r="Y1474" s="11" t="s">
        <v>68</v>
      </c>
      <c r="Z1474" s="11">
        <v>81998215338</v>
      </c>
      <c r="AA1474" s="11" t="s">
        <v>3919</v>
      </c>
      <c r="AB1474" s="11" t="s">
        <v>49</v>
      </c>
      <c r="AC1474" s="11" t="s">
        <v>92</v>
      </c>
      <c r="AD1474" s="11" t="b">
        <v>1</v>
      </c>
      <c r="AE1474" s="11" t="s">
        <v>137</v>
      </c>
      <c r="AF1474" s="11" t="s">
        <v>4654</v>
      </c>
      <c r="AG1474" s="11" t="s">
        <v>4655</v>
      </c>
    </row>
    <row r="1475" ht="12.5" spans="1:34">
      <c r="A1475" s="177">
        <v>45423.6090586921</v>
      </c>
      <c r="B1475" s="11" t="s">
        <v>4656</v>
      </c>
      <c r="C1475" s="19">
        <v>14208382708</v>
      </c>
      <c r="D1475" s="11">
        <v>705107825176140</v>
      </c>
      <c r="E1475" s="18" t="s">
        <v>4657</v>
      </c>
      <c r="F1475" s="11" t="s">
        <v>40</v>
      </c>
      <c r="G1475" s="11" t="s">
        <v>54</v>
      </c>
      <c r="H1475" s="24">
        <v>33866</v>
      </c>
      <c r="I1475" s="11" t="s">
        <v>136</v>
      </c>
      <c r="J1475" s="11" t="s">
        <v>42</v>
      </c>
      <c r="K1475" s="11" t="s">
        <v>282</v>
      </c>
      <c r="N1475" s="11" t="s">
        <v>43</v>
      </c>
      <c r="O1475" s="11" t="s">
        <v>44</v>
      </c>
      <c r="P1475" s="11" t="s">
        <v>56</v>
      </c>
      <c r="Q1475" s="11" t="s">
        <v>45</v>
      </c>
      <c r="R1475" s="11" t="s">
        <v>45</v>
      </c>
      <c r="S1475" s="11" t="s">
        <v>45</v>
      </c>
      <c r="T1475" s="11" t="s">
        <v>4348</v>
      </c>
      <c r="U1475" s="11" t="s">
        <v>45</v>
      </c>
      <c r="V1475" s="24">
        <v>45425</v>
      </c>
      <c r="W1475" s="11" t="s">
        <v>46</v>
      </c>
      <c r="X1475" s="11" t="s">
        <v>303</v>
      </c>
      <c r="Y1475" s="11" t="s">
        <v>68</v>
      </c>
      <c r="Z1475" s="11">
        <v>81985218295</v>
      </c>
      <c r="AA1475" s="11" t="s">
        <v>3919</v>
      </c>
      <c r="AB1475" s="11" t="s">
        <v>98</v>
      </c>
      <c r="AC1475" s="11"/>
      <c r="AD1475" s="11" t="b">
        <v>0</v>
      </c>
      <c r="AF1475" s="11" t="s">
        <v>4658</v>
      </c>
      <c r="AG1475" s="11" t="s">
        <v>4659</v>
      </c>
      <c r="AH1475" s="11" t="s">
        <v>4660</v>
      </c>
    </row>
    <row r="1476" ht="12.5" spans="1:30">
      <c r="A1476" s="177">
        <v>45424.3985140162</v>
      </c>
      <c r="B1476" s="11" t="s">
        <v>4441</v>
      </c>
      <c r="C1476" s="19">
        <v>12328336493</v>
      </c>
      <c r="D1476" s="11">
        <v>706500311039498</v>
      </c>
      <c r="F1476" s="11" t="s">
        <v>40</v>
      </c>
      <c r="G1476" s="11" t="s">
        <v>54</v>
      </c>
      <c r="H1476" s="24">
        <v>36079</v>
      </c>
      <c r="I1476" s="284" t="s">
        <v>4650</v>
      </c>
      <c r="J1476" s="11" t="s">
        <v>42</v>
      </c>
      <c r="K1476" s="11" t="s">
        <v>155</v>
      </c>
      <c r="N1476" s="11" t="s">
        <v>95</v>
      </c>
      <c r="O1476" s="11" t="s">
        <v>127</v>
      </c>
      <c r="P1476" s="11" t="s">
        <v>44</v>
      </c>
      <c r="Q1476" s="11" t="s">
        <v>44</v>
      </c>
      <c r="R1476" s="11" t="s">
        <v>45</v>
      </c>
      <c r="S1476" s="11" t="s">
        <v>45</v>
      </c>
      <c r="T1476" s="11" t="s">
        <v>44</v>
      </c>
      <c r="U1476" s="11" t="s">
        <v>44</v>
      </c>
      <c r="W1476" s="11" t="s">
        <v>57</v>
      </c>
      <c r="X1476" s="11" t="s">
        <v>97</v>
      </c>
      <c r="Y1476" s="11" t="s">
        <v>97</v>
      </c>
      <c r="Z1476" s="11">
        <v>81988511057</v>
      </c>
      <c r="AA1476" s="11" t="s">
        <v>91</v>
      </c>
      <c r="AB1476" s="11"/>
      <c r="AC1476" s="11"/>
      <c r="AD1476" s="11" t="b">
        <v>0</v>
      </c>
    </row>
    <row r="1477" ht="12.5" spans="1:34">
      <c r="A1477" s="267">
        <v>45422.7916666667</v>
      </c>
      <c r="B1477" s="11" t="s">
        <v>4661</v>
      </c>
      <c r="C1477" s="19">
        <v>70915413400</v>
      </c>
      <c r="D1477" s="11">
        <v>700003339878808</v>
      </c>
      <c r="E1477" s="18" t="s">
        <v>4662</v>
      </c>
      <c r="F1477" s="11" t="s">
        <v>40</v>
      </c>
      <c r="G1477" s="11" t="s">
        <v>41</v>
      </c>
      <c r="H1477" s="24">
        <v>36992</v>
      </c>
      <c r="I1477" s="284" t="s">
        <v>3610</v>
      </c>
      <c r="J1477" s="11" t="s">
        <v>42</v>
      </c>
      <c r="K1477" s="11" t="s">
        <v>4663</v>
      </c>
      <c r="N1477" s="11" t="s">
        <v>43</v>
      </c>
      <c r="O1477" s="11" t="s">
        <v>44</v>
      </c>
      <c r="P1477" s="11" t="s">
        <v>44</v>
      </c>
      <c r="Q1477" s="11" t="s">
        <v>44</v>
      </c>
      <c r="R1477" s="11" t="s">
        <v>45</v>
      </c>
      <c r="S1477" s="11" t="s">
        <v>45</v>
      </c>
      <c r="T1477" s="11" t="s">
        <v>44</v>
      </c>
      <c r="U1477" s="11" t="s">
        <v>45</v>
      </c>
      <c r="V1477" s="24">
        <v>45425</v>
      </c>
      <c r="W1477" s="11" t="s">
        <v>46</v>
      </c>
      <c r="X1477" s="11" t="s">
        <v>203</v>
      </c>
      <c r="Y1477" s="11" t="s">
        <v>58</v>
      </c>
      <c r="Z1477" s="11">
        <v>81971204328</v>
      </c>
      <c r="AA1477" s="11" t="s">
        <v>1360</v>
      </c>
      <c r="AB1477" s="11" t="s">
        <v>49</v>
      </c>
      <c r="AC1477" s="11" t="s">
        <v>256</v>
      </c>
      <c r="AD1477" s="11" t="b">
        <v>1</v>
      </c>
      <c r="AE1477" s="11" t="s">
        <v>137</v>
      </c>
      <c r="AF1477" s="11" t="s">
        <v>4664</v>
      </c>
      <c r="AH1477" s="266" t="s">
        <v>4665</v>
      </c>
    </row>
    <row r="1478" ht="12.5" spans="1:30">
      <c r="A1478" s="177">
        <v>45425.3928105787</v>
      </c>
      <c r="B1478" s="11" t="s">
        <v>4666</v>
      </c>
      <c r="C1478" s="19">
        <v>71353539431</v>
      </c>
      <c r="D1478" s="11">
        <v>700504753126951</v>
      </c>
      <c r="E1478" s="18" t="s">
        <v>4667</v>
      </c>
      <c r="F1478" s="11" t="s">
        <v>40</v>
      </c>
      <c r="G1478" s="11" t="s">
        <v>54</v>
      </c>
      <c r="H1478" s="24">
        <v>37246</v>
      </c>
      <c r="I1478" s="284" t="s">
        <v>4668</v>
      </c>
      <c r="J1478" s="11" t="s">
        <v>42</v>
      </c>
      <c r="K1478" s="11" t="s">
        <v>399</v>
      </c>
      <c r="N1478" s="11" t="s">
        <v>43</v>
      </c>
      <c r="O1478" s="11" t="s">
        <v>44</v>
      </c>
      <c r="P1478" s="11" t="s">
        <v>44</v>
      </c>
      <c r="Q1478" s="11" t="s">
        <v>44</v>
      </c>
      <c r="R1478" s="11" t="s">
        <v>45</v>
      </c>
      <c r="S1478" s="11" t="s">
        <v>83</v>
      </c>
      <c r="T1478" s="11" t="s">
        <v>44</v>
      </c>
      <c r="U1478" s="11" t="s">
        <v>44</v>
      </c>
      <c r="W1478" s="11" t="s">
        <v>46</v>
      </c>
      <c r="X1478" s="11" t="s">
        <v>47</v>
      </c>
      <c r="Y1478" s="11" t="s">
        <v>58</v>
      </c>
      <c r="Z1478" s="11">
        <v>81997467123</v>
      </c>
      <c r="AA1478" s="11" t="s">
        <v>105</v>
      </c>
      <c r="AB1478" s="11"/>
      <c r="AC1478" s="11"/>
      <c r="AD1478" s="11" t="b">
        <v>0</v>
      </c>
    </row>
    <row r="1479" ht="12.5" spans="1:30">
      <c r="A1479" s="177">
        <v>45425.4073400116</v>
      </c>
      <c r="B1479" s="11" t="s">
        <v>4669</v>
      </c>
      <c r="C1479" s="19">
        <v>10314889442</v>
      </c>
      <c r="D1479" s="11">
        <v>700004526831802</v>
      </c>
      <c r="E1479" s="18" t="s">
        <v>4670</v>
      </c>
      <c r="F1479" s="11" t="s">
        <v>40</v>
      </c>
      <c r="G1479" s="11" t="s">
        <v>54</v>
      </c>
      <c r="H1479" s="24">
        <v>34304</v>
      </c>
      <c r="I1479" s="284" t="s">
        <v>2785</v>
      </c>
      <c r="J1479" s="11" t="s">
        <v>42</v>
      </c>
      <c r="K1479" s="11" t="s">
        <v>4671</v>
      </c>
      <c r="N1479" s="11" t="s">
        <v>43</v>
      </c>
      <c r="O1479" s="11" t="s">
        <v>44</v>
      </c>
      <c r="P1479" s="11" t="s">
        <v>44</v>
      </c>
      <c r="Q1479" s="11" t="s">
        <v>44</v>
      </c>
      <c r="R1479" s="11" t="s">
        <v>45</v>
      </c>
      <c r="S1479" s="11" t="s">
        <v>45</v>
      </c>
      <c r="T1479" s="11" t="s">
        <v>44</v>
      </c>
      <c r="U1479" s="11" t="s">
        <v>44</v>
      </c>
      <c r="W1479" s="11" t="s">
        <v>46</v>
      </c>
      <c r="X1479" s="11" t="s">
        <v>47</v>
      </c>
      <c r="Y1479" s="11" t="s">
        <v>58</v>
      </c>
      <c r="Z1479" s="11">
        <v>81998646305</v>
      </c>
      <c r="AA1479" s="11" t="s">
        <v>4003</v>
      </c>
      <c r="AB1479" s="11"/>
      <c r="AC1479" s="11"/>
      <c r="AD1479" s="11" t="b">
        <v>0</v>
      </c>
    </row>
    <row r="1480" ht="12.5" spans="1:30">
      <c r="A1480" s="177">
        <v>45425.4889067708</v>
      </c>
      <c r="B1480" s="11" t="s">
        <v>4661</v>
      </c>
      <c r="C1480" s="19">
        <v>70915413400</v>
      </c>
      <c r="D1480" s="11">
        <v>700003339878808</v>
      </c>
      <c r="E1480" s="18" t="s">
        <v>4672</v>
      </c>
      <c r="F1480" s="11" t="s">
        <v>40</v>
      </c>
      <c r="G1480" s="11" t="s">
        <v>41</v>
      </c>
      <c r="H1480" s="24">
        <v>36992</v>
      </c>
      <c r="I1480" s="284" t="s">
        <v>3610</v>
      </c>
      <c r="J1480" s="11" t="s">
        <v>42</v>
      </c>
      <c r="K1480" s="11" t="s">
        <v>4673</v>
      </c>
      <c r="N1480" s="11" t="s">
        <v>95</v>
      </c>
      <c r="O1480" s="11" t="s">
        <v>44</v>
      </c>
      <c r="P1480" s="11" t="s">
        <v>44</v>
      </c>
      <c r="Q1480" s="11" t="s">
        <v>44</v>
      </c>
      <c r="R1480" s="11" t="s">
        <v>45</v>
      </c>
      <c r="S1480" s="11" t="s">
        <v>45</v>
      </c>
      <c r="T1480" s="11" t="s">
        <v>44</v>
      </c>
      <c r="U1480" s="11" t="s">
        <v>44</v>
      </c>
      <c r="W1480" s="11" t="s">
        <v>46</v>
      </c>
      <c r="X1480" s="11" t="s">
        <v>97</v>
      </c>
      <c r="Y1480" s="11" t="s">
        <v>97</v>
      </c>
      <c r="Z1480" s="11">
        <v>81971204328</v>
      </c>
      <c r="AA1480" s="11" t="s">
        <v>1360</v>
      </c>
      <c r="AB1480" s="11"/>
      <c r="AC1480" s="11"/>
      <c r="AD1480" s="11" t="b">
        <v>0</v>
      </c>
    </row>
    <row r="1481" ht="12.5" spans="1:32">
      <c r="A1481" s="177">
        <v>45425.5244800231</v>
      </c>
      <c r="B1481" s="11" t="s">
        <v>2385</v>
      </c>
      <c r="C1481" s="19">
        <v>71093916478</v>
      </c>
      <c r="D1481" s="11">
        <v>708206629187642</v>
      </c>
      <c r="E1481" s="18" t="s">
        <v>4674</v>
      </c>
      <c r="F1481" s="11" t="s">
        <v>40</v>
      </c>
      <c r="G1481" s="11" t="s">
        <v>54</v>
      </c>
      <c r="H1481" s="24">
        <v>37567</v>
      </c>
      <c r="I1481" s="284" t="s">
        <v>2339</v>
      </c>
      <c r="J1481" s="11" t="s">
        <v>81</v>
      </c>
      <c r="L1481" s="11" t="s">
        <v>525</v>
      </c>
      <c r="N1481" s="11" t="s">
        <v>43</v>
      </c>
      <c r="O1481" s="11" t="s">
        <v>96</v>
      </c>
      <c r="P1481" s="11" t="s">
        <v>66</v>
      </c>
      <c r="Q1481" s="11" t="s">
        <v>44</v>
      </c>
      <c r="R1481" s="11" t="s">
        <v>45</v>
      </c>
      <c r="S1481" s="11" t="s">
        <v>45</v>
      </c>
      <c r="T1481" s="11" t="s">
        <v>44</v>
      </c>
      <c r="U1481" s="11" t="s">
        <v>45</v>
      </c>
      <c r="V1481" s="24">
        <v>45426</v>
      </c>
      <c r="W1481" s="11" t="s">
        <v>46</v>
      </c>
      <c r="X1481" s="11" t="s">
        <v>47</v>
      </c>
      <c r="Y1481" s="11" t="s">
        <v>58</v>
      </c>
      <c r="Z1481" s="11">
        <v>81996694014</v>
      </c>
      <c r="AA1481" s="11" t="s">
        <v>1360</v>
      </c>
      <c r="AB1481" s="11" t="s">
        <v>49</v>
      </c>
      <c r="AC1481" s="11" t="s">
        <v>92</v>
      </c>
      <c r="AD1481" s="11" t="b">
        <v>1</v>
      </c>
      <c r="AE1481" s="11" t="s">
        <v>137</v>
      </c>
      <c r="AF1481" s="11" t="s">
        <v>4675</v>
      </c>
    </row>
    <row r="1482" ht="12.5" spans="1:30">
      <c r="A1482" s="177">
        <v>45425.6635406597</v>
      </c>
      <c r="B1482" s="11" t="s">
        <v>4428</v>
      </c>
      <c r="C1482" s="19">
        <v>12936692458</v>
      </c>
      <c r="D1482" s="11">
        <v>700002198921507</v>
      </c>
      <c r="E1482" s="18" t="s">
        <v>4676</v>
      </c>
      <c r="F1482" s="11" t="s">
        <v>40</v>
      </c>
      <c r="G1482" s="11" t="s">
        <v>54</v>
      </c>
      <c r="H1482" s="24">
        <v>37130</v>
      </c>
      <c r="I1482" s="284" t="s">
        <v>3621</v>
      </c>
      <c r="J1482" s="11" t="s">
        <v>42</v>
      </c>
      <c r="K1482" s="11" t="s">
        <v>4677</v>
      </c>
      <c r="N1482" s="11" t="s">
        <v>43</v>
      </c>
      <c r="O1482" s="11" t="s">
        <v>44</v>
      </c>
      <c r="P1482" s="11" t="s">
        <v>44</v>
      </c>
      <c r="Q1482" s="11" t="s">
        <v>44</v>
      </c>
      <c r="R1482" s="11" t="s">
        <v>45</v>
      </c>
      <c r="S1482" s="11" t="s">
        <v>83</v>
      </c>
      <c r="T1482" s="11" t="s">
        <v>44</v>
      </c>
      <c r="U1482" s="11" t="s">
        <v>44</v>
      </c>
      <c r="W1482" s="11" t="s">
        <v>46</v>
      </c>
      <c r="X1482" s="11" t="s">
        <v>47</v>
      </c>
      <c r="Y1482" s="11" t="s">
        <v>58</v>
      </c>
      <c r="Z1482" s="11">
        <v>81982850804</v>
      </c>
      <c r="AA1482" s="11" t="s">
        <v>4003</v>
      </c>
      <c r="AB1482" s="11"/>
      <c r="AC1482" s="11"/>
      <c r="AD1482" s="11" t="b">
        <v>0</v>
      </c>
    </row>
    <row r="1483" ht="12.5" spans="1:30">
      <c r="A1483" s="177">
        <v>45425.6704166551</v>
      </c>
      <c r="B1483" s="11" t="s">
        <v>4640</v>
      </c>
      <c r="C1483" s="277" t="s">
        <v>4641</v>
      </c>
      <c r="D1483" s="11">
        <v>708601053636584</v>
      </c>
      <c r="F1483" s="11" t="s">
        <v>40</v>
      </c>
      <c r="G1483" s="11" t="s">
        <v>54</v>
      </c>
      <c r="H1483" s="24">
        <v>32625</v>
      </c>
      <c r="I1483" s="284" t="s">
        <v>4643</v>
      </c>
      <c r="J1483" s="11" t="s">
        <v>42</v>
      </c>
      <c r="K1483" s="11" t="s">
        <v>4644</v>
      </c>
      <c r="N1483" s="11" t="s">
        <v>95</v>
      </c>
      <c r="O1483" s="11" t="s">
        <v>44</v>
      </c>
      <c r="P1483" s="11" t="s">
        <v>44</v>
      </c>
      <c r="Q1483" s="11" t="s">
        <v>44</v>
      </c>
      <c r="R1483" s="11" t="s">
        <v>45</v>
      </c>
      <c r="S1483" s="11" t="s">
        <v>44</v>
      </c>
      <c r="T1483" s="11" t="s">
        <v>44</v>
      </c>
      <c r="U1483" s="11" t="s">
        <v>44</v>
      </c>
      <c r="W1483" s="11" t="s">
        <v>57</v>
      </c>
      <c r="X1483" s="11" t="s">
        <v>97</v>
      </c>
      <c r="Y1483" s="11" t="s">
        <v>97</v>
      </c>
      <c r="Z1483" s="11">
        <v>81985550457</v>
      </c>
      <c r="AA1483" s="11" t="s">
        <v>4003</v>
      </c>
      <c r="AB1483" s="11"/>
      <c r="AC1483" s="11"/>
      <c r="AD1483" s="11" t="b">
        <v>0</v>
      </c>
    </row>
    <row r="1484" ht="12.5" spans="1:33">
      <c r="A1484" s="208">
        <v>45425.7379093981</v>
      </c>
      <c r="B1484" s="11" t="s">
        <v>4652</v>
      </c>
      <c r="C1484" s="19">
        <v>11257485407</v>
      </c>
      <c r="D1484" s="11">
        <v>701105390920580</v>
      </c>
      <c r="E1484" s="18" t="s">
        <v>4678</v>
      </c>
      <c r="F1484" s="11" t="s">
        <v>40</v>
      </c>
      <c r="G1484" s="11" t="s">
        <v>54</v>
      </c>
      <c r="H1484" s="24">
        <v>35211</v>
      </c>
      <c r="I1484" s="284" t="s">
        <v>2646</v>
      </c>
      <c r="J1484" s="11" t="s">
        <v>81</v>
      </c>
      <c r="L1484" s="11" t="s">
        <v>520</v>
      </c>
      <c r="N1484" s="11" t="s">
        <v>95</v>
      </c>
      <c r="O1484" s="11" t="s">
        <v>65</v>
      </c>
      <c r="P1484" s="11" t="s">
        <v>66</v>
      </c>
      <c r="Q1484" s="11" t="s">
        <v>45</v>
      </c>
      <c r="R1484" s="11" t="s">
        <v>45</v>
      </c>
      <c r="S1484" s="11" t="s">
        <v>45</v>
      </c>
      <c r="T1484" s="11" t="s">
        <v>44</v>
      </c>
      <c r="U1484" s="11" t="s">
        <v>45</v>
      </c>
      <c r="V1484" s="24">
        <v>45426</v>
      </c>
      <c r="W1484" s="11" t="s">
        <v>46</v>
      </c>
      <c r="X1484" s="11" t="s">
        <v>97</v>
      </c>
      <c r="Y1484" s="11" t="s">
        <v>97</v>
      </c>
      <c r="Z1484" s="11">
        <v>81998215338</v>
      </c>
      <c r="AA1484" s="11" t="s">
        <v>91</v>
      </c>
      <c r="AB1484" s="11" t="s">
        <v>98</v>
      </c>
      <c r="AC1484" s="11"/>
      <c r="AD1484" s="11" t="b">
        <v>0</v>
      </c>
      <c r="AF1484" s="11" t="s">
        <v>4679</v>
      </c>
      <c r="AG1484" s="11" t="s">
        <v>4680</v>
      </c>
    </row>
    <row r="1485" ht="12.5" spans="1:30">
      <c r="A1485" s="177">
        <v>45425.7683847569</v>
      </c>
      <c r="B1485" s="11" t="s">
        <v>4681</v>
      </c>
      <c r="C1485" s="19">
        <v>12895912459</v>
      </c>
      <c r="D1485" s="11">
        <v>709606643280470</v>
      </c>
      <c r="E1485" s="18" t="s">
        <v>4682</v>
      </c>
      <c r="F1485" s="11" t="s">
        <v>40</v>
      </c>
      <c r="G1485" s="11" t="s">
        <v>54</v>
      </c>
      <c r="H1485" s="24">
        <v>35654</v>
      </c>
      <c r="I1485" s="284" t="s">
        <v>4683</v>
      </c>
      <c r="J1485" s="11" t="s">
        <v>42</v>
      </c>
      <c r="K1485" s="11" t="s">
        <v>155</v>
      </c>
      <c r="N1485" s="11" t="s">
        <v>43</v>
      </c>
      <c r="O1485" s="11" t="s">
        <v>44</v>
      </c>
      <c r="P1485" s="11" t="s">
        <v>44</v>
      </c>
      <c r="Q1485" s="11" t="s">
        <v>44</v>
      </c>
      <c r="R1485" s="11" t="s">
        <v>45</v>
      </c>
      <c r="S1485" s="11" t="s">
        <v>45</v>
      </c>
      <c r="T1485" s="11" t="s">
        <v>44</v>
      </c>
      <c r="U1485" s="11" t="s">
        <v>44</v>
      </c>
      <c r="W1485" s="11" t="s">
        <v>46</v>
      </c>
      <c r="X1485" s="11" t="s">
        <v>203</v>
      </c>
      <c r="Y1485" s="11" t="s">
        <v>58</v>
      </c>
      <c r="Z1485" s="11">
        <v>81991428395</v>
      </c>
      <c r="AA1485" s="11" t="s">
        <v>1360</v>
      </c>
      <c r="AB1485" s="11"/>
      <c r="AC1485" s="11"/>
      <c r="AD1485" s="11" t="b">
        <v>0</v>
      </c>
    </row>
    <row r="1486" ht="12.5" spans="1:30">
      <c r="A1486" s="177">
        <v>45426.3541982639</v>
      </c>
      <c r="B1486" s="11" t="s">
        <v>4684</v>
      </c>
      <c r="C1486" s="19">
        <v>70407529489</v>
      </c>
      <c r="D1486" s="11">
        <v>708508517123080</v>
      </c>
      <c r="E1486" s="18" t="s">
        <v>4685</v>
      </c>
      <c r="F1486" s="11" t="s">
        <v>40</v>
      </c>
      <c r="G1486" s="11" t="s">
        <v>54</v>
      </c>
      <c r="H1486" s="24">
        <v>36135</v>
      </c>
      <c r="I1486" s="284" t="s">
        <v>4686</v>
      </c>
      <c r="J1486" s="11" t="s">
        <v>42</v>
      </c>
      <c r="K1486" s="11" t="s">
        <v>155</v>
      </c>
      <c r="N1486" s="11" t="s">
        <v>43</v>
      </c>
      <c r="O1486" s="11" t="s">
        <v>44</v>
      </c>
      <c r="P1486" s="11" t="s">
        <v>44</v>
      </c>
      <c r="Q1486" s="11" t="s">
        <v>44</v>
      </c>
      <c r="R1486" s="11" t="s">
        <v>45</v>
      </c>
      <c r="S1486" s="11" t="s">
        <v>45</v>
      </c>
      <c r="T1486" s="11" t="s">
        <v>44</v>
      </c>
      <c r="U1486" s="11" t="s">
        <v>44</v>
      </c>
      <c r="W1486" s="11" t="s">
        <v>46</v>
      </c>
      <c r="X1486" s="11" t="s">
        <v>47</v>
      </c>
      <c r="Y1486" s="11" t="s">
        <v>58</v>
      </c>
      <c r="Z1486" s="11">
        <v>81999319275</v>
      </c>
      <c r="AA1486" s="11" t="s">
        <v>105</v>
      </c>
      <c r="AB1486" s="11"/>
      <c r="AC1486" s="11"/>
      <c r="AD1486" s="11" t="b">
        <v>0</v>
      </c>
    </row>
    <row r="1487" ht="12.5" spans="1:34">
      <c r="A1487" s="177">
        <v>45426.366321088</v>
      </c>
      <c r="B1487" s="11" t="s">
        <v>4687</v>
      </c>
      <c r="C1487" s="277" t="s">
        <v>4688</v>
      </c>
      <c r="D1487" s="11">
        <v>700503384836758</v>
      </c>
      <c r="E1487" s="18" t="s">
        <v>4689</v>
      </c>
      <c r="F1487" s="11" t="s">
        <v>40</v>
      </c>
      <c r="G1487" s="11" t="s">
        <v>54</v>
      </c>
      <c r="H1487" s="24">
        <v>30216</v>
      </c>
      <c r="I1487" s="284" t="s">
        <v>4690</v>
      </c>
      <c r="J1487" s="11" t="s">
        <v>42</v>
      </c>
      <c r="K1487" s="11" t="s">
        <v>202</v>
      </c>
      <c r="N1487" s="11" t="s">
        <v>43</v>
      </c>
      <c r="O1487" s="11" t="s">
        <v>96</v>
      </c>
      <c r="P1487" s="11" t="s">
        <v>66</v>
      </c>
      <c r="Q1487" s="11" t="s">
        <v>44</v>
      </c>
      <c r="R1487" s="11" t="s">
        <v>45</v>
      </c>
      <c r="S1487" s="11" t="s">
        <v>45</v>
      </c>
      <c r="T1487" s="11" t="s">
        <v>44</v>
      </c>
      <c r="U1487" s="11" t="s">
        <v>45</v>
      </c>
      <c r="V1487" s="24">
        <v>45426</v>
      </c>
      <c r="W1487" s="11" t="s">
        <v>46</v>
      </c>
      <c r="X1487" s="11" t="s">
        <v>47</v>
      </c>
      <c r="Y1487" s="11" t="s">
        <v>58</v>
      </c>
      <c r="Z1487" s="11">
        <v>81998689887</v>
      </c>
      <c r="AA1487" s="11" t="s">
        <v>4003</v>
      </c>
      <c r="AB1487" s="11" t="s">
        <v>49</v>
      </c>
      <c r="AC1487" s="11" t="s">
        <v>4117</v>
      </c>
      <c r="AD1487" s="11" t="b">
        <v>0</v>
      </c>
      <c r="AF1487" s="11" t="s">
        <v>4691</v>
      </c>
      <c r="AH1487" s="11" t="s">
        <v>4692</v>
      </c>
    </row>
    <row r="1488" ht="12.5" spans="1:30">
      <c r="A1488" s="177">
        <v>45426.3674492477</v>
      </c>
      <c r="B1488" s="11" t="s">
        <v>2385</v>
      </c>
      <c r="C1488" s="19">
        <v>71093916478</v>
      </c>
      <c r="D1488" s="11">
        <v>708206629187642</v>
      </c>
      <c r="F1488" s="11" t="s">
        <v>40</v>
      </c>
      <c r="G1488" s="11" t="s">
        <v>54</v>
      </c>
      <c r="H1488" s="24">
        <v>37567</v>
      </c>
      <c r="I1488" s="11" t="s">
        <v>4693</v>
      </c>
      <c r="J1488" s="11" t="s">
        <v>81</v>
      </c>
      <c r="L1488" s="11" t="s">
        <v>525</v>
      </c>
      <c r="N1488" s="11" t="s">
        <v>95</v>
      </c>
      <c r="O1488" s="11" t="s">
        <v>127</v>
      </c>
      <c r="P1488" s="11" t="s">
        <v>44</v>
      </c>
      <c r="Q1488" s="11" t="s">
        <v>44</v>
      </c>
      <c r="R1488" s="11" t="s">
        <v>45</v>
      </c>
      <c r="S1488" s="11" t="s">
        <v>45</v>
      </c>
      <c r="T1488" s="11" t="s">
        <v>44</v>
      </c>
      <c r="U1488" s="11" t="s">
        <v>44</v>
      </c>
      <c r="W1488" s="11" t="s">
        <v>57</v>
      </c>
      <c r="X1488" s="11" t="s">
        <v>97</v>
      </c>
      <c r="Y1488" s="11" t="s">
        <v>97</v>
      </c>
      <c r="Z1488" s="11">
        <v>81996694014</v>
      </c>
      <c r="AA1488" s="11" t="s">
        <v>91</v>
      </c>
      <c r="AB1488" s="11"/>
      <c r="AC1488" s="11"/>
      <c r="AD1488" s="11" t="b">
        <v>0</v>
      </c>
    </row>
    <row r="1489" ht="12.5" spans="1:32">
      <c r="A1489" s="177">
        <v>45426.423131088</v>
      </c>
      <c r="B1489" s="11" t="s">
        <v>4694</v>
      </c>
      <c r="C1489" s="19">
        <v>11838694447</v>
      </c>
      <c r="D1489" s="11">
        <v>706405158579989</v>
      </c>
      <c r="E1489" s="18" t="s">
        <v>4695</v>
      </c>
      <c r="F1489" s="11" t="s">
        <v>40</v>
      </c>
      <c r="G1489" s="11" t="s">
        <v>54</v>
      </c>
      <c r="H1489" s="24">
        <v>38553</v>
      </c>
      <c r="I1489" s="11" t="s">
        <v>4696</v>
      </c>
      <c r="J1489" s="11" t="s">
        <v>42</v>
      </c>
      <c r="K1489" s="11" t="s">
        <v>4697</v>
      </c>
      <c r="N1489" s="11" t="s">
        <v>43</v>
      </c>
      <c r="O1489" s="11" t="s">
        <v>44</v>
      </c>
      <c r="P1489" s="11" t="s">
        <v>44</v>
      </c>
      <c r="Q1489" s="11" t="s">
        <v>44</v>
      </c>
      <c r="R1489" s="11" t="s">
        <v>45</v>
      </c>
      <c r="S1489" s="11" t="s">
        <v>83</v>
      </c>
      <c r="T1489" s="11" t="s">
        <v>44</v>
      </c>
      <c r="U1489" s="11" t="s">
        <v>45</v>
      </c>
      <c r="V1489" s="24">
        <v>45427</v>
      </c>
      <c r="W1489" s="11" t="s">
        <v>46</v>
      </c>
      <c r="X1489" s="11" t="s">
        <v>47</v>
      </c>
      <c r="Y1489" s="11" t="s">
        <v>58</v>
      </c>
      <c r="Z1489" s="11">
        <v>81996503644</v>
      </c>
      <c r="AA1489" s="11" t="s">
        <v>91</v>
      </c>
      <c r="AB1489" s="11" t="s">
        <v>49</v>
      </c>
      <c r="AC1489" s="11" t="s">
        <v>92</v>
      </c>
      <c r="AD1489" s="11" t="b">
        <v>1</v>
      </c>
      <c r="AE1489" s="11" t="s">
        <v>137</v>
      </c>
      <c r="AF1489" s="11" t="s">
        <v>4698</v>
      </c>
    </row>
    <row r="1490" ht="12.5" spans="1:32">
      <c r="A1490" s="177">
        <v>45426.4713594792</v>
      </c>
      <c r="B1490" s="11" t="s">
        <v>4684</v>
      </c>
      <c r="C1490" s="19">
        <v>70407529489</v>
      </c>
      <c r="D1490" s="11">
        <v>708508517123080</v>
      </c>
      <c r="E1490" s="18" t="s">
        <v>4699</v>
      </c>
      <c r="F1490" s="11" t="s">
        <v>40</v>
      </c>
      <c r="G1490" s="11" t="s">
        <v>54</v>
      </c>
      <c r="H1490" s="24">
        <v>36135</v>
      </c>
      <c r="I1490" s="284" t="s">
        <v>4700</v>
      </c>
      <c r="J1490" s="11" t="s">
        <v>42</v>
      </c>
      <c r="K1490" s="11" t="s">
        <v>4701</v>
      </c>
      <c r="N1490" s="11" t="s">
        <v>43</v>
      </c>
      <c r="O1490" s="11" t="s">
        <v>65</v>
      </c>
      <c r="P1490" s="11" t="s">
        <v>66</v>
      </c>
      <c r="Q1490" s="11" t="s">
        <v>44</v>
      </c>
      <c r="R1490" s="11" t="s">
        <v>45</v>
      </c>
      <c r="S1490" s="11" t="s">
        <v>45</v>
      </c>
      <c r="T1490" s="11" t="s">
        <v>44</v>
      </c>
      <c r="U1490" s="11" t="s">
        <v>45</v>
      </c>
      <c r="V1490" s="24">
        <v>45427</v>
      </c>
      <c r="W1490" s="11" t="s">
        <v>46</v>
      </c>
      <c r="X1490" s="11" t="s">
        <v>47</v>
      </c>
      <c r="Y1490" s="11" t="s">
        <v>58</v>
      </c>
      <c r="Z1490" s="11">
        <v>81999319275</v>
      </c>
      <c r="AA1490" s="11" t="s">
        <v>105</v>
      </c>
      <c r="AB1490" s="11" t="s">
        <v>49</v>
      </c>
      <c r="AC1490" s="11" t="s">
        <v>92</v>
      </c>
      <c r="AD1490" s="11" t="b">
        <v>1</v>
      </c>
      <c r="AE1490" s="11" t="s">
        <v>137</v>
      </c>
      <c r="AF1490" s="11" t="s">
        <v>4702</v>
      </c>
    </row>
    <row r="1491" ht="12.5" spans="1:34">
      <c r="A1491" s="177">
        <v>45426.5129835069</v>
      </c>
      <c r="B1491" s="11" t="s">
        <v>4703</v>
      </c>
      <c r="C1491" s="19">
        <v>11839451408</v>
      </c>
      <c r="D1491" s="11">
        <v>700405154886950</v>
      </c>
      <c r="E1491" s="18" t="s">
        <v>4704</v>
      </c>
      <c r="F1491" s="11" t="s">
        <v>40</v>
      </c>
      <c r="G1491" s="11" t="s">
        <v>54</v>
      </c>
      <c r="H1491" s="24">
        <v>35634</v>
      </c>
      <c r="I1491" s="284" t="s">
        <v>4705</v>
      </c>
      <c r="J1491" s="11" t="s">
        <v>42</v>
      </c>
      <c r="K1491" s="11" t="s">
        <v>4706</v>
      </c>
      <c r="N1491" s="11" t="s">
        <v>43</v>
      </c>
      <c r="O1491" s="11" t="s">
        <v>44</v>
      </c>
      <c r="P1491" s="11" t="s">
        <v>44</v>
      </c>
      <c r="Q1491" s="11" t="s">
        <v>45</v>
      </c>
      <c r="R1491" s="11" t="s">
        <v>45</v>
      </c>
      <c r="S1491" s="11" t="s">
        <v>45</v>
      </c>
      <c r="T1491" s="11" t="s">
        <v>44</v>
      </c>
      <c r="U1491" s="11" t="s">
        <v>45</v>
      </c>
      <c r="V1491" s="24">
        <v>45428</v>
      </c>
      <c r="W1491" s="11" t="s">
        <v>46</v>
      </c>
      <c r="X1491" s="11" t="s">
        <v>47</v>
      </c>
      <c r="Y1491" s="11" t="s">
        <v>58</v>
      </c>
      <c r="Z1491" s="11">
        <v>81994773016</v>
      </c>
      <c r="AA1491" s="11" t="s">
        <v>105</v>
      </c>
      <c r="AB1491" s="11" t="s">
        <v>49</v>
      </c>
      <c r="AC1491" s="11" t="s">
        <v>92</v>
      </c>
      <c r="AD1491" s="11" t="b">
        <v>1</v>
      </c>
      <c r="AE1491" s="11" t="s">
        <v>137</v>
      </c>
      <c r="AF1491" s="11" t="s">
        <v>4707</v>
      </c>
      <c r="AG1491" s="11" t="s">
        <v>4708</v>
      </c>
      <c r="AH1491" s="11" t="s">
        <v>4709</v>
      </c>
    </row>
    <row r="1492" ht="12.5" spans="1:32">
      <c r="A1492" s="177">
        <v>45426.5211668982</v>
      </c>
      <c r="B1492" s="11" t="s">
        <v>4710</v>
      </c>
      <c r="C1492" s="19">
        <v>71305949420</v>
      </c>
      <c r="D1492" s="11">
        <v>705401487977990</v>
      </c>
      <c r="E1492" s="18" t="s">
        <v>4711</v>
      </c>
      <c r="F1492" s="11" t="s">
        <v>225</v>
      </c>
      <c r="G1492" s="11" t="s">
        <v>54</v>
      </c>
      <c r="H1492" s="24">
        <v>37026</v>
      </c>
      <c r="I1492" s="284" t="s">
        <v>4139</v>
      </c>
      <c r="J1492" s="11" t="s">
        <v>42</v>
      </c>
      <c r="K1492" s="11" t="s">
        <v>90</v>
      </c>
      <c r="N1492" s="11" t="s">
        <v>43</v>
      </c>
      <c r="O1492" s="11" t="s">
        <v>96</v>
      </c>
      <c r="P1492" s="11" t="s">
        <v>66</v>
      </c>
      <c r="Q1492" s="11" t="s">
        <v>44</v>
      </c>
      <c r="R1492" s="11" t="s">
        <v>45</v>
      </c>
      <c r="S1492" s="11" t="s">
        <v>44</v>
      </c>
      <c r="T1492" s="11" t="s">
        <v>44</v>
      </c>
      <c r="U1492" s="11" t="s">
        <v>45</v>
      </c>
      <c r="V1492" s="24">
        <v>45427</v>
      </c>
      <c r="W1492" s="11" t="s">
        <v>46</v>
      </c>
      <c r="X1492" s="11" t="s">
        <v>47</v>
      </c>
      <c r="Y1492" s="11" t="s">
        <v>58</v>
      </c>
      <c r="Z1492" s="11">
        <v>81984494338</v>
      </c>
      <c r="AA1492" s="11" t="s">
        <v>4003</v>
      </c>
      <c r="AB1492" s="11" t="s">
        <v>49</v>
      </c>
      <c r="AC1492" s="11" t="s">
        <v>4117</v>
      </c>
      <c r="AD1492" s="11" t="b">
        <v>1</v>
      </c>
      <c r="AE1492" s="11" t="s">
        <v>137</v>
      </c>
      <c r="AF1492" s="11" t="s">
        <v>4712</v>
      </c>
    </row>
    <row r="1493" ht="12.5" spans="1:30">
      <c r="A1493" s="177">
        <v>45426.5274087732</v>
      </c>
      <c r="B1493" s="11" t="s">
        <v>2569</v>
      </c>
      <c r="C1493" s="277" t="s">
        <v>2570</v>
      </c>
      <c r="D1493" s="11">
        <v>706900193331433</v>
      </c>
      <c r="E1493" s="18" t="s">
        <v>4713</v>
      </c>
      <c r="F1493" s="11" t="s">
        <v>40</v>
      </c>
      <c r="G1493" s="11" t="s">
        <v>54</v>
      </c>
      <c r="H1493" s="24">
        <v>33427</v>
      </c>
      <c r="I1493" s="284" t="s">
        <v>2572</v>
      </c>
      <c r="J1493" s="11" t="s">
        <v>42</v>
      </c>
      <c r="K1493" s="11" t="s">
        <v>564</v>
      </c>
      <c r="N1493" s="11" t="s">
        <v>43</v>
      </c>
      <c r="O1493" s="11" t="s">
        <v>44</v>
      </c>
      <c r="P1493" s="11" t="s">
        <v>44</v>
      </c>
      <c r="Q1493" s="11" t="s">
        <v>44</v>
      </c>
      <c r="R1493" s="11" t="s">
        <v>45</v>
      </c>
      <c r="S1493" s="11" t="s">
        <v>83</v>
      </c>
      <c r="T1493" s="11" t="s">
        <v>44</v>
      </c>
      <c r="U1493" s="11" t="s">
        <v>44</v>
      </c>
      <c r="W1493" s="11" t="s">
        <v>46</v>
      </c>
      <c r="X1493" s="11" t="s">
        <v>47</v>
      </c>
      <c r="Y1493" s="11" t="s">
        <v>58</v>
      </c>
      <c r="Z1493" s="11">
        <v>81984673362</v>
      </c>
      <c r="AA1493" s="11" t="s">
        <v>105</v>
      </c>
      <c r="AB1493" s="11"/>
      <c r="AC1493" s="11"/>
      <c r="AD1493" s="11" t="b">
        <v>0</v>
      </c>
    </row>
    <row r="1494" ht="12.5" spans="1:30">
      <c r="A1494" s="177">
        <v>45426.6015611111</v>
      </c>
      <c r="B1494" s="11" t="s">
        <v>4562</v>
      </c>
      <c r="C1494" s="19">
        <v>71056621400</v>
      </c>
      <c r="D1494" s="11">
        <v>700001899481804</v>
      </c>
      <c r="E1494" s="18" t="s">
        <v>4714</v>
      </c>
      <c r="F1494" s="11" t="s">
        <v>40</v>
      </c>
      <c r="G1494" s="11" t="s">
        <v>54</v>
      </c>
      <c r="H1494" s="24">
        <v>36292</v>
      </c>
      <c r="I1494" s="284" t="s">
        <v>4715</v>
      </c>
      <c r="J1494" s="11" t="s">
        <v>42</v>
      </c>
      <c r="K1494" s="11" t="s">
        <v>155</v>
      </c>
      <c r="N1494" s="11" t="s">
        <v>43</v>
      </c>
      <c r="O1494" s="11" t="s">
        <v>44</v>
      </c>
      <c r="P1494" s="11" t="s">
        <v>44</v>
      </c>
      <c r="Q1494" s="11" t="s">
        <v>44</v>
      </c>
      <c r="R1494" s="11" t="s">
        <v>45</v>
      </c>
      <c r="S1494" s="11" t="s">
        <v>44</v>
      </c>
      <c r="T1494" s="11" t="s">
        <v>44</v>
      </c>
      <c r="U1494" s="11" t="s">
        <v>44</v>
      </c>
      <c r="W1494" s="11" t="s">
        <v>46</v>
      </c>
      <c r="X1494" s="11" t="s">
        <v>47</v>
      </c>
      <c r="Y1494" s="11" t="s">
        <v>58</v>
      </c>
      <c r="Z1494" s="11">
        <v>81996884713</v>
      </c>
      <c r="AA1494" s="11" t="s">
        <v>4003</v>
      </c>
      <c r="AB1494" s="11"/>
      <c r="AC1494" s="11"/>
      <c r="AD1494" s="11" t="b">
        <v>0</v>
      </c>
    </row>
    <row r="1495" ht="12.5" spans="1:32">
      <c r="A1495" s="177">
        <v>45426.6320200463</v>
      </c>
      <c r="B1495" s="11" t="s">
        <v>4438</v>
      </c>
      <c r="C1495" s="19">
        <v>11486071457</v>
      </c>
      <c r="D1495" s="11">
        <v>702602297172546</v>
      </c>
      <c r="E1495" s="18" t="s">
        <v>4716</v>
      </c>
      <c r="F1495" s="11" t="s">
        <v>40</v>
      </c>
      <c r="G1495" s="11" t="s">
        <v>54</v>
      </c>
      <c r="H1495" s="24">
        <v>36189</v>
      </c>
      <c r="I1495" s="284" t="s">
        <v>4717</v>
      </c>
      <c r="J1495" s="11" t="s">
        <v>42</v>
      </c>
      <c r="K1495" s="11" t="s">
        <v>4718</v>
      </c>
      <c r="N1495" s="11" t="s">
        <v>43</v>
      </c>
      <c r="O1495" s="11" t="s">
        <v>44</v>
      </c>
      <c r="P1495" s="11" t="s">
        <v>44</v>
      </c>
      <c r="Q1495" s="11" t="s">
        <v>45</v>
      </c>
      <c r="R1495" s="11" t="s">
        <v>45</v>
      </c>
      <c r="S1495" s="11" t="s">
        <v>45</v>
      </c>
      <c r="T1495" s="11" t="s">
        <v>44</v>
      </c>
      <c r="U1495" s="11" t="s">
        <v>45</v>
      </c>
      <c r="V1495" s="24">
        <v>45426</v>
      </c>
      <c r="W1495" s="11" t="s">
        <v>46</v>
      </c>
      <c r="X1495" s="11" t="s">
        <v>47</v>
      </c>
      <c r="Y1495" s="11" t="s">
        <v>58</v>
      </c>
      <c r="Z1495" s="11">
        <v>81983570659</v>
      </c>
      <c r="AA1495" s="11" t="s">
        <v>105</v>
      </c>
      <c r="AB1495" s="11" t="s">
        <v>49</v>
      </c>
      <c r="AC1495" s="11" t="s">
        <v>4142</v>
      </c>
      <c r="AD1495" s="11" t="b">
        <v>0</v>
      </c>
      <c r="AF1495" s="11" t="s">
        <v>4719</v>
      </c>
    </row>
    <row r="1496" ht="12.5" spans="1:30">
      <c r="A1496" s="177">
        <v>45426.6592121412</v>
      </c>
      <c r="B1496" s="11" t="s">
        <v>4666</v>
      </c>
      <c r="C1496" s="19">
        <v>71353539431</v>
      </c>
      <c r="D1496" s="11">
        <v>700504753126951</v>
      </c>
      <c r="E1496" s="18" t="s">
        <v>4720</v>
      </c>
      <c r="F1496" s="11" t="s">
        <v>40</v>
      </c>
      <c r="G1496" s="11" t="s">
        <v>41</v>
      </c>
      <c r="H1496" s="24">
        <v>37246</v>
      </c>
      <c r="I1496" s="284" t="s">
        <v>4668</v>
      </c>
      <c r="J1496" s="11" t="s">
        <v>42</v>
      </c>
      <c r="K1496" s="11" t="s">
        <v>399</v>
      </c>
      <c r="N1496" s="11" t="s">
        <v>43</v>
      </c>
      <c r="O1496" s="11" t="s">
        <v>44</v>
      </c>
      <c r="P1496" s="11" t="s">
        <v>44</v>
      </c>
      <c r="Q1496" s="11" t="s">
        <v>45</v>
      </c>
      <c r="R1496" s="11" t="s">
        <v>45</v>
      </c>
      <c r="S1496" s="11" t="s">
        <v>83</v>
      </c>
      <c r="T1496" s="11" t="s">
        <v>44</v>
      </c>
      <c r="U1496" s="11" t="s">
        <v>44</v>
      </c>
      <c r="W1496" s="11" t="s">
        <v>46</v>
      </c>
      <c r="X1496" s="11" t="s">
        <v>47</v>
      </c>
      <c r="Y1496" s="11" t="s">
        <v>58</v>
      </c>
      <c r="Z1496" s="11">
        <v>81997467123</v>
      </c>
      <c r="AA1496" s="11" t="s">
        <v>4088</v>
      </c>
      <c r="AB1496" s="11"/>
      <c r="AC1496" s="11"/>
      <c r="AD1496" s="11" t="b">
        <v>0</v>
      </c>
    </row>
    <row r="1497" ht="12.5" spans="1:30">
      <c r="A1497" s="177">
        <v>45426.6792591667</v>
      </c>
      <c r="B1497" s="11" t="s">
        <v>4687</v>
      </c>
      <c r="C1497" s="277" t="s">
        <v>4688</v>
      </c>
      <c r="D1497" s="11">
        <v>700503384836758</v>
      </c>
      <c r="F1497" s="11" t="s">
        <v>40</v>
      </c>
      <c r="G1497" s="11" t="s">
        <v>54</v>
      </c>
      <c r="H1497" s="24">
        <v>30216</v>
      </c>
      <c r="I1497" s="284" t="s">
        <v>4690</v>
      </c>
      <c r="J1497" s="11" t="s">
        <v>42</v>
      </c>
      <c r="K1497" s="11" t="s">
        <v>202</v>
      </c>
      <c r="N1497" s="11" t="s">
        <v>95</v>
      </c>
      <c r="O1497" s="11" t="s">
        <v>44</v>
      </c>
      <c r="P1497" s="11" t="s">
        <v>44</v>
      </c>
      <c r="Q1497" s="11" t="s">
        <v>44</v>
      </c>
      <c r="R1497" s="11" t="s">
        <v>45</v>
      </c>
      <c r="S1497" s="11" t="s">
        <v>45</v>
      </c>
      <c r="T1497" s="11" t="s">
        <v>44</v>
      </c>
      <c r="U1497" s="11" t="s">
        <v>44</v>
      </c>
      <c r="W1497" s="11" t="s">
        <v>57</v>
      </c>
      <c r="X1497" s="11" t="s">
        <v>97</v>
      </c>
      <c r="Y1497" s="11" t="s">
        <v>97</v>
      </c>
      <c r="Z1497" s="11">
        <v>81998689887</v>
      </c>
      <c r="AA1497" s="11" t="s">
        <v>4003</v>
      </c>
      <c r="AB1497" s="11"/>
      <c r="AC1497" s="11"/>
      <c r="AD1497" s="11" t="b">
        <v>0</v>
      </c>
    </row>
    <row r="1498" ht="12.5" spans="1:33">
      <c r="A1498" s="177">
        <v>45426.7384295255</v>
      </c>
      <c r="B1498" s="11" t="s">
        <v>4721</v>
      </c>
      <c r="C1498" s="277" t="s">
        <v>4722</v>
      </c>
      <c r="D1498" s="11">
        <v>700001832228406</v>
      </c>
      <c r="E1498" s="18" t="s">
        <v>4723</v>
      </c>
      <c r="F1498" s="11" t="s">
        <v>225</v>
      </c>
      <c r="G1498" s="11" t="s">
        <v>54</v>
      </c>
      <c r="H1498" s="24">
        <v>32949</v>
      </c>
      <c r="I1498" s="284" t="s">
        <v>2500</v>
      </c>
      <c r="J1498" s="11" t="s">
        <v>42</v>
      </c>
      <c r="K1498" s="11" t="s">
        <v>4724</v>
      </c>
      <c r="N1498" s="11" t="s">
        <v>43</v>
      </c>
      <c r="O1498" s="11" t="s">
        <v>65</v>
      </c>
      <c r="P1498" s="11" t="s">
        <v>66</v>
      </c>
      <c r="Q1498" s="11" t="s">
        <v>44</v>
      </c>
      <c r="R1498" s="11" t="s">
        <v>45</v>
      </c>
      <c r="S1498" s="11" t="s">
        <v>45</v>
      </c>
      <c r="T1498" s="11" t="s">
        <v>44</v>
      </c>
      <c r="U1498" s="11" t="s">
        <v>45</v>
      </c>
      <c r="V1498" s="24">
        <v>45427</v>
      </c>
      <c r="W1498" s="11" t="s">
        <v>46</v>
      </c>
      <c r="X1498" s="11" t="s">
        <v>47</v>
      </c>
      <c r="Y1498" s="11" t="s">
        <v>58</v>
      </c>
      <c r="Z1498" s="11">
        <v>81996912111</v>
      </c>
      <c r="AA1498" s="11" t="s">
        <v>105</v>
      </c>
      <c r="AB1498" s="11" t="s">
        <v>98</v>
      </c>
      <c r="AC1498" s="11"/>
      <c r="AD1498" s="11" t="b">
        <v>0</v>
      </c>
      <c r="AF1498" s="11" t="s">
        <v>4725</v>
      </c>
      <c r="AG1498" s="11" t="s">
        <v>4726</v>
      </c>
    </row>
    <row r="1499" ht="12.5" spans="1:32">
      <c r="A1499" s="177">
        <v>45426.7726938542</v>
      </c>
      <c r="B1499" s="11" t="s">
        <v>4727</v>
      </c>
      <c r="C1499" s="19">
        <v>11756692459</v>
      </c>
      <c r="D1499" s="11">
        <v>704003128044470</v>
      </c>
      <c r="E1499" s="18" t="s">
        <v>4728</v>
      </c>
      <c r="F1499" s="11" t="s">
        <v>40</v>
      </c>
      <c r="G1499" s="11" t="s">
        <v>54</v>
      </c>
      <c r="H1499" s="24">
        <v>35451</v>
      </c>
      <c r="I1499" s="11" t="s">
        <v>97</v>
      </c>
      <c r="J1499" s="11" t="s">
        <v>438</v>
      </c>
      <c r="M1499" s="11" t="s">
        <v>1669</v>
      </c>
      <c r="N1499" s="11" t="s">
        <v>43</v>
      </c>
      <c r="O1499" s="11" t="s">
        <v>96</v>
      </c>
      <c r="P1499" s="11" t="s">
        <v>44</v>
      </c>
      <c r="Q1499" s="11" t="s">
        <v>45</v>
      </c>
      <c r="R1499" s="11" t="s">
        <v>44</v>
      </c>
      <c r="S1499" s="11" t="s">
        <v>44</v>
      </c>
      <c r="T1499" s="11" t="s">
        <v>44</v>
      </c>
      <c r="U1499" s="11" t="s">
        <v>45</v>
      </c>
      <c r="V1499" s="24">
        <v>45428</v>
      </c>
      <c r="W1499" s="11" t="s">
        <v>46</v>
      </c>
      <c r="X1499" s="11" t="s">
        <v>203</v>
      </c>
      <c r="Y1499" s="11" t="s">
        <v>58</v>
      </c>
      <c r="Z1499" s="11">
        <v>81998548065</v>
      </c>
      <c r="AA1499" s="11" t="s">
        <v>105</v>
      </c>
      <c r="AB1499" s="11" t="s">
        <v>49</v>
      </c>
      <c r="AC1499" s="11" t="s">
        <v>92</v>
      </c>
      <c r="AD1499" s="11" t="b">
        <v>1</v>
      </c>
      <c r="AE1499" s="11" t="s">
        <v>137</v>
      </c>
      <c r="AF1499" s="11" t="s">
        <v>4729</v>
      </c>
    </row>
    <row r="1500" ht="12.5" spans="1:30">
      <c r="A1500" s="177">
        <v>45426.7732663079</v>
      </c>
      <c r="B1500" s="11" t="s">
        <v>4438</v>
      </c>
      <c r="C1500" s="19">
        <v>11486071457</v>
      </c>
      <c r="D1500" s="11">
        <v>702602297172546</v>
      </c>
      <c r="F1500" s="11" t="s">
        <v>40</v>
      </c>
      <c r="G1500" s="11" t="s">
        <v>54</v>
      </c>
      <c r="H1500" s="24">
        <v>36189</v>
      </c>
      <c r="I1500" s="284" t="s">
        <v>4717</v>
      </c>
      <c r="J1500" s="11" t="s">
        <v>42</v>
      </c>
      <c r="K1500" s="11" t="s">
        <v>4730</v>
      </c>
      <c r="N1500" s="11" t="s">
        <v>95</v>
      </c>
      <c r="O1500" s="11" t="s">
        <v>44</v>
      </c>
      <c r="P1500" s="11" t="s">
        <v>44</v>
      </c>
      <c r="Q1500" s="11" t="s">
        <v>45</v>
      </c>
      <c r="R1500" s="11" t="s">
        <v>45</v>
      </c>
      <c r="S1500" s="11" t="s">
        <v>45</v>
      </c>
      <c r="T1500" s="11" t="s">
        <v>44</v>
      </c>
      <c r="U1500" s="11" t="s">
        <v>44</v>
      </c>
      <c r="W1500" s="11" t="s">
        <v>57</v>
      </c>
      <c r="X1500" s="11" t="s">
        <v>47</v>
      </c>
      <c r="Y1500" s="11" t="s">
        <v>97</v>
      </c>
      <c r="Z1500" s="11">
        <v>81983570659</v>
      </c>
      <c r="AA1500" s="11" t="s">
        <v>4088</v>
      </c>
      <c r="AB1500" s="11"/>
      <c r="AC1500" s="11"/>
      <c r="AD1500" s="11" t="b">
        <v>0</v>
      </c>
    </row>
    <row r="1501" ht="12.5" spans="1:30">
      <c r="A1501" s="177">
        <v>45427.3780369907</v>
      </c>
      <c r="B1501" s="11" t="s">
        <v>4694</v>
      </c>
      <c r="C1501" s="19">
        <v>11838694447</v>
      </c>
      <c r="D1501" s="11">
        <v>706405158579989</v>
      </c>
      <c r="E1501" s="18" t="s">
        <v>4731</v>
      </c>
      <c r="F1501" s="11" t="s">
        <v>40</v>
      </c>
      <c r="G1501" s="11" t="s">
        <v>54</v>
      </c>
      <c r="H1501" s="24">
        <v>38553</v>
      </c>
      <c r="I1501" s="284" t="s">
        <v>4732</v>
      </c>
      <c r="J1501" s="11" t="s">
        <v>42</v>
      </c>
      <c r="K1501" s="11" t="s">
        <v>4733</v>
      </c>
      <c r="N1501" s="11" t="s">
        <v>95</v>
      </c>
      <c r="O1501" s="11" t="s">
        <v>44</v>
      </c>
      <c r="P1501" s="11" t="s">
        <v>44</v>
      </c>
      <c r="Q1501" s="11" t="s">
        <v>44</v>
      </c>
      <c r="R1501" s="11" t="s">
        <v>45</v>
      </c>
      <c r="S1501" s="11" t="s">
        <v>83</v>
      </c>
      <c r="T1501" s="11" t="s">
        <v>44</v>
      </c>
      <c r="U1501" s="11" t="s">
        <v>44</v>
      </c>
      <c r="W1501" s="11" t="s">
        <v>46</v>
      </c>
      <c r="X1501" s="11" t="s">
        <v>97</v>
      </c>
      <c r="Y1501" s="11" t="s">
        <v>97</v>
      </c>
      <c r="Z1501" s="11">
        <v>81996503644</v>
      </c>
      <c r="AA1501" s="11" t="s">
        <v>91</v>
      </c>
      <c r="AB1501" s="11"/>
      <c r="AC1501" s="11"/>
      <c r="AD1501" s="11" t="b">
        <v>0</v>
      </c>
    </row>
    <row r="1502" ht="12.5" spans="1:34">
      <c r="A1502" s="177">
        <v>45427.4020078819</v>
      </c>
      <c r="B1502" s="11" t="s">
        <v>4734</v>
      </c>
      <c r="C1502" s="277" t="s">
        <v>4735</v>
      </c>
      <c r="D1502" s="11">
        <v>704106847372350</v>
      </c>
      <c r="E1502" s="18" t="s">
        <v>4736</v>
      </c>
      <c r="F1502" s="11" t="s">
        <v>225</v>
      </c>
      <c r="G1502" s="11" t="s">
        <v>54</v>
      </c>
      <c r="H1502" s="24">
        <v>34307</v>
      </c>
      <c r="I1502" s="284" t="s">
        <v>4737</v>
      </c>
      <c r="J1502" s="11" t="s">
        <v>42</v>
      </c>
      <c r="K1502" s="11" t="s">
        <v>427</v>
      </c>
      <c r="N1502" s="11" t="s">
        <v>43</v>
      </c>
      <c r="O1502" s="11" t="s">
        <v>44</v>
      </c>
      <c r="P1502" s="11" t="s">
        <v>44</v>
      </c>
      <c r="Q1502" s="11" t="s">
        <v>44</v>
      </c>
      <c r="R1502" s="11" t="s">
        <v>45</v>
      </c>
      <c r="S1502" s="11" t="s">
        <v>45</v>
      </c>
      <c r="T1502" s="11" t="s">
        <v>44</v>
      </c>
      <c r="U1502" s="11" t="s">
        <v>45</v>
      </c>
      <c r="V1502" s="24">
        <v>45428</v>
      </c>
      <c r="W1502" s="11" t="s">
        <v>46</v>
      </c>
      <c r="X1502" s="11" t="s">
        <v>67</v>
      </c>
      <c r="Y1502" s="11" t="s">
        <v>58</v>
      </c>
      <c r="Z1502" s="11">
        <v>81999782600</v>
      </c>
      <c r="AA1502" s="11" t="s">
        <v>115</v>
      </c>
      <c r="AB1502" s="11" t="s">
        <v>98</v>
      </c>
      <c r="AC1502" s="11"/>
      <c r="AD1502" s="11" t="b">
        <v>0</v>
      </c>
      <c r="AF1502" s="11" t="s">
        <v>4738</v>
      </c>
      <c r="AG1502" s="11" t="s">
        <v>4739</v>
      </c>
      <c r="AH1502" s="11" t="s">
        <v>4740</v>
      </c>
    </row>
    <row r="1503" ht="12.5" spans="1:30">
      <c r="A1503" s="177">
        <v>45427.4106559259</v>
      </c>
      <c r="B1503" s="11" t="s">
        <v>4684</v>
      </c>
      <c r="C1503" s="19">
        <v>70407529489</v>
      </c>
      <c r="D1503" s="11">
        <v>708508517123080</v>
      </c>
      <c r="E1503" s="18" t="s">
        <v>4741</v>
      </c>
      <c r="F1503" s="11" t="s">
        <v>40</v>
      </c>
      <c r="G1503" s="11" t="s">
        <v>54</v>
      </c>
      <c r="H1503" s="24">
        <v>36135</v>
      </c>
      <c r="I1503" s="284" t="s">
        <v>4700</v>
      </c>
      <c r="J1503" s="11" t="s">
        <v>42</v>
      </c>
      <c r="K1503" s="11" t="s">
        <v>4701</v>
      </c>
      <c r="N1503" s="11" t="s">
        <v>95</v>
      </c>
      <c r="O1503" s="11" t="s">
        <v>44</v>
      </c>
      <c r="P1503" s="11" t="s">
        <v>44</v>
      </c>
      <c r="Q1503" s="11" t="s">
        <v>44</v>
      </c>
      <c r="R1503" s="11" t="s">
        <v>45</v>
      </c>
      <c r="S1503" s="11" t="s">
        <v>45</v>
      </c>
      <c r="T1503" s="11" t="s">
        <v>44</v>
      </c>
      <c r="U1503" s="11" t="s">
        <v>44</v>
      </c>
      <c r="W1503" s="11" t="s">
        <v>46</v>
      </c>
      <c r="X1503" s="11" t="s">
        <v>97</v>
      </c>
      <c r="Y1503" s="11" t="s">
        <v>97</v>
      </c>
      <c r="Z1503" s="11">
        <v>81999319275</v>
      </c>
      <c r="AA1503" s="11" t="s">
        <v>91</v>
      </c>
      <c r="AB1503" s="11"/>
      <c r="AC1503" s="11"/>
      <c r="AD1503" s="11" t="b">
        <v>0</v>
      </c>
    </row>
    <row r="1504" ht="12.5" spans="1:30">
      <c r="A1504" s="177">
        <v>45427.4323401505</v>
      </c>
      <c r="B1504" s="11" t="s">
        <v>4576</v>
      </c>
      <c r="C1504" s="19">
        <v>71590593448</v>
      </c>
      <c r="D1504" s="11">
        <v>706804286131323</v>
      </c>
      <c r="F1504" s="11" t="s">
        <v>40</v>
      </c>
      <c r="G1504" s="11" t="s">
        <v>54</v>
      </c>
      <c r="H1504" s="24">
        <v>37881</v>
      </c>
      <c r="I1504" s="284" t="s">
        <v>4742</v>
      </c>
      <c r="J1504" s="11" t="s">
        <v>42</v>
      </c>
      <c r="K1504" s="11" t="s">
        <v>282</v>
      </c>
      <c r="N1504" s="11" t="s">
        <v>95</v>
      </c>
      <c r="O1504" s="11" t="s">
        <v>44</v>
      </c>
      <c r="P1504" s="11" t="s">
        <v>44</v>
      </c>
      <c r="Q1504" s="11" t="s">
        <v>44</v>
      </c>
      <c r="R1504" s="11" t="s">
        <v>45</v>
      </c>
      <c r="S1504" s="11" t="s">
        <v>44</v>
      </c>
      <c r="T1504" s="11" t="s">
        <v>44</v>
      </c>
      <c r="U1504" s="11" t="s">
        <v>44</v>
      </c>
      <c r="W1504" s="11" t="s">
        <v>57</v>
      </c>
      <c r="X1504" s="11" t="s">
        <v>97</v>
      </c>
      <c r="Y1504" s="11" t="s">
        <v>97</v>
      </c>
      <c r="Z1504" s="11">
        <v>81992513955</v>
      </c>
      <c r="AA1504" s="11" t="s">
        <v>4003</v>
      </c>
      <c r="AB1504" s="11"/>
      <c r="AC1504" s="11"/>
      <c r="AD1504" s="11" t="b">
        <v>0</v>
      </c>
    </row>
    <row r="1505" ht="12.5" spans="1:33">
      <c r="A1505" s="177">
        <v>45427.4340384259</v>
      </c>
      <c r="B1505" s="11" t="s">
        <v>4743</v>
      </c>
      <c r="C1505" s="19">
        <v>9099317476</v>
      </c>
      <c r="D1505" s="11">
        <v>702603216645547</v>
      </c>
      <c r="E1505" s="18" t="s">
        <v>4744</v>
      </c>
      <c r="F1505" s="11" t="s">
        <v>40</v>
      </c>
      <c r="G1505" s="11" t="s">
        <v>54</v>
      </c>
      <c r="H1505" s="24">
        <v>33487</v>
      </c>
      <c r="I1505" s="284" t="s">
        <v>3001</v>
      </c>
      <c r="J1505" s="11" t="s">
        <v>42</v>
      </c>
      <c r="K1505" s="11" t="s">
        <v>427</v>
      </c>
      <c r="N1505" s="11" t="s">
        <v>43</v>
      </c>
      <c r="O1505" s="11" t="s">
        <v>44</v>
      </c>
      <c r="P1505" s="11" t="s">
        <v>56</v>
      </c>
      <c r="Q1505" s="11" t="s">
        <v>44</v>
      </c>
      <c r="R1505" s="11" t="s">
        <v>45</v>
      </c>
      <c r="S1505" s="11" t="s">
        <v>45</v>
      </c>
      <c r="T1505" s="11" t="s">
        <v>44</v>
      </c>
      <c r="U1505" s="11" t="s">
        <v>45</v>
      </c>
      <c r="V1505" s="24">
        <v>45428</v>
      </c>
      <c r="W1505" s="11" t="s">
        <v>46</v>
      </c>
      <c r="X1505" s="11" t="s">
        <v>47</v>
      </c>
      <c r="Y1505" s="11" t="s">
        <v>58</v>
      </c>
      <c r="Z1505" s="11">
        <v>81985881505</v>
      </c>
      <c r="AA1505" s="11" t="s">
        <v>115</v>
      </c>
      <c r="AB1505" s="11" t="s">
        <v>98</v>
      </c>
      <c r="AD1505" s="11" t="b">
        <v>0</v>
      </c>
      <c r="AF1505" s="11" t="s">
        <v>4745</v>
      </c>
      <c r="AG1505" s="11" t="s">
        <v>4746</v>
      </c>
    </row>
    <row r="1506" ht="12.5" spans="1:30">
      <c r="A1506" s="177">
        <v>45427.4577929977</v>
      </c>
      <c r="B1506" s="11" t="s">
        <v>4710</v>
      </c>
      <c r="C1506" s="19">
        <v>71305949420</v>
      </c>
      <c r="D1506" s="11">
        <v>705401487977990</v>
      </c>
      <c r="E1506" s="18" t="s">
        <v>4747</v>
      </c>
      <c r="F1506" s="11" t="s">
        <v>225</v>
      </c>
      <c r="G1506" s="11" t="s">
        <v>54</v>
      </c>
      <c r="H1506" s="24">
        <v>37026</v>
      </c>
      <c r="I1506" s="284" t="s">
        <v>4139</v>
      </c>
      <c r="J1506" s="11" t="s">
        <v>42</v>
      </c>
      <c r="K1506" s="11" t="s">
        <v>90</v>
      </c>
      <c r="N1506" s="11" t="s">
        <v>95</v>
      </c>
      <c r="O1506" s="11" t="s">
        <v>44</v>
      </c>
      <c r="P1506" s="11" t="s">
        <v>44</v>
      </c>
      <c r="Q1506" s="11" t="s">
        <v>44</v>
      </c>
      <c r="R1506" s="11" t="s">
        <v>45</v>
      </c>
      <c r="S1506" s="11" t="s">
        <v>44</v>
      </c>
      <c r="T1506" s="11" t="s">
        <v>44</v>
      </c>
      <c r="U1506" s="11" t="s">
        <v>44</v>
      </c>
      <c r="W1506" s="11" t="s">
        <v>46</v>
      </c>
      <c r="X1506" s="11" t="s">
        <v>97</v>
      </c>
      <c r="Y1506" s="11" t="s">
        <v>97</v>
      </c>
      <c r="Z1506" s="11">
        <v>81984494338</v>
      </c>
      <c r="AA1506" s="11" t="s">
        <v>4003</v>
      </c>
      <c r="AB1506" s="11"/>
      <c r="AC1506" s="11"/>
      <c r="AD1506" s="11" t="b">
        <v>0</v>
      </c>
    </row>
    <row r="1507" ht="12.5" spans="1:30">
      <c r="A1507" s="177">
        <v>45427.4660949306</v>
      </c>
      <c r="B1507" s="11" t="s">
        <v>4589</v>
      </c>
      <c r="C1507" s="277" t="s">
        <v>4590</v>
      </c>
      <c r="D1507" s="11">
        <v>702106712699096</v>
      </c>
      <c r="E1507" s="18" t="s">
        <v>4748</v>
      </c>
      <c r="F1507" s="11" t="s">
        <v>40</v>
      </c>
      <c r="G1507" s="11" t="s">
        <v>88</v>
      </c>
      <c r="H1507" s="24">
        <v>34592</v>
      </c>
      <c r="I1507" s="284" t="s">
        <v>2992</v>
      </c>
      <c r="J1507" s="11" t="s">
        <v>42</v>
      </c>
      <c r="K1507" s="11" t="s">
        <v>455</v>
      </c>
      <c r="N1507" s="11" t="s">
        <v>95</v>
      </c>
      <c r="O1507" s="11" t="s">
        <v>44</v>
      </c>
      <c r="P1507" s="11" t="s">
        <v>44</v>
      </c>
      <c r="Q1507" s="11" t="s">
        <v>44</v>
      </c>
      <c r="R1507" s="11" t="s">
        <v>45</v>
      </c>
      <c r="S1507" s="11" t="s">
        <v>45</v>
      </c>
      <c r="T1507" s="11" t="s">
        <v>44</v>
      </c>
      <c r="U1507" s="11" t="s">
        <v>44</v>
      </c>
      <c r="W1507" s="11" t="s">
        <v>57</v>
      </c>
      <c r="X1507" s="11" t="s">
        <v>97</v>
      </c>
      <c r="Y1507" s="11" t="s">
        <v>97</v>
      </c>
      <c r="Z1507" s="11">
        <v>81988900219</v>
      </c>
      <c r="AA1507" s="11" t="s">
        <v>115</v>
      </c>
      <c r="AB1507" s="11"/>
      <c r="AC1507" s="11"/>
      <c r="AD1507" s="11" t="b">
        <v>0</v>
      </c>
    </row>
    <row r="1508" ht="12.5" spans="1:30">
      <c r="A1508" s="177">
        <v>45428.3638336111</v>
      </c>
      <c r="B1508" s="11" t="s">
        <v>2990</v>
      </c>
      <c r="C1508" s="19">
        <v>70482917458</v>
      </c>
      <c r="D1508" s="11">
        <v>708700168884694</v>
      </c>
      <c r="E1508" s="18" t="s">
        <v>4749</v>
      </c>
      <c r="F1508" s="11" t="s">
        <v>40</v>
      </c>
      <c r="G1508" s="11" t="s">
        <v>41</v>
      </c>
      <c r="H1508" s="24">
        <v>36040</v>
      </c>
      <c r="I1508" s="284" t="s">
        <v>2992</v>
      </c>
      <c r="J1508" s="11" t="s">
        <v>42</v>
      </c>
      <c r="K1508" s="11" t="s">
        <v>1083</v>
      </c>
      <c r="N1508" s="11" t="s">
        <v>43</v>
      </c>
      <c r="O1508" s="11" t="s">
        <v>44</v>
      </c>
      <c r="P1508" s="11" t="s">
        <v>44</v>
      </c>
      <c r="Q1508" s="11" t="s">
        <v>45</v>
      </c>
      <c r="R1508" s="11" t="s">
        <v>45</v>
      </c>
      <c r="S1508" s="11" t="s">
        <v>83</v>
      </c>
      <c r="T1508" s="11" t="s">
        <v>4341</v>
      </c>
      <c r="U1508" s="11" t="s">
        <v>44</v>
      </c>
      <c r="W1508" s="11" t="s">
        <v>46</v>
      </c>
      <c r="X1508" s="254" t="s">
        <v>67</v>
      </c>
      <c r="Y1508" s="11" t="s">
        <v>58</v>
      </c>
      <c r="Z1508" s="11">
        <v>81988110275</v>
      </c>
      <c r="AA1508" s="11" t="s">
        <v>115</v>
      </c>
      <c r="AB1508" s="11"/>
      <c r="AC1508" s="11"/>
      <c r="AD1508" s="11" t="b">
        <v>0</v>
      </c>
    </row>
    <row r="1509" ht="12.5" spans="1:30">
      <c r="A1509" s="177">
        <v>45428.3758962616</v>
      </c>
      <c r="B1509" s="11" t="s">
        <v>4727</v>
      </c>
      <c r="C1509" s="19">
        <v>11756692459</v>
      </c>
      <c r="D1509" s="11">
        <v>704003128044470</v>
      </c>
      <c r="E1509" s="18" t="s">
        <v>4750</v>
      </c>
      <c r="F1509" s="11" t="s">
        <v>40</v>
      </c>
      <c r="G1509" s="11" t="s">
        <v>54</v>
      </c>
      <c r="H1509" s="24">
        <v>35451</v>
      </c>
      <c r="I1509" s="11" t="s">
        <v>97</v>
      </c>
      <c r="J1509" s="11" t="s">
        <v>438</v>
      </c>
      <c r="M1509" s="11" t="s">
        <v>1669</v>
      </c>
      <c r="N1509" s="11" t="s">
        <v>95</v>
      </c>
      <c r="O1509" s="11" t="s">
        <v>44</v>
      </c>
      <c r="P1509" s="11" t="s">
        <v>44</v>
      </c>
      <c r="Q1509" s="11" t="s">
        <v>44</v>
      </c>
      <c r="R1509" s="11" t="s">
        <v>44</v>
      </c>
      <c r="S1509" s="11" t="s">
        <v>83</v>
      </c>
      <c r="T1509" s="11" t="s">
        <v>4348</v>
      </c>
      <c r="U1509" s="11" t="s">
        <v>44</v>
      </c>
      <c r="W1509" s="11" t="s">
        <v>46</v>
      </c>
      <c r="X1509" s="11" t="s">
        <v>97</v>
      </c>
      <c r="Y1509" s="11" t="s">
        <v>97</v>
      </c>
      <c r="Z1509" s="11">
        <v>81998548065</v>
      </c>
      <c r="AA1509" s="11" t="s">
        <v>91</v>
      </c>
      <c r="AB1509" s="11"/>
      <c r="AC1509" s="11"/>
      <c r="AD1509" s="11" t="b">
        <v>0</v>
      </c>
    </row>
    <row r="1510" ht="12.5" spans="1:30">
      <c r="A1510" s="177">
        <v>45428.4098672685</v>
      </c>
      <c r="B1510" s="11" t="s">
        <v>4751</v>
      </c>
      <c r="C1510" s="277" t="s">
        <v>4752</v>
      </c>
      <c r="D1510" s="11">
        <v>703608091797331</v>
      </c>
      <c r="E1510" s="18" t="s">
        <v>4753</v>
      </c>
      <c r="F1510" s="11" t="s">
        <v>40</v>
      </c>
      <c r="G1510" s="11" t="s">
        <v>54</v>
      </c>
      <c r="H1510" s="24">
        <v>33617</v>
      </c>
      <c r="I1510" s="284" t="s">
        <v>2056</v>
      </c>
      <c r="J1510" s="11" t="s">
        <v>42</v>
      </c>
      <c r="K1510" s="11" t="s">
        <v>4754</v>
      </c>
      <c r="N1510" s="11" t="s">
        <v>43</v>
      </c>
      <c r="O1510" s="11" t="s">
        <v>44</v>
      </c>
      <c r="P1510" s="11" t="s">
        <v>44</v>
      </c>
      <c r="Q1510" s="11" t="s">
        <v>44</v>
      </c>
      <c r="R1510" s="11" t="s">
        <v>45</v>
      </c>
      <c r="S1510" s="11" t="s">
        <v>45</v>
      </c>
      <c r="T1510" s="11" t="s">
        <v>44</v>
      </c>
      <c r="U1510" s="11" t="s">
        <v>44</v>
      </c>
      <c r="W1510" s="11" t="s">
        <v>46</v>
      </c>
      <c r="X1510" s="11" t="s">
        <v>47</v>
      </c>
      <c r="Y1510" s="11" t="s">
        <v>58</v>
      </c>
      <c r="Z1510" s="11">
        <v>81987240226</v>
      </c>
      <c r="AA1510" s="11" t="s">
        <v>91</v>
      </c>
      <c r="AB1510" s="11"/>
      <c r="AC1510" s="11"/>
      <c r="AD1510" s="11" t="b">
        <v>0</v>
      </c>
    </row>
    <row r="1511" ht="12.5" spans="1:30">
      <c r="A1511" s="177">
        <v>45428.4716375232</v>
      </c>
      <c r="B1511" s="11" t="s">
        <v>2990</v>
      </c>
      <c r="C1511" s="19">
        <v>70482917458</v>
      </c>
      <c r="D1511" s="11">
        <v>708700168884694</v>
      </c>
      <c r="E1511" s="18" t="s">
        <v>4755</v>
      </c>
      <c r="F1511" s="11" t="s">
        <v>40</v>
      </c>
      <c r="G1511" s="11" t="s">
        <v>41</v>
      </c>
      <c r="H1511" s="24">
        <v>36040</v>
      </c>
      <c r="I1511" s="284" t="s">
        <v>2992</v>
      </c>
      <c r="J1511" s="11" t="s">
        <v>42</v>
      </c>
      <c r="K1511" s="11" t="s">
        <v>1190</v>
      </c>
      <c r="N1511" s="11" t="s">
        <v>43</v>
      </c>
      <c r="O1511" s="11" t="s">
        <v>44</v>
      </c>
      <c r="P1511" s="11" t="s">
        <v>44</v>
      </c>
      <c r="Q1511" s="11" t="s">
        <v>44</v>
      </c>
      <c r="R1511" s="11" t="s">
        <v>45</v>
      </c>
      <c r="S1511" s="11" t="s">
        <v>45</v>
      </c>
      <c r="T1511" s="11" t="s">
        <v>44</v>
      </c>
      <c r="U1511" s="11" t="s">
        <v>44</v>
      </c>
      <c r="W1511" s="11" t="s">
        <v>46</v>
      </c>
      <c r="X1511" s="269" t="s">
        <v>67</v>
      </c>
      <c r="Y1511" s="11" t="s">
        <v>68</v>
      </c>
      <c r="Z1511" s="11">
        <v>81988110275</v>
      </c>
      <c r="AA1511" s="11" t="s">
        <v>4088</v>
      </c>
      <c r="AB1511" s="11"/>
      <c r="AC1511" s="11"/>
      <c r="AD1511" s="11" t="b">
        <v>0</v>
      </c>
    </row>
    <row r="1512" ht="12.5" spans="1:32">
      <c r="A1512" s="177">
        <v>45428.7122976389</v>
      </c>
      <c r="B1512" s="11" t="s">
        <v>4703</v>
      </c>
      <c r="C1512" s="19">
        <v>11839451408</v>
      </c>
      <c r="D1512" s="11">
        <v>700405154886950</v>
      </c>
      <c r="E1512" s="18" t="s">
        <v>4756</v>
      </c>
      <c r="F1512" s="11" t="s">
        <v>40</v>
      </c>
      <c r="G1512" s="11" t="s">
        <v>54</v>
      </c>
      <c r="H1512" s="24">
        <v>35634</v>
      </c>
      <c r="I1512" s="284" t="s">
        <v>4705</v>
      </c>
      <c r="J1512" s="11" t="s">
        <v>42</v>
      </c>
      <c r="K1512" s="11" t="s">
        <v>4706</v>
      </c>
      <c r="N1512" s="11" t="s">
        <v>95</v>
      </c>
      <c r="O1512" s="11" t="s">
        <v>44</v>
      </c>
      <c r="P1512" s="11" t="s">
        <v>44</v>
      </c>
      <c r="Q1512" s="11" t="s">
        <v>45</v>
      </c>
      <c r="R1512" s="11" t="s">
        <v>45</v>
      </c>
      <c r="S1512" s="11" t="s">
        <v>45</v>
      </c>
      <c r="T1512" s="11" t="s">
        <v>4348</v>
      </c>
      <c r="U1512" s="11" t="s">
        <v>45</v>
      </c>
      <c r="V1512" s="24">
        <v>45433</v>
      </c>
      <c r="W1512" s="11" t="s">
        <v>46</v>
      </c>
      <c r="X1512" s="11" t="s">
        <v>97</v>
      </c>
      <c r="Y1512" s="11" t="s">
        <v>97</v>
      </c>
      <c r="Z1512" s="11">
        <v>81994773016</v>
      </c>
      <c r="AA1512" s="11" t="s">
        <v>91</v>
      </c>
      <c r="AB1512" s="11" t="s">
        <v>49</v>
      </c>
      <c r="AC1512" s="11" t="s">
        <v>4117</v>
      </c>
      <c r="AD1512" s="11" t="b">
        <v>1</v>
      </c>
      <c r="AE1512" s="11" t="s">
        <v>137</v>
      </c>
      <c r="AF1512" s="63" t="s">
        <v>4757</v>
      </c>
    </row>
    <row r="1513" ht="12.5" spans="1:33">
      <c r="A1513" s="177">
        <v>45428.7852720949</v>
      </c>
      <c r="B1513" s="11" t="s">
        <v>4758</v>
      </c>
      <c r="C1513" s="19">
        <v>11846531438</v>
      </c>
      <c r="D1513" s="11">
        <v>700009110525402</v>
      </c>
      <c r="E1513" s="18" t="s">
        <v>4759</v>
      </c>
      <c r="F1513" s="11" t="s">
        <v>40</v>
      </c>
      <c r="G1513" s="11" t="s">
        <v>54</v>
      </c>
      <c r="H1513" s="24">
        <v>35583</v>
      </c>
      <c r="I1513" s="284" t="s">
        <v>4760</v>
      </c>
      <c r="J1513" s="11" t="s">
        <v>42</v>
      </c>
      <c r="K1513" s="11" t="s">
        <v>202</v>
      </c>
      <c r="N1513" s="11" t="s">
        <v>43</v>
      </c>
      <c r="O1513" s="11" t="s">
        <v>44</v>
      </c>
      <c r="P1513" s="11" t="s">
        <v>44</v>
      </c>
      <c r="Q1513" s="11" t="s">
        <v>44</v>
      </c>
      <c r="R1513" s="11" t="s">
        <v>45</v>
      </c>
      <c r="S1513" s="11" t="s">
        <v>45</v>
      </c>
      <c r="T1513" s="11" t="s">
        <v>44</v>
      </c>
      <c r="U1513" s="11" t="s">
        <v>45</v>
      </c>
      <c r="V1513" s="24">
        <v>45429</v>
      </c>
      <c r="W1513" s="11" t="s">
        <v>46</v>
      </c>
      <c r="X1513" s="11" t="s">
        <v>203</v>
      </c>
      <c r="Y1513" s="11" t="s">
        <v>68</v>
      </c>
      <c r="Z1513" s="11">
        <v>81999905898</v>
      </c>
      <c r="AA1513" s="11" t="s">
        <v>3919</v>
      </c>
      <c r="AB1513" s="11" t="s">
        <v>49</v>
      </c>
      <c r="AC1513" s="11" t="s">
        <v>92</v>
      </c>
      <c r="AD1513" s="11" t="b">
        <v>0</v>
      </c>
      <c r="AF1513" s="11" t="s">
        <v>4761</v>
      </c>
      <c r="AG1513" s="11"/>
    </row>
    <row r="1514" ht="12.5" spans="1:32">
      <c r="A1514" s="177">
        <v>45429.3855257755</v>
      </c>
      <c r="B1514" s="11" t="s">
        <v>4751</v>
      </c>
      <c r="C1514" s="277" t="s">
        <v>4752</v>
      </c>
      <c r="D1514" s="11">
        <v>703608091797331</v>
      </c>
      <c r="E1514" s="18" t="s">
        <v>4762</v>
      </c>
      <c r="F1514" s="11" t="s">
        <v>40</v>
      </c>
      <c r="G1514" s="11" t="s">
        <v>54</v>
      </c>
      <c r="H1514" s="24">
        <v>33617</v>
      </c>
      <c r="I1514" s="284" t="s">
        <v>2056</v>
      </c>
      <c r="J1514" s="11" t="s">
        <v>42</v>
      </c>
      <c r="K1514" s="11" t="s">
        <v>4763</v>
      </c>
      <c r="N1514" s="11" t="s">
        <v>43</v>
      </c>
      <c r="O1514" s="11" t="s">
        <v>44</v>
      </c>
      <c r="P1514" s="11" t="s">
        <v>44</v>
      </c>
      <c r="Q1514" s="11" t="s">
        <v>44</v>
      </c>
      <c r="R1514" s="11" t="s">
        <v>45</v>
      </c>
      <c r="S1514" s="11" t="s">
        <v>45</v>
      </c>
      <c r="T1514" s="11" t="s">
        <v>4348</v>
      </c>
      <c r="U1514" s="11" t="s">
        <v>45</v>
      </c>
      <c r="V1514" s="24">
        <v>45430</v>
      </c>
      <c r="W1514" s="11" t="s">
        <v>46</v>
      </c>
      <c r="X1514" s="11" t="s">
        <v>47</v>
      </c>
      <c r="Y1514" s="11" t="s">
        <v>58</v>
      </c>
      <c r="Z1514" s="11">
        <v>81987240226</v>
      </c>
      <c r="AA1514" s="11" t="s">
        <v>91</v>
      </c>
      <c r="AB1514" s="11" t="s">
        <v>98</v>
      </c>
      <c r="AC1514" s="11"/>
      <c r="AD1514" s="11" t="b">
        <v>0</v>
      </c>
      <c r="AF1514" s="11" t="s">
        <v>4764</v>
      </c>
    </row>
    <row r="1515" ht="12.5" spans="1:30">
      <c r="A1515" s="177">
        <v>45429.3973796296</v>
      </c>
      <c r="B1515" s="11" t="s">
        <v>4758</v>
      </c>
      <c r="C1515" s="19">
        <v>11846531438</v>
      </c>
      <c r="D1515" s="11">
        <v>700009110525402</v>
      </c>
      <c r="F1515" s="11" t="s">
        <v>40</v>
      </c>
      <c r="G1515" s="11" t="s">
        <v>54</v>
      </c>
      <c r="H1515" s="24">
        <v>35583</v>
      </c>
      <c r="I1515" s="284" t="s">
        <v>4760</v>
      </c>
      <c r="J1515" s="11" t="s">
        <v>42</v>
      </c>
      <c r="K1515" s="11" t="s">
        <v>202</v>
      </c>
      <c r="N1515" s="11" t="s">
        <v>95</v>
      </c>
      <c r="O1515" s="11" t="s">
        <v>44</v>
      </c>
      <c r="P1515" s="11" t="s">
        <v>44</v>
      </c>
      <c r="Q1515" s="11" t="s">
        <v>44</v>
      </c>
      <c r="R1515" s="11" t="s">
        <v>45</v>
      </c>
      <c r="S1515" s="11" t="s">
        <v>45</v>
      </c>
      <c r="T1515" s="11" t="s">
        <v>44</v>
      </c>
      <c r="U1515" s="11" t="s">
        <v>44</v>
      </c>
      <c r="W1515" s="11" t="s">
        <v>57</v>
      </c>
      <c r="X1515" s="11" t="s">
        <v>97</v>
      </c>
      <c r="Y1515" s="11" t="s">
        <v>97</v>
      </c>
      <c r="Z1515" s="11">
        <v>81999905898</v>
      </c>
      <c r="AA1515" s="11" t="s">
        <v>91</v>
      </c>
      <c r="AB1515" s="11"/>
      <c r="AC1515" s="11"/>
      <c r="AD1515" s="11" t="b">
        <v>0</v>
      </c>
    </row>
    <row r="1516" ht="12.5" spans="1:30">
      <c r="A1516" s="177">
        <v>45429.4160440972</v>
      </c>
      <c r="B1516" s="11" t="s">
        <v>4640</v>
      </c>
      <c r="C1516" s="277" t="s">
        <v>4641</v>
      </c>
      <c r="D1516" s="11">
        <v>708601053636584</v>
      </c>
      <c r="E1516" s="18" t="s">
        <v>4765</v>
      </c>
      <c r="F1516" s="11" t="s">
        <v>40</v>
      </c>
      <c r="G1516" s="11" t="s">
        <v>54</v>
      </c>
      <c r="H1516" s="24">
        <v>32625</v>
      </c>
      <c r="I1516" s="284" t="s">
        <v>4643</v>
      </c>
      <c r="J1516" s="11" t="s">
        <v>42</v>
      </c>
      <c r="K1516" s="11" t="s">
        <v>2074</v>
      </c>
      <c r="N1516" s="11" t="s">
        <v>43</v>
      </c>
      <c r="O1516" s="11" t="s">
        <v>44</v>
      </c>
      <c r="P1516" s="11" t="s">
        <v>44</v>
      </c>
      <c r="Q1516" s="11" t="s">
        <v>45</v>
      </c>
      <c r="R1516" s="11" t="s">
        <v>45</v>
      </c>
      <c r="S1516" s="11" t="s">
        <v>83</v>
      </c>
      <c r="T1516" s="11" t="s">
        <v>44</v>
      </c>
      <c r="U1516" s="11" t="s">
        <v>44</v>
      </c>
      <c r="W1516" s="11" t="s">
        <v>46</v>
      </c>
      <c r="X1516" s="11" t="s">
        <v>47</v>
      </c>
      <c r="Y1516" s="11" t="s">
        <v>58</v>
      </c>
      <c r="Z1516" s="11">
        <v>81985550457</v>
      </c>
      <c r="AA1516" s="11" t="s">
        <v>103</v>
      </c>
      <c r="AB1516" s="11"/>
      <c r="AC1516" s="11"/>
      <c r="AD1516" s="11" t="b">
        <v>0</v>
      </c>
    </row>
    <row r="1517" ht="12.5" spans="1:34">
      <c r="A1517" s="177">
        <v>45429.4930548032</v>
      </c>
      <c r="B1517" s="11" t="s">
        <v>4552</v>
      </c>
      <c r="C1517" s="19">
        <v>16530557741</v>
      </c>
      <c r="D1517" s="11">
        <v>700401493992148</v>
      </c>
      <c r="E1517" s="18" t="s">
        <v>4766</v>
      </c>
      <c r="F1517" s="11" t="s">
        <v>40</v>
      </c>
      <c r="G1517" s="11" t="s">
        <v>41</v>
      </c>
      <c r="H1517" s="24">
        <v>34177</v>
      </c>
      <c r="I1517" s="284" t="s">
        <v>3800</v>
      </c>
      <c r="J1517" s="11" t="s">
        <v>42</v>
      </c>
      <c r="K1517" s="11" t="s">
        <v>202</v>
      </c>
      <c r="N1517" s="11" t="s">
        <v>43</v>
      </c>
      <c r="O1517" s="11" t="s">
        <v>44</v>
      </c>
      <c r="P1517" s="11" t="s">
        <v>44</v>
      </c>
      <c r="Q1517" s="11" t="s">
        <v>45</v>
      </c>
      <c r="R1517" s="11" t="s">
        <v>45</v>
      </c>
      <c r="S1517" s="11" t="s">
        <v>44</v>
      </c>
      <c r="T1517" s="11" t="s">
        <v>44</v>
      </c>
      <c r="U1517" s="11" t="s">
        <v>45</v>
      </c>
      <c r="V1517" s="24">
        <v>45429</v>
      </c>
      <c r="W1517" s="11" t="s">
        <v>46</v>
      </c>
      <c r="X1517" s="11" t="s">
        <v>47</v>
      </c>
      <c r="Y1517" s="11" t="s">
        <v>58</v>
      </c>
      <c r="Z1517" s="11">
        <v>81994149250</v>
      </c>
      <c r="AA1517" s="11" t="s">
        <v>1360</v>
      </c>
      <c r="AB1517" s="11" t="s">
        <v>49</v>
      </c>
      <c r="AC1517" s="11" t="s">
        <v>256</v>
      </c>
      <c r="AD1517" s="11" t="b">
        <v>1</v>
      </c>
      <c r="AE1517" s="11" t="s">
        <v>137</v>
      </c>
      <c r="AF1517" s="11" t="s">
        <v>4767</v>
      </c>
      <c r="AH1517" s="11" t="s">
        <v>4768</v>
      </c>
    </row>
    <row r="1518" ht="12.5" spans="1:30">
      <c r="A1518" s="177">
        <v>45429.5705253125</v>
      </c>
      <c r="B1518" s="11" t="s">
        <v>4769</v>
      </c>
      <c r="C1518" s="19">
        <v>15905956456</v>
      </c>
      <c r="D1518" s="11">
        <v>898005802359767</v>
      </c>
      <c r="E1518" s="18" t="s">
        <v>4770</v>
      </c>
      <c r="F1518" s="11" t="s">
        <v>225</v>
      </c>
      <c r="G1518" s="11" t="s">
        <v>54</v>
      </c>
      <c r="H1518" s="24">
        <v>36325</v>
      </c>
      <c r="I1518" s="11" t="s">
        <v>448</v>
      </c>
      <c r="J1518" s="11" t="s">
        <v>42</v>
      </c>
      <c r="K1518" s="11" t="s">
        <v>356</v>
      </c>
      <c r="N1518" s="11" t="s">
        <v>43</v>
      </c>
      <c r="O1518" s="11" t="s">
        <v>44</v>
      </c>
      <c r="P1518" s="11" t="s">
        <v>44</v>
      </c>
      <c r="Q1518" s="11" t="s">
        <v>44</v>
      </c>
      <c r="R1518" s="11" t="s">
        <v>45</v>
      </c>
      <c r="S1518" s="11" t="s">
        <v>45</v>
      </c>
      <c r="T1518" s="11" t="s">
        <v>44</v>
      </c>
      <c r="U1518" s="11" t="s">
        <v>44</v>
      </c>
      <c r="W1518" s="11" t="s">
        <v>46</v>
      </c>
      <c r="X1518" s="11" t="s">
        <v>47</v>
      </c>
      <c r="Y1518" s="11" t="s">
        <v>58</v>
      </c>
      <c r="Z1518" s="11">
        <v>81997506104</v>
      </c>
      <c r="AA1518" s="11" t="s">
        <v>4003</v>
      </c>
      <c r="AB1518" s="11"/>
      <c r="AC1518" s="11"/>
      <c r="AD1518" s="11" t="b">
        <v>0</v>
      </c>
    </row>
    <row r="1519" ht="12.5" spans="1:33">
      <c r="A1519" s="177">
        <v>45429.6624228357</v>
      </c>
      <c r="B1519" s="11" t="s">
        <v>4666</v>
      </c>
      <c r="C1519" s="19">
        <v>71353539431</v>
      </c>
      <c r="D1519" s="11">
        <v>700504753126951</v>
      </c>
      <c r="E1519" s="18" t="s">
        <v>4771</v>
      </c>
      <c r="F1519" s="11" t="s">
        <v>40</v>
      </c>
      <c r="G1519" s="11" t="s">
        <v>54</v>
      </c>
      <c r="H1519" s="24">
        <v>37246</v>
      </c>
      <c r="I1519" s="268">
        <v>45316</v>
      </c>
      <c r="J1519" s="11" t="s">
        <v>42</v>
      </c>
      <c r="K1519" s="11" t="s">
        <v>4772</v>
      </c>
      <c r="N1519" s="11" t="s">
        <v>43</v>
      </c>
      <c r="O1519" s="11" t="s">
        <v>44</v>
      </c>
      <c r="P1519" s="11" t="s">
        <v>56</v>
      </c>
      <c r="Q1519" s="11" t="s">
        <v>45</v>
      </c>
      <c r="R1519" s="11" t="s">
        <v>45</v>
      </c>
      <c r="S1519" s="11" t="s">
        <v>83</v>
      </c>
      <c r="T1519" s="11" t="s">
        <v>44</v>
      </c>
      <c r="U1519" s="11" t="s">
        <v>45</v>
      </c>
      <c r="V1519" s="24">
        <v>45433</v>
      </c>
      <c r="W1519" s="11" t="s">
        <v>46</v>
      </c>
      <c r="X1519" s="11" t="s">
        <v>47</v>
      </c>
      <c r="Y1519" s="11" t="s">
        <v>58</v>
      </c>
      <c r="Z1519" s="11">
        <v>81997467123</v>
      </c>
      <c r="AA1519" s="11" t="s">
        <v>91</v>
      </c>
      <c r="AB1519" s="11" t="s">
        <v>98</v>
      </c>
      <c r="AC1519" s="11"/>
      <c r="AD1519" s="11" t="b">
        <v>0</v>
      </c>
      <c r="AF1519" s="11" t="s">
        <v>4773</v>
      </c>
      <c r="AG1519" s="11" t="s">
        <v>4774</v>
      </c>
    </row>
    <row r="1520" ht="12.5" spans="1:34">
      <c r="A1520" s="177">
        <v>45429.6906593866</v>
      </c>
      <c r="B1520" s="11" t="s">
        <v>4552</v>
      </c>
      <c r="C1520" s="19">
        <v>16530557741</v>
      </c>
      <c r="D1520" s="11">
        <v>700401493992148</v>
      </c>
      <c r="F1520" s="11" t="s">
        <v>40</v>
      </c>
      <c r="G1520" s="11" t="s">
        <v>41</v>
      </c>
      <c r="H1520" s="24">
        <v>34177</v>
      </c>
      <c r="I1520" s="284" t="s">
        <v>3800</v>
      </c>
      <c r="J1520" s="11" t="s">
        <v>42</v>
      </c>
      <c r="K1520" s="11" t="s">
        <v>202</v>
      </c>
      <c r="N1520" s="11" t="s">
        <v>95</v>
      </c>
      <c r="O1520" s="11" t="s">
        <v>44</v>
      </c>
      <c r="P1520" s="11" t="s">
        <v>44</v>
      </c>
      <c r="Q1520" s="11" t="s">
        <v>45</v>
      </c>
      <c r="R1520" s="11" t="s">
        <v>45</v>
      </c>
      <c r="S1520" s="11" t="s">
        <v>45</v>
      </c>
      <c r="T1520" s="11" t="s">
        <v>44</v>
      </c>
      <c r="U1520" s="11" t="s">
        <v>45</v>
      </c>
      <c r="V1520" s="24">
        <v>45430</v>
      </c>
      <c r="W1520" s="11" t="s">
        <v>57</v>
      </c>
      <c r="X1520" s="11" t="s">
        <v>97</v>
      </c>
      <c r="Y1520" s="11" t="s">
        <v>97</v>
      </c>
      <c r="Z1520" s="11">
        <v>81994149250</v>
      </c>
      <c r="AA1520" s="11" t="s">
        <v>1360</v>
      </c>
      <c r="AB1520" s="11" t="s">
        <v>49</v>
      </c>
      <c r="AC1520" s="11" t="s">
        <v>50</v>
      </c>
      <c r="AD1520" s="11" t="b">
        <v>0</v>
      </c>
      <c r="AF1520" s="11" t="s">
        <v>4775</v>
      </c>
      <c r="AH1520" s="11" t="s">
        <v>4776</v>
      </c>
    </row>
    <row r="1521" ht="12.5" spans="1:32">
      <c r="A1521" s="177">
        <v>45429.7563174769</v>
      </c>
      <c r="B1521" s="11" t="s">
        <v>4777</v>
      </c>
      <c r="C1521" s="277" t="s">
        <v>4778</v>
      </c>
      <c r="D1521" s="11">
        <v>702501342073335</v>
      </c>
      <c r="E1521" s="18" t="s">
        <v>4779</v>
      </c>
      <c r="F1521" s="11" t="s">
        <v>40</v>
      </c>
      <c r="G1521" s="11" t="s">
        <v>54</v>
      </c>
      <c r="H1521" s="24">
        <v>29663</v>
      </c>
      <c r="I1521" s="284" t="s">
        <v>4780</v>
      </c>
      <c r="J1521" s="11" t="s">
        <v>42</v>
      </c>
      <c r="K1521" s="11" t="s">
        <v>202</v>
      </c>
      <c r="N1521" s="11" t="s">
        <v>43</v>
      </c>
      <c r="O1521" s="11" t="s">
        <v>44</v>
      </c>
      <c r="P1521" s="11" t="s">
        <v>44</v>
      </c>
      <c r="Q1521" s="11" t="s">
        <v>45</v>
      </c>
      <c r="R1521" s="11" t="s">
        <v>45</v>
      </c>
      <c r="S1521" s="11" t="s">
        <v>45</v>
      </c>
      <c r="T1521" s="11" t="s">
        <v>44</v>
      </c>
      <c r="U1521" s="11" t="s">
        <v>45</v>
      </c>
      <c r="V1521" s="24">
        <v>45430</v>
      </c>
      <c r="W1521" s="11" t="s">
        <v>46</v>
      </c>
      <c r="X1521" s="11" t="s">
        <v>203</v>
      </c>
      <c r="Y1521" s="11" t="s">
        <v>58</v>
      </c>
      <c r="Z1521" s="11">
        <v>81995970031</v>
      </c>
      <c r="AA1521" s="11" t="s">
        <v>1360</v>
      </c>
      <c r="AB1521" s="11" t="s">
        <v>49</v>
      </c>
      <c r="AC1521" s="11" t="s">
        <v>50</v>
      </c>
      <c r="AD1521" s="11" t="b">
        <v>0</v>
      </c>
      <c r="AF1521" s="214" t="s">
        <v>4781</v>
      </c>
    </row>
    <row r="1522" ht="12.5" spans="1:32">
      <c r="A1522" s="177">
        <v>45430.4718803009</v>
      </c>
      <c r="B1522" s="11" t="s">
        <v>4782</v>
      </c>
      <c r="C1522" s="19">
        <v>71188326422</v>
      </c>
      <c r="D1522" s="11">
        <v>706205536217560</v>
      </c>
      <c r="E1522" s="18" t="s">
        <v>4783</v>
      </c>
      <c r="F1522" s="11" t="s">
        <v>40</v>
      </c>
      <c r="G1522" s="11" t="s">
        <v>54</v>
      </c>
      <c r="H1522" s="24">
        <v>36236</v>
      </c>
      <c r="I1522" s="284" t="s">
        <v>4784</v>
      </c>
      <c r="J1522" s="11" t="s">
        <v>42</v>
      </c>
      <c r="K1522" s="11" t="s">
        <v>202</v>
      </c>
      <c r="N1522" s="11" t="s">
        <v>43</v>
      </c>
      <c r="O1522" s="11" t="s">
        <v>44</v>
      </c>
      <c r="P1522" s="11" t="s">
        <v>44</v>
      </c>
      <c r="Q1522" s="11" t="s">
        <v>44</v>
      </c>
      <c r="R1522" s="11" t="s">
        <v>45</v>
      </c>
      <c r="S1522" s="11" t="s">
        <v>45</v>
      </c>
      <c r="T1522" s="11" t="s">
        <v>44</v>
      </c>
      <c r="U1522" s="11" t="s">
        <v>45</v>
      </c>
      <c r="V1522" s="24">
        <v>45430</v>
      </c>
      <c r="W1522" s="11" t="s">
        <v>46</v>
      </c>
      <c r="X1522" s="11" t="s">
        <v>303</v>
      </c>
      <c r="Y1522" s="11" t="s">
        <v>58</v>
      </c>
      <c r="Z1522" s="11">
        <v>81988384210</v>
      </c>
      <c r="AA1522" s="11" t="s">
        <v>115</v>
      </c>
      <c r="AB1522" s="11" t="s">
        <v>49</v>
      </c>
      <c r="AC1522" s="11" t="s">
        <v>50</v>
      </c>
      <c r="AD1522" s="11" t="b">
        <v>0</v>
      </c>
      <c r="AF1522" s="11" t="s">
        <v>4785</v>
      </c>
    </row>
    <row r="1523" ht="12.5" spans="1:32">
      <c r="A1523" s="177">
        <v>45430.5030332986</v>
      </c>
      <c r="B1523" s="11" t="s">
        <v>4552</v>
      </c>
      <c r="C1523" s="19">
        <v>16530557741</v>
      </c>
      <c r="D1523" s="11">
        <v>700401493992148</v>
      </c>
      <c r="F1523" s="11" t="s">
        <v>40</v>
      </c>
      <c r="G1523" s="11" t="s">
        <v>41</v>
      </c>
      <c r="H1523" s="24">
        <v>34177</v>
      </c>
      <c r="I1523" s="284" t="s">
        <v>3800</v>
      </c>
      <c r="J1523" s="11" t="s">
        <v>42</v>
      </c>
      <c r="K1523" s="11" t="s">
        <v>202</v>
      </c>
      <c r="N1523" s="11" t="s">
        <v>95</v>
      </c>
      <c r="O1523" s="11" t="s">
        <v>44</v>
      </c>
      <c r="P1523" s="11" t="s">
        <v>44</v>
      </c>
      <c r="Q1523" s="11" t="s">
        <v>44</v>
      </c>
      <c r="R1523" s="11" t="s">
        <v>45</v>
      </c>
      <c r="S1523" s="11" t="s">
        <v>45</v>
      </c>
      <c r="T1523" s="11" t="s">
        <v>44</v>
      </c>
      <c r="U1523" s="11" t="s">
        <v>45</v>
      </c>
      <c r="V1523" s="24">
        <v>45432</v>
      </c>
      <c r="W1523" s="11" t="s">
        <v>57</v>
      </c>
      <c r="X1523" s="11" t="s">
        <v>97</v>
      </c>
      <c r="Y1523" s="11" t="s">
        <v>97</v>
      </c>
      <c r="Z1523" s="11">
        <v>81994149250</v>
      </c>
      <c r="AA1523" s="11" t="s">
        <v>115</v>
      </c>
      <c r="AB1523" s="11" t="s">
        <v>49</v>
      </c>
      <c r="AC1523" s="11" t="s">
        <v>106</v>
      </c>
      <c r="AD1523" s="11" t="b">
        <v>1</v>
      </c>
      <c r="AE1523" s="11" t="s">
        <v>137</v>
      </c>
      <c r="AF1523" s="11" t="s">
        <v>4786</v>
      </c>
    </row>
    <row r="1524" ht="12.5" spans="1:33">
      <c r="A1524" s="177">
        <v>45430.5367798264</v>
      </c>
      <c r="B1524" s="11" t="s">
        <v>4787</v>
      </c>
      <c r="C1524" s="19">
        <v>11317277465</v>
      </c>
      <c r="D1524" s="11">
        <v>708400798413766</v>
      </c>
      <c r="E1524" s="18" t="s">
        <v>4788</v>
      </c>
      <c r="F1524" s="11" t="s">
        <v>225</v>
      </c>
      <c r="G1524" s="11" t="s">
        <v>54</v>
      </c>
      <c r="H1524" s="24">
        <v>34825</v>
      </c>
      <c r="I1524" s="284" t="s">
        <v>2633</v>
      </c>
      <c r="J1524" s="11" t="s">
        <v>42</v>
      </c>
      <c r="K1524" s="11" t="s">
        <v>63</v>
      </c>
      <c r="N1524" s="11" t="s">
        <v>43</v>
      </c>
      <c r="O1524" s="11" t="s">
        <v>65</v>
      </c>
      <c r="P1524" s="11" t="s">
        <v>66</v>
      </c>
      <c r="Q1524" s="11" t="s">
        <v>45</v>
      </c>
      <c r="R1524" s="11" t="s">
        <v>45</v>
      </c>
      <c r="S1524" s="11" t="s">
        <v>45</v>
      </c>
      <c r="T1524" s="11" t="s">
        <v>4348</v>
      </c>
      <c r="U1524" s="11" t="s">
        <v>45</v>
      </c>
      <c r="V1524" s="24">
        <v>45431</v>
      </c>
      <c r="W1524" s="11" t="s">
        <v>46</v>
      </c>
      <c r="X1524" s="11" t="s">
        <v>303</v>
      </c>
      <c r="Y1524" s="11" t="s">
        <v>58</v>
      </c>
      <c r="Z1524" s="11">
        <v>81995637510</v>
      </c>
      <c r="AA1524" s="11" t="s">
        <v>115</v>
      </c>
      <c r="AB1524" s="11" t="s">
        <v>98</v>
      </c>
      <c r="AC1524" s="11"/>
      <c r="AD1524" s="11" t="b">
        <v>0</v>
      </c>
      <c r="AF1524" s="11" t="s">
        <v>4789</v>
      </c>
      <c r="AG1524" s="11" t="s">
        <v>4790</v>
      </c>
    </row>
    <row r="1525" ht="12.5" spans="1:33">
      <c r="A1525" s="177">
        <v>45430.5570871065</v>
      </c>
      <c r="B1525" s="11" t="s">
        <v>4782</v>
      </c>
      <c r="C1525" s="19">
        <v>71188326422</v>
      </c>
      <c r="D1525" s="11">
        <v>706205536217560</v>
      </c>
      <c r="E1525" s="18" t="s">
        <v>4783</v>
      </c>
      <c r="F1525" s="11" t="s">
        <v>40</v>
      </c>
      <c r="G1525" s="11" t="s">
        <v>54</v>
      </c>
      <c r="H1525" s="24">
        <v>36236</v>
      </c>
      <c r="I1525" s="284" t="s">
        <v>4784</v>
      </c>
      <c r="J1525" s="11" t="s">
        <v>42</v>
      </c>
      <c r="K1525" s="11" t="s">
        <v>202</v>
      </c>
      <c r="N1525" s="11" t="s">
        <v>95</v>
      </c>
      <c r="O1525" s="11" t="s">
        <v>96</v>
      </c>
      <c r="P1525" s="11" t="s">
        <v>66</v>
      </c>
      <c r="Q1525" s="11" t="s">
        <v>44</v>
      </c>
      <c r="R1525" s="11" t="s">
        <v>45</v>
      </c>
      <c r="S1525" s="11" t="s">
        <v>45</v>
      </c>
      <c r="T1525" s="11" t="s">
        <v>44</v>
      </c>
      <c r="U1525" s="11" t="s">
        <v>45</v>
      </c>
      <c r="V1525" s="24">
        <v>45431</v>
      </c>
      <c r="W1525" s="11" t="s">
        <v>46</v>
      </c>
      <c r="X1525" s="11" t="s">
        <v>97</v>
      </c>
      <c r="Y1525" s="11" t="s">
        <v>97</v>
      </c>
      <c r="Z1525" s="11">
        <v>81988384210</v>
      </c>
      <c r="AA1525" s="11" t="s">
        <v>115</v>
      </c>
      <c r="AB1525" s="11" t="s">
        <v>98</v>
      </c>
      <c r="AC1525" s="11"/>
      <c r="AD1525" s="11" t="b">
        <v>0</v>
      </c>
      <c r="AF1525" s="11" t="s">
        <v>4791</v>
      </c>
      <c r="AG1525" s="11" t="s">
        <v>4792</v>
      </c>
    </row>
    <row r="1526" ht="12.5" spans="1:30">
      <c r="A1526" s="177">
        <v>45430.5786615162</v>
      </c>
      <c r="B1526" s="11" t="s">
        <v>4777</v>
      </c>
      <c r="C1526" s="277" t="s">
        <v>4778</v>
      </c>
      <c r="D1526" s="11">
        <v>702501342073335</v>
      </c>
      <c r="F1526" s="11" t="s">
        <v>40</v>
      </c>
      <c r="G1526" s="11" t="s">
        <v>54</v>
      </c>
      <c r="H1526" s="24">
        <v>29663</v>
      </c>
      <c r="I1526" s="284" t="s">
        <v>4793</v>
      </c>
      <c r="J1526" s="11" t="s">
        <v>42</v>
      </c>
      <c r="K1526" s="11" t="s">
        <v>202</v>
      </c>
      <c r="N1526" s="11" t="s">
        <v>95</v>
      </c>
      <c r="O1526" s="11" t="s">
        <v>127</v>
      </c>
      <c r="P1526" s="11" t="s">
        <v>44</v>
      </c>
      <c r="Q1526" s="11" t="s">
        <v>44</v>
      </c>
      <c r="R1526" s="11" t="s">
        <v>45</v>
      </c>
      <c r="S1526" s="11" t="s">
        <v>45</v>
      </c>
      <c r="T1526" s="11" t="s">
        <v>44</v>
      </c>
      <c r="U1526" s="11" t="s">
        <v>44</v>
      </c>
      <c r="W1526" s="11" t="s">
        <v>57</v>
      </c>
      <c r="X1526" s="11" t="s">
        <v>97</v>
      </c>
      <c r="Y1526" s="11" t="s">
        <v>97</v>
      </c>
      <c r="Z1526" s="11">
        <v>81995970031</v>
      </c>
      <c r="AA1526" s="11" t="s">
        <v>115</v>
      </c>
      <c r="AB1526" s="11"/>
      <c r="AC1526" s="11"/>
      <c r="AD1526" s="11" t="b">
        <v>0</v>
      </c>
    </row>
    <row r="1527" ht="12.5" spans="1:30">
      <c r="A1527" s="177">
        <v>45432.3974023032</v>
      </c>
      <c r="B1527" s="11" t="s">
        <v>4552</v>
      </c>
      <c r="C1527" s="19">
        <v>16530557741</v>
      </c>
      <c r="D1527" s="11">
        <v>700401493992148</v>
      </c>
      <c r="E1527" s="18" t="s">
        <v>4794</v>
      </c>
      <c r="F1527" s="11" t="s">
        <v>40</v>
      </c>
      <c r="G1527" s="11" t="s">
        <v>41</v>
      </c>
      <c r="H1527" s="24">
        <v>34177</v>
      </c>
      <c r="I1527" s="284" t="s">
        <v>3800</v>
      </c>
      <c r="J1527" s="11" t="s">
        <v>42</v>
      </c>
      <c r="K1527" s="11" t="s">
        <v>202</v>
      </c>
      <c r="N1527" s="11" t="s">
        <v>95</v>
      </c>
      <c r="O1527" s="11" t="s">
        <v>44</v>
      </c>
      <c r="P1527" s="11" t="s">
        <v>44</v>
      </c>
      <c r="Q1527" s="11" t="s">
        <v>45</v>
      </c>
      <c r="R1527" s="11" t="s">
        <v>45</v>
      </c>
      <c r="S1527" s="11" t="s">
        <v>83</v>
      </c>
      <c r="T1527" s="11" t="s">
        <v>44</v>
      </c>
      <c r="U1527" s="11" t="s">
        <v>44</v>
      </c>
      <c r="W1527" s="11" t="s">
        <v>46</v>
      </c>
      <c r="X1527" s="11" t="s">
        <v>97</v>
      </c>
      <c r="Y1527" s="11" t="s">
        <v>97</v>
      </c>
      <c r="Z1527" s="11">
        <v>81994149250</v>
      </c>
      <c r="AA1527" s="11" t="s">
        <v>103</v>
      </c>
      <c r="AB1527" s="11"/>
      <c r="AC1527" s="11"/>
      <c r="AD1527" s="11" t="b">
        <v>0</v>
      </c>
    </row>
    <row r="1528" ht="12.5" spans="1:34">
      <c r="A1528" s="177">
        <v>45432.4144178009</v>
      </c>
      <c r="B1528" s="11" t="s">
        <v>2990</v>
      </c>
      <c r="C1528" s="19">
        <v>70482917458</v>
      </c>
      <c r="D1528" s="11">
        <v>708700168884694</v>
      </c>
      <c r="E1528" s="18" t="s">
        <v>4795</v>
      </c>
      <c r="F1528" s="11" t="s">
        <v>40</v>
      </c>
      <c r="G1528" s="11" t="s">
        <v>41</v>
      </c>
      <c r="H1528" s="24">
        <v>36040</v>
      </c>
      <c r="I1528" s="284" t="s">
        <v>2992</v>
      </c>
      <c r="J1528" s="11" t="s">
        <v>42</v>
      </c>
      <c r="K1528" s="11" t="s">
        <v>777</v>
      </c>
      <c r="N1528" s="11" t="s">
        <v>43</v>
      </c>
      <c r="O1528" s="11" t="s">
        <v>96</v>
      </c>
      <c r="P1528" s="11" t="s">
        <v>66</v>
      </c>
      <c r="Q1528" s="11" t="s">
        <v>45</v>
      </c>
      <c r="R1528" s="11" t="s">
        <v>45</v>
      </c>
      <c r="S1528" s="11" t="s">
        <v>45</v>
      </c>
      <c r="T1528" s="11" t="s">
        <v>44</v>
      </c>
      <c r="U1528" s="11" t="s">
        <v>45</v>
      </c>
      <c r="V1528" s="24">
        <v>45432</v>
      </c>
      <c r="W1528" s="11" t="s">
        <v>46</v>
      </c>
      <c r="X1528" s="11" t="s">
        <v>47</v>
      </c>
      <c r="Y1528" s="11" t="s">
        <v>58</v>
      </c>
      <c r="Z1528" s="11">
        <v>81988110275</v>
      </c>
      <c r="AA1528" s="11" t="s">
        <v>1360</v>
      </c>
      <c r="AB1528" s="11" t="s">
        <v>49</v>
      </c>
      <c r="AC1528" s="11" t="s">
        <v>256</v>
      </c>
      <c r="AD1528" s="11" t="b">
        <v>0</v>
      </c>
      <c r="AF1528" s="11" t="s">
        <v>4796</v>
      </c>
      <c r="AH1528" s="11" t="s">
        <v>4797</v>
      </c>
    </row>
    <row r="1529" ht="12.5" spans="1:30">
      <c r="A1529" s="177">
        <v>45432.4573318866</v>
      </c>
      <c r="B1529" s="11" t="s">
        <v>4798</v>
      </c>
      <c r="C1529" s="277" t="s">
        <v>4799</v>
      </c>
      <c r="D1529" s="19">
        <v>700505976434150</v>
      </c>
      <c r="E1529" s="18" t="s">
        <v>4800</v>
      </c>
      <c r="F1529" s="11" t="s">
        <v>225</v>
      </c>
      <c r="G1529" s="11" t="s">
        <v>41</v>
      </c>
      <c r="H1529" s="24">
        <v>32458</v>
      </c>
      <c r="I1529" s="284" t="s">
        <v>4801</v>
      </c>
      <c r="J1529" s="11" t="s">
        <v>42</v>
      </c>
      <c r="K1529" s="11" t="s">
        <v>155</v>
      </c>
      <c r="N1529" s="11" t="s">
        <v>43</v>
      </c>
      <c r="O1529" s="11" t="s">
        <v>44</v>
      </c>
      <c r="P1529" s="11" t="s">
        <v>44</v>
      </c>
      <c r="Q1529" s="11" t="s">
        <v>44</v>
      </c>
      <c r="R1529" s="11" t="s">
        <v>45</v>
      </c>
      <c r="S1529" s="11" t="s">
        <v>44</v>
      </c>
      <c r="T1529" s="11" t="s">
        <v>44</v>
      </c>
      <c r="U1529" s="11" t="s">
        <v>44</v>
      </c>
      <c r="W1529" s="11" t="s">
        <v>46</v>
      </c>
      <c r="X1529" s="11" t="s">
        <v>47</v>
      </c>
      <c r="Y1529" s="11" t="s">
        <v>58</v>
      </c>
      <c r="Z1529" s="11">
        <v>81987993158</v>
      </c>
      <c r="AA1529" s="11" t="s">
        <v>4003</v>
      </c>
      <c r="AB1529" s="11"/>
      <c r="AC1529" s="11"/>
      <c r="AD1529" s="11" t="b">
        <v>0</v>
      </c>
    </row>
    <row r="1530" ht="12.5" spans="1:33">
      <c r="A1530" s="177">
        <v>45432.5381032176</v>
      </c>
      <c r="B1530" s="11" t="s">
        <v>4666</v>
      </c>
      <c r="C1530" s="19">
        <v>71353539431</v>
      </c>
      <c r="D1530" s="11">
        <v>700504753126951</v>
      </c>
      <c r="E1530" s="18" t="s">
        <v>4802</v>
      </c>
      <c r="F1530" s="11" t="s">
        <v>40</v>
      </c>
      <c r="G1530" s="11" t="s">
        <v>54</v>
      </c>
      <c r="H1530" s="24">
        <v>45647</v>
      </c>
      <c r="I1530" s="284" t="s">
        <v>4668</v>
      </c>
      <c r="J1530" s="11" t="s">
        <v>42</v>
      </c>
      <c r="K1530" s="11" t="s">
        <v>63</v>
      </c>
      <c r="N1530" s="11" t="s">
        <v>43</v>
      </c>
      <c r="O1530" s="11" t="s">
        <v>44</v>
      </c>
      <c r="P1530" s="11" t="s">
        <v>44</v>
      </c>
      <c r="Q1530" s="11" t="s">
        <v>44</v>
      </c>
      <c r="R1530" s="11" t="s">
        <v>45</v>
      </c>
      <c r="S1530" s="11" t="s">
        <v>83</v>
      </c>
      <c r="T1530" s="11" t="s">
        <v>44</v>
      </c>
      <c r="U1530" s="11" t="s">
        <v>45</v>
      </c>
      <c r="V1530" s="24">
        <v>45432</v>
      </c>
      <c r="W1530" s="11" t="s">
        <v>46</v>
      </c>
      <c r="X1530" s="11" t="s">
        <v>47</v>
      </c>
      <c r="Y1530" s="11" t="s">
        <v>58</v>
      </c>
      <c r="Z1530" s="11">
        <v>81997467123</v>
      </c>
      <c r="AA1530" s="11" t="s">
        <v>91</v>
      </c>
      <c r="AB1530" s="11" t="s">
        <v>98</v>
      </c>
      <c r="AC1530" s="11"/>
      <c r="AD1530" s="11" t="b">
        <v>0</v>
      </c>
      <c r="AF1530" s="11" t="s">
        <v>4803</v>
      </c>
      <c r="AG1530" s="11" t="s">
        <v>4804</v>
      </c>
    </row>
    <row r="1531" ht="12.5" spans="1:30">
      <c r="A1531" s="177">
        <v>45432.7233502662</v>
      </c>
      <c r="B1531" s="11" t="s">
        <v>2990</v>
      </c>
      <c r="C1531" s="19">
        <v>70482917458</v>
      </c>
      <c r="D1531" s="11">
        <v>708700168884694</v>
      </c>
      <c r="F1531" s="11" t="s">
        <v>40</v>
      </c>
      <c r="G1531" s="11" t="s">
        <v>41</v>
      </c>
      <c r="H1531" s="24">
        <v>36040</v>
      </c>
      <c r="I1531" s="284" t="s">
        <v>2992</v>
      </c>
      <c r="J1531" s="11" t="s">
        <v>42</v>
      </c>
      <c r="K1531" s="11" t="s">
        <v>777</v>
      </c>
      <c r="N1531" s="11" t="s">
        <v>95</v>
      </c>
      <c r="O1531" s="11" t="s">
        <v>127</v>
      </c>
      <c r="P1531" s="11" t="s">
        <v>44</v>
      </c>
      <c r="Q1531" s="11" t="s">
        <v>45</v>
      </c>
      <c r="R1531" s="11" t="s">
        <v>45</v>
      </c>
      <c r="S1531" s="11" t="s">
        <v>45</v>
      </c>
      <c r="T1531" s="11" t="s">
        <v>44</v>
      </c>
      <c r="U1531" s="11" t="s">
        <v>44</v>
      </c>
      <c r="W1531" s="11" t="s">
        <v>57</v>
      </c>
      <c r="X1531" s="11" t="s">
        <v>97</v>
      </c>
      <c r="Y1531" s="11" t="s">
        <v>97</v>
      </c>
      <c r="Z1531" s="11">
        <v>81988110275</v>
      </c>
      <c r="AA1531" s="11" t="s">
        <v>1360</v>
      </c>
      <c r="AB1531" s="11"/>
      <c r="AC1531" s="11"/>
      <c r="AD1531" s="11" t="b">
        <v>0</v>
      </c>
    </row>
    <row r="1532" ht="12.5" spans="1:30">
      <c r="A1532" s="177">
        <v>45433.3814835301</v>
      </c>
      <c r="B1532" s="11" t="s">
        <v>4805</v>
      </c>
      <c r="C1532" s="19">
        <v>12479929426</v>
      </c>
      <c r="D1532" s="11">
        <v>704209289839282</v>
      </c>
      <c r="E1532" s="18" t="s">
        <v>4806</v>
      </c>
      <c r="F1532" s="11" t="s">
        <v>40</v>
      </c>
      <c r="G1532" s="11" t="s">
        <v>54</v>
      </c>
      <c r="H1532" s="24">
        <v>36222</v>
      </c>
      <c r="I1532" s="284" t="s">
        <v>4807</v>
      </c>
      <c r="J1532" s="11" t="s">
        <v>42</v>
      </c>
      <c r="K1532" s="11" t="s">
        <v>90</v>
      </c>
      <c r="N1532" s="11" t="s">
        <v>43</v>
      </c>
      <c r="O1532" s="11" t="s">
        <v>44</v>
      </c>
      <c r="P1532" s="11" t="s">
        <v>44</v>
      </c>
      <c r="Q1532" s="11" t="s">
        <v>45</v>
      </c>
      <c r="R1532" s="11" t="s">
        <v>45</v>
      </c>
      <c r="S1532" s="11" t="s">
        <v>83</v>
      </c>
      <c r="T1532" s="11" t="s">
        <v>44</v>
      </c>
      <c r="U1532" s="11" t="s">
        <v>44</v>
      </c>
      <c r="W1532" s="11" t="s">
        <v>46</v>
      </c>
      <c r="X1532" s="11" t="s">
        <v>47</v>
      </c>
      <c r="Y1532" s="11" t="s">
        <v>58</v>
      </c>
      <c r="Z1532" s="11">
        <v>81991216312</v>
      </c>
      <c r="AA1532" s="11" t="s">
        <v>103</v>
      </c>
      <c r="AB1532" s="11"/>
      <c r="AC1532" s="11"/>
      <c r="AD1532" s="11" t="b">
        <v>0</v>
      </c>
    </row>
    <row r="1533" ht="12.5" spans="1:30">
      <c r="A1533" s="177">
        <v>45433.5271337847</v>
      </c>
      <c r="B1533" s="11" t="s">
        <v>4808</v>
      </c>
      <c r="C1533" s="277" t="s">
        <v>4809</v>
      </c>
      <c r="D1533" s="11">
        <v>706306794286271</v>
      </c>
      <c r="E1533" s="18" t="s">
        <v>4810</v>
      </c>
      <c r="F1533" s="11" t="s">
        <v>40</v>
      </c>
      <c r="G1533" s="11" t="s">
        <v>88</v>
      </c>
      <c r="H1533" s="24">
        <v>33150</v>
      </c>
      <c r="I1533" s="284" t="s">
        <v>3648</v>
      </c>
      <c r="J1533" s="11" t="s">
        <v>42</v>
      </c>
      <c r="K1533" s="11" t="s">
        <v>4811</v>
      </c>
      <c r="N1533" s="11" t="s">
        <v>43</v>
      </c>
      <c r="O1533" s="11" t="s">
        <v>44</v>
      </c>
      <c r="P1533" s="11" t="s">
        <v>44</v>
      </c>
      <c r="Q1533" s="11" t="s">
        <v>44</v>
      </c>
      <c r="R1533" s="11" t="s">
        <v>45</v>
      </c>
      <c r="S1533" s="11" t="s">
        <v>45</v>
      </c>
      <c r="T1533" s="11" t="s">
        <v>44</v>
      </c>
      <c r="U1533" s="11" t="s">
        <v>44</v>
      </c>
      <c r="W1533" s="11" t="s">
        <v>46</v>
      </c>
      <c r="X1533" s="11" t="s">
        <v>47</v>
      </c>
      <c r="Y1533" s="11" t="s">
        <v>58</v>
      </c>
      <c r="Z1533" s="11">
        <v>81999287662</v>
      </c>
      <c r="AA1533" s="11" t="s">
        <v>105</v>
      </c>
      <c r="AB1533" s="11"/>
      <c r="AC1533" s="11"/>
      <c r="AD1533" s="11" t="b">
        <v>0</v>
      </c>
    </row>
    <row r="1534" ht="12.5" spans="1:34">
      <c r="A1534" s="177">
        <v>45433.5349187847</v>
      </c>
      <c r="B1534" s="11" t="s">
        <v>4703</v>
      </c>
      <c r="C1534" s="19">
        <v>11839451408</v>
      </c>
      <c r="D1534" s="11">
        <v>700405154886950</v>
      </c>
      <c r="E1534" s="18" t="s">
        <v>4812</v>
      </c>
      <c r="F1534" s="11" t="s">
        <v>40</v>
      </c>
      <c r="G1534" s="11" t="s">
        <v>41</v>
      </c>
      <c r="H1534" s="24">
        <v>35634</v>
      </c>
      <c r="I1534" s="284" t="s">
        <v>4705</v>
      </c>
      <c r="J1534" s="11" t="s">
        <v>42</v>
      </c>
      <c r="K1534" s="11" t="s">
        <v>4813</v>
      </c>
      <c r="N1534" s="11" t="s">
        <v>95</v>
      </c>
      <c r="O1534" s="11" t="s">
        <v>96</v>
      </c>
      <c r="P1534" s="11" t="s">
        <v>66</v>
      </c>
      <c r="Q1534" s="11" t="s">
        <v>45</v>
      </c>
      <c r="R1534" s="11" t="s">
        <v>45</v>
      </c>
      <c r="S1534" s="11" t="s">
        <v>44</v>
      </c>
      <c r="T1534" s="11" t="s">
        <v>44</v>
      </c>
      <c r="U1534" s="11" t="s">
        <v>45</v>
      </c>
      <c r="V1534" s="24">
        <v>45434</v>
      </c>
      <c r="W1534" s="11" t="s">
        <v>57</v>
      </c>
      <c r="X1534" s="11" t="s">
        <v>97</v>
      </c>
      <c r="Y1534" s="11" t="s">
        <v>97</v>
      </c>
      <c r="Z1534" s="11">
        <v>81984587491</v>
      </c>
      <c r="AA1534" s="11" t="s">
        <v>4003</v>
      </c>
      <c r="AB1534" s="11" t="s">
        <v>49</v>
      </c>
      <c r="AC1534" s="11" t="s">
        <v>3892</v>
      </c>
      <c r="AD1534" s="11" t="b">
        <v>0</v>
      </c>
      <c r="AF1534" s="11" t="s">
        <v>4814</v>
      </c>
      <c r="AH1534" s="11" t="s">
        <v>4815</v>
      </c>
    </row>
    <row r="1535" ht="12.5" spans="1:34">
      <c r="A1535" s="177">
        <v>45433.8136958102</v>
      </c>
      <c r="B1535" s="11" t="s">
        <v>4681</v>
      </c>
      <c r="C1535" s="19">
        <v>12895912459</v>
      </c>
      <c r="D1535" s="11">
        <v>709606643280470</v>
      </c>
      <c r="E1535" s="18" t="s">
        <v>4816</v>
      </c>
      <c r="F1535" s="11" t="s">
        <v>40</v>
      </c>
      <c r="G1535" s="11" t="s">
        <v>54</v>
      </c>
      <c r="H1535" s="24">
        <v>35654</v>
      </c>
      <c r="I1535" s="284" t="s">
        <v>4683</v>
      </c>
      <c r="J1535" s="11" t="s">
        <v>42</v>
      </c>
      <c r="K1535" s="11" t="s">
        <v>155</v>
      </c>
      <c r="N1535" s="11" t="s">
        <v>43</v>
      </c>
      <c r="O1535" s="11" t="s">
        <v>65</v>
      </c>
      <c r="P1535" s="11" t="s">
        <v>66</v>
      </c>
      <c r="Q1535" s="11" t="s">
        <v>44</v>
      </c>
      <c r="R1535" s="11" t="s">
        <v>45</v>
      </c>
      <c r="S1535" s="11" t="s">
        <v>45</v>
      </c>
      <c r="T1535" s="11" t="s">
        <v>44</v>
      </c>
      <c r="U1535" s="11" t="s">
        <v>45</v>
      </c>
      <c r="V1535" s="24">
        <v>45434</v>
      </c>
      <c r="W1535" s="11" t="s">
        <v>46</v>
      </c>
      <c r="X1535" s="11" t="s">
        <v>203</v>
      </c>
      <c r="Y1535" s="11" t="s">
        <v>58</v>
      </c>
      <c r="Z1535" s="11">
        <v>81991428395</v>
      </c>
      <c r="AA1535" s="11" t="s">
        <v>105</v>
      </c>
      <c r="AB1535" s="11" t="s">
        <v>98</v>
      </c>
      <c r="AC1535" s="11"/>
      <c r="AD1535" s="11" t="b">
        <v>0</v>
      </c>
      <c r="AF1535" s="11" t="s">
        <v>4817</v>
      </c>
      <c r="AG1535" s="11" t="s">
        <v>4818</v>
      </c>
      <c r="AH1535" s="11" t="s">
        <v>879</v>
      </c>
    </row>
    <row r="1536" ht="12.5" spans="1:34">
      <c r="A1536" s="177">
        <v>45434.3648142477</v>
      </c>
      <c r="B1536" s="11" t="s">
        <v>4703</v>
      </c>
      <c r="C1536" s="19">
        <v>11839451408</v>
      </c>
      <c r="D1536" s="11">
        <v>700405154886950</v>
      </c>
      <c r="F1536" s="11" t="s">
        <v>40</v>
      </c>
      <c r="G1536" s="11" t="s">
        <v>54</v>
      </c>
      <c r="H1536" s="24">
        <v>35634</v>
      </c>
      <c r="I1536" s="284" t="s">
        <v>4705</v>
      </c>
      <c r="J1536" s="11" t="s">
        <v>42</v>
      </c>
      <c r="K1536" s="11" t="s">
        <v>356</v>
      </c>
      <c r="N1536" s="11" t="s">
        <v>95</v>
      </c>
      <c r="O1536" s="11" t="s">
        <v>44</v>
      </c>
      <c r="P1536" s="11" t="s">
        <v>56</v>
      </c>
      <c r="Q1536" s="11" t="s">
        <v>44</v>
      </c>
      <c r="R1536" s="11" t="s">
        <v>45</v>
      </c>
      <c r="S1536" s="11" t="s">
        <v>45</v>
      </c>
      <c r="T1536" s="11" t="s">
        <v>44</v>
      </c>
      <c r="U1536" s="11" t="s">
        <v>45</v>
      </c>
      <c r="V1536" s="24">
        <v>45436</v>
      </c>
      <c r="W1536" s="11" t="s">
        <v>57</v>
      </c>
      <c r="X1536" s="11" t="s">
        <v>97</v>
      </c>
      <c r="Y1536" s="11" t="s">
        <v>97</v>
      </c>
      <c r="Z1536" s="11">
        <v>81984587491</v>
      </c>
      <c r="AA1536" s="11" t="s">
        <v>3919</v>
      </c>
      <c r="AB1536" s="11" t="s">
        <v>49</v>
      </c>
      <c r="AC1536" s="11" t="s">
        <v>4117</v>
      </c>
      <c r="AD1536" s="11" t="b">
        <v>0</v>
      </c>
      <c r="AF1536" s="11" t="s">
        <v>4819</v>
      </c>
      <c r="AH1536" s="11" t="s">
        <v>4820</v>
      </c>
    </row>
    <row r="1537" ht="12.5" spans="1:30">
      <c r="A1537" s="177">
        <v>45434.3898150926</v>
      </c>
      <c r="B1537" s="11" t="s">
        <v>4751</v>
      </c>
      <c r="C1537" s="277" t="s">
        <v>4752</v>
      </c>
      <c r="D1537" s="11">
        <v>703608091797331</v>
      </c>
      <c r="E1537" s="18" t="s">
        <v>4821</v>
      </c>
      <c r="F1537" s="11" t="s">
        <v>40</v>
      </c>
      <c r="G1537" s="11" t="s">
        <v>54</v>
      </c>
      <c r="H1537" s="24">
        <v>33617</v>
      </c>
      <c r="I1537" s="284" t="s">
        <v>2056</v>
      </c>
      <c r="J1537" s="11" t="s">
        <v>438</v>
      </c>
      <c r="M1537" s="11" t="s">
        <v>4822</v>
      </c>
      <c r="N1537" s="11" t="s">
        <v>43</v>
      </c>
      <c r="O1537" s="11" t="s">
        <v>44</v>
      </c>
      <c r="P1537" s="11" t="s">
        <v>44</v>
      </c>
      <c r="Q1537" s="11" t="s">
        <v>44</v>
      </c>
      <c r="R1537" s="11" t="s">
        <v>45</v>
      </c>
      <c r="S1537" s="11" t="s">
        <v>45</v>
      </c>
      <c r="T1537" s="11" t="s">
        <v>44</v>
      </c>
      <c r="U1537" s="11" t="s">
        <v>44</v>
      </c>
      <c r="W1537" s="11" t="s">
        <v>46</v>
      </c>
      <c r="X1537" s="11" t="s">
        <v>47</v>
      </c>
      <c r="Y1537" s="11" t="s">
        <v>58</v>
      </c>
      <c r="Z1537" s="11">
        <v>81987240226</v>
      </c>
      <c r="AA1537" s="11" t="s">
        <v>3919</v>
      </c>
      <c r="AB1537" s="11"/>
      <c r="AC1537" s="11"/>
      <c r="AD1537" s="11" t="b">
        <v>0</v>
      </c>
    </row>
    <row r="1538" ht="12.5" spans="1:30">
      <c r="A1538" s="177">
        <v>45434.4078400347</v>
      </c>
      <c r="B1538" s="11" t="s">
        <v>4823</v>
      </c>
      <c r="C1538" s="19">
        <v>70265875447</v>
      </c>
      <c r="D1538" s="11">
        <v>703603092777933</v>
      </c>
      <c r="E1538" s="18" t="s">
        <v>4824</v>
      </c>
      <c r="F1538" s="11" t="s">
        <v>40</v>
      </c>
      <c r="G1538" s="11" t="s">
        <v>54</v>
      </c>
      <c r="H1538" s="24">
        <v>34937</v>
      </c>
      <c r="I1538" s="284" t="s">
        <v>4825</v>
      </c>
      <c r="J1538" s="11" t="s">
        <v>81</v>
      </c>
      <c r="L1538" s="11" t="s">
        <v>109</v>
      </c>
      <c r="N1538" s="11" t="s">
        <v>43</v>
      </c>
      <c r="O1538" s="11" t="s">
        <v>44</v>
      </c>
      <c r="P1538" s="11" t="s">
        <v>44</v>
      </c>
      <c r="Q1538" s="11" t="s">
        <v>44</v>
      </c>
      <c r="R1538" s="11" t="s">
        <v>45</v>
      </c>
      <c r="S1538" s="11" t="s">
        <v>45</v>
      </c>
      <c r="T1538" s="11" t="s">
        <v>44</v>
      </c>
      <c r="U1538" s="11" t="s">
        <v>44</v>
      </c>
      <c r="W1538" s="11" t="s">
        <v>46</v>
      </c>
      <c r="X1538" s="11" t="s">
        <v>47</v>
      </c>
      <c r="Y1538" s="11" t="s">
        <v>58</v>
      </c>
      <c r="Z1538" s="11">
        <v>81983376422</v>
      </c>
      <c r="AA1538" s="11" t="s">
        <v>3919</v>
      </c>
      <c r="AB1538" s="11"/>
      <c r="AC1538" s="11"/>
      <c r="AD1538" s="11" t="b">
        <v>0</v>
      </c>
    </row>
    <row r="1539" ht="12.5" spans="1:33">
      <c r="A1539" s="177">
        <v>45434.6379489699</v>
      </c>
      <c r="B1539" s="11" t="s">
        <v>4622</v>
      </c>
      <c r="C1539" s="19">
        <v>10657267406</v>
      </c>
      <c r="D1539" s="11">
        <v>701402691924237</v>
      </c>
      <c r="E1539" s="18" t="s">
        <v>4826</v>
      </c>
      <c r="F1539" s="11" t="s">
        <v>40</v>
      </c>
      <c r="G1539" s="11" t="s">
        <v>41</v>
      </c>
      <c r="H1539" s="24">
        <v>35219</v>
      </c>
      <c r="I1539" s="284" t="s">
        <v>4827</v>
      </c>
      <c r="J1539" s="11" t="s">
        <v>42</v>
      </c>
      <c r="K1539" s="11" t="s">
        <v>4828</v>
      </c>
      <c r="N1539" s="11" t="s">
        <v>43</v>
      </c>
      <c r="O1539" s="11" t="s">
        <v>96</v>
      </c>
      <c r="P1539" s="11" t="s">
        <v>66</v>
      </c>
      <c r="Q1539" s="11" t="s">
        <v>45</v>
      </c>
      <c r="R1539" s="11" t="s">
        <v>45</v>
      </c>
      <c r="S1539" s="11" t="s">
        <v>45</v>
      </c>
      <c r="T1539" s="11" t="s">
        <v>4348</v>
      </c>
      <c r="U1539" s="11" t="s">
        <v>45</v>
      </c>
      <c r="V1539" s="24">
        <v>45435</v>
      </c>
      <c r="W1539" s="11" t="s">
        <v>57</v>
      </c>
      <c r="X1539" s="11" t="s">
        <v>47</v>
      </c>
      <c r="Y1539" s="11" t="s">
        <v>48</v>
      </c>
      <c r="Z1539" s="11">
        <v>81996540791</v>
      </c>
      <c r="AA1539" s="11" t="s">
        <v>103</v>
      </c>
      <c r="AB1539" s="11" t="s">
        <v>98</v>
      </c>
      <c r="AC1539" s="11"/>
      <c r="AD1539" s="11" t="b">
        <v>0</v>
      </c>
      <c r="AF1539" s="11" t="s">
        <v>4829</v>
      </c>
      <c r="AG1539" s="11" t="s">
        <v>4830</v>
      </c>
    </row>
    <row r="1540" ht="12.5" spans="1:34">
      <c r="A1540" s="177">
        <v>45435.3201241782</v>
      </c>
      <c r="B1540" s="11" t="s">
        <v>4831</v>
      </c>
      <c r="C1540" s="277" t="s">
        <v>4832</v>
      </c>
      <c r="D1540" s="11">
        <v>700000824554102</v>
      </c>
      <c r="E1540" s="18" t="s">
        <v>4833</v>
      </c>
      <c r="F1540" s="11" t="s">
        <v>40</v>
      </c>
      <c r="G1540" s="11" t="s">
        <v>54</v>
      </c>
      <c r="H1540" s="24">
        <v>29793</v>
      </c>
      <c r="I1540" s="284" t="s">
        <v>4801</v>
      </c>
      <c r="J1540" s="11" t="s">
        <v>42</v>
      </c>
      <c r="K1540" s="11" t="s">
        <v>155</v>
      </c>
      <c r="N1540" s="11" t="s">
        <v>43</v>
      </c>
      <c r="O1540" s="11" t="s">
        <v>44</v>
      </c>
      <c r="P1540" s="11" t="s">
        <v>44</v>
      </c>
      <c r="Q1540" s="11" t="s">
        <v>45</v>
      </c>
      <c r="R1540" s="11" t="s">
        <v>45</v>
      </c>
      <c r="S1540" s="11" t="s">
        <v>83</v>
      </c>
      <c r="T1540" s="11" t="s">
        <v>44</v>
      </c>
      <c r="U1540" s="11" t="s">
        <v>45</v>
      </c>
      <c r="V1540" s="24">
        <v>45435</v>
      </c>
      <c r="W1540" s="11" t="s">
        <v>46</v>
      </c>
      <c r="X1540" s="11" t="s">
        <v>203</v>
      </c>
      <c r="Y1540" s="11" t="s">
        <v>68</v>
      </c>
      <c r="Z1540" s="11">
        <v>81999788943</v>
      </c>
      <c r="AA1540" s="11" t="s">
        <v>105</v>
      </c>
      <c r="AB1540" s="11" t="s">
        <v>49</v>
      </c>
      <c r="AC1540" s="11" t="s">
        <v>84</v>
      </c>
      <c r="AD1540" s="11" t="b">
        <v>0</v>
      </c>
      <c r="AF1540" s="11" t="s">
        <v>4834</v>
      </c>
      <c r="AH1540" s="11" t="s">
        <v>4835</v>
      </c>
    </row>
    <row r="1541" ht="12.5" spans="1:34">
      <c r="A1541" s="177">
        <v>45435.4511948958</v>
      </c>
      <c r="B1541" s="11" t="s">
        <v>4836</v>
      </c>
      <c r="C1541" s="19">
        <v>13573595430</v>
      </c>
      <c r="D1541" s="11">
        <v>708401256257261</v>
      </c>
      <c r="E1541" s="18" t="s">
        <v>4837</v>
      </c>
      <c r="F1541" s="11" t="s">
        <v>40</v>
      </c>
      <c r="G1541" s="11" t="s">
        <v>41</v>
      </c>
      <c r="H1541" s="24">
        <v>37644</v>
      </c>
      <c r="I1541" s="284" t="s">
        <v>4838</v>
      </c>
      <c r="J1541" s="11" t="s">
        <v>42</v>
      </c>
      <c r="K1541" s="11" t="s">
        <v>399</v>
      </c>
      <c r="N1541" s="11" t="s">
        <v>43</v>
      </c>
      <c r="O1541" s="11" t="s">
        <v>44</v>
      </c>
      <c r="P1541" s="11" t="s">
        <v>44</v>
      </c>
      <c r="Q1541" s="11" t="s">
        <v>45</v>
      </c>
      <c r="R1541" s="11" t="s">
        <v>45</v>
      </c>
      <c r="S1541" s="11" t="s">
        <v>45</v>
      </c>
      <c r="T1541" s="11" t="s">
        <v>44</v>
      </c>
      <c r="U1541" s="11" t="s">
        <v>45</v>
      </c>
      <c r="V1541" s="24">
        <v>45435</v>
      </c>
      <c r="W1541" s="11" t="s">
        <v>46</v>
      </c>
      <c r="X1541" s="11" t="s">
        <v>47</v>
      </c>
      <c r="Y1541" s="11" t="s">
        <v>58</v>
      </c>
      <c r="Z1541" s="11">
        <v>81985588016</v>
      </c>
      <c r="AA1541" s="11" t="s">
        <v>105</v>
      </c>
      <c r="AB1541" s="11" t="s">
        <v>98</v>
      </c>
      <c r="AC1541" s="11"/>
      <c r="AD1541" s="11" t="b">
        <v>0</v>
      </c>
      <c r="AF1541" s="11" t="s">
        <v>4839</v>
      </c>
      <c r="AG1541" s="11" t="s">
        <v>4840</v>
      </c>
      <c r="AH1541" s="11" t="s">
        <v>4841</v>
      </c>
    </row>
    <row r="1542" ht="12.5" spans="1:32">
      <c r="A1542" s="177">
        <v>45435.4884310648</v>
      </c>
      <c r="B1542" s="11" t="s">
        <v>4263</v>
      </c>
      <c r="C1542" s="19">
        <v>11542933439</v>
      </c>
      <c r="D1542" s="11">
        <v>700908992000398</v>
      </c>
      <c r="E1542" s="18" t="s">
        <v>4842</v>
      </c>
      <c r="F1542" s="11" t="s">
        <v>40</v>
      </c>
      <c r="G1542" s="11" t="s">
        <v>54</v>
      </c>
      <c r="H1542" s="24">
        <v>35474</v>
      </c>
      <c r="I1542" s="11" t="s">
        <v>136</v>
      </c>
      <c r="J1542" s="11" t="s">
        <v>42</v>
      </c>
      <c r="K1542" s="11" t="s">
        <v>155</v>
      </c>
      <c r="N1542" s="11" t="s">
        <v>43</v>
      </c>
      <c r="O1542" s="11" t="s">
        <v>65</v>
      </c>
      <c r="P1542" s="11" t="s">
        <v>66</v>
      </c>
      <c r="Q1542" s="11" t="s">
        <v>44</v>
      </c>
      <c r="R1542" s="11" t="s">
        <v>45</v>
      </c>
      <c r="S1542" s="11" t="s">
        <v>45</v>
      </c>
      <c r="T1542" s="11" t="s">
        <v>44</v>
      </c>
      <c r="U1542" s="11" t="s">
        <v>45</v>
      </c>
      <c r="V1542" s="24">
        <v>45436</v>
      </c>
      <c r="W1542" s="11" t="s">
        <v>46</v>
      </c>
      <c r="X1542" s="11" t="s">
        <v>47</v>
      </c>
      <c r="Y1542" s="11" t="s">
        <v>58</v>
      </c>
      <c r="Z1542" s="11">
        <v>81999243918</v>
      </c>
      <c r="AA1542" s="11" t="s">
        <v>91</v>
      </c>
      <c r="AB1542" s="11" t="s">
        <v>49</v>
      </c>
      <c r="AC1542" s="11" t="s">
        <v>4117</v>
      </c>
      <c r="AD1542" s="11" t="b">
        <v>0</v>
      </c>
      <c r="AF1542" s="11" t="s">
        <v>4843</v>
      </c>
    </row>
    <row r="1543" ht="12.5" spans="1:33">
      <c r="A1543" s="177">
        <v>45435.5781836921</v>
      </c>
      <c r="B1543" s="11" t="s">
        <v>4844</v>
      </c>
      <c r="C1543" s="19">
        <v>11189101416</v>
      </c>
      <c r="D1543" s="11">
        <v>704604138571428</v>
      </c>
      <c r="E1543" s="18" t="s">
        <v>4845</v>
      </c>
      <c r="F1543" s="11" t="s">
        <v>40</v>
      </c>
      <c r="G1543" s="11" t="s">
        <v>54</v>
      </c>
      <c r="H1543" s="24">
        <v>34883</v>
      </c>
      <c r="I1543" s="284" t="s">
        <v>4807</v>
      </c>
      <c r="J1543" s="11" t="s">
        <v>42</v>
      </c>
      <c r="K1543" s="11" t="s">
        <v>74</v>
      </c>
      <c r="N1543" s="11" t="s">
        <v>43</v>
      </c>
      <c r="O1543" s="11" t="s">
        <v>96</v>
      </c>
      <c r="P1543" s="11" t="s">
        <v>56</v>
      </c>
      <c r="Q1543" s="11" t="s">
        <v>44</v>
      </c>
      <c r="R1543" s="11" t="s">
        <v>45</v>
      </c>
      <c r="S1543" s="11" t="s">
        <v>83</v>
      </c>
      <c r="T1543" s="11" t="s">
        <v>44</v>
      </c>
      <c r="U1543" s="11" t="s">
        <v>45</v>
      </c>
      <c r="V1543" s="24">
        <v>45439</v>
      </c>
      <c r="W1543" s="11" t="s">
        <v>46</v>
      </c>
      <c r="X1543" s="11" t="s">
        <v>47</v>
      </c>
      <c r="Y1543" s="11" t="s">
        <v>58</v>
      </c>
      <c r="Z1543" s="11">
        <v>81985232417</v>
      </c>
      <c r="AA1543" s="11" t="s">
        <v>91</v>
      </c>
      <c r="AB1543" s="11" t="s">
        <v>98</v>
      </c>
      <c r="AC1543" s="11"/>
      <c r="AD1543" s="11" t="b">
        <v>0</v>
      </c>
      <c r="AF1543" s="11" t="s">
        <v>4846</v>
      </c>
      <c r="AG1543" s="11" t="s">
        <v>4847</v>
      </c>
    </row>
    <row r="1544" ht="12.5" spans="1:30">
      <c r="A1544" s="177">
        <v>45435.5786722454</v>
      </c>
      <c r="B1544" s="11" t="s">
        <v>4831</v>
      </c>
      <c r="C1544" s="277" t="s">
        <v>4832</v>
      </c>
      <c r="D1544" s="11">
        <v>700000824554102</v>
      </c>
      <c r="E1544" s="18" t="s">
        <v>4833</v>
      </c>
      <c r="F1544" s="11" t="s">
        <v>40</v>
      </c>
      <c r="G1544" s="11" t="s">
        <v>54</v>
      </c>
      <c r="H1544" s="24">
        <v>29793</v>
      </c>
      <c r="I1544" s="284" t="s">
        <v>4801</v>
      </c>
      <c r="J1544" s="11" t="s">
        <v>42</v>
      </c>
      <c r="K1544" s="11" t="s">
        <v>155</v>
      </c>
      <c r="N1544" s="11" t="s">
        <v>95</v>
      </c>
      <c r="O1544" s="11" t="s">
        <v>44</v>
      </c>
      <c r="P1544" s="11" t="s">
        <v>44</v>
      </c>
      <c r="Q1544" s="11" t="s">
        <v>44</v>
      </c>
      <c r="R1544" s="11" t="s">
        <v>45</v>
      </c>
      <c r="S1544" s="11" t="s">
        <v>83</v>
      </c>
      <c r="T1544" s="11" t="s">
        <v>44</v>
      </c>
      <c r="U1544" s="11" t="s">
        <v>44</v>
      </c>
      <c r="W1544" s="11" t="s">
        <v>46</v>
      </c>
      <c r="X1544" s="11" t="s">
        <v>97</v>
      </c>
      <c r="Y1544" s="11" t="s">
        <v>97</v>
      </c>
      <c r="Z1544" s="11">
        <v>81999788943</v>
      </c>
      <c r="AA1544" s="11" t="s">
        <v>105</v>
      </c>
      <c r="AB1544" s="11"/>
      <c r="AC1544" s="11"/>
      <c r="AD1544" s="11" t="b">
        <v>0</v>
      </c>
    </row>
    <row r="1545" ht="12.5" spans="1:30">
      <c r="A1545" s="177">
        <v>45435.6089878704</v>
      </c>
      <c r="B1545" s="11" t="s">
        <v>4848</v>
      </c>
      <c r="C1545" s="277" t="s">
        <v>4849</v>
      </c>
      <c r="D1545" s="11">
        <v>700000365384407</v>
      </c>
      <c r="E1545" s="18" t="s">
        <v>4850</v>
      </c>
      <c r="F1545" s="11" t="s">
        <v>40</v>
      </c>
      <c r="G1545" s="11" t="s">
        <v>54</v>
      </c>
      <c r="H1545" s="24">
        <v>34275</v>
      </c>
      <c r="I1545" s="284" t="s">
        <v>4851</v>
      </c>
      <c r="J1545" s="11" t="s">
        <v>42</v>
      </c>
      <c r="K1545" s="11" t="s">
        <v>3422</v>
      </c>
      <c r="N1545" s="11" t="s">
        <v>43</v>
      </c>
      <c r="O1545" s="11" t="s">
        <v>44</v>
      </c>
      <c r="P1545" s="11" t="s">
        <v>44</v>
      </c>
      <c r="Q1545" s="11" t="s">
        <v>44</v>
      </c>
      <c r="R1545" s="11" t="s">
        <v>45</v>
      </c>
      <c r="S1545" s="11" t="s">
        <v>45</v>
      </c>
      <c r="T1545" s="11" t="s">
        <v>44</v>
      </c>
      <c r="U1545" s="11" t="s">
        <v>44</v>
      </c>
      <c r="W1545" s="11" t="s">
        <v>46</v>
      </c>
      <c r="X1545" s="11" t="s">
        <v>47</v>
      </c>
      <c r="Y1545" s="11" t="s">
        <v>58</v>
      </c>
      <c r="Z1545" s="11">
        <v>81985097361</v>
      </c>
      <c r="AA1545" s="11" t="s">
        <v>105</v>
      </c>
      <c r="AB1545" s="11"/>
      <c r="AC1545" s="11"/>
      <c r="AD1545" s="11" t="b">
        <v>0</v>
      </c>
    </row>
    <row r="1546" ht="12.5" spans="1:33">
      <c r="A1546" s="177">
        <v>45435.6557432407</v>
      </c>
      <c r="B1546" s="11" t="s">
        <v>2408</v>
      </c>
      <c r="C1546" s="19">
        <v>70584483457</v>
      </c>
      <c r="D1546" s="11">
        <v>703400956786400</v>
      </c>
      <c r="E1546" s="18" t="s">
        <v>4852</v>
      </c>
      <c r="F1546" s="11" t="s">
        <v>40</v>
      </c>
      <c r="G1546" s="11" t="s">
        <v>54</v>
      </c>
      <c r="H1546" s="24">
        <v>36801</v>
      </c>
      <c r="I1546" s="284" t="s">
        <v>2410</v>
      </c>
      <c r="J1546" s="11" t="s">
        <v>81</v>
      </c>
      <c r="L1546" s="11" t="s">
        <v>109</v>
      </c>
      <c r="N1546" s="11" t="s">
        <v>43</v>
      </c>
      <c r="O1546" s="11" t="s">
        <v>44</v>
      </c>
      <c r="P1546" s="11" t="s">
        <v>56</v>
      </c>
      <c r="Q1546" s="11" t="s">
        <v>45</v>
      </c>
      <c r="R1546" s="11" t="s">
        <v>45</v>
      </c>
      <c r="S1546" s="11" t="s">
        <v>45</v>
      </c>
      <c r="T1546" s="11" t="s">
        <v>4348</v>
      </c>
      <c r="U1546" s="11" t="s">
        <v>45</v>
      </c>
      <c r="V1546" s="24">
        <v>45436</v>
      </c>
      <c r="W1546" s="11" t="s">
        <v>46</v>
      </c>
      <c r="X1546" s="11" t="s">
        <v>47</v>
      </c>
      <c r="Y1546" s="11" t="s">
        <v>48</v>
      </c>
      <c r="Z1546" s="11">
        <v>81983151406</v>
      </c>
      <c r="AA1546" s="11" t="s">
        <v>3919</v>
      </c>
      <c r="AB1546" s="11" t="s">
        <v>98</v>
      </c>
      <c r="AC1546" s="11" t="s">
        <v>256</v>
      </c>
      <c r="AD1546" s="11" t="b">
        <v>0</v>
      </c>
      <c r="AF1546" s="11" t="s">
        <v>4853</v>
      </c>
      <c r="AG1546" s="11" t="s">
        <v>4854</v>
      </c>
    </row>
    <row r="1547" ht="12.5" spans="1:33">
      <c r="A1547" s="177">
        <v>45436.3705323611</v>
      </c>
      <c r="B1547" s="11" t="s">
        <v>4666</v>
      </c>
      <c r="C1547" s="19">
        <v>71353539431</v>
      </c>
      <c r="D1547" s="11">
        <v>700504753126951</v>
      </c>
      <c r="E1547" s="18" t="s">
        <v>4855</v>
      </c>
      <c r="F1547" s="11" t="s">
        <v>40</v>
      </c>
      <c r="G1547" s="11" t="s">
        <v>41</v>
      </c>
      <c r="H1547" s="24">
        <v>37246</v>
      </c>
      <c r="I1547" s="284" t="s">
        <v>4668</v>
      </c>
      <c r="J1547" s="11" t="s">
        <v>42</v>
      </c>
      <c r="K1547" s="11" t="s">
        <v>63</v>
      </c>
      <c r="N1547" s="11" t="s">
        <v>43</v>
      </c>
      <c r="O1547" s="11" t="s">
        <v>65</v>
      </c>
      <c r="P1547" s="11" t="s">
        <v>66</v>
      </c>
      <c r="Q1547" s="11" t="s">
        <v>45</v>
      </c>
      <c r="R1547" s="11" t="s">
        <v>45</v>
      </c>
      <c r="S1547" s="11" t="s">
        <v>83</v>
      </c>
      <c r="T1547" s="11" t="s">
        <v>44</v>
      </c>
      <c r="U1547" s="11" t="s">
        <v>45</v>
      </c>
      <c r="V1547" s="24">
        <v>45437</v>
      </c>
      <c r="W1547" s="11" t="s">
        <v>46</v>
      </c>
      <c r="X1547" s="11" t="s">
        <v>47</v>
      </c>
      <c r="Y1547" s="11" t="s">
        <v>58</v>
      </c>
      <c r="Z1547" s="11">
        <v>81997467123</v>
      </c>
      <c r="AA1547" s="11" t="s">
        <v>103</v>
      </c>
      <c r="AB1547" s="11" t="s">
        <v>98</v>
      </c>
      <c r="AC1547" s="11"/>
      <c r="AD1547" s="11" t="b">
        <v>0</v>
      </c>
      <c r="AF1547" s="11" t="s">
        <v>4856</v>
      </c>
      <c r="AG1547" s="11" t="s">
        <v>4857</v>
      </c>
    </row>
    <row r="1548" ht="12.5" spans="1:30">
      <c r="A1548" s="177">
        <v>45436.4426101389</v>
      </c>
      <c r="B1548" s="11" t="s">
        <v>4858</v>
      </c>
      <c r="C1548" s="277" t="s">
        <v>4859</v>
      </c>
      <c r="D1548" s="11">
        <v>703006808782775</v>
      </c>
      <c r="E1548" s="18" t="s">
        <v>4860</v>
      </c>
      <c r="F1548" s="11" t="s">
        <v>225</v>
      </c>
      <c r="G1548" s="11" t="s">
        <v>54</v>
      </c>
      <c r="H1548" s="24">
        <v>30763</v>
      </c>
      <c r="I1548" s="284" t="s">
        <v>4861</v>
      </c>
      <c r="J1548" s="11" t="s">
        <v>42</v>
      </c>
      <c r="K1548" s="11" t="s">
        <v>302</v>
      </c>
      <c r="N1548" s="11" t="s">
        <v>43</v>
      </c>
      <c r="O1548" s="11" t="s">
        <v>44</v>
      </c>
      <c r="P1548" s="11" t="s">
        <v>44</v>
      </c>
      <c r="Q1548" s="11" t="s">
        <v>44</v>
      </c>
      <c r="R1548" s="11" t="s">
        <v>45</v>
      </c>
      <c r="S1548" s="11" t="s">
        <v>45</v>
      </c>
      <c r="T1548" s="11" t="s">
        <v>44</v>
      </c>
      <c r="U1548" s="11" t="s">
        <v>44</v>
      </c>
      <c r="W1548" s="11" t="s">
        <v>46</v>
      </c>
      <c r="X1548" s="11" t="s">
        <v>47</v>
      </c>
      <c r="Y1548" s="11" t="s">
        <v>58</v>
      </c>
      <c r="Z1548" s="11">
        <v>81988911045</v>
      </c>
      <c r="AA1548" s="11" t="s">
        <v>1360</v>
      </c>
      <c r="AB1548" s="11"/>
      <c r="AC1548" s="11"/>
      <c r="AD1548" s="11" t="b">
        <v>0</v>
      </c>
    </row>
    <row r="1549" ht="12.5" spans="1:30">
      <c r="A1549" s="177">
        <v>45436.4551876389</v>
      </c>
      <c r="B1549" s="11" t="s">
        <v>4703</v>
      </c>
      <c r="C1549" s="19">
        <v>11839451408</v>
      </c>
      <c r="D1549" s="11">
        <v>700405154886950</v>
      </c>
      <c r="F1549" s="11" t="s">
        <v>40</v>
      </c>
      <c r="G1549" s="11" t="s">
        <v>54</v>
      </c>
      <c r="H1549" s="24">
        <v>35634</v>
      </c>
      <c r="I1549" s="284" t="s">
        <v>4705</v>
      </c>
      <c r="J1549" s="11" t="s">
        <v>42</v>
      </c>
      <c r="K1549" s="11" t="s">
        <v>356</v>
      </c>
      <c r="N1549" s="11" t="s">
        <v>95</v>
      </c>
      <c r="O1549" s="11" t="s">
        <v>44</v>
      </c>
      <c r="P1549" s="11" t="s">
        <v>44</v>
      </c>
      <c r="Q1549" s="11" t="s">
        <v>44</v>
      </c>
      <c r="R1549" s="11" t="s">
        <v>45</v>
      </c>
      <c r="S1549" s="11" t="s">
        <v>83</v>
      </c>
      <c r="T1549" s="11" t="s">
        <v>44</v>
      </c>
      <c r="U1549" s="11" t="s">
        <v>44</v>
      </c>
      <c r="W1549" s="11" t="s">
        <v>57</v>
      </c>
      <c r="X1549" s="11" t="s">
        <v>97</v>
      </c>
      <c r="Y1549" s="11" t="s">
        <v>97</v>
      </c>
      <c r="Z1549" s="11">
        <v>81984587491</v>
      </c>
      <c r="AA1549" s="11" t="s">
        <v>4003</v>
      </c>
      <c r="AB1549" s="11"/>
      <c r="AC1549" s="11"/>
      <c r="AD1549" s="11" t="b">
        <v>0</v>
      </c>
    </row>
    <row r="1550" ht="12.5" spans="1:34">
      <c r="A1550" s="177">
        <v>45436.4681683681</v>
      </c>
      <c r="B1550" s="11" t="s">
        <v>4630</v>
      </c>
      <c r="C1550" s="19">
        <v>15877271458</v>
      </c>
      <c r="D1550" s="11">
        <v>703206662088894</v>
      </c>
      <c r="E1550" s="18" t="s">
        <v>4862</v>
      </c>
      <c r="F1550" s="11" t="s">
        <v>40</v>
      </c>
      <c r="G1550" s="11" t="s">
        <v>54</v>
      </c>
      <c r="H1550" s="24">
        <v>38711</v>
      </c>
      <c r="I1550" s="284" t="s">
        <v>4863</v>
      </c>
      <c r="J1550" s="11" t="s">
        <v>42</v>
      </c>
      <c r="K1550" s="11" t="s">
        <v>155</v>
      </c>
      <c r="N1550" s="11" t="s">
        <v>43</v>
      </c>
      <c r="O1550" s="11" t="s">
        <v>44</v>
      </c>
      <c r="P1550" s="11" t="s">
        <v>44</v>
      </c>
      <c r="Q1550" s="11" t="s">
        <v>44</v>
      </c>
      <c r="R1550" s="11" t="s">
        <v>45</v>
      </c>
      <c r="S1550" s="11" t="s">
        <v>45</v>
      </c>
      <c r="T1550" s="11" t="s">
        <v>44</v>
      </c>
      <c r="U1550" s="11" t="s">
        <v>45</v>
      </c>
      <c r="V1550" s="24">
        <v>45437</v>
      </c>
      <c r="W1550" s="11" t="s">
        <v>46</v>
      </c>
      <c r="X1550" s="11" t="s">
        <v>47</v>
      </c>
      <c r="Y1550" s="11" t="s">
        <v>58</v>
      </c>
      <c r="Z1550" s="11">
        <v>81998028777</v>
      </c>
      <c r="AA1550" s="11" t="s">
        <v>1360</v>
      </c>
      <c r="AB1550" s="11" t="s">
        <v>49</v>
      </c>
      <c r="AC1550" s="11" t="s">
        <v>3892</v>
      </c>
      <c r="AD1550" s="11" t="b">
        <v>1</v>
      </c>
      <c r="AE1550" s="11" t="s">
        <v>137</v>
      </c>
      <c r="AF1550" s="11" t="s">
        <v>4864</v>
      </c>
      <c r="AG1550" s="11" t="s">
        <v>4865</v>
      </c>
      <c r="AH1550" s="11" t="s">
        <v>4866</v>
      </c>
    </row>
    <row r="1551" ht="12.5" spans="1:33">
      <c r="A1551" s="177">
        <v>45436.4795824537</v>
      </c>
      <c r="B1551" s="11" t="s">
        <v>4867</v>
      </c>
      <c r="C1551" s="19">
        <v>70294475494</v>
      </c>
      <c r="D1551" s="11">
        <v>704701561064840</v>
      </c>
      <c r="E1551" s="18" t="s">
        <v>4868</v>
      </c>
      <c r="F1551" s="11" t="s">
        <v>40</v>
      </c>
      <c r="G1551" s="11" t="s">
        <v>54</v>
      </c>
      <c r="H1551" s="24">
        <v>36665</v>
      </c>
      <c r="I1551" s="284" t="s">
        <v>3095</v>
      </c>
      <c r="J1551" s="11" t="s">
        <v>42</v>
      </c>
      <c r="K1551" s="11" t="s">
        <v>302</v>
      </c>
      <c r="N1551" s="11" t="s">
        <v>43</v>
      </c>
      <c r="O1551" s="11" t="s">
        <v>96</v>
      </c>
      <c r="P1551" s="11" t="s">
        <v>56</v>
      </c>
      <c r="Q1551" s="11" t="s">
        <v>45</v>
      </c>
      <c r="R1551" s="11" t="s">
        <v>45</v>
      </c>
      <c r="S1551" s="11" t="s">
        <v>83</v>
      </c>
      <c r="T1551" s="11" t="s">
        <v>44</v>
      </c>
      <c r="U1551" s="11" t="s">
        <v>45</v>
      </c>
      <c r="V1551" s="24">
        <v>45437</v>
      </c>
      <c r="W1551" s="11" t="s">
        <v>46</v>
      </c>
      <c r="X1551" s="11" t="s">
        <v>47</v>
      </c>
      <c r="Y1551" s="11" t="s">
        <v>58</v>
      </c>
      <c r="Z1551" s="11">
        <v>81988513685</v>
      </c>
      <c r="AA1551" s="11" t="s">
        <v>103</v>
      </c>
      <c r="AB1551" s="11" t="s">
        <v>98</v>
      </c>
      <c r="AC1551" s="11"/>
      <c r="AD1551" s="11" t="b">
        <v>0</v>
      </c>
      <c r="AF1551" s="11" t="s">
        <v>4869</v>
      </c>
      <c r="AG1551" s="11" t="s">
        <v>4870</v>
      </c>
    </row>
    <row r="1552" ht="12.5" spans="1:32">
      <c r="A1552" s="177">
        <v>45436.488702338</v>
      </c>
      <c r="B1552" s="11" t="s">
        <v>4263</v>
      </c>
      <c r="C1552" s="19">
        <v>11542933439</v>
      </c>
      <c r="D1552" s="11">
        <v>700908992000398</v>
      </c>
      <c r="F1552" s="11" t="s">
        <v>40</v>
      </c>
      <c r="G1552" s="11" t="s">
        <v>54</v>
      </c>
      <c r="H1552" s="24">
        <v>35474</v>
      </c>
      <c r="I1552" s="11" t="s">
        <v>865</v>
      </c>
      <c r="J1552" s="11" t="s">
        <v>42</v>
      </c>
      <c r="K1552" s="11" t="s">
        <v>155</v>
      </c>
      <c r="N1552" s="11" t="s">
        <v>95</v>
      </c>
      <c r="O1552" s="11" t="s">
        <v>127</v>
      </c>
      <c r="P1552" s="11" t="s">
        <v>44</v>
      </c>
      <c r="Q1552" s="11" t="s">
        <v>44</v>
      </c>
      <c r="R1552" s="11" t="s">
        <v>45</v>
      </c>
      <c r="S1552" s="11" t="s">
        <v>83</v>
      </c>
      <c r="T1552" s="11" t="s">
        <v>44</v>
      </c>
      <c r="U1552" s="11" t="s">
        <v>45</v>
      </c>
      <c r="V1552" s="24">
        <v>45437</v>
      </c>
      <c r="W1552" s="11" t="s">
        <v>57</v>
      </c>
      <c r="X1552" s="11" t="s">
        <v>97</v>
      </c>
      <c r="Y1552" s="11" t="s">
        <v>97</v>
      </c>
      <c r="Z1552" s="11">
        <v>81999243918</v>
      </c>
      <c r="AA1552" s="11" t="s">
        <v>4003</v>
      </c>
      <c r="AB1552" s="11" t="s">
        <v>49</v>
      </c>
      <c r="AC1552" s="11" t="s">
        <v>3892</v>
      </c>
      <c r="AD1552" s="11" t="b">
        <v>1</v>
      </c>
      <c r="AE1552" s="11" t="s">
        <v>137</v>
      </c>
      <c r="AF1552" s="11" t="s">
        <v>4871</v>
      </c>
    </row>
    <row r="1553" ht="12.5" spans="1:34">
      <c r="A1553" s="177">
        <v>45436.8850786921</v>
      </c>
      <c r="B1553" s="11" t="s">
        <v>4872</v>
      </c>
      <c r="C1553" s="277" t="s">
        <v>4873</v>
      </c>
      <c r="D1553" s="11">
        <v>704608132038624</v>
      </c>
      <c r="E1553" s="18" t="s">
        <v>4874</v>
      </c>
      <c r="F1553" s="11" t="s">
        <v>40</v>
      </c>
      <c r="G1553" s="11" t="s">
        <v>88</v>
      </c>
      <c r="H1553" s="24">
        <v>29008</v>
      </c>
      <c r="I1553" s="284" t="s">
        <v>4177</v>
      </c>
      <c r="J1553" s="11" t="s">
        <v>42</v>
      </c>
      <c r="K1553" s="11" t="s">
        <v>4875</v>
      </c>
      <c r="N1553" s="11" t="s">
        <v>43</v>
      </c>
      <c r="O1553" s="11" t="s">
        <v>44</v>
      </c>
      <c r="P1553" s="11" t="s">
        <v>66</v>
      </c>
      <c r="Q1553" s="11" t="s">
        <v>45</v>
      </c>
      <c r="R1553" s="11" t="s">
        <v>45</v>
      </c>
      <c r="S1553" s="11" t="s">
        <v>44</v>
      </c>
      <c r="T1553" s="11" t="s">
        <v>44</v>
      </c>
      <c r="U1553" s="11" t="s">
        <v>45</v>
      </c>
      <c r="V1553" s="24">
        <v>45437</v>
      </c>
      <c r="W1553" s="11" t="s">
        <v>57</v>
      </c>
      <c r="X1553" s="11" t="s">
        <v>203</v>
      </c>
      <c r="Y1553" s="11" t="s">
        <v>58</v>
      </c>
      <c r="Z1553" s="11">
        <v>81991396474</v>
      </c>
      <c r="AA1553" s="11" t="s">
        <v>1360</v>
      </c>
      <c r="AB1553" s="11" t="s">
        <v>49</v>
      </c>
      <c r="AC1553" s="11" t="s">
        <v>3892</v>
      </c>
      <c r="AD1553" s="11" t="b">
        <v>1</v>
      </c>
      <c r="AE1553" s="11" t="s">
        <v>137</v>
      </c>
      <c r="AF1553" s="11" t="s">
        <v>4876</v>
      </c>
      <c r="AH1553" s="11" t="s">
        <v>4877</v>
      </c>
    </row>
    <row r="1554" ht="12.5" spans="1:33">
      <c r="A1554" s="177">
        <v>45437.3778856713</v>
      </c>
      <c r="B1554" s="11" t="s">
        <v>4878</v>
      </c>
      <c r="C1554" s="19">
        <v>14282695412</v>
      </c>
      <c r="D1554" s="11">
        <v>898003299705492</v>
      </c>
      <c r="E1554" s="18" t="s">
        <v>4879</v>
      </c>
      <c r="F1554" s="11" t="s">
        <v>40</v>
      </c>
      <c r="G1554" s="11" t="s">
        <v>54</v>
      </c>
      <c r="H1554" s="24">
        <v>38139</v>
      </c>
      <c r="I1554" s="284" t="s">
        <v>4880</v>
      </c>
      <c r="J1554" s="11" t="s">
        <v>42</v>
      </c>
      <c r="K1554" s="11" t="s">
        <v>2049</v>
      </c>
      <c r="N1554" s="11" t="s">
        <v>43</v>
      </c>
      <c r="O1554" s="11" t="s">
        <v>44</v>
      </c>
      <c r="P1554" s="11" t="s">
        <v>2559</v>
      </c>
      <c r="Q1554" s="11" t="s">
        <v>44</v>
      </c>
      <c r="R1554" s="11" t="s">
        <v>45</v>
      </c>
      <c r="S1554" s="11" t="s">
        <v>44</v>
      </c>
      <c r="T1554" s="11" t="s">
        <v>44</v>
      </c>
      <c r="U1554" s="11" t="s">
        <v>45</v>
      </c>
      <c r="V1554" s="24">
        <v>45438</v>
      </c>
      <c r="W1554" s="11" t="s">
        <v>46</v>
      </c>
      <c r="X1554" s="11" t="s">
        <v>303</v>
      </c>
      <c r="Y1554" s="11" t="s">
        <v>68</v>
      </c>
      <c r="Z1554" s="11">
        <v>81998221630</v>
      </c>
      <c r="AA1554" s="11" t="s">
        <v>3919</v>
      </c>
      <c r="AB1554" s="11" t="s">
        <v>98</v>
      </c>
      <c r="AC1554" s="11"/>
      <c r="AD1554" s="11" t="b">
        <v>0</v>
      </c>
      <c r="AF1554" s="11" t="s">
        <v>4881</v>
      </c>
      <c r="AG1554" s="11" t="s">
        <v>4882</v>
      </c>
    </row>
    <row r="1555" ht="12.5" spans="1:30">
      <c r="A1555" s="177">
        <v>45437.3949424769</v>
      </c>
      <c r="B1555" s="11" t="s">
        <v>4883</v>
      </c>
      <c r="C1555" s="277" t="s">
        <v>4884</v>
      </c>
      <c r="D1555" s="11">
        <v>700501149772050</v>
      </c>
      <c r="E1555" s="18" t="s">
        <v>4885</v>
      </c>
      <c r="F1555" s="11" t="s">
        <v>225</v>
      </c>
      <c r="G1555" s="11" t="s">
        <v>54</v>
      </c>
      <c r="H1555" s="24">
        <v>31583</v>
      </c>
      <c r="I1555" s="284" t="s">
        <v>2960</v>
      </c>
      <c r="J1555" s="11" t="s">
        <v>42</v>
      </c>
      <c r="K1555" s="11" t="s">
        <v>4512</v>
      </c>
      <c r="N1555" s="11" t="s">
        <v>43</v>
      </c>
      <c r="O1555" s="11" t="s">
        <v>44</v>
      </c>
      <c r="P1555" s="11" t="s">
        <v>44</v>
      </c>
      <c r="Q1555" s="11" t="s">
        <v>44</v>
      </c>
      <c r="R1555" s="11" t="s">
        <v>45</v>
      </c>
      <c r="S1555" s="11" t="s">
        <v>45</v>
      </c>
      <c r="T1555" s="11" t="s">
        <v>44</v>
      </c>
      <c r="U1555" s="11" t="s">
        <v>44</v>
      </c>
      <c r="W1555" s="11" t="s">
        <v>46</v>
      </c>
      <c r="X1555" s="254" t="s">
        <v>156</v>
      </c>
      <c r="Y1555" s="11" t="s">
        <v>68</v>
      </c>
      <c r="Z1555" s="11">
        <v>81997216607</v>
      </c>
      <c r="AA1555" s="11" t="s">
        <v>3919</v>
      </c>
      <c r="AB1555" s="11"/>
      <c r="AC1555" s="11"/>
      <c r="AD1555" s="11" t="b">
        <v>0</v>
      </c>
    </row>
    <row r="1556" ht="12.5" spans="1:33">
      <c r="A1556" s="177">
        <v>45437.4127261111</v>
      </c>
      <c r="B1556" s="11" t="s">
        <v>4263</v>
      </c>
      <c r="C1556" s="19">
        <v>11542933439</v>
      </c>
      <c r="D1556" s="11">
        <v>700908992000398</v>
      </c>
      <c r="F1556" s="11" t="s">
        <v>40</v>
      </c>
      <c r="G1556" s="11" t="s">
        <v>54</v>
      </c>
      <c r="H1556" s="24">
        <v>35474</v>
      </c>
      <c r="I1556" s="11" t="s">
        <v>136</v>
      </c>
      <c r="J1556" s="11" t="s">
        <v>42</v>
      </c>
      <c r="K1556" s="11" t="s">
        <v>155</v>
      </c>
      <c r="N1556" s="11" t="s">
        <v>95</v>
      </c>
      <c r="O1556" s="11" t="s">
        <v>44</v>
      </c>
      <c r="P1556" s="11" t="s">
        <v>44</v>
      </c>
      <c r="Q1556" s="11" t="s">
        <v>44</v>
      </c>
      <c r="R1556" s="11" t="s">
        <v>45</v>
      </c>
      <c r="S1556" s="11" t="s">
        <v>44</v>
      </c>
      <c r="T1556" s="11" t="s">
        <v>44</v>
      </c>
      <c r="U1556" s="11" t="s">
        <v>45</v>
      </c>
      <c r="V1556" s="24">
        <v>45438</v>
      </c>
      <c r="W1556" s="11" t="s">
        <v>57</v>
      </c>
      <c r="X1556" s="11" t="s">
        <v>97</v>
      </c>
      <c r="Y1556" s="11" t="s">
        <v>97</v>
      </c>
      <c r="Z1556" s="11">
        <v>81999243918</v>
      </c>
      <c r="AA1556" s="11" t="s">
        <v>3919</v>
      </c>
      <c r="AB1556" s="11" t="s">
        <v>98</v>
      </c>
      <c r="AC1556" s="11"/>
      <c r="AD1556" s="11" t="b">
        <v>0</v>
      </c>
      <c r="AF1556" s="11" t="s">
        <v>4881</v>
      </c>
      <c r="AG1556" s="11" t="s">
        <v>4882</v>
      </c>
    </row>
    <row r="1557" ht="12.5" spans="1:33">
      <c r="A1557" s="177">
        <v>45437.4201819907</v>
      </c>
      <c r="B1557" s="11" t="s">
        <v>4872</v>
      </c>
      <c r="C1557" s="277" t="s">
        <v>4873</v>
      </c>
      <c r="D1557" s="11">
        <v>704608132038624</v>
      </c>
      <c r="F1557" s="11" t="s">
        <v>40</v>
      </c>
      <c r="G1557" s="11" t="s">
        <v>88</v>
      </c>
      <c r="H1557" s="24">
        <v>29008</v>
      </c>
      <c r="I1557" s="284" t="s">
        <v>4177</v>
      </c>
      <c r="J1557" s="11" t="s">
        <v>42</v>
      </c>
      <c r="K1557" s="11" t="s">
        <v>4886</v>
      </c>
      <c r="N1557" s="11" t="s">
        <v>95</v>
      </c>
      <c r="O1557" s="11" t="s">
        <v>96</v>
      </c>
      <c r="P1557" s="11" t="s">
        <v>66</v>
      </c>
      <c r="Q1557" s="11" t="s">
        <v>44</v>
      </c>
      <c r="R1557" s="11" t="s">
        <v>45</v>
      </c>
      <c r="S1557" s="11" t="s">
        <v>44</v>
      </c>
      <c r="T1557" s="11" t="s">
        <v>44</v>
      </c>
      <c r="U1557" s="11" t="s">
        <v>45</v>
      </c>
      <c r="V1557" s="24">
        <v>45438</v>
      </c>
      <c r="W1557" s="11" t="s">
        <v>57</v>
      </c>
      <c r="X1557" s="11" t="s">
        <v>97</v>
      </c>
      <c r="Y1557" s="11" t="s">
        <v>97</v>
      </c>
      <c r="Z1557" s="11">
        <v>81991396474</v>
      </c>
      <c r="AA1557" s="11" t="s">
        <v>3919</v>
      </c>
      <c r="AB1557" s="11" t="s">
        <v>98</v>
      </c>
      <c r="AC1557" s="11"/>
      <c r="AD1557" s="11" t="b">
        <v>0</v>
      </c>
      <c r="AF1557" s="11" t="s">
        <v>4881</v>
      </c>
      <c r="AG1557" s="11" t="s">
        <v>4882</v>
      </c>
    </row>
    <row r="1558" ht="12.5" spans="1:33">
      <c r="A1558" s="177">
        <v>45437.5195042593</v>
      </c>
      <c r="B1558" s="11" t="s">
        <v>4630</v>
      </c>
      <c r="C1558" s="19">
        <v>15877271458</v>
      </c>
      <c r="D1558" s="11">
        <v>703206662088894</v>
      </c>
      <c r="E1558" s="18" t="s">
        <v>4887</v>
      </c>
      <c r="F1558" s="11" t="s">
        <v>40</v>
      </c>
      <c r="G1558" s="11" t="s">
        <v>54</v>
      </c>
      <c r="H1558" s="24">
        <v>38711</v>
      </c>
      <c r="I1558" s="284" t="s">
        <v>4888</v>
      </c>
      <c r="J1558" s="11" t="s">
        <v>42</v>
      </c>
      <c r="K1558" s="11" t="s">
        <v>155</v>
      </c>
      <c r="N1558" s="11" t="s">
        <v>95</v>
      </c>
      <c r="O1558" s="11" t="s">
        <v>44</v>
      </c>
      <c r="P1558" s="11" t="s">
        <v>56</v>
      </c>
      <c r="Q1558" s="11" t="s">
        <v>44</v>
      </c>
      <c r="R1558" s="11" t="s">
        <v>45</v>
      </c>
      <c r="S1558" s="11" t="s">
        <v>45</v>
      </c>
      <c r="T1558" s="11" t="s">
        <v>44</v>
      </c>
      <c r="U1558" s="11" t="s">
        <v>45</v>
      </c>
      <c r="V1558" s="24">
        <v>45439</v>
      </c>
      <c r="W1558" s="11" t="s">
        <v>46</v>
      </c>
      <c r="X1558" s="11" t="s">
        <v>97</v>
      </c>
      <c r="Y1558" s="11" t="s">
        <v>97</v>
      </c>
      <c r="Z1558" s="11">
        <v>81998028777</v>
      </c>
      <c r="AA1558" s="11" t="s">
        <v>3919</v>
      </c>
      <c r="AB1558" s="11" t="s">
        <v>98</v>
      </c>
      <c r="AC1558" s="11"/>
      <c r="AD1558" s="11" t="b">
        <v>0</v>
      </c>
      <c r="AF1558" s="11" t="s">
        <v>4889</v>
      </c>
      <c r="AG1558" s="11" t="s">
        <v>4890</v>
      </c>
    </row>
    <row r="1559" ht="12.5" spans="1:33">
      <c r="A1559" s="270">
        <v>45437.5416666667</v>
      </c>
      <c r="B1559" s="11" t="s">
        <v>4891</v>
      </c>
      <c r="C1559" s="19">
        <v>11414319479</v>
      </c>
      <c r="D1559" s="11">
        <v>700000069671707</v>
      </c>
      <c r="E1559" s="18" t="s">
        <v>4892</v>
      </c>
      <c r="F1559" s="11" t="s">
        <v>225</v>
      </c>
      <c r="G1559" s="11" t="s">
        <v>54</v>
      </c>
      <c r="H1559" s="24">
        <v>38225</v>
      </c>
      <c r="I1559" s="11" t="s">
        <v>136</v>
      </c>
      <c r="J1559" s="11" t="s">
        <v>42</v>
      </c>
      <c r="K1559" s="11" t="s">
        <v>202</v>
      </c>
      <c r="N1559" s="11" t="s">
        <v>43</v>
      </c>
      <c r="O1559" s="11" t="s">
        <v>44</v>
      </c>
      <c r="P1559" s="11" t="s">
        <v>44</v>
      </c>
      <c r="Q1559" s="11" t="s">
        <v>44</v>
      </c>
      <c r="R1559" s="11" t="s">
        <v>45</v>
      </c>
      <c r="S1559" s="11" t="s">
        <v>45</v>
      </c>
      <c r="T1559" s="11" t="s">
        <v>44</v>
      </c>
      <c r="U1559" s="11" t="s">
        <v>45</v>
      </c>
      <c r="V1559" s="24">
        <v>45438</v>
      </c>
      <c r="W1559" s="11" t="s">
        <v>46</v>
      </c>
      <c r="X1559" s="11" t="s">
        <v>303</v>
      </c>
      <c r="Y1559" s="11" t="s">
        <v>68</v>
      </c>
      <c r="Z1559" s="11">
        <v>81989038065</v>
      </c>
      <c r="AA1559" s="11" t="s">
        <v>3919</v>
      </c>
      <c r="AB1559" s="11" t="s">
        <v>98</v>
      </c>
      <c r="AC1559" s="11"/>
      <c r="AD1559" s="11" t="b">
        <v>0</v>
      </c>
      <c r="AF1559" s="11" t="s">
        <v>4881</v>
      </c>
      <c r="AG1559" s="11" t="s">
        <v>4882</v>
      </c>
    </row>
    <row r="1560" ht="12.5" spans="1:33">
      <c r="A1560" s="177">
        <v>45437.7816912732</v>
      </c>
      <c r="B1560" s="11" t="s">
        <v>4893</v>
      </c>
      <c r="C1560" s="19">
        <v>10940084430</v>
      </c>
      <c r="D1560" s="11">
        <v>700604968715969</v>
      </c>
      <c r="E1560" s="18" t="s">
        <v>4894</v>
      </c>
      <c r="F1560" s="11" t="s">
        <v>40</v>
      </c>
      <c r="G1560" s="11" t="s">
        <v>54</v>
      </c>
      <c r="H1560" s="24">
        <v>34348</v>
      </c>
      <c r="I1560" s="284" t="s">
        <v>4895</v>
      </c>
      <c r="J1560" s="11" t="s">
        <v>42</v>
      </c>
      <c r="K1560" s="11" t="s">
        <v>399</v>
      </c>
      <c r="N1560" s="11" t="s">
        <v>43</v>
      </c>
      <c r="O1560" s="11" t="s">
        <v>65</v>
      </c>
      <c r="P1560" s="11" t="s">
        <v>66</v>
      </c>
      <c r="Q1560" s="11" t="s">
        <v>44</v>
      </c>
      <c r="R1560" s="11" t="s">
        <v>45</v>
      </c>
      <c r="S1560" s="11" t="s">
        <v>45</v>
      </c>
      <c r="T1560" s="11" t="s">
        <v>44</v>
      </c>
      <c r="U1560" s="11" t="s">
        <v>45</v>
      </c>
      <c r="V1560" s="24">
        <v>45438</v>
      </c>
      <c r="W1560" s="11" t="s">
        <v>57</v>
      </c>
      <c r="X1560" s="11" t="s">
        <v>303</v>
      </c>
      <c r="Y1560" s="11" t="s">
        <v>68</v>
      </c>
      <c r="Z1560" s="11">
        <v>81999364988</v>
      </c>
      <c r="AA1560" s="11" t="s">
        <v>3919</v>
      </c>
      <c r="AB1560" s="11" t="s">
        <v>98</v>
      </c>
      <c r="AC1560" s="11"/>
      <c r="AD1560" s="11" t="b">
        <v>0</v>
      </c>
      <c r="AF1560" s="11" t="s">
        <v>4881</v>
      </c>
      <c r="AG1560" s="11" t="s">
        <v>4881</v>
      </c>
    </row>
    <row r="1561" ht="12.5" spans="1:33">
      <c r="A1561" s="177">
        <v>45438.4794956713</v>
      </c>
      <c r="B1561" s="11" t="s">
        <v>2692</v>
      </c>
      <c r="C1561" s="19">
        <v>10811398463</v>
      </c>
      <c r="D1561" s="11">
        <v>701301617122130</v>
      </c>
      <c r="E1561" s="18" t="s">
        <v>4896</v>
      </c>
      <c r="F1561" s="11" t="s">
        <v>225</v>
      </c>
      <c r="G1561" s="11" t="s">
        <v>54</v>
      </c>
      <c r="H1561" s="24">
        <v>34131</v>
      </c>
      <c r="I1561" s="284" t="s">
        <v>2694</v>
      </c>
      <c r="J1561" s="11" t="s">
        <v>42</v>
      </c>
      <c r="K1561" s="11" t="s">
        <v>427</v>
      </c>
      <c r="N1561" s="11" t="s">
        <v>43</v>
      </c>
      <c r="O1561" s="11" t="s">
        <v>96</v>
      </c>
      <c r="P1561" s="11" t="s">
        <v>66</v>
      </c>
      <c r="Q1561" s="11" t="s">
        <v>44</v>
      </c>
      <c r="R1561" s="11" t="s">
        <v>45</v>
      </c>
      <c r="S1561" s="11" t="s">
        <v>45</v>
      </c>
      <c r="T1561" s="11" t="s">
        <v>44</v>
      </c>
      <c r="U1561" s="11" t="s">
        <v>45</v>
      </c>
      <c r="V1561" s="24">
        <v>45439</v>
      </c>
      <c r="W1561" s="11" t="s">
        <v>46</v>
      </c>
      <c r="X1561" s="11" t="s">
        <v>303</v>
      </c>
      <c r="Y1561" s="11" t="s">
        <v>58</v>
      </c>
      <c r="Z1561" s="11">
        <v>81984640980</v>
      </c>
      <c r="AA1561" s="11" t="s">
        <v>1360</v>
      </c>
      <c r="AB1561" s="11" t="s">
        <v>98</v>
      </c>
      <c r="AC1561" s="11"/>
      <c r="AD1561" s="11" t="b">
        <v>0</v>
      </c>
      <c r="AF1561" s="11" t="s">
        <v>4897</v>
      </c>
      <c r="AG1561" s="11" t="s">
        <v>4898</v>
      </c>
    </row>
    <row r="1562" ht="12.5" spans="1:33">
      <c r="A1562" s="177">
        <v>45438.5874492245</v>
      </c>
      <c r="B1562" s="11" t="s">
        <v>4899</v>
      </c>
      <c r="C1562" s="19">
        <v>70341962490</v>
      </c>
      <c r="D1562" s="11">
        <v>700007989953107</v>
      </c>
      <c r="E1562" s="18" t="s">
        <v>4900</v>
      </c>
      <c r="F1562" s="11" t="s">
        <v>40</v>
      </c>
      <c r="G1562" s="11" t="s">
        <v>54</v>
      </c>
      <c r="H1562" s="24">
        <v>35318</v>
      </c>
      <c r="I1562" s="284" t="s">
        <v>4901</v>
      </c>
      <c r="J1562" s="11" t="s">
        <v>42</v>
      </c>
      <c r="K1562" s="11" t="s">
        <v>74</v>
      </c>
      <c r="N1562" s="11" t="s">
        <v>43</v>
      </c>
      <c r="O1562" s="11" t="s">
        <v>96</v>
      </c>
      <c r="P1562" s="11" t="s">
        <v>56</v>
      </c>
      <c r="Q1562" s="11" t="s">
        <v>44</v>
      </c>
      <c r="R1562" s="11" t="s">
        <v>45</v>
      </c>
      <c r="S1562" s="11" t="s">
        <v>45</v>
      </c>
      <c r="T1562" s="11" t="s">
        <v>44</v>
      </c>
      <c r="U1562" s="11" t="s">
        <v>45</v>
      </c>
      <c r="V1562" s="24">
        <v>45439</v>
      </c>
      <c r="W1562" s="11" t="s">
        <v>57</v>
      </c>
      <c r="X1562" s="11" t="s">
        <v>303</v>
      </c>
      <c r="Y1562" s="11" t="s">
        <v>58</v>
      </c>
      <c r="Z1562" s="11">
        <v>81991526074</v>
      </c>
      <c r="AA1562" s="11" t="s">
        <v>1360</v>
      </c>
      <c r="AB1562" s="11" t="s">
        <v>49</v>
      </c>
      <c r="AC1562" s="11" t="s">
        <v>256</v>
      </c>
      <c r="AD1562" s="11" t="b">
        <v>0</v>
      </c>
      <c r="AF1562" s="11" t="s">
        <v>4902</v>
      </c>
      <c r="AG1562" s="11" t="s">
        <v>4903</v>
      </c>
    </row>
    <row r="1563" ht="12.5" spans="1:34">
      <c r="A1563" s="177">
        <v>45438.6996168981</v>
      </c>
      <c r="B1563" s="11" t="s">
        <v>4883</v>
      </c>
      <c r="C1563" s="277" t="s">
        <v>4884</v>
      </c>
      <c r="D1563" s="11">
        <v>700501149772050</v>
      </c>
      <c r="E1563" s="18" t="s">
        <v>4904</v>
      </c>
      <c r="F1563" s="11" t="s">
        <v>225</v>
      </c>
      <c r="G1563" s="11" t="s">
        <v>41</v>
      </c>
      <c r="H1563" s="24">
        <v>31583</v>
      </c>
      <c r="I1563" s="284" t="s">
        <v>2960</v>
      </c>
      <c r="J1563" s="11" t="s">
        <v>42</v>
      </c>
      <c r="K1563" s="11" t="s">
        <v>4905</v>
      </c>
      <c r="N1563" s="11" t="s">
        <v>43</v>
      </c>
      <c r="O1563" s="11" t="s">
        <v>96</v>
      </c>
      <c r="P1563" s="11" t="s">
        <v>66</v>
      </c>
      <c r="Q1563" s="11" t="s">
        <v>44</v>
      </c>
      <c r="R1563" s="11" t="s">
        <v>45</v>
      </c>
      <c r="S1563" s="11" t="s">
        <v>45</v>
      </c>
      <c r="T1563" s="11" t="s">
        <v>44</v>
      </c>
      <c r="U1563" s="11" t="s">
        <v>45</v>
      </c>
      <c r="V1563" s="24">
        <v>45439</v>
      </c>
      <c r="W1563" s="11" t="s">
        <v>46</v>
      </c>
      <c r="X1563" s="11" t="s">
        <v>303</v>
      </c>
      <c r="Y1563" s="11" t="s">
        <v>58</v>
      </c>
      <c r="Z1563" s="136">
        <v>81999721660</v>
      </c>
      <c r="AA1563" s="11" t="s">
        <v>1360</v>
      </c>
      <c r="AB1563" s="11" t="s">
        <v>98</v>
      </c>
      <c r="AC1563" s="11"/>
      <c r="AD1563" s="11" t="b">
        <v>0</v>
      </c>
      <c r="AF1563" s="11" t="s">
        <v>4906</v>
      </c>
      <c r="AG1563" s="11" t="s">
        <v>4907</v>
      </c>
      <c r="AH1563" s="11" t="s">
        <v>2976</v>
      </c>
    </row>
    <row r="1564" ht="12.5" spans="1:34">
      <c r="A1564" s="177">
        <v>45438.7099096644</v>
      </c>
      <c r="B1564" s="11" t="s">
        <v>4908</v>
      </c>
      <c r="C1564" s="19">
        <v>70313602425</v>
      </c>
      <c r="D1564" s="11">
        <v>703402229345414</v>
      </c>
      <c r="E1564" s="18" t="s">
        <v>4909</v>
      </c>
      <c r="F1564" s="11" t="s">
        <v>40</v>
      </c>
      <c r="G1564" s="11" t="s">
        <v>54</v>
      </c>
      <c r="H1564" s="24">
        <v>34800</v>
      </c>
      <c r="I1564" s="284" t="s">
        <v>2629</v>
      </c>
      <c r="J1564" s="11" t="s">
        <v>42</v>
      </c>
      <c r="K1564" s="11" t="s">
        <v>4910</v>
      </c>
      <c r="N1564" s="11" t="s">
        <v>43</v>
      </c>
      <c r="O1564" s="11" t="s">
        <v>44</v>
      </c>
      <c r="P1564" s="11" t="s">
        <v>44</v>
      </c>
      <c r="Q1564" s="11" t="s">
        <v>44</v>
      </c>
      <c r="R1564" s="11" t="s">
        <v>45</v>
      </c>
      <c r="S1564" s="11" t="s">
        <v>45</v>
      </c>
      <c r="T1564" s="11" t="s">
        <v>44</v>
      </c>
      <c r="U1564" s="11" t="s">
        <v>44</v>
      </c>
      <c r="W1564" s="11" t="s">
        <v>46</v>
      </c>
      <c r="X1564" s="11" t="s">
        <v>303</v>
      </c>
      <c r="Y1564" s="11" t="s">
        <v>58</v>
      </c>
      <c r="Z1564" s="11">
        <v>81979007469</v>
      </c>
      <c r="AA1564" s="11" t="s">
        <v>1360</v>
      </c>
      <c r="AB1564" s="11"/>
      <c r="AC1564" s="11"/>
      <c r="AD1564" s="11" t="b">
        <v>0</v>
      </c>
      <c r="AH1564" s="11" t="s">
        <v>4911</v>
      </c>
    </row>
    <row r="1565" ht="12.5" spans="1:33">
      <c r="A1565" s="177">
        <v>45439.5036666204</v>
      </c>
      <c r="B1565" s="11" t="s">
        <v>4751</v>
      </c>
      <c r="C1565" s="277" t="s">
        <v>4752</v>
      </c>
      <c r="D1565" s="11">
        <v>703608091797331</v>
      </c>
      <c r="E1565" s="18" t="s">
        <v>4912</v>
      </c>
      <c r="F1565" s="11" t="s">
        <v>40</v>
      </c>
      <c r="G1565" s="11" t="s">
        <v>41</v>
      </c>
      <c r="H1565" s="24">
        <v>33617</v>
      </c>
      <c r="I1565" s="11" t="s">
        <v>97</v>
      </c>
      <c r="J1565" s="11" t="s">
        <v>438</v>
      </c>
      <c r="M1565" s="11" t="s">
        <v>4913</v>
      </c>
      <c r="N1565" s="11" t="s">
        <v>43</v>
      </c>
      <c r="O1565" s="11" t="s">
        <v>96</v>
      </c>
      <c r="P1565" s="11" t="s">
        <v>66</v>
      </c>
      <c r="Q1565" s="11" t="s">
        <v>45</v>
      </c>
      <c r="R1565" s="11" t="s">
        <v>45</v>
      </c>
      <c r="S1565" s="11" t="s">
        <v>45</v>
      </c>
      <c r="T1565" s="11" t="s">
        <v>44</v>
      </c>
      <c r="U1565" s="11" t="s">
        <v>45</v>
      </c>
      <c r="V1565" s="24">
        <v>45440</v>
      </c>
      <c r="W1565" s="11" t="s">
        <v>46</v>
      </c>
      <c r="X1565" s="11" t="s">
        <v>47</v>
      </c>
      <c r="Y1565" s="11" t="s">
        <v>58</v>
      </c>
      <c r="Z1565" s="11">
        <v>81987240226</v>
      </c>
      <c r="AA1565" s="11" t="s">
        <v>1360</v>
      </c>
      <c r="AB1565" s="11" t="s">
        <v>98</v>
      </c>
      <c r="AC1565" s="11"/>
      <c r="AD1565" s="11" t="b">
        <v>0</v>
      </c>
      <c r="AF1565" s="11" t="s">
        <v>4914</v>
      </c>
      <c r="AG1565" s="11" t="s">
        <v>4915</v>
      </c>
    </row>
    <row r="1566" ht="12.5" spans="1:32">
      <c r="A1566" s="248">
        <v>45439.6381913889</v>
      </c>
      <c r="B1566" s="11" t="s">
        <v>4916</v>
      </c>
      <c r="C1566" s="19">
        <v>71871129478</v>
      </c>
      <c r="D1566" s="11">
        <v>704008378418763</v>
      </c>
      <c r="E1566" s="18" t="s">
        <v>4917</v>
      </c>
      <c r="F1566" s="11" t="s">
        <v>40</v>
      </c>
      <c r="G1566" s="11" t="s">
        <v>54</v>
      </c>
      <c r="H1566" s="24">
        <v>36168</v>
      </c>
      <c r="I1566" s="284" t="s">
        <v>4918</v>
      </c>
      <c r="J1566" s="11" t="s">
        <v>42</v>
      </c>
      <c r="K1566" s="11" t="s">
        <v>356</v>
      </c>
      <c r="N1566" s="11" t="s">
        <v>43</v>
      </c>
      <c r="O1566" s="11" t="s">
        <v>65</v>
      </c>
      <c r="P1566" s="11" t="s">
        <v>2687</v>
      </c>
      <c r="Q1566" s="11" t="s">
        <v>44</v>
      </c>
      <c r="R1566" s="11" t="s">
        <v>45</v>
      </c>
      <c r="S1566" s="11" t="s">
        <v>45</v>
      </c>
      <c r="T1566" s="11" t="s">
        <v>44</v>
      </c>
      <c r="U1566" s="11" t="s">
        <v>45</v>
      </c>
      <c r="V1566" s="24">
        <v>45440</v>
      </c>
      <c r="W1566" s="11" t="s">
        <v>46</v>
      </c>
      <c r="X1566" s="11" t="s">
        <v>47</v>
      </c>
      <c r="Y1566" s="11" t="s">
        <v>58</v>
      </c>
      <c r="Z1566" s="11">
        <v>81999945453</v>
      </c>
      <c r="AA1566" s="11" t="s">
        <v>105</v>
      </c>
      <c r="AB1566" s="11" t="s">
        <v>49</v>
      </c>
      <c r="AC1566" s="11" t="s">
        <v>84</v>
      </c>
      <c r="AD1566" s="11" t="b">
        <v>1</v>
      </c>
      <c r="AE1566" s="11" t="s">
        <v>137</v>
      </c>
      <c r="AF1566" s="11" t="s">
        <v>4919</v>
      </c>
    </row>
    <row r="1567" ht="12.5" spans="1:30">
      <c r="A1567" s="177">
        <v>45439.6763881597</v>
      </c>
      <c r="B1567" s="11" t="s">
        <v>4920</v>
      </c>
      <c r="C1567" s="277" t="s">
        <v>4921</v>
      </c>
      <c r="D1567" s="11">
        <v>704204774765681</v>
      </c>
      <c r="E1567" s="18" t="s">
        <v>4922</v>
      </c>
      <c r="F1567" s="11" t="s">
        <v>40</v>
      </c>
      <c r="G1567" s="11" t="s">
        <v>54</v>
      </c>
      <c r="H1567" s="24">
        <v>35301</v>
      </c>
      <c r="I1567" s="11" t="s">
        <v>4923</v>
      </c>
      <c r="J1567" s="11" t="s">
        <v>438</v>
      </c>
      <c r="M1567" s="11" t="s">
        <v>4924</v>
      </c>
      <c r="N1567" s="11" t="s">
        <v>43</v>
      </c>
      <c r="O1567" s="11" t="s">
        <v>44</v>
      </c>
      <c r="P1567" s="11" t="s">
        <v>44</v>
      </c>
      <c r="Q1567" s="11" t="s">
        <v>44</v>
      </c>
      <c r="R1567" s="11" t="s">
        <v>45</v>
      </c>
      <c r="S1567" s="11" t="s">
        <v>45</v>
      </c>
      <c r="T1567" s="11" t="s">
        <v>44</v>
      </c>
      <c r="U1567" s="11" t="s">
        <v>44</v>
      </c>
      <c r="W1567" s="11" t="s">
        <v>46</v>
      </c>
      <c r="X1567" s="11" t="s">
        <v>47</v>
      </c>
      <c r="Y1567" s="11" t="s">
        <v>58</v>
      </c>
      <c r="Z1567" s="11">
        <v>81984757470</v>
      </c>
      <c r="AA1567" s="11" t="s">
        <v>4003</v>
      </c>
      <c r="AB1567" s="11"/>
      <c r="AC1567" s="11"/>
      <c r="AD1567" s="11" t="b">
        <v>0</v>
      </c>
    </row>
    <row r="1568" ht="12.5" spans="1:30">
      <c r="A1568" s="177">
        <v>45439.7438263426</v>
      </c>
      <c r="B1568" s="11" t="s">
        <v>4925</v>
      </c>
      <c r="C1568" s="19">
        <v>70287998401</v>
      </c>
      <c r="D1568" s="11">
        <v>705409461268299</v>
      </c>
      <c r="E1568" s="18" t="s">
        <v>4926</v>
      </c>
      <c r="F1568" s="11" t="s">
        <v>40</v>
      </c>
      <c r="G1568" s="11" t="s">
        <v>54</v>
      </c>
      <c r="H1568" s="24">
        <v>35925</v>
      </c>
      <c r="I1568" s="284" t="s">
        <v>4927</v>
      </c>
      <c r="J1568" s="11" t="s">
        <v>4928</v>
      </c>
      <c r="N1568" s="11" t="s">
        <v>43</v>
      </c>
      <c r="O1568" s="11" t="s">
        <v>44</v>
      </c>
      <c r="P1568" s="11" t="s">
        <v>2559</v>
      </c>
      <c r="Q1568" s="11" t="s">
        <v>44</v>
      </c>
      <c r="R1568" s="11" t="s">
        <v>45</v>
      </c>
      <c r="S1568" s="11" t="s">
        <v>83</v>
      </c>
      <c r="T1568" s="11" t="s">
        <v>44</v>
      </c>
      <c r="U1568" s="11" t="s">
        <v>44</v>
      </c>
      <c r="W1568" s="11" t="s">
        <v>46</v>
      </c>
      <c r="X1568" s="11" t="s">
        <v>203</v>
      </c>
      <c r="Y1568" s="11" t="s">
        <v>58</v>
      </c>
      <c r="Z1568" s="11">
        <v>81994668996</v>
      </c>
      <c r="AA1568" s="11" t="s">
        <v>105</v>
      </c>
      <c r="AB1568" s="11"/>
      <c r="AC1568" s="11"/>
      <c r="AD1568" s="11" t="b">
        <v>0</v>
      </c>
    </row>
    <row r="1569" ht="12.5" spans="1:30">
      <c r="A1569" s="177">
        <v>45439.7563472801</v>
      </c>
      <c r="B1569" s="11" t="s">
        <v>4899</v>
      </c>
      <c r="C1569" s="19">
        <v>70341962490</v>
      </c>
      <c r="D1569" s="11">
        <v>700007989953107</v>
      </c>
      <c r="F1569" s="11" t="s">
        <v>40</v>
      </c>
      <c r="G1569" s="11" t="s">
        <v>54</v>
      </c>
      <c r="H1569" s="24">
        <v>35318</v>
      </c>
      <c r="I1569" s="284" t="s">
        <v>4901</v>
      </c>
      <c r="J1569" s="11" t="s">
        <v>42</v>
      </c>
      <c r="K1569" s="11" t="s">
        <v>74</v>
      </c>
      <c r="N1569" s="11" t="s">
        <v>95</v>
      </c>
      <c r="O1569" s="11" t="s">
        <v>96</v>
      </c>
      <c r="P1569" s="11" t="s">
        <v>56</v>
      </c>
      <c r="Q1569" s="11" t="s">
        <v>44</v>
      </c>
      <c r="R1569" s="11" t="s">
        <v>45</v>
      </c>
      <c r="S1569" s="11" t="s">
        <v>45</v>
      </c>
      <c r="T1569" s="11" t="s">
        <v>44</v>
      </c>
      <c r="U1569" s="11" t="s">
        <v>44</v>
      </c>
      <c r="V1569" s="24"/>
      <c r="W1569" s="11" t="s">
        <v>57</v>
      </c>
      <c r="X1569" s="11" t="s">
        <v>97</v>
      </c>
      <c r="Y1569" s="11" t="s">
        <v>97</v>
      </c>
      <c r="Z1569" s="11">
        <v>81991526074</v>
      </c>
      <c r="AA1569" s="11" t="s">
        <v>1360</v>
      </c>
      <c r="AB1569" s="11"/>
      <c r="AC1569" s="11"/>
      <c r="AD1569" s="11" t="b">
        <v>0</v>
      </c>
    </row>
    <row r="1570" ht="12.5" spans="1:30">
      <c r="A1570" s="177">
        <v>45440.4136593056</v>
      </c>
      <c r="B1570" s="11" t="s">
        <v>4916</v>
      </c>
      <c r="C1570" s="19">
        <v>71871129478</v>
      </c>
      <c r="D1570" s="11">
        <v>704008378418763</v>
      </c>
      <c r="E1570" s="18" t="s">
        <v>4929</v>
      </c>
      <c r="F1570" s="11" t="s">
        <v>40</v>
      </c>
      <c r="G1570" s="11" t="s">
        <v>54</v>
      </c>
      <c r="H1570" s="24">
        <v>36168</v>
      </c>
      <c r="I1570" s="284" t="s">
        <v>4918</v>
      </c>
      <c r="J1570" s="11" t="s">
        <v>42</v>
      </c>
      <c r="K1570" s="11" t="s">
        <v>356</v>
      </c>
      <c r="N1570" s="11" t="s">
        <v>95</v>
      </c>
      <c r="O1570" s="11" t="s">
        <v>127</v>
      </c>
      <c r="P1570" s="11" t="s">
        <v>44</v>
      </c>
      <c r="Q1570" s="11" t="s">
        <v>45</v>
      </c>
      <c r="R1570" s="11" t="s">
        <v>45</v>
      </c>
      <c r="S1570" s="11" t="s">
        <v>45</v>
      </c>
      <c r="T1570" s="11" t="s">
        <v>44</v>
      </c>
      <c r="U1570" s="11" t="s">
        <v>44</v>
      </c>
      <c r="W1570" s="11" t="s">
        <v>46</v>
      </c>
      <c r="X1570" s="11" t="s">
        <v>97</v>
      </c>
      <c r="Y1570" s="11" t="s">
        <v>97</v>
      </c>
      <c r="Z1570" s="11">
        <v>81999945453</v>
      </c>
      <c r="AA1570" s="11" t="s">
        <v>105</v>
      </c>
      <c r="AB1570" s="11"/>
      <c r="AC1570" s="11"/>
      <c r="AD1570" s="11" t="b">
        <v>0</v>
      </c>
    </row>
    <row r="1571" ht="12.5" spans="1:33">
      <c r="A1571" s="177">
        <v>45440.489501412</v>
      </c>
      <c r="B1571" s="11" t="s">
        <v>4930</v>
      </c>
      <c r="C1571" s="277" t="s">
        <v>4931</v>
      </c>
      <c r="D1571" s="11">
        <v>702600229007746</v>
      </c>
      <c r="E1571" s="18" t="s">
        <v>4932</v>
      </c>
      <c r="F1571" s="11" t="s">
        <v>225</v>
      </c>
      <c r="G1571" s="11" t="s">
        <v>54</v>
      </c>
      <c r="H1571" s="24">
        <v>33253</v>
      </c>
      <c r="I1571" s="284" t="s">
        <v>2925</v>
      </c>
      <c r="J1571" s="11" t="s">
        <v>42</v>
      </c>
      <c r="K1571" s="11" t="s">
        <v>427</v>
      </c>
      <c r="N1571" s="11" t="s">
        <v>43</v>
      </c>
      <c r="O1571" s="11" t="s">
        <v>96</v>
      </c>
      <c r="P1571" s="11" t="s">
        <v>66</v>
      </c>
      <c r="Q1571" s="11" t="s">
        <v>44</v>
      </c>
      <c r="R1571" s="11" t="s">
        <v>45</v>
      </c>
      <c r="S1571" s="11" t="s">
        <v>45</v>
      </c>
      <c r="T1571" s="11" t="s">
        <v>44</v>
      </c>
      <c r="U1571" s="11" t="s">
        <v>45</v>
      </c>
      <c r="V1571" s="24">
        <v>45441</v>
      </c>
      <c r="W1571" s="11" t="s">
        <v>46</v>
      </c>
      <c r="X1571" s="11" t="s">
        <v>47</v>
      </c>
      <c r="Y1571" s="11" t="s">
        <v>58</v>
      </c>
      <c r="Z1571" s="11">
        <v>81973194873</v>
      </c>
      <c r="AA1571" s="11" t="s">
        <v>4003</v>
      </c>
      <c r="AB1571" s="11" t="s">
        <v>98</v>
      </c>
      <c r="AC1571" s="11" t="s">
        <v>3892</v>
      </c>
      <c r="AD1571" s="11" t="b">
        <v>0</v>
      </c>
      <c r="AF1571" s="11" t="s">
        <v>4933</v>
      </c>
      <c r="AG1571" s="11" t="s">
        <v>4934</v>
      </c>
    </row>
    <row r="1572" ht="12.5" spans="1:32">
      <c r="A1572" s="177">
        <v>45440.5790554167</v>
      </c>
      <c r="B1572" s="11" t="s">
        <v>4935</v>
      </c>
      <c r="C1572" s="19">
        <v>16319449403</v>
      </c>
      <c r="D1572" s="11">
        <v>705800422211433</v>
      </c>
      <c r="E1572" s="18" t="s">
        <v>4936</v>
      </c>
      <c r="F1572" s="11" t="s">
        <v>40</v>
      </c>
      <c r="G1572" s="11" t="s">
        <v>54</v>
      </c>
      <c r="H1572" s="24">
        <v>38948</v>
      </c>
      <c r="I1572" s="11" t="s">
        <v>136</v>
      </c>
      <c r="J1572" s="11" t="s">
        <v>42</v>
      </c>
      <c r="K1572" s="11" t="s">
        <v>4763</v>
      </c>
      <c r="N1572" s="11" t="s">
        <v>43</v>
      </c>
      <c r="O1572" s="11" t="s">
        <v>44</v>
      </c>
      <c r="P1572" s="11" t="s">
        <v>44</v>
      </c>
      <c r="Q1572" s="11" t="s">
        <v>44</v>
      </c>
      <c r="R1572" s="11" t="s">
        <v>45</v>
      </c>
      <c r="S1572" s="11" t="s">
        <v>83</v>
      </c>
      <c r="T1572" s="11" t="s">
        <v>44</v>
      </c>
      <c r="U1572" s="11" t="s">
        <v>45</v>
      </c>
      <c r="V1572" s="24">
        <v>45440</v>
      </c>
      <c r="W1572" s="11" t="s">
        <v>46</v>
      </c>
      <c r="X1572" s="11" t="s">
        <v>47</v>
      </c>
      <c r="Y1572" s="11" t="s">
        <v>58</v>
      </c>
      <c r="Z1572" s="11">
        <v>81973176242</v>
      </c>
      <c r="AA1572" s="11" t="s">
        <v>91</v>
      </c>
      <c r="AB1572" s="11" t="s">
        <v>49</v>
      </c>
      <c r="AC1572" s="11" t="s">
        <v>92</v>
      </c>
      <c r="AD1572" s="11" t="b">
        <v>1</v>
      </c>
      <c r="AE1572" s="11" t="s">
        <v>137</v>
      </c>
      <c r="AF1572" s="11" t="s">
        <v>4937</v>
      </c>
    </row>
    <row r="1573" ht="12.5" spans="1:34">
      <c r="A1573" s="177">
        <v>45440.7090927315</v>
      </c>
      <c r="B1573" s="11" t="s">
        <v>4935</v>
      </c>
      <c r="C1573" s="19">
        <v>16319449403</v>
      </c>
      <c r="D1573" s="11">
        <v>705800422211433</v>
      </c>
      <c r="E1573" s="18" t="s">
        <v>4938</v>
      </c>
      <c r="F1573" s="11" t="s">
        <v>40</v>
      </c>
      <c r="G1573" s="11" t="s">
        <v>54</v>
      </c>
      <c r="H1573" s="24">
        <v>38948</v>
      </c>
      <c r="I1573" s="11" t="s">
        <v>136</v>
      </c>
      <c r="J1573" s="11" t="s">
        <v>42</v>
      </c>
      <c r="K1573" s="11" t="s">
        <v>4939</v>
      </c>
      <c r="N1573" s="11" t="s">
        <v>95</v>
      </c>
      <c r="O1573" s="11" t="s">
        <v>44</v>
      </c>
      <c r="P1573" s="11" t="s">
        <v>44</v>
      </c>
      <c r="Q1573" s="11" t="s">
        <v>44</v>
      </c>
      <c r="R1573" s="11" t="s">
        <v>45</v>
      </c>
      <c r="S1573" s="11" t="s">
        <v>83</v>
      </c>
      <c r="T1573" s="11" t="s">
        <v>44</v>
      </c>
      <c r="U1573" s="11" t="s">
        <v>45</v>
      </c>
      <c r="V1573" s="24">
        <v>45443</v>
      </c>
      <c r="W1573" s="11" t="s">
        <v>46</v>
      </c>
      <c r="X1573" s="11" t="s">
        <v>97</v>
      </c>
      <c r="Y1573" s="11" t="s">
        <v>97</v>
      </c>
      <c r="Z1573" s="11">
        <v>81973176242</v>
      </c>
      <c r="AA1573" s="11" t="s">
        <v>91</v>
      </c>
      <c r="AB1573" s="11" t="s">
        <v>98</v>
      </c>
      <c r="AC1573" s="11"/>
      <c r="AD1573" s="11" t="b">
        <v>0</v>
      </c>
      <c r="AF1573" s="11" t="s">
        <v>4940</v>
      </c>
      <c r="AG1573" s="11" t="s">
        <v>4941</v>
      </c>
      <c r="AH1573" s="11" t="s">
        <v>4942</v>
      </c>
    </row>
    <row r="1574" ht="12.5" spans="1:33">
      <c r="A1574" s="177">
        <v>45440.7595204398</v>
      </c>
      <c r="B1574" s="11" t="s">
        <v>4943</v>
      </c>
      <c r="C1574" s="19">
        <v>11873320469</v>
      </c>
      <c r="D1574" s="11">
        <v>700500326666257</v>
      </c>
      <c r="E1574" s="18" t="s">
        <v>4944</v>
      </c>
      <c r="F1574" s="11" t="s">
        <v>40</v>
      </c>
      <c r="G1574" s="11" t="s">
        <v>41</v>
      </c>
      <c r="H1574" s="24">
        <v>36629</v>
      </c>
      <c r="I1574" s="284" t="s">
        <v>4801</v>
      </c>
      <c r="J1574" s="11" t="s">
        <v>42</v>
      </c>
      <c r="K1574" s="11" t="s">
        <v>74</v>
      </c>
      <c r="N1574" s="11" t="s">
        <v>43</v>
      </c>
      <c r="O1574" s="11" t="s">
        <v>44</v>
      </c>
      <c r="P1574" s="11" t="s">
        <v>56</v>
      </c>
      <c r="Q1574" s="11" t="s">
        <v>44</v>
      </c>
      <c r="R1574" s="11" t="s">
        <v>45</v>
      </c>
      <c r="S1574" s="11" t="s">
        <v>83</v>
      </c>
      <c r="T1574" s="11" t="s">
        <v>44</v>
      </c>
      <c r="U1574" s="11" t="s">
        <v>45</v>
      </c>
      <c r="V1574" s="24">
        <v>45441</v>
      </c>
      <c r="W1574" s="11" t="s">
        <v>46</v>
      </c>
      <c r="X1574" s="11" t="s">
        <v>203</v>
      </c>
      <c r="Y1574" s="11" t="s">
        <v>58</v>
      </c>
      <c r="Z1574" s="11">
        <v>81996356367</v>
      </c>
      <c r="AA1574" s="11" t="s">
        <v>115</v>
      </c>
      <c r="AB1574" s="11" t="s">
        <v>98</v>
      </c>
      <c r="AC1574" s="11" t="s">
        <v>3892</v>
      </c>
      <c r="AD1574" s="11" t="b">
        <v>0</v>
      </c>
      <c r="AF1574" s="11" t="s">
        <v>4945</v>
      </c>
      <c r="AG1574" s="11" t="s">
        <v>4946</v>
      </c>
    </row>
    <row r="1575" ht="12.5" spans="1:32">
      <c r="A1575" s="177">
        <v>45440.7609109722</v>
      </c>
      <c r="B1575" s="11" t="s">
        <v>2569</v>
      </c>
      <c r="C1575" s="277" t="s">
        <v>2570</v>
      </c>
      <c r="D1575" s="11">
        <v>706900193331433</v>
      </c>
      <c r="E1575" s="18" t="s">
        <v>4947</v>
      </c>
      <c r="F1575" s="11" t="s">
        <v>40</v>
      </c>
      <c r="G1575" s="11" t="s">
        <v>54</v>
      </c>
      <c r="H1575" s="24">
        <v>33427</v>
      </c>
      <c r="I1575" s="284" t="s">
        <v>4948</v>
      </c>
      <c r="J1575" s="11" t="s">
        <v>42</v>
      </c>
      <c r="K1575" s="11" t="s">
        <v>673</v>
      </c>
      <c r="N1575" s="11" t="s">
        <v>43</v>
      </c>
      <c r="O1575" s="11" t="s">
        <v>96</v>
      </c>
      <c r="P1575" s="11" t="s">
        <v>56</v>
      </c>
      <c r="Q1575" s="11" t="s">
        <v>45</v>
      </c>
      <c r="R1575" s="11" t="s">
        <v>45</v>
      </c>
      <c r="S1575" s="11" t="s">
        <v>45</v>
      </c>
      <c r="T1575" s="11" t="s">
        <v>44</v>
      </c>
      <c r="U1575" s="11" t="s">
        <v>45</v>
      </c>
      <c r="V1575" s="24">
        <v>45442</v>
      </c>
      <c r="W1575" s="11" t="s">
        <v>57</v>
      </c>
      <c r="X1575" s="11" t="s">
        <v>203</v>
      </c>
      <c r="Y1575" s="11" t="s">
        <v>58</v>
      </c>
      <c r="Z1575" s="11">
        <v>81984673362</v>
      </c>
      <c r="AA1575" s="11" t="s">
        <v>105</v>
      </c>
      <c r="AB1575" s="11" t="s">
        <v>98</v>
      </c>
      <c r="AC1575" s="11"/>
      <c r="AD1575" s="11" t="b">
        <v>0</v>
      </c>
      <c r="AF1575" s="11" t="s">
        <v>4949</v>
      </c>
    </row>
    <row r="1576" ht="12.5" spans="1:30">
      <c r="A1576" s="177">
        <v>45441.4116785185</v>
      </c>
      <c r="B1576" s="11" t="s">
        <v>4950</v>
      </c>
      <c r="C1576" s="19">
        <v>70614439442</v>
      </c>
      <c r="D1576" s="11">
        <v>704607721393630</v>
      </c>
      <c r="E1576" s="18" t="s">
        <v>4951</v>
      </c>
      <c r="F1576" s="11" t="s">
        <v>225</v>
      </c>
      <c r="G1576" s="11" t="s">
        <v>54</v>
      </c>
      <c r="H1576" s="24">
        <v>35964</v>
      </c>
      <c r="I1576" s="284" t="s">
        <v>4952</v>
      </c>
      <c r="J1576" s="11" t="s">
        <v>42</v>
      </c>
      <c r="K1576" s="11" t="s">
        <v>202</v>
      </c>
      <c r="N1576" s="11" t="s">
        <v>43</v>
      </c>
      <c r="O1576" s="11" t="s">
        <v>44</v>
      </c>
      <c r="P1576" s="11" t="s">
        <v>44</v>
      </c>
      <c r="Q1576" s="11" t="s">
        <v>45</v>
      </c>
      <c r="R1576" s="11" t="s">
        <v>45</v>
      </c>
      <c r="S1576" s="11" t="s">
        <v>83</v>
      </c>
      <c r="T1576" s="11" t="s">
        <v>44</v>
      </c>
      <c r="U1576" s="11" t="s">
        <v>44</v>
      </c>
      <c r="W1576" s="11" t="s">
        <v>46</v>
      </c>
      <c r="X1576" s="11" t="s">
        <v>47</v>
      </c>
      <c r="Y1576" s="11" t="s">
        <v>58</v>
      </c>
      <c r="Z1576" s="11">
        <v>81997081983</v>
      </c>
      <c r="AA1576" s="11" t="s">
        <v>91</v>
      </c>
      <c r="AB1576" s="11"/>
      <c r="AC1576" s="11"/>
      <c r="AD1576" s="11" t="b">
        <v>0</v>
      </c>
    </row>
    <row r="1577" ht="12.5" spans="1:33">
      <c r="A1577" s="177">
        <v>45441.4654308102</v>
      </c>
      <c r="B1577" s="11" t="s">
        <v>3423</v>
      </c>
      <c r="C1577" s="19">
        <v>12912334403</v>
      </c>
      <c r="D1577" s="11">
        <v>707105809407820</v>
      </c>
      <c r="E1577" s="18" t="s">
        <v>4953</v>
      </c>
      <c r="F1577" s="11" t="s">
        <v>40</v>
      </c>
      <c r="G1577" s="11" t="s">
        <v>54</v>
      </c>
      <c r="H1577" s="24">
        <v>36053</v>
      </c>
      <c r="I1577" s="11" t="s">
        <v>136</v>
      </c>
      <c r="J1577" s="11" t="s">
        <v>42</v>
      </c>
      <c r="K1577" s="11" t="s">
        <v>4954</v>
      </c>
      <c r="N1577" s="11" t="s">
        <v>43</v>
      </c>
      <c r="O1577" s="11" t="s">
        <v>44</v>
      </c>
      <c r="P1577" s="11" t="s">
        <v>44</v>
      </c>
      <c r="Q1577" s="11" t="s">
        <v>44</v>
      </c>
      <c r="R1577" s="11" t="s">
        <v>45</v>
      </c>
      <c r="S1577" s="11" t="s">
        <v>44</v>
      </c>
      <c r="T1577" s="11" t="s">
        <v>44</v>
      </c>
      <c r="U1577" s="11" t="s">
        <v>45</v>
      </c>
      <c r="V1577" s="24">
        <v>45442</v>
      </c>
      <c r="W1577" s="11" t="s">
        <v>46</v>
      </c>
      <c r="X1577" s="11" t="s">
        <v>47</v>
      </c>
      <c r="Y1577" s="11" t="s">
        <v>58</v>
      </c>
      <c r="Z1577" s="11">
        <v>81989668159</v>
      </c>
      <c r="AA1577" s="11" t="s">
        <v>3919</v>
      </c>
      <c r="AB1577" s="11" t="s">
        <v>49</v>
      </c>
      <c r="AC1577" s="11" t="s">
        <v>50</v>
      </c>
      <c r="AD1577" s="11" t="b">
        <v>0</v>
      </c>
      <c r="AF1577" s="11" t="s">
        <v>4955</v>
      </c>
      <c r="AG1577" s="11" t="s">
        <v>4956</v>
      </c>
    </row>
    <row r="1578" ht="12.5" spans="1:30">
      <c r="A1578" s="177">
        <v>45441.5487831829</v>
      </c>
      <c r="B1578" s="11" t="s">
        <v>4957</v>
      </c>
      <c r="C1578" s="19">
        <v>17430102492</v>
      </c>
      <c r="D1578" s="11">
        <v>709003826558411</v>
      </c>
      <c r="E1578" s="18" t="s">
        <v>4958</v>
      </c>
      <c r="F1578" s="11" t="s">
        <v>40</v>
      </c>
      <c r="G1578" s="11" t="s">
        <v>54</v>
      </c>
      <c r="H1578" s="24">
        <v>37780</v>
      </c>
      <c r="I1578" s="11" t="s">
        <v>136</v>
      </c>
      <c r="J1578" s="11" t="s">
        <v>42</v>
      </c>
      <c r="K1578" s="11" t="s">
        <v>4959</v>
      </c>
      <c r="N1578" s="11" t="s">
        <v>43</v>
      </c>
      <c r="O1578" s="11" t="s">
        <v>44</v>
      </c>
      <c r="P1578" s="11" t="s">
        <v>44</v>
      </c>
      <c r="Q1578" s="11" t="s">
        <v>44</v>
      </c>
      <c r="R1578" s="11" t="s">
        <v>45</v>
      </c>
      <c r="S1578" s="11" t="s">
        <v>44</v>
      </c>
      <c r="T1578" s="11" t="s">
        <v>44</v>
      </c>
      <c r="U1578" s="11" t="s">
        <v>44</v>
      </c>
      <c r="W1578" s="11" t="s">
        <v>46</v>
      </c>
      <c r="X1578" s="11" t="s">
        <v>47</v>
      </c>
      <c r="Y1578" s="11" t="s">
        <v>58</v>
      </c>
      <c r="Z1578" s="11">
        <v>81986715318</v>
      </c>
      <c r="AA1578" s="11" t="s">
        <v>3919</v>
      </c>
      <c r="AB1578" s="11"/>
      <c r="AC1578" s="11"/>
      <c r="AD1578" s="11" t="b">
        <v>0</v>
      </c>
    </row>
    <row r="1579" ht="12.5" spans="1:34">
      <c r="A1579" s="177">
        <v>45441.607419919</v>
      </c>
      <c r="B1579" s="11" t="s">
        <v>4960</v>
      </c>
      <c r="C1579" s="277" t="s">
        <v>4961</v>
      </c>
      <c r="D1579" s="11">
        <v>709804080626291</v>
      </c>
      <c r="E1579" s="18" t="s">
        <v>4962</v>
      </c>
      <c r="F1579" s="11" t="s">
        <v>225</v>
      </c>
      <c r="G1579" s="11" t="s">
        <v>54</v>
      </c>
      <c r="H1579" s="24">
        <v>35716</v>
      </c>
      <c r="I1579" s="11" t="s">
        <v>136</v>
      </c>
      <c r="J1579" s="11" t="s">
        <v>42</v>
      </c>
      <c r="K1579" s="11" t="s">
        <v>63</v>
      </c>
      <c r="N1579" s="11" t="s">
        <v>43</v>
      </c>
      <c r="O1579" s="11" t="s">
        <v>44</v>
      </c>
      <c r="P1579" s="11" t="s">
        <v>44</v>
      </c>
      <c r="Q1579" s="11" t="s">
        <v>44</v>
      </c>
      <c r="R1579" s="11" t="s">
        <v>45</v>
      </c>
      <c r="S1579" s="11" t="s">
        <v>83</v>
      </c>
      <c r="T1579" s="11" t="s">
        <v>44</v>
      </c>
      <c r="U1579" s="11" t="s">
        <v>45</v>
      </c>
      <c r="V1579" s="24">
        <v>45441</v>
      </c>
      <c r="W1579" s="11" t="s">
        <v>46</v>
      </c>
      <c r="X1579" s="11" t="s">
        <v>47</v>
      </c>
      <c r="Y1579" s="11" t="s">
        <v>58</v>
      </c>
      <c r="Z1579" s="11">
        <v>81998520846</v>
      </c>
      <c r="AA1579" s="11" t="s">
        <v>91</v>
      </c>
      <c r="AB1579" s="11" t="s">
        <v>49</v>
      </c>
      <c r="AC1579" s="11" t="s">
        <v>92</v>
      </c>
      <c r="AD1579" s="11" t="b">
        <v>1</v>
      </c>
      <c r="AE1579" s="11" t="s">
        <v>137</v>
      </c>
      <c r="AF1579" s="11" t="s">
        <v>4963</v>
      </c>
      <c r="AG1579" s="11" t="s">
        <v>4964</v>
      </c>
      <c r="AH1579" s="63" t="s">
        <v>4965</v>
      </c>
    </row>
    <row r="1580" ht="12.5" spans="1:30">
      <c r="A1580" s="177">
        <v>45442.3869970255</v>
      </c>
      <c r="B1580" s="11" t="s">
        <v>4960</v>
      </c>
      <c r="C1580" s="277" t="s">
        <v>4961</v>
      </c>
      <c r="D1580" s="11">
        <v>709804080626291</v>
      </c>
      <c r="E1580" s="18" t="s">
        <v>4966</v>
      </c>
      <c r="F1580" s="11" t="s">
        <v>225</v>
      </c>
      <c r="G1580" s="11" t="s">
        <v>54</v>
      </c>
      <c r="H1580" s="24">
        <v>35716</v>
      </c>
      <c r="I1580" s="11" t="s">
        <v>136</v>
      </c>
      <c r="J1580" s="11" t="s">
        <v>42</v>
      </c>
      <c r="K1580" s="11" t="s">
        <v>63</v>
      </c>
      <c r="N1580" s="11" t="s">
        <v>95</v>
      </c>
      <c r="O1580" s="11" t="s">
        <v>44</v>
      </c>
      <c r="P1580" s="11" t="s">
        <v>44</v>
      </c>
      <c r="Q1580" s="11" t="s">
        <v>44</v>
      </c>
      <c r="R1580" s="11" t="s">
        <v>45</v>
      </c>
      <c r="S1580" s="11" t="s">
        <v>83</v>
      </c>
      <c r="T1580" s="11" t="s">
        <v>44</v>
      </c>
      <c r="U1580" s="11" t="s">
        <v>44</v>
      </c>
      <c r="W1580" s="11" t="s">
        <v>46</v>
      </c>
      <c r="X1580" s="11" t="s">
        <v>97</v>
      </c>
      <c r="Y1580" s="11" t="s">
        <v>97</v>
      </c>
      <c r="Z1580" s="11">
        <v>81998520846</v>
      </c>
      <c r="AA1580" s="11" t="s">
        <v>91</v>
      </c>
      <c r="AB1580" s="11"/>
      <c r="AC1580" s="11"/>
      <c r="AD1580" s="11" t="b">
        <v>0</v>
      </c>
    </row>
    <row r="1581" ht="12.5" spans="1:33">
      <c r="A1581" s="177">
        <v>45442.5745146759</v>
      </c>
      <c r="B1581" s="11" t="s">
        <v>4967</v>
      </c>
      <c r="C1581" s="19">
        <v>10024550493</v>
      </c>
      <c r="D1581" s="11">
        <v>708704169647495</v>
      </c>
      <c r="E1581" s="18" t="s">
        <v>4968</v>
      </c>
      <c r="F1581" s="11" t="s">
        <v>40</v>
      </c>
      <c r="G1581" s="11" t="s">
        <v>54</v>
      </c>
      <c r="H1581" s="24">
        <v>37895</v>
      </c>
      <c r="I1581" s="284" t="s">
        <v>4087</v>
      </c>
      <c r="J1581" s="11" t="s">
        <v>42</v>
      </c>
      <c r="K1581" s="11" t="s">
        <v>74</v>
      </c>
      <c r="N1581" s="11" t="s">
        <v>43</v>
      </c>
      <c r="O1581" s="11" t="s">
        <v>44</v>
      </c>
      <c r="P1581" s="11" t="s">
        <v>56</v>
      </c>
      <c r="Q1581" s="11" t="s">
        <v>44</v>
      </c>
      <c r="R1581" s="11" t="s">
        <v>45</v>
      </c>
      <c r="S1581" s="11" t="s">
        <v>45</v>
      </c>
      <c r="T1581" s="11" t="s">
        <v>44</v>
      </c>
      <c r="U1581" s="11" t="s">
        <v>45</v>
      </c>
      <c r="V1581" s="24">
        <v>45446</v>
      </c>
      <c r="W1581" s="11" t="s">
        <v>46</v>
      </c>
      <c r="X1581" s="11" t="s">
        <v>47</v>
      </c>
      <c r="Y1581" s="11" t="s">
        <v>48</v>
      </c>
      <c r="Z1581" s="11">
        <v>81999101947</v>
      </c>
      <c r="AA1581" s="11" t="s">
        <v>3919</v>
      </c>
      <c r="AB1581" s="11" t="s">
        <v>98</v>
      </c>
      <c r="AC1581" s="11"/>
      <c r="AD1581" s="11" t="b">
        <v>0</v>
      </c>
      <c r="AF1581" s="11" t="s">
        <v>4969</v>
      </c>
      <c r="AG1581" s="11" t="s">
        <v>4970</v>
      </c>
    </row>
    <row r="1582" ht="12.5" spans="1:30">
      <c r="A1582" s="177">
        <v>45442.5768903819</v>
      </c>
      <c r="B1582" s="11" t="s">
        <v>3423</v>
      </c>
      <c r="C1582" s="19">
        <v>12912334403</v>
      </c>
      <c r="D1582" s="11">
        <v>707105809407820</v>
      </c>
      <c r="F1582" s="11" t="s">
        <v>40</v>
      </c>
      <c r="G1582" s="11" t="s">
        <v>88</v>
      </c>
      <c r="H1582" s="24">
        <v>36053</v>
      </c>
      <c r="I1582" s="284" t="s">
        <v>3425</v>
      </c>
      <c r="J1582" s="11" t="s">
        <v>42</v>
      </c>
      <c r="K1582" s="11" t="s">
        <v>149</v>
      </c>
      <c r="N1582" s="11" t="s">
        <v>95</v>
      </c>
      <c r="O1582" s="11" t="s">
        <v>44</v>
      </c>
      <c r="P1582" s="11" t="s">
        <v>44</v>
      </c>
      <c r="Q1582" s="11" t="s">
        <v>44</v>
      </c>
      <c r="R1582" s="11" t="s">
        <v>45</v>
      </c>
      <c r="S1582" s="11" t="s">
        <v>45</v>
      </c>
      <c r="T1582" s="11" t="s">
        <v>44</v>
      </c>
      <c r="U1582" s="11" t="s">
        <v>44</v>
      </c>
      <c r="W1582" s="11" t="s">
        <v>57</v>
      </c>
      <c r="X1582" s="11" t="s">
        <v>97</v>
      </c>
      <c r="Y1582" s="11" t="s">
        <v>97</v>
      </c>
      <c r="Z1582" s="11">
        <v>81989668159</v>
      </c>
      <c r="AA1582" s="11" t="s">
        <v>115</v>
      </c>
      <c r="AB1582" s="11"/>
      <c r="AC1582" s="11"/>
      <c r="AD1582" s="11" t="b">
        <v>0</v>
      </c>
    </row>
    <row r="1583" ht="12.5" spans="1:34">
      <c r="A1583" s="177">
        <v>45442.6869662616</v>
      </c>
      <c r="B1583" s="11" t="s">
        <v>4468</v>
      </c>
      <c r="C1583" s="19">
        <v>70541703420</v>
      </c>
      <c r="D1583" s="11">
        <v>700004688616605</v>
      </c>
      <c r="E1583" s="18" t="s">
        <v>4971</v>
      </c>
      <c r="F1583" s="11" t="s">
        <v>225</v>
      </c>
      <c r="G1583" s="11" t="s">
        <v>41</v>
      </c>
      <c r="H1583" s="24">
        <v>35163</v>
      </c>
      <c r="I1583" s="11" t="s">
        <v>136</v>
      </c>
      <c r="J1583" s="11" t="s">
        <v>42</v>
      </c>
      <c r="K1583" s="11" t="s">
        <v>399</v>
      </c>
      <c r="N1583" s="11" t="s">
        <v>43</v>
      </c>
      <c r="O1583" s="11" t="s">
        <v>65</v>
      </c>
      <c r="P1583" s="11" t="s">
        <v>66</v>
      </c>
      <c r="Q1583" s="11" t="s">
        <v>44</v>
      </c>
      <c r="R1583" s="11" t="s">
        <v>45</v>
      </c>
      <c r="S1583" s="11" t="s">
        <v>45</v>
      </c>
      <c r="T1583" s="11" t="s">
        <v>44</v>
      </c>
      <c r="U1583" s="11" t="s">
        <v>45</v>
      </c>
      <c r="V1583" s="24">
        <v>45443</v>
      </c>
      <c r="W1583" s="11" t="s">
        <v>46</v>
      </c>
      <c r="X1583" s="11" t="s">
        <v>47</v>
      </c>
      <c r="Y1583" s="11" t="s">
        <v>58</v>
      </c>
      <c r="Z1583" s="11">
        <v>81979060734</v>
      </c>
      <c r="AA1583" s="11" t="s">
        <v>3919</v>
      </c>
      <c r="AB1583" s="11" t="s">
        <v>98</v>
      </c>
      <c r="AC1583" s="11"/>
      <c r="AD1583" s="11" t="b">
        <v>0</v>
      </c>
      <c r="AF1583" s="11" t="s">
        <v>4972</v>
      </c>
      <c r="AG1583" s="11" t="s">
        <v>4973</v>
      </c>
      <c r="AH1583" s="11" t="s">
        <v>4974</v>
      </c>
    </row>
    <row r="1584" ht="12.5" spans="1:34">
      <c r="A1584" s="177">
        <v>45442.745745706</v>
      </c>
      <c r="B1584" s="11" t="s">
        <v>2167</v>
      </c>
      <c r="C1584" s="19">
        <v>1440046413</v>
      </c>
      <c r="D1584" s="11">
        <v>898006177047124</v>
      </c>
      <c r="E1584" s="18" t="s">
        <v>4975</v>
      </c>
      <c r="F1584" s="11" t="s">
        <v>40</v>
      </c>
      <c r="G1584" s="11" t="s">
        <v>54</v>
      </c>
      <c r="H1584" s="24">
        <v>37004</v>
      </c>
      <c r="I1584" s="11" t="s">
        <v>3556</v>
      </c>
      <c r="J1584" s="11" t="s">
        <v>438</v>
      </c>
      <c r="M1584" s="11" t="s">
        <v>1669</v>
      </c>
      <c r="N1584" s="11" t="s">
        <v>43</v>
      </c>
      <c r="O1584" s="11" t="s">
        <v>96</v>
      </c>
      <c r="P1584" s="11" t="s">
        <v>66</v>
      </c>
      <c r="Q1584" s="11" t="s">
        <v>44</v>
      </c>
      <c r="R1584" s="11" t="s">
        <v>45</v>
      </c>
      <c r="S1584" s="11" t="s">
        <v>45</v>
      </c>
      <c r="T1584" s="11" t="s">
        <v>44</v>
      </c>
      <c r="U1584" s="11" t="s">
        <v>45</v>
      </c>
      <c r="V1584" s="24">
        <v>45443</v>
      </c>
      <c r="W1584" s="11" t="s">
        <v>46</v>
      </c>
      <c r="X1584" s="11" t="s">
        <v>203</v>
      </c>
      <c r="Y1584" s="11" t="s">
        <v>68</v>
      </c>
      <c r="Z1584" s="11">
        <v>87999556188</v>
      </c>
      <c r="AA1584" s="11" t="s">
        <v>3919</v>
      </c>
      <c r="AB1584" s="11" t="s">
        <v>98</v>
      </c>
      <c r="AC1584" s="11"/>
      <c r="AD1584" s="11" t="b">
        <v>0</v>
      </c>
      <c r="AF1584" s="11" t="s">
        <v>4976</v>
      </c>
      <c r="AG1584" s="11" t="s">
        <v>4977</v>
      </c>
      <c r="AH1584" s="11" t="s">
        <v>4978</v>
      </c>
    </row>
    <row r="1585" ht="12.5" spans="1:32">
      <c r="A1585" s="177">
        <v>45442.7529818866</v>
      </c>
      <c r="B1585" s="11" t="s">
        <v>4899</v>
      </c>
      <c r="C1585" s="19">
        <v>70341962490</v>
      </c>
      <c r="D1585" s="11">
        <v>700007989953107</v>
      </c>
      <c r="E1585" s="18" t="s">
        <v>4979</v>
      </c>
      <c r="F1585" s="11" t="s">
        <v>40</v>
      </c>
      <c r="G1585" s="11" t="s">
        <v>54</v>
      </c>
      <c r="H1585" s="24">
        <v>35318</v>
      </c>
      <c r="I1585" s="284" t="s">
        <v>4901</v>
      </c>
      <c r="J1585" s="11" t="s">
        <v>42</v>
      </c>
      <c r="K1585" s="11" t="s">
        <v>90</v>
      </c>
      <c r="N1585" s="11" t="s">
        <v>43</v>
      </c>
      <c r="O1585" s="11" t="s">
        <v>44</v>
      </c>
      <c r="P1585" s="11" t="s">
        <v>44</v>
      </c>
      <c r="Q1585" s="11" t="s">
        <v>44</v>
      </c>
      <c r="R1585" s="11" t="s">
        <v>45</v>
      </c>
      <c r="S1585" s="11" t="s">
        <v>45</v>
      </c>
      <c r="T1585" s="11" t="s">
        <v>44</v>
      </c>
      <c r="U1585" s="11" t="s">
        <v>45</v>
      </c>
      <c r="V1585" s="24">
        <v>45442</v>
      </c>
      <c r="W1585" s="11" t="s">
        <v>46</v>
      </c>
      <c r="X1585" s="11" t="s">
        <v>203</v>
      </c>
      <c r="Y1585" s="11" t="s">
        <v>58</v>
      </c>
      <c r="Z1585" s="11">
        <v>81991526074</v>
      </c>
      <c r="AA1585" s="11" t="s">
        <v>115</v>
      </c>
      <c r="AB1585" s="11" t="s">
        <v>49</v>
      </c>
      <c r="AC1585" s="11" t="s">
        <v>50</v>
      </c>
      <c r="AD1585" s="11" t="b">
        <v>0</v>
      </c>
      <c r="AF1585" s="11" t="s">
        <v>4980</v>
      </c>
    </row>
    <row r="1586" ht="12.5" spans="1:30">
      <c r="A1586" s="177">
        <v>45442.8024584259</v>
      </c>
      <c r="B1586" s="11" t="s">
        <v>4899</v>
      </c>
      <c r="C1586" s="19">
        <v>70341962490</v>
      </c>
      <c r="D1586" s="11">
        <v>700007989953107</v>
      </c>
      <c r="E1586" s="18" t="s">
        <v>4979</v>
      </c>
      <c r="F1586" s="11" t="s">
        <v>40</v>
      </c>
      <c r="G1586" s="11" t="s">
        <v>54</v>
      </c>
      <c r="H1586" s="24">
        <v>35318</v>
      </c>
      <c r="I1586" s="284" t="s">
        <v>4901</v>
      </c>
      <c r="J1586" s="11" t="s">
        <v>42</v>
      </c>
      <c r="K1586" s="11" t="s">
        <v>90</v>
      </c>
      <c r="N1586" s="11" t="s">
        <v>95</v>
      </c>
      <c r="O1586" s="11" t="s">
        <v>44</v>
      </c>
      <c r="P1586" s="11" t="s">
        <v>44</v>
      </c>
      <c r="Q1586" s="11" t="s">
        <v>44</v>
      </c>
      <c r="R1586" s="11" t="s">
        <v>45</v>
      </c>
      <c r="S1586" s="11" t="s">
        <v>45</v>
      </c>
      <c r="T1586" s="11" t="s">
        <v>44</v>
      </c>
      <c r="U1586" s="11" t="s">
        <v>44</v>
      </c>
      <c r="W1586" s="11" t="s">
        <v>46</v>
      </c>
      <c r="X1586" s="11" t="s">
        <v>97</v>
      </c>
      <c r="Y1586" s="11" t="s">
        <v>97</v>
      </c>
      <c r="Z1586" s="11">
        <v>81991526074</v>
      </c>
      <c r="AA1586" s="11" t="s">
        <v>115</v>
      </c>
      <c r="AB1586" s="11"/>
      <c r="AC1586" s="11"/>
      <c r="AD1586" s="11" t="b">
        <v>0</v>
      </c>
    </row>
    <row r="1587" ht="12.5" spans="1:34">
      <c r="A1587" s="177">
        <v>45443.4374779167</v>
      </c>
      <c r="B1587" s="11" t="s">
        <v>4981</v>
      </c>
      <c r="C1587" s="19">
        <v>12996355474</v>
      </c>
      <c r="D1587" s="11">
        <v>700900983777493</v>
      </c>
      <c r="E1587" s="18" t="s">
        <v>4982</v>
      </c>
      <c r="F1587" s="11" t="s">
        <v>225</v>
      </c>
      <c r="G1587" s="11" t="s">
        <v>54</v>
      </c>
      <c r="H1587" s="24">
        <v>36355</v>
      </c>
      <c r="I1587" s="284" t="s">
        <v>3090</v>
      </c>
      <c r="J1587" s="11" t="s">
        <v>42</v>
      </c>
      <c r="K1587" s="11" t="s">
        <v>4983</v>
      </c>
      <c r="N1587" s="11" t="s">
        <v>43</v>
      </c>
      <c r="O1587" s="11" t="s">
        <v>44</v>
      </c>
      <c r="P1587" s="11" t="s">
        <v>44</v>
      </c>
      <c r="Q1587" s="11" t="s">
        <v>44</v>
      </c>
      <c r="R1587" s="11" t="s">
        <v>45</v>
      </c>
      <c r="S1587" s="11" t="s">
        <v>45</v>
      </c>
      <c r="T1587" s="11" t="s">
        <v>44</v>
      </c>
      <c r="U1587" s="11" t="s">
        <v>45</v>
      </c>
      <c r="V1587" s="24">
        <v>45443</v>
      </c>
      <c r="W1587" s="11" t="s">
        <v>46</v>
      </c>
      <c r="X1587" s="11" t="s">
        <v>303</v>
      </c>
      <c r="Y1587" s="11" t="s">
        <v>68</v>
      </c>
      <c r="Z1587" s="11">
        <v>81998315894</v>
      </c>
      <c r="AA1587" s="11" t="s">
        <v>105</v>
      </c>
      <c r="AB1587" s="11" t="s">
        <v>49</v>
      </c>
      <c r="AC1587" s="11" t="s">
        <v>84</v>
      </c>
      <c r="AD1587" s="11" t="b">
        <v>0</v>
      </c>
      <c r="AF1587" s="11" t="s">
        <v>4984</v>
      </c>
      <c r="AH1587" s="63" t="s">
        <v>4985</v>
      </c>
    </row>
    <row r="1588" ht="12.5" spans="1:33">
      <c r="A1588" s="177">
        <v>45444.4949210069</v>
      </c>
      <c r="B1588" s="11" t="s">
        <v>4986</v>
      </c>
      <c r="C1588" s="277" t="s">
        <v>4987</v>
      </c>
      <c r="D1588" s="11">
        <v>707306000757270</v>
      </c>
      <c r="E1588" s="18" t="s">
        <v>4988</v>
      </c>
      <c r="F1588" s="11" t="s">
        <v>40</v>
      </c>
      <c r="G1588" s="11" t="s">
        <v>88</v>
      </c>
      <c r="H1588" s="24">
        <v>33924</v>
      </c>
      <c r="I1588" s="11" t="s">
        <v>3556</v>
      </c>
      <c r="J1588" s="11" t="s">
        <v>438</v>
      </c>
      <c r="M1588" s="11" t="s">
        <v>4989</v>
      </c>
      <c r="N1588" s="11" t="s">
        <v>43</v>
      </c>
      <c r="O1588" s="11" t="s">
        <v>44</v>
      </c>
      <c r="P1588" s="11" t="s">
        <v>56</v>
      </c>
      <c r="Q1588" s="11" t="s">
        <v>44</v>
      </c>
      <c r="R1588" s="11" t="s">
        <v>45</v>
      </c>
      <c r="S1588" s="11" t="s">
        <v>45</v>
      </c>
      <c r="T1588" s="11" t="s">
        <v>44</v>
      </c>
      <c r="U1588" s="11" t="s">
        <v>45</v>
      </c>
      <c r="V1588" s="24">
        <v>45445</v>
      </c>
      <c r="W1588" s="11" t="s">
        <v>46</v>
      </c>
      <c r="X1588" s="11" t="s">
        <v>303</v>
      </c>
      <c r="Y1588" s="11" t="s">
        <v>68</v>
      </c>
      <c r="Z1588" s="11">
        <v>81986942653</v>
      </c>
      <c r="AA1588" s="11" t="s">
        <v>3919</v>
      </c>
      <c r="AB1588" s="11" t="s">
        <v>98</v>
      </c>
      <c r="AC1588" s="11"/>
      <c r="AD1588" s="11" t="b">
        <v>0</v>
      </c>
      <c r="AF1588" s="11" t="s">
        <v>4990</v>
      </c>
      <c r="AG1588" s="11" t="s">
        <v>4991</v>
      </c>
    </row>
    <row r="1589" ht="12.5" spans="1:32">
      <c r="A1589" s="177">
        <v>45444.6175482639</v>
      </c>
      <c r="B1589" s="11" t="s">
        <v>4992</v>
      </c>
      <c r="C1589" s="19">
        <v>70407529489</v>
      </c>
      <c r="D1589" s="11">
        <v>708508517123080</v>
      </c>
      <c r="E1589" s="18" t="s">
        <v>4993</v>
      </c>
      <c r="F1589" s="11" t="s">
        <v>40</v>
      </c>
      <c r="G1589" s="11" t="s">
        <v>54</v>
      </c>
      <c r="H1589" s="24">
        <v>36135</v>
      </c>
      <c r="I1589" s="11" t="s">
        <v>136</v>
      </c>
      <c r="J1589" s="11" t="s">
        <v>42</v>
      </c>
      <c r="K1589" s="11" t="s">
        <v>282</v>
      </c>
      <c r="N1589" s="11" t="s">
        <v>43</v>
      </c>
      <c r="O1589" s="11" t="s">
        <v>44</v>
      </c>
      <c r="P1589" s="11" t="s">
        <v>66</v>
      </c>
      <c r="Q1589" s="11" t="s">
        <v>44</v>
      </c>
      <c r="R1589" s="11" t="s">
        <v>45</v>
      </c>
      <c r="S1589" s="11" t="s">
        <v>45</v>
      </c>
      <c r="T1589" s="11" t="s">
        <v>44</v>
      </c>
      <c r="U1589" s="11" t="s">
        <v>45</v>
      </c>
      <c r="V1589" s="24">
        <v>45446</v>
      </c>
      <c r="W1589" s="11" t="s">
        <v>46</v>
      </c>
      <c r="X1589" s="11" t="s">
        <v>303</v>
      </c>
      <c r="Y1589" s="11" t="s">
        <v>68</v>
      </c>
      <c r="Z1589" s="11">
        <v>81999319275</v>
      </c>
      <c r="AA1589" s="11" t="s">
        <v>3919</v>
      </c>
      <c r="AB1589" s="11" t="s">
        <v>49</v>
      </c>
      <c r="AC1589" s="11" t="s">
        <v>50</v>
      </c>
      <c r="AD1589" s="11" t="b">
        <v>0</v>
      </c>
      <c r="AF1589" s="11" t="s">
        <v>4994</v>
      </c>
    </row>
    <row r="1590" ht="12.5" spans="1:34">
      <c r="A1590" s="177">
        <v>45445.4243559491</v>
      </c>
      <c r="B1590" s="11" t="s">
        <v>4995</v>
      </c>
      <c r="C1590" s="19">
        <v>70675118441</v>
      </c>
      <c r="D1590" s="11">
        <v>706303762885274</v>
      </c>
      <c r="E1590" s="18" t="s">
        <v>4996</v>
      </c>
      <c r="F1590" s="11" t="s">
        <v>40</v>
      </c>
      <c r="G1590" s="11" t="s">
        <v>41</v>
      </c>
      <c r="H1590" s="24">
        <v>35868</v>
      </c>
      <c r="I1590" s="11" t="s">
        <v>97</v>
      </c>
      <c r="J1590" s="11" t="s">
        <v>438</v>
      </c>
      <c r="M1590" s="11" t="s">
        <v>1669</v>
      </c>
      <c r="N1590" s="11" t="s">
        <v>43</v>
      </c>
      <c r="O1590" s="11" t="s">
        <v>44</v>
      </c>
      <c r="P1590" s="11" t="s">
        <v>44</v>
      </c>
      <c r="Q1590" s="11" t="s">
        <v>44</v>
      </c>
      <c r="R1590" s="11" t="s">
        <v>44</v>
      </c>
      <c r="S1590" s="11" t="s">
        <v>45</v>
      </c>
      <c r="T1590" s="11" t="s">
        <v>44</v>
      </c>
      <c r="U1590" s="11" t="s">
        <v>45</v>
      </c>
      <c r="V1590" s="24">
        <v>45448</v>
      </c>
      <c r="W1590" s="11" t="s">
        <v>46</v>
      </c>
      <c r="X1590" s="11" t="s">
        <v>303</v>
      </c>
      <c r="Y1590" s="11" t="s">
        <v>58</v>
      </c>
      <c r="Z1590" s="11">
        <v>81996565391</v>
      </c>
      <c r="AA1590" s="11" t="s">
        <v>1360</v>
      </c>
      <c r="AB1590" s="11" t="s">
        <v>49</v>
      </c>
      <c r="AC1590" s="11" t="s">
        <v>84</v>
      </c>
      <c r="AD1590" s="11" t="b">
        <v>1</v>
      </c>
      <c r="AE1590" s="11" t="s">
        <v>137</v>
      </c>
      <c r="AF1590" s="11" t="s">
        <v>4997</v>
      </c>
      <c r="AH1590" s="11" t="s">
        <v>4998</v>
      </c>
    </row>
    <row r="1591" ht="12.5" spans="1:30">
      <c r="A1591" s="177">
        <v>45445.7096309722</v>
      </c>
      <c r="B1591" s="11" t="s">
        <v>4999</v>
      </c>
      <c r="C1591" s="277" t="s">
        <v>5000</v>
      </c>
      <c r="D1591" s="11">
        <v>708205632095841</v>
      </c>
      <c r="E1591" s="18" t="s">
        <v>5001</v>
      </c>
      <c r="F1591" s="11" t="s">
        <v>40</v>
      </c>
      <c r="G1591" s="11" t="s">
        <v>54</v>
      </c>
      <c r="H1591" s="24">
        <v>30700</v>
      </c>
      <c r="I1591" s="284" t="s">
        <v>4888</v>
      </c>
      <c r="J1591" s="11" t="s">
        <v>42</v>
      </c>
      <c r="K1591" s="11" t="s">
        <v>74</v>
      </c>
      <c r="N1591" s="11" t="s">
        <v>43</v>
      </c>
      <c r="O1591" s="11" t="s">
        <v>44</v>
      </c>
      <c r="P1591" s="11" t="s">
        <v>44</v>
      </c>
      <c r="Q1591" s="11" t="s">
        <v>44</v>
      </c>
      <c r="R1591" s="11" t="s">
        <v>45</v>
      </c>
      <c r="S1591" s="11" t="s">
        <v>45</v>
      </c>
      <c r="T1591" s="11" t="s">
        <v>44</v>
      </c>
      <c r="U1591" s="11" t="s">
        <v>44</v>
      </c>
      <c r="W1591" s="11" t="s">
        <v>46</v>
      </c>
      <c r="X1591" s="11" t="s">
        <v>303</v>
      </c>
      <c r="Y1591" s="11" t="s">
        <v>58</v>
      </c>
      <c r="Z1591" s="11">
        <v>81988241106</v>
      </c>
      <c r="AA1591" s="11" t="s">
        <v>1360</v>
      </c>
      <c r="AB1591" s="11"/>
      <c r="AC1591" s="11"/>
      <c r="AD1591" s="11" t="b">
        <v>0</v>
      </c>
    </row>
    <row r="1592" ht="12.5" spans="1:32">
      <c r="A1592" s="177">
        <v>45446.3539295718</v>
      </c>
      <c r="B1592" s="11" t="s">
        <v>4992</v>
      </c>
      <c r="C1592" s="11">
        <v>70407529489</v>
      </c>
      <c r="D1592" s="11">
        <v>708508517123080</v>
      </c>
      <c r="F1592" s="11" t="s">
        <v>40</v>
      </c>
      <c r="G1592" s="11" t="s">
        <v>54</v>
      </c>
      <c r="H1592" s="24">
        <v>36135</v>
      </c>
      <c r="I1592" s="284" t="s">
        <v>5002</v>
      </c>
      <c r="J1592" s="11" t="s">
        <v>42</v>
      </c>
      <c r="K1592" s="11" t="s">
        <v>282</v>
      </c>
      <c r="N1592" s="11" t="s">
        <v>95</v>
      </c>
      <c r="O1592" s="11" t="s">
        <v>44</v>
      </c>
      <c r="P1592" s="11" t="s">
        <v>44</v>
      </c>
      <c r="Q1592" s="11" t="s">
        <v>44</v>
      </c>
      <c r="R1592" s="11" t="s">
        <v>45</v>
      </c>
      <c r="S1592" s="11" t="s">
        <v>45</v>
      </c>
      <c r="T1592" s="11" t="s">
        <v>44</v>
      </c>
      <c r="U1592" s="11" t="s">
        <v>45</v>
      </c>
      <c r="V1592" s="24">
        <v>45449</v>
      </c>
      <c r="W1592" s="11" t="s">
        <v>57</v>
      </c>
      <c r="X1592" s="11" t="s">
        <v>97</v>
      </c>
      <c r="Y1592" s="11" t="s">
        <v>97</v>
      </c>
      <c r="Z1592" s="11">
        <v>81999319275</v>
      </c>
      <c r="AA1592" s="11" t="s">
        <v>115</v>
      </c>
      <c r="AB1592" s="11"/>
      <c r="AC1592" s="11"/>
      <c r="AD1592" s="11" t="b">
        <v>0</v>
      </c>
      <c r="AF1592" s="11" t="s">
        <v>2267</v>
      </c>
    </row>
    <row r="1593" ht="12.5" spans="1:37">
      <c r="A1593" s="271">
        <v>45446.3915544792</v>
      </c>
      <c r="B1593" s="160" t="s">
        <v>5003</v>
      </c>
      <c r="C1593" s="160">
        <v>71331374456</v>
      </c>
      <c r="D1593" s="160">
        <v>703101891132960</v>
      </c>
      <c r="E1593" s="272" t="s">
        <v>5004</v>
      </c>
      <c r="F1593" s="160" t="s">
        <v>225</v>
      </c>
      <c r="G1593" s="160" t="s">
        <v>54</v>
      </c>
      <c r="H1593" s="273">
        <v>37408</v>
      </c>
      <c r="I1593" s="285" t="s">
        <v>2410</v>
      </c>
      <c r="J1593" s="160" t="s">
        <v>42</v>
      </c>
      <c r="K1593" s="160" t="s">
        <v>155</v>
      </c>
      <c r="L1593" s="160"/>
      <c r="M1593" s="160"/>
      <c r="N1593" s="160" t="s">
        <v>43</v>
      </c>
      <c r="O1593" s="160" t="s">
        <v>127</v>
      </c>
      <c r="P1593" s="160" t="s">
        <v>44</v>
      </c>
      <c r="Q1593" s="160" t="s">
        <v>44</v>
      </c>
      <c r="R1593" s="160" t="s">
        <v>45</v>
      </c>
      <c r="S1593" s="160" t="s">
        <v>83</v>
      </c>
      <c r="T1593" s="160" t="s">
        <v>44</v>
      </c>
      <c r="U1593" s="160" t="s">
        <v>45</v>
      </c>
      <c r="V1593" s="273">
        <v>45447</v>
      </c>
      <c r="W1593" s="160" t="s">
        <v>46</v>
      </c>
      <c r="X1593" s="160" t="s">
        <v>47</v>
      </c>
      <c r="Y1593" s="160" t="s">
        <v>58</v>
      </c>
      <c r="Z1593" s="160">
        <v>81991329143</v>
      </c>
      <c r="AA1593" s="160" t="s">
        <v>4003</v>
      </c>
      <c r="AB1593" s="160" t="s">
        <v>1819</v>
      </c>
      <c r="AC1593" s="160" t="s">
        <v>106</v>
      </c>
      <c r="AD1593" s="160" t="b">
        <v>1</v>
      </c>
      <c r="AE1593" s="160" t="s">
        <v>137</v>
      </c>
      <c r="AF1593" s="160" t="s">
        <v>5005</v>
      </c>
      <c r="AG1593" s="160"/>
      <c r="AH1593" s="160"/>
      <c r="AI1593" s="160"/>
      <c r="AJ1593" s="160"/>
      <c r="AK1593" s="160"/>
    </row>
    <row r="1594" ht="12.5" spans="1:30">
      <c r="A1594" s="177">
        <v>45446.5734767824</v>
      </c>
      <c r="B1594" s="11" t="s">
        <v>5006</v>
      </c>
      <c r="C1594" s="277" t="s">
        <v>5007</v>
      </c>
      <c r="D1594" s="11">
        <v>700506311443651</v>
      </c>
      <c r="E1594" s="18" t="s">
        <v>5008</v>
      </c>
      <c r="F1594" s="11" t="s">
        <v>225</v>
      </c>
      <c r="G1594" s="11" t="s">
        <v>54</v>
      </c>
      <c r="H1594" s="24">
        <v>32808</v>
      </c>
      <c r="I1594" s="284" t="s">
        <v>5009</v>
      </c>
      <c r="J1594" s="11" t="s">
        <v>42</v>
      </c>
      <c r="K1594" s="11" t="s">
        <v>202</v>
      </c>
      <c r="N1594" s="11" t="s">
        <v>43</v>
      </c>
      <c r="O1594" s="11" t="s">
        <v>44</v>
      </c>
      <c r="P1594" s="11" t="s">
        <v>44</v>
      </c>
      <c r="Q1594" s="11" t="s">
        <v>44</v>
      </c>
      <c r="R1594" s="11" t="s">
        <v>45</v>
      </c>
      <c r="S1594" s="11" t="s">
        <v>45</v>
      </c>
      <c r="T1594" s="11" t="s">
        <v>44</v>
      </c>
      <c r="U1594" s="11" t="s">
        <v>44</v>
      </c>
      <c r="W1594" s="11" t="s">
        <v>46</v>
      </c>
      <c r="X1594" s="11" t="s">
        <v>47</v>
      </c>
      <c r="Y1594" s="11" t="s">
        <v>58</v>
      </c>
      <c r="Z1594" s="11">
        <v>81996791034</v>
      </c>
      <c r="AA1594" s="11" t="s">
        <v>4003</v>
      </c>
      <c r="AB1594" s="11"/>
      <c r="AC1594" s="11"/>
      <c r="AD1594" s="11" t="b">
        <v>0</v>
      </c>
    </row>
    <row r="1595" ht="12.5" spans="1:34">
      <c r="A1595" s="177">
        <v>45446.6185413773</v>
      </c>
      <c r="B1595" s="11" t="s">
        <v>2971</v>
      </c>
      <c r="C1595" s="11">
        <v>70797418407</v>
      </c>
      <c r="D1595" s="11">
        <v>702401092249521</v>
      </c>
      <c r="E1595" s="18" t="s">
        <v>5010</v>
      </c>
      <c r="F1595" s="11" t="s">
        <v>40</v>
      </c>
      <c r="G1595" s="11" t="s">
        <v>54</v>
      </c>
      <c r="H1595" s="24">
        <v>36199</v>
      </c>
      <c r="I1595" s="284" t="s">
        <v>2973</v>
      </c>
      <c r="J1595" s="11" t="s">
        <v>42</v>
      </c>
      <c r="K1595" s="11" t="s">
        <v>427</v>
      </c>
      <c r="N1595" s="11" t="s">
        <v>43</v>
      </c>
      <c r="O1595" s="11" t="s">
        <v>96</v>
      </c>
      <c r="P1595" s="11" t="s">
        <v>56</v>
      </c>
      <c r="Q1595" s="11" t="s">
        <v>44</v>
      </c>
      <c r="R1595" s="11" t="s">
        <v>45</v>
      </c>
      <c r="S1595" s="11" t="s">
        <v>83</v>
      </c>
      <c r="T1595" s="11" t="s">
        <v>44</v>
      </c>
      <c r="U1595" s="11" t="s">
        <v>44</v>
      </c>
      <c r="W1595" s="11" t="s">
        <v>57</v>
      </c>
      <c r="X1595" s="11" t="s">
        <v>47</v>
      </c>
      <c r="Y1595" s="11" t="s">
        <v>58</v>
      </c>
      <c r="Z1595" s="11">
        <v>81996209137</v>
      </c>
      <c r="AA1595" s="11" t="s">
        <v>103</v>
      </c>
      <c r="AB1595" s="11"/>
      <c r="AC1595" s="11"/>
      <c r="AD1595" s="11" t="b">
        <v>0</v>
      </c>
      <c r="AH1595" s="11" t="s">
        <v>5011</v>
      </c>
    </row>
    <row r="1596" ht="12.5" spans="1:33">
      <c r="A1596" s="177">
        <v>45446.7311567593</v>
      </c>
      <c r="B1596" s="11" t="s">
        <v>5012</v>
      </c>
      <c r="C1596" s="11">
        <v>13611584410</v>
      </c>
      <c r="D1596" s="11">
        <v>706404117661884</v>
      </c>
      <c r="E1596" s="18" t="s">
        <v>5013</v>
      </c>
      <c r="F1596" s="11" t="s">
        <v>40</v>
      </c>
      <c r="G1596" s="11" t="s">
        <v>54</v>
      </c>
      <c r="H1596" s="24">
        <v>36706</v>
      </c>
      <c r="I1596" s="284" t="s">
        <v>5014</v>
      </c>
      <c r="J1596" s="11" t="s">
        <v>81</v>
      </c>
      <c r="L1596" s="11" t="s">
        <v>109</v>
      </c>
      <c r="N1596" s="11" t="s">
        <v>43</v>
      </c>
      <c r="O1596" s="11" t="s">
        <v>96</v>
      </c>
      <c r="P1596" s="11" t="s">
        <v>66</v>
      </c>
      <c r="Q1596" s="11" t="s">
        <v>44</v>
      </c>
      <c r="R1596" s="11" t="s">
        <v>45</v>
      </c>
      <c r="S1596" s="11" t="s">
        <v>45</v>
      </c>
      <c r="T1596" s="11" t="s">
        <v>44</v>
      </c>
      <c r="U1596" s="11" t="s">
        <v>45</v>
      </c>
      <c r="V1596" s="24">
        <v>45447</v>
      </c>
      <c r="W1596" s="11" t="s">
        <v>46</v>
      </c>
      <c r="X1596" s="11" t="s">
        <v>203</v>
      </c>
      <c r="Y1596" s="11" t="s">
        <v>58</v>
      </c>
      <c r="Z1596" s="11">
        <v>81986541141</v>
      </c>
      <c r="AA1596" s="11" t="s">
        <v>115</v>
      </c>
      <c r="AB1596" s="11" t="s">
        <v>98</v>
      </c>
      <c r="AC1596" s="11"/>
      <c r="AD1596" s="11" t="b">
        <v>0</v>
      </c>
      <c r="AF1596" s="11" t="s">
        <v>5015</v>
      </c>
      <c r="AG1596" s="11" t="s">
        <v>5016</v>
      </c>
    </row>
    <row r="1597" ht="12.5" spans="1:30">
      <c r="A1597" s="208">
        <v>45447.3207759838</v>
      </c>
      <c r="B1597" s="11" t="s">
        <v>4981</v>
      </c>
      <c r="C1597" s="11">
        <v>12996355474</v>
      </c>
      <c r="D1597" s="11">
        <v>700900983777493</v>
      </c>
      <c r="F1597" s="11" t="s">
        <v>225</v>
      </c>
      <c r="G1597" s="11" t="s">
        <v>54</v>
      </c>
      <c r="H1597" s="24">
        <v>36355</v>
      </c>
      <c r="I1597" s="284" t="s">
        <v>3090</v>
      </c>
      <c r="J1597" s="11" t="s">
        <v>42</v>
      </c>
      <c r="K1597" s="11" t="s">
        <v>4983</v>
      </c>
      <c r="N1597" s="11" t="s">
        <v>95</v>
      </c>
      <c r="O1597" s="11" t="s">
        <v>44</v>
      </c>
      <c r="P1597" s="11" t="s">
        <v>44</v>
      </c>
      <c r="Q1597" s="11" t="s">
        <v>44</v>
      </c>
      <c r="R1597" s="11" t="s">
        <v>45</v>
      </c>
      <c r="S1597" s="11" t="s">
        <v>45</v>
      </c>
      <c r="T1597" s="11" t="s">
        <v>44</v>
      </c>
      <c r="U1597" s="11" t="s">
        <v>44</v>
      </c>
      <c r="W1597" s="11" t="s">
        <v>46</v>
      </c>
      <c r="X1597" s="11" t="s">
        <v>97</v>
      </c>
      <c r="Y1597" s="11" t="s">
        <v>97</v>
      </c>
      <c r="Z1597" s="11">
        <v>81998315894</v>
      </c>
      <c r="AA1597" s="11" t="s">
        <v>105</v>
      </c>
      <c r="AB1597" s="11"/>
      <c r="AC1597" s="11"/>
      <c r="AD1597" s="11" t="b">
        <v>0</v>
      </c>
    </row>
    <row r="1598" ht="12.5" spans="1:34">
      <c r="A1598" s="177">
        <v>45447.4092261458</v>
      </c>
      <c r="B1598" s="11" t="s">
        <v>2336</v>
      </c>
      <c r="C1598" s="277" t="s">
        <v>2337</v>
      </c>
      <c r="D1598" s="11">
        <v>700801410371082</v>
      </c>
      <c r="E1598" s="18" t="s">
        <v>5017</v>
      </c>
      <c r="F1598" s="11" t="s">
        <v>225</v>
      </c>
      <c r="G1598" s="11" t="s">
        <v>54</v>
      </c>
      <c r="H1598" s="24">
        <v>32041</v>
      </c>
      <c r="I1598" s="284" t="s">
        <v>5018</v>
      </c>
      <c r="J1598" s="11" t="s">
        <v>42</v>
      </c>
      <c r="K1598" s="11" t="s">
        <v>5019</v>
      </c>
      <c r="N1598" s="11" t="s">
        <v>43</v>
      </c>
      <c r="O1598" s="11" t="s">
        <v>65</v>
      </c>
      <c r="P1598" s="11" t="s">
        <v>66</v>
      </c>
      <c r="Q1598" s="11" t="s">
        <v>44</v>
      </c>
      <c r="R1598" s="11" t="s">
        <v>45</v>
      </c>
      <c r="S1598" s="11" t="s">
        <v>45</v>
      </c>
      <c r="T1598" s="11" t="s">
        <v>44</v>
      </c>
      <c r="U1598" s="11" t="s">
        <v>45</v>
      </c>
      <c r="V1598" s="24">
        <v>45448</v>
      </c>
      <c r="W1598" s="11" t="s">
        <v>46</v>
      </c>
      <c r="X1598" s="11" t="s">
        <v>47</v>
      </c>
      <c r="Y1598" s="11" t="s">
        <v>58</v>
      </c>
      <c r="Z1598" s="11">
        <v>81987882133</v>
      </c>
      <c r="AA1598" s="11" t="s">
        <v>91</v>
      </c>
      <c r="AB1598" s="11" t="s">
        <v>49</v>
      </c>
      <c r="AC1598" s="11" t="s">
        <v>4117</v>
      </c>
      <c r="AD1598" s="11" t="b">
        <v>0</v>
      </c>
      <c r="AF1598" s="11" t="s">
        <v>5020</v>
      </c>
      <c r="AH1598" s="63" t="s">
        <v>5021</v>
      </c>
    </row>
    <row r="1599" ht="12.5" spans="1:30">
      <c r="A1599" s="177">
        <v>45447.7240979745</v>
      </c>
      <c r="B1599" s="11" t="s">
        <v>5022</v>
      </c>
      <c r="C1599" s="11">
        <v>10664578403</v>
      </c>
      <c r="D1599" s="11">
        <v>704705703665532</v>
      </c>
      <c r="E1599" s="18" t="s">
        <v>5023</v>
      </c>
      <c r="F1599" s="11" t="s">
        <v>40</v>
      </c>
      <c r="G1599" s="11" t="s">
        <v>54</v>
      </c>
      <c r="H1599" s="24">
        <v>34867</v>
      </c>
      <c r="I1599" s="284" t="s">
        <v>5024</v>
      </c>
      <c r="J1599" s="11" t="s">
        <v>42</v>
      </c>
      <c r="K1599" s="11" t="s">
        <v>63</v>
      </c>
      <c r="N1599" s="11" t="s">
        <v>43</v>
      </c>
      <c r="O1599" s="11" t="s">
        <v>44</v>
      </c>
      <c r="P1599" s="11" t="s">
        <v>44</v>
      </c>
      <c r="Q1599" s="11" t="s">
        <v>44</v>
      </c>
      <c r="R1599" s="11" t="s">
        <v>45</v>
      </c>
      <c r="S1599" s="11" t="s">
        <v>83</v>
      </c>
      <c r="T1599" s="11" t="s">
        <v>44</v>
      </c>
      <c r="U1599" s="11" t="s">
        <v>45</v>
      </c>
      <c r="V1599" s="24">
        <v>45450</v>
      </c>
      <c r="W1599" s="11" t="s">
        <v>46</v>
      </c>
      <c r="X1599" s="11" t="s">
        <v>203</v>
      </c>
      <c r="Y1599" s="11" t="s">
        <v>58</v>
      </c>
      <c r="Z1599" s="11">
        <v>81998726342</v>
      </c>
      <c r="AA1599" s="11" t="s">
        <v>105</v>
      </c>
      <c r="AB1599" s="11"/>
      <c r="AC1599" s="11"/>
      <c r="AD1599" s="11" t="b">
        <v>0</v>
      </c>
    </row>
    <row r="1600" ht="12.5" spans="1:30">
      <c r="A1600" s="177">
        <v>45448.3586395023</v>
      </c>
      <c r="B1600" s="11" t="s">
        <v>2336</v>
      </c>
      <c r="C1600" s="277" t="s">
        <v>2337</v>
      </c>
      <c r="D1600" s="11">
        <v>700801410371082</v>
      </c>
      <c r="F1600" s="11" t="s">
        <v>225</v>
      </c>
      <c r="G1600" s="11" t="s">
        <v>54</v>
      </c>
      <c r="H1600" s="24">
        <v>32041</v>
      </c>
      <c r="I1600" s="284" t="s">
        <v>5018</v>
      </c>
      <c r="J1600" s="11" t="s">
        <v>42</v>
      </c>
      <c r="K1600" s="11" t="s">
        <v>5025</v>
      </c>
      <c r="N1600" s="11" t="s">
        <v>95</v>
      </c>
      <c r="O1600" s="11" t="s">
        <v>127</v>
      </c>
      <c r="P1600" s="11" t="s">
        <v>44</v>
      </c>
      <c r="Q1600" s="11" t="s">
        <v>44</v>
      </c>
      <c r="R1600" s="11" t="s">
        <v>45</v>
      </c>
      <c r="S1600" s="11" t="s">
        <v>45</v>
      </c>
      <c r="T1600" s="11" t="s">
        <v>44</v>
      </c>
      <c r="U1600" s="11" t="s">
        <v>44</v>
      </c>
      <c r="W1600" s="11" t="s">
        <v>57</v>
      </c>
      <c r="X1600" s="11" t="s">
        <v>97</v>
      </c>
      <c r="Y1600" s="11" t="s">
        <v>97</v>
      </c>
      <c r="Z1600" s="11">
        <v>81987882133</v>
      </c>
      <c r="AA1600" s="11" t="s">
        <v>4003</v>
      </c>
      <c r="AB1600" s="11"/>
      <c r="AC1600" s="11"/>
      <c r="AD1600" s="11" t="b">
        <v>0</v>
      </c>
    </row>
    <row r="1601" ht="12.5" spans="1:30">
      <c r="A1601" s="177">
        <v>45448.3694490278</v>
      </c>
      <c r="B1601" s="11" t="s">
        <v>4995</v>
      </c>
      <c r="C1601" s="11">
        <v>70675118441</v>
      </c>
      <c r="D1601" s="11">
        <v>706303762885274</v>
      </c>
      <c r="E1601" s="18" t="s">
        <v>5026</v>
      </c>
      <c r="F1601" s="11" t="s">
        <v>40</v>
      </c>
      <c r="G1601" s="11" t="s">
        <v>41</v>
      </c>
      <c r="H1601" s="24">
        <v>35868</v>
      </c>
      <c r="I1601" s="11" t="s">
        <v>97</v>
      </c>
      <c r="J1601" s="11" t="s">
        <v>438</v>
      </c>
      <c r="M1601" s="11" t="s">
        <v>1669</v>
      </c>
      <c r="N1601" s="11" t="s">
        <v>95</v>
      </c>
      <c r="O1601" s="11" t="s">
        <v>44</v>
      </c>
      <c r="P1601" s="11" t="s">
        <v>44</v>
      </c>
      <c r="Q1601" s="11" t="s">
        <v>44</v>
      </c>
      <c r="R1601" s="11" t="s">
        <v>45</v>
      </c>
      <c r="S1601" s="11" t="s">
        <v>45</v>
      </c>
      <c r="T1601" s="11" t="s">
        <v>44</v>
      </c>
      <c r="U1601" s="11" t="s">
        <v>45</v>
      </c>
      <c r="V1601" s="24">
        <v>45450</v>
      </c>
      <c r="W1601" s="11" t="s">
        <v>46</v>
      </c>
      <c r="X1601" s="11" t="s">
        <v>97</v>
      </c>
      <c r="Y1601" s="11" t="s">
        <v>97</v>
      </c>
      <c r="Z1601" s="11">
        <v>81996565391</v>
      </c>
      <c r="AA1601" s="11" t="s">
        <v>105</v>
      </c>
      <c r="AB1601" s="11"/>
      <c r="AC1601" s="11"/>
      <c r="AD1601" s="11" t="b">
        <v>0</v>
      </c>
    </row>
    <row r="1602" ht="12.5" spans="1:30">
      <c r="A1602" s="177">
        <v>45448.4410989005</v>
      </c>
      <c r="B1602" s="11" t="s">
        <v>5027</v>
      </c>
      <c r="C1602" s="11">
        <v>11471732495</v>
      </c>
      <c r="D1602" s="11">
        <v>700006866310304</v>
      </c>
      <c r="E1602" s="18" t="s">
        <v>5028</v>
      </c>
      <c r="F1602" s="11" t="s">
        <v>40</v>
      </c>
      <c r="G1602" s="11" t="s">
        <v>54</v>
      </c>
      <c r="H1602" s="24">
        <v>37378</v>
      </c>
      <c r="I1602" s="284" t="s">
        <v>5029</v>
      </c>
      <c r="J1602" s="11" t="s">
        <v>42</v>
      </c>
      <c r="K1602" s="11" t="s">
        <v>74</v>
      </c>
      <c r="N1602" s="11" t="s">
        <v>43</v>
      </c>
      <c r="O1602" s="11" t="s">
        <v>96</v>
      </c>
      <c r="P1602" s="11" t="s">
        <v>56</v>
      </c>
      <c r="Q1602" s="11" t="s">
        <v>45</v>
      </c>
      <c r="R1602" s="11" t="s">
        <v>45</v>
      </c>
      <c r="S1602" s="11" t="s">
        <v>83</v>
      </c>
      <c r="T1602" s="11" t="s">
        <v>44</v>
      </c>
      <c r="U1602" s="11" t="s">
        <v>45</v>
      </c>
      <c r="V1602" s="24">
        <v>45450</v>
      </c>
      <c r="W1602" s="11" t="s">
        <v>46</v>
      </c>
      <c r="X1602" s="11" t="s">
        <v>47</v>
      </c>
      <c r="Y1602" s="11" t="s">
        <v>58</v>
      </c>
      <c r="Z1602" s="11">
        <v>81988945291</v>
      </c>
      <c r="AA1602" s="11" t="s">
        <v>4003</v>
      </c>
      <c r="AB1602" s="11"/>
      <c r="AC1602" s="11"/>
      <c r="AD1602" s="11" t="b">
        <v>0</v>
      </c>
    </row>
    <row r="1603" ht="12.5" spans="1:30">
      <c r="A1603" s="177">
        <v>45448.4967279282</v>
      </c>
      <c r="B1603" s="11" t="s">
        <v>5030</v>
      </c>
      <c r="C1603" s="11">
        <v>72016087463</v>
      </c>
      <c r="D1603" s="11">
        <v>703209625276995</v>
      </c>
      <c r="E1603" s="18" t="s">
        <v>5031</v>
      </c>
      <c r="F1603" s="42" t="s">
        <v>40</v>
      </c>
      <c r="G1603" s="11" t="s">
        <v>41</v>
      </c>
      <c r="H1603" s="24">
        <v>35705</v>
      </c>
      <c r="I1603" s="284" t="s">
        <v>5032</v>
      </c>
      <c r="J1603" s="11" t="s">
        <v>42</v>
      </c>
      <c r="K1603" s="11" t="s">
        <v>55</v>
      </c>
      <c r="N1603" s="11" t="s">
        <v>43</v>
      </c>
      <c r="O1603" s="11" t="s">
        <v>65</v>
      </c>
      <c r="P1603" s="11" t="s">
        <v>66</v>
      </c>
      <c r="Q1603" s="11" t="s">
        <v>44</v>
      </c>
      <c r="R1603" s="11" t="s">
        <v>45</v>
      </c>
      <c r="S1603" s="11" t="s">
        <v>45</v>
      </c>
      <c r="T1603" s="11" t="s">
        <v>44</v>
      </c>
      <c r="U1603" s="11" t="s">
        <v>45</v>
      </c>
      <c r="V1603" s="24">
        <v>45449</v>
      </c>
      <c r="W1603" s="11" t="s">
        <v>46</v>
      </c>
      <c r="X1603" s="11" t="s">
        <v>47</v>
      </c>
      <c r="Y1603" s="11" t="s">
        <v>58</v>
      </c>
      <c r="Z1603" s="11">
        <v>81982878306</v>
      </c>
      <c r="AA1603" s="11" t="s">
        <v>105</v>
      </c>
      <c r="AB1603" s="11"/>
      <c r="AC1603" s="11"/>
      <c r="AD1603" s="11" t="b">
        <v>0</v>
      </c>
    </row>
    <row r="1604" ht="12.5" spans="1:30">
      <c r="A1604" s="177">
        <v>45448.5957587963</v>
      </c>
      <c r="B1604" s="11" t="s">
        <v>5033</v>
      </c>
      <c r="C1604" s="11">
        <v>11746594403</v>
      </c>
      <c r="D1604" s="11">
        <v>706000327149543</v>
      </c>
      <c r="E1604" s="18" t="s">
        <v>5034</v>
      </c>
      <c r="F1604" s="11" t="s">
        <v>40</v>
      </c>
      <c r="G1604" s="11" t="s">
        <v>54</v>
      </c>
      <c r="H1604" s="24">
        <v>32393</v>
      </c>
      <c r="I1604" s="284" t="s">
        <v>2992</v>
      </c>
      <c r="J1604" s="11" t="s">
        <v>81</v>
      </c>
      <c r="L1604" s="11" t="s">
        <v>109</v>
      </c>
      <c r="N1604" s="11" t="s">
        <v>43</v>
      </c>
      <c r="O1604" s="11" t="s">
        <v>96</v>
      </c>
      <c r="P1604" s="11" t="s">
        <v>56</v>
      </c>
      <c r="Q1604" s="11" t="s">
        <v>45</v>
      </c>
      <c r="R1604" s="11" t="s">
        <v>45</v>
      </c>
      <c r="S1604" s="11" t="s">
        <v>83</v>
      </c>
      <c r="T1604" s="11" t="s">
        <v>44</v>
      </c>
      <c r="U1604" s="11" t="s">
        <v>45</v>
      </c>
      <c r="V1604" s="24">
        <v>45449</v>
      </c>
      <c r="W1604" s="11" t="s">
        <v>57</v>
      </c>
      <c r="X1604" s="11" t="s">
        <v>47</v>
      </c>
      <c r="Y1604" s="11" t="s">
        <v>58</v>
      </c>
      <c r="Z1604" s="11">
        <v>81986664575</v>
      </c>
      <c r="AA1604" s="11" t="s">
        <v>103</v>
      </c>
      <c r="AB1604" s="11"/>
      <c r="AC1604" s="11"/>
      <c r="AD1604" s="11" t="b">
        <v>0</v>
      </c>
    </row>
    <row r="1605" ht="12.5" spans="1:35">
      <c r="A1605" s="177"/>
      <c r="C1605" s="19"/>
      <c r="D1605" s="19"/>
      <c r="H1605" s="169"/>
      <c r="I1605" s="126"/>
      <c r="J1605" s="11"/>
      <c r="K1605" s="108"/>
      <c r="L1605" s="11"/>
      <c r="M1605" s="105"/>
      <c r="N1605" s="105"/>
      <c r="O1605" s="11"/>
      <c r="P1605" s="11"/>
      <c r="Q1605" s="105"/>
      <c r="R1605" s="105"/>
      <c r="S1605" s="105"/>
      <c r="T1605" s="105"/>
      <c r="U1605" s="105"/>
      <c r="W1605" s="105"/>
      <c r="X1605" s="11"/>
      <c r="Y1605" s="11"/>
      <c r="Z1605" s="105"/>
      <c r="AA1605" s="11"/>
      <c r="AB1605" s="11"/>
      <c r="AC1605" s="105"/>
      <c r="AD1605" s="11" t="b">
        <v>0</v>
      </c>
      <c r="AE1605" s="105"/>
      <c r="AF1605" s="148"/>
      <c r="AG1605" s="11" t="s">
        <v>5035</v>
      </c>
      <c r="AH1605" s="214"/>
      <c r="AI1605" s="263">
        <f t="shared" ref="AI1605:AI1622" si="2">I1605+280</f>
        <v>280</v>
      </c>
    </row>
    <row r="1606" ht="14" spans="1:35">
      <c r="A1606" s="11" t="s">
        <v>854</v>
      </c>
      <c r="C1606" s="274"/>
      <c r="D1606" s="211"/>
      <c r="E1606" s="36"/>
      <c r="H1606" s="169"/>
      <c r="I1606" s="190"/>
      <c r="J1606" s="11"/>
      <c r="K1606" s="108"/>
      <c r="L1606" s="11"/>
      <c r="M1606" s="105"/>
      <c r="N1606" s="105"/>
      <c r="O1606" s="11"/>
      <c r="P1606" s="11"/>
      <c r="Q1606" s="105"/>
      <c r="R1606" s="105"/>
      <c r="S1606" s="105"/>
      <c r="T1606" s="105"/>
      <c r="U1606" s="105"/>
      <c r="V1606" s="169"/>
      <c r="W1606" s="105"/>
      <c r="X1606" s="11"/>
      <c r="Y1606" s="11"/>
      <c r="AA1606" s="11"/>
      <c r="AB1606" s="11"/>
      <c r="AC1606" s="105"/>
      <c r="AD1606" s="11" t="b">
        <v>0</v>
      </c>
      <c r="AE1606" s="105"/>
      <c r="AF1606" s="148"/>
      <c r="AG1606" s="148"/>
      <c r="AH1606" s="276"/>
      <c r="AI1606" s="264">
        <f t="shared" si="2"/>
        <v>280</v>
      </c>
    </row>
    <row r="1607" ht="14" spans="3:35">
      <c r="C1607" s="19"/>
      <c r="D1607" s="19"/>
      <c r="H1607" s="105"/>
      <c r="I1607" s="126"/>
      <c r="J1607" s="11"/>
      <c r="K1607" s="108"/>
      <c r="L1607" s="11"/>
      <c r="M1607" s="105"/>
      <c r="N1607" s="105"/>
      <c r="O1607" s="11"/>
      <c r="P1607" s="11"/>
      <c r="Q1607" s="105"/>
      <c r="R1607" s="105"/>
      <c r="S1607" s="105"/>
      <c r="T1607" s="105"/>
      <c r="U1607" s="105"/>
      <c r="V1607" s="169"/>
      <c r="W1607" s="105"/>
      <c r="X1607" s="11"/>
      <c r="Y1607" s="11"/>
      <c r="Z1607" s="275"/>
      <c r="AA1607" s="11"/>
      <c r="AB1607" s="11"/>
      <c r="AC1607" s="105"/>
      <c r="AD1607" s="11" t="b">
        <v>0</v>
      </c>
      <c r="AE1607" s="105"/>
      <c r="AF1607" s="11"/>
      <c r="AG1607" s="11"/>
      <c r="AH1607" s="148" t="s">
        <v>5036</v>
      </c>
      <c r="AI1607" s="263">
        <f t="shared" si="2"/>
        <v>280</v>
      </c>
    </row>
    <row r="1608" ht="12.5" spans="3:35">
      <c r="C1608" s="19"/>
      <c r="D1608" s="19"/>
      <c r="H1608" s="105"/>
      <c r="I1608" s="126"/>
      <c r="J1608" s="11"/>
      <c r="K1608" s="108"/>
      <c r="L1608" s="11"/>
      <c r="M1608" s="105"/>
      <c r="N1608" s="105"/>
      <c r="O1608" s="11"/>
      <c r="P1608" s="11"/>
      <c r="Q1608" s="105"/>
      <c r="R1608" s="105"/>
      <c r="S1608" s="105"/>
      <c r="T1608" s="105"/>
      <c r="U1608" s="105"/>
      <c r="V1608" s="105"/>
      <c r="W1608" s="105"/>
      <c r="X1608" s="11"/>
      <c r="Y1608" s="11"/>
      <c r="Z1608" s="105"/>
      <c r="AA1608" s="11" t="s">
        <v>5037</v>
      </c>
      <c r="AB1608" s="11"/>
      <c r="AC1608" s="105"/>
      <c r="AD1608" s="11" t="b">
        <v>0</v>
      </c>
      <c r="AE1608" s="105"/>
      <c r="AF1608" s="11"/>
      <c r="AG1608" s="11"/>
      <c r="AH1608" s="148"/>
      <c r="AI1608" s="263">
        <f t="shared" si="2"/>
        <v>280</v>
      </c>
    </row>
    <row r="1609" ht="12.5" spans="3:35">
      <c r="C1609" s="19"/>
      <c r="D1609" s="19"/>
      <c r="H1609" s="105"/>
      <c r="I1609" s="126"/>
      <c r="J1609" s="11"/>
      <c r="K1609" s="108"/>
      <c r="L1609" s="11"/>
      <c r="M1609" s="105"/>
      <c r="N1609" s="105"/>
      <c r="O1609" s="11"/>
      <c r="P1609" s="11"/>
      <c r="Q1609" s="105"/>
      <c r="R1609" s="105"/>
      <c r="S1609" s="105"/>
      <c r="T1609" s="105"/>
      <c r="U1609" s="105"/>
      <c r="V1609" s="169"/>
      <c r="W1609" s="105"/>
      <c r="X1609" s="11"/>
      <c r="Y1609" s="11"/>
      <c r="Z1609" s="105"/>
      <c r="AA1609" s="11"/>
      <c r="AB1609" s="11"/>
      <c r="AC1609" s="105"/>
      <c r="AD1609" s="11" t="b">
        <v>0</v>
      </c>
      <c r="AE1609" s="105"/>
      <c r="AF1609" s="11"/>
      <c r="AG1609" s="11"/>
      <c r="AH1609" s="148"/>
      <c r="AI1609" s="263">
        <f t="shared" si="2"/>
        <v>280</v>
      </c>
    </row>
    <row r="1610" ht="12.5" spans="3:35">
      <c r="C1610" s="19"/>
      <c r="D1610" s="19"/>
      <c r="H1610" s="105"/>
      <c r="I1610" s="126"/>
      <c r="J1610" s="11"/>
      <c r="K1610" s="108"/>
      <c r="L1610" s="11"/>
      <c r="M1610" s="105"/>
      <c r="N1610" s="105"/>
      <c r="O1610" s="11"/>
      <c r="P1610" s="11"/>
      <c r="Q1610" s="105"/>
      <c r="R1610" s="105"/>
      <c r="S1610" s="105"/>
      <c r="T1610" s="105"/>
      <c r="U1610" s="105"/>
      <c r="V1610" s="105"/>
      <c r="W1610" s="105"/>
      <c r="X1610" s="11"/>
      <c r="Y1610" s="11"/>
      <c r="Z1610" s="105"/>
      <c r="AA1610" s="11"/>
      <c r="AB1610" s="11"/>
      <c r="AC1610" s="105"/>
      <c r="AD1610" s="11" t="b">
        <v>0</v>
      </c>
      <c r="AE1610" s="105"/>
      <c r="AF1610" s="11"/>
      <c r="AG1610" s="11"/>
      <c r="AH1610" s="148"/>
      <c r="AI1610" s="263">
        <f t="shared" si="2"/>
        <v>280</v>
      </c>
    </row>
    <row r="1611" ht="12.5" spans="2:35">
      <c r="B1611" s="11" t="s">
        <v>5038</v>
      </c>
      <c r="C1611" s="19"/>
      <c r="D1611" s="19"/>
      <c r="H1611" s="105"/>
      <c r="I1611" s="126"/>
      <c r="J1611" s="11"/>
      <c r="K1611" s="108"/>
      <c r="L1611" s="11"/>
      <c r="M1611" s="105"/>
      <c r="N1611" s="105"/>
      <c r="O1611" s="11"/>
      <c r="P1611" s="11"/>
      <c r="Q1611" s="105"/>
      <c r="R1611" s="105"/>
      <c r="S1611" s="105"/>
      <c r="T1611" s="105"/>
      <c r="U1611" s="105"/>
      <c r="V1611" s="105"/>
      <c r="W1611" s="105"/>
      <c r="X1611" s="11"/>
      <c r="Y1611" s="11"/>
      <c r="Z1611" s="105"/>
      <c r="AA1611" s="11"/>
      <c r="AB1611" s="11"/>
      <c r="AC1611" s="105"/>
      <c r="AD1611" s="11" t="b">
        <v>0</v>
      </c>
      <c r="AE1611" s="105"/>
      <c r="AF1611" s="11"/>
      <c r="AG1611" s="11"/>
      <c r="AH1611" s="148"/>
      <c r="AI1611" s="263">
        <f t="shared" si="2"/>
        <v>280</v>
      </c>
    </row>
    <row r="1612" ht="12.5" spans="3:35">
      <c r="C1612" s="19"/>
      <c r="D1612" s="19"/>
      <c r="H1612" s="105"/>
      <c r="I1612" s="126"/>
      <c r="J1612" s="11"/>
      <c r="K1612" s="108"/>
      <c r="L1612" s="11"/>
      <c r="M1612" s="105"/>
      <c r="N1612" s="105"/>
      <c r="O1612" s="11"/>
      <c r="P1612" s="11"/>
      <c r="Q1612" s="105"/>
      <c r="R1612" s="105"/>
      <c r="S1612" s="105"/>
      <c r="T1612" s="105"/>
      <c r="U1612" s="105"/>
      <c r="V1612" s="105"/>
      <c r="W1612" s="105"/>
      <c r="X1612" s="11"/>
      <c r="Y1612" s="11"/>
      <c r="Z1612" s="105"/>
      <c r="AA1612" s="11"/>
      <c r="AB1612" s="11"/>
      <c r="AC1612" s="105"/>
      <c r="AD1612" s="11" t="b">
        <v>0</v>
      </c>
      <c r="AE1612" s="105"/>
      <c r="AF1612" s="11"/>
      <c r="AG1612" s="11"/>
      <c r="AH1612" s="11"/>
      <c r="AI1612" s="263">
        <f t="shared" si="2"/>
        <v>280</v>
      </c>
    </row>
    <row r="1613" ht="12.5" spans="3:35">
      <c r="C1613" s="19"/>
      <c r="D1613" s="19"/>
      <c r="H1613" s="105"/>
      <c r="I1613" s="126"/>
      <c r="J1613" s="11"/>
      <c r="K1613" s="108"/>
      <c r="L1613" s="11"/>
      <c r="M1613" s="105"/>
      <c r="N1613" s="105"/>
      <c r="O1613" s="11"/>
      <c r="P1613" s="11"/>
      <c r="Q1613" s="105"/>
      <c r="R1613" s="105"/>
      <c r="S1613" s="105"/>
      <c r="T1613" s="105"/>
      <c r="U1613" s="105"/>
      <c r="V1613" s="105"/>
      <c r="W1613" s="105"/>
      <c r="X1613" s="11"/>
      <c r="Y1613" s="11"/>
      <c r="Z1613" s="105"/>
      <c r="AA1613" s="11"/>
      <c r="AB1613" s="11"/>
      <c r="AC1613" s="105"/>
      <c r="AD1613" s="11" t="b">
        <v>0</v>
      </c>
      <c r="AE1613" s="105"/>
      <c r="AF1613" s="11"/>
      <c r="AG1613" s="11"/>
      <c r="AH1613" s="11"/>
      <c r="AI1613" s="263">
        <f t="shared" si="2"/>
        <v>280</v>
      </c>
    </row>
    <row r="1614" ht="12.5" spans="3:35">
      <c r="C1614" s="19"/>
      <c r="D1614" s="19"/>
      <c r="H1614" s="105"/>
      <c r="I1614" s="126"/>
      <c r="J1614" s="11"/>
      <c r="K1614" s="108"/>
      <c r="L1614" s="11"/>
      <c r="M1614" s="105"/>
      <c r="N1614" s="105"/>
      <c r="O1614" s="11"/>
      <c r="P1614" s="11"/>
      <c r="Q1614" s="105"/>
      <c r="R1614" s="105"/>
      <c r="S1614" s="105"/>
      <c r="T1614" s="105"/>
      <c r="U1614" s="105"/>
      <c r="V1614" s="105"/>
      <c r="W1614" s="105"/>
      <c r="X1614" s="11"/>
      <c r="Y1614" s="11"/>
      <c r="Z1614" s="105"/>
      <c r="AA1614" s="11"/>
      <c r="AB1614" s="11"/>
      <c r="AC1614" s="105"/>
      <c r="AD1614" s="11" t="b">
        <v>0</v>
      </c>
      <c r="AE1614" s="105"/>
      <c r="AF1614" s="11"/>
      <c r="AG1614" s="11"/>
      <c r="AH1614" s="11"/>
      <c r="AI1614" s="263">
        <f t="shared" si="2"/>
        <v>280</v>
      </c>
    </row>
    <row r="1615" ht="12.5" spans="3:35">
      <c r="C1615" s="19"/>
      <c r="D1615" s="19"/>
      <c r="H1615" s="105"/>
      <c r="I1615" s="126"/>
      <c r="J1615" s="11"/>
      <c r="K1615" s="108"/>
      <c r="L1615" s="11"/>
      <c r="M1615" s="105"/>
      <c r="N1615" s="105"/>
      <c r="O1615" s="11"/>
      <c r="P1615" s="11"/>
      <c r="Q1615" s="105"/>
      <c r="R1615" s="105"/>
      <c r="S1615" s="105"/>
      <c r="T1615" s="105"/>
      <c r="U1615" s="105"/>
      <c r="V1615" s="105"/>
      <c r="W1615" s="105"/>
      <c r="X1615" s="11"/>
      <c r="Y1615" s="11"/>
      <c r="Z1615" s="105"/>
      <c r="AA1615" s="11"/>
      <c r="AB1615" s="11"/>
      <c r="AC1615" s="105"/>
      <c r="AD1615" s="11" t="b">
        <v>0</v>
      </c>
      <c r="AE1615" s="105"/>
      <c r="AF1615" s="11"/>
      <c r="AG1615" s="11"/>
      <c r="AH1615" s="11"/>
      <c r="AI1615" s="263">
        <f t="shared" si="2"/>
        <v>280</v>
      </c>
    </row>
    <row r="1616" ht="12.5" spans="3:35">
      <c r="C1616" s="19"/>
      <c r="D1616" s="19"/>
      <c r="H1616" s="105"/>
      <c r="I1616" s="126"/>
      <c r="J1616" s="11"/>
      <c r="K1616" s="108"/>
      <c r="L1616" s="11"/>
      <c r="M1616" s="105"/>
      <c r="N1616" s="105"/>
      <c r="O1616" s="11"/>
      <c r="P1616" s="11"/>
      <c r="Q1616" s="105"/>
      <c r="R1616" s="105"/>
      <c r="S1616" s="105"/>
      <c r="T1616" s="105"/>
      <c r="U1616" s="105"/>
      <c r="V1616" s="105"/>
      <c r="W1616" s="105"/>
      <c r="X1616" s="11"/>
      <c r="Y1616" s="11"/>
      <c r="Z1616" s="105"/>
      <c r="AA1616" s="11"/>
      <c r="AB1616" s="11"/>
      <c r="AC1616" s="105"/>
      <c r="AD1616" s="11" t="b">
        <v>0</v>
      </c>
      <c r="AE1616" s="105"/>
      <c r="AF1616" s="11"/>
      <c r="AG1616" s="11"/>
      <c r="AH1616" s="11"/>
      <c r="AI1616" s="263">
        <f t="shared" si="2"/>
        <v>280</v>
      </c>
    </row>
    <row r="1617" ht="12.5" spans="3:35">
      <c r="C1617" s="19"/>
      <c r="D1617" s="19"/>
      <c r="H1617" s="105"/>
      <c r="I1617" s="126"/>
      <c r="J1617" s="11"/>
      <c r="K1617" s="108"/>
      <c r="L1617" s="11"/>
      <c r="M1617" s="105"/>
      <c r="N1617" s="105"/>
      <c r="O1617" s="11"/>
      <c r="P1617" s="11"/>
      <c r="Q1617" s="105"/>
      <c r="R1617" s="105"/>
      <c r="S1617" s="105"/>
      <c r="T1617" s="105"/>
      <c r="U1617" s="105"/>
      <c r="V1617" s="105"/>
      <c r="W1617" s="105"/>
      <c r="X1617" s="11"/>
      <c r="Y1617" s="11"/>
      <c r="Z1617" s="105"/>
      <c r="AA1617" s="11"/>
      <c r="AB1617" s="11"/>
      <c r="AC1617" s="105"/>
      <c r="AD1617" s="11" t="b">
        <v>0</v>
      </c>
      <c r="AE1617" s="105"/>
      <c r="AF1617" s="11"/>
      <c r="AG1617" s="11"/>
      <c r="AH1617" s="11"/>
      <c r="AI1617" s="263">
        <f t="shared" si="2"/>
        <v>280</v>
      </c>
    </row>
    <row r="1618" ht="12.5" spans="3:35">
      <c r="C1618" s="19"/>
      <c r="D1618" s="19"/>
      <c r="H1618" s="105"/>
      <c r="I1618" s="126"/>
      <c r="J1618" s="11"/>
      <c r="K1618" s="108"/>
      <c r="L1618" s="11"/>
      <c r="M1618" s="105"/>
      <c r="N1618" s="105"/>
      <c r="O1618" s="11"/>
      <c r="P1618" s="11"/>
      <c r="Q1618" s="105"/>
      <c r="R1618" s="105"/>
      <c r="S1618" s="105"/>
      <c r="U1618" s="105"/>
      <c r="V1618" s="105"/>
      <c r="W1618" s="105"/>
      <c r="X1618" s="11"/>
      <c r="Y1618" s="11"/>
      <c r="Z1618" s="105"/>
      <c r="AA1618" s="11"/>
      <c r="AB1618" s="11"/>
      <c r="AC1618" s="105"/>
      <c r="AD1618" s="11" t="b">
        <v>0</v>
      </c>
      <c r="AE1618" s="105"/>
      <c r="AF1618" s="11"/>
      <c r="AG1618" s="11"/>
      <c r="AH1618" s="11"/>
      <c r="AI1618" s="263">
        <f t="shared" si="2"/>
        <v>280</v>
      </c>
    </row>
    <row r="1619" ht="12.5" spans="3:35">
      <c r="C1619" s="19"/>
      <c r="D1619" s="19"/>
      <c r="H1619" s="105"/>
      <c r="I1619" s="126"/>
      <c r="J1619" s="11"/>
      <c r="K1619" s="108"/>
      <c r="L1619" s="11"/>
      <c r="M1619" s="105"/>
      <c r="N1619" s="105"/>
      <c r="O1619" s="11"/>
      <c r="P1619" s="11"/>
      <c r="Q1619" s="105"/>
      <c r="R1619" s="105"/>
      <c r="S1619" s="105"/>
      <c r="T1619" s="105"/>
      <c r="U1619" s="105"/>
      <c r="V1619" s="105"/>
      <c r="W1619" s="105"/>
      <c r="X1619" s="11"/>
      <c r="Y1619" s="11"/>
      <c r="Z1619" s="105"/>
      <c r="AA1619" s="11"/>
      <c r="AB1619" s="11"/>
      <c r="AC1619" s="105"/>
      <c r="AD1619" s="11" t="b">
        <v>0</v>
      </c>
      <c r="AE1619" s="105"/>
      <c r="AF1619" s="11"/>
      <c r="AG1619" s="11"/>
      <c r="AH1619" s="11"/>
      <c r="AI1619" s="263">
        <f t="shared" si="2"/>
        <v>280</v>
      </c>
    </row>
    <row r="1620" ht="12.5" spans="3:35">
      <c r="C1620" s="19"/>
      <c r="D1620" s="19"/>
      <c r="H1620" s="105"/>
      <c r="I1620" s="126"/>
      <c r="J1620" s="11"/>
      <c r="K1620" s="108"/>
      <c r="L1620" s="11"/>
      <c r="M1620" s="105"/>
      <c r="N1620" s="105"/>
      <c r="O1620" s="11"/>
      <c r="P1620" s="11"/>
      <c r="Q1620" s="105"/>
      <c r="R1620" s="105"/>
      <c r="S1620" s="105"/>
      <c r="T1620" s="105"/>
      <c r="U1620" s="105"/>
      <c r="V1620" s="105"/>
      <c r="W1620" s="105"/>
      <c r="X1620" s="11"/>
      <c r="Y1620" s="11"/>
      <c r="Z1620" s="105"/>
      <c r="AA1620" s="11"/>
      <c r="AB1620" s="11"/>
      <c r="AC1620" s="105"/>
      <c r="AD1620" s="11" t="b">
        <v>0</v>
      </c>
      <c r="AE1620" s="105"/>
      <c r="AF1620" s="11"/>
      <c r="AG1620" s="11" t="s">
        <v>5039</v>
      </c>
      <c r="AH1620" s="11"/>
      <c r="AI1620" s="263">
        <f t="shared" si="2"/>
        <v>280</v>
      </c>
    </row>
    <row r="1621" ht="12.5" spans="3:35">
      <c r="C1621" s="19"/>
      <c r="D1621" s="19"/>
      <c r="H1621" s="105"/>
      <c r="I1621" s="126"/>
      <c r="J1621" s="11"/>
      <c r="K1621" s="108"/>
      <c r="L1621" s="11"/>
      <c r="M1621" s="105"/>
      <c r="N1621" s="105"/>
      <c r="O1621" s="11"/>
      <c r="P1621" s="11"/>
      <c r="Q1621" s="105"/>
      <c r="R1621" s="105"/>
      <c r="S1621" s="105"/>
      <c r="T1621" s="105"/>
      <c r="U1621" s="105"/>
      <c r="V1621" s="105"/>
      <c r="W1621" s="105"/>
      <c r="X1621" s="11"/>
      <c r="Y1621" s="11"/>
      <c r="Z1621" s="105"/>
      <c r="AA1621" s="11"/>
      <c r="AB1621" s="11"/>
      <c r="AC1621" s="105"/>
      <c r="AD1621" s="11" t="b">
        <v>0</v>
      </c>
      <c r="AE1621" s="105"/>
      <c r="AF1621" s="11"/>
      <c r="AG1621" s="11"/>
      <c r="AH1621" s="11"/>
      <c r="AI1621" s="263">
        <f t="shared" si="2"/>
        <v>280</v>
      </c>
    </row>
    <row r="1622" ht="12.5" spans="3:35">
      <c r="C1622" s="19"/>
      <c r="D1622" s="19"/>
      <c r="H1622" s="105"/>
      <c r="I1622" s="126"/>
      <c r="J1622" s="11"/>
      <c r="K1622" s="108"/>
      <c r="L1622" s="11"/>
      <c r="M1622" s="105"/>
      <c r="N1622" s="105"/>
      <c r="O1622" s="11"/>
      <c r="P1622" s="11"/>
      <c r="Q1622" s="105"/>
      <c r="R1622" s="105"/>
      <c r="S1622" s="105"/>
      <c r="T1622" s="105"/>
      <c r="U1622" s="105"/>
      <c r="V1622" s="105"/>
      <c r="W1622" s="105"/>
      <c r="X1622" s="11"/>
      <c r="Y1622" s="11"/>
      <c r="Z1622" s="105"/>
      <c r="AA1622" s="11"/>
      <c r="AB1622" s="11"/>
      <c r="AC1622" s="105"/>
      <c r="AD1622" s="11" t="b">
        <v>0</v>
      </c>
      <c r="AE1622" s="105"/>
      <c r="AF1622" s="11"/>
      <c r="AG1622" s="11"/>
      <c r="AH1622" s="11"/>
      <c r="AI1622" s="263">
        <f t="shared" si="2"/>
        <v>280</v>
      </c>
    </row>
    <row r="1623" ht="12.5" spans="3:35">
      <c r="C1623" s="19"/>
      <c r="D1623" s="19"/>
      <c r="H1623" s="105"/>
      <c r="I1623" s="126"/>
      <c r="J1623" s="11"/>
      <c r="K1623" s="108"/>
      <c r="L1623" s="11"/>
      <c r="M1623" s="105"/>
      <c r="N1623" s="105"/>
      <c r="O1623" s="11"/>
      <c r="P1623" s="11"/>
      <c r="Q1623" s="105"/>
      <c r="R1623" s="105"/>
      <c r="S1623" s="105"/>
      <c r="T1623" s="105"/>
      <c r="U1623" s="105"/>
      <c r="V1623" s="105"/>
      <c r="W1623" s="105"/>
      <c r="X1623" s="11"/>
      <c r="Y1623" s="11"/>
      <c r="Z1623" s="105"/>
      <c r="AA1623" s="11"/>
      <c r="AB1623" s="11"/>
      <c r="AC1623" s="105"/>
      <c r="AD1623" s="11" t="b">
        <v>0</v>
      </c>
      <c r="AE1623" s="105"/>
      <c r="AF1623" s="11"/>
      <c r="AG1623" s="11"/>
      <c r="AH1623" s="11"/>
      <c r="AI1623" s="11"/>
    </row>
    <row r="1624" ht="12.5" spans="3:35">
      <c r="C1624" s="19"/>
      <c r="D1624" s="19"/>
      <c r="H1624" s="105"/>
      <c r="I1624" s="126"/>
      <c r="J1624" s="11"/>
      <c r="K1624" s="108"/>
      <c r="L1624" s="11"/>
      <c r="M1624" s="105"/>
      <c r="N1624" s="105"/>
      <c r="O1624" s="11"/>
      <c r="P1624" s="11"/>
      <c r="Q1624" s="105"/>
      <c r="R1624" s="105"/>
      <c r="S1624" s="105"/>
      <c r="T1624" s="105"/>
      <c r="U1624" s="105"/>
      <c r="V1624" s="105"/>
      <c r="W1624" s="105"/>
      <c r="X1624" s="11"/>
      <c r="Y1624" s="11"/>
      <c r="Z1624" s="105"/>
      <c r="AA1624" s="11"/>
      <c r="AB1624" s="11"/>
      <c r="AC1624" s="105"/>
      <c r="AD1624" s="11" t="b">
        <v>0</v>
      </c>
      <c r="AE1624" s="105"/>
      <c r="AF1624" s="11"/>
      <c r="AG1624" s="11"/>
      <c r="AH1624" s="11"/>
      <c r="AI1624" s="11"/>
    </row>
    <row r="1625" ht="12.5" spans="3:35">
      <c r="C1625" s="19"/>
      <c r="D1625" s="19"/>
      <c r="H1625" s="105"/>
      <c r="I1625" s="126"/>
      <c r="J1625" s="11"/>
      <c r="K1625" s="108"/>
      <c r="L1625" s="11"/>
      <c r="M1625" s="105"/>
      <c r="N1625" s="105"/>
      <c r="O1625" s="11"/>
      <c r="P1625" s="11"/>
      <c r="Q1625" s="105"/>
      <c r="R1625" s="105"/>
      <c r="S1625" s="105"/>
      <c r="T1625" s="105"/>
      <c r="U1625" s="105"/>
      <c r="V1625" s="105"/>
      <c r="W1625" s="105"/>
      <c r="X1625" s="11"/>
      <c r="Y1625" s="11"/>
      <c r="Z1625" s="105"/>
      <c r="AA1625" s="11"/>
      <c r="AB1625" s="11"/>
      <c r="AC1625" s="105"/>
      <c r="AD1625" s="11" t="b">
        <v>0</v>
      </c>
      <c r="AE1625" s="105"/>
      <c r="AF1625" s="11"/>
      <c r="AG1625" s="11"/>
      <c r="AH1625" s="11"/>
      <c r="AI1625" s="11"/>
    </row>
    <row r="1626" ht="12.5" spans="3:35">
      <c r="C1626" s="19"/>
      <c r="D1626" s="19"/>
      <c r="H1626" s="105"/>
      <c r="I1626" s="126"/>
      <c r="J1626" s="11"/>
      <c r="K1626" s="108"/>
      <c r="L1626" s="11"/>
      <c r="M1626" s="105"/>
      <c r="N1626" s="105"/>
      <c r="O1626" s="11"/>
      <c r="P1626" s="11"/>
      <c r="Q1626" s="105"/>
      <c r="R1626" s="105"/>
      <c r="S1626" s="105"/>
      <c r="T1626" s="105"/>
      <c r="U1626" s="105"/>
      <c r="V1626" s="105"/>
      <c r="W1626" s="105"/>
      <c r="X1626" s="11"/>
      <c r="Y1626" s="11"/>
      <c r="Z1626" s="105"/>
      <c r="AA1626" s="11"/>
      <c r="AB1626" s="11"/>
      <c r="AC1626" s="105"/>
      <c r="AD1626" s="11" t="b">
        <v>0</v>
      </c>
      <c r="AE1626" s="105"/>
      <c r="AF1626" s="11"/>
      <c r="AG1626" s="11"/>
      <c r="AH1626" s="11"/>
      <c r="AI1626" s="11"/>
    </row>
    <row r="1627" ht="12.5" spans="3:35">
      <c r="C1627" s="19"/>
      <c r="D1627" s="19"/>
      <c r="H1627" s="105"/>
      <c r="I1627" s="126"/>
      <c r="J1627" s="11"/>
      <c r="K1627" s="108"/>
      <c r="L1627" s="11"/>
      <c r="M1627" s="105"/>
      <c r="N1627" s="105"/>
      <c r="O1627" s="11"/>
      <c r="P1627" s="11"/>
      <c r="Q1627" s="105"/>
      <c r="R1627" s="105"/>
      <c r="S1627" s="105"/>
      <c r="T1627" s="105"/>
      <c r="U1627" s="105"/>
      <c r="V1627" s="105"/>
      <c r="W1627" s="105"/>
      <c r="X1627" s="11"/>
      <c r="Y1627" s="11"/>
      <c r="Z1627" s="105"/>
      <c r="AA1627" s="11"/>
      <c r="AB1627" s="11"/>
      <c r="AC1627" s="105"/>
      <c r="AD1627" s="11" t="b">
        <v>0</v>
      </c>
      <c r="AE1627" s="105"/>
      <c r="AF1627" s="11"/>
      <c r="AG1627" s="11"/>
      <c r="AH1627" s="11"/>
      <c r="AI1627" s="11"/>
    </row>
    <row r="1628" ht="12.5" spans="3:35">
      <c r="C1628" s="19"/>
      <c r="D1628" s="19"/>
      <c r="H1628" s="105"/>
      <c r="I1628" s="126"/>
      <c r="J1628" s="11"/>
      <c r="K1628" s="108"/>
      <c r="L1628" s="11"/>
      <c r="M1628" s="105"/>
      <c r="N1628" s="105"/>
      <c r="O1628" s="11"/>
      <c r="P1628" s="11"/>
      <c r="Q1628" s="105"/>
      <c r="R1628" s="105"/>
      <c r="S1628" s="105"/>
      <c r="T1628" s="105"/>
      <c r="U1628" s="105"/>
      <c r="V1628" s="105"/>
      <c r="W1628" s="105"/>
      <c r="X1628" s="11"/>
      <c r="Y1628" s="11"/>
      <c r="Z1628" s="105"/>
      <c r="AA1628" s="11"/>
      <c r="AB1628" s="11"/>
      <c r="AC1628" s="105"/>
      <c r="AD1628" s="11" t="b">
        <v>0</v>
      </c>
      <c r="AE1628" s="105"/>
      <c r="AF1628" s="11"/>
      <c r="AG1628" s="11"/>
      <c r="AH1628" s="11"/>
      <c r="AI1628" s="11"/>
    </row>
    <row r="1629" ht="12.5" spans="3:35">
      <c r="C1629" s="19"/>
      <c r="D1629" s="19"/>
      <c r="H1629" s="105"/>
      <c r="I1629" s="126"/>
      <c r="J1629" s="11"/>
      <c r="K1629" s="108"/>
      <c r="L1629" s="11"/>
      <c r="M1629" s="105"/>
      <c r="N1629" s="105"/>
      <c r="O1629" s="11"/>
      <c r="P1629" s="11"/>
      <c r="Q1629" s="105"/>
      <c r="R1629" s="105"/>
      <c r="S1629" s="105"/>
      <c r="T1629" s="105"/>
      <c r="U1629" s="105"/>
      <c r="V1629" s="105"/>
      <c r="W1629" s="105"/>
      <c r="X1629" s="11"/>
      <c r="Y1629" s="11"/>
      <c r="Z1629" s="105"/>
      <c r="AA1629" s="11"/>
      <c r="AB1629" s="11"/>
      <c r="AC1629" s="105"/>
      <c r="AD1629" s="11" t="b">
        <v>0</v>
      </c>
      <c r="AE1629" s="105"/>
      <c r="AF1629" s="11"/>
      <c r="AG1629" s="11"/>
      <c r="AH1629" s="11"/>
      <c r="AI1629" s="11"/>
    </row>
    <row r="1630" ht="12.5" spans="3:35">
      <c r="C1630" s="19"/>
      <c r="D1630" s="19"/>
      <c r="H1630" s="105"/>
      <c r="I1630" s="126"/>
      <c r="J1630" s="11"/>
      <c r="K1630" s="108"/>
      <c r="L1630" s="11"/>
      <c r="M1630" s="105"/>
      <c r="N1630" s="105"/>
      <c r="O1630" s="11"/>
      <c r="P1630" s="11"/>
      <c r="Q1630" s="105"/>
      <c r="R1630" s="105"/>
      <c r="S1630" s="105"/>
      <c r="T1630" s="105"/>
      <c r="U1630" s="105"/>
      <c r="V1630" s="105"/>
      <c r="W1630" s="105"/>
      <c r="X1630" s="11"/>
      <c r="Y1630" s="11"/>
      <c r="Z1630" s="105"/>
      <c r="AA1630" s="11"/>
      <c r="AB1630" s="11"/>
      <c r="AC1630" s="105"/>
      <c r="AD1630" s="11" t="b">
        <v>0</v>
      </c>
      <c r="AE1630" s="105"/>
      <c r="AF1630" s="11"/>
      <c r="AG1630" s="11"/>
      <c r="AH1630" s="11"/>
      <c r="AI1630" s="11"/>
    </row>
    <row r="1631" ht="12.5" spans="3:35">
      <c r="C1631" s="19"/>
      <c r="D1631" s="19"/>
      <c r="H1631" s="105"/>
      <c r="I1631" s="126"/>
      <c r="J1631" s="11"/>
      <c r="K1631" s="108"/>
      <c r="L1631" s="11"/>
      <c r="M1631" s="105"/>
      <c r="N1631" s="105"/>
      <c r="O1631" s="11"/>
      <c r="P1631" s="11"/>
      <c r="Q1631" s="105"/>
      <c r="R1631" s="105"/>
      <c r="S1631" s="105"/>
      <c r="T1631" s="105"/>
      <c r="U1631" s="105"/>
      <c r="V1631" s="105"/>
      <c r="W1631" s="105"/>
      <c r="X1631" s="11"/>
      <c r="Y1631" s="11"/>
      <c r="Z1631" s="105"/>
      <c r="AA1631" s="11"/>
      <c r="AB1631" s="11"/>
      <c r="AC1631" s="105"/>
      <c r="AD1631" s="11" t="b">
        <v>0</v>
      </c>
      <c r="AE1631" s="105"/>
      <c r="AF1631" s="11"/>
      <c r="AG1631" s="11"/>
      <c r="AH1631" s="11"/>
      <c r="AI1631" s="11"/>
    </row>
    <row r="1632" ht="12.5" spans="3:35">
      <c r="C1632" s="19"/>
      <c r="D1632" s="19"/>
      <c r="H1632" s="105"/>
      <c r="I1632" s="126"/>
      <c r="J1632" s="11"/>
      <c r="K1632" s="108"/>
      <c r="L1632" s="11"/>
      <c r="M1632" s="105"/>
      <c r="N1632" s="105"/>
      <c r="O1632" s="11"/>
      <c r="P1632" s="11"/>
      <c r="Q1632" s="105"/>
      <c r="R1632" s="105"/>
      <c r="S1632" s="105"/>
      <c r="T1632" s="105"/>
      <c r="U1632" s="105"/>
      <c r="V1632" s="105"/>
      <c r="W1632" s="105"/>
      <c r="X1632" s="11"/>
      <c r="Y1632" s="11"/>
      <c r="Z1632" s="105"/>
      <c r="AA1632" s="11"/>
      <c r="AB1632" s="11"/>
      <c r="AC1632" s="105"/>
      <c r="AD1632" s="11" t="b">
        <v>0</v>
      </c>
      <c r="AE1632" s="105"/>
      <c r="AF1632" s="11"/>
      <c r="AG1632" s="11"/>
      <c r="AH1632" s="11"/>
      <c r="AI1632" s="11"/>
    </row>
    <row r="1633" ht="12.5" spans="3:35">
      <c r="C1633" s="19"/>
      <c r="D1633" s="19"/>
      <c r="H1633" s="105"/>
      <c r="I1633" s="126"/>
      <c r="J1633" s="11"/>
      <c r="K1633" s="108"/>
      <c r="L1633" s="11"/>
      <c r="M1633" s="105"/>
      <c r="N1633" s="105"/>
      <c r="O1633" s="11"/>
      <c r="P1633" s="11"/>
      <c r="Q1633" s="105"/>
      <c r="R1633" s="105"/>
      <c r="S1633" s="105"/>
      <c r="T1633" s="105"/>
      <c r="U1633" s="105"/>
      <c r="V1633" s="105"/>
      <c r="W1633" s="105"/>
      <c r="X1633" s="11"/>
      <c r="Y1633" s="11"/>
      <c r="Z1633" s="105"/>
      <c r="AA1633" s="11"/>
      <c r="AB1633" s="11"/>
      <c r="AC1633" s="105"/>
      <c r="AD1633" s="11" t="b">
        <v>0</v>
      </c>
      <c r="AE1633" s="105"/>
      <c r="AF1633" s="11"/>
      <c r="AG1633" s="11"/>
      <c r="AH1633" s="11"/>
      <c r="AI1633" s="11"/>
    </row>
    <row r="1634" ht="12.5" spans="3:35">
      <c r="C1634" s="19"/>
      <c r="D1634" s="19"/>
      <c r="H1634" s="105"/>
      <c r="I1634" s="126"/>
      <c r="J1634" s="11"/>
      <c r="K1634" s="108"/>
      <c r="L1634" s="11"/>
      <c r="M1634" s="105"/>
      <c r="N1634" s="105"/>
      <c r="O1634" s="11"/>
      <c r="P1634" s="11"/>
      <c r="Q1634" s="105"/>
      <c r="R1634" s="105"/>
      <c r="S1634" s="105"/>
      <c r="T1634" s="105"/>
      <c r="U1634" s="105"/>
      <c r="V1634" s="105"/>
      <c r="W1634" s="105"/>
      <c r="X1634" s="11"/>
      <c r="Y1634" s="11"/>
      <c r="Z1634" s="105"/>
      <c r="AA1634" s="11"/>
      <c r="AB1634" s="11"/>
      <c r="AC1634" s="105"/>
      <c r="AD1634" s="11" t="b">
        <v>0</v>
      </c>
      <c r="AE1634" s="105"/>
      <c r="AF1634" s="11"/>
      <c r="AG1634" s="11"/>
      <c r="AH1634" s="11"/>
      <c r="AI1634" s="11"/>
    </row>
    <row r="1635" ht="12.5" spans="3:35">
      <c r="C1635" s="19"/>
      <c r="D1635" s="19"/>
      <c r="H1635" s="105"/>
      <c r="I1635" s="126"/>
      <c r="J1635" s="11"/>
      <c r="K1635" s="108"/>
      <c r="L1635" s="11"/>
      <c r="M1635" s="105"/>
      <c r="N1635" s="105"/>
      <c r="O1635" s="11"/>
      <c r="P1635" s="11"/>
      <c r="Q1635" s="105"/>
      <c r="R1635" s="105"/>
      <c r="S1635" s="105"/>
      <c r="T1635" s="105"/>
      <c r="U1635" s="105"/>
      <c r="V1635" s="105"/>
      <c r="W1635" s="105"/>
      <c r="X1635" s="11"/>
      <c r="Y1635" s="11"/>
      <c r="Z1635" s="105"/>
      <c r="AA1635" s="11"/>
      <c r="AB1635" s="11"/>
      <c r="AC1635" s="105"/>
      <c r="AD1635" s="11" t="b">
        <v>0</v>
      </c>
      <c r="AE1635" s="105"/>
      <c r="AF1635" s="11"/>
      <c r="AG1635" s="11"/>
      <c r="AH1635" s="11"/>
      <c r="AI1635" s="11"/>
    </row>
    <row r="1636" ht="12.5" spans="3:35">
      <c r="C1636" s="19"/>
      <c r="D1636" s="19"/>
      <c r="H1636" s="105"/>
      <c r="I1636" s="126"/>
      <c r="J1636" s="11"/>
      <c r="K1636" s="108"/>
      <c r="L1636" s="11"/>
      <c r="M1636" s="105"/>
      <c r="N1636" s="105"/>
      <c r="O1636" s="11"/>
      <c r="P1636" s="11"/>
      <c r="Q1636" s="105"/>
      <c r="R1636" s="105"/>
      <c r="S1636" s="105"/>
      <c r="T1636" s="105"/>
      <c r="U1636" s="105"/>
      <c r="V1636" s="105"/>
      <c r="W1636" s="105"/>
      <c r="X1636" s="11"/>
      <c r="Y1636" s="11"/>
      <c r="Z1636" s="105"/>
      <c r="AA1636" s="11"/>
      <c r="AB1636" s="11"/>
      <c r="AC1636" s="105"/>
      <c r="AD1636" s="11" t="b">
        <v>0</v>
      </c>
      <c r="AE1636" s="105"/>
      <c r="AF1636" s="11"/>
      <c r="AG1636" s="11"/>
      <c r="AH1636" s="11"/>
      <c r="AI1636" s="11"/>
    </row>
    <row r="1637" ht="12.5" spans="3:35">
      <c r="C1637" s="19"/>
      <c r="D1637" s="19"/>
      <c r="H1637" s="105"/>
      <c r="I1637" s="126"/>
      <c r="J1637" s="11"/>
      <c r="K1637" s="108"/>
      <c r="L1637" s="11"/>
      <c r="M1637" s="105"/>
      <c r="N1637" s="105"/>
      <c r="O1637" s="11"/>
      <c r="P1637" s="11"/>
      <c r="Q1637" s="105"/>
      <c r="R1637" s="105"/>
      <c r="S1637" s="105"/>
      <c r="T1637" s="105"/>
      <c r="U1637" s="105"/>
      <c r="V1637" s="105"/>
      <c r="W1637" s="105"/>
      <c r="X1637" s="11"/>
      <c r="Y1637" s="11"/>
      <c r="Z1637" s="105"/>
      <c r="AA1637" s="11"/>
      <c r="AB1637" s="11"/>
      <c r="AC1637" s="105"/>
      <c r="AD1637" s="11" t="b">
        <v>0</v>
      </c>
      <c r="AE1637" s="105"/>
      <c r="AF1637" s="11"/>
      <c r="AG1637" s="11"/>
      <c r="AH1637" s="11"/>
      <c r="AI1637" s="11"/>
    </row>
    <row r="1638" ht="12.5" spans="3:35">
      <c r="C1638" s="19"/>
      <c r="D1638" s="19"/>
      <c r="H1638" s="105"/>
      <c r="I1638" s="126"/>
      <c r="J1638" s="11"/>
      <c r="K1638" s="108"/>
      <c r="L1638" s="11"/>
      <c r="M1638" s="105"/>
      <c r="N1638" s="105"/>
      <c r="O1638" s="11"/>
      <c r="P1638" s="11"/>
      <c r="Q1638" s="105"/>
      <c r="R1638" s="105"/>
      <c r="S1638" s="105"/>
      <c r="T1638" s="105"/>
      <c r="U1638" s="105"/>
      <c r="V1638" s="105"/>
      <c r="W1638" s="105"/>
      <c r="X1638" s="11"/>
      <c r="Y1638" s="11"/>
      <c r="Z1638" s="105"/>
      <c r="AA1638" s="11"/>
      <c r="AB1638" s="11"/>
      <c r="AC1638" s="105"/>
      <c r="AD1638" s="11" t="b">
        <v>0</v>
      </c>
      <c r="AE1638" s="105"/>
      <c r="AF1638" s="11"/>
      <c r="AG1638" s="11"/>
      <c r="AH1638" s="11"/>
      <c r="AI1638" s="11"/>
    </row>
    <row r="1639" ht="12.5" spans="3:35">
      <c r="C1639" s="19"/>
      <c r="D1639" s="19"/>
      <c r="H1639" s="105"/>
      <c r="I1639" s="126"/>
      <c r="J1639" s="11"/>
      <c r="K1639" s="108"/>
      <c r="L1639" s="11"/>
      <c r="M1639" s="105"/>
      <c r="N1639" s="105"/>
      <c r="O1639" s="11"/>
      <c r="P1639" s="11"/>
      <c r="Q1639" s="105"/>
      <c r="R1639" s="105"/>
      <c r="S1639" s="105"/>
      <c r="T1639" s="105"/>
      <c r="U1639" s="105"/>
      <c r="V1639" s="105"/>
      <c r="W1639" s="105"/>
      <c r="X1639" s="11"/>
      <c r="Y1639" s="11"/>
      <c r="Z1639" s="105"/>
      <c r="AA1639" s="11"/>
      <c r="AB1639" s="11"/>
      <c r="AC1639" s="105"/>
      <c r="AD1639" s="11" t="b">
        <v>0</v>
      </c>
      <c r="AE1639" s="105"/>
      <c r="AF1639" s="11"/>
      <c r="AG1639" s="11"/>
      <c r="AH1639" s="11"/>
      <c r="AI1639" s="11"/>
    </row>
    <row r="1640" ht="12.5" spans="3:35">
      <c r="C1640" s="19"/>
      <c r="D1640" s="19"/>
      <c r="H1640" s="105"/>
      <c r="I1640" s="126"/>
      <c r="J1640" s="11"/>
      <c r="K1640" s="108"/>
      <c r="L1640" s="11"/>
      <c r="M1640" s="105"/>
      <c r="N1640" s="105"/>
      <c r="O1640" s="11"/>
      <c r="P1640" s="11"/>
      <c r="Q1640" s="105"/>
      <c r="R1640" s="105"/>
      <c r="S1640" s="105"/>
      <c r="T1640" s="105"/>
      <c r="U1640" s="105"/>
      <c r="V1640" s="105"/>
      <c r="W1640" s="105"/>
      <c r="X1640" s="11"/>
      <c r="Y1640" s="11"/>
      <c r="Z1640" s="105"/>
      <c r="AA1640" s="11"/>
      <c r="AB1640" s="11"/>
      <c r="AC1640" s="105"/>
      <c r="AD1640" s="11" t="b">
        <v>0</v>
      </c>
      <c r="AE1640" s="105"/>
      <c r="AF1640" s="11"/>
      <c r="AG1640" s="11"/>
      <c r="AH1640" s="11"/>
      <c r="AI1640" s="11"/>
    </row>
    <row r="1641" ht="12.5" spans="3:35">
      <c r="C1641" s="19"/>
      <c r="D1641" s="19"/>
      <c r="H1641" s="105"/>
      <c r="I1641" s="126"/>
      <c r="J1641" s="11"/>
      <c r="K1641" s="108"/>
      <c r="L1641" s="11"/>
      <c r="M1641" s="105"/>
      <c r="N1641" s="105"/>
      <c r="O1641" s="11"/>
      <c r="P1641" s="11"/>
      <c r="Q1641" s="105"/>
      <c r="R1641" s="105"/>
      <c r="S1641" s="105"/>
      <c r="T1641" s="105"/>
      <c r="U1641" s="105"/>
      <c r="V1641" s="105"/>
      <c r="W1641" s="105"/>
      <c r="X1641" s="11"/>
      <c r="Y1641" s="11"/>
      <c r="Z1641" s="105"/>
      <c r="AA1641" s="11"/>
      <c r="AB1641" s="11"/>
      <c r="AC1641" s="105"/>
      <c r="AD1641" s="11" t="b">
        <v>0</v>
      </c>
      <c r="AE1641" s="105"/>
      <c r="AF1641" s="11"/>
      <c r="AG1641" s="11"/>
      <c r="AH1641" s="11"/>
      <c r="AI1641" s="11"/>
    </row>
    <row r="1642" ht="12.5" spans="3:35">
      <c r="C1642" s="19"/>
      <c r="D1642" s="19"/>
      <c r="H1642" s="105"/>
      <c r="I1642" s="126"/>
      <c r="J1642" s="11"/>
      <c r="K1642" s="108"/>
      <c r="L1642" s="11"/>
      <c r="M1642" s="105"/>
      <c r="N1642" s="105"/>
      <c r="O1642" s="11"/>
      <c r="P1642" s="11"/>
      <c r="Q1642" s="105"/>
      <c r="R1642" s="105"/>
      <c r="S1642" s="105"/>
      <c r="T1642" s="105"/>
      <c r="U1642" s="105"/>
      <c r="V1642" s="105"/>
      <c r="W1642" s="105"/>
      <c r="X1642" s="11"/>
      <c r="Y1642" s="11"/>
      <c r="Z1642" s="105"/>
      <c r="AA1642" s="11"/>
      <c r="AB1642" s="11"/>
      <c r="AC1642" s="105"/>
      <c r="AD1642" s="11" t="b">
        <v>0</v>
      </c>
      <c r="AE1642" s="105"/>
      <c r="AF1642" s="11"/>
      <c r="AG1642" s="11"/>
      <c r="AH1642" s="11"/>
      <c r="AI1642" s="11"/>
    </row>
    <row r="1643" ht="12.5" spans="3:35">
      <c r="C1643" s="19"/>
      <c r="D1643" s="19"/>
      <c r="H1643" s="105"/>
      <c r="I1643" s="126"/>
      <c r="J1643" s="11"/>
      <c r="K1643" s="108"/>
      <c r="L1643" s="11"/>
      <c r="M1643" s="105"/>
      <c r="N1643" s="105"/>
      <c r="O1643" s="11"/>
      <c r="P1643" s="11"/>
      <c r="Q1643" s="105"/>
      <c r="R1643" s="105"/>
      <c r="S1643" s="105"/>
      <c r="T1643" s="105"/>
      <c r="U1643" s="105"/>
      <c r="V1643" s="105"/>
      <c r="W1643" s="105"/>
      <c r="X1643" s="11"/>
      <c r="Y1643" s="11"/>
      <c r="Z1643" s="105"/>
      <c r="AA1643" s="11"/>
      <c r="AB1643" s="11"/>
      <c r="AC1643" s="105"/>
      <c r="AD1643" s="11" t="b">
        <v>0</v>
      </c>
      <c r="AE1643" s="105"/>
      <c r="AF1643" s="11"/>
      <c r="AG1643" s="11"/>
      <c r="AH1643" s="11"/>
      <c r="AI1643" s="11"/>
    </row>
    <row r="1644" ht="12.5" spans="3:35">
      <c r="C1644" s="19"/>
      <c r="D1644" s="19"/>
      <c r="H1644" s="105"/>
      <c r="I1644" s="126"/>
      <c r="J1644" s="11"/>
      <c r="K1644" s="108"/>
      <c r="L1644" s="11"/>
      <c r="M1644" s="105"/>
      <c r="N1644" s="105"/>
      <c r="O1644" s="11"/>
      <c r="P1644" s="11"/>
      <c r="Q1644" s="105"/>
      <c r="R1644" s="105"/>
      <c r="S1644" s="105"/>
      <c r="T1644" s="105"/>
      <c r="U1644" s="105"/>
      <c r="V1644" s="105"/>
      <c r="W1644" s="105"/>
      <c r="X1644" s="11"/>
      <c r="Y1644" s="11"/>
      <c r="Z1644" s="105"/>
      <c r="AA1644" s="11"/>
      <c r="AB1644" s="11"/>
      <c r="AC1644" s="105"/>
      <c r="AD1644" s="11" t="b">
        <v>0</v>
      </c>
      <c r="AE1644" s="105"/>
      <c r="AF1644" s="11"/>
      <c r="AG1644" s="11"/>
      <c r="AH1644" s="11"/>
      <c r="AI1644" s="11"/>
    </row>
    <row r="1645" ht="12.5" spans="3:35">
      <c r="C1645" s="19"/>
      <c r="D1645" s="19"/>
      <c r="H1645" s="105"/>
      <c r="I1645" s="126"/>
      <c r="J1645" s="11"/>
      <c r="K1645" s="108"/>
      <c r="L1645" s="11"/>
      <c r="M1645" s="105"/>
      <c r="N1645" s="105"/>
      <c r="O1645" s="11"/>
      <c r="P1645" s="11"/>
      <c r="Q1645" s="105"/>
      <c r="R1645" s="105"/>
      <c r="S1645" s="105"/>
      <c r="T1645" s="105"/>
      <c r="U1645" s="105"/>
      <c r="V1645" s="105"/>
      <c r="W1645" s="105"/>
      <c r="X1645" s="11"/>
      <c r="Y1645" s="11"/>
      <c r="Z1645" s="105"/>
      <c r="AA1645" s="11"/>
      <c r="AB1645" s="11"/>
      <c r="AC1645" s="105"/>
      <c r="AD1645" s="11" t="b">
        <v>0</v>
      </c>
      <c r="AE1645" s="105"/>
      <c r="AF1645" s="11"/>
      <c r="AG1645" s="11"/>
      <c r="AH1645" s="11"/>
      <c r="AI1645" s="11"/>
    </row>
    <row r="1646" ht="12.5" spans="3:35">
      <c r="C1646" s="19"/>
      <c r="D1646" s="19"/>
      <c r="H1646" s="105"/>
      <c r="I1646" s="126"/>
      <c r="J1646" s="11"/>
      <c r="K1646" s="108"/>
      <c r="L1646" s="11"/>
      <c r="M1646" s="105"/>
      <c r="N1646" s="105"/>
      <c r="O1646" s="11"/>
      <c r="P1646" s="11"/>
      <c r="Q1646" s="105"/>
      <c r="R1646" s="105"/>
      <c r="S1646" s="105"/>
      <c r="T1646" s="105"/>
      <c r="U1646" s="105"/>
      <c r="V1646" s="105"/>
      <c r="W1646" s="105"/>
      <c r="X1646" s="11"/>
      <c r="Y1646" s="11"/>
      <c r="Z1646" s="105"/>
      <c r="AA1646" s="11"/>
      <c r="AB1646" s="11"/>
      <c r="AC1646" s="105"/>
      <c r="AD1646" s="11" t="b">
        <v>0</v>
      </c>
      <c r="AE1646" s="105"/>
      <c r="AF1646" s="11"/>
      <c r="AG1646" s="11"/>
      <c r="AH1646" s="11"/>
      <c r="AI1646" s="11"/>
    </row>
    <row r="1647" ht="12.5" spans="3:35">
      <c r="C1647" s="19"/>
      <c r="D1647" s="19"/>
      <c r="H1647" s="105"/>
      <c r="I1647" s="126"/>
      <c r="J1647" s="11"/>
      <c r="K1647" s="108"/>
      <c r="L1647" s="11"/>
      <c r="M1647" s="105"/>
      <c r="N1647" s="105"/>
      <c r="O1647" s="11"/>
      <c r="P1647" s="11"/>
      <c r="Q1647" s="105"/>
      <c r="R1647" s="105"/>
      <c r="S1647" s="105"/>
      <c r="T1647" s="105"/>
      <c r="U1647" s="105"/>
      <c r="V1647" s="105"/>
      <c r="W1647" s="105"/>
      <c r="X1647" s="11"/>
      <c r="Y1647" s="11"/>
      <c r="Z1647" s="105"/>
      <c r="AA1647" s="11"/>
      <c r="AB1647" s="11"/>
      <c r="AC1647" s="105"/>
      <c r="AD1647" s="11" t="b">
        <v>0</v>
      </c>
      <c r="AE1647" s="105"/>
      <c r="AF1647" s="11"/>
      <c r="AG1647" s="11"/>
      <c r="AH1647" s="11"/>
      <c r="AI1647" s="11"/>
    </row>
    <row r="1648" ht="12.5" spans="3:35">
      <c r="C1648" s="19"/>
      <c r="D1648" s="19"/>
      <c r="H1648" s="105"/>
      <c r="I1648" s="126"/>
      <c r="J1648" s="11"/>
      <c r="K1648" s="108"/>
      <c r="L1648" s="11"/>
      <c r="M1648" s="105"/>
      <c r="N1648" s="105"/>
      <c r="O1648" s="11"/>
      <c r="P1648" s="11"/>
      <c r="Q1648" s="105"/>
      <c r="R1648" s="105"/>
      <c r="S1648" s="105"/>
      <c r="T1648" s="105"/>
      <c r="U1648" s="105"/>
      <c r="V1648" s="105"/>
      <c r="W1648" s="105"/>
      <c r="X1648" s="11"/>
      <c r="Y1648" s="11"/>
      <c r="Z1648" s="105"/>
      <c r="AA1648" s="11"/>
      <c r="AB1648" s="11"/>
      <c r="AC1648" s="105"/>
      <c r="AD1648" s="11" t="b">
        <v>0</v>
      </c>
      <c r="AE1648" s="105"/>
      <c r="AF1648" s="11"/>
      <c r="AG1648" s="11"/>
      <c r="AH1648" s="11"/>
      <c r="AI1648" s="11"/>
    </row>
    <row r="1649" ht="12.5" spans="3:35">
      <c r="C1649" s="19"/>
      <c r="D1649" s="19"/>
      <c r="H1649" s="105"/>
      <c r="I1649" s="126"/>
      <c r="J1649" s="11"/>
      <c r="K1649" s="108"/>
      <c r="L1649" s="11"/>
      <c r="M1649" s="105"/>
      <c r="N1649" s="105"/>
      <c r="O1649" s="11"/>
      <c r="P1649" s="11"/>
      <c r="Q1649" s="105"/>
      <c r="R1649" s="105"/>
      <c r="S1649" s="105"/>
      <c r="T1649" s="105"/>
      <c r="U1649" s="105"/>
      <c r="V1649" s="105"/>
      <c r="W1649" s="105"/>
      <c r="X1649" s="11"/>
      <c r="Y1649" s="11"/>
      <c r="Z1649" s="105"/>
      <c r="AA1649" s="11"/>
      <c r="AB1649" s="11"/>
      <c r="AC1649" s="105"/>
      <c r="AD1649" s="11" t="b">
        <v>0</v>
      </c>
      <c r="AE1649" s="105"/>
      <c r="AF1649" s="11"/>
      <c r="AG1649" s="11"/>
      <c r="AH1649" s="11"/>
      <c r="AI1649" s="11"/>
    </row>
    <row r="1650" ht="12.5" spans="3:35">
      <c r="C1650" s="19"/>
      <c r="D1650" s="19"/>
      <c r="H1650" s="105"/>
      <c r="I1650" s="126"/>
      <c r="J1650" s="11"/>
      <c r="K1650" s="108"/>
      <c r="L1650" s="11"/>
      <c r="M1650" s="105"/>
      <c r="N1650" s="105"/>
      <c r="O1650" s="11"/>
      <c r="P1650" s="11"/>
      <c r="Q1650" s="105"/>
      <c r="R1650" s="105"/>
      <c r="S1650" s="105"/>
      <c r="T1650" s="105"/>
      <c r="U1650" s="105"/>
      <c r="V1650" s="105"/>
      <c r="W1650" s="105"/>
      <c r="X1650" s="11"/>
      <c r="Y1650" s="11"/>
      <c r="Z1650" s="105"/>
      <c r="AA1650" s="11"/>
      <c r="AB1650" s="11"/>
      <c r="AC1650" s="105"/>
      <c r="AD1650" s="11" t="b">
        <v>0</v>
      </c>
      <c r="AE1650" s="105"/>
      <c r="AF1650" s="11"/>
      <c r="AG1650" s="11"/>
      <c r="AH1650" s="11"/>
      <c r="AI1650" s="11"/>
    </row>
    <row r="1651" ht="12.5" spans="3:35">
      <c r="C1651" s="19"/>
      <c r="D1651" s="19"/>
      <c r="H1651" s="105"/>
      <c r="I1651" s="126"/>
      <c r="J1651" s="11"/>
      <c r="K1651" s="108"/>
      <c r="L1651" s="11"/>
      <c r="M1651" s="105"/>
      <c r="N1651" s="105"/>
      <c r="O1651" s="11"/>
      <c r="P1651" s="11"/>
      <c r="Q1651" s="105"/>
      <c r="R1651" s="105"/>
      <c r="S1651" s="105"/>
      <c r="T1651" s="105"/>
      <c r="U1651" s="105"/>
      <c r="V1651" s="105"/>
      <c r="W1651" s="105"/>
      <c r="X1651" s="11"/>
      <c r="Y1651" s="11"/>
      <c r="Z1651" s="105"/>
      <c r="AA1651" s="11"/>
      <c r="AB1651" s="11"/>
      <c r="AC1651" s="105"/>
      <c r="AD1651" s="11" t="b">
        <v>0</v>
      </c>
      <c r="AE1651" s="105"/>
      <c r="AF1651" s="11"/>
      <c r="AG1651" s="11"/>
      <c r="AH1651" s="11"/>
      <c r="AI1651" s="11"/>
    </row>
    <row r="1652" ht="12.5" spans="3:35">
      <c r="C1652" s="19"/>
      <c r="D1652" s="19"/>
      <c r="H1652" s="105"/>
      <c r="I1652" s="126"/>
      <c r="J1652" s="11"/>
      <c r="K1652" s="108"/>
      <c r="L1652" s="11"/>
      <c r="M1652" s="105"/>
      <c r="N1652" s="105"/>
      <c r="O1652" s="11"/>
      <c r="P1652" s="11"/>
      <c r="Q1652" s="105"/>
      <c r="R1652" s="105"/>
      <c r="S1652" s="105"/>
      <c r="T1652" s="105"/>
      <c r="U1652" s="105"/>
      <c r="V1652" s="105"/>
      <c r="W1652" s="105"/>
      <c r="X1652" s="11"/>
      <c r="Y1652" s="11"/>
      <c r="Z1652" s="105"/>
      <c r="AA1652" s="11"/>
      <c r="AB1652" s="11"/>
      <c r="AC1652" s="105"/>
      <c r="AD1652" s="11" t="b">
        <v>0</v>
      </c>
      <c r="AE1652" s="105"/>
      <c r="AF1652" s="11"/>
      <c r="AG1652" s="11"/>
      <c r="AH1652" s="11"/>
      <c r="AI1652" s="11"/>
    </row>
    <row r="1653" ht="12.5" spans="3:35">
      <c r="C1653" s="19"/>
      <c r="D1653" s="19"/>
      <c r="H1653" s="105"/>
      <c r="I1653" s="126"/>
      <c r="J1653" s="11"/>
      <c r="K1653" s="108"/>
      <c r="L1653" s="11"/>
      <c r="M1653" s="105"/>
      <c r="N1653" s="105"/>
      <c r="O1653" s="11"/>
      <c r="P1653" s="11"/>
      <c r="Q1653" s="105"/>
      <c r="R1653" s="105"/>
      <c r="S1653" s="105"/>
      <c r="T1653" s="105"/>
      <c r="U1653" s="105"/>
      <c r="V1653" s="105"/>
      <c r="W1653" s="105"/>
      <c r="X1653" s="11"/>
      <c r="Y1653" s="11"/>
      <c r="Z1653" s="105"/>
      <c r="AA1653" s="11"/>
      <c r="AB1653" s="11"/>
      <c r="AC1653" s="105"/>
      <c r="AD1653" s="11" t="b">
        <v>0</v>
      </c>
      <c r="AE1653" s="105"/>
      <c r="AF1653" s="11"/>
      <c r="AG1653" s="11"/>
      <c r="AH1653" s="11"/>
      <c r="AI1653" s="11"/>
    </row>
    <row r="1654" ht="12.5" spans="3:35">
      <c r="C1654" s="19"/>
      <c r="D1654" s="19"/>
      <c r="H1654" s="105"/>
      <c r="I1654" s="126"/>
      <c r="J1654" s="11"/>
      <c r="K1654" s="108"/>
      <c r="L1654" s="11"/>
      <c r="M1654" s="105"/>
      <c r="N1654" s="105"/>
      <c r="O1654" s="11"/>
      <c r="P1654" s="11"/>
      <c r="Q1654" s="105"/>
      <c r="R1654" s="105"/>
      <c r="S1654" s="105"/>
      <c r="T1654" s="105"/>
      <c r="U1654" s="105"/>
      <c r="V1654" s="105"/>
      <c r="W1654" s="105"/>
      <c r="X1654" s="11"/>
      <c r="Y1654" s="11"/>
      <c r="Z1654" s="105"/>
      <c r="AA1654" s="11"/>
      <c r="AB1654" s="11"/>
      <c r="AC1654" s="105"/>
      <c r="AD1654" s="11" t="b">
        <v>0</v>
      </c>
      <c r="AE1654" s="105"/>
      <c r="AF1654" s="11"/>
      <c r="AG1654" s="11"/>
      <c r="AH1654" s="11"/>
      <c r="AI1654" s="11"/>
    </row>
    <row r="1655" ht="12.5" spans="3:35">
      <c r="C1655" s="19"/>
      <c r="D1655" s="19"/>
      <c r="H1655" s="105"/>
      <c r="I1655" s="126"/>
      <c r="J1655" s="11"/>
      <c r="K1655" s="108"/>
      <c r="L1655" s="11"/>
      <c r="M1655" s="105"/>
      <c r="N1655" s="105"/>
      <c r="O1655" s="11"/>
      <c r="P1655" s="11"/>
      <c r="Q1655" s="105"/>
      <c r="R1655" s="105"/>
      <c r="S1655" s="105"/>
      <c r="T1655" s="105"/>
      <c r="U1655" s="105"/>
      <c r="V1655" s="105"/>
      <c r="W1655" s="105"/>
      <c r="X1655" s="11"/>
      <c r="Y1655" s="11"/>
      <c r="Z1655" s="105"/>
      <c r="AA1655" s="11"/>
      <c r="AB1655" s="11"/>
      <c r="AC1655" s="105"/>
      <c r="AD1655" s="11" t="b">
        <v>0</v>
      </c>
      <c r="AE1655" s="105"/>
      <c r="AF1655" s="11"/>
      <c r="AG1655" s="11"/>
      <c r="AH1655" s="11"/>
      <c r="AI1655" s="11"/>
    </row>
    <row r="1656" ht="12.5" spans="3:35">
      <c r="C1656" s="19"/>
      <c r="D1656" s="19"/>
      <c r="H1656" s="105"/>
      <c r="I1656" s="126"/>
      <c r="J1656" s="11"/>
      <c r="K1656" s="108"/>
      <c r="L1656" s="11"/>
      <c r="M1656" s="105"/>
      <c r="N1656" s="105"/>
      <c r="O1656" s="11"/>
      <c r="P1656" s="11"/>
      <c r="Q1656" s="105"/>
      <c r="R1656" s="105"/>
      <c r="S1656" s="105"/>
      <c r="T1656" s="105"/>
      <c r="U1656" s="105"/>
      <c r="V1656" s="105"/>
      <c r="W1656" s="105"/>
      <c r="X1656" s="11"/>
      <c r="Y1656" s="11"/>
      <c r="Z1656" s="105"/>
      <c r="AA1656" s="11"/>
      <c r="AB1656" s="11"/>
      <c r="AC1656" s="105"/>
      <c r="AD1656" s="11" t="b">
        <v>0</v>
      </c>
      <c r="AE1656" s="105"/>
      <c r="AF1656" s="11"/>
      <c r="AG1656" s="11"/>
      <c r="AH1656" s="11"/>
      <c r="AI1656" s="11"/>
    </row>
    <row r="1657" ht="12.5" spans="3:35">
      <c r="C1657" s="19"/>
      <c r="D1657" s="19"/>
      <c r="H1657" s="105"/>
      <c r="I1657" s="126"/>
      <c r="J1657" s="11"/>
      <c r="K1657" s="108"/>
      <c r="L1657" s="11"/>
      <c r="M1657" s="105"/>
      <c r="N1657" s="105"/>
      <c r="O1657" s="11"/>
      <c r="P1657" s="11"/>
      <c r="Q1657" s="105"/>
      <c r="R1657" s="105"/>
      <c r="S1657" s="105"/>
      <c r="T1657" s="105"/>
      <c r="U1657" s="105"/>
      <c r="V1657" s="105"/>
      <c r="W1657" s="105"/>
      <c r="X1657" s="11"/>
      <c r="Y1657" s="11"/>
      <c r="Z1657" s="105"/>
      <c r="AA1657" s="11"/>
      <c r="AB1657" s="11"/>
      <c r="AC1657" s="105"/>
      <c r="AD1657" s="11" t="b">
        <v>0</v>
      </c>
      <c r="AE1657" s="105"/>
      <c r="AF1657" s="11"/>
      <c r="AG1657" s="11"/>
      <c r="AH1657" s="11"/>
      <c r="AI1657" s="11"/>
    </row>
    <row r="1658" ht="12.5" spans="3:35">
      <c r="C1658" s="19"/>
      <c r="D1658" s="19"/>
      <c r="H1658" s="105"/>
      <c r="I1658" s="126"/>
      <c r="J1658" s="11"/>
      <c r="K1658" s="108"/>
      <c r="L1658" s="11"/>
      <c r="M1658" s="105"/>
      <c r="N1658" s="105"/>
      <c r="O1658" s="11"/>
      <c r="P1658" s="11"/>
      <c r="Q1658" s="105"/>
      <c r="R1658" s="105"/>
      <c r="S1658" s="105"/>
      <c r="T1658" s="105"/>
      <c r="U1658" s="105"/>
      <c r="V1658" s="105"/>
      <c r="W1658" s="105"/>
      <c r="X1658" s="11"/>
      <c r="Y1658" s="11"/>
      <c r="Z1658" s="105"/>
      <c r="AA1658" s="11"/>
      <c r="AB1658" s="11"/>
      <c r="AC1658" s="105"/>
      <c r="AD1658" s="11" t="b">
        <v>0</v>
      </c>
      <c r="AE1658" s="105"/>
      <c r="AF1658" s="11"/>
      <c r="AG1658" s="11"/>
      <c r="AH1658" s="11"/>
      <c r="AI1658" s="11"/>
    </row>
    <row r="1659" ht="12.5" spans="3:35">
      <c r="C1659" s="19"/>
      <c r="D1659" s="19"/>
      <c r="H1659" s="105"/>
      <c r="I1659" s="126"/>
      <c r="J1659" s="11"/>
      <c r="K1659" s="108"/>
      <c r="L1659" s="11"/>
      <c r="M1659" s="105"/>
      <c r="N1659" s="105"/>
      <c r="O1659" s="11"/>
      <c r="P1659" s="11"/>
      <c r="Q1659" s="105"/>
      <c r="R1659" s="105"/>
      <c r="S1659" s="105"/>
      <c r="T1659" s="105"/>
      <c r="U1659" s="105"/>
      <c r="V1659" s="105"/>
      <c r="W1659" s="105"/>
      <c r="X1659" s="11"/>
      <c r="Y1659" s="11"/>
      <c r="Z1659" s="105"/>
      <c r="AA1659" s="11"/>
      <c r="AB1659" s="11"/>
      <c r="AC1659" s="105"/>
      <c r="AD1659" s="11" t="b">
        <v>0</v>
      </c>
      <c r="AE1659" s="105"/>
      <c r="AF1659" s="11"/>
      <c r="AG1659" s="11"/>
      <c r="AH1659" s="11"/>
      <c r="AI1659" s="11"/>
    </row>
    <row r="1660" ht="12.5" spans="3:35">
      <c r="C1660" s="19"/>
      <c r="D1660" s="19"/>
      <c r="H1660" s="105"/>
      <c r="I1660" s="126"/>
      <c r="J1660" s="11"/>
      <c r="K1660" s="108"/>
      <c r="L1660" s="11"/>
      <c r="M1660" s="105"/>
      <c r="N1660" s="105"/>
      <c r="O1660" s="11"/>
      <c r="P1660" s="11"/>
      <c r="Q1660" s="105"/>
      <c r="R1660" s="105"/>
      <c r="S1660" s="105"/>
      <c r="T1660" s="105"/>
      <c r="U1660" s="105"/>
      <c r="V1660" s="105"/>
      <c r="W1660" s="105"/>
      <c r="X1660" s="11"/>
      <c r="Y1660" s="11"/>
      <c r="Z1660" s="105"/>
      <c r="AA1660" s="11"/>
      <c r="AB1660" s="11"/>
      <c r="AC1660" s="105"/>
      <c r="AD1660" s="11" t="b">
        <v>0</v>
      </c>
      <c r="AE1660" s="105"/>
      <c r="AF1660" s="11"/>
      <c r="AG1660" s="11"/>
      <c r="AH1660" s="11"/>
      <c r="AI1660" s="11"/>
    </row>
    <row r="1661" ht="12.5" spans="3:35">
      <c r="C1661" s="19"/>
      <c r="D1661" s="19"/>
      <c r="H1661" s="105"/>
      <c r="I1661" s="126"/>
      <c r="J1661" s="11"/>
      <c r="K1661" s="108"/>
      <c r="L1661" s="11"/>
      <c r="M1661" s="105"/>
      <c r="N1661" s="105"/>
      <c r="O1661" s="11"/>
      <c r="P1661" s="11"/>
      <c r="Q1661" s="105"/>
      <c r="R1661" s="105"/>
      <c r="S1661" s="105"/>
      <c r="T1661" s="105"/>
      <c r="U1661" s="105"/>
      <c r="V1661" s="105"/>
      <c r="W1661" s="105"/>
      <c r="X1661" s="11"/>
      <c r="Y1661" s="11"/>
      <c r="Z1661" s="105"/>
      <c r="AA1661" s="11"/>
      <c r="AB1661" s="11"/>
      <c r="AC1661" s="105"/>
      <c r="AD1661" s="11" t="b">
        <v>0</v>
      </c>
      <c r="AE1661" s="105"/>
      <c r="AF1661" s="11"/>
      <c r="AG1661" s="11"/>
      <c r="AH1661" s="11"/>
      <c r="AI1661" s="11"/>
    </row>
    <row r="1662" ht="12.5" spans="3:35">
      <c r="C1662" s="19"/>
      <c r="D1662" s="19"/>
      <c r="H1662" s="105"/>
      <c r="I1662" s="126"/>
      <c r="J1662" s="11"/>
      <c r="K1662" s="108"/>
      <c r="L1662" s="11"/>
      <c r="M1662" s="105"/>
      <c r="N1662" s="105"/>
      <c r="O1662" s="11"/>
      <c r="P1662" s="11"/>
      <c r="Q1662" s="105"/>
      <c r="R1662" s="105"/>
      <c r="S1662" s="105"/>
      <c r="T1662" s="105"/>
      <c r="U1662" s="105"/>
      <c r="V1662" s="105"/>
      <c r="W1662" s="105"/>
      <c r="X1662" s="11"/>
      <c r="Y1662" s="11"/>
      <c r="Z1662" s="105"/>
      <c r="AA1662" s="11"/>
      <c r="AB1662" s="11"/>
      <c r="AC1662" s="105"/>
      <c r="AD1662" s="11" t="b">
        <v>0</v>
      </c>
      <c r="AE1662" s="105"/>
      <c r="AF1662" s="11"/>
      <c r="AG1662" s="11"/>
      <c r="AH1662" s="11"/>
      <c r="AI1662" s="11"/>
    </row>
    <row r="1663" ht="12.5" spans="3:35">
      <c r="C1663" s="19"/>
      <c r="D1663" s="19"/>
      <c r="H1663" s="105"/>
      <c r="I1663" s="126"/>
      <c r="J1663" s="11"/>
      <c r="K1663" s="108"/>
      <c r="L1663" s="11"/>
      <c r="M1663" s="105"/>
      <c r="N1663" s="105"/>
      <c r="O1663" s="11"/>
      <c r="P1663" s="11"/>
      <c r="Q1663" s="105"/>
      <c r="R1663" s="105"/>
      <c r="S1663" s="105"/>
      <c r="T1663" s="105"/>
      <c r="U1663" s="105"/>
      <c r="V1663" s="105"/>
      <c r="W1663" s="105"/>
      <c r="X1663" s="11"/>
      <c r="Y1663" s="11"/>
      <c r="Z1663" s="105"/>
      <c r="AA1663" s="11"/>
      <c r="AB1663" s="11"/>
      <c r="AC1663" s="105"/>
      <c r="AD1663" s="11" t="b">
        <v>0</v>
      </c>
      <c r="AE1663" s="105"/>
      <c r="AF1663" s="11"/>
      <c r="AG1663" s="11"/>
      <c r="AH1663" s="11"/>
      <c r="AI1663" s="11"/>
    </row>
    <row r="1664" ht="12.5" spans="3:35">
      <c r="C1664" s="19"/>
      <c r="D1664" s="19"/>
      <c r="H1664" s="105"/>
      <c r="I1664" s="126"/>
      <c r="J1664" s="11"/>
      <c r="K1664" s="108"/>
      <c r="L1664" s="11"/>
      <c r="M1664" s="105"/>
      <c r="N1664" s="105"/>
      <c r="O1664" s="11"/>
      <c r="P1664" s="11"/>
      <c r="Q1664" s="105"/>
      <c r="R1664" s="105"/>
      <c r="S1664" s="105"/>
      <c r="T1664" s="105"/>
      <c r="U1664" s="105"/>
      <c r="V1664" s="105"/>
      <c r="W1664" s="105"/>
      <c r="X1664" s="11"/>
      <c r="Y1664" s="11"/>
      <c r="Z1664" s="105"/>
      <c r="AA1664" s="11"/>
      <c r="AB1664" s="11"/>
      <c r="AC1664" s="105"/>
      <c r="AD1664" s="11" t="b">
        <v>0</v>
      </c>
      <c r="AE1664" s="105"/>
      <c r="AF1664" s="11"/>
      <c r="AG1664" s="11"/>
      <c r="AH1664" s="11"/>
      <c r="AI1664" s="11"/>
    </row>
    <row r="1665" ht="12.5" spans="3:35">
      <c r="C1665" s="19"/>
      <c r="D1665" s="19"/>
      <c r="H1665" s="105"/>
      <c r="I1665" s="126"/>
      <c r="J1665" s="11"/>
      <c r="K1665" s="108"/>
      <c r="L1665" s="11"/>
      <c r="M1665" s="105"/>
      <c r="N1665" s="105"/>
      <c r="O1665" s="11"/>
      <c r="P1665" s="11"/>
      <c r="Q1665" s="105"/>
      <c r="R1665" s="105"/>
      <c r="S1665" s="105"/>
      <c r="T1665" s="105"/>
      <c r="U1665" s="105"/>
      <c r="V1665" s="105"/>
      <c r="W1665" s="105"/>
      <c r="X1665" s="11"/>
      <c r="Y1665" s="11"/>
      <c r="Z1665" s="105"/>
      <c r="AA1665" s="11"/>
      <c r="AB1665" s="11"/>
      <c r="AC1665" s="105"/>
      <c r="AD1665" s="11" t="b">
        <v>0</v>
      </c>
      <c r="AE1665" s="105"/>
      <c r="AF1665" s="11"/>
      <c r="AG1665" s="11"/>
      <c r="AH1665" s="11"/>
      <c r="AI1665" s="11"/>
    </row>
    <row r="1666" ht="12.5" spans="3:35">
      <c r="C1666" s="19"/>
      <c r="D1666" s="19"/>
      <c r="H1666" s="105"/>
      <c r="I1666" s="126"/>
      <c r="J1666" s="11"/>
      <c r="K1666" s="108"/>
      <c r="L1666" s="11"/>
      <c r="M1666" s="105"/>
      <c r="N1666" s="105"/>
      <c r="O1666" s="11"/>
      <c r="P1666" s="11"/>
      <c r="Q1666" s="105"/>
      <c r="R1666" s="105"/>
      <c r="S1666" s="105"/>
      <c r="T1666" s="105"/>
      <c r="U1666" s="105"/>
      <c r="V1666" s="105"/>
      <c r="W1666" s="105"/>
      <c r="X1666" s="11"/>
      <c r="Y1666" s="11"/>
      <c r="Z1666" s="105"/>
      <c r="AA1666" s="11"/>
      <c r="AB1666" s="11"/>
      <c r="AC1666" s="105"/>
      <c r="AD1666" s="11" t="b">
        <v>0</v>
      </c>
      <c r="AE1666" s="105"/>
      <c r="AF1666" s="11"/>
      <c r="AG1666" s="11"/>
      <c r="AH1666" s="11"/>
      <c r="AI1666" s="11"/>
    </row>
    <row r="1667" ht="12.5" spans="3:35">
      <c r="C1667" s="19"/>
      <c r="D1667" s="19"/>
      <c r="H1667" s="105"/>
      <c r="I1667" s="126"/>
      <c r="J1667" s="11"/>
      <c r="K1667" s="108"/>
      <c r="L1667" s="11"/>
      <c r="M1667" s="105"/>
      <c r="N1667" s="105"/>
      <c r="O1667" s="11"/>
      <c r="P1667" s="11"/>
      <c r="Q1667" s="105"/>
      <c r="R1667" s="105"/>
      <c r="S1667" s="105"/>
      <c r="T1667" s="105"/>
      <c r="U1667" s="105"/>
      <c r="V1667" s="105"/>
      <c r="W1667" s="105"/>
      <c r="X1667" s="11"/>
      <c r="Y1667" s="11"/>
      <c r="Z1667" s="105"/>
      <c r="AA1667" s="11"/>
      <c r="AB1667" s="11"/>
      <c r="AC1667" s="105"/>
      <c r="AD1667" s="11" t="b">
        <v>0</v>
      </c>
      <c r="AE1667" s="105"/>
      <c r="AF1667" s="11"/>
      <c r="AG1667" s="11"/>
      <c r="AH1667" s="11"/>
      <c r="AI1667" s="11"/>
    </row>
    <row r="1668" ht="12.5" spans="3:35">
      <c r="C1668" s="19"/>
      <c r="D1668" s="19"/>
      <c r="H1668" s="105"/>
      <c r="I1668" s="126"/>
      <c r="J1668" s="11"/>
      <c r="K1668" s="108"/>
      <c r="L1668" s="11"/>
      <c r="M1668" s="105"/>
      <c r="N1668" s="105"/>
      <c r="O1668" s="11"/>
      <c r="P1668" s="11"/>
      <c r="Q1668" s="105"/>
      <c r="R1668" s="105"/>
      <c r="S1668" s="105"/>
      <c r="T1668" s="105"/>
      <c r="U1668" s="105"/>
      <c r="V1668" s="105"/>
      <c r="W1668" s="105"/>
      <c r="X1668" s="11"/>
      <c r="Y1668" s="11"/>
      <c r="Z1668" s="105"/>
      <c r="AA1668" s="11"/>
      <c r="AB1668" s="11"/>
      <c r="AC1668" s="105"/>
      <c r="AD1668" s="11" t="b">
        <v>0</v>
      </c>
      <c r="AE1668" s="105"/>
      <c r="AF1668" s="11"/>
      <c r="AG1668" s="11"/>
      <c r="AH1668" s="11"/>
      <c r="AI1668" s="11"/>
    </row>
    <row r="1669" ht="12.5" spans="3:35">
      <c r="C1669" s="19"/>
      <c r="D1669" s="19"/>
      <c r="H1669" s="105"/>
      <c r="I1669" s="126"/>
      <c r="J1669" s="11"/>
      <c r="K1669" s="108"/>
      <c r="L1669" s="11"/>
      <c r="M1669" s="105"/>
      <c r="N1669" s="105"/>
      <c r="O1669" s="11"/>
      <c r="P1669" s="11"/>
      <c r="Q1669" s="105"/>
      <c r="R1669" s="105"/>
      <c r="S1669" s="105"/>
      <c r="T1669" s="105"/>
      <c r="U1669" s="105"/>
      <c r="V1669" s="105"/>
      <c r="W1669" s="105"/>
      <c r="X1669" s="11"/>
      <c r="Y1669" s="11"/>
      <c r="Z1669" s="105"/>
      <c r="AA1669" s="11"/>
      <c r="AB1669" s="11"/>
      <c r="AC1669" s="105"/>
      <c r="AD1669" s="11" t="b">
        <v>0</v>
      </c>
      <c r="AE1669" s="105"/>
      <c r="AF1669" s="11"/>
      <c r="AG1669" s="11"/>
      <c r="AH1669" s="11"/>
      <c r="AI1669" s="11"/>
    </row>
    <row r="1670" ht="12.5" spans="3:35">
      <c r="C1670" s="19"/>
      <c r="D1670" s="19"/>
      <c r="H1670" s="105"/>
      <c r="I1670" s="126"/>
      <c r="J1670" s="11"/>
      <c r="K1670" s="108"/>
      <c r="L1670" s="11"/>
      <c r="M1670" s="105"/>
      <c r="N1670" s="105"/>
      <c r="O1670" s="11"/>
      <c r="P1670" s="11"/>
      <c r="Q1670" s="105"/>
      <c r="R1670" s="105"/>
      <c r="S1670" s="105"/>
      <c r="T1670" s="105"/>
      <c r="U1670" s="105"/>
      <c r="V1670" s="105"/>
      <c r="W1670" s="105"/>
      <c r="X1670" s="11"/>
      <c r="Y1670" s="11"/>
      <c r="Z1670" s="105"/>
      <c r="AA1670" s="11"/>
      <c r="AB1670" s="11"/>
      <c r="AC1670" s="105"/>
      <c r="AD1670" s="11" t="b">
        <v>0</v>
      </c>
      <c r="AE1670" s="105"/>
      <c r="AF1670" s="11"/>
      <c r="AG1670" s="11"/>
      <c r="AH1670" s="11"/>
      <c r="AI1670" s="11"/>
    </row>
    <row r="1671" ht="12.5" spans="3:35">
      <c r="C1671" s="19"/>
      <c r="D1671" s="19"/>
      <c r="H1671" s="105"/>
      <c r="I1671" s="126"/>
      <c r="J1671" s="11"/>
      <c r="K1671" s="108"/>
      <c r="L1671" s="11"/>
      <c r="M1671" s="105"/>
      <c r="N1671" s="105"/>
      <c r="O1671" s="11"/>
      <c r="P1671" s="11"/>
      <c r="Q1671" s="105"/>
      <c r="R1671" s="105"/>
      <c r="S1671" s="105"/>
      <c r="T1671" s="105"/>
      <c r="U1671" s="105"/>
      <c r="V1671" s="105"/>
      <c r="W1671" s="105"/>
      <c r="X1671" s="11"/>
      <c r="Y1671" s="11"/>
      <c r="Z1671" s="105"/>
      <c r="AA1671" s="11"/>
      <c r="AB1671" s="11"/>
      <c r="AC1671" s="105"/>
      <c r="AD1671" s="11" t="b">
        <v>0</v>
      </c>
      <c r="AE1671" s="105"/>
      <c r="AF1671" s="11"/>
      <c r="AG1671" s="11"/>
      <c r="AH1671" s="11"/>
      <c r="AI1671" s="11"/>
    </row>
    <row r="1672" ht="12.5" spans="3:35">
      <c r="C1672" s="19"/>
      <c r="D1672" s="19"/>
      <c r="H1672" s="105"/>
      <c r="I1672" s="126"/>
      <c r="J1672" s="11"/>
      <c r="K1672" s="108"/>
      <c r="L1672" s="11"/>
      <c r="M1672" s="105"/>
      <c r="N1672" s="105"/>
      <c r="O1672" s="11"/>
      <c r="P1672" s="11"/>
      <c r="Q1672" s="105"/>
      <c r="R1672" s="105"/>
      <c r="S1672" s="105"/>
      <c r="T1672" s="105"/>
      <c r="U1672" s="105"/>
      <c r="V1672" s="105"/>
      <c r="W1672" s="105"/>
      <c r="X1672" s="11"/>
      <c r="Y1672" s="11"/>
      <c r="Z1672" s="105"/>
      <c r="AA1672" s="11"/>
      <c r="AB1672" s="11"/>
      <c r="AC1672" s="105"/>
      <c r="AD1672" s="11" t="b">
        <v>0</v>
      </c>
      <c r="AE1672" s="105"/>
      <c r="AF1672" s="11"/>
      <c r="AG1672" s="11"/>
      <c r="AH1672" s="11"/>
      <c r="AI1672" s="11"/>
    </row>
    <row r="1673" ht="12.5" spans="3:35">
      <c r="C1673" s="19"/>
      <c r="D1673" s="19"/>
      <c r="H1673" s="105"/>
      <c r="I1673" s="126"/>
      <c r="J1673" s="11"/>
      <c r="K1673" s="108"/>
      <c r="L1673" s="11"/>
      <c r="M1673" s="105"/>
      <c r="N1673" s="105"/>
      <c r="O1673" s="11"/>
      <c r="P1673" s="11"/>
      <c r="Q1673" s="105"/>
      <c r="R1673" s="105"/>
      <c r="S1673" s="105"/>
      <c r="T1673" s="105"/>
      <c r="U1673" s="105"/>
      <c r="V1673" s="105"/>
      <c r="W1673" s="105"/>
      <c r="X1673" s="11"/>
      <c r="Y1673" s="11"/>
      <c r="Z1673" s="105"/>
      <c r="AA1673" s="11"/>
      <c r="AB1673" s="11"/>
      <c r="AC1673" s="105"/>
      <c r="AD1673" s="11" t="b">
        <v>0</v>
      </c>
      <c r="AE1673" s="105"/>
      <c r="AF1673" s="11"/>
      <c r="AG1673" s="11"/>
      <c r="AH1673" s="11"/>
      <c r="AI1673" s="11"/>
    </row>
    <row r="1674" ht="12.5" spans="3:35">
      <c r="C1674" s="19"/>
      <c r="D1674" s="19"/>
      <c r="H1674" s="105"/>
      <c r="I1674" s="126"/>
      <c r="J1674" s="11"/>
      <c r="K1674" s="108"/>
      <c r="L1674" s="11"/>
      <c r="M1674" s="105"/>
      <c r="N1674" s="105"/>
      <c r="O1674" s="11"/>
      <c r="P1674" s="11"/>
      <c r="Q1674" s="105"/>
      <c r="R1674" s="105"/>
      <c r="S1674" s="105"/>
      <c r="T1674" s="105"/>
      <c r="U1674" s="105"/>
      <c r="V1674" s="105"/>
      <c r="W1674" s="105"/>
      <c r="X1674" s="11"/>
      <c r="Y1674" s="11"/>
      <c r="Z1674" s="105"/>
      <c r="AA1674" s="11"/>
      <c r="AB1674" s="11"/>
      <c r="AC1674" s="105"/>
      <c r="AD1674" s="11" t="b">
        <v>0</v>
      </c>
      <c r="AE1674" s="105"/>
      <c r="AF1674" s="11"/>
      <c r="AG1674" s="11"/>
      <c r="AH1674" s="11"/>
      <c r="AI1674" s="11"/>
    </row>
    <row r="1675" ht="12.5" spans="3:35">
      <c r="C1675" s="19"/>
      <c r="D1675" s="19"/>
      <c r="H1675" s="105"/>
      <c r="I1675" s="126"/>
      <c r="J1675" s="11"/>
      <c r="K1675" s="108"/>
      <c r="L1675" s="11"/>
      <c r="M1675" s="105"/>
      <c r="N1675" s="105"/>
      <c r="O1675" s="11"/>
      <c r="P1675" s="11"/>
      <c r="Q1675" s="105"/>
      <c r="R1675" s="105"/>
      <c r="S1675" s="105"/>
      <c r="T1675" s="105"/>
      <c r="U1675" s="105"/>
      <c r="V1675" s="105"/>
      <c r="W1675" s="105"/>
      <c r="X1675" s="11"/>
      <c r="Y1675" s="11"/>
      <c r="Z1675" s="105"/>
      <c r="AA1675" s="11"/>
      <c r="AB1675" s="11"/>
      <c r="AC1675" s="105"/>
      <c r="AD1675" s="11" t="b">
        <v>0</v>
      </c>
      <c r="AE1675" s="105"/>
      <c r="AF1675" s="11"/>
      <c r="AG1675" s="11"/>
      <c r="AH1675" s="11"/>
      <c r="AI1675" s="11"/>
    </row>
    <row r="1676" ht="12.5" spans="3:35">
      <c r="C1676" s="19"/>
      <c r="D1676" s="19"/>
      <c r="H1676" s="105"/>
      <c r="I1676" s="126"/>
      <c r="J1676" s="11"/>
      <c r="K1676" s="108"/>
      <c r="L1676" s="11"/>
      <c r="M1676" s="105"/>
      <c r="N1676" s="105"/>
      <c r="O1676" s="11"/>
      <c r="P1676" s="11"/>
      <c r="Q1676" s="105"/>
      <c r="R1676" s="105"/>
      <c r="S1676" s="105"/>
      <c r="T1676" s="105"/>
      <c r="U1676" s="105"/>
      <c r="V1676" s="105"/>
      <c r="W1676" s="105"/>
      <c r="X1676" s="11"/>
      <c r="Y1676" s="11"/>
      <c r="Z1676" s="105"/>
      <c r="AA1676" s="11"/>
      <c r="AB1676" s="11"/>
      <c r="AC1676" s="105"/>
      <c r="AD1676" s="11" t="b">
        <v>0</v>
      </c>
      <c r="AE1676" s="105"/>
      <c r="AF1676" s="11"/>
      <c r="AG1676" s="11"/>
      <c r="AH1676" s="11"/>
      <c r="AI1676" s="11"/>
    </row>
    <row r="1677" ht="12.5" spans="3:35">
      <c r="C1677" s="19"/>
      <c r="D1677" s="19"/>
      <c r="H1677" s="105"/>
      <c r="I1677" s="126"/>
      <c r="J1677" s="11"/>
      <c r="K1677" s="108"/>
      <c r="L1677" s="11"/>
      <c r="M1677" s="105"/>
      <c r="N1677" s="105"/>
      <c r="O1677" s="11"/>
      <c r="P1677" s="11"/>
      <c r="Q1677" s="105"/>
      <c r="R1677" s="105"/>
      <c r="S1677" s="105"/>
      <c r="T1677" s="105"/>
      <c r="U1677" s="105"/>
      <c r="V1677" s="105"/>
      <c r="W1677" s="105"/>
      <c r="X1677" s="11"/>
      <c r="Y1677" s="11"/>
      <c r="Z1677" s="105"/>
      <c r="AA1677" s="11"/>
      <c r="AB1677" s="11"/>
      <c r="AC1677" s="105"/>
      <c r="AD1677" s="11" t="b">
        <v>0</v>
      </c>
      <c r="AE1677" s="105"/>
      <c r="AF1677" s="11"/>
      <c r="AG1677" s="11"/>
      <c r="AH1677" s="11"/>
      <c r="AI1677" s="11"/>
    </row>
    <row r="1678" ht="12.5" spans="3:35">
      <c r="C1678" s="19"/>
      <c r="D1678" s="19"/>
      <c r="H1678" s="105"/>
      <c r="I1678" s="126"/>
      <c r="J1678" s="11"/>
      <c r="K1678" s="108"/>
      <c r="L1678" s="11"/>
      <c r="M1678" s="105"/>
      <c r="N1678" s="105"/>
      <c r="O1678" s="11"/>
      <c r="P1678" s="11"/>
      <c r="Q1678" s="105"/>
      <c r="R1678" s="105"/>
      <c r="S1678" s="105"/>
      <c r="T1678" s="105"/>
      <c r="U1678" s="105"/>
      <c r="V1678" s="105"/>
      <c r="W1678" s="105"/>
      <c r="X1678" s="11"/>
      <c r="Y1678" s="11"/>
      <c r="Z1678" s="105"/>
      <c r="AA1678" s="11"/>
      <c r="AB1678" s="11"/>
      <c r="AC1678" s="105"/>
      <c r="AD1678" s="11" t="b">
        <v>0</v>
      </c>
      <c r="AE1678" s="105"/>
      <c r="AF1678" s="11"/>
      <c r="AG1678" s="11"/>
      <c r="AH1678" s="11"/>
      <c r="AI1678" s="11"/>
    </row>
    <row r="1679" ht="12.5" spans="3:35">
      <c r="C1679" s="19"/>
      <c r="D1679" s="19"/>
      <c r="H1679" s="105"/>
      <c r="I1679" s="126"/>
      <c r="J1679" s="11"/>
      <c r="K1679" s="108"/>
      <c r="L1679" s="11"/>
      <c r="M1679" s="105"/>
      <c r="N1679" s="105"/>
      <c r="O1679" s="11"/>
      <c r="P1679" s="11"/>
      <c r="Q1679" s="105"/>
      <c r="R1679" s="105"/>
      <c r="S1679" s="105"/>
      <c r="T1679" s="105"/>
      <c r="U1679" s="105"/>
      <c r="V1679" s="105"/>
      <c r="W1679" s="105"/>
      <c r="X1679" s="11"/>
      <c r="Y1679" s="11"/>
      <c r="Z1679" s="105"/>
      <c r="AA1679" s="11"/>
      <c r="AB1679" s="11"/>
      <c r="AC1679" s="105"/>
      <c r="AD1679" s="11" t="b">
        <v>0</v>
      </c>
      <c r="AE1679" s="105"/>
      <c r="AF1679" s="11"/>
      <c r="AG1679" s="11"/>
      <c r="AH1679" s="11"/>
      <c r="AI1679" s="11"/>
    </row>
    <row r="1680" ht="12.5" spans="3:35">
      <c r="C1680" s="19"/>
      <c r="D1680" s="19"/>
      <c r="H1680" s="105"/>
      <c r="I1680" s="126"/>
      <c r="J1680" s="11"/>
      <c r="K1680" s="108"/>
      <c r="L1680" s="11"/>
      <c r="M1680" s="105"/>
      <c r="N1680" s="105"/>
      <c r="O1680" s="11"/>
      <c r="P1680" s="11"/>
      <c r="Q1680" s="105"/>
      <c r="R1680" s="105"/>
      <c r="S1680" s="105"/>
      <c r="T1680" s="105"/>
      <c r="U1680" s="105"/>
      <c r="V1680" s="105"/>
      <c r="W1680" s="105"/>
      <c r="X1680" s="11"/>
      <c r="Y1680" s="11"/>
      <c r="Z1680" s="105"/>
      <c r="AA1680" s="11"/>
      <c r="AB1680" s="11"/>
      <c r="AC1680" s="105"/>
      <c r="AD1680" s="11" t="b">
        <v>0</v>
      </c>
      <c r="AE1680" s="105"/>
      <c r="AF1680" s="11"/>
      <c r="AG1680" s="11"/>
      <c r="AH1680" s="11"/>
      <c r="AI1680" s="11"/>
    </row>
    <row r="1681" ht="12.5" spans="3:35">
      <c r="C1681" s="19"/>
      <c r="D1681" s="19"/>
      <c r="H1681" s="105"/>
      <c r="I1681" s="126"/>
      <c r="J1681" s="11"/>
      <c r="K1681" s="108"/>
      <c r="L1681" s="11"/>
      <c r="M1681" s="105"/>
      <c r="N1681" s="105"/>
      <c r="O1681" s="11"/>
      <c r="P1681" s="11"/>
      <c r="Q1681" s="105"/>
      <c r="R1681" s="105"/>
      <c r="S1681" s="105"/>
      <c r="T1681" s="105"/>
      <c r="U1681" s="105"/>
      <c r="V1681" s="105"/>
      <c r="W1681" s="105"/>
      <c r="X1681" s="11"/>
      <c r="Y1681" s="11"/>
      <c r="Z1681" s="105"/>
      <c r="AA1681" s="11"/>
      <c r="AB1681" s="11"/>
      <c r="AC1681" s="105"/>
      <c r="AD1681" s="11" t="b">
        <v>0</v>
      </c>
      <c r="AE1681" s="105"/>
      <c r="AF1681" s="11"/>
      <c r="AG1681" s="11"/>
      <c r="AH1681" s="11"/>
      <c r="AI1681" s="11"/>
    </row>
    <row r="1682" ht="12.5" spans="3:35">
      <c r="C1682" s="19"/>
      <c r="D1682" s="19"/>
      <c r="H1682" s="105"/>
      <c r="I1682" s="126"/>
      <c r="J1682" s="11"/>
      <c r="K1682" s="108"/>
      <c r="L1682" s="11"/>
      <c r="M1682" s="105"/>
      <c r="N1682" s="105"/>
      <c r="O1682" s="11"/>
      <c r="P1682" s="11"/>
      <c r="Q1682" s="105"/>
      <c r="R1682" s="105"/>
      <c r="S1682" s="105"/>
      <c r="T1682" s="105"/>
      <c r="U1682" s="105"/>
      <c r="V1682" s="105"/>
      <c r="W1682" s="105"/>
      <c r="X1682" s="11"/>
      <c r="Y1682" s="11"/>
      <c r="Z1682" s="105"/>
      <c r="AA1682" s="11"/>
      <c r="AB1682" s="11"/>
      <c r="AC1682" s="105"/>
      <c r="AD1682" s="11" t="b">
        <v>0</v>
      </c>
      <c r="AE1682" s="105"/>
      <c r="AF1682" s="11"/>
      <c r="AG1682" s="11"/>
      <c r="AH1682" s="11"/>
      <c r="AI1682" s="11"/>
    </row>
    <row r="1683" ht="12.5" spans="3:35">
      <c r="C1683" s="19"/>
      <c r="D1683" s="19"/>
      <c r="H1683" s="105"/>
      <c r="I1683" s="126"/>
      <c r="J1683" s="11"/>
      <c r="K1683" s="108"/>
      <c r="L1683" s="11"/>
      <c r="M1683" s="105"/>
      <c r="N1683" s="105"/>
      <c r="O1683" s="11"/>
      <c r="P1683" s="11"/>
      <c r="Q1683" s="105"/>
      <c r="R1683" s="105"/>
      <c r="S1683" s="105"/>
      <c r="T1683" s="105"/>
      <c r="U1683" s="105"/>
      <c r="V1683" s="105"/>
      <c r="W1683" s="105"/>
      <c r="X1683" s="11"/>
      <c r="Y1683" s="11"/>
      <c r="Z1683" s="105"/>
      <c r="AA1683" s="11"/>
      <c r="AB1683" s="11"/>
      <c r="AC1683" s="105"/>
      <c r="AD1683" s="11" t="b">
        <v>0</v>
      </c>
      <c r="AE1683" s="105"/>
      <c r="AF1683" s="11"/>
      <c r="AG1683" s="11"/>
      <c r="AH1683" s="11"/>
      <c r="AI1683" s="11"/>
    </row>
    <row r="1684" ht="12.5" spans="3:35">
      <c r="C1684" s="19"/>
      <c r="D1684" s="19"/>
      <c r="H1684" s="105"/>
      <c r="I1684" s="126"/>
      <c r="J1684" s="11"/>
      <c r="K1684" s="108"/>
      <c r="L1684" s="11"/>
      <c r="M1684" s="105"/>
      <c r="N1684" s="105"/>
      <c r="O1684" s="11"/>
      <c r="P1684" s="11"/>
      <c r="Q1684" s="105"/>
      <c r="R1684" s="105"/>
      <c r="S1684" s="105"/>
      <c r="T1684" s="105"/>
      <c r="U1684" s="105"/>
      <c r="V1684" s="105"/>
      <c r="W1684" s="105"/>
      <c r="X1684" s="11"/>
      <c r="Y1684" s="11"/>
      <c r="Z1684" s="105"/>
      <c r="AA1684" s="11"/>
      <c r="AB1684" s="11"/>
      <c r="AC1684" s="105"/>
      <c r="AD1684" s="11" t="b">
        <v>0</v>
      </c>
      <c r="AE1684" s="105"/>
      <c r="AF1684" s="11"/>
      <c r="AG1684" s="11"/>
      <c r="AH1684" s="11"/>
      <c r="AI1684" s="11"/>
    </row>
    <row r="1685" ht="12.5" spans="3:35">
      <c r="C1685" s="19"/>
      <c r="D1685" s="19"/>
      <c r="H1685" s="105"/>
      <c r="I1685" s="126"/>
      <c r="J1685" s="11"/>
      <c r="K1685" s="108"/>
      <c r="L1685" s="11"/>
      <c r="M1685" s="105"/>
      <c r="N1685" s="105"/>
      <c r="O1685" s="11"/>
      <c r="P1685" s="11"/>
      <c r="Q1685" s="105"/>
      <c r="R1685" s="105"/>
      <c r="S1685" s="105"/>
      <c r="T1685" s="105"/>
      <c r="U1685" s="105"/>
      <c r="V1685" s="105"/>
      <c r="W1685" s="105"/>
      <c r="X1685" s="11"/>
      <c r="Y1685" s="11"/>
      <c r="Z1685" s="105"/>
      <c r="AA1685" s="11"/>
      <c r="AB1685" s="11"/>
      <c r="AC1685" s="105"/>
      <c r="AD1685" s="11" t="b">
        <v>0</v>
      </c>
      <c r="AE1685" s="105"/>
      <c r="AF1685" s="11"/>
      <c r="AG1685" s="11"/>
      <c r="AH1685" s="11"/>
      <c r="AI1685" s="11"/>
    </row>
    <row r="1686" ht="12.5" spans="3:35">
      <c r="C1686" s="19"/>
      <c r="D1686" s="19"/>
      <c r="H1686" s="105"/>
      <c r="I1686" s="126"/>
      <c r="J1686" s="11"/>
      <c r="K1686" s="108"/>
      <c r="L1686" s="11"/>
      <c r="M1686" s="105"/>
      <c r="N1686" s="105"/>
      <c r="O1686" s="11"/>
      <c r="P1686" s="11"/>
      <c r="Q1686" s="105"/>
      <c r="R1686" s="105"/>
      <c r="S1686" s="105"/>
      <c r="T1686" s="105"/>
      <c r="U1686" s="105"/>
      <c r="V1686" s="105"/>
      <c r="W1686" s="105"/>
      <c r="X1686" s="11"/>
      <c r="Y1686" s="11"/>
      <c r="Z1686" s="105"/>
      <c r="AA1686" s="11"/>
      <c r="AB1686" s="11"/>
      <c r="AC1686" s="105"/>
      <c r="AD1686" s="11" t="b">
        <v>0</v>
      </c>
      <c r="AE1686" s="105"/>
      <c r="AF1686" s="11"/>
      <c r="AG1686" s="11"/>
      <c r="AH1686" s="11"/>
      <c r="AI1686" s="11"/>
    </row>
    <row r="1687" ht="12.5" spans="3:35">
      <c r="C1687" s="19"/>
      <c r="D1687" s="19"/>
      <c r="H1687" s="105"/>
      <c r="I1687" s="126"/>
      <c r="J1687" s="11"/>
      <c r="K1687" s="108"/>
      <c r="L1687" s="11"/>
      <c r="M1687" s="105"/>
      <c r="N1687" s="105"/>
      <c r="O1687" s="11"/>
      <c r="P1687" s="11"/>
      <c r="Q1687" s="105"/>
      <c r="R1687" s="105"/>
      <c r="S1687" s="105"/>
      <c r="T1687" s="105"/>
      <c r="U1687" s="105"/>
      <c r="V1687" s="105"/>
      <c r="W1687" s="105"/>
      <c r="X1687" s="11"/>
      <c r="Y1687" s="11"/>
      <c r="Z1687" s="105"/>
      <c r="AA1687" s="11"/>
      <c r="AB1687" s="11"/>
      <c r="AC1687" s="105"/>
      <c r="AD1687" s="11" t="b">
        <v>0</v>
      </c>
      <c r="AE1687" s="105"/>
      <c r="AF1687" s="11"/>
      <c r="AG1687" s="11"/>
      <c r="AH1687" s="11"/>
      <c r="AI1687" s="11"/>
    </row>
    <row r="1688" ht="12.5" spans="3:35">
      <c r="C1688" s="19"/>
      <c r="D1688" s="19"/>
      <c r="H1688" s="105"/>
      <c r="I1688" s="126"/>
      <c r="J1688" s="11"/>
      <c r="K1688" s="108"/>
      <c r="L1688" s="11"/>
      <c r="M1688" s="105"/>
      <c r="N1688" s="105"/>
      <c r="O1688" s="11"/>
      <c r="P1688" s="11"/>
      <c r="Q1688" s="105"/>
      <c r="R1688" s="105"/>
      <c r="S1688" s="105"/>
      <c r="T1688" s="105"/>
      <c r="U1688" s="105"/>
      <c r="V1688" s="105"/>
      <c r="W1688" s="105"/>
      <c r="X1688" s="11"/>
      <c r="Y1688" s="11"/>
      <c r="Z1688" s="105"/>
      <c r="AA1688" s="11"/>
      <c r="AB1688" s="11"/>
      <c r="AC1688" s="105"/>
      <c r="AD1688" s="11" t="b">
        <v>0</v>
      </c>
      <c r="AE1688" s="105"/>
      <c r="AF1688" s="11"/>
      <c r="AG1688" s="11"/>
      <c r="AH1688" s="11"/>
      <c r="AI1688" s="11"/>
    </row>
    <row r="1689" ht="12.5" spans="3:35">
      <c r="C1689" s="19"/>
      <c r="D1689" s="19"/>
      <c r="H1689" s="105"/>
      <c r="I1689" s="126"/>
      <c r="J1689" s="11"/>
      <c r="K1689" s="108"/>
      <c r="L1689" s="11"/>
      <c r="M1689" s="105"/>
      <c r="N1689" s="105"/>
      <c r="O1689" s="11"/>
      <c r="P1689" s="11"/>
      <c r="Q1689" s="105"/>
      <c r="R1689" s="105"/>
      <c r="S1689" s="105"/>
      <c r="T1689" s="105"/>
      <c r="U1689" s="105"/>
      <c r="V1689" s="105"/>
      <c r="W1689" s="105"/>
      <c r="X1689" s="11"/>
      <c r="Y1689" s="11"/>
      <c r="Z1689" s="105"/>
      <c r="AA1689" s="11"/>
      <c r="AB1689" s="11"/>
      <c r="AC1689" s="105"/>
      <c r="AD1689" s="11" t="b">
        <v>0</v>
      </c>
      <c r="AE1689" s="105"/>
      <c r="AF1689" s="11"/>
      <c r="AG1689" s="11"/>
      <c r="AH1689" s="11"/>
      <c r="AI1689" s="11"/>
    </row>
    <row r="1690" ht="12.5" spans="3:35">
      <c r="C1690" s="19"/>
      <c r="D1690" s="19"/>
      <c r="H1690" s="105"/>
      <c r="I1690" s="126"/>
      <c r="J1690" s="11"/>
      <c r="K1690" s="108"/>
      <c r="L1690" s="11"/>
      <c r="M1690" s="105"/>
      <c r="N1690" s="105"/>
      <c r="O1690" s="11"/>
      <c r="P1690" s="11"/>
      <c r="Q1690" s="105"/>
      <c r="R1690" s="105"/>
      <c r="S1690" s="105"/>
      <c r="T1690" s="105"/>
      <c r="U1690" s="105"/>
      <c r="V1690" s="105"/>
      <c r="W1690" s="105"/>
      <c r="X1690" s="11"/>
      <c r="Y1690" s="11"/>
      <c r="Z1690" s="105"/>
      <c r="AA1690" s="11"/>
      <c r="AB1690" s="11"/>
      <c r="AC1690" s="105"/>
      <c r="AD1690" s="11" t="b">
        <v>0</v>
      </c>
      <c r="AE1690" s="105"/>
      <c r="AF1690" s="11"/>
      <c r="AG1690" s="11"/>
      <c r="AH1690" s="11"/>
      <c r="AI1690" s="11"/>
    </row>
    <row r="1691" ht="12.5" spans="3:35">
      <c r="C1691" s="19"/>
      <c r="D1691" s="19"/>
      <c r="H1691" s="105"/>
      <c r="I1691" s="126"/>
      <c r="J1691" s="11"/>
      <c r="K1691" s="108"/>
      <c r="L1691" s="11"/>
      <c r="M1691" s="105"/>
      <c r="N1691" s="105"/>
      <c r="O1691" s="11"/>
      <c r="P1691" s="11"/>
      <c r="Q1691" s="105"/>
      <c r="R1691" s="105"/>
      <c r="S1691" s="105"/>
      <c r="T1691" s="105"/>
      <c r="U1691" s="105"/>
      <c r="V1691" s="105"/>
      <c r="W1691" s="105"/>
      <c r="X1691" s="11"/>
      <c r="Y1691" s="11"/>
      <c r="Z1691" s="105"/>
      <c r="AA1691" s="11"/>
      <c r="AB1691" s="11"/>
      <c r="AC1691" s="105"/>
      <c r="AD1691" s="11" t="b">
        <v>0</v>
      </c>
      <c r="AE1691" s="105"/>
      <c r="AF1691" s="11"/>
      <c r="AG1691" s="11"/>
      <c r="AH1691" s="11"/>
      <c r="AI1691" s="11"/>
    </row>
    <row r="1692" ht="12.5" spans="3:35">
      <c r="C1692" s="19"/>
      <c r="D1692" s="19"/>
      <c r="H1692" s="105"/>
      <c r="I1692" s="126"/>
      <c r="J1692" s="11"/>
      <c r="K1692" s="108"/>
      <c r="L1692" s="11"/>
      <c r="M1692" s="105"/>
      <c r="N1692" s="105"/>
      <c r="O1692" s="11"/>
      <c r="P1692" s="11"/>
      <c r="Q1692" s="105"/>
      <c r="R1692" s="105"/>
      <c r="S1692" s="105"/>
      <c r="T1692" s="105"/>
      <c r="U1692" s="105"/>
      <c r="V1692" s="105"/>
      <c r="W1692" s="105"/>
      <c r="X1692" s="11"/>
      <c r="Y1692" s="11"/>
      <c r="Z1692" s="105"/>
      <c r="AA1692" s="11"/>
      <c r="AB1692" s="11"/>
      <c r="AC1692" s="105"/>
      <c r="AD1692" s="11" t="b">
        <v>0</v>
      </c>
      <c r="AE1692" s="105"/>
      <c r="AF1692" s="11"/>
      <c r="AG1692" s="11"/>
      <c r="AH1692" s="11"/>
      <c r="AI1692" s="11"/>
    </row>
    <row r="1693" ht="12.5" spans="3:35">
      <c r="C1693" s="19"/>
      <c r="D1693" s="19"/>
      <c r="H1693" s="105"/>
      <c r="I1693" s="126"/>
      <c r="J1693" s="11"/>
      <c r="K1693" s="108"/>
      <c r="L1693" s="11"/>
      <c r="M1693" s="105"/>
      <c r="N1693" s="105"/>
      <c r="O1693" s="11"/>
      <c r="P1693" s="11"/>
      <c r="Q1693" s="105"/>
      <c r="R1693" s="105"/>
      <c r="S1693" s="105"/>
      <c r="T1693" s="105"/>
      <c r="U1693" s="105"/>
      <c r="V1693" s="105"/>
      <c r="W1693" s="105"/>
      <c r="X1693" s="11"/>
      <c r="Y1693" s="11"/>
      <c r="Z1693" s="105"/>
      <c r="AA1693" s="11"/>
      <c r="AB1693" s="11"/>
      <c r="AC1693" s="105"/>
      <c r="AD1693" s="11" t="b">
        <v>0</v>
      </c>
      <c r="AE1693" s="105"/>
      <c r="AF1693" s="11"/>
      <c r="AG1693" s="11"/>
      <c r="AH1693" s="11"/>
      <c r="AI1693" s="11"/>
    </row>
    <row r="1694" ht="12.5" spans="3:35">
      <c r="C1694" s="19"/>
      <c r="D1694" s="19"/>
      <c r="H1694" s="105"/>
      <c r="I1694" s="126"/>
      <c r="J1694" s="11"/>
      <c r="K1694" s="108"/>
      <c r="L1694" s="11"/>
      <c r="M1694" s="105"/>
      <c r="N1694" s="105"/>
      <c r="O1694" s="11"/>
      <c r="P1694" s="11"/>
      <c r="Q1694" s="105"/>
      <c r="R1694" s="105"/>
      <c r="S1694" s="105"/>
      <c r="T1694" s="105"/>
      <c r="U1694" s="105"/>
      <c r="V1694" s="105"/>
      <c r="W1694" s="105"/>
      <c r="X1694" s="11"/>
      <c r="Y1694" s="11"/>
      <c r="Z1694" s="105"/>
      <c r="AA1694" s="11"/>
      <c r="AB1694" s="11"/>
      <c r="AC1694" s="105"/>
      <c r="AD1694" s="11" t="b">
        <v>0</v>
      </c>
      <c r="AE1694" s="105"/>
      <c r="AF1694" s="11"/>
      <c r="AG1694" s="11"/>
      <c r="AH1694" s="11"/>
      <c r="AI1694" s="11"/>
    </row>
    <row r="1695" ht="12.5" spans="3:35">
      <c r="C1695" s="19"/>
      <c r="D1695" s="19"/>
      <c r="H1695" s="105"/>
      <c r="I1695" s="126"/>
      <c r="J1695" s="11"/>
      <c r="K1695" s="108"/>
      <c r="L1695" s="11"/>
      <c r="M1695" s="105"/>
      <c r="N1695" s="105"/>
      <c r="O1695" s="11"/>
      <c r="P1695" s="11"/>
      <c r="Q1695" s="105"/>
      <c r="R1695" s="105"/>
      <c r="S1695" s="105"/>
      <c r="T1695" s="105"/>
      <c r="U1695" s="105"/>
      <c r="V1695" s="105"/>
      <c r="W1695" s="105"/>
      <c r="X1695" s="11"/>
      <c r="Y1695" s="11"/>
      <c r="Z1695" s="105"/>
      <c r="AA1695" s="11"/>
      <c r="AB1695" s="11"/>
      <c r="AC1695" s="105"/>
      <c r="AD1695" s="11" t="b">
        <v>0</v>
      </c>
      <c r="AE1695" s="105"/>
      <c r="AF1695" s="11"/>
      <c r="AG1695" s="11"/>
      <c r="AH1695" s="11"/>
      <c r="AI1695" s="11"/>
    </row>
    <row r="1696" ht="12.5" spans="3:35">
      <c r="C1696" s="19"/>
      <c r="D1696" s="19"/>
      <c r="H1696" s="105"/>
      <c r="I1696" s="126"/>
      <c r="J1696" s="11"/>
      <c r="K1696" s="108"/>
      <c r="L1696" s="11"/>
      <c r="M1696" s="105"/>
      <c r="N1696" s="105"/>
      <c r="O1696" s="11"/>
      <c r="P1696" s="11"/>
      <c r="Q1696" s="105"/>
      <c r="R1696" s="105"/>
      <c r="S1696" s="105"/>
      <c r="T1696" s="105"/>
      <c r="U1696" s="105"/>
      <c r="V1696" s="105"/>
      <c r="W1696" s="105"/>
      <c r="X1696" s="11"/>
      <c r="Y1696" s="11"/>
      <c r="Z1696" s="105"/>
      <c r="AA1696" s="11"/>
      <c r="AB1696" s="11"/>
      <c r="AC1696" s="105"/>
      <c r="AD1696" s="11" t="b">
        <v>0</v>
      </c>
      <c r="AE1696" s="105"/>
      <c r="AF1696" s="11"/>
      <c r="AG1696" s="11"/>
      <c r="AH1696" s="11"/>
      <c r="AI1696" s="11"/>
    </row>
    <row r="1697" ht="12.5" spans="3:35">
      <c r="C1697" s="19"/>
      <c r="D1697" s="19"/>
      <c r="H1697" s="105"/>
      <c r="I1697" s="126"/>
      <c r="J1697" s="11"/>
      <c r="K1697" s="108"/>
      <c r="L1697" s="11"/>
      <c r="M1697" s="105"/>
      <c r="N1697" s="105"/>
      <c r="O1697" s="11"/>
      <c r="P1697" s="11"/>
      <c r="Q1697" s="105"/>
      <c r="R1697" s="105"/>
      <c r="S1697" s="105"/>
      <c r="T1697" s="105"/>
      <c r="U1697" s="105"/>
      <c r="V1697" s="105"/>
      <c r="W1697" s="105"/>
      <c r="X1697" s="11"/>
      <c r="Y1697" s="11"/>
      <c r="Z1697" s="105"/>
      <c r="AA1697" s="11"/>
      <c r="AB1697" s="11"/>
      <c r="AC1697" s="105"/>
      <c r="AD1697" s="11" t="b">
        <v>0</v>
      </c>
      <c r="AE1697" s="105"/>
      <c r="AF1697" s="11"/>
      <c r="AG1697" s="11"/>
      <c r="AH1697" s="11"/>
      <c r="AI1697" s="11"/>
    </row>
    <row r="1698" ht="12.5" spans="3:35">
      <c r="C1698" s="19"/>
      <c r="D1698" s="19"/>
      <c r="H1698" s="105"/>
      <c r="I1698" s="126"/>
      <c r="J1698" s="11"/>
      <c r="K1698" s="108"/>
      <c r="L1698" s="11"/>
      <c r="M1698" s="105"/>
      <c r="N1698" s="105"/>
      <c r="O1698" s="11"/>
      <c r="P1698" s="11"/>
      <c r="Q1698" s="105"/>
      <c r="R1698" s="105"/>
      <c r="S1698" s="105"/>
      <c r="T1698" s="105"/>
      <c r="U1698" s="105"/>
      <c r="V1698" s="105"/>
      <c r="W1698" s="105"/>
      <c r="X1698" s="11"/>
      <c r="Y1698" s="11"/>
      <c r="Z1698" s="105"/>
      <c r="AA1698" s="11"/>
      <c r="AB1698" s="11"/>
      <c r="AC1698" s="105"/>
      <c r="AD1698" s="11" t="b">
        <v>0</v>
      </c>
      <c r="AE1698" s="105"/>
      <c r="AF1698" s="11"/>
      <c r="AG1698" s="11"/>
      <c r="AH1698" s="11"/>
      <c r="AI1698" s="11"/>
    </row>
    <row r="1699" ht="12.5" spans="3:35">
      <c r="C1699" s="19"/>
      <c r="D1699" s="19"/>
      <c r="H1699" s="105"/>
      <c r="I1699" s="126"/>
      <c r="J1699" s="11"/>
      <c r="K1699" s="108"/>
      <c r="L1699" s="11"/>
      <c r="M1699" s="105"/>
      <c r="N1699" s="105"/>
      <c r="O1699" s="11"/>
      <c r="P1699" s="11"/>
      <c r="Q1699" s="105"/>
      <c r="R1699" s="105"/>
      <c r="S1699" s="105"/>
      <c r="T1699" s="105"/>
      <c r="U1699" s="105"/>
      <c r="V1699" s="105"/>
      <c r="W1699" s="105"/>
      <c r="X1699" s="11"/>
      <c r="Y1699" s="11"/>
      <c r="Z1699" s="105"/>
      <c r="AA1699" s="11"/>
      <c r="AB1699" s="11"/>
      <c r="AC1699" s="105"/>
      <c r="AD1699" s="11" t="b">
        <v>0</v>
      </c>
      <c r="AE1699" s="105"/>
      <c r="AF1699" s="11"/>
      <c r="AG1699" s="11"/>
      <c r="AH1699" s="11"/>
      <c r="AI1699" s="11"/>
    </row>
    <row r="1700" ht="12.5" spans="3:35">
      <c r="C1700" s="19"/>
      <c r="D1700" s="19"/>
      <c r="H1700" s="105"/>
      <c r="I1700" s="126"/>
      <c r="J1700" s="11"/>
      <c r="K1700" s="108"/>
      <c r="L1700" s="11"/>
      <c r="M1700" s="105"/>
      <c r="N1700" s="105"/>
      <c r="O1700" s="11"/>
      <c r="P1700" s="11"/>
      <c r="Q1700" s="105"/>
      <c r="R1700" s="105"/>
      <c r="S1700" s="105"/>
      <c r="T1700" s="105"/>
      <c r="U1700" s="105"/>
      <c r="V1700" s="105"/>
      <c r="W1700" s="105"/>
      <c r="X1700" s="11"/>
      <c r="Y1700" s="11"/>
      <c r="Z1700" s="105"/>
      <c r="AA1700" s="11"/>
      <c r="AB1700" s="11"/>
      <c r="AC1700" s="105"/>
      <c r="AD1700" s="11" t="b">
        <v>0</v>
      </c>
      <c r="AE1700" s="105"/>
      <c r="AF1700" s="11"/>
      <c r="AG1700" s="11"/>
      <c r="AH1700" s="11"/>
      <c r="AI1700" s="11"/>
    </row>
    <row r="1701" ht="12.5" spans="3:35">
      <c r="C1701" s="19"/>
      <c r="D1701" s="19"/>
      <c r="H1701" s="105"/>
      <c r="I1701" s="126"/>
      <c r="J1701" s="11"/>
      <c r="K1701" s="108"/>
      <c r="L1701" s="11"/>
      <c r="M1701" s="105"/>
      <c r="N1701" s="105"/>
      <c r="O1701" s="11"/>
      <c r="P1701" s="11"/>
      <c r="Q1701" s="105"/>
      <c r="R1701" s="105"/>
      <c r="S1701" s="105"/>
      <c r="T1701" s="105"/>
      <c r="U1701" s="105"/>
      <c r="V1701" s="105"/>
      <c r="W1701" s="105"/>
      <c r="X1701" s="11"/>
      <c r="Y1701" s="11"/>
      <c r="Z1701" s="105"/>
      <c r="AA1701" s="11"/>
      <c r="AB1701" s="11"/>
      <c r="AC1701" s="105"/>
      <c r="AD1701" s="11" t="b">
        <v>0</v>
      </c>
      <c r="AE1701" s="105"/>
      <c r="AF1701" s="11"/>
      <c r="AG1701" s="11"/>
      <c r="AH1701" s="11"/>
      <c r="AI1701" s="11"/>
    </row>
    <row r="1702" ht="12.5" spans="3:35">
      <c r="C1702" s="19"/>
      <c r="D1702" s="19"/>
      <c r="H1702" s="105"/>
      <c r="I1702" s="126"/>
      <c r="J1702" s="11"/>
      <c r="K1702" s="108"/>
      <c r="L1702" s="11"/>
      <c r="M1702" s="105"/>
      <c r="N1702" s="105"/>
      <c r="O1702" s="11"/>
      <c r="P1702" s="11"/>
      <c r="Q1702" s="105"/>
      <c r="R1702" s="105"/>
      <c r="S1702" s="105"/>
      <c r="T1702" s="105"/>
      <c r="U1702" s="105"/>
      <c r="V1702" s="105"/>
      <c r="W1702" s="105"/>
      <c r="X1702" s="11"/>
      <c r="Y1702" s="11"/>
      <c r="Z1702" s="105"/>
      <c r="AA1702" s="11"/>
      <c r="AB1702" s="11"/>
      <c r="AC1702" s="105"/>
      <c r="AD1702" s="11" t="b">
        <v>0</v>
      </c>
      <c r="AE1702" s="105"/>
      <c r="AF1702" s="11"/>
      <c r="AG1702" s="11"/>
      <c r="AH1702" s="11"/>
      <c r="AI1702" s="11"/>
    </row>
    <row r="1703" ht="12.5" spans="3:35">
      <c r="C1703" s="19"/>
      <c r="D1703" s="19"/>
      <c r="H1703" s="105"/>
      <c r="I1703" s="126"/>
      <c r="J1703" s="11"/>
      <c r="K1703" s="108"/>
      <c r="L1703" s="11"/>
      <c r="M1703" s="105"/>
      <c r="N1703" s="105"/>
      <c r="O1703" s="11"/>
      <c r="P1703" s="11"/>
      <c r="Q1703" s="105"/>
      <c r="R1703" s="105"/>
      <c r="S1703" s="105"/>
      <c r="T1703" s="105"/>
      <c r="U1703" s="105"/>
      <c r="V1703" s="105"/>
      <c r="W1703" s="105"/>
      <c r="X1703" s="11"/>
      <c r="Y1703" s="11"/>
      <c r="Z1703" s="105"/>
      <c r="AA1703" s="11"/>
      <c r="AB1703" s="11"/>
      <c r="AC1703" s="105"/>
      <c r="AD1703" s="11" t="b">
        <v>0</v>
      </c>
      <c r="AE1703" s="105"/>
      <c r="AF1703" s="11"/>
      <c r="AG1703" s="11"/>
      <c r="AH1703" s="11"/>
      <c r="AI1703" s="11"/>
    </row>
    <row r="1704" ht="12.5" spans="3:35">
      <c r="C1704" s="19"/>
      <c r="D1704" s="19"/>
      <c r="H1704" s="105"/>
      <c r="I1704" s="126"/>
      <c r="J1704" s="11"/>
      <c r="K1704" s="108"/>
      <c r="L1704" s="11"/>
      <c r="M1704" s="105"/>
      <c r="N1704" s="105"/>
      <c r="O1704" s="11"/>
      <c r="P1704" s="11"/>
      <c r="Q1704" s="105"/>
      <c r="R1704" s="105"/>
      <c r="S1704" s="105"/>
      <c r="T1704" s="105"/>
      <c r="U1704" s="105"/>
      <c r="V1704" s="105"/>
      <c r="W1704" s="105"/>
      <c r="X1704" s="11"/>
      <c r="Y1704" s="11"/>
      <c r="Z1704" s="105"/>
      <c r="AA1704" s="11"/>
      <c r="AB1704" s="11"/>
      <c r="AC1704" s="105"/>
      <c r="AD1704" s="11" t="b">
        <v>0</v>
      </c>
      <c r="AE1704" s="105"/>
      <c r="AF1704" s="11"/>
      <c r="AG1704" s="11"/>
      <c r="AH1704" s="11"/>
      <c r="AI1704" s="11"/>
    </row>
    <row r="1705" ht="12.5" spans="3:35">
      <c r="C1705" s="19"/>
      <c r="D1705" s="19"/>
      <c r="H1705" s="105"/>
      <c r="I1705" s="126"/>
      <c r="J1705" s="11"/>
      <c r="K1705" s="108"/>
      <c r="L1705" s="11"/>
      <c r="M1705" s="105"/>
      <c r="N1705" s="105"/>
      <c r="O1705" s="11"/>
      <c r="P1705" s="11"/>
      <c r="Q1705" s="105"/>
      <c r="R1705" s="105"/>
      <c r="S1705" s="105"/>
      <c r="T1705" s="105"/>
      <c r="U1705" s="105"/>
      <c r="V1705" s="105"/>
      <c r="W1705" s="105"/>
      <c r="X1705" s="11"/>
      <c r="Y1705" s="11"/>
      <c r="Z1705" s="105"/>
      <c r="AA1705" s="11"/>
      <c r="AB1705" s="11"/>
      <c r="AC1705" s="105"/>
      <c r="AD1705" s="11" t="b">
        <v>0</v>
      </c>
      <c r="AE1705" s="105"/>
      <c r="AF1705" s="11"/>
      <c r="AG1705" s="11"/>
      <c r="AH1705" s="11"/>
      <c r="AI1705" s="11"/>
    </row>
    <row r="1706" ht="12.5" spans="3:35">
      <c r="C1706" s="19"/>
      <c r="D1706" s="19"/>
      <c r="H1706" s="105"/>
      <c r="I1706" s="126"/>
      <c r="J1706" s="11"/>
      <c r="K1706" s="108"/>
      <c r="L1706" s="11"/>
      <c r="M1706" s="105"/>
      <c r="N1706" s="105"/>
      <c r="O1706" s="11"/>
      <c r="P1706" s="11"/>
      <c r="Q1706" s="105"/>
      <c r="R1706" s="105"/>
      <c r="S1706" s="105"/>
      <c r="T1706" s="105"/>
      <c r="U1706" s="105"/>
      <c r="V1706" s="105"/>
      <c r="W1706" s="105"/>
      <c r="X1706" s="11"/>
      <c r="Y1706" s="11"/>
      <c r="Z1706" s="105"/>
      <c r="AA1706" s="11"/>
      <c r="AB1706" s="11"/>
      <c r="AC1706" s="105"/>
      <c r="AD1706" s="11" t="b">
        <v>0</v>
      </c>
      <c r="AE1706" s="105"/>
      <c r="AF1706" s="11"/>
      <c r="AG1706" s="11"/>
      <c r="AH1706" s="11"/>
      <c r="AI1706" s="11"/>
    </row>
    <row r="1707" ht="12.5" spans="3:35">
      <c r="C1707" s="19"/>
      <c r="D1707" s="19"/>
      <c r="H1707" s="105"/>
      <c r="I1707" s="126"/>
      <c r="J1707" s="11"/>
      <c r="K1707" s="108"/>
      <c r="L1707" s="11"/>
      <c r="M1707" s="105"/>
      <c r="N1707" s="105"/>
      <c r="O1707" s="11"/>
      <c r="P1707" s="11"/>
      <c r="Q1707" s="105"/>
      <c r="R1707" s="105"/>
      <c r="S1707" s="105"/>
      <c r="T1707" s="105"/>
      <c r="U1707" s="105"/>
      <c r="V1707" s="105"/>
      <c r="W1707" s="105"/>
      <c r="X1707" s="11"/>
      <c r="Y1707" s="11"/>
      <c r="Z1707" s="105"/>
      <c r="AA1707" s="11"/>
      <c r="AB1707" s="11"/>
      <c r="AC1707" s="105"/>
      <c r="AD1707" s="11" t="b">
        <v>0</v>
      </c>
      <c r="AE1707" s="105"/>
      <c r="AF1707" s="11"/>
      <c r="AG1707" s="11"/>
      <c r="AH1707" s="11"/>
      <c r="AI1707" s="11"/>
    </row>
    <row r="1708" ht="12.5" spans="3:35">
      <c r="C1708" s="19"/>
      <c r="D1708" s="19"/>
      <c r="H1708" s="105"/>
      <c r="I1708" s="126"/>
      <c r="J1708" s="11"/>
      <c r="K1708" s="108"/>
      <c r="L1708" s="11"/>
      <c r="M1708" s="105"/>
      <c r="N1708" s="105"/>
      <c r="O1708" s="11"/>
      <c r="P1708" s="11"/>
      <c r="Q1708" s="105"/>
      <c r="R1708" s="105"/>
      <c r="S1708" s="105"/>
      <c r="T1708" s="105"/>
      <c r="U1708" s="105"/>
      <c r="V1708" s="105"/>
      <c r="W1708" s="105"/>
      <c r="X1708" s="11"/>
      <c r="Y1708" s="11"/>
      <c r="Z1708" s="105"/>
      <c r="AA1708" s="11"/>
      <c r="AB1708" s="11"/>
      <c r="AC1708" s="105"/>
      <c r="AD1708" s="11" t="b">
        <v>0</v>
      </c>
      <c r="AE1708" s="105"/>
      <c r="AF1708" s="11"/>
      <c r="AG1708" s="11"/>
      <c r="AH1708" s="11"/>
      <c r="AI1708" s="11"/>
    </row>
    <row r="1709" ht="12.5" spans="3:35">
      <c r="C1709" s="19"/>
      <c r="D1709" s="19"/>
      <c r="H1709" s="105"/>
      <c r="I1709" s="126"/>
      <c r="J1709" s="11"/>
      <c r="K1709" s="108"/>
      <c r="L1709" s="11"/>
      <c r="M1709" s="105"/>
      <c r="N1709" s="105"/>
      <c r="O1709" s="11"/>
      <c r="P1709" s="11"/>
      <c r="Q1709" s="105"/>
      <c r="R1709" s="105"/>
      <c r="S1709" s="105"/>
      <c r="T1709" s="105"/>
      <c r="U1709" s="105"/>
      <c r="V1709" s="105"/>
      <c r="W1709" s="105"/>
      <c r="X1709" s="11"/>
      <c r="Y1709" s="11"/>
      <c r="Z1709" s="105"/>
      <c r="AA1709" s="11"/>
      <c r="AB1709" s="11"/>
      <c r="AC1709" s="105"/>
      <c r="AD1709" s="11" t="b">
        <v>0</v>
      </c>
      <c r="AE1709" s="105"/>
      <c r="AF1709" s="11"/>
      <c r="AG1709" s="11"/>
      <c r="AH1709" s="11"/>
      <c r="AI1709" s="11"/>
    </row>
    <row r="1710" ht="12.5" spans="3:35">
      <c r="C1710" s="19"/>
      <c r="D1710" s="19"/>
      <c r="H1710" s="105"/>
      <c r="I1710" s="126"/>
      <c r="J1710" s="11"/>
      <c r="K1710" s="108"/>
      <c r="L1710" s="11"/>
      <c r="M1710" s="105"/>
      <c r="N1710" s="105"/>
      <c r="O1710" s="11"/>
      <c r="P1710" s="11"/>
      <c r="Q1710" s="105"/>
      <c r="R1710" s="105"/>
      <c r="S1710" s="105"/>
      <c r="T1710" s="105"/>
      <c r="U1710" s="105"/>
      <c r="V1710" s="105"/>
      <c r="W1710" s="105"/>
      <c r="X1710" s="11"/>
      <c r="Y1710" s="11"/>
      <c r="Z1710" s="105"/>
      <c r="AA1710" s="11"/>
      <c r="AB1710" s="11"/>
      <c r="AC1710" s="105"/>
      <c r="AD1710" s="11" t="b">
        <v>0</v>
      </c>
      <c r="AE1710" s="105"/>
      <c r="AF1710" s="11"/>
      <c r="AG1710" s="11"/>
      <c r="AH1710" s="11"/>
      <c r="AI1710" s="11"/>
    </row>
    <row r="1711" ht="12.5" spans="3:35">
      <c r="C1711" s="19"/>
      <c r="D1711" s="19"/>
      <c r="H1711" s="105"/>
      <c r="I1711" s="126"/>
      <c r="J1711" s="11"/>
      <c r="K1711" s="108"/>
      <c r="L1711" s="11"/>
      <c r="M1711" s="105"/>
      <c r="N1711" s="105"/>
      <c r="O1711" s="11"/>
      <c r="P1711" s="11"/>
      <c r="Q1711" s="105"/>
      <c r="R1711" s="105"/>
      <c r="S1711" s="105"/>
      <c r="T1711" s="105"/>
      <c r="U1711" s="105"/>
      <c r="V1711" s="105"/>
      <c r="W1711" s="105"/>
      <c r="X1711" s="11"/>
      <c r="Y1711" s="11"/>
      <c r="Z1711" s="105"/>
      <c r="AA1711" s="11"/>
      <c r="AB1711" s="11"/>
      <c r="AC1711" s="105"/>
      <c r="AD1711" s="11" t="b">
        <v>0</v>
      </c>
      <c r="AE1711" s="105"/>
      <c r="AF1711" s="11"/>
      <c r="AG1711" s="11"/>
      <c r="AH1711" s="11"/>
      <c r="AI1711" s="11"/>
    </row>
    <row r="1712" ht="12.5" spans="3:35">
      <c r="C1712" s="19"/>
      <c r="D1712" s="19"/>
      <c r="H1712" s="105"/>
      <c r="I1712" s="126"/>
      <c r="J1712" s="11"/>
      <c r="K1712" s="108"/>
      <c r="L1712" s="11"/>
      <c r="M1712" s="105"/>
      <c r="N1712" s="105"/>
      <c r="O1712" s="11"/>
      <c r="P1712" s="11"/>
      <c r="Q1712" s="105"/>
      <c r="R1712" s="105"/>
      <c r="S1712" s="105"/>
      <c r="T1712" s="105"/>
      <c r="U1712" s="105"/>
      <c r="V1712" s="105"/>
      <c r="W1712" s="105"/>
      <c r="X1712" s="11"/>
      <c r="Y1712" s="11"/>
      <c r="Z1712" s="105"/>
      <c r="AA1712" s="11"/>
      <c r="AB1712" s="11"/>
      <c r="AC1712" s="105"/>
      <c r="AD1712" s="11" t="b">
        <v>0</v>
      </c>
      <c r="AE1712" s="105"/>
      <c r="AF1712" s="11"/>
      <c r="AG1712" s="11"/>
      <c r="AH1712" s="11"/>
      <c r="AI1712" s="11"/>
    </row>
    <row r="1713" ht="12.5" spans="3:35">
      <c r="C1713" s="19"/>
      <c r="D1713" s="19"/>
      <c r="H1713" s="105"/>
      <c r="I1713" s="126"/>
      <c r="J1713" s="11"/>
      <c r="K1713" s="108"/>
      <c r="L1713" s="11"/>
      <c r="M1713" s="105"/>
      <c r="N1713" s="105"/>
      <c r="O1713" s="11"/>
      <c r="P1713" s="11"/>
      <c r="Q1713" s="105"/>
      <c r="R1713" s="105"/>
      <c r="S1713" s="105"/>
      <c r="T1713" s="105"/>
      <c r="U1713" s="105"/>
      <c r="V1713" s="105"/>
      <c r="W1713" s="105"/>
      <c r="X1713" s="11"/>
      <c r="Y1713" s="11"/>
      <c r="Z1713" s="105"/>
      <c r="AA1713" s="11"/>
      <c r="AB1713" s="11"/>
      <c r="AC1713" s="105"/>
      <c r="AD1713" s="11" t="b">
        <v>0</v>
      </c>
      <c r="AE1713" s="105"/>
      <c r="AF1713" s="11"/>
      <c r="AG1713" s="11"/>
      <c r="AH1713" s="11"/>
      <c r="AI1713" s="11"/>
    </row>
    <row r="1714" ht="12.5" spans="3:35">
      <c r="C1714" s="19"/>
      <c r="D1714" s="19"/>
      <c r="H1714" s="105"/>
      <c r="I1714" s="126"/>
      <c r="J1714" s="11"/>
      <c r="K1714" s="108"/>
      <c r="L1714" s="11"/>
      <c r="M1714" s="105"/>
      <c r="N1714" s="105"/>
      <c r="O1714" s="11"/>
      <c r="P1714" s="11"/>
      <c r="Q1714" s="105"/>
      <c r="R1714" s="105"/>
      <c r="S1714" s="105"/>
      <c r="T1714" s="105"/>
      <c r="U1714" s="105"/>
      <c r="V1714" s="105"/>
      <c r="W1714" s="105"/>
      <c r="X1714" s="11"/>
      <c r="Y1714" s="11"/>
      <c r="Z1714" s="105"/>
      <c r="AA1714" s="11"/>
      <c r="AB1714" s="11"/>
      <c r="AC1714" s="105"/>
      <c r="AD1714" s="11" t="b">
        <v>0</v>
      </c>
      <c r="AE1714" s="105"/>
      <c r="AF1714" s="11"/>
      <c r="AG1714" s="11"/>
      <c r="AH1714" s="11"/>
      <c r="AI1714" s="11"/>
    </row>
    <row r="1715" ht="12.5" spans="3:35">
      <c r="C1715" s="19"/>
      <c r="D1715" s="19"/>
      <c r="H1715" s="105"/>
      <c r="I1715" s="126"/>
      <c r="J1715" s="11"/>
      <c r="K1715" s="108"/>
      <c r="L1715" s="11"/>
      <c r="M1715" s="105"/>
      <c r="N1715" s="105"/>
      <c r="O1715" s="11"/>
      <c r="P1715" s="11"/>
      <c r="Q1715" s="105"/>
      <c r="R1715" s="105"/>
      <c r="S1715" s="105"/>
      <c r="T1715" s="105"/>
      <c r="U1715" s="105"/>
      <c r="V1715" s="105"/>
      <c r="W1715" s="105"/>
      <c r="X1715" s="11"/>
      <c r="Y1715" s="11"/>
      <c r="Z1715" s="105"/>
      <c r="AA1715" s="11"/>
      <c r="AB1715" s="11"/>
      <c r="AC1715" s="105"/>
      <c r="AD1715" s="11" t="b">
        <v>0</v>
      </c>
      <c r="AE1715" s="105"/>
      <c r="AF1715" s="11"/>
      <c r="AG1715" s="11"/>
      <c r="AH1715" s="11"/>
      <c r="AI1715" s="11"/>
    </row>
    <row r="1716" ht="12.5" spans="3:35">
      <c r="C1716" s="19"/>
      <c r="D1716" s="19"/>
      <c r="H1716" s="105"/>
      <c r="I1716" s="126"/>
      <c r="J1716" s="11"/>
      <c r="K1716" s="108"/>
      <c r="L1716" s="11"/>
      <c r="M1716" s="105"/>
      <c r="N1716" s="105"/>
      <c r="O1716" s="11"/>
      <c r="P1716" s="11"/>
      <c r="Q1716" s="105"/>
      <c r="R1716" s="105"/>
      <c r="S1716" s="105"/>
      <c r="T1716" s="105"/>
      <c r="U1716" s="105"/>
      <c r="V1716" s="105"/>
      <c r="W1716" s="105"/>
      <c r="X1716" s="11"/>
      <c r="Y1716" s="11"/>
      <c r="Z1716" s="105"/>
      <c r="AA1716" s="11"/>
      <c r="AB1716" s="11"/>
      <c r="AC1716" s="105"/>
      <c r="AD1716" s="11" t="b">
        <v>0</v>
      </c>
      <c r="AE1716" s="105"/>
      <c r="AF1716" s="11"/>
      <c r="AG1716" s="11"/>
      <c r="AH1716" s="11"/>
      <c r="AI1716" s="11"/>
    </row>
    <row r="1717" ht="12.5" spans="3:35">
      <c r="C1717" s="19"/>
      <c r="D1717" s="19"/>
      <c r="H1717" s="105"/>
      <c r="I1717" s="126"/>
      <c r="J1717" s="11"/>
      <c r="K1717" s="108"/>
      <c r="L1717" s="11"/>
      <c r="M1717" s="105"/>
      <c r="N1717" s="105"/>
      <c r="O1717" s="11"/>
      <c r="P1717" s="11"/>
      <c r="Q1717" s="105"/>
      <c r="R1717" s="105"/>
      <c r="S1717" s="105"/>
      <c r="T1717" s="105"/>
      <c r="U1717" s="105"/>
      <c r="V1717" s="105"/>
      <c r="W1717" s="105"/>
      <c r="X1717" s="11"/>
      <c r="Y1717" s="11"/>
      <c r="Z1717" s="105"/>
      <c r="AA1717" s="11"/>
      <c r="AB1717" s="11"/>
      <c r="AC1717" s="105"/>
      <c r="AD1717" s="11" t="b">
        <v>0</v>
      </c>
      <c r="AE1717" s="105"/>
      <c r="AF1717" s="11"/>
      <c r="AG1717" s="11"/>
      <c r="AH1717" s="11"/>
      <c r="AI1717" s="11"/>
    </row>
    <row r="1718" ht="12.5" spans="3:35">
      <c r="C1718" s="19"/>
      <c r="D1718" s="19"/>
      <c r="H1718" s="105"/>
      <c r="I1718" s="126"/>
      <c r="J1718" s="11"/>
      <c r="K1718" s="108"/>
      <c r="L1718" s="11"/>
      <c r="M1718" s="105"/>
      <c r="N1718" s="105"/>
      <c r="O1718" s="11"/>
      <c r="P1718" s="11"/>
      <c r="Q1718" s="105"/>
      <c r="R1718" s="105"/>
      <c r="S1718" s="105"/>
      <c r="T1718" s="105"/>
      <c r="U1718" s="105"/>
      <c r="V1718" s="105"/>
      <c r="W1718" s="105"/>
      <c r="X1718" s="11"/>
      <c r="Y1718" s="11"/>
      <c r="Z1718" s="105"/>
      <c r="AA1718" s="11"/>
      <c r="AB1718" s="11"/>
      <c r="AC1718" s="105"/>
      <c r="AD1718" s="11" t="b">
        <v>0</v>
      </c>
      <c r="AE1718" s="105"/>
      <c r="AF1718" s="11"/>
      <c r="AG1718" s="11"/>
      <c r="AH1718" s="11"/>
      <c r="AI1718" s="11"/>
    </row>
    <row r="1719" ht="12.5" spans="3:35">
      <c r="C1719" s="19"/>
      <c r="D1719" s="19"/>
      <c r="H1719" s="105"/>
      <c r="I1719" s="126"/>
      <c r="J1719" s="11"/>
      <c r="K1719" s="108"/>
      <c r="L1719" s="11"/>
      <c r="M1719" s="105"/>
      <c r="N1719" s="105"/>
      <c r="O1719" s="11"/>
      <c r="P1719" s="11"/>
      <c r="Q1719" s="105"/>
      <c r="R1719" s="105"/>
      <c r="S1719" s="105"/>
      <c r="T1719" s="105"/>
      <c r="U1719" s="105"/>
      <c r="V1719" s="105"/>
      <c r="W1719" s="105"/>
      <c r="X1719" s="11"/>
      <c r="Y1719" s="11"/>
      <c r="Z1719" s="105"/>
      <c r="AA1719" s="11"/>
      <c r="AB1719" s="11"/>
      <c r="AC1719" s="105"/>
      <c r="AD1719" s="11" t="b">
        <v>0</v>
      </c>
      <c r="AE1719" s="105"/>
      <c r="AF1719" s="11"/>
      <c r="AG1719" s="11"/>
      <c r="AH1719" s="11"/>
      <c r="AI1719" s="11"/>
    </row>
    <row r="1720" ht="12.5" spans="3:35">
      <c r="C1720" s="19"/>
      <c r="D1720" s="19"/>
      <c r="H1720" s="105"/>
      <c r="I1720" s="126"/>
      <c r="J1720" s="11"/>
      <c r="K1720" s="108"/>
      <c r="L1720" s="11"/>
      <c r="M1720" s="105"/>
      <c r="N1720" s="105"/>
      <c r="O1720" s="11"/>
      <c r="P1720" s="11"/>
      <c r="Q1720" s="105"/>
      <c r="R1720" s="105"/>
      <c r="S1720" s="105"/>
      <c r="T1720" s="105"/>
      <c r="U1720" s="105"/>
      <c r="V1720" s="105"/>
      <c r="W1720" s="105"/>
      <c r="X1720" s="11"/>
      <c r="Y1720" s="11"/>
      <c r="Z1720" s="105"/>
      <c r="AA1720" s="11"/>
      <c r="AB1720" s="11"/>
      <c r="AC1720" s="105"/>
      <c r="AD1720" s="11" t="b">
        <v>0</v>
      </c>
      <c r="AE1720" s="105"/>
      <c r="AF1720" s="11"/>
      <c r="AG1720" s="11"/>
      <c r="AH1720" s="11"/>
      <c r="AI1720" s="11"/>
    </row>
    <row r="1721" ht="12.5" spans="3:35">
      <c r="C1721" s="19"/>
      <c r="D1721" s="19"/>
      <c r="H1721" s="105"/>
      <c r="I1721" s="126"/>
      <c r="J1721" s="11"/>
      <c r="K1721" s="108"/>
      <c r="L1721" s="11"/>
      <c r="M1721" s="105"/>
      <c r="N1721" s="105"/>
      <c r="O1721" s="11"/>
      <c r="P1721" s="11"/>
      <c r="Q1721" s="105"/>
      <c r="R1721" s="105"/>
      <c r="S1721" s="105"/>
      <c r="T1721" s="105"/>
      <c r="U1721" s="105"/>
      <c r="V1721" s="105"/>
      <c r="W1721" s="105"/>
      <c r="X1721" s="11"/>
      <c r="Y1721" s="11"/>
      <c r="Z1721" s="105"/>
      <c r="AA1721" s="11"/>
      <c r="AB1721" s="11"/>
      <c r="AC1721" s="105"/>
      <c r="AD1721" s="11" t="b">
        <v>0</v>
      </c>
      <c r="AE1721" s="105"/>
      <c r="AF1721" s="11"/>
      <c r="AG1721" s="11"/>
      <c r="AH1721" s="11"/>
      <c r="AI1721" s="11"/>
    </row>
    <row r="1722" ht="12.5" spans="3:35">
      <c r="C1722" s="19"/>
      <c r="D1722" s="19"/>
      <c r="H1722" s="105"/>
      <c r="I1722" s="126"/>
      <c r="J1722" s="11"/>
      <c r="K1722" s="108"/>
      <c r="L1722" s="11"/>
      <c r="M1722" s="105"/>
      <c r="N1722" s="105"/>
      <c r="O1722" s="11"/>
      <c r="P1722" s="11"/>
      <c r="Q1722" s="105"/>
      <c r="R1722" s="105"/>
      <c r="S1722" s="105"/>
      <c r="T1722" s="105"/>
      <c r="U1722" s="105"/>
      <c r="V1722" s="105"/>
      <c r="W1722" s="105"/>
      <c r="X1722" s="11"/>
      <c r="Y1722" s="11"/>
      <c r="Z1722" s="105"/>
      <c r="AA1722" s="11"/>
      <c r="AB1722" s="11"/>
      <c r="AC1722" s="105"/>
      <c r="AD1722" s="11" t="b">
        <v>0</v>
      </c>
      <c r="AE1722" s="105"/>
      <c r="AF1722" s="11"/>
      <c r="AG1722" s="11"/>
      <c r="AH1722" s="11"/>
      <c r="AI1722" s="11"/>
    </row>
    <row r="1723" ht="12.5" spans="3:35">
      <c r="C1723" s="19"/>
      <c r="D1723" s="19"/>
      <c r="H1723" s="105"/>
      <c r="I1723" s="126"/>
      <c r="J1723" s="11"/>
      <c r="K1723" s="108"/>
      <c r="L1723" s="11"/>
      <c r="M1723" s="105"/>
      <c r="N1723" s="105"/>
      <c r="O1723" s="11"/>
      <c r="P1723" s="11"/>
      <c r="Q1723" s="105"/>
      <c r="R1723" s="105"/>
      <c r="S1723" s="105"/>
      <c r="T1723" s="105"/>
      <c r="U1723" s="105"/>
      <c r="V1723" s="105"/>
      <c r="W1723" s="105"/>
      <c r="X1723" s="11"/>
      <c r="Y1723" s="11"/>
      <c r="Z1723" s="105"/>
      <c r="AA1723" s="11"/>
      <c r="AB1723" s="11"/>
      <c r="AC1723" s="105"/>
      <c r="AD1723" s="11" t="b">
        <v>0</v>
      </c>
      <c r="AE1723" s="105"/>
      <c r="AF1723" s="11"/>
      <c r="AG1723" s="11"/>
      <c r="AH1723" s="11"/>
      <c r="AI1723" s="11"/>
    </row>
    <row r="1724" ht="12.5" spans="3:35">
      <c r="C1724" s="19"/>
      <c r="D1724" s="19"/>
      <c r="H1724" s="105"/>
      <c r="I1724" s="126"/>
      <c r="J1724" s="11"/>
      <c r="K1724" s="108"/>
      <c r="L1724" s="11"/>
      <c r="M1724" s="105"/>
      <c r="N1724" s="105"/>
      <c r="O1724" s="11"/>
      <c r="P1724" s="11"/>
      <c r="Q1724" s="105"/>
      <c r="R1724" s="105"/>
      <c r="S1724" s="105"/>
      <c r="T1724" s="105"/>
      <c r="U1724" s="105"/>
      <c r="V1724" s="105"/>
      <c r="W1724" s="105"/>
      <c r="X1724" s="11"/>
      <c r="Y1724" s="11"/>
      <c r="Z1724" s="105"/>
      <c r="AA1724" s="11"/>
      <c r="AB1724" s="11"/>
      <c r="AC1724" s="105"/>
      <c r="AD1724" s="11" t="b">
        <v>0</v>
      </c>
      <c r="AE1724" s="105"/>
      <c r="AF1724" s="11"/>
      <c r="AG1724" s="11"/>
      <c r="AH1724" s="11"/>
      <c r="AI1724" s="11"/>
    </row>
    <row r="1725" ht="12.5" spans="3:35">
      <c r="C1725" s="19"/>
      <c r="D1725" s="19"/>
      <c r="H1725" s="105"/>
      <c r="I1725" s="126"/>
      <c r="J1725" s="11"/>
      <c r="K1725" s="108"/>
      <c r="L1725" s="11"/>
      <c r="M1725" s="105"/>
      <c r="N1725" s="105"/>
      <c r="O1725" s="11"/>
      <c r="P1725" s="11"/>
      <c r="Q1725" s="105"/>
      <c r="R1725" s="105"/>
      <c r="S1725" s="105"/>
      <c r="T1725" s="105"/>
      <c r="U1725" s="105"/>
      <c r="V1725" s="105"/>
      <c r="W1725" s="105"/>
      <c r="X1725" s="11"/>
      <c r="Y1725" s="11"/>
      <c r="Z1725" s="105"/>
      <c r="AA1725" s="11"/>
      <c r="AB1725" s="11"/>
      <c r="AC1725" s="105"/>
      <c r="AD1725" s="11" t="b">
        <v>0</v>
      </c>
      <c r="AE1725" s="105"/>
      <c r="AF1725" s="11"/>
      <c r="AG1725" s="11"/>
      <c r="AH1725" s="11"/>
      <c r="AI1725" s="11"/>
    </row>
    <row r="1726" ht="12.5" spans="3:35">
      <c r="C1726" s="19"/>
      <c r="D1726" s="19"/>
      <c r="H1726" s="105"/>
      <c r="I1726" s="126"/>
      <c r="J1726" s="11"/>
      <c r="K1726" s="108"/>
      <c r="L1726" s="11"/>
      <c r="M1726" s="105"/>
      <c r="N1726" s="105"/>
      <c r="O1726" s="11"/>
      <c r="P1726" s="11"/>
      <c r="Q1726" s="105"/>
      <c r="R1726" s="105"/>
      <c r="S1726" s="105"/>
      <c r="T1726" s="105"/>
      <c r="U1726" s="105"/>
      <c r="V1726" s="105"/>
      <c r="W1726" s="105"/>
      <c r="X1726" s="11"/>
      <c r="Y1726" s="11"/>
      <c r="Z1726" s="105"/>
      <c r="AA1726" s="11"/>
      <c r="AB1726" s="11"/>
      <c r="AC1726" s="105"/>
      <c r="AD1726" s="11" t="b">
        <v>0</v>
      </c>
      <c r="AE1726" s="105"/>
      <c r="AF1726" s="11"/>
      <c r="AG1726" s="11"/>
      <c r="AH1726" s="11"/>
      <c r="AI1726" s="11"/>
    </row>
    <row r="1727" ht="12.5" spans="3:35">
      <c r="C1727" s="19"/>
      <c r="D1727" s="19"/>
      <c r="H1727" s="105"/>
      <c r="I1727" s="126"/>
      <c r="J1727" s="11"/>
      <c r="K1727" s="108"/>
      <c r="L1727" s="11"/>
      <c r="M1727" s="105"/>
      <c r="N1727" s="105"/>
      <c r="O1727" s="11"/>
      <c r="P1727" s="11"/>
      <c r="Q1727" s="105"/>
      <c r="R1727" s="105"/>
      <c r="S1727" s="105"/>
      <c r="T1727" s="105"/>
      <c r="U1727" s="105"/>
      <c r="V1727" s="105"/>
      <c r="W1727" s="105"/>
      <c r="X1727" s="11"/>
      <c r="Y1727" s="11"/>
      <c r="Z1727" s="105"/>
      <c r="AA1727" s="11"/>
      <c r="AB1727" s="11"/>
      <c r="AC1727" s="105"/>
      <c r="AD1727" s="11" t="b">
        <v>0</v>
      </c>
      <c r="AE1727" s="105"/>
      <c r="AF1727" s="11"/>
      <c r="AG1727" s="11"/>
      <c r="AH1727" s="11"/>
      <c r="AI1727" s="11"/>
    </row>
    <row r="1728" ht="12.5" spans="3:35">
      <c r="C1728" s="19"/>
      <c r="D1728" s="19"/>
      <c r="H1728" s="105"/>
      <c r="I1728" s="126"/>
      <c r="J1728" s="11"/>
      <c r="K1728" s="108"/>
      <c r="L1728" s="11"/>
      <c r="M1728" s="105"/>
      <c r="N1728" s="105"/>
      <c r="O1728" s="11"/>
      <c r="P1728" s="11"/>
      <c r="Q1728" s="105"/>
      <c r="R1728" s="105"/>
      <c r="S1728" s="105"/>
      <c r="T1728" s="105"/>
      <c r="U1728" s="105"/>
      <c r="V1728" s="105"/>
      <c r="W1728" s="105"/>
      <c r="X1728" s="11"/>
      <c r="Y1728" s="11"/>
      <c r="Z1728" s="105"/>
      <c r="AA1728" s="11"/>
      <c r="AB1728" s="11"/>
      <c r="AC1728" s="105"/>
      <c r="AD1728" s="11" t="b">
        <v>0</v>
      </c>
      <c r="AE1728" s="105"/>
      <c r="AF1728" s="11"/>
      <c r="AG1728" s="11"/>
      <c r="AH1728" s="11"/>
      <c r="AI1728" s="11"/>
    </row>
    <row r="1729" ht="12.5" spans="3:35">
      <c r="C1729" s="19"/>
      <c r="D1729" s="19"/>
      <c r="H1729" s="105"/>
      <c r="I1729" s="126"/>
      <c r="J1729" s="11"/>
      <c r="K1729" s="108"/>
      <c r="L1729" s="11"/>
      <c r="M1729" s="105"/>
      <c r="N1729" s="105"/>
      <c r="O1729" s="11"/>
      <c r="P1729" s="11"/>
      <c r="Q1729" s="105"/>
      <c r="R1729" s="105"/>
      <c r="S1729" s="105"/>
      <c r="T1729" s="105"/>
      <c r="U1729" s="105"/>
      <c r="V1729" s="105"/>
      <c r="W1729" s="105"/>
      <c r="X1729" s="11"/>
      <c r="Y1729" s="11"/>
      <c r="Z1729" s="105"/>
      <c r="AA1729" s="11"/>
      <c r="AB1729" s="11"/>
      <c r="AC1729" s="105"/>
      <c r="AD1729" s="11" t="b">
        <v>0</v>
      </c>
      <c r="AE1729" s="105"/>
      <c r="AF1729" s="11"/>
      <c r="AG1729" s="11"/>
      <c r="AH1729" s="11"/>
      <c r="AI1729" s="11"/>
    </row>
    <row r="1730" ht="12.5" spans="3:35">
      <c r="C1730" s="19"/>
      <c r="D1730" s="19"/>
      <c r="H1730" s="105"/>
      <c r="I1730" s="126"/>
      <c r="J1730" s="11"/>
      <c r="K1730" s="108"/>
      <c r="L1730" s="11"/>
      <c r="M1730" s="105"/>
      <c r="N1730" s="105"/>
      <c r="O1730" s="11"/>
      <c r="P1730" s="11"/>
      <c r="Q1730" s="105"/>
      <c r="R1730" s="105"/>
      <c r="S1730" s="105"/>
      <c r="T1730" s="105"/>
      <c r="U1730" s="105"/>
      <c r="V1730" s="105"/>
      <c r="W1730" s="105"/>
      <c r="X1730" s="11"/>
      <c r="Y1730" s="11"/>
      <c r="Z1730" s="105"/>
      <c r="AA1730" s="11"/>
      <c r="AB1730" s="11"/>
      <c r="AC1730" s="105"/>
      <c r="AD1730" s="11" t="b">
        <v>0</v>
      </c>
      <c r="AE1730" s="105"/>
      <c r="AF1730" s="11"/>
      <c r="AG1730" s="11"/>
      <c r="AH1730" s="11"/>
      <c r="AI1730" s="11"/>
    </row>
    <row r="1731" ht="12.5" spans="3:35">
      <c r="C1731" s="19"/>
      <c r="D1731" s="19"/>
      <c r="H1731" s="105"/>
      <c r="I1731" s="126"/>
      <c r="J1731" s="11"/>
      <c r="K1731" s="108"/>
      <c r="L1731" s="11"/>
      <c r="M1731" s="105"/>
      <c r="N1731" s="105"/>
      <c r="O1731" s="11"/>
      <c r="P1731" s="11"/>
      <c r="Q1731" s="105"/>
      <c r="R1731" s="105"/>
      <c r="S1731" s="105"/>
      <c r="T1731" s="105"/>
      <c r="U1731" s="105"/>
      <c r="V1731" s="105"/>
      <c r="W1731" s="105"/>
      <c r="X1731" s="11"/>
      <c r="Y1731" s="11"/>
      <c r="Z1731" s="105"/>
      <c r="AA1731" s="11"/>
      <c r="AB1731" s="11"/>
      <c r="AC1731" s="105"/>
      <c r="AD1731" s="11" t="b">
        <v>0</v>
      </c>
      <c r="AE1731" s="105"/>
      <c r="AF1731" s="11"/>
      <c r="AG1731" s="11"/>
      <c r="AH1731" s="11"/>
      <c r="AI1731" s="11"/>
    </row>
    <row r="1732" ht="12.5" spans="3:35">
      <c r="C1732" s="19"/>
      <c r="D1732" s="19"/>
      <c r="H1732" s="105"/>
      <c r="I1732" s="126"/>
      <c r="J1732" s="11"/>
      <c r="K1732" s="108"/>
      <c r="L1732" s="11"/>
      <c r="M1732" s="105"/>
      <c r="N1732" s="105"/>
      <c r="O1732" s="11"/>
      <c r="P1732" s="11"/>
      <c r="Q1732" s="105"/>
      <c r="R1732" s="105"/>
      <c r="S1732" s="105"/>
      <c r="T1732" s="105"/>
      <c r="U1732" s="105"/>
      <c r="V1732" s="105"/>
      <c r="W1732" s="105"/>
      <c r="X1732" s="11"/>
      <c r="Y1732" s="11"/>
      <c r="Z1732" s="105"/>
      <c r="AA1732" s="11"/>
      <c r="AB1732" s="11"/>
      <c r="AC1732" s="105"/>
      <c r="AD1732" s="11" t="b">
        <v>0</v>
      </c>
      <c r="AE1732" s="105"/>
      <c r="AF1732" s="11"/>
      <c r="AG1732" s="11"/>
      <c r="AH1732" s="11"/>
      <c r="AI1732" s="11"/>
    </row>
    <row r="1733" ht="12.5" spans="3:35">
      <c r="C1733" s="19"/>
      <c r="D1733" s="19"/>
      <c r="H1733" s="105"/>
      <c r="I1733" s="126"/>
      <c r="J1733" s="11"/>
      <c r="K1733" s="108"/>
      <c r="L1733" s="11"/>
      <c r="M1733" s="105"/>
      <c r="N1733" s="105"/>
      <c r="O1733" s="11"/>
      <c r="P1733" s="11"/>
      <c r="Q1733" s="105"/>
      <c r="R1733" s="105"/>
      <c r="S1733" s="105"/>
      <c r="T1733" s="105"/>
      <c r="U1733" s="105"/>
      <c r="V1733" s="105"/>
      <c r="W1733" s="105"/>
      <c r="X1733" s="11"/>
      <c r="Y1733" s="11"/>
      <c r="Z1733" s="105"/>
      <c r="AA1733" s="11"/>
      <c r="AB1733" s="11"/>
      <c r="AC1733" s="105"/>
      <c r="AD1733" s="11" t="b">
        <v>0</v>
      </c>
      <c r="AE1733" s="105"/>
      <c r="AF1733" s="11"/>
      <c r="AG1733" s="11"/>
      <c r="AH1733" s="11"/>
      <c r="AI1733" s="11"/>
    </row>
    <row r="1734" ht="12.5" spans="3:35">
      <c r="C1734" s="19"/>
      <c r="D1734" s="19"/>
      <c r="H1734" s="105"/>
      <c r="I1734" s="126"/>
      <c r="J1734" s="11"/>
      <c r="K1734" s="108"/>
      <c r="L1734" s="11"/>
      <c r="M1734" s="105"/>
      <c r="N1734" s="105"/>
      <c r="O1734" s="11"/>
      <c r="P1734" s="11"/>
      <c r="Q1734" s="105"/>
      <c r="R1734" s="105"/>
      <c r="S1734" s="105"/>
      <c r="T1734" s="105"/>
      <c r="U1734" s="105"/>
      <c r="V1734" s="105"/>
      <c r="W1734" s="105"/>
      <c r="X1734" s="11"/>
      <c r="Y1734" s="11"/>
      <c r="Z1734" s="105"/>
      <c r="AA1734" s="11"/>
      <c r="AB1734" s="11"/>
      <c r="AC1734" s="105"/>
      <c r="AD1734" s="11" t="b">
        <v>0</v>
      </c>
      <c r="AE1734" s="105"/>
      <c r="AF1734" s="11"/>
      <c r="AG1734" s="11"/>
      <c r="AH1734" s="11"/>
      <c r="AI1734" s="11"/>
    </row>
    <row r="1735" ht="12.5" spans="3:35">
      <c r="C1735" s="19"/>
      <c r="D1735" s="19"/>
      <c r="H1735" s="105"/>
      <c r="I1735" s="126"/>
      <c r="J1735" s="11"/>
      <c r="K1735" s="108"/>
      <c r="L1735" s="11"/>
      <c r="M1735" s="105"/>
      <c r="N1735" s="105"/>
      <c r="O1735" s="11"/>
      <c r="P1735" s="11"/>
      <c r="Q1735" s="105"/>
      <c r="R1735" s="105"/>
      <c r="S1735" s="105"/>
      <c r="T1735" s="105"/>
      <c r="U1735" s="105"/>
      <c r="V1735" s="105"/>
      <c r="W1735" s="105"/>
      <c r="X1735" s="11"/>
      <c r="Y1735" s="11"/>
      <c r="Z1735" s="105"/>
      <c r="AA1735" s="11"/>
      <c r="AB1735" s="11"/>
      <c r="AC1735" s="105"/>
      <c r="AD1735" s="11" t="b">
        <v>0</v>
      </c>
      <c r="AE1735" s="105"/>
      <c r="AF1735" s="11"/>
      <c r="AG1735" s="11"/>
      <c r="AH1735" s="11"/>
      <c r="AI1735" s="11"/>
    </row>
    <row r="1736" ht="12.5" spans="3:35">
      <c r="C1736" s="19"/>
      <c r="D1736" s="19"/>
      <c r="H1736" s="105"/>
      <c r="I1736" s="126"/>
      <c r="J1736" s="11"/>
      <c r="K1736" s="108"/>
      <c r="L1736" s="11"/>
      <c r="M1736" s="105"/>
      <c r="N1736" s="105"/>
      <c r="O1736" s="11"/>
      <c r="P1736" s="11"/>
      <c r="Q1736" s="105"/>
      <c r="R1736" s="105"/>
      <c r="S1736" s="105"/>
      <c r="T1736" s="105"/>
      <c r="U1736" s="105"/>
      <c r="V1736" s="105"/>
      <c r="W1736" s="105"/>
      <c r="X1736" s="11"/>
      <c r="Y1736" s="11"/>
      <c r="Z1736" s="105"/>
      <c r="AA1736" s="11"/>
      <c r="AB1736" s="11"/>
      <c r="AC1736" s="105"/>
      <c r="AD1736" s="11" t="b">
        <v>0</v>
      </c>
      <c r="AE1736" s="105"/>
      <c r="AF1736" s="11"/>
      <c r="AG1736" s="11"/>
      <c r="AH1736" s="11"/>
      <c r="AI1736" s="11"/>
    </row>
    <row r="1737" ht="12.5" spans="3:35">
      <c r="C1737" s="19"/>
      <c r="D1737" s="19"/>
      <c r="H1737" s="105"/>
      <c r="I1737" s="126"/>
      <c r="J1737" s="11"/>
      <c r="K1737" s="108"/>
      <c r="L1737" s="11"/>
      <c r="M1737" s="105"/>
      <c r="N1737" s="105"/>
      <c r="O1737" s="11"/>
      <c r="P1737" s="11"/>
      <c r="Q1737" s="105"/>
      <c r="R1737" s="105"/>
      <c r="S1737" s="105"/>
      <c r="T1737" s="105"/>
      <c r="U1737" s="105"/>
      <c r="V1737" s="105"/>
      <c r="W1737" s="105"/>
      <c r="X1737" s="11"/>
      <c r="Y1737" s="11"/>
      <c r="Z1737" s="105"/>
      <c r="AA1737" s="11"/>
      <c r="AB1737" s="11"/>
      <c r="AC1737" s="105"/>
      <c r="AD1737" s="11" t="b">
        <v>0</v>
      </c>
      <c r="AE1737" s="105"/>
      <c r="AF1737" s="11"/>
      <c r="AG1737" s="11"/>
      <c r="AH1737" s="11"/>
      <c r="AI1737" s="11"/>
    </row>
    <row r="1738" ht="12.5" spans="3:35">
      <c r="C1738" s="19"/>
      <c r="D1738" s="19"/>
      <c r="H1738" s="105"/>
      <c r="I1738" s="126"/>
      <c r="J1738" s="11"/>
      <c r="K1738" s="108"/>
      <c r="L1738" s="11"/>
      <c r="M1738" s="105"/>
      <c r="N1738" s="105"/>
      <c r="O1738" s="11"/>
      <c r="P1738" s="11"/>
      <c r="Q1738" s="105"/>
      <c r="R1738" s="105"/>
      <c r="S1738" s="105"/>
      <c r="T1738" s="105"/>
      <c r="U1738" s="105"/>
      <c r="V1738" s="105"/>
      <c r="W1738" s="105"/>
      <c r="X1738" s="11"/>
      <c r="Y1738" s="11"/>
      <c r="Z1738" s="105"/>
      <c r="AA1738" s="11"/>
      <c r="AB1738" s="11"/>
      <c r="AC1738" s="105"/>
      <c r="AD1738" s="11" t="b">
        <v>0</v>
      </c>
      <c r="AE1738" s="105"/>
      <c r="AF1738" s="11"/>
      <c r="AG1738" s="11"/>
      <c r="AH1738" s="11"/>
      <c r="AI1738" s="11"/>
    </row>
    <row r="1739" ht="12.5" spans="3:35">
      <c r="C1739" s="19"/>
      <c r="D1739" s="19"/>
      <c r="H1739" s="105"/>
      <c r="I1739" s="126"/>
      <c r="J1739" s="11"/>
      <c r="K1739" s="108"/>
      <c r="L1739" s="11"/>
      <c r="M1739" s="105"/>
      <c r="N1739" s="105"/>
      <c r="O1739" s="11"/>
      <c r="P1739" s="11"/>
      <c r="Q1739" s="105"/>
      <c r="R1739" s="105"/>
      <c r="S1739" s="105"/>
      <c r="T1739" s="105"/>
      <c r="U1739" s="105"/>
      <c r="V1739" s="105"/>
      <c r="W1739" s="105"/>
      <c r="X1739" s="11"/>
      <c r="Y1739" s="11"/>
      <c r="Z1739" s="105"/>
      <c r="AA1739" s="11"/>
      <c r="AB1739" s="11"/>
      <c r="AC1739" s="105"/>
      <c r="AD1739" s="11" t="b">
        <v>0</v>
      </c>
      <c r="AE1739" s="105"/>
      <c r="AF1739" s="11"/>
      <c r="AG1739" s="11"/>
      <c r="AH1739" s="11"/>
      <c r="AI1739" s="11"/>
    </row>
    <row r="1740" ht="12.5" spans="3:35">
      <c r="C1740" s="19"/>
      <c r="D1740" s="19"/>
      <c r="H1740" s="105"/>
      <c r="I1740" s="126"/>
      <c r="J1740" s="11"/>
      <c r="K1740" s="108"/>
      <c r="L1740" s="11"/>
      <c r="M1740" s="105"/>
      <c r="N1740" s="105"/>
      <c r="O1740" s="11"/>
      <c r="P1740" s="11"/>
      <c r="Q1740" s="105"/>
      <c r="R1740" s="105"/>
      <c r="S1740" s="105"/>
      <c r="T1740" s="105"/>
      <c r="U1740" s="105"/>
      <c r="V1740" s="105"/>
      <c r="W1740" s="105"/>
      <c r="X1740" s="11"/>
      <c r="Y1740" s="11"/>
      <c r="Z1740" s="105"/>
      <c r="AA1740" s="11"/>
      <c r="AB1740" s="11"/>
      <c r="AC1740" s="105"/>
      <c r="AD1740" s="11" t="b">
        <v>0</v>
      </c>
      <c r="AE1740" s="105"/>
      <c r="AF1740" s="11"/>
      <c r="AG1740" s="11"/>
      <c r="AH1740" s="11"/>
      <c r="AI1740" s="11"/>
    </row>
    <row r="1741" ht="12.5" spans="3:35">
      <c r="C1741" s="19"/>
      <c r="D1741" s="19"/>
      <c r="H1741" s="105"/>
      <c r="I1741" s="126"/>
      <c r="J1741" s="11"/>
      <c r="K1741" s="108"/>
      <c r="L1741" s="11"/>
      <c r="M1741" s="105"/>
      <c r="N1741" s="105"/>
      <c r="O1741" s="11"/>
      <c r="P1741" s="11"/>
      <c r="Q1741" s="105"/>
      <c r="R1741" s="105"/>
      <c r="S1741" s="105"/>
      <c r="T1741" s="105"/>
      <c r="U1741" s="105"/>
      <c r="V1741" s="105"/>
      <c r="W1741" s="105"/>
      <c r="X1741" s="11"/>
      <c r="Y1741" s="11"/>
      <c r="Z1741" s="105"/>
      <c r="AA1741" s="11"/>
      <c r="AB1741" s="11"/>
      <c r="AC1741" s="105"/>
      <c r="AD1741" s="11" t="b">
        <v>0</v>
      </c>
      <c r="AE1741" s="105"/>
      <c r="AF1741" s="11"/>
      <c r="AG1741" s="11"/>
      <c r="AH1741" s="11"/>
      <c r="AI1741" s="11"/>
    </row>
    <row r="1742" ht="12.5" spans="3:35">
      <c r="C1742" s="19"/>
      <c r="D1742" s="19"/>
      <c r="H1742" s="105"/>
      <c r="I1742" s="126"/>
      <c r="J1742" s="11"/>
      <c r="K1742" s="108"/>
      <c r="L1742" s="11"/>
      <c r="M1742" s="105"/>
      <c r="N1742" s="105"/>
      <c r="O1742" s="11"/>
      <c r="P1742" s="11"/>
      <c r="Q1742" s="105"/>
      <c r="R1742" s="105"/>
      <c r="S1742" s="105"/>
      <c r="T1742" s="105"/>
      <c r="U1742" s="105"/>
      <c r="V1742" s="105"/>
      <c r="W1742" s="105"/>
      <c r="X1742" s="11"/>
      <c r="Y1742" s="11"/>
      <c r="Z1742" s="105"/>
      <c r="AA1742" s="11"/>
      <c r="AB1742" s="11"/>
      <c r="AC1742" s="105"/>
      <c r="AD1742" s="11" t="b">
        <v>0</v>
      </c>
      <c r="AE1742" s="105"/>
      <c r="AF1742" s="11"/>
      <c r="AG1742" s="11"/>
      <c r="AH1742" s="11"/>
      <c r="AI1742" s="11"/>
    </row>
    <row r="1743" ht="12.5" spans="3:35">
      <c r="C1743" s="19"/>
      <c r="D1743" s="19"/>
      <c r="H1743" s="105"/>
      <c r="I1743" s="126"/>
      <c r="J1743" s="11"/>
      <c r="K1743" s="108"/>
      <c r="L1743" s="11"/>
      <c r="M1743" s="105"/>
      <c r="N1743" s="105"/>
      <c r="O1743" s="11"/>
      <c r="P1743" s="11"/>
      <c r="Q1743" s="105"/>
      <c r="R1743" s="105"/>
      <c r="S1743" s="105"/>
      <c r="T1743" s="105"/>
      <c r="U1743" s="105"/>
      <c r="V1743" s="105"/>
      <c r="W1743" s="105"/>
      <c r="X1743" s="11"/>
      <c r="Y1743" s="11"/>
      <c r="Z1743" s="105"/>
      <c r="AA1743" s="11"/>
      <c r="AB1743" s="11"/>
      <c r="AC1743" s="105"/>
      <c r="AD1743" s="11" t="b">
        <v>0</v>
      </c>
      <c r="AE1743" s="105"/>
      <c r="AF1743" s="11"/>
      <c r="AG1743" s="11"/>
      <c r="AH1743" s="11"/>
      <c r="AI1743" s="11"/>
    </row>
    <row r="1744" ht="12.5" spans="3:35">
      <c r="C1744" s="19"/>
      <c r="D1744" s="19"/>
      <c r="H1744" s="105"/>
      <c r="I1744" s="126"/>
      <c r="J1744" s="11"/>
      <c r="K1744" s="108"/>
      <c r="L1744" s="11"/>
      <c r="M1744" s="105"/>
      <c r="N1744" s="105"/>
      <c r="O1744" s="11"/>
      <c r="P1744" s="11"/>
      <c r="Q1744" s="105"/>
      <c r="R1744" s="105"/>
      <c r="S1744" s="105"/>
      <c r="T1744" s="105"/>
      <c r="U1744" s="105"/>
      <c r="V1744" s="105"/>
      <c r="W1744" s="105"/>
      <c r="X1744" s="11"/>
      <c r="Y1744" s="11"/>
      <c r="Z1744" s="105"/>
      <c r="AA1744" s="11"/>
      <c r="AB1744" s="11"/>
      <c r="AC1744" s="105"/>
      <c r="AD1744" s="11" t="b">
        <v>0</v>
      </c>
      <c r="AE1744" s="105"/>
      <c r="AF1744" s="11"/>
      <c r="AG1744" s="11"/>
      <c r="AH1744" s="11"/>
      <c r="AI1744" s="11"/>
    </row>
    <row r="1745" ht="12.5" spans="3:35">
      <c r="C1745" s="19"/>
      <c r="D1745" s="19"/>
      <c r="H1745" s="105"/>
      <c r="I1745" s="126"/>
      <c r="J1745" s="11"/>
      <c r="K1745" s="108"/>
      <c r="L1745" s="11"/>
      <c r="M1745" s="105"/>
      <c r="N1745" s="105"/>
      <c r="O1745" s="11"/>
      <c r="P1745" s="11"/>
      <c r="Q1745" s="105"/>
      <c r="R1745" s="105"/>
      <c r="S1745" s="105"/>
      <c r="T1745" s="105"/>
      <c r="U1745" s="105"/>
      <c r="V1745" s="105"/>
      <c r="W1745" s="105"/>
      <c r="X1745" s="11"/>
      <c r="Y1745" s="11"/>
      <c r="Z1745" s="105"/>
      <c r="AA1745" s="11"/>
      <c r="AB1745" s="11"/>
      <c r="AC1745" s="105"/>
      <c r="AD1745" s="11" t="b">
        <v>0</v>
      </c>
      <c r="AE1745" s="105"/>
      <c r="AF1745" s="11"/>
      <c r="AG1745" s="11"/>
      <c r="AH1745" s="11"/>
      <c r="AI1745" s="11"/>
    </row>
    <row r="1746" ht="12.5" spans="3:35">
      <c r="C1746" s="19"/>
      <c r="D1746" s="19"/>
      <c r="H1746" s="105"/>
      <c r="I1746" s="126"/>
      <c r="J1746" s="11"/>
      <c r="K1746" s="108"/>
      <c r="L1746" s="11"/>
      <c r="M1746" s="105"/>
      <c r="N1746" s="105"/>
      <c r="O1746" s="11"/>
      <c r="P1746" s="11"/>
      <c r="Q1746" s="105"/>
      <c r="R1746" s="105"/>
      <c r="S1746" s="105"/>
      <c r="T1746" s="105"/>
      <c r="U1746" s="105"/>
      <c r="V1746" s="105"/>
      <c r="W1746" s="105"/>
      <c r="X1746" s="11"/>
      <c r="Y1746" s="11"/>
      <c r="Z1746" s="105"/>
      <c r="AA1746" s="11"/>
      <c r="AB1746" s="11"/>
      <c r="AC1746" s="105"/>
      <c r="AD1746" s="11" t="b">
        <v>0</v>
      </c>
      <c r="AE1746" s="105"/>
      <c r="AF1746" s="11"/>
      <c r="AG1746" s="11"/>
      <c r="AH1746" s="11"/>
      <c r="AI1746" s="11"/>
    </row>
    <row r="1747" ht="12.5" spans="3:35">
      <c r="C1747" s="19"/>
      <c r="D1747" s="19"/>
      <c r="H1747" s="105"/>
      <c r="I1747" s="126"/>
      <c r="J1747" s="11"/>
      <c r="K1747" s="108"/>
      <c r="L1747" s="11"/>
      <c r="M1747" s="105"/>
      <c r="N1747" s="105"/>
      <c r="O1747" s="11"/>
      <c r="P1747" s="11"/>
      <c r="Q1747" s="105"/>
      <c r="R1747" s="105"/>
      <c r="S1747" s="105"/>
      <c r="T1747" s="105"/>
      <c r="U1747" s="105"/>
      <c r="V1747" s="105"/>
      <c r="W1747" s="105"/>
      <c r="X1747" s="11"/>
      <c r="Y1747" s="11"/>
      <c r="Z1747" s="105"/>
      <c r="AA1747" s="11"/>
      <c r="AB1747" s="11"/>
      <c r="AC1747" s="105"/>
      <c r="AD1747" s="11" t="b">
        <v>0</v>
      </c>
      <c r="AE1747" s="105"/>
      <c r="AF1747" s="11"/>
      <c r="AG1747" s="11"/>
      <c r="AH1747" s="11"/>
      <c r="AI1747" s="11"/>
    </row>
    <row r="1748" ht="12.5" spans="3:35">
      <c r="C1748" s="19"/>
      <c r="D1748" s="19"/>
      <c r="H1748" s="105"/>
      <c r="I1748" s="126"/>
      <c r="J1748" s="11"/>
      <c r="K1748" s="108"/>
      <c r="L1748" s="11"/>
      <c r="M1748" s="105"/>
      <c r="N1748" s="105"/>
      <c r="O1748" s="11"/>
      <c r="P1748" s="11"/>
      <c r="Q1748" s="105"/>
      <c r="R1748" s="105"/>
      <c r="S1748" s="105"/>
      <c r="T1748" s="105"/>
      <c r="U1748" s="105"/>
      <c r="V1748" s="105"/>
      <c r="W1748" s="105"/>
      <c r="X1748" s="11"/>
      <c r="Y1748" s="11"/>
      <c r="Z1748" s="105"/>
      <c r="AA1748" s="11"/>
      <c r="AB1748" s="11"/>
      <c r="AC1748" s="105"/>
      <c r="AD1748" s="11" t="b">
        <v>0</v>
      </c>
      <c r="AE1748" s="105"/>
      <c r="AF1748" s="11"/>
      <c r="AG1748" s="11"/>
      <c r="AH1748" s="11"/>
      <c r="AI1748" s="11"/>
    </row>
    <row r="1749" ht="12.5" spans="3:35">
      <c r="C1749" s="19"/>
      <c r="D1749" s="19"/>
      <c r="H1749" s="105"/>
      <c r="I1749" s="126"/>
      <c r="J1749" s="11"/>
      <c r="K1749" s="108"/>
      <c r="L1749" s="11"/>
      <c r="M1749" s="105"/>
      <c r="N1749" s="105"/>
      <c r="O1749" s="11"/>
      <c r="P1749" s="11"/>
      <c r="Q1749" s="105"/>
      <c r="R1749" s="105"/>
      <c r="S1749" s="105"/>
      <c r="T1749" s="105"/>
      <c r="U1749" s="105"/>
      <c r="V1749" s="105"/>
      <c r="W1749" s="105"/>
      <c r="X1749" s="11"/>
      <c r="Y1749" s="11"/>
      <c r="Z1749" s="105"/>
      <c r="AA1749" s="11"/>
      <c r="AB1749" s="11"/>
      <c r="AC1749" s="105"/>
      <c r="AD1749" s="11" t="b">
        <v>0</v>
      </c>
      <c r="AE1749" s="105"/>
      <c r="AF1749" s="11"/>
      <c r="AG1749" s="11"/>
      <c r="AH1749" s="11"/>
      <c r="AI1749" s="11"/>
    </row>
    <row r="1750" ht="12.5" spans="3:35">
      <c r="C1750" s="19"/>
      <c r="D1750" s="19"/>
      <c r="H1750" s="105"/>
      <c r="I1750" s="126"/>
      <c r="J1750" s="11"/>
      <c r="K1750" s="108"/>
      <c r="L1750" s="11"/>
      <c r="M1750" s="105"/>
      <c r="N1750" s="105"/>
      <c r="O1750" s="11"/>
      <c r="P1750" s="11"/>
      <c r="Q1750" s="105"/>
      <c r="R1750" s="105"/>
      <c r="S1750" s="105"/>
      <c r="T1750" s="105"/>
      <c r="U1750" s="105"/>
      <c r="V1750" s="105"/>
      <c r="W1750" s="105"/>
      <c r="X1750" s="11"/>
      <c r="Y1750" s="11"/>
      <c r="Z1750" s="105"/>
      <c r="AA1750" s="11"/>
      <c r="AB1750" s="11"/>
      <c r="AC1750" s="105"/>
      <c r="AD1750" s="11" t="b">
        <v>0</v>
      </c>
      <c r="AE1750" s="105"/>
      <c r="AF1750" s="11"/>
      <c r="AG1750" s="11"/>
      <c r="AH1750" s="11"/>
      <c r="AI1750" s="11"/>
    </row>
    <row r="1751" ht="12.5" spans="3:35">
      <c r="C1751" s="19"/>
      <c r="D1751" s="19"/>
      <c r="H1751" s="105"/>
      <c r="I1751" s="126"/>
      <c r="J1751" s="11"/>
      <c r="K1751" s="108"/>
      <c r="L1751" s="11"/>
      <c r="M1751" s="105"/>
      <c r="N1751" s="105"/>
      <c r="O1751" s="11"/>
      <c r="P1751" s="11"/>
      <c r="Q1751" s="105"/>
      <c r="R1751" s="105"/>
      <c r="S1751" s="105"/>
      <c r="T1751" s="105"/>
      <c r="U1751" s="105"/>
      <c r="V1751" s="105"/>
      <c r="W1751" s="105"/>
      <c r="X1751" s="11"/>
      <c r="Y1751" s="11"/>
      <c r="Z1751" s="105"/>
      <c r="AA1751" s="11"/>
      <c r="AB1751" s="11"/>
      <c r="AC1751" s="105"/>
      <c r="AD1751" s="11" t="b">
        <v>0</v>
      </c>
      <c r="AE1751" s="105"/>
      <c r="AF1751" s="11"/>
      <c r="AG1751" s="11"/>
      <c r="AH1751" s="11"/>
      <c r="AI1751" s="11"/>
    </row>
    <row r="1752" ht="12.5" spans="3:35">
      <c r="C1752" s="19"/>
      <c r="D1752" s="19"/>
      <c r="H1752" s="105"/>
      <c r="I1752" s="126"/>
      <c r="J1752" s="11"/>
      <c r="K1752" s="108"/>
      <c r="L1752" s="11"/>
      <c r="M1752" s="105"/>
      <c r="N1752" s="105"/>
      <c r="O1752" s="11"/>
      <c r="P1752" s="11"/>
      <c r="Q1752" s="105"/>
      <c r="R1752" s="105"/>
      <c r="S1752" s="105"/>
      <c r="T1752" s="105"/>
      <c r="U1752" s="105"/>
      <c r="V1752" s="105"/>
      <c r="W1752" s="105"/>
      <c r="X1752" s="11"/>
      <c r="Y1752" s="11"/>
      <c r="Z1752" s="105"/>
      <c r="AA1752" s="11"/>
      <c r="AB1752" s="11"/>
      <c r="AC1752" s="105"/>
      <c r="AD1752" s="11" t="b">
        <v>0</v>
      </c>
      <c r="AE1752" s="105"/>
      <c r="AF1752" s="11"/>
      <c r="AG1752" s="11"/>
      <c r="AH1752" s="11"/>
      <c r="AI1752" s="11"/>
    </row>
    <row r="1753" ht="12.5" spans="3:35">
      <c r="C1753" s="19"/>
      <c r="D1753" s="19"/>
      <c r="H1753" s="105"/>
      <c r="I1753" s="126"/>
      <c r="J1753" s="11"/>
      <c r="K1753" s="108"/>
      <c r="L1753" s="11"/>
      <c r="M1753" s="105"/>
      <c r="N1753" s="105"/>
      <c r="O1753" s="11"/>
      <c r="P1753" s="11"/>
      <c r="Q1753" s="105"/>
      <c r="R1753" s="105"/>
      <c r="S1753" s="105"/>
      <c r="T1753" s="105"/>
      <c r="U1753" s="105"/>
      <c r="V1753" s="105"/>
      <c r="W1753" s="105"/>
      <c r="X1753" s="11"/>
      <c r="Y1753" s="11"/>
      <c r="Z1753" s="105"/>
      <c r="AA1753" s="11"/>
      <c r="AB1753" s="11"/>
      <c r="AC1753" s="105"/>
      <c r="AD1753" s="11" t="b">
        <v>0</v>
      </c>
      <c r="AE1753" s="105"/>
      <c r="AF1753" s="11"/>
      <c r="AG1753" s="11"/>
      <c r="AH1753" s="11"/>
      <c r="AI1753" s="11"/>
    </row>
    <row r="1754" ht="12.5" spans="3:35">
      <c r="C1754" s="19"/>
      <c r="D1754" s="19"/>
      <c r="H1754" s="105"/>
      <c r="I1754" s="126"/>
      <c r="J1754" s="11"/>
      <c r="K1754" s="108"/>
      <c r="L1754" s="11"/>
      <c r="M1754" s="105"/>
      <c r="N1754" s="105"/>
      <c r="O1754" s="11"/>
      <c r="P1754" s="11"/>
      <c r="Q1754" s="105"/>
      <c r="R1754" s="105"/>
      <c r="S1754" s="105"/>
      <c r="T1754" s="105"/>
      <c r="U1754" s="105"/>
      <c r="V1754" s="105"/>
      <c r="W1754" s="105"/>
      <c r="X1754" s="11"/>
      <c r="Y1754" s="11"/>
      <c r="Z1754" s="105"/>
      <c r="AA1754" s="11"/>
      <c r="AB1754" s="11"/>
      <c r="AC1754" s="105"/>
      <c r="AD1754" s="11" t="b">
        <v>0</v>
      </c>
      <c r="AE1754" s="105"/>
      <c r="AF1754" s="11"/>
      <c r="AG1754" s="11"/>
      <c r="AH1754" s="11"/>
      <c r="AI1754" s="11"/>
    </row>
    <row r="1755" ht="12.5" spans="3:35">
      <c r="C1755" s="19"/>
      <c r="D1755" s="19"/>
      <c r="H1755" s="105"/>
      <c r="I1755" s="126"/>
      <c r="J1755" s="11"/>
      <c r="K1755" s="108"/>
      <c r="L1755" s="11"/>
      <c r="M1755" s="105"/>
      <c r="N1755" s="105"/>
      <c r="O1755" s="11"/>
      <c r="P1755" s="11"/>
      <c r="Q1755" s="105"/>
      <c r="R1755" s="105"/>
      <c r="S1755" s="105"/>
      <c r="T1755" s="105"/>
      <c r="U1755" s="105"/>
      <c r="V1755" s="105"/>
      <c r="W1755" s="105"/>
      <c r="X1755" s="11"/>
      <c r="Y1755" s="11"/>
      <c r="Z1755" s="105"/>
      <c r="AA1755" s="11"/>
      <c r="AB1755" s="11"/>
      <c r="AC1755" s="105"/>
      <c r="AD1755" s="11" t="b">
        <v>0</v>
      </c>
      <c r="AE1755" s="105"/>
      <c r="AF1755" s="11"/>
      <c r="AG1755" s="11"/>
      <c r="AH1755" s="11"/>
      <c r="AI1755" s="11"/>
    </row>
    <row r="1756" ht="12.5" spans="3:35">
      <c r="C1756" s="19"/>
      <c r="D1756" s="19"/>
      <c r="H1756" s="105"/>
      <c r="I1756" s="126"/>
      <c r="J1756" s="11"/>
      <c r="K1756" s="108"/>
      <c r="L1756" s="11"/>
      <c r="M1756" s="105"/>
      <c r="N1756" s="105"/>
      <c r="O1756" s="11"/>
      <c r="P1756" s="11"/>
      <c r="Q1756" s="105"/>
      <c r="R1756" s="105"/>
      <c r="S1756" s="105"/>
      <c r="T1756" s="105"/>
      <c r="U1756" s="105"/>
      <c r="V1756" s="105"/>
      <c r="W1756" s="105"/>
      <c r="X1756" s="11"/>
      <c r="Y1756" s="11"/>
      <c r="Z1756" s="105"/>
      <c r="AA1756" s="11"/>
      <c r="AB1756" s="11"/>
      <c r="AC1756" s="105"/>
      <c r="AD1756" s="11" t="b">
        <v>0</v>
      </c>
      <c r="AE1756" s="105"/>
      <c r="AF1756" s="11"/>
      <c r="AG1756" s="11"/>
      <c r="AH1756" s="11"/>
      <c r="AI1756" s="11"/>
    </row>
    <row r="1757" ht="12.5" spans="3:35">
      <c r="C1757" s="19"/>
      <c r="D1757" s="19"/>
      <c r="H1757" s="105"/>
      <c r="I1757" s="126"/>
      <c r="J1757" s="11"/>
      <c r="K1757" s="108"/>
      <c r="L1757" s="11"/>
      <c r="M1757" s="105"/>
      <c r="N1757" s="105"/>
      <c r="O1757" s="11"/>
      <c r="P1757" s="11"/>
      <c r="Q1757" s="105"/>
      <c r="R1757" s="105"/>
      <c r="S1757" s="105"/>
      <c r="T1757" s="105"/>
      <c r="U1757" s="105"/>
      <c r="V1757" s="105"/>
      <c r="W1757" s="105"/>
      <c r="X1757" s="11"/>
      <c r="Y1757" s="11"/>
      <c r="Z1757" s="105"/>
      <c r="AA1757" s="11"/>
      <c r="AB1757" s="11"/>
      <c r="AC1757" s="105"/>
      <c r="AD1757" s="11" t="b">
        <v>0</v>
      </c>
      <c r="AE1757" s="105"/>
      <c r="AF1757" s="11"/>
      <c r="AG1757" s="11"/>
      <c r="AH1757" s="11"/>
      <c r="AI1757" s="11"/>
    </row>
    <row r="1758" ht="12.5" spans="3:35">
      <c r="C1758" s="19"/>
      <c r="D1758" s="19"/>
      <c r="H1758" s="105"/>
      <c r="I1758" s="126"/>
      <c r="J1758" s="11"/>
      <c r="K1758" s="108"/>
      <c r="L1758" s="11"/>
      <c r="M1758" s="105"/>
      <c r="N1758" s="105"/>
      <c r="O1758" s="11"/>
      <c r="P1758" s="11"/>
      <c r="Q1758" s="105"/>
      <c r="R1758" s="105"/>
      <c r="S1758" s="105"/>
      <c r="T1758" s="105"/>
      <c r="U1758" s="105"/>
      <c r="V1758" s="105"/>
      <c r="W1758" s="105"/>
      <c r="X1758" s="11"/>
      <c r="Y1758" s="11"/>
      <c r="Z1758" s="105"/>
      <c r="AA1758" s="11"/>
      <c r="AB1758" s="11"/>
      <c r="AC1758" s="105"/>
      <c r="AD1758" s="11" t="b">
        <v>0</v>
      </c>
      <c r="AE1758" s="105"/>
      <c r="AF1758" s="11"/>
      <c r="AG1758" s="11"/>
      <c r="AH1758" s="11"/>
      <c r="AI1758" s="11"/>
    </row>
    <row r="1759" ht="12.5" spans="3:35">
      <c r="C1759" s="19"/>
      <c r="D1759" s="19"/>
      <c r="H1759" s="105"/>
      <c r="I1759" s="126"/>
      <c r="J1759" s="11"/>
      <c r="K1759" s="108"/>
      <c r="L1759" s="11"/>
      <c r="M1759" s="105"/>
      <c r="N1759" s="105"/>
      <c r="O1759" s="11"/>
      <c r="P1759" s="11"/>
      <c r="Q1759" s="105"/>
      <c r="R1759" s="105"/>
      <c r="S1759" s="105"/>
      <c r="T1759" s="105"/>
      <c r="U1759" s="105"/>
      <c r="V1759" s="105"/>
      <c r="W1759" s="105"/>
      <c r="X1759" s="11"/>
      <c r="Y1759" s="11"/>
      <c r="Z1759" s="105"/>
      <c r="AA1759" s="11"/>
      <c r="AB1759" s="11"/>
      <c r="AC1759" s="105"/>
      <c r="AD1759" s="11" t="b">
        <v>0</v>
      </c>
      <c r="AE1759" s="105"/>
      <c r="AF1759" s="11"/>
      <c r="AG1759" s="11"/>
      <c r="AH1759" s="11"/>
      <c r="AI1759" s="11"/>
    </row>
    <row r="1760" ht="12.5" spans="3:35">
      <c r="C1760" s="19"/>
      <c r="D1760" s="19"/>
      <c r="H1760" s="105"/>
      <c r="I1760" s="126"/>
      <c r="J1760" s="11"/>
      <c r="K1760" s="108"/>
      <c r="L1760" s="11"/>
      <c r="M1760" s="105"/>
      <c r="N1760" s="105"/>
      <c r="O1760" s="11"/>
      <c r="P1760" s="11"/>
      <c r="Q1760" s="105"/>
      <c r="R1760" s="105"/>
      <c r="S1760" s="105"/>
      <c r="T1760" s="105"/>
      <c r="U1760" s="105"/>
      <c r="V1760" s="105"/>
      <c r="W1760" s="105"/>
      <c r="X1760" s="11"/>
      <c r="Y1760" s="11"/>
      <c r="Z1760" s="105"/>
      <c r="AA1760" s="11"/>
      <c r="AB1760" s="11"/>
      <c r="AC1760" s="105"/>
      <c r="AD1760" s="11" t="b">
        <v>0</v>
      </c>
      <c r="AE1760" s="105"/>
      <c r="AF1760" s="11"/>
      <c r="AG1760" s="11"/>
      <c r="AH1760" s="11"/>
      <c r="AI1760" s="11"/>
    </row>
    <row r="1761" ht="12.5" spans="3:35">
      <c r="C1761" s="19"/>
      <c r="D1761" s="19"/>
      <c r="H1761" s="105"/>
      <c r="I1761" s="126"/>
      <c r="J1761" s="11"/>
      <c r="K1761" s="108"/>
      <c r="L1761" s="11"/>
      <c r="M1761" s="105"/>
      <c r="N1761" s="105"/>
      <c r="O1761" s="11"/>
      <c r="P1761" s="11"/>
      <c r="Q1761" s="105"/>
      <c r="R1761" s="105"/>
      <c r="S1761" s="105"/>
      <c r="T1761" s="105"/>
      <c r="U1761" s="105"/>
      <c r="V1761" s="105"/>
      <c r="W1761" s="105"/>
      <c r="X1761" s="11"/>
      <c r="Y1761" s="11"/>
      <c r="Z1761" s="105"/>
      <c r="AA1761" s="11"/>
      <c r="AB1761" s="11"/>
      <c r="AC1761" s="105"/>
      <c r="AD1761" s="11" t="b">
        <v>0</v>
      </c>
      <c r="AE1761" s="105"/>
      <c r="AF1761" s="11"/>
      <c r="AG1761" s="11"/>
      <c r="AH1761" s="11"/>
      <c r="AI1761" s="11"/>
    </row>
    <row r="1762" ht="12.5" spans="3:35">
      <c r="C1762" s="19"/>
      <c r="D1762" s="19"/>
      <c r="H1762" s="105"/>
      <c r="I1762" s="126"/>
      <c r="J1762" s="11"/>
      <c r="K1762" s="108"/>
      <c r="L1762" s="11"/>
      <c r="M1762" s="105"/>
      <c r="N1762" s="105"/>
      <c r="O1762" s="11"/>
      <c r="P1762" s="11"/>
      <c r="Q1762" s="105"/>
      <c r="R1762" s="105"/>
      <c r="S1762" s="105"/>
      <c r="T1762" s="105"/>
      <c r="U1762" s="105"/>
      <c r="V1762" s="105"/>
      <c r="W1762" s="105"/>
      <c r="X1762" s="11"/>
      <c r="Y1762" s="11"/>
      <c r="Z1762" s="105"/>
      <c r="AA1762" s="11"/>
      <c r="AB1762" s="11"/>
      <c r="AC1762" s="105"/>
      <c r="AD1762" s="11" t="b">
        <v>0</v>
      </c>
      <c r="AE1762" s="105"/>
      <c r="AF1762" s="11"/>
      <c r="AG1762" s="11"/>
      <c r="AH1762" s="11"/>
      <c r="AI1762" s="11"/>
    </row>
    <row r="1763" ht="12.5" spans="3:35">
      <c r="C1763" s="19"/>
      <c r="D1763" s="19"/>
      <c r="H1763" s="105"/>
      <c r="I1763" s="126"/>
      <c r="J1763" s="11"/>
      <c r="K1763" s="108"/>
      <c r="L1763" s="11"/>
      <c r="M1763" s="105"/>
      <c r="N1763" s="105"/>
      <c r="O1763" s="11"/>
      <c r="P1763" s="11"/>
      <c r="Q1763" s="105"/>
      <c r="R1763" s="105"/>
      <c r="S1763" s="105"/>
      <c r="T1763" s="105"/>
      <c r="U1763" s="105"/>
      <c r="V1763" s="105"/>
      <c r="W1763" s="105"/>
      <c r="X1763" s="11"/>
      <c r="Y1763" s="11"/>
      <c r="Z1763" s="105"/>
      <c r="AA1763" s="11"/>
      <c r="AB1763" s="11"/>
      <c r="AC1763" s="105"/>
      <c r="AD1763" s="11" t="b">
        <v>0</v>
      </c>
      <c r="AE1763" s="105"/>
      <c r="AF1763" s="11"/>
      <c r="AG1763" s="11"/>
      <c r="AH1763" s="11"/>
      <c r="AI1763" s="11"/>
    </row>
    <row r="1764" ht="12.5" spans="3:35">
      <c r="C1764" s="19"/>
      <c r="D1764" s="19"/>
      <c r="H1764" s="105"/>
      <c r="I1764" s="126"/>
      <c r="J1764" s="11"/>
      <c r="K1764" s="108"/>
      <c r="L1764" s="11"/>
      <c r="M1764" s="105"/>
      <c r="N1764" s="105"/>
      <c r="O1764" s="11"/>
      <c r="P1764" s="11"/>
      <c r="Q1764" s="105"/>
      <c r="R1764" s="105"/>
      <c r="S1764" s="105"/>
      <c r="T1764" s="105"/>
      <c r="U1764" s="105"/>
      <c r="V1764" s="105"/>
      <c r="W1764" s="105"/>
      <c r="X1764" s="11"/>
      <c r="Y1764" s="11"/>
      <c r="Z1764" s="105"/>
      <c r="AA1764" s="11"/>
      <c r="AB1764" s="11"/>
      <c r="AC1764" s="105"/>
      <c r="AD1764" s="11" t="b">
        <v>0</v>
      </c>
      <c r="AE1764" s="105"/>
      <c r="AF1764" s="11"/>
      <c r="AG1764" s="11"/>
      <c r="AH1764" s="11"/>
      <c r="AI1764" s="11"/>
    </row>
    <row r="1765" ht="12.5" spans="3:35">
      <c r="C1765" s="19"/>
      <c r="D1765" s="19"/>
      <c r="H1765" s="105"/>
      <c r="I1765" s="126"/>
      <c r="J1765" s="11"/>
      <c r="K1765" s="108"/>
      <c r="L1765" s="11"/>
      <c r="M1765" s="105"/>
      <c r="N1765" s="105"/>
      <c r="O1765" s="11"/>
      <c r="P1765" s="11"/>
      <c r="Q1765" s="105"/>
      <c r="R1765" s="105"/>
      <c r="S1765" s="105"/>
      <c r="T1765" s="105"/>
      <c r="U1765" s="105"/>
      <c r="V1765" s="105"/>
      <c r="W1765" s="105"/>
      <c r="X1765" s="11"/>
      <c r="Y1765" s="11"/>
      <c r="Z1765" s="105"/>
      <c r="AA1765" s="11"/>
      <c r="AB1765" s="11"/>
      <c r="AC1765" s="105"/>
      <c r="AD1765" s="11" t="b">
        <v>0</v>
      </c>
      <c r="AE1765" s="105"/>
      <c r="AF1765" s="11"/>
      <c r="AG1765" s="11"/>
      <c r="AH1765" s="11"/>
      <c r="AI1765" s="11"/>
    </row>
    <row r="1766" ht="12.5" spans="3:35">
      <c r="C1766" s="19"/>
      <c r="D1766" s="19"/>
      <c r="H1766" s="105"/>
      <c r="I1766" s="126"/>
      <c r="J1766" s="11"/>
      <c r="K1766" s="108"/>
      <c r="L1766" s="11"/>
      <c r="M1766" s="105"/>
      <c r="N1766" s="105"/>
      <c r="O1766" s="11"/>
      <c r="P1766" s="11"/>
      <c r="Q1766" s="105"/>
      <c r="R1766" s="105"/>
      <c r="S1766" s="105"/>
      <c r="T1766" s="105"/>
      <c r="U1766" s="105"/>
      <c r="V1766" s="105"/>
      <c r="W1766" s="105"/>
      <c r="X1766" s="11"/>
      <c r="Y1766" s="11"/>
      <c r="Z1766" s="105"/>
      <c r="AA1766" s="11"/>
      <c r="AB1766" s="11"/>
      <c r="AC1766" s="105"/>
      <c r="AD1766" s="11" t="b">
        <v>0</v>
      </c>
      <c r="AE1766" s="105"/>
      <c r="AF1766" s="11"/>
      <c r="AG1766" s="11"/>
      <c r="AH1766" s="11"/>
      <c r="AI1766" s="11"/>
    </row>
    <row r="1767" ht="12.5" spans="3:35">
      <c r="C1767" s="19"/>
      <c r="D1767" s="19"/>
      <c r="H1767" s="105"/>
      <c r="I1767" s="126"/>
      <c r="J1767" s="11"/>
      <c r="K1767" s="108"/>
      <c r="L1767" s="11"/>
      <c r="M1767" s="105"/>
      <c r="N1767" s="105"/>
      <c r="O1767" s="11"/>
      <c r="P1767" s="11"/>
      <c r="Q1767" s="105"/>
      <c r="R1767" s="105"/>
      <c r="S1767" s="105"/>
      <c r="T1767" s="105"/>
      <c r="U1767" s="105"/>
      <c r="V1767" s="105"/>
      <c r="W1767" s="105"/>
      <c r="X1767" s="11"/>
      <c r="Y1767" s="11"/>
      <c r="Z1767" s="105"/>
      <c r="AA1767" s="11"/>
      <c r="AB1767" s="11"/>
      <c r="AC1767" s="105"/>
      <c r="AD1767" s="11" t="b">
        <v>0</v>
      </c>
      <c r="AE1767" s="105"/>
      <c r="AF1767" s="11"/>
      <c r="AG1767" s="11"/>
      <c r="AH1767" s="11"/>
      <c r="AI1767" s="11"/>
    </row>
    <row r="1768" ht="12.5" spans="3:35">
      <c r="C1768" s="19"/>
      <c r="D1768" s="19"/>
      <c r="H1768" s="105"/>
      <c r="I1768" s="126"/>
      <c r="J1768" s="11"/>
      <c r="K1768" s="108"/>
      <c r="L1768" s="11"/>
      <c r="M1768" s="105"/>
      <c r="N1768" s="105"/>
      <c r="O1768" s="11"/>
      <c r="P1768" s="11"/>
      <c r="Q1768" s="105"/>
      <c r="R1768" s="105"/>
      <c r="S1768" s="105"/>
      <c r="T1768" s="105"/>
      <c r="U1768" s="105"/>
      <c r="V1768" s="105"/>
      <c r="W1768" s="105"/>
      <c r="X1768" s="11"/>
      <c r="Y1768" s="11"/>
      <c r="Z1768" s="105"/>
      <c r="AA1768" s="11"/>
      <c r="AB1768" s="11"/>
      <c r="AC1768" s="105"/>
      <c r="AD1768" s="11" t="b">
        <v>0</v>
      </c>
      <c r="AE1768" s="105"/>
      <c r="AF1768" s="11"/>
      <c r="AG1768" s="11"/>
      <c r="AH1768" s="11"/>
      <c r="AI1768" s="11"/>
    </row>
    <row r="1769" ht="12.5" spans="3:35">
      <c r="C1769" s="19"/>
      <c r="D1769" s="19"/>
      <c r="H1769" s="105"/>
      <c r="I1769" s="126"/>
      <c r="J1769" s="11"/>
      <c r="K1769" s="108"/>
      <c r="L1769" s="11"/>
      <c r="M1769" s="105"/>
      <c r="N1769" s="105"/>
      <c r="O1769" s="11"/>
      <c r="P1769" s="11"/>
      <c r="Q1769" s="105"/>
      <c r="R1769" s="105"/>
      <c r="S1769" s="105"/>
      <c r="T1769" s="105"/>
      <c r="U1769" s="105"/>
      <c r="V1769" s="105"/>
      <c r="W1769" s="105"/>
      <c r="X1769" s="11"/>
      <c r="Y1769" s="11"/>
      <c r="Z1769" s="105"/>
      <c r="AA1769" s="11"/>
      <c r="AB1769" s="11"/>
      <c r="AC1769" s="105"/>
      <c r="AD1769" s="11" t="b">
        <v>0</v>
      </c>
      <c r="AE1769" s="105"/>
      <c r="AF1769" s="11"/>
      <c r="AG1769" s="11"/>
      <c r="AH1769" s="11"/>
      <c r="AI1769" s="11"/>
    </row>
    <row r="1770" ht="12.5" spans="3:35">
      <c r="C1770" s="19"/>
      <c r="D1770" s="19"/>
      <c r="H1770" s="105"/>
      <c r="I1770" s="126"/>
      <c r="J1770" s="11"/>
      <c r="K1770" s="108"/>
      <c r="L1770" s="11"/>
      <c r="M1770" s="105"/>
      <c r="N1770" s="105"/>
      <c r="O1770" s="11"/>
      <c r="P1770" s="11"/>
      <c r="Q1770" s="105"/>
      <c r="R1770" s="105"/>
      <c r="S1770" s="105"/>
      <c r="T1770" s="105"/>
      <c r="U1770" s="105"/>
      <c r="V1770" s="105"/>
      <c r="W1770" s="105"/>
      <c r="X1770" s="11"/>
      <c r="Y1770" s="11"/>
      <c r="Z1770" s="105"/>
      <c r="AA1770" s="11"/>
      <c r="AB1770" s="11"/>
      <c r="AC1770" s="105"/>
      <c r="AD1770" s="11" t="b">
        <v>0</v>
      </c>
      <c r="AE1770" s="105"/>
      <c r="AF1770" s="11"/>
      <c r="AG1770" s="11"/>
      <c r="AH1770" s="11"/>
      <c r="AI1770" s="11"/>
    </row>
    <row r="1771" ht="12.5" spans="3:35">
      <c r="C1771" s="19"/>
      <c r="D1771" s="19"/>
      <c r="H1771" s="105"/>
      <c r="I1771" s="126"/>
      <c r="J1771" s="11"/>
      <c r="K1771" s="108"/>
      <c r="L1771" s="11"/>
      <c r="M1771" s="105"/>
      <c r="N1771" s="105"/>
      <c r="O1771" s="11"/>
      <c r="P1771" s="11"/>
      <c r="Q1771" s="105"/>
      <c r="R1771" s="105"/>
      <c r="S1771" s="105"/>
      <c r="T1771" s="105"/>
      <c r="U1771" s="105"/>
      <c r="V1771" s="105"/>
      <c r="W1771" s="105"/>
      <c r="X1771" s="11"/>
      <c r="Y1771" s="11"/>
      <c r="Z1771" s="105"/>
      <c r="AA1771" s="11"/>
      <c r="AB1771" s="11"/>
      <c r="AC1771" s="105"/>
      <c r="AD1771" s="11" t="b">
        <v>0</v>
      </c>
      <c r="AE1771" s="105"/>
      <c r="AF1771" s="11"/>
      <c r="AG1771" s="11"/>
      <c r="AH1771" s="11"/>
      <c r="AI1771" s="11"/>
    </row>
    <row r="1772" ht="12.5" spans="3:35">
      <c r="C1772" s="19"/>
      <c r="D1772" s="19"/>
      <c r="H1772" s="105"/>
      <c r="I1772" s="126"/>
      <c r="J1772" s="11"/>
      <c r="K1772" s="108"/>
      <c r="L1772" s="11"/>
      <c r="M1772" s="105"/>
      <c r="N1772" s="105"/>
      <c r="O1772" s="11"/>
      <c r="P1772" s="11"/>
      <c r="Q1772" s="105"/>
      <c r="R1772" s="105"/>
      <c r="S1772" s="105"/>
      <c r="T1772" s="105"/>
      <c r="U1772" s="105"/>
      <c r="V1772" s="105"/>
      <c r="W1772" s="105"/>
      <c r="X1772" s="11"/>
      <c r="Y1772" s="11"/>
      <c r="Z1772" s="105"/>
      <c r="AA1772" s="11"/>
      <c r="AB1772" s="11"/>
      <c r="AC1772" s="105"/>
      <c r="AD1772" s="11" t="b">
        <v>0</v>
      </c>
      <c r="AE1772" s="105"/>
      <c r="AF1772" s="11"/>
      <c r="AG1772" s="11"/>
      <c r="AH1772" s="11"/>
      <c r="AI1772" s="11"/>
    </row>
    <row r="1773" ht="12.5" spans="3:35">
      <c r="C1773" s="19"/>
      <c r="D1773" s="19"/>
      <c r="H1773" s="105"/>
      <c r="I1773" s="126"/>
      <c r="J1773" s="11"/>
      <c r="K1773" s="108"/>
      <c r="L1773" s="11"/>
      <c r="M1773" s="105"/>
      <c r="N1773" s="105"/>
      <c r="O1773" s="11"/>
      <c r="P1773" s="11"/>
      <c r="Q1773" s="105"/>
      <c r="R1773" s="105"/>
      <c r="S1773" s="105"/>
      <c r="T1773" s="105"/>
      <c r="U1773" s="105"/>
      <c r="V1773" s="105"/>
      <c r="W1773" s="105"/>
      <c r="X1773" s="11"/>
      <c r="Y1773" s="11"/>
      <c r="Z1773" s="105"/>
      <c r="AA1773" s="11"/>
      <c r="AB1773" s="11"/>
      <c r="AC1773" s="105"/>
      <c r="AD1773" s="11" t="b">
        <v>0</v>
      </c>
      <c r="AE1773" s="105"/>
      <c r="AF1773" s="11"/>
      <c r="AG1773" s="11"/>
      <c r="AH1773" s="11"/>
      <c r="AI1773" s="11"/>
    </row>
    <row r="1774" ht="12.5" spans="3:35">
      <c r="C1774" s="19"/>
      <c r="D1774" s="19"/>
      <c r="H1774" s="105"/>
      <c r="I1774" s="126"/>
      <c r="J1774" s="11"/>
      <c r="K1774" s="108"/>
      <c r="L1774" s="11"/>
      <c r="M1774" s="105"/>
      <c r="N1774" s="105"/>
      <c r="O1774" s="11"/>
      <c r="P1774" s="11"/>
      <c r="Q1774" s="105"/>
      <c r="R1774" s="105"/>
      <c r="S1774" s="105"/>
      <c r="T1774" s="105"/>
      <c r="U1774" s="105"/>
      <c r="V1774" s="105"/>
      <c r="W1774" s="105"/>
      <c r="X1774" s="11"/>
      <c r="Y1774" s="11"/>
      <c r="Z1774" s="105"/>
      <c r="AA1774" s="11"/>
      <c r="AB1774" s="11"/>
      <c r="AC1774" s="105"/>
      <c r="AD1774" s="11" t="b">
        <v>0</v>
      </c>
      <c r="AE1774" s="105"/>
      <c r="AF1774" s="11"/>
      <c r="AG1774" s="11"/>
      <c r="AH1774" s="11"/>
      <c r="AI1774" s="11"/>
    </row>
    <row r="1775" ht="12.5" spans="3:35">
      <c r="C1775" s="19"/>
      <c r="D1775" s="19"/>
      <c r="H1775" s="105"/>
      <c r="I1775" s="126"/>
      <c r="J1775" s="11"/>
      <c r="K1775" s="108"/>
      <c r="L1775" s="11"/>
      <c r="M1775" s="105"/>
      <c r="N1775" s="105"/>
      <c r="O1775" s="11"/>
      <c r="P1775" s="11"/>
      <c r="Q1775" s="105"/>
      <c r="R1775" s="105"/>
      <c r="S1775" s="105"/>
      <c r="T1775" s="105"/>
      <c r="U1775" s="105"/>
      <c r="V1775" s="105"/>
      <c r="W1775" s="105"/>
      <c r="X1775" s="11"/>
      <c r="Y1775" s="11"/>
      <c r="Z1775" s="105"/>
      <c r="AA1775" s="11"/>
      <c r="AB1775" s="11"/>
      <c r="AC1775" s="105"/>
      <c r="AD1775" s="11" t="b">
        <v>0</v>
      </c>
      <c r="AE1775" s="105"/>
      <c r="AF1775" s="11"/>
      <c r="AG1775" s="11"/>
      <c r="AH1775" s="11"/>
      <c r="AI1775" s="11"/>
    </row>
    <row r="1776" ht="12.5" spans="3:35">
      <c r="C1776" s="19"/>
      <c r="D1776" s="19"/>
      <c r="H1776" s="105"/>
      <c r="I1776" s="126"/>
      <c r="J1776" s="11"/>
      <c r="K1776" s="108"/>
      <c r="L1776" s="11"/>
      <c r="M1776" s="105"/>
      <c r="N1776" s="105"/>
      <c r="O1776" s="11"/>
      <c r="P1776" s="11"/>
      <c r="Q1776" s="105"/>
      <c r="R1776" s="105"/>
      <c r="S1776" s="105"/>
      <c r="T1776" s="105"/>
      <c r="U1776" s="105"/>
      <c r="V1776" s="105"/>
      <c r="W1776" s="105"/>
      <c r="X1776" s="11"/>
      <c r="Y1776" s="11"/>
      <c r="Z1776" s="105"/>
      <c r="AA1776" s="11"/>
      <c r="AB1776" s="11"/>
      <c r="AC1776" s="105"/>
      <c r="AD1776" s="11" t="b">
        <v>0</v>
      </c>
      <c r="AE1776" s="105"/>
      <c r="AF1776" s="11"/>
      <c r="AG1776" s="11"/>
      <c r="AH1776" s="11"/>
      <c r="AI1776" s="11"/>
    </row>
    <row r="1777" ht="12.5" spans="3:35">
      <c r="C1777" s="19"/>
      <c r="D1777" s="19"/>
      <c r="H1777" s="105"/>
      <c r="I1777" s="126"/>
      <c r="J1777" s="11"/>
      <c r="K1777" s="108"/>
      <c r="L1777" s="11"/>
      <c r="M1777" s="105"/>
      <c r="N1777" s="105"/>
      <c r="O1777" s="11"/>
      <c r="P1777" s="11"/>
      <c r="Q1777" s="105"/>
      <c r="R1777" s="105"/>
      <c r="S1777" s="105"/>
      <c r="T1777" s="105"/>
      <c r="U1777" s="105"/>
      <c r="V1777" s="105"/>
      <c r="W1777" s="105"/>
      <c r="X1777" s="11"/>
      <c r="Y1777" s="11"/>
      <c r="Z1777" s="105"/>
      <c r="AA1777" s="11"/>
      <c r="AB1777" s="11"/>
      <c r="AC1777" s="105"/>
      <c r="AD1777" s="11" t="b">
        <v>0</v>
      </c>
      <c r="AE1777" s="105"/>
      <c r="AF1777" s="11"/>
      <c r="AG1777" s="11"/>
      <c r="AH1777" s="11"/>
      <c r="AI1777" s="11"/>
    </row>
    <row r="1778" ht="12.5" spans="3:35">
      <c r="C1778" s="19"/>
      <c r="D1778" s="19"/>
      <c r="H1778" s="105"/>
      <c r="I1778" s="126"/>
      <c r="J1778" s="11"/>
      <c r="K1778" s="108"/>
      <c r="L1778" s="11"/>
      <c r="M1778" s="105"/>
      <c r="N1778" s="105"/>
      <c r="O1778" s="11"/>
      <c r="P1778" s="11"/>
      <c r="Q1778" s="105"/>
      <c r="R1778" s="105"/>
      <c r="S1778" s="105"/>
      <c r="T1778" s="105"/>
      <c r="U1778" s="105"/>
      <c r="V1778" s="105"/>
      <c r="W1778" s="105"/>
      <c r="X1778" s="11"/>
      <c r="Y1778" s="11"/>
      <c r="Z1778" s="105"/>
      <c r="AA1778" s="11"/>
      <c r="AB1778" s="11"/>
      <c r="AC1778" s="105"/>
      <c r="AD1778" s="11" t="b">
        <v>0</v>
      </c>
      <c r="AE1778" s="105"/>
      <c r="AF1778" s="11"/>
      <c r="AG1778" s="11"/>
      <c r="AH1778" s="11"/>
      <c r="AI1778" s="11"/>
    </row>
    <row r="1779" ht="12.5" spans="3:35">
      <c r="C1779" s="19"/>
      <c r="D1779" s="19"/>
      <c r="H1779" s="105"/>
      <c r="I1779" s="126"/>
      <c r="J1779" s="11"/>
      <c r="K1779" s="108"/>
      <c r="L1779" s="11"/>
      <c r="M1779" s="105"/>
      <c r="N1779" s="105"/>
      <c r="O1779" s="11"/>
      <c r="P1779" s="11"/>
      <c r="Q1779" s="105"/>
      <c r="R1779" s="105"/>
      <c r="S1779" s="105"/>
      <c r="T1779" s="105"/>
      <c r="U1779" s="105"/>
      <c r="V1779" s="105"/>
      <c r="W1779" s="105"/>
      <c r="X1779" s="11"/>
      <c r="Y1779" s="11"/>
      <c r="Z1779" s="105"/>
      <c r="AA1779" s="11"/>
      <c r="AB1779" s="11"/>
      <c r="AC1779" s="105"/>
      <c r="AD1779" s="11" t="b">
        <v>0</v>
      </c>
      <c r="AE1779" s="105"/>
      <c r="AF1779" s="11"/>
      <c r="AG1779" s="11"/>
      <c r="AH1779" s="11"/>
      <c r="AI1779" s="11"/>
    </row>
    <row r="1780" ht="12.5" spans="3:35">
      <c r="C1780" s="19"/>
      <c r="D1780" s="19"/>
      <c r="H1780" s="105"/>
      <c r="I1780" s="126"/>
      <c r="J1780" s="11"/>
      <c r="K1780" s="108"/>
      <c r="L1780" s="11"/>
      <c r="M1780" s="105"/>
      <c r="N1780" s="105"/>
      <c r="O1780" s="11"/>
      <c r="P1780" s="11"/>
      <c r="Q1780" s="105"/>
      <c r="R1780" s="105"/>
      <c r="S1780" s="105"/>
      <c r="T1780" s="105"/>
      <c r="U1780" s="105"/>
      <c r="V1780" s="105"/>
      <c r="W1780" s="105"/>
      <c r="X1780" s="11"/>
      <c r="Y1780" s="11"/>
      <c r="Z1780" s="105"/>
      <c r="AA1780" s="11"/>
      <c r="AB1780" s="11"/>
      <c r="AC1780" s="105"/>
      <c r="AD1780" s="11" t="b">
        <v>0</v>
      </c>
      <c r="AE1780" s="105"/>
      <c r="AF1780" s="11"/>
      <c r="AG1780" s="11"/>
      <c r="AH1780" s="11"/>
      <c r="AI1780" s="11"/>
    </row>
    <row r="1781" ht="12.5" spans="3:35">
      <c r="C1781" s="19"/>
      <c r="D1781" s="19"/>
      <c r="H1781" s="105"/>
      <c r="I1781" s="126"/>
      <c r="J1781" s="11"/>
      <c r="K1781" s="108"/>
      <c r="L1781" s="11"/>
      <c r="M1781" s="105"/>
      <c r="N1781" s="105"/>
      <c r="O1781" s="11"/>
      <c r="P1781" s="11"/>
      <c r="Q1781" s="105"/>
      <c r="R1781" s="105"/>
      <c r="S1781" s="105"/>
      <c r="T1781" s="105"/>
      <c r="U1781" s="105"/>
      <c r="V1781" s="105"/>
      <c r="W1781" s="105"/>
      <c r="X1781" s="11"/>
      <c r="Y1781" s="11"/>
      <c r="Z1781" s="105"/>
      <c r="AA1781" s="11"/>
      <c r="AB1781" s="11"/>
      <c r="AC1781" s="105"/>
      <c r="AD1781" s="11" t="b">
        <v>0</v>
      </c>
      <c r="AE1781" s="105"/>
      <c r="AF1781" s="11"/>
      <c r="AG1781" s="11"/>
      <c r="AH1781" s="11"/>
      <c r="AI1781" s="11"/>
    </row>
    <row r="1782" ht="12.5" spans="3:35">
      <c r="C1782" s="19"/>
      <c r="D1782" s="19"/>
      <c r="H1782" s="105"/>
      <c r="I1782" s="126"/>
      <c r="J1782" s="11"/>
      <c r="K1782" s="108"/>
      <c r="L1782" s="11"/>
      <c r="M1782" s="105"/>
      <c r="N1782" s="105"/>
      <c r="O1782" s="11"/>
      <c r="P1782" s="11"/>
      <c r="Q1782" s="105"/>
      <c r="R1782" s="105"/>
      <c r="S1782" s="105"/>
      <c r="T1782" s="105"/>
      <c r="U1782" s="105"/>
      <c r="V1782" s="105"/>
      <c r="W1782" s="105"/>
      <c r="X1782" s="11"/>
      <c r="Y1782" s="11"/>
      <c r="Z1782" s="105"/>
      <c r="AA1782" s="11"/>
      <c r="AB1782" s="11"/>
      <c r="AC1782" s="105"/>
      <c r="AD1782" s="11" t="b">
        <v>0</v>
      </c>
      <c r="AE1782" s="105"/>
      <c r="AF1782" s="11"/>
      <c r="AG1782" s="11"/>
      <c r="AH1782" s="11"/>
      <c r="AI1782" s="11"/>
    </row>
    <row r="1783" ht="12.5" spans="3:35">
      <c r="C1783" s="19"/>
      <c r="D1783" s="19"/>
      <c r="H1783" s="105"/>
      <c r="I1783" s="126"/>
      <c r="J1783" s="11"/>
      <c r="K1783" s="108"/>
      <c r="L1783" s="11"/>
      <c r="M1783" s="105"/>
      <c r="N1783" s="105"/>
      <c r="O1783" s="11"/>
      <c r="P1783" s="11"/>
      <c r="Q1783" s="105"/>
      <c r="R1783" s="105"/>
      <c r="S1783" s="105"/>
      <c r="T1783" s="105"/>
      <c r="U1783" s="105"/>
      <c r="V1783" s="105"/>
      <c r="W1783" s="105"/>
      <c r="X1783" s="11"/>
      <c r="Y1783" s="11"/>
      <c r="Z1783" s="105"/>
      <c r="AA1783" s="11"/>
      <c r="AB1783" s="11"/>
      <c r="AC1783" s="105"/>
      <c r="AD1783" s="11" t="b">
        <v>0</v>
      </c>
      <c r="AE1783" s="105"/>
      <c r="AF1783" s="11"/>
      <c r="AG1783" s="11"/>
      <c r="AH1783" s="11"/>
      <c r="AI1783" s="11"/>
    </row>
    <row r="1784" ht="12.5" spans="3:35">
      <c r="C1784" s="19"/>
      <c r="D1784" s="19"/>
      <c r="H1784" s="105"/>
      <c r="I1784" s="126"/>
      <c r="J1784" s="11"/>
      <c r="K1784" s="108"/>
      <c r="L1784" s="11"/>
      <c r="M1784" s="105"/>
      <c r="N1784" s="105"/>
      <c r="O1784" s="11"/>
      <c r="P1784" s="11"/>
      <c r="Q1784" s="105"/>
      <c r="R1784" s="105"/>
      <c r="S1784" s="105"/>
      <c r="T1784" s="105"/>
      <c r="U1784" s="105"/>
      <c r="V1784" s="105"/>
      <c r="W1784" s="105"/>
      <c r="X1784" s="11"/>
      <c r="Y1784" s="11"/>
      <c r="Z1784" s="105"/>
      <c r="AA1784" s="11"/>
      <c r="AB1784" s="11"/>
      <c r="AC1784" s="105"/>
      <c r="AD1784" s="11" t="b">
        <v>0</v>
      </c>
      <c r="AE1784" s="105"/>
      <c r="AF1784" s="11"/>
      <c r="AG1784" s="11"/>
      <c r="AH1784" s="11"/>
      <c r="AI1784" s="11"/>
    </row>
    <row r="1785" ht="12.5" spans="3:35">
      <c r="C1785" s="19"/>
      <c r="D1785" s="19"/>
      <c r="H1785" s="105"/>
      <c r="I1785" s="126"/>
      <c r="J1785" s="11"/>
      <c r="K1785" s="108"/>
      <c r="L1785" s="11"/>
      <c r="M1785" s="105"/>
      <c r="N1785" s="105"/>
      <c r="O1785" s="11"/>
      <c r="P1785" s="11"/>
      <c r="Q1785" s="105"/>
      <c r="R1785" s="105"/>
      <c r="S1785" s="105"/>
      <c r="T1785" s="105"/>
      <c r="U1785" s="105"/>
      <c r="V1785" s="105"/>
      <c r="W1785" s="105"/>
      <c r="X1785" s="11"/>
      <c r="Y1785" s="11"/>
      <c r="Z1785" s="105"/>
      <c r="AA1785" s="11"/>
      <c r="AB1785" s="11"/>
      <c r="AC1785" s="105"/>
      <c r="AD1785" s="11" t="b">
        <v>0</v>
      </c>
      <c r="AE1785" s="105"/>
      <c r="AF1785" s="11"/>
      <c r="AG1785" s="11"/>
      <c r="AH1785" s="11"/>
      <c r="AI1785" s="11"/>
    </row>
    <row r="1786" ht="12.5" spans="3:35">
      <c r="C1786" s="19"/>
      <c r="D1786" s="19"/>
      <c r="H1786" s="105"/>
      <c r="I1786" s="126"/>
      <c r="J1786" s="11"/>
      <c r="K1786" s="108"/>
      <c r="L1786" s="11"/>
      <c r="M1786" s="105"/>
      <c r="N1786" s="105"/>
      <c r="O1786" s="11"/>
      <c r="P1786" s="11"/>
      <c r="Q1786" s="105"/>
      <c r="R1786" s="105"/>
      <c r="S1786" s="105"/>
      <c r="T1786" s="105"/>
      <c r="U1786" s="105"/>
      <c r="V1786" s="105"/>
      <c r="W1786" s="105"/>
      <c r="X1786" s="11"/>
      <c r="Y1786" s="11"/>
      <c r="Z1786" s="105"/>
      <c r="AA1786" s="11"/>
      <c r="AB1786" s="11"/>
      <c r="AC1786" s="105"/>
      <c r="AD1786" s="11" t="b">
        <v>0</v>
      </c>
      <c r="AE1786" s="105"/>
      <c r="AF1786" s="11"/>
      <c r="AG1786" s="11"/>
      <c r="AH1786" s="11"/>
      <c r="AI1786" s="11"/>
    </row>
    <row r="1787" ht="12.5" spans="3:35">
      <c r="C1787" s="19"/>
      <c r="D1787" s="19"/>
      <c r="H1787" s="105"/>
      <c r="I1787" s="126"/>
      <c r="J1787" s="11"/>
      <c r="K1787" s="108"/>
      <c r="L1787" s="11"/>
      <c r="M1787" s="105"/>
      <c r="N1787" s="105"/>
      <c r="O1787" s="11"/>
      <c r="P1787" s="11"/>
      <c r="Q1787" s="105"/>
      <c r="R1787" s="105"/>
      <c r="S1787" s="105"/>
      <c r="T1787" s="105"/>
      <c r="U1787" s="105"/>
      <c r="V1787" s="105"/>
      <c r="W1787" s="105"/>
      <c r="X1787" s="11"/>
      <c r="Y1787" s="11"/>
      <c r="Z1787" s="105"/>
      <c r="AA1787" s="11"/>
      <c r="AB1787" s="11"/>
      <c r="AC1787" s="105"/>
      <c r="AD1787" s="11" t="b">
        <v>0</v>
      </c>
      <c r="AE1787" s="105"/>
      <c r="AF1787" s="11"/>
      <c r="AG1787" s="11"/>
      <c r="AH1787" s="11"/>
      <c r="AI1787" s="11"/>
    </row>
    <row r="1788" ht="12.5" spans="3:35">
      <c r="C1788" s="19"/>
      <c r="D1788" s="19"/>
      <c r="H1788" s="105"/>
      <c r="I1788" s="126"/>
      <c r="J1788" s="11"/>
      <c r="K1788" s="108"/>
      <c r="L1788" s="11"/>
      <c r="M1788" s="105"/>
      <c r="N1788" s="105"/>
      <c r="O1788" s="11"/>
      <c r="P1788" s="11"/>
      <c r="Q1788" s="105"/>
      <c r="R1788" s="105"/>
      <c r="S1788" s="105"/>
      <c r="T1788" s="105"/>
      <c r="U1788" s="105"/>
      <c r="V1788" s="105"/>
      <c r="W1788" s="105"/>
      <c r="X1788" s="11"/>
      <c r="Y1788" s="11"/>
      <c r="Z1788" s="105"/>
      <c r="AA1788" s="11"/>
      <c r="AB1788" s="11"/>
      <c r="AC1788" s="105"/>
      <c r="AD1788" s="11" t="b">
        <v>0</v>
      </c>
      <c r="AE1788" s="105"/>
      <c r="AF1788" s="11"/>
      <c r="AG1788" s="11"/>
      <c r="AH1788" s="11"/>
      <c r="AI1788" s="11"/>
    </row>
    <row r="1789" ht="12.5" spans="3:35">
      <c r="C1789" s="19"/>
      <c r="D1789" s="19"/>
      <c r="H1789" s="105"/>
      <c r="I1789" s="126"/>
      <c r="J1789" s="11"/>
      <c r="K1789" s="108"/>
      <c r="L1789" s="11"/>
      <c r="M1789" s="105"/>
      <c r="N1789" s="105"/>
      <c r="O1789" s="11"/>
      <c r="P1789" s="11"/>
      <c r="Q1789" s="105"/>
      <c r="R1789" s="105"/>
      <c r="S1789" s="105"/>
      <c r="T1789" s="105"/>
      <c r="U1789" s="105"/>
      <c r="V1789" s="105"/>
      <c r="W1789" s="105"/>
      <c r="X1789" s="11"/>
      <c r="Y1789" s="11"/>
      <c r="Z1789" s="105"/>
      <c r="AA1789" s="11"/>
      <c r="AB1789" s="11"/>
      <c r="AC1789" s="105"/>
      <c r="AD1789" s="11" t="b">
        <v>0</v>
      </c>
      <c r="AE1789" s="105"/>
      <c r="AF1789" s="11"/>
      <c r="AG1789" s="11"/>
      <c r="AH1789" s="11"/>
      <c r="AI1789" s="11"/>
    </row>
    <row r="1790" ht="12.5" spans="3:35">
      <c r="C1790" s="19"/>
      <c r="D1790" s="19"/>
      <c r="H1790" s="105"/>
      <c r="I1790" s="126"/>
      <c r="J1790" s="11"/>
      <c r="K1790" s="108"/>
      <c r="L1790" s="11"/>
      <c r="M1790" s="105"/>
      <c r="N1790" s="105"/>
      <c r="O1790" s="11"/>
      <c r="P1790" s="11"/>
      <c r="Q1790" s="105"/>
      <c r="R1790" s="105"/>
      <c r="S1790" s="105"/>
      <c r="T1790" s="105"/>
      <c r="U1790" s="105"/>
      <c r="V1790" s="105"/>
      <c r="W1790" s="105"/>
      <c r="X1790" s="11"/>
      <c r="Y1790" s="11"/>
      <c r="Z1790" s="105"/>
      <c r="AA1790" s="11"/>
      <c r="AB1790" s="11"/>
      <c r="AC1790" s="105"/>
      <c r="AD1790" s="11" t="b">
        <v>0</v>
      </c>
      <c r="AE1790" s="105"/>
      <c r="AF1790" s="11"/>
      <c r="AG1790" s="11"/>
      <c r="AH1790" s="11"/>
      <c r="AI1790" s="11"/>
    </row>
    <row r="1791" ht="12.5" spans="3:35">
      <c r="C1791" s="19"/>
      <c r="D1791" s="19"/>
      <c r="H1791" s="105"/>
      <c r="I1791" s="126"/>
      <c r="J1791" s="11"/>
      <c r="K1791" s="108"/>
      <c r="L1791" s="11"/>
      <c r="M1791" s="105"/>
      <c r="N1791" s="105"/>
      <c r="O1791" s="11"/>
      <c r="P1791" s="11"/>
      <c r="Q1791" s="105"/>
      <c r="R1791" s="105"/>
      <c r="S1791" s="105"/>
      <c r="T1791" s="105"/>
      <c r="U1791" s="105"/>
      <c r="V1791" s="105"/>
      <c r="W1791" s="105"/>
      <c r="X1791" s="11"/>
      <c r="Y1791" s="11"/>
      <c r="Z1791" s="105"/>
      <c r="AA1791" s="11"/>
      <c r="AB1791" s="11"/>
      <c r="AC1791" s="105"/>
      <c r="AD1791" s="11" t="b">
        <v>0</v>
      </c>
      <c r="AE1791" s="105"/>
      <c r="AF1791" s="11"/>
      <c r="AG1791" s="11"/>
      <c r="AH1791" s="11"/>
      <c r="AI1791" s="11"/>
    </row>
    <row r="1792" ht="12.5" spans="3:35">
      <c r="C1792" s="19"/>
      <c r="D1792" s="19"/>
      <c r="H1792" s="105"/>
      <c r="I1792" s="126"/>
      <c r="J1792" s="11"/>
      <c r="K1792" s="108"/>
      <c r="L1792" s="11"/>
      <c r="M1792" s="105"/>
      <c r="N1792" s="105"/>
      <c r="O1792" s="11"/>
      <c r="P1792" s="11"/>
      <c r="Q1792" s="105"/>
      <c r="R1792" s="105"/>
      <c r="S1792" s="105"/>
      <c r="T1792" s="105"/>
      <c r="U1792" s="105"/>
      <c r="V1792" s="105"/>
      <c r="W1792" s="105"/>
      <c r="X1792" s="11"/>
      <c r="Y1792" s="11"/>
      <c r="Z1792" s="105"/>
      <c r="AA1792" s="11"/>
      <c r="AB1792" s="11"/>
      <c r="AC1792" s="105"/>
      <c r="AD1792" s="11" t="b">
        <v>0</v>
      </c>
      <c r="AE1792" s="105"/>
      <c r="AF1792" s="11"/>
      <c r="AG1792" s="11"/>
      <c r="AH1792" s="11"/>
      <c r="AI1792" s="11"/>
    </row>
    <row r="1793" ht="12.5" spans="3:35">
      <c r="C1793" s="19"/>
      <c r="D1793" s="19"/>
      <c r="H1793" s="105"/>
      <c r="I1793" s="126"/>
      <c r="J1793" s="11"/>
      <c r="K1793" s="108"/>
      <c r="L1793" s="11"/>
      <c r="M1793" s="105"/>
      <c r="N1793" s="105"/>
      <c r="O1793" s="11"/>
      <c r="P1793" s="11"/>
      <c r="Q1793" s="105"/>
      <c r="R1793" s="105"/>
      <c r="S1793" s="105"/>
      <c r="T1793" s="105"/>
      <c r="U1793" s="105"/>
      <c r="V1793" s="105"/>
      <c r="W1793" s="105"/>
      <c r="X1793" s="11"/>
      <c r="Y1793" s="11"/>
      <c r="Z1793" s="105"/>
      <c r="AA1793" s="11"/>
      <c r="AB1793" s="11"/>
      <c r="AC1793" s="105"/>
      <c r="AD1793" s="11" t="b">
        <v>0</v>
      </c>
      <c r="AE1793" s="105"/>
      <c r="AF1793" s="11"/>
      <c r="AG1793" s="11"/>
      <c r="AH1793" s="11"/>
      <c r="AI1793" s="11"/>
    </row>
    <row r="1794" ht="12.5" spans="3:35">
      <c r="C1794" s="19"/>
      <c r="D1794" s="19"/>
      <c r="H1794" s="105"/>
      <c r="I1794" s="126"/>
      <c r="J1794" s="11"/>
      <c r="K1794" s="108"/>
      <c r="L1794" s="11"/>
      <c r="M1794" s="105"/>
      <c r="N1794" s="105"/>
      <c r="O1794" s="11"/>
      <c r="P1794" s="11"/>
      <c r="Q1794" s="105"/>
      <c r="R1794" s="105"/>
      <c r="S1794" s="105"/>
      <c r="T1794" s="105"/>
      <c r="U1794" s="105"/>
      <c r="V1794" s="105"/>
      <c r="W1794" s="105"/>
      <c r="X1794" s="11"/>
      <c r="Y1794" s="11"/>
      <c r="Z1794" s="105"/>
      <c r="AA1794" s="11"/>
      <c r="AB1794" s="11"/>
      <c r="AC1794" s="105"/>
      <c r="AD1794" s="11" t="b">
        <v>0</v>
      </c>
      <c r="AE1794" s="105"/>
      <c r="AF1794" s="11"/>
      <c r="AG1794" s="11"/>
      <c r="AH1794" s="11"/>
      <c r="AI1794" s="11"/>
    </row>
    <row r="1795" ht="12.5" spans="3:35">
      <c r="C1795" s="19"/>
      <c r="D1795" s="19"/>
      <c r="H1795" s="105"/>
      <c r="I1795" s="126"/>
      <c r="J1795" s="11"/>
      <c r="K1795" s="108"/>
      <c r="L1795" s="11"/>
      <c r="M1795" s="105"/>
      <c r="N1795" s="105"/>
      <c r="O1795" s="11"/>
      <c r="P1795" s="11"/>
      <c r="Q1795" s="105"/>
      <c r="R1795" s="105"/>
      <c r="S1795" s="105"/>
      <c r="T1795" s="105"/>
      <c r="U1795" s="105"/>
      <c r="V1795" s="105"/>
      <c r="W1795" s="105"/>
      <c r="X1795" s="11"/>
      <c r="Y1795" s="11"/>
      <c r="Z1795" s="105"/>
      <c r="AA1795" s="11"/>
      <c r="AB1795" s="11"/>
      <c r="AC1795" s="105"/>
      <c r="AD1795" s="11" t="b">
        <v>0</v>
      </c>
      <c r="AE1795" s="105"/>
      <c r="AF1795" s="11"/>
      <c r="AG1795" s="11"/>
      <c r="AH1795" s="11"/>
      <c r="AI1795" s="11"/>
    </row>
    <row r="1796" ht="12.5" spans="3:35">
      <c r="C1796" s="19"/>
      <c r="D1796" s="19"/>
      <c r="H1796" s="105"/>
      <c r="I1796" s="126"/>
      <c r="J1796" s="11"/>
      <c r="K1796" s="108"/>
      <c r="L1796" s="11"/>
      <c r="M1796" s="105"/>
      <c r="N1796" s="105"/>
      <c r="O1796" s="11"/>
      <c r="P1796" s="11"/>
      <c r="Q1796" s="105"/>
      <c r="R1796" s="105"/>
      <c r="S1796" s="105"/>
      <c r="T1796" s="105"/>
      <c r="U1796" s="105"/>
      <c r="V1796" s="105"/>
      <c r="W1796" s="105"/>
      <c r="X1796" s="11"/>
      <c r="Y1796" s="11"/>
      <c r="Z1796" s="105"/>
      <c r="AA1796" s="11"/>
      <c r="AB1796" s="11"/>
      <c r="AC1796" s="105"/>
      <c r="AD1796" s="11" t="b">
        <v>0</v>
      </c>
      <c r="AE1796" s="105"/>
      <c r="AF1796" s="11"/>
      <c r="AG1796" s="11"/>
      <c r="AH1796" s="11"/>
      <c r="AI1796" s="11"/>
    </row>
    <row r="1797" ht="12.5" spans="3:35">
      <c r="C1797" s="19"/>
      <c r="D1797" s="19"/>
      <c r="H1797" s="105"/>
      <c r="I1797" s="126"/>
      <c r="J1797" s="11"/>
      <c r="K1797" s="108"/>
      <c r="L1797" s="11"/>
      <c r="M1797" s="105"/>
      <c r="N1797" s="105"/>
      <c r="O1797" s="11"/>
      <c r="P1797" s="11"/>
      <c r="Q1797" s="105"/>
      <c r="R1797" s="105"/>
      <c r="S1797" s="105"/>
      <c r="T1797" s="105"/>
      <c r="U1797" s="105"/>
      <c r="V1797" s="105"/>
      <c r="W1797" s="105"/>
      <c r="X1797" s="11"/>
      <c r="Y1797" s="11"/>
      <c r="Z1797" s="105"/>
      <c r="AA1797" s="11"/>
      <c r="AB1797" s="11"/>
      <c r="AC1797" s="105"/>
      <c r="AD1797" s="11" t="b">
        <v>0</v>
      </c>
      <c r="AE1797" s="105"/>
      <c r="AF1797" s="11"/>
      <c r="AG1797" s="11"/>
      <c r="AH1797" s="11"/>
      <c r="AI1797" s="11"/>
    </row>
    <row r="1798" ht="12.5" spans="3:35">
      <c r="C1798" s="19"/>
      <c r="D1798" s="19"/>
      <c r="H1798" s="105"/>
      <c r="I1798" s="126"/>
      <c r="J1798" s="11"/>
      <c r="K1798" s="108"/>
      <c r="L1798" s="11"/>
      <c r="M1798" s="105"/>
      <c r="N1798" s="105"/>
      <c r="O1798" s="11"/>
      <c r="P1798" s="11"/>
      <c r="Q1798" s="105"/>
      <c r="R1798" s="105"/>
      <c r="S1798" s="105"/>
      <c r="T1798" s="105"/>
      <c r="U1798" s="105"/>
      <c r="V1798" s="105"/>
      <c r="W1798" s="105"/>
      <c r="X1798" s="11"/>
      <c r="Y1798" s="11"/>
      <c r="Z1798" s="105"/>
      <c r="AA1798" s="11"/>
      <c r="AB1798" s="11"/>
      <c r="AC1798" s="105"/>
      <c r="AD1798" s="11" t="b">
        <v>0</v>
      </c>
      <c r="AE1798" s="105"/>
      <c r="AF1798" s="11"/>
      <c r="AG1798" s="11"/>
      <c r="AH1798" s="11"/>
      <c r="AI1798" s="11"/>
    </row>
    <row r="1799" ht="12.5" spans="3:35">
      <c r="C1799" s="19"/>
      <c r="D1799" s="19"/>
      <c r="H1799" s="105"/>
      <c r="I1799" s="126"/>
      <c r="J1799" s="11"/>
      <c r="K1799" s="108"/>
      <c r="L1799" s="11"/>
      <c r="M1799" s="105"/>
      <c r="N1799" s="105"/>
      <c r="O1799" s="11"/>
      <c r="P1799" s="11"/>
      <c r="Q1799" s="105"/>
      <c r="R1799" s="105"/>
      <c r="S1799" s="105"/>
      <c r="T1799" s="105"/>
      <c r="U1799" s="105"/>
      <c r="V1799" s="105"/>
      <c r="W1799" s="105"/>
      <c r="X1799" s="11"/>
      <c r="Y1799" s="11"/>
      <c r="Z1799" s="105"/>
      <c r="AA1799" s="11"/>
      <c r="AB1799" s="11"/>
      <c r="AC1799" s="105"/>
      <c r="AD1799" s="11" t="b">
        <v>0</v>
      </c>
      <c r="AE1799" s="105"/>
      <c r="AF1799" s="11"/>
      <c r="AG1799" s="11"/>
      <c r="AH1799" s="11"/>
      <c r="AI1799" s="11"/>
    </row>
    <row r="1800" ht="12.5" spans="3:35">
      <c r="C1800" s="19"/>
      <c r="D1800" s="19"/>
      <c r="H1800" s="105"/>
      <c r="I1800" s="126"/>
      <c r="J1800" s="11"/>
      <c r="K1800" s="108"/>
      <c r="L1800" s="11"/>
      <c r="M1800" s="105"/>
      <c r="N1800" s="105"/>
      <c r="O1800" s="11"/>
      <c r="P1800" s="11"/>
      <c r="Q1800" s="105"/>
      <c r="R1800" s="105"/>
      <c r="S1800" s="105"/>
      <c r="T1800" s="105"/>
      <c r="U1800" s="105"/>
      <c r="V1800" s="105"/>
      <c r="W1800" s="105"/>
      <c r="X1800" s="11"/>
      <c r="Y1800" s="11"/>
      <c r="Z1800" s="105"/>
      <c r="AA1800" s="11"/>
      <c r="AB1800" s="11"/>
      <c r="AC1800" s="105"/>
      <c r="AD1800" s="11" t="b">
        <v>0</v>
      </c>
      <c r="AE1800" s="105"/>
      <c r="AF1800" s="11"/>
      <c r="AG1800" s="11"/>
      <c r="AH1800" s="11"/>
      <c r="AI1800" s="11"/>
    </row>
    <row r="1801" ht="12.5" spans="3:35">
      <c r="C1801" s="19"/>
      <c r="D1801" s="19"/>
      <c r="H1801" s="105"/>
      <c r="I1801" s="126"/>
      <c r="J1801" s="11"/>
      <c r="K1801" s="108"/>
      <c r="L1801" s="11"/>
      <c r="M1801" s="105"/>
      <c r="N1801" s="105"/>
      <c r="O1801" s="11"/>
      <c r="P1801" s="11"/>
      <c r="Q1801" s="105"/>
      <c r="R1801" s="105"/>
      <c r="S1801" s="105"/>
      <c r="T1801" s="105"/>
      <c r="U1801" s="105"/>
      <c r="V1801" s="105"/>
      <c r="W1801" s="105"/>
      <c r="X1801" s="11"/>
      <c r="Y1801" s="11"/>
      <c r="Z1801" s="105"/>
      <c r="AA1801" s="11"/>
      <c r="AB1801" s="11"/>
      <c r="AC1801" s="105"/>
      <c r="AD1801" s="11" t="b">
        <v>0</v>
      </c>
      <c r="AE1801" s="105"/>
      <c r="AF1801" s="11"/>
      <c r="AG1801" s="11"/>
      <c r="AH1801" s="11"/>
      <c r="AI1801" s="11"/>
    </row>
    <row r="1802" ht="12.5" spans="3:35">
      <c r="C1802" s="19"/>
      <c r="D1802" s="19"/>
      <c r="H1802" s="105"/>
      <c r="I1802" s="126"/>
      <c r="J1802" s="11"/>
      <c r="K1802" s="108"/>
      <c r="L1802" s="11"/>
      <c r="M1802" s="105"/>
      <c r="N1802" s="105"/>
      <c r="O1802" s="11"/>
      <c r="P1802" s="11"/>
      <c r="Q1802" s="105"/>
      <c r="R1802" s="105"/>
      <c r="S1802" s="105"/>
      <c r="T1802" s="105"/>
      <c r="U1802" s="105"/>
      <c r="V1802" s="105"/>
      <c r="W1802" s="105"/>
      <c r="X1802" s="11"/>
      <c r="Y1802" s="11"/>
      <c r="Z1802" s="105"/>
      <c r="AA1802" s="11"/>
      <c r="AB1802" s="11"/>
      <c r="AC1802" s="105"/>
      <c r="AD1802" s="11" t="b">
        <v>0</v>
      </c>
      <c r="AE1802" s="105"/>
      <c r="AF1802" s="11"/>
      <c r="AG1802" s="11"/>
      <c r="AH1802" s="11"/>
      <c r="AI1802" s="11"/>
    </row>
    <row r="1803" ht="12.5" spans="3:35">
      <c r="C1803" s="19"/>
      <c r="D1803" s="19"/>
      <c r="H1803" s="105"/>
      <c r="I1803" s="126"/>
      <c r="J1803" s="11"/>
      <c r="K1803" s="108"/>
      <c r="L1803" s="11"/>
      <c r="M1803" s="105"/>
      <c r="N1803" s="105"/>
      <c r="O1803" s="11"/>
      <c r="P1803" s="11"/>
      <c r="Q1803" s="105"/>
      <c r="R1803" s="105"/>
      <c r="S1803" s="105"/>
      <c r="T1803" s="105"/>
      <c r="U1803" s="105"/>
      <c r="V1803" s="105"/>
      <c r="W1803" s="105"/>
      <c r="X1803" s="11"/>
      <c r="Y1803" s="11"/>
      <c r="Z1803" s="105"/>
      <c r="AA1803" s="11"/>
      <c r="AB1803" s="11"/>
      <c r="AC1803" s="105"/>
      <c r="AD1803" s="11" t="b">
        <v>0</v>
      </c>
      <c r="AE1803" s="105"/>
      <c r="AF1803" s="11"/>
      <c r="AG1803" s="11"/>
      <c r="AH1803" s="11"/>
      <c r="AI1803" s="11"/>
    </row>
    <row r="1804" ht="12.5" spans="3:35">
      <c r="C1804" s="19"/>
      <c r="D1804" s="19"/>
      <c r="H1804" s="105"/>
      <c r="I1804" s="126"/>
      <c r="J1804" s="11"/>
      <c r="K1804" s="108"/>
      <c r="L1804" s="11"/>
      <c r="M1804" s="105"/>
      <c r="N1804" s="105"/>
      <c r="O1804" s="11"/>
      <c r="P1804" s="11"/>
      <c r="Q1804" s="105"/>
      <c r="R1804" s="105"/>
      <c r="S1804" s="105"/>
      <c r="T1804" s="105"/>
      <c r="U1804" s="105"/>
      <c r="V1804" s="105"/>
      <c r="W1804" s="105"/>
      <c r="X1804" s="11"/>
      <c r="Y1804" s="11"/>
      <c r="Z1804" s="105"/>
      <c r="AA1804" s="11"/>
      <c r="AB1804" s="11"/>
      <c r="AC1804" s="105"/>
      <c r="AD1804" s="11" t="b">
        <v>0</v>
      </c>
      <c r="AE1804" s="105"/>
      <c r="AF1804" s="11"/>
      <c r="AG1804" s="11"/>
      <c r="AH1804" s="11"/>
      <c r="AI1804" s="11"/>
    </row>
    <row r="1805" ht="12.5" spans="3:35">
      <c r="C1805" s="19"/>
      <c r="D1805" s="19"/>
      <c r="H1805" s="105"/>
      <c r="I1805" s="126"/>
      <c r="J1805" s="11"/>
      <c r="K1805" s="108"/>
      <c r="L1805" s="11"/>
      <c r="M1805" s="105"/>
      <c r="N1805" s="105"/>
      <c r="O1805" s="11"/>
      <c r="P1805" s="11"/>
      <c r="Q1805" s="105"/>
      <c r="R1805" s="105"/>
      <c r="S1805" s="105"/>
      <c r="T1805" s="105"/>
      <c r="U1805" s="105"/>
      <c r="V1805" s="105"/>
      <c r="W1805" s="105"/>
      <c r="X1805" s="11"/>
      <c r="Y1805" s="11"/>
      <c r="Z1805" s="105"/>
      <c r="AA1805" s="11"/>
      <c r="AB1805" s="11"/>
      <c r="AC1805" s="105"/>
      <c r="AD1805" s="11" t="b">
        <v>0</v>
      </c>
      <c r="AE1805" s="105"/>
      <c r="AF1805" s="11"/>
      <c r="AG1805" s="11"/>
      <c r="AH1805" s="11"/>
      <c r="AI1805" s="11"/>
    </row>
    <row r="1806" ht="12.5" spans="3:35">
      <c r="C1806" s="19"/>
      <c r="D1806" s="19"/>
      <c r="H1806" s="105"/>
      <c r="I1806" s="126"/>
      <c r="J1806" s="11"/>
      <c r="K1806" s="108"/>
      <c r="L1806" s="11"/>
      <c r="M1806" s="105"/>
      <c r="N1806" s="105"/>
      <c r="O1806" s="11"/>
      <c r="P1806" s="11"/>
      <c r="Q1806" s="105"/>
      <c r="R1806" s="105"/>
      <c r="S1806" s="105"/>
      <c r="T1806" s="105"/>
      <c r="U1806" s="105"/>
      <c r="V1806" s="105"/>
      <c r="W1806" s="105"/>
      <c r="X1806" s="11"/>
      <c r="Y1806" s="11"/>
      <c r="Z1806" s="105"/>
      <c r="AA1806" s="11"/>
      <c r="AB1806" s="11"/>
      <c r="AC1806" s="105"/>
      <c r="AD1806" s="11" t="b">
        <v>0</v>
      </c>
      <c r="AE1806" s="105"/>
      <c r="AF1806" s="11"/>
      <c r="AG1806" s="11"/>
      <c r="AH1806" s="11"/>
      <c r="AI1806" s="11"/>
    </row>
    <row r="1807" ht="12.5" spans="3:35">
      <c r="C1807" s="19"/>
      <c r="D1807" s="19"/>
      <c r="H1807" s="105"/>
      <c r="I1807" s="126"/>
      <c r="J1807" s="11"/>
      <c r="K1807" s="108"/>
      <c r="L1807" s="11"/>
      <c r="M1807" s="105"/>
      <c r="N1807" s="105"/>
      <c r="O1807" s="11"/>
      <c r="P1807" s="11"/>
      <c r="Q1807" s="105"/>
      <c r="R1807" s="105"/>
      <c r="S1807" s="105"/>
      <c r="T1807" s="105"/>
      <c r="U1807" s="105"/>
      <c r="V1807" s="105"/>
      <c r="W1807" s="105"/>
      <c r="X1807" s="11"/>
      <c r="Y1807" s="11"/>
      <c r="Z1807" s="105"/>
      <c r="AA1807" s="11"/>
      <c r="AB1807" s="11"/>
      <c r="AC1807" s="105"/>
      <c r="AD1807" s="11" t="b">
        <v>0</v>
      </c>
      <c r="AE1807" s="105"/>
      <c r="AF1807" s="11"/>
      <c r="AG1807" s="11"/>
      <c r="AH1807" s="11"/>
      <c r="AI1807" s="11"/>
    </row>
    <row r="1808" ht="12.5" spans="3:35">
      <c r="C1808" s="19"/>
      <c r="D1808" s="19"/>
      <c r="H1808" s="105"/>
      <c r="I1808" s="126"/>
      <c r="J1808" s="11"/>
      <c r="K1808" s="108"/>
      <c r="L1808" s="11"/>
      <c r="M1808" s="105"/>
      <c r="N1808" s="105"/>
      <c r="O1808" s="11"/>
      <c r="P1808" s="11"/>
      <c r="Q1808" s="105"/>
      <c r="R1808" s="105"/>
      <c r="S1808" s="105"/>
      <c r="T1808" s="105"/>
      <c r="U1808" s="105"/>
      <c r="V1808" s="105"/>
      <c r="W1808" s="105"/>
      <c r="X1808" s="11"/>
      <c r="Y1808" s="11"/>
      <c r="Z1808" s="105"/>
      <c r="AA1808" s="11"/>
      <c r="AB1808" s="11"/>
      <c r="AC1808" s="105"/>
      <c r="AD1808" s="11" t="b">
        <v>0</v>
      </c>
      <c r="AE1808" s="105"/>
      <c r="AF1808" s="11"/>
      <c r="AG1808" s="11"/>
      <c r="AH1808" s="11"/>
      <c r="AI1808" s="11"/>
    </row>
    <row r="1809" ht="12.5" spans="3:35">
      <c r="C1809" s="19"/>
      <c r="D1809" s="19"/>
      <c r="H1809" s="105"/>
      <c r="I1809" s="126"/>
      <c r="J1809" s="11"/>
      <c r="K1809" s="108"/>
      <c r="L1809" s="11"/>
      <c r="M1809" s="105"/>
      <c r="N1809" s="105"/>
      <c r="O1809" s="11"/>
      <c r="P1809" s="11"/>
      <c r="Q1809" s="105"/>
      <c r="R1809" s="105"/>
      <c r="S1809" s="105"/>
      <c r="T1809" s="105"/>
      <c r="U1809" s="105"/>
      <c r="V1809" s="105"/>
      <c r="W1809" s="105"/>
      <c r="X1809" s="11"/>
      <c r="Y1809" s="11"/>
      <c r="Z1809" s="105"/>
      <c r="AA1809" s="11"/>
      <c r="AB1809" s="11"/>
      <c r="AC1809" s="105"/>
      <c r="AD1809" s="11" t="b">
        <v>0</v>
      </c>
      <c r="AE1809" s="105"/>
      <c r="AF1809" s="11"/>
      <c r="AG1809" s="11"/>
      <c r="AH1809" s="11"/>
      <c r="AI1809" s="11"/>
    </row>
    <row r="1810" ht="12.5" spans="3:35">
      <c r="C1810" s="19"/>
      <c r="D1810" s="19"/>
      <c r="H1810" s="105"/>
      <c r="I1810" s="126"/>
      <c r="J1810" s="11"/>
      <c r="K1810" s="108"/>
      <c r="L1810" s="11"/>
      <c r="M1810" s="105"/>
      <c r="N1810" s="105"/>
      <c r="O1810" s="11"/>
      <c r="P1810" s="11"/>
      <c r="Q1810" s="105"/>
      <c r="R1810" s="105"/>
      <c r="S1810" s="105"/>
      <c r="T1810" s="105"/>
      <c r="U1810" s="105"/>
      <c r="V1810" s="105"/>
      <c r="W1810" s="105"/>
      <c r="X1810" s="11"/>
      <c r="Y1810" s="11"/>
      <c r="Z1810" s="105"/>
      <c r="AA1810" s="11"/>
      <c r="AB1810" s="11"/>
      <c r="AC1810" s="105"/>
      <c r="AD1810" s="11" t="b">
        <v>0</v>
      </c>
      <c r="AE1810" s="105"/>
      <c r="AF1810" s="11"/>
      <c r="AG1810" s="11"/>
      <c r="AH1810" s="11"/>
      <c r="AI1810" s="11"/>
    </row>
    <row r="1811" ht="12.5" spans="3:35">
      <c r="C1811" s="19"/>
      <c r="D1811" s="19"/>
      <c r="H1811" s="105"/>
      <c r="I1811" s="126"/>
      <c r="J1811" s="11"/>
      <c r="K1811" s="108"/>
      <c r="L1811" s="11"/>
      <c r="M1811" s="105"/>
      <c r="N1811" s="105"/>
      <c r="O1811" s="11"/>
      <c r="P1811" s="11"/>
      <c r="Q1811" s="105"/>
      <c r="R1811" s="105"/>
      <c r="S1811" s="105"/>
      <c r="T1811" s="105"/>
      <c r="U1811" s="105"/>
      <c r="V1811" s="105"/>
      <c r="W1811" s="105"/>
      <c r="X1811" s="11"/>
      <c r="Y1811" s="11"/>
      <c r="Z1811" s="105"/>
      <c r="AA1811" s="11"/>
      <c r="AB1811" s="11"/>
      <c r="AC1811" s="105"/>
      <c r="AD1811" s="11" t="b">
        <v>0</v>
      </c>
      <c r="AE1811" s="105"/>
      <c r="AF1811" s="11"/>
      <c r="AG1811" s="11"/>
      <c r="AH1811" s="11"/>
      <c r="AI1811" s="11"/>
    </row>
    <row r="1812" ht="12.5" spans="3:35">
      <c r="C1812" s="19"/>
      <c r="D1812" s="19"/>
      <c r="H1812" s="105"/>
      <c r="I1812" s="126"/>
      <c r="J1812" s="11"/>
      <c r="K1812" s="108"/>
      <c r="L1812" s="11"/>
      <c r="M1812" s="105"/>
      <c r="N1812" s="105"/>
      <c r="O1812" s="11"/>
      <c r="P1812" s="11"/>
      <c r="Q1812" s="105"/>
      <c r="R1812" s="105"/>
      <c r="S1812" s="105"/>
      <c r="T1812" s="105"/>
      <c r="U1812" s="105"/>
      <c r="V1812" s="105"/>
      <c r="W1812" s="105"/>
      <c r="X1812" s="11"/>
      <c r="Y1812" s="11"/>
      <c r="Z1812" s="105"/>
      <c r="AA1812" s="11"/>
      <c r="AB1812" s="11"/>
      <c r="AC1812" s="105"/>
      <c r="AD1812" s="11" t="b">
        <v>0</v>
      </c>
      <c r="AE1812" s="105"/>
      <c r="AF1812" s="11"/>
      <c r="AG1812" s="11"/>
      <c r="AH1812" s="11"/>
      <c r="AI1812" s="11"/>
    </row>
    <row r="1813" ht="12.5" spans="3:35">
      <c r="C1813" s="19"/>
      <c r="D1813" s="19"/>
      <c r="H1813" s="105"/>
      <c r="I1813" s="126"/>
      <c r="J1813" s="11"/>
      <c r="K1813" s="108"/>
      <c r="L1813" s="11"/>
      <c r="M1813" s="105"/>
      <c r="N1813" s="105"/>
      <c r="O1813" s="11"/>
      <c r="P1813" s="11"/>
      <c r="Q1813" s="105"/>
      <c r="R1813" s="105"/>
      <c r="S1813" s="105"/>
      <c r="T1813" s="105"/>
      <c r="U1813" s="105"/>
      <c r="V1813" s="105"/>
      <c r="W1813" s="105"/>
      <c r="X1813" s="11"/>
      <c r="Y1813" s="11"/>
      <c r="Z1813" s="105"/>
      <c r="AA1813" s="11"/>
      <c r="AB1813" s="11"/>
      <c r="AC1813" s="105"/>
      <c r="AD1813" s="11" t="b">
        <v>0</v>
      </c>
      <c r="AE1813" s="105"/>
      <c r="AF1813" s="11"/>
      <c r="AG1813" s="11"/>
      <c r="AH1813" s="11"/>
      <c r="AI1813" s="11"/>
    </row>
    <row r="1814" ht="12.5" spans="3:35">
      <c r="C1814" s="19"/>
      <c r="D1814" s="19"/>
      <c r="H1814" s="105"/>
      <c r="I1814" s="126"/>
      <c r="J1814" s="11"/>
      <c r="K1814" s="108"/>
      <c r="L1814" s="11"/>
      <c r="M1814" s="105"/>
      <c r="N1814" s="105"/>
      <c r="O1814" s="11"/>
      <c r="P1814" s="11"/>
      <c r="Q1814" s="105"/>
      <c r="R1814" s="105"/>
      <c r="S1814" s="105"/>
      <c r="T1814" s="105"/>
      <c r="U1814" s="105"/>
      <c r="V1814" s="105"/>
      <c r="W1814" s="105"/>
      <c r="X1814" s="11"/>
      <c r="Y1814" s="11"/>
      <c r="Z1814" s="105"/>
      <c r="AA1814" s="11"/>
      <c r="AB1814" s="11"/>
      <c r="AC1814" s="105"/>
      <c r="AD1814" s="11" t="b">
        <v>0</v>
      </c>
      <c r="AE1814" s="105"/>
      <c r="AF1814" s="11"/>
      <c r="AG1814" s="11"/>
      <c r="AH1814" s="11"/>
      <c r="AI1814" s="11"/>
    </row>
    <row r="1815" ht="12.5" spans="3:35">
      <c r="C1815" s="19"/>
      <c r="D1815" s="19"/>
      <c r="H1815" s="105"/>
      <c r="I1815" s="126"/>
      <c r="J1815" s="11"/>
      <c r="K1815" s="108"/>
      <c r="L1815" s="11"/>
      <c r="M1815" s="105"/>
      <c r="N1815" s="105"/>
      <c r="O1815" s="11"/>
      <c r="P1815" s="11"/>
      <c r="Q1815" s="105"/>
      <c r="R1815" s="105"/>
      <c r="S1815" s="105"/>
      <c r="T1815" s="105"/>
      <c r="U1815" s="105"/>
      <c r="V1815" s="105"/>
      <c r="W1815" s="105"/>
      <c r="X1815" s="11"/>
      <c r="Y1815" s="11"/>
      <c r="Z1815" s="105"/>
      <c r="AA1815" s="11"/>
      <c r="AB1815" s="11"/>
      <c r="AC1815" s="105"/>
      <c r="AD1815" s="11" t="b">
        <v>0</v>
      </c>
      <c r="AE1815" s="105"/>
      <c r="AF1815" s="11"/>
      <c r="AG1815" s="11"/>
      <c r="AH1815" s="11"/>
      <c r="AI1815" s="11"/>
    </row>
    <row r="1816" ht="12.5" spans="3:35">
      <c r="C1816" s="19"/>
      <c r="D1816" s="19"/>
      <c r="H1816" s="105"/>
      <c r="I1816" s="126"/>
      <c r="J1816" s="11"/>
      <c r="K1816" s="108"/>
      <c r="L1816" s="11"/>
      <c r="M1816" s="105"/>
      <c r="N1816" s="105"/>
      <c r="O1816" s="11"/>
      <c r="P1816" s="11"/>
      <c r="Q1816" s="105"/>
      <c r="R1816" s="105"/>
      <c r="S1816" s="105"/>
      <c r="T1816" s="105"/>
      <c r="U1816" s="105"/>
      <c r="V1816" s="105"/>
      <c r="W1816" s="105"/>
      <c r="X1816" s="11"/>
      <c r="Y1816" s="11"/>
      <c r="Z1816" s="105"/>
      <c r="AA1816" s="11"/>
      <c r="AB1816" s="11"/>
      <c r="AC1816" s="105"/>
      <c r="AD1816" s="11" t="b">
        <v>0</v>
      </c>
      <c r="AE1816" s="105"/>
      <c r="AF1816" s="11"/>
      <c r="AG1816" s="11"/>
      <c r="AH1816" s="11"/>
      <c r="AI1816" s="11"/>
    </row>
    <row r="1817" ht="12.5" spans="3:35">
      <c r="C1817" s="19"/>
      <c r="D1817" s="19"/>
      <c r="H1817" s="105"/>
      <c r="I1817" s="126"/>
      <c r="J1817" s="11"/>
      <c r="K1817" s="108"/>
      <c r="L1817" s="11"/>
      <c r="M1817" s="105"/>
      <c r="N1817" s="105"/>
      <c r="O1817" s="11"/>
      <c r="P1817" s="11"/>
      <c r="Q1817" s="105"/>
      <c r="R1817" s="105"/>
      <c r="S1817" s="105"/>
      <c r="T1817" s="105"/>
      <c r="U1817" s="105"/>
      <c r="V1817" s="105"/>
      <c r="W1817" s="105"/>
      <c r="X1817" s="11"/>
      <c r="Y1817" s="11"/>
      <c r="Z1817" s="105"/>
      <c r="AA1817" s="11"/>
      <c r="AB1817" s="11"/>
      <c r="AC1817" s="105"/>
      <c r="AD1817" s="11" t="b">
        <v>0</v>
      </c>
      <c r="AE1817" s="105"/>
      <c r="AF1817" s="11"/>
      <c r="AG1817" s="11"/>
      <c r="AH1817" s="11"/>
      <c r="AI1817" s="11"/>
    </row>
    <row r="1818" ht="12.5" spans="3:35">
      <c r="C1818" s="19"/>
      <c r="D1818" s="19"/>
      <c r="H1818" s="105"/>
      <c r="I1818" s="126"/>
      <c r="J1818" s="11"/>
      <c r="K1818" s="108"/>
      <c r="L1818" s="11"/>
      <c r="M1818" s="105"/>
      <c r="N1818" s="105"/>
      <c r="O1818" s="11"/>
      <c r="P1818" s="11"/>
      <c r="Q1818" s="105"/>
      <c r="R1818" s="105"/>
      <c r="S1818" s="105"/>
      <c r="T1818" s="105"/>
      <c r="U1818" s="105"/>
      <c r="V1818" s="105"/>
      <c r="W1818" s="105"/>
      <c r="X1818" s="11"/>
      <c r="Y1818" s="11"/>
      <c r="Z1818" s="105"/>
      <c r="AA1818" s="11"/>
      <c r="AB1818" s="11"/>
      <c r="AC1818" s="105"/>
      <c r="AD1818" s="11" t="b">
        <v>0</v>
      </c>
      <c r="AE1818" s="105"/>
      <c r="AF1818" s="11"/>
      <c r="AG1818" s="11"/>
      <c r="AH1818" s="11"/>
      <c r="AI1818" s="11"/>
    </row>
    <row r="1819" ht="12.5" spans="3:35">
      <c r="C1819" s="19"/>
      <c r="D1819" s="19"/>
      <c r="H1819" s="105"/>
      <c r="I1819" s="126"/>
      <c r="J1819" s="11"/>
      <c r="K1819" s="108"/>
      <c r="L1819" s="11"/>
      <c r="M1819" s="105"/>
      <c r="N1819" s="105"/>
      <c r="O1819" s="11"/>
      <c r="P1819" s="11"/>
      <c r="Q1819" s="105"/>
      <c r="R1819" s="105"/>
      <c r="S1819" s="105"/>
      <c r="T1819" s="105"/>
      <c r="U1819" s="105"/>
      <c r="V1819" s="105"/>
      <c r="W1819" s="105"/>
      <c r="X1819" s="11"/>
      <c r="Y1819" s="11"/>
      <c r="Z1819" s="105"/>
      <c r="AA1819" s="11"/>
      <c r="AB1819" s="11"/>
      <c r="AC1819" s="105"/>
      <c r="AD1819" s="11" t="b">
        <v>0</v>
      </c>
      <c r="AE1819" s="105"/>
      <c r="AF1819" s="11"/>
      <c r="AG1819" s="11"/>
      <c r="AH1819" s="11"/>
      <c r="AI1819" s="11"/>
    </row>
    <row r="1820" ht="12.5" spans="3:35">
      <c r="C1820" s="19"/>
      <c r="D1820" s="19"/>
      <c r="H1820" s="105"/>
      <c r="I1820" s="126"/>
      <c r="J1820" s="11"/>
      <c r="K1820" s="108"/>
      <c r="L1820" s="11"/>
      <c r="M1820" s="105"/>
      <c r="N1820" s="105"/>
      <c r="O1820" s="11"/>
      <c r="P1820" s="11"/>
      <c r="Q1820" s="105"/>
      <c r="R1820" s="105"/>
      <c r="S1820" s="105"/>
      <c r="T1820" s="105"/>
      <c r="U1820" s="105"/>
      <c r="V1820" s="105"/>
      <c r="W1820" s="105"/>
      <c r="X1820" s="11"/>
      <c r="Y1820" s="11"/>
      <c r="Z1820" s="105"/>
      <c r="AA1820" s="11"/>
      <c r="AB1820" s="11"/>
      <c r="AC1820" s="105"/>
      <c r="AD1820" s="11" t="b">
        <v>0</v>
      </c>
      <c r="AE1820" s="105"/>
      <c r="AF1820" s="11"/>
      <c r="AG1820" s="11"/>
      <c r="AH1820" s="11"/>
      <c r="AI1820" s="11"/>
    </row>
    <row r="1821" ht="12.5" spans="3:35">
      <c r="C1821" s="19"/>
      <c r="D1821" s="19"/>
      <c r="H1821" s="105"/>
      <c r="I1821" s="126"/>
      <c r="J1821" s="11"/>
      <c r="K1821" s="108"/>
      <c r="L1821" s="11"/>
      <c r="M1821" s="105"/>
      <c r="N1821" s="105"/>
      <c r="O1821" s="11"/>
      <c r="P1821" s="11"/>
      <c r="Q1821" s="105"/>
      <c r="R1821" s="105"/>
      <c r="S1821" s="105"/>
      <c r="T1821" s="105"/>
      <c r="U1821" s="105"/>
      <c r="V1821" s="105"/>
      <c r="W1821" s="105"/>
      <c r="X1821" s="11"/>
      <c r="Y1821" s="11"/>
      <c r="Z1821" s="105"/>
      <c r="AA1821" s="11"/>
      <c r="AB1821" s="11"/>
      <c r="AC1821" s="105"/>
      <c r="AD1821" s="11" t="b">
        <v>0</v>
      </c>
      <c r="AE1821" s="105"/>
      <c r="AF1821" s="11"/>
      <c r="AG1821" s="11"/>
      <c r="AH1821" s="11"/>
      <c r="AI1821" s="11"/>
    </row>
    <row r="1822" ht="12.5" spans="3:35">
      <c r="C1822" s="19"/>
      <c r="D1822" s="19"/>
      <c r="H1822" s="105"/>
      <c r="I1822" s="126"/>
      <c r="J1822" s="11"/>
      <c r="K1822" s="108"/>
      <c r="L1822" s="11"/>
      <c r="M1822" s="105"/>
      <c r="N1822" s="105"/>
      <c r="O1822" s="11"/>
      <c r="P1822" s="11"/>
      <c r="Q1822" s="105"/>
      <c r="R1822" s="105"/>
      <c r="S1822" s="105"/>
      <c r="T1822" s="105"/>
      <c r="U1822" s="105"/>
      <c r="V1822" s="105"/>
      <c r="W1822" s="105"/>
      <c r="X1822" s="11"/>
      <c r="Y1822" s="11"/>
      <c r="Z1822" s="105"/>
      <c r="AA1822" s="11"/>
      <c r="AB1822" s="11"/>
      <c r="AC1822" s="105"/>
      <c r="AD1822" s="11" t="b">
        <v>0</v>
      </c>
      <c r="AE1822" s="105"/>
      <c r="AF1822" s="11"/>
      <c r="AG1822" s="11"/>
      <c r="AH1822" s="11"/>
      <c r="AI1822" s="11"/>
    </row>
    <row r="1823" ht="12.5" spans="3:35">
      <c r="C1823" s="19"/>
      <c r="D1823" s="19"/>
      <c r="H1823" s="105"/>
      <c r="I1823" s="126"/>
      <c r="J1823" s="11"/>
      <c r="K1823" s="108"/>
      <c r="L1823" s="11"/>
      <c r="M1823" s="105"/>
      <c r="N1823" s="105"/>
      <c r="O1823" s="11"/>
      <c r="P1823" s="11"/>
      <c r="Q1823" s="105"/>
      <c r="R1823" s="105"/>
      <c r="S1823" s="105"/>
      <c r="T1823" s="105"/>
      <c r="U1823" s="105"/>
      <c r="V1823" s="105"/>
      <c r="W1823" s="105"/>
      <c r="X1823" s="11"/>
      <c r="Y1823" s="11"/>
      <c r="Z1823" s="105"/>
      <c r="AA1823" s="11"/>
      <c r="AB1823" s="11"/>
      <c r="AC1823" s="105"/>
      <c r="AD1823" s="11" t="b">
        <v>0</v>
      </c>
      <c r="AE1823" s="105"/>
      <c r="AF1823" s="11"/>
      <c r="AG1823" s="11"/>
      <c r="AH1823" s="11"/>
      <c r="AI1823" s="11"/>
    </row>
    <row r="1824" ht="12.5" spans="3:35">
      <c r="C1824" s="19"/>
      <c r="D1824" s="19"/>
      <c r="H1824" s="105"/>
      <c r="I1824" s="126"/>
      <c r="J1824" s="11"/>
      <c r="K1824" s="108"/>
      <c r="L1824" s="11"/>
      <c r="M1824" s="105"/>
      <c r="N1824" s="105"/>
      <c r="O1824" s="11"/>
      <c r="P1824" s="11"/>
      <c r="Q1824" s="105"/>
      <c r="R1824" s="105"/>
      <c r="S1824" s="105"/>
      <c r="T1824" s="105"/>
      <c r="U1824" s="105"/>
      <c r="V1824" s="105"/>
      <c r="W1824" s="105"/>
      <c r="X1824" s="11"/>
      <c r="Y1824" s="11"/>
      <c r="Z1824" s="105"/>
      <c r="AA1824" s="11"/>
      <c r="AB1824" s="11"/>
      <c r="AC1824" s="105"/>
      <c r="AD1824" s="11" t="b">
        <v>0</v>
      </c>
      <c r="AE1824" s="105"/>
      <c r="AF1824" s="11"/>
      <c r="AG1824" s="11"/>
      <c r="AH1824" s="11"/>
      <c r="AI1824" s="11"/>
    </row>
    <row r="1825" ht="12.5" spans="3:35">
      <c r="C1825" s="19"/>
      <c r="D1825" s="19"/>
      <c r="H1825" s="105"/>
      <c r="I1825" s="126"/>
      <c r="J1825" s="11"/>
      <c r="K1825" s="108"/>
      <c r="L1825" s="11"/>
      <c r="M1825" s="105"/>
      <c r="N1825" s="105"/>
      <c r="O1825" s="11"/>
      <c r="P1825" s="11"/>
      <c r="Q1825" s="105"/>
      <c r="R1825" s="105"/>
      <c r="S1825" s="105"/>
      <c r="T1825" s="105"/>
      <c r="U1825" s="105"/>
      <c r="V1825" s="105"/>
      <c r="W1825" s="105"/>
      <c r="X1825" s="11"/>
      <c r="Y1825" s="11"/>
      <c r="Z1825" s="105"/>
      <c r="AA1825" s="11"/>
      <c r="AB1825" s="11"/>
      <c r="AC1825" s="105"/>
      <c r="AD1825" s="11" t="b">
        <v>0</v>
      </c>
      <c r="AE1825" s="105"/>
      <c r="AF1825" s="11"/>
      <c r="AG1825" s="11"/>
      <c r="AH1825" s="11"/>
      <c r="AI1825" s="11"/>
    </row>
    <row r="1826" ht="12.5" spans="3:35">
      <c r="C1826" s="19"/>
      <c r="D1826" s="19"/>
      <c r="H1826" s="105"/>
      <c r="I1826" s="126"/>
      <c r="J1826" s="11"/>
      <c r="K1826" s="108"/>
      <c r="L1826" s="11"/>
      <c r="M1826" s="105"/>
      <c r="N1826" s="105"/>
      <c r="O1826" s="11"/>
      <c r="P1826" s="11"/>
      <c r="Q1826" s="105"/>
      <c r="R1826" s="105"/>
      <c r="S1826" s="105"/>
      <c r="T1826" s="105"/>
      <c r="U1826" s="105"/>
      <c r="V1826" s="105"/>
      <c r="W1826" s="105"/>
      <c r="X1826" s="11"/>
      <c r="Y1826" s="11"/>
      <c r="Z1826" s="105"/>
      <c r="AA1826" s="11"/>
      <c r="AB1826" s="11"/>
      <c r="AC1826" s="105"/>
      <c r="AD1826" s="11" t="b">
        <v>0</v>
      </c>
      <c r="AE1826" s="105"/>
      <c r="AF1826" s="11"/>
      <c r="AG1826" s="11"/>
      <c r="AH1826" s="11"/>
      <c r="AI1826" s="11"/>
    </row>
    <row r="1827" ht="12.5" spans="3:35">
      <c r="C1827" s="19"/>
      <c r="D1827" s="19"/>
      <c r="H1827" s="105"/>
      <c r="I1827" s="126"/>
      <c r="J1827" s="11"/>
      <c r="K1827" s="108"/>
      <c r="L1827" s="11"/>
      <c r="M1827" s="105"/>
      <c r="N1827" s="105"/>
      <c r="O1827" s="11"/>
      <c r="P1827" s="11"/>
      <c r="Q1827" s="105"/>
      <c r="R1827" s="105"/>
      <c r="S1827" s="105"/>
      <c r="T1827" s="105"/>
      <c r="U1827" s="105"/>
      <c r="V1827" s="105"/>
      <c r="W1827" s="105"/>
      <c r="X1827" s="11"/>
      <c r="Y1827" s="11"/>
      <c r="Z1827" s="105"/>
      <c r="AA1827" s="11"/>
      <c r="AB1827" s="11"/>
      <c r="AC1827" s="105"/>
      <c r="AD1827" s="11" t="b">
        <v>0</v>
      </c>
      <c r="AE1827" s="105"/>
      <c r="AF1827" s="11"/>
      <c r="AG1827" s="11"/>
      <c r="AH1827" s="11"/>
      <c r="AI1827" s="11"/>
    </row>
    <row r="1828" ht="12.5" spans="3:35">
      <c r="C1828" s="19"/>
      <c r="D1828" s="19"/>
      <c r="H1828" s="105"/>
      <c r="I1828" s="126"/>
      <c r="J1828" s="11"/>
      <c r="K1828" s="108"/>
      <c r="L1828" s="11"/>
      <c r="M1828" s="105"/>
      <c r="N1828" s="105"/>
      <c r="O1828" s="11"/>
      <c r="P1828" s="11"/>
      <c r="Q1828" s="105"/>
      <c r="R1828" s="105"/>
      <c r="S1828" s="105"/>
      <c r="T1828" s="105"/>
      <c r="U1828" s="105"/>
      <c r="V1828" s="105"/>
      <c r="W1828" s="105"/>
      <c r="X1828" s="11"/>
      <c r="Y1828" s="11"/>
      <c r="Z1828" s="105"/>
      <c r="AA1828" s="11"/>
      <c r="AB1828" s="11"/>
      <c r="AC1828" s="105"/>
      <c r="AD1828" s="11" t="b">
        <v>0</v>
      </c>
      <c r="AE1828" s="105"/>
      <c r="AF1828" s="11"/>
      <c r="AG1828" s="11"/>
      <c r="AH1828" s="11"/>
      <c r="AI1828" s="11"/>
    </row>
    <row r="1829" ht="12.5" spans="3:35">
      <c r="C1829" s="19"/>
      <c r="D1829" s="19"/>
      <c r="H1829" s="105"/>
      <c r="I1829" s="126"/>
      <c r="J1829" s="11"/>
      <c r="K1829" s="108"/>
      <c r="L1829" s="11"/>
      <c r="M1829" s="105"/>
      <c r="N1829" s="105"/>
      <c r="O1829" s="11"/>
      <c r="P1829" s="11"/>
      <c r="Q1829" s="105"/>
      <c r="R1829" s="105"/>
      <c r="S1829" s="105"/>
      <c r="T1829" s="105"/>
      <c r="U1829" s="105"/>
      <c r="V1829" s="105"/>
      <c r="W1829" s="105"/>
      <c r="X1829" s="11"/>
      <c r="Y1829" s="11"/>
      <c r="Z1829" s="105"/>
      <c r="AA1829" s="11"/>
      <c r="AB1829" s="11"/>
      <c r="AC1829" s="105"/>
      <c r="AD1829" s="11" t="b">
        <v>0</v>
      </c>
      <c r="AE1829" s="105"/>
      <c r="AF1829" s="11"/>
      <c r="AG1829" s="11"/>
      <c r="AH1829" s="11"/>
      <c r="AI1829" s="11"/>
    </row>
    <row r="1830" ht="12.5" spans="3:35">
      <c r="C1830" s="19"/>
      <c r="D1830" s="19"/>
      <c r="H1830" s="105"/>
      <c r="I1830" s="126"/>
      <c r="J1830" s="11"/>
      <c r="K1830" s="108"/>
      <c r="L1830" s="11"/>
      <c r="M1830" s="105"/>
      <c r="N1830" s="105"/>
      <c r="O1830" s="11"/>
      <c r="P1830" s="11"/>
      <c r="Q1830" s="105"/>
      <c r="R1830" s="105"/>
      <c r="S1830" s="105"/>
      <c r="T1830" s="105"/>
      <c r="U1830" s="105"/>
      <c r="V1830" s="105"/>
      <c r="W1830" s="105"/>
      <c r="X1830" s="11"/>
      <c r="Y1830" s="11"/>
      <c r="Z1830" s="105"/>
      <c r="AA1830" s="11"/>
      <c r="AB1830" s="11"/>
      <c r="AC1830" s="105"/>
      <c r="AD1830" s="11" t="b">
        <v>0</v>
      </c>
      <c r="AE1830" s="105"/>
      <c r="AF1830" s="11"/>
      <c r="AG1830" s="11"/>
      <c r="AH1830" s="11"/>
      <c r="AI1830" s="11"/>
    </row>
    <row r="1831" ht="12.5" spans="3:35">
      <c r="C1831" s="19"/>
      <c r="D1831" s="19"/>
      <c r="H1831" s="105"/>
      <c r="I1831" s="126"/>
      <c r="J1831" s="11"/>
      <c r="K1831" s="108"/>
      <c r="L1831" s="11"/>
      <c r="M1831" s="105"/>
      <c r="N1831" s="105"/>
      <c r="O1831" s="11"/>
      <c r="P1831" s="11"/>
      <c r="Q1831" s="105"/>
      <c r="R1831" s="105"/>
      <c r="S1831" s="105"/>
      <c r="T1831" s="105"/>
      <c r="U1831" s="105"/>
      <c r="V1831" s="105"/>
      <c r="W1831" s="105"/>
      <c r="X1831" s="11"/>
      <c r="Y1831" s="11"/>
      <c r="Z1831" s="105"/>
      <c r="AA1831" s="11"/>
      <c r="AB1831" s="11"/>
      <c r="AC1831" s="105"/>
      <c r="AD1831" s="11" t="b">
        <v>0</v>
      </c>
      <c r="AE1831" s="105"/>
      <c r="AF1831" s="11"/>
      <c r="AG1831" s="11"/>
      <c r="AH1831" s="11"/>
      <c r="AI1831" s="11"/>
    </row>
    <row r="1832" ht="12.5" spans="3:35">
      <c r="C1832" s="19"/>
      <c r="D1832" s="19"/>
      <c r="H1832" s="105"/>
      <c r="I1832" s="126"/>
      <c r="J1832" s="11"/>
      <c r="K1832" s="108"/>
      <c r="L1832" s="11"/>
      <c r="M1832" s="105"/>
      <c r="N1832" s="105"/>
      <c r="O1832" s="11"/>
      <c r="P1832" s="11"/>
      <c r="Q1832" s="105"/>
      <c r="R1832" s="105"/>
      <c r="S1832" s="105"/>
      <c r="T1832" s="105"/>
      <c r="U1832" s="105"/>
      <c r="V1832" s="105"/>
      <c r="W1832" s="105"/>
      <c r="X1832" s="11"/>
      <c r="Y1832" s="11"/>
      <c r="Z1832" s="105"/>
      <c r="AA1832" s="11"/>
      <c r="AB1832" s="11"/>
      <c r="AC1832" s="105"/>
      <c r="AD1832" s="11" t="b">
        <v>0</v>
      </c>
      <c r="AE1832" s="105"/>
      <c r="AF1832" s="11"/>
      <c r="AG1832" s="11"/>
      <c r="AH1832" s="11"/>
      <c r="AI1832" s="11"/>
    </row>
    <row r="1833" ht="12.5" spans="3:35">
      <c r="C1833" s="19"/>
      <c r="D1833" s="19"/>
      <c r="H1833" s="105"/>
      <c r="I1833" s="126"/>
      <c r="J1833" s="11"/>
      <c r="K1833" s="108"/>
      <c r="L1833" s="11"/>
      <c r="M1833" s="105"/>
      <c r="N1833" s="105"/>
      <c r="O1833" s="11"/>
      <c r="P1833" s="11"/>
      <c r="Q1833" s="105"/>
      <c r="R1833" s="105"/>
      <c r="S1833" s="105"/>
      <c r="T1833" s="105"/>
      <c r="U1833" s="105"/>
      <c r="V1833" s="105"/>
      <c r="W1833" s="105"/>
      <c r="X1833" s="11"/>
      <c r="Y1833" s="11"/>
      <c r="Z1833" s="105"/>
      <c r="AA1833" s="11"/>
      <c r="AB1833" s="11"/>
      <c r="AC1833" s="105"/>
      <c r="AD1833" s="11" t="b">
        <v>0</v>
      </c>
      <c r="AE1833" s="105"/>
      <c r="AF1833" s="11"/>
      <c r="AG1833" s="11"/>
      <c r="AH1833" s="11"/>
      <c r="AI1833" s="11"/>
    </row>
    <row r="1834" ht="12.5" spans="3:35">
      <c r="C1834" s="19"/>
      <c r="D1834" s="19"/>
      <c r="H1834" s="105"/>
      <c r="I1834" s="126"/>
      <c r="J1834" s="11"/>
      <c r="K1834" s="108"/>
      <c r="L1834" s="11"/>
      <c r="M1834" s="105"/>
      <c r="N1834" s="105"/>
      <c r="O1834" s="11"/>
      <c r="P1834" s="11"/>
      <c r="Q1834" s="105"/>
      <c r="R1834" s="105"/>
      <c r="S1834" s="105"/>
      <c r="T1834" s="105"/>
      <c r="U1834" s="105"/>
      <c r="V1834" s="105"/>
      <c r="W1834" s="105"/>
      <c r="X1834" s="11"/>
      <c r="Y1834" s="11"/>
      <c r="Z1834" s="105"/>
      <c r="AA1834" s="11"/>
      <c r="AB1834" s="11"/>
      <c r="AC1834" s="105"/>
      <c r="AD1834" s="11" t="b">
        <v>0</v>
      </c>
      <c r="AE1834" s="105"/>
      <c r="AF1834" s="11"/>
      <c r="AG1834" s="11"/>
      <c r="AH1834" s="11"/>
      <c r="AI1834" s="11"/>
    </row>
    <row r="1835" ht="12.5" spans="3:35">
      <c r="C1835" s="19"/>
      <c r="D1835" s="19"/>
      <c r="H1835" s="105"/>
      <c r="I1835" s="126"/>
      <c r="J1835" s="11"/>
      <c r="K1835" s="108"/>
      <c r="L1835" s="11"/>
      <c r="M1835" s="105"/>
      <c r="N1835" s="105"/>
      <c r="O1835" s="11"/>
      <c r="P1835" s="11"/>
      <c r="Q1835" s="105"/>
      <c r="R1835" s="105"/>
      <c r="S1835" s="105"/>
      <c r="T1835" s="105"/>
      <c r="U1835" s="105"/>
      <c r="V1835" s="105"/>
      <c r="W1835" s="105"/>
      <c r="X1835" s="11"/>
      <c r="Y1835" s="11"/>
      <c r="Z1835" s="105"/>
      <c r="AA1835" s="11"/>
      <c r="AB1835" s="11"/>
      <c r="AC1835" s="105"/>
      <c r="AD1835" s="11" t="b">
        <v>0</v>
      </c>
      <c r="AE1835" s="105"/>
      <c r="AF1835" s="11"/>
      <c r="AG1835" s="11"/>
      <c r="AH1835" s="11"/>
      <c r="AI1835" s="11"/>
    </row>
    <row r="1836" ht="12.5" spans="3:35">
      <c r="C1836" s="19"/>
      <c r="D1836" s="19"/>
      <c r="H1836" s="105"/>
      <c r="I1836" s="126"/>
      <c r="J1836" s="11"/>
      <c r="K1836" s="108"/>
      <c r="L1836" s="11"/>
      <c r="M1836" s="105"/>
      <c r="N1836" s="105"/>
      <c r="O1836" s="11"/>
      <c r="P1836" s="11"/>
      <c r="Q1836" s="105"/>
      <c r="R1836" s="105"/>
      <c r="S1836" s="105"/>
      <c r="T1836" s="105"/>
      <c r="U1836" s="105"/>
      <c r="V1836" s="105"/>
      <c r="W1836" s="105"/>
      <c r="X1836" s="11"/>
      <c r="Y1836" s="11"/>
      <c r="Z1836" s="105"/>
      <c r="AA1836" s="11"/>
      <c r="AB1836" s="11"/>
      <c r="AC1836" s="105"/>
      <c r="AD1836" s="11" t="b">
        <v>0</v>
      </c>
      <c r="AE1836" s="105"/>
      <c r="AF1836" s="11"/>
      <c r="AG1836" s="11"/>
      <c r="AH1836" s="11"/>
      <c r="AI1836" s="11"/>
    </row>
    <row r="1837" ht="12.5" spans="3:35">
      <c r="C1837" s="19"/>
      <c r="D1837" s="19"/>
      <c r="H1837" s="105"/>
      <c r="I1837" s="126"/>
      <c r="J1837" s="11"/>
      <c r="K1837" s="108"/>
      <c r="L1837" s="11"/>
      <c r="M1837" s="105"/>
      <c r="N1837" s="105"/>
      <c r="O1837" s="11"/>
      <c r="P1837" s="11"/>
      <c r="Q1837" s="105"/>
      <c r="R1837" s="105"/>
      <c r="S1837" s="105"/>
      <c r="T1837" s="105"/>
      <c r="U1837" s="105"/>
      <c r="V1837" s="105"/>
      <c r="W1837" s="105"/>
      <c r="X1837" s="11"/>
      <c r="Y1837" s="11"/>
      <c r="Z1837" s="105"/>
      <c r="AA1837" s="11"/>
      <c r="AB1837" s="11"/>
      <c r="AC1837" s="105"/>
      <c r="AD1837" s="11" t="b">
        <v>0</v>
      </c>
      <c r="AE1837" s="105"/>
      <c r="AF1837" s="11"/>
      <c r="AG1837" s="11"/>
      <c r="AH1837" s="11"/>
      <c r="AI1837" s="11"/>
    </row>
    <row r="1838" ht="12.5" spans="3:35">
      <c r="C1838" s="19"/>
      <c r="D1838" s="19"/>
      <c r="H1838" s="105"/>
      <c r="I1838" s="126"/>
      <c r="J1838" s="11"/>
      <c r="K1838" s="108"/>
      <c r="L1838" s="11"/>
      <c r="M1838" s="105"/>
      <c r="N1838" s="105"/>
      <c r="O1838" s="11"/>
      <c r="P1838" s="11"/>
      <c r="Q1838" s="105"/>
      <c r="R1838" s="105"/>
      <c r="S1838" s="105"/>
      <c r="T1838" s="105"/>
      <c r="U1838" s="105"/>
      <c r="V1838" s="105"/>
      <c r="W1838" s="105"/>
      <c r="X1838" s="11"/>
      <c r="Y1838" s="11"/>
      <c r="Z1838" s="105"/>
      <c r="AA1838" s="11"/>
      <c r="AB1838" s="11"/>
      <c r="AC1838" s="105"/>
      <c r="AD1838" s="11" t="b">
        <v>0</v>
      </c>
      <c r="AE1838" s="105"/>
      <c r="AF1838" s="11"/>
      <c r="AG1838" s="11"/>
      <c r="AH1838" s="11"/>
      <c r="AI1838" s="11"/>
    </row>
    <row r="1839" ht="12.5" spans="3:35">
      <c r="C1839" s="19"/>
      <c r="D1839" s="19"/>
      <c r="H1839" s="105"/>
      <c r="I1839" s="126"/>
      <c r="J1839" s="11"/>
      <c r="K1839" s="108"/>
      <c r="L1839" s="11"/>
      <c r="M1839" s="105"/>
      <c r="N1839" s="105"/>
      <c r="O1839" s="11"/>
      <c r="P1839" s="11"/>
      <c r="Q1839" s="105"/>
      <c r="R1839" s="105"/>
      <c r="S1839" s="105"/>
      <c r="T1839" s="105"/>
      <c r="U1839" s="105"/>
      <c r="V1839" s="105"/>
      <c r="W1839" s="105"/>
      <c r="X1839" s="11"/>
      <c r="Y1839" s="11"/>
      <c r="Z1839" s="105"/>
      <c r="AA1839" s="11"/>
      <c r="AB1839" s="11"/>
      <c r="AC1839" s="105"/>
      <c r="AD1839" s="11" t="b">
        <v>0</v>
      </c>
      <c r="AE1839" s="105"/>
      <c r="AF1839" s="11"/>
      <c r="AG1839" s="11"/>
      <c r="AH1839" s="11"/>
      <c r="AI1839" s="11"/>
    </row>
    <row r="1840" ht="12.5" spans="3:35">
      <c r="C1840" s="19"/>
      <c r="D1840" s="19"/>
      <c r="H1840" s="105"/>
      <c r="I1840" s="126"/>
      <c r="J1840" s="11"/>
      <c r="K1840" s="108"/>
      <c r="L1840" s="11"/>
      <c r="M1840" s="105"/>
      <c r="N1840" s="105"/>
      <c r="O1840" s="11"/>
      <c r="P1840" s="11"/>
      <c r="Q1840" s="105"/>
      <c r="R1840" s="105"/>
      <c r="S1840" s="105"/>
      <c r="T1840" s="105"/>
      <c r="U1840" s="105"/>
      <c r="V1840" s="105"/>
      <c r="W1840" s="105"/>
      <c r="X1840" s="11"/>
      <c r="Y1840" s="11"/>
      <c r="Z1840" s="105"/>
      <c r="AA1840" s="11"/>
      <c r="AB1840" s="11"/>
      <c r="AC1840" s="105"/>
      <c r="AD1840" s="11" t="b">
        <v>0</v>
      </c>
      <c r="AE1840" s="105"/>
      <c r="AF1840" s="11"/>
      <c r="AG1840" s="11"/>
      <c r="AH1840" s="11"/>
      <c r="AI1840" s="11"/>
    </row>
    <row r="1841" ht="12.5" spans="3:35">
      <c r="C1841" s="19"/>
      <c r="D1841" s="19"/>
      <c r="H1841" s="105"/>
      <c r="I1841" s="126"/>
      <c r="J1841" s="11"/>
      <c r="K1841" s="108"/>
      <c r="L1841" s="11"/>
      <c r="M1841" s="105"/>
      <c r="N1841" s="105"/>
      <c r="O1841" s="11"/>
      <c r="P1841" s="11"/>
      <c r="Q1841" s="105"/>
      <c r="R1841" s="105"/>
      <c r="S1841" s="105"/>
      <c r="T1841" s="105"/>
      <c r="U1841" s="105"/>
      <c r="V1841" s="105"/>
      <c r="W1841" s="105"/>
      <c r="X1841" s="11"/>
      <c r="Y1841" s="11"/>
      <c r="Z1841" s="105"/>
      <c r="AA1841" s="11"/>
      <c r="AB1841" s="11"/>
      <c r="AC1841" s="105"/>
      <c r="AD1841" s="11" t="b">
        <v>0</v>
      </c>
      <c r="AE1841" s="105"/>
      <c r="AF1841" s="11"/>
      <c r="AG1841" s="11"/>
      <c r="AH1841" s="11"/>
      <c r="AI1841" s="11"/>
    </row>
    <row r="1842" ht="12.5" spans="3:35">
      <c r="C1842" s="19"/>
      <c r="D1842" s="19"/>
      <c r="H1842" s="105"/>
      <c r="I1842" s="126"/>
      <c r="J1842" s="11"/>
      <c r="K1842" s="108"/>
      <c r="L1842" s="11"/>
      <c r="M1842" s="105"/>
      <c r="N1842" s="105"/>
      <c r="O1842" s="11"/>
      <c r="P1842" s="11"/>
      <c r="Q1842" s="105"/>
      <c r="R1842" s="105"/>
      <c r="S1842" s="105"/>
      <c r="T1842" s="105"/>
      <c r="U1842" s="105"/>
      <c r="V1842" s="105"/>
      <c r="W1842" s="105"/>
      <c r="X1842" s="11"/>
      <c r="Y1842" s="11"/>
      <c r="Z1842" s="105"/>
      <c r="AA1842" s="11"/>
      <c r="AB1842" s="11"/>
      <c r="AC1842" s="105"/>
      <c r="AD1842" s="11" t="b">
        <v>0</v>
      </c>
      <c r="AE1842" s="105"/>
      <c r="AF1842" s="11"/>
      <c r="AG1842" s="11"/>
      <c r="AH1842" s="11"/>
      <c r="AI1842" s="11"/>
    </row>
    <row r="1843" ht="12.5" spans="3:35">
      <c r="C1843" s="19"/>
      <c r="D1843" s="19"/>
      <c r="H1843" s="105"/>
      <c r="I1843" s="126"/>
      <c r="J1843" s="11"/>
      <c r="K1843" s="108"/>
      <c r="L1843" s="11"/>
      <c r="M1843" s="105"/>
      <c r="N1843" s="105"/>
      <c r="O1843" s="11"/>
      <c r="P1843" s="11"/>
      <c r="Q1843" s="105"/>
      <c r="R1843" s="105"/>
      <c r="S1843" s="105"/>
      <c r="T1843" s="105"/>
      <c r="U1843" s="105"/>
      <c r="V1843" s="105"/>
      <c r="W1843" s="105"/>
      <c r="X1843" s="11"/>
      <c r="Y1843" s="11"/>
      <c r="Z1843" s="105"/>
      <c r="AA1843" s="11"/>
      <c r="AB1843" s="11"/>
      <c r="AC1843" s="105"/>
      <c r="AD1843" s="11" t="b">
        <v>0</v>
      </c>
      <c r="AE1843" s="105"/>
      <c r="AF1843" s="11"/>
      <c r="AG1843" s="11"/>
      <c r="AH1843" s="11"/>
      <c r="AI1843" s="11"/>
    </row>
    <row r="1844" ht="12.5" spans="3:35">
      <c r="C1844" s="19"/>
      <c r="D1844" s="19"/>
      <c r="H1844" s="105"/>
      <c r="I1844" s="126"/>
      <c r="J1844" s="11"/>
      <c r="K1844" s="108"/>
      <c r="L1844" s="11"/>
      <c r="M1844" s="105"/>
      <c r="N1844" s="105"/>
      <c r="O1844" s="11"/>
      <c r="P1844" s="11"/>
      <c r="Q1844" s="105"/>
      <c r="R1844" s="105"/>
      <c r="S1844" s="105"/>
      <c r="T1844" s="105"/>
      <c r="U1844" s="105"/>
      <c r="V1844" s="105"/>
      <c r="W1844" s="105"/>
      <c r="X1844" s="11"/>
      <c r="Y1844" s="11"/>
      <c r="Z1844" s="105"/>
      <c r="AA1844" s="11"/>
      <c r="AB1844" s="11"/>
      <c r="AC1844" s="105"/>
      <c r="AD1844" s="11" t="b">
        <v>0</v>
      </c>
      <c r="AE1844" s="105"/>
      <c r="AF1844" s="11"/>
      <c r="AG1844" s="11"/>
      <c r="AH1844" s="11"/>
      <c r="AI1844" s="11"/>
    </row>
    <row r="1845" ht="12.5" spans="3:35">
      <c r="C1845" s="19"/>
      <c r="D1845" s="19"/>
      <c r="H1845" s="105"/>
      <c r="I1845" s="126"/>
      <c r="J1845" s="11"/>
      <c r="K1845" s="108"/>
      <c r="L1845" s="11"/>
      <c r="M1845" s="105"/>
      <c r="N1845" s="105"/>
      <c r="O1845" s="11"/>
      <c r="P1845" s="11"/>
      <c r="Q1845" s="105"/>
      <c r="R1845" s="105"/>
      <c r="S1845" s="105"/>
      <c r="T1845" s="105"/>
      <c r="U1845" s="105"/>
      <c r="V1845" s="105"/>
      <c r="W1845" s="105"/>
      <c r="X1845" s="11"/>
      <c r="Y1845" s="11"/>
      <c r="Z1845" s="105"/>
      <c r="AA1845" s="11"/>
      <c r="AB1845" s="11"/>
      <c r="AC1845" s="105"/>
      <c r="AD1845" s="11" t="b">
        <v>0</v>
      </c>
      <c r="AE1845" s="105"/>
      <c r="AF1845" s="11"/>
      <c r="AG1845" s="11"/>
      <c r="AH1845" s="11"/>
      <c r="AI1845" s="11"/>
    </row>
    <row r="1846" ht="12.5" spans="3:35">
      <c r="C1846" s="19"/>
      <c r="D1846" s="19"/>
      <c r="H1846" s="105"/>
      <c r="I1846" s="126"/>
      <c r="J1846" s="11"/>
      <c r="K1846" s="108"/>
      <c r="L1846" s="11"/>
      <c r="M1846" s="105"/>
      <c r="N1846" s="105"/>
      <c r="O1846" s="11"/>
      <c r="P1846" s="11"/>
      <c r="Q1846" s="105"/>
      <c r="R1846" s="105"/>
      <c r="S1846" s="105"/>
      <c r="T1846" s="105"/>
      <c r="U1846" s="105"/>
      <c r="V1846" s="105"/>
      <c r="W1846" s="105"/>
      <c r="X1846" s="11"/>
      <c r="Y1846" s="11"/>
      <c r="Z1846" s="105"/>
      <c r="AA1846" s="11"/>
      <c r="AB1846" s="11"/>
      <c r="AC1846" s="105"/>
      <c r="AD1846" s="11" t="b">
        <v>0</v>
      </c>
      <c r="AE1846" s="105"/>
      <c r="AF1846" s="11"/>
      <c r="AG1846" s="11"/>
      <c r="AH1846" s="11"/>
      <c r="AI1846" s="11"/>
    </row>
    <row r="1847" ht="12.5" spans="3:35">
      <c r="C1847" s="19"/>
      <c r="D1847" s="19"/>
      <c r="H1847" s="105"/>
      <c r="I1847" s="126"/>
      <c r="J1847" s="11"/>
      <c r="K1847" s="108"/>
      <c r="L1847" s="11"/>
      <c r="M1847" s="105"/>
      <c r="N1847" s="105"/>
      <c r="O1847" s="11"/>
      <c r="P1847" s="11"/>
      <c r="Q1847" s="105"/>
      <c r="R1847" s="105"/>
      <c r="S1847" s="105"/>
      <c r="T1847" s="105"/>
      <c r="U1847" s="105"/>
      <c r="V1847" s="105"/>
      <c r="W1847" s="105"/>
      <c r="X1847" s="11"/>
      <c r="Y1847" s="11"/>
      <c r="Z1847" s="105"/>
      <c r="AA1847" s="11"/>
      <c r="AB1847" s="11"/>
      <c r="AC1847" s="105"/>
      <c r="AD1847" s="11" t="b">
        <v>0</v>
      </c>
      <c r="AE1847" s="105"/>
      <c r="AF1847" s="11"/>
      <c r="AG1847" s="11"/>
      <c r="AH1847" s="11"/>
      <c r="AI1847" s="11"/>
    </row>
    <row r="1848" ht="12.5" spans="3:35">
      <c r="C1848" s="19"/>
      <c r="D1848" s="19"/>
      <c r="H1848" s="105"/>
      <c r="I1848" s="126"/>
      <c r="J1848" s="11"/>
      <c r="K1848" s="108"/>
      <c r="L1848" s="11"/>
      <c r="M1848" s="105"/>
      <c r="N1848" s="105"/>
      <c r="O1848" s="11"/>
      <c r="P1848" s="11"/>
      <c r="Q1848" s="105"/>
      <c r="R1848" s="105"/>
      <c r="S1848" s="105"/>
      <c r="T1848" s="105"/>
      <c r="U1848" s="105"/>
      <c r="V1848" s="105"/>
      <c r="W1848" s="105"/>
      <c r="X1848" s="11"/>
      <c r="Y1848" s="11"/>
      <c r="Z1848" s="105"/>
      <c r="AA1848" s="11"/>
      <c r="AB1848" s="11"/>
      <c r="AC1848" s="105"/>
      <c r="AD1848" s="11" t="b">
        <v>0</v>
      </c>
      <c r="AE1848" s="105"/>
      <c r="AF1848" s="11"/>
      <c r="AG1848" s="11"/>
      <c r="AH1848" s="11"/>
      <c r="AI1848" s="11"/>
    </row>
    <row r="1849" ht="12.5" spans="3:35">
      <c r="C1849" s="19"/>
      <c r="D1849" s="19"/>
      <c r="H1849" s="105"/>
      <c r="I1849" s="126"/>
      <c r="J1849" s="11"/>
      <c r="K1849" s="108"/>
      <c r="L1849" s="11"/>
      <c r="M1849" s="105"/>
      <c r="N1849" s="105"/>
      <c r="O1849" s="11"/>
      <c r="P1849" s="11"/>
      <c r="Q1849" s="105"/>
      <c r="R1849" s="105"/>
      <c r="S1849" s="105"/>
      <c r="T1849" s="105"/>
      <c r="U1849" s="105"/>
      <c r="V1849" s="105"/>
      <c r="W1849" s="105"/>
      <c r="X1849" s="11"/>
      <c r="Y1849" s="11"/>
      <c r="Z1849" s="105"/>
      <c r="AA1849" s="11"/>
      <c r="AB1849" s="11"/>
      <c r="AC1849" s="105"/>
      <c r="AD1849" s="11" t="b">
        <v>0</v>
      </c>
      <c r="AE1849" s="105"/>
      <c r="AF1849" s="11"/>
      <c r="AG1849" s="11"/>
      <c r="AH1849" s="11"/>
      <c r="AI1849" s="11"/>
    </row>
    <row r="1850" ht="12.5" spans="3:35">
      <c r="C1850" s="19"/>
      <c r="D1850" s="19"/>
      <c r="H1850" s="105"/>
      <c r="I1850" s="126"/>
      <c r="J1850" s="11"/>
      <c r="K1850" s="108"/>
      <c r="L1850" s="11"/>
      <c r="M1850" s="105"/>
      <c r="N1850" s="105"/>
      <c r="O1850" s="11"/>
      <c r="P1850" s="11"/>
      <c r="Q1850" s="105"/>
      <c r="R1850" s="105"/>
      <c r="S1850" s="105"/>
      <c r="T1850" s="105"/>
      <c r="U1850" s="105"/>
      <c r="V1850" s="105"/>
      <c r="W1850" s="105"/>
      <c r="X1850" s="11"/>
      <c r="Y1850" s="11"/>
      <c r="Z1850" s="105"/>
      <c r="AA1850" s="11"/>
      <c r="AB1850" s="11"/>
      <c r="AC1850" s="105"/>
      <c r="AD1850" s="11" t="b">
        <v>0</v>
      </c>
      <c r="AE1850" s="105"/>
      <c r="AF1850" s="11"/>
      <c r="AG1850" s="11"/>
      <c r="AH1850" s="11"/>
      <c r="AI1850" s="11"/>
    </row>
    <row r="1851" ht="12.5" spans="3:35">
      <c r="C1851" s="19"/>
      <c r="D1851" s="19"/>
      <c r="H1851" s="105"/>
      <c r="I1851" s="126"/>
      <c r="J1851" s="11"/>
      <c r="K1851" s="108"/>
      <c r="L1851" s="11"/>
      <c r="M1851" s="105"/>
      <c r="N1851" s="105"/>
      <c r="O1851" s="11"/>
      <c r="P1851" s="11"/>
      <c r="Q1851" s="105"/>
      <c r="R1851" s="105"/>
      <c r="S1851" s="105"/>
      <c r="T1851" s="105"/>
      <c r="U1851" s="105"/>
      <c r="V1851" s="105"/>
      <c r="W1851" s="105"/>
      <c r="X1851" s="11"/>
      <c r="Y1851" s="11"/>
      <c r="Z1851" s="105"/>
      <c r="AA1851" s="11"/>
      <c r="AB1851" s="11"/>
      <c r="AC1851" s="105"/>
      <c r="AD1851" s="11" t="b">
        <v>0</v>
      </c>
      <c r="AE1851" s="105"/>
      <c r="AF1851" s="11"/>
      <c r="AG1851" s="11"/>
      <c r="AH1851" s="11"/>
      <c r="AI1851" s="11"/>
    </row>
    <row r="1852" ht="12.5" spans="3:35">
      <c r="C1852" s="19"/>
      <c r="D1852" s="19"/>
      <c r="H1852" s="105"/>
      <c r="I1852" s="126"/>
      <c r="J1852" s="11"/>
      <c r="K1852" s="108"/>
      <c r="L1852" s="11"/>
      <c r="M1852" s="105"/>
      <c r="N1852" s="105"/>
      <c r="O1852" s="11"/>
      <c r="P1852" s="11"/>
      <c r="Q1852" s="105"/>
      <c r="R1852" s="105"/>
      <c r="S1852" s="105"/>
      <c r="T1852" s="105"/>
      <c r="U1852" s="105"/>
      <c r="V1852" s="105"/>
      <c r="W1852" s="105"/>
      <c r="X1852" s="11"/>
      <c r="Y1852" s="11"/>
      <c r="Z1852" s="105"/>
      <c r="AA1852" s="11"/>
      <c r="AB1852" s="11"/>
      <c r="AC1852" s="105"/>
      <c r="AD1852" s="11" t="b">
        <v>0</v>
      </c>
      <c r="AE1852" s="105"/>
      <c r="AF1852" s="11"/>
      <c r="AG1852" s="11"/>
      <c r="AH1852" s="11"/>
      <c r="AI1852" s="11"/>
    </row>
    <row r="1853" ht="12.5" spans="3:35">
      <c r="C1853" s="19"/>
      <c r="D1853" s="19"/>
      <c r="H1853" s="105"/>
      <c r="I1853" s="126"/>
      <c r="J1853" s="11"/>
      <c r="K1853" s="108"/>
      <c r="L1853" s="11"/>
      <c r="M1853" s="105"/>
      <c r="N1853" s="105"/>
      <c r="O1853" s="11"/>
      <c r="P1853" s="11"/>
      <c r="Q1853" s="105"/>
      <c r="R1853" s="105"/>
      <c r="S1853" s="105"/>
      <c r="T1853" s="105"/>
      <c r="U1853" s="105"/>
      <c r="V1853" s="105"/>
      <c r="W1853" s="105"/>
      <c r="X1853" s="11"/>
      <c r="Y1853" s="11"/>
      <c r="Z1853" s="105"/>
      <c r="AA1853" s="11"/>
      <c r="AB1853" s="11"/>
      <c r="AC1853" s="105"/>
      <c r="AD1853" s="11" t="b">
        <v>0</v>
      </c>
      <c r="AE1853" s="105"/>
      <c r="AF1853" s="11"/>
      <c r="AG1853" s="11"/>
      <c r="AH1853" s="11"/>
      <c r="AI1853" s="11"/>
    </row>
    <row r="1854" ht="12.5" spans="3:35">
      <c r="C1854" s="19"/>
      <c r="D1854" s="19"/>
      <c r="H1854" s="105"/>
      <c r="I1854" s="126"/>
      <c r="J1854" s="11"/>
      <c r="K1854" s="108"/>
      <c r="L1854" s="11"/>
      <c r="M1854" s="105"/>
      <c r="N1854" s="105"/>
      <c r="O1854" s="11"/>
      <c r="P1854" s="11"/>
      <c r="Q1854" s="105"/>
      <c r="R1854" s="105"/>
      <c r="S1854" s="105"/>
      <c r="T1854" s="105"/>
      <c r="U1854" s="105"/>
      <c r="V1854" s="105"/>
      <c r="W1854" s="105"/>
      <c r="X1854" s="11"/>
      <c r="Y1854" s="11"/>
      <c r="Z1854" s="105"/>
      <c r="AA1854" s="11"/>
      <c r="AB1854" s="11"/>
      <c r="AC1854" s="105"/>
      <c r="AD1854" s="11" t="b">
        <v>0</v>
      </c>
      <c r="AE1854" s="105"/>
      <c r="AF1854" s="11"/>
      <c r="AG1854" s="11"/>
      <c r="AH1854" s="11"/>
      <c r="AI1854" s="11"/>
    </row>
    <row r="1855" ht="12.5" spans="3:35">
      <c r="C1855" s="19"/>
      <c r="D1855" s="19"/>
      <c r="H1855" s="105"/>
      <c r="I1855" s="126"/>
      <c r="J1855" s="11"/>
      <c r="K1855" s="108"/>
      <c r="L1855" s="11"/>
      <c r="M1855" s="105"/>
      <c r="N1855" s="105"/>
      <c r="O1855" s="11"/>
      <c r="P1855" s="11"/>
      <c r="Q1855" s="105"/>
      <c r="R1855" s="105"/>
      <c r="S1855" s="105"/>
      <c r="T1855" s="105"/>
      <c r="U1855" s="105"/>
      <c r="V1855" s="105"/>
      <c r="W1855" s="105"/>
      <c r="X1855" s="11"/>
      <c r="Y1855" s="11"/>
      <c r="Z1855" s="105"/>
      <c r="AA1855" s="11"/>
      <c r="AB1855" s="11"/>
      <c r="AC1855" s="105"/>
      <c r="AD1855" s="11" t="b">
        <v>0</v>
      </c>
      <c r="AE1855" s="105"/>
      <c r="AF1855" s="11"/>
      <c r="AG1855" s="11"/>
      <c r="AH1855" s="11"/>
      <c r="AI1855" s="11"/>
    </row>
    <row r="1856" ht="12.5" spans="3:35">
      <c r="C1856" s="19"/>
      <c r="D1856" s="19"/>
      <c r="H1856" s="105"/>
      <c r="I1856" s="126"/>
      <c r="J1856" s="11"/>
      <c r="K1856" s="108"/>
      <c r="L1856" s="11"/>
      <c r="M1856" s="105"/>
      <c r="N1856" s="105"/>
      <c r="O1856" s="11"/>
      <c r="P1856" s="11"/>
      <c r="Q1856" s="105"/>
      <c r="R1856" s="105"/>
      <c r="S1856" s="105"/>
      <c r="T1856" s="105"/>
      <c r="U1856" s="105"/>
      <c r="V1856" s="105"/>
      <c r="W1856" s="105"/>
      <c r="X1856" s="11"/>
      <c r="Y1856" s="11"/>
      <c r="Z1856" s="105"/>
      <c r="AA1856" s="11"/>
      <c r="AB1856" s="11"/>
      <c r="AC1856" s="105"/>
      <c r="AD1856" s="11" t="b">
        <v>0</v>
      </c>
      <c r="AE1856" s="105"/>
      <c r="AF1856" s="11"/>
      <c r="AG1856" s="11"/>
      <c r="AH1856" s="11"/>
      <c r="AI1856" s="11"/>
    </row>
    <row r="1857" ht="12.5" spans="3:35">
      <c r="C1857" s="19"/>
      <c r="D1857" s="19"/>
      <c r="H1857" s="105"/>
      <c r="I1857" s="126"/>
      <c r="J1857" s="11"/>
      <c r="K1857" s="108"/>
      <c r="L1857" s="11"/>
      <c r="M1857" s="105"/>
      <c r="N1857" s="105"/>
      <c r="O1857" s="11"/>
      <c r="P1857" s="11"/>
      <c r="Q1857" s="105"/>
      <c r="R1857" s="105"/>
      <c r="S1857" s="105"/>
      <c r="T1857" s="105"/>
      <c r="U1857" s="105"/>
      <c r="V1857" s="105"/>
      <c r="W1857" s="105"/>
      <c r="X1857" s="11"/>
      <c r="Y1857" s="11"/>
      <c r="Z1857" s="105"/>
      <c r="AA1857" s="11"/>
      <c r="AB1857" s="11"/>
      <c r="AC1857" s="105"/>
      <c r="AD1857" s="11" t="b">
        <v>0</v>
      </c>
      <c r="AE1857" s="105"/>
      <c r="AF1857" s="11"/>
      <c r="AG1857" s="11"/>
      <c r="AH1857" s="11"/>
      <c r="AI1857" s="11"/>
    </row>
    <row r="1858" ht="12.5" spans="3:35">
      <c r="C1858" s="19"/>
      <c r="D1858" s="19"/>
      <c r="H1858" s="105"/>
      <c r="I1858" s="126"/>
      <c r="J1858" s="11"/>
      <c r="K1858" s="108"/>
      <c r="L1858" s="11"/>
      <c r="M1858" s="105"/>
      <c r="N1858" s="105"/>
      <c r="O1858" s="11"/>
      <c r="P1858" s="11"/>
      <c r="Q1858" s="105"/>
      <c r="R1858" s="105"/>
      <c r="S1858" s="105"/>
      <c r="T1858" s="105"/>
      <c r="U1858" s="105"/>
      <c r="V1858" s="105"/>
      <c r="W1858" s="105"/>
      <c r="X1858" s="11"/>
      <c r="Y1858" s="11"/>
      <c r="Z1858" s="105"/>
      <c r="AA1858" s="11"/>
      <c r="AB1858" s="11"/>
      <c r="AC1858" s="105"/>
      <c r="AD1858" s="11" t="b">
        <v>0</v>
      </c>
      <c r="AE1858" s="105"/>
      <c r="AF1858" s="11"/>
      <c r="AG1858" s="11"/>
      <c r="AH1858" s="11"/>
      <c r="AI1858" s="11"/>
    </row>
    <row r="1859" ht="12.5" spans="3:35">
      <c r="C1859" s="19"/>
      <c r="D1859" s="19"/>
      <c r="H1859" s="105"/>
      <c r="I1859" s="126"/>
      <c r="J1859" s="11"/>
      <c r="K1859" s="108"/>
      <c r="L1859" s="11"/>
      <c r="M1859" s="105"/>
      <c r="N1859" s="105"/>
      <c r="O1859" s="11"/>
      <c r="P1859" s="11"/>
      <c r="Q1859" s="105"/>
      <c r="R1859" s="105"/>
      <c r="S1859" s="105"/>
      <c r="T1859" s="105"/>
      <c r="U1859" s="105"/>
      <c r="V1859" s="105"/>
      <c r="W1859" s="105"/>
      <c r="X1859" s="11"/>
      <c r="Y1859" s="11"/>
      <c r="Z1859" s="105"/>
      <c r="AA1859" s="11"/>
      <c r="AB1859" s="11"/>
      <c r="AC1859" s="105"/>
      <c r="AD1859" s="11" t="b">
        <v>0</v>
      </c>
      <c r="AE1859" s="105"/>
      <c r="AF1859" s="11"/>
      <c r="AG1859" s="11"/>
      <c r="AH1859" s="11"/>
      <c r="AI1859" s="11"/>
    </row>
    <row r="1860" ht="12.5" spans="3:35">
      <c r="C1860" s="19"/>
      <c r="D1860" s="19"/>
      <c r="H1860" s="105"/>
      <c r="I1860" s="126"/>
      <c r="J1860" s="11"/>
      <c r="K1860" s="108"/>
      <c r="L1860" s="11"/>
      <c r="M1860" s="105"/>
      <c r="N1860" s="105"/>
      <c r="O1860" s="11"/>
      <c r="P1860" s="11"/>
      <c r="Q1860" s="105"/>
      <c r="R1860" s="105"/>
      <c r="S1860" s="105"/>
      <c r="T1860" s="105"/>
      <c r="U1860" s="105"/>
      <c r="V1860" s="105"/>
      <c r="W1860" s="105"/>
      <c r="X1860" s="11"/>
      <c r="Y1860" s="11"/>
      <c r="Z1860" s="105"/>
      <c r="AA1860" s="11"/>
      <c r="AB1860" s="11"/>
      <c r="AC1860" s="105"/>
      <c r="AD1860" s="11" t="b">
        <v>0</v>
      </c>
      <c r="AE1860" s="105"/>
      <c r="AF1860" s="11"/>
      <c r="AG1860" s="11"/>
      <c r="AH1860" s="11"/>
      <c r="AI1860" s="11"/>
    </row>
    <row r="1861" ht="12.5" spans="3:35">
      <c r="C1861" s="19"/>
      <c r="D1861" s="19"/>
      <c r="H1861" s="105"/>
      <c r="I1861" s="126"/>
      <c r="J1861" s="11"/>
      <c r="K1861" s="108"/>
      <c r="L1861" s="11"/>
      <c r="M1861" s="105"/>
      <c r="N1861" s="105"/>
      <c r="O1861" s="11"/>
      <c r="P1861" s="11"/>
      <c r="Q1861" s="105"/>
      <c r="R1861" s="105"/>
      <c r="S1861" s="105"/>
      <c r="T1861" s="105"/>
      <c r="U1861" s="105"/>
      <c r="V1861" s="105"/>
      <c r="W1861" s="105"/>
      <c r="X1861" s="11"/>
      <c r="Y1861" s="11"/>
      <c r="Z1861" s="105"/>
      <c r="AA1861" s="11"/>
      <c r="AB1861" s="11"/>
      <c r="AC1861" s="105"/>
      <c r="AD1861" s="11" t="b">
        <v>0</v>
      </c>
      <c r="AE1861" s="105"/>
      <c r="AF1861" s="11"/>
      <c r="AG1861" s="11"/>
      <c r="AH1861" s="11"/>
      <c r="AI1861" s="11"/>
    </row>
    <row r="1862" ht="12.5" spans="3:35">
      <c r="C1862" s="19"/>
      <c r="D1862" s="19"/>
      <c r="H1862" s="105"/>
      <c r="I1862" s="126"/>
      <c r="J1862" s="11"/>
      <c r="K1862" s="108"/>
      <c r="L1862" s="11"/>
      <c r="M1862" s="105"/>
      <c r="N1862" s="105"/>
      <c r="O1862" s="11"/>
      <c r="P1862" s="11"/>
      <c r="Q1862" s="105"/>
      <c r="R1862" s="105"/>
      <c r="S1862" s="105"/>
      <c r="T1862" s="105"/>
      <c r="U1862" s="105"/>
      <c r="V1862" s="105"/>
      <c r="W1862" s="105"/>
      <c r="X1862" s="11"/>
      <c r="Y1862" s="11"/>
      <c r="Z1862" s="105"/>
      <c r="AA1862" s="11"/>
      <c r="AB1862" s="11"/>
      <c r="AC1862" s="105"/>
      <c r="AD1862" s="11" t="b">
        <v>0</v>
      </c>
      <c r="AE1862" s="105"/>
      <c r="AF1862" s="11"/>
      <c r="AG1862" s="11"/>
      <c r="AH1862" s="11"/>
      <c r="AI1862" s="11"/>
    </row>
    <row r="1863" ht="12.5" spans="3:35">
      <c r="C1863" s="19"/>
      <c r="D1863" s="19"/>
      <c r="H1863" s="105"/>
      <c r="I1863" s="126"/>
      <c r="J1863" s="11"/>
      <c r="K1863" s="108"/>
      <c r="L1863" s="11"/>
      <c r="M1863" s="105"/>
      <c r="N1863" s="105"/>
      <c r="O1863" s="11"/>
      <c r="P1863" s="11"/>
      <c r="Q1863" s="105"/>
      <c r="R1863" s="105"/>
      <c r="S1863" s="105"/>
      <c r="T1863" s="105"/>
      <c r="U1863" s="105"/>
      <c r="V1863" s="105"/>
      <c r="W1863" s="105"/>
      <c r="X1863" s="11"/>
      <c r="Y1863" s="11"/>
      <c r="Z1863" s="105"/>
      <c r="AA1863" s="11"/>
      <c r="AB1863" s="11"/>
      <c r="AC1863" s="105"/>
      <c r="AD1863" s="11" t="b">
        <v>0</v>
      </c>
      <c r="AE1863" s="105"/>
      <c r="AF1863" s="11"/>
      <c r="AG1863" s="11"/>
      <c r="AH1863" s="11"/>
      <c r="AI1863" s="11"/>
    </row>
    <row r="1864" ht="12.5" spans="3:35">
      <c r="C1864" s="19"/>
      <c r="D1864" s="19"/>
      <c r="H1864" s="105"/>
      <c r="I1864" s="126"/>
      <c r="J1864" s="11"/>
      <c r="K1864" s="108"/>
      <c r="L1864" s="11"/>
      <c r="M1864" s="105"/>
      <c r="N1864" s="105"/>
      <c r="O1864" s="11"/>
      <c r="P1864" s="11"/>
      <c r="Q1864" s="105"/>
      <c r="R1864" s="105"/>
      <c r="S1864" s="105"/>
      <c r="T1864" s="105"/>
      <c r="U1864" s="105"/>
      <c r="V1864" s="105"/>
      <c r="W1864" s="105"/>
      <c r="X1864" s="11"/>
      <c r="Y1864" s="11"/>
      <c r="Z1864" s="105"/>
      <c r="AA1864" s="11"/>
      <c r="AB1864" s="11"/>
      <c r="AC1864" s="105"/>
      <c r="AD1864" s="11" t="b">
        <v>0</v>
      </c>
      <c r="AE1864" s="105"/>
      <c r="AF1864" s="11"/>
      <c r="AG1864" s="11"/>
      <c r="AH1864" s="11"/>
      <c r="AI1864" s="11"/>
    </row>
    <row r="1865" ht="12.5" spans="3:35">
      <c r="C1865" s="19"/>
      <c r="D1865" s="19"/>
      <c r="H1865" s="105"/>
      <c r="I1865" s="126"/>
      <c r="J1865" s="11"/>
      <c r="K1865" s="108"/>
      <c r="L1865" s="11"/>
      <c r="M1865" s="105"/>
      <c r="N1865" s="105"/>
      <c r="O1865" s="11"/>
      <c r="P1865" s="11"/>
      <c r="Q1865" s="105"/>
      <c r="R1865" s="105"/>
      <c r="S1865" s="105"/>
      <c r="T1865" s="105"/>
      <c r="U1865" s="105"/>
      <c r="V1865" s="105"/>
      <c r="W1865" s="105"/>
      <c r="X1865" s="11"/>
      <c r="Y1865" s="11"/>
      <c r="Z1865" s="105"/>
      <c r="AA1865" s="11"/>
      <c r="AB1865" s="11"/>
      <c r="AC1865" s="105"/>
      <c r="AD1865" s="11" t="b">
        <v>0</v>
      </c>
      <c r="AE1865" s="105"/>
      <c r="AF1865" s="11"/>
      <c r="AG1865" s="11"/>
      <c r="AH1865" s="11"/>
      <c r="AI1865" s="11"/>
    </row>
    <row r="1866" ht="12.5" spans="3:35">
      <c r="C1866" s="19"/>
      <c r="D1866" s="19"/>
      <c r="H1866" s="105"/>
      <c r="I1866" s="126"/>
      <c r="J1866" s="11"/>
      <c r="K1866" s="108"/>
      <c r="L1866" s="11"/>
      <c r="M1866" s="105"/>
      <c r="N1866" s="105"/>
      <c r="O1866" s="11"/>
      <c r="P1866" s="11"/>
      <c r="Q1866" s="105"/>
      <c r="R1866" s="105"/>
      <c r="S1866" s="105"/>
      <c r="T1866" s="105"/>
      <c r="U1866" s="105"/>
      <c r="V1866" s="105"/>
      <c r="W1866" s="105"/>
      <c r="X1866" s="11"/>
      <c r="Y1866" s="11"/>
      <c r="Z1866" s="105"/>
      <c r="AA1866" s="11"/>
      <c r="AB1866" s="11"/>
      <c r="AC1866" s="105"/>
      <c r="AD1866" s="11" t="b">
        <v>0</v>
      </c>
      <c r="AE1866" s="105"/>
      <c r="AF1866" s="11"/>
      <c r="AG1866" s="11"/>
      <c r="AH1866" s="11"/>
      <c r="AI1866" s="11"/>
    </row>
    <row r="1867" ht="12.5" spans="3:35">
      <c r="C1867" s="19"/>
      <c r="D1867" s="19"/>
      <c r="H1867" s="105"/>
      <c r="I1867" s="126"/>
      <c r="J1867" s="11"/>
      <c r="K1867" s="108"/>
      <c r="L1867" s="11"/>
      <c r="M1867" s="105"/>
      <c r="N1867" s="105"/>
      <c r="O1867" s="11"/>
      <c r="P1867" s="11"/>
      <c r="Q1867" s="105"/>
      <c r="R1867" s="105"/>
      <c r="S1867" s="105"/>
      <c r="T1867" s="105"/>
      <c r="U1867" s="105"/>
      <c r="V1867" s="105"/>
      <c r="W1867" s="105"/>
      <c r="X1867" s="11"/>
      <c r="Y1867" s="11"/>
      <c r="Z1867" s="105"/>
      <c r="AA1867" s="11"/>
      <c r="AB1867" s="11"/>
      <c r="AC1867" s="105"/>
      <c r="AD1867" s="11" t="b">
        <v>0</v>
      </c>
      <c r="AE1867" s="105"/>
      <c r="AF1867" s="11"/>
      <c r="AG1867" s="11"/>
      <c r="AH1867" s="11"/>
      <c r="AI1867" s="11"/>
    </row>
    <row r="1868" ht="12.5" spans="3:35">
      <c r="C1868" s="19"/>
      <c r="D1868" s="19"/>
      <c r="H1868" s="105"/>
      <c r="I1868" s="126"/>
      <c r="J1868" s="11"/>
      <c r="K1868" s="108"/>
      <c r="L1868" s="11"/>
      <c r="M1868" s="105"/>
      <c r="N1868" s="105"/>
      <c r="O1868" s="11"/>
      <c r="P1868" s="11"/>
      <c r="Q1868" s="105"/>
      <c r="R1868" s="105"/>
      <c r="S1868" s="105"/>
      <c r="T1868" s="105"/>
      <c r="U1868" s="105"/>
      <c r="V1868" s="105"/>
      <c r="W1868" s="105"/>
      <c r="X1868" s="11"/>
      <c r="Y1868" s="11"/>
      <c r="Z1868" s="105"/>
      <c r="AA1868" s="11"/>
      <c r="AB1868" s="11"/>
      <c r="AC1868" s="105"/>
      <c r="AD1868" s="11" t="b">
        <v>0</v>
      </c>
      <c r="AE1868" s="105"/>
      <c r="AF1868" s="11"/>
      <c r="AG1868" s="11"/>
      <c r="AH1868" s="11"/>
      <c r="AI1868" s="11"/>
    </row>
    <row r="1869" ht="12.5" spans="3:35">
      <c r="C1869" s="19"/>
      <c r="D1869" s="19"/>
      <c r="H1869" s="105"/>
      <c r="I1869" s="126"/>
      <c r="J1869" s="11"/>
      <c r="K1869" s="108"/>
      <c r="L1869" s="11"/>
      <c r="M1869" s="105"/>
      <c r="N1869" s="105"/>
      <c r="O1869" s="11"/>
      <c r="P1869" s="11"/>
      <c r="Q1869" s="105"/>
      <c r="R1869" s="105"/>
      <c r="S1869" s="105"/>
      <c r="T1869" s="105"/>
      <c r="U1869" s="105"/>
      <c r="V1869" s="105"/>
      <c r="W1869" s="105"/>
      <c r="X1869" s="11"/>
      <c r="Y1869" s="11"/>
      <c r="Z1869" s="105"/>
      <c r="AA1869" s="11"/>
      <c r="AB1869" s="11"/>
      <c r="AC1869" s="105"/>
      <c r="AD1869" s="11" t="b">
        <v>0</v>
      </c>
      <c r="AE1869" s="105"/>
      <c r="AF1869" s="11"/>
      <c r="AG1869" s="11"/>
      <c r="AH1869" s="11"/>
      <c r="AI1869" s="11"/>
    </row>
    <row r="1870" ht="12.5" spans="3:35">
      <c r="C1870" s="19"/>
      <c r="D1870" s="19"/>
      <c r="H1870" s="105"/>
      <c r="I1870" s="126"/>
      <c r="J1870" s="11"/>
      <c r="K1870" s="108"/>
      <c r="L1870" s="11"/>
      <c r="M1870" s="105"/>
      <c r="N1870" s="105"/>
      <c r="O1870" s="11"/>
      <c r="P1870" s="11"/>
      <c r="Q1870" s="105"/>
      <c r="R1870" s="105"/>
      <c r="S1870" s="105"/>
      <c r="T1870" s="105"/>
      <c r="U1870" s="105"/>
      <c r="V1870" s="105"/>
      <c r="W1870" s="105"/>
      <c r="X1870" s="11"/>
      <c r="Y1870" s="11"/>
      <c r="Z1870" s="105"/>
      <c r="AA1870" s="11"/>
      <c r="AB1870" s="11"/>
      <c r="AC1870" s="105"/>
      <c r="AD1870" s="11" t="b">
        <v>0</v>
      </c>
      <c r="AE1870" s="105"/>
      <c r="AF1870" s="11"/>
      <c r="AG1870" s="11"/>
      <c r="AH1870" s="11"/>
      <c r="AI1870" s="11"/>
    </row>
    <row r="1871" ht="12.5" spans="3:35">
      <c r="C1871" s="19"/>
      <c r="D1871" s="19"/>
      <c r="H1871" s="105"/>
      <c r="I1871" s="126"/>
      <c r="J1871" s="11"/>
      <c r="K1871" s="108"/>
      <c r="L1871" s="11"/>
      <c r="M1871" s="105"/>
      <c r="N1871" s="105"/>
      <c r="O1871" s="11"/>
      <c r="P1871" s="11"/>
      <c r="Q1871" s="105"/>
      <c r="R1871" s="105"/>
      <c r="S1871" s="105"/>
      <c r="T1871" s="105"/>
      <c r="U1871" s="105"/>
      <c r="V1871" s="105"/>
      <c r="W1871" s="105"/>
      <c r="X1871" s="11"/>
      <c r="Y1871" s="11"/>
      <c r="Z1871" s="105"/>
      <c r="AA1871" s="11"/>
      <c r="AB1871" s="11"/>
      <c r="AC1871" s="105"/>
      <c r="AD1871" s="11" t="b">
        <v>0</v>
      </c>
      <c r="AE1871" s="105"/>
      <c r="AF1871" s="11"/>
      <c r="AG1871" s="11"/>
      <c r="AH1871" s="11"/>
      <c r="AI1871" s="11"/>
    </row>
    <row r="1872" ht="12.5" spans="3:35">
      <c r="C1872" s="19"/>
      <c r="D1872" s="19"/>
      <c r="H1872" s="105"/>
      <c r="I1872" s="126"/>
      <c r="J1872" s="11"/>
      <c r="K1872" s="108"/>
      <c r="L1872" s="11"/>
      <c r="M1872" s="105"/>
      <c r="N1872" s="105"/>
      <c r="O1872" s="11"/>
      <c r="P1872" s="11"/>
      <c r="Q1872" s="105"/>
      <c r="R1872" s="105"/>
      <c r="S1872" s="105"/>
      <c r="T1872" s="105"/>
      <c r="U1872" s="105"/>
      <c r="V1872" s="105"/>
      <c r="W1872" s="105"/>
      <c r="X1872" s="11"/>
      <c r="Y1872" s="11"/>
      <c r="Z1872" s="105"/>
      <c r="AA1872" s="11"/>
      <c r="AB1872" s="11"/>
      <c r="AC1872" s="105"/>
      <c r="AD1872" s="11" t="b">
        <v>0</v>
      </c>
      <c r="AE1872" s="105"/>
      <c r="AF1872" s="11"/>
      <c r="AG1872" s="11"/>
      <c r="AH1872" s="11"/>
      <c r="AI1872" s="11"/>
    </row>
    <row r="1873" ht="12.5" spans="3:35">
      <c r="C1873" s="19"/>
      <c r="D1873" s="19"/>
      <c r="H1873" s="105"/>
      <c r="I1873" s="126"/>
      <c r="J1873" s="11"/>
      <c r="K1873" s="108"/>
      <c r="L1873" s="11"/>
      <c r="M1873" s="105"/>
      <c r="N1873" s="105"/>
      <c r="O1873" s="11"/>
      <c r="P1873" s="11"/>
      <c r="Q1873" s="105"/>
      <c r="R1873" s="105"/>
      <c r="S1873" s="105"/>
      <c r="T1873" s="105"/>
      <c r="U1873" s="105"/>
      <c r="V1873" s="105"/>
      <c r="W1873" s="105"/>
      <c r="X1873" s="11"/>
      <c r="Y1873" s="11"/>
      <c r="Z1873" s="105"/>
      <c r="AA1873" s="11"/>
      <c r="AB1873" s="11"/>
      <c r="AC1873" s="105"/>
      <c r="AD1873" s="11" t="b">
        <v>0</v>
      </c>
      <c r="AE1873" s="105"/>
      <c r="AF1873" s="11"/>
      <c r="AG1873" s="11"/>
      <c r="AH1873" s="11"/>
      <c r="AI1873" s="11"/>
    </row>
    <row r="1874" ht="12.5" spans="3:35">
      <c r="C1874" s="19"/>
      <c r="D1874" s="19"/>
      <c r="H1874" s="105"/>
      <c r="I1874" s="126"/>
      <c r="J1874" s="11"/>
      <c r="K1874" s="108"/>
      <c r="L1874" s="11"/>
      <c r="M1874" s="105"/>
      <c r="N1874" s="105"/>
      <c r="O1874" s="11"/>
      <c r="P1874" s="11"/>
      <c r="Q1874" s="105"/>
      <c r="R1874" s="105"/>
      <c r="S1874" s="105"/>
      <c r="T1874" s="105"/>
      <c r="U1874" s="105"/>
      <c r="V1874" s="105"/>
      <c r="W1874" s="105"/>
      <c r="X1874" s="11"/>
      <c r="Y1874" s="11"/>
      <c r="Z1874" s="105"/>
      <c r="AA1874" s="11"/>
      <c r="AB1874" s="11"/>
      <c r="AC1874" s="105"/>
      <c r="AD1874" s="11" t="b">
        <v>0</v>
      </c>
      <c r="AE1874" s="105"/>
      <c r="AF1874" s="11"/>
      <c r="AG1874" s="11"/>
      <c r="AH1874" s="11"/>
      <c r="AI1874" s="11"/>
    </row>
    <row r="1875" ht="12.5" spans="3:35">
      <c r="C1875" s="19"/>
      <c r="D1875" s="19"/>
      <c r="H1875" s="105"/>
      <c r="I1875" s="126"/>
      <c r="J1875" s="11"/>
      <c r="K1875" s="108"/>
      <c r="L1875" s="11"/>
      <c r="M1875" s="105"/>
      <c r="N1875" s="105"/>
      <c r="O1875" s="11"/>
      <c r="P1875" s="11"/>
      <c r="Q1875" s="105"/>
      <c r="R1875" s="105"/>
      <c r="S1875" s="105"/>
      <c r="T1875" s="105"/>
      <c r="U1875" s="105"/>
      <c r="V1875" s="105"/>
      <c r="W1875" s="105"/>
      <c r="X1875" s="11"/>
      <c r="Y1875" s="11"/>
      <c r="Z1875" s="105"/>
      <c r="AA1875" s="11"/>
      <c r="AB1875" s="11"/>
      <c r="AC1875" s="105"/>
      <c r="AD1875" s="11" t="b">
        <v>0</v>
      </c>
      <c r="AE1875" s="105"/>
      <c r="AF1875" s="11"/>
      <c r="AG1875" s="11"/>
      <c r="AH1875" s="11"/>
      <c r="AI1875" s="11"/>
    </row>
    <row r="1876" ht="12.5" spans="3:35">
      <c r="C1876" s="19"/>
      <c r="D1876" s="19"/>
      <c r="H1876" s="105"/>
      <c r="I1876" s="126"/>
      <c r="J1876" s="11"/>
      <c r="K1876" s="108"/>
      <c r="L1876" s="11"/>
      <c r="M1876" s="105"/>
      <c r="N1876" s="105"/>
      <c r="O1876" s="11"/>
      <c r="P1876" s="11"/>
      <c r="Q1876" s="105"/>
      <c r="R1876" s="105"/>
      <c r="S1876" s="105"/>
      <c r="T1876" s="105"/>
      <c r="U1876" s="105"/>
      <c r="V1876" s="105"/>
      <c r="W1876" s="105"/>
      <c r="X1876" s="11"/>
      <c r="Y1876" s="11"/>
      <c r="Z1876" s="105"/>
      <c r="AA1876" s="11"/>
      <c r="AB1876" s="11"/>
      <c r="AC1876" s="105"/>
      <c r="AD1876" s="11" t="b">
        <v>0</v>
      </c>
      <c r="AE1876" s="105"/>
      <c r="AF1876" s="11"/>
      <c r="AG1876" s="11"/>
      <c r="AH1876" s="11"/>
      <c r="AI1876" s="11"/>
    </row>
    <row r="1877" ht="12.5" spans="3:35">
      <c r="C1877" s="19"/>
      <c r="D1877" s="19"/>
      <c r="H1877" s="105"/>
      <c r="I1877" s="126"/>
      <c r="J1877" s="11"/>
      <c r="K1877" s="108"/>
      <c r="L1877" s="11"/>
      <c r="M1877" s="105"/>
      <c r="N1877" s="105"/>
      <c r="O1877" s="11"/>
      <c r="P1877" s="11"/>
      <c r="Q1877" s="105"/>
      <c r="R1877" s="105"/>
      <c r="S1877" s="105"/>
      <c r="T1877" s="105"/>
      <c r="U1877" s="105"/>
      <c r="V1877" s="105"/>
      <c r="W1877" s="105"/>
      <c r="X1877" s="11"/>
      <c r="Y1877" s="11"/>
      <c r="Z1877" s="105"/>
      <c r="AA1877" s="11"/>
      <c r="AB1877" s="11"/>
      <c r="AC1877" s="105"/>
      <c r="AD1877" s="11" t="b">
        <v>0</v>
      </c>
      <c r="AE1877" s="105"/>
      <c r="AF1877" s="11"/>
      <c r="AG1877" s="11"/>
      <c r="AH1877" s="11"/>
      <c r="AI1877" s="11"/>
    </row>
    <row r="1878" ht="12.5" spans="3:35">
      <c r="C1878" s="19"/>
      <c r="D1878" s="19"/>
      <c r="H1878" s="105"/>
      <c r="I1878" s="126"/>
      <c r="J1878" s="11"/>
      <c r="K1878" s="108"/>
      <c r="L1878" s="11"/>
      <c r="M1878" s="105"/>
      <c r="N1878" s="105"/>
      <c r="O1878" s="11"/>
      <c r="P1878" s="11"/>
      <c r="Q1878" s="105"/>
      <c r="R1878" s="105"/>
      <c r="S1878" s="105"/>
      <c r="T1878" s="105"/>
      <c r="U1878" s="105"/>
      <c r="V1878" s="105"/>
      <c r="W1878" s="105"/>
      <c r="X1878" s="11"/>
      <c r="Y1878" s="11"/>
      <c r="Z1878" s="105"/>
      <c r="AA1878" s="11"/>
      <c r="AB1878" s="11"/>
      <c r="AC1878" s="105"/>
      <c r="AD1878" s="11" t="b">
        <v>0</v>
      </c>
      <c r="AE1878" s="105"/>
      <c r="AF1878" s="11"/>
      <c r="AG1878" s="11"/>
      <c r="AH1878" s="11"/>
      <c r="AI1878" s="11"/>
    </row>
    <row r="1879" ht="12.5" spans="3:35">
      <c r="C1879" s="19"/>
      <c r="D1879" s="19"/>
      <c r="H1879" s="105"/>
      <c r="I1879" s="126"/>
      <c r="J1879" s="11"/>
      <c r="K1879" s="108"/>
      <c r="L1879" s="11"/>
      <c r="M1879" s="105"/>
      <c r="N1879" s="105"/>
      <c r="O1879" s="11"/>
      <c r="P1879" s="11"/>
      <c r="Q1879" s="105"/>
      <c r="R1879" s="105"/>
      <c r="S1879" s="105"/>
      <c r="T1879" s="105"/>
      <c r="U1879" s="105"/>
      <c r="V1879" s="105"/>
      <c r="W1879" s="105"/>
      <c r="X1879" s="11"/>
      <c r="Y1879" s="11"/>
      <c r="Z1879" s="105"/>
      <c r="AA1879" s="11"/>
      <c r="AB1879" s="11"/>
      <c r="AC1879" s="105"/>
      <c r="AD1879" s="11" t="b">
        <v>0</v>
      </c>
      <c r="AE1879" s="105"/>
      <c r="AF1879" s="11"/>
      <c r="AG1879" s="11"/>
      <c r="AH1879" s="11"/>
      <c r="AI1879" s="11"/>
    </row>
    <row r="1880" ht="12.5" spans="3:35">
      <c r="C1880" s="19"/>
      <c r="D1880" s="19"/>
      <c r="H1880" s="105"/>
      <c r="I1880" s="126"/>
      <c r="J1880" s="11"/>
      <c r="K1880" s="108"/>
      <c r="L1880" s="11"/>
      <c r="M1880" s="105"/>
      <c r="N1880" s="105"/>
      <c r="O1880" s="11"/>
      <c r="P1880" s="11"/>
      <c r="Q1880" s="105"/>
      <c r="R1880" s="105"/>
      <c r="S1880" s="105"/>
      <c r="T1880" s="105"/>
      <c r="U1880" s="105"/>
      <c r="V1880" s="105"/>
      <c r="W1880" s="105"/>
      <c r="X1880" s="11"/>
      <c r="Y1880" s="11"/>
      <c r="Z1880" s="105"/>
      <c r="AA1880" s="11"/>
      <c r="AB1880" s="11"/>
      <c r="AC1880" s="105"/>
      <c r="AD1880" s="11" t="b">
        <v>0</v>
      </c>
      <c r="AE1880" s="105"/>
      <c r="AF1880" s="11"/>
      <c r="AG1880" s="11"/>
      <c r="AH1880" s="11"/>
      <c r="AI1880" s="11"/>
    </row>
    <row r="1881" ht="12.5" spans="3:35">
      <c r="C1881" s="19"/>
      <c r="D1881" s="19"/>
      <c r="H1881" s="105"/>
      <c r="I1881" s="126"/>
      <c r="J1881" s="11"/>
      <c r="K1881" s="108"/>
      <c r="L1881" s="11"/>
      <c r="M1881" s="105"/>
      <c r="N1881" s="105"/>
      <c r="O1881" s="11"/>
      <c r="P1881" s="11"/>
      <c r="Q1881" s="105"/>
      <c r="R1881" s="105"/>
      <c r="S1881" s="105"/>
      <c r="T1881" s="105"/>
      <c r="U1881" s="105"/>
      <c r="V1881" s="105"/>
      <c r="W1881" s="105"/>
      <c r="X1881" s="11"/>
      <c r="Y1881" s="11"/>
      <c r="Z1881" s="105"/>
      <c r="AA1881" s="11"/>
      <c r="AB1881" s="11"/>
      <c r="AC1881" s="105"/>
      <c r="AD1881" s="11" t="b">
        <v>0</v>
      </c>
      <c r="AE1881" s="105"/>
      <c r="AF1881" s="11"/>
      <c r="AG1881" s="11"/>
      <c r="AH1881" s="11"/>
      <c r="AI1881" s="11"/>
    </row>
    <row r="1882" ht="12.5" spans="3:35">
      <c r="C1882" s="19"/>
      <c r="D1882" s="19"/>
      <c r="H1882" s="105"/>
      <c r="I1882" s="126"/>
      <c r="J1882" s="11"/>
      <c r="K1882" s="108"/>
      <c r="L1882" s="11"/>
      <c r="M1882" s="105"/>
      <c r="N1882" s="105"/>
      <c r="O1882" s="11"/>
      <c r="P1882" s="11"/>
      <c r="Q1882" s="105"/>
      <c r="R1882" s="105"/>
      <c r="S1882" s="105"/>
      <c r="T1882" s="105"/>
      <c r="U1882" s="105"/>
      <c r="V1882" s="105"/>
      <c r="W1882" s="105"/>
      <c r="X1882" s="11"/>
      <c r="Y1882" s="11"/>
      <c r="Z1882" s="105"/>
      <c r="AA1882" s="11"/>
      <c r="AB1882" s="11"/>
      <c r="AC1882" s="105"/>
      <c r="AD1882" s="11" t="b">
        <v>0</v>
      </c>
      <c r="AE1882" s="105"/>
      <c r="AF1882" s="11"/>
      <c r="AG1882" s="11"/>
      <c r="AH1882" s="11"/>
      <c r="AI1882" s="11"/>
    </row>
    <row r="1883" ht="12.5" spans="3:35">
      <c r="C1883" s="19"/>
      <c r="D1883" s="19"/>
      <c r="H1883" s="105"/>
      <c r="I1883" s="126"/>
      <c r="J1883" s="11"/>
      <c r="K1883" s="108"/>
      <c r="L1883" s="11"/>
      <c r="M1883" s="105"/>
      <c r="N1883" s="105"/>
      <c r="O1883" s="11"/>
      <c r="P1883" s="11"/>
      <c r="Q1883" s="105"/>
      <c r="R1883" s="105"/>
      <c r="S1883" s="105"/>
      <c r="T1883" s="105"/>
      <c r="U1883" s="105"/>
      <c r="V1883" s="105"/>
      <c r="W1883" s="105"/>
      <c r="X1883" s="11"/>
      <c r="Y1883" s="11"/>
      <c r="Z1883" s="105"/>
      <c r="AA1883" s="11"/>
      <c r="AB1883" s="11"/>
      <c r="AC1883" s="105"/>
      <c r="AD1883" s="11" t="b">
        <v>0</v>
      </c>
      <c r="AE1883" s="105"/>
      <c r="AF1883" s="11"/>
      <c r="AG1883" s="11"/>
      <c r="AH1883" s="11"/>
      <c r="AI1883" s="11"/>
    </row>
    <row r="1884" ht="12.5" spans="3:35">
      <c r="C1884" s="19"/>
      <c r="D1884" s="19"/>
      <c r="H1884" s="105"/>
      <c r="I1884" s="126"/>
      <c r="J1884" s="11"/>
      <c r="K1884" s="108"/>
      <c r="L1884" s="11"/>
      <c r="M1884" s="105"/>
      <c r="N1884" s="105"/>
      <c r="O1884" s="11"/>
      <c r="P1884" s="11"/>
      <c r="Q1884" s="105"/>
      <c r="R1884" s="105"/>
      <c r="S1884" s="105"/>
      <c r="T1884" s="105"/>
      <c r="U1884" s="105"/>
      <c r="V1884" s="105"/>
      <c r="W1884" s="105"/>
      <c r="X1884" s="11"/>
      <c r="Y1884" s="11"/>
      <c r="Z1884" s="105"/>
      <c r="AA1884" s="11"/>
      <c r="AB1884" s="11"/>
      <c r="AC1884" s="105"/>
      <c r="AD1884" s="11" t="b">
        <v>0</v>
      </c>
      <c r="AE1884" s="105"/>
      <c r="AF1884" s="11"/>
      <c r="AG1884" s="11"/>
      <c r="AH1884" s="11"/>
      <c r="AI1884" s="11"/>
    </row>
    <row r="1885" ht="12.5" spans="3:35">
      <c r="C1885" s="19"/>
      <c r="D1885" s="19"/>
      <c r="H1885" s="105"/>
      <c r="I1885" s="126"/>
      <c r="J1885" s="11"/>
      <c r="K1885" s="108"/>
      <c r="L1885" s="11"/>
      <c r="M1885" s="105"/>
      <c r="N1885" s="105"/>
      <c r="O1885" s="11"/>
      <c r="P1885" s="11"/>
      <c r="Q1885" s="105"/>
      <c r="R1885" s="105"/>
      <c r="S1885" s="105"/>
      <c r="T1885" s="105"/>
      <c r="U1885" s="105"/>
      <c r="V1885" s="105"/>
      <c r="W1885" s="105"/>
      <c r="X1885" s="11"/>
      <c r="Y1885" s="11"/>
      <c r="Z1885" s="105"/>
      <c r="AA1885" s="11"/>
      <c r="AB1885" s="11"/>
      <c r="AC1885" s="105"/>
      <c r="AD1885" s="11" t="b">
        <v>0</v>
      </c>
      <c r="AE1885" s="105"/>
      <c r="AF1885" s="11"/>
      <c r="AG1885" s="11"/>
      <c r="AH1885" s="11"/>
      <c r="AI1885" s="11"/>
    </row>
    <row r="1886" ht="12.5" spans="3:35">
      <c r="C1886" s="19"/>
      <c r="D1886" s="19"/>
      <c r="H1886" s="105"/>
      <c r="I1886" s="126"/>
      <c r="J1886" s="11"/>
      <c r="K1886" s="108"/>
      <c r="L1886" s="11"/>
      <c r="M1886" s="105"/>
      <c r="N1886" s="105"/>
      <c r="O1886" s="11"/>
      <c r="P1886" s="11"/>
      <c r="Q1886" s="105"/>
      <c r="R1886" s="105"/>
      <c r="S1886" s="105"/>
      <c r="T1886" s="105"/>
      <c r="U1886" s="105"/>
      <c r="V1886" s="105"/>
      <c r="W1886" s="105"/>
      <c r="X1886" s="11"/>
      <c r="Y1886" s="11"/>
      <c r="Z1886" s="105"/>
      <c r="AA1886" s="11"/>
      <c r="AB1886" s="11"/>
      <c r="AC1886" s="105"/>
      <c r="AD1886" s="11" t="b">
        <v>0</v>
      </c>
      <c r="AE1886" s="105"/>
      <c r="AF1886" s="11"/>
      <c r="AG1886" s="11"/>
      <c r="AH1886" s="11"/>
      <c r="AI1886" s="11"/>
    </row>
    <row r="1887" ht="12.5" spans="3:35">
      <c r="C1887" s="19"/>
      <c r="D1887" s="19"/>
      <c r="H1887" s="105"/>
      <c r="I1887" s="126"/>
      <c r="J1887" s="11"/>
      <c r="K1887" s="108"/>
      <c r="L1887" s="11"/>
      <c r="M1887" s="105"/>
      <c r="N1887" s="105"/>
      <c r="O1887" s="11"/>
      <c r="P1887" s="11"/>
      <c r="Q1887" s="105"/>
      <c r="R1887" s="105"/>
      <c r="S1887" s="105"/>
      <c r="T1887" s="105"/>
      <c r="U1887" s="105"/>
      <c r="V1887" s="105"/>
      <c r="W1887" s="105"/>
      <c r="X1887" s="11"/>
      <c r="Y1887" s="11"/>
      <c r="Z1887" s="105"/>
      <c r="AA1887" s="11"/>
      <c r="AB1887" s="11"/>
      <c r="AC1887" s="105"/>
      <c r="AD1887" s="11" t="b">
        <v>0</v>
      </c>
      <c r="AE1887" s="105"/>
      <c r="AF1887" s="11"/>
      <c r="AG1887" s="11"/>
      <c r="AH1887" s="11"/>
      <c r="AI1887" s="11"/>
    </row>
    <row r="1888" ht="12.5" spans="3:35">
      <c r="C1888" s="19"/>
      <c r="D1888" s="19"/>
      <c r="H1888" s="105"/>
      <c r="I1888" s="126"/>
      <c r="J1888" s="11"/>
      <c r="K1888" s="108"/>
      <c r="L1888" s="11"/>
      <c r="M1888" s="105"/>
      <c r="N1888" s="105"/>
      <c r="O1888" s="11"/>
      <c r="P1888" s="11"/>
      <c r="Q1888" s="105"/>
      <c r="R1888" s="105"/>
      <c r="S1888" s="105"/>
      <c r="T1888" s="105"/>
      <c r="U1888" s="105"/>
      <c r="V1888" s="105"/>
      <c r="W1888" s="105"/>
      <c r="X1888" s="11"/>
      <c r="Y1888" s="11"/>
      <c r="Z1888" s="105"/>
      <c r="AA1888" s="11"/>
      <c r="AB1888" s="11"/>
      <c r="AC1888" s="105"/>
      <c r="AD1888" s="11" t="b">
        <v>0</v>
      </c>
      <c r="AE1888" s="105"/>
      <c r="AF1888" s="11"/>
      <c r="AG1888" s="11"/>
      <c r="AH1888" s="11"/>
      <c r="AI1888" s="11"/>
    </row>
    <row r="1889" ht="12.5" spans="3:35">
      <c r="C1889" s="19"/>
      <c r="D1889" s="19"/>
      <c r="H1889" s="105"/>
      <c r="I1889" s="126"/>
      <c r="J1889" s="11"/>
      <c r="K1889" s="108"/>
      <c r="L1889" s="11"/>
      <c r="M1889" s="105"/>
      <c r="N1889" s="105"/>
      <c r="O1889" s="11"/>
      <c r="P1889" s="11"/>
      <c r="Q1889" s="105"/>
      <c r="R1889" s="105"/>
      <c r="S1889" s="105"/>
      <c r="T1889" s="105"/>
      <c r="U1889" s="105"/>
      <c r="V1889" s="105"/>
      <c r="W1889" s="105"/>
      <c r="X1889" s="11"/>
      <c r="Y1889" s="11"/>
      <c r="Z1889" s="105"/>
      <c r="AA1889" s="11"/>
      <c r="AB1889" s="11"/>
      <c r="AC1889" s="105"/>
      <c r="AD1889" s="11" t="b">
        <v>0</v>
      </c>
      <c r="AE1889" s="105"/>
      <c r="AF1889" s="11"/>
      <c r="AG1889" s="11"/>
      <c r="AH1889" s="11"/>
      <c r="AI1889" s="11"/>
    </row>
    <row r="1890" ht="12.5" spans="3:35">
      <c r="C1890" s="19"/>
      <c r="D1890" s="19"/>
      <c r="H1890" s="105"/>
      <c r="I1890" s="126"/>
      <c r="J1890" s="11"/>
      <c r="K1890" s="108"/>
      <c r="L1890" s="11"/>
      <c r="M1890" s="105"/>
      <c r="N1890" s="105"/>
      <c r="O1890" s="11"/>
      <c r="P1890" s="11"/>
      <c r="Q1890" s="105"/>
      <c r="R1890" s="105"/>
      <c r="S1890" s="105"/>
      <c r="T1890" s="105"/>
      <c r="U1890" s="105"/>
      <c r="V1890" s="105"/>
      <c r="W1890" s="105"/>
      <c r="X1890" s="11"/>
      <c r="Y1890" s="11"/>
      <c r="Z1890" s="105"/>
      <c r="AA1890" s="11"/>
      <c r="AB1890" s="11"/>
      <c r="AC1890" s="105"/>
      <c r="AD1890" s="11" t="b">
        <v>0</v>
      </c>
      <c r="AE1890" s="105"/>
      <c r="AF1890" s="11"/>
      <c r="AG1890" s="11"/>
      <c r="AH1890" s="11"/>
      <c r="AI1890" s="11"/>
    </row>
    <row r="1891" ht="12.5" spans="3:35">
      <c r="C1891" s="19"/>
      <c r="D1891" s="19"/>
      <c r="H1891" s="105"/>
      <c r="I1891" s="126"/>
      <c r="J1891" s="11"/>
      <c r="K1891" s="108"/>
      <c r="L1891" s="11"/>
      <c r="M1891" s="105"/>
      <c r="N1891" s="105"/>
      <c r="O1891" s="11"/>
      <c r="P1891" s="11"/>
      <c r="Q1891" s="105"/>
      <c r="R1891" s="105"/>
      <c r="S1891" s="105"/>
      <c r="T1891" s="105"/>
      <c r="U1891" s="105"/>
      <c r="V1891" s="105"/>
      <c r="W1891" s="105"/>
      <c r="X1891" s="11"/>
      <c r="Y1891" s="11"/>
      <c r="Z1891" s="105"/>
      <c r="AA1891" s="11"/>
      <c r="AB1891" s="11"/>
      <c r="AC1891" s="105"/>
      <c r="AD1891" s="11" t="b">
        <v>0</v>
      </c>
      <c r="AE1891" s="105"/>
      <c r="AF1891" s="11"/>
      <c r="AG1891" s="11"/>
      <c r="AH1891" s="11"/>
      <c r="AI1891" s="11"/>
    </row>
    <row r="1892" ht="12.5" spans="3:35">
      <c r="C1892" s="19"/>
      <c r="D1892" s="19"/>
      <c r="H1892" s="105"/>
      <c r="I1892" s="126"/>
      <c r="J1892" s="11"/>
      <c r="K1892" s="108"/>
      <c r="L1892" s="11"/>
      <c r="M1892" s="105"/>
      <c r="N1892" s="105"/>
      <c r="O1892" s="11"/>
      <c r="P1892" s="11"/>
      <c r="Q1892" s="105"/>
      <c r="R1892" s="105"/>
      <c r="S1892" s="105"/>
      <c r="T1892" s="105"/>
      <c r="U1892" s="105"/>
      <c r="V1892" s="105"/>
      <c r="W1892" s="105"/>
      <c r="X1892" s="11"/>
      <c r="Y1892" s="11"/>
      <c r="Z1892" s="105"/>
      <c r="AA1892" s="11"/>
      <c r="AB1892" s="11"/>
      <c r="AC1892" s="105"/>
      <c r="AD1892" s="11" t="b">
        <v>0</v>
      </c>
      <c r="AE1892" s="105"/>
      <c r="AF1892" s="11"/>
      <c r="AG1892" s="11"/>
      <c r="AH1892" s="11"/>
      <c r="AI1892" s="11"/>
    </row>
    <row r="1893" ht="12.5" spans="3:35">
      <c r="C1893" s="19"/>
      <c r="D1893" s="19"/>
      <c r="H1893" s="105"/>
      <c r="I1893" s="126"/>
      <c r="J1893" s="11"/>
      <c r="K1893" s="108"/>
      <c r="L1893" s="11"/>
      <c r="M1893" s="105"/>
      <c r="N1893" s="105"/>
      <c r="O1893" s="11"/>
      <c r="P1893" s="11"/>
      <c r="Q1893" s="105"/>
      <c r="R1893" s="105"/>
      <c r="S1893" s="105"/>
      <c r="T1893" s="105"/>
      <c r="U1893" s="105"/>
      <c r="V1893" s="105"/>
      <c r="W1893" s="105"/>
      <c r="X1893" s="11"/>
      <c r="Y1893" s="11"/>
      <c r="Z1893" s="105"/>
      <c r="AA1893" s="11"/>
      <c r="AB1893" s="11"/>
      <c r="AC1893" s="105"/>
      <c r="AD1893" s="11" t="b">
        <v>0</v>
      </c>
      <c r="AE1893" s="105"/>
      <c r="AF1893" s="11"/>
      <c r="AG1893" s="11"/>
      <c r="AH1893" s="11"/>
      <c r="AI1893" s="11"/>
    </row>
    <row r="1894" ht="12.5" spans="3:35">
      <c r="C1894" s="19"/>
      <c r="D1894" s="19"/>
      <c r="H1894" s="105"/>
      <c r="I1894" s="126"/>
      <c r="J1894" s="11"/>
      <c r="K1894" s="108"/>
      <c r="L1894" s="11"/>
      <c r="M1894" s="105"/>
      <c r="N1894" s="105"/>
      <c r="O1894" s="11"/>
      <c r="P1894" s="11"/>
      <c r="Q1894" s="105"/>
      <c r="R1894" s="105"/>
      <c r="S1894" s="105"/>
      <c r="T1894" s="105"/>
      <c r="U1894" s="105"/>
      <c r="V1894" s="105"/>
      <c r="W1894" s="105"/>
      <c r="X1894" s="11"/>
      <c r="Y1894" s="11"/>
      <c r="Z1894" s="105"/>
      <c r="AA1894" s="11"/>
      <c r="AB1894" s="11"/>
      <c r="AC1894" s="105"/>
      <c r="AD1894" s="11" t="b">
        <v>0</v>
      </c>
      <c r="AE1894" s="105"/>
      <c r="AF1894" s="11"/>
      <c r="AG1894" s="11"/>
      <c r="AH1894" s="11"/>
      <c r="AI1894" s="11"/>
    </row>
    <row r="1895" ht="12.5" spans="3:35">
      <c r="C1895" s="19"/>
      <c r="D1895" s="19"/>
      <c r="H1895" s="105"/>
      <c r="I1895" s="126"/>
      <c r="J1895" s="11"/>
      <c r="K1895" s="108"/>
      <c r="L1895" s="11"/>
      <c r="M1895" s="105"/>
      <c r="N1895" s="105"/>
      <c r="O1895" s="11"/>
      <c r="P1895" s="11"/>
      <c r="Q1895" s="105"/>
      <c r="R1895" s="105"/>
      <c r="S1895" s="105"/>
      <c r="T1895" s="105"/>
      <c r="U1895" s="105"/>
      <c r="V1895" s="105"/>
      <c r="W1895" s="105"/>
      <c r="X1895" s="11"/>
      <c r="Y1895" s="11"/>
      <c r="Z1895" s="105"/>
      <c r="AA1895" s="11"/>
      <c r="AB1895" s="11"/>
      <c r="AC1895" s="105"/>
      <c r="AD1895" s="11" t="b">
        <v>0</v>
      </c>
      <c r="AE1895" s="105"/>
      <c r="AF1895" s="11"/>
      <c r="AG1895" s="11"/>
      <c r="AH1895" s="11"/>
      <c r="AI1895" s="11"/>
    </row>
    <row r="1896" ht="12.5" spans="3:35">
      <c r="C1896" s="19"/>
      <c r="D1896" s="19"/>
      <c r="H1896" s="105"/>
      <c r="I1896" s="126"/>
      <c r="J1896" s="11"/>
      <c r="K1896" s="108"/>
      <c r="L1896" s="11"/>
      <c r="M1896" s="105"/>
      <c r="N1896" s="105"/>
      <c r="O1896" s="11"/>
      <c r="P1896" s="11"/>
      <c r="Q1896" s="105"/>
      <c r="R1896" s="105"/>
      <c r="S1896" s="105"/>
      <c r="T1896" s="105"/>
      <c r="U1896" s="105"/>
      <c r="V1896" s="105"/>
      <c r="W1896" s="105"/>
      <c r="X1896" s="11"/>
      <c r="Y1896" s="11"/>
      <c r="Z1896" s="105"/>
      <c r="AA1896" s="11"/>
      <c r="AB1896" s="11"/>
      <c r="AC1896" s="105"/>
      <c r="AD1896" s="11" t="b">
        <v>0</v>
      </c>
      <c r="AE1896" s="105"/>
      <c r="AF1896" s="11"/>
      <c r="AG1896" s="11"/>
      <c r="AH1896" s="11"/>
      <c r="AI1896" s="11"/>
    </row>
    <row r="1897" ht="12.5" spans="3:35">
      <c r="C1897" s="19"/>
      <c r="D1897" s="19"/>
      <c r="H1897" s="105"/>
      <c r="I1897" s="126"/>
      <c r="J1897" s="11"/>
      <c r="K1897" s="108"/>
      <c r="L1897" s="11"/>
      <c r="M1897" s="105"/>
      <c r="N1897" s="105"/>
      <c r="O1897" s="11"/>
      <c r="P1897" s="11"/>
      <c r="Q1897" s="105"/>
      <c r="R1897" s="105"/>
      <c r="S1897" s="105"/>
      <c r="T1897" s="105"/>
      <c r="U1897" s="105"/>
      <c r="V1897" s="105"/>
      <c r="W1897" s="105"/>
      <c r="X1897" s="11"/>
      <c r="Y1897" s="11"/>
      <c r="Z1897" s="105"/>
      <c r="AA1897" s="11"/>
      <c r="AB1897" s="11"/>
      <c r="AC1897" s="105"/>
      <c r="AD1897" s="11" t="b">
        <v>0</v>
      </c>
      <c r="AE1897" s="105"/>
      <c r="AF1897" s="11"/>
      <c r="AG1897" s="11"/>
      <c r="AH1897" s="11"/>
      <c r="AI1897" s="11"/>
    </row>
    <row r="1898" ht="12.5" spans="3:35">
      <c r="C1898" s="19"/>
      <c r="D1898" s="19"/>
      <c r="H1898" s="105"/>
      <c r="I1898" s="126"/>
      <c r="J1898" s="11"/>
      <c r="K1898" s="108"/>
      <c r="L1898" s="11"/>
      <c r="M1898" s="105"/>
      <c r="N1898" s="105"/>
      <c r="O1898" s="11"/>
      <c r="P1898" s="11"/>
      <c r="Q1898" s="105"/>
      <c r="R1898" s="105"/>
      <c r="S1898" s="105"/>
      <c r="T1898" s="105"/>
      <c r="U1898" s="105"/>
      <c r="V1898" s="105"/>
      <c r="W1898" s="105"/>
      <c r="X1898" s="11"/>
      <c r="Y1898" s="11"/>
      <c r="Z1898" s="105"/>
      <c r="AA1898" s="11"/>
      <c r="AB1898" s="11"/>
      <c r="AC1898" s="105"/>
      <c r="AD1898" s="11" t="b">
        <v>0</v>
      </c>
      <c r="AE1898" s="105"/>
      <c r="AF1898" s="11"/>
      <c r="AG1898" s="11"/>
      <c r="AH1898" s="11"/>
      <c r="AI1898" s="11"/>
    </row>
    <row r="1899" ht="12.5" spans="3:35">
      <c r="C1899" s="19"/>
      <c r="D1899" s="19"/>
      <c r="H1899" s="105"/>
      <c r="I1899" s="126"/>
      <c r="J1899" s="11"/>
      <c r="K1899" s="108"/>
      <c r="L1899" s="11"/>
      <c r="M1899" s="105"/>
      <c r="N1899" s="105"/>
      <c r="O1899" s="11"/>
      <c r="P1899" s="11"/>
      <c r="Q1899" s="105"/>
      <c r="R1899" s="105"/>
      <c r="S1899" s="105"/>
      <c r="T1899" s="105"/>
      <c r="U1899" s="105"/>
      <c r="V1899" s="105"/>
      <c r="W1899" s="105"/>
      <c r="X1899" s="11"/>
      <c r="Y1899" s="11"/>
      <c r="Z1899" s="105"/>
      <c r="AA1899" s="11"/>
      <c r="AB1899" s="11"/>
      <c r="AC1899" s="105"/>
      <c r="AD1899" s="11" t="b">
        <v>0</v>
      </c>
      <c r="AE1899" s="105"/>
      <c r="AF1899" s="11"/>
      <c r="AG1899" s="11"/>
      <c r="AH1899" s="11"/>
      <c r="AI1899" s="11"/>
    </row>
    <row r="1900" ht="12.5" spans="3:35">
      <c r="C1900" s="19"/>
      <c r="D1900" s="19"/>
      <c r="H1900" s="105"/>
      <c r="I1900" s="126"/>
      <c r="J1900" s="11"/>
      <c r="K1900" s="108"/>
      <c r="L1900" s="11"/>
      <c r="M1900" s="105"/>
      <c r="N1900" s="105"/>
      <c r="O1900" s="11"/>
      <c r="P1900" s="11"/>
      <c r="Q1900" s="105"/>
      <c r="R1900" s="105"/>
      <c r="S1900" s="105"/>
      <c r="T1900" s="105"/>
      <c r="U1900" s="105"/>
      <c r="V1900" s="105"/>
      <c r="W1900" s="105"/>
      <c r="X1900" s="11"/>
      <c r="Y1900" s="11"/>
      <c r="Z1900" s="105"/>
      <c r="AA1900" s="11"/>
      <c r="AB1900" s="11"/>
      <c r="AC1900" s="105"/>
      <c r="AD1900" s="11" t="b">
        <v>0</v>
      </c>
      <c r="AE1900" s="105"/>
      <c r="AF1900" s="11"/>
      <c r="AG1900" s="11"/>
      <c r="AH1900" s="11"/>
      <c r="AI1900" s="11"/>
    </row>
    <row r="1901" ht="12.5" spans="3:35">
      <c r="C1901" s="19"/>
      <c r="D1901" s="19"/>
      <c r="H1901" s="105"/>
      <c r="I1901" s="126"/>
      <c r="J1901" s="11"/>
      <c r="K1901" s="108"/>
      <c r="L1901" s="11"/>
      <c r="M1901" s="105"/>
      <c r="N1901" s="105"/>
      <c r="O1901" s="11"/>
      <c r="P1901" s="11"/>
      <c r="Q1901" s="105"/>
      <c r="R1901" s="105"/>
      <c r="S1901" s="105"/>
      <c r="T1901" s="105"/>
      <c r="U1901" s="105"/>
      <c r="V1901" s="105"/>
      <c r="W1901" s="105"/>
      <c r="X1901" s="11"/>
      <c r="Y1901" s="11"/>
      <c r="Z1901" s="105"/>
      <c r="AA1901" s="11"/>
      <c r="AB1901" s="11"/>
      <c r="AC1901" s="105"/>
      <c r="AD1901" s="11" t="b">
        <v>0</v>
      </c>
      <c r="AE1901" s="105"/>
      <c r="AF1901" s="11"/>
      <c r="AG1901" s="11"/>
      <c r="AH1901" s="11"/>
      <c r="AI1901" s="11"/>
    </row>
    <row r="1902" ht="12.5" spans="3:35">
      <c r="C1902" s="19"/>
      <c r="D1902" s="19"/>
      <c r="H1902" s="105"/>
      <c r="I1902" s="126"/>
      <c r="J1902" s="11"/>
      <c r="K1902" s="108"/>
      <c r="L1902" s="11"/>
      <c r="M1902" s="105"/>
      <c r="N1902" s="105"/>
      <c r="O1902" s="11"/>
      <c r="P1902" s="11"/>
      <c r="Q1902" s="105"/>
      <c r="R1902" s="105"/>
      <c r="S1902" s="105"/>
      <c r="T1902" s="105"/>
      <c r="U1902" s="105"/>
      <c r="V1902" s="105"/>
      <c r="W1902" s="105"/>
      <c r="X1902" s="11"/>
      <c r="Y1902" s="11"/>
      <c r="Z1902" s="105"/>
      <c r="AA1902" s="11"/>
      <c r="AB1902" s="11"/>
      <c r="AC1902" s="105"/>
      <c r="AD1902" s="11" t="b">
        <v>0</v>
      </c>
      <c r="AE1902" s="105"/>
      <c r="AF1902" s="11"/>
      <c r="AG1902" s="11"/>
      <c r="AH1902" s="11"/>
      <c r="AI1902" s="11"/>
    </row>
    <row r="1903" ht="12.5" spans="3:35">
      <c r="C1903" s="19"/>
      <c r="D1903" s="19"/>
      <c r="H1903" s="105"/>
      <c r="I1903" s="126"/>
      <c r="J1903" s="11"/>
      <c r="K1903" s="108"/>
      <c r="L1903" s="11"/>
      <c r="M1903" s="105"/>
      <c r="N1903" s="105"/>
      <c r="O1903" s="11"/>
      <c r="P1903" s="11"/>
      <c r="Q1903" s="105"/>
      <c r="R1903" s="105"/>
      <c r="S1903" s="105"/>
      <c r="T1903" s="105"/>
      <c r="U1903" s="105"/>
      <c r="V1903" s="105"/>
      <c r="W1903" s="105"/>
      <c r="X1903" s="11"/>
      <c r="Y1903" s="11"/>
      <c r="Z1903" s="105"/>
      <c r="AA1903" s="11"/>
      <c r="AB1903" s="11"/>
      <c r="AC1903" s="105"/>
      <c r="AD1903" s="11" t="b">
        <v>0</v>
      </c>
      <c r="AE1903" s="105"/>
      <c r="AF1903" s="11"/>
      <c r="AG1903" s="11"/>
      <c r="AH1903" s="11"/>
      <c r="AI1903" s="11"/>
    </row>
    <row r="1904" ht="12.5" spans="3:35">
      <c r="C1904" s="19"/>
      <c r="D1904" s="19"/>
      <c r="H1904" s="105"/>
      <c r="I1904" s="126"/>
      <c r="J1904" s="11"/>
      <c r="K1904" s="108"/>
      <c r="L1904" s="11"/>
      <c r="M1904" s="105"/>
      <c r="N1904" s="105"/>
      <c r="O1904" s="11"/>
      <c r="P1904" s="11"/>
      <c r="Q1904" s="105"/>
      <c r="R1904" s="105"/>
      <c r="S1904" s="105"/>
      <c r="T1904" s="105"/>
      <c r="U1904" s="105"/>
      <c r="V1904" s="105"/>
      <c r="W1904" s="105"/>
      <c r="X1904" s="11"/>
      <c r="Y1904" s="11"/>
      <c r="Z1904" s="105"/>
      <c r="AA1904" s="11"/>
      <c r="AB1904" s="11"/>
      <c r="AC1904" s="105"/>
      <c r="AD1904" s="11" t="b">
        <v>0</v>
      </c>
      <c r="AE1904" s="105"/>
      <c r="AF1904" s="11"/>
      <c r="AG1904" s="11"/>
      <c r="AH1904" s="11"/>
      <c r="AI1904" s="11"/>
    </row>
    <row r="1905" ht="12.5" spans="3:35">
      <c r="C1905" s="19"/>
      <c r="D1905" s="19"/>
      <c r="H1905" s="105"/>
      <c r="I1905" s="126"/>
      <c r="J1905" s="11"/>
      <c r="K1905" s="108"/>
      <c r="L1905" s="11"/>
      <c r="M1905" s="105"/>
      <c r="N1905" s="105"/>
      <c r="O1905" s="11"/>
      <c r="P1905" s="11"/>
      <c r="Q1905" s="105"/>
      <c r="R1905" s="105"/>
      <c r="S1905" s="105"/>
      <c r="T1905" s="105"/>
      <c r="U1905" s="105"/>
      <c r="V1905" s="105"/>
      <c r="W1905" s="105"/>
      <c r="X1905" s="11"/>
      <c r="Y1905" s="11"/>
      <c r="Z1905" s="105"/>
      <c r="AA1905" s="11"/>
      <c r="AB1905" s="11"/>
      <c r="AC1905" s="105"/>
      <c r="AD1905" s="11" t="b">
        <v>0</v>
      </c>
      <c r="AE1905" s="105"/>
      <c r="AF1905" s="11"/>
      <c r="AG1905" s="11"/>
      <c r="AH1905" s="11"/>
      <c r="AI1905" s="11"/>
    </row>
    <row r="1906" ht="12.5" spans="3:35">
      <c r="C1906" s="19"/>
      <c r="D1906" s="19"/>
      <c r="H1906" s="105"/>
      <c r="I1906" s="126"/>
      <c r="J1906" s="11"/>
      <c r="K1906" s="108"/>
      <c r="L1906" s="11"/>
      <c r="M1906" s="105"/>
      <c r="N1906" s="105"/>
      <c r="O1906" s="11"/>
      <c r="P1906" s="11"/>
      <c r="Q1906" s="105"/>
      <c r="R1906" s="105"/>
      <c r="S1906" s="105"/>
      <c r="T1906" s="105"/>
      <c r="U1906" s="105"/>
      <c r="V1906" s="105"/>
      <c r="W1906" s="105"/>
      <c r="X1906" s="11"/>
      <c r="Y1906" s="11"/>
      <c r="Z1906" s="105"/>
      <c r="AA1906" s="11"/>
      <c r="AB1906" s="11"/>
      <c r="AC1906" s="105"/>
      <c r="AD1906" s="11" t="b">
        <v>0</v>
      </c>
      <c r="AE1906" s="105"/>
      <c r="AF1906" s="11"/>
      <c r="AG1906" s="11"/>
      <c r="AH1906" s="11"/>
      <c r="AI1906" s="11"/>
    </row>
    <row r="1907" ht="12.5" spans="3:35">
      <c r="C1907" s="19"/>
      <c r="D1907" s="19"/>
      <c r="H1907" s="105"/>
      <c r="I1907" s="126"/>
      <c r="J1907" s="11"/>
      <c r="K1907" s="108"/>
      <c r="L1907" s="11"/>
      <c r="M1907" s="105"/>
      <c r="N1907" s="105"/>
      <c r="O1907" s="11"/>
      <c r="P1907" s="11"/>
      <c r="Q1907" s="105"/>
      <c r="R1907" s="105"/>
      <c r="S1907" s="105"/>
      <c r="T1907" s="105"/>
      <c r="U1907" s="105"/>
      <c r="V1907" s="105"/>
      <c r="W1907" s="105"/>
      <c r="X1907" s="11"/>
      <c r="Y1907" s="11"/>
      <c r="Z1907" s="105"/>
      <c r="AA1907" s="11"/>
      <c r="AB1907" s="11"/>
      <c r="AC1907" s="105"/>
      <c r="AD1907" s="11" t="b">
        <v>0</v>
      </c>
      <c r="AE1907" s="105"/>
      <c r="AF1907" s="11"/>
      <c r="AG1907" s="11"/>
      <c r="AH1907" s="11"/>
      <c r="AI1907" s="11"/>
    </row>
    <row r="1908" ht="12.5" spans="3:35">
      <c r="C1908" s="19"/>
      <c r="D1908" s="19"/>
      <c r="H1908" s="105"/>
      <c r="I1908" s="126"/>
      <c r="J1908" s="11"/>
      <c r="K1908" s="108"/>
      <c r="L1908" s="11"/>
      <c r="M1908" s="105"/>
      <c r="N1908" s="105"/>
      <c r="O1908" s="11"/>
      <c r="P1908" s="11"/>
      <c r="Q1908" s="105"/>
      <c r="R1908" s="105"/>
      <c r="S1908" s="105"/>
      <c r="T1908" s="105"/>
      <c r="U1908" s="105"/>
      <c r="V1908" s="105"/>
      <c r="W1908" s="105"/>
      <c r="X1908" s="11"/>
      <c r="Y1908" s="11"/>
      <c r="Z1908" s="105"/>
      <c r="AA1908" s="11"/>
      <c r="AB1908" s="11"/>
      <c r="AC1908" s="105"/>
      <c r="AD1908" s="11" t="b">
        <v>0</v>
      </c>
      <c r="AE1908" s="105"/>
      <c r="AF1908" s="11"/>
      <c r="AG1908" s="11"/>
      <c r="AH1908" s="11"/>
      <c r="AI1908" s="11"/>
    </row>
    <row r="1909" ht="12.5" spans="3:35">
      <c r="C1909" s="19"/>
      <c r="D1909" s="19"/>
      <c r="H1909" s="105"/>
      <c r="I1909" s="126"/>
      <c r="J1909" s="11"/>
      <c r="K1909" s="108"/>
      <c r="L1909" s="11"/>
      <c r="M1909" s="105"/>
      <c r="N1909" s="105"/>
      <c r="O1909" s="11"/>
      <c r="P1909" s="11"/>
      <c r="Q1909" s="105"/>
      <c r="R1909" s="105"/>
      <c r="S1909" s="105"/>
      <c r="T1909" s="105"/>
      <c r="U1909" s="105"/>
      <c r="V1909" s="105"/>
      <c r="W1909" s="105"/>
      <c r="X1909" s="11"/>
      <c r="Y1909" s="11"/>
      <c r="Z1909" s="105"/>
      <c r="AA1909" s="11"/>
      <c r="AB1909" s="11"/>
      <c r="AC1909" s="105"/>
      <c r="AD1909" s="11" t="b">
        <v>0</v>
      </c>
      <c r="AE1909" s="105"/>
      <c r="AF1909" s="11"/>
      <c r="AG1909" s="11"/>
      <c r="AH1909" s="11"/>
      <c r="AI1909" s="11"/>
    </row>
    <row r="1910" ht="12.5" spans="3:35">
      <c r="C1910" s="19"/>
      <c r="D1910" s="19"/>
      <c r="H1910" s="105"/>
      <c r="I1910" s="126"/>
      <c r="J1910" s="11"/>
      <c r="K1910" s="108"/>
      <c r="L1910" s="11"/>
      <c r="M1910" s="105"/>
      <c r="N1910" s="105"/>
      <c r="O1910" s="11"/>
      <c r="P1910" s="11"/>
      <c r="Q1910" s="105"/>
      <c r="R1910" s="105"/>
      <c r="S1910" s="105"/>
      <c r="T1910" s="105"/>
      <c r="U1910" s="105"/>
      <c r="V1910" s="105"/>
      <c r="W1910" s="105"/>
      <c r="X1910" s="11"/>
      <c r="Y1910" s="11"/>
      <c r="Z1910" s="105"/>
      <c r="AA1910" s="11"/>
      <c r="AB1910" s="11"/>
      <c r="AC1910" s="105"/>
      <c r="AD1910" s="11" t="b">
        <v>0</v>
      </c>
      <c r="AE1910" s="105"/>
      <c r="AF1910" s="11"/>
      <c r="AG1910" s="11"/>
      <c r="AH1910" s="11"/>
      <c r="AI1910" s="11"/>
    </row>
    <row r="1911" ht="12.5" spans="3:35">
      <c r="C1911" s="19"/>
      <c r="D1911" s="19"/>
      <c r="H1911" s="105"/>
      <c r="I1911" s="126"/>
      <c r="J1911" s="11"/>
      <c r="K1911" s="108"/>
      <c r="L1911" s="11"/>
      <c r="M1911" s="105"/>
      <c r="N1911" s="105"/>
      <c r="O1911" s="11"/>
      <c r="P1911" s="11"/>
      <c r="Q1911" s="105"/>
      <c r="R1911" s="105"/>
      <c r="S1911" s="105"/>
      <c r="T1911" s="105"/>
      <c r="U1911" s="105"/>
      <c r="V1911" s="105"/>
      <c r="W1911" s="105"/>
      <c r="X1911" s="11"/>
      <c r="Y1911" s="11"/>
      <c r="Z1911" s="105"/>
      <c r="AA1911" s="11"/>
      <c r="AB1911" s="11"/>
      <c r="AC1911" s="105"/>
      <c r="AD1911" s="11" t="b">
        <v>0</v>
      </c>
      <c r="AE1911" s="105"/>
      <c r="AF1911" s="11"/>
      <c r="AG1911" s="11"/>
      <c r="AH1911" s="11"/>
      <c r="AI1911" s="11"/>
    </row>
    <row r="1912" ht="12.5" spans="3:35">
      <c r="C1912" s="19"/>
      <c r="D1912" s="19"/>
      <c r="H1912" s="105"/>
      <c r="I1912" s="126"/>
      <c r="J1912" s="11"/>
      <c r="K1912" s="108"/>
      <c r="L1912" s="11"/>
      <c r="M1912" s="105"/>
      <c r="N1912" s="105"/>
      <c r="O1912" s="11"/>
      <c r="P1912" s="11"/>
      <c r="Q1912" s="105"/>
      <c r="R1912" s="105"/>
      <c r="S1912" s="105"/>
      <c r="T1912" s="105"/>
      <c r="U1912" s="105"/>
      <c r="V1912" s="105"/>
      <c r="W1912" s="105"/>
      <c r="X1912" s="11"/>
      <c r="Y1912" s="11"/>
      <c r="Z1912" s="105"/>
      <c r="AA1912" s="11"/>
      <c r="AB1912" s="11"/>
      <c r="AC1912" s="105"/>
      <c r="AD1912" s="11" t="b">
        <v>0</v>
      </c>
      <c r="AE1912" s="105"/>
      <c r="AF1912" s="11"/>
      <c r="AG1912" s="11"/>
      <c r="AH1912" s="11"/>
      <c r="AI1912" s="11"/>
    </row>
    <row r="1913" ht="12.5" spans="3:35">
      <c r="C1913" s="19"/>
      <c r="D1913" s="19"/>
      <c r="H1913" s="105"/>
      <c r="I1913" s="126"/>
      <c r="J1913" s="11"/>
      <c r="K1913" s="108"/>
      <c r="L1913" s="11"/>
      <c r="M1913" s="105"/>
      <c r="N1913" s="105"/>
      <c r="O1913" s="11"/>
      <c r="P1913" s="11"/>
      <c r="Q1913" s="105"/>
      <c r="R1913" s="105"/>
      <c r="S1913" s="105"/>
      <c r="T1913" s="105"/>
      <c r="U1913" s="105"/>
      <c r="V1913" s="105"/>
      <c r="W1913" s="105"/>
      <c r="X1913" s="11"/>
      <c r="Y1913" s="11"/>
      <c r="Z1913" s="105"/>
      <c r="AA1913" s="11"/>
      <c r="AB1913" s="11"/>
      <c r="AC1913" s="105"/>
      <c r="AD1913" s="11" t="b">
        <v>0</v>
      </c>
      <c r="AE1913" s="105"/>
      <c r="AF1913" s="11"/>
      <c r="AG1913" s="11"/>
      <c r="AH1913" s="11"/>
      <c r="AI1913" s="11"/>
    </row>
    <row r="1914" ht="12.5" spans="3:35">
      <c r="C1914" s="19"/>
      <c r="D1914" s="19"/>
      <c r="H1914" s="105"/>
      <c r="I1914" s="126"/>
      <c r="J1914" s="11"/>
      <c r="K1914" s="108"/>
      <c r="L1914" s="11"/>
      <c r="M1914" s="105"/>
      <c r="N1914" s="105"/>
      <c r="O1914" s="11"/>
      <c r="P1914" s="11"/>
      <c r="Q1914" s="105"/>
      <c r="R1914" s="105"/>
      <c r="S1914" s="105"/>
      <c r="T1914" s="105"/>
      <c r="U1914" s="105"/>
      <c r="V1914" s="105"/>
      <c r="W1914" s="105"/>
      <c r="X1914" s="11"/>
      <c r="Y1914" s="11"/>
      <c r="Z1914" s="105"/>
      <c r="AA1914" s="11"/>
      <c r="AB1914" s="11"/>
      <c r="AC1914" s="105"/>
      <c r="AD1914" s="11" t="b">
        <v>0</v>
      </c>
      <c r="AE1914" s="105"/>
      <c r="AF1914" s="11"/>
      <c r="AG1914" s="11"/>
      <c r="AH1914" s="11"/>
      <c r="AI1914" s="11"/>
    </row>
    <row r="1915" ht="12.5" spans="3:35">
      <c r="C1915" s="19"/>
      <c r="D1915" s="19"/>
      <c r="H1915" s="105"/>
      <c r="I1915" s="126"/>
      <c r="J1915" s="11"/>
      <c r="K1915" s="108"/>
      <c r="L1915" s="11"/>
      <c r="M1915" s="105"/>
      <c r="N1915" s="105"/>
      <c r="O1915" s="11"/>
      <c r="P1915" s="11"/>
      <c r="Q1915" s="105"/>
      <c r="R1915" s="105"/>
      <c r="S1915" s="105"/>
      <c r="T1915" s="105"/>
      <c r="U1915" s="105"/>
      <c r="V1915" s="105"/>
      <c r="W1915" s="105"/>
      <c r="X1915" s="11"/>
      <c r="Y1915" s="11"/>
      <c r="Z1915" s="105"/>
      <c r="AA1915" s="11"/>
      <c r="AB1915" s="11"/>
      <c r="AC1915" s="105"/>
      <c r="AD1915" s="11" t="b">
        <v>0</v>
      </c>
      <c r="AE1915" s="105"/>
      <c r="AF1915" s="11"/>
      <c r="AG1915" s="11"/>
      <c r="AH1915" s="11"/>
      <c r="AI1915" s="11"/>
    </row>
    <row r="1916" ht="12.5" spans="3:35">
      <c r="C1916" s="19"/>
      <c r="D1916" s="19"/>
      <c r="H1916" s="105"/>
      <c r="I1916" s="126"/>
      <c r="J1916" s="11"/>
      <c r="K1916" s="108"/>
      <c r="L1916" s="11"/>
      <c r="M1916" s="105"/>
      <c r="N1916" s="105"/>
      <c r="O1916" s="11"/>
      <c r="P1916" s="11"/>
      <c r="Q1916" s="105"/>
      <c r="R1916" s="105"/>
      <c r="S1916" s="105"/>
      <c r="T1916" s="105"/>
      <c r="U1916" s="105"/>
      <c r="V1916" s="105"/>
      <c r="W1916" s="105"/>
      <c r="X1916" s="11"/>
      <c r="Y1916" s="11"/>
      <c r="Z1916" s="105"/>
      <c r="AA1916" s="11"/>
      <c r="AB1916" s="11"/>
      <c r="AC1916" s="105"/>
      <c r="AD1916" s="11" t="b">
        <v>0</v>
      </c>
      <c r="AE1916" s="105"/>
      <c r="AF1916" s="11"/>
      <c r="AG1916" s="11"/>
      <c r="AH1916" s="11"/>
      <c r="AI1916" s="11"/>
    </row>
    <row r="1917" ht="12.5" spans="3:35">
      <c r="C1917" s="19"/>
      <c r="D1917" s="19"/>
      <c r="H1917" s="105"/>
      <c r="I1917" s="126"/>
      <c r="J1917" s="11"/>
      <c r="K1917" s="108"/>
      <c r="L1917" s="11"/>
      <c r="M1917" s="105"/>
      <c r="N1917" s="105"/>
      <c r="O1917" s="11"/>
      <c r="P1917" s="11"/>
      <c r="Q1917" s="105"/>
      <c r="R1917" s="105"/>
      <c r="S1917" s="105"/>
      <c r="T1917" s="105"/>
      <c r="U1917" s="105"/>
      <c r="V1917" s="105"/>
      <c r="W1917" s="105"/>
      <c r="X1917" s="11"/>
      <c r="Y1917" s="11"/>
      <c r="Z1917" s="105"/>
      <c r="AA1917" s="11"/>
      <c r="AB1917" s="11"/>
      <c r="AC1917" s="105"/>
      <c r="AD1917" s="11" t="b">
        <v>0</v>
      </c>
      <c r="AE1917" s="105"/>
      <c r="AF1917" s="11"/>
      <c r="AG1917" s="11"/>
      <c r="AH1917" s="11"/>
      <c r="AI1917" s="11"/>
    </row>
    <row r="1918" ht="12.5" spans="3:35">
      <c r="C1918" s="19"/>
      <c r="D1918" s="19"/>
      <c r="H1918" s="105"/>
      <c r="I1918" s="126"/>
      <c r="J1918" s="11"/>
      <c r="K1918" s="108"/>
      <c r="L1918" s="11"/>
      <c r="M1918" s="105"/>
      <c r="N1918" s="105"/>
      <c r="O1918" s="11"/>
      <c r="P1918" s="11"/>
      <c r="Q1918" s="105"/>
      <c r="R1918" s="105"/>
      <c r="S1918" s="105"/>
      <c r="T1918" s="105"/>
      <c r="U1918" s="105"/>
      <c r="V1918" s="105"/>
      <c r="W1918" s="105"/>
      <c r="X1918" s="11"/>
      <c r="Y1918" s="11"/>
      <c r="Z1918" s="105"/>
      <c r="AA1918" s="11"/>
      <c r="AB1918" s="11"/>
      <c r="AC1918" s="105"/>
      <c r="AD1918" s="11" t="b">
        <v>0</v>
      </c>
      <c r="AE1918" s="105"/>
      <c r="AF1918" s="11"/>
      <c r="AG1918" s="11"/>
      <c r="AH1918" s="11"/>
      <c r="AI1918" s="11"/>
    </row>
    <row r="1919" ht="12.5" spans="3:35">
      <c r="C1919" s="19"/>
      <c r="D1919" s="19"/>
      <c r="H1919" s="105"/>
      <c r="I1919" s="126"/>
      <c r="J1919" s="11"/>
      <c r="K1919" s="108"/>
      <c r="L1919" s="11"/>
      <c r="M1919" s="105"/>
      <c r="N1919" s="105"/>
      <c r="O1919" s="11"/>
      <c r="P1919" s="11"/>
      <c r="Q1919" s="105"/>
      <c r="R1919" s="105"/>
      <c r="S1919" s="105"/>
      <c r="T1919" s="105"/>
      <c r="U1919" s="105"/>
      <c r="V1919" s="105"/>
      <c r="W1919" s="105"/>
      <c r="X1919" s="11"/>
      <c r="Y1919" s="11"/>
      <c r="Z1919" s="105"/>
      <c r="AA1919" s="11"/>
      <c r="AB1919" s="11"/>
      <c r="AC1919" s="105"/>
      <c r="AD1919" s="11" t="b">
        <v>0</v>
      </c>
      <c r="AE1919" s="105"/>
      <c r="AF1919" s="11"/>
      <c r="AG1919" s="11"/>
      <c r="AH1919" s="11"/>
      <c r="AI1919" s="11"/>
    </row>
    <row r="1920" ht="12.5" spans="3:35">
      <c r="C1920" s="19"/>
      <c r="D1920" s="19"/>
      <c r="H1920" s="105"/>
      <c r="I1920" s="126"/>
      <c r="J1920" s="11"/>
      <c r="K1920" s="108"/>
      <c r="L1920" s="11"/>
      <c r="M1920" s="105"/>
      <c r="N1920" s="105"/>
      <c r="O1920" s="11"/>
      <c r="P1920" s="11"/>
      <c r="Q1920" s="105"/>
      <c r="R1920" s="105"/>
      <c r="S1920" s="105"/>
      <c r="T1920" s="105"/>
      <c r="U1920" s="105"/>
      <c r="V1920" s="105"/>
      <c r="W1920" s="105"/>
      <c r="X1920" s="11"/>
      <c r="Y1920" s="11"/>
      <c r="Z1920" s="105"/>
      <c r="AA1920" s="11"/>
      <c r="AB1920" s="11"/>
      <c r="AC1920" s="105"/>
      <c r="AD1920" s="11" t="b">
        <v>0</v>
      </c>
      <c r="AE1920" s="105"/>
      <c r="AF1920" s="11"/>
      <c r="AG1920" s="11"/>
      <c r="AH1920" s="11"/>
      <c r="AI1920" s="11"/>
    </row>
    <row r="1921" ht="12.5" spans="3:35">
      <c r="C1921" s="19"/>
      <c r="D1921" s="19"/>
      <c r="H1921" s="105"/>
      <c r="I1921" s="126"/>
      <c r="J1921" s="11"/>
      <c r="K1921" s="108"/>
      <c r="L1921" s="11"/>
      <c r="M1921" s="105"/>
      <c r="N1921" s="105"/>
      <c r="O1921" s="11"/>
      <c r="P1921" s="11"/>
      <c r="Q1921" s="105"/>
      <c r="R1921" s="105"/>
      <c r="S1921" s="105"/>
      <c r="T1921" s="105"/>
      <c r="U1921" s="105"/>
      <c r="V1921" s="105"/>
      <c r="W1921" s="105"/>
      <c r="X1921" s="11"/>
      <c r="Y1921" s="11"/>
      <c r="Z1921" s="105"/>
      <c r="AA1921" s="11"/>
      <c r="AB1921" s="11"/>
      <c r="AC1921" s="105"/>
      <c r="AD1921" s="11" t="b">
        <v>0</v>
      </c>
      <c r="AE1921" s="105"/>
      <c r="AF1921" s="11"/>
      <c r="AG1921" s="11"/>
      <c r="AH1921" s="11"/>
      <c r="AI1921" s="11"/>
    </row>
    <row r="1922" ht="12.5" spans="3:35">
      <c r="C1922" s="19"/>
      <c r="D1922" s="19"/>
      <c r="H1922" s="105"/>
      <c r="I1922" s="126"/>
      <c r="J1922" s="11"/>
      <c r="K1922" s="108"/>
      <c r="L1922" s="11"/>
      <c r="M1922" s="105"/>
      <c r="N1922" s="105"/>
      <c r="O1922" s="11"/>
      <c r="P1922" s="11"/>
      <c r="Q1922" s="105"/>
      <c r="R1922" s="105"/>
      <c r="S1922" s="105"/>
      <c r="T1922" s="105"/>
      <c r="U1922" s="105"/>
      <c r="V1922" s="105"/>
      <c r="W1922" s="105"/>
      <c r="X1922" s="11"/>
      <c r="Y1922" s="11"/>
      <c r="Z1922" s="105"/>
      <c r="AA1922" s="11"/>
      <c r="AB1922" s="11"/>
      <c r="AC1922" s="105"/>
      <c r="AD1922" s="11" t="b">
        <v>0</v>
      </c>
      <c r="AE1922" s="105"/>
      <c r="AF1922" s="11"/>
      <c r="AG1922" s="11"/>
      <c r="AH1922" s="11"/>
      <c r="AI1922" s="11"/>
    </row>
    <row r="1923" ht="12.5" spans="3:35">
      <c r="C1923" s="19"/>
      <c r="D1923" s="19"/>
      <c r="H1923" s="105"/>
      <c r="I1923" s="126"/>
      <c r="J1923" s="11"/>
      <c r="K1923" s="108"/>
      <c r="L1923" s="11"/>
      <c r="M1923" s="105"/>
      <c r="N1923" s="105"/>
      <c r="O1923" s="11"/>
      <c r="P1923" s="11"/>
      <c r="Q1923" s="105"/>
      <c r="R1923" s="105"/>
      <c r="S1923" s="105"/>
      <c r="T1923" s="105"/>
      <c r="U1923" s="105"/>
      <c r="V1923" s="105"/>
      <c r="W1923" s="105"/>
      <c r="X1923" s="11"/>
      <c r="Y1923" s="11"/>
      <c r="Z1923" s="105"/>
      <c r="AA1923" s="11"/>
      <c r="AB1923" s="11"/>
      <c r="AC1923" s="105"/>
      <c r="AD1923" s="11" t="b">
        <v>0</v>
      </c>
      <c r="AE1923" s="105"/>
      <c r="AF1923" s="11"/>
      <c r="AG1923" s="11"/>
      <c r="AH1923" s="11"/>
      <c r="AI1923" s="11"/>
    </row>
    <row r="1924" ht="12.5" spans="3:35">
      <c r="C1924" s="19"/>
      <c r="D1924" s="19"/>
      <c r="H1924" s="105"/>
      <c r="I1924" s="126"/>
      <c r="J1924" s="11"/>
      <c r="K1924" s="108"/>
      <c r="L1924" s="11"/>
      <c r="M1924" s="105"/>
      <c r="N1924" s="105"/>
      <c r="O1924" s="11"/>
      <c r="P1924" s="11"/>
      <c r="Q1924" s="105"/>
      <c r="R1924" s="105"/>
      <c r="S1924" s="105"/>
      <c r="T1924" s="105"/>
      <c r="U1924" s="105"/>
      <c r="V1924" s="105"/>
      <c r="W1924" s="105"/>
      <c r="X1924" s="11"/>
      <c r="Y1924" s="11"/>
      <c r="Z1924" s="105"/>
      <c r="AA1924" s="11"/>
      <c r="AB1924" s="11"/>
      <c r="AC1924" s="105"/>
      <c r="AD1924" s="11" t="b">
        <v>0</v>
      </c>
      <c r="AE1924" s="105"/>
      <c r="AF1924" s="11"/>
      <c r="AG1924" s="11"/>
      <c r="AH1924" s="11"/>
      <c r="AI1924" s="11"/>
    </row>
    <row r="1925" ht="12.5" spans="3:35">
      <c r="C1925" s="19"/>
      <c r="D1925" s="19"/>
      <c r="H1925" s="105"/>
      <c r="I1925" s="126"/>
      <c r="J1925" s="11"/>
      <c r="K1925" s="108"/>
      <c r="L1925" s="11"/>
      <c r="M1925" s="105"/>
      <c r="N1925" s="105"/>
      <c r="O1925" s="11"/>
      <c r="P1925" s="11"/>
      <c r="Q1925" s="105"/>
      <c r="R1925" s="105"/>
      <c r="S1925" s="105"/>
      <c r="T1925" s="105"/>
      <c r="U1925" s="105"/>
      <c r="V1925" s="105"/>
      <c r="W1925" s="105"/>
      <c r="X1925" s="11"/>
      <c r="Y1925" s="11"/>
      <c r="Z1925" s="105"/>
      <c r="AA1925" s="11"/>
      <c r="AB1925" s="11"/>
      <c r="AC1925" s="105"/>
      <c r="AD1925" s="11" t="b">
        <v>0</v>
      </c>
      <c r="AE1925" s="105"/>
      <c r="AF1925" s="11"/>
      <c r="AG1925" s="11"/>
      <c r="AH1925" s="11"/>
      <c r="AI1925" s="11"/>
    </row>
    <row r="1926" ht="12.5" spans="3:35">
      <c r="C1926" s="19"/>
      <c r="D1926" s="19"/>
      <c r="H1926" s="105"/>
      <c r="I1926" s="126"/>
      <c r="J1926" s="11"/>
      <c r="K1926" s="108"/>
      <c r="L1926" s="11"/>
      <c r="M1926" s="105"/>
      <c r="N1926" s="105"/>
      <c r="O1926" s="11"/>
      <c r="P1926" s="11"/>
      <c r="Q1926" s="105"/>
      <c r="R1926" s="105"/>
      <c r="S1926" s="105"/>
      <c r="T1926" s="105"/>
      <c r="U1926" s="105"/>
      <c r="V1926" s="105"/>
      <c r="W1926" s="105"/>
      <c r="X1926" s="11"/>
      <c r="Y1926" s="11"/>
      <c r="Z1926" s="105"/>
      <c r="AA1926" s="11"/>
      <c r="AB1926" s="11"/>
      <c r="AC1926" s="105"/>
      <c r="AD1926" s="11" t="b">
        <v>0</v>
      </c>
      <c r="AE1926" s="105"/>
      <c r="AF1926" s="11"/>
      <c r="AG1926" s="11"/>
      <c r="AH1926" s="11"/>
      <c r="AI1926" s="11"/>
    </row>
    <row r="1927" ht="12.5" spans="3:35">
      <c r="C1927" s="19"/>
      <c r="D1927" s="19"/>
      <c r="H1927" s="105"/>
      <c r="I1927" s="126"/>
      <c r="J1927" s="11"/>
      <c r="K1927" s="108"/>
      <c r="L1927" s="11"/>
      <c r="M1927" s="105"/>
      <c r="N1927" s="105"/>
      <c r="O1927" s="11"/>
      <c r="P1927" s="11"/>
      <c r="Q1927" s="105"/>
      <c r="R1927" s="105"/>
      <c r="S1927" s="105"/>
      <c r="T1927" s="105"/>
      <c r="U1927" s="105"/>
      <c r="V1927" s="105"/>
      <c r="W1927" s="105"/>
      <c r="X1927" s="11"/>
      <c r="Y1927" s="11"/>
      <c r="Z1927" s="105"/>
      <c r="AA1927" s="11"/>
      <c r="AB1927" s="11"/>
      <c r="AC1927" s="105"/>
      <c r="AD1927" s="11" t="b">
        <v>0</v>
      </c>
      <c r="AE1927" s="105"/>
      <c r="AF1927" s="11"/>
      <c r="AG1927" s="11"/>
      <c r="AH1927" s="11"/>
      <c r="AI1927" s="11"/>
    </row>
    <row r="1928" ht="12.5" spans="3:35">
      <c r="C1928" s="19"/>
      <c r="D1928" s="19"/>
      <c r="H1928" s="105"/>
      <c r="I1928" s="126"/>
      <c r="J1928" s="11"/>
      <c r="K1928" s="108"/>
      <c r="L1928" s="11"/>
      <c r="M1928" s="105"/>
      <c r="N1928" s="105"/>
      <c r="O1928" s="11"/>
      <c r="P1928" s="11"/>
      <c r="Q1928" s="105"/>
      <c r="R1928" s="105"/>
      <c r="S1928" s="105"/>
      <c r="T1928" s="105"/>
      <c r="U1928" s="105"/>
      <c r="V1928" s="105"/>
      <c r="W1928" s="105"/>
      <c r="X1928" s="11"/>
      <c r="Y1928" s="11"/>
      <c r="Z1928" s="105"/>
      <c r="AA1928" s="11"/>
      <c r="AB1928" s="11"/>
      <c r="AC1928" s="105"/>
      <c r="AD1928" s="11" t="b">
        <v>0</v>
      </c>
      <c r="AE1928" s="105"/>
      <c r="AF1928" s="11"/>
      <c r="AG1928" s="11"/>
      <c r="AH1928" s="11"/>
      <c r="AI1928" s="11"/>
    </row>
    <row r="1929" ht="12.5" spans="3:35">
      <c r="C1929" s="19"/>
      <c r="D1929" s="19"/>
      <c r="H1929" s="105"/>
      <c r="I1929" s="126"/>
      <c r="J1929" s="11"/>
      <c r="K1929" s="108"/>
      <c r="L1929" s="11"/>
      <c r="M1929" s="105"/>
      <c r="N1929" s="105"/>
      <c r="O1929" s="11"/>
      <c r="P1929" s="11"/>
      <c r="Q1929" s="105"/>
      <c r="R1929" s="105"/>
      <c r="S1929" s="105"/>
      <c r="T1929" s="105"/>
      <c r="U1929" s="105"/>
      <c r="V1929" s="105"/>
      <c r="W1929" s="105"/>
      <c r="X1929" s="11"/>
      <c r="Y1929" s="11"/>
      <c r="Z1929" s="105"/>
      <c r="AA1929" s="11"/>
      <c r="AB1929" s="11"/>
      <c r="AC1929" s="105"/>
      <c r="AD1929" s="11" t="b">
        <v>0</v>
      </c>
      <c r="AE1929" s="105"/>
      <c r="AF1929" s="11"/>
      <c r="AG1929" s="11"/>
      <c r="AH1929" s="11"/>
      <c r="AI1929" s="11"/>
    </row>
    <row r="1930" ht="12.5" spans="3:35">
      <c r="C1930" s="19"/>
      <c r="D1930" s="19"/>
      <c r="H1930" s="105"/>
      <c r="I1930" s="126"/>
      <c r="J1930" s="11"/>
      <c r="K1930" s="108"/>
      <c r="L1930" s="11"/>
      <c r="M1930" s="105"/>
      <c r="N1930" s="105"/>
      <c r="O1930" s="11"/>
      <c r="P1930" s="11"/>
      <c r="Q1930" s="105"/>
      <c r="R1930" s="105"/>
      <c r="S1930" s="105"/>
      <c r="T1930" s="105"/>
      <c r="U1930" s="105"/>
      <c r="V1930" s="105"/>
      <c r="W1930" s="105"/>
      <c r="X1930" s="11"/>
      <c r="Y1930" s="11"/>
      <c r="Z1930" s="105"/>
      <c r="AA1930" s="11"/>
      <c r="AB1930" s="11"/>
      <c r="AC1930" s="105"/>
      <c r="AD1930" s="11" t="b">
        <v>0</v>
      </c>
      <c r="AE1930" s="105"/>
      <c r="AF1930" s="11"/>
      <c r="AG1930" s="11"/>
      <c r="AH1930" s="11"/>
      <c r="AI1930" s="11"/>
    </row>
    <row r="1931" ht="12.5" spans="3:35">
      <c r="C1931" s="19"/>
      <c r="D1931" s="19"/>
      <c r="H1931" s="105"/>
      <c r="I1931" s="126"/>
      <c r="J1931" s="11"/>
      <c r="K1931" s="108"/>
      <c r="L1931" s="11"/>
      <c r="M1931" s="105"/>
      <c r="N1931" s="105"/>
      <c r="O1931" s="11"/>
      <c r="P1931" s="11"/>
      <c r="Q1931" s="105"/>
      <c r="R1931" s="105"/>
      <c r="S1931" s="105"/>
      <c r="T1931" s="105"/>
      <c r="U1931" s="105"/>
      <c r="V1931" s="105"/>
      <c r="W1931" s="105"/>
      <c r="X1931" s="11"/>
      <c r="Y1931" s="11"/>
      <c r="Z1931" s="105"/>
      <c r="AA1931" s="11"/>
      <c r="AB1931" s="11"/>
      <c r="AC1931" s="105"/>
      <c r="AD1931" s="11" t="b">
        <v>0</v>
      </c>
      <c r="AE1931" s="105"/>
      <c r="AF1931" s="11"/>
      <c r="AG1931" s="11"/>
      <c r="AH1931" s="11"/>
      <c r="AI1931" s="11"/>
    </row>
    <row r="1932" ht="12.5" spans="3:35">
      <c r="C1932" s="19"/>
      <c r="D1932" s="19"/>
      <c r="H1932" s="105"/>
      <c r="I1932" s="126"/>
      <c r="J1932" s="11"/>
      <c r="K1932" s="108"/>
      <c r="L1932" s="11"/>
      <c r="M1932" s="105"/>
      <c r="N1932" s="105"/>
      <c r="O1932" s="11"/>
      <c r="P1932" s="11"/>
      <c r="Q1932" s="105"/>
      <c r="R1932" s="105"/>
      <c r="S1932" s="105"/>
      <c r="T1932" s="105"/>
      <c r="U1932" s="105"/>
      <c r="V1932" s="105"/>
      <c r="W1932" s="105"/>
      <c r="X1932" s="11"/>
      <c r="Y1932" s="11"/>
      <c r="Z1932" s="105"/>
      <c r="AA1932" s="11"/>
      <c r="AB1932" s="11"/>
      <c r="AC1932" s="105"/>
      <c r="AD1932" s="11" t="b">
        <v>0</v>
      </c>
      <c r="AE1932" s="105"/>
      <c r="AF1932" s="11"/>
      <c r="AG1932" s="11"/>
      <c r="AH1932" s="11"/>
      <c r="AI1932" s="11"/>
    </row>
    <row r="1933" ht="12.5" spans="3:35">
      <c r="C1933" s="19"/>
      <c r="D1933" s="19"/>
      <c r="H1933" s="105"/>
      <c r="I1933" s="126"/>
      <c r="J1933" s="11"/>
      <c r="K1933" s="108"/>
      <c r="L1933" s="11"/>
      <c r="M1933" s="105"/>
      <c r="N1933" s="105"/>
      <c r="O1933" s="11"/>
      <c r="P1933" s="11"/>
      <c r="Q1933" s="105"/>
      <c r="R1933" s="105"/>
      <c r="S1933" s="105"/>
      <c r="T1933" s="105"/>
      <c r="U1933" s="105"/>
      <c r="V1933" s="105"/>
      <c r="W1933" s="105"/>
      <c r="X1933" s="11"/>
      <c r="Y1933" s="11"/>
      <c r="Z1933" s="105"/>
      <c r="AA1933" s="11"/>
      <c r="AB1933" s="11"/>
      <c r="AC1933" s="105"/>
      <c r="AD1933" s="11" t="b">
        <v>0</v>
      </c>
      <c r="AE1933" s="105"/>
      <c r="AF1933" s="11"/>
      <c r="AG1933" s="11"/>
      <c r="AH1933" s="11"/>
      <c r="AI1933" s="11"/>
    </row>
    <row r="1934" ht="12.5" spans="3:35">
      <c r="C1934" s="19"/>
      <c r="D1934" s="19"/>
      <c r="H1934" s="105"/>
      <c r="I1934" s="126"/>
      <c r="J1934" s="11"/>
      <c r="K1934" s="108"/>
      <c r="L1934" s="11"/>
      <c r="M1934" s="105"/>
      <c r="N1934" s="105"/>
      <c r="O1934" s="11"/>
      <c r="P1934" s="11"/>
      <c r="Q1934" s="105"/>
      <c r="R1934" s="105"/>
      <c r="S1934" s="105"/>
      <c r="T1934" s="105"/>
      <c r="U1934" s="105"/>
      <c r="V1934" s="105"/>
      <c r="W1934" s="105"/>
      <c r="X1934" s="11"/>
      <c r="Y1934" s="11"/>
      <c r="Z1934" s="105"/>
      <c r="AA1934" s="11"/>
      <c r="AB1934" s="11"/>
      <c r="AC1934" s="105"/>
      <c r="AD1934" s="11" t="b">
        <v>0</v>
      </c>
      <c r="AE1934" s="105"/>
      <c r="AF1934" s="11"/>
      <c r="AG1934" s="11"/>
      <c r="AH1934" s="11"/>
      <c r="AI1934" s="11"/>
    </row>
    <row r="1935" ht="12.5" spans="3:35">
      <c r="C1935" s="19"/>
      <c r="D1935" s="19"/>
      <c r="H1935" s="105"/>
      <c r="I1935" s="126"/>
      <c r="J1935" s="11"/>
      <c r="K1935" s="108"/>
      <c r="L1935" s="11"/>
      <c r="M1935" s="105"/>
      <c r="N1935" s="105"/>
      <c r="O1935" s="11"/>
      <c r="P1935" s="11"/>
      <c r="Q1935" s="105"/>
      <c r="R1935" s="105"/>
      <c r="S1935" s="105"/>
      <c r="T1935" s="105"/>
      <c r="U1935" s="105"/>
      <c r="V1935" s="105"/>
      <c r="W1935" s="105"/>
      <c r="X1935" s="11"/>
      <c r="Y1935" s="11"/>
      <c r="Z1935" s="105"/>
      <c r="AA1935" s="11"/>
      <c r="AB1935" s="11"/>
      <c r="AC1935" s="105"/>
      <c r="AD1935" s="11" t="b">
        <v>0</v>
      </c>
      <c r="AE1935" s="105"/>
      <c r="AF1935" s="11"/>
      <c r="AG1935" s="11"/>
      <c r="AH1935" s="11"/>
      <c r="AI1935" s="11"/>
    </row>
    <row r="1936" ht="12.5" spans="3:35">
      <c r="C1936" s="19"/>
      <c r="D1936" s="19"/>
      <c r="H1936" s="105"/>
      <c r="I1936" s="126"/>
      <c r="J1936" s="11"/>
      <c r="K1936" s="108"/>
      <c r="L1936" s="11"/>
      <c r="M1936" s="105"/>
      <c r="N1936" s="105"/>
      <c r="O1936" s="11"/>
      <c r="P1936" s="11"/>
      <c r="Q1936" s="105"/>
      <c r="R1936" s="105"/>
      <c r="S1936" s="105"/>
      <c r="T1936" s="105"/>
      <c r="U1936" s="105"/>
      <c r="V1936" s="105"/>
      <c r="W1936" s="105"/>
      <c r="X1936" s="11"/>
      <c r="Y1936" s="11"/>
      <c r="Z1936" s="105"/>
      <c r="AA1936" s="11"/>
      <c r="AB1936" s="11"/>
      <c r="AC1936" s="105"/>
      <c r="AD1936" s="11" t="b">
        <v>0</v>
      </c>
      <c r="AE1936" s="105"/>
      <c r="AF1936" s="11"/>
      <c r="AG1936" s="11"/>
      <c r="AH1936" s="11"/>
      <c r="AI1936" s="11"/>
    </row>
    <row r="1937" ht="12.5" spans="3:35">
      <c r="C1937" s="19"/>
      <c r="D1937" s="19"/>
      <c r="H1937" s="105"/>
      <c r="I1937" s="126"/>
      <c r="J1937" s="11"/>
      <c r="K1937" s="108"/>
      <c r="L1937" s="11"/>
      <c r="M1937" s="105"/>
      <c r="N1937" s="105"/>
      <c r="O1937" s="11"/>
      <c r="P1937" s="11"/>
      <c r="Q1937" s="105"/>
      <c r="R1937" s="105"/>
      <c r="S1937" s="105"/>
      <c r="T1937" s="105"/>
      <c r="U1937" s="105"/>
      <c r="V1937" s="105"/>
      <c r="W1937" s="105"/>
      <c r="X1937" s="11"/>
      <c r="Y1937" s="11"/>
      <c r="Z1937" s="105"/>
      <c r="AA1937" s="11"/>
      <c r="AB1937" s="11"/>
      <c r="AC1937" s="105"/>
      <c r="AD1937" s="11" t="b">
        <v>0</v>
      </c>
      <c r="AE1937" s="105"/>
      <c r="AF1937" s="11"/>
      <c r="AG1937" s="11"/>
      <c r="AH1937" s="11"/>
      <c r="AI1937" s="11"/>
    </row>
    <row r="1938" ht="12.5" spans="3:35">
      <c r="C1938" s="19"/>
      <c r="D1938" s="19"/>
      <c r="H1938" s="105"/>
      <c r="I1938" s="126"/>
      <c r="J1938" s="11"/>
      <c r="K1938" s="108"/>
      <c r="L1938" s="11"/>
      <c r="M1938" s="105"/>
      <c r="N1938" s="105"/>
      <c r="O1938" s="11"/>
      <c r="P1938" s="11"/>
      <c r="Q1938" s="105"/>
      <c r="R1938" s="105"/>
      <c r="S1938" s="105"/>
      <c r="T1938" s="105"/>
      <c r="U1938" s="105"/>
      <c r="V1938" s="105"/>
      <c r="W1938" s="105"/>
      <c r="X1938" s="11"/>
      <c r="Y1938" s="11"/>
      <c r="Z1938" s="105"/>
      <c r="AA1938" s="11"/>
      <c r="AB1938" s="11"/>
      <c r="AC1938" s="105"/>
      <c r="AD1938" s="11" t="b">
        <v>0</v>
      </c>
      <c r="AE1938" s="105"/>
      <c r="AF1938" s="11"/>
      <c r="AG1938" s="11"/>
      <c r="AH1938" s="11"/>
      <c r="AI1938" s="11"/>
    </row>
    <row r="1939" ht="12.5" spans="3:35">
      <c r="C1939" s="19"/>
      <c r="D1939" s="19"/>
      <c r="H1939" s="105"/>
      <c r="I1939" s="126"/>
      <c r="J1939" s="11"/>
      <c r="K1939" s="108"/>
      <c r="L1939" s="11"/>
      <c r="M1939" s="105"/>
      <c r="N1939" s="105"/>
      <c r="O1939" s="11"/>
      <c r="P1939" s="11"/>
      <c r="Q1939" s="105"/>
      <c r="R1939" s="105"/>
      <c r="S1939" s="105"/>
      <c r="T1939" s="105"/>
      <c r="U1939" s="105"/>
      <c r="V1939" s="105"/>
      <c r="W1939" s="105"/>
      <c r="X1939" s="11"/>
      <c r="Y1939" s="11"/>
      <c r="Z1939" s="105"/>
      <c r="AA1939" s="11"/>
      <c r="AB1939" s="11"/>
      <c r="AC1939" s="105"/>
      <c r="AD1939" s="11" t="b">
        <v>0</v>
      </c>
      <c r="AE1939" s="105"/>
      <c r="AF1939" s="11"/>
      <c r="AG1939" s="11"/>
      <c r="AH1939" s="11"/>
      <c r="AI1939" s="11"/>
    </row>
    <row r="1940" ht="12.5" spans="3:35">
      <c r="C1940" s="19"/>
      <c r="D1940" s="19"/>
      <c r="H1940" s="105"/>
      <c r="I1940" s="126"/>
      <c r="J1940" s="11"/>
      <c r="K1940" s="108"/>
      <c r="L1940" s="11"/>
      <c r="M1940" s="105"/>
      <c r="N1940" s="105"/>
      <c r="O1940" s="11"/>
      <c r="P1940" s="11"/>
      <c r="Q1940" s="105"/>
      <c r="R1940" s="105"/>
      <c r="S1940" s="105"/>
      <c r="T1940" s="105"/>
      <c r="U1940" s="105"/>
      <c r="V1940" s="105"/>
      <c r="W1940" s="105"/>
      <c r="X1940" s="11"/>
      <c r="Y1940" s="11"/>
      <c r="Z1940" s="105"/>
      <c r="AA1940" s="11"/>
      <c r="AB1940" s="11"/>
      <c r="AC1940" s="105"/>
      <c r="AD1940" s="11" t="b">
        <v>0</v>
      </c>
      <c r="AE1940" s="105"/>
      <c r="AF1940" s="11"/>
      <c r="AG1940" s="11"/>
      <c r="AH1940" s="11"/>
      <c r="AI1940" s="11"/>
    </row>
    <row r="1941" ht="12.5" spans="3:35">
      <c r="C1941" s="19"/>
      <c r="D1941" s="19"/>
      <c r="H1941" s="105"/>
      <c r="I1941" s="126"/>
      <c r="J1941" s="11"/>
      <c r="K1941" s="108"/>
      <c r="L1941" s="11"/>
      <c r="M1941" s="105"/>
      <c r="N1941" s="105"/>
      <c r="O1941" s="11"/>
      <c r="P1941" s="11"/>
      <c r="Q1941" s="105"/>
      <c r="R1941" s="105"/>
      <c r="S1941" s="105"/>
      <c r="T1941" s="105"/>
      <c r="U1941" s="105"/>
      <c r="V1941" s="105"/>
      <c r="W1941" s="105"/>
      <c r="X1941" s="11"/>
      <c r="Y1941" s="11"/>
      <c r="Z1941" s="105"/>
      <c r="AA1941" s="11"/>
      <c r="AB1941" s="11"/>
      <c r="AC1941" s="105"/>
      <c r="AD1941" s="11" t="b">
        <v>0</v>
      </c>
      <c r="AE1941" s="105"/>
      <c r="AF1941" s="11"/>
      <c r="AG1941" s="11"/>
      <c r="AH1941" s="11"/>
      <c r="AI1941" s="11"/>
    </row>
    <row r="1942" ht="12.5" spans="3:35">
      <c r="C1942" s="19"/>
      <c r="D1942" s="19"/>
      <c r="H1942" s="105"/>
      <c r="I1942" s="126"/>
      <c r="J1942" s="11"/>
      <c r="K1942" s="108"/>
      <c r="L1942" s="11"/>
      <c r="M1942" s="105"/>
      <c r="N1942" s="105"/>
      <c r="O1942" s="11"/>
      <c r="P1942" s="11"/>
      <c r="Q1942" s="105"/>
      <c r="R1942" s="105"/>
      <c r="S1942" s="105"/>
      <c r="T1942" s="105"/>
      <c r="U1942" s="105"/>
      <c r="V1942" s="105"/>
      <c r="W1942" s="105"/>
      <c r="X1942" s="11"/>
      <c r="Y1942" s="11"/>
      <c r="Z1942" s="105"/>
      <c r="AA1942" s="11"/>
      <c r="AB1942" s="11"/>
      <c r="AC1942" s="105"/>
      <c r="AD1942" s="11" t="b">
        <v>0</v>
      </c>
      <c r="AE1942" s="105"/>
      <c r="AF1942" s="11"/>
      <c r="AG1942" s="11"/>
      <c r="AH1942" s="11"/>
      <c r="AI1942" s="11"/>
    </row>
    <row r="1943" ht="12.5" spans="3:35">
      <c r="C1943" s="19"/>
      <c r="D1943" s="19"/>
      <c r="H1943" s="105"/>
      <c r="I1943" s="126"/>
      <c r="J1943" s="11"/>
      <c r="K1943" s="108"/>
      <c r="L1943" s="11"/>
      <c r="M1943" s="105"/>
      <c r="N1943" s="105"/>
      <c r="O1943" s="11"/>
      <c r="P1943" s="11"/>
      <c r="Q1943" s="105"/>
      <c r="R1943" s="105"/>
      <c r="S1943" s="105"/>
      <c r="T1943" s="105"/>
      <c r="U1943" s="105"/>
      <c r="V1943" s="105"/>
      <c r="W1943" s="105"/>
      <c r="X1943" s="11"/>
      <c r="Y1943" s="11"/>
      <c r="Z1943" s="105"/>
      <c r="AA1943" s="11"/>
      <c r="AB1943" s="11"/>
      <c r="AC1943" s="105"/>
      <c r="AD1943" s="11" t="b">
        <v>0</v>
      </c>
      <c r="AE1943" s="105"/>
      <c r="AF1943" s="11"/>
      <c r="AG1943" s="11"/>
      <c r="AH1943" s="11"/>
      <c r="AI1943" s="11"/>
    </row>
    <row r="1944" ht="12.5" spans="3:35">
      <c r="C1944" s="19"/>
      <c r="D1944" s="19"/>
      <c r="H1944" s="105"/>
      <c r="I1944" s="126"/>
      <c r="J1944" s="11"/>
      <c r="K1944" s="108"/>
      <c r="L1944" s="11"/>
      <c r="M1944" s="105"/>
      <c r="N1944" s="105"/>
      <c r="O1944" s="11"/>
      <c r="P1944" s="11"/>
      <c r="Q1944" s="105"/>
      <c r="R1944" s="105"/>
      <c r="S1944" s="105"/>
      <c r="T1944" s="105"/>
      <c r="U1944" s="105"/>
      <c r="V1944" s="105"/>
      <c r="W1944" s="105"/>
      <c r="X1944" s="11"/>
      <c r="Y1944" s="11"/>
      <c r="Z1944" s="105"/>
      <c r="AA1944" s="11"/>
      <c r="AB1944" s="11"/>
      <c r="AC1944" s="105"/>
      <c r="AD1944" s="11" t="b">
        <v>0</v>
      </c>
      <c r="AE1944" s="105"/>
      <c r="AF1944" s="11"/>
      <c r="AG1944" s="11"/>
      <c r="AH1944" s="11"/>
      <c r="AI1944" s="11"/>
    </row>
    <row r="1945" ht="12.5" spans="3:35">
      <c r="C1945" s="19"/>
      <c r="D1945" s="19"/>
      <c r="H1945" s="105"/>
      <c r="I1945" s="126"/>
      <c r="J1945" s="11"/>
      <c r="K1945" s="108"/>
      <c r="L1945" s="11"/>
      <c r="M1945" s="105"/>
      <c r="N1945" s="105"/>
      <c r="O1945" s="11"/>
      <c r="P1945" s="11"/>
      <c r="Q1945" s="105"/>
      <c r="R1945" s="105"/>
      <c r="S1945" s="105"/>
      <c r="T1945" s="105"/>
      <c r="U1945" s="105"/>
      <c r="V1945" s="105"/>
      <c r="W1945" s="105"/>
      <c r="X1945" s="11"/>
      <c r="Y1945" s="11"/>
      <c r="Z1945" s="105"/>
      <c r="AA1945" s="11"/>
      <c r="AB1945" s="11"/>
      <c r="AC1945" s="105"/>
      <c r="AD1945" s="11" t="b">
        <v>0</v>
      </c>
      <c r="AE1945" s="105"/>
      <c r="AF1945" s="11"/>
      <c r="AG1945" s="11"/>
      <c r="AH1945" s="11"/>
      <c r="AI1945" s="11"/>
    </row>
    <row r="1946" ht="12.5" spans="3:35">
      <c r="C1946" s="19"/>
      <c r="D1946" s="19"/>
      <c r="H1946" s="105"/>
      <c r="I1946" s="126"/>
      <c r="J1946" s="11"/>
      <c r="K1946" s="108"/>
      <c r="L1946" s="11"/>
      <c r="M1946" s="105"/>
      <c r="N1946" s="105"/>
      <c r="O1946" s="11"/>
      <c r="P1946" s="11"/>
      <c r="Q1946" s="105"/>
      <c r="R1946" s="105"/>
      <c r="S1946" s="105"/>
      <c r="T1946" s="105"/>
      <c r="U1946" s="105"/>
      <c r="V1946" s="105"/>
      <c r="W1946" s="105"/>
      <c r="X1946" s="11"/>
      <c r="Y1946" s="11"/>
      <c r="Z1946" s="105"/>
      <c r="AA1946" s="11"/>
      <c r="AB1946" s="11"/>
      <c r="AC1946" s="105"/>
      <c r="AD1946" s="11" t="b">
        <v>0</v>
      </c>
      <c r="AE1946" s="105"/>
      <c r="AF1946" s="11"/>
      <c r="AG1946" s="11"/>
      <c r="AH1946" s="11"/>
      <c r="AI1946" s="11"/>
    </row>
    <row r="1947" ht="12.5" spans="3:35">
      <c r="C1947" s="19"/>
      <c r="D1947" s="19"/>
      <c r="H1947" s="105"/>
      <c r="I1947" s="126"/>
      <c r="J1947" s="11"/>
      <c r="K1947" s="108"/>
      <c r="L1947" s="11"/>
      <c r="M1947" s="105"/>
      <c r="N1947" s="105"/>
      <c r="O1947" s="11"/>
      <c r="P1947" s="11"/>
      <c r="Q1947" s="105"/>
      <c r="R1947" s="105"/>
      <c r="S1947" s="105"/>
      <c r="T1947" s="105"/>
      <c r="U1947" s="105"/>
      <c r="V1947" s="105"/>
      <c r="W1947" s="105"/>
      <c r="X1947" s="11"/>
      <c r="Y1947" s="11"/>
      <c r="Z1947" s="105"/>
      <c r="AA1947" s="11"/>
      <c r="AB1947" s="11"/>
      <c r="AC1947" s="105"/>
      <c r="AD1947" s="11" t="b">
        <v>0</v>
      </c>
      <c r="AE1947" s="105"/>
      <c r="AF1947" s="11"/>
      <c r="AG1947" s="11"/>
      <c r="AH1947" s="11"/>
      <c r="AI1947" s="11"/>
    </row>
    <row r="1948" ht="12.5" spans="3:35">
      <c r="C1948" s="19"/>
      <c r="D1948" s="19"/>
      <c r="H1948" s="105"/>
      <c r="I1948" s="126"/>
      <c r="J1948" s="11"/>
      <c r="K1948" s="108"/>
      <c r="L1948" s="11"/>
      <c r="M1948" s="105"/>
      <c r="N1948" s="105"/>
      <c r="O1948" s="11"/>
      <c r="P1948" s="11"/>
      <c r="Q1948" s="105"/>
      <c r="R1948" s="105"/>
      <c r="S1948" s="105"/>
      <c r="T1948" s="105"/>
      <c r="U1948" s="105"/>
      <c r="V1948" s="105"/>
      <c r="W1948" s="105"/>
      <c r="X1948" s="11"/>
      <c r="Y1948" s="11"/>
      <c r="Z1948" s="105"/>
      <c r="AA1948" s="11"/>
      <c r="AB1948" s="11"/>
      <c r="AC1948" s="105"/>
      <c r="AD1948" s="11" t="b">
        <v>0</v>
      </c>
      <c r="AE1948" s="105"/>
      <c r="AF1948" s="11"/>
      <c r="AG1948" s="11"/>
      <c r="AH1948" s="11"/>
      <c r="AI1948" s="11"/>
    </row>
    <row r="1949" ht="12.5" spans="3:35">
      <c r="C1949" s="19"/>
      <c r="D1949" s="19"/>
      <c r="H1949" s="105"/>
      <c r="I1949" s="126"/>
      <c r="J1949" s="11"/>
      <c r="K1949" s="108"/>
      <c r="L1949" s="11"/>
      <c r="M1949" s="105"/>
      <c r="N1949" s="105"/>
      <c r="O1949" s="11"/>
      <c r="P1949" s="11"/>
      <c r="Q1949" s="105"/>
      <c r="R1949" s="105"/>
      <c r="S1949" s="105"/>
      <c r="T1949" s="105"/>
      <c r="U1949" s="105"/>
      <c r="V1949" s="105"/>
      <c r="W1949" s="105"/>
      <c r="X1949" s="11"/>
      <c r="Y1949" s="11"/>
      <c r="Z1949" s="105"/>
      <c r="AA1949" s="11"/>
      <c r="AB1949" s="11"/>
      <c r="AC1949" s="105"/>
      <c r="AD1949" s="11" t="b">
        <v>0</v>
      </c>
      <c r="AE1949" s="105"/>
      <c r="AF1949" s="11"/>
      <c r="AG1949" s="11"/>
      <c r="AH1949" s="11"/>
      <c r="AI1949" s="11"/>
    </row>
    <row r="1950" ht="12.5" spans="3:35">
      <c r="C1950" s="19"/>
      <c r="D1950" s="19"/>
      <c r="H1950" s="105"/>
      <c r="I1950" s="126"/>
      <c r="J1950" s="11"/>
      <c r="K1950" s="108"/>
      <c r="L1950" s="11"/>
      <c r="M1950" s="105"/>
      <c r="N1950" s="105"/>
      <c r="O1950" s="11"/>
      <c r="P1950" s="11"/>
      <c r="Q1950" s="105"/>
      <c r="R1950" s="105"/>
      <c r="S1950" s="105"/>
      <c r="T1950" s="105"/>
      <c r="U1950" s="105"/>
      <c r="V1950" s="105"/>
      <c r="W1950" s="105"/>
      <c r="X1950" s="11"/>
      <c r="Y1950" s="11"/>
      <c r="Z1950" s="105"/>
      <c r="AA1950" s="11"/>
      <c r="AB1950" s="11"/>
      <c r="AC1950" s="105"/>
      <c r="AD1950" s="11" t="b">
        <v>0</v>
      </c>
      <c r="AE1950" s="105"/>
      <c r="AF1950" s="11"/>
      <c r="AG1950" s="11"/>
      <c r="AH1950" s="11"/>
      <c r="AI1950" s="11"/>
    </row>
    <row r="1951" ht="12.5" spans="3:35">
      <c r="C1951" s="19"/>
      <c r="D1951" s="19"/>
      <c r="H1951" s="105"/>
      <c r="I1951" s="126"/>
      <c r="J1951" s="11"/>
      <c r="K1951" s="108"/>
      <c r="L1951" s="11"/>
      <c r="M1951" s="105"/>
      <c r="N1951" s="105"/>
      <c r="O1951" s="11"/>
      <c r="P1951" s="11"/>
      <c r="Q1951" s="105"/>
      <c r="R1951" s="105"/>
      <c r="S1951" s="105"/>
      <c r="T1951" s="105"/>
      <c r="U1951" s="105"/>
      <c r="V1951" s="105"/>
      <c r="W1951" s="105"/>
      <c r="X1951" s="11"/>
      <c r="Y1951" s="11"/>
      <c r="Z1951" s="105"/>
      <c r="AA1951" s="11"/>
      <c r="AB1951" s="11"/>
      <c r="AC1951" s="105"/>
      <c r="AD1951" s="11" t="b">
        <v>0</v>
      </c>
      <c r="AE1951" s="105"/>
      <c r="AF1951" s="11"/>
      <c r="AG1951" s="11"/>
      <c r="AH1951" s="11"/>
      <c r="AI1951" s="11"/>
    </row>
    <row r="1952" ht="12.5" spans="3:35">
      <c r="C1952" s="19"/>
      <c r="D1952" s="19"/>
      <c r="H1952" s="105"/>
      <c r="I1952" s="126"/>
      <c r="J1952" s="11"/>
      <c r="K1952" s="108"/>
      <c r="L1952" s="11"/>
      <c r="M1952" s="105"/>
      <c r="N1952" s="105"/>
      <c r="O1952" s="11"/>
      <c r="P1952" s="11"/>
      <c r="Q1952" s="105"/>
      <c r="R1952" s="105"/>
      <c r="S1952" s="105"/>
      <c r="T1952" s="105"/>
      <c r="U1952" s="105"/>
      <c r="V1952" s="105"/>
      <c r="W1952" s="105"/>
      <c r="X1952" s="11"/>
      <c r="Y1952" s="11"/>
      <c r="Z1952" s="105"/>
      <c r="AA1952" s="11"/>
      <c r="AB1952" s="11"/>
      <c r="AC1952" s="105"/>
      <c r="AD1952" s="11" t="b">
        <v>0</v>
      </c>
      <c r="AE1952" s="105"/>
      <c r="AF1952" s="11"/>
      <c r="AG1952" s="11"/>
      <c r="AH1952" s="11"/>
      <c r="AI1952" s="11"/>
    </row>
    <row r="1953" ht="12.5" spans="3:35">
      <c r="C1953" s="19"/>
      <c r="D1953" s="19"/>
      <c r="H1953" s="105"/>
      <c r="I1953" s="126"/>
      <c r="J1953" s="11"/>
      <c r="K1953" s="108"/>
      <c r="L1953" s="11"/>
      <c r="M1953" s="105"/>
      <c r="N1953" s="105"/>
      <c r="O1953" s="11"/>
      <c r="P1953" s="11"/>
      <c r="Q1953" s="105"/>
      <c r="R1953" s="105"/>
      <c r="S1953" s="105"/>
      <c r="T1953" s="105"/>
      <c r="U1953" s="105"/>
      <c r="V1953" s="105"/>
      <c r="W1953" s="105"/>
      <c r="X1953" s="11"/>
      <c r="Y1953" s="11"/>
      <c r="Z1953" s="105"/>
      <c r="AA1953" s="11"/>
      <c r="AB1953" s="11"/>
      <c r="AC1953" s="105"/>
      <c r="AD1953" s="11" t="b">
        <v>0</v>
      </c>
      <c r="AE1953" s="105"/>
      <c r="AF1953" s="11"/>
      <c r="AG1953" s="11"/>
      <c r="AH1953" s="11"/>
      <c r="AI1953" s="11"/>
    </row>
    <row r="1954" ht="12.5" spans="3:35">
      <c r="C1954" s="19"/>
      <c r="D1954" s="19"/>
      <c r="H1954" s="105"/>
      <c r="I1954" s="126"/>
      <c r="J1954" s="11"/>
      <c r="K1954" s="108"/>
      <c r="L1954" s="11"/>
      <c r="M1954" s="105"/>
      <c r="N1954" s="105"/>
      <c r="O1954" s="11"/>
      <c r="P1954" s="11"/>
      <c r="Q1954" s="105"/>
      <c r="R1954" s="105"/>
      <c r="S1954" s="105"/>
      <c r="T1954" s="105"/>
      <c r="U1954" s="105"/>
      <c r="V1954" s="105"/>
      <c r="W1954" s="105"/>
      <c r="X1954" s="11"/>
      <c r="Y1954" s="11"/>
      <c r="Z1954" s="105"/>
      <c r="AA1954" s="11"/>
      <c r="AB1954" s="11"/>
      <c r="AC1954" s="105"/>
      <c r="AD1954" s="11" t="b">
        <v>0</v>
      </c>
      <c r="AE1954" s="105"/>
      <c r="AF1954" s="11"/>
      <c r="AG1954" s="11"/>
      <c r="AH1954" s="11"/>
      <c r="AI1954" s="11"/>
    </row>
    <row r="1955" ht="12.5" spans="3:35">
      <c r="C1955" s="19"/>
      <c r="D1955" s="19"/>
      <c r="H1955" s="105"/>
      <c r="I1955" s="126"/>
      <c r="J1955" s="11"/>
      <c r="K1955" s="108"/>
      <c r="L1955" s="11"/>
      <c r="M1955" s="105"/>
      <c r="N1955" s="105"/>
      <c r="O1955" s="11"/>
      <c r="P1955" s="11"/>
      <c r="Q1955" s="105"/>
      <c r="R1955" s="105"/>
      <c r="S1955" s="105"/>
      <c r="T1955" s="105"/>
      <c r="U1955" s="105"/>
      <c r="V1955" s="105"/>
      <c r="W1955" s="105"/>
      <c r="X1955" s="11"/>
      <c r="Y1955" s="11"/>
      <c r="Z1955" s="105"/>
      <c r="AA1955" s="11"/>
      <c r="AB1955" s="11"/>
      <c r="AC1955" s="105"/>
      <c r="AD1955" s="11" t="b">
        <v>0</v>
      </c>
      <c r="AE1955" s="105"/>
      <c r="AF1955" s="11"/>
      <c r="AG1955" s="11"/>
      <c r="AH1955" s="11"/>
      <c r="AI1955" s="11"/>
    </row>
    <row r="1956" ht="12.5" spans="3:35">
      <c r="C1956" s="19"/>
      <c r="D1956" s="19"/>
      <c r="H1956" s="105"/>
      <c r="I1956" s="126"/>
      <c r="J1956" s="11"/>
      <c r="K1956" s="108"/>
      <c r="L1956" s="11"/>
      <c r="M1956" s="105"/>
      <c r="N1956" s="105"/>
      <c r="O1956" s="11"/>
      <c r="P1956" s="11"/>
      <c r="Q1956" s="105"/>
      <c r="R1956" s="105"/>
      <c r="S1956" s="105"/>
      <c r="T1956" s="105"/>
      <c r="U1956" s="105"/>
      <c r="V1956" s="105"/>
      <c r="W1956" s="105"/>
      <c r="X1956" s="11"/>
      <c r="Y1956" s="11"/>
      <c r="Z1956" s="105"/>
      <c r="AA1956" s="11"/>
      <c r="AB1956" s="11"/>
      <c r="AC1956" s="105"/>
      <c r="AD1956" s="11" t="b">
        <v>0</v>
      </c>
      <c r="AE1956" s="105"/>
      <c r="AF1956" s="11"/>
      <c r="AG1956" s="11"/>
      <c r="AH1956" s="11"/>
      <c r="AI1956" s="11"/>
    </row>
    <row r="1957" ht="12.5" spans="3:35">
      <c r="C1957" s="19"/>
      <c r="D1957" s="19"/>
      <c r="H1957" s="105"/>
      <c r="I1957" s="126"/>
      <c r="J1957" s="11"/>
      <c r="K1957" s="108"/>
      <c r="L1957" s="11"/>
      <c r="M1957" s="105"/>
      <c r="N1957" s="105"/>
      <c r="O1957" s="11"/>
      <c r="P1957" s="11"/>
      <c r="Q1957" s="105"/>
      <c r="R1957" s="105"/>
      <c r="S1957" s="105"/>
      <c r="T1957" s="105"/>
      <c r="U1957" s="105"/>
      <c r="V1957" s="105"/>
      <c r="W1957" s="105"/>
      <c r="X1957" s="11"/>
      <c r="Y1957" s="11"/>
      <c r="Z1957" s="105"/>
      <c r="AA1957" s="11"/>
      <c r="AB1957" s="11"/>
      <c r="AC1957" s="105"/>
      <c r="AD1957" s="11" t="b">
        <v>0</v>
      </c>
      <c r="AE1957" s="105"/>
      <c r="AF1957" s="11"/>
      <c r="AG1957" s="11"/>
      <c r="AH1957" s="11"/>
      <c r="AI1957" s="11"/>
    </row>
    <row r="1958" ht="12.5" spans="3:35">
      <c r="C1958" s="19"/>
      <c r="D1958" s="19"/>
      <c r="H1958" s="105"/>
      <c r="I1958" s="126"/>
      <c r="J1958" s="11"/>
      <c r="K1958" s="108"/>
      <c r="L1958" s="11"/>
      <c r="M1958" s="105"/>
      <c r="N1958" s="105"/>
      <c r="O1958" s="11"/>
      <c r="P1958" s="11"/>
      <c r="Q1958" s="105"/>
      <c r="R1958" s="105"/>
      <c r="S1958" s="105"/>
      <c r="T1958" s="105"/>
      <c r="U1958" s="105"/>
      <c r="V1958" s="105"/>
      <c r="W1958" s="105"/>
      <c r="X1958" s="11"/>
      <c r="Y1958" s="11"/>
      <c r="Z1958" s="105"/>
      <c r="AA1958" s="11"/>
      <c r="AB1958" s="11"/>
      <c r="AC1958" s="105"/>
      <c r="AD1958" s="11" t="b">
        <v>0</v>
      </c>
      <c r="AE1958" s="105"/>
      <c r="AF1958" s="11"/>
      <c r="AG1958" s="11"/>
      <c r="AH1958" s="11"/>
      <c r="AI1958" s="11"/>
    </row>
    <row r="1959" ht="12.5" spans="3:35">
      <c r="C1959" s="19"/>
      <c r="D1959" s="19"/>
      <c r="H1959" s="105"/>
      <c r="I1959" s="126"/>
      <c r="J1959" s="11"/>
      <c r="K1959" s="108"/>
      <c r="L1959" s="11"/>
      <c r="M1959" s="105"/>
      <c r="N1959" s="105"/>
      <c r="O1959" s="11"/>
      <c r="P1959" s="11"/>
      <c r="Q1959" s="105"/>
      <c r="R1959" s="105"/>
      <c r="S1959" s="105"/>
      <c r="T1959" s="105"/>
      <c r="U1959" s="105"/>
      <c r="V1959" s="105"/>
      <c r="W1959" s="105"/>
      <c r="X1959" s="11"/>
      <c r="Y1959" s="11"/>
      <c r="Z1959" s="105"/>
      <c r="AA1959" s="11"/>
      <c r="AB1959" s="11"/>
      <c r="AC1959" s="105"/>
      <c r="AD1959" s="11" t="b">
        <v>0</v>
      </c>
      <c r="AE1959" s="105"/>
      <c r="AF1959" s="11"/>
      <c r="AG1959" s="11"/>
      <c r="AH1959" s="11"/>
      <c r="AI1959" s="11"/>
    </row>
    <row r="1960" ht="12.5" spans="3:35">
      <c r="C1960" s="19"/>
      <c r="D1960" s="19"/>
      <c r="H1960" s="105"/>
      <c r="I1960" s="126"/>
      <c r="J1960" s="11"/>
      <c r="K1960" s="108"/>
      <c r="L1960" s="11"/>
      <c r="M1960" s="105"/>
      <c r="N1960" s="105"/>
      <c r="O1960" s="11"/>
      <c r="P1960" s="11"/>
      <c r="Q1960" s="105"/>
      <c r="R1960" s="105"/>
      <c r="S1960" s="105"/>
      <c r="T1960" s="105"/>
      <c r="U1960" s="105"/>
      <c r="V1960" s="105"/>
      <c r="W1960" s="105"/>
      <c r="X1960" s="11"/>
      <c r="Y1960" s="11"/>
      <c r="Z1960" s="105"/>
      <c r="AA1960" s="11"/>
      <c r="AB1960" s="11"/>
      <c r="AC1960" s="105"/>
      <c r="AD1960" s="11" t="b">
        <v>0</v>
      </c>
      <c r="AE1960" s="105"/>
      <c r="AF1960" s="11"/>
      <c r="AG1960" s="11"/>
      <c r="AH1960" s="11"/>
      <c r="AI1960" s="11"/>
    </row>
    <row r="1961" ht="12.5" spans="3:35">
      <c r="C1961" s="19"/>
      <c r="D1961" s="19"/>
      <c r="H1961" s="105"/>
      <c r="I1961" s="126"/>
      <c r="J1961" s="11"/>
      <c r="K1961" s="108"/>
      <c r="L1961" s="11"/>
      <c r="M1961" s="105"/>
      <c r="N1961" s="105"/>
      <c r="O1961" s="11"/>
      <c r="P1961" s="11"/>
      <c r="Q1961" s="105"/>
      <c r="R1961" s="105"/>
      <c r="S1961" s="105"/>
      <c r="T1961" s="105"/>
      <c r="U1961" s="105"/>
      <c r="V1961" s="105"/>
      <c r="W1961" s="105"/>
      <c r="X1961" s="11"/>
      <c r="Y1961" s="11"/>
      <c r="Z1961" s="105"/>
      <c r="AA1961" s="11"/>
      <c r="AB1961" s="11"/>
      <c r="AC1961" s="105"/>
      <c r="AD1961" s="11" t="b">
        <v>0</v>
      </c>
      <c r="AE1961" s="105"/>
      <c r="AF1961" s="11"/>
      <c r="AG1961" s="11"/>
      <c r="AH1961" s="11"/>
      <c r="AI1961" s="11"/>
    </row>
    <row r="1962" ht="12.5" spans="3:35">
      <c r="C1962" s="19"/>
      <c r="D1962" s="19"/>
      <c r="H1962" s="105"/>
      <c r="I1962" s="126"/>
      <c r="J1962" s="11"/>
      <c r="K1962" s="108"/>
      <c r="L1962" s="11"/>
      <c r="M1962" s="105"/>
      <c r="N1962" s="105"/>
      <c r="O1962" s="11"/>
      <c r="P1962" s="11"/>
      <c r="Q1962" s="105"/>
      <c r="R1962" s="105"/>
      <c r="S1962" s="105"/>
      <c r="T1962" s="105"/>
      <c r="U1962" s="105"/>
      <c r="V1962" s="105"/>
      <c r="W1962" s="105"/>
      <c r="X1962" s="11"/>
      <c r="Y1962" s="11"/>
      <c r="Z1962" s="105"/>
      <c r="AA1962" s="11"/>
      <c r="AB1962" s="11"/>
      <c r="AC1962" s="105"/>
      <c r="AD1962" s="11" t="b">
        <v>0</v>
      </c>
      <c r="AE1962" s="105"/>
      <c r="AF1962" s="11"/>
      <c r="AG1962" s="11"/>
      <c r="AH1962" s="11"/>
      <c r="AI1962" s="11"/>
    </row>
    <row r="1963" ht="12.5" spans="3:35">
      <c r="C1963" s="19"/>
      <c r="D1963" s="19"/>
      <c r="H1963" s="105"/>
      <c r="I1963" s="126"/>
      <c r="J1963" s="11"/>
      <c r="K1963" s="108"/>
      <c r="L1963" s="11"/>
      <c r="M1963" s="105"/>
      <c r="N1963" s="105"/>
      <c r="O1963" s="11"/>
      <c r="P1963" s="11"/>
      <c r="Q1963" s="105"/>
      <c r="R1963" s="105"/>
      <c r="S1963" s="105"/>
      <c r="T1963" s="105"/>
      <c r="U1963" s="105"/>
      <c r="V1963" s="105"/>
      <c r="W1963" s="105"/>
      <c r="X1963" s="11"/>
      <c r="Y1963" s="11"/>
      <c r="Z1963" s="105"/>
      <c r="AA1963" s="11"/>
      <c r="AB1963" s="11"/>
      <c r="AC1963" s="105"/>
      <c r="AD1963" s="11" t="b">
        <v>0</v>
      </c>
      <c r="AE1963" s="105"/>
      <c r="AF1963" s="11"/>
      <c r="AG1963" s="11"/>
      <c r="AH1963" s="11"/>
      <c r="AI1963" s="11"/>
    </row>
    <row r="1964" ht="12.5" spans="3:35">
      <c r="C1964" s="19"/>
      <c r="D1964" s="19"/>
      <c r="H1964" s="105"/>
      <c r="I1964" s="126"/>
      <c r="J1964" s="11"/>
      <c r="K1964" s="108"/>
      <c r="L1964" s="11"/>
      <c r="M1964" s="105"/>
      <c r="N1964" s="105"/>
      <c r="O1964" s="11"/>
      <c r="P1964" s="11"/>
      <c r="Q1964" s="105"/>
      <c r="R1964" s="105"/>
      <c r="S1964" s="105"/>
      <c r="T1964" s="105"/>
      <c r="U1964" s="105"/>
      <c r="V1964" s="105"/>
      <c r="W1964" s="105"/>
      <c r="X1964" s="11"/>
      <c r="Y1964" s="11"/>
      <c r="Z1964" s="105"/>
      <c r="AA1964" s="11"/>
      <c r="AB1964" s="11"/>
      <c r="AC1964" s="105"/>
      <c r="AD1964" s="11" t="b">
        <v>0</v>
      </c>
      <c r="AE1964" s="105"/>
      <c r="AF1964" s="11"/>
      <c r="AG1964" s="11"/>
      <c r="AH1964" s="11"/>
      <c r="AI1964" s="11"/>
    </row>
    <row r="1965" ht="12.5" spans="3:35">
      <c r="C1965" s="19"/>
      <c r="D1965" s="19"/>
      <c r="H1965" s="105"/>
      <c r="I1965" s="126"/>
      <c r="J1965" s="11"/>
      <c r="K1965" s="108"/>
      <c r="L1965" s="11"/>
      <c r="M1965" s="105"/>
      <c r="N1965" s="105"/>
      <c r="O1965" s="11"/>
      <c r="P1965" s="11"/>
      <c r="Q1965" s="105"/>
      <c r="R1965" s="105"/>
      <c r="S1965" s="105"/>
      <c r="T1965" s="105"/>
      <c r="U1965" s="105"/>
      <c r="V1965" s="105"/>
      <c r="W1965" s="105"/>
      <c r="X1965" s="11"/>
      <c r="Y1965" s="11"/>
      <c r="Z1965" s="105"/>
      <c r="AA1965" s="11"/>
      <c r="AB1965" s="11"/>
      <c r="AC1965" s="105"/>
      <c r="AD1965" s="11" t="b">
        <v>0</v>
      </c>
      <c r="AE1965" s="105"/>
      <c r="AF1965" s="11"/>
      <c r="AG1965" s="11"/>
      <c r="AH1965" s="11"/>
      <c r="AI1965" s="11"/>
    </row>
    <row r="1966" ht="12.5" spans="3:35">
      <c r="C1966" s="19"/>
      <c r="D1966" s="19"/>
      <c r="H1966" s="105"/>
      <c r="I1966" s="126"/>
      <c r="J1966" s="11"/>
      <c r="K1966" s="108"/>
      <c r="L1966" s="11"/>
      <c r="M1966" s="105"/>
      <c r="N1966" s="105"/>
      <c r="O1966" s="11"/>
      <c r="P1966" s="11"/>
      <c r="Q1966" s="105"/>
      <c r="R1966" s="105"/>
      <c r="S1966" s="105"/>
      <c r="T1966" s="105"/>
      <c r="U1966" s="105"/>
      <c r="V1966" s="105"/>
      <c r="W1966" s="105"/>
      <c r="X1966" s="11"/>
      <c r="Y1966" s="11"/>
      <c r="Z1966" s="105"/>
      <c r="AA1966" s="11"/>
      <c r="AB1966" s="11"/>
      <c r="AC1966" s="105"/>
      <c r="AD1966" s="11" t="b">
        <v>0</v>
      </c>
      <c r="AE1966" s="105"/>
      <c r="AF1966" s="11"/>
      <c r="AG1966" s="11"/>
      <c r="AH1966" s="11"/>
      <c r="AI1966" s="11"/>
    </row>
    <row r="1967" ht="12.5" spans="3:35">
      <c r="C1967" s="19"/>
      <c r="D1967" s="19"/>
      <c r="H1967" s="105"/>
      <c r="I1967" s="126"/>
      <c r="J1967" s="11"/>
      <c r="K1967" s="108"/>
      <c r="L1967" s="11"/>
      <c r="M1967" s="105"/>
      <c r="N1967" s="105"/>
      <c r="O1967" s="11"/>
      <c r="P1967" s="11"/>
      <c r="Q1967" s="105"/>
      <c r="R1967" s="105"/>
      <c r="S1967" s="105"/>
      <c r="T1967" s="105"/>
      <c r="U1967" s="105"/>
      <c r="V1967" s="105"/>
      <c r="W1967" s="105"/>
      <c r="X1967" s="11"/>
      <c r="Y1967" s="11"/>
      <c r="Z1967" s="105"/>
      <c r="AA1967" s="11"/>
      <c r="AB1967" s="11"/>
      <c r="AC1967" s="105"/>
      <c r="AD1967" s="11" t="b">
        <v>0</v>
      </c>
      <c r="AE1967" s="105"/>
      <c r="AF1967" s="11"/>
      <c r="AG1967" s="11"/>
      <c r="AH1967" s="11"/>
      <c r="AI1967" s="11"/>
    </row>
    <row r="1968" ht="12.5" spans="3:35">
      <c r="C1968" s="19"/>
      <c r="D1968" s="19"/>
      <c r="H1968" s="105"/>
      <c r="I1968" s="126"/>
      <c r="J1968" s="11"/>
      <c r="K1968" s="108"/>
      <c r="L1968" s="11"/>
      <c r="M1968" s="105"/>
      <c r="N1968" s="105"/>
      <c r="O1968" s="11"/>
      <c r="P1968" s="11"/>
      <c r="Q1968" s="105"/>
      <c r="R1968" s="105"/>
      <c r="S1968" s="105"/>
      <c r="T1968" s="105"/>
      <c r="U1968" s="105"/>
      <c r="V1968" s="105"/>
      <c r="W1968" s="105"/>
      <c r="X1968" s="11"/>
      <c r="Y1968" s="11"/>
      <c r="Z1968" s="105"/>
      <c r="AA1968" s="11"/>
      <c r="AB1968" s="11"/>
      <c r="AC1968" s="105"/>
      <c r="AD1968" s="11" t="b">
        <v>0</v>
      </c>
      <c r="AE1968" s="105"/>
      <c r="AF1968" s="11"/>
      <c r="AG1968" s="11"/>
      <c r="AH1968" s="11"/>
      <c r="AI1968" s="11"/>
    </row>
    <row r="1969" ht="12.5" spans="3:35">
      <c r="C1969" s="19"/>
      <c r="D1969" s="19"/>
      <c r="H1969" s="105"/>
      <c r="I1969" s="126"/>
      <c r="J1969" s="11"/>
      <c r="K1969" s="108"/>
      <c r="L1969" s="11"/>
      <c r="M1969" s="105"/>
      <c r="N1969" s="105"/>
      <c r="O1969" s="11"/>
      <c r="P1969" s="11"/>
      <c r="Q1969" s="105"/>
      <c r="R1969" s="105"/>
      <c r="S1969" s="105"/>
      <c r="T1969" s="105"/>
      <c r="U1969" s="105"/>
      <c r="V1969" s="105"/>
      <c r="W1969" s="105"/>
      <c r="X1969" s="11"/>
      <c r="Y1969" s="11"/>
      <c r="Z1969" s="105"/>
      <c r="AA1969" s="11"/>
      <c r="AB1969" s="11"/>
      <c r="AC1969" s="105"/>
      <c r="AD1969" s="11" t="b">
        <v>0</v>
      </c>
      <c r="AE1969" s="105"/>
      <c r="AF1969" s="11"/>
      <c r="AG1969" s="11"/>
      <c r="AH1969" s="11"/>
      <c r="AI1969" s="11"/>
    </row>
    <row r="1970" ht="12.5" spans="3:35">
      <c r="C1970" s="19"/>
      <c r="D1970" s="19"/>
      <c r="H1970" s="105"/>
      <c r="I1970" s="126"/>
      <c r="J1970" s="11"/>
      <c r="K1970" s="108"/>
      <c r="L1970" s="11"/>
      <c r="M1970" s="105"/>
      <c r="N1970" s="105"/>
      <c r="O1970" s="11"/>
      <c r="P1970" s="11"/>
      <c r="Q1970" s="105"/>
      <c r="R1970" s="105"/>
      <c r="S1970" s="105"/>
      <c r="T1970" s="105"/>
      <c r="U1970" s="105"/>
      <c r="V1970" s="105"/>
      <c r="W1970" s="105"/>
      <c r="X1970" s="11"/>
      <c r="Y1970" s="11"/>
      <c r="Z1970" s="105"/>
      <c r="AA1970" s="11"/>
      <c r="AB1970" s="11"/>
      <c r="AC1970" s="105"/>
      <c r="AD1970" s="11" t="b">
        <v>0</v>
      </c>
      <c r="AE1970" s="105"/>
      <c r="AF1970" s="11"/>
      <c r="AG1970" s="11"/>
      <c r="AH1970" s="11"/>
      <c r="AI1970" s="11"/>
    </row>
    <row r="1971" ht="12.5" spans="3:35">
      <c r="C1971" s="19"/>
      <c r="D1971" s="19"/>
      <c r="H1971" s="105"/>
      <c r="I1971" s="126"/>
      <c r="J1971" s="11"/>
      <c r="K1971" s="108"/>
      <c r="L1971" s="11"/>
      <c r="M1971" s="105"/>
      <c r="N1971" s="105"/>
      <c r="O1971" s="11"/>
      <c r="P1971" s="11"/>
      <c r="Q1971" s="105"/>
      <c r="R1971" s="105"/>
      <c r="S1971" s="105"/>
      <c r="T1971" s="105"/>
      <c r="U1971" s="105"/>
      <c r="V1971" s="105"/>
      <c r="W1971" s="105"/>
      <c r="X1971" s="11"/>
      <c r="Y1971" s="11"/>
      <c r="Z1971" s="105"/>
      <c r="AA1971" s="11"/>
      <c r="AB1971" s="11"/>
      <c r="AC1971" s="105"/>
      <c r="AD1971" s="11" t="b">
        <v>0</v>
      </c>
      <c r="AE1971" s="105"/>
      <c r="AF1971" s="11"/>
      <c r="AG1971" s="11"/>
      <c r="AH1971" s="11"/>
      <c r="AI1971" s="11"/>
    </row>
    <row r="1972" ht="12.5" spans="3:35">
      <c r="C1972" s="19"/>
      <c r="D1972" s="19"/>
      <c r="H1972" s="105"/>
      <c r="I1972" s="126"/>
      <c r="J1972" s="11"/>
      <c r="K1972" s="108"/>
      <c r="L1972" s="11"/>
      <c r="M1972" s="105"/>
      <c r="N1972" s="105"/>
      <c r="O1972" s="11"/>
      <c r="P1972" s="11"/>
      <c r="Q1972" s="105"/>
      <c r="R1972" s="105"/>
      <c r="S1972" s="105"/>
      <c r="T1972" s="105"/>
      <c r="U1972" s="105"/>
      <c r="V1972" s="105"/>
      <c r="W1972" s="105"/>
      <c r="X1972" s="11"/>
      <c r="Y1972" s="11"/>
      <c r="Z1972" s="105"/>
      <c r="AA1972" s="11"/>
      <c r="AB1972" s="11"/>
      <c r="AC1972" s="105"/>
      <c r="AD1972" s="11" t="b">
        <v>0</v>
      </c>
      <c r="AE1972" s="105"/>
      <c r="AF1972" s="11"/>
      <c r="AG1972" s="11"/>
      <c r="AH1972" s="11"/>
      <c r="AI1972" s="11"/>
    </row>
    <row r="1973" ht="12.5" spans="3:35">
      <c r="C1973" s="19"/>
      <c r="D1973" s="19"/>
      <c r="H1973" s="105"/>
      <c r="I1973" s="126"/>
      <c r="J1973" s="11"/>
      <c r="K1973" s="108"/>
      <c r="L1973" s="11"/>
      <c r="M1973" s="105"/>
      <c r="N1973" s="105"/>
      <c r="O1973" s="11"/>
      <c r="P1973" s="11"/>
      <c r="Q1973" s="105"/>
      <c r="R1973" s="105"/>
      <c r="S1973" s="105"/>
      <c r="T1973" s="105"/>
      <c r="U1973" s="105"/>
      <c r="V1973" s="105"/>
      <c r="W1973" s="105"/>
      <c r="X1973" s="11"/>
      <c r="Y1973" s="11"/>
      <c r="Z1973" s="105"/>
      <c r="AA1973" s="11"/>
      <c r="AB1973" s="11"/>
      <c r="AC1973" s="105"/>
      <c r="AD1973" s="11" t="b">
        <v>0</v>
      </c>
      <c r="AE1973" s="105"/>
      <c r="AF1973" s="11"/>
      <c r="AG1973" s="11"/>
      <c r="AH1973" s="11"/>
      <c r="AI1973" s="11"/>
    </row>
    <row r="1974" ht="12.5" spans="3:35">
      <c r="C1974" s="19"/>
      <c r="D1974" s="19"/>
      <c r="H1974" s="105"/>
      <c r="I1974" s="126"/>
      <c r="J1974" s="11"/>
      <c r="K1974" s="108"/>
      <c r="L1974" s="11"/>
      <c r="M1974" s="105"/>
      <c r="N1974" s="105"/>
      <c r="O1974" s="11"/>
      <c r="P1974" s="11"/>
      <c r="Q1974" s="105"/>
      <c r="R1974" s="105"/>
      <c r="S1974" s="105"/>
      <c r="T1974" s="105"/>
      <c r="U1974" s="105"/>
      <c r="V1974" s="105"/>
      <c r="W1974" s="105"/>
      <c r="X1974" s="11"/>
      <c r="Y1974" s="11"/>
      <c r="Z1974" s="105"/>
      <c r="AA1974" s="11"/>
      <c r="AB1974" s="11"/>
      <c r="AC1974" s="105"/>
      <c r="AD1974" s="11" t="b">
        <v>0</v>
      </c>
      <c r="AE1974" s="105"/>
      <c r="AF1974" s="11"/>
      <c r="AG1974" s="11"/>
      <c r="AH1974" s="11"/>
      <c r="AI1974" s="11"/>
    </row>
    <row r="1975" ht="12.5" spans="3:35">
      <c r="C1975" s="19"/>
      <c r="D1975" s="19"/>
      <c r="H1975" s="105"/>
      <c r="I1975" s="126"/>
      <c r="J1975" s="11"/>
      <c r="K1975" s="108"/>
      <c r="L1975" s="11"/>
      <c r="M1975" s="105"/>
      <c r="N1975" s="105"/>
      <c r="O1975" s="11"/>
      <c r="P1975" s="11"/>
      <c r="Q1975" s="105"/>
      <c r="R1975" s="105"/>
      <c r="S1975" s="105"/>
      <c r="T1975" s="105"/>
      <c r="U1975" s="105"/>
      <c r="V1975" s="105"/>
      <c r="W1975" s="105"/>
      <c r="X1975" s="11"/>
      <c r="Y1975" s="11"/>
      <c r="Z1975" s="105"/>
      <c r="AA1975" s="11"/>
      <c r="AB1975" s="11"/>
      <c r="AC1975" s="105"/>
      <c r="AD1975" s="11" t="b">
        <v>0</v>
      </c>
      <c r="AE1975" s="105"/>
      <c r="AF1975" s="11"/>
      <c r="AG1975" s="11"/>
      <c r="AH1975" s="11"/>
      <c r="AI1975" s="11"/>
    </row>
    <row r="1976" ht="12.5" spans="3:35">
      <c r="C1976" s="19"/>
      <c r="D1976" s="19"/>
      <c r="H1976" s="105"/>
      <c r="I1976" s="126"/>
      <c r="J1976" s="11"/>
      <c r="K1976" s="108"/>
      <c r="L1976" s="11"/>
      <c r="M1976" s="105"/>
      <c r="N1976" s="105"/>
      <c r="O1976" s="11"/>
      <c r="P1976" s="11"/>
      <c r="Q1976" s="105"/>
      <c r="R1976" s="105"/>
      <c r="S1976" s="105"/>
      <c r="T1976" s="105"/>
      <c r="U1976" s="105"/>
      <c r="V1976" s="105"/>
      <c r="W1976" s="105"/>
      <c r="X1976" s="11"/>
      <c r="Y1976" s="11"/>
      <c r="Z1976" s="105"/>
      <c r="AA1976" s="11"/>
      <c r="AB1976" s="11"/>
      <c r="AC1976" s="105"/>
      <c r="AD1976" s="11" t="b">
        <v>0</v>
      </c>
      <c r="AE1976" s="105"/>
      <c r="AF1976" s="11"/>
      <c r="AG1976" s="11"/>
      <c r="AH1976" s="11"/>
      <c r="AI1976" s="11"/>
    </row>
    <row r="1977" ht="12.5" spans="3:35">
      <c r="C1977" s="19"/>
      <c r="D1977" s="19"/>
      <c r="H1977" s="105"/>
      <c r="I1977" s="126"/>
      <c r="J1977" s="11"/>
      <c r="K1977" s="108"/>
      <c r="L1977" s="11"/>
      <c r="M1977" s="105"/>
      <c r="N1977" s="105"/>
      <c r="O1977" s="11"/>
      <c r="P1977" s="11"/>
      <c r="Q1977" s="105"/>
      <c r="R1977" s="105"/>
      <c r="S1977" s="105"/>
      <c r="T1977" s="105"/>
      <c r="U1977" s="105"/>
      <c r="V1977" s="105"/>
      <c r="W1977" s="105"/>
      <c r="X1977" s="11"/>
      <c r="Y1977" s="11"/>
      <c r="Z1977" s="105"/>
      <c r="AA1977" s="11"/>
      <c r="AB1977" s="11"/>
      <c r="AC1977" s="105"/>
      <c r="AD1977" s="11" t="b">
        <v>0</v>
      </c>
      <c r="AE1977" s="105"/>
      <c r="AF1977" s="11"/>
      <c r="AG1977" s="11"/>
      <c r="AH1977" s="11"/>
      <c r="AI1977" s="11"/>
    </row>
    <row r="1978" ht="12.5" spans="3:35">
      <c r="C1978" s="19"/>
      <c r="D1978" s="19"/>
      <c r="H1978" s="105"/>
      <c r="I1978" s="126"/>
      <c r="J1978" s="11"/>
      <c r="K1978" s="108"/>
      <c r="L1978" s="11"/>
      <c r="M1978" s="105"/>
      <c r="N1978" s="105"/>
      <c r="O1978" s="11"/>
      <c r="P1978" s="11"/>
      <c r="Q1978" s="105"/>
      <c r="R1978" s="105"/>
      <c r="S1978" s="105"/>
      <c r="T1978" s="105"/>
      <c r="U1978" s="105"/>
      <c r="V1978" s="105"/>
      <c r="W1978" s="105"/>
      <c r="X1978" s="11"/>
      <c r="Y1978" s="11"/>
      <c r="Z1978" s="105"/>
      <c r="AA1978" s="11"/>
      <c r="AB1978" s="11"/>
      <c r="AC1978" s="105"/>
      <c r="AD1978" s="11" t="b">
        <v>0</v>
      </c>
      <c r="AE1978" s="105"/>
      <c r="AF1978" s="11"/>
      <c r="AG1978" s="11"/>
      <c r="AH1978" s="11"/>
      <c r="AI1978" s="11"/>
    </row>
    <row r="1979" ht="12.5" spans="3:35">
      <c r="C1979" s="19"/>
      <c r="D1979" s="19"/>
      <c r="H1979" s="105"/>
      <c r="I1979" s="126"/>
      <c r="J1979" s="11"/>
      <c r="K1979" s="108"/>
      <c r="L1979" s="11"/>
      <c r="M1979" s="105"/>
      <c r="N1979" s="105"/>
      <c r="O1979" s="11"/>
      <c r="P1979" s="11"/>
      <c r="Q1979" s="105"/>
      <c r="R1979" s="105"/>
      <c r="S1979" s="105"/>
      <c r="T1979" s="105"/>
      <c r="U1979" s="105"/>
      <c r="V1979" s="105"/>
      <c r="W1979" s="105"/>
      <c r="X1979" s="11"/>
      <c r="Y1979" s="11"/>
      <c r="Z1979" s="105"/>
      <c r="AA1979" s="11"/>
      <c r="AB1979" s="11"/>
      <c r="AC1979" s="105"/>
      <c r="AD1979" s="11" t="b">
        <v>0</v>
      </c>
      <c r="AE1979" s="105"/>
      <c r="AF1979" s="11"/>
      <c r="AG1979" s="11"/>
      <c r="AH1979" s="11"/>
      <c r="AI1979" s="11"/>
    </row>
    <row r="1980" ht="12.5" spans="3:35">
      <c r="C1980" s="19"/>
      <c r="D1980" s="19"/>
      <c r="H1980" s="105"/>
      <c r="I1980" s="126"/>
      <c r="J1980" s="11"/>
      <c r="K1980" s="108"/>
      <c r="L1980" s="11"/>
      <c r="M1980" s="105"/>
      <c r="N1980" s="105"/>
      <c r="O1980" s="11"/>
      <c r="P1980" s="11"/>
      <c r="Q1980" s="105"/>
      <c r="R1980" s="105"/>
      <c r="S1980" s="105"/>
      <c r="T1980" s="105"/>
      <c r="U1980" s="105"/>
      <c r="V1980" s="105"/>
      <c r="W1980" s="105"/>
      <c r="X1980" s="11"/>
      <c r="Y1980" s="11"/>
      <c r="Z1980" s="105"/>
      <c r="AA1980" s="11"/>
      <c r="AB1980" s="11"/>
      <c r="AC1980" s="105"/>
      <c r="AD1980" s="11" t="b">
        <v>0</v>
      </c>
      <c r="AE1980" s="105"/>
      <c r="AF1980" s="11"/>
      <c r="AG1980" s="11"/>
      <c r="AH1980" s="11"/>
      <c r="AI1980" s="11"/>
    </row>
    <row r="1981" ht="12.5" spans="3:35">
      <c r="C1981" s="19"/>
      <c r="D1981" s="19"/>
      <c r="H1981" s="105"/>
      <c r="I1981" s="126"/>
      <c r="J1981" s="11"/>
      <c r="K1981" s="108"/>
      <c r="L1981" s="11"/>
      <c r="M1981" s="105"/>
      <c r="N1981" s="105"/>
      <c r="O1981" s="11"/>
      <c r="P1981" s="11"/>
      <c r="Q1981" s="105"/>
      <c r="R1981" s="105"/>
      <c r="S1981" s="105"/>
      <c r="T1981" s="105"/>
      <c r="U1981" s="105"/>
      <c r="V1981" s="105"/>
      <c r="W1981" s="105"/>
      <c r="X1981" s="11"/>
      <c r="Y1981" s="11"/>
      <c r="Z1981" s="105"/>
      <c r="AA1981" s="11"/>
      <c r="AB1981" s="11"/>
      <c r="AC1981" s="105"/>
      <c r="AD1981" s="11" t="b">
        <v>0</v>
      </c>
      <c r="AE1981" s="105"/>
      <c r="AF1981" s="11"/>
      <c r="AG1981" s="11"/>
      <c r="AH1981" s="11"/>
      <c r="AI1981" s="11"/>
    </row>
    <row r="1982" ht="12.5" spans="3:35">
      <c r="C1982" s="19"/>
      <c r="D1982" s="19"/>
      <c r="H1982" s="105"/>
      <c r="I1982" s="126"/>
      <c r="J1982" s="11"/>
      <c r="K1982" s="108"/>
      <c r="L1982" s="11"/>
      <c r="M1982" s="105"/>
      <c r="N1982" s="105"/>
      <c r="O1982" s="11"/>
      <c r="P1982" s="11"/>
      <c r="Q1982" s="105"/>
      <c r="R1982" s="105"/>
      <c r="S1982" s="105"/>
      <c r="T1982" s="105"/>
      <c r="U1982" s="105"/>
      <c r="V1982" s="105"/>
      <c r="W1982" s="105"/>
      <c r="X1982" s="11"/>
      <c r="Y1982" s="11"/>
      <c r="Z1982" s="105"/>
      <c r="AA1982" s="11"/>
      <c r="AB1982" s="11"/>
      <c r="AC1982" s="105"/>
      <c r="AD1982" s="11" t="b">
        <v>0</v>
      </c>
      <c r="AE1982" s="105"/>
      <c r="AF1982" s="11"/>
      <c r="AG1982" s="11"/>
      <c r="AH1982" s="11"/>
      <c r="AI1982" s="11"/>
    </row>
    <row r="1983" ht="12.5" spans="3:35">
      <c r="C1983" s="19"/>
      <c r="D1983" s="19"/>
      <c r="H1983" s="105"/>
      <c r="I1983" s="126"/>
      <c r="J1983" s="11"/>
      <c r="K1983" s="108"/>
      <c r="L1983" s="11"/>
      <c r="M1983" s="105"/>
      <c r="N1983" s="105"/>
      <c r="O1983" s="11"/>
      <c r="P1983" s="11"/>
      <c r="Q1983" s="105"/>
      <c r="R1983" s="105"/>
      <c r="S1983" s="105"/>
      <c r="T1983" s="105"/>
      <c r="U1983" s="105"/>
      <c r="V1983" s="105"/>
      <c r="W1983" s="105"/>
      <c r="X1983" s="11"/>
      <c r="Y1983" s="11"/>
      <c r="Z1983" s="105"/>
      <c r="AA1983" s="11"/>
      <c r="AB1983" s="11"/>
      <c r="AC1983" s="105"/>
      <c r="AD1983" s="11" t="b">
        <v>0</v>
      </c>
      <c r="AE1983" s="105"/>
      <c r="AF1983" s="11"/>
      <c r="AG1983" s="11"/>
      <c r="AH1983" s="11"/>
      <c r="AI1983" s="11"/>
    </row>
    <row r="1984" ht="12.5" spans="3:35">
      <c r="C1984" s="19"/>
      <c r="D1984" s="19"/>
      <c r="H1984" s="105"/>
      <c r="I1984" s="126"/>
      <c r="J1984" s="11"/>
      <c r="K1984" s="108"/>
      <c r="L1984" s="11"/>
      <c r="M1984" s="105"/>
      <c r="N1984" s="105"/>
      <c r="O1984" s="11"/>
      <c r="P1984" s="11"/>
      <c r="Q1984" s="105"/>
      <c r="R1984" s="105"/>
      <c r="S1984" s="105"/>
      <c r="T1984" s="105"/>
      <c r="U1984" s="105"/>
      <c r="V1984" s="105"/>
      <c r="W1984" s="105"/>
      <c r="X1984" s="11"/>
      <c r="Y1984" s="11"/>
      <c r="Z1984" s="105"/>
      <c r="AA1984" s="11"/>
      <c r="AB1984" s="11"/>
      <c r="AC1984" s="105"/>
      <c r="AD1984" s="11" t="b">
        <v>0</v>
      </c>
      <c r="AE1984" s="105"/>
      <c r="AF1984" s="11"/>
      <c r="AG1984" s="11"/>
      <c r="AH1984" s="11"/>
      <c r="AI1984" s="11"/>
    </row>
    <row r="1985" ht="12.5" spans="3:35">
      <c r="C1985" s="19"/>
      <c r="D1985" s="19"/>
      <c r="H1985" s="105"/>
      <c r="I1985" s="126"/>
      <c r="J1985" s="11"/>
      <c r="K1985" s="108"/>
      <c r="L1985" s="11"/>
      <c r="M1985" s="105"/>
      <c r="N1985" s="105"/>
      <c r="O1985" s="11"/>
      <c r="P1985" s="11"/>
      <c r="Q1985" s="105"/>
      <c r="R1985" s="105"/>
      <c r="S1985" s="105"/>
      <c r="T1985" s="105"/>
      <c r="U1985" s="105"/>
      <c r="V1985" s="105"/>
      <c r="W1985" s="105"/>
      <c r="X1985" s="11"/>
      <c r="Y1985" s="11"/>
      <c r="Z1985" s="105"/>
      <c r="AA1985" s="11"/>
      <c r="AB1985" s="11"/>
      <c r="AC1985" s="105"/>
      <c r="AD1985" s="11" t="b">
        <v>0</v>
      </c>
      <c r="AE1985" s="105"/>
      <c r="AF1985" s="11"/>
      <c r="AG1985" s="11"/>
      <c r="AH1985" s="11"/>
      <c r="AI1985" s="11"/>
    </row>
    <row r="1986" ht="12.5" spans="3:35">
      <c r="C1986" s="19"/>
      <c r="D1986" s="19"/>
      <c r="H1986" s="105"/>
      <c r="I1986" s="126"/>
      <c r="J1986" s="11"/>
      <c r="K1986" s="108"/>
      <c r="L1986" s="11"/>
      <c r="M1986" s="105"/>
      <c r="N1986" s="105"/>
      <c r="O1986" s="11"/>
      <c r="P1986" s="11"/>
      <c r="Q1986" s="105"/>
      <c r="R1986" s="105"/>
      <c r="S1986" s="105"/>
      <c r="T1986" s="105"/>
      <c r="U1986" s="105"/>
      <c r="V1986" s="105"/>
      <c r="W1986" s="105"/>
      <c r="X1986" s="11"/>
      <c r="Y1986" s="11"/>
      <c r="Z1986" s="105"/>
      <c r="AA1986" s="11"/>
      <c r="AB1986" s="11"/>
      <c r="AC1986" s="105"/>
      <c r="AD1986" s="11" t="b">
        <v>0</v>
      </c>
      <c r="AE1986" s="105"/>
      <c r="AF1986" s="11"/>
      <c r="AG1986" s="11"/>
      <c r="AH1986" s="11"/>
      <c r="AI1986" s="11"/>
    </row>
    <row r="1987" ht="12.5" spans="3:35">
      <c r="C1987" s="19"/>
      <c r="D1987" s="19"/>
      <c r="H1987" s="105"/>
      <c r="I1987" s="126"/>
      <c r="J1987" s="11"/>
      <c r="K1987" s="108"/>
      <c r="L1987" s="11"/>
      <c r="M1987" s="105"/>
      <c r="N1987" s="105"/>
      <c r="O1987" s="11"/>
      <c r="P1987" s="11"/>
      <c r="Q1987" s="105"/>
      <c r="R1987" s="105"/>
      <c r="S1987" s="105"/>
      <c r="T1987" s="105"/>
      <c r="U1987" s="105"/>
      <c r="V1987" s="105"/>
      <c r="W1987" s="105"/>
      <c r="X1987" s="11"/>
      <c r="Y1987" s="11"/>
      <c r="Z1987" s="105"/>
      <c r="AA1987" s="11"/>
      <c r="AB1987" s="11"/>
      <c r="AC1987" s="105"/>
      <c r="AD1987" s="11" t="b">
        <v>0</v>
      </c>
      <c r="AE1987" s="105"/>
      <c r="AF1987" s="11"/>
      <c r="AG1987" s="11"/>
      <c r="AH1987" s="11"/>
      <c r="AI1987" s="11"/>
    </row>
    <row r="1988" ht="12.5" spans="3:35">
      <c r="C1988" s="19"/>
      <c r="D1988" s="19"/>
      <c r="H1988" s="105"/>
      <c r="I1988" s="126"/>
      <c r="J1988" s="11"/>
      <c r="K1988" s="108"/>
      <c r="L1988" s="11"/>
      <c r="M1988" s="105"/>
      <c r="N1988" s="105"/>
      <c r="O1988" s="11"/>
      <c r="P1988" s="11"/>
      <c r="Q1988" s="105"/>
      <c r="R1988" s="105"/>
      <c r="S1988" s="105"/>
      <c r="T1988" s="105"/>
      <c r="U1988" s="105"/>
      <c r="V1988" s="105"/>
      <c r="W1988" s="105"/>
      <c r="X1988" s="11"/>
      <c r="Y1988" s="11"/>
      <c r="Z1988" s="105"/>
      <c r="AA1988" s="11"/>
      <c r="AB1988" s="11"/>
      <c r="AC1988" s="105"/>
      <c r="AD1988" s="11" t="b">
        <v>0</v>
      </c>
      <c r="AE1988" s="105"/>
      <c r="AF1988" s="11"/>
      <c r="AG1988" s="11"/>
      <c r="AH1988" s="11"/>
      <c r="AI1988" s="11"/>
    </row>
    <row r="1989" ht="12.5" spans="3:35">
      <c r="C1989" s="19"/>
      <c r="D1989" s="19"/>
      <c r="H1989" s="105"/>
      <c r="I1989" s="126"/>
      <c r="J1989" s="11"/>
      <c r="K1989" s="108"/>
      <c r="L1989" s="11"/>
      <c r="M1989" s="105"/>
      <c r="N1989" s="105"/>
      <c r="O1989" s="11"/>
      <c r="P1989" s="11"/>
      <c r="Q1989" s="105"/>
      <c r="R1989" s="105"/>
      <c r="S1989" s="105"/>
      <c r="T1989" s="105"/>
      <c r="U1989" s="105"/>
      <c r="V1989" s="105"/>
      <c r="W1989" s="105"/>
      <c r="X1989" s="11"/>
      <c r="Y1989" s="11"/>
      <c r="Z1989" s="105"/>
      <c r="AA1989" s="11"/>
      <c r="AB1989" s="11"/>
      <c r="AC1989" s="105"/>
      <c r="AD1989" s="11" t="b">
        <v>0</v>
      </c>
      <c r="AE1989" s="105"/>
      <c r="AF1989" s="11"/>
      <c r="AG1989" s="11"/>
      <c r="AH1989" s="11"/>
      <c r="AI1989" s="11"/>
    </row>
    <row r="1990" ht="12.5" spans="3:35">
      <c r="C1990" s="19"/>
      <c r="D1990" s="19"/>
      <c r="H1990" s="105"/>
      <c r="I1990" s="126"/>
      <c r="J1990" s="11"/>
      <c r="K1990" s="108"/>
      <c r="L1990" s="11"/>
      <c r="M1990" s="105"/>
      <c r="N1990" s="105"/>
      <c r="O1990" s="11"/>
      <c r="P1990" s="11"/>
      <c r="Q1990" s="105"/>
      <c r="R1990" s="105"/>
      <c r="S1990" s="105"/>
      <c r="T1990" s="105"/>
      <c r="U1990" s="105"/>
      <c r="V1990" s="105"/>
      <c r="W1990" s="105"/>
      <c r="X1990" s="11"/>
      <c r="Y1990" s="11"/>
      <c r="Z1990" s="105"/>
      <c r="AA1990" s="11"/>
      <c r="AB1990" s="11"/>
      <c r="AC1990" s="105"/>
      <c r="AD1990" s="11" t="b">
        <v>0</v>
      </c>
      <c r="AE1990" s="105"/>
      <c r="AF1990" s="11"/>
      <c r="AG1990" s="11"/>
      <c r="AH1990" s="11"/>
      <c r="AI1990" s="11"/>
    </row>
    <row r="1991" ht="12.5" spans="3:35">
      <c r="C1991" s="19"/>
      <c r="D1991" s="19"/>
      <c r="H1991" s="105"/>
      <c r="I1991" s="126"/>
      <c r="J1991" s="11"/>
      <c r="K1991" s="108"/>
      <c r="L1991" s="11"/>
      <c r="M1991" s="105"/>
      <c r="N1991" s="105"/>
      <c r="O1991" s="11"/>
      <c r="P1991" s="11"/>
      <c r="Q1991" s="105"/>
      <c r="R1991" s="105"/>
      <c r="S1991" s="105"/>
      <c r="T1991" s="105"/>
      <c r="U1991" s="105"/>
      <c r="V1991" s="105"/>
      <c r="W1991" s="105"/>
      <c r="X1991" s="11"/>
      <c r="Y1991" s="11"/>
      <c r="Z1991" s="105"/>
      <c r="AA1991" s="11"/>
      <c r="AB1991" s="11"/>
      <c r="AC1991" s="105"/>
      <c r="AD1991" s="11" t="b">
        <v>0</v>
      </c>
      <c r="AE1991" s="105"/>
      <c r="AF1991" s="11"/>
      <c r="AG1991" s="11"/>
      <c r="AH1991" s="11"/>
      <c r="AI1991" s="11"/>
    </row>
    <row r="1992" ht="12.5" spans="3:35">
      <c r="C1992" s="19"/>
      <c r="D1992" s="19"/>
      <c r="H1992" s="105"/>
      <c r="I1992" s="126"/>
      <c r="J1992" s="11"/>
      <c r="K1992" s="108"/>
      <c r="L1992" s="11"/>
      <c r="M1992" s="105"/>
      <c r="N1992" s="105"/>
      <c r="O1992" s="11"/>
      <c r="P1992" s="11"/>
      <c r="Q1992" s="105"/>
      <c r="R1992" s="105"/>
      <c r="S1992" s="105"/>
      <c r="T1992" s="105"/>
      <c r="U1992" s="105"/>
      <c r="V1992" s="105"/>
      <c r="W1992" s="105"/>
      <c r="X1992" s="11"/>
      <c r="Y1992" s="11"/>
      <c r="Z1992" s="105"/>
      <c r="AA1992" s="11"/>
      <c r="AB1992" s="11"/>
      <c r="AC1992" s="105"/>
      <c r="AD1992" s="11" t="b">
        <v>0</v>
      </c>
      <c r="AE1992" s="105"/>
      <c r="AF1992" s="11"/>
      <c r="AG1992" s="11"/>
      <c r="AH1992" s="11"/>
      <c r="AI1992" s="11"/>
    </row>
    <row r="1993" ht="12.5" spans="3:35">
      <c r="C1993" s="19"/>
      <c r="D1993" s="19"/>
      <c r="H1993" s="105"/>
      <c r="I1993" s="126"/>
      <c r="J1993" s="11"/>
      <c r="K1993" s="108"/>
      <c r="L1993" s="11"/>
      <c r="M1993" s="105"/>
      <c r="N1993" s="105"/>
      <c r="O1993" s="11"/>
      <c r="P1993" s="11"/>
      <c r="Q1993" s="105"/>
      <c r="R1993" s="105"/>
      <c r="S1993" s="105"/>
      <c r="T1993" s="105"/>
      <c r="U1993" s="105"/>
      <c r="V1993" s="105"/>
      <c r="W1993" s="105"/>
      <c r="X1993" s="11"/>
      <c r="Y1993" s="11"/>
      <c r="Z1993" s="105"/>
      <c r="AA1993" s="11"/>
      <c r="AB1993" s="11"/>
      <c r="AC1993" s="105"/>
      <c r="AD1993" s="11" t="b">
        <v>0</v>
      </c>
      <c r="AE1993" s="105"/>
      <c r="AF1993" s="11"/>
      <c r="AG1993" s="11"/>
      <c r="AH1993" s="11"/>
      <c r="AI1993" s="11"/>
    </row>
    <row r="1994" ht="12.5" spans="3:35">
      <c r="C1994" s="19"/>
      <c r="D1994" s="19"/>
      <c r="H1994" s="105"/>
      <c r="I1994" s="126"/>
      <c r="J1994" s="11"/>
      <c r="K1994" s="108"/>
      <c r="L1994" s="11"/>
      <c r="M1994" s="105"/>
      <c r="N1994" s="105"/>
      <c r="O1994" s="11"/>
      <c r="P1994" s="11"/>
      <c r="Q1994" s="105"/>
      <c r="R1994" s="105"/>
      <c r="S1994" s="105"/>
      <c r="T1994" s="105"/>
      <c r="U1994" s="105"/>
      <c r="V1994" s="105"/>
      <c r="W1994" s="105"/>
      <c r="X1994" s="11"/>
      <c r="Y1994" s="11"/>
      <c r="Z1994" s="105"/>
      <c r="AA1994" s="11"/>
      <c r="AB1994" s="11"/>
      <c r="AC1994" s="105"/>
      <c r="AD1994" s="11" t="b">
        <v>0</v>
      </c>
      <c r="AE1994" s="105"/>
      <c r="AF1994" s="11"/>
      <c r="AG1994" s="11"/>
      <c r="AH1994" s="11"/>
      <c r="AI1994" s="11"/>
    </row>
    <row r="1995" ht="12.5" spans="3:35">
      <c r="C1995" s="19"/>
      <c r="D1995" s="19"/>
      <c r="H1995" s="105"/>
      <c r="I1995" s="126"/>
      <c r="J1995" s="11"/>
      <c r="K1995" s="108"/>
      <c r="L1995" s="11"/>
      <c r="M1995" s="105"/>
      <c r="N1995" s="105"/>
      <c r="O1995" s="11"/>
      <c r="P1995" s="11"/>
      <c r="Q1995" s="105"/>
      <c r="R1995" s="105"/>
      <c r="S1995" s="105"/>
      <c r="T1995" s="105"/>
      <c r="U1995" s="105"/>
      <c r="V1995" s="105"/>
      <c r="W1995" s="105"/>
      <c r="X1995" s="11"/>
      <c r="Y1995" s="11"/>
      <c r="Z1995" s="105"/>
      <c r="AA1995" s="11"/>
      <c r="AB1995" s="11"/>
      <c r="AC1995" s="105"/>
      <c r="AD1995" s="11" t="b">
        <v>0</v>
      </c>
      <c r="AE1995" s="105"/>
      <c r="AF1995" s="11"/>
      <c r="AG1995" s="11"/>
      <c r="AH1995" s="11"/>
      <c r="AI1995" s="11"/>
    </row>
    <row r="1996" ht="12.5" spans="3:35">
      <c r="C1996" s="19"/>
      <c r="D1996" s="19"/>
      <c r="H1996" s="105"/>
      <c r="I1996" s="126"/>
      <c r="J1996" s="11"/>
      <c r="K1996" s="108"/>
      <c r="L1996" s="11"/>
      <c r="M1996" s="105"/>
      <c r="N1996" s="105"/>
      <c r="O1996" s="11"/>
      <c r="P1996" s="11"/>
      <c r="Q1996" s="105"/>
      <c r="R1996" s="105"/>
      <c r="S1996" s="105"/>
      <c r="T1996" s="105"/>
      <c r="U1996" s="105"/>
      <c r="V1996" s="105"/>
      <c r="W1996" s="105"/>
      <c r="X1996" s="11"/>
      <c r="Y1996" s="11"/>
      <c r="Z1996" s="105"/>
      <c r="AA1996" s="11"/>
      <c r="AB1996" s="11"/>
      <c r="AC1996" s="105"/>
      <c r="AD1996" s="11" t="b">
        <v>0</v>
      </c>
      <c r="AE1996" s="105"/>
      <c r="AF1996" s="11"/>
      <c r="AG1996" s="11"/>
      <c r="AH1996" s="11"/>
      <c r="AI1996" s="11"/>
    </row>
    <row r="1997" ht="12.5" spans="3:35">
      <c r="C1997" s="19"/>
      <c r="D1997" s="19"/>
      <c r="H1997" s="105"/>
      <c r="I1997" s="126"/>
      <c r="J1997" s="11"/>
      <c r="K1997" s="108"/>
      <c r="L1997" s="11"/>
      <c r="M1997" s="105"/>
      <c r="N1997" s="105"/>
      <c r="O1997" s="11"/>
      <c r="P1997" s="11"/>
      <c r="Q1997" s="105"/>
      <c r="R1997" s="105"/>
      <c r="S1997" s="105"/>
      <c r="T1997" s="105"/>
      <c r="U1997" s="105"/>
      <c r="V1997" s="105"/>
      <c r="W1997" s="105"/>
      <c r="X1997" s="11"/>
      <c r="Y1997" s="11"/>
      <c r="Z1997" s="105"/>
      <c r="AA1997" s="11"/>
      <c r="AB1997" s="11"/>
      <c r="AC1997" s="105"/>
      <c r="AD1997" s="11" t="b">
        <v>0</v>
      </c>
      <c r="AE1997" s="105"/>
      <c r="AF1997" s="11"/>
      <c r="AG1997" s="11"/>
      <c r="AH1997" s="11"/>
      <c r="AI1997" s="11"/>
    </row>
    <row r="1998" ht="12.5" spans="3:35">
      <c r="C1998" s="19"/>
      <c r="D1998" s="19"/>
      <c r="H1998" s="105"/>
      <c r="I1998" s="126"/>
      <c r="J1998" s="11"/>
      <c r="K1998" s="108"/>
      <c r="L1998" s="11"/>
      <c r="M1998" s="105"/>
      <c r="N1998" s="105"/>
      <c r="O1998" s="11"/>
      <c r="P1998" s="11"/>
      <c r="Q1998" s="105"/>
      <c r="R1998" s="105"/>
      <c r="S1998" s="105"/>
      <c r="T1998" s="105"/>
      <c r="U1998" s="105"/>
      <c r="V1998" s="105"/>
      <c r="W1998" s="105"/>
      <c r="X1998" s="11"/>
      <c r="Y1998" s="11"/>
      <c r="Z1998" s="105"/>
      <c r="AA1998" s="11"/>
      <c r="AB1998" s="11"/>
      <c r="AC1998" s="105"/>
      <c r="AD1998" s="11" t="b">
        <v>0</v>
      </c>
      <c r="AE1998" s="105"/>
      <c r="AF1998" s="11"/>
      <c r="AG1998" s="11"/>
      <c r="AH1998" s="11"/>
      <c r="AI1998" s="11"/>
    </row>
    <row r="1999" ht="12.5" spans="3:35">
      <c r="C1999" s="19"/>
      <c r="D1999" s="19"/>
      <c r="H1999" s="105"/>
      <c r="I1999" s="126"/>
      <c r="J1999" s="11"/>
      <c r="K1999" s="108"/>
      <c r="L1999" s="11"/>
      <c r="M1999" s="105"/>
      <c r="N1999" s="105"/>
      <c r="O1999" s="11"/>
      <c r="P1999" s="11"/>
      <c r="Q1999" s="105"/>
      <c r="R1999" s="105"/>
      <c r="S1999" s="105"/>
      <c r="T1999" s="105"/>
      <c r="U1999" s="105"/>
      <c r="V1999" s="105"/>
      <c r="W1999" s="105"/>
      <c r="X1999" s="11"/>
      <c r="Y1999" s="11"/>
      <c r="Z1999" s="105"/>
      <c r="AA1999" s="11"/>
      <c r="AB1999" s="11"/>
      <c r="AC1999" s="105"/>
      <c r="AD1999" s="11" t="b">
        <v>0</v>
      </c>
      <c r="AE1999" s="105"/>
      <c r="AF1999" s="11"/>
      <c r="AG1999" s="11"/>
      <c r="AH1999" s="11"/>
      <c r="AI1999" s="11"/>
    </row>
    <row r="2000" ht="12.5" spans="3:35">
      <c r="C2000" s="19"/>
      <c r="D2000" s="19"/>
      <c r="H2000" s="105"/>
      <c r="I2000" s="126"/>
      <c r="J2000" s="11"/>
      <c r="K2000" s="108"/>
      <c r="L2000" s="11"/>
      <c r="M2000" s="105"/>
      <c r="N2000" s="105"/>
      <c r="O2000" s="11"/>
      <c r="P2000" s="11"/>
      <c r="Q2000" s="105"/>
      <c r="R2000" s="105"/>
      <c r="S2000" s="105"/>
      <c r="T2000" s="105"/>
      <c r="U2000" s="105"/>
      <c r="V2000" s="105"/>
      <c r="W2000" s="105"/>
      <c r="X2000" s="11"/>
      <c r="Y2000" s="11"/>
      <c r="Z2000" s="105"/>
      <c r="AA2000" s="11"/>
      <c r="AB2000" s="11"/>
      <c r="AC2000" s="105"/>
      <c r="AD2000" s="11" t="b">
        <v>0</v>
      </c>
      <c r="AE2000" s="105"/>
      <c r="AF2000" s="11"/>
      <c r="AG2000" s="11"/>
      <c r="AH2000" s="11"/>
      <c r="AI2000" s="11"/>
    </row>
    <row r="2001" ht="12.5" spans="3:35">
      <c r="C2001" s="19"/>
      <c r="D2001" s="19"/>
      <c r="H2001" s="105"/>
      <c r="I2001" s="126"/>
      <c r="J2001" s="11"/>
      <c r="K2001" s="108"/>
      <c r="L2001" s="11"/>
      <c r="M2001" s="105"/>
      <c r="N2001" s="105"/>
      <c r="O2001" s="11"/>
      <c r="P2001" s="11"/>
      <c r="Q2001" s="105"/>
      <c r="R2001" s="105"/>
      <c r="S2001" s="105"/>
      <c r="T2001" s="105"/>
      <c r="U2001" s="105"/>
      <c r="V2001" s="105"/>
      <c r="W2001" s="105"/>
      <c r="X2001" s="11"/>
      <c r="Y2001" s="11"/>
      <c r="Z2001" s="105"/>
      <c r="AA2001" s="11"/>
      <c r="AB2001" s="11"/>
      <c r="AC2001" s="105"/>
      <c r="AD2001" s="11" t="b">
        <v>0</v>
      </c>
      <c r="AE2001" s="105"/>
      <c r="AF2001" s="11"/>
      <c r="AG2001" s="11"/>
      <c r="AH2001" s="11"/>
      <c r="AI2001" s="11"/>
    </row>
    <row r="2002" ht="12.5" spans="3:35">
      <c r="C2002" s="19"/>
      <c r="D2002" s="19"/>
      <c r="H2002" s="105"/>
      <c r="I2002" s="126"/>
      <c r="J2002" s="11"/>
      <c r="K2002" s="108"/>
      <c r="L2002" s="11"/>
      <c r="M2002" s="105"/>
      <c r="N2002" s="105"/>
      <c r="O2002" s="11"/>
      <c r="P2002" s="11"/>
      <c r="Q2002" s="105"/>
      <c r="R2002" s="105"/>
      <c r="S2002" s="105"/>
      <c r="T2002" s="105"/>
      <c r="U2002" s="105"/>
      <c r="V2002" s="105"/>
      <c r="W2002" s="105"/>
      <c r="X2002" s="11"/>
      <c r="Y2002" s="11"/>
      <c r="Z2002" s="105"/>
      <c r="AA2002" s="11"/>
      <c r="AB2002" s="11"/>
      <c r="AC2002" s="105"/>
      <c r="AD2002" s="11" t="b">
        <v>0</v>
      </c>
      <c r="AE2002" s="105"/>
      <c r="AF2002" s="11"/>
      <c r="AG2002" s="11"/>
      <c r="AH2002" s="11"/>
      <c r="AI2002" s="11"/>
    </row>
    <row r="2003" ht="12.5" spans="3:35">
      <c r="C2003" s="19"/>
      <c r="D2003" s="19"/>
      <c r="H2003" s="105"/>
      <c r="I2003" s="126"/>
      <c r="J2003" s="11"/>
      <c r="K2003" s="108"/>
      <c r="L2003" s="11"/>
      <c r="M2003" s="105"/>
      <c r="N2003" s="105"/>
      <c r="O2003" s="11"/>
      <c r="P2003" s="11"/>
      <c r="Q2003" s="105"/>
      <c r="R2003" s="105"/>
      <c r="S2003" s="105"/>
      <c r="T2003" s="105"/>
      <c r="U2003" s="105"/>
      <c r="V2003" s="105"/>
      <c r="W2003" s="105"/>
      <c r="X2003" s="11"/>
      <c r="Y2003" s="11"/>
      <c r="Z2003" s="105"/>
      <c r="AA2003" s="11"/>
      <c r="AB2003" s="11"/>
      <c r="AC2003" s="105"/>
      <c r="AD2003" s="11" t="b">
        <v>0</v>
      </c>
      <c r="AE2003" s="105"/>
      <c r="AF2003" s="11"/>
      <c r="AG2003" s="11"/>
      <c r="AH2003" s="11"/>
      <c r="AI2003" s="11"/>
    </row>
    <row r="2004" ht="12.5" spans="3:35">
      <c r="C2004" s="19"/>
      <c r="D2004" s="19"/>
      <c r="H2004" s="105"/>
      <c r="I2004" s="126"/>
      <c r="J2004" s="11"/>
      <c r="K2004" s="108"/>
      <c r="L2004" s="11"/>
      <c r="M2004" s="105"/>
      <c r="N2004" s="105"/>
      <c r="O2004" s="11"/>
      <c r="P2004" s="11"/>
      <c r="Q2004" s="105"/>
      <c r="R2004" s="105"/>
      <c r="S2004" s="105"/>
      <c r="T2004" s="105"/>
      <c r="U2004" s="105"/>
      <c r="V2004" s="105"/>
      <c r="W2004" s="105"/>
      <c r="X2004" s="11"/>
      <c r="Y2004" s="11"/>
      <c r="Z2004" s="105"/>
      <c r="AA2004" s="11"/>
      <c r="AB2004" s="11"/>
      <c r="AC2004" s="105"/>
      <c r="AD2004" s="11" t="b">
        <v>0</v>
      </c>
      <c r="AE2004" s="105"/>
      <c r="AF2004" s="11"/>
      <c r="AG2004" s="11"/>
      <c r="AH2004" s="11"/>
      <c r="AI2004" s="11"/>
    </row>
    <row r="2005" ht="12.5" spans="3:35">
      <c r="C2005" s="19"/>
      <c r="D2005" s="19"/>
      <c r="H2005" s="105"/>
      <c r="I2005" s="126"/>
      <c r="J2005" s="11"/>
      <c r="K2005" s="108"/>
      <c r="L2005" s="11"/>
      <c r="M2005" s="105"/>
      <c r="N2005" s="105"/>
      <c r="O2005" s="11"/>
      <c r="P2005" s="11"/>
      <c r="Q2005" s="105"/>
      <c r="R2005" s="105"/>
      <c r="S2005" s="105"/>
      <c r="T2005" s="105"/>
      <c r="U2005" s="105"/>
      <c r="V2005" s="105"/>
      <c r="W2005" s="105"/>
      <c r="X2005" s="11"/>
      <c r="Y2005" s="11"/>
      <c r="Z2005" s="105"/>
      <c r="AA2005" s="11"/>
      <c r="AB2005" s="11"/>
      <c r="AC2005" s="105"/>
      <c r="AD2005" s="11" t="b">
        <v>0</v>
      </c>
      <c r="AE2005" s="105"/>
      <c r="AF2005" s="11"/>
      <c r="AG2005" s="11"/>
      <c r="AH2005" s="11"/>
      <c r="AI2005" s="11"/>
    </row>
    <row r="2006" ht="12.5" spans="3:35">
      <c r="C2006" s="19"/>
      <c r="D2006" s="19"/>
      <c r="H2006" s="105"/>
      <c r="I2006" s="126"/>
      <c r="J2006" s="11"/>
      <c r="K2006" s="108"/>
      <c r="L2006" s="11"/>
      <c r="M2006" s="105"/>
      <c r="N2006" s="105"/>
      <c r="O2006" s="11"/>
      <c r="P2006" s="11"/>
      <c r="Q2006" s="105"/>
      <c r="R2006" s="105"/>
      <c r="S2006" s="105"/>
      <c r="T2006" s="105"/>
      <c r="U2006" s="105"/>
      <c r="V2006" s="105"/>
      <c r="W2006" s="105"/>
      <c r="X2006" s="11"/>
      <c r="Y2006" s="11"/>
      <c r="Z2006" s="105"/>
      <c r="AA2006" s="11"/>
      <c r="AB2006" s="11"/>
      <c r="AC2006" s="105"/>
      <c r="AD2006" s="11" t="b">
        <v>0</v>
      </c>
      <c r="AE2006" s="105"/>
      <c r="AF2006" s="11"/>
      <c r="AG2006" s="11"/>
      <c r="AH2006" s="11"/>
      <c r="AI2006" s="11"/>
    </row>
    <row r="2007" ht="12.5" spans="3:35">
      <c r="C2007" s="19"/>
      <c r="D2007" s="19"/>
      <c r="H2007" s="105"/>
      <c r="I2007" s="126"/>
      <c r="J2007" s="11"/>
      <c r="K2007" s="108"/>
      <c r="L2007" s="11"/>
      <c r="M2007" s="105"/>
      <c r="N2007" s="105"/>
      <c r="O2007" s="11"/>
      <c r="P2007" s="11"/>
      <c r="Q2007" s="105"/>
      <c r="R2007" s="105"/>
      <c r="S2007" s="105"/>
      <c r="T2007" s="105"/>
      <c r="U2007" s="105"/>
      <c r="V2007" s="105"/>
      <c r="W2007" s="105"/>
      <c r="X2007" s="11"/>
      <c r="Y2007" s="11"/>
      <c r="Z2007" s="105"/>
      <c r="AA2007" s="11"/>
      <c r="AB2007" s="11"/>
      <c r="AC2007" s="105"/>
      <c r="AD2007" s="11" t="b">
        <v>0</v>
      </c>
      <c r="AE2007" s="105"/>
      <c r="AF2007" s="11"/>
      <c r="AG2007" s="11"/>
      <c r="AH2007" s="11"/>
      <c r="AI2007" s="11"/>
    </row>
    <row r="2008" ht="12.5" spans="3:35">
      <c r="C2008" s="19"/>
      <c r="D2008" s="19"/>
      <c r="H2008" s="105"/>
      <c r="I2008" s="126"/>
      <c r="J2008" s="11"/>
      <c r="K2008" s="108"/>
      <c r="L2008" s="11"/>
      <c r="M2008" s="105"/>
      <c r="N2008" s="105"/>
      <c r="O2008" s="11"/>
      <c r="P2008" s="11"/>
      <c r="Q2008" s="105"/>
      <c r="R2008" s="105"/>
      <c r="S2008" s="105"/>
      <c r="T2008" s="105"/>
      <c r="U2008" s="105"/>
      <c r="V2008" s="105"/>
      <c r="W2008" s="105"/>
      <c r="X2008" s="11"/>
      <c r="Y2008" s="11"/>
      <c r="Z2008" s="105"/>
      <c r="AA2008" s="11"/>
      <c r="AB2008" s="11"/>
      <c r="AC2008" s="105"/>
      <c r="AD2008" s="11" t="b">
        <v>0</v>
      </c>
      <c r="AE2008" s="105"/>
      <c r="AF2008" s="11"/>
      <c r="AG2008" s="11"/>
      <c r="AH2008" s="11"/>
      <c r="AI2008" s="11"/>
    </row>
    <row r="2009" ht="12.5" spans="3:35">
      <c r="C2009" s="19"/>
      <c r="D2009" s="19"/>
      <c r="H2009" s="105"/>
      <c r="I2009" s="126"/>
      <c r="J2009" s="11"/>
      <c r="K2009" s="108"/>
      <c r="L2009" s="11"/>
      <c r="M2009" s="105"/>
      <c r="N2009" s="105"/>
      <c r="O2009" s="11"/>
      <c r="P2009" s="11"/>
      <c r="Q2009" s="105"/>
      <c r="R2009" s="105"/>
      <c r="S2009" s="105"/>
      <c r="T2009" s="105"/>
      <c r="U2009" s="105"/>
      <c r="V2009" s="105"/>
      <c r="W2009" s="105"/>
      <c r="X2009" s="11"/>
      <c r="Y2009" s="11"/>
      <c r="Z2009" s="105"/>
      <c r="AA2009" s="11"/>
      <c r="AB2009" s="11"/>
      <c r="AC2009" s="105"/>
      <c r="AD2009" s="11" t="b">
        <v>0</v>
      </c>
      <c r="AE2009" s="105"/>
      <c r="AF2009" s="11"/>
      <c r="AG2009" s="11"/>
      <c r="AH2009" s="11"/>
      <c r="AI2009" s="11"/>
    </row>
    <row r="2010" ht="12.5" spans="3:35">
      <c r="C2010" s="19"/>
      <c r="D2010" s="19"/>
      <c r="H2010" s="105"/>
      <c r="I2010" s="126"/>
      <c r="J2010" s="11"/>
      <c r="K2010" s="108"/>
      <c r="L2010" s="11"/>
      <c r="M2010" s="105"/>
      <c r="N2010" s="105"/>
      <c r="O2010" s="11"/>
      <c r="P2010" s="11"/>
      <c r="Q2010" s="105"/>
      <c r="R2010" s="105"/>
      <c r="S2010" s="105"/>
      <c r="T2010" s="105"/>
      <c r="U2010" s="105"/>
      <c r="V2010" s="105"/>
      <c r="W2010" s="105"/>
      <c r="X2010" s="11"/>
      <c r="Y2010" s="11"/>
      <c r="Z2010" s="105"/>
      <c r="AA2010" s="11"/>
      <c r="AB2010" s="11"/>
      <c r="AC2010" s="105"/>
      <c r="AD2010" s="11" t="b">
        <v>0</v>
      </c>
      <c r="AE2010" s="105"/>
      <c r="AF2010" s="11"/>
      <c r="AG2010" s="11"/>
      <c r="AH2010" s="11"/>
      <c r="AI2010" s="11"/>
    </row>
    <row r="2011" ht="12.5" spans="3:35">
      <c r="C2011" s="19"/>
      <c r="D2011" s="19"/>
      <c r="H2011" s="105"/>
      <c r="I2011" s="126"/>
      <c r="J2011" s="11"/>
      <c r="K2011" s="108"/>
      <c r="L2011" s="11"/>
      <c r="M2011" s="105"/>
      <c r="N2011" s="105"/>
      <c r="O2011" s="11"/>
      <c r="P2011" s="11"/>
      <c r="Q2011" s="105"/>
      <c r="R2011" s="105"/>
      <c r="S2011" s="105"/>
      <c r="T2011" s="105"/>
      <c r="U2011" s="105"/>
      <c r="V2011" s="105"/>
      <c r="W2011" s="105"/>
      <c r="X2011" s="11"/>
      <c r="Y2011" s="11"/>
      <c r="Z2011" s="105"/>
      <c r="AA2011" s="11"/>
      <c r="AB2011" s="11"/>
      <c r="AC2011" s="105"/>
      <c r="AD2011" s="11" t="b">
        <v>0</v>
      </c>
      <c r="AE2011" s="105"/>
      <c r="AF2011" s="11"/>
      <c r="AG2011" s="11"/>
      <c r="AH2011" s="11"/>
      <c r="AI2011" s="11"/>
    </row>
    <row r="2012" ht="12.5" spans="3:35">
      <c r="C2012" s="19"/>
      <c r="D2012" s="19"/>
      <c r="H2012" s="105"/>
      <c r="I2012" s="126"/>
      <c r="J2012" s="11"/>
      <c r="K2012" s="108"/>
      <c r="L2012" s="11"/>
      <c r="M2012" s="105"/>
      <c r="N2012" s="105"/>
      <c r="O2012" s="11"/>
      <c r="P2012" s="11"/>
      <c r="Q2012" s="105"/>
      <c r="R2012" s="105"/>
      <c r="S2012" s="105"/>
      <c r="T2012" s="105"/>
      <c r="U2012" s="105"/>
      <c r="V2012" s="105"/>
      <c r="W2012" s="105"/>
      <c r="X2012" s="11"/>
      <c r="Y2012" s="11"/>
      <c r="Z2012" s="105"/>
      <c r="AA2012" s="11"/>
      <c r="AB2012" s="11"/>
      <c r="AC2012" s="105"/>
      <c r="AD2012" s="11" t="b">
        <v>0</v>
      </c>
      <c r="AE2012" s="105"/>
      <c r="AF2012" s="11"/>
      <c r="AG2012" s="11"/>
      <c r="AH2012" s="11"/>
      <c r="AI2012" s="11"/>
    </row>
    <row r="2013" ht="12.5" spans="3:35">
      <c r="C2013" s="19"/>
      <c r="D2013" s="19"/>
      <c r="H2013" s="105"/>
      <c r="I2013" s="126"/>
      <c r="J2013" s="11"/>
      <c r="K2013" s="108"/>
      <c r="L2013" s="11"/>
      <c r="M2013" s="105"/>
      <c r="N2013" s="105"/>
      <c r="O2013" s="11"/>
      <c r="P2013" s="11"/>
      <c r="Q2013" s="105"/>
      <c r="R2013" s="105"/>
      <c r="S2013" s="105"/>
      <c r="T2013" s="105"/>
      <c r="U2013" s="105"/>
      <c r="V2013" s="105"/>
      <c r="W2013" s="105"/>
      <c r="X2013" s="11"/>
      <c r="Y2013" s="11"/>
      <c r="Z2013" s="105"/>
      <c r="AA2013" s="11"/>
      <c r="AB2013" s="11"/>
      <c r="AC2013" s="105"/>
      <c r="AD2013" s="11" t="b">
        <v>0</v>
      </c>
      <c r="AE2013" s="105"/>
      <c r="AF2013" s="11"/>
      <c r="AG2013" s="11"/>
      <c r="AH2013" s="11"/>
      <c r="AI2013" s="11"/>
    </row>
    <row r="2014" ht="12.5" spans="3:35">
      <c r="C2014" s="19"/>
      <c r="D2014" s="19"/>
      <c r="H2014" s="105"/>
      <c r="I2014" s="126"/>
      <c r="J2014" s="11"/>
      <c r="K2014" s="108"/>
      <c r="L2014" s="11"/>
      <c r="M2014" s="105"/>
      <c r="N2014" s="105"/>
      <c r="O2014" s="11"/>
      <c r="P2014" s="11"/>
      <c r="Q2014" s="105"/>
      <c r="R2014" s="105"/>
      <c r="S2014" s="105"/>
      <c r="T2014" s="105"/>
      <c r="U2014" s="105"/>
      <c r="V2014" s="105"/>
      <c r="W2014" s="105"/>
      <c r="X2014" s="11"/>
      <c r="Y2014" s="11"/>
      <c r="Z2014" s="105"/>
      <c r="AA2014" s="11"/>
      <c r="AB2014" s="11"/>
      <c r="AC2014" s="105"/>
      <c r="AD2014" s="11" t="b">
        <v>0</v>
      </c>
      <c r="AE2014" s="105"/>
      <c r="AF2014" s="11"/>
      <c r="AG2014" s="11"/>
      <c r="AH2014" s="11"/>
      <c r="AI2014" s="11"/>
    </row>
    <row r="2015" ht="12.5" spans="3:35">
      <c r="C2015" s="19"/>
      <c r="D2015" s="19"/>
      <c r="H2015" s="105"/>
      <c r="I2015" s="126"/>
      <c r="J2015" s="11"/>
      <c r="K2015" s="108"/>
      <c r="L2015" s="11"/>
      <c r="M2015" s="105"/>
      <c r="N2015" s="105"/>
      <c r="O2015" s="11"/>
      <c r="P2015" s="11"/>
      <c r="Q2015" s="105"/>
      <c r="R2015" s="105"/>
      <c r="S2015" s="105"/>
      <c r="T2015" s="105"/>
      <c r="U2015" s="105"/>
      <c r="V2015" s="105"/>
      <c r="W2015" s="105"/>
      <c r="X2015" s="11"/>
      <c r="Y2015" s="11"/>
      <c r="Z2015" s="105"/>
      <c r="AA2015" s="11"/>
      <c r="AB2015" s="11"/>
      <c r="AC2015" s="105"/>
      <c r="AD2015" s="11" t="b">
        <v>0</v>
      </c>
      <c r="AE2015" s="105"/>
      <c r="AF2015" s="11"/>
      <c r="AG2015" s="11"/>
      <c r="AH2015" s="11"/>
      <c r="AI2015" s="11"/>
    </row>
    <row r="2016" ht="12.5" spans="3:35">
      <c r="C2016" s="19"/>
      <c r="D2016" s="19"/>
      <c r="H2016" s="105"/>
      <c r="I2016" s="126"/>
      <c r="J2016" s="11"/>
      <c r="K2016" s="108"/>
      <c r="L2016" s="11"/>
      <c r="M2016" s="105"/>
      <c r="N2016" s="105"/>
      <c r="O2016" s="11"/>
      <c r="P2016" s="11"/>
      <c r="Q2016" s="105"/>
      <c r="R2016" s="105"/>
      <c r="S2016" s="105"/>
      <c r="T2016" s="105"/>
      <c r="U2016" s="105"/>
      <c r="V2016" s="105"/>
      <c r="W2016" s="105"/>
      <c r="X2016" s="11"/>
      <c r="Y2016" s="11"/>
      <c r="Z2016" s="105"/>
      <c r="AA2016" s="11"/>
      <c r="AB2016" s="11"/>
      <c r="AC2016" s="105"/>
      <c r="AD2016" s="11" t="b">
        <v>0</v>
      </c>
      <c r="AE2016" s="105"/>
      <c r="AF2016" s="11"/>
      <c r="AG2016" s="11"/>
      <c r="AH2016" s="11"/>
      <c r="AI2016" s="11"/>
    </row>
    <row r="2017" ht="12.5" spans="3:35">
      <c r="C2017" s="19"/>
      <c r="D2017" s="19"/>
      <c r="H2017" s="105"/>
      <c r="I2017" s="126"/>
      <c r="J2017" s="11"/>
      <c r="K2017" s="108"/>
      <c r="L2017" s="11"/>
      <c r="M2017" s="105"/>
      <c r="N2017" s="105"/>
      <c r="O2017" s="11"/>
      <c r="P2017" s="11"/>
      <c r="Q2017" s="105"/>
      <c r="R2017" s="105"/>
      <c r="S2017" s="105"/>
      <c r="T2017" s="105"/>
      <c r="U2017" s="105"/>
      <c r="V2017" s="105"/>
      <c r="W2017" s="105"/>
      <c r="X2017" s="11"/>
      <c r="Y2017" s="11"/>
      <c r="Z2017" s="105"/>
      <c r="AA2017" s="11"/>
      <c r="AB2017" s="11"/>
      <c r="AC2017" s="105"/>
      <c r="AD2017" s="11" t="b">
        <v>0</v>
      </c>
      <c r="AE2017" s="105"/>
      <c r="AF2017" s="11"/>
      <c r="AG2017" s="11"/>
      <c r="AH2017" s="11"/>
      <c r="AI2017" s="11"/>
    </row>
    <row r="2018" ht="12.5" spans="3:35">
      <c r="C2018" s="19"/>
      <c r="D2018" s="19"/>
      <c r="H2018" s="105"/>
      <c r="I2018" s="126"/>
      <c r="J2018" s="11"/>
      <c r="K2018" s="108"/>
      <c r="L2018" s="11"/>
      <c r="M2018" s="105"/>
      <c r="N2018" s="105"/>
      <c r="O2018" s="11"/>
      <c r="P2018" s="11"/>
      <c r="Q2018" s="105"/>
      <c r="R2018" s="105"/>
      <c r="S2018" s="105"/>
      <c r="T2018" s="105"/>
      <c r="U2018" s="105"/>
      <c r="V2018" s="105"/>
      <c r="W2018" s="105"/>
      <c r="X2018" s="11"/>
      <c r="Y2018" s="11"/>
      <c r="Z2018" s="105"/>
      <c r="AA2018" s="11"/>
      <c r="AB2018" s="11"/>
      <c r="AC2018" s="105"/>
      <c r="AD2018" s="11" t="b">
        <v>0</v>
      </c>
      <c r="AE2018" s="105"/>
      <c r="AF2018" s="11"/>
      <c r="AG2018" s="11"/>
      <c r="AH2018" s="11"/>
      <c r="AI2018" s="11"/>
    </row>
    <row r="2019" ht="12.5" spans="3:35">
      <c r="C2019" s="19"/>
      <c r="D2019" s="19"/>
      <c r="H2019" s="105"/>
      <c r="I2019" s="126"/>
      <c r="J2019" s="11"/>
      <c r="K2019" s="108"/>
      <c r="L2019" s="11"/>
      <c r="M2019" s="105"/>
      <c r="N2019" s="105"/>
      <c r="O2019" s="11"/>
      <c r="P2019" s="11"/>
      <c r="Q2019" s="105"/>
      <c r="R2019" s="105"/>
      <c r="S2019" s="105"/>
      <c r="T2019" s="105"/>
      <c r="U2019" s="105"/>
      <c r="V2019" s="105"/>
      <c r="W2019" s="105"/>
      <c r="X2019" s="11"/>
      <c r="Y2019" s="11"/>
      <c r="Z2019" s="105"/>
      <c r="AA2019" s="11"/>
      <c r="AB2019" s="11"/>
      <c r="AC2019" s="105"/>
      <c r="AD2019" s="11" t="b">
        <v>0</v>
      </c>
      <c r="AE2019" s="105"/>
      <c r="AF2019" s="11"/>
      <c r="AG2019" s="11"/>
      <c r="AH2019" s="11"/>
      <c r="AI2019" s="11"/>
    </row>
    <row r="2020" ht="12.5" spans="3:35">
      <c r="C2020" s="19"/>
      <c r="D2020" s="19"/>
      <c r="H2020" s="105"/>
      <c r="I2020" s="126"/>
      <c r="J2020" s="11"/>
      <c r="K2020" s="108"/>
      <c r="L2020" s="11"/>
      <c r="M2020" s="105"/>
      <c r="N2020" s="105"/>
      <c r="O2020" s="11"/>
      <c r="P2020" s="11"/>
      <c r="Q2020" s="105"/>
      <c r="R2020" s="105"/>
      <c r="S2020" s="105"/>
      <c r="T2020" s="105"/>
      <c r="U2020" s="105"/>
      <c r="V2020" s="105"/>
      <c r="W2020" s="105"/>
      <c r="X2020" s="11"/>
      <c r="Y2020" s="11"/>
      <c r="Z2020" s="105"/>
      <c r="AA2020" s="11"/>
      <c r="AB2020" s="11"/>
      <c r="AC2020" s="105"/>
      <c r="AD2020" s="11" t="b">
        <v>0</v>
      </c>
      <c r="AE2020" s="105"/>
      <c r="AF2020" s="11"/>
      <c r="AG2020" s="11"/>
      <c r="AH2020" s="11"/>
      <c r="AI2020" s="11"/>
    </row>
    <row r="2021" ht="12.5" spans="3:35">
      <c r="C2021" s="19"/>
      <c r="D2021" s="19"/>
      <c r="H2021" s="105"/>
      <c r="I2021" s="126"/>
      <c r="J2021" s="11"/>
      <c r="K2021" s="108"/>
      <c r="L2021" s="11"/>
      <c r="M2021" s="105"/>
      <c r="N2021" s="105"/>
      <c r="O2021" s="11"/>
      <c r="P2021" s="11"/>
      <c r="Q2021" s="105"/>
      <c r="R2021" s="105"/>
      <c r="S2021" s="105"/>
      <c r="T2021" s="105"/>
      <c r="U2021" s="105"/>
      <c r="V2021" s="105"/>
      <c r="W2021" s="105"/>
      <c r="X2021" s="11"/>
      <c r="Y2021" s="11"/>
      <c r="Z2021" s="105"/>
      <c r="AA2021" s="11"/>
      <c r="AB2021" s="11"/>
      <c r="AC2021" s="105"/>
      <c r="AD2021" s="11" t="b">
        <v>0</v>
      </c>
      <c r="AE2021" s="105"/>
      <c r="AF2021" s="11"/>
      <c r="AG2021" s="11"/>
      <c r="AH2021" s="11"/>
      <c r="AI2021" s="11"/>
    </row>
    <row r="2022" ht="12.5" spans="3:35">
      <c r="C2022" s="19"/>
      <c r="D2022" s="19"/>
      <c r="H2022" s="105"/>
      <c r="I2022" s="126"/>
      <c r="J2022" s="11"/>
      <c r="K2022" s="108"/>
      <c r="L2022" s="11"/>
      <c r="M2022" s="105"/>
      <c r="N2022" s="105"/>
      <c r="O2022" s="11"/>
      <c r="P2022" s="11"/>
      <c r="Q2022" s="105"/>
      <c r="R2022" s="105"/>
      <c r="S2022" s="105"/>
      <c r="T2022" s="105"/>
      <c r="U2022" s="105"/>
      <c r="V2022" s="105"/>
      <c r="W2022" s="105"/>
      <c r="X2022" s="11"/>
      <c r="Y2022" s="11"/>
      <c r="Z2022" s="105"/>
      <c r="AA2022" s="11"/>
      <c r="AB2022" s="11"/>
      <c r="AC2022" s="105"/>
      <c r="AD2022" s="11" t="b">
        <v>0</v>
      </c>
      <c r="AE2022" s="105"/>
      <c r="AF2022" s="11"/>
      <c r="AG2022" s="11"/>
      <c r="AH2022" s="11"/>
      <c r="AI2022" s="11"/>
    </row>
    <row r="2023" ht="12.5" spans="3:35">
      <c r="C2023" s="19"/>
      <c r="D2023" s="19"/>
      <c r="H2023" s="105"/>
      <c r="I2023" s="126"/>
      <c r="J2023" s="11"/>
      <c r="K2023" s="108"/>
      <c r="L2023" s="11"/>
      <c r="M2023" s="105"/>
      <c r="N2023" s="105"/>
      <c r="O2023" s="11"/>
      <c r="P2023" s="11"/>
      <c r="Q2023" s="105"/>
      <c r="R2023" s="105"/>
      <c r="S2023" s="105"/>
      <c r="T2023" s="105"/>
      <c r="U2023" s="105"/>
      <c r="V2023" s="105"/>
      <c r="W2023" s="105"/>
      <c r="X2023" s="11"/>
      <c r="Y2023" s="11"/>
      <c r="Z2023" s="105"/>
      <c r="AA2023" s="11"/>
      <c r="AB2023" s="11"/>
      <c r="AC2023" s="105"/>
      <c r="AD2023" s="11" t="b">
        <v>0</v>
      </c>
      <c r="AE2023" s="105"/>
      <c r="AF2023" s="11"/>
      <c r="AG2023" s="11"/>
      <c r="AH2023" s="11"/>
      <c r="AI2023" s="11"/>
    </row>
    <row r="2024" ht="12.5" spans="3:35">
      <c r="C2024" s="19"/>
      <c r="D2024" s="19"/>
      <c r="H2024" s="105"/>
      <c r="I2024" s="126"/>
      <c r="J2024" s="11"/>
      <c r="K2024" s="108"/>
      <c r="L2024" s="11"/>
      <c r="M2024" s="105"/>
      <c r="N2024" s="105"/>
      <c r="O2024" s="11"/>
      <c r="P2024" s="11"/>
      <c r="Q2024" s="105"/>
      <c r="R2024" s="105"/>
      <c r="S2024" s="105"/>
      <c r="T2024" s="105"/>
      <c r="U2024" s="105"/>
      <c r="V2024" s="105"/>
      <c r="W2024" s="105"/>
      <c r="X2024" s="11"/>
      <c r="Y2024" s="11"/>
      <c r="Z2024" s="105"/>
      <c r="AA2024" s="11"/>
      <c r="AB2024" s="11"/>
      <c r="AC2024" s="105"/>
      <c r="AD2024" s="11" t="b">
        <v>0</v>
      </c>
      <c r="AE2024" s="105"/>
      <c r="AF2024" s="11"/>
      <c r="AG2024" s="11"/>
      <c r="AH2024" s="11"/>
      <c r="AI2024" s="11"/>
    </row>
    <row r="2025" ht="12.5" spans="3:35">
      <c r="C2025" s="19"/>
      <c r="D2025" s="19"/>
      <c r="H2025" s="105"/>
      <c r="I2025" s="126"/>
      <c r="J2025" s="11"/>
      <c r="K2025" s="108"/>
      <c r="L2025" s="11"/>
      <c r="M2025" s="105"/>
      <c r="N2025" s="105"/>
      <c r="O2025" s="11"/>
      <c r="P2025" s="11"/>
      <c r="Q2025" s="105"/>
      <c r="R2025" s="105"/>
      <c r="S2025" s="105"/>
      <c r="T2025" s="105"/>
      <c r="U2025" s="105"/>
      <c r="V2025" s="105"/>
      <c r="W2025" s="105"/>
      <c r="X2025" s="11"/>
      <c r="Y2025" s="11"/>
      <c r="Z2025" s="105"/>
      <c r="AA2025" s="11"/>
      <c r="AB2025" s="11"/>
      <c r="AC2025" s="105"/>
      <c r="AD2025" s="11" t="b">
        <v>0</v>
      </c>
      <c r="AE2025" s="105"/>
      <c r="AF2025" s="11"/>
      <c r="AG2025" s="11"/>
      <c r="AH2025" s="11"/>
      <c r="AI2025" s="11"/>
    </row>
    <row r="2026" ht="12.5" spans="3:35">
      <c r="C2026" s="19"/>
      <c r="D2026" s="19"/>
      <c r="H2026" s="105"/>
      <c r="I2026" s="126"/>
      <c r="J2026" s="11"/>
      <c r="K2026" s="108"/>
      <c r="L2026" s="11"/>
      <c r="M2026" s="105"/>
      <c r="N2026" s="105"/>
      <c r="O2026" s="11"/>
      <c r="P2026" s="11"/>
      <c r="Q2026" s="105"/>
      <c r="R2026" s="105"/>
      <c r="S2026" s="105"/>
      <c r="T2026" s="105"/>
      <c r="U2026" s="105"/>
      <c r="V2026" s="105"/>
      <c r="W2026" s="105"/>
      <c r="X2026" s="11"/>
      <c r="Y2026" s="11"/>
      <c r="Z2026" s="105"/>
      <c r="AA2026" s="11"/>
      <c r="AB2026" s="11"/>
      <c r="AC2026" s="105"/>
      <c r="AD2026" s="11" t="b">
        <v>0</v>
      </c>
      <c r="AE2026" s="105"/>
      <c r="AF2026" s="11"/>
      <c r="AG2026" s="11"/>
      <c r="AH2026" s="11"/>
      <c r="AI2026" s="11"/>
    </row>
    <row r="2027" ht="12.5" spans="3:35">
      <c r="C2027" s="19"/>
      <c r="D2027" s="19"/>
      <c r="H2027" s="105"/>
      <c r="I2027" s="126"/>
      <c r="J2027" s="11"/>
      <c r="K2027" s="108"/>
      <c r="L2027" s="11"/>
      <c r="M2027" s="105"/>
      <c r="N2027" s="105"/>
      <c r="O2027" s="11"/>
      <c r="P2027" s="11"/>
      <c r="Q2027" s="105"/>
      <c r="R2027" s="105"/>
      <c r="S2027" s="105"/>
      <c r="T2027" s="105"/>
      <c r="U2027" s="105"/>
      <c r="V2027" s="105"/>
      <c r="W2027" s="105"/>
      <c r="X2027" s="11"/>
      <c r="Y2027" s="11"/>
      <c r="Z2027" s="105"/>
      <c r="AA2027" s="11"/>
      <c r="AB2027" s="11"/>
      <c r="AC2027" s="105"/>
      <c r="AD2027" s="11" t="b">
        <v>0</v>
      </c>
      <c r="AE2027" s="105"/>
      <c r="AF2027" s="11"/>
      <c r="AG2027" s="11"/>
      <c r="AH2027" s="11"/>
      <c r="AI2027" s="11"/>
    </row>
    <row r="2028" ht="12.5" spans="3:35">
      <c r="C2028" s="19"/>
      <c r="D2028" s="19"/>
      <c r="H2028" s="105"/>
      <c r="I2028" s="126"/>
      <c r="J2028" s="11"/>
      <c r="K2028" s="108"/>
      <c r="L2028" s="11"/>
      <c r="M2028" s="105"/>
      <c r="N2028" s="105"/>
      <c r="O2028" s="11"/>
      <c r="P2028" s="11"/>
      <c r="Q2028" s="105"/>
      <c r="R2028" s="105"/>
      <c r="S2028" s="105"/>
      <c r="T2028" s="105"/>
      <c r="U2028" s="105"/>
      <c r="V2028" s="105"/>
      <c r="W2028" s="105"/>
      <c r="X2028" s="11"/>
      <c r="Y2028" s="11"/>
      <c r="Z2028" s="105"/>
      <c r="AA2028" s="11"/>
      <c r="AB2028" s="11"/>
      <c r="AC2028" s="105"/>
      <c r="AD2028" s="11" t="b">
        <v>0</v>
      </c>
      <c r="AE2028" s="105"/>
      <c r="AF2028" s="11"/>
      <c r="AG2028" s="11"/>
      <c r="AH2028" s="11"/>
      <c r="AI2028" s="11"/>
    </row>
    <row r="2029" ht="12.5" spans="3:35">
      <c r="C2029" s="19"/>
      <c r="D2029" s="19"/>
      <c r="H2029" s="105"/>
      <c r="I2029" s="126"/>
      <c r="J2029" s="11"/>
      <c r="K2029" s="108"/>
      <c r="L2029" s="11"/>
      <c r="M2029" s="105"/>
      <c r="N2029" s="105"/>
      <c r="O2029" s="11"/>
      <c r="P2029" s="11"/>
      <c r="Q2029" s="105"/>
      <c r="R2029" s="105"/>
      <c r="S2029" s="105"/>
      <c r="T2029" s="105"/>
      <c r="U2029" s="105"/>
      <c r="V2029" s="105"/>
      <c r="W2029" s="105"/>
      <c r="X2029" s="11"/>
      <c r="Y2029" s="11"/>
      <c r="Z2029" s="105"/>
      <c r="AA2029" s="11"/>
      <c r="AB2029" s="11"/>
      <c r="AC2029" s="105"/>
      <c r="AD2029" s="11" t="b">
        <v>0</v>
      </c>
      <c r="AE2029" s="105"/>
      <c r="AF2029" s="11"/>
      <c r="AG2029" s="11"/>
      <c r="AH2029" s="11"/>
      <c r="AI2029" s="11"/>
    </row>
    <row r="2030" ht="12.5" spans="3:35">
      <c r="C2030" s="19"/>
      <c r="D2030" s="19"/>
      <c r="H2030" s="105"/>
      <c r="I2030" s="126"/>
      <c r="J2030" s="11"/>
      <c r="K2030" s="108"/>
      <c r="L2030" s="11"/>
      <c r="M2030" s="105"/>
      <c r="N2030" s="105"/>
      <c r="O2030" s="11"/>
      <c r="P2030" s="11"/>
      <c r="Q2030" s="105"/>
      <c r="R2030" s="105"/>
      <c r="S2030" s="105"/>
      <c r="T2030" s="105"/>
      <c r="U2030" s="105"/>
      <c r="V2030" s="105"/>
      <c r="W2030" s="105"/>
      <c r="X2030" s="11"/>
      <c r="Y2030" s="11"/>
      <c r="Z2030" s="105"/>
      <c r="AA2030" s="11"/>
      <c r="AB2030" s="11"/>
      <c r="AC2030" s="105"/>
      <c r="AD2030" s="11" t="b">
        <v>0</v>
      </c>
      <c r="AE2030" s="105"/>
      <c r="AF2030" s="11"/>
      <c r="AG2030" s="11"/>
      <c r="AH2030" s="11"/>
      <c r="AI2030" s="11"/>
    </row>
    <row r="2031" ht="12.5" spans="3:35">
      <c r="C2031" s="19"/>
      <c r="D2031" s="19"/>
      <c r="H2031" s="105"/>
      <c r="I2031" s="126"/>
      <c r="J2031" s="11"/>
      <c r="K2031" s="108"/>
      <c r="L2031" s="11"/>
      <c r="M2031" s="105"/>
      <c r="N2031" s="105"/>
      <c r="O2031" s="11"/>
      <c r="P2031" s="11"/>
      <c r="Q2031" s="105"/>
      <c r="R2031" s="105"/>
      <c r="S2031" s="105"/>
      <c r="T2031" s="105"/>
      <c r="U2031" s="105"/>
      <c r="V2031" s="105"/>
      <c r="W2031" s="105"/>
      <c r="X2031" s="11"/>
      <c r="Y2031" s="11"/>
      <c r="Z2031" s="105"/>
      <c r="AA2031" s="11"/>
      <c r="AB2031" s="11"/>
      <c r="AC2031" s="105"/>
      <c r="AD2031" s="11" t="b">
        <v>0</v>
      </c>
      <c r="AE2031" s="105"/>
      <c r="AF2031" s="11"/>
      <c r="AG2031" s="11"/>
      <c r="AH2031" s="11"/>
      <c r="AI2031" s="11"/>
    </row>
    <row r="2032" ht="12.5" spans="3:35">
      <c r="C2032" s="19"/>
      <c r="D2032" s="19"/>
      <c r="H2032" s="105"/>
      <c r="I2032" s="126"/>
      <c r="J2032" s="11"/>
      <c r="K2032" s="108"/>
      <c r="L2032" s="11"/>
      <c r="M2032" s="105"/>
      <c r="N2032" s="105"/>
      <c r="O2032" s="11"/>
      <c r="P2032" s="11"/>
      <c r="Q2032" s="105"/>
      <c r="R2032" s="105"/>
      <c r="S2032" s="105"/>
      <c r="T2032" s="105"/>
      <c r="U2032" s="105"/>
      <c r="V2032" s="105"/>
      <c r="W2032" s="105"/>
      <c r="X2032" s="11"/>
      <c r="Y2032" s="11"/>
      <c r="Z2032" s="105"/>
      <c r="AA2032" s="11"/>
      <c r="AB2032" s="11"/>
      <c r="AC2032" s="105"/>
      <c r="AD2032" s="11" t="b">
        <v>0</v>
      </c>
      <c r="AE2032" s="105"/>
      <c r="AF2032" s="11"/>
      <c r="AG2032" s="11"/>
      <c r="AH2032" s="11"/>
      <c r="AI2032" s="11"/>
    </row>
    <row r="2033" ht="12.5" spans="3:35">
      <c r="C2033" s="19"/>
      <c r="D2033" s="19"/>
      <c r="H2033" s="105"/>
      <c r="I2033" s="126"/>
      <c r="J2033" s="11"/>
      <c r="K2033" s="108"/>
      <c r="L2033" s="11"/>
      <c r="M2033" s="105"/>
      <c r="N2033" s="105"/>
      <c r="O2033" s="11"/>
      <c r="P2033" s="11"/>
      <c r="Q2033" s="105"/>
      <c r="R2033" s="105"/>
      <c r="S2033" s="105"/>
      <c r="T2033" s="105"/>
      <c r="U2033" s="105"/>
      <c r="V2033" s="105"/>
      <c r="W2033" s="105"/>
      <c r="X2033" s="11"/>
      <c r="Y2033" s="11"/>
      <c r="Z2033" s="105"/>
      <c r="AA2033" s="11"/>
      <c r="AB2033" s="11"/>
      <c r="AC2033" s="105"/>
      <c r="AD2033" s="11" t="b">
        <v>0</v>
      </c>
      <c r="AE2033" s="105"/>
      <c r="AF2033" s="11"/>
      <c r="AG2033" s="11"/>
      <c r="AH2033" s="11"/>
      <c r="AI2033" s="11"/>
    </row>
    <row r="2034" ht="12.5" spans="3:35">
      <c r="C2034" s="19"/>
      <c r="D2034" s="19"/>
      <c r="H2034" s="105"/>
      <c r="I2034" s="126"/>
      <c r="J2034" s="11"/>
      <c r="K2034" s="108"/>
      <c r="L2034" s="11"/>
      <c r="M2034" s="105"/>
      <c r="N2034" s="105"/>
      <c r="O2034" s="11"/>
      <c r="P2034" s="11"/>
      <c r="Q2034" s="105"/>
      <c r="R2034" s="105"/>
      <c r="S2034" s="105"/>
      <c r="T2034" s="105"/>
      <c r="U2034" s="105"/>
      <c r="V2034" s="105"/>
      <c r="W2034" s="105"/>
      <c r="X2034" s="11"/>
      <c r="Y2034" s="11"/>
      <c r="Z2034" s="105"/>
      <c r="AA2034" s="11"/>
      <c r="AB2034" s="11"/>
      <c r="AC2034" s="105"/>
      <c r="AD2034" s="11" t="b">
        <v>0</v>
      </c>
      <c r="AE2034" s="105"/>
      <c r="AF2034" s="11"/>
      <c r="AG2034" s="11"/>
      <c r="AH2034" s="11"/>
      <c r="AI2034" s="11"/>
    </row>
    <row r="2035" ht="12.5" spans="3:35">
      <c r="C2035" s="19"/>
      <c r="D2035" s="19"/>
      <c r="H2035" s="105"/>
      <c r="I2035" s="126"/>
      <c r="J2035" s="11"/>
      <c r="K2035" s="108"/>
      <c r="L2035" s="11"/>
      <c r="M2035" s="105"/>
      <c r="N2035" s="105"/>
      <c r="O2035" s="11"/>
      <c r="P2035" s="11"/>
      <c r="Q2035" s="105"/>
      <c r="R2035" s="105"/>
      <c r="S2035" s="105"/>
      <c r="T2035" s="105"/>
      <c r="U2035" s="105"/>
      <c r="V2035" s="105"/>
      <c r="W2035" s="105"/>
      <c r="X2035" s="11"/>
      <c r="Y2035" s="11"/>
      <c r="Z2035" s="105"/>
      <c r="AA2035" s="11"/>
      <c r="AB2035" s="11"/>
      <c r="AC2035" s="105"/>
      <c r="AD2035" s="11" t="b">
        <v>0</v>
      </c>
      <c r="AE2035" s="105"/>
      <c r="AF2035" s="11"/>
      <c r="AG2035" s="11"/>
      <c r="AH2035" s="11"/>
      <c r="AI2035" s="11"/>
    </row>
    <row r="2036" ht="12.5" spans="3:35">
      <c r="C2036" s="19"/>
      <c r="D2036" s="19"/>
      <c r="H2036" s="105"/>
      <c r="I2036" s="126"/>
      <c r="J2036" s="11"/>
      <c r="K2036" s="108"/>
      <c r="L2036" s="11"/>
      <c r="M2036" s="105"/>
      <c r="N2036" s="105"/>
      <c r="O2036" s="11"/>
      <c r="P2036" s="11"/>
      <c r="Q2036" s="105"/>
      <c r="R2036" s="105"/>
      <c r="S2036" s="105"/>
      <c r="T2036" s="105"/>
      <c r="U2036" s="105"/>
      <c r="V2036" s="105"/>
      <c r="W2036" s="105"/>
      <c r="X2036" s="11"/>
      <c r="Y2036" s="11"/>
      <c r="Z2036" s="105"/>
      <c r="AA2036" s="11"/>
      <c r="AB2036" s="11"/>
      <c r="AC2036" s="105"/>
      <c r="AD2036" s="11" t="b">
        <v>0</v>
      </c>
      <c r="AE2036" s="105"/>
      <c r="AF2036" s="11"/>
      <c r="AG2036" s="11"/>
      <c r="AH2036" s="11"/>
      <c r="AI2036" s="11"/>
    </row>
    <row r="2037" ht="12.5" spans="3:35">
      <c r="C2037" s="19"/>
      <c r="D2037" s="19"/>
      <c r="H2037" s="105"/>
      <c r="I2037" s="126"/>
      <c r="J2037" s="11"/>
      <c r="K2037" s="108"/>
      <c r="L2037" s="11"/>
      <c r="M2037" s="105"/>
      <c r="N2037" s="105"/>
      <c r="O2037" s="11"/>
      <c r="P2037" s="11"/>
      <c r="Q2037" s="105"/>
      <c r="R2037" s="105"/>
      <c r="S2037" s="105"/>
      <c r="T2037" s="105"/>
      <c r="U2037" s="105"/>
      <c r="V2037" s="105"/>
      <c r="W2037" s="105"/>
      <c r="X2037" s="11"/>
      <c r="Y2037" s="11"/>
      <c r="Z2037" s="105"/>
      <c r="AA2037" s="11"/>
      <c r="AB2037" s="11"/>
      <c r="AC2037" s="105"/>
      <c r="AD2037" s="11" t="b">
        <v>0</v>
      </c>
      <c r="AE2037" s="105"/>
      <c r="AF2037" s="11"/>
      <c r="AG2037" s="11"/>
      <c r="AH2037" s="11"/>
      <c r="AI2037" s="11"/>
    </row>
    <row r="2038" ht="12.5" spans="3:35">
      <c r="C2038" s="19"/>
      <c r="D2038" s="19"/>
      <c r="H2038" s="105"/>
      <c r="I2038" s="126"/>
      <c r="J2038" s="11"/>
      <c r="K2038" s="108"/>
      <c r="L2038" s="11"/>
      <c r="M2038" s="105"/>
      <c r="N2038" s="105"/>
      <c r="O2038" s="11"/>
      <c r="P2038" s="11"/>
      <c r="Q2038" s="105"/>
      <c r="R2038" s="105"/>
      <c r="S2038" s="105"/>
      <c r="T2038" s="105"/>
      <c r="U2038" s="105"/>
      <c r="V2038" s="105"/>
      <c r="W2038" s="105"/>
      <c r="X2038" s="11"/>
      <c r="Y2038" s="11"/>
      <c r="Z2038" s="105"/>
      <c r="AA2038" s="11"/>
      <c r="AB2038" s="11"/>
      <c r="AC2038" s="105"/>
      <c r="AD2038" s="11" t="b">
        <v>0</v>
      </c>
      <c r="AE2038" s="105"/>
      <c r="AF2038" s="11"/>
      <c r="AG2038" s="11"/>
      <c r="AH2038" s="11"/>
      <c r="AI2038" s="11"/>
    </row>
    <row r="2039" ht="12.5" spans="3:35">
      <c r="C2039" s="19"/>
      <c r="D2039" s="19"/>
      <c r="H2039" s="105"/>
      <c r="I2039" s="126"/>
      <c r="J2039" s="11"/>
      <c r="K2039" s="108"/>
      <c r="L2039" s="11"/>
      <c r="M2039" s="105"/>
      <c r="N2039" s="105"/>
      <c r="O2039" s="11"/>
      <c r="P2039" s="11"/>
      <c r="Q2039" s="105"/>
      <c r="R2039" s="105"/>
      <c r="S2039" s="105"/>
      <c r="T2039" s="105"/>
      <c r="U2039" s="105"/>
      <c r="V2039" s="105"/>
      <c r="W2039" s="105"/>
      <c r="X2039" s="11"/>
      <c r="Y2039" s="11"/>
      <c r="Z2039" s="105"/>
      <c r="AA2039" s="11"/>
      <c r="AB2039" s="11"/>
      <c r="AC2039" s="105"/>
      <c r="AD2039" s="11" t="b">
        <v>0</v>
      </c>
      <c r="AE2039" s="105"/>
      <c r="AF2039" s="11"/>
      <c r="AG2039" s="11"/>
      <c r="AH2039" s="11"/>
      <c r="AI2039" s="11"/>
    </row>
    <row r="2040" ht="12.5" spans="3:35">
      <c r="C2040" s="19"/>
      <c r="D2040" s="19"/>
      <c r="H2040" s="105"/>
      <c r="I2040" s="126"/>
      <c r="J2040" s="11"/>
      <c r="K2040" s="108"/>
      <c r="L2040" s="11"/>
      <c r="M2040" s="105"/>
      <c r="N2040" s="105"/>
      <c r="O2040" s="11"/>
      <c r="P2040" s="11"/>
      <c r="Q2040" s="105"/>
      <c r="R2040" s="105"/>
      <c r="S2040" s="105"/>
      <c r="T2040" s="105"/>
      <c r="U2040" s="105"/>
      <c r="V2040" s="105"/>
      <c r="W2040" s="105"/>
      <c r="X2040" s="11"/>
      <c r="Y2040" s="11"/>
      <c r="Z2040" s="105"/>
      <c r="AA2040" s="11"/>
      <c r="AB2040" s="11"/>
      <c r="AC2040" s="105"/>
      <c r="AD2040" s="11" t="b">
        <v>0</v>
      </c>
      <c r="AE2040" s="105"/>
      <c r="AF2040" s="11"/>
      <c r="AG2040" s="11"/>
      <c r="AH2040" s="11"/>
      <c r="AI2040" s="11"/>
    </row>
    <row r="2041" ht="12.5" spans="3:35">
      <c r="C2041" s="19"/>
      <c r="D2041" s="19"/>
      <c r="H2041" s="105"/>
      <c r="I2041" s="126"/>
      <c r="J2041" s="11"/>
      <c r="K2041" s="108"/>
      <c r="L2041" s="11"/>
      <c r="M2041" s="105"/>
      <c r="N2041" s="105"/>
      <c r="O2041" s="11"/>
      <c r="P2041" s="11"/>
      <c r="Q2041" s="105"/>
      <c r="R2041" s="105"/>
      <c r="S2041" s="105"/>
      <c r="T2041" s="105"/>
      <c r="U2041" s="105"/>
      <c r="V2041" s="105"/>
      <c r="W2041" s="105"/>
      <c r="X2041" s="11"/>
      <c r="Y2041" s="11"/>
      <c r="Z2041" s="105"/>
      <c r="AA2041" s="11"/>
      <c r="AB2041" s="11"/>
      <c r="AC2041" s="105"/>
      <c r="AD2041" s="11" t="b">
        <v>0</v>
      </c>
      <c r="AE2041" s="105"/>
      <c r="AF2041" s="11"/>
      <c r="AG2041" s="11"/>
      <c r="AH2041" s="11"/>
      <c r="AI2041" s="11"/>
    </row>
    <row r="2042" ht="12.5" spans="3:35">
      <c r="C2042" s="19"/>
      <c r="D2042" s="19"/>
      <c r="H2042" s="105"/>
      <c r="I2042" s="126"/>
      <c r="J2042" s="11"/>
      <c r="K2042" s="108"/>
      <c r="L2042" s="11"/>
      <c r="M2042" s="105"/>
      <c r="N2042" s="105"/>
      <c r="O2042" s="11"/>
      <c r="P2042" s="11"/>
      <c r="Q2042" s="105"/>
      <c r="R2042" s="105"/>
      <c r="S2042" s="105"/>
      <c r="T2042" s="105"/>
      <c r="U2042" s="105"/>
      <c r="V2042" s="105"/>
      <c r="W2042" s="105"/>
      <c r="X2042" s="11"/>
      <c r="Y2042" s="11"/>
      <c r="Z2042" s="105"/>
      <c r="AA2042" s="11"/>
      <c r="AB2042" s="11"/>
      <c r="AC2042" s="105"/>
      <c r="AD2042" s="11" t="b">
        <v>0</v>
      </c>
      <c r="AE2042" s="105"/>
      <c r="AF2042" s="11"/>
      <c r="AG2042" s="11"/>
      <c r="AH2042" s="11"/>
      <c r="AI2042" s="11"/>
    </row>
    <row r="2043" ht="12.5" spans="3:35">
      <c r="C2043" s="19"/>
      <c r="D2043" s="19"/>
      <c r="H2043" s="105"/>
      <c r="I2043" s="126"/>
      <c r="J2043" s="11"/>
      <c r="K2043" s="108"/>
      <c r="L2043" s="11"/>
      <c r="M2043" s="105"/>
      <c r="N2043" s="105"/>
      <c r="O2043" s="11"/>
      <c r="P2043" s="11"/>
      <c r="Q2043" s="105"/>
      <c r="R2043" s="105"/>
      <c r="S2043" s="105"/>
      <c r="T2043" s="105"/>
      <c r="U2043" s="105"/>
      <c r="V2043" s="105"/>
      <c r="W2043" s="105"/>
      <c r="X2043" s="11"/>
      <c r="Y2043" s="11"/>
      <c r="Z2043" s="105"/>
      <c r="AA2043" s="11"/>
      <c r="AB2043" s="11"/>
      <c r="AC2043" s="105"/>
      <c r="AD2043" s="11" t="b">
        <v>0</v>
      </c>
      <c r="AE2043" s="105"/>
      <c r="AF2043" s="11"/>
      <c r="AG2043" s="11"/>
      <c r="AH2043" s="11"/>
      <c r="AI2043" s="11"/>
    </row>
    <row r="2044" ht="12.5" spans="3:35">
      <c r="C2044" s="19"/>
      <c r="D2044" s="19"/>
      <c r="H2044" s="105"/>
      <c r="I2044" s="126"/>
      <c r="J2044" s="11"/>
      <c r="K2044" s="108"/>
      <c r="L2044" s="11"/>
      <c r="M2044" s="105"/>
      <c r="N2044" s="105"/>
      <c r="O2044" s="11"/>
      <c r="P2044" s="11"/>
      <c r="Q2044" s="105"/>
      <c r="R2044" s="105"/>
      <c r="S2044" s="105"/>
      <c r="T2044" s="105"/>
      <c r="U2044" s="105"/>
      <c r="V2044" s="105"/>
      <c r="W2044" s="105"/>
      <c r="X2044" s="11"/>
      <c r="Y2044" s="11"/>
      <c r="Z2044" s="105"/>
      <c r="AA2044" s="11"/>
      <c r="AB2044" s="11"/>
      <c r="AC2044" s="105"/>
      <c r="AD2044" s="11" t="b">
        <v>0</v>
      </c>
      <c r="AE2044" s="105"/>
      <c r="AF2044" s="11"/>
      <c r="AG2044" s="11"/>
      <c r="AH2044" s="11"/>
      <c r="AI2044" s="11"/>
    </row>
    <row r="2045" ht="12.5" spans="3:35">
      <c r="C2045" s="19"/>
      <c r="D2045" s="19"/>
      <c r="H2045" s="105"/>
      <c r="I2045" s="126"/>
      <c r="J2045" s="11"/>
      <c r="K2045" s="108"/>
      <c r="L2045" s="11"/>
      <c r="M2045" s="105"/>
      <c r="N2045" s="105"/>
      <c r="O2045" s="11"/>
      <c r="P2045" s="11"/>
      <c r="Q2045" s="105"/>
      <c r="R2045" s="105"/>
      <c r="S2045" s="105"/>
      <c r="T2045" s="105"/>
      <c r="U2045" s="105"/>
      <c r="V2045" s="105"/>
      <c r="W2045" s="105"/>
      <c r="X2045" s="11"/>
      <c r="Y2045" s="11"/>
      <c r="Z2045" s="105"/>
      <c r="AA2045" s="11"/>
      <c r="AB2045" s="11"/>
      <c r="AC2045" s="105"/>
      <c r="AD2045" s="11" t="b">
        <v>0</v>
      </c>
      <c r="AE2045" s="105"/>
      <c r="AF2045" s="11"/>
      <c r="AG2045" s="11"/>
      <c r="AH2045" s="11"/>
      <c r="AI2045" s="11"/>
    </row>
    <row r="2046" ht="12.5" spans="3:35">
      <c r="C2046" s="19"/>
      <c r="D2046" s="19"/>
      <c r="H2046" s="105"/>
      <c r="I2046" s="126"/>
      <c r="J2046" s="11"/>
      <c r="K2046" s="108"/>
      <c r="L2046" s="11"/>
      <c r="M2046" s="105"/>
      <c r="N2046" s="105"/>
      <c r="O2046" s="11"/>
      <c r="P2046" s="11"/>
      <c r="Q2046" s="105"/>
      <c r="R2046" s="105"/>
      <c r="S2046" s="105"/>
      <c r="T2046" s="105"/>
      <c r="U2046" s="105"/>
      <c r="V2046" s="105"/>
      <c r="W2046" s="105"/>
      <c r="X2046" s="11"/>
      <c r="Y2046" s="11"/>
      <c r="Z2046" s="105"/>
      <c r="AA2046" s="11"/>
      <c r="AB2046" s="11"/>
      <c r="AC2046" s="105"/>
      <c r="AD2046" s="11" t="b">
        <v>0</v>
      </c>
      <c r="AE2046" s="105"/>
      <c r="AF2046" s="11"/>
      <c r="AG2046" s="11"/>
      <c r="AH2046" s="11"/>
      <c r="AI2046" s="11"/>
    </row>
    <row r="2047" ht="12.5" spans="3:35">
      <c r="C2047" s="19"/>
      <c r="D2047" s="19"/>
      <c r="H2047" s="105"/>
      <c r="I2047" s="126"/>
      <c r="J2047" s="11"/>
      <c r="K2047" s="108"/>
      <c r="L2047" s="11"/>
      <c r="M2047" s="105"/>
      <c r="N2047" s="105"/>
      <c r="O2047" s="11"/>
      <c r="P2047" s="11"/>
      <c r="Q2047" s="105"/>
      <c r="R2047" s="105"/>
      <c r="S2047" s="105"/>
      <c r="T2047" s="105"/>
      <c r="U2047" s="105"/>
      <c r="V2047" s="105"/>
      <c r="W2047" s="105"/>
      <c r="X2047" s="11"/>
      <c r="Y2047" s="11"/>
      <c r="Z2047" s="105"/>
      <c r="AA2047" s="11"/>
      <c r="AB2047" s="11"/>
      <c r="AC2047" s="105"/>
      <c r="AD2047" s="11" t="b">
        <v>0</v>
      </c>
      <c r="AE2047" s="105"/>
      <c r="AF2047" s="11"/>
      <c r="AG2047" s="11"/>
      <c r="AH2047" s="11"/>
      <c r="AI2047" s="11"/>
    </row>
    <row r="2048" ht="12.5" spans="3:35">
      <c r="C2048" s="19"/>
      <c r="D2048" s="19"/>
      <c r="H2048" s="105"/>
      <c r="I2048" s="126"/>
      <c r="J2048" s="11"/>
      <c r="K2048" s="108"/>
      <c r="L2048" s="11"/>
      <c r="M2048" s="105"/>
      <c r="N2048" s="105"/>
      <c r="O2048" s="11"/>
      <c r="P2048" s="11"/>
      <c r="Q2048" s="105"/>
      <c r="R2048" s="105"/>
      <c r="S2048" s="105"/>
      <c r="T2048" s="105"/>
      <c r="U2048" s="105"/>
      <c r="V2048" s="105"/>
      <c r="W2048" s="105"/>
      <c r="X2048" s="11"/>
      <c r="Y2048" s="11"/>
      <c r="Z2048" s="105"/>
      <c r="AA2048" s="11"/>
      <c r="AB2048" s="11"/>
      <c r="AC2048" s="105"/>
      <c r="AD2048" s="11" t="b">
        <v>0</v>
      </c>
      <c r="AE2048" s="105"/>
      <c r="AF2048" s="11"/>
      <c r="AG2048" s="11"/>
      <c r="AH2048" s="11"/>
      <c r="AI2048" s="11"/>
    </row>
    <row r="2049" ht="12.5" spans="3:35">
      <c r="C2049" s="19"/>
      <c r="D2049" s="19"/>
      <c r="H2049" s="105"/>
      <c r="I2049" s="126"/>
      <c r="J2049" s="11"/>
      <c r="K2049" s="108"/>
      <c r="L2049" s="11"/>
      <c r="M2049" s="105"/>
      <c r="N2049" s="105"/>
      <c r="O2049" s="11"/>
      <c r="P2049" s="11"/>
      <c r="Q2049" s="105"/>
      <c r="R2049" s="105"/>
      <c r="S2049" s="105"/>
      <c r="T2049" s="105"/>
      <c r="U2049" s="105"/>
      <c r="V2049" s="105"/>
      <c r="W2049" s="105"/>
      <c r="X2049" s="11"/>
      <c r="Y2049" s="11"/>
      <c r="Z2049" s="105"/>
      <c r="AA2049" s="11"/>
      <c r="AB2049" s="11"/>
      <c r="AC2049" s="105"/>
      <c r="AD2049" s="11" t="b">
        <v>0</v>
      </c>
      <c r="AE2049" s="105"/>
      <c r="AF2049" s="11"/>
      <c r="AG2049" s="11"/>
      <c r="AH2049" s="11"/>
      <c r="AI2049" s="11"/>
    </row>
    <row r="2050" ht="12.5" spans="3:35">
      <c r="C2050" s="19"/>
      <c r="D2050" s="19"/>
      <c r="H2050" s="105"/>
      <c r="I2050" s="126"/>
      <c r="J2050" s="11"/>
      <c r="K2050" s="108"/>
      <c r="L2050" s="11"/>
      <c r="M2050" s="105"/>
      <c r="N2050" s="105"/>
      <c r="O2050" s="11"/>
      <c r="P2050" s="11"/>
      <c r="Q2050" s="105"/>
      <c r="R2050" s="105"/>
      <c r="S2050" s="105"/>
      <c r="T2050" s="105"/>
      <c r="U2050" s="105"/>
      <c r="V2050" s="105"/>
      <c r="W2050" s="105"/>
      <c r="X2050" s="11"/>
      <c r="Y2050" s="11"/>
      <c r="Z2050" s="105"/>
      <c r="AA2050" s="11"/>
      <c r="AB2050" s="11"/>
      <c r="AC2050" s="105"/>
      <c r="AD2050" s="11" t="b">
        <v>0</v>
      </c>
      <c r="AE2050" s="105"/>
      <c r="AF2050" s="11"/>
      <c r="AG2050" s="11"/>
      <c r="AH2050" s="11"/>
      <c r="AI2050" s="11"/>
    </row>
    <row r="2051" ht="12.5" spans="3:35">
      <c r="C2051" s="19"/>
      <c r="D2051" s="19"/>
      <c r="H2051" s="105"/>
      <c r="I2051" s="126"/>
      <c r="J2051" s="11"/>
      <c r="K2051" s="108"/>
      <c r="L2051" s="11"/>
      <c r="M2051" s="105"/>
      <c r="N2051" s="105"/>
      <c r="O2051" s="11"/>
      <c r="P2051" s="11"/>
      <c r="Q2051" s="105"/>
      <c r="R2051" s="105"/>
      <c r="S2051" s="105"/>
      <c r="T2051" s="105"/>
      <c r="U2051" s="105"/>
      <c r="V2051" s="105"/>
      <c r="W2051" s="105"/>
      <c r="X2051" s="11"/>
      <c r="Y2051" s="11"/>
      <c r="Z2051" s="105"/>
      <c r="AA2051" s="11"/>
      <c r="AB2051" s="11"/>
      <c r="AC2051" s="105"/>
      <c r="AD2051" s="11" t="b">
        <v>0</v>
      </c>
      <c r="AE2051" s="105"/>
      <c r="AF2051" s="11"/>
      <c r="AG2051" s="11"/>
      <c r="AH2051" s="11"/>
      <c r="AI2051" s="11"/>
    </row>
    <row r="2052" ht="12.5" spans="3:35">
      <c r="C2052" s="19"/>
      <c r="D2052" s="19"/>
      <c r="H2052" s="105"/>
      <c r="I2052" s="126"/>
      <c r="J2052" s="11"/>
      <c r="K2052" s="108"/>
      <c r="L2052" s="11"/>
      <c r="M2052" s="105"/>
      <c r="N2052" s="105"/>
      <c r="O2052" s="11"/>
      <c r="P2052" s="11"/>
      <c r="Q2052" s="105"/>
      <c r="R2052" s="105"/>
      <c r="S2052" s="105"/>
      <c r="T2052" s="105"/>
      <c r="U2052" s="105"/>
      <c r="V2052" s="105"/>
      <c r="W2052" s="105"/>
      <c r="X2052" s="11"/>
      <c r="Y2052" s="11"/>
      <c r="Z2052" s="105"/>
      <c r="AA2052" s="11"/>
      <c r="AB2052" s="11"/>
      <c r="AC2052" s="105"/>
      <c r="AD2052" s="11" t="b">
        <v>0</v>
      </c>
      <c r="AE2052" s="105"/>
      <c r="AF2052" s="11"/>
      <c r="AG2052" s="11"/>
      <c r="AH2052" s="11"/>
      <c r="AI2052" s="11"/>
    </row>
    <row r="2053" ht="12.5" spans="3:35">
      <c r="C2053" s="19"/>
      <c r="D2053" s="19"/>
      <c r="H2053" s="105"/>
      <c r="I2053" s="126"/>
      <c r="J2053" s="11"/>
      <c r="K2053" s="108"/>
      <c r="L2053" s="11"/>
      <c r="M2053" s="105"/>
      <c r="N2053" s="105"/>
      <c r="O2053" s="11"/>
      <c r="P2053" s="11"/>
      <c r="Q2053" s="105"/>
      <c r="R2053" s="105"/>
      <c r="S2053" s="105"/>
      <c r="T2053" s="105"/>
      <c r="U2053" s="105"/>
      <c r="V2053" s="105"/>
      <c r="W2053" s="105"/>
      <c r="X2053" s="11"/>
      <c r="Y2053" s="11"/>
      <c r="Z2053" s="105"/>
      <c r="AA2053" s="11"/>
      <c r="AB2053" s="11"/>
      <c r="AC2053" s="105"/>
      <c r="AD2053" s="11" t="b">
        <v>0</v>
      </c>
      <c r="AE2053" s="105"/>
      <c r="AF2053" s="11"/>
      <c r="AG2053" s="11"/>
      <c r="AH2053" s="11"/>
      <c r="AI2053" s="11"/>
    </row>
    <row r="2054" ht="12.5" spans="3:35">
      <c r="C2054" s="19"/>
      <c r="D2054" s="19"/>
      <c r="H2054" s="105"/>
      <c r="I2054" s="126"/>
      <c r="J2054" s="11"/>
      <c r="K2054" s="108"/>
      <c r="L2054" s="11"/>
      <c r="M2054" s="105"/>
      <c r="N2054" s="105"/>
      <c r="O2054" s="11"/>
      <c r="P2054" s="11"/>
      <c r="Q2054" s="105"/>
      <c r="R2054" s="105"/>
      <c r="S2054" s="105"/>
      <c r="T2054" s="105"/>
      <c r="U2054" s="105"/>
      <c r="V2054" s="105"/>
      <c r="W2054" s="105"/>
      <c r="X2054" s="11"/>
      <c r="Y2054" s="11"/>
      <c r="Z2054" s="105"/>
      <c r="AA2054" s="11"/>
      <c r="AB2054" s="11"/>
      <c r="AC2054" s="105"/>
      <c r="AD2054" s="11" t="b">
        <v>0</v>
      </c>
      <c r="AE2054" s="105"/>
      <c r="AF2054" s="11"/>
      <c r="AG2054" s="11"/>
      <c r="AH2054" s="11"/>
      <c r="AI2054" s="11"/>
    </row>
    <row r="2055" ht="12.5" spans="3:35">
      <c r="C2055" s="19"/>
      <c r="D2055" s="19"/>
      <c r="H2055" s="105"/>
      <c r="I2055" s="126"/>
      <c r="J2055" s="11"/>
      <c r="K2055" s="108"/>
      <c r="L2055" s="11"/>
      <c r="M2055" s="105"/>
      <c r="N2055" s="105"/>
      <c r="O2055" s="11"/>
      <c r="P2055" s="11"/>
      <c r="Q2055" s="105"/>
      <c r="R2055" s="105"/>
      <c r="S2055" s="105"/>
      <c r="T2055" s="105"/>
      <c r="U2055" s="105"/>
      <c r="V2055" s="105"/>
      <c r="W2055" s="105"/>
      <c r="X2055" s="11"/>
      <c r="Y2055" s="11"/>
      <c r="Z2055" s="105"/>
      <c r="AA2055" s="11"/>
      <c r="AB2055" s="11"/>
      <c r="AC2055" s="105"/>
      <c r="AD2055" s="11" t="b">
        <v>0</v>
      </c>
      <c r="AE2055" s="105"/>
      <c r="AF2055" s="11"/>
      <c r="AG2055" s="11"/>
      <c r="AH2055" s="11"/>
      <c r="AI2055" s="11"/>
    </row>
    <row r="2056" ht="12.5" spans="3:35">
      <c r="C2056" s="19"/>
      <c r="D2056" s="19"/>
      <c r="H2056" s="105"/>
      <c r="I2056" s="126"/>
      <c r="J2056" s="11"/>
      <c r="K2056" s="108"/>
      <c r="L2056" s="11"/>
      <c r="M2056" s="105"/>
      <c r="N2056" s="105"/>
      <c r="O2056" s="11"/>
      <c r="P2056" s="11"/>
      <c r="Q2056" s="105"/>
      <c r="R2056" s="105"/>
      <c r="S2056" s="105"/>
      <c r="T2056" s="105"/>
      <c r="U2056" s="105"/>
      <c r="V2056" s="105"/>
      <c r="W2056" s="105"/>
      <c r="X2056" s="11"/>
      <c r="Y2056" s="11"/>
      <c r="Z2056" s="105"/>
      <c r="AA2056" s="11"/>
      <c r="AB2056" s="11"/>
      <c r="AC2056" s="105"/>
      <c r="AD2056" s="11" t="b">
        <v>0</v>
      </c>
      <c r="AE2056" s="105"/>
      <c r="AF2056" s="11"/>
      <c r="AG2056" s="11"/>
      <c r="AH2056" s="11"/>
      <c r="AI2056" s="11"/>
    </row>
    <row r="2057" ht="12.5" spans="3:35">
      <c r="C2057" s="19"/>
      <c r="D2057" s="19"/>
      <c r="H2057" s="105"/>
      <c r="I2057" s="126"/>
      <c r="J2057" s="11"/>
      <c r="K2057" s="108"/>
      <c r="L2057" s="11"/>
      <c r="M2057" s="105"/>
      <c r="N2057" s="105"/>
      <c r="O2057" s="11"/>
      <c r="P2057" s="11"/>
      <c r="Q2057" s="105"/>
      <c r="R2057" s="105"/>
      <c r="S2057" s="105"/>
      <c r="T2057" s="105"/>
      <c r="U2057" s="105"/>
      <c r="V2057" s="105"/>
      <c r="W2057" s="105"/>
      <c r="X2057" s="11"/>
      <c r="Y2057" s="11"/>
      <c r="Z2057" s="105"/>
      <c r="AA2057" s="11"/>
      <c r="AB2057" s="11"/>
      <c r="AC2057" s="105"/>
      <c r="AD2057" s="11" t="b">
        <v>0</v>
      </c>
      <c r="AE2057" s="105"/>
      <c r="AF2057" s="11"/>
      <c r="AG2057" s="11"/>
      <c r="AH2057" s="11"/>
      <c r="AI2057" s="11"/>
    </row>
    <row r="2058" ht="12.5" spans="3:35">
      <c r="C2058" s="19"/>
      <c r="D2058" s="19"/>
      <c r="H2058" s="105"/>
      <c r="I2058" s="126"/>
      <c r="J2058" s="11"/>
      <c r="K2058" s="108"/>
      <c r="L2058" s="11"/>
      <c r="M2058" s="105"/>
      <c r="N2058" s="105"/>
      <c r="O2058" s="11"/>
      <c r="P2058" s="11"/>
      <c r="Q2058" s="105"/>
      <c r="R2058" s="105"/>
      <c r="S2058" s="105"/>
      <c r="T2058" s="105"/>
      <c r="U2058" s="105"/>
      <c r="V2058" s="105"/>
      <c r="W2058" s="105"/>
      <c r="X2058" s="11"/>
      <c r="Y2058" s="11"/>
      <c r="Z2058" s="105"/>
      <c r="AA2058" s="11"/>
      <c r="AB2058" s="11"/>
      <c r="AC2058" s="105"/>
      <c r="AD2058" s="11" t="b">
        <v>0</v>
      </c>
      <c r="AE2058" s="105"/>
      <c r="AF2058" s="11"/>
      <c r="AG2058" s="11"/>
      <c r="AH2058" s="11"/>
      <c r="AI2058" s="11"/>
    </row>
    <row r="2059" ht="12.5" spans="3:35">
      <c r="C2059" s="19"/>
      <c r="D2059" s="19"/>
      <c r="H2059" s="105"/>
      <c r="I2059" s="126"/>
      <c r="J2059" s="11"/>
      <c r="K2059" s="108"/>
      <c r="L2059" s="11"/>
      <c r="M2059" s="105"/>
      <c r="N2059" s="105"/>
      <c r="O2059" s="11"/>
      <c r="P2059" s="11"/>
      <c r="Q2059" s="105"/>
      <c r="R2059" s="105"/>
      <c r="S2059" s="105"/>
      <c r="T2059" s="105"/>
      <c r="U2059" s="105"/>
      <c r="V2059" s="105"/>
      <c r="W2059" s="105"/>
      <c r="X2059" s="11"/>
      <c r="Y2059" s="11"/>
      <c r="Z2059" s="105"/>
      <c r="AA2059" s="11"/>
      <c r="AB2059" s="11"/>
      <c r="AC2059" s="105"/>
      <c r="AD2059" s="11" t="b">
        <v>0</v>
      </c>
      <c r="AE2059" s="105"/>
      <c r="AF2059" s="11"/>
      <c r="AG2059" s="11"/>
      <c r="AH2059" s="11"/>
      <c r="AI2059" s="11"/>
    </row>
    <row r="2060" ht="12.5" spans="3:35">
      <c r="C2060" s="19"/>
      <c r="D2060" s="19"/>
      <c r="H2060" s="105"/>
      <c r="I2060" s="126"/>
      <c r="J2060" s="11"/>
      <c r="K2060" s="108"/>
      <c r="L2060" s="11"/>
      <c r="M2060" s="105"/>
      <c r="N2060" s="105"/>
      <c r="O2060" s="11"/>
      <c r="P2060" s="11"/>
      <c r="Q2060" s="105"/>
      <c r="R2060" s="105"/>
      <c r="S2060" s="105"/>
      <c r="T2060" s="105"/>
      <c r="U2060" s="105"/>
      <c r="V2060" s="105"/>
      <c r="W2060" s="105"/>
      <c r="X2060" s="11"/>
      <c r="Y2060" s="11"/>
      <c r="Z2060" s="105"/>
      <c r="AA2060" s="11"/>
      <c r="AB2060" s="11"/>
      <c r="AC2060" s="105"/>
      <c r="AD2060" s="11" t="b">
        <v>0</v>
      </c>
      <c r="AE2060" s="105"/>
      <c r="AF2060" s="11"/>
      <c r="AG2060" s="11"/>
      <c r="AH2060" s="11"/>
      <c r="AI2060" s="11"/>
    </row>
    <row r="2061" ht="12.5" spans="3:35">
      <c r="C2061" s="19"/>
      <c r="D2061" s="19"/>
      <c r="H2061" s="105"/>
      <c r="I2061" s="126"/>
      <c r="J2061" s="11"/>
      <c r="K2061" s="108"/>
      <c r="L2061" s="11"/>
      <c r="M2061" s="105"/>
      <c r="N2061" s="105"/>
      <c r="O2061" s="11"/>
      <c r="P2061" s="11"/>
      <c r="Q2061" s="105"/>
      <c r="R2061" s="105"/>
      <c r="S2061" s="105"/>
      <c r="T2061" s="105"/>
      <c r="U2061" s="105"/>
      <c r="V2061" s="105"/>
      <c r="W2061" s="105"/>
      <c r="X2061" s="11"/>
      <c r="Y2061" s="11"/>
      <c r="Z2061" s="105"/>
      <c r="AA2061" s="11"/>
      <c r="AB2061" s="11"/>
      <c r="AC2061" s="105"/>
      <c r="AD2061" s="11" t="b">
        <v>0</v>
      </c>
      <c r="AE2061" s="105"/>
      <c r="AF2061" s="11"/>
      <c r="AG2061" s="11"/>
      <c r="AH2061" s="11"/>
      <c r="AI2061" s="11"/>
    </row>
    <row r="2062" ht="12.5" spans="3:35">
      <c r="C2062" s="19"/>
      <c r="D2062" s="19"/>
      <c r="H2062" s="105"/>
      <c r="I2062" s="126"/>
      <c r="J2062" s="11"/>
      <c r="K2062" s="108"/>
      <c r="L2062" s="11"/>
      <c r="M2062" s="105"/>
      <c r="N2062" s="105"/>
      <c r="O2062" s="11"/>
      <c r="P2062" s="11"/>
      <c r="Q2062" s="105"/>
      <c r="R2062" s="105"/>
      <c r="S2062" s="105"/>
      <c r="T2062" s="105"/>
      <c r="U2062" s="105"/>
      <c r="V2062" s="105"/>
      <c r="W2062" s="105"/>
      <c r="X2062" s="11"/>
      <c r="Y2062" s="11"/>
      <c r="Z2062" s="105"/>
      <c r="AA2062" s="11"/>
      <c r="AB2062" s="11"/>
      <c r="AC2062" s="105"/>
      <c r="AD2062" s="11" t="b">
        <v>0</v>
      </c>
      <c r="AE2062" s="105"/>
      <c r="AF2062" s="11"/>
      <c r="AG2062" s="11"/>
      <c r="AH2062" s="11"/>
      <c r="AI2062" s="11"/>
    </row>
    <row r="2063" ht="12.5" spans="3:35">
      <c r="C2063" s="19"/>
      <c r="D2063" s="19"/>
      <c r="H2063" s="105"/>
      <c r="I2063" s="126"/>
      <c r="J2063" s="11"/>
      <c r="K2063" s="108"/>
      <c r="L2063" s="11"/>
      <c r="M2063" s="105"/>
      <c r="N2063" s="105"/>
      <c r="O2063" s="11"/>
      <c r="P2063" s="11"/>
      <c r="Q2063" s="105"/>
      <c r="R2063" s="105"/>
      <c r="S2063" s="105"/>
      <c r="T2063" s="105"/>
      <c r="U2063" s="105"/>
      <c r="V2063" s="105"/>
      <c r="W2063" s="105"/>
      <c r="X2063" s="11"/>
      <c r="Y2063" s="11"/>
      <c r="Z2063" s="105"/>
      <c r="AA2063" s="11"/>
      <c r="AB2063" s="11"/>
      <c r="AC2063" s="105"/>
      <c r="AD2063" s="11" t="b">
        <v>0</v>
      </c>
      <c r="AE2063" s="105"/>
      <c r="AF2063" s="11"/>
      <c r="AG2063" s="11"/>
      <c r="AH2063" s="11"/>
      <c r="AI2063" s="11"/>
    </row>
    <row r="2064" ht="12.5" spans="3:35">
      <c r="C2064" s="19"/>
      <c r="D2064" s="19"/>
      <c r="H2064" s="105"/>
      <c r="I2064" s="126"/>
      <c r="J2064" s="11"/>
      <c r="K2064" s="108"/>
      <c r="L2064" s="11"/>
      <c r="M2064" s="105"/>
      <c r="N2064" s="105"/>
      <c r="O2064" s="11"/>
      <c r="P2064" s="11"/>
      <c r="Q2064" s="105"/>
      <c r="R2064" s="105"/>
      <c r="S2064" s="105"/>
      <c r="T2064" s="105"/>
      <c r="U2064" s="105"/>
      <c r="V2064" s="105"/>
      <c r="W2064" s="105"/>
      <c r="X2064" s="11"/>
      <c r="Y2064" s="11"/>
      <c r="Z2064" s="105"/>
      <c r="AA2064" s="11"/>
      <c r="AB2064" s="11"/>
      <c r="AC2064" s="105"/>
      <c r="AD2064" s="11" t="b">
        <v>0</v>
      </c>
      <c r="AE2064" s="105"/>
      <c r="AF2064" s="11"/>
      <c r="AG2064" s="11"/>
      <c r="AH2064" s="11"/>
      <c r="AI2064" s="11"/>
    </row>
    <row r="2065" ht="12.5" spans="3:35">
      <c r="C2065" s="19"/>
      <c r="D2065" s="19"/>
      <c r="H2065" s="105"/>
      <c r="I2065" s="126"/>
      <c r="J2065" s="11"/>
      <c r="K2065" s="108"/>
      <c r="L2065" s="11"/>
      <c r="M2065" s="105"/>
      <c r="N2065" s="105"/>
      <c r="O2065" s="11"/>
      <c r="P2065" s="11"/>
      <c r="Q2065" s="105"/>
      <c r="R2065" s="105"/>
      <c r="S2065" s="105"/>
      <c r="T2065" s="105"/>
      <c r="U2065" s="105"/>
      <c r="V2065" s="105"/>
      <c r="W2065" s="105"/>
      <c r="X2065" s="11"/>
      <c r="Y2065" s="11"/>
      <c r="Z2065" s="105"/>
      <c r="AA2065" s="11"/>
      <c r="AB2065" s="11"/>
      <c r="AC2065" s="105"/>
      <c r="AD2065" s="11" t="b">
        <v>0</v>
      </c>
      <c r="AE2065" s="105"/>
      <c r="AF2065" s="11"/>
      <c r="AG2065" s="11"/>
      <c r="AH2065" s="11"/>
      <c r="AI2065" s="11"/>
    </row>
    <row r="2066" ht="12.5" spans="3:35">
      <c r="C2066" s="19"/>
      <c r="D2066" s="19"/>
      <c r="H2066" s="105"/>
      <c r="I2066" s="126"/>
      <c r="J2066" s="11"/>
      <c r="K2066" s="108"/>
      <c r="L2066" s="11"/>
      <c r="M2066" s="105"/>
      <c r="N2066" s="105"/>
      <c r="O2066" s="11"/>
      <c r="P2066" s="11"/>
      <c r="Q2066" s="105"/>
      <c r="R2066" s="105"/>
      <c r="S2066" s="105"/>
      <c r="T2066" s="105"/>
      <c r="U2066" s="105"/>
      <c r="V2066" s="105"/>
      <c r="W2066" s="105"/>
      <c r="X2066" s="11"/>
      <c r="Y2066" s="11"/>
      <c r="Z2066" s="105"/>
      <c r="AA2066" s="11"/>
      <c r="AB2066" s="11"/>
      <c r="AC2066" s="105"/>
      <c r="AD2066" s="11" t="b">
        <v>0</v>
      </c>
      <c r="AE2066" s="105"/>
      <c r="AF2066" s="11"/>
      <c r="AG2066" s="11"/>
      <c r="AH2066" s="11"/>
      <c r="AI2066" s="11"/>
    </row>
    <row r="2067" ht="12.5" spans="3:35">
      <c r="C2067" s="19"/>
      <c r="D2067" s="19"/>
      <c r="H2067" s="105"/>
      <c r="I2067" s="126"/>
      <c r="J2067" s="11"/>
      <c r="K2067" s="108"/>
      <c r="L2067" s="11"/>
      <c r="M2067" s="105"/>
      <c r="N2067" s="105"/>
      <c r="O2067" s="11"/>
      <c r="P2067" s="11"/>
      <c r="Q2067" s="105"/>
      <c r="R2067" s="105"/>
      <c r="S2067" s="105"/>
      <c r="T2067" s="105"/>
      <c r="U2067" s="105"/>
      <c r="V2067" s="105"/>
      <c r="W2067" s="105"/>
      <c r="X2067" s="11"/>
      <c r="Y2067" s="11"/>
      <c r="Z2067" s="105"/>
      <c r="AA2067" s="11"/>
      <c r="AB2067" s="11"/>
      <c r="AC2067" s="105"/>
      <c r="AD2067" s="11" t="b">
        <v>0</v>
      </c>
      <c r="AE2067" s="105"/>
      <c r="AF2067" s="11"/>
      <c r="AG2067" s="11"/>
      <c r="AH2067" s="11"/>
      <c r="AI2067" s="11"/>
    </row>
    <row r="2068" ht="12.5" spans="3:35">
      <c r="C2068" s="19"/>
      <c r="D2068" s="19"/>
      <c r="H2068" s="105"/>
      <c r="I2068" s="126"/>
      <c r="J2068" s="11"/>
      <c r="K2068" s="108"/>
      <c r="L2068" s="11"/>
      <c r="M2068" s="105"/>
      <c r="N2068" s="105"/>
      <c r="O2068" s="11"/>
      <c r="P2068" s="11"/>
      <c r="Q2068" s="105"/>
      <c r="R2068" s="105"/>
      <c r="S2068" s="105"/>
      <c r="T2068" s="105"/>
      <c r="U2068" s="105"/>
      <c r="V2068" s="105"/>
      <c r="W2068" s="105"/>
      <c r="X2068" s="11"/>
      <c r="Y2068" s="11"/>
      <c r="Z2068" s="105"/>
      <c r="AA2068" s="11"/>
      <c r="AB2068" s="11"/>
      <c r="AC2068" s="105"/>
      <c r="AD2068" s="11" t="b">
        <v>0</v>
      </c>
      <c r="AE2068" s="105"/>
      <c r="AF2068" s="11"/>
      <c r="AG2068" s="11"/>
      <c r="AH2068" s="11"/>
      <c r="AI2068" s="11"/>
    </row>
    <row r="2069" ht="12.5" spans="3:35">
      <c r="C2069" s="19"/>
      <c r="D2069" s="19"/>
      <c r="H2069" s="105"/>
      <c r="I2069" s="126"/>
      <c r="J2069" s="11"/>
      <c r="K2069" s="108"/>
      <c r="L2069" s="11"/>
      <c r="M2069" s="105"/>
      <c r="N2069" s="105"/>
      <c r="O2069" s="11"/>
      <c r="P2069" s="11"/>
      <c r="Q2069" s="105"/>
      <c r="R2069" s="105"/>
      <c r="S2069" s="105"/>
      <c r="T2069" s="105"/>
      <c r="U2069" s="105"/>
      <c r="V2069" s="105"/>
      <c r="W2069" s="105"/>
      <c r="X2069" s="11"/>
      <c r="Y2069" s="11"/>
      <c r="Z2069" s="105"/>
      <c r="AA2069" s="11"/>
      <c r="AB2069" s="11"/>
      <c r="AC2069" s="105"/>
      <c r="AD2069" s="11" t="b">
        <v>0</v>
      </c>
      <c r="AE2069" s="105"/>
      <c r="AF2069" s="11"/>
      <c r="AG2069" s="11"/>
      <c r="AH2069" s="11"/>
      <c r="AI2069" s="11"/>
    </row>
    <row r="2070" ht="12.5" spans="3:35">
      <c r="C2070" s="19"/>
      <c r="D2070" s="19"/>
      <c r="H2070" s="105"/>
      <c r="I2070" s="126"/>
      <c r="J2070" s="11"/>
      <c r="K2070" s="108"/>
      <c r="L2070" s="11"/>
      <c r="M2070" s="105"/>
      <c r="N2070" s="105"/>
      <c r="O2070" s="11"/>
      <c r="P2070" s="11"/>
      <c r="Q2070" s="105"/>
      <c r="R2070" s="105"/>
      <c r="S2070" s="105"/>
      <c r="T2070" s="105"/>
      <c r="U2070" s="105"/>
      <c r="V2070" s="105"/>
      <c r="W2070" s="105"/>
      <c r="X2070" s="11"/>
      <c r="Y2070" s="11"/>
      <c r="Z2070" s="105"/>
      <c r="AA2070" s="11"/>
      <c r="AB2070" s="11"/>
      <c r="AC2070" s="105"/>
      <c r="AD2070" s="11" t="b">
        <v>0</v>
      </c>
      <c r="AE2070" s="105"/>
      <c r="AF2070" s="11"/>
      <c r="AG2070" s="11"/>
      <c r="AH2070" s="11"/>
      <c r="AI2070" s="11"/>
    </row>
    <row r="2071" ht="12.5" spans="3:35">
      <c r="C2071" s="19"/>
      <c r="D2071" s="19"/>
      <c r="H2071" s="105"/>
      <c r="I2071" s="126"/>
      <c r="J2071" s="11"/>
      <c r="K2071" s="108"/>
      <c r="L2071" s="11"/>
      <c r="M2071" s="105"/>
      <c r="N2071" s="105"/>
      <c r="O2071" s="11"/>
      <c r="P2071" s="11"/>
      <c r="Q2071" s="105"/>
      <c r="R2071" s="105"/>
      <c r="S2071" s="105"/>
      <c r="T2071" s="105"/>
      <c r="U2071" s="105"/>
      <c r="V2071" s="105"/>
      <c r="W2071" s="105"/>
      <c r="X2071" s="11"/>
      <c r="Y2071" s="11"/>
      <c r="Z2071" s="105"/>
      <c r="AA2071" s="11"/>
      <c r="AB2071" s="11"/>
      <c r="AC2071" s="105"/>
      <c r="AD2071" s="11" t="b">
        <v>0</v>
      </c>
      <c r="AE2071" s="105"/>
      <c r="AF2071" s="11"/>
      <c r="AG2071" s="11"/>
      <c r="AH2071" s="11"/>
      <c r="AI2071" s="11"/>
    </row>
    <row r="2072" ht="12.5" spans="3:35">
      <c r="C2072" s="19"/>
      <c r="D2072" s="19"/>
      <c r="H2072" s="105"/>
      <c r="I2072" s="126"/>
      <c r="J2072" s="11"/>
      <c r="K2072" s="108"/>
      <c r="L2072" s="11"/>
      <c r="M2072" s="105"/>
      <c r="N2072" s="105"/>
      <c r="O2072" s="11"/>
      <c r="P2072" s="11"/>
      <c r="Q2072" s="105"/>
      <c r="R2072" s="105"/>
      <c r="S2072" s="105"/>
      <c r="T2072" s="105"/>
      <c r="U2072" s="105"/>
      <c r="V2072" s="105"/>
      <c r="W2072" s="105"/>
      <c r="X2072" s="11"/>
      <c r="Y2072" s="11"/>
      <c r="Z2072" s="105"/>
      <c r="AA2072" s="11"/>
      <c r="AB2072" s="11"/>
      <c r="AC2072" s="105"/>
      <c r="AD2072" s="11" t="b">
        <v>0</v>
      </c>
      <c r="AE2072" s="105"/>
      <c r="AF2072" s="11"/>
      <c r="AG2072" s="11"/>
      <c r="AH2072" s="11"/>
      <c r="AI2072" s="11"/>
    </row>
    <row r="2073" ht="12.5" spans="3:35">
      <c r="C2073" s="19"/>
      <c r="D2073" s="19"/>
      <c r="H2073" s="105"/>
      <c r="I2073" s="126"/>
      <c r="J2073" s="11"/>
      <c r="K2073" s="108"/>
      <c r="L2073" s="11"/>
      <c r="M2073" s="105"/>
      <c r="N2073" s="105"/>
      <c r="O2073" s="11"/>
      <c r="P2073" s="11"/>
      <c r="Q2073" s="105"/>
      <c r="R2073" s="105"/>
      <c r="S2073" s="105"/>
      <c r="T2073" s="105"/>
      <c r="U2073" s="105"/>
      <c r="V2073" s="105"/>
      <c r="W2073" s="105"/>
      <c r="X2073" s="11"/>
      <c r="Y2073" s="11"/>
      <c r="Z2073" s="105"/>
      <c r="AA2073" s="11"/>
      <c r="AB2073" s="11"/>
      <c r="AC2073" s="105"/>
      <c r="AD2073" s="11" t="b">
        <v>0</v>
      </c>
      <c r="AE2073" s="105"/>
      <c r="AF2073" s="11"/>
      <c r="AG2073" s="11"/>
      <c r="AH2073" s="11"/>
      <c r="AI2073" s="11"/>
    </row>
    <row r="2074" ht="12.5" spans="3:35">
      <c r="C2074" s="19"/>
      <c r="D2074" s="19"/>
      <c r="H2074" s="105"/>
      <c r="I2074" s="126"/>
      <c r="J2074" s="11"/>
      <c r="K2074" s="108"/>
      <c r="L2074" s="11"/>
      <c r="M2074" s="105"/>
      <c r="N2074" s="105"/>
      <c r="O2074" s="11"/>
      <c r="P2074" s="11"/>
      <c r="Q2074" s="105"/>
      <c r="R2074" s="105"/>
      <c r="S2074" s="105"/>
      <c r="T2074" s="105"/>
      <c r="U2074" s="105"/>
      <c r="V2074" s="105"/>
      <c r="W2074" s="105"/>
      <c r="X2074" s="11"/>
      <c r="Y2074" s="11"/>
      <c r="Z2074" s="105"/>
      <c r="AA2074" s="11"/>
      <c r="AB2074" s="11"/>
      <c r="AC2074" s="105"/>
      <c r="AD2074" s="11" t="b">
        <v>0</v>
      </c>
      <c r="AE2074" s="105"/>
      <c r="AF2074" s="11"/>
      <c r="AG2074" s="11"/>
      <c r="AH2074" s="11"/>
      <c r="AI2074" s="11"/>
    </row>
    <row r="2075" ht="12.5" spans="3:35">
      <c r="C2075" s="19"/>
      <c r="D2075" s="19"/>
      <c r="H2075" s="105"/>
      <c r="I2075" s="126"/>
      <c r="J2075" s="11"/>
      <c r="K2075" s="108"/>
      <c r="L2075" s="11"/>
      <c r="M2075" s="105"/>
      <c r="N2075" s="105"/>
      <c r="O2075" s="11"/>
      <c r="P2075" s="11"/>
      <c r="Q2075" s="105"/>
      <c r="R2075" s="105"/>
      <c r="S2075" s="105"/>
      <c r="T2075" s="105"/>
      <c r="U2075" s="105"/>
      <c r="V2075" s="105"/>
      <c r="W2075" s="105"/>
      <c r="X2075" s="11"/>
      <c r="Y2075" s="11"/>
      <c r="Z2075" s="105"/>
      <c r="AA2075" s="11"/>
      <c r="AB2075" s="11"/>
      <c r="AC2075" s="105"/>
      <c r="AD2075" s="11" t="b">
        <v>0</v>
      </c>
      <c r="AE2075" s="105"/>
      <c r="AF2075" s="11"/>
      <c r="AG2075" s="11"/>
      <c r="AH2075" s="11"/>
      <c r="AI2075" s="11"/>
    </row>
    <row r="2076" ht="12.5" spans="3:35">
      <c r="C2076" s="19"/>
      <c r="D2076" s="19"/>
      <c r="H2076" s="105"/>
      <c r="I2076" s="126"/>
      <c r="J2076" s="11"/>
      <c r="K2076" s="108"/>
      <c r="L2076" s="11"/>
      <c r="M2076" s="105"/>
      <c r="N2076" s="105"/>
      <c r="O2076" s="11"/>
      <c r="P2076" s="11"/>
      <c r="Q2076" s="105"/>
      <c r="R2076" s="105"/>
      <c r="S2076" s="105"/>
      <c r="T2076" s="105"/>
      <c r="U2076" s="105"/>
      <c r="V2076" s="105"/>
      <c r="W2076" s="105"/>
      <c r="X2076" s="11"/>
      <c r="Y2076" s="11"/>
      <c r="Z2076" s="105"/>
      <c r="AA2076" s="11"/>
      <c r="AB2076" s="11"/>
      <c r="AC2076" s="105"/>
      <c r="AD2076" s="11" t="b">
        <v>0</v>
      </c>
      <c r="AE2076" s="105"/>
      <c r="AF2076" s="11"/>
      <c r="AG2076" s="11"/>
      <c r="AH2076" s="11"/>
      <c r="AI2076" s="11"/>
    </row>
    <row r="2077" ht="12.5" spans="3:35">
      <c r="C2077" s="19"/>
      <c r="D2077" s="19"/>
      <c r="H2077" s="105"/>
      <c r="I2077" s="126"/>
      <c r="J2077" s="11"/>
      <c r="K2077" s="108"/>
      <c r="L2077" s="11"/>
      <c r="M2077" s="105"/>
      <c r="N2077" s="105"/>
      <c r="O2077" s="11"/>
      <c r="P2077" s="11"/>
      <c r="Q2077" s="105"/>
      <c r="R2077" s="105"/>
      <c r="S2077" s="105"/>
      <c r="T2077" s="105"/>
      <c r="U2077" s="105"/>
      <c r="V2077" s="105"/>
      <c r="W2077" s="105"/>
      <c r="X2077" s="11"/>
      <c r="Y2077" s="11"/>
      <c r="Z2077" s="105"/>
      <c r="AA2077" s="11"/>
      <c r="AB2077" s="11"/>
      <c r="AC2077" s="105"/>
      <c r="AD2077" s="11" t="b">
        <v>0</v>
      </c>
      <c r="AE2077" s="105"/>
      <c r="AF2077" s="11"/>
      <c r="AG2077" s="11"/>
      <c r="AH2077" s="11"/>
      <c r="AI2077" s="11"/>
    </row>
    <row r="2078" ht="12.5" spans="3:35">
      <c r="C2078" s="19"/>
      <c r="D2078" s="19"/>
      <c r="H2078" s="105"/>
      <c r="I2078" s="126"/>
      <c r="J2078" s="11"/>
      <c r="K2078" s="108"/>
      <c r="L2078" s="11"/>
      <c r="M2078" s="105"/>
      <c r="N2078" s="105"/>
      <c r="O2078" s="11"/>
      <c r="P2078" s="11"/>
      <c r="Q2078" s="105"/>
      <c r="R2078" s="105"/>
      <c r="S2078" s="105"/>
      <c r="T2078" s="105"/>
      <c r="U2078" s="105"/>
      <c r="V2078" s="105"/>
      <c r="W2078" s="105"/>
      <c r="X2078" s="11"/>
      <c r="Y2078" s="11"/>
      <c r="Z2078" s="105"/>
      <c r="AA2078" s="11"/>
      <c r="AB2078" s="11"/>
      <c r="AC2078" s="105"/>
      <c r="AD2078" s="11" t="b">
        <v>0</v>
      </c>
      <c r="AE2078" s="105"/>
      <c r="AF2078" s="11"/>
      <c r="AG2078" s="11"/>
      <c r="AH2078" s="11"/>
      <c r="AI2078" s="11"/>
    </row>
    <row r="2079" ht="12.5" spans="3:35">
      <c r="C2079" s="19"/>
      <c r="D2079" s="19"/>
      <c r="H2079" s="105"/>
      <c r="I2079" s="126"/>
      <c r="J2079" s="11"/>
      <c r="K2079" s="108"/>
      <c r="L2079" s="11"/>
      <c r="M2079" s="105"/>
      <c r="N2079" s="105"/>
      <c r="O2079" s="11"/>
      <c r="P2079" s="11"/>
      <c r="Q2079" s="105"/>
      <c r="R2079" s="105"/>
      <c r="S2079" s="105"/>
      <c r="T2079" s="105"/>
      <c r="U2079" s="105"/>
      <c r="V2079" s="105"/>
      <c r="W2079" s="105"/>
      <c r="X2079" s="11"/>
      <c r="Y2079" s="11"/>
      <c r="Z2079" s="105"/>
      <c r="AA2079" s="11"/>
      <c r="AB2079" s="11"/>
      <c r="AC2079" s="105"/>
      <c r="AD2079" s="11" t="b">
        <v>0</v>
      </c>
      <c r="AE2079" s="105"/>
      <c r="AF2079" s="11"/>
      <c r="AG2079" s="11"/>
      <c r="AH2079" s="11"/>
      <c r="AI2079" s="11"/>
    </row>
    <row r="2080" ht="12.5" spans="3:35">
      <c r="C2080" s="19"/>
      <c r="D2080" s="19"/>
      <c r="H2080" s="105"/>
      <c r="I2080" s="126"/>
      <c r="J2080" s="11"/>
      <c r="K2080" s="108"/>
      <c r="L2080" s="11"/>
      <c r="M2080" s="105"/>
      <c r="N2080" s="105"/>
      <c r="O2080" s="11"/>
      <c r="P2080" s="11"/>
      <c r="Q2080" s="105"/>
      <c r="R2080" s="105"/>
      <c r="S2080" s="105"/>
      <c r="T2080" s="105"/>
      <c r="U2080" s="105"/>
      <c r="V2080" s="105"/>
      <c r="W2080" s="105"/>
      <c r="X2080" s="11"/>
      <c r="Y2080" s="11"/>
      <c r="Z2080" s="105"/>
      <c r="AA2080" s="11"/>
      <c r="AB2080" s="11"/>
      <c r="AC2080" s="105"/>
      <c r="AD2080" s="11" t="b">
        <v>0</v>
      </c>
      <c r="AE2080" s="105"/>
      <c r="AF2080" s="11"/>
      <c r="AG2080" s="11"/>
      <c r="AH2080" s="11"/>
      <c r="AI2080" s="11"/>
    </row>
    <row r="2081" ht="12.5" spans="3:35">
      <c r="C2081" s="19"/>
      <c r="D2081" s="19"/>
      <c r="H2081" s="105"/>
      <c r="I2081" s="126"/>
      <c r="J2081" s="11"/>
      <c r="K2081" s="108"/>
      <c r="L2081" s="11"/>
      <c r="M2081" s="105"/>
      <c r="N2081" s="105"/>
      <c r="O2081" s="11"/>
      <c r="P2081" s="11"/>
      <c r="Q2081" s="105"/>
      <c r="R2081" s="105"/>
      <c r="S2081" s="105"/>
      <c r="T2081" s="105"/>
      <c r="U2081" s="105"/>
      <c r="V2081" s="105"/>
      <c r="W2081" s="105"/>
      <c r="X2081" s="11"/>
      <c r="Y2081" s="11"/>
      <c r="Z2081" s="105"/>
      <c r="AA2081" s="11"/>
      <c r="AB2081" s="11"/>
      <c r="AC2081" s="105"/>
      <c r="AD2081" s="11" t="b">
        <v>0</v>
      </c>
      <c r="AE2081" s="105"/>
      <c r="AF2081" s="11"/>
      <c r="AG2081" s="11"/>
      <c r="AH2081" s="11"/>
      <c r="AI2081" s="11"/>
    </row>
    <row r="2082" ht="12.5" spans="3:35">
      <c r="C2082" s="19"/>
      <c r="D2082" s="19"/>
      <c r="H2082" s="105"/>
      <c r="I2082" s="126"/>
      <c r="J2082" s="11"/>
      <c r="K2082" s="108"/>
      <c r="L2082" s="11"/>
      <c r="M2082" s="105"/>
      <c r="N2082" s="105"/>
      <c r="O2082" s="11"/>
      <c r="P2082" s="11"/>
      <c r="Q2082" s="105"/>
      <c r="R2082" s="105"/>
      <c r="S2082" s="105"/>
      <c r="T2082" s="105"/>
      <c r="U2082" s="105"/>
      <c r="V2082" s="105"/>
      <c r="W2082" s="105"/>
      <c r="X2082" s="11"/>
      <c r="Y2082" s="11"/>
      <c r="Z2082" s="105"/>
      <c r="AA2082" s="11"/>
      <c r="AB2082" s="11"/>
      <c r="AC2082" s="105"/>
      <c r="AD2082" s="11" t="b">
        <v>0</v>
      </c>
      <c r="AE2082" s="105"/>
      <c r="AF2082" s="11"/>
      <c r="AG2082" s="11"/>
      <c r="AH2082" s="11"/>
      <c r="AI2082" s="11"/>
    </row>
    <row r="2083" ht="12.5" spans="3:35">
      <c r="C2083" s="19"/>
      <c r="D2083" s="19"/>
      <c r="H2083" s="105"/>
      <c r="I2083" s="126"/>
      <c r="J2083" s="11"/>
      <c r="K2083" s="108"/>
      <c r="L2083" s="11"/>
      <c r="M2083" s="105"/>
      <c r="N2083" s="105"/>
      <c r="O2083" s="11"/>
      <c r="P2083" s="11"/>
      <c r="Q2083" s="105"/>
      <c r="R2083" s="105"/>
      <c r="S2083" s="105"/>
      <c r="T2083" s="105"/>
      <c r="U2083" s="105"/>
      <c r="V2083" s="105"/>
      <c r="W2083" s="105"/>
      <c r="X2083" s="11"/>
      <c r="Y2083" s="11"/>
      <c r="Z2083" s="105"/>
      <c r="AA2083" s="11"/>
      <c r="AB2083" s="11"/>
      <c r="AC2083" s="105"/>
      <c r="AD2083" s="11" t="b">
        <v>0</v>
      </c>
      <c r="AE2083" s="105"/>
      <c r="AF2083" s="11"/>
      <c r="AG2083" s="11"/>
      <c r="AH2083" s="11"/>
      <c r="AI2083" s="11"/>
    </row>
    <row r="2084" ht="12.5" spans="3:35">
      <c r="C2084" s="19"/>
      <c r="D2084" s="19"/>
      <c r="H2084" s="105"/>
      <c r="I2084" s="126"/>
      <c r="J2084" s="11"/>
      <c r="K2084" s="108"/>
      <c r="L2084" s="11"/>
      <c r="M2084" s="105"/>
      <c r="N2084" s="105"/>
      <c r="O2084" s="11"/>
      <c r="P2084" s="11"/>
      <c r="Q2084" s="105"/>
      <c r="R2084" s="105"/>
      <c r="S2084" s="105"/>
      <c r="T2084" s="105"/>
      <c r="U2084" s="105"/>
      <c r="V2084" s="105"/>
      <c r="W2084" s="105"/>
      <c r="X2084" s="11"/>
      <c r="Y2084" s="11"/>
      <c r="Z2084" s="105"/>
      <c r="AA2084" s="11"/>
      <c r="AB2084" s="11"/>
      <c r="AC2084" s="105"/>
      <c r="AD2084" s="11" t="b">
        <v>0</v>
      </c>
      <c r="AE2084" s="105"/>
      <c r="AF2084" s="11"/>
      <c r="AG2084" s="11"/>
      <c r="AH2084" s="11"/>
      <c r="AI2084" s="11"/>
    </row>
    <row r="2085" ht="12.5" spans="3:35">
      <c r="C2085" s="19"/>
      <c r="D2085" s="19"/>
      <c r="H2085" s="105"/>
      <c r="I2085" s="126"/>
      <c r="J2085" s="11"/>
      <c r="K2085" s="108"/>
      <c r="L2085" s="11"/>
      <c r="M2085" s="105"/>
      <c r="N2085" s="105"/>
      <c r="O2085" s="11"/>
      <c r="P2085" s="11"/>
      <c r="Q2085" s="105"/>
      <c r="R2085" s="105"/>
      <c r="S2085" s="105"/>
      <c r="T2085" s="105"/>
      <c r="U2085" s="105"/>
      <c r="V2085" s="105"/>
      <c r="W2085" s="105"/>
      <c r="X2085" s="11"/>
      <c r="Y2085" s="11"/>
      <c r="Z2085" s="105"/>
      <c r="AA2085" s="11"/>
      <c r="AB2085" s="11"/>
      <c r="AC2085" s="105"/>
      <c r="AD2085" s="11" t="b">
        <v>0</v>
      </c>
      <c r="AE2085" s="105"/>
      <c r="AF2085" s="11"/>
      <c r="AG2085" s="11"/>
      <c r="AH2085" s="11"/>
      <c r="AI2085" s="11"/>
    </row>
    <row r="2086" ht="12.5" spans="3:35">
      <c r="C2086" s="19"/>
      <c r="D2086" s="19"/>
      <c r="H2086" s="105"/>
      <c r="I2086" s="126"/>
      <c r="J2086" s="11"/>
      <c r="K2086" s="108"/>
      <c r="L2086" s="11"/>
      <c r="M2086" s="105"/>
      <c r="N2086" s="105"/>
      <c r="O2086" s="11"/>
      <c r="P2086" s="11"/>
      <c r="Q2086" s="105"/>
      <c r="R2086" s="105"/>
      <c r="S2086" s="105"/>
      <c r="T2086" s="105"/>
      <c r="U2086" s="105"/>
      <c r="V2086" s="105"/>
      <c r="W2086" s="105"/>
      <c r="X2086" s="11"/>
      <c r="Y2086" s="11"/>
      <c r="Z2086" s="105"/>
      <c r="AA2086" s="11"/>
      <c r="AB2086" s="11"/>
      <c r="AC2086" s="105"/>
      <c r="AD2086" s="11" t="b">
        <v>0</v>
      </c>
      <c r="AE2086" s="105"/>
      <c r="AF2086" s="11"/>
      <c r="AG2086" s="11"/>
      <c r="AH2086" s="11"/>
      <c r="AI2086" s="11"/>
    </row>
    <row r="2087" ht="12.5" spans="3:35">
      <c r="C2087" s="19"/>
      <c r="D2087" s="19"/>
      <c r="H2087" s="105"/>
      <c r="I2087" s="126"/>
      <c r="J2087" s="11"/>
      <c r="K2087" s="108"/>
      <c r="L2087" s="11"/>
      <c r="M2087" s="105"/>
      <c r="N2087" s="105"/>
      <c r="O2087" s="11"/>
      <c r="P2087" s="11"/>
      <c r="Q2087" s="105"/>
      <c r="R2087" s="105"/>
      <c r="S2087" s="105"/>
      <c r="T2087" s="105"/>
      <c r="U2087" s="105"/>
      <c r="V2087" s="105"/>
      <c r="W2087" s="105"/>
      <c r="X2087" s="11"/>
      <c r="Y2087" s="11"/>
      <c r="Z2087" s="105"/>
      <c r="AA2087" s="11"/>
      <c r="AB2087" s="11"/>
      <c r="AC2087" s="105"/>
      <c r="AD2087" s="11" t="b">
        <v>0</v>
      </c>
      <c r="AE2087" s="105"/>
      <c r="AF2087" s="11"/>
      <c r="AG2087" s="11"/>
      <c r="AH2087" s="11"/>
      <c r="AI2087" s="11"/>
    </row>
    <row r="2088" ht="12.5" spans="3:35">
      <c r="C2088" s="19"/>
      <c r="D2088" s="19"/>
      <c r="H2088" s="105"/>
      <c r="I2088" s="126"/>
      <c r="J2088" s="11"/>
      <c r="K2088" s="108"/>
      <c r="L2088" s="11"/>
      <c r="M2088" s="105"/>
      <c r="N2088" s="105"/>
      <c r="O2088" s="11"/>
      <c r="P2088" s="11"/>
      <c r="Q2088" s="105"/>
      <c r="R2088" s="105"/>
      <c r="S2088" s="105"/>
      <c r="T2088" s="105"/>
      <c r="U2088" s="105"/>
      <c r="V2088" s="105"/>
      <c r="W2088" s="105"/>
      <c r="X2088" s="11"/>
      <c r="Y2088" s="11"/>
      <c r="Z2088" s="105"/>
      <c r="AA2088" s="11"/>
      <c r="AB2088" s="11"/>
      <c r="AC2088" s="105"/>
      <c r="AD2088" s="11" t="b">
        <v>0</v>
      </c>
      <c r="AE2088" s="105"/>
      <c r="AF2088" s="11"/>
      <c r="AG2088" s="11"/>
      <c r="AH2088" s="11"/>
      <c r="AI2088" s="11"/>
    </row>
    <row r="2089" ht="12.5" spans="3:35">
      <c r="C2089" s="19"/>
      <c r="D2089" s="19"/>
      <c r="H2089" s="105"/>
      <c r="I2089" s="126"/>
      <c r="J2089" s="11"/>
      <c r="K2089" s="108"/>
      <c r="L2089" s="11"/>
      <c r="M2089" s="105"/>
      <c r="N2089" s="105"/>
      <c r="O2089" s="11"/>
      <c r="P2089" s="11"/>
      <c r="Q2089" s="105"/>
      <c r="R2089" s="105"/>
      <c r="S2089" s="105"/>
      <c r="T2089" s="105"/>
      <c r="U2089" s="105"/>
      <c r="V2089" s="105"/>
      <c r="W2089" s="105"/>
      <c r="X2089" s="11"/>
      <c r="Y2089" s="11"/>
      <c r="Z2089" s="105"/>
      <c r="AA2089" s="11"/>
      <c r="AB2089" s="11"/>
      <c r="AC2089" s="105"/>
      <c r="AD2089" s="11" t="b">
        <v>0</v>
      </c>
      <c r="AE2089" s="105"/>
      <c r="AF2089" s="11"/>
      <c r="AG2089" s="11"/>
      <c r="AH2089" s="11"/>
      <c r="AI2089" s="11"/>
    </row>
    <row r="2090" ht="12.5" spans="3:35">
      <c r="C2090" s="19"/>
      <c r="D2090" s="19"/>
      <c r="H2090" s="105"/>
      <c r="I2090" s="126"/>
      <c r="J2090" s="11"/>
      <c r="K2090" s="108"/>
      <c r="L2090" s="11"/>
      <c r="M2090" s="105"/>
      <c r="N2090" s="105"/>
      <c r="O2090" s="11"/>
      <c r="P2090" s="11"/>
      <c r="Q2090" s="105"/>
      <c r="R2090" s="105"/>
      <c r="S2090" s="105"/>
      <c r="T2090" s="105"/>
      <c r="U2090" s="105"/>
      <c r="V2090" s="105"/>
      <c r="W2090" s="105"/>
      <c r="X2090" s="11"/>
      <c r="Y2090" s="11"/>
      <c r="Z2090" s="105"/>
      <c r="AA2090" s="11"/>
      <c r="AB2090" s="11"/>
      <c r="AC2090" s="105"/>
      <c r="AD2090" s="11" t="b">
        <v>0</v>
      </c>
      <c r="AE2090" s="105"/>
      <c r="AF2090" s="11"/>
      <c r="AG2090" s="11"/>
      <c r="AH2090" s="11"/>
      <c r="AI2090" s="11"/>
    </row>
    <row r="2091" ht="12.5" spans="3:35">
      <c r="C2091" s="19"/>
      <c r="D2091" s="19"/>
      <c r="H2091" s="105"/>
      <c r="I2091" s="126"/>
      <c r="J2091" s="11"/>
      <c r="K2091" s="108"/>
      <c r="L2091" s="11"/>
      <c r="M2091" s="105"/>
      <c r="N2091" s="105"/>
      <c r="O2091" s="11"/>
      <c r="P2091" s="11"/>
      <c r="Q2091" s="105"/>
      <c r="R2091" s="105"/>
      <c r="S2091" s="105"/>
      <c r="T2091" s="105"/>
      <c r="U2091" s="105"/>
      <c r="V2091" s="105"/>
      <c r="W2091" s="105"/>
      <c r="X2091" s="11"/>
      <c r="Y2091" s="11"/>
      <c r="Z2091" s="105"/>
      <c r="AA2091" s="11"/>
      <c r="AB2091" s="11"/>
      <c r="AC2091" s="105"/>
      <c r="AD2091" s="11" t="b">
        <v>0</v>
      </c>
      <c r="AE2091" s="105"/>
      <c r="AF2091" s="11"/>
      <c r="AG2091" s="11"/>
      <c r="AH2091" s="11"/>
      <c r="AI2091" s="11"/>
    </row>
    <row r="2092" ht="12.5" spans="3:35">
      <c r="C2092" s="19"/>
      <c r="D2092" s="19"/>
      <c r="H2092" s="105"/>
      <c r="I2092" s="126"/>
      <c r="J2092" s="11"/>
      <c r="K2092" s="108"/>
      <c r="L2092" s="11"/>
      <c r="M2092" s="105"/>
      <c r="N2092" s="105"/>
      <c r="O2092" s="11"/>
      <c r="P2092" s="11"/>
      <c r="Q2092" s="105"/>
      <c r="R2092" s="105"/>
      <c r="S2092" s="105"/>
      <c r="T2092" s="105"/>
      <c r="U2092" s="105"/>
      <c r="V2092" s="105"/>
      <c r="W2092" s="105"/>
      <c r="X2092" s="11"/>
      <c r="Y2092" s="11"/>
      <c r="Z2092" s="105"/>
      <c r="AA2092" s="11"/>
      <c r="AB2092" s="11"/>
      <c r="AC2092" s="105"/>
      <c r="AD2092" s="11" t="b">
        <v>0</v>
      </c>
      <c r="AE2092" s="105"/>
      <c r="AF2092" s="11"/>
      <c r="AG2092" s="11"/>
      <c r="AH2092" s="11"/>
      <c r="AI2092" s="11"/>
    </row>
    <row r="2093" ht="12.5" spans="3:35">
      <c r="C2093" s="19"/>
      <c r="D2093" s="19"/>
      <c r="H2093" s="105"/>
      <c r="I2093" s="126"/>
      <c r="J2093" s="11"/>
      <c r="K2093" s="108"/>
      <c r="L2093" s="11"/>
      <c r="M2093" s="105"/>
      <c r="N2093" s="105"/>
      <c r="O2093" s="11"/>
      <c r="P2093" s="11"/>
      <c r="Q2093" s="105"/>
      <c r="R2093" s="105"/>
      <c r="S2093" s="105"/>
      <c r="T2093" s="105"/>
      <c r="U2093" s="105"/>
      <c r="V2093" s="105"/>
      <c r="W2093" s="105"/>
      <c r="X2093" s="11"/>
      <c r="Y2093" s="11"/>
      <c r="Z2093" s="105"/>
      <c r="AA2093" s="11"/>
      <c r="AB2093" s="11"/>
      <c r="AC2093" s="105"/>
      <c r="AD2093" s="11" t="b">
        <v>0</v>
      </c>
      <c r="AE2093" s="105"/>
      <c r="AF2093" s="11"/>
      <c r="AG2093" s="11"/>
      <c r="AH2093" s="11"/>
      <c r="AI2093" s="11"/>
    </row>
    <row r="2094" ht="12.5" spans="3:35">
      <c r="C2094" s="19"/>
      <c r="D2094" s="19"/>
      <c r="H2094" s="105"/>
      <c r="I2094" s="126"/>
      <c r="J2094" s="11"/>
      <c r="K2094" s="108"/>
      <c r="L2094" s="11"/>
      <c r="M2094" s="105"/>
      <c r="N2094" s="105"/>
      <c r="O2094" s="11"/>
      <c r="P2094" s="11"/>
      <c r="Q2094" s="105"/>
      <c r="R2094" s="105"/>
      <c r="S2094" s="105"/>
      <c r="T2094" s="105"/>
      <c r="U2094" s="105"/>
      <c r="V2094" s="105"/>
      <c r="W2094" s="105"/>
      <c r="X2094" s="11"/>
      <c r="Y2094" s="11"/>
      <c r="Z2094" s="105"/>
      <c r="AA2094" s="11"/>
      <c r="AB2094" s="11"/>
      <c r="AC2094" s="105"/>
      <c r="AD2094" s="11" t="b">
        <v>0</v>
      </c>
      <c r="AE2094" s="105"/>
      <c r="AF2094" s="11"/>
      <c r="AG2094" s="11"/>
      <c r="AH2094" s="11"/>
      <c r="AI2094" s="11"/>
    </row>
    <row r="2095" ht="12.5" spans="3:35">
      <c r="C2095" s="19"/>
      <c r="D2095" s="19"/>
      <c r="H2095" s="105"/>
      <c r="I2095" s="126"/>
      <c r="J2095" s="11"/>
      <c r="K2095" s="108"/>
      <c r="L2095" s="11"/>
      <c r="M2095" s="105"/>
      <c r="N2095" s="105"/>
      <c r="O2095" s="11"/>
      <c r="P2095" s="11"/>
      <c r="Q2095" s="105"/>
      <c r="R2095" s="105"/>
      <c r="S2095" s="105"/>
      <c r="T2095" s="105"/>
      <c r="U2095" s="105"/>
      <c r="V2095" s="105"/>
      <c r="W2095" s="105"/>
      <c r="X2095" s="11"/>
      <c r="Y2095" s="11"/>
      <c r="Z2095" s="105"/>
      <c r="AA2095" s="11"/>
      <c r="AB2095" s="11"/>
      <c r="AC2095" s="105"/>
      <c r="AD2095" s="11" t="b">
        <v>0</v>
      </c>
      <c r="AE2095" s="105"/>
      <c r="AF2095" s="11"/>
      <c r="AG2095" s="11"/>
      <c r="AH2095" s="11"/>
      <c r="AI2095" s="11"/>
    </row>
    <row r="2096" ht="12.5" spans="3:35">
      <c r="C2096" s="19"/>
      <c r="D2096" s="19"/>
      <c r="H2096" s="105"/>
      <c r="I2096" s="126"/>
      <c r="J2096" s="11"/>
      <c r="K2096" s="108"/>
      <c r="L2096" s="11"/>
      <c r="M2096" s="105"/>
      <c r="N2096" s="105"/>
      <c r="O2096" s="11"/>
      <c r="P2096" s="11"/>
      <c r="Q2096" s="105"/>
      <c r="R2096" s="105"/>
      <c r="S2096" s="105"/>
      <c r="T2096" s="105"/>
      <c r="U2096" s="105"/>
      <c r="V2096" s="105"/>
      <c r="W2096" s="105"/>
      <c r="X2096" s="11"/>
      <c r="Y2096" s="11"/>
      <c r="Z2096" s="105"/>
      <c r="AA2096" s="11"/>
      <c r="AB2096" s="11"/>
      <c r="AC2096" s="105"/>
      <c r="AD2096" s="11" t="b">
        <v>0</v>
      </c>
      <c r="AE2096" s="105"/>
      <c r="AF2096" s="11"/>
      <c r="AG2096" s="11"/>
      <c r="AH2096" s="11"/>
      <c r="AI2096" s="11"/>
    </row>
    <row r="2097" ht="12.5" spans="3:35">
      <c r="C2097" s="19"/>
      <c r="D2097" s="19"/>
      <c r="H2097" s="105"/>
      <c r="I2097" s="126"/>
      <c r="J2097" s="11"/>
      <c r="K2097" s="108"/>
      <c r="L2097" s="11"/>
      <c r="M2097" s="105"/>
      <c r="N2097" s="105"/>
      <c r="O2097" s="11"/>
      <c r="P2097" s="11"/>
      <c r="Q2097" s="105"/>
      <c r="R2097" s="105"/>
      <c r="S2097" s="105"/>
      <c r="T2097" s="105"/>
      <c r="U2097" s="105"/>
      <c r="V2097" s="105"/>
      <c r="W2097" s="105"/>
      <c r="X2097" s="11"/>
      <c r="Y2097" s="11"/>
      <c r="Z2097" s="105"/>
      <c r="AA2097" s="11"/>
      <c r="AB2097" s="11"/>
      <c r="AC2097" s="105"/>
      <c r="AD2097" s="11" t="b">
        <v>0</v>
      </c>
      <c r="AE2097" s="105"/>
      <c r="AF2097" s="11"/>
      <c r="AG2097" s="11"/>
      <c r="AH2097" s="11"/>
      <c r="AI2097" s="11"/>
    </row>
    <row r="2098" ht="12.5" spans="3:35">
      <c r="C2098" s="19"/>
      <c r="D2098" s="19"/>
      <c r="H2098" s="105"/>
      <c r="I2098" s="126"/>
      <c r="J2098" s="11"/>
      <c r="K2098" s="108"/>
      <c r="L2098" s="11"/>
      <c r="M2098" s="105"/>
      <c r="N2098" s="105"/>
      <c r="O2098" s="11"/>
      <c r="P2098" s="11"/>
      <c r="Q2098" s="105"/>
      <c r="R2098" s="105"/>
      <c r="S2098" s="105"/>
      <c r="T2098" s="105"/>
      <c r="U2098" s="105"/>
      <c r="V2098" s="105"/>
      <c r="W2098" s="105"/>
      <c r="X2098" s="11"/>
      <c r="Y2098" s="11"/>
      <c r="Z2098" s="105"/>
      <c r="AA2098" s="11"/>
      <c r="AB2098" s="11"/>
      <c r="AC2098" s="105"/>
      <c r="AD2098" s="11" t="b">
        <v>0</v>
      </c>
      <c r="AE2098" s="105"/>
      <c r="AF2098" s="11"/>
      <c r="AG2098" s="11"/>
      <c r="AH2098" s="11"/>
      <c r="AI2098" s="11"/>
    </row>
    <row r="2099" ht="12.5" spans="3:35">
      <c r="C2099" s="19"/>
      <c r="D2099" s="19"/>
      <c r="H2099" s="105"/>
      <c r="I2099" s="126"/>
      <c r="J2099" s="11"/>
      <c r="K2099" s="108"/>
      <c r="L2099" s="11"/>
      <c r="M2099" s="105"/>
      <c r="N2099" s="105"/>
      <c r="O2099" s="11"/>
      <c r="P2099" s="11"/>
      <c r="Q2099" s="105"/>
      <c r="R2099" s="105"/>
      <c r="S2099" s="105"/>
      <c r="T2099" s="105"/>
      <c r="U2099" s="105"/>
      <c r="V2099" s="105"/>
      <c r="W2099" s="105"/>
      <c r="X2099" s="11"/>
      <c r="Y2099" s="11"/>
      <c r="Z2099" s="105"/>
      <c r="AA2099" s="11"/>
      <c r="AB2099" s="11"/>
      <c r="AC2099" s="105"/>
      <c r="AD2099" s="11" t="b">
        <v>0</v>
      </c>
      <c r="AE2099" s="105"/>
      <c r="AF2099" s="11"/>
      <c r="AG2099" s="11"/>
      <c r="AH2099" s="11"/>
      <c r="AI2099" s="11"/>
    </row>
    <row r="2100" ht="12.5" spans="3:35">
      <c r="C2100" s="19"/>
      <c r="D2100" s="19"/>
      <c r="H2100" s="105"/>
      <c r="I2100" s="126"/>
      <c r="J2100" s="11"/>
      <c r="K2100" s="108"/>
      <c r="L2100" s="11"/>
      <c r="M2100" s="105"/>
      <c r="N2100" s="105"/>
      <c r="O2100" s="11"/>
      <c r="P2100" s="11"/>
      <c r="Q2100" s="105"/>
      <c r="R2100" s="105"/>
      <c r="S2100" s="105"/>
      <c r="T2100" s="105"/>
      <c r="U2100" s="105"/>
      <c r="V2100" s="105"/>
      <c r="W2100" s="105"/>
      <c r="X2100" s="11"/>
      <c r="Y2100" s="11"/>
      <c r="Z2100" s="105"/>
      <c r="AA2100" s="11"/>
      <c r="AB2100" s="11"/>
      <c r="AC2100" s="105"/>
      <c r="AD2100" s="11" t="b">
        <v>0</v>
      </c>
      <c r="AE2100" s="105"/>
      <c r="AF2100" s="11"/>
      <c r="AG2100" s="11"/>
      <c r="AH2100" s="11"/>
      <c r="AI2100" s="11"/>
    </row>
    <row r="2101" ht="12.5" spans="3:35">
      <c r="C2101" s="19"/>
      <c r="D2101" s="19"/>
      <c r="H2101" s="105"/>
      <c r="I2101" s="126"/>
      <c r="J2101" s="11"/>
      <c r="K2101" s="108"/>
      <c r="L2101" s="11"/>
      <c r="M2101" s="105"/>
      <c r="N2101" s="105"/>
      <c r="O2101" s="11"/>
      <c r="P2101" s="11"/>
      <c r="Q2101" s="105"/>
      <c r="R2101" s="105"/>
      <c r="S2101" s="105"/>
      <c r="T2101" s="105"/>
      <c r="U2101" s="105"/>
      <c r="V2101" s="105"/>
      <c r="W2101" s="105"/>
      <c r="X2101" s="11"/>
      <c r="Y2101" s="11"/>
      <c r="Z2101" s="105"/>
      <c r="AA2101" s="11"/>
      <c r="AB2101" s="11"/>
      <c r="AC2101" s="105"/>
      <c r="AD2101" s="11" t="b">
        <v>0</v>
      </c>
      <c r="AE2101" s="105"/>
      <c r="AF2101" s="11"/>
      <c r="AG2101" s="11"/>
      <c r="AH2101" s="11"/>
      <c r="AI2101" s="11"/>
    </row>
    <row r="2102" ht="12.5" spans="3:35">
      <c r="C2102" s="19"/>
      <c r="D2102" s="19"/>
      <c r="H2102" s="105"/>
      <c r="I2102" s="126"/>
      <c r="J2102" s="11"/>
      <c r="K2102" s="108"/>
      <c r="L2102" s="11"/>
      <c r="M2102" s="105"/>
      <c r="N2102" s="105"/>
      <c r="O2102" s="11"/>
      <c r="P2102" s="11"/>
      <c r="Q2102" s="105"/>
      <c r="R2102" s="105"/>
      <c r="S2102" s="105"/>
      <c r="T2102" s="105"/>
      <c r="U2102" s="105"/>
      <c r="V2102" s="105"/>
      <c r="W2102" s="105"/>
      <c r="X2102" s="11"/>
      <c r="Y2102" s="11"/>
      <c r="Z2102" s="105"/>
      <c r="AA2102" s="11"/>
      <c r="AB2102" s="11"/>
      <c r="AC2102" s="105"/>
      <c r="AD2102" s="11" t="b">
        <v>0</v>
      </c>
      <c r="AE2102" s="105"/>
      <c r="AF2102" s="11"/>
      <c r="AG2102" s="11"/>
      <c r="AH2102" s="11"/>
      <c r="AI2102" s="11"/>
    </row>
    <row r="2103" ht="12.5" spans="3:35">
      <c r="C2103" s="19"/>
      <c r="D2103" s="19"/>
      <c r="H2103" s="105"/>
      <c r="I2103" s="126"/>
      <c r="J2103" s="11"/>
      <c r="K2103" s="108"/>
      <c r="L2103" s="11"/>
      <c r="M2103" s="105"/>
      <c r="N2103" s="105"/>
      <c r="O2103" s="11"/>
      <c r="P2103" s="11"/>
      <c r="Q2103" s="105"/>
      <c r="R2103" s="105"/>
      <c r="S2103" s="105"/>
      <c r="T2103" s="105"/>
      <c r="U2103" s="105"/>
      <c r="V2103" s="105"/>
      <c r="W2103" s="105"/>
      <c r="X2103" s="11"/>
      <c r="Y2103" s="11"/>
      <c r="Z2103" s="105"/>
      <c r="AA2103" s="11"/>
      <c r="AB2103" s="11"/>
      <c r="AC2103" s="105"/>
      <c r="AD2103" s="11" t="b">
        <v>0</v>
      </c>
      <c r="AE2103" s="105"/>
      <c r="AF2103" s="11"/>
      <c r="AG2103" s="11"/>
      <c r="AH2103" s="11"/>
      <c r="AI2103" s="11"/>
    </row>
    <row r="2104" ht="12.5" spans="3:35">
      <c r="C2104" s="19"/>
      <c r="D2104" s="19"/>
      <c r="H2104" s="105"/>
      <c r="I2104" s="126"/>
      <c r="J2104" s="11"/>
      <c r="K2104" s="108"/>
      <c r="L2104" s="11"/>
      <c r="M2104" s="105"/>
      <c r="N2104" s="105"/>
      <c r="O2104" s="11"/>
      <c r="P2104" s="11"/>
      <c r="Q2104" s="105"/>
      <c r="R2104" s="105"/>
      <c r="S2104" s="105"/>
      <c r="T2104" s="105"/>
      <c r="U2104" s="105"/>
      <c r="V2104" s="105"/>
      <c r="W2104" s="105"/>
      <c r="X2104" s="11"/>
      <c r="Y2104" s="11"/>
      <c r="Z2104" s="105"/>
      <c r="AA2104" s="11"/>
      <c r="AB2104" s="11"/>
      <c r="AC2104" s="105"/>
      <c r="AD2104" s="11" t="b">
        <v>0</v>
      </c>
      <c r="AE2104" s="105"/>
      <c r="AF2104" s="11"/>
      <c r="AG2104" s="11"/>
      <c r="AH2104" s="11"/>
      <c r="AI2104" s="11"/>
    </row>
    <row r="2105" ht="12.5" spans="3:35">
      <c r="C2105" s="19"/>
      <c r="D2105" s="19"/>
      <c r="H2105" s="105"/>
      <c r="I2105" s="126"/>
      <c r="J2105" s="11"/>
      <c r="K2105" s="108"/>
      <c r="L2105" s="11"/>
      <c r="M2105" s="105"/>
      <c r="N2105" s="105"/>
      <c r="O2105" s="11"/>
      <c r="P2105" s="11"/>
      <c r="Q2105" s="105"/>
      <c r="R2105" s="105"/>
      <c r="S2105" s="105"/>
      <c r="T2105" s="105"/>
      <c r="U2105" s="105"/>
      <c r="V2105" s="105"/>
      <c r="W2105" s="105"/>
      <c r="X2105" s="11"/>
      <c r="Y2105" s="11"/>
      <c r="Z2105" s="105"/>
      <c r="AA2105" s="11"/>
      <c r="AB2105" s="11"/>
      <c r="AC2105" s="105"/>
      <c r="AD2105" s="11" t="b">
        <v>0</v>
      </c>
      <c r="AE2105" s="105"/>
      <c r="AF2105" s="11"/>
      <c r="AG2105" s="11"/>
      <c r="AH2105" s="11"/>
      <c r="AI2105" s="11"/>
    </row>
    <row r="2106" ht="12.5" spans="3:35">
      <c r="C2106" s="19"/>
      <c r="D2106" s="19"/>
      <c r="H2106" s="105"/>
      <c r="I2106" s="126"/>
      <c r="J2106" s="11"/>
      <c r="K2106" s="108"/>
      <c r="L2106" s="11"/>
      <c r="M2106" s="105"/>
      <c r="N2106" s="105"/>
      <c r="O2106" s="11"/>
      <c r="P2106" s="11"/>
      <c r="Q2106" s="105"/>
      <c r="R2106" s="105"/>
      <c r="S2106" s="105"/>
      <c r="T2106" s="105"/>
      <c r="U2106" s="105"/>
      <c r="V2106" s="105"/>
      <c r="W2106" s="105"/>
      <c r="X2106" s="11"/>
      <c r="Y2106" s="11"/>
      <c r="Z2106" s="105"/>
      <c r="AA2106" s="11"/>
      <c r="AB2106" s="11"/>
      <c r="AC2106" s="105"/>
      <c r="AD2106" s="11" t="b">
        <v>0</v>
      </c>
      <c r="AE2106" s="105"/>
      <c r="AF2106" s="11"/>
      <c r="AG2106" s="11"/>
      <c r="AH2106" s="11"/>
      <c r="AI2106" s="11"/>
    </row>
    <row r="2107" ht="12.5" spans="3:35">
      <c r="C2107" s="19"/>
      <c r="D2107" s="19"/>
      <c r="H2107" s="105"/>
      <c r="I2107" s="126"/>
      <c r="J2107" s="11"/>
      <c r="K2107" s="108"/>
      <c r="L2107" s="11"/>
      <c r="M2107" s="105"/>
      <c r="N2107" s="105"/>
      <c r="O2107" s="11"/>
      <c r="P2107" s="11"/>
      <c r="Q2107" s="105"/>
      <c r="R2107" s="105"/>
      <c r="S2107" s="105"/>
      <c r="T2107" s="105"/>
      <c r="U2107" s="105"/>
      <c r="V2107" s="105"/>
      <c r="W2107" s="105"/>
      <c r="X2107" s="11"/>
      <c r="Y2107" s="11"/>
      <c r="Z2107" s="105"/>
      <c r="AA2107" s="11"/>
      <c r="AB2107" s="11"/>
      <c r="AC2107" s="105"/>
      <c r="AD2107" s="11" t="b">
        <v>0</v>
      </c>
      <c r="AE2107" s="105"/>
      <c r="AF2107" s="11"/>
      <c r="AG2107" s="11"/>
      <c r="AH2107" s="11"/>
      <c r="AI2107" s="11"/>
    </row>
    <row r="2108" ht="12.5" spans="3:35">
      <c r="C2108" s="19"/>
      <c r="D2108" s="19"/>
      <c r="H2108" s="105"/>
      <c r="I2108" s="126"/>
      <c r="J2108" s="11"/>
      <c r="K2108" s="108"/>
      <c r="L2108" s="11"/>
      <c r="M2108" s="105"/>
      <c r="N2108" s="105"/>
      <c r="O2108" s="11"/>
      <c r="P2108" s="11"/>
      <c r="Q2108" s="105"/>
      <c r="R2108" s="105"/>
      <c r="S2108" s="105"/>
      <c r="T2108" s="105"/>
      <c r="U2108" s="105"/>
      <c r="V2108" s="105"/>
      <c r="W2108" s="105"/>
      <c r="X2108" s="11"/>
      <c r="Y2108" s="11"/>
      <c r="Z2108" s="105"/>
      <c r="AA2108" s="11"/>
      <c r="AB2108" s="11"/>
      <c r="AC2108" s="105"/>
      <c r="AD2108" s="11" t="b">
        <v>0</v>
      </c>
      <c r="AE2108" s="105"/>
      <c r="AF2108" s="11"/>
      <c r="AG2108" s="11"/>
      <c r="AH2108" s="11"/>
      <c r="AI2108" s="11"/>
    </row>
    <row r="2109" ht="12.5" spans="3:35">
      <c r="C2109" s="19"/>
      <c r="D2109" s="19"/>
      <c r="H2109" s="105"/>
      <c r="I2109" s="126"/>
      <c r="J2109" s="11"/>
      <c r="K2109" s="108"/>
      <c r="L2109" s="11"/>
      <c r="M2109" s="105"/>
      <c r="N2109" s="105"/>
      <c r="O2109" s="11"/>
      <c r="P2109" s="11"/>
      <c r="Q2109" s="105"/>
      <c r="R2109" s="105"/>
      <c r="S2109" s="105"/>
      <c r="T2109" s="105"/>
      <c r="U2109" s="105"/>
      <c r="V2109" s="105"/>
      <c r="W2109" s="105"/>
      <c r="X2109" s="11"/>
      <c r="Y2109" s="11"/>
      <c r="Z2109" s="105"/>
      <c r="AA2109" s="11"/>
      <c r="AB2109" s="11"/>
      <c r="AC2109" s="105"/>
      <c r="AD2109" s="11" t="b">
        <v>0</v>
      </c>
      <c r="AE2109" s="105"/>
      <c r="AF2109" s="11"/>
      <c r="AG2109" s="11"/>
      <c r="AH2109" s="11"/>
      <c r="AI2109" s="11"/>
    </row>
    <row r="2110" ht="12.5" spans="3:35">
      <c r="C2110" s="19"/>
      <c r="D2110" s="19"/>
      <c r="H2110" s="105"/>
      <c r="I2110" s="126"/>
      <c r="J2110" s="11"/>
      <c r="K2110" s="108"/>
      <c r="L2110" s="11"/>
      <c r="M2110" s="105"/>
      <c r="N2110" s="105"/>
      <c r="O2110" s="11"/>
      <c r="P2110" s="11"/>
      <c r="Q2110" s="105"/>
      <c r="R2110" s="105"/>
      <c r="S2110" s="105"/>
      <c r="T2110" s="105"/>
      <c r="U2110" s="105"/>
      <c r="V2110" s="105"/>
      <c r="W2110" s="105"/>
      <c r="X2110" s="11"/>
      <c r="Y2110" s="11"/>
      <c r="Z2110" s="105"/>
      <c r="AA2110" s="11"/>
      <c r="AB2110" s="11"/>
      <c r="AC2110" s="105"/>
      <c r="AD2110" s="11" t="b">
        <v>0</v>
      </c>
      <c r="AE2110" s="105"/>
      <c r="AF2110" s="11"/>
      <c r="AG2110" s="11"/>
      <c r="AH2110" s="11"/>
      <c r="AI2110" s="11"/>
    </row>
    <row r="2111" ht="12.5" spans="3:35">
      <c r="C2111" s="19"/>
      <c r="D2111" s="19"/>
      <c r="H2111" s="105"/>
      <c r="I2111" s="126"/>
      <c r="J2111" s="11"/>
      <c r="K2111" s="108"/>
      <c r="L2111" s="11"/>
      <c r="M2111" s="105"/>
      <c r="N2111" s="105"/>
      <c r="O2111" s="11"/>
      <c r="P2111" s="11"/>
      <c r="Q2111" s="105"/>
      <c r="R2111" s="105"/>
      <c r="S2111" s="105"/>
      <c r="T2111" s="105"/>
      <c r="U2111" s="105"/>
      <c r="V2111" s="105"/>
      <c r="W2111" s="105"/>
      <c r="X2111" s="11"/>
      <c r="Y2111" s="11"/>
      <c r="Z2111" s="105"/>
      <c r="AA2111" s="11"/>
      <c r="AB2111" s="11"/>
      <c r="AC2111" s="105"/>
      <c r="AD2111" s="11" t="b">
        <v>0</v>
      </c>
      <c r="AE2111" s="105"/>
      <c r="AF2111" s="11"/>
      <c r="AG2111" s="11"/>
      <c r="AH2111" s="11"/>
      <c r="AI2111" s="11"/>
    </row>
    <row r="2112" ht="12.5" spans="3:35">
      <c r="C2112" s="19"/>
      <c r="D2112" s="19"/>
      <c r="H2112" s="105"/>
      <c r="I2112" s="126"/>
      <c r="J2112" s="11"/>
      <c r="K2112" s="108"/>
      <c r="L2112" s="11"/>
      <c r="M2112" s="105"/>
      <c r="N2112" s="105"/>
      <c r="O2112" s="11"/>
      <c r="P2112" s="11"/>
      <c r="Q2112" s="105"/>
      <c r="R2112" s="105"/>
      <c r="S2112" s="105"/>
      <c r="T2112" s="105"/>
      <c r="U2112" s="105"/>
      <c r="V2112" s="105"/>
      <c r="W2112" s="105"/>
      <c r="X2112" s="11"/>
      <c r="Y2112" s="11"/>
      <c r="Z2112" s="105"/>
      <c r="AA2112" s="11"/>
      <c r="AB2112" s="11"/>
      <c r="AC2112" s="105"/>
      <c r="AD2112" s="11" t="b">
        <v>0</v>
      </c>
      <c r="AE2112" s="105"/>
      <c r="AF2112" s="11"/>
      <c r="AG2112" s="11"/>
      <c r="AH2112" s="11"/>
      <c r="AI2112" s="11"/>
    </row>
    <row r="2113" ht="12.5" spans="3:35">
      <c r="C2113" s="19"/>
      <c r="D2113" s="19"/>
      <c r="H2113" s="105"/>
      <c r="I2113" s="126"/>
      <c r="J2113" s="11"/>
      <c r="K2113" s="108"/>
      <c r="L2113" s="11"/>
      <c r="M2113" s="105"/>
      <c r="N2113" s="105"/>
      <c r="O2113" s="11"/>
      <c r="P2113" s="11"/>
      <c r="Q2113" s="105"/>
      <c r="R2113" s="105"/>
      <c r="S2113" s="105"/>
      <c r="T2113" s="105"/>
      <c r="U2113" s="105"/>
      <c r="V2113" s="105"/>
      <c r="W2113" s="105"/>
      <c r="X2113" s="11"/>
      <c r="Y2113" s="11"/>
      <c r="Z2113" s="105"/>
      <c r="AA2113" s="11"/>
      <c r="AB2113" s="11"/>
      <c r="AC2113" s="105"/>
      <c r="AD2113" s="11" t="b">
        <v>0</v>
      </c>
      <c r="AE2113" s="105"/>
      <c r="AF2113" s="11"/>
      <c r="AG2113" s="11"/>
      <c r="AH2113" s="11"/>
      <c r="AI2113" s="11"/>
    </row>
    <row r="2114" ht="12.5" spans="3:35">
      <c r="C2114" s="19"/>
      <c r="D2114" s="19"/>
      <c r="H2114" s="105"/>
      <c r="I2114" s="126"/>
      <c r="J2114" s="11"/>
      <c r="K2114" s="108"/>
      <c r="L2114" s="11"/>
      <c r="M2114" s="105"/>
      <c r="N2114" s="105"/>
      <c r="O2114" s="11"/>
      <c r="P2114" s="11"/>
      <c r="Q2114" s="105"/>
      <c r="R2114" s="105"/>
      <c r="S2114" s="105"/>
      <c r="T2114" s="105"/>
      <c r="U2114" s="105"/>
      <c r="V2114" s="105"/>
      <c r="W2114" s="105"/>
      <c r="X2114" s="11"/>
      <c r="Y2114" s="11"/>
      <c r="Z2114" s="105"/>
      <c r="AA2114" s="11"/>
      <c r="AB2114" s="11"/>
      <c r="AC2114" s="105"/>
      <c r="AD2114" s="11" t="b">
        <v>0</v>
      </c>
      <c r="AE2114" s="105"/>
      <c r="AF2114" s="11"/>
      <c r="AG2114" s="11"/>
      <c r="AH2114" s="11"/>
      <c r="AI2114" s="11"/>
    </row>
    <row r="2115" ht="12.5" spans="3:35">
      <c r="C2115" s="19"/>
      <c r="D2115" s="19"/>
      <c r="H2115" s="105"/>
      <c r="I2115" s="126"/>
      <c r="J2115" s="11"/>
      <c r="K2115" s="108"/>
      <c r="L2115" s="11"/>
      <c r="M2115" s="105"/>
      <c r="N2115" s="105"/>
      <c r="O2115" s="11"/>
      <c r="P2115" s="11"/>
      <c r="Q2115" s="105"/>
      <c r="R2115" s="105"/>
      <c r="S2115" s="105"/>
      <c r="T2115" s="105"/>
      <c r="U2115" s="105"/>
      <c r="V2115" s="105"/>
      <c r="W2115" s="105"/>
      <c r="X2115" s="11"/>
      <c r="Y2115" s="11"/>
      <c r="Z2115" s="105"/>
      <c r="AA2115" s="11"/>
      <c r="AB2115" s="11"/>
      <c r="AC2115" s="105"/>
      <c r="AD2115" s="11" t="b">
        <v>0</v>
      </c>
      <c r="AE2115" s="105"/>
      <c r="AF2115" s="11"/>
      <c r="AG2115" s="11"/>
      <c r="AH2115" s="11"/>
      <c r="AI2115" s="11"/>
    </row>
    <row r="2116" ht="12.5" spans="3:35">
      <c r="C2116" s="19"/>
      <c r="D2116" s="19"/>
      <c r="H2116" s="105"/>
      <c r="I2116" s="126"/>
      <c r="J2116" s="11"/>
      <c r="K2116" s="108"/>
      <c r="L2116" s="11"/>
      <c r="M2116" s="105"/>
      <c r="N2116" s="105"/>
      <c r="O2116" s="11"/>
      <c r="P2116" s="11"/>
      <c r="Q2116" s="105"/>
      <c r="R2116" s="105"/>
      <c r="S2116" s="105"/>
      <c r="T2116" s="105"/>
      <c r="U2116" s="105"/>
      <c r="V2116" s="105"/>
      <c r="W2116" s="105"/>
      <c r="X2116" s="11"/>
      <c r="Y2116" s="11"/>
      <c r="Z2116" s="105"/>
      <c r="AA2116" s="11"/>
      <c r="AB2116" s="11"/>
      <c r="AC2116" s="105"/>
      <c r="AD2116" s="11" t="b">
        <v>0</v>
      </c>
      <c r="AE2116" s="105"/>
      <c r="AF2116" s="11"/>
      <c r="AG2116" s="11"/>
      <c r="AH2116" s="11"/>
      <c r="AI2116" s="11"/>
    </row>
    <row r="2117" ht="12.5" spans="3:35">
      <c r="C2117" s="19"/>
      <c r="D2117" s="19"/>
      <c r="H2117" s="105"/>
      <c r="I2117" s="126"/>
      <c r="J2117" s="11"/>
      <c r="K2117" s="108"/>
      <c r="L2117" s="11"/>
      <c r="M2117" s="105"/>
      <c r="N2117" s="105"/>
      <c r="O2117" s="11"/>
      <c r="P2117" s="11"/>
      <c r="Q2117" s="105"/>
      <c r="R2117" s="105"/>
      <c r="S2117" s="105"/>
      <c r="T2117" s="105"/>
      <c r="U2117" s="105"/>
      <c r="V2117" s="105"/>
      <c r="W2117" s="105"/>
      <c r="X2117" s="11"/>
      <c r="Y2117" s="11"/>
      <c r="Z2117" s="105"/>
      <c r="AA2117" s="11"/>
      <c r="AB2117" s="11"/>
      <c r="AC2117" s="105"/>
      <c r="AD2117" s="11" t="b">
        <v>0</v>
      </c>
      <c r="AE2117" s="105"/>
      <c r="AF2117" s="11"/>
      <c r="AG2117" s="11"/>
      <c r="AH2117" s="11"/>
      <c r="AI2117" s="11"/>
    </row>
    <row r="2118" ht="12.5" spans="3:35">
      <c r="C2118" s="19"/>
      <c r="D2118" s="19"/>
      <c r="H2118" s="105"/>
      <c r="I2118" s="126"/>
      <c r="J2118" s="11"/>
      <c r="K2118" s="108"/>
      <c r="L2118" s="11"/>
      <c r="M2118" s="105"/>
      <c r="N2118" s="105"/>
      <c r="O2118" s="11"/>
      <c r="P2118" s="11"/>
      <c r="Q2118" s="105"/>
      <c r="R2118" s="105"/>
      <c r="S2118" s="105"/>
      <c r="T2118" s="105"/>
      <c r="U2118" s="105"/>
      <c r="V2118" s="105"/>
      <c r="W2118" s="105"/>
      <c r="X2118" s="11"/>
      <c r="Y2118" s="11"/>
      <c r="Z2118" s="105"/>
      <c r="AA2118" s="11"/>
      <c r="AB2118" s="11"/>
      <c r="AC2118" s="105"/>
      <c r="AD2118" s="11" t="b">
        <v>0</v>
      </c>
      <c r="AE2118" s="105"/>
      <c r="AF2118" s="11"/>
      <c r="AG2118" s="11"/>
      <c r="AH2118" s="11"/>
      <c r="AI2118" s="11"/>
    </row>
    <row r="2119" ht="12.5" spans="3:35">
      <c r="C2119" s="19"/>
      <c r="D2119" s="19"/>
      <c r="H2119" s="105"/>
      <c r="I2119" s="126"/>
      <c r="J2119" s="11"/>
      <c r="K2119" s="108"/>
      <c r="L2119" s="11"/>
      <c r="M2119" s="105"/>
      <c r="N2119" s="105"/>
      <c r="O2119" s="11"/>
      <c r="P2119" s="11"/>
      <c r="Q2119" s="105"/>
      <c r="R2119" s="105"/>
      <c r="S2119" s="105"/>
      <c r="T2119" s="105"/>
      <c r="U2119" s="105"/>
      <c r="V2119" s="105"/>
      <c r="W2119" s="105"/>
      <c r="X2119" s="11"/>
      <c r="Y2119" s="11"/>
      <c r="Z2119" s="105"/>
      <c r="AA2119" s="11"/>
      <c r="AB2119" s="11"/>
      <c r="AC2119" s="105"/>
      <c r="AD2119" s="11" t="b">
        <v>0</v>
      </c>
      <c r="AE2119" s="105"/>
      <c r="AF2119" s="11"/>
      <c r="AG2119" s="11"/>
      <c r="AH2119" s="11"/>
      <c r="AI2119" s="11"/>
    </row>
    <row r="2120" ht="12.5" spans="3:35">
      <c r="C2120" s="19"/>
      <c r="D2120" s="19"/>
      <c r="H2120" s="105"/>
      <c r="I2120" s="126"/>
      <c r="J2120" s="11"/>
      <c r="K2120" s="108"/>
      <c r="L2120" s="11"/>
      <c r="M2120" s="105"/>
      <c r="N2120" s="105"/>
      <c r="O2120" s="11"/>
      <c r="P2120" s="11"/>
      <c r="Q2120" s="105"/>
      <c r="R2120" s="105"/>
      <c r="S2120" s="105"/>
      <c r="T2120" s="105"/>
      <c r="U2120" s="105"/>
      <c r="V2120" s="105"/>
      <c r="W2120" s="105"/>
      <c r="X2120" s="11"/>
      <c r="Y2120" s="11"/>
      <c r="Z2120" s="105"/>
      <c r="AA2120" s="11"/>
      <c r="AB2120" s="11"/>
      <c r="AC2120" s="105"/>
      <c r="AD2120" s="11" t="b">
        <v>0</v>
      </c>
      <c r="AE2120" s="105"/>
      <c r="AF2120" s="11"/>
      <c r="AG2120" s="11"/>
      <c r="AH2120" s="11"/>
      <c r="AI2120" s="11"/>
    </row>
    <row r="2121" ht="12.5" spans="3:35">
      <c r="C2121" s="19"/>
      <c r="D2121" s="19"/>
      <c r="H2121" s="105"/>
      <c r="I2121" s="126"/>
      <c r="J2121" s="11"/>
      <c r="K2121" s="108"/>
      <c r="L2121" s="11"/>
      <c r="M2121" s="105"/>
      <c r="N2121" s="105"/>
      <c r="O2121" s="11"/>
      <c r="P2121" s="11"/>
      <c r="Q2121" s="105"/>
      <c r="R2121" s="105"/>
      <c r="S2121" s="105"/>
      <c r="T2121" s="105"/>
      <c r="U2121" s="105"/>
      <c r="V2121" s="105"/>
      <c r="W2121" s="105"/>
      <c r="X2121" s="11"/>
      <c r="Y2121" s="11"/>
      <c r="Z2121" s="105"/>
      <c r="AA2121" s="11"/>
      <c r="AB2121" s="11"/>
      <c r="AC2121" s="105"/>
      <c r="AD2121" s="11" t="b">
        <v>0</v>
      </c>
      <c r="AE2121" s="105"/>
      <c r="AF2121" s="11"/>
      <c r="AG2121" s="11"/>
      <c r="AH2121" s="11"/>
      <c r="AI2121" s="11"/>
    </row>
    <row r="2122" ht="12.5" spans="3:35">
      <c r="C2122" s="19"/>
      <c r="D2122" s="19"/>
      <c r="H2122" s="105"/>
      <c r="I2122" s="126"/>
      <c r="J2122" s="11"/>
      <c r="K2122" s="108"/>
      <c r="L2122" s="11"/>
      <c r="M2122" s="105"/>
      <c r="N2122" s="105"/>
      <c r="O2122" s="11"/>
      <c r="P2122" s="11"/>
      <c r="Q2122" s="105"/>
      <c r="R2122" s="105"/>
      <c r="S2122" s="105"/>
      <c r="T2122" s="105"/>
      <c r="U2122" s="105"/>
      <c r="V2122" s="105"/>
      <c r="W2122" s="105"/>
      <c r="X2122" s="11"/>
      <c r="Y2122" s="11"/>
      <c r="Z2122" s="105"/>
      <c r="AA2122" s="11"/>
      <c r="AB2122" s="11"/>
      <c r="AC2122" s="105"/>
      <c r="AD2122" s="11" t="b">
        <v>0</v>
      </c>
      <c r="AE2122" s="105"/>
      <c r="AF2122" s="11"/>
      <c r="AG2122" s="11"/>
      <c r="AH2122" s="11"/>
      <c r="AI2122" s="11"/>
    </row>
    <row r="2123" ht="12.5" spans="3:35">
      <c r="C2123" s="19"/>
      <c r="D2123" s="19"/>
      <c r="H2123" s="105"/>
      <c r="I2123" s="126"/>
      <c r="J2123" s="11"/>
      <c r="K2123" s="108"/>
      <c r="L2123" s="11"/>
      <c r="M2123" s="105"/>
      <c r="N2123" s="105"/>
      <c r="O2123" s="11"/>
      <c r="P2123" s="11"/>
      <c r="Q2123" s="105"/>
      <c r="R2123" s="105"/>
      <c r="S2123" s="105"/>
      <c r="T2123" s="105"/>
      <c r="U2123" s="105"/>
      <c r="V2123" s="105"/>
      <c r="W2123" s="105"/>
      <c r="X2123" s="11"/>
      <c r="Y2123" s="11"/>
      <c r="Z2123" s="105"/>
      <c r="AA2123" s="11"/>
      <c r="AB2123" s="11"/>
      <c r="AC2123" s="105"/>
      <c r="AD2123" s="11" t="b">
        <v>0</v>
      </c>
      <c r="AE2123" s="105"/>
      <c r="AF2123" s="11"/>
      <c r="AG2123" s="11"/>
      <c r="AH2123" s="11"/>
      <c r="AI2123" s="11"/>
    </row>
    <row r="2124" ht="12.5" spans="3:35">
      <c r="C2124" s="19"/>
      <c r="D2124" s="19"/>
      <c r="H2124" s="105"/>
      <c r="I2124" s="126"/>
      <c r="J2124" s="11"/>
      <c r="K2124" s="108"/>
      <c r="L2124" s="11"/>
      <c r="M2124" s="105"/>
      <c r="N2124" s="105"/>
      <c r="O2124" s="11"/>
      <c r="P2124" s="11"/>
      <c r="Q2124" s="105"/>
      <c r="R2124" s="105"/>
      <c r="S2124" s="105"/>
      <c r="T2124" s="105"/>
      <c r="U2124" s="105"/>
      <c r="V2124" s="105"/>
      <c r="W2124" s="105"/>
      <c r="X2124" s="11"/>
      <c r="Y2124" s="11"/>
      <c r="Z2124" s="105"/>
      <c r="AA2124" s="11"/>
      <c r="AB2124" s="11"/>
      <c r="AC2124" s="105"/>
      <c r="AD2124" s="11" t="b">
        <v>0</v>
      </c>
      <c r="AE2124" s="105"/>
      <c r="AF2124" s="11"/>
      <c r="AG2124" s="11"/>
      <c r="AH2124" s="11"/>
      <c r="AI2124" s="11"/>
    </row>
    <row r="2125" ht="12.5" spans="3:35">
      <c r="C2125" s="19"/>
      <c r="D2125" s="19"/>
      <c r="H2125" s="105"/>
      <c r="I2125" s="126"/>
      <c r="J2125" s="11"/>
      <c r="K2125" s="108"/>
      <c r="L2125" s="11"/>
      <c r="M2125" s="105"/>
      <c r="N2125" s="105"/>
      <c r="O2125" s="11"/>
      <c r="P2125" s="11"/>
      <c r="Q2125" s="105"/>
      <c r="R2125" s="105"/>
      <c r="S2125" s="105"/>
      <c r="T2125" s="105"/>
      <c r="U2125" s="105"/>
      <c r="V2125" s="105"/>
      <c r="W2125" s="105"/>
      <c r="X2125" s="11"/>
      <c r="Y2125" s="11"/>
      <c r="Z2125" s="105"/>
      <c r="AA2125" s="11"/>
      <c r="AB2125" s="11"/>
      <c r="AC2125" s="105"/>
      <c r="AD2125" s="11" t="b">
        <v>0</v>
      </c>
      <c r="AE2125" s="105"/>
      <c r="AF2125" s="11"/>
      <c r="AG2125" s="11"/>
      <c r="AH2125" s="11"/>
      <c r="AI2125" s="11"/>
    </row>
    <row r="2126" ht="12.5" spans="3:35">
      <c r="C2126" s="19"/>
      <c r="D2126" s="19"/>
      <c r="H2126" s="105"/>
      <c r="I2126" s="126"/>
      <c r="J2126" s="11"/>
      <c r="K2126" s="108"/>
      <c r="L2126" s="11"/>
      <c r="M2126" s="105"/>
      <c r="N2126" s="105"/>
      <c r="O2126" s="11"/>
      <c r="P2126" s="11"/>
      <c r="Q2126" s="105"/>
      <c r="R2126" s="105"/>
      <c r="S2126" s="105"/>
      <c r="T2126" s="105"/>
      <c r="U2126" s="105"/>
      <c r="V2126" s="105"/>
      <c r="W2126" s="105"/>
      <c r="X2126" s="11"/>
      <c r="Y2126" s="11"/>
      <c r="Z2126" s="105"/>
      <c r="AA2126" s="11"/>
      <c r="AB2126" s="11"/>
      <c r="AC2126" s="105"/>
      <c r="AD2126" s="11" t="b">
        <v>0</v>
      </c>
      <c r="AE2126" s="105"/>
      <c r="AF2126" s="11"/>
      <c r="AG2126" s="11"/>
      <c r="AH2126" s="11"/>
      <c r="AI2126" s="11"/>
    </row>
    <row r="2127" ht="12.5" spans="3:35">
      <c r="C2127" s="19"/>
      <c r="D2127" s="19"/>
      <c r="H2127" s="105"/>
      <c r="I2127" s="126"/>
      <c r="J2127" s="11"/>
      <c r="K2127" s="108"/>
      <c r="L2127" s="11"/>
      <c r="M2127" s="105"/>
      <c r="N2127" s="105"/>
      <c r="O2127" s="11"/>
      <c r="P2127" s="11"/>
      <c r="Q2127" s="105"/>
      <c r="R2127" s="105"/>
      <c r="S2127" s="105"/>
      <c r="T2127" s="105"/>
      <c r="U2127" s="105"/>
      <c r="V2127" s="105"/>
      <c r="W2127" s="105"/>
      <c r="X2127" s="11"/>
      <c r="Y2127" s="11"/>
      <c r="Z2127" s="105"/>
      <c r="AA2127" s="11"/>
      <c r="AB2127" s="11"/>
      <c r="AC2127" s="105"/>
      <c r="AD2127" s="11" t="b">
        <v>0</v>
      </c>
      <c r="AE2127" s="105"/>
      <c r="AF2127" s="11"/>
      <c r="AG2127" s="11"/>
      <c r="AH2127" s="11"/>
      <c r="AI2127" s="11"/>
    </row>
    <row r="2128" ht="12.5" spans="3:35">
      <c r="C2128" s="19"/>
      <c r="D2128" s="19"/>
      <c r="H2128" s="105"/>
      <c r="I2128" s="126"/>
      <c r="J2128" s="11"/>
      <c r="K2128" s="108"/>
      <c r="L2128" s="11"/>
      <c r="M2128" s="105"/>
      <c r="N2128" s="105"/>
      <c r="O2128" s="11"/>
      <c r="P2128" s="11"/>
      <c r="Q2128" s="105"/>
      <c r="R2128" s="105"/>
      <c r="S2128" s="105"/>
      <c r="T2128" s="105"/>
      <c r="U2128" s="105"/>
      <c r="V2128" s="105"/>
      <c r="W2128" s="105"/>
      <c r="X2128" s="11"/>
      <c r="Y2128" s="11"/>
      <c r="Z2128" s="105"/>
      <c r="AA2128" s="11"/>
      <c r="AB2128" s="11"/>
      <c r="AC2128" s="105"/>
      <c r="AD2128" s="11" t="b">
        <v>0</v>
      </c>
      <c r="AE2128" s="105"/>
      <c r="AF2128" s="11"/>
      <c r="AG2128" s="11"/>
      <c r="AH2128" s="11"/>
      <c r="AI2128" s="11"/>
    </row>
    <row r="2129" ht="12.5" spans="3:35">
      <c r="C2129" s="19"/>
      <c r="D2129" s="19"/>
      <c r="H2129" s="105"/>
      <c r="I2129" s="126"/>
      <c r="J2129" s="11"/>
      <c r="K2129" s="108"/>
      <c r="L2129" s="11"/>
      <c r="M2129" s="105"/>
      <c r="N2129" s="105"/>
      <c r="O2129" s="11"/>
      <c r="P2129" s="11"/>
      <c r="Q2129" s="105"/>
      <c r="R2129" s="105"/>
      <c r="S2129" s="105"/>
      <c r="T2129" s="105"/>
      <c r="U2129" s="105"/>
      <c r="V2129" s="105"/>
      <c r="W2129" s="105"/>
      <c r="X2129" s="11"/>
      <c r="Y2129" s="11"/>
      <c r="Z2129" s="105"/>
      <c r="AA2129" s="11"/>
      <c r="AB2129" s="11"/>
      <c r="AC2129" s="105"/>
      <c r="AD2129" s="11" t="b">
        <v>0</v>
      </c>
      <c r="AE2129" s="105"/>
      <c r="AF2129" s="11"/>
      <c r="AG2129" s="11"/>
      <c r="AH2129" s="11"/>
      <c r="AI2129" s="11"/>
    </row>
    <row r="2130" ht="12.5" spans="3:35">
      <c r="C2130" s="19"/>
      <c r="D2130" s="19"/>
      <c r="H2130" s="105"/>
      <c r="I2130" s="126"/>
      <c r="J2130" s="11"/>
      <c r="K2130" s="108"/>
      <c r="L2130" s="11"/>
      <c r="M2130" s="105"/>
      <c r="N2130" s="105"/>
      <c r="O2130" s="11"/>
      <c r="P2130" s="11"/>
      <c r="Q2130" s="105"/>
      <c r="R2130" s="105"/>
      <c r="S2130" s="105"/>
      <c r="T2130" s="105"/>
      <c r="U2130" s="105"/>
      <c r="V2130" s="105"/>
      <c r="W2130" s="105"/>
      <c r="X2130" s="11"/>
      <c r="Y2130" s="11"/>
      <c r="Z2130" s="105"/>
      <c r="AA2130" s="11"/>
      <c r="AB2130" s="11"/>
      <c r="AC2130" s="105"/>
      <c r="AD2130" s="11" t="b">
        <v>0</v>
      </c>
      <c r="AE2130" s="105"/>
      <c r="AF2130" s="11"/>
      <c r="AG2130" s="11"/>
      <c r="AH2130" s="11"/>
      <c r="AI2130" s="11"/>
    </row>
    <row r="2131" ht="12.5" spans="3:35">
      <c r="C2131" s="19"/>
      <c r="D2131" s="19"/>
      <c r="H2131" s="105"/>
      <c r="I2131" s="126"/>
      <c r="J2131" s="11"/>
      <c r="K2131" s="108"/>
      <c r="L2131" s="11"/>
      <c r="M2131" s="105"/>
      <c r="N2131" s="105"/>
      <c r="O2131" s="11"/>
      <c r="P2131" s="11"/>
      <c r="Q2131" s="105"/>
      <c r="R2131" s="105"/>
      <c r="S2131" s="105"/>
      <c r="T2131" s="105"/>
      <c r="U2131" s="105"/>
      <c r="V2131" s="105"/>
      <c r="W2131" s="105"/>
      <c r="X2131" s="11"/>
      <c r="Y2131" s="11"/>
      <c r="Z2131" s="105"/>
      <c r="AA2131" s="11"/>
      <c r="AB2131" s="11"/>
      <c r="AC2131" s="105"/>
      <c r="AD2131" s="11" t="b">
        <v>0</v>
      </c>
      <c r="AE2131" s="105"/>
      <c r="AF2131" s="11"/>
      <c r="AG2131" s="11"/>
      <c r="AH2131" s="11"/>
      <c r="AI2131" s="11"/>
    </row>
    <row r="2132" ht="12.5" spans="3:35">
      <c r="C2132" s="19"/>
      <c r="D2132" s="19"/>
      <c r="H2132" s="105"/>
      <c r="I2132" s="126"/>
      <c r="J2132" s="11"/>
      <c r="K2132" s="108"/>
      <c r="L2132" s="11"/>
      <c r="M2132" s="105"/>
      <c r="N2132" s="105"/>
      <c r="O2132" s="11"/>
      <c r="P2132" s="11"/>
      <c r="Q2132" s="105"/>
      <c r="R2132" s="105"/>
      <c r="S2132" s="105"/>
      <c r="T2132" s="105"/>
      <c r="U2132" s="105"/>
      <c r="V2132" s="105"/>
      <c r="W2132" s="105"/>
      <c r="X2132" s="11"/>
      <c r="Y2132" s="11"/>
      <c r="Z2132" s="105"/>
      <c r="AA2132" s="11"/>
      <c r="AB2132" s="11"/>
      <c r="AC2132" s="105"/>
      <c r="AD2132" s="11" t="b">
        <v>0</v>
      </c>
      <c r="AE2132" s="105"/>
      <c r="AF2132" s="11"/>
      <c r="AG2132" s="11"/>
      <c r="AH2132" s="11"/>
      <c r="AI2132" s="11"/>
    </row>
    <row r="2133" ht="12.5" spans="3:35">
      <c r="C2133" s="19"/>
      <c r="D2133" s="19"/>
      <c r="H2133" s="105"/>
      <c r="I2133" s="126"/>
      <c r="J2133" s="11"/>
      <c r="K2133" s="108"/>
      <c r="L2133" s="11"/>
      <c r="M2133" s="105"/>
      <c r="N2133" s="105"/>
      <c r="O2133" s="11"/>
      <c r="P2133" s="11"/>
      <c r="Q2133" s="105"/>
      <c r="R2133" s="105"/>
      <c r="S2133" s="105"/>
      <c r="T2133" s="105"/>
      <c r="U2133" s="105"/>
      <c r="V2133" s="105"/>
      <c r="W2133" s="105"/>
      <c r="X2133" s="11"/>
      <c r="Y2133" s="11"/>
      <c r="Z2133" s="105"/>
      <c r="AA2133" s="11"/>
      <c r="AB2133" s="11"/>
      <c r="AC2133" s="105"/>
      <c r="AD2133" s="11" t="b">
        <v>0</v>
      </c>
      <c r="AE2133" s="105"/>
      <c r="AF2133" s="11"/>
      <c r="AG2133" s="11"/>
      <c r="AH2133" s="11"/>
      <c r="AI2133" s="11"/>
    </row>
    <row r="2134" ht="12.5" spans="3:35">
      <c r="C2134" s="19"/>
      <c r="D2134" s="19"/>
      <c r="H2134" s="105"/>
      <c r="I2134" s="126"/>
      <c r="J2134" s="11"/>
      <c r="K2134" s="108"/>
      <c r="L2134" s="11"/>
      <c r="M2134" s="105"/>
      <c r="N2134" s="105"/>
      <c r="O2134" s="11"/>
      <c r="P2134" s="11"/>
      <c r="Q2134" s="105"/>
      <c r="R2134" s="105"/>
      <c r="S2134" s="105"/>
      <c r="T2134" s="105"/>
      <c r="U2134" s="105"/>
      <c r="V2134" s="105"/>
      <c r="W2134" s="105"/>
      <c r="X2134" s="11"/>
      <c r="Y2134" s="11"/>
      <c r="Z2134" s="105"/>
      <c r="AA2134" s="11"/>
      <c r="AB2134" s="11"/>
      <c r="AC2134" s="105"/>
      <c r="AD2134" s="11" t="b">
        <v>0</v>
      </c>
      <c r="AE2134" s="105"/>
      <c r="AF2134" s="11"/>
      <c r="AG2134" s="11"/>
      <c r="AH2134" s="11"/>
      <c r="AI2134" s="11"/>
    </row>
    <row r="2135" ht="12.5" spans="3:35">
      <c r="C2135" s="19"/>
      <c r="D2135" s="19"/>
      <c r="H2135" s="105"/>
      <c r="I2135" s="126"/>
      <c r="J2135" s="11"/>
      <c r="K2135" s="108"/>
      <c r="L2135" s="11"/>
      <c r="M2135" s="105"/>
      <c r="N2135" s="105"/>
      <c r="O2135" s="11"/>
      <c r="P2135" s="11"/>
      <c r="Q2135" s="105"/>
      <c r="R2135" s="105"/>
      <c r="S2135" s="105"/>
      <c r="T2135" s="105"/>
      <c r="U2135" s="105"/>
      <c r="V2135" s="105"/>
      <c r="W2135" s="105"/>
      <c r="X2135" s="11"/>
      <c r="Y2135" s="11"/>
      <c r="Z2135" s="105"/>
      <c r="AA2135" s="11"/>
      <c r="AB2135" s="11"/>
      <c r="AC2135" s="105"/>
      <c r="AD2135" s="11" t="b">
        <v>0</v>
      </c>
      <c r="AE2135" s="105"/>
      <c r="AF2135" s="11"/>
      <c r="AG2135" s="11"/>
      <c r="AH2135" s="11"/>
      <c r="AI2135" s="11"/>
    </row>
    <row r="2136" ht="12.5" spans="3:35">
      <c r="C2136" s="19"/>
      <c r="D2136" s="19"/>
      <c r="H2136" s="105"/>
      <c r="I2136" s="126"/>
      <c r="J2136" s="11"/>
      <c r="K2136" s="108"/>
      <c r="L2136" s="11"/>
      <c r="M2136" s="105"/>
      <c r="N2136" s="105"/>
      <c r="O2136" s="11"/>
      <c r="P2136" s="11"/>
      <c r="Q2136" s="105"/>
      <c r="R2136" s="105"/>
      <c r="S2136" s="105"/>
      <c r="T2136" s="105"/>
      <c r="U2136" s="105"/>
      <c r="V2136" s="105"/>
      <c r="W2136" s="105"/>
      <c r="X2136" s="11"/>
      <c r="Y2136" s="11"/>
      <c r="Z2136" s="105"/>
      <c r="AA2136" s="11"/>
      <c r="AB2136" s="11"/>
      <c r="AC2136" s="105"/>
      <c r="AD2136" s="11" t="b">
        <v>0</v>
      </c>
      <c r="AE2136" s="105"/>
      <c r="AF2136" s="11"/>
      <c r="AG2136" s="11"/>
      <c r="AH2136" s="11"/>
      <c r="AI2136" s="11"/>
    </row>
    <row r="2137" ht="12.5" spans="3:35">
      <c r="C2137" s="19"/>
      <c r="D2137" s="19"/>
      <c r="H2137" s="105"/>
      <c r="I2137" s="126"/>
      <c r="J2137" s="11"/>
      <c r="K2137" s="108"/>
      <c r="L2137" s="11"/>
      <c r="M2137" s="105"/>
      <c r="N2137" s="105"/>
      <c r="O2137" s="11"/>
      <c r="P2137" s="11"/>
      <c r="Q2137" s="105"/>
      <c r="R2137" s="105"/>
      <c r="S2137" s="105"/>
      <c r="T2137" s="105"/>
      <c r="U2137" s="105"/>
      <c r="V2137" s="105"/>
      <c r="W2137" s="105"/>
      <c r="X2137" s="11"/>
      <c r="Y2137" s="11"/>
      <c r="Z2137" s="105"/>
      <c r="AA2137" s="11"/>
      <c r="AB2137" s="11"/>
      <c r="AC2137" s="105"/>
      <c r="AD2137" s="11" t="b">
        <v>0</v>
      </c>
      <c r="AE2137" s="105"/>
      <c r="AF2137" s="11"/>
      <c r="AG2137" s="11"/>
      <c r="AH2137" s="11"/>
      <c r="AI2137" s="11"/>
    </row>
    <row r="2138" ht="12.5" spans="3:35">
      <c r="C2138" s="19"/>
      <c r="D2138" s="19"/>
      <c r="H2138" s="105"/>
      <c r="I2138" s="126"/>
      <c r="J2138" s="11"/>
      <c r="K2138" s="108"/>
      <c r="L2138" s="11"/>
      <c r="M2138" s="105"/>
      <c r="N2138" s="105"/>
      <c r="O2138" s="11"/>
      <c r="P2138" s="11"/>
      <c r="Q2138" s="105"/>
      <c r="R2138" s="105"/>
      <c r="S2138" s="105"/>
      <c r="T2138" s="105"/>
      <c r="U2138" s="105"/>
      <c r="V2138" s="105"/>
      <c r="W2138" s="105"/>
      <c r="X2138" s="11"/>
      <c r="Y2138" s="11"/>
      <c r="Z2138" s="105"/>
      <c r="AA2138" s="11"/>
      <c r="AB2138" s="11"/>
      <c r="AC2138" s="105"/>
      <c r="AD2138" s="11" t="b">
        <v>0</v>
      </c>
      <c r="AE2138" s="105"/>
      <c r="AF2138" s="11"/>
      <c r="AG2138" s="11"/>
      <c r="AH2138" s="11"/>
      <c r="AI2138" s="11"/>
    </row>
    <row r="2139" ht="12.5" spans="3:35">
      <c r="C2139" s="19"/>
      <c r="D2139" s="19"/>
      <c r="H2139" s="105"/>
      <c r="I2139" s="126"/>
      <c r="J2139" s="11"/>
      <c r="K2139" s="108"/>
      <c r="L2139" s="11"/>
      <c r="M2139" s="105"/>
      <c r="N2139" s="105"/>
      <c r="O2139" s="11"/>
      <c r="P2139" s="11"/>
      <c r="Q2139" s="105"/>
      <c r="R2139" s="105"/>
      <c r="S2139" s="105"/>
      <c r="T2139" s="105"/>
      <c r="U2139" s="105"/>
      <c r="V2139" s="105"/>
      <c r="W2139" s="105"/>
      <c r="X2139" s="11"/>
      <c r="Y2139" s="11"/>
      <c r="Z2139" s="105"/>
      <c r="AA2139" s="11"/>
      <c r="AB2139" s="11"/>
      <c r="AC2139" s="105"/>
      <c r="AD2139" s="11" t="b">
        <v>0</v>
      </c>
      <c r="AE2139" s="105"/>
      <c r="AF2139" s="11"/>
      <c r="AG2139" s="11"/>
      <c r="AH2139" s="11"/>
      <c r="AI2139" s="11"/>
    </row>
    <row r="2140" ht="12.5" spans="3:35">
      <c r="C2140" s="19"/>
      <c r="D2140" s="19"/>
      <c r="H2140" s="105"/>
      <c r="I2140" s="126"/>
      <c r="J2140" s="11"/>
      <c r="K2140" s="108"/>
      <c r="L2140" s="11"/>
      <c r="M2140" s="105"/>
      <c r="N2140" s="105"/>
      <c r="O2140" s="11"/>
      <c r="P2140" s="11"/>
      <c r="Q2140" s="105"/>
      <c r="R2140" s="105"/>
      <c r="S2140" s="105"/>
      <c r="T2140" s="105"/>
      <c r="U2140" s="105"/>
      <c r="V2140" s="105"/>
      <c r="W2140" s="105"/>
      <c r="X2140" s="11"/>
      <c r="Y2140" s="11"/>
      <c r="Z2140" s="105"/>
      <c r="AA2140" s="11"/>
      <c r="AB2140" s="11"/>
      <c r="AC2140" s="105"/>
      <c r="AD2140" s="11" t="b">
        <v>0</v>
      </c>
      <c r="AE2140" s="105"/>
      <c r="AF2140" s="11"/>
      <c r="AG2140" s="11"/>
      <c r="AH2140" s="11"/>
      <c r="AI2140" s="11"/>
    </row>
    <row r="2141" ht="12.5" spans="3:35">
      <c r="C2141" s="19"/>
      <c r="D2141" s="19"/>
      <c r="H2141" s="105"/>
      <c r="I2141" s="126"/>
      <c r="J2141" s="11"/>
      <c r="K2141" s="108"/>
      <c r="L2141" s="11"/>
      <c r="M2141" s="105"/>
      <c r="N2141" s="105"/>
      <c r="O2141" s="11"/>
      <c r="P2141" s="11"/>
      <c r="Q2141" s="105"/>
      <c r="R2141" s="105"/>
      <c r="S2141" s="105"/>
      <c r="T2141" s="105"/>
      <c r="U2141" s="105"/>
      <c r="V2141" s="105"/>
      <c r="W2141" s="105"/>
      <c r="X2141" s="11"/>
      <c r="Y2141" s="11"/>
      <c r="Z2141" s="105"/>
      <c r="AA2141" s="11"/>
      <c r="AB2141" s="11"/>
      <c r="AC2141" s="105"/>
      <c r="AD2141" s="11" t="b">
        <v>0</v>
      </c>
      <c r="AE2141" s="105"/>
      <c r="AF2141" s="11"/>
      <c r="AG2141" s="11"/>
      <c r="AH2141" s="11"/>
      <c r="AI2141" s="11"/>
    </row>
    <row r="2142" ht="12.5" spans="3:35">
      <c r="C2142" s="19"/>
      <c r="D2142" s="19"/>
      <c r="H2142" s="105"/>
      <c r="I2142" s="126"/>
      <c r="J2142" s="11"/>
      <c r="K2142" s="108"/>
      <c r="L2142" s="11"/>
      <c r="M2142" s="105"/>
      <c r="N2142" s="105"/>
      <c r="O2142" s="11"/>
      <c r="P2142" s="11"/>
      <c r="Q2142" s="105"/>
      <c r="R2142" s="105"/>
      <c r="S2142" s="105"/>
      <c r="T2142" s="105"/>
      <c r="U2142" s="105"/>
      <c r="V2142" s="105"/>
      <c r="W2142" s="105"/>
      <c r="X2142" s="11"/>
      <c r="Y2142" s="11"/>
      <c r="Z2142" s="105"/>
      <c r="AA2142" s="11"/>
      <c r="AB2142" s="11"/>
      <c r="AC2142" s="105"/>
      <c r="AD2142" s="11" t="b">
        <v>0</v>
      </c>
      <c r="AE2142" s="105"/>
      <c r="AF2142" s="11"/>
      <c r="AG2142" s="11"/>
      <c r="AH2142" s="11"/>
      <c r="AI2142" s="11"/>
    </row>
    <row r="2143" ht="12.5" spans="3:35">
      <c r="C2143" s="19"/>
      <c r="D2143" s="19"/>
      <c r="H2143" s="105"/>
      <c r="I2143" s="126"/>
      <c r="J2143" s="11"/>
      <c r="K2143" s="108"/>
      <c r="L2143" s="11"/>
      <c r="M2143" s="105"/>
      <c r="N2143" s="105"/>
      <c r="O2143" s="11"/>
      <c r="P2143" s="11"/>
      <c r="Q2143" s="105"/>
      <c r="R2143" s="105"/>
      <c r="S2143" s="105"/>
      <c r="T2143" s="105"/>
      <c r="U2143" s="105"/>
      <c r="V2143" s="105"/>
      <c r="W2143" s="105"/>
      <c r="X2143" s="11"/>
      <c r="Y2143" s="11"/>
      <c r="Z2143" s="105"/>
      <c r="AA2143" s="11"/>
      <c r="AB2143" s="11"/>
      <c r="AC2143" s="105"/>
      <c r="AD2143" s="11" t="b">
        <v>0</v>
      </c>
      <c r="AE2143" s="105"/>
      <c r="AF2143" s="11"/>
      <c r="AG2143" s="11"/>
      <c r="AH2143" s="11"/>
      <c r="AI2143" s="11"/>
    </row>
    <row r="2144" ht="12.5" spans="3:35">
      <c r="C2144" s="19"/>
      <c r="D2144" s="19"/>
      <c r="H2144" s="105"/>
      <c r="I2144" s="126"/>
      <c r="J2144" s="11"/>
      <c r="K2144" s="108"/>
      <c r="L2144" s="11"/>
      <c r="M2144" s="105"/>
      <c r="N2144" s="105"/>
      <c r="O2144" s="11"/>
      <c r="P2144" s="11"/>
      <c r="Q2144" s="105"/>
      <c r="R2144" s="105"/>
      <c r="S2144" s="105"/>
      <c r="T2144" s="105"/>
      <c r="U2144" s="105"/>
      <c r="V2144" s="105"/>
      <c r="W2144" s="105"/>
      <c r="X2144" s="11"/>
      <c r="Y2144" s="11"/>
      <c r="Z2144" s="105"/>
      <c r="AA2144" s="11"/>
      <c r="AB2144" s="11"/>
      <c r="AC2144" s="105"/>
      <c r="AD2144" s="11" t="b">
        <v>0</v>
      </c>
      <c r="AE2144" s="105"/>
      <c r="AF2144" s="11"/>
      <c r="AG2144" s="11"/>
      <c r="AH2144" s="11"/>
      <c r="AI2144" s="11"/>
    </row>
    <row r="2145" ht="12.5" spans="3:35">
      <c r="C2145" s="19"/>
      <c r="D2145" s="19"/>
      <c r="H2145" s="105"/>
      <c r="I2145" s="126"/>
      <c r="J2145" s="11"/>
      <c r="K2145" s="108"/>
      <c r="L2145" s="11"/>
      <c r="M2145" s="105"/>
      <c r="N2145" s="105"/>
      <c r="O2145" s="11"/>
      <c r="P2145" s="11"/>
      <c r="Q2145" s="105"/>
      <c r="R2145" s="105"/>
      <c r="S2145" s="105"/>
      <c r="T2145" s="105"/>
      <c r="U2145" s="105"/>
      <c r="V2145" s="105"/>
      <c r="W2145" s="105"/>
      <c r="X2145" s="11"/>
      <c r="Y2145" s="11"/>
      <c r="Z2145" s="105"/>
      <c r="AA2145" s="11"/>
      <c r="AB2145" s="11"/>
      <c r="AC2145" s="105"/>
      <c r="AD2145" s="11" t="b">
        <v>0</v>
      </c>
      <c r="AE2145" s="105"/>
      <c r="AF2145" s="11"/>
      <c r="AG2145" s="11"/>
      <c r="AH2145" s="11"/>
      <c r="AI2145" s="11"/>
    </row>
    <row r="2146" ht="12.5" spans="3:35">
      <c r="C2146" s="19"/>
      <c r="D2146" s="19"/>
      <c r="H2146" s="105"/>
      <c r="I2146" s="126"/>
      <c r="J2146" s="11"/>
      <c r="K2146" s="108"/>
      <c r="L2146" s="11"/>
      <c r="M2146" s="105"/>
      <c r="N2146" s="105"/>
      <c r="O2146" s="11"/>
      <c r="P2146" s="11"/>
      <c r="Q2146" s="105"/>
      <c r="R2146" s="105"/>
      <c r="S2146" s="105"/>
      <c r="T2146" s="105"/>
      <c r="U2146" s="105"/>
      <c r="V2146" s="105"/>
      <c r="W2146" s="105"/>
      <c r="X2146" s="11"/>
      <c r="Y2146" s="11"/>
      <c r="Z2146" s="105"/>
      <c r="AA2146" s="11"/>
      <c r="AB2146" s="11"/>
      <c r="AC2146" s="105"/>
      <c r="AD2146" s="11" t="b">
        <v>0</v>
      </c>
      <c r="AE2146" s="105"/>
      <c r="AF2146" s="11"/>
      <c r="AG2146" s="11"/>
      <c r="AH2146" s="11"/>
      <c r="AI2146" s="11"/>
    </row>
    <row r="2147" ht="12.5" spans="3:35">
      <c r="C2147" s="19"/>
      <c r="D2147" s="19"/>
      <c r="H2147" s="105"/>
      <c r="I2147" s="126"/>
      <c r="J2147" s="11"/>
      <c r="K2147" s="108"/>
      <c r="L2147" s="11"/>
      <c r="M2147" s="105"/>
      <c r="N2147" s="105"/>
      <c r="O2147" s="11"/>
      <c r="P2147" s="11"/>
      <c r="Q2147" s="105"/>
      <c r="R2147" s="105"/>
      <c r="S2147" s="105"/>
      <c r="T2147" s="105"/>
      <c r="U2147" s="105"/>
      <c r="V2147" s="105"/>
      <c r="W2147" s="105"/>
      <c r="X2147" s="11"/>
      <c r="Y2147" s="11"/>
      <c r="Z2147" s="105"/>
      <c r="AA2147" s="11"/>
      <c r="AB2147" s="11"/>
      <c r="AC2147" s="105"/>
      <c r="AD2147" s="11" t="b">
        <v>0</v>
      </c>
      <c r="AE2147" s="105"/>
      <c r="AF2147" s="11"/>
      <c r="AG2147" s="11"/>
      <c r="AH2147" s="11"/>
      <c r="AI2147" s="11"/>
    </row>
    <row r="2148" ht="12.5" spans="3:35">
      <c r="C2148" s="19"/>
      <c r="D2148" s="19"/>
      <c r="H2148" s="105"/>
      <c r="I2148" s="126"/>
      <c r="J2148" s="11"/>
      <c r="K2148" s="108"/>
      <c r="L2148" s="11"/>
      <c r="M2148" s="105"/>
      <c r="N2148" s="105"/>
      <c r="O2148" s="11"/>
      <c r="P2148" s="11"/>
      <c r="Q2148" s="105"/>
      <c r="R2148" s="105"/>
      <c r="S2148" s="105"/>
      <c r="T2148" s="105"/>
      <c r="U2148" s="105"/>
      <c r="V2148" s="105"/>
      <c r="W2148" s="105"/>
      <c r="X2148" s="11"/>
      <c r="Y2148" s="11"/>
      <c r="Z2148" s="105"/>
      <c r="AA2148" s="11"/>
      <c r="AB2148" s="11"/>
      <c r="AC2148" s="105"/>
      <c r="AD2148" s="11" t="b">
        <v>0</v>
      </c>
      <c r="AE2148" s="105"/>
      <c r="AF2148" s="11"/>
      <c r="AG2148" s="11"/>
      <c r="AH2148" s="11"/>
      <c r="AI2148" s="11"/>
    </row>
    <row r="2149" ht="12.5" spans="3:35">
      <c r="C2149" s="19"/>
      <c r="D2149" s="19"/>
      <c r="H2149" s="105"/>
      <c r="I2149" s="126"/>
      <c r="J2149" s="11"/>
      <c r="K2149" s="108"/>
      <c r="L2149" s="11"/>
      <c r="M2149" s="105"/>
      <c r="N2149" s="105"/>
      <c r="O2149" s="11"/>
      <c r="P2149" s="11"/>
      <c r="Q2149" s="105"/>
      <c r="R2149" s="105"/>
      <c r="S2149" s="105"/>
      <c r="T2149" s="105"/>
      <c r="U2149" s="105"/>
      <c r="V2149" s="105"/>
      <c r="W2149" s="105"/>
      <c r="X2149" s="11"/>
      <c r="Y2149" s="11"/>
      <c r="Z2149" s="105"/>
      <c r="AA2149" s="11"/>
      <c r="AB2149" s="11"/>
      <c r="AC2149" s="105"/>
      <c r="AD2149" s="11" t="b">
        <v>0</v>
      </c>
      <c r="AE2149" s="105"/>
      <c r="AF2149" s="11"/>
      <c r="AG2149" s="11"/>
      <c r="AH2149" s="11"/>
      <c r="AI2149" s="11"/>
    </row>
    <row r="2150" ht="12.5" spans="3:35">
      <c r="C2150" s="19"/>
      <c r="D2150" s="19"/>
      <c r="H2150" s="105"/>
      <c r="I2150" s="126"/>
      <c r="J2150" s="11"/>
      <c r="K2150" s="108"/>
      <c r="L2150" s="11"/>
      <c r="M2150" s="105"/>
      <c r="N2150" s="105"/>
      <c r="O2150" s="11"/>
      <c r="P2150" s="11"/>
      <c r="Q2150" s="105"/>
      <c r="R2150" s="105"/>
      <c r="S2150" s="105"/>
      <c r="T2150" s="105"/>
      <c r="U2150" s="105"/>
      <c r="V2150" s="105"/>
      <c r="W2150" s="105"/>
      <c r="X2150" s="11"/>
      <c r="Y2150" s="11"/>
      <c r="Z2150" s="105"/>
      <c r="AA2150" s="11"/>
      <c r="AB2150" s="11"/>
      <c r="AC2150" s="105"/>
      <c r="AD2150" s="11" t="b">
        <v>0</v>
      </c>
      <c r="AE2150" s="105"/>
      <c r="AF2150" s="11"/>
      <c r="AG2150" s="11"/>
      <c r="AH2150" s="11"/>
      <c r="AI2150" s="11"/>
    </row>
    <row r="2151" ht="12.5" spans="3:35">
      <c r="C2151" s="19"/>
      <c r="D2151" s="19"/>
      <c r="H2151" s="105"/>
      <c r="I2151" s="126"/>
      <c r="J2151" s="11"/>
      <c r="K2151" s="108"/>
      <c r="L2151" s="11"/>
      <c r="M2151" s="105"/>
      <c r="N2151" s="105"/>
      <c r="O2151" s="11"/>
      <c r="P2151" s="11"/>
      <c r="Q2151" s="105"/>
      <c r="R2151" s="105"/>
      <c r="S2151" s="105"/>
      <c r="T2151" s="105"/>
      <c r="U2151" s="105"/>
      <c r="V2151" s="105"/>
      <c r="W2151" s="105"/>
      <c r="X2151" s="11"/>
      <c r="Y2151" s="11"/>
      <c r="Z2151" s="105"/>
      <c r="AA2151" s="11"/>
      <c r="AB2151" s="11"/>
      <c r="AC2151" s="105"/>
      <c r="AD2151" s="11" t="b">
        <v>0</v>
      </c>
      <c r="AE2151" s="105"/>
      <c r="AF2151" s="11"/>
      <c r="AG2151" s="11"/>
      <c r="AH2151" s="11"/>
      <c r="AI2151" s="11"/>
    </row>
    <row r="2152" ht="12.5" spans="3:35">
      <c r="C2152" s="19"/>
      <c r="D2152" s="19"/>
      <c r="H2152" s="105"/>
      <c r="I2152" s="126"/>
      <c r="J2152" s="11"/>
      <c r="K2152" s="108"/>
      <c r="L2152" s="11"/>
      <c r="M2152" s="105"/>
      <c r="N2152" s="105"/>
      <c r="O2152" s="11"/>
      <c r="P2152" s="11"/>
      <c r="Q2152" s="105"/>
      <c r="R2152" s="105"/>
      <c r="S2152" s="105"/>
      <c r="T2152" s="105"/>
      <c r="U2152" s="105"/>
      <c r="V2152" s="105"/>
      <c r="W2152" s="105"/>
      <c r="X2152" s="11"/>
      <c r="Y2152" s="11"/>
      <c r="Z2152" s="105"/>
      <c r="AA2152" s="11"/>
      <c r="AB2152" s="11"/>
      <c r="AC2152" s="105"/>
      <c r="AD2152" s="11" t="b">
        <v>0</v>
      </c>
      <c r="AE2152" s="105"/>
      <c r="AF2152" s="11"/>
      <c r="AG2152" s="11"/>
      <c r="AH2152" s="11"/>
      <c r="AI2152" s="11"/>
    </row>
    <row r="2153" ht="12.5" spans="3:35">
      <c r="C2153" s="19"/>
      <c r="D2153" s="19"/>
      <c r="H2153" s="105"/>
      <c r="I2153" s="126"/>
      <c r="J2153" s="11"/>
      <c r="K2153" s="108"/>
      <c r="L2153" s="11"/>
      <c r="M2153" s="105"/>
      <c r="N2153" s="105"/>
      <c r="O2153" s="11"/>
      <c r="P2153" s="11"/>
      <c r="Q2153" s="105"/>
      <c r="R2153" s="105"/>
      <c r="S2153" s="105"/>
      <c r="T2153" s="105"/>
      <c r="U2153" s="105"/>
      <c r="V2153" s="105"/>
      <c r="W2153" s="105"/>
      <c r="X2153" s="11"/>
      <c r="Y2153" s="11"/>
      <c r="Z2153" s="105"/>
      <c r="AA2153" s="11"/>
      <c r="AB2153" s="11"/>
      <c r="AC2153" s="105"/>
      <c r="AD2153" s="11" t="b">
        <v>0</v>
      </c>
      <c r="AE2153" s="105"/>
      <c r="AF2153" s="11"/>
      <c r="AG2153" s="11"/>
      <c r="AH2153" s="11"/>
      <c r="AI2153" s="11"/>
    </row>
    <row r="2154" ht="12.5" spans="3:35">
      <c r="C2154" s="19"/>
      <c r="D2154" s="19"/>
      <c r="H2154" s="105"/>
      <c r="I2154" s="126"/>
      <c r="J2154" s="11"/>
      <c r="K2154" s="108"/>
      <c r="L2154" s="11"/>
      <c r="M2154" s="105"/>
      <c r="N2154" s="105"/>
      <c r="O2154" s="11"/>
      <c r="P2154" s="11"/>
      <c r="Q2154" s="105"/>
      <c r="R2154" s="105"/>
      <c r="S2154" s="105"/>
      <c r="T2154" s="105"/>
      <c r="U2154" s="105"/>
      <c r="V2154" s="105"/>
      <c r="W2154" s="105"/>
      <c r="X2154" s="11"/>
      <c r="Y2154" s="11"/>
      <c r="Z2154" s="105"/>
      <c r="AA2154" s="11"/>
      <c r="AB2154" s="11"/>
      <c r="AC2154" s="105"/>
      <c r="AD2154" s="11" t="b">
        <v>0</v>
      </c>
      <c r="AE2154" s="105"/>
      <c r="AF2154" s="11"/>
      <c r="AG2154" s="11"/>
      <c r="AH2154" s="11"/>
      <c r="AI2154" s="11"/>
    </row>
    <row r="2155" ht="12.5" spans="3:35">
      <c r="C2155" s="19"/>
      <c r="D2155" s="19"/>
      <c r="H2155" s="105"/>
      <c r="I2155" s="126"/>
      <c r="J2155" s="11"/>
      <c r="K2155" s="108"/>
      <c r="L2155" s="11"/>
      <c r="M2155" s="105"/>
      <c r="N2155" s="105"/>
      <c r="O2155" s="11"/>
      <c r="P2155" s="11"/>
      <c r="Q2155" s="105"/>
      <c r="R2155" s="105"/>
      <c r="S2155" s="105"/>
      <c r="T2155" s="105"/>
      <c r="U2155" s="105"/>
      <c r="V2155" s="105"/>
      <c r="W2155" s="105"/>
      <c r="X2155" s="11"/>
      <c r="Y2155" s="11"/>
      <c r="Z2155" s="105"/>
      <c r="AA2155" s="11"/>
      <c r="AB2155" s="11"/>
      <c r="AC2155" s="105"/>
      <c r="AD2155" s="11" t="b">
        <v>0</v>
      </c>
      <c r="AE2155" s="105"/>
      <c r="AF2155" s="11"/>
      <c r="AG2155" s="11"/>
      <c r="AH2155" s="11"/>
      <c r="AI2155" s="11"/>
    </row>
    <row r="2156" ht="12.5" spans="3:35">
      <c r="C2156" s="19"/>
      <c r="D2156" s="19"/>
      <c r="H2156" s="105"/>
      <c r="I2156" s="126"/>
      <c r="J2156" s="11"/>
      <c r="K2156" s="108"/>
      <c r="L2156" s="11"/>
      <c r="M2156" s="105"/>
      <c r="N2156" s="105"/>
      <c r="O2156" s="11"/>
      <c r="P2156" s="11"/>
      <c r="Q2156" s="105"/>
      <c r="R2156" s="105"/>
      <c r="S2156" s="105"/>
      <c r="T2156" s="105"/>
      <c r="U2156" s="105"/>
      <c r="V2156" s="105"/>
      <c r="W2156" s="105"/>
      <c r="X2156" s="11"/>
      <c r="Y2156" s="11"/>
      <c r="Z2156" s="105"/>
      <c r="AA2156" s="11"/>
      <c r="AB2156" s="11"/>
      <c r="AC2156" s="105"/>
      <c r="AD2156" s="11" t="b">
        <v>0</v>
      </c>
      <c r="AE2156" s="105"/>
      <c r="AF2156" s="11"/>
      <c r="AG2156" s="11"/>
      <c r="AH2156" s="11"/>
      <c r="AI2156" s="11"/>
    </row>
    <row r="2157" ht="12.5" spans="3:35">
      <c r="C2157" s="19"/>
      <c r="D2157" s="19"/>
      <c r="H2157" s="105"/>
      <c r="I2157" s="126"/>
      <c r="J2157" s="11"/>
      <c r="K2157" s="108"/>
      <c r="L2157" s="11"/>
      <c r="M2157" s="105"/>
      <c r="N2157" s="105"/>
      <c r="O2157" s="11"/>
      <c r="P2157" s="11"/>
      <c r="Q2157" s="105"/>
      <c r="R2157" s="105"/>
      <c r="S2157" s="105"/>
      <c r="T2157" s="105"/>
      <c r="U2157" s="105"/>
      <c r="V2157" s="105"/>
      <c r="W2157" s="105"/>
      <c r="X2157" s="11"/>
      <c r="Y2157" s="11"/>
      <c r="Z2157" s="105"/>
      <c r="AA2157" s="11"/>
      <c r="AB2157" s="11"/>
      <c r="AC2157" s="105"/>
      <c r="AD2157" s="11" t="b">
        <v>0</v>
      </c>
      <c r="AE2157" s="105"/>
      <c r="AF2157" s="11"/>
      <c r="AG2157" s="11"/>
      <c r="AH2157" s="11"/>
      <c r="AI2157" s="11"/>
    </row>
    <row r="2158" ht="12.5" spans="3:35">
      <c r="C2158" s="19"/>
      <c r="D2158" s="19"/>
      <c r="H2158" s="105"/>
      <c r="I2158" s="126"/>
      <c r="J2158" s="11"/>
      <c r="K2158" s="108"/>
      <c r="L2158" s="11"/>
      <c r="M2158" s="105"/>
      <c r="N2158" s="105"/>
      <c r="O2158" s="11"/>
      <c r="P2158" s="11"/>
      <c r="Q2158" s="105"/>
      <c r="R2158" s="105"/>
      <c r="S2158" s="105"/>
      <c r="T2158" s="105"/>
      <c r="U2158" s="105"/>
      <c r="V2158" s="105"/>
      <c r="W2158" s="105"/>
      <c r="X2158" s="11"/>
      <c r="Y2158" s="11"/>
      <c r="Z2158" s="105"/>
      <c r="AA2158" s="11"/>
      <c r="AB2158" s="11"/>
      <c r="AC2158" s="105"/>
      <c r="AD2158" s="11" t="b">
        <v>0</v>
      </c>
      <c r="AE2158" s="105"/>
      <c r="AF2158" s="11"/>
      <c r="AG2158" s="11"/>
      <c r="AH2158" s="11"/>
      <c r="AI2158" s="11"/>
    </row>
    <row r="2159" ht="12.5" spans="3:35">
      <c r="C2159" s="19"/>
      <c r="D2159" s="19"/>
      <c r="H2159" s="105"/>
      <c r="I2159" s="126"/>
      <c r="J2159" s="11"/>
      <c r="K2159" s="108"/>
      <c r="L2159" s="11"/>
      <c r="M2159" s="105"/>
      <c r="N2159" s="105"/>
      <c r="O2159" s="11"/>
      <c r="P2159" s="11"/>
      <c r="Q2159" s="105"/>
      <c r="R2159" s="105"/>
      <c r="S2159" s="105"/>
      <c r="T2159" s="105"/>
      <c r="U2159" s="105"/>
      <c r="V2159" s="105"/>
      <c r="W2159" s="105"/>
      <c r="X2159" s="11"/>
      <c r="Y2159" s="11"/>
      <c r="Z2159" s="105"/>
      <c r="AA2159" s="11"/>
      <c r="AB2159" s="11"/>
      <c r="AC2159" s="105"/>
      <c r="AD2159" s="11" t="b">
        <v>0</v>
      </c>
      <c r="AE2159" s="105"/>
      <c r="AF2159" s="11"/>
      <c r="AG2159" s="11"/>
      <c r="AH2159" s="11"/>
      <c r="AI2159" s="11"/>
    </row>
    <row r="2160" ht="12.5" spans="3:35">
      <c r="C2160" s="19"/>
      <c r="D2160" s="19"/>
      <c r="H2160" s="105"/>
      <c r="I2160" s="126"/>
      <c r="J2160" s="11"/>
      <c r="K2160" s="108"/>
      <c r="L2160" s="11"/>
      <c r="M2160" s="105"/>
      <c r="N2160" s="105"/>
      <c r="O2160" s="11"/>
      <c r="P2160" s="11"/>
      <c r="Q2160" s="105"/>
      <c r="R2160" s="105"/>
      <c r="S2160" s="105"/>
      <c r="T2160" s="105"/>
      <c r="U2160" s="105"/>
      <c r="V2160" s="105"/>
      <c r="W2160" s="105"/>
      <c r="X2160" s="11"/>
      <c r="Y2160" s="11"/>
      <c r="Z2160" s="105"/>
      <c r="AA2160" s="11"/>
      <c r="AB2160" s="11"/>
      <c r="AC2160" s="105"/>
      <c r="AD2160" s="11" t="b">
        <v>0</v>
      </c>
      <c r="AE2160" s="105"/>
      <c r="AF2160" s="11"/>
      <c r="AG2160" s="11"/>
      <c r="AH2160" s="11"/>
      <c r="AI2160" s="11"/>
    </row>
    <row r="2161" ht="12.5" spans="3:35">
      <c r="C2161" s="19"/>
      <c r="D2161" s="19"/>
      <c r="H2161" s="105"/>
      <c r="I2161" s="126"/>
      <c r="J2161" s="11"/>
      <c r="K2161" s="108"/>
      <c r="L2161" s="11"/>
      <c r="M2161" s="105"/>
      <c r="N2161" s="105"/>
      <c r="O2161" s="11"/>
      <c r="P2161" s="11"/>
      <c r="Q2161" s="105"/>
      <c r="R2161" s="105"/>
      <c r="S2161" s="105"/>
      <c r="T2161" s="105"/>
      <c r="U2161" s="105"/>
      <c r="V2161" s="105"/>
      <c r="W2161" s="105"/>
      <c r="X2161" s="11"/>
      <c r="Y2161" s="11"/>
      <c r="Z2161" s="105"/>
      <c r="AA2161" s="11"/>
      <c r="AB2161" s="11"/>
      <c r="AC2161" s="105"/>
      <c r="AD2161" s="11" t="b">
        <v>0</v>
      </c>
      <c r="AE2161" s="105"/>
      <c r="AF2161" s="11"/>
      <c r="AG2161" s="11"/>
      <c r="AH2161" s="11"/>
      <c r="AI2161" s="11"/>
    </row>
    <row r="2162" ht="12.5" spans="3:35">
      <c r="C2162" s="19"/>
      <c r="D2162" s="19"/>
      <c r="H2162" s="105"/>
      <c r="I2162" s="126"/>
      <c r="J2162" s="11"/>
      <c r="K2162" s="108"/>
      <c r="L2162" s="11"/>
      <c r="M2162" s="105"/>
      <c r="N2162" s="105"/>
      <c r="O2162" s="11"/>
      <c r="P2162" s="11"/>
      <c r="Q2162" s="105"/>
      <c r="R2162" s="105"/>
      <c r="S2162" s="105"/>
      <c r="T2162" s="105"/>
      <c r="U2162" s="105"/>
      <c r="V2162" s="105"/>
      <c r="W2162" s="105"/>
      <c r="X2162" s="11"/>
      <c r="Y2162" s="11"/>
      <c r="Z2162" s="105"/>
      <c r="AA2162" s="11"/>
      <c r="AB2162" s="11"/>
      <c r="AC2162" s="105"/>
      <c r="AD2162" s="11" t="b">
        <v>0</v>
      </c>
      <c r="AE2162" s="105"/>
      <c r="AF2162" s="11"/>
      <c r="AG2162" s="11"/>
      <c r="AH2162" s="11"/>
      <c r="AI2162" s="11"/>
    </row>
    <row r="2163" ht="12.5" spans="3:35">
      <c r="C2163" s="19"/>
      <c r="D2163" s="19"/>
      <c r="H2163" s="105"/>
      <c r="I2163" s="126"/>
      <c r="J2163" s="11"/>
      <c r="K2163" s="108"/>
      <c r="L2163" s="11"/>
      <c r="M2163" s="105"/>
      <c r="N2163" s="105"/>
      <c r="O2163" s="11"/>
      <c r="P2163" s="11"/>
      <c r="Q2163" s="105"/>
      <c r="R2163" s="105"/>
      <c r="S2163" s="105"/>
      <c r="T2163" s="105"/>
      <c r="U2163" s="105"/>
      <c r="V2163" s="105"/>
      <c r="W2163" s="105"/>
      <c r="X2163" s="11"/>
      <c r="Y2163" s="11"/>
      <c r="Z2163" s="105"/>
      <c r="AA2163" s="11"/>
      <c r="AB2163" s="11"/>
      <c r="AC2163" s="105"/>
      <c r="AD2163" s="11" t="b">
        <v>0</v>
      </c>
      <c r="AE2163" s="105"/>
      <c r="AF2163" s="11"/>
      <c r="AG2163" s="11"/>
      <c r="AH2163" s="11"/>
      <c r="AI2163" s="11"/>
    </row>
    <row r="2164" ht="12.5" spans="3:35">
      <c r="C2164" s="19"/>
      <c r="D2164" s="19"/>
      <c r="H2164" s="105"/>
      <c r="I2164" s="126"/>
      <c r="J2164" s="11"/>
      <c r="K2164" s="108"/>
      <c r="L2164" s="11"/>
      <c r="M2164" s="105"/>
      <c r="N2164" s="105"/>
      <c r="O2164" s="11"/>
      <c r="P2164" s="11"/>
      <c r="Q2164" s="105"/>
      <c r="R2164" s="105"/>
      <c r="S2164" s="105"/>
      <c r="T2164" s="105"/>
      <c r="U2164" s="105"/>
      <c r="V2164" s="105"/>
      <c r="W2164" s="105"/>
      <c r="X2164" s="11"/>
      <c r="Y2164" s="11"/>
      <c r="Z2164" s="105"/>
      <c r="AA2164" s="11"/>
      <c r="AB2164" s="11"/>
      <c r="AC2164" s="105"/>
      <c r="AD2164" s="11" t="b">
        <v>0</v>
      </c>
      <c r="AE2164" s="105"/>
      <c r="AF2164" s="11"/>
      <c r="AG2164" s="11"/>
      <c r="AH2164" s="11"/>
      <c r="AI2164" s="11"/>
    </row>
    <row r="2165" ht="12.5" spans="3:35">
      <c r="C2165" s="19"/>
      <c r="D2165" s="19"/>
      <c r="H2165" s="105"/>
      <c r="I2165" s="126"/>
      <c r="J2165" s="11"/>
      <c r="K2165" s="108"/>
      <c r="L2165" s="11"/>
      <c r="M2165" s="105"/>
      <c r="N2165" s="105"/>
      <c r="O2165" s="11"/>
      <c r="P2165" s="11"/>
      <c r="Q2165" s="105"/>
      <c r="R2165" s="105"/>
      <c r="S2165" s="105"/>
      <c r="T2165" s="105"/>
      <c r="U2165" s="105"/>
      <c r="V2165" s="105"/>
      <c r="W2165" s="105"/>
      <c r="X2165" s="11"/>
      <c r="Y2165" s="11"/>
      <c r="Z2165" s="105"/>
      <c r="AA2165" s="11"/>
      <c r="AB2165" s="11"/>
      <c r="AC2165" s="105"/>
      <c r="AD2165" s="11" t="b">
        <v>0</v>
      </c>
      <c r="AE2165" s="105"/>
      <c r="AF2165" s="11"/>
      <c r="AG2165" s="11"/>
      <c r="AH2165" s="11"/>
      <c r="AI2165" s="11"/>
    </row>
    <row r="2166" ht="12.5" spans="3:35">
      <c r="C2166" s="19"/>
      <c r="D2166" s="19"/>
      <c r="H2166" s="105"/>
      <c r="I2166" s="126"/>
      <c r="J2166" s="11"/>
      <c r="K2166" s="108"/>
      <c r="L2166" s="11"/>
      <c r="M2166" s="105"/>
      <c r="N2166" s="105"/>
      <c r="O2166" s="11"/>
      <c r="P2166" s="11"/>
      <c r="Q2166" s="105"/>
      <c r="R2166" s="105"/>
      <c r="S2166" s="105"/>
      <c r="T2166" s="105"/>
      <c r="U2166" s="105"/>
      <c r="V2166" s="105"/>
      <c r="W2166" s="105"/>
      <c r="X2166" s="11"/>
      <c r="Y2166" s="11"/>
      <c r="Z2166" s="105"/>
      <c r="AA2166" s="11"/>
      <c r="AB2166" s="11"/>
      <c r="AC2166" s="105"/>
      <c r="AD2166" s="11" t="b">
        <v>0</v>
      </c>
      <c r="AE2166" s="105"/>
      <c r="AF2166" s="11"/>
      <c r="AG2166" s="11"/>
      <c r="AH2166" s="11"/>
      <c r="AI2166" s="11"/>
    </row>
    <row r="2167" ht="12.5" spans="3:35">
      <c r="C2167" s="19"/>
      <c r="D2167" s="19"/>
      <c r="H2167" s="105"/>
      <c r="I2167" s="126"/>
      <c r="J2167" s="11"/>
      <c r="K2167" s="108"/>
      <c r="L2167" s="11"/>
      <c r="M2167" s="105"/>
      <c r="N2167" s="105"/>
      <c r="O2167" s="11"/>
      <c r="P2167" s="11"/>
      <c r="Q2167" s="105"/>
      <c r="R2167" s="105"/>
      <c r="S2167" s="105"/>
      <c r="T2167" s="105"/>
      <c r="U2167" s="105"/>
      <c r="V2167" s="105"/>
      <c r="W2167" s="105"/>
      <c r="X2167" s="11"/>
      <c r="Y2167" s="11"/>
      <c r="Z2167" s="105"/>
      <c r="AA2167" s="11"/>
      <c r="AB2167" s="11"/>
      <c r="AC2167" s="105"/>
      <c r="AD2167" s="11" t="b">
        <v>0</v>
      </c>
      <c r="AE2167" s="105"/>
      <c r="AF2167" s="11"/>
      <c r="AG2167" s="11"/>
      <c r="AH2167" s="11"/>
      <c r="AI2167" s="11"/>
    </row>
    <row r="2168" ht="12.5" spans="3:35">
      <c r="C2168" s="19"/>
      <c r="D2168" s="19"/>
      <c r="H2168" s="105"/>
      <c r="I2168" s="126"/>
      <c r="J2168" s="11"/>
      <c r="K2168" s="108"/>
      <c r="L2168" s="11"/>
      <c r="M2168" s="105"/>
      <c r="N2168" s="105"/>
      <c r="O2168" s="11"/>
      <c r="P2168" s="11"/>
      <c r="Q2168" s="105"/>
      <c r="R2168" s="105"/>
      <c r="S2168" s="105"/>
      <c r="T2168" s="105"/>
      <c r="U2168" s="105"/>
      <c r="V2168" s="105"/>
      <c r="W2168" s="105"/>
      <c r="X2168" s="11"/>
      <c r="Y2168" s="11"/>
      <c r="Z2168" s="105"/>
      <c r="AA2168" s="11"/>
      <c r="AB2168" s="11"/>
      <c r="AC2168" s="105"/>
      <c r="AD2168" s="11" t="b">
        <v>0</v>
      </c>
      <c r="AE2168" s="105"/>
      <c r="AF2168" s="11"/>
      <c r="AG2168" s="11"/>
      <c r="AH2168" s="11"/>
      <c r="AI2168" s="11"/>
    </row>
    <row r="2169" ht="12.5" spans="3:35">
      <c r="C2169" s="19"/>
      <c r="D2169" s="19"/>
      <c r="H2169" s="105"/>
      <c r="I2169" s="126"/>
      <c r="J2169" s="11"/>
      <c r="K2169" s="108"/>
      <c r="L2169" s="11"/>
      <c r="M2169" s="105"/>
      <c r="N2169" s="105"/>
      <c r="O2169" s="11"/>
      <c r="P2169" s="11"/>
      <c r="Q2169" s="105"/>
      <c r="R2169" s="105"/>
      <c r="S2169" s="105"/>
      <c r="T2169" s="105"/>
      <c r="U2169" s="105"/>
      <c r="V2169" s="105"/>
      <c r="W2169" s="105"/>
      <c r="X2169" s="11"/>
      <c r="Y2169" s="11"/>
      <c r="Z2169" s="105"/>
      <c r="AA2169" s="11"/>
      <c r="AB2169" s="11"/>
      <c r="AC2169" s="105"/>
      <c r="AD2169" s="11" t="b">
        <v>0</v>
      </c>
      <c r="AE2169" s="105"/>
      <c r="AF2169" s="11"/>
      <c r="AG2169" s="11"/>
      <c r="AH2169" s="11"/>
      <c r="AI2169" s="11"/>
    </row>
    <row r="2170" ht="12.5" spans="3:35">
      <c r="C2170" s="19"/>
      <c r="D2170" s="19"/>
      <c r="H2170" s="105"/>
      <c r="I2170" s="126"/>
      <c r="J2170" s="11"/>
      <c r="K2170" s="108"/>
      <c r="L2170" s="11"/>
      <c r="M2170" s="105"/>
      <c r="N2170" s="105"/>
      <c r="O2170" s="11"/>
      <c r="P2170" s="11"/>
      <c r="Q2170" s="105"/>
      <c r="R2170" s="105"/>
      <c r="S2170" s="105"/>
      <c r="T2170" s="105"/>
      <c r="U2170" s="105"/>
      <c r="V2170" s="105"/>
      <c r="W2170" s="105"/>
      <c r="X2170" s="11"/>
      <c r="Y2170" s="11"/>
      <c r="Z2170" s="105"/>
      <c r="AA2170" s="11"/>
      <c r="AB2170" s="11"/>
      <c r="AC2170" s="105"/>
      <c r="AD2170" s="11" t="b">
        <v>0</v>
      </c>
      <c r="AE2170" s="105"/>
      <c r="AF2170" s="11"/>
      <c r="AG2170" s="11"/>
      <c r="AH2170" s="11"/>
      <c r="AI2170" s="11"/>
    </row>
    <row r="2171" ht="12.5" spans="3:35">
      <c r="C2171" s="19"/>
      <c r="D2171" s="19"/>
      <c r="H2171" s="105"/>
      <c r="I2171" s="126"/>
      <c r="J2171" s="11"/>
      <c r="K2171" s="108"/>
      <c r="L2171" s="11"/>
      <c r="M2171" s="105"/>
      <c r="N2171" s="105"/>
      <c r="O2171" s="11"/>
      <c r="P2171" s="11"/>
      <c r="Q2171" s="105"/>
      <c r="R2171" s="105"/>
      <c r="S2171" s="105"/>
      <c r="T2171" s="105"/>
      <c r="U2171" s="105"/>
      <c r="V2171" s="105"/>
      <c r="W2171" s="105"/>
      <c r="X2171" s="11"/>
      <c r="Y2171" s="11"/>
      <c r="Z2171" s="105"/>
      <c r="AA2171" s="11"/>
      <c r="AB2171" s="11"/>
      <c r="AC2171" s="105"/>
      <c r="AD2171" s="11" t="b">
        <v>0</v>
      </c>
      <c r="AE2171" s="105"/>
      <c r="AF2171" s="11"/>
      <c r="AG2171" s="11"/>
      <c r="AH2171" s="11"/>
      <c r="AI2171" s="11"/>
    </row>
    <row r="2172" ht="12.5" spans="3:35">
      <c r="C2172" s="19"/>
      <c r="D2172" s="19"/>
      <c r="H2172" s="105"/>
      <c r="I2172" s="126"/>
      <c r="J2172" s="11"/>
      <c r="K2172" s="108"/>
      <c r="L2172" s="11"/>
      <c r="M2172" s="105"/>
      <c r="N2172" s="105"/>
      <c r="O2172" s="11"/>
      <c r="P2172" s="11"/>
      <c r="Q2172" s="105"/>
      <c r="R2172" s="105"/>
      <c r="S2172" s="105"/>
      <c r="T2172" s="105"/>
      <c r="U2172" s="105"/>
      <c r="V2172" s="105"/>
      <c r="W2172" s="105"/>
      <c r="X2172" s="11"/>
      <c r="Y2172" s="11"/>
      <c r="Z2172" s="105"/>
      <c r="AA2172" s="11"/>
      <c r="AB2172" s="11"/>
      <c r="AC2172" s="105"/>
      <c r="AD2172" s="11" t="b">
        <v>0</v>
      </c>
      <c r="AE2172" s="105"/>
      <c r="AF2172" s="11"/>
      <c r="AG2172" s="11"/>
      <c r="AH2172" s="11"/>
      <c r="AI2172" s="11"/>
    </row>
    <row r="2173" ht="12.5" spans="3:35">
      <c r="C2173" s="19"/>
      <c r="D2173" s="19"/>
      <c r="H2173" s="105"/>
      <c r="I2173" s="126"/>
      <c r="J2173" s="11"/>
      <c r="K2173" s="108"/>
      <c r="L2173" s="11"/>
      <c r="M2173" s="105"/>
      <c r="N2173" s="105"/>
      <c r="O2173" s="11"/>
      <c r="P2173" s="11"/>
      <c r="Q2173" s="105"/>
      <c r="R2173" s="105"/>
      <c r="S2173" s="105"/>
      <c r="T2173" s="105"/>
      <c r="U2173" s="105"/>
      <c r="V2173" s="105"/>
      <c r="W2173" s="105"/>
      <c r="X2173" s="11"/>
      <c r="Y2173" s="11"/>
      <c r="Z2173" s="105"/>
      <c r="AA2173" s="11"/>
      <c r="AB2173" s="11"/>
      <c r="AC2173" s="105"/>
      <c r="AD2173" s="11" t="b">
        <v>0</v>
      </c>
      <c r="AE2173" s="105"/>
      <c r="AF2173" s="11"/>
      <c r="AG2173" s="11"/>
      <c r="AH2173" s="11"/>
      <c r="AI2173" s="11"/>
    </row>
    <row r="2174" ht="12.5" spans="3:35">
      <c r="C2174" s="19"/>
      <c r="D2174" s="19"/>
      <c r="H2174" s="105"/>
      <c r="I2174" s="126"/>
      <c r="J2174" s="11"/>
      <c r="K2174" s="108"/>
      <c r="L2174" s="11"/>
      <c r="M2174" s="105"/>
      <c r="N2174" s="105"/>
      <c r="O2174" s="11"/>
      <c r="P2174" s="11"/>
      <c r="Q2174" s="105"/>
      <c r="R2174" s="105"/>
      <c r="S2174" s="105"/>
      <c r="T2174" s="105"/>
      <c r="U2174" s="105"/>
      <c r="V2174" s="105"/>
      <c r="W2174" s="105"/>
      <c r="X2174" s="11"/>
      <c r="Y2174" s="11"/>
      <c r="Z2174" s="105"/>
      <c r="AA2174" s="11"/>
      <c r="AB2174" s="11"/>
      <c r="AC2174" s="105"/>
      <c r="AD2174" s="11" t="b">
        <v>0</v>
      </c>
      <c r="AE2174" s="105"/>
      <c r="AF2174" s="11"/>
      <c r="AG2174" s="11"/>
      <c r="AH2174" s="11"/>
      <c r="AI2174" s="11"/>
    </row>
    <row r="2175" ht="12.5" spans="3:35">
      <c r="C2175" s="19"/>
      <c r="D2175" s="19"/>
      <c r="H2175" s="105"/>
      <c r="I2175" s="126"/>
      <c r="J2175" s="11"/>
      <c r="K2175" s="108"/>
      <c r="L2175" s="11"/>
      <c r="M2175" s="105"/>
      <c r="N2175" s="105"/>
      <c r="O2175" s="11"/>
      <c r="P2175" s="11"/>
      <c r="Q2175" s="105"/>
      <c r="R2175" s="105"/>
      <c r="S2175" s="105"/>
      <c r="T2175" s="105"/>
      <c r="U2175" s="105"/>
      <c r="V2175" s="105"/>
      <c r="W2175" s="105"/>
      <c r="X2175" s="11"/>
      <c r="Y2175" s="11"/>
      <c r="Z2175" s="105"/>
      <c r="AA2175" s="11"/>
      <c r="AB2175" s="11"/>
      <c r="AC2175" s="105"/>
      <c r="AD2175" s="11" t="b">
        <v>0</v>
      </c>
      <c r="AE2175" s="105"/>
      <c r="AF2175" s="11"/>
      <c r="AG2175" s="11"/>
      <c r="AH2175" s="11"/>
      <c r="AI2175" s="11"/>
    </row>
    <row r="2176" ht="12.5" spans="3:35">
      <c r="C2176" s="19"/>
      <c r="D2176" s="19"/>
      <c r="H2176" s="105"/>
      <c r="I2176" s="126"/>
      <c r="J2176" s="11"/>
      <c r="K2176" s="108"/>
      <c r="L2176" s="11"/>
      <c r="M2176" s="105"/>
      <c r="N2176" s="105"/>
      <c r="O2176" s="11"/>
      <c r="P2176" s="11"/>
      <c r="Q2176" s="105"/>
      <c r="R2176" s="105"/>
      <c r="S2176" s="105"/>
      <c r="T2176" s="105"/>
      <c r="U2176" s="105"/>
      <c r="V2176" s="105"/>
      <c r="W2176" s="105"/>
      <c r="X2176" s="11"/>
      <c r="Y2176" s="11"/>
      <c r="Z2176" s="105"/>
      <c r="AA2176" s="11"/>
      <c r="AB2176" s="11"/>
      <c r="AC2176" s="105"/>
      <c r="AD2176" s="11" t="b">
        <v>0</v>
      </c>
      <c r="AE2176" s="105"/>
      <c r="AF2176" s="11"/>
      <c r="AG2176" s="11"/>
      <c r="AH2176" s="11"/>
      <c r="AI2176" s="11"/>
    </row>
    <row r="2177" ht="12.5" spans="3:35">
      <c r="C2177" s="19"/>
      <c r="D2177" s="19"/>
      <c r="H2177" s="105"/>
      <c r="I2177" s="126"/>
      <c r="J2177" s="11"/>
      <c r="K2177" s="108"/>
      <c r="L2177" s="11"/>
      <c r="M2177" s="105"/>
      <c r="N2177" s="105"/>
      <c r="O2177" s="11"/>
      <c r="P2177" s="11"/>
      <c r="Q2177" s="105"/>
      <c r="R2177" s="105"/>
      <c r="S2177" s="105"/>
      <c r="T2177" s="105"/>
      <c r="U2177" s="105"/>
      <c r="V2177" s="105"/>
      <c r="W2177" s="105"/>
      <c r="X2177" s="11"/>
      <c r="Y2177" s="11"/>
      <c r="Z2177" s="105"/>
      <c r="AA2177" s="11"/>
      <c r="AB2177" s="11"/>
      <c r="AC2177" s="105"/>
      <c r="AD2177" s="11" t="b">
        <v>0</v>
      </c>
      <c r="AE2177" s="105"/>
      <c r="AF2177" s="11"/>
      <c r="AG2177" s="11"/>
      <c r="AH2177" s="11"/>
      <c r="AI2177" s="11"/>
    </row>
    <row r="2178" ht="12.5" spans="3:35">
      <c r="C2178" s="19"/>
      <c r="D2178" s="19"/>
      <c r="H2178" s="105"/>
      <c r="I2178" s="126"/>
      <c r="J2178" s="11"/>
      <c r="K2178" s="108"/>
      <c r="L2178" s="11"/>
      <c r="M2178" s="105"/>
      <c r="N2178" s="105"/>
      <c r="O2178" s="11"/>
      <c r="P2178" s="11"/>
      <c r="Q2178" s="105"/>
      <c r="R2178" s="105"/>
      <c r="S2178" s="105"/>
      <c r="T2178" s="105"/>
      <c r="U2178" s="105"/>
      <c r="V2178" s="105"/>
      <c r="W2178" s="105"/>
      <c r="X2178" s="11"/>
      <c r="Y2178" s="11"/>
      <c r="Z2178" s="105"/>
      <c r="AA2178" s="11"/>
      <c r="AB2178" s="11"/>
      <c r="AC2178" s="105"/>
      <c r="AD2178" s="11" t="b">
        <v>0</v>
      </c>
      <c r="AE2178" s="105"/>
      <c r="AF2178" s="11"/>
      <c r="AG2178" s="11"/>
      <c r="AH2178" s="11"/>
      <c r="AI2178" s="11"/>
    </row>
    <row r="2179" ht="12.5" spans="3:35">
      <c r="C2179" s="19"/>
      <c r="D2179" s="19"/>
      <c r="H2179" s="105"/>
      <c r="I2179" s="126"/>
      <c r="J2179" s="11"/>
      <c r="K2179" s="108"/>
      <c r="L2179" s="11"/>
      <c r="M2179" s="105"/>
      <c r="N2179" s="105"/>
      <c r="O2179" s="11"/>
      <c r="P2179" s="11"/>
      <c r="Q2179" s="105"/>
      <c r="R2179" s="105"/>
      <c r="S2179" s="105"/>
      <c r="T2179" s="105"/>
      <c r="U2179" s="105"/>
      <c r="V2179" s="105"/>
      <c r="W2179" s="105"/>
      <c r="X2179" s="11"/>
      <c r="Y2179" s="11"/>
      <c r="Z2179" s="105"/>
      <c r="AA2179" s="11"/>
      <c r="AB2179" s="11"/>
      <c r="AC2179" s="105"/>
      <c r="AD2179" s="11" t="b">
        <v>0</v>
      </c>
      <c r="AE2179" s="105"/>
      <c r="AF2179" s="11"/>
      <c r="AG2179" s="11"/>
      <c r="AH2179" s="11"/>
      <c r="AI2179" s="11"/>
    </row>
    <row r="2180" ht="12.5" spans="3:35">
      <c r="C2180" s="19"/>
      <c r="D2180" s="19"/>
      <c r="H2180" s="105"/>
      <c r="I2180" s="126"/>
      <c r="J2180" s="11"/>
      <c r="K2180" s="108"/>
      <c r="L2180" s="11"/>
      <c r="M2180" s="105"/>
      <c r="N2180" s="105"/>
      <c r="O2180" s="11"/>
      <c r="P2180" s="11"/>
      <c r="Q2180" s="105"/>
      <c r="R2180" s="105"/>
      <c r="S2180" s="105"/>
      <c r="T2180" s="105"/>
      <c r="U2180" s="105"/>
      <c r="V2180" s="105"/>
      <c r="W2180" s="105"/>
      <c r="X2180" s="11"/>
      <c r="Y2180" s="11"/>
      <c r="Z2180" s="105"/>
      <c r="AA2180" s="11"/>
      <c r="AB2180" s="11"/>
      <c r="AC2180" s="105"/>
      <c r="AD2180" s="11" t="b">
        <v>0</v>
      </c>
      <c r="AE2180" s="105"/>
      <c r="AF2180" s="11"/>
      <c r="AG2180" s="11"/>
      <c r="AH2180" s="11"/>
      <c r="AI2180" s="11"/>
    </row>
    <row r="2181" ht="12.5" spans="3:35">
      <c r="C2181" s="19"/>
      <c r="D2181" s="19"/>
      <c r="H2181" s="105"/>
      <c r="I2181" s="126"/>
      <c r="J2181" s="11"/>
      <c r="K2181" s="108"/>
      <c r="L2181" s="11"/>
      <c r="M2181" s="105"/>
      <c r="N2181" s="105"/>
      <c r="O2181" s="11"/>
      <c r="P2181" s="11"/>
      <c r="Q2181" s="105"/>
      <c r="R2181" s="105"/>
      <c r="S2181" s="105"/>
      <c r="T2181" s="105"/>
      <c r="U2181" s="105"/>
      <c r="V2181" s="105"/>
      <c r="W2181" s="105"/>
      <c r="X2181" s="11"/>
      <c r="Y2181" s="11"/>
      <c r="Z2181" s="105"/>
      <c r="AA2181" s="11"/>
      <c r="AB2181" s="11"/>
      <c r="AC2181" s="105"/>
      <c r="AD2181" s="11" t="b">
        <v>0</v>
      </c>
      <c r="AE2181" s="105"/>
      <c r="AF2181" s="11"/>
      <c r="AG2181" s="11"/>
      <c r="AH2181" s="11"/>
      <c r="AI2181" s="11"/>
    </row>
    <row r="2182" ht="12.5" spans="3:35">
      <c r="C2182" s="19"/>
      <c r="D2182" s="19"/>
      <c r="H2182" s="105"/>
      <c r="I2182" s="126"/>
      <c r="J2182" s="11"/>
      <c r="K2182" s="108"/>
      <c r="L2182" s="11"/>
      <c r="M2182" s="105"/>
      <c r="N2182" s="105"/>
      <c r="O2182" s="11"/>
      <c r="P2182" s="11"/>
      <c r="Q2182" s="105"/>
      <c r="R2182" s="105"/>
      <c r="S2182" s="105"/>
      <c r="T2182" s="105"/>
      <c r="U2182" s="105"/>
      <c r="V2182" s="105"/>
      <c r="W2182" s="105"/>
      <c r="X2182" s="11"/>
      <c r="Y2182" s="11"/>
      <c r="Z2182" s="105"/>
      <c r="AA2182" s="11"/>
      <c r="AB2182" s="11"/>
      <c r="AC2182" s="105"/>
      <c r="AD2182" s="11" t="b">
        <v>0</v>
      </c>
      <c r="AE2182" s="105"/>
      <c r="AF2182" s="11"/>
      <c r="AG2182" s="11"/>
      <c r="AH2182" s="11"/>
      <c r="AI2182" s="11"/>
    </row>
    <row r="2183" ht="12.5" spans="3:35">
      <c r="C2183" s="19"/>
      <c r="D2183" s="19"/>
      <c r="H2183" s="105"/>
      <c r="I2183" s="126"/>
      <c r="J2183" s="11"/>
      <c r="K2183" s="108"/>
      <c r="L2183" s="11"/>
      <c r="M2183" s="105"/>
      <c r="N2183" s="105"/>
      <c r="O2183" s="11"/>
      <c r="P2183" s="11"/>
      <c r="Q2183" s="105"/>
      <c r="R2183" s="105"/>
      <c r="S2183" s="105"/>
      <c r="T2183" s="105"/>
      <c r="U2183" s="105"/>
      <c r="V2183" s="105"/>
      <c r="W2183" s="105"/>
      <c r="X2183" s="11"/>
      <c r="Y2183" s="11"/>
      <c r="Z2183" s="105"/>
      <c r="AA2183" s="11"/>
      <c r="AB2183" s="11"/>
      <c r="AC2183" s="105"/>
      <c r="AD2183" s="11" t="b">
        <v>0</v>
      </c>
      <c r="AE2183" s="105"/>
      <c r="AF2183" s="11"/>
      <c r="AG2183" s="11"/>
      <c r="AH2183" s="11"/>
      <c r="AI2183" s="11"/>
    </row>
    <row r="2184" ht="12.5" spans="3:35">
      <c r="C2184" s="19"/>
      <c r="D2184" s="19"/>
      <c r="H2184" s="105"/>
      <c r="I2184" s="126"/>
      <c r="J2184" s="11"/>
      <c r="K2184" s="108"/>
      <c r="L2184" s="11"/>
      <c r="M2184" s="105"/>
      <c r="N2184" s="105"/>
      <c r="O2184" s="11"/>
      <c r="P2184" s="11"/>
      <c r="Q2184" s="105"/>
      <c r="R2184" s="105"/>
      <c r="S2184" s="105"/>
      <c r="T2184" s="105"/>
      <c r="U2184" s="105"/>
      <c r="V2184" s="105"/>
      <c r="W2184" s="105"/>
      <c r="X2184" s="11"/>
      <c r="Y2184" s="11"/>
      <c r="Z2184" s="105"/>
      <c r="AA2184" s="11"/>
      <c r="AB2184" s="11"/>
      <c r="AC2184" s="105"/>
      <c r="AD2184" s="11" t="b">
        <v>0</v>
      </c>
      <c r="AE2184" s="105"/>
      <c r="AF2184" s="11"/>
      <c r="AG2184" s="11"/>
      <c r="AH2184" s="11"/>
      <c r="AI2184" s="11"/>
    </row>
    <row r="2185" ht="12.5" spans="3:35">
      <c r="C2185" s="19"/>
      <c r="D2185" s="19"/>
      <c r="H2185" s="105"/>
      <c r="I2185" s="126"/>
      <c r="J2185" s="11"/>
      <c r="K2185" s="108"/>
      <c r="L2185" s="11"/>
      <c r="M2185" s="105"/>
      <c r="N2185" s="105"/>
      <c r="O2185" s="11"/>
      <c r="P2185" s="11"/>
      <c r="Q2185" s="105"/>
      <c r="R2185" s="105"/>
      <c r="S2185" s="105"/>
      <c r="T2185" s="105"/>
      <c r="U2185" s="105"/>
      <c r="V2185" s="105"/>
      <c r="W2185" s="105"/>
      <c r="X2185" s="11"/>
      <c r="Y2185" s="11"/>
      <c r="Z2185" s="105"/>
      <c r="AA2185" s="11"/>
      <c r="AB2185" s="11"/>
      <c r="AC2185" s="105"/>
      <c r="AD2185" s="11" t="b">
        <v>0</v>
      </c>
      <c r="AE2185" s="105"/>
      <c r="AF2185" s="11"/>
      <c r="AG2185" s="11"/>
      <c r="AH2185" s="11"/>
      <c r="AI2185" s="11"/>
    </row>
    <row r="2186" ht="12.5" spans="3:35">
      <c r="C2186" s="19"/>
      <c r="D2186" s="19"/>
      <c r="H2186" s="105"/>
      <c r="I2186" s="126"/>
      <c r="J2186" s="11"/>
      <c r="K2186" s="108"/>
      <c r="L2186" s="11"/>
      <c r="M2186" s="105"/>
      <c r="N2186" s="105"/>
      <c r="O2186" s="11"/>
      <c r="P2186" s="11"/>
      <c r="Q2186" s="105"/>
      <c r="R2186" s="105"/>
      <c r="S2186" s="105"/>
      <c r="T2186" s="105"/>
      <c r="U2186" s="105"/>
      <c r="V2186" s="105"/>
      <c r="W2186" s="105"/>
      <c r="X2186" s="11"/>
      <c r="Y2186" s="11"/>
      <c r="Z2186" s="105"/>
      <c r="AA2186" s="11"/>
      <c r="AB2186" s="11"/>
      <c r="AC2186" s="105"/>
      <c r="AD2186" s="11" t="b">
        <v>0</v>
      </c>
      <c r="AE2186" s="105"/>
      <c r="AF2186" s="11"/>
      <c r="AG2186" s="11"/>
      <c r="AH2186" s="11"/>
      <c r="AI2186" s="11"/>
    </row>
    <row r="2187" ht="12.5" spans="3:35">
      <c r="C2187" s="19"/>
      <c r="D2187" s="19"/>
      <c r="H2187" s="105"/>
      <c r="I2187" s="126"/>
      <c r="J2187" s="11"/>
      <c r="K2187" s="108"/>
      <c r="L2187" s="11"/>
      <c r="M2187" s="105"/>
      <c r="N2187" s="105"/>
      <c r="O2187" s="11"/>
      <c r="P2187" s="11"/>
      <c r="Q2187" s="105"/>
      <c r="R2187" s="105"/>
      <c r="S2187" s="105"/>
      <c r="T2187" s="105"/>
      <c r="U2187" s="105"/>
      <c r="V2187" s="105"/>
      <c r="W2187" s="105"/>
      <c r="X2187" s="11"/>
      <c r="Y2187" s="11"/>
      <c r="Z2187" s="105"/>
      <c r="AA2187" s="11"/>
      <c r="AB2187" s="11"/>
      <c r="AC2187" s="105"/>
      <c r="AD2187" s="11" t="b">
        <v>0</v>
      </c>
      <c r="AE2187" s="105"/>
      <c r="AF2187" s="11"/>
      <c r="AG2187" s="11"/>
      <c r="AH2187" s="11"/>
      <c r="AI2187" s="11"/>
    </row>
    <row r="2188" ht="12.5" spans="3:35">
      <c r="C2188" s="19"/>
      <c r="D2188" s="19"/>
      <c r="H2188" s="105"/>
      <c r="I2188" s="126"/>
      <c r="J2188" s="11"/>
      <c r="K2188" s="108"/>
      <c r="L2188" s="11"/>
      <c r="M2188" s="105"/>
      <c r="N2188" s="105"/>
      <c r="O2188" s="11"/>
      <c r="P2188" s="11"/>
      <c r="Q2188" s="105"/>
      <c r="R2188" s="105"/>
      <c r="S2188" s="105"/>
      <c r="T2188" s="105"/>
      <c r="U2188" s="105"/>
      <c r="V2188" s="105"/>
      <c r="W2188" s="105"/>
      <c r="X2188" s="11"/>
      <c r="Y2188" s="11"/>
      <c r="Z2188" s="105"/>
      <c r="AA2188" s="11"/>
      <c r="AB2188" s="11"/>
      <c r="AC2188" s="105"/>
      <c r="AD2188" s="11" t="b">
        <v>0</v>
      </c>
      <c r="AE2188" s="105"/>
      <c r="AF2188" s="11"/>
      <c r="AG2188" s="11"/>
      <c r="AH2188" s="11"/>
      <c r="AI2188" s="11"/>
    </row>
    <row r="2189" ht="12.5" spans="3:35">
      <c r="C2189" s="19"/>
      <c r="D2189" s="19"/>
      <c r="H2189" s="105"/>
      <c r="I2189" s="126"/>
      <c r="J2189" s="11"/>
      <c r="K2189" s="108"/>
      <c r="L2189" s="11"/>
      <c r="M2189" s="105"/>
      <c r="N2189" s="105"/>
      <c r="O2189" s="11"/>
      <c r="P2189" s="11"/>
      <c r="Q2189" s="105"/>
      <c r="R2189" s="105"/>
      <c r="S2189" s="105"/>
      <c r="T2189" s="105"/>
      <c r="U2189" s="105"/>
      <c r="V2189" s="105"/>
      <c r="W2189" s="105"/>
      <c r="X2189" s="11"/>
      <c r="Y2189" s="11"/>
      <c r="Z2189" s="105"/>
      <c r="AA2189" s="11"/>
      <c r="AB2189" s="11"/>
      <c r="AC2189" s="105"/>
      <c r="AD2189" s="11" t="b">
        <v>0</v>
      </c>
      <c r="AE2189" s="105"/>
      <c r="AF2189" s="11"/>
      <c r="AG2189" s="11"/>
      <c r="AH2189" s="11"/>
      <c r="AI2189" s="11"/>
    </row>
    <row r="2190" ht="12.5" spans="3:35">
      <c r="C2190" s="19"/>
      <c r="D2190" s="19"/>
      <c r="H2190" s="105"/>
      <c r="I2190" s="126"/>
      <c r="J2190" s="11"/>
      <c r="K2190" s="108"/>
      <c r="L2190" s="11"/>
      <c r="M2190" s="105"/>
      <c r="N2190" s="105"/>
      <c r="O2190" s="11"/>
      <c r="P2190" s="11"/>
      <c r="Q2190" s="105"/>
      <c r="R2190" s="105"/>
      <c r="S2190" s="105"/>
      <c r="T2190" s="105"/>
      <c r="U2190" s="105"/>
      <c r="V2190" s="105"/>
      <c r="W2190" s="105"/>
      <c r="X2190" s="11"/>
      <c r="Y2190" s="11"/>
      <c r="Z2190" s="105"/>
      <c r="AA2190" s="11"/>
      <c r="AB2190" s="11"/>
      <c r="AC2190" s="105"/>
      <c r="AD2190" s="11" t="b">
        <v>0</v>
      </c>
      <c r="AE2190" s="105"/>
      <c r="AF2190" s="11"/>
      <c r="AG2190" s="11"/>
      <c r="AH2190" s="11"/>
      <c r="AI2190" s="11"/>
    </row>
    <row r="2191" ht="12.5" spans="3:35">
      <c r="C2191" s="19"/>
      <c r="D2191" s="19"/>
      <c r="H2191" s="105"/>
      <c r="I2191" s="126"/>
      <c r="J2191" s="11"/>
      <c r="K2191" s="108"/>
      <c r="L2191" s="11"/>
      <c r="M2191" s="105"/>
      <c r="N2191" s="105"/>
      <c r="O2191" s="11"/>
      <c r="P2191" s="11"/>
      <c r="Q2191" s="105"/>
      <c r="R2191" s="105"/>
      <c r="S2191" s="105"/>
      <c r="T2191" s="105"/>
      <c r="U2191" s="105"/>
      <c r="V2191" s="105"/>
      <c r="W2191" s="105"/>
      <c r="X2191" s="11"/>
      <c r="Y2191" s="11"/>
      <c r="Z2191" s="105"/>
      <c r="AA2191" s="11"/>
      <c r="AB2191" s="11"/>
      <c r="AC2191" s="105"/>
      <c r="AD2191" s="11" t="b">
        <v>0</v>
      </c>
      <c r="AE2191" s="105"/>
      <c r="AF2191" s="11"/>
      <c r="AG2191" s="11"/>
      <c r="AH2191" s="11"/>
      <c r="AI2191" s="11"/>
    </row>
    <row r="2192" ht="12.5" spans="3:35">
      <c r="C2192" s="19"/>
      <c r="D2192" s="19"/>
      <c r="H2192" s="105"/>
      <c r="I2192" s="126"/>
      <c r="J2192" s="11"/>
      <c r="K2192" s="108"/>
      <c r="L2192" s="11"/>
      <c r="M2192" s="105"/>
      <c r="N2192" s="105"/>
      <c r="O2192" s="11"/>
      <c r="P2192" s="11"/>
      <c r="Q2192" s="105"/>
      <c r="R2192" s="105"/>
      <c r="S2192" s="105"/>
      <c r="T2192" s="105"/>
      <c r="U2192" s="105"/>
      <c r="V2192" s="105"/>
      <c r="W2192" s="105"/>
      <c r="X2192" s="11"/>
      <c r="Y2192" s="11"/>
      <c r="Z2192" s="105"/>
      <c r="AA2192" s="11"/>
      <c r="AB2192" s="11"/>
      <c r="AC2192" s="105"/>
      <c r="AD2192" s="11" t="b">
        <v>0</v>
      </c>
      <c r="AE2192" s="105"/>
      <c r="AF2192" s="11"/>
      <c r="AG2192" s="11"/>
      <c r="AH2192" s="11"/>
      <c r="AI2192" s="11"/>
    </row>
    <row r="2193" ht="12.5" spans="3:35">
      <c r="C2193" s="19"/>
      <c r="D2193" s="19"/>
      <c r="H2193" s="105"/>
      <c r="I2193" s="126"/>
      <c r="J2193" s="11"/>
      <c r="K2193" s="108"/>
      <c r="L2193" s="11"/>
      <c r="M2193" s="105"/>
      <c r="N2193" s="105"/>
      <c r="O2193" s="11"/>
      <c r="P2193" s="11"/>
      <c r="Q2193" s="105"/>
      <c r="R2193" s="105"/>
      <c r="S2193" s="105"/>
      <c r="T2193" s="105"/>
      <c r="U2193" s="105"/>
      <c r="V2193" s="105"/>
      <c r="W2193" s="105"/>
      <c r="X2193" s="11"/>
      <c r="Y2193" s="11"/>
      <c r="Z2193" s="105"/>
      <c r="AA2193" s="11"/>
      <c r="AB2193" s="11"/>
      <c r="AC2193" s="105"/>
      <c r="AD2193" s="11" t="b">
        <v>0</v>
      </c>
      <c r="AE2193" s="105"/>
      <c r="AF2193" s="11"/>
      <c r="AG2193" s="11"/>
      <c r="AH2193" s="11"/>
      <c r="AI2193" s="11"/>
    </row>
    <row r="2194" ht="12.5" spans="3:35">
      <c r="C2194" s="19"/>
      <c r="D2194" s="19"/>
      <c r="H2194" s="105"/>
      <c r="I2194" s="126"/>
      <c r="J2194" s="11"/>
      <c r="K2194" s="108"/>
      <c r="L2194" s="11"/>
      <c r="M2194" s="105"/>
      <c r="N2194" s="105"/>
      <c r="O2194" s="11"/>
      <c r="P2194" s="11"/>
      <c r="Q2194" s="105"/>
      <c r="R2194" s="105"/>
      <c r="S2194" s="105"/>
      <c r="T2194" s="105"/>
      <c r="U2194" s="105"/>
      <c r="V2194" s="105"/>
      <c r="W2194" s="105"/>
      <c r="X2194" s="11"/>
      <c r="Y2194" s="11"/>
      <c r="Z2194" s="105"/>
      <c r="AA2194" s="11"/>
      <c r="AB2194" s="11"/>
      <c r="AC2194" s="105"/>
      <c r="AD2194" s="11" t="b">
        <v>0</v>
      </c>
      <c r="AE2194" s="105"/>
      <c r="AF2194" s="11"/>
      <c r="AG2194" s="11"/>
      <c r="AH2194" s="11"/>
      <c r="AI2194" s="11"/>
    </row>
    <row r="2195" ht="12.5" spans="3:35">
      <c r="C2195" s="19"/>
      <c r="D2195" s="19"/>
      <c r="H2195" s="105"/>
      <c r="I2195" s="126"/>
      <c r="J2195" s="11"/>
      <c r="K2195" s="108"/>
      <c r="L2195" s="11"/>
      <c r="M2195" s="105"/>
      <c r="N2195" s="105"/>
      <c r="O2195" s="11"/>
      <c r="P2195" s="11"/>
      <c r="Q2195" s="105"/>
      <c r="R2195" s="105"/>
      <c r="S2195" s="105"/>
      <c r="T2195" s="105"/>
      <c r="U2195" s="105"/>
      <c r="V2195" s="105"/>
      <c r="W2195" s="105"/>
      <c r="X2195" s="11"/>
      <c r="Y2195" s="11"/>
      <c r="Z2195" s="105"/>
      <c r="AA2195" s="11"/>
      <c r="AB2195" s="11"/>
      <c r="AC2195" s="105"/>
      <c r="AD2195" s="11" t="b">
        <v>0</v>
      </c>
      <c r="AE2195" s="105"/>
      <c r="AF2195" s="11"/>
      <c r="AG2195" s="11"/>
      <c r="AH2195" s="11"/>
      <c r="AI2195" s="11"/>
    </row>
    <row r="2196" ht="12.5" spans="3:35">
      <c r="C2196" s="19"/>
      <c r="D2196" s="19"/>
      <c r="H2196" s="105"/>
      <c r="I2196" s="126"/>
      <c r="J2196" s="11"/>
      <c r="K2196" s="108"/>
      <c r="L2196" s="11"/>
      <c r="M2196" s="105"/>
      <c r="N2196" s="105"/>
      <c r="O2196" s="11"/>
      <c r="P2196" s="11"/>
      <c r="Q2196" s="105"/>
      <c r="R2196" s="105"/>
      <c r="S2196" s="105"/>
      <c r="T2196" s="105"/>
      <c r="U2196" s="105"/>
      <c r="V2196" s="105"/>
      <c r="W2196" s="105"/>
      <c r="X2196" s="11"/>
      <c r="Y2196" s="11"/>
      <c r="Z2196" s="105"/>
      <c r="AA2196" s="11"/>
      <c r="AB2196" s="11"/>
      <c r="AC2196" s="105"/>
      <c r="AD2196" s="11" t="b">
        <v>0</v>
      </c>
      <c r="AE2196" s="105"/>
      <c r="AF2196" s="11"/>
      <c r="AG2196" s="11"/>
      <c r="AH2196" s="11"/>
      <c r="AI2196" s="11"/>
    </row>
    <row r="2197" ht="12.5" spans="3:35">
      <c r="C2197" s="19"/>
      <c r="D2197" s="19"/>
      <c r="H2197" s="105"/>
      <c r="I2197" s="126"/>
      <c r="J2197" s="11"/>
      <c r="K2197" s="108"/>
      <c r="L2197" s="11"/>
      <c r="M2197" s="105"/>
      <c r="N2197" s="105"/>
      <c r="O2197" s="11"/>
      <c r="P2197" s="11"/>
      <c r="Q2197" s="105"/>
      <c r="R2197" s="105"/>
      <c r="S2197" s="105"/>
      <c r="T2197" s="105"/>
      <c r="U2197" s="105"/>
      <c r="V2197" s="105"/>
      <c r="W2197" s="105"/>
      <c r="X2197" s="11"/>
      <c r="Y2197" s="11"/>
      <c r="Z2197" s="105"/>
      <c r="AA2197" s="11"/>
      <c r="AB2197" s="11"/>
      <c r="AC2197" s="105"/>
      <c r="AD2197" s="11" t="b">
        <v>0</v>
      </c>
      <c r="AE2197" s="105"/>
      <c r="AF2197" s="11"/>
      <c r="AG2197" s="11"/>
      <c r="AH2197" s="11"/>
      <c r="AI2197" s="11"/>
    </row>
    <row r="2198" ht="12.5" spans="3:35">
      <c r="C2198" s="19"/>
      <c r="D2198" s="19"/>
      <c r="H2198" s="105"/>
      <c r="I2198" s="126"/>
      <c r="J2198" s="11"/>
      <c r="K2198" s="108"/>
      <c r="L2198" s="11"/>
      <c r="M2198" s="105"/>
      <c r="N2198" s="105"/>
      <c r="O2198" s="11"/>
      <c r="P2198" s="11"/>
      <c r="Q2198" s="105"/>
      <c r="R2198" s="105"/>
      <c r="S2198" s="105"/>
      <c r="T2198" s="105"/>
      <c r="U2198" s="105"/>
      <c r="V2198" s="105"/>
      <c r="W2198" s="105"/>
      <c r="X2198" s="11"/>
      <c r="Y2198" s="11"/>
      <c r="Z2198" s="105"/>
      <c r="AA2198" s="11"/>
      <c r="AB2198" s="11"/>
      <c r="AC2198" s="105"/>
      <c r="AD2198" s="11" t="b">
        <v>0</v>
      </c>
      <c r="AE2198" s="105"/>
      <c r="AF2198" s="11"/>
      <c r="AG2198" s="11"/>
      <c r="AH2198" s="11"/>
      <c r="AI2198" s="11"/>
    </row>
    <row r="2199" ht="12.5" spans="3:35">
      <c r="C2199" s="19"/>
      <c r="D2199" s="19"/>
      <c r="H2199" s="105"/>
      <c r="I2199" s="126"/>
      <c r="J2199" s="11"/>
      <c r="K2199" s="108"/>
      <c r="L2199" s="11"/>
      <c r="M2199" s="105"/>
      <c r="N2199" s="105"/>
      <c r="O2199" s="11"/>
      <c r="P2199" s="11"/>
      <c r="Q2199" s="105"/>
      <c r="R2199" s="105"/>
      <c r="S2199" s="105"/>
      <c r="T2199" s="105"/>
      <c r="U2199" s="105"/>
      <c r="V2199" s="105"/>
      <c r="W2199" s="105"/>
      <c r="X2199" s="11"/>
      <c r="Y2199" s="11"/>
      <c r="Z2199" s="105"/>
      <c r="AA2199" s="11"/>
      <c r="AB2199" s="11"/>
      <c r="AC2199" s="105"/>
      <c r="AD2199" s="11" t="b">
        <v>0</v>
      </c>
      <c r="AE2199" s="105"/>
      <c r="AF2199" s="11"/>
      <c r="AG2199" s="11"/>
      <c r="AH2199" s="11"/>
      <c r="AI2199" s="11"/>
    </row>
    <row r="2200" ht="12.5" spans="3:35">
      <c r="C2200" s="19"/>
      <c r="D2200" s="19"/>
      <c r="H2200" s="105"/>
      <c r="I2200" s="126"/>
      <c r="J2200" s="11"/>
      <c r="K2200" s="108"/>
      <c r="L2200" s="11"/>
      <c r="M2200" s="105"/>
      <c r="N2200" s="105"/>
      <c r="O2200" s="11"/>
      <c r="P2200" s="11"/>
      <c r="Q2200" s="105"/>
      <c r="R2200" s="105"/>
      <c r="S2200" s="105"/>
      <c r="T2200" s="105"/>
      <c r="U2200" s="105"/>
      <c r="V2200" s="105"/>
      <c r="W2200" s="105"/>
      <c r="X2200" s="11"/>
      <c r="Y2200" s="11"/>
      <c r="Z2200" s="105"/>
      <c r="AA2200" s="11"/>
      <c r="AB2200" s="11"/>
      <c r="AC2200" s="105"/>
      <c r="AD2200" s="11" t="b">
        <v>0</v>
      </c>
      <c r="AE2200" s="105"/>
      <c r="AF2200" s="11"/>
      <c r="AG2200" s="11"/>
      <c r="AH2200" s="11"/>
      <c r="AI2200" s="11"/>
    </row>
    <row r="2201" ht="12.5" spans="3:35">
      <c r="C2201" s="19"/>
      <c r="D2201" s="19"/>
      <c r="H2201" s="105"/>
      <c r="I2201" s="126"/>
      <c r="J2201" s="11"/>
      <c r="K2201" s="108"/>
      <c r="L2201" s="11"/>
      <c r="M2201" s="105"/>
      <c r="N2201" s="105"/>
      <c r="O2201" s="11"/>
      <c r="P2201" s="11"/>
      <c r="Q2201" s="105"/>
      <c r="R2201" s="105"/>
      <c r="S2201" s="105"/>
      <c r="T2201" s="105"/>
      <c r="U2201" s="105"/>
      <c r="V2201" s="105"/>
      <c r="W2201" s="105"/>
      <c r="X2201" s="11"/>
      <c r="Y2201" s="11"/>
      <c r="Z2201" s="105"/>
      <c r="AA2201" s="11"/>
      <c r="AB2201" s="11"/>
      <c r="AC2201" s="105"/>
      <c r="AD2201" s="11" t="b">
        <v>0</v>
      </c>
      <c r="AE2201" s="105"/>
      <c r="AF2201" s="11"/>
      <c r="AG2201" s="11"/>
      <c r="AH2201" s="11"/>
      <c r="AI2201" s="11"/>
    </row>
    <row r="2202" ht="12.5" spans="3:35">
      <c r="C2202" s="19"/>
      <c r="D2202" s="19"/>
      <c r="H2202" s="105"/>
      <c r="I2202" s="126"/>
      <c r="J2202" s="11"/>
      <c r="K2202" s="108"/>
      <c r="L2202" s="11"/>
      <c r="M2202" s="105"/>
      <c r="N2202" s="105"/>
      <c r="O2202" s="11"/>
      <c r="P2202" s="11"/>
      <c r="Q2202" s="105"/>
      <c r="R2202" s="105"/>
      <c r="S2202" s="105"/>
      <c r="T2202" s="105"/>
      <c r="U2202" s="105"/>
      <c r="V2202" s="105"/>
      <c r="W2202" s="105"/>
      <c r="X2202" s="11"/>
      <c r="Y2202" s="11"/>
      <c r="Z2202" s="105"/>
      <c r="AA2202" s="11"/>
      <c r="AB2202" s="11"/>
      <c r="AC2202" s="105"/>
      <c r="AD2202" s="11" t="b">
        <v>0</v>
      </c>
      <c r="AE2202" s="105"/>
      <c r="AF2202" s="11"/>
      <c r="AG2202" s="11"/>
      <c r="AH2202" s="11"/>
      <c r="AI2202" s="11"/>
    </row>
    <row r="2203" ht="12.5" spans="3:35">
      <c r="C2203" s="19"/>
      <c r="D2203" s="19"/>
      <c r="H2203" s="105"/>
      <c r="I2203" s="126"/>
      <c r="J2203" s="11"/>
      <c r="K2203" s="108"/>
      <c r="L2203" s="11"/>
      <c r="M2203" s="105"/>
      <c r="N2203" s="105"/>
      <c r="O2203" s="11"/>
      <c r="P2203" s="11"/>
      <c r="Q2203" s="105"/>
      <c r="R2203" s="105"/>
      <c r="S2203" s="105"/>
      <c r="T2203" s="105"/>
      <c r="U2203" s="105"/>
      <c r="V2203" s="105"/>
      <c r="W2203" s="105"/>
      <c r="X2203" s="11"/>
      <c r="Y2203" s="11"/>
      <c r="Z2203" s="105"/>
      <c r="AA2203" s="11"/>
      <c r="AB2203" s="11"/>
      <c r="AC2203" s="105"/>
      <c r="AD2203" s="11" t="b">
        <v>0</v>
      </c>
      <c r="AE2203" s="105"/>
      <c r="AF2203" s="11"/>
      <c r="AG2203" s="11"/>
      <c r="AH2203" s="11"/>
      <c r="AI2203" s="11"/>
    </row>
    <row r="2204" ht="12.5" spans="3:35">
      <c r="C2204" s="19"/>
      <c r="D2204" s="19"/>
      <c r="H2204" s="105"/>
      <c r="I2204" s="126"/>
      <c r="J2204" s="11"/>
      <c r="K2204" s="108"/>
      <c r="L2204" s="11"/>
      <c r="M2204" s="105"/>
      <c r="N2204" s="105"/>
      <c r="O2204" s="11"/>
      <c r="P2204" s="11"/>
      <c r="Q2204" s="105"/>
      <c r="R2204" s="105"/>
      <c r="S2204" s="105"/>
      <c r="T2204" s="105"/>
      <c r="U2204" s="105"/>
      <c r="V2204" s="105"/>
      <c r="W2204" s="105"/>
      <c r="X2204" s="11"/>
      <c r="Y2204" s="11"/>
      <c r="Z2204" s="105"/>
      <c r="AA2204" s="11"/>
      <c r="AB2204" s="11"/>
      <c r="AC2204" s="105"/>
      <c r="AD2204" s="11" t="b">
        <v>0</v>
      </c>
      <c r="AE2204" s="105"/>
      <c r="AF2204" s="11"/>
      <c r="AG2204" s="11"/>
      <c r="AH2204" s="11"/>
      <c r="AI2204" s="11"/>
    </row>
    <row r="2205" ht="12.5" spans="3:35">
      <c r="C2205" s="19"/>
      <c r="D2205" s="19"/>
      <c r="H2205" s="105"/>
      <c r="I2205" s="126"/>
      <c r="J2205" s="11"/>
      <c r="K2205" s="108"/>
      <c r="L2205" s="11"/>
      <c r="M2205" s="105"/>
      <c r="N2205" s="105"/>
      <c r="O2205" s="11"/>
      <c r="P2205" s="11"/>
      <c r="Q2205" s="105"/>
      <c r="R2205" s="105"/>
      <c r="S2205" s="105"/>
      <c r="T2205" s="105"/>
      <c r="U2205" s="105"/>
      <c r="V2205" s="105"/>
      <c r="W2205" s="105"/>
      <c r="X2205" s="11"/>
      <c r="Y2205" s="11"/>
      <c r="Z2205" s="105"/>
      <c r="AA2205" s="11"/>
      <c r="AB2205" s="11"/>
      <c r="AC2205" s="105"/>
      <c r="AD2205" s="11" t="b">
        <v>0</v>
      </c>
      <c r="AE2205" s="105"/>
      <c r="AF2205" s="11"/>
      <c r="AG2205" s="11"/>
      <c r="AH2205" s="11"/>
      <c r="AI2205" s="11"/>
    </row>
    <row r="2206" ht="12.5" spans="3:35">
      <c r="C2206" s="19"/>
      <c r="D2206" s="19"/>
      <c r="H2206" s="105"/>
      <c r="I2206" s="126"/>
      <c r="J2206" s="11"/>
      <c r="K2206" s="108"/>
      <c r="L2206" s="11"/>
      <c r="M2206" s="105"/>
      <c r="N2206" s="105"/>
      <c r="O2206" s="11"/>
      <c r="P2206" s="11"/>
      <c r="Q2206" s="105"/>
      <c r="R2206" s="105"/>
      <c r="S2206" s="105"/>
      <c r="T2206" s="105"/>
      <c r="U2206" s="105"/>
      <c r="V2206" s="105"/>
      <c r="W2206" s="105"/>
      <c r="X2206" s="11"/>
      <c r="Y2206" s="11"/>
      <c r="Z2206" s="105"/>
      <c r="AA2206" s="11"/>
      <c r="AB2206" s="11"/>
      <c r="AC2206" s="105"/>
      <c r="AD2206" s="11" t="b">
        <v>0</v>
      </c>
      <c r="AE2206" s="105"/>
      <c r="AF2206" s="11"/>
      <c r="AG2206" s="11"/>
      <c r="AH2206" s="11"/>
      <c r="AI2206" s="11"/>
    </row>
    <row r="2207" ht="12.5" spans="3:35">
      <c r="C2207" s="19"/>
      <c r="D2207" s="19"/>
      <c r="H2207" s="105"/>
      <c r="I2207" s="126"/>
      <c r="J2207" s="11"/>
      <c r="K2207" s="108"/>
      <c r="L2207" s="11"/>
      <c r="M2207" s="105"/>
      <c r="N2207" s="105"/>
      <c r="O2207" s="11"/>
      <c r="P2207" s="11"/>
      <c r="Q2207" s="105"/>
      <c r="R2207" s="105"/>
      <c r="S2207" s="105"/>
      <c r="T2207" s="105"/>
      <c r="U2207" s="105"/>
      <c r="V2207" s="105"/>
      <c r="W2207" s="105"/>
      <c r="X2207" s="11"/>
      <c r="Y2207" s="11"/>
      <c r="Z2207" s="105"/>
      <c r="AA2207" s="11"/>
      <c r="AB2207" s="11"/>
      <c r="AC2207" s="105"/>
      <c r="AD2207" s="11" t="b">
        <v>0</v>
      </c>
      <c r="AE2207" s="105"/>
      <c r="AF2207" s="11"/>
      <c r="AG2207" s="11"/>
      <c r="AH2207" s="11"/>
      <c r="AI2207" s="11"/>
    </row>
    <row r="2208" ht="12.5" spans="3:35">
      <c r="C2208" s="19"/>
      <c r="D2208" s="19"/>
      <c r="H2208" s="105"/>
      <c r="I2208" s="126"/>
      <c r="J2208" s="11"/>
      <c r="K2208" s="108"/>
      <c r="L2208" s="11"/>
      <c r="M2208" s="105"/>
      <c r="N2208" s="105"/>
      <c r="O2208" s="11"/>
      <c r="P2208" s="11"/>
      <c r="Q2208" s="105"/>
      <c r="R2208" s="105"/>
      <c r="S2208" s="105"/>
      <c r="T2208" s="105"/>
      <c r="U2208" s="105"/>
      <c r="V2208" s="105"/>
      <c r="W2208" s="105"/>
      <c r="X2208" s="11"/>
      <c r="Y2208" s="11"/>
      <c r="Z2208" s="105"/>
      <c r="AA2208" s="11"/>
      <c r="AB2208" s="11"/>
      <c r="AC2208" s="105"/>
      <c r="AD2208" s="11" t="b">
        <v>0</v>
      </c>
      <c r="AE2208" s="105"/>
      <c r="AF2208" s="11"/>
      <c r="AG2208" s="11"/>
      <c r="AH2208" s="11"/>
      <c r="AI2208" s="11"/>
    </row>
    <row r="2209" ht="12.5" spans="3:35">
      <c r="C2209" s="19"/>
      <c r="D2209" s="19"/>
      <c r="H2209" s="105"/>
      <c r="I2209" s="126"/>
      <c r="J2209" s="11"/>
      <c r="K2209" s="108"/>
      <c r="L2209" s="11"/>
      <c r="M2209" s="105"/>
      <c r="N2209" s="105"/>
      <c r="O2209" s="11"/>
      <c r="P2209" s="11"/>
      <c r="Q2209" s="105"/>
      <c r="R2209" s="105"/>
      <c r="S2209" s="105"/>
      <c r="T2209" s="105"/>
      <c r="U2209" s="105"/>
      <c r="V2209" s="105"/>
      <c r="W2209" s="105"/>
      <c r="X2209" s="11"/>
      <c r="Y2209" s="11"/>
      <c r="Z2209" s="105"/>
      <c r="AA2209" s="11"/>
      <c r="AB2209" s="11"/>
      <c r="AC2209" s="105"/>
      <c r="AD2209" s="11" t="b">
        <v>0</v>
      </c>
      <c r="AE2209" s="105"/>
      <c r="AF2209" s="11"/>
      <c r="AG2209" s="11"/>
      <c r="AH2209" s="11"/>
      <c r="AI2209" s="11"/>
    </row>
    <row r="2210" ht="12.5" spans="3:35">
      <c r="C2210" s="19"/>
      <c r="D2210" s="19"/>
      <c r="H2210" s="105"/>
      <c r="I2210" s="126"/>
      <c r="J2210" s="11"/>
      <c r="K2210" s="108"/>
      <c r="L2210" s="11"/>
      <c r="M2210" s="105"/>
      <c r="N2210" s="105"/>
      <c r="O2210" s="11"/>
      <c r="P2210" s="11"/>
      <c r="Q2210" s="105"/>
      <c r="R2210" s="105"/>
      <c r="S2210" s="105"/>
      <c r="T2210" s="105"/>
      <c r="U2210" s="105"/>
      <c r="V2210" s="105"/>
      <c r="W2210" s="105"/>
      <c r="X2210" s="11"/>
      <c r="Y2210" s="11"/>
      <c r="Z2210" s="105"/>
      <c r="AA2210" s="11"/>
      <c r="AB2210" s="11"/>
      <c r="AC2210" s="105"/>
      <c r="AD2210" s="11" t="b">
        <v>0</v>
      </c>
      <c r="AE2210" s="105"/>
      <c r="AF2210" s="11"/>
      <c r="AG2210" s="11"/>
      <c r="AH2210" s="11"/>
      <c r="AI2210" s="11"/>
    </row>
    <row r="2211" ht="12.5" spans="3:35">
      <c r="C2211" s="19"/>
      <c r="D2211" s="19"/>
      <c r="H2211" s="105"/>
      <c r="I2211" s="126"/>
      <c r="J2211" s="11"/>
      <c r="K2211" s="108"/>
      <c r="L2211" s="11"/>
      <c r="M2211" s="105"/>
      <c r="N2211" s="105"/>
      <c r="O2211" s="11"/>
      <c r="P2211" s="11"/>
      <c r="Q2211" s="105"/>
      <c r="R2211" s="105"/>
      <c r="S2211" s="105"/>
      <c r="T2211" s="105"/>
      <c r="U2211" s="105"/>
      <c r="V2211" s="105"/>
      <c r="W2211" s="105"/>
      <c r="X2211" s="11"/>
      <c r="Y2211" s="11"/>
      <c r="Z2211" s="105"/>
      <c r="AA2211" s="11"/>
      <c r="AB2211" s="11"/>
      <c r="AC2211" s="105"/>
      <c r="AD2211" s="11" t="b">
        <v>0</v>
      </c>
      <c r="AE2211" s="105"/>
      <c r="AF2211" s="11"/>
      <c r="AG2211" s="11"/>
      <c r="AH2211" s="11"/>
      <c r="AI2211" s="11"/>
    </row>
    <row r="2212" ht="12.5" spans="3:35">
      <c r="C2212" s="19"/>
      <c r="D2212" s="19"/>
      <c r="H2212" s="105"/>
      <c r="I2212" s="126"/>
      <c r="J2212" s="11"/>
      <c r="K2212" s="108"/>
      <c r="L2212" s="11"/>
      <c r="M2212" s="105"/>
      <c r="N2212" s="105"/>
      <c r="O2212" s="11"/>
      <c r="P2212" s="11"/>
      <c r="Q2212" s="105"/>
      <c r="R2212" s="105"/>
      <c r="S2212" s="105"/>
      <c r="T2212" s="105"/>
      <c r="U2212" s="105"/>
      <c r="V2212" s="105"/>
      <c r="W2212" s="105"/>
      <c r="X2212" s="11"/>
      <c r="Y2212" s="11"/>
      <c r="Z2212" s="105"/>
      <c r="AA2212" s="11"/>
      <c r="AB2212" s="11"/>
      <c r="AC2212" s="105"/>
      <c r="AD2212" s="11" t="b">
        <v>0</v>
      </c>
      <c r="AE2212" s="105"/>
      <c r="AF2212" s="11"/>
      <c r="AG2212" s="11"/>
      <c r="AH2212" s="11"/>
      <c r="AI2212" s="11"/>
    </row>
    <row r="2213" ht="12.5" spans="3:35">
      <c r="C2213" s="19"/>
      <c r="D2213" s="19"/>
      <c r="H2213" s="105"/>
      <c r="I2213" s="126"/>
      <c r="J2213" s="11"/>
      <c r="K2213" s="108"/>
      <c r="L2213" s="11"/>
      <c r="M2213" s="105"/>
      <c r="N2213" s="105"/>
      <c r="O2213" s="11"/>
      <c r="P2213" s="11"/>
      <c r="Q2213" s="105"/>
      <c r="R2213" s="105"/>
      <c r="S2213" s="105"/>
      <c r="T2213" s="105"/>
      <c r="U2213" s="105"/>
      <c r="V2213" s="105"/>
      <c r="W2213" s="105"/>
      <c r="X2213" s="11"/>
      <c r="Y2213" s="11"/>
      <c r="Z2213" s="105"/>
      <c r="AA2213" s="11"/>
      <c r="AB2213" s="11"/>
      <c r="AC2213" s="105"/>
      <c r="AD2213" s="11" t="b">
        <v>0</v>
      </c>
      <c r="AE2213" s="105"/>
      <c r="AF2213" s="11"/>
      <c r="AG2213" s="11"/>
      <c r="AH2213" s="11"/>
      <c r="AI2213" s="11"/>
    </row>
    <row r="2214" ht="12.5" spans="3:35">
      <c r="C2214" s="19"/>
      <c r="D2214" s="19"/>
      <c r="H2214" s="105"/>
      <c r="I2214" s="126"/>
      <c r="J2214" s="11"/>
      <c r="K2214" s="108"/>
      <c r="L2214" s="11"/>
      <c r="M2214" s="105"/>
      <c r="N2214" s="105"/>
      <c r="O2214" s="11"/>
      <c r="P2214" s="11"/>
      <c r="Q2214" s="105"/>
      <c r="R2214" s="105"/>
      <c r="S2214" s="105"/>
      <c r="T2214" s="105"/>
      <c r="U2214" s="105"/>
      <c r="V2214" s="105"/>
      <c r="W2214" s="105"/>
      <c r="X2214" s="11"/>
      <c r="Y2214" s="11"/>
      <c r="Z2214" s="105"/>
      <c r="AA2214" s="11"/>
      <c r="AB2214" s="11"/>
      <c r="AC2214" s="105"/>
      <c r="AD2214" s="11" t="b">
        <v>0</v>
      </c>
      <c r="AE2214" s="105"/>
      <c r="AF2214" s="11"/>
      <c r="AG2214" s="11"/>
      <c r="AH2214" s="11"/>
      <c r="AI2214" s="11"/>
    </row>
    <row r="2215" ht="12.5" spans="3:35">
      <c r="C2215" s="19"/>
      <c r="D2215" s="19"/>
      <c r="H2215" s="105"/>
      <c r="I2215" s="126"/>
      <c r="J2215" s="11"/>
      <c r="K2215" s="108"/>
      <c r="L2215" s="11"/>
      <c r="M2215" s="105"/>
      <c r="N2215" s="105"/>
      <c r="O2215" s="11"/>
      <c r="P2215" s="11"/>
      <c r="Q2215" s="105"/>
      <c r="R2215" s="105"/>
      <c r="S2215" s="105"/>
      <c r="T2215" s="105"/>
      <c r="U2215" s="105"/>
      <c r="V2215" s="105"/>
      <c r="W2215" s="105"/>
      <c r="X2215" s="11"/>
      <c r="Y2215" s="11"/>
      <c r="Z2215" s="105"/>
      <c r="AA2215" s="11"/>
      <c r="AB2215" s="11"/>
      <c r="AC2215" s="105"/>
      <c r="AD2215" s="11" t="b">
        <v>0</v>
      </c>
      <c r="AE2215" s="105"/>
      <c r="AF2215" s="11"/>
      <c r="AG2215" s="11"/>
      <c r="AH2215" s="11"/>
      <c r="AI2215" s="11"/>
    </row>
    <row r="2216" ht="12.5" spans="3:35">
      <c r="C2216" s="19"/>
      <c r="D2216" s="19"/>
      <c r="H2216" s="105"/>
      <c r="I2216" s="126"/>
      <c r="J2216" s="11"/>
      <c r="K2216" s="108"/>
      <c r="L2216" s="11"/>
      <c r="M2216" s="105"/>
      <c r="N2216" s="105"/>
      <c r="O2216" s="11"/>
      <c r="P2216" s="11"/>
      <c r="Q2216" s="105"/>
      <c r="R2216" s="105"/>
      <c r="S2216" s="105"/>
      <c r="T2216" s="105"/>
      <c r="U2216" s="105"/>
      <c r="V2216" s="105"/>
      <c r="W2216" s="105"/>
      <c r="X2216" s="11"/>
      <c r="Y2216" s="11"/>
      <c r="Z2216" s="105"/>
      <c r="AA2216" s="11"/>
      <c r="AB2216" s="11"/>
      <c r="AC2216" s="105"/>
      <c r="AD2216" s="11" t="b">
        <v>0</v>
      </c>
      <c r="AE2216" s="105"/>
      <c r="AF2216" s="11"/>
      <c r="AG2216" s="11"/>
      <c r="AH2216" s="11"/>
      <c r="AI2216" s="11"/>
    </row>
    <row r="2217" ht="12.5" spans="3:35">
      <c r="C2217" s="19"/>
      <c r="D2217" s="19"/>
      <c r="H2217" s="105"/>
      <c r="I2217" s="126"/>
      <c r="J2217" s="11"/>
      <c r="K2217" s="108"/>
      <c r="L2217" s="11"/>
      <c r="M2217" s="105"/>
      <c r="N2217" s="105"/>
      <c r="O2217" s="11"/>
      <c r="P2217" s="11"/>
      <c r="Q2217" s="105"/>
      <c r="R2217" s="105"/>
      <c r="S2217" s="105"/>
      <c r="T2217" s="105"/>
      <c r="U2217" s="105"/>
      <c r="V2217" s="105"/>
      <c r="W2217" s="105"/>
      <c r="X2217" s="11"/>
      <c r="Y2217" s="11"/>
      <c r="Z2217" s="105"/>
      <c r="AA2217" s="11"/>
      <c r="AB2217" s="11"/>
      <c r="AC2217" s="105"/>
      <c r="AD2217" s="11" t="b">
        <v>0</v>
      </c>
      <c r="AE2217" s="105"/>
      <c r="AF2217" s="11"/>
      <c r="AG2217" s="11"/>
      <c r="AH2217" s="11"/>
      <c r="AI2217" s="11"/>
    </row>
    <row r="2218" ht="12.5" spans="3:35">
      <c r="C2218" s="19"/>
      <c r="D2218" s="19"/>
      <c r="H2218" s="105"/>
      <c r="I2218" s="126"/>
      <c r="J2218" s="11"/>
      <c r="K2218" s="108"/>
      <c r="L2218" s="11"/>
      <c r="M2218" s="105"/>
      <c r="N2218" s="105"/>
      <c r="O2218" s="11"/>
      <c r="P2218" s="11"/>
      <c r="Q2218" s="105"/>
      <c r="R2218" s="105"/>
      <c r="S2218" s="105"/>
      <c r="T2218" s="105"/>
      <c r="U2218" s="105"/>
      <c r="V2218" s="105"/>
      <c r="W2218" s="105"/>
      <c r="X2218" s="11"/>
      <c r="Y2218" s="11"/>
      <c r="Z2218" s="105"/>
      <c r="AA2218" s="11"/>
      <c r="AB2218" s="11"/>
      <c r="AC2218" s="105"/>
      <c r="AD2218" s="11" t="b">
        <v>0</v>
      </c>
      <c r="AE2218" s="105"/>
      <c r="AF2218" s="11"/>
      <c r="AG2218" s="11"/>
      <c r="AH2218" s="11"/>
      <c r="AI2218" s="11"/>
    </row>
    <row r="2219" ht="12.5" spans="3:35">
      <c r="C2219" s="19"/>
      <c r="D2219" s="19"/>
      <c r="H2219" s="105"/>
      <c r="I2219" s="126"/>
      <c r="J2219" s="11"/>
      <c r="K2219" s="108"/>
      <c r="L2219" s="11"/>
      <c r="M2219" s="105"/>
      <c r="N2219" s="105"/>
      <c r="O2219" s="11"/>
      <c r="P2219" s="11"/>
      <c r="Q2219" s="105"/>
      <c r="R2219" s="105"/>
      <c r="S2219" s="105"/>
      <c r="T2219" s="105"/>
      <c r="U2219" s="105"/>
      <c r="V2219" s="105"/>
      <c r="W2219" s="105"/>
      <c r="X2219" s="11"/>
      <c r="Y2219" s="11"/>
      <c r="Z2219" s="105"/>
      <c r="AA2219" s="11"/>
      <c r="AB2219" s="11"/>
      <c r="AC2219" s="105"/>
      <c r="AD2219" s="11" t="b">
        <v>0</v>
      </c>
      <c r="AE2219" s="105"/>
      <c r="AF2219" s="11"/>
      <c r="AG2219" s="11"/>
      <c r="AH2219" s="11"/>
      <c r="AI2219" s="11"/>
    </row>
    <row r="2220" ht="12.5" spans="3:35">
      <c r="C2220" s="19"/>
      <c r="D2220" s="19"/>
      <c r="H2220" s="105"/>
      <c r="I2220" s="126"/>
      <c r="J2220" s="11"/>
      <c r="K2220" s="108"/>
      <c r="L2220" s="11"/>
      <c r="M2220" s="105"/>
      <c r="N2220" s="105"/>
      <c r="O2220" s="11"/>
      <c r="P2220" s="11"/>
      <c r="Q2220" s="105"/>
      <c r="R2220" s="105"/>
      <c r="S2220" s="105"/>
      <c r="T2220" s="105"/>
      <c r="U2220" s="105"/>
      <c r="V2220" s="105"/>
      <c r="W2220" s="105"/>
      <c r="X2220" s="11"/>
      <c r="Y2220" s="11"/>
      <c r="Z2220" s="105"/>
      <c r="AA2220" s="11"/>
      <c r="AB2220" s="11"/>
      <c r="AC2220" s="105"/>
      <c r="AD2220" s="11" t="b">
        <v>0</v>
      </c>
      <c r="AE2220" s="105"/>
      <c r="AF2220" s="11"/>
      <c r="AG2220" s="11"/>
      <c r="AH2220" s="11"/>
      <c r="AI2220" s="11"/>
    </row>
    <row r="2221" ht="12.5" spans="3:35">
      <c r="C2221" s="19"/>
      <c r="D2221" s="19"/>
      <c r="H2221" s="105"/>
      <c r="I2221" s="126"/>
      <c r="J2221" s="11"/>
      <c r="K2221" s="108"/>
      <c r="L2221" s="11"/>
      <c r="M2221" s="105"/>
      <c r="N2221" s="105"/>
      <c r="O2221" s="11"/>
      <c r="P2221" s="11"/>
      <c r="Q2221" s="105"/>
      <c r="R2221" s="105"/>
      <c r="S2221" s="105"/>
      <c r="T2221" s="105"/>
      <c r="U2221" s="105"/>
      <c r="V2221" s="105"/>
      <c r="W2221" s="105"/>
      <c r="X2221" s="11"/>
      <c r="Y2221" s="11"/>
      <c r="Z2221" s="105"/>
      <c r="AA2221" s="11"/>
      <c r="AB2221" s="11"/>
      <c r="AC2221" s="105"/>
      <c r="AD2221" s="11" t="b">
        <v>0</v>
      </c>
      <c r="AE2221" s="105"/>
      <c r="AF2221" s="11"/>
      <c r="AG2221" s="11"/>
      <c r="AH2221" s="11"/>
      <c r="AI2221" s="11"/>
    </row>
    <row r="2222" ht="12.5" spans="3:35">
      <c r="C2222" s="19"/>
      <c r="D2222" s="19"/>
      <c r="H2222" s="105"/>
      <c r="I2222" s="126"/>
      <c r="J2222" s="11"/>
      <c r="K2222" s="108"/>
      <c r="L2222" s="11"/>
      <c r="M2222" s="105"/>
      <c r="N2222" s="105"/>
      <c r="O2222" s="11"/>
      <c r="P2222" s="11"/>
      <c r="Q2222" s="105"/>
      <c r="R2222" s="105"/>
      <c r="S2222" s="105"/>
      <c r="T2222" s="105"/>
      <c r="U2222" s="105"/>
      <c r="V2222" s="105"/>
      <c r="W2222" s="105"/>
      <c r="X2222" s="11"/>
      <c r="Y2222" s="11"/>
      <c r="Z2222" s="105"/>
      <c r="AA2222" s="11"/>
      <c r="AB2222" s="11"/>
      <c r="AC2222" s="105"/>
      <c r="AD2222" s="11" t="b">
        <v>0</v>
      </c>
      <c r="AE2222" s="105"/>
      <c r="AF2222" s="11"/>
      <c r="AG2222" s="11"/>
      <c r="AH2222" s="11"/>
      <c r="AI2222" s="11"/>
    </row>
    <row r="2223" ht="12.5" spans="3:35">
      <c r="C2223" s="19"/>
      <c r="D2223" s="19"/>
      <c r="H2223" s="105"/>
      <c r="I2223" s="126"/>
      <c r="J2223" s="11"/>
      <c r="K2223" s="108"/>
      <c r="L2223" s="11"/>
      <c r="M2223" s="105"/>
      <c r="N2223" s="105"/>
      <c r="O2223" s="11"/>
      <c r="P2223" s="11"/>
      <c r="Q2223" s="105"/>
      <c r="R2223" s="105"/>
      <c r="S2223" s="105"/>
      <c r="T2223" s="105"/>
      <c r="U2223" s="105"/>
      <c r="V2223" s="105"/>
      <c r="W2223" s="105"/>
      <c r="X2223" s="11"/>
      <c r="Y2223" s="11"/>
      <c r="Z2223" s="105"/>
      <c r="AA2223" s="11"/>
      <c r="AB2223" s="11"/>
      <c r="AC2223" s="105"/>
      <c r="AD2223" s="11" t="b">
        <v>0</v>
      </c>
      <c r="AE2223" s="105"/>
      <c r="AF2223" s="11"/>
      <c r="AG2223" s="11"/>
      <c r="AH2223" s="11"/>
      <c r="AI2223" s="11"/>
    </row>
    <row r="2224" ht="12.5" spans="3:35">
      <c r="C2224" s="19"/>
      <c r="D2224" s="19"/>
      <c r="H2224" s="105"/>
      <c r="I2224" s="126"/>
      <c r="J2224" s="11"/>
      <c r="K2224" s="108"/>
      <c r="L2224" s="11"/>
      <c r="M2224" s="105"/>
      <c r="N2224" s="105"/>
      <c r="O2224" s="11"/>
      <c r="P2224" s="11"/>
      <c r="Q2224" s="105"/>
      <c r="R2224" s="105"/>
      <c r="S2224" s="105"/>
      <c r="T2224" s="105"/>
      <c r="U2224" s="105"/>
      <c r="V2224" s="105"/>
      <c r="W2224" s="105"/>
      <c r="X2224" s="11"/>
      <c r="Y2224" s="11"/>
      <c r="Z2224" s="105"/>
      <c r="AA2224" s="11"/>
      <c r="AB2224" s="11"/>
      <c r="AC2224" s="105"/>
      <c r="AD2224" s="11" t="b">
        <v>0</v>
      </c>
      <c r="AE2224" s="105"/>
      <c r="AF2224" s="11"/>
      <c r="AG2224" s="11"/>
      <c r="AH2224" s="11"/>
      <c r="AI2224" s="11"/>
    </row>
    <row r="2225" ht="12.5" spans="3:35">
      <c r="C2225" s="19"/>
      <c r="D2225" s="19"/>
      <c r="H2225" s="105"/>
      <c r="I2225" s="126"/>
      <c r="J2225" s="11"/>
      <c r="K2225" s="108"/>
      <c r="L2225" s="11"/>
      <c r="M2225" s="105"/>
      <c r="N2225" s="105"/>
      <c r="O2225" s="11"/>
      <c r="P2225" s="11"/>
      <c r="Q2225" s="105"/>
      <c r="R2225" s="105"/>
      <c r="S2225" s="105"/>
      <c r="T2225" s="105"/>
      <c r="U2225" s="105"/>
      <c r="V2225" s="105"/>
      <c r="W2225" s="105"/>
      <c r="X2225" s="11"/>
      <c r="Y2225" s="11"/>
      <c r="Z2225" s="105"/>
      <c r="AA2225" s="11"/>
      <c r="AB2225" s="11"/>
      <c r="AC2225" s="105"/>
      <c r="AD2225" s="11" t="b">
        <v>0</v>
      </c>
      <c r="AE2225" s="105"/>
      <c r="AF2225" s="11"/>
      <c r="AG2225" s="11"/>
      <c r="AH2225" s="11"/>
      <c r="AI2225" s="11"/>
    </row>
    <row r="2226" ht="12.5" spans="3:35">
      <c r="C2226" s="19"/>
      <c r="D2226" s="19"/>
      <c r="H2226" s="105"/>
      <c r="I2226" s="126"/>
      <c r="J2226" s="11"/>
      <c r="K2226" s="108"/>
      <c r="L2226" s="11"/>
      <c r="M2226" s="105"/>
      <c r="N2226" s="105"/>
      <c r="O2226" s="11"/>
      <c r="P2226" s="11"/>
      <c r="Q2226" s="105"/>
      <c r="R2226" s="105"/>
      <c r="S2226" s="105"/>
      <c r="T2226" s="105"/>
      <c r="U2226" s="105"/>
      <c r="V2226" s="105"/>
      <c r="W2226" s="105"/>
      <c r="X2226" s="11"/>
      <c r="Y2226" s="11"/>
      <c r="Z2226" s="105"/>
      <c r="AA2226" s="11"/>
      <c r="AB2226" s="11"/>
      <c r="AC2226" s="105"/>
      <c r="AD2226" s="11" t="b">
        <v>0</v>
      </c>
      <c r="AE2226" s="105"/>
      <c r="AF2226" s="11"/>
      <c r="AG2226" s="11"/>
      <c r="AH2226" s="11"/>
      <c r="AI2226" s="11"/>
    </row>
    <row r="2227" ht="12.5" spans="3:35">
      <c r="C2227" s="19"/>
      <c r="D2227" s="19"/>
      <c r="H2227" s="105"/>
      <c r="I2227" s="126"/>
      <c r="J2227" s="11"/>
      <c r="K2227" s="108"/>
      <c r="L2227" s="11"/>
      <c r="M2227" s="105"/>
      <c r="N2227" s="105"/>
      <c r="O2227" s="11"/>
      <c r="P2227" s="11"/>
      <c r="Q2227" s="105"/>
      <c r="R2227" s="105"/>
      <c r="S2227" s="105"/>
      <c r="T2227" s="105"/>
      <c r="U2227" s="105"/>
      <c r="V2227" s="105"/>
      <c r="W2227" s="105"/>
      <c r="X2227" s="11"/>
      <c r="Y2227" s="11"/>
      <c r="Z2227" s="105"/>
      <c r="AA2227" s="11"/>
      <c r="AB2227" s="11"/>
      <c r="AC2227" s="105"/>
      <c r="AD2227" s="11" t="b">
        <v>0</v>
      </c>
      <c r="AE2227" s="105"/>
      <c r="AF2227" s="11"/>
      <c r="AG2227" s="11"/>
      <c r="AH2227" s="11"/>
      <c r="AI2227" s="11"/>
    </row>
    <row r="2228" ht="12.5" spans="3:35">
      <c r="C2228" s="19"/>
      <c r="D2228" s="19"/>
      <c r="H2228" s="105"/>
      <c r="I2228" s="126"/>
      <c r="J2228" s="11"/>
      <c r="K2228" s="108"/>
      <c r="L2228" s="11"/>
      <c r="M2228" s="105"/>
      <c r="N2228" s="105"/>
      <c r="O2228" s="11"/>
      <c r="P2228" s="11"/>
      <c r="Q2228" s="105"/>
      <c r="R2228" s="105"/>
      <c r="S2228" s="105"/>
      <c r="T2228" s="105"/>
      <c r="U2228" s="105"/>
      <c r="V2228" s="105"/>
      <c r="W2228" s="105"/>
      <c r="X2228" s="11"/>
      <c r="Y2228" s="11"/>
      <c r="Z2228" s="105"/>
      <c r="AA2228" s="11"/>
      <c r="AB2228" s="11"/>
      <c r="AC2228" s="105"/>
      <c r="AD2228" s="11" t="b">
        <v>0</v>
      </c>
      <c r="AE2228" s="105"/>
      <c r="AF2228" s="11"/>
      <c r="AG2228" s="11"/>
      <c r="AH2228" s="11"/>
      <c r="AI2228" s="11"/>
    </row>
    <row r="2229" ht="12.5" spans="3:35">
      <c r="C2229" s="19"/>
      <c r="D2229" s="19"/>
      <c r="H2229" s="105"/>
      <c r="I2229" s="126"/>
      <c r="J2229" s="11"/>
      <c r="K2229" s="108"/>
      <c r="L2229" s="11"/>
      <c r="M2229" s="105"/>
      <c r="N2229" s="105"/>
      <c r="O2229" s="11"/>
      <c r="P2229" s="11"/>
      <c r="Q2229" s="105"/>
      <c r="R2229" s="105"/>
      <c r="S2229" s="105"/>
      <c r="T2229" s="105"/>
      <c r="U2229" s="105"/>
      <c r="V2229" s="105"/>
      <c r="W2229" s="105"/>
      <c r="X2229" s="11"/>
      <c r="Y2229" s="11"/>
      <c r="Z2229" s="105"/>
      <c r="AA2229" s="11"/>
      <c r="AB2229" s="11"/>
      <c r="AC2229" s="105"/>
      <c r="AD2229" s="11" t="b">
        <v>0</v>
      </c>
      <c r="AE2229" s="105"/>
      <c r="AF2229" s="11"/>
      <c r="AG2229" s="11"/>
      <c r="AH2229" s="11"/>
      <c r="AI2229" s="11"/>
    </row>
    <row r="2230" ht="12.5" spans="3:35">
      <c r="C2230" s="19"/>
      <c r="D2230" s="19"/>
      <c r="H2230" s="105"/>
      <c r="I2230" s="126"/>
      <c r="J2230" s="11"/>
      <c r="K2230" s="108"/>
      <c r="L2230" s="11"/>
      <c r="M2230" s="105"/>
      <c r="N2230" s="105"/>
      <c r="O2230" s="11"/>
      <c r="P2230" s="11"/>
      <c r="Q2230" s="105"/>
      <c r="R2230" s="105"/>
      <c r="S2230" s="105"/>
      <c r="T2230" s="105"/>
      <c r="U2230" s="105"/>
      <c r="V2230" s="105"/>
      <c r="W2230" s="105"/>
      <c r="X2230" s="11"/>
      <c r="Y2230" s="11"/>
      <c r="Z2230" s="105"/>
      <c r="AA2230" s="11"/>
      <c r="AB2230" s="11"/>
      <c r="AC2230" s="105"/>
      <c r="AD2230" s="11" t="b">
        <v>0</v>
      </c>
      <c r="AE2230" s="105"/>
      <c r="AG2230" s="11"/>
      <c r="AH2230" s="11"/>
      <c r="AI2230" s="11"/>
    </row>
    <row r="2231" ht="12.5" spans="3:35">
      <c r="C2231" s="19"/>
      <c r="D2231" s="19"/>
      <c r="H2231" s="105"/>
      <c r="I2231" s="126"/>
      <c r="J2231" s="11"/>
      <c r="K2231" s="108"/>
      <c r="L2231" s="11"/>
      <c r="M2231" s="105"/>
      <c r="N2231" s="105"/>
      <c r="O2231" s="11"/>
      <c r="P2231" s="11"/>
      <c r="Q2231" s="105"/>
      <c r="R2231" s="105"/>
      <c r="S2231" s="105"/>
      <c r="T2231" s="105"/>
      <c r="U2231" s="105"/>
      <c r="V2231" s="105"/>
      <c r="W2231" s="105"/>
      <c r="X2231" s="11"/>
      <c r="Y2231" s="11"/>
      <c r="Z2231" s="105"/>
      <c r="AA2231" s="11"/>
      <c r="AB2231" s="11"/>
      <c r="AC2231" s="105"/>
      <c r="AD2231" s="11" t="b">
        <v>0</v>
      </c>
      <c r="AE2231" s="105"/>
      <c r="AF2231" s="11"/>
      <c r="AG2231" s="11"/>
      <c r="AH2231" s="11"/>
      <c r="AI2231" s="11"/>
    </row>
    <row r="2232" ht="12.5" spans="3:35">
      <c r="C2232" s="19"/>
      <c r="D2232" s="19"/>
      <c r="H2232" s="105"/>
      <c r="I2232" s="126"/>
      <c r="J2232" s="11"/>
      <c r="K2232" s="108"/>
      <c r="L2232" s="11"/>
      <c r="M2232" s="105"/>
      <c r="N2232" s="105"/>
      <c r="O2232" s="11"/>
      <c r="P2232" s="11"/>
      <c r="Q2232" s="105"/>
      <c r="R2232" s="105"/>
      <c r="S2232" s="105"/>
      <c r="T2232" s="105"/>
      <c r="U2232" s="105"/>
      <c r="V2232" s="105"/>
      <c r="W2232" s="105"/>
      <c r="X2232" s="11"/>
      <c r="Y2232" s="11"/>
      <c r="Z2232" s="105"/>
      <c r="AA2232" s="11"/>
      <c r="AB2232" s="11"/>
      <c r="AC2232" s="105"/>
      <c r="AD2232" s="11" t="b">
        <v>0</v>
      </c>
      <c r="AE2232" s="105"/>
      <c r="AF2232" s="11"/>
      <c r="AG2232" s="11"/>
      <c r="AH2232" s="11"/>
      <c r="AI2232" s="11"/>
    </row>
    <row r="2233" ht="12.5" spans="3:35">
      <c r="C2233" s="19"/>
      <c r="D2233" s="19"/>
      <c r="H2233" s="105"/>
      <c r="I2233" s="126"/>
      <c r="J2233" s="11"/>
      <c r="K2233" s="108"/>
      <c r="L2233" s="11"/>
      <c r="M2233" s="105"/>
      <c r="N2233" s="105"/>
      <c r="O2233" s="11"/>
      <c r="P2233" s="11"/>
      <c r="Q2233" s="105"/>
      <c r="R2233" s="105"/>
      <c r="S2233" s="105"/>
      <c r="T2233" s="105"/>
      <c r="U2233" s="105"/>
      <c r="V2233" s="105"/>
      <c r="W2233" s="105"/>
      <c r="X2233" s="11"/>
      <c r="Y2233" s="11"/>
      <c r="Z2233" s="105"/>
      <c r="AA2233" s="11"/>
      <c r="AB2233" s="11"/>
      <c r="AC2233" s="105"/>
      <c r="AD2233" s="11" t="b">
        <v>0</v>
      </c>
      <c r="AE2233" s="105"/>
      <c r="AF2233" s="11"/>
      <c r="AG2233" s="11"/>
      <c r="AH2233" s="11"/>
      <c r="AI2233" s="11"/>
    </row>
    <row r="2234" ht="12.5" spans="3:35">
      <c r="C2234" s="19"/>
      <c r="D2234" s="19"/>
      <c r="H2234" s="105"/>
      <c r="I2234" s="126"/>
      <c r="J2234" s="11"/>
      <c r="K2234" s="108"/>
      <c r="L2234" s="11"/>
      <c r="M2234" s="105"/>
      <c r="N2234" s="105"/>
      <c r="O2234" s="11"/>
      <c r="P2234" s="11"/>
      <c r="Q2234" s="105"/>
      <c r="R2234" s="105"/>
      <c r="S2234" s="105"/>
      <c r="T2234" s="105"/>
      <c r="U2234" s="105"/>
      <c r="V2234" s="105"/>
      <c r="W2234" s="105"/>
      <c r="X2234" s="11"/>
      <c r="Y2234" s="11"/>
      <c r="Z2234" s="105"/>
      <c r="AA2234" s="11"/>
      <c r="AB2234" s="11"/>
      <c r="AC2234" s="105"/>
      <c r="AD2234" s="11" t="b">
        <v>0</v>
      </c>
      <c r="AE2234" s="105"/>
      <c r="AF2234" s="11"/>
      <c r="AG2234" s="11"/>
      <c r="AH2234" s="11"/>
      <c r="AI2234" s="11"/>
    </row>
    <row r="2235" ht="12.5" spans="3:35">
      <c r="C2235" s="19"/>
      <c r="D2235" s="19"/>
      <c r="H2235" s="105"/>
      <c r="I2235" s="126"/>
      <c r="J2235" s="11"/>
      <c r="K2235" s="108"/>
      <c r="L2235" s="11"/>
      <c r="M2235" s="105"/>
      <c r="N2235" s="105"/>
      <c r="O2235" s="11"/>
      <c r="P2235" s="11"/>
      <c r="Q2235" s="105"/>
      <c r="R2235" s="105"/>
      <c r="S2235" s="105"/>
      <c r="T2235" s="105"/>
      <c r="U2235" s="105"/>
      <c r="V2235" s="105"/>
      <c r="W2235" s="105"/>
      <c r="X2235" s="11"/>
      <c r="Y2235" s="11"/>
      <c r="Z2235" s="105"/>
      <c r="AA2235" s="11"/>
      <c r="AB2235" s="11"/>
      <c r="AC2235" s="105"/>
      <c r="AD2235" s="11" t="b">
        <v>0</v>
      </c>
      <c r="AE2235" s="105"/>
      <c r="AF2235" s="11"/>
      <c r="AG2235" s="11"/>
      <c r="AH2235" s="11"/>
      <c r="AI2235" s="11"/>
    </row>
    <row r="2236" ht="12.5" spans="3:35">
      <c r="C2236" s="19"/>
      <c r="D2236" s="19"/>
      <c r="H2236" s="105"/>
      <c r="I2236" s="126"/>
      <c r="J2236" s="11"/>
      <c r="K2236" s="108"/>
      <c r="L2236" s="11"/>
      <c r="M2236" s="105"/>
      <c r="N2236" s="105"/>
      <c r="O2236" s="11"/>
      <c r="P2236" s="11"/>
      <c r="Q2236" s="105"/>
      <c r="R2236" s="105"/>
      <c r="S2236" s="105"/>
      <c r="T2236" s="105"/>
      <c r="U2236" s="105"/>
      <c r="V2236" s="105"/>
      <c r="W2236" s="105"/>
      <c r="X2236" s="11"/>
      <c r="Y2236" s="11"/>
      <c r="Z2236" s="105"/>
      <c r="AA2236" s="11"/>
      <c r="AB2236" s="11"/>
      <c r="AC2236" s="105"/>
      <c r="AD2236" s="11" t="b">
        <v>0</v>
      </c>
      <c r="AE2236" s="105"/>
      <c r="AF2236" s="11"/>
      <c r="AG2236" s="11"/>
      <c r="AH2236" s="11"/>
      <c r="AI2236" s="11"/>
    </row>
    <row r="2237" ht="12.5" spans="3:35">
      <c r="C2237" s="19"/>
      <c r="D2237" s="19"/>
      <c r="H2237" s="105"/>
      <c r="I2237" s="126"/>
      <c r="J2237" s="11"/>
      <c r="K2237" s="108"/>
      <c r="L2237" s="11"/>
      <c r="M2237" s="105"/>
      <c r="N2237" s="105"/>
      <c r="O2237" s="11"/>
      <c r="P2237" s="11"/>
      <c r="Q2237" s="105"/>
      <c r="R2237" s="105"/>
      <c r="S2237" s="105"/>
      <c r="T2237" s="105"/>
      <c r="U2237" s="105"/>
      <c r="V2237" s="105"/>
      <c r="W2237" s="105"/>
      <c r="X2237" s="11"/>
      <c r="Y2237" s="11"/>
      <c r="Z2237" s="105"/>
      <c r="AA2237" s="11"/>
      <c r="AB2237" s="11"/>
      <c r="AC2237" s="105"/>
      <c r="AD2237" s="11" t="b">
        <v>0</v>
      </c>
      <c r="AE2237" s="105"/>
      <c r="AF2237" s="11"/>
      <c r="AG2237" s="11"/>
      <c r="AH2237" s="11"/>
      <c r="AI2237" s="11"/>
    </row>
    <row r="2238" ht="12.5" spans="3:35">
      <c r="C2238" s="19"/>
      <c r="D2238" s="19"/>
      <c r="H2238" s="105"/>
      <c r="I2238" s="126"/>
      <c r="J2238" s="11"/>
      <c r="K2238" s="108"/>
      <c r="L2238" s="11"/>
      <c r="M2238" s="105"/>
      <c r="N2238" s="105"/>
      <c r="O2238" s="11"/>
      <c r="P2238" s="11"/>
      <c r="Q2238" s="105"/>
      <c r="R2238" s="105"/>
      <c r="S2238" s="105"/>
      <c r="T2238" s="105"/>
      <c r="U2238" s="105"/>
      <c r="V2238" s="105"/>
      <c r="W2238" s="105"/>
      <c r="X2238" s="11"/>
      <c r="Y2238" s="11"/>
      <c r="Z2238" s="105"/>
      <c r="AA2238" s="11"/>
      <c r="AB2238" s="11"/>
      <c r="AC2238" s="105"/>
      <c r="AD2238" s="11" t="b">
        <v>0</v>
      </c>
      <c r="AE2238" s="105"/>
      <c r="AF2238" s="11"/>
      <c r="AG2238" s="11"/>
      <c r="AH2238" s="11"/>
      <c r="AI2238" s="11"/>
    </row>
    <row r="2239" ht="12.5" spans="3:35">
      <c r="C2239" s="19"/>
      <c r="D2239" s="19"/>
      <c r="H2239" s="105"/>
      <c r="I2239" s="126"/>
      <c r="J2239" s="11"/>
      <c r="K2239" s="108"/>
      <c r="L2239" s="11"/>
      <c r="M2239" s="105"/>
      <c r="N2239" s="105"/>
      <c r="O2239" s="11"/>
      <c r="P2239" s="11"/>
      <c r="Q2239" s="105"/>
      <c r="R2239" s="105"/>
      <c r="S2239" s="105"/>
      <c r="T2239" s="105"/>
      <c r="U2239" s="105"/>
      <c r="V2239" s="105"/>
      <c r="W2239" s="105"/>
      <c r="X2239" s="11"/>
      <c r="Y2239" s="11"/>
      <c r="Z2239" s="105"/>
      <c r="AA2239" s="11"/>
      <c r="AB2239" s="11"/>
      <c r="AC2239" s="105"/>
      <c r="AD2239" s="11" t="b">
        <v>0</v>
      </c>
      <c r="AE2239" s="105"/>
      <c r="AF2239" s="11"/>
      <c r="AG2239" s="11"/>
      <c r="AH2239" s="11"/>
      <c r="AI2239" s="11"/>
    </row>
    <row r="2240" ht="12.5" spans="3:35">
      <c r="C2240" s="19"/>
      <c r="D2240" s="19"/>
      <c r="H2240" s="105"/>
      <c r="I2240" s="126"/>
      <c r="J2240" s="11"/>
      <c r="K2240" s="108"/>
      <c r="L2240" s="11"/>
      <c r="M2240" s="105"/>
      <c r="N2240" s="105"/>
      <c r="O2240" s="11"/>
      <c r="P2240" s="11"/>
      <c r="Q2240" s="105"/>
      <c r="R2240" s="105"/>
      <c r="S2240" s="105"/>
      <c r="T2240" s="105"/>
      <c r="U2240" s="105"/>
      <c r="V2240" s="105"/>
      <c r="W2240" s="105"/>
      <c r="X2240" s="11"/>
      <c r="Y2240" s="11"/>
      <c r="Z2240" s="105"/>
      <c r="AA2240" s="11"/>
      <c r="AB2240" s="11"/>
      <c r="AC2240" s="105"/>
      <c r="AD2240" s="11" t="b">
        <v>0</v>
      </c>
      <c r="AE2240" s="105"/>
      <c r="AF2240" s="11"/>
      <c r="AG2240" s="11"/>
      <c r="AH2240" s="11"/>
      <c r="AI2240" s="11"/>
    </row>
    <row r="2241" ht="12.5" spans="3:35">
      <c r="C2241" s="19"/>
      <c r="D2241" s="19"/>
      <c r="H2241" s="105"/>
      <c r="I2241" s="126"/>
      <c r="J2241" s="11"/>
      <c r="K2241" s="108"/>
      <c r="L2241" s="11"/>
      <c r="M2241" s="105"/>
      <c r="N2241" s="105"/>
      <c r="O2241" s="11"/>
      <c r="P2241" s="11"/>
      <c r="Q2241" s="105"/>
      <c r="R2241" s="105"/>
      <c r="S2241" s="105"/>
      <c r="T2241" s="105"/>
      <c r="U2241" s="105"/>
      <c r="V2241" s="105"/>
      <c r="W2241" s="105"/>
      <c r="X2241" s="11"/>
      <c r="Y2241" s="11"/>
      <c r="Z2241" s="105"/>
      <c r="AA2241" s="11"/>
      <c r="AB2241" s="11"/>
      <c r="AC2241" s="105"/>
      <c r="AD2241" s="11" t="b">
        <v>0</v>
      </c>
      <c r="AE2241" s="105"/>
      <c r="AF2241" s="11"/>
      <c r="AG2241" s="11"/>
      <c r="AH2241" s="11"/>
      <c r="AI2241" s="11"/>
    </row>
    <row r="2242" ht="12.5" spans="3:35">
      <c r="C2242" s="19"/>
      <c r="D2242" s="19"/>
      <c r="H2242" s="105"/>
      <c r="I2242" s="126"/>
      <c r="J2242" s="11"/>
      <c r="K2242" s="108"/>
      <c r="L2242" s="11"/>
      <c r="M2242" s="105"/>
      <c r="N2242" s="105"/>
      <c r="O2242" s="11"/>
      <c r="P2242" s="11"/>
      <c r="Q2242" s="105"/>
      <c r="R2242" s="105"/>
      <c r="S2242" s="105"/>
      <c r="T2242" s="105"/>
      <c r="U2242" s="105"/>
      <c r="V2242" s="105"/>
      <c r="W2242" s="105"/>
      <c r="X2242" s="11"/>
      <c r="Y2242" s="11"/>
      <c r="Z2242" s="105"/>
      <c r="AA2242" s="11"/>
      <c r="AB2242" s="11"/>
      <c r="AC2242" s="105"/>
      <c r="AD2242" s="11" t="b">
        <v>0</v>
      </c>
      <c r="AE2242" s="105"/>
      <c r="AF2242" s="11"/>
      <c r="AG2242" s="11"/>
      <c r="AH2242" s="11"/>
      <c r="AI2242" s="11"/>
    </row>
    <row r="2243" ht="12.5" spans="3:35">
      <c r="C2243" s="19"/>
      <c r="D2243" s="19"/>
      <c r="H2243" s="105"/>
      <c r="I2243" s="126"/>
      <c r="J2243" s="11"/>
      <c r="K2243" s="108"/>
      <c r="L2243" s="11"/>
      <c r="M2243" s="105"/>
      <c r="N2243" s="105"/>
      <c r="O2243" s="11"/>
      <c r="P2243" s="11"/>
      <c r="Q2243" s="105"/>
      <c r="R2243" s="105"/>
      <c r="S2243" s="105"/>
      <c r="T2243" s="105"/>
      <c r="U2243" s="105"/>
      <c r="V2243" s="105"/>
      <c r="W2243" s="105"/>
      <c r="X2243" s="11"/>
      <c r="Y2243" s="11"/>
      <c r="Z2243" s="105"/>
      <c r="AA2243" s="11"/>
      <c r="AB2243" s="11"/>
      <c r="AC2243" s="105"/>
      <c r="AD2243" s="11" t="b">
        <v>0</v>
      </c>
      <c r="AE2243" s="105"/>
      <c r="AF2243" s="11"/>
      <c r="AG2243" s="11"/>
      <c r="AH2243" s="11"/>
      <c r="AI2243" s="11"/>
    </row>
    <row r="2244" ht="12.5" spans="3:35">
      <c r="C2244" s="19"/>
      <c r="D2244" s="19"/>
      <c r="H2244" s="105"/>
      <c r="I2244" s="126"/>
      <c r="J2244" s="11"/>
      <c r="K2244" s="108"/>
      <c r="L2244" s="11"/>
      <c r="M2244" s="105"/>
      <c r="N2244" s="105"/>
      <c r="O2244" s="11"/>
      <c r="P2244" s="11"/>
      <c r="Q2244" s="105"/>
      <c r="R2244" s="105"/>
      <c r="S2244" s="105"/>
      <c r="T2244" s="105"/>
      <c r="U2244" s="105"/>
      <c r="V2244" s="105"/>
      <c r="W2244" s="105"/>
      <c r="X2244" s="11"/>
      <c r="Y2244" s="11"/>
      <c r="Z2244" s="105"/>
      <c r="AA2244" s="11"/>
      <c r="AB2244" s="11"/>
      <c r="AC2244" s="105"/>
      <c r="AD2244" s="11" t="b">
        <v>0</v>
      </c>
      <c r="AE2244" s="105"/>
      <c r="AF2244" s="11"/>
      <c r="AG2244" s="11"/>
      <c r="AH2244" s="11"/>
      <c r="AI2244" s="11"/>
    </row>
    <row r="2245" ht="12.5" spans="3:35">
      <c r="C2245" s="19"/>
      <c r="D2245" s="19"/>
      <c r="H2245" s="105"/>
      <c r="I2245" s="126"/>
      <c r="J2245" s="11"/>
      <c r="K2245" s="108"/>
      <c r="L2245" s="11"/>
      <c r="M2245" s="105"/>
      <c r="N2245" s="105"/>
      <c r="O2245" s="11"/>
      <c r="P2245" s="11"/>
      <c r="Q2245" s="105"/>
      <c r="R2245" s="105"/>
      <c r="S2245" s="105"/>
      <c r="T2245" s="105"/>
      <c r="U2245" s="105"/>
      <c r="V2245" s="105"/>
      <c r="W2245" s="105"/>
      <c r="X2245" s="11"/>
      <c r="Y2245" s="11"/>
      <c r="Z2245" s="105"/>
      <c r="AA2245" s="11"/>
      <c r="AB2245" s="11"/>
      <c r="AC2245" s="105"/>
      <c r="AD2245" s="11" t="b">
        <v>0</v>
      </c>
      <c r="AE2245" s="105"/>
      <c r="AF2245" s="11"/>
      <c r="AG2245" s="11"/>
      <c r="AH2245" s="11"/>
      <c r="AI2245" s="11"/>
    </row>
    <row r="2246" ht="12.5" spans="3:35">
      <c r="C2246" s="19"/>
      <c r="D2246" s="19"/>
      <c r="H2246" s="105"/>
      <c r="I2246" s="126"/>
      <c r="J2246" s="11"/>
      <c r="K2246" s="108"/>
      <c r="L2246" s="11"/>
      <c r="M2246" s="105"/>
      <c r="N2246" s="105"/>
      <c r="O2246" s="11"/>
      <c r="P2246" s="11"/>
      <c r="Q2246" s="105"/>
      <c r="R2246" s="105"/>
      <c r="S2246" s="105"/>
      <c r="T2246" s="105"/>
      <c r="U2246" s="105"/>
      <c r="V2246" s="105"/>
      <c r="W2246" s="105"/>
      <c r="X2246" s="11"/>
      <c r="Y2246" s="11"/>
      <c r="Z2246" s="105"/>
      <c r="AA2246" s="11"/>
      <c r="AB2246" s="11"/>
      <c r="AC2246" s="105"/>
      <c r="AD2246" s="11" t="b">
        <v>0</v>
      </c>
      <c r="AE2246" s="105"/>
      <c r="AF2246" s="11"/>
      <c r="AG2246" s="11"/>
      <c r="AH2246" s="11"/>
      <c r="AI2246" s="11"/>
    </row>
    <row r="2247" ht="12.5" spans="3:35">
      <c r="C2247" s="19"/>
      <c r="D2247" s="19"/>
      <c r="H2247" s="105"/>
      <c r="I2247" s="126"/>
      <c r="J2247" s="11"/>
      <c r="K2247" s="108"/>
      <c r="L2247" s="11"/>
      <c r="M2247" s="105"/>
      <c r="N2247" s="105"/>
      <c r="O2247" s="11"/>
      <c r="P2247" s="11"/>
      <c r="Q2247" s="105"/>
      <c r="R2247" s="105"/>
      <c r="S2247" s="105"/>
      <c r="T2247" s="105"/>
      <c r="U2247" s="105"/>
      <c r="V2247" s="105"/>
      <c r="W2247" s="105"/>
      <c r="X2247" s="11"/>
      <c r="Y2247" s="11"/>
      <c r="Z2247" s="105"/>
      <c r="AA2247" s="11"/>
      <c r="AB2247" s="11"/>
      <c r="AC2247" s="105"/>
      <c r="AD2247" s="11" t="b">
        <v>0</v>
      </c>
      <c r="AE2247" s="105"/>
      <c r="AF2247" s="11"/>
      <c r="AG2247" s="11"/>
      <c r="AH2247" s="11"/>
      <c r="AI2247" s="11"/>
    </row>
    <row r="2248" ht="12.5" spans="3:35">
      <c r="C2248" s="19"/>
      <c r="D2248" s="19"/>
      <c r="H2248" s="105"/>
      <c r="I2248" s="126"/>
      <c r="J2248" s="11"/>
      <c r="K2248" s="108"/>
      <c r="L2248" s="11"/>
      <c r="M2248" s="105"/>
      <c r="N2248" s="105"/>
      <c r="O2248" s="11"/>
      <c r="P2248" s="11"/>
      <c r="Q2248" s="105"/>
      <c r="R2248" s="105"/>
      <c r="S2248" s="105"/>
      <c r="T2248" s="105"/>
      <c r="U2248" s="105"/>
      <c r="V2248" s="105"/>
      <c r="W2248" s="105"/>
      <c r="X2248" s="11"/>
      <c r="Y2248" s="11"/>
      <c r="Z2248" s="105"/>
      <c r="AA2248" s="11"/>
      <c r="AB2248" s="11"/>
      <c r="AC2248" s="105"/>
      <c r="AD2248" s="11" t="b">
        <v>0</v>
      </c>
      <c r="AE2248" s="105"/>
      <c r="AF2248" s="11"/>
      <c r="AG2248" s="11"/>
      <c r="AH2248" s="11"/>
      <c r="AI2248" s="11"/>
    </row>
    <row r="2249" ht="12.5" spans="3:35">
      <c r="C2249" s="19"/>
      <c r="D2249" s="19"/>
      <c r="H2249" s="105"/>
      <c r="I2249" s="126"/>
      <c r="J2249" s="11"/>
      <c r="K2249" s="108"/>
      <c r="L2249" s="11"/>
      <c r="M2249" s="105"/>
      <c r="N2249" s="105"/>
      <c r="O2249" s="11"/>
      <c r="P2249" s="11"/>
      <c r="Q2249" s="105"/>
      <c r="R2249" s="105"/>
      <c r="S2249" s="105"/>
      <c r="T2249" s="105"/>
      <c r="U2249" s="105"/>
      <c r="V2249" s="105"/>
      <c r="W2249" s="105"/>
      <c r="X2249" s="11"/>
      <c r="Y2249" s="11"/>
      <c r="Z2249" s="105"/>
      <c r="AA2249" s="11"/>
      <c r="AB2249" s="11"/>
      <c r="AC2249" s="105"/>
      <c r="AD2249" s="11" t="b">
        <v>0</v>
      </c>
      <c r="AE2249" s="105"/>
      <c r="AF2249" s="11"/>
      <c r="AG2249" s="11"/>
      <c r="AH2249" s="11"/>
      <c r="AI2249" s="11"/>
    </row>
    <row r="2250" ht="12.5" spans="3:35">
      <c r="C2250" s="19"/>
      <c r="D2250" s="19"/>
      <c r="H2250" s="105"/>
      <c r="I2250" s="126"/>
      <c r="J2250" s="11"/>
      <c r="K2250" s="108"/>
      <c r="L2250" s="11"/>
      <c r="M2250" s="105"/>
      <c r="N2250" s="105"/>
      <c r="O2250" s="11"/>
      <c r="P2250" s="11"/>
      <c r="Q2250" s="105"/>
      <c r="R2250" s="105"/>
      <c r="S2250" s="105"/>
      <c r="T2250" s="105"/>
      <c r="U2250" s="105"/>
      <c r="V2250" s="105"/>
      <c r="W2250" s="105"/>
      <c r="X2250" s="11"/>
      <c r="Y2250" s="11"/>
      <c r="Z2250" s="105"/>
      <c r="AA2250" s="11"/>
      <c r="AB2250" s="11"/>
      <c r="AC2250" s="105"/>
      <c r="AD2250" s="11" t="b">
        <v>0</v>
      </c>
      <c r="AE2250" s="105"/>
      <c r="AF2250" s="11"/>
      <c r="AG2250" s="11"/>
      <c r="AH2250" s="11"/>
      <c r="AI2250" s="11"/>
    </row>
    <row r="2251" ht="12.5" spans="3:35">
      <c r="C2251" s="19"/>
      <c r="D2251" s="19"/>
      <c r="H2251" s="105"/>
      <c r="I2251" s="126"/>
      <c r="J2251" s="11"/>
      <c r="K2251" s="108"/>
      <c r="L2251" s="11"/>
      <c r="M2251" s="105"/>
      <c r="N2251" s="105"/>
      <c r="O2251" s="11"/>
      <c r="P2251" s="11"/>
      <c r="Q2251" s="105"/>
      <c r="R2251" s="105"/>
      <c r="S2251" s="105"/>
      <c r="T2251" s="105"/>
      <c r="U2251" s="105"/>
      <c r="V2251" s="105"/>
      <c r="W2251" s="105"/>
      <c r="X2251" s="11"/>
      <c r="Y2251" s="11"/>
      <c r="Z2251" s="105"/>
      <c r="AA2251" s="11"/>
      <c r="AB2251" s="11"/>
      <c r="AC2251" s="105"/>
      <c r="AD2251" s="11" t="b">
        <v>0</v>
      </c>
      <c r="AE2251" s="105"/>
      <c r="AF2251" s="11"/>
      <c r="AG2251" s="11"/>
      <c r="AH2251" s="11"/>
      <c r="AI2251" s="11"/>
    </row>
    <row r="2252" ht="12.5" spans="3:35">
      <c r="C2252" s="19"/>
      <c r="D2252" s="19"/>
      <c r="H2252" s="105"/>
      <c r="I2252" s="126"/>
      <c r="J2252" s="11"/>
      <c r="K2252" s="108"/>
      <c r="L2252" s="11"/>
      <c r="M2252" s="105"/>
      <c r="N2252" s="105"/>
      <c r="O2252" s="11"/>
      <c r="P2252" s="11"/>
      <c r="Q2252" s="105"/>
      <c r="R2252" s="105"/>
      <c r="S2252" s="105"/>
      <c r="T2252" s="105"/>
      <c r="U2252" s="105"/>
      <c r="V2252" s="105"/>
      <c r="W2252" s="105"/>
      <c r="X2252" s="11"/>
      <c r="Y2252" s="11"/>
      <c r="Z2252" s="105"/>
      <c r="AA2252" s="11"/>
      <c r="AB2252" s="11"/>
      <c r="AC2252" s="105"/>
      <c r="AD2252" s="11" t="b">
        <v>0</v>
      </c>
      <c r="AE2252" s="105"/>
      <c r="AF2252" s="11"/>
      <c r="AG2252" s="11"/>
      <c r="AH2252" s="11"/>
      <c r="AI2252" s="11"/>
    </row>
    <row r="2253" ht="12.5" spans="3:35">
      <c r="C2253" s="19"/>
      <c r="D2253" s="19"/>
      <c r="H2253" s="105"/>
      <c r="I2253" s="126"/>
      <c r="J2253" s="11"/>
      <c r="K2253" s="108"/>
      <c r="L2253" s="11"/>
      <c r="M2253" s="105"/>
      <c r="N2253" s="105"/>
      <c r="O2253" s="11"/>
      <c r="P2253" s="11"/>
      <c r="Q2253" s="105"/>
      <c r="R2253" s="105"/>
      <c r="S2253" s="105"/>
      <c r="T2253" s="105"/>
      <c r="U2253" s="105"/>
      <c r="V2253" s="105"/>
      <c r="W2253" s="105"/>
      <c r="X2253" s="11"/>
      <c r="Y2253" s="11"/>
      <c r="Z2253" s="105"/>
      <c r="AA2253" s="11"/>
      <c r="AB2253" s="11"/>
      <c r="AC2253" s="105"/>
      <c r="AD2253" s="11" t="b">
        <v>0</v>
      </c>
      <c r="AE2253" s="105"/>
      <c r="AF2253" s="11"/>
      <c r="AG2253" s="11"/>
      <c r="AH2253" s="11"/>
      <c r="AI2253" s="11"/>
    </row>
    <row r="2254" ht="12.5" spans="3:35">
      <c r="C2254" s="19"/>
      <c r="D2254" s="19"/>
      <c r="H2254" s="105"/>
      <c r="I2254" s="126"/>
      <c r="J2254" s="11"/>
      <c r="K2254" s="108"/>
      <c r="L2254" s="11"/>
      <c r="M2254" s="105"/>
      <c r="N2254" s="105"/>
      <c r="O2254" s="11"/>
      <c r="P2254" s="11"/>
      <c r="Q2254" s="105"/>
      <c r="R2254" s="105"/>
      <c r="S2254" s="105"/>
      <c r="T2254" s="105"/>
      <c r="U2254" s="105"/>
      <c r="V2254" s="105"/>
      <c r="W2254" s="105"/>
      <c r="X2254" s="11"/>
      <c r="Y2254" s="11"/>
      <c r="Z2254" s="105"/>
      <c r="AA2254" s="11"/>
      <c r="AB2254" s="11"/>
      <c r="AC2254" s="105"/>
      <c r="AD2254" s="11" t="b">
        <v>0</v>
      </c>
      <c r="AE2254" s="105"/>
      <c r="AF2254" s="11"/>
      <c r="AG2254" s="11"/>
      <c r="AH2254" s="11"/>
      <c r="AI2254" s="11"/>
    </row>
    <row r="2255" ht="12.5" spans="3:35">
      <c r="C2255" s="19"/>
      <c r="D2255" s="19"/>
      <c r="H2255" s="105"/>
      <c r="I2255" s="126"/>
      <c r="J2255" s="11"/>
      <c r="K2255" s="108"/>
      <c r="L2255" s="11"/>
      <c r="M2255" s="105"/>
      <c r="N2255" s="105"/>
      <c r="O2255" s="11"/>
      <c r="P2255" s="11"/>
      <c r="Q2255" s="105"/>
      <c r="R2255" s="105"/>
      <c r="S2255" s="105"/>
      <c r="T2255" s="105"/>
      <c r="U2255" s="105"/>
      <c r="V2255" s="105"/>
      <c r="W2255" s="105"/>
      <c r="X2255" s="11"/>
      <c r="Y2255" s="11"/>
      <c r="Z2255" s="105"/>
      <c r="AA2255" s="11"/>
      <c r="AB2255" s="11"/>
      <c r="AC2255" s="105"/>
      <c r="AD2255" s="11" t="b">
        <v>0</v>
      </c>
      <c r="AE2255" s="105"/>
      <c r="AF2255" s="11"/>
      <c r="AG2255" s="11"/>
      <c r="AH2255" s="11"/>
      <c r="AI2255" s="11"/>
    </row>
    <row r="2256" ht="12.5" spans="3:35">
      <c r="C2256" s="19"/>
      <c r="D2256" s="19"/>
      <c r="H2256" s="105"/>
      <c r="I2256" s="126"/>
      <c r="J2256" s="11"/>
      <c r="K2256" s="108"/>
      <c r="L2256" s="11"/>
      <c r="M2256" s="105"/>
      <c r="N2256" s="105"/>
      <c r="O2256" s="11"/>
      <c r="P2256" s="11"/>
      <c r="Q2256" s="105"/>
      <c r="R2256" s="105"/>
      <c r="S2256" s="105"/>
      <c r="T2256" s="105"/>
      <c r="U2256" s="105"/>
      <c r="V2256" s="105"/>
      <c r="W2256" s="105"/>
      <c r="X2256" s="11"/>
      <c r="Y2256" s="11"/>
      <c r="Z2256" s="105"/>
      <c r="AA2256" s="11"/>
      <c r="AB2256" s="11"/>
      <c r="AC2256" s="105"/>
      <c r="AD2256" s="11" t="b">
        <v>0</v>
      </c>
      <c r="AE2256" s="105"/>
      <c r="AF2256" s="11"/>
      <c r="AG2256" s="11"/>
      <c r="AH2256" s="11"/>
      <c r="AI2256" s="11"/>
    </row>
    <row r="2257" ht="12.5" spans="3:35">
      <c r="C2257" s="19"/>
      <c r="D2257" s="19"/>
      <c r="H2257" s="105"/>
      <c r="I2257" s="126"/>
      <c r="J2257" s="11"/>
      <c r="K2257" s="108"/>
      <c r="L2257" s="11"/>
      <c r="M2257" s="105"/>
      <c r="N2257" s="105"/>
      <c r="O2257" s="11"/>
      <c r="P2257" s="11"/>
      <c r="Q2257" s="105"/>
      <c r="R2257" s="105"/>
      <c r="S2257" s="105"/>
      <c r="T2257" s="105"/>
      <c r="U2257" s="105"/>
      <c r="V2257" s="105"/>
      <c r="W2257" s="105"/>
      <c r="X2257" s="11"/>
      <c r="Y2257" s="11"/>
      <c r="Z2257" s="105"/>
      <c r="AA2257" s="11"/>
      <c r="AB2257" s="11"/>
      <c r="AC2257" s="105"/>
      <c r="AD2257" s="11" t="b">
        <v>0</v>
      </c>
      <c r="AE2257" s="105"/>
      <c r="AF2257" s="11"/>
      <c r="AG2257" s="11"/>
      <c r="AH2257" s="11"/>
      <c r="AI2257" s="11"/>
    </row>
    <row r="2258" ht="12.5" spans="3:35">
      <c r="C2258" s="19"/>
      <c r="D2258" s="19"/>
      <c r="H2258" s="105"/>
      <c r="I2258" s="126"/>
      <c r="J2258" s="11"/>
      <c r="K2258" s="108"/>
      <c r="L2258" s="11"/>
      <c r="M2258" s="105"/>
      <c r="N2258" s="105"/>
      <c r="O2258" s="11"/>
      <c r="P2258" s="11"/>
      <c r="Q2258" s="105"/>
      <c r="R2258" s="105"/>
      <c r="S2258" s="105"/>
      <c r="T2258" s="105"/>
      <c r="U2258" s="105"/>
      <c r="V2258" s="105"/>
      <c r="W2258" s="105"/>
      <c r="X2258" s="11"/>
      <c r="Y2258" s="11"/>
      <c r="Z2258" s="105"/>
      <c r="AA2258" s="11"/>
      <c r="AB2258" s="11"/>
      <c r="AC2258" s="105"/>
      <c r="AD2258" s="11" t="b">
        <v>0</v>
      </c>
      <c r="AE2258" s="105"/>
      <c r="AF2258" s="11"/>
      <c r="AG2258" s="11"/>
      <c r="AH2258" s="11"/>
      <c r="AI2258" s="11"/>
    </row>
    <row r="2259" ht="12.5" spans="3:35">
      <c r="C2259" s="19"/>
      <c r="D2259" s="19"/>
      <c r="H2259" s="105"/>
      <c r="I2259" s="126"/>
      <c r="J2259" s="11"/>
      <c r="K2259" s="108"/>
      <c r="L2259" s="11"/>
      <c r="M2259" s="105"/>
      <c r="N2259" s="105"/>
      <c r="O2259" s="11"/>
      <c r="P2259" s="11"/>
      <c r="Q2259" s="105"/>
      <c r="R2259" s="105"/>
      <c r="S2259" s="105"/>
      <c r="T2259" s="105"/>
      <c r="U2259" s="105"/>
      <c r="V2259" s="105"/>
      <c r="W2259" s="105"/>
      <c r="X2259" s="11"/>
      <c r="Y2259" s="11"/>
      <c r="Z2259" s="105"/>
      <c r="AA2259" s="11"/>
      <c r="AB2259" s="11"/>
      <c r="AC2259" s="105"/>
      <c r="AD2259" s="11" t="b">
        <v>0</v>
      </c>
      <c r="AE2259" s="105"/>
      <c r="AF2259" s="11"/>
      <c r="AG2259" s="11"/>
      <c r="AH2259" s="11"/>
      <c r="AI2259" s="11"/>
    </row>
    <row r="2260" ht="12.5" spans="3:35">
      <c r="C2260" s="19"/>
      <c r="D2260" s="19"/>
      <c r="H2260" s="105"/>
      <c r="I2260" s="126"/>
      <c r="J2260" s="11"/>
      <c r="K2260" s="108"/>
      <c r="L2260" s="11"/>
      <c r="M2260" s="105"/>
      <c r="N2260" s="105"/>
      <c r="O2260" s="11"/>
      <c r="P2260" s="11"/>
      <c r="Q2260" s="105"/>
      <c r="R2260" s="105"/>
      <c r="S2260" s="105"/>
      <c r="T2260" s="105"/>
      <c r="U2260" s="105"/>
      <c r="V2260" s="105"/>
      <c r="W2260" s="105"/>
      <c r="X2260" s="11"/>
      <c r="Y2260" s="11"/>
      <c r="Z2260" s="105"/>
      <c r="AA2260" s="11"/>
      <c r="AB2260" s="11"/>
      <c r="AC2260" s="105"/>
      <c r="AD2260" s="11" t="b">
        <v>0</v>
      </c>
      <c r="AE2260" s="105"/>
      <c r="AF2260" s="11"/>
      <c r="AG2260" s="11"/>
      <c r="AH2260" s="11"/>
      <c r="AI2260" s="11"/>
    </row>
    <row r="2261" ht="12.5" spans="3:35">
      <c r="C2261" s="19"/>
      <c r="D2261" s="19"/>
      <c r="H2261" s="105"/>
      <c r="I2261" s="126"/>
      <c r="J2261" s="11"/>
      <c r="K2261" s="108"/>
      <c r="L2261" s="11"/>
      <c r="M2261" s="105"/>
      <c r="N2261" s="105"/>
      <c r="O2261" s="11"/>
      <c r="P2261" s="11"/>
      <c r="Q2261" s="105"/>
      <c r="R2261" s="105"/>
      <c r="S2261" s="105"/>
      <c r="T2261" s="105"/>
      <c r="U2261" s="105"/>
      <c r="V2261" s="105"/>
      <c r="W2261" s="105"/>
      <c r="X2261" s="11"/>
      <c r="Y2261" s="11"/>
      <c r="Z2261" s="105"/>
      <c r="AA2261" s="11"/>
      <c r="AB2261" s="11"/>
      <c r="AC2261" s="105"/>
      <c r="AD2261" s="11" t="b">
        <v>0</v>
      </c>
      <c r="AE2261" s="105"/>
      <c r="AF2261" s="11"/>
      <c r="AG2261" s="11"/>
      <c r="AH2261" s="11"/>
      <c r="AI2261" s="11"/>
    </row>
    <row r="2262" ht="12.5" spans="3:35">
      <c r="C2262" s="19"/>
      <c r="D2262" s="19"/>
      <c r="H2262" s="105"/>
      <c r="I2262" s="126"/>
      <c r="J2262" s="11"/>
      <c r="K2262" s="108"/>
      <c r="L2262" s="11"/>
      <c r="M2262" s="105"/>
      <c r="N2262" s="105"/>
      <c r="O2262" s="11"/>
      <c r="P2262" s="11"/>
      <c r="Q2262" s="105"/>
      <c r="R2262" s="105"/>
      <c r="S2262" s="105"/>
      <c r="T2262" s="105"/>
      <c r="U2262" s="105"/>
      <c r="V2262" s="105"/>
      <c r="W2262" s="105"/>
      <c r="X2262" s="11"/>
      <c r="Y2262" s="11"/>
      <c r="Z2262" s="105"/>
      <c r="AA2262" s="11"/>
      <c r="AB2262" s="11"/>
      <c r="AC2262" s="105"/>
      <c r="AD2262" s="11" t="b">
        <v>0</v>
      </c>
      <c r="AE2262" s="105"/>
      <c r="AF2262" s="11"/>
      <c r="AG2262" s="11"/>
      <c r="AH2262" s="11"/>
      <c r="AI2262" s="11"/>
    </row>
    <row r="2263" ht="12.5" spans="3:35">
      <c r="C2263" s="19"/>
      <c r="D2263" s="19"/>
      <c r="H2263" s="105"/>
      <c r="I2263" s="126"/>
      <c r="J2263" s="11"/>
      <c r="K2263" s="108"/>
      <c r="L2263" s="11"/>
      <c r="M2263" s="105"/>
      <c r="N2263" s="105"/>
      <c r="O2263" s="11"/>
      <c r="P2263" s="11"/>
      <c r="Q2263" s="105"/>
      <c r="R2263" s="105"/>
      <c r="S2263" s="105"/>
      <c r="T2263" s="105"/>
      <c r="U2263" s="105"/>
      <c r="V2263" s="105"/>
      <c r="W2263" s="105"/>
      <c r="X2263" s="11"/>
      <c r="Y2263" s="11"/>
      <c r="Z2263" s="105"/>
      <c r="AA2263" s="11"/>
      <c r="AB2263" s="11"/>
      <c r="AC2263" s="105"/>
      <c r="AD2263" s="11" t="b">
        <v>0</v>
      </c>
      <c r="AE2263" s="105"/>
      <c r="AF2263" s="11"/>
      <c r="AG2263" s="11"/>
      <c r="AH2263" s="11"/>
      <c r="AI2263" s="11"/>
    </row>
    <row r="2264" ht="12.5" spans="3:35">
      <c r="C2264" s="19"/>
      <c r="D2264" s="19"/>
      <c r="H2264" s="105"/>
      <c r="I2264" s="126"/>
      <c r="J2264" s="11"/>
      <c r="K2264" s="108"/>
      <c r="L2264" s="11"/>
      <c r="M2264" s="105"/>
      <c r="N2264" s="105"/>
      <c r="O2264" s="11"/>
      <c r="P2264" s="11"/>
      <c r="Q2264" s="105"/>
      <c r="R2264" s="105"/>
      <c r="S2264" s="105"/>
      <c r="T2264" s="105"/>
      <c r="U2264" s="105"/>
      <c r="V2264" s="105"/>
      <c r="W2264" s="105"/>
      <c r="X2264" s="11"/>
      <c r="Y2264" s="11"/>
      <c r="Z2264" s="105"/>
      <c r="AA2264" s="11"/>
      <c r="AB2264" s="11"/>
      <c r="AC2264" s="105"/>
      <c r="AD2264" s="11" t="b">
        <v>0</v>
      </c>
      <c r="AE2264" s="105"/>
      <c r="AF2264" s="11"/>
      <c r="AG2264" s="11"/>
      <c r="AH2264" s="11"/>
      <c r="AI2264" s="11"/>
    </row>
    <row r="2265" ht="12.5" spans="3:35">
      <c r="C2265" s="19"/>
      <c r="D2265" s="19"/>
      <c r="H2265" s="105"/>
      <c r="I2265" s="126"/>
      <c r="J2265" s="11"/>
      <c r="K2265" s="108"/>
      <c r="L2265" s="11"/>
      <c r="M2265" s="105"/>
      <c r="N2265" s="105"/>
      <c r="O2265" s="11"/>
      <c r="P2265" s="11"/>
      <c r="Q2265" s="105"/>
      <c r="R2265" s="105"/>
      <c r="S2265" s="105"/>
      <c r="T2265" s="105"/>
      <c r="U2265" s="105"/>
      <c r="V2265" s="105"/>
      <c r="W2265" s="105"/>
      <c r="X2265" s="11"/>
      <c r="Y2265" s="11"/>
      <c r="Z2265" s="105"/>
      <c r="AA2265" s="11"/>
      <c r="AB2265" s="11"/>
      <c r="AC2265" s="105"/>
      <c r="AD2265" s="11" t="b">
        <v>0</v>
      </c>
      <c r="AE2265" s="105"/>
      <c r="AF2265" s="11"/>
      <c r="AG2265" s="11"/>
      <c r="AH2265" s="11"/>
      <c r="AI2265" s="11"/>
    </row>
    <row r="2266" ht="12.5" spans="3:35">
      <c r="C2266" s="19"/>
      <c r="D2266" s="19"/>
      <c r="H2266" s="105"/>
      <c r="I2266" s="126"/>
      <c r="J2266" s="11"/>
      <c r="K2266" s="108"/>
      <c r="L2266" s="11"/>
      <c r="M2266" s="105"/>
      <c r="N2266" s="105"/>
      <c r="O2266" s="11"/>
      <c r="P2266" s="11"/>
      <c r="Q2266" s="105"/>
      <c r="R2266" s="105"/>
      <c r="S2266" s="105"/>
      <c r="T2266" s="105"/>
      <c r="U2266" s="105"/>
      <c r="V2266" s="105"/>
      <c r="W2266" s="105"/>
      <c r="X2266" s="11"/>
      <c r="Y2266" s="11"/>
      <c r="Z2266" s="105"/>
      <c r="AA2266" s="11"/>
      <c r="AB2266" s="11"/>
      <c r="AC2266" s="105"/>
      <c r="AD2266" s="11" t="b">
        <v>0</v>
      </c>
      <c r="AE2266" s="105"/>
      <c r="AF2266" s="11"/>
      <c r="AG2266" s="11"/>
      <c r="AH2266" s="11"/>
      <c r="AI2266" s="11"/>
    </row>
    <row r="2267" ht="12.5" spans="3:35">
      <c r="C2267" s="19"/>
      <c r="D2267" s="19"/>
      <c r="H2267" s="105"/>
      <c r="I2267" s="126"/>
      <c r="J2267" s="11"/>
      <c r="K2267" s="108"/>
      <c r="L2267" s="11"/>
      <c r="M2267" s="105"/>
      <c r="N2267" s="105"/>
      <c r="O2267" s="11"/>
      <c r="P2267" s="11"/>
      <c r="Q2267" s="105"/>
      <c r="R2267" s="105"/>
      <c r="S2267" s="105"/>
      <c r="T2267" s="105"/>
      <c r="U2267" s="105"/>
      <c r="V2267" s="105"/>
      <c r="W2267" s="105"/>
      <c r="X2267" s="11"/>
      <c r="Y2267" s="11"/>
      <c r="Z2267" s="105"/>
      <c r="AA2267" s="11"/>
      <c r="AB2267" s="11"/>
      <c r="AC2267" s="105"/>
      <c r="AD2267" s="11" t="b">
        <v>0</v>
      </c>
      <c r="AE2267" s="105"/>
      <c r="AF2267" s="11"/>
      <c r="AG2267" s="11"/>
      <c r="AH2267" s="11"/>
      <c r="AI2267" s="11"/>
    </row>
    <row r="2268" ht="12.5" spans="3:35">
      <c r="C2268" s="19"/>
      <c r="D2268" s="19"/>
      <c r="H2268" s="105"/>
      <c r="I2268" s="126"/>
      <c r="J2268" s="11"/>
      <c r="K2268" s="108"/>
      <c r="L2268" s="11"/>
      <c r="M2268" s="105"/>
      <c r="N2268" s="105"/>
      <c r="O2268" s="11"/>
      <c r="P2268" s="11"/>
      <c r="Q2268" s="105"/>
      <c r="R2268" s="105"/>
      <c r="S2268" s="105"/>
      <c r="T2268" s="105"/>
      <c r="U2268" s="105"/>
      <c r="V2268" s="105"/>
      <c r="W2268" s="105"/>
      <c r="X2268" s="11"/>
      <c r="Y2268" s="11"/>
      <c r="Z2268" s="105"/>
      <c r="AA2268" s="11"/>
      <c r="AB2268" s="11"/>
      <c r="AC2268" s="105"/>
      <c r="AD2268" s="11" t="b">
        <v>0</v>
      </c>
      <c r="AE2268" s="105"/>
      <c r="AF2268" s="11"/>
      <c r="AG2268" s="11"/>
      <c r="AH2268" s="11"/>
      <c r="AI2268" s="11"/>
    </row>
    <row r="2269" ht="12.5" spans="3:35">
      <c r="C2269" s="19"/>
      <c r="D2269" s="19"/>
      <c r="H2269" s="105"/>
      <c r="I2269" s="126"/>
      <c r="J2269" s="11"/>
      <c r="K2269" s="108"/>
      <c r="L2269" s="11"/>
      <c r="M2269" s="105"/>
      <c r="N2269" s="105"/>
      <c r="O2269" s="11"/>
      <c r="P2269" s="11"/>
      <c r="Q2269" s="105"/>
      <c r="R2269" s="105"/>
      <c r="S2269" s="105"/>
      <c r="T2269" s="105"/>
      <c r="U2269" s="105"/>
      <c r="V2269" s="105"/>
      <c r="W2269" s="105"/>
      <c r="X2269" s="11"/>
      <c r="Y2269" s="11"/>
      <c r="Z2269" s="105"/>
      <c r="AA2269" s="11"/>
      <c r="AB2269" s="11"/>
      <c r="AC2269" s="105"/>
      <c r="AD2269" s="11" t="b">
        <v>0</v>
      </c>
      <c r="AE2269" s="105"/>
      <c r="AF2269" s="11"/>
      <c r="AG2269" s="11"/>
      <c r="AH2269" s="11"/>
      <c r="AI2269" s="11"/>
    </row>
    <row r="2270" ht="12.5" spans="3:35">
      <c r="C2270" s="19"/>
      <c r="D2270" s="19"/>
      <c r="H2270" s="105"/>
      <c r="I2270" s="126"/>
      <c r="J2270" s="11"/>
      <c r="K2270" s="108"/>
      <c r="L2270" s="11"/>
      <c r="M2270" s="105"/>
      <c r="N2270" s="105"/>
      <c r="O2270" s="11"/>
      <c r="P2270" s="11"/>
      <c r="Q2270" s="105"/>
      <c r="R2270" s="105"/>
      <c r="S2270" s="105"/>
      <c r="T2270" s="105"/>
      <c r="U2270" s="105"/>
      <c r="V2270" s="105"/>
      <c r="W2270" s="105"/>
      <c r="X2270" s="11"/>
      <c r="Y2270" s="11"/>
      <c r="Z2270" s="105"/>
      <c r="AA2270" s="11"/>
      <c r="AB2270" s="11"/>
      <c r="AC2270" s="105"/>
      <c r="AD2270" s="11" t="b">
        <v>0</v>
      </c>
      <c r="AE2270" s="105"/>
      <c r="AF2270" s="11"/>
      <c r="AG2270" s="11"/>
      <c r="AH2270" s="11"/>
      <c r="AI2270" s="11"/>
    </row>
    <row r="2271" ht="12.5" spans="3:35">
      <c r="C2271" s="19"/>
      <c r="D2271" s="19"/>
      <c r="H2271" s="105"/>
      <c r="I2271" s="126"/>
      <c r="J2271" s="11"/>
      <c r="K2271" s="108"/>
      <c r="L2271" s="11"/>
      <c r="M2271" s="105"/>
      <c r="N2271" s="105"/>
      <c r="O2271" s="11"/>
      <c r="P2271" s="11"/>
      <c r="Q2271" s="105"/>
      <c r="R2271" s="105"/>
      <c r="S2271" s="105"/>
      <c r="T2271" s="105"/>
      <c r="U2271" s="105"/>
      <c r="V2271" s="105"/>
      <c r="W2271" s="105"/>
      <c r="X2271" s="11"/>
      <c r="Y2271" s="11"/>
      <c r="Z2271" s="105"/>
      <c r="AA2271" s="11"/>
      <c r="AB2271" s="11"/>
      <c r="AC2271" s="105"/>
      <c r="AD2271" s="11" t="b">
        <v>0</v>
      </c>
      <c r="AE2271" s="105"/>
      <c r="AF2271" s="11"/>
      <c r="AG2271" s="11"/>
      <c r="AH2271" s="11"/>
      <c r="AI2271" s="11"/>
    </row>
    <row r="2272" ht="12.5" spans="3:35">
      <c r="C2272" s="19"/>
      <c r="D2272" s="19"/>
      <c r="H2272" s="105"/>
      <c r="I2272" s="126"/>
      <c r="J2272" s="11"/>
      <c r="K2272" s="108"/>
      <c r="L2272" s="11"/>
      <c r="M2272" s="105"/>
      <c r="N2272" s="105"/>
      <c r="O2272" s="11"/>
      <c r="P2272" s="11"/>
      <c r="Q2272" s="105"/>
      <c r="R2272" s="105"/>
      <c r="S2272" s="105"/>
      <c r="T2272" s="105"/>
      <c r="U2272" s="105"/>
      <c r="V2272" s="105"/>
      <c r="W2272" s="105"/>
      <c r="X2272" s="11"/>
      <c r="Y2272" s="11"/>
      <c r="Z2272" s="105"/>
      <c r="AA2272" s="11"/>
      <c r="AB2272" s="11"/>
      <c r="AC2272" s="105"/>
      <c r="AD2272" s="11" t="b">
        <v>0</v>
      </c>
      <c r="AE2272" s="105"/>
      <c r="AF2272" s="11"/>
      <c r="AG2272" s="11"/>
      <c r="AH2272" s="11"/>
      <c r="AI2272" s="11"/>
    </row>
    <row r="2273" ht="12.5" spans="3:35">
      <c r="C2273" s="19"/>
      <c r="D2273" s="19"/>
      <c r="H2273" s="105"/>
      <c r="I2273" s="126"/>
      <c r="J2273" s="11"/>
      <c r="K2273" s="108"/>
      <c r="L2273" s="11"/>
      <c r="M2273" s="105"/>
      <c r="N2273" s="105"/>
      <c r="O2273" s="11"/>
      <c r="P2273" s="11"/>
      <c r="Q2273" s="105"/>
      <c r="R2273" s="105"/>
      <c r="S2273" s="105"/>
      <c r="T2273" s="105"/>
      <c r="U2273" s="105"/>
      <c r="V2273" s="105"/>
      <c r="W2273" s="105"/>
      <c r="X2273" s="11"/>
      <c r="Y2273" s="11"/>
      <c r="Z2273" s="105"/>
      <c r="AA2273" s="11"/>
      <c r="AB2273" s="11"/>
      <c r="AC2273" s="105"/>
      <c r="AD2273" s="11" t="b">
        <v>0</v>
      </c>
      <c r="AE2273" s="105"/>
      <c r="AF2273" s="11"/>
      <c r="AG2273" s="11"/>
      <c r="AH2273" s="11"/>
      <c r="AI2273" s="11"/>
    </row>
    <row r="2274" ht="12.5" spans="3:35">
      <c r="C2274" s="19"/>
      <c r="D2274" s="19"/>
      <c r="H2274" s="105"/>
      <c r="I2274" s="126"/>
      <c r="J2274" s="11"/>
      <c r="K2274" s="108"/>
      <c r="L2274" s="11"/>
      <c r="M2274" s="105"/>
      <c r="N2274" s="105"/>
      <c r="O2274" s="11"/>
      <c r="P2274" s="11"/>
      <c r="Q2274" s="105"/>
      <c r="R2274" s="105"/>
      <c r="S2274" s="105"/>
      <c r="T2274" s="105"/>
      <c r="U2274" s="105"/>
      <c r="V2274" s="105"/>
      <c r="W2274" s="105"/>
      <c r="X2274" s="11"/>
      <c r="Y2274" s="11"/>
      <c r="Z2274" s="105"/>
      <c r="AA2274" s="11"/>
      <c r="AB2274" s="11"/>
      <c r="AC2274" s="105"/>
      <c r="AD2274" s="11" t="b">
        <v>0</v>
      </c>
      <c r="AE2274" s="105"/>
      <c r="AF2274" s="11"/>
      <c r="AG2274" s="11"/>
      <c r="AH2274" s="11"/>
      <c r="AI2274" s="11"/>
    </row>
    <row r="2275" ht="12.5" spans="3:35">
      <c r="C2275" s="19"/>
      <c r="D2275" s="19"/>
      <c r="H2275" s="105"/>
      <c r="I2275" s="126"/>
      <c r="J2275" s="11"/>
      <c r="K2275" s="108"/>
      <c r="L2275" s="11"/>
      <c r="M2275" s="105"/>
      <c r="N2275" s="105"/>
      <c r="O2275" s="11"/>
      <c r="P2275" s="11"/>
      <c r="Q2275" s="105"/>
      <c r="R2275" s="105"/>
      <c r="S2275" s="105"/>
      <c r="T2275" s="105"/>
      <c r="U2275" s="105"/>
      <c r="V2275" s="105"/>
      <c r="W2275" s="105"/>
      <c r="X2275" s="11"/>
      <c r="Y2275" s="11"/>
      <c r="Z2275" s="105"/>
      <c r="AA2275" s="11"/>
      <c r="AB2275" s="11"/>
      <c r="AC2275" s="105"/>
      <c r="AD2275" s="11" t="b">
        <v>0</v>
      </c>
      <c r="AE2275" s="105"/>
      <c r="AF2275" s="11"/>
      <c r="AG2275" s="11"/>
      <c r="AH2275" s="11"/>
      <c r="AI2275" s="11"/>
    </row>
    <row r="2276" ht="12.5" spans="3:35">
      <c r="C2276" s="19"/>
      <c r="D2276" s="19"/>
      <c r="H2276" s="105"/>
      <c r="I2276" s="126"/>
      <c r="J2276" s="11"/>
      <c r="K2276" s="108"/>
      <c r="L2276" s="11"/>
      <c r="M2276" s="105"/>
      <c r="N2276" s="105"/>
      <c r="O2276" s="11"/>
      <c r="P2276" s="11"/>
      <c r="Q2276" s="105"/>
      <c r="R2276" s="105"/>
      <c r="S2276" s="105"/>
      <c r="T2276" s="105"/>
      <c r="U2276" s="105"/>
      <c r="V2276" s="105"/>
      <c r="W2276" s="105"/>
      <c r="X2276" s="11"/>
      <c r="Y2276" s="11"/>
      <c r="Z2276" s="105"/>
      <c r="AA2276" s="11"/>
      <c r="AB2276" s="11"/>
      <c r="AC2276" s="105"/>
      <c r="AD2276" s="11" t="b">
        <v>0</v>
      </c>
      <c r="AE2276" s="105"/>
      <c r="AF2276" s="11"/>
      <c r="AG2276" s="11"/>
      <c r="AH2276" s="11"/>
      <c r="AI2276" s="11"/>
    </row>
    <row r="2277" ht="12.5" spans="3:35">
      <c r="C2277" s="19"/>
      <c r="D2277" s="19"/>
      <c r="H2277" s="105"/>
      <c r="I2277" s="126"/>
      <c r="J2277" s="11"/>
      <c r="K2277" s="108"/>
      <c r="L2277" s="11"/>
      <c r="M2277" s="105"/>
      <c r="N2277" s="105"/>
      <c r="O2277" s="11"/>
      <c r="P2277" s="11"/>
      <c r="Q2277" s="105"/>
      <c r="R2277" s="105"/>
      <c r="S2277" s="105"/>
      <c r="T2277" s="105"/>
      <c r="U2277" s="105"/>
      <c r="V2277" s="105"/>
      <c r="W2277" s="105"/>
      <c r="X2277" s="11"/>
      <c r="Y2277" s="11"/>
      <c r="Z2277" s="105"/>
      <c r="AA2277" s="11"/>
      <c r="AB2277" s="11"/>
      <c r="AC2277" s="105"/>
      <c r="AD2277" s="11" t="b">
        <v>0</v>
      </c>
      <c r="AE2277" s="105"/>
      <c r="AF2277" s="11"/>
      <c r="AG2277" s="11"/>
      <c r="AH2277" s="11"/>
      <c r="AI2277" s="11"/>
    </row>
    <row r="2278" ht="12.5" spans="3:35">
      <c r="C2278" s="19"/>
      <c r="D2278" s="19"/>
      <c r="H2278" s="105"/>
      <c r="I2278" s="126"/>
      <c r="J2278" s="11"/>
      <c r="K2278" s="108"/>
      <c r="L2278" s="11"/>
      <c r="M2278" s="105"/>
      <c r="N2278" s="105"/>
      <c r="O2278" s="11"/>
      <c r="P2278" s="11"/>
      <c r="Q2278" s="105"/>
      <c r="R2278" s="105"/>
      <c r="S2278" s="105"/>
      <c r="T2278" s="105"/>
      <c r="U2278" s="105"/>
      <c r="V2278" s="105"/>
      <c r="W2278" s="105"/>
      <c r="X2278" s="11"/>
      <c r="Y2278" s="11"/>
      <c r="Z2278" s="105"/>
      <c r="AA2278" s="11"/>
      <c r="AB2278" s="11"/>
      <c r="AC2278" s="105"/>
      <c r="AD2278" s="11" t="b">
        <v>0</v>
      </c>
      <c r="AE2278" s="105"/>
      <c r="AF2278" s="11"/>
      <c r="AG2278" s="11"/>
      <c r="AH2278" s="11"/>
      <c r="AI2278" s="11"/>
    </row>
    <row r="2279" ht="12.5" spans="3:35">
      <c r="C2279" s="19"/>
      <c r="D2279" s="19"/>
      <c r="H2279" s="105"/>
      <c r="I2279" s="126"/>
      <c r="J2279" s="11"/>
      <c r="K2279" s="108"/>
      <c r="L2279" s="11"/>
      <c r="M2279" s="105"/>
      <c r="N2279" s="105"/>
      <c r="O2279" s="11"/>
      <c r="P2279" s="11"/>
      <c r="Q2279" s="105"/>
      <c r="R2279" s="105"/>
      <c r="S2279" s="105"/>
      <c r="T2279" s="105"/>
      <c r="U2279" s="105"/>
      <c r="V2279" s="105"/>
      <c r="W2279" s="105"/>
      <c r="X2279" s="11"/>
      <c r="Y2279" s="11"/>
      <c r="Z2279" s="105"/>
      <c r="AA2279" s="11"/>
      <c r="AB2279" s="11"/>
      <c r="AC2279" s="105"/>
      <c r="AD2279" s="11" t="b">
        <v>0</v>
      </c>
      <c r="AE2279" s="105"/>
      <c r="AF2279" s="11"/>
      <c r="AG2279" s="11"/>
      <c r="AH2279" s="11"/>
      <c r="AI2279" s="11"/>
    </row>
    <row r="2280" ht="12.5" spans="3:35">
      <c r="C2280" s="19"/>
      <c r="D2280" s="19"/>
      <c r="H2280" s="105"/>
      <c r="I2280" s="126"/>
      <c r="J2280" s="11"/>
      <c r="K2280" s="108"/>
      <c r="L2280" s="11"/>
      <c r="M2280" s="105"/>
      <c r="N2280" s="105"/>
      <c r="O2280" s="11"/>
      <c r="P2280" s="11"/>
      <c r="Q2280" s="105"/>
      <c r="R2280" s="105"/>
      <c r="S2280" s="105"/>
      <c r="T2280" s="105"/>
      <c r="U2280" s="105"/>
      <c r="V2280" s="105"/>
      <c r="W2280" s="105"/>
      <c r="X2280" s="11"/>
      <c r="Y2280" s="11"/>
      <c r="Z2280" s="105"/>
      <c r="AA2280" s="11"/>
      <c r="AB2280" s="11"/>
      <c r="AC2280" s="105"/>
      <c r="AD2280" s="11" t="b">
        <v>0</v>
      </c>
      <c r="AE2280" s="105"/>
      <c r="AF2280" s="11"/>
      <c r="AG2280" s="11"/>
      <c r="AH2280" s="11"/>
      <c r="AI2280" s="11"/>
    </row>
    <row r="2281" ht="12.5" spans="3:35">
      <c r="C2281" s="19"/>
      <c r="D2281" s="19"/>
      <c r="H2281" s="105"/>
      <c r="I2281" s="126"/>
      <c r="J2281" s="11"/>
      <c r="K2281" s="108"/>
      <c r="L2281" s="11"/>
      <c r="M2281" s="105"/>
      <c r="N2281" s="105"/>
      <c r="O2281" s="11"/>
      <c r="P2281" s="11"/>
      <c r="Q2281" s="105"/>
      <c r="R2281" s="105"/>
      <c r="S2281" s="105"/>
      <c r="T2281" s="105"/>
      <c r="U2281" s="105"/>
      <c r="V2281" s="105"/>
      <c r="W2281" s="105"/>
      <c r="X2281" s="11"/>
      <c r="Y2281" s="11"/>
      <c r="Z2281" s="105"/>
      <c r="AA2281" s="11"/>
      <c r="AB2281" s="11"/>
      <c r="AC2281" s="105"/>
      <c r="AD2281" s="11" t="b">
        <v>0</v>
      </c>
      <c r="AE2281" s="105"/>
      <c r="AF2281" s="11"/>
      <c r="AG2281" s="11"/>
      <c r="AH2281" s="11"/>
      <c r="AI2281" s="11"/>
    </row>
    <row r="2282" ht="12.5" spans="3:35">
      <c r="C2282" s="19"/>
      <c r="D2282" s="19"/>
      <c r="H2282" s="105"/>
      <c r="I2282" s="126"/>
      <c r="J2282" s="11"/>
      <c r="K2282" s="108"/>
      <c r="L2282" s="11"/>
      <c r="M2282" s="105"/>
      <c r="N2282" s="105"/>
      <c r="O2282" s="11"/>
      <c r="P2282" s="11"/>
      <c r="Q2282" s="105"/>
      <c r="R2282" s="105"/>
      <c r="S2282" s="105"/>
      <c r="T2282" s="105"/>
      <c r="U2282" s="105"/>
      <c r="V2282" s="105"/>
      <c r="W2282" s="105"/>
      <c r="X2282" s="11"/>
      <c r="Y2282" s="11"/>
      <c r="Z2282" s="105"/>
      <c r="AA2282" s="11"/>
      <c r="AB2282" s="11"/>
      <c r="AC2282" s="105"/>
      <c r="AD2282" s="11" t="b">
        <v>0</v>
      </c>
      <c r="AE2282" s="105"/>
      <c r="AF2282" s="11"/>
      <c r="AG2282" s="11"/>
      <c r="AH2282" s="11"/>
      <c r="AI2282" s="11"/>
    </row>
    <row r="2283" ht="12.5" spans="3:35">
      <c r="C2283" s="19"/>
      <c r="D2283" s="19"/>
      <c r="H2283" s="105"/>
      <c r="I2283" s="126"/>
      <c r="J2283" s="11"/>
      <c r="K2283" s="108"/>
      <c r="L2283" s="11"/>
      <c r="M2283" s="105"/>
      <c r="N2283" s="105"/>
      <c r="O2283" s="11"/>
      <c r="P2283" s="11"/>
      <c r="Q2283" s="105"/>
      <c r="R2283" s="105"/>
      <c r="S2283" s="105"/>
      <c r="T2283" s="105"/>
      <c r="U2283" s="105"/>
      <c r="V2283" s="105"/>
      <c r="W2283" s="105"/>
      <c r="X2283" s="11"/>
      <c r="Y2283" s="11"/>
      <c r="Z2283" s="105"/>
      <c r="AA2283" s="11"/>
      <c r="AB2283" s="11"/>
      <c r="AC2283" s="105"/>
      <c r="AD2283" s="11" t="b">
        <v>0</v>
      </c>
      <c r="AE2283" s="105"/>
      <c r="AF2283" s="11"/>
      <c r="AG2283" s="11"/>
      <c r="AH2283" s="11"/>
      <c r="AI2283" s="11"/>
    </row>
    <row r="2284" ht="12.5" spans="3:35">
      <c r="C2284" s="19"/>
      <c r="D2284" s="19"/>
      <c r="H2284" s="105"/>
      <c r="I2284" s="126"/>
      <c r="J2284" s="11"/>
      <c r="K2284" s="108"/>
      <c r="L2284" s="11"/>
      <c r="M2284" s="105"/>
      <c r="N2284" s="105"/>
      <c r="O2284" s="11"/>
      <c r="P2284" s="11"/>
      <c r="Q2284" s="105"/>
      <c r="R2284" s="105"/>
      <c r="S2284" s="105"/>
      <c r="T2284" s="105"/>
      <c r="U2284" s="105"/>
      <c r="V2284" s="105"/>
      <c r="W2284" s="105"/>
      <c r="X2284" s="11"/>
      <c r="Y2284" s="11"/>
      <c r="Z2284" s="105"/>
      <c r="AA2284" s="11"/>
      <c r="AB2284" s="11"/>
      <c r="AC2284" s="105"/>
      <c r="AD2284" s="11" t="b">
        <v>0</v>
      </c>
      <c r="AE2284" s="105"/>
      <c r="AF2284" s="11"/>
      <c r="AG2284" s="11"/>
      <c r="AH2284" s="11"/>
      <c r="AI2284" s="11"/>
    </row>
    <row r="2285" ht="12.5" spans="3:35">
      <c r="C2285" s="19"/>
      <c r="D2285" s="19"/>
      <c r="H2285" s="105"/>
      <c r="I2285" s="126"/>
      <c r="J2285" s="11"/>
      <c r="K2285" s="108"/>
      <c r="L2285" s="11"/>
      <c r="M2285" s="105"/>
      <c r="N2285" s="105"/>
      <c r="O2285" s="11"/>
      <c r="P2285" s="11"/>
      <c r="Q2285" s="105"/>
      <c r="R2285" s="105"/>
      <c r="S2285" s="105"/>
      <c r="T2285" s="105"/>
      <c r="U2285" s="105"/>
      <c r="V2285" s="105"/>
      <c r="W2285" s="105"/>
      <c r="X2285" s="11"/>
      <c r="Y2285" s="11"/>
      <c r="Z2285" s="105"/>
      <c r="AA2285" s="11"/>
      <c r="AB2285" s="11"/>
      <c r="AC2285" s="105"/>
      <c r="AD2285" s="11" t="b">
        <v>0</v>
      </c>
      <c r="AE2285" s="105"/>
      <c r="AF2285" s="11"/>
      <c r="AG2285" s="11"/>
      <c r="AH2285" s="11"/>
      <c r="AI2285" s="11"/>
    </row>
    <row r="2286" ht="12.5" spans="3:35">
      <c r="C2286" s="19"/>
      <c r="D2286" s="19"/>
      <c r="H2286" s="105"/>
      <c r="I2286" s="126"/>
      <c r="J2286" s="11"/>
      <c r="K2286" s="108"/>
      <c r="L2286" s="11"/>
      <c r="M2286" s="105"/>
      <c r="N2286" s="105"/>
      <c r="O2286" s="11"/>
      <c r="P2286" s="11"/>
      <c r="Q2286" s="105"/>
      <c r="R2286" s="105"/>
      <c r="S2286" s="105"/>
      <c r="T2286" s="105"/>
      <c r="U2286" s="105"/>
      <c r="V2286" s="105"/>
      <c r="W2286" s="105"/>
      <c r="X2286" s="11"/>
      <c r="Y2286" s="11"/>
      <c r="Z2286" s="105"/>
      <c r="AA2286" s="11"/>
      <c r="AB2286" s="11"/>
      <c r="AC2286" s="105"/>
      <c r="AD2286" s="11" t="b">
        <v>0</v>
      </c>
      <c r="AE2286" s="105"/>
      <c r="AF2286" s="11"/>
      <c r="AG2286" s="11"/>
      <c r="AH2286" s="11"/>
      <c r="AI2286" s="11"/>
    </row>
    <row r="2287" ht="12.5" spans="3:35">
      <c r="C2287" s="19"/>
      <c r="D2287" s="19"/>
      <c r="H2287" s="105"/>
      <c r="I2287" s="126"/>
      <c r="J2287" s="11"/>
      <c r="K2287" s="108"/>
      <c r="L2287" s="11"/>
      <c r="M2287" s="105"/>
      <c r="N2287" s="105"/>
      <c r="O2287" s="11"/>
      <c r="P2287" s="11"/>
      <c r="Q2287" s="105"/>
      <c r="R2287" s="105"/>
      <c r="S2287" s="105"/>
      <c r="T2287" s="105"/>
      <c r="U2287" s="105"/>
      <c r="V2287" s="105"/>
      <c r="W2287" s="105"/>
      <c r="X2287" s="11"/>
      <c r="Y2287" s="11"/>
      <c r="Z2287" s="105"/>
      <c r="AA2287" s="11"/>
      <c r="AB2287" s="11"/>
      <c r="AC2287" s="105"/>
      <c r="AD2287" s="11" t="b">
        <v>0</v>
      </c>
      <c r="AE2287" s="105"/>
      <c r="AF2287" s="11"/>
      <c r="AG2287" s="11"/>
      <c r="AH2287" s="11"/>
      <c r="AI2287" s="11"/>
    </row>
    <row r="2288" ht="12.5" spans="3:35">
      <c r="C2288" s="19"/>
      <c r="D2288" s="19"/>
      <c r="H2288" s="105"/>
      <c r="I2288" s="126"/>
      <c r="J2288" s="11"/>
      <c r="K2288" s="108"/>
      <c r="L2288" s="11"/>
      <c r="M2288" s="105"/>
      <c r="N2288" s="105"/>
      <c r="O2288" s="11"/>
      <c r="P2288" s="11"/>
      <c r="Q2288" s="105"/>
      <c r="R2288" s="105"/>
      <c r="S2288" s="105"/>
      <c r="T2288" s="105"/>
      <c r="U2288" s="105"/>
      <c r="V2288" s="105"/>
      <c r="W2288" s="105"/>
      <c r="X2288" s="11"/>
      <c r="Y2288" s="11"/>
      <c r="Z2288" s="105"/>
      <c r="AA2288" s="11"/>
      <c r="AB2288" s="11"/>
      <c r="AC2288" s="105"/>
      <c r="AD2288" s="11" t="b">
        <v>0</v>
      </c>
      <c r="AE2288" s="105"/>
      <c r="AF2288" s="11"/>
      <c r="AG2288" s="11"/>
      <c r="AH2288" s="11"/>
      <c r="AI2288" s="11"/>
    </row>
    <row r="2289" ht="12.5" spans="3:35">
      <c r="C2289" s="19"/>
      <c r="D2289" s="19"/>
      <c r="H2289" s="105"/>
      <c r="I2289" s="126"/>
      <c r="J2289" s="11"/>
      <c r="K2289" s="108"/>
      <c r="L2289" s="11"/>
      <c r="M2289" s="105"/>
      <c r="N2289" s="105"/>
      <c r="O2289" s="11"/>
      <c r="P2289" s="11"/>
      <c r="Q2289" s="105"/>
      <c r="R2289" s="105"/>
      <c r="S2289" s="105"/>
      <c r="T2289" s="105"/>
      <c r="U2289" s="105"/>
      <c r="V2289" s="105"/>
      <c r="W2289" s="105"/>
      <c r="X2289" s="11"/>
      <c r="Y2289" s="11"/>
      <c r="Z2289" s="105"/>
      <c r="AA2289" s="11"/>
      <c r="AB2289" s="11"/>
      <c r="AC2289" s="105"/>
      <c r="AD2289" s="11" t="b">
        <v>0</v>
      </c>
      <c r="AE2289" s="105"/>
      <c r="AF2289" s="11"/>
      <c r="AG2289" s="11"/>
      <c r="AH2289" s="11"/>
      <c r="AI2289" s="11"/>
    </row>
    <row r="2290" ht="12.5" spans="3:35">
      <c r="C2290" s="19"/>
      <c r="D2290" s="19"/>
      <c r="H2290" s="105"/>
      <c r="I2290" s="126"/>
      <c r="J2290" s="11"/>
      <c r="K2290" s="108"/>
      <c r="L2290" s="11"/>
      <c r="M2290" s="105"/>
      <c r="N2290" s="105"/>
      <c r="O2290" s="11"/>
      <c r="P2290" s="11"/>
      <c r="Q2290" s="105"/>
      <c r="R2290" s="105"/>
      <c r="S2290" s="105"/>
      <c r="T2290" s="105"/>
      <c r="U2290" s="105"/>
      <c r="V2290" s="105"/>
      <c r="W2290" s="105"/>
      <c r="X2290" s="11"/>
      <c r="Y2290" s="11"/>
      <c r="Z2290" s="105"/>
      <c r="AA2290" s="11"/>
      <c r="AB2290" s="11"/>
      <c r="AC2290" s="105"/>
      <c r="AD2290" s="11" t="b">
        <v>0</v>
      </c>
      <c r="AE2290" s="105"/>
      <c r="AF2290" s="11"/>
      <c r="AG2290" s="11"/>
      <c r="AH2290" s="11"/>
      <c r="AI2290" s="11"/>
    </row>
    <row r="2291" ht="12.5" spans="3:35">
      <c r="C2291" s="19"/>
      <c r="D2291" s="19"/>
      <c r="H2291" s="105"/>
      <c r="I2291" s="126"/>
      <c r="J2291" s="11"/>
      <c r="K2291" s="108"/>
      <c r="L2291" s="11"/>
      <c r="M2291" s="105"/>
      <c r="N2291" s="105"/>
      <c r="O2291" s="11"/>
      <c r="P2291" s="11"/>
      <c r="Q2291" s="105"/>
      <c r="R2291" s="105"/>
      <c r="S2291" s="105"/>
      <c r="T2291" s="105"/>
      <c r="U2291" s="105"/>
      <c r="V2291" s="105"/>
      <c r="W2291" s="105"/>
      <c r="X2291" s="11"/>
      <c r="Y2291" s="11"/>
      <c r="Z2291" s="105"/>
      <c r="AA2291" s="11"/>
      <c r="AB2291" s="11"/>
      <c r="AC2291" s="105"/>
      <c r="AD2291" s="11" t="b">
        <v>0</v>
      </c>
      <c r="AE2291" s="105"/>
      <c r="AF2291" s="11"/>
      <c r="AG2291" s="11"/>
      <c r="AH2291" s="11"/>
      <c r="AI2291" s="11"/>
    </row>
    <row r="2292" ht="12.5" spans="3:35">
      <c r="C2292" s="19"/>
      <c r="D2292" s="19"/>
      <c r="H2292" s="105"/>
      <c r="I2292" s="126"/>
      <c r="J2292" s="11"/>
      <c r="K2292" s="108"/>
      <c r="L2292" s="11"/>
      <c r="M2292" s="105"/>
      <c r="N2292" s="105"/>
      <c r="O2292" s="11"/>
      <c r="P2292" s="11"/>
      <c r="Q2292" s="105"/>
      <c r="R2292" s="105"/>
      <c r="S2292" s="105"/>
      <c r="T2292" s="105"/>
      <c r="U2292" s="105"/>
      <c r="V2292" s="105"/>
      <c r="W2292" s="105"/>
      <c r="X2292" s="11"/>
      <c r="Y2292" s="11"/>
      <c r="Z2292" s="105"/>
      <c r="AA2292" s="11"/>
      <c r="AB2292" s="11"/>
      <c r="AC2292" s="105"/>
      <c r="AD2292" s="11" t="b">
        <v>0</v>
      </c>
      <c r="AE2292" s="105"/>
      <c r="AF2292" s="11"/>
      <c r="AG2292" s="11"/>
      <c r="AH2292" s="11"/>
      <c r="AI2292" s="11"/>
    </row>
    <row r="2293" ht="12.5" spans="3:35">
      <c r="C2293" s="19"/>
      <c r="D2293" s="19"/>
      <c r="H2293" s="105"/>
      <c r="I2293" s="126"/>
      <c r="J2293" s="11"/>
      <c r="K2293" s="108"/>
      <c r="L2293" s="11"/>
      <c r="M2293" s="105"/>
      <c r="N2293" s="105"/>
      <c r="O2293" s="11"/>
      <c r="P2293" s="11"/>
      <c r="Q2293" s="105"/>
      <c r="R2293" s="105"/>
      <c r="S2293" s="105"/>
      <c r="T2293" s="105"/>
      <c r="U2293" s="105"/>
      <c r="V2293" s="105"/>
      <c r="W2293" s="105"/>
      <c r="X2293" s="11"/>
      <c r="Y2293" s="11"/>
      <c r="Z2293" s="105"/>
      <c r="AA2293" s="11"/>
      <c r="AB2293" s="11"/>
      <c r="AC2293" s="105"/>
      <c r="AD2293" s="11" t="b">
        <v>0</v>
      </c>
      <c r="AE2293" s="105"/>
      <c r="AF2293" s="11"/>
      <c r="AG2293" s="11"/>
      <c r="AH2293" s="11"/>
      <c r="AI2293" s="11"/>
    </row>
    <row r="2294" ht="12.5" spans="3:35">
      <c r="C2294" s="19"/>
      <c r="D2294" s="19"/>
      <c r="H2294" s="105"/>
      <c r="I2294" s="126"/>
      <c r="J2294" s="11"/>
      <c r="K2294" s="108"/>
      <c r="L2294" s="11"/>
      <c r="M2294" s="105"/>
      <c r="N2294" s="105"/>
      <c r="O2294" s="11"/>
      <c r="P2294" s="11"/>
      <c r="Q2294" s="105"/>
      <c r="R2294" s="105"/>
      <c r="S2294" s="105"/>
      <c r="T2294" s="105"/>
      <c r="U2294" s="105"/>
      <c r="V2294" s="105"/>
      <c r="W2294" s="105"/>
      <c r="X2294" s="11"/>
      <c r="Y2294" s="11"/>
      <c r="Z2294" s="105"/>
      <c r="AA2294" s="11"/>
      <c r="AB2294" s="11"/>
      <c r="AC2294" s="105"/>
      <c r="AD2294" s="11" t="b">
        <v>0</v>
      </c>
      <c r="AE2294" s="105"/>
      <c r="AF2294" s="11"/>
      <c r="AG2294" s="11"/>
      <c r="AH2294" s="11"/>
      <c r="AI2294" s="11"/>
    </row>
    <row r="2295" ht="12.5" spans="3:35">
      <c r="C2295" s="19"/>
      <c r="D2295" s="19"/>
      <c r="H2295" s="105"/>
      <c r="I2295" s="126"/>
      <c r="J2295" s="11"/>
      <c r="K2295" s="108"/>
      <c r="L2295" s="11"/>
      <c r="M2295" s="105"/>
      <c r="N2295" s="105"/>
      <c r="O2295" s="11"/>
      <c r="P2295" s="11"/>
      <c r="Q2295" s="105"/>
      <c r="R2295" s="105"/>
      <c r="S2295" s="105"/>
      <c r="T2295" s="105"/>
      <c r="U2295" s="105"/>
      <c r="V2295" s="105"/>
      <c r="W2295" s="105"/>
      <c r="X2295" s="11"/>
      <c r="Y2295" s="11"/>
      <c r="Z2295" s="105"/>
      <c r="AA2295" s="11"/>
      <c r="AB2295" s="11"/>
      <c r="AC2295" s="105"/>
      <c r="AD2295" s="11" t="b">
        <v>0</v>
      </c>
      <c r="AE2295" s="105"/>
      <c r="AF2295" s="11"/>
      <c r="AG2295" s="11"/>
      <c r="AH2295" s="11"/>
      <c r="AI2295" s="11"/>
    </row>
    <row r="2296" ht="12.5" spans="3:35">
      <c r="C2296" s="19"/>
      <c r="D2296" s="19"/>
      <c r="H2296" s="105"/>
      <c r="I2296" s="126"/>
      <c r="J2296" s="11"/>
      <c r="K2296" s="108"/>
      <c r="L2296" s="11"/>
      <c r="M2296" s="105"/>
      <c r="N2296" s="105"/>
      <c r="O2296" s="11"/>
      <c r="P2296" s="11"/>
      <c r="Q2296" s="105"/>
      <c r="R2296" s="105"/>
      <c r="S2296" s="105"/>
      <c r="T2296" s="105"/>
      <c r="U2296" s="105"/>
      <c r="V2296" s="105"/>
      <c r="W2296" s="105"/>
      <c r="X2296" s="11"/>
      <c r="Y2296" s="11"/>
      <c r="Z2296" s="105"/>
      <c r="AA2296" s="11"/>
      <c r="AB2296" s="11"/>
      <c r="AC2296" s="105"/>
      <c r="AD2296" s="11" t="b">
        <v>0</v>
      </c>
      <c r="AE2296" s="105"/>
      <c r="AF2296" s="11"/>
      <c r="AG2296" s="11"/>
      <c r="AH2296" s="11"/>
      <c r="AI2296" s="11"/>
    </row>
    <row r="2297" ht="12.5" spans="3:35">
      <c r="C2297" s="19"/>
      <c r="D2297" s="19"/>
      <c r="H2297" s="105"/>
      <c r="I2297" s="126"/>
      <c r="J2297" s="11"/>
      <c r="K2297" s="108"/>
      <c r="L2297" s="11"/>
      <c r="M2297" s="105"/>
      <c r="N2297" s="105"/>
      <c r="O2297" s="11"/>
      <c r="P2297" s="11"/>
      <c r="Q2297" s="105"/>
      <c r="R2297" s="105"/>
      <c r="S2297" s="105"/>
      <c r="T2297" s="105"/>
      <c r="U2297" s="105"/>
      <c r="V2297" s="105"/>
      <c r="W2297" s="105"/>
      <c r="X2297" s="11"/>
      <c r="Y2297" s="11"/>
      <c r="Z2297" s="105"/>
      <c r="AA2297" s="11"/>
      <c r="AB2297" s="11"/>
      <c r="AC2297" s="105"/>
      <c r="AD2297" s="11" t="b">
        <v>0</v>
      </c>
      <c r="AE2297" s="105"/>
      <c r="AF2297" s="11"/>
      <c r="AG2297" s="11"/>
      <c r="AH2297" s="11"/>
      <c r="AI2297" s="11"/>
    </row>
    <row r="2298" ht="12.5" spans="3:35">
      <c r="C2298" s="19"/>
      <c r="D2298" s="19"/>
      <c r="H2298" s="105"/>
      <c r="I2298" s="126"/>
      <c r="J2298" s="11"/>
      <c r="K2298" s="108"/>
      <c r="L2298" s="11"/>
      <c r="M2298" s="105"/>
      <c r="N2298" s="105"/>
      <c r="O2298" s="11"/>
      <c r="P2298" s="11"/>
      <c r="Q2298" s="105"/>
      <c r="R2298" s="105"/>
      <c r="S2298" s="105"/>
      <c r="T2298" s="105"/>
      <c r="U2298" s="105"/>
      <c r="V2298" s="105"/>
      <c r="W2298" s="105"/>
      <c r="X2298" s="11"/>
      <c r="Y2298" s="11"/>
      <c r="Z2298" s="105"/>
      <c r="AA2298" s="11"/>
      <c r="AB2298" s="11"/>
      <c r="AC2298" s="105"/>
      <c r="AD2298" s="11" t="b">
        <v>0</v>
      </c>
      <c r="AE2298" s="105"/>
      <c r="AF2298" s="11"/>
      <c r="AG2298" s="11"/>
      <c r="AH2298" s="11"/>
      <c r="AI2298" s="11"/>
    </row>
    <row r="2299" ht="12.5" spans="3:35">
      <c r="C2299" s="19"/>
      <c r="D2299" s="19"/>
      <c r="H2299" s="105"/>
      <c r="I2299" s="126"/>
      <c r="J2299" s="11"/>
      <c r="K2299" s="108"/>
      <c r="L2299" s="11"/>
      <c r="M2299" s="105"/>
      <c r="N2299" s="105"/>
      <c r="O2299" s="11"/>
      <c r="P2299" s="11"/>
      <c r="Q2299" s="105"/>
      <c r="R2299" s="105"/>
      <c r="S2299" s="105"/>
      <c r="T2299" s="105"/>
      <c r="U2299" s="105"/>
      <c r="V2299" s="105"/>
      <c r="W2299" s="105"/>
      <c r="X2299" s="11"/>
      <c r="Y2299" s="11"/>
      <c r="Z2299" s="105"/>
      <c r="AA2299" s="11"/>
      <c r="AB2299" s="11"/>
      <c r="AC2299" s="105"/>
      <c r="AD2299" s="11" t="b">
        <v>0</v>
      </c>
      <c r="AE2299" s="105"/>
      <c r="AF2299" s="11"/>
      <c r="AG2299" s="11"/>
      <c r="AH2299" s="11"/>
      <c r="AI2299" s="11"/>
    </row>
    <row r="2300" ht="12.5" spans="3:35">
      <c r="C2300" s="19"/>
      <c r="D2300" s="19"/>
      <c r="H2300" s="105"/>
      <c r="I2300" s="126"/>
      <c r="J2300" s="11"/>
      <c r="K2300" s="108"/>
      <c r="L2300" s="11"/>
      <c r="M2300" s="105"/>
      <c r="N2300" s="105"/>
      <c r="O2300" s="11"/>
      <c r="P2300" s="11"/>
      <c r="Q2300" s="105"/>
      <c r="R2300" s="105"/>
      <c r="S2300" s="105"/>
      <c r="T2300" s="105"/>
      <c r="U2300" s="105"/>
      <c r="V2300" s="105"/>
      <c r="W2300" s="105"/>
      <c r="X2300" s="11"/>
      <c r="Y2300" s="11"/>
      <c r="Z2300" s="105"/>
      <c r="AA2300" s="11"/>
      <c r="AB2300" s="11"/>
      <c r="AC2300" s="105"/>
      <c r="AD2300" s="11" t="b">
        <v>0</v>
      </c>
      <c r="AE2300" s="105"/>
      <c r="AF2300" s="11"/>
      <c r="AG2300" s="11"/>
      <c r="AH2300" s="11"/>
      <c r="AI2300" s="11"/>
    </row>
    <row r="2301" ht="12.5" spans="3:35">
      <c r="C2301" s="19"/>
      <c r="D2301" s="19"/>
      <c r="H2301" s="105"/>
      <c r="I2301" s="126"/>
      <c r="J2301" s="11"/>
      <c r="K2301" s="108"/>
      <c r="L2301" s="11"/>
      <c r="M2301" s="105"/>
      <c r="N2301" s="105"/>
      <c r="O2301" s="11"/>
      <c r="P2301" s="11"/>
      <c r="Q2301" s="105"/>
      <c r="R2301" s="105"/>
      <c r="S2301" s="105"/>
      <c r="T2301" s="105"/>
      <c r="U2301" s="105"/>
      <c r="V2301" s="105"/>
      <c r="W2301" s="105"/>
      <c r="X2301" s="11"/>
      <c r="Y2301" s="11"/>
      <c r="Z2301" s="105"/>
      <c r="AA2301" s="11"/>
      <c r="AB2301" s="11"/>
      <c r="AC2301" s="105"/>
      <c r="AD2301" s="11" t="b">
        <v>0</v>
      </c>
      <c r="AE2301" s="105"/>
      <c r="AF2301" s="11"/>
      <c r="AG2301" s="11"/>
      <c r="AH2301" s="11"/>
      <c r="AI2301" s="11"/>
    </row>
    <row r="2302" ht="12.5" spans="3:35">
      <c r="C2302" s="19"/>
      <c r="D2302" s="19"/>
      <c r="H2302" s="105"/>
      <c r="I2302" s="126"/>
      <c r="J2302" s="11"/>
      <c r="K2302" s="108"/>
      <c r="L2302" s="11"/>
      <c r="M2302" s="105"/>
      <c r="N2302" s="105"/>
      <c r="O2302" s="11"/>
      <c r="P2302" s="11"/>
      <c r="Q2302" s="105"/>
      <c r="R2302" s="105"/>
      <c r="S2302" s="105"/>
      <c r="T2302" s="105"/>
      <c r="U2302" s="105"/>
      <c r="V2302" s="105"/>
      <c r="W2302" s="105"/>
      <c r="X2302" s="11"/>
      <c r="Y2302" s="11"/>
      <c r="Z2302" s="105"/>
      <c r="AA2302" s="11"/>
      <c r="AB2302" s="11"/>
      <c r="AC2302" s="105"/>
      <c r="AD2302" s="11" t="b">
        <v>0</v>
      </c>
      <c r="AE2302" s="105"/>
      <c r="AF2302" s="11"/>
      <c r="AG2302" s="11"/>
      <c r="AH2302" s="11"/>
      <c r="AI2302" s="11"/>
    </row>
    <row r="2303" ht="12.5" spans="3:35">
      <c r="C2303" s="19"/>
      <c r="D2303" s="19"/>
      <c r="H2303" s="105"/>
      <c r="I2303" s="126"/>
      <c r="J2303" s="11"/>
      <c r="K2303" s="108"/>
      <c r="L2303" s="11"/>
      <c r="M2303" s="105"/>
      <c r="N2303" s="105"/>
      <c r="O2303" s="11"/>
      <c r="P2303" s="11"/>
      <c r="Q2303" s="105"/>
      <c r="R2303" s="105"/>
      <c r="S2303" s="105"/>
      <c r="T2303" s="105"/>
      <c r="U2303" s="105"/>
      <c r="V2303" s="105"/>
      <c r="W2303" s="105"/>
      <c r="X2303" s="11"/>
      <c r="Y2303" s="11"/>
      <c r="Z2303" s="105"/>
      <c r="AA2303" s="11"/>
      <c r="AB2303" s="11"/>
      <c r="AC2303" s="105"/>
      <c r="AD2303" s="11" t="b">
        <v>0</v>
      </c>
      <c r="AE2303" s="105"/>
      <c r="AF2303" s="11"/>
      <c r="AG2303" s="11"/>
      <c r="AH2303" s="11"/>
      <c r="AI2303" s="11"/>
    </row>
    <row r="2304" ht="12.5" spans="3:35">
      <c r="C2304" s="19"/>
      <c r="D2304" s="19"/>
      <c r="H2304" s="105"/>
      <c r="I2304" s="126"/>
      <c r="J2304" s="11"/>
      <c r="K2304" s="108"/>
      <c r="L2304" s="11"/>
      <c r="M2304" s="105"/>
      <c r="N2304" s="105"/>
      <c r="O2304" s="11"/>
      <c r="P2304" s="11"/>
      <c r="Q2304" s="105"/>
      <c r="R2304" s="105"/>
      <c r="S2304" s="105"/>
      <c r="T2304" s="105"/>
      <c r="U2304" s="105"/>
      <c r="V2304" s="105"/>
      <c r="W2304" s="105"/>
      <c r="X2304" s="11"/>
      <c r="Y2304" s="11"/>
      <c r="Z2304" s="105"/>
      <c r="AA2304" s="11"/>
      <c r="AB2304" s="11"/>
      <c r="AC2304" s="105"/>
      <c r="AD2304" s="11" t="b">
        <v>0</v>
      </c>
      <c r="AE2304" s="105"/>
      <c r="AF2304" s="11"/>
      <c r="AG2304" s="11"/>
      <c r="AH2304" s="11"/>
      <c r="AI2304" s="11"/>
    </row>
    <row r="2305" ht="12.5" spans="3:35">
      <c r="C2305" s="19"/>
      <c r="D2305" s="19"/>
      <c r="H2305" s="105"/>
      <c r="I2305" s="126"/>
      <c r="J2305" s="11"/>
      <c r="K2305" s="108"/>
      <c r="L2305" s="11"/>
      <c r="M2305" s="105"/>
      <c r="N2305" s="105"/>
      <c r="O2305" s="11"/>
      <c r="P2305" s="11"/>
      <c r="Q2305" s="105"/>
      <c r="R2305" s="105"/>
      <c r="S2305" s="105"/>
      <c r="T2305" s="105"/>
      <c r="U2305" s="105"/>
      <c r="V2305" s="105"/>
      <c r="W2305" s="105"/>
      <c r="X2305" s="11"/>
      <c r="Y2305" s="11"/>
      <c r="Z2305" s="105"/>
      <c r="AA2305" s="11"/>
      <c r="AB2305" s="11"/>
      <c r="AC2305" s="105"/>
      <c r="AD2305" s="11" t="b">
        <v>0</v>
      </c>
      <c r="AE2305" s="105"/>
      <c r="AF2305" s="11"/>
      <c r="AG2305" s="11"/>
      <c r="AH2305" s="11"/>
      <c r="AI2305" s="11"/>
    </row>
    <row r="2306" ht="12.5" spans="3:35">
      <c r="C2306" s="19"/>
      <c r="D2306" s="19"/>
      <c r="H2306" s="105"/>
      <c r="I2306" s="126"/>
      <c r="J2306" s="11"/>
      <c r="K2306" s="108"/>
      <c r="L2306" s="11"/>
      <c r="M2306" s="105"/>
      <c r="N2306" s="105"/>
      <c r="O2306" s="11"/>
      <c r="P2306" s="11"/>
      <c r="Q2306" s="105"/>
      <c r="R2306" s="105"/>
      <c r="S2306" s="105"/>
      <c r="T2306" s="105"/>
      <c r="U2306" s="105"/>
      <c r="V2306" s="105"/>
      <c r="W2306" s="105"/>
      <c r="X2306" s="11"/>
      <c r="Y2306" s="11"/>
      <c r="Z2306" s="105"/>
      <c r="AA2306" s="11"/>
      <c r="AB2306" s="11"/>
      <c r="AC2306" s="105"/>
      <c r="AD2306" s="11" t="b">
        <v>0</v>
      </c>
      <c r="AE2306" s="105"/>
      <c r="AF2306" s="11"/>
      <c r="AG2306" s="11"/>
      <c r="AH2306" s="11"/>
      <c r="AI2306" s="11"/>
    </row>
    <row r="2307" ht="12.5" spans="3:35">
      <c r="C2307" s="19"/>
      <c r="D2307" s="19"/>
      <c r="H2307" s="105"/>
      <c r="I2307" s="126"/>
      <c r="J2307" s="11"/>
      <c r="K2307" s="108"/>
      <c r="L2307" s="11"/>
      <c r="M2307" s="105"/>
      <c r="N2307" s="105"/>
      <c r="O2307" s="11"/>
      <c r="P2307" s="11"/>
      <c r="Q2307" s="105"/>
      <c r="R2307" s="105"/>
      <c r="S2307" s="105"/>
      <c r="T2307" s="105"/>
      <c r="U2307" s="105"/>
      <c r="V2307" s="105"/>
      <c r="W2307" s="105"/>
      <c r="X2307" s="11"/>
      <c r="Y2307" s="11"/>
      <c r="Z2307" s="105"/>
      <c r="AA2307" s="11"/>
      <c r="AB2307" s="11"/>
      <c r="AC2307" s="105"/>
      <c r="AD2307" s="11" t="b">
        <v>0</v>
      </c>
      <c r="AE2307" s="105"/>
      <c r="AF2307" s="11"/>
      <c r="AG2307" s="11"/>
      <c r="AH2307" s="11"/>
      <c r="AI2307" s="11"/>
    </row>
    <row r="2308" ht="12.5" spans="3:35">
      <c r="C2308" s="19"/>
      <c r="D2308" s="19"/>
      <c r="H2308" s="105"/>
      <c r="I2308" s="126"/>
      <c r="J2308" s="11"/>
      <c r="K2308" s="108"/>
      <c r="L2308" s="11"/>
      <c r="M2308" s="105"/>
      <c r="N2308" s="105"/>
      <c r="O2308" s="11"/>
      <c r="P2308" s="11"/>
      <c r="Q2308" s="105"/>
      <c r="R2308" s="105"/>
      <c r="S2308" s="105"/>
      <c r="T2308" s="105"/>
      <c r="U2308" s="105"/>
      <c r="V2308" s="105"/>
      <c r="W2308" s="105"/>
      <c r="X2308" s="11"/>
      <c r="Y2308" s="11"/>
      <c r="Z2308" s="105"/>
      <c r="AA2308" s="11"/>
      <c r="AB2308" s="11"/>
      <c r="AC2308" s="105"/>
      <c r="AD2308" s="11" t="b">
        <v>0</v>
      </c>
      <c r="AE2308" s="105"/>
      <c r="AF2308" s="11"/>
      <c r="AG2308" s="11"/>
      <c r="AH2308" s="11"/>
      <c r="AI2308" s="11"/>
    </row>
    <row r="2309" ht="12.5" spans="3:35">
      <c r="C2309" s="19"/>
      <c r="D2309" s="19"/>
      <c r="H2309" s="105"/>
      <c r="I2309" s="126"/>
      <c r="J2309" s="11"/>
      <c r="K2309" s="108"/>
      <c r="L2309" s="11"/>
      <c r="M2309" s="105"/>
      <c r="N2309" s="105"/>
      <c r="O2309" s="11"/>
      <c r="P2309" s="11"/>
      <c r="Q2309" s="105"/>
      <c r="R2309" s="105"/>
      <c r="S2309" s="105"/>
      <c r="T2309" s="105"/>
      <c r="U2309" s="105"/>
      <c r="V2309" s="105"/>
      <c r="W2309" s="105"/>
      <c r="X2309" s="11"/>
      <c r="Y2309" s="11"/>
      <c r="Z2309" s="105"/>
      <c r="AA2309" s="11"/>
      <c r="AB2309" s="11"/>
      <c r="AC2309" s="105"/>
      <c r="AD2309" s="11" t="b">
        <v>0</v>
      </c>
      <c r="AE2309" s="105"/>
      <c r="AF2309" s="11"/>
      <c r="AG2309" s="11"/>
      <c r="AH2309" s="11"/>
      <c r="AI2309" s="11"/>
    </row>
    <row r="2310" ht="12.5" spans="3:35">
      <c r="C2310" s="19"/>
      <c r="D2310" s="19"/>
      <c r="H2310" s="105"/>
      <c r="I2310" s="126"/>
      <c r="J2310" s="11"/>
      <c r="K2310" s="108"/>
      <c r="L2310" s="11"/>
      <c r="M2310" s="105"/>
      <c r="N2310" s="105"/>
      <c r="O2310" s="11"/>
      <c r="P2310" s="11"/>
      <c r="Q2310" s="105"/>
      <c r="R2310" s="105"/>
      <c r="S2310" s="105"/>
      <c r="T2310" s="105"/>
      <c r="U2310" s="105"/>
      <c r="V2310" s="105"/>
      <c r="W2310" s="105"/>
      <c r="X2310" s="11"/>
      <c r="Y2310" s="11"/>
      <c r="Z2310" s="105"/>
      <c r="AA2310" s="11"/>
      <c r="AB2310" s="11"/>
      <c r="AC2310" s="105"/>
      <c r="AD2310" s="11" t="b">
        <v>0</v>
      </c>
      <c r="AE2310" s="105"/>
      <c r="AF2310" s="11"/>
      <c r="AG2310" s="11"/>
      <c r="AH2310" s="11"/>
      <c r="AI2310" s="11"/>
    </row>
    <row r="2311" ht="12.5" spans="3:35">
      <c r="C2311" s="19"/>
      <c r="D2311" s="19"/>
      <c r="H2311" s="105"/>
      <c r="I2311" s="126"/>
      <c r="J2311" s="11"/>
      <c r="K2311" s="108"/>
      <c r="L2311" s="11"/>
      <c r="M2311" s="105"/>
      <c r="N2311" s="105"/>
      <c r="O2311" s="11"/>
      <c r="P2311" s="11"/>
      <c r="Q2311" s="105"/>
      <c r="R2311" s="105"/>
      <c r="S2311" s="105"/>
      <c r="T2311" s="105"/>
      <c r="U2311" s="105"/>
      <c r="V2311" s="105"/>
      <c r="W2311" s="105"/>
      <c r="X2311" s="11"/>
      <c r="Y2311" s="11"/>
      <c r="Z2311" s="105"/>
      <c r="AA2311" s="11"/>
      <c r="AB2311" s="11"/>
      <c r="AC2311" s="105"/>
      <c r="AD2311" s="11" t="b">
        <v>0</v>
      </c>
      <c r="AE2311" s="105"/>
      <c r="AF2311" s="11"/>
      <c r="AG2311" s="11"/>
      <c r="AH2311" s="11"/>
      <c r="AI2311" s="11"/>
    </row>
    <row r="2312" ht="12.5" spans="3:35">
      <c r="C2312" s="19"/>
      <c r="D2312" s="19"/>
      <c r="H2312" s="105"/>
      <c r="I2312" s="126"/>
      <c r="J2312" s="11"/>
      <c r="K2312" s="108"/>
      <c r="L2312" s="11"/>
      <c r="M2312" s="105"/>
      <c r="N2312" s="105"/>
      <c r="O2312" s="11"/>
      <c r="P2312" s="11"/>
      <c r="Q2312" s="105"/>
      <c r="R2312" s="105"/>
      <c r="S2312" s="105"/>
      <c r="T2312" s="105"/>
      <c r="U2312" s="105"/>
      <c r="V2312" s="105"/>
      <c r="W2312" s="105"/>
      <c r="X2312" s="11"/>
      <c r="Y2312" s="11"/>
      <c r="Z2312" s="105"/>
      <c r="AA2312" s="11"/>
      <c r="AB2312" s="11"/>
      <c r="AC2312" s="105"/>
      <c r="AD2312" s="11" t="b">
        <v>0</v>
      </c>
      <c r="AE2312" s="105"/>
      <c r="AF2312" s="11"/>
      <c r="AG2312" s="11"/>
      <c r="AH2312" s="11"/>
      <c r="AI2312" s="11"/>
    </row>
    <row r="2313" ht="12.5" spans="3:35">
      <c r="C2313" s="19"/>
      <c r="D2313" s="19"/>
      <c r="H2313" s="105"/>
      <c r="I2313" s="126"/>
      <c r="J2313" s="11"/>
      <c r="K2313" s="108"/>
      <c r="L2313" s="11"/>
      <c r="M2313" s="105"/>
      <c r="N2313" s="105"/>
      <c r="O2313" s="11"/>
      <c r="P2313" s="11"/>
      <c r="Q2313" s="105"/>
      <c r="R2313" s="105"/>
      <c r="S2313" s="105"/>
      <c r="T2313" s="105"/>
      <c r="U2313" s="105"/>
      <c r="V2313" s="105"/>
      <c r="W2313" s="105"/>
      <c r="X2313" s="11"/>
      <c r="Y2313" s="11"/>
      <c r="Z2313" s="105"/>
      <c r="AA2313" s="11"/>
      <c r="AB2313" s="11"/>
      <c r="AC2313" s="105"/>
      <c r="AD2313" s="11" t="b">
        <v>0</v>
      </c>
      <c r="AE2313" s="105"/>
      <c r="AF2313" s="11"/>
      <c r="AG2313" s="11"/>
      <c r="AH2313" s="11"/>
      <c r="AI2313" s="11"/>
    </row>
    <row r="2314" ht="12.5" spans="3:35">
      <c r="C2314" s="19"/>
      <c r="D2314" s="19"/>
      <c r="H2314" s="105"/>
      <c r="I2314" s="126"/>
      <c r="J2314" s="11"/>
      <c r="K2314" s="108"/>
      <c r="L2314" s="11"/>
      <c r="M2314" s="105"/>
      <c r="N2314" s="105"/>
      <c r="O2314" s="11"/>
      <c r="P2314" s="11"/>
      <c r="Q2314" s="105"/>
      <c r="R2314" s="105"/>
      <c r="S2314" s="105"/>
      <c r="T2314" s="105"/>
      <c r="U2314" s="105"/>
      <c r="V2314" s="105"/>
      <c r="W2314" s="105"/>
      <c r="X2314" s="11"/>
      <c r="Y2314" s="11"/>
      <c r="Z2314" s="105"/>
      <c r="AA2314" s="11"/>
      <c r="AB2314" s="11"/>
      <c r="AC2314" s="105"/>
      <c r="AD2314" s="11" t="b">
        <v>0</v>
      </c>
      <c r="AE2314" s="105"/>
      <c r="AF2314" s="11"/>
      <c r="AG2314" s="11"/>
      <c r="AH2314" s="11"/>
      <c r="AI2314" s="11"/>
    </row>
    <row r="2315" ht="12.5" spans="3:35">
      <c r="C2315" s="19"/>
      <c r="D2315" s="19"/>
      <c r="H2315" s="105"/>
      <c r="I2315" s="126"/>
      <c r="J2315" s="11"/>
      <c r="K2315" s="108"/>
      <c r="L2315" s="11"/>
      <c r="M2315" s="105"/>
      <c r="N2315" s="105"/>
      <c r="O2315" s="11"/>
      <c r="P2315" s="11"/>
      <c r="Q2315" s="105"/>
      <c r="R2315" s="105"/>
      <c r="S2315" s="105"/>
      <c r="T2315" s="105"/>
      <c r="U2315" s="105"/>
      <c r="V2315" s="105"/>
      <c r="W2315" s="105"/>
      <c r="X2315" s="11"/>
      <c r="Y2315" s="11"/>
      <c r="Z2315" s="105"/>
      <c r="AA2315" s="11"/>
      <c r="AB2315" s="11"/>
      <c r="AC2315" s="105"/>
      <c r="AD2315" s="11" t="b">
        <v>0</v>
      </c>
      <c r="AE2315" s="105"/>
      <c r="AF2315" s="11"/>
      <c r="AG2315" s="11"/>
      <c r="AH2315" s="11"/>
      <c r="AI2315" s="11"/>
    </row>
    <row r="2316" ht="12.5" spans="3:35">
      <c r="C2316" s="19"/>
      <c r="D2316" s="19"/>
      <c r="H2316" s="105"/>
      <c r="I2316" s="126"/>
      <c r="J2316" s="11"/>
      <c r="K2316" s="108"/>
      <c r="L2316" s="11"/>
      <c r="M2316" s="105"/>
      <c r="N2316" s="105"/>
      <c r="O2316" s="11"/>
      <c r="P2316" s="11"/>
      <c r="Q2316" s="105"/>
      <c r="R2316" s="105"/>
      <c r="S2316" s="105"/>
      <c r="T2316" s="105"/>
      <c r="U2316" s="105"/>
      <c r="V2316" s="105"/>
      <c r="W2316" s="105"/>
      <c r="X2316" s="11"/>
      <c r="Y2316" s="11"/>
      <c r="Z2316" s="105"/>
      <c r="AA2316" s="11"/>
      <c r="AB2316" s="11"/>
      <c r="AC2316" s="105"/>
      <c r="AD2316" s="11" t="b">
        <v>0</v>
      </c>
      <c r="AE2316" s="105"/>
      <c r="AF2316" s="11"/>
      <c r="AG2316" s="11"/>
      <c r="AH2316" s="11"/>
      <c r="AI2316" s="11"/>
    </row>
    <row r="2317" ht="12.5" spans="3:35">
      <c r="C2317" s="19"/>
      <c r="D2317" s="19"/>
      <c r="H2317" s="105"/>
      <c r="I2317" s="126"/>
      <c r="J2317" s="11"/>
      <c r="K2317" s="108"/>
      <c r="L2317" s="11"/>
      <c r="M2317" s="105"/>
      <c r="N2317" s="105"/>
      <c r="O2317" s="11"/>
      <c r="P2317" s="11"/>
      <c r="Q2317" s="105"/>
      <c r="R2317" s="105"/>
      <c r="S2317" s="105"/>
      <c r="T2317" s="105"/>
      <c r="U2317" s="105"/>
      <c r="V2317" s="105"/>
      <c r="W2317" s="105"/>
      <c r="X2317" s="11"/>
      <c r="Y2317" s="11"/>
      <c r="Z2317" s="105"/>
      <c r="AA2317" s="11"/>
      <c r="AB2317" s="11"/>
      <c r="AC2317" s="105"/>
      <c r="AD2317" s="11" t="b">
        <v>0</v>
      </c>
      <c r="AE2317" s="105"/>
      <c r="AF2317" s="11"/>
      <c r="AG2317" s="11"/>
      <c r="AH2317" s="11"/>
      <c r="AI2317" s="11"/>
    </row>
    <row r="2318" ht="12.5" spans="3:35">
      <c r="C2318" s="19"/>
      <c r="D2318" s="19"/>
      <c r="H2318" s="105"/>
      <c r="I2318" s="126"/>
      <c r="J2318" s="11"/>
      <c r="K2318" s="108"/>
      <c r="L2318" s="11"/>
      <c r="M2318" s="105"/>
      <c r="N2318" s="105"/>
      <c r="O2318" s="11"/>
      <c r="P2318" s="11"/>
      <c r="Q2318" s="105"/>
      <c r="R2318" s="105"/>
      <c r="S2318" s="105"/>
      <c r="T2318" s="105"/>
      <c r="U2318" s="105"/>
      <c r="V2318" s="105"/>
      <c r="W2318" s="105"/>
      <c r="X2318" s="11"/>
      <c r="Y2318" s="11"/>
      <c r="Z2318" s="105"/>
      <c r="AA2318" s="11"/>
      <c r="AB2318" s="11"/>
      <c r="AC2318" s="105"/>
      <c r="AD2318" s="11" t="b">
        <v>0</v>
      </c>
      <c r="AE2318" s="105"/>
      <c r="AF2318" s="11"/>
      <c r="AG2318" s="11"/>
      <c r="AH2318" s="11"/>
      <c r="AI2318" s="11"/>
    </row>
    <row r="2319" ht="12.5" spans="3:35">
      <c r="C2319" s="19"/>
      <c r="D2319" s="19"/>
      <c r="H2319" s="105"/>
      <c r="I2319" s="126"/>
      <c r="J2319" s="11"/>
      <c r="K2319" s="108"/>
      <c r="L2319" s="11"/>
      <c r="M2319" s="105"/>
      <c r="N2319" s="105"/>
      <c r="O2319" s="11"/>
      <c r="P2319" s="11"/>
      <c r="Q2319" s="105"/>
      <c r="R2319" s="105"/>
      <c r="S2319" s="105"/>
      <c r="T2319" s="105"/>
      <c r="U2319" s="105"/>
      <c r="V2319" s="105"/>
      <c r="W2319" s="105"/>
      <c r="X2319" s="11"/>
      <c r="Y2319" s="11"/>
      <c r="Z2319" s="105"/>
      <c r="AA2319" s="11"/>
      <c r="AB2319" s="11"/>
      <c r="AC2319" s="105"/>
      <c r="AD2319" s="11" t="b">
        <v>0</v>
      </c>
      <c r="AE2319" s="105"/>
      <c r="AF2319" s="11"/>
      <c r="AG2319" s="11"/>
      <c r="AH2319" s="11"/>
      <c r="AI2319" s="11"/>
    </row>
    <row r="2320" ht="12.5" spans="3:35">
      <c r="C2320" s="19"/>
      <c r="D2320" s="19"/>
      <c r="H2320" s="105"/>
      <c r="I2320" s="126"/>
      <c r="J2320" s="11"/>
      <c r="K2320" s="108"/>
      <c r="L2320" s="11"/>
      <c r="M2320" s="105"/>
      <c r="N2320" s="105"/>
      <c r="O2320" s="11"/>
      <c r="P2320" s="11"/>
      <c r="Q2320" s="105"/>
      <c r="R2320" s="105"/>
      <c r="S2320" s="105"/>
      <c r="T2320" s="105"/>
      <c r="U2320" s="105"/>
      <c r="V2320" s="105"/>
      <c r="W2320" s="105"/>
      <c r="X2320" s="11"/>
      <c r="Y2320" s="11"/>
      <c r="Z2320" s="105"/>
      <c r="AA2320" s="11"/>
      <c r="AB2320" s="11"/>
      <c r="AC2320" s="105"/>
      <c r="AD2320" s="11" t="b">
        <v>0</v>
      </c>
      <c r="AE2320" s="105"/>
      <c r="AF2320" s="11"/>
      <c r="AG2320" s="11"/>
      <c r="AH2320" s="11"/>
      <c r="AI2320" s="11"/>
    </row>
    <row r="2321" ht="12.5" spans="3:35">
      <c r="C2321" s="19"/>
      <c r="D2321" s="19"/>
      <c r="H2321" s="105"/>
      <c r="I2321" s="126"/>
      <c r="J2321" s="11"/>
      <c r="K2321" s="108"/>
      <c r="L2321" s="11"/>
      <c r="M2321" s="105"/>
      <c r="N2321" s="105"/>
      <c r="O2321" s="11"/>
      <c r="P2321" s="11"/>
      <c r="Q2321" s="105"/>
      <c r="R2321" s="105"/>
      <c r="S2321" s="105"/>
      <c r="T2321" s="105"/>
      <c r="U2321" s="105"/>
      <c r="V2321" s="105"/>
      <c r="W2321" s="105"/>
      <c r="X2321" s="11"/>
      <c r="Y2321" s="11"/>
      <c r="Z2321" s="105"/>
      <c r="AA2321" s="11"/>
      <c r="AB2321" s="11"/>
      <c r="AC2321" s="105"/>
      <c r="AD2321" s="11" t="b">
        <v>0</v>
      </c>
      <c r="AE2321" s="105"/>
      <c r="AF2321" s="11"/>
      <c r="AG2321" s="11"/>
      <c r="AH2321" s="11"/>
      <c r="AI2321" s="11"/>
    </row>
    <row r="2322" ht="12.5" spans="3:35">
      <c r="C2322" s="19"/>
      <c r="D2322" s="19"/>
      <c r="H2322" s="105"/>
      <c r="I2322" s="126"/>
      <c r="J2322" s="11"/>
      <c r="K2322" s="108"/>
      <c r="L2322" s="11"/>
      <c r="M2322" s="105"/>
      <c r="N2322" s="105"/>
      <c r="O2322" s="11"/>
      <c r="P2322" s="11"/>
      <c r="Q2322" s="105"/>
      <c r="R2322" s="105"/>
      <c r="S2322" s="105"/>
      <c r="T2322" s="105"/>
      <c r="U2322" s="105"/>
      <c r="V2322" s="105"/>
      <c r="W2322" s="105"/>
      <c r="X2322" s="11"/>
      <c r="Y2322" s="11"/>
      <c r="Z2322" s="105"/>
      <c r="AA2322" s="11"/>
      <c r="AB2322" s="11"/>
      <c r="AC2322" s="105"/>
      <c r="AD2322" s="11" t="b">
        <v>0</v>
      </c>
      <c r="AE2322" s="105"/>
      <c r="AF2322" s="11"/>
      <c r="AG2322" s="11"/>
      <c r="AH2322" s="11"/>
      <c r="AI2322" s="11"/>
    </row>
    <row r="2323" ht="12.5" spans="3:35">
      <c r="C2323" s="19"/>
      <c r="D2323" s="19"/>
      <c r="H2323" s="105"/>
      <c r="I2323" s="126"/>
      <c r="J2323" s="11"/>
      <c r="K2323" s="108"/>
      <c r="L2323" s="11"/>
      <c r="M2323" s="105"/>
      <c r="N2323" s="105"/>
      <c r="O2323" s="11"/>
      <c r="P2323" s="11"/>
      <c r="Q2323" s="105"/>
      <c r="R2323" s="105"/>
      <c r="S2323" s="105"/>
      <c r="T2323" s="105"/>
      <c r="U2323" s="105"/>
      <c r="V2323" s="105"/>
      <c r="W2323" s="105"/>
      <c r="X2323" s="11"/>
      <c r="Y2323" s="11"/>
      <c r="Z2323" s="105"/>
      <c r="AA2323" s="11"/>
      <c r="AB2323" s="11"/>
      <c r="AC2323" s="105"/>
      <c r="AD2323" s="11" t="b">
        <v>0</v>
      </c>
      <c r="AE2323" s="105"/>
      <c r="AF2323" s="11"/>
      <c r="AG2323" s="11"/>
      <c r="AH2323" s="11"/>
      <c r="AI2323" s="11"/>
    </row>
    <row r="2324" ht="12.5" spans="3:35">
      <c r="C2324" s="19"/>
      <c r="D2324" s="19"/>
      <c r="H2324" s="105"/>
      <c r="I2324" s="126"/>
      <c r="J2324" s="11"/>
      <c r="K2324" s="108"/>
      <c r="L2324" s="11"/>
      <c r="M2324" s="105"/>
      <c r="N2324" s="105"/>
      <c r="O2324" s="11"/>
      <c r="P2324" s="11"/>
      <c r="Q2324" s="105"/>
      <c r="R2324" s="105"/>
      <c r="S2324" s="105"/>
      <c r="T2324" s="105"/>
      <c r="U2324" s="105"/>
      <c r="V2324" s="105"/>
      <c r="W2324" s="105"/>
      <c r="X2324" s="11"/>
      <c r="Y2324" s="11"/>
      <c r="Z2324" s="105"/>
      <c r="AA2324" s="11"/>
      <c r="AB2324" s="11"/>
      <c r="AC2324" s="105"/>
      <c r="AD2324" s="11" t="b">
        <v>0</v>
      </c>
      <c r="AE2324" s="105"/>
      <c r="AF2324" s="11"/>
      <c r="AG2324" s="11"/>
      <c r="AH2324" s="11"/>
      <c r="AI2324" s="11"/>
    </row>
    <row r="2325" ht="12.5" spans="3:35">
      <c r="C2325" s="19"/>
      <c r="D2325" s="19"/>
      <c r="H2325" s="105"/>
      <c r="I2325" s="126"/>
      <c r="J2325" s="11"/>
      <c r="K2325" s="108"/>
      <c r="L2325" s="11"/>
      <c r="M2325" s="105"/>
      <c r="N2325" s="105"/>
      <c r="O2325" s="11"/>
      <c r="P2325" s="11"/>
      <c r="Q2325" s="105"/>
      <c r="R2325" s="105"/>
      <c r="S2325" s="105"/>
      <c r="T2325" s="105"/>
      <c r="U2325" s="105"/>
      <c r="V2325" s="105"/>
      <c r="W2325" s="105"/>
      <c r="X2325" s="11"/>
      <c r="Y2325" s="11"/>
      <c r="Z2325" s="105"/>
      <c r="AA2325" s="11"/>
      <c r="AB2325" s="11"/>
      <c r="AC2325" s="105"/>
      <c r="AD2325" s="11" t="b">
        <v>0</v>
      </c>
      <c r="AE2325" s="105"/>
      <c r="AF2325" s="11"/>
      <c r="AG2325" s="11"/>
      <c r="AH2325" s="11"/>
      <c r="AI2325" s="11"/>
    </row>
    <row r="2326" ht="12.5" spans="3:35">
      <c r="C2326" s="19"/>
      <c r="D2326" s="19"/>
      <c r="H2326" s="105"/>
      <c r="I2326" s="126"/>
      <c r="J2326" s="11"/>
      <c r="K2326" s="108"/>
      <c r="L2326" s="11"/>
      <c r="M2326" s="105"/>
      <c r="N2326" s="105"/>
      <c r="O2326" s="11"/>
      <c r="P2326" s="11"/>
      <c r="Q2326" s="105"/>
      <c r="R2326" s="105"/>
      <c r="S2326" s="105"/>
      <c r="T2326" s="105"/>
      <c r="U2326" s="105"/>
      <c r="V2326" s="105"/>
      <c r="W2326" s="105"/>
      <c r="X2326" s="11"/>
      <c r="Y2326" s="11"/>
      <c r="Z2326" s="105"/>
      <c r="AA2326" s="11"/>
      <c r="AB2326" s="11"/>
      <c r="AC2326" s="105"/>
      <c r="AD2326" s="11" t="b">
        <v>0</v>
      </c>
      <c r="AE2326" s="105"/>
      <c r="AF2326" s="11"/>
      <c r="AG2326" s="11"/>
      <c r="AH2326" s="11"/>
      <c r="AI2326" s="11"/>
    </row>
    <row r="2327" ht="12.5" spans="3:35">
      <c r="C2327" s="19"/>
      <c r="D2327" s="19"/>
      <c r="H2327" s="105"/>
      <c r="I2327" s="126"/>
      <c r="J2327" s="11"/>
      <c r="K2327" s="108"/>
      <c r="L2327" s="11"/>
      <c r="M2327" s="105"/>
      <c r="N2327" s="105"/>
      <c r="O2327" s="11"/>
      <c r="P2327" s="11"/>
      <c r="Q2327" s="105"/>
      <c r="R2327" s="105"/>
      <c r="S2327" s="105"/>
      <c r="T2327" s="105"/>
      <c r="U2327" s="105"/>
      <c r="V2327" s="105"/>
      <c r="W2327" s="105"/>
      <c r="X2327" s="11"/>
      <c r="Y2327" s="11"/>
      <c r="Z2327" s="105"/>
      <c r="AA2327" s="11"/>
      <c r="AB2327" s="11"/>
      <c r="AC2327" s="105"/>
      <c r="AD2327" s="11" t="b">
        <v>0</v>
      </c>
      <c r="AE2327" s="105"/>
      <c r="AF2327" s="11"/>
      <c r="AG2327" s="11"/>
      <c r="AH2327" s="11"/>
      <c r="AI2327" s="11"/>
    </row>
    <row r="2328" ht="12.5" spans="3:35">
      <c r="C2328" s="19"/>
      <c r="D2328" s="19"/>
      <c r="H2328" s="105"/>
      <c r="I2328" s="126"/>
      <c r="J2328" s="11"/>
      <c r="K2328" s="108"/>
      <c r="L2328" s="11"/>
      <c r="M2328" s="105"/>
      <c r="N2328" s="105"/>
      <c r="O2328" s="11"/>
      <c r="P2328" s="11"/>
      <c r="Q2328" s="105"/>
      <c r="R2328" s="105"/>
      <c r="S2328" s="105"/>
      <c r="T2328" s="105"/>
      <c r="U2328" s="105"/>
      <c r="V2328" s="105"/>
      <c r="W2328" s="105"/>
      <c r="X2328" s="11"/>
      <c r="Y2328" s="11"/>
      <c r="Z2328" s="105"/>
      <c r="AA2328" s="11"/>
      <c r="AB2328" s="11"/>
      <c r="AC2328" s="105"/>
      <c r="AD2328" s="11" t="b">
        <v>0</v>
      </c>
      <c r="AE2328" s="105"/>
      <c r="AF2328" s="11"/>
      <c r="AG2328" s="11"/>
      <c r="AH2328" s="11"/>
      <c r="AI2328" s="11"/>
    </row>
    <row r="2329" ht="12.5" spans="3:35">
      <c r="C2329" s="19"/>
      <c r="D2329" s="19"/>
      <c r="H2329" s="105"/>
      <c r="I2329" s="126"/>
      <c r="J2329" s="11"/>
      <c r="K2329" s="108"/>
      <c r="L2329" s="11"/>
      <c r="M2329" s="105"/>
      <c r="N2329" s="105"/>
      <c r="O2329" s="11"/>
      <c r="P2329" s="11"/>
      <c r="Q2329" s="105"/>
      <c r="R2329" s="105"/>
      <c r="S2329" s="105"/>
      <c r="T2329" s="105"/>
      <c r="U2329" s="105"/>
      <c r="V2329" s="105"/>
      <c r="W2329" s="105"/>
      <c r="X2329" s="11"/>
      <c r="Y2329" s="11"/>
      <c r="Z2329" s="105"/>
      <c r="AA2329" s="11"/>
      <c r="AB2329" s="11"/>
      <c r="AC2329" s="105"/>
      <c r="AD2329" s="11" t="b">
        <v>0</v>
      </c>
      <c r="AE2329" s="105"/>
      <c r="AF2329" s="11"/>
      <c r="AG2329" s="11"/>
      <c r="AH2329" s="11"/>
      <c r="AI2329" s="11"/>
    </row>
    <row r="2330" ht="12.5" spans="3:35">
      <c r="C2330" s="19"/>
      <c r="D2330" s="19"/>
      <c r="H2330" s="105"/>
      <c r="I2330" s="126"/>
      <c r="J2330" s="11"/>
      <c r="K2330" s="108"/>
      <c r="L2330" s="11"/>
      <c r="M2330" s="105"/>
      <c r="N2330" s="105"/>
      <c r="O2330" s="11"/>
      <c r="P2330" s="11"/>
      <c r="Q2330" s="105"/>
      <c r="R2330" s="105"/>
      <c r="S2330" s="105"/>
      <c r="T2330" s="105"/>
      <c r="U2330" s="105"/>
      <c r="V2330" s="105"/>
      <c r="W2330" s="105"/>
      <c r="X2330" s="11"/>
      <c r="Y2330" s="11"/>
      <c r="Z2330" s="105"/>
      <c r="AA2330" s="11"/>
      <c r="AB2330" s="11"/>
      <c r="AC2330" s="105"/>
      <c r="AD2330" s="11" t="b">
        <v>0</v>
      </c>
      <c r="AE2330" s="105"/>
      <c r="AF2330" s="11"/>
      <c r="AG2330" s="11"/>
      <c r="AH2330" s="11"/>
      <c r="AI2330" s="11"/>
    </row>
    <row r="2331" ht="12.5" spans="3:35">
      <c r="C2331" s="19"/>
      <c r="D2331" s="19"/>
      <c r="H2331" s="105"/>
      <c r="I2331" s="126"/>
      <c r="J2331" s="11"/>
      <c r="K2331" s="108"/>
      <c r="L2331" s="11"/>
      <c r="M2331" s="105"/>
      <c r="N2331" s="105"/>
      <c r="O2331" s="11"/>
      <c r="P2331" s="11"/>
      <c r="Q2331" s="105"/>
      <c r="R2331" s="105"/>
      <c r="S2331" s="105"/>
      <c r="T2331" s="105"/>
      <c r="U2331" s="105"/>
      <c r="V2331" s="105"/>
      <c r="W2331" s="105"/>
      <c r="X2331" s="11"/>
      <c r="Y2331" s="11"/>
      <c r="Z2331" s="105"/>
      <c r="AA2331" s="11"/>
      <c r="AB2331" s="11"/>
      <c r="AC2331" s="105"/>
      <c r="AD2331" s="11" t="b">
        <v>0</v>
      </c>
      <c r="AE2331" s="105"/>
      <c r="AF2331" s="11"/>
      <c r="AG2331" s="11"/>
      <c r="AH2331" s="11"/>
      <c r="AI2331" s="11"/>
    </row>
    <row r="2332" ht="12.5" spans="3:35">
      <c r="C2332" s="19"/>
      <c r="D2332" s="19"/>
      <c r="H2332" s="105"/>
      <c r="I2332" s="126"/>
      <c r="J2332" s="11"/>
      <c r="K2332" s="108"/>
      <c r="L2332" s="11"/>
      <c r="M2332" s="105"/>
      <c r="N2332" s="105"/>
      <c r="O2332" s="11"/>
      <c r="P2332" s="11"/>
      <c r="Q2332" s="105"/>
      <c r="R2332" s="105"/>
      <c r="S2332" s="105"/>
      <c r="T2332" s="105"/>
      <c r="U2332" s="105"/>
      <c r="V2332" s="105"/>
      <c r="W2332" s="105"/>
      <c r="X2332" s="11"/>
      <c r="Y2332" s="11"/>
      <c r="Z2332" s="105"/>
      <c r="AA2332" s="11"/>
      <c r="AB2332" s="11"/>
      <c r="AC2332" s="105"/>
      <c r="AD2332" s="11" t="b">
        <v>0</v>
      </c>
      <c r="AE2332" s="105"/>
      <c r="AF2332" s="11"/>
      <c r="AG2332" s="11"/>
      <c r="AH2332" s="11"/>
      <c r="AI2332" s="11"/>
    </row>
    <row r="2333" ht="12.5" spans="3:35">
      <c r="C2333" s="19"/>
      <c r="D2333" s="19"/>
      <c r="H2333" s="105"/>
      <c r="I2333" s="126"/>
      <c r="J2333" s="11"/>
      <c r="K2333" s="108"/>
      <c r="L2333" s="11"/>
      <c r="M2333" s="105"/>
      <c r="N2333" s="105"/>
      <c r="O2333" s="11"/>
      <c r="P2333" s="11"/>
      <c r="Q2333" s="105"/>
      <c r="R2333" s="105"/>
      <c r="S2333" s="105"/>
      <c r="T2333" s="105"/>
      <c r="U2333" s="105"/>
      <c r="V2333" s="105"/>
      <c r="W2333" s="105"/>
      <c r="X2333" s="11"/>
      <c r="Y2333" s="11"/>
      <c r="Z2333" s="105"/>
      <c r="AA2333" s="11"/>
      <c r="AB2333" s="11"/>
      <c r="AC2333" s="105"/>
      <c r="AD2333" s="11" t="b">
        <v>0</v>
      </c>
      <c r="AE2333" s="105"/>
      <c r="AF2333" s="11"/>
      <c r="AG2333" s="11"/>
      <c r="AH2333" s="11"/>
      <c r="AI2333" s="11"/>
    </row>
    <row r="2334" ht="12.5" spans="3:35">
      <c r="C2334" s="19"/>
      <c r="D2334" s="19"/>
      <c r="H2334" s="105"/>
      <c r="I2334" s="126"/>
      <c r="J2334" s="11"/>
      <c r="K2334" s="108"/>
      <c r="L2334" s="11"/>
      <c r="M2334" s="105"/>
      <c r="N2334" s="105"/>
      <c r="O2334" s="11"/>
      <c r="P2334" s="11"/>
      <c r="Q2334" s="105"/>
      <c r="R2334" s="105"/>
      <c r="S2334" s="105"/>
      <c r="T2334" s="105"/>
      <c r="U2334" s="105"/>
      <c r="V2334" s="105"/>
      <c r="W2334" s="105"/>
      <c r="X2334" s="11"/>
      <c r="Y2334" s="11"/>
      <c r="Z2334" s="105"/>
      <c r="AA2334" s="11"/>
      <c r="AB2334" s="11"/>
      <c r="AC2334" s="105"/>
      <c r="AD2334" s="11" t="b">
        <v>0</v>
      </c>
      <c r="AE2334" s="105"/>
      <c r="AF2334" s="11"/>
      <c r="AG2334" s="11"/>
      <c r="AH2334" s="11"/>
      <c r="AI2334" s="11"/>
    </row>
    <row r="2335" ht="12.5" spans="3:35">
      <c r="C2335" s="19"/>
      <c r="D2335" s="19"/>
      <c r="H2335" s="105"/>
      <c r="I2335" s="126"/>
      <c r="J2335" s="11"/>
      <c r="K2335" s="108"/>
      <c r="L2335" s="11"/>
      <c r="M2335" s="105"/>
      <c r="N2335" s="105"/>
      <c r="O2335" s="11"/>
      <c r="P2335" s="11"/>
      <c r="Q2335" s="105"/>
      <c r="R2335" s="105"/>
      <c r="S2335" s="105"/>
      <c r="T2335" s="105"/>
      <c r="U2335" s="105"/>
      <c r="V2335" s="105"/>
      <c r="W2335" s="105"/>
      <c r="X2335" s="11"/>
      <c r="Y2335" s="11"/>
      <c r="Z2335" s="105"/>
      <c r="AA2335" s="11"/>
      <c r="AB2335" s="11"/>
      <c r="AC2335" s="105"/>
      <c r="AD2335" s="11" t="b">
        <v>0</v>
      </c>
      <c r="AE2335" s="105"/>
      <c r="AF2335" s="11"/>
      <c r="AG2335" s="11"/>
      <c r="AH2335" s="11"/>
      <c r="AI2335" s="11"/>
    </row>
    <row r="2336" ht="12.5" spans="3:35">
      <c r="C2336" s="19"/>
      <c r="D2336" s="19"/>
      <c r="H2336" s="105"/>
      <c r="I2336" s="126"/>
      <c r="J2336" s="11"/>
      <c r="K2336" s="108"/>
      <c r="L2336" s="11"/>
      <c r="M2336" s="105"/>
      <c r="N2336" s="105"/>
      <c r="O2336" s="11"/>
      <c r="P2336" s="11"/>
      <c r="Q2336" s="105"/>
      <c r="R2336" s="105"/>
      <c r="S2336" s="105"/>
      <c r="T2336" s="105"/>
      <c r="U2336" s="105"/>
      <c r="V2336" s="105"/>
      <c r="W2336" s="105"/>
      <c r="X2336" s="11"/>
      <c r="Y2336" s="11"/>
      <c r="Z2336" s="105"/>
      <c r="AA2336" s="11"/>
      <c r="AB2336" s="11"/>
      <c r="AC2336" s="105"/>
      <c r="AD2336" s="11" t="b">
        <v>0</v>
      </c>
      <c r="AE2336" s="105"/>
      <c r="AF2336" s="11"/>
      <c r="AG2336" s="11"/>
      <c r="AH2336" s="11"/>
      <c r="AI2336" s="11"/>
    </row>
    <row r="2337" ht="12.5" spans="3:35">
      <c r="C2337" s="19"/>
      <c r="D2337" s="19"/>
      <c r="H2337" s="105"/>
      <c r="I2337" s="126"/>
      <c r="J2337" s="11"/>
      <c r="K2337" s="108"/>
      <c r="L2337" s="11"/>
      <c r="M2337" s="105"/>
      <c r="N2337" s="105"/>
      <c r="O2337" s="11"/>
      <c r="P2337" s="11"/>
      <c r="Q2337" s="105"/>
      <c r="R2337" s="105"/>
      <c r="S2337" s="105"/>
      <c r="T2337" s="105"/>
      <c r="U2337" s="105"/>
      <c r="V2337" s="105"/>
      <c r="W2337" s="105"/>
      <c r="X2337" s="11"/>
      <c r="Y2337" s="11"/>
      <c r="Z2337" s="105"/>
      <c r="AA2337" s="11"/>
      <c r="AB2337" s="11"/>
      <c r="AC2337" s="105"/>
      <c r="AD2337" s="11" t="b">
        <v>0</v>
      </c>
      <c r="AE2337" s="105"/>
      <c r="AF2337" s="11"/>
      <c r="AG2337" s="11"/>
      <c r="AH2337" s="11"/>
      <c r="AI2337" s="11"/>
    </row>
    <row r="2338" ht="12.5" spans="3:35">
      <c r="C2338" s="19"/>
      <c r="D2338" s="19"/>
      <c r="H2338" s="105"/>
      <c r="I2338" s="126"/>
      <c r="J2338" s="11"/>
      <c r="K2338" s="108"/>
      <c r="L2338" s="11"/>
      <c r="M2338" s="105"/>
      <c r="N2338" s="105"/>
      <c r="O2338" s="11"/>
      <c r="P2338" s="11"/>
      <c r="Q2338" s="105"/>
      <c r="R2338" s="105"/>
      <c r="S2338" s="105"/>
      <c r="T2338" s="105"/>
      <c r="U2338" s="105"/>
      <c r="V2338" s="105"/>
      <c r="W2338" s="105"/>
      <c r="X2338" s="11"/>
      <c r="Y2338" s="11"/>
      <c r="Z2338" s="105"/>
      <c r="AA2338" s="11"/>
      <c r="AB2338" s="11"/>
      <c r="AC2338" s="105"/>
      <c r="AD2338" s="11" t="b">
        <v>0</v>
      </c>
      <c r="AE2338" s="105"/>
      <c r="AF2338" s="11"/>
      <c r="AG2338" s="11"/>
      <c r="AH2338" s="11"/>
      <c r="AI2338" s="11"/>
    </row>
    <row r="2339" ht="12.5" spans="3:35">
      <c r="C2339" s="19"/>
      <c r="D2339" s="19"/>
      <c r="H2339" s="105"/>
      <c r="I2339" s="126"/>
      <c r="J2339" s="11"/>
      <c r="K2339" s="108"/>
      <c r="L2339" s="11"/>
      <c r="M2339" s="105"/>
      <c r="N2339" s="105"/>
      <c r="O2339" s="11"/>
      <c r="P2339" s="11"/>
      <c r="Q2339" s="105"/>
      <c r="R2339" s="105"/>
      <c r="S2339" s="105"/>
      <c r="T2339" s="105"/>
      <c r="U2339" s="105"/>
      <c r="V2339" s="105"/>
      <c r="W2339" s="105"/>
      <c r="X2339" s="11"/>
      <c r="Y2339" s="11"/>
      <c r="Z2339" s="105"/>
      <c r="AA2339" s="11"/>
      <c r="AB2339" s="11"/>
      <c r="AC2339" s="105"/>
      <c r="AD2339" s="11" t="b">
        <v>0</v>
      </c>
      <c r="AE2339" s="105"/>
      <c r="AF2339" s="11"/>
      <c r="AG2339" s="11"/>
      <c r="AH2339" s="11"/>
      <c r="AI2339" s="11"/>
    </row>
    <row r="2340" ht="12.5" spans="3:35">
      <c r="C2340" s="19"/>
      <c r="D2340" s="19"/>
      <c r="H2340" s="105"/>
      <c r="I2340" s="126"/>
      <c r="J2340" s="11"/>
      <c r="K2340" s="108"/>
      <c r="L2340" s="11"/>
      <c r="M2340" s="105"/>
      <c r="N2340" s="105"/>
      <c r="O2340" s="11"/>
      <c r="P2340" s="11"/>
      <c r="Q2340" s="105"/>
      <c r="R2340" s="105"/>
      <c r="S2340" s="105"/>
      <c r="T2340" s="105"/>
      <c r="U2340" s="105"/>
      <c r="V2340" s="105"/>
      <c r="W2340" s="105"/>
      <c r="X2340" s="11"/>
      <c r="Y2340" s="11"/>
      <c r="Z2340" s="105"/>
      <c r="AA2340" s="11"/>
      <c r="AB2340" s="11"/>
      <c r="AC2340" s="105"/>
      <c r="AD2340" s="11" t="b">
        <v>0</v>
      </c>
      <c r="AE2340" s="105"/>
      <c r="AF2340" s="11"/>
      <c r="AG2340" s="11"/>
      <c r="AH2340" s="11"/>
      <c r="AI2340" s="11"/>
    </row>
    <row r="2341" ht="12.5" spans="3:35">
      <c r="C2341" s="19"/>
      <c r="D2341" s="19"/>
      <c r="H2341" s="105"/>
      <c r="I2341" s="126"/>
      <c r="J2341" s="11"/>
      <c r="K2341" s="108"/>
      <c r="L2341" s="11"/>
      <c r="M2341" s="105"/>
      <c r="N2341" s="105"/>
      <c r="O2341" s="11"/>
      <c r="P2341" s="11"/>
      <c r="Q2341" s="105"/>
      <c r="R2341" s="105"/>
      <c r="S2341" s="105"/>
      <c r="T2341" s="105"/>
      <c r="U2341" s="105"/>
      <c r="V2341" s="105"/>
      <c r="W2341" s="105"/>
      <c r="X2341" s="11"/>
      <c r="Y2341" s="11"/>
      <c r="Z2341" s="105"/>
      <c r="AA2341" s="11"/>
      <c r="AB2341" s="11"/>
      <c r="AC2341" s="105"/>
      <c r="AD2341" s="11" t="b">
        <v>0</v>
      </c>
      <c r="AE2341" s="105"/>
      <c r="AF2341" s="11"/>
      <c r="AG2341" s="11"/>
      <c r="AH2341" s="11"/>
      <c r="AI2341" s="11"/>
    </row>
    <row r="2342" ht="12.5" spans="3:35">
      <c r="C2342" s="19"/>
      <c r="D2342" s="19"/>
      <c r="H2342" s="105"/>
      <c r="I2342" s="126"/>
      <c r="J2342" s="11"/>
      <c r="K2342" s="108"/>
      <c r="L2342" s="11"/>
      <c r="M2342" s="105"/>
      <c r="N2342" s="105"/>
      <c r="O2342" s="11"/>
      <c r="P2342" s="11"/>
      <c r="Q2342" s="105"/>
      <c r="R2342" s="105"/>
      <c r="S2342" s="105"/>
      <c r="T2342" s="105"/>
      <c r="U2342" s="105"/>
      <c r="V2342" s="105"/>
      <c r="W2342" s="105"/>
      <c r="X2342" s="11"/>
      <c r="Y2342" s="11"/>
      <c r="Z2342" s="105"/>
      <c r="AA2342" s="11"/>
      <c r="AB2342" s="11"/>
      <c r="AC2342" s="105"/>
      <c r="AD2342" s="11" t="b">
        <v>0</v>
      </c>
      <c r="AE2342" s="105"/>
      <c r="AF2342" s="11"/>
      <c r="AG2342" s="11"/>
      <c r="AH2342" s="11"/>
      <c r="AI2342" s="11"/>
    </row>
    <row r="2343" ht="12.5" spans="3:35">
      <c r="C2343" s="19"/>
      <c r="D2343" s="19"/>
      <c r="H2343" s="105"/>
      <c r="I2343" s="126"/>
      <c r="J2343" s="11"/>
      <c r="K2343" s="108"/>
      <c r="L2343" s="11"/>
      <c r="M2343" s="105"/>
      <c r="N2343" s="105"/>
      <c r="O2343" s="11"/>
      <c r="P2343" s="11"/>
      <c r="Q2343" s="105"/>
      <c r="R2343" s="105"/>
      <c r="S2343" s="105"/>
      <c r="T2343" s="105"/>
      <c r="U2343" s="105"/>
      <c r="V2343" s="105"/>
      <c r="W2343" s="105"/>
      <c r="X2343" s="11"/>
      <c r="Y2343" s="11"/>
      <c r="Z2343" s="105"/>
      <c r="AA2343" s="11"/>
      <c r="AB2343" s="11"/>
      <c r="AC2343" s="105"/>
      <c r="AD2343" s="11" t="b">
        <v>0</v>
      </c>
      <c r="AE2343" s="105"/>
      <c r="AF2343" s="11"/>
      <c r="AG2343" s="11"/>
      <c r="AH2343" s="11"/>
      <c r="AI2343" s="11"/>
    </row>
    <row r="2344" ht="12.5" spans="3:35">
      <c r="C2344" s="19"/>
      <c r="D2344" s="19"/>
      <c r="H2344" s="105"/>
      <c r="I2344" s="126"/>
      <c r="J2344" s="11"/>
      <c r="K2344" s="108"/>
      <c r="L2344" s="11"/>
      <c r="M2344" s="105"/>
      <c r="N2344" s="105"/>
      <c r="O2344" s="11"/>
      <c r="P2344" s="11"/>
      <c r="Q2344" s="105"/>
      <c r="R2344" s="105"/>
      <c r="S2344" s="105"/>
      <c r="T2344" s="105"/>
      <c r="U2344" s="105"/>
      <c r="V2344" s="105"/>
      <c r="W2344" s="105"/>
      <c r="X2344" s="11"/>
      <c r="Y2344" s="11"/>
      <c r="Z2344" s="105"/>
      <c r="AA2344" s="11"/>
      <c r="AB2344" s="11"/>
      <c r="AC2344" s="105"/>
      <c r="AD2344" s="11" t="b">
        <v>0</v>
      </c>
      <c r="AE2344" s="105"/>
      <c r="AF2344" s="11"/>
      <c r="AG2344" s="11"/>
      <c r="AH2344" s="11"/>
      <c r="AI2344" s="11"/>
    </row>
    <row r="2345" ht="12.5" spans="3:35">
      <c r="C2345" s="19"/>
      <c r="D2345" s="19"/>
      <c r="H2345" s="105"/>
      <c r="I2345" s="126"/>
      <c r="J2345" s="11"/>
      <c r="K2345" s="108"/>
      <c r="L2345" s="11"/>
      <c r="M2345" s="105"/>
      <c r="N2345" s="105"/>
      <c r="O2345" s="11"/>
      <c r="P2345" s="11"/>
      <c r="Q2345" s="105"/>
      <c r="R2345" s="105"/>
      <c r="S2345" s="105"/>
      <c r="T2345" s="105"/>
      <c r="U2345" s="105"/>
      <c r="V2345" s="105"/>
      <c r="W2345" s="105"/>
      <c r="X2345" s="11"/>
      <c r="Y2345" s="11"/>
      <c r="Z2345" s="105"/>
      <c r="AA2345" s="11"/>
      <c r="AB2345" s="11"/>
      <c r="AC2345" s="105"/>
      <c r="AD2345" s="11" t="b">
        <v>0</v>
      </c>
      <c r="AE2345" s="105"/>
      <c r="AF2345" s="11"/>
      <c r="AG2345" s="11"/>
      <c r="AH2345" s="11"/>
      <c r="AI2345" s="11"/>
    </row>
    <row r="2346" ht="12.5" spans="3:35">
      <c r="C2346" s="19"/>
      <c r="D2346" s="19"/>
      <c r="H2346" s="105"/>
      <c r="I2346" s="126"/>
      <c r="J2346" s="11"/>
      <c r="K2346" s="108"/>
      <c r="L2346" s="11"/>
      <c r="M2346" s="105"/>
      <c r="N2346" s="105"/>
      <c r="O2346" s="11"/>
      <c r="P2346" s="11"/>
      <c r="Q2346" s="105"/>
      <c r="R2346" s="105"/>
      <c r="S2346" s="105"/>
      <c r="T2346" s="105"/>
      <c r="U2346" s="105"/>
      <c r="V2346" s="105"/>
      <c r="W2346" s="105"/>
      <c r="X2346" s="11"/>
      <c r="Y2346" s="11"/>
      <c r="Z2346" s="105"/>
      <c r="AA2346" s="11"/>
      <c r="AB2346" s="11"/>
      <c r="AC2346" s="105"/>
      <c r="AD2346" s="11" t="b">
        <v>0</v>
      </c>
      <c r="AE2346" s="105"/>
      <c r="AF2346" s="11"/>
      <c r="AG2346" s="11"/>
      <c r="AH2346" s="11"/>
      <c r="AI2346" s="11"/>
    </row>
    <row r="2347" ht="12.5" spans="3:35">
      <c r="C2347" s="19"/>
      <c r="D2347" s="19"/>
      <c r="H2347" s="105"/>
      <c r="I2347" s="126"/>
      <c r="J2347" s="11"/>
      <c r="K2347" s="108"/>
      <c r="L2347" s="11"/>
      <c r="M2347" s="105"/>
      <c r="N2347" s="105"/>
      <c r="O2347" s="11"/>
      <c r="P2347" s="11"/>
      <c r="Q2347" s="105"/>
      <c r="R2347" s="105"/>
      <c r="S2347" s="105"/>
      <c r="T2347" s="105"/>
      <c r="U2347" s="105"/>
      <c r="V2347" s="105"/>
      <c r="W2347" s="105"/>
      <c r="X2347" s="11"/>
      <c r="Y2347" s="11"/>
      <c r="Z2347" s="105"/>
      <c r="AA2347" s="11"/>
      <c r="AB2347" s="11"/>
      <c r="AC2347" s="105"/>
      <c r="AD2347" s="11" t="b">
        <v>0</v>
      </c>
      <c r="AE2347" s="105"/>
      <c r="AF2347" s="11"/>
      <c r="AG2347" s="11"/>
      <c r="AH2347" s="11"/>
      <c r="AI2347" s="11"/>
    </row>
    <row r="2348" ht="12.5" spans="3:35">
      <c r="C2348" s="19"/>
      <c r="D2348" s="19"/>
      <c r="H2348" s="105"/>
      <c r="I2348" s="126"/>
      <c r="J2348" s="11"/>
      <c r="K2348" s="108"/>
      <c r="L2348" s="11"/>
      <c r="M2348" s="105"/>
      <c r="N2348" s="105"/>
      <c r="O2348" s="11"/>
      <c r="P2348" s="11"/>
      <c r="Q2348" s="105"/>
      <c r="R2348" s="105"/>
      <c r="S2348" s="105"/>
      <c r="T2348" s="105"/>
      <c r="U2348" s="105"/>
      <c r="V2348" s="105"/>
      <c r="W2348" s="105"/>
      <c r="X2348" s="11"/>
      <c r="Y2348" s="11"/>
      <c r="Z2348" s="105"/>
      <c r="AA2348" s="11"/>
      <c r="AB2348" s="11"/>
      <c r="AC2348" s="105"/>
      <c r="AD2348" s="11" t="b">
        <v>0</v>
      </c>
      <c r="AE2348" s="105"/>
      <c r="AF2348" s="11"/>
      <c r="AG2348" s="11"/>
      <c r="AH2348" s="11"/>
      <c r="AI2348" s="11"/>
    </row>
    <row r="2349" ht="12.5" spans="3:35">
      <c r="C2349" s="19"/>
      <c r="D2349" s="19"/>
      <c r="H2349" s="105"/>
      <c r="I2349" s="126"/>
      <c r="J2349" s="11"/>
      <c r="K2349" s="108"/>
      <c r="L2349" s="11"/>
      <c r="M2349" s="105"/>
      <c r="N2349" s="105"/>
      <c r="O2349" s="11"/>
      <c r="P2349" s="11"/>
      <c r="Q2349" s="105"/>
      <c r="R2349" s="105"/>
      <c r="S2349" s="105"/>
      <c r="T2349" s="105"/>
      <c r="U2349" s="105"/>
      <c r="V2349" s="105"/>
      <c r="W2349" s="105"/>
      <c r="X2349" s="11"/>
      <c r="Y2349" s="11"/>
      <c r="Z2349" s="105"/>
      <c r="AA2349" s="11"/>
      <c r="AB2349" s="11"/>
      <c r="AC2349" s="105"/>
      <c r="AD2349" s="11" t="b">
        <v>0</v>
      </c>
      <c r="AE2349" s="105"/>
      <c r="AF2349" s="11"/>
      <c r="AG2349" s="11"/>
      <c r="AH2349" s="11"/>
      <c r="AI2349" s="11"/>
    </row>
    <row r="2350" ht="12.5" spans="3:35">
      <c r="C2350" s="19"/>
      <c r="D2350" s="19"/>
      <c r="H2350" s="105"/>
      <c r="I2350" s="126"/>
      <c r="J2350" s="11"/>
      <c r="K2350" s="108"/>
      <c r="L2350" s="11"/>
      <c r="M2350" s="105"/>
      <c r="N2350" s="105"/>
      <c r="O2350" s="11"/>
      <c r="P2350" s="11"/>
      <c r="Q2350" s="105"/>
      <c r="R2350" s="105"/>
      <c r="S2350" s="105"/>
      <c r="T2350" s="105"/>
      <c r="U2350" s="105"/>
      <c r="V2350" s="105"/>
      <c r="W2350" s="105"/>
      <c r="X2350" s="11"/>
      <c r="Y2350" s="11"/>
      <c r="Z2350" s="105"/>
      <c r="AA2350" s="11"/>
      <c r="AB2350" s="11"/>
      <c r="AC2350" s="105"/>
      <c r="AD2350" s="11" t="b">
        <v>0</v>
      </c>
      <c r="AE2350" s="105"/>
      <c r="AF2350" s="11"/>
      <c r="AG2350" s="11"/>
      <c r="AH2350" s="11"/>
      <c r="AI2350" s="11"/>
    </row>
    <row r="2351" ht="12.5" spans="3:35">
      <c r="C2351" s="19"/>
      <c r="D2351" s="19"/>
      <c r="H2351" s="105"/>
      <c r="I2351" s="126"/>
      <c r="J2351" s="11"/>
      <c r="K2351" s="108"/>
      <c r="L2351" s="11"/>
      <c r="M2351" s="105"/>
      <c r="N2351" s="105"/>
      <c r="O2351" s="11"/>
      <c r="P2351" s="11"/>
      <c r="Q2351" s="105"/>
      <c r="R2351" s="105"/>
      <c r="S2351" s="105"/>
      <c r="T2351" s="105"/>
      <c r="U2351" s="105"/>
      <c r="V2351" s="105"/>
      <c r="W2351" s="105"/>
      <c r="X2351" s="11"/>
      <c r="Y2351" s="11"/>
      <c r="Z2351" s="105"/>
      <c r="AA2351" s="11"/>
      <c r="AB2351" s="11"/>
      <c r="AC2351" s="105"/>
      <c r="AD2351" s="11" t="b">
        <v>0</v>
      </c>
      <c r="AE2351" s="105"/>
      <c r="AF2351" s="11"/>
      <c r="AG2351" s="11"/>
      <c r="AH2351" s="11"/>
      <c r="AI2351" s="11"/>
    </row>
    <row r="2352" ht="12.5" spans="3:35">
      <c r="C2352" s="19"/>
      <c r="D2352" s="19"/>
      <c r="H2352" s="105"/>
      <c r="I2352" s="126"/>
      <c r="J2352" s="11"/>
      <c r="K2352" s="108"/>
      <c r="L2352" s="11"/>
      <c r="M2352" s="105"/>
      <c r="N2352" s="105"/>
      <c r="O2352" s="11"/>
      <c r="P2352" s="11"/>
      <c r="Q2352" s="105"/>
      <c r="R2352" s="105"/>
      <c r="S2352" s="105"/>
      <c r="T2352" s="105"/>
      <c r="U2352" s="105"/>
      <c r="V2352" s="105"/>
      <c r="W2352" s="105"/>
      <c r="X2352" s="11"/>
      <c r="Y2352" s="11"/>
      <c r="Z2352" s="105"/>
      <c r="AA2352" s="11"/>
      <c r="AB2352" s="11"/>
      <c r="AC2352" s="105"/>
      <c r="AD2352" s="11" t="b">
        <v>0</v>
      </c>
      <c r="AE2352" s="105"/>
      <c r="AF2352" s="11"/>
      <c r="AG2352" s="11"/>
      <c r="AH2352" s="11"/>
      <c r="AI2352" s="11"/>
    </row>
    <row r="2353" ht="12.5" spans="3:35">
      <c r="C2353" s="19"/>
      <c r="D2353" s="19"/>
      <c r="H2353" s="105"/>
      <c r="I2353" s="126"/>
      <c r="J2353" s="11"/>
      <c r="K2353" s="108"/>
      <c r="L2353" s="11"/>
      <c r="M2353" s="105"/>
      <c r="N2353" s="105"/>
      <c r="O2353" s="11"/>
      <c r="P2353" s="11"/>
      <c r="Q2353" s="105"/>
      <c r="R2353" s="105"/>
      <c r="S2353" s="105"/>
      <c r="T2353" s="105"/>
      <c r="U2353" s="105"/>
      <c r="V2353" s="105"/>
      <c r="W2353" s="105"/>
      <c r="X2353" s="11"/>
      <c r="Y2353" s="11"/>
      <c r="Z2353" s="105"/>
      <c r="AA2353" s="11"/>
      <c r="AB2353" s="11"/>
      <c r="AC2353" s="105"/>
      <c r="AD2353" s="11" t="b">
        <v>0</v>
      </c>
      <c r="AE2353" s="105"/>
      <c r="AF2353" s="11"/>
      <c r="AG2353" s="11"/>
      <c r="AH2353" s="11"/>
      <c r="AI2353" s="11"/>
    </row>
    <row r="2354" ht="12.5" spans="3:35">
      <c r="C2354" s="19"/>
      <c r="D2354" s="19"/>
      <c r="H2354" s="105"/>
      <c r="I2354" s="126"/>
      <c r="J2354" s="11"/>
      <c r="K2354" s="108"/>
      <c r="L2354" s="11"/>
      <c r="M2354" s="105"/>
      <c r="N2354" s="105"/>
      <c r="O2354" s="11"/>
      <c r="P2354" s="11"/>
      <c r="Q2354" s="105"/>
      <c r="R2354" s="105"/>
      <c r="S2354" s="105"/>
      <c r="T2354" s="105"/>
      <c r="U2354" s="105"/>
      <c r="V2354" s="105"/>
      <c r="W2354" s="105"/>
      <c r="X2354" s="11"/>
      <c r="Y2354" s="11"/>
      <c r="Z2354" s="105"/>
      <c r="AA2354" s="11"/>
      <c r="AB2354" s="11"/>
      <c r="AC2354" s="105"/>
      <c r="AD2354" s="11" t="b">
        <v>0</v>
      </c>
      <c r="AE2354" s="105"/>
      <c r="AF2354" s="11"/>
      <c r="AG2354" s="11"/>
      <c r="AH2354" s="11"/>
      <c r="AI2354" s="11"/>
    </row>
    <row r="2355" ht="12.5" spans="3:35">
      <c r="C2355" s="19"/>
      <c r="D2355" s="19"/>
      <c r="H2355" s="105"/>
      <c r="I2355" s="126"/>
      <c r="J2355" s="11"/>
      <c r="K2355" s="108"/>
      <c r="L2355" s="11"/>
      <c r="M2355" s="105"/>
      <c r="N2355" s="105"/>
      <c r="O2355" s="11"/>
      <c r="P2355" s="11"/>
      <c r="Q2355" s="105"/>
      <c r="R2355" s="105"/>
      <c r="S2355" s="105"/>
      <c r="T2355" s="105"/>
      <c r="U2355" s="105"/>
      <c r="V2355" s="105"/>
      <c r="W2355" s="105"/>
      <c r="X2355" s="11"/>
      <c r="Y2355" s="11"/>
      <c r="Z2355" s="105"/>
      <c r="AA2355" s="11"/>
      <c r="AB2355" s="11"/>
      <c r="AC2355" s="105"/>
      <c r="AD2355" s="11" t="b">
        <v>0</v>
      </c>
      <c r="AE2355" s="105"/>
      <c r="AF2355" s="11"/>
      <c r="AG2355" s="11"/>
      <c r="AH2355" s="11"/>
      <c r="AI2355" s="11"/>
    </row>
    <row r="2356" ht="12.5" spans="3:35">
      <c r="C2356" s="19"/>
      <c r="D2356" s="19"/>
      <c r="H2356" s="105"/>
      <c r="I2356" s="126"/>
      <c r="J2356" s="11"/>
      <c r="K2356" s="108"/>
      <c r="L2356" s="11"/>
      <c r="M2356" s="105"/>
      <c r="N2356" s="105"/>
      <c r="O2356" s="11"/>
      <c r="P2356" s="11"/>
      <c r="Q2356" s="105"/>
      <c r="R2356" s="105"/>
      <c r="S2356" s="105"/>
      <c r="T2356" s="105"/>
      <c r="U2356" s="105"/>
      <c r="V2356" s="105"/>
      <c r="W2356" s="105"/>
      <c r="X2356" s="11"/>
      <c r="Y2356" s="11"/>
      <c r="Z2356" s="105"/>
      <c r="AA2356" s="11"/>
      <c r="AB2356" s="11"/>
      <c r="AC2356" s="105"/>
      <c r="AD2356" s="11" t="b">
        <v>0</v>
      </c>
      <c r="AE2356" s="105"/>
      <c r="AF2356" s="11"/>
      <c r="AG2356" s="11"/>
      <c r="AH2356" s="11"/>
      <c r="AI2356" s="11"/>
    </row>
    <row r="2357" ht="12.5" spans="3:35">
      <c r="C2357" s="19"/>
      <c r="D2357" s="19"/>
      <c r="H2357" s="105"/>
      <c r="I2357" s="126"/>
      <c r="J2357" s="11"/>
      <c r="K2357" s="108"/>
      <c r="L2357" s="11"/>
      <c r="M2357" s="105"/>
      <c r="N2357" s="105"/>
      <c r="O2357" s="11"/>
      <c r="P2357" s="11"/>
      <c r="Q2357" s="105"/>
      <c r="R2357" s="105"/>
      <c r="S2357" s="105"/>
      <c r="T2357" s="105"/>
      <c r="U2357" s="105"/>
      <c r="V2357" s="105"/>
      <c r="W2357" s="105"/>
      <c r="X2357" s="11"/>
      <c r="Y2357" s="11"/>
      <c r="Z2357" s="105"/>
      <c r="AA2357" s="11"/>
      <c r="AB2357" s="11"/>
      <c r="AC2357" s="105"/>
      <c r="AD2357" s="11" t="b">
        <v>0</v>
      </c>
      <c r="AE2357" s="105"/>
      <c r="AF2357" s="11"/>
      <c r="AG2357" s="11"/>
      <c r="AH2357" s="11"/>
      <c r="AI2357" s="11"/>
    </row>
    <row r="2358" ht="12.5" spans="3:35">
      <c r="C2358" s="19"/>
      <c r="D2358" s="19"/>
      <c r="H2358" s="105"/>
      <c r="I2358" s="126"/>
      <c r="J2358" s="11"/>
      <c r="K2358" s="108"/>
      <c r="L2358" s="11"/>
      <c r="M2358" s="105"/>
      <c r="N2358" s="105"/>
      <c r="O2358" s="11"/>
      <c r="P2358" s="11"/>
      <c r="Q2358" s="105"/>
      <c r="R2358" s="105"/>
      <c r="S2358" s="105"/>
      <c r="T2358" s="105"/>
      <c r="U2358" s="105"/>
      <c r="V2358" s="105"/>
      <c r="W2358" s="105"/>
      <c r="X2358" s="11"/>
      <c r="Y2358" s="11"/>
      <c r="Z2358" s="105"/>
      <c r="AA2358" s="11"/>
      <c r="AB2358" s="11"/>
      <c r="AC2358" s="105"/>
      <c r="AD2358" s="11" t="b">
        <v>0</v>
      </c>
      <c r="AE2358" s="105"/>
      <c r="AF2358" s="11"/>
      <c r="AG2358" s="11"/>
      <c r="AH2358" s="11"/>
      <c r="AI2358" s="11"/>
    </row>
    <row r="2359" ht="12.5" spans="3:35">
      <c r="C2359" s="19"/>
      <c r="D2359" s="19"/>
      <c r="H2359" s="105"/>
      <c r="I2359" s="126"/>
      <c r="J2359" s="11"/>
      <c r="K2359" s="108"/>
      <c r="L2359" s="11"/>
      <c r="M2359" s="105"/>
      <c r="N2359" s="105"/>
      <c r="O2359" s="11"/>
      <c r="P2359" s="11"/>
      <c r="Q2359" s="105"/>
      <c r="R2359" s="105"/>
      <c r="S2359" s="105"/>
      <c r="T2359" s="105"/>
      <c r="U2359" s="105"/>
      <c r="V2359" s="105"/>
      <c r="W2359" s="105"/>
      <c r="X2359" s="11"/>
      <c r="Y2359" s="11"/>
      <c r="Z2359" s="105"/>
      <c r="AA2359" s="11"/>
      <c r="AB2359" s="11"/>
      <c r="AC2359" s="105"/>
      <c r="AD2359" s="11" t="b">
        <v>0</v>
      </c>
      <c r="AE2359" s="105"/>
      <c r="AF2359" s="11"/>
      <c r="AG2359" s="11"/>
      <c r="AH2359" s="11"/>
      <c r="AI2359" s="11"/>
    </row>
    <row r="2360" ht="12.5" spans="3:35">
      <c r="C2360" s="19"/>
      <c r="D2360" s="19"/>
      <c r="H2360" s="105"/>
      <c r="I2360" s="126"/>
      <c r="J2360" s="11"/>
      <c r="K2360" s="108"/>
      <c r="L2360" s="11"/>
      <c r="M2360" s="105"/>
      <c r="N2360" s="105"/>
      <c r="O2360" s="11"/>
      <c r="P2360" s="11"/>
      <c r="Q2360" s="105"/>
      <c r="R2360" s="105"/>
      <c r="S2360" s="105"/>
      <c r="T2360" s="105"/>
      <c r="U2360" s="105"/>
      <c r="V2360" s="105"/>
      <c r="W2360" s="105"/>
      <c r="X2360" s="11"/>
      <c r="Y2360" s="11"/>
      <c r="Z2360" s="105"/>
      <c r="AA2360" s="11"/>
      <c r="AB2360" s="11"/>
      <c r="AC2360" s="105"/>
      <c r="AD2360" s="11" t="b">
        <v>0</v>
      </c>
      <c r="AE2360" s="105"/>
      <c r="AF2360" s="11"/>
      <c r="AG2360" s="11"/>
      <c r="AH2360" s="11"/>
      <c r="AI2360" s="11"/>
    </row>
    <row r="2361" ht="12.5" spans="3:35">
      <c r="C2361" s="19"/>
      <c r="D2361" s="19"/>
      <c r="H2361" s="105"/>
      <c r="I2361" s="126"/>
      <c r="J2361" s="11"/>
      <c r="K2361" s="108"/>
      <c r="L2361" s="11"/>
      <c r="M2361" s="105"/>
      <c r="N2361" s="105"/>
      <c r="O2361" s="11"/>
      <c r="P2361" s="11"/>
      <c r="Q2361" s="105"/>
      <c r="R2361" s="105"/>
      <c r="S2361" s="105"/>
      <c r="T2361" s="105"/>
      <c r="U2361" s="105"/>
      <c r="V2361" s="105"/>
      <c r="W2361" s="105"/>
      <c r="X2361" s="11"/>
      <c r="Y2361" s="11"/>
      <c r="Z2361" s="105"/>
      <c r="AA2361" s="11"/>
      <c r="AB2361" s="11"/>
      <c r="AC2361" s="105"/>
      <c r="AD2361" s="11" t="b">
        <v>0</v>
      </c>
      <c r="AE2361" s="105"/>
      <c r="AF2361" s="11"/>
      <c r="AG2361" s="11"/>
      <c r="AH2361" s="11"/>
      <c r="AI2361" s="11"/>
    </row>
    <row r="2362" ht="12.5" spans="3:35">
      <c r="C2362" s="19"/>
      <c r="D2362" s="19"/>
      <c r="H2362" s="105"/>
      <c r="I2362" s="126"/>
      <c r="J2362" s="11"/>
      <c r="K2362" s="108"/>
      <c r="L2362" s="11"/>
      <c r="M2362" s="105"/>
      <c r="N2362" s="105"/>
      <c r="O2362" s="11"/>
      <c r="P2362" s="11"/>
      <c r="Q2362" s="105"/>
      <c r="R2362" s="105"/>
      <c r="S2362" s="105"/>
      <c r="T2362" s="105"/>
      <c r="U2362" s="105"/>
      <c r="V2362" s="105"/>
      <c r="W2362" s="105"/>
      <c r="X2362" s="11"/>
      <c r="Y2362" s="11"/>
      <c r="Z2362" s="105"/>
      <c r="AA2362" s="11"/>
      <c r="AB2362" s="11"/>
      <c r="AC2362" s="105"/>
      <c r="AD2362" s="11" t="b">
        <v>0</v>
      </c>
      <c r="AE2362" s="105"/>
      <c r="AF2362" s="11"/>
      <c r="AG2362" s="11"/>
      <c r="AH2362" s="11"/>
      <c r="AI2362" s="11"/>
    </row>
    <row r="2363" ht="12.5" spans="3:35">
      <c r="C2363" s="19"/>
      <c r="D2363" s="19"/>
      <c r="H2363" s="105"/>
      <c r="I2363" s="126"/>
      <c r="J2363" s="11"/>
      <c r="K2363" s="108"/>
      <c r="L2363" s="11"/>
      <c r="M2363" s="105"/>
      <c r="N2363" s="105"/>
      <c r="O2363" s="11"/>
      <c r="P2363" s="11"/>
      <c r="Q2363" s="105"/>
      <c r="R2363" s="105"/>
      <c r="S2363" s="105"/>
      <c r="T2363" s="105"/>
      <c r="U2363" s="105"/>
      <c r="V2363" s="105"/>
      <c r="W2363" s="105"/>
      <c r="X2363" s="11"/>
      <c r="Y2363" s="11"/>
      <c r="Z2363" s="105"/>
      <c r="AA2363" s="11"/>
      <c r="AB2363" s="11"/>
      <c r="AC2363" s="105"/>
      <c r="AD2363" s="11" t="b">
        <v>0</v>
      </c>
      <c r="AE2363" s="105"/>
      <c r="AF2363" s="11"/>
      <c r="AG2363" s="11"/>
      <c r="AH2363" s="11"/>
      <c r="AI2363" s="11"/>
    </row>
    <row r="2364" ht="12.5" spans="3:35">
      <c r="C2364" s="19"/>
      <c r="D2364" s="19"/>
      <c r="H2364" s="105"/>
      <c r="I2364" s="126"/>
      <c r="J2364" s="11"/>
      <c r="K2364" s="108"/>
      <c r="L2364" s="11"/>
      <c r="M2364" s="105"/>
      <c r="N2364" s="105"/>
      <c r="O2364" s="11"/>
      <c r="P2364" s="11"/>
      <c r="Q2364" s="105"/>
      <c r="R2364" s="105"/>
      <c r="S2364" s="105"/>
      <c r="T2364" s="105"/>
      <c r="U2364" s="105"/>
      <c r="V2364" s="105"/>
      <c r="W2364" s="105"/>
      <c r="X2364" s="11"/>
      <c r="Y2364" s="11"/>
      <c r="Z2364" s="105"/>
      <c r="AA2364" s="11"/>
      <c r="AB2364" s="11"/>
      <c r="AC2364" s="105"/>
      <c r="AD2364" s="11" t="b">
        <v>0</v>
      </c>
      <c r="AE2364" s="105"/>
      <c r="AF2364" s="11"/>
      <c r="AG2364" s="11"/>
      <c r="AH2364" s="11"/>
      <c r="AI2364" s="11"/>
    </row>
    <row r="2365" ht="12.5" spans="3:35">
      <c r="C2365" s="19"/>
      <c r="D2365" s="19"/>
      <c r="H2365" s="105"/>
      <c r="I2365" s="126"/>
      <c r="J2365" s="11"/>
      <c r="K2365" s="108"/>
      <c r="L2365" s="11"/>
      <c r="M2365" s="105"/>
      <c r="N2365" s="105"/>
      <c r="O2365" s="11"/>
      <c r="P2365" s="11"/>
      <c r="Q2365" s="105"/>
      <c r="R2365" s="105"/>
      <c r="S2365" s="105"/>
      <c r="T2365" s="105"/>
      <c r="U2365" s="105"/>
      <c r="V2365" s="105"/>
      <c r="W2365" s="105"/>
      <c r="X2365" s="11"/>
      <c r="Y2365" s="11"/>
      <c r="Z2365" s="105"/>
      <c r="AA2365" s="11"/>
      <c r="AB2365" s="11"/>
      <c r="AC2365" s="105"/>
      <c r="AD2365" s="11" t="b">
        <v>0</v>
      </c>
      <c r="AE2365" s="105"/>
      <c r="AF2365" s="11"/>
      <c r="AG2365" s="11"/>
      <c r="AH2365" s="11"/>
      <c r="AI2365" s="11"/>
    </row>
    <row r="2366" ht="12.5" spans="3:35">
      <c r="C2366" s="19"/>
      <c r="D2366" s="19"/>
      <c r="H2366" s="105"/>
      <c r="I2366" s="126"/>
      <c r="J2366" s="11"/>
      <c r="K2366" s="108"/>
      <c r="L2366" s="11"/>
      <c r="M2366" s="105"/>
      <c r="N2366" s="105"/>
      <c r="O2366" s="11"/>
      <c r="P2366" s="11"/>
      <c r="Q2366" s="105"/>
      <c r="R2366" s="105"/>
      <c r="S2366" s="105"/>
      <c r="T2366" s="105"/>
      <c r="U2366" s="105"/>
      <c r="V2366" s="105"/>
      <c r="W2366" s="105"/>
      <c r="X2366" s="11"/>
      <c r="Y2366" s="11"/>
      <c r="Z2366" s="105"/>
      <c r="AA2366" s="11"/>
      <c r="AB2366" s="11"/>
      <c r="AC2366" s="105"/>
      <c r="AD2366" s="11" t="b">
        <v>0</v>
      </c>
      <c r="AE2366" s="105"/>
      <c r="AF2366" s="11"/>
      <c r="AG2366" s="11"/>
      <c r="AH2366" s="11"/>
      <c r="AI2366" s="11"/>
    </row>
    <row r="2367" ht="12.5" spans="3:35">
      <c r="C2367" s="19"/>
      <c r="D2367" s="19"/>
      <c r="H2367" s="105"/>
      <c r="I2367" s="126"/>
      <c r="J2367" s="11"/>
      <c r="K2367" s="108"/>
      <c r="L2367" s="11"/>
      <c r="M2367" s="105"/>
      <c r="N2367" s="105"/>
      <c r="O2367" s="11"/>
      <c r="P2367" s="11"/>
      <c r="Q2367" s="105"/>
      <c r="R2367" s="105"/>
      <c r="S2367" s="105"/>
      <c r="T2367" s="105"/>
      <c r="U2367" s="105"/>
      <c r="V2367" s="105"/>
      <c r="W2367" s="105"/>
      <c r="X2367" s="11"/>
      <c r="Y2367" s="11"/>
      <c r="Z2367" s="105"/>
      <c r="AA2367" s="11"/>
      <c r="AB2367" s="11"/>
      <c r="AC2367" s="105"/>
      <c r="AD2367" s="11" t="b">
        <v>0</v>
      </c>
      <c r="AE2367" s="105"/>
      <c r="AF2367" s="11"/>
      <c r="AG2367" s="11"/>
      <c r="AH2367" s="11"/>
      <c r="AI2367" s="11"/>
    </row>
    <row r="2368" ht="12.5" spans="3:35">
      <c r="C2368" s="19"/>
      <c r="D2368" s="19"/>
      <c r="H2368" s="105"/>
      <c r="I2368" s="126"/>
      <c r="J2368" s="11"/>
      <c r="K2368" s="108"/>
      <c r="L2368" s="11"/>
      <c r="M2368" s="105"/>
      <c r="N2368" s="105"/>
      <c r="O2368" s="11"/>
      <c r="P2368" s="11"/>
      <c r="Q2368" s="105"/>
      <c r="R2368" s="105"/>
      <c r="S2368" s="105"/>
      <c r="T2368" s="105"/>
      <c r="U2368" s="105"/>
      <c r="V2368" s="105"/>
      <c r="W2368" s="105"/>
      <c r="X2368" s="11"/>
      <c r="Y2368" s="11"/>
      <c r="Z2368" s="105"/>
      <c r="AA2368" s="11"/>
      <c r="AB2368" s="11"/>
      <c r="AC2368" s="105"/>
      <c r="AD2368" s="11" t="b">
        <v>0</v>
      </c>
      <c r="AE2368" s="105"/>
      <c r="AF2368" s="11"/>
      <c r="AG2368" s="11"/>
      <c r="AH2368" s="11"/>
      <c r="AI2368" s="11"/>
    </row>
    <row r="2369" ht="12.5" spans="3:35">
      <c r="C2369" s="19"/>
      <c r="D2369" s="19"/>
      <c r="H2369" s="105"/>
      <c r="I2369" s="126"/>
      <c r="J2369" s="11"/>
      <c r="K2369" s="108"/>
      <c r="L2369" s="11"/>
      <c r="M2369" s="105"/>
      <c r="N2369" s="105"/>
      <c r="O2369" s="11"/>
      <c r="P2369" s="11"/>
      <c r="Q2369" s="105"/>
      <c r="R2369" s="105"/>
      <c r="S2369" s="105"/>
      <c r="T2369" s="105"/>
      <c r="U2369" s="105"/>
      <c r="V2369" s="105"/>
      <c r="W2369" s="105"/>
      <c r="X2369" s="11"/>
      <c r="Y2369" s="11"/>
      <c r="Z2369" s="105"/>
      <c r="AA2369" s="11"/>
      <c r="AB2369" s="11"/>
      <c r="AC2369" s="105"/>
      <c r="AD2369" s="11" t="b">
        <v>0</v>
      </c>
      <c r="AE2369" s="105"/>
      <c r="AF2369" s="11"/>
      <c r="AG2369" s="11"/>
      <c r="AH2369" s="11"/>
      <c r="AI2369" s="11"/>
    </row>
    <row r="2370" ht="12.5" spans="3:35">
      <c r="C2370" s="19"/>
      <c r="D2370" s="19"/>
      <c r="H2370" s="105"/>
      <c r="I2370" s="126"/>
      <c r="J2370" s="11"/>
      <c r="K2370" s="108"/>
      <c r="L2370" s="11"/>
      <c r="M2370" s="105"/>
      <c r="N2370" s="105"/>
      <c r="O2370" s="11"/>
      <c r="P2370" s="11"/>
      <c r="Q2370" s="105"/>
      <c r="R2370" s="105"/>
      <c r="S2370" s="105"/>
      <c r="T2370" s="105"/>
      <c r="U2370" s="105"/>
      <c r="V2370" s="105"/>
      <c r="W2370" s="105"/>
      <c r="X2370" s="11"/>
      <c r="Y2370" s="11"/>
      <c r="Z2370" s="105"/>
      <c r="AA2370" s="11"/>
      <c r="AB2370" s="11"/>
      <c r="AC2370" s="105"/>
      <c r="AD2370" s="11" t="b">
        <v>0</v>
      </c>
      <c r="AE2370" s="105"/>
      <c r="AF2370" s="11"/>
      <c r="AG2370" s="11"/>
      <c r="AH2370" s="11"/>
      <c r="AI2370" s="11"/>
    </row>
    <row r="2371" ht="12.5" spans="3:35">
      <c r="C2371" s="19"/>
      <c r="D2371" s="19"/>
      <c r="H2371" s="105"/>
      <c r="I2371" s="126"/>
      <c r="J2371" s="11"/>
      <c r="K2371" s="108"/>
      <c r="L2371" s="11"/>
      <c r="M2371" s="105"/>
      <c r="N2371" s="105"/>
      <c r="O2371" s="11"/>
      <c r="P2371" s="11"/>
      <c r="Q2371" s="105"/>
      <c r="R2371" s="105"/>
      <c r="S2371" s="105"/>
      <c r="T2371" s="105"/>
      <c r="U2371" s="105"/>
      <c r="V2371" s="105"/>
      <c r="W2371" s="105"/>
      <c r="X2371" s="11"/>
      <c r="Y2371" s="11"/>
      <c r="Z2371" s="105"/>
      <c r="AA2371" s="11"/>
      <c r="AB2371" s="11"/>
      <c r="AC2371" s="105"/>
      <c r="AD2371" s="11" t="b">
        <v>0</v>
      </c>
      <c r="AE2371" s="105"/>
      <c r="AF2371" s="11"/>
      <c r="AG2371" s="11"/>
      <c r="AH2371" s="11"/>
      <c r="AI2371" s="11"/>
    </row>
    <row r="2372" ht="12.5" spans="3:35">
      <c r="C2372" s="19"/>
      <c r="D2372" s="19"/>
      <c r="H2372" s="105"/>
      <c r="I2372" s="126"/>
      <c r="J2372" s="11"/>
      <c r="K2372" s="108"/>
      <c r="L2372" s="11"/>
      <c r="M2372" s="105"/>
      <c r="N2372" s="105"/>
      <c r="O2372" s="11"/>
      <c r="P2372" s="11"/>
      <c r="Q2372" s="105"/>
      <c r="R2372" s="105"/>
      <c r="S2372" s="105"/>
      <c r="T2372" s="105"/>
      <c r="U2372" s="105"/>
      <c r="V2372" s="105"/>
      <c r="W2372" s="105"/>
      <c r="X2372" s="11"/>
      <c r="Y2372" s="11"/>
      <c r="Z2372" s="105"/>
      <c r="AA2372" s="11"/>
      <c r="AB2372" s="11"/>
      <c r="AC2372" s="105"/>
      <c r="AD2372" s="11" t="b">
        <v>0</v>
      </c>
      <c r="AE2372" s="105"/>
      <c r="AF2372" s="11"/>
      <c r="AG2372" s="11"/>
      <c r="AH2372" s="11"/>
      <c r="AI2372" s="11"/>
    </row>
    <row r="2373" ht="12.5" spans="3:35">
      <c r="C2373" s="19"/>
      <c r="D2373" s="19"/>
      <c r="H2373" s="105"/>
      <c r="I2373" s="126"/>
      <c r="J2373" s="11"/>
      <c r="K2373" s="108"/>
      <c r="L2373" s="11"/>
      <c r="M2373" s="105"/>
      <c r="N2373" s="105"/>
      <c r="O2373" s="11"/>
      <c r="P2373" s="11"/>
      <c r="Q2373" s="105"/>
      <c r="R2373" s="105"/>
      <c r="S2373" s="105"/>
      <c r="T2373" s="105"/>
      <c r="U2373" s="105"/>
      <c r="V2373" s="105"/>
      <c r="W2373" s="105"/>
      <c r="X2373" s="11"/>
      <c r="Y2373" s="11"/>
      <c r="Z2373" s="105"/>
      <c r="AA2373" s="11"/>
      <c r="AB2373" s="11"/>
      <c r="AC2373" s="105"/>
      <c r="AD2373" s="11" t="b">
        <v>0</v>
      </c>
      <c r="AE2373" s="105"/>
      <c r="AF2373" s="11"/>
      <c r="AG2373" s="11"/>
      <c r="AH2373" s="11"/>
      <c r="AI2373" s="11"/>
    </row>
    <row r="2374" ht="12.5" spans="3:35">
      <c r="C2374" s="19"/>
      <c r="D2374" s="19"/>
      <c r="H2374" s="105"/>
      <c r="I2374" s="126"/>
      <c r="J2374" s="11"/>
      <c r="K2374" s="108"/>
      <c r="L2374" s="11"/>
      <c r="M2374" s="105"/>
      <c r="N2374" s="105"/>
      <c r="O2374" s="11"/>
      <c r="P2374" s="11"/>
      <c r="Q2374" s="105"/>
      <c r="R2374" s="105"/>
      <c r="S2374" s="105"/>
      <c r="T2374" s="105"/>
      <c r="U2374" s="105"/>
      <c r="V2374" s="105"/>
      <c r="W2374" s="105"/>
      <c r="X2374" s="11"/>
      <c r="Y2374" s="11"/>
      <c r="Z2374" s="105"/>
      <c r="AA2374" s="11"/>
      <c r="AB2374" s="11"/>
      <c r="AC2374" s="105"/>
      <c r="AD2374" s="11" t="b">
        <v>0</v>
      </c>
      <c r="AE2374" s="105"/>
      <c r="AF2374" s="11"/>
      <c r="AG2374" s="11"/>
      <c r="AH2374" s="11"/>
      <c r="AI2374" s="11"/>
    </row>
    <row r="2375" ht="12.5" spans="3:35">
      <c r="C2375" s="19"/>
      <c r="D2375" s="19"/>
      <c r="H2375" s="105"/>
      <c r="I2375" s="126"/>
      <c r="J2375" s="11"/>
      <c r="K2375" s="108"/>
      <c r="L2375" s="11"/>
      <c r="M2375" s="105"/>
      <c r="N2375" s="105"/>
      <c r="O2375" s="11"/>
      <c r="P2375" s="11"/>
      <c r="Q2375" s="105"/>
      <c r="R2375" s="105"/>
      <c r="S2375" s="105"/>
      <c r="T2375" s="105"/>
      <c r="U2375" s="105"/>
      <c r="V2375" s="105"/>
      <c r="W2375" s="105"/>
      <c r="X2375" s="11"/>
      <c r="Y2375" s="11"/>
      <c r="Z2375" s="105"/>
      <c r="AA2375" s="11"/>
      <c r="AB2375" s="11"/>
      <c r="AC2375" s="105"/>
      <c r="AD2375" s="11" t="b">
        <v>0</v>
      </c>
      <c r="AE2375" s="105"/>
      <c r="AF2375" s="11"/>
      <c r="AG2375" s="11"/>
      <c r="AH2375" s="11"/>
      <c r="AI2375" s="11"/>
    </row>
    <row r="2376" ht="12.5" spans="3:35">
      <c r="C2376" s="19"/>
      <c r="D2376" s="19"/>
      <c r="H2376" s="105"/>
      <c r="I2376" s="126"/>
      <c r="J2376" s="11"/>
      <c r="K2376" s="108"/>
      <c r="L2376" s="11"/>
      <c r="M2376" s="105"/>
      <c r="N2376" s="105"/>
      <c r="O2376" s="11"/>
      <c r="P2376" s="11"/>
      <c r="Q2376" s="105"/>
      <c r="R2376" s="105"/>
      <c r="S2376" s="105"/>
      <c r="T2376" s="105"/>
      <c r="U2376" s="105"/>
      <c r="V2376" s="105"/>
      <c r="W2376" s="105"/>
      <c r="X2376" s="11"/>
      <c r="Y2376" s="11"/>
      <c r="Z2376" s="105"/>
      <c r="AA2376" s="11"/>
      <c r="AB2376" s="11"/>
      <c r="AC2376" s="105"/>
      <c r="AD2376" s="11" t="b">
        <v>0</v>
      </c>
      <c r="AE2376" s="105"/>
      <c r="AF2376" s="11"/>
      <c r="AG2376" s="11"/>
      <c r="AH2376" s="11"/>
      <c r="AI2376" s="11"/>
    </row>
    <row r="2377" ht="12.5" spans="3:35">
      <c r="C2377" s="19"/>
      <c r="D2377" s="19"/>
      <c r="H2377" s="105"/>
      <c r="I2377" s="126"/>
      <c r="J2377" s="11"/>
      <c r="K2377" s="108"/>
      <c r="L2377" s="11"/>
      <c r="M2377" s="105"/>
      <c r="N2377" s="105"/>
      <c r="O2377" s="11"/>
      <c r="P2377" s="11"/>
      <c r="Q2377" s="105"/>
      <c r="R2377" s="105"/>
      <c r="S2377" s="105"/>
      <c r="T2377" s="105"/>
      <c r="U2377" s="105"/>
      <c r="V2377" s="105"/>
      <c r="W2377" s="105"/>
      <c r="X2377" s="11"/>
      <c r="Y2377" s="11"/>
      <c r="Z2377" s="105"/>
      <c r="AA2377" s="11"/>
      <c r="AB2377" s="11"/>
      <c r="AC2377" s="105"/>
      <c r="AD2377" s="11" t="b">
        <v>0</v>
      </c>
      <c r="AE2377" s="105"/>
      <c r="AF2377" s="11"/>
      <c r="AG2377" s="11"/>
      <c r="AH2377" s="11"/>
      <c r="AI2377" s="11"/>
    </row>
    <row r="2378" ht="12.5" spans="3:35">
      <c r="C2378" s="19"/>
      <c r="D2378" s="19"/>
      <c r="H2378" s="105"/>
      <c r="I2378" s="126"/>
      <c r="J2378" s="11"/>
      <c r="K2378" s="108"/>
      <c r="L2378" s="11"/>
      <c r="M2378" s="105"/>
      <c r="N2378" s="105"/>
      <c r="O2378" s="11"/>
      <c r="P2378" s="11"/>
      <c r="Q2378" s="105"/>
      <c r="R2378" s="105"/>
      <c r="S2378" s="105"/>
      <c r="T2378" s="105"/>
      <c r="U2378" s="105"/>
      <c r="V2378" s="105"/>
      <c r="W2378" s="105"/>
      <c r="X2378" s="11"/>
      <c r="Y2378" s="11"/>
      <c r="Z2378" s="105"/>
      <c r="AA2378" s="11"/>
      <c r="AB2378" s="11"/>
      <c r="AC2378" s="105"/>
      <c r="AD2378" s="11" t="b">
        <v>0</v>
      </c>
      <c r="AE2378" s="105"/>
      <c r="AF2378" s="11"/>
      <c r="AG2378" s="11"/>
      <c r="AH2378" s="11"/>
      <c r="AI2378" s="11"/>
    </row>
    <row r="2379" ht="12.5" spans="3:35">
      <c r="C2379" s="19"/>
      <c r="D2379" s="19"/>
      <c r="H2379" s="105"/>
      <c r="I2379" s="126"/>
      <c r="J2379" s="11"/>
      <c r="K2379" s="108"/>
      <c r="L2379" s="11"/>
      <c r="M2379" s="105"/>
      <c r="N2379" s="105"/>
      <c r="O2379" s="11"/>
      <c r="P2379" s="11"/>
      <c r="Q2379" s="105"/>
      <c r="R2379" s="105"/>
      <c r="S2379" s="105"/>
      <c r="T2379" s="105"/>
      <c r="U2379" s="105"/>
      <c r="V2379" s="105"/>
      <c r="W2379" s="105"/>
      <c r="X2379" s="11"/>
      <c r="Y2379" s="11"/>
      <c r="Z2379" s="105"/>
      <c r="AA2379" s="11"/>
      <c r="AB2379" s="11"/>
      <c r="AC2379" s="105"/>
      <c r="AD2379" s="11" t="b">
        <v>0</v>
      </c>
      <c r="AE2379" s="105"/>
      <c r="AF2379" s="11"/>
      <c r="AG2379" s="11"/>
      <c r="AH2379" s="11"/>
      <c r="AI2379" s="11"/>
    </row>
    <row r="2380" ht="12.5" spans="3:35">
      <c r="C2380" s="19"/>
      <c r="D2380" s="19"/>
      <c r="H2380" s="105"/>
      <c r="I2380" s="126"/>
      <c r="J2380" s="11"/>
      <c r="K2380" s="108"/>
      <c r="L2380" s="11"/>
      <c r="M2380" s="105"/>
      <c r="N2380" s="105"/>
      <c r="O2380" s="11"/>
      <c r="P2380" s="11"/>
      <c r="Q2380" s="105"/>
      <c r="R2380" s="105"/>
      <c r="S2380" s="105"/>
      <c r="T2380" s="105"/>
      <c r="U2380" s="105"/>
      <c r="V2380" s="105"/>
      <c r="W2380" s="105"/>
      <c r="X2380" s="11"/>
      <c r="Y2380" s="11"/>
      <c r="Z2380" s="105"/>
      <c r="AA2380" s="11"/>
      <c r="AB2380" s="11"/>
      <c r="AC2380" s="105"/>
      <c r="AD2380" s="11" t="b">
        <v>0</v>
      </c>
      <c r="AE2380" s="105"/>
      <c r="AF2380" s="11"/>
      <c r="AG2380" s="11"/>
      <c r="AH2380" s="11"/>
      <c r="AI2380" s="11"/>
    </row>
    <row r="2381" ht="12.5" spans="3:35">
      <c r="C2381" s="19"/>
      <c r="D2381" s="19"/>
      <c r="H2381" s="105"/>
      <c r="I2381" s="126"/>
      <c r="J2381" s="11"/>
      <c r="K2381" s="108"/>
      <c r="L2381" s="11"/>
      <c r="M2381" s="105"/>
      <c r="N2381" s="105"/>
      <c r="O2381" s="11"/>
      <c r="P2381" s="11"/>
      <c r="Q2381" s="105"/>
      <c r="R2381" s="105"/>
      <c r="S2381" s="105"/>
      <c r="T2381" s="105"/>
      <c r="U2381" s="105"/>
      <c r="V2381" s="105"/>
      <c r="W2381" s="105"/>
      <c r="X2381" s="11"/>
      <c r="Y2381" s="11"/>
      <c r="Z2381" s="105"/>
      <c r="AA2381" s="11"/>
      <c r="AB2381" s="11"/>
      <c r="AC2381" s="105"/>
      <c r="AD2381" s="11" t="b">
        <v>0</v>
      </c>
      <c r="AE2381" s="105"/>
      <c r="AF2381" s="11"/>
      <c r="AG2381" s="11"/>
      <c r="AH2381" s="11"/>
      <c r="AI2381" s="11"/>
    </row>
    <row r="2382" ht="12.5" spans="3:35">
      <c r="C2382" s="19"/>
      <c r="D2382" s="19"/>
      <c r="H2382" s="105"/>
      <c r="I2382" s="126"/>
      <c r="J2382" s="11"/>
      <c r="K2382" s="108"/>
      <c r="L2382" s="11"/>
      <c r="M2382" s="105"/>
      <c r="N2382" s="105"/>
      <c r="O2382" s="11"/>
      <c r="P2382" s="11"/>
      <c r="Q2382" s="105"/>
      <c r="R2382" s="105"/>
      <c r="S2382" s="105"/>
      <c r="T2382" s="105"/>
      <c r="U2382" s="105"/>
      <c r="V2382" s="105"/>
      <c r="W2382" s="105"/>
      <c r="X2382" s="11"/>
      <c r="Y2382" s="11"/>
      <c r="Z2382" s="105"/>
      <c r="AA2382" s="11"/>
      <c r="AB2382" s="11"/>
      <c r="AC2382" s="105"/>
      <c r="AD2382" s="11" t="b">
        <v>0</v>
      </c>
      <c r="AE2382" s="105"/>
      <c r="AF2382" s="11"/>
      <c r="AG2382" s="11"/>
      <c r="AH2382" s="11"/>
      <c r="AI2382" s="11"/>
    </row>
    <row r="2383" ht="12.5" spans="3:35">
      <c r="C2383" s="19"/>
      <c r="D2383" s="19"/>
      <c r="H2383" s="105"/>
      <c r="I2383" s="126"/>
      <c r="J2383" s="11"/>
      <c r="K2383" s="108"/>
      <c r="L2383" s="11"/>
      <c r="M2383" s="105"/>
      <c r="N2383" s="105"/>
      <c r="O2383" s="11"/>
      <c r="P2383" s="11"/>
      <c r="Q2383" s="105"/>
      <c r="R2383" s="105"/>
      <c r="S2383" s="105"/>
      <c r="T2383" s="105"/>
      <c r="U2383" s="105"/>
      <c r="V2383" s="105"/>
      <c r="W2383" s="105"/>
      <c r="X2383" s="11"/>
      <c r="Y2383" s="11"/>
      <c r="Z2383" s="105"/>
      <c r="AA2383" s="11"/>
      <c r="AB2383" s="11"/>
      <c r="AC2383" s="105"/>
      <c r="AD2383" s="11" t="b">
        <v>0</v>
      </c>
      <c r="AE2383" s="105"/>
      <c r="AF2383" s="11"/>
      <c r="AG2383" s="11"/>
      <c r="AH2383" s="11"/>
      <c r="AI2383" s="11"/>
    </row>
    <row r="2384" ht="12.5" spans="3:35">
      <c r="C2384" s="19"/>
      <c r="D2384" s="19"/>
      <c r="H2384" s="105"/>
      <c r="I2384" s="126"/>
      <c r="J2384" s="11"/>
      <c r="K2384" s="108"/>
      <c r="L2384" s="11"/>
      <c r="M2384" s="105"/>
      <c r="N2384" s="105"/>
      <c r="O2384" s="11"/>
      <c r="P2384" s="11"/>
      <c r="Q2384" s="105"/>
      <c r="R2384" s="105"/>
      <c r="S2384" s="105"/>
      <c r="T2384" s="105"/>
      <c r="U2384" s="105"/>
      <c r="V2384" s="105"/>
      <c r="W2384" s="105"/>
      <c r="X2384" s="11"/>
      <c r="Y2384" s="11"/>
      <c r="Z2384" s="105"/>
      <c r="AA2384" s="11"/>
      <c r="AB2384" s="11"/>
      <c r="AC2384" s="105"/>
      <c r="AD2384" s="11" t="b">
        <v>0</v>
      </c>
      <c r="AE2384" s="105"/>
      <c r="AF2384" s="11"/>
      <c r="AG2384" s="11"/>
      <c r="AH2384" s="11"/>
      <c r="AI2384" s="11"/>
    </row>
    <row r="2385" ht="12.5" spans="3:35">
      <c r="C2385" s="19"/>
      <c r="D2385" s="19"/>
      <c r="H2385" s="105"/>
      <c r="I2385" s="126"/>
      <c r="J2385" s="11"/>
      <c r="K2385" s="108"/>
      <c r="L2385" s="11"/>
      <c r="M2385" s="105"/>
      <c r="N2385" s="105"/>
      <c r="O2385" s="11"/>
      <c r="P2385" s="11"/>
      <c r="Q2385" s="105"/>
      <c r="R2385" s="105"/>
      <c r="S2385" s="105"/>
      <c r="T2385" s="105"/>
      <c r="U2385" s="105"/>
      <c r="V2385" s="105"/>
      <c r="W2385" s="105"/>
      <c r="X2385" s="11"/>
      <c r="Y2385" s="11"/>
      <c r="Z2385" s="105"/>
      <c r="AA2385" s="11"/>
      <c r="AB2385" s="11"/>
      <c r="AC2385" s="105"/>
      <c r="AD2385" s="11" t="b">
        <v>0</v>
      </c>
      <c r="AE2385" s="105"/>
      <c r="AF2385" s="11"/>
      <c r="AG2385" s="11"/>
      <c r="AH2385" s="11"/>
      <c r="AI2385" s="11"/>
    </row>
    <row r="2386" ht="12.5" spans="3:35">
      <c r="C2386" s="19"/>
      <c r="D2386" s="19"/>
      <c r="H2386" s="105"/>
      <c r="I2386" s="126"/>
      <c r="J2386" s="11"/>
      <c r="K2386" s="108"/>
      <c r="L2386" s="11"/>
      <c r="M2386" s="105"/>
      <c r="N2386" s="105"/>
      <c r="O2386" s="11"/>
      <c r="P2386" s="11"/>
      <c r="Q2386" s="105"/>
      <c r="R2386" s="105"/>
      <c r="S2386" s="105"/>
      <c r="T2386" s="105"/>
      <c r="U2386" s="105"/>
      <c r="V2386" s="105"/>
      <c r="W2386" s="105"/>
      <c r="X2386" s="11"/>
      <c r="Y2386" s="11"/>
      <c r="Z2386" s="105"/>
      <c r="AA2386" s="11"/>
      <c r="AB2386" s="11"/>
      <c r="AC2386" s="105"/>
      <c r="AD2386" s="11" t="b">
        <v>0</v>
      </c>
      <c r="AE2386" s="105"/>
      <c r="AF2386" s="11"/>
      <c r="AG2386" s="11"/>
      <c r="AH2386" s="11"/>
      <c r="AI2386" s="11"/>
    </row>
    <row r="2387" ht="12.5" spans="3:35">
      <c r="C2387" s="19"/>
      <c r="D2387" s="19"/>
      <c r="H2387" s="105"/>
      <c r="I2387" s="126"/>
      <c r="J2387" s="11"/>
      <c r="K2387" s="108"/>
      <c r="L2387" s="11"/>
      <c r="M2387" s="105"/>
      <c r="N2387" s="105"/>
      <c r="O2387" s="11"/>
      <c r="P2387" s="11"/>
      <c r="Q2387" s="105"/>
      <c r="R2387" s="105"/>
      <c r="S2387" s="105"/>
      <c r="T2387" s="105"/>
      <c r="U2387" s="105"/>
      <c r="V2387" s="105"/>
      <c r="W2387" s="105"/>
      <c r="X2387" s="11"/>
      <c r="Y2387" s="11"/>
      <c r="Z2387" s="105"/>
      <c r="AA2387" s="11"/>
      <c r="AB2387" s="11"/>
      <c r="AC2387" s="105"/>
      <c r="AD2387" s="11" t="b">
        <v>0</v>
      </c>
      <c r="AE2387" s="105"/>
      <c r="AF2387" s="11"/>
      <c r="AG2387" s="11"/>
      <c r="AH2387" s="11"/>
      <c r="AI2387" s="11"/>
    </row>
    <row r="2388" ht="12.5" spans="3:35">
      <c r="C2388" s="19"/>
      <c r="D2388" s="19"/>
      <c r="H2388" s="105"/>
      <c r="I2388" s="126"/>
      <c r="J2388" s="11"/>
      <c r="K2388" s="108"/>
      <c r="L2388" s="11"/>
      <c r="M2388" s="105"/>
      <c r="N2388" s="105"/>
      <c r="O2388" s="11"/>
      <c r="P2388" s="11"/>
      <c r="Q2388" s="105"/>
      <c r="R2388" s="105"/>
      <c r="S2388" s="105"/>
      <c r="T2388" s="105"/>
      <c r="U2388" s="105"/>
      <c r="V2388" s="105"/>
      <c r="W2388" s="105"/>
      <c r="X2388" s="11"/>
      <c r="Y2388" s="11"/>
      <c r="Z2388" s="105"/>
      <c r="AA2388" s="11"/>
      <c r="AB2388" s="11"/>
      <c r="AC2388" s="105"/>
      <c r="AD2388" s="11" t="b">
        <v>0</v>
      </c>
      <c r="AE2388" s="105"/>
      <c r="AF2388" s="11"/>
      <c r="AG2388" s="11"/>
      <c r="AH2388" s="11"/>
      <c r="AI2388" s="11"/>
    </row>
    <row r="2389" ht="12.5" spans="3:35">
      <c r="C2389" s="19"/>
      <c r="D2389" s="19"/>
      <c r="H2389" s="105"/>
      <c r="I2389" s="126"/>
      <c r="J2389" s="11"/>
      <c r="K2389" s="108"/>
      <c r="L2389" s="11"/>
      <c r="M2389" s="105"/>
      <c r="N2389" s="105"/>
      <c r="O2389" s="11"/>
      <c r="P2389" s="11"/>
      <c r="Q2389" s="105"/>
      <c r="R2389" s="105"/>
      <c r="S2389" s="105"/>
      <c r="T2389" s="105"/>
      <c r="U2389" s="105"/>
      <c r="V2389" s="105"/>
      <c r="W2389" s="105"/>
      <c r="X2389" s="11"/>
      <c r="Y2389" s="11"/>
      <c r="Z2389" s="105"/>
      <c r="AA2389" s="11"/>
      <c r="AB2389" s="11"/>
      <c r="AC2389" s="105"/>
      <c r="AD2389" s="11" t="b">
        <v>0</v>
      </c>
      <c r="AE2389" s="105"/>
      <c r="AF2389" s="11"/>
      <c r="AG2389" s="11"/>
      <c r="AH2389" s="11"/>
      <c r="AI2389" s="11"/>
    </row>
    <row r="2390" ht="12.5" spans="3:35">
      <c r="C2390" s="19"/>
      <c r="D2390" s="19"/>
      <c r="H2390" s="105"/>
      <c r="I2390" s="126"/>
      <c r="J2390" s="11"/>
      <c r="K2390" s="108"/>
      <c r="L2390" s="11"/>
      <c r="M2390" s="105"/>
      <c r="N2390" s="105"/>
      <c r="O2390" s="11"/>
      <c r="P2390" s="11"/>
      <c r="Q2390" s="105"/>
      <c r="R2390" s="105"/>
      <c r="S2390" s="105"/>
      <c r="T2390" s="105"/>
      <c r="U2390" s="105"/>
      <c r="V2390" s="105"/>
      <c r="W2390" s="105"/>
      <c r="X2390" s="11"/>
      <c r="Y2390" s="11"/>
      <c r="Z2390" s="105"/>
      <c r="AA2390" s="11"/>
      <c r="AB2390" s="11"/>
      <c r="AC2390" s="105"/>
      <c r="AD2390" s="11" t="b">
        <v>0</v>
      </c>
      <c r="AE2390" s="105"/>
      <c r="AF2390" s="11"/>
      <c r="AG2390" s="11"/>
      <c r="AH2390" s="11"/>
      <c r="AI2390" s="11"/>
    </row>
    <row r="2391" ht="12.5" spans="3:35">
      <c r="C2391" s="19"/>
      <c r="D2391" s="19"/>
      <c r="H2391" s="105"/>
      <c r="I2391" s="126"/>
      <c r="J2391" s="11"/>
      <c r="K2391" s="108"/>
      <c r="L2391" s="11"/>
      <c r="M2391" s="105"/>
      <c r="N2391" s="105"/>
      <c r="O2391" s="11"/>
      <c r="P2391" s="11"/>
      <c r="Q2391" s="105"/>
      <c r="R2391" s="105"/>
      <c r="S2391" s="105"/>
      <c r="T2391" s="105"/>
      <c r="U2391" s="105"/>
      <c r="V2391" s="105"/>
      <c r="W2391" s="105"/>
      <c r="X2391" s="11"/>
      <c r="Y2391" s="11"/>
      <c r="Z2391" s="105"/>
      <c r="AA2391" s="11"/>
      <c r="AB2391" s="11"/>
      <c r="AC2391" s="105"/>
      <c r="AD2391" s="11" t="b">
        <v>0</v>
      </c>
      <c r="AE2391" s="105"/>
      <c r="AF2391" s="11"/>
      <c r="AG2391" s="11"/>
      <c r="AH2391" s="11"/>
      <c r="AI2391" s="11"/>
    </row>
    <row r="2392" ht="12.5" spans="3:35">
      <c r="C2392" s="19"/>
      <c r="D2392" s="19"/>
      <c r="H2392" s="105"/>
      <c r="I2392" s="126"/>
      <c r="J2392" s="11"/>
      <c r="K2392" s="108"/>
      <c r="L2392" s="11"/>
      <c r="M2392" s="105"/>
      <c r="N2392" s="105"/>
      <c r="O2392" s="11"/>
      <c r="P2392" s="11"/>
      <c r="Q2392" s="105"/>
      <c r="R2392" s="105"/>
      <c r="S2392" s="105"/>
      <c r="T2392" s="105"/>
      <c r="U2392" s="105"/>
      <c r="V2392" s="105"/>
      <c r="W2392" s="105"/>
      <c r="X2392" s="11"/>
      <c r="Y2392" s="11"/>
      <c r="Z2392" s="105"/>
      <c r="AA2392" s="11"/>
      <c r="AB2392" s="11"/>
      <c r="AC2392" s="105"/>
      <c r="AD2392" s="11" t="b">
        <v>0</v>
      </c>
      <c r="AE2392" s="105"/>
      <c r="AF2392" s="11"/>
      <c r="AG2392" s="11"/>
      <c r="AH2392" s="11"/>
      <c r="AI2392" s="11"/>
    </row>
    <row r="2393" ht="12.5" spans="3:35">
      <c r="C2393" s="19"/>
      <c r="D2393" s="19"/>
      <c r="H2393" s="105"/>
      <c r="I2393" s="126"/>
      <c r="J2393" s="11"/>
      <c r="K2393" s="108"/>
      <c r="L2393" s="11"/>
      <c r="M2393" s="105"/>
      <c r="N2393" s="105"/>
      <c r="O2393" s="11"/>
      <c r="P2393" s="11"/>
      <c r="Q2393" s="105"/>
      <c r="R2393" s="105"/>
      <c r="S2393" s="105"/>
      <c r="T2393" s="105"/>
      <c r="U2393" s="105"/>
      <c r="V2393" s="105"/>
      <c r="W2393" s="105"/>
      <c r="X2393" s="11"/>
      <c r="Y2393" s="11"/>
      <c r="Z2393" s="105"/>
      <c r="AA2393" s="11"/>
      <c r="AB2393" s="11"/>
      <c r="AC2393" s="105"/>
      <c r="AD2393" s="11" t="b">
        <v>0</v>
      </c>
      <c r="AE2393" s="105"/>
      <c r="AF2393" s="11"/>
      <c r="AG2393" s="11"/>
      <c r="AH2393" s="11"/>
      <c r="AI2393" s="11"/>
    </row>
    <row r="2394" ht="12.5" spans="3:35">
      <c r="C2394" s="19"/>
      <c r="D2394" s="19"/>
      <c r="H2394" s="105"/>
      <c r="I2394" s="126"/>
      <c r="J2394" s="11"/>
      <c r="K2394" s="108"/>
      <c r="L2394" s="11"/>
      <c r="M2394" s="105"/>
      <c r="N2394" s="105"/>
      <c r="O2394" s="11"/>
      <c r="P2394" s="11"/>
      <c r="Q2394" s="105"/>
      <c r="R2394" s="105"/>
      <c r="S2394" s="105"/>
      <c r="T2394" s="105"/>
      <c r="U2394" s="105"/>
      <c r="V2394" s="105"/>
      <c r="W2394" s="105"/>
      <c r="X2394" s="11"/>
      <c r="Y2394" s="11"/>
      <c r="Z2394" s="105"/>
      <c r="AA2394" s="11"/>
      <c r="AB2394" s="11"/>
      <c r="AC2394" s="105"/>
      <c r="AD2394" s="11" t="b">
        <v>0</v>
      </c>
      <c r="AE2394" s="105"/>
      <c r="AF2394" s="11"/>
      <c r="AG2394" s="11"/>
      <c r="AH2394" s="11"/>
      <c r="AI2394" s="11"/>
    </row>
    <row r="2395" ht="12.5" spans="3:35">
      <c r="C2395" s="19"/>
      <c r="D2395" s="19"/>
      <c r="H2395" s="105"/>
      <c r="I2395" s="126"/>
      <c r="J2395" s="11"/>
      <c r="K2395" s="108"/>
      <c r="L2395" s="11"/>
      <c r="M2395" s="105"/>
      <c r="N2395" s="105"/>
      <c r="O2395" s="11"/>
      <c r="P2395" s="11"/>
      <c r="Q2395" s="105"/>
      <c r="R2395" s="105"/>
      <c r="S2395" s="105"/>
      <c r="T2395" s="105"/>
      <c r="U2395" s="105"/>
      <c r="V2395" s="105"/>
      <c r="W2395" s="105"/>
      <c r="X2395" s="11"/>
      <c r="Y2395" s="11"/>
      <c r="Z2395" s="105"/>
      <c r="AA2395" s="11"/>
      <c r="AB2395" s="11"/>
      <c r="AC2395" s="105"/>
      <c r="AD2395" s="11" t="b">
        <v>0</v>
      </c>
      <c r="AE2395" s="105"/>
      <c r="AF2395" s="11"/>
      <c r="AG2395" s="11"/>
      <c r="AH2395" s="11"/>
      <c r="AI2395" s="11"/>
    </row>
    <row r="2396" ht="12.5" spans="3:35">
      <c r="C2396" s="19"/>
      <c r="D2396" s="19"/>
      <c r="H2396" s="105"/>
      <c r="I2396" s="126"/>
      <c r="J2396" s="11"/>
      <c r="K2396" s="108"/>
      <c r="L2396" s="11"/>
      <c r="M2396" s="105"/>
      <c r="N2396" s="105"/>
      <c r="O2396" s="11"/>
      <c r="P2396" s="11"/>
      <c r="Q2396" s="105"/>
      <c r="R2396" s="105"/>
      <c r="S2396" s="105"/>
      <c r="T2396" s="105"/>
      <c r="U2396" s="105"/>
      <c r="V2396" s="105"/>
      <c r="W2396" s="105"/>
      <c r="X2396" s="11"/>
      <c r="Y2396" s="11"/>
      <c r="Z2396" s="105"/>
      <c r="AA2396" s="11"/>
      <c r="AB2396" s="11"/>
      <c r="AC2396" s="105"/>
      <c r="AD2396" s="11" t="b">
        <v>0</v>
      </c>
      <c r="AE2396" s="105"/>
      <c r="AF2396" s="11"/>
      <c r="AG2396" s="11"/>
      <c r="AH2396" s="11"/>
      <c r="AI2396" s="11"/>
    </row>
    <row r="2397" ht="12.5" spans="3:35">
      <c r="C2397" s="19"/>
      <c r="D2397" s="19"/>
      <c r="H2397" s="105"/>
      <c r="I2397" s="126"/>
      <c r="J2397" s="11"/>
      <c r="K2397" s="108"/>
      <c r="L2397" s="11"/>
      <c r="M2397" s="105"/>
      <c r="N2397" s="105"/>
      <c r="O2397" s="11"/>
      <c r="P2397" s="11"/>
      <c r="Q2397" s="105"/>
      <c r="R2397" s="105"/>
      <c r="S2397" s="105"/>
      <c r="T2397" s="105"/>
      <c r="U2397" s="105"/>
      <c r="V2397" s="105"/>
      <c r="W2397" s="105"/>
      <c r="X2397" s="11"/>
      <c r="Y2397" s="11"/>
      <c r="Z2397" s="105"/>
      <c r="AA2397" s="11"/>
      <c r="AB2397" s="11"/>
      <c r="AC2397" s="105"/>
      <c r="AD2397" s="11" t="b">
        <v>0</v>
      </c>
      <c r="AE2397" s="105"/>
      <c r="AF2397" s="11"/>
      <c r="AG2397" s="11"/>
      <c r="AH2397" s="11"/>
      <c r="AI2397" s="11"/>
    </row>
    <row r="2398" ht="12.5" spans="3:35">
      <c r="C2398" s="19"/>
      <c r="D2398" s="19"/>
      <c r="H2398" s="105"/>
      <c r="I2398" s="126"/>
      <c r="J2398" s="11"/>
      <c r="K2398" s="108"/>
      <c r="L2398" s="11"/>
      <c r="M2398" s="105"/>
      <c r="N2398" s="105"/>
      <c r="O2398" s="11"/>
      <c r="P2398" s="11"/>
      <c r="Q2398" s="105"/>
      <c r="R2398" s="105"/>
      <c r="S2398" s="105"/>
      <c r="T2398" s="105"/>
      <c r="U2398" s="105"/>
      <c r="V2398" s="105"/>
      <c r="W2398" s="105"/>
      <c r="X2398" s="11"/>
      <c r="Y2398" s="11"/>
      <c r="Z2398" s="105"/>
      <c r="AA2398" s="11"/>
      <c r="AB2398" s="11"/>
      <c r="AC2398" s="105"/>
      <c r="AD2398" s="11" t="b">
        <v>0</v>
      </c>
      <c r="AE2398" s="105"/>
      <c r="AF2398" s="11"/>
      <c r="AG2398" s="11"/>
      <c r="AH2398" s="11"/>
      <c r="AI2398" s="11"/>
    </row>
    <row r="2399" ht="12.5" spans="3:35">
      <c r="C2399" s="19"/>
      <c r="D2399" s="19"/>
      <c r="H2399" s="105"/>
      <c r="I2399" s="126"/>
      <c r="J2399" s="11"/>
      <c r="K2399" s="108"/>
      <c r="L2399" s="11"/>
      <c r="M2399" s="105"/>
      <c r="N2399" s="105"/>
      <c r="O2399" s="11"/>
      <c r="P2399" s="11"/>
      <c r="Q2399" s="105"/>
      <c r="R2399" s="105"/>
      <c r="S2399" s="105"/>
      <c r="T2399" s="105"/>
      <c r="U2399" s="105"/>
      <c r="V2399" s="105"/>
      <c r="W2399" s="105"/>
      <c r="X2399" s="11"/>
      <c r="Y2399" s="11"/>
      <c r="Z2399" s="105"/>
      <c r="AA2399" s="11"/>
      <c r="AB2399" s="11"/>
      <c r="AC2399" s="105"/>
      <c r="AD2399" s="11" t="b">
        <v>0</v>
      </c>
      <c r="AE2399" s="105"/>
      <c r="AF2399" s="11"/>
      <c r="AG2399" s="11"/>
      <c r="AH2399" s="11"/>
      <c r="AI2399" s="11"/>
    </row>
    <row r="2400" ht="12.5" spans="3:35">
      <c r="C2400" s="19"/>
      <c r="D2400" s="19"/>
      <c r="H2400" s="105"/>
      <c r="I2400" s="126"/>
      <c r="J2400" s="11"/>
      <c r="K2400" s="108"/>
      <c r="L2400" s="11"/>
      <c r="M2400" s="105"/>
      <c r="N2400" s="105"/>
      <c r="O2400" s="11"/>
      <c r="P2400" s="11"/>
      <c r="Q2400" s="105"/>
      <c r="R2400" s="105"/>
      <c r="S2400" s="105"/>
      <c r="T2400" s="105"/>
      <c r="U2400" s="105"/>
      <c r="V2400" s="105"/>
      <c r="W2400" s="105"/>
      <c r="X2400" s="11"/>
      <c r="Y2400" s="11"/>
      <c r="Z2400" s="105"/>
      <c r="AA2400" s="11"/>
      <c r="AB2400" s="11"/>
      <c r="AC2400" s="105"/>
      <c r="AD2400" s="11" t="b">
        <v>0</v>
      </c>
      <c r="AE2400" s="105"/>
      <c r="AF2400" s="11"/>
      <c r="AG2400" s="11"/>
      <c r="AH2400" s="11"/>
      <c r="AI2400" s="11"/>
    </row>
    <row r="2401" ht="12.5" spans="3:35">
      <c r="C2401" s="19"/>
      <c r="D2401" s="19"/>
      <c r="H2401" s="105"/>
      <c r="I2401" s="126"/>
      <c r="J2401" s="11"/>
      <c r="K2401" s="108"/>
      <c r="L2401" s="11"/>
      <c r="M2401" s="105"/>
      <c r="N2401" s="105"/>
      <c r="O2401" s="11"/>
      <c r="P2401" s="11"/>
      <c r="Q2401" s="105"/>
      <c r="R2401" s="105"/>
      <c r="S2401" s="105"/>
      <c r="T2401" s="105"/>
      <c r="U2401" s="105"/>
      <c r="V2401" s="105"/>
      <c r="W2401" s="105"/>
      <c r="X2401" s="11"/>
      <c r="Y2401" s="11"/>
      <c r="Z2401" s="105"/>
      <c r="AA2401" s="11"/>
      <c r="AB2401" s="11"/>
      <c r="AC2401" s="105"/>
      <c r="AD2401" s="11" t="b">
        <v>0</v>
      </c>
      <c r="AE2401" s="105"/>
      <c r="AF2401" s="11"/>
      <c r="AG2401" s="11"/>
      <c r="AH2401" s="11"/>
      <c r="AI2401" s="11"/>
    </row>
    <row r="2402" ht="12.5" spans="3:35">
      <c r="C2402" s="19"/>
      <c r="D2402" s="19"/>
      <c r="H2402" s="105"/>
      <c r="I2402" s="126"/>
      <c r="J2402" s="11"/>
      <c r="K2402" s="108"/>
      <c r="L2402" s="11"/>
      <c r="M2402" s="105"/>
      <c r="N2402" s="105"/>
      <c r="O2402" s="11"/>
      <c r="P2402" s="11"/>
      <c r="Q2402" s="105"/>
      <c r="R2402" s="105"/>
      <c r="S2402" s="105"/>
      <c r="T2402" s="105"/>
      <c r="U2402" s="105"/>
      <c r="V2402" s="105"/>
      <c r="W2402" s="105"/>
      <c r="X2402" s="11"/>
      <c r="Y2402" s="11"/>
      <c r="Z2402" s="105"/>
      <c r="AA2402" s="11"/>
      <c r="AB2402" s="11"/>
      <c r="AC2402" s="105"/>
      <c r="AD2402" s="11" t="b">
        <v>0</v>
      </c>
      <c r="AE2402" s="105"/>
      <c r="AF2402" s="11"/>
      <c r="AG2402" s="11"/>
      <c r="AH2402" s="11"/>
      <c r="AI2402" s="11"/>
    </row>
    <row r="2403" ht="12.5" spans="3:35">
      <c r="C2403" s="19"/>
      <c r="D2403" s="19"/>
      <c r="H2403" s="105"/>
      <c r="I2403" s="126"/>
      <c r="J2403" s="11"/>
      <c r="K2403" s="108"/>
      <c r="L2403" s="11"/>
      <c r="M2403" s="105"/>
      <c r="N2403" s="105"/>
      <c r="O2403" s="11"/>
      <c r="P2403" s="11"/>
      <c r="Q2403" s="105"/>
      <c r="R2403" s="105"/>
      <c r="S2403" s="105"/>
      <c r="T2403" s="105"/>
      <c r="U2403" s="105"/>
      <c r="V2403" s="105"/>
      <c r="W2403" s="105"/>
      <c r="X2403" s="11"/>
      <c r="Y2403" s="11"/>
      <c r="Z2403" s="105"/>
      <c r="AA2403" s="11"/>
      <c r="AB2403" s="11"/>
      <c r="AC2403" s="105"/>
      <c r="AD2403" s="11" t="b">
        <v>0</v>
      </c>
      <c r="AE2403" s="105"/>
      <c r="AF2403" s="11"/>
      <c r="AG2403" s="11"/>
      <c r="AH2403" s="11"/>
      <c r="AI2403" s="11"/>
    </row>
    <row r="2404" ht="12.5" spans="3:35">
      <c r="C2404" s="19"/>
      <c r="D2404" s="19"/>
      <c r="H2404" s="105"/>
      <c r="I2404" s="126"/>
      <c r="J2404" s="11"/>
      <c r="K2404" s="108"/>
      <c r="L2404" s="11"/>
      <c r="M2404" s="105"/>
      <c r="N2404" s="105"/>
      <c r="O2404" s="11"/>
      <c r="P2404" s="11"/>
      <c r="Q2404" s="105"/>
      <c r="R2404" s="105"/>
      <c r="S2404" s="105"/>
      <c r="T2404" s="105"/>
      <c r="U2404" s="105"/>
      <c r="V2404" s="105"/>
      <c r="W2404" s="105"/>
      <c r="X2404" s="11"/>
      <c r="Y2404" s="11"/>
      <c r="Z2404" s="105"/>
      <c r="AA2404" s="11"/>
      <c r="AB2404" s="11"/>
      <c r="AC2404" s="105"/>
      <c r="AD2404" s="11" t="b">
        <v>0</v>
      </c>
      <c r="AE2404" s="105"/>
      <c r="AF2404" s="11"/>
      <c r="AG2404" s="11"/>
      <c r="AH2404" s="11"/>
      <c r="AI2404" s="11"/>
    </row>
    <row r="2405" ht="12.5" spans="3:35">
      <c r="C2405" s="19"/>
      <c r="D2405" s="19"/>
      <c r="H2405" s="105"/>
      <c r="I2405" s="126"/>
      <c r="J2405" s="11"/>
      <c r="K2405" s="108"/>
      <c r="L2405" s="11"/>
      <c r="M2405" s="105"/>
      <c r="N2405" s="105"/>
      <c r="O2405" s="11"/>
      <c r="P2405" s="11"/>
      <c r="Q2405" s="105"/>
      <c r="R2405" s="105"/>
      <c r="S2405" s="105"/>
      <c r="T2405" s="105"/>
      <c r="U2405" s="105"/>
      <c r="V2405" s="105"/>
      <c r="W2405" s="105"/>
      <c r="X2405" s="11"/>
      <c r="Y2405" s="11"/>
      <c r="Z2405" s="105"/>
      <c r="AA2405" s="11"/>
      <c r="AB2405" s="11"/>
      <c r="AC2405" s="105"/>
      <c r="AD2405" s="11" t="b">
        <v>0</v>
      </c>
      <c r="AE2405" s="105"/>
      <c r="AF2405" s="11"/>
      <c r="AG2405" s="11"/>
      <c r="AH2405" s="11"/>
      <c r="AI2405" s="11"/>
    </row>
    <row r="2406" ht="12.5" spans="3:35">
      <c r="C2406" s="19"/>
      <c r="D2406" s="19"/>
      <c r="H2406" s="105"/>
      <c r="I2406" s="126"/>
      <c r="J2406" s="11"/>
      <c r="K2406" s="108"/>
      <c r="L2406" s="11"/>
      <c r="M2406" s="105"/>
      <c r="N2406" s="105"/>
      <c r="O2406" s="11"/>
      <c r="P2406" s="11"/>
      <c r="Q2406" s="105"/>
      <c r="R2406" s="105"/>
      <c r="S2406" s="105"/>
      <c r="T2406" s="105"/>
      <c r="U2406" s="105"/>
      <c r="V2406" s="105"/>
      <c r="W2406" s="105"/>
      <c r="X2406" s="11"/>
      <c r="Y2406" s="11"/>
      <c r="Z2406" s="105"/>
      <c r="AA2406" s="11"/>
      <c r="AB2406" s="11"/>
      <c r="AC2406" s="105"/>
      <c r="AD2406" s="11" t="b">
        <v>0</v>
      </c>
      <c r="AE2406" s="105"/>
      <c r="AF2406" s="11"/>
      <c r="AG2406" s="11"/>
      <c r="AH2406" s="11"/>
      <c r="AI2406" s="11"/>
    </row>
    <row r="2407" ht="12.5" spans="3:35">
      <c r="C2407" s="19"/>
      <c r="D2407" s="19"/>
      <c r="H2407" s="105"/>
      <c r="I2407" s="126"/>
      <c r="J2407" s="11"/>
      <c r="K2407" s="108"/>
      <c r="L2407" s="11"/>
      <c r="M2407" s="105"/>
      <c r="N2407" s="105"/>
      <c r="O2407" s="11"/>
      <c r="P2407" s="11"/>
      <c r="Q2407" s="105"/>
      <c r="R2407" s="105"/>
      <c r="S2407" s="105"/>
      <c r="T2407" s="105"/>
      <c r="U2407" s="105"/>
      <c r="V2407" s="105"/>
      <c r="W2407" s="105"/>
      <c r="X2407" s="11"/>
      <c r="Y2407" s="11"/>
      <c r="Z2407" s="105"/>
      <c r="AA2407" s="11"/>
      <c r="AB2407" s="11"/>
      <c r="AC2407" s="105"/>
      <c r="AD2407" s="11" t="b">
        <v>0</v>
      </c>
      <c r="AE2407" s="105"/>
      <c r="AF2407" s="11"/>
      <c r="AG2407" s="11"/>
      <c r="AH2407" s="11"/>
      <c r="AI2407" s="11"/>
    </row>
    <row r="2408" ht="12.5" spans="3:35">
      <c r="C2408" s="19"/>
      <c r="D2408" s="19"/>
      <c r="H2408" s="105"/>
      <c r="I2408" s="126"/>
      <c r="J2408" s="11"/>
      <c r="K2408" s="108"/>
      <c r="L2408" s="11"/>
      <c r="M2408" s="105"/>
      <c r="N2408" s="105"/>
      <c r="O2408" s="11"/>
      <c r="P2408" s="11"/>
      <c r="Q2408" s="105"/>
      <c r="R2408" s="105"/>
      <c r="S2408" s="105"/>
      <c r="T2408" s="105"/>
      <c r="U2408" s="105"/>
      <c r="V2408" s="105"/>
      <c r="W2408" s="105"/>
      <c r="X2408" s="11"/>
      <c r="Y2408" s="11"/>
      <c r="Z2408" s="105"/>
      <c r="AA2408" s="11"/>
      <c r="AB2408" s="11"/>
      <c r="AC2408" s="105"/>
      <c r="AD2408" s="11" t="b">
        <v>0</v>
      </c>
      <c r="AE2408" s="105"/>
      <c r="AF2408" s="11"/>
      <c r="AG2408" s="11"/>
      <c r="AH2408" s="11"/>
      <c r="AI2408" s="11"/>
    </row>
    <row r="2409" ht="12.5" spans="3:35">
      <c r="C2409" s="19"/>
      <c r="D2409" s="19"/>
      <c r="H2409" s="105"/>
      <c r="I2409" s="126"/>
      <c r="J2409" s="11"/>
      <c r="K2409" s="108"/>
      <c r="L2409" s="11"/>
      <c r="M2409" s="105"/>
      <c r="N2409" s="105"/>
      <c r="O2409" s="11"/>
      <c r="P2409" s="11"/>
      <c r="Q2409" s="105"/>
      <c r="R2409" s="105"/>
      <c r="S2409" s="105"/>
      <c r="T2409" s="105"/>
      <c r="U2409" s="105"/>
      <c r="V2409" s="105"/>
      <c r="W2409" s="105"/>
      <c r="X2409" s="11"/>
      <c r="Y2409" s="11"/>
      <c r="Z2409" s="105"/>
      <c r="AA2409" s="11"/>
      <c r="AB2409" s="11"/>
      <c r="AC2409" s="105"/>
      <c r="AD2409" s="11" t="b">
        <v>0</v>
      </c>
      <c r="AE2409" s="105"/>
      <c r="AF2409" s="11"/>
      <c r="AG2409" s="11"/>
      <c r="AH2409" s="11"/>
      <c r="AI2409" s="11"/>
    </row>
    <row r="2410" ht="12.5" spans="3:35">
      <c r="C2410" s="19"/>
      <c r="D2410" s="19"/>
      <c r="H2410" s="105"/>
      <c r="I2410" s="126"/>
      <c r="J2410" s="11"/>
      <c r="K2410" s="108"/>
      <c r="L2410" s="11"/>
      <c r="M2410" s="105"/>
      <c r="N2410" s="105"/>
      <c r="O2410" s="11"/>
      <c r="P2410" s="11"/>
      <c r="Q2410" s="105"/>
      <c r="R2410" s="105"/>
      <c r="S2410" s="105"/>
      <c r="T2410" s="105"/>
      <c r="U2410" s="105"/>
      <c r="V2410" s="105"/>
      <c r="W2410" s="105"/>
      <c r="X2410" s="11"/>
      <c r="Y2410" s="11"/>
      <c r="Z2410" s="105"/>
      <c r="AA2410" s="11"/>
      <c r="AB2410" s="11"/>
      <c r="AC2410" s="105"/>
      <c r="AD2410" s="11" t="b">
        <v>0</v>
      </c>
      <c r="AE2410" s="105"/>
      <c r="AF2410" s="11"/>
      <c r="AG2410" s="11"/>
      <c r="AH2410" s="11"/>
      <c r="AI2410" s="11"/>
    </row>
    <row r="2411" ht="12.5" spans="3:35">
      <c r="C2411" s="19"/>
      <c r="D2411" s="19"/>
      <c r="H2411" s="105"/>
      <c r="I2411" s="126"/>
      <c r="J2411" s="11"/>
      <c r="K2411" s="108"/>
      <c r="L2411" s="11"/>
      <c r="M2411" s="105"/>
      <c r="N2411" s="105"/>
      <c r="O2411" s="11"/>
      <c r="P2411" s="11"/>
      <c r="Q2411" s="105"/>
      <c r="R2411" s="105"/>
      <c r="S2411" s="105"/>
      <c r="T2411" s="105"/>
      <c r="U2411" s="105"/>
      <c r="V2411" s="105"/>
      <c r="W2411" s="105"/>
      <c r="X2411" s="11"/>
      <c r="Y2411" s="11"/>
      <c r="Z2411" s="105"/>
      <c r="AA2411" s="11"/>
      <c r="AB2411" s="11"/>
      <c r="AC2411" s="105"/>
      <c r="AD2411" s="11" t="b">
        <v>0</v>
      </c>
      <c r="AE2411" s="105"/>
      <c r="AF2411" s="11"/>
      <c r="AG2411" s="11"/>
      <c r="AH2411" s="11"/>
      <c r="AI2411" s="11"/>
    </row>
    <row r="2412" ht="12.5" spans="3:35">
      <c r="C2412" s="19"/>
      <c r="D2412" s="19"/>
      <c r="H2412" s="105"/>
      <c r="I2412" s="126"/>
      <c r="J2412" s="11"/>
      <c r="K2412" s="108"/>
      <c r="L2412" s="11"/>
      <c r="M2412" s="105"/>
      <c r="N2412" s="105"/>
      <c r="O2412" s="11"/>
      <c r="P2412" s="11"/>
      <c r="Q2412" s="105"/>
      <c r="R2412" s="105"/>
      <c r="S2412" s="105"/>
      <c r="T2412" s="105"/>
      <c r="U2412" s="105"/>
      <c r="V2412" s="105"/>
      <c r="W2412" s="105"/>
      <c r="X2412" s="11"/>
      <c r="Y2412" s="11"/>
      <c r="Z2412" s="105"/>
      <c r="AA2412" s="11"/>
      <c r="AB2412" s="11"/>
      <c r="AC2412" s="105"/>
      <c r="AD2412" s="11" t="b">
        <v>0</v>
      </c>
      <c r="AE2412" s="105"/>
      <c r="AF2412" s="11"/>
      <c r="AG2412" s="11"/>
      <c r="AH2412" s="11"/>
      <c r="AI2412" s="11"/>
    </row>
    <row r="2413" ht="12.5" spans="3:35">
      <c r="C2413" s="19"/>
      <c r="D2413" s="19"/>
      <c r="H2413" s="105"/>
      <c r="I2413" s="126"/>
      <c r="J2413" s="11"/>
      <c r="K2413" s="108"/>
      <c r="L2413" s="11"/>
      <c r="M2413" s="105"/>
      <c r="N2413" s="105"/>
      <c r="O2413" s="11"/>
      <c r="P2413" s="11"/>
      <c r="Q2413" s="105"/>
      <c r="R2413" s="105"/>
      <c r="S2413" s="105"/>
      <c r="T2413" s="105"/>
      <c r="U2413" s="105"/>
      <c r="V2413" s="105"/>
      <c r="W2413" s="105"/>
      <c r="X2413" s="11"/>
      <c r="Y2413" s="11"/>
      <c r="Z2413" s="105"/>
      <c r="AA2413" s="11"/>
      <c r="AB2413" s="11"/>
      <c r="AC2413" s="105"/>
      <c r="AD2413" s="11" t="b">
        <v>0</v>
      </c>
      <c r="AE2413" s="105"/>
      <c r="AF2413" s="11"/>
      <c r="AG2413" s="11"/>
      <c r="AH2413" s="11"/>
      <c r="AI2413" s="11"/>
    </row>
    <row r="2414" ht="12.5" spans="3:35">
      <c r="C2414" s="19"/>
      <c r="D2414" s="19"/>
      <c r="H2414" s="105"/>
      <c r="I2414" s="126"/>
      <c r="J2414" s="11"/>
      <c r="K2414" s="108"/>
      <c r="L2414" s="11"/>
      <c r="M2414" s="105"/>
      <c r="N2414" s="105"/>
      <c r="O2414" s="11"/>
      <c r="P2414" s="11"/>
      <c r="Q2414" s="105"/>
      <c r="R2414" s="105"/>
      <c r="S2414" s="105"/>
      <c r="T2414" s="105"/>
      <c r="U2414" s="105"/>
      <c r="V2414" s="105"/>
      <c r="W2414" s="105"/>
      <c r="X2414" s="11"/>
      <c r="Y2414" s="11"/>
      <c r="Z2414" s="105"/>
      <c r="AA2414" s="11"/>
      <c r="AB2414" s="11"/>
      <c r="AC2414" s="105"/>
      <c r="AD2414" s="11" t="b">
        <v>0</v>
      </c>
      <c r="AE2414" s="105"/>
      <c r="AF2414" s="11"/>
      <c r="AG2414" s="11"/>
      <c r="AH2414" s="11"/>
      <c r="AI2414" s="11"/>
    </row>
    <row r="2415" ht="12.5" spans="3:35">
      <c r="C2415" s="19"/>
      <c r="D2415" s="19"/>
      <c r="H2415" s="105"/>
      <c r="I2415" s="126"/>
      <c r="J2415" s="11"/>
      <c r="K2415" s="108"/>
      <c r="L2415" s="11"/>
      <c r="M2415" s="105"/>
      <c r="N2415" s="105"/>
      <c r="O2415" s="11"/>
      <c r="P2415" s="11"/>
      <c r="Q2415" s="105"/>
      <c r="R2415" s="105"/>
      <c r="S2415" s="105"/>
      <c r="T2415" s="105"/>
      <c r="U2415" s="105"/>
      <c r="V2415" s="105"/>
      <c r="W2415" s="105"/>
      <c r="X2415" s="11"/>
      <c r="Y2415" s="11"/>
      <c r="Z2415" s="105"/>
      <c r="AA2415" s="11"/>
      <c r="AB2415" s="11"/>
      <c r="AC2415" s="105"/>
      <c r="AD2415" s="11" t="b">
        <v>0</v>
      </c>
      <c r="AE2415" s="105"/>
      <c r="AF2415" s="11"/>
      <c r="AG2415" s="11"/>
      <c r="AH2415" s="11"/>
      <c r="AI2415" s="11"/>
    </row>
    <row r="2416" ht="12.5" spans="3:35">
      <c r="C2416" s="19"/>
      <c r="D2416" s="19"/>
      <c r="H2416" s="105"/>
      <c r="I2416" s="126"/>
      <c r="J2416" s="11"/>
      <c r="K2416" s="108"/>
      <c r="L2416" s="11"/>
      <c r="M2416" s="105"/>
      <c r="N2416" s="105"/>
      <c r="O2416" s="11"/>
      <c r="P2416" s="11"/>
      <c r="Q2416" s="105"/>
      <c r="R2416" s="105"/>
      <c r="S2416" s="105"/>
      <c r="T2416" s="105"/>
      <c r="U2416" s="105"/>
      <c r="V2416" s="105"/>
      <c r="W2416" s="105"/>
      <c r="X2416" s="11"/>
      <c r="Y2416" s="11"/>
      <c r="Z2416" s="105"/>
      <c r="AA2416" s="11"/>
      <c r="AB2416" s="11"/>
      <c r="AC2416" s="105"/>
      <c r="AD2416" s="11" t="b">
        <v>0</v>
      </c>
      <c r="AE2416" s="105"/>
      <c r="AF2416" s="11"/>
      <c r="AG2416" s="11"/>
      <c r="AH2416" s="11"/>
      <c r="AI2416" s="11"/>
    </row>
    <row r="2417" ht="12.5" spans="3:35">
      <c r="C2417" s="19"/>
      <c r="D2417" s="19"/>
      <c r="H2417" s="105"/>
      <c r="I2417" s="126"/>
      <c r="J2417" s="11"/>
      <c r="K2417" s="108"/>
      <c r="L2417" s="11"/>
      <c r="M2417" s="105"/>
      <c r="N2417" s="105"/>
      <c r="O2417" s="11"/>
      <c r="P2417" s="11"/>
      <c r="Q2417" s="105"/>
      <c r="R2417" s="105"/>
      <c r="S2417" s="105"/>
      <c r="T2417" s="105"/>
      <c r="U2417" s="105"/>
      <c r="V2417" s="105"/>
      <c r="W2417" s="105"/>
      <c r="X2417" s="11"/>
      <c r="Y2417" s="11"/>
      <c r="Z2417" s="105"/>
      <c r="AA2417" s="11"/>
      <c r="AB2417" s="11"/>
      <c r="AC2417" s="105"/>
      <c r="AD2417" s="11" t="b">
        <v>0</v>
      </c>
      <c r="AE2417" s="105"/>
      <c r="AF2417" s="11"/>
      <c r="AG2417" s="11"/>
      <c r="AH2417" s="11"/>
      <c r="AI2417" s="11"/>
    </row>
    <row r="2418" ht="12.5" spans="3:35">
      <c r="C2418" s="19"/>
      <c r="D2418" s="19"/>
      <c r="H2418" s="105"/>
      <c r="I2418" s="126"/>
      <c r="J2418" s="11"/>
      <c r="K2418" s="108"/>
      <c r="L2418" s="11"/>
      <c r="M2418" s="105"/>
      <c r="N2418" s="105"/>
      <c r="O2418" s="11"/>
      <c r="P2418" s="11"/>
      <c r="Q2418" s="105"/>
      <c r="R2418" s="105"/>
      <c r="S2418" s="105"/>
      <c r="T2418" s="105"/>
      <c r="U2418" s="105"/>
      <c r="V2418" s="105"/>
      <c r="W2418" s="105"/>
      <c r="X2418" s="11"/>
      <c r="Y2418" s="11"/>
      <c r="Z2418" s="105"/>
      <c r="AA2418" s="11"/>
      <c r="AB2418" s="11"/>
      <c r="AC2418" s="105"/>
      <c r="AD2418" s="11" t="b">
        <v>0</v>
      </c>
      <c r="AE2418" s="105"/>
      <c r="AF2418" s="11"/>
      <c r="AG2418" s="11"/>
      <c r="AH2418" s="11"/>
      <c r="AI2418" s="11"/>
    </row>
    <row r="2419" ht="12.5" spans="3:35">
      <c r="C2419" s="19"/>
      <c r="D2419" s="19"/>
      <c r="H2419" s="105"/>
      <c r="I2419" s="126"/>
      <c r="J2419" s="11"/>
      <c r="K2419" s="108"/>
      <c r="L2419" s="11"/>
      <c r="M2419" s="105"/>
      <c r="N2419" s="105"/>
      <c r="O2419" s="11"/>
      <c r="P2419" s="11"/>
      <c r="Q2419" s="105"/>
      <c r="R2419" s="105"/>
      <c r="S2419" s="105"/>
      <c r="T2419" s="105"/>
      <c r="U2419" s="105"/>
      <c r="V2419" s="105"/>
      <c r="W2419" s="105"/>
      <c r="X2419" s="11"/>
      <c r="Y2419" s="11"/>
      <c r="Z2419" s="105"/>
      <c r="AA2419" s="11"/>
      <c r="AB2419" s="11"/>
      <c r="AC2419" s="105"/>
      <c r="AD2419" s="11" t="b">
        <v>0</v>
      </c>
      <c r="AE2419" s="105"/>
      <c r="AF2419" s="11"/>
      <c r="AG2419" s="11"/>
      <c r="AH2419" s="11"/>
      <c r="AI2419" s="11"/>
    </row>
    <row r="2420" ht="12.5" spans="3:35">
      <c r="C2420" s="19"/>
      <c r="D2420" s="19"/>
      <c r="H2420" s="105"/>
      <c r="I2420" s="126"/>
      <c r="J2420" s="11"/>
      <c r="K2420" s="108"/>
      <c r="L2420" s="11"/>
      <c r="M2420" s="105"/>
      <c r="N2420" s="105"/>
      <c r="O2420" s="11"/>
      <c r="P2420" s="11"/>
      <c r="Q2420" s="105"/>
      <c r="R2420" s="105"/>
      <c r="S2420" s="105"/>
      <c r="T2420" s="105"/>
      <c r="U2420" s="105"/>
      <c r="V2420" s="105"/>
      <c r="W2420" s="105"/>
      <c r="X2420" s="11"/>
      <c r="Y2420" s="11"/>
      <c r="Z2420" s="105"/>
      <c r="AA2420" s="11"/>
      <c r="AB2420" s="11"/>
      <c r="AC2420" s="105"/>
      <c r="AD2420" s="11" t="b">
        <v>0</v>
      </c>
      <c r="AE2420" s="105"/>
      <c r="AF2420" s="11"/>
      <c r="AG2420" s="11"/>
      <c r="AH2420" s="11"/>
      <c r="AI2420" s="11"/>
    </row>
    <row r="2421" ht="12.5" spans="3:35">
      <c r="C2421" s="19"/>
      <c r="D2421" s="19"/>
      <c r="H2421" s="105"/>
      <c r="I2421" s="126"/>
      <c r="J2421" s="11"/>
      <c r="K2421" s="108"/>
      <c r="L2421" s="11"/>
      <c r="M2421" s="105"/>
      <c r="N2421" s="105"/>
      <c r="O2421" s="11"/>
      <c r="P2421" s="11"/>
      <c r="Q2421" s="105"/>
      <c r="R2421" s="105"/>
      <c r="S2421" s="105"/>
      <c r="T2421" s="105"/>
      <c r="U2421" s="105"/>
      <c r="V2421" s="105"/>
      <c r="W2421" s="105"/>
      <c r="X2421" s="11"/>
      <c r="Y2421" s="11"/>
      <c r="Z2421" s="105"/>
      <c r="AA2421" s="11"/>
      <c r="AB2421" s="11"/>
      <c r="AC2421" s="105"/>
      <c r="AD2421" s="11" t="b">
        <v>0</v>
      </c>
      <c r="AE2421" s="105"/>
      <c r="AF2421" s="11"/>
      <c r="AG2421" s="11"/>
      <c r="AH2421" s="11"/>
      <c r="AI2421" s="11"/>
    </row>
    <row r="2422" ht="12.5" spans="3:35">
      <c r="C2422" s="19"/>
      <c r="D2422" s="19"/>
      <c r="H2422" s="105"/>
      <c r="I2422" s="126"/>
      <c r="J2422" s="11"/>
      <c r="K2422" s="108"/>
      <c r="L2422" s="11"/>
      <c r="M2422" s="105"/>
      <c r="N2422" s="105"/>
      <c r="O2422" s="11"/>
      <c r="P2422" s="11"/>
      <c r="Q2422" s="105"/>
      <c r="R2422" s="105"/>
      <c r="S2422" s="105"/>
      <c r="T2422" s="105"/>
      <c r="U2422" s="105"/>
      <c r="V2422" s="105"/>
      <c r="W2422" s="105"/>
      <c r="X2422" s="11"/>
      <c r="Y2422" s="11"/>
      <c r="Z2422" s="105"/>
      <c r="AA2422" s="11"/>
      <c r="AB2422" s="11"/>
      <c r="AC2422" s="105"/>
      <c r="AD2422" s="11" t="b">
        <v>0</v>
      </c>
      <c r="AE2422" s="105"/>
      <c r="AF2422" s="11"/>
      <c r="AG2422" s="11"/>
      <c r="AH2422" s="11"/>
      <c r="AI2422" s="11"/>
    </row>
    <row r="2423" ht="12.5" spans="3:35">
      <c r="C2423" s="19"/>
      <c r="D2423" s="19"/>
      <c r="H2423" s="105"/>
      <c r="I2423" s="126"/>
      <c r="J2423" s="11"/>
      <c r="K2423" s="108"/>
      <c r="L2423" s="11"/>
      <c r="M2423" s="105"/>
      <c r="N2423" s="105"/>
      <c r="O2423" s="11"/>
      <c r="P2423" s="11"/>
      <c r="Q2423" s="105"/>
      <c r="R2423" s="105"/>
      <c r="S2423" s="105"/>
      <c r="T2423" s="105"/>
      <c r="U2423" s="105"/>
      <c r="V2423" s="105"/>
      <c r="W2423" s="105"/>
      <c r="X2423" s="11"/>
      <c r="Y2423" s="11"/>
      <c r="Z2423" s="105"/>
      <c r="AA2423" s="11"/>
      <c r="AB2423" s="11"/>
      <c r="AC2423" s="105"/>
      <c r="AD2423" s="11" t="b">
        <v>0</v>
      </c>
      <c r="AE2423" s="105"/>
      <c r="AF2423" s="11"/>
      <c r="AG2423" s="11"/>
      <c r="AH2423" s="11"/>
      <c r="AI2423" s="11"/>
    </row>
    <row r="2424" ht="12.5" spans="3:35">
      <c r="C2424" s="19"/>
      <c r="D2424" s="19"/>
      <c r="H2424" s="105"/>
      <c r="I2424" s="126"/>
      <c r="J2424" s="11"/>
      <c r="K2424" s="108"/>
      <c r="L2424" s="11"/>
      <c r="M2424" s="105"/>
      <c r="N2424" s="105"/>
      <c r="O2424" s="11"/>
      <c r="P2424" s="11"/>
      <c r="Q2424" s="105"/>
      <c r="R2424" s="105"/>
      <c r="S2424" s="105"/>
      <c r="T2424" s="105"/>
      <c r="U2424" s="105"/>
      <c r="V2424" s="105"/>
      <c r="W2424" s="105"/>
      <c r="X2424" s="11"/>
      <c r="Y2424" s="11"/>
      <c r="Z2424" s="105"/>
      <c r="AA2424" s="11"/>
      <c r="AB2424" s="11"/>
      <c r="AC2424" s="105"/>
      <c r="AD2424" s="11" t="b">
        <v>0</v>
      </c>
      <c r="AE2424" s="105"/>
      <c r="AF2424" s="11"/>
      <c r="AG2424" s="11"/>
      <c r="AH2424" s="11"/>
      <c r="AI2424" s="11"/>
    </row>
    <row r="2425" ht="12.5" spans="3:35">
      <c r="C2425" s="19"/>
      <c r="D2425" s="19"/>
      <c r="H2425" s="105"/>
      <c r="I2425" s="126"/>
      <c r="J2425" s="11"/>
      <c r="K2425" s="108"/>
      <c r="L2425" s="11"/>
      <c r="M2425" s="105"/>
      <c r="N2425" s="105"/>
      <c r="O2425" s="11"/>
      <c r="P2425" s="11"/>
      <c r="Q2425" s="105"/>
      <c r="R2425" s="105"/>
      <c r="S2425" s="105"/>
      <c r="T2425" s="105"/>
      <c r="U2425" s="105"/>
      <c r="V2425" s="105"/>
      <c r="W2425" s="105"/>
      <c r="X2425" s="11"/>
      <c r="Y2425" s="11"/>
      <c r="Z2425" s="105"/>
      <c r="AA2425" s="11"/>
      <c r="AB2425" s="11"/>
      <c r="AC2425" s="105"/>
      <c r="AD2425" s="11" t="b">
        <v>0</v>
      </c>
      <c r="AE2425" s="105"/>
      <c r="AF2425" s="11"/>
      <c r="AG2425" s="11"/>
      <c r="AH2425" s="11"/>
      <c r="AI2425" s="11"/>
    </row>
    <row r="2426" ht="12.5" spans="3:35">
      <c r="C2426" s="19"/>
      <c r="D2426" s="19"/>
      <c r="H2426" s="105"/>
      <c r="I2426" s="126"/>
      <c r="J2426" s="11"/>
      <c r="K2426" s="108"/>
      <c r="L2426" s="11"/>
      <c r="M2426" s="105"/>
      <c r="N2426" s="105"/>
      <c r="O2426" s="11"/>
      <c r="P2426" s="11"/>
      <c r="Q2426" s="105"/>
      <c r="R2426" s="105"/>
      <c r="S2426" s="105"/>
      <c r="T2426" s="105"/>
      <c r="U2426" s="105"/>
      <c r="V2426" s="105"/>
      <c r="W2426" s="105"/>
      <c r="X2426" s="11"/>
      <c r="Y2426" s="11"/>
      <c r="Z2426" s="105"/>
      <c r="AA2426" s="11"/>
      <c r="AB2426" s="11"/>
      <c r="AC2426" s="105"/>
      <c r="AD2426" s="11" t="b">
        <v>0</v>
      </c>
      <c r="AE2426" s="105"/>
      <c r="AF2426" s="11"/>
      <c r="AG2426" s="11"/>
      <c r="AH2426" s="11"/>
      <c r="AI2426" s="11"/>
    </row>
    <row r="2427" ht="12.5" spans="3:35">
      <c r="C2427" s="19"/>
      <c r="D2427" s="19"/>
      <c r="H2427" s="105"/>
      <c r="I2427" s="126"/>
      <c r="J2427" s="11"/>
      <c r="K2427" s="108"/>
      <c r="L2427" s="11"/>
      <c r="M2427" s="105"/>
      <c r="N2427" s="105"/>
      <c r="O2427" s="11"/>
      <c r="P2427" s="11"/>
      <c r="Q2427" s="105"/>
      <c r="R2427" s="105"/>
      <c r="S2427" s="105"/>
      <c r="T2427" s="105"/>
      <c r="U2427" s="105"/>
      <c r="V2427" s="105"/>
      <c r="W2427" s="105"/>
      <c r="X2427" s="11"/>
      <c r="Y2427" s="11"/>
      <c r="Z2427" s="105"/>
      <c r="AA2427" s="11"/>
      <c r="AB2427" s="11"/>
      <c r="AC2427" s="105"/>
      <c r="AD2427" s="11" t="b">
        <v>0</v>
      </c>
      <c r="AE2427" s="105"/>
      <c r="AF2427" s="11"/>
      <c r="AG2427" s="11"/>
      <c r="AH2427" s="11"/>
      <c r="AI2427" s="11"/>
    </row>
    <row r="2428" ht="12.5" spans="3:35">
      <c r="C2428" s="19"/>
      <c r="D2428" s="19"/>
      <c r="H2428" s="105"/>
      <c r="I2428" s="126"/>
      <c r="J2428" s="11"/>
      <c r="K2428" s="108"/>
      <c r="L2428" s="11"/>
      <c r="M2428" s="105"/>
      <c r="N2428" s="105"/>
      <c r="O2428" s="11"/>
      <c r="P2428" s="11"/>
      <c r="Q2428" s="105"/>
      <c r="R2428" s="105"/>
      <c r="S2428" s="105"/>
      <c r="T2428" s="105"/>
      <c r="U2428" s="105"/>
      <c r="V2428" s="105"/>
      <c r="W2428" s="105"/>
      <c r="X2428" s="11"/>
      <c r="Y2428" s="11"/>
      <c r="Z2428" s="105"/>
      <c r="AA2428" s="11"/>
      <c r="AB2428" s="11"/>
      <c r="AC2428" s="105"/>
      <c r="AD2428" s="11" t="b">
        <v>0</v>
      </c>
      <c r="AE2428" s="105"/>
      <c r="AF2428" s="11"/>
      <c r="AG2428" s="11"/>
      <c r="AH2428" s="11"/>
      <c r="AI2428" s="11"/>
    </row>
    <row r="2429" ht="12.5" spans="3:35">
      <c r="C2429" s="19"/>
      <c r="D2429" s="19"/>
      <c r="H2429" s="105"/>
      <c r="I2429" s="126"/>
      <c r="J2429" s="11"/>
      <c r="K2429" s="108"/>
      <c r="L2429" s="11"/>
      <c r="M2429" s="105"/>
      <c r="N2429" s="105"/>
      <c r="O2429" s="11"/>
      <c r="P2429" s="11"/>
      <c r="Q2429" s="105"/>
      <c r="R2429" s="105"/>
      <c r="S2429" s="105"/>
      <c r="T2429" s="105"/>
      <c r="U2429" s="105"/>
      <c r="V2429" s="105"/>
      <c r="W2429" s="105"/>
      <c r="X2429" s="11"/>
      <c r="Y2429" s="11"/>
      <c r="Z2429" s="105"/>
      <c r="AA2429" s="11"/>
      <c r="AB2429" s="11"/>
      <c r="AC2429" s="105"/>
      <c r="AD2429" s="11" t="b">
        <v>0</v>
      </c>
      <c r="AE2429" s="105"/>
      <c r="AF2429" s="11"/>
      <c r="AG2429" s="11"/>
      <c r="AH2429" s="11"/>
      <c r="AI2429" s="11"/>
    </row>
    <row r="2430" ht="12.5" spans="3:35">
      <c r="C2430" s="19"/>
      <c r="D2430" s="19"/>
      <c r="H2430" s="105"/>
      <c r="I2430" s="126"/>
      <c r="J2430" s="11"/>
      <c r="K2430" s="108"/>
      <c r="L2430" s="11"/>
      <c r="M2430" s="105"/>
      <c r="N2430" s="105"/>
      <c r="O2430" s="11"/>
      <c r="P2430" s="11"/>
      <c r="Q2430" s="105"/>
      <c r="R2430" s="105"/>
      <c r="S2430" s="105"/>
      <c r="T2430" s="105"/>
      <c r="U2430" s="105"/>
      <c r="V2430" s="105"/>
      <c r="W2430" s="105"/>
      <c r="X2430" s="11"/>
      <c r="Y2430" s="11"/>
      <c r="Z2430" s="105"/>
      <c r="AA2430" s="11"/>
      <c r="AB2430" s="11"/>
      <c r="AC2430" s="105"/>
      <c r="AD2430" s="11" t="b">
        <v>0</v>
      </c>
      <c r="AE2430" s="105"/>
      <c r="AF2430" s="11"/>
      <c r="AG2430" s="11"/>
      <c r="AH2430" s="11"/>
      <c r="AI2430" s="11"/>
    </row>
    <row r="2431" ht="12.5" spans="3:35">
      <c r="C2431" s="19"/>
      <c r="D2431" s="19"/>
      <c r="H2431" s="105"/>
      <c r="I2431" s="126"/>
      <c r="J2431" s="11"/>
      <c r="K2431" s="108"/>
      <c r="L2431" s="11"/>
      <c r="M2431" s="105"/>
      <c r="N2431" s="105"/>
      <c r="O2431" s="11"/>
      <c r="P2431" s="11"/>
      <c r="Q2431" s="105"/>
      <c r="R2431" s="105"/>
      <c r="S2431" s="105"/>
      <c r="T2431" s="105"/>
      <c r="U2431" s="105"/>
      <c r="V2431" s="105"/>
      <c r="W2431" s="105"/>
      <c r="X2431" s="11"/>
      <c r="Y2431" s="11"/>
      <c r="Z2431" s="105"/>
      <c r="AA2431" s="11"/>
      <c r="AB2431" s="11"/>
      <c r="AC2431" s="105"/>
      <c r="AD2431" s="11" t="b">
        <v>0</v>
      </c>
      <c r="AE2431" s="105"/>
      <c r="AF2431" s="11"/>
      <c r="AG2431" s="11"/>
      <c r="AH2431" s="11"/>
      <c r="AI2431" s="11"/>
    </row>
    <row r="2432" ht="12.5" spans="3:35">
      <c r="C2432" s="19"/>
      <c r="D2432" s="19"/>
      <c r="H2432" s="105"/>
      <c r="I2432" s="126"/>
      <c r="J2432" s="11"/>
      <c r="K2432" s="108"/>
      <c r="L2432" s="11"/>
      <c r="M2432" s="105"/>
      <c r="N2432" s="105"/>
      <c r="O2432" s="11"/>
      <c r="P2432" s="11"/>
      <c r="Q2432" s="105"/>
      <c r="R2432" s="105"/>
      <c r="S2432" s="105"/>
      <c r="T2432" s="105"/>
      <c r="U2432" s="105"/>
      <c r="V2432" s="105"/>
      <c r="W2432" s="105"/>
      <c r="X2432" s="11"/>
      <c r="Y2432" s="11"/>
      <c r="Z2432" s="105"/>
      <c r="AA2432" s="11"/>
      <c r="AB2432" s="11"/>
      <c r="AC2432" s="105"/>
      <c r="AD2432" s="11" t="b">
        <v>0</v>
      </c>
      <c r="AE2432" s="105"/>
      <c r="AF2432" s="11"/>
      <c r="AG2432" s="11"/>
      <c r="AH2432" s="11"/>
      <c r="AI2432" s="11"/>
    </row>
    <row r="2433" ht="12.5" spans="3:35">
      <c r="C2433" s="19"/>
      <c r="D2433" s="19"/>
      <c r="H2433" s="105"/>
      <c r="I2433" s="126"/>
      <c r="J2433" s="11"/>
      <c r="K2433" s="108"/>
      <c r="L2433" s="11"/>
      <c r="M2433" s="105"/>
      <c r="N2433" s="105"/>
      <c r="O2433" s="11"/>
      <c r="P2433" s="11"/>
      <c r="Q2433" s="105"/>
      <c r="R2433" s="105"/>
      <c r="S2433" s="105"/>
      <c r="T2433" s="105"/>
      <c r="U2433" s="105"/>
      <c r="V2433" s="105"/>
      <c r="W2433" s="105"/>
      <c r="X2433" s="11"/>
      <c r="Y2433" s="11"/>
      <c r="Z2433" s="105"/>
      <c r="AA2433" s="11"/>
      <c r="AB2433" s="11"/>
      <c r="AC2433" s="105"/>
      <c r="AD2433" s="11" t="b">
        <v>0</v>
      </c>
      <c r="AE2433" s="105"/>
      <c r="AF2433" s="11"/>
      <c r="AG2433" s="11"/>
      <c r="AH2433" s="11"/>
      <c r="AI2433" s="11"/>
    </row>
    <row r="2434" ht="12.5" spans="3:35">
      <c r="C2434" s="19"/>
      <c r="D2434" s="19"/>
      <c r="H2434" s="105"/>
      <c r="I2434" s="126"/>
      <c r="J2434" s="11"/>
      <c r="K2434" s="108"/>
      <c r="L2434" s="11"/>
      <c r="M2434" s="105"/>
      <c r="N2434" s="105"/>
      <c r="O2434" s="11"/>
      <c r="P2434" s="11"/>
      <c r="Q2434" s="105"/>
      <c r="R2434" s="105"/>
      <c r="S2434" s="105"/>
      <c r="T2434" s="105"/>
      <c r="U2434" s="105"/>
      <c r="V2434" s="105"/>
      <c r="W2434" s="105"/>
      <c r="X2434" s="11"/>
      <c r="Y2434" s="11"/>
      <c r="Z2434" s="105"/>
      <c r="AA2434" s="11"/>
      <c r="AB2434" s="11"/>
      <c r="AC2434" s="105"/>
      <c r="AD2434" s="11" t="b">
        <v>0</v>
      </c>
      <c r="AE2434" s="105"/>
      <c r="AF2434" s="11"/>
      <c r="AG2434" s="11"/>
      <c r="AH2434" s="11"/>
      <c r="AI2434" s="11"/>
    </row>
    <row r="2435" ht="12.5" spans="3:35">
      <c r="C2435" s="19"/>
      <c r="D2435" s="19"/>
      <c r="H2435" s="105"/>
      <c r="I2435" s="126"/>
      <c r="J2435" s="11"/>
      <c r="K2435" s="108"/>
      <c r="L2435" s="11"/>
      <c r="M2435" s="105"/>
      <c r="N2435" s="105"/>
      <c r="O2435" s="11"/>
      <c r="P2435" s="11"/>
      <c r="Q2435" s="105"/>
      <c r="R2435" s="105"/>
      <c r="S2435" s="105"/>
      <c r="T2435" s="105"/>
      <c r="U2435" s="105"/>
      <c r="V2435" s="105"/>
      <c r="W2435" s="105"/>
      <c r="X2435" s="11"/>
      <c r="Y2435" s="11"/>
      <c r="Z2435" s="105"/>
      <c r="AA2435" s="11"/>
      <c r="AB2435" s="11"/>
      <c r="AC2435" s="105"/>
      <c r="AD2435" s="11" t="b">
        <v>0</v>
      </c>
      <c r="AE2435" s="105"/>
      <c r="AF2435" s="11"/>
      <c r="AG2435" s="11"/>
      <c r="AH2435" s="11"/>
      <c r="AI2435" s="11"/>
    </row>
    <row r="2436" ht="12.5" spans="3:35">
      <c r="C2436" s="19"/>
      <c r="D2436" s="19"/>
      <c r="H2436" s="105"/>
      <c r="I2436" s="126"/>
      <c r="J2436" s="11"/>
      <c r="K2436" s="108"/>
      <c r="L2436" s="11"/>
      <c r="M2436" s="105"/>
      <c r="N2436" s="105"/>
      <c r="O2436" s="11"/>
      <c r="P2436" s="11"/>
      <c r="Q2436" s="105"/>
      <c r="R2436" s="105"/>
      <c r="S2436" s="105"/>
      <c r="T2436" s="105"/>
      <c r="U2436" s="105"/>
      <c r="V2436" s="105"/>
      <c r="W2436" s="105"/>
      <c r="X2436" s="11"/>
      <c r="Y2436" s="11"/>
      <c r="Z2436" s="105"/>
      <c r="AA2436" s="11"/>
      <c r="AB2436" s="11"/>
      <c r="AC2436" s="105"/>
      <c r="AD2436" s="11" t="b">
        <v>0</v>
      </c>
      <c r="AE2436" s="105"/>
      <c r="AF2436" s="11"/>
      <c r="AG2436" s="11"/>
      <c r="AH2436" s="11"/>
      <c r="AI2436" s="11"/>
    </row>
    <row r="2437" ht="12.5" spans="3:35">
      <c r="C2437" s="19"/>
      <c r="D2437" s="19"/>
      <c r="H2437" s="105"/>
      <c r="I2437" s="126"/>
      <c r="J2437" s="11"/>
      <c r="K2437" s="108"/>
      <c r="L2437" s="11"/>
      <c r="M2437" s="105"/>
      <c r="N2437" s="105"/>
      <c r="O2437" s="11"/>
      <c r="P2437" s="11"/>
      <c r="Q2437" s="105"/>
      <c r="R2437" s="105"/>
      <c r="S2437" s="105"/>
      <c r="T2437" s="105"/>
      <c r="U2437" s="105"/>
      <c r="V2437" s="105"/>
      <c r="W2437" s="105"/>
      <c r="X2437" s="11"/>
      <c r="Y2437" s="11"/>
      <c r="Z2437" s="105"/>
      <c r="AA2437" s="11"/>
      <c r="AB2437" s="11"/>
      <c r="AC2437" s="105"/>
      <c r="AD2437" s="11" t="b">
        <v>0</v>
      </c>
      <c r="AE2437" s="105"/>
      <c r="AF2437" s="11"/>
      <c r="AG2437" s="11"/>
      <c r="AH2437" s="11"/>
      <c r="AI2437" s="11"/>
    </row>
    <row r="2438" ht="12.5" spans="3:35">
      <c r="C2438" s="19"/>
      <c r="D2438" s="19"/>
      <c r="H2438" s="105"/>
      <c r="I2438" s="126"/>
      <c r="J2438" s="11"/>
      <c r="K2438" s="108"/>
      <c r="L2438" s="11"/>
      <c r="M2438" s="105"/>
      <c r="N2438" s="105"/>
      <c r="O2438" s="11"/>
      <c r="P2438" s="11"/>
      <c r="Q2438" s="105"/>
      <c r="R2438" s="105"/>
      <c r="S2438" s="105"/>
      <c r="T2438" s="105"/>
      <c r="U2438" s="105"/>
      <c r="V2438" s="105"/>
      <c r="W2438" s="105"/>
      <c r="X2438" s="11"/>
      <c r="Y2438" s="11"/>
      <c r="Z2438" s="105"/>
      <c r="AA2438" s="11"/>
      <c r="AB2438" s="11"/>
      <c r="AC2438" s="105"/>
      <c r="AD2438" s="11" t="b">
        <v>0</v>
      </c>
      <c r="AE2438" s="105"/>
      <c r="AF2438" s="11"/>
      <c r="AG2438" s="11"/>
      <c r="AH2438" s="11"/>
      <c r="AI2438" s="11"/>
    </row>
    <row r="2439" ht="12.5" spans="3:35">
      <c r="C2439" s="19"/>
      <c r="D2439" s="19"/>
      <c r="H2439" s="105"/>
      <c r="I2439" s="126"/>
      <c r="J2439" s="11"/>
      <c r="K2439" s="108"/>
      <c r="L2439" s="11"/>
      <c r="M2439" s="105"/>
      <c r="N2439" s="105"/>
      <c r="O2439" s="11"/>
      <c r="P2439" s="11"/>
      <c r="Q2439" s="105"/>
      <c r="R2439" s="105"/>
      <c r="S2439" s="105"/>
      <c r="T2439" s="105"/>
      <c r="U2439" s="105"/>
      <c r="V2439" s="105"/>
      <c r="W2439" s="105"/>
      <c r="X2439" s="11"/>
      <c r="Y2439" s="11"/>
      <c r="Z2439" s="105"/>
      <c r="AA2439" s="11"/>
      <c r="AB2439" s="11"/>
      <c r="AC2439" s="105"/>
      <c r="AD2439" s="11" t="b">
        <v>0</v>
      </c>
      <c r="AE2439" s="105"/>
      <c r="AF2439" s="11"/>
      <c r="AG2439" s="11"/>
      <c r="AH2439" s="11"/>
      <c r="AI2439" s="11"/>
    </row>
    <row r="2440" ht="12.5" spans="3:35">
      <c r="C2440" s="19"/>
      <c r="D2440" s="19"/>
      <c r="H2440" s="105"/>
      <c r="I2440" s="126"/>
      <c r="J2440" s="11"/>
      <c r="K2440" s="108"/>
      <c r="L2440" s="11"/>
      <c r="M2440" s="105"/>
      <c r="N2440" s="105"/>
      <c r="O2440" s="11"/>
      <c r="P2440" s="11"/>
      <c r="Q2440" s="105"/>
      <c r="R2440" s="105"/>
      <c r="S2440" s="105"/>
      <c r="T2440" s="105"/>
      <c r="U2440" s="105"/>
      <c r="V2440" s="105"/>
      <c r="W2440" s="105"/>
      <c r="X2440" s="11"/>
      <c r="Y2440" s="11"/>
      <c r="Z2440" s="105"/>
      <c r="AA2440" s="11"/>
      <c r="AB2440" s="11"/>
      <c r="AC2440" s="105"/>
      <c r="AD2440" s="11" t="b">
        <v>0</v>
      </c>
      <c r="AE2440" s="105"/>
      <c r="AF2440" s="11"/>
      <c r="AG2440" s="11"/>
      <c r="AH2440" s="11"/>
      <c r="AI2440" s="11"/>
    </row>
    <row r="2441" ht="12.5" spans="3:35">
      <c r="C2441" s="19"/>
      <c r="D2441" s="19"/>
      <c r="H2441" s="105"/>
      <c r="I2441" s="126"/>
      <c r="J2441" s="11"/>
      <c r="K2441" s="108"/>
      <c r="L2441" s="11"/>
      <c r="M2441" s="105"/>
      <c r="N2441" s="105"/>
      <c r="O2441" s="11"/>
      <c r="P2441" s="11"/>
      <c r="Q2441" s="105"/>
      <c r="R2441" s="105"/>
      <c r="S2441" s="105"/>
      <c r="T2441" s="105"/>
      <c r="U2441" s="105"/>
      <c r="V2441" s="105"/>
      <c r="W2441" s="105"/>
      <c r="X2441" s="11"/>
      <c r="Y2441" s="11"/>
      <c r="Z2441" s="105"/>
      <c r="AA2441" s="11"/>
      <c r="AB2441" s="11"/>
      <c r="AC2441" s="105"/>
      <c r="AD2441" s="11" t="b">
        <v>0</v>
      </c>
      <c r="AE2441" s="105"/>
      <c r="AF2441" s="11"/>
      <c r="AG2441" s="11"/>
      <c r="AH2441" s="11"/>
      <c r="AI2441" s="11"/>
    </row>
    <row r="2442" ht="12.5" spans="3:35">
      <c r="C2442" s="19"/>
      <c r="D2442" s="19"/>
      <c r="H2442" s="105"/>
      <c r="I2442" s="126"/>
      <c r="J2442" s="11"/>
      <c r="K2442" s="108"/>
      <c r="L2442" s="11"/>
      <c r="M2442" s="105"/>
      <c r="N2442" s="105"/>
      <c r="O2442" s="11"/>
      <c r="P2442" s="11"/>
      <c r="Q2442" s="105"/>
      <c r="R2442" s="105"/>
      <c r="S2442" s="105"/>
      <c r="T2442" s="105"/>
      <c r="U2442" s="105"/>
      <c r="V2442" s="105"/>
      <c r="W2442" s="105"/>
      <c r="X2442" s="11"/>
      <c r="Y2442" s="11"/>
      <c r="Z2442" s="105"/>
      <c r="AA2442" s="11"/>
      <c r="AB2442" s="11"/>
      <c r="AC2442" s="105"/>
      <c r="AD2442" s="11" t="b">
        <v>0</v>
      </c>
      <c r="AE2442" s="105"/>
      <c r="AF2442" s="11"/>
      <c r="AG2442" s="11"/>
      <c r="AH2442" s="11"/>
      <c r="AI2442" s="11"/>
    </row>
    <row r="2443" ht="12.5" spans="3:35">
      <c r="C2443" s="19"/>
      <c r="D2443" s="19"/>
      <c r="H2443" s="105"/>
      <c r="I2443" s="126"/>
      <c r="J2443" s="11"/>
      <c r="K2443" s="108"/>
      <c r="L2443" s="11"/>
      <c r="M2443" s="105"/>
      <c r="N2443" s="105"/>
      <c r="O2443" s="11"/>
      <c r="P2443" s="11"/>
      <c r="Q2443" s="105"/>
      <c r="R2443" s="105"/>
      <c r="S2443" s="105"/>
      <c r="T2443" s="105"/>
      <c r="U2443" s="105"/>
      <c r="V2443" s="105"/>
      <c r="W2443" s="105"/>
      <c r="X2443" s="11"/>
      <c r="Y2443" s="11"/>
      <c r="Z2443" s="105"/>
      <c r="AA2443" s="11"/>
      <c r="AB2443" s="11"/>
      <c r="AC2443" s="105"/>
      <c r="AD2443" s="11" t="b">
        <v>0</v>
      </c>
      <c r="AE2443" s="105"/>
      <c r="AF2443" s="11"/>
      <c r="AG2443" s="11"/>
      <c r="AH2443" s="11"/>
      <c r="AI2443" s="11"/>
    </row>
    <row r="2444" ht="12.5" spans="3:35">
      <c r="C2444" s="19"/>
      <c r="D2444" s="19"/>
      <c r="H2444" s="105"/>
      <c r="I2444" s="126"/>
      <c r="J2444" s="11"/>
      <c r="K2444" s="108"/>
      <c r="L2444" s="11"/>
      <c r="M2444" s="105"/>
      <c r="N2444" s="105"/>
      <c r="O2444" s="11"/>
      <c r="P2444" s="11"/>
      <c r="Q2444" s="105"/>
      <c r="R2444" s="105"/>
      <c r="S2444" s="105"/>
      <c r="T2444" s="105"/>
      <c r="U2444" s="105"/>
      <c r="V2444" s="105"/>
      <c r="W2444" s="105"/>
      <c r="X2444" s="11"/>
      <c r="Y2444" s="11"/>
      <c r="Z2444" s="105"/>
      <c r="AA2444" s="11"/>
      <c r="AB2444" s="11"/>
      <c r="AC2444" s="105"/>
      <c r="AD2444" s="11" t="b">
        <v>0</v>
      </c>
      <c r="AE2444" s="105"/>
      <c r="AF2444" s="11"/>
      <c r="AG2444" s="11"/>
      <c r="AH2444" s="11"/>
      <c r="AI2444" s="11"/>
    </row>
    <row r="2445" ht="12.5" spans="3:35">
      <c r="C2445" s="19"/>
      <c r="D2445" s="19"/>
      <c r="H2445" s="105"/>
      <c r="I2445" s="126"/>
      <c r="J2445" s="11"/>
      <c r="K2445" s="108"/>
      <c r="L2445" s="11"/>
      <c r="M2445" s="105"/>
      <c r="N2445" s="105"/>
      <c r="O2445" s="11"/>
      <c r="P2445" s="11"/>
      <c r="Q2445" s="105"/>
      <c r="R2445" s="105"/>
      <c r="S2445" s="105"/>
      <c r="T2445" s="105"/>
      <c r="U2445" s="105"/>
      <c r="V2445" s="105"/>
      <c r="W2445" s="105"/>
      <c r="X2445" s="11"/>
      <c r="Y2445" s="11"/>
      <c r="Z2445" s="105"/>
      <c r="AA2445" s="11"/>
      <c r="AB2445" s="11"/>
      <c r="AC2445" s="105"/>
      <c r="AD2445" s="11" t="b">
        <v>0</v>
      </c>
      <c r="AE2445" s="105"/>
      <c r="AF2445" s="11"/>
      <c r="AG2445" s="11"/>
      <c r="AH2445" s="11"/>
      <c r="AI2445" s="11"/>
    </row>
    <row r="2446" ht="12.5" spans="3:35">
      <c r="C2446" s="19"/>
      <c r="D2446" s="19"/>
      <c r="H2446" s="105"/>
      <c r="I2446" s="126"/>
      <c r="J2446" s="11"/>
      <c r="K2446" s="108"/>
      <c r="L2446" s="11"/>
      <c r="M2446" s="105"/>
      <c r="N2446" s="105"/>
      <c r="O2446" s="11"/>
      <c r="P2446" s="11"/>
      <c r="Q2446" s="105"/>
      <c r="R2446" s="105"/>
      <c r="S2446" s="105"/>
      <c r="T2446" s="105"/>
      <c r="U2446" s="105"/>
      <c r="V2446" s="105"/>
      <c r="W2446" s="105"/>
      <c r="X2446" s="11"/>
      <c r="Y2446" s="11"/>
      <c r="Z2446" s="105"/>
      <c r="AA2446" s="11"/>
      <c r="AB2446" s="11"/>
      <c r="AC2446" s="105"/>
      <c r="AD2446" s="11" t="b">
        <v>0</v>
      </c>
      <c r="AE2446" s="105"/>
      <c r="AF2446" s="11"/>
      <c r="AG2446" s="11"/>
      <c r="AH2446" s="11"/>
      <c r="AI2446" s="11"/>
    </row>
    <row r="2447" ht="12.5" spans="3:35">
      <c r="C2447" s="19"/>
      <c r="D2447" s="19"/>
      <c r="H2447" s="105"/>
      <c r="I2447" s="126"/>
      <c r="J2447" s="11"/>
      <c r="K2447" s="108"/>
      <c r="L2447" s="11"/>
      <c r="M2447" s="105"/>
      <c r="N2447" s="105"/>
      <c r="O2447" s="11"/>
      <c r="P2447" s="11"/>
      <c r="Q2447" s="105"/>
      <c r="R2447" s="105"/>
      <c r="S2447" s="105"/>
      <c r="T2447" s="105"/>
      <c r="U2447" s="105"/>
      <c r="V2447" s="105"/>
      <c r="W2447" s="105"/>
      <c r="X2447" s="11"/>
      <c r="Y2447" s="11"/>
      <c r="Z2447" s="105"/>
      <c r="AA2447" s="11"/>
      <c r="AB2447" s="11"/>
      <c r="AC2447" s="105"/>
      <c r="AD2447" s="11" t="b">
        <v>0</v>
      </c>
      <c r="AE2447" s="105"/>
      <c r="AF2447" s="11"/>
      <c r="AG2447" s="11"/>
      <c r="AH2447" s="11"/>
      <c r="AI2447" s="11"/>
    </row>
    <row r="2448" ht="12.5" spans="3:35">
      <c r="C2448" s="19"/>
      <c r="D2448" s="19"/>
      <c r="H2448" s="105"/>
      <c r="I2448" s="126"/>
      <c r="J2448" s="11"/>
      <c r="K2448" s="108"/>
      <c r="L2448" s="11"/>
      <c r="M2448" s="105"/>
      <c r="N2448" s="105"/>
      <c r="O2448" s="11"/>
      <c r="P2448" s="11"/>
      <c r="Q2448" s="105"/>
      <c r="R2448" s="105"/>
      <c r="S2448" s="105"/>
      <c r="T2448" s="105"/>
      <c r="U2448" s="105"/>
      <c r="V2448" s="105"/>
      <c r="W2448" s="105"/>
      <c r="X2448" s="11"/>
      <c r="Y2448" s="11"/>
      <c r="Z2448" s="105"/>
      <c r="AA2448" s="11"/>
      <c r="AB2448" s="11"/>
      <c r="AC2448" s="105"/>
      <c r="AD2448" s="11" t="b">
        <v>0</v>
      </c>
      <c r="AE2448" s="105"/>
      <c r="AF2448" s="11"/>
      <c r="AG2448" s="11"/>
      <c r="AH2448" s="11"/>
      <c r="AI2448" s="11"/>
    </row>
    <row r="2449" ht="12.5" spans="3:35">
      <c r="C2449" s="19"/>
      <c r="D2449" s="19"/>
      <c r="H2449" s="105"/>
      <c r="I2449" s="126"/>
      <c r="J2449" s="11"/>
      <c r="K2449" s="108"/>
      <c r="L2449" s="11"/>
      <c r="M2449" s="105"/>
      <c r="N2449" s="105"/>
      <c r="O2449" s="11"/>
      <c r="P2449" s="11"/>
      <c r="Q2449" s="105"/>
      <c r="R2449" s="105"/>
      <c r="S2449" s="105"/>
      <c r="T2449" s="105"/>
      <c r="U2449" s="105"/>
      <c r="V2449" s="105"/>
      <c r="W2449" s="105"/>
      <c r="X2449" s="11"/>
      <c r="Y2449" s="11"/>
      <c r="Z2449" s="105"/>
      <c r="AA2449" s="11"/>
      <c r="AB2449" s="11"/>
      <c r="AC2449" s="105"/>
      <c r="AD2449" s="11" t="b">
        <v>0</v>
      </c>
      <c r="AE2449" s="105"/>
      <c r="AF2449" s="11"/>
      <c r="AG2449" s="11"/>
      <c r="AH2449" s="11"/>
      <c r="AI2449" s="11"/>
    </row>
    <row r="2450" ht="12.5" spans="3:35">
      <c r="C2450" s="19"/>
      <c r="D2450" s="19"/>
      <c r="H2450" s="105"/>
      <c r="I2450" s="126"/>
      <c r="J2450" s="11"/>
      <c r="K2450" s="108"/>
      <c r="L2450" s="11"/>
      <c r="M2450" s="105"/>
      <c r="N2450" s="105"/>
      <c r="O2450" s="11"/>
      <c r="P2450" s="11"/>
      <c r="Q2450" s="105"/>
      <c r="R2450" s="105"/>
      <c r="S2450" s="105"/>
      <c r="T2450" s="105"/>
      <c r="U2450" s="105"/>
      <c r="V2450" s="105"/>
      <c r="W2450" s="105"/>
      <c r="X2450" s="11"/>
      <c r="Y2450" s="11"/>
      <c r="Z2450" s="105"/>
      <c r="AA2450" s="11"/>
      <c r="AB2450" s="11"/>
      <c r="AC2450" s="105"/>
      <c r="AD2450" s="11" t="b">
        <v>0</v>
      </c>
      <c r="AE2450" s="105"/>
      <c r="AF2450" s="11"/>
      <c r="AG2450" s="11"/>
      <c r="AH2450" s="11"/>
      <c r="AI2450" s="11"/>
    </row>
    <row r="2451" ht="12.5" spans="3:35">
      <c r="C2451" s="19"/>
      <c r="D2451" s="19"/>
      <c r="H2451" s="105"/>
      <c r="I2451" s="126"/>
      <c r="J2451" s="11"/>
      <c r="K2451" s="108"/>
      <c r="L2451" s="11"/>
      <c r="M2451" s="105"/>
      <c r="N2451" s="105"/>
      <c r="O2451" s="11"/>
      <c r="P2451" s="11"/>
      <c r="Q2451" s="105"/>
      <c r="R2451" s="105"/>
      <c r="S2451" s="105"/>
      <c r="T2451" s="105"/>
      <c r="U2451" s="105"/>
      <c r="V2451" s="105"/>
      <c r="W2451" s="105"/>
      <c r="X2451" s="11"/>
      <c r="Y2451" s="11"/>
      <c r="Z2451" s="105"/>
      <c r="AA2451" s="11"/>
      <c r="AB2451" s="11"/>
      <c r="AC2451" s="105"/>
      <c r="AD2451" s="11" t="b">
        <v>0</v>
      </c>
      <c r="AE2451" s="105"/>
      <c r="AF2451" s="11"/>
      <c r="AG2451" s="11"/>
      <c r="AH2451" s="11"/>
      <c r="AI2451" s="11"/>
    </row>
    <row r="2452" ht="12.5" spans="3:35">
      <c r="C2452" s="19"/>
      <c r="D2452" s="19"/>
      <c r="H2452" s="105"/>
      <c r="I2452" s="126"/>
      <c r="J2452" s="11"/>
      <c r="K2452" s="108"/>
      <c r="L2452" s="11"/>
      <c r="M2452" s="105"/>
      <c r="N2452" s="105"/>
      <c r="O2452" s="11"/>
      <c r="P2452" s="11"/>
      <c r="Q2452" s="105"/>
      <c r="R2452" s="105"/>
      <c r="S2452" s="105"/>
      <c r="T2452" s="105"/>
      <c r="U2452" s="105"/>
      <c r="V2452" s="105"/>
      <c r="W2452" s="105"/>
      <c r="X2452" s="11"/>
      <c r="Y2452" s="11"/>
      <c r="Z2452" s="105"/>
      <c r="AA2452" s="11"/>
      <c r="AB2452" s="11"/>
      <c r="AC2452" s="105"/>
      <c r="AD2452" s="11" t="b">
        <v>0</v>
      </c>
      <c r="AE2452" s="105"/>
      <c r="AF2452" s="11"/>
      <c r="AG2452" s="11"/>
      <c r="AH2452" s="11"/>
      <c r="AI2452" s="11"/>
    </row>
    <row r="2453" ht="12.5" spans="3:35">
      <c r="C2453" s="19"/>
      <c r="D2453" s="19"/>
      <c r="H2453" s="105"/>
      <c r="I2453" s="126"/>
      <c r="J2453" s="11"/>
      <c r="K2453" s="108"/>
      <c r="L2453" s="11"/>
      <c r="M2453" s="105"/>
      <c r="N2453" s="105"/>
      <c r="O2453" s="11"/>
      <c r="P2453" s="11"/>
      <c r="Q2453" s="105"/>
      <c r="R2453" s="105"/>
      <c r="S2453" s="105"/>
      <c r="T2453" s="105"/>
      <c r="U2453" s="105"/>
      <c r="V2453" s="105"/>
      <c r="W2453" s="105"/>
      <c r="X2453" s="11"/>
      <c r="Y2453" s="11"/>
      <c r="Z2453" s="105"/>
      <c r="AA2453" s="11"/>
      <c r="AB2453" s="11"/>
      <c r="AC2453" s="105"/>
      <c r="AD2453" s="11" t="b">
        <v>0</v>
      </c>
      <c r="AE2453" s="105"/>
      <c r="AF2453" s="11"/>
      <c r="AG2453" s="11"/>
      <c r="AH2453" s="11"/>
      <c r="AI2453" s="11"/>
    </row>
    <row r="2454" ht="12.5" spans="3:35">
      <c r="C2454" s="19"/>
      <c r="D2454" s="19"/>
      <c r="H2454" s="105"/>
      <c r="I2454" s="126"/>
      <c r="J2454" s="11"/>
      <c r="K2454" s="108"/>
      <c r="L2454" s="11"/>
      <c r="M2454" s="105"/>
      <c r="N2454" s="105"/>
      <c r="O2454" s="11"/>
      <c r="P2454" s="11"/>
      <c r="Q2454" s="105"/>
      <c r="R2454" s="105"/>
      <c r="S2454" s="105"/>
      <c r="T2454" s="105"/>
      <c r="U2454" s="105"/>
      <c r="V2454" s="105"/>
      <c r="W2454" s="105"/>
      <c r="X2454" s="11"/>
      <c r="Y2454" s="11"/>
      <c r="Z2454" s="105"/>
      <c r="AA2454" s="11"/>
      <c r="AB2454" s="11"/>
      <c r="AC2454" s="105"/>
      <c r="AD2454" s="11" t="b">
        <v>0</v>
      </c>
      <c r="AE2454" s="105"/>
      <c r="AF2454" s="11"/>
      <c r="AG2454" s="11"/>
      <c r="AH2454" s="11"/>
      <c r="AI2454" s="11"/>
    </row>
    <row r="2455" ht="12.5" spans="3:35">
      <c r="C2455" s="19"/>
      <c r="D2455" s="19"/>
      <c r="H2455" s="105"/>
      <c r="I2455" s="126"/>
      <c r="J2455" s="11"/>
      <c r="K2455" s="108"/>
      <c r="L2455" s="11"/>
      <c r="M2455" s="105"/>
      <c r="N2455" s="105"/>
      <c r="O2455" s="11"/>
      <c r="P2455" s="11"/>
      <c r="Q2455" s="105"/>
      <c r="R2455" s="105"/>
      <c r="S2455" s="105"/>
      <c r="T2455" s="105"/>
      <c r="U2455" s="105"/>
      <c r="V2455" s="105"/>
      <c r="W2455" s="105"/>
      <c r="X2455" s="11"/>
      <c r="Y2455" s="11"/>
      <c r="Z2455" s="105"/>
      <c r="AA2455" s="11"/>
      <c r="AB2455" s="11"/>
      <c r="AC2455" s="105"/>
      <c r="AD2455" s="11" t="b">
        <v>0</v>
      </c>
      <c r="AE2455" s="105"/>
      <c r="AF2455" s="11"/>
      <c r="AG2455" s="11"/>
      <c r="AH2455" s="11"/>
      <c r="AI2455" s="11"/>
    </row>
    <row r="2456" ht="12.5" spans="3:35">
      <c r="C2456" s="19"/>
      <c r="D2456" s="19"/>
      <c r="H2456" s="105"/>
      <c r="I2456" s="126"/>
      <c r="J2456" s="11"/>
      <c r="K2456" s="108"/>
      <c r="L2456" s="11"/>
      <c r="M2456" s="105"/>
      <c r="N2456" s="105"/>
      <c r="O2456" s="11"/>
      <c r="P2456" s="11"/>
      <c r="Q2456" s="105"/>
      <c r="R2456" s="105"/>
      <c r="S2456" s="105"/>
      <c r="T2456" s="105"/>
      <c r="U2456" s="105"/>
      <c r="V2456" s="105"/>
      <c r="W2456" s="105"/>
      <c r="X2456" s="11"/>
      <c r="Y2456" s="11"/>
      <c r="Z2456" s="105"/>
      <c r="AA2456" s="11"/>
      <c r="AB2456" s="11"/>
      <c r="AC2456" s="105"/>
      <c r="AD2456" s="11" t="b">
        <v>0</v>
      </c>
      <c r="AE2456" s="105"/>
      <c r="AF2456" s="11"/>
      <c r="AG2456" s="11"/>
      <c r="AH2456" s="11"/>
      <c r="AI2456" s="11"/>
    </row>
    <row r="2457" ht="12.5" spans="3:35">
      <c r="C2457" s="19"/>
      <c r="D2457" s="19"/>
      <c r="H2457" s="105"/>
      <c r="I2457" s="126"/>
      <c r="J2457" s="11"/>
      <c r="K2457" s="108"/>
      <c r="L2457" s="11"/>
      <c r="M2457" s="105"/>
      <c r="N2457" s="105"/>
      <c r="O2457" s="11"/>
      <c r="P2457" s="11"/>
      <c r="Q2457" s="105"/>
      <c r="R2457" s="105"/>
      <c r="S2457" s="105"/>
      <c r="T2457" s="105"/>
      <c r="U2457" s="105"/>
      <c r="V2457" s="105"/>
      <c r="W2457" s="105"/>
      <c r="X2457" s="11"/>
      <c r="Y2457" s="11"/>
      <c r="Z2457" s="105"/>
      <c r="AA2457" s="11"/>
      <c r="AB2457" s="11"/>
      <c r="AC2457" s="105"/>
      <c r="AD2457" s="11" t="b">
        <v>0</v>
      </c>
      <c r="AE2457" s="105"/>
      <c r="AF2457" s="11"/>
      <c r="AG2457" s="11"/>
      <c r="AH2457" s="11"/>
      <c r="AI2457" s="11"/>
    </row>
    <row r="2458" ht="12.5" spans="3:35">
      <c r="C2458" s="19"/>
      <c r="D2458" s="19"/>
      <c r="H2458" s="105"/>
      <c r="I2458" s="126"/>
      <c r="J2458" s="11"/>
      <c r="K2458" s="108"/>
      <c r="L2458" s="11"/>
      <c r="M2458" s="105"/>
      <c r="N2458" s="105"/>
      <c r="O2458" s="11"/>
      <c r="P2458" s="11"/>
      <c r="Q2458" s="105"/>
      <c r="R2458" s="105"/>
      <c r="S2458" s="105"/>
      <c r="T2458" s="105"/>
      <c r="U2458" s="105"/>
      <c r="V2458" s="105"/>
      <c r="W2458" s="105"/>
      <c r="X2458" s="11"/>
      <c r="Y2458" s="11"/>
      <c r="Z2458" s="105"/>
      <c r="AA2458" s="11"/>
      <c r="AB2458" s="11"/>
      <c r="AC2458" s="105"/>
      <c r="AD2458" s="11" t="b">
        <v>0</v>
      </c>
      <c r="AE2458" s="105"/>
      <c r="AF2458" s="11"/>
      <c r="AG2458" s="11"/>
      <c r="AH2458" s="11"/>
      <c r="AI2458" s="11"/>
    </row>
    <row r="2459" ht="12.5" spans="3:35">
      <c r="C2459" s="19"/>
      <c r="D2459" s="19"/>
      <c r="H2459" s="105"/>
      <c r="I2459" s="126"/>
      <c r="J2459" s="11"/>
      <c r="K2459" s="108"/>
      <c r="L2459" s="11"/>
      <c r="M2459" s="105"/>
      <c r="N2459" s="105"/>
      <c r="O2459" s="11"/>
      <c r="P2459" s="11"/>
      <c r="Q2459" s="105"/>
      <c r="R2459" s="105"/>
      <c r="S2459" s="105"/>
      <c r="T2459" s="105"/>
      <c r="U2459" s="105"/>
      <c r="V2459" s="105"/>
      <c r="W2459" s="105"/>
      <c r="X2459" s="11"/>
      <c r="Y2459" s="11"/>
      <c r="Z2459" s="105"/>
      <c r="AA2459" s="11"/>
      <c r="AB2459" s="11"/>
      <c r="AC2459" s="105"/>
      <c r="AD2459" s="11" t="b">
        <v>0</v>
      </c>
      <c r="AE2459" s="105"/>
      <c r="AF2459" s="11"/>
      <c r="AG2459" s="11"/>
      <c r="AH2459" s="11"/>
      <c r="AI2459" s="11"/>
    </row>
    <row r="2460" ht="12.5" spans="3:35">
      <c r="C2460" s="19"/>
      <c r="D2460" s="19"/>
      <c r="H2460" s="105"/>
      <c r="I2460" s="126"/>
      <c r="J2460" s="11"/>
      <c r="K2460" s="108"/>
      <c r="L2460" s="11"/>
      <c r="M2460" s="105"/>
      <c r="N2460" s="105"/>
      <c r="O2460" s="11"/>
      <c r="P2460" s="11"/>
      <c r="Q2460" s="105"/>
      <c r="R2460" s="105"/>
      <c r="S2460" s="105"/>
      <c r="T2460" s="105"/>
      <c r="U2460" s="105"/>
      <c r="V2460" s="105"/>
      <c r="W2460" s="105"/>
      <c r="X2460" s="11"/>
      <c r="Y2460" s="11"/>
      <c r="Z2460" s="105"/>
      <c r="AA2460" s="11"/>
      <c r="AB2460" s="11"/>
      <c r="AC2460" s="105"/>
      <c r="AD2460" s="11" t="b">
        <v>0</v>
      </c>
      <c r="AE2460" s="105"/>
      <c r="AF2460" s="11"/>
      <c r="AG2460" s="11"/>
      <c r="AH2460" s="11"/>
      <c r="AI2460" s="11"/>
    </row>
    <row r="2461" ht="12.5" spans="3:35">
      <c r="C2461" s="19"/>
      <c r="D2461" s="19"/>
      <c r="H2461" s="105"/>
      <c r="I2461" s="126"/>
      <c r="J2461" s="11"/>
      <c r="K2461" s="108"/>
      <c r="L2461" s="11"/>
      <c r="M2461" s="105"/>
      <c r="N2461" s="105"/>
      <c r="O2461" s="11"/>
      <c r="P2461" s="11"/>
      <c r="Q2461" s="105"/>
      <c r="R2461" s="105"/>
      <c r="S2461" s="105"/>
      <c r="T2461" s="105"/>
      <c r="U2461" s="105"/>
      <c r="V2461" s="105"/>
      <c r="W2461" s="105"/>
      <c r="X2461" s="11"/>
      <c r="Y2461" s="11"/>
      <c r="Z2461" s="105"/>
      <c r="AA2461" s="11"/>
      <c r="AB2461" s="11"/>
      <c r="AC2461" s="105"/>
      <c r="AD2461" s="11" t="b">
        <v>0</v>
      </c>
      <c r="AE2461" s="105"/>
      <c r="AF2461" s="11"/>
      <c r="AG2461" s="11"/>
      <c r="AH2461" s="11"/>
      <c r="AI2461" s="11"/>
    </row>
    <row r="2462" ht="12.5" spans="3:35">
      <c r="C2462" s="19"/>
      <c r="D2462" s="19"/>
      <c r="H2462" s="105"/>
      <c r="I2462" s="126"/>
      <c r="J2462" s="11"/>
      <c r="K2462" s="108"/>
      <c r="L2462" s="11"/>
      <c r="M2462" s="105"/>
      <c r="N2462" s="105"/>
      <c r="O2462" s="11"/>
      <c r="P2462" s="11"/>
      <c r="Q2462" s="105"/>
      <c r="R2462" s="105"/>
      <c r="S2462" s="105"/>
      <c r="T2462" s="105"/>
      <c r="U2462" s="105"/>
      <c r="V2462" s="105"/>
      <c r="W2462" s="105"/>
      <c r="X2462" s="11"/>
      <c r="Y2462" s="11"/>
      <c r="Z2462" s="105"/>
      <c r="AA2462" s="11"/>
      <c r="AB2462" s="11"/>
      <c r="AC2462" s="105"/>
      <c r="AD2462" s="11" t="b">
        <v>0</v>
      </c>
      <c r="AE2462" s="105"/>
      <c r="AF2462" s="11"/>
      <c r="AG2462" s="11"/>
      <c r="AH2462" s="11"/>
      <c r="AI2462" s="11"/>
    </row>
    <row r="2463" ht="12.5" spans="3:35">
      <c r="C2463" s="19"/>
      <c r="D2463" s="19"/>
      <c r="H2463" s="105"/>
      <c r="I2463" s="126"/>
      <c r="J2463" s="11"/>
      <c r="K2463" s="108"/>
      <c r="L2463" s="11"/>
      <c r="M2463" s="105"/>
      <c r="N2463" s="105"/>
      <c r="O2463" s="11"/>
      <c r="P2463" s="11"/>
      <c r="Q2463" s="105"/>
      <c r="R2463" s="105"/>
      <c r="S2463" s="105"/>
      <c r="T2463" s="105"/>
      <c r="U2463" s="105"/>
      <c r="V2463" s="105"/>
      <c r="W2463" s="105"/>
      <c r="X2463" s="11"/>
      <c r="Y2463" s="11"/>
      <c r="Z2463" s="105"/>
      <c r="AA2463" s="11"/>
      <c r="AB2463" s="11"/>
      <c r="AC2463" s="105"/>
      <c r="AD2463" s="11" t="b">
        <v>0</v>
      </c>
      <c r="AE2463" s="105"/>
      <c r="AF2463" s="11"/>
      <c r="AG2463" s="11"/>
      <c r="AH2463" s="11"/>
      <c r="AI2463" s="11"/>
    </row>
    <row r="2464" ht="12.5" spans="3:35">
      <c r="C2464" s="19"/>
      <c r="D2464" s="19"/>
      <c r="H2464" s="105"/>
      <c r="I2464" s="126"/>
      <c r="J2464" s="11"/>
      <c r="K2464" s="108"/>
      <c r="L2464" s="11"/>
      <c r="M2464" s="105"/>
      <c r="N2464" s="105"/>
      <c r="O2464" s="11"/>
      <c r="P2464" s="11"/>
      <c r="Q2464" s="105"/>
      <c r="R2464" s="105"/>
      <c r="S2464" s="105"/>
      <c r="T2464" s="105"/>
      <c r="U2464" s="105"/>
      <c r="V2464" s="105"/>
      <c r="W2464" s="105"/>
      <c r="X2464" s="11"/>
      <c r="Y2464" s="11"/>
      <c r="Z2464" s="105"/>
      <c r="AA2464" s="11"/>
      <c r="AB2464" s="11"/>
      <c r="AC2464" s="105"/>
      <c r="AD2464" s="11" t="b">
        <v>0</v>
      </c>
      <c r="AE2464" s="105"/>
      <c r="AF2464" s="11"/>
      <c r="AG2464" s="11"/>
      <c r="AH2464" s="11"/>
      <c r="AI2464" s="11"/>
    </row>
    <row r="2465" ht="12.5" spans="3:35">
      <c r="C2465" s="19"/>
      <c r="D2465" s="19"/>
      <c r="H2465" s="105"/>
      <c r="I2465" s="126"/>
      <c r="J2465" s="11"/>
      <c r="K2465" s="108"/>
      <c r="L2465" s="11"/>
      <c r="M2465" s="105"/>
      <c r="N2465" s="105"/>
      <c r="O2465" s="11"/>
      <c r="P2465" s="11"/>
      <c r="Q2465" s="105"/>
      <c r="R2465" s="105"/>
      <c r="S2465" s="105"/>
      <c r="T2465" s="105"/>
      <c r="U2465" s="105"/>
      <c r="V2465" s="105"/>
      <c r="W2465" s="105"/>
      <c r="X2465" s="11"/>
      <c r="Y2465" s="11"/>
      <c r="Z2465" s="105"/>
      <c r="AA2465" s="11"/>
      <c r="AB2465" s="11"/>
      <c r="AC2465" s="105"/>
      <c r="AD2465" s="11" t="b">
        <v>0</v>
      </c>
      <c r="AE2465" s="105"/>
      <c r="AF2465" s="11"/>
      <c r="AG2465" s="11"/>
      <c r="AH2465" s="11"/>
      <c r="AI2465" s="11"/>
    </row>
    <row r="2466" ht="12.5" spans="3:35">
      <c r="C2466" s="19"/>
      <c r="D2466" s="19"/>
      <c r="H2466" s="105"/>
      <c r="I2466" s="126"/>
      <c r="J2466" s="11"/>
      <c r="K2466" s="108"/>
      <c r="L2466" s="11"/>
      <c r="M2466" s="105"/>
      <c r="N2466" s="105"/>
      <c r="O2466" s="11"/>
      <c r="P2466" s="11"/>
      <c r="Q2466" s="105"/>
      <c r="R2466" s="105"/>
      <c r="S2466" s="105"/>
      <c r="T2466" s="105"/>
      <c r="U2466" s="105"/>
      <c r="V2466" s="105"/>
      <c r="W2466" s="105"/>
      <c r="X2466" s="11"/>
      <c r="Y2466" s="11"/>
      <c r="Z2466" s="105"/>
      <c r="AA2466" s="11"/>
      <c r="AB2466" s="11"/>
      <c r="AC2466" s="105"/>
      <c r="AD2466" s="11" t="b">
        <v>0</v>
      </c>
      <c r="AE2466" s="105"/>
      <c r="AF2466" s="11"/>
      <c r="AG2466" s="11"/>
      <c r="AH2466" s="11"/>
      <c r="AI2466" s="11"/>
    </row>
    <row r="2467" ht="12.5" spans="3:35">
      <c r="C2467" s="19"/>
      <c r="D2467" s="19"/>
      <c r="H2467" s="105"/>
      <c r="I2467" s="126"/>
      <c r="J2467" s="11"/>
      <c r="K2467" s="108"/>
      <c r="L2467" s="11"/>
      <c r="M2467" s="105"/>
      <c r="N2467" s="105"/>
      <c r="O2467" s="11"/>
      <c r="P2467" s="11"/>
      <c r="Q2467" s="105"/>
      <c r="R2467" s="105"/>
      <c r="S2467" s="105"/>
      <c r="T2467" s="105"/>
      <c r="U2467" s="105"/>
      <c r="V2467" s="105"/>
      <c r="W2467" s="105"/>
      <c r="X2467" s="11"/>
      <c r="Y2467" s="11"/>
      <c r="Z2467" s="105"/>
      <c r="AA2467" s="11"/>
      <c r="AB2467" s="11"/>
      <c r="AC2467" s="105"/>
      <c r="AD2467" s="11" t="b">
        <v>0</v>
      </c>
      <c r="AE2467" s="105"/>
      <c r="AF2467" s="11"/>
      <c r="AG2467" s="11"/>
      <c r="AH2467" s="11"/>
      <c r="AI2467" s="11"/>
    </row>
    <row r="2468" ht="12.5" spans="3:35">
      <c r="C2468" s="19"/>
      <c r="D2468" s="19"/>
      <c r="H2468" s="105"/>
      <c r="I2468" s="126"/>
      <c r="J2468" s="11"/>
      <c r="K2468" s="108"/>
      <c r="L2468" s="11"/>
      <c r="M2468" s="105"/>
      <c r="N2468" s="105"/>
      <c r="O2468" s="11"/>
      <c r="P2468" s="11"/>
      <c r="Q2468" s="105"/>
      <c r="R2468" s="105"/>
      <c r="S2468" s="105"/>
      <c r="T2468" s="105"/>
      <c r="U2468" s="105"/>
      <c r="V2468" s="105"/>
      <c r="W2468" s="105"/>
      <c r="X2468" s="11"/>
      <c r="Y2468" s="11"/>
      <c r="Z2468" s="105"/>
      <c r="AA2468" s="11"/>
      <c r="AB2468" s="11"/>
      <c r="AC2468" s="105"/>
      <c r="AD2468" s="11" t="b">
        <v>0</v>
      </c>
      <c r="AE2468" s="105"/>
      <c r="AF2468" s="11"/>
      <c r="AG2468" s="11"/>
      <c r="AH2468" s="11"/>
      <c r="AI2468" s="11"/>
    </row>
    <row r="2469" ht="12.5" spans="3:35">
      <c r="C2469" s="19"/>
      <c r="D2469" s="19"/>
      <c r="H2469" s="105"/>
      <c r="I2469" s="126"/>
      <c r="J2469" s="11"/>
      <c r="K2469" s="108"/>
      <c r="L2469" s="11"/>
      <c r="M2469" s="105"/>
      <c r="N2469" s="105"/>
      <c r="O2469" s="11"/>
      <c r="P2469" s="11"/>
      <c r="Q2469" s="105"/>
      <c r="R2469" s="105"/>
      <c r="S2469" s="105"/>
      <c r="T2469" s="105"/>
      <c r="U2469" s="105"/>
      <c r="V2469" s="105"/>
      <c r="W2469" s="105"/>
      <c r="X2469" s="11"/>
      <c r="Y2469" s="11"/>
      <c r="Z2469" s="105"/>
      <c r="AA2469" s="11"/>
      <c r="AB2469" s="11"/>
      <c r="AC2469" s="105"/>
      <c r="AD2469" s="11" t="b">
        <v>0</v>
      </c>
      <c r="AE2469" s="105"/>
      <c r="AF2469" s="11"/>
      <c r="AG2469" s="11"/>
      <c r="AH2469" s="11"/>
      <c r="AI2469" s="11"/>
    </row>
    <row r="2470" ht="12.5" spans="3:35">
      <c r="C2470" s="19"/>
      <c r="D2470" s="19"/>
      <c r="H2470" s="105"/>
      <c r="I2470" s="126"/>
      <c r="J2470" s="11"/>
      <c r="K2470" s="108"/>
      <c r="L2470" s="11"/>
      <c r="M2470" s="105"/>
      <c r="N2470" s="105"/>
      <c r="O2470" s="11"/>
      <c r="P2470" s="11"/>
      <c r="Q2470" s="105"/>
      <c r="R2470" s="105"/>
      <c r="S2470" s="105"/>
      <c r="T2470" s="105"/>
      <c r="U2470" s="105"/>
      <c r="V2470" s="105"/>
      <c r="W2470" s="105"/>
      <c r="X2470" s="11"/>
      <c r="Y2470" s="11"/>
      <c r="Z2470" s="105"/>
      <c r="AA2470" s="11"/>
      <c r="AB2470" s="11"/>
      <c r="AC2470" s="105"/>
      <c r="AD2470" s="11" t="b">
        <v>0</v>
      </c>
      <c r="AE2470" s="105"/>
      <c r="AF2470" s="11"/>
      <c r="AG2470" s="11"/>
      <c r="AH2470" s="11"/>
      <c r="AI2470" s="11"/>
    </row>
    <row r="2471" ht="12.5" spans="3:35">
      <c r="C2471" s="19"/>
      <c r="D2471" s="19"/>
      <c r="H2471" s="105"/>
      <c r="I2471" s="126"/>
      <c r="J2471" s="11"/>
      <c r="K2471" s="108"/>
      <c r="L2471" s="11"/>
      <c r="M2471" s="105"/>
      <c r="N2471" s="105"/>
      <c r="O2471" s="11"/>
      <c r="P2471" s="11"/>
      <c r="Q2471" s="105"/>
      <c r="R2471" s="105"/>
      <c r="S2471" s="105"/>
      <c r="T2471" s="105"/>
      <c r="U2471" s="105"/>
      <c r="V2471" s="105"/>
      <c r="W2471" s="105"/>
      <c r="X2471" s="11"/>
      <c r="Y2471" s="11"/>
      <c r="Z2471" s="105"/>
      <c r="AA2471" s="11"/>
      <c r="AB2471" s="11"/>
      <c r="AC2471" s="105"/>
      <c r="AD2471" s="11" t="b">
        <v>0</v>
      </c>
      <c r="AE2471" s="105"/>
      <c r="AF2471" s="11"/>
      <c r="AG2471" s="11"/>
      <c r="AH2471" s="11"/>
      <c r="AI2471" s="11"/>
    </row>
    <row r="2472" ht="12.5" spans="3:35">
      <c r="C2472" s="19"/>
      <c r="D2472" s="19"/>
      <c r="H2472" s="105"/>
      <c r="I2472" s="126"/>
      <c r="J2472" s="11"/>
      <c r="K2472" s="108"/>
      <c r="L2472" s="11"/>
      <c r="M2472" s="105"/>
      <c r="N2472" s="105"/>
      <c r="O2472" s="11"/>
      <c r="P2472" s="11"/>
      <c r="Q2472" s="105"/>
      <c r="R2472" s="105"/>
      <c r="S2472" s="105"/>
      <c r="T2472" s="105"/>
      <c r="U2472" s="105"/>
      <c r="V2472" s="105"/>
      <c r="W2472" s="105"/>
      <c r="X2472" s="11"/>
      <c r="Y2472" s="11"/>
      <c r="Z2472" s="105"/>
      <c r="AA2472" s="11"/>
      <c r="AB2472" s="11"/>
      <c r="AC2472" s="105"/>
      <c r="AD2472" s="11" t="b">
        <v>0</v>
      </c>
      <c r="AE2472" s="105"/>
      <c r="AF2472" s="11"/>
      <c r="AG2472" s="11"/>
      <c r="AH2472" s="11"/>
      <c r="AI2472" s="11"/>
    </row>
    <row r="2473" ht="12.5" spans="3:35">
      <c r="C2473" s="19"/>
      <c r="D2473" s="19"/>
      <c r="H2473" s="105"/>
      <c r="I2473" s="126"/>
      <c r="J2473" s="11"/>
      <c r="K2473" s="108"/>
      <c r="L2473" s="11"/>
      <c r="M2473" s="105"/>
      <c r="N2473" s="105"/>
      <c r="O2473" s="11"/>
      <c r="P2473" s="11"/>
      <c r="Q2473" s="105"/>
      <c r="R2473" s="105"/>
      <c r="S2473" s="105"/>
      <c r="T2473" s="105"/>
      <c r="U2473" s="105"/>
      <c r="V2473" s="105"/>
      <c r="W2473" s="105"/>
      <c r="X2473" s="11"/>
      <c r="Y2473" s="11"/>
      <c r="Z2473" s="105"/>
      <c r="AA2473" s="11"/>
      <c r="AB2473" s="11"/>
      <c r="AC2473" s="105"/>
      <c r="AD2473" s="11" t="b">
        <v>0</v>
      </c>
      <c r="AE2473" s="105"/>
      <c r="AF2473" s="11"/>
      <c r="AG2473" s="11"/>
      <c r="AH2473" s="11"/>
      <c r="AI2473" s="11"/>
    </row>
    <row r="2474" ht="12.5" spans="3:35">
      <c r="C2474" s="19"/>
      <c r="D2474" s="19"/>
      <c r="H2474" s="105"/>
      <c r="I2474" s="126"/>
      <c r="J2474" s="11"/>
      <c r="K2474" s="108"/>
      <c r="L2474" s="11"/>
      <c r="M2474" s="105"/>
      <c r="N2474" s="105"/>
      <c r="O2474" s="11"/>
      <c r="P2474" s="11"/>
      <c r="Q2474" s="105"/>
      <c r="R2474" s="105"/>
      <c r="S2474" s="105"/>
      <c r="T2474" s="105"/>
      <c r="U2474" s="105"/>
      <c r="V2474" s="105"/>
      <c r="W2474" s="105"/>
      <c r="X2474" s="11"/>
      <c r="Y2474" s="11"/>
      <c r="Z2474" s="105"/>
      <c r="AA2474" s="11"/>
      <c r="AB2474" s="11"/>
      <c r="AC2474" s="105"/>
      <c r="AD2474" s="11" t="b">
        <v>0</v>
      </c>
      <c r="AE2474" s="105"/>
      <c r="AF2474" s="11"/>
      <c r="AG2474" s="11"/>
      <c r="AH2474" s="11"/>
      <c r="AI2474" s="11"/>
    </row>
    <row r="2475" ht="12.5" spans="3:35">
      <c r="C2475" s="19"/>
      <c r="D2475" s="19"/>
      <c r="H2475" s="105"/>
      <c r="I2475" s="126"/>
      <c r="J2475" s="11"/>
      <c r="K2475" s="108"/>
      <c r="L2475" s="11"/>
      <c r="M2475" s="105"/>
      <c r="N2475" s="105"/>
      <c r="O2475" s="11"/>
      <c r="P2475" s="11"/>
      <c r="Q2475" s="105"/>
      <c r="R2475" s="105"/>
      <c r="S2475" s="105"/>
      <c r="T2475" s="105"/>
      <c r="U2475" s="105"/>
      <c r="V2475" s="105"/>
      <c r="W2475" s="105"/>
      <c r="X2475" s="11"/>
      <c r="Y2475" s="11"/>
      <c r="Z2475" s="105"/>
      <c r="AA2475" s="11"/>
      <c r="AB2475" s="11"/>
      <c r="AC2475" s="105"/>
      <c r="AD2475" s="11" t="b">
        <v>0</v>
      </c>
      <c r="AE2475" s="105"/>
      <c r="AF2475" s="11"/>
      <c r="AG2475" s="11"/>
      <c r="AH2475" s="11"/>
      <c r="AI2475" s="11"/>
    </row>
    <row r="2476" ht="12.5" spans="3:35">
      <c r="C2476" s="19"/>
      <c r="D2476" s="19"/>
      <c r="H2476" s="105"/>
      <c r="I2476" s="126"/>
      <c r="J2476" s="11"/>
      <c r="K2476" s="108"/>
      <c r="L2476" s="11"/>
      <c r="M2476" s="105"/>
      <c r="N2476" s="105"/>
      <c r="O2476" s="11"/>
      <c r="P2476" s="11"/>
      <c r="Q2476" s="105"/>
      <c r="R2476" s="105"/>
      <c r="S2476" s="105"/>
      <c r="T2476" s="105"/>
      <c r="U2476" s="105"/>
      <c r="V2476" s="105"/>
      <c r="W2476" s="105"/>
      <c r="X2476" s="11"/>
      <c r="Y2476" s="11"/>
      <c r="Z2476" s="105"/>
      <c r="AA2476" s="11"/>
      <c r="AB2476" s="11"/>
      <c r="AC2476" s="105"/>
      <c r="AD2476" s="11" t="b">
        <v>0</v>
      </c>
      <c r="AE2476" s="105"/>
      <c r="AF2476" s="11"/>
      <c r="AG2476" s="11"/>
      <c r="AH2476" s="11"/>
      <c r="AI2476" s="11"/>
    </row>
    <row r="2477" ht="12.5" spans="3:35">
      <c r="C2477" s="19"/>
      <c r="D2477" s="19"/>
      <c r="H2477" s="105"/>
      <c r="I2477" s="126"/>
      <c r="J2477" s="11"/>
      <c r="K2477" s="108"/>
      <c r="L2477" s="11"/>
      <c r="M2477" s="105"/>
      <c r="N2477" s="105"/>
      <c r="O2477" s="11"/>
      <c r="P2477" s="11"/>
      <c r="Q2477" s="105"/>
      <c r="R2477" s="105"/>
      <c r="S2477" s="105"/>
      <c r="T2477" s="105"/>
      <c r="U2477" s="105"/>
      <c r="V2477" s="105"/>
      <c r="W2477" s="105"/>
      <c r="X2477" s="11"/>
      <c r="Y2477" s="11"/>
      <c r="Z2477" s="105"/>
      <c r="AA2477" s="11"/>
      <c r="AB2477" s="11"/>
      <c r="AC2477" s="105"/>
      <c r="AD2477" s="11" t="b">
        <v>0</v>
      </c>
      <c r="AE2477" s="105"/>
      <c r="AF2477" s="11"/>
      <c r="AG2477" s="11"/>
      <c r="AH2477" s="11"/>
      <c r="AI2477" s="11"/>
    </row>
    <row r="2478" ht="12.5" spans="3:35">
      <c r="C2478" s="19"/>
      <c r="D2478" s="19"/>
      <c r="H2478" s="105"/>
      <c r="I2478" s="126"/>
      <c r="J2478" s="11"/>
      <c r="K2478" s="108"/>
      <c r="L2478" s="11"/>
      <c r="M2478" s="105"/>
      <c r="N2478" s="105"/>
      <c r="O2478" s="11"/>
      <c r="P2478" s="11"/>
      <c r="Q2478" s="105"/>
      <c r="R2478" s="105"/>
      <c r="S2478" s="105"/>
      <c r="T2478" s="105"/>
      <c r="U2478" s="105"/>
      <c r="V2478" s="105"/>
      <c r="W2478" s="105"/>
      <c r="X2478" s="11"/>
      <c r="Y2478" s="11"/>
      <c r="Z2478" s="105"/>
      <c r="AA2478" s="11"/>
      <c r="AB2478" s="11"/>
      <c r="AC2478" s="105"/>
      <c r="AD2478" s="11" t="b">
        <v>0</v>
      </c>
      <c r="AE2478" s="105"/>
      <c r="AF2478" s="11"/>
      <c r="AG2478" s="11"/>
      <c r="AH2478" s="11"/>
      <c r="AI2478" s="11"/>
    </row>
    <row r="2479" ht="12.5" spans="3:35">
      <c r="C2479" s="19"/>
      <c r="D2479" s="19"/>
      <c r="H2479" s="105"/>
      <c r="I2479" s="126"/>
      <c r="J2479" s="11"/>
      <c r="K2479" s="108"/>
      <c r="L2479" s="11"/>
      <c r="M2479" s="105"/>
      <c r="N2479" s="105"/>
      <c r="O2479" s="11"/>
      <c r="P2479" s="11"/>
      <c r="Q2479" s="105"/>
      <c r="R2479" s="105"/>
      <c r="S2479" s="105"/>
      <c r="T2479" s="105"/>
      <c r="U2479" s="105"/>
      <c r="V2479" s="105"/>
      <c r="W2479" s="105"/>
      <c r="X2479" s="11"/>
      <c r="Y2479" s="11"/>
      <c r="Z2479" s="105"/>
      <c r="AA2479" s="11"/>
      <c r="AB2479" s="11"/>
      <c r="AC2479" s="105"/>
      <c r="AD2479" s="11" t="b">
        <v>0</v>
      </c>
      <c r="AE2479" s="105"/>
      <c r="AF2479" s="11"/>
      <c r="AG2479" s="11"/>
      <c r="AH2479" s="11"/>
      <c r="AI2479" s="11"/>
    </row>
    <row r="2480" ht="12.5" spans="3:35">
      <c r="C2480" s="19"/>
      <c r="D2480" s="19"/>
      <c r="H2480" s="105"/>
      <c r="I2480" s="126"/>
      <c r="J2480" s="11"/>
      <c r="K2480" s="108"/>
      <c r="L2480" s="11"/>
      <c r="M2480" s="105"/>
      <c r="N2480" s="105"/>
      <c r="O2480" s="11"/>
      <c r="P2480" s="11"/>
      <c r="Q2480" s="105"/>
      <c r="R2480" s="105"/>
      <c r="S2480" s="105"/>
      <c r="T2480" s="105"/>
      <c r="U2480" s="105"/>
      <c r="V2480" s="105"/>
      <c r="W2480" s="105"/>
      <c r="X2480" s="11"/>
      <c r="Y2480" s="11"/>
      <c r="Z2480" s="105"/>
      <c r="AA2480" s="11"/>
      <c r="AB2480" s="11"/>
      <c r="AC2480" s="105"/>
      <c r="AD2480" s="11" t="b">
        <v>0</v>
      </c>
      <c r="AE2480" s="105"/>
      <c r="AF2480" s="11"/>
      <c r="AG2480" s="11"/>
      <c r="AH2480" s="11"/>
      <c r="AI2480" s="11"/>
    </row>
    <row r="2481" ht="12.5" spans="3:35">
      <c r="C2481" s="19"/>
      <c r="D2481" s="19"/>
      <c r="H2481" s="105"/>
      <c r="I2481" s="126"/>
      <c r="J2481" s="11"/>
      <c r="K2481" s="108"/>
      <c r="L2481" s="11"/>
      <c r="M2481" s="105"/>
      <c r="N2481" s="105"/>
      <c r="O2481" s="11"/>
      <c r="P2481" s="11"/>
      <c r="Q2481" s="105"/>
      <c r="R2481" s="105"/>
      <c r="S2481" s="105"/>
      <c r="T2481" s="105"/>
      <c r="U2481" s="105"/>
      <c r="V2481" s="105"/>
      <c r="W2481" s="105"/>
      <c r="X2481" s="11"/>
      <c r="Y2481" s="11"/>
      <c r="Z2481" s="105"/>
      <c r="AA2481" s="11"/>
      <c r="AB2481" s="11"/>
      <c r="AC2481" s="105"/>
      <c r="AD2481" s="11" t="b">
        <v>0</v>
      </c>
      <c r="AE2481" s="105"/>
      <c r="AF2481" s="11"/>
      <c r="AG2481" s="11"/>
      <c r="AH2481" s="11"/>
      <c r="AI2481" s="11"/>
    </row>
    <row r="2482" ht="12.5" spans="3:35">
      <c r="C2482" s="19"/>
      <c r="D2482" s="19"/>
      <c r="H2482" s="105"/>
      <c r="I2482" s="126"/>
      <c r="J2482" s="11"/>
      <c r="K2482" s="108"/>
      <c r="L2482" s="11"/>
      <c r="M2482" s="105"/>
      <c r="N2482" s="105"/>
      <c r="O2482" s="11"/>
      <c r="P2482" s="11"/>
      <c r="Q2482" s="105"/>
      <c r="R2482" s="105"/>
      <c r="S2482" s="105"/>
      <c r="T2482" s="105"/>
      <c r="U2482" s="105"/>
      <c r="V2482" s="105"/>
      <c r="W2482" s="105"/>
      <c r="X2482" s="11"/>
      <c r="Y2482" s="11"/>
      <c r="Z2482" s="105"/>
      <c r="AA2482" s="11"/>
      <c r="AB2482" s="11"/>
      <c r="AC2482" s="105"/>
      <c r="AD2482" s="11" t="b">
        <v>0</v>
      </c>
      <c r="AE2482" s="105"/>
      <c r="AF2482" s="11"/>
      <c r="AG2482" s="11"/>
      <c r="AH2482" s="11"/>
      <c r="AI2482" s="11"/>
    </row>
    <row r="2483" ht="12.5" spans="3:35">
      <c r="C2483" s="19"/>
      <c r="D2483" s="19"/>
      <c r="H2483" s="105"/>
      <c r="I2483" s="126"/>
      <c r="J2483" s="11"/>
      <c r="K2483" s="108"/>
      <c r="L2483" s="11"/>
      <c r="M2483" s="105"/>
      <c r="N2483" s="105"/>
      <c r="O2483" s="11"/>
      <c r="P2483" s="11"/>
      <c r="Q2483" s="105"/>
      <c r="R2483" s="105"/>
      <c r="S2483" s="105"/>
      <c r="T2483" s="105"/>
      <c r="U2483" s="105"/>
      <c r="V2483" s="105"/>
      <c r="W2483" s="105"/>
      <c r="X2483" s="11"/>
      <c r="Y2483" s="11"/>
      <c r="Z2483" s="105"/>
      <c r="AA2483" s="11"/>
      <c r="AB2483" s="11"/>
      <c r="AC2483" s="105"/>
      <c r="AD2483" s="11" t="b">
        <v>0</v>
      </c>
      <c r="AE2483" s="105"/>
      <c r="AF2483" s="11"/>
      <c r="AG2483" s="11"/>
      <c r="AH2483" s="11"/>
      <c r="AI2483" s="11"/>
    </row>
    <row r="2484" ht="12.5" spans="3:35">
      <c r="C2484" s="19"/>
      <c r="D2484" s="19"/>
      <c r="H2484" s="105"/>
      <c r="I2484" s="126"/>
      <c r="J2484" s="11"/>
      <c r="K2484" s="108"/>
      <c r="L2484" s="11"/>
      <c r="M2484" s="105"/>
      <c r="N2484" s="105"/>
      <c r="O2484" s="11"/>
      <c r="P2484" s="11"/>
      <c r="Q2484" s="105"/>
      <c r="R2484" s="105"/>
      <c r="S2484" s="105"/>
      <c r="T2484" s="105"/>
      <c r="U2484" s="105"/>
      <c r="V2484" s="105"/>
      <c r="W2484" s="105"/>
      <c r="X2484" s="11"/>
      <c r="Y2484" s="11"/>
      <c r="Z2484" s="105"/>
      <c r="AA2484" s="11"/>
      <c r="AB2484" s="11"/>
      <c r="AC2484" s="105"/>
      <c r="AD2484" s="11" t="b">
        <v>0</v>
      </c>
      <c r="AE2484" s="105"/>
      <c r="AF2484" s="11"/>
      <c r="AG2484" s="11"/>
      <c r="AH2484" s="11"/>
      <c r="AI2484" s="11"/>
    </row>
    <row r="2485" ht="12.5" spans="3:35">
      <c r="C2485" s="19"/>
      <c r="D2485" s="19"/>
      <c r="H2485" s="105"/>
      <c r="I2485" s="126"/>
      <c r="J2485" s="11"/>
      <c r="K2485" s="108"/>
      <c r="L2485" s="11"/>
      <c r="M2485" s="105"/>
      <c r="N2485" s="105"/>
      <c r="O2485" s="11"/>
      <c r="P2485" s="11"/>
      <c r="Q2485" s="105"/>
      <c r="R2485" s="105"/>
      <c r="S2485" s="105"/>
      <c r="T2485" s="105"/>
      <c r="U2485" s="105"/>
      <c r="V2485" s="105"/>
      <c r="W2485" s="105"/>
      <c r="X2485" s="11"/>
      <c r="Y2485" s="11"/>
      <c r="Z2485" s="105"/>
      <c r="AA2485" s="11"/>
      <c r="AB2485" s="11"/>
      <c r="AC2485" s="105"/>
      <c r="AD2485" s="11" t="b">
        <v>0</v>
      </c>
      <c r="AE2485" s="105"/>
      <c r="AF2485" s="11"/>
      <c r="AG2485" s="11"/>
      <c r="AH2485" s="11"/>
      <c r="AI2485" s="11"/>
    </row>
    <row r="2486" ht="12.5" spans="3:35">
      <c r="C2486" s="19"/>
      <c r="D2486" s="19"/>
      <c r="H2486" s="105"/>
      <c r="I2486" s="126"/>
      <c r="J2486" s="11"/>
      <c r="K2486" s="108"/>
      <c r="L2486" s="11"/>
      <c r="M2486" s="105"/>
      <c r="N2486" s="105"/>
      <c r="O2486" s="11"/>
      <c r="P2486" s="11"/>
      <c r="Q2486" s="105"/>
      <c r="R2486" s="105"/>
      <c r="S2486" s="105"/>
      <c r="T2486" s="105"/>
      <c r="U2486" s="105"/>
      <c r="V2486" s="105"/>
      <c r="W2486" s="105"/>
      <c r="X2486" s="11"/>
      <c r="Y2486" s="11"/>
      <c r="Z2486" s="105"/>
      <c r="AA2486" s="11"/>
      <c r="AB2486" s="11"/>
      <c r="AC2486" s="105"/>
      <c r="AD2486" s="11" t="b">
        <v>0</v>
      </c>
      <c r="AE2486" s="105"/>
      <c r="AF2486" s="11"/>
      <c r="AG2486" s="11"/>
      <c r="AH2486" s="11"/>
      <c r="AI2486" s="11"/>
    </row>
    <row r="2487" ht="12.5" spans="3:35">
      <c r="C2487" s="19"/>
      <c r="D2487" s="19"/>
      <c r="H2487" s="105"/>
      <c r="I2487" s="126"/>
      <c r="J2487" s="11"/>
      <c r="K2487" s="108"/>
      <c r="L2487" s="11"/>
      <c r="M2487" s="105"/>
      <c r="N2487" s="105"/>
      <c r="O2487" s="11"/>
      <c r="P2487" s="11"/>
      <c r="Q2487" s="105"/>
      <c r="R2487" s="105"/>
      <c r="S2487" s="105"/>
      <c r="T2487" s="105"/>
      <c r="U2487" s="105"/>
      <c r="V2487" s="105"/>
      <c r="W2487" s="105"/>
      <c r="X2487" s="11"/>
      <c r="Y2487" s="11"/>
      <c r="Z2487" s="105"/>
      <c r="AA2487" s="11"/>
      <c r="AB2487" s="11"/>
      <c r="AC2487" s="105"/>
      <c r="AD2487" s="11" t="b">
        <v>0</v>
      </c>
      <c r="AE2487" s="105"/>
      <c r="AF2487" s="11"/>
      <c r="AG2487" s="11"/>
      <c r="AH2487" s="11"/>
      <c r="AI2487" s="11"/>
    </row>
    <row r="2488" ht="12.5" spans="3:35">
      <c r="C2488" s="19"/>
      <c r="D2488" s="19"/>
      <c r="H2488" s="105"/>
      <c r="I2488" s="126"/>
      <c r="J2488" s="11"/>
      <c r="K2488" s="108"/>
      <c r="L2488" s="11"/>
      <c r="M2488" s="105"/>
      <c r="N2488" s="105"/>
      <c r="O2488" s="11"/>
      <c r="P2488" s="11"/>
      <c r="Q2488" s="105"/>
      <c r="R2488" s="105"/>
      <c r="S2488" s="105"/>
      <c r="T2488" s="105"/>
      <c r="U2488" s="105"/>
      <c r="V2488" s="105"/>
      <c r="W2488" s="105"/>
      <c r="X2488" s="11"/>
      <c r="Y2488" s="11"/>
      <c r="Z2488" s="105"/>
      <c r="AA2488" s="11"/>
      <c r="AB2488" s="11"/>
      <c r="AC2488" s="105"/>
      <c r="AD2488" s="11" t="b">
        <v>0</v>
      </c>
      <c r="AE2488" s="105"/>
      <c r="AF2488" s="11"/>
      <c r="AG2488" s="11"/>
      <c r="AH2488" s="11"/>
      <c r="AI2488" s="11"/>
    </row>
    <row r="2489" ht="12.5" spans="3:35">
      <c r="C2489" s="19"/>
      <c r="D2489" s="19"/>
      <c r="H2489" s="105"/>
      <c r="I2489" s="126"/>
      <c r="J2489" s="11"/>
      <c r="K2489" s="108"/>
      <c r="L2489" s="11"/>
      <c r="M2489" s="105"/>
      <c r="N2489" s="105"/>
      <c r="O2489" s="11"/>
      <c r="P2489" s="11"/>
      <c r="Q2489" s="105"/>
      <c r="R2489" s="105"/>
      <c r="S2489" s="105"/>
      <c r="T2489" s="105"/>
      <c r="U2489" s="105"/>
      <c r="V2489" s="105"/>
      <c r="W2489" s="105"/>
      <c r="X2489" s="11"/>
      <c r="Y2489" s="11"/>
      <c r="Z2489" s="105"/>
      <c r="AA2489" s="11"/>
      <c r="AB2489" s="11"/>
      <c r="AC2489" s="105"/>
      <c r="AD2489" s="11" t="b">
        <v>0</v>
      </c>
      <c r="AE2489" s="105"/>
      <c r="AF2489" s="11"/>
      <c r="AG2489" s="11"/>
      <c r="AH2489" s="11"/>
      <c r="AI2489" s="11"/>
    </row>
    <row r="2490" ht="12.5" spans="3:35">
      <c r="C2490" s="19"/>
      <c r="D2490" s="19"/>
      <c r="H2490" s="105"/>
      <c r="I2490" s="126"/>
      <c r="J2490" s="11"/>
      <c r="K2490" s="108"/>
      <c r="L2490" s="11"/>
      <c r="M2490" s="105"/>
      <c r="N2490" s="105"/>
      <c r="O2490" s="11"/>
      <c r="P2490" s="11"/>
      <c r="Q2490" s="105"/>
      <c r="R2490" s="105"/>
      <c r="S2490" s="105"/>
      <c r="T2490" s="105"/>
      <c r="U2490" s="105"/>
      <c r="V2490" s="105"/>
      <c r="W2490" s="105"/>
      <c r="X2490" s="11"/>
      <c r="Y2490" s="11"/>
      <c r="Z2490" s="105"/>
      <c r="AA2490" s="11"/>
      <c r="AB2490" s="11"/>
      <c r="AC2490" s="105"/>
      <c r="AD2490" s="11" t="b">
        <v>0</v>
      </c>
      <c r="AE2490" s="105"/>
      <c r="AF2490" s="11"/>
      <c r="AG2490" s="11"/>
      <c r="AH2490" s="11"/>
      <c r="AI2490" s="11"/>
    </row>
    <row r="2491" ht="12.5" spans="3:35">
      <c r="C2491" s="19"/>
      <c r="D2491" s="19"/>
      <c r="H2491" s="105"/>
      <c r="I2491" s="126"/>
      <c r="J2491" s="11"/>
      <c r="K2491" s="108"/>
      <c r="L2491" s="11"/>
      <c r="M2491" s="105"/>
      <c r="N2491" s="105"/>
      <c r="O2491" s="11"/>
      <c r="P2491" s="11"/>
      <c r="Q2491" s="105"/>
      <c r="R2491" s="105"/>
      <c r="S2491" s="105"/>
      <c r="T2491" s="105"/>
      <c r="U2491" s="105"/>
      <c r="V2491" s="105"/>
      <c r="W2491" s="105"/>
      <c r="X2491" s="11"/>
      <c r="Y2491" s="11"/>
      <c r="Z2491" s="105"/>
      <c r="AA2491" s="11"/>
      <c r="AB2491" s="11"/>
      <c r="AC2491" s="105"/>
      <c r="AD2491" s="11" t="b">
        <v>0</v>
      </c>
      <c r="AE2491" s="105"/>
      <c r="AF2491" s="11"/>
      <c r="AG2491" s="11"/>
      <c r="AH2491" s="11"/>
      <c r="AI2491" s="11"/>
    </row>
    <row r="2492" ht="12.5" spans="3:35">
      <c r="C2492" s="19"/>
      <c r="D2492" s="19"/>
      <c r="H2492" s="105"/>
      <c r="I2492" s="126"/>
      <c r="J2492" s="11"/>
      <c r="K2492" s="108"/>
      <c r="L2492" s="11"/>
      <c r="M2492" s="105"/>
      <c r="N2492" s="105"/>
      <c r="O2492" s="11"/>
      <c r="P2492" s="11"/>
      <c r="Q2492" s="105"/>
      <c r="R2492" s="105"/>
      <c r="S2492" s="105"/>
      <c r="T2492" s="105"/>
      <c r="U2492" s="105"/>
      <c r="V2492" s="105"/>
      <c r="W2492" s="105"/>
      <c r="X2492" s="11"/>
      <c r="Y2492" s="11"/>
      <c r="Z2492" s="105"/>
      <c r="AA2492" s="11"/>
      <c r="AB2492" s="11"/>
      <c r="AC2492" s="105"/>
      <c r="AD2492" s="11" t="b">
        <v>0</v>
      </c>
      <c r="AE2492" s="105"/>
      <c r="AF2492" s="11"/>
      <c r="AG2492" s="11"/>
      <c r="AH2492" s="11"/>
      <c r="AI2492" s="11"/>
    </row>
    <row r="2493" ht="12.5" spans="3:35">
      <c r="C2493" s="19"/>
      <c r="D2493" s="19"/>
      <c r="H2493" s="105"/>
      <c r="I2493" s="126"/>
      <c r="J2493" s="11"/>
      <c r="K2493" s="108"/>
      <c r="L2493" s="11"/>
      <c r="M2493" s="105"/>
      <c r="N2493" s="105"/>
      <c r="O2493" s="11"/>
      <c r="P2493" s="11"/>
      <c r="Q2493" s="105"/>
      <c r="R2493" s="105"/>
      <c r="S2493" s="105"/>
      <c r="T2493" s="105"/>
      <c r="U2493" s="105"/>
      <c r="V2493" s="105"/>
      <c r="W2493" s="105"/>
      <c r="X2493" s="11"/>
      <c r="Y2493" s="11"/>
      <c r="Z2493" s="105"/>
      <c r="AA2493" s="11"/>
      <c r="AB2493" s="11"/>
      <c r="AC2493" s="105"/>
      <c r="AD2493" s="11" t="b">
        <v>0</v>
      </c>
      <c r="AE2493" s="105"/>
      <c r="AF2493" s="11"/>
      <c r="AG2493" s="11"/>
      <c r="AH2493" s="11"/>
      <c r="AI2493" s="11"/>
    </row>
    <row r="2494" ht="12.5" spans="3:35">
      <c r="C2494" s="19"/>
      <c r="D2494" s="19"/>
      <c r="H2494" s="105"/>
      <c r="I2494" s="126"/>
      <c r="J2494" s="11"/>
      <c r="K2494" s="108"/>
      <c r="L2494" s="11"/>
      <c r="M2494" s="105"/>
      <c r="N2494" s="105"/>
      <c r="O2494" s="11"/>
      <c r="P2494" s="11"/>
      <c r="Q2494" s="105"/>
      <c r="R2494" s="105"/>
      <c r="S2494" s="105"/>
      <c r="T2494" s="105"/>
      <c r="U2494" s="105"/>
      <c r="V2494" s="105"/>
      <c r="W2494" s="105"/>
      <c r="X2494" s="11"/>
      <c r="Y2494" s="11"/>
      <c r="Z2494" s="105"/>
      <c r="AA2494" s="11"/>
      <c r="AB2494" s="11"/>
      <c r="AC2494" s="105"/>
      <c r="AD2494" s="11" t="b">
        <v>0</v>
      </c>
      <c r="AE2494" s="105"/>
      <c r="AF2494" s="11"/>
      <c r="AG2494" s="11"/>
      <c r="AH2494" s="11"/>
      <c r="AI2494" s="11"/>
    </row>
    <row r="2495" ht="12.5" spans="3:35">
      <c r="C2495" s="19"/>
      <c r="D2495" s="19"/>
      <c r="H2495" s="105"/>
      <c r="I2495" s="126"/>
      <c r="J2495" s="11"/>
      <c r="K2495" s="108"/>
      <c r="L2495" s="11"/>
      <c r="M2495" s="105"/>
      <c r="N2495" s="105"/>
      <c r="O2495" s="11"/>
      <c r="P2495" s="11"/>
      <c r="Q2495" s="105"/>
      <c r="R2495" s="105"/>
      <c r="S2495" s="105"/>
      <c r="T2495" s="105"/>
      <c r="U2495" s="105"/>
      <c r="V2495" s="105"/>
      <c r="W2495" s="105"/>
      <c r="X2495" s="11"/>
      <c r="Y2495" s="11"/>
      <c r="Z2495" s="105"/>
      <c r="AA2495" s="11"/>
      <c r="AB2495" s="11"/>
      <c r="AC2495" s="105"/>
      <c r="AD2495" s="11" t="b">
        <v>0</v>
      </c>
      <c r="AE2495" s="105"/>
      <c r="AF2495" s="11"/>
      <c r="AG2495" s="11"/>
      <c r="AH2495" s="11"/>
      <c r="AI2495" s="11"/>
    </row>
    <row r="2496" ht="12.5" spans="3:35">
      <c r="C2496" s="19"/>
      <c r="D2496" s="19"/>
      <c r="H2496" s="105"/>
      <c r="I2496" s="126"/>
      <c r="J2496" s="11"/>
      <c r="K2496" s="108"/>
      <c r="L2496" s="11"/>
      <c r="M2496" s="105"/>
      <c r="N2496" s="105"/>
      <c r="O2496" s="11"/>
      <c r="P2496" s="11"/>
      <c r="Q2496" s="105"/>
      <c r="R2496" s="105"/>
      <c r="S2496" s="105"/>
      <c r="T2496" s="105"/>
      <c r="U2496" s="105"/>
      <c r="V2496" s="105"/>
      <c r="W2496" s="105"/>
      <c r="X2496" s="11"/>
      <c r="Y2496" s="11"/>
      <c r="Z2496" s="105"/>
      <c r="AA2496" s="11"/>
      <c r="AB2496" s="11"/>
      <c r="AC2496" s="105"/>
      <c r="AD2496" s="11" t="b">
        <v>0</v>
      </c>
      <c r="AE2496" s="105"/>
      <c r="AF2496" s="11"/>
      <c r="AG2496" s="11"/>
      <c r="AH2496" s="11"/>
      <c r="AI2496" s="11"/>
    </row>
    <row r="2497" ht="12.5" spans="3:35">
      <c r="C2497" s="19"/>
      <c r="D2497" s="19"/>
      <c r="H2497" s="105"/>
      <c r="I2497" s="126"/>
      <c r="J2497" s="11"/>
      <c r="K2497" s="108"/>
      <c r="L2497" s="11"/>
      <c r="M2497" s="105"/>
      <c r="N2497" s="105"/>
      <c r="O2497" s="11"/>
      <c r="P2497" s="11"/>
      <c r="Q2497" s="105"/>
      <c r="R2497" s="105"/>
      <c r="S2497" s="105"/>
      <c r="T2497" s="105"/>
      <c r="U2497" s="105"/>
      <c r="V2497" s="105"/>
      <c r="W2497" s="105"/>
      <c r="X2497" s="11"/>
      <c r="Y2497" s="11"/>
      <c r="Z2497" s="105"/>
      <c r="AA2497" s="11"/>
      <c r="AB2497" s="11"/>
      <c r="AC2497" s="105"/>
      <c r="AD2497" s="11" t="b">
        <v>0</v>
      </c>
      <c r="AE2497" s="105"/>
      <c r="AF2497" s="11"/>
      <c r="AG2497" s="11"/>
      <c r="AH2497" s="11"/>
      <c r="AI2497" s="11"/>
    </row>
    <row r="2498" ht="12.5" spans="3:35">
      <c r="C2498" s="19"/>
      <c r="D2498" s="19"/>
      <c r="H2498" s="105"/>
      <c r="I2498" s="126"/>
      <c r="J2498" s="11"/>
      <c r="K2498" s="108"/>
      <c r="L2498" s="11"/>
      <c r="M2498" s="105"/>
      <c r="N2498" s="105"/>
      <c r="O2498" s="11"/>
      <c r="P2498" s="11"/>
      <c r="Q2498" s="105"/>
      <c r="R2498" s="105"/>
      <c r="S2498" s="105"/>
      <c r="T2498" s="105"/>
      <c r="U2498" s="105"/>
      <c r="V2498" s="105"/>
      <c r="W2498" s="105"/>
      <c r="X2498" s="11"/>
      <c r="Y2498" s="11"/>
      <c r="Z2498" s="105"/>
      <c r="AA2498" s="11"/>
      <c r="AB2498" s="11"/>
      <c r="AC2498" s="105"/>
      <c r="AD2498" s="11" t="b">
        <v>0</v>
      </c>
      <c r="AE2498" s="105"/>
      <c r="AF2498" s="11"/>
      <c r="AG2498" s="11"/>
      <c r="AH2498" s="11"/>
      <c r="AI2498" s="11"/>
    </row>
    <row r="2499" ht="12.5" spans="3:35">
      <c r="C2499" s="19"/>
      <c r="D2499" s="19"/>
      <c r="H2499" s="105"/>
      <c r="I2499" s="126"/>
      <c r="J2499" s="11"/>
      <c r="K2499" s="108"/>
      <c r="L2499" s="11"/>
      <c r="M2499" s="105"/>
      <c r="N2499" s="105"/>
      <c r="O2499" s="11"/>
      <c r="P2499" s="11"/>
      <c r="Q2499" s="105"/>
      <c r="R2499" s="105"/>
      <c r="S2499" s="105"/>
      <c r="T2499" s="105"/>
      <c r="U2499" s="105"/>
      <c r="V2499" s="105"/>
      <c r="W2499" s="105"/>
      <c r="X2499" s="11"/>
      <c r="Y2499" s="11"/>
      <c r="Z2499" s="105"/>
      <c r="AA2499" s="11"/>
      <c r="AB2499" s="11"/>
      <c r="AC2499" s="105"/>
      <c r="AD2499" s="11" t="b">
        <v>0</v>
      </c>
      <c r="AE2499" s="105"/>
      <c r="AF2499" s="11"/>
      <c r="AG2499" s="11"/>
      <c r="AH2499" s="11"/>
      <c r="AI2499" s="11"/>
    </row>
    <row r="2500" ht="12.5" spans="3:35">
      <c r="C2500" s="19"/>
      <c r="D2500" s="19"/>
      <c r="H2500" s="105"/>
      <c r="I2500" s="126"/>
      <c r="J2500" s="11"/>
      <c r="K2500" s="108"/>
      <c r="L2500" s="11"/>
      <c r="M2500" s="105"/>
      <c r="N2500" s="105"/>
      <c r="O2500" s="11"/>
      <c r="P2500" s="11"/>
      <c r="Q2500" s="105"/>
      <c r="R2500" s="105"/>
      <c r="S2500" s="105"/>
      <c r="T2500" s="105"/>
      <c r="U2500" s="105"/>
      <c r="V2500" s="105"/>
      <c r="W2500" s="105"/>
      <c r="X2500" s="11"/>
      <c r="Y2500" s="11"/>
      <c r="Z2500" s="105"/>
      <c r="AA2500" s="11"/>
      <c r="AB2500" s="11"/>
      <c r="AC2500" s="105"/>
      <c r="AD2500" s="11" t="b">
        <v>0</v>
      </c>
      <c r="AE2500" s="105"/>
      <c r="AF2500" s="11"/>
      <c r="AG2500" s="11"/>
      <c r="AH2500" s="11"/>
      <c r="AI2500" s="11"/>
    </row>
    <row r="2501" ht="12.5" spans="3:35">
      <c r="C2501" s="19"/>
      <c r="D2501" s="19"/>
      <c r="H2501" s="105"/>
      <c r="I2501" s="126"/>
      <c r="J2501" s="11"/>
      <c r="K2501" s="108"/>
      <c r="L2501" s="11"/>
      <c r="M2501" s="105"/>
      <c r="N2501" s="105"/>
      <c r="O2501" s="11"/>
      <c r="P2501" s="11"/>
      <c r="Q2501" s="105"/>
      <c r="R2501" s="105"/>
      <c r="S2501" s="105"/>
      <c r="T2501" s="105"/>
      <c r="U2501" s="105"/>
      <c r="V2501" s="105"/>
      <c r="W2501" s="105"/>
      <c r="X2501" s="11"/>
      <c r="Y2501" s="11"/>
      <c r="Z2501" s="105"/>
      <c r="AA2501" s="11"/>
      <c r="AB2501" s="11"/>
      <c r="AC2501" s="105"/>
      <c r="AD2501" s="11" t="b">
        <v>0</v>
      </c>
      <c r="AE2501" s="105"/>
      <c r="AF2501" s="11"/>
      <c r="AG2501" s="11"/>
      <c r="AH2501" s="11"/>
      <c r="AI2501" s="11"/>
    </row>
    <row r="2502" ht="12.5" spans="3:35">
      <c r="C2502" s="19"/>
      <c r="D2502" s="19"/>
      <c r="H2502" s="105"/>
      <c r="I2502" s="126"/>
      <c r="J2502" s="11"/>
      <c r="K2502" s="108"/>
      <c r="L2502" s="11"/>
      <c r="M2502" s="105"/>
      <c r="N2502" s="105"/>
      <c r="O2502" s="11"/>
      <c r="P2502" s="11"/>
      <c r="Q2502" s="105"/>
      <c r="R2502" s="105"/>
      <c r="S2502" s="105"/>
      <c r="T2502" s="105"/>
      <c r="U2502" s="105"/>
      <c r="V2502" s="105"/>
      <c r="W2502" s="105"/>
      <c r="X2502" s="11"/>
      <c r="Y2502" s="11"/>
      <c r="Z2502" s="105"/>
      <c r="AA2502" s="11"/>
      <c r="AB2502" s="11"/>
      <c r="AC2502" s="105"/>
      <c r="AD2502" s="11" t="b">
        <v>0</v>
      </c>
      <c r="AE2502" s="105"/>
      <c r="AF2502" s="11"/>
      <c r="AG2502" s="11"/>
      <c r="AH2502" s="11"/>
      <c r="AI2502" s="11"/>
    </row>
    <row r="2503" ht="12.5" spans="3:35">
      <c r="C2503" s="19"/>
      <c r="D2503" s="19"/>
      <c r="H2503" s="105"/>
      <c r="I2503" s="126"/>
      <c r="J2503" s="11"/>
      <c r="K2503" s="108"/>
      <c r="L2503" s="11"/>
      <c r="M2503" s="105"/>
      <c r="N2503" s="105"/>
      <c r="O2503" s="11"/>
      <c r="P2503" s="11"/>
      <c r="Q2503" s="105"/>
      <c r="R2503" s="105"/>
      <c r="S2503" s="105"/>
      <c r="T2503" s="105"/>
      <c r="U2503" s="105"/>
      <c r="V2503" s="105"/>
      <c r="W2503" s="105"/>
      <c r="X2503" s="11"/>
      <c r="Y2503" s="11"/>
      <c r="Z2503" s="105"/>
      <c r="AA2503" s="11"/>
      <c r="AB2503" s="11"/>
      <c r="AC2503" s="105"/>
      <c r="AD2503" s="11" t="b">
        <v>0</v>
      </c>
      <c r="AE2503" s="105"/>
      <c r="AF2503" s="11"/>
      <c r="AG2503" s="11"/>
      <c r="AH2503" s="11"/>
      <c r="AI2503" s="11"/>
    </row>
    <row r="2504" ht="12.5" spans="3:35">
      <c r="C2504" s="19"/>
      <c r="D2504" s="19"/>
      <c r="H2504" s="105"/>
      <c r="I2504" s="126"/>
      <c r="J2504" s="11"/>
      <c r="K2504" s="108"/>
      <c r="L2504" s="11"/>
      <c r="M2504" s="105"/>
      <c r="N2504" s="105"/>
      <c r="O2504" s="11"/>
      <c r="P2504" s="11"/>
      <c r="Q2504" s="105"/>
      <c r="R2504" s="105"/>
      <c r="S2504" s="105"/>
      <c r="T2504" s="105"/>
      <c r="U2504" s="105"/>
      <c r="V2504" s="105"/>
      <c r="W2504" s="105"/>
      <c r="X2504" s="11"/>
      <c r="Y2504" s="11"/>
      <c r="Z2504" s="105"/>
      <c r="AA2504" s="11"/>
      <c r="AB2504" s="11"/>
      <c r="AC2504" s="105"/>
      <c r="AD2504" s="11" t="b">
        <v>0</v>
      </c>
      <c r="AE2504" s="105"/>
      <c r="AF2504" s="11"/>
      <c r="AG2504" s="11"/>
      <c r="AH2504" s="11"/>
      <c r="AI2504" s="11"/>
    </row>
    <row r="2505" ht="12.5" spans="3:35">
      <c r="C2505" s="19"/>
      <c r="D2505" s="19"/>
      <c r="H2505" s="105"/>
      <c r="I2505" s="126"/>
      <c r="J2505" s="11"/>
      <c r="K2505" s="108"/>
      <c r="L2505" s="11"/>
      <c r="M2505" s="105"/>
      <c r="N2505" s="105"/>
      <c r="O2505" s="11"/>
      <c r="P2505" s="11"/>
      <c r="Q2505" s="105"/>
      <c r="R2505" s="105"/>
      <c r="S2505" s="105"/>
      <c r="T2505" s="105"/>
      <c r="U2505" s="105"/>
      <c r="V2505" s="105"/>
      <c r="W2505" s="105"/>
      <c r="X2505" s="11"/>
      <c r="Y2505" s="11"/>
      <c r="Z2505" s="105"/>
      <c r="AA2505" s="11"/>
      <c r="AB2505" s="11"/>
      <c r="AC2505" s="105"/>
      <c r="AD2505" s="11" t="b">
        <v>0</v>
      </c>
      <c r="AE2505" s="105"/>
      <c r="AF2505" s="11"/>
      <c r="AG2505" s="11"/>
      <c r="AH2505" s="11"/>
      <c r="AI2505" s="11"/>
    </row>
    <row r="2506" ht="12.5" spans="3:35">
      <c r="C2506" s="19"/>
      <c r="D2506" s="19"/>
      <c r="H2506" s="105"/>
      <c r="I2506" s="126"/>
      <c r="J2506" s="11"/>
      <c r="K2506" s="108"/>
      <c r="L2506" s="11"/>
      <c r="M2506" s="105"/>
      <c r="N2506" s="105"/>
      <c r="O2506" s="11"/>
      <c r="P2506" s="11"/>
      <c r="Q2506" s="105"/>
      <c r="R2506" s="105"/>
      <c r="S2506" s="105"/>
      <c r="T2506" s="105"/>
      <c r="U2506" s="105"/>
      <c r="V2506" s="105"/>
      <c r="W2506" s="105"/>
      <c r="X2506" s="11"/>
      <c r="Y2506" s="11"/>
      <c r="Z2506" s="105"/>
      <c r="AA2506" s="11"/>
      <c r="AB2506" s="11"/>
      <c r="AC2506" s="105"/>
      <c r="AD2506" s="11" t="b">
        <v>0</v>
      </c>
      <c r="AE2506" s="105"/>
      <c r="AF2506" s="11"/>
      <c r="AG2506" s="11"/>
      <c r="AH2506" s="11"/>
      <c r="AI2506" s="11"/>
    </row>
    <row r="2507" ht="12.5" spans="3:35">
      <c r="C2507" s="19"/>
      <c r="D2507" s="19"/>
      <c r="H2507" s="105"/>
      <c r="I2507" s="126"/>
      <c r="J2507" s="11"/>
      <c r="K2507" s="108"/>
      <c r="L2507" s="11"/>
      <c r="M2507" s="105"/>
      <c r="N2507" s="105"/>
      <c r="O2507" s="11"/>
      <c r="P2507" s="11"/>
      <c r="Q2507" s="105"/>
      <c r="R2507" s="105"/>
      <c r="S2507" s="105"/>
      <c r="T2507" s="105"/>
      <c r="U2507" s="105"/>
      <c r="V2507" s="105"/>
      <c r="W2507" s="105"/>
      <c r="X2507" s="11"/>
      <c r="Y2507" s="11"/>
      <c r="Z2507" s="105"/>
      <c r="AA2507" s="11"/>
      <c r="AB2507" s="11"/>
      <c r="AC2507" s="105"/>
      <c r="AD2507" s="11" t="b">
        <v>0</v>
      </c>
      <c r="AE2507" s="105"/>
      <c r="AF2507" s="11"/>
      <c r="AG2507" s="11"/>
      <c r="AH2507" s="11"/>
      <c r="AI2507" s="11"/>
    </row>
    <row r="2508" ht="12.5" spans="3:35">
      <c r="C2508" s="19"/>
      <c r="D2508" s="19"/>
      <c r="H2508" s="105"/>
      <c r="I2508" s="126"/>
      <c r="J2508" s="11"/>
      <c r="K2508" s="108"/>
      <c r="L2508" s="11"/>
      <c r="M2508" s="105"/>
      <c r="N2508" s="105"/>
      <c r="O2508" s="11"/>
      <c r="P2508" s="11"/>
      <c r="Q2508" s="105"/>
      <c r="R2508" s="105"/>
      <c r="S2508" s="105"/>
      <c r="T2508" s="105"/>
      <c r="U2508" s="105"/>
      <c r="V2508" s="105"/>
      <c r="W2508" s="105"/>
      <c r="X2508" s="11"/>
      <c r="Y2508" s="11"/>
      <c r="Z2508" s="105"/>
      <c r="AA2508" s="11"/>
      <c r="AB2508" s="11"/>
      <c r="AC2508" s="105"/>
      <c r="AD2508" s="11" t="b">
        <v>0</v>
      </c>
      <c r="AE2508" s="105"/>
      <c r="AF2508" s="11"/>
      <c r="AG2508" s="11"/>
      <c r="AH2508" s="11"/>
      <c r="AI2508" s="11"/>
    </row>
    <row r="2509" ht="12.5" spans="3:35">
      <c r="C2509" s="19"/>
      <c r="D2509" s="19"/>
      <c r="H2509" s="105"/>
      <c r="I2509" s="126"/>
      <c r="J2509" s="11"/>
      <c r="K2509" s="108"/>
      <c r="L2509" s="11"/>
      <c r="M2509" s="105"/>
      <c r="N2509" s="105"/>
      <c r="O2509" s="11"/>
      <c r="P2509" s="11"/>
      <c r="Q2509" s="105"/>
      <c r="R2509" s="105"/>
      <c r="S2509" s="105"/>
      <c r="T2509" s="105"/>
      <c r="U2509" s="105"/>
      <c r="V2509" s="105"/>
      <c r="W2509" s="105"/>
      <c r="X2509" s="11"/>
      <c r="Y2509" s="11"/>
      <c r="Z2509" s="105"/>
      <c r="AA2509" s="11"/>
      <c r="AB2509" s="11"/>
      <c r="AC2509" s="105"/>
      <c r="AD2509" s="11" t="b">
        <v>0</v>
      </c>
      <c r="AE2509" s="105"/>
      <c r="AF2509" s="11"/>
      <c r="AG2509" s="11"/>
      <c r="AH2509" s="11"/>
      <c r="AI2509" s="11"/>
    </row>
    <row r="2510" ht="12.5" spans="3:35">
      <c r="C2510" s="19"/>
      <c r="D2510" s="19"/>
      <c r="H2510" s="105"/>
      <c r="I2510" s="126"/>
      <c r="J2510" s="11"/>
      <c r="K2510" s="108"/>
      <c r="L2510" s="11"/>
      <c r="M2510" s="105"/>
      <c r="N2510" s="105"/>
      <c r="O2510" s="11"/>
      <c r="P2510" s="11"/>
      <c r="Q2510" s="105"/>
      <c r="R2510" s="105"/>
      <c r="S2510" s="105"/>
      <c r="T2510" s="105"/>
      <c r="U2510" s="105"/>
      <c r="V2510" s="105"/>
      <c r="W2510" s="105"/>
      <c r="X2510" s="11"/>
      <c r="Y2510" s="11"/>
      <c r="Z2510" s="105"/>
      <c r="AA2510" s="11"/>
      <c r="AB2510" s="11"/>
      <c r="AC2510" s="105"/>
      <c r="AD2510" s="11" t="b">
        <v>0</v>
      </c>
      <c r="AE2510" s="105"/>
      <c r="AF2510" s="11"/>
      <c r="AG2510" s="11"/>
      <c r="AH2510" s="11"/>
      <c r="AI2510" s="11"/>
    </row>
    <row r="2511" ht="12.5" spans="3:35">
      <c r="C2511" s="19"/>
      <c r="D2511" s="19"/>
      <c r="H2511" s="105"/>
      <c r="I2511" s="126"/>
      <c r="J2511" s="11"/>
      <c r="K2511" s="108"/>
      <c r="L2511" s="11"/>
      <c r="M2511" s="105"/>
      <c r="N2511" s="105"/>
      <c r="O2511" s="11"/>
      <c r="P2511" s="11"/>
      <c r="Q2511" s="105"/>
      <c r="R2511" s="105"/>
      <c r="S2511" s="105"/>
      <c r="T2511" s="105"/>
      <c r="U2511" s="105"/>
      <c r="V2511" s="105"/>
      <c r="W2511" s="105"/>
      <c r="X2511" s="11"/>
      <c r="Y2511" s="11"/>
      <c r="Z2511" s="105"/>
      <c r="AA2511" s="11"/>
      <c r="AB2511" s="11"/>
      <c r="AC2511" s="105"/>
      <c r="AD2511" s="11" t="b">
        <v>0</v>
      </c>
      <c r="AE2511" s="105"/>
      <c r="AF2511" s="11"/>
      <c r="AG2511" s="11"/>
      <c r="AH2511" s="11"/>
      <c r="AI2511" s="11"/>
    </row>
    <row r="2512" ht="12.5" spans="3:35">
      <c r="C2512" s="19"/>
      <c r="D2512" s="19"/>
      <c r="H2512" s="105"/>
      <c r="I2512" s="126"/>
      <c r="J2512" s="11"/>
      <c r="K2512" s="108"/>
      <c r="L2512" s="11"/>
      <c r="M2512" s="105"/>
      <c r="N2512" s="105"/>
      <c r="O2512" s="11"/>
      <c r="P2512" s="11"/>
      <c r="Q2512" s="105"/>
      <c r="R2512" s="105"/>
      <c r="S2512" s="105"/>
      <c r="T2512" s="105"/>
      <c r="U2512" s="105"/>
      <c r="V2512" s="105"/>
      <c r="W2512" s="105"/>
      <c r="X2512" s="11"/>
      <c r="Y2512" s="11"/>
      <c r="Z2512" s="105"/>
      <c r="AA2512" s="11"/>
      <c r="AB2512" s="11"/>
      <c r="AC2512" s="105"/>
      <c r="AD2512" s="11" t="b">
        <v>0</v>
      </c>
      <c r="AE2512" s="105"/>
      <c r="AF2512" s="11"/>
      <c r="AG2512" s="11"/>
      <c r="AH2512" s="11"/>
      <c r="AI2512" s="11"/>
    </row>
    <row r="2513" ht="12.5" spans="3:35">
      <c r="C2513" s="19"/>
      <c r="D2513" s="19"/>
      <c r="H2513" s="105"/>
      <c r="I2513" s="126"/>
      <c r="J2513" s="11"/>
      <c r="K2513" s="108"/>
      <c r="L2513" s="11"/>
      <c r="M2513" s="105"/>
      <c r="N2513" s="105"/>
      <c r="O2513" s="11"/>
      <c r="P2513" s="11"/>
      <c r="Q2513" s="105"/>
      <c r="R2513" s="105"/>
      <c r="S2513" s="105"/>
      <c r="T2513" s="105"/>
      <c r="U2513" s="105"/>
      <c r="V2513" s="105"/>
      <c r="W2513" s="105"/>
      <c r="X2513" s="11"/>
      <c r="Y2513" s="11"/>
      <c r="Z2513" s="105"/>
      <c r="AA2513" s="11"/>
      <c r="AB2513" s="11"/>
      <c r="AC2513" s="105"/>
      <c r="AD2513" s="11" t="b">
        <v>0</v>
      </c>
      <c r="AE2513" s="105"/>
      <c r="AF2513" s="11"/>
      <c r="AG2513" s="11"/>
      <c r="AH2513" s="11"/>
      <c r="AI2513" s="11"/>
    </row>
    <row r="2514" ht="12.5" spans="3:35">
      <c r="C2514" s="19"/>
      <c r="D2514" s="19"/>
      <c r="H2514" s="105"/>
      <c r="I2514" s="126"/>
      <c r="J2514" s="11"/>
      <c r="K2514" s="108"/>
      <c r="L2514" s="11"/>
      <c r="M2514" s="105"/>
      <c r="N2514" s="105"/>
      <c r="O2514" s="11"/>
      <c r="P2514" s="11"/>
      <c r="Q2514" s="105"/>
      <c r="R2514" s="105"/>
      <c r="S2514" s="105"/>
      <c r="T2514" s="105"/>
      <c r="U2514" s="105"/>
      <c r="V2514" s="105"/>
      <c r="W2514" s="105"/>
      <c r="X2514" s="11"/>
      <c r="Y2514" s="11"/>
      <c r="Z2514" s="105"/>
      <c r="AA2514" s="11"/>
      <c r="AB2514" s="11"/>
      <c r="AC2514" s="105"/>
      <c r="AD2514" s="11" t="b">
        <v>0</v>
      </c>
      <c r="AE2514" s="105"/>
      <c r="AF2514" s="11"/>
      <c r="AG2514" s="11"/>
      <c r="AH2514" s="11"/>
      <c r="AI2514" s="11"/>
    </row>
    <row r="2515" ht="12.5" spans="3:35">
      <c r="C2515" s="19"/>
      <c r="D2515" s="19"/>
      <c r="H2515" s="105"/>
      <c r="I2515" s="126"/>
      <c r="J2515" s="11"/>
      <c r="K2515" s="108"/>
      <c r="L2515" s="11"/>
      <c r="M2515" s="105"/>
      <c r="N2515" s="105"/>
      <c r="O2515" s="11"/>
      <c r="P2515" s="11"/>
      <c r="Q2515" s="105"/>
      <c r="R2515" s="105"/>
      <c r="S2515" s="105"/>
      <c r="T2515" s="105"/>
      <c r="U2515" s="105"/>
      <c r="V2515" s="105"/>
      <c r="W2515" s="105"/>
      <c r="X2515" s="11"/>
      <c r="Y2515" s="11"/>
      <c r="Z2515" s="105"/>
      <c r="AA2515" s="11"/>
      <c r="AB2515" s="11"/>
      <c r="AC2515" s="105"/>
      <c r="AD2515" s="11" t="b">
        <v>0</v>
      </c>
      <c r="AE2515" s="105"/>
      <c r="AF2515" s="11"/>
      <c r="AG2515" s="11"/>
      <c r="AH2515" s="11"/>
      <c r="AI2515" s="11"/>
    </row>
    <row r="2516" ht="12.5" spans="3:35">
      <c r="C2516" s="19"/>
      <c r="D2516" s="19"/>
      <c r="H2516" s="105"/>
      <c r="I2516" s="126"/>
      <c r="J2516" s="11"/>
      <c r="K2516" s="108"/>
      <c r="L2516" s="11"/>
      <c r="M2516" s="105"/>
      <c r="N2516" s="105"/>
      <c r="O2516" s="11"/>
      <c r="P2516" s="11"/>
      <c r="Q2516" s="105"/>
      <c r="R2516" s="105"/>
      <c r="S2516" s="105"/>
      <c r="T2516" s="105"/>
      <c r="U2516" s="105"/>
      <c r="V2516" s="105"/>
      <c r="W2516" s="105"/>
      <c r="X2516" s="11"/>
      <c r="Y2516" s="11"/>
      <c r="Z2516" s="105"/>
      <c r="AA2516" s="11"/>
      <c r="AB2516" s="11"/>
      <c r="AC2516" s="105"/>
      <c r="AD2516" s="11" t="b">
        <v>0</v>
      </c>
      <c r="AE2516" s="105"/>
      <c r="AF2516" s="11"/>
      <c r="AG2516" s="11"/>
      <c r="AH2516" s="11"/>
      <c r="AI2516" s="11"/>
    </row>
    <row r="2517" ht="12.5" spans="3:35">
      <c r="C2517" s="19"/>
      <c r="D2517" s="19"/>
      <c r="H2517" s="105"/>
      <c r="I2517" s="126"/>
      <c r="J2517" s="11"/>
      <c r="K2517" s="108"/>
      <c r="L2517" s="11"/>
      <c r="M2517" s="105"/>
      <c r="N2517" s="105"/>
      <c r="O2517" s="11"/>
      <c r="P2517" s="11"/>
      <c r="Q2517" s="105"/>
      <c r="R2517" s="105"/>
      <c r="S2517" s="105"/>
      <c r="T2517" s="105"/>
      <c r="U2517" s="105"/>
      <c r="V2517" s="105"/>
      <c r="W2517" s="105"/>
      <c r="X2517" s="11"/>
      <c r="Y2517" s="11"/>
      <c r="Z2517" s="105"/>
      <c r="AA2517" s="11"/>
      <c r="AB2517" s="11"/>
      <c r="AC2517" s="105"/>
      <c r="AD2517" s="11" t="b">
        <v>0</v>
      </c>
      <c r="AE2517" s="105"/>
      <c r="AF2517" s="11"/>
      <c r="AG2517" s="11"/>
      <c r="AH2517" s="11"/>
      <c r="AI2517" s="11"/>
    </row>
    <row r="2518" ht="12.5" spans="3:35">
      <c r="C2518" s="19"/>
      <c r="D2518" s="19"/>
      <c r="H2518" s="105"/>
      <c r="I2518" s="126"/>
      <c r="J2518" s="11"/>
      <c r="K2518" s="108"/>
      <c r="L2518" s="11"/>
      <c r="M2518" s="105"/>
      <c r="N2518" s="105"/>
      <c r="O2518" s="11"/>
      <c r="P2518" s="11"/>
      <c r="Q2518" s="105"/>
      <c r="R2518" s="105"/>
      <c r="S2518" s="105"/>
      <c r="T2518" s="105"/>
      <c r="U2518" s="105"/>
      <c r="V2518" s="105"/>
      <c r="W2518" s="105"/>
      <c r="X2518" s="11"/>
      <c r="Y2518" s="11"/>
      <c r="Z2518" s="105"/>
      <c r="AA2518" s="11"/>
      <c r="AB2518" s="11"/>
      <c r="AC2518" s="105"/>
      <c r="AD2518" s="11" t="b">
        <v>0</v>
      </c>
      <c r="AE2518" s="105"/>
      <c r="AF2518" s="11"/>
      <c r="AG2518" s="11"/>
      <c r="AH2518" s="11"/>
      <c r="AI2518" s="11"/>
    </row>
    <row r="2519" ht="12.5" spans="3:35">
      <c r="C2519" s="19"/>
      <c r="D2519" s="19"/>
      <c r="H2519" s="105"/>
      <c r="I2519" s="126"/>
      <c r="J2519" s="11"/>
      <c r="K2519" s="108"/>
      <c r="L2519" s="11"/>
      <c r="M2519" s="105"/>
      <c r="N2519" s="105"/>
      <c r="O2519" s="11"/>
      <c r="P2519" s="11"/>
      <c r="Q2519" s="105"/>
      <c r="R2519" s="105"/>
      <c r="S2519" s="105"/>
      <c r="T2519" s="105"/>
      <c r="U2519" s="105"/>
      <c r="V2519" s="105"/>
      <c r="W2519" s="105"/>
      <c r="X2519" s="11"/>
      <c r="Y2519" s="11"/>
      <c r="Z2519" s="105"/>
      <c r="AA2519" s="11"/>
      <c r="AB2519" s="11"/>
      <c r="AC2519" s="105"/>
      <c r="AD2519" s="11" t="b">
        <v>0</v>
      </c>
      <c r="AE2519" s="105"/>
      <c r="AF2519" s="11"/>
      <c r="AG2519" s="11"/>
      <c r="AH2519" s="11"/>
      <c r="AI2519" s="11"/>
    </row>
    <row r="2520" ht="12.5" spans="3:35">
      <c r="C2520" s="19"/>
      <c r="D2520" s="19"/>
      <c r="H2520" s="105"/>
      <c r="I2520" s="126"/>
      <c r="J2520" s="11"/>
      <c r="K2520" s="108"/>
      <c r="L2520" s="11"/>
      <c r="M2520" s="105"/>
      <c r="N2520" s="105"/>
      <c r="O2520" s="11"/>
      <c r="P2520" s="11"/>
      <c r="Q2520" s="105"/>
      <c r="R2520" s="105"/>
      <c r="S2520" s="105"/>
      <c r="T2520" s="105"/>
      <c r="U2520" s="105"/>
      <c r="V2520" s="105"/>
      <c r="W2520" s="105"/>
      <c r="X2520" s="11"/>
      <c r="Y2520" s="11"/>
      <c r="Z2520" s="105"/>
      <c r="AA2520" s="11"/>
      <c r="AB2520" s="11"/>
      <c r="AC2520" s="105"/>
      <c r="AD2520" s="11" t="b">
        <v>0</v>
      </c>
      <c r="AE2520" s="105"/>
      <c r="AF2520" s="11"/>
      <c r="AG2520" s="11"/>
      <c r="AH2520" s="11"/>
      <c r="AI2520" s="11"/>
    </row>
    <row r="2521" ht="12.5" spans="3:35">
      <c r="C2521" s="19"/>
      <c r="D2521" s="19"/>
      <c r="H2521" s="105"/>
      <c r="I2521" s="126"/>
      <c r="J2521" s="11"/>
      <c r="K2521" s="108"/>
      <c r="L2521" s="11"/>
      <c r="M2521" s="105"/>
      <c r="N2521" s="105"/>
      <c r="O2521" s="11"/>
      <c r="P2521" s="11"/>
      <c r="Q2521" s="105"/>
      <c r="R2521" s="105"/>
      <c r="S2521" s="105"/>
      <c r="T2521" s="105"/>
      <c r="U2521" s="105"/>
      <c r="V2521" s="105"/>
      <c r="W2521" s="105"/>
      <c r="X2521" s="11"/>
      <c r="Y2521" s="11"/>
      <c r="Z2521" s="105"/>
      <c r="AA2521" s="11"/>
      <c r="AB2521" s="11"/>
      <c r="AC2521" s="105"/>
      <c r="AD2521" s="11" t="b">
        <v>0</v>
      </c>
      <c r="AE2521" s="105"/>
      <c r="AF2521" s="11"/>
      <c r="AG2521" s="11"/>
      <c r="AH2521" s="11"/>
      <c r="AI2521" s="11"/>
    </row>
    <row r="2522" ht="12.5" spans="3:35">
      <c r="C2522" s="19"/>
      <c r="D2522" s="19"/>
      <c r="H2522" s="105"/>
      <c r="I2522" s="126"/>
      <c r="J2522" s="11"/>
      <c r="K2522" s="108"/>
      <c r="L2522" s="11"/>
      <c r="M2522" s="105"/>
      <c r="N2522" s="105"/>
      <c r="O2522" s="11"/>
      <c r="P2522" s="11"/>
      <c r="Q2522" s="105"/>
      <c r="R2522" s="105"/>
      <c r="S2522" s="105"/>
      <c r="T2522" s="105"/>
      <c r="U2522" s="105"/>
      <c r="V2522" s="105"/>
      <c r="W2522" s="105"/>
      <c r="X2522" s="11"/>
      <c r="Y2522" s="11"/>
      <c r="Z2522" s="105"/>
      <c r="AA2522" s="11"/>
      <c r="AB2522" s="11"/>
      <c r="AC2522" s="105"/>
      <c r="AD2522" s="11" t="b">
        <v>0</v>
      </c>
      <c r="AE2522" s="105"/>
      <c r="AF2522" s="11"/>
      <c r="AG2522" s="11"/>
      <c r="AH2522" s="11"/>
      <c r="AI2522" s="11"/>
    </row>
    <row r="2523" ht="12.5" spans="3:35">
      <c r="C2523" s="19"/>
      <c r="D2523" s="19"/>
      <c r="H2523" s="105"/>
      <c r="I2523" s="126"/>
      <c r="J2523" s="11"/>
      <c r="K2523" s="108"/>
      <c r="L2523" s="11"/>
      <c r="M2523" s="105"/>
      <c r="N2523" s="105"/>
      <c r="O2523" s="11"/>
      <c r="P2523" s="11"/>
      <c r="Q2523" s="105"/>
      <c r="R2523" s="105"/>
      <c r="S2523" s="105"/>
      <c r="T2523" s="105"/>
      <c r="U2523" s="105"/>
      <c r="V2523" s="105"/>
      <c r="W2523" s="105"/>
      <c r="X2523" s="11"/>
      <c r="Y2523" s="11"/>
      <c r="Z2523" s="105"/>
      <c r="AA2523" s="11"/>
      <c r="AB2523" s="11"/>
      <c r="AC2523" s="105"/>
      <c r="AD2523" s="11" t="b">
        <v>0</v>
      </c>
      <c r="AE2523" s="105"/>
      <c r="AF2523" s="11"/>
      <c r="AG2523" s="11"/>
      <c r="AH2523" s="11"/>
      <c r="AI2523" s="11"/>
    </row>
    <row r="2524" ht="12.5" spans="3:35">
      <c r="C2524" s="19"/>
      <c r="D2524" s="19"/>
      <c r="H2524" s="105"/>
      <c r="I2524" s="126"/>
      <c r="J2524" s="11"/>
      <c r="K2524" s="108"/>
      <c r="L2524" s="11"/>
      <c r="M2524" s="105"/>
      <c r="N2524" s="105"/>
      <c r="O2524" s="11"/>
      <c r="P2524" s="11"/>
      <c r="Q2524" s="105"/>
      <c r="R2524" s="105"/>
      <c r="S2524" s="105"/>
      <c r="T2524" s="105"/>
      <c r="U2524" s="105"/>
      <c r="V2524" s="105"/>
      <c r="W2524" s="105"/>
      <c r="X2524" s="11"/>
      <c r="Y2524" s="11"/>
      <c r="Z2524" s="105"/>
      <c r="AA2524" s="11"/>
      <c r="AB2524" s="11"/>
      <c r="AC2524" s="105"/>
      <c r="AD2524" s="11" t="b">
        <v>0</v>
      </c>
      <c r="AE2524" s="105"/>
      <c r="AF2524" s="11"/>
      <c r="AG2524" s="11"/>
      <c r="AH2524" s="11"/>
      <c r="AI2524" s="11"/>
    </row>
    <row r="2525" ht="12.5" spans="3:35">
      <c r="C2525" s="19"/>
      <c r="D2525" s="19"/>
      <c r="H2525" s="105"/>
      <c r="I2525" s="126"/>
      <c r="J2525" s="11"/>
      <c r="K2525" s="108"/>
      <c r="L2525" s="11"/>
      <c r="M2525" s="105"/>
      <c r="N2525" s="105"/>
      <c r="O2525" s="11"/>
      <c r="P2525" s="11"/>
      <c r="Q2525" s="105"/>
      <c r="R2525" s="105"/>
      <c r="S2525" s="105"/>
      <c r="T2525" s="105"/>
      <c r="U2525" s="105"/>
      <c r="V2525" s="105"/>
      <c r="W2525" s="105"/>
      <c r="X2525" s="11"/>
      <c r="Y2525" s="11"/>
      <c r="Z2525" s="105"/>
      <c r="AA2525" s="11"/>
      <c r="AB2525" s="11"/>
      <c r="AC2525" s="105"/>
      <c r="AD2525" s="11" t="b">
        <v>0</v>
      </c>
      <c r="AE2525" s="105"/>
      <c r="AF2525" s="11"/>
      <c r="AG2525" s="11"/>
      <c r="AH2525" s="11"/>
      <c r="AI2525" s="11"/>
    </row>
    <row r="2526" ht="12.5" spans="3:35">
      <c r="C2526" s="19"/>
      <c r="D2526" s="19"/>
      <c r="H2526" s="105"/>
      <c r="I2526" s="126"/>
      <c r="J2526" s="11"/>
      <c r="K2526" s="108"/>
      <c r="L2526" s="11"/>
      <c r="M2526" s="105"/>
      <c r="N2526" s="105"/>
      <c r="O2526" s="11"/>
      <c r="P2526" s="11"/>
      <c r="Q2526" s="105"/>
      <c r="R2526" s="105"/>
      <c r="S2526" s="105"/>
      <c r="T2526" s="105"/>
      <c r="U2526" s="105"/>
      <c r="V2526" s="105"/>
      <c r="W2526" s="105"/>
      <c r="X2526" s="11"/>
      <c r="Y2526" s="11"/>
      <c r="Z2526" s="105"/>
      <c r="AA2526" s="11"/>
      <c r="AB2526" s="11"/>
      <c r="AC2526" s="105"/>
      <c r="AD2526" s="11" t="b">
        <v>0</v>
      </c>
      <c r="AE2526" s="105"/>
      <c r="AF2526" s="11"/>
      <c r="AG2526" s="11"/>
      <c r="AH2526" s="11"/>
      <c r="AI2526" s="11"/>
    </row>
    <row r="2527" ht="12.5" spans="3:35">
      <c r="C2527" s="19"/>
      <c r="D2527" s="19"/>
      <c r="H2527" s="105"/>
      <c r="I2527" s="126"/>
      <c r="J2527" s="11"/>
      <c r="K2527" s="108"/>
      <c r="L2527" s="11"/>
      <c r="M2527" s="105"/>
      <c r="N2527" s="105"/>
      <c r="O2527" s="11"/>
      <c r="P2527" s="11"/>
      <c r="Q2527" s="105"/>
      <c r="R2527" s="105"/>
      <c r="S2527" s="105"/>
      <c r="T2527" s="105"/>
      <c r="U2527" s="105"/>
      <c r="V2527" s="105"/>
      <c r="W2527" s="105"/>
      <c r="X2527" s="11"/>
      <c r="Y2527" s="11"/>
      <c r="Z2527" s="105"/>
      <c r="AA2527" s="11"/>
      <c r="AB2527" s="11"/>
      <c r="AC2527" s="105"/>
      <c r="AD2527" s="11" t="b">
        <v>0</v>
      </c>
      <c r="AE2527" s="105"/>
      <c r="AF2527" s="11"/>
      <c r="AG2527" s="11"/>
      <c r="AH2527" s="11"/>
      <c r="AI2527" s="11"/>
    </row>
    <row r="2528" ht="12.5" spans="3:35">
      <c r="C2528" s="19"/>
      <c r="D2528" s="19"/>
      <c r="H2528" s="105"/>
      <c r="I2528" s="126"/>
      <c r="J2528" s="11"/>
      <c r="K2528" s="108"/>
      <c r="L2528" s="11"/>
      <c r="M2528" s="105"/>
      <c r="N2528" s="105"/>
      <c r="O2528" s="11"/>
      <c r="P2528" s="11"/>
      <c r="Q2528" s="105"/>
      <c r="R2528" s="105"/>
      <c r="S2528" s="105"/>
      <c r="T2528" s="105"/>
      <c r="U2528" s="105"/>
      <c r="V2528" s="105"/>
      <c r="W2528" s="105"/>
      <c r="X2528" s="11"/>
      <c r="Y2528" s="11"/>
      <c r="Z2528" s="105"/>
      <c r="AA2528" s="11"/>
      <c r="AB2528" s="11"/>
      <c r="AC2528" s="105"/>
      <c r="AD2528" s="11" t="b">
        <v>0</v>
      </c>
      <c r="AE2528" s="105"/>
      <c r="AF2528" s="11"/>
      <c r="AG2528" s="11"/>
      <c r="AH2528" s="11"/>
      <c r="AI2528" s="11"/>
    </row>
    <row r="2529" ht="12.5" spans="3:35">
      <c r="C2529" s="19"/>
      <c r="D2529" s="19"/>
      <c r="H2529" s="105"/>
      <c r="I2529" s="126"/>
      <c r="J2529" s="11"/>
      <c r="K2529" s="108"/>
      <c r="L2529" s="11"/>
      <c r="M2529" s="105"/>
      <c r="N2529" s="105"/>
      <c r="O2529" s="11"/>
      <c r="P2529" s="11"/>
      <c r="Q2529" s="105"/>
      <c r="R2529" s="105"/>
      <c r="S2529" s="105"/>
      <c r="T2529" s="105"/>
      <c r="U2529" s="105"/>
      <c r="V2529" s="105"/>
      <c r="W2529" s="105"/>
      <c r="X2529" s="11"/>
      <c r="Y2529" s="11"/>
      <c r="Z2529" s="105"/>
      <c r="AA2529" s="11"/>
      <c r="AB2529" s="11"/>
      <c r="AC2529" s="105"/>
      <c r="AD2529" s="11" t="b">
        <v>0</v>
      </c>
      <c r="AE2529" s="105"/>
      <c r="AF2529" s="11"/>
      <c r="AG2529" s="11"/>
      <c r="AH2529" s="11"/>
      <c r="AI2529" s="11"/>
    </row>
    <row r="2530" ht="12.5" spans="3:35">
      <c r="C2530" s="19"/>
      <c r="D2530" s="19"/>
      <c r="H2530" s="105"/>
      <c r="I2530" s="126"/>
      <c r="J2530" s="11"/>
      <c r="K2530" s="108"/>
      <c r="L2530" s="11"/>
      <c r="M2530" s="105"/>
      <c r="N2530" s="105"/>
      <c r="O2530" s="11"/>
      <c r="P2530" s="11"/>
      <c r="Q2530" s="105"/>
      <c r="R2530" s="105"/>
      <c r="S2530" s="105"/>
      <c r="T2530" s="105"/>
      <c r="U2530" s="105"/>
      <c r="V2530" s="105"/>
      <c r="W2530" s="105"/>
      <c r="X2530" s="11"/>
      <c r="Y2530" s="11"/>
      <c r="Z2530" s="105"/>
      <c r="AA2530" s="11"/>
      <c r="AB2530" s="11"/>
      <c r="AC2530" s="105"/>
      <c r="AD2530" s="11" t="b">
        <v>0</v>
      </c>
      <c r="AE2530" s="105"/>
      <c r="AF2530" s="11"/>
      <c r="AG2530" s="11"/>
      <c r="AH2530" s="11"/>
      <c r="AI2530" s="11"/>
    </row>
    <row r="2531" ht="12.5" spans="3:35">
      <c r="C2531" s="19"/>
      <c r="D2531" s="19"/>
      <c r="H2531" s="105"/>
      <c r="I2531" s="126"/>
      <c r="J2531" s="11"/>
      <c r="K2531" s="108"/>
      <c r="L2531" s="11"/>
      <c r="M2531" s="105"/>
      <c r="N2531" s="105"/>
      <c r="O2531" s="11"/>
      <c r="P2531" s="11"/>
      <c r="Q2531" s="105"/>
      <c r="R2531" s="105"/>
      <c r="S2531" s="105"/>
      <c r="T2531" s="105"/>
      <c r="U2531" s="105"/>
      <c r="V2531" s="105"/>
      <c r="W2531" s="105"/>
      <c r="X2531" s="11"/>
      <c r="Y2531" s="11"/>
      <c r="Z2531" s="105"/>
      <c r="AA2531" s="11"/>
      <c r="AB2531" s="11"/>
      <c r="AC2531" s="105"/>
      <c r="AD2531" s="11" t="b">
        <v>0</v>
      </c>
      <c r="AE2531" s="105"/>
      <c r="AF2531" s="11"/>
      <c r="AG2531" s="11"/>
      <c r="AH2531" s="11"/>
      <c r="AI2531" s="11"/>
    </row>
    <row r="2532" ht="12.5" spans="3:35">
      <c r="C2532" s="19"/>
      <c r="D2532" s="19"/>
      <c r="H2532" s="105"/>
      <c r="I2532" s="126"/>
      <c r="J2532" s="11"/>
      <c r="K2532" s="108"/>
      <c r="L2532" s="11"/>
      <c r="M2532" s="105"/>
      <c r="N2532" s="105"/>
      <c r="O2532" s="11"/>
      <c r="P2532" s="11"/>
      <c r="Q2532" s="105"/>
      <c r="R2532" s="105"/>
      <c r="S2532" s="105"/>
      <c r="T2532" s="105"/>
      <c r="U2532" s="105"/>
      <c r="V2532" s="105"/>
      <c r="W2532" s="105"/>
      <c r="X2532" s="11"/>
      <c r="Y2532" s="11"/>
      <c r="Z2532" s="105"/>
      <c r="AA2532" s="11"/>
      <c r="AB2532" s="11"/>
      <c r="AC2532" s="105"/>
      <c r="AD2532" s="11" t="b">
        <v>0</v>
      </c>
      <c r="AE2532" s="105"/>
      <c r="AF2532" s="11"/>
      <c r="AG2532" s="11"/>
      <c r="AH2532" s="11"/>
      <c r="AI2532" s="11"/>
    </row>
    <row r="2533" ht="12.5" spans="3:35">
      <c r="C2533" s="19"/>
      <c r="D2533" s="19"/>
      <c r="H2533" s="105"/>
      <c r="I2533" s="126"/>
      <c r="J2533" s="11"/>
      <c r="K2533" s="108"/>
      <c r="L2533" s="11"/>
      <c r="M2533" s="105"/>
      <c r="N2533" s="105"/>
      <c r="O2533" s="11"/>
      <c r="P2533" s="11"/>
      <c r="Q2533" s="105"/>
      <c r="R2533" s="105"/>
      <c r="S2533" s="105"/>
      <c r="T2533" s="105"/>
      <c r="U2533" s="105"/>
      <c r="V2533" s="105"/>
      <c r="W2533" s="105"/>
      <c r="X2533" s="11"/>
      <c r="Y2533" s="11"/>
      <c r="Z2533" s="105"/>
      <c r="AA2533" s="11"/>
      <c r="AB2533" s="11"/>
      <c r="AC2533" s="105"/>
      <c r="AD2533" s="11" t="b">
        <v>0</v>
      </c>
      <c r="AE2533" s="105"/>
      <c r="AF2533" s="11"/>
      <c r="AG2533" s="11"/>
      <c r="AH2533" s="11"/>
      <c r="AI2533" s="11"/>
    </row>
    <row r="2534" ht="12.5" spans="3:35">
      <c r="C2534" s="19"/>
      <c r="D2534" s="19"/>
      <c r="H2534" s="105"/>
      <c r="I2534" s="126"/>
      <c r="J2534" s="11"/>
      <c r="K2534" s="108"/>
      <c r="L2534" s="11"/>
      <c r="M2534" s="105"/>
      <c r="N2534" s="105"/>
      <c r="O2534" s="11"/>
      <c r="P2534" s="11"/>
      <c r="Q2534" s="105"/>
      <c r="R2534" s="105"/>
      <c r="S2534" s="105"/>
      <c r="T2534" s="105"/>
      <c r="U2534" s="105"/>
      <c r="V2534" s="105"/>
      <c r="W2534" s="105"/>
      <c r="X2534" s="11"/>
      <c r="Y2534" s="11"/>
      <c r="Z2534" s="105"/>
      <c r="AA2534" s="11"/>
      <c r="AB2534" s="11"/>
      <c r="AC2534" s="105"/>
      <c r="AD2534" s="11" t="b">
        <v>0</v>
      </c>
      <c r="AE2534" s="105"/>
      <c r="AF2534" s="11"/>
      <c r="AG2534" s="11"/>
      <c r="AH2534" s="11"/>
      <c r="AI2534" s="11"/>
    </row>
    <row r="2535" ht="12.5" spans="3:35">
      <c r="C2535" s="19"/>
      <c r="D2535" s="19"/>
      <c r="H2535" s="105"/>
      <c r="I2535" s="126"/>
      <c r="J2535" s="11"/>
      <c r="K2535" s="108"/>
      <c r="L2535" s="11"/>
      <c r="M2535" s="105"/>
      <c r="N2535" s="105"/>
      <c r="O2535" s="11"/>
      <c r="P2535" s="11"/>
      <c r="Q2535" s="105"/>
      <c r="R2535" s="105"/>
      <c r="S2535" s="105"/>
      <c r="T2535" s="105"/>
      <c r="U2535" s="105"/>
      <c r="V2535" s="105"/>
      <c r="W2535" s="105"/>
      <c r="X2535" s="11"/>
      <c r="Y2535" s="11"/>
      <c r="Z2535" s="105"/>
      <c r="AA2535" s="11"/>
      <c r="AB2535" s="11"/>
      <c r="AC2535" s="105"/>
      <c r="AD2535" s="11" t="b">
        <v>0</v>
      </c>
      <c r="AE2535" s="105"/>
      <c r="AF2535" s="11"/>
      <c r="AG2535" s="11"/>
      <c r="AH2535" s="11"/>
      <c r="AI2535" s="11"/>
    </row>
    <row r="2536" ht="12.5" spans="3:35">
      <c r="C2536" s="19"/>
      <c r="D2536" s="19"/>
      <c r="H2536" s="105"/>
      <c r="I2536" s="126"/>
      <c r="J2536" s="11"/>
      <c r="K2536" s="108"/>
      <c r="L2536" s="11"/>
      <c r="M2536" s="105"/>
      <c r="N2536" s="105"/>
      <c r="O2536" s="11"/>
      <c r="P2536" s="11"/>
      <c r="Q2536" s="105"/>
      <c r="R2536" s="105"/>
      <c r="S2536" s="105"/>
      <c r="T2536" s="105"/>
      <c r="U2536" s="105"/>
      <c r="V2536" s="105"/>
      <c r="W2536" s="105"/>
      <c r="X2536" s="11"/>
      <c r="Y2536" s="11"/>
      <c r="Z2536" s="105"/>
      <c r="AA2536" s="11"/>
      <c r="AB2536" s="11"/>
      <c r="AC2536" s="105"/>
      <c r="AD2536" s="11" t="b">
        <v>0</v>
      </c>
      <c r="AE2536" s="105"/>
      <c r="AF2536" s="11"/>
      <c r="AG2536" s="11"/>
      <c r="AH2536" s="11"/>
      <c r="AI2536" s="11"/>
    </row>
    <row r="2537" ht="12.5" spans="3:35">
      <c r="C2537" s="19"/>
      <c r="D2537" s="19"/>
      <c r="H2537" s="105"/>
      <c r="I2537" s="126"/>
      <c r="J2537" s="11"/>
      <c r="K2537" s="108"/>
      <c r="L2537" s="11"/>
      <c r="M2537" s="105"/>
      <c r="N2537" s="105"/>
      <c r="O2537" s="11"/>
      <c r="P2537" s="11"/>
      <c r="Q2537" s="105"/>
      <c r="R2537" s="105"/>
      <c r="S2537" s="105"/>
      <c r="T2537" s="105"/>
      <c r="U2537" s="105"/>
      <c r="V2537" s="105"/>
      <c r="W2537" s="105"/>
      <c r="X2537" s="11"/>
      <c r="Y2537" s="11"/>
      <c r="Z2537" s="105"/>
      <c r="AA2537" s="11"/>
      <c r="AB2537" s="11"/>
      <c r="AC2537" s="105"/>
      <c r="AD2537" s="11" t="b">
        <v>0</v>
      </c>
      <c r="AE2537" s="105"/>
      <c r="AF2537" s="11"/>
      <c r="AG2537" s="11"/>
      <c r="AH2537" s="11"/>
      <c r="AI2537" s="11"/>
    </row>
    <row r="2538" ht="12.5" spans="3:35">
      <c r="C2538" s="19"/>
      <c r="D2538" s="19"/>
      <c r="H2538" s="105"/>
      <c r="I2538" s="126"/>
      <c r="J2538" s="11"/>
      <c r="K2538" s="108"/>
      <c r="L2538" s="11"/>
      <c r="M2538" s="105"/>
      <c r="N2538" s="105"/>
      <c r="O2538" s="11"/>
      <c r="P2538" s="11"/>
      <c r="Q2538" s="105"/>
      <c r="R2538" s="105"/>
      <c r="S2538" s="105"/>
      <c r="T2538" s="105"/>
      <c r="U2538" s="105"/>
      <c r="V2538" s="105"/>
      <c r="W2538" s="105"/>
      <c r="X2538" s="11"/>
      <c r="Y2538" s="11"/>
      <c r="Z2538" s="105"/>
      <c r="AA2538" s="11"/>
      <c r="AB2538" s="11"/>
      <c r="AC2538" s="105"/>
      <c r="AD2538" s="11" t="b">
        <v>0</v>
      </c>
      <c r="AE2538" s="105"/>
      <c r="AF2538" s="11"/>
      <c r="AG2538" s="11"/>
      <c r="AH2538" s="11"/>
      <c r="AI2538" s="11"/>
    </row>
    <row r="2539" ht="12.5" spans="3:35">
      <c r="C2539" s="19"/>
      <c r="D2539" s="19"/>
      <c r="H2539" s="105"/>
      <c r="I2539" s="126"/>
      <c r="J2539" s="11"/>
      <c r="K2539" s="108"/>
      <c r="L2539" s="11"/>
      <c r="M2539" s="105"/>
      <c r="N2539" s="105"/>
      <c r="O2539" s="11"/>
      <c r="P2539" s="11"/>
      <c r="Q2539" s="105"/>
      <c r="R2539" s="105"/>
      <c r="S2539" s="105"/>
      <c r="T2539" s="105"/>
      <c r="U2539" s="105"/>
      <c r="V2539" s="105"/>
      <c r="W2539" s="105"/>
      <c r="X2539" s="11"/>
      <c r="Y2539" s="11"/>
      <c r="Z2539" s="105"/>
      <c r="AA2539" s="11"/>
      <c r="AB2539" s="11"/>
      <c r="AC2539" s="105"/>
      <c r="AD2539" s="11" t="b">
        <v>0</v>
      </c>
      <c r="AE2539" s="105"/>
      <c r="AF2539" s="11"/>
      <c r="AG2539" s="11"/>
      <c r="AH2539" s="11"/>
      <c r="AI2539" s="11"/>
    </row>
    <row r="2540" ht="12.5" spans="3:35">
      <c r="C2540" s="19"/>
      <c r="D2540" s="19"/>
      <c r="H2540" s="105"/>
      <c r="I2540" s="126"/>
      <c r="J2540" s="11"/>
      <c r="K2540" s="108"/>
      <c r="L2540" s="11"/>
      <c r="M2540" s="105"/>
      <c r="N2540" s="105"/>
      <c r="O2540" s="11"/>
      <c r="P2540" s="11"/>
      <c r="Q2540" s="105"/>
      <c r="R2540" s="105"/>
      <c r="S2540" s="105"/>
      <c r="T2540" s="105"/>
      <c r="U2540" s="105"/>
      <c r="V2540" s="105"/>
      <c r="W2540" s="105"/>
      <c r="X2540" s="11"/>
      <c r="Y2540" s="11"/>
      <c r="Z2540" s="105"/>
      <c r="AA2540" s="11"/>
      <c r="AB2540" s="11"/>
      <c r="AC2540" s="105"/>
      <c r="AD2540" s="11" t="b">
        <v>0</v>
      </c>
      <c r="AE2540" s="105"/>
      <c r="AF2540" s="11"/>
      <c r="AG2540" s="11"/>
      <c r="AH2540" s="11"/>
      <c r="AI2540" s="11"/>
    </row>
    <row r="2541" ht="12.5" spans="3:35">
      <c r="C2541" s="19"/>
      <c r="D2541" s="19"/>
      <c r="H2541" s="105"/>
      <c r="I2541" s="126"/>
      <c r="J2541" s="11"/>
      <c r="K2541" s="108"/>
      <c r="L2541" s="11"/>
      <c r="M2541" s="105"/>
      <c r="N2541" s="105"/>
      <c r="O2541" s="11"/>
      <c r="P2541" s="11"/>
      <c r="Q2541" s="105"/>
      <c r="R2541" s="105"/>
      <c r="S2541" s="105"/>
      <c r="T2541" s="105"/>
      <c r="U2541" s="105"/>
      <c r="V2541" s="105"/>
      <c r="W2541" s="105"/>
      <c r="X2541" s="11"/>
      <c r="Y2541" s="11"/>
      <c r="Z2541" s="105"/>
      <c r="AA2541" s="11"/>
      <c r="AB2541" s="11"/>
      <c r="AC2541" s="105"/>
      <c r="AD2541" s="11" t="b">
        <v>0</v>
      </c>
      <c r="AE2541" s="105"/>
      <c r="AF2541" s="11"/>
      <c r="AG2541" s="11"/>
      <c r="AH2541" s="11"/>
      <c r="AI2541" s="11"/>
    </row>
    <row r="2542" ht="12.5" spans="3:35">
      <c r="C2542" s="19"/>
      <c r="D2542" s="19"/>
      <c r="H2542" s="105"/>
      <c r="I2542" s="126"/>
      <c r="J2542" s="11"/>
      <c r="K2542" s="108"/>
      <c r="L2542" s="11"/>
      <c r="M2542" s="105"/>
      <c r="N2542" s="105"/>
      <c r="O2542" s="11"/>
      <c r="P2542" s="11"/>
      <c r="Q2542" s="105"/>
      <c r="R2542" s="105"/>
      <c r="S2542" s="105"/>
      <c r="T2542" s="105"/>
      <c r="U2542" s="105"/>
      <c r="V2542" s="105"/>
      <c r="W2542" s="105"/>
      <c r="X2542" s="11"/>
      <c r="Y2542" s="11"/>
      <c r="Z2542" s="105"/>
      <c r="AA2542" s="11"/>
      <c r="AB2542" s="11"/>
      <c r="AC2542" s="105"/>
      <c r="AD2542" s="11" t="b">
        <v>0</v>
      </c>
      <c r="AE2542" s="105"/>
      <c r="AF2542" s="11"/>
      <c r="AG2542" s="11"/>
      <c r="AH2542" s="11"/>
      <c r="AI2542" s="11"/>
    </row>
    <row r="2543" ht="12.5" spans="3:35">
      <c r="C2543" s="19"/>
      <c r="D2543" s="19"/>
      <c r="H2543" s="105"/>
      <c r="I2543" s="126"/>
      <c r="J2543" s="11"/>
      <c r="K2543" s="108"/>
      <c r="L2543" s="11"/>
      <c r="M2543" s="105"/>
      <c r="N2543" s="105"/>
      <c r="O2543" s="11"/>
      <c r="P2543" s="11"/>
      <c r="Q2543" s="105"/>
      <c r="R2543" s="105"/>
      <c r="S2543" s="105"/>
      <c r="T2543" s="105"/>
      <c r="U2543" s="105"/>
      <c r="V2543" s="105"/>
      <c r="W2543" s="105"/>
      <c r="X2543" s="11"/>
      <c r="Y2543" s="11"/>
      <c r="Z2543" s="105"/>
      <c r="AA2543" s="11"/>
      <c r="AB2543" s="11"/>
      <c r="AC2543" s="105"/>
      <c r="AD2543" s="11" t="b">
        <v>0</v>
      </c>
      <c r="AE2543" s="105"/>
      <c r="AF2543" s="11"/>
      <c r="AG2543" s="11"/>
      <c r="AH2543" s="11"/>
      <c r="AI2543" s="11"/>
    </row>
    <row r="2544" ht="12.5" spans="3:35">
      <c r="C2544" s="19"/>
      <c r="D2544" s="19"/>
      <c r="H2544" s="105"/>
      <c r="I2544" s="126"/>
      <c r="J2544" s="11"/>
      <c r="K2544" s="108"/>
      <c r="L2544" s="11"/>
      <c r="M2544" s="105"/>
      <c r="N2544" s="105"/>
      <c r="O2544" s="11"/>
      <c r="P2544" s="11"/>
      <c r="Q2544" s="105"/>
      <c r="R2544" s="105"/>
      <c r="S2544" s="105"/>
      <c r="T2544" s="105"/>
      <c r="U2544" s="105"/>
      <c r="V2544" s="105"/>
      <c r="W2544" s="105"/>
      <c r="X2544" s="11"/>
      <c r="Y2544" s="11"/>
      <c r="Z2544" s="105"/>
      <c r="AA2544" s="11"/>
      <c r="AB2544" s="11"/>
      <c r="AC2544" s="105"/>
      <c r="AD2544" s="11" t="b">
        <v>0</v>
      </c>
      <c r="AE2544" s="105"/>
      <c r="AF2544" s="11"/>
      <c r="AG2544" s="11"/>
      <c r="AH2544" s="11"/>
      <c r="AI2544" s="11"/>
    </row>
    <row r="2545" ht="12.5" spans="3:35">
      <c r="C2545" s="19"/>
      <c r="D2545" s="19"/>
      <c r="H2545" s="105"/>
      <c r="I2545" s="126"/>
      <c r="J2545" s="11"/>
      <c r="K2545" s="108"/>
      <c r="L2545" s="11"/>
      <c r="M2545" s="105"/>
      <c r="N2545" s="105"/>
      <c r="O2545" s="11"/>
      <c r="P2545" s="11"/>
      <c r="Q2545" s="105"/>
      <c r="R2545" s="105"/>
      <c r="S2545" s="105"/>
      <c r="T2545" s="105"/>
      <c r="U2545" s="105"/>
      <c r="V2545" s="105"/>
      <c r="W2545" s="105"/>
      <c r="X2545" s="11"/>
      <c r="Y2545" s="11"/>
      <c r="Z2545" s="105"/>
      <c r="AA2545" s="11"/>
      <c r="AB2545" s="11"/>
      <c r="AC2545" s="105"/>
      <c r="AD2545" s="11" t="b">
        <v>0</v>
      </c>
      <c r="AE2545" s="105"/>
      <c r="AF2545" s="11"/>
      <c r="AG2545" s="11"/>
      <c r="AH2545" s="11"/>
      <c r="AI2545" s="11"/>
    </row>
    <row r="2546" ht="12.5" spans="3:35">
      <c r="C2546" s="19"/>
      <c r="D2546" s="19"/>
      <c r="H2546" s="105"/>
      <c r="I2546" s="126"/>
      <c r="J2546" s="11"/>
      <c r="K2546" s="108"/>
      <c r="L2546" s="11"/>
      <c r="M2546" s="105"/>
      <c r="N2546" s="105"/>
      <c r="O2546" s="11"/>
      <c r="P2546" s="11"/>
      <c r="Q2546" s="105"/>
      <c r="R2546" s="105"/>
      <c r="S2546" s="105"/>
      <c r="T2546" s="105"/>
      <c r="U2546" s="105"/>
      <c r="V2546" s="105"/>
      <c r="W2546" s="105"/>
      <c r="X2546" s="11"/>
      <c r="Y2546" s="11"/>
      <c r="Z2546" s="105"/>
      <c r="AA2546" s="11"/>
      <c r="AB2546" s="11"/>
      <c r="AC2546" s="105"/>
      <c r="AD2546" s="11" t="b">
        <v>0</v>
      </c>
      <c r="AE2546" s="105"/>
      <c r="AF2546" s="11"/>
      <c r="AG2546" s="11"/>
      <c r="AH2546" s="11"/>
      <c r="AI2546" s="11"/>
    </row>
    <row r="2547" ht="12.5" spans="3:35">
      <c r="C2547" s="19"/>
      <c r="D2547" s="19"/>
      <c r="H2547" s="105"/>
      <c r="I2547" s="126"/>
      <c r="J2547" s="11"/>
      <c r="K2547" s="108"/>
      <c r="L2547" s="11"/>
      <c r="M2547" s="105"/>
      <c r="N2547" s="105"/>
      <c r="O2547" s="11"/>
      <c r="P2547" s="11"/>
      <c r="Q2547" s="105"/>
      <c r="R2547" s="105"/>
      <c r="S2547" s="105"/>
      <c r="T2547" s="105"/>
      <c r="U2547" s="105"/>
      <c r="V2547" s="105"/>
      <c r="W2547" s="105"/>
      <c r="X2547" s="11"/>
      <c r="Y2547" s="11"/>
      <c r="Z2547" s="105"/>
      <c r="AA2547" s="11"/>
      <c r="AB2547" s="11"/>
      <c r="AC2547" s="105"/>
      <c r="AD2547" s="11" t="b">
        <v>0</v>
      </c>
      <c r="AE2547" s="105"/>
      <c r="AF2547" s="11"/>
      <c r="AG2547" s="11"/>
      <c r="AH2547" s="11"/>
      <c r="AI2547" s="11"/>
    </row>
    <row r="2548" ht="12.5" spans="3:35">
      <c r="C2548" s="19"/>
      <c r="D2548" s="19"/>
      <c r="H2548" s="105"/>
      <c r="I2548" s="126"/>
      <c r="J2548" s="11"/>
      <c r="K2548" s="108"/>
      <c r="L2548" s="11"/>
      <c r="M2548" s="105"/>
      <c r="N2548" s="105"/>
      <c r="O2548" s="11"/>
      <c r="P2548" s="11"/>
      <c r="Q2548" s="105"/>
      <c r="R2548" s="105"/>
      <c r="S2548" s="105"/>
      <c r="T2548" s="105"/>
      <c r="U2548" s="105"/>
      <c r="V2548" s="105"/>
      <c r="W2548" s="105"/>
      <c r="X2548" s="11"/>
      <c r="Y2548" s="11"/>
      <c r="Z2548" s="105"/>
      <c r="AA2548" s="11"/>
      <c r="AB2548" s="11"/>
      <c r="AC2548" s="105"/>
      <c r="AD2548" s="11" t="b">
        <v>0</v>
      </c>
      <c r="AE2548" s="105"/>
      <c r="AF2548" s="11"/>
      <c r="AG2548" s="11"/>
      <c r="AH2548" s="11"/>
      <c r="AI2548" s="11"/>
    </row>
    <row r="2549" ht="12.5" spans="3:35">
      <c r="C2549" s="19"/>
      <c r="D2549" s="19"/>
      <c r="H2549" s="105"/>
      <c r="I2549" s="126"/>
      <c r="J2549" s="11"/>
      <c r="K2549" s="108"/>
      <c r="L2549" s="11"/>
      <c r="M2549" s="105"/>
      <c r="N2549" s="105"/>
      <c r="O2549" s="11"/>
      <c r="P2549" s="11"/>
      <c r="Q2549" s="105"/>
      <c r="R2549" s="105"/>
      <c r="S2549" s="105"/>
      <c r="T2549" s="105"/>
      <c r="U2549" s="105"/>
      <c r="V2549" s="105"/>
      <c r="W2549" s="105"/>
      <c r="X2549" s="11"/>
      <c r="Y2549" s="11"/>
      <c r="Z2549" s="105"/>
      <c r="AA2549" s="11"/>
      <c r="AB2549" s="11"/>
      <c r="AC2549" s="105"/>
      <c r="AD2549" s="11" t="b">
        <v>0</v>
      </c>
      <c r="AE2549" s="105"/>
      <c r="AF2549" s="11"/>
      <c r="AG2549" s="11"/>
      <c r="AH2549" s="11"/>
      <c r="AI2549" s="11"/>
    </row>
    <row r="2550" ht="12.5" spans="3:35">
      <c r="C2550" s="19"/>
      <c r="D2550" s="19"/>
      <c r="H2550" s="105"/>
      <c r="I2550" s="126"/>
      <c r="J2550" s="11"/>
      <c r="K2550" s="108"/>
      <c r="L2550" s="11"/>
      <c r="M2550" s="105"/>
      <c r="N2550" s="105"/>
      <c r="O2550" s="11"/>
      <c r="P2550" s="11"/>
      <c r="Q2550" s="105"/>
      <c r="R2550" s="105"/>
      <c r="S2550" s="105"/>
      <c r="T2550" s="105"/>
      <c r="U2550" s="105"/>
      <c r="V2550" s="105"/>
      <c r="W2550" s="105"/>
      <c r="X2550" s="11"/>
      <c r="Y2550" s="11"/>
      <c r="Z2550" s="105"/>
      <c r="AA2550" s="11"/>
      <c r="AB2550" s="11"/>
      <c r="AC2550" s="105"/>
      <c r="AD2550" s="11" t="b">
        <v>0</v>
      </c>
      <c r="AE2550" s="105"/>
      <c r="AF2550" s="11"/>
      <c r="AG2550" s="11"/>
      <c r="AH2550" s="11"/>
      <c r="AI2550" s="11"/>
    </row>
    <row r="2551" ht="12.5" spans="3:35">
      <c r="C2551" s="19"/>
      <c r="D2551" s="19"/>
      <c r="H2551" s="105"/>
      <c r="I2551" s="126"/>
      <c r="J2551" s="11"/>
      <c r="K2551" s="108"/>
      <c r="L2551" s="11"/>
      <c r="M2551" s="105"/>
      <c r="N2551" s="105"/>
      <c r="O2551" s="11"/>
      <c r="P2551" s="11"/>
      <c r="Q2551" s="105"/>
      <c r="R2551" s="105"/>
      <c r="S2551" s="105"/>
      <c r="T2551" s="105"/>
      <c r="U2551" s="105"/>
      <c r="V2551" s="105"/>
      <c r="W2551" s="105"/>
      <c r="X2551" s="11"/>
      <c r="Y2551" s="11"/>
      <c r="Z2551" s="105"/>
      <c r="AA2551" s="11"/>
      <c r="AB2551" s="11"/>
      <c r="AC2551" s="105"/>
      <c r="AD2551" s="11" t="b">
        <v>0</v>
      </c>
      <c r="AE2551" s="105"/>
      <c r="AF2551" s="11"/>
      <c r="AG2551" s="11"/>
      <c r="AH2551" s="11"/>
      <c r="AI2551" s="11"/>
    </row>
    <row r="2552" ht="12.5" spans="3:35">
      <c r="C2552" s="19"/>
      <c r="D2552" s="19"/>
      <c r="H2552" s="105"/>
      <c r="I2552" s="126"/>
      <c r="J2552" s="11"/>
      <c r="K2552" s="108"/>
      <c r="L2552" s="11"/>
      <c r="M2552" s="105"/>
      <c r="N2552" s="105"/>
      <c r="O2552" s="11"/>
      <c r="P2552" s="11"/>
      <c r="Q2552" s="105"/>
      <c r="R2552" s="105"/>
      <c r="S2552" s="105"/>
      <c r="T2552" s="105"/>
      <c r="U2552" s="105"/>
      <c r="V2552" s="105"/>
      <c r="W2552" s="105"/>
      <c r="X2552" s="11"/>
      <c r="Y2552" s="11"/>
      <c r="Z2552" s="105"/>
      <c r="AA2552" s="11"/>
      <c r="AB2552" s="11"/>
      <c r="AC2552" s="105"/>
      <c r="AD2552" s="11" t="b">
        <v>0</v>
      </c>
      <c r="AE2552" s="105"/>
      <c r="AF2552" s="11"/>
      <c r="AG2552" s="11"/>
      <c r="AH2552" s="11"/>
      <c r="AI2552" s="11"/>
    </row>
    <row r="2553" ht="12.5" spans="3:35">
      <c r="C2553" s="19"/>
      <c r="D2553" s="19"/>
      <c r="H2553" s="105"/>
      <c r="I2553" s="126"/>
      <c r="J2553" s="11"/>
      <c r="K2553" s="108"/>
      <c r="L2553" s="11"/>
      <c r="M2553" s="105"/>
      <c r="N2553" s="105"/>
      <c r="O2553" s="11"/>
      <c r="P2553" s="11"/>
      <c r="Q2553" s="105"/>
      <c r="R2553" s="105"/>
      <c r="S2553" s="105"/>
      <c r="T2553" s="105"/>
      <c r="U2553" s="105"/>
      <c r="V2553" s="105"/>
      <c r="W2553" s="105"/>
      <c r="X2553" s="11"/>
      <c r="Y2553" s="11"/>
      <c r="Z2553" s="105"/>
      <c r="AA2553" s="11"/>
      <c r="AB2553" s="11"/>
      <c r="AC2553" s="105"/>
      <c r="AD2553" s="11" t="b">
        <v>0</v>
      </c>
      <c r="AE2553" s="105"/>
      <c r="AF2553" s="11"/>
      <c r="AG2553" s="11"/>
      <c r="AH2553" s="11"/>
      <c r="AI2553" s="11"/>
    </row>
    <row r="2554" ht="12.5" spans="3:35">
      <c r="C2554" s="19"/>
      <c r="D2554" s="19"/>
      <c r="H2554" s="105"/>
      <c r="I2554" s="126"/>
      <c r="J2554" s="11"/>
      <c r="K2554" s="108"/>
      <c r="L2554" s="11"/>
      <c r="M2554" s="105"/>
      <c r="N2554" s="105"/>
      <c r="O2554" s="11"/>
      <c r="P2554" s="11"/>
      <c r="Q2554" s="105"/>
      <c r="R2554" s="105"/>
      <c r="S2554" s="105"/>
      <c r="T2554" s="105"/>
      <c r="U2554" s="105"/>
      <c r="V2554" s="105"/>
      <c r="W2554" s="105"/>
      <c r="X2554" s="11"/>
      <c r="Y2554" s="11"/>
      <c r="Z2554" s="105"/>
      <c r="AA2554" s="11"/>
      <c r="AB2554" s="11"/>
      <c r="AC2554" s="105"/>
      <c r="AD2554" s="11" t="b">
        <v>0</v>
      </c>
      <c r="AE2554" s="105"/>
      <c r="AF2554" s="11"/>
      <c r="AG2554" s="11"/>
      <c r="AH2554" s="11"/>
      <c r="AI2554" s="11"/>
    </row>
    <row r="2555" ht="12.5" spans="3:35">
      <c r="C2555" s="19"/>
      <c r="D2555" s="19"/>
      <c r="H2555" s="105"/>
      <c r="I2555" s="126"/>
      <c r="J2555" s="11"/>
      <c r="K2555" s="108"/>
      <c r="L2555" s="11"/>
      <c r="M2555" s="105"/>
      <c r="N2555" s="105"/>
      <c r="O2555" s="11"/>
      <c r="P2555" s="11"/>
      <c r="Q2555" s="105"/>
      <c r="R2555" s="105"/>
      <c r="S2555" s="105"/>
      <c r="T2555" s="105"/>
      <c r="U2555" s="105"/>
      <c r="V2555" s="105"/>
      <c r="W2555" s="105"/>
      <c r="X2555" s="11"/>
      <c r="Y2555" s="11"/>
      <c r="Z2555" s="105"/>
      <c r="AA2555" s="11"/>
      <c r="AB2555" s="11"/>
      <c r="AC2555" s="105"/>
      <c r="AD2555" s="11" t="b">
        <v>0</v>
      </c>
      <c r="AE2555" s="105"/>
      <c r="AF2555" s="11"/>
      <c r="AG2555" s="11"/>
      <c r="AH2555" s="11"/>
      <c r="AI2555" s="11"/>
    </row>
    <row r="2556" ht="12.5" spans="3:35">
      <c r="C2556" s="19"/>
      <c r="D2556" s="19"/>
      <c r="H2556" s="105"/>
      <c r="I2556" s="126"/>
      <c r="J2556" s="11"/>
      <c r="K2556" s="108"/>
      <c r="L2556" s="11"/>
      <c r="M2556" s="105"/>
      <c r="N2556" s="105"/>
      <c r="O2556" s="11"/>
      <c r="P2556" s="11"/>
      <c r="Q2556" s="105"/>
      <c r="R2556" s="105"/>
      <c r="S2556" s="105"/>
      <c r="T2556" s="105"/>
      <c r="U2556" s="105"/>
      <c r="V2556" s="105"/>
      <c r="W2556" s="105"/>
      <c r="X2556" s="11"/>
      <c r="Y2556" s="11"/>
      <c r="Z2556" s="105"/>
      <c r="AA2556" s="11"/>
      <c r="AB2556" s="11"/>
      <c r="AC2556" s="105"/>
      <c r="AD2556" s="11" t="b">
        <v>0</v>
      </c>
      <c r="AE2556" s="105"/>
      <c r="AF2556" s="11"/>
      <c r="AG2556" s="11"/>
      <c r="AH2556" s="11"/>
      <c r="AI2556" s="11"/>
    </row>
    <row r="2557" ht="12.5" spans="3:35">
      <c r="C2557" s="19"/>
      <c r="D2557" s="19"/>
      <c r="H2557" s="105"/>
      <c r="I2557" s="126"/>
      <c r="J2557" s="11"/>
      <c r="K2557" s="108"/>
      <c r="L2557" s="11"/>
      <c r="M2557" s="105"/>
      <c r="N2557" s="105"/>
      <c r="O2557" s="11"/>
      <c r="P2557" s="11"/>
      <c r="Q2557" s="105"/>
      <c r="R2557" s="105"/>
      <c r="S2557" s="105"/>
      <c r="T2557" s="105"/>
      <c r="U2557" s="105"/>
      <c r="V2557" s="105"/>
      <c r="W2557" s="105"/>
      <c r="X2557" s="11"/>
      <c r="Y2557" s="11"/>
      <c r="Z2557" s="105"/>
      <c r="AA2557" s="11"/>
      <c r="AB2557" s="11"/>
      <c r="AC2557" s="105"/>
      <c r="AD2557" s="11" t="b">
        <v>0</v>
      </c>
      <c r="AE2557" s="105"/>
      <c r="AF2557" s="11"/>
      <c r="AG2557" s="11"/>
      <c r="AH2557" s="11"/>
      <c r="AI2557" s="11"/>
    </row>
    <row r="2558" ht="12.5" spans="3:35">
      <c r="C2558" s="19"/>
      <c r="D2558" s="19"/>
      <c r="H2558" s="105"/>
      <c r="I2558" s="126"/>
      <c r="J2558" s="11"/>
      <c r="K2558" s="108"/>
      <c r="L2558" s="11"/>
      <c r="M2558" s="105"/>
      <c r="N2558" s="105"/>
      <c r="O2558" s="11"/>
      <c r="P2558" s="11"/>
      <c r="Q2558" s="105"/>
      <c r="R2558" s="105"/>
      <c r="S2558" s="105"/>
      <c r="T2558" s="105"/>
      <c r="U2558" s="105"/>
      <c r="V2558" s="105"/>
      <c r="W2558" s="105"/>
      <c r="X2558" s="11"/>
      <c r="Y2558" s="11"/>
      <c r="Z2558" s="105"/>
      <c r="AA2558" s="11"/>
      <c r="AB2558" s="11"/>
      <c r="AC2558" s="105"/>
      <c r="AD2558" s="11" t="b">
        <v>0</v>
      </c>
      <c r="AE2558" s="105"/>
      <c r="AF2558" s="11"/>
      <c r="AG2558" s="11"/>
      <c r="AH2558" s="11"/>
      <c r="AI2558" s="11"/>
    </row>
    <row r="2559" ht="12.5" spans="3:35">
      <c r="C2559" s="19"/>
      <c r="D2559" s="19"/>
      <c r="H2559" s="105"/>
      <c r="I2559" s="126"/>
      <c r="J2559" s="11"/>
      <c r="K2559" s="108"/>
      <c r="L2559" s="11"/>
      <c r="M2559" s="105"/>
      <c r="N2559" s="105"/>
      <c r="O2559" s="11"/>
      <c r="P2559" s="11"/>
      <c r="Q2559" s="105"/>
      <c r="R2559" s="105"/>
      <c r="S2559" s="105"/>
      <c r="T2559" s="105"/>
      <c r="U2559" s="105"/>
      <c r="V2559" s="105"/>
      <c r="W2559" s="105"/>
      <c r="X2559" s="11"/>
      <c r="Y2559" s="11"/>
      <c r="Z2559" s="105"/>
      <c r="AA2559" s="11"/>
      <c r="AB2559" s="11"/>
      <c r="AC2559" s="105"/>
      <c r="AD2559" s="11" t="b">
        <v>0</v>
      </c>
      <c r="AE2559" s="105"/>
      <c r="AF2559" s="11"/>
      <c r="AG2559" s="11"/>
      <c r="AH2559" s="11"/>
      <c r="AI2559" s="11"/>
    </row>
    <row r="2560" ht="12.5" spans="3:35">
      <c r="C2560" s="19"/>
      <c r="D2560" s="19"/>
      <c r="H2560" s="105"/>
      <c r="I2560" s="126"/>
      <c r="J2560" s="11"/>
      <c r="K2560" s="108"/>
      <c r="L2560" s="11"/>
      <c r="M2560" s="105"/>
      <c r="N2560" s="105"/>
      <c r="O2560" s="11"/>
      <c r="P2560" s="11"/>
      <c r="Q2560" s="105"/>
      <c r="R2560" s="105"/>
      <c r="S2560" s="105"/>
      <c r="T2560" s="105"/>
      <c r="U2560" s="105"/>
      <c r="V2560" s="105"/>
      <c r="W2560" s="105"/>
      <c r="X2560" s="11"/>
      <c r="Y2560" s="11"/>
      <c r="Z2560" s="105"/>
      <c r="AA2560" s="11"/>
      <c r="AB2560" s="11"/>
      <c r="AC2560" s="105"/>
      <c r="AD2560" s="11" t="b">
        <v>0</v>
      </c>
      <c r="AE2560" s="105"/>
      <c r="AF2560" s="11"/>
      <c r="AG2560" s="11"/>
      <c r="AH2560" s="11"/>
      <c r="AI2560" s="11"/>
    </row>
    <row r="2561" ht="12.5" spans="3:35">
      <c r="C2561" s="19"/>
      <c r="D2561" s="19"/>
      <c r="H2561" s="105"/>
      <c r="I2561" s="126"/>
      <c r="J2561" s="11"/>
      <c r="K2561" s="108"/>
      <c r="L2561" s="11"/>
      <c r="M2561" s="105"/>
      <c r="N2561" s="105"/>
      <c r="O2561" s="11"/>
      <c r="P2561" s="11"/>
      <c r="Q2561" s="105"/>
      <c r="R2561" s="105"/>
      <c r="S2561" s="105"/>
      <c r="T2561" s="105"/>
      <c r="U2561" s="105"/>
      <c r="V2561" s="105"/>
      <c r="W2561" s="105"/>
      <c r="X2561" s="11"/>
      <c r="Y2561" s="11"/>
      <c r="Z2561" s="105"/>
      <c r="AA2561" s="11"/>
      <c r="AB2561" s="11"/>
      <c r="AC2561" s="105"/>
      <c r="AD2561" s="11" t="b">
        <v>0</v>
      </c>
      <c r="AE2561" s="105"/>
      <c r="AF2561" s="11"/>
      <c r="AG2561" s="11"/>
      <c r="AH2561" s="11"/>
      <c r="AI2561" s="11"/>
    </row>
    <row r="2562" ht="12.5" spans="3:35">
      <c r="C2562" s="19"/>
      <c r="D2562" s="19"/>
      <c r="H2562" s="105"/>
      <c r="I2562" s="126"/>
      <c r="J2562" s="11"/>
      <c r="K2562" s="108"/>
      <c r="L2562" s="11"/>
      <c r="M2562" s="105"/>
      <c r="N2562" s="105"/>
      <c r="O2562" s="11"/>
      <c r="P2562" s="11"/>
      <c r="Q2562" s="105"/>
      <c r="R2562" s="105"/>
      <c r="S2562" s="105"/>
      <c r="T2562" s="105"/>
      <c r="U2562" s="105"/>
      <c r="V2562" s="105"/>
      <c r="W2562" s="105"/>
      <c r="X2562" s="11"/>
      <c r="Y2562" s="11"/>
      <c r="Z2562" s="105"/>
      <c r="AA2562" s="11"/>
      <c r="AB2562" s="11"/>
      <c r="AC2562" s="105"/>
      <c r="AD2562" s="11" t="b">
        <v>0</v>
      </c>
      <c r="AE2562" s="105"/>
      <c r="AF2562" s="11"/>
      <c r="AG2562" s="11"/>
      <c r="AH2562" s="11"/>
      <c r="AI2562" s="11"/>
    </row>
    <row r="2563" ht="12.5" spans="3:35">
      <c r="C2563" s="19"/>
      <c r="D2563" s="19"/>
      <c r="H2563" s="105"/>
      <c r="I2563" s="126"/>
      <c r="J2563" s="11"/>
      <c r="K2563" s="108"/>
      <c r="L2563" s="11"/>
      <c r="M2563" s="105"/>
      <c r="N2563" s="105"/>
      <c r="O2563" s="11"/>
      <c r="P2563" s="11"/>
      <c r="Q2563" s="105"/>
      <c r="R2563" s="105"/>
      <c r="S2563" s="105"/>
      <c r="T2563" s="105"/>
      <c r="U2563" s="105"/>
      <c r="V2563" s="105"/>
      <c r="W2563" s="105"/>
      <c r="X2563" s="11"/>
      <c r="Y2563" s="11"/>
      <c r="Z2563" s="105"/>
      <c r="AA2563" s="11"/>
      <c r="AB2563" s="11"/>
      <c r="AC2563" s="105"/>
      <c r="AD2563" s="11" t="b">
        <v>0</v>
      </c>
      <c r="AE2563" s="105"/>
      <c r="AF2563" s="11"/>
      <c r="AG2563" s="11"/>
      <c r="AH2563" s="11"/>
      <c r="AI2563" s="11"/>
    </row>
    <row r="2564" ht="12.5" spans="3:35">
      <c r="C2564" s="19"/>
      <c r="D2564" s="19"/>
      <c r="H2564" s="105"/>
      <c r="I2564" s="126"/>
      <c r="J2564" s="11"/>
      <c r="K2564" s="108"/>
      <c r="L2564" s="11"/>
      <c r="M2564" s="105"/>
      <c r="N2564" s="105"/>
      <c r="O2564" s="11"/>
      <c r="P2564" s="11"/>
      <c r="Q2564" s="105"/>
      <c r="R2564" s="105"/>
      <c r="S2564" s="105"/>
      <c r="T2564" s="105"/>
      <c r="U2564" s="105"/>
      <c r="V2564" s="105"/>
      <c r="W2564" s="105"/>
      <c r="X2564" s="11"/>
      <c r="Y2564" s="11"/>
      <c r="Z2564" s="105"/>
      <c r="AA2564" s="11"/>
      <c r="AB2564" s="11"/>
      <c r="AC2564" s="105"/>
      <c r="AD2564" s="11" t="b">
        <v>0</v>
      </c>
      <c r="AE2564" s="105"/>
      <c r="AF2564" s="11"/>
      <c r="AG2564" s="11"/>
      <c r="AH2564" s="11"/>
      <c r="AI2564" s="11"/>
    </row>
    <row r="2565" ht="12.5" spans="3:35">
      <c r="C2565" s="19"/>
      <c r="D2565" s="19"/>
      <c r="H2565" s="105"/>
      <c r="I2565" s="126"/>
      <c r="J2565" s="11"/>
      <c r="K2565" s="108"/>
      <c r="L2565" s="11"/>
      <c r="M2565" s="105"/>
      <c r="N2565" s="105"/>
      <c r="O2565" s="11"/>
      <c r="P2565" s="11"/>
      <c r="Q2565" s="105"/>
      <c r="R2565" s="105"/>
      <c r="S2565" s="105"/>
      <c r="T2565" s="105"/>
      <c r="U2565" s="105"/>
      <c r="V2565" s="105"/>
      <c r="W2565" s="105"/>
      <c r="X2565" s="11"/>
      <c r="Y2565" s="11"/>
      <c r="Z2565" s="105"/>
      <c r="AA2565" s="11"/>
      <c r="AB2565" s="11"/>
      <c r="AC2565" s="105"/>
      <c r="AD2565" s="11" t="b">
        <v>0</v>
      </c>
      <c r="AE2565" s="105"/>
      <c r="AF2565" s="11"/>
      <c r="AG2565" s="11"/>
      <c r="AH2565" s="11"/>
      <c r="AI2565" s="11"/>
    </row>
    <row r="2566" ht="12.5" spans="3:35">
      <c r="C2566" s="19"/>
      <c r="D2566" s="19"/>
      <c r="H2566" s="105"/>
      <c r="I2566" s="126"/>
      <c r="J2566" s="11"/>
      <c r="K2566" s="108"/>
      <c r="L2566" s="11"/>
      <c r="M2566" s="105"/>
      <c r="N2566" s="105"/>
      <c r="O2566" s="11"/>
      <c r="P2566" s="11"/>
      <c r="Q2566" s="105"/>
      <c r="R2566" s="105"/>
      <c r="S2566" s="105"/>
      <c r="T2566" s="105"/>
      <c r="U2566" s="105"/>
      <c r="V2566" s="105"/>
      <c r="W2566" s="105"/>
      <c r="X2566" s="11"/>
      <c r="Y2566" s="11"/>
      <c r="Z2566" s="105"/>
      <c r="AA2566" s="11"/>
      <c r="AB2566" s="11"/>
      <c r="AC2566" s="105"/>
      <c r="AD2566" s="11" t="b">
        <v>0</v>
      </c>
      <c r="AE2566" s="105"/>
      <c r="AF2566" s="11"/>
      <c r="AG2566" s="11"/>
      <c r="AH2566" s="11"/>
      <c r="AI2566" s="11"/>
    </row>
    <row r="2567" ht="12.5" spans="3:35">
      <c r="C2567" s="19"/>
      <c r="D2567" s="19"/>
      <c r="H2567" s="105"/>
      <c r="I2567" s="126"/>
      <c r="J2567" s="11"/>
      <c r="K2567" s="108"/>
      <c r="L2567" s="11"/>
      <c r="M2567" s="105"/>
      <c r="N2567" s="105"/>
      <c r="O2567" s="11"/>
      <c r="P2567" s="11"/>
      <c r="Q2567" s="105"/>
      <c r="R2567" s="105"/>
      <c r="S2567" s="105"/>
      <c r="T2567" s="105"/>
      <c r="U2567" s="105"/>
      <c r="V2567" s="105"/>
      <c r="W2567" s="105"/>
      <c r="X2567" s="11"/>
      <c r="Y2567" s="11"/>
      <c r="Z2567" s="105"/>
      <c r="AA2567" s="11"/>
      <c r="AB2567" s="11"/>
      <c r="AC2567" s="105"/>
      <c r="AD2567" s="11" t="b">
        <v>0</v>
      </c>
      <c r="AE2567" s="105"/>
      <c r="AF2567" s="11"/>
      <c r="AG2567" s="11"/>
      <c r="AH2567" s="11"/>
      <c r="AI2567" s="11"/>
    </row>
    <row r="2568" ht="12.5" spans="3:35">
      <c r="C2568" s="19"/>
      <c r="D2568" s="19"/>
      <c r="H2568" s="105"/>
      <c r="I2568" s="126"/>
      <c r="J2568" s="11"/>
      <c r="K2568" s="108"/>
      <c r="L2568" s="11"/>
      <c r="M2568" s="105"/>
      <c r="N2568" s="105"/>
      <c r="O2568" s="11"/>
      <c r="P2568" s="11"/>
      <c r="Q2568" s="105"/>
      <c r="R2568" s="105"/>
      <c r="S2568" s="105"/>
      <c r="T2568" s="105"/>
      <c r="U2568" s="105"/>
      <c r="V2568" s="105"/>
      <c r="W2568" s="105"/>
      <c r="X2568" s="11"/>
      <c r="Y2568" s="11"/>
      <c r="Z2568" s="105"/>
      <c r="AA2568" s="11"/>
      <c r="AB2568" s="11"/>
      <c r="AC2568" s="105"/>
      <c r="AD2568" s="11" t="b">
        <v>0</v>
      </c>
      <c r="AE2568" s="105"/>
      <c r="AF2568" s="11"/>
      <c r="AG2568" s="11"/>
      <c r="AH2568" s="11"/>
      <c r="AI2568" s="11"/>
    </row>
    <row r="2569" ht="12.5" spans="3:35">
      <c r="C2569" s="19"/>
      <c r="D2569" s="19"/>
      <c r="H2569" s="105"/>
      <c r="I2569" s="126"/>
      <c r="J2569" s="11"/>
      <c r="K2569" s="108"/>
      <c r="L2569" s="11"/>
      <c r="M2569" s="105"/>
      <c r="N2569" s="105"/>
      <c r="O2569" s="11"/>
      <c r="P2569" s="11"/>
      <c r="Q2569" s="105"/>
      <c r="R2569" s="105"/>
      <c r="S2569" s="105"/>
      <c r="T2569" s="105"/>
      <c r="U2569" s="105"/>
      <c r="V2569" s="105"/>
      <c r="W2569" s="105"/>
      <c r="X2569" s="11"/>
      <c r="Y2569" s="11"/>
      <c r="Z2569" s="105"/>
      <c r="AA2569" s="11"/>
      <c r="AB2569" s="11"/>
      <c r="AC2569" s="105"/>
      <c r="AD2569" s="11" t="b">
        <v>0</v>
      </c>
      <c r="AE2569" s="105"/>
      <c r="AF2569" s="11"/>
      <c r="AG2569" s="11"/>
      <c r="AH2569" s="11"/>
      <c r="AI2569" s="11"/>
    </row>
    <row r="2570" ht="12.5" spans="3:35">
      <c r="C2570" s="19"/>
      <c r="D2570" s="19"/>
      <c r="H2570" s="105"/>
      <c r="I2570" s="126"/>
      <c r="J2570" s="11"/>
      <c r="K2570" s="108"/>
      <c r="L2570" s="11"/>
      <c r="M2570" s="105"/>
      <c r="N2570" s="105"/>
      <c r="O2570" s="11"/>
      <c r="P2570" s="11"/>
      <c r="Q2570" s="105"/>
      <c r="R2570" s="105"/>
      <c r="S2570" s="105"/>
      <c r="T2570" s="105"/>
      <c r="U2570" s="105"/>
      <c r="V2570" s="105"/>
      <c r="W2570" s="105"/>
      <c r="X2570" s="11"/>
      <c r="Y2570" s="11"/>
      <c r="Z2570" s="105"/>
      <c r="AA2570" s="11"/>
      <c r="AB2570" s="11"/>
      <c r="AC2570" s="105"/>
      <c r="AD2570" s="11" t="b">
        <v>0</v>
      </c>
      <c r="AE2570" s="105"/>
      <c r="AF2570" s="11"/>
      <c r="AG2570" s="11"/>
      <c r="AH2570" s="11"/>
      <c r="AI2570" s="11"/>
    </row>
    <row r="2571" ht="12.5" spans="3:35">
      <c r="C2571" s="19"/>
      <c r="D2571" s="19"/>
      <c r="H2571" s="105"/>
      <c r="I2571" s="126"/>
      <c r="J2571" s="11"/>
      <c r="K2571" s="108"/>
      <c r="L2571" s="11"/>
      <c r="M2571" s="105"/>
      <c r="N2571" s="105"/>
      <c r="O2571" s="11"/>
      <c r="P2571" s="11"/>
      <c r="Q2571" s="105"/>
      <c r="R2571" s="105"/>
      <c r="S2571" s="105"/>
      <c r="T2571" s="105"/>
      <c r="U2571" s="105"/>
      <c r="V2571" s="105"/>
      <c r="W2571" s="105"/>
      <c r="X2571" s="11"/>
      <c r="Y2571" s="11"/>
      <c r="Z2571" s="105"/>
      <c r="AA2571" s="11"/>
      <c r="AB2571" s="11"/>
      <c r="AC2571" s="105"/>
      <c r="AD2571" s="11" t="b">
        <v>0</v>
      </c>
      <c r="AE2571" s="105"/>
      <c r="AF2571" s="11"/>
      <c r="AG2571" s="11"/>
      <c r="AH2571" s="11"/>
      <c r="AI2571" s="11"/>
    </row>
    <row r="2572" ht="12.5" spans="3:35">
      <c r="C2572" s="19"/>
      <c r="D2572" s="19"/>
      <c r="H2572" s="105"/>
      <c r="I2572" s="126"/>
      <c r="J2572" s="11"/>
      <c r="K2572" s="108"/>
      <c r="L2572" s="11"/>
      <c r="M2572" s="105"/>
      <c r="N2572" s="105"/>
      <c r="O2572" s="11"/>
      <c r="P2572" s="11"/>
      <c r="Q2572" s="105"/>
      <c r="R2572" s="105"/>
      <c r="S2572" s="105"/>
      <c r="T2572" s="105"/>
      <c r="U2572" s="105"/>
      <c r="V2572" s="105"/>
      <c r="W2572" s="105"/>
      <c r="X2572" s="11"/>
      <c r="Y2572" s="11"/>
      <c r="Z2572" s="105"/>
      <c r="AA2572" s="11"/>
      <c r="AB2572" s="11"/>
      <c r="AC2572" s="105"/>
      <c r="AD2572" s="11" t="b">
        <v>0</v>
      </c>
      <c r="AE2572" s="105"/>
      <c r="AF2572" s="11"/>
      <c r="AG2572" s="11"/>
      <c r="AH2572" s="11"/>
      <c r="AI2572" s="11"/>
    </row>
    <row r="2573" ht="12.5" spans="3:35">
      <c r="C2573" s="19"/>
      <c r="D2573" s="19"/>
      <c r="H2573" s="105"/>
      <c r="I2573" s="126"/>
      <c r="J2573" s="11"/>
      <c r="K2573" s="108"/>
      <c r="L2573" s="11"/>
      <c r="M2573" s="105"/>
      <c r="N2573" s="105"/>
      <c r="O2573" s="11"/>
      <c r="P2573" s="11"/>
      <c r="Q2573" s="105"/>
      <c r="R2573" s="105"/>
      <c r="S2573" s="105"/>
      <c r="T2573" s="105"/>
      <c r="U2573" s="105"/>
      <c r="V2573" s="105"/>
      <c r="W2573" s="105"/>
      <c r="X2573" s="11"/>
      <c r="Y2573" s="11"/>
      <c r="Z2573" s="105"/>
      <c r="AA2573" s="11"/>
      <c r="AB2573" s="11"/>
      <c r="AC2573" s="105"/>
      <c r="AD2573" s="11" t="b">
        <v>0</v>
      </c>
      <c r="AE2573" s="105"/>
      <c r="AF2573" s="11"/>
      <c r="AG2573" s="11"/>
      <c r="AH2573" s="11"/>
      <c r="AI2573" s="11"/>
    </row>
    <row r="2574" ht="12.5" spans="3:35">
      <c r="C2574" s="19"/>
      <c r="D2574" s="19"/>
      <c r="H2574" s="105"/>
      <c r="I2574" s="126"/>
      <c r="J2574" s="11"/>
      <c r="K2574" s="108"/>
      <c r="L2574" s="11"/>
      <c r="M2574" s="105"/>
      <c r="N2574" s="105"/>
      <c r="O2574" s="11"/>
      <c r="P2574" s="11"/>
      <c r="Q2574" s="105"/>
      <c r="R2574" s="105"/>
      <c r="S2574" s="105"/>
      <c r="T2574" s="105"/>
      <c r="U2574" s="105"/>
      <c r="V2574" s="105"/>
      <c r="W2574" s="105"/>
      <c r="X2574" s="11"/>
      <c r="Y2574" s="11"/>
      <c r="Z2574" s="105"/>
      <c r="AA2574" s="11"/>
      <c r="AB2574" s="11"/>
      <c r="AC2574" s="105"/>
      <c r="AD2574" s="11" t="b">
        <v>0</v>
      </c>
      <c r="AE2574" s="105"/>
      <c r="AF2574" s="11"/>
      <c r="AG2574" s="11"/>
      <c r="AH2574" s="11"/>
      <c r="AI2574" s="11"/>
    </row>
    <row r="2575" ht="12.5" spans="3:35">
      <c r="C2575" s="19"/>
      <c r="D2575" s="19"/>
      <c r="H2575" s="105"/>
      <c r="I2575" s="126"/>
      <c r="J2575" s="11"/>
      <c r="K2575" s="108"/>
      <c r="L2575" s="11"/>
      <c r="M2575" s="105"/>
      <c r="N2575" s="105"/>
      <c r="O2575" s="11"/>
      <c r="P2575" s="11"/>
      <c r="Q2575" s="105"/>
      <c r="R2575" s="105"/>
      <c r="S2575" s="105"/>
      <c r="T2575" s="105"/>
      <c r="U2575" s="105"/>
      <c r="V2575" s="105"/>
      <c r="W2575" s="105"/>
      <c r="X2575" s="11"/>
      <c r="Y2575" s="11"/>
      <c r="Z2575" s="105"/>
      <c r="AA2575" s="11"/>
      <c r="AB2575" s="11"/>
      <c r="AC2575" s="105"/>
      <c r="AD2575" s="11" t="b">
        <v>0</v>
      </c>
      <c r="AE2575" s="105"/>
      <c r="AF2575" s="11"/>
      <c r="AG2575" s="11"/>
      <c r="AH2575" s="11"/>
      <c r="AI2575" s="11"/>
    </row>
    <row r="2576" ht="12.5" spans="3:35">
      <c r="C2576" s="19"/>
      <c r="D2576" s="19"/>
      <c r="H2576" s="105"/>
      <c r="I2576" s="126"/>
      <c r="J2576" s="11"/>
      <c r="K2576" s="108"/>
      <c r="L2576" s="11"/>
      <c r="M2576" s="105"/>
      <c r="N2576" s="105"/>
      <c r="O2576" s="11"/>
      <c r="P2576" s="11"/>
      <c r="Q2576" s="105"/>
      <c r="R2576" s="105"/>
      <c r="S2576" s="105"/>
      <c r="T2576" s="105"/>
      <c r="U2576" s="105"/>
      <c r="V2576" s="105"/>
      <c r="W2576" s="105"/>
      <c r="X2576" s="11"/>
      <c r="Y2576" s="11"/>
      <c r="Z2576" s="105"/>
      <c r="AA2576" s="11"/>
      <c r="AB2576" s="11"/>
      <c r="AC2576" s="105"/>
      <c r="AD2576" s="11" t="b">
        <v>0</v>
      </c>
      <c r="AE2576" s="105"/>
      <c r="AF2576" s="11"/>
      <c r="AG2576" s="11"/>
      <c r="AH2576" s="11"/>
      <c r="AI2576" s="11"/>
    </row>
    <row r="2577" ht="12.5" spans="3:35">
      <c r="C2577" s="19"/>
      <c r="D2577" s="19"/>
      <c r="H2577" s="105"/>
      <c r="I2577" s="126"/>
      <c r="J2577" s="11"/>
      <c r="K2577" s="108"/>
      <c r="L2577" s="11"/>
      <c r="M2577" s="105"/>
      <c r="N2577" s="105"/>
      <c r="O2577" s="11"/>
      <c r="P2577" s="11"/>
      <c r="Q2577" s="105"/>
      <c r="R2577" s="105"/>
      <c r="S2577" s="105"/>
      <c r="T2577" s="105"/>
      <c r="U2577" s="105"/>
      <c r="V2577" s="105"/>
      <c r="W2577" s="105"/>
      <c r="X2577" s="11"/>
      <c r="Y2577" s="11"/>
      <c r="Z2577" s="105"/>
      <c r="AA2577" s="11"/>
      <c r="AB2577" s="11"/>
      <c r="AC2577" s="105"/>
      <c r="AD2577" s="11" t="b">
        <v>0</v>
      </c>
      <c r="AE2577" s="105"/>
      <c r="AF2577" s="11"/>
      <c r="AG2577" s="11"/>
      <c r="AH2577" s="11"/>
      <c r="AI2577" s="11"/>
    </row>
    <row r="2578" ht="12.5" spans="3:35">
      <c r="C2578" s="19"/>
      <c r="D2578" s="19"/>
      <c r="H2578" s="105"/>
      <c r="I2578" s="126"/>
      <c r="J2578" s="11"/>
      <c r="K2578" s="108"/>
      <c r="L2578" s="11"/>
      <c r="M2578" s="105"/>
      <c r="N2578" s="105"/>
      <c r="O2578" s="11"/>
      <c r="P2578" s="11"/>
      <c r="Q2578" s="105"/>
      <c r="R2578" s="105"/>
      <c r="S2578" s="105"/>
      <c r="T2578" s="105"/>
      <c r="U2578" s="105"/>
      <c r="V2578" s="105"/>
      <c r="W2578" s="105"/>
      <c r="X2578" s="11"/>
      <c r="Y2578" s="11"/>
      <c r="Z2578" s="105"/>
      <c r="AA2578" s="11"/>
      <c r="AB2578" s="11"/>
      <c r="AC2578" s="105"/>
      <c r="AD2578" s="11" t="b">
        <v>0</v>
      </c>
      <c r="AE2578" s="105"/>
      <c r="AF2578" s="11"/>
      <c r="AG2578" s="11"/>
      <c r="AH2578" s="11"/>
      <c r="AI2578" s="11"/>
    </row>
    <row r="2579" ht="12.5" spans="3:35">
      <c r="C2579" s="19"/>
      <c r="D2579" s="19"/>
      <c r="H2579" s="105"/>
      <c r="I2579" s="126"/>
      <c r="J2579" s="11"/>
      <c r="K2579" s="108"/>
      <c r="L2579" s="11"/>
      <c r="M2579" s="105"/>
      <c r="N2579" s="105"/>
      <c r="O2579" s="11"/>
      <c r="P2579" s="11"/>
      <c r="Q2579" s="105"/>
      <c r="R2579" s="105"/>
      <c r="S2579" s="105"/>
      <c r="T2579" s="105"/>
      <c r="U2579" s="105"/>
      <c r="V2579" s="105"/>
      <c r="W2579" s="105"/>
      <c r="X2579" s="11"/>
      <c r="Y2579" s="11"/>
      <c r="Z2579" s="105"/>
      <c r="AA2579" s="11"/>
      <c r="AB2579" s="11"/>
      <c r="AC2579" s="105"/>
      <c r="AD2579" s="11" t="b">
        <v>0</v>
      </c>
      <c r="AE2579" s="105"/>
      <c r="AF2579" s="11"/>
      <c r="AG2579" s="11"/>
      <c r="AH2579" s="11"/>
      <c r="AI2579" s="11"/>
    </row>
    <row r="2580" ht="12.5" spans="3:35">
      <c r="C2580" s="19"/>
      <c r="D2580" s="19"/>
      <c r="H2580" s="105"/>
      <c r="I2580" s="126"/>
      <c r="J2580" s="11"/>
      <c r="K2580" s="108"/>
      <c r="L2580" s="11"/>
      <c r="M2580" s="105"/>
      <c r="N2580" s="105"/>
      <c r="O2580" s="11"/>
      <c r="P2580" s="11"/>
      <c r="Q2580" s="105"/>
      <c r="R2580" s="105"/>
      <c r="S2580" s="105"/>
      <c r="T2580" s="105"/>
      <c r="U2580" s="105"/>
      <c r="V2580" s="105"/>
      <c r="W2580" s="105"/>
      <c r="X2580" s="11"/>
      <c r="Y2580" s="11"/>
      <c r="Z2580" s="105"/>
      <c r="AA2580" s="11"/>
      <c r="AB2580" s="11"/>
      <c r="AC2580" s="105"/>
      <c r="AD2580" s="11" t="b">
        <v>0</v>
      </c>
      <c r="AE2580" s="105"/>
      <c r="AF2580" s="11"/>
      <c r="AG2580" s="11"/>
      <c r="AH2580" s="11"/>
      <c r="AI2580" s="11"/>
    </row>
    <row r="2581" ht="12.5" spans="3:35">
      <c r="C2581" s="19"/>
      <c r="D2581" s="19"/>
      <c r="H2581" s="105"/>
      <c r="I2581" s="126"/>
      <c r="J2581" s="11"/>
      <c r="K2581" s="108"/>
      <c r="L2581" s="11"/>
      <c r="M2581" s="105"/>
      <c r="N2581" s="105"/>
      <c r="O2581" s="11"/>
      <c r="P2581" s="11"/>
      <c r="Q2581" s="105"/>
      <c r="R2581" s="105"/>
      <c r="S2581" s="105"/>
      <c r="T2581" s="105"/>
      <c r="U2581" s="105"/>
      <c r="V2581" s="105"/>
      <c r="W2581" s="105"/>
      <c r="X2581" s="11"/>
      <c r="Y2581" s="11"/>
      <c r="Z2581" s="105"/>
      <c r="AA2581" s="11"/>
      <c r="AB2581" s="11"/>
      <c r="AC2581" s="105"/>
      <c r="AD2581" s="11" t="b">
        <v>0</v>
      </c>
      <c r="AE2581" s="105"/>
      <c r="AF2581" s="11"/>
      <c r="AG2581" s="11"/>
      <c r="AH2581" s="11"/>
      <c r="AI2581" s="11"/>
    </row>
    <row r="2582" ht="12.5" spans="3:35">
      <c r="C2582" s="19"/>
      <c r="D2582" s="19"/>
      <c r="H2582" s="105"/>
      <c r="I2582" s="126"/>
      <c r="J2582" s="11"/>
      <c r="K2582" s="108"/>
      <c r="L2582" s="11"/>
      <c r="M2582" s="105"/>
      <c r="N2582" s="105"/>
      <c r="O2582" s="11"/>
      <c r="P2582" s="11"/>
      <c r="Q2582" s="105"/>
      <c r="R2582" s="105"/>
      <c r="S2582" s="105"/>
      <c r="T2582" s="105"/>
      <c r="U2582" s="105"/>
      <c r="V2582" s="105"/>
      <c r="W2582" s="105"/>
      <c r="X2582" s="11"/>
      <c r="Y2582" s="11"/>
      <c r="Z2582" s="105"/>
      <c r="AA2582" s="11"/>
      <c r="AB2582" s="11"/>
      <c r="AC2582" s="105"/>
      <c r="AD2582" s="11" t="b">
        <v>0</v>
      </c>
      <c r="AE2582" s="105"/>
      <c r="AF2582" s="11"/>
      <c r="AG2582" s="11"/>
      <c r="AH2582" s="11"/>
      <c r="AI2582" s="11"/>
    </row>
    <row r="2583" ht="12.5" spans="3:35">
      <c r="C2583" s="19"/>
      <c r="D2583" s="19"/>
      <c r="H2583" s="105"/>
      <c r="I2583" s="126"/>
      <c r="J2583" s="11"/>
      <c r="K2583" s="108"/>
      <c r="L2583" s="11"/>
      <c r="M2583" s="105"/>
      <c r="N2583" s="105"/>
      <c r="O2583" s="11"/>
      <c r="P2583" s="11"/>
      <c r="Q2583" s="105"/>
      <c r="R2583" s="105"/>
      <c r="S2583" s="105"/>
      <c r="T2583" s="105"/>
      <c r="U2583" s="105"/>
      <c r="V2583" s="105"/>
      <c r="W2583" s="105"/>
      <c r="X2583" s="11"/>
      <c r="Y2583" s="11"/>
      <c r="Z2583" s="105"/>
      <c r="AA2583" s="11"/>
      <c r="AB2583" s="11"/>
      <c r="AC2583" s="105"/>
      <c r="AD2583" s="11" t="b">
        <v>0</v>
      </c>
      <c r="AE2583" s="105"/>
      <c r="AF2583" s="11"/>
      <c r="AG2583" s="11"/>
      <c r="AH2583" s="11"/>
      <c r="AI2583" s="11"/>
    </row>
    <row r="2584" ht="12.5" spans="3:35">
      <c r="C2584" s="19"/>
      <c r="D2584" s="19"/>
      <c r="H2584" s="105"/>
      <c r="I2584" s="126"/>
      <c r="J2584" s="11"/>
      <c r="K2584" s="108"/>
      <c r="L2584" s="11"/>
      <c r="M2584" s="105"/>
      <c r="N2584" s="105"/>
      <c r="O2584" s="11"/>
      <c r="P2584" s="11"/>
      <c r="Q2584" s="105"/>
      <c r="R2584" s="105"/>
      <c r="S2584" s="105"/>
      <c r="T2584" s="105"/>
      <c r="U2584" s="105"/>
      <c r="V2584" s="105"/>
      <c r="W2584" s="105"/>
      <c r="X2584" s="11"/>
      <c r="Y2584" s="11"/>
      <c r="Z2584" s="105"/>
      <c r="AA2584" s="11"/>
      <c r="AB2584" s="11"/>
      <c r="AC2584" s="105"/>
      <c r="AD2584" s="11" t="b">
        <v>0</v>
      </c>
      <c r="AE2584" s="105"/>
      <c r="AF2584" s="11"/>
      <c r="AG2584" s="11"/>
      <c r="AH2584" s="11"/>
      <c r="AI2584" s="11"/>
    </row>
    <row r="2585" ht="12.5" spans="3:35">
      <c r="C2585" s="19"/>
      <c r="D2585" s="19"/>
      <c r="H2585" s="105"/>
      <c r="I2585" s="126"/>
      <c r="J2585" s="11"/>
      <c r="K2585" s="108"/>
      <c r="L2585" s="11"/>
      <c r="M2585" s="105"/>
      <c r="N2585" s="105"/>
      <c r="O2585" s="11"/>
      <c r="P2585" s="11"/>
      <c r="Q2585" s="105"/>
      <c r="R2585" s="105"/>
      <c r="S2585" s="105"/>
      <c r="T2585" s="105"/>
      <c r="U2585" s="105"/>
      <c r="V2585" s="105"/>
      <c r="W2585" s="105"/>
      <c r="X2585" s="11"/>
      <c r="Y2585" s="11"/>
      <c r="Z2585" s="105"/>
      <c r="AA2585" s="11"/>
      <c r="AB2585" s="11"/>
      <c r="AC2585" s="105"/>
      <c r="AD2585" s="11" t="b">
        <v>0</v>
      </c>
      <c r="AE2585" s="105"/>
      <c r="AF2585" s="11"/>
      <c r="AG2585" s="11"/>
      <c r="AH2585" s="11"/>
      <c r="AI2585" s="11"/>
    </row>
    <row r="2586" ht="12.5" spans="3:35">
      <c r="C2586" s="19"/>
      <c r="D2586" s="19"/>
      <c r="H2586" s="105"/>
      <c r="I2586" s="126"/>
      <c r="J2586" s="11"/>
      <c r="K2586" s="108"/>
      <c r="L2586" s="11"/>
      <c r="M2586" s="105"/>
      <c r="N2586" s="105"/>
      <c r="O2586" s="11"/>
      <c r="P2586" s="11"/>
      <c r="Q2586" s="105"/>
      <c r="R2586" s="105"/>
      <c r="S2586" s="105"/>
      <c r="T2586" s="105"/>
      <c r="U2586" s="105"/>
      <c r="V2586" s="105"/>
      <c r="W2586" s="105"/>
      <c r="X2586" s="11"/>
      <c r="Y2586" s="11"/>
      <c r="Z2586" s="105"/>
      <c r="AA2586" s="11"/>
      <c r="AB2586" s="11"/>
      <c r="AC2586" s="105"/>
      <c r="AD2586" s="11" t="b">
        <v>0</v>
      </c>
      <c r="AE2586" s="105"/>
      <c r="AF2586" s="11"/>
      <c r="AG2586" s="11"/>
      <c r="AH2586" s="11"/>
      <c r="AI2586" s="11"/>
    </row>
    <row r="2587" ht="12.5" spans="3:35">
      <c r="C2587" s="19"/>
      <c r="D2587" s="19"/>
      <c r="H2587" s="105"/>
      <c r="I2587" s="126"/>
      <c r="J2587" s="11"/>
      <c r="K2587" s="108"/>
      <c r="L2587" s="11"/>
      <c r="M2587" s="105"/>
      <c r="N2587" s="105"/>
      <c r="O2587" s="11"/>
      <c r="P2587" s="11"/>
      <c r="Q2587" s="105"/>
      <c r="R2587" s="105"/>
      <c r="S2587" s="105"/>
      <c r="T2587" s="105"/>
      <c r="U2587" s="105"/>
      <c r="V2587" s="105"/>
      <c r="W2587" s="105"/>
      <c r="X2587" s="11"/>
      <c r="Y2587" s="11"/>
      <c r="Z2587" s="105"/>
      <c r="AA2587" s="11"/>
      <c r="AB2587" s="11"/>
      <c r="AC2587" s="105"/>
      <c r="AD2587" s="11" t="b">
        <v>0</v>
      </c>
      <c r="AE2587" s="105"/>
      <c r="AF2587" s="11"/>
      <c r="AG2587" s="11"/>
      <c r="AH2587" s="11"/>
      <c r="AI2587" s="11"/>
    </row>
    <row r="2588" ht="12.5" spans="3:35">
      <c r="C2588" s="19"/>
      <c r="D2588" s="19"/>
      <c r="H2588" s="105"/>
      <c r="I2588" s="126"/>
      <c r="J2588" s="11"/>
      <c r="K2588" s="108"/>
      <c r="L2588" s="11"/>
      <c r="M2588" s="105"/>
      <c r="N2588" s="105"/>
      <c r="O2588" s="11"/>
      <c r="P2588" s="11"/>
      <c r="Q2588" s="105"/>
      <c r="R2588" s="105"/>
      <c r="S2588" s="105"/>
      <c r="T2588" s="105"/>
      <c r="U2588" s="105"/>
      <c r="V2588" s="105"/>
      <c r="W2588" s="105"/>
      <c r="X2588" s="11"/>
      <c r="Y2588" s="11"/>
      <c r="Z2588" s="105"/>
      <c r="AA2588" s="11"/>
      <c r="AB2588" s="11"/>
      <c r="AC2588" s="105"/>
      <c r="AD2588" s="11" t="b">
        <v>0</v>
      </c>
      <c r="AE2588" s="105"/>
      <c r="AF2588" s="11"/>
      <c r="AG2588" s="11"/>
      <c r="AH2588" s="11"/>
      <c r="AI2588" s="11"/>
    </row>
    <row r="2589" ht="12.5" spans="3:35">
      <c r="C2589" s="19"/>
      <c r="D2589" s="19"/>
      <c r="H2589" s="105"/>
      <c r="I2589" s="126"/>
      <c r="J2589" s="11"/>
      <c r="K2589" s="108"/>
      <c r="L2589" s="11"/>
      <c r="M2589" s="105"/>
      <c r="N2589" s="105"/>
      <c r="O2589" s="11"/>
      <c r="P2589" s="11"/>
      <c r="Q2589" s="105"/>
      <c r="R2589" s="105"/>
      <c r="S2589" s="105"/>
      <c r="T2589" s="105"/>
      <c r="U2589" s="105"/>
      <c r="V2589" s="105"/>
      <c r="W2589" s="105"/>
      <c r="X2589" s="11"/>
      <c r="Y2589" s="11"/>
      <c r="Z2589" s="105"/>
      <c r="AA2589" s="11"/>
      <c r="AB2589" s="11"/>
      <c r="AC2589" s="105"/>
      <c r="AD2589" s="11" t="b">
        <v>0</v>
      </c>
      <c r="AE2589" s="105"/>
      <c r="AF2589" s="11"/>
      <c r="AG2589" s="11"/>
      <c r="AH2589" s="11"/>
      <c r="AI2589" s="11"/>
    </row>
    <row r="2590" ht="12.5" spans="3:35">
      <c r="C2590" s="19"/>
      <c r="D2590" s="19"/>
      <c r="H2590" s="105"/>
      <c r="I2590" s="126"/>
      <c r="J2590" s="11"/>
      <c r="K2590" s="108"/>
      <c r="L2590" s="11"/>
      <c r="M2590" s="105"/>
      <c r="N2590" s="105"/>
      <c r="O2590" s="11"/>
      <c r="P2590" s="11"/>
      <c r="Q2590" s="105"/>
      <c r="R2590" s="105"/>
      <c r="S2590" s="105"/>
      <c r="T2590" s="105"/>
      <c r="U2590" s="105"/>
      <c r="V2590" s="105"/>
      <c r="W2590" s="105"/>
      <c r="X2590" s="11"/>
      <c r="Y2590" s="11"/>
      <c r="Z2590" s="105"/>
      <c r="AA2590" s="11"/>
      <c r="AB2590" s="11"/>
      <c r="AC2590" s="105"/>
      <c r="AD2590" s="11" t="b">
        <v>0</v>
      </c>
      <c r="AE2590" s="105"/>
      <c r="AF2590" s="11"/>
      <c r="AG2590" s="11"/>
      <c r="AH2590" s="11"/>
      <c r="AI2590" s="11"/>
    </row>
    <row r="2591" ht="12.5" spans="3:35">
      <c r="C2591" s="19"/>
      <c r="D2591" s="19"/>
      <c r="H2591" s="105"/>
      <c r="I2591" s="126"/>
      <c r="J2591" s="11"/>
      <c r="K2591" s="108"/>
      <c r="L2591" s="11"/>
      <c r="M2591" s="105"/>
      <c r="N2591" s="105"/>
      <c r="O2591" s="11"/>
      <c r="P2591" s="11"/>
      <c r="Q2591" s="105"/>
      <c r="R2591" s="105"/>
      <c r="S2591" s="105"/>
      <c r="T2591" s="105"/>
      <c r="U2591" s="105"/>
      <c r="V2591" s="105"/>
      <c r="W2591" s="105"/>
      <c r="X2591" s="11"/>
      <c r="Y2591" s="11"/>
      <c r="Z2591" s="105"/>
      <c r="AA2591" s="11"/>
      <c r="AB2591" s="11"/>
      <c r="AC2591" s="105"/>
      <c r="AD2591" s="11" t="b">
        <v>0</v>
      </c>
      <c r="AE2591" s="105"/>
      <c r="AF2591" s="11"/>
      <c r="AG2591" s="11"/>
      <c r="AH2591" s="11"/>
      <c r="AI2591" s="11"/>
    </row>
    <row r="2592" ht="12.5" spans="3:35">
      <c r="C2592" s="19"/>
      <c r="D2592" s="19"/>
      <c r="H2592" s="105"/>
      <c r="I2592" s="126"/>
      <c r="J2592" s="11"/>
      <c r="K2592" s="108"/>
      <c r="L2592" s="11"/>
      <c r="M2592" s="105"/>
      <c r="N2592" s="105"/>
      <c r="O2592" s="11"/>
      <c r="P2592" s="11"/>
      <c r="Q2592" s="105"/>
      <c r="R2592" s="105"/>
      <c r="S2592" s="105"/>
      <c r="T2592" s="105"/>
      <c r="U2592" s="105"/>
      <c r="V2592" s="105"/>
      <c r="W2592" s="105"/>
      <c r="X2592" s="11"/>
      <c r="Y2592" s="11"/>
      <c r="Z2592" s="105"/>
      <c r="AA2592" s="11"/>
      <c r="AB2592" s="11"/>
      <c r="AC2592" s="105"/>
      <c r="AD2592" s="11" t="b">
        <v>0</v>
      </c>
      <c r="AE2592" s="105"/>
      <c r="AF2592" s="11"/>
      <c r="AG2592" s="11"/>
      <c r="AH2592" s="11"/>
      <c r="AI2592" s="11"/>
    </row>
    <row r="2593" ht="12.5" spans="3:35">
      <c r="C2593" s="19"/>
      <c r="D2593" s="19"/>
      <c r="H2593" s="105"/>
      <c r="I2593" s="126"/>
      <c r="J2593" s="11"/>
      <c r="K2593" s="108"/>
      <c r="L2593" s="11"/>
      <c r="M2593" s="105"/>
      <c r="N2593" s="105"/>
      <c r="O2593" s="11"/>
      <c r="P2593" s="11"/>
      <c r="Q2593" s="105"/>
      <c r="R2593" s="105"/>
      <c r="S2593" s="105"/>
      <c r="T2593" s="105"/>
      <c r="U2593" s="105"/>
      <c r="V2593" s="105"/>
      <c r="W2593" s="105"/>
      <c r="X2593" s="11"/>
      <c r="Y2593" s="11"/>
      <c r="Z2593" s="105"/>
      <c r="AA2593" s="11"/>
      <c r="AB2593" s="11"/>
      <c r="AC2593" s="105"/>
      <c r="AD2593" s="11" t="b">
        <v>0</v>
      </c>
      <c r="AE2593" s="105"/>
      <c r="AF2593" s="11"/>
      <c r="AG2593" s="11"/>
      <c r="AH2593" s="11"/>
      <c r="AI2593" s="11"/>
    </row>
    <row r="2594" ht="12.5" spans="3:35">
      <c r="C2594" s="19"/>
      <c r="D2594" s="19"/>
      <c r="H2594" s="105"/>
      <c r="I2594" s="126"/>
      <c r="J2594" s="11"/>
      <c r="K2594" s="108"/>
      <c r="L2594" s="11"/>
      <c r="M2594" s="105"/>
      <c r="N2594" s="105"/>
      <c r="O2594" s="11"/>
      <c r="P2594" s="11"/>
      <c r="Q2594" s="105"/>
      <c r="R2594" s="105"/>
      <c r="S2594" s="105"/>
      <c r="T2594" s="105"/>
      <c r="U2594" s="105"/>
      <c r="V2594" s="105"/>
      <c r="W2594" s="105"/>
      <c r="X2594" s="11"/>
      <c r="Y2594" s="11"/>
      <c r="Z2594" s="105"/>
      <c r="AA2594" s="11"/>
      <c r="AB2594" s="11"/>
      <c r="AC2594" s="105"/>
      <c r="AD2594" s="11" t="b">
        <v>0</v>
      </c>
      <c r="AE2594" s="105"/>
      <c r="AF2594" s="11"/>
      <c r="AG2594" s="11"/>
      <c r="AH2594" s="11"/>
      <c r="AI2594" s="11"/>
    </row>
    <row r="2595" ht="12.5" spans="3:35">
      <c r="C2595" s="19"/>
      <c r="D2595" s="19"/>
      <c r="H2595" s="105"/>
      <c r="I2595" s="126"/>
      <c r="J2595" s="11"/>
      <c r="K2595" s="108"/>
      <c r="L2595" s="11"/>
      <c r="M2595" s="105"/>
      <c r="N2595" s="105"/>
      <c r="O2595" s="11"/>
      <c r="P2595" s="11"/>
      <c r="Q2595" s="105"/>
      <c r="R2595" s="105"/>
      <c r="S2595" s="105"/>
      <c r="T2595" s="105"/>
      <c r="U2595" s="105"/>
      <c r="V2595" s="105"/>
      <c r="W2595" s="105"/>
      <c r="X2595" s="11"/>
      <c r="Y2595" s="11"/>
      <c r="Z2595" s="105"/>
      <c r="AA2595" s="11"/>
      <c r="AB2595" s="11"/>
      <c r="AC2595" s="105"/>
      <c r="AD2595" s="11" t="b">
        <v>0</v>
      </c>
      <c r="AE2595" s="105"/>
      <c r="AF2595" s="11"/>
      <c r="AG2595" s="11"/>
      <c r="AH2595" s="11"/>
      <c r="AI2595" s="11"/>
    </row>
    <row r="2596" ht="12.5" spans="3:35">
      <c r="C2596" s="19"/>
      <c r="D2596" s="19"/>
      <c r="H2596" s="105"/>
      <c r="I2596" s="126"/>
      <c r="J2596" s="11"/>
      <c r="K2596" s="108"/>
      <c r="L2596" s="11"/>
      <c r="M2596" s="105"/>
      <c r="N2596" s="105"/>
      <c r="O2596" s="11"/>
      <c r="P2596" s="11"/>
      <c r="Q2596" s="105"/>
      <c r="R2596" s="105"/>
      <c r="S2596" s="105"/>
      <c r="T2596" s="105"/>
      <c r="U2596" s="105"/>
      <c r="V2596" s="105"/>
      <c r="W2596" s="105"/>
      <c r="X2596" s="11"/>
      <c r="Y2596" s="11"/>
      <c r="Z2596" s="105"/>
      <c r="AA2596" s="11"/>
      <c r="AB2596" s="11"/>
      <c r="AC2596" s="105"/>
      <c r="AD2596" s="11" t="b">
        <v>0</v>
      </c>
      <c r="AE2596" s="105"/>
      <c r="AF2596" s="11"/>
      <c r="AG2596" s="11"/>
      <c r="AH2596" s="11"/>
      <c r="AI2596" s="11"/>
    </row>
    <row r="2597" ht="12.5" spans="3:35">
      <c r="C2597" s="19"/>
      <c r="D2597" s="19"/>
      <c r="H2597" s="105"/>
      <c r="I2597" s="126"/>
      <c r="J2597" s="11"/>
      <c r="K2597" s="108"/>
      <c r="L2597" s="11"/>
      <c r="M2597" s="105"/>
      <c r="N2597" s="105"/>
      <c r="O2597" s="11"/>
      <c r="P2597" s="11"/>
      <c r="Q2597" s="105"/>
      <c r="R2597" s="105"/>
      <c r="S2597" s="105"/>
      <c r="T2597" s="105"/>
      <c r="U2597" s="105"/>
      <c r="V2597" s="105"/>
      <c r="W2597" s="105"/>
      <c r="X2597" s="11"/>
      <c r="Y2597" s="11"/>
      <c r="Z2597" s="105"/>
      <c r="AA2597" s="11"/>
      <c r="AB2597" s="11"/>
      <c r="AC2597" s="105"/>
      <c r="AD2597" s="11" t="b">
        <v>0</v>
      </c>
      <c r="AE2597" s="105"/>
      <c r="AF2597" s="11"/>
      <c r="AG2597" s="11"/>
      <c r="AH2597" s="11"/>
      <c r="AI2597" s="11"/>
    </row>
    <row r="2598" ht="12.5" spans="3:35">
      <c r="C2598" s="19"/>
      <c r="D2598" s="19"/>
      <c r="H2598" s="105"/>
      <c r="I2598" s="126"/>
      <c r="J2598" s="11"/>
      <c r="K2598" s="108"/>
      <c r="L2598" s="11"/>
      <c r="M2598" s="105"/>
      <c r="N2598" s="105"/>
      <c r="O2598" s="11"/>
      <c r="P2598" s="11"/>
      <c r="Q2598" s="105"/>
      <c r="R2598" s="105"/>
      <c r="S2598" s="105"/>
      <c r="T2598" s="105"/>
      <c r="U2598" s="105"/>
      <c r="V2598" s="105"/>
      <c r="W2598" s="105"/>
      <c r="X2598" s="11"/>
      <c r="Y2598" s="11"/>
      <c r="Z2598" s="105"/>
      <c r="AA2598" s="11"/>
      <c r="AB2598" s="11"/>
      <c r="AC2598" s="105"/>
      <c r="AD2598" s="11" t="b">
        <v>0</v>
      </c>
      <c r="AE2598" s="105"/>
      <c r="AF2598" s="11"/>
      <c r="AG2598" s="11"/>
      <c r="AH2598" s="11"/>
      <c r="AI2598" s="11"/>
    </row>
    <row r="2599" ht="12.5" spans="3:35">
      <c r="C2599" s="19"/>
      <c r="D2599" s="19"/>
      <c r="H2599" s="105"/>
      <c r="I2599" s="126"/>
      <c r="J2599" s="11"/>
      <c r="K2599" s="108"/>
      <c r="L2599" s="11"/>
      <c r="M2599" s="105"/>
      <c r="N2599" s="105"/>
      <c r="O2599" s="11"/>
      <c r="P2599" s="11"/>
      <c r="Q2599" s="105"/>
      <c r="R2599" s="105"/>
      <c r="S2599" s="105"/>
      <c r="T2599" s="105"/>
      <c r="U2599" s="105"/>
      <c r="V2599" s="105"/>
      <c r="W2599" s="105"/>
      <c r="X2599" s="11"/>
      <c r="Y2599" s="11"/>
      <c r="Z2599" s="105"/>
      <c r="AA2599" s="11"/>
      <c r="AB2599" s="11"/>
      <c r="AC2599" s="105"/>
      <c r="AD2599" s="11" t="b">
        <v>0</v>
      </c>
      <c r="AE2599" s="105"/>
      <c r="AF2599" s="11"/>
      <c r="AG2599" s="11"/>
      <c r="AH2599" s="11"/>
      <c r="AI2599" s="11"/>
    </row>
    <row r="2600" ht="12.5" spans="3:35">
      <c r="C2600" s="19"/>
      <c r="D2600" s="19"/>
      <c r="H2600" s="105"/>
      <c r="I2600" s="126"/>
      <c r="J2600" s="11"/>
      <c r="K2600" s="108"/>
      <c r="L2600" s="11"/>
      <c r="M2600" s="105"/>
      <c r="N2600" s="105"/>
      <c r="O2600" s="11"/>
      <c r="P2600" s="11"/>
      <c r="Q2600" s="105"/>
      <c r="R2600" s="105"/>
      <c r="S2600" s="105"/>
      <c r="T2600" s="105"/>
      <c r="U2600" s="105"/>
      <c r="V2600" s="105"/>
      <c r="W2600" s="105"/>
      <c r="X2600" s="11"/>
      <c r="Y2600" s="11"/>
      <c r="Z2600" s="105"/>
      <c r="AA2600" s="11"/>
      <c r="AB2600" s="11"/>
      <c r="AC2600" s="105"/>
      <c r="AD2600" s="11" t="b">
        <v>0</v>
      </c>
      <c r="AE2600" s="105"/>
      <c r="AF2600" s="11"/>
      <c r="AG2600" s="11"/>
      <c r="AH2600" s="11"/>
      <c r="AI2600" s="11"/>
    </row>
    <row r="2601" ht="12.5" spans="3:35">
      <c r="C2601" s="19"/>
      <c r="D2601" s="19"/>
      <c r="H2601" s="105"/>
      <c r="I2601" s="126"/>
      <c r="J2601" s="11"/>
      <c r="K2601" s="108"/>
      <c r="L2601" s="11"/>
      <c r="M2601" s="105"/>
      <c r="N2601" s="105"/>
      <c r="O2601" s="11"/>
      <c r="P2601" s="11"/>
      <c r="Q2601" s="105"/>
      <c r="R2601" s="105"/>
      <c r="S2601" s="105"/>
      <c r="T2601" s="105"/>
      <c r="U2601" s="105"/>
      <c r="V2601" s="105"/>
      <c r="W2601" s="105"/>
      <c r="X2601" s="11"/>
      <c r="Y2601" s="11"/>
      <c r="Z2601" s="105"/>
      <c r="AA2601" s="11"/>
      <c r="AB2601" s="11"/>
      <c r="AC2601" s="105"/>
      <c r="AD2601" s="11" t="b">
        <v>0</v>
      </c>
      <c r="AE2601" s="105"/>
      <c r="AF2601" s="11"/>
      <c r="AG2601" s="11"/>
      <c r="AH2601" s="11"/>
      <c r="AI2601" s="11"/>
    </row>
    <row r="2602" ht="12.5" spans="3:35">
      <c r="C2602" s="19"/>
      <c r="D2602" s="19"/>
      <c r="H2602" s="105"/>
      <c r="I2602" s="126"/>
      <c r="J2602" s="11"/>
      <c r="K2602" s="108"/>
      <c r="L2602" s="11"/>
      <c r="M2602" s="105"/>
      <c r="N2602" s="105"/>
      <c r="O2602" s="11"/>
      <c r="P2602" s="11"/>
      <c r="Q2602" s="105"/>
      <c r="R2602" s="105"/>
      <c r="S2602" s="105"/>
      <c r="T2602" s="105"/>
      <c r="U2602" s="105"/>
      <c r="V2602" s="105"/>
      <c r="W2602" s="105"/>
      <c r="X2602" s="11"/>
      <c r="Y2602" s="11"/>
      <c r="Z2602" s="105"/>
      <c r="AA2602" s="11"/>
      <c r="AB2602" s="11"/>
      <c r="AC2602" s="105"/>
      <c r="AD2602" s="11" t="b">
        <v>0</v>
      </c>
      <c r="AE2602" s="105"/>
      <c r="AF2602" s="11"/>
      <c r="AG2602" s="11"/>
      <c r="AH2602" s="11"/>
      <c r="AI2602" s="11"/>
    </row>
    <row r="2603" ht="12.5" spans="3:35">
      <c r="C2603" s="19"/>
      <c r="D2603" s="19"/>
      <c r="H2603" s="105"/>
      <c r="I2603" s="126"/>
      <c r="J2603" s="11"/>
      <c r="K2603" s="108"/>
      <c r="L2603" s="11"/>
      <c r="M2603" s="105"/>
      <c r="N2603" s="105"/>
      <c r="O2603" s="11"/>
      <c r="P2603" s="11"/>
      <c r="Q2603" s="105"/>
      <c r="R2603" s="105"/>
      <c r="S2603" s="105"/>
      <c r="T2603" s="105"/>
      <c r="U2603" s="105"/>
      <c r="V2603" s="105"/>
      <c r="W2603" s="105"/>
      <c r="X2603" s="11"/>
      <c r="Y2603" s="11"/>
      <c r="Z2603" s="105"/>
      <c r="AA2603" s="11"/>
      <c r="AB2603" s="11"/>
      <c r="AC2603" s="105"/>
      <c r="AD2603" s="11" t="b">
        <v>0</v>
      </c>
      <c r="AE2603" s="105"/>
      <c r="AF2603" s="11"/>
      <c r="AG2603" s="11"/>
      <c r="AH2603" s="11"/>
      <c r="AI2603" s="11"/>
    </row>
    <row r="2604" ht="12.5" spans="3:35">
      <c r="C2604" s="19"/>
      <c r="D2604" s="19"/>
      <c r="H2604" s="105"/>
      <c r="I2604" s="126"/>
      <c r="J2604" s="11"/>
      <c r="K2604" s="108"/>
      <c r="L2604" s="11"/>
      <c r="M2604" s="105"/>
      <c r="N2604" s="105"/>
      <c r="O2604" s="11"/>
      <c r="P2604" s="11"/>
      <c r="Q2604" s="105"/>
      <c r="R2604" s="105"/>
      <c r="S2604" s="105"/>
      <c r="T2604" s="105"/>
      <c r="U2604" s="105"/>
      <c r="V2604" s="105"/>
      <c r="W2604" s="105"/>
      <c r="X2604" s="11"/>
      <c r="Y2604" s="11"/>
      <c r="Z2604" s="105"/>
      <c r="AA2604" s="11"/>
      <c r="AB2604" s="11"/>
      <c r="AC2604" s="105"/>
      <c r="AD2604" s="11" t="b">
        <v>0</v>
      </c>
      <c r="AE2604" s="105"/>
      <c r="AF2604" s="11"/>
      <c r="AG2604" s="11"/>
      <c r="AH2604" s="11"/>
      <c r="AI2604" s="11"/>
    </row>
    <row r="2605" ht="12.5" spans="3:35">
      <c r="C2605" s="19"/>
      <c r="D2605" s="19"/>
      <c r="H2605" s="105"/>
      <c r="I2605" s="126"/>
      <c r="J2605" s="11"/>
      <c r="K2605" s="108"/>
      <c r="L2605" s="11"/>
      <c r="M2605" s="105"/>
      <c r="N2605" s="105"/>
      <c r="O2605" s="11"/>
      <c r="P2605" s="11"/>
      <c r="Q2605" s="105"/>
      <c r="R2605" s="105"/>
      <c r="S2605" s="105"/>
      <c r="T2605" s="105"/>
      <c r="U2605" s="105"/>
      <c r="V2605" s="105"/>
      <c r="W2605" s="105"/>
      <c r="X2605" s="11"/>
      <c r="Y2605" s="11"/>
      <c r="Z2605" s="105"/>
      <c r="AA2605" s="11"/>
      <c r="AB2605" s="11"/>
      <c r="AC2605" s="105"/>
      <c r="AD2605" s="11" t="b">
        <v>0</v>
      </c>
      <c r="AE2605" s="105"/>
      <c r="AF2605" s="11"/>
      <c r="AG2605" s="11"/>
      <c r="AH2605" s="11"/>
      <c r="AI2605" s="11"/>
    </row>
    <row r="2606" ht="12.5" spans="3:35">
      <c r="C2606" s="19"/>
      <c r="D2606" s="19"/>
      <c r="H2606" s="105"/>
      <c r="I2606" s="126"/>
      <c r="J2606" s="11"/>
      <c r="K2606" s="108"/>
      <c r="L2606" s="11"/>
      <c r="M2606" s="105"/>
      <c r="N2606" s="105"/>
      <c r="O2606" s="11"/>
      <c r="P2606" s="11"/>
      <c r="Q2606" s="105"/>
      <c r="R2606" s="105"/>
      <c r="S2606" s="105"/>
      <c r="T2606" s="105"/>
      <c r="U2606" s="105"/>
      <c r="V2606" s="105"/>
      <c r="W2606" s="105"/>
      <c r="X2606" s="11"/>
      <c r="Y2606" s="11"/>
      <c r="Z2606" s="105"/>
      <c r="AA2606" s="11"/>
      <c r="AB2606" s="11"/>
      <c r="AC2606" s="105"/>
      <c r="AD2606" s="11" t="b">
        <v>0</v>
      </c>
      <c r="AE2606" s="105"/>
      <c r="AF2606" s="11"/>
      <c r="AG2606" s="11"/>
      <c r="AH2606" s="11"/>
      <c r="AI2606" s="11"/>
    </row>
    <row r="2607" ht="12.5" spans="3:35">
      <c r="C2607" s="19"/>
      <c r="D2607" s="19"/>
      <c r="H2607" s="105"/>
      <c r="I2607" s="126"/>
      <c r="J2607" s="11"/>
      <c r="K2607" s="108"/>
      <c r="L2607" s="11"/>
      <c r="M2607" s="105"/>
      <c r="N2607" s="105"/>
      <c r="O2607" s="11"/>
      <c r="P2607" s="11"/>
      <c r="Q2607" s="105"/>
      <c r="R2607" s="105"/>
      <c r="S2607" s="105"/>
      <c r="T2607" s="105"/>
      <c r="U2607" s="105"/>
      <c r="V2607" s="105"/>
      <c r="W2607" s="105"/>
      <c r="X2607" s="11"/>
      <c r="Y2607" s="11"/>
      <c r="Z2607" s="105"/>
      <c r="AA2607" s="11"/>
      <c r="AB2607" s="11"/>
      <c r="AC2607" s="105"/>
      <c r="AD2607" s="11" t="b">
        <v>0</v>
      </c>
      <c r="AE2607" s="105"/>
      <c r="AF2607" s="11"/>
      <c r="AG2607" s="11"/>
      <c r="AH2607" s="11"/>
      <c r="AI2607" s="11"/>
    </row>
    <row r="2608" ht="12.5" spans="3:35">
      <c r="C2608" s="19"/>
      <c r="D2608" s="19"/>
      <c r="H2608" s="105"/>
      <c r="I2608" s="126"/>
      <c r="J2608" s="11"/>
      <c r="K2608" s="108"/>
      <c r="L2608" s="11"/>
      <c r="M2608" s="105"/>
      <c r="N2608" s="105"/>
      <c r="O2608" s="11"/>
      <c r="P2608" s="11"/>
      <c r="Q2608" s="105"/>
      <c r="R2608" s="105"/>
      <c r="S2608" s="105"/>
      <c r="T2608" s="105"/>
      <c r="U2608" s="105"/>
      <c r="V2608" s="105"/>
      <c r="W2608" s="105"/>
      <c r="X2608" s="11"/>
      <c r="Y2608" s="11"/>
      <c r="Z2608" s="105"/>
      <c r="AA2608" s="11"/>
      <c r="AB2608" s="11"/>
      <c r="AC2608" s="105"/>
      <c r="AD2608" s="11" t="b">
        <v>0</v>
      </c>
      <c r="AE2608" s="105"/>
      <c r="AF2608" s="11"/>
      <c r="AG2608" s="11"/>
      <c r="AH2608" s="11"/>
      <c r="AI2608" s="11"/>
    </row>
    <row r="2609" ht="12.5" spans="3:35">
      <c r="C2609" s="19"/>
      <c r="D2609" s="19"/>
      <c r="H2609" s="105"/>
      <c r="I2609" s="126"/>
      <c r="J2609" s="11"/>
      <c r="K2609" s="108"/>
      <c r="L2609" s="11"/>
      <c r="M2609" s="105"/>
      <c r="N2609" s="105"/>
      <c r="O2609" s="11"/>
      <c r="P2609" s="11"/>
      <c r="Q2609" s="105"/>
      <c r="R2609" s="105"/>
      <c r="S2609" s="105"/>
      <c r="T2609" s="105"/>
      <c r="U2609" s="105"/>
      <c r="V2609" s="105"/>
      <c r="W2609" s="105"/>
      <c r="X2609" s="11"/>
      <c r="Y2609" s="11"/>
      <c r="Z2609" s="105"/>
      <c r="AA2609" s="11"/>
      <c r="AB2609" s="11"/>
      <c r="AC2609" s="105"/>
      <c r="AD2609" s="11" t="b">
        <v>0</v>
      </c>
      <c r="AE2609" s="105"/>
      <c r="AF2609" s="11"/>
      <c r="AG2609" s="11"/>
      <c r="AH2609" s="11"/>
      <c r="AI2609" s="11"/>
    </row>
    <row r="2610" ht="12.5" spans="3:35">
      <c r="C2610" s="19"/>
      <c r="D2610" s="19"/>
      <c r="H2610" s="105"/>
      <c r="I2610" s="126"/>
      <c r="J2610" s="11"/>
      <c r="K2610" s="108"/>
      <c r="L2610" s="11"/>
      <c r="M2610" s="105"/>
      <c r="N2610" s="105"/>
      <c r="O2610" s="11"/>
      <c r="P2610" s="11"/>
      <c r="Q2610" s="105"/>
      <c r="R2610" s="105"/>
      <c r="S2610" s="105"/>
      <c r="T2610" s="105"/>
      <c r="U2610" s="105"/>
      <c r="V2610" s="105"/>
      <c r="W2610" s="105"/>
      <c r="X2610" s="11"/>
      <c r="Y2610" s="11"/>
      <c r="Z2610" s="105"/>
      <c r="AA2610" s="11"/>
      <c r="AB2610" s="11"/>
      <c r="AC2610" s="105"/>
      <c r="AD2610" s="11" t="b">
        <v>0</v>
      </c>
      <c r="AE2610" s="105"/>
      <c r="AF2610" s="11"/>
      <c r="AG2610" s="11"/>
      <c r="AH2610" s="11"/>
      <c r="AI2610" s="11"/>
    </row>
    <row r="2611" ht="12.5" spans="3:35">
      <c r="C2611" s="19"/>
      <c r="D2611" s="19"/>
      <c r="H2611" s="105"/>
      <c r="I2611" s="126"/>
      <c r="J2611" s="11"/>
      <c r="K2611" s="108"/>
      <c r="L2611" s="11"/>
      <c r="M2611" s="105"/>
      <c r="N2611" s="105"/>
      <c r="O2611" s="11"/>
      <c r="P2611" s="11"/>
      <c r="Q2611" s="105"/>
      <c r="R2611" s="105"/>
      <c r="S2611" s="105"/>
      <c r="T2611" s="105"/>
      <c r="U2611" s="105"/>
      <c r="V2611" s="105"/>
      <c r="W2611" s="105"/>
      <c r="X2611" s="11"/>
      <c r="Y2611" s="11"/>
      <c r="Z2611" s="105"/>
      <c r="AA2611" s="11"/>
      <c r="AB2611" s="11"/>
      <c r="AC2611" s="105"/>
      <c r="AD2611" s="11" t="b">
        <v>0</v>
      </c>
      <c r="AE2611" s="105"/>
      <c r="AF2611" s="11"/>
      <c r="AG2611" s="11"/>
      <c r="AH2611" s="11"/>
      <c r="AI2611" s="11"/>
    </row>
    <row r="2612" ht="12.5" spans="3:35">
      <c r="C2612" s="19"/>
      <c r="D2612" s="19"/>
      <c r="H2612" s="105"/>
      <c r="I2612" s="126"/>
      <c r="J2612" s="11"/>
      <c r="K2612" s="108"/>
      <c r="L2612" s="11"/>
      <c r="M2612" s="105"/>
      <c r="N2612" s="105"/>
      <c r="O2612" s="11"/>
      <c r="P2612" s="11"/>
      <c r="Q2612" s="105"/>
      <c r="R2612" s="105"/>
      <c r="S2612" s="105"/>
      <c r="T2612" s="105"/>
      <c r="U2612" s="105"/>
      <c r="V2612" s="105"/>
      <c r="W2612" s="105"/>
      <c r="X2612" s="11"/>
      <c r="Y2612" s="11"/>
      <c r="Z2612" s="105"/>
      <c r="AA2612" s="11"/>
      <c r="AB2612" s="11"/>
      <c r="AC2612" s="105"/>
      <c r="AD2612" s="11" t="b">
        <v>0</v>
      </c>
      <c r="AE2612" s="105"/>
      <c r="AF2612" s="11"/>
      <c r="AG2612" s="11"/>
      <c r="AH2612" s="11"/>
      <c r="AI2612" s="11"/>
    </row>
    <row r="2613" ht="12.5" spans="3:35">
      <c r="C2613" s="19"/>
      <c r="D2613" s="19"/>
      <c r="H2613" s="105"/>
      <c r="I2613" s="126"/>
      <c r="J2613" s="11"/>
      <c r="K2613" s="108"/>
      <c r="L2613" s="11"/>
      <c r="M2613" s="105"/>
      <c r="N2613" s="105"/>
      <c r="O2613" s="11"/>
      <c r="P2613" s="11"/>
      <c r="Q2613" s="105"/>
      <c r="R2613" s="105"/>
      <c r="S2613" s="105"/>
      <c r="T2613" s="105"/>
      <c r="U2613" s="105"/>
      <c r="V2613" s="105"/>
      <c r="W2613" s="105"/>
      <c r="X2613" s="11"/>
      <c r="Y2613" s="11"/>
      <c r="Z2613" s="105"/>
      <c r="AA2613" s="11"/>
      <c r="AB2613" s="11"/>
      <c r="AC2613" s="105"/>
      <c r="AD2613" s="11" t="b">
        <v>0</v>
      </c>
      <c r="AE2613" s="105"/>
      <c r="AF2613" s="11"/>
      <c r="AG2613" s="11"/>
      <c r="AH2613" s="11"/>
      <c r="AI2613" s="11"/>
    </row>
    <row r="2614" ht="12.5" spans="3:35">
      <c r="C2614" s="19"/>
      <c r="D2614" s="19"/>
      <c r="H2614" s="105"/>
      <c r="I2614" s="126"/>
      <c r="J2614" s="11"/>
      <c r="K2614" s="108"/>
      <c r="L2614" s="11"/>
      <c r="M2614" s="105"/>
      <c r="N2614" s="105"/>
      <c r="O2614" s="11"/>
      <c r="P2614" s="11"/>
      <c r="Q2614" s="105"/>
      <c r="R2614" s="105"/>
      <c r="S2614" s="105"/>
      <c r="T2614" s="105"/>
      <c r="U2614" s="105"/>
      <c r="V2614" s="105"/>
      <c r="W2614" s="105"/>
      <c r="X2614" s="11"/>
      <c r="Y2614" s="11"/>
      <c r="Z2614" s="105"/>
      <c r="AA2614" s="11"/>
      <c r="AB2614" s="11"/>
      <c r="AC2614" s="105"/>
      <c r="AD2614" s="11" t="b">
        <v>0</v>
      </c>
      <c r="AE2614" s="105"/>
      <c r="AF2614" s="11"/>
      <c r="AG2614" s="11"/>
      <c r="AH2614" s="11"/>
      <c r="AI2614" s="11"/>
    </row>
    <row r="2615" ht="12.5" spans="3:35">
      <c r="C2615" s="19"/>
      <c r="D2615" s="19"/>
      <c r="H2615" s="105"/>
      <c r="I2615" s="126"/>
      <c r="J2615" s="11"/>
      <c r="K2615" s="108"/>
      <c r="L2615" s="11"/>
      <c r="M2615" s="105"/>
      <c r="N2615" s="105"/>
      <c r="O2615" s="11"/>
      <c r="P2615" s="11"/>
      <c r="Q2615" s="105"/>
      <c r="R2615" s="105"/>
      <c r="S2615" s="105"/>
      <c r="T2615" s="105"/>
      <c r="U2615" s="105"/>
      <c r="V2615" s="105"/>
      <c r="W2615" s="105"/>
      <c r="X2615" s="11"/>
      <c r="Y2615" s="11"/>
      <c r="Z2615" s="105"/>
      <c r="AA2615" s="11"/>
      <c r="AB2615" s="11"/>
      <c r="AC2615" s="105"/>
      <c r="AD2615" s="11" t="b">
        <v>0</v>
      </c>
      <c r="AE2615" s="105"/>
      <c r="AF2615" s="11"/>
      <c r="AG2615" s="11"/>
      <c r="AH2615" s="11"/>
      <c r="AI2615" s="11"/>
    </row>
    <row r="2616" ht="12.5" spans="3:35">
      <c r="C2616" s="19"/>
      <c r="D2616" s="19"/>
      <c r="H2616" s="105"/>
      <c r="I2616" s="126"/>
      <c r="J2616" s="11"/>
      <c r="K2616" s="108"/>
      <c r="L2616" s="11"/>
      <c r="M2616" s="105"/>
      <c r="N2616" s="105"/>
      <c r="O2616" s="11"/>
      <c r="P2616" s="11"/>
      <c r="Q2616" s="105"/>
      <c r="R2616" s="105"/>
      <c r="S2616" s="105"/>
      <c r="T2616" s="105"/>
      <c r="U2616" s="105"/>
      <c r="V2616" s="105"/>
      <c r="W2616" s="105"/>
      <c r="X2616" s="11"/>
      <c r="Y2616" s="11"/>
      <c r="Z2616" s="105"/>
      <c r="AA2616" s="11"/>
      <c r="AB2616" s="11"/>
      <c r="AC2616" s="105"/>
      <c r="AD2616" s="11" t="b">
        <v>0</v>
      </c>
      <c r="AE2616" s="105"/>
      <c r="AF2616" s="11"/>
      <c r="AG2616" s="11"/>
      <c r="AH2616" s="11"/>
      <c r="AI2616" s="11"/>
    </row>
    <row r="2617" ht="12.5" spans="3:35">
      <c r="C2617" s="19"/>
      <c r="D2617" s="19"/>
      <c r="H2617" s="105"/>
      <c r="I2617" s="126"/>
      <c r="J2617" s="11"/>
      <c r="K2617" s="108"/>
      <c r="L2617" s="11"/>
      <c r="M2617" s="105"/>
      <c r="N2617" s="105"/>
      <c r="O2617" s="11"/>
      <c r="P2617" s="11"/>
      <c r="Q2617" s="105"/>
      <c r="R2617" s="105"/>
      <c r="S2617" s="105"/>
      <c r="T2617" s="105"/>
      <c r="U2617" s="105"/>
      <c r="V2617" s="105"/>
      <c r="W2617" s="105"/>
      <c r="X2617" s="11"/>
      <c r="Y2617" s="11"/>
      <c r="Z2617" s="105"/>
      <c r="AA2617" s="11"/>
      <c r="AB2617" s="11"/>
      <c r="AC2617" s="105"/>
      <c r="AD2617" s="11" t="b">
        <v>0</v>
      </c>
      <c r="AE2617" s="105"/>
      <c r="AF2617" s="11"/>
      <c r="AG2617" s="11"/>
      <c r="AH2617" s="11"/>
      <c r="AI2617" s="11"/>
    </row>
    <row r="2618" ht="12.5" spans="3:35">
      <c r="C2618" s="19"/>
      <c r="D2618" s="19"/>
      <c r="H2618" s="105"/>
      <c r="I2618" s="126"/>
      <c r="J2618" s="11"/>
      <c r="K2618" s="108"/>
      <c r="L2618" s="11"/>
      <c r="M2618" s="105"/>
      <c r="N2618" s="105"/>
      <c r="O2618" s="11"/>
      <c r="P2618" s="11"/>
      <c r="Q2618" s="105"/>
      <c r="R2618" s="105"/>
      <c r="S2618" s="105"/>
      <c r="T2618" s="105"/>
      <c r="U2618" s="105"/>
      <c r="V2618" s="105"/>
      <c r="W2618" s="105"/>
      <c r="X2618" s="11"/>
      <c r="Y2618" s="11"/>
      <c r="Z2618" s="105"/>
      <c r="AA2618" s="11"/>
      <c r="AB2618" s="11"/>
      <c r="AC2618" s="105"/>
      <c r="AD2618" s="11" t="b">
        <v>0</v>
      </c>
      <c r="AE2618" s="105"/>
      <c r="AF2618" s="11"/>
      <c r="AG2618" s="11"/>
      <c r="AH2618" s="11"/>
      <c r="AI2618" s="11"/>
    </row>
    <row r="2619" ht="12.5" spans="3:35">
      <c r="C2619" s="19"/>
      <c r="D2619" s="19"/>
      <c r="H2619" s="105"/>
      <c r="I2619" s="126"/>
      <c r="J2619" s="11"/>
      <c r="K2619" s="108"/>
      <c r="L2619" s="11"/>
      <c r="M2619" s="105"/>
      <c r="N2619" s="105"/>
      <c r="O2619" s="11"/>
      <c r="P2619" s="11"/>
      <c r="Q2619" s="105"/>
      <c r="R2619" s="105"/>
      <c r="S2619" s="105"/>
      <c r="T2619" s="105"/>
      <c r="U2619" s="105"/>
      <c r="V2619" s="105"/>
      <c r="W2619" s="105"/>
      <c r="X2619" s="11"/>
      <c r="Y2619" s="11"/>
      <c r="Z2619" s="105"/>
      <c r="AA2619" s="11"/>
      <c r="AB2619" s="11"/>
      <c r="AC2619" s="105"/>
      <c r="AD2619" s="11" t="b">
        <v>0</v>
      </c>
      <c r="AE2619" s="105"/>
      <c r="AF2619" s="11"/>
      <c r="AG2619" s="11"/>
      <c r="AH2619" s="11"/>
      <c r="AI2619" s="11"/>
    </row>
    <row r="2620" ht="12.5" spans="3:35">
      <c r="C2620" s="19"/>
      <c r="D2620" s="19"/>
      <c r="H2620" s="105"/>
      <c r="I2620" s="126"/>
      <c r="J2620" s="11"/>
      <c r="K2620" s="108"/>
      <c r="L2620" s="11"/>
      <c r="M2620" s="105"/>
      <c r="N2620" s="105"/>
      <c r="O2620" s="11"/>
      <c r="P2620" s="11"/>
      <c r="Q2620" s="105"/>
      <c r="R2620" s="105"/>
      <c r="S2620" s="105"/>
      <c r="T2620" s="105"/>
      <c r="U2620" s="105"/>
      <c r="V2620" s="105"/>
      <c r="W2620" s="105"/>
      <c r="X2620" s="11"/>
      <c r="Y2620" s="11"/>
      <c r="Z2620" s="105"/>
      <c r="AA2620" s="11"/>
      <c r="AB2620" s="11"/>
      <c r="AC2620" s="105"/>
      <c r="AD2620" s="11" t="b">
        <v>0</v>
      </c>
      <c r="AE2620" s="105"/>
      <c r="AF2620" s="11"/>
      <c r="AG2620" s="11"/>
      <c r="AH2620" s="11"/>
      <c r="AI2620" s="11"/>
    </row>
    <row r="2621" ht="12.5" spans="3:35">
      <c r="C2621" s="19"/>
      <c r="D2621" s="19"/>
      <c r="H2621" s="105"/>
      <c r="I2621" s="126"/>
      <c r="J2621" s="11"/>
      <c r="K2621" s="108"/>
      <c r="L2621" s="11"/>
      <c r="M2621" s="105"/>
      <c r="N2621" s="105"/>
      <c r="O2621" s="11"/>
      <c r="P2621" s="11"/>
      <c r="Q2621" s="105"/>
      <c r="R2621" s="105"/>
      <c r="S2621" s="105"/>
      <c r="T2621" s="105"/>
      <c r="U2621" s="105"/>
      <c r="V2621" s="105"/>
      <c r="W2621" s="105"/>
      <c r="X2621" s="11"/>
      <c r="Y2621" s="11"/>
      <c r="Z2621" s="105"/>
      <c r="AA2621" s="11"/>
      <c r="AB2621" s="11"/>
      <c r="AC2621" s="105"/>
      <c r="AD2621" s="11" t="b">
        <v>0</v>
      </c>
      <c r="AE2621" s="105"/>
      <c r="AF2621" s="11"/>
      <c r="AG2621" s="11"/>
      <c r="AH2621" s="11"/>
      <c r="AI2621" s="11"/>
    </row>
    <row r="2622" ht="12.5" spans="3:35">
      <c r="C2622" s="19"/>
      <c r="D2622" s="19"/>
      <c r="H2622" s="105"/>
      <c r="I2622" s="126"/>
      <c r="J2622" s="11"/>
      <c r="K2622" s="108"/>
      <c r="L2622" s="11"/>
      <c r="M2622" s="105"/>
      <c r="N2622" s="105"/>
      <c r="O2622" s="11"/>
      <c r="P2622" s="11"/>
      <c r="Q2622" s="105"/>
      <c r="R2622" s="105"/>
      <c r="S2622" s="105"/>
      <c r="T2622" s="105"/>
      <c r="U2622" s="105"/>
      <c r="V2622" s="105"/>
      <c r="W2622" s="105"/>
      <c r="X2622" s="11"/>
      <c r="Y2622" s="11"/>
      <c r="Z2622" s="105"/>
      <c r="AA2622" s="11"/>
      <c r="AB2622" s="11"/>
      <c r="AC2622" s="105"/>
      <c r="AD2622" s="11" t="b">
        <v>0</v>
      </c>
      <c r="AE2622" s="105"/>
      <c r="AF2622" s="11"/>
      <c r="AG2622" s="11"/>
      <c r="AH2622" s="11"/>
      <c r="AI2622" s="11"/>
    </row>
    <row r="2623" ht="12.5" spans="3:35">
      <c r="C2623" s="19"/>
      <c r="D2623" s="19"/>
      <c r="H2623" s="105"/>
      <c r="I2623" s="126"/>
      <c r="J2623" s="11"/>
      <c r="K2623" s="108"/>
      <c r="L2623" s="11"/>
      <c r="M2623" s="105"/>
      <c r="N2623" s="105"/>
      <c r="O2623" s="11"/>
      <c r="P2623" s="11"/>
      <c r="Q2623" s="105"/>
      <c r="R2623" s="105"/>
      <c r="S2623" s="105"/>
      <c r="T2623" s="105"/>
      <c r="U2623" s="105"/>
      <c r="V2623" s="105"/>
      <c r="W2623" s="105"/>
      <c r="X2623" s="11"/>
      <c r="Y2623" s="11"/>
      <c r="Z2623" s="105"/>
      <c r="AA2623" s="11"/>
      <c r="AB2623" s="11"/>
      <c r="AC2623" s="105"/>
      <c r="AD2623" s="11" t="b">
        <v>0</v>
      </c>
      <c r="AE2623" s="105"/>
      <c r="AF2623" s="11"/>
      <c r="AG2623" s="11"/>
      <c r="AH2623" s="11"/>
      <c r="AI2623" s="11"/>
    </row>
    <row r="2624" ht="12.5" spans="3:35">
      <c r="C2624" s="19"/>
      <c r="D2624" s="19"/>
      <c r="H2624" s="105"/>
      <c r="I2624" s="126"/>
      <c r="J2624" s="11"/>
      <c r="K2624" s="108"/>
      <c r="L2624" s="11"/>
      <c r="M2624" s="105"/>
      <c r="N2624" s="105"/>
      <c r="O2624" s="11"/>
      <c r="P2624" s="11"/>
      <c r="Q2624" s="105"/>
      <c r="R2624" s="105"/>
      <c r="S2624" s="105"/>
      <c r="T2624" s="105"/>
      <c r="U2624" s="105"/>
      <c r="V2624" s="105"/>
      <c r="W2624" s="105"/>
      <c r="X2624" s="11"/>
      <c r="Y2624" s="11"/>
      <c r="Z2624" s="105"/>
      <c r="AA2624" s="11"/>
      <c r="AB2624" s="11"/>
      <c r="AC2624" s="105"/>
      <c r="AD2624" s="11" t="b">
        <v>0</v>
      </c>
      <c r="AE2624" s="105"/>
      <c r="AF2624" s="11"/>
      <c r="AG2624" s="11"/>
      <c r="AH2624" s="11"/>
      <c r="AI2624" s="11"/>
    </row>
    <row r="2625" ht="12.5" spans="3:35">
      <c r="C2625" s="19"/>
      <c r="D2625" s="19"/>
      <c r="H2625" s="105"/>
      <c r="I2625" s="126"/>
      <c r="J2625" s="11"/>
      <c r="K2625" s="108"/>
      <c r="L2625" s="11"/>
      <c r="M2625" s="105"/>
      <c r="N2625" s="105"/>
      <c r="O2625" s="11"/>
      <c r="P2625" s="11"/>
      <c r="Q2625" s="105"/>
      <c r="R2625" s="105"/>
      <c r="S2625" s="105"/>
      <c r="T2625" s="105"/>
      <c r="U2625" s="105"/>
      <c r="V2625" s="105"/>
      <c r="W2625" s="105"/>
      <c r="X2625" s="11"/>
      <c r="Y2625" s="11"/>
      <c r="Z2625" s="105"/>
      <c r="AA2625" s="11"/>
      <c r="AB2625" s="11"/>
      <c r="AC2625" s="105"/>
      <c r="AD2625" s="11" t="b">
        <v>0</v>
      </c>
      <c r="AE2625" s="105"/>
      <c r="AF2625" s="11"/>
      <c r="AG2625" s="11"/>
      <c r="AH2625" s="11"/>
      <c r="AI2625" s="11"/>
    </row>
    <row r="2626" ht="12.5" spans="3:35">
      <c r="C2626" s="19"/>
      <c r="D2626" s="19"/>
      <c r="H2626" s="105"/>
      <c r="I2626" s="126"/>
      <c r="J2626" s="11"/>
      <c r="K2626" s="108"/>
      <c r="L2626" s="11"/>
      <c r="M2626" s="105"/>
      <c r="N2626" s="105"/>
      <c r="O2626" s="11"/>
      <c r="P2626" s="11"/>
      <c r="Q2626" s="105"/>
      <c r="R2626" s="105"/>
      <c r="S2626" s="105"/>
      <c r="T2626" s="105"/>
      <c r="U2626" s="105"/>
      <c r="V2626" s="105"/>
      <c r="W2626" s="105"/>
      <c r="X2626" s="11"/>
      <c r="Y2626" s="11"/>
      <c r="Z2626" s="105"/>
      <c r="AA2626" s="11"/>
      <c r="AB2626" s="11"/>
      <c r="AC2626" s="105"/>
      <c r="AD2626" s="11" t="b">
        <v>0</v>
      </c>
      <c r="AE2626" s="105"/>
      <c r="AF2626" s="11"/>
      <c r="AG2626" s="11"/>
      <c r="AH2626" s="11"/>
      <c r="AI2626" s="11"/>
    </row>
    <row r="2627" ht="12.5" spans="3:35">
      <c r="C2627" s="19"/>
      <c r="D2627" s="19"/>
      <c r="H2627" s="105"/>
      <c r="I2627" s="126"/>
      <c r="J2627" s="11"/>
      <c r="K2627" s="108"/>
      <c r="L2627" s="11"/>
      <c r="M2627" s="105"/>
      <c r="N2627" s="105"/>
      <c r="O2627" s="11"/>
      <c r="P2627" s="11"/>
      <c r="Q2627" s="105"/>
      <c r="R2627" s="105"/>
      <c r="S2627" s="105"/>
      <c r="T2627" s="105"/>
      <c r="U2627" s="105"/>
      <c r="V2627" s="105"/>
      <c r="W2627" s="105"/>
      <c r="X2627" s="11"/>
      <c r="Y2627" s="11"/>
      <c r="Z2627" s="105"/>
      <c r="AA2627" s="11"/>
      <c r="AB2627" s="11"/>
      <c r="AC2627" s="105"/>
      <c r="AD2627" s="11" t="b">
        <v>0</v>
      </c>
      <c r="AE2627" s="105"/>
      <c r="AF2627" s="11"/>
      <c r="AG2627" s="11"/>
      <c r="AH2627" s="11"/>
      <c r="AI2627" s="11"/>
    </row>
    <row r="2628" ht="12.5" spans="3:35">
      <c r="C2628" s="19"/>
      <c r="D2628" s="19"/>
      <c r="H2628" s="105"/>
      <c r="I2628" s="126"/>
      <c r="J2628" s="11"/>
      <c r="K2628" s="108"/>
      <c r="L2628" s="11"/>
      <c r="M2628" s="105"/>
      <c r="N2628" s="105"/>
      <c r="O2628" s="11"/>
      <c r="P2628" s="11"/>
      <c r="Q2628" s="105"/>
      <c r="R2628" s="105"/>
      <c r="S2628" s="105"/>
      <c r="T2628" s="105"/>
      <c r="U2628" s="105"/>
      <c r="V2628" s="105"/>
      <c r="W2628" s="105"/>
      <c r="X2628" s="11"/>
      <c r="Y2628" s="11"/>
      <c r="Z2628" s="105"/>
      <c r="AA2628" s="11"/>
      <c r="AB2628" s="11"/>
      <c r="AC2628" s="105"/>
      <c r="AD2628" s="11" t="b">
        <v>0</v>
      </c>
      <c r="AE2628" s="105"/>
      <c r="AF2628" s="11"/>
      <c r="AG2628" s="11"/>
      <c r="AH2628" s="11"/>
      <c r="AI2628" s="11"/>
    </row>
    <row r="2629" ht="12.5" spans="3:35">
      <c r="C2629" s="19"/>
      <c r="D2629" s="19"/>
      <c r="H2629" s="105"/>
      <c r="I2629" s="126"/>
      <c r="J2629" s="11"/>
      <c r="K2629" s="108"/>
      <c r="L2629" s="11"/>
      <c r="M2629" s="105"/>
      <c r="N2629" s="105"/>
      <c r="O2629" s="11"/>
      <c r="P2629" s="11"/>
      <c r="Q2629" s="105"/>
      <c r="R2629" s="105"/>
      <c r="S2629" s="105"/>
      <c r="T2629" s="105"/>
      <c r="U2629" s="105"/>
      <c r="V2629" s="105"/>
      <c r="W2629" s="105"/>
      <c r="X2629" s="11"/>
      <c r="Y2629" s="11"/>
      <c r="Z2629" s="105"/>
      <c r="AA2629" s="11"/>
      <c r="AB2629" s="11"/>
      <c r="AC2629" s="105"/>
      <c r="AD2629" s="11" t="b">
        <v>0</v>
      </c>
      <c r="AE2629" s="105"/>
      <c r="AF2629" s="11"/>
      <c r="AG2629" s="11"/>
      <c r="AH2629" s="11"/>
      <c r="AI2629" s="11"/>
    </row>
    <row r="2630" ht="12.5" spans="3:35">
      <c r="C2630" s="19"/>
      <c r="D2630" s="19"/>
      <c r="H2630" s="105"/>
      <c r="I2630" s="126"/>
      <c r="J2630" s="11"/>
      <c r="K2630" s="108"/>
      <c r="L2630" s="11"/>
      <c r="M2630" s="105"/>
      <c r="N2630" s="105"/>
      <c r="O2630" s="11"/>
      <c r="P2630" s="11"/>
      <c r="Q2630" s="105"/>
      <c r="R2630" s="105"/>
      <c r="S2630" s="105"/>
      <c r="T2630" s="105"/>
      <c r="U2630" s="105"/>
      <c r="V2630" s="105"/>
      <c r="W2630" s="105"/>
      <c r="X2630" s="11"/>
      <c r="Y2630" s="11"/>
      <c r="Z2630" s="105"/>
      <c r="AA2630" s="11"/>
      <c r="AB2630" s="11"/>
      <c r="AC2630" s="105"/>
      <c r="AD2630" s="11" t="b">
        <v>0</v>
      </c>
      <c r="AE2630" s="105"/>
      <c r="AF2630" s="11"/>
      <c r="AG2630" s="11"/>
      <c r="AH2630" s="11"/>
      <c r="AI2630" s="11"/>
    </row>
    <row r="2631" ht="12.5" spans="3:35">
      <c r="C2631" s="19"/>
      <c r="D2631" s="19"/>
      <c r="H2631" s="105"/>
      <c r="I2631" s="126"/>
      <c r="J2631" s="11"/>
      <c r="K2631" s="108"/>
      <c r="L2631" s="11"/>
      <c r="M2631" s="105"/>
      <c r="N2631" s="105"/>
      <c r="O2631" s="11"/>
      <c r="P2631" s="11"/>
      <c r="Q2631" s="105"/>
      <c r="R2631" s="105"/>
      <c r="S2631" s="105"/>
      <c r="T2631" s="105"/>
      <c r="U2631" s="105"/>
      <c r="V2631" s="105"/>
      <c r="W2631" s="105"/>
      <c r="X2631" s="11"/>
      <c r="Y2631" s="11"/>
      <c r="Z2631" s="105"/>
      <c r="AA2631" s="11"/>
      <c r="AB2631" s="11"/>
      <c r="AC2631" s="105"/>
      <c r="AD2631" s="11" t="b">
        <v>0</v>
      </c>
      <c r="AE2631" s="105"/>
      <c r="AF2631" s="11"/>
      <c r="AG2631" s="11"/>
      <c r="AH2631" s="11"/>
      <c r="AI2631" s="11"/>
    </row>
    <row r="2632" ht="12.5" spans="3:35">
      <c r="C2632" s="19"/>
      <c r="D2632" s="19"/>
      <c r="H2632" s="105"/>
      <c r="I2632" s="126"/>
      <c r="J2632" s="11"/>
      <c r="K2632" s="108"/>
      <c r="L2632" s="11"/>
      <c r="M2632" s="105"/>
      <c r="N2632" s="105"/>
      <c r="O2632" s="11"/>
      <c r="P2632" s="11"/>
      <c r="Q2632" s="105"/>
      <c r="R2632" s="105"/>
      <c r="S2632" s="105"/>
      <c r="T2632" s="105"/>
      <c r="U2632" s="105"/>
      <c r="V2632" s="105"/>
      <c r="W2632" s="105"/>
      <c r="X2632" s="11"/>
      <c r="Y2632" s="11"/>
      <c r="Z2632" s="105"/>
      <c r="AA2632" s="11"/>
      <c r="AB2632" s="11"/>
      <c r="AC2632" s="105"/>
      <c r="AD2632" s="11" t="b">
        <v>0</v>
      </c>
      <c r="AE2632" s="105"/>
      <c r="AF2632" s="11"/>
      <c r="AG2632" s="11"/>
      <c r="AH2632" s="11"/>
      <c r="AI2632" s="11"/>
    </row>
    <row r="2633" ht="12.5" spans="3:35">
      <c r="C2633" s="19"/>
      <c r="D2633" s="19"/>
      <c r="H2633" s="105"/>
      <c r="I2633" s="126"/>
      <c r="J2633" s="11"/>
      <c r="K2633" s="108"/>
      <c r="L2633" s="11"/>
      <c r="M2633" s="105"/>
      <c r="N2633" s="105"/>
      <c r="O2633" s="11"/>
      <c r="P2633" s="11"/>
      <c r="Q2633" s="105"/>
      <c r="R2633" s="105"/>
      <c r="S2633" s="105"/>
      <c r="T2633" s="105"/>
      <c r="U2633" s="105"/>
      <c r="V2633" s="105"/>
      <c r="W2633" s="105"/>
      <c r="X2633" s="11"/>
      <c r="Y2633" s="11"/>
      <c r="Z2633" s="105"/>
      <c r="AA2633" s="11"/>
      <c r="AB2633" s="11"/>
      <c r="AC2633" s="105"/>
      <c r="AD2633" s="11" t="b">
        <v>0</v>
      </c>
      <c r="AE2633" s="105"/>
      <c r="AF2633" s="11"/>
      <c r="AG2633" s="11"/>
      <c r="AH2633" s="11"/>
      <c r="AI2633" s="11"/>
    </row>
    <row r="2634" ht="12.5" spans="3:35">
      <c r="C2634" s="19"/>
      <c r="D2634" s="19"/>
      <c r="H2634" s="105"/>
      <c r="I2634" s="126"/>
      <c r="J2634" s="11"/>
      <c r="K2634" s="108"/>
      <c r="L2634" s="11"/>
      <c r="M2634" s="105"/>
      <c r="N2634" s="105"/>
      <c r="O2634" s="11"/>
      <c r="P2634" s="11"/>
      <c r="Q2634" s="105"/>
      <c r="R2634" s="105"/>
      <c r="S2634" s="105"/>
      <c r="T2634" s="105"/>
      <c r="U2634" s="105"/>
      <c r="V2634" s="105"/>
      <c r="W2634" s="105"/>
      <c r="X2634" s="11"/>
      <c r="Y2634" s="11"/>
      <c r="Z2634" s="105"/>
      <c r="AA2634" s="11"/>
      <c r="AB2634" s="11"/>
      <c r="AC2634" s="105"/>
      <c r="AD2634" s="11" t="b">
        <v>0</v>
      </c>
      <c r="AE2634" s="105"/>
      <c r="AF2634" s="11"/>
      <c r="AG2634" s="11"/>
      <c r="AH2634" s="11"/>
      <c r="AI2634" s="11"/>
    </row>
    <row r="2635" ht="12.5" spans="3:35">
      <c r="C2635" s="19"/>
      <c r="D2635" s="19"/>
      <c r="H2635" s="105"/>
      <c r="I2635" s="126"/>
      <c r="J2635" s="11"/>
      <c r="K2635" s="108"/>
      <c r="L2635" s="11"/>
      <c r="M2635" s="105"/>
      <c r="N2635" s="105"/>
      <c r="O2635" s="11"/>
      <c r="P2635" s="11"/>
      <c r="Q2635" s="105"/>
      <c r="R2635" s="105"/>
      <c r="S2635" s="105"/>
      <c r="T2635" s="105"/>
      <c r="U2635" s="105"/>
      <c r="V2635" s="105"/>
      <c r="W2635" s="105"/>
      <c r="X2635" s="11"/>
      <c r="Y2635" s="11"/>
      <c r="Z2635" s="105"/>
      <c r="AA2635" s="11"/>
      <c r="AB2635" s="11"/>
      <c r="AC2635" s="105"/>
      <c r="AD2635" s="11" t="b">
        <v>0</v>
      </c>
      <c r="AE2635" s="105"/>
      <c r="AF2635" s="11"/>
      <c r="AG2635" s="11"/>
      <c r="AH2635" s="11"/>
      <c r="AI2635" s="11"/>
    </row>
    <row r="2636" ht="12.5" spans="3:35">
      <c r="C2636" s="19"/>
      <c r="D2636" s="19"/>
      <c r="H2636" s="105"/>
      <c r="I2636" s="126"/>
      <c r="J2636" s="11"/>
      <c r="K2636" s="108"/>
      <c r="L2636" s="11"/>
      <c r="M2636" s="105"/>
      <c r="N2636" s="105"/>
      <c r="O2636" s="11"/>
      <c r="P2636" s="11"/>
      <c r="Q2636" s="105"/>
      <c r="R2636" s="105"/>
      <c r="S2636" s="105"/>
      <c r="T2636" s="105"/>
      <c r="U2636" s="105"/>
      <c r="V2636" s="105"/>
      <c r="W2636" s="105"/>
      <c r="X2636" s="11"/>
      <c r="Y2636" s="11"/>
      <c r="Z2636" s="105"/>
      <c r="AA2636" s="11"/>
      <c r="AB2636" s="11"/>
      <c r="AC2636" s="105"/>
      <c r="AD2636" s="11" t="b">
        <v>0</v>
      </c>
      <c r="AE2636" s="105"/>
      <c r="AF2636" s="11"/>
      <c r="AG2636" s="11"/>
      <c r="AH2636" s="11"/>
      <c r="AI2636" s="11"/>
    </row>
    <row r="2637" ht="12.5" spans="3:35">
      <c r="C2637" s="19"/>
      <c r="D2637" s="19"/>
      <c r="H2637" s="105"/>
      <c r="I2637" s="126"/>
      <c r="J2637" s="11"/>
      <c r="K2637" s="108"/>
      <c r="L2637" s="11"/>
      <c r="M2637" s="105"/>
      <c r="N2637" s="105"/>
      <c r="O2637" s="11"/>
      <c r="P2637" s="11"/>
      <c r="Q2637" s="105"/>
      <c r="R2637" s="105"/>
      <c r="S2637" s="105"/>
      <c r="T2637" s="105"/>
      <c r="U2637" s="105"/>
      <c r="V2637" s="105"/>
      <c r="W2637" s="105"/>
      <c r="X2637" s="11"/>
      <c r="Y2637" s="11"/>
      <c r="Z2637" s="105"/>
      <c r="AA2637" s="11"/>
      <c r="AB2637" s="11"/>
      <c r="AC2637" s="105"/>
      <c r="AD2637" s="11" t="b">
        <v>0</v>
      </c>
      <c r="AE2637" s="105"/>
      <c r="AF2637" s="11"/>
      <c r="AG2637" s="11"/>
      <c r="AH2637" s="11"/>
      <c r="AI2637" s="11"/>
    </row>
    <row r="2638" ht="12.5" spans="3:35">
      <c r="C2638" s="19"/>
      <c r="D2638" s="19"/>
      <c r="H2638" s="105"/>
      <c r="I2638" s="126"/>
      <c r="J2638" s="11"/>
      <c r="K2638" s="108"/>
      <c r="L2638" s="11"/>
      <c r="M2638" s="105"/>
      <c r="N2638" s="105"/>
      <c r="O2638" s="11"/>
      <c r="P2638" s="11"/>
      <c r="Q2638" s="105"/>
      <c r="R2638" s="105"/>
      <c r="S2638" s="105"/>
      <c r="T2638" s="105"/>
      <c r="U2638" s="105"/>
      <c r="V2638" s="105"/>
      <c r="W2638" s="105"/>
      <c r="X2638" s="11"/>
      <c r="Y2638" s="11"/>
      <c r="Z2638" s="105"/>
      <c r="AA2638" s="11"/>
      <c r="AB2638" s="11"/>
      <c r="AC2638" s="105"/>
      <c r="AD2638" s="11" t="b">
        <v>0</v>
      </c>
      <c r="AE2638" s="105"/>
      <c r="AF2638" s="11"/>
      <c r="AG2638" s="11"/>
      <c r="AH2638" s="11"/>
      <c r="AI2638" s="11"/>
    </row>
    <row r="2639" ht="12.5" spans="3:35">
      <c r="C2639" s="19"/>
      <c r="D2639" s="19"/>
      <c r="H2639" s="105"/>
      <c r="I2639" s="126"/>
      <c r="J2639" s="11"/>
      <c r="K2639" s="108"/>
      <c r="L2639" s="11"/>
      <c r="M2639" s="105"/>
      <c r="N2639" s="105"/>
      <c r="O2639" s="11"/>
      <c r="P2639" s="11"/>
      <c r="Q2639" s="105"/>
      <c r="R2639" s="105"/>
      <c r="S2639" s="105"/>
      <c r="T2639" s="105"/>
      <c r="U2639" s="105"/>
      <c r="V2639" s="105"/>
      <c r="W2639" s="105"/>
      <c r="X2639" s="11"/>
      <c r="Y2639" s="11"/>
      <c r="Z2639" s="105"/>
      <c r="AA2639" s="11"/>
      <c r="AB2639" s="11"/>
      <c r="AC2639" s="105"/>
      <c r="AD2639" s="11" t="b">
        <v>0</v>
      </c>
      <c r="AE2639" s="105"/>
      <c r="AF2639" s="11"/>
      <c r="AG2639" s="11"/>
      <c r="AH2639" s="11"/>
      <c r="AI2639" s="11"/>
    </row>
    <row r="2640" ht="12.5" spans="3:35">
      <c r="C2640" s="19"/>
      <c r="D2640" s="19"/>
      <c r="H2640" s="105"/>
      <c r="I2640" s="126"/>
      <c r="J2640" s="11"/>
      <c r="K2640" s="108"/>
      <c r="L2640" s="11"/>
      <c r="M2640" s="105"/>
      <c r="N2640" s="105"/>
      <c r="O2640" s="11"/>
      <c r="P2640" s="11"/>
      <c r="Q2640" s="105"/>
      <c r="R2640" s="105"/>
      <c r="S2640" s="105"/>
      <c r="T2640" s="105"/>
      <c r="U2640" s="105"/>
      <c r="V2640" s="105"/>
      <c r="W2640" s="105"/>
      <c r="X2640" s="11"/>
      <c r="Y2640" s="11"/>
      <c r="Z2640" s="105"/>
      <c r="AA2640" s="11"/>
      <c r="AB2640" s="11"/>
      <c r="AC2640" s="105"/>
      <c r="AD2640" s="11" t="b">
        <v>0</v>
      </c>
      <c r="AE2640" s="105"/>
      <c r="AF2640" s="11"/>
      <c r="AG2640" s="11"/>
      <c r="AH2640" s="11"/>
      <c r="AI2640" s="11"/>
    </row>
    <row r="2641" ht="12.5" spans="3:35">
      <c r="C2641" s="19"/>
      <c r="D2641" s="19"/>
      <c r="H2641" s="105"/>
      <c r="I2641" s="126"/>
      <c r="J2641" s="11"/>
      <c r="K2641" s="108"/>
      <c r="L2641" s="11"/>
      <c r="M2641" s="105"/>
      <c r="N2641" s="105"/>
      <c r="O2641" s="11"/>
      <c r="P2641" s="11"/>
      <c r="Q2641" s="105"/>
      <c r="R2641" s="105"/>
      <c r="S2641" s="105"/>
      <c r="T2641" s="105"/>
      <c r="U2641" s="105"/>
      <c r="V2641" s="105"/>
      <c r="W2641" s="105"/>
      <c r="X2641" s="11"/>
      <c r="Y2641" s="11"/>
      <c r="Z2641" s="105"/>
      <c r="AA2641" s="11"/>
      <c r="AB2641" s="11"/>
      <c r="AC2641" s="105"/>
      <c r="AD2641" s="11" t="b">
        <v>0</v>
      </c>
      <c r="AE2641" s="105"/>
      <c r="AF2641" s="11"/>
      <c r="AG2641" s="11"/>
      <c r="AH2641" s="11"/>
      <c r="AI2641" s="11"/>
    </row>
    <row r="2642" ht="12.5" spans="3:35">
      <c r="C2642" s="19"/>
      <c r="D2642" s="19"/>
      <c r="H2642" s="105"/>
      <c r="I2642" s="126"/>
      <c r="J2642" s="11"/>
      <c r="K2642" s="108"/>
      <c r="L2642" s="11"/>
      <c r="M2642" s="105"/>
      <c r="N2642" s="105"/>
      <c r="O2642" s="11"/>
      <c r="P2642" s="11"/>
      <c r="Q2642" s="105"/>
      <c r="R2642" s="105"/>
      <c r="S2642" s="105"/>
      <c r="T2642" s="105"/>
      <c r="U2642" s="105"/>
      <c r="V2642" s="105"/>
      <c r="W2642" s="105"/>
      <c r="X2642" s="11"/>
      <c r="Y2642" s="11"/>
      <c r="Z2642" s="105"/>
      <c r="AA2642" s="11"/>
      <c r="AB2642" s="11"/>
      <c r="AC2642" s="105"/>
      <c r="AD2642" s="11" t="b">
        <v>0</v>
      </c>
      <c r="AE2642" s="105"/>
      <c r="AF2642" s="11"/>
      <c r="AG2642" s="11"/>
      <c r="AH2642" s="11"/>
      <c r="AI2642" s="11"/>
    </row>
    <row r="2643" ht="12.5" spans="3:35">
      <c r="C2643" s="19"/>
      <c r="D2643" s="19"/>
      <c r="H2643" s="105"/>
      <c r="I2643" s="126"/>
      <c r="J2643" s="11"/>
      <c r="K2643" s="108"/>
      <c r="L2643" s="11"/>
      <c r="M2643" s="105"/>
      <c r="N2643" s="105"/>
      <c r="O2643" s="11"/>
      <c r="P2643" s="11"/>
      <c r="Q2643" s="105"/>
      <c r="R2643" s="105"/>
      <c r="S2643" s="105"/>
      <c r="T2643" s="105"/>
      <c r="U2643" s="105"/>
      <c r="V2643" s="105"/>
      <c r="W2643" s="105"/>
      <c r="X2643" s="11"/>
      <c r="Y2643" s="11"/>
      <c r="Z2643" s="105"/>
      <c r="AA2643" s="11"/>
      <c r="AB2643" s="11"/>
      <c r="AC2643" s="105"/>
      <c r="AD2643" s="11" t="b">
        <v>0</v>
      </c>
      <c r="AE2643" s="105"/>
      <c r="AF2643" s="11"/>
      <c r="AG2643" s="11"/>
      <c r="AH2643" s="11"/>
      <c r="AI2643" s="11"/>
    </row>
    <row r="2644" ht="12.5" spans="3:35">
      <c r="C2644" s="19"/>
      <c r="D2644" s="19"/>
      <c r="H2644" s="105"/>
      <c r="I2644" s="126"/>
      <c r="J2644" s="11"/>
      <c r="K2644" s="108"/>
      <c r="L2644" s="11"/>
      <c r="M2644" s="105"/>
      <c r="N2644" s="105"/>
      <c r="O2644" s="11"/>
      <c r="P2644" s="11"/>
      <c r="Q2644" s="105"/>
      <c r="R2644" s="105"/>
      <c r="S2644" s="105"/>
      <c r="T2644" s="105"/>
      <c r="U2644" s="105"/>
      <c r="V2644" s="105"/>
      <c r="W2644" s="105"/>
      <c r="X2644" s="11"/>
      <c r="Y2644" s="11"/>
      <c r="Z2644" s="105"/>
      <c r="AA2644" s="11"/>
      <c r="AB2644" s="11"/>
      <c r="AC2644" s="105"/>
      <c r="AD2644" s="11" t="b">
        <v>0</v>
      </c>
      <c r="AE2644" s="105"/>
      <c r="AF2644" s="11"/>
      <c r="AG2644" s="11"/>
      <c r="AH2644" s="11"/>
      <c r="AI2644" s="11"/>
    </row>
    <row r="2645" ht="12.5" spans="3:35">
      <c r="C2645" s="19"/>
      <c r="D2645" s="19"/>
      <c r="H2645" s="105"/>
      <c r="I2645" s="126"/>
      <c r="J2645" s="11"/>
      <c r="K2645" s="108"/>
      <c r="L2645" s="11"/>
      <c r="M2645" s="105"/>
      <c r="N2645" s="105"/>
      <c r="O2645" s="11"/>
      <c r="P2645" s="11"/>
      <c r="Q2645" s="105"/>
      <c r="R2645" s="105"/>
      <c r="S2645" s="105"/>
      <c r="T2645" s="105"/>
      <c r="U2645" s="105"/>
      <c r="V2645" s="105"/>
      <c r="W2645" s="105"/>
      <c r="X2645" s="11"/>
      <c r="Y2645" s="11"/>
      <c r="Z2645" s="105"/>
      <c r="AA2645" s="11"/>
      <c r="AB2645" s="11"/>
      <c r="AC2645" s="105"/>
      <c r="AD2645" s="11" t="b">
        <v>0</v>
      </c>
      <c r="AE2645" s="105"/>
      <c r="AF2645" s="11"/>
      <c r="AG2645" s="11"/>
      <c r="AH2645" s="11"/>
      <c r="AI2645" s="11"/>
    </row>
    <row r="2646" ht="12.5" spans="3:35">
      <c r="C2646" s="19"/>
      <c r="D2646" s="19"/>
      <c r="H2646" s="105"/>
      <c r="I2646" s="126"/>
      <c r="J2646" s="11"/>
      <c r="K2646" s="108"/>
      <c r="L2646" s="11"/>
      <c r="M2646" s="105"/>
      <c r="N2646" s="105"/>
      <c r="O2646" s="11"/>
      <c r="P2646" s="11"/>
      <c r="Q2646" s="105"/>
      <c r="R2646" s="105"/>
      <c r="S2646" s="105"/>
      <c r="T2646" s="105"/>
      <c r="U2646" s="105"/>
      <c r="V2646" s="105"/>
      <c r="W2646" s="105"/>
      <c r="X2646" s="11"/>
      <c r="Y2646" s="11"/>
      <c r="Z2646" s="105"/>
      <c r="AA2646" s="11"/>
      <c r="AB2646" s="11"/>
      <c r="AC2646" s="105"/>
      <c r="AD2646" s="11" t="b">
        <v>0</v>
      </c>
      <c r="AE2646" s="105"/>
      <c r="AF2646" s="11"/>
      <c r="AG2646" s="11"/>
      <c r="AH2646" s="11"/>
      <c r="AI2646" s="11"/>
    </row>
    <row r="2647" ht="12.5" spans="3:35">
      <c r="C2647" s="19"/>
      <c r="D2647" s="19"/>
      <c r="H2647" s="105"/>
      <c r="I2647" s="126"/>
      <c r="J2647" s="11"/>
      <c r="K2647" s="108"/>
      <c r="L2647" s="11"/>
      <c r="M2647" s="105"/>
      <c r="N2647" s="105"/>
      <c r="O2647" s="11"/>
      <c r="P2647" s="11"/>
      <c r="Q2647" s="105"/>
      <c r="R2647" s="105"/>
      <c r="S2647" s="105"/>
      <c r="T2647" s="105"/>
      <c r="U2647" s="105"/>
      <c r="V2647" s="105"/>
      <c r="W2647" s="105"/>
      <c r="X2647" s="11"/>
      <c r="Y2647" s="11"/>
      <c r="Z2647" s="105"/>
      <c r="AA2647" s="11"/>
      <c r="AB2647" s="11"/>
      <c r="AC2647" s="105"/>
      <c r="AD2647" s="11" t="b">
        <v>0</v>
      </c>
      <c r="AE2647" s="105"/>
      <c r="AF2647" s="11"/>
      <c r="AG2647" s="11"/>
      <c r="AH2647" s="11"/>
      <c r="AI2647" s="11"/>
    </row>
    <row r="2648" ht="12.5" spans="3:35">
      <c r="C2648" s="19"/>
      <c r="D2648" s="19"/>
      <c r="H2648" s="105"/>
      <c r="I2648" s="126"/>
      <c r="J2648" s="11"/>
      <c r="K2648" s="108"/>
      <c r="L2648" s="11"/>
      <c r="M2648" s="105"/>
      <c r="N2648" s="105"/>
      <c r="O2648" s="11"/>
      <c r="P2648" s="11"/>
      <c r="Q2648" s="105"/>
      <c r="R2648" s="105"/>
      <c r="S2648" s="105"/>
      <c r="T2648" s="105"/>
      <c r="U2648" s="105"/>
      <c r="V2648" s="105"/>
      <c r="W2648" s="105"/>
      <c r="X2648" s="11"/>
      <c r="Y2648" s="11"/>
      <c r="Z2648" s="105"/>
      <c r="AA2648" s="11"/>
      <c r="AB2648" s="11"/>
      <c r="AC2648" s="105"/>
      <c r="AD2648" s="11" t="b">
        <v>0</v>
      </c>
      <c r="AE2648" s="105"/>
      <c r="AF2648" s="11"/>
      <c r="AG2648" s="11"/>
      <c r="AH2648" s="11"/>
      <c r="AI2648" s="11"/>
    </row>
    <row r="2649" ht="12.5" spans="3:35">
      <c r="C2649" s="19"/>
      <c r="D2649" s="19"/>
      <c r="H2649" s="105"/>
      <c r="I2649" s="126"/>
      <c r="J2649" s="11"/>
      <c r="K2649" s="108"/>
      <c r="L2649" s="11"/>
      <c r="M2649" s="105"/>
      <c r="N2649" s="105"/>
      <c r="O2649" s="11"/>
      <c r="P2649" s="11"/>
      <c r="Q2649" s="105"/>
      <c r="R2649" s="105"/>
      <c r="S2649" s="105"/>
      <c r="T2649" s="105"/>
      <c r="U2649" s="105"/>
      <c r="V2649" s="105"/>
      <c r="W2649" s="105"/>
      <c r="X2649" s="11"/>
      <c r="Y2649" s="11"/>
      <c r="Z2649" s="105"/>
      <c r="AA2649" s="11"/>
      <c r="AB2649" s="11"/>
      <c r="AC2649" s="105"/>
      <c r="AD2649" s="11" t="b">
        <v>0</v>
      </c>
      <c r="AE2649" s="105"/>
      <c r="AF2649" s="11"/>
      <c r="AG2649" s="11"/>
      <c r="AH2649" s="11"/>
      <c r="AI2649" s="11"/>
    </row>
    <row r="2650" ht="12.5" spans="3:35">
      <c r="C2650" s="19"/>
      <c r="D2650" s="19"/>
      <c r="H2650" s="105"/>
      <c r="I2650" s="126"/>
      <c r="J2650" s="11"/>
      <c r="K2650" s="108"/>
      <c r="L2650" s="11"/>
      <c r="M2650" s="105"/>
      <c r="N2650" s="105"/>
      <c r="O2650" s="11"/>
      <c r="P2650" s="11"/>
      <c r="Q2650" s="105"/>
      <c r="R2650" s="105"/>
      <c r="S2650" s="105"/>
      <c r="T2650" s="105"/>
      <c r="U2650" s="105"/>
      <c r="V2650" s="105"/>
      <c r="W2650" s="105"/>
      <c r="X2650" s="11"/>
      <c r="Y2650" s="11"/>
      <c r="Z2650" s="105"/>
      <c r="AA2650" s="11"/>
      <c r="AB2650" s="11"/>
      <c r="AC2650" s="105"/>
      <c r="AD2650" s="11" t="b">
        <v>0</v>
      </c>
      <c r="AE2650" s="105"/>
      <c r="AF2650" s="11"/>
      <c r="AG2650" s="11"/>
      <c r="AH2650" s="11"/>
      <c r="AI2650" s="11"/>
    </row>
    <row r="2651" ht="12.5" spans="3:35">
      <c r="C2651" s="19"/>
      <c r="D2651" s="19"/>
      <c r="H2651" s="105"/>
      <c r="I2651" s="126"/>
      <c r="J2651" s="11"/>
      <c r="K2651" s="108"/>
      <c r="L2651" s="11"/>
      <c r="M2651" s="105"/>
      <c r="N2651" s="105"/>
      <c r="O2651" s="11"/>
      <c r="P2651" s="11"/>
      <c r="Q2651" s="105"/>
      <c r="R2651" s="105"/>
      <c r="S2651" s="105"/>
      <c r="T2651" s="105"/>
      <c r="U2651" s="105"/>
      <c r="V2651" s="105"/>
      <c r="W2651" s="105"/>
      <c r="X2651" s="11"/>
      <c r="Y2651" s="11"/>
      <c r="Z2651" s="105"/>
      <c r="AA2651" s="11"/>
      <c r="AB2651" s="11"/>
      <c r="AC2651" s="105"/>
      <c r="AD2651" s="11" t="b">
        <v>0</v>
      </c>
      <c r="AE2651" s="105"/>
      <c r="AF2651" s="11"/>
      <c r="AG2651" s="11"/>
      <c r="AH2651" s="11"/>
      <c r="AI2651" s="11"/>
    </row>
    <row r="2652" ht="12.5" spans="3:35">
      <c r="C2652" s="19"/>
      <c r="D2652" s="19"/>
      <c r="H2652" s="105"/>
      <c r="I2652" s="126"/>
      <c r="J2652" s="11"/>
      <c r="K2652" s="108"/>
      <c r="L2652" s="11"/>
      <c r="M2652" s="105"/>
      <c r="N2652" s="105"/>
      <c r="O2652" s="11"/>
      <c r="P2652" s="11"/>
      <c r="Q2652" s="105"/>
      <c r="R2652" s="105"/>
      <c r="S2652" s="105"/>
      <c r="T2652" s="105"/>
      <c r="U2652" s="105"/>
      <c r="V2652" s="105"/>
      <c r="W2652" s="105"/>
      <c r="X2652" s="11"/>
      <c r="Y2652" s="11"/>
      <c r="Z2652" s="105"/>
      <c r="AA2652" s="11"/>
      <c r="AB2652" s="11"/>
      <c r="AC2652" s="105"/>
      <c r="AD2652" s="11" t="b">
        <v>0</v>
      </c>
      <c r="AE2652" s="105"/>
      <c r="AF2652" s="11"/>
      <c r="AG2652" s="11"/>
      <c r="AH2652" s="11"/>
      <c r="AI2652" s="11"/>
    </row>
    <row r="2653" ht="12.5" spans="3:35">
      <c r="C2653" s="19"/>
      <c r="D2653" s="19"/>
      <c r="H2653" s="105"/>
      <c r="I2653" s="126"/>
      <c r="J2653" s="11"/>
      <c r="K2653" s="108"/>
      <c r="L2653" s="11"/>
      <c r="M2653" s="105"/>
      <c r="N2653" s="105"/>
      <c r="O2653" s="11"/>
      <c r="P2653" s="11"/>
      <c r="Q2653" s="105"/>
      <c r="R2653" s="105"/>
      <c r="S2653" s="105"/>
      <c r="T2653" s="105"/>
      <c r="U2653" s="105"/>
      <c r="V2653" s="105"/>
      <c r="W2653" s="105"/>
      <c r="X2653" s="11"/>
      <c r="Y2653" s="11"/>
      <c r="Z2653" s="105"/>
      <c r="AA2653" s="11"/>
      <c r="AB2653" s="11"/>
      <c r="AC2653" s="105"/>
      <c r="AD2653" s="11" t="b">
        <v>0</v>
      </c>
      <c r="AE2653" s="105"/>
      <c r="AF2653" s="11"/>
      <c r="AG2653" s="11"/>
      <c r="AH2653" s="11"/>
      <c r="AI2653" s="11"/>
    </row>
    <row r="2654" ht="12.5" spans="3:35">
      <c r="C2654" s="19"/>
      <c r="D2654" s="19"/>
      <c r="H2654" s="105"/>
      <c r="I2654" s="126"/>
      <c r="J2654" s="11"/>
      <c r="K2654" s="108"/>
      <c r="L2654" s="11"/>
      <c r="M2654" s="105"/>
      <c r="N2654" s="105"/>
      <c r="O2654" s="11"/>
      <c r="P2654" s="11"/>
      <c r="Q2654" s="105"/>
      <c r="R2654" s="105"/>
      <c r="S2654" s="105"/>
      <c r="T2654" s="105"/>
      <c r="U2654" s="105"/>
      <c r="V2654" s="105"/>
      <c r="W2654" s="105"/>
      <c r="X2654" s="11"/>
      <c r="Y2654" s="11"/>
      <c r="Z2654" s="105"/>
      <c r="AA2654" s="11"/>
      <c r="AB2654" s="11"/>
      <c r="AC2654" s="105"/>
      <c r="AD2654" s="11" t="b">
        <v>0</v>
      </c>
      <c r="AE2654" s="105"/>
      <c r="AF2654" s="11"/>
      <c r="AG2654" s="11"/>
      <c r="AH2654" s="11"/>
      <c r="AI2654" s="11"/>
    </row>
    <row r="2655" ht="12.5" spans="3:35">
      <c r="C2655" s="19"/>
      <c r="D2655" s="19"/>
      <c r="H2655" s="105"/>
      <c r="I2655" s="126"/>
      <c r="J2655" s="11"/>
      <c r="K2655" s="108"/>
      <c r="L2655" s="11"/>
      <c r="M2655" s="105"/>
      <c r="N2655" s="105"/>
      <c r="O2655" s="11"/>
      <c r="P2655" s="11"/>
      <c r="Q2655" s="105"/>
      <c r="R2655" s="105"/>
      <c r="S2655" s="105"/>
      <c r="T2655" s="105"/>
      <c r="U2655" s="105"/>
      <c r="V2655" s="105"/>
      <c r="W2655" s="105"/>
      <c r="X2655" s="11"/>
      <c r="Y2655" s="11"/>
      <c r="Z2655" s="105"/>
      <c r="AA2655" s="11"/>
      <c r="AB2655" s="11"/>
      <c r="AC2655" s="105"/>
      <c r="AD2655" s="11" t="b">
        <v>0</v>
      </c>
      <c r="AE2655" s="105"/>
      <c r="AF2655" s="11"/>
      <c r="AG2655" s="11"/>
      <c r="AH2655" s="11"/>
      <c r="AI2655" s="11"/>
    </row>
    <row r="2656" ht="12.5" spans="3:35">
      <c r="C2656" s="19"/>
      <c r="D2656" s="19"/>
      <c r="H2656" s="105"/>
      <c r="I2656" s="126"/>
      <c r="J2656" s="11"/>
      <c r="K2656" s="108"/>
      <c r="L2656" s="11"/>
      <c r="M2656" s="105"/>
      <c r="N2656" s="105"/>
      <c r="O2656" s="11"/>
      <c r="P2656" s="11"/>
      <c r="Q2656" s="105"/>
      <c r="R2656" s="105"/>
      <c r="S2656" s="105"/>
      <c r="T2656" s="105"/>
      <c r="U2656" s="105"/>
      <c r="V2656" s="105"/>
      <c r="W2656" s="105"/>
      <c r="X2656" s="11"/>
      <c r="Y2656" s="11"/>
      <c r="Z2656" s="105"/>
      <c r="AA2656" s="11"/>
      <c r="AB2656" s="11"/>
      <c r="AC2656" s="105"/>
      <c r="AD2656" s="11" t="b">
        <v>0</v>
      </c>
      <c r="AE2656" s="105"/>
      <c r="AF2656" s="11"/>
      <c r="AG2656" s="11"/>
      <c r="AH2656" s="11"/>
      <c r="AI2656" s="11"/>
    </row>
    <row r="2657" ht="12.5" spans="3:35">
      <c r="C2657" s="19"/>
      <c r="D2657" s="19"/>
      <c r="H2657" s="105"/>
      <c r="I2657" s="126"/>
      <c r="J2657" s="11"/>
      <c r="K2657" s="108"/>
      <c r="L2657" s="11"/>
      <c r="M2657" s="105"/>
      <c r="N2657" s="105"/>
      <c r="O2657" s="11"/>
      <c r="P2657" s="11"/>
      <c r="Q2657" s="105"/>
      <c r="R2657" s="105"/>
      <c r="S2657" s="105"/>
      <c r="T2657" s="105"/>
      <c r="U2657" s="105"/>
      <c r="V2657" s="105"/>
      <c r="W2657" s="105"/>
      <c r="X2657" s="11"/>
      <c r="Y2657" s="11"/>
      <c r="Z2657" s="105"/>
      <c r="AA2657" s="11"/>
      <c r="AB2657" s="11"/>
      <c r="AC2657" s="105"/>
      <c r="AD2657" s="11" t="b">
        <v>0</v>
      </c>
      <c r="AE2657" s="105"/>
      <c r="AF2657" s="11"/>
      <c r="AG2657" s="11"/>
      <c r="AH2657" s="11"/>
      <c r="AI2657" s="11"/>
    </row>
    <row r="2658" ht="12.5" spans="3:35">
      <c r="C2658" s="19"/>
      <c r="D2658" s="19"/>
      <c r="H2658" s="105"/>
      <c r="I2658" s="126"/>
      <c r="J2658" s="11"/>
      <c r="K2658" s="108"/>
      <c r="L2658" s="11"/>
      <c r="M2658" s="105"/>
      <c r="N2658" s="105"/>
      <c r="O2658" s="11"/>
      <c r="P2658" s="11"/>
      <c r="Q2658" s="105"/>
      <c r="R2658" s="105"/>
      <c r="S2658" s="105"/>
      <c r="T2658" s="105"/>
      <c r="U2658" s="105"/>
      <c r="V2658" s="105"/>
      <c r="W2658" s="105"/>
      <c r="X2658" s="11"/>
      <c r="Y2658" s="11"/>
      <c r="Z2658" s="105"/>
      <c r="AA2658" s="11"/>
      <c r="AB2658" s="11"/>
      <c r="AC2658" s="105"/>
      <c r="AD2658" s="11" t="b">
        <v>0</v>
      </c>
      <c r="AE2658" s="105"/>
      <c r="AF2658" s="11"/>
      <c r="AG2658" s="11"/>
      <c r="AH2658" s="11"/>
      <c r="AI2658" s="11"/>
    </row>
    <row r="2659" ht="12.5" spans="3:35">
      <c r="C2659" s="19"/>
      <c r="D2659" s="19"/>
      <c r="H2659" s="105"/>
      <c r="I2659" s="126"/>
      <c r="J2659" s="11"/>
      <c r="K2659" s="108"/>
      <c r="L2659" s="11"/>
      <c r="M2659" s="105"/>
      <c r="N2659" s="105"/>
      <c r="O2659" s="11"/>
      <c r="P2659" s="11"/>
      <c r="Q2659" s="105"/>
      <c r="R2659" s="105"/>
      <c r="S2659" s="105"/>
      <c r="T2659" s="105"/>
      <c r="U2659" s="105"/>
      <c r="V2659" s="105"/>
      <c r="W2659" s="105"/>
      <c r="X2659" s="11"/>
      <c r="Y2659" s="11"/>
      <c r="Z2659" s="105"/>
      <c r="AA2659" s="11"/>
      <c r="AB2659" s="11"/>
      <c r="AC2659" s="105"/>
      <c r="AD2659" s="11" t="b">
        <v>0</v>
      </c>
      <c r="AE2659" s="105"/>
      <c r="AF2659" s="11"/>
      <c r="AG2659" s="11"/>
      <c r="AH2659" s="11"/>
      <c r="AI2659" s="11"/>
    </row>
    <row r="2660" ht="12.5" spans="3:35">
      <c r="C2660" s="19"/>
      <c r="D2660" s="19"/>
      <c r="H2660" s="105"/>
      <c r="I2660" s="126"/>
      <c r="J2660" s="11"/>
      <c r="K2660" s="108"/>
      <c r="L2660" s="11"/>
      <c r="M2660" s="105"/>
      <c r="N2660" s="105"/>
      <c r="O2660" s="11"/>
      <c r="P2660" s="11"/>
      <c r="Q2660" s="105"/>
      <c r="R2660" s="105"/>
      <c r="S2660" s="105"/>
      <c r="T2660" s="105"/>
      <c r="U2660" s="105"/>
      <c r="V2660" s="105"/>
      <c r="W2660" s="105"/>
      <c r="X2660" s="11"/>
      <c r="Y2660" s="11"/>
      <c r="Z2660" s="105"/>
      <c r="AA2660" s="11"/>
      <c r="AB2660" s="11"/>
      <c r="AC2660" s="105"/>
      <c r="AD2660" s="11" t="b">
        <v>0</v>
      </c>
      <c r="AE2660" s="105"/>
      <c r="AF2660" s="11"/>
      <c r="AG2660" s="11"/>
      <c r="AH2660" s="11"/>
      <c r="AI2660" s="11"/>
    </row>
    <row r="2661" ht="12.5" spans="3:35">
      <c r="C2661" s="19"/>
      <c r="D2661" s="19"/>
      <c r="H2661" s="105"/>
      <c r="I2661" s="126"/>
      <c r="J2661" s="11"/>
      <c r="K2661" s="108"/>
      <c r="L2661" s="11"/>
      <c r="M2661" s="105"/>
      <c r="N2661" s="105"/>
      <c r="O2661" s="11"/>
      <c r="P2661" s="11"/>
      <c r="Q2661" s="105"/>
      <c r="R2661" s="105"/>
      <c r="S2661" s="105"/>
      <c r="T2661" s="105"/>
      <c r="U2661" s="105"/>
      <c r="V2661" s="105"/>
      <c r="W2661" s="105"/>
      <c r="X2661" s="11"/>
      <c r="Y2661" s="11"/>
      <c r="Z2661" s="105"/>
      <c r="AA2661" s="11"/>
      <c r="AB2661" s="11"/>
      <c r="AC2661" s="105"/>
      <c r="AD2661" s="11" t="b">
        <v>0</v>
      </c>
      <c r="AE2661" s="105"/>
      <c r="AF2661" s="11"/>
      <c r="AG2661" s="11"/>
      <c r="AH2661" s="11"/>
      <c r="AI2661" s="11"/>
    </row>
    <row r="2662" ht="12.5" spans="3:35">
      <c r="C2662" s="19"/>
      <c r="D2662" s="19"/>
      <c r="H2662" s="105"/>
      <c r="I2662" s="126"/>
      <c r="J2662" s="11"/>
      <c r="K2662" s="108"/>
      <c r="L2662" s="11"/>
      <c r="M2662" s="105"/>
      <c r="N2662" s="105"/>
      <c r="O2662" s="11"/>
      <c r="P2662" s="11"/>
      <c r="Q2662" s="105"/>
      <c r="R2662" s="105"/>
      <c r="S2662" s="105"/>
      <c r="T2662" s="105"/>
      <c r="U2662" s="105"/>
      <c r="V2662" s="105"/>
      <c r="W2662" s="105"/>
      <c r="X2662" s="11"/>
      <c r="Y2662" s="11"/>
      <c r="Z2662" s="105"/>
      <c r="AA2662" s="11"/>
      <c r="AB2662" s="11"/>
      <c r="AC2662" s="105"/>
      <c r="AD2662" s="11" t="b">
        <v>0</v>
      </c>
      <c r="AE2662" s="105"/>
      <c r="AF2662" s="11"/>
      <c r="AG2662" s="11"/>
      <c r="AH2662" s="11"/>
      <c r="AI2662" s="11"/>
    </row>
    <row r="2663" ht="12.5" spans="3:35">
      <c r="C2663" s="19"/>
      <c r="D2663" s="19"/>
      <c r="H2663" s="105"/>
      <c r="I2663" s="126"/>
      <c r="J2663" s="11"/>
      <c r="K2663" s="108"/>
      <c r="L2663" s="11"/>
      <c r="M2663" s="105"/>
      <c r="N2663" s="105"/>
      <c r="O2663" s="11"/>
      <c r="P2663" s="11"/>
      <c r="Q2663" s="105"/>
      <c r="R2663" s="105"/>
      <c r="S2663" s="105"/>
      <c r="T2663" s="105"/>
      <c r="U2663" s="105"/>
      <c r="V2663" s="105"/>
      <c r="W2663" s="105"/>
      <c r="X2663" s="11"/>
      <c r="Y2663" s="11"/>
      <c r="Z2663" s="105"/>
      <c r="AA2663" s="11"/>
      <c r="AB2663" s="11"/>
      <c r="AC2663" s="105"/>
      <c r="AD2663" s="11" t="b">
        <v>0</v>
      </c>
      <c r="AE2663" s="105"/>
      <c r="AF2663" s="11"/>
      <c r="AG2663" s="11"/>
      <c r="AH2663" s="11"/>
      <c r="AI2663" s="11"/>
    </row>
    <row r="2664" ht="12.5" spans="3:35">
      <c r="C2664" s="19"/>
      <c r="D2664" s="19"/>
      <c r="H2664" s="105"/>
      <c r="I2664" s="126"/>
      <c r="J2664" s="11"/>
      <c r="K2664" s="108"/>
      <c r="L2664" s="11"/>
      <c r="M2664" s="105"/>
      <c r="N2664" s="105"/>
      <c r="O2664" s="11"/>
      <c r="P2664" s="11"/>
      <c r="Q2664" s="105"/>
      <c r="R2664" s="105"/>
      <c r="S2664" s="105"/>
      <c r="T2664" s="105"/>
      <c r="U2664" s="105"/>
      <c r="V2664" s="105"/>
      <c r="W2664" s="105"/>
      <c r="X2664" s="11"/>
      <c r="Y2664" s="11"/>
      <c r="Z2664" s="105"/>
      <c r="AA2664" s="11"/>
      <c r="AB2664" s="11"/>
      <c r="AC2664" s="105"/>
      <c r="AD2664" s="11" t="b">
        <v>0</v>
      </c>
      <c r="AE2664" s="105"/>
      <c r="AF2664" s="11"/>
      <c r="AG2664" s="11"/>
      <c r="AH2664" s="11"/>
      <c r="AI2664" s="11"/>
    </row>
    <row r="2665" ht="12.5" spans="3:35">
      <c r="C2665" s="19"/>
      <c r="D2665" s="19"/>
      <c r="H2665" s="105"/>
      <c r="I2665" s="126"/>
      <c r="J2665" s="11"/>
      <c r="K2665" s="108"/>
      <c r="L2665" s="11"/>
      <c r="M2665" s="105"/>
      <c r="N2665" s="105"/>
      <c r="O2665" s="11"/>
      <c r="P2665" s="11"/>
      <c r="Q2665" s="105"/>
      <c r="R2665" s="105"/>
      <c r="S2665" s="105"/>
      <c r="T2665" s="105"/>
      <c r="U2665" s="105"/>
      <c r="V2665" s="105"/>
      <c r="W2665" s="105"/>
      <c r="X2665" s="11"/>
      <c r="Y2665" s="11"/>
      <c r="Z2665" s="105"/>
      <c r="AA2665" s="11"/>
      <c r="AB2665" s="11"/>
      <c r="AC2665" s="105"/>
      <c r="AD2665" s="11" t="b">
        <v>0</v>
      </c>
      <c r="AE2665" s="105"/>
      <c r="AF2665" s="11"/>
      <c r="AG2665" s="11"/>
      <c r="AH2665" s="11"/>
      <c r="AI2665" s="11"/>
    </row>
    <row r="2666" ht="12.5" spans="3:35">
      <c r="C2666" s="19"/>
      <c r="D2666" s="19"/>
      <c r="H2666" s="105"/>
      <c r="I2666" s="126"/>
      <c r="J2666" s="11"/>
      <c r="K2666" s="108"/>
      <c r="L2666" s="11"/>
      <c r="M2666" s="105"/>
      <c r="N2666" s="105"/>
      <c r="O2666" s="11"/>
      <c r="P2666" s="11"/>
      <c r="Q2666" s="105"/>
      <c r="R2666" s="105"/>
      <c r="S2666" s="105"/>
      <c r="T2666" s="105"/>
      <c r="U2666" s="105"/>
      <c r="V2666" s="105"/>
      <c r="W2666" s="105"/>
      <c r="X2666" s="11"/>
      <c r="Y2666" s="11"/>
      <c r="Z2666" s="105"/>
      <c r="AA2666" s="11"/>
      <c r="AB2666" s="11"/>
      <c r="AC2666" s="105"/>
      <c r="AD2666" s="11" t="b">
        <v>0</v>
      </c>
      <c r="AE2666" s="105"/>
      <c r="AF2666" s="11"/>
      <c r="AG2666" s="11"/>
      <c r="AH2666" s="11"/>
      <c r="AI2666" s="11"/>
    </row>
    <row r="2667" ht="12.5" spans="3:35">
      <c r="C2667" s="19"/>
      <c r="D2667" s="19"/>
      <c r="H2667" s="105"/>
      <c r="I2667" s="126"/>
      <c r="J2667" s="11"/>
      <c r="K2667" s="108"/>
      <c r="L2667" s="11"/>
      <c r="M2667" s="105"/>
      <c r="N2667" s="105"/>
      <c r="O2667" s="11"/>
      <c r="P2667" s="11"/>
      <c r="Q2667" s="105"/>
      <c r="R2667" s="105"/>
      <c r="S2667" s="105"/>
      <c r="T2667" s="105"/>
      <c r="U2667" s="105"/>
      <c r="V2667" s="105"/>
      <c r="W2667" s="105"/>
      <c r="X2667" s="11"/>
      <c r="Y2667" s="11"/>
      <c r="Z2667" s="105"/>
      <c r="AA2667" s="11"/>
      <c r="AB2667" s="11"/>
      <c r="AC2667" s="105"/>
      <c r="AD2667" s="11" t="b">
        <v>0</v>
      </c>
      <c r="AE2667" s="105"/>
      <c r="AF2667" s="11"/>
      <c r="AG2667" s="11"/>
      <c r="AH2667" s="11"/>
      <c r="AI2667" s="11"/>
    </row>
    <row r="2668" ht="12.5" spans="3:35">
      <c r="C2668" s="19"/>
      <c r="D2668" s="19"/>
      <c r="H2668" s="105"/>
      <c r="I2668" s="126"/>
      <c r="J2668" s="11"/>
      <c r="K2668" s="108"/>
      <c r="L2668" s="11"/>
      <c r="M2668" s="105"/>
      <c r="N2668" s="105"/>
      <c r="O2668" s="11"/>
      <c r="P2668" s="11"/>
      <c r="Q2668" s="105"/>
      <c r="R2668" s="105"/>
      <c r="S2668" s="105"/>
      <c r="T2668" s="105"/>
      <c r="U2668" s="105"/>
      <c r="V2668" s="105"/>
      <c r="W2668" s="105"/>
      <c r="X2668" s="11"/>
      <c r="Y2668" s="11"/>
      <c r="Z2668" s="105"/>
      <c r="AA2668" s="11"/>
      <c r="AB2668" s="11"/>
      <c r="AC2668" s="105"/>
      <c r="AD2668" s="11" t="b">
        <v>0</v>
      </c>
      <c r="AE2668" s="105"/>
      <c r="AF2668" s="11"/>
      <c r="AG2668" s="11"/>
      <c r="AH2668" s="11"/>
      <c r="AI2668" s="11"/>
    </row>
    <row r="2669" ht="12.5" spans="3:35">
      <c r="C2669" s="19"/>
      <c r="D2669" s="19"/>
      <c r="H2669" s="105"/>
      <c r="I2669" s="126"/>
      <c r="J2669" s="11"/>
      <c r="K2669" s="108"/>
      <c r="L2669" s="11"/>
      <c r="M2669" s="105"/>
      <c r="N2669" s="105"/>
      <c r="O2669" s="11"/>
      <c r="P2669" s="11"/>
      <c r="Q2669" s="105"/>
      <c r="R2669" s="105"/>
      <c r="S2669" s="105"/>
      <c r="T2669" s="105"/>
      <c r="U2669" s="105"/>
      <c r="V2669" s="105"/>
      <c r="W2669" s="105"/>
      <c r="X2669" s="11"/>
      <c r="Y2669" s="11"/>
      <c r="Z2669" s="105"/>
      <c r="AA2669" s="11"/>
      <c r="AB2669" s="11"/>
      <c r="AC2669" s="105"/>
      <c r="AD2669" s="11" t="b">
        <v>0</v>
      </c>
      <c r="AE2669" s="105"/>
      <c r="AF2669" s="11"/>
      <c r="AG2669" s="11"/>
      <c r="AH2669" s="11"/>
      <c r="AI2669" s="11"/>
    </row>
    <row r="2670" ht="12.5" spans="3:35">
      <c r="C2670" s="19"/>
      <c r="D2670" s="19"/>
      <c r="H2670" s="105"/>
      <c r="I2670" s="126"/>
      <c r="J2670" s="11"/>
      <c r="K2670" s="108"/>
      <c r="L2670" s="11"/>
      <c r="M2670" s="105"/>
      <c r="N2670" s="105"/>
      <c r="O2670" s="11"/>
      <c r="P2670" s="11"/>
      <c r="Q2670" s="105"/>
      <c r="R2670" s="105"/>
      <c r="S2670" s="105"/>
      <c r="T2670" s="105"/>
      <c r="U2670" s="105"/>
      <c r="V2670" s="105"/>
      <c r="W2670" s="105"/>
      <c r="X2670" s="11"/>
      <c r="Y2670" s="11"/>
      <c r="Z2670" s="105"/>
      <c r="AA2670" s="11"/>
      <c r="AB2670" s="11"/>
      <c r="AC2670" s="105"/>
      <c r="AD2670" s="11" t="b">
        <v>0</v>
      </c>
      <c r="AE2670" s="105"/>
      <c r="AF2670" s="11"/>
      <c r="AG2670" s="11"/>
      <c r="AH2670" s="11"/>
      <c r="AI2670" s="11"/>
    </row>
    <row r="2671" ht="12.5" spans="3:35">
      <c r="C2671" s="19"/>
      <c r="D2671" s="19"/>
      <c r="H2671" s="105"/>
      <c r="I2671" s="126"/>
      <c r="J2671" s="11"/>
      <c r="K2671" s="108"/>
      <c r="L2671" s="11"/>
      <c r="M2671" s="105"/>
      <c r="N2671" s="105"/>
      <c r="O2671" s="11"/>
      <c r="P2671" s="11"/>
      <c r="Q2671" s="105"/>
      <c r="R2671" s="105"/>
      <c r="S2671" s="105"/>
      <c r="T2671" s="105"/>
      <c r="U2671" s="105"/>
      <c r="V2671" s="105"/>
      <c r="W2671" s="105"/>
      <c r="X2671" s="11"/>
      <c r="Y2671" s="11"/>
      <c r="Z2671" s="105"/>
      <c r="AA2671" s="11"/>
      <c r="AB2671" s="11"/>
      <c r="AC2671" s="105"/>
      <c r="AD2671" s="11" t="b">
        <v>0</v>
      </c>
      <c r="AE2671" s="105"/>
      <c r="AF2671" s="11"/>
      <c r="AG2671" s="11"/>
      <c r="AH2671" s="11"/>
      <c r="AI2671" s="11"/>
    </row>
    <row r="2672" ht="12.5" spans="3:35">
      <c r="C2672" s="19"/>
      <c r="D2672" s="19"/>
      <c r="H2672" s="105"/>
      <c r="I2672" s="126"/>
      <c r="J2672" s="11"/>
      <c r="K2672" s="108"/>
      <c r="L2672" s="11"/>
      <c r="M2672" s="105"/>
      <c r="N2672" s="105"/>
      <c r="O2672" s="11"/>
      <c r="P2672" s="11"/>
      <c r="Q2672" s="105"/>
      <c r="R2672" s="105"/>
      <c r="S2672" s="105"/>
      <c r="T2672" s="105"/>
      <c r="U2672" s="105"/>
      <c r="V2672" s="105"/>
      <c r="W2672" s="105"/>
      <c r="X2672" s="11"/>
      <c r="Y2672" s="11"/>
      <c r="Z2672" s="105"/>
      <c r="AA2672" s="11"/>
      <c r="AB2672" s="11"/>
      <c r="AC2672" s="105"/>
      <c r="AD2672" s="11" t="b">
        <v>0</v>
      </c>
      <c r="AE2672" s="105"/>
      <c r="AF2672" s="11"/>
      <c r="AG2672" s="11"/>
      <c r="AH2672" s="11"/>
      <c r="AI2672" s="11"/>
    </row>
    <row r="2673" ht="12.5" spans="3:35">
      <c r="C2673" s="19"/>
      <c r="D2673" s="19"/>
      <c r="H2673" s="105"/>
      <c r="I2673" s="126"/>
      <c r="J2673" s="11"/>
      <c r="K2673" s="108"/>
      <c r="L2673" s="11"/>
      <c r="M2673" s="105"/>
      <c r="N2673" s="105"/>
      <c r="O2673" s="11"/>
      <c r="P2673" s="11"/>
      <c r="Q2673" s="105"/>
      <c r="R2673" s="105"/>
      <c r="S2673" s="105"/>
      <c r="T2673" s="105"/>
      <c r="U2673" s="105"/>
      <c r="V2673" s="105"/>
      <c r="W2673" s="105"/>
      <c r="X2673" s="11"/>
      <c r="Y2673" s="11"/>
      <c r="Z2673" s="105"/>
      <c r="AA2673" s="11"/>
      <c r="AB2673" s="11"/>
      <c r="AC2673" s="105"/>
      <c r="AD2673" s="11" t="b">
        <v>0</v>
      </c>
      <c r="AE2673" s="105"/>
      <c r="AF2673" s="11"/>
      <c r="AG2673" s="11"/>
      <c r="AH2673" s="11"/>
      <c r="AI2673" s="11"/>
    </row>
    <row r="2674" ht="12.5" spans="3:35">
      <c r="C2674" s="19"/>
      <c r="D2674" s="19"/>
      <c r="H2674" s="105"/>
      <c r="I2674" s="126"/>
      <c r="J2674" s="11"/>
      <c r="K2674" s="108"/>
      <c r="L2674" s="11"/>
      <c r="M2674" s="105"/>
      <c r="N2674" s="105"/>
      <c r="O2674" s="11"/>
      <c r="P2674" s="11"/>
      <c r="Q2674" s="105"/>
      <c r="R2674" s="105"/>
      <c r="S2674" s="105"/>
      <c r="T2674" s="105"/>
      <c r="U2674" s="105"/>
      <c r="V2674" s="105"/>
      <c r="W2674" s="105"/>
      <c r="X2674" s="11"/>
      <c r="Y2674" s="11"/>
      <c r="Z2674" s="105"/>
      <c r="AA2674" s="11"/>
      <c r="AB2674" s="11"/>
      <c r="AC2674" s="105"/>
      <c r="AD2674" s="11" t="b">
        <v>0</v>
      </c>
      <c r="AE2674" s="105"/>
      <c r="AF2674" s="11"/>
      <c r="AG2674" s="11"/>
      <c r="AH2674" s="11"/>
      <c r="AI2674" s="11"/>
    </row>
    <row r="2675" ht="12.5" spans="3:35">
      <c r="C2675" s="19"/>
      <c r="D2675" s="19"/>
      <c r="H2675" s="105"/>
      <c r="I2675" s="126"/>
      <c r="J2675" s="11"/>
      <c r="K2675" s="108"/>
      <c r="L2675" s="11"/>
      <c r="M2675" s="105"/>
      <c r="N2675" s="105"/>
      <c r="O2675" s="11"/>
      <c r="P2675" s="11"/>
      <c r="Q2675" s="105"/>
      <c r="R2675" s="105"/>
      <c r="S2675" s="105"/>
      <c r="T2675" s="105"/>
      <c r="U2675" s="105"/>
      <c r="V2675" s="105"/>
      <c r="W2675" s="105"/>
      <c r="X2675" s="11"/>
      <c r="Y2675" s="11"/>
      <c r="Z2675" s="105"/>
      <c r="AA2675" s="11"/>
      <c r="AB2675" s="11"/>
      <c r="AC2675" s="105"/>
      <c r="AD2675" s="11" t="b">
        <v>0</v>
      </c>
      <c r="AE2675" s="105"/>
      <c r="AF2675" s="11"/>
      <c r="AG2675" s="11"/>
      <c r="AH2675" s="11"/>
      <c r="AI2675" s="11"/>
    </row>
    <row r="2676" ht="12.5" spans="3:35">
      <c r="C2676" s="19"/>
      <c r="D2676" s="19"/>
      <c r="H2676" s="105"/>
      <c r="I2676" s="126"/>
      <c r="J2676" s="11"/>
      <c r="K2676" s="108"/>
      <c r="L2676" s="11"/>
      <c r="M2676" s="105"/>
      <c r="N2676" s="105"/>
      <c r="O2676" s="11"/>
      <c r="P2676" s="11"/>
      <c r="Q2676" s="105"/>
      <c r="R2676" s="105"/>
      <c r="S2676" s="105"/>
      <c r="T2676" s="105"/>
      <c r="U2676" s="105"/>
      <c r="V2676" s="105"/>
      <c r="W2676" s="105"/>
      <c r="X2676" s="11"/>
      <c r="Y2676" s="11"/>
      <c r="Z2676" s="105"/>
      <c r="AA2676" s="11"/>
      <c r="AB2676" s="11"/>
      <c r="AC2676" s="105"/>
      <c r="AD2676" s="11" t="b">
        <v>0</v>
      </c>
      <c r="AE2676" s="105"/>
      <c r="AF2676" s="11"/>
      <c r="AG2676" s="11"/>
      <c r="AH2676" s="11"/>
      <c r="AI2676" s="11"/>
    </row>
    <row r="2677" ht="12.5" spans="3:35">
      <c r="C2677" s="19"/>
      <c r="D2677" s="19"/>
      <c r="H2677" s="105"/>
      <c r="I2677" s="126"/>
      <c r="J2677" s="11"/>
      <c r="K2677" s="108"/>
      <c r="L2677" s="11"/>
      <c r="M2677" s="105"/>
      <c r="N2677" s="105"/>
      <c r="O2677" s="11"/>
      <c r="P2677" s="11"/>
      <c r="Q2677" s="105"/>
      <c r="R2677" s="105"/>
      <c r="S2677" s="105"/>
      <c r="T2677" s="105"/>
      <c r="U2677" s="105"/>
      <c r="V2677" s="105"/>
      <c r="W2677" s="105"/>
      <c r="X2677" s="11"/>
      <c r="Y2677" s="11"/>
      <c r="Z2677" s="105"/>
      <c r="AA2677" s="11"/>
      <c r="AB2677" s="11"/>
      <c r="AC2677" s="105"/>
      <c r="AD2677" s="11" t="b">
        <v>0</v>
      </c>
      <c r="AE2677" s="105"/>
      <c r="AF2677" s="11"/>
      <c r="AG2677" s="11"/>
      <c r="AH2677" s="11"/>
      <c r="AI2677" s="11"/>
    </row>
    <row r="2678" ht="12.5" spans="3:35">
      <c r="C2678" s="19"/>
      <c r="D2678" s="19"/>
      <c r="H2678" s="105"/>
      <c r="I2678" s="126"/>
      <c r="J2678" s="11"/>
      <c r="K2678" s="108"/>
      <c r="L2678" s="11"/>
      <c r="M2678" s="105"/>
      <c r="N2678" s="105"/>
      <c r="O2678" s="11"/>
      <c r="P2678" s="11"/>
      <c r="Q2678" s="105"/>
      <c r="R2678" s="105"/>
      <c r="S2678" s="105"/>
      <c r="T2678" s="105"/>
      <c r="U2678" s="105"/>
      <c r="V2678" s="105"/>
      <c r="W2678" s="105"/>
      <c r="X2678" s="11"/>
      <c r="Y2678" s="11"/>
      <c r="Z2678" s="105"/>
      <c r="AA2678" s="11"/>
      <c r="AB2678" s="11"/>
      <c r="AC2678" s="105"/>
      <c r="AD2678" s="11" t="b">
        <v>0</v>
      </c>
      <c r="AE2678" s="105"/>
      <c r="AF2678" s="11"/>
      <c r="AG2678" s="11"/>
      <c r="AH2678" s="11"/>
      <c r="AI2678" s="11"/>
    </row>
    <row r="2679" ht="12.5" spans="3:35">
      <c r="C2679" s="19"/>
      <c r="D2679" s="19"/>
      <c r="H2679" s="105"/>
      <c r="I2679" s="126"/>
      <c r="J2679" s="11"/>
      <c r="K2679" s="108"/>
      <c r="L2679" s="11"/>
      <c r="M2679" s="105"/>
      <c r="N2679" s="105"/>
      <c r="O2679" s="11"/>
      <c r="P2679" s="11"/>
      <c r="Q2679" s="105"/>
      <c r="R2679" s="105"/>
      <c r="S2679" s="105"/>
      <c r="T2679" s="105"/>
      <c r="U2679" s="105"/>
      <c r="V2679" s="105"/>
      <c r="W2679" s="105"/>
      <c r="X2679" s="11"/>
      <c r="Y2679" s="11"/>
      <c r="Z2679" s="105"/>
      <c r="AA2679" s="11"/>
      <c r="AB2679" s="11"/>
      <c r="AC2679" s="105"/>
      <c r="AD2679" s="11" t="b">
        <v>0</v>
      </c>
      <c r="AE2679" s="105"/>
      <c r="AF2679" s="11"/>
      <c r="AG2679" s="11"/>
      <c r="AH2679" s="11"/>
      <c r="AI2679" s="11"/>
    </row>
    <row r="2680" ht="12.5" spans="3:35">
      <c r="C2680" s="19"/>
      <c r="D2680" s="19"/>
      <c r="H2680" s="105"/>
      <c r="I2680" s="126"/>
      <c r="J2680" s="11"/>
      <c r="K2680" s="108"/>
      <c r="L2680" s="11"/>
      <c r="M2680" s="105"/>
      <c r="N2680" s="105"/>
      <c r="O2680" s="11"/>
      <c r="P2680" s="11"/>
      <c r="Q2680" s="105"/>
      <c r="R2680" s="105"/>
      <c r="S2680" s="105"/>
      <c r="T2680" s="105"/>
      <c r="U2680" s="105"/>
      <c r="V2680" s="105"/>
      <c r="W2680" s="105"/>
      <c r="X2680" s="11"/>
      <c r="Y2680" s="11"/>
      <c r="Z2680" s="105"/>
      <c r="AA2680" s="11"/>
      <c r="AB2680" s="11"/>
      <c r="AC2680" s="105"/>
      <c r="AD2680" s="11" t="b">
        <v>0</v>
      </c>
      <c r="AE2680" s="105"/>
      <c r="AF2680" s="11"/>
      <c r="AG2680" s="11"/>
      <c r="AH2680" s="11"/>
      <c r="AI2680" s="11"/>
    </row>
    <row r="2681" ht="12.5" spans="3:35">
      <c r="C2681" s="19"/>
      <c r="D2681" s="19"/>
      <c r="H2681" s="105"/>
      <c r="I2681" s="126"/>
      <c r="J2681" s="11"/>
      <c r="K2681" s="108"/>
      <c r="L2681" s="11"/>
      <c r="M2681" s="105"/>
      <c r="N2681" s="105"/>
      <c r="O2681" s="11"/>
      <c r="P2681" s="11"/>
      <c r="Q2681" s="105"/>
      <c r="R2681" s="105"/>
      <c r="S2681" s="105"/>
      <c r="T2681" s="105"/>
      <c r="U2681" s="105"/>
      <c r="V2681" s="105"/>
      <c r="W2681" s="105"/>
      <c r="X2681" s="11"/>
      <c r="Y2681" s="11"/>
      <c r="Z2681" s="105"/>
      <c r="AA2681" s="11"/>
      <c r="AB2681" s="11"/>
      <c r="AC2681" s="105"/>
      <c r="AD2681" s="11" t="b">
        <v>0</v>
      </c>
      <c r="AE2681" s="105"/>
      <c r="AF2681" s="11"/>
      <c r="AG2681" s="11"/>
      <c r="AH2681" s="11"/>
      <c r="AI2681" s="11"/>
    </row>
    <row r="2682" ht="12.5" spans="3:35">
      <c r="C2682" s="19"/>
      <c r="D2682" s="19"/>
      <c r="H2682" s="105"/>
      <c r="I2682" s="126"/>
      <c r="J2682" s="11"/>
      <c r="K2682" s="108"/>
      <c r="L2682" s="11"/>
      <c r="M2682" s="105"/>
      <c r="N2682" s="105"/>
      <c r="O2682" s="11"/>
      <c r="P2682" s="11"/>
      <c r="Q2682" s="105"/>
      <c r="R2682" s="105"/>
      <c r="S2682" s="105"/>
      <c r="T2682" s="105"/>
      <c r="U2682" s="105"/>
      <c r="V2682" s="105"/>
      <c r="W2682" s="105"/>
      <c r="X2682" s="11"/>
      <c r="Y2682" s="11"/>
      <c r="Z2682" s="105"/>
      <c r="AA2682" s="11"/>
      <c r="AB2682" s="11"/>
      <c r="AC2682" s="105"/>
      <c r="AD2682" s="11" t="b">
        <v>0</v>
      </c>
      <c r="AE2682" s="105"/>
      <c r="AF2682" s="11"/>
      <c r="AG2682" s="11"/>
      <c r="AH2682" s="11"/>
      <c r="AI2682" s="11"/>
    </row>
    <row r="2683" ht="12.5" spans="3:35">
      <c r="C2683" s="19"/>
      <c r="D2683" s="19"/>
      <c r="H2683" s="105"/>
      <c r="I2683" s="126"/>
      <c r="J2683" s="11"/>
      <c r="K2683" s="108"/>
      <c r="L2683" s="11"/>
      <c r="M2683" s="105"/>
      <c r="N2683" s="105"/>
      <c r="O2683" s="11"/>
      <c r="P2683" s="11"/>
      <c r="Q2683" s="105"/>
      <c r="R2683" s="105"/>
      <c r="S2683" s="105"/>
      <c r="T2683" s="105"/>
      <c r="U2683" s="105"/>
      <c r="V2683" s="105"/>
      <c r="W2683" s="105"/>
      <c r="X2683" s="11"/>
      <c r="Y2683" s="11"/>
      <c r="Z2683" s="105"/>
      <c r="AA2683" s="11"/>
      <c r="AB2683" s="11"/>
      <c r="AC2683" s="105"/>
      <c r="AD2683" s="11" t="b">
        <v>0</v>
      </c>
      <c r="AE2683" s="105"/>
      <c r="AF2683" s="11"/>
      <c r="AG2683" s="11"/>
      <c r="AH2683" s="11"/>
      <c r="AI2683" s="11"/>
    </row>
    <row r="2684" ht="12.5" spans="3:35">
      <c r="C2684" s="19"/>
      <c r="D2684" s="19"/>
      <c r="H2684" s="105"/>
      <c r="I2684" s="126"/>
      <c r="J2684" s="11"/>
      <c r="K2684" s="108"/>
      <c r="L2684" s="11"/>
      <c r="M2684" s="105"/>
      <c r="N2684" s="105"/>
      <c r="O2684" s="11"/>
      <c r="P2684" s="11"/>
      <c r="Q2684" s="105"/>
      <c r="R2684" s="105"/>
      <c r="S2684" s="105"/>
      <c r="T2684" s="105"/>
      <c r="U2684" s="105"/>
      <c r="V2684" s="105"/>
      <c r="W2684" s="105"/>
      <c r="X2684" s="11"/>
      <c r="Y2684" s="11"/>
      <c r="Z2684" s="105"/>
      <c r="AA2684" s="11"/>
      <c r="AB2684" s="11"/>
      <c r="AC2684" s="105"/>
      <c r="AD2684" s="11" t="b">
        <v>0</v>
      </c>
      <c r="AE2684" s="105"/>
      <c r="AF2684" s="11"/>
      <c r="AG2684" s="11"/>
      <c r="AH2684" s="11"/>
      <c r="AI2684" s="11"/>
    </row>
    <row r="2685" ht="12.5" spans="3:35">
      <c r="C2685" s="19"/>
      <c r="D2685" s="19"/>
      <c r="H2685" s="105"/>
      <c r="I2685" s="126"/>
      <c r="J2685" s="11"/>
      <c r="K2685" s="108"/>
      <c r="L2685" s="11"/>
      <c r="M2685" s="105"/>
      <c r="N2685" s="105"/>
      <c r="O2685" s="11"/>
      <c r="P2685" s="11"/>
      <c r="Q2685" s="105"/>
      <c r="R2685" s="105"/>
      <c r="S2685" s="105"/>
      <c r="T2685" s="105"/>
      <c r="U2685" s="105"/>
      <c r="V2685" s="105"/>
      <c r="W2685" s="105"/>
      <c r="X2685" s="11"/>
      <c r="Y2685" s="11"/>
      <c r="Z2685" s="105"/>
      <c r="AA2685" s="11"/>
      <c r="AB2685" s="11"/>
      <c r="AC2685" s="105"/>
      <c r="AD2685" s="11" t="b">
        <v>0</v>
      </c>
      <c r="AE2685" s="105"/>
      <c r="AF2685" s="11"/>
      <c r="AG2685" s="11"/>
      <c r="AH2685" s="11"/>
      <c r="AI2685" s="11"/>
    </row>
    <row r="2686" ht="12.5" spans="3:35">
      <c r="C2686" s="19"/>
      <c r="D2686" s="19"/>
      <c r="H2686" s="105"/>
      <c r="I2686" s="126"/>
      <c r="J2686" s="11"/>
      <c r="K2686" s="108"/>
      <c r="L2686" s="11"/>
      <c r="M2686" s="105"/>
      <c r="N2686" s="105"/>
      <c r="O2686" s="11"/>
      <c r="P2686" s="11"/>
      <c r="Q2686" s="105"/>
      <c r="R2686" s="105"/>
      <c r="S2686" s="105"/>
      <c r="T2686" s="105"/>
      <c r="U2686" s="105"/>
      <c r="V2686" s="105"/>
      <c r="W2686" s="105"/>
      <c r="X2686" s="11"/>
      <c r="Y2686" s="11"/>
      <c r="Z2686" s="105"/>
      <c r="AA2686" s="11"/>
      <c r="AB2686" s="11"/>
      <c r="AC2686" s="105"/>
      <c r="AD2686" s="11" t="b">
        <v>0</v>
      </c>
      <c r="AE2686" s="105"/>
      <c r="AF2686" s="11"/>
      <c r="AG2686" s="11"/>
      <c r="AH2686" s="11"/>
      <c r="AI2686" s="11"/>
    </row>
    <row r="2687" ht="12.5" spans="3:35">
      <c r="C2687" s="19"/>
      <c r="D2687" s="19"/>
      <c r="H2687" s="105"/>
      <c r="I2687" s="126"/>
      <c r="J2687" s="11"/>
      <c r="K2687" s="108"/>
      <c r="L2687" s="11"/>
      <c r="M2687" s="105"/>
      <c r="N2687" s="105"/>
      <c r="O2687" s="11"/>
      <c r="P2687" s="11"/>
      <c r="Q2687" s="105"/>
      <c r="R2687" s="105"/>
      <c r="S2687" s="105"/>
      <c r="T2687" s="105"/>
      <c r="U2687" s="105"/>
      <c r="V2687" s="105"/>
      <c r="W2687" s="105"/>
      <c r="X2687" s="11"/>
      <c r="Y2687" s="11"/>
      <c r="Z2687" s="105"/>
      <c r="AA2687" s="11"/>
      <c r="AB2687" s="11"/>
      <c r="AC2687" s="105"/>
      <c r="AD2687" s="11" t="b">
        <v>0</v>
      </c>
      <c r="AE2687" s="105"/>
      <c r="AF2687" s="11"/>
      <c r="AG2687" s="11"/>
      <c r="AH2687" s="11"/>
      <c r="AI2687" s="11"/>
    </row>
    <row r="2688" ht="12.5" spans="3:35">
      <c r="C2688" s="19"/>
      <c r="D2688" s="19"/>
      <c r="H2688" s="105"/>
      <c r="I2688" s="126"/>
      <c r="J2688" s="11"/>
      <c r="K2688" s="108"/>
      <c r="L2688" s="11"/>
      <c r="M2688" s="105"/>
      <c r="N2688" s="105"/>
      <c r="O2688" s="11"/>
      <c r="P2688" s="11"/>
      <c r="Q2688" s="105"/>
      <c r="R2688" s="105"/>
      <c r="S2688" s="105"/>
      <c r="T2688" s="105"/>
      <c r="U2688" s="105"/>
      <c r="V2688" s="105"/>
      <c r="W2688" s="105"/>
      <c r="X2688" s="11"/>
      <c r="Y2688" s="11"/>
      <c r="Z2688" s="105"/>
      <c r="AA2688" s="11"/>
      <c r="AB2688" s="11"/>
      <c r="AC2688" s="105"/>
      <c r="AD2688" s="11" t="b">
        <v>0</v>
      </c>
      <c r="AE2688" s="105"/>
      <c r="AF2688" s="11"/>
      <c r="AG2688" s="11"/>
      <c r="AH2688" s="11"/>
      <c r="AI2688" s="11"/>
    </row>
    <row r="2689" ht="12.5" spans="3:35">
      <c r="C2689" s="19"/>
      <c r="D2689" s="19"/>
      <c r="H2689" s="105"/>
      <c r="I2689" s="126"/>
      <c r="J2689" s="11"/>
      <c r="K2689" s="108"/>
      <c r="L2689" s="11"/>
      <c r="M2689" s="105"/>
      <c r="N2689" s="105"/>
      <c r="O2689" s="11"/>
      <c r="P2689" s="11"/>
      <c r="Q2689" s="105"/>
      <c r="R2689" s="105"/>
      <c r="S2689" s="105"/>
      <c r="T2689" s="105"/>
      <c r="U2689" s="105"/>
      <c r="V2689" s="105"/>
      <c r="W2689" s="105"/>
      <c r="X2689" s="11"/>
      <c r="Y2689" s="11"/>
      <c r="Z2689" s="105"/>
      <c r="AA2689" s="11"/>
      <c r="AB2689" s="11"/>
      <c r="AC2689" s="105"/>
      <c r="AD2689" s="11" t="b">
        <v>0</v>
      </c>
      <c r="AE2689" s="105"/>
      <c r="AF2689" s="11"/>
      <c r="AG2689" s="11"/>
      <c r="AH2689" s="11"/>
      <c r="AI2689" s="11"/>
    </row>
    <row r="2690" ht="12.5" spans="3:35">
      <c r="C2690" s="19"/>
      <c r="D2690" s="19"/>
      <c r="H2690" s="105"/>
      <c r="I2690" s="126"/>
      <c r="J2690" s="11"/>
      <c r="K2690" s="108"/>
      <c r="L2690" s="11"/>
      <c r="M2690" s="105"/>
      <c r="N2690" s="105"/>
      <c r="O2690" s="11"/>
      <c r="P2690" s="11"/>
      <c r="Q2690" s="105"/>
      <c r="R2690" s="105"/>
      <c r="S2690" s="105"/>
      <c r="T2690" s="105"/>
      <c r="U2690" s="105"/>
      <c r="V2690" s="105"/>
      <c r="W2690" s="105"/>
      <c r="X2690" s="11"/>
      <c r="Y2690" s="11"/>
      <c r="Z2690" s="105"/>
      <c r="AA2690" s="11"/>
      <c r="AB2690" s="11"/>
      <c r="AC2690" s="105"/>
      <c r="AD2690" s="11" t="b">
        <v>0</v>
      </c>
      <c r="AE2690" s="105"/>
      <c r="AF2690" s="11"/>
      <c r="AG2690" s="11"/>
      <c r="AH2690" s="11"/>
      <c r="AI2690" s="11"/>
    </row>
    <row r="2691" ht="12.5" spans="3:35">
      <c r="C2691" s="19"/>
      <c r="D2691" s="19"/>
      <c r="H2691" s="105"/>
      <c r="I2691" s="126"/>
      <c r="J2691" s="11"/>
      <c r="K2691" s="108"/>
      <c r="L2691" s="11"/>
      <c r="M2691" s="105"/>
      <c r="N2691" s="105"/>
      <c r="O2691" s="11"/>
      <c r="P2691" s="11"/>
      <c r="Q2691" s="105"/>
      <c r="R2691" s="105"/>
      <c r="S2691" s="105"/>
      <c r="T2691" s="105"/>
      <c r="U2691" s="105"/>
      <c r="V2691" s="105"/>
      <c r="W2691" s="105"/>
      <c r="X2691" s="11"/>
      <c r="Y2691" s="11"/>
      <c r="Z2691" s="105"/>
      <c r="AA2691" s="11"/>
      <c r="AB2691" s="11"/>
      <c r="AC2691" s="105"/>
      <c r="AD2691" s="11" t="b">
        <v>0</v>
      </c>
      <c r="AE2691" s="105"/>
      <c r="AF2691" s="11"/>
      <c r="AG2691" s="11"/>
      <c r="AH2691" s="11"/>
      <c r="AI2691" s="11"/>
    </row>
    <row r="2692" ht="12.5" spans="3:35">
      <c r="C2692" s="19"/>
      <c r="D2692" s="19"/>
      <c r="H2692" s="105"/>
      <c r="I2692" s="126"/>
      <c r="J2692" s="11"/>
      <c r="K2692" s="108"/>
      <c r="L2692" s="11"/>
      <c r="M2692" s="105"/>
      <c r="N2692" s="105"/>
      <c r="O2692" s="11"/>
      <c r="P2692" s="11"/>
      <c r="Q2692" s="105"/>
      <c r="R2692" s="105"/>
      <c r="S2692" s="105"/>
      <c r="T2692" s="105"/>
      <c r="U2692" s="105"/>
      <c r="V2692" s="105"/>
      <c r="W2692" s="105"/>
      <c r="X2692" s="11"/>
      <c r="Y2692" s="11"/>
      <c r="Z2692" s="105"/>
      <c r="AA2692" s="11"/>
      <c r="AB2692" s="11"/>
      <c r="AC2692" s="105"/>
      <c r="AD2692" s="11" t="b">
        <v>0</v>
      </c>
      <c r="AE2692" s="105"/>
      <c r="AF2692" s="11"/>
      <c r="AG2692" s="11"/>
      <c r="AH2692" s="11"/>
      <c r="AI2692" s="11"/>
    </row>
    <row r="2693" ht="12.5" spans="3:35">
      <c r="C2693" s="19"/>
      <c r="D2693" s="19"/>
      <c r="H2693" s="105"/>
      <c r="I2693" s="126"/>
      <c r="J2693" s="11"/>
      <c r="K2693" s="108"/>
      <c r="L2693" s="11"/>
      <c r="M2693" s="105"/>
      <c r="N2693" s="105"/>
      <c r="O2693" s="11"/>
      <c r="P2693" s="11"/>
      <c r="Q2693" s="105"/>
      <c r="R2693" s="105"/>
      <c r="S2693" s="105"/>
      <c r="T2693" s="105"/>
      <c r="U2693" s="105"/>
      <c r="V2693" s="105"/>
      <c r="W2693" s="105"/>
      <c r="X2693" s="11"/>
      <c r="Y2693" s="11"/>
      <c r="Z2693" s="105"/>
      <c r="AA2693" s="11"/>
      <c r="AB2693" s="11"/>
      <c r="AC2693" s="105"/>
      <c r="AD2693" s="11" t="b">
        <v>0</v>
      </c>
      <c r="AE2693" s="105"/>
      <c r="AF2693" s="11"/>
      <c r="AG2693" s="11"/>
      <c r="AH2693" s="11"/>
      <c r="AI2693" s="11"/>
    </row>
    <row r="2694" ht="12.5" spans="3:35">
      <c r="C2694" s="19"/>
      <c r="D2694" s="19"/>
      <c r="H2694" s="105"/>
      <c r="I2694" s="126"/>
      <c r="J2694" s="11"/>
      <c r="K2694" s="108"/>
      <c r="L2694" s="11"/>
      <c r="M2694" s="105"/>
      <c r="N2694" s="105"/>
      <c r="O2694" s="11"/>
      <c r="P2694" s="11"/>
      <c r="Q2694" s="105"/>
      <c r="R2694" s="105"/>
      <c r="S2694" s="105"/>
      <c r="T2694" s="105"/>
      <c r="U2694" s="105"/>
      <c r="V2694" s="105"/>
      <c r="W2694" s="105"/>
      <c r="X2694" s="11"/>
      <c r="Y2694" s="11"/>
      <c r="Z2694" s="105"/>
      <c r="AA2694" s="11"/>
      <c r="AB2694" s="11"/>
      <c r="AC2694" s="105"/>
      <c r="AD2694" s="11" t="b">
        <v>0</v>
      </c>
      <c r="AE2694" s="105"/>
      <c r="AF2694" s="11"/>
      <c r="AG2694" s="11"/>
      <c r="AH2694" s="11"/>
      <c r="AI2694" s="11"/>
    </row>
    <row r="2695" ht="12.5" spans="3:35">
      <c r="C2695" s="19"/>
      <c r="D2695" s="19"/>
      <c r="H2695" s="105"/>
      <c r="I2695" s="126"/>
      <c r="J2695" s="11"/>
      <c r="K2695" s="108"/>
      <c r="L2695" s="11"/>
      <c r="M2695" s="105"/>
      <c r="N2695" s="105"/>
      <c r="O2695" s="11"/>
      <c r="P2695" s="11"/>
      <c r="Q2695" s="105"/>
      <c r="R2695" s="105"/>
      <c r="S2695" s="105"/>
      <c r="T2695" s="105"/>
      <c r="U2695" s="105"/>
      <c r="V2695" s="105"/>
      <c r="W2695" s="105"/>
      <c r="X2695" s="11"/>
      <c r="Y2695" s="11"/>
      <c r="Z2695" s="105"/>
      <c r="AA2695" s="11"/>
      <c r="AB2695" s="11"/>
      <c r="AC2695" s="105"/>
      <c r="AD2695" s="11" t="b">
        <v>0</v>
      </c>
      <c r="AE2695" s="105"/>
      <c r="AF2695" s="11"/>
      <c r="AG2695" s="11"/>
      <c r="AH2695" s="11"/>
      <c r="AI2695" s="11"/>
    </row>
    <row r="2696" ht="12.5" spans="3:35">
      <c r="C2696" s="19"/>
      <c r="D2696" s="19"/>
      <c r="H2696" s="105"/>
      <c r="I2696" s="126"/>
      <c r="J2696" s="11"/>
      <c r="K2696" s="108"/>
      <c r="L2696" s="11"/>
      <c r="M2696" s="105"/>
      <c r="N2696" s="105"/>
      <c r="O2696" s="11"/>
      <c r="P2696" s="11"/>
      <c r="Q2696" s="105"/>
      <c r="R2696" s="105"/>
      <c r="S2696" s="105"/>
      <c r="T2696" s="105"/>
      <c r="U2696" s="105"/>
      <c r="V2696" s="105"/>
      <c r="W2696" s="105"/>
      <c r="X2696" s="11"/>
      <c r="Y2696" s="11"/>
      <c r="Z2696" s="105"/>
      <c r="AA2696" s="11"/>
      <c r="AB2696" s="11"/>
      <c r="AC2696" s="105"/>
      <c r="AD2696" s="11" t="b">
        <v>0</v>
      </c>
      <c r="AE2696" s="105"/>
      <c r="AF2696" s="11"/>
      <c r="AG2696" s="11"/>
      <c r="AH2696" s="11"/>
      <c r="AI2696" s="11"/>
    </row>
    <row r="2697" ht="12.5" spans="3:35">
      <c r="C2697" s="19"/>
      <c r="D2697" s="19"/>
      <c r="H2697" s="105"/>
      <c r="I2697" s="126"/>
      <c r="J2697" s="11"/>
      <c r="K2697" s="108"/>
      <c r="L2697" s="11"/>
      <c r="M2697" s="105"/>
      <c r="N2697" s="105"/>
      <c r="O2697" s="11"/>
      <c r="P2697" s="11"/>
      <c r="Q2697" s="105"/>
      <c r="R2697" s="105"/>
      <c r="S2697" s="105"/>
      <c r="T2697" s="105"/>
      <c r="U2697" s="105"/>
      <c r="V2697" s="105"/>
      <c r="W2697" s="105"/>
      <c r="X2697" s="11"/>
      <c r="Y2697" s="11"/>
      <c r="Z2697" s="105"/>
      <c r="AA2697" s="11"/>
      <c r="AB2697" s="11"/>
      <c r="AC2697" s="105"/>
      <c r="AD2697" s="11" t="b">
        <v>0</v>
      </c>
      <c r="AE2697" s="105"/>
      <c r="AF2697" s="11"/>
      <c r="AG2697" s="11"/>
      <c r="AH2697" s="11"/>
      <c r="AI2697" s="11"/>
    </row>
    <row r="2698" ht="12.5" spans="3:35">
      <c r="C2698" s="19"/>
      <c r="D2698" s="19"/>
      <c r="H2698" s="105"/>
      <c r="I2698" s="126"/>
      <c r="J2698" s="11"/>
      <c r="K2698" s="108"/>
      <c r="L2698" s="11"/>
      <c r="M2698" s="105"/>
      <c r="N2698" s="105"/>
      <c r="O2698" s="11"/>
      <c r="P2698" s="11"/>
      <c r="Q2698" s="105"/>
      <c r="R2698" s="105"/>
      <c r="S2698" s="105"/>
      <c r="T2698" s="105"/>
      <c r="U2698" s="105"/>
      <c r="V2698" s="105"/>
      <c r="W2698" s="105"/>
      <c r="X2698" s="11"/>
      <c r="Y2698" s="11"/>
      <c r="Z2698" s="105"/>
      <c r="AA2698" s="11"/>
      <c r="AB2698" s="11"/>
      <c r="AC2698" s="105"/>
      <c r="AD2698" s="11" t="b">
        <v>0</v>
      </c>
      <c r="AE2698" s="105"/>
      <c r="AF2698" s="11"/>
      <c r="AG2698" s="11"/>
      <c r="AH2698" s="11"/>
      <c r="AI2698" s="11"/>
    </row>
    <row r="2699" ht="12.5" spans="3:35">
      <c r="C2699" s="19"/>
      <c r="D2699" s="19"/>
      <c r="H2699" s="105"/>
      <c r="I2699" s="126"/>
      <c r="J2699" s="11"/>
      <c r="K2699" s="108"/>
      <c r="L2699" s="11"/>
      <c r="M2699" s="105"/>
      <c r="N2699" s="105"/>
      <c r="O2699" s="11"/>
      <c r="P2699" s="11"/>
      <c r="Q2699" s="105"/>
      <c r="R2699" s="105"/>
      <c r="S2699" s="105"/>
      <c r="T2699" s="105"/>
      <c r="U2699" s="105"/>
      <c r="V2699" s="105"/>
      <c r="W2699" s="105"/>
      <c r="X2699" s="11"/>
      <c r="Y2699" s="11"/>
      <c r="Z2699" s="105"/>
      <c r="AA2699" s="11"/>
      <c r="AB2699" s="11"/>
      <c r="AC2699" s="105"/>
      <c r="AD2699" s="11" t="b">
        <v>0</v>
      </c>
      <c r="AE2699" s="105"/>
      <c r="AF2699" s="11"/>
      <c r="AG2699" s="11"/>
      <c r="AH2699" s="11"/>
      <c r="AI2699" s="11"/>
    </row>
    <row r="2700" ht="12.5" spans="3:35">
      <c r="C2700" s="19"/>
      <c r="D2700" s="19"/>
      <c r="H2700" s="105"/>
      <c r="I2700" s="126"/>
      <c r="J2700" s="11"/>
      <c r="K2700" s="108"/>
      <c r="L2700" s="11"/>
      <c r="M2700" s="105"/>
      <c r="N2700" s="105"/>
      <c r="O2700" s="11"/>
      <c r="P2700" s="11"/>
      <c r="Q2700" s="105"/>
      <c r="R2700" s="105"/>
      <c r="S2700" s="105"/>
      <c r="T2700" s="105"/>
      <c r="U2700" s="105"/>
      <c r="V2700" s="105"/>
      <c r="W2700" s="105"/>
      <c r="X2700" s="11"/>
      <c r="Y2700" s="11"/>
      <c r="Z2700" s="105"/>
      <c r="AA2700" s="11"/>
      <c r="AB2700" s="11"/>
      <c r="AC2700" s="105"/>
      <c r="AD2700" s="11" t="b">
        <v>0</v>
      </c>
      <c r="AE2700" s="105"/>
      <c r="AF2700" s="11"/>
      <c r="AG2700" s="11"/>
      <c r="AH2700" s="11"/>
      <c r="AI2700" s="11"/>
    </row>
    <row r="2701" ht="12.5" spans="3:35">
      <c r="C2701" s="19"/>
      <c r="D2701" s="19"/>
      <c r="H2701" s="105"/>
      <c r="I2701" s="126"/>
      <c r="J2701" s="11"/>
      <c r="K2701" s="108"/>
      <c r="L2701" s="11"/>
      <c r="M2701" s="105"/>
      <c r="N2701" s="105"/>
      <c r="O2701" s="11"/>
      <c r="P2701" s="11"/>
      <c r="Q2701" s="105"/>
      <c r="R2701" s="105"/>
      <c r="S2701" s="105"/>
      <c r="T2701" s="105"/>
      <c r="U2701" s="105"/>
      <c r="V2701" s="105"/>
      <c r="W2701" s="105"/>
      <c r="X2701" s="11"/>
      <c r="Y2701" s="11"/>
      <c r="Z2701" s="105"/>
      <c r="AA2701" s="11"/>
      <c r="AB2701" s="11"/>
      <c r="AC2701" s="105"/>
      <c r="AD2701" s="11" t="b">
        <v>0</v>
      </c>
      <c r="AE2701" s="105"/>
      <c r="AF2701" s="11"/>
      <c r="AG2701" s="11"/>
      <c r="AH2701" s="11"/>
      <c r="AI2701" s="11"/>
    </row>
    <row r="2702" ht="12.5" spans="3:35">
      <c r="C2702" s="19"/>
      <c r="D2702" s="19"/>
      <c r="H2702" s="105"/>
      <c r="I2702" s="126"/>
      <c r="J2702" s="11"/>
      <c r="K2702" s="108"/>
      <c r="L2702" s="11"/>
      <c r="M2702" s="105"/>
      <c r="N2702" s="105"/>
      <c r="O2702" s="11"/>
      <c r="P2702" s="11"/>
      <c r="Q2702" s="105"/>
      <c r="R2702" s="105"/>
      <c r="S2702" s="105"/>
      <c r="T2702" s="105"/>
      <c r="U2702" s="105"/>
      <c r="V2702" s="105"/>
      <c r="W2702" s="105"/>
      <c r="X2702" s="11"/>
      <c r="Y2702" s="11"/>
      <c r="Z2702" s="105"/>
      <c r="AA2702" s="11"/>
      <c r="AB2702" s="11"/>
      <c r="AC2702" s="105"/>
      <c r="AD2702" s="11" t="b">
        <v>0</v>
      </c>
      <c r="AE2702" s="105"/>
      <c r="AF2702" s="11"/>
      <c r="AG2702" s="11"/>
      <c r="AH2702" s="11"/>
      <c r="AI2702" s="11"/>
    </row>
    <row r="2703" ht="12.5" spans="3:35">
      <c r="C2703" s="19"/>
      <c r="D2703" s="19"/>
      <c r="H2703" s="105"/>
      <c r="I2703" s="126"/>
      <c r="J2703" s="11"/>
      <c r="K2703" s="108"/>
      <c r="L2703" s="11"/>
      <c r="M2703" s="105"/>
      <c r="N2703" s="105"/>
      <c r="O2703" s="11"/>
      <c r="P2703" s="11"/>
      <c r="Q2703" s="105"/>
      <c r="R2703" s="105"/>
      <c r="S2703" s="105"/>
      <c r="T2703" s="105"/>
      <c r="U2703" s="105"/>
      <c r="V2703" s="105"/>
      <c r="W2703" s="105"/>
      <c r="X2703" s="11"/>
      <c r="Y2703" s="11"/>
      <c r="Z2703" s="105"/>
      <c r="AA2703" s="11"/>
      <c r="AB2703" s="11"/>
      <c r="AC2703" s="105"/>
      <c r="AD2703" s="11" t="b">
        <v>0</v>
      </c>
      <c r="AE2703" s="105"/>
      <c r="AF2703" s="11"/>
      <c r="AG2703" s="11"/>
      <c r="AH2703" s="11"/>
      <c r="AI2703" s="11"/>
    </row>
    <row r="2704" ht="12.5" spans="3:35">
      <c r="C2704" s="19"/>
      <c r="D2704" s="19"/>
      <c r="H2704" s="105"/>
      <c r="I2704" s="126"/>
      <c r="J2704" s="11"/>
      <c r="K2704" s="108"/>
      <c r="L2704" s="11"/>
      <c r="M2704" s="105"/>
      <c r="N2704" s="105"/>
      <c r="O2704" s="11"/>
      <c r="P2704" s="11"/>
      <c r="Q2704" s="105"/>
      <c r="R2704" s="105"/>
      <c r="S2704" s="105"/>
      <c r="T2704" s="105"/>
      <c r="U2704" s="105"/>
      <c r="V2704" s="105"/>
      <c r="W2704" s="105"/>
      <c r="X2704" s="11"/>
      <c r="Y2704" s="11"/>
      <c r="Z2704" s="105"/>
      <c r="AA2704" s="11"/>
      <c r="AB2704" s="11"/>
      <c r="AC2704" s="105"/>
      <c r="AD2704" s="11" t="b">
        <v>0</v>
      </c>
      <c r="AE2704" s="105"/>
      <c r="AF2704" s="11"/>
      <c r="AG2704" s="11"/>
      <c r="AH2704" s="11"/>
      <c r="AI2704" s="11"/>
    </row>
    <row r="2705" ht="12.5" spans="3:35">
      <c r="C2705" s="19"/>
      <c r="D2705" s="19"/>
      <c r="H2705" s="105"/>
      <c r="I2705" s="126"/>
      <c r="J2705" s="11"/>
      <c r="K2705" s="108"/>
      <c r="L2705" s="11"/>
      <c r="M2705" s="105"/>
      <c r="N2705" s="105"/>
      <c r="O2705" s="11"/>
      <c r="P2705" s="11"/>
      <c r="Q2705" s="105"/>
      <c r="R2705" s="105"/>
      <c r="S2705" s="105"/>
      <c r="T2705" s="105"/>
      <c r="U2705" s="105"/>
      <c r="V2705" s="105"/>
      <c r="W2705" s="105"/>
      <c r="X2705" s="11"/>
      <c r="Y2705" s="11"/>
      <c r="Z2705" s="105"/>
      <c r="AA2705" s="11"/>
      <c r="AB2705" s="11"/>
      <c r="AC2705" s="105"/>
      <c r="AD2705" s="11" t="b">
        <v>0</v>
      </c>
      <c r="AE2705" s="105"/>
      <c r="AF2705" s="11"/>
      <c r="AG2705" s="11"/>
      <c r="AH2705" s="11"/>
      <c r="AI2705" s="11"/>
    </row>
    <row r="2706" ht="12.5" spans="3:35">
      <c r="C2706" s="19"/>
      <c r="D2706" s="19"/>
      <c r="H2706" s="105"/>
      <c r="I2706" s="126"/>
      <c r="J2706" s="11"/>
      <c r="K2706" s="108"/>
      <c r="L2706" s="11"/>
      <c r="M2706" s="105"/>
      <c r="N2706" s="105"/>
      <c r="O2706" s="11"/>
      <c r="P2706" s="11"/>
      <c r="Q2706" s="105"/>
      <c r="R2706" s="105"/>
      <c r="S2706" s="105"/>
      <c r="T2706" s="105"/>
      <c r="U2706" s="105"/>
      <c r="V2706" s="105"/>
      <c r="W2706" s="105"/>
      <c r="X2706" s="11"/>
      <c r="Y2706" s="11"/>
      <c r="Z2706" s="105"/>
      <c r="AA2706" s="11"/>
      <c r="AB2706" s="11"/>
      <c r="AC2706" s="105"/>
      <c r="AD2706" s="11" t="b">
        <v>0</v>
      </c>
      <c r="AE2706" s="105"/>
      <c r="AF2706" s="11"/>
      <c r="AG2706" s="11"/>
      <c r="AH2706" s="11"/>
      <c r="AI2706" s="11"/>
    </row>
    <row r="2707" ht="12.5" spans="3:35">
      <c r="C2707" s="19"/>
      <c r="D2707" s="19"/>
      <c r="H2707" s="105"/>
      <c r="I2707" s="126"/>
      <c r="J2707" s="11"/>
      <c r="K2707" s="108"/>
      <c r="L2707" s="11"/>
      <c r="M2707" s="105"/>
      <c r="N2707" s="105"/>
      <c r="O2707" s="11"/>
      <c r="P2707" s="11"/>
      <c r="Q2707" s="105"/>
      <c r="R2707" s="105"/>
      <c r="S2707" s="105"/>
      <c r="T2707" s="105"/>
      <c r="U2707" s="105"/>
      <c r="V2707" s="105"/>
      <c r="W2707" s="105"/>
      <c r="X2707" s="11"/>
      <c r="Y2707" s="11"/>
      <c r="Z2707" s="105"/>
      <c r="AA2707" s="11"/>
      <c r="AB2707" s="11"/>
      <c r="AC2707" s="105"/>
      <c r="AD2707" s="11" t="b">
        <v>0</v>
      </c>
      <c r="AE2707" s="105"/>
      <c r="AF2707" s="11"/>
      <c r="AG2707" s="11"/>
      <c r="AH2707" s="11"/>
      <c r="AI2707" s="11"/>
    </row>
    <row r="2708" ht="12.5" spans="3:35">
      <c r="C2708" s="19"/>
      <c r="D2708" s="19"/>
      <c r="H2708" s="105"/>
      <c r="I2708" s="126"/>
      <c r="J2708" s="11"/>
      <c r="K2708" s="108"/>
      <c r="L2708" s="11"/>
      <c r="M2708" s="105"/>
      <c r="N2708" s="105"/>
      <c r="O2708" s="11"/>
      <c r="P2708" s="11"/>
      <c r="Q2708" s="105"/>
      <c r="R2708" s="105"/>
      <c r="S2708" s="105"/>
      <c r="T2708" s="105"/>
      <c r="U2708" s="105"/>
      <c r="V2708" s="105"/>
      <c r="W2708" s="105"/>
      <c r="X2708" s="11"/>
      <c r="Y2708" s="11"/>
      <c r="Z2708" s="105"/>
      <c r="AA2708" s="11"/>
      <c r="AB2708" s="11"/>
      <c r="AC2708" s="105"/>
      <c r="AD2708" s="11" t="b">
        <v>0</v>
      </c>
      <c r="AE2708" s="105"/>
      <c r="AF2708" s="11"/>
      <c r="AG2708" s="11"/>
      <c r="AH2708" s="11"/>
      <c r="AI2708" s="11"/>
    </row>
    <row r="2709" ht="12.5" spans="3:35">
      <c r="C2709" s="19"/>
      <c r="D2709" s="19"/>
      <c r="H2709" s="105"/>
      <c r="I2709" s="126"/>
      <c r="J2709" s="11"/>
      <c r="K2709" s="108"/>
      <c r="L2709" s="11"/>
      <c r="M2709" s="105"/>
      <c r="N2709" s="105"/>
      <c r="O2709" s="11"/>
      <c r="P2709" s="11"/>
      <c r="Q2709" s="105"/>
      <c r="R2709" s="105"/>
      <c r="S2709" s="105"/>
      <c r="T2709" s="105"/>
      <c r="U2709" s="105"/>
      <c r="V2709" s="105"/>
      <c r="W2709" s="105"/>
      <c r="X2709" s="11"/>
      <c r="Y2709" s="11"/>
      <c r="Z2709" s="105"/>
      <c r="AA2709" s="11"/>
      <c r="AB2709" s="11"/>
      <c r="AC2709" s="105"/>
      <c r="AD2709" s="11" t="b">
        <v>0</v>
      </c>
      <c r="AE2709" s="105"/>
      <c r="AF2709" s="11"/>
      <c r="AG2709" s="11"/>
      <c r="AH2709" s="11"/>
      <c r="AI2709" s="11"/>
    </row>
    <row r="2710" ht="12.5" spans="3:35">
      <c r="C2710" s="19"/>
      <c r="D2710" s="19"/>
      <c r="H2710" s="105"/>
      <c r="I2710" s="126"/>
      <c r="J2710" s="11"/>
      <c r="K2710" s="108"/>
      <c r="L2710" s="11"/>
      <c r="M2710" s="105"/>
      <c r="N2710" s="105"/>
      <c r="O2710" s="11"/>
      <c r="P2710" s="11"/>
      <c r="Q2710" s="105"/>
      <c r="R2710" s="105"/>
      <c r="S2710" s="105"/>
      <c r="T2710" s="105"/>
      <c r="U2710" s="105"/>
      <c r="V2710" s="105"/>
      <c r="W2710" s="105"/>
      <c r="X2710" s="11"/>
      <c r="Y2710" s="11"/>
      <c r="Z2710" s="105"/>
      <c r="AA2710" s="11"/>
      <c r="AB2710" s="11"/>
      <c r="AC2710" s="105"/>
      <c r="AD2710" s="11" t="b">
        <v>0</v>
      </c>
      <c r="AE2710" s="105"/>
      <c r="AF2710" s="11"/>
      <c r="AG2710" s="11"/>
      <c r="AH2710" s="11"/>
      <c r="AI2710" s="11"/>
    </row>
    <row r="2711" ht="12.5" spans="3:35">
      <c r="C2711" s="19"/>
      <c r="D2711" s="19"/>
      <c r="H2711" s="105"/>
      <c r="I2711" s="126"/>
      <c r="J2711" s="11"/>
      <c r="K2711" s="108"/>
      <c r="L2711" s="11"/>
      <c r="M2711" s="105"/>
      <c r="N2711" s="105"/>
      <c r="O2711" s="11"/>
      <c r="P2711" s="11"/>
      <c r="Q2711" s="105"/>
      <c r="R2711" s="105"/>
      <c r="S2711" s="105"/>
      <c r="T2711" s="105"/>
      <c r="U2711" s="105"/>
      <c r="V2711" s="105"/>
      <c r="W2711" s="105"/>
      <c r="X2711" s="11"/>
      <c r="Y2711" s="11"/>
      <c r="Z2711" s="105"/>
      <c r="AA2711" s="11"/>
      <c r="AB2711" s="11"/>
      <c r="AC2711" s="105"/>
      <c r="AD2711" s="11" t="b">
        <v>0</v>
      </c>
      <c r="AE2711" s="105"/>
      <c r="AF2711" s="11"/>
      <c r="AG2711" s="11"/>
      <c r="AH2711" s="11"/>
      <c r="AI2711" s="11"/>
    </row>
    <row r="2712" ht="12.5" spans="3:35">
      <c r="C2712" s="19"/>
      <c r="D2712" s="19"/>
      <c r="H2712" s="105"/>
      <c r="I2712" s="126"/>
      <c r="J2712" s="11"/>
      <c r="K2712" s="108"/>
      <c r="L2712" s="11"/>
      <c r="M2712" s="105"/>
      <c r="N2712" s="105"/>
      <c r="O2712" s="11"/>
      <c r="P2712" s="11"/>
      <c r="Q2712" s="105"/>
      <c r="R2712" s="105"/>
      <c r="S2712" s="105"/>
      <c r="T2712" s="105"/>
      <c r="U2712" s="105"/>
      <c r="V2712" s="105"/>
      <c r="W2712" s="105"/>
      <c r="X2712" s="11"/>
      <c r="Y2712" s="11"/>
      <c r="Z2712" s="105"/>
      <c r="AA2712" s="11"/>
      <c r="AB2712" s="11"/>
      <c r="AC2712" s="105"/>
      <c r="AD2712" s="11" t="b">
        <v>0</v>
      </c>
      <c r="AE2712" s="105"/>
      <c r="AF2712" s="11"/>
      <c r="AG2712" s="11"/>
      <c r="AH2712" s="11"/>
      <c r="AI2712" s="11"/>
    </row>
    <row r="2713" ht="12.5" spans="3:35">
      <c r="C2713" s="19"/>
      <c r="D2713" s="19"/>
      <c r="H2713" s="105"/>
      <c r="I2713" s="126"/>
      <c r="J2713" s="11"/>
      <c r="K2713" s="108"/>
      <c r="L2713" s="11"/>
      <c r="M2713" s="105"/>
      <c r="N2713" s="105"/>
      <c r="O2713" s="11"/>
      <c r="P2713" s="11"/>
      <c r="Q2713" s="105"/>
      <c r="R2713" s="105"/>
      <c r="S2713" s="105"/>
      <c r="T2713" s="105"/>
      <c r="U2713" s="105"/>
      <c r="V2713" s="105"/>
      <c r="W2713" s="105"/>
      <c r="X2713" s="11"/>
      <c r="Y2713" s="11"/>
      <c r="Z2713" s="105"/>
      <c r="AA2713" s="11"/>
      <c r="AB2713" s="11"/>
      <c r="AC2713" s="105"/>
      <c r="AD2713" s="11" t="b">
        <v>0</v>
      </c>
      <c r="AE2713" s="105"/>
      <c r="AF2713" s="11"/>
      <c r="AG2713" s="11"/>
      <c r="AH2713" s="11"/>
      <c r="AI2713" s="11"/>
    </row>
    <row r="2714" ht="12.5" spans="3:35">
      <c r="C2714" s="19"/>
      <c r="D2714" s="19"/>
      <c r="H2714" s="105"/>
      <c r="I2714" s="126"/>
      <c r="J2714" s="11"/>
      <c r="K2714" s="108"/>
      <c r="L2714" s="11"/>
      <c r="M2714" s="105"/>
      <c r="N2714" s="105"/>
      <c r="O2714" s="11"/>
      <c r="P2714" s="11"/>
      <c r="Q2714" s="105"/>
      <c r="R2714" s="105"/>
      <c r="S2714" s="105"/>
      <c r="T2714" s="105"/>
      <c r="U2714" s="105"/>
      <c r="V2714" s="105"/>
      <c r="W2714" s="105"/>
      <c r="X2714" s="11"/>
      <c r="Y2714" s="11"/>
      <c r="Z2714" s="105"/>
      <c r="AA2714" s="11"/>
      <c r="AB2714" s="11"/>
      <c r="AC2714" s="105"/>
      <c r="AD2714" s="11" t="b">
        <v>0</v>
      </c>
      <c r="AE2714" s="105"/>
      <c r="AF2714" s="11"/>
      <c r="AG2714" s="11"/>
      <c r="AH2714" s="11"/>
      <c r="AI2714" s="11"/>
    </row>
    <row r="2715" ht="12.5" spans="3:35">
      <c r="C2715" s="19"/>
      <c r="D2715" s="19"/>
      <c r="H2715" s="105"/>
      <c r="I2715" s="126"/>
      <c r="J2715" s="11"/>
      <c r="K2715" s="108"/>
      <c r="L2715" s="11"/>
      <c r="M2715" s="105"/>
      <c r="N2715" s="105"/>
      <c r="O2715" s="11"/>
      <c r="P2715" s="11"/>
      <c r="Q2715" s="105"/>
      <c r="R2715" s="105"/>
      <c r="S2715" s="105"/>
      <c r="T2715" s="105"/>
      <c r="U2715" s="105"/>
      <c r="V2715" s="105"/>
      <c r="W2715" s="105"/>
      <c r="X2715" s="11"/>
      <c r="Y2715" s="11"/>
      <c r="Z2715" s="105"/>
      <c r="AA2715" s="11"/>
      <c r="AB2715" s="11"/>
      <c r="AC2715" s="105"/>
      <c r="AD2715" s="11" t="b">
        <v>0</v>
      </c>
      <c r="AE2715" s="105"/>
      <c r="AF2715" s="11"/>
      <c r="AG2715" s="11"/>
      <c r="AH2715" s="11"/>
      <c r="AI2715" s="11"/>
    </row>
    <row r="2716" ht="12.5" spans="3:35">
      <c r="C2716" s="19"/>
      <c r="D2716" s="19"/>
      <c r="H2716" s="105"/>
      <c r="I2716" s="126"/>
      <c r="J2716" s="11"/>
      <c r="K2716" s="108"/>
      <c r="L2716" s="11"/>
      <c r="M2716" s="105"/>
      <c r="N2716" s="105"/>
      <c r="O2716" s="11"/>
      <c r="P2716" s="11"/>
      <c r="Q2716" s="105"/>
      <c r="R2716" s="105"/>
      <c r="S2716" s="105"/>
      <c r="T2716" s="105"/>
      <c r="U2716" s="105"/>
      <c r="V2716" s="105"/>
      <c r="W2716" s="105"/>
      <c r="X2716" s="11"/>
      <c r="Y2716" s="11"/>
      <c r="Z2716" s="105"/>
      <c r="AA2716" s="11"/>
      <c r="AB2716" s="11"/>
      <c r="AC2716" s="105"/>
      <c r="AD2716" s="11" t="b">
        <v>0</v>
      </c>
      <c r="AE2716" s="105"/>
      <c r="AF2716" s="11"/>
      <c r="AG2716" s="11"/>
      <c r="AH2716" s="11"/>
      <c r="AI2716" s="11"/>
    </row>
    <row r="2717" ht="12.5" spans="3:35">
      <c r="C2717" s="19"/>
      <c r="D2717" s="19"/>
      <c r="H2717" s="105"/>
      <c r="I2717" s="126"/>
      <c r="J2717" s="11"/>
      <c r="K2717" s="108"/>
      <c r="L2717" s="11"/>
      <c r="M2717" s="105"/>
      <c r="N2717" s="105"/>
      <c r="O2717" s="11"/>
      <c r="P2717" s="11"/>
      <c r="Q2717" s="105"/>
      <c r="R2717" s="105"/>
      <c r="S2717" s="105"/>
      <c r="T2717" s="105"/>
      <c r="U2717" s="105"/>
      <c r="V2717" s="105"/>
      <c r="W2717" s="105"/>
      <c r="X2717" s="11"/>
      <c r="Y2717" s="11"/>
      <c r="Z2717" s="105"/>
      <c r="AA2717" s="11"/>
      <c r="AB2717" s="11"/>
      <c r="AC2717" s="105"/>
      <c r="AD2717" s="11" t="b">
        <v>0</v>
      </c>
      <c r="AE2717" s="105"/>
      <c r="AF2717" s="11"/>
      <c r="AG2717" s="11"/>
      <c r="AH2717" s="11"/>
      <c r="AI2717" s="11"/>
    </row>
    <row r="2718" ht="12.5" spans="3:35">
      <c r="C2718" s="19"/>
      <c r="D2718" s="19"/>
      <c r="H2718" s="105"/>
      <c r="I2718" s="126"/>
      <c r="J2718" s="11"/>
      <c r="K2718" s="108"/>
      <c r="L2718" s="11"/>
      <c r="M2718" s="105"/>
      <c r="N2718" s="105"/>
      <c r="O2718" s="11"/>
      <c r="P2718" s="11"/>
      <c r="Q2718" s="105"/>
      <c r="R2718" s="105"/>
      <c r="S2718" s="105"/>
      <c r="T2718" s="105"/>
      <c r="U2718" s="105"/>
      <c r="V2718" s="105"/>
      <c r="W2718" s="105"/>
      <c r="X2718" s="11"/>
      <c r="Y2718" s="11"/>
      <c r="Z2718" s="105"/>
      <c r="AA2718" s="11"/>
      <c r="AB2718" s="11"/>
      <c r="AC2718" s="105"/>
      <c r="AD2718" s="11" t="b">
        <v>0</v>
      </c>
      <c r="AE2718" s="105"/>
      <c r="AF2718" s="11"/>
      <c r="AG2718" s="11"/>
      <c r="AH2718" s="11"/>
      <c r="AI2718" s="11"/>
    </row>
    <row r="2719" ht="12.5" spans="3:35">
      <c r="C2719" s="19"/>
      <c r="D2719" s="19"/>
      <c r="H2719" s="105"/>
      <c r="I2719" s="126"/>
      <c r="J2719" s="11"/>
      <c r="K2719" s="108"/>
      <c r="L2719" s="11"/>
      <c r="M2719" s="105"/>
      <c r="N2719" s="105"/>
      <c r="O2719" s="11"/>
      <c r="P2719" s="11"/>
      <c r="Q2719" s="105"/>
      <c r="R2719" s="105"/>
      <c r="S2719" s="105"/>
      <c r="T2719" s="105"/>
      <c r="U2719" s="105"/>
      <c r="V2719" s="105"/>
      <c r="W2719" s="105"/>
      <c r="X2719" s="11"/>
      <c r="Y2719" s="11"/>
      <c r="Z2719" s="105"/>
      <c r="AA2719" s="11"/>
      <c r="AB2719" s="11"/>
      <c r="AC2719" s="105"/>
      <c r="AD2719" s="11" t="b">
        <v>0</v>
      </c>
      <c r="AE2719" s="105"/>
      <c r="AF2719" s="11"/>
      <c r="AG2719" s="11"/>
      <c r="AH2719" s="11"/>
      <c r="AI2719" s="11"/>
    </row>
    <row r="2720" ht="12.5" spans="3:35">
      <c r="C2720" s="19"/>
      <c r="D2720" s="19"/>
      <c r="H2720" s="105"/>
      <c r="I2720" s="126"/>
      <c r="J2720" s="11"/>
      <c r="K2720" s="108"/>
      <c r="L2720" s="11"/>
      <c r="M2720" s="105"/>
      <c r="N2720" s="105"/>
      <c r="O2720" s="11"/>
      <c r="P2720" s="11"/>
      <c r="Q2720" s="105"/>
      <c r="R2720" s="105"/>
      <c r="S2720" s="105"/>
      <c r="T2720" s="105"/>
      <c r="U2720" s="105"/>
      <c r="V2720" s="105"/>
      <c r="W2720" s="105"/>
      <c r="X2720" s="11"/>
      <c r="Y2720" s="11"/>
      <c r="Z2720" s="105"/>
      <c r="AA2720" s="11"/>
      <c r="AB2720" s="11"/>
      <c r="AC2720" s="105"/>
      <c r="AD2720" s="11" t="b">
        <v>0</v>
      </c>
      <c r="AE2720" s="105"/>
      <c r="AF2720" s="11"/>
      <c r="AG2720" s="11"/>
      <c r="AH2720" s="11"/>
      <c r="AI2720" s="11"/>
    </row>
    <row r="2721" ht="12.5" spans="3:35">
      <c r="C2721" s="19"/>
      <c r="D2721" s="19"/>
      <c r="H2721" s="105"/>
      <c r="I2721" s="126"/>
      <c r="J2721" s="11"/>
      <c r="K2721" s="108"/>
      <c r="L2721" s="11"/>
      <c r="M2721" s="105"/>
      <c r="N2721" s="105"/>
      <c r="O2721" s="11"/>
      <c r="P2721" s="11"/>
      <c r="Q2721" s="105"/>
      <c r="R2721" s="105"/>
      <c r="S2721" s="105"/>
      <c r="T2721" s="105"/>
      <c r="U2721" s="105"/>
      <c r="V2721" s="105"/>
      <c r="W2721" s="105"/>
      <c r="X2721" s="11"/>
      <c r="Y2721" s="11"/>
      <c r="Z2721" s="105"/>
      <c r="AA2721" s="11"/>
      <c r="AB2721" s="11"/>
      <c r="AC2721" s="105"/>
      <c r="AD2721" s="11" t="b">
        <v>0</v>
      </c>
      <c r="AE2721" s="105"/>
      <c r="AF2721" s="11"/>
      <c r="AG2721" s="11"/>
      <c r="AH2721" s="11"/>
      <c r="AI2721" s="11"/>
    </row>
    <row r="2722" ht="12.5" spans="3:35">
      <c r="C2722" s="19"/>
      <c r="D2722" s="19"/>
      <c r="H2722" s="105"/>
      <c r="I2722" s="126"/>
      <c r="J2722" s="11"/>
      <c r="K2722" s="108"/>
      <c r="L2722" s="11"/>
      <c r="M2722" s="105"/>
      <c r="N2722" s="105"/>
      <c r="O2722" s="11"/>
      <c r="P2722" s="11"/>
      <c r="Q2722" s="105"/>
      <c r="R2722" s="105"/>
      <c r="S2722" s="105"/>
      <c r="T2722" s="105"/>
      <c r="U2722" s="105"/>
      <c r="V2722" s="105"/>
      <c r="W2722" s="105"/>
      <c r="X2722" s="11"/>
      <c r="Y2722" s="11"/>
      <c r="Z2722" s="105"/>
      <c r="AA2722" s="11"/>
      <c r="AB2722" s="11"/>
      <c r="AC2722" s="105"/>
      <c r="AD2722" s="11" t="b">
        <v>0</v>
      </c>
      <c r="AE2722" s="105"/>
      <c r="AF2722" s="11"/>
      <c r="AG2722" s="11"/>
      <c r="AH2722" s="11"/>
      <c r="AI2722" s="11"/>
    </row>
    <row r="2723" ht="12.5" spans="3:35">
      <c r="C2723" s="19"/>
      <c r="D2723" s="19"/>
      <c r="H2723" s="105"/>
      <c r="I2723" s="126"/>
      <c r="J2723" s="11"/>
      <c r="K2723" s="108"/>
      <c r="L2723" s="11"/>
      <c r="M2723" s="105"/>
      <c r="N2723" s="105"/>
      <c r="O2723" s="11"/>
      <c r="P2723" s="11"/>
      <c r="Q2723" s="105"/>
      <c r="R2723" s="105"/>
      <c r="S2723" s="105"/>
      <c r="T2723" s="105"/>
      <c r="U2723" s="105"/>
      <c r="V2723" s="105"/>
      <c r="W2723" s="105"/>
      <c r="X2723" s="11"/>
      <c r="Y2723" s="11"/>
      <c r="Z2723" s="105"/>
      <c r="AA2723" s="11"/>
      <c r="AB2723" s="11"/>
      <c r="AC2723" s="105"/>
      <c r="AD2723" s="11" t="b">
        <v>0</v>
      </c>
      <c r="AE2723" s="105"/>
      <c r="AF2723" s="11"/>
      <c r="AG2723" s="11"/>
      <c r="AH2723" s="11"/>
      <c r="AI2723" s="11"/>
    </row>
    <row r="2724" ht="12.5" spans="3:35">
      <c r="C2724" s="19"/>
      <c r="D2724" s="19"/>
      <c r="H2724" s="105"/>
      <c r="I2724" s="126"/>
      <c r="J2724" s="11"/>
      <c r="K2724" s="108"/>
      <c r="L2724" s="11"/>
      <c r="M2724" s="105"/>
      <c r="N2724" s="105"/>
      <c r="O2724" s="11"/>
      <c r="P2724" s="11"/>
      <c r="Q2724" s="105"/>
      <c r="R2724" s="105"/>
      <c r="S2724" s="105"/>
      <c r="T2724" s="105"/>
      <c r="U2724" s="105"/>
      <c r="V2724" s="105"/>
      <c r="W2724" s="105"/>
      <c r="X2724" s="11"/>
      <c r="Y2724" s="11"/>
      <c r="Z2724" s="105"/>
      <c r="AA2724" s="11"/>
      <c r="AB2724" s="11"/>
      <c r="AC2724" s="105"/>
      <c r="AD2724" s="11" t="b">
        <v>0</v>
      </c>
      <c r="AE2724" s="105"/>
      <c r="AF2724" s="11"/>
      <c r="AG2724" s="11"/>
      <c r="AH2724" s="11"/>
      <c r="AI2724" s="11"/>
    </row>
    <row r="2725" ht="12.5" spans="3:35">
      <c r="C2725" s="19"/>
      <c r="D2725" s="19"/>
      <c r="H2725" s="105"/>
      <c r="I2725" s="126"/>
      <c r="J2725" s="11"/>
      <c r="K2725" s="108"/>
      <c r="L2725" s="11"/>
      <c r="M2725" s="105"/>
      <c r="N2725" s="105"/>
      <c r="O2725" s="11"/>
      <c r="P2725" s="11"/>
      <c r="Q2725" s="105"/>
      <c r="R2725" s="105"/>
      <c r="S2725" s="105"/>
      <c r="T2725" s="105"/>
      <c r="U2725" s="105"/>
      <c r="V2725" s="105"/>
      <c r="W2725" s="105"/>
      <c r="X2725" s="11"/>
      <c r="Y2725" s="11"/>
      <c r="Z2725" s="105"/>
      <c r="AA2725" s="11"/>
      <c r="AB2725" s="11"/>
      <c r="AC2725" s="105"/>
      <c r="AD2725" s="11" t="b">
        <v>0</v>
      </c>
      <c r="AE2725" s="105"/>
      <c r="AF2725" s="11"/>
      <c r="AG2725" s="11"/>
      <c r="AH2725" s="11"/>
      <c r="AI2725" s="11"/>
    </row>
    <row r="2726" ht="12.5" spans="3:35">
      <c r="C2726" s="19"/>
      <c r="D2726" s="19"/>
      <c r="H2726" s="105"/>
      <c r="I2726" s="126"/>
      <c r="J2726" s="11"/>
      <c r="K2726" s="108"/>
      <c r="L2726" s="11"/>
      <c r="M2726" s="105"/>
      <c r="N2726" s="105"/>
      <c r="O2726" s="11"/>
      <c r="P2726" s="11"/>
      <c r="Q2726" s="105"/>
      <c r="R2726" s="105"/>
      <c r="S2726" s="105"/>
      <c r="T2726" s="105"/>
      <c r="U2726" s="105"/>
      <c r="V2726" s="105"/>
      <c r="W2726" s="105"/>
      <c r="X2726" s="11"/>
      <c r="Y2726" s="11"/>
      <c r="Z2726" s="105"/>
      <c r="AA2726" s="11"/>
      <c r="AB2726" s="11"/>
      <c r="AC2726" s="105"/>
      <c r="AD2726" s="11" t="b">
        <v>0</v>
      </c>
      <c r="AE2726" s="105"/>
      <c r="AF2726" s="11"/>
      <c r="AG2726" s="11"/>
      <c r="AH2726" s="11"/>
      <c r="AI2726" s="11"/>
    </row>
    <row r="2727" ht="12.5" spans="3:35">
      <c r="C2727" s="19"/>
      <c r="D2727" s="19"/>
      <c r="H2727" s="105"/>
      <c r="I2727" s="126"/>
      <c r="J2727" s="11"/>
      <c r="K2727" s="108"/>
      <c r="L2727" s="11"/>
      <c r="M2727" s="105"/>
      <c r="N2727" s="105"/>
      <c r="O2727" s="11"/>
      <c r="P2727" s="11"/>
      <c r="Q2727" s="105"/>
      <c r="R2727" s="105"/>
      <c r="S2727" s="105"/>
      <c r="T2727" s="105"/>
      <c r="U2727" s="105"/>
      <c r="V2727" s="105"/>
      <c r="W2727" s="105"/>
      <c r="X2727" s="11"/>
      <c r="Y2727" s="11"/>
      <c r="Z2727" s="105"/>
      <c r="AA2727" s="11"/>
      <c r="AB2727" s="11"/>
      <c r="AC2727" s="105"/>
      <c r="AD2727" s="11" t="b">
        <v>0</v>
      </c>
      <c r="AE2727" s="105"/>
      <c r="AF2727" s="11"/>
      <c r="AG2727" s="11"/>
      <c r="AH2727" s="11"/>
      <c r="AI2727" s="11"/>
    </row>
    <row r="2728" ht="12.5" spans="3:35">
      <c r="C2728" s="19"/>
      <c r="D2728" s="19"/>
      <c r="H2728" s="105"/>
      <c r="I2728" s="126"/>
      <c r="J2728" s="11"/>
      <c r="K2728" s="108"/>
      <c r="L2728" s="11"/>
      <c r="M2728" s="105"/>
      <c r="N2728" s="105"/>
      <c r="O2728" s="11"/>
      <c r="P2728" s="11"/>
      <c r="Q2728" s="105"/>
      <c r="R2728" s="105"/>
      <c r="S2728" s="105"/>
      <c r="T2728" s="105"/>
      <c r="U2728" s="105"/>
      <c r="V2728" s="105"/>
      <c r="W2728" s="105"/>
      <c r="X2728" s="11"/>
      <c r="Y2728" s="11"/>
      <c r="Z2728" s="105"/>
      <c r="AA2728" s="11"/>
      <c r="AB2728" s="11"/>
      <c r="AC2728" s="105"/>
      <c r="AD2728" s="11" t="b">
        <v>0</v>
      </c>
      <c r="AE2728" s="105"/>
      <c r="AF2728" s="11"/>
      <c r="AG2728" s="11"/>
      <c r="AH2728" s="11"/>
      <c r="AI2728" s="11"/>
    </row>
    <row r="2729" ht="12.5" spans="3:35">
      <c r="C2729" s="19"/>
      <c r="D2729" s="19"/>
      <c r="H2729" s="105"/>
      <c r="I2729" s="126"/>
      <c r="J2729" s="11"/>
      <c r="K2729" s="108"/>
      <c r="L2729" s="11"/>
      <c r="M2729" s="105"/>
      <c r="N2729" s="105"/>
      <c r="O2729" s="11"/>
      <c r="P2729" s="11"/>
      <c r="Q2729" s="105"/>
      <c r="R2729" s="105"/>
      <c r="S2729" s="105"/>
      <c r="T2729" s="105"/>
      <c r="U2729" s="105"/>
      <c r="V2729" s="105"/>
      <c r="W2729" s="105"/>
      <c r="X2729" s="11"/>
      <c r="Y2729" s="11"/>
      <c r="Z2729" s="105"/>
      <c r="AA2729" s="11"/>
      <c r="AB2729" s="11"/>
      <c r="AC2729" s="105"/>
      <c r="AD2729" s="11" t="b">
        <v>0</v>
      </c>
      <c r="AE2729" s="105"/>
      <c r="AF2729" s="11"/>
      <c r="AG2729" s="11"/>
      <c r="AH2729" s="11"/>
      <c r="AI2729" s="11"/>
    </row>
    <row r="2730" ht="12.5" spans="3:35">
      <c r="C2730" s="19"/>
      <c r="D2730" s="19"/>
      <c r="H2730" s="105"/>
      <c r="I2730" s="126"/>
      <c r="J2730" s="11"/>
      <c r="K2730" s="108"/>
      <c r="L2730" s="11"/>
      <c r="M2730" s="105"/>
      <c r="N2730" s="105"/>
      <c r="O2730" s="11"/>
      <c r="P2730" s="11"/>
      <c r="Q2730" s="105"/>
      <c r="R2730" s="105"/>
      <c r="S2730" s="105"/>
      <c r="T2730" s="105"/>
      <c r="U2730" s="105"/>
      <c r="V2730" s="105"/>
      <c r="W2730" s="105"/>
      <c r="X2730" s="11"/>
      <c r="Y2730" s="11"/>
      <c r="Z2730" s="105"/>
      <c r="AA2730" s="11"/>
      <c r="AB2730" s="11"/>
      <c r="AC2730" s="105"/>
      <c r="AD2730" s="11" t="b">
        <v>0</v>
      </c>
      <c r="AE2730" s="105"/>
      <c r="AF2730" s="11"/>
      <c r="AG2730" s="11"/>
      <c r="AH2730" s="11"/>
      <c r="AI2730" s="11"/>
    </row>
    <row r="2731" ht="12.5" spans="3:35">
      <c r="C2731" s="19"/>
      <c r="D2731" s="19"/>
      <c r="H2731" s="105"/>
      <c r="I2731" s="126"/>
      <c r="J2731" s="11"/>
      <c r="K2731" s="108"/>
      <c r="L2731" s="11"/>
      <c r="M2731" s="105"/>
      <c r="N2731" s="105"/>
      <c r="O2731" s="11"/>
      <c r="P2731" s="11"/>
      <c r="Q2731" s="105"/>
      <c r="R2731" s="105"/>
      <c r="S2731" s="105"/>
      <c r="T2731" s="105"/>
      <c r="U2731" s="105"/>
      <c r="V2731" s="105"/>
      <c r="W2731" s="105"/>
      <c r="X2731" s="11"/>
      <c r="Y2731" s="11"/>
      <c r="Z2731" s="105"/>
      <c r="AA2731" s="11"/>
      <c r="AB2731" s="11"/>
      <c r="AC2731" s="105"/>
      <c r="AD2731" s="11" t="b">
        <v>0</v>
      </c>
      <c r="AE2731" s="105"/>
      <c r="AF2731" s="11"/>
      <c r="AG2731" s="11"/>
      <c r="AH2731" s="11"/>
      <c r="AI2731" s="11"/>
    </row>
    <row r="2732" ht="12.5" spans="3:35">
      <c r="C2732" s="19"/>
      <c r="D2732" s="19"/>
      <c r="H2732" s="105"/>
      <c r="I2732" s="126"/>
      <c r="J2732" s="11"/>
      <c r="K2732" s="108"/>
      <c r="L2732" s="11"/>
      <c r="M2732" s="105"/>
      <c r="N2732" s="105"/>
      <c r="O2732" s="11"/>
      <c r="P2732" s="11"/>
      <c r="Q2732" s="105"/>
      <c r="R2732" s="105"/>
      <c r="S2732" s="105"/>
      <c r="T2732" s="105"/>
      <c r="U2732" s="105"/>
      <c r="V2732" s="105"/>
      <c r="W2732" s="105"/>
      <c r="X2732" s="11"/>
      <c r="Y2732" s="11"/>
      <c r="Z2732" s="105"/>
      <c r="AA2732" s="11"/>
      <c r="AB2732" s="11"/>
      <c r="AC2732" s="105"/>
      <c r="AD2732" s="11" t="b">
        <v>0</v>
      </c>
      <c r="AE2732" s="105"/>
      <c r="AF2732" s="11"/>
      <c r="AG2732" s="11"/>
      <c r="AH2732" s="11"/>
      <c r="AI2732" s="11"/>
    </row>
    <row r="2733" ht="12.5" spans="3:35">
      <c r="C2733" s="19"/>
      <c r="D2733" s="19"/>
      <c r="H2733" s="105"/>
      <c r="I2733" s="126"/>
      <c r="J2733" s="11"/>
      <c r="K2733" s="108"/>
      <c r="L2733" s="11"/>
      <c r="M2733" s="105"/>
      <c r="N2733" s="105"/>
      <c r="O2733" s="11"/>
      <c r="P2733" s="11"/>
      <c r="Q2733" s="105"/>
      <c r="R2733" s="105"/>
      <c r="S2733" s="105"/>
      <c r="T2733" s="105"/>
      <c r="U2733" s="105"/>
      <c r="V2733" s="105"/>
      <c r="W2733" s="105"/>
      <c r="X2733" s="11"/>
      <c r="Y2733" s="11"/>
      <c r="Z2733" s="105"/>
      <c r="AA2733" s="11"/>
      <c r="AB2733" s="11"/>
      <c r="AC2733" s="105"/>
      <c r="AD2733" s="11" t="b">
        <v>0</v>
      </c>
      <c r="AE2733" s="105"/>
      <c r="AF2733" s="11"/>
      <c r="AG2733" s="11"/>
      <c r="AH2733" s="11"/>
      <c r="AI2733" s="11"/>
    </row>
    <row r="2734" ht="12.5" spans="3:35">
      <c r="C2734" s="19"/>
      <c r="D2734" s="19"/>
      <c r="H2734" s="105"/>
      <c r="I2734" s="126"/>
      <c r="J2734" s="11"/>
      <c r="K2734" s="108"/>
      <c r="L2734" s="11"/>
      <c r="M2734" s="105"/>
      <c r="N2734" s="105"/>
      <c r="O2734" s="11"/>
      <c r="P2734" s="11"/>
      <c r="Q2734" s="105"/>
      <c r="R2734" s="105"/>
      <c r="S2734" s="105"/>
      <c r="T2734" s="105"/>
      <c r="U2734" s="105"/>
      <c r="V2734" s="105"/>
      <c r="W2734" s="105"/>
      <c r="X2734" s="11"/>
      <c r="Y2734" s="11"/>
      <c r="Z2734" s="105"/>
      <c r="AA2734" s="11"/>
      <c r="AB2734" s="11"/>
      <c r="AC2734" s="105"/>
      <c r="AD2734" s="11" t="b">
        <v>0</v>
      </c>
      <c r="AE2734" s="105"/>
      <c r="AF2734" s="11"/>
      <c r="AG2734" s="11"/>
      <c r="AH2734" s="11"/>
      <c r="AI2734" s="11"/>
    </row>
    <row r="2735" ht="12.5" spans="3:35">
      <c r="C2735" s="19"/>
      <c r="D2735" s="19"/>
      <c r="H2735" s="105"/>
      <c r="I2735" s="126"/>
      <c r="J2735" s="11"/>
      <c r="K2735" s="108"/>
      <c r="L2735" s="11"/>
      <c r="M2735" s="105"/>
      <c r="N2735" s="105"/>
      <c r="O2735" s="11"/>
      <c r="P2735" s="11"/>
      <c r="Q2735" s="105"/>
      <c r="R2735" s="105"/>
      <c r="S2735" s="105"/>
      <c r="T2735" s="105"/>
      <c r="U2735" s="105"/>
      <c r="V2735" s="105"/>
      <c r="W2735" s="105"/>
      <c r="X2735" s="11"/>
      <c r="Y2735" s="11"/>
      <c r="Z2735" s="105"/>
      <c r="AA2735" s="11"/>
      <c r="AB2735" s="11"/>
      <c r="AC2735" s="105"/>
      <c r="AD2735" s="11" t="b">
        <v>0</v>
      </c>
      <c r="AE2735" s="105"/>
      <c r="AF2735" s="11"/>
      <c r="AG2735" s="11"/>
      <c r="AH2735" s="11"/>
      <c r="AI2735" s="11"/>
    </row>
    <row r="2736" ht="12.5" spans="3:35">
      <c r="C2736" s="19"/>
      <c r="D2736" s="19"/>
      <c r="H2736" s="105"/>
      <c r="I2736" s="126"/>
      <c r="J2736" s="11"/>
      <c r="K2736" s="108"/>
      <c r="L2736" s="11"/>
      <c r="M2736" s="105"/>
      <c r="N2736" s="105"/>
      <c r="O2736" s="11"/>
      <c r="P2736" s="11"/>
      <c r="Q2736" s="105"/>
      <c r="R2736" s="105"/>
      <c r="S2736" s="105"/>
      <c r="T2736" s="105"/>
      <c r="U2736" s="105"/>
      <c r="V2736" s="105"/>
      <c r="W2736" s="105"/>
      <c r="X2736" s="11"/>
      <c r="Y2736" s="11"/>
      <c r="Z2736" s="105"/>
      <c r="AA2736" s="11"/>
      <c r="AB2736" s="11"/>
      <c r="AC2736" s="105"/>
      <c r="AD2736" s="11" t="b">
        <v>0</v>
      </c>
      <c r="AE2736" s="105"/>
      <c r="AF2736" s="11"/>
      <c r="AG2736" s="11"/>
      <c r="AH2736" s="11"/>
      <c r="AI2736" s="11"/>
    </row>
    <row r="2737" ht="12.5" spans="3:35">
      <c r="C2737" s="19"/>
      <c r="D2737" s="19"/>
      <c r="H2737" s="105"/>
      <c r="I2737" s="126"/>
      <c r="J2737" s="11"/>
      <c r="K2737" s="108"/>
      <c r="L2737" s="11"/>
      <c r="M2737" s="105"/>
      <c r="N2737" s="105"/>
      <c r="O2737" s="11"/>
      <c r="P2737" s="11"/>
      <c r="Q2737" s="105"/>
      <c r="R2737" s="105"/>
      <c r="S2737" s="105"/>
      <c r="T2737" s="105"/>
      <c r="U2737" s="105"/>
      <c r="V2737" s="105"/>
      <c r="W2737" s="105"/>
      <c r="X2737" s="11"/>
      <c r="Y2737" s="11"/>
      <c r="Z2737" s="105"/>
      <c r="AA2737" s="11"/>
      <c r="AB2737" s="11"/>
      <c r="AC2737" s="105"/>
      <c r="AD2737" s="11" t="b">
        <v>0</v>
      </c>
      <c r="AE2737" s="105"/>
      <c r="AF2737" s="11"/>
      <c r="AG2737" s="11"/>
      <c r="AH2737" s="11"/>
      <c r="AI2737" s="11"/>
    </row>
    <row r="2738" ht="12.5" spans="3:35">
      <c r="C2738" s="19"/>
      <c r="D2738" s="19"/>
      <c r="H2738" s="105"/>
      <c r="I2738" s="126"/>
      <c r="J2738" s="11"/>
      <c r="K2738" s="108"/>
      <c r="L2738" s="11"/>
      <c r="M2738" s="105"/>
      <c r="N2738" s="105"/>
      <c r="O2738" s="11"/>
      <c r="P2738" s="11"/>
      <c r="Q2738" s="105"/>
      <c r="R2738" s="105"/>
      <c r="S2738" s="105"/>
      <c r="T2738" s="105"/>
      <c r="U2738" s="105"/>
      <c r="V2738" s="105"/>
      <c r="W2738" s="105"/>
      <c r="X2738" s="11"/>
      <c r="Y2738" s="11"/>
      <c r="Z2738" s="105"/>
      <c r="AA2738" s="11"/>
      <c r="AB2738" s="11"/>
      <c r="AC2738" s="105"/>
      <c r="AD2738" s="11" t="b">
        <v>0</v>
      </c>
      <c r="AE2738" s="105"/>
      <c r="AF2738" s="11"/>
      <c r="AG2738" s="11"/>
      <c r="AH2738" s="11"/>
      <c r="AI2738" s="11"/>
    </row>
    <row r="2739" ht="12.5" spans="3:35">
      <c r="C2739" s="19"/>
      <c r="D2739" s="19"/>
      <c r="H2739" s="105"/>
      <c r="I2739" s="126"/>
      <c r="J2739" s="11"/>
      <c r="K2739" s="108"/>
      <c r="L2739" s="11"/>
      <c r="M2739" s="105"/>
      <c r="N2739" s="105"/>
      <c r="O2739" s="11"/>
      <c r="P2739" s="11"/>
      <c r="Q2739" s="105"/>
      <c r="R2739" s="105"/>
      <c r="S2739" s="105"/>
      <c r="T2739" s="105"/>
      <c r="U2739" s="105"/>
      <c r="V2739" s="105"/>
      <c r="W2739" s="105"/>
      <c r="X2739" s="11"/>
      <c r="Y2739" s="11"/>
      <c r="Z2739" s="105"/>
      <c r="AA2739" s="11"/>
      <c r="AB2739" s="11"/>
      <c r="AC2739" s="105"/>
      <c r="AD2739" s="11" t="b">
        <v>0</v>
      </c>
      <c r="AE2739" s="105"/>
      <c r="AF2739" s="11"/>
      <c r="AG2739" s="11"/>
      <c r="AH2739" s="11"/>
      <c r="AI2739" s="11"/>
    </row>
    <row r="2740" ht="12.5" spans="3:35">
      <c r="C2740" s="19"/>
      <c r="D2740" s="19"/>
      <c r="H2740" s="105"/>
      <c r="I2740" s="126"/>
      <c r="J2740" s="11"/>
      <c r="K2740" s="108"/>
      <c r="L2740" s="11"/>
      <c r="M2740" s="105"/>
      <c r="N2740" s="105"/>
      <c r="O2740" s="11"/>
      <c r="P2740" s="11"/>
      <c r="Q2740" s="105"/>
      <c r="R2740" s="105"/>
      <c r="S2740" s="105"/>
      <c r="T2740" s="105"/>
      <c r="U2740" s="105"/>
      <c r="V2740" s="105"/>
      <c r="W2740" s="105"/>
      <c r="X2740" s="11"/>
      <c r="Y2740" s="11"/>
      <c r="Z2740" s="105"/>
      <c r="AA2740" s="11"/>
      <c r="AB2740" s="11"/>
      <c r="AC2740" s="105"/>
      <c r="AD2740" s="11" t="b">
        <v>0</v>
      </c>
      <c r="AE2740" s="105"/>
      <c r="AF2740" s="11"/>
      <c r="AG2740" s="11"/>
      <c r="AH2740" s="11"/>
      <c r="AI2740" s="11"/>
    </row>
    <row r="2741" ht="12.5" spans="3:35">
      <c r="C2741" s="19"/>
      <c r="D2741" s="19"/>
      <c r="H2741" s="105"/>
      <c r="I2741" s="126"/>
      <c r="J2741" s="11"/>
      <c r="K2741" s="108"/>
      <c r="L2741" s="11"/>
      <c r="M2741" s="105"/>
      <c r="N2741" s="105"/>
      <c r="O2741" s="11"/>
      <c r="P2741" s="11"/>
      <c r="Q2741" s="105"/>
      <c r="R2741" s="105"/>
      <c r="S2741" s="105"/>
      <c r="T2741" s="105"/>
      <c r="U2741" s="105"/>
      <c r="V2741" s="105"/>
      <c r="W2741" s="105"/>
      <c r="X2741" s="11"/>
      <c r="Y2741" s="11"/>
      <c r="Z2741" s="105"/>
      <c r="AA2741" s="11"/>
      <c r="AB2741" s="11"/>
      <c r="AC2741" s="105"/>
      <c r="AD2741" s="11" t="b">
        <v>0</v>
      </c>
      <c r="AE2741" s="105"/>
      <c r="AF2741" s="11"/>
      <c r="AG2741" s="11"/>
      <c r="AH2741" s="11"/>
      <c r="AI2741" s="11"/>
    </row>
    <row r="2742" ht="12.5" spans="3:35">
      <c r="C2742" s="19"/>
      <c r="D2742" s="19"/>
      <c r="H2742" s="105"/>
      <c r="I2742" s="126"/>
      <c r="J2742" s="11"/>
      <c r="K2742" s="108"/>
      <c r="L2742" s="11"/>
      <c r="M2742" s="105"/>
      <c r="N2742" s="105"/>
      <c r="O2742" s="11"/>
      <c r="P2742" s="11"/>
      <c r="Q2742" s="105"/>
      <c r="R2742" s="105"/>
      <c r="S2742" s="105"/>
      <c r="T2742" s="105"/>
      <c r="U2742" s="105"/>
      <c r="V2742" s="105"/>
      <c r="W2742" s="105"/>
      <c r="X2742" s="11"/>
      <c r="Y2742" s="11"/>
      <c r="Z2742" s="105"/>
      <c r="AA2742" s="11"/>
      <c r="AB2742" s="11"/>
      <c r="AC2742" s="105"/>
      <c r="AD2742" s="11" t="b">
        <v>0</v>
      </c>
      <c r="AE2742" s="105"/>
      <c r="AF2742" s="11"/>
      <c r="AG2742" s="11"/>
      <c r="AH2742" s="11"/>
      <c r="AI2742" s="11"/>
    </row>
    <row r="2743" ht="12.5" spans="3:35">
      <c r="C2743" s="19"/>
      <c r="D2743" s="19"/>
      <c r="H2743" s="105"/>
      <c r="I2743" s="126"/>
      <c r="J2743" s="11"/>
      <c r="K2743" s="108"/>
      <c r="L2743" s="11"/>
      <c r="M2743" s="105"/>
      <c r="N2743" s="105"/>
      <c r="O2743" s="11"/>
      <c r="P2743" s="11"/>
      <c r="Q2743" s="105"/>
      <c r="R2743" s="105"/>
      <c r="S2743" s="105"/>
      <c r="T2743" s="105"/>
      <c r="U2743" s="105"/>
      <c r="V2743" s="105"/>
      <c r="W2743" s="105"/>
      <c r="X2743" s="11"/>
      <c r="Y2743" s="11"/>
      <c r="Z2743" s="105"/>
      <c r="AA2743" s="11"/>
      <c r="AB2743" s="11"/>
      <c r="AC2743" s="105"/>
      <c r="AD2743" s="11" t="b">
        <v>0</v>
      </c>
      <c r="AE2743" s="105"/>
      <c r="AF2743" s="11"/>
      <c r="AG2743" s="11"/>
      <c r="AH2743" s="11"/>
      <c r="AI2743" s="11"/>
    </row>
    <row r="2744" ht="12.5" spans="3:35">
      <c r="C2744" s="19"/>
      <c r="D2744" s="19"/>
      <c r="H2744" s="105"/>
      <c r="I2744" s="126"/>
      <c r="J2744" s="11"/>
      <c r="K2744" s="108"/>
      <c r="L2744" s="11"/>
      <c r="M2744" s="105"/>
      <c r="N2744" s="105"/>
      <c r="O2744" s="11"/>
      <c r="P2744" s="11"/>
      <c r="Q2744" s="105"/>
      <c r="R2744" s="105"/>
      <c r="S2744" s="105"/>
      <c r="T2744" s="105"/>
      <c r="U2744" s="105"/>
      <c r="V2744" s="105"/>
      <c r="W2744" s="105"/>
      <c r="X2744" s="11"/>
      <c r="Y2744" s="11"/>
      <c r="Z2744" s="105"/>
      <c r="AA2744" s="11"/>
      <c r="AB2744" s="11"/>
      <c r="AC2744" s="105"/>
      <c r="AD2744" s="11" t="b">
        <v>0</v>
      </c>
      <c r="AE2744" s="105"/>
      <c r="AF2744" s="11"/>
      <c r="AG2744" s="11"/>
      <c r="AH2744" s="11"/>
      <c r="AI2744" s="11"/>
    </row>
    <row r="2745" ht="12.5" spans="3:35">
      <c r="C2745" s="19"/>
      <c r="D2745" s="19"/>
      <c r="H2745" s="105"/>
      <c r="I2745" s="126"/>
      <c r="J2745" s="11"/>
      <c r="K2745" s="108"/>
      <c r="L2745" s="11"/>
      <c r="M2745" s="105"/>
      <c r="N2745" s="105"/>
      <c r="O2745" s="11"/>
      <c r="P2745" s="11"/>
      <c r="Q2745" s="105"/>
      <c r="R2745" s="105"/>
      <c r="S2745" s="105"/>
      <c r="T2745" s="105"/>
      <c r="U2745" s="105"/>
      <c r="V2745" s="105"/>
      <c r="W2745" s="105"/>
      <c r="X2745" s="11"/>
      <c r="Y2745" s="11"/>
      <c r="Z2745" s="105"/>
      <c r="AA2745" s="11"/>
      <c r="AB2745" s="11"/>
      <c r="AC2745" s="105"/>
      <c r="AD2745" s="11" t="b">
        <v>0</v>
      </c>
      <c r="AE2745" s="105"/>
      <c r="AF2745" s="11"/>
      <c r="AG2745" s="11"/>
      <c r="AH2745" s="11"/>
      <c r="AI2745" s="11"/>
    </row>
    <row r="2746" ht="12.5" spans="3:35">
      <c r="C2746" s="19"/>
      <c r="D2746" s="19"/>
      <c r="H2746" s="105"/>
      <c r="I2746" s="126"/>
      <c r="J2746" s="11"/>
      <c r="K2746" s="108"/>
      <c r="L2746" s="11"/>
      <c r="M2746" s="105"/>
      <c r="N2746" s="105"/>
      <c r="O2746" s="11"/>
      <c r="P2746" s="11"/>
      <c r="Q2746" s="105"/>
      <c r="R2746" s="105"/>
      <c r="S2746" s="105"/>
      <c r="T2746" s="105"/>
      <c r="U2746" s="105"/>
      <c r="V2746" s="105"/>
      <c r="W2746" s="105"/>
      <c r="X2746" s="11"/>
      <c r="Y2746" s="11"/>
      <c r="Z2746" s="105"/>
      <c r="AA2746" s="11"/>
      <c r="AB2746" s="11"/>
      <c r="AC2746" s="105"/>
      <c r="AD2746" s="11" t="b">
        <v>0</v>
      </c>
      <c r="AE2746" s="105"/>
      <c r="AF2746" s="11"/>
      <c r="AG2746" s="11"/>
      <c r="AH2746" s="11"/>
      <c r="AI2746" s="11"/>
    </row>
    <row r="2747" ht="12.5" spans="3:35">
      <c r="C2747" s="19"/>
      <c r="D2747" s="19"/>
      <c r="H2747" s="105"/>
      <c r="I2747" s="126"/>
      <c r="J2747" s="11"/>
      <c r="K2747" s="108"/>
      <c r="L2747" s="11"/>
      <c r="M2747" s="105"/>
      <c r="N2747" s="105"/>
      <c r="O2747" s="11"/>
      <c r="P2747" s="11"/>
      <c r="Q2747" s="105"/>
      <c r="R2747" s="105"/>
      <c r="S2747" s="105"/>
      <c r="T2747" s="105"/>
      <c r="U2747" s="105"/>
      <c r="V2747" s="105"/>
      <c r="W2747" s="105"/>
      <c r="X2747" s="11"/>
      <c r="Y2747" s="11"/>
      <c r="Z2747" s="105"/>
      <c r="AA2747" s="11"/>
      <c r="AB2747" s="11"/>
      <c r="AC2747" s="105"/>
      <c r="AD2747" s="11" t="b">
        <v>0</v>
      </c>
      <c r="AE2747" s="105"/>
      <c r="AF2747" s="11"/>
      <c r="AG2747" s="11"/>
      <c r="AH2747" s="11"/>
      <c r="AI2747" s="11"/>
    </row>
    <row r="2748" ht="12.5" spans="3:35">
      <c r="C2748" s="19"/>
      <c r="D2748" s="19"/>
      <c r="H2748" s="105"/>
      <c r="I2748" s="126"/>
      <c r="J2748" s="11"/>
      <c r="K2748" s="108"/>
      <c r="L2748" s="11"/>
      <c r="M2748" s="105"/>
      <c r="N2748" s="105"/>
      <c r="O2748" s="11"/>
      <c r="P2748" s="11"/>
      <c r="Q2748" s="105"/>
      <c r="R2748" s="105"/>
      <c r="S2748" s="105"/>
      <c r="T2748" s="105"/>
      <c r="U2748" s="105"/>
      <c r="V2748" s="105"/>
      <c r="W2748" s="105"/>
      <c r="X2748" s="11"/>
      <c r="Y2748" s="11"/>
      <c r="Z2748" s="105"/>
      <c r="AA2748" s="11"/>
      <c r="AB2748" s="11"/>
      <c r="AC2748" s="105"/>
      <c r="AD2748" s="11" t="b">
        <v>0</v>
      </c>
      <c r="AE2748" s="105"/>
      <c r="AF2748" s="11"/>
      <c r="AG2748" s="11"/>
      <c r="AH2748" s="11"/>
      <c r="AI2748" s="11"/>
    </row>
    <row r="2749" ht="12.5" spans="3:35">
      <c r="C2749" s="19"/>
      <c r="D2749" s="19"/>
      <c r="H2749" s="105"/>
      <c r="I2749" s="126"/>
      <c r="J2749" s="11"/>
      <c r="K2749" s="108"/>
      <c r="L2749" s="11"/>
      <c r="M2749" s="105"/>
      <c r="N2749" s="105"/>
      <c r="O2749" s="11"/>
      <c r="P2749" s="11"/>
      <c r="Q2749" s="105"/>
      <c r="R2749" s="105"/>
      <c r="S2749" s="105"/>
      <c r="T2749" s="105"/>
      <c r="U2749" s="105"/>
      <c r="V2749" s="105"/>
      <c r="W2749" s="105"/>
      <c r="X2749" s="11"/>
      <c r="Y2749" s="11"/>
      <c r="Z2749" s="105"/>
      <c r="AA2749" s="11"/>
      <c r="AB2749" s="11"/>
      <c r="AC2749" s="105"/>
      <c r="AD2749" s="11" t="b">
        <v>0</v>
      </c>
      <c r="AE2749" s="105"/>
      <c r="AF2749" s="11"/>
      <c r="AG2749" s="11"/>
      <c r="AH2749" s="11"/>
      <c r="AI2749" s="11"/>
    </row>
    <row r="2750" ht="12.5" spans="3:35">
      <c r="C2750" s="19"/>
      <c r="D2750" s="19"/>
      <c r="H2750" s="105"/>
      <c r="I2750" s="126"/>
      <c r="J2750" s="11"/>
      <c r="K2750" s="108"/>
      <c r="L2750" s="11"/>
      <c r="M2750" s="105"/>
      <c r="N2750" s="105"/>
      <c r="O2750" s="11"/>
      <c r="P2750" s="11"/>
      <c r="Q2750" s="105"/>
      <c r="R2750" s="105"/>
      <c r="S2750" s="105"/>
      <c r="T2750" s="105"/>
      <c r="U2750" s="105"/>
      <c r="V2750" s="105"/>
      <c r="W2750" s="105"/>
      <c r="X2750" s="11"/>
      <c r="Y2750" s="11"/>
      <c r="Z2750" s="105"/>
      <c r="AA2750" s="11"/>
      <c r="AB2750" s="11"/>
      <c r="AC2750" s="105"/>
      <c r="AD2750" s="11" t="b">
        <v>0</v>
      </c>
      <c r="AE2750" s="105"/>
      <c r="AF2750" s="11"/>
      <c r="AG2750" s="11"/>
      <c r="AH2750" s="11"/>
      <c r="AI2750" s="11"/>
    </row>
    <row r="2751" ht="12.5" spans="3:35">
      <c r="C2751" s="19"/>
      <c r="D2751" s="19"/>
      <c r="H2751" s="105"/>
      <c r="I2751" s="126"/>
      <c r="J2751" s="11"/>
      <c r="K2751" s="108"/>
      <c r="L2751" s="11"/>
      <c r="M2751" s="105"/>
      <c r="N2751" s="105"/>
      <c r="O2751" s="11"/>
      <c r="P2751" s="11"/>
      <c r="Q2751" s="105"/>
      <c r="R2751" s="105"/>
      <c r="S2751" s="105"/>
      <c r="T2751" s="105"/>
      <c r="U2751" s="105"/>
      <c r="V2751" s="105"/>
      <c r="W2751" s="105"/>
      <c r="X2751" s="11"/>
      <c r="Y2751" s="11"/>
      <c r="Z2751" s="105"/>
      <c r="AA2751" s="11"/>
      <c r="AB2751" s="11"/>
      <c r="AC2751" s="105"/>
      <c r="AD2751" s="11" t="b">
        <v>0</v>
      </c>
      <c r="AE2751" s="105"/>
      <c r="AF2751" s="11"/>
      <c r="AG2751" s="11"/>
      <c r="AH2751" s="11"/>
      <c r="AI2751" s="11"/>
    </row>
    <row r="2752" ht="12.5" spans="3:35">
      <c r="C2752" s="19"/>
      <c r="D2752" s="19"/>
      <c r="H2752" s="105"/>
      <c r="I2752" s="126"/>
      <c r="J2752" s="11"/>
      <c r="K2752" s="108"/>
      <c r="L2752" s="11"/>
      <c r="M2752" s="105"/>
      <c r="N2752" s="105"/>
      <c r="O2752" s="11"/>
      <c r="P2752" s="11"/>
      <c r="Q2752" s="105"/>
      <c r="R2752" s="105"/>
      <c r="S2752" s="105"/>
      <c r="T2752" s="105"/>
      <c r="U2752" s="105"/>
      <c r="V2752" s="105"/>
      <c r="W2752" s="105"/>
      <c r="X2752" s="11"/>
      <c r="Y2752" s="11"/>
      <c r="Z2752" s="105"/>
      <c r="AA2752" s="11"/>
      <c r="AB2752" s="11"/>
      <c r="AC2752" s="105"/>
      <c r="AD2752" s="11" t="b">
        <v>0</v>
      </c>
      <c r="AE2752" s="105"/>
      <c r="AF2752" s="11"/>
      <c r="AG2752" s="11"/>
      <c r="AH2752" s="11"/>
      <c r="AI2752" s="11"/>
    </row>
    <row r="2753" ht="12.5" spans="3:35">
      <c r="C2753" s="19"/>
      <c r="D2753" s="19"/>
      <c r="H2753" s="105"/>
      <c r="I2753" s="126"/>
      <c r="J2753" s="11"/>
      <c r="K2753" s="108"/>
      <c r="L2753" s="11"/>
      <c r="M2753" s="105"/>
      <c r="N2753" s="105"/>
      <c r="O2753" s="11"/>
      <c r="P2753" s="11"/>
      <c r="Q2753" s="105"/>
      <c r="R2753" s="105"/>
      <c r="S2753" s="105"/>
      <c r="T2753" s="105"/>
      <c r="U2753" s="105"/>
      <c r="V2753" s="105"/>
      <c r="W2753" s="105"/>
      <c r="X2753" s="11"/>
      <c r="Y2753" s="11"/>
      <c r="Z2753" s="105"/>
      <c r="AA2753" s="11"/>
      <c r="AB2753" s="11"/>
      <c r="AC2753" s="105"/>
      <c r="AD2753" s="11" t="b">
        <v>0</v>
      </c>
      <c r="AE2753" s="105"/>
      <c r="AF2753" s="11"/>
      <c r="AG2753" s="11"/>
      <c r="AH2753" s="11"/>
      <c r="AI2753" s="11"/>
    </row>
    <row r="2754" ht="12.5" spans="3:35">
      <c r="C2754" s="19"/>
      <c r="D2754" s="19"/>
      <c r="H2754" s="105"/>
      <c r="I2754" s="126"/>
      <c r="J2754" s="11"/>
      <c r="K2754" s="108"/>
      <c r="L2754" s="11"/>
      <c r="M2754" s="105"/>
      <c r="N2754" s="105"/>
      <c r="O2754" s="11"/>
      <c r="P2754" s="11"/>
      <c r="Q2754" s="105"/>
      <c r="R2754" s="105"/>
      <c r="S2754" s="105"/>
      <c r="T2754" s="105"/>
      <c r="U2754" s="105"/>
      <c r="V2754" s="105"/>
      <c r="W2754" s="105"/>
      <c r="X2754" s="11"/>
      <c r="Y2754" s="11"/>
      <c r="Z2754" s="105"/>
      <c r="AA2754" s="11"/>
      <c r="AB2754" s="11"/>
      <c r="AC2754" s="105"/>
      <c r="AD2754" s="11" t="b">
        <v>0</v>
      </c>
      <c r="AE2754" s="105"/>
      <c r="AF2754" s="11"/>
      <c r="AG2754" s="11"/>
      <c r="AH2754" s="11"/>
      <c r="AI2754" s="11"/>
    </row>
    <row r="2755" ht="12.5" spans="3:35">
      <c r="C2755" s="19"/>
      <c r="D2755" s="19"/>
      <c r="H2755" s="105"/>
      <c r="I2755" s="126"/>
      <c r="J2755" s="11"/>
      <c r="K2755" s="108"/>
      <c r="L2755" s="11"/>
      <c r="M2755" s="105"/>
      <c r="N2755" s="105"/>
      <c r="O2755" s="11"/>
      <c r="P2755" s="11"/>
      <c r="Q2755" s="105"/>
      <c r="R2755" s="105"/>
      <c r="S2755" s="105"/>
      <c r="T2755" s="105"/>
      <c r="U2755" s="105"/>
      <c r="V2755" s="105"/>
      <c r="W2755" s="105"/>
      <c r="X2755" s="11"/>
      <c r="Y2755" s="11"/>
      <c r="Z2755" s="105"/>
      <c r="AA2755" s="11"/>
      <c r="AB2755" s="11"/>
      <c r="AC2755" s="105"/>
      <c r="AD2755" s="11" t="b">
        <v>0</v>
      </c>
      <c r="AE2755" s="105"/>
      <c r="AF2755" s="11"/>
      <c r="AG2755" s="11"/>
      <c r="AH2755" s="11"/>
      <c r="AI2755" s="11"/>
    </row>
    <row r="2756" ht="12.5" spans="3:35">
      <c r="C2756" s="19"/>
      <c r="D2756" s="19"/>
      <c r="H2756" s="105"/>
      <c r="I2756" s="126"/>
      <c r="J2756" s="11"/>
      <c r="K2756" s="108"/>
      <c r="L2756" s="11"/>
      <c r="M2756" s="105"/>
      <c r="N2756" s="105"/>
      <c r="O2756" s="11"/>
      <c r="P2756" s="11"/>
      <c r="Q2756" s="105"/>
      <c r="R2756" s="105"/>
      <c r="S2756" s="105"/>
      <c r="T2756" s="105"/>
      <c r="U2756" s="105"/>
      <c r="V2756" s="105"/>
      <c r="W2756" s="105"/>
      <c r="X2756" s="11"/>
      <c r="Y2756" s="11"/>
      <c r="Z2756" s="105"/>
      <c r="AA2756" s="11"/>
      <c r="AB2756" s="11"/>
      <c r="AC2756" s="105"/>
      <c r="AD2756" s="11" t="b">
        <v>0</v>
      </c>
      <c r="AE2756" s="105"/>
      <c r="AF2756" s="11"/>
      <c r="AG2756" s="11"/>
      <c r="AH2756" s="11"/>
      <c r="AI2756" s="11"/>
    </row>
    <row r="2757" ht="12.5" spans="3:35">
      <c r="C2757" s="19"/>
      <c r="D2757" s="19"/>
      <c r="H2757" s="105"/>
      <c r="I2757" s="126"/>
      <c r="J2757" s="11"/>
      <c r="K2757" s="108"/>
      <c r="L2757" s="11"/>
      <c r="M2757" s="105"/>
      <c r="N2757" s="105"/>
      <c r="O2757" s="11"/>
      <c r="P2757" s="11"/>
      <c r="Q2757" s="105"/>
      <c r="R2757" s="105"/>
      <c r="S2757" s="105"/>
      <c r="T2757" s="105"/>
      <c r="U2757" s="105"/>
      <c r="V2757" s="105"/>
      <c r="W2757" s="105"/>
      <c r="X2757" s="11"/>
      <c r="Y2757" s="11"/>
      <c r="Z2757" s="105"/>
      <c r="AA2757" s="11"/>
      <c r="AB2757" s="11"/>
      <c r="AC2757" s="105"/>
      <c r="AD2757" s="11" t="b">
        <v>0</v>
      </c>
      <c r="AE2757" s="105"/>
      <c r="AF2757" s="11"/>
      <c r="AG2757" s="11"/>
      <c r="AH2757" s="11"/>
      <c r="AI2757" s="11"/>
    </row>
    <row r="2758" ht="12.5" spans="3:35">
      <c r="C2758" s="19"/>
      <c r="D2758" s="19"/>
      <c r="H2758" s="105"/>
      <c r="I2758" s="126"/>
      <c r="J2758" s="11"/>
      <c r="K2758" s="108"/>
      <c r="L2758" s="11"/>
      <c r="M2758" s="105"/>
      <c r="N2758" s="105"/>
      <c r="O2758" s="11"/>
      <c r="P2758" s="11"/>
      <c r="Q2758" s="105"/>
      <c r="R2758" s="105"/>
      <c r="S2758" s="105"/>
      <c r="T2758" s="105"/>
      <c r="U2758" s="105"/>
      <c r="V2758" s="105"/>
      <c r="W2758" s="105"/>
      <c r="X2758" s="11"/>
      <c r="Y2758" s="11"/>
      <c r="Z2758" s="105"/>
      <c r="AA2758" s="11"/>
      <c r="AB2758" s="11"/>
      <c r="AC2758" s="105"/>
      <c r="AD2758" s="11" t="b">
        <v>0</v>
      </c>
      <c r="AE2758" s="105"/>
      <c r="AF2758" s="11"/>
      <c r="AG2758" s="11"/>
      <c r="AH2758" s="11"/>
      <c r="AI2758" s="11"/>
    </row>
    <row r="2759" ht="12.5" spans="3:35">
      <c r="C2759" s="19"/>
      <c r="D2759" s="19"/>
      <c r="H2759" s="105"/>
      <c r="I2759" s="126"/>
      <c r="J2759" s="11"/>
      <c r="K2759" s="108"/>
      <c r="L2759" s="11"/>
      <c r="M2759" s="105"/>
      <c r="N2759" s="105"/>
      <c r="O2759" s="11"/>
      <c r="P2759" s="11"/>
      <c r="Q2759" s="105"/>
      <c r="R2759" s="105"/>
      <c r="S2759" s="105"/>
      <c r="T2759" s="105"/>
      <c r="U2759" s="105"/>
      <c r="V2759" s="105"/>
      <c r="W2759" s="105"/>
      <c r="X2759" s="11"/>
      <c r="Y2759" s="11"/>
      <c r="Z2759" s="105"/>
      <c r="AA2759" s="11"/>
      <c r="AB2759" s="11"/>
      <c r="AC2759" s="105"/>
      <c r="AD2759" s="11" t="b">
        <v>0</v>
      </c>
      <c r="AE2759" s="105"/>
      <c r="AF2759" s="11"/>
      <c r="AG2759" s="11"/>
      <c r="AH2759" s="11"/>
      <c r="AI2759" s="11"/>
    </row>
    <row r="2760" ht="12.5" spans="3:35">
      <c r="C2760" s="19"/>
      <c r="D2760" s="19"/>
      <c r="H2760" s="105"/>
      <c r="I2760" s="126"/>
      <c r="J2760" s="11"/>
      <c r="K2760" s="108"/>
      <c r="L2760" s="11"/>
      <c r="M2760" s="105"/>
      <c r="N2760" s="105"/>
      <c r="O2760" s="11"/>
      <c r="P2760" s="11"/>
      <c r="Q2760" s="105"/>
      <c r="R2760" s="105"/>
      <c r="S2760" s="105"/>
      <c r="T2760" s="105"/>
      <c r="U2760" s="105"/>
      <c r="V2760" s="105"/>
      <c r="W2760" s="105"/>
      <c r="X2760" s="11"/>
      <c r="Y2760" s="11"/>
      <c r="Z2760" s="105"/>
      <c r="AA2760" s="11"/>
      <c r="AB2760" s="11"/>
      <c r="AC2760" s="105"/>
      <c r="AD2760" s="11" t="b">
        <v>0</v>
      </c>
      <c r="AE2760" s="105"/>
      <c r="AF2760" s="11"/>
      <c r="AG2760" s="11"/>
      <c r="AH2760" s="11"/>
      <c r="AI2760" s="11"/>
    </row>
    <row r="2761" ht="12.5" spans="3:35">
      <c r="C2761" s="19"/>
      <c r="D2761" s="19"/>
      <c r="H2761" s="105"/>
      <c r="I2761" s="126"/>
      <c r="J2761" s="11"/>
      <c r="K2761" s="108"/>
      <c r="L2761" s="11"/>
      <c r="M2761" s="105"/>
      <c r="N2761" s="105"/>
      <c r="O2761" s="11"/>
      <c r="P2761" s="11"/>
      <c r="Q2761" s="105"/>
      <c r="R2761" s="105"/>
      <c r="S2761" s="105"/>
      <c r="T2761" s="105"/>
      <c r="U2761" s="105"/>
      <c r="V2761" s="105"/>
      <c r="W2761" s="105"/>
      <c r="X2761" s="11"/>
      <c r="Y2761" s="11"/>
      <c r="Z2761" s="105"/>
      <c r="AA2761" s="11"/>
      <c r="AB2761" s="11"/>
      <c r="AC2761" s="105"/>
      <c r="AD2761" s="11" t="b">
        <v>0</v>
      </c>
      <c r="AE2761" s="105"/>
      <c r="AF2761" s="11"/>
      <c r="AG2761" s="11"/>
      <c r="AH2761" s="11"/>
      <c r="AI2761" s="11"/>
    </row>
    <row r="2762" ht="12.5" spans="3:35">
      <c r="C2762" s="19"/>
      <c r="D2762" s="19"/>
      <c r="H2762" s="105"/>
      <c r="I2762" s="126"/>
      <c r="J2762" s="11"/>
      <c r="K2762" s="108"/>
      <c r="L2762" s="11"/>
      <c r="M2762" s="105"/>
      <c r="N2762" s="105"/>
      <c r="O2762" s="11"/>
      <c r="P2762" s="11"/>
      <c r="Q2762" s="105"/>
      <c r="R2762" s="105"/>
      <c r="S2762" s="105"/>
      <c r="T2762" s="105"/>
      <c r="U2762" s="105"/>
      <c r="V2762" s="105"/>
      <c r="W2762" s="105"/>
      <c r="X2762" s="11"/>
      <c r="Y2762" s="11"/>
      <c r="Z2762" s="105"/>
      <c r="AA2762" s="11"/>
      <c r="AB2762" s="11"/>
      <c r="AC2762" s="105"/>
      <c r="AD2762" s="11" t="b">
        <v>0</v>
      </c>
      <c r="AE2762" s="105"/>
      <c r="AF2762" s="11"/>
      <c r="AG2762" s="11"/>
      <c r="AH2762" s="11"/>
      <c r="AI2762" s="11"/>
    </row>
    <row r="2763" ht="12.5" spans="3:35">
      <c r="C2763" s="19"/>
      <c r="D2763" s="19"/>
      <c r="H2763" s="105"/>
      <c r="I2763" s="126"/>
      <c r="J2763" s="11"/>
      <c r="K2763" s="108"/>
      <c r="L2763" s="11"/>
      <c r="M2763" s="105"/>
      <c r="N2763" s="105"/>
      <c r="O2763" s="11"/>
      <c r="P2763" s="11"/>
      <c r="Q2763" s="105"/>
      <c r="R2763" s="105"/>
      <c r="S2763" s="105"/>
      <c r="T2763" s="105"/>
      <c r="U2763" s="105"/>
      <c r="V2763" s="105"/>
      <c r="W2763" s="105"/>
      <c r="X2763" s="11"/>
      <c r="Y2763" s="11"/>
      <c r="Z2763" s="105"/>
      <c r="AA2763" s="11"/>
      <c r="AB2763" s="11"/>
      <c r="AC2763" s="105"/>
      <c r="AD2763" s="11" t="b">
        <v>0</v>
      </c>
      <c r="AE2763" s="105"/>
      <c r="AF2763" s="11"/>
      <c r="AG2763" s="11"/>
      <c r="AH2763" s="11"/>
      <c r="AI2763" s="11"/>
    </row>
    <row r="2764" ht="12.5" spans="3:35">
      <c r="C2764" s="19"/>
      <c r="D2764" s="19"/>
      <c r="H2764" s="105"/>
      <c r="I2764" s="126"/>
      <c r="J2764" s="11"/>
      <c r="K2764" s="108"/>
      <c r="L2764" s="11"/>
      <c r="M2764" s="105"/>
      <c r="N2764" s="105"/>
      <c r="O2764" s="11"/>
      <c r="P2764" s="11"/>
      <c r="Q2764" s="105"/>
      <c r="R2764" s="105"/>
      <c r="S2764" s="105"/>
      <c r="T2764" s="105"/>
      <c r="U2764" s="105"/>
      <c r="V2764" s="105"/>
      <c r="W2764" s="105"/>
      <c r="X2764" s="11"/>
      <c r="Y2764" s="11"/>
      <c r="Z2764" s="105"/>
      <c r="AA2764" s="11"/>
      <c r="AB2764" s="11"/>
      <c r="AC2764" s="105"/>
      <c r="AD2764" s="11" t="b">
        <v>0</v>
      </c>
      <c r="AE2764" s="105"/>
      <c r="AF2764" s="11"/>
      <c r="AG2764" s="11"/>
      <c r="AH2764" s="11"/>
      <c r="AI2764" s="11"/>
    </row>
    <row r="2765" ht="12.5" spans="3:35">
      <c r="C2765" s="19"/>
      <c r="D2765" s="19"/>
      <c r="H2765" s="105"/>
      <c r="I2765" s="126"/>
      <c r="J2765" s="11"/>
      <c r="K2765" s="108"/>
      <c r="L2765" s="11"/>
      <c r="M2765" s="105"/>
      <c r="N2765" s="105"/>
      <c r="O2765" s="11"/>
      <c r="P2765" s="11"/>
      <c r="Q2765" s="105"/>
      <c r="R2765" s="105"/>
      <c r="S2765" s="105"/>
      <c r="T2765" s="105"/>
      <c r="U2765" s="105"/>
      <c r="V2765" s="105"/>
      <c r="W2765" s="105"/>
      <c r="X2765" s="11"/>
      <c r="Y2765" s="11"/>
      <c r="Z2765" s="105"/>
      <c r="AA2765" s="11"/>
      <c r="AB2765" s="11"/>
      <c r="AC2765" s="105"/>
      <c r="AD2765" s="11" t="b">
        <v>0</v>
      </c>
      <c r="AE2765" s="105"/>
      <c r="AF2765" s="11"/>
      <c r="AG2765" s="11"/>
      <c r="AH2765" s="11"/>
      <c r="AI2765" s="11"/>
    </row>
    <row r="2766" ht="12.5" spans="3:35">
      <c r="C2766" s="19"/>
      <c r="D2766" s="19"/>
      <c r="H2766" s="105"/>
      <c r="I2766" s="126"/>
      <c r="J2766" s="11"/>
      <c r="K2766" s="108"/>
      <c r="L2766" s="11"/>
      <c r="M2766" s="105"/>
      <c r="N2766" s="105"/>
      <c r="O2766" s="11"/>
      <c r="P2766" s="11"/>
      <c r="Q2766" s="105"/>
      <c r="R2766" s="105"/>
      <c r="S2766" s="105"/>
      <c r="T2766" s="105"/>
      <c r="U2766" s="105"/>
      <c r="V2766" s="105"/>
      <c r="W2766" s="105"/>
      <c r="X2766" s="11"/>
      <c r="Y2766" s="11"/>
      <c r="Z2766" s="105"/>
      <c r="AA2766" s="11"/>
      <c r="AB2766" s="11"/>
      <c r="AC2766" s="105"/>
      <c r="AD2766" s="11" t="b">
        <v>0</v>
      </c>
      <c r="AE2766" s="105"/>
      <c r="AF2766" s="11"/>
      <c r="AG2766" s="11"/>
      <c r="AH2766" s="11"/>
      <c r="AI2766" s="11"/>
    </row>
    <row r="2767" ht="12.5" spans="3:35">
      <c r="C2767" s="19"/>
      <c r="D2767" s="19"/>
      <c r="H2767" s="105"/>
      <c r="I2767" s="126"/>
      <c r="J2767" s="11"/>
      <c r="K2767" s="108"/>
      <c r="L2767" s="11"/>
      <c r="M2767" s="105"/>
      <c r="N2767" s="105"/>
      <c r="O2767" s="11"/>
      <c r="P2767" s="11"/>
      <c r="Q2767" s="105"/>
      <c r="R2767" s="105"/>
      <c r="S2767" s="105"/>
      <c r="T2767" s="105"/>
      <c r="U2767" s="105"/>
      <c r="V2767" s="105"/>
      <c r="W2767" s="105"/>
      <c r="X2767" s="11"/>
      <c r="Y2767" s="11"/>
      <c r="Z2767" s="105"/>
      <c r="AA2767" s="11"/>
      <c r="AB2767" s="11"/>
      <c r="AC2767" s="105"/>
      <c r="AD2767" s="11" t="b">
        <v>0</v>
      </c>
      <c r="AE2767" s="105"/>
      <c r="AF2767" s="11"/>
      <c r="AG2767" s="11"/>
      <c r="AH2767" s="11"/>
      <c r="AI2767" s="11"/>
    </row>
    <row r="2768" ht="12.5" spans="3:35">
      <c r="C2768" s="19"/>
      <c r="D2768" s="19"/>
      <c r="H2768" s="105"/>
      <c r="I2768" s="126"/>
      <c r="J2768" s="11"/>
      <c r="K2768" s="108"/>
      <c r="L2768" s="11"/>
      <c r="M2768" s="105"/>
      <c r="N2768" s="105"/>
      <c r="O2768" s="11"/>
      <c r="P2768" s="11"/>
      <c r="Q2768" s="105"/>
      <c r="R2768" s="105"/>
      <c r="S2768" s="105"/>
      <c r="T2768" s="105"/>
      <c r="U2768" s="105"/>
      <c r="V2768" s="105"/>
      <c r="W2768" s="105"/>
      <c r="X2768" s="11"/>
      <c r="Y2768" s="11"/>
      <c r="Z2768" s="105"/>
      <c r="AA2768" s="11"/>
      <c r="AB2768" s="11"/>
      <c r="AC2768" s="105"/>
      <c r="AD2768" s="11" t="b">
        <v>0</v>
      </c>
      <c r="AE2768" s="105"/>
      <c r="AF2768" s="11"/>
      <c r="AG2768" s="11"/>
      <c r="AH2768" s="11"/>
      <c r="AI2768" s="11"/>
    </row>
    <row r="2769" ht="12.5" spans="3:35">
      <c r="C2769" s="19"/>
      <c r="D2769" s="19"/>
      <c r="H2769" s="105"/>
      <c r="I2769" s="126"/>
      <c r="J2769" s="11"/>
      <c r="K2769" s="108"/>
      <c r="L2769" s="11"/>
      <c r="M2769" s="105"/>
      <c r="N2769" s="105"/>
      <c r="O2769" s="11"/>
      <c r="P2769" s="11"/>
      <c r="Q2769" s="105"/>
      <c r="R2769" s="105"/>
      <c r="S2769" s="105"/>
      <c r="T2769" s="105"/>
      <c r="U2769" s="105"/>
      <c r="V2769" s="105"/>
      <c r="W2769" s="105"/>
      <c r="X2769" s="11"/>
      <c r="Y2769" s="11"/>
      <c r="Z2769" s="105"/>
      <c r="AA2769" s="11"/>
      <c r="AB2769" s="11"/>
      <c r="AC2769" s="105"/>
      <c r="AD2769" s="11" t="b">
        <v>0</v>
      </c>
      <c r="AE2769" s="105"/>
      <c r="AF2769" s="11"/>
      <c r="AG2769" s="11"/>
      <c r="AH2769" s="11"/>
      <c r="AI2769" s="11"/>
    </row>
    <row r="2770" ht="12.5" spans="3:35">
      <c r="C2770" s="19"/>
      <c r="D2770" s="19"/>
      <c r="H2770" s="105"/>
      <c r="I2770" s="126"/>
      <c r="J2770" s="11"/>
      <c r="K2770" s="108"/>
      <c r="L2770" s="11"/>
      <c r="M2770" s="105"/>
      <c r="N2770" s="105"/>
      <c r="O2770" s="11"/>
      <c r="P2770" s="11"/>
      <c r="Q2770" s="105"/>
      <c r="R2770" s="105"/>
      <c r="S2770" s="105"/>
      <c r="T2770" s="105"/>
      <c r="U2770" s="105"/>
      <c r="V2770" s="105"/>
      <c r="W2770" s="105"/>
      <c r="X2770" s="11"/>
      <c r="Y2770" s="11"/>
      <c r="Z2770" s="105"/>
      <c r="AA2770" s="11"/>
      <c r="AB2770" s="11"/>
      <c r="AC2770" s="105"/>
      <c r="AD2770" s="11" t="b">
        <v>0</v>
      </c>
      <c r="AE2770" s="105"/>
      <c r="AF2770" s="11"/>
      <c r="AG2770" s="11"/>
      <c r="AH2770" s="11"/>
      <c r="AI2770" s="11"/>
    </row>
    <row r="2771" ht="12.5" spans="3:35">
      <c r="C2771" s="19"/>
      <c r="D2771" s="19"/>
      <c r="H2771" s="105"/>
      <c r="I2771" s="126"/>
      <c r="J2771" s="11"/>
      <c r="K2771" s="108"/>
      <c r="L2771" s="11"/>
      <c r="M2771" s="105"/>
      <c r="N2771" s="105"/>
      <c r="O2771" s="11"/>
      <c r="P2771" s="11"/>
      <c r="Q2771" s="105"/>
      <c r="R2771" s="105"/>
      <c r="S2771" s="105"/>
      <c r="T2771" s="105"/>
      <c r="U2771" s="105"/>
      <c r="V2771" s="105"/>
      <c r="W2771" s="105"/>
      <c r="X2771" s="11"/>
      <c r="Y2771" s="11"/>
      <c r="Z2771" s="105"/>
      <c r="AA2771" s="11"/>
      <c r="AB2771" s="11"/>
      <c r="AC2771" s="105"/>
      <c r="AD2771" s="11" t="b">
        <v>0</v>
      </c>
      <c r="AE2771" s="105"/>
      <c r="AF2771" s="11"/>
      <c r="AG2771" s="11"/>
      <c r="AH2771" s="11"/>
      <c r="AI2771" s="11"/>
    </row>
    <row r="2772" ht="12.5" spans="3:35">
      <c r="C2772" s="19"/>
      <c r="D2772" s="19"/>
      <c r="H2772" s="105"/>
      <c r="I2772" s="126"/>
      <c r="J2772" s="11"/>
      <c r="K2772" s="108"/>
      <c r="L2772" s="11"/>
      <c r="M2772" s="105"/>
      <c r="N2772" s="105"/>
      <c r="O2772" s="11"/>
      <c r="P2772" s="11"/>
      <c r="Q2772" s="105"/>
      <c r="R2772" s="105"/>
      <c r="S2772" s="105"/>
      <c r="T2772" s="105"/>
      <c r="U2772" s="105"/>
      <c r="V2772" s="105"/>
      <c r="W2772" s="105"/>
      <c r="X2772" s="11"/>
      <c r="Y2772" s="11"/>
      <c r="Z2772" s="105"/>
      <c r="AA2772" s="11"/>
      <c r="AB2772" s="11"/>
      <c r="AC2772" s="105"/>
      <c r="AD2772" s="11" t="b">
        <v>0</v>
      </c>
      <c r="AE2772" s="105"/>
      <c r="AF2772" s="11"/>
      <c r="AG2772" s="11"/>
      <c r="AH2772" s="11"/>
      <c r="AI2772" s="11"/>
    </row>
    <row r="2773" ht="12.5" spans="3:35">
      <c r="C2773" s="19"/>
      <c r="D2773" s="19"/>
      <c r="H2773" s="105"/>
      <c r="I2773" s="126"/>
      <c r="J2773" s="11"/>
      <c r="K2773" s="108"/>
      <c r="L2773" s="11"/>
      <c r="M2773" s="105"/>
      <c r="N2773" s="105"/>
      <c r="O2773" s="11"/>
      <c r="P2773" s="11"/>
      <c r="Q2773" s="105"/>
      <c r="R2773" s="105"/>
      <c r="S2773" s="105"/>
      <c r="T2773" s="105"/>
      <c r="U2773" s="105"/>
      <c r="V2773" s="105"/>
      <c r="W2773" s="105"/>
      <c r="X2773" s="11"/>
      <c r="Y2773" s="11"/>
      <c r="Z2773" s="105"/>
      <c r="AA2773" s="11"/>
      <c r="AB2773" s="11"/>
      <c r="AC2773" s="105"/>
      <c r="AD2773" s="11" t="b">
        <v>0</v>
      </c>
      <c r="AE2773" s="105"/>
      <c r="AF2773" s="11"/>
      <c r="AG2773" s="11"/>
      <c r="AH2773" s="11"/>
      <c r="AI2773" s="11"/>
    </row>
    <row r="2774" ht="12.5" spans="3:35">
      <c r="C2774" s="19"/>
      <c r="D2774" s="19"/>
      <c r="H2774" s="105"/>
      <c r="I2774" s="126"/>
      <c r="J2774" s="11"/>
      <c r="K2774" s="108"/>
      <c r="L2774" s="11"/>
      <c r="M2774" s="105"/>
      <c r="N2774" s="105"/>
      <c r="O2774" s="11"/>
      <c r="P2774" s="11"/>
      <c r="Q2774" s="105"/>
      <c r="R2774" s="105"/>
      <c r="S2774" s="105"/>
      <c r="T2774" s="105"/>
      <c r="U2774" s="105"/>
      <c r="V2774" s="105"/>
      <c r="W2774" s="105"/>
      <c r="X2774" s="11"/>
      <c r="Y2774" s="11"/>
      <c r="Z2774" s="105"/>
      <c r="AA2774" s="11"/>
      <c r="AB2774" s="11"/>
      <c r="AC2774" s="105"/>
      <c r="AD2774" s="11" t="b">
        <v>0</v>
      </c>
      <c r="AE2774" s="105"/>
      <c r="AF2774" s="11"/>
      <c r="AG2774" s="11"/>
      <c r="AH2774" s="11"/>
      <c r="AI2774" s="11"/>
    </row>
    <row r="2775" ht="12.5" spans="3:35">
      <c r="C2775" s="19"/>
      <c r="D2775" s="19"/>
      <c r="H2775" s="105"/>
      <c r="I2775" s="126"/>
      <c r="J2775" s="11"/>
      <c r="K2775" s="108"/>
      <c r="L2775" s="11"/>
      <c r="M2775" s="105"/>
      <c r="N2775" s="105"/>
      <c r="O2775" s="11"/>
      <c r="P2775" s="11"/>
      <c r="Q2775" s="105"/>
      <c r="R2775" s="105"/>
      <c r="S2775" s="105"/>
      <c r="T2775" s="105"/>
      <c r="U2775" s="105"/>
      <c r="V2775" s="105"/>
      <c r="W2775" s="105"/>
      <c r="X2775" s="11"/>
      <c r="Y2775" s="11"/>
      <c r="Z2775" s="105"/>
      <c r="AA2775" s="11"/>
      <c r="AB2775" s="11"/>
      <c r="AC2775" s="105"/>
      <c r="AD2775" s="11" t="b">
        <v>0</v>
      </c>
      <c r="AE2775" s="105"/>
      <c r="AF2775" s="11"/>
      <c r="AG2775" s="11"/>
      <c r="AH2775" s="11"/>
      <c r="AI2775" s="11"/>
    </row>
    <row r="2776" ht="12.5" spans="3:35">
      <c r="C2776" s="19"/>
      <c r="D2776" s="19"/>
      <c r="H2776" s="105"/>
      <c r="I2776" s="126"/>
      <c r="J2776" s="11"/>
      <c r="K2776" s="108"/>
      <c r="L2776" s="11"/>
      <c r="M2776" s="105"/>
      <c r="N2776" s="105"/>
      <c r="O2776" s="11"/>
      <c r="P2776" s="11"/>
      <c r="Q2776" s="105"/>
      <c r="R2776" s="105"/>
      <c r="S2776" s="105"/>
      <c r="T2776" s="105"/>
      <c r="U2776" s="105"/>
      <c r="V2776" s="105"/>
      <c r="W2776" s="105"/>
      <c r="X2776" s="11"/>
      <c r="Y2776" s="11"/>
      <c r="Z2776" s="105"/>
      <c r="AA2776" s="11"/>
      <c r="AB2776" s="11"/>
      <c r="AC2776" s="105"/>
      <c r="AD2776" s="11" t="b">
        <v>0</v>
      </c>
      <c r="AE2776" s="105"/>
      <c r="AF2776" s="11"/>
      <c r="AG2776" s="11"/>
      <c r="AH2776" s="11"/>
      <c r="AI2776" s="11"/>
    </row>
    <row r="2777" ht="12.5" spans="3:35">
      <c r="C2777" s="19"/>
      <c r="D2777" s="19"/>
      <c r="H2777" s="105"/>
      <c r="I2777" s="126"/>
      <c r="J2777" s="11"/>
      <c r="K2777" s="108"/>
      <c r="L2777" s="11"/>
      <c r="M2777" s="105"/>
      <c r="N2777" s="105"/>
      <c r="O2777" s="11"/>
      <c r="P2777" s="11"/>
      <c r="Q2777" s="105"/>
      <c r="R2777" s="105"/>
      <c r="S2777" s="105"/>
      <c r="T2777" s="105"/>
      <c r="U2777" s="105"/>
      <c r="V2777" s="105"/>
      <c r="W2777" s="105"/>
      <c r="X2777" s="11"/>
      <c r="Y2777" s="11"/>
      <c r="Z2777" s="105"/>
      <c r="AA2777" s="11"/>
      <c r="AB2777" s="11"/>
      <c r="AC2777" s="105"/>
      <c r="AD2777" s="11" t="b">
        <v>0</v>
      </c>
      <c r="AE2777" s="105"/>
      <c r="AF2777" s="11"/>
      <c r="AG2777" s="11"/>
      <c r="AH2777" s="11"/>
      <c r="AI2777" s="11"/>
    </row>
    <row r="2778" ht="12.5" spans="3:35">
      <c r="C2778" s="19"/>
      <c r="D2778" s="19"/>
      <c r="H2778" s="105"/>
      <c r="I2778" s="126"/>
      <c r="J2778" s="11"/>
      <c r="K2778" s="108"/>
      <c r="L2778" s="11"/>
      <c r="M2778" s="105"/>
      <c r="N2778" s="105"/>
      <c r="O2778" s="11"/>
      <c r="P2778" s="11"/>
      <c r="Q2778" s="105"/>
      <c r="R2778" s="105"/>
      <c r="S2778" s="105"/>
      <c r="T2778" s="105"/>
      <c r="U2778" s="105"/>
      <c r="V2778" s="105"/>
      <c r="W2778" s="105"/>
      <c r="X2778" s="11"/>
      <c r="Y2778" s="11"/>
      <c r="Z2778" s="105"/>
      <c r="AA2778" s="11"/>
      <c r="AB2778" s="11"/>
      <c r="AC2778" s="105"/>
      <c r="AD2778" s="11" t="b">
        <v>0</v>
      </c>
      <c r="AE2778" s="105"/>
      <c r="AF2778" s="11"/>
      <c r="AG2778" s="11"/>
      <c r="AH2778" s="11"/>
      <c r="AI2778" s="11"/>
    </row>
    <row r="2779" ht="12.5" spans="3:35">
      <c r="C2779" s="19"/>
      <c r="D2779" s="19"/>
      <c r="H2779" s="105"/>
      <c r="I2779" s="126"/>
      <c r="J2779" s="11"/>
      <c r="K2779" s="108"/>
      <c r="L2779" s="11"/>
      <c r="M2779" s="105"/>
      <c r="N2779" s="105"/>
      <c r="O2779" s="11"/>
      <c r="P2779" s="11"/>
      <c r="Q2779" s="105"/>
      <c r="R2779" s="105"/>
      <c r="S2779" s="105"/>
      <c r="T2779" s="105"/>
      <c r="U2779" s="105"/>
      <c r="V2779" s="105"/>
      <c r="W2779" s="105"/>
      <c r="X2779" s="11"/>
      <c r="Y2779" s="11"/>
      <c r="Z2779" s="105"/>
      <c r="AA2779" s="11"/>
      <c r="AB2779" s="11"/>
      <c r="AC2779" s="105"/>
      <c r="AD2779" s="11" t="b">
        <v>0</v>
      </c>
      <c r="AE2779" s="105"/>
      <c r="AF2779" s="11"/>
      <c r="AG2779" s="11"/>
      <c r="AH2779" s="11"/>
      <c r="AI2779" s="11"/>
    </row>
    <row r="2780" ht="12.5" spans="3:35">
      <c r="C2780" s="19"/>
      <c r="D2780" s="19"/>
      <c r="H2780" s="105"/>
      <c r="I2780" s="126"/>
      <c r="J2780" s="11"/>
      <c r="K2780" s="108"/>
      <c r="L2780" s="11"/>
      <c r="M2780" s="105"/>
      <c r="N2780" s="105"/>
      <c r="O2780" s="11"/>
      <c r="P2780" s="11"/>
      <c r="Q2780" s="105"/>
      <c r="R2780" s="105"/>
      <c r="S2780" s="105"/>
      <c r="T2780" s="105"/>
      <c r="U2780" s="105"/>
      <c r="V2780" s="105"/>
      <c r="W2780" s="105"/>
      <c r="X2780" s="11"/>
      <c r="Y2780" s="11"/>
      <c r="Z2780" s="105"/>
      <c r="AA2780" s="11"/>
      <c r="AB2780" s="11"/>
      <c r="AC2780" s="105"/>
      <c r="AD2780" s="11" t="b">
        <v>0</v>
      </c>
      <c r="AE2780" s="105"/>
      <c r="AF2780" s="11"/>
      <c r="AG2780" s="11"/>
      <c r="AH2780" s="11"/>
      <c r="AI2780" s="11"/>
    </row>
    <row r="2781" ht="12.5" spans="3:35">
      <c r="C2781" s="19"/>
      <c r="D2781" s="19"/>
      <c r="H2781" s="105"/>
      <c r="I2781" s="126"/>
      <c r="J2781" s="11"/>
      <c r="K2781" s="108"/>
      <c r="L2781" s="11"/>
      <c r="M2781" s="105"/>
      <c r="N2781" s="105"/>
      <c r="O2781" s="11"/>
      <c r="P2781" s="11"/>
      <c r="Q2781" s="105"/>
      <c r="R2781" s="105"/>
      <c r="S2781" s="105"/>
      <c r="T2781" s="105"/>
      <c r="U2781" s="105"/>
      <c r="V2781" s="105"/>
      <c r="W2781" s="105"/>
      <c r="X2781" s="11"/>
      <c r="Y2781" s="11"/>
      <c r="Z2781" s="105"/>
      <c r="AA2781" s="11"/>
      <c r="AB2781" s="11"/>
      <c r="AC2781" s="105"/>
      <c r="AD2781" s="11" t="b">
        <v>0</v>
      </c>
      <c r="AE2781" s="105"/>
      <c r="AF2781" s="11"/>
      <c r="AG2781" s="11"/>
      <c r="AH2781" s="11"/>
      <c r="AI2781" s="11"/>
    </row>
    <row r="2782" ht="12.5" spans="3:35">
      <c r="C2782" s="19"/>
      <c r="D2782" s="19"/>
      <c r="H2782" s="105"/>
      <c r="I2782" s="126"/>
      <c r="J2782" s="11"/>
      <c r="K2782" s="108"/>
      <c r="L2782" s="11"/>
      <c r="M2782" s="105"/>
      <c r="N2782" s="105"/>
      <c r="O2782" s="11"/>
      <c r="P2782" s="11"/>
      <c r="Q2782" s="105"/>
      <c r="R2782" s="105"/>
      <c r="S2782" s="105"/>
      <c r="T2782" s="105"/>
      <c r="U2782" s="105"/>
      <c r="V2782" s="105"/>
      <c r="W2782" s="105"/>
      <c r="X2782" s="11"/>
      <c r="Y2782" s="11"/>
      <c r="Z2782" s="105"/>
      <c r="AA2782" s="11"/>
      <c r="AB2782" s="11"/>
      <c r="AC2782" s="105"/>
      <c r="AD2782" s="11" t="b">
        <v>0</v>
      </c>
      <c r="AE2782" s="105"/>
      <c r="AF2782" s="11"/>
      <c r="AG2782" s="11"/>
      <c r="AH2782" s="11"/>
      <c r="AI2782" s="11"/>
    </row>
    <row r="2783" ht="12.5" spans="3:35">
      <c r="C2783" s="19"/>
      <c r="D2783" s="19"/>
      <c r="H2783" s="105"/>
      <c r="I2783" s="126"/>
      <c r="J2783" s="11"/>
      <c r="K2783" s="108"/>
      <c r="L2783" s="11"/>
      <c r="M2783" s="105"/>
      <c r="N2783" s="105"/>
      <c r="O2783" s="11"/>
      <c r="P2783" s="11"/>
      <c r="Q2783" s="105"/>
      <c r="R2783" s="105"/>
      <c r="S2783" s="105"/>
      <c r="T2783" s="105"/>
      <c r="U2783" s="105"/>
      <c r="V2783" s="105"/>
      <c r="W2783" s="105"/>
      <c r="X2783" s="11"/>
      <c r="Y2783" s="11"/>
      <c r="Z2783" s="105"/>
      <c r="AA2783" s="11"/>
      <c r="AB2783" s="11"/>
      <c r="AC2783" s="105"/>
      <c r="AD2783" s="11" t="b">
        <v>0</v>
      </c>
      <c r="AE2783" s="105"/>
      <c r="AF2783" s="11"/>
      <c r="AG2783" s="11"/>
      <c r="AH2783" s="11"/>
      <c r="AI2783" s="11"/>
    </row>
    <row r="2784" ht="12.5" spans="3:35">
      <c r="C2784" s="19"/>
      <c r="D2784" s="19"/>
      <c r="H2784" s="105"/>
      <c r="I2784" s="126"/>
      <c r="J2784" s="11"/>
      <c r="K2784" s="108"/>
      <c r="L2784" s="11"/>
      <c r="M2784" s="105"/>
      <c r="N2784" s="105"/>
      <c r="O2784" s="11"/>
      <c r="P2784" s="11"/>
      <c r="Q2784" s="105"/>
      <c r="R2784" s="105"/>
      <c r="S2784" s="105"/>
      <c r="T2784" s="105"/>
      <c r="U2784" s="105"/>
      <c r="V2784" s="105"/>
      <c r="W2784" s="105"/>
      <c r="X2784" s="11"/>
      <c r="Y2784" s="11"/>
      <c r="Z2784" s="105"/>
      <c r="AA2784" s="11"/>
      <c r="AB2784" s="11"/>
      <c r="AC2784" s="105"/>
      <c r="AD2784" s="11" t="b">
        <v>0</v>
      </c>
      <c r="AE2784" s="105"/>
      <c r="AF2784" s="11"/>
      <c r="AG2784" s="11"/>
      <c r="AH2784" s="11"/>
      <c r="AI2784" s="11"/>
    </row>
    <row r="2785" ht="12.5" spans="3:35">
      <c r="C2785" s="19"/>
      <c r="D2785" s="19"/>
      <c r="H2785" s="105"/>
      <c r="I2785" s="126"/>
      <c r="J2785" s="11"/>
      <c r="K2785" s="108"/>
      <c r="L2785" s="11"/>
      <c r="M2785" s="105"/>
      <c r="N2785" s="105"/>
      <c r="O2785" s="11"/>
      <c r="P2785" s="11"/>
      <c r="Q2785" s="105"/>
      <c r="R2785" s="105"/>
      <c r="S2785" s="105"/>
      <c r="T2785" s="105"/>
      <c r="U2785" s="105"/>
      <c r="V2785" s="105"/>
      <c r="W2785" s="105"/>
      <c r="X2785" s="11"/>
      <c r="Y2785" s="11"/>
      <c r="Z2785" s="105"/>
      <c r="AA2785" s="11"/>
      <c r="AB2785" s="11"/>
      <c r="AC2785" s="105"/>
      <c r="AD2785" s="11" t="b">
        <v>0</v>
      </c>
      <c r="AE2785" s="105"/>
      <c r="AF2785" s="11"/>
      <c r="AG2785" s="11"/>
      <c r="AH2785" s="11"/>
      <c r="AI2785" s="11"/>
    </row>
    <row r="2786" ht="12.5" spans="3:35">
      <c r="C2786" s="19"/>
      <c r="D2786" s="19"/>
      <c r="H2786" s="105"/>
      <c r="I2786" s="126"/>
      <c r="J2786" s="11"/>
      <c r="K2786" s="108"/>
      <c r="L2786" s="11"/>
      <c r="M2786" s="105"/>
      <c r="N2786" s="105"/>
      <c r="O2786" s="11"/>
      <c r="P2786" s="11"/>
      <c r="Q2786" s="105"/>
      <c r="R2786" s="105"/>
      <c r="S2786" s="105"/>
      <c r="T2786" s="105"/>
      <c r="U2786" s="105"/>
      <c r="V2786" s="105"/>
      <c r="W2786" s="105"/>
      <c r="X2786" s="11"/>
      <c r="Y2786" s="11"/>
      <c r="Z2786" s="105"/>
      <c r="AA2786" s="11"/>
      <c r="AB2786" s="11"/>
      <c r="AC2786" s="105"/>
      <c r="AD2786" s="11" t="b">
        <v>0</v>
      </c>
      <c r="AE2786" s="105"/>
      <c r="AF2786" s="11"/>
      <c r="AG2786" s="11"/>
      <c r="AH2786" s="11"/>
      <c r="AI2786" s="11"/>
    </row>
    <row r="2787" ht="12.5" spans="3:35">
      <c r="C2787" s="19"/>
      <c r="D2787" s="19"/>
      <c r="H2787" s="105"/>
      <c r="I2787" s="126"/>
      <c r="J2787" s="11"/>
      <c r="K2787" s="108"/>
      <c r="L2787" s="11"/>
      <c r="M2787" s="105"/>
      <c r="N2787" s="105"/>
      <c r="O2787" s="11"/>
      <c r="P2787" s="11"/>
      <c r="Q2787" s="105"/>
      <c r="R2787" s="105"/>
      <c r="S2787" s="105"/>
      <c r="T2787" s="105"/>
      <c r="U2787" s="105"/>
      <c r="V2787" s="105"/>
      <c r="W2787" s="105"/>
      <c r="X2787" s="11"/>
      <c r="Y2787" s="11"/>
      <c r="Z2787" s="105"/>
      <c r="AA2787" s="11"/>
      <c r="AB2787" s="11"/>
      <c r="AC2787" s="105"/>
      <c r="AD2787" s="11" t="b">
        <v>0</v>
      </c>
      <c r="AE2787" s="105"/>
      <c r="AF2787" s="11"/>
      <c r="AG2787" s="11"/>
      <c r="AH2787" s="11"/>
      <c r="AI2787" s="11"/>
    </row>
    <row r="2788" ht="12.5" spans="3:35">
      <c r="C2788" s="19"/>
      <c r="D2788" s="19"/>
      <c r="H2788" s="105"/>
      <c r="I2788" s="126"/>
      <c r="J2788" s="11"/>
      <c r="K2788" s="108"/>
      <c r="L2788" s="11"/>
      <c r="M2788" s="105"/>
      <c r="N2788" s="105"/>
      <c r="O2788" s="11"/>
      <c r="P2788" s="11"/>
      <c r="Q2788" s="105"/>
      <c r="R2788" s="105"/>
      <c r="S2788" s="105"/>
      <c r="T2788" s="105"/>
      <c r="U2788" s="105"/>
      <c r="V2788" s="105"/>
      <c r="W2788" s="105"/>
      <c r="X2788" s="11"/>
      <c r="Y2788" s="11"/>
      <c r="Z2788" s="105"/>
      <c r="AA2788" s="11"/>
      <c r="AB2788" s="11"/>
      <c r="AC2788" s="105"/>
      <c r="AD2788" s="11" t="b">
        <v>0</v>
      </c>
      <c r="AE2788" s="105"/>
      <c r="AF2788" s="11"/>
      <c r="AG2788" s="11"/>
      <c r="AH2788" s="11"/>
      <c r="AI2788" s="11"/>
    </row>
    <row r="2789" ht="12.5" spans="3:35">
      <c r="C2789" s="19"/>
      <c r="D2789" s="19"/>
      <c r="H2789" s="105"/>
      <c r="I2789" s="126"/>
      <c r="J2789" s="11"/>
      <c r="K2789" s="108"/>
      <c r="L2789" s="11"/>
      <c r="M2789" s="105"/>
      <c r="N2789" s="105"/>
      <c r="O2789" s="11"/>
      <c r="P2789" s="11"/>
      <c r="Q2789" s="105"/>
      <c r="R2789" s="105"/>
      <c r="S2789" s="105"/>
      <c r="T2789" s="105"/>
      <c r="U2789" s="105"/>
      <c r="V2789" s="105"/>
      <c r="W2789" s="105"/>
      <c r="X2789" s="11"/>
      <c r="Y2789" s="11"/>
      <c r="Z2789" s="105"/>
      <c r="AA2789" s="11"/>
      <c r="AB2789" s="11"/>
      <c r="AC2789" s="105"/>
      <c r="AD2789" s="11" t="b">
        <v>0</v>
      </c>
      <c r="AE2789" s="105"/>
      <c r="AF2789" s="11"/>
      <c r="AG2789" s="11"/>
      <c r="AH2789" s="11"/>
      <c r="AI2789" s="11"/>
    </row>
    <row r="2790" ht="12.5" spans="3:35">
      <c r="C2790" s="19"/>
      <c r="D2790" s="19"/>
      <c r="H2790" s="105"/>
      <c r="I2790" s="126"/>
      <c r="J2790" s="11"/>
      <c r="K2790" s="108"/>
      <c r="L2790" s="11"/>
      <c r="M2790" s="105"/>
      <c r="N2790" s="105"/>
      <c r="O2790" s="11"/>
      <c r="P2790" s="11"/>
      <c r="Q2790" s="105"/>
      <c r="R2790" s="105"/>
      <c r="S2790" s="105"/>
      <c r="T2790" s="105"/>
      <c r="U2790" s="105"/>
      <c r="V2790" s="105"/>
      <c r="W2790" s="105"/>
      <c r="X2790" s="11"/>
      <c r="Y2790" s="11"/>
      <c r="Z2790" s="105"/>
      <c r="AA2790" s="11"/>
      <c r="AB2790" s="11"/>
      <c r="AC2790" s="105"/>
      <c r="AD2790" s="11" t="b">
        <v>0</v>
      </c>
      <c r="AE2790" s="105"/>
      <c r="AF2790" s="11"/>
      <c r="AG2790" s="11"/>
      <c r="AH2790" s="11"/>
      <c r="AI2790" s="11"/>
    </row>
    <row r="2791" ht="12.5" spans="3:35">
      <c r="C2791" s="19"/>
      <c r="D2791" s="19"/>
      <c r="H2791" s="105"/>
      <c r="I2791" s="126"/>
      <c r="J2791" s="11"/>
      <c r="K2791" s="108"/>
      <c r="L2791" s="11"/>
      <c r="M2791" s="105"/>
      <c r="N2791" s="105"/>
      <c r="O2791" s="11"/>
      <c r="P2791" s="11"/>
      <c r="Q2791" s="105"/>
      <c r="R2791" s="105"/>
      <c r="S2791" s="105"/>
      <c r="T2791" s="105"/>
      <c r="U2791" s="105"/>
      <c r="V2791" s="105"/>
      <c r="W2791" s="105"/>
      <c r="X2791" s="11"/>
      <c r="Y2791" s="11"/>
      <c r="Z2791" s="105"/>
      <c r="AA2791" s="11"/>
      <c r="AB2791" s="11"/>
      <c r="AC2791" s="105"/>
      <c r="AD2791" s="11" t="b">
        <v>0</v>
      </c>
      <c r="AE2791" s="105"/>
      <c r="AF2791" s="11"/>
      <c r="AG2791" s="11"/>
      <c r="AH2791" s="11"/>
      <c r="AI2791" s="11"/>
    </row>
    <row r="2792" ht="12.5" spans="3:35">
      <c r="C2792" s="19"/>
      <c r="D2792" s="19"/>
      <c r="H2792" s="105"/>
      <c r="I2792" s="126"/>
      <c r="J2792" s="11"/>
      <c r="K2792" s="108"/>
      <c r="L2792" s="11"/>
      <c r="M2792" s="105"/>
      <c r="N2792" s="105"/>
      <c r="O2792" s="11"/>
      <c r="P2792" s="11"/>
      <c r="Q2792" s="105"/>
      <c r="R2792" s="105"/>
      <c r="S2792" s="105"/>
      <c r="T2792" s="105"/>
      <c r="U2792" s="105"/>
      <c r="V2792" s="105"/>
      <c r="W2792" s="105"/>
      <c r="X2792" s="11"/>
      <c r="Y2792" s="11"/>
      <c r="Z2792" s="105"/>
      <c r="AA2792" s="11"/>
      <c r="AB2792" s="11"/>
      <c r="AC2792" s="105"/>
      <c r="AD2792" s="11" t="b">
        <v>0</v>
      </c>
      <c r="AE2792" s="105"/>
      <c r="AF2792" s="11"/>
      <c r="AG2792" s="11"/>
      <c r="AH2792" s="11"/>
      <c r="AI2792" s="11"/>
    </row>
    <row r="2793" ht="12.5" spans="3:35">
      <c r="C2793" s="19"/>
      <c r="D2793" s="19"/>
      <c r="H2793" s="105"/>
      <c r="I2793" s="126"/>
      <c r="J2793" s="11"/>
      <c r="K2793" s="108"/>
      <c r="L2793" s="11"/>
      <c r="M2793" s="105"/>
      <c r="N2793" s="105"/>
      <c r="O2793" s="11"/>
      <c r="P2793" s="11"/>
      <c r="Q2793" s="105"/>
      <c r="R2793" s="105"/>
      <c r="S2793" s="105"/>
      <c r="T2793" s="105"/>
      <c r="U2793" s="105"/>
      <c r="V2793" s="105"/>
      <c r="W2793" s="105"/>
      <c r="X2793" s="11"/>
      <c r="Y2793" s="11"/>
      <c r="Z2793" s="105"/>
      <c r="AA2793" s="11"/>
      <c r="AB2793" s="11"/>
      <c r="AC2793" s="105"/>
      <c r="AD2793" s="11" t="b">
        <v>0</v>
      </c>
      <c r="AE2793" s="105"/>
      <c r="AF2793" s="11"/>
      <c r="AG2793" s="11"/>
      <c r="AH2793" s="11"/>
      <c r="AI2793" s="11"/>
    </row>
    <row r="2794" ht="12.5" spans="3:35">
      <c r="C2794" s="19"/>
      <c r="D2794" s="19"/>
      <c r="H2794" s="105"/>
      <c r="I2794" s="126"/>
      <c r="J2794" s="11"/>
      <c r="K2794" s="108"/>
      <c r="L2794" s="11"/>
      <c r="M2794" s="105"/>
      <c r="N2794" s="105"/>
      <c r="O2794" s="11"/>
      <c r="P2794" s="11"/>
      <c r="Q2794" s="105"/>
      <c r="R2794" s="105"/>
      <c r="S2794" s="105"/>
      <c r="T2794" s="105"/>
      <c r="U2794" s="105"/>
      <c r="V2794" s="105"/>
      <c r="W2794" s="105"/>
      <c r="X2794" s="11"/>
      <c r="Y2794" s="11"/>
      <c r="Z2794" s="105"/>
      <c r="AA2794" s="11"/>
      <c r="AB2794" s="11"/>
      <c r="AC2794" s="105"/>
      <c r="AD2794" s="11" t="b">
        <v>0</v>
      </c>
      <c r="AE2794" s="105"/>
      <c r="AF2794" s="11"/>
      <c r="AG2794" s="11"/>
      <c r="AH2794" s="11"/>
      <c r="AI2794" s="11"/>
    </row>
    <row r="2795" ht="12.5" spans="3:35">
      <c r="C2795" s="19"/>
      <c r="D2795" s="19"/>
      <c r="H2795" s="105"/>
      <c r="I2795" s="126"/>
      <c r="J2795" s="11"/>
      <c r="K2795" s="108"/>
      <c r="L2795" s="11"/>
      <c r="M2795" s="105"/>
      <c r="N2795" s="105"/>
      <c r="O2795" s="11"/>
      <c r="P2795" s="11"/>
      <c r="Q2795" s="105"/>
      <c r="R2795" s="105"/>
      <c r="S2795" s="105"/>
      <c r="T2795" s="105"/>
      <c r="U2795" s="105"/>
      <c r="V2795" s="105"/>
      <c r="W2795" s="105"/>
      <c r="X2795" s="11"/>
      <c r="Y2795" s="11"/>
      <c r="Z2795" s="105"/>
      <c r="AA2795" s="11"/>
      <c r="AB2795" s="11"/>
      <c r="AC2795" s="105"/>
      <c r="AD2795" s="11" t="b">
        <v>0</v>
      </c>
      <c r="AE2795" s="105"/>
      <c r="AF2795" s="11"/>
      <c r="AG2795" s="11"/>
      <c r="AH2795" s="11"/>
      <c r="AI2795" s="11"/>
    </row>
    <row r="2796" ht="12.5" spans="3:35">
      <c r="C2796" s="19"/>
      <c r="D2796" s="19"/>
      <c r="H2796" s="105"/>
      <c r="I2796" s="126"/>
      <c r="J2796" s="11"/>
      <c r="K2796" s="108"/>
      <c r="L2796" s="11"/>
      <c r="M2796" s="105"/>
      <c r="N2796" s="105"/>
      <c r="O2796" s="11"/>
      <c r="P2796" s="11"/>
      <c r="Q2796" s="105"/>
      <c r="R2796" s="105"/>
      <c r="S2796" s="105"/>
      <c r="T2796" s="105"/>
      <c r="U2796" s="105"/>
      <c r="V2796" s="105"/>
      <c r="W2796" s="105"/>
      <c r="X2796" s="11"/>
      <c r="Y2796" s="11"/>
      <c r="Z2796" s="105"/>
      <c r="AA2796" s="11"/>
      <c r="AB2796" s="11"/>
      <c r="AC2796" s="105"/>
      <c r="AD2796" s="11" t="b">
        <v>0</v>
      </c>
      <c r="AE2796" s="105"/>
      <c r="AF2796" s="11"/>
      <c r="AG2796" s="11"/>
      <c r="AH2796" s="11"/>
      <c r="AI2796" s="11"/>
    </row>
    <row r="2797" ht="12.5" spans="3:35">
      <c r="C2797" s="19"/>
      <c r="D2797" s="19"/>
      <c r="H2797" s="105"/>
      <c r="I2797" s="126"/>
      <c r="J2797" s="11"/>
      <c r="K2797" s="108"/>
      <c r="L2797" s="11"/>
      <c r="M2797" s="105"/>
      <c r="N2797" s="105"/>
      <c r="O2797" s="11"/>
      <c r="P2797" s="11"/>
      <c r="Q2797" s="105"/>
      <c r="R2797" s="105"/>
      <c r="S2797" s="105"/>
      <c r="T2797" s="105"/>
      <c r="U2797" s="105"/>
      <c r="V2797" s="105"/>
      <c r="W2797" s="105"/>
      <c r="X2797" s="11"/>
      <c r="Y2797" s="11"/>
      <c r="Z2797" s="105"/>
      <c r="AA2797" s="11"/>
      <c r="AB2797" s="11"/>
      <c r="AC2797" s="105"/>
      <c r="AD2797" s="11" t="b">
        <v>0</v>
      </c>
      <c r="AE2797" s="105"/>
      <c r="AF2797" s="11"/>
      <c r="AG2797" s="11"/>
      <c r="AH2797" s="11"/>
      <c r="AI2797" s="11"/>
    </row>
    <row r="2798" ht="12.5" spans="3:35">
      <c r="C2798" s="19"/>
      <c r="D2798" s="19"/>
      <c r="H2798" s="105"/>
      <c r="I2798" s="126"/>
      <c r="J2798" s="11"/>
      <c r="K2798" s="108"/>
      <c r="L2798" s="11"/>
      <c r="M2798" s="105"/>
      <c r="N2798" s="105"/>
      <c r="O2798" s="11"/>
      <c r="P2798" s="11"/>
      <c r="Q2798" s="105"/>
      <c r="R2798" s="105"/>
      <c r="S2798" s="105"/>
      <c r="T2798" s="105"/>
      <c r="U2798" s="105"/>
      <c r="V2798" s="105"/>
      <c r="W2798" s="105"/>
      <c r="X2798" s="11"/>
      <c r="Y2798" s="11"/>
      <c r="Z2798" s="105"/>
      <c r="AA2798" s="11"/>
      <c r="AB2798" s="11"/>
      <c r="AC2798" s="105"/>
      <c r="AD2798" s="11" t="b">
        <v>0</v>
      </c>
      <c r="AE2798" s="105"/>
      <c r="AF2798" s="11"/>
      <c r="AG2798" s="11"/>
      <c r="AH2798" s="11"/>
      <c r="AI2798" s="11"/>
    </row>
    <row r="2799" ht="12.5" spans="3:35">
      <c r="C2799" s="19"/>
      <c r="D2799" s="19"/>
      <c r="H2799" s="105"/>
      <c r="I2799" s="126"/>
      <c r="J2799" s="11"/>
      <c r="K2799" s="108"/>
      <c r="L2799" s="11"/>
      <c r="M2799" s="105"/>
      <c r="N2799" s="105"/>
      <c r="O2799" s="11"/>
      <c r="P2799" s="11"/>
      <c r="Q2799" s="105"/>
      <c r="R2799" s="105"/>
      <c r="S2799" s="105"/>
      <c r="T2799" s="105"/>
      <c r="U2799" s="105"/>
      <c r="V2799" s="105"/>
      <c r="W2799" s="105"/>
      <c r="X2799" s="11"/>
      <c r="Y2799" s="11"/>
      <c r="Z2799" s="105"/>
      <c r="AA2799" s="11"/>
      <c r="AB2799" s="11"/>
      <c r="AC2799" s="105"/>
      <c r="AD2799" s="11" t="b">
        <v>0</v>
      </c>
      <c r="AE2799" s="105"/>
      <c r="AF2799" s="11"/>
      <c r="AG2799" s="11"/>
      <c r="AH2799" s="11"/>
      <c r="AI2799" s="11"/>
    </row>
    <row r="2800" ht="12.5" spans="3:35">
      <c r="C2800" s="19"/>
      <c r="D2800" s="19"/>
      <c r="H2800" s="105"/>
      <c r="I2800" s="126"/>
      <c r="J2800" s="11"/>
      <c r="K2800" s="108"/>
      <c r="L2800" s="11"/>
      <c r="M2800" s="105"/>
      <c r="N2800" s="105"/>
      <c r="O2800" s="11"/>
      <c r="P2800" s="11"/>
      <c r="Q2800" s="105"/>
      <c r="R2800" s="105"/>
      <c r="S2800" s="105"/>
      <c r="T2800" s="105"/>
      <c r="U2800" s="105"/>
      <c r="V2800" s="105"/>
      <c r="W2800" s="105"/>
      <c r="X2800" s="11"/>
      <c r="Y2800" s="11"/>
      <c r="Z2800" s="105"/>
      <c r="AA2800" s="11"/>
      <c r="AB2800" s="11"/>
      <c r="AC2800" s="105"/>
      <c r="AD2800" s="11" t="b">
        <v>0</v>
      </c>
      <c r="AE2800" s="105"/>
      <c r="AF2800" s="11"/>
      <c r="AG2800" s="11"/>
      <c r="AH2800" s="11"/>
      <c r="AI2800" s="11"/>
    </row>
    <row r="2801" ht="12.5" spans="3:35">
      <c r="C2801" s="19"/>
      <c r="D2801" s="19"/>
      <c r="H2801" s="105"/>
      <c r="I2801" s="126"/>
      <c r="J2801" s="11"/>
      <c r="K2801" s="108"/>
      <c r="L2801" s="11"/>
      <c r="M2801" s="105"/>
      <c r="N2801" s="105"/>
      <c r="O2801" s="11"/>
      <c r="P2801" s="11"/>
      <c r="Q2801" s="105"/>
      <c r="R2801" s="105"/>
      <c r="S2801" s="105"/>
      <c r="T2801" s="105"/>
      <c r="U2801" s="105"/>
      <c r="V2801" s="105"/>
      <c r="W2801" s="105"/>
      <c r="X2801" s="11"/>
      <c r="Y2801" s="11"/>
      <c r="Z2801" s="105"/>
      <c r="AA2801" s="11"/>
      <c r="AB2801" s="11"/>
      <c r="AC2801" s="105"/>
      <c r="AD2801" s="11" t="b">
        <v>0</v>
      </c>
      <c r="AE2801" s="105"/>
      <c r="AF2801" s="11"/>
      <c r="AG2801" s="11"/>
      <c r="AH2801" s="11"/>
      <c r="AI2801" s="11"/>
    </row>
    <row r="2802" ht="12.5" spans="3:35">
      <c r="C2802" s="19"/>
      <c r="D2802" s="19"/>
      <c r="H2802" s="105"/>
      <c r="I2802" s="126"/>
      <c r="J2802" s="11"/>
      <c r="K2802" s="108"/>
      <c r="L2802" s="11"/>
      <c r="M2802" s="105"/>
      <c r="N2802" s="105"/>
      <c r="O2802" s="11"/>
      <c r="P2802" s="11"/>
      <c r="Q2802" s="105"/>
      <c r="R2802" s="105"/>
      <c r="S2802" s="105"/>
      <c r="T2802" s="105"/>
      <c r="U2802" s="105"/>
      <c r="V2802" s="105"/>
      <c r="W2802" s="105"/>
      <c r="X2802" s="11"/>
      <c r="Y2802" s="11"/>
      <c r="Z2802" s="105"/>
      <c r="AA2802" s="11"/>
      <c r="AB2802" s="11"/>
      <c r="AC2802" s="105"/>
      <c r="AD2802" s="11" t="b">
        <v>0</v>
      </c>
      <c r="AE2802" s="105"/>
      <c r="AF2802" s="11"/>
      <c r="AG2802" s="11"/>
      <c r="AH2802" s="11"/>
      <c r="AI2802" s="11"/>
    </row>
    <row r="2803" ht="12.5" spans="3:35">
      <c r="C2803" s="19"/>
      <c r="D2803" s="19"/>
      <c r="H2803" s="105"/>
      <c r="I2803" s="126"/>
      <c r="J2803" s="11"/>
      <c r="K2803" s="108"/>
      <c r="L2803" s="11"/>
      <c r="M2803" s="105"/>
      <c r="N2803" s="105"/>
      <c r="O2803" s="11"/>
      <c r="P2803" s="11"/>
      <c r="Q2803" s="105"/>
      <c r="R2803" s="105"/>
      <c r="S2803" s="105"/>
      <c r="T2803" s="105"/>
      <c r="U2803" s="105"/>
      <c r="V2803" s="105"/>
      <c r="W2803" s="105"/>
      <c r="X2803" s="11"/>
      <c r="Y2803" s="11"/>
      <c r="Z2803" s="105"/>
      <c r="AA2803" s="11"/>
      <c r="AB2803" s="11"/>
      <c r="AC2803" s="105"/>
      <c r="AD2803" s="11" t="b">
        <v>0</v>
      </c>
      <c r="AE2803" s="105"/>
      <c r="AF2803" s="11"/>
      <c r="AG2803" s="11"/>
      <c r="AH2803" s="11"/>
      <c r="AI2803" s="11"/>
    </row>
    <row r="2804" ht="12.5" spans="3:35">
      <c r="C2804" s="19"/>
      <c r="D2804" s="19"/>
      <c r="H2804" s="105"/>
      <c r="I2804" s="126"/>
      <c r="J2804" s="11"/>
      <c r="K2804" s="108"/>
      <c r="L2804" s="11"/>
      <c r="M2804" s="105"/>
      <c r="N2804" s="105"/>
      <c r="O2804" s="11"/>
      <c r="P2804" s="11"/>
      <c r="Q2804" s="105"/>
      <c r="R2804" s="105"/>
      <c r="S2804" s="105"/>
      <c r="T2804" s="105"/>
      <c r="U2804" s="105"/>
      <c r="V2804" s="105"/>
      <c r="W2804" s="105"/>
      <c r="X2804" s="11"/>
      <c r="Y2804" s="11"/>
      <c r="Z2804" s="105"/>
      <c r="AA2804" s="11"/>
      <c r="AB2804" s="11"/>
      <c r="AC2804" s="105"/>
      <c r="AD2804" s="11" t="b">
        <v>0</v>
      </c>
      <c r="AE2804" s="105"/>
      <c r="AF2804" s="11"/>
      <c r="AG2804" s="11"/>
      <c r="AH2804" s="11"/>
      <c r="AI2804" s="11"/>
    </row>
    <row r="2805" ht="12.5" spans="3:35">
      <c r="C2805" s="19"/>
      <c r="D2805" s="19"/>
      <c r="H2805" s="105"/>
      <c r="I2805" s="126"/>
      <c r="J2805" s="11"/>
      <c r="K2805" s="108"/>
      <c r="L2805" s="11"/>
      <c r="M2805" s="105"/>
      <c r="N2805" s="105"/>
      <c r="O2805" s="11"/>
      <c r="P2805" s="11"/>
      <c r="Q2805" s="105"/>
      <c r="R2805" s="105"/>
      <c r="S2805" s="105"/>
      <c r="T2805" s="105"/>
      <c r="U2805" s="105"/>
      <c r="V2805" s="105"/>
      <c r="W2805" s="105"/>
      <c r="X2805" s="11"/>
      <c r="Y2805" s="11"/>
      <c r="Z2805" s="105"/>
      <c r="AA2805" s="11"/>
      <c r="AB2805" s="11"/>
      <c r="AC2805" s="105"/>
      <c r="AD2805" s="11" t="b">
        <v>0</v>
      </c>
      <c r="AE2805" s="105"/>
      <c r="AF2805" s="11"/>
      <c r="AG2805" s="11"/>
      <c r="AH2805" s="11"/>
      <c r="AI2805" s="11"/>
    </row>
    <row r="2806" ht="12.5" spans="3:35">
      <c r="C2806" s="19"/>
      <c r="D2806" s="19"/>
      <c r="H2806" s="105"/>
      <c r="I2806" s="126"/>
      <c r="J2806" s="11"/>
      <c r="K2806" s="108"/>
      <c r="L2806" s="11"/>
      <c r="M2806" s="105"/>
      <c r="N2806" s="105"/>
      <c r="O2806" s="11"/>
      <c r="P2806" s="11"/>
      <c r="Q2806" s="105"/>
      <c r="R2806" s="105"/>
      <c r="S2806" s="105"/>
      <c r="T2806" s="105"/>
      <c r="U2806" s="105"/>
      <c r="V2806" s="105"/>
      <c r="W2806" s="105"/>
      <c r="X2806" s="11"/>
      <c r="Y2806" s="11"/>
      <c r="Z2806" s="105"/>
      <c r="AA2806" s="11"/>
      <c r="AB2806" s="11"/>
      <c r="AC2806" s="105"/>
      <c r="AD2806" s="11" t="b">
        <v>0</v>
      </c>
      <c r="AE2806" s="105"/>
      <c r="AF2806" s="11"/>
      <c r="AG2806" s="11"/>
      <c r="AH2806" s="11"/>
      <c r="AI2806" s="11"/>
    </row>
    <row r="2807" ht="12.5" spans="3:35">
      <c r="C2807" s="19"/>
      <c r="D2807" s="19"/>
      <c r="H2807" s="105"/>
      <c r="I2807" s="126"/>
      <c r="J2807" s="11"/>
      <c r="K2807" s="108"/>
      <c r="L2807" s="11"/>
      <c r="M2807" s="105"/>
      <c r="N2807" s="105"/>
      <c r="O2807" s="11"/>
      <c r="P2807" s="11"/>
      <c r="Q2807" s="105"/>
      <c r="R2807" s="105"/>
      <c r="S2807" s="105"/>
      <c r="T2807" s="105"/>
      <c r="U2807" s="105"/>
      <c r="V2807" s="105"/>
      <c r="W2807" s="105"/>
      <c r="X2807" s="11"/>
      <c r="Y2807" s="11"/>
      <c r="Z2807" s="105"/>
      <c r="AA2807" s="11"/>
      <c r="AB2807" s="11"/>
      <c r="AC2807" s="105"/>
      <c r="AD2807" s="11" t="b">
        <v>0</v>
      </c>
      <c r="AE2807" s="105"/>
      <c r="AF2807" s="11"/>
      <c r="AG2807" s="11"/>
      <c r="AH2807" s="11"/>
      <c r="AI2807" s="11"/>
    </row>
    <row r="2808" ht="12.5" spans="3:35">
      <c r="C2808" s="19"/>
      <c r="D2808" s="19"/>
      <c r="H2808" s="105"/>
      <c r="I2808" s="126"/>
      <c r="J2808" s="11"/>
      <c r="K2808" s="108"/>
      <c r="L2808" s="11"/>
      <c r="M2808" s="105"/>
      <c r="N2808" s="105"/>
      <c r="O2808" s="11"/>
      <c r="P2808" s="11"/>
      <c r="Q2808" s="105"/>
      <c r="R2808" s="105"/>
      <c r="S2808" s="105"/>
      <c r="T2808" s="105"/>
      <c r="U2808" s="105"/>
      <c r="V2808" s="105"/>
      <c r="W2808" s="105"/>
      <c r="X2808" s="11"/>
      <c r="Y2808" s="11"/>
      <c r="Z2808" s="105"/>
      <c r="AA2808" s="11"/>
      <c r="AB2808" s="11"/>
      <c r="AC2808" s="105"/>
      <c r="AD2808" s="11" t="b">
        <v>0</v>
      </c>
      <c r="AE2808" s="105"/>
      <c r="AF2808" s="11"/>
      <c r="AG2808" s="11"/>
      <c r="AH2808" s="11"/>
      <c r="AI2808" s="11"/>
    </row>
    <row r="2809" ht="12.5" spans="3:35">
      <c r="C2809" s="19"/>
      <c r="D2809" s="19"/>
      <c r="H2809" s="105"/>
      <c r="I2809" s="126"/>
      <c r="J2809" s="11"/>
      <c r="K2809" s="108"/>
      <c r="L2809" s="11"/>
      <c r="M2809" s="105"/>
      <c r="N2809" s="105"/>
      <c r="O2809" s="11"/>
      <c r="P2809" s="11"/>
      <c r="Q2809" s="105"/>
      <c r="R2809" s="105"/>
      <c r="S2809" s="105"/>
      <c r="T2809" s="105"/>
      <c r="U2809" s="105"/>
      <c r="V2809" s="105"/>
      <c r="W2809" s="105"/>
      <c r="X2809" s="11"/>
      <c r="Y2809" s="11"/>
      <c r="Z2809" s="105"/>
      <c r="AA2809" s="11"/>
      <c r="AB2809" s="11"/>
      <c r="AC2809" s="105"/>
      <c r="AD2809" s="11" t="b">
        <v>0</v>
      </c>
      <c r="AE2809" s="105"/>
      <c r="AF2809" s="11"/>
      <c r="AG2809" s="11"/>
      <c r="AH2809" s="11"/>
      <c r="AI2809" s="11"/>
    </row>
    <row r="2810" ht="12.5" spans="3:35">
      <c r="C2810" s="19"/>
      <c r="D2810" s="19"/>
      <c r="H2810" s="105"/>
      <c r="I2810" s="126"/>
      <c r="J2810" s="11"/>
      <c r="K2810" s="108"/>
      <c r="L2810" s="11"/>
      <c r="M2810" s="105"/>
      <c r="N2810" s="105"/>
      <c r="O2810" s="11"/>
      <c r="P2810" s="11"/>
      <c r="Q2810" s="105"/>
      <c r="R2810" s="105"/>
      <c r="S2810" s="105"/>
      <c r="T2810" s="105"/>
      <c r="U2810" s="105"/>
      <c r="V2810" s="105"/>
      <c r="W2810" s="105"/>
      <c r="X2810" s="11"/>
      <c r="Y2810" s="11"/>
      <c r="Z2810" s="105"/>
      <c r="AA2810" s="11"/>
      <c r="AB2810" s="11"/>
      <c r="AC2810" s="105"/>
      <c r="AD2810" s="11" t="b">
        <v>0</v>
      </c>
      <c r="AE2810" s="105"/>
      <c r="AF2810" s="11"/>
      <c r="AG2810" s="11"/>
      <c r="AH2810" s="11"/>
      <c r="AI2810" s="11"/>
    </row>
    <row r="2811" ht="12.5" spans="3:35">
      <c r="C2811" s="19"/>
      <c r="D2811" s="19"/>
      <c r="H2811" s="105"/>
      <c r="I2811" s="126"/>
      <c r="J2811" s="11"/>
      <c r="K2811" s="108"/>
      <c r="L2811" s="11"/>
      <c r="M2811" s="105"/>
      <c r="N2811" s="105"/>
      <c r="O2811" s="11"/>
      <c r="P2811" s="11"/>
      <c r="Q2811" s="105"/>
      <c r="R2811" s="105"/>
      <c r="S2811" s="105"/>
      <c r="T2811" s="105"/>
      <c r="U2811" s="105"/>
      <c r="V2811" s="105"/>
      <c r="W2811" s="105"/>
      <c r="X2811" s="11"/>
      <c r="Y2811" s="11"/>
      <c r="Z2811" s="105"/>
      <c r="AA2811" s="11"/>
      <c r="AB2811" s="11"/>
      <c r="AC2811" s="105"/>
      <c r="AD2811" s="11" t="b">
        <v>0</v>
      </c>
      <c r="AE2811" s="105"/>
      <c r="AF2811" s="11"/>
      <c r="AG2811" s="11"/>
      <c r="AH2811" s="11"/>
      <c r="AI2811" s="11"/>
    </row>
    <row r="2812" ht="12.5" spans="3:35">
      <c r="C2812" s="19"/>
      <c r="D2812" s="19"/>
      <c r="H2812" s="105"/>
      <c r="I2812" s="126"/>
      <c r="J2812" s="11"/>
      <c r="K2812" s="108"/>
      <c r="L2812" s="11"/>
      <c r="M2812" s="105"/>
      <c r="N2812" s="105"/>
      <c r="O2812" s="11"/>
      <c r="P2812" s="11"/>
      <c r="Q2812" s="105"/>
      <c r="R2812" s="105"/>
      <c r="S2812" s="105"/>
      <c r="T2812" s="105"/>
      <c r="U2812" s="105"/>
      <c r="V2812" s="105"/>
      <c r="W2812" s="105"/>
      <c r="X2812" s="11"/>
      <c r="Y2812" s="11"/>
      <c r="Z2812" s="105"/>
      <c r="AA2812" s="11"/>
      <c r="AB2812" s="11"/>
      <c r="AC2812" s="105"/>
      <c r="AD2812" s="11" t="b">
        <v>0</v>
      </c>
      <c r="AE2812" s="105"/>
      <c r="AF2812" s="11"/>
      <c r="AG2812" s="11"/>
      <c r="AH2812" s="11"/>
      <c r="AI2812" s="11"/>
    </row>
    <row r="2813" ht="12.5" spans="3:35">
      <c r="C2813" s="19"/>
      <c r="D2813" s="19"/>
      <c r="H2813" s="105"/>
      <c r="I2813" s="126"/>
      <c r="J2813" s="11"/>
      <c r="K2813" s="108"/>
      <c r="L2813" s="11"/>
      <c r="M2813" s="105"/>
      <c r="N2813" s="105"/>
      <c r="O2813" s="11"/>
      <c r="P2813" s="11"/>
      <c r="Q2813" s="105"/>
      <c r="R2813" s="105"/>
      <c r="S2813" s="105"/>
      <c r="T2813" s="105"/>
      <c r="U2813" s="105"/>
      <c r="V2813" s="105"/>
      <c r="W2813" s="105"/>
      <c r="X2813" s="11"/>
      <c r="Y2813" s="11"/>
      <c r="Z2813" s="105"/>
      <c r="AA2813" s="11"/>
      <c r="AB2813" s="11"/>
      <c r="AC2813" s="105"/>
      <c r="AD2813" s="11" t="b">
        <v>0</v>
      </c>
      <c r="AE2813" s="105"/>
      <c r="AF2813" s="11"/>
      <c r="AG2813" s="11"/>
      <c r="AH2813" s="11"/>
      <c r="AI2813" s="11"/>
    </row>
    <row r="2814" ht="12.5" spans="3:35">
      <c r="C2814" s="19"/>
      <c r="D2814" s="19"/>
      <c r="H2814" s="105"/>
      <c r="I2814" s="126"/>
      <c r="J2814" s="11"/>
      <c r="K2814" s="108"/>
      <c r="L2814" s="11"/>
      <c r="M2814" s="105"/>
      <c r="N2814" s="105"/>
      <c r="O2814" s="11"/>
      <c r="P2814" s="11"/>
      <c r="Q2814" s="105"/>
      <c r="R2814" s="105"/>
      <c r="S2814" s="105"/>
      <c r="T2814" s="105"/>
      <c r="U2814" s="105"/>
      <c r="V2814" s="105"/>
      <c r="W2814" s="105"/>
      <c r="X2814" s="11"/>
      <c r="Y2814" s="11"/>
      <c r="Z2814" s="105"/>
      <c r="AA2814" s="11"/>
      <c r="AB2814" s="11"/>
      <c r="AC2814" s="105"/>
      <c r="AD2814" s="11" t="b">
        <v>0</v>
      </c>
      <c r="AE2814" s="105"/>
      <c r="AF2814" s="11"/>
      <c r="AG2814" s="11"/>
      <c r="AH2814" s="11"/>
      <c r="AI2814" s="11"/>
    </row>
    <row r="2815" ht="12.5" spans="3:35">
      <c r="C2815" s="19"/>
      <c r="D2815" s="19"/>
      <c r="H2815" s="105"/>
      <c r="I2815" s="126"/>
      <c r="J2815" s="11"/>
      <c r="K2815" s="108"/>
      <c r="L2815" s="11"/>
      <c r="M2815" s="105"/>
      <c r="N2815" s="105"/>
      <c r="O2815" s="11"/>
      <c r="P2815" s="11"/>
      <c r="Q2815" s="105"/>
      <c r="R2815" s="105"/>
      <c r="S2815" s="105"/>
      <c r="T2815" s="105"/>
      <c r="U2815" s="105"/>
      <c r="V2815" s="105"/>
      <c r="W2815" s="105"/>
      <c r="X2815" s="11"/>
      <c r="Y2815" s="11"/>
      <c r="Z2815" s="105"/>
      <c r="AA2815" s="11"/>
      <c r="AB2815" s="11"/>
      <c r="AC2815" s="105"/>
      <c r="AD2815" s="11" t="b">
        <v>0</v>
      </c>
      <c r="AE2815" s="105"/>
      <c r="AF2815" s="11"/>
      <c r="AG2815" s="11"/>
      <c r="AH2815" s="11"/>
      <c r="AI2815" s="11"/>
    </row>
    <row r="2816" ht="12.5" spans="3:35">
      <c r="C2816" s="19"/>
      <c r="D2816" s="19"/>
      <c r="H2816" s="105"/>
      <c r="I2816" s="126"/>
      <c r="J2816" s="11"/>
      <c r="K2816" s="108"/>
      <c r="L2816" s="11"/>
      <c r="M2816" s="105"/>
      <c r="N2816" s="105"/>
      <c r="O2816" s="11"/>
      <c r="P2816" s="11"/>
      <c r="Q2816" s="105"/>
      <c r="R2816" s="105"/>
      <c r="S2816" s="105"/>
      <c r="T2816" s="105"/>
      <c r="U2816" s="105"/>
      <c r="V2816" s="105"/>
      <c r="W2816" s="105"/>
      <c r="X2816" s="11"/>
      <c r="Y2816" s="11"/>
      <c r="Z2816" s="105"/>
      <c r="AA2816" s="11"/>
      <c r="AB2816" s="11"/>
      <c r="AC2816" s="105"/>
      <c r="AD2816" s="11" t="b">
        <v>0</v>
      </c>
      <c r="AE2816" s="105"/>
      <c r="AF2816" s="11"/>
      <c r="AG2816" s="11"/>
      <c r="AH2816" s="11"/>
      <c r="AI2816" s="11"/>
    </row>
    <row r="2817" ht="12.5" spans="3:35">
      <c r="C2817" s="19"/>
      <c r="D2817" s="19"/>
      <c r="H2817" s="105"/>
      <c r="I2817" s="126"/>
      <c r="J2817" s="11"/>
      <c r="K2817" s="108"/>
      <c r="L2817" s="11"/>
      <c r="M2817" s="105"/>
      <c r="N2817" s="105"/>
      <c r="O2817" s="11"/>
      <c r="P2817" s="11"/>
      <c r="Q2817" s="105"/>
      <c r="R2817" s="105"/>
      <c r="S2817" s="105"/>
      <c r="T2817" s="105"/>
      <c r="U2817" s="105"/>
      <c r="V2817" s="105"/>
      <c r="W2817" s="105"/>
      <c r="X2817" s="11"/>
      <c r="Y2817" s="11"/>
      <c r="Z2817" s="105"/>
      <c r="AA2817" s="11"/>
      <c r="AB2817" s="11"/>
      <c r="AC2817" s="105"/>
      <c r="AD2817" s="11" t="b">
        <v>0</v>
      </c>
      <c r="AE2817" s="105"/>
      <c r="AF2817" s="11"/>
      <c r="AG2817" s="11"/>
      <c r="AH2817" s="11"/>
      <c r="AI2817" s="11"/>
    </row>
    <row r="2818" ht="12.5" spans="3:35">
      <c r="C2818" s="19"/>
      <c r="D2818" s="19"/>
      <c r="H2818" s="105"/>
      <c r="I2818" s="126"/>
      <c r="J2818" s="11"/>
      <c r="K2818" s="108"/>
      <c r="L2818" s="11"/>
      <c r="M2818" s="105"/>
      <c r="N2818" s="105"/>
      <c r="O2818" s="11"/>
      <c r="P2818" s="11"/>
      <c r="Q2818" s="105"/>
      <c r="R2818" s="105"/>
      <c r="S2818" s="105"/>
      <c r="T2818" s="105"/>
      <c r="U2818" s="105"/>
      <c r="V2818" s="105"/>
      <c r="W2818" s="105"/>
      <c r="X2818" s="11"/>
      <c r="Y2818" s="11"/>
      <c r="Z2818" s="105"/>
      <c r="AA2818" s="11"/>
      <c r="AB2818" s="11"/>
      <c r="AC2818" s="105"/>
      <c r="AD2818" s="11" t="b">
        <v>0</v>
      </c>
      <c r="AE2818" s="105"/>
      <c r="AF2818" s="11"/>
      <c r="AG2818" s="11"/>
      <c r="AH2818" s="11"/>
      <c r="AI2818" s="11"/>
    </row>
    <row r="2819" ht="12.5" spans="3:35">
      <c r="C2819" s="19"/>
      <c r="D2819" s="19"/>
      <c r="H2819" s="105"/>
      <c r="I2819" s="126"/>
      <c r="J2819" s="11"/>
      <c r="K2819" s="108"/>
      <c r="L2819" s="11"/>
      <c r="M2819" s="105"/>
      <c r="N2819" s="105"/>
      <c r="O2819" s="11"/>
      <c r="P2819" s="11"/>
      <c r="Q2819" s="105"/>
      <c r="R2819" s="105"/>
      <c r="S2819" s="105"/>
      <c r="T2819" s="105"/>
      <c r="U2819" s="105"/>
      <c r="V2819" s="105"/>
      <c r="W2819" s="105"/>
      <c r="X2819" s="11"/>
      <c r="Y2819" s="11"/>
      <c r="Z2819" s="105"/>
      <c r="AA2819" s="11"/>
      <c r="AB2819" s="11"/>
      <c r="AC2819" s="105"/>
      <c r="AD2819" s="11" t="b">
        <v>0</v>
      </c>
      <c r="AE2819" s="105"/>
      <c r="AF2819" s="11"/>
      <c r="AG2819" s="11"/>
      <c r="AH2819" s="11"/>
      <c r="AI2819" s="11"/>
    </row>
    <row r="2820" ht="12.5" spans="3:35">
      <c r="C2820" s="19"/>
      <c r="D2820" s="19"/>
      <c r="H2820" s="105"/>
      <c r="I2820" s="126"/>
      <c r="J2820" s="11"/>
      <c r="K2820" s="108"/>
      <c r="L2820" s="11"/>
      <c r="M2820" s="105"/>
      <c r="N2820" s="105"/>
      <c r="O2820" s="11"/>
      <c r="P2820" s="11"/>
      <c r="Q2820" s="105"/>
      <c r="R2820" s="105"/>
      <c r="S2820" s="105"/>
      <c r="T2820" s="105"/>
      <c r="U2820" s="105"/>
      <c r="V2820" s="105"/>
      <c r="W2820" s="105"/>
      <c r="X2820" s="11"/>
      <c r="Y2820" s="11"/>
      <c r="Z2820" s="105"/>
      <c r="AA2820" s="11"/>
      <c r="AB2820" s="11"/>
      <c r="AC2820" s="105"/>
      <c r="AD2820" s="11" t="b">
        <v>0</v>
      </c>
      <c r="AE2820" s="105"/>
      <c r="AF2820" s="11"/>
      <c r="AG2820" s="11"/>
      <c r="AH2820" s="11"/>
      <c r="AI2820" s="11"/>
    </row>
    <row r="2821" ht="12.5" spans="3:35">
      <c r="C2821" s="19"/>
      <c r="D2821" s="19"/>
      <c r="H2821" s="105"/>
      <c r="I2821" s="126"/>
      <c r="J2821" s="11"/>
      <c r="K2821" s="108"/>
      <c r="L2821" s="11"/>
      <c r="M2821" s="105"/>
      <c r="N2821" s="105"/>
      <c r="O2821" s="11"/>
      <c r="P2821" s="11"/>
      <c r="Q2821" s="105"/>
      <c r="R2821" s="105"/>
      <c r="S2821" s="105"/>
      <c r="T2821" s="105"/>
      <c r="U2821" s="105"/>
      <c r="V2821" s="105"/>
      <c r="W2821" s="105"/>
      <c r="X2821" s="11"/>
      <c r="Y2821" s="11"/>
      <c r="Z2821" s="105"/>
      <c r="AA2821" s="11"/>
      <c r="AB2821" s="11"/>
      <c r="AC2821" s="105"/>
      <c r="AD2821" s="11" t="b">
        <v>0</v>
      </c>
      <c r="AE2821" s="105"/>
      <c r="AF2821" s="11"/>
      <c r="AG2821" s="11"/>
      <c r="AH2821" s="11"/>
      <c r="AI2821" s="11"/>
    </row>
    <row r="2822" ht="12.5" spans="3:35">
      <c r="C2822" s="19"/>
      <c r="D2822" s="19"/>
      <c r="H2822" s="105"/>
      <c r="I2822" s="126"/>
      <c r="J2822" s="11"/>
      <c r="K2822" s="108"/>
      <c r="L2822" s="11"/>
      <c r="M2822" s="105"/>
      <c r="N2822" s="105"/>
      <c r="O2822" s="11"/>
      <c r="P2822" s="11"/>
      <c r="Q2822" s="105"/>
      <c r="R2822" s="105"/>
      <c r="S2822" s="105"/>
      <c r="T2822" s="105"/>
      <c r="U2822" s="105"/>
      <c r="V2822" s="105"/>
      <c r="W2822" s="105"/>
      <c r="X2822" s="11"/>
      <c r="Y2822" s="11"/>
      <c r="Z2822" s="105"/>
      <c r="AA2822" s="11"/>
      <c r="AB2822" s="11"/>
      <c r="AC2822" s="105"/>
      <c r="AD2822" s="11" t="b">
        <v>0</v>
      </c>
      <c r="AE2822" s="105"/>
      <c r="AF2822" s="11"/>
      <c r="AG2822" s="11"/>
      <c r="AH2822" s="11"/>
      <c r="AI2822" s="11"/>
    </row>
    <row r="2823" ht="12.5" spans="3:35">
      <c r="C2823" s="19"/>
      <c r="D2823" s="19"/>
      <c r="H2823" s="105"/>
      <c r="I2823" s="126"/>
      <c r="J2823" s="11"/>
      <c r="K2823" s="108"/>
      <c r="L2823" s="11"/>
      <c r="M2823" s="105"/>
      <c r="N2823" s="105"/>
      <c r="O2823" s="11"/>
      <c r="P2823" s="11"/>
      <c r="Q2823" s="105"/>
      <c r="R2823" s="105"/>
      <c r="S2823" s="105"/>
      <c r="T2823" s="105"/>
      <c r="U2823" s="105"/>
      <c r="V2823" s="105"/>
      <c r="W2823" s="105"/>
      <c r="X2823" s="11"/>
      <c r="Y2823" s="11"/>
      <c r="Z2823" s="105"/>
      <c r="AA2823" s="11"/>
      <c r="AB2823" s="11"/>
      <c r="AC2823" s="105"/>
      <c r="AD2823" s="11" t="b">
        <v>0</v>
      </c>
      <c r="AE2823" s="105"/>
      <c r="AF2823" s="11"/>
      <c r="AG2823" s="11"/>
      <c r="AH2823" s="11"/>
      <c r="AI2823" s="11"/>
    </row>
    <row r="2824" ht="12.5" spans="3:35">
      <c r="C2824" s="19"/>
      <c r="D2824" s="19"/>
      <c r="H2824" s="105"/>
      <c r="I2824" s="126"/>
      <c r="J2824" s="11"/>
      <c r="K2824" s="108"/>
      <c r="L2824" s="11"/>
      <c r="M2824" s="105"/>
      <c r="N2824" s="105"/>
      <c r="O2824" s="11"/>
      <c r="P2824" s="11"/>
      <c r="Q2824" s="105"/>
      <c r="R2824" s="105"/>
      <c r="S2824" s="105"/>
      <c r="T2824" s="105"/>
      <c r="U2824" s="105"/>
      <c r="V2824" s="105"/>
      <c r="W2824" s="105"/>
      <c r="X2824" s="11"/>
      <c r="Y2824" s="11"/>
      <c r="Z2824" s="105"/>
      <c r="AA2824" s="11"/>
      <c r="AB2824" s="11"/>
      <c r="AC2824" s="105"/>
      <c r="AD2824" s="11" t="b">
        <v>0</v>
      </c>
      <c r="AE2824" s="105"/>
      <c r="AF2824" s="11"/>
      <c r="AG2824" s="11"/>
      <c r="AH2824" s="11"/>
      <c r="AI2824" s="11"/>
    </row>
    <row r="2825" ht="12.5" spans="3:35">
      <c r="C2825" s="19"/>
      <c r="D2825" s="19"/>
      <c r="H2825" s="105"/>
      <c r="I2825" s="126"/>
      <c r="J2825" s="11"/>
      <c r="K2825" s="108"/>
      <c r="L2825" s="11"/>
      <c r="M2825" s="105"/>
      <c r="N2825" s="105"/>
      <c r="O2825" s="11"/>
      <c r="P2825" s="11"/>
      <c r="Q2825" s="105"/>
      <c r="R2825" s="105"/>
      <c r="S2825" s="105"/>
      <c r="T2825" s="105"/>
      <c r="U2825" s="105"/>
      <c r="V2825" s="105"/>
      <c r="W2825" s="105"/>
      <c r="X2825" s="11"/>
      <c r="Y2825" s="11"/>
      <c r="Z2825" s="105"/>
      <c r="AA2825" s="11"/>
      <c r="AB2825" s="11"/>
      <c r="AC2825" s="105"/>
      <c r="AD2825" s="11" t="b">
        <v>0</v>
      </c>
      <c r="AE2825" s="105"/>
      <c r="AF2825" s="11"/>
      <c r="AG2825" s="11"/>
      <c r="AH2825" s="11"/>
      <c r="AI2825" s="11"/>
    </row>
    <row r="2826" ht="12.5" spans="3:35">
      <c r="C2826" s="19"/>
      <c r="D2826" s="19"/>
      <c r="H2826" s="105"/>
      <c r="I2826" s="126"/>
      <c r="J2826" s="11"/>
      <c r="K2826" s="108"/>
      <c r="L2826" s="11"/>
      <c r="M2826" s="105"/>
      <c r="N2826" s="105"/>
      <c r="O2826" s="11"/>
      <c r="P2826" s="11"/>
      <c r="Q2826" s="105"/>
      <c r="R2826" s="105"/>
      <c r="S2826" s="105"/>
      <c r="T2826" s="105"/>
      <c r="U2826" s="105"/>
      <c r="V2826" s="105"/>
      <c r="W2826" s="105"/>
      <c r="X2826" s="11"/>
      <c r="Y2826" s="11"/>
      <c r="Z2826" s="105"/>
      <c r="AA2826" s="11"/>
      <c r="AB2826" s="11"/>
      <c r="AC2826" s="105"/>
      <c r="AD2826" s="11" t="b">
        <v>0</v>
      </c>
      <c r="AE2826" s="105"/>
      <c r="AF2826" s="11"/>
      <c r="AG2826" s="11"/>
      <c r="AH2826" s="11"/>
      <c r="AI2826" s="11"/>
    </row>
    <row r="2827" ht="12.5" spans="3:35">
      <c r="C2827" s="19"/>
      <c r="D2827" s="19"/>
      <c r="H2827" s="105"/>
      <c r="I2827" s="126"/>
      <c r="J2827" s="11"/>
      <c r="K2827" s="108"/>
      <c r="L2827" s="11"/>
      <c r="M2827" s="105"/>
      <c r="N2827" s="105"/>
      <c r="O2827" s="11"/>
      <c r="P2827" s="11"/>
      <c r="Q2827" s="105"/>
      <c r="R2827" s="105"/>
      <c r="S2827" s="105"/>
      <c r="T2827" s="105"/>
      <c r="U2827" s="105"/>
      <c r="V2827" s="105"/>
      <c r="W2827" s="105"/>
      <c r="X2827" s="11"/>
      <c r="Y2827" s="11"/>
      <c r="Z2827" s="105"/>
      <c r="AA2827" s="11"/>
      <c r="AB2827" s="11"/>
      <c r="AC2827" s="105"/>
      <c r="AD2827" s="11" t="b">
        <v>0</v>
      </c>
      <c r="AE2827" s="105"/>
      <c r="AF2827" s="11"/>
      <c r="AG2827" s="11"/>
      <c r="AH2827" s="11"/>
      <c r="AI2827" s="11"/>
    </row>
    <row r="2828" ht="12.5" spans="3:35">
      <c r="C2828" s="19"/>
      <c r="D2828" s="19"/>
      <c r="H2828" s="105"/>
      <c r="I2828" s="126"/>
      <c r="J2828" s="11"/>
      <c r="K2828" s="108"/>
      <c r="L2828" s="11"/>
      <c r="M2828" s="105"/>
      <c r="N2828" s="105"/>
      <c r="O2828" s="11"/>
      <c r="P2828" s="11"/>
      <c r="Q2828" s="105"/>
      <c r="R2828" s="105"/>
      <c r="S2828" s="105"/>
      <c r="T2828" s="105"/>
      <c r="U2828" s="105"/>
      <c r="V2828" s="105"/>
      <c r="W2828" s="105"/>
      <c r="X2828" s="11"/>
      <c r="Y2828" s="11"/>
      <c r="Z2828" s="105"/>
      <c r="AA2828" s="11"/>
      <c r="AB2828" s="11"/>
      <c r="AC2828" s="105"/>
      <c r="AD2828" s="11" t="b">
        <v>0</v>
      </c>
      <c r="AE2828" s="105"/>
      <c r="AF2828" s="11"/>
      <c r="AG2828" s="11"/>
      <c r="AH2828" s="11"/>
      <c r="AI2828" s="11"/>
    </row>
    <row r="2829" ht="12.5" spans="3:35">
      <c r="C2829" s="19"/>
      <c r="D2829" s="19"/>
      <c r="H2829" s="105"/>
      <c r="I2829" s="126"/>
      <c r="J2829" s="11"/>
      <c r="K2829" s="108"/>
      <c r="L2829" s="11"/>
      <c r="M2829" s="105"/>
      <c r="N2829" s="105"/>
      <c r="O2829" s="11"/>
      <c r="P2829" s="11"/>
      <c r="Q2829" s="105"/>
      <c r="R2829" s="105"/>
      <c r="S2829" s="105"/>
      <c r="T2829" s="105"/>
      <c r="U2829" s="105"/>
      <c r="V2829" s="105"/>
      <c r="W2829" s="105"/>
      <c r="X2829" s="11"/>
      <c r="Y2829" s="11"/>
      <c r="Z2829" s="105"/>
      <c r="AA2829" s="11"/>
      <c r="AB2829" s="11"/>
      <c r="AC2829" s="105"/>
      <c r="AD2829" s="11" t="b">
        <v>0</v>
      </c>
      <c r="AE2829" s="105"/>
      <c r="AF2829" s="11"/>
      <c r="AG2829" s="11"/>
      <c r="AH2829" s="11"/>
      <c r="AI2829" s="11"/>
    </row>
    <row r="2830" ht="12.5" spans="3:35">
      <c r="C2830" s="19"/>
      <c r="D2830" s="19"/>
      <c r="H2830" s="105"/>
      <c r="I2830" s="126"/>
      <c r="J2830" s="11"/>
      <c r="K2830" s="108"/>
      <c r="L2830" s="11"/>
      <c r="M2830" s="105"/>
      <c r="N2830" s="105"/>
      <c r="O2830" s="11"/>
      <c r="P2830" s="11"/>
      <c r="Q2830" s="105"/>
      <c r="R2830" s="105"/>
      <c r="S2830" s="105"/>
      <c r="T2830" s="105"/>
      <c r="U2830" s="105"/>
      <c r="V2830" s="105"/>
      <c r="W2830" s="105"/>
      <c r="X2830" s="11"/>
      <c r="Y2830" s="11"/>
      <c r="Z2830" s="105"/>
      <c r="AA2830" s="11"/>
      <c r="AB2830" s="11"/>
      <c r="AC2830" s="105"/>
      <c r="AD2830" s="11" t="b">
        <v>0</v>
      </c>
      <c r="AE2830" s="105"/>
      <c r="AF2830" s="11"/>
      <c r="AG2830" s="11"/>
      <c r="AH2830" s="11"/>
      <c r="AI2830" s="11"/>
    </row>
    <row r="2831" ht="12.5" spans="3:35">
      <c r="C2831" s="19"/>
      <c r="D2831" s="19"/>
      <c r="H2831" s="105"/>
      <c r="I2831" s="126"/>
      <c r="J2831" s="11"/>
      <c r="K2831" s="108"/>
      <c r="L2831" s="11"/>
      <c r="M2831" s="105"/>
      <c r="N2831" s="105"/>
      <c r="O2831" s="11"/>
      <c r="P2831" s="11"/>
      <c r="Q2831" s="105"/>
      <c r="R2831" s="105"/>
      <c r="S2831" s="105"/>
      <c r="T2831" s="105"/>
      <c r="U2831" s="105"/>
      <c r="V2831" s="105"/>
      <c r="W2831" s="105"/>
      <c r="X2831" s="11"/>
      <c r="Y2831" s="11"/>
      <c r="Z2831" s="105"/>
      <c r="AA2831" s="11"/>
      <c r="AB2831" s="11"/>
      <c r="AC2831" s="105"/>
      <c r="AD2831" s="11" t="b">
        <v>0</v>
      </c>
      <c r="AE2831" s="105"/>
      <c r="AF2831" s="11"/>
      <c r="AG2831" s="11"/>
      <c r="AH2831" s="11"/>
      <c r="AI2831" s="11"/>
    </row>
    <row r="2832" ht="12.5" spans="3:35">
      <c r="C2832" s="19"/>
      <c r="D2832" s="19"/>
      <c r="H2832" s="105"/>
      <c r="I2832" s="126"/>
      <c r="J2832" s="11"/>
      <c r="K2832" s="108"/>
      <c r="L2832" s="11"/>
      <c r="M2832" s="105"/>
      <c r="N2832" s="105"/>
      <c r="O2832" s="11"/>
      <c r="P2832" s="11"/>
      <c r="Q2832" s="105"/>
      <c r="R2832" s="105"/>
      <c r="S2832" s="105"/>
      <c r="T2832" s="105"/>
      <c r="U2832" s="105"/>
      <c r="V2832" s="105"/>
      <c r="W2832" s="105"/>
      <c r="X2832" s="11"/>
      <c r="Y2832" s="11"/>
      <c r="Z2832" s="105"/>
      <c r="AA2832" s="11"/>
      <c r="AB2832" s="11"/>
      <c r="AC2832" s="105"/>
      <c r="AD2832" s="11" t="b">
        <v>0</v>
      </c>
      <c r="AE2832" s="105"/>
      <c r="AF2832" s="11"/>
      <c r="AG2832" s="11"/>
      <c r="AH2832" s="11"/>
      <c r="AI2832" s="11"/>
    </row>
    <row r="2833" ht="12.5" spans="3:35">
      <c r="C2833" s="19"/>
      <c r="D2833" s="19"/>
      <c r="H2833" s="105"/>
      <c r="I2833" s="126"/>
      <c r="J2833" s="11"/>
      <c r="K2833" s="108"/>
      <c r="L2833" s="11"/>
      <c r="M2833" s="105"/>
      <c r="N2833" s="105"/>
      <c r="O2833" s="11"/>
      <c r="P2833" s="11"/>
      <c r="Q2833" s="105"/>
      <c r="R2833" s="105"/>
      <c r="S2833" s="105"/>
      <c r="T2833" s="105"/>
      <c r="U2833" s="105"/>
      <c r="V2833" s="105"/>
      <c r="W2833" s="105"/>
      <c r="X2833" s="11"/>
      <c r="Y2833" s="11"/>
      <c r="Z2833" s="105"/>
      <c r="AA2833" s="11"/>
      <c r="AB2833" s="11"/>
      <c r="AC2833" s="105"/>
      <c r="AD2833" s="11" t="b">
        <v>0</v>
      </c>
      <c r="AE2833" s="105"/>
      <c r="AF2833" s="11"/>
      <c r="AG2833" s="11"/>
      <c r="AH2833" s="11"/>
      <c r="AI2833" s="11"/>
    </row>
    <row r="2834" ht="12.5" spans="3:35">
      <c r="C2834" s="19"/>
      <c r="D2834" s="19"/>
      <c r="H2834" s="105"/>
      <c r="I2834" s="126"/>
      <c r="J2834" s="11"/>
      <c r="K2834" s="108"/>
      <c r="L2834" s="11"/>
      <c r="M2834" s="105"/>
      <c r="N2834" s="105"/>
      <c r="O2834" s="11"/>
      <c r="P2834" s="11"/>
      <c r="Q2834" s="105"/>
      <c r="R2834" s="105"/>
      <c r="S2834" s="105"/>
      <c r="T2834" s="105"/>
      <c r="U2834" s="105"/>
      <c r="V2834" s="105"/>
      <c r="W2834" s="105"/>
      <c r="X2834" s="11"/>
      <c r="Y2834" s="11"/>
      <c r="Z2834" s="105"/>
      <c r="AA2834" s="11"/>
      <c r="AB2834" s="11"/>
      <c r="AC2834" s="105"/>
      <c r="AD2834" s="11" t="b">
        <v>0</v>
      </c>
      <c r="AE2834" s="105"/>
      <c r="AF2834" s="11"/>
      <c r="AG2834" s="11"/>
      <c r="AH2834" s="11"/>
      <c r="AI2834" s="11"/>
    </row>
    <row r="2835" ht="12.5" spans="3:35">
      <c r="C2835" s="19"/>
      <c r="D2835" s="19"/>
      <c r="H2835" s="105"/>
      <c r="I2835" s="126"/>
      <c r="J2835" s="11"/>
      <c r="K2835" s="108"/>
      <c r="L2835" s="11"/>
      <c r="M2835" s="105"/>
      <c r="N2835" s="105"/>
      <c r="O2835" s="11"/>
      <c r="P2835" s="11"/>
      <c r="Q2835" s="105"/>
      <c r="R2835" s="105"/>
      <c r="S2835" s="105"/>
      <c r="T2835" s="105"/>
      <c r="U2835" s="105"/>
      <c r="V2835" s="105"/>
      <c r="W2835" s="105"/>
      <c r="X2835" s="11"/>
      <c r="Y2835" s="11"/>
      <c r="Z2835" s="105"/>
      <c r="AA2835" s="11"/>
      <c r="AB2835" s="11"/>
      <c r="AC2835" s="105"/>
      <c r="AD2835" s="11" t="b">
        <v>0</v>
      </c>
      <c r="AE2835" s="105"/>
      <c r="AF2835" s="11"/>
      <c r="AG2835" s="11"/>
      <c r="AH2835" s="11"/>
      <c r="AI2835" s="11"/>
    </row>
    <row r="2836" ht="12.5" spans="3:35">
      <c r="C2836" s="19"/>
      <c r="D2836" s="19"/>
      <c r="H2836" s="105"/>
      <c r="I2836" s="126"/>
      <c r="J2836" s="11"/>
      <c r="K2836" s="108"/>
      <c r="L2836" s="11"/>
      <c r="M2836" s="105"/>
      <c r="N2836" s="105"/>
      <c r="O2836" s="11"/>
      <c r="P2836" s="11"/>
      <c r="Q2836" s="105"/>
      <c r="R2836" s="105"/>
      <c r="S2836" s="105"/>
      <c r="T2836" s="105"/>
      <c r="U2836" s="105"/>
      <c r="V2836" s="105"/>
      <c r="W2836" s="105"/>
      <c r="X2836" s="11"/>
      <c r="Y2836" s="11"/>
      <c r="Z2836" s="105"/>
      <c r="AA2836" s="11"/>
      <c r="AB2836" s="11"/>
      <c r="AC2836" s="105"/>
      <c r="AD2836" s="11" t="b">
        <v>0</v>
      </c>
      <c r="AE2836" s="105"/>
      <c r="AF2836" s="11"/>
      <c r="AG2836" s="11"/>
      <c r="AH2836" s="11"/>
      <c r="AI2836" s="11"/>
    </row>
    <row r="2837" ht="12.5" spans="3:35">
      <c r="C2837" s="19"/>
      <c r="D2837" s="19"/>
      <c r="H2837" s="105"/>
      <c r="I2837" s="126"/>
      <c r="J2837" s="11"/>
      <c r="K2837" s="108"/>
      <c r="L2837" s="11"/>
      <c r="M2837" s="105"/>
      <c r="N2837" s="105"/>
      <c r="O2837" s="11"/>
      <c r="P2837" s="11"/>
      <c r="Q2837" s="105"/>
      <c r="R2837" s="105"/>
      <c r="S2837" s="105"/>
      <c r="T2837" s="105"/>
      <c r="U2837" s="105"/>
      <c r="V2837" s="105"/>
      <c r="W2837" s="105"/>
      <c r="X2837" s="11"/>
      <c r="Y2837" s="11"/>
      <c r="Z2837" s="105"/>
      <c r="AA2837" s="11"/>
      <c r="AB2837" s="11"/>
      <c r="AC2837" s="105"/>
      <c r="AD2837" s="11" t="b">
        <v>0</v>
      </c>
      <c r="AE2837" s="105"/>
      <c r="AF2837" s="11"/>
      <c r="AG2837" s="11"/>
      <c r="AH2837" s="11"/>
      <c r="AI2837" s="11"/>
    </row>
    <row r="2838" ht="12.5" spans="3:35">
      <c r="C2838" s="19"/>
      <c r="D2838" s="19"/>
      <c r="H2838" s="105"/>
      <c r="I2838" s="126"/>
      <c r="J2838" s="11"/>
      <c r="K2838" s="108"/>
      <c r="L2838" s="11"/>
      <c r="M2838" s="105"/>
      <c r="N2838" s="105"/>
      <c r="O2838" s="11"/>
      <c r="P2838" s="11"/>
      <c r="Q2838" s="105"/>
      <c r="R2838" s="105"/>
      <c r="S2838" s="105"/>
      <c r="T2838" s="105"/>
      <c r="U2838" s="105"/>
      <c r="V2838" s="105"/>
      <c r="W2838" s="105"/>
      <c r="X2838" s="11"/>
      <c r="Y2838" s="11"/>
      <c r="Z2838" s="105"/>
      <c r="AA2838" s="11"/>
      <c r="AB2838" s="11"/>
      <c r="AC2838" s="105"/>
      <c r="AD2838" s="11" t="b">
        <v>0</v>
      </c>
      <c r="AE2838" s="105"/>
      <c r="AF2838" s="11"/>
      <c r="AG2838" s="11"/>
      <c r="AH2838" s="11"/>
      <c r="AI2838" s="11"/>
    </row>
    <row r="2839" ht="12.5" spans="3:35">
      <c r="C2839" s="19"/>
      <c r="D2839" s="19"/>
      <c r="H2839" s="105"/>
      <c r="I2839" s="126"/>
      <c r="J2839" s="11"/>
      <c r="K2839" s="108"/>
      <c r="L2839" s="11"/>
      <c r="M2839" s="105"/>
      <c r="N2839" s="105"/>
      <c r="O2839" s="11"/>
      <c r="P2839" s="11"/>
      <c r="Q2839" s="105"/>
      <c r="R2839" s="105"/>
      <c r="S2839" s="105"/>
      <c r="T2839" s="105"/>
      <c r="U2839" s="105"/>
      <c r="V2839" s="105"/>
      <c r="W2839" s="105"/>
      <c r="X2839" s="11"/>
      <c r="Y2839" s="11"/>
      <c r="Z2839" s="105"/>
      <c r="AA2839" s="11"/>
      <c r="AB2839" s="11"/>
      <c r="AC2839" s="105"/>
      <c r="AD2839" s="11" t="b">
        <v>0</v>
      </c>
      <c r="AE2839" s="105"/>
      <c r="AF2839" s="11"/>
      <c r="AG2839" s="11"/>
      <c r="AH2839" s="11"/>
      <c r="AI2839" s="11"/>
    </row>
    <row r="2840" ht="12.5" spans="3:35">
      <c r="C2840" s="19"/>
      <c r="D2840" s="19"/>
      <c r="H2840" s="105"/>
      <c r="I2840" s="126"/>
      <c r="J2840" s="11"/>
      <c r="K2840" s="108"/>
      <c r="L2840" s="11"/>
      <c r="M2840" s="105"/>
      <c r="N2840" s="105"/>
      <c r="O2840" s="11"/>
      <c r="P2840" s="11"/>
      <c r="Q2840" s="105"/>
      <c r="R2840" s="105"/>
      <c r="S2840" s="105"/>
      <c r="T2840" s="105"/>
      <c r="U2840" s="105"/>
      <c r="V2840" s="105"/>
      <c r="W2840" s="105"/>
      <c r="X2840" s="11"/>
      <c r="Y2840" s="11"/>
      <c r="Z2840" s="105"/>
      <c r="AA2840" s="11"/>
      <c r="AB2840" s="11"/>
      <c r="AC2840" s="105"/>
      <c r="AD2840" s="11" t="b">
        <v>0</v>
      </c>
      <c r="AE2840" s="105"/>
      <c r="AF2840" s="11"/>
      <c r="AG2840" s="11"/>
      <c r="AH2840" s="11"/>
      <c r="AI2840" s="11"/>
    </row>
    <row r="2841" ht="12.5" spans="3:35">
      <c r="C2841" s="19"/>
      <c r="D2841" s="19"/>
      <c r="H2841" s="105"/>
      <c r="I2841" s="126"/>
      <c r="J2841" s="11"/>
      <c r="K2841" s="108"/>
      <c r="L2841" s="11"/>
      <c r="M2841" s="105"/>
      <c r="N2841" s="105"/>
      <c r="O2841" s="11"/>
      <c r="P2841" s="11"/>
      <c r="Q2841" s="105"/>
      <c r="R2841" s="105"/>
      <c r="S2841" s="105"/>
      <c r="T2841" s="105"/>
      <c r="U2841" s="105"/>
      <c r="V2841" s="105"/>
      <c r="W2841" s="105"/>
      <c r="X2841" s="11"/>
      <c r="Y2841" s="11"/>
      <c r="Z2841" s="105"/>
      <c r="AA2841" s="11"/>
      <c r="AB2841" s="11"/>
      <c r="AC2841" s="105"/>
      <c r="AD2841" s="11" t="b">
        <v>0</v>
      </c>
      <c r="AE2841" s="105"/>
      <c r="AF2841" s="11"/>
      <c r="AG2841" s="11"/>
      <c r="AH2841" s="11"/>
      <c r="AI2841" s="11"/>
    </row>
    <row r="2842" ht="12.5" spans="3:35">
      <c r="C2842" s="19"/>
      <c r="D2842" s="19"/>
      <c r="H2842" s="105"/>
      <c r="I2842" s="126"/>
      <c r="J2842" s="11"/>
      <c r="K2842" s="108"/>
      <c r="L2842" s="11"/>
      <c r="M2842" s="105"/>
      <c r="N2842" s="105"/>
      <c r="O2842" s="11"/>
      <c r="P2842" s="11"/>
      <c r="Q2842" s="105"/>
      <c r="R2842" s="105"/>
      <c r="S2842" s="105"/>
      <c r="T2842" s="105"/>
      <c r="U2842" s="105"/>
      <c r="V2842" s="105"/>
      <c r="W2842" s="105"/>
      <c r="X2842" s="11"/>
      <c r="Y2842" s="11"/>
      <c r="Z2842" s="105"/>
      <c r="AA2842" s="11"/>
      <c r="AB2842" s="11"/>
      <c r="AC2842" s="105"/>
      <c r="AD2842" s="11" t="b">
        <v>0</v>
      </c>
      <c r="AE2842" s="105"/>
      <c r="AF2842" s="11"/>
      <c r="AG2842" s="11"/>
      <c r="AH2842" s="11"/>
      <c r="AI2842" s="11"/>
    </row>
    <row r="2843" ht="12.5" spans="3:35">
      <c r="C2843" s="19"/>
      <c r="D2843" s="19"/>
      <c r="H2843" s="105"/>
      <c r="I2843" s="126"/>
      <c r="J2843" s="11"/>
      <c r="K2843" s="108"/>
      <c r="L2843" s="11"/>
      <c r="M2843" s="105"/>
      <c r="N2843" s="105"/>
      <c r="O2843" s="11"/>
      <c r="P2843" s="11"/>
      <c r="Q2843" s="105"/>
      <c r="R2843" s="105"/>
      <c r="S2843" s="105"/>
      <c r="T2843" s="105"/>
      <c r="U2843" s="105"/>
      <c r="V2843" s="105"/>
      <c r="W2843" s="105"/>
      <c r="X2843" s="11"/>
      <c r="Y2843" s="11"/>
      <c r="Z2843" s="105"/>
      <c r="AA2843" s="11"/>
      <c r="AB2843" s="11"/>
      <c r="AC2843" s="105"/>
      <c r="AD2843" s="11" t="b">
        <v>0</v>
      </c>
      <c r="AE2843" s="105"/>
      <c r="AF2843" s="11"/>
      <c r="AG2843" s="11"/>
      <c r="AH2843" s="11"/>
      <c r="AI2843" s="11"/>
    </row>
    <row r="2844" ht="12.5" spans="3:35">
      <c r="C2844" s="19"/>
      <c r="D2844" s="19"/>
      <c r="H2844" s="105"/>
      <c r="I2844" s="126"/>
      <c r="J2844" s="11"/>
      <c r="K2844" s="108"/>
      <c r="L2844" s="11"/>
      <c r="M2844" s="105"/>
      <c r="N2844" s="105"/>
      <c r="O2844" s="11"/>
      <c r="P2844" s="11"/>
      <c r="Q2844" s="105"/>
      <c r="R2844" s="105"/>
      <c r="S2844" s="105"/>
      <c r="T2844" s="105"/>
      <c r="U2844" s="105"/>
      <c r="V2844" s="105"/>
      <c r="W2844" s="105"/>
      <c r="X2844" s="11"/>
      <c r="Y2844" s="11"/>
      <c r="Z2844" s="105"/>
      <c r="AA2844" s="11"/>
      <c r="AB2844" s="11"/>
      <c r="AC2844" s="105"/>
      <c r="AD2844" s="11" t="b">
        <v>0</v>
      </c>
      <c r="AE2844" s="105"/>
      <c r="AF2844" s="11"/>
      <c r="AG2844" s="11"/>
      <c r="AH2844" s="11"/>
      <c r="AI2844" s="11"/>
    </row>
    <row r="2845" ht="12.5" spans="3:35">
      <c r="C2845" s="19"/>
      <c r="D2845" s="19"/>
      <c r="H2845" s="105"/>
      <c r="I2845" s="126"/>
      <c r="J2845" s="11"/>
      <c r="K2845" s="108"/>
      <c r="L2845" s="11"/>
      <c r="M2845" s="105"/>
      <c r="N2845" s="105"/>
      <c r="O2845" s="11"/>
      <c r="P2845" s="11"/>
      <c r="Q2845" s="105"/>
      <c r="R2845" s="105"/>
      <c r="S2845" s="105"/>
      <c r="T2845" s="105"/>
      <c r="U2845" s="105"/>
      <c r="V2845" s="105"/>
      <c r="W2845" s="105"/>
      <c r="X2845" s="11"/>
      <c r="Y2845" s="11"/>
      <c r="Z2845" s="105"/>
      <c r="AA2845" s="11"/>
      <c r="AB2845" s="11"/>
      <c r="AC2845" s="105"/>
      <c r="AD2845" s="11" t="b">
        <v>0</v>
      </c>
      <c r="AE2845" s="105"/>
      <c r="AF2845" s="11"/>
      <c r="AG2845" s="11"/>
      <c r="AH2845" s="11"/>
      <c r="AI2845" s="11"/>
    </row>
    <row r="2846" ht="12.5" spans="3:35">
      <c r="C2846" s="19"/>
      <c r="D2846" s="19"/>
      <c r="H2846" s="105"/>
      <c r="I2846" s="126"/>
      <c r="J2846" s="11"/>
      <c r="K2846" s="108"/>
      <c r="L2846" s="11"/>
      <c r="M2846" s="105"/>
      <c r="N2846" s="105"/>
      <c r="O2846" s="11"/>
      <c r="P2846" s="11"/>
      <c r="Q2846" s="105"/>
      <c r="R2846" s="105"/>
      <c r="S2846" s="105"/>
      <c r="T2846" s="105"/>
      <c r="U2846" s="105"/>
      <c r="V2846" s="105"/>
      <c r="W2846" s="105"/>
      <c r="X2846" s="11"/>
      <c r="Y2846" s="11"/>
      <c r="Z2846" s="105"/>
      <c r="AA2846" s="11"/>
      <c r="AB2846" s="11"/>
      <c r="AC2846" s="105"/>
      <c r="AD2846" s="11" t="b">
        <v>0</v>
      </c>
      <c r="AE2846" s="105"/>
      <c r="AF2846" s="11"/>
      <c r="AG2846" s="11"/>
      <c r="AH2846" s="11"/>
      <c r="AI2846" s="11"/>
    </row>
    <row r="2847" ht="12.5" spans="3:35">
      <c r="C2847" s="19"/>
      <c r="D2847" s="19"/>
      <c r="H2847" s="105"/>
      <c r="I2847" s="126"/>
      <c r="J2847" s="11"/>
      <c r="K2847" s="108"/>
      <c r="L2847" s="11"/>
      <c r="M2847" s="105"/>
      <c r="N2847" s="105"/>
      <c r="O2847" s="11"/>
      <c r="P2847" s="11"/>
      <c r="Q2847" s="105"/>
      <c r="R2847" s="105"/>
      <c r="S2847" s="105"/>
      <c r="T2847" s="105"/>
      <c r="U2847" s="105"/>
      <c r="V2847" s="105"/>
      <c r="W2847" s="105"/>
      <c r="X2847" s="11"/>
      <c r="Y2847" s="11"/>
      <c r="Z2847" s="105"/>
      <c r="AA2847" s="11"/>
      <c r="AB2847" s="11"/>
      <c r="AC2847" s="105"/>
      <c r="AD2847" s="11" t="b">
        <v>0</v>
      </c>
      <c r="AE2847" s="105"/>
      <c r="AF2847" s="11"/>
      <c r="AG2847" s="11"/>
      <c r="AH2847" s="11"/>
      <c r="AI2847" s="11"/>
    </row>
    <row r="2848" ht="12.5" spans="3:35">
      <c r="C2848" s="19"/>
      <c r="D2848" s="19"/>
      <c r="H2848" s="105"/>
      <c r="I2848" s="126"/>
      <c r="J2848" s="11"/>
      <c r="K2848" s="108"/>
      <c r="L2848" s="11"/>
      <c r="M2848" s="105"/>
      <c r="N2848" s="105"/>
      <c r="O2848" s="11"/>
      <c r="P2848" s="11"/>
      <c r="Q2848" s="105"/>
      <c r="R2848" s="105"/>
      <c r="S2848" s="105"/>
      <c r="T2848" s="105"/>
      <c r="U2848" s="105"/>
      <c r="V2848" s="105"/>
      <c r="W2848" s="105"/>
      <c r="X2848" s="11"/>
      <c r="Y2848" s="11"/>
      <c r="Z2848" s="105"/>
      <c r="AA2848" s="11"/>
      <c r="AB2848" s="11"/>
      <c r="AC2848" s="105"/>
      <c r="AD2848" s="11" t="b">
        <v>0</v>
      </c>
      <c r="AE2848" s="105"/>
      <c r="AF2848" s="11"/>
      <c r="AG2848" s="11"/>
      <c r="AH2848" s="11"/>
      <c r="AI2848" s="11"/>
    </row>
    <row r="2849" ht="12.5" spans="3:35">
      <c r="C2849" s="19"/>
      <c r="D2849" s="19"/>
      <c r="H2849" s="105"/>
      <c r="I2849" s="126"/>
      <c r="J2849" s="11"/>
      <c r="K2849" s="108"/>
      <c r="L2849" s="11"/>
      <c r="M2849" s="105"/>
      <c r="N2849" s="105"/>
      <c r="O2849" s="11"/>
      <c r="P2849" s="11"/>
      <c r="Q2849" s="105"/>
      <c r="R2849" s="105"/>
      <c r="S2849" s="105"/>
      <c r="T2849" s="105"/>
      <c r="U2849" s="105"/>
      <c r="V2849" s="105"/>
      <c r="W2849" s="105"/>
      <c r="X2849" s="11"/>
      <c r="Y2849" s="11"/>
      <c r="Z2849" s="105"/>
      <c r="AA2849" s="11"/>
      <c r="AB2849" s="11"/>
      <c r="AC2849" s="105"/>
      <c r="AD2849" s="11" t="b">
        <v>0</v>
      </c>
      <c r="AE2849" s="105"/>
      <c r="AF2849" s="11"/>
      <c r="AG2849" s="11"/>
      <c r="AH2849" s="11"/>
      <c r="AI2849" s="11"/>
    </row>
    <row r="2850" ht="12.5" spans="3:35">
      <c r="C2850" s="19"/>
      <c r="D2850" s="19"/>
      <c r="H2850" s="105"/>
      <c r="I2850" s="126"/>
      <c r="J2850" s="11"/>
      <c r="K2850" s="108"/>
      <c r="L2850" s="11"/>
      <c r="M2850" s="105"/>
      <c r="N2850" s="105"/>
      <c r="O2850" s="11"/>
      <c r="P2850" s="11"/>
      <c r="Q2850" s="105"/>
      <c r="R2850" s="105"/>
      <c r="S2850" s="105"/>
      <c r="T2850" s="105"/>
      <c r="U2850" s="105"/>
      <c r="V2850" s="105"/>
      <c r="W2850" s="105"/>
      <c r="X2850" s="11"/>
      <c r="Y2850" s="11"/>
      <c r="Z2850" s="105"/>
      <c r="AA2850" s="11"/>
      <c r="AB2850" s="11"/>
      <c r="AC2850" s="105"/>
      <c r="AD2850" s="11" t="b">
        <v>0</v>
      </c>
      <c r="AE2850" s="105"/>
      <c r="AF2850" s="11"/>
      <c r="AG2850" s="11"/>
      <c r="AH2850" s="11"/>
      <c r="AI2850" s="11"/>
    </row>
    <row r="2851" ht="12.5" spans="3:35">
      <c r="C2851" s="19"/>
      <c r="D2851" s="19"/>
      <c r="H2851" s="105"/>
      <c r="I2851" s="126"/>
      <c r="J2851" s="11"/>
      <c r="K2851" s="108"/>
      <c r="L2851" s="11"/>
      <c r="M2851" s="105"/>
      <c r="N2851" s="105"/>
      <c r="O2851" s="11"/>
      <c r="P2851" s="11"/>
      <c r="Q2851" s="105"/>
      <c r="R2851" s="105"/>
      <c r="S2851" s="105"/>
      <c r="T2851" s="105"/>
      <c r="U2851" s="105"/>
      <c r="V2851" s="105"/>
      <c r="W2851" s="105"/>
      <c r="X2851" s="11"/>
      <c r="Y2851" s="11"/>
      <c r="Z2851" s="105"/>
      <c r="AA2851" s="11"/>
      <c r="AB2851" s="11"/>
      <c r="AC2851" s="105"/>
      <c r="AD2851" s="11" t="b">
        <v>0</v>
      </c>
      <c r="AE2851" s="105"/>
      <c r="AF2851" s="11"/>
      <c r="AG2851" s="11"/>
      <c r="AH2851" s="11"/>
      <c r="AI2851" s="11"/>
    </row>
    <row r="2852" ht="12.5" spans="3:35">
      <c r="C2852" s="19"/>
      <c r="D2852" s="19"/>
      <c r="H2852" s="105"/>
      <c r="I2852" s="126"/>
      <c r="J2852" s="11"/>
      <c r="K2852" s="108"/>
      <c r="L2852" s="11"/>
      <c r="M2852" s="105"/>
      <c r="N2852" s="105"/>
      <c r="O2852" s="11"/>
      <c r="P2852" s="11"/>
      <c r="Q2852" s="105"/>
      <c r="R2852" s="105"/>
      <c r="S2852" s="105"/>
      <c r="T2852" s="105"/>
      <c r="U2852" s="105"/>
      <c r="V2852" s="105"/>
      <c r="W2852" s="105"/>
      <c r="X2852" s="11"/>
      <c r="Y2852" s="11"/>
      <c r="Z2852" s="105"/>
      <c r="AA2852" s="11"/>
      <c r="AB2852" s="11"/>
      <c r="AC2852" s="105"/>
      <c r="AD2852" s="11" t="b">
        <v>0</v>
      </c>
      <c r="AE2852" s="105"/>
      <c r="AF2852" s="11"/>
      <c r="AG2852" s="11"/>
      <c r="AH2852" s="11"/>
      <c r="AI2852" s="11"/>
    </row>
    <row r="2853" ht="12.5" spans="3:35">
      <c r="C2853" s="19"/>
      <c r="D2853" s="19"/>
      <c r="H2853" s="105"/>
      <c r="I2853" s="126"/>
      <c r="J2853" s="11"/>
      <c r="K2853" s="108"/>
      <c r="L2853" s="11"/>
      <c r="M2853" s="105"/>
      <c r="N2853" s="105"/>
      <c r="O2853" s="11"/>
      <c r="P2853" s="11"/>
      <c r="Q2853" s="105"/>
      <c r="R2853" s="105"/>
      <c r="S2853" s="105"/>
      <c r="T2853" s="105"/>
      <c r="U2853" s="105"/>
      <c r="V2853" s="105"/>
      <c r="W2853" s="105"/>
      <c r="X2853" s="11"/>
      <c r="Y2853" s="11"/>
      <c r="Z2853" s="105"/>
      <c r="AA2853" s="11"/>
      <c r="AB2853" s="11"/>
      <c r="AC2853" s="105"/>
      <c r="AD2853" s="11" t="b">
        <v>0</v>
      </c>
      <c r="AE2853" s="105"/>
      <c r="AF2853" s="11"/>
      <c r="AG2853" s="11"/>
      <c r="AH2853" s="11"/>
      <c r="AI2853" s="11"/>
    </row>
    <row r="2854" ht="12.5" spans="3:35">
      <c r="C2854" s="19"/>
      <c r="D2854" s="19"/>
      <c r="H2854" s="105"/>
      <c r="I2854" s="126"/>
      <c r="J2854" s="11"/>
      <c r="K2854" s="108"/>
      <c r="L2854" s="11"/>
      <c r="M2854" s="105"/>
      <c r="N2854" s="105"/>
      <c r="O2854" s="11"/>
      <c r="P2854" s="11"/>
      <c r="Q2854" s="105"/>
      <c r="R2854" s="105"/>
      <c r="S2854" s="105"/>
      <c r="T2854" s="105"/>
      <c r="U2854" s="105"/>
      <c r="V2854" s="105"/>
      <c r="W2854" s="105"/>
      <c r="X2854" s="11"/>
      <c r="Y2854" s="11"/>
      <c r="Z2854" s="105"/>
      <c r="AA2854" s="11"/>
      <c r="AB2854" s="11"/>
      <c r="AC2854" s="105"/>
      <c r="AD2854" s="11" t="b">
        <v>0</v>
      </c>
      <c r="AE2854" s="105"/>
      <c r="AF2854" s="11"/>
      <c r="AG2854" s="11"/>
      <c r="AH2854" s="11"/>
      <c r="AI2854" s="11"/>
    </row>
    <row r="2855" ht="12.5" spans="3:35">
      <c r="C2855" s="19"/>
      <c r="D2855" s="19"/>
      <c r="H2855" s="105"/>
      <c r="I2855" s="126"/>
      <c r="J2855" s="11"/>
      <c r="K2855" s="108"/>
      <c r="L2855" s="11"/>
      <c r="M2855" s="105"/>
      <c r="N2855" s="105"/>
      <c r="O2855" s="11"/>
      <c r="P2855" s="11"/>
      <c r="Q2855" s="105"/>
      <c r="R2855" s="105"/>
      <c r="S2855" s="105"/>
      <c r="T2855" s="105"/>
      <c r="U2855" s="105"/>
      <c r="V2855" s="105"/>
      <c r="W2855" s="105"/>
      <c r="X2855" s="11"/>
      <c r="Y2855" s="11"/>
      <c r="Z2855" s="105"/>
      <c r="AA2855" s="11"/>
      <c r="AB2855" s="11"/>
      <c r="AC2855" s="105"/>
      <c r="AD2855" s="11" t="b">
        <v>0</v>
      </c>
      <c r="AE2855" s="105"/>
      <c r="AF2855" s="11"/>
      <c r="AG2855" s="11"/>
      <c r="AH2855" s="11"/>
      <c r="AI2855" s="11"/>
    </row>
    <row r="2856" ht="12.5" spans="3:35">
      <c r="C2856" s="19"/>
      <c r="D2856" s="19"/>
      <c r="H2856" s="105"/>
      <c r="I2856" s="126"/>
      <c r="J2856" s="11"/>
      <c r="K2856" s="108"/>
      <c r="L2856" s="11"/>
      <c r="M2856" s="105"/>
      <c r="N2856" s="105"/>
      <c r="O2856" s="11"/>
      <c r="P2856" s="11"/>
      <c r="Q2856" s="105"/>
      <c r="R2856" s="105"/>
      <c r="S2856" s="105"/>
      <c r="T2856" s="105"/>
      <c r="U2856" s="105"/>
      <c r="V2856" s="105"/>
      <c r="W2856" s="105"/>
      <c r="X2856" s="11"/>
      <c r="Y2856" s="11"/>
      <c r="Z2856" s="105"/>
      <c r="AA2856" s="11"/>
      <c r="AB2856" s="11"/>
      <c r="AC2856" s="105"/>
      <c r="AD2856" s="11" t="b">
        <v>0</v>
      </c>
      <c r="AE2856" s="105"/>
      <c r="AF2856" s="11"/>
      <c r="AG2856" s="11"/>
      <c r="AH2856" s="11"/>
      <c r="AI2856" s="11"/>
    </row>
    <row r="2857" ht="12.5" spans="3:35">
      <c r="C2857" s="19"/>
      <c r="D2857" s="19"/>
      <c r="H2857" s="105"/>
      <c r="I2857" s="126"/>
      <c r="J2857" s="11"/>
      <c r="K2857" s="108"/>
      <c r="L2857" s="11"/>
      <c r="M2857" s="105"/>
      <c r="N2857" s="105"/>
      <c r="O2857" s="11"/>
      <c r="P2857" s="11"/>
      <c r="Q2857" s="105"/>
      <c r="R2857" s="105"/>
      <c r="S2857" s="105"/>
      <c r="T2857" s="105"/>
      <c r="U2857" s="105"/>
      <c r="V2857" s="105"/>
      <c r="W2857" s="105"/>
      <c r="X2857" s="11"/>
      <c r="Y2857" s="11"/>
      <c r="Z2857" s="105"/>
      <c r="AA2857" s="11"/>
      <c r="AB2857" s="11"/>
      <c r="AC2857" s="105"/>
      <c r="AD2857" s="11" t="b">
        <v>0</v>
      </c>
      <c r="AE2857" s="105"/>
      <c r="AF2857" s="11"/>
      <c r="AG2857" s="11"/>
      <c r="AH2857" s="11"/>
      <c r="AI2857" s="11"/>
    </row>
    <row r="2858" ht="12.5" spans="3:35">
      <c r="C2858" s="19"/>
      <c r="D2858" s="19"/>
      <c r="H2858" s="105"/>
      <c r="I2858" s="126"/>
      <c r="J2858" s="11"/>
      <c r="K2858" s="108"/>
      <c r="L2858" s="11"/>
      <c r="M2858" s="105"/>
      <c r="N2858" s="105"/>
      <c r="O2858" s="11"/>
      <c r="P2858" s="11"/>
      <c r="Q2858" s="105"/>
      <c r="R2858" s="105"/>
      <c r="S2858" s="105"/>
      <c r="T2858" s="105"/>
      <c r="U2858" s="105"/>
      <c r="V2858" s="105"/>
      <c r="W2858" s="105"/>
      <c r="X2858" s="11"/>
      <c r="Y2858" s="11"/>
      <c r="Z2858" s="105"/>
      <c r="AA2858" s="11"/>
      <c r="AB2858" s="11"/>
      <c r="AC2858" s="105"/>
      <c r="AD2858" s="11" t="b">
        <v>0</v>
      </c>
      <c r="AE2858" s="105"/>
      <c r="AF2858" s="11"/>
      <c r="AG2858" s="11"/>
      <c r="AH2858" s="11"/>
      <c r="AI2858" s="11"/>
    </row>
    <row r="2859" ht="12.5" spans="3:35">
      <c r="C2859" s="19"/>
      <c r="D2859" s="19"/>
      <c r="H2859" s="105"/>
      <c r="I2859" s="126"/>
      <c r="J2859" s="11"/>
      <c r="K2859" s="108"/>
      <c r="L2859" s="11"/>
      <c r="M2859" s="105"/>
      <c r="N2859" s="105"/>
      <c r="O2859" s="11"/>
      <c r="P2859" s="11"/>
      <c r="Q2859" s="105"/>
      <c r="R2859" s="105"/>
      <c r="S2859" s="105"/>
      <c r="T2859" s="105"/>
      <c r="U2859" s="105"/>
      <c r="V2859" s="105"/>
      <c r="W2859" s="105"/>
      <c r="X2859" s="11"/>
      <c r="Y2859" s="11"/>
      <c r="Z2859" s="105"/>
      <c r="AA2859" s="11"/>
      <c r="AB2859" s="11"/>
      <c r="AC2859" s="105"/>
      <c r="AD2859" s="11" t="b">
        <v>0</v>
      </c>
      <c r="AE2859" s="105"/>
      <c r="AF2859" s="11"/>
      <c r="AG2859" s="11"/>
      <c r="AH2859" s="11"/>
      <c r="AI2859" s="11"/>
    </row>
    <row r="2860" ht="12.5" spans="3:35">
      <c r="C2860" s="19"/>
      <c r="D2860" s="19"/>
      <c r="H2860" s="105"/>
      <c r="I2860" s="126"/>
      <c r="J2860" s="11"/>
      <c r="K2860" s="108"/>
      <c r="L2860" s="11"/>
      <c r="M2860" s="105"/>
      <c r="N2860" s="105"/>
      <c r="O2860" s="11"/>
      <c r="P2860" s="11"/>
      <c r="Q2860" s="105"/>
      <c r="R2860" s="105"/>
      <c r="S2860" s="105"/>
      <c r="T2860" s="105"/>
      <c r="U2860" s="105"/>
      <c r="V2860" s="105"/>
      <c r="W2860" s="105"/>
      <c r="X2860" s="11"/>
      <c r="Y2860" s="11"/>
      <c r="Z2860" s="105"/>
      <c r="AA2860" s="11"/>
      <c r="AB2860" s="11"/>
      <c r="AC2860" s="105"/>
      <c r="AD2860" s="11" t="b">
        <v>0</v>
      </c>
      <c r="AE2860" s="105"/>
      <c r="AF2860" s="11"/>
      <c r="AG2860" s="11"/>
      <c r="AH2860" s="11"/>
      <c r="AI2860" s="11"/>
    </row>
    <row r="2861" ht="12.5" spans="3:35">
      <c r="C2861" s="19"/>
      <c r="D2861" s="19"/>
      <c r="H2861" s="105"/>
      <c r="I2861" s="126"/>
      <c r="J2861" s="11"/>
      <c r="K2861" s="108"/>
      <c r="L2861" s="11"/>
      <c r="M2861" s="105"/>
      <c r="N2861" s="105"/>
      <c r="O2861" s="11"/>
      <c r="P2861" s="11"/>
      <c r="Q2861" s="105"/>
      <c r="R2861" s="105"/>
      <c r="S2861" s="105"/>
      <c r="T2861" s="105"/>
      <c r="U2861" s="105"/>
      <c r="V2861" s="105"/>
      <c r="W2861" s="105"/>
      <c r="X2861" s="11"/>
      <c r="Y2861" s="11"/>
      <c r="Z2861" s="105"/>
      <c r="AA2861" s="11"/>
      <c r="AB2861" s="11"/>
      <c r="AC2861" s="105"/>
      <c r="AD2861" s="11" t="b">
        <v>0</v>
      </c>
      <c r="AE2861" s="105"/>
      <c r="AF2861" s="11"/>
      <c r="AG2861" s="11"/>
      <c r="AH2861" s="11"/>
      <c r="AI2861" s="11"/>
    </row>
    <row r="2862" ht="12.5" spans="3:35">
      <c r="C2862" s="19"/>
      <c r="D2862" s="19"/>
      <c r="H2862" s="105"/>
      <c r="I2862" s="126"/>
      <c r="J2862" s="11"/>
      <c r="K2862" s="108"/>
      <c r="L2862" s="11"/>
      <c r="M2862" s="105"/>
      <c r="N2862" s="105"/>
      <c r="O2862" s="11"/>
      <c r="P2862" s="11"/>
      <c r="Q2862" s="105"/>
      <c r="R2862" s="105"/>
      <c r="S2862" s="105"/>
      <c r="T2862" s="105"/>
      <c r="U2862" s="105"/>
      <c r="V2862" s="105"/>
      <c r="W2862" s="105"/>
      <c r="X2862" s="11"/>
      <c r="Y2862" s="11"/>
      <c r="Z2862" s="105"/>
      <c r="AA2862" s="11"/>
      <c r="AB2862" s="11"/>
      <c r="AC2862" s="105"/>
      <c r="AD2862" s="11" t="b">
        <v>0</v>
      </c>
      <c r="AE2862" s="105"/>
      <c r="AF2862" s="11"/>
      <c r="AG2862" s="11"/>
      <c r="AH2862" s="11"/>
      <c r="AI2862" s="11"/>
    </row>
    <row r="2863" ht="12.5" spans="3:35">
      <c r="C2863" s="19"/>
      <c r="D2863" s="19"/>
      <c r="H2863" s="105"/>
      <c r="I2863" s="126"/>
      <c r="J2863" s="11"/>
      <c r="K2863" s="108"/>
      <c r="L2863" s="11"/>
      <c r="M2863" s="105"/>
      <c r="N2863" s="105"/>
      <c r="O2863" s="11"/>
      <c r="P2863" s="11"/>
      <c r="Q2863" s="105"/>
      <c r="R2863" s="105"/>
      <c r="S2863" s="105"/>
      <c r="T2863" s="105"/>
      <c r="U2863" s="105"/>
      <c r="V2863" s="105"/>
      <c r="W2863" s="105"/>
      <c r="X2863" s="11"/>
      <c r="Y2863" s="11"/>
      <c r="Z2863" s="105"/>
      <c r="AA2863" s="11"/>
      <c r="AB2863" s="11"/>
      <c r="AC2863" s="105"/>
      <c r="AD2863" s="11" t="b">
        <v>0</v>
      </c>
      <c r="AE2863" s="105"/>
      <c r="AF2863" s="11"/>
      <c r="AG2863" s="11"/>
      <c r="AH2863" s="11"/>
      <c r="AI2863" s="11"/>
    </row>
    <row r="2864" ht="12.5" spans="3:35">
      <c r="C2864" s="19"/>
      <c r="D2864" s="19"/>
      <c r="H2864" s="105"/>
      <c r="I2864" s="126"/>
      <c r="J2864" s="11"/>
      <c r="K2864" s="108"/>
      <c r="L2864" s="11"/>
      <c r="M2864" s="105"/>
      <c r="N2864" s="105"/>
      <c r="O2864" s="11"/>
      <c r="P2864" s="11"/>
      <c r="Q2864" s="105"/>
      <c r="R2864" s="105"/>
      <c r="S2864" s="105"/>
      <c r="T2864" s="105"/>
      <c r="U2864" s="105"/>
      <c r="V2864" s="105"/>
      <c r="W2864" s="105"/>
      <c r="X2864" s="11"/>
      <c r="Y2864" s="11"/>
      <c r="Z2864" s="105"/>
      <c r="AA2864" s="11"/>
      <c r="AB2864" s="11"/>
      <c r="AC2864" s="105"/>
      <c r="AD2864" s="11" t="b">
        <v>0</v>
      </c>
      <c r="AE2864" s="105"/>
      <c r="AF2864" s="11"/>
      <c r="AG2864" s="11"/>
      <c r="AH2864" s="11"/>
      <c r="AI2864" s="11"/>
    </row>
    <row r="2865" ht="12.5" spans="3:35">
      <c r="C2865" s="19"/>
      <c r="D2865" s="19"/>
      <c r="H2865" s="105"/>
      <c r="I2865" s="126"/>
      <c r="J2865" s="11"/>
      <c r="K2865" s="108"/>
      <c r="L2865" s="11"/>
      <c r="M2865" s="105"/>
      <c r="N2865" s="105"/>
      <c r="O2865" s="11"/>
      <c r="P2865" s="11"/>
      <c r="Q2865" s="105"/>
      <c r="R2865" s="105"/>
      <c r="S2865" s="105"/>
      <c r="T2865" s="105"/>
      <c r="U2865" s="105"/>
      <c r="V2865" s="105"/>
      <c r="W2865" s="105"/>
      <c r="X2865" s="11"/>
      <c r="Y2865" s="11"/>
      <c r="Z2865" s="105"/>
      <c r="AA2865" s="11"/>
      <c r="AB2865" s="11"/>
      <c r="AC2865" s="105"/>
      <c r="AD2865" s="11" t="b">
        <v>0</v>
      </c>
      <c r="AE2865" s="105"/>
      <c r="AF2865" s="11"/>
      <c r="AG2865" s="11"/>
      <c r="AH2865" s="11"/>
      <c r="AI2865" s="11"/>
    </row>
    <row r="2866" ht="12.5" spans="3:35">
      <c r="C2866" s="19"/>
      <c r="D2866" s="19"/>
      <c r="H2866" s="105"/>
      <c r="I2866" s="126"/>
      <c r="J2866" s="11"/>
      <c r="K2866" s="108"/>
      <c r="L2866" s="11"/>
      <c r="M2866" s="105"/>
      <c r="N2866" s="105"/>
      <c r="O2866" s="11"/>
      <c r="P2866" s="11"/>
      <c r="Q2866" s="105"/>
      <c r="R2866" s="105"/>
      <c r="S2866" s="105"/>
      <c r="T2866" s="105"/>
      <c r="U2866" s="105"/>
      <c r="V2866" s="105"/>
      <c r="W2866" s="105"/>
      <c r="X2866" s="11"/>
      <c r="Y2866" s="11"/>
      <c r="Z2866" s="105"/>
      <c r="AA2866" s="11"/>
      <c r="AB2866" s="11"/>
      <c r="AC2866" s="105"/>
      <c r="AD2866" s="11" t="b">
        <v>0</v>
      </c>
      <c r="AE2866" s="105"/>
      <c r="AF2866" s="11"/>
      <c r="AG2866" s="11"/>
      <c r="AH2866" s="11"/>
      <c r="AI2866" s="11"/>
    </row>
    <row r="2867" ht="12.5" spans="3:35">
      <c r="C2867" s="19"/>
      <c r="D2867" s="19"/>
      <c r="H2867" s="105"/>
      <c r="I2867" s="126"/>
      <c r="J2867" s="11"/>
      <c r="K2867" s="108"/>
      <c r="L2867" s="11"/>
      <c r="M2867" s="105"/>
      <c r="N2867" s="105"/>
      <c r="O2867" s="11"/>
      <c r="P2867" s="11"/>
      <c r="Q2867" s="105"/>
      <c r="R2867" s="105"/>
      <c r="S2867" s="105"/>
      <c r="T2867" s="105"/>
      <c r="U2867" s="105"/>
      <c r="V2867" s="105"/>
      <c r="W2867" s="105"/>
      <c r="X2867" s="11"/>
      <c r="Y2867" s="11"/>
      <c r="Z2867" s="105"/>
      <c r="AA2867" s="11"/>
      <c r="AB2867" s="11"/>
      <c r="AC2867" s="105"/>
      <c r="AD2867" s="11" t="b">
        <v>0</v>
      </c>
      <c r="AE2867" s="105"/>
      <c r="AF2867" s="11"/>
      <c r="AG2867" s="11"/>
      <c r="AH2867" s="11"/>
      <c r="AI2867" s="11"/>
    </row>
    <row r="2868" ht="12.5" spans="3:35">
      <c r="C2868" s="19"/>
      <c r="D2868" s="19"/>
      <c r="H2868" s="105"/>
      <c r="I2868" s="126"/>
      <c r="J2868" s="11"/>
      <c r="K2868" s="108"/>
      <c r="L2868" s="11"/>
      <c r="M2868" s="105"/>
      <c r="N2868" s="105"/>
      <c r="O2868" s="11"/>
      <c r="P2868" s="11"/>
      <c r="Q2868" s="105"/>
      <c r="R2868" s="105"/>
      <c r="S2868" s="105"/>
      <c r="T2868" s="105"/>
      <c r="U2868" s="105"/>
      <c r="V2868" s="105"/>
      <c r="W2868" s="105"/>
      <c r="X2868" s="11"/>
      <c r="Y2868" s="11"/>
      <c r="Z2868" s="105"/>
      <c r="AA2868" s="11"/>
      <c r="AB2868" s="11"/>
      <c r="AC2868" s="105"/>
      <c r="AD2868" s="11" t="b">
        <v>0</v>
      </c>
      <c r="AE2868" s="105"/>
      <c r="AF2868" s="11"/>
      <c r="AG2868" s="11"/>
      <c r="AH2868" s="11"/>
      <c r="AI2868" s="11"/>
    </row>
    <row r="2869" ht="12.5" spans="3:35">
      <c r="C2869" s="19"/>
      <c r="D2869" s="19"/>
      <c r="H2869" s="105"/>
      <c r="I2869" s="126"/>
      <c r="J2869" s="11"/>
      <c r="K2869" s="108"/>
      <c r="L2869" s="11"/>
      <c r="M2869" s="105"/>
      <c r="N2869" s="105"/>
      <c r="O2869" s="11"/>
      <c r="P2869" s="11"/>
      <c r="Q2869" s="105"/>
      <c r="R2869" s="105"/>
      <c r="S2869" s="105"/>
      <c r="T2869" s="105"/>
      <c r="U2869" s="105"/>
      <c r="V2869" s="105"/>
      <c r="W2869" s="105"/>
      <c r="X2869" s="11"/>
      <c r="Y2869" s="11"/>
      <c r="Z2869" s="105"/>
      <c r="AA2869" s="11"/>
      <c r="AB2869" s="11"/>
      <c r="AC2869" s="105"/>
      <c r="AD2869" s="11" t="b">
        <v>0</v>
      </c>
      <c r="AE2869" s="105"/>
      <c r="AF2869" s="11"/>
      <c r="AG2869" s="11"/>
      <c r="AH2869" s="11"/>
      <c r="AI2869" s="11"/>
    </row>
    <row r="2870" ht="12.5" spans="3:35">
      <c r="C2870" s="19"/>
      <c r="D2870" s="19"/>
      <c r="H2870" s="105"/>
      <c r="I2870" s="126"/>
      <c r="J2870" s="11"/>
      <c r="K2870" s="108"/>
      <c r="L2870" s="11"/>
      <c r="M2870" s="105"/>
      <c r="N2870" s="105"/>
      <c r="O2870" s="11"/>
      <c r="P2870" s="11"/>
      <c r="Q2870" s="105"/>
      <c r="R2870" s="105"/>
      <c r="S2870" s="105"/>
      <c r="T2870" s="105"/>
      <c r="U2870" s="105"/>
      <c r="V2870" s="105"/>
      <c r="W2870" s="105"/>
      <c r="X2870" s="11"/>
      <c r="Y2870" s="11"/>
      <c r="Z2870" s="105"/>
      <c r="AA2870" s="11"/>
      <c r="AB2870" s="11"/>
      <c r="AC2870" s="105"/>
      <c r="AD2870" s="11" t="b">
        <v>0</v>
      </c>
      <c r="AE2870" s="105"/>
      <c r="AF2870" s="11"/>
      <c r="AG2870" s="11"/>
      <c r="AH2870" s="11"/>
      <c r="AI2870" s="11"/>
    </row>
    <row r="2871" ht="12.5" spans="3:35">
      <c r="C2871" s="19"/>
      <c r="D2871" s="19"/>
      <c r="H2871" s="105"/>
      <c r="I2871" s="126"/>
      <c r="J2871" s="11"/>
      <c r="K2871" s="108"/>
      <c r="L2871" s="11"/>
      <c r="M2871" s="105"/>
      <c r="N2871" s="105"/>
      <c r="O2871" s="11"/>
      <c r="P2871" s="11"/>
      <c r="Q2871" s="105"/>
      <c r="R2871" s="105"/>
      <c r="S2871" s="105"/>
      <c r="T2871" s="105"/>
      <c r="U2871" s="105"/>
      <c r="V2871" s="105"/>
      <c r="W2871" s="105"/>
      <c r="X2871" s="11"/>
      <c r="Y2871" s="11"/>
      <c r="Z2871" s="105"/>
      <c r="AA2871" s="11"/>
      <c r="AB2871" s="11"/>
      <c r="AC2871" s="105"/>
      <c r="AD2871" s="11" t="b">
        <v>0</v>
      </c>
      <c r="AE2871" s="105"/>
      <c r="AF2871" s="11"/>
      <c r="AG2871" s="11"/>
      <c r="AH2871" s="11"/>
      <c r="AI2871" s="11"/>
    </row>
    <row r="2872" ht="12.5" spans="3:35">
      <c r="C2872" s="19"/>
      <c r="D2872" s="19"/>
      <c r="H2872" s="105"/>
      <c r="I2872" s="126"/>
      <c r="J2872" s="11"/>
      <c r="K2872" s="108"/>
      <c r="L2872" s="11"/>
      <c r="M2872" s="105"/>
      <c r="N2872" s="105"/>
      <c r="O2872" s="11"/>
      <c r="P2872" s="11"/>
      <c r="Q2872" s="105"/>
      <c r="R2872" s="105"/>
      <c r="S2872" s="105"/>
      <c r="T2872" s="105"/>
      <c r="U2872" s="105"/>
      <c r="V2872" s="105"/>
      <c r="W2872" s="105"/>
      <c r="X2872" s="11"/>
      <c r="Y2872" s="11"/>
      <c r="Z2872" s="105"/>
      <c r="AA2872" s="11"/>
      <c r="AB2872" s="11"/>
      <c r="AC2872" s="105"/>
      <c r="AD2872" s="11" t="b">
        <v>0</v>
      </c>
      <c r="AE2872" s="105"/>
      <c r="AF2872" s="11"/>
      <c r="AG2872" s="11"/>
      <c r="AH2872" s="11"/>
      <c r="AI2872" s="11"/>
    </row>
    <row r="2873" ht="12.5" spans="3:35">
      <c r="C2873" s="19"/>
      <c r="D2873" s="19"/>
      <c r="H2873" s="105"/>
      <c r="I2873" s="126"/>
      <c r="J2873" s="11"/>
      <c r="K2873" s="108"/>
      <c r="L2873" s="11"/>
      <c r="M2873" s="105"/>
      <c r="N2873" s="105"/>
      <c r="O2873" s="11"/>
      <c r="P2873" s="11"/>
      <c r="Q2873" s="105"/>
      <c r="R2873" s="105"/>
      <c r="S2873" s="105"/>
      <c r="T2873" s="105"/>
      <c r="U2873" s="105"/>
      <c r="V2873" s="105"/>
      <c r="W2873" s="105"/>
      <c r="X2873" s="11"/>
      <c r="Y2873" s="11"/>
      <c r="Z2873" s="105"/>
      <c r="AA2873" s="11"/>
      <c r="AB2873" s="11"/>
      <c r="AC2873" s="105"/>
      <c r="AD2873" s="11" t="b">
        <v>0</v>
      </c>
      <c r="AE2873" s="105"/>
      <c r="AF2873" s="11"/>
      <c r="AG2873" s="11"/>
      <c r="AH2873" s="11"/>
      <c r="AI2873" s="11"/>
    </row>
    <row r="2874" ht="12.5" spans="3:35">
      <c r="C2874" s="19"/>
      <c r="D2874" s="19"/>
      <c r="H2874" s="105"/>
      <c r="I2874" s="126"/>
      <c r="J2874" s="11"/>
      <c r="K2874" s="108"/>
      <c r="L2874" s="11"/>
      <c r="M2874" s="105"/>
      <c r="N2874" s="105"/>
      <c r="O2874" s="11"/>
      <c r="P2874" s="11"/>
      <c r="Q2874" s="105"/>
      <c r="R2874" s="105"/>
      <c r="S2874" s="105"/>
      <c r="T2874" s="105"/>
      <c r="U2874" s="105"/>
      <c r="V2874" s="105"/>
      <c r="W2874" s="105"/>
      <c r="X2874" s="11"/>
      <c r="Y2874" s="11"/>
      <c r="Z2874" s="105"/>
      <c r="AA2874" s="11"/>
      <c r="AB2874" s="11"/>
      <c r="AC2874" s="105"/>
      <c r="AD2874" s="11" t="b">
        <v>0</v>
      </c>
      <c r="AE2874" s="105"/>
      <c r="AF2874" s="11"/>
      <c r="AG2874" s="11"/>
      <c r="AH2874" s="11"/>
      <c r="AI2874" s="11"/>
    </row>
    <row r="2875" ht="12.5" spans="3:35">
      <c r="C2875" s="19"/>
      <c r="D2875" s="19"/>
      <c r="H2875" s="105"/>
      <c r="I2875" s="126"/>
      <c r="J2875" s="11"/>
      <c r="K2875" s="108"/>
      <c r="L2875" s="11"/>
      <c r="M2875" s="105"/>
      <c r="N2875" s="105"/>
      <c r="O2875" s="11"/>
      <c r="P2875" s="11"/>
      <c r="Q2875" s="105"/>
      <c r="R2875" s="105"/>
      <c r="S2875" s="105"/>
      <c r="T2875" s="105"/>
      <c r="U2875" s="105"/>
      <c r="V2875" s="105"/>
      <c r="W2875" s="105"/>
      <c r="X2875" s="11"/>
      <c r="Y2875" s="11"/>
      <c r="Z2875" s="105"/>
      <c r="AA2875" s="11"/>
      <c r="AB2875" s="11"/>
      <c r="AC2875" s="105"/>
      <c r="AD2875" s="11" t="b">
        <v>0</v>
      </c>
      <c r="AE2875" s="105"/>
      <c r="AF2875" s="11"/>
      <c r="AG2875" s="11"/>
      <c r="AH2875" s="11"/>
      <c r="AI2875" s="11"/>
    </row>
    <row r="2876" ht="12.5" spans="3:35">
      <c r="C2876" s="19"/>
      <c r="D2876" s="19"/>
      <c r="H2876" s="105"/>
      <c r="I2876" s="126"/>
      <c r="J2876" s="11"/>
      <c r="K2876" s="108"/>
      <c r="L2876" s="11"/>
      <c r="M2876" s="105"/>
      <c r="N2876" s="105"/>
      <c r="O2876" s="11"/>
      <c r="P2876" s="11"/>
      <c r="Q2876" s="105"/>
      <c r="R2876" s="105"/>
      <c r="S2876" s="105"/>
      <c r="T2876" s="105"/>
      <c r="U2876" s="105"/>
      <c r="V2876" s="105"/>
      <c r="W2876" s="105"/>
      <c r="X2876" s="11"/>
      <c r="Y2876" s="11"/>
      <c r="Z2876" s="105"/>
      <c r="AA2876" s="11"/>
      <c r="AB2876" s="11"/>
      <c r="AC2876" s="105"/>
      <c r="AD2876" s="11" t="b">
        <v>0</v>
      </c>
      <c r="AE2876" s="105"/>
      <c r="AF2876" s="11"/>
      <c r="AG2876" s="11"/>
      <c r="AH2876" s="11"/>
      <c r="AI2876" s="11"/>
    </row>
    <row r="2877" ht="12.5" spans="3:35">
      <c r="C2877" s="19"/>
      <c r="D2877" s="19"/>
      <c r="H2877" s="105"/>
      <c r="I2877" s="126"/>
      <c r="J2877" s="11"/>
      <c r="K2877" s="108"/>
      <c r="L2877" s="11"/>
      <c r="M2877" s="105"/>
      <c r="N2877" s="105"/>
      <c r="O2877" s="11"/>
      <c r="P2877" s="11"/>
      <c r="Q2877" s="105"/>
      <c r="R2877" s="105"/>
      <c r="S2877" s="105"/>
      <c r="T2877" s="105"/>
      <c r="U2877" s="105"/>
      <c r="V2877" s="105"/>
      <c r="W2877" s="105"/>
      <c r="X2877" s="11"/>
      <c r="Y2877" s="11"/>
      <c r="Z2877" s="105"/>
      <c r="AA2877" s="11"/>
      <c r="AB2877" s="11"/>
      <c r="AC2877" s="105"/>
      <c r="AD2877" s="11" t="b">
        <v>0</v>
      </c>
      <c r="AE2877" s="105"/>
      <c r="AF2877" s="11"/>
      <c r="AG2877" s="11"/>
      <c r="AH2877" s="11"/>
      <c r="AI2877" s="11"/>
    </row>
    <row r="2878" ht="12.5" spans="3:35">
      <c r="C2878" s="19"/>
      <c r="D2878" s="19"/>
      <c r="H2878" s="105"/>
      <c r="I2878" s="126"/>
      <c r="J2878" s="11"/>
      <c r="K2878" s="108"/>
      <c r="L2878" s="11"/>
      <c r="M2878" s="105"/>
      <c r="N2878" s="105"/>
      <c r="O2878" s="11"/>
      <c r="P2878" s="11"/>
      <c r="Q2878" s="105"/>
      <c r="R2878" s="105"/>
      <c r="S2878" s="105"/>
      <c r="T2878" s="105"/>
      <c r="U2878" s="105"/>
      <c r="V2878" s="105"/>
      <c r="W2878" s="105"/>
      <c r="X2878" s="11"/>
      <c r="Y2878" s="11"/>
      <c r="Z2878" s="105"/>
      <c r="AA2878" s="11"/>
      <c r="AB2878" s="11"/>
      <c r="AC2878" s="105"/>
      <c r="AD2878" s="11" t="b">
        <v>0</v>
      </c>
      <c r="AE2878" s="105"/>
      <c r="AF2878" s="11"/>
      <c r="AG2878" s="11"/>
      <c r="AH2878" s="11"/>
      <c r="AI2878" s="11"/>
    </row>
    <row r="2879" ht="12.5" spans="3:35">
      <c r="C2879" s="19"/>
      <c r="D2879" s="19"/>
      <c r="H2879" s="105"/>
      <c r="I2879" s="126"/>
      <c r="J2879" s="11"/>
      <c r="K2879" s="108"/>
      <c r="L2879" s="11"/>
      <c r="M2879" s="105"/>
      <c r="N2879" s="105"/>
      <c r="O2879" s="11"/>
      <c r="P2879" s="11"/>
      <c r="Q2879" s="105"/>
      <c r="R2879" s="105"/>
      <c r="S2879" s="105"/>
      <c r="T2879" s="105"/>
      <c r="U2879" s="105"/>
      <c r="V2879" s="105"/>
      <c r="W2879" s="105"/>
      <c r="X2879" s="11"/>
      <c r="Y2879" s="11"/>
      <c r="Z2879" s="105"/>
      <c r="AA2879" s="11"/>
      <c r="AB2879" s="11"/>
      <c r="AC2879" s="105"/>
      <c r="AD2879" s="11" t="b">
        <v>0</v>
      </c>
      <c r="AE2879" s="105"/>
      <c r="AF2879" s="11"/>
      <c r="AG2879" s="11"/>
      <c r="AH2879" s="11"/>
      <c r="AI2879" s="11"/>
    </row>
    <row r="2880" ht="12.5" spans="3:35">
      <c r="C2880" s="19"/>
      <c r="D2880" s="19"/>
      <c r="H2880" s="105"/>
      <c r="I2880" s="126"/>
      <c r="J2880" s="11"/>
      <c r="K2880" s="108"/>
      <c r="L2880" s="11"/>
      <c r="M2880" s="105"/>
      <c r="N2880" s="105"/>
      <c r="O2880" s="11"/>
      <c r="P2880" s="11"/>
      <c r="Q2880" s="105"/>
      <c r="R2880" s="105"/>
      <c r="S2880" s="105"/>
      <c r="T2880" s="105"/>
      <c r="U2880" s="105"/>
      <c r="V2880" s="105"/>
      <c r="W2880" s="105"/>
      <c r="X2880" s="11"/>
      <c r="Y2880" s="11"/>
      <c r="Z2880" s="105"/>
      <c r="AA2880" s="11"/>
      <c r="AB2880" s="11"/>
      <c r="AC2880" s="105"/>
      <c r="AD2880" s="11" t="b">
        <v>0</v>
      </c>
      <c r="AE2880" s="105"/>
      <c r="AF2880" s="11"/>
      <c r="AG2880" s="11"/>
      <c r="AH2880" s="11"/>
      <c r="AI2880" s="11"/>
    </row>
    <row r="2881" ht="12.5" spans="3:35">
      <c r="C2881" s="19"/>
      <c r="D2881" s="19"/>
      <c r="H2881" s="105"/>
      <c r="I2881" s="126"/>
      <c r="J2881" s="11"/>
      <c r="K2881" s="108"/>
      <c r="L2881" s="11"/>
      <c r="M2881" s="105"/>
      <c r="N2881" s="105"/>
      <c r="O2881" s="11"/>
      <c r="P2881" s="11"/>
      <c r="Q2881" s="105"/>
      <c r="R2881" s="105"/>
      <c r="S2881" s="105"/>
      <c r="T2881" s="105"/>
      <c r="U2881" s="105"/>
      <c r="V2881" s="105"/>
      <c r="W2881" s="105"/>
      <c r="X2881" s="11"/>
      <c r="Y2881" s="11"/>
      <c r="Z2881" s="105"/>
      <c r="AA2881" s="11"/>
      <c r="AB2881" s="11"/>
      <c r="AC2881" s="105"/>
      <c r="AD2881" s="11" t="b">
        <v>0</v>
      </c>
      <c r="AE2881" s="105"/>
      <c r="AF2881" s="11"/>
      <c r="AG2881" s="11"/>
      <c r="AH2881" s="11"/>
      <c r="AI2881" s="11"/>
    </row>
    <row r="2882" ht="12.5" spans="3:35">
      <c r="C2882" s="19"/>
      <c r="D2882" s="19"/>
      <c r="H2882" s="105"/>
      <c r="I2882" s="126"/>
      <c r="J2882" s="11"/>
      <c r="K2882" s="108"/>
      <c r="L2882" s="11"/>
      <c r="M2882" s="105"/>
      <c r="N2882" s="105"/>
      <c r="O2882" s="11"/>
      <c r="P2882" s="11"/>
      <c r="Q2882" s="105"/>
      <c r="R2882" s="105"/>
      <c r="S2882" s="105"/>
      <c r="T2882" s="105"/>
      <c r="U2882" s="105"/>
      <c r="V2882" s="105"/>
      <c r="W2882" s="105"/>
      <c r="X2882" s="11"/>
      <c r="Y2882" s="11"/>
      <c r="Z2882" s="105"/>
      <c r="AA2882" s="11"/>
      <c r="AB2882" s="11"/>
      <c r="AC2882" s="105"/>
      <c r="AD2882" s="11" t="b">
        <v>0</v>
      </c>
      <c r="AE2882" s="105"/>
      <c r="AF2882" s="11"/>
      <c r="AG2882" s="11"/>
      <c r="AH2882" s="11"/>
      <c r="AI2882" s="11"/>
    </row>
    <row r="2883" ht="12.5" spans="3:35">
      <c r="C2883" s="19"/>
      <c r="D2883" s="19"/>
      <c r="H2883" s="105"/>
      <c r="I2883" s="126"/>
      <c r="J2883" s="11"/>
      <c r="K2883" s="108"/>
      <c r="L2883" s="11"/>
      <c r="M2883" s="105"/>
      <c r="N2883" s="105"/>
      <c r="O2883" s="11"/>
      <c r="P2883" s="11"/>
      <c r="Q2883" s="105"/>
      <c r="R2883" s="105"/>
      <c r="S2883" s="105"/>
      <c r="T2883" s="105"/>
      <c r="U2883" s="105"/>
      <c r="V2883" s="105"/>
      <c r="W2883" s="105"/>
      <c r="X2883" s="11"/>
      <c r="Y2883" s="11"/>
      <c r="Z2883" s="105"/>
      <c r="AA2883" s="11"/>
      <c r="AB2883" s="11"/>
      <c r="AC2883" s="105"/>
      <c r="AD2883" s="11" t="b">
        <v>0</v>
      </c>
      <c r="AE2883" s="105"/>
      <c r="AF2883" s="11"/>
      <c r="AG2883" s="11"/>
      <c r="AH2883" s="11"/>
      <c r="AI2883" s="11"/>
    </row>
    <row r="2884" ht="12.5" spans="3:35">
      <c r="C2884" s="19"/>
      <c r="D2884" s="19"/>
      <c r="H2884" s="105"/>
      <c r="I2884" s="126"/>
      <c r="J2884" s="11"/>
      <c r="K2884" s="108"/>
      <c r="L2884" s="11"/>
      <c r="M2884" s="105"/>
      <c r="N2884" s="105"/>
      <c r="O2884" s="11"/>
      <c r="P2884" s="11"/>
      <c r="Q2884" s="105"/>
      <c r="R2884" s="105"/>
      <c r="S2884" s="105"/>
      <c r="T2884" s="105"/>
      <c r="U2884" s="105"/>
      <c r="V2884" s="105"/>
      <c r="W2884" s="105"/>
      <c r="X2884" s="11"/>
      <c r="Y2884" s="11"/>
      <c r="Z2884" s="105"/>
      <c r="AA2884" s="11"/>
      <c r="AB2884" s="11"/>
      <c r="AC2884" s="105"/>
      <c r="AD2884" s="11" t="b">
        <v>0</v>
      </c>
      <c r="AE2884" s="105"/>
      <c r="AF2884" s="11"/>
      <c r="AG2884" s="11"/>
      <c r="AH2884" s="11"/>
      <c r="AI2884" s="11"/>
    </row>
    <row r="2885" ht="12.5" spans="3:35">
      <c r="C2885" s="19"/>
      <c r="D2885" s="19"/>
      <c r="H2885" s="105"/>
      <c r="I2885" s="126"/>
      <c r="J2885" s="11"/>
      <c r="K2885" s="108"/>
      <c r="L2885" s="11"/>
      <c r="M2885" s="105"/>
      <c r="N2885" s="105"/>
      <c r="O2885" s="11"/>
      <c r="P2885" s="11"/>
      <c r="Q2885" s="105"/>
      <c r="R2885" s="105"/>
      <c r="S2885" s="105"/>
      <c r="T2885" s="105"/>
      <c r="U2885" s="105"/>
      <c r="V2885" s="105"/>
      <c r="W2885" s="105"/>
      <c r="X2885" s="11"/>
      <c r="Y2885" s="11"/>
      <c r="Z2885" s="105"/>
      <c r="AA2885" s="11"/>
      <c r="AB2885" s="11"/>
      <c r="AC2885" s="105"/>
      <c r="AD2885" s="11" t="b">
        <v>0</v>
      </c>
      <c r="AE2885" s="105"/>
      <c r="AF2885" s="11"/>
      <c r="AG2885" s="11"/>
      <c r="AH2885" s="11"/>
      <c r="AI2885" s="11"/>
    </row>
    <row r="2886" ht="12.5" spans="3:35">
      <c r="C2886" s="19"/>
      <c r="D2886" s="19"/>
      <c r="H2886" s="105"/>
      <c r="I2886" s="126"/>
      <c r="J2886" s="11"/>
      <c r="K2886" s="108"/>
      <c r="L2886" s="11"/>
      <c r="M2886" s="105"/>
      <c r="N2886" s="105"/>
      <c r="O2886" s="11"/>
      <c r="P2886" s="11"/>
      <c r="Q2886" s="105"/>
      <c r="R2886" s="105"/>
      <c r="S2886" s="105"/>
      <c r="T2886" s="105"/>
      <c r="U2886" s="105"/>
      <c r="V2886" s="105"/>
      <c r="W2886" s="105"/>
      <c r="X2886" s="11"/>
      <c r="Y2886" s="11"/>
      <c r="Z2886" s="105"/>
      <c r="AA2886" s="11"/>
      <c r="AB2886" s="11"/>
      <c r="AC2886" s="105"/>
      <c r="AD2886" s="11" t="b">
        <v>0</v>
      </c>
      <c r="AE2886" s="105"/>
      <c r="AF2886" s="11"/>
      <c r="AG2886" s="11"/>
      <c r="AH2886" s="11"/>
      <c r="AI2886" s="11"/>
    </row>
    <row r="2887" ht="12.5" spans="3:35">
      <c r="C2887" s="19"/>
      <c r="D2887" s="19"/>
      <c r="H2887" s="105"/>
      <c r="I2887" s="126"/>
      <c r="J2887" s="11"/>
      <c r="K2887" s="108"/>
      <c r="L2887" s="11"/>
      <c r="M2887" s="105"/>
      <c r="N2887" s="105"/>
      <c r="O2887" s="11"/>
      <c r="P2887" s="11"/>
      <c r="Q2887" s="105"/>
      <c r="R2887" s="105"/>
      <c r="S2887" s="105"/>
      <c r="T2887" s="105"/>
      <c r="U2887" s="105"/>
      <c r="V2887" s="105"/>
      <c r="W2887" s="105"/>
      <c r="X2887" s="11"/>
      <c r="Y2887" s="11"/>
      <c r="Z2887" s="105"/>
      <c r="AA2887" s="11"/>
      <c r="AB2887" s="11"/>
      <c r="AC2887" s="105"/>
      <c r="AD2887" s="11" t="b">
        <v>0</v>
      </c>
      <c r="AE2887" s="105"/>
      <c r="AF2887" s="11"/>
      <c r="AG2887" s="11"/>
      <c r="AH2887" s="11"/>
      <c r="AI2887" s="11"/>
    </row>
    <row r="2888" ht="12.5" spans="3:35">
      <c r="C2888" s="19"/>
      <c r="D2888" s="19"/>
      <c r="H2888" s="105"/>
      <c r="I2888" s="126"/>
      <c r="J2888" s="11"/>
      <c r="K2888" s="108"/>
      <c r="L2888" s="11"/>
      <c r="M2888" s="105"/>
      <c r="N2888" s="105"/>
      <c r="O2888" s="11"/>
      <c r="P2888" s="11"/>
      <c r="Q2888" s="105"/>
      <c r="R2888" s="105"/>
      <c r="S2888" s="105"/>
      <c r="T2888" s="105"/>
      <c r="U2888" s="105"/>
      <c r="V2888" s="105"/>
      <c r="W2888" s="105"/>
      <c r="X2888" s="11"/>
      <c r="Y2888" s="11"/>
      <c r="Z2888" s="105"/>
      <c r="AA2888" s="11"/>
      <c r="AB2888" s="11"/>
      <c r="AC2888" s="105"/>
      <c r="AD2888" s="11" t="b">
        <v>0</v>
      </c>
      <c r="AE2888" s="105"/>
      <c r="AF2888" s="11"/>
      <c r="AG2888" s="11"/>
      <c r="AH2888" s="11"/>
      <c r="AI2888" s="11"/>
    </row>
    <row r="2889" ht="12.5" spans="3:35">
      <c r="C2889" s="19"/>
      <c r="D2889" s="19"/>
      <c r="H2889" s="105"/>
      <c r="I2889" s="126"/>
      <c r="J2889" s="11"/>
      <c r="K2889" s="108"/>
      <c r="L2889" s="11"/>
      <c r="M2889" s="105"/>
      <c r="N2889" s="105"/>
      <c r="O2889" s="11"/>
      <c r="P2889" s="11"/>
      <c r="Q2889" s="105"/>
      <c r="R2889" s="105"/>
      <c r="S2889" s="105"/>
      <c r="T2889" s="105"/>
      <c r="U2889" s="105"/>
      <c r="V2889" s="105"/>
      <c r="W2889" s="105"/>
      <c r="X2889" s="11"/>
      <c r="Y2889" s="11"/>
      <c r="Z2889" s="105"/>
      <c r="AA2889" s="11"/>
      <c r="AB2889" s="11"/>
      <c r="AC2889" s="105"/>
      <c r="AD2889" s="11" t="b">
        <v>0</v>
      </c>
      <c r="AE2889" s="105"/>
      <c r="AF2889" s="11"/>
      <c r="AG2889" s="11"/>
      <c r="AH2889" s="11"/>
      <c r="AI2889" s="11"/>
    </row>
    <row r="2890" ht="12.5" spans="3:35">
      <c r="C2890" s="19"/>
      <c r="D2890" s="19"/>
      <c r="H2890" s="105"/>
      <c r="I2890" s="126"/>
      <c r="J2890" s="11"/>
      <c r="K2890" s="108"/>
      <c r="L2890" s="11"/>
      <c r="M2890" s="105"/>
      <c r="N2890" s="105"/>
      <c r="O2890" s="11"/>
      <c r="P2890" s="11"/>
      <c r="Q2890" s="105"/>
      <c r="R2890" s="105"/>
      <c r="S2890" s="105"/>
      <c r="T2890" s="105"/>
      <c r="U2890" s="105"/>
      <c r="V2890" s="105"/>
      <c r="W2890" s="105"/>
      <c r="X2890" s="11"/>
      <c r="Y2890" s="11"/>
      <c r="Z2890" s="105"/>
      <c r="AA2890" s="11"/>
      <c r="AB2890" s="11"/>
      <c r="AC2890" s="105"/>
      <c r="AD2890" s="11" t="b">
        <v>0</v>
      </c>
      <c r="AE2890" s="105"/>
      <c r="AF2890" s="11"/>
      <c r="AG2890" s="11"/>
      <c r="AH2890" s="11"/>
      <c r="AI2890" s="11"/>
    </row>
    <row r="2891" ht="12.5" spans="3:35">
      <c r="C2891" s="19"/>
      <c r="D2891" s="19"/>
      <c r="H2891" s="105"/>
      <c r="I2891" s="126"/>
      <c r="J2891" s="11"/>
      <c r="K2891" s="108"/>
      <c r="L2891" s="11"/>
      <c r="M2891" s="105"/>
      <c r="N2891" s="105"/>
      <c r="O2891" s="11"/>
      <c r="P2891" s="11"/>
      <c r="Q2891" s="105"/>
      <c r="R2891" s="105"/>
      <c r="S2891" s="105"/>
      <c r="T2891" s="105"/>
      <c r="U2891" s="105"/>
      <c r="V2891" s="105"/>
      <c r="W2891" s="105"/>
      <c r="X2891" s="11"/>
      <c r="Y2891" s="11"/>
      <c r="Z2891" s="105"/>
      <c r="AA2891" s="11"/>
      <c r="AB2891" s="11"/>
      <c r="AC2891" s="105"/>
      <c r="AD2891" s="11" t="b">
        <v>0</v>
      </c>
      <c r="AE2891" s="105"/>
      <c r="AF2891" s="11"/>
      <c r="AG2891" s="11"/>
      <c r="AH2891" s="11"/>
      <c r="AI2891" s="11"/>
    </row>
    <row r="2892" ht="12.5" spans="3:35">
      <c r="C2892" s="19"/>
      <c r="D2892" s="19"/>
      <c r="H2892" s="105"/>
      <c r="I2892" s="126"/>
      <c r="J2892" s="11"/>
      <c r="K2892" s="108"/>
      <c r="L2892" s="11"/>
      <c r="M2892" s="105"/>
      <c r="N2892" s="105"/>
      <c r="O2892" s="11"/>
      <c r="P2892" s="11"/>
      <c r="Q2892" s="105"/>
      <c r="R2892" s="105"/>
      <c r="S2892" s="105"/>
      <c r="T2892" s="105"/>
      <c r="U2892" s="105"/>
      <c r="V2892" s="105"/>
      <c r="W2892" s="105"/>
      <c r="X2892" s="11"/>
      <c r="Y2892" s="11"/>
      <c r="Z2892" s="105"/>
      <c r="AA2892" s="11"/>
      <c r="AB2892" s="11"/>
      <c r="AC2892" s="105"/>
      <c r="AD2892" s="11" t="b">
        <v>0</v>
      </c>
      <c r="AE2892" s="105"/>
      <c r="AF2892" s="11"/>
      <c r="AG2892" s="11"/>
      <c r="AH2892" s="11"/>
      <c r="AI2892" s="11"/>
    </row>
    <row r="2893" ht="12.5" spans="3:35">
      <c r="C2893" s="19"/>
      <c r="D2893" s="19"/>
      <c r="H2893" s="105"/>
      <c r="I2893" s="126"/>
      <c r="J2893" s="11"/>
      <c r="K2893" s="108"/>
      <c r="L2893" s="11"/>
      <c r="M2893" s="105"/>
      <c r="N2893" s="105"/>
      <c r="O2893" s="11"/>
      <c r="P2893" s="11"/>
      <c r="Q2893" s="105"/>
      <c r="R2893" s="105"/>
      <c r="S2893" s="105"/>
      <c r="T2893" s="105"/>
      <c r="U2893" s="105"/>
      <c r="V2893" s="105"/>
      <c r="W2893" s="105"/>
      <c r="X2893" s="11"/>
      <c r="Y2893" s="11"/>
      <c r="Z2893" s="105"/>
      <c r="AA2893" s="11"/>
      <c r="AB2893" s="11"/>
      <c r="AC2893" s="105"/>
      <c r="AD2893" s="11" t="b">
        <v>0</v>
      </c>
      <c r="AE2893" s="105"/>
      <c r="AF2893" s="11"/>
      <c r="AG2893" s="11"/>
      <c r="AH2893" s="11"/>
      <c r="AI2893" s="11"/>
    </row>
    <row r="2894" ht="12.5" spans="3:35">
      <c r="C2894" s="19"/>
      <c r="D2894" s="19"/>
      <c r="H2894" s="105"/>
      <c r="I2894" s="126"/>
      <c r="J2894" s="11"/>
      <c r="K2894" s="108"/>
      <c r="L2894" s="11"/>
      <c r="M2894" s="105"/>
      <c r="N2894" s="105"/>
      <c r="O2894" s="11"/>
      <c r="P2894" s="11"/>
      <c r="Q2894" s="105"/>
      <c r="R2894" s="105"/>
      <c r="S2894" s="105"/>
      <c r="T2894" s="105"/>
      <c r="U2894" s="105"/>
      <c r="V2894" s="105"/>
      <c r="W2894" s="105"/>
      <c r="X2894" s="11"/>
      <c r="Y2894" s="11"/>
      <c r="Z2894" s="105"/>
      <c r="AA2894" s="11"/>
      <c r="AB2894" s="11"/>
      <c r="AC2894" s="105"/>
      <c r="AD2894" s="11" t="b">
        <v>0</v>
      </c>
      <c r="AE2894" s="105"/>
      <c r="AF2894" s="11"/>
      <c r="AG2894" s="11"/>
      <c r="AH2894" s="11"/>
      <c r="AI2894" s="11"/>
    </row>
    <row r="2895" ht="12.5" spans="3:35">
      <c r="C2895" s="19"/>
      <c r="D2895" s="19"/>
      <c r="H2895" s="105"/>
      <c r="I2895" s="126"/>
      <c r="J2895" s="11"/>
      <c r="K2895" s="108"/>
      <c r="L2895" s="11"/>
      <c r="M2895" s="105"/>
      <c r="N2895" s="105"/>
      <c r="O2895" s="11"/>
      <c r="P2895" s="11"/>
      <c r="Q2895" s="105"/>
      <c r="R2895" s="105"/>
      <c r="S2895" s="105"/>
      <c r="T2895" s="105"/>
      <c r="U2895" s="105"/>
      <c r="V2895" s="105"/>
      <c r="W2895" s="105"/>
      <c r="X2895" s="11"/>
      <c r="Y2895" s="11"/>
      <c r="Z2895" s="105"/>
      <c r="AA2895" s="11"/>
      <c r="AB2895" s="11"/>
      <c r="AC2895" s="105"/>
      <c r="AD2895" s="11" t="b">
        <v>0</v>
      </c>
      <c r="AE2895" s="105"/>
      <c r="AF2895" s="11"/>
      <c r="AG2895" s="11"/>
      <c r="AH2895" s="11"/>
      <c r="AI2895" s="11"/>
    </row>
    <row r="2896" ht="12.5" spans="3:35">
      <c r="C2896" s="19"/>
      <c r="D2896" s="19"/>
      <c r="H2896" s="105"/>
      <c r="I2896" s="126"/>
      <c r="J2896" s="11"/>
      <c r="K2896" s="108"/>
      <c r="L2896" s="11"/>
      <c r="M2896" s="105"/>
      <c r="N2896" s="105"/>
      <c r="O2896" s="11"/>
      <c r="P2896" s="11"/>
      <c r="Q2896" s="105"/>
      <c r="R2896" s="105"/>
      <c r="S2896" s="105"/>
      <c r="T2896" s="105"/>
      <c r="U2896" s="105"/>
      <c r="V2896" s="105"/>
      <c r="W2896" s="105"/>
      <c r="X2896" s="11"/>
      <c r="Y2896" s="11"/>
      <c r="Z2896" s="105"/>
      <c r="AA2896" s="11"/>
      <c r="AB2896" s="11"/>
      <c r="AC2896" s="105"/>
      <c r="AD2896" s="11" t="b">
        <v>0</v>
      </c>
      <c r="AE2896" s="105"/>
      <c r="AF2896" s="11"/>
      <c r="AG2896" s="11"/>
      <c r="AH2896" s="11"/>
      <c r="AI2896" s="11"/>
    </row>
    <row r="2897" ht="12.5" spans="3:35">
      <c r="C2897" s="19"/>
      <c r="D2897" s="19"/>
      <c r="H2897" s="105"/>
      <c r="I2897" s="126"/>
      <c r="J2897" s="11"/>
      <c r="K2897" s="108"/>
      <c r="L2897" s="11"/>
      <c r="M2897" s="105"/>
      <c r="N2897" s="105"/>
      <c r="O2897" s="11"/>
      <c r="P2897" s="11"/>
      <c r="Q2897" s="105"/>
      <c r="R2897" s="105"/>
      <c r="S2897" s="105"/>
      <c r="T2897" s="105"/>
      <c r="U2897" s="105"/>
      <c r="V2897" s="105"/>
      <c r="W2897" s="105"/>
      <c r="X2897" s="11"/>
      <c r="Y2897" s="11"/>
      <c r="Z2897" s="105"/>
      <c r="AA2897" s="11"/>
      <c r="AB2897" s="11"/>
      <c r="AC2897" s="105"/>
      <c r="AD2897" s="11" t="b">
        <v>0</v>
      </c>
      <c r="AE2897" s="105"/>
      <c r="AF2897" s="11"/>
      <c r="AG2897" s="11"/>
      <c r="AH2897" s="11"/>
      <c r="AI2897" s="11"/>
    </row>
    <row r="2898" ht="12.5" spans="3:35">
      <c r="C2898" s="19"/>
      <c r="D2898" s="19"/>
      <c r="H2898" s="105"/>
      <c r="I2898" s="126"/>
      <c r="J2898" s="11"/>
      <c r="K2898" s="108"/>
      <c r="L2898" s="11"/>
      <c r="M2898" s="105"/>
      <c r="N2898" s="105"/>
      <c r="O2898" s="11"/>
      <c r="P2898" s="11"/>
      <c r="Q2898" s="105"/>
      <c r="R2898" s="105"/>
      <c r="S2898" s="105"/>
      <c r="T2898" s="105"/>
      <c r="U2898" s="105"/>
      <c r="V2898" s="105"/>
      <c r="W2898" s="105"/>
      <c r="X2898" s="11"/>
      <c r="Y2898" s="11"/>
      <c r="Z2898" s="105"/>
      <c r="AA2898" s="11"/>
      <c r="AB2898" s="11"/>
      <c r="AC2898" s="105"/>
      <c r="AD2898" s="11" t="b">
        <v>0</v>
      </c>
      <c r="AE2898" s="105"/>
      <c r="AF2898" s="11"/>
      <c r="AG2898" s="11"/>
      <c r="AH2898" s="11"/>
      <c r="AI2898" s="11"/>
    </row>
    <row r="2899" ht="12.5" spans="3:35">
      <c r="C2899" s="19"/>
      <c r="D2899" s="19"/>
      <c r="H2899" s="105"/>
      <c r="I2899" s="126"/>
      <c r="J2899" s="11"/>
      <c r="K2899" s="108"/>
      <c r="L2899" s="11"/>
      <c r="M2899" s="105"/>
      <c r="N2899" s="105"/>
      <c r="O2899" s="11"/>
      <c r="P2899" s="11"/>
      <c r="Q2899" s="105"/>
      <c r="R2899" s="105"/>
      <c r="S2899" s="105"/>
      <c r="T2899" s="105"/>
      <c r="U2899" s="105"/>
      <c r="V2899" s="105"/>
      <c r="W2899" s="105"/>
      <c r="X2899" s="11"/>
      <c r="Y2899" s="11"/>
      <c r="Z2899" s="105"/>
      <c r="AA2899" s="11"/>
      <c r="AB2899" s="11"/>
      <c r="AC2899" s="105"/>
      <c r="AD2899" s="11" t="b">
        <v>0</v>
      </c>
      <c r="AE2899" s="105"/>
      <c r="AF2899" s="11"/>
      <c r="AG2899" s="11"/>
      <c r="AH2899" s="11"/>
      <c r="AI2899" s="11"/>
    </row>
    <row r="2900" ht="12.5" spans="3:35">
      <c r="C2900" s="19"/>
      <c r="D2900" s="19"/>
      <c r="H2900" s="105"/>
      <c r="I2900" s="126"/>
      <c r="J2900" s="11"/>
      <c r="K2900" s="108"/>
      <c r="L2900" s="11"/>
      <c r="M2900" s="105"/>
      <c r="N2900" s="105"/>
      <c r="O2900" s="11"/>
      <c r="P2900" s="11"/>
      <c r="Q2900" s="105"/>
      <c r="R2900" s="105"/>
      <c r="S2900" s="105"/>
      <c r="T2900" s="105"/>
      <c r="U2900" s="105"/>
      <c r="V2900" s="105"/>
      <c r="W2900" s="105"/>
      <c r="X2900" s="11"/>
      <c r="Y2900" s="11"/>
      <c r="Z2900" s="105"/>
      <c r="AA2900" s="11"/>
      <c r="AB2900" s="11"/>
      <c r="AC2900" s="105"/>
      <c r="AD2900" s="11" t="b">
        <v>0</v>
      </c>
      <c r="AE2900" s="105"/>
      <c r="AF2900" s="11"/>
      <c r="AG2900" s="11"/>
      <c r="AH2900" s="11"/>
      <c r="AI2900" s="11"/>
    </row>
    <row r="2901" ht="12.5" spans="3:35">
      <c r="C2901" s="19"/>
      <c r="D2901" s="19"/>
      <c r="H2901" s="105"/>
      <c r="I2901" s="126"/>
      <c r="J2901" s="11"/>
      <c r="K2901" s="108"/>
      <c r="L2901" s="11"/>
      <c r="M2901" s="105"/>
      <c r="N2901" s="105"/>
      <c r="O2901" s="11"/>
      <c r="P2901" s="11"/>
      <c r="Q2901" s="105"/>
      <c r="R2901" s="105"/>
      <c r="S2901" s="105"/>
      <c r="T2901" s="105"/>
      <c r="U2901" s="105"/>
      <c r="V2901" s="105"/>
      <c r="W2901" s="105"/>
      <c r="X2901" s="11"/>
      <c r="Y2901" s="11"/>
      <c r="Z2901" s="105"/>
      <c r="AA2901" s="11"/>
      <c r="AB2901" s="11"/>
      <c r="AC2901" s="105"/>
      <c r="AD2901" s="11" t="b">
        <v>0</v>
      </c>
      <c r="AE2901" s="105"/>
      <c r="AF2901" s="11"/>
      <c r="AG2901" s="11"/>
      <c r="AH2901" s="11"/>
      <c r="AI2901" s="11"/>
    </row>
    <row r="2902" ht="12.5" spans="3:35">
      <c r="C2902" s="19"/>
      <c r="D2902" s="19"/>
      <c r="H2902" s="105"/>
      <c r="I2902" s="126"/>
      <c r="J2902" s="11"/>
      <c r="K2902" s="108"/>
      <c r="L2902" s="11"/>
      <c r="M2902" s="105"/>
      <c r="N2902" s="105"/>
      <c r="O2902" s="11"/>
      <c r="P2902" s="11"/>
      <c r="Q2902" s="105"/>
      <c r="R2902" s="105"/>
      <c r="S2902" s="105"/>
      <c r="T2902" s="105"/>
      <c r="U2902" s="105"/>
      <c r="V2902" s="105"/>
      <c r="W2902" s="105"/>
      <c r="X2902" s="11"/>
      <c r="Y2902" s="11"/>
      <c r="Z2902" s="105"/>
      <c r="AA2902" s="11"/>
      <c r="AB2902" s="11"/>
      <c r="AC2902" s="105"/>
      <c r="AD2902" s="11" t="b">
        <v>0</v>
      </c>
      <c r="AE2902" s="105"/>
      <c r="AF2902" s="11"/>
      <c r="AG2902" s="11"/>
      <c r="AH2902" s="11"/>
      <c r="AI2902" s="11"/>
    </row>
    <row r="2903" ht="12.5" spans="3:35">
      <c r="C2903" s="19"/>
      <c r="D2903" s="19"/>
      <c r="H2903" s="105"/>
      <c r="I2903" s="126"/>
      <c r="J2903" s="11"/>
      <c r="K2903" s="108"/>
      <c r="L2903" s="11"/>
      <c r="M2903" s="105"/>
      <c r="N2903" s="105"/>
      <c r="O2903" s="11"/>
      <c r="P2903" s="11"/>
      <c r="Q2903" s="105"/>
      <c r="R2903" s="105"/>
      <c r="S2903" s="105"/>
      <c r="T2903" s="105"/>
      <c r="U2903" s="105"/>
      <c r="V2903" s="105"/>
      <c r="W2903" s="105"/>
      <c r="X2903" s="11"/>
      <c r="Y2903" s="11"/>
      <c r="Z2903" s="105"/>
      <c r="AA2903" s="11"/>
      <c r="AB2903" s="11"/>
      <c r="AC2903" s="105"/>
      <c r="AD2903" s="11" t="b">
        <v>0</v>
      </c>
      <c r="AE2903" s="105"/>
      <c r="AF2903" s="11"/>
      <c r="AG2903" s="11"/>
      <c r="AH2903" s="11"/>
      <c r="AI2903" s="11"/>
    </row>
    <row r="2904" ht="12.5" spans="3:35">
      <c r="C2904" s="19"/>
      <c r="D2904" s="19"/>
      <c r="H2904" s="105"/>
      <c r="I2904" s="126"/>
      <c r="J2904" s="11"/>
      <c r="K2904" s="108"/>
      <c r="L2904" s="11"/>
      <c r="M2904" s="105"/>
      <c r="N2904" s="105"/>
      <c r="O2904" s="11"/>
      <c r="P2904" s="11"/>
      <c r="Q2904" s="105"/>
      <c r="R2904" s="105"/>
      <c r="S2904" s="105"/>
      <c r="T2904" s="105"/>
      <c r="U2904" s="105"/>
      <c r="V2904" s="105"/>
      <c r="W2904" s="105"/>
      <c r="X2904" s="11"/>
      <c r="Y2904" s="11"/>
      <c r="Z2904" s="105"/>
      <c r="AA2904" s="11"/>
      <c r="AB2904" s="11"/>
      <c r="AC2904" s="105"/>
      <c r="AD2904" s="11" t="b">
        <v>0</v>
      </c>
      <c r="AE2904" s="105"/>
      <c r="AF2904" s="11"/>
      <c r="AG2904" s="11"/>
      <c r="AH2904" s="11"/>
      <c r="AI2904" s="11"/>
    </row>
    <row r="2905" ht="12.5" spans="3:35">
      <c r="C2905" s="19"/>
      <c r="D2905" s="19"/>
      <c r="H2905" s="105"/>
      <c r="I2905" s="126"/>
      <c r="J2905" s="11"/>
      <c r="K2905" s="108"/>
      <c r="L2905" s="11"/>
      <c r="M2905" s="105"/>
      <c r="N2905" s="105"/>
      <c r="O2905" s="11"/>
      <c r="P2905" s="11"/>
      <c r="Q2905" s="105"/>
      <c r="R2905" s="105"/>
      <c r="S2905" s="105"/>
      <c r="T2905" s="105"/>
      <c r="U2905" s="105"/>
      <c r="V2905" s="105"/>
      <c r="W2905" s="105"/>
      <c r="X2905" s="11"/>
      <c r="Y2905" s="11"/>
      <c r="Z2905" s="105"/>
      <c r="AA2905" s="11"/>
      <c r="AB2905" s="11"/>
      <c r="AC2905" s="105"/>
      <c r="AD2905" s="11" t="b">
        <v>0</v>
      </c>
      <c r="AE2905" s="105"/>
      <c r="AF2905" s="11"/>
      <c r="AG2905" s="11"/>
      <c r="AH2905" s="11"/>
      <c r="AI2905" s="11"/>
    </row>
    <row r="2906" ht="12.5" spans="3:35">
      <c r="C2906" s="19"/>
      <c r="D2906" s="19"/>
      <c r="H2906" s="105"/>
      <c r="I2906" s="126"/>
      <c r="J2906" s="11"/>
      <c r="K2906" s="108"/>
      <c r="L2906" s="11"/>
      <c r="M2906" s="105"/>
      <c r="N2906" s="105"/>
      <c r="O2906" s="11"/>
      <c r="P2906" s="11"/>
      <c r="Q2906" s="105"/>
      <c r="R2906" s="105"/>
      <c r="S2906" s="105"/>
      <c r="T2906" s="105"/>
      <c r="U2906" s="105"/>
      <c r="V2906" s="105"/>
      <c r="W2906" s="105"/>
      <c r="X2906" s="11"/>
      <c r="Y2906" s="11"/>
      <c r="Z2906" s="105"/>
      <c r="AA2906" s="11"/>
      <c r="AB2906" s="11"/>
      <c r="AC2906" s="105"/>
      <c r="AD2906" s="11" t="b">
        <v>0</v>
      </c>
      <c r="AE2906" s="105"/>
      <c r="AF2906" s="11"/>
      <c r="AG2906" s="11"/>
      <c r="AH2906" s="11"/>
      <c r="AI2906" s="11"/>
    </row>
    <row r="2907" ht="12.5" spans="3:35">
      <c r="C2907" s="19"/>
      <c r="D2907" s="19"/>
      <c r="H2907" s="105"/>
      <c r="I2907" s="126"/>
      <c r="J2907" s="11"/>
      <c r="K2907" s="108"/>
      <c r="L2907" s="11"/>
      <c r="M2907" s="105"/>
      <c r="N2907" s="105"/>
      <c r="O2907" s="11"/>
      <c r="P2907" s="11"/>
      <c r="Q2907" s="105"/>
      <c r="R2907" s="105"/>
      <c r="S2907" s="105"/>
      <c r="T2907" s="105"/>
      <c r="U2907" s="105"/>
      <c r="V2907" s="105"/>
      <c r="W2907" s="105"/>
      <c r="X2907" s="11"/>
      <c r="Y2907" s="11"/>
      <c r="Z2907" s="105"/>
      <c r="AA2907" s="11"/>
      <c r="AB2907" s="11"/>
      <c r="AC2907" s="105"/>
      <c r="AD2907" s="11" t="b">
        <v>0</v>
      </c>
      <c r="AE2907" s="105"/>
      <c r="AF2907" s="11"/>
      <c r="AG2907" s="11"/>
      <c r="AH2907" s="11"/>
      <c r="AI2907" s="11"/>
    </row>
    <row r="2908" ht="12.5" spans="3:35">
      <c r="C2908" s="19"/>
      <c r="D2908" s="19"/>
      <c r="H2908" s="105"/>
      <c r="I2908" s="126"/>
      <c r="J2908" s="11"/>
      <c r="K2908" s="108"/>
      <c r="L2908" s="11"/>
      <c r="M2908" s="105"/>
      <c r="N2908" s="105"/>
      <c r="O2908" s="11"/>
      <c r="P2908" s="11"/>
      <c r="Q2908" s="105"/>
      <c r="R2908" s="105"/>
      <c r="S2908" s="105"/>
      <c r="T2908" s="105"/>
      <c r="U2908" s="105"/>
      <c r="V2908" s="105"/>
      <c r="W2908" s="105"/>
      <c r="X2908" s="11"/>
      <c r="Y2908" s="11"/>
      <c r="Z2908" s="105"/>
      <c r="AA2908" s="11"/>
      <c r="AB2908" s="11"/>
      <c r="AC2908" s="105"/>
      <c r="AD2908" s="11" t="b">
        <v>0</v>
      </c>
      <c r="AE2908" s="105"/>
      <c r="AF2908" s="11"/>
      <c r="AG2908" s="11"/>
      <c r="AH2908" s="11"/>
      <c r="AI2908" s="11"/>
    </row>
    <row r="2909" ht="12.5" spans="3:35">
      <c r="C2909" s="19"/>
      <c r="D2909" s="19"/>
      <c r="H2909" s="105"/>
      <c r="I2909" s="126"/>
      <c r="J2909" s="11"/>
      <c r="K2909" s="108"/>
      <c r="L2909" s="11"/>
      <c r="M2909" s="105"/>
      <c r="N2909" s="105"/>
      <c r="O2909" s="11"/>
      <c r="P2909" s="11"/>
      <c r="Q2909" s="105"/>
      <c r="R2909" s="105"/>
      <c r="S2909" s="105"/>
      <c r="T2909" s="105"/>
      <c r="U2909" s="105"/>
      <c r="V2909" s="105"/>
      <c r="W2909" s="105"/>
      <c r="X2909" s="11"/>
      <c r="Y2909" s="11"/>
      <c r="Z2909" s="105"/>
      <c r="AA2909" s="11"/>
      <c r="AB2909" s="11"/>
      <c r="AC2909" s="105"/>
      <c r="AD2909" s="11" t="b">
        <v>0</v>
      </c>
      <c r="AE2909" s="105"/>
      <c r="AF2909" s="11"/>
      <c r="AG2909" s="11"/>
      <c r="AH2909" s="11"/>
      <c r="AI2909" s="11"/>
    </row>
    <row r="2910" ht="12.5" spans="3:35">
      <c r="C2910" s="19"/>
      <c r="D2910" s="19"/>
      <c r="H2910" s="105"/>
      <c r="I2910" s="126"/>
      <c r="J2910" s="11"/>
      <c r="K2910" s="108"/>
      <c r="L2910" s="11"/>
      <c r="M2910" s="105"/>
      <c r="N2910" s="105"/>
      <c r="O2910" s="11"/>
      <c r="P2910" s="11"/>
      <c r="Q2910" s="105"/>
      <c r="R2910" s="105"/>
      <c r="S2910" s="105"/>
      <c r="T2910" s="105"/>
      <c r="U2910" s="105"/>
      <c r="V2910" s="105"/>
      <c r="W2910" s="105"/>
      <c r="X2910" s="11"/>
      <c r="Y2910" s="11"/>
      <c r="Z2910" s="105"/>
      <c r="AA2910" s="11"/>
      <c r="AB2910" s="11"/>
      <c r="AC2910" s="105"/>
      <c r="AD2910" s="11" t="b">
        <v>0</v>
      </c>
      <c r="AE2910" s="105"/>
      <c r="AF2910" s="11"/>
      <c r="AG2910" s="11"/>
      <c r="AH2910" s="11"/>
      <c r="AI2910" s="11"/>
    </row>
    <row r="2911" ht="12.5" spans="3:35">
      <c r="C2911" s="19"/>
      <c r="D2911" s="19"/>
      <c r="H2911" s="105"/>
      <c r="I2911" s="126"/>
      <c r="J2911" s="11"/>
      <c r="K2911" s="108"/>
      <c r="L2911" s="11"/>
      <c r="M2911" s="105"/>
      <c r="N2911" s="105"/>
      <c r="O2911" s="11"/>
      <c r="P2911" s="11"/>
      <c r="Q2911" s="105"/>
      <c r="R2911" s="105"/>
      <c r="S2911" s="105"/>
      <c r="T2911" s="105"/>
      <c r="U2911" s="105"/>
      <c r="V2911" s="105"/>
      <c r="W2911" s="105"/>
      <c r="X2911" s="11"/>
      <c r="Y2911" s="11"/>
      <c r="Z2911" s="105"/>
      <c r="AA2911" s="11"/>
      <c r="AB2911" s="11"/>
      <c r="AC2911" s="105"/>
      <c r="AD2911" s="11" t="b">
        <v>0</v>
      </c>
      <c r="AE2911" s="105"/>
      <c r="AF2911" s="11"/>
      <c r="AG2911" s="11"/>
      <c r="AH2911" s="11"/>
      <c r="AI2911" s="11"/>
    </row>
    <row r="2912" ht="12.5" spans="3:35">
      <c r="C2912" s="19"/>
      <c r="D2912" s="19"/>
      <c r="H2912" s="105"/>
      <c r="I2912" s="126"/>
      <c r="J2912" s="11"/>
      <c r="K2912" s="108"/>
      <c r="L2912" s="11"/>
      <c r="M2912" s="105"/>
      <c r="N2912" s="105"/>
      <c r="O2912" s="11"/>
      <c r="P2912" s="11"/>
      <c r="Q2912" s="105"/>
      <c r="R2912" s="105"/>
      <c r="S2912" s="105"/>
      <c r="T2912" s="105"/>
      <c r="U2912" s="105"/>
      <c r="V2912" s="105"/>
      <c r="W2912" s="105"/>
      <c r="X2912" s="11"/>
      <c r="Y2912" s="11"/>
      <c r="Z2912" s="105"/>
      <c r="AA2912" s="11"/>
      <c r="AB2912" s="11"/>
      <c r="AC2912" s="105"/>
      <c r="AD2912" s="11" t="b">
        <v>0</v>
      </c>
      <c r="AE2912" s="105"/>
      <c r="AF2912" s="11"/>
      <c r="AG2912" s="11"/>
      <c r="AH2912" s="11"/>
      <c r="AI2912" s="11"/>
    </row>
    <row r="2913" ht="12.5" spans="3:35">
      <c r="C2913" s="19"/>
      <c r="D2913" s="19"/>
      <c r="H2913" s="105"/>
      <c r="I2913" s="126"/>
      <c r="J2913" s="11"/>
      <c r="K2913" s="108"/>
      <c r="L2913" s="11"/>
      <c r="M2913" s="105"/>
      <c r="N2913" s="105"/>
      <c r="O2913" s="11"/>
      <c r="P2913" s="11"/>
      <c r="Q2913" s="105"/>
      <c r="R2913" s="105"/>
      <c r="S2913" s="105"/>
      <c r="T2913" s="105"/>
      <c r="U2913" s="105"/>
      <c r="V2913" s="105"/>
      <c r="W2913" s="105"/>
      <c r="X2913" s="11"/>
      <c r="Y2913" s="11"/>
      <c r="Z2913" s="105"/>
      <c r="AA2913" s="11"/>
      <c r="AB2913" s="11"/>
      <c r="AC2913" s="105"/>
      <c r="AD2913" s="11" t="b">
        <v>0</v>
      </c>
      <c r="AE2913" s="105"/>
      <c r="AF2913" s="11"/>
      <c r="AG2913" s="11"/>
      <c r="AH2913" s="11"/>
      <c r="AI2913" s="11"/>
    </row>
    <row r="2914" ht="12.5" spans="3:35">
      <c r="C2914" s="19"/>
      <c r="D2914" s="19"/>
      <c r="H2914" s="105"/>
      <c r="I2914" s="126"/>
      <c r="J2914" s="11"/>
      <c r="K2914" s="108"/>
      <c r="L2914" s="11"/>
      <c r="M2914" s="105"/>
      <c r="N2914" s="105"/>
      <c r="O2914" s="11"/>
      <c r="P2914" s="11"/>
      <c r="Q2914" s="105"/>
      <c r="R2914" s="105"/>
      <c r="S2914" s="105"/>
      <c r="T2914" s="105"/>
      <c r="U2914" s="105"/>
      <c r="V2914" s="105"/>
      <c r="W2914" s="105"/>
      <c r="X2914" s="11"/>
      <c r="Y2914" s="11"/>
      <c r="Z2914" s="105"/>
      <c r="AA2914" s="11"/>
      <c r="AB2914" s="11"/>
      <c r="AC2914" s="105"/>
      <c r="AD2914" s="11" t="b">
        <v>0</v>
      </c>
      <c r="AE2914" s="105"/>
      <c r="AF2914" s="11"/>
      <c r="AG2914" s="11"/>
      <c r="AH2914" s="11"/>
      <c r="AI2914" s="11"/>
    </row>
    <row r="2915" ht="12.5" spans="3:35">
      <c r="C2915" s="19"/>
      <c r="D2915" s="19"/>
      <c r="H2915" s="105"/>
      <c r="I2915" s="126"/>
      <c r="J2915" s="11"/>
      <c r="K2915" s="108"/>
      <c r="L2915" s="11"/>
      <c r="M2915" s="105"/>
      <c r="N2915" s="105"/>
      <c r="O2915" s="11"/>
      <c r="P2915" s="11"/>
      <c r="Q2915" s="105"/>
      <c r="R2915" s="105"/>
      <c r="S2915" s="105"/>
      <c r="T2915" s="105"/>
      <c r="U2915" s="105"/>
      <c r="V2915" s="105"/>
      <c r="W2915" s="105"/>
      <c r="X2915" s="11"/>
      <c r="Y2915" s="11"/>
      <c r="Z2915" s="105"/>
      <c r="AA2915" s="11"/>
      <c r="AB2915" s="11"/>
      <c r="AC2915" s="105"/>
      <c r="AD2915" s="11" t="b">
        <v>0</v>
      </c>
      <c r="AE2915" s="105"/>
      <c r="AF2915" s="11"/>
      <c r="AG2915" s="11"/>
      <c r="AH2915" s="11"/>
      <c r="AI2915" s="11"/>
    </row>
    <row r="2916" ht="12.5" spans="3:35">
      <c r="C2916" s="19"/>
      <c r="D2916" s="19"/>
      <c r="H2916" s="105"/>
      <c r="I2916" s="126"/>
      <c r="J2916" s="11"/>
      <c r="K2916" s="108"/>
      <c r="L2916" s="11"/>
      <c r="M2916" s="105"/>
      <c r="N2916" s="105"/>
      <c r="O2916" s="11"/>
      <c r="P2916" s="11"/>
      <c r="Q2916" s="105"/>
      <c r="R2916" s="105"/>
      <c r="S2916" s="105"/>
      <c r="T2916" s="105"/>
      <c r="U2916" s="105"/>
      <c r="V2916" s="105"/>
      <c r="W2916" s="105"/>
      <c r="X2916" s="11"/>
      <c r="Y2916" s="11"/>
      <c r="Z2916" s="105"/>
      <c r="AA2916" s="11"/>
      <c r="AB2916" s="11"/>
      <c r="AC2916" s="105"/>
      <c r="AD2916" s="11" t="b">
        <v>0</v>
      </c>
      <c r="AE2916" s="105"/>
      <c r="AF2916" s="11"/>
      <c r="AG2916" s="11"/>
      <c r="AH2916" s="11"/>
      <c r="AI2916" s="11"/>
    </row>
    <row r="2917" ht="12.5" spans="3:35">
      <c r="C2917" s="19"/>
      <c r="D2917" s="19"/>
      <c r="H2917" s="105"/>
      <c r="I2917" s="126"/>
      <c r="J2917" s="11"/>
      <c r="K2917" s="108"/>
      <c r="L2917" s="11"/>
      <c r="M2917" s="105"/>
      <c r="N2917" s="105"/>
      <c r="O2917" s="11"/>
      <c r="P2917" s="11"/>
      <c r="Q2917" s="105"/>
      <c r="R2917" s="105"/>
      <c r="S2917" s="105"/>
      <c r="T2917" s="105"/>
      <c r="U2917" s="105"/>
      <c r="V2917" s="105"/>
      <c r="W2917" s="105"/>
      <c r="X2917" s="11"/>
      <c r="Y2917" s="11"/>
      <c r="Z2917" s="105"/>
      <c r="AA2917" s="11"/>
      <c r="AB2917" s="11"/>
      <c r="AC2917" s="105"/>
      <c r="AD2917" s="11" t="b">
        <v>0</v>
      </c>
      <c r="AE2917" s="105"/>
      <c r="AF2917" s="11"/>
      <c r="AG2917" s="11"/>
      <c r="AH2917" s="11"/>
      <c r="AI2917" s="11"/>
    </row>
    <row r="2918" ht="12.5" spans="3:35">
      <c r="C2918" s="19"/>
      <c r="D2918" s="19"/>
      <c r="H2918" s="105"/>
      <c r="I2918" s="126"/>
      <c r="J2918" s="11"/>
      <c r="K2918" s="108"/>
      <c r="L2918" s="11"/>
      <c r="M2918" s="105"/>
      <c r="N2918" s="105"/>
      <c r="O2918" s="11"/>
      <c r="P2918" s="11"/>
      <c r="Q2918" s="105"/>
      <c r="R2918" s="105"/>
      <c r="S2918" s="105"/>
      <c r="T2918" s="105"/>
      <c r="U2918" s="105"/>
      <c r="V2918" s="105"/>
      <c r="W2918" s="105"/>
      <c r="X2918" s="11"/>
      <c r="Y2918" s="11"/>
      <c r="Z2918" s="105"/>
      <c r="AA2918" s="11"/>
      <c r="AB2918" s="11"/>
      <c r="AC2918" s="105"/>
      <c r="AD2918" s="11" t="b">
        <v>0</v>
      </c>
      <c r="AE2918" s="105"/>
      <c r="AF2918" s="11"/>
      <c r="AG2918" s="11"/>
      <c r="AH2918" s="11"/>
      <c r="AI2918" s="11"/>
    </row>
    <row r="2919" ht="12.5" spans="3:35">
      <c r="C2919" s="19"/>
      <c r="D2919" s="19"/>
      <c r="H2919" s="105"/>
      <c r="I2919" s="126"/>
      <c r="J2919" s="11"/>
      <c r="K2919" s="108"/>
      <c r="L2919" s="11"/>
      <c r="M2919" s="105"/>
      <c r="N2919" s="105"/>
      <c r="O2919" s="11"/>
      <c r="P2919" s="11"/>
      <c r="Q2919" s="105"/>
      <c r="R2919" s="105"/>
      <c r="S2919" s="105"/>
      <c r="T2919" s="105"/>
      <c r="U2919" s="105"/>
      <c r="V2919" s="105"/>
      <c r="W2919" s="105"/>
      <c r="X2919" s="11"/>
      <c r="Y2919" s="11"/>
      <c r="Z2919" s="105"/>
      <c r="AA2919" s="11"/>
      <c r="AB2919" s="11"/>
      <c r="AC2919" s="105"/>
      <c r="AD2919" s="11" t="b">
        <v>0</v>
      </c>
      <c r="AE2919" s="105"/>
      <c r="AF2919" s="11"/>
      <c r="AG2919" s="11"/>
      <c r="AH2919" s="11"/>
      <c r="AI2919" s="11"/>
    </row>
    <row r="2920" ht="12.5" spans="3:35">
      <c r="C2920" s="19"/>
      <c r="D2920" s="19"/>
      <c r="H2920" s="105"/>
      <c r="I2920" s="126"/>
      <c r="J2920" s="11"/>
      <c r="K2920" s="108"/>
      <c r="L2920" s="11"/>
      <c r="M2920" s="105"/>
      <c r="N2920" s="105"/>
      <c r="O2920" s="11"/>
      <c r="P2920" s="11"/>
      <c r="Q2920" s="105"/>
      <c r="R2920" s="105"/>
      <c r="S2920" s="105"/>
      <c r="T2920" s="105"/>
      <c r="U2920" s="105"/>
      <c r="V2920" s="105"/>
      <c r="W2920" s="105"/>
      <c r="X2920" s="11"/>
      <c r="Y2920" s="11"/>
      <c r="Z2920" s="105"/>
      <c r="AA2920" s="11"/>
      <c r="AB2920" s="11"/>
      <c r="AC2920" s="105"/>
      <c r="AD2920" s="11" t="b">
        <v>0</v>
      </c>
      <c r="AE2920" s="105"/>
      <c r="AF2920" s="11"/>
      <c r="AG2920" s="11"/>
      <c r="AH2920" s="11"/>
      <c r="AI2920" s="11"/>
    </row>
    <row r="2921" ht="12.5" spans="3:35">
      <c r="C2921" s="19"/>
      <c r="D2921" s="19"/>
      <c r="H2921" s="105"/>
      <c r="I2921" s="126"/>
      <c r="J2921" s="11"/>
      <c r="K2921" s="108"/>
      <c r="L2921" s="11"/>
      <c r="M2921" s="105"/>
      <c r="N2921" s="105"/>
      <c r="O2921" s="11"/>
      <c r="P2921" s="11"/>
      <c r="Q2921" s="105"/>
      <c r="R2921" s="105"/>
      <c r="S2921" s="105"/>
      <c r="T2921" s="105"/>
      <c r="U2921" s="105"/>
      <c r="V2921" s="105"/>
      <c r="W2921" s="105"/>
      <c r="X2921" s="11"/>
      <c r="Y2921" s="11"/>
      <c r="Z2921" s="105"/>
      <c r="AA2921" s="11"/>
      <c r="AB2921" s="11"/>
      <c r="AC2921" s="105"/>
      <c r="AD2921" s="11" t="b">
        <v>0</v>
      </c>
      <c r="AE2921" s="105"/>
      <c r="AF2921" s="11"/>
      <c r="AG2921" s="11"/>
      <c r="AH2921" s="11"/>
      <c r="AI2921" s="11"/>
    </row>
    <row r="2922" ht="12.5" spans="3:35">
      <c r="C2922" s="19"/>
      <c r="D2922" s="19"/>
      <c r="H2922" s="105"/>
      <c r="I2922" s="126"/>
      <c r="J2922" s="11"/>
      <c r="K2922" s="108"/>
      <c r="L2922" s="11"/>
      <c r="M2922" s="105"/>
      <c r="N2922" s="105"/>
      <c r="O2922" s="11"/>
      <c r="P2922" s="11"/>
      <c r="Q2922" s="105"/>
      <c r="R2922" s="105"/>
      <c r="S2922" s="105"/>
      <c r="T2922" s="105"/>
      <c r="U2922" s="105"/>
      <c r="V2922" s="105"/>
      <c r="W2922" s="105"/>
      <c r="X2922" s="11"/>
      <c r="Y2922" s="11"/>
      <c r="Z2922" s="105"/>
      <c r="AA2922" s="11"/>
      <c r="AB2922" s="11"/>
      <c r="AC2922" s="105"/>
      <c r="AD2922" s="11" t="b">
        <v>0</v>
      </c>
      <c r="AE2922" s="105"/>
      <c r="AF2922" s="11"/>
      <c r="AG2922" s="11"/>
      <c r="AH2922" s="11"/>
      <c r="AI2922" s="11"/>
    </row>
    <row r="2923" ht="12.5" spans="3:35">
      <c r="C2923" s="19"/>
      <c r="D2923" s="19"/>
      <c r="H2923" s="105"/>
      <c r="I2923" s="126"/>
      <c r="J2923" s="11"/>
      <c r="K2923" s="108"/>
      <c r="L2923" s="11"/>
      <c r="M2923" s="105"/>
      <c r="N2923" s="105"/>
      <c r="O2923" s="11"/>
      <c r="P2923" s="11"/>
      <c r="Q2923" s="105"/>
      <c r="R2923" s="105"/>
      <c r="S2923" s="105"/>
      <c r="T2923" s="105"/>
      <c r="U2923" s="105"/>
      <c r="V2923" s="105"/>
      <c r="W2923" s="105"/>
      <c r="X2923" s="11"/>
      <c r="Y2923" s="11"/>
      <c r="Z2923" s="105"/>
      <c r="AA2923" s="11"/>
      <c r="AB2923" s="11"/>
      <c r="AC2923" s="105"/>
      <c r="AD2923" s="11" t="b">
        <v>0</v>
      </c>
      <c r="AE2923" s="105"/>
      <c r="AF2923" s="11"/>
      <c r="AG2923" s="11"/>
      <c r="AH2923" s="11"/>
      <c r="AI2923" s="11"/>
    </row>
    <row r="2924" ht="12.5" spans="3:35">
      <c r="C2924" s="19"/>
      <c r="D2924" s="19"/>
      <c r="H2924" s="105"/>
      <c r="I2924" s="126"/>
      <c r="J2924" s="11"/>
      <c r="K2924" s="108"/>
      <c r="L2924" s="11"/>
      <c r="M2924" s="105"/>
      <c r="N2924" s="105"/>
      <c r="O2924" s="11"/>
      <c r="P2924" s="11"/>
      <c r="Q2924" s="105"/>
      <c r="R2924" s="105"/>
      <c r="S2924" s="105"/>
      <c r="T2924" s="105"/>
      <c r="U2924" s="105"/>
      <c r="V2924" s="105"/>
      <c r="W2924" s="105"/>
      <c r="X2924" s="11"/>
      <c r="Y2924" s="11"/>
      <c r="Z2924" s="105"/>
      <c r="AA2924" s="11"/>
      <c r="AB2924" s="11"/>
      <c r="AC2924" s="105"/>
      <c r="AD2924" s="11" t="b">
        <v>0</v>
      </c>
      <c r="AE2924" s="105"/>
      <c r="AF2924" s="11"/>
      <c r="AG2924" s="11"/>
      <c r="AH2924" s="11"/>
      <c r="AI2924" s="11"/>
    </row>
    <row r="2925" ht="12.5" spans="3:35">
      <c r="C2925" s="19"/>
      <c r="D2925" s="19"/>
      <c r="H2925" s="105"/>
      <c r="I2925" s="126"/>
      <c r="J2925" s="11"/>
      <c r="K2925" s="108"/>
      <c r="L2925" s="11"/>
      <c r="M2925" s="105"/>
      <c r="N2925" s="105"/>
      <c r="O2925" s="11"/>
      <c r="P2925" s="11"/>
      <c r="Q2925" s="105"/>
      <c r="R2925" s="105"/>
      <c r="S2925" s="105"/>
      <c r="T2925" s="105"/>
      <c r="U2925" s="105"/>
      <c r="V2925" s="105"/>
      <c r="W2925" s="105"/>
      <c r="X2925" s="11"/>
      <c r="Y2925" s="11"/>
      <c r="Z2925" s="105"/>
      <c r="AA2925" s="11"/>
      <c r="AB2925" s="11"/>
      <c r="AC2925" s="105"/>
      <c r="AD2925" s="11" t="b">
        <v>0</v>
      </c>
      <c r="AE2925" s="105"/>
      <c r="AF2925" s="11"/>
      <c r="AG2925" s="11"/>
      <c r="AH2925" s="11"/>
      <c r="AI2925" s="11"/>
    </row>
    <row r="2926" ht="12.5" spans="3:35">
      <c r="C2926" s="19"/>
      <c r="D2926" s="19"/>
      <c r="H2926" s="105"/>
      <c r="I2926" s="126"/>
      <c r="J2926" s="11"/>
      <c r="K2926" s="108"/>
      <c r="L2926" s="11"/>
      <c r="M2926" s="105"/>
      <c r="N2926" s="105"/>
      <c r="O2926" s="11"/>
      <c r="P2926" s="11"/>
      <c r="Q2926" s="105"/>
      <c r="R2926" s="105"/>
      <c r="S2926" s="105"/>
      <c r="T2926" s="105"/>
      <c r="U2926" s="105"/>
      <c r="V2926" s="105"/>
      <c r="W2926" s="105"/>
      <c r="X2926" s="11"/>
      <c r="Y2926" s="11"/>
      <c r="Z2926" s="105"/>
      <c r="AA2926" s="11"/>
      <c r="AB2926" s="11"/>
      <c r="AC2926" s="105"/>
      <c r="AD2926" s="11" t="b">
        <v>0</v>
      </c>
      <c r="AE2926" s="105"/>
      <c r="AF2926" s="11"/>
      <c r="AG2926" s="11"/>
      <c r="AH2926" s="11"/>
      <c r="AI2926" s="11"/>
    </row>
    <row r="2927" ht="12.5" spans="3:35">
      <c r="C2927" s="19"/>
      <c r="D2927" s="19"/>
      <c r="H2927" s="105"/>
      <c r="I2927" s="126"/>
      <c r="J2927" s="11"/>
      <c r="K2927" s="108"/>
      <c r="L2927" s="11"/>
      <c r="M2927" s="105"/>
      <c r="N2927" s="105"/>
      <c r="O2927" s="11"/>
      <c r="P2927" s="11"/>
      <c r="Q2927" s="105"/>
      <c r="R2927" s="105"/>
      <c r="S2927" s="105"/>
      <c r="T2927" s="105"/>
      <c r="U2927" s="105"/>
      <c r="V2927" s="105"/>
      <c r="W2927" s="105"/>
      <c r="X2927" s="11"/>
      <c r="Y2927" s="11"/>
      <c r="Z2927" s="105"/>
      <c r="AA2927" s="11"/>
      <c r="AB2927" s="11"/>
      <c r="AC2927" s="105"/>
      <c r="AD2927" s="11" t="b">
        <v>0</v>
      </c>
      <c r="AE2927" s="105"/>
      <c r="AF2927" s="11"/>
      <c r="AG2927" s="11"/>
      <c r="AH2927" s="11"/>
      <c r="AI2927" s="11"/>
    </row>
    <row r="2928" ht="12.5" spans="3:35">
      <c r="C2928" s="19"/>
      <c r="D2928" s="19"/>
      <c r="H2928" s="105"/>
      <c r="I2928" s="126"/>
      <c r="J2928" s="11"/>
      <c r="K2928" s="108"/>
      <c r="L2928" s="11"/>
      <c r="M2928" s="105"/>
      <c r="N2928" s="105"/>
      <c r="O2928" s="11"/>
      <c r="P2928" s="11"/>
      <c r="Q2928" s="105"/>
      <c r="R2928" s="105"/>
      <c r="S2928" s="105"/>
      <c r="T2928" s="105"/>
      <c r="U2928" s="105"/>
      <c r="V2928" s="105"/>
      <c r="W2928" s="105"/>
      <c r="X2928" s="11"/>
      <c r="Y2928" s="11"/>
      <c r="Z2928" s="105"/>
      <c r="AA2928" s="11"/>
      <c r="AB2928" s="11"/>
      <c r="AC2928" s="105"/>
      <c r="AD2928" s="11" t="b">
        <v>0</v>
      </c>
      <c r="AE2928" s="105"/>
      <c r="AF2928" s="11"/>
      <c r="AG2928" s="11"/>
      <c r="AH2928" s="11"/>
      <c r="AI2928" s="11"/>
    </row>
    <row r="2929" ht="12.5" spans="3:35">
      <c r="C2929" s="19"/>
      <c r="D2929" s="19"/>
      <c r="H2929" s="105"/>
      <c r="I2929" s="126"/>
      <c r="J2929" s="11"/>
      <c r="K2929" s="108"/>
      <c r="L2929" s="11"/>
      <c r="M2929" s="105"/>
      <c r="N2929" s="105"/>
      <c r="O2929" s="11"/>
      <c r="P2929" s="11"/>
      <c r="Q2929" s="105"/>
      <c r="R2929" s="105"/>
      <c r="S2929" s="105"/>
      <c r="T2929" s="105"/>
      <c r="U2929" s="105"/>
      <c r="V2929" s="105"/>
      <c r="W2929" s="105"/>
      <c r="X2929" s="11"/>
      <c r="Y2929" s="11"/>
      <c r="Z2929" s="105"/>
      <c r="AA2929" s="11"/>
      <c r="AB2929" s="11"/>
      <c r="AC2929" s="105"/>
      <c r="AD2929" s="11" t="b">
        <v>0</v>
      </c>
      <c r="AE2929" s="105"/>
      <c r="AF2929" s="11"/>
      <c r="AG2929" s="11"/>
      <c r="AH2929" s="11"/>
      <c r="AI2929" s="11"/>
    </row>
    <row r="2930" ht="12.5" spans="3:35">
      <c r="C2930" s="19"/>
      <c r="D2930" s="19"/>
      <c r="H2930" s="105"/>
      <c r="I2930" s="126"/>
      <c r="J2930" s="11"/>
      <c r="K2930" s="108"/>
      <c r="L2930" s="11"/>
      <c r="M2930" s="105"/>
      <c r="N2930" s="105"/>
      <c r="O2930" s="11"/>
      <c r="P2930" s="11"/>
      <c r="Q2930" s="105"/>
      <c r="R2930" s="105"/>
      <c r="S2930" s="105"/>
      <c r="T2930" s="105"/>
      <c r="U2930" s="105"/>
      <c r="V2930" s="105"/>
      <c r="W2930" s="105"/>
      <c r="X2930" s="11"/>
      <c r="Y2930" s="11"/>
      <c r="Z2930" s="105"/>
      <c r="AA2930" s="11"/>
      <c r="AB2930" s="11"/>
      <c r="AC2930" s="105"/>
      <c r="AD2930" s="11" t="b">
        <v>0</v>
      </c>
      <c r="AE2930" s="105"/>
      <c r="AF2930" s="11"/>
      <c r="AG2930" s="11"/>
      <c r="AH2930" s="11"/>
      <c r="AI2930" s="11"/>
    </row>
    <row r="2931" ht="12.5" spans="3:35">
      <c r="C2931" s="19"/>
      <c r="D2931" s="19"/>
      <c r="H2931" s="105"/>
      <c r="I2931" s="126"/>
      <c r="J2931" s="11"/>
      <c r="K2931" s="108"/>
      <c r="L2931" s="11"/>
      <c r="M2931" s="105"/>
      <c r="N2931" s="105"/>
      <c r="O2931" s="11"/>
      <c r="P2931" s="11"/>
      <c r="Q2931" s="105"/>
      <c r="R2931" s="105"/>
      <c r="S2931" s="105"/>
      <c r="T2931" s="105"/>
      <c r="U2931" s="105"/>
      <c r="V2931" s="105"/>
      <c r="W2931" s="105"/>
      <c r="X2931" s="11"/>
      <c r="Y2931" s="11"/>
      <c r="Z2931" s="105"/>
      <c r="AA2931" s="11"/>
      <c r="AB2931" s="11"/>
      <c r="AC2931" s="105"/>
      <c r="AD2931" s="11" t="b">
        <v>0</v>
      </c>
      <c r="AE2931" s="105"/>
      <c r="AF2931" s="11"/>
      <c r="AG2931" s="11"/>
      <c r="AH2931" s="11"/>
      <c r="AI2931" s="11"/>
    </row>
    <row r="2932" ht="12.5" spans="3:35">
      <c r="C2932" s="19"/>
      <c r="D2932" s="19"/>
      <c r="H2932" s="105"/>
      <c r="I2932" s="126"/>
      <c r="J2932" s="11"/>
      <c r="K2932" s="108"/>
      <c r="L2932" s="11"/>
      <c r="M2932" s="105"/>
      <c r="N2932" s="105"/>
      <c r="O2932" s="11"/>
      <c r="P2932" s="11"/>
      <c r="Q2932" s="105"/>
      <c r="R2932" s="105"/>
      <c r="S2932" s="105"/>
      <c r="T2932" s="105"/>
      <c r="U2932" s="105"/>
      <c r="V2932" s="105"/>
      <c r="W2932" s="105"/>
      <c r="X2932" s="11"/>
      <c r="Y2932" s="11"/>
      <c r="Z2932" s="105"/>
      <c r="AA2932" s="11"/>
      <c r="AB2932" s="11"/>
      <c r="AC2932" s="105"/>
      <c r="AD2932" s="11" t="b">
        <v>0</v>
      </c>
      <c r="AE2932" s="105"/>
      <c r="AF2932" s="11"/>
      <c r="AG2932" s="11"/>
      <c r="AH2932" s="11"/>
      <c r="AI2932" s="11"/>
    </row>
    <row r="2933" ht="12.5" spans="3:35">
      <c r="C2933" s="19"/>
      <c r="D2933" s="19"/>
      <c r="H2933" s="105"/>
      <c r="I2933" s="126"/>
      <c r="J2933" s="11"/>
      <c r="K2933" s="108"/>
      <c r="L2933" s="11"/>
      <c r="M2933" s="105"/>
      <c r="N2933" s="105"/>
      <c r="O2933" s="11"/>
      <c r="P2933" s="11"/>
      <c r="Q2933" s="105"/>
      <c r="R2933" s="105"/>
      <c r="S2933" s="105"/>
      <c r="T2933" s="105"/>
      <c r="U2933" s="105"/>
      <c r="V2933" s="105"/>
      <c r="W2933" s="105"/>
      <c r="X2933" s="11"/>
      <c r="Y2933" s="11"/>
      <c r="Z2933" s="105"/>
      <c r="AA2933" s="11"/>
      <c r="AB2933" s="11"/>
      <c r="AC2933" s="105"/>
      <c r="AD2933" s="11" t="b">
        <v>0</v>
      </c>
      <c r="AE2933" s="105"/>
      <c r="AF2933" s="11"/>
      <c r="AG2933" s="11"/>
      <c r="AH2933" s="11"/>
      <c r="AI2933" s="11"/>
    </row>
    <row r="2934" ht="12.5" spans="3:35">
      <c r="C2934" s="19"/>
      <c r="D2934" s="19"/>
      <c r="H2934" s="105"/>
      <c r="I2934" s="126"/>
      <c r="J2934" s="11"/>
      <c r="K2934" s="108"/>
      <c r="L2934" s="11"/>
      <c r="M2934" s="105"/>
      <c r="N2934" s="105"/>
      <c r="O2934" s="11"/>
      <c r="P2934" s="11"/>
      <c r="Q2934" s="105"/>
      <c r="R2934" s="105"/>
      <c r="S2934" s="105"/>
      <c r="T2934" s="105"/>
      <c r="U2934" s="105"/>
      <c r="V2934" s="105"/>
      <c r="W2934" s="105"/>
      <c r="X2934" s="11"/>
      <c r="Y2934" s="11"/>
      <c r="Z2934" s="105"/>
      <c r="AA2934" s="11"/>
      <c r="AB2934" s="11"/>
      <c r="AC2934" s="105"/>
      <c r="AD2934" s="11" t="b">
        <v>0</v>
      </c>
      <c r="AE2934" s="105"/>
      <c r="AF2934" s="11"/>
      <c r="AG2934" s="11"/>
      <c r="AH2934" s="11"/>
      <c r="AI2934" s="11"/>
    </row>
    <row r="2935" ht="12.5" spans="3:35">
      <c r="C2935" s="19"/>
      <c r="D2935" s="19"/>
      <c r="H2935" s="105"/>
      <c r="I2935" s="126"/>
      <c r="J2935" s="11"/>
      <c r="K2935" s="108"/>
      <c r="L2935" s="11"/>
      <c r="M2935" s="105"/>
      <c r="N2935" s="105"/>
      <c r="O2935" s="11"/>
      <c r="P2935" s="11"/>
      <c r="Q2935" s="105"/>
      <c r="R2935" s="105"/>
      <c r="S2935" s="105"/>
      <c r="T2935" s="105"/>
      <c r="U2935" s="105"/>
      <c r="V2935" s="105"/>
      <c r="W2935" s="105"/>
      <c r="X2935" s="11"/>
      <c r="Y2935" s="11"/>
      <c r="Z2935" s="105"/>
      <c r="AA2935" s="11"/>
      <c r="AB2935" s="11"/>
      <c r="AC2935" s="105"/>
      <c r="AD2935" s="11" t="b">
        <v>0</v>
      </c>
      <c r="AE2935" s="105"/>
      <c r="AF2935" s="11"/>
      <c r="AG2935" s="11"/>
      <c r="AH2935" s="11"/>
      <c r="AI2935" s="11"/>
    </row>
    <row r="2936" ht="12.5" spans="3:35">
      <c r="C2936" s="19"/>
      <c r="D2936" s="19"/>
      <c r="H2936" s="105"/>
      <c r="I2936" s="126"/>
      <c r="J2936" s="11"/>
      <c r="K2936" s="108"/>
      <c r="L2936" s="11"/>
      <c r="M2936" s="105"/>
      <c r="N2936" s="105"/>
      <c r="O2936" s="11"/>
      <c r="P2936" s="11"/>
      <c r="Q2936" s="105"/>
      <c r="R2936" s="105"/>
      <c r="S2936" s="105"/>
      <c r="T2936" s="105"/>
      <c r="U2936" s="105"/>
      <c r="V2936" s="105"/>
      <c r="W2936" s="105"/>
      <c r="X2936" s="11"/>
      <c r="Y2936" s="11"/>
      <c r="Z2936" s="105"/>
      <c r="AA2936" s="11"/>
      <c r="AB2936" s="11"/>
      <c r="AC2936" s="105"/>
      <c r="AD2936" s="11" t="b">
        <v>0</v>
      </c>
      <c r="AE2936" s="105"/>
      <c r="AF2936" s="11"/>
      <c r="AG2936" s="11"/>
      <c r="AH2936" s="11"/>
      <c r="AI2936" s="11"/>
    </row>
    <row r="2937" ht="12.5" spans="3:35">
      <c r="C2937" s="19"/>
      <c r="D2937" s="19"/>
      <c r="H2937" s="105"/>
      <c r="I2937" s="126"/>
      <c r="J2937" s="11"/>
      <c r="K2937" s="108"/>
      <c r="L2937" s="11"/>
      <c r="M2937" s="105"/>
      <c r="N2937" s="105"/>
      <c r="O2937" s="11"/>
      <c r="P2937" s="11"/>
      <c r="Q2937" s="105"/>
      <c r="R2937" s="105"/>
      <c r="S2937" s="105"/>
      <c r="T2937" s="105"/>
      <c r="U2937" s="105"/>
      <c r="V2937" s="105"/>
      <c r="W2937" s="105"/>
      <c r="X2937" s="11"/>
      <c r="Y2937" s="11"/>
      <c r="Z2937" s="105"/>
      <c r="AA2937" s="11"/>
      <c r="AB2937" s="11"/>
      <c r="AC2937" s="105"/>
      <c r="AD2937" s="11" t="b">
        <v>0</v>
      </c>
      <c r="AE2937" s="105"/>
      <c r="AF2937" s="11"/>
      <c r="AG2937" s="11"/>
      <c r="AH2937" s="11"/>
      <c r="AI2937" s="11"/>
    </row>
    <row r="2938" ht="12.5" spans="3:35">
      <c r="C2938" s="19"/>
      <c r="D2938" s="19"/>
      <c r="H2938" s="105"/>
      <c r="I2938" s="126"/>
      <c r="J2938" s="11"/>
      <c r="K2938" s="108"/>
      <c r="L2938" s="11"/>
      <c r="M2938" s="105"/>
      <c r="N2938" s="105"/>
      <c r="O2938" s="11"/>
      <c r="P2938" s="11"/>
      <c r="Q2938" s="105"/>
      <c r="R2938" s="105"/>
      <c r="S2938" s="105"/>
      <c r="T2938" s="105"/>
      <c r="U2938" s="105"/>
      <c r="V2938" s="105"/>
      <c r="W2938" s="105"/>
      <c r="X2938" s="11"/>
      <c r="Y2938" s="11"/>
      <c r="Z2938" s="105"/>
      <c r="AA2938" s="11"/>
      <c r="AB2938" s="11"/>
      <c r="AC2938" s="105"/>
      <c r="AD2938" s="11" t="b">
        <v>0</v>
      </c>
      <c r="AE2938" s="105"/>
      <c r="AF2938" s="11"/>
      <c r="AG2938" s="11"/>
      <c r="AH2938" s="11"/>
      <c r="AI2938" s="11"/>
    </row>
    <row r="2939" ht="12.5" spans="3:35">
      <c r="C2939" s="19"/>
      <c r="D2939" s="19"/>
      <c r="H2939" s="105"/>
      <c r="I2939" s="126"/>
      <c r="J2939" s="11"/>
      <c r="K2939" s="108"/>
      <c r="L2939" s="11"/>
      <c r="M2939" s="105"/>
      <c r="N2939" s="105"/>
      <c r="O2939" s="11"/>
      <c r="P2939" s="11"/>
      <c r="Q2939" s="105"/>
      <c r="R2939" s="105"/>
      <c r="S2939" s="105"/>
      <c r="T2939" s="105"/>
      <c r="U2939" s="105"/>
      <c r="V2939" s="105"/>
      <c r="W2939" s="105"/>
      <c r="X2939" s="11"/>
      <c r="Y2939" s="11"/>
      <c r="Z2939" s="105"/>
      <c r="AA2939" s="11"/>
      <c r="AB2939" s="11"/>
      <c r="AC2939" s="105"/>
      <c r="AD2939" s="11" t="b">
        <v>0</v>
      </c>
      <c r="AE2939" s="105"/>
      <c r="AF2939" s="11"/>
      <c r="AG2939" s="11"/>
      <c r="AH2939" s="11"/>
      <c r="AI2939" s="11"/>
    </row>
    <row r="2940" ht="12.5" spans="3:35">
      <c r="C2940" s="19"/>
      <c r="D2940" s="19"/>
      <c r="H2940" s="105"/>
      <c r="I2940" s="126"/>
      <c r="J2940" s="11"/>
      <c r="K2940" s="108"/>
      <c r="L2940" s="11"/>
      <c r="M2940" s="105"/>
      <c r="N2940" s="105"/>
      <c r="O2940" s="11"/>
      <c r="P2940" s="11"/>
      <c r="Q2940" s="105"/>
      <c r="R2940" s="105"/>
      <c r="S2940" s="105"/>
      <c r="T2940" s="105"/>
      <c r="U2940" s="105"/>
      <c r="V2940" s="105"/>
      <c r="W2940" s="105"/>
      <c r="X2940" s="11"/>
      <c r="Y2940" s="11"/>
      <c r="Z2940" s="105"/>
      <c r="AA2940" s="11"/>
      <c r="AB2940" s="11"/>
      <c r="AC2940" s="105"/>
      <c r="AD2940" s="11" t="b">
        <v>0</v>
      </c>
      <c r="AE2940" s="105"/>
      <c r="AF2940" s="11"/>
      <c r="AG2940" s="11"/>
      <c r="AH2940" s="11"/>
      <c r="AI2940" s="11"/>
    </row>
    <row r="2941" ht="12.5" spans="3:35">
      <c r="C2941" s="19"/>
      <c r="D2941" s="19"/>
      <c r="H2941" s="105"/>
      <c r="I2941" s="126"/>
      <c r="J2941" s="11"/>
      <c r="K2941" s="108"/>
      <c r="L2941" s="11"/>
      <c r="M2941" s="105"/>
      <c r="N2941" s="105"/>
      <c r="O2941" s="11"/>
      <c r="P2941" s="11"/>
      <c r="Q2941" s="105"/>
      <c r="R2941" s="105"/>
      <c r="S2941" s="105"/>
      <c r="T2941" s="105"/>
      <c r="U2941" s="105"/>
      <c r="V2941" s="105"/>
      <c r="W2941" s="105"/>
      <c r="X2941" s="11"/>
      <c r="Y2941" s="11"/>
      <c r="Z2941" s="105"/>
      <c r="AA2941" s="11"/>
      <c r="AB2941" s="11"/>
      <c r="AC2941" s="105"/>
      <c r="AD2941" s="11" t="b">
        <v>0</v>
      </c>
      <c r="AE2941" s="105"/>
      <c r="AF2941" s="11"/>
      <c r="AG2941" s="11"/>
      <c r="AH2941" s="11"/>
      <c r="AI2941" s="11"/>
    </row>
    <row r="2942" ht="12.5" spans="3:35">
      <c r="C2942" s="19"/>
      <c r="D2942" s="19"/>
      <c r="H2942" s="105"/>
      <c r="I2942" s="126"/>
      <c r="J2942" s="11"/>
      <c r="K2942" s="108"/>
      <c r="L2942" s="11"/>
      <c r="M2942" s="105"/>
      <c r="N2942" s="105"/>
      <c r="O2942" s="11"/>
      <c r="P2942" s="11"/>
      <c r="Q2942" s="105"/>
      <c r="R2942" s="105"/>
      <c r="S2942" s="105"/>
      <c r="T2942" s="105"/>
      <c r="U2942" s="105"/>
      <c r="V2942" s="105"/>
      <c r="W2942" s="105"/>
      <c r="X2942" s="11"/>
      <c r="Y2942" s="11"/>
      <c r="Z2942" s="105"/>
      <c r="AA2942" s="11"/>
      <c r="AB2942" s="11"/>
      <c r="AC2942" s="105"/>
      <c r="AD2942" s="11" t="b">
        <v>0</v>
      </c>
      <c r="AE2942" s="105"/>
      <c r="AF2942" s="11"/>
      <c r="AG2942" s="11"/>
      <c r="AH2942" s="11"/>
      <c r="AI2942" s="11"/>
    </row>
    <row r="2943" ht="12.5" spans="3:35">
      <c r="C2943" s="19"/>
      <c r="D2943" s="19"/>
      <c r="H2943" s="105"/>
      <c r="I2943" s="126"/>
      <c r="J2943" s="11"/>
      <c r="K2943" s="108"/>
      <c r="L2943" s="11"/>
      <c r="M2943" s="105"/>
      <c r="N2943" s="105"/>
      <c r="O2943" s="11"/>
      <c r="P2943" s="11"/>
      <c r="Q2943" s="105"/>
      <c r="R2943" s="105"/>
      <c r="S2943" s="105"/>
      <c r="T2943" s="105"/>
      <c r="U2943" s="105"/>
      <c r="V2943" s="105"/>
      <c r="W2943" s="105"/>
      <c r="X2943" s="11"/>
      <c r="Y2943" s="11"/>
      <c r="Z2943" s="105"/>
      <c r="AA2943" s="11"/>
      <c r="AB2943" s="11"/>
      <c r="AC2943" s="105"/>
      <c r="AD2943" s="11" t="b">
        <v>0</v>
      </c>
      <c r="AE2943" s="105"/>
      <c r="AF2943" s="11"/>
      <c r="AG2943" s="11"/>
      <c r="AH2943" s="11"/>
      <c r="AI2943" s="11"/>
    </row>
    <row r="2944" ht="12.5" spans="3:35">
      <c r="C2944" s="19"/>
      <c r="D2944" s="19"/>
      <c r="H2944" s="105"/>
      <c r="I2944" s="126"/>
      <c r="J2944" s="11"/>
      <c r="K2944" s="108"/>
      <c r="L2944" s="11"/>
      <c r="M2944" s="105"/>
      <c r="N2944" s="105"/>
      <c r="O2944" s="11"/>
      <c r="P2944" s="11"/>
      <c r="Q2944" s="105"/>
      <c r="R2944" s="105"/>
      <c r="S2944" s="105"/>
      <c r="T2944" s="105"/>
      <c r="U2944" s="105"/>
      <c r="V2944" s="105"/>
      <c r="W2944" s="105"/>
      <c r="X2944" s="11"/>
      <c r="Y2944" s="11"/>
      <c r="Z2944" s="105"/>
      <c r="AA2944" s="11"/>
      <c r="AB2944" s="11"/>
      <c r="AC2944" s="105"/>
      <c r="AD2944" s="11" t="b">
        <v>0</v>
      </c>
      <c r="AE2944" s="105"/>
      <c r="AF2944" s="11"/>
      <c r="AG2944" s="11"/>
      <c r="AH2944" s="11"/>
      <c r="AI2944" s="11"/>
    </row>
    <row r="2945" ht="12.5" spans="3:35">
      <c r="C2945" s="19"/>
      <c r="D2945" s="19"/>
      <c r="H2945" s="105"/>
      <c r="I2945" s="126"/>
      <c r="J2945" s="11"/>
      <c r="K2945" s="108"/>
      <c r="L2945" s="11"/>
      <c r="M2945" s="105"/>
      <c r="N2945" s="105"/>
      <c r="O2945" s="11"/>
      <c r="P2945" s="11"/>
      <c r="Q2945" s="105"/>
      <c r="R2945" s="105"/>
      <c r="S2945" s="105"/>
      <c r="T2945" s="105"/>
      <c r="U2945" s="105"/>
      <c r="V2945" s="105"/>
      <c r="W2945" s="105"/>
      <c r="X2945" s="11"/>
      <c r="Y2945" s="11"/>
      <c r="Z2945" s="105"/>
      <c r="AA2945" s="11"/>
      <c r="AB2945" s="11"/>
      <c r="AC2945" s="105"/>
      <c r="AD2945" s="11" t="b">
        <v>0</v>
      </c>
      <c r="AE2945" s="105"/>
      <c r="AF2945" s="11"/>
      <c r="AG2945" s="11"/>
      <c r="AH2945" s="11"/>
      <c r="AI2945" s="11"/>
    </row>
    <row r="2946" ht="12.5" spans="3:35">
      <c r="C2946" s="19"/>
      <c r="D2946" s="19"/>
      <c r="H2946" s="105"/>
      <c r="I2946" s="126"/>
      <c r="J2946" s="11"/>
      <c r="K2946" s="108"/>
      <c r="L2946" s="11"/>
      <c r="M2946" s="105"/>
      <c r="N2946" s="105"/>
      <c r="O2946" s="11"/>
      <c r="P2946" s="11"/>
      <c r="Q2946" s="105"/>
      <c r="R2946" s="105"/>
      <c r="S2946" s="105"/>
      <c r="T2946" s="105"/>
      <c r="U2946" s="105"/>
      <c r="V2946" s="105"/>
      <c r="W2946" s="105"/>
      <c r="X2946" s="11"/>
      <c r="Y2946" s="11"/>
      <c r="Z2946" s="105"/>
      <c r="AA2946" s="11"/>
      <c r="AB2946" s="11"/>
      <c r="AC2946" s="105"/>
      <c r="AD2946" s="11" t="b">
        <v>0</v>
      </c>
      <c r="AE2946" s="105"/>
      <c r="AF2946" s="11"/>
      <c r="AG2946" s="11"/>
      <c r="AH2946" s="11"/>
      <c r="AI2946" s="11"/>
    </row>
    <row r="2947" ht="12.5" spans="3:35">
      <c r="C2947" s="19"/>
      <c r="D2947" s="19"/>
      <c r="H2947" s="105"/>
      <c r="I2947" s="126"/>
      <c r="J2947" s="11"/>
      <c r="K2947" s="108"/>
      <c r="L2947" s="11"/>
      <c r="M2947" s="105"/>
      <c r="N2947" s="105"/>
      <c r="O2947" s="11"/>
      <c r="P2947" s="11"/>
      <c r="Q2947" s="105"/>
      <c r="R2947" s="105"/>
      <c r="S2947" s="105"/>
      <c r="T2947" s="105"/>
      <c r="U2947" s="105"/>
      <c r="V2947" s="105"/>
      <c r="W2947" s="105"/>
      <c r="X2947" s="11"/>
      <c r="Y2947" s="11"/>
      <c r="Z2947" s="105"/>
      <c r="AA2947" s="11"/>
      <c r="AB2947" s="11"/>
      <c r="AC2947" s="105"/>
      <c r="AD2947" s="11" t="b">
        <v>0</v>
      </c>
      <c r="AE2947" s="105"/>
      <c r="AF2947" s="11"/>
      <c r="AG2947" s="11"/>
      <c r="AH2947" s="11"/>
      <c r="AI2947" s="11"/>
    </row>
    <row r="2948" ht="12.5" spans="3:35">
      <c r="C2948" s="19"/>
      <c r="D2948" s="19"/>
      <c r="H2948" s="105"/>
      <c r="I2948" s="126"/>
      <c r="J2948" s="11"/>
      <c r="K2948" s="108"/>
      <c r="L2948" s="11"/>
      <c r="M2948" s="105"/>
      <c r="N2948" s="105"/>
      <c r="O2948" s="11"/>
      <c r="P2948" s="11"/>
      <c r="Q2948" s="105"/>
      <c r="R2948" s="105"/>
      <c r="S2948" s="105"/>
      <c r="T2948" s="105"/>
      <c r="U2948" s="105"/>
      <c r="V2948" s="105"/>
      <c r="W2948" s="105"/>
      <c r="X2948" s="11"/>
      <c r="Y2948" s="11"/>
      <c r="Z2948" s="105"/>
      <c r="AA2948" s="11"/>
      <c r="AB2948" s="11"/>
      <c r="AC2948" s="105"/>
      <c r="AD2948" s="11" t="b">
        <v>0</v>
      </c>
      <c r="AE2948" s="105"/>
      <c r="AF2948" s="11"/>
      <c r="AG2948" s="11"/>
      <c r="AH2948" s="11"/>
      <c r="AI2948" s="11"/>
    </row>
    <row r="2949" ht="12.5" spans="3:35">
      <c r="C2949" s="19"/>
      <c r="D2949" s="19"/>
      <c r="H2949" s="105"/>
      <c r="I2949" s="126"/>
      <c r="J2949" s="11"/>
      <c r="K2949" s="108"/>
      <c r="L2949" s="11"/>
      <c r="M2949" s="105"/>
      <c r="N2949" s="105"/>
      <c r="O2949" s="11"/>
      <c r="P2949" s="11"/>
      <c r="Q2949" s="105"/>
      <c r="R2949" s="105"/>
      <c r="S2949" s="105"/>
      <c r="T2949" s="105"/>
      <c r="U2949" s="105"/>
      <c r="V2949" s="105"/>
      <c r="W2949" s="105"/>
      <c r="X2949" s="11"/>
      <c r="Y2949" s="11"/>
      <c r="Z2949" s="105"/>
      <c r="AA2949" s="11"/>
      <c r="AB2949" s="11"/>
      <c r="AC2949" s="105"/>
      <c r="AD2949" s="11" t="b">
        <v>0</v>
      </c>
      <c r="AE2949" s="105"/>
      <c r="AF2949" s="11"/>
      <c r="AG2949" s="11"/>
      <c r="AH2949" s="11"/>
      <c r="AI2949" s="11"/>
    </row>
    <row r="2950" ht="12.5" spans="3:35">
      <c r="C2950" s="19"/>
      <c r="D2950" s="19"/>
      <c r="H2950" s="105"/>
      <c r="I2950" s="126"/>
      <c r="J2950" s="11"/>
      <c r="K2950" s="108"/>
      <c r="L2950" s="11"/>
      <c r="M2950" s="105"/>
      <c r="N2950" s="105"/>
      <c r="O2950" s="11"/>
      <c r="P2950" s="11"/>
      <c r="Q2950" s="105"/>
      <c r="R2950" s="105"/>
      <c r="S2950" s="105"/>
      <c r="T2950" s="105"/>
      <c r="U2950" s="105"/>
      <c r="V2950" s="105"/>
      <c r="W2950" s="105"/>
      <c r="X2950" s="11"/>
      <c r="Y2950" s="11"/>
      <c r="Z2950" s="105"/>
      <c r="AA2950" s="11"/>
      <c r="AB2950" s="11"/>
      <c r="AC2950" s="105"/>
      <c r="AD2950" s="11" t="b">
        <v>0</v>
      </c>
      <c r="AE2950" s="105"/>
      <c r="AF2950" s="11"/>
      <c r="AG2950" s="11"/>
      <c r="AH2950" s="11"/>
      <c r="AI2950" s="11"/>
    </row>
    <row r="2951" ht="12.5" spans="3:35">
      <c r="C2951" s="19"/>
      <c r="D2951" s="19"/>
      <c r="H2951" s="105"/>
      <c r="I2951" s="126"/>
      <c r="J2951" s="11"/>
      <c r="K2951" s="108"/>
      <c r="L2951" s="11"/>
      <c r="M2951" s="105"/>
      <c r="N2951" s="105"/>
      <c r="O2951" s="11"/>
      <c r="P2951" s="11"/>
      <c r="Q2951" s="105"/>
      <c r="R2951" s="105"/>
      <c r="S2951" s="105"/>
      <c r="T2951" s="105"/>
      <c r="U2951" s="105"/>
      <c r="V2951" s="105"/>
      <c r="W2951" s="105"/>
      <c r="X2951" s="11"/>
      <c r="Y2951" s="11"/>
      <c r="Z2951" s="105"/>
      <c r="AA2951" s="11"/>
      <c r="AB2951" s="11"/>
      <c r="AC2951" s="105"/>
      <c r="AD2951" s="11" t="b">
        <v>0</v>
      </c>
      <c r="AE2951" s="105"/>
      <c r="AF2951" s="11"/>
      <c r="AG2951" s="11"/>
      <c r="AH2951" s="11"/>
      <c r="AI2951" s="11"/>
    </row>
    <row r="2952" ht="12.5" spans="3:35">
      <c r="C2952" s="19"/>
      <c r="D2952" s="19"/>
      <c r="H2952" s="105"/>
      <c r="I2952" s="126"/>
      <c r="J2952" s="11"/>
      <c r="K2952" s="108"/>
      <c r="L2952" s="11"/>
      <c r="M2952" s="105"/>
      <c r="N2952" s="105"/>
      <c r="O2952" s="11"/>
      <c r="P2952" s="11"/>
      <c r="Q2952" s="105"/>
      <c r="R2952" s="105"/>
      <c r="S2952" s="105"/>
      <c r="T2952" s="105"/>
      <c r="U2952" s="105"/>
      <c r="V2952" s="105"/>
      <c r="W2952" s="105"/>
      <c r="X2952" s="11"/>
      <c r="Y2952" s="11"/>
      <c r="Z2952" s="105"/>
      <c r="AA2952" s="11"/>
      <c r="AB2952" s="11"/>
      <c r="AC2952" s="105"/>
      <c r="AD2952" s="11" t="b">
        <v>0</v>
      </c>
      <c r="AE2952" s="105"/>
      <c r="AF2952" s="11"/>
      <c r="AG2952" s="11"/>
      <c r="AH2952" s="11"/>
      <c r="AI2952" s="11"/>
    </row>
    <row r="2953" ht="12.5" spans="3:35">
      <c r="C2953" s="19"/>
      <c r="D2953" s="19"/>
      <c r="H2953" s="105"/>
      <c r="I2953" s="126"/>
      <c r="J2953" s="11"/>
      <c r="K2953" s="108"/>
      <c r="L2953" s="11"/>
      <c r="M2953" s="105"/>
      <c r="N2953" s="105"/>
      <c r="O2953" s="11"/>
      <c r="P2953" s="11"/>
      <c r="Q2953" s="105"/>
      <c r="R2953" s="105"/>
      <c r="S2953" s="105"/>
      <c r="T2953" s="105"/>
      <c r="U2953" s="105"/>
      <c r="V2953" s="105"/>
      <c r="W2953" s="105"/>
      <c r="X2953" s="11"/>
      <c r="Y2953" s="11"/>
      <c r="Z2953" s="105"/>
      <c r="AA2953" s="11"/>
      <c r="AB2953" s="11"/>
      <c r="AC2953" s="105"/>
      <c r="AD2953" s="11" t="b">
        <v>0</v>
      </c>
      <c r="AE2953" s="105"/>
      <c r="AF2953" s="11"/>
      <c r="AG2953" s="11"/>
      <c r="AH2953" s="11"/>
      <c r="AI2953" s="11"/>
    </row>
    <row r="2954" ht="12.5" spans="3:35">
      <c r="C2954" s="19"/>
      <c r="D2954" s="19"/>
      <c r="H2954" s="105"/>
      <c r="I2954" s="126"/>
      <c r="J2954" s="11"/>
      <c r="K2954" s="108"/>
      <c r="L2954" s="11"/>
      <c r="M2954" s="105"/>
      <c r="N2954" s="105"/>
      <c r="O2954" s="11"/>
      <c r="P2954" s="11"/>
      <c r="Q2954" s="105"/>
      <c r="R2954" s="105"/>
      <c r="S2954" s="105"/>
      <c r="T2954" s="105"/>
      <c r="U2954" s="105"/>
      <c r="V2954" s="105"/>
      <c r="W2954" s="105"/>
      <c r="X2954" s="11"/>
      <c r="Y2954" s="11"/>
      <c r="Z2954" s="105"/>
      <c r="AA2954" s="11"/>
      <c r="AB2954" s="11"/>
      <c r="AC2954" s="105"/>
      <c r="AD2954" s="11" t="b">
        <v>0</v>
      </c>
      <c r="AE2954" s="105"/>
      <c r="AF2954" s="11"/>
      <c r="AG2954" s="11"/>
      <c r="AH2954" s="11"/>
      <c r="AI2954" s="11"/>
    </row>
    <row r="2955" ht="12.5" spans="3:35">
      <c r="C2955" s="19"/>
      <c r="D2955" s="19"/>
      <c r="H2955" s="105"/>
      <c r="I2955" s="126"/>
      <c r="J2955" s="11"/>
      <c r="K2955" s="108"/>
      <c r="L2955" s="11"/>
      <c r="M2955" s="105"/>
      <c r="N2955" s="105"/>
      <c r="O2955" s="11"/>
      <c r="P2955" s="11"/>
      <c r="Q2955" s="105"/>
      <c r="R2955" s="105"/>
      <c r="S2955" s="105"/>
      <c r="T2955" s="105"/>
      <c r="U2955" s="105"/>
      <c r="V2955" s="105"/>
      <c r="W2955" s="105"/>
      <c r="X2955" s="11"/>
      <c r="Y2955" s="11"/>
      <c r="Z2955" s="105"/>
      <c r="AA2955" s="11"/>
      <c r="AB2955" s="11"/>
      <c r="AC2955" s="105"/>
      <c r="AD2955" s="11" t="b">
        <v>0</v>
      </c>
      <c r="AE2955" s="105"/>
      <c r="AF2955" s="11"/>
      <c r="AG2955" s="11"/>
      <c r="AH2955" s="11"/>
      <c r="AI2955" s="11"/>
    </row>
    <row r="2956" ht="12.5" spans="3:35">
      <c r="C2956" s="19"/>
      <c r="D2956" s="19"/>
      <c r="H2956" s="105"/>
      <c r="I2956" s="126"/>
      <c r="J2956" s="11"/>
      <c r="K2956" s="108"/>
      <c r="L2956" s="11"/>
      <c r="M2956" s="105"/>
      <c r="N2956" s="105"/>
      <c r="O2956" s="11"/>
      <c r="P2956" s="11"/>
      <c r="Q2956" s="105"/>
      <c r="R2956" s="105"/>
      <c r="S2956" s="105"/>
      <c r="T2956" s="105"/>
      <c r="U2956" s="105"/>
      <c r="V2956" s="105"/>
      <c r="W2956" s="105"/>
      <c r="X2956" s="11"/>
      <c r="Y2956" s="11"/>
      <c r="Z2956" s="105"/>
      <c r="AA2956" s="11"/>
      <c r="AB2956" s="11"/>
      <c r="AC2956" s="105"/>
      <c r="AD2956" s="11" t="b">
        <v>0</v>
      </c>
      <c r="AE2956" s="105"/>
      <c r="AF2956" s="11"/>
      <c r="AG2956" s="11"/>
      <c r="AH2956" s="11"/>
      <c r="AI2956" s="11"/>
    </row>
    <row r="2957" ht="12.5" spans="3:35">
      <c r="C2957" s="19"/>
      <c r="D2957" s="19"/>
      <c r="H2957" s="105"/>
      <c r="I2957" s="126"/>
      <c r="J2957" s="11"/>
      <c r="K2957" s="108"/>
      <c r="L2957" s="11"/>
      <c r="M2957" s="105"/>
      <c r="N2957" s="105"/>
      <c r="O2957" s="11"/>
      <c r="P2957" s="11"/>
      <c r="Q2957" s="105"/>
      <c r="R2957" s="105"/>
      <c r="S2957" s="105"/>
      <c r="T2957" s="105"/>
      <c r="U2957" s="105"/>
      <c r="V2957" s="105"/>
      <c r="W2957" s="105"/>
      <c r="X2957" s="11"/>
      <c r="Y2957" s="11"/>
      <c r="Z2957" s="105"/>
      <c r="AA2957" s="11"/>
      <c r="AB2957" s="11"/>
      <c r="AC2957" s="105"/>
      <c r="AD2957" s="11" t="b">
        <v>0</v>
      </c>
      <c r="AE2957" s="105"/>
      <c r="AF2957" s="11"/>
      <c r="AG2957" s="11"/>
      <c r="AH2957" s="11"/>
      <c r="AI2957" s="11"/>
    </row>
    <row r="2958" ht="12.5" spans="3:35">
      <c r="C2958" s="19"/>
      <c r="D2958" s="19"/>
      <c r="H2958" s="105"/>
      <c r="I2958" s="126"/>
      <c r="J2958" s="11"/>
      <c r="K2958" s="108"/>
      <c r="L2958" s="11"/>
      <c r="M2958" s="105"/>
      <c r="N2958" s="105"/>
      <c r="O2958" s="11"/>
      <c r="P2958" s="11"/>
      <c r="Q2958" s="105"/>
      <c r="R2958" s="105"/>
      <c r="S2958" s="105"/>
      <c r="T2958" s="105"/>
      <c r="U2958" s="105"/>
      <c r="V2958" s="105"/>
      <c r="W2958" s="105"/>
      <c r="X2958" s="11"/>
      <c r="Y2958" s="11"/>
      <c r="Z2958" s="105"/>
      <c r="AA2958" s="11"/>
      <c r="AB2958" s="11"/>
      <c r="AC2958" s="105"/>
      <c r="AD2958" s="11" t="b">
        <v>0</v>
      </c>
      <c r="AE2958" s="105"/>
      <c r="AF2958" s="11"/>
      <c r="AG2958" s="11"/>
      <c r="AH2958" s="11"/>
      <c r="AI2958" s="11"/>
    </row>
    <row r="2959" ht="12.5" spans="3:35">
      <c r="C2959" s="19"/>
      <c r="D2959" s="19"/>
      <c r="H2959" s="105"/>
      <c r="I2959" s="126"/>
      <c r="J2959" s="11"/>
      <c r="K2959" s="108"/>
      <c r="L2959" s="11"/>
      <c r="M2959" s="105"/>
      <c r="N2959" s="105"/>
      <c r="O2959" s="11"/>
      <c r="P2959" s="11"/>
      <c r="Q2959" s="105"/>
      <c r="R2959" s="105"/>
      <c r="S2959" s="105"/>
      <c r="T2959" s="105"/>
      <c r="U2959" s="105"/>
      <c r="V2959" s="105"/>
      <c r="W2959" s="105"/>
      <c r="X2959" s="11"/>
      <c r="Y2959" s="11"/>
      <c r="Z2959" s="105"/>
      <c r="AA2959" s="11"/>
      <c r="AB2959" s="11"/>
      <c r="AC2959" s="105"/>
      <c r="AD2959" s="11" t="b">
        <v>0</v>
      </c>
      <c r="AE2959" s="105"/>
      <c r="AF2959" s="11"/>
      <c r="AG2959" s="11"/>
      <c r="AH2959" s="11"/>
      <c r="AI2959" s="11"/>
    </row>
    <row r="2960" ht="12.5" spans="3:35">
      <c r="C2960" s="19"/>
      <c r="D2960" s="19"/>
      <c r="H2960" s="105"/>
      <c r="I2960" s="126"/>
      <c r="J2960" s="11"/>
      <c r="K2960" s="108"/>
      <c r="L2960" s="11"/>
      <c r="M2960" s="105"/>
      <c r="N2960" s="105"/>
      <c r="O2960" s="11"/>
      <c r="P2960" s="11"/>
      <c r="Q2960" s="105"/>
      <c r="R2960" s="105"/>
      <c r="S2960" s="105"/>
      <c r="T2960" s="105"/>
      <c r="U2960" s="105"/>
      <c r="V2960" s="105"/>
      <c r="W2960" s="105"/>
      <c r="X2960" s="11"/>
      <c r="Y2960" s="11"/>
      <c r="Z2960" s="105"/>
      <c r="AA2960" s="11"/>
      <c r="AB2960" s="11"/>
      <c r="AC2960" s="105"/>
      <c r="AD2960" s="11" t="b">
        <v>0</v>
      </c>
      <c r="AE2960" s="105"/>
      <c r="AF2960" s="11"/>
      <c r="AG2960" s="11"/>
      <c r="AH2960" s="11"/>
      <c r="AI2960" s="11"/>
    </row>
    <row r="2961" ht="12.5" spans="3:35">
      <c r="C2961" s="19"/>
      <c r="D2961" s="19"/>
      <c r="H2961" s="105"/>
      <c r="I2961" s="126"/>
      <c r="J2961" s="11"/>
      <c r="K2961" s="108"/>
      <c r="L2961" s="11"/>
      <c r="M2961" s="105"/>
      <c r="N2961" s="105"/>
      <c r="O2961" s="11"/>
      <c r="P2961" s="11"/>
      <c r="Q2961" s="105"/>
      <c r="R2961" s="105"/>
      <c r="S2961" s="105"/>
      <c r="T2961" s="105"/>
      <c r="U2961" s="105"/>
      <c r="V2961" s="105"/>
      <c r="W2961" s="105"/>
      <c r="X2961" s="11"/>
      <c r="Y2961" s="11"/>
      <c r="Z2961" s="105"/>
      <c r="AA2961" s="11"/>
      <c r="AB2961" s="11"/>
      <c r="AC2961" s="105"/>
      <c r="AD2961" s="11" t="b">
        <v>0</v>
      </c>
      <c r="AE2961" s="105"/>
      <c r="AF2961" s="11"/>
      <c r="AG2961" s="11"/>
      <c r="AH2961" s="11"/>
      <c r="AI2961" s="11"/>
    </row>
    <row r="2962" ht="12.5" spans="3:35">
      <c r="C2962" s="19"/>
      <c r="D2962" s="19"/>
      <c r="H2962" s="105"/>
      <c r="I2962" s="126"/>
      <c r="J2962" s="11"/>
      <c r="K2962" s="108"/>
      <c r="L2962" s="11"/>
      <c r="M2962" s="105"/>
      <c r="N2962" s="105"/>
      <c r="O2962" s="11"/>
      <c r="P2962" s="11"/>
      <c r="Q2962" s="105"/>
      <c r="R2962" s="105"/>
      <c r="S2962" s="105"/>
      <c r="T2962" s="105"/>
      <c r="U2962" s="105"/>
      <c r="V2962" s="105"/>
      <c r="W2962" s="105"/>
      <c r="X2962" s="11"/>
      <c r="Y2962" s="11"/>
      <c r="Z2962" s="105"/>
      <c r="AA2962" s="11"/>
      <c r="AB2962" s="11"/>
      <c r="AC2962" s="105"/>
      <c r="AD2962" s="11" t="b">
        <v>0</v>
      </c>
      <c r="AE2962" s="105"/>
      <c r="AF2962" s="11"/>
      <c r="AG2962" s="11"/>
      <c r="AH2962" s="11"/>
      <c r="AI2962" s="11"/>
    </row>
    <row r="2963" ht="12.5" spans="3:35">
      <c r="C2963" s="19"/>
      <c r="D2963" s="19"/>
      <c r="H2963" s="105"/>
      <c r="I2963" s="126"/>
      <c r="J2963" s="11"/>
      <c r="K2963" s="108"/>
      <c r="L2963" s="11"/>
      <c r="M2963" s="105"/>
      <c r="N2963" s="105"/>
      <c r="O2963" s="11"/>
      <c r="P2963" s="11"/>
      <c r="Q2963" s="105"/>
      <c r="R2963" s="105"/>
      <c r="S2963" s="105"/>
      <c r="T2963" s="105"/>
      <c r="U2963" s="105"/>
      <c r="V2963" s="105"/>
      <c r="W2963" s="105"/>
      <c r="X2963" s="11"/>
      <c r="Y2963" s="11"/>
      <c r="Z2963" s="105"/>
      <c r="AA2963" s="11"/>
      <c r="AB2963" s="11"/>
      <c r="AC2963" s="105"/>
      <c r="AD2963" s="11" t="b">
        <v>0</v>
      </c>
      <c r="AE2963" s="105"/>
      <c r="AF2963" s="11"/>
      <c r="AG2963" s="11"/>
      <c r="AH2963" s="11"/>
      <c r="AI2963" s="11"/>
    </row>
    <row r="2964" ht="12.5" spans="3:35">
      <c r="C2964" s="19"/>
      <c r="D2964" s="19"/>
      <c r="H2964" s="105"/>
      <c r="I2964" s="126"/>
      <c r="J2964" s="11"/>
      <c r="K2964" s="108"/>
      <c r="L2964" s="11"/>
      <c r="M2964" s="105"/>
      <c r="N2964" s="105"/>
      <c r="O2964" s="11"/>
      <c r="P2964" s="11"/>
      <c r="Q2964" s="105"/>
      <c r="R2964" s="105"/>
      <c r="S2964" s="105"/>
      <c r="T2964" s="105"/>
      <c r="U2964" s="105"/>
      <c r="V2964" s="105"/>
      <c r="W2964" s="105"/>
      <c r="X2964" s="11"/>
      <c r="Y2964" s="11"/>
      <c r="Z2964" s="105"/>
      <c r="AA2964" s="11"/>
      <c r="AB2964" s="11"/>
      <c r="AC2964" s="105"/>
      <c r="AD2964" s="11" t="b">
        <v>0</v>
      </c>
      <c r="AE2964" s="105"/>
      <c r="AF2964" s="11"/>
      <c r="AG2964" s="11"/>
      <c r="AH2964" s="11"/>
      <c r="AI2964" s="11"/>
    </row>
    <row r="2965" ht="12.5" spans="3:35">
      <c r="C2965" s="19"/>
      <c r="D2965" s="19"/>
      <c r="H2965" s="105"/>
      <c r="I2965" s="126"/>
      <c r="J2965" s="11"/>
      <c r="K2965" s="108"/>
      <c r="L2965" s="11"/>
      <c r="M2965" s="105"/>
      <c r="N2965" s="105"/>
      <c r="O2965" s="11"/>
      <c r="P2965" s="11"/>
      <c r="Q2965" s="105"/>
      <c r="R2965" s="105"/>
      <c r="S2965" s="105"/>
      <c r="T2965" s="105"/>
      <c r="U2965" s="105"/>
      <c r="V2965" s="105"/>
      <c r="W2965" s="105"/>
      <c r="X2965" s="11"/>
      <c r="Y2965" s="11"/>
      <c r="Z2965" s="105"/>
      <c r="AA2965" s="11"/>
      <c r="AB2965" s="11"/>
      <c r="AC2965" s="105"/>
      <c r="AD2965" s="11" t="b">
        <v>0</v>
      </c>
      <c r="AE2965" s="105"/>
      <c r="AF2965" s="11"/>
      <c r="AG2965" s="11"/>
      <c r="AH2965" s="11"/>
      <c r="AI2965" s="11"/>
    </row>
    <row r="2966" ht="12.5" spans="3:35">
      <c r="C2966" s="19"/>
      <c r="D2966" s="19"/>
      <c r="H2966" s="105"/>
      <c r="I2966" s="126"/>
      <c r="J2966" s="11"/>
      <c r="K2966" s="108"/>
      <c r="L2966" s="11"/>
      <c r="M2966" s="105"/>
      <c r="N2966" s="105"/>
      <c r="O2966" s="11"/>
      <c r="P2966" s="11"/>
      <c r="Q2966" s="105"/>
      <c r="R2966" s="105"/>
      <c r="S2966" s="105"/>
      <c r="T2966" s="105"/>
      <c r="U2966" s="105"/>
      <c r="V2966" s="105"/>
      <c r="W2966" s="105"/>
      <c r="X2966" s="11"/>
      <c r="Y2966" s="11"/>
      <c r="Z2966" s="105"/>
      <c r="AA2966" s="11"/>
      <c r="AB2966" s="11"/>
      <c r="AC2966" s="105"/>
      <c r="AD2966" s="11" t="b">
        <v>0</v>
      </c>
      <c r="AE2966" s="105"/>
      <c r="AF2966" s="11"/>
      <c r="AG2966" s="11"/>
      <c r="AH2966" s="11"/>
      <c r="AI2966" s="11"/>
    </row>
    <row r="2967" ht="12.5" spans="3:35">
      <c r="C2967" s="19"/>
      <c r="D2967" s="19"/>
      <c r="H2967" s="105"/>
      <c r="I2967" s="126"/>
      <c r="J2967" s="11"/>
      <c r="K2967" s="108"/>
      <c r="L2967" s="11"/>
      <c r="M2967" s="105"/>
      <c r="N2967" s="105"/>
      <c r="O2967" s="11"/>
      <c r="P2967" s="11"/>
      <c r="Q2967" s="105"/>
      <c r="R2967" s="105"/>
      <c r="S2967" s="105"/>
      <c r="T2967" s="105"/>
      <c r="U2967" s="105"/>
      <c r="V2967" s="105"/>
      <c r="W2967" s="105"/>
      <c r="X2967" s="11"/>
      <c r="Y2967" s="11"/>
      <c r="Z2967" s="105"/>
      <c r="AA2967" s="11"/>
      <c r="AB2967" s="11"/>
      <c r="AC2967" s="105"/>
      <c r="AD2967" s="11" t="b">
        <v>0</v>
      </c>
      <c r="AE2967" s="105"/>
      <c r="AF2967" s="11"/>
      <c r="AG2967" s="11"/>
      <c r="AH2967" s="11"/>
      <c r="AI2967" s="11"/>
    </row>
    <row r="2968" ht="12.5" spans="3:35">
      <c r="C2968" s="19"/>
      <c r="D2968" s="19"/>
      <c r="H2968" s="105"/>
      <c r="I2968" s="126"/>
      <c r="J2968" s="11"/>
      <c r="K2968" s="108"/>
      <c r="L2968" s="11"/>
      <c r="M2968" s="105"/>
      <c r="N2968" s="105"/>
      <c r="O2968" s="11"/>
      <c r="P2968" s="11"/>
      <c r="Q2968" s="105"/>
      <c r="R2968" s="105"/>
      <c r="S2968" s="105"/>
      <c r="T2968" s="105"/>
      <c r="U2968" s="105"/>
      <c r="V2968" s="105"/>
      <c r="W2968" s="105"/>
      <c r="X2968" s="11"/>
      <c r="Y2968" s="11"/>
      <c r="Z2968" s="105"/>
      <c r="AA2968" s="11"/>
      <c r="AB2968" s="11"/>
      <c r="AC2968" s="105"/>
      <c r="AD2968" s="11" t="b">
        <v>0</v>
      </c>
      <c r="AE2968" s="105"/>
      <c r="AF2968" s="11"/>
      <c r="AG2968" s="11"/>
      <c r="AH2968" s="11"/>
      <c r="AI2968" s="11"/>
    </row>
    <row r="2969" ht="12.5" spans="3:35">
      <c r="C2969" s="19"/>
      <c r="D2969" s="19"/>
      <c r="H2969" s="105"/>
      <c r="I2969" s="126"/>
      <c r="J2969" s="11"/>
      <c r="K2969" s="108"/>
      <c r="L2969" s="11"/>
      <c r="M2969" s="105"/>
      <c r="N2969" s="105"/>
      <c r="O2969" s="11"/>
      <c r="P2969" s="11"/>
      <c r="Q2969" s="105"/>
      <c r="R2969" s="105"/>
      <c r="S2969" s="105"/>
      <c r="T2969" s="105"/>
      <c r="U2969" s="105"/>
      <c r="V2969" s="105"/>
      <c r="W2969" s="105"/>
      <c r="X2969" s="11"/>
      <c r="Y2969" s="11"/>
      <c r="Z2969" s="105"/>
      <c r="AA2969" s="11"/>
      <c r="AB2969" s="11"/>
      <c r="AC2969" s="105"/>
      <c r="AD2969" s="11" t="b">
        <v>0</v>
      </c>
      <c r="AE2969" s="105"/>
      <c r="AF2969" s="11"/>
      <c r="AG2969" s="11"/>
      <c r="AH2969" s="11"/>
      <c r="AI2969" s="11"/>
    </row>
    <row r="2970" ht="12.5" spans="3:35">
      <c r="C2970" s="19"/>
      <c r="D2970" s="19"/>
      <c r="H2970" s="105"/>
      <c r="I2970" s="126"/>
      <c r="J2970" s="11"/>
      <c r="K2970" s="108"/>
      <c r="L2970" s="11"/>
      <c r="M2970" s="105"/>
      <c r="N2970" s="105"/>
      <c r="O2970" s="11"/>
      <c r="P2970" s="11"/>
      <c r="Q2970" s="105"/>
      <c r="R2970" s="105"/>
      <c r="S2970" s="105"/>
      <c r="T2970" s="105"/>
      <c r="U2970" s="105"/>
      <c r="V2970" s="105"/>
      <c r="W2970" s="105"/>
      <c r="X2970" s="11"/>
      <c r="Y2970" s="11"/>
      <c r="Z2970" s="105"/>
      <c r="AA2970" s="11"/>
      <c r="AB2970" s="11"/>
      <c r="AC2970" s="105"/>
      <c r="AD2970" s="11" t="b">
        <v>0</v>
      </c>
      <c r="AE2970" s="105"/>
      <c r="AF2970" s="11"/>
      <c r="AG2970" s="11"/>
      <c r="AH2970" s="11"/>
      <c r="AI2970" s="11"/>
    </row>
    <row r="2971" ht="12.5" spans="3:35">
      <c r="C2971" s="19"/>
      <c r="D2971" s="19"/>
      <c r="H2971" s="105"/>
      <c r="I2971" s="126"/>
      <c r="J2971" s="11"/>
      <c r="K2971" s="108"/>
      <c r="L2971" s="11"/>
      <c r="M2971" s="105"/>
      <c r="N2971" s="105"/>
      <c r="O2971" s="11"/>
      <c r="P2971" s="11"/>
      <c r="Q2971" s="105"/>
      <c r="R2971" s="105"/>
      <c r="S2971" s="105"/>
      <c r="T2971" s="105"/>
      <c r="U2971" s="105"/>
      <c r="V2971" s="105"/>
      <c r="W2971" s="105"/>
      <c r="X2971" s="11"/>
      <c r="Y2971" s="11"/>
      <c r="Z2971" s="105"/>
      <c r="AA2971" s="11"/>
      <c r="AB2971" s="11"/>
      <c r="AC2971" s="105"/>
      <c r="AD2971" s="11" t="b">
        <v>0</v>
      </c>
      <c r="AE2971" s="105"/>
      <c r="AF2971" s="11"/>
      <c r="AG2971" s="11"/>
      <c r="AH2971" s="11"/>
      <c r="AI2971" s="11"/>
    </row>
    <row r="2972" ht="12.5" spans="3:35">
      <c r="C2972" s="19"/>
      <c r="D2972" s="19"/>
      <c r="H2972" s="105"/>
      <c r="I2972" s="126"/>
      <c r="J2972" s="11"/>
      <c r="K2972" s="108"/>
      <c r="L2972" s="11"/>
      <c r="M2972" s="105"/>
      <c r="N2972" s="105"/>
      <c r="O2972" s="11"/>
      <c r="P2972" s="11"/>
      <c r="Q2972" s="105"/>
      <c r="R2972" s="105"/>
      <c r="S2972" s="105"/>
      <c r="T2972" s="105"/>
      <c r="U2972" s="105"/>
      <c r="V2972" s="105"/>
      <c r="W2972" s="105"/>
      <c r="X2972" s="11"/>
      <c r="Y2972" s="11"/>
      <c r="Z2972" s="105"/>
      <c r="AA2972" s="11"/>
      <c r="AB2972" s="11"/>
      <c r="AC2972" s="105"/>
      <c r="AD2972" s="11" t="b">
        <v>0</v>
      </c>
      <c r="AE2972" s="105"/>
      <c r="AF2972" s="11"/>
      <c r="AG2972" s="11"/>
      <c r="AH2972" s="11"/>
      <c r="AI2972" s="11"/>
    </row>
    <row r="2973" ht="12.5" spans="3:35">
      <c r="C2973" s="19"/>
      <c r="D2973" s="19"/>
      <c r="H2973" s="105"/>
      <c r="I2973" s="126"/>
      <c r="J2973" s="11"/>
      <c r="K2973" s="108"/>
      <c r="L2973" s="11"/>
      <c r="M2973" s="105"/>
      <c r="N2973" s="105"/>
      <c r="O2973" s="11"/>
      <c r="P2973" s="11"/>
      <c r="Q2973" s="105"/>
      <c r="R2973" s="105"/>
      <c r="S2973" s="105"/>
      <c r="T2973" s="105"/>
      <c r="U2973" s="105"/>
      <c r="V2973" s="105"/>
      <c r="W2973" s="105"/>
      <c r="X2973" s="11"/>
      <c r="Y2973" s="11"/>
      <c r="Z2973" s="105"/>
      <c r="AA2973" s="11"/>
      <c r="AB2973" s="11"/>
      <c r="AC2973" s="105"/>
      <c r="AD2973" s="11" t="b">
        <v>0</v>
      </c>
      <c r="AE2973" s="105"/>
      <c r="AF2973" s="11"/>
      <c r="AG2973" s="11"/>
      <c r="AH2973" s="11"/>
      <c r="AI2973" s="11"/>
    </row>
    <row r="2974" ht="12.5" spans="3:35">
      <c r="C2974" s="19"/>
      <c r="D2974" s="19"/>
      <c r="H2974" s="105"/>
      <c r="I2974" s="126"/>
      <c r="J2974" s="11"/>
      <c r="K2974" s="108"/>
      <c r="L2974" s="11"/>
      <c r="M2974" s="105"/>
      <c r="N2974" s="105"/>
      <c r="O2974" s="11"/>
      <c r="P2974" s="11"/>
      <c r="Q2974" s="105"/>
      <c r="R2974" s="105"/>
      <c r="S2974" s="105"/>
      <c r="T2974" s="105"/>
      <c r="U2974" s="105"/>
      <c r="V2974" s="105"/>
      <c r="W2974" s="105"/>
      <c r="X2974" s="11"/>
      <c r="Y2974" s="11"/>
      <c r="Z2974" s="105"/>
      <c r="AA2974" s="11"/>
      <c r="AB2974" s="11"/>
      <c r="AC2974" s="105"/>
      <c r="AD2974" s="11" t="b">
        <v>0</v>
      </c>
      <c r="AE2974" s="105"/>
      <c r="AF2974" s="11"/>
      <c r="AG2974" s="11"/>
      <c r="AH2974" s="11"/>
      <c r="AI2974" s="11"/>
    </row>
    <row r="2975" ht="12.5" spans="3:35">
      <c r="C2975" s="19"/>
      <c r="D2975" s="19"/>
      <c r="H2975" s="105"/>
      <c r="I2975" s="126"/>
      <c r="J2975" s="11"/>
      <c r="K2975" s="108"/>
      <c r="L2975" s="11"/>
      <c r="M2975" s="105"/>
      <c r="N2975" s="105"/>
      <c r="O2975" s="11"/>
      <c r="P2975" s="11"/>
      <c r="Q2975" s="105"/>
      <c r="R2975" s="105"/>
      <c r="S2975" s="105"/>
      <c r="T2975" s="105"/>
      <c r="U2975" s="105"/>
      <c r="V2975" s="105"/>
      <c r="W2975" s="105"/>
      <c r="X2975" s="11"/>
      <c r="Y2975" s="11"/>
      <c r="Z2975" s="105"/>
      <c r="AA2975" s="11"/>
      <c r="AB2975" s="11"/>
      <c r="AC2975" s="105"/>
      <c r="AD2975" s="11" t="b">
        <v>0</v>
      </c>
      <c r="AE2975" s="105"/>
      <c r="AF2975" s="11"/>
      <c r="AG2975" s="11"/>
      <c r="AH2975" s="11"/>
      <c r="AI2975" s="11"/>
    </row>
    <row r="2976" ht="12.5" spans="3:35">
      <c r="C2976" s="19"/>
      <c r="D2976" s="19"/>
      <c r="H2976" s="105"/>
      <c r="I2976" s="126"/>
      <c r="J2976" s="11"/>
      <c r="K2976" s="108"/>
      <c r="L2976" s="11"/>
      <c r="M2976" s="105"/>
      <c r="N2976" s="105"/>
      <c r="O2976" s="11"/>
      <c r="P2976" s="11"/>
      <c r="Q2976" s="105"/>
      <c r="R2976" s="105"/>
      <c r="S2976" s="105"/>
      <c r="T2976" s="105"/>
      <c r="U2976" s="105"/>
      <c r="V2976" s="105"/>
      <c r="W2976" s="105"/>
      <c r="X2976" s="11"/>
      <c r="Y2976" s="11"/>
      <c r="Z2976" s="105"/>
      <c r="AA2976" s="11"/>
      <c r="AB2976" s="11"/>
      <c r="AC2976" s="105"/>
      <c r="AD2976" s="11" t="b">
        <v>0</v>
      </c>
      <c r="AE2976" s="105"/>
      <c r="AF2976" s="11"/>
      <c r="AG2976" s="11"/>
      <c r="AH2976" s="11"/>
      <c r="AI2976" s="11"/>
    </row>
    <row r="2977" ht="12.5" spans="3:35">
      <c r="C2977" s="19"/>
      <c r="D2977" s="19"/>
      <c r="H2977" s="105"/>
      <c r="I2977" s="126"/>
      <c r="J2977" s="11"/>
      <c r="K2977" s="108"/>
      <c r="L2977" s="11"/>
      <c r="M2977" s="105"/>
      <c r="N2977" s="105"/>
      <c r="O2977" s="11"/>
      <c r="P2977" s="11"/>
      <c r="Q2977" s="105"/>
      <c r="R2977" s="105"/>
      <c r="S2977" s="105"/>
      <c r="T2977" s="105"/>
      <c r="U2977" s="105"/>
      <c r="V2977" s="105"/>
      <c r="W2977" s="105"/>
      <c r="X2977" s="11"/>
      <c r="Y2977" s="11"/>
      <c r="Z2977" s="105"/>
      <c r="AA2977" s="11"/>
      <c r="AB2977" s="11"/>
      <c r="AC2977" s="105"/>
      <c r="AD2977" s="11" t="b">
        <v>0</v>
      </c>
      <c r="AE2977" s="105"/>
      <c r="AF2977" s="11"/>
      <c r="AG2977" s="11"/>
      <c r="AH2977" s="11"/>
      <c r="AI2977" s="11"/>
    </row>
    <row r="2978" ht="12.5" spans="3:35">
      <c r="C2978" s="19"/>
      <c r="D2978" s="19"/>
      <c r="H2978" s="105"/>
      <c r="I2978" s="126"/>
      <c r="J2978" s="11"/>
      <c r="K2978" s="108"/>
      <c r="L2978" s="11"/>
      <c r="M2978" s="105"/>
      <c r="N2978" s="105"/>
      <c r="O2978" s="11"/>
      <c r="P2978" s="11"/>
      <c r="Q2978" s="105"/>
      <c r="R2978" s="105"/>
      <c r="S2978" s="105"/>
      <c r="T2978" s="105"/>
      <c r="U2978" s="105"/>
      <c r="V2978" s="105"/>
      <c r="W2978" s="105"/>
      <c r="X2978" s="11"/>
      <c r="Y2978" s="11"/>
      <c r="Z2978" s="105"/>
      <c r="AA2978" s="11"/>
      <c r="AB2978" s="11"/>
      <c r="AC2978" s="105"/>
      <c r="AD2978" s="11" t="b">
        <v>0</v>
      </c>
      <c r="AE2978" s="105"/>
      <c r="AF2978" s="11"/>
      <c r="AG2978" s="11"/>
      <c r="AH2978" s="11"/>
      <c r="AI2978" s="11"/>
    </row>
    <row r="2979" ht="12.5" spans="3:35">
      <c r="C2979" s="19"/>
      <c r="D2979" s="19"/>
      <c r="H2979" s="105"/>
      <c r="I2979" s="126"/>
      <c r="J2979" s="11"/>
      <c r="K2979" s="108"/>
      <c r="L2979" s="11"/>
      <c r="M2979" s="105"/>
      <c r="N2979" s="105"/>
      <c r="O2979" s="11"/>
      <c r="P2979" s="11"/>
      <c r="Q2979" s="105"/>
      <c r="R2979" s="105"/>
      <c r="S2979" s="105"/>
      <c r="T2979" s="105"/>
      <c r="U2979" s="105"/>
      <c r="V2979" s="105"/>
      <c r="W2979" s="105"/>
      <c r="X2979" s="11"/>
      <c r="Y2979" s="11"/>
      <c r="Z2979" s="105"/>
      <c r="AA2979" s="11"/>
      <c r="AB2979" s="11"/>
      <c r="AC2979" s="105"/>
      <c r="AD2979" s="11" t="b">
        <v>0</v>
      </c>
      <c r="AE2979" s="105"/>
      <c r="AF2979" s="11"/>
      <c r="AG2979" s="11"/>
      <c r="AH2979" s="11"/>
      <c r="AI2979" s="11"/>
    </row>
    <row r="2980" ht="12.5" spans="3:35">
      <c r="C2980" s="19"/>
      <c r="D2980" s="19"/>
      <c r="H2980" s="105"/>
      <c r="I2980" s="126"/>
      <c r="J2980" s="11"/>
      <c r="K2980" s="108"/>
      <c r="L2980" s="11"/>
      <c r="M2980" s="105"/>
      <c r="N2980" s="105"/>
      <c r="O2980" s="11"/>
      <c r="P2980" s="11"/>
      <c r="Q2980" s="105"/>
      <c r="R2980" s="105"/>
      <c r="S2980" s="105"/>
      <c r="T2980" s="105"/>
      <c r="U2980" s="105"/>
      <c r="V2980" s="105"/>
      <c r="W2980" s="105"/>
      <c r="X2980" s="11"/>
      <c r="Y2980" s="11"/>
      <c r="Z2980" s="105"/>
      <c r="AA2980" s="11"/>
      <c r="AB2980" s="11"/>
      <c r="AC2980" s="105"/>
      <c r="AD2980" s="11" t="b">
        <v>0</v>
      </c>
      <c r="AE2980" s="105"/>
      <c r="AF2980" s="11"/>
      <c r="AG2980" s="11"/>
      <c r="AH2980" s="11"/>
      <c r="AI2980" s="11"/>
    </row>
    <row r="2981" ht="12.5" spans="3:35">
      <c r="C2981" s="19"/>
      <c r="D2981" s="19"/>
      <c r="H2981" s="105"/>
      <c r="I2981" s="126"/>
      <c r="J2981" s="11"/>
      <c r="K2981" s="108"/>
      <c r="L2981" s="11"/>
      <c r="M2981" s="105"/>
      <c r="N2981" s="105"/>
      <c r="O2981" s="11"/>
      <c r="P2981" s="11"/>
      <c r="Q2981" s="105"/>
      <c r="R2981" s="105"/>
      <c r="S2981" s="105"/>
      <c r="T2981" s="105"/>
      <c r="U2981" s="105"/>
      <c r="V2981" s="105"/>
      <c r="W2981" s="105"/>
      <c r="X2981" s="11"/>
      <c r="Y2981" s="11"/>
      <c r="Z2981" s="105"/>
      <c r="AA2981" s="11"/>
      <c r="AB2981" s="11"/>
      <c r="AC2981" s="105"/>
      <c r="AD2981" s="11" t="b">
        <v>0</v>
      </c>
      <c r="AE2981" s="105"/>
      <c r="AF2981" s="11"/>
      <c r="AG2981" s="11"/>
      <c r="AH2981" s="11"/>
      <c r="AI2981" s="11"/>
    </row>
    <row r="2982" ht="12.5" spans="3:35">
      <c r="C2982" s="19"/>
      <c r="D2982" s="19"/>
      <c r="H2982" s="105"/>
      <c r="I2982" s="126"/>
      <c r="J2982" s="11"/>
      <c r="K2982" s="108"/>
      <c r="L2982" s="11"/>
      <c r="M2982" s="105"/>
      <c r="N2982" s="105"/>
      <c r="O2982" s="11"/>
      <c r="P2982" s="11"/>
      <c r="Q2982" s="105"/>
      <c r="R2982" s="105"/>
      <c r="S2982" s="105"/>
      <c r="T2982" s="105"/>
      <c r="U2982" s="105"/>
      <c r="V2982" s="105"/>
      <c r="W2982" s="105"/>
      <c r="X2982" s="11"/>
      <c r="Y2982" s="11"/>
      <c r="Z2982" s="105"/>
      <c r="AA2982" s="11"/>
      <c r="AB2982" s="11"/>
      <c r="AC2982" s="105"/>
      <c r="AD2982" s="11" t="b">
        <v>0</v>
      </c>
      <c r="AE2982" s="105"/>
      <c r="AF2982" s="11"/>
      <c r="AG2982" s="11"/>
      <c r="AH2982" s="11"/>
      <c r="AI2982" s="11"/>
    </row>
    <row r="2983" ht="12.5" spans="3:35">
      <c r="C2983" s="19"/>
      <c r="D2983" s="19"/>
      <c r="H2983" s="105"/>
      <c r="I2983" s="126"/>
      <c r="J2983" s="11"/>
      <c r="K2983" s="108"/>
      <c r="L2983" s="11"/>
      <c r="M2983" s="105"/>
      <c r="N2983" s="105"/>
      <c r="O2983" s="11"/>
      <c r="P2983" s="11"/>
      <c r="Q2983" s="105"/>
      <c r="R2983" s="105"/>
      <c r="S2983" s="105"/>
      <c r="T2983" s="105"/>
      <c r="U2983" s="105"/>
      <c r="V2983" s="105"/>
      <c r="W2983" s="105"/>
      <c r="X2983" s="11"/>
      <c r="Y2983" s="11"/>
      <c r="Z2983" s="105"/>
      <c r="AA2983" s="11"/>
      <c r="AB2983" s="11"/>
      <c r="AC2983" s="105"/>
      <c r="AD2983" s="11" t="b">
        <v>0</v>
      </c>
      <c r="AE2983" s="105"/>
      <c r="AF2983" s="11"/>
      <c r="AG2983" s="11"/>
      <c r="AH2983" s="11"/>
      <c r="AI2983" s="11"/>
    </row>
    <row r="2984" ht="12.5" spans="3:35">
      <c r="C2984" s="19"/>
      <c r="D2984" s="19"/>
      <c r="H2984" s="105"/>
      <c r="I2984" s="126"/>
      <c r="J2984" s="11"/>
      <c r="K2984" s="108"/>
      <c r="L2984" s="11"/>
      <c r="M2984" s="105"/>
      <c r="N2984" s="105"/>
      <c r="O2984" s="11"/>
      <c r="P2984" s="11"/>
      <c r="Q2984" s="105"/>
      <c r="R2984" s="105"/>
      <c r="S2984" s="105"/>
      <c r="T2984" s="105"/>
      <c r="U2984" s="105"/>
      <c r="V2984" s="105"/>
      <c r="W2984" s="105"/>
      <c r="X2984" s="11"/>
      <c r="Y2984" s="11"/>
      <c r="Z2984" s="105"/>
      <c r="AA2984" s="11"/>
      <c r="AB2984" s="11"/>
      <c r="AC2984" s="105"/>
      <c r="AD2984" s="11" t="b">
        <v>0</v>
      </c>
      <c r="AE2984" s="105"/>
      <c r="AF2984" s="11"/>
      <c r="AG2984" s="11"/>
      <c r="AH2984" s="11"/>
      <c r="AI2984" s="11"/>
    </row>
    <row r="2985" ht="12.5" spans="3:35">
      <c r="C2985" s="19"/>
      <c r="D2985" s="19"/>
      <c r="H2985" s="105"/>
      <c r="I2985" s="126"/>
      <c r="J2985" s="11"/>
      <c r="K2985" s="108"/>
      <c r="L2985" s="11"/>
      <c r="M2985" s="105"/>
      <c r="N2985" s="105"/>
      <c r="O2985" s="11"/>
      <c r="P2985" s="11"/>
      <c r="Q2985" s="105"/>
      <c r="R2985" s="105"/>
      <c r="S2985" s="105"/>
      <c r="T2985" s="105"/>
      <c r="U2985" s="105"/>
      <c r="V2985" s="105"/>
      <c r="W2985" s="105"/>
      <c r="X2985" s="11"/>
      <c r="Y2985" s="11"/>
      <c r="Z2985" s="105"/>
      <c r="AA2985" s="11"/>
      <c r="AB2985" s="11"/>
      <c r="AC2985" s="105"/>
      <c r="AD2985" s="11" t="b">
        <v>0</v>
      </c>
      <c r="AE2985" s="105"/>
      <c r="AF2985" s="11"/>
      <c r="AG2985" s="11"/>
      <c r="AH2985" s="11"/>
      <c r="AI2985" s="11"/>
    </row>
    <row r="2986" ht="12.5" spans="3:35">
      <c r="C2986" s="19"/>
      <c r="D2986" s="19"/>
      <c r="H2986" s="105"/>
      <c r="I2986" s="126"/>
      <c r="J2986" s="11"/>
      <c r="K2986" s="108"/>
      <c r="L2986" s="11"/>
      <c r="M2986" s="105"/>
      <c r="N2986" s="105"/>
      <c r="O2986" s="11"/>
      <c r="P2986" s="11"/>
      <c r="Q2986" s="105"/>
      <c r="R2986" s="105"/>
      <c r="S2986" s="105"/>
      <c r="T2986" s="105"/>
      <c r="U2986" s="105"/>
      <c r="V2986" s="105"/>
      <c r="W2986" s="105"/>
      <c r="X2986" s="11"/>
      <c r="Y2986" s="11"/>
      <c r="Z2986" s="105"/>
      <c r="AA2986" s="11"/>
      <c r="AB2986" s="11"/>
      <c r="AC2986" s="105"/>
      <c r="AD2986" s="11" t="b">
        <v>0</v>
      </c>
      <c r="AE2986" s="105"/>
      <c r="AF2986" s="11"/>
      <c r="AG2986" s="11"/>
      <c r="AH2986" s="11"/>
      <c r="AI2986" s="11"/>
    </row>
    <row r="2987" ht="12.5" spans="3:35">
      <c r="C2987" s="19"/>
      <c r="D2987" s="19"/>
      <c r="H2987" s="105"/>
      <c r="I2987" s="126"/>
      <c r="J2987" s="11"/>
      <c r="K2987" s="108"/>
      <c r="L2987" s="11"/>
      <c r="M2987" s="105"/>
      <c r="N2987" s="105"/>
      <c r="O2987" s="11"/>
      <c r="P2987" s="11"/>
      <c r="Q2987" s="105"/>
      <c r="R2987" s="105"/>
      <c r="S2987" s="105"/>
      <c r="T2987" s="105"/>
      <c r="U2987" s="105"/>
      <c r="V2987" s="105"/>
      <c r="W2987" s="105"/>
      <c r="X2987" s="11"/>
      <c r="Y2987" s="11"/>
      <c r="Z2987" s="105"/>
      <c r="AA2987" s="11"/>
      <c r="AB2987" s="11"/>
      <c r="AC2987" s="105"/>
      <c r="AD2987" s="11" t="b">
        <v>0</v>
      </c>
      <c r="AE2987" s="105"/>
      <c r="AF2987" s="11"/>
      <c r="AG2987" s="11"/>
      <c r="AH2987" s="11"/>
      <c r="AI2987" s="11"/>
    </row>
    <row r="2988" ht="12.5" spans="3:35">
      <c r="C2988" s="19"/>
      <c r="D2988" s="19"/>
      <c r="H2988" s="105"/>
      <c r="I2988" s="126"/>
      <c r="J2988" s="11"/>
      <c r="K2988" s="108"/>
      <c r="L2988" s="11"/>
      <c r="M2988" s="105"/>
      <c r="N2988" s="105"/>
      <c r="O2988" s="11"/>
      <c r="P2988" s="11"/>
      <c r="Q2988" s="105"/>
      <c r="R2988" s="105"/>
      <c r="S2988" s="105"/>
      <c r="T2988" s="105"/>
      <c r="U2988" s="105"/>
      <c r="V2988" s="105"/>
      <c r="W2988" s="105"/>
      <c r="X2988" s="11"/>
      <c r="Y2988" s="11"/>
      <c r="Z2988" s="105"/>
      <c r="AA2988" s="11"/>
      <c r="AB2988" s="11"/>
      <c r="AC2988" s="105"/>
      <c r="AD2988" s="11" t="b">
        <v>0</v>
      </c>
      <c r="AE2988" s="105"/>
      <c r="AF2988" s="11"/>
      <c r="AG2988" s="11"/>
      <c r="AH2988" s="11"/>
      <c r="AI2988" s="11"/>
    </row>
    <row r="2989" ht="12.5" spans="3:35">
      <c r="C2989" s="19"/>
      <c r="D2989" s="19"/>
      <c r="H2989" s="105"/>
      <c r="I2989" s="126"/>
      <c r="J2989" s="11"/>
      <c r="K2989" s="108"/>
      <c r="L2989" s="11"/>
      <c r="M2989" s="105"/>
      <c r="N2989" s="105"/>
      <c r="O2989" s="11"/>
      <c r="P2989" s="11"/>
      <c r="Q2989" s="105"/>
      <c r="R2989" s="105"/>
      <c r="S2989" s="105"/>
      <c r="T2989" s="105"/>
      <c r="U2989" s="105"/>
      <c r="V2989" s="105"/>
      <c r="W2989" s="105"/>
      <c r="X2989" s="11"/>
      <c r="Y2989" s="11"/>
      <c r="Z2989" s="105"/>
      <c r="AA2989" s="11"/>
      <c r="AB2989" s="11"/>
      <c r="AC2989" s="105"/>
      <c r="AD2989" s="11" t="b">
        <v>0</v>
      </c>
      <c r="AE2989" s="105"/>
      <c r="AF2989" s="11"/>
      <c r="AG2989" s="11"/>
      <c r="AH2989" s="11"/>
      <c r="AI2989" s="11"/>
    </row>
    <row r="2990" ht="12.5" spans="3:35">
      <c r="C2990" s="19"/>
      <c r="D2990" s="19"/>
      <c r="H2990" s="105"/>
      <c r="I2990" s="126"/>
      <c r="J2990" s="11"/>
      <c r="K2990" s="108"/>
      <c r="L2990" s="11"/>
      <c r="M2990" s="105"/>
      <c r="N2990" s="105"/>
      <c r="O2990" s="11"/>
      <c r="P2990" s="11"/>
      <c r="Q2990" s="105"/>
      <c r="R2990" s="105"/>
      <c r="S2990" s="105"/>
      <c r="T2990" s="105"/>
      <c r="U2990" s="105"/>
      <c r="V2990" s="105"/>
      <c r="W2990" s="105"/>
      <c r="X2990" s="11"/>
      <c r="Y2990" s="11"/>
      <c r="Z2990" s="105"/>
      <c r="AA2990" s="11"/>
      <c r="AB2990" s="11"/>
      <c r="AC2990" s="105"/>
      <c r="AD2990" s="11" t="b">
        <v>0</v>
      </c>
      <c r="AE2990" s="105"/>
      <c r="AF2990" s="11"/>
      <c r="AG2990" s="11"/>
      <c r="AH2990" s="11"/>
      <c r="AI2990" s="11"/>
    </row>
    <row r="2991" ht="12.5" spans="3:35">
      <c r="C2991" s="19"/>
      <c r="D2991" s="19"/>
      <c r="H2991" s="105"/>
      <c r="I2991" s="126"/>
      <c r="J2991" s="11"/>
      <c r="K2991" s="108"/>
      <c r="L2991" s="11"/>
      <c r="M2991" s="105"/>
      <c r="N2991" s="105"/>
      <c r="O2991" s="11"/>
      <c r="P2991" s="11"/>
      <c r="Q2991" s="105"/>
      <c r="R2991" s="105"/>
      <c r="S2991" s="105"/>
      <c r="T2991" s="105"/>
      <c r="U2991" s="105"/>
      <c r="V2991" s="105"/>
      <c r="W2991" s="105"/>
      <c r="X2991" s="11"/>
      <c r="Y2991" s="11"/>
      <c r="Z2991" s="105"/>
      <c r="AA2991" s="11"/>
      <c r="AB2991" s="11"/>
      <c r="AC2991" s="105"/>
      <c r="AD2991" s="11" t="b">
        <v>0</v>
      </c>
      <c r="AE2991" s="105"/>
      <c r="AF2991" s="11"/>
      <c r="AG2991" s="11"/>
      <c r="AH2991" s="11"/>
      <c r="AI2991" s="11"/>
    </row>
    <row r="2992" ht="12.5" spans="3:35">
      <c r="C2992" s="19"/>
      <c r="D2992" s="19"/>
      <c r="H2992" s="105"/>
      <c r="I2992" s="126"/>
      <c r="J2992" s="11"/>
      <c r="K2992" s="108"/>
      <c r="L2992" s="11"/>
      <c r="M2992" s="105"/>
      <c r="N2992" s="105"/>
      <c r="O2992" s="11"/>
      <c r="P2992" s="11"/>
      <c r="Q2992" s="105"/>
      <c r="R2992" s="105"/>
      <c r="S2992" s="105"/>
      <c r="T2992" s="105"/>
      <c r="U2992" s="105"/>
      <c r="V2992" s="105"/>
      <c r="W2992" s="105"/>
      <c r="X2992" s="11"/>
      <c r="Y2992" s="11"/>
      <c r="Z2992" s="105"/>
      <c r="AA2992" s="11"/>
      <c r="AB2992" s="11"/>
      <c r="AC2992" s="105"/>
      <c r="AD2992" s="11" t="b">
        <v>0</v>
      </c>
      <c r="AE2992" s="105"/>
      <c r="AF2992" s="11"/>
      <c r="AG2992" s="11"/>
      <c r="AH2992" s="11"/>
      <c r="AI2992" s="11"/>
    </row>
    <row r="2993" ht="12.5" spans="3:35">
      <c r="C2993" s="19"/>
      <c r="D2993" s="19"/>
      <c r="H2993" s="105"/>
      <c r="I2993" s="126"/>
      <c r="J2993" s="11"/>
      <c r="K2993" s="108"/>
      <c r="L2993" s="11"/>
      <c r="M2993" s="105"/>
      <c r="N2993" s="105"/>
      <c r="O2993" s="11"/>
      <c r="P2993" s="11"/>
      <c r="Q2993" s="105"/>
      <c r="R2993" s="105"/>
      <c r="S2993" s="105"/>
      <c r="T2993" s="105"/>
      <c r="U2993" s="105"/>
      <c r="V2993" s="105"/>
      <c r="W2993" s="105"/>
      <c r="X2993" s="11"/>
      <c r="Y2993" s="11"/>
      <c r="Z2993" s="105"/>
      <c r="AA2993" s="11"/>
      <c r="AB2993" s="11"/>
      <c r="AC2993" s="105"/>
      <c r="AD2993" s="11" t="b">
        <v>0</v>
      </c>
      <c r="AE2993" s="105"/>
      <c r="AF2993" s="11"/>
      <c r="AG2993" s="11"/>
      <c r="AH2993" s="11"/>
      <c r="AI2993" s="11"/>
    </row>
    <row r="2994" ht="12.5" spans="3:35">
      <c r="C2994" s="19"/>
      <c r="D2994" s="19"/>
      <c r="H2994" s="105"/>
      <c r="I2994" s="126"/>
      <c r="J2994" s="11"/>
      <c r="K2994" s="108"/>
      <c r="L2994" s="11"/>
      <c r="M2994" s="105"/>
      <c r="N2994" s="105"/>
      <c r="O2994" s="11"/>
      <c r="P2994" s="11"/>
      <c r="Q2994" s="105"/>
      <c r="R2994" s="105"/>
      <c r="S2994" s="105"/>
      <c r="T2994" s="105"/>
      <c r="U2994" s="105"/>
      <c r="V2994" s="105"/>
      <c r="W2994" s="105"/>
      <c r="X2994" s="11"/>
      <c r="Y2994" s="11"/>
      <c r="Z2994" s="105"/>
      <c r="AA2994" s="11"/>
      <c r="AB2994" s="11"/>
      <c r="AC2994" s="105"/>
      <c r="AD2994" s="11" t="b">
        <v>0</v>
      </c>
      <c r="AE2994" s="105"/>
      <c r="AF2994" s="11"/>
      <c r="AG2994" s="11"/>
      <c r="AH2994" s="11"/>
      <c r="AI2994" s="11"/>
    </row>
    <row r="2995" ht="12.5" spans="3:35">
      <c r="C2995" s="19"/>
      <c r="D2995" s="19"/>
      <c r="H2995" s="105"/>
      <c r="I2995" s="126"/>
      <c r="J2995" s="11"/>
      <c r="K2995" s="108"/>
      <c r="L2995" s="11"/>
      <c r="M2995" s="105"/>
      <c r="N2995" s="105"/>
      <c r="O2995" s="11"/>
      <c r="P2995" s="11"/>
      <c r="Q2995" s="105"/>
      <c r="R2995" s="105"/>
      <c r="S2995" s="105"/>
      <c r="T2995" s="105"/>
      <c r="U2995" s="105"/>
      <c r="V2995" s="105"/>
      <c r="W2995" s="105"/>
      <c r="X2995" s="11"/>
      <c r="Y2995" s="11"/>
      <c r="Z2995" s="105"/>
      <c r="AA2995" s="11"/>
      <c r="AB2995" s="11"/>
      <c r="AC2995" s="105"/>
      <c r="AD2995" s="11" t="b">
        <v>0</v>
      </c>
      <c r="AE2995" s="105"/>
      <c r="AF2995" s="11"/>
      <c r="AG2995" s="11"/>
      <c r="AH2995" s="11"/>
      <c r="AI2995" s="11"/>
    </row>
    <row r="2996" ht="12.5" spans="3:35">
      <c r="C2996" s="19"/>
      <c r="D2996" s="19"/>
      <c r="H2996" s="105"/>
      <c r="I2996" s="126"/>
      <c r="J2996" s="11"/>
      <c r="K2996" s="108"/>
      <c r="L2996" s="11"/>
      <c r="M2996" s="105"/>
      <c r="N2996" s="105"/>
      <c r="O2996" s="11"/>
      <c r="P2996" s="11"/>
      <c r="Q2996" s="105"/>
      <c r="R2996" s="105"/>
      <c r="S2996" s="105"/>
      <c r="T2996" s="105"/>
      <c r="U2996" s="105"/>
      <c r="V2996" s="105"/>
      <c r="W2996" s="105"/>
      <c r="X2996" s="11"/>
      <c r="Y2996" s="11"/>
      <c r="Z2996" s="105"/>
      <c r="AA2996" s="11"/>
      <c r="AB2996" s="11"/>
      <c r="AC2996" s="105"/>
      <c r="AD2996" s="11" t="b">
        <v>0</v>
      </c>
      <c r="AE2996" s="105"/>
      <c r="AF2996" s="11"/>
      <c r="AG2996" s="11"/>
      <c r="AH2996" s="11"/>
      <c r="AI2996" s="11"/>
    </row>
    <row r="2997" ht="12.5" spans="3:35">
      <c r="C2997" s="19"/>
      <c r="D2997" s="19"/>
      <c r="H2997" s="105"/>
      <c r="I2997" s="126"/>
      <c r="J2997" s="11"/>
      <c r="K2997" s="108"/>
      <c r="L2997" s="11"/>
      <c r="M2997" s="105"/>
      <c r="N2997" s="105"/>
      <c r="O2997" s="11"/>
      <c r="P2997" s="11"/>
      <c r="Q2997" s="105"/>
      <c r="R2997" s="105"/>
      <c r="S2997" s="105"/>
      <c r="T2997" s="105"/>
      <c r="U2997" s="105"/>
      <c r="V2997" s="105"/>
      <c r="W2997" s="105"/>
      <c r="X2997" s="11"/>
      <c r="Y2997" s="11"/>
      <c r="Z2997" s="105"/>
      <c r="AA2997" s="11"/>
      <c r="AB2997" s="11"/>
      <c r="AC2997" s="105"/>
      <c r="AD2997" s="11" t="b">
        <v>0</v>
      </c>
      <c r="AE2997" s="105"/>
      <c r="AF2997" s="11"/>
      <c r="AG2997" s="11"/>
      <c r="AH2997" s="11"/>
      <c r="AI2997" s="11"/>
    </row>
    <row r="2998" ht="12.5" spans="3:35">
      <c r="C2998" s="19"/>
      <c r="D2998" s="19"/>
      <c r="H2998" s="105"/>
      <c r="I2998" s="126"/>
      <c r="J2998" s="11"/>
      <c r="K2998" s="108"/>
      <c r="L2998" s="11"/>
      <c r="M2998" s="105"/>
      <c r="N2998" s="105"/>
      <c r="O2998" s="11"/>
      <c r="P2998" s="11"/>
      <c r="Q2998" s="105"/>
      <c r="R2998" s="105"/>
      <c r="S2998" s="105"/>
      <c r="T2998" s="105"/>
      <c r="U2998" s="105"/>
      <c r="V2998" s="105"/>
      <c r="W2998" s="105"/>
      <c r="X2998" s="11"/>
      <c r="Y2998" s="11"/>
      <c r="Z2998" s="105"/>
      <c r="AA2998" s="11"/>
      <c r="AB2998" s="11"/>
      <c r="AC2998" s="105"/>
      <c r="AD2998" s="11" t="b">
        <v>0</v>
      </c>
      <c r="AE2998" s="105"/>
      <c r="AF2998" s="11"/>
      <c r="AG2998" s="11"/>
      <c r="AH2998" s="11"/>
      <c r="AI2998" s="11"/>
    </row>
    <row r="2999" ht="12.5" spans="3:35">
      <c r="C2999" s="19"/>
      <c r="D2999" s="19"/>
      <c r="H2999" s="105"/>
      <c r="I2999" s="126"/>
      <c r="J2999" s="11"/>
      <c r="K2999" s="108"/>
      <c r="L2999" s="11"/>
      <c r="M2999" s="105"/>
      <c r="N2999" s="105"/>
      <c r="O2999" s="11"/>
      <c r="P2999" s="11"/>
      <c r="Q2999" s="105"/>
      <c r="R2999" s="105"/>
      <c r="S2999" s="105"/>
      <c r="T2999" s="105"/>
      <c r="U2999" s="105"/>
      <c r="V2999" s="105"/>
      <c r="W2999" s="105"/>
      <c r="X2999" s="11"/>
      <c r="Y2999" s="11"/>
      <c r="Z2999" s="105"/>
      <c r="AA2999" s="11"/>
      <c r="AB2999" s="11"/>
      <c r="AC2999" s="105"/>
      <c r="AD2999" s="11" t="b">
        <v>0</v>
      </c>
      <c r="AE2999" s="105"/>
      <c r="AF2999" s="11"/>
      <c r="AG2999" s="11"/>
      <c r="AH2999" s="11"/>
      <c r="AI2999" s="11"/>
    </row>
    <row r="3000" ht="12.5" spans="3:35">
      <c r="C3000" s="19"/>
      <c r="D3000" s="19"/>
      <c r="H3000" s="105"/>
      <c r="I3000" s="126"/>
      <c r="J3000" s="11"/>
      <c r="K3000" s="108"/>
      <c r="L3000" s="11"/>
      <c r="M3000" s="105"/>
      <c r="N3000" s="105"/>
      <c r="O3000" s="11"/>
      <c r="P3000" s="11"/>
      <c r="Q3000" s="105"/>
      <c r="R3000" s="105"/>
      <c r="S3000" s="105"/>
      <c r="T3000" s="105"/>
      <c r="U3000" s="105"/>
      <c r="V3000" s="105"/>
      <c r="W3000" s="105"/>
      <c r="X3000" s="11"/>
      <c r="Y3000" s="11"/>
      <c r="Z3000" s="105"/>
      <c r="AA3000" s="11"/>
      <c r="AB3000" s="11"/>
      <c r="AC3000" s="105"/>
      <c r="AD3000" s="11" t="b">
        <v>0</v>
      </c>
      <c r="AE3000" s="105"/>
      <c r="AF3000" s="11"/>
      <c r="AG3000" s="11"/>
      <c r="AH3000" s="11"/>
      <c r="AI3000" s="11"/>
    </row>
    <row r="3001" ht="12.5" spans="3:35">
      <c r="C3001" s="19"/>
      <c r="D3001" s="19"/>
      <c r="H3001" s="105"/>
      <c r="I3001" s="126"/>
      <c r="J3001" s="11"/>
      <c r="K3001" s="108"/>
      <c r="L3001" s="11"/>
      <c r="M3001" s="105"/>
      <c r="N3001" s="105"/>
      <c r="O3001" s="11"/>
      <c r="P3001" s="11"/>
      <c r="Q3001" s="105"/>
      <c r="R3001" s="105"/>
      <c r="S3001" s="105"/>
      <c r="T3001" s="105"/>
      <c r="U3001" s="105"/>
      <c r="V3001" s="105"/>
      <c r="W3001" s="105"/>
      <c r="X3001" s="11"/>
      <c r="Y3001" s="11"/>
      <c r="Z3001" s="105"/>
      <c r="AA3001" s="11"/>
      <c r="AB3001" s="11"/>
      <c r="AC3001" s="105"/>
      <c r="AD3001" s="11" t="b">
        <v>0</v>
      </c>
      <c r="AE3001" s="105"/>
      <c r="AF3001" s="11"/>
      <c r="AG3001" s="11"/>
      <c r="AH3001" s="11"/>
      <c r="AI3001" s="11"/>
    </row>
    <row r="3002" ht="12.5" spans="3:35">
      <c r="C3002" s="19"/>
      <c r="D3002" s="19"/>
      <c r="H3002" s="105"/>
      <c r="I3002" s="126"/>
      <c r="J3002" s="11"/>
      <c r="K3002" s="108"/>
      <c r="L3002" s="11"/>
      <c r="M3002" s="105"/>
      <c r="N3002" s="105"/>
      <c r="O3002" s="11"/>
      <c r="P3002" s="11"/>
      <c r="Q3002" s="105"/>
      <c r="R3002" s="105"/>
      <c r="S3002" s="105"/>
      <c r="T3002" s="105"/>
      <c r="U3002" s="105"/>
      <c r="V3002" s="105"/>
      <c r="W3002" s="105"/>
      <c r="X3002" s="11"/>
      <c r="Y3002" s="11"/>
      <c r="Z3002" s="105"/>
      <c r="AA3002" s="11"/>
      <c r="AB3002" s="11"/>
      <c r="AC3002" s="105"/>
      <c r="AD3002" s="11" t="b">
        <v>0</v>
      </c>
      <c r="AE3002" s="105"/>
      <c r="AF3002" s="11"/>
      <c r="AG3002" s="11"/>
      <c r="AH3002" s="11"/>
      <c r="AI3002" s="11"/>
    </row>
    <row r="3003" ht="12.5" spans="3:35">
      <c r="C3003" s="19"/>
      <c r="D3003" s="19"/>
      <c r="H3003" s="105"/>
      <c r="I3003" s="126"/>
      <c r="J3003" s="11"/>
      <c r="K3003" s="108"/>
      <c r="L3003" s="11"/>
      <c r="M3003" s="105"/>
      <c r="N3003" s="105"/>
      <c r="O3003" s="11"/>
      <c r="P3003" s="11"/>
      <c r="Q3003" s="105"/>
      <c r="R3003" s="105"/>
      <c r="S3003" s="105"/>
      <c r="T3003" s="105"/>
      <c r="U3003" s="105"/>
      <c r="V3003" s="105"/>
      <c r="W3003" s="105"/>
      <c r="X3003" s="11"/>
      <c r="Y3003" s="11"/>
      <c r="Z3003" s="105"/>
      <c r="AA3003" s="11"/>
      <c r="AB3003" s="11"/>
      <c r="AC3003" s="105"/>
      <c r="AD3003" s="11" t="b">
        <v>0</v>
      </c>
      <c r="AE3003" s="105"/>
      <c r="AF3003" s="11"/>
      <c r="AG3003" s="11"/>
      <c r="AH3003" s="11"/>
      <c r="AI3003" s="11"/>
    </row>
    <row r="3004" ht="12.5" spans="3:35">
      <c r="C3004" s="19"/>
      <c r="D3004" s="19"/>
      <c r="H3004" s="105"/>
      <c r="I3004" s="126"/>
      <c r="J3004" s="11"/>
      <c r="K3004" s="108"/>
      <c r="L3004" s="11"/>
      <c r="M3004" s="105"/>
      <c r="N3004" s="105"/>
      <c r="O3004" s="11"/>
      <c r="P3004" s="11"/>
      <c r="Q3004" s="105"/>
      <c r="R3004" s="105"/>
      <c r="S3004" s="105"/>
      <c r="T3004" s="105"/>
      <c r="U3004" s="105"/>
      <c r="V3004" s="105"/>
      <c r="W3004" s="105"/>
      <c r="X3004" s="11"/>
      <c r="Y3004" s="11"/>
      <c r="Z3004" s="105"/>
      <c r="AA3004" s="11"/>
      <c r="AB3004" s="11"/>
      <c r="AC3004" s="105"/>
      <c r="AD3004" s="11" t="b">
        <v>0</v>
      </c>
      <c r="AE3004" s="105"/>
      <c r="AF3004" s="11"/>
      <c r="AG3004" s="11"/>
      <c r="AH3004" s="11"/>
      <c r="AI3004" s="11"/>
    </row>
    <row r="3005" ht="12.5" spans="3:35">
      <c r="C3005" s="19"/>
      <c r="D3005" s="19"/>
      <c r="H3005" s="105"/>
      <c r="I3005" s="126"/>
      <c r="J3005" s="11"/>
      <c r="K3005" s="108"/>
      <c r="L3005" s="11"/>
      <c r="M3005" s="105"/>
      <c r="N3005" s="105"/>
      <c r="O3005" s="11"/>
      <c r="P3005" s="11"/>
      <c r="Q3005" s="105"/>
      <c r="R3005" s="105"/>
      <c r="S3005" s="105"/>
      <c r="T3005" s="105"/>
      <c r="U3005" s="105"/>
      <c r="V3005" s="105"/>
      <c r="W3005" s="105"/>
      <c r="X3005" s="11"/>
      <c r="Y3005" s="11"/>
      <c r="Z3005" s="105"/>
      <c r="AA3005" s="11"/>
      <c r="AB3005" s="11"/>
      <c r="AC3005" s="105"/>
      <c r="AD3005" s="11" t="b">
        <v>0</v>
      </c>
      <c r="AE3005" s="105"/>
      <c r="AF3005" s="11"/>
      <c r="AG3005" s="11"/>
      <c r="AH3005" s="11"/>
      <c r="AI3005" s="11"/>
    </row>
    <row r="3006" ht="12.5" spans="3:35">
      <c r="C3006" s="19"/>
      <c r="D3006" s="19"/>
      <c r="H3006" s="105"/>
      <c r="I3006" s="126"/>
      <c r="J3006" s="11"/>
      <c r="K3006" s="108"/>
      <c r="L3006" s="11"/>
      <c r="M3006" s="105"/>
      <c r="N3006" s="105"/>
      <c r="O3006" s="11"/>
      <c r="P3006" s="11"/>
      <c r="Q3006" s="105"/>
      <c r="R3006" s="105"/>
      <c r="S3006" s="105"/>
      <c r="T3006" s="105"/>
      <c r="U3006" s="105"/>
      <c r="V3006" s="105"/>
      <c r="W3006" s="105"/>
      <c r="X3006" s="11"/>
      <c r="Y3006" s="11"/>
      <c r="Z3006" s="105"/>
      <c r="AA3006" s="11"/>
      <c r="AB3006" s="11"/>
      <c r="AC3006" s="105"/>
      <c r="AD3006" s="11" t="b">
        <v>0</v>
      </c>
      <c r="AE3006" s="105"/>
      <c r="AF3006" s="11"/>
      <c r="AG3006" s="11"/>
      <c r="AH3006" s="11"/>
      <c r="AI3006" s="11"/>
    </row>
    <row r="3007" ht="12.5" spans="3:35">
      <c r="C3007" s="19"/>
      <c r="D3007" s="19"/>
      <c r="H3007" s="105"/>
      <c r="I3007" s="126"/>
      <c r="J3007" s="11"/>
      <c r="K3007" s="108"/>
      <c r="L3007" s="11"/>
      <c r="M3007" s="105"/>
      <c r="N3007" s="105"/>
      <c r="O3007" s="11"/>
      <c r="P3007" s="11"/>
      <c r="Q3007" s="105"/>
      <c r="R3007" s="105"/>
      <c r="S3007" s="105"/>
      <c r="T3007" s="105"/>
      <c r="U3007" s="105"/>
      <c r="V3007" s="105"/>
      <c r="W3007" s="105"/>
      <c r="X3007" s="11"/>
      <c r="Y3007" s="11"/>
      <c r="Z3007" s="105"/>
      <c r="AA3007" s="11"/>
      <c r="AB3007" s="11"/>
      <c r="AC3007" s="105"/>
      <c r="AD3007" s="11" t="b">
        <v>0</v>
      </c>
      <c r="AE3007" s="105"/>
      <c r="AF3007" s="11"/>
      <c r="AG3007" s="11"/>
      <c r="AH3007" s="11"/>
      <c r="AI3007" s="11"/>
    </row>
    <row r="3008" ht="12.5" spans="3:35">
      <c r="C3008" s="19"/>
      <c r="D3008" s="19"/>
      <c r="H3008" s="105"/>
      <c r="I3008" s="126"/>
      <c r="J3008" s="11"/>
      <c r="K3008" s="108"/>
      <c r="L3008" s="11"/>
      <c r="M3008" s="105"/>
      <c r="N3008" s="105"/>
      <c r="O3008" s="11"/>
      <c r="P3008" s="11"/>
      <c r="Q3008" s="105"/>
      <c r="R3008" s="105"/>
      <c r="S3008" s="105"/>
      <c r="T3008" s="105"/>
      <c r="U3008" s="105"/>
      <c r="V3008" s="105"/>
      <c r="W3008" s="105"/>
      <c r="X3008" s="11"/>
      <c r="Y3008" s="11"/>
      <c r="Z3008" s="105"/>
      <c r="AA3008" s="11"/>
      <c r="AB3008" s="11"/>
      <c r="AC3008" s="105"/>
      <c r="AD3008" s="11" t="b">
        <v>0</v>
      </c>
      <c r="AE3008" s="105"/>
      <c r="AF3008" s="11"/>
      <c r="AG3008" s="11"/>
      <c r="AH3008" s="11"/>
      <c r="AI3008" s="11"/>
    </row>
    <row r="3009" ht="12.5" spans="3:35">
      <c r="C3009" s="19"/>
      <c r="D3009" s="19"/>
      <c r="H3009" s="105"/>
      <c r="I3009" s="126"/>
      <c r="J3009" s="11"/>
      <c r="K3009" s="108"/>
      <c r="L3009" s="11"/>
      <c r="M3009" s="105"/>
      <c r="N3009" s="105"/>
      <c r="O3009" s="11"/>
      <c r="P3009" s="11"/>
      <c r="Q3009" s="105"/>
      <c r="R3009" s="105"/>
      <c r="S3009" s="105"/>
      <c r="T3009" s="105"/>
      <c r="U3009" s="105"/>
      <c r="V3009" s="105"/>
      <c r="W3009" s="105"/>
      <c r="X3009" s="11"/>
      <c r="Y3009" s="11"/>
      <c r="Z3009" s="105"/>
      <c r="AA3009" s="11"/>
      <c r="AB3009" s="11"/>
      <c r="AC3009" s="105"/>
      <c r="AD3009" s="11" t="b">
        <v>0</v>
      </c>
      <c r="AE3009" s="105"/>
      <c r="AF3009" s="11"/>
      <c r="AG3009" s="11"/>
      <c r="AH3009" s="11"/>
      <c r="AI3009" s="11"/>
    </row>
    <row r="3010" ht="12.5" spans="3:35">
      <c r="C3010" s="19"/>
      <c r="D3010" s="19"/>
      <c r="H3010" s="105"/>
      <c r="I3010" s="126"/>
      <c r="J3010" s="11"/>
      <c r="K3010" s="108"/>
      <c r="L3010" s="11"/>
      <c r="M3010" s="105"/>
      <c r="N3010" s="105"/>
      <c r="O3010" s="11"/>
      <c r="P3010" s="11"/>
      <c r="Q3010" s="105"/>
      <c r="R3010" s="105"/>
      <c r="S3010" s="105"/>
      <c r="T3010" s="105"/>
      <c r="U3010" s="105"/>
      <c r="V3010" s="105"/>
      <c r="W3010" s="105"/>
      <c r="X3010" s="11"/>
      <c r="Y3010" s="11"/>
      <c r="Z3010" s="105"/>
      <c r="AA3010" s="11"/>
      <c r="AB3010" s="11"/>
      <c r="AC3010" s="105"/>
      <c r="AD3010" s="11" t="b">
        <v>0</v>
      </c>
      <c r="AE3010" s="105"/>
      <c r="AF3010" s="11"/>
      <c r="AG3010" s="11"/>
      <c r="AH3010" s="11"/>
      <c r="AI3010" s="11"/>
    </row>
    <row r="3011" ht="12.5" spans="3:35">
      <c r="C3011" s="19"/>
      <c r="D3011" s="19"/>
      <c r="H3011" s="105"/>
      <c r="I3011" s="126"/>
      <c r="J3011" s="11"/>
      <c r="K3011" s="108"/>
      <c r="L3011" s="11"/>
      <c r="M3011" s="105"/>
      <c r="N3011" s="105"/>
      <c r="O3011" s="11"/>
      <c r="P3011" s="11"/>
      <c r="Q3011" s="105"/>
      <c r="R3011" s="105"/>
      <c r="S3011" s="105"/>
      <c r="T3011" s="105"/>
      <c r="U3011" s="105"/>
      <c r="V3011" s="105"/>
      <c r="W3011" s="105"/>
      <c r="X3011" s="11"/>
      <c r="Y3011" s="11"/>
      <c r="Z3011" s="105"/>
      <c r="AA3011" s="11"/>
      <c r="AB3011" s="11"/>
      <c r="AC3011" s="105"/>
      <c r="AD3011" s="11" t="b">
        <v>0</v>
      </c>
      <c r="AE3011" s="105"/>
      <c r="AF3011" s="11"/>
      <c r="AG3011" s="11"/>
      <c r="AH3011" s="11"/>
      <c r="AI3011" s="11"/>
    </row>
    <row r="3012" ht="12.5" spans="3:35">
      <c r="C3012" s="19"/>
      <c r="D3012" s="19"/>
      <c r="H3012" s="105"/>
      <c r="I3012" s="126"/>
      <c r="J3012" s="11"/>
      <c r="K3012" s="108"/>
      <c r="L3012" s="11"/>
      <c r="M3012" s="105"/>
      <c r="N3012" s="105"/>
      <c r="O3012" s="11"/>
      <c r="P3012" s="11"/>
      <c r="Q3012" s="105"/>
      <c r="R3012" s="105"/>
      <c r="S3012" s="105"/>
      <c r="T3012" s="105"/>
      <c r="U3012" s="105"/>
      <c r="V3012" s="105"/>
      <c r="W3012" s="105"/>
      <c r="X3012" s="11"/>
      <c r="Y3012" s="11"/>
      <c r="Z3012" s="105"/>
      <c r="AA3012" s="11"/>
      <c r="AB3012" s="11"/>
      <c r="AC3012" s="105"/>
      <c r="AD3012" s="11" t="b">
        <v>0</v>
      </c>
      <c r="AE3012" s="105"/>
      <c r="AF3012" s="11"/>
      <c r="AG3012" s="11"/>
      <c r="AH3012" s="11"/>
      <c r="AI3012" s="11"/>
    </row>
    <row r="3013" ht="12.5" spans="3:35">
      <c r="C3013" s="19"/>
      <c r="D3013" s="19"/>
      <c r="H3013" s="105"/>
      <c r="I3013" s="126"/>
      <c r="J3013" s="11"/>
      <c r="K3013" s="108"/>
      <c r="L3013" s="11"/>
      <c r="M3013" s="105"/>
      <c r="N3013" s="105"/>
      <c r="O3013" s="11"/>
      <c r="P3013" s="11"/>
      <c r="Q3013" s="105"/>
      <c r="R3013" s="105"/>
      <c r="S3013" s="105"/>
      <c r="T3013" s="105"/>
      <c r="U3013" s="105"/>
      <c r="V3013" s="105"/>
      <c r="W3013" s="105"/>
      <c r="X3013" s="11"/>
      <c r="Y3013" s="11"/>
      <c r="Z3013" s="105"/>
      <c r="AA3013" s="11"/>
      <c r="AB3013" s="11"/>
      <c r="AC3013" s="105"/>
      <c r="AD3013" s="11" t="b">
        <v>0</v>
      </c>
      <c r="AE3013" s="105"/>
      <c r="AF3013" s="11"/>
      <c r="AG3013" s="11"/>
      <c r="AH3013" s="11"/>
      <c r="AI3013" s="11"/>
    </row>
    <row r="3014" ht="12.5" spans="3:35">
      <c r="C3014" s="19"/>
      <c r="D3014" s="19"/>
      <c r="H3014" s="105"/>
      <c r="I3014" s="126"/>
      <c r="J3014" s="11"/>
      <c r="K3014" s="108"/>
      <c r="L3014" s="11"/>
      <c r="M3014" s="105"/>
      <c r="N3014" s="105"/>
      <c r="O3014" s="11"/>
      <c r="P3014" s="11"/>
      <c r="Q3014" s="105"/>
      <c r="R3014" s="105"/>
      <c r="S3014" s="105"/>
      <c r="T3014" s="105"/>
      <c r="U3014" s="105"/>
      <c r="V3014" s="105"/>
      <c r="W3014" s="105"/>
      <c r="X3014" s="11"/>
      <c r="Y3014" s="11"/>
      <c r="Z3014" s="105"/>
      <c r="AA3014" s="11"/>
      <c r="AB3014" s="11"/>
      <c r="AC3014" s="105"/>
      <c r="AD3014" s="11" t="b">
        <v>0</v>
      </c>
      <c r="AE3014" s="105"/>
      <c r="AF3014" s="11"/>
      <c r="AG3014" s="11"/>
      <c r="AH3014" s="11"/>
      <c r="AI3014" s="11"/>
    </row>
    <row r="3015" ht="12.5" spans="3:35">
      <c r="C3015" s="19"/>
      <c r="D3015" s="19"/>
      <c r="H3015" s="105"/>
      <c r="I3015" s="126"/>
      <c r="J3015" s="11"/>
      <c r="K3015" s="108"/>
      <c r="L3015" s="11"/>
      <c r="M3015" s="105"/>
      <c r="N3015" s="105"/>
      <c r="O3015" s="11"/>
      <c r="P3015" s="11"/>
      <c r="Q3015" s="105"/>
      <c r="R3015" s="105"/>
      <c r="S3015" s="105"/>
      <c r="T3015" s="105"/>
      <c r="U3015" s="105"/>
      <c r="V3015" s="105"/>
      <c r="W3015" s="105"/>
      <c r="X3015" s="11"/>
      <c r="Y3015" s="11"/>
      <c r="Z3015" s="105"/>
      <c r="AA3015" s="11"/>
      <c r="AB3015" s="11"/>
      <c r="AC3015" s="105"/>
      <c r="AD3015" s="11" t="b">
        <v>0</v>
      </c>
      <c r="AE3015" s="105"/>
      <c r="AF3015" s="11"/>
      <c r="AG3015" s="11"/>
      <c r="AH3015" s="11"/>
      <c r="AI3015" s="11"/>
    </row>
    <row r="3016" ht="12.5" spans="3:35">
      <c r="C3016" s="19"/>
      <c r="D3016" s="19"/>
      <c r="H3016" s="105"/>
      <c r="I3016" s="126"/>
      <c r="J3016" s="11"/>
      <c r="K3016" s="108"/>
      <c r="L3016" s="11"/>
      <c r="M3016" s="105"/>
      <c r="N3016" s="105"/>
      <c r="O3016" s="11"/>
      <c r="P3016" s="11"/>
      <c r="Q3016" s="105"/>
      <c r="R3016" s="105"/>
      <c r="S3016" s="105"/>
      <c r="T3016" s="105"/>
      <c r="U3016" s="105"/>
      <c r="V3016" s="105"/>
      <c r="W3016" s="105"/>
      <c r="X3016" s="11"/>
      <c r="Y3016" s="11"/>
      <c r="Z3016" s="105"/>
      <c r="AA3016" s="11"/>
      <c r="AB3016" s="11"/>
      <c r="AC3016" s="105"/>
      <c r="AD3016" s="11" t="b">
        <v>0</v>
      </c>
      <c r="AE3016" s="105"/>
      <c r="AF3016" s="11"/>
      <c r="AG3016" s="11"/>
      <c r="AH3016" s="11"/>
      <c r="AI3016" s="11"/>
    </row>
    <row r="3017" ht="12.5" spans="3:35">
      <c r="C3017" s="19"/>
      <c r="D3017" s="19"/>
      <c r="H3017" s="105"/>
      <c r="I3017" s="126"/>
      <c r="J3017" s="11"/>
      <c r="K3017" s="108"/>
      <c r="L3017" s="11"/>
      <c r="M3017" s="105"/>
      <c r="N3017" s="105"/>
      <c r="O3017" s="11"/>
      <c r="P3017" s="11"/>
      <c r="Q3017" s="105"/>
      <c r="R3017" s="105"/>
      <c r="S3017" s="105"/>
      <c r="T3017" s="105"/>
      <c r="U3017" s="105"/>
      <c r="V3017" s="105"/>
      <c r="W3017" s="105"/>
      <c r="X3017" s="11"/>
      <c r="Y3017" s="11"/>
      <c r="Z3017" s="105"/>
      <c r="AA3017" s="11"/>
      <c r="AB3017" s="11"/>
      <c r="AC3017" s="105"/>
      <c r="AD3017" s="11" t="b">
        <v>0</v>
      </c>
      <c r="AE3017" s="105"/>
      <c r="AF3017" s="11"/>
      <c r="AG3017" s="11"/>
      <c r="AH3017" s="11"/>
      <c r="AI3017" s="11"/>
    </row>
    <row r="3018" ht="12.5" spans="3:35">
      <c r="C3018" s="19"/>
      <c r="D3018" s="19"/>
      <c r="H3018" s="105"/>
      <c r="I3018" s="126"/>
      <c r="J3018" s="11"/>
      <c r="K3018" s="108"/>
      <c r="L3018" s="11"/>
      <c r="M3018" s="105"/>
      <c r="N3018" s="105"/>
      <c r="O3018" s="11"/>
      <c r="P3018" s="11"/>
      <c r="Q3018" s="105"/>
      <c r="R3018" s="105"/>
      <c r="S3018" s="105"/>
      <c r="T3018" s="105"/>
      <c r="U3018" s="105"/>
      <c r="V3018" s="105"/>
      <c r="W3018" s="105"/>
      <c r="X3018" s="11"/>
      <c r="Y3018" s="11"/>
      <c r="Z3018" s="105"/>
      <c r="AA3018" s="11"/>
      <c r="AB3018" s="11"/>
      <c r="AC3018" s="105"/>
      <c r="AD3018" s="11" t="b">
        <v>0</v>
      </c>
      <c r="AE3018" s="105"/>
      <c r="AF3018" s="11"/>
      <c r="AG3018" s="11"/>
      <c r="AH3018" s="11"/>
      <c r="AI3018" s="11"/>
    </row>
    <row r="3019" ht="12.5" spans="3:35">
      <c r="C3019" s="19"/>
      <c r="D3019" s="19"/>
      <c r="H3019" s="105"/>
      <c r="I3019" s="126"/>
      <c r="J3019" s="11"/>
      <c r="K3019" s="108"/>
      <c r="L3019" s="11"/>
      <c r="M3019" s="105"/>
      <c r="N3019" s="105"/>
      <c r="O3019" s="11"/>
      <c r="P3019" s="11"/>
      <c r="Q3019" s="105"/>
      <c r="R3019" s="105"/>
      <c r="S3019" s="105"/>
      <c r="T3019" s="105"/>
      <c r="U3019" s="105"/>
      <c r="V3019" s="105"/>
      <c r="W3019" s="105"/>
      <c r="X3019" s="11"/>
      <c r="Y3019" s="11"/>
      <c r="Z3019" s="105"/>
      <c r="AA3019" s="11"/>
      <c r="AB3019" s="11"/>
      <c r="AC3019" s="105"/>
      <c r="AD3019" s="11" t="b">
        <v>0</v>
      </c>
      <c r="AE3019" s="105"/>
      <c r="AF3019" s="11"/>
      <c r="AG3019" s="11"/>
      <c r="AH3019" s="11"/>
      <c r="AI3019" s="11"/>
    </row>
    <row r="3020" ht="12.5" spans="3:35">
      <c r="C3020" s="19"/>
      <c r="D3020" s="19"/>
      <c r="H3020" s="105"/>
      <c r="I3020" s="126"/>
      <c r="J3020" s="11"/>
      <c r="K3020" s="108"/>
      <c r="L3020" s="11"/>
      <c r="M3020" s="105"/>
      <c r="N3020" s="105"/>
      <c r="O3020" s="11"/>
      <c r="P3020" s="11"/>
      <c r="Q3020" s="105"/>
      <c r="R3020" s="105"/>
      <c r="S3020" s="105"/>
      <c r="T3020" s="105"/>
      <c r="U3020" s="105"/>
      <c r="V3020" s="105"/>
      <c r="W3020" s="105"/>
      <c r="X3020" s="11"/>
      <c r="Y3020" s="11"/>
      <c r="Z3020" s="105"/>
      <c r="AA3020" s="11"/>
      <c r="AB3020" s="11"/>
      <c r="AC3020" s="105"/>
      <c r="AD3020" s="11" t="b">
        <v>0</v>
      </c>
      <c r="AE3020" s="105"/>
      <c r="AF3020" s="11"/>
      <c r="AG3020" s="11"/>
      <c r="AH3020" s="11"/>
      <c r="AI3020" s="11"/>
    </row>
    <row r="3021" ht="12.5" spans="3:35">
      <c r="C3021" s="19"/>
      <c r="D3021" s="19"/>
      <c r="H3021" s="105"/>
      <c r="I3021" s="126"/>
      <c r="J3021" s="11"/>
      <c r="K3021" s="108"/>
      <c r="L3021" s="11"/>
      <c r="M3021" s="105"/>
      <c r="N3021" s="105"/>
      <c r="O3021" s="11"/>
      <c r="P3021" s="11"/>
      <c r="Q3021" s="105"/>
      <c r="R3021" s="105"/>
      <c r="S3021" s="105"/>
      <c r="T3021" s="105"/>
      <c r="U3021" s="105"/>
      <c r="V3021" s="105"/>
      <c r="W3021" s="105"/>
      <c r="X3021" s="11"/>
      <c r="Y3021" s="11"/>
      <c r="Z3021" s="105"/>
      <c r="AA3021" s="11"/>
      <c r="AB3021" s="11"/>
      <c r="AC3021" s="105"/>
      <c r="AD3021" s="11" t="b">
        <v>0</v>
      </c>
      <c r="AE3021" s="105"/>
      <c r="AF3021" s="11"/>
      <c r="AG3021" s="11"/>
      <c r="AH3021" s="11"/>
      <c r="AI3021" s="11"/>
    </row>
    <row r="3022" ht="12.5" spans="3:35">
      <c r="C3022" s="19"/>
      <c r="D3022" s="19"/>
      <c r="H3022" s="105"/>
      <c r="I3022" s="126"/>
      <c r="J3022" s="11"/>
      <c r="K3022" s="108"/>
      <c r="L3022" s="11"/>
      <c r="M3022" s="105"/>
      <c r="N3022" s="105"/>
      <c r="O3022" s="11"/>
      <c r="P3022" s="11"/>
      <c r="Q3022" s="105"/>
      <c r="R3022" s="105"/>
      <c r="S3022" s="105"/>
      <c r="T3022" s="105"/>
      <c r="U3022" s="105"/>
      <c r="V3022" s="105"/>
      <c r="W3022" s="105"/>
      <c r="X3022" s="11"/>
      <c r="Y3022" s="11"/>
      <c r="Z3022" s="105"/>
      <c r="AA3022" s="11"/>
      <c r="AB3022" s="11"/>
      <c r="AC3022" s="105"/>
      <c r="AD3022" s="11" t="b">
        <v>0</v>
      </c>
      <c r="AE3022" s="105"/>
      <c r="AF3022" s="11"/>
      <c r="AG3022" s="11"/>
      <c r="AH3022" s="11"/>
      <c r="AI3022" s="11"/>
    </row>
    <row r="3023" ht="12.5" spans="3:35">
      <c r="C3023" s="19"/>
      <c r="D3023" s="19"/>
      <c r="H3023" s="105"/>
      <c r="I3023" s="126"/>
      <c r="J3023" s="11"/>
      <c r="K3023" s="108"/>
      <c r="L3023" s="11"/>
      <c r="M3023" s="105"/>
      <c r="N3023" s="105"/>
      <c r="O3023" s="11"/>
      <c r="P3023" s="11"/>
      <c r="Q3023" s="105"/>
      <c r="R3023" s="105"/>
      <c r="S3023" s="105"/>
      <c r="T3023" s="105"/>
      <c r="U3023" s="105"/>
      <c r="V3023" s="105"/>
      <c r="W3023" s="105"/>
      <c r="X3023" s="11"/>
      <c r="Y3023" s="11"/>
      <c r="Z3023" s="105"/>
      <c r="AA3023" s="11"/>
      <c r="AB3023" s="11"/>
      <c r="AC3023" s="105"/>
      <c r="AD3023" s="11" t="b">
        <v>0</v>
      </c>
      <c r="AE3023" s="105"/>
      <c r="AF3023" s="11"/>
      <c r="AG3023" s="11"/>
      <c r="AH3023" s="11"/>
      <c r="AI3023" s="11"/>
    </row>
    <row r="3024" ht="12.5" spans="3:35">
      <c r="C3024" s="19"/>
      <c r="D3024" s="19"/>
      <c r="H3024" s="105"/>
      <c r="I3024" s="126"/>
      <c r="J3024" s="11"/>
      <c r="K3024" s="108"/>
      <c r="L3024" s="11"/>
      <c r="M3024" s="105"/>
      <c r="N3024" s="105"/>
      <c r="O3024" s="11"/>
      <c r="P3024" s="11"/>
      <c r="Q3024" s="105"/>
      <c r="R3024" s="105"/>
      <c r="S3024" s="105"/>
      <c r="T3024" s="105"/>
      <c r="U3024" s="105"/>
      <c r="V3024" s="105"/>
      <c r="W3024" s="105"/>
      <c r="X3024" s="11"/>
      <c r="Y3024" s="11"/>
      <c r="Z3024" s="105"/>
      <c r="AA3024" s="11"/>
      <c r="AB3024" s="11"/>
      <c r="AC3024" s="105"/>
      <c r="AD3024" s="11" t="b">
        <v>0</v>
      </c>
      <c r="AE3024" s="105"/>
      <c r="AF3024" s="11"/>
      <c r="AG3024" s="11"/>
      <c r="AH3024" s="11"/>
      <c r="AI3024" s="11"/>
    </row>
    <row r="3025" ht="12.5" spans="3:35">
      <c r="C3025" s="19"/>
      <c r="D3025" s="19"/>
      <c r="H3025" s="105"/>
      <c r="I3025" s="126"/>
      <c r="J3025" s="11"/>
      <c r="K3025" s="108"/>
      <c r="L3025" s="11"/>
      <c r="M3025" s="105"/>
      <c r="N3025" s="105"/>
      <c r="O3025" s="11"/>
      <c r="P3025" s="11"/>
      <c r="Q3025" s="105"/>
      <c r="R3025" s="105"/>
      <c r="S3025" s="105"/>
      <c r="T3025" s="105"/>
      <c r="U3025" s="105"/>
      <c r="V3025" s="105"/>
      <c r="W3025" s="105"/>
      <c r="X3025" s="11"/>
      <c r="Y3025" s="11"/>
      <c r="Z3025" s="105"/>
      <c r="AA3025" s="11"/>
      <c r="AB3025" s="11"/>
      <c r="AC3025" s="105"/>
      <c r="AD3025" s="11" t="b">
        <v>0</v>
      </c>
      <c r="AE3025" s="105"/>
      <c r="AF3025" s="11"/>
      <c r="AG3025" s="11"/>
      <c r="AH3025" s="11"/>
      <c r="AI3025" s="11"/>
    </row>
    <row r="3026" ht="12.5" spans="3:35">
      <c r="C3026" s="19"/>
      <c r="D3026" s="19"/>
      <c r="H3026" s="105"/>
      <c r="I3026" s="126"/>
      <c r="J3026" s="11"/>
      <c r="K3026" s="108"/>
      <c r="L3026" s="11"/>
      <c r="M3026" s="105"/>
      <c r="N3026" s="105"/>
      <c r="O3026" s="11"/>
      <c r="P3026" s="11"/>
      <c r="Q3026" s="105"/>
      <c r="R3026" s="105"/>
      <c r="S3026" s="105"/>
      <c r="T3026" s="105"/>
      <c r="U3026" s="105"/>
      <c r="V3026" s="105"/>
      <c r="W3026" s="105"/>
      <c r="X3026" s="11"/>
      <c r="Y3026" s="11"/>
      <c r="Z3026" s="105"/>
      <c r="AA3026" s="11"/>
      <c r="AB3026" s="11"/>
      <c r="AC3026" s="105"/>
      <c r="AD3026" s="11" t="b">
        <v>0</v>
      </c>
      <c r="AE3026" s="105"/>
      <c r="AF3026" s="11"/>
      <c r="AG3026" s="11"/>
      <c r="AH3026" s="11"/>
      <c r="AI3026" s="11"/>
    </row>
    <row r="3027" ht="12.5" spans="3:35">
      <c r="C3027" s="19"/>
      <c r="D3027" s="19"/>
      <c r="H3027" s="105"/>
      <c r="I3027" s="126"/>
      <c r="J3027" s="11"/>
      <c r="K3027" s="108"/>
      <c r="L3027" s="11"/>
      <c r="M3027" s="105"/>
      <c r="N3027" s="105"/>
      <c r="O3027" s="11"/>
      <c r="P3027" s="11"/>
      <c r="Q3027" s="105"/>
      <c r="R3027" s="105"/>
      <c r="S3027" s="105"/>
      <c r="T3027" s="105"/>
      <c r="U3027" s="105"/>
      <c r="V3027" s="105"/>
      <c r="W3027" s="105"/>
      <c r="X3027" s="11"/>
      <c r="Y3027" s="11"/>
      <c r="Z3027" s="105"/>
      <c r="AA3027" s="11"/>
      <c r="AB3027" s="11"/>
      <c r="AC3027" s="105"/>
      <c r="AD3027" s="11" t="b">
        <v>0</v>
      </c>
      <c r="AE3027" s="105"/>
      <c r="AF3027" s="11"/>
      <c r="AG3027" s="11"/>
      <c r="AH3027" s="11"/>
      <c r="AI3027" s="11"/>
    </row>
    <row r="3028" ht="12.5" spans="3:35">
      <c r="C3028" s="19"/>
      <c r="D3028" s="19"/>
      <c r="H3028" s="105"/>
      <c r="I3028" s="126"/>
      <c r="J3028" s="11"/>
      <c r="K3028" s="108"/>
      <c r="L3028" s="11"/>
      <c r="M3028" s="105"/>
      <c r="N3028" s="105"/>
      <c r="O3028" s="11"/>
      <c r="P3028" s="11"/>
      <c r="Q3028" s="105"/>
      <c r="R3028" s="105"/>
      <c r="S3028" s="105"/>
      <c r="T3028" s="105"/>
      <c r="U3028" s="105"/>
      <c r="V3028" s="105"/>
      <c r="W3028" s="105"/>
      <c r="X3028" s="11"/>
      <c r="Y3028" s="11"/>
      <c r="Z3028" s="105"/>
      <c r="AA3028" s="11"/>
      <c r="AB3028" s="11"/>
      <c r="AC3028" s="105"/>
      <c r="AD3028" s="11" t="b">
        <v>0</v>
      </c>
      <c r="AE3028" s="105"/>
      <c r="AF3028" s="11"/>
      <c r="AG3028" s="11"/>
      <c r="AH3028" s="11"/>
      <c r="AI3028" s="11"/>
    </row>
    <row r="3029" ht="12.5" spans="3:35">
      <c r="C3029" s="19"/>
      <c r="D3029" s="19"/>
      <c r="H3029" s="105"/>
      <c r="I3029" s="126"/>
      <c r="J3029" s="11"/>
      <c r="K3029" s="108"/>
      <c r="L3029" s="11"/>
      <c r="M3029" s="105"/>
      <c r="N3029" s="105"/>
      <c r="O3029" s="11"/>
      <c r="P3029" s="11"/>
      <c r="Q3029" s="105"/>
      <c r="R3029" s="105"/>
      <c r="S3029" s="105"/>
      <c r="T3029" s="105"/>
      <c r="U3029" s="105"/>
      <c r="V3029" s="105"/>
      <c r="W3029" s="105"/>
      <c r="X3029" s="11"/>
      <c r="Y3029" s="11"/>
      <c r="Z3029" s="105"/>
      <c r="AA3029" s="11"/>
      <c r="AB3029" s="11"/>
      <c r="AC3029" s="105"/>
      <c r="AD3029" s="11" t="b">
        <v>0</v>
      </c>
      <c r="AE3029" s="105"/>
      <c r="AF3029" s="11"/>
      <c r="AG3029" s="11"/>
      <c r="AH3029" s="11"/>
      <c r="AI3029" s="11"/>
    </row>
    <row r="3030" ht="12.5" spans="3:35">
      <c r="C3030" s="19"/>
      <c r="D3030" s="19"/>
      <c r="H3030" s="105"/>
      <c r="I3030" s="126"/>
      <c r="J3030" s="11"/>
      <c r="K3030" s="108"/>
      <c r="L3030" s="11"/>
      <c r="M3030" s="105"/>
      <c r="N3030" s="105"/>
      <c r="O3030" s="11"/>
      <c r="P3030" s="11"/>
      <c r="Q3030" s="105"/>
      <c r="R3030" s="105"/>
      <c r="S3030" s="105"/>
      <c r="T3030" s="105"/>
      <c r="U3030" s="105"/>
      <c r="V3030" s="105"/>
      <c r="W3030" s="105"/>
      <c r="X3030" s="11"/>
      <c r="Y3030" s="11"/>
      <c r="Z3030" s="105"/>
      <c r="AA3030" s="11"/>
      <c r="AB3030" s="11"/>
      <c r="AC3030" s="105"/>
      <c r="AD3030" s="11" t="b">
        <v>0</v>
      </c>
      <c r="AE3030" s="105"/>
      <c r="AF3030" s="11"/>
      <c r="AG3030" s="11"/>
      <c r="AH3030" s="11"/>
      <c r="AI3030" s="11"/>
    </row>
    <row r="3031" ht="12.5" spans="3:35">
      <c r="C3031" s="19"/>
      <c r="D3031" s="19"/>
      <c r="H3031" s="105"/>
      <c r="I3031" s="126"/>
      <c r="J3031" s="11"/>
      <c r="K3031" s="108"/>
      <c r="L3031" s="11"/>
      <c r="M3031" s="105"/>
      <c r="N3031" s="105"/>
      <c r="O3031" s="11"/>
      <c r="P3031" s="11"/>
      <c r="Q3031" s="105"/>
      <c r="R3031" s="105"/>
      <c r="S3031" s="105"/>
      <c r="T3031" s="105"/>
      <c r="U3031" s="105"/>
      <c r="V3031" s="105"/>
      <c r="W3031" s="105"/>
      <c r="X3031" s="11"/>
      <c r="Y3031" s="11"/>
      <c r="Z3031" s="105"/>
      <c r="AA3031" s="11"/>
      <c r="AB3031" s="11"/>
      <c r="AC3031" s="105"/>
      <c r="AD3031" s="11" t="b">
        <v>0</v>
      </c>
      <c r="AE3031" s="105"/>
      <c r="AF3031" s="11"/>
      <c r="AG3031" s="11"/>
      <c r="AH3031" s="11"/>
      <c r="AI3031" s="11"/>
    </row>
    <row r="3032" ht="12.5" spans="3:35">
      <c r="C3032" s="19"/>
      <c r="D3032" s="19"/>
      <c r="H3032" s="105"/>
      <c r="I3032" s="126"/>
      <c r="J3032" s="11"/>
      <c r="K3032" s="108"/>
      <c r="L3032" s="11"/>
      <c r="M3032" s="105"/>
      <c r="N3032" s="105"/>
      <c r="O3032" s="11"/>
      <c r="P3032" s="11"/>
      <c r="Q3032" s="105"/>
      <c r="R3032" s="105"/>
      <c r="S3032" s="105"/>
      <c r="T3032" s="105"/>
      <c r="U3032" s="105"/>
      <c r="V3032" s="105"/>
      <c r="W3032" s="105"/>
      <c r="X3032" s="11"/>
      <c r="Y3032" s="11"/>
      <c r="Z3032" s="105"/>
      <c r="AA3032" s="11"/>
      <c r="AB3032" s="11"/>
      <c r="AC3032" s="105"/>
      <c r="AD3032" s="11" t="b">
        <v>0</v>
      </c>
      <c r="AE3032" s="105"/>
      <c r="AF3032" s="11"/>
      <c r="AG3032" s="11"/>
      <c r="AH3032" s="11"/>
      <c r="AI3032" s="11"/>
    </row>
    <row r="3033" ht="12.5" spans="3:35">
      <c r="C3033" s="19"/>
      <c r="D3033" s="19"/>
      <c r="H3033" s="105"/>
      <c r="I3033" s="126"/>
      <c r="J3033" s="11"/>
      <c r="K3033" s="108"/>
      <c r="L3033" s="11"/>
      <c r="M3033" s="105"/>
      <c r="N3033" s="105"/>
      <c r="O3033" s="11"/>
      <c r="P3033" s="11"/>
      <c r="Q3033" s="105"/>
      <c r="R3033" s="105"/>
      <c r="S3033" s="105"/>
      <c r="T3033" s="105"/>
      <c r="U3033" s="105"/>
      <c r="V3033" s="105"/>
      <c r="W3033" s="105"/>
      <c r="X3033" s="11"/>
      <c r="Y3033" s="11"/>
      <c r="Z3033" s="105"/>
      <c r="AA3033" s="11"/>
      <c r="AB3033" s="11"/>
      <c r="AC3033" s="105"/>
      <c r="AD3033" s="11" t="b">
        <v>0</v>
      </c>
      <c r="AE3033" s="105"/>
      <c r="AF3033" s="11"/>
      <c r="AG3033" s="11"/>
      <c r="AH3033" s="11"/>
      <c r="AI3033" s="11"/>
    </row>
    <row r="3034" ht="12.5" spans="3:35">
      <c r="C3034" s="19"/>
      <c r="D3034" s="19"/>
      <c r="H3034" s="105"/>
      <c r="I3034" s="126"/>
      <c r="J3034" s="11"/>
      <c r="K3034" s="108"/>
      <c r="L3034" s="11"/>
      <c r="M3034" s="105"/>
      <c r="N3034" s="105"/>
      <c r="O3034" s="11"/>
      <c r="P3034" s="11"/>
      <c r="Q3034" s="105"/>
      <c r="R3034" s="105"/>
      <c r="S3034" s="105"/>
      <c r="T3034" s="105"/>
      <c r="U3034" s="105"/>
      <c r="V3034" s="105"/>
      <c r="W3034" s="105"/>
      <c r="X3034" s="11"/>
      <c r="Y3034" s="11"/>
      <c r="Z3034" s="105"/>
      <c r="AA3034" s="11"/>
      <c r="AB3034" s="11"/>
      <c r="AC3034" s="105"/>
      <c r="AD3034" s="11" t="b">
        <v>0</v>
      </c>
      <c r="AE3034" s="105"/>
      <c r="AF3034" s="11"/>
      <c r="AG3034" s="11"/>
      <c r="AH3034" s="11"/>
      <c r="AI3034" s="11"/>
    </row>
    <row r="3035" ht="12.5" spans="3:35">
      <c r="C3035" s="19"/>
      <c r="D3035" s="19"/>
      <c r="H3035" s="105"/>
      <c r="I3035" s="126"/>
      <c r="J3035" s="11"/>
      <c r="K3035" s="108"/>
      <c r="L3035" s="11"/>
      <c r="M3035" s="105"/>
      <c r="N3035" s="105"/>
      <c r="O3035" s="11"/>
      <c r="P3035" s="11"/>
      <c r="Q3035" s="105"/>
      <c r="R3035" s="105"/>
      <c r="S3035" s="105"/>
      <c r="T3035" s="105"/>
      <c r="U3035" s="105"/>
      <c r="V3035" s="105"/>
      <c r="W3035" s="105"/>
      <c r="X3035" s="11"/>
      <c r="Y3035" s="11"/>
      <c r="Z3035" s="105"/>
      <c r="AA3035" s="11"/>
      <c r="AB3035" s="11"/>
      <c r="AC3035" s="105"/>
      <c r="AD3035" s="11" t="b">
        <v>0</v>
      </c>
      <c r="AE3035" s="105"/>
      <c r="AF3035" s="11"/>
      <c r="AG3035" s="11"/>
      <c r="AH3035" s="11"/>
      <c r="AI3035" s="11"/>
    </row>
    <row r="3036" ht="12.5" spans="3:35">
      <c r="C3036" s="19"/>
      <c r="D3036" s="19"/>
      <c r="H3036" s="105"/>
      <c r="I3036" s="126"/>
      <c r="J3036" s="11"/>
      <c r="K3036" s="108"/>
      <c r="L3036" s="11"/>
      <c r="M3036" s="105"/>
      <c r="N3036" s="105"/>
      <c r="O3036" s="11"/>
      <c r="P3036" s="11"/>
      <c r="Q3036" s="105"/>
      <c r="R3036" s="105"/>
      <c r="S3036" s="105"/>
      <c r="T3036" s="105"/>
      <c r="U3036" s="105"/>
      <c r="V3036" s="105"/>
      <c r="W3036" s="105"/>
      <c r="X3036" s="11"/>
      <c r="Y3036" s="11"/>
      <c r="Z3036" s="105"/>
      <c r="AA3036" s="11"/>
      <c r="AB3036" s="11"/>
      <c r="AC3036" s="105"/>
      <c r="AD3036" s="11" t="b">
        <v>0</v>
      </c>
      <c r="AE3036" s="105"/>
      <c r="AF3036" s="11"/>
      <c r="AG3036" s="11"/>
      <c r="AH3036" s="11"/>
      <c r="AI3036" s="11"/>
    </row>
    <row r="3037" ht="12.5" spans="3:35">
      <c r="C3037" s="19"/>
      <c r="D3037" s="19"/>
      <c r="H3037" s="105"/>
      <c r="I3037" s="126"/>
      <c r="J3037" s="11"/>
      <c r="K3037" s="108"/>
      <c r="L3037" s="11"/>
      <c r="M3037" s="105"/>
      <c r="N3037" s="105"/>
      <c r="O3037" s="11"/>
      <c r="P3037" s="11"/>
      <c r="Q3037" s="105"/>
      <c r="R3037" s="105"/>
      <c r="S3037" s="105"/>
      <c r="T3037" s="105"/>
      <c r="U3037" s="105"/>
      <c r="V3037" s="105"/>
      <c r="W3037" s="105"/>
      <c r="X3037" s="11"/>
      <c r="Y3037" s="11"/>
      <c r="Z3037" s="105"/>
      <c r="AA3037" s="11"/>
      <c r="AB3037" s="11"/>
      <c r="AC3037" s="105"/>
      <c r="AD3037" s="11" t="b">
        <v>0</v>
      </c>
      <c r="AE3037" s="105"/>
      <c r="AF3037" s="11"/>
      <c r="AG3037" s="11"/>
      <c r="AH3037" s="11"/>
      <c r="AI3037" s="11"/>
    </row>
    <row r="3038" ht="12.5" spans="3:35">
      <c r="C3038" s="19"/>
      <c r="D3038" s="19"/>
      <c r="H3038" s="105"/>
      <c r="I3038" s="126"/>
      <c r="J3038" s="11"/>
      <c r="K3038" s="108"/>
      <c r="L3038" s="11"/>
      <c r="M3038" s="105"/>
      <c r="N3038" s="105"/>
      <c r="O3038" s="11"/>
      <c r="P3038" s="11"/>
      <c r="Q3038" s="105"/>
      <c r="R3038" s="105"/>
      <c r="S3038" s="105"/>
      <c r="T3038" s="105"/>
      <c r="U3038" s="105"/>
      <c r="V3038" s="105"/>
      <c r="W3038" s="105"/>
      <c r="X3038" s="11"/>
      <c r="Y3038" s="11"/>
      <c r="Z3038" s="105"/>
      <c r="AA3038" s="11"/>
      <c r="AB3038" s="11"/>
      <c r="AC3038" s="105"/>
      <c r="AD3038" s="11" t="b">
        <v>0</v>
      </c>
      <c r="AE3038" s="105"/>
      <c r="AF3038" s="11"/>
      <c r="AG3038" s="11"/>
      <c r="AH3038" s="11"/>
      <c r="AI3038" s="11"/>
    </row>
    <row r="3039" ht="12.5" spans="3:35">
      <c r="C3039" s="19"/>
      <c r="D3039" s="19"/>
      <c r="H3039" s="105"/>
      <c r="I3039" s="126"/>
      <c r="J3039" s="11"/>
      <c r="K3039" s="108"/>
      <c r="L3039" s="11"/>
      <c r="M3039" s="105"/>
      <c r="N3039" s="105"/>
      <c r="O3039" s="11"/>
      <c r="P3039" s="11"/>
      <c r="Q3039" s="105"/>
      <c r="R3039" s="105"/>
      <c r="S3039" s="105"/>
      <c r="T3039" s="105"/>
      <c r="U3039" s="105"/>
      <c r="V3039" s="105"/>
      <c r="W3039" s="105"/>
      <c r="X3039" s="11"/>
      <c r="Y3039" s="11"/>
      <c r="Z3039" s="105"/>
      <c r="AA3039" s="11"/>
      <c r="AB3039" s="11"/>
      <c r="AC3039" s="105"/>
      <c r="AD3039" s="11" t="b">
        <v>0</v>
      </c>
      <c r="AE3039" s="105"/>
      <c r="AF3039" s="11"/>
      <c r="AG3039" s="11"/>
      <c r="AH3039" s="11"/>
      <c r="AI3039" s="11"/>
    </row>
    <row r="3040" ht="12.5" spans="3:35">
      <c r="C3040" s="19"/>
      <c r="D3040" s="19"/>
      <c r="H3040" s="105"/>
      <c r="I3040" s="126"/>
      <c r="J3040" s="11"/>
      <c r="K3040" s="108"/>
      <c r="L3040" s="11"/>
      <c r="M3040" s="105"/>
      <c r="N3040" s="105"/>
      <c r="O3040" s="11"/>
      <c r="P3040" s="11"/>
      <c r="Q3040" s="105"/>
      <c r="R3040" s="105"/>
      <c r="S3040" s="105"/>
      <c r="T3040" s="105"/>
      <c r="U3040" s="105"/>
      <c r="V3040" s="105"/>
      <c r="W3040" s="105"/>
      <c r="X3040" s="11"/>
      <c r="Y3040" s="11"/>
      <c r="Z3040" s="105"/>
      <c r="AA3040" s="11"/>
      <c r="AB3040" s="11"/>
      <c r="AC3040" s="105"/>
      <c r="AD3040" s="11" t="b">
        <v>0</v>
      </c>
      <c r="AE3040" s="105"/>
      <c r="AF3040" s="11"/>
      <c r="AG3040" s="11"/>
      <c r="AH3040" s="11"/>
      <c r="AI3040" s="11"/>
    </row>
    <row r="3041" ht="12.5" spans="3:35">
      <c r="C3041" s="19"/>
      <c r="D3041" s="19"/>
      <c r="H3041" s="105"/>
      <c r="I3041" s="126"/>
      <c r="J3041" s="11"/>
      <c r="K3041" s="108"/>
      <c r="L3041" s="11"/>
      <c r="M3041" s="105"/>
      <c r="N3041" s="105"/>
      <c r="O3041" s="11"/>
      <c r="P3041" s="11"/>
      <c r="Q3041" s="105"/>
      <c r="R3041" s="105"/>
      <c r="S3041" s="105"/>
      <c r="T3041" s="105"/>
      <c r="U3041" s="105"/>
      <c r="V3041" s="105"/>
      <c r="W3041" s="105"/>
      <c r="X3041" s="11"/>
      <c r="Y3041" s="11"/>
      <c r="Z3041" s="105"/>
      <c r="AA3041" s="11"/>
      <c r="AB3041" s="11"/>
      <c r="AC3041" s="105"/>
      <c r="AD3041" s="11" t="b">
        <v>0</v>
      </c>
      <c r="AE3041" s="105"/>
      <c r="AF3041" s="11"/>
      <c r="AG3041" s="11"/>
      <c r="AH3041" s="11"/>
      <c r="AI3041" s="11"/>
    </row>
    <row r="3042" ht="12.5" spans="3:35">
      <c r="C3042" s="19"/>
      <c r="D3042" s="19"/>
      <c r="H3042" s="105"/>
      <c r="I3042" s="126"/>
      <c r="J3042" s="11"/>
      <c r="K3042" s="108"/>
      <c r="L3042" s="11"/>
      <c r="M3042" s="105"/>
      <c r="N3042" s="105"/>
      <c r="O3042" s="11"/>
      <c r="P3042" s="11"/>
      <c r="Q3042" s="105"/>
      <c r="R3042" s="105"/>
      <c r="S3042" s="105"/>
      <c r="T3042" s="105"/>
      <c r="U3042" s="105"/>
      <c r="V3042" s="105"/>
      <c r="W3042" s="105"/>
      <c r="X3042" s="11"/>
      <c r="Y3042" s="11"/>
      <c r="Z3042" s="105"/>
      <c r="AA3042" s="11"/>
      <c r="AB3042" s="11"/>
      <c r="AC3042" s="105"/>
      <c r="AD3042" s="11" t="b">
        <v>0</v>
      </c>
      <c r="AE3042" s="105"/>
      <c r="AF3042" s="11"/>
      <c r="AG3042" s="11"/>
      <c r="AH3042" s="11"/>
      <c r="AI3042" s="11"/>
    </row>
    <row r="3043" ht="12.5" spans="3:35">
      <c r="C3043" s="19"/>
      <c r="D3043" s="19"/>
      <c r="H3043" s="105"/>
      <c r="I3043" s="126"/>
      <c r="J3043" s="11"/>
      <c r="K3043" s="108"/>
      <c r="L3043" s="11"/>
      <c r="M3043" s="105"/>
      <c r="N3043" s="105"/>
      <c r="O3043" s="11"/>
      <c r="P3043" s="11"/>
      <c r="Q3043" s="105"/>
      <c r="R3043" s="105"/>
      <c r="S3043" s="105"/>
      <c r="T3043" s="105"/>
      <c r="U3043" s="105"/>
      <c r="V3043" s="105"/>
      <c r="W3043" s="105"/>
      <c r="X3043" s="11"/>
      <c r="Y3043" s="11"/>
      <c r="Z3043" s="105"/>
      <c r="AA3043" s="11"/>
      <c r="AB3043" s="11"/>
      <c r="AC3043" s="105"/>
      <c r="AD3043" s="11" t="b">
        <v>0</v>
      </c>
      <c r="AE3043" s="105"/>
      <c r="AF3043" s="11"/>
      <c r="AG3043" s="11"/>
      <c r="AH3043" s="11"/>
      <c r="AI3043" s="11"/>
    </row>
    <row r="3044" ht="12.5" spans="3:35">
      <c r="C3044" s="19"/>
      <c r="D3044" s="19"/>
      <c r="H3044" s="105"/>
      <c r="I3044" s="126"/>
      <c r="J3044" s="11"/>
      <c r="K3044" s="108"/>
      <c r="L3044" s="11"/>
      <c r="M3044" s="105"/>
      <c r="N3044" s="105"/>
      <c r="O3044" s="11"/>
      <c r="P3044" s="11"/>
      <c r="Q3044" s="105"/>
      <c r="R3044" s="105"/>
      <c r="S3044" s="105"/>
      <c r="T3044" s="105"/>
      <c r="U3044" s="105"/>
      <c r="V3044" s="105"/>
      <c r="W3044" s="105"/>
      <c r="X3044" s="11"/>
      <c r="Y3044" s="11"/>
      <c r="Z3044" s="105"/>
      <c r="AA3044" s="11"/>
      <c r="AB3044" s="11"/>
      <c r="AC3044" s="105"/>
      <c r="AD3044" s="11" t="b">
        <v>0</v>
      </c>
      <c r="AE3044" s="105"/>
      <c r="AF3044" s="11"/>
      <c r="AG3044" s="11"/>
      <c r="AH3044" s="11"/>
      <c r="AI3044" s="11"/>
    </row>
    <row r="3045" ht="12.5" spans="3:35">
      <c r="C3045" s="19"/>
      <c r="D3045" s="19"/>
      <c r="H3045" s="105"/>
      <c r="I3045" s="126"/>
      <c r="J3045" s="11"/>
      <c r="K3045" s="108"/>
      <c r="L3045" s="11"/>
      <c r="M3045" s="105"/>
      <c r="N3045" s="105"/>
      <c r="O3045" s="11"/>
      <c r="P3045" s="11"/>
      <c r="Q3045" s="105"/>
      <c r="R3045" s="105"/>
      <c r="S3045" s="105"/>
      <c r="T3045" s="105"/>
      <c r="U3045" s="105"/>
      <c r="V3045" s="105"/>
      <c r="W3045" s="105"/>
      <c r="X3045" s="11"/>
      <c r="Y3045" s="11"/>
      <c r="Z3045" s="105"/>
      <c r="AA3045" s="11"/>
      <c r="AB3045" s="11"/>
      <c r="AC3045" s="105"/>
      <c r="AD3045" s="11" t="b">
        <v>0</v>
      </c>
      <c r="AE3045" s="105"/>
      <c r="AF3045" s="11"/>
      <c r="AG3045" s="11"/>
      <c r="AH3045" s="11"/>
      <c r="AI3045" s="11"/>
    </row>
    <row r="3046" ht="12.5" spans="3:35">
      <c r="C3046" s="19"/>
      <c r="D3046" s="19"/>
      <c r="H3046" s="105"/>
      <c r="I3046" s="126"/>
      <c r="J3046" s="11"/>
      <c r="K3046" s="108"/>
      <c r="L3046" s="11"/>
      <c r="M3046" s="105"/>
      <c r="N3046" s="105"/>
      <c r="O3046" s="11"/>
      <c r="P3046" s="11"/>
      <c r="Q3046" s="105"/>
      <c r="R3046" s="105"/>
      <c r="S3046" s="105"/>
      <c r="T3046" s="105"/>
      <c r="U3046" s="105"/>
      <c r="V3046" s="105"/>
      <c r="W3046" s="105"/>
      <c r="X3046" s="11"/>
      <c r="Y3046" s="11"/>
      <c r="Z3046" s="105"/>
      <c r="AA3046" s="11"/>
      <c r="AB3046" s="11"/>
      <c r="AC3046" s="105"/>
      <c r="AD3046" s="11" t="b">
        <v>0</v>
      </c>
      <c r="AE3046" s="105"/>
      <c r="AF3046" s="11"/>
      <c r="AG3046" s="11"/>
      <c r="AH3046" s="11"/>
      <c r="AI3046" s="11"/>
    </row>
    <row r="3047" ht="12.5" spans="3:35">
      <c r="C3047" s="19"/>
      <c r="D3047" s="19"/>
      <c r="H3047" s="105"/>
      <c r="I3047" s="126"/>
      <c r="J3047" s="11"/>
      <c r="K3047" s="108"/>
      <c r="L3047" s="11"/>
      <c r="M3047" s="105"/>
      <c r="N3047" s="105"/>
      <c r="O3047" s="11"/>
      <c r="P3047" s="11"/>
      <c r="Q3047" s="105"/>
      <c r="R3047" s="105"/>
      <c r="S3047" s="105"/>
      <c r="T3047" s="105"/>
      <c r="U3047" s="105"/>
      <c r="V3047" s="105"/>
      <c r="W3047" s="105"/>
      <c r="X3047" s="11"/>
      <c r="Y3047" s="11"/>
      <c r="Z3047" s="105"/>
      <c r="AA3047" s="11"/>
      <c r="AB3047" s="11"/>
      <c r="AC3047" s="105"/>
      <c r="AD3047" s="11" t="b">
        <v>0</v>
      </c>
      <c r="AE3047" s="105"/>
      <c r="AF3047" s="11"/>
      <c r="AG3047" s="11"/>
      <c r="AH3047" s="11"/>
      <c r="AI3047" s="11"/>
    </row>
    <row r="3048" ht="12.5" spans="3:35">
      <c r="C3048" s="19"/>
      <c r="D3048" s="19"/>
      <c r="H3048" s="105"/>
      <c r="I3048" s="126"/>
      <c r="J3048" s="11"/>
      <c r="K3048" s="108"/>
      <c r="L3048" s="11"/>
      <c r="M3048" s="105"/>
      <c r="N3048" s="105"/>
      <c r="O3048" s="11"/>
      <c r="P3048" s="11"/>
      <c r="Q3048" s="105"/>
      <c r="R3048" s="105"/>
      <c r="S3048" s="105"/>
      <c r="T3048" s="105"/>
      <c r="U3048" s="105"/>
      <c r="V3048" s="105"/>
      <c r="W3048" s="105"/>
      <c r="X3048" s="11"/>
      <c r="Y3048" s="11"/>
      <c r="Z3048" s="105"/>
      <c r="AA3048" s="11"/>
      <c r="AB3048" s="11"/>
      <c r="AC3048" s="105"/>
      <c r="AD3048" s="11" t="b">
        <v>0</v>
      </c>
      <c r="AE3048" s="105"/>
      <c r="AF3048" s="11"/>
      <c r="AG3048" s="11"/>
      <c r="AH3048" s="11"/>
      <c r="AI3048" s="11"/>
    </row>
    <row r="3049" ht="12.5" spans="3:35">
      <c r="C3049" s="19"/>
      <c r="D3049" s="19"/>
      <c r="H3049" s="105"/>
      <c r="I3049" s="126"/>
      <c r="J3049" s="11"/>
      <c r="K3049" s="108"/>
      <c r="L3049" s="11"/>
      <c r="M3049" s="105"/>
      <c r="N3049" s="105"/>
      <c r="O3049" s="11"/>
      <c r="P3049" s="11"/>
      <c r="Q3049" s="105"/>
      <c r="R3049" s="105"/>
      <c r="S3049" s="105"/>
      <c r="T3049" s="105"/>
      <c r="U3049" s="105"/>
      <c r="V3049" s="105"/>
      <c r="W3049" s="105"/>
      <c r="X3049" s="11"/>
      <c r="Y3049" s="11"/>
      <c r="Z3049" s="105"/>
      <c r="AA3049" s="11"/>
      <c r="AB3049" s="11"/>
      <c r="AC3049" s="105"/>
      <c r="AD3049" s="11" t="b">
        <v>0</v>
      </c>
      <c r="AE3049" s="105"/>
      <c r="AF3049" s="11"/>
      <c r="AG3049" s="11"/>
      <c r="AH3049" s="11"/>
      <c r="AI3049" s="11"/>
    </row>
    <row r="3050" ht="12.5" spans="3:35">
      <c r="C3050" s="19"/>
      <c r="D3050" s="19"/>
      <c r="H3050" s="105"/>
      <c r="I3050" s="126"/>
      <c r="J3050" s="11"/>
      <c r="K3050" s="108"/>
      <c r="L3050" s="11"/>
      <c r="M3050" s="105"/>
      <c r="N3050" s="105"/>
      <c r="O3050" s="11"/>
      <c r="P3050" s="11"/>
      <c r="Q3050" s="105"/>
      <c r="R3050" s="105"/>
      <c r="S3050" s="105"/>
      <c r="T3050" s="105"/>
      <c r="U3050" s="105"/>
      <c r="V3050" s="105"/>
      <c r="W3050" s="105"/>
      <c r="X3050" s="11"/>
      <c r="Y3050" s="11"/>
      <c r="Z3050" s="105"/>
      <c r="AA3050" s="11"/>
      <c r="AB3050" s="11"/>
      <c r="AC3050" s="105"/>
      <c r="AD3050" s="11" t="b">
        <v>0</v>
      </c>
      <c r="AE3050" s="105"/>
      <c r="AF3050" s="11"/>
      <c r="AG3050" s="11"/>
      <c r="AH3050" s="11"/>
      <c r="AI3050" s="11"/>
    </row>
    <row r="3051" ht="12.5" spans="3:35">
      <c r="C3051" s="19"/>
      <c r="D3051" s="19"/>
      <c r="H3051" s="105"/>
      <c r="I3051" s="126"/>
      <c r="J3051" s="11"/>
      <c r="K3051" s="108"/>
      <c r="L3051" s="11"/>
      <c r="M3051" s="105"/>
      <c r="N3051" s="105"/>
      <c r="O3051" s="11"/>
      <c r="P3051" s="11"/>
      <c r="Q3051" s="105"/>
      <c r="R3051" s="105"/>
      <c r="S3051" s="105"/>
      <c r="T3051" s="105"/>
      <c r="U3051" s="105"/>
      <c r="V3051" s="105"/>
      <c r="W3051" s="105"/>
      <c r="X3051" s="11"/>
      <c r="Y3051" s="11"/>
      <c r="Z3051" s="105"/>
      <c r="AA3051" s="11"/>
      <c r="AB3051" s="11"/>
      <c r="AC3051" s="105"/>
      <c r="AD3051" s="11" t="b">
        <v>0</v>
      </c>
      <c r="AE3051" s="105"/>
      <c r="AF3051" s="11"/>
      <c r="AG3051" s="11"/>
      <c r="AH3051" s="11"/>
      <c r="AI3051" s="11"/>
    </row>
    <row r="3052" ht="12.5" spans="3:35">
      <c r="C3052" s="19"/>
      <c r="D3052" s="19"/>
      <c r="H3052" s="105"/>
      <c r="I3052" s="126"/>
      <c r="J3052" s="11"/>
      <c r="K3052" s="108"/>
      <c r="L3052" s="11"/>
      <c r="M3052" s="105"/>
      <c r="N3052" s="105"/>
      <c r="O3052" s="11"/>
      <c r="P3052" s="11"/>
      <c r="Q3052" s="105"/>
      <c r="R3052" s="105"/>
      <c r="S3052" s="105"/>
      <c r="T3052" s="105"/>
      <c r="U3052" s="105"/>
      <c r="V3052" s="105"/>
      <c r="W3052" s="105"/>
      <c r="X3052" s="11"/>
      <c r="Y3052" s="11"/>
      <c r="Z3052" s="105"/>
      <c r="AA3052" s="11"/>
      <c r="AB3052" s="11"/>
      <c r="AC3052" s="105"/>
      <c r="AD3052" s="11" t="b">
        <v>0</v>
      </c>
      <c r="AE3052" s="105"/>
      <c r="AF3052" s="11"/>
      <c r="AG3052" s="11"/>
      <c r="AH3052" s="11"/>
      <c r="AI3052" s="11"/>
    </row>
    <row r="3053" ht="12.5" spans="3:35">
      <c r="C3053" s="19"/>
      <c r="D3053" s="19"/>
      <c r="H3053" s="105"/>
      <c r="I3053" s="126"/>
      <c r="J3053" s="11"/>
      <c r="K3053" s="108"/>
      <c r="L3053" s="11"/>
      <c r="M3053" s="105"/>
      <c r="N3053" s="105"/>
      <c r="O3053" s="11"/>
      <c r="P3053" s="11"/>
      <c r="Q3053" s="105"/>
      <c r="R3053" s="105"/>
      <c r="S3053" s="105"/>
      <c r="T3053" s="105"/>
      <c r="U3053" s="105"/>
      <c r="V3053" s="105"/>
      <c r="W3053" s="105"/>
      <c r="X3053" s="11"/>
      <c r="Y3053" s="11"/>
      <c r="Z3053" s="105"/>
      <c r="AA3053" s="11"/>
      <c r="AB3053" s="11"/>
      <c r="AC3053" s="105"/>
      <c r="AD3053" s="11" t="b">
        <v>0</v>
      </c>
      <c r="AE3053" s="105"/>
      <c r="AF3053" s="11"/>
      <c r="AG3053" s="11"/>
      <c r="AH3053" s="11"/>
      <c r="AI3053" s="11"/>
    </row>
    <row r="3054" ht="12.5" spans="3:35">
      <c r="C3054" s="19"/>
      <c r="D3054" s="19"/>
      <c r="H3054" s="105"/>
      <c r="I3054" s="126"/>
      <c r="J3054" s="11"/>
      <c r="K3054" s="108"/>
      <c r="L3054" s="11"/>
      <c r="M3054" s="105"/>
      <c r="N3054" s="105"/>
      <c r="O3054" s="11"/>
      <c r="P3054" s="11"/>
      <c r="Q3054" s="105"/>
      <c r="R3054" s="105"/>
      <c r="S3054" s="105"/>
      <c r="T3054" s="105"/>
      <c r="U3054" s="105"/>
      <c r="V3054" s="105"/>
      <c r="W3054" s="105"/>
      <c r="X3054" s="11"/>
      <c r="Y3054" s="11"/>
      <c r="Z3054" s="105"/>
      <c r="AA3054" s="11"/>
      <c r="AB3054" s="11"/>
      <c r="AC3054" s="105"/>
      <c r="AD3054" s="11" t="b">
        <v>0</v>
      </c>
      <c r="AE3054" s="105"/>
      <c r="AF3054" s="11"/>
      <c r="AG3054" s="11"/>
      <c r="AH3054" s="11"/>
      <c r="AI3054" s="11"/>
    </row>
    <row r="3055" ht="12.5" spans="3:35">
      <c r="C3055" s="19"/>
      <c r="D3055" s="19"/>
      <c r="H3055" s="105"/>
      <c r="I3055" s="126"/>
      <c r="J3055" s="11"/>
      <c r="K3055" s="108"/>
      <c r="L3055" s="11"/>
      <c r="M3055" s="105"/>
      <c r="N3055" s="105"/>
      <c r="O3055" s="11"/>
      <c r="P3055" s="11"/>
      <c r="Q3055" s="105"/>
      <c r="R3055" s="105"/>
      <c r="S3055" s="105"/>
      <c r="T3055" s="105"/>
      <c r="U3055" s="105"/>
      <c r="V3055" s="105"/>
      <c r="W3055" s="105"/>
      <c r="X3055" s="11"/>
      <c r="Y3055" s="11"/>
      <c r="Z3055" s="105"/>
      <c r="AA3055" s="11"/>
      <c r="AB3055" s="11"/>
      <c r="AC3055" s="105"/>
      <c r="AD3055" s="11" t="b">
        <v>0</v>
      </c>
      <c r="AE3055" s="105"/>
      <c r="AF3055" s="11"/>
      <c r="AG3055" s="11"/>
      <c r="AH3055" s="11"/>
      <c r="AI3055" s="11"/>
    </row>
    <row r="3056" ht="12.5" spans="3:35">
      <c r="C3056" s="19"/>
      <c r="D3056" s="19"/>
      <c r="H3056" s="105"/>
      <c r="I3056" s="126"/>
      <c r="J3056" s="11"/>
      <c r="K3056" s="108"/>
      <c r="L3056" s="11"/>
      <c r="M3056" s="105"/>
      <c r="N3056" s="105"/>
      <c r="O3056" s="11"/>
      <c r="P3056" s="11"/>
      <c r="Q3056" s="105"/>
      <c r="R3056" s="105"/>
      <c r="S3056" s="105"/>
      <c r="T3056" s="105"/>
      <c r="U3056" s="105"/>
      <c r="V3056" s="105"/>
      <c r="W3056" s="105"/>
      <c r="X3056" s="11"/>
      <c r="Y3056" s="11"/>
      <c r="Z3056" s="105"/>
      <c r="AA3056" s="11"/>
      <c r="AB3056" s="11"/>
      <c r="AC3056" s="105"/>
      <c r="AD3056" s="11" t="b">
        <v>0</v>
      </c>
      <c r="AE3056" s="105"/>
      <c r="AF3056" s="11"/>
      <c r="AG3056" s="11"/>
      <c r="AH3056" s="11"/>
      <c r="AI3056" s="11"/>
    </row>
    <row r="3057" ht="12.5" spans="3:35">
      <c r="C3057" s="19"/>
      <c r="D3057" s="19"/>
      <c r="H3057" s="105"/>
      <c r="I3057" s="126"/>
      <c r="J3057" s="11"/>
      <c r="K3057" s="108"/>
      <c r="L3057" s="11"/>
      <c r="M3057" s="105"/>
      <c r="N3057" s="105"/>
      <c r="O3057" s="11"/>
      <c r="P3057" s="11"/>
      <c r="Q3057" s="105"/>
      <c r="R3057" s="105"/>
      <c r="S3057" s="105"/>
      <c r="T3057" s="105"/>
      <c r="U3057" s="105"/>
      <c r="V3057" s="105"/>
      <c r="W3057" s="105"/>
      <c r="X3057" s="11"/>
      <c r="Y3057" s="11"/>
      <c r="Z3057" s="105"/>
      <c r="AA3057" s="11"/>
      <c r="AB3057" s="11"/>
      <c r="AC3057" s="105"/>
      <c r="AD3057" s="11" t="b">
        <v>0</v>
      </c>
      <c r="AE3057" s="105"/>
      <c r="AF3057" s="11"/>
      <c r="AG3057" s="11"/>
      <c r="AH3057" s="11"/>
      <c r="AI3057" s="11"/>
    </row>
    <row r="3058" ht="12.5" spans="3:35">
      <c r="C3058" s="19"/>
      <c r="D3058" s="19"/>
      <c r="H3058" s="105"/>
      <c r="I3058" s="126"/>
      <c r="J3058" s="11"/>
      <c r="K3058" s="108"/>
      <c r="L3058" s="11"/>
      <c r="M3058" s="105"/>
      <c r="N3058" s="105"/>
      <c r="O3058" s="11"/>
      <c r="P3058" s="11"/>
      <c r="Q3058" s="105"/>
      <c r="R3058" s="105"/>
      <c r="S3058" s="105"/>
      <c r="T3058" s="105"/>
      <c r="U3058" s="105"/>
      <c r="V3058" s="105"/>
      <c r="W3058" s="105"/>
      <c r="X3058" s="11"/>
      <c r="Y3058" s="11"/>
      <c r="Z3058" s="105"/>
      <c r="AA3058" s="11"/>
      <c r="AB3058" s="11"/>
      <c r="AC3058" s="105"/>
      <c r="AD3058" s="11" t="b">
        <v>0</v>
      </c>
      <c r="AE3058" s="105"/>
      <c r="AF3058" s="11"/>
      <c r="AG3058" s="11"/>
      <c r="AH3058" s="11"/>
      <c r="AI3058" s="11"/>
    </row>
    <row r="3059" ht="12.5" spans="3:35">
      <c r="C3059" s="19"/>
      <c r="D3059" s="19"/>
      <c r="H3059" s="105"/>
      <c r="I3059" s="126"/>
      <c r="J3059" s="11"/>
      <c r="K3059" s="108"/>
      <c r="L3059" s="11"/>
      <c r="M3059" s="105"/>
      <c r="N3059" s="105"/>
      <c r="O3059" s="11"/>
      <c r="P3059" s="11"/>
      <c r="Q3059" s="105"/>
      <c r="R3059" s="105"/>
      <c r="S3059" s="105"/>
      <c r="T3059" s="105"/>
      <c r="U3059" s="105"/>
      <c r="V3059" s="105"/>
      <c r="W3059" s="105"/>
      <c r="X3059" s="11"/>
      <c r="Y3059" s="11"/>
      <c r="Z3059" s="105"/>
      <c r="AA3059" s="11"/>
      <c r="AB3059" s="11"/>
      <c r="AC3059" s="105"/>
      <c r="AD3059" s="11" t="b">
        <v>0</v>
      </c>
      <c r="AE3059" s="105"/>
      <c r="AF3059" s="11"/>
      <c r="AG3059" s="11"/>
      <c r="AH3059" s="11"/>
      <c r="AI3059" s="11"/>
    </row>
    <row r="3060" ht="12.5" spans="3:35">
      <c r="C3060" s="19"/>
      <c r="D3060" s="19"/>
      <c r="H3060" s="105"/>
      <c r="I3060" s="126"/>
      <c r="J3060" s="11"/>
      <c r="K3060" s="108"/>
      <c r="L3060" s="11"/>
      <c r="M3060" s="105"/>
      <c r="N3060" s="105"/>
      <c r="O3060" s="11"/>
      <c r="P3060" s="11"/>
      <c r="Q3060" s="105"/>
      <c r="R3060" s="105"/>
      <c r="S3060" s="105"/>
      <c r="T3060" s="105"/>
      <c r="U3060" s="105"/>
      <c r="V3060" s="105"/>
      <c r="W3060" s="105"/>
      <c r="X3060" s="11"/>
      <c r="Y3060" s="11"/>
      <c r="Z3060" s="105"/>
      <c r="AA3060" s="11"/>
      <c r="AB3060" s="11"/>
      <c r="AC3060" s="105"/>
      <c r="AD3060" s="11" t="b">
        <v>0</v>
      </c>
      <c r="AE3060" s="105"/>
      <c r="AF3060" s="11"/>
      <c r="AG3060" s="11"/>
      <c r="AH3060" s="11"/>
      <c r="AI3060" s="11"/>
    </row>
    <row r="3061" ht="12.5" spans="3:35">
      <c r="C3061" s="19"/>
      <c r="D3061" s="19"/>
      <c r="H3061" s="105"/>
      <c r="I3061" s="126"/>
      <c r="J3061" s="11"/>
      <c r="K3061" s="108"/>
      <c r="L3061" s="11"/>
      <c r="M3061" s="105"/>
      <c r="N3061" s="105"/>
      <c r="O3061" s="11"/>
      <c r="P3061" s="11"/>
      <c r="Q3061" s="105"/>
      <c r="R3061" s="105"/>
      <c r="S3061" s="105"/>
      <c r="T3061" s="105"/>
      <c r="U3061" s="105"/>
      <c r="V3061" s="105"/>
      <c r="W3061" s="105"/>
      <c r="X3061" s="11"/>
      <c r="Y3061" s="11"/>
      <c r="Z3061" s="105"/>
      <c r="AA3061" s="11"/>
      <c r="AB3061" s="11"/>
      <c r="AC3061" s="105"/>
      <c r="AD3061" s="11" t="b">
        <v>0</v>
      </c>
      <c r="AE3061" s="105"/>
      <c r="AF3061" s="11"/>
      <c r="AG3061" s="11"/>
      <c r="AH3061" s="11"/>
      <c r="AI3061" s="11"/>
    </row>
    <row r="3062" ht="12.5" spans="3:35">
      <c r="C3062" s="19"/>
      <c r="D3062" s="19"/>
      <c r="H3062" s="105"/>
      <c r="I3062" s="126"/>
      <c r="J3062" s="11"/>
      <c r="K3062" s="108"/>
      <c r="L3062" s="11"/>
      <c r="M3062" s="105"/>
      <c r="N3062" s="105"/>
      <c r="O3062" s="11"/>
      <c r="P3062" s="11"/>
      <c r="Q3062" s="105"/>
      <c r="R3062" s="105"/>
      <c r="S3062" s="105"/>
      <c r="T3062" s="105"/>
      <c r="U3062" s="105"/>
      <c r="V3062" s="105"/>
      <c r="W3062" s="105"/>
      <c r="X3062" s="11"/>
      <c r="Y3062" s="11"/>
      <c r="Z3062" s="105"/>
      <c r="AA3062" s="11"/>
      <c r="AB3062" s="11"/>
      <c r="AC3062" s="105"/>
      <c r="AD3062" s="11" t="b">
        <v>0</v>
      </c>
      <c r="AE3062" s="105"/>
      <c r="AF3062" s="11"/>
      <c r="AG3062" s="11"/>
      <c r="AH3062" s="11"/>
      <c r="AI3062" s="11"/>
    </row>
    <row r="3063" ht="12.5" spans="3:35">
      <c r="C3063" s="19"/>
      <c r="D3063" s="19"/>
      <c r="H3063" s="105"/>
      <c r="I3063" s="126"/>
      <c r="J3063" s="11"/>
      <c r="K3063" s="108"/>
      <c r="L3063" s="11"/>
      <c r="M3063" s="105"/>
      <c r="N3063" s="105"/>
      <c r="O3063" s="11"/>
      <c r="P3063" s="11"/>
      <c r="Q3063" s="105"/>
      <c r="R3063" s="105"/>
      <c r="S3063" s="105"/>
      <c r="T3063" s="105"/>
      <c r="U3063" s="105"/>
      <c r="V3063" s="105"/>
      <c r="W3063" s="105"/>
      <c r="X3063" s="11"/>
      <c r="Y3063" s="11"/>
      <c r="Z3063" s="105"/>
      <c r="AA3063" s="11"/>
      <c r="AB3063" s="11"/>
      <c r="AC3063" s="105"/>
      <c r="AD3063" s="11" t="b">
        <v>0</v>
      </c>
      <c r="AE3063" s="105"/>
      <c r="AF3063" s="11"/>
      <c r="AG3063" s="11"/>
      <c r="AH3063" s="11"/>
      <c r="AI3063" s="11"/>
    </row>
    <row r="3064" ht="12.5" spans="3:35">
      <c r="C3064" s="19"/>
      <c r="D3064" s="19"/>
      <c r="H3064" s="105"/>
      <c r="I3064" s="126"/>
      <c r="J3064" s="11"/>
      <c r="K3064" s="108"/>
      <c r="L3064" s="11"/>
      <c r="M3064" s="105"/>
      <c r="N3064" s="105"/>
      <c r="O3064" s="11"/>
      <c r="P3064" s="11"/>
      <c r="Q3064" s="105"/>
      <c r="R3064" s="105"/>
      <c r="S3064" s="105"/>
      <c r="T3064" s="105"/>
      <c r="U3064" s="105"/>
      <c r="V3064" s="105"/>
      <c r="W3064" s="105"/>
      <c r="X3064" s="11"/>
      <c r="Y3064" s="11"/>
      <c r="Z3064" s="105"/>
      <c r="AA3064" s="11"/>
      <c r="AB3064" s="11"/>
      <c r="AC3064" s="105"/>
      <c r="AD3064" s="11" t="b">
        <v>0</v>
      </c>
      <c r="AE3064" s="105"/>
      <c r="AF3064" s="11"/>
      <c r="AG3064" s="11"/>
      <c r="AH3064" s="11"/>
      <c r="AI3064" s="11"/>
    </row>
    <row r="3065" ht="12.5" spans="3:35">
      <c r="C3065" s="19"/>
      <c r="D3065" s="19"/>
      <c r="H3065" s="105"/>
      <c r="I3065" s="126"/>
      <c r="J3065" s="11"/>
      <c r="K3065" s="108"/>
      <c r="L3065" s="11"/>
      <c r="M3065" s="105"/>
      <c r="N3065" s="105"/>
      <c r="O3065" s="11"/>
      <c r="P3065" s="11"/>
      <c r="Q3065" s="105"/>
      <c r="R3065" s="105"/>
      <c r="S3065" s="105"/>
      <c r="T3065" s="105"/>
      <c r="U3065" s="105"/>
      <c r="V3065" s="105"/>
      <c r="W3065" s="105"/>
      <c r="X3065" s="11"/>
      <c r="Y3065" s="11"/>
      <c r="Z3065" s="105"/>
      <c r="AA3065" s="11"/>
      <c r="AB3065" s="11"/>
      <c r="AC3065" s="105"/>
      <c r="AD3065" s="11" t="b">
        <v>0</v>
      </c>
      <c r="AE3065" s="105"/>
      <c r="AF3065" s="11"/>
      <c r="AG3065" s="11"/>
      <c r="AH3065" s="11"/>
      <c r="AI3065" s="11"/>
    </row>
    <row r="3066" ht="12.5" spans="3:35">
      <c r="C3066" s="19"/>
      <c r="D3066" s="19"/>
      <c r="H3066" s="105"/>
      <c r="I3066" s="126"/>
      <c r="J3066" s="11"/>
      <c r="K3066" s="108"/>
      <c r="L3066" s="11"/>
      <c r="M3066" s="105"/>
      <c r="N3066" s="105"/>
      <c r="O3066" s="11"/>
      <c r="P3066" s="11"/>
      <c r="Q3066" s="105"/>
      <c r="R3066" s="105"/>
      <c r="S3066" s="105"/>
      <c r="T3066" s="105"/>
      <c r="U3066" s="105"/>
      <c r="V3066" s="105"/>
      <c r="W3066" s="105"/>
      <c r="X3066" s="11"/>
      <c r="Y3066" s="11"/>
      <c r="Z3066" s="105"/>
      <c r="AA3066" s="11"/>
      <c r="AB3066" s="11"/>
      <c r="AC3066" s="105"/>
      <c r="AD3066" s="11" t="b">
        <v>0</v>
      </c>
      <c r="AE3066" s="105"/>
      <c r="AF3066" s="11"/>
      <c r="AG3066" s="11"/>
      <c r="AH3066" s="11"/>
      <c r="AI3066" s="11"/>
    </row>
    <row r="3067" ht="12.5" spans="3:35">
      <c r="C3067" s="19"/>
      <c r="D3067" s="19"/>
      <c r="H3067" s="105"/>
      <c r="I3067" s="126"/>
      <c r="J3067" s="11"/>
      <c r="K3067" s="108"/>
      <c r="L3067" s="11"/>
      <c r="M3067" s="105"/>
      <c r="N3067" s="105"/>
      <c r="O3067" s="11"/>
      <c r="P3067" s="11"/>
      <c r="Q3067" s="105"/>
      <c r="R3067" s="105"/>
      <c r="S3067" s="105"/>
      <c r="T3067" s="105"/>
      <c r="U3067" s="105"/>
      <c r="V3067" s="105"/>
      <c r="W3067" s="105"/>
      <c r="X3067" s="11"/>
      <c r="Y3067" s="11"/>
      <c r="Z3067" s="105"/>
      <c r="AA3067" s="11"/>
      <c r="AB3067" s="11"/>
      <c r="AC3067" s="105"/>
      <c r="AD3067" s="11" t="b">
        <v>0</v>
      </c>
      <c r="AE3067" s="105"/>
      <c r="AF3067" s="11"/>
      <c r="AG3067" s="11"/>
      <c r="AH3067" s="11"/>
      <c r="AI3067" s="11"/>
    </row>
    <row r="3068" ht="12.5" spans="3:35">
      <c r="C3068" s="19"/>
      <c r="D3068" s="19"/>
      <c r="H3068" s="105"/>
      <c r="I3068" s="126"/>
      <c r="J3068" s="11"/>
      <c r="K3068" s="108"/>
      <c r="L3068" s="11"/>
      <c r="M3068" s="105"/>
      <c r="N3068" s="105"/>
      <c r="O3068" s="11"/>
      <c r="P3068" s="11"/>
      <c r="Q3068" s="105"/>
      <c r="R3068" s="105"/>
      <c r="S3068" s="105"/>
      <c r="T3068" s="105"/>
      <c r="U3068" s="105"/>
      <c r="V3068" s="105"/>
      <c r="W3068" s="105"/>
      <c r="X3068" s="11"/>
      <c r="Y3068" s="11"/>
      <c r="Z3068" s="105"/>
      <c r="AA3068" s="11"/>
      <c r="AB3068" s="11"/>
      <c r="AC3068" s="105"/>
      <c r="AD3068" s="11" t="b">
        <v>0</v>
      </c>
      <c r="AE3068" s="105"/>
      <c r="AF3068" s="11"/>
      <c r="AG3068" s="11"/>
      <c r="AH3068" s="11"/>
      <c r="AI3068" s="11"/>
    </row>
    <row r="3069" ht="12.5" spans="3:35">
      <c r="C3069" s="19"/>
      <c r="D3069" s="19"/>
      <c r="H3069" s="105"/>
      <c r="I3069" s="126"/>
      <c r="J3069" s="11"/>
      <c r="K3069" s="108"/>
      <c r="L3069" s="11"/>
      <c r="M3069" s="105"/>
      <c r="N3069" s="105"/>
      <c r="O3069" s="11"/>
      <c r="P3069" s="11"/>
      <c r="Q3069" s="105"/>
      <c r="R3069" s="105"/>
      <c r="S3069" s="105"/>
      <c r="T3069" s="105"/>
      <c r="U3069" s="105"/>
      <c r="V3069" s="105"/>
      <c r="W3069" s="105"/>
      <c r="X3069" s="11"/>
      <c r="Y3069" s="11"/>
      <c r="Z3069" s="105"/>
      <c r="AA3069" s="11"/>
      <c r="AB3069" s="11"/>
      <c r="AC3069" s="105"/>
      <c r="AD3069" s="11" t="b">
        <v>0</v>
      </c>
      <c r="AE3069" s="105"/>
      <c r="AF3069" s="11"/>
      <c r="AG3069" s="11"/>
      <c r="AH3069" s="11"/>
      <c r="AI3069" s="11"/>
    </row>
    <row r="3070" ht="12.5" spans="3:35">
      <c r="C3070" s="19"/>
      <c r="D3070" s="19"/>
      <c r="H3070" s="105"/>
      <c r="I3070" s="126"/>
      <c r="J3070" s="11"/>
      <c r="K3070" s="108"/>
      <c r="L3070" s="11"/>
      <c r="M3070" s="105"/>
      <c r="N3070" s="105"/>
      <c r="O3070" s="11"/>
      <c r="P3070" s="11"/>
      <c r="Q3070" s="105"/>
      <c r="R3070" s="105"/>
      <c r="S3070" s="105"/>
      <c r="T3070" s="105"/>
      <c r="U3070" s="105"/>
      <c r="V3070" s="105"/>
      <c r="W3070" s="105"/>
      <c r="X3070" s="11"/>
      <c r="Y3070" s="11"/>
      <c r="Z3070" s="105"/>
      <c r="AA3070" s="11"/>
      <c r="AB3070" s="11"/>
      <c r="AC3070" s="105"/>
      <c r="AD3070" s="11" t="b">
        <v>0</v>
      </c>
      <c r="AE3070" s="105"/>
      <c r="AF3070" s="11"/>
      <c r="AG3070" s="11"/>
      <c r="AH3070" s="11"/>
      <c r="AI3070" s="11"/>
    </row>
    <row r="3071" ht="12.5" spans="3:35">
      <c r="C3071" s="19"/>
      <c r="D3071" s="19"/>
      <c r="H3071" s="105"/>
      <c r="I3071" s="126"/>
      <c r="J3071" s="11"/>
      <c r="K3071" s="108"/>
      <c r="L3071" s="11"/>
      <c r="M3071" s="105"/>
      <c r="N3071" s="105"/>
      <c r="O3071" s="11"/>
      <c r="P3071" s="11"/>
      <c r="Q3071" s="105"/>
      <c r="R3071" s="105"/>
      <c r="S3071" s="105"/>
      <c r="T3071" s="105"/>
      <c r="U3071" s="105"/>
      <c r="V3071" s="105"/>
      <c r="W3071" s="105"/>
      <c r="X3071" s="11"/>
      <c r="Y3071" s="11"/>
      <c r="Z3071" s="105"/>
      <c r="AA3071" s="11"/>
      <c r="AB3071" s="11"/>
      <c r="AC3071" s="105"/>
      <c r="AD3071" s="11" t="b">
        <v>0</v>
      </c>
      <c r="AE3071" s="105"/>
      <c r="AF3071" s="11"/>
      <c r="AG3071" s="11"/>
      <c r="AH3071" s="11"/>
      <c r="AI3071" s="11"/>
    </row>
    <row r="3072" ht="12.5" spans="3:35">
      <c r="C3072" s="19"/>
      <c r="D3072" s="19"/>
      <c r="H3072" s="105"/>
      <c r="I3072" s="126"/>
      <c r="J3072" s="11"/>
      <c r="K3072" s="108"/>
      <c r="L3072" s="11"/>
      <c r="M3072" s="105"/>
      <c r="N3072" s="105"/>
      <c r="O3072" s="11"/>
      <c r="P3072" s="11"/>
      <c r="Q3072" s="105"/>
      <c r="R3072" s="105"/>
      <c r="S3072" s="105"/>
      <c r="T3072" s="105"/>
      <c r="U3072" s="105"/>
      <c r="V3072" s="105"/>
      <c r="W3072" s="105"/>
      <c r="X3072" s="11"/>
      <c r="Y3072" s="11"/>
      <c r="Z3072" s="105"/>
      <c r="AA3072" s="11"/>
      <c r="AB3072" s="11"/>
      <c r="AC3072" s="105"/>
      <c r="AD3072" s="11" t="b">
        <v>0</v>
      </c>
      <c r="AE3072" s="105"/>
      <c r="AF3072" s="11"/>
      <c r="AG3072" s="11"/>
      <c r="AH3072" s="11"/>
      <c r="AI3072" s="11"/>
    </row>
    <row r="3073" ht="12.5" spans="3:35">
      <c r="C3073" s="19"/>
      <c r="D3073" s="19"/>
      <c r="H3073" s="105"/>
      <c r="I3073" s="126"/>
      <c r="J3073" s="11"/>
      <c r="K3073" s="108"/>
      <c r="L3073" s="11"/>
      <c r="M3073" s="105"/>
      <c r="N3073" s="105"/>
      <c r="O3073" s="11"/>
      <c r="P3073" s="11"/>
      <c r="Q3073" s="105"/>
      <c r="R3073" s="105"/>
      <c r="S3073" s="105"/>
      <c r="T3073" s="105"/>
      <c r="U3073" s="105"/>
      <c r="V3073" s="105"/>
      <c r="W3073" s="105"/>
      <c r="X3073" s="11"/>
      <c r="Y3073" s="11"/>
      <c r="Z3073" s="105"/>
      <c r="AA3073" s="11"/>
      <c r="AB3073" s="11"/>
      <c r="AC3073" s="105"/>
      <c r="AD3073" s="11" t="b">
        <v>0</v>
      </c>
      <c r="AE3073" s="105"/>
      <c r="AF3073" s="11"/>
      <c r="AG3073" s="11"/>
      <c r="AH3073" s="11"/>
      <c r="AI3073" s="11"/>
    </row>
    <row r="3074" ht="12.5" spans="3:35">
      <c r="C3074" s="19"/>
      <c r="D3074" s="19"/>
      <c r="H3074" s="105"/>
      <c r="I3074" s="126"/>
      <c r="J3074" s="11"/>
      <c r="K3074" s="108"/>
      <c r="L3074" s="11"/>
      <c r="M3074" s="105"/>
      <c r="N3074" s="105"/>
      <c r="O3074" s="11"/>
      <c r="P3074" s="11"/>
      <c r="Q3074" s="105"/>
      <c r="R3074" s="105"/>
      <c r="S3074" s="105"/>
      <c r="T3074" s="105"/>
      <c r="U3074" s="105"/>
      <c r="V3074" s="105"/>
      <c r="W3074" s="105"/>
      <c r="X3074" s="11"/>
      <c r="Y3074" s="11"/>
      <c r="Z3074" s="105"/>
      <c r="AA3074" s="11"/>
      <c r="AB3074" s="11"/>
      <c r="AC3074" s="105"/>
      <c r="AD3074" s="11" t="b">
        <v>0</v>
      </c>
      <c r="AE3074" s="105"/>
      <c r="AF3074" s="11"/>
      <c r="AG3074" s="11"/>
      <c r="AH3074" s="11"/>
      <c r="AI3074" s="11"/>
    </row>
    <row r="3075" ht="12.5" spans="3:35">
      <c r="C3075" s="19"/>
      <c r="D3075" s="19"/>
      <c r="H3075" s="105"/>
      <c r="I3075" s="126"/>
      <c r="J3075" s="11"/>
      <c r="K3075" s="108"/>
      <c r="L3075" s="11"/>
      <c r="M3075" s="105"/>
      <c r="N3075" s="105"/>
      <c r="O3075" s="11"/>
      <c r="P3075" s="11"/>
      <c r="Q3075" s="105"/>
      <c r="R3075" s="105"/>
      <c r="S3075" s="105"/>
      <c r="T3075" s="105"/>
      <c r="U3075" s="105"/>
      <c r="V3075" s="105"/>
      <c r="W3075" s="105"/>
      <c r="X3075" s="11"/>
      <c r="Y3075" s="11"/>
      <c r="Z3075" s="105"/>
      <c r="AA3075" s="11"/>
      <c r="AB3075" s="11"/>
      <c r="AC3075" s="105"/>
      <c r="AD3075" s="11" t="b">
        <v>0</v>
      </c>
      <c r="AE3075" s="105"/>
      <c r="AF3075" s="11"/>
      <c r="AG3075" s="11"/>
      <c r="AH3075" s="11"/>
      <c r="AI3075" s="11"/>
    </row>
    <row r="3076" ht="12.5" spans="3:35">
      <c r="C3076" s="19"/>
      <c r="D3076" s="19"/>
      <c r="H3076" s="105"/>
      <c r="I3076" s="126"/>
      <c r="J3076" s="11"/>
      <c r="K3076" s="108"/>
      <c r="L3076" s="11"/>
      <c r="M3076" s="105"/>
      <c r="N3076" s="105"/>
      <c r="O3076" s="11"/>
      <c r="P3076" s="11"/>
      <c r="Q3076" s="105"/>
      <c r="R3076" s="105"/>
      <c r="S3076" s="105"/>
      <c r="T3076" s="105"/>
      <c r="U3076" s="105"/>
      <c r="V3076" s="105"/>
      <c r="W3076" s="105"/>
      <c r="X3076" s="11"/>
      <c r="Y3076" s="11"/>
      <c r="Z3076" s="105"/>
      <c r="AA3076" s="11"/>
      <c r="AB3076" s="11"/>
      <c r="AC3076" s="105"/>
      <c r="AD3076" s="11" t="b">
        <v>0</v>
      </c>
      <c r="AE3076" s="105"/>
      <c r="AF3076" s="11"/>
      <c r="AG3076" s="11"/>
      <c r="AH3076" s="11"/>
      <c r="AI3076" s="11"/>
    </row>
    <row r="3077" ht="12.5" spans="3:35">
      <c r="C3077" s="19"/>
      <c r="D3077" s="19"/>
      <c r="H3077" s="105"/>
      <c r="I3077" s="126"/>
      <c r="J3077" s="11"/>
      <c r="K3077" s="108"/>
      <c r="L3077" s="11"/>
      <c r="M3077" s="105"/>
      <c r="N3077" s="105"/>
      <c r="O3077" s="11"/>
      <c r="P3077" s="11"/>
      <c r="Q3077" s="105"/>
      <c r="R3077" s="105"/>
      <c r="S3077" s="105"/>
      <c r="T3077" s="105"/>
      <c r="U3077" s="105"/>
      <c r="V3077" s="105"/>
      <c r="W3077" s="105"/>
      <c r="X3077" s="11"/>
      <c r="Y3077" s="11"/>
      <c r="Z3077" s="105"/>
      <c r="AA3077" s="11"/>
      <c r="AB3077" s="11"/>
      <c r="AC3077" s="105"/>
      <c r="AD3077" s="11" t="b">
        <v>0</v>
      </c>
      <c r="AE3077" s="105"/>
      <c r="AF3077" s="11"/>
      <c r="AG3077" s="11"/>
      <c r="AH3077" s="11"/>
      <c r="AI3077" s="11"/>
    </row>
    <row r="3078" ht="12.5" spans="3:35">
      <c r="C3078" s="19"/>
      <c r="D3078" s="19"/>
      <c r="H3078" s="105"/>
      <c r="I3078" s="126"/>
      <c r="J3078" s="11"/>
      <c r="K3078" s="108"/>
      <c r="L3078" s="11"/>
      <c r="M3078" s="105"/>
      <c r="N3078" s="105"/>
      <c r="O3078" s="11"/>
      <c r="P3078" s="11"/>
      <c r="Q3078" s="105"/>
      <c r="R3078" s="105"/>
      <c r="S3078" s="105"/>
      <c r="T3078" s="105"/>
      <c r="U3078" s="105"/>
      <c r="V3078" s="105"/>
      <c r="W3078" s="105"/>
      <c r="X3078" s="11"/>
      <c r="Y3078" s="11"/>
      <c r="Z3078" s="105"/>
      <c r="AA3078" s="11"/>
      <c r="AB3078" s="11"/>
      <c r="AC3078" s="105"/>
      <c r="AD3078" s="11" t="b">
        <v>0</v>
      </c>
      <c r="AE3078" s="105"/>
      <c r="AF3078" s="11"/>
      <c r="AG3078" s="11"/>
      <c r="AH3078" s="11"/>
      <c r="AI3078" s="11"/>
    </row>
    <row r="3079" ht="12.5" spans="3:35">
      <c r="C3079" s="19"/>
      <c r="D3079" s="19"/>
      <c r="H3079" s="105"/>
      <c r="I3079" s="126"/>
      <c r="J3079" s="11"/>
      <c r="K3079" s="108"/>
      <c r="L3079" s="11"/>
      <c r="M3079" s="105"/>
      <c r="N3079" s="105"/>
      <c r="O3079" s="11"/>
      <c r="P3079" s="11"/>
      <c r="Q3079" s="105"/>
      <c r="R3079" s="105"/>
      <c r="S3079" s="105"/>
      <c r="T3079" s="105"/>
      <c r="U3079" s="105"/>
      <c r="V3079" s="105"/>
      <c r="W3079" s="105"/>
      <c r="X3079" s="11"/>
      <c r="Y3079" s="11"/>
      <c r="Z3079" s="105"/>
      <c r="AA3079" s="11"/>
      <c r="AB3079" s="11"/>
      <c r="AC3079" s="105"/>
      <c r="AD3079" s="11" t="b">
        <v>0</v>
      </c>
      <c r="AE3079" s="105"/>
      <c r="AF3079" s="11"/>
      <c r="AG3079" s="11"/>
      <c r="AH3079" s="11"/>
      <c r="AI3079" s="11"/>
    </row>
    <row r="3080" ht="12.5" spans="3:35">
      <c r="C3080" s="19"/>
      <c r="D3080" s="19"/>
      <c r="H3080" s="105"/>
      <c r="I3080" s="126"/>
      <c r="J3080" s="11"/>
      <c r="K3080" s="108"/>
      <c r="L3080" s="11"/>
      <c r="M3080" s="105"/>
      <c r="N3080" s="105"/>
      <c r="O3080" s="11"/>
      <c r="P3080" s="11"/>
      <c r="Q3080" s="105"/>
      <c r="R3080" s="105"/>
      <c r="S3080" s="105"/>
      <c r="T3080" s="105"/>
      <c r="U3080" s="105"/>
      <c r="V3080" s="105"/>
      <c r="W3080" s="105"/>
      <c r="X3080" s="11"/>
      <c r="Y3080" s="11"/>
      <c r="Z3080" s="105"/>
      <c r="AA3080" s="11"/>
      <c r="AB3080" s="11"/>
      <c r="AC3080" s="105"/>
      <c r="AD3080" s="11" t="b">
        <v>0</v>
      </c>
      <c r="AE3080" s="105"/>
      <c r="AF3080" s="11"/>
      <c r="AG3080" s="11"/>
      <c r="AH3080" s="11"/>
      <c r="AI3080" s="11"/>
    </row>
    <row r="3081" ht="12.5" spans="3:35">
      <c r="C3081" s="19"/>
      <c r="D3081" s="19"/>
      <c r="H3081" s="105"/>
      <c r="I3081" s="126"/>
      <c r="J3081" s="11"/>
      <c r="K3081" s="108"/>
      <c r="L3081" s="11"/>
      <c r="M3081" s="105"/>
      <c r="N3081" s="105"/>
      <c r="O3081" s="11"/>
      <c r="P3081" s="11"/>
      <c r="Q3081" s="105"/>
      <c r="R3081" s="105"/>
      <c r="S3081" s="105"/>
      <c r="T3081" s="105"/>
      <c r="U3081" s="105"/>
      <c r="V3081" s="105"/>
      <c r="W3081" s="105"/>
      <c r="X3081" s="11"/>
      <c r="Y3081" s="11"/>
      <c r="Z3081" s="105"/>
      <c r="AA3081" s="11"/>
      <c r="AB3081" s="11"/>
      <c r="AC3081" s="105"/>
      <c r="AD3081" s="11" t="b">
        <v>0</v>
      </c>
      <c r="AE3081" s="105"/>
      <c r="AF3081" s="11"/>
      <c r="AG3081" s="11"/>
      <c r="AH3081" s="11"/>
      <c r="AI3081" s="11"/>
    </row>
    <row r="3082" ht="12.5" spans="3:35">
      <c r="C3082" s="19"/>
      <c r="D3082" s="19"/>
      <c r="H3082" s="105"/>
      <c r="I3082" s="126"/>
      <c r="J3082" s="11"/>
      <c r="K3082" s="108"/>
      <c r="L3082" s="11"/>
      <c r="M3082" s="105"/>
      <c r="N3082" s="105"/>
      <c r="O3082" s="11"/>
      <c r="P3082" s="11"/>
      <c r="Q3082" s="105"/>
      <c r="R3082" s="105"/>
      <c r="S3082" s="105"/>
      <c r="T3082" s="105"/>
      <c r="U3082" s="105"/>
      <c r="V3082" s="105"/>
      <c r="W3082" s="105"/>
      <c r="X3082" s="11"/>
      <c r="Y3082" s="11"/>
      <c r="Z3082" s="105"/>
      <c r="AA3082" s="11"/>
      <c r="AB3082" s="11"/>
      <c r="AC3082" s="105"/>
      <c r="AD3082" s="11" t="b">
        <v>0</v>
      </c>
      <c r="AE3082" s="105"/>
      <c r="AF3082" s="11"/>
      <c r="AG3082" s="11"/>
      <c r="AH3082" s="11"/>
      <c r="AI3082" s="11"/>
    </row>
    <row r="3083" ht="12.5" spans="3:35">
      <c r="C3083" s="19"/>
      <c r="D3083" s="19"/>
      <c r="H3083" s="105"/>
      <c r="I3083" s="126"/>
      <c r="J3083" s="11"/>
      <c r="K3083" s="108"/>
      <c r="L3083" s="11"/>
      <c r="M3083" s="105"/>
      <c r="N3083" s="105"/>
      <c r="O3083" s="11"/>
      <c r="P3083" s="11"/>
      <c r="Q3083" s="105"/>
      <c r="R3083" s="105"/>
      <c r="S3083" s="105"/>
      <c r="T3083" s="105"/>
      <c r="U3083" s="105"/>
      <c r="V3083" s="105"/>
      <c r="W3083" s="105"/>
      <c r="X3083" s="11"/>
      <c r="Y3083" s="11"/>
      <c r="Z3083" s="105"/>
      <c r="AA3083" s="11"/>
      <c r="AB3083" s="11"/>
      <c r="AC3083" s="105"/>
      <c r="AD3083" s="11" t="b">
        <v>0</v>
      </c>
      <c r="AE3083" s="105"/>
      <c r="AF3083" s="11"/>
      <c r="AG3083" s="11"/>
      <c r="AH3083" s="11"/>
      <c r="AI3083" s="11"/>
    </row>
    <row r="3084" ht="12.5" spans="3:35">
      <c r="C3084" s="19"/>
      <c r="D3084" s="19"/>
      <c r="H3084" s="105"/>
      <c r="I3084" s="126"/>
      <c r="J3084" s="11"/>
      <c r="K3084" s="108"/>
      <c r="L3084" s="11"/>
      <c r="M3084" s="105"/>
      <c r="N3084" s="105"/>
      <c r="O3084" s="11"/>
      <c r="P3084" s="11"/>
      <c r="Q3084" s="105"/>
      <c r="R3084" s="105"/>
      <c r="S3084" s="105"/>
      <c r="T3084" s="105"/>
      <c r="U3084" s="105"/>
      <c r="V3084" s="105"/>
      <c r="W3084" s="105"/>
      <c r="X3084" s="11"/>
      <c r="Y3084" s="11"/>
      <c r="Z3084" s="105"/>
      <c r="AA3084" s="11"/>
      <c r="AB3084" s="11"/>
      <c r="AC3084" s="105"/>
      <c r="AD3084" s="11" t="b">
        <v>0</v>
      </c>
      <c r="AE3084" s="105"/>
      <c r="AF3084" s="11"/>
      <c r="AG3084" s="11"/>
      <c r="AH3084" s="11"/>
      <c r="AI3084" s="11"/>
    </row>
    <row r="3085" ht="12.5" spans="3:35">
      <c r="C3085" s="19"/>
      <c r="D3085" s="19"/>
      <c r="H3085" s="105"/>
      <c r="I3085" s="126"/>
      <c r="J3085" s="11"/>
      <c r="K3085" s="108"/>
      <c r="L3085" s="11"/>
      <c r="M3085" s="105"/>
      <c r="N3085" s="105"/>
      <c r="O3085" s="11"/>
      <c r="P3085" s="11"/>
      <c r="Q3085" s="105"/>
      <c r="R3085" s="105"/>
      <c r="S3085" s="105"/>
      <c r="T3085" s="105"/>
      <c r="U3085" s="105"/>
      <c r="V3085" s="105"/>
      <c r="W3085" s="105"/>
      <c r="X3085" s="11"/>
      <c r="Y3085" s="11"/>
      <c r="Z3085" s="105"/>
      <c r="AA3085" s="11"/>
      <c r="AB3085" s="11"/>
      <c r="AC3085" s="105"/>
      <c r="AD3085" s="11" t="b">
        <v>0</v>
      </c>
      <c r="AE3085" s="105"/>
      <c r="AF3085" s="11"/>
      <c r="AG3085" s="11"/>
      <c r="AH3085" s="11"/>
      <c r="AI3085" s="11"/>
    </row>
    <row r="3086" ht="12.5" spans="3:35">
      <c r="C3086" s="19"/>
      <c r="D3086" s="19"/>
      <c r="H3086" s="105"/>
      <c r="I3086" s="126"/>
      <c r="J3086" s="11"/>
      <c r="K3086" s="108"/>
      <c r="L3086" s="11"/>
      <c r="M3086" s="105"/>
      <c r="N3086" s="105"/>
      <c r="O3086" s="11"/>
      <c r="P3086" s="11"/>
      <c r="Q3086" s="105"/>
      <c r="R3086" s="105"/>
      <c r="S3086" s="105"/>
      <c r="T3086" s="105"/>
      <c r="U3086" s="105"/>
      <c r="V3086" s="105"/>
      <c r="W3086" s="105"/>
      <c r="X3086" s="11"/>
      <c r="Y3086" s="11"/>
      <c r="Z3086" s="105"/>
      <c r="AA3086" s="11"/>
      <c r="AB3086" s="11"/>
      <c r="AC3086" s="105"/>
      <c r="AD3086" s="11" t="b">
        <v>0</v>
      </c>
      <c r="AE3086" s="105"/>
      <c r="AF3086" s="11"/>
      <c r="AG3086" s="11"/>
      <c r="AH3086" s="11"/>
      <c r="AI3086" s="11"/>
    </row>
    <row r="3087" ht="12.5" spans="3:35">
      <c r="C3087" s="19"/>
      <c r="D3087" s="19"/>
      <c r="H3087" s="105"/>
      <c r="I3087" s="126"/>
      <c r="J3087" s="11"/>
      <c r="K3087" s="108"/>
      <c r="L3087" s="11"/>
      <c r="M3087" s="105"/>
      <c r="N3087" s="105"/>
      <c r="O3087" s="11"/>
      <c r="P3087" s="11"/>
      <c r="Q3087" s="105"/>
      <c r="R3087" s="105"/>
      <c r="S3087" s="105"/>
      <c r="T3087" s="105"/>
      <c r="U3087" s="105"/>
      <c r="V3087" s="105"/>
      <c r="W3087" s="105"/>
      <c r="X3087" s="11"/>
      <c r="Y3087" s="11"/>
      <c r="Z3087" s="105"/>
      <c r="AA3087" s="11"/>
      <c r="AB3087" s="11"/>
      <c r="AC3087" s="105"/>
      <c r="AD3087" s="11" t="b">
        <v>0</v>
      </c>
      <c r="AE3087" s="105"/>
      <c r="AF3087" s="11"/>
      <c r="AG3087" s="11"/>
      <c r="AH3087" s="11"/>
      <c r="AI3087" s="11"/>
    </row>
    <row r="3088" ht="12.5" spans="3:35">
      <c r="C3088" s="19"/>
      <c r="D3088" s="19"/>
      <c r="H3088" s="105"/>
      <c r="I3088" s="126"/>
      <c r="J3088" s="11"/>
      <c r="K3088" s="108"/>
      <c r="L3088" s="11"/>
      <c r="M3088" s="105"/>
      <c r="N3088" s="105"/>
      <c r="O3088" s="11"/>
      <c r="P3088" s="11"/>
      <c r="Q3088" s="105"/>
      <c r="R3088" s="105"/>
      <c r="S3088" s="105"/>
      <c r="T3088" s="105"/>
      <c r="U3088" s="105"/>
      <c r="V3088" s="105"/>
      <c r="W3088" s="105"/>
      <c r="X3088" s="11"/>
      <c r="Y3088" s="11"/>
      <c r="Z3088" s="105"/>
      <c r="AA3088" s="11"/>
      <c r="AB3088" s="11"/>
      <c r="AC3088" s="105"/>
      <c r="AD3088" s="11" t="b">
        <v>0</v>
      </c>
      <c r="AE3088" s="105"/>
      <c r="AF3088" s="11"/>
      <c r="AG3088" s="11"/>
      <c r="AH3088" s="11"/>
      <c r="AI3088" s="11"/>
    </row>
    <row r="3089" ht="12.5" spans="3:35">
      <c r="C3089" s="19"/>
      <c r="D3089" s="19"/>
      <c r="H3089" s="105"/>
      <c r="I3089" s="126"/>
      <c r="J3089" s="11"/>
      <c r="K3089" s="108"/>
      <c r="L3089" s="11"/>
      <c r="M3089" s="105"/>
      <c r="N3089" s="105"/>
      <c r="O3089" s="11"/>
      <c r="P3089" s="11"/>
      <c r="Q3089" s="105"/>
      <c r="R3089" s="105"/>
      <c r="S3089" s="105"/>
      <c r="T3089" s="105"/>
      <c r="U3089" s="105"/>
      <c r="V3089" s="105"/>
      <c r="W3089" s="105"/>
      <c r="X3089" s="11"/>
      <c r="Y3089" s="11"/>
      <c r="Z3089" s="105"/>
      <c r="AA3089" s="11"/>
      <c r="AB3089" s="11"/>
      <c r="AC3089" s="105"/>
      <c r="AD3089" s="11" t="b">
        <v>0</v>
      </c>
      <c r="AE3089" s="105"/>
      <c r="AF3089" s="11"/>
      <c r="AG3089" s="11"/>
      <c r="AH3089" s="11"/>
      <c r="AI3089" s="11"/>
    </row>
    <row r="3090" ht="12.5" spans="3:35">
      <c r="C3090" s="19"/>
      <c r="D3090" s="19"/>
      <c r="H3090" s="105"/>
      <c r="I3090" s="126"/>
      <c r="J3090" s="11"/>
      <c r="K3090" s="108"/>
      <c r="L3090" s="11"/>
      <c r="M3090" s="105"/>
      <c r="N3090" s="105"/>
      <c r="O3090" s="11"/>
      <c r="P3090" s="11"/>
      <c r="Q3090" s="105"/>
      <c r="R3090" s="105"/>
      <c r="S3090" s="105"/>
      <c r="T3090" s="105"/>
      <c r="U3090" s="105"/>
      <c r="V3090" s="105"/>
      <c r="W3090" s="105"/>
      <c r="X3090" s="11"/>
      <c r="Y3090" s="11"/>
      <c r="Z3090" s="105"/>
      <c r="AA3090" s="11"/>
      <c r="AB3090" s="11"/>
      <c r="AC3090" s="105"/>
      <c r="AD3090" s="11" t="b">
        <v>0</v>
      </c>
      <c r="AE3090" s="105"/>
      <c r="AF3090" s="11"/>
      <c r="AG3090" s="11"/>
      <c r="AH3090" s="11"/>
      <c r="AI3090" s="11"/>
    </row>
    <row r="3091" ht="12.5" spans="3:35">
      <c r="C3091" s="19"/>
      <c r="D3091" s="19"/>
      <c r="H3091" s="105"/>
      <c r="I3091" s="126"/>
      <c r="J3091" s="11"/>
      <c r="K3091" s="108"/>
      <c r="L3091" s="11"/>
      <c r="M3091" s="105"/>
      <c r="N3091" s="105"/>
      <c r="O3091" s="11"/>
      <c r="P3091" s="11"/>
      <c r="Q3091" s="105"/>
      <c r="R3091" s="105"/>
      <c r="S3091" s="105"/>
      <c r="T3091" s="105"/>
      <c r="U3091" s="105"/>
      <c r="V3091" s="105"/>
      <c r="W3091" s="105"/>
      <c r="X3091" s="11"/>
      <c r="Y3091" s="11"/>
      <c r="Z3091" s="105"/>
      <c r="AA3091" s="11"/>
      <c r="AB3091" s="11"/>
      <c r="AC3091" s="105"/>
      <c r="AD3091" s="11" t="b">
        <v>0</v>
      </c>
      <c r="AE3091" s="105"/>
      <c r="AF3091" s="11"/>
      <c r="AG3091" s="11"/>
      <c r="AH3091" s="11"/>
      <c r="AI3091" s="11"/>
    </row>
    <row r="3092" ht="12.5" spans="3:35">
      <c r="C3092" s="19"/>
      <c r="D3092" s="19"/>
      <c r="H3092" s="105"/>
      <c r="I3092" s="126"/>
      <c r="J3092" s="11"/>
      <c r="K3092" s="108"/>
      <c r="L3092" s="11"/>
      <c r="M3092" s="105"/>
      <c r="N3092" s="105"/>
      <c r="O3092" s="11"/>
      <c r="P3092" s="11"/>
      <c r="Q3092" s="105"/>
      <c r="R3092" s="105"/>
      <c r="S3092" s="105"/>
      <c r="T3092" s="105"/>
      <c r="U3092" s="105"/>
      <c r="V3092" s="105"/>
      <c r="W3092" s="105"/>
      <c r="X3092" s="11"/>
      <c r="Y3092" s="11"/>
      <c r="Z3092" s="105"/>
      <c r="AA3092" s="11"/>
      <c r="AB3092" s="11"/>
      <c r="AC3092" s="105"/>
      <c r="AD3092" s="11" t="b">
        <v>0</v>
      </c>
      <c r="AE3092" s="105"/>
      <c r="AF3092" s="11"/>
      <c r="AG3092" s="11"/>
      <c r="AH3092" s="11"/>
      <c r="AI3092" s="11"/>
    </row>
    <row r="3093" ht="12.5" spans="3:35">
      <c r="C3093" s="19"/>
      <c r="D3093" s="19"/>
      <c r="H3093" s="105"/>
      <c r="I3093" s="126"/>
      <c r="J3093" s="11"/>
      <c r="K3093" s="108"/>
      <c r="L3093" s="11"/>
      <c r="M3093" s="105"/>
      <c r="N3093" s="105"/>
      <c r="O3093" s="11"/>
      <c r="P3093" s="11"/>
      <c r="Q3093" s="105"/>
      <c r="R3093" s="105"/>
      <c r="S3093" s="105"/>
      <c r="T3093" s="105"/>
      <c r="U3093" s="105"/>
      <c r="V3093" s="105"/>
      <c r="W3093" s="105"/>
      <c r="X3093" s="11"/>
      <c r="Y3093" s="11"/>
      <c r="Z3093" s="105"/>
      <c r="AA3093" s="11"/>
      <c r="AB3093" s="11"/>
      <c r="AC3093" s="105"/>
      <c r="AD3093" s="11" t="b">
        <v>0</v>
      </c>
      <c r="AE3093" s="105"/>
      <c r="AF3093" s="11"/>
      <c r="AG3093" s="11"/>
      <c r="AH3093" s="11"/>
      <c r="AI3093" s="11"/>
    </row>
    <row r="3094" ht="12.5" spans="3:35">
      <c r="C3094" s="19"/>
      <c r="D3094" s="19"/>
      <c r="H3094" s="105"/>
      <c r="I3094" s="126"/>
      <c r="J3094" s="11"/>
      <c r="K3094" s="108"/>
      <c r="L3094" s="11"/>
      <c r="M3094" s="105"/>
      <c r="N3094" s="105"/>
      <c r="O3094" s="11"/>
      <c r="P3094" s="11"/>
      <c r="Q3094" s="105"/>
      <c r="R3094" s="105"/>
      <c r="S3094" s="105"/>
      <c r="T3094" s="105"/>
      <c r="U3094" s="105"/>
      <c r="V3094" s="105"/>
      <c r="W3094" s="105"/>
      <c r="X3094" s="11"/>
      <c r="Y3094" s="11"/>
      <c r="Z3094" s="105"/>
      <c r="AA3094" s="11"/>
      <c r="AB3094" s="11"/>
      <c r="AC3094" s="105"/>
      <c r="AD3094" s="11" t="b">
        <v>0</v>
      </c>
      <c r="AE3094" s="105"/>
      <c r="AF3094" s="11"/>
      <c r="AG3094" s="11"/>
      <c r="AH3094" s="11"/>
      <c r="AI3094" s="11"/>
    </row>
    <row r="3095" ht="12.5" spans="3:35">
      <c r="C3095" s="19"/>
      <c r="D3095" s="19"/>
      <c r="H3095" s="105"/>
      <c r="I3095" s="126"/>
      <c r="J3095" s="11"/>
      <c r="K3095" s="108"/>
      <c r="L3095" s="11"/>
      <c r="M3095" s="105"/>
      <c r="N3095" s="105"/>
      <c r="O3095" s="11"/>
      <c r="P3095" s="11"/>
      <c r="Q3095" s="105"/>
      <c r="R3095" s="105"/>
      <c r="S3095" s="105"/>
      <c r="T3095" s="105"/>
      <c r="U3095" s="105"/>
      <c r="V3095" s="105"/>
      <c r="W3095" s="105"/>
      <c r="X3095" s="11"/>
      <c r="Y3095" s="11"/>
      <c r="Z3095" s="105"/>
      <c r="AA3095" s="11"/>
      <c r="AB3095" s="11"/>
      <c r="AC3095" s="105"/>
      <c r="AD3095" s="11" t="b">
        <v>0</v>
      </c>
      <c r="AE3095" s="105"/>
      <c r="AF3095" s="11"/>
      <c r="AG3095" s="11"/>
      <c r="AH3095" s="11"/>
      <c r="AI3095" s="11"/>
    </row>
    <row r="3096" ht="12.5" spans="3:35">
      <c r="C3096" s="19"/>
      <c r="D3096" s="19"/>
      <c r="H3096" s="105"/>
      <c r="I3096" s="126"/>
      <c r="J3096" s="11"/>
      <c r="K3096" s="108"/>
      <c r="L3096" s="11"/>
      <c r="M3096" s="105"/>
      <c r="N3096" s="105"/>
      <c r="O3096" s="11"/>
      <c r="P3096" s="11"/>
      <c r="Q3096" s="105"/>
      <c r="R3096" s="105"/>
      <c r="S3096" s="105"/>
      <c r="T3096" s="105"/>
      <c r="U3096" s="105"/>
      <c r="V3096" s="105"/>
      <c r="W3096" s="105"/>
      <c r="X3096" s="11"/>
      <c r="Y3096" s="11"/>
      <c r="Z3096" s="105"/>
      <c r="AA3096" s="11"/>
      <c r="AB3096" s="11"/>
      <c r="AC3096" s="105"/>
      <c r="AD3096" s="11" t="b">
        <v>0</v>
      </c>
      <c r="AE3096" s="105"/>
      <c r="AF3096" s="11"/>
      <c r="AG3096" s="11"/>
      <c r="AH3096" s="11"/>
      <c r="AI3096" s="11"/>
    </row>
    <row r="3097" ht="12.5" spans="3:35">
      <c r="C3097" s="19"/>
      <c r="D3097" s="19"/>
      <c r="H3097" s="105"/>
      <c r="I3097" s="126"/>
      <c r="J3097" s="11"/>
      <c r="K3097" s="108"/>
      <c r="L3097" s="11"/>
      <c r="M3097" s="105"/>
      <c r="N3097" s="105"/>
      <c r="O3097" s="11"/>
      <c r="P3097" s="11"/>
      <c r="Q3097" s="105"/>
      <c r="R3097" s="105"/>
      <c r="S3097" s="105"/>
      <c r="T3097" s="105"/>
      <c r="U3097" s="105"/>
      <c r="V3097" s="105"/>
      <c r="W3097" s="105"/>
      <c r="X3097" s="11"/>
      <c r="Y3097" s="11"/>
      <c r="Z3097" s="105"/>
      <c r="AA3097" s="11"/>
      <c r="AB3097" s="11"/>
      <c r="AC3097" s="105"/>
      <c r="AD3097" s="11" t="b">
        <v>0</v>
      </c>
      <c r="AE3097" s="105"/>
      <c r="AF3097" s="11"/>
      <c r="AG3097" s="11"/>
      <c r="AH3097" s="11"/>
      <c r="AI3097" s="11"/>
    </row>
    <row r="3098" ht="12.5" spans="3:35">
      <c r="C3098" s="19"/>
      <c r="D3098" s="19"/>
      <c r="H3098" s="105"/>
      <c r="I3098" s="126"/>
      <c r="J3098" s="11"/>
      <c r="K3098" s="108"/>
      <c r="L3098" s="11"/>
      <c r="M3098" s="105"/>
      <c r="N3098" s="105"/>
      <c r="O3098" s="11"/>
      <c r="P3098" s="11"/>
      <c r="Q3098" s="105"/>
      <c r="R3098" s="105"/>
      <c r="S3098" s="105"/>
      <c r="T3098" s="105"/>
      <c r="U3098" s="105"/>
      <c r="V3098" s="105"/>
      <c r="W3098" s="105"/>
      <c r="X3098" s="11"/>
      <c r="Y3098" s="11"/>
      <c r="Z3098" s="105"/>
      <c r="AA3098" s="11"/>
      <c r="AB3098" s="11"/>
      <c r="AC3098" s="105"/>
      <c r="AD3098" s="11" t="b">
        <v>0</v>
      </c>
      <c r="AE3098" s="105"/>
      <c r="AF3098" s="11"/>
      <c r="AG3098" s="11"/>
      <c r="AH3098" s="11"/>
      <c r="AI3098" s="11"/>
    </row>
    <row r="3099" ht="12.5" spans="3:35">
      <c r="C3099" s="19"/>
      <c r="D3099" s="19"/>
      <c r="H3099" s="105"/>
      <c r="I3099" s="126"/>
      <c r="J3099" s="11"/>
      <c r="K3099" s="108"/>
      <c r="L3099" s="11"/>
      <c r="M3099" s="105"/>
      <c r="N3099" s="105"/>
      <c r="O3099" s="11"/>
      <c r="P3099" s="11"/>
      <c r="Q3099" s="105"/>
      <c r="R3099" s="105"/>
      <c r="S3099" s="105"/>
      <c r="T3099" s="105"/>
      <c r="U3099" s="105"/>
      <c r="V3099" s="105"/>
      <c r="W3099" s="105"/>
      <c r="X3099" s="11"/>
      <c r="Y3099" s="11"/>
      <c r="Z3099" s="105"/>
      <c r="AA3099" s="11"/>
      <c r="AB3099" s="11"/>
      <c r="AC3099" s="105"/>
      <c r="AD3099" s="11" t="b">
        <v>0</v>
      </c>
      <c r="AE3099" s="105"/>
      <c r="AF3099" s="11"/>
      <c r="AG3099" s="11"/>
      <c r="AH3099" s="11"/>
      <c r="AI3099" s="11"/>
    </row>
    <row r="3100" ht="12.5" spans="3:35">
      <c r="C3100" s="19"/>
      <c r="D3100" s="19"/>
      <c r="H3100" s="105"/>
      <c r="I3100" s="126"/>
      <c r="J3100" s="11"/>
      <c r="K3100" s="108"/>
      <c r="L3100" s="11"/>
      <c r="M3100" s="105"/>
      <c r="N3100" s="105"/>
      <c r="O3100" s="11"/>
      <c r="P3100" s="11"/>
      <c r="Q3100" s="105"/>
      <c r="R3100" s="105"/>
      <c r="S3100" s="105"/>
      <c r="T3100" s="105"/>
      <c r="U3100" s="105"/>
      <c r="V3100" s="105"/>
      <c r="W3100" s="105"/>
      <c r="X3100" s="11"/>
      <c r="Y3100" s="11"/>
      <c r="Z3100" s="105"/>
      <c r="AA3100" s="11"/>
      <c r="AB3100" s="11"/>
      <c r="AC3100" s="105"/>
      <c r="AD3100" s="11" t="b">
        <v>0</v>
      </c>
      <c r="AE3100" s="105"/>
      <c r="AF3100" s="11"/>
      <c r="AG3100" s="11"/>
      <c r="AH3100" s="11"/>
      <c r="AI3100" s="11"/>
    </row>
    <row r="3101" ht="12.5" spans="3:35">
      <c r="C3101" s="19"/>
      <c r="D3101" s="19"/>
      <c r="H3101" s="105"/>
      <c r="I3101" s="126"/>
      <c r="J3101" s="11"/>
      <c r="K3101" s="108"/>
      <c r="L3101" s="11"/>
      <c r="M3101" s="105"/>
      <c r="N3101" s="105"/>
      <c r="O3101" s="11"/>
      <c r="P3101" s="11"/>
      <c r="Q3101" s="105"/>
      <c r="R3101" s="105"/>
      <c r="S3101" s="105"/>
      <c r="T3101" s="105"/>
      <c r="U3101" s="105"/>
      <c r="V3101" s="105"/>
      <c r="W3101" s="105"/>
      <c r="X3101" s="11"/>
      <c r="Y3101" s="11"/>
      <c r="Z3101" s="105"/>
      <c r="AA3101" s="11"/>
      <c r="AB3101" s="11"/>
      <c r="AC3101" s="105"/>
      <c r="AD3101" s="11" t="b">
        <v>0</v>
      </c>
      <c r="AE3101" s="105"/>
      <c r="AF3101" s="11"/>
      <c r="AG3101" s="11"/>
      <c r="AH3101" s="11"/>
      <c r="AI3101" s="11"/>
    </row>
    <row r="3102" ht="12.5" spans="3:35">
      <c r="C3102" s="19"/>
      <c r="D3102" s="19"/>
      <c r="H3102" s="105"/>
      <c r="I3102" s="126"/>
      <c r="J3102" s="11"/>
      <c r="K3102" s="108"/>
      <c r="L3102" s="11"/>
      <c r="M3102" s="105"/>
      <c r="N3102" s="105"/>
      <c r="O3102" s="11"/>
      <c r="P3102" s="11"/>
      <c r="Q3102" s="105"/>
      <c r="R3102" s="105"/>
      <c r="S3102" s="105"/>
      <c r="T3102" s="105"/>
      <c r="U3102" s="105"/>
      <c r="V3102" s="105"/>
      <c r="W3102" s="105"/>
      <c r="X3102" s="11"/>
      <c r="Y3102" s="11"/>
      <c r="Z3102" s="105"/>
      <c r="AA3102" s="11"/>
      <c r="AB3102" s="11"/>
      <c r="AC3102" s="105"/>
      <c r="AD3102" s="11" t="b">
        <v>0</v>
      </c>
      <c r="AE3102" s="105"/>
      <c r="AF3102" s="11"/>
      <c r="AG3102" s="11"/>
      <c r="AH3102" s="11"/>
      <c r="AI3102" s="11"/>
    </row>
    <row r="3103" ht="12.5" spans="3:35">
      <c r="C3103" s="19"/>
      <c r="D3103" s="19"/>
      <c r="H3103" s="105"/>
      <c r="I3103" s="126"/>
      <c r="J3103" s="11"/>
      <c r="K3103" s="108"/>
      <c r="L3103" s="11"/>
      <c r="M3103" s="105"/>
      <c r="N3103" s="105"/>
      <c r="O3103" s="11"/>
      <c r="P3103" s="11"/>
      <c r="Q3103" s="105"/>
      <c r="R3103" s="105"/>
      <c r="S3103" s="105"/>
      <c r="T3103" s="105"/>
      <c r="U3103" s="105"/>
      <c r="V3103" s="105"/>
      <c r="W3103" s="105"/>
      <c r="X3103" s="11"/>
      <c r="Y3103" s="11"/>
      <c r="Z3103" s="105"/>
      <c r="AA3103" s="11"/>
      <c r="AB3103" s="11"/>
      <c r="AC3103" s="105"/>
      <c r="AD3103" s="11" t="b">
        <v>0</v>
      </c>
      <c r="AE3103" s="105"/>
      <c r="AF3103" s="11"/>
      <c r="AG3103" s="11"/>
      <c r="AH3103" s="11"/>
      <c r="AI3103" s="11"/>
    </row>
    <row r="3104" ht="12.5" spans="3:35">
      <c r="C3104" s="19"/>
      <c r="D3104" s="19"/>
      <c r="H3104" s="105"/>
      <c r="I3104" s="126"/>
      <c r="J3104" s="11"/>
      <c r="K3104" s="108"/>
      <c r="L3104" s="11"/>
      <c r="M3104" s="105"/>
      <c r="N3104" s="105"/>
      <c r="O3104" s="11"/>
      <c r="P3104" s="11"/>
      <c r="Q3104" s="105"/>
      <c r="R3104" s="105"/>
      <c r="S3104" s="105"/>
      <c r="T3104" s="105"/>
      <c r="U3104" s="105"/>
      <c r="V3104" s="105"/>
      <c r="W3104" s="105"/>
      <c r="X3104" s="11"/>
      <c r="Y3104" s="11"/>
      <c r="Z3104" s="105"/>
      <c r="AA3104" s="11"/>
      <c r="AB3104" s="11"/>
      <c r="AC3104" s="105"/>
      <c r="AD3104" s="11" t="b">
        <v>0</v>
      </c>
      <c r="AE3104" s="105"/>
      <c r="AF3104" s="11"/>
      <c r="AG3104" s="11"/>
      <c r="AH3104" s="11"/>
      <c r="AI3104" s="11"/>
    </row>
    <row r="3105" ht="12.5" spans="3:35">
      <c r="C3105" s="19"/>
      <c r="D3105" s="19"/>
      <c r="H3105" s="105"/>
      <c r="I3105" s="126"/>
      <c r="J3105" s="11"/>
      <c r="K3105" s="108"/>
      <c r="L3105" s="11"/>
      <c r="M3105" s="105"/>
      <c r="N3105" s="105"/>
      <c r="O3105" s="11"/>
      <c r="P3105" s="11"/>
      <c r="Q3105" s="105"/>
      <c r="R3105" s="105"/>
      <c r="S3105" s="105"/>
      <c r="T3105" s="105"/>
      <c r="U3105" s="105"/>
      <c r="V3105" s="105"/>
      <c r="W3105" s="105"/>
      <c r="X3105" s="11"/>
      <c r="Y3105" s="11"/>
      <c r="Z3105" s="105"/>
      <c r="AA3105" s="11"/>
      <c r="AB3105" s="11"/>
      <c r="AC3105" s="105"/>
      <c r="AD3105" s="11" t="b">
        <v>0</v>
      </c>
      <c r="AE3105" s="105"/>
      <c r="AF3105" s="11"/>
      <c r="AG3105" s="11"/>
      <c r="AH3105" s="11"/>
      <c r="AI3105" s="11"/>
    </row>
    <row r="3106" ht="12.5" spans="3:35">
      <c r="C3106" s="19"/>
      <c r="D3106" s="19"/>
      <c r="H3106" s="105"/>
      <c r="I3106" s="126"/>
      <c r="J3106" s="11"/>
      <c r="K3106" s="108"/>
      <c r="L3106" s="11"/>
      <c r="M3106" s="105"/>
      <c r="N3106" s="105"/>
      <c r="O3106" s="11"/>
      <c r="P3106" s="11"/>
      <c r="Q3106" s="105"/>
      <c r="R3106" s="105"/>
      <c r="S3106" s="105"/>
      <c r="T3106" s="105"/>
      <c r="U3106" s="105"/>
      <c r="V3106" s="105"/>
      <c r="W3106" s="105"/>
      <c r="X3106" s="11"/>
      <c r="Y3106" s="11"/>
      <c r="Z3106" s="105"/>
      <c r="AA3106" s="11"/>
      <c r="AB3106" s="11"/>
      <c r="AC3106" s="105"/>
      <c r="AD3106" s="11" t="b">
        <v>0</v>
      </c>
      <c r="AE3106" s="105"/>
      <c r="AF3106" s="11"/>
      <c r="AG3106" s="11"/>
      <c r="AH3106" s="11"/>
      <c r="AI3106" s="11"/>
    </row>
    <row r="3107" ht="12.5" spans="3:35">
      <c r="C3107" s="19"/>
      <c r="D3107" s="19"/>
      <c r="H3107" s="105"/>
      <c r="I3107" s="126"/>
      <c r="J3107" s="11"/>
      <c r="K3107" s="108"/>
      <c r="L3107" s="11"/>
      <c r="M3107" s="105"/>
      <c r="N3107" s="105"/>
      <c r="O3107" s="11"/>
      <c r="P3107" s="11"/>
      <c r="Q3107" s="105"/>
      <c r="R3107" s="105"/>
      <c r="S3107" s="105"/>
      <c r="T3107" s="105"/>
      <c r="U3107" s="105"/>
      <c r="V3107" s="105"/>
      <c r="W3107" s="105"/>
      <c r="X3107" s="11"/>
      <c r="Y3107" s="11"/>
      <c r="Z3107" s="105"/>
      <c r="AA3107" s="11"/>
      <c r="AB3107" s="11"/>
      <c r="AC3107" s="105"/>
      <c r="AD3107" s="11" t="b">
        <v>0</v>
      </c>
      <c r="AE3107" s="105"/>
      <c r="AF3107" s="11"/>
      <c r="AG3107" s="11"/>
      <c r="AH3107" s="11"/>
      <c r="AI3107" s="11"/>
    </row>
    <row r="3108" ht="12.5" spans="3:35">
      <c r="C3108" s="19"/>
      <c r="D3108" s="19"/>
      <c r="H3108" s="105"/>
      <c r="I3108" s="126"/>
      <c r="J3108" s="11"/>
      <c r="K3108" s="108"/>
      <c r="L3108" s="11"/>
      <c r="M3108" s="105"/>
      <c r="N3108" s="105"/>
      <c r="O3108" s="11"/>
      <c r="P3108" s="11"/>
      <c r="Q3108" s="105"/>
      <c r="R3108" s="105"/>
      <c r="S3108" s="105"/>
      <c r="T3108" s="105"/>
      <c r="U3108" s="105"/>
      <c r="V3108" s="105"/>
      <c r="W3108" s="105"/>
      <c r="X3108" s="11"/>
      <c r="Y3108" s="11"/>
      <c r="Z3108" s="105"/>
      <c r="AA3108" s="11"/>
      <c r="AB3108" s="11"/>
      <c r="AC3108" s="105"/>
      <c r="AD3108" s="11" t="b">
        <v>0</v>
      </c>
      <c r="AE3108" s="105"/>
      <c r="AF3108" s="11"/>
      <c r="AG3108" s="11"/>
      <c r="AH3108" s="11"/>
      <c r="AI3108" s="11"/>
    </row>
    <row r="3109" ht="12.5" spans="3:35">
      <c r="C3109" s="19"/>
      <c r="D3109" s="19"/>
      <c r="H3109" s="105"/>
      <c r="I3109" s="126"/>
      <c r="J3109" s="11"/>
      <c r="K3109" s="108"/>
      <c r="L3109" s="11"/>
      <c r="M3109" s="105"/>
      <c r="N3109" s="105"/>
      <c r="O3109" s="11"/>
      <c r="P3109" s="11"/>
      <c r="Q3109" s="105"/>
      <c r="R3109" s="105"/>
      <c r="S3109" s="105"/>
      <c r="T3109" s="105"/>
      <c r="U3109" s="105"/>
      <c r="V3109" s="105"/>
      <c r="W3109" s="105"/>
      <c r="X3109" s="11"/>
      <c r="Y3109" s="11"/>
      <c r="Z3109" s="105"/>
      <c r="AA3109" s="11"/>
      <c r="AB3109" s="11"/>
      <c r="AC3109" s="105"/>
      <c r="AD3109" s="11" t="b">
        <v>0</v>
      </c>
      <c r="AE3109" s="105"/>
      <c r="AF3109" s="11"/>
      <c r="AG3109" s="11"/>
      <c r="AH3109" s="11"/>
      <c r="AI3109" s="11"/>
    </row>
    <row r="3110" ht="12.5" spans="3:35">
      <c r="C3110" s="19"/>
      <c r="D3110" s="19"/>
      <c r="H3110" s="105"/>
      <c r="I3110" s="126"/>
      <c r="J3110" s="11"/>
      <c r="K3110" s="108"/>
      <c r="L3110" s="11"/>
      <c r="M3110" s="105"/>
      <c r="N3110" s="105"/>
      <c r="O3110" s="11"/>
      <c r="P3110" s="11"/>
      <c r="Q3110" s="105"/>
      <c r="R3110" s="105"/>
      <c r="S3110" s="105"/>
      <c r="T3110" s="105"/>
      <c r="U3110" s="105"/>
      <c r="V3110" s="105"/>
      <c r="W3110" s="105"/>
      <c r="X3110" s="11"/>
      <c r="Y3110" s="11"/>
      <c r="Z3110" s="105"/>
      <c r="AA3110" s="11"/>
      <c r="AB3110" s="11"/>
      <c r="AC3110" s="105"/>
      <c r="AD3110" s="11" t="b">
        <v>0</v>
      </c>
      <c r="AE3110" s="105"/>
      <c r="AF3110" s="11"/>
      <c r="AG3110" s="11"/>
      <c r="AH3110" s="11"/>
      <c r="AI3110" s="11"/>
    </row>
    <row r="3111" ht="12.5" spans="3:35">
      <c r="C3111" s="19"/>
      <c r="D3111" s="19"/>
      <c r="H3111" s="105"/>
      <c r="I3111" s="126"/>
      <c r="J3111" s="11"/>
      <c r="K3111" s="108"/>
      <c r="L3111" s="11"/>
      <c r="M3111" s="105"/>
      <c r="N3111" s="105"/>
      <c r="O3111" s="11"/>
      <c r="P3111" s="11"/>
      <c r="Q3111" s="105"/>
      <c r="R3111" s="105"/>
      <c r="S3111" s="105"/>
      <c r="T3111" s="105"/>
      <c r="U3111" s="105"/>
      <c r="V3111" s="105"/>
      <c r="W3111" s="105"/>
      <c r="X3111" s="11"/>
      <c r="Y3111" s="11"/>
      <c r="Z3111" s="105"/>
      <c r="AA3111" s="11"/>
      <c r="AB3111" s="11"/>
      <c r="AC3111" s="105"/>
      <c r="AD3111" s="11" t="b">
        <v>0</v>
      </c>
      <c r="AE3111" s="105"/>
      <c r="AF3111" s="11"/>
      <c r="AG3111" s="11"/>
      <c r="AH3111" s="11"/>
      <c r="AI3111" s="11"/>
    </row>
    <row r="3112" ht="12.5" spans="3:35">
      <c r="C3112" s="19"/>
      <c r="D3112" s="19"/>
      <c r="H3112" s="105"/>
      <c r="I3112" s="126"/>
      <c r="J3112" s="11"/>
      <c r="K3112" s="108"/>
      <c r="L3112" s="11"/>
      <c r="M3112" s="105"/>
      <c r="N3112" s="105"/>
      <c r="O3112" s="11"/>
      <c r="P3112" s="11"/>
      <c r="Q3112" s="105"/>
      <c r="R3112" s="105"/>
      <c r="S3112" s="105"/>
      <c r="T3112" s="105"/>
      <c r="U3112" s="105"/>
      <c r="V3112" s="105"/>
      <c r="W3112" s="105"/>
      <c r="X3112" s="11"/>
      <c r="Y3112" s="11"/>
      <c r="Z3112" s="105"/>
      <c r="AA3112" s="11"/>
      <c r="AB3112" s="11"/>
      <c r="AC3112" s="105"/>
      <c r="AD3112" s="11" t="b">
        <v>0</v>
      </c>
      <c r="AE3112" s="105"/>
      <c r="AF3112" s="11"/>
      <c r="AG3112" s="11"/>
      <c r="AH3112" s="11"/>
      <c r="AI3112" s="11"/>
    </row>
    <row r="3113" ht="12.5" spans="3:35">
      <c r="C3113" s="19"/>
      <c r="D3113" s="19"/>
      <c r="H3113" s="105"/>
      <c r="I3113" s="126"/>
      <c r="J3113" s="11"/>
      <c r="K3113" s="108"/>
      <c r="L3113" s="11"/>
      <c r="M3113" s="105"/>
      <c r="N3113" s="105"/>
      <c r="O3113" s="11"/>
      <c r="P3113" s="11"/>
      <c r="Q3113" s="105"/>
      <c r="R3113" s="105"/>
      <c r="S3113" s="105"/>
      <c r="T3113" s="105"/>
      <c r="U3113" s="105"/>
      <c r="V3113" s="105"/>
      <c r="W3113" s="105"/>
      <c r="X3113" s="11"/>
      <c r="Y3113" s="11"/>
      <c r="Z3113" s="105"/>
      <c r="AA3113" s="11"/>
      <c r="AB3113" s="11"/>
      <c r="AC3113" s="105"/>
      <c r="AD3113" s="11" t="b">
        <v>0</v>
      </c>
      <c r="AE3113" s="105"/>
      <c r="AF3113" s="11"/>
      <c r="AG3113" s="11"/>
      <c r="AH3113" s="11"/>
      <c r="AI3113" s="11"/>
    </row>
    <row r="3114" ht="12.5" spans="3:35">
      <c r="C3114" s="19"/>
      <c r="D3114" s="19"/>
      <c r="H3114" s="105"/>
      <c r="I3114" s="126"/>
      <c r="J3114" s="11"/>
      <c r="K3114" s="108"/>
      <c r="L3114" s="11"/>
      <c r="M3114" s="105"/>
      <c r="N3114" s="105"/>
      <c r="O3114" s="11"/>
      <c r="P3114" s="11"/>
      <c r="Q3114" s="105"/>
      <c r="R3114" s="105"/>
      <c r="S3114" s="105"/>
      <c r="T3114" s="105"/>
      <c r="U3114" s="105"/>
      <c r="V3114" s="105"/>
      <c r="W3114" s="105"/>
      <c r="X3114" s="11"/>
      <c r="Y3114" s="11"/>
      <c r="Z3114" s="105"/>
      <c r="AA3114" s="11"/>
      <c r="AB3114" s="11"/>
      <c r="AC3114" s="105"/>
      <c r="AD3114" s="11" t="b">
        <v>0</v>
      </c>
      <c r="AE3114" s="105"/>
      <c r="AF3114" s="11"/>
      <c r="AG3114" s="11"/>
      <c r="AH3114" s="11"/>
      <c r="AI3114" s="11"/>
    </row>
    <row r="3115" ht="12.5" spans="3:35">
      <c r="C3115" s="19"/>
      <c r="D3115" s="19"/>
      <c r="H3115" s="105"/>
      <c r="I3115" s="126"/>
      <c r="J3115" s="11"/>
      <c r="K3115" s="108"/>
      <c r="L3115" s="11"/>
      <c r="M3115" s="105"/>
      <c r="N3115" s="105"/>
      <c r="O3115" s="11"/>
      <c r="P3115" s="11"/>
      <c r="Q3115" s="105"/>
      <c r="R3115" s="105"/>
      <c r="S3115" s="105"/>
      <c r="T3115" s="105"/>
      <c r="U3115" s="105"/>
      <c r="V3115" s="105"/>
      <c r="W3115" s="105"/>
      <c r="X3115" s="11"/>
      <c r="Y3115" s="11"/>
      <c r="Z3115" s="105"/>
      <c r="AA3115" s="11"/>
      <c r="AB3115" s="11"/>
      <c r="AC3115" s="105"/>
      <c r="AD3115" s="11" t="b">
        <v>0</v>
      </c>
      <c r="AE3115" s="105"/>
      <c r="AF3115" s="11"/>
      <c r="AG3115" s="11"/>
      <c r="AH3115" s="11"/>
      <c r="AI3115" s="11"/>
    </row>
    <row r="3116" ht="12.5" spans="3:35">
      <c r="C3116" s="19"/>
      <c r="D3116" s="19"/>
      <c r="H3116" s="105"/>
      <c r="I3116" s="126"/>
      <c r="J3116" s="11"/>
      <c r="K3116" s="108"/>
      <c r="L3116" s="11"/>
      <c r="M3116" s="105"/>
      <c r="N3116" s="105"/>
      <c r="O3116" s="11"/>
      <c r="P3116" s="11"/>
      <c r="Q3116" s="105"/>
      <c r="R3116" s="105"/>
      <c r="S3116" s="105"/>
      <c r="T3116" s="105"/>
      <c r="U3116" s="105"/>
      <c r="V3116" s="105"/>
      <c r="W3116" s="105"/>
      <c r="X3116" s="11"/>
      <c r="Y3116" s="11"/>
      <c r="Z3116" s="105"/>
      <c r="AA3116" s="11"/>
      <c r="AB3116" s="11"/>
      <c r="AC3116" s="105"/>
      <c r="AD3116" s="11" t="b">
        <v>0</v>
      </c>
      <c r="AE3116" s="105"/>
      <c r="AF3116" s="11"/>
      <c r="AG3116" s="11"/>
      <c r="AH3116" s="11"/>
      <c r="AI3116" s="11"/>
    </row>
    <row r="3117" ht="12.5" spans="3:35">
      <c r="C3117" s="19"/>
      <c r="D3117" s="19"/>
      <c r="H3117" s="105"/>
      <c r="I3117" s="126"/>
      <c r="J3117" s="11"/>
      <c r="K3117" s="108"/>
      <c r="L3117" s="11"/>
      <c r="M3117" s="105"/>
      <c r="N3117" s="105"/>
      <c r="O3117" s="11"/>
      <c r="P3117" s="11"/>
      <c r="Q3117" s="105"/>
      <c r="R3117" s="105"/>
      <c r="S3117" s="105"/>
      <c r="T3117" s="105"/>
      <c r="U3117" s="105"/>
      <c r="V3117" s="105"/>
      <c r="W3117" s="105"/>
      <c r="X3117" s="11"/>
      <c r="Y3117" s="11"/>
      <c r="Z3117" s="105"/>
      <c r="AA3117" s="11"/>
      <c r="AB3117" s="11"/>
      <c r="AC3117" s="105"/>
      <c r="AD3117" s="11" t="b">
        <v>0</v>
      </c>
      <c r="AE3117" s="105"/>
      <c r="AF3117" s="11"/>
      <c r="AG3117" s="11"/>
      <c r="AH3117" s="11"/>
      <c r="AI3117" s="11"/>
    </row>
    <row r="3118" ht="12.5" spans="3:35">
      <c r="C3118" s="19"/>
      <c r="D3118" s="19"/>
      <c r="H3118" s="105"/>
      <c r="I3118" s="126"/>
      <c r="J3118" s="11"/>
      <c r="K3118" s="108"/>
      <c r="L3118" s="11"/>
      <c r="M3118" s="105"/>
      <c r="N3118" s="105"/>
      <c r="O3118" s="11"/>
      <c r="P3118" s="11"/>
      <c r="Q3118" s="105"/>
      <c r="R3118" s="105"/>
      <c r="S3118" s="105"/>
      <c r="T3118" s="105"/>
      <c r="U3118" s="105"/>
      <c r="V3118" s="105"/>
      <c r="W3118" s="105"/>
      <c r="X3118" s="11"/>
      <c r="Y3118" s="11"/>
      <c r="Z3118" s="105"/>
      <c r="AA3118" s="11"/>
      <c r="AB3118" s="11"/>
      <c r="AC3118" s="105"/>
      <c r="AD3118" s="11" t="b">
        <v>0</v>
      </c>
      <c r="AE3118" s="105"/>
      <c r="AF3118" s="11"/>
      <c r="AG3118" s="11"/>
      <c r="AH3118" s="11"/>
      <c r="AI3118" s="11"/>
    </row>
    <row r="3119" ht="12.5" spans="3:35">
      <c r="C3119" s="19"/>
      <c r="D3119" s="19"/>
      <c r="H3119" s="105"/>
      <c r="I3119" s="126"/>
      <c r="J3119" s="11"/>
      <c r="K3119" s="108"/>
      <c r="L3119" s="11"/>
      <c r="M3119" s="105"/>
      <c r="N3119" s="105"/>
      <c r="O3119" s="11"/>
      <c r="P3119" s="11"/>
      <c r="Q3119" s="105"/>
      <c r="R3119" s="105"/>
      <c r="S3119" s="105"/>
      <c r="T3119" s="105"/>
      <c r="U3119" s="105"/>
      <c r="V3119" s="105"/>
      <c r="W3119" s="105"/>
      <c r="X3119" s="11"/>
      <c r="Y3119" s="11"/>
      <c r="Z3119" s="105"/>
      <c r="AA3119" s="11"/>
      <c r="AB3119" s="11"/>
      <c r="AC3119" s="105"/>
      <c r="AD3119" s="11" t="b">
        <v>0</v>
      </c>
      <c r="AE3119" s="105"/>
      <c r="AF3119" s="11"/>
      <c r="AG3119" s="11"/>
      <c r="AH3119" s="11"/>
      <c r="AI3119" s="11"/>
    </row>
    <row r="3120" ht="12.5" spans="3:35">
      <c r="C3120" s="19"/>
      <c r="D3120" s="19"/>
      <c r="H3120" s="105"/>
      <c r="I3120" s="126"/>
      <c r="J3120" s="11"/>
      <c r="K3120" s="108"/>
      <c r="L3120" s="11"/>
      <c r="M3120" s="105"/>
      <c r="N3120" s="105"/>
      <c r="O3120" s="11"/>
      <c r="P3120" s="11"/>
      <c r="Q3120" s="105"/>
      <c r="R3120" s="105"/>
      <c r="S3120" s="105"/>
      <c r="T3120" s="105"/>
      <c r="U3120" s="105"/>
      <c r="V3120" s="105"/>
      <c r="W3120" s="105"/>
      <c r="X3120" s="11"/>
      <c r="Y3120" s="11"/>
      <c r="Z3120" s="105"/>
      <c r="AA3120" s="11"/>
      <c r="AB3120" s="11"/>
      <c r="AC3120" s="105"/>
      <c r="AD3120" s="11" t="b">
        <v>0</v>
      </c>
      <c r="AE3120" s="105"/>
      <c r="AF3120" s="11"/>
      <c r="AG3120" s="11"/>
      <c r="AH3120" s="11"/>
      <c r="AI3120" s="11"/>
    </row>
    <row r="3121" ht="12.5" spans="3:35">
      <c r="C3121" s="19"/>
      <c r="D3121" s="19"/>
      <c r="H3121" s="105"/>
      <c r="I3121" s="126"/>
      <c r="J3121" s="11"/>
      <c r="K3121" s="108"/>
      <c r="L3121" s="11"/>
      <c r="M3121" s="105"/>
      <c r="N3121" s="105"/>
      <c r="O3121" s="11"/>
      <c r="P3121" s="11"/>
      <c r="Q3121" s="105"/>
      <c r="R3121" s="105"/>
      <c r="S3121" s="105"/>
      <c r="T3121" s="105"/>
      <c r="U3121" s="105"/>
      <c r="V3121" s="105"/>
      <c r="W3121" s="105"/>
      <c r="X3121" s="11"/>
      <c r="Y3121" s="11"/>
      <c r="Z3121" s="105"/>
      <c r="AA3121" s="11"/>
      <c r="AB3121" s="11"/>
      <c r="AC3121" s="105"/>
      <c r="AD3121" s="11" t="b">
        <v>0</v>
      </c>
      <c r="AE3121" s="105"/>
      <c r="AF3121" s="11"/>
      <c r="AG3121" s="11"/>
      <c r="AH3121" s="11"/>
      <c r="AI3121" s="11"/>
    </row>
    <row r="3122" ht="12.5" spans="3:35">
      <c r="C3122" s="19"/>
      <c r="D3122" s="19"/>
      <c r="H3122" s="105"/>
      <c r="I3122" s="126"/>
      <c r="J3122" s="11"/>
      <c r="K3122" s="108"/>
      <c r="L3122" s="11"/>
      <c r="M3122" s="105"/>
      <c r="N3122" s="105"/>
      <c r="O3122" s="11"/>
      <c r="P3122" s="11"/>
      <c r="Q3122" s="105"/>
      <c r="R3122" s="105"/>
      <c r="S3122" s="105"/>
      <c r="T3122" s="105"/>
      <c r="U3122" s="105"/>
      <c r="V3122" s="105"/>
      <c r="W3122" s="105"/>
      <c r="X3122" s="11"/>
      <c r="Y3122" s="11"/>
      <c r="Z3122" s="105"/>
      <c r="AA3122" s="11"/>
      <c r="AB3122" s="11"/>
      <c r="AC3122" s="105"/>
      <c r="AD3122" s="11" t="b">
        <v>0</v>
      </c>
      <c r="AE3122" s="105"/>
      <c r="AF3122" s="11"/>
      <c r="AG3122" s="11"/>
      <c r="AH3122" s="11"/>
      <c r="AI3122" s="11"/>
    </row>
    <row r="3123" ht="12.5" spans="3:35">
      <c r="C3123" s="19"/>
      <c r="D3123" s="19"/>
      <c r="H3123" s="105"/>
      <c r="I3123" s="126"/>
      <c r="J3123" s="11"/>
      <c r="K3123" s="108"/>
      <c r="L3123" s="11"/>
      <c r="M3123" s="105"/>
      <c r="N3123" s="105"/>
      <c r="O3123" s="11"/>
      <c r="P3123" s="11"/>
      <c r="Q3123" s="105"/>
      <c r="R3123" s="105"/>
      <c r="S3123" s="105"/>
      <c r="T3123" s="105"/>
      <c r="U3123" s="105"/>
      <c r="V3123" s="105"/>
      <c r="W3123" s="105"/>
      <c r="X3123" s="11"/>
      <c r="Y3123" s="11"/>
      <c r="Z3123" s="105"/>
      <c r="AA3123" s="11"/>
      <c r="AB3123" s="11"/>
      <c r="AC3123" s="105"/>
      <c r="AD3123" s="11" t="b">
        <v>0</v>
      </c>
      <c r="AE3123" s="105"/>
      <c r="AF3123" s="11"/>
      <c r="AG3123" s="11"/>
      <c r="AH3123" s="11"/>
      <c r="AI3123" s="11"/>
    </row>
    <row r="3124" ht="12.5" spans="3:35">
      <c r="C3124" s="19"/>
      <c r="D3124" s="19"/>
      <c r="H3124" s="105"/>
      <c r="I3124" s="126"/>
      <c r="J3124" s="11"/>
      <c r="K3124" s="108"/>
      <c r="L3124" s="11"/>
      <c r="M3124" s="105"/>
      <c r="N3124" s="105"/>
      <c r="O3124" s="11"/>
      <c r="P3124" s="11"/>
      <c r="Q3124" s="105"/>
      <c r="R3124" s="105"/>
      <c r="S3124" s="105"/>
      <c r="T3124" s="105"/>
      <c r="U3124" s="105"/>
      <c r="V3124" s="105"/>
      <c r="W3124" s="105"/>
      <c r="X3124" s="11"/>
      <c r="Y3124" s="11"/>
      <c r="Z3124" s="105"/>
      <c r="AA3124" s="11"/>
      <c r="AB3124" s="11"/>
      <c r="AC3124" s="105"/>
      <c r="AD3124" s="11" t="b">
        <v>0</v>
      </c>
      <c r="AE3124" s="105"/>
      <c r="AF3124" s="11"/>
      <c r="AG3124" s="11"/>
      <c r="AH3124" s="11"/>
      <c r="AI3124" s="11"/>
    </row>
    <row r="3125" ht="12.5" spans="3:35">
      <c r="C3125" s="19"/>
      <c r="D3125" s="19"/>
      <c r="H3125" s="105"/>
      <c r="I3125" s="126"/>
      <c r="J3125" s="11"/>
      <c r="K3125" s="108"/>
      <c r="L3125" s="11"/>
      <c r="M3125" s="105"/>
      <c r="N3125" s="105"/>
      <c r="O3125" s="11"/>
      <c r="P3125" s="11"/>
      <c r="Q3125" s="105"/>
      <c r="R3125" s="105"/>
      <c r="S3125" s="105"/>
      <c r="T3125" s="105"/>
      <c r="U3125" s="105"/>
      <c r="V3125" s="105"/>
      <c r="W3125" s="105"/>
      <c r="X3125" s="11"/>
      <c r="Y3125" s="11"/>
      <c r="Z3125" s="105"/>
      <c r="AA3125" s="11"/>
      <c r="AB3125" s="11"/>
      <c r="AC3125" s="105"/>
      <c r="AD3125" s="11" t="b">
        <v>0</v>
      </c>
      <c r="AE3125" s="105"/>
      <c r="AF3125" s="11"/>
      <c r="AG3125" s="11"/>
      <c r="AH3125" s="11"/>
      <c r="AI3125" s="11"/>
    </row>
    <row r="3126" ht="12.5" spans="3:35">
      <c r="C3126" s="19"/>
      <c r="D3126" s="19"/>
      <c r="H3126" s="105"/>
      <c r="I3126" s="126"/>
      <c r="J3126" s="11"/>
      <c r="K3126" s="108"/>
      <c r="L3126" s="11"/>
      <c r="M3126" s="105"/>
      <c r="N3126" s="105"/>
      <c r="O3126" s="11"/>
      <c r="P3126" s="11"/>
      <c r="Q3126" s="105"/>
      <c r="R3126" s="105"/>
      <c r="S3126" s="105"/>
      <c r="T3126" s="105"/>
      <c r="U3126" s="105"/>
      <c r="V3126" s="105"/>
      <c r="W3126" s="105"/>
      <c r="X3126" s="11"/>
      <c r="Y3126" s="11"/>
      <c r="Z3126" s="105"/>
      <c r="AA3126" s="11"/>
      <c r="AB3126" s="11"/>
      <c r="AC3126" s="105"/>
      <c r="AD3126" s="11" t="b">
        <v>0</v>
      </c>
      <c r="AE3126" s="105"/>
      <c r="AF3126" s="11"/>
      <c r="AG3126" s="11"/>
      <c r="AH3126" s="11"/>
      <c r="AI3126" s="11"/>
    </row>
    <row r="3127" ht="12.5" spans="3:35">
      <c r="C3127" s="19"/>
      <c r="D3127" s="19"/>
      <c r="H3127" s="105"/>
      <c r="I3127" s="126"/>
      <c r="J3127" s="11"/>
      <c r="K3127" s="108"/>
      <c r="L3127" s="11"/>
      <c r="M3127" s="105"/>
      <c r="N3127" s="105"/>
      <c r="O3127" s="11"/>
      <c r="P3127" s="11"/>
      <c r="Q3127" s="105"/>
      <c r="R3127" s="105"/>
      <c r="S3127" s="105"/>
      <c r="T3127" s="105"/>
      <c r="U3127" s="105"/>
      <c r="V3127" s="105"/>
      <c r="W3127" s="105"/>
      <c r="X3127" s="11"/>
      <c r="Y3127" s="11"/>
      <c r="Z3127" s="105"/>
      <c r="AA3127" s="11"/>
      <c r="AB3127" s="11"/>
      <c r="AC3127" s="105"/>
      <c r="AD3127" s="11" t="b">
        <v>0</v>
      </c>
      <c r="AE3127" s="105"/>
      <c r="AF3127" s="11"/>
      <c r="AG3127" s="11"/>
      <c r="AH3127" s="11"/>
      <c r="AI3127" s="11"/>
    </row>
    <row r="3128" ht="12.5" spans="3:35">
      <c r="C3128" s="19"/>
      <c r="D3128" s="19"/>
      <c r="H3128" s="105"/>
      <c r="I3128" s="126"/>
      <c r="J3128" s="11"/>
      <c r="K3128" s="108"/>
      <c r="L3128" s="11"/>
      <c r="M3128" s="105"/>
      <c r="N3128" s="105"/>
      <c r="O3128" s="11"/>
      <c r="P3128" s="11"/>
      <c r="Q3128" s="105"/>
      <c r="R3128" s="105"/>
      <c r="S3128" s="105"/>
      <c r="T3128" s="105"/>
      <c r="U3128" s="105"/>
      <c r="V3128" s="105"/>
      <c r="W3128" s="105"/>
      <c r="X3128" s="11"/>
      <c r="Y3128" s="11"/>
      <c r="Z3128" s="105"/>
      <c r="AA3128" s="11"/>
      <c r="AB3128" s="11"/>
      <c r="AC3128" s="105"/>
      <c r="AD3128" s="11" t="b">
        <v>0</v>
      </c>
      <c r="AE3128" s="105"/>
      <c r="AF3128" s="11"/>
      <c r="AG3128" s="11"/>
      <c r="AH3128" s="11"/>
      <c r="AI3128" s="11"/>
    </row>
    <row r="3129" ht="12.5" spans="3:35">
      <c r="C3129" s="19"/>
      <c r="D3129" s="19"/>
      <c r="H3129" s="105"/>
      <c r="I3129" s="126"/>
      <c r="J3129" s="11"/>
      <c r="K3129" s="108"/>
      <c r="L3129" s="11"/>
      <c r="M3129" s="105"/>
      <c r="N3129" s="105"/>
      <c r="O3129" s="11"/>
      <c r="P3129" s="11"/>
      <c r="Q3129" s="105"/>
      <c r="R3129" s="105"/>
      <c r="S3129" s="105"/>
      <c r="T3129" s="105"/>
      <c r="U3129" s="105"/>
      <c r="V3129" s="105"/>
      <c r="W3129" s="105"/>
      <c r="X3129" s="11"/>
      <c r="Y3129" s="11"/>
      <c r="Z3129" s="105"/>
      <c r="AA3129" s="11"/>
      <c r="AB3129" s="11"/>
      <c r="AC3129" s="105"/>
      <c r="AD3129" s="11" t="b">
        <v>0</v>
      </c>
      <c r="AE3129" s="105"/>
      <c r="AF3129" s="11"/>
      <c r="AG3129" s="11"/>
      <c r="AH3129" s="11"/>
      <c r="AI3129" s="11"/>
    </row>
    <row r="3130" ht="12.5" spans="3:35">
      <c r="C3130" s="19"/>
      <c r="D3130" s="19"/>
      <c r="H3130" s="105"/>
      <c r="I3130" s="126"/>
      <c r="J3130" s="11"/>
      <c r="K3130" s="108"/>
      <c r="L3130" s="11"/>
      <c r="M3130" s="105"/>
      <c r="N3130" s="105"/>
      <c r="O3130" s="11"/>
      <c r="P3130" s="11"/>
      <c r="Q3130" s="105"/>
      <c r="R3130" s="105"/>
      <c r="S3130" s="105"/>
      <c r="T3130" s="105"/>
      <c r="U3130" s="105"/>
      <c r="V3130" s="105"/>
      <c r="W3130" s="105"/>
      <c r="X3130" s="11"/>
      <c r="Y3130" s="11"/>
      <c r="Z3130" s="105"/>
      <c r="AA3130" s="11"/>
      <c r="AB3130" s="11"/>
      <c r="AC3130" s="105"/>
      <c r="AD3130" s="11" t="b">
        <v>0</v>
      </c>
      <c r="AE3130" s="105"/>
      <c r="AF3130" s="11"/>
      <c r="AG3130" s="11"/>
      <c r="AH3130" s="11"/>
      <c r="AI3130" s="11"/>
    </row>
    <row r="3131" ht="12.5" spans="3:35">
      <c r="C3131" s="19"/>
      <c r="D3131" s="19"/>
      <c r="H3131" s="105"/>
      <c r="I3131" s="126"/>
      <c r="J3131" s="11"/>
      <c r="K3131" s="108"/>
      <c r="L3131" s="11"/>
      <c r="M3131" s="105"/>
      <c r="N3131" s="105"/>
      <c r="O3131" s="11"/>
      <c r="P3131" s="11"/>
      <c r="Q3131" s="105"/>
      <c r="R3131" s="105"/>
      <c r="S3131" s="105"/>
      <c r="T3131" s="105"/>
      <c r="U3131" s="105"/>
      <c r="V3131" s="105"/>
      <c r="W3131" s="105"/>
      <c r="X3131" s="11"/>
      <c r="Y3131" s="11"/>
      <c r="Z3131" s="105"/>
      <c r="AA3131" s="11"/>
      <c r="AB3131" s="11"/>
      <c r="AC3131" s="105"/>
      <c r="AD3131" s="11" t="b">
        <v>0</v>
      </c>
      <c r="AE3131" s="105"/>
      <c r="AF3131" s="11"/>
      <c r="AG3131" s="11"/>
      <c r="AH3131" s="11"/>
      <c r="AI3131" s="11"/>
    </row>
    <row r="3132" ht="12.5" spans="3:35">
      <c r="C3132" s="19"/>
      <c r="D3132" s="19"/>
      <c r="H3132" s="105"/>
      <c r="I3132" s="126"/>
      <c r="J3132" s="11"/>
      <c r="K3132" s="108"/>
      <c r="L3132" s="11"/>
      <c r="M3132" s="105"/>
      <c r="N3132" s="105"/>
      <c r="O3132" s="11"/>
      <c r="P3132" s="11"/>
      <c r="Q3132" s="105"/>
      <c r="R3132" s="105"/>
      <c r="S3132" s="105"/>
      <c r="T3132" s="105"/>
      <c r="U3132" s="105"/>
      <c r="V3132" s="105"/>
      <c r="W3132" s="105"/>
      <c r="X3132" s="11"/>
      <c r="Y3132" s="11"/>
      <c r="Z3132" s="105"/>
      <c r="AA3132" s="11"/>
      <c r="AB3132" s="11"/>
      <c r="AC3132" s="105"/>
      <c r="AD3132" s="11" t="b">
        <v>0</v>
      </c>
      <c r="AE3132" s="105"/>
      <c r="AF3132" s="11"/>
      <c r="AG3132" s="11"/>
      <c r="AH3132" s="11"/>
      <c r="AI3132" s="11"/>
    </row>
    <row r="3133" ht="12.5" spans="3:35">
      <c r="C3133" s="19"/>
      <c r="D3133" s="19"/>
      <c r="H3133" s="105"/>
      <c r="I3133" s="126"/>
      <c r="J3133" s="11"/>
      <c r="K3133" s="108"/>
      <c r="L3133" s="11"/>
      <c r="M3133" s="105"/>
      <c r="N3133" s="105"/>
      <c r="O3133" s="11"/>
      <c r="P3133" s="11"/>
      <c r="Q3133" s="105"/>
      <c r="R3133" s="105"/>
      <c r="S3133" s="105"/>
      <c r="T3133" s="105"/>
      <c r="U3133" s="105"/>
      <c r="V3133" s="105"/>
      <c r="W3133" s="105"/>
      <c r="X3133" s="11"/>
      <c r="Y3133" s="11"/>
      <c r="Z3133" s="105"/>
      <c r="AA3133" s="11"/>
      <c r="AB3133" s="11"/>
      <c r="AC3133" s="105"/>
      <c r="AD3133" s="11" t="b">
        <v>0</v>
      </c>
      <c r="AE3133" s="105"/>
      <c r="AF3133" s="11"/>
      <c r="AG3133" s="11"/>
      <c r="AH3133" s="11"/>
      <c r="AI3133" s="11"/>
    </row>
    <row r="3134" ht="12.5" spans="3:35">
      <c r="C3134" s="19"/>
      <c r="D3134" s="19"/>
      <c r="H3134" s="105"/>
      <c r="I3134" s="126"/>
      <c r="J3134" s="11"/>
      <c r="K3134" s="108"/>
      <c r="L3134" s="11"/>
      <c r="M3134" s="105"/>
      <c r="N3134" s="105"/>
      <c r="O3134" s="11"/>
      <c r="P3134" s="11"/>
      <c r="Q3134" s="105"/>
      <c r="R3134" s="105"/>
      <c r="S3134" s="105"/>
      <c r="T3134" s="105"/>
      <c r="U3134" s="105"/>
      <c r="V3134" s="105"/>
      <c r="W3134" s="105"/>
      <c r="X3134" s="11"/>
      <c r="Y3134" s="11"/>
      <c r="Z3134" s="105"/>
      <c r="AA3134" s="11"/>
      <c r="AB3134" s="11"/>
      <c r="AC3134" s="105"/>
      <c r="AD3134" s="11" t="b">
        <v>0</v>
      </c>
      <c r="AE3134" s="105"/>
      <c r="AF3134" s="11"/>
      <c r="AG3134" s="11"/>
      <c r="AH3134" s="11"/>
      <c r="AI3134" s="11"/>
    </row>
    <row r="3135" ht="12.5" spans="3:35">
      <c r="C3135" s="19"/>
      <c r="D3135" s="19"/>
      <c r="H3135" s="105"/>
      <c r="I3135" s="126"/>
      <c r="J3135" s="11"/>
      <c r="K3135" s="108"/>
      <c r="L3135" s="11"/>
      <c r="M3135" s="105"/>
      <c r="N3135" s="105"/>
      <c r="O3135" s="11"/>
      <c r="P3135" s="11"/>
      <c r="Q3135" s="105"/>
      <c r="R3135" s="105"/>
      <c r="S3135" s="105"/>
      <c r="T3135" s="105"/>
      <c r="U3135" s="105"/>
      <c r="V3135" s="105"/>
      <c r="W3135" s="105"/>
      <c r="X3135" s="11"/>
      <c r="Y3135" s="11"/>
      <c r="Z3135" s="105"/>
      <c r="AA3135" s="11"/>
      <c r="AB3135" s="11"/>
      <c r="AC3135" s="105"/>
      <c r="AD3135" s="11" t="b">
        <v>0</v>
      </c>
      <c r="AE3135" s="105"/>
      <c r="AF3135" s="11"/>
      <c r="AG3135" s="11"/>
      <c r="AH3135" s="11"/>
      <c r="AI3135" s="11"/>
    </row>
    <row r="3136" ht="12.5" spans="3:35">
      <c r="C3136" s="19"/>
      <c r="D3136" s="19"/>
      <c r="H3136" s="105"/>
      <c r="I3136" s="126"/>
      <c r="J3136" s="11"/>
      <c r="K3136" s="108"/>
      <c r="L3136" s="11"/>
      <c r="M3136" s="105"/>
      <c r="N3136" s="105"/>
      <c r="O3136" s="11"/>
      <c r="P3136" s="11"/>
      <c r="Q3136" s="105"/>
      <c r="R3136" s="105"/>
      <c r="S3136" s="105"/>
      <c r="T3136" s="105"/>
      <c r="U3136" s="105"/>
      <c r="V3136" s="105"/>
      <c r="W3136" s="105"/>
      <c r="X3136" s="11"/>
      <c r="Y3136" s="11"/>
      <c r="Z3136" s="105"/>
      <c r="AA3136" s="11"/>
      <c r="AB3136" s="11"/>
      <c r="AC3136" s="105"/>
      <c r="AD3136" s="11" t="b">
        <v>0</v>
      </c>
      <c r="AE3136" s="105"/>
      <c r="AF3136" s="11"/>
      <c r="AG3136" s="11"/>
      <c r="AH3136" s="11"/>
      <c r="AI3136" s="11"/>
    </row>
    <row r="3137" ht="12.5" spans="3:35">
      <c r="C3137" s="19"/>
      <c r="D3137" s="19"/>
      <c r="H3137" s="105"/>
      <c r="I3137" s="126"/>
      <c r="J3137" s="11"/>
      <c r="K3137" s="108"/>
      <c r="L3137" s="11"/>
      <c r="M3137" s="105"/>
      <c r="N3137" s="105"/>
      <c r="O3137" s="11"/>
      <c r="P3137" s="11"/>
      <c r="Q3137" s="105"/>
      <c r="R3137" s="105"/>
      <c r="S3137" s="105"/>
      <c r="T3137" s="105"/>
      <c r="U3137" s="105"/>
      <c r="V3137" s="105"/>
      <c r="W3137" s="105"/>
      <c r="X3137" s="11"/>
      <c r="Y3137" s="11"/>
      <c r="Z3137" s="105"/>
      <c r="AA3137" s="11"/>
      <c r="AB3137" s="11"/>
      <c r="AC3137" s="105"/>
      <c r="AD3137" s="11" t="b">
        <v>0</v>
      </c>
      <c r="AE3137" s="105"/>
      <c r="AF3137" s="11"/>
      <c r="AG3137" s="11"/>
      <c r="AH3137" s="11"/>
      <c r="AI3137" s="11"/>
    </row>
    <row r="3138" ht="12.5" spans="3:35">
      <c r="C3138" s="19"/>
      <c r="D3138" s="19"/>
      <c r="H3138" s="105"/>
      <c r="I3138" s="126"/>
      <c r="J3138" s="11"/>
      <c r="K3138" s="108"/>
      <c r="L3138" s="11"/>
      <c r="M3138" s="105"/>
      <c r="N3138" s="105"/>
      <c r="O3138" s="11"/>
      <c r="P3138" s="11"/>
      <c r="Q3138" s="105"/>
      <c r="R3138" s="105"/>
      <c r="S3138" s="105"/>
      <c r="T3138" s="105"/>
      <c r="U3138" s="105"/>
      <c r="V3138" s="105"/>
      <c r="W3138" s="105"/>
      <c r="X3138" s="11"/>
      <c r="Y3138" s="11"/>
      <c r="Z3138" s="105"/>
      <c r="AA3138" s="11"/>
      <c r="AB3138" s="11"/>
      <c r="AC3138" s="105"/>
      <c r="AD3138" s="11" t="b">
        <v>0</v>
      </c>
      <c r="AE3138" s="105"/>
      <c r="AF3138" s="11"/>
      <c r="AG3138" s="11"/>
      <c r="AH3138" s="11"/>
      <c r="AI3138" s="11"/>
    </row>
    <row r="3139" ht="12.5" spans="3:35">
      <c r="C3139" s="19"/>
      <c r="D3139" s="19"/>
      <c r="H3139" s="105"/>
      <c r="I3139" s="126"/>
      <c r="J3139" s="11"/>
      <c r="K3139" s="108"/>
      <c r="L3139" s="11"/>
      <c r="M3139" s="105"/>
      <c r="N3139" s="105"/>
      <c r="O3139" s="11"/>
      <c r="P3139" s="11"/>
      <c r="Q3139" s="105"/>
      <c r="R3139" s="105"/>
      <c r="S3139" s="105"/>
      <c r="T3139" s="105"/>
      <c r="U3139" s="105"/>
      <c r="V3139" s="105"/>
      <c r="W3139" s="105"/>
      <c r="X3139" s="11"/>
      <c r="Y3139" s="11"/>
      <c r="Z3139" s="105"/>
      <c r="AA3139" s="11"/>
      <c r="AB3139" s="11"/>
      <c r="AC3139" s="105"/>
      <c r="AD3139" s="11" t="b">
        <v>0</v>
      </c>
      <c r="AE3139" s="105"/>
      <c r="AF3139" s="11"/>
      <c r="AG3139" s="11"/>
      <c r="AH3139" s="11"/>
      <c r="AI3139" s="11"/>
    </row>
    <row r="3140" ht="12.5" spans="3:35">
      <c r="C3140" s="19"/>
      <c r="D3140" s="19"/>
      <c r="H3140" s="105"/>
      <c r="I3140" s="126"/>
      <c r="J3140" s="11"/>
      <c r="K3140" s="108"/>
      <c r="L3140" s="11"/>
      <c r="M3140" s="105"/>
      <c r="N3140" s="105"/>
      <c r="O3140" s="11"/>
      <c r="P3140" s="11"/>
      <c r="Q3140" s="105"/>
      <c r="R3140" s="105"/>
      <c r="S3140" s="105"/>
      <c r="T3140" s="105"/>
      <c r="U3140" s="105"/>
      <c r="V3140" s="105"/>
      <c r="W3140" s="105"/>
      <c r="X3140" s="11"/>
      <c r="Y3140" s="11"/>
      <c r="Z3140" s="105"/>
      <c r="AA3140" s="11"/>
      <c r="AB3140" s="11"/>
      <c r="AC3140" s="105"/>
      <c r="AD3140" s="11" t="b">
        <v>0</v>
      </c>
      <c r="AE3140" s="105"/>
      <c r="AF3140" s="11"/>
      <c r="AG3140" s="11"/>
      <c r="AH3140" s="11"/>
      <c r="AI3140" s="11"/>
    </row>
    <row r="3141" ht="12.5" spans="3:35">
      <c r="C3141" s="19"/>
      <c r="D3141" s="19"/>
      <c r="H3141" s="105"/>
      <c r="I3141" s="126"/>
      <c r="J3141" s="11"/>
      <c r="K3141" s="108"/>
      <c r="L3141" s="11"/>
      <c r="M3141" s="105"/>
      <c r="N3141" s="105"/>
      <c r="O3141" s="11"/>
      <c r="P3141" s="11"/>
      <c r="Q3141" s="105"/>
      <c r="R3141" s="105"/>
      <c r="S3141" s="105"/>
      <c r="T3141" s="105"/>
      <c r="U3141" s="105"/>
      <c r="V3141" s="105"/>
      <c r="W3141" s="105"/>
      <c r="X3141" s="11"/>
      <c r="Y3141" s="11"/>
      <c r="Z3141" s="105"/>
      <c r="AA3141" s="11"/>
      <c r="AB3141" s="11"/>
      <c r="AC3141" s="105"/>
      <c r="AD3141" s="11" t="b">
        <v>0</v>
      </c>
      <c r="AE3141" s="105"/>
      <c r="AF3141" s="11"/>
      <c r="AG3141" s="11"/>
      <c r="AH3141" s="11"/>
      <c r="AI3141" s="11"/>
    </row>
    <row r="3142" ht="12.5" spans="3:35">
      <c r="C3142" s="19"/>
      <c r="D3142" s="19"/>
      <c r="H3142" s="105"/>
      <c r="I3142" s="126"/>
      <c r="J3142" s="11"/>
      <c r="K3142" s="108"/>
      <c r="L3142" s="11"/>
      <c r="M3142" s="105"/>
      <c r="N3142" s="105"/>
      <c r="O3142" s="11"/>
      <c r="P3142" s="11"/>
      <c r="Q3142" s="105"/>
      <c r="R3142" s="105"/>
      <c r="S3142" s="105"/>
      <c r="T3142" s="105"/>
      <c r="U3142" s="105"/>
      <c r="V3142" s="105"/>
      <c r="W3142" s="105"/>
      <c r="X3142" s="11"/>
      <c r="Y3142" s="11"/>
      <c r="Z3142" s="105"/>
      <c r="AA3142" s="11"/>
      <c r="AB3142" s="11"/>
      <c r="AC3142" s="105"/>
      <c r="AD3142" s="11" t="b">
        <v>0</v>
      </c>
      <c r="AE3142" s="105"/>
      <c r="AF3142" s="11"/>
      <c r="AG3142" s="11"/>
      <c r="AH3142" s="11"/>
      <c r="AI3142" s="11"/>
    </row>
    <row r="3143" ht="12.5" spans="3:35">
      <c r="C3143" s="19"/>
      <c r="D3143" s="19"/>
      <c r="H3143" s="105"/>
      <c r="I3143" s="126"/>
      <c r="J3143" s="11"/>
      <c r="K3143" s="108"/>
      <c r="L3143" s="11"/>
      <c r="M3143" s="105"/>
      <c r="N3143" s="105"/>
      <c r="O3143" s="11"/>
      <c r="P3143" s="11"/>
      <c r="Q3143" s="105"/>
      <c r="R3143" s="105"/>
      <c r="S3143" s="105"/>
      <c r="T3143" s="105"/>
      <c r="U3143" s="105"/>
      <c r="V3143" s="105"/>
      <c r="W3143" s="105"/>
      <c r="X3143" s="11"/>
      <c r="Y3143" s="11"/>
      <c r="Z3143" s="105"/>
      <c r="AA3143" s="11"/>
      <c r="AB3143" s="11"/>
      <c r="AC3143" s="105"/>
      <c r="AD3143" s="11" t="b">
        <v>0</v>
      </c>
      <c r="AE3143" s="105"/>
      <c r="AF3143" s="11"/>
      <c r="AG3143" s="11"/>
      <c r="AH3143" s="11"/>
      <c r="AI3143" s="11"/>
    </row>
    <row r="3144" ht="12.5" spans="3:35">
      <c r="C3144" s="19"/>
      <c r="D3144" s="19"/>
      <c r="H3144" s="105"/>
      <c r="I3144" s="126"/>
      <c r="J3144" s="11"/>
      <c r="K3144" s="108"/>
      <c r="L3144" s="11"/>
      <c r="M3144" s="105"/>
      <c r="N3144" s="105"/>
      <c r="O3144" s="11"/>
      <c r="P3144" s="11"/>
      <c r="Q3144" s="105"/>
      <c r="R3144" s="105"/>
      <c r="S3144" s="105"/>
      <c r="T3144" s="105"/>
      <c r="U3144" s="105"/>
      <c r="V3144" s="105"/>
      <c r="W3144" s="105"/>
      <c r="X3144" s="11"/>
      <c r="Y3144" s="11"/>
      <c r="Z3144" s="105"/>
      <c r="AA3144" s="11"/>
      <c r="AB3144" s="11"/>
      <c r="AC3144" s="105"/>
      <c r="AD3144" s="11" t="b">
        <v>0</v>
      </c>
      <c r="AE3144" s="105"/>
      <c r="AF3144" s="11"/>
      <c r="AG3144" s="11"/>
      <c r="AH3144" s="11"/>
      <c r="AI3144" s="11"/>
    </row>
    <row r="3145" ht="12.5" spans="3:35">
      <c r="C3145" s="19"/>
      <c r="D3145" s="19"/>
      <c r="H3145" s="105"/>
      <c r="I3145" s="126"/>
      <c r="J3145" s="11"/>
      <c r="K3145" s="108"/>
      <c r="L3145" s="11"/>
      <c r="M3145" s="105"/>
      <c r="N3145" s="105"/>
      <c r="O3145" s="11"/>
      <c r="P3145" s="11"/>
      <c r="Q3145" s="105"/>
      <c r="R3145" s="105"/>
      <c r="S3145" s="105"/>
      <c r="T3145" s="105"/>
      <c r="U3145" s="105"/>
      <c r="V3145" s="105"/>
      <c r="W3145" s="105"/>
      <c r="X3145" s="11"/>
      <c r="Y3145" s="11"/>
      <c r="Z3145" s="105"/>
      <c r="AA3145" s="11"/>
      <c r="AB3145" s="11"/>
      <c r="AC3145" s="105"/>
      <c r="AD3145" s="11" t="b">
        <v>0</v>
      </c>
      <c r="AE3145" s="105"/>
      <c r="AF3145" s="11"/>
      <c r="AG3145" s="11"/>
      <c r="AH3145" s="11"/>
      <c r="AI3145" s="11"/>
    </row>
    <row r="3146" ht="12.5" spans="3:35">
      <c r="C3146" s="19"/>
      <c r="D3146" s="19"/>
      <c r="H3146" s="105"/>
      <c r="I3146" s="126"/>
      <c r="J3146" s="11"/>
      <c r="K3146" s="108"/>
      <c r="L3146" s="11"/>
      <c r="M3146" s="105"/>
      <c r="N3146" s="105"/>
      <c r="O3146" s="11"/>
      <c r="P3146" s="11"/>
      <c r="Q3146" s="105"/>
      <c r="R3146" s="105"/>
      <c r="S3146" s="105"/>
      <c r="T3146" s="105"/>
      <c r="U3146" s="105"/>
      <c r="V3146" s="105"/>
      <c r="W3146" s="105"/>
      <c r="X3146" s="11"/>
      <c r="Y3146" s="11"/>
      <c r="Z3146" s="105"/>
      <c r="AA3146" s="11"/>
      <c r="AB3146" s="11"/>
      <c r="AC3146" s="105"/>
      <c r="AD3146" s="11" t="b">
        <v>0</v>
      </c>
      <c r="AE3146" s="105"/>
      <c r="AF3146" s="11"/>
      <c r="AG3146" s="11"/>
      <c r="AH3146" s="11"/>
      <c r="AI3146" s="11"/>
    </row>
    <row r="3147" ht="12.5" spans="3:35">
      <c r="C3147" s="19"/>
      <c r="D3147" s="19"/>
      <c r="H3147" s="105"/>
      <c r="I3147" s="126"/>
      <c r="J3147" s="11"/>
      <c r="K3147" s="108"/>
      <c r="L3147" s="11"/>
      <c r="M3147" s="105"/>
      <c r="N3147" s="105"/>
      <c r="O3147" s="11"/>
      <c r="P3147" s="11"/>
      <c r="Q3147" s="105"/>
      <c r="R3147" s="105"/>
      <c r="S3147" s="105"/>
      <c r="T3147" s="105"/>
      <c r="U3147" s="105"/>
      <c r="V3147" s="105"/>
      <c r="W3147" s="105"/>
      <c r="X3147" s="11"/>
      <c r="Y3147" s="11"/>
      <c r="Z3147" s="105"/>
      <c r="AA3147" s="11"/>
      <c r="AB3147" s="11"/>
      <c r="AC3147" s="105"/>
      <c r="AD3147" s="11" t="b">
        <v>0</v>
      </c>
      <c r="AE3147" s="105"/>
      <c r="AF3147" s="11"/>
      <c r="AG3147" s="11"/>
      <c r="AH3147" s="11"/>
      <c r="AI3147" s="11"/>
    </row>
    <row r="3148" ht="12.5" spans="3:35">
      <c r="C3148" s="19"/>
      <c r="D3148" s="19"/>
      <c r="H3148" s="105"/>
      <c r="I3148" s="126"/>
      <c r="J3148" s="11"/>
      <c r="K3148" s="108"/>
      <c r="L3148" s="11"/>
      <c r="M3148" s="105"/>
      <c r="N3148" s="105"/>
      <c r="O3148" s="11"/>
      <c r="P3148" s="11"/>
      <c r="Q3148" s="105"/>
      <c r="R3148" s="105"/>
      <c r="S3148" s="105"/>
      <c r="T3148" s="105"/>
      <c r="U3148" s="105"/>
      <c r="V3148" s="105"/>
      <c r="W3148" s="105"/>
      <c r="X3148" s="11"/>
      <c r="Y3148" s="11"/>
      <c r="Z3148" s="105"/>
      <c r="AA3148" s="11"/>
      <c r="AB3148" s="11"/>
      <c r="AC3148" s="105"/>
      <c r="AD3148" s="11" t="b">
        <v>0</v>
      </c>
      <c r="AE3148" s="105"/>
      <c r="AF3148" s="11"/>
      <c r="AG3148" s="11"/>
      <c r="AH3148" s="11"/>
      <c r="AI3148" s="11"/>
    </row>
    <row r="3149" ht="12.5" spans="3:35">
      <c r="C3149" s="19"/>
      <c r="D3149" s="19"/>
      <c r="H3149" s="105"/>
      <c r="I3149" s="126"/>
      <c r="J3149" s="11"/>
      <c r="K3149" s="108"/>
      <c r="L3149" s="11"/>
      <c r="M3149" s="105"/>
      <c r="N3149" s="105"/>
      <c r="O3149" s="11"/>
      <c r="P3149" s="11"/>
      <c r="Q3149" s="105"/>
      <c r="R3149" s="105"/>
      <c r="S3149" s="105"/>
      <c r="T3149" s="105"/>
      <c r="U3149" s="105"/>
      <c r="V3149" s="105"/>
      <c r="W3149" s="105"/>
      <c r="X3149" s="11"/>
      <c r="Y3149" s="11"/>
      <c r="Z3149" s="105"/>
      <c r="AA3149" s="11"/>
      <c r="AB3149" s="11"/>
      <c r="AC3149" s="105"/>
      <c r="AD3149" s="11" t="b">
        <v>0</v>
      </c>
      <c r="AE3149" s="105"/>
      <c r="AF3149" s="11"/>
      <c r="AG3149" s="11"/>
      <c r="AH3149" s="11"/>
      <c r="AI3149" s="11"/>
    </row>
    <row r="3150" ht="12.5" spans="3:35">
      <c r="C3150" s="19"/>
      <c r="D3150" s="19"/>
      <c r="H3150" s="105"/>
      <c r="I3150" s="126"/>
      <c r="J3150" s="11"/>
      <c r="K3150" s="108"/>
      <c r="L3150" s="11"/>
      <c r="M3150" s="105"/>
      <c r="N3150" s="105"/>
      <c r="O3150" s="11"/>
      <c r="P3150" s="11"/>
      <c r="Q3150" s="105"/>
      <c r="R3150" s="105"/>
      <c r="S3150" s="105"/>
      <c r="T3150" s="105"/>
      <c r="U3150" s="105"/>
      <c r="V3150" s="105"/>
      <c r="W3150" s="105"/>
      <c r="X3150" s="11"/>
      <c r="Y3150" s="11"/>
      <c r="Z3150" s="105"/>
      <c r="AA3150" s="11"/>
      <c r="AB3150" s="11"/>
      <c r="AC3150" s="105"/>
      <c r="AD3150" s="11" t="b">
        <v>0</v>
      </c>
      <c r="AE3150" s="105"/>
      <c r="AF3150" s="11"/>
      <c r="AG3150" s="11"/>
      <c r="AH3150" s="11"/>
      <c r="AI3150" s="11"/>
    </row>
    <row r="3151" ht="12.5" spans="3:35">
      <c r="C3151" s="19"/>
      <c r="D3151" s="19"/>
      <c r="H3151" s="105"/>
      <c r="I3151" s="126"/>
      <c r="J3151" s="11"/>
      <c r="K3151" s="108"/>
      <c r="L3151" s="11"/>
      <c r="M3151" s="105"/>
      <c r="N3151" s="105"/>
      <c r="O3151" s="11"/>
      <c r="P3151" s="11"/>
      <c r="Q3151" s="105"/>
      <c r="R3151" s="105"/>
      <c r="S3151" s="105"/>
      <c r="T3151" s="105"/>
      <c r="U3151" s="105"/>
      <c r="V3151" s="105"/>
      <c r="W3151" s="105"/>
      <c r="X3151" s="11"/>
      <c r="Y3151" s="11"/>
      <c r="Z3151" s="105"/>
      <c r="AA3151" s="11"/>
      <c r="AB3151" s="11"/>
      <c r="AC3151" s="105"/>
      <c r="AD3151" s="11" t="b">
        <v>0</v>
      </c>
      <c r="AE3151" s="105"/>
      <c r="AF3151" s="11"/>
      <c r="AG3151" s="11"/>
      <c r="AH3151" s="11"/>
      <c r="AI3151" s="11"/>
    </row>
    <row r="3152" ht="12.5" spans="3:35">
      <c r="C3152" s="19"/>
      <c r="D3152" s="19"/>
      <c r="H3152" s="105"/>
      <c r="I3152" s="126"/>
      <c r="J3152" s="11"/>
      <c r="K3152" s="108"/>
      <c r="L3152" s="11"/>
      <c r="M3152" s="105"/>
      <c r="N3152" s="105"/>
      <c r="O3152" s="11"/>
      <c r="P3152" s="11"/>
      <c r="Q3152" s="105"/>
      <c r="R3152" s="105"/>
      <c r="S3152" s="105"/>
      <c r="T3152" s="105"/>
      <c r="U3152" s="105"/>
      <c r="V3152" s="105"/>
      <c r="W3152" s="105"/>
      <c r="X3152" s="11"/>
      <c r="Y3152" s="11"/>
      <c r="Z3152" s="105"/>
      <c r="AA3152" s="11"/>
      <c r="AB3152" s="11"/>
      <c r="AC3152" s="105"/>
      <c r="AD3152" s="11" t="b">
        <v>0</v>
      </c>
      <c r="AE3152" s="105"/>
      <c r="AF3152" s="11"/>
      <c r="AG3152" s="11"/>
      <c r="AH3152" s="11"/>
      <c r="AI3152" s="11"/>
    </row>
    <row r="3153" ht="12.5" spans="3:35">
      <c r="C3153" s="19"/>
      <c r="D3153" s="19"/>
      <c r="H3153" s="105"/>
      <c r="I3153" s="126"/>
      <c r="J3153" s="11"/>
      <c r="K3153" s="108"/>
      <c r="L3153" s="11"/>
      <c r="M3153" s="105"/>
      <c r="N3153" s="105"/>
      <c r="O3153" s="11"/>
      <c r="P3153" s="11"/>
      <c r="Q3153" s="105"/>
      <c r="R3153" s="105"/>
      <c r="S3153" s="105"/>
      <c r="T3153" s="105"/>
      <c r="U3153" s="105"/>
      <c r="V3153" s="105"/>
      <c r="W3153" s="105"/>
      <c r="X3153" s="11"/>
      <c r="Y3153" s="11"/>
      <c r="Z3153" s="105"/>
      <c r="AA3153" s="11"/>
      <c r="AB3153" s="11"/>
      <c r="AC3153" s="105"/>
      <c r="AD3153" s="11" t="b">
        <v>0</v>
      </c>
      <c r="AE3153" s="105"/>
      <c r="AF3153" s="11"/>
      <c r="AG3153" s="11"/>
      <c r="AH3153" s="11"/>
      <c r="AI3153" s="11"/>
    </row>
    <row r="3154" ht="12.5" spans="3:35">
      <c r="C3154" s="19"/>
      <c r="D3154" s="19"/>
      <c r="H3154" s="105"/>
      <c r="I3154" s="126"/>
      <c r="J3154" s="11"/>
      <c r="K3154" s="108"/>
      <c r="L3154" s="11"/>
      <c r="M3154" s="105"/>
      <c r="N3154" s="105"/>
      <c r="O3154" s="11"/>
      <c r="P3154" s="11"/>
      <c r="Q3154" s="105"/>
      <c r="R3154" s="105"/>
      <c r="S3154" s="105"/>
      <c r="T3154" s="105"/>
      <c r="U3154" s="105"/>
      <c r="V3154" s="105"/>
      <c r="W3154" s="105"/>
      <c r="X3154" s="11"/>
      <c r="Y3154" s="11"/>
      <c r="Z3154" s="105"/>
      <c r="AA3154" s="11"/>
      <c r="AB3154" s="11"/>
      <c r="AC3154" s="105"/>
      <c r="AD3154" s="11" t="b">
        <v>0</v>
      </c>
      <c r="AE3154" s="105"/>
      <c r="AF3154" s="11"/>
      <c r="AG3154" s="11"/>
      <c r="AH3154" s="11"/>
      <c r="AI3154" s="11"/>
    </row>
    <row r="3155" ht="12.5" spans="3:35">
      <c r="C3155" s="19"/>
      <c r="D3155" s="19"/>
      <c r="H3155" s="105"/>
      <c r="I3155" s="126"/>
      <c r="J3155" s="11"/>
      <c r="K3155" s="108"/>
      <c r="L3155" s="11"/>
      <c r="M3155" s="105"/>
      <c r="N3155" s="105"/>
      <c r="O3155" s="11"/>
      <c r="P3155" s="11"/>
      <c r="Q3155" s="105"/>
      <c r="R3155" s="105"/>
      <c r="S3155" s="105"/>
      <c r="T3155" s="105"/>
      <c r="U3155" s="105"/>
      <c r="V3155" s="105"/>
      <c r="W3155" s="105"/>
      <c r="X3155" s="11"/>
      <c r="Y3155" s="11"/>
      <c r="Z3155" s="105"/>
      <c r="AA3155" s="11"/>
      <c r="AB3155" s="11"/>
      <c r="AC3155" s="105"/>
      <c r="AD3155" s="11" t="b">
        <v>0</v>
      </c>
      <c r="AE3155" s="105"/>
      <c r="AF3155" s="11"/>
      <c r="AG3155" s="11"/>
      <c r="AH3155" s="11"/>
      <c r="AI3155" s="11"/>
    </row>
    <row r="3156" ht="12.5" spans="3:35">
      <c r="C3156" s="19"/>
      <c r="D3156" s="19"/>
      <c r="H3156" s="105"/>
      <c r="I3156" s="126"/>
      <c r="J3156" s="11"/>
      <c r="K3156" s="108"/>
      <c r="L3156" s="11"/>
      <c r="M3156" s="105"/>
      <c r="N3156" s="105"/>
      <c r="O3156" s="11"/>
      <c r="P3156" s="11"/>
      <c r="Q3156" s="105"/>
      <c r="R3156" s="105"/>
      <c r="S3156" s="105"/>
      <c r="T3156" s="105"/>
      <c r="U3156" s="105"/>
      <c r="V3156" s="105"/>
      <c r="W3156" s="105"/>
      <c r="X3156" s="11"/>
      <c r="Y3156" s="11"/>
      <c r="Z3156" s="105"/>
      <c r="AA3156" s="11"/>
      <c r="AB3156" s="11"/>
      <c r="AC3156" s="105"/>
      <c r="AD3156" s="11" t="b">
        <v>0</v>
      </c>
      <c r="AE3156" s="105"/>
      <c r="AF3156" s="11"/>
      <c r="AG3156" s="11"/>
      <c r="AH3156" s="11"/>
      <c r="AI3156" s="11"/>
    </row>
    <row r="3157" ht="12.5" spans="3:35">
      <c r="C3157" s="19"/>
      <c r="D3157" s="19"/>
      <c r="H3157" s="105"/>
      <c r="I3157" s="126"/>
      <c r="J3157" s="11"/>
      <c r="K3157" s="108"/>
      <c r="L3157" s="11"/>
      <c r="M3157" s="105"/>
      <c r="N3157" s="105"/>
      <c r="O3157" s="11"/>
      <c r="P3157" s="11"/>
      <c r="Q3157" s="105"/>
      <c r="R3157" s="105"/>
      <c r="S3157" s="105"/>
      <c r="T3157" s="105"/>
      <c r="U3157" s="105"/>
      <c r="V3157" s="105"/>
      <c r="W3157" s="105"/>
      <c r="X3157" s="11"/>
      <c r="Y3157" s="11"/>
      <c r="Z3157" s="105"/>
      <c r="AA3157" s="11"/>
      <c r="AB3157" s="11"/>
      <c r="AC3157" s="105"/>
      <c r="AD3157" s="11" t="b">
        <v>0</v>
      </c>
      <c r="AE3157" s="105"/>
      <c r="AF3157" s="11"/>
      <c r="AG3157" s="11"/>
      <c r="AH3157" s="11"/>
      <c r="AI3157" s="11"/>
    </row>
    <row r="3158" ht="12.5" spans="3:35">
      <c r="C3158" s="19"/>
      <c r="D3158" s="19"/>
      <c r="H3158" s="105"/>
      <c r="I3158" s="126"/>
      <c r="J3158" s="11"/>
      <c r="K3158" s="108"/>
      <c r="L3158" s="11"/>
      <c r="M3158" s="105"/>
      <c r="N3158" s="105"/>
      <c r="O3158" s="11"/>
      <c r="P3158" s="11"/>
      <c r="Q3158" s="105"/>
      <c r="R3158" s="105"/>
      <c r="S3158" s="105"/>
      <c r="T3158" s="105"/>
      <c r="U3158" s="105"/>
      <c r="V3158" s="105"/>
      <c r="W3158" s="105"/>
      <c r="X3158" s="11"/>
      <c r="Y3158" s="11"/>
      <c r="Z3158" s="105"/>
      <c r="AA3158" s="11"/>
      <c r="AB3158" s="11"/>
      <c r="AC3158" s="105"/>
      <c r="AD3158" s="11" t="b">
        <v>0</v>
      </c>
      <c r="AE3158" s="105"/>
      <c r="AF3158" s="11"/>
      <c r="AG3158" s="11"/>
      <c r="AH3158" s="11"/>
      <c r="AI3158" s="11"/>
    </row>
    <row r="3159" ht="12.5" spans="3:35">
      <c r="C3159" s="19"/>
      <c r="D3159" s="19"/>
      <c r="H3159" s="105"/>
      <c r="I3159" s="126"/>
      <c r="J3159" s="11"/>
      <c r="K3159" s="108"/>
      <c r="L3159" s="11"/>
      <c r="M3159" s="105"/>
      <c r="N3159" s="105"/>
      <c r="O3159" s="11"/>
      <c r="P3159" s="11"/>
      <c r="Q3159" s="105"/>
      <c r="R3159" s="105"/>
      <c r="S3159" s="105"/>
      <c r="T3159" s="105"/>
      <c r="U3159" s="105"/>
      <c r="V3159" s="105"/>
      <c r="W3159" s="105"/>
      <c r="X3159" s="11"/>
      <c r="Y3159" s="11"/>
      <c r="Z3159" s="105"/>
      <c r="AA3159" s="11"/>
      <c r="AB3159" s="11"/>
      <c r="AC3159" s="105"/>
      <c r="AD3159" s="11" t="b">
        <v>0</v>
      </c>
      <c r="AE3159" s="105"/>
      <c r="AF3159" s="11"/>
      <c r="AG3159" s="11"/>
      <c r="AH3159" s="11"/>
      <c r="AI3159" s="11"/>
    </row>
    <row r="3160" ht="12.5" spans="3:35">
      <c r="C3160" s="19"/>
      <c r="D3160" s="19"/>
      <c r="H3160" s="105"/>
      <c r="I3160" s="126"/>
      <c r="J3160" s="11"/>
      <c r="K3160" s="108"/>
      <c r="L3160" s="11"/>
      <c r="M3160" s="105"/>
      <c r="N3160" s="105"/>
      <c r="O3160" s="11"/>
      <c r="P3160" s="11"/>
      <c r="Q3160" s="105"/>
      <c r="R3160" s="105"/>
      <c r="S3160" s="105"/>
      <c r="T3160" s="105"/>
      <c r="U3160" s="105"/>
      <c r="V3160" s="105"/>
      <c r="W3160" s="105"/>
      <c r="X3160" s="11"/>
      <c r="Y3160" s="11"/>
      <c r="Z3160" s="105"/>
      <c r="AA3160" s="11"/>
      <c r="AB3160" s="11"/>
      <c r="AC3160" s="105"/>
      <c r="AD3160" s="11" t="b">
        <v>0</v>
      </c>
      <c r="AE3160" s="105"/>
      <c r="AF3160" s="11"/>
      <c r="AG3160" s="11"/>
      <c r="AH3160" s="11"/>
      <c r="AI3160" s="11"/>
    </row>
    <row r="3161" ht="12.5" spans="3:35">
      <c r="C3161" s="19"/>
      <c r="D3161" s="19"/>
      <c r="H3161" s="105"/>
      <c r="I3161" s="126"/>
      <c r="J3161" s="11"/>
      <c r="K3161" s="108"/>
      <c r="L3161" s="11"/>
      <c r="M3161" s="105"/>
      <c r="N3161" s="105"/>
      <c r="O3161" s="11"/>
      <c r="P3161" s="11"/>
      <c r="Q3161" s="105"/>
      <c r="R3161" s="105"/>
      <c r="S3161" s="105"/>
      <c r="T3161" s="105"/>
      <c r="U3161" s="105"/>
      <c r="V3161" s="105"/>
      <c r="W3161" s="105"/>
      <c r="X3161" s="11"/>
      <c r="Y3161" s="11"/>
      <c r="Z3161" s="105"/>
      <c r="AA3161" s="11"/>
      <c r="AB3161" s="11"/>
      <c r="AC3161" s="105"/>
      <c r="AD3161" s="11" t="b">
        <v>0</v>
      </c>
      <c r="AE3161" s="105"/>
      <c r="AF3161" s="11"/>
      <c r="AG3161" s="11"/>
      <c r="AH3161" s="11"/>
      <c r="AI3161" s="11"/>
    </row>
    <row r="3162" ht="12.5" spans="3:35">
      <c r="C3162" s="19"/>
      <c r="D3162" s="19"/>
      <c r="H3162" s="105"/>
      <c r="I3162" s="126"/>
      <c r="J3162" s="11"/>
      <c r="K3162" s="108"/>
      <c r="L3162" s="11"/>
      <c r="M3162" s="105"/>
      <c r="N3162" s="105"/>
      <c r="O3162" s="11"/>
      <c r="P3162" s="11"/>
      <c r="Q3162" s="105"/>
      <c r="R3162" s="105"/>
      <c r="S3162" s="105"/>
      <c r="T3162" s="105"/>
      <c r="U3162" s="105"/>
      <c r="V3162" s="105"/>
      <c r="W3162" s="105"/>
      <c r="X3162" s="11"/>
      <c r="Y3162" s="11"/>
      <c r="Z3162" s="105"/>
      <c r="AA3162" s="11"/>
      <c r="AB3162" s="11"/>
      <c r="AC3162" s="105"/>
      <c r="AD3162" s="11" t="b">
        <v>0</v>
      </c>
      <c r="AE3162" s="105"/>
      <c r="AF3162" s="11"/>
      <c r="AG3162" s="11"/>
      <c r="AH3162" s="11"/>
      <c r="AI3162" s="11"/>
    </row>
    <row r="3163" ht="12.5" spans="3:35">
      <c r="C3163" s="19"/>
      <c r="D3163" s="19"/>
      <c r="H3163" s="105"/>
      <c r="I3163" s="126"/>
      <c r="J3163" s="11"/>
      <c r="K3163" s="108"/>
      <c r="L3163" s="11"/>
      <c r="M3163" s="105"/>
      <c r="N3163" s="105"/>
      <c r="O3163" s="11"/>
      <c r="P3163" s="11"/>
      <c r="Q3163" s="105"/>
      <c r="R3163" s="105"/>
      <c r="S3163" s="105"/>
      <c r="T3163" s="105"/>
      <c r="U3163" s="105"/>
      <c r="V3163" s="105"/>
      <c r="W3163" s="105"/>
      <c r="X3163" s="11"/>
      <c r="Y3163" s="11"/>
      <c r="Z3163" s="105"/>
      <c r="AA3163" s="11"/>
      <c r="AB3163" s="11"/>
      <c r="AC3163" s="105"/>
      <c r="AD3163" s="11" t="b">
        <v>0</v>
      </c>
      <c r="AE3163" s="105"/>
      <c r="AF3163" s="11"/>
      <c r="AG3163" s="11"/>
      <c r="AH3163" s="11"/>
      <c r="AI3163" s="11"/>
    </row>
    <row r="3164" ht="12.5" spans="3:35">
      <c r="C3164" s="19"/>
      <c r="D3164" s="19"/>
      <c r="H3164" s="105"/>
      <c r="I3164" s="126"/>
      <c r="J3164" s="11"/>
      <c r="K3164" s="108"/>
      <c r="L3164" s="11"/>
      <c r="M3164" s="105"/>
      <c r="N3164" s="105"/>
      <c r="O3164" s="11"/>
      <c r="P3164" s="11"/>
      <c r="Q3164" s="105"/>
      <c r="R3164" s="105"/>
      <c r="S3164" s="105"/>
      <c r="T3164" s="105"/>
      <c r="U3164" s="105"/>
      <c r="V3164" s="105"/>
      <c r="W3164" s="105"/>
      <c r="X3164" s="11"/>
      <c r="Y3164" s="11"/>
      <c r="Z3164" s="105"/>
      <c r="AA3164" s="11"/>
      <c r="AB3164" s="11"/>
      <c r="AC3164" s="105"/>
      <c r="AD3164" s="11" t="b">
        <v>0</v>
      </c>
      <c r="AE3164" s="105"/>
      <c r="AF3164" s="11"/>
      <c r="AG3164" s="11"/>
      <c r="AH3164" s="11"/>
      <c r="AI3164" s="11"/>
    </row>
    <row r="3165" ht="12.5" spans="3:35">
      <c r="C3165" s="19"/>
      <c r="D3165" s="19"/>
      <c r="H3165" s="105"/>
      <c r="I3165" s="126"/>
      <c r="J3165" s="11"/>
      <c r="K3165" s="108"/>
      <c r="L3165" s="11"/>
      <c r="M3165" s="105"/>
      <c r="N3165" s="105"/>
      <c r="O3165" s="11"/>
      <c r="P3165" s="11"/>
      <c r="Q3165" s="105"/>
      <c r="R3165" s="105"/>
      <c r="S3165" s="105"/>
      <c r="T3165" s="105"/>
      <c r="U3165" s="105"/>
      <c r="V3165" s="105"/>
      <c r="W3165" s="105"/>
      <c r="X3165" s="11"/>
      <c r="Y3165" s="11"/>
      <c r="Z3165" s="105"/>
      <c r="AA3165" s="11"/>
      <c r="AB3165" s="11"/>
      <c r="AC3165" s="105"/>
      <c r="AD3165" s="11" t="b">
        <v>0</v>
      </c>
      <c r="AE3165" s="105"/>
      <c r="AF3165" s="11"/>
      <c r="AG3165" s="11"/>
      <c r="AH3165" s="11"/>
      <c r="AI3165" s="11"/>
    </row>
    <row r="3166" ht="12.5" spans="3:35">
      <c r="C3166" s="19"/>
      <c r="D3166" s="19"/>
      <c r="H3166" s="105"/>
      <c r="I3166" s="126"/>
      <c r="J3166" s="11"/>
      <c r="K3166" s="108"/>
      <c r="L3166" s="11"/>
      <c r="M3166" s="105"/>
      <c r="N3166" s="105"/>
      <c r="O3166" s="11"/>
      <c r="P3166" s="11"/>
      <c r="Q3166" s="105"/>
      <c r="R3166" s="105"/>
      <c r="S3166" s="105"/>
      <c r="T3166" s="105"/>
      <c r="U3166" s="105"/>
      <c r="V3166" s="105"/>
      <c r="W3166" s="105"/>
      <c r="X3166" s="11"/>
      <c r="Y3166" s="11"/>
      <c r="Z3166" s="105"/>
      <c r="AA3166" s="11"/>
      <c r="AB3166" s="11"/>
      <c r="AC3166" s="105"/>
      <c r="AD3166" s="11" t="b">
        <v>0</v>
      </c>
      <c r="AE3166" s="105"/>
      <c r="AF3166" s="11"/>
      <c r="AG3166" s="11"/>
      <c r="AH3166" s="11"/>
      <c r="AI3166" s="11"/>
    </row>
    <row r="3167" ht="12.5" spans="3:35">
      <c r="C3167" s="19"/>
      <c r="D3167" s="19"/>
      <c r="H3167" s="105"/>
      <c r="I3167" s="126"/>
      <c r="J3167" s="11"/>
      <c r="K3167" s="108"/>
      <c r="L3167" s="11"/>
      <c r="M3167" s="105"/>
      <c r="N3167" s="105"/>
      <c r="O3167" s="11"/>
      <c r="P3167" s="11"/>
      <c r="Q3167" s="105"/>
      <c r="R3167" s="105"/>
      <c r="S3167" s="105"/>
      <c r="T3167" s="105"/>
      <c r="U3167" s="105"/>
      <c r="V3167" s="105"/>
      <c r="W3167" s="105"/>
      <c r="X3167" s="11"/>
      <c r="Y3167" s="11"/>
      <c r="Z3167" s="105"/>
      <c r="AA3167" s="11"/>
      <c r="AB3167" s="11"/>
      <c r="AC3167" s="105"/>
      <c r="AD3167" s="11" t="b">
        <v>0</v>
      </c>
      <c r="AE3167" s="105"/>
      <c r="AF3167" s="11"/>
      <c r="AG3167" s="11"/>
      <c r="AH3167" s="11"/>
      <c r="AI3167" s="11"/>
    </row>
    <row r="3168" ht="12.5" spans="3:35">
      <c r="C3168" s="19"/>
      <c r="D3168" s="19"/>
      <c r="H3168" s="105"/>
      <c r="I3168" s="126"/>
      <c r="J3168" s="11"/>
      <c r="K3168" s="108"/>
      <c r="L3168" s="11"/>
      <c r="M3168" s="105"/>
      <c r="N3168" s="105"/>
      <c r="O3168" s="11"/>
      <c r="P3168" s="11"/>
      <c r="Q3168" s="105"/>
      <c r="R3168" s="105"/>
      <c r="S3168" s="105"/>
      <c r="T3168" s="105"/>
      <c r="U3168" s="105"/>
      <c r="V3168" s="105"/>
      <c r="W3168" s="105"/>
      <c r="X3168" s="11"/>
      <c r="Y3168" s="11"/>
      <c r="Z3168" s="105"/>
      <c r="AA3168" s="11"/>
      <c r="AB3168" s="11"/>
      <c r="AC3168" s="105"/>
      <c r="AD3168" s="11" t="b">
        <v>0</v>
      </c>
      <c r="AE3168" s="105"/>
      <c r="AF3168" s="11"/>
      <c r="AG3168" s="11"/>
      <c r="AH3168" s="11"/>
      <c r="AI3168" s="11"/>
    </row>
    <row r="3169" ht="12.5" spans="3:35">
      <c r="C3169" s="19"/>
      <c r="D3169" s="19"/>
      <c r="H3169" s="105"/>
      <c r="I3169" s="126"/>
      <c r="J3169" s="11"/>
      <c r="K3169" s="108"/>
      <c r="L3169" s="11"/>
      <c r="M3169" s="105"/>
      <c r="N3169" s="105"/>
      <c r="O3169" s="11"/>
      <c r="P3169" s="11"/>
      <c r="Q3169" s="105"/>
      <c r="R3169" s="105"/>
      <c r="S3169" s="105"/>
      <c r="T3169" s="105"/>
      <c r="U3169" s="105"/>
      <c r="V3169" s="105"/>
      <c r="W3169" s="105"/>
      <c r="X3169" s="11"/>
      <c r="Y3169" s="11"/>
      <c r="Z3169" s="105"/>
      <c r="AA3169" s="11"/>
      <c r="AB3169" s="11"/>
      <c r="AC3169" s="105"/>
      <c r="AD3169" s="11" t="b">
        <v>0</v>
      </c>
      <c r="AE3169" s="105"/>
      <c r="AF3169" s="11"/>
      <c r="AG3169" s="11"/>
      <c r="AH3169" s="11"/>
      <c r="AI3169" s="11"/>
    </row>
    <row r="3170" ht="12.5" spans="3:35">
      <c r="C3170" s="19"/>
      <c r="D3170" s="19"/>
      <c r="H3170" s="105"/>
      <c r="I3170" s="126"/>
      <c r="J3170" s="11"/>
      <c r="K3170" s="108"/>
      <c r="L3170" s="11"/>
      <c r="M3170" s="105"/>
      <c r="N3170" s="105"/>
      <c r="O3170" s="11"/>
      <c r="P3170" s="11"/>
      <c r="Q3170" s="105"/>
      <c r="R3170" s="105"/>
      <c r="S3170" s="105"/>
      <c r="T3170" s="105"/>
      <c r="U3170" s="105"/>
      <c r="V3170" s="105"/>
      <c r="W3170" s="105"/>
      <c r="X3170" s="11"/>
      <c r="Y3170" s="11"/>
      <c r="Z3170" s="105"/>
      <c r="AA3170" s="11"/>
      <c r="AB3170" s="11"/>
      <c r="AC3170" s="105"/>
      <c r="AD3170" s="11" t="b">
        <v>0</v>
      </c>
      <c r="AE3170" s="105"/>
      <c r="AF3170" s="11"/>
      <c r="AG3170" s="11"/>
      <c r="AH3170" s="11"/>
      <c r="AI3170" s="11"/>
    </row>
    <row r="3171" ht="12.5" spans="3:35">
      <c r="C3171" s="19"/>
      <c r="D3171" s="19"/>
      <c r="H3171" s="105"/>
      <c r="I3171" s="126"/>
      <c r="J3171" s="11"/>
      <c r="K3171" s="108"/>
      <c r="L3171" s="11"/>
      <c r="M3171" s="105"/>
      <c r="N3171" s="105"/>
      <c r="O3171" s="11"/>
      <c r="P3171" s="11"/>
      <c r="Q3171" s="105"/>
      <c r="R3171" s="105"/>
      <c r="S3171" s="105"/>
      <c r="T3171" s="105"/>
      <c r="U3171" s="105"/>
      <c r="V3171" s="105"/>
      <c r="W3171" s="105"/>
      <c r="X3171" s="11"/>
      <c r="Y3171" s="11"/>
      <c r="Z3171" s="105"/>
      <c r="AA3171" s="11"/>
      <c r="AB3171" s="11"/>
      <c r="AC3171" s="105"/>
      <c r="AD3171" s="11" t="b">
        <v>0</v>
      </c>
      <c r="AE3171" s="105"/>
      <c r="AF3171" s="11"/>
      <c r="AG3171" s="11"/>
      <c r="AH3171" s="11"/>
      <c r="AI3171" s="11"/>
    </row>
    <row r="3172" ht="12.5" spans="3:35">
      <c r="C3172" s="19"/>
      <c r="D3172" s="19"/>
      <c r="H3172" s="105"/>
      <c r="I3172" s="126"/>
      <c r="J3172" s="11"/>
      <c r="K3172" s="108"/>
      <c r="L3172" s="11"/>
      <c r="M3172" s="105"/>
      <c r="N3172" s="105"/>
      <c r="O3172" s="11"/>
      <c r="P3172" s="11"/>
      <c r="Q3172" s="105"/>
      <c r="R3172" s="105"/>
      <c r="S3172" s="105"/>
      <c r="T3172" s="105"/>
      <c r="U3172" s="105"/>
      <c r="V3172" s="105"/>
      <c r="W3172" s="105"/>
      <c r="X3172" s="11"/>
      <c r="Y3172" s="11"/>
      <c r="Z3172" s="105"/>
      <c r="AA3172" s="11"/>
      <c r="AB3172" s="11"/>
      <c r="AC3172" s="105"/>
      <c r="AD3172" s="11" t="b">
        <v>0</v>
      </c>
      <c r="AE3172" s="105"/>
      <c r="AF3172" s="11"/>
      <c r="AG3172" s="11"/>
      <c r="AH3172" s="11"/>
      <c r="AI3172" s="11"/>
    </row>
    <row r="3173" ht="12.5" spans="3:35">
      <c r="C3173" s="19"/>
      <c r="D3173" s="19"/>
      <c r="H3173" s="105"/>
      <c r="I3173" s="126"/>
      <c r="J3173" s="11"/>
      <c r="K3173" s="108"/>
      <c r="L3173" s="11"/>
      <c r="M3173" s="105"/>
      <c r="N3173" s="105"/>
      <c r="O3173" s="11"/>
      <c r="P3173" s="11"/>
      <c r="Q3173" s="105"/>
      <c r="R3173" s="105"/>
      <c r="S3173" s="105"/>
      <c r="T3173" s="105"/>
      <c r="U3173" s="105"/>
      <c r="V3173" s="105"/>
      <c r="W3173" s="105"/>
      <c r="X3173" s="11"/>
      <c r="Y3173" s="11"/>
      <c r="Z3173" s="105"/>
      <c r="AA3173" s="11"/>
      <c r="AB3173" s="11"/>
      <c r="AC3173" s="105"/>
      <c r="AD3173" s="11" t="b">
        <v>0</v>
      </c>
      <c r="AE3173" s="105"/>
      <c r="AF3173" s="11"/>
      <c r="AG3173" s="11"/>
      <c r="AH3173" s="11"/>
      <c r="AI3173" s="11"/>
    </row>
    <row r="3174" ht="12.5" spans="3:35">
      <c r="C3174" s="19"/>
      <c r="D3174" s="19"/>
      <c r="H3174" s="105"/>
      <c r="I3174" s="126"/>
      <c r="J3174" s="11"/>
      <c r="K3174" s="108"/>
      <c r="L3174" s="11"/>
      <c r="M3174" s="105"/>
      <c r="N3174" s="105"/>
      <c r="O3174" s="11"/>
      <c r="P3174" s="11"/>
      <c r="Q3174" s="105"/>
      <c r="R3174" s="105"/>
      <c r="S3174" s="105"/>
      <c r="T3174" s="105"/>
      <c r="U3174" s="105"/>
      <c r="V3174" s="105"/>
      <c r="W3174" s="105"/>
      <c r="X3174" s="11"/>
      <c r="Y3174" s="11"/>
      <c r="Z3174" s="105"/>
      <c r="AA3174" s="11"/>
      <c r="AB3174" s="11"/>
      <c r="AC3174" s="105"/>
      <c r="AD3174" s="11" t="b">
        <v>0</v>
      </c>
      <c r="AE3174" s="105"/>
      <c r="AF3174" s="11"/>
      <c r="AG3174" s="11"/>
      <c r="AH3174" s="11"/>
      <c r="AI3174" s="11"/>
    </row>
    <row r="3175" ht="12.5" spans="3:35">
      <c r="C3175" s="19"/>
      <c r="D3175" s="19"/>
      <c r="H3175" s="105"/>
      <c r="I3175" s="126"/>
      <c r="J3175" s="11"/>
      <c r="K3175" s="108"/>
      <c r="L3175" s="11"/>
      <c r="M3175" s="105"/>
      <c r="N3175" s="105"/>
      <c r="O3175" s="11"/>
      <c r="P3175" s="11"/>
      <c r="Q3175" s="105"/>
      <c r="R3175" s="105"/>
      <c r="S3175" s="105"/>
      <c r="T3175" s="105"/>
      <c r="U3175" s="105"/>
      <c r="V3175" s="105"/>
      <c r="W3175" s="105"/>
      <c r="X3175" s="11"/>
      <c r="Y3175" s="11"/>
      <c r="Z3175" s="105"/>
      <c r="AA3175" s="11"/>
      <c r="AB3175" s="11"/>
      <c r="AC3175" s="105"/>
      <c r="AD3175" s="11" t="b">
        <v>0</v>
      </c>
      <c r="AE3175" s="105"/>
      <c r="AF3175" s="11"/>
      <c r="AG3175" s="11"/>
      <c r="AH3175" s="11"/>
      <c r="AI3175" s="11"/>
    </row>
    <row r="3176" ht="12.5" spans="3:35">
      <c r="C3176" s="19"/>
      <c r="D3176" s="19"/>
      <c r="H3176" s="105"/>
      <c r="I3176" s="126"/>
      <c r="J3176" s="11"/>
      <c r="K3176" s="108"/>
      <c r="L3176" s="11"/>
      <c r="M3176" s="105"/>
      <c r="N3176" s="105"/>
      <c r="O3176" s="11"/>
      <c r="P3176" s="11"/>
      <c r="Q3176" s="105"/>
      <c r="R3176" s="105"/>
      <c r="S3176" s="105"/>
      <c r="T3176" s="105"/>
      <c r="U3176" s="105"/>
      <c r="V3176" s="105"/>
      <c r="W3176" s="105"/>
      <c r="X3176" s="11"/>
      <c r="Y3176" s="11"/>
      <c r="Z3176" s="105"/>
      <c r="AA3176" s="11"/>
      <c r="AB3176" s="11"/>
      <c r="AC3176" s="105"/>
      <c r="AD3176" s="11" t="b">
        <v>0</v>
      </c>
      <c r="AE3176" s="105"/>
      <c r="AF3176" s="11"/>
      <c r="AG3176" s="11"/>
      <c r="AH3176" s="11"/>
      <c r="AI3176" s="11"/>
    </row>
    <row r="3177" ht="12.5" spans="3:35">
      <c r="C3177" s="19"/>
      <c r="D3177" s="19"/>
      <c r="H3177" s="105"/>
      <c r="I3177" s="126"/>
      <c r="J3177" s="11"/>
      <c r="K3177" s="108"/>
      <c r="L3177" s="11"/>
      <c r="M3177" s="105"/>
      <c r="N3177" s="105"/>
      <c r="O3177" s="11"/>
      <c r="P3177" s="11"/>
      <c r="Q3177" s="105"/>
      <c r="R3177" s="105"/>
      <c r="S3177" s="105"/>
      <c r="T3177" s="105"/>
      <c r="U3177" s="105"/>
      <c r="V3177" s="105"/>
      <c r="W3177" s="105"/>
      <c r="X3177" s="11"/>
      <c r="Y3177" s="11"/>
      <c r="Z3177" s="105"/>
      <c r="AA3177" s="11"/>
      <c r="AB3177" s="11"/>
      <c r="AC3177" s="105"/>
      <c r="AD3177" s="11" t="b">
        <v>0</v>
      </c>
      <c r="AE3177" s="105"/>
      <c r="AF3177" s="11"/>
      <c r="AG3177" s="11"/>
      <c r="AH3177" s="11"/>
      <c r="AI3177" s="11"/>
    </row>
    <row r="3178" ht="12.5" spans="3:35">
      <c r="C3178" s="19"/>
      <c r="D3178" s="19"/>
      <c r="H3178" s="105"/>
      <c r="I3178" s="126"/>
      <c r="J3178" s="11"/>
      <c r="K3178" s="108"/>
      <c r="L3178" s="11"/>
      <c r="M3178" s="105"/>
      <c r="N3178" s="105"/>
      <c r="O3178" s="11"/>
      <c r="P3178" s="11"/>
      <c r="Q3178" s="105"/>
      <c r="R3178" s="105"/>
      <c r="S3178" s="105"/>
      <c r="T3178" s="105"/>
      <c r="U3178" s="105"/>
      <c r="V3178" s="105"/>
      <c r="W3178" s="105"/>
      <c r="X3178" s="11"/>
      <c r="Y3178" s="11"/>
      <c r="Z3178" s="105"/>
      <c r="AA3178" s="11"/>
      <c r="AB3178" s="11"/>
      <c r="AC3178" s="105"/>
      <c r="AD3178" s="11" t="b">
        <v>0</v>
      </c>
      <c r="AE3178" s="105"/>
      <c r="AF3178" s="11"/>
      <c r="AG3178" s="11"/>
      <c r="AH3178" s="11"/>
      <c r="AI3178" s="11"/>
    </row>
    <row r="3179" ht="12.5" spans="3:35">
      <c r="C3179" s="19"/>
      <c r="D3179" s="19"/>
      <c r="H3179" s="105"/>
      <c r="I3179" s="126"/>
      <c r="J3179" s="11"/>
      <c r="K3179" s="108"/>
      <c r="L3179" s="11"/>
      <c r="M3179" s="105"/>
      <c r="N3179" s="105"/>
      <c r="O3179" s="11"/>
      <c r="P3179" s="11"/>
      <c r="Q3179" s="105"/>
      <c r="R3179" s="105"/>
      <c r="S3179" s="105"/>
      <c r="T3179" s="105"/>
      <c r="U3179" s="105"/>
      <c r="V3179" s="105"/>
      <c r="W3179" s="105"/>
      <c r="X3179" s="11"/>
      <c r="Y3179" s="11"/>
      <c r="Z3179" s="105"/>
      <c r="AA3179" s="11"/>
      <c r="AB3179" s="11"/>
      <c r="AC3179" s="105"/>
      <c r="AD3179" s="11" t="b">
        <v>0</v>
      </c>
      <c r="AE3179" s="105"/>
      <c r="AF3179" s="11"/>
      <c r="AG3179" s="11"/>
      <c r="AH3179" s="11"/>
      <c r="AI3179" s="11"/>
    </row>
    <row r="3180" ht="12.5" spans="3:35">
      <c r="C3180" s="19"/>
      <c r="D3180" s="19"/>
      <c r="H3180" s="105"/>
      <c r="I3180" s="126"/>
      <c r="J3180" s="11"/>
      <c r="K3180" s="108"/>
      <c r="L3180" s="11"/>
      <c r="M3180" s="105"/>
      <c r="N3180" s="105"/>
      <c r="O3180" s="11"/>
      <c r="P3180" s="11"/>
      <c r="Q3180" s="105"/>
      <c r="R3180" s="105"/>
      <c r="S3180" s="105"/>
      <c r="T3180" s="105"/>
      <c r="U3180" s="105"/>
      <c r="V3180" s="105"/>
      <c r="W3180" s="105"/>
      <c r="X3180" s="11"/>
      <c r="Y3180" s="11"/>
      <c r="Z3180" s="105"/>
      <c r="AA3180" s="11"/>
      <c r="AB3180" s="11"/>
      <c r="AC3180" s="105"/>
      <c r="AD3180" s="11" t="b">
        <v>0</v>
      </c>
      <c r="AE3180" s="105"/>
      <c r="AF3180" s="11"/>
      <c r="AG3180" s="11"/>
      <c r="AH3180" s="11"/>
      <c r="AI3180" s="11"/>
    </row>
    <row r="3181" ht="12.5" spans="3:35">
      <c r="C3181" s="19"/>
      <c r="D3181" s="19"/>
      <c r="H3181" s="105"/>
      <c r="I3181" s="126"/>
      <c r="J3181" s="11"/>
      <c r="K3181" s="108"/>
      <c r="L3181" s="11"/>
      <c r="M3181" s="105"/>
      <c r="N3181" s="105"/>
      <c r="O3181" s="11"/>
      <c r="P3181" s="11"/>
      <c r="Q3181" s="105"/>
      <c r="R3181" s="105"/>
      <c r="S3181" s="105"/>
      <c r="T3181" s="105"/>
      <c r="U3181" s="105"/>
      <c r="V3181" s="105"/>
      <c r="W3181" s="105"/>
      <c r="X3181" s="11"/>
      <c r="Y3181" s="11"/>
      <c r="Z3181" s="105"/>
      <c r="AA3181" s="11"/>
      <c r="AB3181" s="11"/>
      <c r="AC3181" s="105"/>
      <c r="AD3181" s="11" t="b">
        <v>0</v>
      </c>
      <c r="AE3181" s="105"/>
      <c r="AF3181" s="11"/>
      <c r="AG3181" s="11"/>
      <c r="AH3181" s="11"/>
      <c r="AI3181" s="11"/>
    </row>
    <row r="3182" ht="12.5" spans="3:35">
      <c r="C3182" s="19"/>
      <c r="D3182" s="19"/>
      <c r="H3182" s="105"/>
      <c r="I3182" s="126"/>
      <c r="J3182" s="11"/>
      <c r="K3182" s="108"/>
      <c r="L3182" s="11"/>
      <c r="M3182" s="105"/>
      <c r="N3182" s="105"/>
      <c r="O3182" s="11"/>
      <c r="P3182" s="11"/>
      <c r="Q3182" s="105"/>
      <c r="R3182" s="105"/>
      <c r="S3182" s="105"/>
      <c r="T3182" s="105"/>
      <c r="U3182" s="105"/>
      <c r="V3182" s="105"/>
      <c r="W3182" s="105"/>
      <c r="X3182" s="11"/>
      <c r="Y3182" s="11"/>
      <c r="Z3182" s="105"/>
      <c r="AA3182" s="11"/>
      <c r="AB3182" s="11"/>
      <c r="AC3182" s="105"/>
      <c r="AD3182" s="11" t="b">
        <v>0</v>
      </c>
      <c r="AE3182" s="105"/>
      <c r="AF3182" s="11"/>
      <c r="AG3182" s="11"/>
      <c r="AH3182" s="11"/>
      <c r="AI3182" s="11"/>
    </row>
    <row r="3183" ht="12.5" spans="3:35">
      <c r="C3183" s="19"/>
      <c r="D3183" s="19"/>
      <c r="H3183" s="105"/>
      <c r="I3183" s="126"/>
      <c r="J3183" s="11"/>
      <c r="K3183" s="108"/>
      <c r="L3183" s="11"/>
      <c r="M3183" s="105"/>
      <c r="N3183" s="105"/>
      <c r="O3183" s="11"/>
      <c r="P3183" s="11"/>
      <c r="Q3183" s="105"/>
      <c r="R3183" s="105"/>
      <c r="S3183" s="105"/>
      <c r="T3183" s="105"/>
      <c r="U3183" s="105"/>
      <c r="V3183" s="105"/>
      <c r="W3183" s="105"/>
      <c r="X3183" s="11"/>
      <c r="Y3183" s="11"/>
      <c r="Z3183" s="105"/>
      <c r="AA3183" s="11"/>
      <c r="AB3183" s="11"/>
      <c r="AC3183" s="105"/>
      <c r="AD3183" s="11" t="b">
        <v>0</v>
      </c>
      <c r="AE3183" s="105"/>
      <c r="AF3183" s="11"/>
      <c r="AG3183" s="11"/>
      <c r="AH3183" s="11"/>
      <c r="AI3183" s="11"/>
    </row>
    <row r="3184" ht="12.5" spans="3:35">
      <c r="C3184" s="19"/>
      <c r="D3184" s="19"/>
      <c r="H3184" s="105"/>
      <c r="I3184" s="126"/>
      <c r="J3184" s="11"/>
      <c r="K3184" s="108"/>
      <c r="L3184" s="11"/>
      <c r="M3184" s="105"/>
      <c r="N3184" s="105"/>
      <c r="O3184" s="11"/>
      <c r="P3184" s="11"/>
      <c r="Q3184" s="105"/>
      <c r="R3184" s="105"/>
      <c r="S3184" s="105"/>
      <c r="T3184" s="105"/>
      <c r="U3184" s="105"/>
      <c r="V3184" s="105"/>
      <c r="W3184" s="105"/>
      <c r="X3184" s="11"/>
      <c r="Y3184" s="11"/>
      <c r="Z3184" s="105"/>
      <c r="AA3184" s="11"/>
      <c r="AB3184" s="11"/>
      <c r="AC3184" s="105"/>
      <c r="AD3184" s="11" t="b">
        <v>0</v>
      </c>
      <c r="AE3184" s="105"/>
      <c r="AF3184" s="11"/>
      <c r="AG3184" s="11"/>
      <c r="AH3184" s="11"/>
      <c r="AI3184" s="11"/>
    </row>
    <row r="3185" ht="12.5" spans="3:35">
      <c r="C3185" s="19"/>
      <c r="D3185" s="19"/>
      <c r="H3185" s="105"/>
      <c r="I3185" s="126"/>
      <c r="J3185" s="11"/>
      <c r="K3185" s="108"/>
      <c r="L3185" s="11"/>
      <c r="M3185" s="105"/>
      <c r="N3185" s="105"/>
      <c r="O3185" s="11"/>
      <c r="P3185" s="11"/>
      <c r="Q3185" s="105"/>
      <c r="R3185" s="105"/>
      <c r="S3185" s="105"/>
      <c r="T3185" s="105"/>
      <c r="U3185" s="105"/>
      <c r="V3185" s="105"/>
      <c r="W3185" s="105"/>
      <c r="X3185" s="11"/>
      <c r="Y3185" s="11"/>
      <c r="Z3185" s="105"/>
      <c r="AA3185" s="11"/>
      <c r="AB3185" s="11"/>
      <c r="AC3185" s="105"/>
      <c r="AD3185" s="11" t="b">
        <v>0</v>
      </c>
      <c r="AE3185" s="105"/>
      <c r="AF3185" s="11"/>
      <c r="AG3185" s="11"/>
      <c r="AH3185" s="11"/>
      <c r="AI3185" s="11"/>
    </row>
    <row r="3186" ht="12.5" spans="3:35">
      <c r="C3186" s="19"/>
      <c r="D3186" s="19"/>
      <c r="H3186" s="105"/>
      <c r="I3186" s="126"/>
      <c r="J3186" s="11"/>
      <c r="K3186" s="108"/>
      <c r="L3186" s="11"/>
      <c r="M3186" s="105"/>
      <c r="N3186" s="105"/>
      <c r="O3186" s="11"/>
      <c r="P3186" s="11"/>
      <c r="Q3186" s="105"/>
      <c r="R3186" s="105"/>
      <c r="S3186" s="105"/>
      <c r="T3186" s="105"/>
      <c r="U3186" s="105"/>
      <c r="V3186" s="105"/>
      <c r="W3186" s="105"/>
      <c r="X3186" s="11"/>
      <c r="Y3186" s="11"/>
      <c r="Z3186" s="105"/>
      <c r="AA3186" s="11"/>
      <c r="AB3186" s="11"/>
      <c r="AC3186" s="105"/>
      <c r="AD3186" s="11" t="b">
        <v>0</v>
      </c>
      <c r="AE3186" s="105"/>
      <c r="AF3186" s="11"/>
      <c r="AG3186" s="11"/>
      <c r="AH3186" s="11"/>
      <c r="AI3186" s="11"/>
    </row>
    <row r="3187" ht="12.5" spans="3:35">
      <c r="C3187" s="19"/>
      <c r="D3187" s="19"/>
      <c r="H3187" s="105"/>
      <c r="I3187" s="126"/>
      <c r="J3187" s="11"/>
      <c r="K3187" s="108"/>
      <c r="L3187" s="11"/>
      <c r="M3187" s="105"/>
      <c r="N3187" s="105"/>
      <c r="O3187" s="11"/>
      <c r="P3187" s="11"/>
      <c r="Q3187" s="105"/>
      <c r="R3187" s="105"/>
      <c r="S3187" s="105"/>
      <c r="T3187" s="105"/>
      <c r="U3187" s="105"/>
      <c r="V3187" s="105"/>
      <c r="W3187" s="105"/>
      <c r="X3187" s="11"/>
      <c r="Y3187" s="11"/>
      <c r="Z3187" s="105"/>
      <c r="AA3187" s="11"/>
      <c r="AB3187" s="11"/>
      <c r="AC3187" s="105"/>
      <c r="AD3187" s="11" t="b">
        <v>0</v>
      </c>
      <c r="AE3187" s="105"/>
      <c r="AF3187" s="11"/>
      <c r="AG3187" s="11"/>
      <c r="AH3187" s="11"/>
      <c r="AI3187" s="11"/>
    </row>
    <row r="3188" ht="12.5" spans="3:35">
      <c r="C3188" s="19"/>
      <c r="D3188" s="19"/>
      <c r="H3188" s="105"/>
      <c r="I3188" s="126"/>
      <c r="J3188" s="11"/>
      <c r="K3188" s="108"/>
      <c r="L3188" s="11"/>
      <c r="M3188" s="105"/>
      <c r="N3188" s="105"/>
      <c r="O3188" s="11"/>
      <c r="P3188" s="11"/>
      <c r="Q3188" s="105"/>
      <c r="R3188" s="105"/>
      <c r="S3188" s="105"/>
      <c r="T3188" s="105"/>
      <c r="U3188" s="105"/>
      <c r="V3188" s="105"/>
      <c r="W3188" s="105"/>
      <c r="X3188" s="11"/>
      <c r="Y3188" s="11"/>
      <c r="Z3188" s="105"/>
      <c r="AA3188" s="11"/>
      <c r="AB3188" s="11"/>
      <c r="AC3188" s="105"/>
      <c r="AD3188" s="11" t="b">
        <v>0</v>
      </c>
      <c r="AE3188" s="105"/>
      <c r="AF3188" s="11"/>
      <c r="AG3188" s="11"/>
      <c r="AH3188" s="11"/>
      <c r="AI3188" s="11"/>
    </row>
    <row r="3189" ht="12.5" spans="3:35">
      <c r="C3189" s="19"/>
      <c r="D3189" s="19"/>
      <c r="H3189" s="105"/>
      <c r="I3189" s="126"/>
      <c r="J3189" s="11"/>
      <c r="K3189" s="108"/>
      <c r="L3189" s="11"/>
      <c r="M3189" s="105"/>
      <c r="N3189" s="105"/>
      <c r="O3189" s="11"/>
      <c r="P3189" s="11"/>
      <c r="Q3189" s="105"/>
      <c r="R3189" s="105"/>
      <c r="S3189" s="105"/>
      <c r="T3189" s="105"/>
      <c r="U3189" s="105"/>
      <c r="V3189" s="105"/>
      <c r="W3189" s="105"/>
      <c r="X3189" s="11"/>
      <c r="Y3189" s="11"/>
      <c r="Z3189" s="105"/>
      <c r="AA3189" s="11"/>
      <c r="AB3189" s="11"/>
      <c r="AC3189" s="105"/>
      <c r="AD3189" s="11" t="b">
        <v>0</v>
      </c>
      <c r="AE3189" s="105"/>
      <c r="AF3189" s="11"/>
      <c r="AG3189" s="11"/>
      <c r="AH3189" s="11"/>
      <c r="AI3189" s="11"/>
    </row>
    <row r="3190" ht="12.5" spans="3:35">
      <c r="C3190" s="19"/>
      <c r="D3190" s="19"/>
      <c r="H3190" s="105"/>
      <c r="I3190" s="126"/>
      <c r="J3190" s="11"/>
      <c r="K3190" s="108"/>
      <c r="L3190" s="11"/>
      <c r="M3190" s="105"/>
      <c r="N3190" s="105"/>
      <c r="O3190" s="11"/>
      <c r="P3190" s="11"/>
      <c r="Q3190" s="105"/>
      <c r="R3190" s="105"/>
      <c r="S3190" s="105"/>
      <c r="T3190" s="105"/>
      <c r="U3190" s="105"/>
      <c r="V3190" s="105"/>
      <c r="W3190" s="105"/>
      <c r="X3190" s="11"/>
      <c r="Y3190" s="11"/>
      <c r="Z3190" s="105"/>
      <c r="AA3190" s="11"/>
      <c r="AB3190" s="11"/>
      <c r="AC3190" s="105"/>
      <c r="AD3190" s="11" t="b">
        <v>0</v>
      </c>
      <c r="AE3190" s="105"/>
      <c r="AF3190" s="11"/>
      <c r="AG3190" s="11"/>
      <c r="AH3190" s="11"/>
      <c r="AI3190" s="11"/>
    </row>
    <row r="3191" ht="12.5" spans="3:35">
      <c r="C3191" s="19"/>
      <c r="D3191" s="19"/>
      <c r="H3191" s="105"/>
      <c r="I3191" s="126"/>
      <c r="J3191" s="11"/>
      <c r="K3191" s="108"/>
      <c r="L3191" s="11"/>
      <c r="M3191" s="105"/>
      <c r="N3191" s="105"/>
      <c r="O3191" s="11"/>
      <c r="P3191" s="11"/>
      <c r="Q3191" s="105"/>
      <c r="R3191" s="105"/>
      <c r="S3191" s="105"/>
      <c r="T3191" s="105"/>
      <c r="U3191" s="105"/>
      <c r="V3191" s="105"/>
      <c r="W3191" s="105"/>
      <c r="X3191" s="11"/>
      <c r="Y3191" s="11"/>
      <c r="Z3191" s="105"/>
      <c r="AA3191" s="11"/>
      <c r="AB3191" s="11"/>
      <c r="AC3191" s="105"/>
      <c r="AD3191" s="11" t="b">
        <v>0</v>
      </c>
      <c r="AE3191" s="105"/>
      <c r="AF3191" s="11"/>
      <c r="AG3191" s="11"/>
      <c r="AH3191" s="11"/>
      <c r="AI3191" s="11"/>
    </row>
    <row r="3192" ht="12.5" spans="3:35">
      <c r="C3192" s="19"/>
      <c r="D3192" s="19"/>
      <c r="H3192" s="105"/>
      <c r="I3192" s="126"/>
      <c r="J3192" s="11"/>
      <c r="K3192" s="108"/>
      <c r="L3192" s="11"/>
      <c r="M3192" s="105"/>
      <c r="N3192" s="105"/>
      <c r="O3192" s="11"/>
      <c r="P3192" s="11"/>
      <c r="Q3192" s="105"/>
      <c r="R3192" s="105"/>
      <c r="S3192" s="105"/>
      <c r="T3192" s="105"/>
      <c r="U3192" s="105"/>
      <c r="V3192" s="105"/>
      <c r="W3192" s="105"/>
      <c r="X3192" s="11"/>
      <c r="Y3192" s="11"/>
      <c r="Z3192" s="105"/>
      <c r="AA3192" s="11"/>
      <c r="AB3192" s="11"/>
      <c r="AC3192" s="105"/>
      <c r="AD3192" s="11" t="b">
        <v>0</v>
      </c>
      <c r="AE3192" s="105"/>
      <c r="AF3192" s="11"/>
      <c r="AG3192" s="11"/>
      <c r="AH3192" s="11"/>
      <c r="AI3192" s="11"/>
    </row>
    <row r="3193" ht="12.5" spans="3:35">
      <c r="C3193" s="19"/>
      <c r="D3193" s="19"/>
      <c r="H3193" s="105"/>
      <c r="I3193" s="126"/>
      <c r="J3193" s="11"/>
      <c r="K3193" s="108"/>
      <c r="L3193" s="11"/>
      <c r="M3193" s="105"/>
      <c r="N3193" s="105"/>
      <c r="O3193" s="11"/>
      <c r="P3193" s="11"/>
      <c r="Q3193" s="105"/>
      <c r="R3193" s="105"/>
      <c r="S3193" s="105"/>
      <c r="T3193" s="105"/>
      <c r="U3193" s="105"/>
      <c r="V3193" s="105"/>
      <c r="W3193" s="105"/>
      <c r="X3193" s="11"/>
      <c r="Y3193" s="11"/>
      <c r="Z3193" s="105"/>
      <c r="AA3193" s="11"/>
      <c r="AB3193" s="11"/>
      <c r="AC3193" s="105"/>
      <c r="AD3193" s="11" t="b">
        <v>0</v>
      </c>
      <c r="AE3193" s="105"/>
      <c r="AF3193" s="11"/>
      <c r="AG3193" s="11"/>
      <c r="AH3193" s="11"/>
      <c r="AI3193" s="11"/>
    </row>
    <row r="3194" ht="12.5" spans="3:35">
      <c r="C3194" s="19"/>
      <c r="D3194" s="19"/>
      <c r="H3194" s="105"/>
      <c r="I3194" s="126"/>
      <c r="J3194" s="11"/>
      <c r="K3194" s="108"/>
      <c r="L3194" s="11"/>
      <c r="M3194" s="105"/>
      <c r="N3194" s="105"/>
      <c r="O3194" s="11"/>
      <c r="P3194" s="11"/>
      <c r="Q3194" s="105"/>
      <c r="R3194" s="105"/>
      <c r="S3194" s="105"/>
      <c r="T3194" s="105"/>
      <c r="U3194" s="105"/>
      <c r="V3194" s="105"/>
      <c r="W3194" s="105"/>
      <c r="X3194" s="11"/>
      <c r="Y3194" s="11"/>
      <c r="Z3194" s="105"/>
      <c r="AA3194" s="11"/>
      <c r="AB3194" s="11"/>
      <c r="AC3194" s="105"/>
      <c r="AD3194" s="11" t="b">
        <v>0</v>
      </c>
      <c r="AE3194" s="105"/>
      <c r="AF3194" s="11"/>
      <c r="AG3194" s="11"/>
      <c r="AH3194" s="11"/>
      <c r="AI3194" s="11"/>
    </row>
    <row r="3195" ht="12.5" spans="3:35">
      <c r="C3195" s="19"/>
      <c r="D3195" s="19"/>
      <c r="H3195" s="105"/>
      <c r="I3195" s="126"/>
      <c r="J3195" s="11"/>
      <c r="K3195" s="108"/>
      <c r="L3195" s="11"/>
      <c r="M3195" s="105"/>
      <c r="N3195" s="105"/>
      <c r="O3195" s="11"/>
      <c r="P3195" s="11"/>
      <c r="Q3195" s="105"/>
      <c r="R3195" s="105"/>
      <c r="S3195" s="105"/>
      <c r="T3195" s="105"/>
      <c r="U3195" s="105"/>
      <c r="V3195" s="105"/>
      <c r="W3195" s="105"/>
      <c r="X3195" s="11"/>
      <c r="Y3195" s="11"/>
      <c r="Z3195" s="105"/>
      <c r="AA3195" s="11"/>
      <c r="AB3195" s="11"/>
      <c r="AC3195" s="105"/>
      <c r="AD3195" s="11" t="b">
        <v>0</v>
      </c>
      <c r="AE3195" s="105"/>
      <c r="AF3195" s="11"/>
      <c r="AG3195" s="11"/>
      <c r="AH3195" s="11"/>
      <c r="AI3195" s="11"/>
    </row>
    <row r="3196" ht="12.5" spans="3:35">
      <c r="C3196" s="19"/>
      <c r="D3196" s="19"/>
      <c r="H3196" s="105"/>
      <c r="I3196" s="126"/>
      <c r="J3196" s="11"/>
      <c r="K3196" s="108"/>
      <c r="L3196" s="11"/>
      <c r="M3196" s="105"/>
      <c r="N3196" s="105"/>
      <c r="O3196" s="11"/>
      <c r="P3196" s="11"/>
      <c r="Q3196" s="105"/>
      <c r="R3196" s="105"/>
      <c r="S3196" s="105"/>
      <c r="T3196" s="105"/>
      <c r="U3196" s="105"/>
      <c r="V3196" s="105"/>
      <c r="W3196" s="105"/>
      <c r="X3196" s="11"/>
      <c r="Y3196" s="11"/>
      <c r="Z3196" s="105"/>
      <c r="AA3196" s="11"/>
      <c r="AB3196" s="11"/>
      <c r="AC3196" s="105"/>
      <c r="AD3196" s="11" t="b">
        <v>0</v>
      </c>
      <c r="AE3196" s="105"/>
      <c r="AF3196" s="11"/>
      <c r="AG3196" s="11"/>
      <c r="AH3196" s="11"/>
      <c r="AI3196" s="11"/>
    </row>
    <row r="3197" ht="12.5" spans="3:35">
      <c r="C3197" s="19"/>
      <c r="D3197" s="19"/>
      <c r="H3197" s="105"/>
      <c r="I3197" s="126"/>
      <c r="J3197" s="11"/>
      <c r="K3197" s="108"/>
      <c r="L3197" s="11"/>
      <c r="M3197" s="105"/>
      <c r="N3197" s="105"/>
      <c r="O3197" s="11"/>
      <c r="P3197" s="11"/>
      <c r="Q3197" s="105"/>
      <c r="R3197" s="105"/>
      <c r="S3197" s="105"/>
      <c r="T3197" s="105"/>
      <c r="U3197" s="105"/>
      <c r="V3197" s="105"/>
      <c r="W3197" s="105"/>
      <c r="X3197" s="11"/>
      <c r="Y3197" s="11"/>
      <c r="Z3197" s="105"/>
      <c r="AA3197" s="11"/>
      <c r="AB3197" s="11"/>
      <c r="AC3197" s="105"/>
      <c r="AD3197" s="11" t="b">
        <v>0</v>
      </c>
      <c r="AE3197" s="105"/>
      <c r="AF3197" s="11"/>
      <c r="AG3197" s="11"/>
      <c r="AH3197" s="11"/>
      <c r="AI3197" s="11"/>
    </row>
    <row r="3198" ht="12.5" spans="3:35">
      <c r="C3198" s="19"/>
      <c r="D3198" s="19"/>
      <c r="H3198" s="105"/>
      <c r="I3198" s="126"/>
      <c r="J3198" s="11"/>
      <c r="K3198" s="108"/>
      <c r="L3198" s="11"/>
      <c r="M3198" s="105"/>
      <c r="N3198" s="105"/>
      <c r="O3198" s="11"/>
      <c r="P3198" s="11"/>
      <c r="Q3198" s="105"/>
      <c r="R3198" s="105"/>
      <c r="S3198" s="105"/>
      <c r="T3198" s="105"/>
      <c r="U3198" s="105"/>
      <c r="V3198" s="105"/>
      <c r="W3198" s="105"/>
      <c r="X3198" s="11"/>
      <c r="Y3198" s="11"/>
      <c r="Z3198" s="105"/>
      <c r="AA3198" s="11"/>
      <c r="AB3198" s="11"/>
      <c r="AC3198" s="105"/>
      <c r="AD3198" s="11" t="b">
        <v>0</v>
      </c>
      <c r="AE3198" s="105"/>
      <c r="AF3198" s="11"/>
      <c r="AG3198" s="11"/>
      <c r="AH3198" s="11"/>
      <c r="AI3198" s="11"/>
    </row>
    <row r="3199" ht="12.5" spans="3:35">
      <c r="C3199" s="19"/>
      <c r="D3199" s="19"/>
      <c r="H3199" s="105"/>
      <c r="I3199" s="126"/>
      <c r="J3199" s="11"/>
      <c r="K3199" s="108"/>
      <c r="L3199" s="11"/>
      <c r="M3199" s="105"/>
      <c r="N3199" s="105"/>
      <c r="O3199" s="11"/>
      <c r="P3199" s="11"/>
      <c r="Q3199" s="105"/>
      <c r="R3199" s="105"/>
      <c r="S3199" s="105"/>
      <c r="T3199" s="105"/>
      <c r="U3199" s="105"/>
      <c r="V3199" s="105"/>
      <c r="W3199" s="105"/>
      <c r="X3199" s="11"/>
      <c r="Y3199" s="11"/>
      <c r="Z3199" s="105"/>
      <c r="AA3199" s="11"/>
      <c r="AB3199" s="11"/>
      <c r="AC3199" s="105"/>
      <c r="AD3199" s="11" t="b">
        <v>0</v>
      </c>
      <c r="AE3199" s="105"/>
      <c r="AF3199" s="11"/>
      <c r="AG3199" s="11"/>
      <c r="AH3199" s="11"/>
      <c r="AI3199" s="11"/>
    </row>
    <row r="3200" ht="12.5" spans="3:35">
      <c r="C3200" s="19"/>
      <c r="D3200" s="19"/>
      <c r="H3200" s="105"/>
      <c r="I3200" s="126"/>
      <c r="J3200" s="11"/>
      <c r="K3200" s="108"/>
      <c r="L3200" s="11"/>
      <c r="M3200" s="105"/>
      <c r="N3200" s="105"/>
      <c r="O3200" s="11"/>
      <c r="P3200" s="11"/>
      <c r="Q3200" s="105"/>
      <c r="R3200" s="105"/>
      <c r="S3200" s="105"/>
      <c r="T3200" s="105"/>
      <c r="U3200" s="105"/>
      <c r="V3200" s="105"/>
      <c r="W3200" s="105"/>
      <c r="X3200" s="11"/>
      <c r="Y3200" s="11"/>
      <c r="Z3200" s="105"/>
      <c r="AA3200" s="11"/>
      <c r="AB3200" s="11"/>
      <c r="AC3200" s="105"/>
      <c r="AD3200" s="11" t="b">
        <v>0</v>
      </c>
      <c r="AE3200" s="105"/>
      <c r="AF3200" s="11"/>
      <c r="AG3200" s="11"/>
      <c r="AH3200" s="11"/>
      <c r="AI3200" s="11"/>
    </row>
    <row r="3201" ht="12.5" spans="3:35">
      <c r="C3201" s="19"/>
      <c r="D3201" s="19"/>
      <c r="H3201" s="105"/>
      <c r="I3201" s="126"/>
      <c r="J3201" s="11"/>
      <c r="K3201" s="108"/>
      <c r="L3201" s="11"/>
      <c r="M3201" s="105"/>
      <c r="N3201" s="105"/>
      <c r="O3201" s="11"/>
      <c r="P3201" s="11"/>
      <c r="Q3201" s="105"/>
      <c r="R3201" s="105"/>
      <c r="S3201" s="105"/>
      <c r="T3201" s="105"/>
      <c r="U3201" s="105"/>
      <c r="V3201" s="105"/>
      <c r="W3201" s="105"/>
      <c r="X3201" s="11"/>
      <c r="Y3201" s="11"/>
      <c r="Z3201" s="105"/>
      <c r="AA3201" s="11"/>
      <c r="AB3201" s="11"/>
      <c r="AC3201" s="105"/>
      <c r="AD3201" s="11" t="b">
        <v>0</v>
      </c>
      <c r="AE3201" s="105"/>
      <c r="AF3201" s="11"/>
      <c r="AG3201" s="11"/>
      <c r="AH3201" s="11"/>
      <c r="AI3201" s="11"/>
    </row>
    <row r="3202" ht="12.5" spans="3:35">
      <c r="C3202" s="19"/>
      <c r="D3202" s="19"/>
      <c r="H3202" s="105"/>
      <c r="I3202" s="126"/>
      <c r="J3202" s="11"/>
      <c r="K3202" s="108"/>
      <c r="L3202" s="11"/>
      <c r="M3202" s="105"/>
      <c r="N3202" s="105"/>
      <c r="O3202" s="11"/>
      <c r="P3202" s="11"/>
      <c r="Q3202" s="105"/>
      <c r="R3202" s="105"/>
      <c r="S3202" s="105"/>
      <c r="T3202" s="105"/>
      <c r="U3202" s="105"/>
      <c r="V3202" s="105"/>
      <c r="W3202" s="105"/>
      <c r="X3202" s="11"/>
      <c r="Y3202" s="11"/>
      <c r="Z3202" s="105"/>
      <c r="AA3202" s="11"/>
      <c r="AB3202" s="11"/>
      <c r="AC3202" s="105"/>
      <c r="AD3202" s="11" t="b">
        <v>0</v>
      </c>
      <c r="AE3202" s="105"/>
      <c r="AF3202" s="11"/>
      <c r="AG3202" s="11"/>
      <c r="AH3202" s="11"/>
      <c r="AI3202" s="11"/>
    </row>
    <row r="3203" ht="12.5" spans="3:35">
      <c r="C3203" s="19"/>
      <c r="D3203" s="19"/>
      <c r="H3203" s="105"/>
      <c r="I3203" s="126"/>
      <c r="J3203" s="11"/>
      <c r="K3203" s="108"/>
      <c r="L3203" s="11"/>
      <c r="M3203" s="105"/>
      <c r="N3203" s="105"/>
      <c r="O3203" s="11"/>
      <c r="P3203" s="11"/>
      <c r="Q3203" s="105"/>
      <c r="R3203" s="105"/>
      <c r="S3203" s="105"/>
      <c r="T3203" s="105"/>
      <c r="U3203" s="105"/>
      <c r="V3203" s="105"/>
      <c r="W3203" s="105"/>
      <c r="X3203" s="11"/>
      <c r="Y3203" s="11"/>
      <c r="Z3203" s="105"/>
      <c r="AA3203" s="11"/>
      <c r="AB3203" s="11"/>
      <c r="AC3203" s="105"/>
      <c r="AD3203" s="11" t="b">
        <v>0</v>
      </c>
      <c r="AE3203" s="105"/>
      <c r="AF3203" s="11"/>
      <c r="AG3203" s="11"/>
      <c r="AH3203" s="11"/>
      <c r="AI3203" s="11"/>
    </row>
    <row r="3204" ht="12.5" spans="3:35">
      <c r="C3204" s="19"/>
      <c r="D3204" s="19"/>
      <c r="H3204" s="105"/>
      <c r="I3204" s="126"/>
      <c r="J3204" s="11"/>
      <c r="K3204" s="108"/>
      <c r="L3204" s="11"/>
      <c r="M3204" s="105"/>
      <c r="N3204" s="105"/>
      <c r="O3204" s="11"/>
      <c r="P3204" s="11"/>
      <c r="Q3204" s="105"/>
      <c r="R3204" s="105"/>
      <c r="S3204" s="105"/>
      <c r="T3204" s="105"/>
      <c r="U3204" s="105"/>
      <c r="V3204" s="105"/>
      <c r="W3204" s="105"/>
      <c r="X3204" s="11"/>
      <c r="Y3204" s="11"/>
      <c r="Z3204" s="105"/>
      <c r="AA3204" s="11"/>
      <c r="AB3204" s="11"/>
      <c r="AC3204" s="105"/>
      <c r="AD3204" s="11" t="b">
        <v>0</v>
      </c>
      <c r="AE3204" s="105"/>
      <c r="AF3204" s="11"/>
      <c r="AG3204" s="11"/>
      <c r="AH3204" s="11"/>
      <c r="AI3204" s="11"/>
    </row>
    <row r="3205" ht="12.5" spans="3:35">
      <c r="C3205" s="19"/>
      <c r="D3205" s="19"/>
      <c r="H3205" s="105"/>
      <c r="I3205" s="126"/>
      <c r="J3205" s="11"/>
      <c r="K3205" s="108"/>
      <c r="L3205" s="11"/>
      <c r="M3205" s="105"/>
      <c r="N3205" s="105"/>
      <c r="O3205" s="11"/>
      <c r="P3205" s="11"/>
      <c r="Q3205" s="105"/>
      <c r="R3205" s="105"/>
      <c r="S3205" s="105"/>
      <c r="T3205" s="105"/>
      <c r="U3205" s="105"/>
      <c r="V3205" s="105"/>
      <c r="W3205" s="105"/>
      <c r="X3205" s="11"/>
      <c r="Y3205" s="11"/>
      <c r="Z3205" s="105"/>
      <c r="AA3205" s="11"/>
      <c r="AB3205" s="11"/>
      <c r="AC3205" s="105"/>
      <c r="AD3205" s="11" t="b">
        <v>0</v>
      </c>
      <c r="AE3205" s="105"/>
      <c r="AF3205" s="11"/>
      <c r="AG3205" s="11"/>
      <c r="AH3205" s="11"/>
      <c r="AI3205" s="11"/>
    </row>
    <row r="3206" ht="12.5" spans="3:35">
      <c r="C3206" s="19"/>
      <c r="D3206" s="19"/>
      <c r="H3206" s="105"/>
      <c r="I3206" s="126"/>
      <c r="J3206" s="11"/>
      <c r="K3206" s="108"/>
      <c r="L3206" s="11"/>
      <c r="M3206" s="105"/>
      <c r="N3206" s="105"/>
      <c r="O3206" s="11"/>
      <c r="P3206" s="11"/>
      <c r="Q3206" s="105"/>
      <c r="R3206" s="105"/>
      <c r="S3206" s="105"/>
      <c r="T3206" s="105"/>
      <c r="U3206" s="105"/>
      <c r="V3206" s="105"/>
      <c r="W3206" s="105"/>
      <c r="X3206" s="11"/>
      <c r="Y3206" s="11"/>
      <c r="Z3206" s="105"/>
      <c r="AA3206" s="11"/>
      <c r="AB3206" s="11"/>
      <c r="AC3206" s="105"/>
      <c r="AD3206" s="11" t="b">
        <v>0</v>
      </c>
      <c r="AE3206" s="105"/>
      <c r="AF3206" s="11"/>
      <c r="AG3206" s="11"/>
      <c r="AH3206" s="11"/>
      <c r="AI3206" s="11"/>
    </row>
    <row r="3207" ht="12.5" spans="3:35">
      <c r="C3207" s="19"/>
      <c r="D3207" s="19"/>
      <c r="H3207" s="105"/>
      <c r="I3207" s="126"/>
      <c r="J3207" s="11"/>
      <c r="K3207" s="108"/>
      <c r="L3207" s="11"/>
      <c r="M3207" s="105"/>
      <c r="N3207" s="105"/>
      <c r="O3207" s="11"/>
      <c r="P3207" s="11"/>
      <c r="Q3207" s="105"/>
      <c r="R3207" s="105"/>
      <c r="S3207" s="105"/>
      <c r="T3207" s="105"/>
      <c r="U3207" s="105"/>
      <c r="V3207" s="105"/>
      <c r="W3207" s="105"/>
      <c r="X3207" s="11"/>
      <c r="Y3207" s="11"/>
      <c r="Z3207" s="105"/>
      <c r="AA3207" s="11"/>
      <c r="AB3207" s="11"/>
      <c r="AC3207" s="105"/>
      <c r="AD3207" s="11" t="b">
        <v>0</v>
      </c>
      <c r="AE3207" s="105"/>
      <c r="AF3207" s="11"/>
      <c r="AG3207" s="11"/>
      <c r="AH3207" s="11"/>
      <c r="AI3207" s="11"/>
    </row>
    <row r="3208" ht="12.5" spans="3:35">
      <c r="C3208" s="19"/>
      <c r="D3208" s="19"/>
      <c r="H3208" s="105"/>
      <c r="I3208" s="126"/>
      <c r="J3208" s="11"/>
      <c r="K3208" s="108"/>
      <c r="L3208" s="11"/>
      <c r="M3208" s="105"/>
      <c r="N3208" s="105"/>
      <c r="O3208" s="11"/>
      <c r="P3208" s="11"/>
      <c r="Q3208" s="105"/>
      <c r="R3208" s="105"/>
      <c r="S3208" s="105"/>
      <c r="T3208" s="105"/>
      <c r="U3208" s="105"/>
      <c r="V3208" s="105"/>
      <c r="W3208" s="105"/>
      <c r="X3208" s="11"/>
      <c r="Y3208" s="11"/>
      <c r="Z3208" s="105"/>
      <c r="AA3208" s="11"/>
      <c r="AB3208" s="11"/>
      <c r="AC3208" s="105"/>
      <c r="AD3208" s="11" t="b">
        <v>0</v>
      </c>
      <c r="AE3208" s="105"/>
      <c r="AF3208" s="11"/>
      <c r="AG3208" s="11"/>
      <c r="AH3208" s="11"/>
      <c r="AI3208" s="11"/>
    </row>
    <row r="3209" ht="12.5" spans="3:35">
      <c r="C3209" s="19"/>
      <c r="D3209" s="19"/>
      <c r="H3209" s="105"/>
      <c r="I3209" s="126"/>
      <c r="J3209" s="11"/>
      <c r="K3209" s="108"/>
      <c r="L3209" s="11"/>
      <c r="M3209" s="105"/>
      <c r="N3209" s="105"/>
      <c r="O3209" s="11"/>
      <c r="P3209" s="11"/>
      <c r="Q3209" s="105"/>
      <c r="R3209" s="105"/>
      <c r="S3209" s="105"/>
      <c r="T3209" s="105"/>
      <c r="U3209" s="105"/>
      <c r="V3209" s="105"/>
      <c r="W3209" s="105"/>
      <c r="X3209" s="11"/>
      <c r="Y3209" s="11"/>
      <c r="Z3209" s="105"/>
      <c r="AA3209" s="11"/>
      <c r="AB3209" s="11"/>
      <c r="AC3209" s="105"/>
      <c r="AD3209" s="11" t="b">
        <v>0</v>
      </c>
      <c r="AE3209" s="105"/>
      <c r="AF3209" s="11"/>
      <c r="AG3209" s="11"/>
      <c r="AH3209" s="11"/>
      <c r="AI3209" s="11"/>
    </row>
    <row r="3210" ht="12.5" spans="3:35">
      <c r="C3210" s="19"/>
      <c r="D3210" s="19"/>
      <c r="H3210" s="105"/>
      <c r="I3210" s="126"/>
      <c r="J3210" s="11"/>
      <c r="K3210" s="108"/>
      <c r="L3210" s="11"/>
      <c r="M3210" s="105"/>
      <c r="N3210" s="105"/>
      <c r="O3210" s="11"/>
      <c r="P3210" s="11"/>
      <c r="Q3210" s="105"/>
      <c r="R3210" s="105"/>
      <c r="S3210" s="105"/>
      <c r="T3210" s="105"/>
      <c r="U3210" s="105"/>
      <c r="V3210" s="105"/>
      <c r="W3210" s="105"/>
      <c r="X3210" s="11"/>
      <c r="Y3210" s="11"/>
      <c r="Z3210" s="105"/>
      <c r="AA3210" s="11"/>
      <c r="AB3210" s="11"/>
      <c r="AC3210" s="105"/>
      <c r="AD3210" s="11" t="b">
        <v>0</v>
      </c>
      <c r="AE3210" s="105"/>
      <c r="AF3210" s="11"/>
      <c r="AG3210" s="11"/>
      <c r="AH3210" s="11"/>
      <c r="AI3210" s="11"/>
    </row>
    <row r="3211" ht="12.5" spans="3:35">
      <c r="C3211" s="19"/>
      <c r="D3211" s="19"/>
      <c r="H3211" s="105"/>
      <c r="I3211" s="126"/>
      <c r="J3211" s="11"/>
      <c r="K3211" s="108"/>
      <c r="L3211" s="11"/>
      <c r="M3211" s="105"/>
      <c r="N3211" s="105"/>
      <c r="O3211" s="11"/>
      <c r="P3211" s="11"/>
      <c r="Q3211" s="105"/>
      <c r="R3211" s="105"/>
      <c r="S3211" s="105"/>
      <c r="T3211" s="105"/>
      <c r="U3211" s="105"/>
      <c r="V3211" s="105"/>
      <c r="W3211" s="105"/>
      <c r="X3211" s="11"/>
      <c r="Y3211" s="11"/>
      <c r="Z3211" s="105"/>
      <c r="AA3211" s="11"/>
      <c r="AB3211" s="11"/>
      <c r="AC3211" s="105"/>
      <c r="AD3211" s="11" t="b">
        <v>0</v>
      </c>
      <c r="AE3211" s="105"/>
      <c r="AF3211" s="11"/>
      <c r="AG3211" s="11"/>
      <c r="AH3211" s="11"/>
      <c r="AI3211" s="11"/>
    </row>
    <row r="3212" ht="12.5" spans="3:35">
      <c r="C3212" s="19"/>
      <c r="D3212" s="19"/>
      <c r="H3212" s="105"/>
      <c r="I3212" s="126"/>
      <c r="J3212" s="11"/>
      <c r="K3212" s="108"/>
      <c r="L3212" s="11"/>
      <c r="M3212" s="105"/>
      <c r="N3212" s="105"/>
      <c r="O3212" s="11"/>
      <c r="P3212" s="11"/>
      <c r="Q3212" s="105"/>
      <c r="R3212" s="105"/>
      <c r="S3212" s="105"/>
      <c r="T3212" s="105"/>
      <c r="U3212" s="105"/>
      <c r="V3212" s="105"/>
      <c r="W3212" s="105"/>
      <c r="X3212" s="11"/>
      <c r="Y3212" s="11"/>
      <c r="Z3212" s="105"/>
      <c r="AA3212" s="11"/>
      <c r="AB3212" s="11"/>
      <c r="AC3212" s="105"/>
      <c r="AD3212" s="11" t="b">
        <v>0</v>
      </c>
      <c r="AE3212" s="105"/>
      <c r="AF3212" s="11"/>
      <c r="AG3212" s="11"/>
      <c r="AH3212" s="11"/>
      <c r="AI3212" s="11"/>
    </row>
    <row r="3213" ht="12.5" spans="3:35">
      <c r="C3213" s="19"/>
      <c r="D3213" s="19"/>
      <c r="H3213" s="105"/>
      <c r="I3213" s="126"/>
      <c r="J3213" s="11"/>
      <c r="K3213" s="108"/>
      <c r="L3213" s="11"/>
      <c r="M3213" s="105"/>
      <c r="N3213" s="105"/>
      <c r="O3213" s="11"/>
      <c r="P3213" s="11"/>
      <c r="Q3213" s="105"/>
      <c r="R3213" s="105"/>
      <c r="S3213" s="105"/>
      <c r="T3213" s="105"/>
      <c r="U3213" s="105"/>
      <c r="V3213" s="105"/>
      <c r="W3213" s="105"/>
      <c r="X3213" s="11"/>
      <c r="Y3213" s="11"/>
      <c r="Z3213" s="105"/>
      <c r="AA3213" s="11"/>
      <c r="AB3213" s="11"/>
      <c r="AC3213" s="105"/>
      <c r="AD3213" s="11" t="b">
        <v>0</v>
      </c>
      <c r="AE3213" s="105"/>
      <c r="AF3213" s="11"/>
      <c r="AG3213" s="11"/>
      <c r="AH3213" s="11"/>
      <c r="AI3213" s="11"/>
    </row>
    <row r="3214" ht="12.5" spans="3:35">
      <c r="C3214" s="19"/>
      <c r="D3214" s="19"/>
      <c r="H3214" s="105"/>
      <c r="I3214" s="126"/>
      <c r="J3214" s="11"/>
      <c r="K3214" s="108"/>
      <c r="L3214" s="11"/>
      <c r="M3214" s="105"/>
      <c r="N3214" s="105"/>
      <c r="O3214" s="11"/>
      <c r="P3214" s="11"/>
      <c r="Q3214" s="105"/>
      <c r="R3214" s="105"/>
      <c r="S3214" s="105"/>
      <c r="T3214" s="105"/>
      <c r="U3214" s="105"/>
      <c r="V3214" s="105"/>
      <c r="W3214" s="105"/>
      <c r="X3214" s="11"/>
      <c r="Y3214" s="11"/>
      <c r="Z3214" s="105"/>
      <c r="AA3214" s="11"/>
      <c r="AB3214" s="11"/>
      <c r="AC3214" s="105"/>
      <c r="AD3214" s="11" t="b">
        <v>0</v>
      </c>
      <c r="AE3214" s="105"/>
      <c r="AF3214" s="11"/>
      <c r="AG3214" s="11"/>
      <c r="AH3214" s="11"/>
      <c r="AI3214" s="11"/>
    </row>
    <row r="3215" ht="12.5" spans="3:35">
      <c r="C3215" s="19"/>
      <c r="D3215" s="19"/>
      <c r="H3215" s="105"/>
      <c r="I3215" s="126"/>
      <c r="J3215" s="11"/>
      <c r="K3215" s="108"/>
      <c r="L3215" s="11"/>
      <c r="M3215" s="105"/>
      <c r="N3215" s="105"/>
      <c r="O3215" s="11"/>
      <c r="P3215" s="11"/>
      <c r="Q3215" s="105"/>
      <c r="R3215" s="105"/>
      <c r="S3215" s="105"/>
      <c r="T3215" s="105"/>
      <c r="U3215" s="105"/>
      <c r="V3215" s="105"/>
      <c r="W3215" s="105"/>
      <c r="X3215" s="11"/>
      <c r="Y3215" s="11"/>
      <c r="Z3215" s="105"/>
      <c r="AA3215" s="11"/>
      <c r="AB3215" s="11"/>
      <c r="AC3215" s="105"/>
      <c r="AD3215" s="11" t="b">
        <v>0</v>
      </c>
      <c r="AE3215" s="105"/>
      <c r="AF3215" s="11"/>
      <c r="AG3215" s="11"/>
      <c r="AH3215" s="11"/>
      <c r="AI3215" s="11"/>
    </row>
    <row r="3216" ht="12.5" spans="3:35">
      <c r="C3216" s="19"/>
      <c r="D3216" s="19"/>
      <c r="H3216" s="105"/>
      <c r="I3216" s="126"/>
      <c r="J3216" s="11"/>
      <c r="K3216" s="108"/>
      <c r="L3216" s="11"/>
      <c r="M3216" s="105"/>
      <c r="N3216" s="105"/>
      <c r="O3216" s="11"/>
      <c r="P3216" s="11"/>
      <c r="Q3216" s="105"/>
      <c r="R3216" s="105"/>
      <c r="S3216" s="105"/>
      <c r="T3216" s="105"/>
      <c r="U3216" s="105"/>
      <c r="V3216" s="105"/>
      <c r="W3216" s="105"/>
      <c r="X3216" s="11"/>
      <c r="Y3216" s="11"/>
      <c r="Z3216" s="105"/>
      <c r="AA3216" s="11"/>
      <c r="AB3216" s="11"/>
      <c r="AC3216" s="105"/>
      <c r="AD3216" s="11" t="b">
        <v>0</v>
      </c>
      <c r="AE3216" s="105"/>
      <c r="AF3216" s="11"/>
      <c r="AG3216" s="11"/>
      <c r="AH3216" s="11"/>
      <c r="AI3216" s="11"/>
    </row>
    <row r="3217" ht="12.5" spans="3:35">
      <c r="C3217" s="19"/>
      <c r="D3217" s="19"/>
      <c r="H3217" s="105"/>
      <c r="I3217" s="126"/>
      <c r="J3217" s="11"/>
      <c r="K3217" s="108"/>
      <c r="L3217" s="11"/>
      <c r="M3217" s="105"/>
      <c r="N3217" s="105"/>
      <c r="O3217" s="11"/>
      <c r="P3217" s="11"/>
      <c r="Q3217" s="105"/>
      <c r="R3217" s="105"/>
      <c r="S3217" s="105"/>
      <c r="T3217" s="105"/>
      <c r="U3217" s="105"/>
      <c r="V3217" s="105"/>
      <c r="W3217" s="105"/>
      <c r="X3217" s="11"/>
      <c r="Y3217" s="11"/>
      <c r="Z3217" s="105"/>
      <c r="AA3217" s="11"/>
      <c r="AB3217" s="11"/>
      <c r="AC3217" s="105"/>
      <c r="AD3217" s="11" t="b">
        <v>0</v>
      </c>
      <c r="AE3217" s="105"/>
      <c r="AF3217" s="11"/>
      <c r="AG3217" s="11"/>
      <c r="AH3217" s="11"/>
      <c r="AI3217" s="11"/>
    </row>
    <row r="3218" ht="12.5" spans="3:35">
      <c r="C3218" s="19"/>
      <c r="D3218" s="19"/>
      <c r="H3218" s="105"/>
      <c r="I3218" s="126"/>
      <c r="J3218" s="11"/>
      <c r="K3218" s="108"/>
      <c r="L3218" s="11"/>
      <c r="M3218" s="105"/>
      <c r="N3218" s="105"/>
      <c r="O3218" s="11"/>
      <c r="P3218" s="11"/>
      <c r="Q3218" s="105"/>
      <c r="R3218" s="105"/>
      <c r="S3218" s="105"/>
      <c r="T3218" s="105"/>
      <c r="U3218" s="105"/>
      <c r="V3218" s="105"/>
      <c r="W3218" s="105"/>
      <c r="X3218" s="11"/>
      <c r="Y3218" s="11"/>
      <c r="Z3218" s="105"/>
      <c r="AA3218" s="11"/>
      <c r="AB3218" s="11"/>
      <c r="AC3218" s="105"/>
      <c r="AD3218" s="11" t="b">
        <v>0</v>
      </c>
      <c r="AE3218" s="105"/>
      <c r="AF3218" s="11"/>
      <c r="AG3218" s="11"/>
      <c r="AH3218" s="11"/>
      <c r="AI3218" s="11"/>
    </row>
    <row r="3219" ht="12.5" spans="3:35">
      <c r="C3219" s="19"/>
      <c r="D3219" s="19"/>
      <c r="H3219" s="105"/>
      <c r="I3219" s="126"/>
      <c r="J3219" s="11"/>
      <c r="K3219" s="108"/>
      <c r="L3219" s="11"/>
      <c r="M3219" s="105"/>
      <c r="N3219" s="105"/>
      <c r="O3219" s="11"/>
      <c r="P3219" s="11"/>
      <c r="Q3219" s="105"/>
      <c r="R3219" s="105"/>
      <c r="S3219" s="105"/>
      <c r="T3219" s="105"/>
      <c r="U3219" s="105"/>
      <c r="V3219" s="105"/>
      <c r="W3219" s="105"/>
      <c r="X3219" s="11"/>
      <c r="Y3219" s="11"/>
      <c r="Z3219" s="105"/>
      <c r="AA3219" s="11"/>
      <c r="AB3219" s="11"/>
      <c r="AC3219" s="105"/>
      <c r="AD3219" s="11" t="b">
        <v>0</v>
      </c>
      <c r="AE3219" s="105"/>
      <c r="AF3219" s="11"/>
      <c r="AG3219" s="11"/>
      <c r="AH3219" s="11"/>
      <c r="AI3219" s="11"/>
    </row>
    <row r="3220" ht="12.5" spans="3:35">
      <c r="C3220" s="19"/>
      <c r="D3220" s="19"/>
      <c r="H3220" s="105"/>
      <c r="I3220" s="126"/>
      <c r="J3220" s="11"/>
      <c r="K3220" s="108"/>
      <c r="L3220" s="11"/>
      <c r="M3220" s="105"/>
      <c r="N3220" s="105"/>
      <c r="O3220" s="11"/>
      <c r="P3220" s="11"/>
      <c r="Q3220" s="105"/>
      <c r="R3220" s="105"/>
      <c r="S3220" s="105"/>
      <c r="T3220" s="105"/>
      <c r="U3220" s="105"/>
      <c r="V3220" s="105"/>
      <c r="W3220" s="105"/>
      <c r="X3220" s="11"/>
      <c r="Y3220" s="11"/>
      <c r="Z3220" s="105"/>
      <c r="AA3220" s="11"/>
      <c r="AB3220" s="11"/>
      <c r="AC3220" s="105"/>
      <c r="AD3220" s="11" t="b">
        <v>0</v>
      </c>
      <c r="AE3220" s="105"/>
      <c r="AF3220" s="11"/>
      <c r="AG3220" s="11"/>
      <c r="AH3220" s="11"/>
      <c r="AI3220" s="11"/>
    </row>
    <row r="3221" ht="12.5" spans="3:35">
      <c r="C3221" s="19"/>
      <c r="D3221" s="19"/>
      <c r="H3221" s="105"/>
      <c r="I3221" s="126"/>
      <c r="J3221" s="11"/>
      <c r="K3221" s="108"/>
      <c r="L3221" s="11"/>
      <c r="M3221" s="105"/>
      <c r="N3221" s="105"/>
      <c r="O3221" s="11"/>
      <c r="P3221" s="11"/>
      <c r="Q3221" s="105"/>
      <c r="R3221" s="105"/>
      <c r="S3221" s="105"/>
      <c r="T3221" s="105"/>
      <c r="U3221" s="105"/>
      <c r="V3221" s="105"/>
      <c r="W3221" s="105"/>
      <c r="X3221" s="11"/>
      <c r="Y3221" s="11"/>
      <c r="Z3221" s="105"/>
      <c r="AA3221" s="11"/>
      <c r="AB3221" s="11"/>
      <c r="AC3221" s="105"/>
      <c r="AD3221" s="11" t="b">
        <v>0</v>
      </c>
      <c r="AE3221" s="105"/>
      <c r="AF3221" s="11"/>
      <c r="AG3221" s="11"/>
      <c r="AH3221" s="11"/>
      <c r="AI3221" s="11"/>
    </row>
    <row r="3222" ht="12.5" spans="3:35">
      <c r="C3222" s="19"/>
      <c r="D3222" s="19"/>
      <c r="H3222" s="105"/>
      <c r="I3222" s="126"/>
      <c r="J3222" s="11"/>
      <c r="K3222" s="108"/>
      <c r="L3222" s="11"/>
      <c r="M3222" s="105"/>
      <c r="N3222" s="105"/>
      <c r="O3222" s="11"/>
      <c r="P3222" s="11"/>
      <c r="Q3222" s="105"/>
      <c r="R3222" s="105"/>
      <c r="S3222" s="105"/>
      <c r="T3222" s="105"/>
      <c r="U3222" s="105"/>
      <c r="V3222" s="105"/>
      <c r="W3222" s="105"/>
      <c r="X3222" s="11"/>
      <c r="Y3222" s="11"/>
      <c r="Z3222" s="105"/>
      <c r="AA3222" s="11"/>
      <c r="AB3222" s="11"/>
      <c r="AC3222" s="105"/>
      <c r="AD3222" s="11" t="b">
        <v>0</v>
      </c>
      <c r="AE3222" s="105"/>
      <c r="AF3222" s="11"/>
      <c r="AG3222" s="11"/>
      <c r="AH3222" s="11"/>
      <c r="AI3222" s="11"/>
    </row>
    <row r="3223" ht="12.5" spans="3:35">
      <c r="C3223" s="19"/>
      <c r="D3223" s="19"/>
      <c r="H3223" s="105"/>
      <c r="I3223" s="126"/>
      <c r="J3223" s="11"/>
      <c r="K3223" s="108"/>
      <c r="L3223" s="11"/>
      <c r="M3223" s="105"/>
      <c r="N3223" s="105"/>
      <c r="O3223" s="11"/>
      <c r="P3223" s="11"/>
      <c r="Q3223" s="105"/>
      <c r="R3223" s="105"/>
      <c r="S3223" s="105"/>
      <c r="T3223" s="105"/>
      <c r="U3223" s="105"/>
      <c r="V3223" s="105"/>
      <c r="W3223" s="105"/>
      <c r="X3223" s="11"/>
      <c r="Y3223" s="11"/>
      <c r="Z3223" s="105"/>
      <c r="AA3223" s="11"/>
      <c r="AB3223" s="11"/>
      <c r="AC3223" s="105"/>
      <c r="AD3223" s="11" t="b">
        <v>0</v>
      </c>
      <c r="AE3223" s="105"/>
      <c r="AF3223" s="11"/>
      <c r="AG3223" s="11"/>
      <c r="AH3223" s="11"/>
      <c r="AI3223" s="11"/>
    </row>
    <row r="3224" ht="12.5" spans="3:35">
      <c r="C3224" s="19"/>
      <c r="D3224" s="19"/>
      <c r="H3224" s="105"/>
      <c r="I3224" s="126"/>
      <c r="J3224" s="11"/>
      <c r="K3224" s="108"/>
      <c r="L3224" s="11"/>
      <c r="M3224" s="105"/>
      <c r="N3224" s="105"/>
      <c r="O3224" s="11"/>
      <c r="P3224" s="11"/>
      <c r="Q3224" s="105"/>
      <c r="R3224" s="105"/>
      <c r="S3224" s="105"/>
      <c r="T3224" s="105"/>
      <c r="U3224" s="105"/>
      <c r="V3224" s="105"/>
      <c r="W3224" s="105"/>
      <c r="X3224" s="11"/>
      <c r="Y3224" s="11"/>
      <c r="Z3224" s="105"/>
      <c r="AA3224" s="11"/>
      <c r="AB3224" s="11"/>
      <c r="AC3224" s="105"/>
      <c r="AD3224" s="11" t="b">
        <v>0</v>
      </c>
      <c r="AE3224" s="105"/>
      <c r="AF3224" s="11"/>
      <c r="AG3224" s="11"/>
      <c r="AH3224" s="11"/>
      <c r="AI3224" s="11"/>
    </row>
    <row r="3225" ht="12.5" spans="3:35">
      <c r="C3225" s="19"/>
      <c r="D3225" s="19"/>
      <c r="H3225" s="105"/>
      <c r="I3225" s="126"/>
      <c r="J3225" s="11"/>
      <c r="K3225" s="108"/>
      <c r="L3225" s="11"/>
      <c r="M3225" s="105"/>
      <c r="N3225" s="105"/>
      <c r="O3225" s="11"/>
      <c r="P3225" s="11"/>
      <c r="Q3225" s="105"/>
      <c r="R3225" s="105"/>
      <c r="S3225" s="105"/>
      <c r="T3225" s="105"/>
      <c r="U3225" s="105"/>
      <c r="V3225" s="105"/>
      <c r="W3225" s="105"/>
      <c r="X3225" s="11"/>
      <c r="Y3225" s="11"/>
      <c r="Z3225" s="105"/>
      <c r="AA3225" s="11"/>
      <c r="AB3225" s="11"/>
      <c r="AC3225" s="105"/>
      <c r="AD3225" s="11" t="b">
        <v>0</v>
      </c>
      <c r="AE3225" s="105"/>
      <c r="AF3225" s="11"/>
      <c r="AG3225" s="11"/>
      <c r="AH3225" s="11"/>
      <c r="AI3225" s="11"/>
    </row>
    <row r="3226" ht="12.5" spans="3:35">
      <c r="C3226" s="19"/>
      <c r="D3226" s="19"/>
      <c r="H3226" s="105"/>
      <c r="I3226" s="126"/>
      <c r="J3226" s="11"/>
      <c r="K3226" s="108"/>
      <c r="L3226" s="11"/>
      <c r="M3226" s="105"/>
      <c r="N3226" s="105"/>
      <c r="O3226" s="11"/>
      <c r="P3226" s="11"/>
      <c r="Q3226" s="105"/>
      <c r="R3226" s="105"/>
      <c r="S3226" s="105"/>
      <c r="T3226" s="105"/>
      <c r="U3226" s="105"/>
      <c r="V3226" s="105"/>
      <c r="W3226" s="105"/>
      <c r="X3226" s="11"/>
      <c r="Y3226" s="11"/>
      <c r="Z3226" s="105"/>
      <c r="AA3226" s="11"/>
      <c r="AB3226" s="11"/>
      <c r="AC3226" s="105"/>
      <c r="AD3226" s="11" t="b">
        <v>0</v>
      </c>
      <c r="AE3226" s="105"/>
      <c r="AF3226" s="11"/>
      <c r="AG3226" s="11"/>
      <c r="AH3226" s="11"/>
      <c r="AI3226" s="11"/>
    </row>
    <row r="3227" ht="12.5" spans="3:35">
      <c r="C3227" s="19"/>
      <c r="D3227" s="19"/>
      <c r="H3227" s="105"/>
      <c r="I3227" s="126"/>
      <c r="J3227" s="11"/>
      <c r="K3227" s="108"/>
      <c r="L3227" s="11"/>
      <c r="M3227" s="105"/>
      <c r="N3227" s="105"/>
      <c r="O3227" s="11"/>
      <c r="P3227" s="11"/>
      <c r="Q3227" s="105"/>
      <c r="R3227" s="105"/>
      <c r="S3227" s="105"/>
      <c r="T3227" s="105"/>
      <c r="U3227" s="105"/>
      <c r="V3227" s="105"/>
      <c r="W3227" s="105"/>
      <c r="X3227" s="11"/>
      <c r="Y3227" s="11"/>
      <c r="Z3227" s="105"/>
      <c r="AA3227" s="11"/>
      <c r="AB3227" s="11"/>
      <c r="AC3227" s="105"/>
      <c r="AD3227" s="11" t="b">
        <v>0</v>
      </c>
      <c r="AE3227" s="105"/>
      <c r="AF3227" s="11"/>
      <c r="AG3227" s="11"/>
      <c r="AH3227" s="11"/>
      <c r="AI3227" s="11"/>
    </row>
    <row r="3228" ht="12.5" spans="3:35">
      <c r="C3228" s="19"/>
      <c r="D3228" s="19"/>
      <c r="H3228" s="105"/>
      <c r="I3228" s="126"/>
      <c r="J3228" s="11"/>
      <c r="K3228" s="108"/>
      <c r="L3228" s="11"/>
      <c r="M3228" s="105"/>
      <c r="N3228" s="105"/>
      <c r="O3228" s="11"/>
      <c r="P3228" s="11"/>
      <c r="Q3228" s="105"/>
      <c r="R3228" s="105"/>
      <c r="S3228" s="105"/>
      <c r="T3228" s="105"/>
      <c r="U3228" s="105"/>
      <c r="V3228" s="105"/>
      <c r="W3228" s="105"/>
      <c r="X3228" s="11"/>
      <c r="Y3228" s="11"/>
      <c r="Z3228" s="105"/>
      <c r="AA3228" s="11"/>
      <c r="AB3228" s="11"/>
      <c r="AC3228" s="105"/>
      <c r="AD3228" s="11" t="b">
        <v>0</v>
      </c>
      <c r="AE3228" s="105"/>
      <c r="AF3228" s="11"/>
      <c r="AG3228" s="11"/>
      <c r="AH3228" s="11"/>
      <c r="AI3228" s="11"/>
    </row>
    <row r="3229" ht="12.5" spans="3:35">
      <c r="C3229" s="19"/>
      <c r="D3229" s="19"/>
      <c r="H3229" s="105"/>
      <c r="I3229" s="126"/>
      <c r="J3229" s="11"/>
      <c r="K3229" s="108"/>
      <c r="L3229" s="11"/>
      <c r="M3229" s="105"/>
      <c r="N3229" s="105"/>
      <c r="O3229" s="11"/>
      <c r="P3229" s="11"/>
      <c r="Q3229" s="105"/>
      <c r="R3229" s="105"/>
      <c r="S3229" s="105"/>
      <c r="T3229" s="105"/>
      <c r="U3229" s="105"/>
      <c r="V3229" s="105"/>
      <c r="W3229" s="105"/>
      <c r="X3229" s="11"/>
      <c r="Y3229" s="11"/>
      <c r="Z3229" s="105"/>
      <c r="AA3229" s="11"/>
      <c r="AB3229" s="11"/>
      <c r="AC3229" s="105"/>
      <c r="AD3229" s="11" t="b">
        <v>0</v>
      </c>
      <c r="AE3229" s="105"/>
      <c r="AF3229" s="11"/>
      <c r="AG3229" s="11"/>
      <c r="AH3229" s="11"/>
      <c r="AI3229" s="11"/>
    </row>
    <row r="3230" ht="12.5" spans="3:35">
      <c r="C3230" s="19"/>
      <c r="D3230" s="19"/>
      <c r="H3230" s="105"/>
      <c r="I3230" s="126"/>
      <c r="J3230" s="11"/>
      <c r="K3230" s="108"/>
      <c r="L3230" s="11"/>
      <c r="M3230" s="105"/>
      <c r="N3230" s="105"/>
      <c r="O3230" s="11"/>
      <c r="P3230" s="11"/>
      <c r="Q3230" s="105"/>
      <c r="R3230" s="105"/>
      <c r="S3230" s="105"/>
      <c r="T3230" s="105"/>
      <c r="U3230" s="105"/>
      <c r="V3230" s="105"/>
      <c r="W3230" s="105"/>
      <c r="X3230" s="11"/>
      <c r="Y3230" s="11"/>
      <c r="Z3230" s="105"/>
      <c r="AA3230" s="11"/>
      <c r="AB3230" s="11"/>
      <c r="AC3230" s="105"/>
      <c r="AD3230" s="11" t="b">
        <v>0</v>
      </c>
      <c r="AE3230" s="105"/>
      <c r="AF3230" s="11"/>
      <c r="AG3230" s="11"/>
      <c r="AH3230" s="11"/>
      <c r="AI3230" s="11"/>
    </row>
    <row r="3231" ht="12.5" spans="3:35">
      <c r="C3231" s="19"/>
      <c r="D3231" s="19"/>
      <c r="H3231" s="105"/>
      <c r="I3231" s="126"/>
      <c r="J3231" s="11"/>
      <c r="K3231" s="108"/>
      <c r="L3231" s="11"/>
      <c r="M3231" s="105"/>
      <c r="N3231" s="105"/>
      <c r="O3231" s="11"/>
      <c r="P3231" s="11"/>
      <c r="Q3231" s="105"/>
      <c r="R3231" s="105"/>
      <c r="S3231" s="105"/>
      <c r="T3231" s="105"/>
      <c r="U3231" s="105"/>
      <c r="V3231" s="105"/>
      <c r="W3231" s="105"/>
      <c r="X3231" s="11"/>
      <c r="Y3231" s="11"/>
      <c r="Z3231" s="105"/>
      <c r="AA3231" s="11"/>
      <c r="AB3231" s="11"/>
      <c r="AC3231" s="105"/>
      <c r="AD3231" s="11" t="b">
        <v>0</v>
      </c>
      <c r="AE3231" s="105"/>
      <c r="AF3231" s="11"/>
      <c r="AG3231" s="11"/>
      <c r="AH3231" s="11"/>
      <c r="AI3231" s="11"/>
    </row>
    <row r="3232" ht="12.5" spans="3:35">
      <c r="C3232" s="19"/>
      <c r="D3232" s="19"/>
      <c r="H3232" s="105"/>
      <c r="I3232" s="126"/>
      <c r="J3232" s="11"/>
      <c r="K3232" s="108"/>
      <c r="L3232" s="11"/>
      <c r="M3232" s="105"/>
      <c r="N3232" s="105"/>
      <c r="O3232" s="11"/>
      <c r="P3232" s="11"/>
      <c r="Q3232" s="105"/>
      <c r="R3232" s="105"/>
      <c r="S3232" s="105"/>
      <c r="T3232" s="105"/>
      <c r="U3232" s="105"/>
      <c r="V3232" s="105"/>
      <c r="W3232" s="105"/>
      <c r="X3232" s="11"/>
      <c r="Y3232" s="11"/>
      <c r="Z3232" s="105"/>
      <c r="AA3232" s="11"/>
      <c r="AB3232" s="11"/>
      <c r="AC3232" s="105"/>
      <c r="AD3232" s="11" t="b">
        <v>0</v>
      </c>
      <c r="AE3232" s="105"/>
      <c r="AF3232" s="11"/>
      <c r="AG3232" s="11"/>
      <c r="AH3232" s="11"/>
      <c r="AI3232" s="11"/>
    </row>
    <row r="3233" ht="12.5" spans="3:35">
      <c r="C3233" s="19"/>
      <c r="D3233" s="19"/>
      <c r="H3233" s="105"/>
      <c r="I3233" s="126"/>
      <c r="J3233" s="11"/>
      <c r="K3233" s="108"/>
      <c r="L3233" s="11"/>
      <c r="M3233" s="105"/>
      <c r="N3233" s="105"/>
      <c r="O3233" s="11"/>
      <c r="P3233" s="11"/>
      <c r="Q3233" s="105"/>
      <c r="R3233" s="105"/>
      <c r="S3233" s="105"/>
      <c r="T3233" s="105"/>
      <c r="U3233" s="105"/>
      <c r="V3233" s="105"/>
      <c r="W3233" s="105"/>
      <c r="X3233" s="11"/>
      <c r="Y3233" s="11"/>
      <c r="Z3233" s="105"/>
      <c r="AA3233" s="11"/>
      <c r="AB3233" s="11"/>
      <c r="AC3233" s="105"/>
      <c r="AD3233" s="11" t="b">
        <v>0</v>
      </c>
      <c r="AE3233" s="105"/>
      <c r="AF3233" s="11"/>
      <c r="AG3233" s="11"/>
      <c r="AH3233" s="11"/>
      <c r="AI3233" s="11"/>
    </row>
    <row r="3234" ht="12.5" spans="3:35">
      <c r="C3234" s="19"/>
      <c r="D3234" s="19"/>
      <c r="H3234" s="105"/>
      <c r="I3234" s="126"/>
      <c r="J3234" s="11"/>
      <c r="K3234" s="108"/>
      <c r="L3234" s="11"/>
      <c r="M3234" s="105"/>
      <c r="N3234" s="105"/>
      <c r="O3234" s="11"/>
      <c r="P3234" s="11"/>
      <c r="Q3234" s="105"/>
      <c r="R3234" s="105"/>
      <c r="S3234" s="105"/>
      <c r="T3234" s="105"/>
      <c r="U3234" s="105"/>
      <c r="V3234" s="105"/>
      <c r="W3234" s="105"/>
      <c r="X3234" s="11"/>
      <c r="Y3234" s="11"/>
      <c r="Z3234" s="105"/>
      <c r="AA3234" s="11"/>
      <c r="AB3234" s="11"/>
      <c r="AC3234" s="105"/>
      <c r="AD3234" s="11" t="b">
        <v>0</v>
      </c>
      <c r="AE3234" s="105"/>
      <c r="AF3234" s="11"/>
      <c r="AG3234" s="11"/>
      <c r="AH3234" s="11"/>
      <c r="AI3234" s="11"/>
    </row>
    <row r="3235" ht="12.5" spans="3:35">
      <c r="C3235" s="19"/>
      <c r="D3235" s="19"/>
      <c r="H3235" s="105"/>
      <c r="I3235" s="126"/>
      <c r="J3235" s="11"/>
      <c r="K3235" s="108"/>
      <c r="L3235" s="11"/>
      <c r="M3235" s="105"/>
      <c r="N3235" s="105"/>
      <c r="O3235" s="11"/>
      <c r="P3235" s="11"/>
      <c r="Q3235" s="105"/>
      <c r="R3235" s="105"/>
      <c r="S3235" s="105"/>
      <c r="T3235" s="105"/>
      <c r="U3235" s="105"/>
      <c r="V3235" s="105"/>
      <c r="W3235" s="105"/>
      <c r="X3235" s="11"/>
      <c r="Y3235" s="11"/>
      <c r="Z3235" s="105"/>
      <c r="AA3235" s="11"/>
      <c r="AB3235" s="11"/>
      <c r="AC3235" s="105"/>
      <c r="AD3235" s="11" t="b">
        <v>0</v>
      </c>
      <c r="AE3235" s="105"/>
      <c r="AF3235" s="11"/>
      <c r="AG3235" s="11"/>
      <c r="AH3235" s="11"/>
      <c r="AI3235" s="11"/>
    </row>
    <row r="3236" ht="12.5" spans="3:35">
      <c r="C3236" s="19"/>
      <c r="D3236" s="19"/>
      <c r="H3236" s="105"/>
      <c r="I3236" s="126"/>
      <c r="J3236" s="11"/>
      <c r="K3236" s="108"/>
      <c r="L3236" s="11"/>
      <c r="M3236" s="105"/>
      <c r="N3236" s="105"/>
      <c r="O3236" s="11"/>
      <c r="P3236" s="11"/>
      <c r="Q3236" s="105"/>
      <c r="R3236" s="105"/>
      <c r="S3236" s="105"/>
      <c r="T3236" s="105"/>
      <c r="U3236" s="105"/>
      <c r="V3236" s="105"/>
      <c r="W3236" s="105"/>
      <c r="X3236" s="11"/>
      <c r="Y3236" s="11"/>
      <c r="Z3236" s="105"/>
      <c r="AA3236" s="11"/>
      <c r="AB3236" s="11"/>
      <c r="AC3236" s="105"/>
      <c r="AD3236" s="11" t="b">
        <v>0</v>
      </c>
      <c r="AE3236" s="105"/>
      <c r="AF3236" s="11"/>
      <c r="AG3236" s="11"/>
      <c r="AH3236" s="11"/>
      <c r="AI3236" s="11"/>
    </row>
    <row r="3237" ht="12.5" spans="3:35">
      <c r="C3237" s="19"/>
      <c r="D3237" s="19"/>
      <c r="H3237" s="105"/>
      <c r="I3237" s="126"/>
      <c r="J3237" s="11"/>
      <c r="K3237" s="108"/>
      <c r="L3237" s="11"/>
      <c r="M3237" s="105"/>
      <c r="N3237" s="105"/>
      <c r="O3237" s="11"/>
      <c r="P3237" s="11"/>
      <c r="Q3237" s="105"/>
      <c r="R3237" s="105"/>
      <c r="S3237" s="105"/>
      <c r="T3237" s="105"/>
      <c r="U3237" s="105"/>
      <c r="V3237" s="105"/>
      <c r="W3237" s="105"/>
      <c r="X3237" s="11"/>
      <c r="Y3237" s="11"/>
      <c r="Z3237" s="105"/>
      <c r="AA3237" s="11"/>
      <c r="AB3237" s="11"/>
      <c r="AC3237" s="105"/>
      <c r="AD3237" s="11" t="b">
        <v>0</v>
      </c>
      <c r="AE3237" s="105"/>
      <c r="AF3237" s="11"/>
      <c r="AG3237" s="11"/>
      <c r="AH3237" s="11"/>
      <c r="AI3237" s="11"/>
    </row>
    <row r="3238" ht="12.5" spans="3:35">
      <c r="C3238" s="19"/>
      <c r="D3238" s="19"/>
      <c r="H3238" s="105"/>
      <c r="I3238" s="126"/>
      <c r="J3238" s="11"/>
      <c r="K3238" s="108"/>
      <c r="L3238" s="11"/>
      <c r="M3238" s="105"/>
      <c r="N3238" s="105"/>
      <c r="O3238" s="11"/>
      <c r="P3238" s="11"/>
      <c r="Q3238" s="105"/>
      <c r="R3238" s="105"/>
      <c r="S3238" s="105"/>
      <c r="T3238" s="105"/>
      <c r="U3238" s="105"/>
      <c r="V3238" s="105"/>
      <c r="W3238" s="105"/>
      <c r="X3238" s="11"/>
      <c r="Y3238" s="11"/>
      <c r="Z3238" s="105"/>
      <c r="AA3238" s="11"/>
      <c r="AB3238" s="11"/>
      <c r="AC3238" s="105"/>
      <c r="AD3238" s="11" t="b">
        <v>0</v>
      </c>
      <c r="AE3238" s="105"/>
      <c r="AF3238" s="11"/>
      <c r="AG3238" s="11"/>
      <c r="AH3238" s="11"/>
      <c r="AI3238" s="11"/>
    </row>
    <row r="3239" ht="12.5" spans="3:35">
      <c r="C3239" s="19"/>
      <c r="D3239" s="19"/>
      <c r="H3239" s="105"/>
      <c r="I3239" s="126"/>
      <c r="J3239" s="11"/>
      <c r="K3239" s="108"/>
      <c r="L3239" s="11"/>
      <c r="M3239" s="105"/>
      <c r="N3239" s="105"/>
      <c r="O3239" s="11"/>
      <c r="P3239" s="11"/>
      <c r="Q3239" s="105"/>
      <c r="R3239" s="105"/>
      <c r="S3239" s="105"/>
      <c r="T3239" s="105"/>
      <c r="U3239" s="105"/>
      <c r="V3239" s="105"/>
      <c r="W3239" s="105"/>
      <c r="X3239" s="11"/>
      <c r="Y3239" s="11"/>
      <c r="Z3239" s="105"/>
      <c r="AA3239" s="11"/>
      <c r="AB3239" s="11"/>
      <c r="AC3239" s="105"/>
      <c r="AD3239" s="11" t="b">
        <v>0</v>
      </c>
      <c r="AE3239" s="105"/>
      <c r="AF3239" s="11"/>
      <c r="AG3239" s="11"/>
      <c r="AH3239" s="11"/>
      <c r="AI3239" s="11"/>
    </row>
    <row r="3240" ht="12.5" spans="3:35">
      <c r="C3240" s="19"/>
      <c r="D3240" s="19"/>
      <c r="H3240" s="105"/>
      <c r="I3240" s="126"/>
      <c r="J3240" s="11"/>
      <c r="K3240" s="108"/>
      <c r="L3240" s="11"/>
      <c r="M3240" s="105"/>
      <c r="N3240" s="105"/>
      <c r="O3240" s="11"/>
      <c r="P3240" s="11"/>
      <c r="Q3240" s="105"/>
      <c r="R3240" s="105"/>
      <c r="S3240" s="105"/>
      <c r="T3240" s="105"/>
      <c r="U3240" s="105"/>
      <c r="V3240" s="105"/>
      <c r="W3240" s="105"/>
      <c r="X3240" s="11"/>
      <c r="Y3240" s="11"/>
      <c r="Z3240" s="105"/>
      <c r="AA3240" s="11"/>
      <c r="AB3240" s="11"/>
      <c r="AC3240" s="105"/>
      <c r="AD3240" s="11" t="b">
        <v>0</v>
      </c>
      <c r="AE3240" s="105"/>
      <c r="AF3240" s="11"/>
      <c r="AG3240" s="11"/>
      <c r="AH3240" s="11"/>
      <c r="AI3240" s="11"/>
    </row>
    <row r="3241" ht="12.5" spans="3:35">
      <c r="C3241" s="19"/>
      <c r="D3241" s="19"/>
      <c r="H3241" s="105"/>
      <c r="I3241" s="126"/>
      <c r="J3241" s="11"/>
      <c r="K3241" s="108"/>
      <c r="L3241" s="11"/>
      <c r="M3241" s="105"/>
      <c r="N3241" s="105"/>
      <c r="O3241" s="11"/>
      <c r="P3241" s="11"/>
      <c r="Q3241" s="105"/>
      <c r="R3241" s="105"/>
      <c r="S3241" s="105"/>
      <c r="T3241" s="105"/>
      <c r="U3241" s="105"/>
      <c r="V3241" s="105"/>
      <c r="W3241" s="105"/>
      <c r="X3241" s="11"/>
      <c r="Y3241" s="11"/>
      <c r="Z3241" s="105"/>
      <c r="AA3241" s="11"/>
      <c r="AB3241" s="11"/>
      <c r="AC3241" s="105"/>
      <c r="AD3241" s="11" t="b">
        <v>0</v>
      </c>
      <c r="AE3241" s="105"/>
      <c r="AF3241" s="11"/>
      <c r="AG3241" s="11"/>
      <c r="AH3241" s="11"/>
      <c r="AI3241" s="11"/>
    </row>
    <row r="3242" ht="12.5" spans="3:35">
      <c r="C3242" s="19"/>
      <c r="D3242" s="19"/>
      <c r="H3242" s="105"/>
      <c r="I3242" s="126"/>
      <c r="J3242" s="11"/>
      <c r="K3242" s="108"/>
      <c r="L3242" s="11"/>
      <c r="M3242" s="105"/>
      <c r="N3242" s="105"/>
      <c r="O3242" s="11"/>
      <c r="P3242" s="11"/>
      <c r="Q3242" s="105"/>
      <c r="R3242" s="105"/>
      <c r="S3242" s="105"/>
      <c r="T3242" s="105"/>
      <c r="U3242" s="105"/>
      <c r="V3242" s="105"/>
      <c r="W3242" s="105"/>
      <c r="X3242" s="11"/>
      <c r="Y3242" s="11"/>
      <c r="Z3242" s="105"/>
      <c r="AA3242" s="11"/>
      <c r="AB3242" s="11"/>
      <c r="AC3242" s="105"/>
      <c r="AD3242" s="11" t="b">
        <v>0</v>
      </c>
      <c r="AE3242" s="105"/>
      <c r="AF3242" s="11"/>
      <c r="AG3242" s="11"/>
      <c r="AH3242" s="11"/>
      <c r="AI3242" s="11"/>
    </row>
    <row r="3243" ht="12.5" spans="3:35">
      <c r="C3243" s="19"/>
      <c r="D3243" s="19"/>
      <c r="H3243" s="105"/>
      <c r="I3243" s="126"/>
      <c r="J3243" s="11"/>
      <c r="K3243" s="108"/>
      <c r="L3243" s="11"/>
      <c r="M3243" s="105"/>
      <c r="N3243" s="105"/>
      <c r="O3243" s="11"/>
      <c r="P3243" s="11"/>
      <c r="Q3243" s="105"/>
      <c r="R3243" s="105"/>
      <c r="S3243" s="105"/>
      <c r="T3243" s="105"/>
      <c r="U3243" s="105"/>
      <c r="V3243" s="105"/>
      <c r="W3243" s="105"/>
      <c r="X3243" s="11"/>
      <c r="Y3243" s="11"/>
      <c r="Z3243" s="105"/>
      <c r="AA3243" s="11"/>
      <c r="AB3243" s="11"/>
      <c r="AC3243" s="105"/>
      <c r="AD3243" s="11" t="b">
        <v>0</v>
      </c>
      <c r="AE3243" s="105"/>
      <c r="AF3243" s="11"/>
      <c r="AG3243" s="11"/>
      <c r="AH3243" s="11"/>
      <c r="AI3243" s="11"/>
    </row>
    <row r="3244" ht="12.5" spans="3:35">
      <c r="C3244" s="19"/>
      <c r="D3244" s="19"/>
      <c r="H3244" s="105"/>
      <c r="I3244" s="126"/>
      <c r="J3244" s="11"/>
      <c r="K3244" s="108"/>
      <c r="L3244" s="11"/>
      <c r="M3244" s="105"/>
      <c r="N3244" s="105"/>
      <c r="O3244" s="11"/>
      <c r="P3244" s="11"/>
      <c r="Q3244" s="105"/>
      <c r="R3244" s="105"/>
      <c r="S3244" s="105"/>
      <c r="T3244" s="105"/>
      <c r="U3244" s="105"/>
      <c r="V3244" s="105"/>
      <c r="W3244" s="105"/>
      <c r="X3244" s="11"/>
      <c r="Y3244" s="11"/>
      <c r="Z3244" s="105"/>
      <c r="AA3244" s="11"/>
      <c r="AB3244" s="11"/>
      <c r="AC3244" s="105"/>
      <c r="AD3244" s="11" t="b">
        <v>0</v>
      </c>
      <c r="AE3244" s="105"/>
      <c r="AF3244" s="11"/>
      <c r="AG3244" s="11"/>
      <c r="AH3244" s="11"/>
      <c r="AI3244" s="11"/>
    </row>
    <row r="3245" ht="12.5" spans="3:35">
      <c r="C3245" s="19"/>
      <c r="D3245" s="19"/>
      <c r="H3245" s="105"/>
      <c r="I3245" s="126"/>
      <c r="J3245" s="11"/>
      <c r="K3245" s="108"/>
      <c r="L3245" s="11"/>
      <c r="M3245" s="105"/>
      <c r="N3245" s="105"/>
      <c r="O3245" s="11"/>
      <c r="P3245" s="11"/>
      <c r="Q3245" s="105"/>
      <c r="R3245" s="105"/>
      <c r="S3245" s="105"/>
      <c r="T3245" s="105"/>
      <c r="U3245" s="105"/>
      <c r="V3245" s="105"/>
      <c r="W3245" s="105"/>
      <c r="X3245" s="11"/>
      <c r="Y3245" s="11"/>
      <c r="Z3245" s="105"/>
      <c r="AA3245" s="11"/>
      <c r="AB3245" s="11"/>
      <c r="AC3245" s="105"/>
      <c r="AD3245" s="11" t="b">
        <v>0</v>
      </c>
      <c r="AE3245" s="105"/>
      <c r="AF3245" s="11"/>
      <c r="AG3245" s="11"/>
      <c r="AH3245" s="11"/>
      <c r="AI3245" s="11"/>
    </row>
    <row r="3246" ht="12.5" spans="3:35">
      <c r="C3246" s="19"/>
      <c r="D3246" s="19"/>
      <c r="H3246" s="105"/>
      <c r="I3246" s="126"/>
      <c r="J3246" s="11"/>
      <c r="K3246" s="108"/>
      <c r="L3246" s="11"/>
      <c r="M3246" s="105"/>
      <c r="N3246" s="105"/>
      <c r="O3246" s="11"/>
      <c r="P3246" s="11"/>
      <c r="Q3246" s="105"/>
      <c r="R3246" s="105"/>
      <c r="S3246" s="105"/>
      <c r="T3246" s="105"/>
      <c r="U3246" s="105"/>
      <c r="V3246" s="105"/>
      <c r="W3246" s="105"/>
      <c r="X3246" s="11"/>
      <c r="Y3246" s="11"/>
      <c r="Z3246" s="105"/>
      <c r="AA3246" s="11"/>
      <c r="AB3246" s="11"/>
      <c r="AC3246" s="105"/>
      <c r="AD3246" s="11" t="b">
        <v>0</v>
      </c>
      <c r="AE3246" s="105"/>
      <c r="AF3246" s="11"/>
      <c r="AG3246" s="11"/>
      <c r="AH3246" s="11"/>
      <c r="AI3246" s="11"/>
    </row>
    <row r="3247" ht="12.5" spans="3:35">
      <c r="C3247" s="19"/>
      <c r="D3247" s="19"/>
      <c r="H3247" s="105"/>
      <c r="I3247" s="126"/>
      <c r="J3247" s="11"/>
      <c r="K3247" s="108"/>
      <c r="L3247" s="11"/>
      <c r="M3247" s="105"/>
      <c r="N3247" s="105"/>
      <c r="O3247" s="11"/>
      <c r="P3247" s="11"/>
      <c r="Q3247" s="105"/>
      <c r="R3247" s="105"/>
      <c r="S3247" s="105"/>
      <c r="T3247" s="105"/>
      <c r="U3247" s="105"/>
      <c r="V3247" s="105"/>
      <c r="W3247" s="105"/>
      <c r="X3247" s="11"/>
      <c r="Y3247" s="11"/>
      <c r="Z3247" s="105"/>
      <c r="AA3247" s="11"/>
      <c r="AB3247" s="11"/>
      <c r="AC3247" s="105"/>
      <c r="AD3247" s="11" t="b">
        <v>0</v>
      </c>
      <c r="AE3247" s="105"/>
      <c r="AF3247" s="11"/>
      <c r="AG3247" s="11"/>
      <c r="AH3247" s="11"/>
      <c r="AI3247" s="11"/>
    </row>
    <row r="3248" ht="12.5" spans="3:35">
      <c r="C3248" s="19"/>
      <c r="D3248" s="19"/>
      <c r="H3248" s="105"/>
      <c r="I3248" s="126"/>
      <c r="J3248" s="11"/>
      <c r="K3248" s="108"/>
      <c r="L3248" s="11"/>
      <c r="M3248" s="105"/>
      <c r="N3248" s="105"/>
      <c r="O3248" s="11"/>
      <c r="P3248" s="11"/>
      <c r="Q3248" s="105"/>
      <c r="R3248" s="105"/>
      <c r="S3248" s="105"/>
      <c r="T3248" s="105"/>
      <c r="U3248" s="105"/>
      <c r="V3248" s="105"/>
      <c r="W3248" s="105"/>
      <c r="X3248" s="11"/>
      <c r="Y3248" s="11"/>
      <c r="Z3248" s="105"/>
      <c r="AA3248" s="11"/>
      <c r="AB3248" s="11"/>
      <c r="AC3248" s="105"/>
      <c r="AD3248" s="11" t="b">
        <v>0</v>
      </c>
      <c r="AE3248" s="105"/>
      <c r="AF3248" s="11"/>
      <c r="AG3248" s="11"/>
      <c r="AH3248" s="11"/>
      <c r="AI3248" s="11"/>
    </row>
    <row r="3249" ht="12.5" spans="3:35">
      <c r="C3249" s="19"/>
      <c r="D3249" s="19"/>
      <c r="H3249" s="105"/>
      <c r="I3249" s="126"/>
      <c r="J3249" s="11"/>
      <c r="K3249" s="108"/>
      <c r="L3249" s="11"/>
      <c r="M3249" s="105"/>
      <c r="N3249" s="105"/>
      <c r="O3249" s="11"/>
      <c r="P3249" s="11"/>
      <c r="Q3249" s="105"/>
      <c r="R3249" s="105"/>
      <c r="S3249" s="105"/>
      <c r="T3249" s="105"/>
      <c r="U3249" s="105"/>
      <c r="V3249" s="105"/>
      <c r="W3249" s="105"/>
      <c r="X3249" s="11"/>
      <c r="Y3249" s="11"/>
      <c r="Z3249" s="105"/>
      <c r="AA3249" s="11"/>
      <c r="AB3249" s="11"/>
      <c r="AC3249" s="105"/>
      <c r="AD3249" s="11" t="b">
        <v>0</v>
      </c>
      <c r="AE3249" s="105"/>
      <c r="AF3249" s="11"/>
      <c r="AG3249" s="11"/>
      <c r="AH3249" s="11"/>
      <c r="AI3249" s="11"/>
    </row>
    <row r="3250" ht="12.5" spans="3:35">
      <c r="C3250" s="19"/>
      <c r="D3250" s="19"/>
      <c r="H3250" s="105"/>
      <c r="I3250" s="126"/>
      <c r="J3250" s="11"/>
      <c r="K3250" s="108"/>
      <c r="L3250" s="11"/>
      <c r="M3250" s="105"/>
      <c r="N3250" s="105"/>
      <c r="O3250" s="11"/>
      <c r="P3250" s="11"/>
      <c r="Q3250" s="105"/>
      <c r="R3250" s="105"/>
      <c r="S3250" s="105"/>
      <c r="T3250" s="105"/>
      <c r="U3250" s="105"/>
      <c r="V3250" s="105"/>
      <c r="W3250" s="105"/>
      <c r="X3250" s="11"/>
      <c r="Y3250" s="11"/>
      <c r="Z3250" s="105"/>
      <c r="AA3250" s="11"/>
      <c r="AB3250" s="11"/>
      <c r="AC3250" s="105"/>
      <c r="AD3250" s="11" t="b">
        <v>0</v>
      </c>
      <c r="AE3250" s="105"/>
      <c r="AF3250" s="11"/>
      <c r="AG3250" s="11"/>
      <c r="AH3250" s="11"/>
      <c r="AI3250" s="11"/>
    </row>
    <row r="3251" ht="12.5" spans="3:35">
      <c r="C3251" s="19"/>
      <c r="D3251" s="19"/>
      <c r="H3251" s="105"/>
      <c r="I3251" s="126"/>
      <c r="J3251" s="11"/>
      <c r="K3251" s="108"/>
      <c r="L3251" s="11"/>
      <c r="M3251" s="105"/>
      <c r="N3251" s="105"/>
      <c r="O3251" s="11"/>
      <c r="P3251" s="11"/>
      <c r="Q3251" s="105"/>
      <c r="R3251" s="105"/>
      <c r="S3251" s="105"/>
      <c r="T3251" s="105"/>
      <c r="U3251" s="105"/>
      <c r="V3251" s="105"/>
      <c r="W3251" s="105"/>
      <c r="X3251" s="11"/>
      <c r="Y3251" s="11"/>
      <c r="Z3251" s="105"/>
      <c r="AA3251" s="11"/>
      <c r="AB3251" s="11"/>
      <c r="AC3251" s="105"/>
      <c r="AD3251" s="11" t="b">
        <v>0</v>
      </c>
      <c r="AE3251" s="105"/>
      <c r="AF3251" s="11"/>
      <c r="AG3251" s="11"/>
      <c r="AH3251" s="11"/>
      <c r="AI3251" s="11"/>
    </row>
    <row r="3252" ht="12.5" spans="3:35">
      <c r="C3252" s="19"/>
      <c r="D3252" s="19"/>
      <c r="H3252" s="105"/>
      <c r="I3252" s="126"/>
      <c r="J3252" s="11"/>
      <c r="K3252" s="108"/>
      <c r="L3252" s="11"/>
      <c r="M3252" s="105"/>
      <c r="N3252" s="105"/>
      <c r="O3252" s="11"/>
      <c r="P3252" s="11"/>
      <c r="Q3252" s="105"/>
      <c r="R3252" s="105"/>
      <c r="S3252" s="105"/>
      <c r="T3252" s="105"/>
      <c r="U3252" s="105"/>
      <c r="V3252" s="105"/>
      <c r="W3252" s="105"/>
      <c r="X3252" s="11"/>
      <c r="Y3252" s="11"/>
      <c r="Z3252" s="105"/>
      <c r="AA3252" s="11"/>
      <c r="AB3252" s="11"/>
      <c r="AC3252" s="105"/>
      <c r="AD3252" s="11" t="b">
        <v>0</v>
      </c>
      <c r="AE3252" s="105"/>
      <c r="AF3252" s="11"/>
      <c r="AG3252" s="11"/>
      <c r="AH3252" s="11"/>
      <c r="AI3252" s="11"/>
    </row>
    <row r="3253" ht="12.5" spans="3:35">
      <c r="C3253" s="19"/>
      <c r="D3253" s="19"/>
      <c r="H3253" s="105"/>
      <c r="I3253" s="126"/>
      <c r="J3253" s="11"/>
      <c r="K3253" s="108"/>
      <c r="L3253" s="11"/>
      <c r="M3253" s="105"/>
      <c r="N3253" s="105"/>
      <c r="O3253" s="11"/>
      <c r="P3253" s="11"/>
      <c r="Q3253" s="105"/>
      <c r="R3253" s="105"/>
      <c r="S3253" s="105"/>
      <c r="T3253" s="105"/>
      <c r="U3253" s="105"/>
      <c r="V3253" s="105"/>
      <c r="W3253" s="105"/>
      <c r="X3253" s="11"/>
      <c r="Y3253" s="11"/>
      <c r="Z3253" s="105"/>
      <c r="AA3253" s="11"/>
      <c r="AB3253" s="11"/>
      <c r="AC3253" s="105"/>
      <c r="AD3253" s="11" t="b">
        <v>0</v>
      </c>
      <c r="AE3253" s="105"/>
      <c r="AF3253" s="11"/>
      <c r="AG3253" s="11"/>
      <c r="AH3253" s="11"/>
      <c r="AI3253" s="11"/>
    </row>
    <row r="3254" ht="12.5" spans="3:35">
      <c r="C3254" s="19"/>
      <c r="D3254" s="19"/>
      <c r="H3254" s="105"/>
      <c r="I3254" s="126"/>
      <c r="J3254" s="11"/>
      <c r="K3254" s="108"/>
      <c r="L3254" s="11"/>
      <c r="M3254" s="105"/>
      <c r="N3254" s="105"/>
      <c r="O3254" s="11"/>
      <c r="P3254" s="11"/>
      <c r="Q3254" s="105"/>
      <c r="R3254" s="105"/>
      <c r="S3254" s="105"/>
      <c r="T3254" s="105"/>
      <c r="U3254" s="105"/>
      <c r="V3254" s="105"/>
      <c r="W3254" s="105"/>
      <c r="X3254" s="11"/>
      <c r="Y3254" s="11"/>
      <c r="Z3254" s="105"/>
      <c r="AA3254" s="11"/>
      <c r="AB3254" s="11"/>
      <c r="AC3254" s="105"/>
      <c r="AD3254" s="11" t="b">
        <v>0</v>
      </c>
      <c r="AE3254" s="105"/>
      <c r="AF3254" s="11"/>
      <c r="AG3254" s="11"/>
      <c r="AH3254" s="11"/>
      <c r="AI3254" s="11"/>
    </row>
    <row r="3255" ht="12.5" spans="3:35">
      <c r="C3255" s="19"/>
      <c r="D3255" s="19"/>
      <c r="H3255" s="105"/>
      <c r="I3255" s="126"/>
      <c r="J3255" s="11"/>
      <c r="K3255" s="108"/>
      <c r="L3255" s="11"/>
      <c r="M3255" s="105"/>
      <c r="N3255" s="105"/>
      <c r="O3255" s="11"/>
      <c r="P3255" s="11"/>
      <c r="Q3255" s="105"/>
      <c r="R3255" s="105"/>
      <c r="S3255" s="105"/>
      <c r="T3255" s="105"/>
      <c r="U3255" s="105"/>
      <c r="V3255" s="105"/>
      <c r="W3255" s="105"/>
      <c r="X3255" s="11"/>
      <c r="Y3255" s="11"/>
      <c r="Z3255" s="105"/>
      <c r="AA3255" s="11"/>
      <c r="AB3255" s="11"/>
      <c r="AC3255" s="105"/>
      <c r="AD3255" s="11" t="b">
        <v>0</v>
      </c>
      <c r="AE3255" s="105"/>
      <c r="AF3255" s="11"/>
      <c r="AG3255" s="11"/>
      <c r="AH3255" s="11"/>
      <c r="AI3255" s="11"/>
    </row>
    <row r="3256" ht="12.5" spans="3:35">
      <c r="C3256" s="19"/>
      <c r="D3256" s="19"/>
      <c r="H3256" s="105"/>
      <c r="I3256" s="126"/>
      <c r="J3256" s="11"/>
      <c r="K3256" s="108"/>
      <c r="L3256" s="11"/>
      <c r="M3256" s="105"/>
      <c r="N3256" s="105"/>
      <c r="O3256" s="11"/>
      <c r="P3256" s="11"/>
      <c r="Q3256" s="105"/>
      <c r="R3256" s="105"/>
      <c r="S3256" s="105"/>
      <c r="T3256" s="105"/>
      <c r="U3256" s="105"/>
      <c r="V3256" s="105"/>
      <c r="W3256" s="105"/>
      <c r="X3256" s="11"/>
      <c r="Y3256" s="11"/>
      <c r="Z3256" s="105"/>
      <c r="AA3256" s="11"/>
      <c r="AB3256" s="11"/>
      <c r="AC3256" s="105"/>
      <c r="AD3256" s="11" t="b">
        <v>0</v>
      </c>
      <c r="AE3256" s="105"/>
      <c r="AF3256" s="11"/>
      <c r="AG3256" s="11"/>
      <c r="AH3256" s="11"/>
      <c r="AI3256" s="11"/>
    </row>
    <row r="3257" ht="12.5" spans="3:35">
      <c r="C3257" s="19"/>
      <c r="D3257" s="19"/>
      <c r="H3257" s="105"/>
      <c r="I3257" s="126"/>
      <c r="J3257" s="11"/>
      <c r="K3257" s="108"/>
      <c r="L3257" s="11"/>
      <c r="M3257" s="105"/>
      <c r="N3257" s="105"/>
      <c r="O3257" s="11"/>
      <c r="P3257" s="11"/>
      <c r="Q3257" s="105"/>
      <c r="R3257" s="105"/>
      <c r="S3257" s="105"/>
      <c r="T3257" s="105"/>
      <c r="U3257" s="105"/>
      <c r="V3257" s="105"/>
      <c r="W3257" s="105"/>
      <c r="X3257" s="11"/>
      <c r="Y3257" s="11"/>
      <c r="Z3257" s="105"/>
      <c r="AA3257" s="11"/>
      <c r="AB3257" s="11"/>
      <c r="AC3257" s="105"/>
      <c r="AD3257" s="11" t="b">
        <v>0</v>
      </c>
      <c r="AE3257" s="105"/>
      <c r="AF3257" s="11"/>
      <c r="AG3257" s="11"/>
      <c r="AH3257" s="11"/>
      <c r="AI3257" s="11"/>
    </row>
    <row r="3258" ht="12.5" spans="3:35">
      <c r="C3258" s="19"/>
      <c r="D3258" s="19"/>
      <c r="H3258" s="105"/>
      <c r="I3258" s="126"/>
      <c r="J3258" s="11"/>
      <c r="K3258" s="108"/>
      <c r="L3258" s="11"/>
      <c r="M3258" s="105"/>
      <c r="N3258" s="105"/>
      <c r="O3258" s="11"/>
      <c r="P3258" s="11"/>
      <c r="Q3258" s="105"/>
      <c r="R3258" s="105"/>
      <c r="S3258" s="105"/>
      <c r="T3258" s="105"/>
      <c r="U3258" s="105"/>
      <c r="V3258" s="105"/>
      <c r="W3258" s="105"/>
      <c r="X3258" s="11"/>
      <c r="Y3258" s="11"/>
      <c r="Z3258" s="105"/>
      <c r="AA3258" s="11"/>
      <c r="AB3258" s="11"/>
      <c r="AC3258" s="105"/>
      <c r="AD3258" s="11" t="b">
        <v>0</v>
      </c>
      <c r="AE3258" s="105"/>
      <c r="AF3258" s="11"/>
      <c r="AG3258" s="11"/>
      <c r="AH3258" s="11"/>
      <c r="AI3258" s="11"/>
    </row>
    <row r="3259" ht="12.5" spans="3:35">
      <c r="C3259" s="19"/>
      <c r="D3259" s="19"/>
      <c r="H3259" s="105"/>
      <c r="I3259" s="126"/>
      <c r="J3259" s="11"/>
      <c r="K3259" s="108"/>
      <c r="L3259" s="11"/>
      <c r="M3259" s="105"/>
      <c r="N3259" s="105"/>
      <c r="O3259" s="11"/>
      <c r="P3259" s="11"/>
      <c r="Q3259" s="105"/>
      <c r="R3259" s="105"/>
      <c r="S3259" s="105"/>
      <c r="T3259" s="105"/>
      <c r="U3259" s="105"/>
      <c r="V3259" s="105"/>
      <c r="W3259" s="105"/>
      <c r="X3259" s="11"/>
      <c r="Y3259" s="11"/>
      <c r="Z3259" s="105"/>
      <c r="AA3259" s="11"/>
      <c r="AB3259" s="11"/>
      <c r="AC3259" s="105"/>
      <c r="AD3259" s="11" t="b">
        <v>0</v>
      </c>
      <c r="AE3259" s="105"/>
      <c r="AF3259" s="11"/>
      <c r="AG3259" s="11"/>
      <c r="AH3259" s="11"/>
      <c r="AI3259" s="11"/>
    </row>
    <row r="3260" ht="12.5" spans="3:35">
      <c r="C3260" s="19"/>
      <c r="D3260" s="19"/>
      <c r="H3260" s="105"/>
      <c r="I3260" s="126"/>
      <c r="J3260" s="11"/>
      <c r="K3260" s="108"/>
      <c r="L3260" s="11"/>
      <c r="M3260" s="105"/>
      <c r="N3260" s="105"/>
      <c r="O3260" s="11"/>
      <c r="P3260" s="11"/>
      <c r="Q3260" s="105"/>
      <c r="R3260" s="105"/>
      <c r="S3260" s="105"/>
      <c r="T3260" s="105"/>
      <c r="U3260" s="105"/>
      <c r="V3260" s="105"/>
      <c r="W3260" s="105"/>
      <c r="X3260" s="11"/>
      <c r="Y3260" s="11"/>
      <c r="Z3260" s="105"/>
      <c r="AA3260" s="11"/>
      <c r="AB3260" s="11"/>
      <c r="AC3260" s="105"/>
      <c r="AD3260" s="11" t="b">
        <v>0</v>
      </c>
      <c r="AE3260" s="105"/>
      <c r="AF3260" s="11"/>
      <c r="AG3260" s="11"/>
      <c r="AH3260" s="11"/>
      <c r="AI3260" s="11"/>
    </row>
    <row r="3261" ht="12.5" spans="3:35">
      <c r="C3261" s="19"/>
      <c r="D3261" s="19"/>
      <c r="H3261" s="105"/>
      <c r="I3261" s="126"/>
      <c r="J3261" s="11"/>
      <c r="K3261" s="108"/>
      <c r="L3261" s="11"/>
      <c r="M3261" s="105"/>
      <c r="N3261" s="105"/>
      <c r="O3261" s="11"/>
      <c r="P3261" s="11"/>
      <c r="Q3261" s="105"/>
      <c r="R3261" s="105"/>
      <c r="S3261" s="105"/>
      <c r="T3261" s="105"/>
      <c r="U3261" s="105"/>
      <c r="V3261" s="105"/>
      <c r="W3261" s="105"/>
      <c r="X3261" s="11"/>
      <c r="Y3261" s="11"/>
      <c r="Z3261" s="105"/>
      <c r="AA3261" s="11"/>
      <c r="AB3261" s="11"/>
      <c r="AC3261" s="105"/>
      <c r="AD3261" s="11" t="b">
        <v>0</v>
      </c>
      <c r="AE3261" s="105"/>
      <c r="AF3261" s="11"/>
      <c r="AG3261" s="11"/>
      <c r="AH3261" s="11"/>
      <c r="AI3261" s="11"/>
    </row>
    <row r="3262" ht="12.5" spans="3:35">
      <c r="C3262" s="19"/>
      <c r="D3262" s="19"/>
      <c r="H3262" s="105"/>
      <c r="I3262" s="126"/>
      <c r="J3262" s="11"/>
      <c r="K3262" s="108"/>
      <c r="L3262" s="11"/>
      <c r="M3262" s="105"/>
      <c r="N3262" s="105"/>
      <c r="O3262" s="11"/>
      <c r="P3262" s="11"/>
      <c r="Q3262" s="105"/>
      <c r="R3262" s="105"/>
      <c r="S3262" s="105"/>
      <c r="T3262" s="105"/>
      <c r="U3262" s="105"/>
      <c r="V3262" s="105"/>
      <c r="W3262" s="105"/>
      <c r="X3262" s="11"/>
      <c r="Y3262" s="11"/>
      <c r="Z3262" s="105"/>
      <c r="AA3262" s="11"/>
      <c r="AB3262" s="11"/>
      <c r="AC3262" s="105"/>
      <c r="AD3262" s="11" t="b">
        <v>0</v>
      </c>
      <c r="AE3262" s="105"/>
      <c r="AF3262" s="11"/>
      <c r="AG3262" s="11"/>
      <c r="AH3262" s="11"/>
      <c r="AI3262" s="11"/>
    </row>
    <row r="3263" ht="12.5" spans="3:35">
      <c r="C3263" s="19"/>
      <c r="D3263" s="19"/>
      <c r="H3263" s="105"/>
      <c r="I3263" s="126"/>
      <c r="J3263" s="11"/>
      <c r="K3263" s="108"/>
      <c r="L3263" s="11"/>
      <c r="M3263" s="105"/>
      <c r="N3263" s="105"/>
      <c r="O3263" s="11"/>
      <c r="P3263" s="11"/>
      <c r="Q3263" s="105"/>
      <c r="R3263" s="105"/>
      <c r="S3263" s="105"/>
      <c r="T3263" s="105"/>
      <c r="U3263" s="105"/>
      <c r="V3263" s="105"/>
      <c r="W3263" s="105"/>
      <c r="X3263" s="11"/>
      <c r="Y3263" s="11"/>
      <c r="Z3263" s="105"/>
      <c r="AA3263" s="11"/>
      <c r="AB3263" s="11"/>
      <c r="AC3263" s="105"/>
      <c r="AD3263" s="11" t="b">
        <v>0</v>
      </c>
      <c r="AE3263" s="105"/>
      <c r="AF3263" s="11"/>
      <c r="AG3263" s="11"/>
      <c r="AH3263" s="11"/>
      <c r="AI3263" s="11"/>
    </row>
    <row r="3264" ht="12.5" spans="3:35">
      <c r="C3264" s="19"/>
      <c r="D3264" s="19"/>
      <c r="H3264" s="105"/>
      <c r="I3264" s="126"/>
      <c r="J3264" s="11"/>
      <c r="K3264" s="108"/>
      <c r="L3264" s="11"/>
      <c r="M3264" s="105"/>
      <c r="N3264" s="105"/>
      <c r="O3264" s="11"/>
      <c r="P3264" s="11"/>
      <c r="Q3264" s="105"/>
      <c r="R3264" s="105"/>
      <c r="S3264" s="105"/>
      <c r="T3264" s="105"/>
      <c r="U3264" s="105"/>
      <c r="V3264" s="105"/>
      <c r="W3264" s="105"/>
      <c r="X3264" s="11"/>
      <c r="Y3264" s="11"/>
      <c r="Z3264" s="105"/>
      <c r="AA3264" s="11"/>
      <c r="AB3264" s="11"/>
      <c r="AC3264" s="105"/>
      <c r="AD3264" s="11" t="b">
        <v>0</v>
      </c>
      <c r="AE3264" s="105"/>
      <c r="AF3264" s="11"/>
      <c r="AG3264" s="11"/>
      <c r="AH3264" s="11"/>
      <c r="AI3264" s="11"/>
    </row>
    <row r="3265" ht="12.5" spans="3:35">
      <c r="C3265" s="19"/>
      <c r="D3265" s="19"/>
      <c r="H3265" s="105"/>
      <c r="I3265" s="126"/>
      <c r="J3265" s="11"/>
      <c r="K3265" s="108"/>
      <c r="L3265" s="11"/>
      <c r="M3265" s="105"/>
      <c r="N3265" s="105"/>
      <c r="O3265" s="11"/>
      <c r="P3265" s="11"/>
      <c r="Q3265" s="105"/>
      <c r="R3265" s="105"/>
      <c r="S3265" s="105"/>
      <c r="T3265" s="105"/>
      <c r="U3265" s="105"/>
      <c r="V3265" s="105"/>
      <c r="W3265" s="105"/>
      <c r="X3265" s="11"/>
      <c r="Y3265" s="11"/>
      <c r="Z3265" s="105"/>
      <c r="AA3265" s="11"/>
      <c r="AB3265" s="11"/>
      <c r="AC3265" s="105"/>
      <c r="AD3265" s="11" t="b">
        <v>0</v>
      </c>
      <c r="AE3265" s="105"/>
      <c r="AF3265" s="11"/>
      <c r="AG3265" s="11"/>
      <c r="AH3265" s="11"/>
      <c r="AI3265" s="11"/>
    </row>
    <row r="3266" ht="12.5" spans="3:35">
      <c r="C3266" s="19"/>
      <c r="D3266" s="19"/>
      <c r="H3266" s="105"/>
      <c r="I3266" s="126"/>
      <c r="J3266" s="11"/>
      <c r="K3266" s="108"/>
      <c r="L3266" s="11"/>
      <c r="M3266" s="105"/>
      <c r="N3266" s="105"/>
      <c r="O3266" s="11"/>
      <c r="P3266" s="11"/>
      <c r="Q3266" s="105"/>
      <c r="R3266" s="105"/>
      <c r="S3266" s="105"/>
      <c r="T3266" s="105"/>
      <c r="U3266" s="105"/>
      <c r="V3266" s="105"/>
      <c r="W3266" s="105"/>
      <c r="X3266" s="11"/>
      <c r="Y3266" s="11"/>
      <c r="Z3266" s="105"/>
      <c r="AA3266" s="11"/>
      <c r="AB3266" s="11"/>
      <c r="AC3266" s="105"/>
      <c r="AD3266" s="11" t="b">
        <v>0</v>
      </c>
      <c r="AE3266" s="105"/>
      <c r="AF3266" s="11"/>
      <c r="AG3266" s="11"/>
      <c r="AH3266" s="11"/>
      <c r="AI3266" s="11"/>
    </row>
    <row r="3267" ht="12.5" spans="3:35">
      <c r="C3267" s="19"/>
      <c r="D3267" s="19"/>
      <c r="H3267" s="105"/>
      <c r="I3267" s="126"/>
      <c r="J3267" s="11"/>
      <c r="K3267" s="108"/>
      <c r="L3267" s="11"/>
      <c r="M3267" s="105"/>
      <c r="N3267" s="105"/>
      <c r="O3267" s="11"/>
      <c r="P3267" s="11"/>
      <c r="Q3267" s="105"/>
      <c r="R3267" s="105"/>
      <c r="S3267" s="105"/>
      <c r="T3267" s="105"/>
      <c r="U3267" s="105"/>
      <c r="V3267" s="105"/>
      <c r="W3267" s="105"/>
      <c r="X3267" s="11"/>
      <c r="Y3267" s="11"/>
      <c r="Z3267" s="105"/>
      <c r="AA3267" s="11"/>
      <c r="AB3267" s="11"/>
      <c r="AC3267" s="105"/>
      <c r="AD3267" s="11" t="b">
        <v>0</v>
      </c>
      <c r="AE3267" s="105"/>
      <c r="AF3267" s="11"/>
      <c r="AG3267" s="11"/>
      <c r="AH3267" s="11"/>
      <c r="AI3267" s="11"/>
    </row>
    <row r="3268" ht="12.5" spans="3:35">
      <c r="C3268" s="19"/>
      <c r="D3268" s="19"/>
      <c r="H3268" s="105"/>
      <c r="I3268" s="126"/>
      <c r="J3268" s="11"/>
      <c r="K3268" s="108"/>
      <c r="L3268" s="11"/>
      <c r="M3268" s="105"/>
      <c r="N3268" s="105"/>
      <c r="O3268" s="11"/>
      <c r="P3268" s="11"/>
      <c r="Q3268" s="105"/>
      <c r="R3268" s="105"/>
      <c r="S3268" s="105"/>
      <c r="T3268" s="105"/>
      <c r="U3268" s="105"/>
      <c r="V3268" s="105"/>
      <c r="W3268" s="105"/>
      <c r="X3268" s="11"/>
      <c r="Y3268" s="11"/>
      <c r="Z3268" s="105"/>
      <c r="AA3268" s="11"/>
      <c r="AB3268" s="11"/>
      <c r="AC3268" s="105"/>
      <c r="AD3268" s="11" t="b">
        <v>0</v>
      </c>
      <c r="AE3268" s="105"/>
      <c r="AF3268" s="11"/>
      <c r="AG3268" s="11"/>
      <c r="AH3268" s="11"/>
      <c r="AI3268" s="11"/>
    </row>
    <row r="3269" ht="12.5" spans="3:35">
      <c r="C3269" s="19"/>
      <c r="D3269" s="19"/>
      <c r="H3269" s="105"/>
      <c r="I3269" s="126"/>
      <c r="J3269" s="11"/>
      <c r="K3269" s="108"/>
      <c r="L3269" s="11"/>
      <c r="M3269" s="105"/>
      <c r="N3269" s="105"/>
      <c r="O3269" s="11"/>
      <c r="P3269" s="11"/>
      <c r="Q3269" s="105"/>
      <c r="R3269" s="105"/>
      <c r="S3269" s="105"/>
      <c r="T3269" s="105"/>
      <c r="U3269" s="105"/>
      <c r="V3269" s="105"/>
      <c r="W3269" s="105"/>
      <c r="X3269" s="11"/>
      <c r="Y3269" s="11"/>
      <c r="Z3269" s="105"/>
      <c r="AA3269" s="11"/>
      <c r="AB3269" s="11"/>
      <c r="AC3269" s="105"/>
      <c r="AD3269" s="11" t="b">
        <v>0</v>
      </c>
      <c r="AE3269" s="105"/>
      <c r="AF3269" s="11"/>
      <c r="AG3269" s="11"/>
      <c r="AH3269" s="11"/>
      <c r="AI3269" s="11"/>
    </row>
    <row r="3270" ht="12.5" spans="3:35">
      <c r="C3270" s="19"/>
      <c r="D3270" s="19"/>
      <c r="H3270" s="105"/>
      <c r="I3270" s="126"/>
      <c r="J3270" s="11"/>
      <c r="K3270" s="108"/>
      <c r="L3270" s="11"/>
      <c r="M3270" s="105"/>
      <c r="N3270" s="105"/>
      <c r="O3270" s="11"/>
      <c r="P3270" s="11"/>
      <c r="Q3270" s="105"/>
      <c r="R3270" s="105"/>
      <c r="S3270" s="105"/>
      <c r="T3270" s="105"/>
      <c r="U3270" s="105"/>
      <c r="V3270" s="105"/>
      <c r="W3270" s="105"/>
      <c r="X3270" s="11"/>
      <c r="Y3270" s="11"/>
      <c r="Z3270" s="105"/>
      <c r="AA3270" s="11"/>
      <c r="AB3270" s="11"/>
      <c r="AC3270" s="105"/>
      <c r="AD3270" s="11" t="b">
        <v>0</v>
      </c>
      <c r="AE3270" s="105"/>
      <c r="AF3270" s="11"/>
      <c r="AG3270" s="11"/>
      <c r="AH3270" s="11"/>
      <c r="AI3270" s="11"/>
    </row>
    <row r="3271" ht="12.5" spans="3:35">
      <c r="C3271" s="19"/>
      <c r="D3271" s="19"/>
      <c r="H3271" s="105"/>
      <c r="I3271" s="126"/>
      <c r="J3271" s="11"/>
      <c r="K3271" s="108"/>
      <c r="L3271" s="11"/>
      <c r="M3271" s="105"/>
      <c r="N3271" s="105"/>
      <c r="O3271" s="11"/>
      <c r="P3271" s="11"/>
      <c r="Q3271" s="105"/>
      <c r="R3271" s="105"/>
      <c r="S3271" s="105"/>
      <c r="T3271" s="105"/>
      <c r="U3271" s="105"/>
      <c r="V3271" s="105"/>
      <c r="W3271" s="105"/>
      <c r="X3271" s="11"/>
      <c r="Y3271" s="11"/>
      <c r="Z3271" s="105"/>
      <c r="AA3271" s="11"/>
      <c r="AB3271" s="11"/>
      <c r="AC3271" s="105"/>
      <c r="AD3271" s="11" t="b">
        <v>0</v>
      </c>
      <c r="AE3271" s="105"/>
      <c r="AF3271" s="11"/>
      <c r="AG3271" s="11"/>
      <c r="AH3271" s="11"/>
      <c r="AI3271" s="11"/>
    </row>
    <row r="3272" ht="12.5" spans="3:35">
      <c r="C3272" s="19"/>
      <c r="D3272" s="19"/>
      <c r="H3272" s="105"/>
      <c r="I3272" s="126"/>
      <c r="J3272" s="11"/>
      <c r="K3272" s="108"/>
      <c r="L3272" s="11"/>
      <c r="M3272" s="105"/>
      <c r="N3272" s="105"/>
      <c r="O3272" s="11"/>
      <c r="P3272" s="11"/>
      <c r="Q3272" s="105"/>
      <c r="R3272" s="105"/>
      <c r="S3272" s="105"/>
      <c r="T3272" s="105"/>
      <c r="U3272" s="105"/>
      <c r="V3272" s="105"/>
      <c r="W3272" s="105"/>
      <c r="X3272" s="11"/>
      <c r="Y3272" s="11"/>
      <c r="Z3272" s="105"/>
      <c r="AA3272" s="11"/>
      <c r="AB3272" s="11"/>
      <c r="AC3272" s="105"/>
      <c r="AD3272" s="11" t="b">
        <v>0</v>
      </c>
      <c r="AE3272" s="105"/>
      <c r="AF3272" s="11"/>
      <c r="AG3272" s="11"/>
      <c r="AH3272" s="11"/>
      <c r="AI3272" s="11"/>
    </row>
    <row r="3273" ht="12.5" spans="3:35">
      <c r="C3273" s="19"/>
      <c r="D3273" s="19"/>
      <c r="H3273" s="105"/>
      <c r="I3273" s="126"/>
      <c r="J3273" s="11"/>
      <c r="K3273" s="108"/>
      <c r="L3273" s="11"/>
      <c r="M3273" s="105"/>
      <c r="N3273" s="105"/>
      <c r="O3273" s="11"/>
      <c r="P3273" s="11"/>
      <c r="Q3273" s="105"/>
      <c r="R3273" s="105"/>
      <c r="S3273" s="105"/>
      <c r="T3273" s="105"/>
      <c r="U3273" s="105"/>
      <c r="V3273" s="105"/>
      <c r="W3273" s="105"/>
      <c r="X3273" s="11"/>
      <c r="Y3273" s="11"/>
      <c r="Z3273" s="105"/>
      <c r="AA3273" s="11"/>
      <c r="AB3273" s="11"/>
      <c r="AC3273" s="105"/>
      <c r="AD3273" s="11" t="b">
        <v>0</v>
      </c>
      <c r="AE3273" s="105"/>
      <c r="AF3273" s="11"/>
      <c r="AG3273" s="11"/>
      <c r="AH3273" s="11"/>
      <c r="AI3273" s="11"/>
    </row>
    <row r="3274" ht="12.5" spans="3:35">
      <c r="C3274" s="19"/>
      <c r="D3274" s="19"/>
      <c r="H3274" s="105"/>
      <c r="I3274" s="126"/>
      <c r="J3274" s="11"/>
      <c r="K3274" s="108"/>
      <c r="L3274" s="11"/>
      <c r="M3274" s="105"/>
      <c r="N3274" s="105"/>
      <c r="O3274" s="11"/>
      <c r="P3274" s="11"/>
      <c r="Q3274" s="105"/>
      <c r="R3274" s="105"/>
      <c r="S3274" s="105"/>
      <c r="T3274" s="105"/>
      <c r="U3274" s="105"/>
      <c r="V3274" s="105"/>
      <c r="W3274" s="105"/>
      <c r="X3274" s="11"/>
      <c r="Y3274" s="11"/>
      <c r="Z3274" s="105"/>
      <c r="AA3274" s="11"/>
      <c r="AB3274" s="11"/>
      <c r="AC3274" s="105"/>
      <c r="AD3274" s="11" t="b">
        <v>0</v>
      </c>
      <c r="AE3274" s="105"/>
      <c r="AF3274" s="11"/>
      <c r="AG3274" s="11"/>
      <c r="AH3274" s="11"/>
      <c r="AI3274" s="11"/>
    </row>
    <row r="3275" ht="12.5" spans="3:35">
      <c r="C3275" s="19"/>
      <c r="D3275" s="19"/>
      <c r="H3275" s="105"/>
      <c r="I3275" s="126"/>
      <c r="J3275" s="11"/>
      <c r="K3275" s="108"/>
      <c r="L3275" s="11"/>
      <c r="M3275" s="105"/>
      <c r="N3275" s="105"/>
      <c r="O3275" s="11"/>
      <c r="P3275" s="11"/>
      <c r="Q3275" s="105"/>
      <c r="R3275" s="105"/>
      <c r="S3275" s="105"/>
      <c r="T3275" s="105"/>
      <c r="U3275" s="105"/>
      <c r="V3275" s="105"/>
      <c r="W3275" s="105"/>
      <c r="X3275" s="11"/>
      <c r="Y3275" s="11"/>
      <c r="Z3275" s="105"/>
      <c r="AA3275" s="11"/>
      <c r="AB3275" s="11"/>
      <c r="AC3275" s="105"/>
      <c r="AD3275" s="11" t="b">
        <v>0</v>
      </c>
      <c r="AE3275" s="105"/>
      <c r="AF3275" s="11"/>
      <c r="AG3275" s="11"/>
      <c r="AH3275" s="11"/>
      <c r="AI3275" s="11"/>
    </row>
    <row r="3276" ht="12.5" spans="3:35">
      <c r="C3276" s="19"/>
      <c r="D3276" s="19"/>
      <c r="H3276" s="105"/>
      <c r="I3276" s="126"/>
      <c r="J3276" s="11"/>
      <c r="K3276" s="108"/>
      <c r="L3276" s="11"/>
      <c r="M3276" s="105"/>
      <c r="N3276" s="105"/>
      <c r="O3276" s="11"/>
      <c r="P3276" s="11"/>
      <c r="Q3276" s="105"/>
      <c r="R3276" s="105"/>
      <c r="S3276" s="105"/>
      <c r="T3276" s="105"/>
      <c r="U3276" s="105"/>
      <c r="V3276" s="105"/>
      <c r="W3276" s="105"/>
      <c r="X3276" s="11"/>
      <c r="Y3276" s="11"/>
      <c r="Z3276" s="105"/>
      <c r="AA3276" s="11"/>
      <c r="AB3276" s="11"/>
      <c r="AC3276" s="105"/>
      <c r="AD3276" s="11" t="b">
        <v>0</v>
      </c>
      <c r="AE3276" s="105"/>
      <c r="AF3276" s="11"/>
      <c r="AG3276" s="11"/>
      <c r="AH3276" s="11"/>
      <c r="AI3276" s="11"/>
    </row>
    <row r="3277" ht="12.5" spans="3:35">
      <c r="C3277" s="19"/>
      <c r="D3277" s="19"/>
      <c r="H3277" s="105"/>
      <c r="I3277" s="126"/>
      <c r="J3277" s="11"/>
      <c r="K3277" s="108"/>
      <c r="L3277" s="11"/>
      <c r="M3277" s="105"/>
      <c r="N3277" s="105"/>
      <c r="O3277" s="11"/>
      <c r="P3277" s="11"/>
      <c r="Q3277" s="105"/>
      <c r="R3277" s="105"/>
      <c r="S3277" s="105"/>
      <c r="T3277" s="105"/>
      <c r="U3277" s="105"/>
      <c r="V3277" s="105"/>
      <c r="W3277" s="105"/>
      <c r="X3277" s="11"/>
      <c r="Y3277" s="11"/>
      <c r="Z3277" s="105"/>
      <c r="AA3277" s="11"/>
      <c r="AB3277" s="11"/>
      <c r="AC3277" s="105"/>
      <c r="AD3277" s="11" t="b">
        <v>0</v>
      </c>
      <c r="AE3277" s="105"/>
      <c r="AF3277" s="11"/>
      <c r="AG3277" s="11"/>
      <c r="AH3277" s="11"/>
      <c r="AI3277" s="11"/>
    </row>
    <row r="3278" ht="12.5" spans="3:35">
      <c r="C3278" s="19"/>
      <c r="D3278" s="19"/>
      <c r="H3278" s="105"/>
      <c r="I3278" s="126"/>
      <c r="J3278" s="11"/>
      <c r="K3278" s="108"/>
      <c r="L3278" s="11"/>
      <c r="M3278" s="105"/>
      <c r="N3278" s="105"/>
      <c r="O3278" s="11"/>
      <c r="P3278" s="11"/>
      <c r="Q3278" s="105"/>
      <c r="R3278" s="105"/>
      <c r="S3278" s="105"/>
      <c r="T3278" s="105"/>
      <c r="U3278" s="105"/>
      <c r="V3278" s="105"/>
      <c r="W3278" s="105"/>
      <c r="X3278" s="11"/>
      <c r="Y3278" s="11"/>
      <c r="Z3278" s="105"/>
      <c r="AA3278" s="11"/>
      <c r="AB3278" s="11"/>
      <c r="AC3278" s="105"/>
      <c r="AD3278" s="11" t="b">
        <v>0</v>
      </c>
      <c r="AE3278" s="105"/>
      <c r="AF3278" s="11"/>
      <c r="AG3278" s="11"/>
      <c r="AH3278" s="11"/>
      <c r="AI3278" s="11"/>
    </row>
    <row r="3279" ht="12.5" spans="3:35">
      <c r="C3279" s="19"/>
      <c r="D3279" s="19"/>
      <c r="H3279" s="105"/>
      <c r="I3279" s="126"/>
      <c r="J3279" s="11"/>
      <c r="K3279" s="108"/>
      <c r="L3279" s="11"/>
      <c r="M3279" s="105"/>
      <c r="N3279" s="105"/>
      <c r="O3279" s="11"/>
      <c r="P3279" s="11"/>
      <c r="Q3279" s="105"/>
      <c r="R3279" s="105"/>
      <c r="S3279" s="105"/>
      <c r="T3279" s="105"/>
      <c r="U3279" s="105"/>
      <c r="V3279" s="105"/>
      <c r="W3279" s="105"/>
      <c r="X3279" s="11"/>
      <c r="Y3279" s="11"/>
      <c r="Z3279" s="105"/>
      <c r="AA3279" s="11"/>
      <c r="AB3279" s="11"/>
      <c r="AC3279" s="105"/>
      <c r="AD3279" s="11" t="b">
        <v>0</v>
      </c>
      <c r="AE3279" s="105"/>
      <c r="AF3279" s="11"/>
      <c r="AG3279" s="11"/>
      <c r="AH3279" s="11"/>
      <c r="AI3279" s="11"/>
    </row>
    <row r="3280" ht="12.5" spans="3:35">
      <c r="C3280" s="19"/>
      <c r="D3280" s="19"/>
      <c r="H3280" s="105"/>
      <c r="I3280" s="126"/>
      <c r="J3280" s="11"/>
      <c r="K3280" s="108"/>
      <c r="L3280" s="11"/>
      <c r="M3280" s="105"/>
      <c r="N3280" s="105"/>
      <c r="O3280" s="11"/>
      <c r="P3280" s="11"/>
      <c r="Q3280" s="105"/>
      <c r="R3280" s="105"/>
      <c r="S3280" s="105"/>
      <c r="T3280" s="105"/>
      <c r="U3280" s="105"/>
      <c r="V3280" s="105"/>
      <c r="W3280" s="105"/>
      <c r="X3280" s="11"/>
      <c r="Y3280" s="11"/>
      <c r="Z3280" s="105"/>
      <c r="AA3280" s="11"/>
      <c r="AB3280" s="11"/>
      <c r="AC3280" s="105"/>
      <c r="AD3280" s="11" t="b">
        <v>0</v>
      </c>
      <c r="AE3280" s="105"/>
      <c r="AF3280" s="11"/>
      <c r="AG3280" s="11"/>
      <c r="AH3280" s="11"/>
      <c r="AI3280" s="11"/>
    </row>
    <row r="3281" ht="12.5" spans="3:35">
      <c r="C3281" s="19"/>
      <c r="D3281" s="19"/>
      <c r="H3281" s="105"/>
      <c r="I3281" s="126"/>
      <c r="J3281" s="11"/>
      <c r="K3281" s="108"/>
      <c r="L3281" s="11"/>
      <c r="M3281" s="105"/>
      <c r="N3281" s="105"/>
      <c r="O3281" s="11"/>
      <c r="P3281" s="11"/>
      <c r="Q3281" s="105"/>
      <c r="R3281" s="105"/>
      <c r="S3281" s="105"/>
      <c r="T3281" s="105"/>
      <c r="U3281" s="105"/>
      <c r="V3281" s="105"/>
      <c r="W3281" s="105"/>
      <c r="X3281" s="11"/>
      <c r="Y3281" s="11"/>
      <c r="Z3281" s="105"/>
      <c r="AA3281" s="11"/>
      <c r="AB3281" s="11"/>
      <c r="AC3281" s="105"/>
      <c r="AD3281" s="11" t="b">
        <v>0</v>
      </c>
      <c r="AE3281" s="105"/>
      <c r="AF3281" s="11"/>
      <c r="AG3281" s="11"/>
      <c r="AH3281" s="11"/>
      <c r="AI3281" s="11"/>
    </row>
    <row r="3282" ht="12.5" spans="3:35">
      <c r="C3282" s="19"/>
      <c r="D3282" s="19"/>
      <c r="H3282" s="105"/>
      <c r="I3282" s="126"/>
      <c r="J3282" s="11"/>
      <c r="K3282" s="108"/>
      <c r="L3282" s="11"/>
      <c r="M3282" s="105"/>
      <c r="N3282" s="105"/>
      <c r="O3282" s="11"/>
      <c r="P3282" s="11"/>
      <c r="Q3282" s="105"/>
      <c r="R3282" s="105"/>
      <c r="S3282" s="105"/>
      <c r="T3282" s="105"/>
      <c r="U3282" s="105"/>
      <c r="V3282" s="105"/>
      <c r="W3282" s="105"/>
      <c r="X3282" s="11"/>
      <c r="Y3282" s="11"/>
      <c r="Z3282" s="105"/>
      <c r="AA3282" s="11"/>
      <c r="AB3282" s="11"/>
      <c r="AC3282" s="105"/>
      <c r="AD3282" s="11" t="b">
        <v>0</v>
      </c>
      <c r="AE3282" s="105"/>
      <c r="AF3282" s="11"/>
      <c r="AG3282" s="11"/>
      <c r="AH3282" s="11"/>
      <c r="AI3282" s="11"/>
    </row>
    <row r="3283" ht="12.5" spans="3:35">
      <c r="C3283" s="19"/>
      <c r="D3283" s="19"/>
      <c r="H3283" s="105"/>
      <c r="I3283" s="126"/>
      <c r="J3283" s="11"/>
      <c r="K3283" s="108"/>
      <c r="L3283" s="11"/>
      <c r="M3283" s="105"/>
      <c r="N3283" s="105"/>
      <c r="O3283" s="11"/>
      <c r="P3283" s="11"/>
      <c r="Q3283" s="105"/>
      <c r="R3283" s="105"/>
      <c r="S3283" s="105"/>
      <c r="T3283" s="105"/>
      <c r="U3283" s="105"/>
      <c r="V3283" s="105"/>
      <c r="W3283" s="105"/>
      <c r="X3283" s="11"/>
      <c r="Y3283" s="11"/>
      <c r="Z3283" s="105"/>
      <c r="AA3283" s="11"/>
      <c r="AB3283" s="11"/>
      <c r="AC3283" s="105"/>
      <c r="AD3283" s="11" t="b">
        <v>0</v>
      </c>
      <c r="AE3283" s="105"/>
      <c r="AF3283" s="11"/>
      <c r="AG3283" s="11"/>
      <c r="AH3283" s="11"/>
      <c r="AI3283" s="11"/>
    </row>
    <row r="3284" ht="12.5" spans="3:35">
      <c r="C3284" s="19"/>
      <c r="D3284" s="19"/>
      <c r="H3284" s="105"/>
      <c r="I3284" s="126"/>
      <c r="J3284" s="11"/>
      <c r="K3284" s="108"/>
      <c r="L3284" s="11"/>
      <c r="M3284" s="105"/>
      <c r="N3284" s="105"/>
      <c r="O3284" s="11"/>
      <c r="P3284" s="11"/>
      <c r="Q3284" s="105"/>
      <c r="R3284" s="105"/>
      <c r="S3284" s="105"/>
      <c r="T3284" s="105"/>
      <c r="U3284" s="105"/>
      <c r="V3284" s="105"/>
      <c r="W3284" s="105"/>
      <c r="X3284" s="11"/>
      <c r="Y3284" s="11"/>
      <c r="Z3284" s="105"/>
      <c r="AA3284" s="11"/>
      <c r="AB3284" s="11"/>
      <c r="AC3284" s="105"/>
      <c r="AD3284" s="11" t="b">
        <v>0</v>
      </c>
      <c r="AE3284" s="105"/>
      <c r="AF3284" s="11"/>
      <c r="AG3284" s="11"/>
      <c r="AH3284" s="11"/>
      <c r="AI3284" s="11"/>
    </row>
    <row r="3285" ht="12.5" spans="3:35">
      <c r="C3285" s="19"/>
      <c r="D3285" s="19"/>
      <c r="H3285" s="105"/>
      <c r="I3285" s="126"/>
      <c r="J3285" s="11"/>
      <c r="K3285" s="108"/>
      <c r="L3285" s="11"/>
      <c r="M3285" s="105"/>
      <c r="N3285" s="105"/>
      <c r="O3285" s="11"/>
      <c r="P3285" s="11"/>
      <c r="Q3285" s="105"/>
      <c r="R3285" s="105"/>
      <c r="S3285" s="105"/>
      <c r="T3285" s="105"/>
      <c r="U3285" s="105"/>
      <c r="V3285" s="105"/>
      <c r="W3285" s="105"/>
      <c r="X3285" s="11"/>
      <c r="Y3285" s="11"/>
      <c r="Z3285" s="105"/>
      <c r="AA3285" s="11"/>
      <c r="AB3285" s="11"/>
      <c r="AC3285" s="105"/>
      <c r="AD3285" s="11" t="b">
        <v>0</v>
      </c>
      <c r="AE3285" s="105"/>
      <c r="AF3285" s="11"/>
      <c r="AG3285" s="11"/>
      <c r="AH3285" s="11"/>
      <c r="AI3285" s="11"/>
    </row>
    <row r="3286" ht="12.5" spans="3:35">
      <c r="C3286" s="19"/>
      <c r="D3286" s="19"/>
      <c r="H3286" s="105"/>
      <c r="I3286" s="126"/>
      <c r="J3286" s="11"/>
      <c r="K3286" s="108"/>
      <c r="L3286" s="11"/>
      <c r="M3286" s="105"/>
      <c r="N3286" s="105"/>
      <c r="O3286" s="11"/>
      <c r="P3286" s="11"/>
      <c r="Q3286" s="105"/>
      <c r="R3286" s="105"/>
      <c r="S3286" s="105"/>
      <c r="T3286" s="105"/>
      <c r="U3286" s="105"/>
      <c r="V3286" s="105"/>
      <c r="W3286" s="105"/>
      <c r="X3286" s="11"/>
      <c r="Y3286" s="11"/>
      <c r="Z3286" s="105"/>
      <c r="AA3286" s="11"/>
      <c r="AB3286" s="11"/>
      <c r="AC3286" s="105"/>
      <c r="AD3286" s="11" t="b">
        <v>0</v>
      </c>
      <c r="AE3286" s="105"/>
      <c r="AF3286" s="11"/>
      <c r="AG3286" s="11"/>
      <c r="AH3286" s="11"/>
      <c r="AI3286" s="11"/>
    </row>
    <row r="3287" ht="12.5" spans="3:35">
      <c r="C3287" s="19"/>
      <c r="D3287" s="19"/>
      <c r="H3287" s="105"/>
      <c r="I3287" s="126"/>
      <c r="J3287" s="11"/>
      <c r="K3287" s="108"/>
      <c r="L3287" s="11"/>
      <c r="M3287" s="105"/>
      <c r="N3287" s="105"/>
      <c r="O3287" s="11"/>
      <c r="P3287" s="11"/>
      <c r="Q3287" s="105"/>
      <c r="R3287" s="105"/>
      <c r="S3287" s="105"/>
      <c r="T3287" s="105"/>
      <c r="U3287" s="105"/>
      <c r="V3287" s="105"/>
      <c r="W3287" s="105"/>
      <c r="X3287" s="11"/>
      <c r="Y3287" s="11"/>
      <c r="Z3287" s="105"/>
      <c r="AA3287" s="11"/>
      <c r="AB3287" s="11"/>
      <c r="AC3287" s="105"/>
      <c r="AD3287" s="11" t="b">
        <v>0</v>
      </c>
      <c r="AE3287" s="105"/>
      <c r="AF3287" s="11"/>
      <c r="AG3287" s="11"/>
      <c r="AH3287" s="11"/>
      <c r="AI3287" s="11"/>
    </row>
    <row r="3288" ht="12.5" spans="3:35">
      <c r="C3288" s="19"/>
      <c r="D3288" s="19"/>
      <c r="H3288" s="105"/>
      <c r="I3288" s="126"/>
      <c r="J3288" s="11"/>
      <c r="K3288" s="108"/>
      <c r="L3288" s="11"/>
      <c r="M3288" s="105"/>
      <c r="N3288" s="105"/>
      <c r="O3288" s="11"/>
      <c r="P3288" s="11"/>
      <c r="Q3288" s="105"/>
      <c r="R3288" s="105"/>
      <c r="S3288" s="105"/>
      <c r="T3288" s="105"/>
      <c r="U3288" s="105"/>
      <c r="V3288" s="105"/>
      <c r="W3288" s="105"/>
      <c r="X3288" s="11"/>
      <c r="Y3288" s="11"/>
      <c r="Z3288" s="105"/>
      <c r="AA3288" s="11"/>
      <c r="AB3288" s="11"/>
      <c r="AC3288" s="105"/>
      <c r="AD3288" s="11" t="b">
        <v>0</v>
      </c>
      <c r="AE3288" s="105"/>
      <c r="AF3288" s="11"/>
      <c r="AG3288" s="11"/>
      <c r="AH3288" s="11"/>
      <c r="AI3288" s="11"/>
    </row>
    <row r="3289" ht="12.5" spans="3:35">
      <c r="C3289" s="19"/>
      <c r="D3289" s="19"/>
      <c r="H3289" s="105"/>
      <c r="I3289" s="126"/>
      <c r="J3289" s="11"/>
      <c r="K3289" s="108"/>
      <c r="L3289" s="11"/>
      <c r="M3289" s="105"/>
      <c r="N3289" s="105"/>
      <c r="O3289" s="11"/>
      <c r="P3289" s="11"/>
      <c r="Q3289" s="105"/>
      <c r="R3289" s="105"/>
      <c r="S3289" s="105"/>
      <c r="T3289" s="105"/>
      <c r="U3289" s="105"/>
      <c r="V3289" s="105"/>
      <c r="W3289" s="105"/>
      <c r="X3289" s="11"/>
      <c r="Y3289" s="11"/>
      <c r="Z3289" s="105"/>
      <c r="AA3289" s="11"/>
      <c r="AB3289" s="11"/>
      <c r="AC3289" s="105"/>
      <c r="AD3289" s="11" t="b">
        <v>0</v>
      </c>
      <c r="AE3289" s="105"/>
      <c r="AF3289" s="11"/>
      <c r="AG3289" s="11"/>
      <c r="AH3289" s="11"/>
      <c r="AI3289" s="11"/>
    </row>
    <row r="3290" ht="12.5" spans="3:35">
      <c r="C3290" s="19"/>
      <c r="D3290" s="19"/>
      <c r="H3290" s="105"/>
      <c r="I3290" s="126"/>
      <c r="J3290" s="11"/>
      <c r="K3290" s="108"/>
      <c r="L3290" s="11"/>
      <c r="M3290" s="105"/>
      <c r="N3290" s="105"/>
      <c r="O3290" s="11"/>
      <c r="P3290" s="11"/>
      <c r="Q3290" s="105"/>
      <c r="R3290" s="105"/>
      <c r="S3290" s="105"/>
      <c r="T3290" s="105"/>
      <c r="U3290" s="105"/>
      <c r="V3290" s="105"/>
      <c r="W3290" s="105"/>
      <c r="X3290" s="11"/>
      <c r="Y3290" s="11"/>
      <c r="Z3290" s="105"/>
      <c r="AA3290" s="11"/>
      <c r="AB3290" s="11"/>
      <c r="AC3290" s="105"/>
      <c r="AD3290" s="11" t="b">
        <v>0</v>
      </c>
      <c r="AE3290" s="105"/>
      <c r="AF3290" s="11"/>
      <c r="AG3290" s="11"/>
      <c r="AH3290" s="11"/>
      <c r="AI3290" s="11"/>
    </row>
    <row r="3291" ht="12.5" spans="3:35">
      <c r="C3291" s="19"/>
      <c r="D3291" s="19"/>
      <c r="H3291" s="105"/>
      <c r="I3291" s="126"/>
      <c r="J3291" s="11"/>
      <c r="K3291" s="108"/>
      <c r="L3291" s="11"/>
      <c r="M3291" s="105"/>
      <c r="N3291" s="105"/>
      <c r="O3291" s="11"/>
      <c r="P3291" s="11"/>
      <c r="Q3291" s="105"/>
      <c r="R3291" s="105"/>
      <c r="S3291" s="105"/>
      <c r="T3291" s="105"/>
      <c r="U3291" s="105"/>
      <c r="V3291" s="105"/>
      <c r="W3291" s="105"/>
      <c r="X3291" s="11"/>
      <c r="Y3291" s="11"/>
      <c r="Z3291" s="105"/>
      <c r="AA3291" s="11"/>
      <c r="AB3291" s="11"/>
      <c r="AC3291" s="105"/>
      <c r="AD3291" s="11" t="b">
        <v>0</v>
      </c>
      <c r="AE3291" s="105"/>
      <c r="AF3291" s="11"/>
      <c r="AG3291" s="11"/>
      <c r="AH3291" s="11"/>
      <c r="AI3291" s="11"/>
    </row>
    <row r="3292" ht="12.5" spans="3:35">
      <c r="C3292" s="19"/>
      <c r="D3292" s="19"/>
      <c r="H3292" s="105"/>
      <c r="I3292" s="126"/>
      <c r="J3292" s="11"/>
      <c r="K3292" s="108"/>
      <c r="L3292" s="11"/>
      <c r="M3292" s="105"/>
      <c r="N3292" s="105"/>
      <c r="O3292" s="11"/>
      <c r="P3292" s="11"/>
      <c r="Q3292" s="105"/>
      <c r="R3292" s="105"/>
      <c r="S3292" s="105"/>
      <c r="T3292" s="105"/>
      <c r="U3292" s="105"/>
      <c r="V3292" s="105"/>
      <c r="W3292" s="105"/>
      <c r="X3292" s="11"/>
      <c r="Y3292" s="11"/>
      <c r="Z3292" s="105"/>
      <c r="AA3292" s="11"/>
      <c r="AB3292" s="11"/>
      <c r="AC3292" s="105"/>
      <c r="AD3292" s="11" t="b">
        <v>0</v>
      </c>
      <c r="AE3292" s="105"/>
      <c r="AF3292" s="11"/>
      <c r="AG3292" s="11"/>
      <c r="AH3292" s="11"/>
      <c r="AI3292" s="11"/>
    </row>
    <row r="3293" ht="12.5" spans="3:35">
      <c r="C3293" s="19"/>
      <c r="D3293" s="19"/>
      <c r="H3293" s="105"/>
      <c r="I3293" s="126"/>
      <c r="J3293" s="11"/>
      <c r="K3293" s="108"/>
      <c r="L3293" s="11"/>
      <c r="M3293" s="105"/>
      <c r="N3293" s="105"/>
      <c r="O3293" s="11"/>
      <c r="P3293" s="11"/>
      <c r="Q3293" s="105"/>
      <c r="R3293" s="105"/>
      <c r="S3293" s="105"/>
      <c r="T3293" s="105"/>
      <c r="U3293" s="105"/>
      <c r="V3293" s="105"/>
      <c r="W3293" s="105"/>
      <c r="X3293" s="11"/>
      <c r="Y3293" s="11"/>
      <c r="Z3293" s="105"/>
      <c r="AA3293" s="11"/>
      <c r="AB3293" s="11"/>
      <c r="AC3293" s="105"/>
      <c r="AD3293" s="11" t="b">
        <v>0</v>
      </c>
      <c r="AE3293" s="105"/>
      <c r="AF3293" s="11"/>
      <c r="AG3293" s="11"/>
      <c r="AH3293" s="11"/>
      <c r="AI3293" s="11"/>
    </row>
    <row r="3294" ht="12.5" spans="3:35">
      <c r="C3294" s="19"/>
      <c r="D3294" s="19"/>
      <c r="H3294" s="105"/>
      <c r="I3294" s="126"/>
      <c r="J3294" s="11"/>
      <c r="K3294" s="108"/>
      <c r="L3294" s="11"/>
      <c r="M3294" s="105"/>
      <c r="N3294" s="105"/>
      <c r="O3294" s="11"/>
      <c r="P3294" s="11"/>
      <c r="Q3294" s="105"/>
      <c r="R3294" s="105"/>
      <c r="S3294" s="105"/>
      <c r="T3294" s="105"/>
      <c r="U3294" s="105"/>
      <c r="V3294" s="105"/>
      <c r="W3294" s="105"/>
      <c r="X3294" s="11"/>
      <c r="Y3294" s="11"/>
      <c r="Z3294" s="105"/>
      <c r="AA3294" s="11"/>
      <c r="AB3294" s="11"/>
      <c r="AC3294" s="105"/>
      <c r="AD3294" s="11" t="b">
        <v>0</v>
      </c>
      <c r="AE3294" s="105"/>
      <c r="AF3294" s="11"/>
      <c r="AG3294" s="11"/>
      <c r="AH3294" s="11"/>
      <c r="AI3294" s="11"/>
    </row>
    <row r="3295" ht="12.5" spans="3:35">
      <c r="C3295" s="19"/>
      <c r="D3295" s="19"/>
      <c r="H3295" s="105"/>
      <c r="I3295" s="126"/>
      <c r="J3295" s="11"/>
      <c r="K3295" s="108"/>
      <c r="L3295" s="11"/>
      <c r="M3295" s="105"/>
      <c r="N3295" s="105"/>
      <c r="O3295" s="11"/>
      <c r="P3295" s="11"/>
      <c r="Q3295" s="105"/>
      <c r="R3295" s="105"/>
      <c r="S3295" s="105"/>
      <c r="T3295" s="105"/>
      <c r="U3295" s="105"/>
      <c r="V3295" s="105"/>
      <c r="W3295" s="105"/>
      <c r="X3295" s="11"/>
      <c r="Y3295" s="11"/>
      <c r="Z3295" s="105"/>
      <c r="AA3295" s="11"/>
      <c r="AB3295" s="11"/>
      <c r="AC3295" s="105"/>
      <c r="AD3295" s="11" t="b">
        <v>0</v>
      </c>
      <c r="AE3295" s="105"/>
      <c r="AF3295" s="11"/>
      <c r="AG3295" s="11"/>
      <c r="AH3295" s="11"/>
      <c r="AI3295" s="11"/>
    </row>
    <row r="3296" ht="12.5" spans="3:35">
      <c r="C3296" s="19"/>
      <c r="D3296" s="19"/>
      <c r="H3296" s="105"/>
      <c r="I3296" s="126"/>
      <c r="J3296" s="11"/>
      <c r="K3296" s="108"/>
      <c r="L3296" s="11"/>
      <c r="M3296" s="105"/>
      <c r="N3296" s="105"/>
      <c r="O3296" s="11"/>
      <c r="P3296" s="11"/>
      <c r="Q3296" s="105"/>
      <c r="R3296" s="105"/>
      <c r="S3296" s="105"/>
      <c r="T3296" s="105"/>
      <c r="U3296" s="105"/>
      <c r="V3296" s="105"/>
      <c r="W3296" s="105"/>
      <c r="X3296" s="11"/>
      <c r="Y3296" s="11"/>
      <c r="Z3296" s="105"/>
      <c r="AA3296" s="11"/>
      <c r="AB3296" s="11"/>
      <c r="AC3296" s="105"/>
      <c r="AD3296" s="11" t="b">
        <v>0</v>
      </c>
      <c r="AE3296" s="105"/>
      <c r="AF3296" s="11"/>
      <c r="AG3296" s="11"/>
      <c r="AH3296" s="11"/>
      <c r="AI3296" s="11"/>
    </row>
    <row r="3297" ht="12.5" spans="3:35">
      <c r="C3297" s="19"/>
      <c r="D3297" s="19"/>
      <c r="H3297" s="105"/>
      <c r="I3297" s="126"/>
      <c r="J3297" s="11"/>
      <c r="K3297" s="108"/>
      <c r="L3297" s="11"/>
      <c r="M3297" s="105"/>
      <c r="N3297" s="105"/>
      <c r="O3297" s="11"/>
      <c r="P3297" s="11"/>
      <c r="Q3297" s="105"/>
      <c r="R3297" s="105"/>
      <c r="S3297" s="105"/>
      <c r="T3297" s="105"/>
      <c r="U3297" s="105"/>
      <c r="V3297" s="105"/>
      <c r="W3297" s="105"/>
      <c r="X3297" s="11"/>
      <c r="Y3297" s="11"/>
      <c r="Z3297" s="105"/>
      <c r="AA3297" s="11"/>
      <c r="AB3297" s="11"/>
      <c r="AC3297" s="105"/>
      <c r="AD3297" s="11" t="b">
        <v>0</v>
      </c>
      <c r="AE3297" s="105"/>
      <c r="AF3297" s="11"/>
      <c r="AG3297" s="11"/>
      <c r="AH3297" s="11"/>
      <c r="AI3297" s="11"/>
    </row>
    <row r="3298" ht="12.5" spans="3:35">
      <c r="C3298" s="19"/>
      <c r="D3298" s="19"/>
      <c r="H3298" s="105"/>
      <c r="I3298" s="126"/>
      <c r="J3298" s="11"/>
      <c r="K3298" s="108"/>
      <c r="L3298" s="11"/>
      <c r="M3298" s="105"/>
      <c r="N3298" s="105"/>
      <c r="O3298" s="11"/>
      <c r="P3298" s="11"/>
      <c r="Q3298" s="105"/>
      <c r="R3298" s="105"/>
      <c r="S3298" s="105"/>
      <c r="T3298" s="105"/>
      <c r="U3298" s="105"/>
      <c r="V3298" s="105"/>
      <c r="W3298" s="105"/>
      <c r="X3298" s="11"/>
      <c r="Y3298" s="11"/>
      <c r="Z3298" s="105"/>
      <c r="AA3298" s="11"/>
      <c r="AB3298" s="11"/>
      <c r="AC3298" s="105"/>
      <c r="AD3298" s="11" t="b">
        <v>0</v>
      </c>
      <c r="AE3298" s="105"/>
      <c r="AF3298" s="11"/>
      <c r="AG3298" s="11"/>
      <c r="AH3298" s="11"/>
      <c r="AI3298" s="11"/>
    </row>
    <row r="3299" ht="12.5" spans="3:35">
      <c r="C3299" s="19"/>
      <c r="D3299" s="19"/>
      <c r="H3299" s="105"/>
      <c r="I3299" s="126"/>
      <c r="J3299" s="11"/>
      <c r="K3299" s="108"/>
      <c r="L3299" s="11"/>
      <c r="M3299" s="105"/>
      <c r="N3299" s="105"/>
      <c r="O3299" s="11"/>
      <c r="P3299" s="11"/>
      <c r="Q3299" s="105"/>
      <c r="R3299" s="105"/>
      <c r="S3299" s="105"/>
      <c r="T3299" s="105"/>
      <c r="U3299" s="105"/>
      <c r="V3299" s="105"/>
      <c r="W3299" s="105"/>
      <c r="X3299" s="11"/>
      <c r="Y3299" s="11"/>
      <c r="Z3299" s="105"/>
      <c r="AA3299" s="11"/>
      <c r="AB3299" s="11"/>
      <c r="AC3299" s="105"/>
      <c r="AD3299" s="11" t="b">
        <v>0</v>
      </c>
      <c r="AE3299" s="105"/>
      <c r="AF3299" s="11"/>
      <c r="AG3299" s="11"/>
      <c r="AH3299" s="11"/>
      <c r="AI3299" s="11"/>
    </row>
    <row r="3300" ht="12.5" spans="3:35">
      <c r="C3300" s="19"/>
      <c r="D3300" s="19"/>
      <c r="H3300" s="105"/>
      <c r="I3300" s="126"/>
      <c r="J3300" s="11"/>
      <c r="K3300" s="108"/>
      <c r="L3300" s="11"/>
      <c r="M3300" s="105"/>
      <c r="N3300" s="105"/>
      <c r="O3300" s="11"/>
      <c r="P3300" s="11"/>
      <c r="Q3300" s="105"/>
      <c r="R3300" s="105"/>
      <c r="S3300" s="105"/>
      <c r="T3300" s="105"/>
      <c r="U3300" s="105"/>
      <c r="V3300" s="105"/>
      <c r="W3300" s="105"/>
      <c r="X3300" s="11"/>
      <c r="Y3300" s="11"/>
      <c r="Z3300" s="105"/>
      <c r="AA3300" s="11"/>
      <c r="AB3300" s="11"/>
      <c r="AC3300" s="105"/>
      <c r="AD3300" s="11" t="b">
        <v>0</v>
      </c>
      <c r="AE3300" s="105"/>
      <c r="AF3300" s="11"/>
      <c r="AG3300" s="11"/>
      <c r="AH3300" s="11"/>
      <c r="AI3300" s="11"/>
    </row>
    <row r="3301" ht="12.5" spans="3:35">
      <c r="C3301" s="19"/>
      <c r="D3301" s="19"/>
      <c r="H3301" s="105"/>
      <c r="I3301" s="126"/>
      <c r="J3301" s="11"/>
      <c r="K3301" s="108"/>
      <c r="L3301" s="11"/>
      <c r="M3301" s="105"/>
      <c r="N3301" s="105"/>
      <c r="O3301" s="11"/>
      <c r="P3301" s="11"/>
      <c r="Q3301" s="105"/>
      <c r="R3301" s="105"/>
      <c r="S3301" s="105"/>
      <c r="T3301" s="105"/>
      <c r="U3301" s="105"/>
      <c r="V3301" s="105"/>
      <c r="W3301" s="105"/>
      <c r="X3301" s="11"/>
      <c r="Y3301" s="11"/>
      <c r="Z3301" s="105"/>
      <c r="AA3301" s="11"/>
      <c r="AB3301" s="11"/>
      <c r="AC3301" s="105"/>
      <c r="AD3301" s="11" t="b">
        <v>0</v>
      </c>
      <c r="AE3301" s="105"/>
      <c r="AF3301" s="11"/>
      <c r="AG3301" s="11"/>
      <c r="AH3301" s="11"/>
      <c r="AI3301" s="11"/>
    </row>
    <row r="3302" ht="12.5" spans="3:35">
      <c r="C3302" s="19"/>
      <c r="D3302" s="19"/>
      <c r="H3302" s="105"/>
      <c r="I3302" s="126"/>
      <c r="J3302" s="11"/>
      <c r="K3302" s="108"/>
      <c r="L3302" s="11"/>
      <c r="M3302" s="105"/>
      <c r="N3302" s="105"/>
      <c r="O3302" s="11"/>
      <c r="P3302" s="11"/>
      <c r="Q3302" s="105"/>
      <c r="R3302" s="105"/>
      <c r="S3302" s="105"/>
      <c r="T3302" s="105"/>
      <c r="U3302" s="105"/>
      <c r="V3302" s="105"/>
      <c r="W3302" s="105"/>
      <c r="X3302" s="11"/>
      <c r="Y3302" s="11"/>
      <c r="Z3302" s="105"/>
      <c r="AA3302" s="11"/>
      <c r="AB3302" s="11"/>
      <c r="AC3302" s="105"/>
      <c r="AD3302" s="11" t="b">
        <v>0</v>
      </c>
      <c r="AE3302" s="105"/>
      <c r="AF3302" s="11"/>
      <c r="AG3302" s="11"/>
      <c r="AH3302" s="11"/>
      <c r="AI3302" s="11"/>
    </row>
    <row r="3303" ht="12.5" spans="3:35">
      <c r="C3303" s="19"/>
      <c r="D3303" s="19"/>
      <c r="H3303" s="105"/>
      <c r="I3303" s="126"/>
      <c r="J3303" s="11"/>
      <c r="K3303" s="108"/>
      <c r="L3303" s="11"/>
      <c r="M3303" s="105"/>
      <c r="N3303" s="105"/>
      <c r="O3303" s="11"/>
      <c r="P3303" s="11"/>
      <c r="Q3303" s="105"/>
      <c r="R3303" s="105"/>
      <c r="S3303" s="105"/>
      <c r="T3303" s="105"/>
      <c r="U3303" s="105"/>
      <c r="V3303" s="105"/>
      <c r="W3303" s="105"/>
      <c r="X3303" s="11"/>
      <c r="Y3303" s="11"/>
      <c r="Z3303" s="105"/>
      <c r="AA3303" s="11"/>
      <c r="AB3303" s="11"/>
      <c r="AC3303" s="105"/>
      <c r="AD3303" s="11" t="b">
        <v>0</v>
      </c>
      <c r="AE3303" s="105"/>
      <c r="AF3303" s="11"/>
      <c r="AG3303" s="11"/>
      <c r="AH3303" s="11"/>
      <c r="AI3303" s="11"/>
    </row>
    <row r="3304" ht="12.5" spans="3:35">
      <c r="C3304" s="19"/>
      <c r="D3304" s="19"/>
      <c r="H3304" s="105"/>
      <c r="I3304" s="126"/>
      <c r="J3304" s="11"/>
      <c r="K3304" s="108"/>
      <c r="L3304" s="11"/>
      <c r="M3304" s="105"/>
      <c r="N3304" s="105"/>
      <c r="O3304" s="11"/>
      <c r="P3304" s="11"/>
      <c r="Q3304" s="105"/>
      <c r="R3304" s="105"/>
      <c r="S3304" s="105"/>
      <c r="T3304" s="105"/>
      <c r="U3304" s="105"/>
      <c r="V3304" s="105"/>
      <c r="W3304" s="105"/>
      <c r="X3304" s="11"/>
      <c r="Y3304" s="11"/>
      <c r="Z3304" s="105"/>
      <c r="AA3304" s="11"/>
      <c r="AB3304" s="11"/>
      <c r="AC3304" s="105"/>
      <c r="AD3304" s="11" t="b">
        <v>0</v>
      </c>
      <c r="AE3304" s="105"/>
      <c r="AF3304" s="11"/>
      <c r="AG3304" s="11"/>
      <c r="AH3304" s="11"/>
      <c r="AI3304" s="11"/>
    </row>
    <row r="3305" ht="12.5" spans="3:35">
      <c r="C3305" s="19"/>
      <c r="D3305" s="19"/>
      <c r="H3305" s="105"/>
      <c r="I3305" s="126"/>
      <c r="J3305" s="11"/>
      <c r="K3305" s="108"/>
      <c r="L3305" s="11"/>
      <c r="M3305" s="105"/>
      <c r="N3305" s="105"/>
      <c r="O3305" s="11"/>
      <c r="P3305" s="11"/>
      <c r="Q3305" s="105"/>
      <c r="R3305" s="105"/>
      <c r="S3305" s="105"/>
      <c r="T3305" s="105"/>
      <c r="U3305" s="105"/>
      <c r="V3305" s="105"/>
      <c r="W3305" s="105"/>
      <c r="X3305" s="11"/>
      <c r="Y3305" s="11"/>
      <c r="Z3305" s="105"/>
      <c r="AA3305" s="11"/>
      <c r="AB3305" s="11"/>
      <c r="AC3305" s="105"/>
      <c r="AD3305" s="11" t="b">
        <v>0</v>
      </c>
      <c r="AE3305" s="105"/>
      <c r="AF3305" s="11"/>
      <c r="AG3305" s="11"/>
      <c r="AH3305" s="11"/>
      <c r="AI3305" s="11"/>
    </row>
    <row r="3306" ht="12.5" spans="3:35">
      <c r="C3306" s="19"/>
      <c r="D3306" s="19"/>
      <c r="H3306" s="105"/>
      <c r="I3306" s="126"/>
      <c r="J3306" s="11"/>
      <c r="K3306" s="108"/>
      <c r="L3306" s="11"/>
      <c r="M3306" s="105"/>
      <c r="N3306" s="105"/>
      <c r="O3306" s="11"/>
      <c r="P3306" s="11"/>
      <c r="Q3306" s="105"/>
      <c r="R3306" s="105"/>
      <c r="S3306" s="105"/>
      <c r="T3306" s="105"/>
      <c r="U3306" s="105"/>
      <c r="V3306" s="105"/>
      <c r="W3306" s="105"/>
      <c r="X3306" s="11"/>
      <c r="Y3306" s="11"/>
      <c r="Z3306" s="105"/>
      <c r="AA3306" s="11"/>
      <c r="AB3306" s="11"/>
      <c r="AC3306" s="105"/>
      <c r="AD3306" s="11" t="b">
        <v>0</v>
      </c>
      <c r="AE3306" s="105"/>
      <c r="AF3306" s="11"/>
      <c r="AG3306" s="11"/>
      <c r="AH3306" s="11"/>
      <c r="AI3306" s="11"/>
    </row>
    <row r="3307" ht="12.5" spans="3:35">
      <c r="C3307" s="19"/>
      <c r="D3307" s="19"/>
      <c r="H3307" s="105"/>
      <c r="I3307" s="126"/>
      <c r="J3307" s="11"/>
      <c r="K3307" s="108"/>
      <c r="L3307" s="11"/>
      <c r="M3307" s="105"/>
      <c r="N3307" s="105"/>
      <c r="O3307" s="11"/>
      <c r="P3307" s="11"/>
      <c r="Q3307" s="105"/>
      <c r="R3307" s="105"/>
      <c r="S3307" s="105"/>
      <c r="T3307" s="105"/>
      <c r="U3307" s="105"/>
      <c r="V3307" s="105"/>
      <c r="W3307" s="105"/>
      <c r="X3307" s="11"/>
      <c r="Y3307" s="11"/>
      <c r="Z3307" s="105"/>
      <c r="AA3307" s="11"/>
      <c r="AB3307" s="11"/>
      <c r="AC3307" s="105"/>
      <c r="AD3307" s="11" t="b">
        <v>0</v>
      </c>
      <c r="AE3307" s="105"/>
      <c r="AF3307" s="11"/>
      <c r="AG3307" s="11"/>
      <c r="AH3307" s="11"/>
      <c r="AI3307" s="11"/>
    </row>
    <row r="3308" ht="12.5" spans="3:35">
      <c r="C3308" s="19"/>
      <c r="D3308" s="19"/>
      <c r="H3308" s="105"/>
      <c r="I3308" s="126"/>
      <c r="J3308" s="11"/>
      <c r="K3308" s="108"/>
      <c r="L3308" s="11"/>
      <c r="M3308" s="105"/>
      <c r="N3308" s="105"/>
      <c r="O3308" s="11"/>
      <c r="P3308" s="11"/>
      <c r="Q3308" s="105"/>
      <c r="R3308" s="105"/>
      <c r="S3308" s="105"/>
      <c r="T3308" s="105"/>
      <c r="U3308" s="105"/>
      <c r="V3308" s="105"/>
      <c r="W3308" s="105"/>
      <c r="X3308" s="11"/>
      <c r="Y3308" s="11"/>
      <c r="Z3308" s="105"/>
      <c r="AA3308" s="11"/>
      <c r="AB3308" s="11"/>
      <c r="AC3308" s="105"/>
      <c r="AD3308" s="11" t="b">
        <v>0</v>
      </c>
      <c r="AE3308" s="105"/>
      <c r="AF3308" s="11"/>
      <c r="AG3308" s="11"/>
      <c r="AH3308" s="11"/>
      <c r="AI3308" s="11"/>
    </row>
    <row r="3309" ht="12.5" spans="3:35">
      <c r="C3309" s="19"/>
      <c r="D3309" s="19"/>
      <c r="H3309" s="105"/>
      <c r="I3309" s="126"/>
      <c r="J3309" s="11"/>
      <c r="K3309" s="108"/>
      <c r="L3309" s="11"/>
      <c r="M3309" s="105"/>
      <c r="N3309" s="105"/>
      <c r="O3309" s="11"/>
      <c r="P3309" s="11"/>
      <c r="Q3309" s="105"/>
      <c r="R3309" s="105"/>
      <c r="S3309" s="105"/>
      <c r="T3309" s="105"/>
      <c r="U3309" s="105"/>
      <c r="V3309" s="105"/>
      <c r="W3309" s="105"/>
      <c r="X3309" s="11"/>
      <c r="Y3309" s="11"/>
      <c r="Z3309" s="105"/>
      <c r="AA3309" s="11"/>
      <c r="AB3309" s="11"/>
      <c r="AC3309" s="105"/>
      <c r="AD3309" s="11" t="b">
        <v>0</v>
      </c>
      <c r="AE3309" s="105"/>
      <c r="AF3309" s="11"/>
      <c r="AG3309" s="11"/>
      <c r="AH3309" s="11"/>
      <c r="AI3309" s="11"/>
    </row>
    <row r="3310" ht="12.5" spans="3:35">
      <c r="C3310" s="19"/>
      <c r="D3310" s="19"/>
      <c r="H3310" s="105"/>
      <c r="I3310" s="126"/>
      <c r="J3310" s="11"/>
      <c r="K3310" s="108"/>
      <c r="L3310" s="11"/>
      <c r="M3310" s="105"/>
      <c r="N3310" s="105"/>
      <c r="O3310" s="11"/>
      <c r="P3310" s="11"/>
      <c r="Q3310" s="105"/>
      <c r="R3310" s="105"/>
      <c r="S3310" s="105"/>
      <c r="T3310" s="105"/>
      <c r="U3310" s="105"/>
      <c r="V3310" s="105"/>
      <c r="W3310" s="105"/>
      <c r="X3310" s="11"/>
      <c r="Y3310" s="11"/>
      <c r="Z3310" s="105"/>
      <c r="AA3310" s="11"/>
      <c r="AB3310" s="11"/>
      <c r="AC3310" s="105"/>
      <c r="AD3310" s="11" t="b">
        <v>0</v>
      </c>
      <c r="AE3310" s="105"/>
      <c r="AF3310" s="11"/>
      <c r="AG3310" s="11"/>
      <c r="AH3310" s="11"/>
      <c r="AI3310" s="11"/>
    </row>
    <row r="3311" ht="12.5" spans="3:35">
      <c r="C3311" s="19"/>
      <c r="D3311" s="19"/>
      <c r="H3311" s="105"/>
      <c r="I3311" s="126"/>
      <c r="J3311" s="11"/>
      <c r="K3311" s="108"/>
      <c r="L3311" s="11"/>
      <c r="M3311" s="105"/>
      <c r="N3311" s="105"/>
      <c r="O3311" s="11"/>
      <c r="P3311" s="11"/>
      <c r="Q3311" s="105"/>
      <c r="R3311" s="105"/>
      <c r="S3311" s="105"/>
      <c r="T3311" s="105"/>
      <c r="U3311" s="105"/>
      <c r="V3311" s="105"/>
      <c r="W3311" s="105"/>
      <c r="X3311" s="11"/>
      <c r="Y3311" s="11"/>
      <c r="Z3311" s="105"/>
      <c r="AA3311" s="11"/>
      <c r="AB3311" s="11"/>
      <c r="AC3311" s="105"/>
      <c r="AD3311" s="11" t="b">
        <v>0</v>
      </c>
      <c r="AE3311" s="105"/>
      <c r="AF3311" s="11"/>
      <c r="AG3311" s="11"/>
      <c r="AH3311" s="11"/>
      <c r="AI3311" s="11"/>
    </row>
    <row r="3312" ht="12.5" spans="3:35">
      <c r="C3312" s="19"/>
      <c r="D3312" s="19"/>
      <c r="H3312" s="105"/>
      <c r="I3312" s="126"/>
      <c r="J3312" s="11"/>
      <c r="K3312" s="108"/>
      <c r="L3312" s="11"/>
      <c r="M3312" s="105"/>
      <c r="N3312" s="105"/>
      <c r="O3312" s="11"/>
      <c r="P3312" s="11"/>
      <c r="Q3312" s="105"/>
      <c r="R3312" s="105"/>
      <c r="S3312" s="105"/>
      <c r="T3312" s="105"/>
      <c r="U3312" s="105"/>
      <c r="V3312" s="105"/>
      <c r="W3312" s="105"/>
      <c r="X3312" s="11"/>
      <c r="Y3312" s="11"/>
      <c r="Z3312" s="105"/>
      <c r="AA3312" s="11"/>
      <c r="AB3312" s="11"/>
      <c r="AC3312" s="105"/>
      <c r="AD3312" s="11" t="b">
        <v>0</v>
      </c>
      <c r="AE3312" s="105"/>
      <c r="AF3312" s="11"/>
      <c r="AG3312" s="11"/>
      <c r="AH3312" s="11"/>
      <c r="AI3312" s="11"/>
    </row>
    <row r="3313" ht="12.5" spans="3:35">
      <c r="C3313" s="19"/>
      <c r="D3313" s="19"/>
      <c r="H3313" s="105"/>
      <c r="I3313" s="126"/>
      <c r="J3313" s="11"/>
      <c r="K3313" s="108"/>
      <c r="L3313" s="11"/>
      <c r="M3313" s="105"/>
      <c r="N3313" s="105"/>
      <c r="O3313" s="11"/>
      <c r="P3313" s="11"/>
      <c r="Q3313" s="105"/>
      <c r="R3313" s="105"/>
      <c r="S3313" s="105"/>
      <c r="T3313" s="105"/>
      <c r="U3313" s="105"/>
      <c r="V3313" s="105"/>
      <c r="W3313" s="105"/>
      <c r="X3313" s="11"/>
      <c r="Y3313" s="11"/>
      <c r="Z3313" s="105"/>
      <c r="AA3313" s="11"/>
      <c r="AB3313" s="11"/>
      <c r="AC3313" s="105"/>
      <c r="AD3313" s="11" t="b">
        <v>0</v>
      </c>
      <c r="AE3313" s="105"/>
      <c r="AF3313" s="11"/>
      <c r="AG3313" s="11"/>
      <c r="AH3313" s="11"/>
      <c r="AI3313" s="11"/>
    </row>
    <row r="3314" ht="12.5" spans="3:35">
      <c r="C3314" s="19"/>
      <c r="D3314" s="19"/>
      <c r="H3314" s="105"/>
      <c r="I3314" s="126"/>
      <c r="J3314" s="11"/>
      <c r="K3314" s="108"/>
      <c r="L3314" s="11"/>
      <c r="M3314" s="105"/>
      <c r="N3314" s="105"/>
      <c r="O3314" s="11"/>
      <c r="P3314" s="11"/>
      <c r="Q3314" s="105"/>
      <c r="R3314" s="105"/>
      <c r="S3314" s="105"/>
      <c r="T3314" s="105"/>
      <c r="U3314" s="105"/>
      <c r="V3314" s="105"/>
      <c r="W3314" s="105"/>
      <c r="X3314" s="11"/>
      <c r="Y3314" s="11"/>
      <c r="Z3314" s="105"/>
      <c r="AA3314" s="11"/>
      <c r="AB3314" s="11"/>
      <c r="AC3314" s="105"/>
      <c r="AD3314" s="11" t="b">
        <v>0</v>
      </c>
      <c r="AE3314" s="105"/>
      <c r="AF3314" s="11"/>
      <c r="AG3314" s="11"/>
      <c r="AH3314" s="11"/>
      <c r="AI3314" s="11"/>
    </row>
    <row r="3315" ht="12.5" spans="3:35">
      <c r="C3315" s="19"/>
      <c r="D3315" s="19"/>
      <c r="H3315" s="105"/>
      <c r="I3315" s="126"/>
      <c r="J3315" s="11"/>
      <c r="K3315" s="108"/>
      <c r="L3315" s="11"/>
      <c r="M3315" s="105"/>
      <c r="N3315" s="105"/>
      <c r="O3315" s="11"/>
      <c r="P3315" s="11"/>
      <c r="Q3315" s="105"/>
      <c r="R3315" s="105"/>
      <c r="S3315" s="105"/>
      <c r="T3315" s="105"/>
      <c r="U3315" s="105"/>
      <c r="V3315" s="105"/>
      <c r="W3315" s="105"/>
      <c r="X3315" s="11"/>
      <c r="Y3315" s="11"/>
      <c r="Z3315" s="105"/>
      <c r="AA3315" s="11"/>
      <c r="AB3315" s="11"/>
      <c r="AC3315" s="105"/>
      <c r="AD3315" s="11" t="b">
        <v>0</v>
      </c>
      <c r="AE3315" s="105"/>
      <c r="AF3315" s="11"/>
      <c r="AG3315" s="11"/>
      <c r="AH3315" s="11"/>
      <c r="AI3315" s="11"/>
    </row>
    <row r="3316" ht="12.5" spans="3:35">
      <c r="C3316" s="19"/>
      <c r="D3316" s="19"/>
      <c r="H3316" s="105"/>
      <c r="I3316" s="126"/>
      <c r="J3316" s="11"/>
      <c r="K3316" s="108"/>
      <c r="L3316" s="11"/>
      <c r="M3316" s="105"/>
      <c r="N3316" s="105"/>
      <c r="O3316" s="11"/>
      <c r="P3316" s="11"/>
      <c r="Q3316" s="105"/>
      <c r="R3316" s="105"/>
      <c r="S3316" s="105"/>
      <c r="T3316" s="105"/>
      <c r="U3316" s="105"/>
      <c r="V3316" s="105"/>
      <c r="W3316" s="105"/>
      <c r="X3316" s="11"/>
      <c r="Y3316" s="11"/>
      <c r="Z3316" s="105"/>
      <c r="AA3316" s="11"/>
      <c r="AB3316" s="11"/>
      <c r="AC3316" s="105"/>
      <c r="AD3316" s="11" t="b">
        <v>0</v>
      </c>
      <c r="AE3316" s="105"/>
      <c r="AF3316" s="11"/>
      <c r="AG3316" s="11"/>
      <c r="AH3316" s="11"/>
      <c r="AI3316" s="11"/>
    </row>
    <row r="3317" ht="12.5" spans="3:35">
      <c r="C3317" s="19"/>
      <c r="D3317" s="19"/>
      <c r="H3317" s="105"/>
      <c r="I3317" s="126"/>
      <c r="J3317" s="11"/>
      <c r="K3317" s="108"/>
      <c r="L3317" s="11"/>
      <c r="M3317" s="105"/>
      <c r="N3317" s="105"/>
      <c r="O3317" s="11"/>
      <c r="P3317" s="11"/>
      <c r="Q3317" s="105"/>
      <c r="R3317" s="105"/>
      <c r="S3317" s="105"/>
      <c r="T3317" s="105"/>
      <c r="U3317" s="105"/>
      <c r="V3317" s="105"/>
      <c r="W3317" s="105"/>
      <c r="X3317" s="11"/>
      <c r="Y3317" s="11"/>
      <c r="Z3317" s="105"/>
      <c r="AA3317" s="11"/>
      <c r="AB3317" s="11"/>
      <c r="AC3317" s="105"/>
      <c r="AD3317" s="11" t="b">
        <v>0</v>
      </c>
      <c r="AE3317" s="105"/>
      <c r="AF3317" s="11"/>
      <c r="AG3317" s="11"/>
      <c r="AH3317" s="11"/>
      <c r="AI3317" s="11"/>
    </row>
    <row r="3318" ht="12.5" spans="3:35">
      <c r="C3318" s="19"/>
      <c r="D3318" s="19"/>
      <c r="H3318" s="105"/>
      <c r="I3318" s="126"/>
      <c r="J3318" s="11"/>
      <c r="K3318" s="108"/>
      <c r="L3318" s="11"/>
      <c r="M3318" s="105"/>
      <c r="N3318" s="105"/>
      <c r="O3318" s="11"/>
      <c r="P3318" s="11"/>
      <c r="Q3318" s="105"/>
      <c r="R3318" s="105"/>
      <c r="S3318" s="105"/>
      <c r="T3318" s="105"/>
      <c r="U3318" s="105"/>
      <c r="V3318" s="105"/>
      <c r="W3318" s="105"/>
      <c r="X3318" s="11"/>
      <c r="Y3318" s="11"/>
      <c r="Z3318" s="105"/>
      <c r="AA3318" s="11"/>
      <c r="AB3318" s="11"/>
      <c r="AC3318" s="105"/>
      <c r="AD3318" s="11" t="b">
        <v>0</v>
      </c>
      <c r="AE3318" s="105"/>
      <c r="AF3318" s="11"/>
      <c r="AG3318" s="11"/>
      <c r="AH3318" s="11"/>
      <c r="AI3318" s="11"/>
    </row>
    <row r="3319" ht="12.5" spans="3:35">
      <c r="C3319" s="19"/>
      <c r="D3319" s="19"/>
      <c r="H3319" s="105"/>
      <c r="I3319" s="126"/>
      <c r="J3319" s="11"/>
      <c r="K3319" s="108"/>
      <c r="L3319" s="11"/>
      <c r="M3319" s="105"/>
      <c r="N3319" s="105"/>
      <c r="O3319" s="11"/>
      <c r="P3319" s="11"/>
      <c r="Q3319" s="105"/>
      <c r="R3319" s="105"/>
      <c r="S3319" s="105"/>
      <c r="T3319" s="105"/>
      <c r="U3319" s="105"/>
      <c r="V3319" s="105"/>
      <c r="W3319" s="105"/>
      <c r="X3319" s="11"/>
      <c r="Y3319" s="11"/>
      <c r="Z3319" s="105"/>
      <c r="AA3319" s="11"/>
      <c r="AB3319" s="11"/>
      <c r="AC3319" s="105"/>
      <c r="AD3319" s="11" t="b">
        <v>0</v>
      </c>
      <c r="AE3319" s="105"/>
      <c r="AF3319" s="11"/>
      <c r="AG3319" s="11"/>
      <c r="AH3319" s="11"/>
      <c r="AI3319" s="11"/>
    </row>
    <row r="3320" ht="12.5" spans="3:35">
      <c r="C3320" s="19"/>
      <c r="D3320" s="19"/>
      <c r="H3320" s="105"/>
      <c r="I3320" s="126"/>
      <c r="J3320" s="11"/>
      <c r="K3320" s="108"/>
      <c r="L3320" s="11"/>
      <c r="M3320" s="105"/>
      <c r="N3320" s="105"/>
      <c r="O3320" s="11"/>
      <c r="P3320" s="11"/>
      <c r="Q3320" s="105"/>
      <c r="R3320" s="105"/>
      <c r="S3320" s="105"/>
      <c r="T3320" s="105"/>
      <c r="U3320" s="105"/>
      <c r="V3320" s="105"/>
      <c r="W3320" s="105"/>
      <c r="X3320" s="11"/>
      <c r="Y3320" s="11"/>
      <c r="Z3320" s="105"/>
      <c r="AA3320" s="11"/>
      <c r="AB3320" s="11"/>
      <c r="AC3320" s="105"/>
      <c r="AD3320" s="11" t="b">
        <v>0</v>
      </c>
      <c r="AE3320" s="105"/>
      <c r="AF3320" s="11"/>
      <c r="AG3320" s="11"/>
      <c r="AH3320" s="11"/>
      <c r="AI3320" s="11"/>
    </row>
    <row r="3321" ht="12.5" spans="3:35">
      <c r="C3321" s="19"/>
      <c r="D3321" s="19"/>
      <c r="H3321" s="105"/>
      <c r="I3321" s="126"/>
      <c r="J3321" s="11"/>
      <c r="K3321" s="108"/>
      <c r="L3321" s="11"/>
      <c r="M3321" s="105"/>
      <c r="N3321" s="105"/>
      <c r="O3321" s="11"/>
      <c r="P3321" s="11"/>
      <c r="Q3321" s="105"/>
      <c r="R3321" s="105"/>
      <c r="S3321" s="105"/>
      <c r="T3321" s="105"/>
      <c r="U3321" s="105"/>
      <c r="V3321" s="105"/>
      <c r="W3321" s="105"/>
      <c r="X3321" s="11"/>
      <c r="Y3321" s="11"/>
      <c r="Z3321" s="105"/>
      <c r="AA3321" s="11"/>
      <c r="AB3321" s="11"/>
      <c r="AC3321" s="105"/>
      <c r="AD3321" s="11" t="b">
        <v>0</v>
      </c>
      <c r="AE3321" s="105"/>
      <c r="AF3321" s="11"/>
      <c r="AG3321" s="11"/>
      <c r="AH3321" s="11"/>
      <c r="AI3321" s="11"/>
    </row>
    <row r="3322" ht="12.5" spans="3:35">
      <c r="C3322" s="19"/>
      <c r="D3322" s="19"/>
      <c r="H3322" s="105"/>
      <c r="I3322" s="126"/>
      <c r="J3322" s="11"/>
      <c r="K3322" s="108"/>
      <c r="L3322" s="11"/>
      <c r="M3322" s="105"/>
      <c r="N3322" s="105"/>
      <c r="O3322" s="11"/>
      <c r="P3322" s="11"/>
      <c r="Q3322" s="105"/>
      <c r="R3322" s="105"/>
      <c r="S3322" s="105"/>
      <c r="T3322" s="105"/>
      <c r="U3322" s="105"/>
      <c r="V3322" s="105"/>
      <c r="W3322" s="105"/>
      <c r="X3322" s="11"/>
      <c r="Y3322" s="11"/>
      <c r="Z3322" s="105"/>
      <c r="AA3322" s="11"/>
      <c r="AB3322" s="11"/>
      <c r="AC3322" s="105"/>
      <c r="AD3322" s="11" t="b">
        <v>0</v>
      </c>
      <c r="AE3322" s="105"/>
      <c r="AF3322" s="11"/>
      <c r="AG3322" s="11"/>
      <c r="AH3322" s="11"/>
      <c r="AI3322" s="11"/>
    </row>
    <row r="3323" ht="12.5" spans="3:35">
      <c r="C3323" s="19"/>
      <c r="D3323" s="19"/>
      <c r="H3323" s="105"/>
      <c r="I3323" s="126"/>
      <c r="J3323" s="11"/>
      <c r="K3323" s="108"/>
      <c r="L3323" s="11"/>
      <c r="M3323" s="105"/>
      <c r="N3323" s="105"/>
      <c r="O3323" s="11"/>
      <c r="P3323" s="11"/>
      <c r="Q3323" s="105"/>
      <c r="R3323" s="105"/>
      <c r="S3323" s="105"/>
      <c r="T3323" s="105"/>
      <c r="U3323" s="105"/>
      <c r="V3323" s="105"/>
      <c r="W3323" s="105"/>
      <c r="X3323" s="11"/>
      <c r="Y3323" s="11"/>
      <c r="Z3323" s="105"/>
      <c r="AA3323" s="11"/>
      <c r="AB3323" s="11"/>
      <c r="AC3323" s="105"/>
      <c r="AD3323" s="11" t="b">
        <v>0</v>
      </c>
      <c r="AE3323" s="105"/>
      <c r="AF3323" s="11"/>
      <c r="AG3323" s="11"/>
      <c r="AH3323" s="11"/>
      <c r="AI3323" s="11"/>
    </row>
    <row r="3324" ht="12.5" spans="3:35">
      <c r="C3324" s="19"/>
      <c r="D3324" s="19"/>
      <c r="H3324" s="105"/>
      <c r="I3324" s="126"/>
      <c r="J3324" s="11"/>
      <c r="K3324" s="108"/>
      <c r="L3324" s="11"/>
      <c r="M3324" s="105"/>
      <c r="N3324" s="105"/>
      <c r="O3324" s="11"/>
      <c r="P3324" s="11"/>
      <c r="Q3324" s="105"/>
      <c r="R3324" s="105"/>
      <c r="S3324" s="105"/>
      <c r="T3324" s="105"/>
      <c r="U3324" s="105"/>
      <c r="V3324" s="105"/>
      <c r="W3324" s="105"/>
      <c r="X3324" s="11"/>
      <c r="Y3324" s="11"/>
      <c r="Z3324" s="105"/>
      <c r="AA3324" s="11"/>
      <c r="AB3324" s="11"/>
      <c r="AC3324" s="105"/>
      <c r="AD3324" s="11" t="b">
        <v>0</v>
      </c>
      <c r="AE3324" s="105"/>
      <c r="AF3324" s="11"/>
      <c r="AG3324" s="11"/>
      <c r="AH3324" s="11"/>
      <c r="AI3324" s="11"/>
    </row>
    <row r="3325" ht="12.5" spans="3:35">
      <c r="C3325" s="19"/>
      <c r="D3325" s="19"/>
      <c r="H3325" s="105"/>
      <c r="I3325" s="126"/>
      <c r="J3325" s="11"/>
      <c r="K3325" s="108"/>
      <c r="L3325" s="11"/>
      <c r="M3325" s="105"/>
      <c r="N3325" s="105"/>
      <c r="O3325" s="11"/>
      <c r="P3325" s="11"/>
      <c r="Q3325" s="105"/>
      <c r="R3325" s="105"/>
      <c r="S3325" s="105"/>
      <c r="T3325" s="105"/>
      <c r="U3325" s="105"/>
      <c r="V3325" s="105"/>
      <c r="W3325" s="105"/>
      <c r="X3325" s="11"/>
      <c r="Y3325" s="11"/>
      <c r="Z3325" s="105"/>
      <c r="AA3325" s="11"/>
      <c r="AB3325" s="11"/>
      <c r="AC3325" s="105"/>
      <c r="AD3325" s="11" t="b">
        <v>0</v>
      </c>
      <c r="AE3325" s="105"/>
      <c r="AF3325" s="11"/>
      <c r="AG3325" s="11"/>
      <c r="AH3325" s="11"/>
      <c r="AI3325" s="11"/>
    </row>
    <row r="3326" ht="12.5" spans="3:35">
      <c r="C3326" s="19"/>
      <c r="D3326" s="19"/>
      <c r="H3326" s="105"/>
      <c r="I3326" s="126"/>
      <c r="J3326" s="11"/>
      <c r="K3326" s="108"/>
      <c r="L3326" s="11"/>
      <c r="M3326" s="105"/>
      <c r="N3326" s="105"/>
      <c r="O3326" s="11"/>
      <c r="P3326" s="11"/>
      <c r="Q3326" s="105"/>
      <c r="R3326" s="105"/>
      <c r="S3326" s="105"/>
      <c r="T3326" s="105"/>
      <c r="U3326" s="105"/>
      <c r="V3326" s="105"/>
      <c r="W3326" s="105"/>
      <c r="X3326" s="11"/>
      <c r="Y3326" s="11"/>
      <c r="Z3326" s="105"/>
      <c r="AA3326" s="11"/>
      <c r="AB3326" s="11"/>
      <c r="AC3326" s="105"/>
      <c r="AD3326" s="11" t="b">
        <v>0</v>
      </c>
      <c r="AE3326" s="105"/>
      <c r="AF3326" s="11"/>
      <c r="AG3326" s="11"/>
      <c r="AH3326" s="11"/>
      <c r="AI3326" s="11"/>
    </row>
    <row r="3327" ht="12.5" spans="3:35">
      <c r="C3327" s="19"/>
      <c r="D3327" s="19"/>
      <c r="H3327" s="105"/>
      <c r="I3327" s="126"/>
      <c r="J3327" s="11"/>
      <c r="K3327" s="108"/>
      <c r="L3327" s="11"/>
      <c r="M3327" s="105"/>
      <c r="N3327" s="105"/>
      <c r="O3327" s="11"/>
      <c r="P3327" s="11"/>
      <c r="Q3327" s="105"/>
      <c r="R3327" s="105"/>
      <c r="S3327" s="105"/>
      <c r="T3327" s="105"/>
      <c r="U3327" s="105"/>
      <c r="V3327" s="105"/>
      <c r="W3327" s="105"/>
      <c r="X3327" s="11"/>
      <c r="Y3327" s="11"/>
      <c r="Z3327" s="105"/>
      <c r="AA3327" s="11"/>
      <c r="AB3327" s="11"/>
      <c r="AC3327" s="105"/>
      <c r="AD3327" s="11" t="b">
        <v>0</v>
      </c>
      <c r="AE3327" s="105"/>
      <c r="AF3327" s="11"/>
      <c r="AG3327" s="11"/>
      <c r="AH3327" s="11"/>
      <c r="AI3327" s="11"/>
    </row>
    <row r="3328" ht="12.5" spans="3:35">
      <c r="C3328" s="19"/>
      <c r="D3328" s="19"/>
      <c r="H3328" s="105"/>
      <c r="I3328" s="126"/>
      <c r="J3328" s="11"/>
      <c r="K3328" s="108"/>
      <c r="L3328" s="11"/>
      <c r="M3328" s="105"/>
      <c r="N3328" s="105"/>
      <c r="O3328" s="11"/>
      <c r="P3328" s="11"/>
      <c r="Q3328" s="105"/>
      <c r="R3328" s="105"/>
      <c r="S3328" s="105"/>
      <c r="T3328" s="105"/>
      <c r="U3328" s="105"/>
      <c r="V3328" s="105"/>
      <c r="W3328" s="105"/>
      <c r="X3328" s="11"/>
      <c r="Y3328" s="11"/>
      <c r="Z3328" s="105"/>
      <c r="AA3328" s="11"/>
      <c r="AB3328" s="11"/>
      <c r="AC3328" s="105"/>
      <c r="AD3328" s="11" t="b">
        <v>0</v>
      </c>
      <c r="AE3328" s="105"/>
      <c r="AF3328" s="11"/>
      <c r="AG3328" s="11"/>
      <c r="AH3328" s="11"/>
      <c r="AI3328" s="11"/>
    </row>
    <row r="3329" ht="12.5" spans="3:35">
      <c r="C3329" s="19"/>
      <c r="D3329" s="19"/>
      <c r="H3329" s="105"/>
      <c r="I3329" s="126"/>
      <c r="J3329" s="11"/>
      <c r="K3329" s="108"/>
      <c r="L3329" s="11"/>
      <c r="M3329" s="105"/>
      <c r="N3329" s="105"/>
      <c r="O3329" s="11"/>
      <c r="P3329" s="11"/>
      <c r="Q3329" s="105"/>
      <c r="R3329" s="105"/>
      <c r="S3329" s="105"/>
      <c r="T3329" s="105"/>
      <c r="U3329" s="105"/>
      <c r="V3329" s="105"/>
      <c r="W3329" s="105"/>
      <c r="X3329" s="11"/>
      <c r="Y3329" s="11"/>
      <c r="Z3329" s="105"/>
      <c r="AA3329" s="11"/>
      <c r="AB3329" s="11"/>
      <c r="AC3329" s="105"/>
      <c r="AD3329" s="11" t="b">
        <v>0</v>
      </c>
      <c r="AE3329" s="105"/>
      <c r="AF3329" s="11"/>
      <c r="AG3329" s="11"/>
      <c r="AH3329" s="11"/>
      <c r="AI3329" s="11"/>
    </row>
    <row r="3330" ht="12.5" spans="3:35">
      <c r="C3330" s="19"/>
      <c r="D3330" s="19"/>
      <c r="H3330" s="105"/>
      <c r="I3330" s="126"/>
      <c r="J3330" s="11"/>
      <c r="K3330" s="108"/>
      <c r="L3330" s="11"/>
      <c r="M3330" s="105"/>
      <c r="N3330" s="105"/>
      <c r="O3330" s="11"/>
      <c r="P3330" s="11"/>
      <c r="Q3330" s="105"/>
      <c r="R3330" s="105"/>
      <c r="S3330" s="105"/>
      <c r="T3330" s="105"/>
      <c r="U3330" s="105"/>
      <c r="V3330" s="105"/>
      <c r="W3330" s="105"/>
      <c r="X3330" s="11"/>
      <c r="Y3330" s="11"/>
      <c r="Z3330" s="105"/>
      <c r="AA3330" s="11"/>
      <c r="AB3330" s="11"/>
      <c r="AC3330" s="105"/>
      <c r="AD3330" s="11" t="b">
        <v>0</v>
      </c>
      <c r="AE3330" s="105"/>
      <c r="AF3330" s="11"/>
      <c r="AG3330" s="11"/>
      <c r="AH3330" s="11"/>
      <c r="AI3330" s="11"/>
    </row>
    <row r="3331" ht="12.5" spans="3:35">
      <c r="C3331" s="19"/>
      <c r="D3331" s="19"/>
      <c r="H3331" s="105"/>
      <c r="I3331" s="126"/>
      <c r="J3331" s="11"/>
      <c r="K3331" s="108"/>
      <c r="L3331" s="11"/>
      <c r="M3331" s="105"/>
      <c r="N3331" s="105"/>
      <c r="O3331" s="11"/>
      <c r="P3331" s="11"/>
      <c r="Q3331" s="105"/>
      <c r="R3331" s="105"/>
      <c r="S3331" s="105"/>
      <c r="T3331" s="105"/>
      <c r="U3331" s="105"/>
      <c r="V3331" s="105"/>
      <c r="W3331" s="105"/>
      <c r="X3331" s="11"/>
      <c r="Y3331" s="11"/>
      <c r="Z3331" s="105"/>
      <c r="AA3331" s="11"/>
      <c r="AB3331" s="11"/>
      <c r="AC3331" s="105"/>
      <c r="AD3331" s="11" t="b">
        <v>0</v>
      </c>
      <c r="AE3331" s="105"/>
      <c r="AF3331" s="11"/>
      <c r="AG3331" s="11"/>
      <c r="AH3331" s="11"/>
      <c r="AI3331" s="11"/>
    </row>
    <row r="3332" ht="12.5" spans="3:35">
      <c r="C3332" s="19"/>
      <c r="D3332" s="19"/>
      <c r="H3332" s="105"/>
      <c r="I3332" s="126"/>
      <c r="J3332" s="11"/>
      <c r="K3332" s="108"/>
      <c r="L3332" s="11"/>
      <c r="M3332" s="105"/>
      <c r="N3332" s="105"/>
      <c r="O3332" s="11"/>
      <c r="P3332" s="11"/>
      <c r="Q3332" s="105"/>
      <c r="R3332" s="105"/>
      <c r="S3332" s="105"/>
      <c r="T3332" s="105"/>
      <c r="U3332" s="105"/>
      <c r="V3332" s="105"/>
      <c r="W3332" s="105"/>
      <c r="X3332" s="11"/>
      <c r="Y3332" s="11"/>
      <c r="Z3332" s="105"/>
      <c r="AA3332" s="11"/>
      <c r="AB3332" s="11"/>
      <c r="AC3332" s="105"/>
      <c r="AD3332" s="11" t="b">
        <v>0</v>
      </c>
      <c r="AE3332" s="105"/>
      <c r="AF3332" s="11"/>
      <c r="AG3332" s="11"/>
      <c r="AH3332" s="11"/>
      <c r="AI3332" s="11"/>
    </row>
    <row r="3333" ht="12.5" spans="3:35">
      <c r="C3333" s="19"/>
      <c r="D3333" s="19"/>
      <c r="H3333" s="105"/>
      <c r="I3333" s="126"/>
      <c r="J3333" s="11"/>
      <c r="K3333" s="108"/>
      <c r="L3333" s="11"/>
      <c r="M3333" s="105"/>
      <c r="N3333" s="105"/>
      <c r="O3333" s="11"/>
      <c r="P3333" s="11"/>
      <c r="Q3333" s="105"/>
      <c r="R3333" s="105"/>
      <c r="S3333" s="105"/>
      <c r="T3333" s="105"/>
      <c r="U3333" s="105"/>
      <c r="V3333" s="105"/>
      <c r="W3333" s="105"/>
      <c r="X3333" s="11"/>
      <c r="Y3333" s="11"/>
      <c r="Z3333" s="105"/>
      <c r="AA3333" s="11"/>
      <c r="AB3333" s="11"/>
      <c r="AC3333" s="105"/>
      <c r="AD3333" s="11" t="b">
        <v>0</v>
      </c>
      <c r="AE3333" s="105"/>
      <c r="AF3333" s="11"/>
      <c r="AG3333" s="11"/>
      <c r="AH3333" s="11"/>
      <c r="AI3333" s="11"/>
    </row>
    <row r="3334" ht="12.5" spans="3:35">
      <c r="C3334" s="19"/>
      <c r="D3334" s="19"/>
      <c r="H3334" s="105"/>
      <c r="I3334" s="126"/>
      <c r="J3334" s="11"/>
      <c r="K3334" s="108"/>
      <c r="L3334" s="11"/>
      <c r="M3334" s="105"/>
      <c r="N3334" s="105"/>
      <c r="O3334" s="11"/>
      <c r="P3334" s="11"/>
      <c r="Q3334" s="105"/>
      <c r="R3334" s="105"/>
      <c r="S3334" s="105"/>
      <c r="T3334" s="105"/>
      <c r="U3334" s="105"/>
      <c r="V3334" s="105"/>
      <c r="W3334" s="105"/>
      <c r="X3334" s="11"/>
      <c r="Y3334" s="11"/>
      <c r="Z3334" s="105"/>
      <c r="AA3334" s="11"/>
      <c r="AB3334" s="11"/>
      <c r="AC3334" s="105"/>
      <c r="AD3334" s="11" t="b">
        <v>0</v>
      </c>
      <c r="AE3334" s="105"/>
      <c r="AF3334" s="11"/>
      <c r="AG3334" s="11"/>
      <c r="AH3334" s="11"/>
      <c r="AI3334" s="11"/>
    </row>
    <row r="3335" ht="12.5" spans="3:35">
      <c r="C3335" s="19"/>
      <c r="D3335" s="19"/>
      <c r="H3335" s="105"/>
      <c r="I3335" s="126"/>
      <c r="J3335" s="11"/>
      <c r="K3335" s="108"/>
      <c r="L3335" s="11"/>
      <c r="M3335" s="105"/>
      <c r="N3335" s="105"/>
      <c r="O3335" s="11"/>
      <c r="P3335" s="11"/>
      <c r="Q3335" s="105"/>
      <c r="R3335" s="105"/>
      <c r="S3335" s="105"/>
      <c r="T3335" s="105"/>
      <c r="U3335" s="105"/>
      <c r="V3335" s="105"/>
      <c r="W3335" s="105"/>
      <c r="X3335" s="11"/>
      <c r="Y3335" s="11"/>
      <c r="Z3335" s="105"/>
      <c r="AA3335" s="11"/>
      <c r="AB3335" s="11"/>
      <c r="AC3335" s="105"/>
      <c r="AD3335" s="11" t="b">
        <v>0</v>
      </c>
      <c r="AE3335" s="105"/>
      <c r="AF3335" s="11"/>
      <c r="AG3335" s="11"/>
      <c r="AH3335" s="11"/>
      <c r="AI3335" s="11"/>
    </row>
    <row r="3336" ht="12.5" spans="3:35">
      <c r="C3336" s="19"/>
      <c r="D3336" s="19"/>
      <c r="H3336" s="105"/>
      <c r="I3336" s="126"/>
      <c r="J3336" s="11"/>
      <c r="K3336" s="108"/>
      <c r="L3336" s="11"/>
      <c r="M3336" s="105"/>
      <c r="N3336" s="105"/>
      <c r="O3336" s="11"/>
      <c r="P3336" s="11"/>
      <c r="Q3336" s="105"/>
      <c r="R3336" s="105"/>
      <c r="S3336" s="105"/>
      <c r="T3336" s="105"/>
      <c r="U3336" s="105"/>
      <c r="V3336" s="105"/>
      <c r="W3336" s="105"/>
      <c r="X3336" s="11"/>
      <c r="Y3336" s="11"/>
      <c r="Z3336" s="105"/>
      <c r="AA3336" s="11"/>
      <c r="AB3336" s="11"/>
      <c r="AC3336" s="105"/>
      <c r="AD3336" s="11" t="b">
        <v>0</v>
      </c>
      <c r="AE3336" s="105"/>
      <c r="AF3336" s="11"/>
      <c r="AG3336" s="11"/>
      <c r="AH3336" s="11"/>
      <c r="AI3336" s="11"/>
    </row>
    <row r="3337" ht="12.5" spans="3:35">
      <c r="C3337" s="19"/>
      <c r="D3337" s="19"/>
      <c r="H3337" s="105"/>
      <c r="I3337" s="126"/>
      <c r="J3337" s="11"/>
      <c r="K3337" s="108"/>
      <c r="L3337" s="11"/>
      <c r="M3337" s="105"/>
      <c r="N3337" s="105"/>
      <c r="O3337" s="11"/>
      <c r="P3337" s="11"/>
      <c r="Q3337" s="105"/>
      <c r="R3337" s="105"/>
      <c r="S3337" s="105"/>
      <c r="T3337" s="105"/>
      <c r="U3337" s="105"/>
      <c r="V3337" s="105"/>
      <c r="W3337" s="105"/>
      <c r="X3337" s="11"/>
      <c r="Y3337" s="11"/>
      <c r="Z3337" s="105"/>
      <c r="AA3337" s="11"/>
      <c r="AB3337" s="11"/>
      <c r="AC3337" s="105"/>
      <c r="AD3337" s="11" t="b">
        <v>0</v>
      </c>
      <c r="AE3337" s="105"/>
      <c r="AF3337" s="11"/>
      <c r="AG3337" s="11"/>
      <c r="AH3337" s="11"/>
      <c r="AI3337" s="11"/>
    </row>
    <row r="3338" ht="12.5" spans="3:35">
      <c r="C3338" s="19"/>
      <c r="D3338" s="19"/>
      <c r="H3338" s="105"/>
      <c r="I3338" s="126"/>
      <c r="J3338" s="11"/>
      <c r="K3338" s="108"/>
      <c r="L3338" s="11"/>
      <c r="M3338" s="105"/>
      <c r="N3338" s="105"/>
      <c r="O3338" s="11"/>
      <c r="P3338" s="11"/>
      <c r="Q3338" s="105"/>
      <c r="R3338" s="105"/>
      <c r="S3338" s="105"/>
      <c r="T3338" s="105"/>
      <c r="U3338" s="105"/>
      <c r="V3338" s="105"/>
      <c r="W3338" s="105"/>
      <c r="X3338" s="11"/>
      <c r="Y3338" s="11"/>
      <c r="Z3338" s="105"/>
      <c r="AA3338" s="11"/>
      <c r="AB3338" s="11"/>
      <c r="AC3338" s="105"/>
      <c r="AD3338" s="11" t="b">
        <v>0</v>
      </c>
      <c r="AE3338" s="105"/>
      <c r="AF3338" s="11"/>
      <c r="AG3338" s="11"/>
      <c r="AH3338" s="11"/>
      <c r="AI3338" s="11"/>
    </row>
    <row r="3339" ht="12.5" spans="3:35">
      <c r="C3339" s="19"/>
      <c r="D3339" s="19"/>
      <c r="H3339" s="105"/>
      <c r="I3339" s="126"/>
      <c r="J3339" s="11"/>
      <c r="K3339" s="108"/>
      <c r="L3339" s="11"/>
      <c r="M3339" s="105"/>
      <c r="N3339" s="105"/>
      <c r="O3339" s="11"/>
      <c r="P3339" s="11"/>
      <c r="Q3339" s="105"/>
      <c r="R3339" s="105"/>
      <c r="S3339" s="105"/>
      <c r="T3339" s="105"/>
      <c r="U3339" s="105"/>
      <c r="V3339" s="105"/>
      <c r="W3339" s="105"/>
      <c r="X3339" s="11"/>
      <c r="Y3339" s="11"/>
      <c r="Z3339" s="105"/>
      <c r="AA3339" s="11"/>
      <c r="AB3339" s="11"/>
      <c r="AC3339" s="105"/>
      <c r="AD3339" s="11" t="b">
        <v>0</v>
      </c>
      <c r="AE3339" s="105"/>
      <c r="AF3339" s="11"/>
      <c r="AG3339" s="11"/>
      <c r="AH3339" s="11"/>
      <c r="AI3339" s="11"/>
    </row>
    <row r="3340" ht="12.5" spans="3:35">
      <c r="C3340" s="19"/>
      <c r="D3340" s="19"/>
      <c r="H3340" s="105"/>
      <c r="I3340" s="126"/>
      <c r="J3340" s="11"/>
      <c r="K3340" s="108"/>
      <c r="L3340" s="11"/>
      <c r="M3340" s="105"/>
      <c r="N3340" s="105"/>
      <c r="O3340" s="11"/>
      <c r="P3340" s="11"/>
      <c r="Q3340" s="105"/>
      <c r="R3340" s="105"/>
      <c r="S3340" s="105"/>
      <c r="T3340" s="105"/>
      <c r="U3340" s="105"/>
      <c r="V3340" s="105"/>
      <c r="W3340" s="105"/>
      <c r="X3340" s="11"/>
      <c r="Y3340" s="11"/>
      <c r="Z3340" s="105"/>
      <c r="AA3340" s="11"/>
      <c r="AB3340" s="11"/>
      <c r="AC3340" s="105"/>
      <c r="AD3340" s="11" t="b">
        <v>0</v>
      </c>
      <c r="AE3340" s="105"/>
      <c r="AF3340" s="11"/>
      <c r="AG3340" s="11"/>
      <c r="AH3340" s="11"/>
      <c r="AI3340" s="11"/>
    </row>
    <row r="3341" ht="12.5" spans="3:35">
      <c r="C3341" s="19"/>
      <c r="D3341" s="19"/>
      <c r="H3341" s="105"/>
      <c r="I3341" s="126"/>
      <c r="J3341" s="11"/>
      <c r="K3341" s="108"/>
      <c r="L3341" s="11"/>
      <c r="M3341" s="105"/>
      <c r="N3341" s="105"/>
      <c r="O3341" s="11"/>
      <c r="P3341" s="11"/>
      <c r="Q3341" s="105"/>
      <c r="R3341" s="105"/>
      <c r="S3341" s="105"/>
      <c r="T3341" s="105"/>
      <c r="U3341" s="105"/>
      <c r="V3341" s="105"/>
      <c r="W3341" s="105"/>
      <c r="X3341" s="11"/>
      <c r="Y3341" s="11"/>
      <c r="Z3341" s="105"/>
      <c r="AA3341" s="11"/>
      <c r="AB3341" s="11"/>
      <c r="AC3341" s="105"/>
      <c r="AD3341" s="11" t="b">
        <v>0</v>
      </c>
      <c r="AE3341" s="105"/>
      <c r="AF3341" s="11"/>
      <c r="AG3341" s="11"/>
      <c r="AH3341" s="11"/>
      <c r="AI3341" s="11"/>
    </row>
    <row r="3342" ht="12.5" spans="3:35">
      <c r="C3342" s="19"/>
      <c r="D3342" s="19"/>
      <c r="H3342" s="105"/>
      <c r="I3342" s="126"/>
      <c r="J3342" s="11"/>
      <c r="K3342" s="108"/>
      <c r="L3342" s="11"/>
      <c r="M3342" s="105"/>
      <c r="N3342" s="105"/>
      <c r="O3342" s="11"/>
      <c r="P3342" s="11"/>
      <c r="Q3342" s="105"/>
      <c r="R3342" s="105"/>
      <c r="S3342" s="105"/>
      <c r="T3342" s="105"/>
      <c r="U3342" s="105"/>
      <c r="V3342" s="105"/>
      <c r="W3342" s="105"/>
      <c r="X3342" s="11"/>
      <c r="Y3342" s="11"/>
      <c r="Z3342" s="105"/>
      <c r="AA3342" s="11"/>
      <c r="AB3342" s="11"/>
      <c r="AC3342" s="105"/>
      <c r="AD3342" s="11" t="b">
        <v>0</v>
      </c>
      <c r="AE3342" s="105"/>
      <c r="AF3342" s="11"/>
      <c r="AG3342" s="11"/>
      <c r="AH3342" s="11"/>
      <c r="AI3342" s="11"/>
    </row>
    <row r="3343" ht="12.5" spans="3:35">
      <c r="C3343" s="19"/>
      <c r="D3343" s="19"/>
      <c r="H3343" s="105"/>
      <c r="I3343" s="126"/>
      <c r="J3343" s="11"/>
      <c r="K3343" s="108"/>
      <c r="L3343" s="11"/>
      <c r="M3343" s="105"/>
      <c r="N3343" s="105"/>
      <c r="O3343" s="11"/>
      <c r="P3343" s="11"/>
      <c r="Q3343" s="105"/>
      <c r="R3343" s="105"/>
      <c r="S3343" s="105"/>
      <c r="T3343" s="105"/>
      <c r="U3343" s="105"/>
      <c r="V3343" s="105"/>
      <c r="W3343" s="105"/>
      <c r="X3343" s="11"/>
      <c r="Y3343" s="11"/>
      <c r="Z3343" s="105"/>
      <c r="AA3343" s="11"/>
      <c r="AB3343" s="11"/>
      <c r="AC3343" s="105"/>
      <c r="AD3343" s="11" t="b">
        <v>0</v>
      </c>
      <c r="AE3343" s="105"/>
      <c r="AF3343" s="11"/>
      <c r="AG3343" s="11"/>
      <c r="AH3343" s="11"/>
      <c r="AI3343" s="11"/>
    </row>
    <row r="3344" ht="12.5" spans="3:35">
      <c r="C3344" s="19"/>
      <c r="D3344" s="19"/>
      <c r="H3344" s="105"/>
      <c r="I3344" s="126"/>
      <c r="J3344" s="11"/>
      <c r="K3344" s="108"/>
      <c r="L3344" s="11"/>
      <c r="M3344" s="105"/>
      <c r="N3344" s="105"/>
      <c r="O3344" s="11"/>
      <c r="P3344" s="11"/>
      <c r="Q3344" s="105"/>
      <c r="R3344" s="105"/>
      <c r="S3344" s="105"/>
      <c r="T3344" s="105"/>
      <c r="U3344" s="105"/>
      <c r="V3344" s="105"/>
      <c r="W3344" s="105"/>
      <c r="X3344" s="11"/>
      <c r="Y3344" s="11"/>
      <c r="Z3344" s="105"/>
      <c r="AA3344" s="11"/>
      <c r="AB3344" s="11"/>
      <c r="AC3344" s="105"/>
      <c r="AD3344" s="11" t="b">
        <v>0</v>
      </c>
      <c r="AE3344" s="105"/>
      <c r="AF3344" s="11"/>
      <c r="AG3344" s="11"/>
      <c r="AH3344" s="11"/>
      <c r="AI3344" s="11"/>
    </row>
    <row r="3345" ht="12.5" spans="3:35">
      <c r="C3345" s="19"/>
      <c r="D3345" s="19"/>
      <c r="H3345" s="105"/>
      <c r="I3345" s="126"/>
      <c r="J3345" s="11"/>
      <c r="K3345" s="108"/>
      <c r="L3345" s="11"/>
      <c r="M3345" s="105"/>
      <c r="N3345" s="105"/>
      <c r="O3345" s="11"/>
      <c r="P3345" s="11"/>
      <c r="Q3345" s="105"/>
      <c r="R3345" s="105"/>
      <c r="S3345" s="105"/>
      <c r="T3345" s="105"/>
      <c r="U3345" s="105"/>
      <c r="V3345" s="105"/>
      <c r="W3345" s="105"/>
      <c r="X3345" s="11"/>
      <c r="Y3345" s="11"/>
      <c r="Z3345" s="105"/>
      <c r="AA3345" s="11"/>
      <c r="AB3345" s="11"/>
      <c r="AC3345" s="105"/>
      <c r="AD3345" s="11" t="b">
        <v>0</v>
      </c>
      <c r="AE3345" s="105"/>
      <c r="AF3345" s="11"/>
      <c r="AG3345" s="11"/>
      <c r="AH3345" s="11"/>
      <c r="AI3345" s="11"/>
    </row>
    <row r="3346" ht="12.5" spans="3:35">
      <c r="C3346" s="19"/>
      <c r="D3346" s="19"/>
      <c r="H3346" s="105"/>
      <c r="I3346" s="126"/>
      <c r="J3346" s="11"/>
      <c r="K3346" s="108"/>
      <c r="L3346" s="11"/>
      <c r="M3346" s="105"/>
      <c r="N3346" s="105"/>
      <c r="O3346" s="11"/>
      <c r="P3346" s="11"/>
      <c r="Q3346" s="105"/>
      <c r="R3346" s="105"/>
      <c r="S3346" s="105"/>
      <c r="T3346" s="105"/>
      <c r="U3346" s="105"/>
      <c r="V3346" s="105"/>
      <c r="W3346" s="105"/>
      <c r="X3346" s="11"/>
      <c r="Y3346" s="11"/>
      <c r="Z3346" s="105"/>
      <c r="AA3346" s="11"/>
      <c r="AB3346" s="11"/>
      <c r="AC3346" s="105"/>
      <c r="AD3346" s="11" t="b">
        <v>0</v>
      </c>
      <c r="AE3346" s="105"/>
      <c r="AF3346" s="11"/>
      <c r="AG3346" s="11"/>
      <c r="AH3346" s="11"/>
      <c r="AI3346" s="11"/>
    </row>
    <row r="3347" ht="12.5" spans="3:35">
      <c r="C3347" s="19"/>
      <c r="D3347" s="19"/>
      <c r="H3347" s="105"/>
      <c r="I3347" s="126"/>
      <c r="J3347" s="11"/>
      <c r="K3347" s="108"/>
      <c r="L3347" s="11"/>
      <c r="M3347" s="105"/>
      <c r="N3347" s="105"/>
      <c r="O3347" s="11"/>
      <c r="P3347" s="11"/>
      <c r="Q3347" s="105"/>
      <c r="R3347" s="105"/>
      <c r="S3347" s="105"/>
      <c r="T3347" s="105"/>
      <c r="U3347" s="105"/>
      <c r="V3347" s="105"/>
      <c r="W3347" s="105"/>
      <c r="X3347" s="11"/>
      <c r="Y3347" s="11"/>
      <c r="Z3347" s="105"/>
      <c r="AA3347" s="11"/>
      <c r="AB3347" s="11"/>
      <c r="AC3347" s="105"/>
      <c r="AD3347" s="11" t="b">
        <v>0</v>
      </c>
      <c r="AE3347" s="105"/>
      <c r="AF3347" s="11"/>
      <c r="AG3347" s="11"/>
      <c r="AH3347" s="11"/>
      <c r="AI3347" s="11"/>
    </row>
    <row r="3348" ht="12.5" spans="3:35">
      <c r="C3348" s="19"/>
      <c r="D3348" s="19"/>
      <c r="H3348" s="105"/>
      <c r="I3348" s="126"/>
      <c r="J3348" s="11"/>
      <c r="K3348" s="108"/>
      <c r="L3348" s="11"/>
      <c r="M3348" s="105"/>
      <c r="N3348" s="105"/>
      <c r="O3348" s="11"/>
      <c r="P3348" s="11"/>
      <c r="Q3348" s="105"/>
      <c r="R3348" s="105"/>
      <c r="S3348" s="105"/>
      <c r="T3348" s="105"/>
      <c r="U3348" s="105"/>
      <c r="V3348" s="105"/>
      <c r="W3348" s="105"/>
      <c r="X3348" s="11"/>
      <c r="Y3348" s="11"/>
      <c r="Z3348" s="105"/>
      <c r="AA3348" s="11"/>
      <c r="AB3348" s="11"/>
      <c r="AC3348" s="105"/>
      <c r="AD3348" s="11" t="b">
        <v>0</v>
      </c>
      <c r="AE3348" s="105"/>
      <c r="AF3348" s="11"/>
      <c r="AG3348" s="11"/>
      <c r="AH3348" s="11"/>
      <c r="AI3348" s="11"/>
    </row>
    <row r="3349" ht="12.5" spans="3:35">
      <c r="C3349" s="19"/>
      <c r="D3349" s="19"/>
      <c r="H3349" s="105"/>
      <c r="I3349" s="126"/>
      <c r="J3349" s="11"/>
      <c r="K3349" s="108"/>
      <c r="L3349" s="11"/>
      <c r="M3349" s="105"/>
      <c r="N3349" s="105"/>
      <c r="O3349" s="11"/>
      <c r="P3349" s="11"/>
      <c r="Q3349" s="105"/>
      <c r="R3349" s="105"/>
      <c r="S3349" s="105"/>
      <c r="T3349" s="105"/>
      <c r="U3349" s="105"/>
      <c r="V3349" s="105"/>
      <c r="W3349" s="105"/>
      <c r="X3349" s="11"/>
      <c r="Y3349" s="11"/>
      <c r="Z3349" s="105"/>
      <c r="AA3349" s="11"/>
      <c r="AB3349" s="11"/>
      <c r="AC3349" s="105"/>
      <c r="AD3349" s="11" t="b">
        <v>0</v>
      </c>
      <c r="AE3349" s="105"/>
      <c r="AF3349" s="11"/>
      <c r="AG3349" s="11"/>
      <c r="AH3349" s="11"/>
      <c r="AI3349" s="11"/>
    </row>
    <row r="3350" ht="12.5" spans="3:35">
      <c r="C3350" s="19"/>
      <c r="D3350" s="19"/>
      <c r="H3350" s="105"/>
      <c r="I3350" s="126"/>
      <c r="J3350" s="11"/>
      <c r="K3350" s="108"/>
      <c r="L3350" s="11"/>
      <c r="M3350" s="105"/>
      <c r="N3350" s="105"/>
      <c r="O3350" s="11"/>
      <c r="P3350" s="11"/>
      <c r="Q3350" s="105"/>
      <c r="R3350" s="105"/>
      <c r="S3350" s="105"/>
      <c r="T3350" s="105"/>
      <c r="U3350" s="105"/>
      <c r="V3350" s="105"/>
      <c r="W3350" s="105"/>
      <c r="X3350" s="11"/>
      <c r="Y3350" s="11"/>
      <c r="Z3350" s="105"/>
      <c r="AA3350" s="11"/>
      <c r="AB3350" s="11"/>
      <c r="AC3350" s="105"/>
      <c r="AD3350" s="11" t="b">
        <v>0</v>
      </c>
      <c r="AE3350" s="105"/>
      <c r="AF3350" s="11"/>
      <c r="AG3350" s="11"/>
      <c r="AH3350" s="11"/>
      <c r="AI3350" s="11"/>
    </row>
    <row r="3351" ht="12.5" spans="3:35">
      <c r="C3351" s="19"/>
      <c r="D3351" s="19"/>
      <c r="H3351" s="105"/>
      <c r="I3351" s="126"/>
      <c r="J3351" s="11"/>
      <c r="K3351" s="108"/>
      <c r="L3351" s="11"/>
      <c r="M3351" s="105"/>
      <c r="N3351" s="105"/>
      <c r="O3351" s="11"/>
      <c r="P3351" s="11"/>
      <c r="Q3351" s="105"/>
      <c r="R3351" s="105"/>
      <c r="S3351" s="105"/>
      <c r="T3351" s="105"/>
      <c r="U3351" s="105"/>
      <c r="V3351" s="105"/>
      <c r="W3351" s="105"/>
      <c r="X3351" s="11"/>
      <c r="Y3351" s="11"/>
      <c r="Z3351" s="105"/>
      <c r="AA3351" s="11"/>
      <c r="AB3351" s="11"/>
      <c r="AC3351" s="105"/>
      <c r="AD3351" s="11" t="b">
        <v>0</v>
      </c>
      <c r="AE3351" s="105"/>
      <c r="AF3351" s="11"/>
      <c r="AG3351" s="11"/>
      <c r="AH3351" s="11"/>
      <c r="AI3351" s="11"/>
    </row>
    <row r="3352" ht="12.5" spans="3:35">
      <c r="C3352" s="19"/>
      <c r="D3352" s="19"/>
      <c r="H3352" s="105"/>
      <c r="I3352" s="126"/>
      <c r="J3352" s="11"/>
      <c r="K3352" s="108"/>
      <c r="L3352" s="11"/>
      <c r="M3352" s="105"/>
      <c r="N3352" s="105"/>
      <c r="O3352" s="11"/>
      <c r="P3352" s="11"/>
      <c r="Q3352" s="105"/>
      <c r="R3352" s="105"/>
      <c r="S3352" s="105"/>
      <c r="T3352" s="105"/>
      <c r="U3352" s="105"/>
      <c r="V3352" s="105"/>
      <c r="W3352" s="105"/>
      <c r="X3352" s="11"/>
      <c r="Y3352" s="11"/>
      <c r="Z3352" s="105"/>
      <c r="AA3352" s="11"/>
      <c r="AB3352" s="11"/>
      <c r="AC3352" s="105"/>
      <c r="AD3352" s="11" t="b">
        <v>0</v>
      </c>
      <c r="AE3352" s="105"/>
      <c r="AF3352" s="11"/>
      <c r="AG3352" s="11"/>
      <c r="AH3352" s="11"/>
      <c r="AI3352" s="11"/>
    </row>
    <row r="3353" ht="12.5" spans="3:35">
      <c r="C3353" s="19"/>
      <c r="D3353" s="19"/>
      <c r="H3353" s="105"/>
      <c r="I3353" s="126"/>
      <c r="J3353" s="11"/>
      <c r="K3353" s="108"/>
      <c r="L3353" s="11"/>
      <c r="M3353" s="105"/>
      <c r="N3353" s="105"/>
      <c r="O3353" s="11"/>
      <c r="P3353" s="11"/>
      <c r="Q3353" s="105"/>
      <c r="R3353" s="105"/>
      <c r="S3353" s="105"/>
      <c r="T3353" s="105"/>
      <c r="U3353" s="105"/>
      <c r="V3353" s="105"/>
      <c r="W3353" s="105"/>
      <c r="X3353" s="11"/>
      <c r="Y3353" s="11"/>
      <c r="Z3353" s="105"/>
      <c r="AA3353" s="11"/>
      <c r="AB3353" s="11"/>
      <c r="AC3353" s="105"/>
      <c r="AD3353" s="11" t="b">
        <v>0</v>
      </c>
      <c r="AE3353" s="105"/>
      <c r="AF3353" s="11"/>
      <c r="AG3353" s="11"/>
      <c r="AH3353" s="11"/>
      <c r="AI3353" s="11"/>
    </row>
    <row r="3354" ht="12.5" spans="3:35">
      <c r="C3354" s="19"/>
      <c r="D3354" s="19"/>
      <c r="H3354" s="105"/>
      <c r="I3354" s="126"/>
      <c r="J3354" s="11"/>
      <c r="K3354" s="108"/>
      <c r="L3354" s="11"/>
      <c r="M3354" s="105"/>
      <c r="N3354" s="105"/>
      <c r="O3354" s="11"/>
      <c r="P3354" s="11"/>
      <c r="Q3354" s="105"/>
      <c r="R3354" s="105"/>
      <c r="S3354" s="105"/>
      <c r="T3354" s="105"/>
      <c r="U3354" s="105"/>
      <c r="V3354" s="105"/>
      <c r="W3354" s="105"/>
      <c r="X3354" s="11"/>
      <c r="Y3354" s="11"/>
      <c r="Z3354" s="105"/>
      <c r="AA3354" s="11"/>
      <c r="AB3354" s="11"/>
      <c r="AC3354" s="105"/>
      <c r="AD3354" s="11" t="b">
        <v>0</v>
      </c>
      <c r="AE3354" s="105"/>
      <c r="AF3354" s="11"/>
      <c r="AG3354" s="11"/>
      <c r="AH3354" s="11"/>
      <c r="AI3354" s="11"/>
    </row>
    <row r="3355" ht="12.5" spans="3:35">
      <c r="C3355" s="19"/>
      <c r="D3355" s="19"/>
      <c r="H3355" s="105"/>
      <c r="I3355" s="126"/>
      <c r="J3355" s="11"/>
      <c r="K3355" s="108"/>
      <c r="L3355" s="11"/>
      <c r="M3355" s="105"/>
      <c r="N3355" s="105"/>
      <c r="O3355" s="11"/>
      <c r="P3355" s="11"/>
      <c r="Q3355" s="105"/>
      <c r="R3355" s="105"/>
      <c r="S3355" s="105"/>
      <c r="T3355" s="105"/>
      <c r="U3355" s="105"/>
      <c r="V3355" s="105"/>
      <c r="W3355" s="105"/>
      <c r="X3355" s="11"/>
      <c r="Y3355" s="11"/>
      <c r="Z3355" s="105"/>
      <c r="AA3355" s="11"/>
      <c r="AB3355" s="11"/>
      <c r="AC3355" s="105"/>
      <c r="AD3355" s="11" t="b">
        <v>0</v>
      </c>
      <c r="AE3355" s="105"/>
      <c r="AF3355" s="11"/>
      <c r="AG3355" s="11"/>
      <c r="AH3355" s="11"/>
      <c r="AI3355" s="11"/>
    </row>
    <row r="3356" ht="12.5" spans="3:35">
      <c r="C3356" s="19"/>
      <c r="D3356" s="19"/>
      <c r="H3356" s="105"/>
      <c r="I3356" s="126"/>
      <c r="J3356" s="11"/>
      <c r="K3356" s="108"/>
      <c r="L3356" s="11"/>
      <c r="M3356" s="105"/>
      <c r="N3356" s="105"/>
      <c r="O3356" s="11"/>
      <c r="P3356" s="11"/>
      <c r="Q3356" s="105"/>
      <c r="R3356" s="105"/>
      <c r="S3356" s="105"/>
      <c r="T3356" s="105"/>
      <c r="U3356" s="105"/>
      <c r="V3356" s="105"/>
      <c r="W3356" s="105"/>
      <c r="X3356" s="11"/>
      <c r="Y3356" s="11"/>
      <c r="Z3356" s="105"/>
      <c r="AA3356" s="11"/>
      <c r="AB3356" s="11"/>
      <c r="AC3356" s="105"/>
      <c r="AD3356" s="11" t="b">
        <v>0</v>
      </c>
      <c r="AE3356" s="105"/>
      <c r="AF3356" s="11"/>
      <c r="AG3356" s="11"/>
      <c r="AH3356" s="11"/>
      <c r="AI3356" s="11"/>
    </row>
    <row r="3357" ht="12.5" spans="3:35">
      <c r="C3357" s="19"/>
      <c r="D3357" s="19"/>
      <c r="H3357" s="105"/>
      <c r="I3357" s="126"/>
      <c r="J3357" s="11"/>
      <c r="K3357" s="108"/>
      <c r="L3357" s="11"/>
      <c r="M3357" s="105"/>
      <c r="N3357" s="105"/>
      <c r="O3357" s="11"/>
      <c r="P3357" s="11"/>
      <c r="Q3357" s="105"/>
      <c r="R3357" s="105"/>
      <c r="S3357" s="105"/>
      <c r="T3357" s="105"/>
      <c r="U3357" s="105"/>
      <c r="V3357" s="105"/>
      <c r="W3357" s="105"/>
      <c r="X3357" s="11"/>
      <c r="Y3357" s="11"/>
      <c r="Z3357" s="105"/>
      <c r="AA3357" s="11"/>
      <c r="AB3357" s="11"/>
      <c r="AC3357" s="105"/>
      <c r="AD3357" s="11" t="b">
        <v>0</v>
      </c>
      <c r="AE3357" s="105"/>
      <c r="AF3357" s="11"/>
      <c r="AG3357" s="11"/>
      <c r="AH3357" s="11"/>
      <c r="AI3357" s="11"/>
    </row>
    <row r="3358" ht="12.5" spans="3:35">
      <c r="C3358" s="19"/>
      <c r="D3358" s="19"/>
      <c r="H3358" s="105"/>
      <c r="I3358" s="126"/>
      <c r="J3358" s="11"/>
      <c r="K3358" s="108"/>
      <c r="L3358" s="11"/>
      <c r="M3358" s="105"/>
      <c r="N3358" s="105"/>
      <c r="O3358" s="11"/>
      <c r="P3358" s="11"/>
      <c r="Q3358" s="105"/>
      <c r="R3358" s="105"/>
      <c r="S3358" s="105"/>
      <c r="T3358" s="105"/>
      <c r="U3358" s="105"/>
      <c r="V3358" s="105"/>
      <c r="W3358" s="105"/>
      <c r="X3358" s="11"/>
      <c r="Y3358" s="11"/>
      <c r="Z3358" s="105"/>
      <c r="AA3358" s="11"/>
      <c r="AB3358" s="11"/>
      <c r="AC3358" s="105"/>
      <c r="AD3358" s="11" t="b">
        <v>0</v>
      </c>
      <c r="AE3358" s="105"/>
      <c r="AF3358" s="11"/>
      <c r="AG3358" s="11"/>
      <c r="AH3358" s="11"/>
      <c r="AI3358" s="11"/>
    </row>
    <row r="3359" ht="12.5" spans="3:35">
      <c r="C3359" s="19"/>
      <c r="D3359" s="19"/>
      <c r="H3359" s="105"/>
      <c r="I3359" s="126"/>
      <c r="J3359" s="11"/>
      <c r="K3359" s="108"/>
      <c r="L3359" s="11"/>
      <c r="M3359" s="105"/>
      <c r="N3359" s="105"/>
      <c r="O3359" s="11"/>
      <c r="P3359" s="11"/>
      <c r="Q3359" s="105"/>
      <c r="R3359" s="105"/>
      <c r="S3359" s="105"/>
      <c r="T3359" s="105"/>
      <c r="U3359" s="105"/>
      <c r="V3359" s="105"/>
      <c r="W3359" s="105"/>
      <c r="X3359" s="11"/>
      <c r="Y3359" s="11"/>
      <c r="Z3359" s="105"/>
      <c r="AA3359" s="11"/>
      <c r="AB3359" s="11"/>
      <c r="AC3359" s="105"/>
      <c r="AD3359" s="11" t="b">
        <v>0</v>
      </c>
      <c r="AE3359" s="105"/>
      <c r="AF3359" s="11"/>
      <c r="AG3359" s="11"/>
      <c r="AH3359" s="11"/>
      <c r="AI3359" s="11"/>
    </row>
    <row r="3360" ht="12.5" spans="3:35">
      <c r="C3360" s="19"/>
      <c r="D3360" s="19"/>
      <c r="H3360" s="105"/>
      <c r="I3360" s="126"/>
      <c r="J3360" s="11"/>
      <c r="K3360" s="108"/>
      <c r="L3360" s="11"/>
      <c r="M3360" s="105"/>
      <c r="N3360" s="105"/>
      <c r="O3360" s="11"/>
      <c r="P3360" s="11"/>
      <c r="Q3360" s="105"/>
      <c r="R3360" s="105"/>
      <c r="S3360" s="105"/>
      <c r="T3360" s="105"/>
      <c r="U3360" s="105"/>
      <c r="V3360" s="105"/>
      <c r="W3360" s="105"/>
      <c r="X3360" s="11"/>
      <c r="Y3360" s="11"/>
      <c r="Z3360" s="105"/>
      <c r="AA3360" s="11"/>
      <c r="AB3360" s="11"/>
      <c r="AC3360" s="105"/>
      <c r="AD3360" s="11" t="b">
        <v>0</v>
      </c>
      <c r="AE3360" s="105"/>
      <c r="AF3360" s="11"/>
      <c r="AG3360" s="11"/>
      <c r="AH3360" s="11"/>
      <c r="AI3360" s="11"/>
    </row>
    <row r="3361" ht="12.5" spans="3:35">
      <c r="C3361" s="19"/>
      <c r="D3361" s="19"/>
      <c r="H3361" s="105"/>
      <c r="I3361" s="126"/>
      <c r="J3361" s="11"/>
      <c r="K3361" s="108"/>
      <c r="L3361" s="11"/>
      <c r="M3361" s="105"/>
      <c r="N3361" s="105"/>
      <c r="O3361" s="11"/>
      <c r="P3361" s="11"/>
      <c r="Q3361" s="105"/>
      <c r="R3361" s="105"/>
      <c r="S3361" s="105"/>
      <c r="T3361" s="105"/>
      <c r="U3361" s="105"/>
      <c r="V3361" s="105"/>
      <c r="W3361" s="105"/>
      <c r="X3361" s="11"/>
      <c r="Y3361" s="11"/>
      <c r="Z3361" s="105"/>
      <c r="AA3361" s="11"/>
      <c r="AB3361" s="11"/>
      <c r="AC3361" s="105"/>
      <c r="AD3361" s="11" t="b">
        <v>0</v>
      </c>
      <c r="AE3361" s="105"/>
      <c r="AF3361" s="11"/>
      <c r="AG3361" s="11"/>
      <c r="AH3361" s="11"/>
      <c r="AI3361" s="11"/>
    </row>
    <row r="3362" ht="12.5" spans="3:35">
      <c r="C3362" s="19"/>
      <c r="D3362" s="19"/>
      <c r="H3362" s="105"/>
      <c r="I3362" s="126"/>
      <c r="J3362" s="11"/>
      <c r="K3362" s="108"/>
      <c r="L3362" s="11"/>
      <c r="M3362" s="105"/>
      <c r="N3362" s="105"/>
      <c r="O3362" s="11"/>
      <c r="P3362" s="11"/>
      <c r="Q3362" s="105"/>
      <c r="R3362" s="105"/>
      <c r="S3362" s="105"/>
      <c r="T3362" s="105"/>
      <c r="U3362" s="105"/>
      <c r="V3362" s="105"/>
      <c r="W3362" s="105"/>
      <c r="X3362" s="11"/>
      <c r="Y3362" s="11"/>
      <c r="Z3362" s="105"/>
      <c r="AA3362" s="11"/>
      <c r="AB3362" s="11"/>
      <c r="AC3362" s="105"/>
      <c r="AD3362" s="11" t="b">
        <v>0</v>
      </c>
      <c r="AE3362" s="105"/>
      <c r="AF3362" s="11"/>
      <c r="AG3362" s="11"/>
      <c r="AH3362" s="11"/>
      <c r="AI3362" s="11"/>
    </row>
    <row r="3363" ht="12.5" spans="3:35">
      <c r="C3363" s="19"/>
      <c r="D3363" s="19"/>
      <c r="H3363" s="105"/>
      <c r="I3363" s="126"/>
      <c r="J3363" s="11"/>
      <c r="K3363" s="108"/>
      <c r="L3363" s="11"/>
      <c r="M3363" s="105"/>
      <c r="N3363" s="105"/>
      <c r="O3363" s="11"/>
      <c r="P3363" s="11"/>
      <c r="Q3363" s="105"/>
      <c r="R3363" s="105"/>
      <c r="S3363" s="105"/>
      <c r="T3363" s="105"/>
      <c r="U3363" s="105"/>
      <c r="V3363" s="105"/>
      <c r="W3363" s="105"/>
      <c r="X3363" s="11"/>
      <c r="Y3363" s="11"/>
      <c r="Z3363" s="105"/>
      <c r="AA3363" s="11"/>
      <c r="AB3363" s="11"/>
      <c r="AC3363" s="105"/>
      <c r="AD3363" s="11" t="b">
        <v>0</v>
      </c>
      <c r="AE3363" s="105"/>
      <c r="AF3363" s="11"/>
      <c r="AG3363" s="11"/>
      <c r="AH3363" s="11"/>
      <c r="AI3363" s="11"/>
    </row>
    <row r="3364" ht="12.5" spans="3:35">
      <c r="C3364" s="19"/>
      <c r="D3364" s="19"/>
      <c r="H3364" s="105"/>
      <c r="I3364" s="126"/>
      <c r="J3364" s="11"/>
      <c r="K3364" s="108"/>
      <c r="L3364" s="11"/>
      <c r="M3364" s="105"/>
      <c r="N3364" s="105"/>
      <c r="O3364" s="11"/>
      <c r="P3364" s="11"/>
      <c r="Q3364" s="105"/>
      <c r="R3364" s="105"/>
      <c r="S3364" s="105"/>
      <c r="T3364" s="105"/>
      <c r="U3364" s="105"/>
      <c r="V3364" s="105"/>
      <c r="W3364" s="105"/>
      <c r="X3364" s="11"/>
      <c r="Y3364" s="11"/>
      <c r="Z3364" s="105"/>
      <c r="AA3364" s="11"/>
      <c r="AB3364" s="11"/>
      <c r="AC3364" s="105"/>
      <c r="AD3364" s="11" t="b">
        <v>0</v>
      </c>
      <c r="AE3364" s="105"/>
      <c r="AF3364" s="11"/>
      <c r="AG3364" s="11"/>
      <c r="AH3364" s="11"/>
      <c r="AI3364" s="11"/>
    </row>
    <row r="3365" ht="12.5" spans="3:35">
      <c r="C3365" s="19"/>
      <c r="D3365" s="19"/>
      <c r="H3365" s="105"/>
      <c r="I3365" s="126"/>
      <c r="J3365" s="11"/>
      <c r="K3365" s="108"/>
      <c r="L3365" s="11"/>
      <c r="M3365" s="105"/>
      <c r="N3365" s="105"/>
      <c r="O3365" s="11"/>
      <c r="P3365" s="11"/>
      <c r="Q3365" s="105"/>
      <c r="R3365" s="105"/>
      <c r="S3365" s="105"/>
      <c r="T3365" s="105"/>
      <c r="U3365" s="105"/>
      <c r="V3365" s="105"/>
      <c r="W3365" s="105"/>
      <c r="X3365" s="11"/>
      <c r="Y3365" s="11"/>
      <c r="Z3365" s="105"/>
      <c r="AA3365" s="11"/>
      <c r="AB3365" s="11"/>
      <c r="AC3365" s="105"/>
      <c r="AD3365" s="11" t="b">
        <v>0</v>
      </c>
      <c r="AE3365" s="105"/>
      <c r="AF3365" s="11"/>
      <c r="AG3365" s="11"/>
      <c r="AH3365" s="11"/>
      <c r="AI3365" s="11"/>
    </row>
    <row r="3366" ht="12.5" spans="3:35">
      <c r="C3366" s="19"/>
      <c r="D3366" s="19"/>
      <c r="H3366" s="105"/>
      <c r="I3366" s="126"/>
      <c r="J3366" s="11"/>
      <c r="K3366" s="108"/>
      <c r="L3366" s="11"/>
      <c r="M3366" s="105"/>
      <c r="N3366" s="105"/>
      <c r="O3366" s="11"/>
      <c r="P3366" s="11"/>
      <c r="Q3366" s="105"/>
      <c r="R3366" s="105"/>
      <c r="S3366" s="105"/>
      <c r="T3366" s="105"/>
      <c r="U3366" s="105"/>
      <c r="V3366" s="105"/>
      <c r="W3366" s="105"/>
      <c r="X3366" s="11"/>
      <c r="Y3366" s="11"/>
      <c r="Z3366" s="105"/>
      <c r="AA3366" s="11"/>
      <c r="AB3366" s="11"/>
      <c r="AC3366" s="105"/>
      <c r="AD3366" s="11" t="b">
        <v>0</v>
      </c>
      <c r="AE3366" s="105"/>
      <c r="AF3366" s="11"/>
      <c r="AG3366" s="11"/>
      <c r="AH3366" s="11"/>
      <c r="AI3366" s="11"/>
    </row>
    <row r="3367" ht="12.5" spans="3:35">
      <c r="C3367" s="19"/>
      <c r="D3367" s="19"/>
      <c r="H3367" s="105"/>
      <c r="I3367" s="126"/>
      <c r="J3367" s="11"/>
      <c r="K3367" s="108"/>
      <c r="L3367" s="11"/>
      <c r="M3367" s="105"/>
      <c r="N3367" s="105"/>
      <c r="O3367" s="11"/>
      <c r="P3367" s="11"/>
      <c r="Q3367" s="105"/>
      <c r="R3367" s="105"/>
      <c r="S3367" s="105"/>
      <c r="T3367" s="105"/>
      <c r="U3367" s="105"/>
      <c r="V3367" s="105"/>
      <c r="W3367" s="105"/>
      <c r="X3367" s="11"/>
      <c r="Y3367" s="11"/>
      <c r="Z3367" s="105"/>
      <c r="AA3367" s="11"/>
      <c r="AB3367" s="11"/>
      <c r="AC3367" s="105"/>
      <c r="AD3367" s="11" t="b">
        <v>0</v>
      </c>
      <c r="AE3367" s="105"/>
      <c r="AF3367" s="11"/>
      <c r="AG3367" s="11"/>
      <c r="AH3367" s="11"/>
      <c r="AI3367" s="11"/>
    </row>
    <row r="3368" ht="12.5" spans="3:35">
      <c r="C3368" s="19"/>
      <c r="D3368" s="19"/>
      <c r="H3368" s="105"/>
      <c r="I3368" s="126"/>
      <c r="J3368" s="11"/>
      <c r="K3368" s="108"/>
      <c r="L3368" s="11"/>
      <c r="M3368" s="105"/>
      <c r="N3368" s="105"/>
      <c r="O3368" s="11"/>
      <c r="P3368" s="11"/>
      <c r="Q3368" s="105"/>
      <c r="R3368" s="105"/>
      <c r="S3368" s="105"/>
      <c r="T3368" s="105"/>
      <c r="U3368" s="105"/>
      <c r="V3368" s="105"/>
      <c r="W3368" s="105"/>
      <c r="X3368" s="11"/>
      <c r="Y3368" s="11"/>
      <c r="Z3368" s="105"/>
      <c r="AA3368" s="11"/>
      <c r="AB3368" s="11"/>
      <c r="AC3368" s="105"/>
      <c r="AD3368" s="11" t="b">
        <v>0</v>
      </c>
      <c r="AE3368" s="105"/>
      <c r="AF3368" s="11"/>
      <c r="AG3368" s="11"/>
      <c r="AH3368" s="11"/>
      <c r="AI3368" s="11"/>
    </row>
    <row r="3369" ht="12.5" spans="3:35">
      <c r="C3369" s="19"/>
      <c r="D3369" s="19"/>
      <c r="H3369" s="105"/>
      <c r="I3369" s="126"/>
      <c r="J3369" s="11"/>
      <c r="K3369" s="108"/>
      <c r="L3369" s="11"/>
      <c r="M3369" s="105"/>
      <c r="N3369" s="105"/>
      <c r="O3369" s="11"/>
      <c r="P3369" s="11"/>
      <c r="Q3369" s="105"/>
      <c r="R3369" s="105"/>
      <c r="S3369" s="105"/>
      <c r="T3369" s="105"/>
      <c r="U3369" s="105"/>
      <c r="V3369" s="105"/>
      <c r="W3369" s="105"/>
      <c r="X3369" s="11"/>
      <c r="Y3369" s="11"/>
      <c r="Z3369" s="105"/>
      <c r="AA3369" s="11"/>
      <c r="AB3369" s="11"/>
      <c r="AC3369" s="105"/>
      <c r="AD3369" s="11" t="b">
        <v>0</v>
      </c>
      <c r="AE3369" s="105"/>
      <c r="AF3369" s="11"/>
      <c r="AG3369" s="11"/>
      <c r="AH3369" s="11"/>
      <c r="AI3369" s="11"/>
    </row>
    <row r="3370" ht="12.5" spans="3:35">
      <c r="C3370" s="19"/>
      <c r="D3370" s="19"/>
      <c r="H3370" s="105"/>
      <c r="I3370" s="126"/>
      <c r="J3370" s="11"/>
      <c r="K3370" s="108"/>
      <c r="L3370" s="11"/>
      <c r="M3370" s="105"/>
      <c r="N3370" s="105"/>
      <c r="O3370" s="11"/>
      <c r="P3370" s="11"/>
      <c r="Q3370" s="105"/>
      <c r="R3370" s="105"/>
      <c r="S3370" s="105"/>
      <c r="T3370" s="105"/>
      <c r="U3370" s="105"/>
      <c r="V3370" s="105"/>
      <c r="W3370" s="105"/>
      <c r="X3370" s="11"/>
      <c r="Y3370" s="11"/>
      <c r="Z3370" s="105"/>
      <c r="AA3370" s="11"/>
      <c r="AB3370" s="11"/>
      <c r="AC3370" s="105"/>
      <c r="AD3370" s="11" t="b">
        <v>0</v>
      </c>
      <c r="AE3370" s="105"/>
      <c r="AF3370" s="11"/>
      <c r="AG3370" s="11"/>
      <c r="AH3370" s="11"/>
      <c r="AI3370" s="11"/>
    </row>
    <row r="3371" ht="12.5" spans="3:35">
      <c r="C3371" s="19"/>
      <c r="D3371" s="19"/>
      <c r="H3371" s="105"/>
      <c r="I3371" s="126"/>
      <c r="J3371" s="11"/>
      <c r="K3371" s="108"/>
      <c r="L3371" s="11"/>
      <c r="M3371" s="105"/>
      <c r="N3371" s="105"/>
      <c r="O3371" s="11"/>
      <c r="P3371" s="11"/>
      <c r="Q3371" s="105"/>
      <c r="R3371" s="105"/>
      <c r="S3371" s="105"/>
      <c r="T3371" s="105"/>
      <c r="U3371" s="105"/>
      <c r="V3371" s="105"/>
      <c r="W3371" s="105"/>
      <c r="X3371" s="11"/>
      <c r="Y3371" s="11"/>
      <c r="Z3371" s="105"/>
      <c r="AA3371" s="11"/>
      <c r="AB3371" s="11"/>
      <c r="AC3371" s="105"/>
      <c r="AD3371" s="11" t="b">
        <v>0</v>
      </c>
      <c r="AE3371" s="105"/>
      <c r="AF3371" s="11"/>
      <c r="AG3371" s="11"/>
      <c r="AH3371" s="11"/>
      <c r="AI3371" s="11"/>
    </row>
    <row r="3372" ht="12.5" spans="3:35">
      <c r="C3372" s="19"/>
      <c r="D3372" s="19"/>
      <c r="H3372" s="105"/>
      <c r="I3372" s="126"/>
      <c r="J3372" s="11"/>
      <c r="K3372" s="108"/>
      <c r="L3372" s="11"/>
      <c r="M3372" s="105"/>
      <c r="N3372" s="105"/>
      <c r="O3372" s="11"/>
      <c r="P3372" s="11"/>
      <c r="Q3372" s="105"/>
      <c r="R3372" s="105"/>
      <c r="S3372" s="105"/>
      <c r="T3372" s="105"/>
      <c r="U3372" s="105"/>
      <c r="V3372" s="105"/>
      <c r="W3372" s="105"/>
      <c r="X3372" s="11"/>
      <c r="Y3372" s="11"/>
      <c r="Z3372" s="105"/>
      <c r="AA3372" s="11"/>
      <c r="AB3372" s="11"/>
      <c r="AC3372" s="105"/>
      <c r="AD3372" s="11" t="b">
        <v>0</v>
      </c>
      <c r="AE3372" s="105"/>
      <c r="AF3372" s="11"/>
      <c r="AG3372" s="11"/>
      <c r="AH3372" s="11"/>
      <c r="AI3372" s="11"/>
    </row>
    <row r="3373" ht="12.5" spans="3:35">
      <c r="C3373" s="19"/>
      <c r="D3373" s="19"/>
      <c r="H3373" s="105"/>
      <c r="I3373" s="126"/>
      <c r="J3373" s="11"/>
      <c r="K3373" s="108"/>
      <c r="L3373" s="11"/>
      <c r="M3373" s="105"/>
      <c r="N3373" s="105"/>
      <c r="O3373" s="11"/>
      <c r="P3373" s="11"/>
      <c r="Q3373" s="105"/>
      <c r="R3373" s="105"/>
      <c r="S3373" s="105"/>
      <c r="T3373" s="105"/>
      <c r="U3373" s="105"/>
      <c r="V3373" s="105"/>
      <c r="W3373" s="105"/>
      <c r="X3373" s="11"/>
      <c r="Y3373" s="11"/>
      <c r="Z3373" s="105"/>
      <c r="AA3373" s="11"/>
      <c r="AB3373" s="11"/>
      <c r="AC3373" s="105"/>
      <c r="AD3373" s="11" t="b">
        <v>0</v>
      </c>
      <c r="AE3373" s="105"/>
      <c r="AF3373" s="11"/>
      <c r="AG3373" s="11"/>
      <c r="AH3373" s="11"/>
      <c r="AI3373" s="11"/>
    </row>
    <row r="3374" ht="12.5" spans="3:35">
      <c r="C3374" s="19"/>
      <c r="D3374" s="19"/>
      <c r="H3374" s="105"/>
      <c r="I3374" s="126"/>
      <c r="J3374" s="11"/>
      <c r="K3374" s="108"/>
      <c r="L3374" s="11"/>
      <c r="M3374" s="105"/>
      <c r="N3374" s="105"/>
      <c r="O3374" s="11"/>
      <c r="P3374" s="11"/>
      <c r="Q3374" s="105"/>
      <c r="R3374" s="105"/>
      <c r="S3374" s="105"/>
      <c r="T3374" s="105"/>
      <c r="U3374" s="105"/>
      <c r="V3374" s="105"/>
      <c r="W3374" s="105"/>
      <c r="X3374" s="11"/>
      <c r="Y3374" s="11"/>
      <c r="Z3374" s="105"/>
      <c r="AA3374" s="11"/>
      <c r="AB3374" s="11"/>
      <c r="AC3374" s="105"/>
      <c r="AD3374" s="11" t="b">
        <v>0</v>
      </c>
      <c r="AE3374" s="105"/>
      <c r="AF3374" s="11"/>
      <c r="AG3374" s="11"/>
      <c r="AH3374" s="11"/>
      <c r="AI3374" s="11"/>
    </row>
    <row r="3375" ht="12.5" spans="3:35">
      <c r="C3375" s="19"/>
      <c r="D3375" s="19"/>
      <c r="H3375" s="105"/>
      <c r="I3375" s="126"/>
      <c r="J3375" s="11"/>
      <c r="K3375" s="108"/>
      <c r="L3375" s="11"/>
      <c r="M3375" s="105"/>
      <c r="N3375" s="105"/>
      <c r="O3375" s="11"/>
      <c r="P3375" s="11"/>
      <c r="Q3375" s="105"/>
      <c r="R3375" s="105"/>
      <c r="S3375" s="105"/>
      <c r="T3375" s="105"/>
      <c r="U3375" s="105"/>
      <c r="V3375" s="105"/>
      <c r="W3375" s="105"/>
      <c r="X3375" s="11"/>
      <c r="Y3375" s="11"/>
      <c r="Z3375" s="105"/>
      <c r="AA3375" s="11"/>
      <c r="AB3375" s="11"/>
      <c r="AC3375" s="105"/>
      <c r="AD3375" s="11" t="b">
        <v>0</v>
      </c>
      <c r="AE3375" s="105"/>
      <c r="AF3375" s="11"/>
      <c r="AG3375" s="11"/>
      <c r="AH3375" s="11"/>
      <c r="AI3375" s="11"/>
    </row>
    <row r="3376" ht="12.5" spans="3:35">
      <c r="C3376" s="19"/>
      <c r="D3376" s="19"/>
      <c r="H3376" s="105"/>
      <c r="I3376" s="126"/>
      <c r="J3376" s="11"/>
      <c r="K3376" s="108"/>
      <c r="L3376" s="11"/>
      <c r="M3376" s="105"/>
      <c r="N3376" s="105"/>
      <c r="O3376" s="11"/>
      <c r="P3376" s="11"/>
      <c r="Q3376" s="105"/>
      <c r="R3376" s="105"/>
      <c r="S3376" s="105"/>
      <c r="T3376" s="105"/>
      <c r="U3376" s="105"/>
      <c r="V3376" s="105"/>
      <c r="W3376" s="105"/>
      <c r="X3376" s="11"/>
      <c r="Y3376" s="11"/>
      <c r="Z3376" s="105"/>
      <c r="AA3376" s="11"/>
      <c r="AB3376" s="11"/>
      <c r="AC3376" s="105"/>
      <c r="AD3376" s="11" t="b">
        <v>0</v>
      </c>
      <c r="AE3376" s="105"/>
      <c r="AF3376" s="11"/>
      <c r="AG3376" s="11"/>
      <c r="AH3376" s="11"/>
      <c r="AI3376" s="11"/>
    </row>
    <row r="3377" ht="12.5" spans="3:35">
      <c r="C3377" s="19"/>
      <c r="D3377" s="19"/>
      <c r="H3377" s="105"/>
      <c r="I3377" s="126"/>
      <c r="J3377" s="11"/>
      <c r="K3377" s="108"/>
      <c r="L3377" s="11"/>
      <c r="M3377" s="105"/>
      <c r="N3377" s="105"/>
      <c r="O3377" s="11"/>
      <c r="P3377" s="11"/>
      <c r="Q3377" s="105"/>
      <c r="R3377" s="105"/>
      <c r="S3377" s="105"/>
      <c r="T3377" s="105"/>
      <c r="U3377" s="105"/>
      <c r="V3377" s="105"/>
      <c r="W3377" s="105"/>
      <c r="X3377" s="11"/>
      <c r="Y3377" s="11"/>
      <c r="Z3377" s="105"/>
      <c r="AA3377" s="11"/>
      <c r="AB3377" s="11"/>
      <c r="AC3377" s="105"/>
      <c r="AD3377" s="11" t="b">
        <v>0</v>
      </c>
      <c r="AE3377" s="105"/>
      <c r="AF3377" s="11"/>
      <c r="AG3377" s="11"/>
      <c r="AH3377" s="11"/>
      <c r="AI3377" s="11"/>
    </row>
    <row r="3378" ht="12.5" spans="3:35">
      <c r="C3378" s="19"/>
      <c r="D3378" s="19"/>
      <c r="H3378" s="105"/>
      <c r="I3378" s="126"/>
      <c r="J3378" s="11"/>
      <c r="K3378" s="108"/>
      <c r="L3378" s="11"/>
      <c r="M3378" s="105"/>
      <c r="N3378" s="105"/>
      <c r="O3378" s="11"/>
      <c r="P3378" s="11"/>
      <c r="Q3378" s="105"/>
      <c r="R3378" s="105"/>
      <c r="S3378" s="105"/>
      <c r="T3378" s="105"/>
      <c r="U3378" s="105"/>
      <c r="V3378" s="105"/>
      <c r="W3378" s="105"/>
      <c r="X3378" s="11"/>
      <c r="Y3378" s="11"/>
      <c r="Z3378" s="105"/>
      <c r="AA3378" s="11"/>
      <c r="AB3378" s="11"/>
      <c r="AC3378" s="105"/>
      <c r="AD3378" s="11" t="b">
        <v>0</v>
      </c>
      <c r="AE3378" s="105"/>
      <c r="AF3378" s="11"/>
      <c r="AG3378" s="11"/>
      <c r="AH3378" s="11"/>
      <c r="AI3378" s="11"/>
    </row>
    <row r="3379" ht="12.5" spans="3:35">
      <c r="C3379" s="19"/>
      <c r="D3379" s="19"/>
      <c r="H3379" s="105"/>
      <c r="I3379" s="126"/>
      <c r="J3379" s="11"/>
      <c r="K3379" s="108"/>
      <c r="L3379" s="11"/>
      <c r="M3379" s="105"/>
      <c r="N3379" s="105"/>
      <c r="O3379" s="11"/>
      <c r="P3379" s="11"/>
      <c r="Q3379" s="105"/>
      <c r="R3379" s="105"/>
      <c r="S3379" s="105"/>
      <c r="T3379" s="105"/>
      <c r="U3379" s="105"/>
      <c r="V3379" s="105"/>
      <c r="W3379" s="105"/>
      <c r="X3379" s="11"/>
      <c r="Y3379" s="11"/>
      <c r="Z3379" s="105"/>
      <c r="AA3379" s="11"/>
      <c r="AB3379" s="11"/>
      <c r="AC3379" s="105"/>
      <c r="AD3379" s="11" t="b">
        <v>0</v>
      </c>
      <c r="AE3379" s="105"/>
      <c r="AF3379" s="11"/>
      <c r="AG3379" s="11"/>
      <c r="AH3379" s="11"/>
      <c r="AI3379" s="11"/>
    </row>
    <row r="3380" ht="12.5" spans="3:35">
      <c r="C3380" s="19"/>
      <c r="D3380" s="19"/>
      <c r="H3380" s="105"/>
      <c r="I3380" s="126"/>
      <c r="J3380" s="11"/>
      <c r="K3380" s="108"/>
      <c r="L3380" s="11"/>
      <c r="M3380" s="105"/>
      <c r="N3380" s="105"/>
      <c r="O3380" s="11"/>
      <c r="P3380" s="11"/>
      <c r="Q3380" s="105"/>
      <c r="R3380" s="105"/>
      <c r="S3380" s="105"/>
      <c r="T3380" s="105"/>
      <c r="U3380" s="105"/>
      <c r="V3380" s="105"/>
      <c r="W3380" s="105"/>
      <c r="X3380" s="11"/>
      <c r="Y3380" s="11"/>
      <c r="Z3380" s="105"/>
      <c r="AA3380" s="11"/>
      <c r="AB3380" s="11"/>
      <c r="AC3380" s="105"/>
      <c r="AD3380" s="11" t="b">
        <v>0</v>
      </c>
      <c r="AE3380" s="105"/>
      <c r="AF3380" s="11"/>
      <c r="AG3380" s="11"/>
      <c r="AH3380" s="11"/>
      <c r="AI3380" s="11"/>
    </row>
    <row r="3381" ht="12.5" spans="3:35">
      <c r="C3381" s="19"/>
      <c r="D3381" s="19"/>
      <c r="H3381" s="105"/>
      <c r="I3381" s="126"/>
      <c r="J3381" s="11"/>
      <c r="K3381" s="108"/>
      <c r="L3381" s="11"/>
      <c r="M3381" s="105"/>
      <c r="N3381" s="105"/>
      <c r="O3381" s="11"/>
      <c r="P3381" s="11"/>
      <c r="Q3381" s="105"/>
      <c r="R3381" s="105"/>
      <c r="S3381" s="105"/>
      <c r="T3381" s="105"/>
      <c r="U3381" s="105"/>
      <c r="V3381" s="105"/>
      <c r="W3381" s="105"/>
      <c r="X3381" s="11"/>
      <c r="Y3381" s="11"/>
      <c r="Z3381" s="105"/>
      <c r="AA3381" s="11"/>
      <c r="AB3381" s="11"/>
      <c r="AC3381" s="105"/>
      <c r="AD3381" s="11" t="b">
        <v>0</v>
      </c>
      <c r="AE3381" s="105"/>
      <c r="AF3381" s="11"/>
      <c r="AG3381" s="11"/>
      <c r="AH3381" s="11"/>
      <c r="AI3381" s="11"/>
    </row>
    <row r="3382" ht="12.5" spans="3:35">
      <c r="C3382" s="19"/>
      <c r="D3382" s="19"/>
      <c r="H3382" s="105"/>
      <c r="I3382" s="126"/>
      <c r="J3382" s="11"/>
      <c r="K3382" s="108"/>
      <c r="L3382" s="11"/>
      <c r="M3382" s="105"/>
      <c r="N3382" s="105"/>
      <c r="O3382" s="11"/>
      <c r="P3382" s="11"/>
      <c r="Q3382" s="105"/>
      <c r="R3382" s="105"/>
      <c r="S3382" s="105"/>
      <c r="T3382" s="105"/>
      <c r="U3382" s="105"/>
      <c r="V3382" s="105"/>
      <c r="W3382" s="105"/>
      <c r="X3382" s="11"/>
      <c r="Y3382" s="11"/>
      <c r="Z3382" s="105"/>
      <c r="AA3382" s="11"/>
      <c r="AB3382" s="11"/>
      <c r="AC3382" s="105"/>
      <c r="AD3382" s="11" t="b">
        <v>0</v>
      </c>
      <c r="AE3382" s="105"/>
      <c r="AF3382" s="11"/>
      <c r="AG3382" s="11"/>
      <c r="AH3382" s="11"/>
      <c r="AI3382" s="11"/>
    </row>
    <row r="3383" ht="12.5" spans="3:35">
      <c r="C3383" s="19"/>
      <c r="D3383" s="19"/>
      <c r="H3383" s="105"/>
      <c r="I3383" s="126"/>
      <c r="J3383" s="11"/>
      <c r="K3383" s="108"/>
      <c r="L3383" s="11"/>
      <c r="M3383" s="105"/>
      <c r="N3383" s="105"/>
      <c r="O3383" s="11"/>
      <c r="P3383" s="11"/>
      <c r="Q3383" s="105"/>
      <c r="R3383" s="105"/>
      <c r="S3383" s="105"/>
      <c r="T3383" s="105"/>
      <c r="U3383" s="105"/>
      <c r="V3383" s="105"/>
      <c r="W3383" s="105"/>
      <c r="X3383" s="11"/>
      <c r="Y3383" s="11"/>
      <c r="Z3383" s="105"/>
      <c r="AA3383" s="11"/>
      <c r="AB3383" s="11"/>
      <c r="AC3383" s="105"/>
      <c r="AD3383" s="11" t="b">
        <v>0</v>
      </c>
      <c r="AE3383" s="105"/>
      <c r="AF3383" s="11"/>
      <c r="AG3383" s="11"/>
      <c r="AH3383" s="11"/>
      <c r="AI3383" s="11"/>
    </row>
    <row r="3384" ht="12.5" spans="3:35">
      <c r="C3384" s="19"/>
      <c r="D3384" s="19"/>
      <c r="H3384" s="105"/>
      <c r="I3384" s="126"/>
      <c r="J3384" s="11"/>
      <c r="K3384" s="108"/>
      <c r="L3384" s="11"/>
      <c r="M3384" s="105"/>
      <c r="N3384" s="105"/>
      <c r="O3384" s="11"/>
      <c r="P3384" s="11"/>
      <c r="Q3384" s="105"/>
      <c r="R3384" s="105"/>
      <c r="S3384" s="105"/>
      <c r="T3384" s="105"/>
      <c r="U3384" s="105"/>
      <c r="V3384" s="105"/>
      <c r="W3384" s="105"/>
      <c r="X3384" s="11"/>
      <c r="Y3384" s="11"/>
      <c r="Z3384" s="105"/>
      <c r="AA3384" s="11"/>
      <c r="AB3384" s="11"/>
      <c r="AC3384" s="105"/>
      <c r="AD3384" s="11" t="b">
        <v>0</v>
      </c>
      <c r="AE3384" s="105"/>
      <c r="AF3384" s="11"/>
      <c r="AG3384" s="11"/>
      <c r="AH3384" s="11"/>
      <c r="AI3384" s="11"/>
    </row>
    <row r="3385" ht="12.5" spans="3:35">
      <c r="C3385" s="19"/>
      <c r="D3385" s="19"/>
      <c r="H3385" s="105"/>
      <c r="I3385" s="126"/>
      <c r="J3385" s="11"/>
      <c r="K3385" s="108"/>
      <c r="L3385" s="11"/>
      <c r="M3385" s="105"/>
      <c r="N3385" s="105"/>
      <c r="O3385" s="11"/>
      <c r="P3385" s="11"/>
      <c r="Q3385" s="105"/>
      <c r="R3385" s="105"/>
      <c r="S3385" s="105"/>
      <c r="T3385" s="105"/>
      <c r="U3385" s="105"/>
      <c r="V3385" s="105"/>
      <c r="W3385" s="105"/>
      <c r="X3385" s="11"/>
      <c r="Y3385" s="11"/>
      <c r="Z3385" s="105"/>
      <c r="AA3385" s="11"/>
      <c r="AB3385" s="11"/>
      <c r="AC3385" s="105"/>
      <c r="AD3385" s="11" t="b">
        <v>0</v>
      </c>
      <c r="AE3385" s="105"/>
      <c r="AF3385" s="11"/>
      <c r="AG3385" s="11"/>
      <c r="AH3385" s="11"/>
      <c r="AI3385" s="11"/>
    </row>
    <row r="3386" ht="12.5" spans="3:35">
      <c r="C3386" s="19"/>
      <c r="D3386" s="19"/>
      <c r="H3386" s="105"/>
      <c r="I3386" s="126"/>
      <c r="J3386" s="11"/>
      <c r="K3386" s="108"/>
      <c r="L3386" s="11"/>
      <c r="M3386" s="105"/>
      <c r="N3386" s="105"/>
      <c r="O3386" s="11"/>
      <c r="P3386" s="11"/>
      <c r="Q3386" s="105"/>
      <c r="R3386" s="105"/>
      <c r="S3386" s="105"/>
      <c r="T3386" s="105"/>
      <c r="U3386" s="105"/>
      <c r="V3386" s="105"/>
      <c r="W3386" s="105"/>
      <c r="X3386" s="11"/>
      <c r="Y3386" s="11"/>
      <c r="Z3386" s="105"/>
      <c r="AA3386" s="11"/>
      <c r="AB3386" s="11"/>
      <c r="AC3386" s="105"/>
      <c r="AD3386" s="11" t="b">
        <v>0</v>
      </c>
      <c r="AE3386" s="105"/>
      <c r="AF3386" s="11"/>
      <c r="AG3386" s="11"/>
      <c r="AH3386" s="11"/>
      <c r="AI3386" s="11"/>
    </row>
    <row r="3387" ht="12.5" spans="3:35">
      <c r="C3387" s="19"/>
      <c r="D3387" s="19"/>
      <c r="H3387" s="105"/>
      <c r="I3387" s="126"/>
      <c r="J3387" s="11"/>
      <c r="K3387" s="108"/>
      <c r="L3387" s="11"/>
      <c r="M3387" s="105"/>
      <c r="N3387" s="105"/>
      <c r="O3387" s="11"/>
      <c r="P3387" s="11"/>
      <c r="Q3387" s="105"/>
      <c r="R3387" s="105"/>
      <c r="S3387" s="105"/>
      <c r="T3387" s="105"/>
      <c r="U3387" s="105"/>
      <c r="V3387" s="105"/>
      <c r="W3387" s="105"/>
      <c r="X3387" s="11"/>
      <c r="Y3387" s="11"/>
      <c r="Z3387" s="105"/>
      <c r="AA3387" s="11"/>
      <c r="AB3387" s="11"/>
      <c r="AC3387" s="105"/>
      <c r="AD3387" s="11" t="b">
        <v>0</v>
      </c>
      <c r="AE3387" s="105"/>
      <c r="AF3387" s="11"/>
      <c r="AG3387" s="11"/>
      <c r="AH3387" s="11"/>
      <c r="AI3387" s="11"/>
    </row>
    <row r="3388" ht="12.5" spans="3:35">
      <c r="C3388" s="19"/>
      <c r="D3388" s="19"/>
      <c r="H3388" s="105"/>
      <c r="I3388" s="126"/>
      <c r="J3388" s="11"/>
      <c r="K3388" s="108"/>
      <c r="L3388" s="11"/>
      <c r="M3388" s="105"/>
      <c r="N3388" s="105"/>
      <c r="O3388" s="11"/>
      <c r="P3388" s="11"/>
      <c r="Q3388" s="105"/>
      <c r="R3388" s="105"/>
      <c r="S3388" s="105"/>
      <c r="T3388" s="105"/>
      <c r="U3388" s="105"/>
      <c r="V3388" s="105"/>
      <c r="W3388" s="105"/>
      <c r="X3388" s="11"/>
      <c r="Y3388" s="11"/>
      <c r="Z3388" s="105"/>
      <c r="AA3388" s="11"/>
      <c r="AB3388" s="11"/>
      <c r="AC3388" s="105"/>
      <c r="AD3388" s="11" t="b">
        <v>0</v>
      </c>
      <c r="AE3388" s="105"/>
      <c r="AF3388" s="11"/>
      <c r="AG3388" s="11"/>
      <c r="AH3388" s="11"/>
      <c r="AI3388" s="11"/>
    </row>
    <row r="3389" ht="12.5" spans="3:35">
      <c r="C3389" s="19"/>
      <c r="D3389" s="19"/>
      <c r="H3389" s="105"/>
      <c r="I3389" s="126"/>
      <c r="J3389" s="11"/>
      <c r="K3389" s="108"/>
      <c r="L3389" s="11"/>
      <c r="M3389" s="105"/>
      <c r="N3389" s="105"/>
      <c r="O3389" s="11"/>
      <c r="P3389" s="11"/>
      <c r="Q3389" s="105"/>
      <c r="R3389" s="105"/>
      <c r="S3389" s="105"/>
      <c r="T3389" s="105"/>
      <c r="U3389" s="105"/>
      <c r="V3389" s="105"/>
      <c r="W3389" s="105"/>
      <c r="X3389" s="11"/>
      <c r="Y3389" s="11"/>
      <c r="Z3389" s="105"/>
      <c r="AA3389" s="11"/>
      <c r="AB3389" s="11"/>
      <c r="AC3389" s="105"/>
      <c r="AD3389" s="11" t="b">
        <v>0</v>
      </c>
      <c r="AE3389" s="105"/>
      <c r="AF3389" s="11"/>
      <c r="AG3389" s="11"/>
      <c r="AH3389" s="11"/>
      <c r="AI3389" s="11"/>
    </row>
    <row r="3390" ht="12.5" spans="3:35">
      <c r="C3390" s="19"/>
      <c r="D3390" s="19"/>
      <c r="H3390" s="105"/>
      <c r="I3390" s="126"/>
      <c r="J3390" s="11"/>
      <c r="K3390" s="108"/>
      <c r="L3390" s="11"/>
      <c r="M3390" s="105"/>
      <c r="N3390" s="105"/>
      <c r="O3390" s="11"/>
      <c r="P3390" s="11"/>
      <c r="Q3390" s="105"/>
      <c r="R3390" s="105"/>
      <c r="S3390" s="105"/>
      <c r="T3390" s="105"/>
      <c r="U3390" s="105"/>
      <c r="V3390" s="105"/>
      <c r="W3390" s="105"/>
      <c r="X3390" s="11"/>
      <c r="Y3390" s="11"/>
      <c r="Z3390" s="105"/>
      <c r="AA3390" s="11"/>
      <c r="AB3390" s="11"/>
      <c r="AC3390" s="105"/>
      <c r="AD3390" s="11" t="b">
        <v>0</v>
      </c>
      <c r="AE3390" s="105"/>
      <c r="AF3390" s="11"/>
      <c r="AG3390" s="11"/>
      <c r="AH3390" s="11"/>
      <c r="AI3390" s="11"/>
    </row>
    <row r="3391" ht="12.5" spans="3:35">
      <c r="C3391" s="19"/>
      <c r="D3391" s="19"/>
      <c r="H3391" s="105"/>
      <c r="I3391" s="126"/>
      <c r="J3391" s="11"/>
      <c r="K3391" s="108"/>
      <c r="L3391" s="11"/>
      <c r="M3391" s="105"/>
      <c r="N3391" s="105"/>
      <c r="O3391" s="11"/>
      <c r="P3391" s="11"/>
      <c r="Q3391" s="105"/>
      <c r="R3391" s="105"/>
      <c r="S3391" s="105"/>
      <c r="T3391" s="105"/>
      <c r="U3391" s="105"/>
      <c r="V3391" s="105"/>
      <c r="W3391" s="105"/>
      <c r="X3391" s="11"/>
      <c r="Y3391" s="11"/>
      <c r="Z3391" s="105"/>
      <c r="AA3391" s="11"/>
      <c r="AB3391" s="11"/>
      <c r="AC3391" s="105"/>
      <c r="AD3391" s="11" t="b">
        <v>0</v>
      </c>
      <c r="AE3391" s="105"/>
      <c r="AF3391" s="11"/>
      <c r="AG3391" s="11"/>
      <c r="AH3391" s="11"/>
      <c r="AI3391" s="11"/>
    </row>
    <row r="3392" ht="12.5" spans="3:35">
      <c r="C3392" s="19"/>
      <c r="D3392" s="19"/>
      <c r="H3392" s="105"/>
      <c r="I3392" s="126"/>
      <c r="J3392" s="11"/>
      <c r="K3392" s="108"/>
      <c r="L3392" s="11"/>
      <c r="M3392" s="105"/>
      <c r="N3392" s="105"/>
      <c r="O3392" s="11"/>
      <c r="P3392" s="11"/>
      <c r="Q3392" s="105"/>
      <c r="R3392" s="105"/>
      <c r="S3392" s="105"/>
      <c r="T3392" s="105"/>
      <c r="U3392" s="105"/>
      <c r="V3392" s="105"/>
      <c r="W3392" s="105"/>
      <c r="X3392" s="11"/>
      <c r="Y3392" s="11"/>
      <c r="Z3392" s="105"/>
      <c r="AA3392" s="11"/>
      <c r="AB3392" s="11"/>
      <c r="AC3392" s="105"/>
      <c r="AD3392" s="11" t="b">
        <v>0</v>
      </c>
      <c r="AE3392" s="105"/>
      <c r="AF3392" s="11"/>
      <c r="AG3392" s="11"/>
      <c r="AH3392" s="11"/>
      <c r="AI3392" s="11"/>
    </row>
    <row r="3393" ht="12.5" spans="3:35">
      <c r="C3393" s="19"/>
      <c r="D3393" s="19"/>
      <c r="H3393" s="105"/>
      <c r="I3393" s="126"/>
      <c r="J3393" s="11"/>
      <c r="K3393" s="108"/>
      <c r="L3393" s="11"/>
      <c r="M3393" s="105"/>
      <c r="N3393" s="105"/>
      <c r="O3393" s="11"/>
      <c r="P3393" s="11"/>
      <c r="Q3393" s="105"/>
      <c r="R3393" s="105"/>
      <c r="S3393" s="105"/>
      <c r="T3393" s="105"/>
      <c r="U3393" s="105"/>
      <c r="V3393" s="105"/>
      <c r="W3393" s="105"/>
      <c r="X3393" s="11"/>
      <c r="Y3393" s="11"/>
      <c r="Z3393" s="105"/>
      <c r="AA3393" s="11"/>
      <c r="AB3393" s="11"/>
      <c r="AC3393" s="105"/>
      <c r="AD3393" s="11" t="b">
        <v>0</v>
      </c>
      <c r="AE3393" s="105"/>
      <c r="AF3393" s="11"/>
      <c r="AG3393" s="11"/>
      <c r="AH3393" s="11"/>
      <c r="AI3393" s="11"/>
    </row>
    <row r="3394" ht="12.5" spans="3:35">
      <c r="C3394" s="19"/>
      <c r="D3394" s="19"/>
      <c r="H3394" s="105"/>
      <c r="I3394" s="126"/>
      <c r="J3394" s="11"/>
      <c r="K3394" s="108"/>
      <c r="L3394" s="11"/>
      <c r="M3394" s="105"/>
      <c r="N3394" s="105"/>
      <c r="O3394" s="11"/>
      <c r="P3394" s="11"/>
      <c r="Q3394" s="105"/>
      <c r="R3394" s="105"/>
      <c r="S3394" s="105"/>
      <c r="T3394" s="105"/>
      <c r="U3394" s="105"/>
      <c r="V3394" s="105"/>
      <c r="W3394" s="105"/>
      <c r="X3394" s="11"/>
      <c r="Y3394" s="11"/>
      <c r="Z3394" s="105"/>
      <c r="AA3394" s="11"/>
      <c r="AB3394" s="11"/>
      <c r="AC3394" s="105"/>
      <c r="AD3394" s="11" t="b">
        <v>0</v>
      </c>
      <c r="AE3394" s="105"/>
      <c r="AF3394" s="11"/>
      <c r="AG3394" s="11"/>
      <c r="AH3394" s="11"/>
      <c r="AI3394" s="11"/>
    </row>
    <row r="3395" ht="12.5" spans="3:35">
      <c r="C3395" s="19"/>
      <c r="D3395" s="19"/>
      <c r="H3395" s="105"/>
      <c r="I3395" s="126"/>
      <c r="J3395" s="11"/>
      <c r="K3395" s="108"/>
      <c r="L3395" s="11"/>
      <c r="M3395" s="105"/>
      <c r="N3395" s="105"/>
      <c r="O3395" s="11"/>
      <c r="P3395" s="11"/>
      <c r="Q3395" s="105"/>
      <c r="R3395" s="105"/>
      <c r="S3395" s="105"/>
      <c r="T3395" s="105"/>
      <c r="U3395" s="105"/>
      <c r="V3395" s="105"/>
      <c r="W3395" s="105"/>
      <c r="X3395" s="11"/>
      <c r="Y3395" s="11"/>
      <c r="Z3395" s="105"/>
      <c r="AA3395" s="11"/>
      <c r="AB3395" s="11"/>
      <c r="AC3395" s="105"/>
      <c r="AD3395" s="11" t="b">
        <v>0</v>
      </c>
      <c r="AE3395" s="105"/>
      <c r="AF3395" s="11"/>
      <c r="AG3395" s="11"/>
      <c r="AH3395" s="11"/>
      <c r="AI3395" s="11"/>
    </row>
    <row r="3396" ht="12.5" spans="3:35">
      <c r="C3396" s="19"/>
      <c r="D3396" s="19"/>
      <c r="H3396" s="105"/>
      <c r="I3396" s="126"/>
      <c r="J3396" s="11"/>
      <c r="K3396" s="108"/>
      <c r="L3396" s="11"/>
      <c r="M3396" s="105"/>
      <c r="N3396" s="105"/>
      <c r="O3396" s="11"/>
      <c r="P3396" s="11"/>
      <c r="Q3396" s="105"/>
      <c r="R3396" s="105"/>
      <c r="S3396" s="105"/>
      <c r="T3396" s="105"/>
      <c r="U3396" s="105"/>
      <c r="V3396" s="105"/>
      <c r="W3396" s="105"/>
      <c r="X3396" s="11"/>
      <c r="Y3396" s="11"/>
      <c r="Z3396" s="105"/>
      <c r="AA3396" s="11"/>
      <c r="AB3396" s="11"/>
      <c r="AC3396" s="105"/>
      <c r="AD3396" s="11" t="b">
        <v>0</v>
      </c>
      <c r="AE3396" s="105"/>
      <c r="AF3396" s="11"/>
      <c r="AG3396" s="11"/>
      <c r="AH3396" s="11"/>
      <c r="AI3396" s="11"/>
    </row>
    <row r="3397" ht="12.5" spans="3:35">
      <c r="C3397" s="19"/>
      <c r="D3397" s="19"/>
      <c r="H3397" s="105"/>
      <c r="I3397" s="126"/>
      <c r="J3397" s="11"/>
      <c r="K3397" s="108"/>
      <c r="L3397" s="11"/>
      <c r="M3397" s="105"/>
      <c r="N3397" s="105"/>
      <c r="O3397" s="11"/>
      <c r="P3397" s="11"/>
      <c r="Q3397" s="105"/>
      <c r="R3397" s="105"/>
      <c r="S3397" s="105"/>
      <c r="T3397" s="105"/>
      <c r="U3397" s="105"/>
      <c r="V3397" s="105"/>
      <c r="W3397" s="105"/>
      <c r="X3397" s="11"/>
      <c r="Y3397" s="11"/>
      <c r="Z3397" s="105"/>
      <c r="AA3397" s="11"/>
      <c r="AB3397" s="11"/>
      <c r="AC3397" s="105"/>
      <c r="AD3397" s="11" t="b">
        <v>0</v>
      </c>
      <c r="AE3397" s="105"/>
      <c r="AF3397" s="11"/>
      <c r="AG3397" s="11"/>
      <c r="AH3397" s="11"/>
      <c r="AI3397" s="11"/>
    </row>
    <row r="3398" ht="12.5" spans="3:35">
      <c r="C3398" s="19"/>
      <c r="D3398" s="19"/>
      <c r="H3398" s="105"/>
      <c r="I3398" s="126"/>
      <c r="J3398" s="11"/>
      <c r="K3398" s="108"/>
      <c r="L3398" s="11"/>
      <c r="M3398" s="105"/>
      <c r="N3398" s="105"/>
      <c r="O3398" s="11"/>
      <c r="P3398" s="11"/>
      <c r="Q3398" s="105"/>
      <c r="R3398" s="105"/>
      <c r="S3398" s="105"/>
      <c r="T3398" s="105"/>
      <c r="U3398" s="105"/>
      <c r="V3398" s="105"/>
      <c r="W3398" s="105"/>
      <c r="X3398" s="11"/>
      <c r="Y3398" s="11"/>
      <c r="Z3398" s="105"/>
      <c r="AA3398" s="11"/>
      <c r="AB3398" s="11"/>
      <c r="AC3398" s="105"/>
      <c r="AD3398" s="11" t="b">
        <v>0</v>
      </c>
      <c r="AE3398" s="105"/>
      <c r="AF3398" s="11"/>
      <c r="AG3398" s="11"/>
      <c r="AH3398" s="11"/>
      <c r="AI3398" s="11"/>
    </row>
    <row r="3399" ht="12.5" spans="3:35">
      <c r="C3399" s="19"/>
      <c r="D3399" s="19"/>
      <c r="H3399" s="105"/>
      <c r="I3399" s="126"/>
      <c r="J3399" s="11"/>
      <c r="K3399" s="108"/>
      <c r="L3399" s="11"/>
      <c r="M3399" s="105"/>
      <c r="N3399" s="105"/>
      <c r="O3399" s="11"/>
      <c r="P3399" s="11"/>
      <c r="Q3399" s="105"/>
      <c r="R3399" s="105"/>
      <c r="S3399" s="105"/>
      <c r="T3399" s="105"/>
      <c r="U3399" s="105"/>
      <c r="V3399" s="105"/>
      <c r="W3399" s="105"/>
      <c r="X3399" s="11"/>
      <c r="Y3399" s="11"/>
      <c r="Z3399" s="105"/>
      <c r="AA3399" s="11"/>
      <c r="AB3399" s="11"/>
      <c r="AC3399" s="105"/>
      <c r="AD3399" s="11" t="b">
        <v>0</v>
      </c>
      <c r="AE3399" s="105"/>
      <c r="AF3399" s="11"/>
      <c r="AG3399" s="11"/>
      <c r="AH3399" s="11"/>
      <c r="AI3399" s="11"/>
    </row>
    <row r="3400" ht="12.5" spans="3:35">
      <c r="C3400" s="19"/>
      <c r="D3400" s="19"/>
      <c r="H3400" s="105"/>
      <c r="I3400" s="126"/>
      <c r="J3400" s="11"/>
      <c r="K3400" s="108"/>
      <c r="L3400" s="11"/>
      <c r="M3400" s="105"/>
      <c r="N3400" s="105"/>
      <c r="O3400" s="11"/>
      <c r="P3400" s="11"/>
      <c r="Q3400" s="105"/>
      <c r="R3400" s="105"/>
      <c r="S3400" s="105"/>
      <c r="T3400" s="105"/>
      <c r="U3400" s="105"/>
      <c r="V3400" s="105"/>
      <c r="W3400" s="105"/>
      <c r="X3400" s="11"/>
      <c r="Y3400" s="11"/>
      <c r="Z3400" s="105"/>
      <c r="AA3400" s="11"/>
      <c r="AB3400" s="11"/>
      <c r="AC3400" s="105"/>
      <c r="AD3400" s="11" t="b">
        <v>0</v>
      </c>
      <c r="AE3400" s="105"/>
      <c r="AF3400" s="11"/>
      <c r="AG3400" s="11"/>
      <c r="AH3400" s="11"/>
      <c r="AI3400" s="11"/>
    </row>
    <row r="3401" ht="12.5" spans="3:35">
      <c r="C3401" s="19"/>
      <c r="D3401" s="19"/>
      <c r="H3401" s="105"/>
      <c r="I3401" s="126"/>
      <c r="J3401" s="11"/>
      <c r="K3401" s="108"/>
      <c r="L3401" s="11"/>
      <c r="M3401" s="105"/>
      <c r="N3401" s="105"/>
      <c r="O3401" s="11"/>
      <c r="P3401" s="11"/>
      <c r="Q3401" s="105"/>
      <c r="R3401" s="105"/>
      <c r="S3401" s="105"/>
      <c r="T3401" s="105"/>
      <c r="U3401" s="105"/>
      <c r="V3401" s="105"/>
      <c r="W3401" s="105"/>
      <c r="X3401" s="11"/>
      <c r="Y3401" s="11"/>
      <c r="Z3401" s="105"/>
      <c r="AA3401" s="11"/>
      <c r="AB3401" s="11"/>
      <c r="AC3401" s="105"/>
      <c r="AD3401" s="11" t="b">
        <v>0</v>
      </c>
      <c r="AE3401" s="105"/>
      <c r="AF3401" s="11"/>
      <c r="AG3401" s="11"/>
      <c r="AH3401" s="11"/>
      <c r="AI3401" s="11"/>
    </row>
    <row r="3402" ht="12.5" spans="3:35">
      <c r="C3402" s="19"/>
      <c r="D3402" s="19"/>
      <c r="H3402" s="105"/>
      <c r="I3402" s="126"/>
      <c r="J3402" s="11"/>
      <c r="K3402" s="108"/>
      <c r="L3402" s="11"/>
      <c r="M3402" s="105"/>
      <c r="N3402" s="105"/>
      <c r="O3402" s="11"/>
      <c r="P3402" s="11"/>
      <c r="Q3402" s="105"/>
      <c r="R3402" s="105"/>
      <c r="S3402" s="105"/>
      <c r="T3402" s="105"/>
      <c r="U3402" s="105"/>
      <c r="V3402" s="105"/>
      <c r="W3402" s="105"/>
      <c r="X3402" s="11"/>
      <c r="Y3402" s="11"/>
      <c r="Z3402" s="105"/>
      <c r="AA3402" s="11"/>
      <c r="AB3402" s="11"/>
      <c r="AC3402" s="105"/>
      <c r="AD3402" s="11" t="b">
        <v>0</v>
      </c>
      <c r="AE3402" s="105"/>
      <c r="AF3402" s="11"/>
      <c r="AG3402" s="11"/>
      <c r="AH3402" s="11"/>
      <c r="AI3402" s="11"/>
    </row>
    <row r="3403" ht="12.5" spans="3:35">
      <c r="C3403" s="19"/>
      <c r="D3403" s="19"/>
      <c r="H3403" s="105"/>
      <c r="I3403" s="126"/>
      <c r="J3403" s="11"/>
      <c r="K3403" s="108"/>
      <c r="L3403" s="11"/>
      <c r="M3403" s="105"/>
      <c r="N3403" s="105"/>
      <c r="O3403" s="11"/>
      <c r="P3403" s="11"/>
      <c r="Q3403" s="105"/>
      <c r="R3403" s="105"/>
      <c r="S3403" s="105"/>
      <c r="T3403" s="105"/>
      <c r="U3403" s="105"/>
      <c r="V3403" s="105"/>
      <c r="W3403" s="105"/>
      <c r="X3403" s="11"/>
      <c r="Y3403" s="11"/>
      <c r="Z3403" s="105"/>
      <c r="AA3403" s="11"/>
      <c r="AB3403" s="11"/>
      <c r="AC3403" s="105"/>
      <c r="AD3403" s="11" t="b">
        <v>0</v>
      </c>
      <c r="AE3403" s="105"/>
      <c r="AF3403" s="11"/>
      <c r="AG3403" s="11"/>
      <c r="AH3403" s="11"/>
      <c r="AI3403" s="11"/>
    </row>
    <row r="3404" ht="12.5" spans="3:35">
      <c r="C3404" s="19"/>
      <c r="D3404" s="19"/>
      <c r="H3404" s="105"/>
      <c r="I3404" s="126"/>
      <c r="J3404" s="11"/>
      <c r="K3404" s="108"/>
      <c r="L3404" s="11"/>
      <c r="M3404" s="105"/>
      <c r="N3404" s="105"/>
      <c r="O3404" s="11"/>
      <c r="P3404" s="11"/>
      <c r="Q3404" s="105"/>
      <c r="R3404" s="105"/>
      <c r="S3404" s="105"/>
      <c r="T3404" s="105"/>
      <c r="U3404" s="105"/>
      <c r="V3404" s="105"/>
      <c r="W3404" s="105"/>
      <c r="X3404" s="11"/>
      <c r="Y3404" s="11"/>
      <c r="Z3404" s="105"/>
      <c r="AA3404" s="11"/>
      <c r="AB3404" s="11"/>
      <c r="AC3404" s="105"/>
      <c r="AD3404" s="11" t="b">
        <v>0</v>
      </c>
      <c r="AE3404" s="105"/>
      <c r="AF3404" s="11"/>
      <c r="AG3404" s="11"/>
      <c r="AH3404" s="11"/>
      <c r="AI3404" s="11"/>
    </row>
    <row r="3405" ht="12.5" spans="3:35">
      <c r="C3405" s="19"/>
      <c r="D3405" s="19"/>
      <c r="H3405" s="105"/>
      <c r="I3405" s="126"/>
      <c r="J3405" s="11"/>
      <c r="K3405" s="108"/>
      <c r="L3405" s="11"/>
      <c r="M3405" s="105"/>
      <c r="N3405" s="105"/>
      <c r="O3405" s="11"/>
      <c r="P3405" s="11"/>
      <c r="Q3405" s="105"/>
      <c r="R3405" s="105"/>
      <c r="S3405" s="105"/>
      <c r="T3405" s="105"/>
      <c r="U3405" s="105"/>
      <c r="V3405" s="105"/>
      <c r="W3405" s="105"/>
      <c r="X3405" s="11"/>
      <c r="Y3405" s="11"/>
      <c r="Z3405" s="105"/>
      <c r="AA3405" s="11"/>
      <c r="AB3405" s="11"/>
      <c r="AC3405" s="105"/>
      <c r="AD3405" s="11" t="b">
        <v>0</v>
      </c>
      <c r="AE3405" s="105"/>
      <c r="AF3405" s="11"/>
      <c r="AG3405" s="11"/>
      <c r="AH3405" s="11"/>
      <c r="AI3405" s="11"/>
    </row>
    <row r="3406" ht="12.5" spans="3:35">
      <c r="C3406" s="19"/>
      <c r="D3406" s="19"/>
      <c r="H3406" s="105"/>
      <c r="I3406" s="126"/>
      <c r="J3406" s="11"/>
      <c r="K3406" s="108"/>
      <c r="L3406" s="11"/>
      <c r="M3406" s="105"/>
      <c r="N3406" s="105"/>
      <c r="O3406" s="11"/>
      <c r="P3406" s="11"/>
      <c r="Q3406" s="105"/>
      <c r="R3406" s="105"/>
      <c r="S3406" s="105"/>
      <c r="T3406" s="105"/>
      <c r="U3406" s="105"/>
      <c r="V3406" s="105"/>
      <c r="W3406" s="105"/>
      <c r="X3406" s="11"/>
      <c r="Y3406" s="11"/>
      <c r="Z3406" s="105"/>
      <c r="AA3406" s="11"/>
      <c r="AB3406" s="11"/>
      <c r="AC3406" s="105"/>
      <c r="AD3406" s="11" t="b">
        <v>0</v>
      </c>
      <c r="AE3406" s="105"/>
      <c r="AF3406" s="11"/>
      <c r="AG3406" s="11"/>
      <c r="AH3406" s="11"/>
      <c r="AI3406" s="11"/>
    </row>
    <row r="3407" ht="12.5" spans="3:35">
      <c r="C3407" s="19"/>
      <c r="D3407" s="19"/>
      <c r="H3407" s="105"/>
      <c r="I3407" s="126"/>
      <c r="J3407" s="11"/>
      <c r="K3407" s="108"/>
      <c r="L3407" s="11"/>
      <c r="M3407" s="105"/>
      <c r="N3407" s="105"/>
      <c r="O3407" s="11"/>
      <c r="P3407" s="11"/>
      <c r="Q3407" s="105"/>
      <c r="R3407" s="105"/>
      <c r="S3407" s="105"/>
      <c r="T3407" s="105"/>
      <c r="U3407" s="105"/>
      <c r="V3407" s="105"/>
      <c r="W3407" s="105"/>
      <c r="X3407" s="11"/>
      <c r="Y3407" s="11"/>
      <c r="Z3407" s="105"/>
      <c r="AA3407" s="11"/>
      <c r="AB3407" s="11"/>
      <c r="AC3407" s="105"/>
      <c r="AD3407" s="11" t="b">
        <v>0</v>
      </c>
      <c r="AE3407" s="105"/>
      <c r="AF3407" s="11"/>
      <c r="AG3407" s="11"/>
      <c r="AH3407" s="11"/>
      <c r="AI3407" s="11"/>
    </row>
    <row r="3408" ht="12.5" spans="3:35">
      <c r="C3408" s="19"/>
      <c r="D3408" s="19"/>
      <c r="H3408" s="105"/>
      <c r="I3408" s="126"/>
      <c r="J3408" s="11"/>
      <c r="K3408" s="108"/>
      <c r="L3408" s="11"/>
      <c r="M3408" s="105"/>
      <c r="N3408" s="105"/>
      <c r="O3408" s="11"/>
      <c r="P3408" s="11"/>
      <c r="Q3408" s="105"/>
      <c r="R3408" s="105"/>
      <c r="S3408" s="105"/>
      <c r="T3408" s="105"/>
      <c r="U3408" s="105"/>
      <c r="V3408" s="105"/>
      <c r="W3408" s="105"/>
      <c r="X3408" s="11"/>
      <c r="Y3408" s="11"/>
      <c r="Z3408" s="105"/>
      <c r="AA3408" s="11"/>
      <c r="AB3408" s="11"/>
      <c r="AC3408" s="105"/>
      <c r="AD3408" s="11" t="b">
        <v>0</v>
      </c>
      <c r="AE3408" s="105"/>
      <c r="AF3408" s="11"/>
      <c r="AG3408" s="11"/>
      <c r="AH3408" s="11"/>
      <c r="AI3408" s="11"/>
    </row>
    <row r="3409" ht="12.5" spans="3:35">
      <c r="C3409" s="19"/>
      <c r="D3409" s="19"/>
      <c r="H3409" s="105"/>
      <c r="I3409" s="126"/>
      <c r="J3409" s="11"/>
      <c r="K3409" s="108"/>
      <c r="L3409" s="11"/>
      <c r="M3409" s="105"/>
      <c r="N3409" s="105"/>
      <c r="O3409" s="11"/>
      <c r="P3409" s="11"/>
      <c r="Q3409" s="105"/>
      <c r="R3409" s="105"/>
      <c r="S3409" s="105"/>
      <c r="T3409" s="105"/>
      <c r="U3409" s="105"/>
      <c r="V3409" s="105"/>
      <c r="W3409" s="105"/>
      <c r="X3409" s="11"/>
      <c r="Y3409" s="11"/>
      <c r="Z3409" s="105"/>
      <c r="AA3409" s="11"/>
      <c r="AB3409" s="11"/>
      <c r="AC3409" s="105"/>
      <c r="AD3409" s="11" t="b">
        <v>0</v>
      </c>
      <c r="AE3409" s="105"/>
      <c r="AF3409" s="11"/>
      <c r="AG3409" s="11"/>
      <c r="AH3409" s="11"/>
      <c r="AI3409" s="11"/>
    </row>
    <row r="3410" ht="12.5" spans="3:35">
      <c r="C3410" s="19"/>
      <c r="D3410" s="19"/>
      <c r="H3410" s="105"/>
      <c r="I3410" s="126"/>
      <c r="J3410" s="11"/>
      <c r="K3410" s="108"/>
      <c r="L3410" s="11"/>
      <c r="M3410" s="105"/>
      <c r="N3410" s="105"/>
      <c r="O3410" s="11"/>
      <c r="P3410" s="11"/>
      <c r="Q3410" s="105"/>
      <c r="R3410" s="105"/>
      <c r="S3410" s="105"/>
      <c r="T3410" s="105"/>
      <c r="U3410" s="105"/>
      <c r="V3410" s="105"/>
      <c r="W3410" s="105"/>
      <c r="X3410" s="11"/>
      <c r="Y3410" s="11"/>
      <c r="Z3410" s="105"/>
      <c r="AA3410" s="11"/>
      <c r="AB3410" s="11"/>
      <c r="AC3410" s="105"/>
      <c r="AD3410" s="11" t="b">
        <v>0</v>
      </c>
      <c r="AE3410" s="105"/>
      <c r="AF3410" s="11"/>
      <c r="AG3410" s="11"/>
      <c r="AH3410" s="11"/>
      <c r="AI3410" s="11"/>
    </row>
    <row r="3411" ht="12.5" spans="3:35">
      <c r="C3411" s="19"/>
      <c r="D3411" s="19"/>
      <c r="H3411" s="105"/>
      <c r="I3411" s="126"/>
      <c r="J3411" s="11"/>
      <c r="K3411" s="108"/>
      <c r="L3411" s="11"/>
      <c r="M3411" s="105"/>
      <c r="N3411" s="105"/>
      <c r="O3411" s="11"/>
      <c r="P3411" s="11"/>
      <c r="Q3411" s="105"/>
      <c r="R3411" s="105"/>
      <c r="S3411" s="105"/>
      <c r="T3411" s="105"/>
      <c r="U3411" s="105"/>
      <c r="V3411" s="105"/>
      <c r="W3411" s="105"/>
      <c r="X3411" s="11"/>
      <c r="Y3411" s="11"/>
      <c r="Z3411" s="105"/>
      <c r="AA3411" s="11"/>
      <c r="AB3411" s="11"/>
      <c r="AC3411" s="105"/>
      <c r="AD3411" s="11" t="b">
        <v>0</v>
      </c>
      <c r="AE3411" s="105"/>
      <c r="AF3411" s="11"/>
      <c r="AG3411" s="11"/>
      <c r="AH3411" s="11"/>
      <c r="AI3411" s="11"/>
    </row>
    <row r="3412" ht="12.5" spans="3:35">
      <c r="C3412" s="19"/>
      <c r="D3412" s="19"/>
      <c r="H3412" s="105"/>
      <c r="I3412" s="126"/>
      <c r="J3412" s="11"/>
      <c r="K3412" s="108"/>
      <c r="L3412" s="11"/>
      <c r="M3412" s="105"/>
      <c r="N3412" s="105"/>
      <c r="O3412" s="11"/>
      <c r="P3412" s="11"/>
      <c r="Q3412" s="105"/>
      <c r="R3412" s="105"/>
      <c r="S3412" s="105"/>
      <c r="T3412" s="105"/>
      <c r="U3412" s="105"/>
      <c r="V3412" s="105"/>
      <c r="W3412" s="105"/>
      <c r="X3412" s="11"/>
      <c r="Y3412" s="11"/>
      <c r="Z3412" s="105"/>
      <c r="AA3412" s="11"/>
      <c r="AB3412" s="11"/>
      <c r="AC3412" s="105"/>
      <c r="AD3412" s="11" t="b">
        <v>0</v>
      </c>
      <c r="AE3412" s="105"/>
      <c r="AF3412" s="11"/>
      <c r="AG3412" s="11"/>
      <c r="AH3412" s="11"/>
      <c r="AI3412" s="11"/>
    </row>
    <row r="3413" ht="12.5" spans="3:35">
      <c r="C3413" s="19"/>
      <c r="D3413" s="19"/>
      <c r="H3413" s="105"/>
      <c r="I3413" s="126"/>
      <c r="J3413" s="11"/>
      <c r="K3413" s="108"/>
      <c r="L3413" s="11"/>
      <c r="M3413" s="105"/>
      <c r="N3413" s="105"/>
      <c r="O3413" s="11"/>
      <c r="P3413" s="11"/>
      <c r="Q3413" s="105"/>
      <c r="R3413" s="105"/>
      <c r="S3413" s="105"/>
      <c r="T3413" s="105"/>
      <c r="U3413" s="105"/>
      <c r="V3413" s="105"/>
      <c r="W3413" s="105"/>
      <c r="X3413" s="11"/>
      <c r="Y3413" s="11"/>
      <c r="Z3413" s="105"/>
      <c r="AA3413" s="11"/>
      <c r="AB3413" s="11"/>
      <c r="AC3413" s="105"/>
      <c r="AD3413" s="11" t="b">
        <v>0</v>
      </c>
      <c r="AE3413" s="105"/>
      <c r="AF3413" s="11"/>
      <c r="AG3413" s="11"/>
      <c r="AH3413" s="11"/>
      <c r="AI3413" s="11"/>
    </row>
    <row r="3414" ht="12.5" spans="3:35">
      <c r="C3414" s="19"/>
      <c r="D3414" s="19"/>
      <c r="H3414" s="105"/>
      <c r="I3414" s="126"/>
      <c r="J3414" s="11"/>
      <c r="K3414" s="108"/>
      <c r="L3414" s="11"/>
      <c r="M3414" s="105"/>
      <c r="N3414" s="105"/>
      <c r="O3414" s="11"/>
      <c r="P3414" s="11"/>
      <c r="Q3414" s="105"/>
      <c r="R3414" s="105"/>
      <c r="S3414" s="105"/>
      <c r="T3414" s="105"/>
      <c r="U3414" s="105"/>
      <c r="V3414" s="105"/>
      <c r="W3414" s="105"/>
      <c r="X3414" s="11"/>
      <c r="Y3414" s="11"/>
      <c r="Z3414" s="105"/>
      <c r="AA3414" s="11"/>
      <c r="AB3414" s="11"/>
      <c r="AC3414" s="105"/>
      <c r="AD3414" s="11" t="b">
        <v>0</v>
      </c>
      <c r="AE3414" s="105"/>
      <c r="AF3414" s="11"/>
      <c r="AG3414" s="11"/>
      <c r="AH3414" s="11"/>
      <c r="AI3414" s="11"/>
    </row>
    <row r="3415" ht="12.5" spans="3:35">
      <c r="C3415" s="19"/>
      <c r="D3415" s="19"/>
      <c r="H3415" s="105"/>
      <c r="I3415" s="126"/>
      <c r="J3415" s="11"/>
      <c r="K3415" s="108"/>
      <c r="L3415" s="11"/>
      <c r="M3415" s="105"/>
      <c r="N3415" s="105"/>
      <c r="O3415" s="11"/>
      <c r="P3415" s="11"/>
      <c r="Q3415" s="105"/>
      <c r="R3415" s="105"/>
      <c r="S3415" s="105"/>
      <c r="T3415" s="105"/>
      <c r="U3415" s="105"/>
      <c r="V3415" s="105"/>
      <c r="W3415" s="105"/>
      <c r="X3415" s="11"/>
      <c r="Y3415" s="11"/>
      <c r="Z3415" s="105"/>
      <c r="AA3415" s="11"/>
      <c r="AB3415" s="11"/>
      <c r="AC3415" s="105"/>
      <c r="AD3415" s="11" t="b">
        <v>0</v>
      </c>
      <c r="AE3415" s="105"/>
      <c r="AF3415" s="11"/>
      <c r="AG3415" s="11"/>
      <c r="AH3415" s="11"/>
      <c r="AI3415" s="11"/>
    </row>
    <row r="3416" ht="12.5" spans="3:35">
      <c r="C3416" s="19"/>
      <c r="D3416" s="19"/>
      <c r="H3416" s="105"/>
      <c r="I3416" s="126"/>
      <c r="J3416" s="11"/>
      <c r="K3416" s="108"/>
      <c r="L3416" s="11"/>
      <c r="M3416" s="105"/>
      <c r="N3416" s="105"/>
      <c r="O3416" s="11"/>
      <c r="P3416" s="11"/>
      <c r="Q3416" s="105"/>
      <c r="R3416" s="105"/>
      <c r="S3416" s="105"/>
      <c r="T3416" s="105"/>
      <c r="U3416" s="105"/>
      <c r="V3416" s="105"/>
      <c r="W3416" s="105"/>
      <c r="X3416" s="11"/>
      <c r="Y3416" s="11"/>
      <c r="Z3416" s="105"/>
      <c r="AA3416" s="11"/>
      <c r="AB3416" s="11"/>
      <c r="AC3416" s="105"/>
      <c r="AD3416" s="11" t="b">
        <v>0</v>
      </c>
      <c r="AE3416" s="105"/>
      <c r="AF3416" s="11"/>
      <c r="AG3416" s="11"/>
      <c r="AH3416" s="11"/>
      <c r="AI3416" s="11"/>
    </row>
    <row r="3417" ht="12.5" spans="3:35">
      <c r="C3417" s="19"/>
      <c r="D3417" s="19"/>
      <c r="H3417" s="105"/>
      <c r="I3417" s="126"/>
      <c r="J3417" s="11"/>
      <c r="K3417" s="108"/>
      <c r="L3417" s="11"/>
      <c r="M3417" s="105"/>
      <c r="N3417" s="105"/>
      <c r="O3417" s="11"/>
      <c r="P3417" s="11"/>
      <c r="Q3417" s="105"/>
      <c r="R3417" s="105"/>
      <c r="S3417" s="105"/>
      <c r="T3417" s="105"/>
      <c r="U3417" s="105"/>
      <c r="V3417" s="105"/>
      <c r="W3417" s="105"/>
      <c r="X3417" s="11"/>
      <c r="Y3417" s="11"/>
      <c r="Z3417" s="105"/>
      <c r="AA3417" s="11"/>
      <c r="AB3417" s="11"/>
      <c r="AC3417" s="105"/>
      <c r="AD3417" s="11" t="b">
        <v>0</v>
      </c>
      <c r="AE3417" s="105"/>
      <c r="AF3417" s="11"/>
      <c r="AG3417" s="11"/>
      <c r="AH3417" s="11"/>
      <c r="AI3417" s="11"/>
    </row>
    <row r="3418" ht="12.5" spans="3:35">
      <c r="C3418" s="19"/>
      <c r="D3418" s="19"/>
      <c r="H3418" s="105"/>
      <c r="I3418" s="126"/>
      <c r="J3418" s="11"/>
      <c r="K3418" s="108"/>
      <c r="L3418" s="11"/>
      <c r="M3418" s="105"/>
      <c r="N3418" s="105"/>
      <c r="O3418" s="11"/>
      <c r="P3418" s="11"/>
      <c r="Q3418" s="105"/>
      <c r="R3418" s="105"/>
      <c r="S3418" s="105"/>
      <c r="T3418" s="105"/>
      <c r="U3418" s="105"/>
      <c r="V3418" s="105"/>
      <c r="W3418" s="105"/>
      <c r="X3418" s="11"/>
      <c r="Y3418" s="11"/>
      <c r="Z3418" s="105"/>
      <c r="AA3418" s="11"/>
      <c r="AB3418" s="11"/>
      <c r="AC3418" s="105"/>
      <c r="AD3418" s="11" t="b">
        <v>0</v>
      </c>
      <c r="AE3418" s="105"/>
      <c r="AF3418" s="11"/>
      <c r="AG3418" s="11"/>
      <c r="AH3418" s="11"/>
      <c r="AI3418" s="11"/>
    </row>
    <row r="3419" ht="12.5" spans="3:35">
      <c r="C3419" s="19"/>
      <c r="D3419" s="19"/>
      <c r="H3419" s="105"/>
      <c r="I3419" s="126"/>
      <c r="J3419" s="11"/>
      <c r="K3419" s="108"/>
      <c r="L3419" s="11"/>
      <c r="M3419" s="105"/>
      <c r="N3419" s="105"/>
      <c r="O3419" s="11"/>
      <c r="P3419" s="11"/>
      <c r="Q3419" s="105"/>
      <c r="R3419" s="105"/>
      <c r="S3419" s="105"/>
      <c r="T3419" s="105"/>
      <c r="U3419" s="105"/>
      <c r="V3419" s="105"/>
      <c r="W3419" s="105"/>
      <c r="X3419" s="11"/>
      <c r="Y3419" s="11"/>
      <c r="Z3419" s="105"/>
      <c r="AA3419" s="11"/>
      <c r="AB3419" s="11"/>
      <c r="AC3419" s="105"/>
      <c r="AD3419" s="11" t="b">
        <v>0</v>
      </c>
      <c r="AE3419" s="105"/>
      <c r="AF3419" s="11"/>
      <c r="AG3419" s="11"/>
      <c r="AH3419" s="11"/>
      <c r="AI3419" s="11"/>
    </row>
    <row r="3420" ht="12.5" spans="3:35">
      <c r="C3420" s="19"/>
      <c r="D3420" s="19"/>
      <c r="H3420" s="105"/>
      <c r="I3420" s="126"/>
      <c r="J3420" s="11"/>
      <c r="K3420" s="108"/>
      <c r="L3420" s="11"/>
      <c r="M3420" s="105"/>
      <c r="N3420" s="105"/>
      <c r="O3420" s="11"/>
      <c r="P3420" s="11"/>
      <c r="Q3420" s="105"/>
      <c r="R3420" s="105"/>
      <c r="S3420" s="105"/>
      <c r="T3420" s="105"/>
      <c r="U3420" s="105"/>
      <c r="V3420" s="105"/>
      <c r="W3420" s="105"/>
      <c r="X3420" s="11"/>
      <c r="Y3420" s="11"/>
      <c r="Z3420" s="105"/>
      <c r="AA3420" s="11"/>
      <c r="AB3420" s="11"/>
      <c r="AC3420" s="105"/>
      <c r="AD3420" s="11" t="b">
        <v>0</v>
      </c>
      <c r="AE3420" s="105"/>
      <c r="AF3420" s="11"/>
      <c r="AG3420" s="11"/>
      <c r="AH3420" s="11"/>
      <c r="AI3420" s="11"/>
    </row>
    <row r="3421" ht="12.5" spans="3:35">
      <c r="C3421" s="19"/>
      <c r="D3421" s="19"/>
      <c r="H3421" s="105"/>
      <c r="I3421" s="126"/>
      <c r="J3421" s="11"/>
      <c r="K3421" s="108"/>
      <c r="L3421" s="11"/>
      <c r="M3421" s="105"/>
      <c r="N3421" s="105"/>
      <c r="O3421" s="11"/>
      <c r="P3421" s="11"/>
      <c r="Q3421" s="105"/>
      <c r="R3421" s="105"/>
      <c r="S3421" s="105"/>
      <c r="T3421" s="105"/>
      <c r="U3421" s="105"/>
      <c r="V3421" s="105"/>
      <c r="W3421" s="105"/>
      <c r="X3421" s="11"/>
      <c r="Y3421" s="11"/>
      <c r="Z3421" s="105"/>
      <c r="AA3421" s="11"/>
      <c r="AB3421" s="11"/>
      <c r="AC3421" s="105"/>
      <c r="AD3421" s="11" t="b">
        <v>0</v>
      </c>
      <c r="AE3421" s="105"/>
      <c r="AF3421" s="11"/>
      <c r="AG3421" s="11"/>
      <c r="AH3421" s="11"/>
      <c r="AI3421" s="11"/>
    </row>
    <row r="3422" ht="12.5" spans="3:35">
      <c r="C3422" s="19"/>
      <c r="D3422" s="19"/>
      <c r="H3422" s="105"/>
      <c r="I3422" s="126"/>
      <c r="J3422" s="11"/>
      <c r="K3422" s="108"/>
      <c r="L3422" s="11"/>
      <c r="M3422" s="105"/>
      <c r="N3422" s="105"/>
      <c r="O3422" s="11"/>
      <c r="P3422" s="11"/>
      <c r="Q3422" s="105"/>
      <c r="R3422" s="105"/>
      <c r="S3422" s="105"/>
      <c r="T3422" s="105"/>
      <c r="U3422" s="105"/>
      <c r="V3422" s="105"/>
      <c r="W3422" s="105"/>
      <c r="X3422" s="11"/>
      <c r="Y3422" s="11"/>
      <c r="Z3422" s="105"/>
      <c r="AA3422" s="11"/>
      <c r="AB3422" s="11"/>
      <c r="AC3422" s="105"/>
      <c r="AD3422" s="11" t="b">
        <v>0</v>
      </c>
      <c r="AE3422" s="105"/>
      <c r="AF3422" s="11"/>
      <c r="AG3422" s="11"/>
      <c r="AH3422" s="11"/>
      <c r="AI3422" s="11"/>
    </row>
    <row r="3423" ht="12.5" spans="3:35">
      <c r="C3423" s="19"/>
      <c r="D3423" s="19"/>
      <c r="H3423" s="105"/>
      <c r="I3423" s="126"/>
      <c r="J3423" s="11"/>
      <c r="K3423" s="108"/>
      <c r="L3423" s="11"/>
      <c r="M3423" s="105"/>
      <c r="N3423" s="105"/>
      <c r="O3423" s="11"/>
      <c r="P3423" s="11"/>
      <c r="Q3423" s="105"/>
      <c r="R3423" s="105"/>
      <c r="S3423" s="105"/>
      <c r="T3423" s="105"/>
      <c r="U3423" s="105"/>
      <c r="V3423" s="105"/>
      <c r="W3423" s="105"/>
      <c r="X3423" s="11"/>
      <c r="Y3423" s="11"/>
      <c r="Z3423" s="105"/>
      <c r="AA3423" s="11"/>
      <c r="AB3423" s="11"/>
      <c r="AC3423" s="105"/>
      <c r="AD3423" s="11" t="b">
        <v>0</v>
      </c>
      <c r="AE3423" s="105"/>
      <c r="AF3423" s="11"/>
      <c r="AG3423" s="11"/>
      <c r="AH3423" s="11"/>
      <c r="AI3423" s="11"/>
    </row>
    <row r="3424" ht="12.5" spans="3:35">
      <c r="C3424" s="19"/>
      <c r="D3424" s="19"/>
      <c r="H3424" s="105"/>
      <c r="I3424" s="126"/>
      <c r="J3424" s="11"/>
      <c r="K3424" s="108"/>
      <c r="L3424" s="11"/>
      <c r="M3424" s="105"/>
      <c r="N3424" s="105"/>
      <c r="O3424" s="11"/>
      <c r="P3424" s="11"/>
      <c r="Q3424" s="105"/>
      <c r="R3424" s="105"/>
      <c r="S3424" s="105"/>
      <c r="T3424" s="105"/>
      <c r="U3424" s="105"/>
      <c r="V3424" s="105"/>
      <c r="W3424" s="105"/>
      <c r="X3424" s="11"/>
      <c r="Y3424" s="11"/>
      <c r="Z3424" s="105"/>
      <c r="AA3424" s="11"/>
      <c r="AB3424" s="11"/>
      <c r="AC3424" s="105"/>
      <c r="AD3424" s="11" t="b">
        <v>0</v>
      </c>
      <c r="AE3424" s="105"/>
      <c r="AF3424" s="11"/>
      <c r="AG3424" s="11"/>
      <c r="AH3424" s="11"/>
      <c r="AI3424" s="11"/>
    </row>
    <row r="3425" ht="12.5" spans="3:35">
      <c r="C3425" s="19"/>
      <c r="D3425" s="19"/>
      <c r="H3425" s="105"/>
      <c r="I3425" s="126"/>
      <c r="J3425" s="11"/>
      <c r="K3425" s="108"/>
      <c r="L3425" s="11"/>
      <c r="M3425" s="105"/>
      <c r="N3425" s="105"/>
      <c r="O3425" s="11"/>
      <c r="P3425" s="11"/>
      <c r="Q3425" s="105"/>
      <c r="R3425" s="105"/>
      <c r="S3425" s="105"/>
      <c r="T3425" s="105"/>
      <c r="U3425" s="105"/>
      <c r="V3425" s="105"/>
      <c r="W3425" s="105"/>
      <c r="X3425" s="11"/>
      <c r="Y3425" s="11"/>
      <c r="Z3425" s="105"/>
      <c r="AA3425" s="11"/>
      <c r="AB3425" s="11"/>
      <c r="AC3425" s="105"/>
      <c r="AD3425" s="11" t="b">
        <v>0</v>
      </c>
      <c r="AE3425" s="105"/>
      <c r="AF3425" s="11"/>
      <c r="AG3425" s="11"/>
      <c r="AH3425" s="11"/>
      <c r="AI3425" s="11"/>
    </row>
    <row r="3426" ht="12.5" spans="3:35">
      <c r="C3426" s="19"/>
      <c r="D3426" s="19"/>
      <c r="H3426" s="105"/>
      <c r="I3426" s="126"/>
      <c r="J3426" s="11"/>
      <c r="K3426" s="108"/>
      <c r="L3426" s="11"/>
      <c r="M3426" s="105"/>
      <c r="N3426" s="105"/>
      <c r="O3426" s="11"/>
      <c r="P3426" s="11"/>
      <c r="Q3426" s="105"/>
      <c r="R3426" s="105"/>
      <c r="S3426" s="105"/>
      <c r="T3426" s="105"/>
      <c r="U3426" s="105"/>
      <c r="V3426" s="105"/>
      <c r="W3426" s="105"/>
      <c r="X3426" s="11"/>
      <c r="Y3426" s="11"/>
      <c r="Z3426" s="105"/>
      <c r="AA3426" s="11"/>
      <c r="AB3426" s="11"/>
      <c r="AC3426" s="105"/>
      <c r="AD3426" s="11" t="b">
        <v>0</v>
      </c>
      <c r="AE3426" s="105"/>
      <c r="AF3426" s="11"/>
      <c r="AG3426" s="11"/>
      <c r="AH3426" s="11"/>
      <c r="AI3426" s="11"/>
    </row>
    <row r="3427" ht="12.5" spans="3:35">
      <c r="C3427" s="19"/>
      <c r="D3427" s="19"/>
      <c r="H3427" s="105"/>
      <c r="I3427" s="126"/>
      <c r="J3427" s="11"/>
      <c r="K3427" s="108"/>
      <c r="L3427" s="11"/>
      <c r="M3427" s="105"/>
      <c r="N3427" s="105"/>
      <c r="O3427" s="11"/>
      <c r="P3427" s="11"/>
      <c r="Q3427" s="105"/>
      <c r="R3427" s="105"/>
      <c r="S3427" s="105"/>
      <c r="T3427" s="105"/>
      <c r="U3427" s="105"/>
      <c r="V3427" s="105"/>
      <c r="W3427" s="105"/>
      <c r="X3427" s="11"/>
      <c r="Y3427" s="11"/>
      <c r="Z3427" s="105"/>
      <c r="AA3427" s="11"/>
      <c r="AB3427" s="11"/>
      <c r="AC3427" s="105"/>
      <c r="AD3427" s="11" t="b">
        <v>0</v>
      </c>
      <c r="AE3427" s="105"/>
      <c r="AF3427" s="11"/>
      <c r="AG3427" s="11"/>
      <c r="AH3427" s="11"/>
      <c r="AI3427" s="11"/>
    </row>
    <row r="3428" ht="12.5" spans="3:35">
      <c r="C3428" s="19"/>
      <c r="D3428" s="19"/>
      <c r="H3428" s="105"/>
      <c r="I3428" s="126"/>
      <c r="J3428" s="11"/>
      <c r="K3428" s="108"/>
      <c r="L3428" s="11"/>
      <c r="M3428" s="105"/>
      <c r="N3428" s="105"/>
      <c r="O3428" s="11"/>
      <c r="P3428" s="11"/>
      <c r="Q3428" s="105"/>
      <c r="R3428" s="105"/>
      <c r="S3428" s="105"/>
      <c r="T3428" s="105"/>
      <c r="U3428" s="105"/>
      <c r="V3428" s="105"/>
      <c r="W3428" s="105"/>
      <c r="X3428" s="11"/>
      <c r="Y3428" s="11"/>
      <c r="Z3428" s="105"/>
      <c r="AA3428" s="11"/>
      <c r="AB3428" s="11"/>
      <c r="AC3428" s="105"/>
      <c r="AD3428" s="11" t="b">
        <v>0</v>
      </c>
      <c r="AE3428" s="105"/>
      <c r="AF3428" s="11"/>
      <c r="AG3428" s="11"/>
      <c r="AH3428" s="11"/>
      <c r="AI3428" s="11"/>
    </row>
    <row r="3429" ht="12.5" spans="3:35">
      <c r="C3429" s="19"/>
      <c r="D3429" s="19"/>
      <c r="H3429" s="105"/>
      <c r="I3429" s="126"/>
      <c r="J3429" s="11"/>
      <c r="K3429" s="108"/>
      <c r="L3429" s="11"/>
      <c r="M3429" s="105"/>
      <c r="N3429" s="105"/>
      <c r="O3429" s="11"/>
      <c r="P3429" s="11"/>
      <c r="Q3429" s="105"/>
      <c r="R3429" s="105"/>
      <c r="S3429" s="105"/>
      <c r="T3429" s="105"/>
      <c r="U3429" s="105"/>
      <c r="V3429" s="105"/>
      <c r="W3429" s="105"/>
      <c r="X3429" s="11"/>
      <c r="Y3429" s="11"/>
      <c r="Z3429" s="105"/>
      <c r="AA3429" s="11"/>
      <c r="AB3429" s="11"/>
      <c r="AC3429" s="105"/>
      <c r="AD3429" s="11" t="b">
        <v>0</v>
      </c>
      <c r="AE3429" s="105"/>
      <c r="AF3429" s="11"/>
      <c r="AG3429" s="11"/>
      <c r="AH3429" s="11"/>
      <c r="AI3429" s="11"/>
    </row>
    <row r="3430" ht="12.5" spans="3:35">
      <c r="C3430" s="19"/>
      <c r="D3430" s="19"/>
      <c r="H3430" s="105"/>
      <c r="I3430" s="126"/>
      <c r="J3430" s="11"/>
      <c r="K3430" s="108"/>
      <c r="L3430" s="11"/>
      <c r="M3430" s="105"/>
      <c r="N3430" s="105"/>
      <c r="O3430" s="11"/>
      <c r="P3430" s="11"/>
      <c r="Q3430" s="105"/>
      <c r="R3430" s="105"/>
      <c r="S3430" s="105"/>
      <c r="T3430" s="105"/>
      <c r="U3430" s="105"/>
      <c r="V3430" s="105"/>
      <c r="W3430" s="105"/>
      <c r="X3430" s="11"/>
      <c r="Y3430" s="11"/>
      <c r="Z3430" s="105"/>
      <c r="AA3430" s="11"/>
      <c r="AB3430" s="11"/>
      <c r="AC3430" s="105"/>
      <c r="AD3430" s="11" t="b">
        <v>0</v>
      </c>
      <c r="AE3430" s="105"/>
      <c r="AF3430" s="11"/>
      <c r="AG3430" s="11"/>
      <c r="AH3430" s="11"/>
      <c r="AI3430" s="11"/>
    </row>
    <row r="3431" ht="12.5" spans="3:35">
      <c r="C3431" s="19"/>
      <c r="D3431" s="19"/>
      <c r="H3431" s="105"/>
      <c r="I3431" s="126"/>
      <c r="J3431" s="11"/>
      <c r="K3431" s="108"/>
      <c r="L3431" s="11"/>
      <c r="M3431" s="105"/>
      <c r="N3431" s="105"/>
      <c r="O3431" s="11"/>
      <c r="P3431" s="11"/>
      <c r="Q3431" s="105"/>
      <c r="R3431" s="105"/>
      <c r="S3431" s="105"/>
      <c r="T3431" s="105"/>
      <c r="U3431" s="105"/>
      <c r="V3431" s="105"/>
      <c r="W3431" s="105"/>
      <c r="X3431" s="11"/>
      <c r="Y3431" s="11"/>
      <c r="Z3431" s="105"/>
      <c r="AA3431" s="11"/>
      <c r="AB3431" s="11"/>
      <c r="AC3431" s="105"/>
      <c r="AD3431" s="11" t="b">
        <v>0</v>
      </c>
      <c r="AE3431" s="105"/>
      <c r="AF3431" s="11"/>
      <c r="AG3431" s="11"/>
      <c r="AH3431" s="11"/>
      <c r="AI3431" s="11"/>
    </row>
    <row r="3432" ht="12.5" spans="3:35">
      <c r="C3432" s="19"/>
      <c r="D3432" s="19"/>
      <c r="H3432" s="105"/>
      <c r="I3432" s="126"/>
      <c r="J3432" s="11"/>
      <c r="K3432" s="108"/>
      <c r="L3432" s="11"/>
      <c r="M3432" s="105"/>
      <c r="N3432" s="105"/>
      <c r="O3432" s="11"/>
      <c r="P3432" s="11"/>
      <c r="Q3432" s="105"/>
      <c r="R3432" s="105"/>
      <c r="S3432" s="105"/>
      <c r="T3432" s="105"/>
      <c r="U3432" s="105"/>
      <c r="V3432" s="105"/>
      <c r="W3432" s="105"/>
      <c r="X3432" s="11"/>
      <c r="Y3432" s="11"/>
      <c r="Z3432" s="105"/>
      <c r="AA3432" s="11"/>
      <c r="AB3432" s="11"/>
      <c r="AC3432" s="105"/>
      <c r="AD3432" s="11" t="b">
        <v>0</v>
      </c>
      <c r="AE3432" s="105"/>
      <c r="AF3432" s="11"/>
      <c r="AG3432" s="11"/>
      <c r="AH3432" s="11"/>
      <c r="AI3432" s="11"/>
    </row>
    <row r="3433" ht="12.5" spans="3:35">
      <c r="C3433" s="19"/>
      <c r="D3433" s="19"/>
      <c r="H3433" s="105"/>
      <c r="I3433" s="126"/>
      <c r="J3433" s="11"/>
      <c r="K3433" s="108"/>
      <c r="L3433" s="11"/>
      <c r="M3433" s="105"/>
      <c r="N3433" s="105"/>
      <c r="O3433" s="11"/>
      <c r="P3433" s="11"/>
      <c r="Q3433" s="105"/>
      <c r="R3433" s="105"/>
      <c r="S3433" s="105"/>
      <c r="T3433" s="105"/>
      <c r="U3433" s="105"/>
      <c r="V3433" s="105"/>
      <c r="W3433" s="105"/>
      <c r="X3433" s="11"/>
      <c r="Y3433" s="11"/>
      <c r="Z3433" s="105"/>
      <c r="AA3433" s="11"/>
      <c r="AB3433" s="11"/>
      <c r="AC3433" s="105"/>
      <c r="AD3433" s="11" t="b">
        <v>0</v>
      </c>
      <c r="AE3433" s="105"/>
      <c r="AF3433" s="11"/>
      <c r="AG3433" s="11"/>
      <c r="AH3433" s="11"/>
      <c r="AI3433" s="11"/>
    </row>
    <row r="3434" ht="12.5" spans="3:35">
      <c r="C3434" s="19"/>
      <c r="D3434" s="19"/>
      <c r="H3434" s="105"/>
      <c r="I3434" s="126"/>
      <c r="J3434" s="11"/>
      <c r="K3434" s="108"/>
      <c r="L3434" s="11"/>
      <c r="M3434" s="105"/>
      <c r="N3434" s="105"/>
      <c r="O3434" s="11"/>
      <c r="P3434" s="11"/>
      <c r="Q3434" s="105"/>
      <c r="R3434" s="105"/>
      <c r="S3434" s="105"/>
      <c r="T3434" s="105"/>
      <c r="U3434" s="105"/>
      <c r="V3434" s="105"/>
      <c r="W3434" s="105"/>
      <c r="X3434" s="11"/>
      <c r="Y3434" s="11"/>
      <c r="Z3434" s="105"/>
      <c r="AA3434" s="11"/>
      <c r="AB3434" s="11"/>
      <c r="AC3434" s="105"/>
      <c r="AD3434" s="11" t="b">
        <v>0</v>
      </c>
      <c r="AE3434" s="105"/>
      <c r="AF3434" s="11"/>
      <c r="AG3434" s="11"/>
      <c r="AH3434" s="11"/>
      <c r="AI3434" s="11"/>
    </row>
    <row r="3435" ht="12.5" spans="3:35">
      <c r="C3435" s="19"/>
      <c r="D3435" s="19"/>
      <c r="H3435" s="105"/>
      <c r="I3435" s="126"/>
      <c r="J3435" s="11"/>
      <c r="K3435" s="108"/>
      <c r="L3435" s="11"/>
      <c r="M3435" s="105"/>
      <c r="N3435" s="105"/>
      <c r="O3435" s="11"/>
      <c r="P3435" s="11"/>
      <c r="Q3435" s="105"/>
      <c r="R3435" s="105"/>
      <c r="S3435" s="105"/>
      <c r="T3435" s="105"/>
      <c r="U3435" s="105"/>
      <c r="V3435" s="105"/>
      <c r="W3435" s="105"/>
      <c r="X3435" s="11"/>
      <c r="Y3435" s="11"/>
      <c r="Z3435" s="105"/>
      <c r="AA3435" s="11"/>
      <c r="AB3435" s="11"/>
      <c r="AC3435" s="105"/>
      <c r="AD3435" s="11" t="b">
        <v>0</v>
      </c>
      <c r="AE3435" s="105"/>
      <c r="AF3435" s="11"/>
      <c r="AG3435" s="11"/>
      <c r="AH3435" s="11"/>
      <c r="AI3435" s="11"/>
    </row>
    <row r="3436" ht="12.5" spans="3:35">
      <c r="C3436" s="19"/>
      <c r="D3436" s="19"/>
      <c r="H3436" s="105"/>
      <c r="I3436" s="126"/>
      <c r="J3436" s="11"/>
      <c r="K3436" s="108"/>
      <c r="L3436" s="11"/>
      <c r="M3436" s="105"/>
      <c r="N3436" s="105"/>
      <c r="O3436" s="11"/>
      <c r="P3436" s="11"/>
      <c r="Q3436" s="105"/>
      <c r="R3436" s="105"/>
      <c r="S3436" s="105"/>
      <c r="T3436" s="105"/>
      <c r="U3436" s="105"/>
      <c r="V3436" s="105"/>
      <c r="W3436" s="105"/>
      <c r="X3436" s="11"/>
      <c r="Y3436" s="11"/>
      <c r="Z3436" s="105"/>
      <c r="AA3436" s="11"/>
      <c r="AB3436" s="11"/>
      <c r="AC3436" s="105"/>
      <c r="AD3436" s="11" t="b">
        <v>0</v>
      </c>
      <c r="AE3436" s="105"/>
      <c r="AF3436" s="11"/>
      <c r="AG3436" s="11"/>
      <c r="AH3436" s="11"/>
      <c r="AI3436" s="11"/>
    </row>
    <row r="3437" ht="12.5" spans="3:35">
      <c r="C3437" s="19"/>
      <c r="D3437" s="19"/>
      <c r="H3437" s="105"/>
      <c r="I3437" s="126"/>
      <c r="J3437" s="11"/>
      <c r="K3437" s="108"/>
      <c r="L3437" s="11"/>
      <c r="M3437" s="105"/>
      <c r="N3437" s="105"/>
      <c r="O3437" s="11"/>
      <c r="P3437" s="11"/>
      <c r="Q3437" s="105"/>
      <c r="R3437" s="105"/>
      <c r="S3437" s="105"/>
      <c r="T3437" s="105"/>
      <c r="U3437" s="105"/>
      <c r="V3437" s="105"/>
      <c r="W3437" s="105"/>
      <c r="X3437" s="11"/>
      <c r="Y3437" s="11"/>
      <c r="Z3437" s="105"/>
      <c r="AA3437" s="11"/>
      <c r="AB3437" s="11"/>
      <c r="AC3437" s="105"/>
      <c r="AD3437" s="11" t="b">
        <v>0</v>
      </c>
      <c r="AE3437" s="105"/>
      <c r="AF3437" s="11"/>
      <c r="AG3437" s="11"/>
      <c r="AH3437" s="11"/>
      <c r="AI3437" s="11"/>
    </row>
    <row r="3438" ht="12.5" spans="3:35">
      <c r="C3438" s="19"/>
      <c r="D3438" s="19"/>
      <c r="H3438" s="105"/>
      <c r="I3438" s="126"/>
      <c r="J3438" s="11"/>
      <c r="K3438" s="108"/>
      <c r="L3438" s="11"/>
      <c r="M3438" s="105"/>
      <c r="N3438" s="105"/>
      <c r="O3438" s="11"/>
      <c r="P3438" s="11"/>
      <c r="Q3438" s="105"/>
      <c r="R3438" s="105"/>
      <c r="S3438" s="105"/>
      <c r="T3438" s="105"/>
      <c r="U3438" s="105"/>
      <c r="V3438" s="105"/>
      <c r="W3438" s="105"/>
      <c r="X3438" s="11"/>
      <c r="Y3438" s="11"/>
      <c r="Z3438" s="105"/>
      <c r="AA3438" s="11"/>
      <c r="AB3438" s="11"/>
      <c r="AC3438" s="105"/>
      <c r="AD3438" s="11" t="b">
        <v>0</v>
      </c>
      <c r="AE3438" s="105"/>
      <c r="AF3438" s="11"/>
      <c r="AG3438" s="11"/>
      <c r="AH3438" s="11"/>
      <c r="AI3438" s="11"/>
    </row>
    <row r="3439" ht="12.5" spans="3:35">
      <c r="C3439" s="19"/>
      <c r="D3439" s="19"/>
      <c r="H3439" s="105"/>
      <c r="I3439" s="126"/>
      <c r="J3439" s="11"/>
      <c r="K3439" s="108"/>
      <c r="L3439" s="11"/>
      <c r="M3439" s="105"/>
      <c r="N3439" s="105"/>
      <c r="O3439" s="11"/>
      <c r="P3439" s="11"/>
      <c r="Q3439" s="105"/>
      <c r="R3439" s="105"/>
      <c r="S3439" s="105"/>
      <c r="T3439" s="105"/>
      <c r="U3439" s="105"/>
      <c r="V3439" s="105"/>
      <c r="W3439" s="105"/>
      <c r="X3439" s="11"/>
      <c r="Y3439" s="11"/>
      <c r="Z3439" s="105"/>
      <c r="AA3439" s="11"/>
      <c r="AB3439" s="11"/>
      <c r="AC3439" s="105"/>
      <c r="AD3439" s="11" t="b">
        <v>0</v>
      </c>
      <c r="AE3439" s="105"/>
      <c r="AF3439" s="11"/>
      <c r="AG3439" s="11"/>
      <c r="AH3439" s="11"/>
      <c r="AI3439" s="11"/>
    </row>
    <row r="3440" ht="12.5" spans="3:35">
      <c r="C3440" s="19"/>
      <c r="D3440" s="19"/>
      <c r="H3440" s="105"/>
      <c r="I3440" s="126"/>
      <c r="J3440" s="11"/>
      <c r="K3440" s="108"/>
      <c r="L3440" s="11"/>
      <c r="M3440" s="105"/>
      <c r="N3440" s="105"/>
      <c r="O3440" s="11"/>
      <c r="P3440" s="11"/>
      <c r="Q3440" s="105"/>
      <c r="R3440" s="105"/>
      <c r="S3440" s="105"/>
      <c r="T3440" s="105"/>
      <c r="U3440" s="105"/>
      <c r="V3440" s="105"/>
      <c r="W3440" s="105"/>
      <c r="X3440" s="11"/>
      <c r="Y3440" s="11"/>
      <c r="Z3440" s="105"/>
      <c r="AA3440" s="11"/>
      <c r="AB3440" s="11"/>
      <c r="AC3440" s="105"/>
      <c r="AD3440" s="11" t="b">
        <v>0</v>
      </c>
      <c r="AE3440" s="105"/>
      <c r="AF3440" s="11"/>
      <c r="AG3440" s="11"/>
      <c r="AH3440" s="11"/>
      <c r="AI3440" s="11"/>
    </row>
    <row r="3441" ht="12.5" spans="3:35">
      <c r="C3441" s="19"/>
      <c r="D3441" s="19"/>
      <c r="H3441" s="105"/>
      <c r="I3441" s="126"/>
      <c r="J3441" s="11"/>
      <c r="K3441" s="108"/>
      <c r="L3441" s="11"/>
      <c r="M3441" s="105"/>
      <c r="N3441" s="105"/>
      <c r="O3441" s="11"/>
      <c r="P3441" s="11"/>
      <c r="Q3441" s="105"/>
      <c r="R3441" s="105"/>
      <c r="S3441" s="105"/>
      <c r="T3441" s="105"/>
      <c r="U3441" s="105"/>
      <c r="V3441" s="105"/>
      <c r="W3441" s="105"/>
      <c r="X3441" s="11"/>
      <c r="Y3441" s="11"/>
      <c r="Z3441" s="105"/>
      <c r="AA3441" s="11"/>
      <c r="AB3441" s="11"/>
      <c r="AC3441" s="105"/>
      <c r="AD3441" s="11" t="b">
        <v>0</v>
      </c>
      <c r="AE3441" s="105"/>
      <c r="AF3441" s="11"/>
      <c r="AG3441" s="11"/>
      <c r="AH3441" s="11"/>
      <c r="AI3441" s="11"/>
    </row>
    <row r="3442" ht="12.5" spans="3:35">
      <c r="C3442" s="19"/>
      <c r="D3442" s="19"/>
      <c r="H3442" s="105"/>
      <c r="I3442" s="126"/>
      <c r="J3442" s="11"/>
      <c r="K3442" s="108"/>
      <c r="L3442" s="11"/>
      <c r="M3442" s="105"/>
      <c r="N3442" s="105"/>
      <c r="O3442" s="11"/>
      <c r="P3442" s="11"/>
      <c r="Q3442" s="105"/>
      <c r="R3442" s="105"/>
      <c r="S3442" s="105"/>
      <c r="T3442" s="105"/>
      <c r="U3442" s="105"/>
      <c r="V3442" s="105"/>
      <c r="W3442" s="105"/>
      <c r="X3442" s="11"/>
      <c r="Y3442" s="11"/>
      <c r="Z3442" s="105"/>
      <c r="AA3442" s="11"/>
      <c r="AB3442" s="11"/>
      <c r="AC3442" s="105"/>
      <c r="AD3442" s="11" t="b">
        <v>0</v>
      </c>
      <c r="AE3442" s="105"/>
      <c r="AF3442" s="11"/>
      <c r="AG3442" s="11"/>
      <c r="AH3442" s="11"/>
      <c r="AI3442" s="11"/>
    </row>
    <row r="3443" ht="12.5" spans="3:35">
      <c r="C3443" s="19"/>
      <c r="D3443" s="19"/>
      <c r="H3443" s="105"/>
      <c r="I3443" s="126"/>
      <c r="J3443" s="11"/>
      <c r="K3443" s="108"/>
      <c r="L3443" s="11"/>
      <c r="M3443" s="105"/>
      <c r="N3443" s="105"/>
      <c r="O3443" s="11"/>
      <c r="P3443" s="11"/>
      <c r="Q3443" s="105"/>
      <c r="R3443" s="105"/>
      <c r="S3443" s="105"/>
      <c r="T3443" s="105"/>
      <c r="U3443" s="105"/>
      <c r="V3443" s="105"/>
      <c r="W3443" s="105"/>
      <c r="X3443" s="11"/>
      <c r="Y3443" s="11"/>
      <c r="Z3443" s="105"/>
      <c r="AA3443" s="11"/>
      <c r="AB3443" s="11"/>
      <c r="AC3443" s="105"/>
      <c r="AD3443" s="11" t="b">
        <v>0</v>
      </c>
      <c r="AE3443" s="105"/>
      <c r="AF3443" s="11"/>
      <c r="AG3443" s="11"/>
      <c r="AH3443" s="11"/>
      <c r="AI3443" s="11"/>
    </row>
    <row r="3444" ht="12.5" spans="3:35">
      <c r="C3444" s="19"/>
      <c r="D3444" s="19"/>
      <c r="H3444" s="105"/>
      <c r="I3444" s="126"/>
      <c r="J3444" s="11"/>
      <c r="K3444" s="108"/>
      <c r="L3444" s="11"/>
      <c r="M3444" s="105"/>
      <c r="N3444" s="105"/>
      <c r="O3444" s="11"/>
      <c r="P3444" s="11"/>
      <c r="Q3444" s="105"/>
      <c r="R3444" s="105"/>
      <c r="S3444" s="105"/>
      <c r="T3444" s="105"/>
      <c r="U3444" s="105"/>
      <c r="V3444" s="105"/>
      <c r="W3444" s="105"/>
      <c r="X3444" s="11"/>
      <c r="Y3444" s="11"/>
      <c r="Z3444" s="105"/>
      <c r="AA3444" s="11"/>
      <c r="AB3444" s="11"/>
      <c r="AC3444" s="105"/>
      <c r="AD3444" s="11" t="b">
        <v>0</v>
      </c>
      <c r="AE3444" s="105"/>
      <c r="AF3444" s="11"/>
      <c r="AG3444" s="11"/>
      <c r="AH3444" s="11"/>
      <c r="AI3444" s="11"/>
    </row>
    <row r="3445" ht="12.5" spans="3:35">
      <c r="C3445" s="19"/>
      <c r="D3445" s="19"/>
      <c r="H3445" s="105"/>
      <c r="I3445" s="126"/>
      <c r="J3445" s="11"/>
      <c r="K3445" s="108"/>
      <c r="L3445" s="11"/>
      <c r="M3445" s="105"/>
      <c r="N3445" s="105"/>
      <c r="O3445" s="11"/>
      <c r="P3445" s="11"/>
      <c r="Q3445" s="105"/>
      <c r="R3445" s="105"/>
      <c r="S3445" s="105"/>
      <c r="T3445" s="105"/>
      <c r="U3445" s="105"/>
      <c r="V3445" s="105"/>
      <c r="W3445" s="105"/>
      <c r="X3445" s="11"/>
      <c r="Y3445" s="11"/>
      <c r="Z3445" s="105"/>
      <c r="AA3445" s="11"/>
      <c r="AB3445" s="11"/>
      <c r="AC3445" s="105"/>
      <c r="AD3445" s="11" t="b">
        <v>0</v>
      </c>
      <c r="AE3445" s="105"/>
      <c r="AF3445" s="11"/>
      <c r="AG3445" s="11"/>
      <c r="AH3445" s="11"/>
      <c r="AI3445" s="11"/>
    </row>
    <row r="3446" ht="12.5" spans="3:35">
      <c r="C3446" s="19"/>
      <c r="D3446" s="19"/>
      <c r="H3446" s="105"/>
      <c r="I3446" s="126"/>
      <c r="J3446" s="11"/>
      <c r="K3446" s="108"/>
      <c r="L3446" s="11"/>
      <c r="M3446" s="105"/>
      <c r="N3446" s="105"/>
      <c r="O3446" s="11"/>
      <c r="P3446" s="11"/>
      <c r="Q3446" s="105"/>
      <c r="R3446" s="105"/>
      <c r="S3446" s="105"/>
      <c r="T3446" s="105"/>
      <c r="U3446" s="105"/>
      <c r="V3446" s="105"/>
      <c r="W3446" s="105"/>
      <c r="X3446" s="11"/>
      <c r="Y3446" s="11"/>
      <c r="Z3446" s="105"/>
      <c r="AA3446" s="11"/>
      <c r="AB3446" s="11"/>
      <c r="AC3446" s="105"/>
      <c r="AD3446" s="11" t="b">
        <v>0</v>
      </c>
      <c r="AE3446" s="105"/>
      <c r="AF3446" s="11"/>
      <c r="AG3446" s="11"/>
      <c r="AH3446" s="11"/>
      <c r="AI3446" s="11"/>
    </row>
    <row r="3447" ht="12.5" spans="3:35">
      <c r="C3447" s="19"/>
      <c r="D3447" s="19"/>
      <c r="H3447" s="105"/>
      <c r="I3447" s="126"/>
      <c r="J3447" s="11"/>
      <c r="K3447" s="108"/>
      <c r="L3447" s="11"/>
      <c r="M3447" s="105"/>
      <c r="N3447" s="105"/>
      <c r="O3447" s="11"/>
      <c r="P3447" s="11"/>
      <c r="Q3447" s="105"/>
      <c r="R3447" s="105"/>
      <c r="S3447" s="105"/>
      <c r="T3447" s="105"/>
      <c r="U3447" s="105"/>
      <c r="V3447" s="105"/>
      <c r="W3447" s="105"/>
      <c r="X3447" s="11"/>
      <c r="Y3447" s="11"/>
      <c r="Z3447" s="105"/>
      <c r="AA3447" s="11"/>
      <c r="AB3447" s="11"/>
      <c r="AC3447" s="105"/>
      <c r="AD3447" s="11" t="b">
        <v>0</v>
      </c>
      <c r="AE3447" s="105"/>
      <c r="AF3447" s="11"/>
      <c r="AG3447" s="11"/>
      <c r="AH3447" s="11"/>
      <c r="AI3447" s="11"/>
    </row>
    <row r="3448" ht="12.5" spans="3:35">
      <c r="C3448" s="19"/>
      <c r="D3448" s="19"/>
      <c r="H3448" s="105"/>
      <c r="I3448" s="126"/>
      <c r="J3448" s="11"/>
      <c r="K3448" s="108"/>
      <c r="L3448" s="11"/>
      <c r="M3448" s="105"/>
      <c r="N3448" s="105"/>
      <c r="O3448" s="11"/>
      <c r="P3448" s="11"/>
      <c r="Q3448" s="105"/>
      <c r="R3448" s="105"/>
      <c r="S3448" s="105"/>
      <c r="T3448" s="105"/>
      <c r="U3448" s="105"/>
      <c r="V3448" s="105"/>
      <c r="W3448" s="105"/>
      <c r="X3448" s="11"/>
      <c r="Y3448" s="11"/>
      <c r="Z3448" s="105"/>
      <c r="AA3448" s="11"/>
      <c r="AB3448" s="11"/>
      <c r="AC3448" s="105"/>
      <c r="AD3448" s="11" t="b">
        <v>0</v>
      </c>
      <c r="AE3448" s="105"/>
      <c r="AF3448" s="11"/>
      <c r="AG3448" s="11"/>
      <c r="AH3448" s="11"/>
      <c r="AI3448" s="11"/>
    </row>
    <row r="3449" ht="12.5" spans="3:35">
      <c r="C3449" s="19"/>
      <c r="D3449" s="19"/>
      <c r="H3449" s="105"/>
      <c r="I3449" s="126"/>
      <c r="J3449" s="11"/>
      <c r="K3449" s="108"/>
      <c r="L3449" s="11"/>
      <c r="M3449" s="105"/>
      <c r="N3449" s="105"/>
      <c r="O3449" s="11"/>
      <c r="P3449" s="11"/>
      <c r="Q3449" s="105"/>
      <c r="R3449" s="105"/>
      <c r="S3449" s="105"/>
      <c r="T3449" s="105"/>
      <c r="U3449" s="105"/>
      <c r="V3449" s="105"/>
      <c r="W3449" s="105"/>
      <c r="X3449" s="11"/>
      <c r="Y3449" s="11"/>
      <c r="Z3449" s="105"/>
      <c r="AA3449" s="11"/>
      <c r="AB3449" s="11"/>
      <c r="AC3449" s="105"/>
      <c r="AD3449" s="11" t="b">
        <v>0</v>
      </c>
      <c r="AE3449" s="105"/>
      <c r="AF3449" s="11"/>
      <c r="AG3449" s="11"/>
      <c r="AH3449" s="11"/>
      <c r="AI3449" s="11"/>
    </row>
    <row r="3450" ht="12.5" spans="3:35">
      <c r="C3450" s="19"/>
      <c r="D3450" s="19"/>
      <c r="H3450" s="105"/>
      <c r="I3450" s="126"/>
      <c r="J3450" s="11"/>
      <c r="K3450" s="108"/>
      <c r="L3450" s="11"/>
      <c r="M3450" s="105"/>
      <c r="N3450" s="105"/>
      <c r="O3450" s="11"/>
      <c r="P3450" s="11"/>
      <c r="Q3450" s="105"/>
      <c r="R3450" s="105"/>
      <c r="S3450" s="105"/>
      <c r="T3450" s="105"/>
      <c r="U3450" s="105"/>
      <c r="V3450" s="105"/>
      <c r="W3450" s="105"/>
      <c r="X3450" s="11"/>
      <c r="Y3450" s="11"/>
      <c r="Z3450" s="105"/>
      <c r="AA3450" s="11"/>
      <c r="AB3450" s="11"/>
      <c r="AC3450" s="105"/>
      <c r="AD3450" s="11" t="b">
        <v>0</v>
      </c>
      <c r="AE3450" s="105"/>
      <c r="AF3450" s="11"/>
      <c r="AG3450" s="11"/>
      <c r="AH3450" s="11"/>
      <c r="AI3450" s="11"/>
    </row>
    <row r="3451" ht="12.5" spans="3:35">
      <c r="C3451" s="19"/>
      <c r="D3451" s="19"/>
      <c r="H3451" s="105"/>
      <c r="I3451" s="126"/>
      <c r="J3451" s="11"/>
      <c r="K3451" s="108"/>
      <c r="L3451" s="11"/>
      <c r="M3451" s="105"/>
      <c r="N3451" s="105"/>
      <c r="O3451" s="11"/>
      <c r="P3451" s="11"/>
      <c r="Q3451" s="105"/>
      <c r="R3451" s="105"/>
      <c r="S3451" s="105"/>
      <c r="T3451" s="105"/>
      <c r="U3451" s="105"/>
      <c r="V3451" s="105"/>
      <c r="W3451" s="105"/>
      <c r="X3451" s="11"/>
      <c r="Y3451" s="11"/>
      <c r="Z3451" s="105"/>
      <c r="AA3451" s="11"/>
      <c r="AB3451" s="11"/>
      <c r="AC3451" s="105"/>
      <c r="AD3451" s="11" t="b">
        <v>0</v>
      </c>
      <c r="AE3451" s="105"/>
      <c r="AF3451" s="11"/>
      <c r="AG3451" s="11"/>
      <c r="AH3451" s="11"/>
      <c r="AI3451" s="11"/>
    </row>
    <row r="3452" ht="12.5" spans="3:35">
      <c r="C3452" s="19"/>
      <c r="D3452" s="19"/>
      <c r="H3452" s="105"/>
      <c r="I3452" s="126"/>
      <c r="J3452" s="11"/>
      <c r="K3452" s="108"/>
      <c r="L3452" s="11"/>
      <c r="M3452" s="105"/>
      <c r="N3452" s="105"/>
      <c r="O3452" s="11"/>
      <c r="P3452" s="11"/>
      <c r="Q3452" s="105"/>
      <c r="R3452" s="105"/>
      <c r="S3452" s="105"/>
      <c r="T3452" s="105"/>
      <c r="U3452" s="105"/>
      <c r="V3452" s="105"/>
      <c r="W3452" s="105"/>
      <c r="X3452" s="11"/>
      <c r="Y3452" s="11"/>
      <c r="Z3452" s="105"/>
      <c r="AA3452" s="11"/>
      <c r="AB3452" s="11"/>
      <c r="AC3452" s="105"/>
      <c r="AD3452" s="11" t="b">
        <v>0</v>
      </c>
      <c r="AE3452" s="105"/>
      <c r="AF3452" s="11"/>
      <c r="AG3452" s="11"/>
      <c r="AH3452" s="11"/>
      <c r="AI3452" s="11"/>
    </row>
    <row r="3453" ht="12.5" spans="3:35">
      <c r="C3453" s="19"/>
      <c r="D3453" s="19"/>
      <c r="H3453" s="105"/>
      <c r="I3453" s="126"/>
      <c r="J3453" s="11"/>
      <c r="K3453" s="108"/>
      <c r="L3453" s="11"/>
      <c r="M3453" s="105"/>
      <c r="N3453" s="105"/>
      <c r="O3453" s="11"/>
      <c r="P3453" s="11"/>
      <c r="Q3453" s="105"/>
      <c r="R3453" s="105"/>
      <c r="S3453" s="105"/>
      <c r="T3453" s="105"/>
      <c r="U3453" s="105"/>
      <c r="V3453" s="105"/>
      <c r="W3453" s="105"/>
      <c r="X3453" s="11"/>
      <c r="Y3453" s="11"/>
      <c r="Z3453" s="105"/>
      <c r="AA3453" s="11"/>
      <c r="AB3453" s="11"/>
      <c r="AC3453" s="105"/>
      <c r="AD3453" s="11" t="b">
        <v>0</v>
      </c>
      <c r="AE3453" s="105"/>
      <c r="AF3453" s="11"/>
      <c r="AG3453" s="11"/>
      <c r="AH3453" s="11"/>
      <c r="AI3453" s="11"/>
    </row>
    <row r="3454" ht="12.5" spans="3:35">
      <c r="C3454" s="19"/>
      <c r="D3454" s="19"/>
      <c r="H3454" s="105"/>
      <c r="I3454" s="126"/>
      <c r="J3454" s="11"/>
      <c r="K3454" s="108"/>
      <c r="L3454" s="11"/>
      <c r="M3454" s="105"/>
      <c r="N3454" s="105"/>
      <c r="O3454" s="11"/>
      <c r="P3454" s="11"/>
      <c r="Q3454" s="105"/>
      <c r="R3454" s="105"/>
      <c r="S3454" s="105"/>
      <c r="T3454" s="105"/>
      <c r="U3454" s="105"/>
      <c r="V3454" s="105"/>
      <c r="W3454" s="105"/>
      <c r="X3454" s="11"/>
      <c r="Y3454" s="11"/>
      <c r="Z3454" s="105"/>
      <c r="AA3454" s="11"/>
      <c r="AB3454" s="11"/>
      <c r="AC3454" s="105"/>
      <c r="AD3454" s="11" t="b">
        <v>0</v>
      </c>
      <c r="AE3454" s="105"/>
      <c r="AF3454" s="11"/>
      <c r="AG3454" s="11"/>
      <c r="AH3454" s="11"/>
      <c r="AI3454" s="11"/>
    </row>
    <row r="3455" ht="12.5" spans="3:35">
      <c r="C3455" s="19"/>
      <c r="D3455" s="19"/>
      <c r="H3455" s="105"/>
      <c r="I3455" s="126"/>
      <c r="J3455" s="11"/>
      <c r="K3455" s="108"/>
      <c r="L3455" s="11"/>
      <c r="M3455" s="105"/>
      <c r="N3455" s="105"/>
      <c r="O3455" s="11"/>
      <c r="P3455" s="11"/>
      <c r="Q3455" s="105"/>
      <c r="R3455" s="105"/>
      <c r="S3455" s="105"/>
      <c r="T3455" s="105"/>
      <c r="U3455" s="105"/>
      <c r="V3455" s="105"/>
      <c r="W3455" s="105"/>
      <c r="X3455" s="11"/>
      <c r="Y3455" s="11"/>
      <c r="Z3455" s="105"/>
      <c r="AA3455" s="11"/>
      <c r="AB3455" s="11"/>
      <c r="AC3455" s="105"/>
      <c r="AD3455" s="11" t="b">
        <v>0</v>
      </c>
      <c r="AE3455" s="105"/>
      <c r="AF3455" s="11"/>
      <c r="AG3455" s="11"/>
      <c r="AH3455" s="11"/>
      <c r="AI3455" s="11"/>
    </row>
    <row r="3456" ht="12.5" spans="3:35">
      <c r="C3456" s="19"/>
      <c r="D3456" s="19"/>
      <c r="H3456" s="105"/>
      <c r="I3456" s="126"/>
      <c r="J3456" s="11"/>
      <c r="K3456" s="108"/>
      <c r="L3456" s="11"/>
      <c r="M3456" s="105"/>
      <c r="N3456" s="105"/>
      <c r="O3456" s="11"/>
      <c r="P3456" s="11"/>
      <c r="Q3456" s="105"/>
      <c r="R3456" s="105"/>
      <c r="S3456" s="105"/>
      <c r="T3456" s="105"/>
      <c r="U3456" s="105"/>
      <c r="V3456" s="105"/>
      <c r="W3456" s="105"/>
      <c r="X3456" s="11"/>
      <c r="Y3456" s="11"/>
      <c r="Z3456" s="105"/>
      <c r="AA3456" s="11"/>
      <c r="AB3456" s="11"/>
      <c r="AC3456" s="105"/>
      <c r="AD3456" s="11" t="b">
        <v>0</v>
      </c>
      <c r="AE3456" s="105"/>
      <c r="AF3456" s="11"/>
      <c r="AG3456" s="11"/>
      <c r="AH3456" s="11"/>
      <c r="AI3456" s="11"/>
    </row>
    <row r="3457" ht="12.5" spans="3:35">
      <c r="C3457" s="19"/>
      <c r="D3457" s="19"/>
      <c r="H3457" s="105"/>
      <c r="I3457" s="126"/>
      <c r="J3457" s="11"/>
      <c r="K3457" s="108"/>
      <c r="L3457" s="11"/>
      <c r="M3457" s="105"/>
      <c r="N3457" s="105"/>
      <c r="O3457" s="11"/>
      <c r="P3457" s="11"/>
      <c r="Q3457" s="105"/>
      <c r="R3457" s="105"/>
      <c r="S3457" s="105"/>
      <c r="T3457" s="105"/>
      <c r="U3457" s="105"/>
      <c r="V3457" s="105"/>
      <c r="W3457" s="105"/>
      <c r="X3457" s="11"/>
      <c r="Y3457" s="11"/>
      <c r="Z3457" s="105"/>
      <c r="AA3457" s="11"/>
      <c r="AB3457" s="11"/>
      <c r="AC3457" s="105"/>
      <c r="AD3457" s="11" t="b">
        <v>0</v>
      </c>
      <c r="AE3457" s="105"/>
      <c r="AF3457" s="11"/>
      <c r="AG3457" s="11"/>
      <c r="AH3457" s="11"/>
      <c r="AI3457" s="11"/>
    </row>
    <row r="3458" ht="12.5" spans="3:35">
      <c r="C3458" s="19"/>
      <c r="D3458" s="19"/>
      <c r="H3458" s="105"/>
      <c r="I3458" s="126"/>
      <c r="J3458" s="11"/>
      <c r="K3458" s="108"/>
      <c r="L3458" s="11"/>
      <c r="M3458" s="105"/>
      <c r="N3458" s="105"/>
      <c r="O3458" s="11"/>
      <c r="P3458" s="11"/>
      <c r="Q3458" s="105"/>
      <c r="R3458" s="105"/>
      <c r="S3458" s="105"/>
      <c r="T3458" s="105"/>
      <c r="U3458" s="105"/>
      <c r="V3458" s="105"/>
      <c r="W3458" s="105"/>
      <c r="X3458" s="11"/>
      <c r="Y3458" s="11"/>
      <c r="Z3458" s="105"/>
      <c r="AA3458" s="11"/>
      <c r="AB3458" s="11"/>
      <c r="AC3458" s="105"/>
      <c r="AD3458" s="11" t="b">
        <v>0</v>
      </c>
      <c r="AE3458" s="105"/>
      <c r="AF3458" s="11"/>
      <c r="AG3458" s="11"/>
      <c r="AH3458" s="11"/>
      <c r="AI3458" s="11"/>
    </row>
    <row r="3459" ht="12.5" spans="3:35">
      <c r="C3459" s="19"/>
      <c r="D3459" s="19"/>
      <c r="H3459" s="105"/>
      <c r="I3459" s="126"/>
      <c r="J3459" s="11"/>
      <c r="K3459" s="108"/>
      <c r="L3459" s="11"/>
      <c r="M3459" s="105"/>
      <c r="N3459" s="105"/>
      <c r="O3459" s="11"/>
      <c r="P3459" s="11"/>
      <c r="Q3459" s="105"/>
      <c r="R3459" s="105"/>
      <c r="S3459" s="105"/>
      <c r="T3459" s="105"/>
      <c r="U3459" s="105"/>
      <c r="V3459" s="105"/>
      <c r="W3459" s="105"/>
      <c r="X3459" s="11"/>
      <c r="Y3459" s="11"/>
      <c r="Z3459" s="105"/>
      <c r="AA3459" s="11"/>
      <c r="AB3459" s="11"/>
      <c r="AC3459" s="105"/>
      <c r="AD3459" s="11" t="b">
        <v>0</v>
      </c>
      <c r="AE3459" s="105"/>
      <c r="AF3459" s="11"/>
      <c r="AG3459" s="11"/>
      <c r="AH3459" s="11"/>
      <c r="AI3459" s="11"/>
    </row>
    <row r="3460" ht="12.5" spans="3:35">
      <c r="C3460" s="19"/>
      <c r="D3460" s="19"/>
      <c r="H3460" s="105"/>
      <c r="I3460" s="126"/>
      <c r="J3460" s="11"/>
      <c r="K3460" s="108"/>
      <c r="L3460" s="11"/>
      <c r="M3460" s="105"/>
      <c r="N3460" s="105"/>
      <c r="O3460" s="11"/>
      <c r="P3460" s="11"/>
      <c r="Q3460" s="105"/>
      <c r="R3460" s="105"/>
      <c r="S3460" s="105"/>
      <c r="T3460" s="105"/>
      <c r="U3460" s="105"/>
      <c r="V3460" s="105"/>
      <c r="W3460" s="105"/>
      <c r="X3460" s="11"/>
      <c r="Y3460" s="11"/>
      <c r="Z3460" s="105"/>
      <c r="AA3460" s="11"/>
      <c r="AB3460" s="11"/>
      <c r="AC3460" s="105"/>
      <c r="AD3460" s="11" t="b">
        <v>0</v>
      </c>
      <c r="AE3460" s="105"/>
      <c r="AF3460" s="11"/>
      <c r="AG3460" s="11"/>
      <c r="AH3460" s="11"/>
      <c r="AI3460" s="11"/>
    </row>
    <row r="3461" ht="12.5" spans="3:35">
      <c r="C3461" s="19"/>
      <c r="D3461" s="19"/>
      <c r="H3461" s="105"/>
      <c r="I3461" s="126"/>
      <c r="J3461" s="11"/>
      <c r="K3461" s="108"/>
      <c r="L3461" s="11"/>
      <c r="M3461" s="105"/>
      <c r="N3461" s="105"/>
      <c r="O3461" s="11"/>
      <c r="P3461" s="11"/>
      <c r="Q3461" s="105"/>
      <c r="R3461" s="105"/>
      <c r="S3461" s="105"/>
      <c r="T3461" s="105"/>
      <c r="U3461" s="105"/>
      <c r="V3461" s="105"/>
      <c r="W3461" s="105"/>
      <c r="X3461" s="11"/>
      <c r="Y3461" s="11"/>
      <c r="Z3461" s="105"/>
      <c r="AA3461" s="11"/>
      <c r="AB3461" s="11"/>
      <c r="AC3461" s="105"/>
      <c r="AD3461" s="11" t="b">
        <v>0</v>
      </c>
      <c r="AE3461" s="105"/>
      <c r="AF3461" s="11"/>
      <c r="AG3461" s="11"/>
      <c r="AH3461" s="11"/>
      <c r="AI3461" s="11"/>
    </row>
    <row r="3462" ht="12.5" spans="3:35">
      <c r="C3462" s="19"/>
      <c r="D3462" s="19"/>
      <c r="H3462" s="105"/>
      <c r="I3462" s="126"/>
      <c r="J3462" s="11"/>
      <c r="K3462" s="108"/>
      <c r="L3462" s="11"/>
      <c r="M3462" s="105"/>
      <c r="N3462" s="105"/>
      <c r="O3462" s="11"/>
      <c r="P3462" s="11"/>
      <c r="Q3462" s="105"/>
      <c r="R3462" s="105"/>
      <c r="S3462" s="105"/>
      <c r="T3462" s="105"/>
      <c r="U3462" s="105"/>
      <c r="V3462" s="105"/>
      <c r="W3462" s="105"/>
      <c r="X3462" s="11"/>
      <c r="Y3462" s="11"/>
      <c r="Z3462" s="105"/>
      <c r="AA3462" s="11"/>
      <c r="AB3462" s="11"/>
      <c r="AC3462" s="105"/>
      <c r="AD3462" s="11" t="b">
        <v>0</v>
      </c>
      <c r="AE3462" s="105"/>
      <c r="AF3462" s="11"/>
      <c r="AG3462" s="11"/>
      <c r="AH3462" s="11"/>
      <c r="AI3462" s="11"/>
    </row>
    <row r="3463" ht="12.5" spans="3:35">
      <c r="C3463" s="19"/>
      <c r="D3463" s="19"/>
      <c r="H3463" s="105"/>
      <c r="I3463" s="126"/>
      <c r="J3463" s="11"/>
      <c r="K3463" s="108"/>
      <c r="L3463" s="11"/>
      <c r="M3463" s="105"/>
      <c r="N3463" s="105"/>
      <c r="O3463" s="11"/>
      <c r="P3463" s="11"/>
      <c r="Q3463" s="105"/>
      <c r="R3463" s="105"/>
      <c r="S3463" s="105"/>
      <c r="T3463" s="105"/>
      <c r="U3463" s="105"/>
      <c r="V3463" s="105"/>
      <c r="W3463" s="105"/>
      <c r="X3463" s="11"/>
      <c r="Y3463" s="11"/>
      <c r="Z3463" s="105"/>
      <c r="AA3463" s="11"/>
      <c r="AB3463" s="11"/>
      <c r="AC3463" s="105"/>
      <c r="AD3463" s="11" t="b">
        <v>0</v>
      </c>
      <c r="AE3463" s="105"/>
      <c r="AF3463" s="11"/>
      <c r="AG3463" s="11"/>
      <c r="AH3463" s="11"/>
      <c r="AI3463" s="11"/>
    </row>
    <row r="3464" ht="12.5" spans="3:35">
      <c r="C3464" s="19"/>
      <c r="D3464" s="19"/>
      <c r="H3464" s="105"/>
      <c r="I3464" s="126"/>
      <c r="J3464" s="11"/>
      <c r="K3464" s="108"/>
      <c r="L3464" s="11"/>
      <c r="M3464" s="105"/>
      <c r="N3464" s="105"/>
      <c r="O3464" s="11"/>
      <c r="P3464" s="11"/>
      <c r="Q3464" s="105"/>
      <c r="R3464" s="105"/>
      <c r="S3464" s="105"/>
      <c r="T3464" s="105"/>
      <c r="U3464" s="105"/>
      <c r="V3464" s="105"/>
      <c r="W3464" s="105"/>
      <c r="X3464" s="11"/>
      <c r="Y3464" s="11"/>
      <c r="Z3464" s="105"/>
      <c r="AA3464" s="11"/>
      <c r="AB3464" s="11"/>
      <c r="AC3464" s="105"/>
      <c r="AD3464" s="11" t="b">
        <v>0</v>
      </c>
      <c r="AE3464" s="105"/>
      <c r="AF3464" s="11"/>
      <c r="AG3464" s="11"/>
      <c r="AH3464" s="11"/>
      <c r="AI3464" s="11"/>
    </row>
    <row r="3465" ht="12.5" spans="3:35">
      <c r="C3465" s="19"/>
      <c r="D3465" s="19"/>
      <c r="H3465" s="105"/>
      <c r="I3465" s="126"/>
      <c r="J3465" s="11"/>
      <c r="K3465" s="108"/>
      <c r="L3465" s="11"/>
      <c r="M3465" s="105"/>
      <c r="N3465" s="105"/>
      <c r="O3465" s="11"/>
      <c r="P3465" s="11"/>
      <c r="Q3465" s="105"/>
      <c r="R3465" s="105"/>
      <c r="S3465" s="105"/>
      <c r="T3465" s="105"/>
      <c r="U3465" s="105"/>
      <c r="V3465" s="105"/>
      <c r="W3465" s="105"/>
      <c r="X3465" s="11"/>
      <c r="Y3465" s="11"/>
      <c r="Z3465" s="105"/>
      <c r="AA3465" s="11"/>
      <c r="AB3465" s="11"/>
      <c r="AC3465" s="105"/>
      <c r="AD3465" s="11" t="b">
        <v>0</v>
      </c>
      <c r="AE3465" s="105"/>
      <c r="AF3465" s="11"/>
      <c r="AG3465" s="11"/>
      <c r="AH3465" s="11"/>
      <c r="AI3465" s="11"/>
    </row>
    <row r="3466" ht="12.5" spans="3:35">
      <c r="C3466" s="19"/>
      <c r="D3466" s="19"/>
      <c r="H3466" s="105"/>
      <c r="I3466" s="126"/>
      <c r="J3466" s="11"/>
      <c r="K3466" s="108"/>
      <c r="L3466" s="11"/>
      <c r="M3466" s="105"/>
      <c r="N3466" s="105"/>
      <c r="O3466" s="11"/>
      <c r="P3466" s="11"/>
      <c r="Q3466" s="105"/>
      <c r="R3466" s="105"/>
      <c r="S3466" s="105"/>
      <c r="T3466" s="105"/>
      <c r="U3466" s="105"/>
      <c r="V3466" s="105"/>
      <c r="W3466" s="105"/>
      <c r="X3466" s="11"/>
      <c r="Y3466" s="11"/>
      <c r="Z3466" s="105"/>
      <c r="AA3466" s="11"/>
      <c r="AB3466" s="11"/>
      <c r="AC3466" s="105"/>
      <c r="AD3466" s="11" t="b">
        <v>0</v>
      </c>
      <c r="AE3466" s="105"/>
      <c r="AF3466" s="11"/>
      <c r="AG3466" s="11"/>
      <c r="AH3466" s="11"/>
      <c r="AI3466" s="11"/>
    </row>
    <row r="3467" ht="12.5" spans="3:35">
      <c r="C3467" s="19"/>
      <c r="D3467" s="19"/>
      <c r="H3467" s="105"/>
      <c r="I3467" s="126"/>
      <c r="J3467" s="11"/>
      <c r="K3467" s="108"/>
      <c r="L3467" s="11"/>
      <c r="M3467" s="105"/>
      <c r="N3467" s="105"/>
      <c r="O3467" s="11"/>
      <c r="P3467" s="11"/>
      <c r="Q3467" s="105"/>
      <c r="R3467" s="105"/>
      <c r="S3467" s="105"/>
      <c r="T3467" s="105"/>
      <c r="U3467" s="105"/>
      <c r="V3467" s="105"/>
      <c r="W3467" s="105"/>
      <c r="X3467" s="11"/>
      <c r="Y3467" s="11"/>
      <c r="Z3467" s="105"/>
      <c r="AA3467" s="11"/>
      <c r="AB3467" s="11"/>
      <c r="AC3467" s="105"/>
      <c r="AD3467" s="11" t="b">
        <v>0</v>
      </c>
      <c r="AE3467" s="105"/>
      <c r="AF3467" s="11"/>
      <c r="AG3467" s="11"/>
      <c r="AH3467" s="11"/>
      <c r="AI3467" s="11"/>
    </row>
    <row r="3468" ht="12.5" spans="3:35">
      <c r="C3468" s="19"/>
      <c r="D3468" s="19"/>
      <c r="H3468" s="105"/>
      <c r="I3468" s="126"/>
      <c r="J3468" s="11"/>
      <c r="K3468" s="108"/>
      <c r="L3468" s="11"/>
      <c r="M3468" s="105"/>
      <c r="N3468" s="105"/>
      <c r="O3468" s="11"/>
      <c r="P3468" s="11"/>
      <c r="Q3468" s="105"/>
      <c r="R3468" s="105"/>
      <c r="S3468" s="105"/>
      <c r="T3468" s="105"/>
      <c r="U3468" s="105"/>
      <c r="V3468" s="105"/>
      <c r="W3468" s="105"/>
      <c r="X3468" s="11"/>
      <c r="Y3468" s="11"/>
      <c r="Z3468" s="105"/>
      <c r="AA3468" s="11"/>
      <c r="AB3468" s="11"/>
      <c r="AC3468" s="105"/>
      <c r="AD3468" s="11" t="b">
        <v>0</v>
      </c>
      <c r="AE3468" s="105"/>
      <c r="AF3468" s="11"/>
      <c r="AG3468" s="11"/>
      <c r="AH3468" s="11"/>
      <c r="AI3468" s="11"/>
    </row>
    <row r="3469" ht="12.5" spans="3:35">
      <c r="C3469" s="19"/>
      <c r="D3469" s="19"/>
      <c r="H3469" s="105"/>
      <c r="I3469" s="126"/>
      <c r="J3469" s="11"/>
      <c r="K3469" s="108"/>
      <c r="L3469" s="11"/>
      <c r="M3469" s="105"/>
      <c r="N3469" s="105"/>
      <c r="O3469" s="11"/>
      <c r="P3469" s="11"/>
      <c r="Q3469" s="105"/>
      <c r="R3469" s="105"/>
      <c r="S3469" s="105"/>
      <c r="T3469" s="105"/>
      <c r="U3469" s="105"/>
      <c r="V3469" s="105"/>
      <c r="W3469" s="105"/>
      <c r="X3469" s="11"/>
      <c r="Y3469" s="11"/>
      <c r="Z3469" s="105"/>
      <c r="AA3469" s="11"/>
      <c r="AB3469" s="11"/>
      <c r="AC3469" s="105"/>
      <c r="AD3469" s="11" t="b">
        <v>0</v>
      </c>
      <c r="AE3469" s="105"/>
      <c r="AF3469" s="11"/>
      <c r="AG3469" s="11"/>
      <c r="AH3469" s="11"/>
      <c r="AI3469" s="11"/>
    </row>
    <row r="3470" ht="12.5" spans="3:35">
      <c r="C3470" s="19"/>
      <c r="D3470" s="19"/>
      <c r="H3470" s="105"/>
      <c r="I3470" s="126"/>
      <c r="J3470" s="11"/>
      <c r="K3470" s="108"/>
      <c r="L3470" s="11"/>
      <c r="M3470" s="105"/>
      <c r="N3470" s="105"/>
      <c r="O3470" s="11"/>
      <c r="P3470" s="11"/>
      <c r="Q3470" s="105"/>
      <c r="R3470" s="105"/>
      <c r="S3470" s="105"/>
      <c r="T3470" s="105"/>
      <c r="U3470" s="105"/>
      <c r="V3470" s="105"/>
      <c r="W3470" s="105"/>
      <c r="X3470" s="11"/>
      <c r="Y3470" s="11"/>
      <c r="Z3470" s="105"/>
      <c r="AA3470" s="11"/>
      <c r="AB3470" s="11"/>
      <c r="AC3470" s="105"/>
      <c r="AD3470" s="11" t="b">
        <v>0</v>
      </c>
      <c r="AE3470" s="105"/>
      <c r="AF3470" s="11"/>
      <c r="AG3470" s="11"/>
      <c r="AH3470" s="11"/>
      <c r="AI3470" s="11"/>
    </row>
    <row r="3471" ht="12.5" spans="3:35">
      <c r="C3471" s="19"/>
      <c r="D3471" s="19"/>
      <c r="H3471" s="105"/>
      <c r="I3471" s="126"/>
      <c r="J3471" s="11"/>
      <c r="K3471" s="108"/>
      <c r="L3471" s="11"/>
      <c r="M3471" s="105"/>
      <c r="N3471" s="105"/>
      <c r="O3471" s="11"/>
      <c r="P3471" s="11"/>
      <c r="Q3471" s="105"/>
      <c r="R3471" s="105"/>
      <c r="S3471" s="105"/>
      <c r="T3471" s="105"/>
      <c r="U3471" s="105"/>
      <c r="V3471" s="105"/>
      <c r="W3471" s="105"/>
      <c r="X3471" s="11"/>
      <c r="Y3471" s="11"/>
      <c r="Z3471" s="105"/>
      <c r="AA3471" s="11"/>
      <c r="AB3471" s="11"/>
      <c r="AC3471" s="105"/>
      <c r="AD3471" s="11" t="b">
        <v>0</v>
      </c>
      <c r="AE3471" s="105"/>
      <c r="AF3471" s="11"/>
      <c r="AG3471" s="11"/>
      <c r="AH3471" s="11"/>
      <c r="AI3471" s="11"/>
    </row>
    <row r="3472" ht="12.5" spans="3:35">
      <c r="C3472" s="19"/>
      <c r="D3472" s="19"/>
      <c r="H3472" s="105"/>
      <c r="I3472" s="126"/>
      <c r="J3472" s="11"/>
      <c r="K3472" s="108"/>
      <c r="L3472" s="11"/>
      <c r="M3472" s="105"/>
      <c r="N3472" s="105"/>
      <c r="O3472" s="11"/>
      <c r="P3472" s="11"/>
      <c r="Q3472" s="105"/>
      <c r="R3472" s="105"/>
      <c r="S3472" s="105"/>
      <c r="T3472" s="105"/>
      <c r="U3472" s="105"/>
      <c r="V3472" s="105"/>
      <c r="W3472" s="105"/>
      <c r="X3472" s="11"/>
      <c r="Y3472" s="11"/>
      <c r="Z3472" s="105"/>
      <c r="AA3472" s="11"/>
      <c r="AB3472" s="11"/>
      <c r="AC3472" s="105"/>
      <c r="AD3472" s="11" t="b">
        <v>0</v>
      </c>
      <c r="AE3472" s="105"/>
      <c r="AF3472" s="11"/>
      <c r="AG3472" s="11"/>
      <c r="AH3472" s="11"/>
      <c r="AI3472" s="11"/>
    </row>
    <row r="3473" ht="12.5" spans="3:35">
      <c r="C3473" s="19"/>
      <c r="D3473" s="19"/>
      <c r="H3473" s="105"/>
      <c r="I3473" s="126"/>
      <c r="J3473" s="11"/>
      <c r="K3473" s="108"/>
      <c r="L3473" s="11"/>
      <c r="M3473" s="105"/>
      <c r="N3473" s="105"/>
      <c r="O3473" s="11"/>
      <c r="P3473" s="11"/>
      <c r="Q3473" s="105"/>
      <c r="R3473" s="105"/>
      <c r="S3473" s="105"/>
      <c r="T3473" s="105"/>
      <c r="U3473" s="105"/>
      <c r="V3473" s="105"/>
      <c r="W3473" s="105"/>
      <c r="X3473" s="11"/>
      <c r="Y3473" s="11"/>
      <c r="Z3473" s="105"/>
      <c r="AA3473" s="11"/>
      <c r="AB3473" s="11"/>
      <c r="AC3473" s="105"/>
      <c r="AD3473" s="11" t="b">
        <v>0</v>
      </c>
      <c r="AE3473" s="105"/>
      <c r="AF3473" s="11"/>
      <c r="AG3473" s="11"/>
      <c r="AH3473" s="11"/>
      <c r="AI3473" s="11"/>
    </row>
    <row r="3474" ht="12.5" spans="3:35">
      <c r="C3474" s="19"/>
      <c r="D3474" s="19"/>
      <c r="H3474" s="105"/>
      <c r="I3474" s="126"/>
      <c r="J3474" s="11"/>
      <c r="K3474" s="108"/>
      <c r="L3474" s="11"/>
      <c r="M3474" s="105"/>
      <c r="N3474" s="105"/>
      <c r="O3474" s="11"/>
      <c r="P3474" s="11"/>
      <c r="Q3474" s="105"/>
      <c r="R3474" s="105"/>
      <c r="S3474" s="105"/>
      <c r="T3474" s="105"/>
      <c r="U3474" s="105"/>
      <c r="V3474" s="105"/>
      <c r="W3474" s="105"/>
      <c r="X3474" s="11"/>
      <c r="Y3474" s="11"/>
      <c r="Z3474" s="105"/>
      <c r="AA3474" s="11"/>
      <c r="AB3474" s="11"/>
      <c r="AC3474" s="105"/>
      <c r="AD3474" s="11" t="b">
        <v>0</v>
      </c>
      <c r="AE3474" s="105"/>
      <c r="AF3474" s="11"/>
      <c r="AG3474" s="11"/>
      <c r="AH3474" s="11"/>
      <c r="AI3474" s="11"/>
    </row>
    <row r="3475" ht="12.5" spans="3:35">
      <c r="C3475" s="19"/>
      <c r="D3475" s="19"/>
      <c r="H3475" s="105"/>
      <c r="I3475" s="126"/>
      <c r="J3475" s="11"/>
      <c r="K3475" s="108"/>
      <c r="L3475" s="11"/>
      <c r="M3475" s="105"/>
      <c r="N3475" s="105"/>
      <c r="O3475" s="11"/>
      <c r="P3475" s="11"/>
      <c r="Q3475" s="105"/>
      <c r="R3475" s="105"/>
      <c r="S3475" s="105"/>
      <c r="T3475" s="105"/>
      <c r="U3475" s="105"/>
      <c r="V3475" s="105"/>
      <c r="W3475" s="105"/>
      <c r="X3475" s="11"/>
      <c r="Y3475" s="11"/>
      <c r="Z3475" s="105"/>
      <c r="AA3475" s="11"/>
      <c r="AB3475" s="11"/>
      <c r="AC3475" s="105"/>
      <c r="AD3475" s="11" t="b">
        <v>0</v>
      </c>
      <c r="AE3475" s="105"/>
      <c r="AF3475" s="11"/>
      <c r="AG3475" s="11"/>
      <c r="AH3475" s="11"/>
      <c r="AI3475" s="11"/>
    </row>
    <row r="3476" ht="12.5" spans="3:35">
      <c r="C3476" s="19"/>
      <c r="D3476" s="19"/>
      <c r="H3476" s="105"/>
      <c r="I3476" s="126"/>
      <c r="J3476" s="11"/>
      <c r="K3476" s="108"/>
      <c r="L3476" s="11"/>
      <c r="M3476" s="105"/>
      <c r="N3476" s="105"/>
      <c r="O3476" s="11"/>
      <c r="P3476" s="11"/>
      <c r="Q3476" s="105"/>
      <c r="R3476" s="105"/>
      <c r="S3476" s="105"/>
      <c r="T3476" s="105"/>
      <c r="U3476" s="105"/>
      <c r="V3476" s="105"/>
      <c r="W3476" s="105"/>
      <c r="X3476" s="11"/>
      <c r="Y3476" s="11"/>
      <c r="Z3476" s="105"/>
      <c r="AA3476" s="11"/>
      <c r="AB3476" s="11"/>
      <c r="AC3476" s="105"/>
      <c r="AD3476" s="11" t="b">
        <v>0</v>
      </c>
      <c r="AE3476" s="105"/>
      <c r="AF3476" s="11"/>
      <c r="AG3476" s="11"/>
      <c r="AH3476" s="11"/>
      <c r="AI3476" s="11"/>
    </row>
    <row r="3477" ht="12.5" spans="3:35">
      <c r="C3477" s="19"/>
      <c r="D3477" s="19"/>
      <c r="H3477" s="105"/>
      <c r="I3477" s="126"/>
      <c r="J3477" s="11"/>
      <c r="K3477" s="108"/>
      <c r="L3477" s="11"/>
      <c r="M3477" s="105"/>
      <c r="N3477" s="105"/>
      <c r="O3477" s="11"/>
      <c r="P3477" s="11"/>
      <c r="Q3477" s="105"/>
      <c r="R3477" s="105"/>
      <c r="S3477" s="105"/>
      <c r="T3477" s="105"/>
      <c r="U3477" s="105"/>
      <c r="V3477" s="105"/>
      <c r="W3477" s="105"/>
      <c r="X3477" s="11"/>
      <c r="Y3477" s="11"/>
      <c r="Z3477" s="105"/>
      <c r="AA3477" s="11"/>
      <c r="AB3477" s="11"/>
      <c r="AC3477" s="105"/>
      <c r="AD3477" s="11" t="b">
        <v>0</v>
      </c>
      <c r="AE3477" s="105"/>
      <c r="AF3477" s="11"/>
      <c r="AG3477" s="11"/>
      <c r="AH3477" s="11"/>
      <c r="AI3477" s="11"/>
    </row>
    <row r="3478" ht="12.5" spans="3:35">
      <c r="C3478" s="19"/>
      <c r="D3478" s="19"/>
      <c r="H3478" s="105"/>
      <c r="I3478" s="126"/>
      <c r="J3478" s="11"/>
      <c r="K3478" s="108"/>
      <c r="L3478" s="11"/>
      <c r="M3478" s="105"/>
      <c r="N3478" s="105"/>
      <c r="O3478" s="11"/>
      <c r="P3478" s="11"/>
      <c r="Q3478" s="105"/>
      <c r="R3478" s="105"/>
      <c r="S3478" s="105"/>
      <c r="T3478" s="105"/>
      <c r="U3478" s="105"/>
      <c r="V3478" s="105"/>
      <c r="W3478" s="105"/>
      <c r="X3478" s="11"/>
      <c r="Y3478" s="11"/>
      <c r="Z3478" s="105"/>
      <c r="AA3478" s="11"/>
      <c r="AB3478" s="11"/>
      <c r="AC3478" s="105"/>
      <c r="AD3478" s="11" t="b">
        <v>0</v>
      </c>
      <c r="AE3478" s="105"/>
      <c r="AF3478" s="11"/>
      <c r="AG3478" s="11"/>
      <c r="AH3478" s="11"/>
      <c r="AI3478" s="11"/>
    </row>
    <row r="3479" ht="12.5" spans="3:35">
      <c r="C3479" s="19"/>
      <c r="D3479" s="19"/>
      <c r="H3479" s="105"/>
      <c r="I3479" s="126"/>
      <c r="J3479" s="11"/>
      <c r="K3479" s="108"/>
      <c r="L3479" s="11"/>
      <c r="M3479" s="105"/>
      <c r="N3479" s="105"/>
      <c r="O3479" s="11"/>
      <c r="P3479" s="11"/>
      <c r="Q3479" s="105"/>
      <c r="R3479" s="105"/>
      <c r="S3479" s="105"/>
      <c r="T3479" s="105"/>
      <c r="U3479" s="105"/>
      <c r="V3479" s="105"/>
      <c r="W3479" s="105"/>
      <c r="X3479" s="11"/>
      <c r="Y3479" s="11"/>
      <c r="Z3479" s="105"/>
      <c r="AA3479" s="11"/>
      <c r="AB3479" s="11"/>
      <c r="AC3479" s="105"/>
      <c r="AD3479" s="11" t="b">
        <v>0</v>
      </c>
      <c r="AE3479" s="105"/>
      <c r="AF3479" s="11"/>
      <c r="AG3479" s="11"/>
      <c r="AH3479" s="11"/>
      <c r="AI3479" s="11"/>
    </row>
    <row r="3480" ht="12.5" spans="3:35">
      <c r="C3480" s="19"/>
      <c r="D3480" s="19"/>
      <c r="H3480" s="105"/>
      <c r="I3480" s="126"/>
      <c r="J3480" s="11"/>
      <c r="K3480" s="108"/>
      <c r="L3480" s="11"/>
      <c r="M3480" s="105"/>
      <c r="N3480" s="105"/>
      <c r="O3480" s="11"/>
      <c r="P3480" s="11"/>
      <c r="Q3480" s="105"/>
      <c r="R3480" s="105"/>
      <c r="S3480" s="105"/>
      <c r="T3480" s="105"/>
      <c r="U3480" s="105"/>
      <c r="V3480" s="105"/>
      <c r="W3480" s="105"/>
      <c r="X3480" s="11"/>
      <c r="Y3480" s="11"/>
      <c r="Z3480" s="105"/>
      <c r="AA3480" s="11"/>
      <c r="AB3480" s="11"/>
      <c r="AC3480" s="105"/>
      <c r="AD3480" s="11" t="b">
        <v>0</v>
      </c>
      <c r="AE3480" s="105"/>
      <c r="AF3480" s="11"/>
      <c r="AG3480" s="11"/>
      <c r="AH3480" s="11"/>
      <c r="AI3480" s="11"/>
    </row>
    <row r="3481" ht="12.5" spans="3:35">
      <c r="C3481" s="19"/>
      <c r="D3481" s="19"/>
      <c r="H3481" s="105"/>
      <c r="I3481" s="126"/>
      <c r="J3481" s="11"/>
      <c r="K3481" s="108"/>
      <c r="L3481" s="11"/>
      <c r="M3481" s="105"/>
      <c r="N3481" s="105"/>
      <c r="O3481" s="11"/>
      <c r="P3481" s="11"/>
      <c r="Q3481" s="105"/>
      <c r="R3481" s="105"/>
      <c r="S3481" s="105"/>
      <c r="T3481" s="105"/>
      <c r="U3481" s="105"/>
      <c r="V3481" s="105"/>
      <c r="W3481" s="105"/>
      <c r="X3481" s="11"/>
      <c r="Y3481" s="11"/>
      <c r="Z3481" s="105"/>
      <c r="AA3481" s="11"/>
      <c r="AB3481" s="11"/>
      <c r="AC3481" s="105"/>
      <c r="AD3481" s="11" t="b">
        <v>0</v>
      </c>
      <c r="AE3481" s="105"/>
      <c r="AF3481" s="11"/>
      <c r="AG3481" s="11"/>
      <c r="AH3481" s="11"/>
      <c r="AI3481" s="11"/>
    </row>
    <row r="3482" ht="12.5" spans="3:35">
      <c r="C3482" s="19"/>
      <c r="D3482" s="19"/>
      <c r="H3482" s="105"/>
      <c r="I3482" s="126"/>
      <c r="J3482" s="11"/>
      <c r="K3482" s="108"/>
      <c r="L3482" s="11"/>
      <c r="M3482" s="105"/>
      <c r="N3482" s="105"/>
      <c r="O3482" s="11"/>
      <c r="P3482" s="11"/>
      <c r="Q3482" s="105"/>
      <c r="R3482" s="105"/>
      <c r="S3482" s="105"/>
      <c r="T3482" s="105"/>
      <c r="U3482" s="105"/>
      <c r="V3482" s="105"/>
      <c r="W3482" s="105"/>
      <c r="X3482" s="11"/>
      <c r="Y3482" s="11"/>
      <c r="Z3482" s="105"/>
      <c r="AA3482" s="11"/>
      <c r="AB3482" s="11"/>
      <c r="AC3482" s="105"/>
      <c r="AD3482" s="11" t="b">
        <v>0</v>
      </c>
      <c r="AE3482" s="105"/>
      <c r="AF3482" s="11"/>
      <c r="AG3482" s="11"/>
      <c r="AH3482" s="11"/>
      <c r="AI3482" s="11"/>
    </row>
    <row r="3483" ht="12.5" spans="3:35">
      <c r="C3483" s="19"/>
      <c r="D3483" s="19"/>
      <c r="H3483" s="105"/>
      <c r="I3483" s="126"/>
      <c r="J3483" s="11"/>
      <c r="K3483" s="108"/>
      <c r="L3483" s="11"/>
      <c r="M3483" s="105"/>
      <c r="N3483" s="105"/>
      <c r="O3483" s="11"/>
      <c r="P3483" s="11"/>
      <c r="Q3483" s="105"/>
      <c r="R3483" s="105"/>
      <c r="S3483" s="105"/>
      <c r="T3483" s="105"/>
      <c r="U3483" s="105"/>
      <c r="V3483" s="105"/>
      <c r="W3483" s="105"/>
      <c r="X3483" s="11"/>
      <c r="Y3483" s="11"/>
      <c r="Z3483" s="105"/>
      <c r="AA3483" s="11"/>
      <c r="AB3483" s="11"/>
      <c r="AC3483" s="105"/>
      <c r="AD3483" s="11" t="b">
        <v>0</v>
      </c>
      <c r="AE3483" s="105"/>
      <c r="AF3483" s="11"/>
      <c r="AG3483" s="11"/>
      <c r="AH3483" s="11"/>
      <c r="AI3483" s="11"/>
    </row>
    <row r="3484" ht="12.5" spans="3:35">
      <c r="C3484" s="19"/>
      <c r="D3484" s="19"/>
      <c r="H3484" s="105"/>
      <c r="I3484" s="126"/>
      <c r="J3484" s="11"/>
      <c r="K3484" s="108"/>
      <c r="L3484" s="11"/>
      <c r="M3484" s="105"/>
      <c r="N3484" s="105"/>
      <c r="O3484" s="11"/>
      <c r="P3484" s="11"/>
      <c r="Q3484" s="105"/>
      <c r="R3484" s="105"/>
      <c r="S3484" s="105"/>
      <c r="T3484" s="105"/>
      <c r="U3484" s="105"/>
      <c r="V3484" s="105"/>
      <c r="W3484" s="105"/>
      <c r="X3484" s="11"/>
      <c r="Y3484" s="11"/>
      <c r="Z3484" s="105"/>
      <c r="AA3484" s="11"/>
      <c r="AB3484" s="11"/>
      <c r="AC3484" s="105"/>
      <c r="AD3484" s="11" t="b">
        <v>0</v>
      </c>
      <c r="AE3484" s="105"/>
      <c r="AF3484" s="11"/>
      <c r="AG3484" s="11"/>
      <c r="AH3484" s="11"/>
      <c r="AI3484" s="11"/>
    </row>
    <row r="3485" ht="12.5" spans="3:35">
      <c r="C3485" s="19"/>
      <c r="D3485" s="19"/>
      <c r="H3485" s="105"/>
      <c r="I3485" s="126"/>
      <c r="J3485" s="11"/>
      <c r="K3485" s="108"/>
      <c r="L3485" s="11"/>
      <c r="M3485" s="105"/>
      <c r="N3485" s="105"/>
      <c r="O3485" s="11"/>
      <c r="P3485" s="11"/>
      <c r="Q3485" s="105"/>
      <c r="R3485" s="105"/>
      <c r="S3485" s="105"/>
      <c r="T3485" s="105"/>
      <c r="U3485" s="105"/>
      <c r="V3485" s="105"/>
      <c r="W3485" s="105"/>
      <c r="X3485" s="11"/>
      <c r="Y3485" s="11"/>
      <c r="Z3485" s="105"/>
      <c r="AA3485" s="11"/>
      <c r="AB3485" s="11"/>
      <c r="AC3485" s="105"/>
      <c r="AD3485" s="11" t="b">
        <v>0</v>
      </c>
      <c r="AE3485" s="105"/>
      <c r="AF3485" s="11"/>
      <c r="AG3485" s="11"/>
      <c r="AH3485" s="11"/>
      <c r="AI3485" s="11"/>
    </row>
    <row r="3486" ht="12.5" spans="3:35">
      <c r="C3486" s="19"/>
      <c r="D3486" s="19"/>
      <c r="H3486" s="105"/>
      <c r="I3486" s="126"/>
      <c r="J3486" s="11"/>
      <c r="K3486" s="108"/>
      <c r="L3486" s="11"/>
      <c r="M3486" s="105"/>
      <c r="N3486" s="105"/>
      <c r="O3486" s="11"/>
      <c r="P3486" s="11"/>
      <c r="Q3486" s="105"/>
      <c r="R3486" s="105"/>
      <c r="S3486" s="105"/>
      <c r="T3486" s="105"/>
      <c r="U3486" s="105"/>
      <c r="V3486" s="105"/>
      <c r="W3486" s="105"/>
      <c r="X3486" s="11"/>
      <c r="Y3486" s="11"/>
      <c r="Z3486" s="105"/>
      <c r="AA3486" s="11"/>
      <c r="AB3486" s="11"/>
      <c r="AC3486" s="105"/>
      <c r="AD3486" s="11" t="b">
        <v>0</v>
      </c>
      <c r="AE3486" s="105"/>
      <c r="AF3486" s="11"/>
      <c r="AG3486" s="11"/>
      <c r="AH3486" s="11"/>
      <c r="AI3486" s="11"/>
    </row>
    <row r="3487" ht="12.5" spans="3:35">
      <c r="C3487" s="19"/>
      <c r="D3487" s="19"/>
      <c r="H3487" s="105"/>
      <c r="I3487" s="126"/>
      <c r="J3487" s="11"/>
      <c r="K3487" s="108"/>
      <c r="L3487" s="11"/>
      <c r="M3487" s="105"/>
      <c r="N3487" s="105"/>
      <c r="O3487" s="11"/>
      <c r="P3487" s="11"/>
      <c r="Q3487" s="105"/>
      <c r="R3487" s="105"/>
      <c r="S3487" s="105"/>
      <c r="T3487" s="105"/>
      <c r="U3487" s="105"/>
      <c r="V3487" s="105"/>
      <c r="W3487" s="105"/>
      <c r="X3487" s="11"/>
      <c r="Y3487" s="11"/>
      <c r="Z3487" s="105"/>
      <c r="AA3487" s="11"/>
      <c r="AB3487" s="11"/>
      <c r="AC3487" s="105"/>
      <c r="AD3487" s="11" t="b">
        <v>0</v>
      </c>
      <c r="AE3487" s="105"/>
      <c r="AF3487" s="11"/>
      <c r="AG3487" s="11"/>
      <c r="AH3487" s="11"/>
      <c r="AI3487" s="11"/>
    </row>
    <row r="3488" ht="12.5" spans="3:35">
      <c r="C3488" s="19"/>
      <c r="D3488" s="19"/>
      <c r="H3488" s="105"/>
      <c r="I3488" s="126"/>
      <c r="J3488" s="11"/>
      <c r="K3488" s="108"/>
      <c r="L3488" s="11"/>
      <c r="M3488" s="105"/>
      <c r="N3488" s="105"/>
      <c r="O3488" s="11"/>
      <c r="P3488" s="11"/>
      <c r="Q3488" s="105"/>
      <c r="R3488" s="105"/>
      <c r="S3488" s="105"/>
      <c r="T3488" s="105"/>
      <c r="U3488" s="105"/>
      <c r="V3488" s="105"/>
      <c r="W3488" s="105"/>
      <c r="X3488" s="11"/>
      <c r="Y3488" s="11"/>
      <c r="Z3488" s="105"/>
      <c r="AA3488" s="11"/>
      <c r="AB3488" s="11"/>
      <c r="AC3488" s="105"/>
      <c r="AD3488" s="11" t="b">
        <v>0</v>
      </c>
      <c r="AE3488" s="105"/>
      <c r="AF3488" s="11"/>
      <c r="AG3488" s="11"/>
      <c r="AH3488" s="11"/>
      <c r="AI3488" s="11"/>
    </row>
    <row r="3489" ht="12.5" spans="3:35">
      <c r="C3489" s="19"/>
      <c r="D3489" s="19"/>
      <c r="H3489" s="105"/>
      <c r="I3489" s="126"/>
      <c r="J3489" s="11"/>
      <c r="K3489" s="108"/>
      <c r="L3489" s="11"/>
      <c r="M3489" s="105"/>
      <c r="N3489" s="105"/>
      <c r="O3489" s="11"/>
      <c r="P3489" s="11"/>
      <c r="Q3489" s="105"/>
      <c r="R3489" s="105"/>
      <c r="S3489" s="105"/>
      <c r="T3489" s="105"/>
      <c r="U3489" s="105"/>
      <c r="V3489" s="105"/>
      <c r="W3489" s="105"/>
      <c r="X3489" s="11"/>
      <c r="Y3489" s="11"/>
      <c r="Z3489" s="105"/>
      <c r="AA3489" s="11"/>
      <c r="AB3489" s="11"/>
      <c r="AC3489" s="105"/>
      <c r="AD3489" s="11" t="b">
        <v>0</v>
      </c>
      <c r="AE3489" s="105"/>
      <c r="AF3489" s="11"/>
      <c r="AG3489" s="11"/>
      <c r="AH3489" s="11"/>
      <c r="AI3489" s="11"/>
    </row>
    <row r="3490" ht="12.5" spans="3:35">
      <c r="C3490" s="19"/>
      <c r="D3490" s="19"/>
      <c r="H3490" s="105"/>
      <c r="I3490" s="126"/>
      <c r="J3490" s="11"/>
      <c r="K3490" s="108"/>
      <c r="L3490" s="11"/>
      <c r="M3490" s="105"/>
      <c r="N3490" s="105"/>
      <c r="O3490" s="11"/>
      <c r="P3490" s="11"/>
      <c r="Q3490" s="105"/>
      <c r="R3490" s="105"/>
      <c r="S3490" s="105"/>
      <c r="T3490" s="105"/>
      <c r="U3490" s="105"/>
      <c r="V3490" s="105"/>
      <c r="W3490" s="105"/>
      <c r="X3490" s="11"/>
      <c r="Y3490" s="11"/>
      <c r="Z3490" s="105"/>
      <c r="AA3490" s="11"/>
      <c r="AB3490" s="11"/>
      <c r="AC3490" s="105"/>
      <c r="AD3490" s="11" t="b">
        <v>0</v>
      </c>
      <c r="AE3490" s="105"/>
      <c r="AF3490" s="11"/>
      <c r="AG3490" s="11"/>
      <c r="AH3490" s="11"/>
      <c r="AI3490" s="11"/>
    </row>
    <row r="3491" ht="12.5" spans="3:35">
      <c r="C3491" s="19"/>
      <c r="D3491" s="19"/>
      <c r="H3491" s="105"/>
      <c r="I3491" s="126"/>
      <c r="J3491" s="11"/>
      <c r="K3491" s="108"/>
      <c r="L3491" s="11"/>
      <c r="M3491" s="105"/>
      <c r="N3491" s="105"/>
      <c r="O3491" s="11"/>
      <c r="P3491" s="11"/>
      <c r="Q3491" s="105"/>
      <c r="R3491" s="105"/>
      <c r="S3491" s="105"/>
      <c r="T3491" s="105"/>
      <c r="U3491" s="105"/>
      <c r="V3491" s="105"/>
      <c r="W3491" s="105"/>
      <c r="X3491" s="11"/>
      <c r="Y3491" s="11"/>
      <c r="Z3491" s="105"/>
      <c r="AA3491" s="11"/>
      <c r="AB3491" s="11"/>
      <c r="AC3491" s="105"/>
      <c r="AD3491" s="11" t="b">
        <v>0</v>
      </c>
      <c r="AE3491" s="105"/>
      <c r="AF3491" s="11"/>
      <c r="AG3491" s="11"/>
      <c r="AH3491" s="11"/>
      <c r="AI3491" s="11"/>
    </row>
    <row r="3492" ht="12.5" spans="3:35">
      <c r="C3492" s="19"/>
      <c r="D3492" s="19"/>
      <c r="H3492" s="105"/>
      <c r="I3492" s="126"/>
      <c r="J3492" s="11"/>
      <c r="K3492" s="108"/>
      <c r="L3492" s="11"/>
      <c r="M3492" s="105"/>
      <c r="N3492" s="105"/>
      <c r="O3492" s="11"/>
      <c r="P3492" s="11"/>
      <c r="Q3492" s="105"/>
      <c r="R3492" s="105"/>
      <c r="S3492" s="105"/>
      <c r="T3492" s="105"/>
      <c r="U3492" s="105"/>
      <c r="V3492" s="105"/>
      <c r="W3492" s="105"/>
      <c r="X3492" s="11"/>
      <c r="Y3492" s="11"/>
      <c r="Z3492" s="105"/>
      <c r="AA3492" s="11"/>
      <c r="AB3492" s="11"/>
      <c r="AC3492" s="105"/>
      <c r="AD3492" s="11" t="b">
        <v>0</v>
      </c>
      <c r="AE3492" s="105"/>
      <c r="AF3492" s="11"/>
      <c r="AG3492" s="11"/>
      <c r="AH3492" s="11"/>
      <c r="AI3492" s="11"/>
    </row>
    <row r="3493" ht="12.5" spans="3:35">
      <c r="C3493" s="19"/>
      <c r="D3493" s="19"/>
      <c r="H3493" s="105"/>
      <c r="I3493" s="126"/>
      <c r="J3493" s="11"/>
      <c r="K3493" s="108"/>
      <c r="L3493" s="11"/>
      <c r="M3493" s="105"/>
      <c r="N3493" s="105"/>
      <c r="O3493" s="11"/>
      <c r="P3493" s="11"/>
      <c r="Q3493" s="105"/>
      <c r="R3493" s="105"/>
      <c r="S3493" s="105"/>
      <c r="T3493" s="105"/>
      <c r="U3493" s="105"/>
      <c r="V3493" s="105"/>
      <c r="W3493" s="105"/>
      <c r="X3493" s="11"/>
      <c r="Y3493" s="11"/>
      <c r="Z3493" s="105"/>
      <c r="AA3493" s="11"/>
      <c r="AB3493" s="11"/>
      <c r="AC3493" s="105"/>
      <c r="AD3493" s="11" t="b">
        <v>0</v>
      </c>
      <c r="AE3493" s="105"/>
      <c r="AF3493" s="11"/>
      <c r="AG3493" s="11"/>
      <c r="AH3493" s="11"/>
      <c r="AI3493" s="11"/>
    </row>
    <row r="3494" ht="12.5" spans="3:35">
      <c r="C3494" s="19"/>
      <c r="D3494" s="19"/>
      <c r="H3494" s="105"/>
      <c r="I3494" s="126"/>
      <c r="J3494" s="11"/>
      <c r="K3494" s="108"/>
      <c r="L3494" s="11"/>
      <c r="M3494" s="105"/>
      <c r="N3494" s="105"/>
      <c r="O3494" s="11"/>
      <c r="P3494" s="11"/>
      <c r="Q3494" s="105"/>
      <c r="R3494" s="105"/>
      <c r="S3494" s="105"/>
      <c r="T3494" s="105"/>
      <c r="U3494" s="105"/>
      <c r="V3494" s="105"/>
      <c r="W3494" s="105"/>
      <c r="X3494" s="11"/>
      <c r="Y3494" s="11"/>
      <c r="Z3494" s="105"/>
      <c r="AA3494" s="11"/>
      <c r="AB3494" s="11"/>
      <c r="AC3494" s="105"/>
      <c r="AD3494" s="11" t="b">
        <v>0</v>
      </c>
      <c r="AE3494" s="105"/>
      <c r="AF3494" s="11"/>
      <c r="AG3494" s="11"/>
      <c r="AH3494" s="11"/>
      <c r="AI3494" s="11"/>
    </row>
    <row r="3495" ht="12.5" spans="3:35">
      <c r="C3495" s="19"/>
      <c r="D3495" s="19"/>
      <c r="H3495" s="105"/>
      <c r="I3495" s="126"/>
      <c r="J3495" s="11"/>
      <c r="K3495" s="108"/>
      <c r="L3495" s="11"/>
      <c r="M3495" s="105"/>
      <c r="N3495" s="105"/>
      <c r="O3495" s="11"/>
      <c r="P3495" s="11"/>
      <c r="Q3495" s="105"/>
      <c r="R3495" s="105"/>
      <c r="S3495" s="105"/>
      <c r="T3495" s="105"/>
      <c r="U3495" s="105"/>
      <c r="V3495" s="105"/>
      <c r="W3495" s="105"/>
      <c r="X3495" s="11"/>
      <c r="Y3495" s="11"/>
      <c r="Z3495" s="105"/>
      <c r="AA3495" s="11"/>
      <c r="AB3495" s="11"/>
      <c r="AC3495" s="105"/>
      <c r="AD3495" s="11" t="b">
        <v>0</v>
      </c>
      <c r="AE3495" s="105"/>
      <c r="AF3495" s="11"/>
      <c r="AG3495" s="11"/>
      <c r="AH3495" s="11"/>
      <c r="AI3495" s="11"/>
    </row>
    <row r="3496" ht="12.5" spans="3:35">
      <c r="C3496" s="19"/>
      <c r="D3496" s="19"/>
      <c r="H3496" s="105"/>
      <c r="I3496" s="126"/>
      <c r="J3496" s="11"/>
      <c r="K3496" s="108"/>
      <c r="L3496" s="11"/>
      <c r="M3496" s="105"/>
      <c r="N3496" s="105"/>
      <c r="O3496" s="11"/>
      <c r="P3496" s="11"/>
      <c r="Q3496" s="105"/>
      <c r="R3496" s="105"/>
      <c r="S3496" s="105"/>
      <c r="T3496" s="105"/>
      <c r="U3496" s="105"/>
      <c r="V3496" s="105"/>
      <c r="W3496" s="105"/>
      <c r="X3496" s="11"/>
      <c r="Y3496" s="11"/>
      <c r="Z3496" s="105"/>
      <c r="AA3496" s="11"/>
      <c r="AB3496" s="11"/>
      <c r="AC3496" s="105"/>
      <c r="AD3496" s="11" t="b">
        <v>0</v>
      </c>
      <c r="AE3496" s="105"/>
      <c r="AF3496" s="11"/>
      <c r="AG3496" s="11"/>
      <c r="AH3496" s="11"/>
      <c r="AI3496" s="11"/>
    </row>
    <row r="3497" ht="12.5" spans="3:35">
      <c r="C3497" s="19"/>
      <c r="D3497" s="19"/>
      <c r="H3497" s="105"/>
      <c r="I3497" s="126"/>
      <c r="J3497" s="11"/>
      <c r="K3497" s="108"/>
      <c r="L3497" s="11"/>
      <c r="M3497" s="105"/>
      <c r="N3497" s="105"/>
      <c r="O3497" s="11"/>
      <c r="P3497" s="11"/>
      <c r="Q3497" s="105"/>
      <c r="R3497" s="105"/>
      <c r="S3497" s="105"/>
      <c r="T3497" s="105"/>
      <c r="U3497" s="105"/>
      <c r="V3497" s="105"/>
      <c r="W3497" s="105"/>
      <c r="X3497" s="11"/>
      <c r="Y3497" s="11"/>
      <c r="Z3497" s="105"/>
      <c r="AA3497" s="11"/>
      <c r="AB3497" s="11"/>
      <c r="AC3497" s="105"/>
      <c r="AD3497" s="11" t="b">
        <v>0</v>
      </c>
      <c r="AE3497" s="105"/>
      <c r="AF3497" s="11"/>
      <c r="AG3497" s="11"/>
      <c r="AH3497" s="11"/>
      <c r="AI3497" s="11"/>
    </row>
    <row r="3498" ht="12.5" spans="3:35">
      <c r="C3498" s="19"/>
      <c r="D3498" s="19"/>
      <c r="H3498" s="105"/>
      <c r="I3498" s="126"/>
      <c r="J3498" s="11"/>
      <c r="K3498" s="108"/>
      <c r="L3498" s="11"/>
      <c r="M3498" s="105"/>
      <c r="N3498" s="105"/>
      <c r="O3498" s="11"/>
      <c r="P3498" s="11"/>
      <c r="Q3498" s="105"/>
      <c r="R3498" s="105"/>
      <c r="S3498" s="105"/>
      <c r="T3498" s="105"/>
      <c r="U3498" s="105"/>
      <c r="V3498" s="105"/>
      <c r="W3498" s="105"/>
      <c r="X3498" s="11"/>
      <c r="Y3498" s="11"/>
      <c r="Z3498" s="105"/>
      <c r="AA3498" s="11"/>
      <c r="AB3498" s="11"/>
      <c r="AC3498" s="105"/>
      <c r="AD3498" s="11" t="b">
        <v>0</v>
      </c>
      <c r="AE3498" s="105"/>
      <c r="AF3498" s="11"/>
      <c r="AG3498" s="11"/>
      <c r="AH3498" s="11"/>
      <c r="AI3498" s="11"/>
    </row>
    <row r="3499" ht="12.5" spans="3:35">
      <c r="C3499" s="19"/>
      <c r="D3499" s="19"/>
      <c r="H3499" s="105"/>
      <c r="I3499" s="126"/>
      <c r="J3499" s="11"/>
      <c r="K3499" s="108"/>
      <c r="L3499" s="11"/>
      <c r="M3499" s="105"/>
      <c r="N3499" s="105"/>
      <c r="O3499" s="11"/>
      <c r="P3499" s="11"/>
      <c r="Q3499" s="105"/>
      <c r="R3499" s="105"/>
      <c r="S3499" s="105"/>
      <c r="T3499" s="105"/>
      <c r="U3499" s="105"/>
      <c r="V3499" s="105"/>
      <c r="W3499" s="105"/>
      <c r="X3499" s="11"/>
      <c r="Y3499" s="11"/>
      <c r="Z3499" s="105"/>
      <c r="AA3499" s="11"/>
      <c r="AB3499" s="11"/>
      <c r="AC3499" s="105"/>
      <c r="AD3499" s="11" t="b">
        <v>0</v>
      </c>
      <c r="AE3499" s="105"/>
      <c r="AF3499" s="11"/>
      <c r="AG3499" s="11"/>
      <c r="AH3499" s="11"/>
      <c r="AI3499" s="11"/>
    </row>
    <row r="3500" ht="12.5" spans="3:35">
      <c r="C3500" s="19"/>
      <c r="D3500" s="19"/>
      <c r="H3500" s="105"/>
      <c r="I3500" s="126"/>
      <c r="J3500" s="11"/>
      <c r="K3500" s="108"/>
      <c r="L3500" s="11"/>
      <c r="M3500" s="105"/>
      <c r="N3500" s="105"/>
      <c r="O3500" s="11"/>
      <c r="P3500" s="11"/>
      <c r="Q3500" s="105"/>
      <c r="R3500" s="105"/>
      <c r="S3500" s="105"/>
      <c r="T3500" s="105"/>
      <c r="U3500" s="105"/>
      <c r="V3500" s="105"/>
      <c r="W3500" s="105"/>
      <c r="X3500" s="11"/>
      <c r="Y3500" s="11"/>
      <c r="Z3500" s="105"/>
      <c r="AA3500" s="11"/>
      <c r="AB3500" s="11"/>
      <c r="AC3500" s="105"/>
      <c r="AD3500" s="11" t="b">
        <v>0</v>
      </c>
      <c r="AE3500" s="105"/>
      <c r="AF3500" s="11"/>
      <c r="AG3500" s="11"/>
      <c r="AH3500" s="11"/>
      <c r="AI3500" s="11"/>
    </row>
    <row r="3501" ht="12.5" spans="3:35">
      <c r="C3501" s="19"/>
      <c r="D3501" s="19"/>
      <c r="H3501" s="105"/>
      <c r="I3501" s="126"/>
      <c r="J3501" s="11"/>
      <c r="K3501" s="108"/>
      <c r="L3501" s="11"/>
      <c r="M3501" s="105"/>
      <c r="N3501" s="105"/>
      <c r="O3501" s="11"/>
      <c r="P3501" s="11"/>
      <c r="Q3501" s="105"/>
      <c r="R3501" s="105"/>
      <c r="S3501" s="105"/>
      <c r="T3501" s="105"/>
      <c r="U3501" s="105"/>
      <c r="V3501" s="105"/>
      <c r="W3501" s="105"/>
      <c r="X3501" s="11"/>
      <c r="Y3501" s="11"/>
      <c r="Z3501" s="105"/>
      <c r="AA3501" s="11"/>
      <c r="AB3501" s="11"/>
      <c r="AC3501" s="105"/>
      <c r="AD3501" s="11" t="b">
        <v>0</v>
      </c>
      <c r="AE3501" s="105"/>
      <c r="AF3501" s="11"/>
      <c r="AG3501" s="11"/>
      <c r="AH3501" s="11"/>
      <c r="AI3501" s="11"/>
    </row>
    <row r="3502" ht="12.5" spans="3:35">
      <c r="C3502" s="19"/>
      <c r="D3502" s="19"/>
      <c r="H3502" s="105"/>
      <c r="I3502" s="126"/>
      <c r="J3502" s="11"/>
      <c r="K3502" s="108"/>
      <c r="L3502" s="11"/>
      <c r="M3502" s="105"/>
      <c r="N3502" s="105"/>
      <c r="O3502" s="11"/>
      <c r="P3502" s="11"/>
      <c r="Q3502" s="105"/>
      <c r="R3502" s="105"/>
      <c r="S3502" s="105"/>
      <c r="T3502" s="105"/>
      <c r="U3502" s="105"/>
      <c r="V3502" s="105"/>
      <c r="W3502" s="105"/>
      <c r="X3502" s="11"/>
      <c r="Y3502" s="11"/>
      <c r="Z3502" s="105"/>
      <c r="AA3502" s="11"/>
      <c r="AB3502" s="11"/>
      <c r="AC3502" s="105"/>
      <c r="AD3502" s="11" t="b">
        <v>0</v>
      </c>
      <c r="AE3502" s="105"/>
      <c r="AF3502" s="11"/>
      <c r="AG3502" s="11"/>
      <c r="AH3502" s="11"/>
      <c r="AI3502" s="11"/>
    </row>
    <row r="3503" ht="12.5" spans="3:35">
      <c r="C3503" s="19"/>
      <c r="D3503" s="19"/>
      <c r="H3503" s="105"/>
      <c r="I3503" s="126"/>
      <c r="J3503" s="11"/>
      <c r="K3503" s="108"/>
      <c r="L3503" s="11"/>
      <c r="M3503" s="105"/>
      <c r="N3503" s="105"/>
      <c r="O3503" s="11"/>
      <c r="P3503" s="11"/>
      <c r="Q3503" s="105"/>
      <c r="R3503" s="105"/>
      <c r="S3503" s="105"/>
      <c r="T3503" s="105"/>
      <c r="U3503" s="105"/>
      <c r="V3503" s="105"/>
      <c r="W3503" s="105"/>
      <c r="X3503" s="11"/>
      <c r="Y3503" s="11"/>
      <c r="Z3503" s="105"/>
      <c r="AA3503" s="11"/>
      <c r="AB3503" s="11"/>
      <c r="AC3503" s="105"/>
      <c r="AD3503" s="11" t="b">
        <v>0</v>
      </c>
      <c r="AE3503" s="105"/>
      <c r="AF3503" s="11"/>
      <c r="AG3503" s="11"/>
      <c r="AH3503" s="11"/>
      <c r="AI3503" s="11"/>
    </row>
    <row r="3504" ht="12.5" spans="3:35">
      <c r="C3504" s="19"/>
      <c r="D3504" s="19"/>
      <c r="H3504" s="105"/>
      <c r="I3504" s="126"/>
      <c r="J3504" s="11"/>
      <c r="K3504" s="108"/>
      <c r="L3504" s="11"/>
      <c r="M3504" s="105"/>
      <c r="N3504" s="105"/>
      <c r="O3504" s="11"/>
      <c r="P3504" s="11"/>
      <c r="Q3504" s="105"/>
      <c r="R3504" s="105"/>
      <c r="S3504" s="105"/>
      <c r="T3504" s="105"/>
      <c r="U3504" s="105"/>
      <c r="V3504" s="105"/>
      <c r="W3504" s="105"/>
      <c r="X3504" s="11"/>
      <c r="Y3504" s="11"/>
      <c r="Z3504" s="105"/>
      <c r="AA3504" s="11"/>
      <c r="AB3504" s="11"/>
      <c r="AC3504" s="105"/>
      <c r="AD3504" s="11" t="b">
        <v>0</v>
      </c>
      <c r="AE3504" s="105"/>
      <c r="AF3504" s="11"/>
      <c r="AG3504" s="11"/>
      <c r="AH3504" s="11"/>
      <c r="AI3504" s="11"/>
    </row>
    <row r="3505" ht="12.5" spans="3:35">
      <c r="C3505" s="19"/>
      <c r="D3505" s="19"/>
      <c r="H3505" s="105"/>
      <c r="I3505" s="126"/>
      <c r="J3505" s="11"/>
      <c r="K3505" s="108"/>
      <c r="L3505" s="11"/>
      <c r="M3505" s="105"/>
      <c r="N3505" s="105"/>
      <c r="O3505" s="11"/>
      <c r="P3505" s="11"/>
      <c r="Q3505" s="105"/>
      <c r="R3505" s="105"/>
      <c r="S3505" s="105"/>
      <c r="T3505" s="105"/>
      <c r="U3505" s="105"/>
      <c r="V3505" s="105"/>
      <c r="W3505" s="105"/>
      <c r="X3505" s="11"/>
      <c r="Y3505" s="11"/>
      <c r="Z3505" s="105"/>
      <c r="AA3505" s="11"/>
      <c r="AB3505" s="11"/>
      <c r="AC3505" s="105"/>
      <c r="AD3505" s="11" t="b">
        <v>0</v>
      </c>
      <c r="AE3505" s="105"/>
      <c r="AF3505" s="11"/>
      <c r="AG3505" s="11"/>
      <c r="AH3505" s="11"/>
      <c r="AI3505" s="11"/>
    </row>
    <row r="3506" ht="12.5" spans="3:35">
      <c r="C3506" s="19"/>
      <c r="D3506" s="19"/>
      <c r="H3506" s="105"/>
      <c r="I3506" s="126"/>
      <c r="J3506" s="11"/>
      <c r="K3506" s="108"/>
      <c r="L3506" s="11"/>
      <c r="M3506" s="105"/>
      <c r="N3506" s="105"/>
      <c r="O3506" s="11"/>
      <c r="P3506" s="11"/>
      <c r="Q3506" s="105"/>
      <c r="R3506" s="105"/>
      <c r="S3506" s="105"/>
      <c r="T3506" s="105"/>
      <c r="U3506" s="105"/>
      <c r="V3506" s="105"/>
      <c r="W3506" s="105"/>
      <c r="X3506" s="11"/>
      <c r="Y3506" s="11"/>
      <c r="Z3506" s="105"/>
      <c r="AA3506" s="11"/>
      <c r="AB3506" s="11"/>
      <c r="AC3506" s="105"/>
      <c r="AD3506" s="11" t="b">
        <v>0</v>
      </c>
      <c r="AE3506" s="105"/>
      <c r="AF3506" s="11"/>
      <c r="AG3506" s="11"/>
      <c r="AH3506" s="11"/>
      <c r="AI3506" s="11"/>
    </row>
    <row r="3507" ht="12.5" spans="3:35">
      <c r="C3507" s="19"/>
      <c r="D3507" s="19"/>
      <c r="H3507" s="105"/>
      <c r="I3507" s="126"/>
      <c r="J3507" s="11"/>
      <c r="K3507" s="108"/>
      <c r="L3507" s="11"/>
      <c r="M3507" s="105"/>
      <c r="N3507" s="105"/>
      <c r="O3507" s="11"/>
      <c r="P3507" s="11"/>
      <c r="Q3507" s="105"/>
      <c r="R3507" s="105"/>
      <c r="S3507" s="105"/>
      <c r="T3507" s="105"/>
      <c r="U3507" s="105"/>
      <c r="V3507" s="105"/>
      <c r="W3507" s="105"/>
      <c r="X3507" s="11"/>
      <c r="Y3507" s="11"/>
      <c r="Z3507" s="105"/>
      <c r="AA3507" s="11"/>
      <c r="AB3507" s="11"/>
      <c r="AC3507" s="105"/>
      <c r="AD3507" s="11" t="b">
        <v>0</v>
      </c>
      <c r="AE3507" s="105"/>
      <c r="AF3507" s="11"/>
      <c r="AG3507" s="11"/>
      <c r="AH3507" s="11"/>
      <c r="AI3507" s="11"/>
    </row>
    <row r="3508" ht="12.5" spans="3:35">
      <c r="C3508" s="19"/>
      <c r="D3508" s="19"/>
      <c r="H3508" s="105"/>
      <c r="I3508" s="126"/>
      <c r="J3508" s="11"/>
      <c r="K3508" s="108"/>
      <c r="L3508" s="11"/>
      <c r="M3508" s="105"/>
      <c r="N3508" s="105"/>
      <c r="O3508" s="11"/>
      <c r="P3508" s="11"/>
      <c r="Q3508" s="105"/>
      <c r="R3508" s="105"/>
      <c r="S3508" s="105"/>
      <c r="T3508" s="105"/>
      <c r="U3508" s="105"/>
      <c r="V3508" s="105"/>
      <c r="W3508" s="105"/>
      <c r="X3508" s="11"/>
      <c r="Y3508" s="11"/>
      <c r="Z3508" s="105"/>
      <c r="AA3508" s="11"/>
      <c r="AB3508" s="11"/>
      <c r="AC3508" s="105"/>
      <c r="AD3508" s="11" t="b">
        <v>0</v>
      </c>
      <c r="AE3508" s="105"/>
      <c r="AF3508" s="11"/>
      <c r="AG3508" s="11"/>
      <c r="AH3508" s="11"/>
      <c r="AI3508" s="11"/>
    </row>
    <row r="3509" ht="12.5" spans="3:35">
      <c r="C3509" s="19"/>
      <c r="D3509" s="19"/>
      <c r="H3509" s="105"/>
      <c r="I3509" s="126"/>
      <c r="J3509" s="11"/>
      <c r="K3509" s="108"/>
      <c r="L3509" s="11"/>
      <c r="M3509" s="105"/>
      <c r="N3509" s="105"/>
      <c r="O3509" s="11"/>
      <c r="P3509" s="11"/>
      <c r="Q3509" s="105"/>
      <c r="R3509" s="105"/>
      <c r="S3509" s="105"/>
      <c r="T3509" s="105"/>
      <c r="U3509" s="105"/>
      <c r="V3509" s="105"/>
      <c r="W3509" s="105"/>
      <c r="X3509" s="11"/>
      <c r="Y3509" s="11"/>
      <c r="Z3509" s="105"/>
      <c r="AA3509" s="11"/>
      <c r="AB3509" s="11"/>
      <c r="AC3509" s="105"/>
      <c r="AD3509" s="11" t="b">
        <v>0</v>
      </c>
      <c r="AE3509" s="105"/>
      <c r="AF3509" s="11"/>
      <c r="AG3509" s="11"/>
      <c r="AH3509" s="11"/>
      <c r="AI3509" s="11"/>
    </row>
    <row r="3510" ht="12.5" spans="3:35">
      <c r="C3510" s="19"/>
      <c r="D3510" s="19"/>
      <c r="H3510" s="105"/>
      <c r="I3510" s="126"/>
      <c r="J3510" s="11"/>
      <c r="K3510" s="108"/>
      <c r="L3510" s="11"/>
      <c r="M3510" s="105"/>
      <c r="N3510" s="105"/>
      <c r="O3510" s="11"/>
      <c r="P3510" s="11"/>
      <c r="Q3510" s="105"/>
      <c r="R3510" s="105"/>
      <c r="S3510" s="105"/>
      <c r="T3510" s="105"/>
      <c r="U3510" s="105"/>
      <c r="V3510" s="105"/>
      <c r="W3510" s="105"/>
      <c r="X3510" s="11"/>
      <c r="Y3510" s="11"/>
      <c r="Z3510" s="105"/>
      <c r="AA3510" s="11"/>
      <c r="AB3510" s="11"/>
      <c r="AC3510" s="105"/>
      <c r="AD3510" s="11" t="b">
        <v>0</v>
      </c>
      <c r="AE3510" s="105"/>
      <c r="AF3510" s="11"/>
      <c r="AG3510" s="11"/>
      <c r="AH3510" s="11"/>
      <c r="AI3510" s="11"/>
    </row>
    <row r="3511" ht="12.5" spans="3:35">
      <c r="C3511" s="19"/>
      <c r="D3511" s="19"/>
      <c r="H3511" s="105"/>
      <c r="I3511" s="126"/>
      <c r="J3511" s="11"/>
      <c r="K3511" s="108"/>
      <c r="L3511" s="11"/>
      <c r="M3511" s="105"/>
      <c r="N3511" s="105"/>
      <c r="O3511" s="11"/>
      <c r="P3511" s="11"/>
      <c r="Q3511" s="105"/>
      <c r="R3511" s="105"/>
      <c r="S3511" s="105"/>
      <c r="T3511" s="105"/>
      <c r="U3511" s="105"/>
      <c r="V3511" s="105"/>
      <c r="W3511" s="105"/>
      <c r="X3511" s="11"/>
      <c r="Y3511" s="11"/>
      <c r="Z3511" s="105"/>
      <c r="AA3511" s="11"/>
      <c r="AB3511" s="11"/>
      <c r="AC3511" s="105"/>
      <c r="AD3511" s="11" t="b">
        <v>0</v>
      </c>
      <c r="AE3511" s="105"/>
      <c r="AF3511" s="11"/>
      <c r="AG3511" s="11"/>
      <c r="AH3511" s="11"/>
      <c r="AI3511" s="11"/>
    </row>
    <row r="3512" ht="12.5" spans="3:35">
      <c r="C3512" s="19"/>
      <c r="D3512" s="19"/>
      <c r="H3512" s="105"/>
      <c r="I3512" s="126"/>
      <c r="J3512" s="11"/>
      <c r="K3512" s="108"/>
      <c r="L3512" s="11"/>
      <c r="M3512" s="105"/>
      <c r="N3512" s="105"/>
      <c r="O3512" s="11"/>
      <c r="P3512" s="11"/>
      <c r="Q3512" s="105"/>
      <c r="R3512" s="105"/>
      <c r="S3512" s="105"/>
      <c r="T3512" s="105"/>
      <c r="U3512" s="105"/>
      <c r="V3512" s="105"/>
      <c r="W3512" s="105"/>
      <c r="X3512" s="11"/>
      <c r="Y3512" s="11"/>
      <c r="Z3512" s="105"/>
      <c r="AA3512" s="11"/>
      <c r="AB3512" s="11"/>
      <c r="AC3512" s="105"/>
      <c r="AD3512" s="11" t="b">
        <v>0</v>
      </c>
      <c r="AE3512" s="105"/>
      <c r="AF3512" s="11"/>
      <c r="AG3512" s="11"/>
      <c r="AH3512" s="11"/>
      <c r="AI3512" s="11"/>
    </row>
    <row r="3513" ht="12.5" spans="3:35">
      <c r="C3513" s="19"/>
      <c r="D3513" s="19"/>
      <c r="H3513" s="105"/>
      <c r="I3513" s="126"/>
      <c r="J3513" s="11"/>
      <c r="K3513" s="108"/>
      <c r="L3513" s="11"/>
      <c r="M3513" s="105"/>
      <c r="N3513" s="105"/>
      <c r="O3513" s="11"/>
      <c r="P3513" s="11"/>
      <c r="Q3513" s="105"/>
      <c r="R3513" s="105"/>
      <c r="S3513" s="105"/>
      <c r="T3513" s="105"/>
      <c r="U3513" s="105"/>
      <c r="V3513" s="105"/>
      <c r="W3513" s="105"/>
      <c r="X3513" s="11"/>
      <c r="Y3513" s="11"/>
      <c r="Z3513" s="105"/>
      <c r="AA3513" s="11"/>
      <c r="AB3513" s="11"/>
      <c r="AC3513" s="105"/>
      <c r="AD3513" s="11" t="b">
        <v>0</v>
      </c>
      <c r="AE3513" s="105"/>
      <c r="AF3513" s="11"/>
      <c r="AG3513" s="11"/>
      <c r="AH3513" s="11"/>
      <c r="AI3513" s="11"/>
    </row>
    <row r="3514" ht="12.5" spans="3:35">
      <c r="C3514" s="19"/>
      <c r="D3514" s="19"/>
      <c r="H3514" s="105"/>
      <c r="I3514" s="126"/>
      <c r="J3514" s="11"/>
      <c r="K3514" s="108"/>
      <c r="L3514" s="11"/>
      <c r="M3514" s="105"/>
      <c r="N3514" s="105"/>
      <c r="O3514" s="11"/>
      <c r="P3514" s="11"/>
      <c r="Q3514" s="105"/>
      <c r="R3514" s="105"/>
      <c r="S3514" s="105"/>
      <c r="T3514" s="105"/>
      <c r="U3514" s="105"/>
      <c r="V3514" s="105"/>
      <c r="W3514" s="105"/>
      <c r="X3514" s="11"/>
      <c r="Y3514" s="11"/>
      <c r="Z3514" s="105"/>
      <c r="AA3514" s="11"/>
      <c r="AB3514" s="11"/>
      <c r="AC3514" s="105"/>
      <c r="AD3514" s="11" t="b">
        <v>0</v>
      </c>
      <c r="AE3514" s="105"/>
      <c r="AF3514" s="11"/>
      <c r="AG3514" s="11"/>
      <c r="AH3514" s="11"/>
      <c r="AI3514" s="11"/>
    </row>
    <row r="3515" ht="12.5" spans="3:35">
      <c r="C3515" s="19"/>
      <c r="D3515" s="19"/>
      <c r="H3515" s="105"/>
      <c r="I3515" s="126"/>
      <c r="J3515" s="11"/>
      <c r="K3515" s="108"/>
      <c r="L3515" s="11"/>
      <c r="M3515" s="105"/>
      <c r="N3515" s="105"/>
      <c r="O3515" s="11"/>
      <c r="P3515" s="11"/>
      <c r="Q3515" s="105"/>
      <c r="R3515" s="105"/>
      <c r="S3515" s="105"/>
      <c r="T3515" s="105"/>
      <c r="U3515" s="105"/>
      <c r="V3515" s="105"/>
      <c r="W3515" s="105"/>
      <c r="X3515" s="11"/>
      <c r="Y3515" s="11"/>
      <c r="Z3515" s="105"/>
      <c r="AA3515" s="11"/>
      <c r="AB3515" s="11"/>
      <c r="AC3515" s="105"/>
      <c r="AD3515" s="11" t="b">
        <v>0</v>
      </c>
      <c r="AE3515" s="105"/>
      <c r="AF3515" s="11"/>
      <c r="AG3515" s="11"/>
      <c r="AH3515" s="11"/>
      <c r="AI3515" s="11"/>
    </row>
    <row r="3516" ht="12.5" spans="3:35">
      <c r="C3516" s="19"/>
      <c r="D3516" s="19"/>
      <c r="H3516" s="105"/>
      <c r="I3516" s="126"/>
      <c r="J3516" s="11"/>
      <c r="K3516" s="108"/>
      <c r="L3516" s="11"/>
      <c r="M3516" s="105"/>
      <c r="N3516" s="105"/>
      <c r="O3516" s="11"/>
      <c r="P3516" s="11"/>
      <c r="Q3516" s="105"/>
      <c r="R3516" s="105"/>
      <c r="S3516" s="105"/>
      <c r="T3516" s="105"/>
      <c r="U3516" s="105"/>
      <c r="V3516" s="105"/>
      <c r="W3516" s="105"/>
      <c r="X3516" s="11"/>
      <c r="Y3516" s="11"/>
      <c r="Z3516" s="105"/>
      <c r="AA3516" s="11"/>
      <c r="AB3516" s="11"/>
      <c r="AC3516" s="105"/>
      <c r="AD3516" s="11" t="b">
        <v>0</v>
      </c>
      <c r="AE3516" s="105"/>
      <c r="AF3516" s="11"/>
      <c r="AG3516" s="11"/>
      <c r="AH3516" s="11"/>
      <c r="AI3516" s="11"/>
    </row>
    <row r="3517" ht="12.5" spans="3:35">
      <c r="C3517" s="19"/>
      <c r="D3517" s="19"/>
      <c r="H3517" s="105"/>
      <c r="I3517" s="126"/>
      <c r="J3517" s="11"/>
      <c r="K3517" s="108"/>
      <c r="L3517" s="11"/>
      <c r="M3517" s="105"/>
      <c r="N3517" s="105"/>
      <c r="O3517" s="11"/>
      <c r="P3517" s="11"/>
      <c r="Q3517" s="105"/>
      <c r="R3517" s="105"/>
      <c r="S3517" s="105"/>
      <c r="T3517" s="105"/>
      <c r="U3517" s="105"/>
      <c r="V3517" s="105"/>
      <c r="W3517" s="105"/>
      <c r="X3517" s="11"/>
      <c r="Y3517" s="11"/>
      <c r="Z3517" s="105"/>
      <c r="AA3517" s="11"/>
      <c r="AB3517" s="11"/>
      <c r="AC3517" s="105"/>
      <c r="AD3517" s="11" t="b">
        <v>0</v>
      </c>
      <c r="AE3517" s="105"/>
      <c r="AF3517" s="11"/>
      <c r="AG3517" s="11"/>
      <c r="AH3517" s="11"/>
      <c r="AI3517" s="11"/>
    </row>
    <row r="3518" ht="12.5" spans="3:35">
      <c r="C3518" s="19"/>
      <c r="D3518" s="19"/>
      <c r="H3518" s="105"/>
      <c r="I3518" s="126"/>
      <c r="J3518" s="11"/>
      <c r="K3518" s="108"/>
      <c r="L3518" s="11"/>
      <c r="M3518" s="105"/>
      <c r="N3518" s="105"/>
      <c r="O3518" s="11"/>
      <c r="P3518" s="11"/>
      <c r="Q3518" s="105"/>
      <c r="R3518" s="105"/>
      <c r="S3518" s="105"/>
      <c r="T3518" s="105"/>
      <c r="U3518" s="105"/>
      <c r="V3518" s="105"/>
      <c r="W3518" s="105"/>
      <c r="X3518" s="11"/>
      <c r="Y3518" s="11"/>
      <c r="Z3518" s="105"/>
      <c r="AA3518" s="11"/>
      <c r="AB3518" s="11"/>
      <c r="AC3518" s="105"/>
      <c r="AD3518" s="11" t="b">
        <v>0</v>
      </c>
      <c r="AE3518" s="105"/>
      <c r="AF3518" s="11"/>
      <c r="AG3518" s="11"/>
      <c r="AH3518" s="11"/>
      <c r="AI3518" s="11"/>
    </row>
    <row r="3519" ht="12.5" spans="3:35">
      <c r="C3519" s="19"/>
      <c r="D3519" s="19"/>
      <c r="H3519" s="105"/>
      <c r="I3519" s="126"/>
      <c r="J3519" s="11"/>
      <c r="K3519" s="108"/>
      <c r="L3519" s="11"/>
      <c r="M3519" s="105"/>
      <c r="N3519" s="105"/>
      <c r="O3519" s="11"/>
      <c r="P3519" s="11"/>
      <c r="Q3519" s="105"/>
      <c r="R3519" s="105"/>
      <c r="S3519" s="105"/>
      <c r="T3519" s="105"/>
      <c r="U3519" s="105"/>
      <c r="V3519" s="105"/>
      <c r="W3519" s="105"/>
      <c r="X3519" s="11"/>
      <c r="Y3519" s="11"/>
      <c r="Z3519" s="105"/>
      <c r="AA3519" s="11"/>
      <c r="AB3519" s="11"/>
      <c r="AC3519" s="105"/>
      <c r="AD3519" s="11" t="b">
        <v>0</v>
      </c>
      <c r="AE3519" s="105"/>
      <c r="AF3519" s="11"/>
      <c r="AG3519" s="11"/>
      <c r="AH3519" s="11"/>
      <c r="AI3519" s="11"/>
    </row>
    <row r="3520" ht="12.5" spans="3:35">
      <c r="C3520" s="19"/>
      <c r="D3520" s="19"/>
      <c r="H3520" s="105"/>
      <c r="I3520" s="126"/>
      <c r="J3520" s="11"/>
      <c r="K3520" s="108"/>
      <c r="L3520" s="11"/>
      <c r="M3520" s="105"/>
      <c r="N3520" s="105"/>
      <c r="O3520" s="11"/>
      <c r="P3520" s="11"/>
      <c r="Q3520" s="105"/>
      <c r="R3520" s="105"/>
      <c r="S3520" s="105"/>
      <c r="T3520" s="105"/>
      <c r="U3520" s="105"/>
      <c r="V3520" s="105"/>
      <c r="W3520" s="105"/>
      <c r="X3520" s="11"/>
      <c r="Y3520" s="11"/>
      <c r="Z3520" s="105"/>
      <c r="AA3520" s="11"/>
      <c r="AB3520" s="11"/>
      <c r="AC3520" s="105"/>
      <c r="AD3520" s="11" t="b">
        <v>0</v>
      </c>
      <c r="AE3520" s="105"/>
      <c r="AF3520" s="11"/>
      <c r="AG3520" s="11"/>
      <c r="AH3520" s="11"/>
      <c r="AI3520" s="11"/>
    </row>
    <row r="3521" ht="12.5" spans="3:35">
      <c r="C3521" s="19"/>
      <c r="D3521" s="19"/>
      <c r="H3521" s="105"/>
      <c r="I3521" s="126"/>
      <c r="J3521" s="11"/>
      <c r="K3521" s="108"/>
      <c r="L3521" s="11"/>
      <c r="M3521" s="105"/>
      <c r="N3521" s="105"/>
      <c r="O3521" s="11"/>
      <c r="P3521" s="11"/>
      <c r="Q3521" s="105"/>
      <c r="R3521" s="105"/>
      <c r="S3521" s="105"/>
      <c r="T3521" s="105"/>
      <c r="U3521" s="105"/>
      <c r="V3521" s="105"/>
      <c r="W3521" s="105"/>
      <c r="X3521" s="11"/>
      <c r="Y3521" s="11"/>
      <c r="Z3521" s="105"/>
      <c r="AA3521" s="11"/>
      <c r="AB3521" s="11"/>
      <c r="AC3521" s="105"/>
      <c r="AD3521" s="11" t="b">
        <v>0</v>
      </c>
      <c r="AE3521" s="105"/>
      <c r="AF3521" s="11"/>
      <c r="AG3521" s="11"/>
      <c r="AH3521" s="11"/>
      <c r="AI3521" s="11"/>
    </row>
    <row r="3522" ht="12.5" spans="3:35">
      <c r="C3522" s="19"/>
      <c r="D3522" s="19"/>
      <c r="H3522" s="105"/>
      <c r="I3522" s="126"/>
      <c r="J3522" s="11"/>
      <c r="K3522" s="108"/>
      <c r="L3522" s="11"/>
      <c r="M3522" s="105"/>
      <c r="N3522" s="105"/>
      <c r="O3522" s="11"/>
      <c r="P3522" s="11"/>
      <c r="Q3522" s="105"/>
      <c r="R3522" s="105"/>
      <c r="S3522" s="105"/>
      <c r="T3522" s="105"/>
      <c r="U3522" s="105"/>
      <c r="V3522" s="105"/>
      <c r="W3522" s="105"/>
      <c r="X3522" s="11"/>
      <c r="Y3522" s="11"/>
      <c r="Z3522" s="105"/>
      <c r="AA3522" s="11"/>
      <c r="AB3522" s="11"/>
      <c r="AC3522" s="105"/>
      <c r="AD3522" s="11" t="b">
        <v>0</v>
      </c>
      <c r="AE3522" s="105"/>
      <c r="AF3522" s="11"/>
      <c r="AG3522" s="11"/>
      <c r="AH3522" s="11"/>
      <c r="AI3522" s="11"/>
    </row>
    <row r="3523" ht="12.5" spans="3:35">
      <c r="C3523" s="19"/>
      <c r="D3523" s="19"/>
      <c r="H3523" s="105"/>
      <c r="I3523" s="126"/>
      <c r="J3523" s="11"/>
      <c r="K3523" s="108"/>
      <c r="L3523" s="11"/>
      <c r="M3523" s="105"/>
      <c r="N3523" s="105"/>
      <c r="O3523" s="11"/>
      <c r="P3523" s="11"/>
      <c r="Q3523" s="105"/>
      <c r="R3523" s="105"/>
      <c r="S3523" s="105"/>
      <c r="T3523" s="105"/>
      <c r="U3523" s="105"/>
      <c r="V3523" s="105"/>
      <c r="W3523" s="105"/>
      <c r="X3523" s="11"/>
      <c r="Y3523" s="11"/>
      <c r="Z3523" s="105"/>
      <c r="AA3523" s="11"/>
      <c r="AB3523" s="11"/>
      <c r="AC3523" s="105"/>
      <c r="AD3523" s="11" t="b">
        <v>0</v>
      </c>
      <c r="AE3523" s="105"/>
      <c r="AF3523" s="11"/>
      <c r="AG3523" s="11"/>
      <c r="AH3523" s="11"/>
      <c r="AI3523" s="11"/>
    </row>
    <row r="3524" ht="12.5" spans="3:35">
      <c r="C3524" s="19"/>
      <c r="D3524" s="19"/>
      <c r="H3524" s="105"/>
      <c r="I3524" s="126"/>
      <c r="J3524" s="11"/>
      <c r="K3524" s="108"/>
      <c r="L3524" s="11"/>
      <c r="M3524" s="105"/>
      <c r="N3524" s="105"/>
      <c r="O3524" s="11"/>
      <c r="P3524" s="11"/>
      <c r="Q3524" s="105"/>
      <c r="R3524" s="105"/>
      <c r="S3524" s="105"/>
      <c r="T3524" s="105"/>
      <c r="U3524" s="105"/>
      <c r="V3524" s="105"/>
      <c r="W3524" s="105"/>
      <c r="X3524" s="11"/>
      <c r="Y3524" s="11"/>
      <c r="Z3524" s="105"/>
      <c r="AA3524" s="11"/>
      <c r="AB3524" s="11"/>
      <c r="AC3524" s="105"/>
      <c r="AD3524" s="11" t="b">
        <v>0</v>
      </c>
      <c r="AE3524" s="105"/>
      <c r="AF3524" s="11"/>
      <c r="AG3524" s="11"/>
      <c r="AH3524" s="11"/>
      <c r="AI3524" s="11"/>
    </row>
    <row r="3525" ht="12.5" spans="3:35">
      <c r="C3525" s="19"/>
      <c r="D3525" s="19"/>
      <c r="H3525" s="105"/>
      <c r="I3525" s="126"/>
      <c r="J3525" s="11"/>
      <c r="K3525" s="108"/>
      <c r="L3525" s="11"/>
      <c r="M3525" s="105"/>
      <c r="N3525" s="105"/>
      <c r="O3525" s="11"/>
      <c r="P3525" s="11"/>
      <c r="Q3525" s="105"/>
      <c r="R3525" s="105"/>
      <c r="S3525" s="105"/>
      <c r="T3525" s="105"/>
      <c r="U3525" s="105"/>
      <c r="V3525" s="105"/>
      <c r="W3525" s="105"/>
      <c r="X3525" s="11"/>
      <c r="Y3525" s="11"/>
      <c r="Z3525" s="105"/>
      <c r="AA3525" s="11"/>
      <c r="AB3525" s="11"/>
      <c r="AC3525" s="105"/>
      <c r="AD3525" s="11" t="b">
        <v>0</v>
      </c>
      <c r="AE3525" s="105"/>
      <c r="AF3525" s="11"/>
      <c r="AG3525" s="11"/>
      <c r="AH3525" s="11"/>
      <c r="AI3525" s="11"/>
    </row>
    <row r="3526" ht="12.5" spans="3:35">
      <c r="C3526" s="19"/>
      <c r="D3526" s="19"/>
      <c r="H3526" s="105"/>
      <c r="I3526" s="126"/>
      <c r="J3526" s="11"/>
      <c r="K3526" s="108"/>
      <c r="L3526" s="11"/>
      <c r="M3526" s="105"/>
      <c r="N3526" s="105"/>
      <c r="O3526" s="11"/>
      <c r="P3526" s="11"/>
      <c r="Q3526" s="105"/>
      <c r="R3526" s="105"/>
      <c r="S3526" s="105"/>
      <c r="T3526" s="105"/>
      <c r="U3526" s="105"/>
      <c r="V3526" s="105"/>
      <c r="W3526" s="105"/>
      <c r="X3526" s="11"/>
      <c r="Y3526" s="11"/>
      <c r="Z3526" s="105"/>
      <c r="AA3526" s="11"/>
      <c r="AB3526" s="11"/>
      <c r="AC3526" s="105"/>
      <c r="AD3526" s="11" t="b">
        <v>0</v>
      </c>
      <c r="AE3526" s="105"/>
      <c r="AF3526" s="11"/>
      <c r="AG3526" s="11"/>
      <c r="AH3526" s="11"/>
      <c r="AI3526" s="11"/>
    </row>
    <row r="3527" ht="12.5" spans="3:35">
      <c r="C3527" s="19"/>
      <c r="D3527" s="19"/>
      <c r="H3527" s="105"/>
      <c r="I3527" s="126"/>
      <c r="J3527" s="11"/>
      <c r="K3527" s="108"/>
      <c r="L3527" s="11"/>
      <c r="M3527" s="105"/>
      <c r="N3527" s="105"/>
      <c r="O3527" s="11"/>
      <c r="P3527" s="11"/>
      <c r="Q3527" s="105"/>
      <c r="R3527" s="105"/>
      <c r="S3527" s="105"/>
      <c r="T3527" s="105"/>
      <c r="U3527" s="105"/>
      <c r="V3527" s="105"/>
      <c r="W3527" s="105"/>
      <c r="X3527" s="11"/>
      <c r="Y3527" s="11"/>
      <c r="Z3527" s="105"/>
      <c r="AA3527" s="11"/>
      <c r="AB3527" s="11"/>
      <c r="AC3527" s="105"/>
      <c r="AD3527" s="11" t="b">
        <v>0</v>
      </c>
      <c r="AE3527" s="105"/>
      <c r="AF3527" s="11"/>
      <c r="AG3527" s="11"/>
      <c r="AH3527" s="11"/>
      <c r="AI3527" s="11"/>
    </row>
    <row r="3528" ht="12.5" spans="3:35">
      <c r="C3528" s="19"/>
      <c r="D3528" s="19"/>
      <c r="H3528" s="105"/>
      <c r="I3528" s="126"/>
      <c r="J3528" s="11"/>
      <c r="K3528" s="108"/>
      <c r="L3528" s="11"/>
      <c r="M3528" s="105"/>
      <c r="N3528" s="105"/>
      <c r="O3528" s="11"/>
      <c r="P3528" s="11"/>
      <c r="Q3528" s="105"/>
      <c r="R3528" s="105"/>
      <c r="S3528" s="105"/>
      <c r="T3528" s="105"/>
      <c r="U3528" s="105"/>
      <c r="V3528" s="105"/>
      <c r="W3528" s="105"/>
      <c r="X3528" s="11"/>
      <c r="Y3528" s="11"/>
      <c r="Z3528" s="105"/>
      <c r="AA3528" s="11"/>
      <c r="AB3528" s="11"/>
      <c r="AC3528" s="105"/>
      <c r="AD3528" s="11" t="b">
        <v>0</v>
      </c>
      <c r="AE3528" s="105"/>
      <c r="AF3528" s="11"/>
      <c r="AG3528" s="11"/>
      <c r="AH3528" s="11"/>
      <c r="AI3528" s="11"/>
    </row>
    <row r="3529" ht="12.5" spans="3:35">
      <c r="C3529" s="19"/>
      <c r="D3529" s="19"/>
      <c r="H3529" s="105"/>
      <c r="I3529" s="126"/>
      <c r="J3529" s="11"/>
      <c r="K3529" s="108"/>
      <c r="L3529" s="11"/>
      <c r="M3529" s="105"/>
      <c r="N3529" s="105"/>
      <c r="O3529" s="11"/>
      <c r="P3529" s="11"/>
      <c r="Q3529" s="105"/>
      <c r="R3529" s="105"/>
      <c r="S3529" s="105"/>
      <c r="T3529" s="105"/>
      <c r="U3529" s="105"/>
      <c r="V3529" s="105"/>
      <c r="W3529" s="105"/>
      <c r="X3529" s="11"/>
      <c r="Y3529" s="11"/>
      <c r="Z3529" s="105"/>
      <c r="AA3529" s="11"/>
      <c r="AB3529" s="11"/>
      <c r="AC3529" s="105"/>
      <c r="AD3529" s="11" t="b">
        <v>0</v>
      </c>
      <c r="AE3529" s="105"/>
      <c r="AF3529" s="11"/>
      <c r="AG3529" s="11"/>
      <c r="AH3529" s="11"/>
      <c r="AI3529" s="11"/>
    </row>
    <row r="3530" ht="12.5" spans="3:35">
      <c r="C3530" s="19"/>
      <c r="D3530" s="19"/>
      <c r="H3530" s="105"/>
      <c r="I3530" s="126"/>
      <c r="J3530" s="11"/>
      <c r="K3530" s="108"/>
      <c r="L3530" s="11"/>
      <c r="M3530" s="105"/>
      <c r="N3530" s="105"/>
      <c r="O3530" s="11"/>
      <c r="P3530" s="11"/>
      <c r="Q3530" s="105"/>
      <c r="R3530" s="105"/>
      <c r="S3530" s="105"/>
      <c r="T3530" s="105"/>
      <c r="U3530" s="105"/>
      <c r="V3530" s="105"/>
      <c r="W3530" s="105"/>
      <c r="X3530" s="11"/>
      <c r="Y3530" s="11"/>
      <c r="Z3530" s="105"/>
      <c r="AA3530" s="11"/>
      <c r="AB3530" s="11"/>
      <c r="AC3530" s="105"/>
      <c r="AD3530" s="11" t="b">
        <v>0</v>
      </c>
      <c r="AE3530" s="105"/>
      <c r="AF3530" s="11"/>
      <c r="AG3530" s="11"/>
      <c r="AH3530" s="11"/>
      <c r="AI3530" s="11"/>
    </row>
    <row r="3531" ht="12.5" spans="3:35">
      <c r="C3531" s="19"/>
      <c r="D3531" s="19"/>
      <c r="H3531" s="105"/>
      <c r="I3531" s="126"/>
      <c r="J3531" s="11"/>
      <c r="K3531" s="108"/>
      <c r="L3531" s="11"/>
      <c r="M3531" s="105"/>
      <c r="N3531" s="105"/>
      <c r="O3531" s="11"/>
      <c r="P3531" s="11"/>
      <c r="Q3531" s="105"/>
      <c r="R3531" s="105"/>
      <c r="S3531" s="105"/>
      <c r="T3531" s="105"/>
      <c r="U3531" s="105"/>
      <c r="V3531" s="105"/>
      <c r="W3531" s="105"/>
      <c r="X3531" s="11"/>
      <c r="Y3531" s="11"/>
      <c r="Z3531" s="105"/>
      <c r="AA3531" s="11"/>
      <c r="AB3531" s="11"/>
      <c r="AC3531" s="105"/>
      <c r="AD3531" s="11" t="b">
        <v>0</v>
      </c>
      <c r="AE3531" s="105"/>
      <c r="AF3531" s="11"/>
      <c r="AG3531" s="11"/>
      <c r="AH3531" s="11"/>
      <c r="AI3531" s="11"/>
    </row>
    <row r="3532" ht="12.5" spans="3:35">
      <c r="C3532" s="19"/>
      <c r="D3532" s="19"/>
      <c r="H3532" s="105"/>
      <c r="I3532" s="126"/>
      <c r="J3532" s="11"/>
      <c r="K3532" s="108"/>
      <c r="L3532" s="11"/>
      <c r="M3532" s="105"/>
      <c r="N3532" s="105"/>
      <c r="O3532" s="11"/>
      <c r="P3532" s="11"/>
      <c r="Q3532" s="105"/>
      <c r="R3532" s="105"/>
      <c r="S3532" s="105"/>
      <c r="T3532" s="105"/>
      <c r="U3532" s="105"/>
      <c r="V3532" s="105"/>
      <c r="W3532" s="105"/>
      <c r="X3532" s="11"/>
      <c r="Y3532" s="11"/>
      <c r="Z3532" s="105"/>
      <c r="AA3532" s="11"/>
      <c r="AB3532" s="11"/>
      <c r="AC3532" s="105"/>
      <c r="AD3532" s="11" t="b">
        <v>0</v>
      </c>
      <c r="AE3532" s="105"/>
      <c r="AF3532" s="11"/>
      <c r="AG3532" s="11"/>
      <c r="AH3532" s="11"/>
      <c r="AI3532" s="11"/>
    </row>
    <row r="3533" ht="12.5" spans="3:35">
      <c r="C3533" s="19"/>
      <c r="D3533" s="19"/>
      <c r="H3533" s="105"/>
      <c r="I3533" s="126"/>
      <c r="J3533" s="11"/>
      <c r="K3533" s="108"/>
      <c r="L3533" s="11"/>
      <c r="M3533" s="105"/>
      <c r="N3533" s="105"/>
      <c r="O3533" s="11"/>
      <c r="P3533" s="11"/>
      <c r="Q3533" s="105"/>
      <c r="R3533" s="105"/>
      <c r="S3533" s="105"/>
      <c r="T3533" s="105"/>
      <c r="U3533" s="105"/>
      <c r="V3533" s="105"/>
      <c r="W3533" s="105"/>
      <c r="X3533" s="11"/>
      <c r="Y3533" s="11"/>
      <c r="Z3533" s="105"/>
      <c r="AA3533" s="11"/>
      <c r="AB3533" s="11"/>
      <c r="AC3533" s="105"/>
      <c r="AD3533" s="11" t="b">
        <v>0</v>
      </c>
      <c r="AE3533" s="105"/>
      <c r="AF3533" s="11"/>
      <c r="AG3533" s="11"/>
      <c r="AH3533" s="11"/>
      <c r="AI3533" s="11"/>
    </row>
    <row r="3534" ht="12.5" spans="3:35">
      <c r="C3534" s="19"/>
      <c r="D3534" s="19"/>
      <c r="H3534" s="105"/>
      <c r="I3534" s="126"/>
      <c r="J3534" s="11"/>
      <c r="K3534" s="108"/>
      <c r="L3534" s="11"/>
      <c r="M3534" s="105"/>
      <c r="N3534" s="105"/>
      <c r="O3534" s="11"/>
      <c r="P3534" s="11"/>
      <c r="Q3534" s="105"/>
      <c r="R3534" s="105"/>
      <c r="S3534" s="105"/>
      <c r="T3534" s="105"/>
      <c r="U3534" s="105"/>
      <c r="V3534" s="105"/>
      <c r="W3534" s="105"/>
      <c r="X3534" s="11"/>
      <c r="Y3534" s="11"/>
      <c r="Z3534" s="105"/>
      <c r="AA3534" s="11"/>
      <c r="AB3534" s="11"/>
      <c r="AC3534" s="105"/>
      <c r="AD3534" s="11" t="b">
        <v>0</v>
      </c>
      <c r="AE3534" s="105"/>
      <c r="AF3534" s="11"/>
      <c r="AG3534" s="11"/>
      <c r="AH3534" s="11"/>
      <c r="AI3534" s="11"/>
    </row>
    <row r="3535" ht="12.5" spans="3:35">
      <c r="C3535" s="19"/>
      <c r="D3535" s="19"/>
      <c r="H3535" s="105"/>
      <c r="I3535" s="126"/>
      <c r="J3535" s="11"/>
      <c r="K3535" s="108"/>
      <c r="L3535" s="11"/>
      <c r="M3535" s="105"/>
      <c r="N3535" s="105"/>
      <c r="O3535" s="11"/>
      <c r="P3535" s="11"/>
      <c r="Q3535" s="105"/>
      <c r="R3535" s="105"/>
      <c r="S3535" s="105"/>
      <c r="T3535" s="105"/>
      <c r="U3535" s="105"/>
      <c r="V3535" s="105"/>
      <c r="W3535" s="105"/>
      <c r="X3535" s="11"/>
      <c r="Y3535" s="11"/>
      <c r="Z3535" s="105"/>
      <c r="AA3535" s="11"/>
      <c r="AB3535" s="11"/>
      <c r="AC3535" s="105"/>
      <c r="AD3535" s="11" t="b">
        <v>0</v>
      </c>
      <c r="AE3535" s="105"/>
      <c r="AF3535" s="11"/>
      <c r="AG3535" s="11"/>
      <c r="AH3535" s="11"/>
      <c r="AI3535" s="11"/>
    </row>
    <row r="3536" ht="12.5" spans="3:35">
      <c r="C3536" s="19"/>
      <c r="D3536" s="19"/>
      <c r="H3536" s="105"/>
      <c r="I3536" s="126"/>
      <c r="J3536" s="11"/>
      <c r="K3536" s="108"/>
      <c r="L3536" s="11"/>
      <c r="M3536" s="105"/>
      <c r="N3536" s="105"/>
      <c r="O3536" s="11"/>
      <c r="P3536" s="11"/>
      <c r="Q3536" s="105"/>
      <c r="R3536" s="105"/>
      <c r="S3536" s="105"/>
      <c r="T3536" s="105"/>
      <c r="U3536" s="105"/>
      <c r="V3536" s="105"/>
      <c r="W3536" s="105"/>
      <c r="X3536" s="11"/>
      <c r="Y3536" s="11"/>
      <c r="Z3536" s="105"/>
      <c r="AA3536" s="11"/>
      <c r="AB3536" s="11"/>
      <c r="AC3536" s="105"/>
      <c r="AD3536" s="11" t="b">
        <v>0</v>
      </c>
      <c r="AE3536" s="105"/>
      <c r="AF3536" s="11"/>
      <c r="AG3536" s="11"/>
      <c r="AH3536" s="11"/>
      <c r="AI3536" s="11"/>
    </row>
    <row r="3537" ht="12.5" spans="3:35">
      <c r="C3537" s="19"/>
      <c r="D3537" s="19"/>
      <c r="H3537" s="105"/>
      <c r="I3537" s="126"/>
      <c r="J3537" s="11"/>
      <c r="K3537" s="108"/>
      <c r="L3537" s="11"/>
      <c r="M3537" s="105"/>
      <c r="N3537" s="105"/>
      <c r="O3537" s="11"/>
      <c r="P3537" s="11"/>
      <c r="Q3537" s="105"/>
      <c r="R3537" s="105"/>
      <c r="S3537" s="105"/>
      <c r="T3537" s="105"/>
      <c r="U3537" s="105"/>
      <c r="V3537" s="105"/>
      <c r="W3537" s="105"/>
      <c r="X3537" s="11"/>
      <c r="Y3537" s="11"/>
      <c r="Z3537" s="105"/>
      <c r="AA3537" s="11"/>
      <c r="AB3537" s="11"/>
      <c r="AC3537" s="105"/>
      <c r="AD3537" s="11" t="b">
        <v>0</v>
      </c>
      <c r="AE3537" s="105"/>
      <c r="AF3537" s="11"/>
      <c r="AG3537" s="11"/>
      <c r="AH3537" s="11"/>
      <c r="AI3537" s="11"/>
    </row>
    <row r="3538" ht="12.5" spans="3:35">
      <c r="C3538" s="19"/>
      <c r="D3538" s="19"/>
      <c r="H3538" s="105"/>
      <c r="I3538" s="126"/>
      <c r="J3538" s="11"/>
      <c r="K3538" s="108"/>
      <c r="L3538" s="11"/>
      <c r="M3538" s="105"/>
      <c r="N3538" s="105"/>
      <c r="O3538" s="11"/>
      <c r="P3538" s="11"/>
      <c r="Q3538" s="105"/>
      <c r="R3538" s="105"/>
      <c r="S3538" s="105"/>
      <c r="T3538" s="105"/>
      <c r="U3538" s="105"/>
      <c r="V3538" s="105"/>
      <c r="W3538" s="105"/>
      <c r="X3538" s="11"/>
      <c r="Y3538" s="11"/>
      <c r="Z3538" s="105"/>
      <c r="AA3538" s="11"/>
      <c r="AB3538" s="11"/>
      <c r="AC3538" s="105"/>
      <c r="AD3538" s="11" t="b">
        <v>0</v>
      </c>
      <c r="AE3538" s="105"/>
      <c r="AF3538" s="11"/>
      <c r="AG3538" s="11"/>
      <c r="AH3538" s="11"/>
      <c r="AI3538" s="11"/>
    </row>
    <row r="3539" ht="12.5" spans="3:35">
      <c r="C3539" s="19"/>
      <c r="D3539" s="19"/>
      <c r="H3539" s="105"/>
      <c r="I3539" s="126"/>
      <c r="J3539" s="11"/>
      <c r="K3539" s="108"/>
      <c r="L3539" s="11"/>
      <c r="M3539" s="105"/>
      <c r="N3539" s="105"/>
      <c r="O3539" s="11"/>
      <c r="P3539" s="11"/>
      <c r="Q3539" s="105"/>
      <c r="R3539" s="105"/>
      <c r="S3539" s="105"/>
      <c r="T3539" s="105"/>
      <c r="U3539" s="105"/>
      <c r="V3539" s="105"/>
      <c r="W3539" s="105"/>
      <c r="X3539" s="11"/>
      <c r="Y3539" s="11"/>
      <c r="Z3539" s="105"/>
      <c r="AA3539" s="11"/>
      <c r="AB3539" s="11"/>
      <c r="AC3539" s="105"/>
      <c r="AD3539" s="11" t="b">
        <v>0</v>
      </c>
      <c r="AE3539" s="105"/>
      <c r="AF3539" s="11"/>
      <c r="AG3539" s="11"/>
      <c r="AH3539" s="11"/>
      <c r="AI3539" s="11"/>
    </row>
    <row r="3540" ht="12.5" spans="3:35">
      <c r="C3540" s="19"/>
      <c r="D3540" s="19"/>
      <c r="H3540" s="105"/>
      <c r="I3540" s="126"/>
      <c r="J3540" s="11"/>
      <c r="K3540" s="108"/>
      <c r="L3540" s="11"/>
      <c r="M3540" s="105"/>
      <c r="N3540" s="105"/>
      <c r="O3540" s="11"/>
      <c r="P3540" s="11"/>
      <c r="Q3540" s="105"/>
      <c r="R3540" s="105"/>
      <c r="S3540" s="105"/>
      <c r="T3540" s="105"/>
      <c r="U3540" s="105"/>
      <c r="V3540" s="105"/>
      <c r="W3540" s="105"/>
      <c r="X3540" s="11"/>
      <c r="Y3540" s="11"/>
      <c r="Z3540" s="105"/>
      <c r="AA3540" s="11"/>
      <c r="AB3540" s="11"/>
      <c r="AC3540" s="105"/>
      <c r="AD3540" s="11" t="b">
        <v>0</v>
      </c>
      <c r="AE3540" s="105"/>
      <c r="AF3540" s="11"/>
      <c r="AG3540" s="11"/>
      <c r="AH3540" s="11"/>
      <c r="AI3540" s="11"/>
    </row>
    <row r="3541" ht="12.5" spans="3:35">
      <c r="C3541" s="19"/>
      <c r="D3541" s="19"/>
      <c r="H3541" s="105"/>
      <c r="I3541" s="126"/>
      <c r="J3541" s="11"/>
      <c r="K3541" s="108"/>
      <c r="L3541" s="11"/>
      <c r="M3541" s="105"/>
      <c r="N3541" s="105"/>
      <c r="O3541" s="11"/>
      <c r="P3541" s="11"/>
      <c r="Q3541" s="105"/>
      <c r="R3541" s="105"/>
      <c r="S3541" s="105"/>
      <c r="T3541" s="105"/>
      <c r="U3541" s="105"/>
      <c r="V3541" s="105"/>
      <c r="W3541" s="105"/>
      <c r="X3541" s="11"/>
      <c r="Y3541" s="11"/>
      <c r="Z3541" s="105"/>
      <c r="AA3541" s="11"/>
      <c r="AB3541" s="11"/>
      <c r="AC3541" s="105"/>
      <c r="AD3541" s="11" t="b">
        <v>0</v>
      </c>
      <c r="AE3541" s="105"/>
      <c r="AF3541" s="11"/>
      <c r="AG3541" s="11"/>
      <c r="AH3541" s="11"/>
      <c r="AI3541" s="11"/>
    </row>
    <row r="3542" ht="12.5" spans="3:35">
      <c r="C3542" s="19"/>
      <c r="D3542" s="19"/>
      <c r="H3542" s="105"/>
      <c r="I3542" s="126"/>
      <c r="J3542" s="11"/>
      <c r="K3542" s="108"/>
      <c r="L3542" s="11"/>
      <c r="M3542" s="105"/>
      <c r="N3542" s="105"/>
      <c r="O3542" s="11"/>
      <c r="P3542" s="11"/>
      <c r="Q3542" s="105"/>
      <c r="R3542" s="105"/>
      <c r="S3542" s="105"/>
      <c r="T3542" s="105"/>
      <c r="U3542" s="105"/>
      <c r="V3542" s="105"/>
      <c r="W3542" s="105"/>
      <c r="X3542" s="11"/>
      <c r="Y3542" s="11"/>
      <c r="Z3542" s="105"/>
      <c r="AA3542" s="11"/>
      <c r="AB3542" s="11"/>
      <c r="AC3542" s="105"/>
      <c r="AD3542" s="11" t="b">
        <v>0</v>
      </c>
      <c r="AE3542" s="105"/>
      <c r="AF3542" s="11"/>
      <c r="AG3542" s="11"/>
      <c r="AH3542" s="11"/>
      <c r="AI3542" s="11"/>
    </row>
    <row r="3543" ht="12.5" spans="3:35">
      <c r="C3543" s="19"/>
      <c r="D3543" s="19"/>
      <c r="H3543" s="105"/>
      <c r="I3543" s="126"/>
      <c r="J3543" s="11"/>
      <c r="K3543" s="108"/>
      <c r="L3543" s="11"/>
      <c r="M3543" s="105"/>
      <c r="N3543" s="105"/>
      <c r="O3543" s="11"/>
      <c r="P3543" s="11"/>
      <c r="Q3543" s="105"/>
      <c r="R3543" s="105"/>
      <c r="S3543" s="105"/>
      <c r="T3543" s="105"/>
      <c r="U3543" s="105"/>
      <c r="V3543" s="105"/>
      <c r="W3543" s="105"/>
      <c r="X3543" s="11"/>
      <c r="Y3543" s="11"/>
      <c r="Z3543" s="105"/>
      <c r="AA3543" s="11"/>
      <c r="AB3543" s="11"/>
      <c r="AC3543" s="105"/>
      <c r="AD3543" s="11" t="b">
        <v>0</v>
      </c>
      <c r="AE3543" s="105"/>
      <c r="AF3543" s="11"/>
      <c r="AG3543" s="11"/>
      <c r="AH3543" s="11"/>
      <c r="AI3543" s="11"/>
    </row>
    <row r="3544" ht="12.5" spans="3:35">
      <c r="C3544" s="19"/>
      <c r="D3544" s="19"/>
      <c r="H3544" s="105"/>
      <c r="I3544" s="126"/>
      <c r="J3544" s="11"/>
      <c r="K3544" s="108"/>
      <c r="L3544" s="11"/>
      <c r="M3544" s="105"/>
      <c r="N3544" s="105"/>
      <c r="O3544" s="11"/>
      <c r="P3544" s="11"/>
      <c r="Q3544" s="105"/>
      <c r="R3544" s="105"/>
      <c r="S3544" s="105"/>
      <c r="T3544" s="105"/>
      <c r="U3544" s="105"/>
      <c r="V3544" s="105"/>
      <c r="W3544" s="105"/>
      <c r="X3544" s="11"/>
      <c r="Y3544" s="11"/>
      <c r="Z3544" s="105"/>
      <c r="AA3544" s="11"/>
      <c r="AB3544" s="11"/>
      <c r="AC3544" s="105"/>
      <c r="AD3544" s="11" t="b">
        <v>0</v>
      </c>
      <c r="AE3544" s="105"/>
      <c r="AF3544" s="11"/>
      <c r="AG3544" s="11"/>
      <c r="AH3544" s="11"/>
      <c r="AI3544" s="11"/>
    </row>
    <row r="3545" ht="12.5" spans="3:35">
      <c r="C3545" s="19"/>
      <c r="D3545" s="19"/>
      <c r="H3545" s="105"/>
      <c r="I3545" s="126"/>
      <c r="J3545" s="11"/>
      <c r="K3545" s="108"/>
      <c r="L3545" s="11"/>
      <c r="M3545" s="105"/>
      <c r="N3545" s="105"/>
      <c r="O3545" s="11"/>
      <c r="P3545" s="11"/>
      <c r="Q3545" s="105"/>
      <c r="R3545" s="105"/>
      <c r="S3545" s="105"/>
      <c r="T3545" s="105"/>
      <c r="U3545" s="105"/>
      <c r="V3545" s="105"/>
      <c r="W3545" s="105"/>
      <c r="X3545" s="11"/>
      <c r="Y3545" s="11"/>
      <c r="Z3545" s="105"/>
      <c r="AA3545" s="11"/>
      <c r="AB3545" s="11"/>
      <c r="AC3545" s="105"/>
      <c r="AD3545" s="11" t="b">
        <v>0</v>
      </c>
      <c r="AE3545" s="105"/>
      <c r="AF3545" s="11"/>
      <c r="AG3545" s="11"/>
      <c r="AH3545" s="11"/>
      <c r="AI3545" s="11"/>
    </row>
    <row r="3546" ht="12.5" spans="3:35">
      <c r="C3546" s="19"/>
      <c r="D3546" s="19"/>
      <c r="H3546" s="105"/>
      <c r="I3546" s="126"/>
      <c r="J3546" s="11"/>
      <c r="K3546" s="108"/>
      <c r="L3546" s="11"/>
      <c r="M3546" s="105"/>
      <c r="N3546" s="105"/>
      <c r="O3546" s="11"/>
      <c r="P3546" s="11"/>
      <c r="Q3546" s="105"/>
      <c r="R3546" s="105"/>
      <c r="S3546" s="105"/>
      <c r="T3546" s="105"/>
      <c r="U3546" s="105"/>
      <c r="V3546" s="105"/>
      <c r="W3546" s="105"/>
      <c r="X3546" s="11"/>
      <c r="Y3546" s="11"/>
      <c r="Z3546" s="105"/>
      <c r="AA3546" s="11"/>
      <c r="AB3546" s="11"/>
      <c r="AC3546" s="105"/>
      <c r="AD3546" s="11" t="b">
        <v>0</v>
      </c>
      <c r="AE3546" s="105"/>
      <c r="AF3546" s="11"/>
      <c r="AG3546" s="11"/>
      <c r="AH3546" s="11"/>
      <c r="AI3546" s="11"/>
    </row>
    <row r="3547" ht="12.5" spans="3:35">
      <c r="C3547" s="19"/>
      <c r="D3547" s="19"/>
      <c r="H3547" s="105"/>
      <c r="I3547" s="126"/>
      <c r="J3547" s="11"/>
      <c r="K3547" s="108"/>
      <c r="L3547" s="11"/>
      <c r="M3547" s="105"/>
      <c r="N3547" s="105"/>
      <c r="O3547" s="11"/>
      <c r="P3547" s="11"/>
      <c r="Q3547" s="105"/>
      <c r="R3547" s="105"/>
      <c r="S3547" s="105"/>
      <c r="T3547" s="105"/>
      <c r="U3547" s="105"/>
      <c r="V3547" s="105"/>
      <c r="W3547" s="105"/>
      <c r="X3547" s="11"/>
      <c r="Y3547" s="11"/>
      <c r="Z3547" s="105"/>
      <c r="AA3547" s="11"/>
      <c r="AB3547" s="11"/>
      <c r="AC3547" s="105"/>
      <c r="AD3547" s="11" t="b">
        <v>0</v>
      </c>
      <c r="AE3547" s="105"/>
      <c r="AF3547" s="11"/>
      <c r="AG3547" s="11"/>
      <c r="AH3547" s="11"/>
      <c r="AI3547" s="11"/>
    </row>
    <row r="3548" ht="12.5" spans="3:35">
      <c r="C3548" s="19"/>
      <c r="D3548" s="19"/>
      <c r="H3548" s="105"/>
      <c r="I3548" s="126"/>
      <c r="J3548" s="11"/>
      <c r="K3548" s="108"/>
      <c r="L3548" s="11"/>
      <c r="M3548" s="105"/>
      <c r="N3548" s="105"/>
      <c r="O3548" s="11"/>
      <c r="P3548" s="11"/>
      <c r="Q3548" s="105"/>
      <c r="R3548" s="105"/>
      <c r="S3548" s="105"/>
      <c r="T3548" s="105"/>
      <c r="U3548" s="105"/>
      <c r="V3548" s="105"/>
      <c r="W3548" s="105"/>
      <c r="X3548" s="11"/>
      <c r="Y3548" s="11"/>
      <c r="Z3548" s="105"/>
      <c r="AA3548" s="11"/>
      <c r="AB3548" s="11"/>
      <c r="AC3548" s="105"/>
      <c r="AD3548" s="11" t="b">
        <v>0</v>
      </c>
      <c r="AE3548" s="105"/>
      <c r="AF3548" s="11"/>
      <c r="AG3548" s="11"/>
      <c r="AH3548" s="11"/>
      <c r="AI3548" s="11"/>
    </row>
    <row r="3549" ht="12.5" spans="3:35">
      <c r="C3549" s="19"/>
      <c r="D3549" s="19"/>
      <c r="H3549" s="105"/>
      <c r="I3549" s="126"/>
      <c r="J3549" s="11"/>
      <c r="K3549" s="108"/>
      <c r="L3549" s="11"/>
      <c r="M3549" s="105"/>
      <c r="N3549" s="105"/>
      <c r="O3549" s="11"/>
      <c r="P3549" s="11"/>
      <c r="Q3549" s="105"/>
      <c r="R3549" s="105"/>
      <c r="S3549" s="105"/>
      <c r="T3549" s="105"/>
      <c r="U3549" s="105"/>
      <c r="V3549" s="105"/>
      <c r="W3549" s="105"/>
      <c r="X3549" s="11"/>
      <c r="Y3549" s="11"/>
      <c r="Z3549" s="105"/>
      <c r="AA3549" s="11"/>
      <c r="AB3549" s="11"/>
      <c r="AC3549" s="105"/>
      <c r="AD3549" s="11" t="b">
        <v>0</v>
      </c>
      <c r="AE3549" s="105"/>
      <c r="AF3549" s="11"/>
      <c r="AG3549" s="11"/>
      <c r="AH3549" s="11"/>
      <c r="AI3549" s="11"/>
    </row>
    <row r="3550" ht="12.5" spans="3:35">
      <c r="C3550" s="19"/>
      <c r="D3550" s="19"/>
      <c r="H3550" s="105"/>
      <c r="I3550" s="126"/>
      <c r="J3550" s="11"/>
      <c r="K3550" s="108"/>
      <c r="L3550" s="11"/>
      <c r="M3550" s="105"/>
      <c r="N3550" s="105"/>
      <c r="O3550" s="11"/>
      <c r="P3550" s="11"/>
      <c r="Q3550" s="105"/>
      <c r="R3550" s="105"/>
      <c r="S3550" s="105"/>
      <c r="T3550" s="105"/>
      <c r="U3550" s="105"/>
      <c r="V3550" s="105"/>
      <c r="W3550" s="105"/>
      <c r="X3550" s="11"/>
      <c r="Y3550" s="11"/>
      <c r="Z3550" s="105"/>
      <c r="AA3550" s="11"/>
      <c r="AB3550" s="11"/>
      <c r="AC3550" s="105"/>
      <c r="AD3550" s="11" t="b">
        <v>0</v>
      </c>
      <c r="AE3550" s="105"/>
      <c r="AF3550" s="11"/>
      <c r="AG3550" s="11"/>
      <c r="AH3550" s="11"/>
      <c r="AI3550" s="11"/>
    </row>
    <row r="3551" ht="12.5" spans="3:35">
      <c r="C3551" s="19"/>
      <c r="D3551" s="19"/>
      <c r="H3551" s="105"/>
      <c r="I3551" s="126"/>
      <c r="J3551" s="11"/>
      <c r="K3551" s="108"/>
      <c r="L3551" s="11"/>
      <c r="M3551" s="105"/>
      <c r="N3551" s="105"/>
      <c r="O3551" s="11"/>
      <c r="P3551" s="11"/>
      <c r="Q3551" s="105"/>
      <c r="R3551" s="105"/>
      <c r="S3551" s="105"/>
      <c r="T3551" s="105"/>
      <c r="U3551" s="105"/>
      <c r="V3551" s="105"/>
      <c r="W3551" s="105"/>
      <c r="X3551" s="11"/>
      <c r="Y3551" s="11"/>
      <c r="Z3551" s="105"/>
      <c r="AA3551" s="11"/>
      <c r="AB3551" s="11"/>
      <c r="AC3551" s="105"/>
      <c r="AD3551" s="11" t="b">
        <v>0</v>
      </c>
      <c r="AE3551" s="105"/>
      <c r="AF3551" s="11"/>
      <c r="AG3551" s="11"/>
      <c r="AH3551" s="11"/>
      <c r="AI3551" s="11"/>
    </row>
    <row r="3552" ht="12.5" spans="3:35">
      <c r="C3552" s="19"/>
      <c r="D3552" s="19"/>
      <c r="H3552" s="105"/>
      <c r="I3552" s="126"/>
      <c r="J3552" s="11"/>
      <c r="K3552" s="108"/>
      <c r="L3552" s="11"/>
      <c r="M3552" s="105"/>
      <c r="N3552" s="105"/>
      <c r="O3552" s="11"/>
      <c r="P3552" s="11"/>
      <c r="Q3552" s="105"/>
      <c r="R3552" s="105"/>
      <c r="S3552" s="105"/>
      <c r="T3552" s="105"/>
      <c r="U3552" s="105"/>
      <c r="V3552" s="105"/>
      <c r="W3552" s="105"/>
      <c r="X3552" s="11"/>
      <c r="Y3552" s="11"/>
      <c r="Z3552" s="105"/>
      <c r="AA3552" s="11"/>
      <c r="AB3552" s="11"/>
      <c r="AC3552" s="105"/>
      <c r="AD3552" s="11" t="b">
        <v>0</v>
      </c>
      <c r="AE3552" s="105"/>
      <c r="AF3552" s="11"/>
      <c r="AG3552" s="11"/>
      <c r="AH3552" s="11"/>
      <c r="AI3552" s="11"/>
    </row>
    <row r="3553" ht="12.5" spans="3:35">
      <c r="C3553" s="19"/>
      <c r="D3553" s="19"/>
      <c r="H3553" s="105"/>
      <c r="I3553" s="126"/>
      <c r="J3553" s="11"/>
      <c r="K3553" s="108"/>
      <c r="L3553" s="11"/>
      <c r="M3553" s="105"/>
      <c r="N3553" s="105"/>
      <c r="O3553" s="11"/>
      <c r="P3553" s="11"/>
      <c r="Q3553" s="105"/>
      <c r="R3553" s="105"/>
      <c r="S3553" s="105"/>
      <c r="T3553" s="105"/>
      <c r="U3553" s="105"/>
      <c r="V3553" s="105"/>
      <c r="W3553" s="105"/>
      <c r="X3553" s="11"/>
      <c r="Y3553" s="11"/>
      <c r="Z3553" s="105"/>
      <c r="AA3553" s="11"/>
      <c r="AB3553" s="11"/>
      <c r="AC3553" s="105"/>
      <c r="AD3553" s="11" t="b">
        <v>0</v>
      </c>
      <c r="AE3553" s="105"/>
      <c r="AF3553" s="11"/>
      <c r="AG3553" s="11"/>
      <c r="AH3553" s="11"/>
      <c r="AI3553" s="11"/>
    </row>
    <row r="3554" ht="12.5" spans="3:35">
      <c r="C3554" s="19"/>
      <c r="D3554" s="19"/>
      <c r="H3554" s="105"/>
      <c r="I3554" s="126"/>
      <c r="J3554" s="11"/>
      <c r="K3554" s="108"/>
      <c r="L3554" s="11"/>
      <c r="M3554" s="105"/>
      <c r="N3554" s="105"/>
      <c r="O3554" s="11"/>
      <c r="P3554" s="11"/>
      <c r="Q3554" s="105"/>
      <c r="R3554" s="105"/>
      <c r="S3554" s="105"/>
      <c r="T3554" s="105"/>
      <c r="U3554" s="105"/>
      <c r="V3554" s="105"/>
      <c r="W3554" s="105"/>
      <c r="X3554" s="11"/>
      <c r="Y3554" s="11"/>
      <c r="Z3554" s="105"/>
      <c r="AA3554" s="11"/>
      <c r="AB3554" s="11"/>
      <c r="AC3554" s="105"/>
      <c r="AD3554" s="11" t="b">
        <v>0</v>
      </c>
      <c r="AE3554" s="105"/>
      <c r="AF3554" s="11"/>
      <c r="AG3554" s="11"/>
      <c r="AH3554" s="11"/>
      <c r="AI3554" s="11"/>
    </row>
    <row r="3555" ht="12.5" spans="3:35">
      <c r="C3555" s="19"/>
      <c r="D3555" s="19"/>
      <c r="H3555" s="105"/>
      <c r="I3555" s="126"/>
      <c r="J3555" s="11"/>
      <c r="K3555" s="108"/>
      <c r="L3555" s="11"/>
      <c r="M3555" s="105"/>
      <c r="N3555" s="105"/>
      <c r="O3555" s="11"/>
      <c r="P3555" s="11"/>
      <c r="Q3555" s="105"/>
      <c r="R3555" s="105"/>
      <c r="S3555" s="105"/>
      <c r="T3555" s="105"/>
      <c r="U3555" s="105"/>
      <c r="V3555" s="105"/>
      <c r="W3555" s="105"/>
      <c r="X3555" s="11"/>
      <c r="Y3555" s="11"/>
      <c r="Z3555" s="105"/>
      <c r="AA3555" s="11"/>
      <c r="AB3555" s="11"/>
      <c r="AC3555" s="105"/>
      <c r="AD3555" s="11" t="b">
        <v>0</v>
      </c>
      <c r="AE3555" s="105"/>
      <c r="AF3555" s="11"/>
      <c r="AG3555" s="11"/>
      <c r="AH3555" s="11"/>
      <c r="AI3555" s="11"/>
    </row>
    <row r="3556" ht="12.5" spans="3:35">
      <c r="C3556" s="19"/>
      <c r="D3556" s="19"/>
      <c r="H3556" s="105"/>
      <c r="I3556" s="126"/>
      <c r="J3556" s="11"/>
      <c r="K3556" s="108"/>
      <c r="L3556" s="11"/>
      <c r="M3556" s="105"/>
      <c r="N3556" s="105"/>
      <c r="O3556" s="11"/>
      <c r="P3556" s="11"/>
      <c r="Q3556" s="105"/>
      <c r="R3556" s="105"/>
      <c r="S3556" s="105"/>
      <c r="T3556" s="105"/>
      <c r="U3556" s="105"/>
      <c r="V3556" s="105"/>
      <c r="W3556" s="105"/>
      <c r="X3556" s="11"/>
      <c r="Y3556" s="11"/>
      <c r="Z3556" s="105"/>
      <c r="AA3556" s="11"/>
      <c r="AB3556" s="11"/>
      <c r="AC3556" s="105"/>
      <c r="AD3556" s="11" t="b">
        <v>0</v>
      </c>
      <c r="AE3556" s="105"/>
      <c r="AF3556" s="11"/>
      <c r="AG3556" s="11"/>
      <c r="AH3556" s="11"/>
      <c r="AI3556" s="11"/>
    </row>
    <row r="3557" ht="12.5" spans="3:35">
      <c r="C3557" s="19"/>
      <c r="D3557" s="19"/>
      <c r="H3557" s="105"/>
      <c r="I3557" s="126"/>
      <c r="J3557" s="11"/>
      <c r="K3557" s="108"/>
      <c r="L3557" s="11"/>
      <c r="M3557" s="105"/>
      <c r="N3557" s="105"/>
      <c r="O3557" s="11"/>
      <c r="P3557" s="11"/>
      <c r="Q3557" s="105"/>
      <c r="R3557" s="105"/>
      <c r="S3557" s="105"/>
      <c r="T3557" s="105"/>
      <c r="U3557" s="105"/>
      <c r="V3557" s="105"/>
      <c r="W3557" s="105"/>
      <c r="X3557" s="11"/>
      <c r="Y3557" s="11"/>
      <c r="Z3557" s="105"/>
      <c r="AA3557" s="11"/>
      <c r="AB3557" s="11"/>
      <c r="AC3557" s="105"/>
      <c r="AD3557" s="11" t="b">
        <v>0</v>
      </c>
      <c r="AE3557" s="105"/>
      <c r="AF3557" s="11"/>
      <c r="AG3557" s="11"/>
      <c r="AH3557" s="11"/>
      <c r="AI3557" s="11"/>
    </row>
    <row r="3558" ht="12.5" spans="3:35">
      <c r="C3558" s="19"/>
      <c r="D3558" s="19"/>
      <c r="H3558" s="105"/>
      <c r="I3558" s="126"/>
      <c r="J3558" s="11"/>
      <c r="K3558" s="108"/>
      <c r="L3558" s="11"/>
      <c r="M3558" s="105"/>
      <c r="N3558" s="105"/>
      <c r="O3558" s="11"/>
      <c r="P3558" s="11"/>
      <c r="Q3558" s="105"/>
      <c r="R3558" s="105"/>
      <c r="S3558" s="105"/>
      <c r="T3558" s="105"/>
      <c r="U3558" s="105"/>
      <c r="V3558" s="105"/>
      <c r="W3558" s="105"/>
      <c r="X3558" s="11"/>
      <c r="Y3558" s="11"/>
      <c r="Z3558" s="105"/>
      <c r="AA3558" s="11"/>
      <c r="AB3558" s="11"/>
      <c r="AC3558" s="105"/>
      <c r="AD3558" s="11" t="b">
        <v>0</v>
      </c>
      <c r="AE3558" s="105"/>
      <c r="AF3558" s="11"/>
      <c r="AG3558" s="11"/>
      <c r="AH3558" s="11"/>
      <c r="AI3558" s="11"/>
    </row>
    <row r="3559" ht="12.5" spans="3:35">
      <c r="C3559" s="19"/>
      <c r="D3559" s="19"/>
      <c r="H3559" s="105"/>
      <c r="I3559" s="126"/>
      <c r="J3559" s="11"/>
      <c r="K3559" s="108"/>
      <c r="L3559" s="11"/>
      <c r="M3559" s="105"/>
      <c r="N3559" s="105"/>
      <c r="O3559" s="11"/>
      <c r="P3559" s="11"/>
      <c r="Q3559" s="105"/>
      <c r="R3559" s="105"/>
      <c r="S3559" s="105"/>
      <c r="T3559" s="105"/>
      <c r="U3559" s="105"/>
      <c r="V3559" s="105"/>
      <c r="W3559" s="105"/>
      <c r="X3559" s="11"/>
      <c r="Y3559" s="11"/>
      <c r="Z3559" s="105"/>
      <c r="AA3559" s="11"/>
      <c r="AB3559" s="11"/>
      <c r="AC3559" s="105"/>
      <c r="AD3559" s="11" t="b">
        <v>0</v>
      </c>
      <c r="AE3559" s="105"/>
      <c r="AF3559" s="11"/>
      <c r="AG3559" s="11"/>
      <c r="AH3559" s="11"/>
      <c r="AI3559" s="11"/>
    </row>
    <row r="3560" ht="12.5" spans="3:35">
      <c r="C3560" s="19"/>
      <c r="D3560" s="19"/>
      <c r="H3560" s="105"/>
      <c r="I3560" s="126"/>
      <c r="J3560" s="11"/>
      <c r="K3560" s="108"/>
      <c r="L3560" s="11"/>
      <c r="M3560" s="105"/>
      <c r="N3560" s="105"/>
      <c r="O3560" s="11"/>
      <c r="P3560" s="11"/>
      <c r="Q3560" s="105"/>
      <c r="R3560" s="105"/>
      <c r="S3560" s="105"/>
      <c r="T3560" s="105"/>
      <c r="U3560" s="105"/>
      <c r="V3560" s="105"/>
      <c r="W3560" s="105"/>
      <c r="X3560" s="11"/>
      <c r="Y3560" s="11"/>
      <c r="Z3560" s="105"/>
      <c r="AA3560" s="11"/>
      <c r="AB3560" s="11"/>
      <c r="AC3560" s="105"/>
      <c r="AD3560" s="11" t="b">
        <v>0</v>
      </c>
      <c r="AE3560" s="105"/>
      <c r="AF3560" s="11"/>
      <c r="AG3560" s="11"/>
      <c r="AH3560" s="11"/>
      <c r="AI3560" s="11"/>
    </row>
    <row r="3561" ht="12.5" spans="3:35">
      <c r="C3561" s="19"/>
      <c r="D3561" s="19"/>
      <c r="H3561" s="105"/>
      <c r="I3561" s="126"/>
      <c r="J3561" s="11"/>
      <c r="K3561" s="108"/>
      <c r="L3561" s="11"/>
      <c r="M3561" s="105"/>
      <c r="N3561" s="105"/>
      <c r="O3561" s="11"/>
      <c r="P3561" s="11"/>
      <c r="Q3561" s="105"/>
      <c r="R3561" s="105"/>
      <c r="S3561" s="105"/>
      <c r="T3561" s="105"/>
      <c r="U3561" s="105"/>
      <c r="V3561" s="105"/>
      <c r="W3561" s="105"/>
      <c r="X3561" s="11"/>
      <c r="Y3561" s="11"/>
      <c r="Z3561" s="105"/>
      <c r="AA3561" s="11"/>
      <c r="AB3561" s="11"/>
      <c r="AC3561" s="105"/>
      <c r="AD3561" s="11" t="b">
        <v>0</v>
      </c>
      <c r="AE3561" s="105"/>
      <c r="AF3561" s="11"/>
      <c r="AG3561" s="11"/>
      <c r="AH3561" s="11"/>
      <c r="AI3561" s="11"/>
    </row>
    <row r="3562" ht="12.5" spans="3:35">
      <c r="C3562" s="19"/>
      <c r="D3562" s="19"/>
      <c r="H3562" s="105"/>
      <c r="I3562" s="126"/>
      <c r="J3562" s="11"/>
      <c r="K3562" s="108"/>
      <c r="L3562" s="11"/>
      <c r="M3562" s="105"/>
      <c r="N3562" s="105"/>
      <c r="O3562" s="11"/>
      <c r="P3562" s="11"/>
      <c r="Q3562" s="105"/>
      <c r="R3562" s="105"/>
      <c r="S3562" s="105"/>
      <c r="T3562" s="105"/>
      <c r="U3562" s="105"/>
      <c r="V3562" s="105"/>
      <c r="W3562" s="105"/>
      <c r="X3562" s="11"/>
      <c r="Y3562" s="11"/>
      <c r="Z3562" s="105"/>
      <c r="AA3562" s="11"/>
      <c r="AB3562" s="11"/>
      <c r="AC3562" s="105"/>
      <c r="AD3562" s="11" t="b">
        <v>0</v>
      </c>
      <c r="AE3562" s="105"/>
      <c r="AF3562" s="11"/>
      <c r="AG3562" s="11"/>
      <c r="AH3562" s="11"/>
      <c r="AI3562" s="11"/>
    </row>
    <row r="3563" ht="12.5" spans="3:35">
      <c r="C3563" s="19"/>
      <c r="D3563" s="19"/>
      <c r="H3563" s="105"/>
      <c r="I3563" s="126"/>
      <c r="J3563" s="11"/>
      <c r="K3563" s="108"/>
      <c r="L3563" s="11"/>
      <c r="M3563" s="105"/>
      <c r="N3563" s="105"/>
      <c r="O3563" s="11"/>
      <c r="P3563" s="11"/>
      <c r="Q3563" s="105"/>
      <c r="R3563" s="105"/>
      <c r="S3563" s="105"/>
      <c r="T3563" s="105"/>
      <c r="U3563" s="105"/>
      <c r="V3563" s="105"/>
      <c r="W3563" s="105"/>
      <c r="X3563" s="11"/>
      <c r="Y3563" s="11"/>
      <c r="Z3563" s="105"/>
      <c r="AA3563" s="11"/>
      <c r="AB3563" s="11"/>
      <c r="AC3563" s="105"/>
      <c r="AD3563" s="11" t="b">
        <v>0</v>
      </c>
      <c r="AE3563" s="105"/>
      <c r="AF3563" s="11"/>
      <c r="AG3563" s="11"/>
      <c r="AH3563" s="11"/>
      <c r="AI3563" s="11"/>
    </row>
    <row r="3564" ht="12.5" spans="3:35">
      <c r="C3564" s="19"/>
      <c r="D3564" s="19"/>
      <c r="H3564" s="105"/>
      <c r="I3564" s="126"/>
      <c r="J3564" s="11"/>
      <c r="K3564" s="108"/>
      <c r="L3564" s="11"/>
      <c r="M3564" s="105"/>
      <c r="N3564" s="105"/>
      <c r="O3564" s="11"/>
      <c r="P3564" s="11"/>
      <c r="Q3564" s="105"/>
      <c r="R3564" s="105"/>
      <c r="S3564" s="105"/>
      <c r="T3564" s="105"/>
      <c r="U3564" s="105"/>
      <c r="V3564" s="105"/>
      <c r="W3564" s="105"/>
      <c r="X3564" s="11"/>
      <c r="Y3564" s="11"/>
      <c r="Z3564" s="105"/>
      <c r="AA3564" s="11"/>
      <c r="AB3564" s="11"/>
      <c r="AC3564" s="105"/>
      <c r="AD3564" s="11" t="b">
        <v>0</v>
      </c>
      <c r="AE3564" s="105"/>
      <c r="AF3564" s="11"/>
      <c r="AG3564" s="11"/>
      <c r="AH3564" s="11"/>
      <c r="AI3564" s="11"/>
    </row>
    <row r="3565" ht="12.5" spans="3:35">
      <c r="C3565" s="19"/>
      <c r="D3565" s="19"/>
      <c r="H3565" s="105"/>
      <c r="I3565" s="126"/>
      <c r="J3565" s="11"/>
      <c r="K3565" s="108"/>
      <c r="L3565" s="11"/>
      <c r="M3565" s="105"/>
      <c r="N3565" s="105"/>
      <c r="O3565" s="11"/>
      <c r="P3565" s="11"/>
      <c r="Q3565" s="105"/>
      <c r="R3565" s="105"/>
      <c r="S3565" s="105"/>
      <c r="T3565" s="105"/>
      <c r="U3565" s="105"/>
      <c r="V3565" s="105"/>
      <c r="W3565" s="105"/>
      <c r="X3565" s="11"/>
      <c r="Y3565" s="11"/>
      <c r="Z3565" s="105"/>
      <c r="AA3565" s="11"/>
      <c r="AB3565" s="11"/>
      <c r="AC3565" s="105"/>
      <c r="AD3565" s="11" t="b">
        <v>0</v>
      </c>
      <c r="AE3565" s="105"/>
      <c r="AF3565" s="11"/>
      <c r="AG3565" s="11"/>
      <c r="AH3565" s="11"/>
      <c r="AI3565" s="11"/>
    </row>
    <row r="3566" ht="12.5" spans="3:35">
      <c r="C3566" s="19"/>
      <c r="D3566" s="19"/>
      <c r="H3566" s="105"/>
      <c r="I3566" s="126"/>
      <c r="J3566" s="11"/>
      <c r="K3566" s="108"/>
      <c r="L3566" s="11"/>
      <c r="M3566" s="105"/>
      <c r="N3566" s="105"/>
      <c r="O3566" s="11"/>
      <c r="P3566" s="11"/>
      <c r="Q3566" s="105"/>
      <c r="R3566" s="105"/>
      <c r="S3566" s="105"/>
      <c r="T3566" s="105"/>
      <c r="U3566" s="105"/>
      <c r="V3566" s="105"/>
      <c r="W3566" s="105"/>
      <c r="X3566" s="11"/>
      <c r="Y3566" s="11"/>
      <c r="Z3566" s="105"/>
      <c r="AA3566" s="11"/>
      <c r="AB3566" s="11"/>
      <c r="AC3566" s="105"/>
      <c r="AD3566" s="11" t="b">
        <v>0</v>
      </c>
      <c r="AE3566" s="105"/>
      <c r="AF3566" s="11"/>
      <c r="AG3566" s="11"/>
      <c r="AH3566" s="11"/>
      <c r="AI3566" s="11"/>
    </row>
    <row r="3567" ht="12.5" spans="3:35">
      <c r="C3567" s="19"/>
      <c r="D3567" s="19"/>
      <c r="H3567" s="105"/>
      <c r="I3567" s="126"/>
      <c r="J3567" s="11"/>
      <c r="K3567" s="108"/>
      <c r="L3567" s="11"/>
      <c r="M3567" s="105"/>
      <c r="N3567" s="105"/>
      <c r="O3567" s="11"/>
      <c r="P3567" s="11"/>
      <c r="Q3567" s="105"/>
      <c r="R3567" s="105"/>
      <c r="S3567" s="105"/>
      <c r="T3567" s="105"/>
      <c r="U3567" s="105"/>
      <c r="V3567" s="105"/>
      <c r="W3567" s="105"/>
      <c r="X3567" s="11"/>
      <c r="Y3567" s="11"/>
      <c r="Z3567" s="105"/>
      <c r="AA3567" s="11"/>
      <c r="AB3567" s="11"/>
      <c r="AC3567" s="105"/>
      <c r="AD3567" s="11" t="b">
        <v>0</v>
      </c>
      <c r="AE3567" s="105"/>
      <c r="AF3567" s="11"/>
      <c r="AG3567" s="11"/>
      <c r="AH3567" s="11"/>
      <c r="AI3567" s="11"/>
    </row>
    <row r="3568" ht="12.5" spans="3:35">
      <c r="C3568" s="19"/>
      <c r="D3568" s="19"/>
      <c r="H3568" s="105"/>
      <c r="I3568" s="126"/>
      <c r="J3568" s="11"/>
      <c r="K3568" s="108"/>
      <c r="L3568" s="11"/>
      <c r="M3568" s="105"/>
      <c r="N3568" s="105"/>
      <c r="O3568" s="11"/>
      <c r="P3568" s="11"/>
      <c r="Q3568" s="105"/>
      <c r="R3568" s="105"/>
      <c r="S3568" s="105"/>
      <c r="T3568" s="105"/>
      <c r="U3568" s="105"/>
      <c r="V3568" s="105"/>
      <c r="W3568" s="105"/>
      <c r="X3568" s="11"/>
      <c r="Y3568" s="11"/>
      <c r="Z3568" s="105"/>
      <c r="AA3568" s="11"/>
      <c r="AB3568" s="11"/>
      <c r="AC3568" s="105"/>
      <c r="AD3568" s="11" t="b">
        <v>0</v>
      </c>
      <c r="AE3568" s="105"/>
      <c r="AF3568" s="11"/>
      <c r="AG3568" s="11"/>
      <c r="AH3568" s="11"/>
      <c r="AI3568" s="11"/>
    </row>
    <row r="3569" ht="12.5" spans="3:35">
      <c r="C3569" s="19"/>
      <c r="D3569" s="19"/>
      <c r="H3569" s="105"/>
      <c r="I3569" s="126"/>
      <c r="J3569" s="11"/>
      <c r="K3569" s="108"/>
      <c r="L3569" s="11"/>
      <c r="M3569" s="105"/>
      <c r="N3569" s="105"/>
      <c r="O3569" s="11"/>
      <c r="P3569" s="11"/>
      <c r="Q3569" s="105"/>
      <c r="R3569" s="105"/>
      <c r="S3569" s="105"/>
      <c r="T3569" s="105"/>
      <c r="U3569" s="105"/>
      <c r="V3569" s="105"/>
      <c r="W3569" s="105"/>
      <c r="X3569" s="11"/>
      <c r="Y3569" s="11"/>
      <c r="Z3569" s="105"/>
      <c r="AA3569" s="11"/>
      <c r="AB3569" s="11"/>
      <c r="AC3569" s="105"/>
      <c r="AD3569" s="11" t="b">
        <v>0</v>
      </c>
      <c r="AE3569" s="105"/>
      <c r="AF3569" s="11"/>
      <c r="AG3569" s="11"/>
      <c r="AH3569" s="11"/>
      <c r="AI3569" s="11"/>
    </row>
    <row r="3570" ht="12.5" spans="3:35">
      <c r="C3570" s="19"/>
      <c r="D3570" s="19"/>
      <c r="H3570" s="105"/>
      <c r="I3570" s="126"/>
      <c r="J3570" s="11"/>
      <c r="K3570" s="108"/>
      <c r="L3570" s="11"/>
      <c r="M3570" s="105"/>
      <c r="N3570" s="105"/>
      <c r="O3570" s="11"/>
      <c r="P3570" s="11"/>
      <c r="Q3570" s="105"/>
      <c r="R3570" s="105"/>
      <c r="S3570" s="105"/>
      <c r="T3570" s="105"/>
      <c r="U3570" s="105"/>
      <c r="V3570" s="105"/>
      <c r="W3570" s="105"/>
      <c r="X3570" s="11"/>
      <c r="Y3570" s="11"/>
      <c r="Z3570" s="105"/>
      <c r="AA3570" s="11"/>
      <c r="AB3570" s="11"/>
      <c r="AC3570" s="105"/>
      <c r="AD3570" s="11" t="b">
        <v>0</v>
      </c>
      <c r="AE3570" s="105"/>
      <c r="AF3570" s="11"/>
      <c r="AG3570" s="11"/>
      <c r="AH3570" s="11"/>
      <c r="AI3570" s="11"/>
    </row>
    <row r="3571" ht="12.5" spans="3:35">
      <c r="C3571" s="19"/>
      <c r="D3571" s="19"/>
      <c r="H3571" s="105"/>
      <c r="I3571" s="126"/>
      <c r="J3571" s="11"/>
      <c r="K3571" s="108"/>
      <c r="L3571" s="11"/>
      <c r="M3571" s="105"/>
      <c r="N3571" s="105"/>
      <c r="O3571" s="11"/>
      <c r="P3571" s="11"/>
      <c r="Q3571" s="105"/>
      <c r="R3571" s="105"/>
      <c r="S3571" s="105"/>
      <c r="T3571" s="105"/>
      <c r="U3571" s="105"/>
      <c r="V3571" s="105"/>
      <c r="W3571" s="105"/>
      <c r="X3571" s="11"/>
      <c r="Y3571" s="11"/>
      <c r="Z3571" s="105"/>
      <c r="AA3571" s="11"/>
      <c r="AB3571" s="11"/>
      <c r="AC3571" s="105"/>
      <c r="AD3571" s="11" t="b">
        <v>0</v>
      </c>
      <c r="AE3571" s="105"/>
      <c r="AF3571" s="11"/>
      <c r="AG3571" s="11"/>
      <c r="AH3571" s="11"/>
      <c r="AI3571" s="11"/>
    </row>
    <row r="3572" ht="12.5" spans="3:35">
      <c r="C3572" s="19"/>
      <c r="D3572" s="19"/>
      <c r="H3572" s="105"/>
      <c r="I3572" s="126"/>
      <c r="J3572" s="11"/>
      <c r="K3572" s="108"/>
      <c r="L3572" s="11"/>
      <c r="M3572" s="105"/>
      <c r="N3572" s="105"/>
      <c r="O3572" s="11"/>
      <c r="P3572" s="11"/>
      <c r="Q3572" s="105"/>
      <c r="R3572" s="105"/>
      <c r="S3572" s="105"/>
      <c r="T3572" s="105"/>
      <c r="U3572" s="105"/>
      <c r="V3572" s="105"/>
      <c r="W3572" s="105"/>
      <c r="X3572" s="11"/>
      <c r="Y3572" s="11"/>
      <c r="Z3572" s="105"/>
      <c r="AA3572" s="11"/>
      <c r="AB3572" s="11"/>
      <c r="AC3572" s="105"/>
      <c r="AD3572" s="11" t="b">
        <v>0</v>
      </c>
      <c r="AE3572" s="105"/>
      <c r="AF3572" s="11"/>
      <c r="AG3572" s="11"/>
      <c r="AH3572" s="11"/>
      <c r="AI3572" s="11"/>
    </row>
    <row r="3573" ht="12.5" spans="3:35">
      <c r="C3573" s="19"/>
      <c r="D3573" s="19"/>
      <c r="H3573" s="105"/>
      <c r="I3573" s="126"/>
      <c r="J3573" s="11"/>
      <c r="K3573" s="108"/>
      <c r="L3573" s="11"/>
      <c r="M3573" s="105"/>
      <c r="N3573" s="105"/>
      <c r="O3573" s="11"/>
      <c r="P3573" s="11"/>
      <c r="Q3573" s="105"/>
      <c r="R3573" s="105"/>
      <c r="S3573" s="105"/>
      <c r="T3573" s="105"/>
      <c r="U3573" s="105"/>
      <c r="V3573" s="105"/>
      <c r="W3573" s="105"/>
      <c r="X3573" s="11"/>
      <c r="Y3573" s="11"/>
      <c r="Z3573" s="105"/>
      <c r="AA3573" s="11"/>
      <c r="AB3573" s="11"/>
      <c r="AC3573" s="105"/>
      <c r="AD3573" s="11" t="b">
        <v>0</v>
      </c>
      <c r="AE3573" s="105"/>
      <c r="AF3573" s="11"/>
      <c r="AG3573" s="11"/>
      <c r="AH3573" s="11"/>
      <c r="AI3573" s="11"/>
    </row>
    <row r="3574" ht="12.5" spans="3:35">
      <c r="C3574" s="19"/>
      <c r="D3574" s="19"/>
      <c r="H3574" s="105"/>
      <c r="I3574" s="126"/>
      <c r="J3574" s="11"/>
      <c r="K3574" s="108"/>
      <c r="L3574" s="11"/>
      <c r="M3574" s="105"/>
      <c r="N3574" s="105"/>
      <c r="O3574" s="11"/>
      <c r="P3574" s="11"/>
      <c r="Q3574" s="105"/>
      <c r="R3574" s="105"/>
      <c r="S3574" s="105"/>
      <c r="T3574" s="105"/>
      <c r="U3574" s="105"/>
      <c r="V3574" s="105"/>
      <c r="W3574" s="105"/>
      <c r="X3574" s="11"/>
      <c r="Y3574" s="11"/>
      <c r="Z3574" s="105"/>
      <c r="AA3574" s="11"/>
      <c r="AB3574" s="11"/>
      <c r="AC3574" s="105"/>
      <c r="AD3574" s="11" t="b">
        <v>0</v>
      </c>
      <c r="AE3574" s="105"/>
      <c r="AF3574" s="11"/>
      <c r="AG3574" s="11"/>
      <c r="AH3574" s="11"/>
      <c r="AI3574" s="11"/>
    </row>
    <row r="3575" ht="12.5" spans="3:35">
      <c r="C3575" s="19"/>
      <c r="D3575" s="19"/>
      <c r="H3575" s="105"/>
      <c r="I3575" s="126"/>
      <c r="J3575" s="11"/>
      <c r="K3575" s="108"/>
      <c r="L3575" s="11"/>
      <c r="M3575" s="105"/>
      <c r="N3575" s="105"/>
      <c r="O3575" s="11"/>
      <c r="P3575" s="11"/>
      <c r="Q3575" s="105"/>
      <c r="R3575" s="105"/>
      <c r="S3575" s="105"/>
      <c r="T3575" s="105"/>
      <c r="U3575" s="105"/>
      <c r="V3575" s="105"/>
      <c r="W3575" s="105"/>
      <c r="X3575" s="11"/>
      <c r="Y3575" s="11"/>
      <c r="Z3575" s="105"/>
      <c r="AA3575" s="11"/>
      <c r="AB3575" s="11"/>
      <c r="AC3575" s="105"/>
      <c r="AD3575" s="11" t="b">
        <v>0</v>
      </c>
      <c r="AE3575" s="105"/>
      <c r="AF3575" s="11"/>
      <c r="AG3575" s="11"/>
      <c r="AH3575" s="11"/>
      <c r="AI3575" s="11"/>
    </row>
    <row r="3576" ht="12.5" spans="3:35">
      <c r="C3576" s="19"/>
      <c r="D3576" s="19"/>
      <c r="H3576" s="105"/>
      <c r="I3576" s="126"/>
      <c r="J3576" s="11"/>
      <c r="K3576" s="108"/>
      <c r="L3576" s="11"/>
      <c r="M3576" s="105"/>
      <c r="N3576" s="105"/>
      <c r="O3576" s="11"/>
      <c r="P3576" s="11"/>
      <c r="Q3576" s="105"/>
      <c r="R3576" s="105"/>
      <c r="S3576" s="105"/>
      <c r="T3576" s="105"/>
      <c r="U3576" s="105"/>
      <c r="V3576" s="105"/>
      <c r="W3576" s="105"/>
      <c r="X3576" s="11"/>
      <c r="Y3576" s="11"/>
      <c r="Z3576" s="105"/>
      <c r="AA3576" s="11"/>
      <c r="AB3576" s="11"/>
      <c r="AC3576" s="105"/>
      <c r="AD3576" s="11" t="b">
        <v>0</v>
      </c>
      <c r="AE3576" s="105"/>
      <c r="AF3576" s="11"/>
      <c r="AG3576" s="11"/>
      <c r="AH3576" s="11"/>
      <c r="AI3576" s="11"/>
    </row>
    <row r="3577" ht="12.5" spans="3:35">
      <c r="C3577" s="19"/>
      <c r="D3577" s="19"/>
      <c r="H3577" s="105"/>
      <c r="I3577" s="126"/>
      <c r="J3577" s="11"/>
      <c r="K3577" s="108"/>
      <c r="L3577" s="11"/>
      <c r="M3577" s="105"/>
      <c r="N3577" s="105"/>
      <c r="O3577" s="11"/>
      <c r="P3577" s="11"/>
      <c r="Q3577" s="105"/>
      <c r="R3577" s="105"/>
      <c r="S3577" s="105"/>
      <c r="T3577" s="105"/>
      <c r="U3577" s="105"/>
      <c r="V3577" s="105"/>
      <c r="W3577" s="105"/>
      <c r="X3577" s="11"/>
      <c r="Y3577" s="11"/>
      <c r="Z3577" s="105"/>
      <c r="AA3577" s="11"/>
      <c r="AB3577" s="11"/>
      <c r="AC3577" s="105"/>
      <c r="AD3577" s="11" t="b">
        <v>0</v>
      </c>
      <c r="AE3577" s="105"/>
      <c r="AF3577" s="11"/>
      <c r="AG3577" s="11"/>
      <c r="AH3577" s="11"/>
      <c r="AI3577" s="11"/>
    </row>
    <row r="3578" ht="12.5" spans="3:35">
      <c r="C3578" s="19"/>
      <c r="D3578" s="19"/>
      <c r="H3578" s="105"/>
      <c r="I3578" s="126"/>
      <c r="J3578" s="11"/>
      <c r="K3578" s="108"/>
      <c r="L3578" s="11"/>
      <c r="M3578" s="105"/>
      <c r="N3578" s="105"/>
      <c r="O3578" s="11"/>
      <c r="P3578" s="11"/>
      <c r="Q3578" s="105"/>
      <c r="R3578" s="105"/>
      <c r="S3578" s="105"/>
      <c r="T3578" s="105"/>
      <c r="U3578" s="105"/>
      <c r="V3578" s="105"/>
      <c r="W3578" s="105"/>
      <c r="X3578" s="11"/>
      <c r="Y3578" s="11"/>
      <c r="Z3578" s="105"/>
      <c r="AA3578" s="11"/>
      <c r="AB3578" s="11"/>
      <c r="AC3578" s="105"/>
      <c r="AD3578" s="11" t="b">
        <v>0</v>
      </c>
      <c r="AE3578" s="105"/>
      <c r="AF3578" s="11"/>
      <c r="AG3578" s="11"/>
      <c r="AH3578" s="11"/>
      <c r="AI3578" s="11"/>
    </row>
    <row r="3579" ht="12.5" spans="3:35">
      <c r="C3579" s="19"/>
      <c r="D3579" s="19"/>
      <c r="H3579" s="105"/>
      <c r="I3579" s="126"/>
      <c r="J3579" s="11"/>
      <c r="K3579" s="108"/>
      <c r="L3579" s="11"/>
      <c r="M3579" s="105"/>
      <c r="N3579" s="105"/>
      <c r="O3579" s="11"/>
      <c r="P3579" s="11"/>
      <c r="Q3579" s="105"/>
      <c r="R3579" s="105"/>
      <c r="S3579" s="105"/>
      <c r="T3579" s="105"/>
      <c r="U3579" s="105"/>
      <c r="V3579" s="105"/>
      <c r="W3579" s="105"/>
      <c r="X3579" s="11"/>
      <c r="Y3579" s="11"/>
      <c r="Z3579" s="105"/>
      <c r="AA3579" s="11"/>
      <c r="AB3579" s="11"/>
      <c r="AC3579" s="105"/>
      <c r="AD3579" s="11" t="b">
        <v>0</v>
      </c>
      <c r="AE3579" s="105"/>
      <c r="AF3579" s="11"/>
      <c r="AG3579" s="11"/>
      <c r="AH3579" s="11"/>
      <c r="AI3579" s="11"/>
    </row>
    <row r="3580" ht="12.5" spans="3:35">
      <c r="C3580" s="19"/>
      <c r="D3580" s="19"/>
      <c r="H3580" s="105"/>
      <c r="I3580" s="126"/>
      <c r="J3580" s="11"/>
      <c r="K3580" s="108"/>
      <c r="L3580" s="11"/>
      <c r="M3580" s="105"/>
      <c r="N3580" s="105"/>
      <c r="O3580" s="11"/>
      <c r="P3580" s="11"/>
      <c r="Q3580" s="105"/>
      <c r="R3580" s="105"/>
      <c r="S3580" s="105"/>
      <c r="T3580" s="105"/>
      <c r="U3580" s="105"/>
      <c r="V3580" s="105"/>
      <c r="W3580" s="105"/>
      <c r="X3580" s="11"/>
      <c r="Y3580" s="11"/>
      <c r="Z3580" s="105"/>
      <c r="AA3580" s="11"/>
      <c r="AB3580" s="11"/>
      <c r="AC3580" s="105"/>
      <c r="AD3580" s="11" t="b">
        <v>0</v>
      </c>
      <c r="AE3580" s="105"/>
      <c r="AF3580" s="11"/>
      <c r="AG3580" s="11"/>
      <c r="AH3580" s="11"/>
      <c r="AI3580" s="11"/>
    </row>
    <row r="3581" ht="12.5" spans="3:35">
      <c r="C3581" s="19"/>
      <c r="D3581" s="19"/>
      <c r="H3581" s="105"/>
      <c r="I3581" s="126"/>
      <c r="J3581" s="11"/>
      <c r="K3581" s="108"/>
      <c r="L3581" s="11"/>
      <c r="M3581" s="105"/>
      <c r="N3581" s="105"/>
      <c r="O3581" s="11"/>
      <c r="P3581" s="11"/>
      <c r="Q3581" s="105"/>
      <c r="R3581" s="105"/>
      <c r="S3581" s="105"/>
      <c r="T3581" s="105"/>
      <c r="U3581" s="105"/>
      <c r="V3581" s="105"/>
      <c r="W3581" s="105"/>
      <c r="X3581" s="11"/>
      <c r="Y3581" s="11"/>
      <c r="Z3581" s="105"/>
      <c r="AA3581" s="11"/>
      <c r="AB3581" s="11"/>
      <c r="AC3581" s="105"/>
      <c r="AD3581" s="11" t="b">
        <v>0</v>
      </c>
      <c r="AE3581" s="105"/>
      <c r="AF3581" s="11"/>
      <c r="AG3581" s="11"/>
      <c r="AH3581" s="11"/>
      <c r="AI3581" s="11"/>
    </row>
    <row r="3582" ht="12.5" spans="3:35">
      <c r="C3582" s="19"/>
      <c r="D3582" s="19"/>
      <c r="H3582" s="105"/>
      <c r="I3582" s="126"/>
      <c r="J3582" s="11"/>
      <c r="K3582" s="108"/>
      <c r="L3582" s="11"/>
      <c r="M3582" s="105"/>
      <c r="N3582" s="105"/>
      <c r="O3582" s="11"/>
      <c r="P3582" s="11"/>
      <c r="Q3582" s="105"/>
      <c r="R3582" s="105"/>
      <c r="S3582" s="105"/>
      <c r="T3582" s="105"/>
      <c r="U3582" s="105"/>
      <c r="V3582" s="105"/>
      <c r="W3582" s="105"/>
      <c r="X3582" s="11"/>
      <c r="Y3582" s="11"/>
      <c r="Z3582" s="105"/>
      <c r="AA3582" s="11"/>
      <c r="AB3582" s="11"/>
      <c r="AC3582" s="105"/>
      <c r="AD3582" s="11" t="b">
        <v>0</v>
      </c>
      <c r="AE3582" s="105"/>
      <c r="AF3582" s="11"/>
      <c r="AG3582" s="11"/>
      <c r="AH3582" s="11"/>
      <c r="AI3582" s="11"/>
    </row>
    <row r="3583" ht="12.5" spans="3:35">
      <c r="C3583" s="19"/>
      <c r="D3583" s="19"/>
      <c r="H3583" s="105"/>
      <c r="I3583" s="126"/>
      <c r="J3583" s="11"/>
      <c r="K3583" s="108"/>
      <c r="L3583" s="11"/>
      <c r="M3583" s="105"/>
      <c r="N3583" s="105"/>
      <c r="O3583" s="11"/>
      <c r="P3583" s="11"/>
      <c r="Q3583" s="105"/>
      <c r="R3583" s="105"/>
      <c r="S3583" s="105"/>
      <c r="T3583" s="105"/>
      <c r="U3583" s="105"/>
      <c r="V3583" s="105"/>
      <c r="W3583" s="105"/>
      <c r="X3583" s="11"/>
      <c r="Y3583" s="11"/>
      <c r="Z3583" s="105"/>
      <c r="AA3583" s="11"/>
      <c r="AB3583" s="11"/>
      <c r="AC3583" s="105"/>
      <c r="AD3583" s="11" t="b">
        <v>0</v>
      </c>
      <c r="AE3583" s="105"/>
      <c r="AF3583" s="11"/>
      <c r="AG3583" s="11"/>
      <c r="AH3583" s="11"/>
      <c r="AI3583" s="11"/>
    </row>
    <row r="3584" ht="12.5" spans="3:35">
      <c r="C3584" s="19"/>
      <c r="D3584" s="19"/>
      <c r="H3584" s="105"/>
      <c r="I3584" s="126"/>
      <c r="J3584" s="11"/>
      <c r="K3584" s="108"/>
      <c r="L3584" s="11"/>
      <c r="M3584" s="105"/>
      <c r="N3584" s="105"/>
      <c r="O3584" s="11"/>
      <c r="P3584" s="11"/>
      <c r="Q3584" s="105"/>
      <c r="R3584" s="105"/>
      <c r="S3584" s="105"/>
      <c r="T3584" s="105"/>
      <c r="U3584" s="105"/>
      <c r="V3584" s="105"/>
      <c r="W3584" s="105"/>
      <c r="X3584" s="11"/>
      <c r="Y3584" s="11"/>
      <c r="Z3584" s="105"/>
      <c r="AA3584" s="11"/>
      <c r="AB3584" s="11"/>
      <c r="AC3584" s="105"/>
      <c r="AD3584" s="11" t="b">
        <v>0</v>
      </c>
      <c r="AE3584" s="105"/>
      <c r="AF3584" s="11"/>
      <c r="AG3584" s="11"/>
      <c r="AH3584" s="11"/>
      <c r="AI3584" s="11"/>
    </row>
    <row r="3585" ht="12.5" spans="3:35">
      <c r="C3585" s="19"/>
      <c r="D3585" s="19"/>
      <c r="H3585" s="105"/>
      <c r="I3585" s="126"/>
      <c r="J3585" s="11"/>
      <c r="K3585" s="108"/>
      <c r="L3585" s="11"/>
      <c r="M3585" s="105"/>
      <c r="N3585" s="105"/>
      <c r="O3585" s="11"/>
      <c r="P3585" s="11"/>
      <c r="Q3585" s="105"/>
      <c r="R3585" s="105"/>
      <c r="S3585" s="105"/>
      <c r="T3585" s="105"/>
      <c r="U3585" s="105"/>
      <c r="V3585" s="105"/>
      <c r="W3585" s="105"/>
      <c r="X3585" s="11"/>
      <c r="Y3585" s="11"/>
      <c r="Z3585" s="105"/>
      <c r="AA3585" s="11"/>
      <c r="AB3585" s="11"/>
      <c r="AC3585" s="105"/>
      <c r="AD3585" s="11" t="b">
        <v>0</v>
      </c>
      <c r="AE3585" s="105"/>
      <c r="AF3585" s="11"/>
      <c r="AG3585" s="11"/>
      <c r="AH3585" s="11"/>
      <c r="AI3585" s="11"/>
    </row>
    <row r="3586" ht="12.5" spans="3:35">
      <c r="C3586" s="19"/>
      <c r="D3586" s="19"/>
      <c r="H3586" s="105"/>
      <c r="I3586" s="126"/>
      <c r="J3586" s="11"/>
      <c r="K3586" s="108"/>
      <c r="L3586" s="11"/>
      <c r="M3586" s="105"/>
      <c r="N3586" s="105"/>
      <c r="O3586" s="11"/>
      <c r="P3586" s="11"/>
      <c r="Q3586" s="105"/>
      <c r="R3586" s="105"/>
      <c r="S3586" s="105"/>
      <c r="T3586" s="105"/>
      <c r="U3586" s="105"/>
      <c r="V3586" s="105"/>
      <c r="W3586" s="105"/>
      <c r="X3586" s="11"/>
      <c r="Y3586" s="11"/>
      <c r="Z3586" s="105"/>
      <c r="AA3586" s="11"/>
      <c r="AB3586" s="11"/>
      <c r="AC3586" s="105"/>
      <c r="AD3586" s="11" t="b">
        <v>0</v>
      </c>
      <c r="AE3586" s="105"/>
      <c r="AF3586" s="11"/>
      <c r="AG3586" s="11"/>
      <c r="AH3586" s="11"/>
      <c r="AI3586" s="11"/>
    </row>
    <row r="3587" ht="12.5" spans="3:35">
      <c r="C3587" s="19"/>
      <c r="D3587" s="19"/>
      <c r="H3587" s="105"/>
      <c r="I3587" s="126"/>
      <c r="J3587" s="11"/>
      <c r="K3587" s="108"/>
      <c r="L3587" s="11"/>
      <c r="M3587" s="105"/>
      <c r="N3587" s="105"/>
      <c r="O3587" s="11"/>
      <c r="P3587" s="11"/>
      <c r="Q3587" s="105"/>
      <c r="R3587" s="105"/>
      <c r="S3587" s="105"/>
      <c r="T3587" s="105"/>
      <c r="U3587" s="105"/>
      <c r="V3587" s="105"/>
      <c r="W3587" s="105"/>
      <c r="X3587" s="11"/>
      <c r="Y3587" s="11"/>
      <c r="Z3587" s="105"/>
      <c r="AA3587" s="11"/>
      <c r="AB3587" s="11"/>
      <c r="AC3587" s="105"/>
      <c r="AD3587" s="11" t="b">
        <v>0</v>
      </c>
      <c r="AE3587" s="105"/>
      <c r="AF3587" s="11"/>
      <c r="AG3587" s="11"/>
      <c r="AH3587" s="11"/>
      <c r="AI3587" s="11"/>
    </row>
    <row r="3588" ht="12.5" spans="3:35">
      <c r="C3588" s="19"/>
      <c r="D3588" s="19"/>
      <c r="H3588" s="105"/>
      <c r="I3588" s="126"/>
      <c r="J3588" s="11"/>
      <c r="K3588" s="108"/>
      <c r="L3588" s="11"/>
      <c r="M3588" s="105"/>
      <c r="N3588" s="105"/>
      <c r="O3588" s="11"/>
      <c r="P3588" s="11"/>
      <c r="Q3588" s="105"/>
      <c r="R3588" s="105"/>
      <c r="S3588" s="105"/>
      <c r="T3588" s="105"/>
      <c r="U3588" s="105"/>
      <c r="V3588" s="105"/>
      <c r="W3588" s="105"/>
      <c r="X3588" s="11"/>
      <c r="Y3588" s="11"/>
      <c r="Z3588" s="105"/>
      <c r="AA3588" s="11"/>
      <c r="AB3588" s="11"/>
      <c r="AC3588" s="105"/>
      <c r="AD3588" s="11" t="b">
        <v>0</v>
      </c>
      <c r="AE3588" s="105"/>
      <c r="AF3588" s="11"/>
      <c r="AG3588" s="11"/>
      <c r="AH3588" s="11"/>
      <c r="AI3588" s="11"/>
    </row>
    <row r="3589" ht="12.5" spans="3:35">
      <c r="C3589" s="19"/>
      <c r="D3589" s="19"/>
      <c r="H3589" s="105"/>
      <c r="I3589" s="126"/>
      <c r="J3589" s="11"/>
      <c r="K3589" s="108"/>
      <c r="L3589" s="11"/>
      <c r="M3589" s="105"/>
      <c r="N3589" s="105"/>
      <c r="O3589" s="11"/>
      <c r="P3589" s="11"/>
      <c r="Q3589" s="105"/>
      <c r="R3589" s="105"/>
      <c r="S3589" s="105"/>
      <c r="T3589" s="105"/>
      <c r="U3589" s="105"/>
      <c r="V3589" s="105"/>
      <c r="W3589" s="105"/>
      <c r="X3589" s="11"/>
      <c r="Y3589" s="11"/>
      <c r="Z3589" s="105"/>
      <c r="AA3589" s="11"/>
      <c r="AB3589" s="11"/>
      <c r="AC3589" s="105"/>
      <c r="AD3589" s="11" t="b">
        <v>0</v>
      </c>
      <c r="AE3589" s="105"/>
      <c r="AF3589" s="11"/>
      <c r="AG3589" s="11"/>
      <c r="AH3589" s="11"/>
      <c r="AI3589" s="11"/>
    </row>
    <row r="3590" ht="12.5" spans="3:35">
      <c r="C3590" s="19"/>
      <c r="D3590" s="19"/>
      <c r="H3590" s="105"/>
      <c r="I3590" s="126"/>
      <c r="J3590" s="11"/>
      <c r="K3590" s="108"/>
      <c r="L3590" s="11"/>
      <c r="M3590" s="105"/>
      <c r="N3590" s="105"/>
      <c r="O3590" s="11"/>
      <c r="P3590" s="11"/>
      <c r="Q3590" s="105"/>
      <c r="R3590" s="105"/>
      <c r="S3590" s="105"/>
      <c r="T3590" s="105"/>
      <c r="U3590" s="105"/>
      <c r="V3590" s="105"/>
      <c r="W3590" s="105"/>
      <c r="X3590" s="11"/>
      <c r="Y3590" s="11"/>
      <c r="Z3590" s="105"/>
      <c r="AA3590" s="11"/>
      <c r="AB3590" s="11"/>
      <c r="AC3590" s="105"/>
      <c r="AD3590" s="11" t="b">
        <v>0</v>
      </c>
      <c r="AE3590" s="105"/>
      <c r="AF3590" s="11"/>
      <c r="AG3590" s="11"/>
      <c r="AH3590" s="11"/>
      <c r="AI3590" s="11"/>
    </row>
    <row r="3591" ht="12.5" spans="3:35">
      <c r="C3591" s="19"/>
      <c r="D3591" s="19"/>
      <c r="H3591" s="105"/>
      <c r="I3591" s="126"/>
      <c r="J3591" s="11"/>
      <c r="K3591" s="108"/>
      <c r="L3591" s="11"/>
      <c r="M3591" s="105"/>
      <c r="N3591" s="105"/>
      <c r="O3591" s="11"/>
      <c r="P3591" s="11"/>
      <c r="Q3591" s="105"/>
      <c r="R3591" s="105"/>
      <c r="S3591" s="105"/>
      <c r="T3591" s="105"/>
      <c r="U3591" s="105"/>
      <c r="V3591" s="105"/>
      <c r="W3591" s="105"/>
      <c r="X3591" s="11"/>
      <c r="Y3591" s="11"/>
      <c r="Z3591" s="105"/>
      <c r="AA3591" s="11"/>
      <c r="AB3591" s="11"/>
      <c r="AC3591" s="105"/>
      <c r="AD3591" s="11" t="b">
        <v>0</v>
      </c>
      <c r="AE3591" s="105"/>
      <c r="AF3591" s="11"/>
      <c r="AG3591" s="11"/>
      <c r="AH3591" s="11"/>
      <c r="AI3591" s="11"/>
    </row>
    <row r="3592" ht="12.5" spans="3:35">
      <c r="C3592" s="19"/>
      <c r="D3592" s="19"/>
      <c r="H3592" s="105"/>
      <c r="I3592" s="126"/>
      <c r="J3592" s="11"/>
      <c r="K3592" s="108"/>
      <c r="L3592" s="11"/>
      <c r="M3592" s="105"/>
      <c r="N3592" s="105"/>
      <c r="O3592" s="11"/>
      <c r="P3592" s="11"/>
      <c r="Q3592" s="105"/>
      <c r="R3592" s="105"/>
      <c r="S3592" s="105"/>
      <c r="T3592" s="105"/>
      <c r="U3592" s="105"/>
      <c r="V3592" s="105"/>
      <c r="W3592" s="105"/>
      <c r="X3592" s="11"/>
      <c r="Y3592" s="11"/>
      <c r="Z3592" s="105"/>
      <c r="AA3592" s="11"/>
      <c r="AB3592" s="11"/>
      <c r="AC3592" s="105"/>
      <c r="AD3592" s="11" t="b">
        <v>0</v>
      </c>
      <c r="AE3592" s="105"/>
      <c r="AF3592" s="11"/>
      <c r="AG3592" s="11"/>
      <c r="AH3592" s="11"/>
      <c r="AI3592" s="11"/>
    </row>
    <row r="3593" ht="12.5" spans="3:35">
      <c r="C3593" s="19"/>
      <c r="D3593" s="19"/>
      <c r="H3593" s="105"/>
      <c r="I3593" s="126"/>
      <c r="J3593" s="11"/>
      <c r="K3593" s="108"/>
      <c r="L3593" s="11"/>
      <c r="M3593" s="105"/>
      <c r="N3593" s="105"/>
      <c r="O3593" s="11"/>
      <c r="P3593" s="11"/>
      <c r="Q3593" s="105"/>
      <c r="R3593" s="105"/>
      <c r="S3593" s="105"/>
      <c r="T3593" s="105"/>
      <c r="U3593" s="105"/>
      <c r="V3593" s="105"/>
      <c r="W3593" s="105"/>
      <c r="X3593" s="11"/>
      <c r="Y3593" s="11"/>
      <c r="Z3593" s="105"/>
      <c r="AA3593" s="11"/>
      <c r="AB3593" s="11"/>
      <c r="AC3593" s="105"/>
      <c r="AD3593" s="11" t="b">
        <v>0</v>
      </c>
      <c r="AE3593" s="105"/>
      <c r="AF3593" s="11"/>
      <c r="AG3593" s="11"/>
      <c r="AH3593" s="11"/>
      <c r="AI3593" s="11"/>
    </row>
    <row r="3594" ht="12.5" spans="3:35">
      <c r="C3594" s="19"/>
      <c r="D3594" s="19"/>
      <c r="H3594" s="105"/>
      <c r="I3594" s="126"/>
      <c r="J3594" s="11"/>
      <c r="K3594" s="108"/>
      <c r="L3594" s="11"/>
      <c r="M3594" s="105"/>
      <c r="N3594" s="105"/>
      <c r="O3594" s="11"/>
      <c r="P3594" s="11"/>
      <c r="Q3594" s="105"/>
      <c r="R3594" s="105"/>
      <c r="S3594" s="105"/>
      <c r="T3594" s="105"/>
      <c r="U3594" s="105"/>
      <c r="V3594" s="105"/>
      <c r="W3594" s="105"/>
      <c r="X3594" s="11"/>
      <c r="Y3594" s="11"/>
      <c r="Z3594" s="105"/>
      <c r="AA3594" s="11"/>
      <c r="AB3594" s="11"/>
      <c r="AC3594" s="105"/>
      <c r="AD3594" s="11" t="b">
        <v>0</v>
      </c>
      <c r="AE3594" s="105"/>
      <c r="AF3594" s="11"/>
      <c r="AG3594" s="11"/>
      <c r="AH3594" s="11"/>
      <c r="AI3594" s="11"/>
    </row>
    <row r="3595" ht="12.5" spans="3:35">
      <c r="C3595" s="19"/>
      <c r="D3595" s="19"/>
      <c r="H3595" s="105"/>
      <c r="I3595" s="126"/>
      <c r="J3595" s="11"/>
      <c r="K3595" s="108"/>
      <c r="L3595" s="11"/>
      <c r="M3595" s="105"/>
      <c r="N3595" s="105"/>
      <c r="O3595" s="11"/>
      <c r="P3595" s="11"/>
      <c r="Q3595" s="105"/>
      <c r="R3595" s="105"/>
      <c r="S3595" s="105"/>
      <c r="T3595" s="105"/>
      <c r="U3595" s="105"/>
      <c r="V3595" s="105"/>
      <c r="W3595" s="105"/>
      <c r="X3595" s="11"/>
      <c r="Y3595" s="11"/>
      <c r="Z3595" s="105"/>
      <c r="AA3595" s="11"/>
      <c r="AB3595" s="11"/>
      <c r="AC3595" s="105"/>
      <c r="AD3595" s="11" t="b">
        <v>0</v>
      </c>
      <c r="AE3595" s="105"/>
      <c r="AF3595" s="11"/>
      <c r="AG3595" s="11"/>
      <c r="AH3595" s="11"/>
      <c r="AI3595" s="11"/>
    </row>
    <row r="3596" ht="12.5" spans="3:35">
      <c r="C3596" s="19"/>
      <c r="D3596" s="19"/>
      <c r="H3596" s="105"/>
      <c r="I3596" s="126"/>
      <c r="J3596" s="11"/>
      <c r="K3596" s="108"/>
      <c r="L3596" s="11"/>
      <c r="M3596" s="105"/>
      <c r="N3596" s="105"/>
      <c r="O3596" s="11"/>
      <c r="P3596" s="11"/>
      <c r="Q3596" s="105"/>
      <c r="R3596" s="105"/>
      <c r="S3596" s="105"/>
      <c r="T3596" s="105"/>
      <c r="U3596" s="105"/>
      <c r="V3596" s="105"/>
      <c r="W3596" s="105"/>
      <c r="X3596" s="11"/>
      <c r="Y3596" s="11"/>
      <c r="Z3596" s="105"/>
      <c r="AA3596" s="11"/>
      <c r="AB3596" s="11"/>
      <c r="AC3596" s="105"/>
      <c r="AD3596" s="11" t="b">
        <v>0</v>
      </c>
      <c r="AE3596" s="105"/>
      <c r="AF3596" s="11"/>
      <c r="AG3596" s="11"/>
      <c r="AH3596" s="11"/>
      <c r="AI3596" s="11"/>
    </row>
    <row r="3597" ht="12.5" spans="3:35">
      <c r="C3597" s="19"/>
      <c r="D3597" s="19"/>
      <c r="H3597" s="105"/>
      <c r="I3597" s="126"/>
      <c r="J3597" s="11"/>
      <c r="K3597" s="108"/>
      <c r="L3597" s="11"/>
      <c r="M3597" s="105"/>
      <c r="N3597" s="105"/>
      <c r="O3597" s="11"/>
      <c r="P3597" s="11"/>
      <c r="Q3597" s="105"/>
      <c r="R3597" s="105"/>
      <c r="S3597" s="105"/>
      <c r="T3597" s="105"/>
      <c r="U3597" s="105"/>
      <c r="V3597" s="105"/>
      <c r="W3597" s="105"/>
      <c r="X3597" s="11"/>
      <c r="Y3597" s="11"/>
      <c r="Z3597" s="105"/>
      <c r="AA3597" s="11"/>
      <c r="AB3597" s="11"/>
      <c r="AC3597" s="105"/>
      <c r="AD3597" s="11" t="b">
        <v>0</v>
      </c>
      <c r="AE3597" s="105"/>
      <c r="AF3597" s="11"/>
      <c r="AG3597" s="11"/>
      <c r="AH3597" s="11"/>
      <c r="AI3597" s="11"/>
    </row>
    <row r="3598" ht="12.5" spans="3:35">
      <c r="C3598" s="19"/>
      <c r="D3598" s="19"/>
      <c r="H3598" s="105"/>
      <c r="I3598" s="126"/>
      <c r="J3598" s="11"/>
      <c r="K3598" s="108"/>
      <c r="L3598" s="11"/>
      <c r="M3598" s="105"/>
      <c r="N3598" s="105"/>
      <c r="O3598" s="11"/>
      <c r="P3598" s="11"/>
      <c r="Q3598" s="105"/>
      <c r="R3598" s="105"/>
      <c r="S3598" s="105"/>
      <c r="T3598" s="105"/>
      <c r="U3598" s="105"/>
      <c r="V3598" s="105"/>
      <c r="W3598" s="105"/>
      <c r="X3598" s="11"/>
      <c r="Y3598" s="11"/>
      <c r="Z3598" s="105"/>
      <c r="AA3598" s="11"/>
      <c r="AB3598" s="11"/>
      <c r="AC3598" s="105"/>
      <c r="AD3598" s="11" t="b">
        <v>0</v>
      </c>
      <c r="AE3598" s="105"/>
      <c r="AF3598" s="11"/>
      <c r="AG3598" s="11"/>
      <c r="AH3598" s="11"/>
      <c r="AI3598" s="11"/>
    </row>
    <row r="3599" ht="12.5" spans="3:35">
      <c r="C3599" s="19"/>
      <c r="D3599" s="19"/>
      <c r="H3599" s="105"/>
      <c r="I3599" s="126"/>
      <c r="J3599" s="11"/>
      <c r="K3599" s="108"/>
      <c r="L3599" s="11"/>
      <c r="M3599" s="105"/>
      <c r="N3599" s="105"/>
      <c r="O3599" s="11"/>
      <c r="P3599" s="11"/>
      <c r="Q3599" s="105"/>
      <c r="R3599" s="105"/>
      <c r="S3599" s="105"/>
      <c r="T3599" s="105"/>
      <c r="U3599" s="105"/>
      <c r="V3599" s="105"/>
      <c r="W3599" s="105"/>
      <c r="X3599" s="11"/>
      <c r="Y3599" s="11"/>
      <c r="Z3599" s="105"/>
      <c r="AA3599" s="11"/>
      <c r="AB3599" s="11"/>
      <c r="AC3599" s="105"/>
      <c r="AD3599" s="11" t="b">
        <v>0</v>
      </c>
      <c r="AE3599" s="105"/>
      <c r="AF3599" s="11"/>
      <c r="AG3599" s="11"/>
      <c r="AH3599" s="11"/>
      <c r="AI3599" s="11"/>
    </row>
    <row r="3600" ht="12.5" spans="3:35">
      <c r="C3600" s="19"/>
      <c r="D3600" s="19"/>
      <c r="H3600" s="105"/>
      <c r="I3600" s="126"/>
      <c r="J3600" s="11"/>
      <c r="K3600" s="108"/>
      <c r="L3600" s="11"/>
      <c r="M3600" s="105"/>
      <c r="N3600" s="105"/>
      <c r="O3600" s="11"/>
      <c r="P3600" s="11"/>
      <c r="Q3600" s="105"/>
      <c r="R3600" s="105"/>
      <c r="S3600" s="105"/>
      <c r="T3600" s="105"/>
      <c r="U3600" s="105"/>
      <c r="V3600" s="105"/>
      <c r="W3600" s="105"/>
      <c r="X3600" s="11"/>
      <c r="Y3600" s="11"/>
      <c r="Z3600" s="105"/>
      <c r="AA3600" s="11"/>
      <c r="AB3600" s="11"/>
      <c r="AC3600" s="105"/>
      <c r="AD3600" s="11" t="b">
        <v>0</v>
      </c>
      <c r="AE3600" s="105"/>
      <c r="AF3600" s="11"/>
      <c r="AG3600" s="11"/>
      <c r="AH3600" s="11"/>
      <c r="AI3600" s="11"/>
    </row>
    <row r="3601" ht="12.5" spans="3:35">
      <c r="C3601" s="19"/>
      <c r="D3601" s="19"/>
      <c r="H3601" s="105"/>
      <c r="I3601" s="126"/>
      <c r="J3601" s="11"/>
      <c r="K3601" s="108"/>
      <c r="L3601" s="11"/>
      <c r="M3601" s="105"/>
      <c r="N3601" s="105"/>
      <c r="O3601" s="11"/>
      <c r="P3601" s="11"/>
      <c r="Q3601" s="105"/>
      <c r="R3601" s="105"/>
      <c r="S3601" s="105"/>
      <c r="T3601" s="105"/>
      <c r="U3601" s="105"/>
      <c r="V3601" s="105"/>
      <c r="W3601" s="105"/>
      <c r="X3601" s="11"/>
      <c r="Y3601" s="11"/>
      <c r="Z3601" s="105"/>
      <c r="AA3601" s="11"/>
      <c r="AB3601" s="11"/>
      <c r="AC3601" s="105"/>
      <c r="AD3601" s="11" t="b">
        <v>0</v>
      </c>
      <c r="AE3601" s="105"/>
      <c r="AF3601" s="11"/>
      <c r="AG3601" s="11"/>
      <c r="AH3601" s="11"/>
      <c r="AI3601" s="11"/>
    </row>
    <row r="3602" ht="12.5" spans="3:35">
      <c r="C3602" s="19"/>
      <c r="D3602" s="19"/>
      <c r="H3602" s="105"/>
      <c r="I3602" s="126"/>
      <c r="J3602" s="11"/>
      <c r="K3602" s="108"/>
      <c r="L3602" s="11"/>
      <c r="M3602" s="105"/>
      <c r="N3602" s="105"/>
      <c r="O3602" s="11"/>
      <c r="P3602" s="11"/>
      <c r="Q3602" s="105"/>
      <c r="R3602" s="105"/>
      <c r="S3602" s="105"/>
      <c r="T3602" s="105"/>
      <c r="U3602" s="105"/>
      <c r="V3602" s="105"/>
      <c r="W3602" s="105"/>
      <c r="X3602" s="11"/>
      <c r="Y3602" s="11"/>
      <c r="Z3602" s="105"/>
      <c r="AA3602" s="11"/>
      <c r="AB3602" s="11"/>
      <c r="AC3602" s="105"/>
      <c r="AD3602" s="11" t="b">
        <v>0</v>
      </c>
      <c r="AE3602" s="105"/>
      <c r="AF3602" s="11"/>
      <c r="AG3602" s="11"/>
      <c r="AH3602" s="11"/>
      <c r="AI3602" s="11"/>
    </row>
    <row r="3603" ht="12.5" spans="3:35">
      <c r="C3603" s="19"/>
      <c r="D3603" s="19"/>
      <c r="H3603" s="105"/>
      <c r="I3603" s="126"/>
      <c r="J3603" s="11"/>
      <c r="K3603" s="108"/>
      <c r="L3603" s="11"/>
      <c r="M3603" s="105"/>
      <c r="N3603" s="105"/>
      <c r="O3603" s="11"/>
      <c r="P3603" s="11"/>
      <c r="Q3603" s="105"/>
      <c r="R3603" s="105"/>
      <c r="S3603" s="105"/>
      <c r="T3603" s="105"/>
      <c r="U3603" s="105"/>
      <c r="V3603" s="105"/>
      <c r="W3603" s="105"/>
      <c r="X3603" s="11"/>
      <c r="Y3603" s="11"/>
      <c r="Z3603" s="105"/>
      <c r="AA3603" s="11"/>
      <c r="AB3603" s="11"/>
      <c r="AC3603" s="105"/>
      <c r="AD3603" s="11" t="b">
        <v>0</v>
      </c>
      <c r="AE3603" s="105"/>
      <c r="AF3603" s="11"/>
      <c r="AG3603" s="11"/>
      <c r="AH3603" s="11"/>
      <c r="AI3603" s="11"/>
    </row>
    <row r="3604" ht="12.5" spans="3:35">
      <c r="C3604" s="19"/>
      <c r="D3604" s="19"/>
      <c r="H3604" s="105"/>
      <c r="I3604" s="126"/>
      <c r="J3604" s="11"/>
      <c r="K3604" s="108"/>
      <c r="L3604" s="11"/>
      <c r="M3604" s="105"/>
      <c r="N3604" s="105"/>
      <c r="O3604" s="11"/>
      <c r="P3604" s="11"/>
      <c r="Q3604" s="105"/>
      <c r="R3604" s="105"/>
      <c r="S3604" s="105"/>
      <c r="T3604" s="105"/>
      <c r="U3604" s="105"/>
      <c r="V3604" s="105"/>
      <c r="W3604" s="105"/>
      <c r="X3604" s="11"/>
      <c r="Y3604" s="11"/>
      <c r="Z3604" s="105"/>
      <c r="AA3604" s="11"/>
      <c r="AB3604" s="11"/>
      <c r="AC3604" s="105"/>
      <c r="AD3604" s="11" t="b">
        <v>0</v>
      </c>
      <c r="AE3604" s="105"/>
      <c r="AF3604" s="11"/>
      <c r="AG3604" s="11"/>
      <c r="AH3604" s="11"/>
      <c r="AI3604" s="11"/>
    </row>
    <row r="3605" ht="12.5" spans="3:35">
      <c r="C3605" s="19"/>
      <c r="D3605" s="19"/>
      <c r="H3605" s="105"/>
      <c r="I3605" s="126"/>
      <c r="J3605" s="11"/>
      <c r="K3605" s="108"/>
      <c r="L3605" s="11"/>
      <c r="M3605" s="105"/>
      <c r="N3605" s="105"/>
      <c r="O3605" s="11"/>
      <c r="P3605" s="11"/>
      <c r="Q3605" s="105"/>
      <c r="R3605" s="105"/>
      <c r="S3605" s="105"/>
      <c r="T3605" s="105"/>
      <c r="U3605" s="105"/>
      <c r="V3605" s="105"/>
      <c r="W3605" s="105"/>
      <c r="X3605" s="11"/>
      <c r="Y3605" s="11"/>
      <c r="Z3605" s="105"/>
      <c r="AA3605" s="11"/>
      <c r="AB3605" s="11"/>
      <c r="AC3605" s="105"/>
      <c r="AD3605" s="11" t="b">
        <v>0</v>
      </c>
      <c r="AE3605" s="105"/>
      <c r="AF3605" s="11"/>
      <c r="AG3605" s="11"/>
      <c r="AH3605" s="11"/>
      <c r="AI3605" s="11"/>
    </row>
    <row r="3606" ht="12.5" spans="3:35">
      <c r="C3606" s="19"/>
      <c r="D3606" s="19"/>
      <c r="H3606" s="105"/>
      <c r="I3606" s="126"/>
      <c r="J3606" s="11"/>
      <c r="K3606" s="108"/>
      <c r="L3606" s="11"/>
      <c r="M3606" s="105"/>
      <c r="N3606" s="105"/>
      <c r="O3606" s="11"/>
      <c r="P3606" s="11"/>
      <c r="Q3606" s="105"/>
      <c r="R3606" s="105"/>
      <c r="S3606" s="105"/>
      <c r="T3606" s="105"/>
      <c r="U3606" s="105"/>
      <c r="V3606" s="105"/>
      <c r="W3606" s="105"/>
      <c r="X3606" s="11"/>
      <c r="Y3606" s="11"/>
      <c r="Z3606" s="105"/>
      <c r="AA3606" s="11"/>
      <c r="AB3606" s="11"/>
      <c r="AC3606" s="105"/>
      <c r="AD3606" s="11" t="b">
        <v>0</v>
      </c>
      <c r="AE3606" s="105"/>
      <c r="AF3606" s="11"/>
      <c r="AG3606" s="11"/>
      <c r="AH3606" s="11"/>
      <c r="AI3606" s="11"/>
    </row>
    <row r="3607" ht="12.5" spans="3:35">
      <c r="C3607" s="19"/>
      <c r="D3607" s="19"/>
      <c r="H3607" s="105"/>
      <c r="I3607" s="126"/>
      <c r="J3607" s="11"/>
      <c r="K3607" s="108"/>
      <c r="L3607" s="11"/>
      <c r="M3607" s="105"/>
      <c r="N3607" s="105"/>
      <c r="O3607" s="11"/>
      <c r="P3607" s="11"/>
      <c r="Q3607" s="105"/>
      <c r="R3607" s="105"/>
      <c r="S3607" s="105"/>
      <c r="T3607" s="105"/>
      <c r="U3607" s="105"/>
      <c r="V3607" s="105"/>
      <c r="W3607" s="105"/>
      <c r="X3607" s="11"/>
      <c r="Y3607" s="11"/>
      <c r="Z3607" s="105"/>
      <c r="AA3607" s="11"/>
      <c r="AB3607" s="11"/>
      <c r="AC3607" s="105"/>
      <c r="AD3607" s="11" t="b">
        <v>0</v>
      </c>
      <c r="AE3607" s="105"/>
      <c r="AF3607" s="11"/>
      <c r="AG3607" s="11"/>
      <c r="AH3607" s="11"/>
      <c r="AI3607" s="11"/>
    </row>
    <row r="3608" ht="12.5" spans="3:35">
      <c r="C3608" s="19"/>
      <c r="D3608" s="19"/>
      <c r="H3608" s="105"/>
      <c r="I3608" s="126"/>
      <c r="J3608" s="11"/>
      <c r="K3608" s="108"/>
      <c r="L3608" s="11"/>
      <c r="M3608" s="105"/>
      <c r="N3608" s="105"/>
      <c r="O3608" s="11"/>
      <c r="P3608" s="11"/>
      <c r="Q3608" s="105"/>
      <c r="R3608" s="105"/>
      <c r="S3608" s="105"/>
      <c r="T3608" s="105"/>
      <c r="U3608" s="105"/>
      <c r="V3608" s="105"/>
      <c r="W3608" s="105"/>
      <c r="X3608" s="11"/>
      <c r="Y3608" s="11"/>
      <c r="Z3608" s="105"/>
      <c r="AA3608" s="11"/>
      <c r="AB3608" s="11"/>
      <c r="AC3608" s="105"/>
      <c r="AD3608" s="11" t="b">
        <v>0</v>
      </c>
      <c r="AE3608" s="105"/>
      <c r="AF3608" s="11"/>
      <c r="AG3608" s="11"/>
      <c r="AH3608" s="11"/>
      <c r="AI3608" s="11"/>
    </row>
    <row r="3609" ht="12.5" spans="3:35">
      <c r="C3609" s="19"/>
      <c r="D3609" s="19"/>
      <c r="H3609" s="105"/>
      <c r="I3609" s="126"/>
      <c r="J3609" s="11"/>
      <c r="K3609" s="108"/>
      <c r="L3609" s="11"/>
      <c r="M3609" s="105"/>
      <c r="N3609" s="105"/>
      <c r="O3609" s="11"/>
      <c r="P3609" s="11"/>
      <c r="Q3609" s="105"/>
      <c r="R3609" s="105"/>
      <c r="S3609" s="105"/>
      <c r="T3609" s="105"/>
      <c r="U3609" s="105"/>
      <c r="V3609" s="105"/>
      <c r="W3609" s="105"/>
      <c r="X3609" s="11"/>
      <c r="Y3609" s="11"/>
      <c r="Z3609" s="105"/>
      <c r="AA3609" s="11"/>
      <c r="AB3609" s="11"/>
      <c r="AC3609" s="105"/>
      <c r="AD3609" s="11" t="b">
        <v>0</v>
      </c>
      <c r="AE3609" s="105"/>
      <c r="AF3609" s="11"/>
      <c r="AG3609" s="11"/>
      <c r="AH3609" s="11"/>
      <c r="AI3609" s="11"/>
    </row>
    <row r="3610" ht="12.5" spans="3:35">
      <c r="C3610" s="19"/>
      <c r="D3610" s="19"/>
      <c r="H3610" s="105"/>
      <c r="I3610" s="126"/>
      <c r="J3610" s="11"/>
      <c r="K3610" s="108"/>
      <c r="L3610" s="11"/>
      <c r="M3610" s="105"/>
      <c r="N3610" s="105"/>
      <c r="O3610" s="11"/>
      <c r="P3610" s="11"/>
      <c r="Q3610" s="105"/>
      <c r="R3610" s="105"/>
      <c r="S3610" s="105"/>
      <c r="T3610" s="105"/>
      <c r="U3610" s="105"/>
      <c r="V3610" s="105"/>
      <c r="W3610" s="105"/>
      <c r="X3610" s="11"/>
      <c r="Y3610" s="11"/>
      <c r="Z3610" s="105"/>
      <c r="AA3610" s="11"/>
      <c r="AB3610" s="11"/>
      <c r="AC3610" s="105"/>
      <c r="AD3610" s="11" t="b">
        <v>0</v>
      </c>
      <c r="AE3610" s="105"/>
      <c r="AF3610" s="11"/>
      <c r="AG3610" s="11"/>
      <c r="AH3610" s="11"/>
      <c r="AI3610" s="11"/>
    </row>
    <row r="3611" ht="12.5" spans="3:35">
      <c r="C3611" s="19"/>
      <c r="D3611" s="19"/>
      <c r="H3611" s="105"/>
      <c r="I3611" s="126"/>
      <c r="J3611" s="11"/>
      <c r="K3611" s="108"/>
      <c r="L3611" s="11"/>
      <c r="M3611" s="105"/>
      <c r="N3611" s="105"/>
      <c r="O3611" s="11"/>
      <c r="P3611" s="11"/>
      <c r="Q3611" s="105"/>
      <c r="R3611" s="105"/>
      <c r="S3611" s="105"/>
      <c r="T3611" s="105"/>
      <c r="U3611" s="105"/>
      <c r="V3611" s="105"/>
      <c r="W3611" s="105"/>
      <c r="X3611" s="11"/>
      <c r="Y3611" s="11"/>
      <c r="Z3611" s="105"/>
      <c r="AA3611" s="11"/>
      <c r="AB3611" s="11"/>
      <c r="AC3611" s="105"/>
      <c r="AD3611" s="11" t="b">
        <v>0</v>
      </c>
      <c r="AE3611" s="105"/>
      <c r="AF3611" s="11"/>
      <c r="AG3611" s="11"/>
      <c r="AH3611" s="11"/>
      <c r="AI3611" s="11"/>
    </row>
    <row r="3612" ht="12.5" spans="3:35">
      <c r="C3612" s="19"/>
      <c r="D3612" s="19"/>
      <c r="H3612" s="105"/>
      <c r="I3612" s="126"/>
      <c r="J3612" s="11"/>
      <c r="K3612" s="108"/>
      <c r="L3612" s="11"/>
      <c r="M3612" s="105"/>
      <c r="N3612" s="105"/>
      <c r="O3612" s="11"/>
      <c r="P3612" s="11"/>
      <c r="Q3612" s="105"/>
      <c r="R3612" s="105"/>
      <c r="S3612" s="105"/>
      <c r="T3612" s="105"/>
      <c r="U3612" s="105"/>
      <c r="V3612" s="105"/>
      <c r="W3612" s="105"/>
      <c r="X3612" s="11"/>
      <c r="Y3612" s="11"/>
      <c r="Z3612" s="105"/>
      <c r="AA3612" s="11"/>
      <c r="AB3612" s="11"/>
      <c r="AC3612" s="105"/>
      <c r="AD3612" s="11" t="b">
        <v>0</v>
      </c>
      <c r="AE3612" s="105"/>
      <c r="AF3612" s="11"/>
      <c r="AG3612" s="11"/>
      <c r="AH3612" s="11"/>
      <c r="AI3612" s="11"/>
    </row>
    <row r="3613" ht="12.5" spans="3:35">
      <c r="C3613" s="19"/>
      <c r="D3613" s="19"/>
      <c r="H3613" s="105"/>
      <c r="I3613" s="126"/>
      <c r="J3613" s="11"/>
      <c r="K3613" s="108"/>
      <c r="L3613" s="11"/>
      <c r="M3613" s="105"/>
      <c r="N3613" s="105"/>
      <c r="O3613" s="11"/>
      <c r="P3613" s="11"/>
      <c r="Q3613" s="105"/>
      <c r="R3613" s="105"/>
      <c r="S3613" s="105"/>
      <c r="T3613" s="105"/>
      <c r="U3613" s="105"/>
      <c r="V3613" s="105"/>
      <c r="W3613" s="105"/>
      <c r="X3613" s="11"/>
      <c r="Y3613" s="11"/>
      <c r="Z3613" s="105"/>
      <c r="AA3613" s="11"/>
      <c r="AB3613" s="11"/>
      <c r="AC3613" s="105"/>
      <c r="AD3613" s="11" t="b">
        <v>0</v>
      </c>
      <c r="AE3613" s="105"/>
      <c r="AF3613" s="11"/>
      <c r="AG3613" s="11"/>
      <c r="AH3613" s="11"/>
      <c r="AI3613" s="11"/>
    </row>
    <row r="3614" ht="12.5" spans="3:35">
      <c r="C3614" s="19"/>
      <c r="D3614" s="19"/>
      <c r="H3614" s="105"/>
      <c r="I3614" s="126"/>
      <c r="J3614" s="11"/>
      <c r="K3614" s="108"/>
      <c r="L3614" s="11"/>
      <c r="M3614" s="105"/>
      <c r="N3614" s="105"/>
      <c r="O3614" s="11"/>
      <c r="P3614" s="11"/>
      <c r="Q3614" s="105"/>
      <c r="R3614" s="105"/>
      <c r="S3614" s="105"/>
      <c r="T3614" s="105"/>
      <c r="U3614" s="105"/>
      <c r="V3614" s="105"/>
      <c r="W3614" s="105"/>
      <c r="X3614" s="11"/>
      <c r="Y3614" s="11"/>
      <c r="Z3614" s="105"/>
      <c r="AA3614" s="11"/>
      <c r="AB3614" s="11"/>
      <c r="AC3614" s="105"/>
      <c r="AD3614" s="11" t="b">
        <v>0</v>
      </c>
      <c r="AE3614" s="105"/>
      <c r="AF3614" s="11"/>
      <c r="AG3614" s="11"/>
      <c r="AH3614" s="11"/>
      <c r="AI3614" s="11"/>
    </row>
    <row r="3615" ht="12.5" spans="3:35">
      <c r="C3615" s="19"/>
      <c r="D3615" s="19"/>
      <c r="H3615" s="105"/>
      <c r="I3615" s="126"/>
      <c r="J3615" s="11"/>
      <c r="K3615" s="108"/>
      <c r="L3615" s="11"/>
      <c r="M3615" s="105"/>
      <c r="N3615" s="105"/>
      <c r="O3615" s="11"/>
      <c r="P3615" s="11"/>
      <c r="Q3615" s="105"/>
      <c r="R3615" s="105"/>
      <c r="S3615" s="105"/>
      <c r="T3615" s="105"/>
      <c r="U3615" s="105"/>
      <c r="V3615" s="105"/>
      <c r="W3615" s="105"/>
      <c r="X3615" s="11"/>
      <c r="Y3615" s="11"/>
      <c r="Z3615" s="105"/>
      <c r="AA3615" s="11"/>
      <c r="AB3615" s="11"/>
      <c r="AC3615" s="105"/>
      <c r="AD3615" s="11" t="b">
        <v>0</v>
      </c>
      <c r="AE3615" s="105"/>
      <c r="AF3615" s="11"/>
      <c r="AG3615" s="11"/>
      <c r="AH3615" s="11"/>
      <c r="AI3615" s="11"/>
    </row>
    <row r="3616" ht="12.5" spans="3:35">
      <c r="C3616" s="19"/>
      <c r="D3616" s="19"/>
      <c r="H3616" s="105"/>
      <c r="I3616" s="126"/>
      <c r="J3616" s="11"/>
      <c r="K3616" s="108"/>
      <c r="L3616" s="11"/>
      <c r="M3616" s="105"/>
      <c r="N3616" s="105"/>
      <c r="O3616" s="11"/>
      <c r="P3616" s="11"/>
      <c r="Q3616" s="105"/>
      <c r="R3616" s="105"/>
      <c r="S3616" s="105"/>
      <c r="T3616" s="105"/>
      <c r="U3616" s="105"/>
      <c r="V3616" s="105"/>
      <c r="W3616" s="105"/>
      <c r="X3616" s="11"/>
      <c r="Y3616" s="11"/>
      <c r="Z3616" s="105"/>
      <c r="AA3616" s="11"/>
      <c r="AB3616" s="11"/>
      <c r="AC3616" s="105"/>
      <c r="AD3616" s="11" t="b">
        <v>0</v>
      </c>
      <c r="AE3616" s="105"/>
      <c r="AF3616" s="11"/>
      <c r="AG3616" s="11"/>
      <c r="AH3616" s="11"/>
      <c r="AI3616" s="11"/>
    </row>
    <row r="3617" ht="12.5" spans="3:35">
      <c r="C3617" s="19"/>
      <c r="D3617" s="19"/>
      <c r="H3617" s="105"/>
      <c r="I3617" s="126"/>
      <c r="J3617" s="11"/>
      <c r="K3617" s="108"/>
      <c r="L3617" s="11"/>
      <c r="M3617" s="105"/>
      <c r="N3617" s="105"/>
      <c r="O3617" s="11"/>
      <c r="P3617" s="11"/>
      <c r="Q3617" s="105"/>
      <c r="R3617" s="105"/>
      <c r="S3617" s="105"/>
      <c r="T3617" s="105"/>
      <c r="U3617" s="105"/>
      <c r="V3617" s="105"/>
      <c r="W3617" s="105"/>
      <c r="X3617" s="11"/>
      <c r="Y3617" s="11"/>
      <c r="Z3617" s="105"/>
      <c r="AA3617" s="11"/>
      <c r="AB3617" s="11"/>
      <c r="AC3617" s="105"/>
      <c r="AD3617" s="11" t="b">
        <v>0</v>
      </c>
      <c r="AE3617" s="105"/>
      <c r="AF3617" s="11"/>
      <c r="AG3617" s="11"/>
      <c r="AH3617" s="11"/>
      <c r="AI3617" s="11"/>
    </row>
    <row r="3618" ht="12.5" spans="3:35">
      <c r="C3618" s="19"/>
      <c r="D3618" s="19"/>
      <c r="H3618" s="105"/>
      <c r="I3618" s="126"/>
      <c r="J3618" s="11"/>
      <c r="K3618" s="108"/>
      <c r="L3618" s="11"/>
      <c r="M3618" s="105"/>
      <c r="N3618" s="105"/>
      <c r="O3618" s="11"/>
      <c r="P3618" s="11"/>
      <c r="Q3618" s="105"/>
      <c r="R3618" s="105"/>
      <c r="S3618" s="105"/>
      <c r="T3618" s="105"/>
      <c r="U3618" s="105"/>
      <c r="V3618" s="105"/>
      <c r="W3618" s="105"/>
      <c r="X3618" s="11"/>
      <c r="Y3618" s="11"/>
      <c r="Z3618" s="105"/>
      <c r="AA3618" s="11"/>
      <c r="AB3618" s="11"/>
      <c r="AC3618" s="105"/>
      <c r="AD3618" s="11" t="b">
        <v>0</v>
      </c>
      <c r="AE3618" s="105"/>
      <c r="AF3618" s="11"/>
      <c r="AG3618" s="11"/>
      <c r="AH3618" s="11"/>
      <c r="AI3618" s="11"/>
    </row>
    <row r="3619" ht="12.5" spans="3:35">
      <c r="C3619" s="19"/>
      <c r="D3619" s="19"/>
      <c r="H3619" s="105"/>
      <c r="I3619" s="126"/>
      <c r="J3619" s="11"/>
      <c r="K3619" s="108"/>
      <c r="L3619" s="11"/>
      <c r="M3619" s="105"/>
      <c r="N3619" s="105"/>
      <c r="O3619" s="11"/>
      <c r="P3619" s="11"/>
      <c r="Q3619" s="105"/>
      <c r="R3619" s="105"/>
      <c r="S3619" s="105"/>
      <c r="T3619" s="105"/>
      <c r="U3619" s="105"/>
      <c r="V3619" s="105"/>
      <c r="W3619" s="105"/>
      <c r="X3619" s="11"/>
      <c r="Y3619" s="11"/>
      <c r="Z3619" s="105"/>
      <c r="AA3619" s="11"/>
      <c r="AB3619" s="11"/>
      <c r="AC3619" s="105"/>
      <c r="AD3619" s="11" t="b">
        <v>0</v>
      </c>
      <c r="AE3619" s="105"/>
      <c r="AF3619" s="11"/>
      <c r="AG3619" s="11"/>
      <c r="AH3619" s="11"/>
      <c r="AI3619" s="11"/>
    </row>
    <row r="3620" ht="12.5" spans="3:35">
      <c r="C3620" s="19"/>
      <c r="D3620" s="19"/>
      <c r="H3620" s="105"/>
      <c r="I3620" s="126"/>
      <c r="J3620" s="11"/>
      <c r="K3620" s="108"/>
      <c r="L3620" s="11"/>
      <c r="M3620" s="105"/>
      <c r="N3620" s="105"/>
      <c r="O3620" s="11"/>
      <c r="P3620" s="11"/>
      <c r="Q3620" s="105"/>
      <c r="R3620" s="105"/>
      <c r="S3620" s="105"/>
      <c r="T3620" s="105"/>
      <c r="U3620" s="105"/>
      <c r="V3620" s="105"/>
      <c r="W3620" s="105"/>
      <c r="X3620" s="11"/>
      <c r="Y3620" s="11"/>
      <c r="Z3620" s="105"/>
      <c r="AA3620" s="11"/>
      <c r="AB3620" s="11"/>
      <c r="AC3620" s="105"/>
      <c r="AD3620" s="11" t="b">
        <v>0</v>
      </c>
      <c r="AE3620" s="105"/>
      <c r="AF3620" s="11"/>
      <c r="AG3620" s="11"/>
      <c r="AH3620" s="11"/>
      <c r="AI3620" s="11"/>
    </row>
    <row r="3621" ht="12.5" spans="3:35">
      <c r="C3621" s="19"/>
      <c r="D3621" s="19"/>
      <c r="H3621" s="105"/>
      <c r="I3621" s="126"/>
      <c r="J3621" s="11"/>
      <c r="K3621" s="108"/>
      <c r="L3621" s="11"/>
      <c r="M3621" s="105"/>
      <c r="N3621" s="105"/>
      <c r="O3621" s="11"/>
      <c r="P3621" s="11"/>
      <c r="Q3621" s="105"/>
      <c r="R3621" s="105"/>
      <c r="S3621" s="105"/>
      <c r="T3621" s="105"/>
      <c r="U3621" s="105"/>
      <c r="V3621" s="105"/>
      <c r="W3621" s="105"/>
      <c r="X3621" s="11"/>
      <c r="Y3621" s="11"/>
      <c r="Z3621" s="105"/>
      <c r="AA3621" s="11"/>
      <c r="AB3621" s="11"/>
      <c r="AC3621" s="105"/>
      <c r="AD3621" s="11" t="b">
        <v>0</v>
      </c>
      <c r="AE3621" s="105"/>
      <c r="AF3621" s="11"/>
      <c r="AG3621" s="11"/>
      <c r="AH3621" s="11"/>
      <c r="AI3621" s="11"/>
    </row>
    <row r="3622" ht="12.5" spans="3:35">
      <c r="C3622" s="19"/>
      <c r="D3622" s="19"/>
      <c r="H3622" s="105"/>
      <c r="I3622" s="126"/>
      <c r="J3622" s="11"/>
      <c r="K3622" s="108"/>
      <c r="L3622" s="11"/>
      <c r="M3622" s="105"/>
      <c r="N3622" s="105"/>
      <c r="O3622" s="11"/>
      <c r="P3622" s="11"/>
      <c r="Q3622" s="105"/>
      <c r="R3622" s="105"/>
      <c r="S3622" s="105"/>
      <c r="T3622" s="105"/>
      <c r="U3622" s="105"/>
      <c r="V3622" s="105"/>
      <c r="W3622" s="105"/>
      <c r="X3622" s="11"/>
      <c r="Y3622" s="11"/>
      <c r="Z3622" s="105"/>
      <c r="AA3622" s="11"/>
      <c r="AB3622" s="11"/>
      <c r="AC3622" s="105"/>
      <c r="AD3622" s="11" t="b">
        <v>0</v>
      </c>
      <c r="AE3622" s="105"/>
      <c r="AF3622" s="11"/>
      <c r="AG3622" s="11"/>
      <c r="AH3622" s="11"/>
      <c r="AI3622" s="11"/>
    </row>
    <row r="3623" ht="12.5" spans="3:35">
      <c r="C3623" s="19"/>
      <c r="D3623" s="19"/>
      <c r="H3623" s="105"/>
      <c r="I3623" s="126"/>
      <c r="J3623" s="11"/>
      <c r="K3623" s="108"/>
      <c r="L3623" s="11"/>
      <c r="M3623" s="105"/>
      <c r="N3623" s="105"/>
      <c r="O3623" s="11"/>
      <c r="P3623" s="11"/>
      <c r="Q3623" s="105"/>
      <c r="R3623" s="105"/>
      <c r="S3623" s="105"/>
      <c r="T3623" s="105"/>
      <c r="U3623" s="105"/>
      <c r="V3623" s="105"/>
      <c r="W3623" s="105"/>
      <c r="X3623" s="11"/>
      <c r="Y3623" s="11"/>
      <c r="Z3623" s="105"/>
      <c r="AA3623" s="11"/>
      <c r="AB3623" s="11"/>
      <c r="AC3623" s="105"/>
      <c r="AD3623" s="11" t="b">
        <v>0</v>
      </c>
      <c r="AE3623" s="105"/>
      <c r="AF3623" s="11"/>
      <c r="AG3623" s="11"/>
      <c r="AH3623" s="11"/>
      <c r="AI3623" s="11"/>
    </row>
    <row r="3624" ht="12.5" spans="3:35">
      <c r="C3624" s="19"/>
      <c r="D3624" s="19"/>
      <c r="H3624" s="105"/>
      <c r="I3624" s="126"/>
      <c r="J3624" s="11"/>
      <c r="K3624" s="108"/>
      <c r="L3624" s="11"/>
      <c r="M3624" s="105"/>
      <c r="N3624" s="105"/>
      <c r="O3624" s="11"/>
      <c r="P3624" s="11"/>
      <c r="Q3624" s="105"/>
      <c r="R3624" s="105"/>
      <c r="S3624" s="105"/>
      <c r="T3624" s="105"/>
      <c r="U3624" s="105"/>
      <c r="V3624" s="105"/>
      <c r="W3624" s="105"/>
      <c r="X3624" s="11"/>
      <c r="Y3624" s="11"/>
      <c r="Z3624" s="105"/>
      <c r="AA3624" s="11"/>
      <c r="AB3624" s="11"/>
      <c r="AC3624" s="105"/>
      <c r="AD3624" s="11" t="b">
        <v>0</v>
      </c>
      <c r="AE3624" s="105"/>
      <c r="AF3624" s="11"/>
      <c r="AG3624" s="11"/>
      <c r="AH3624" s="11"/>
      <c r="AI3624" s="11"/>
    </row>
    <row r="3625" ht="12.5" spans="3:35">
      <c r="C3625" s="19"/>
      <c r="D3625" s="19"/>
      <c r="H3625" s="105"/>
      <c r="I3625" s="126"/>
      <c r="J3625" s="11"/>
      <c r="K3625" s="108"/>
      <c r="L3625" s="11"/>
      <c r="M3625" s="105"/>
      <c r="N3625" s="105"/>
      <c r="O3625" s="11"/>
      <c r="P3625" s="11"/>
      <c r="Q3625" s="105"/>
      <c r="R3625" s="105"/>
      <c r="S3625" s="105"/>
      <c r="T3625" s="105"/>
      <c r="U3625" s="105"/>
      <c r="V3625" s="105"/>
      <c r="W3625" s="105"/>
      <c r="X3625" s="11"/>
      <c r="Y3625" s="11"/>
      <c r="Z3625" s="105"/>
      <c r="AA3625" s="11"/>
      <c r="AB3625" s="11"/>
      <c r="AC3625" s="105"/>
      <c r="AD3625" s="11" t="b">
        <v>0</v>
      </c>
      <c r="AE3625" s="105"/>
      <c r="AF3625" s="11"/>
      <c r="AG3625" s="11"/>
      <c r="AH3625" s="11"/>
      <c r="AI3625" s="11"/>
    </row>
    <row r="3626" ht="12.5" spans="3:35">
      <c r="C3626" s="19"/>
      <c r="D3626" s="19"/>
      <c r="H3626" s="105"/>
      <c r="I3626" s="126"/>
      <c r="J3626" s="11"/>
      <c r="K3626" s="108"/>
      <c r="L3626" s="11"/>
      <c r="M3626" s="105"/>
      <c r="N3626" s="105"/>
      <c r="O3626" s="11"/>
      <c r="P3626" s="11"/>
      <c r="Q3626" s="105"/>
      <c r="R3626" s="105"/>
      <c r="S3626" s="105"/>
      <c r="T3626" s="105"/>
      <c r="U3626" s="105"/>
      <c r="V3626" s="105"/>
      <c r="W3626" s="105"/>
      <c r="X3626" s="11"/>
      <c r="Y3626" s="11"/>
      <c r="Z3626" s="105"/>
      <c r="AA3626" s="11"/>
      <c r="AB3626" s="11"/>
      <c r="AC3626" s="105"/>
      <c r="AD3626" s="11" t="b">
        <v>0</v>
      </c>
      <c r="AE3626" s="105"/>
      <c r="AF3626" s="11"/>
      <c r="AG3626" s="11"/>
      <c r="AH3626" s="11"/>
      <c r="AI3626" s="11"/>
    </row>
    <row r="3627" ht="12.5" spans="3:35">
      <c r="C3627" s="19"/>
      <c r="D3627" s="19"/>
      <c r="H3627" s="105"/>
      <c r="I3627" s="126"/>
      <c r="J3627" s="11"/>
      <c r="K3627" s="108"/>
      <c r="L3627" s="11"/>
      <c r="M3627" s="105"/>
      <c r="N3627" s="105"/>
      <c r="O3627" s="11"/>
      <c r="P3627" s="11"/>
      <c r="Q3627" s="105"/>
      <c r="R3627" s="105"/>
      <c r="S3627" s="105"/>
      <c r="T3627" s="105"/>
      <c r="U3627" s="105"/>
      <c r="V3627" s="105"/>
      <c r="W3627" s="105"/>
      <c r="X3627" s="11"/>
      <c r="Y3627" s="11"/>
      <c r="Z3627" s="105"/>
      <c r="AA3627" s="11"/>
      <c r="AB3627" s="11"/>
      <c r="AC3627" s="105"/>
      <c r="AD3627" s="11" t="b">
        <v>0</v>
      </c>
      <c r="AE3627" s="105"/>
      <c r="AF3627" s="11"/>
      <c r="AG3627" s="11"/>
      <c r="AH3627" s="11"/>
      <c r="AI3627" s="11"/>
    </row>
    <row r="3628" ht="12.5" spans="3:35">
      <c r="C3628" s="19"/>
      <c r="D3628" s="19"/>
      <c r="H3628" s="105"/>
      <c r="I3628" s="126"/>
      <c r="J3628" s="11"/>
      <c r="K3628" s="108"/>
      <c r="L3628" s="11"/>
      <c r="M3628" s="105"/>
      <c r="N3628" s="105"/>
      <c r="O3628" s="11"/>
      <c r="P3628" s="11"/>
      <c r="Q3628" s="105"/>
      <c r="R3628" s="105"/>
      <c r="S3628" s="105"/>
      <c r="T3628" s="105"/>
      <c r="U3628" s="105"/>
      <c r="V3628" s="105"/>
      <c r="W3628" s="105"/>
      <c r="X3628" s="11"/>
      <c r="Y3628" s="11"/>
      <c r="Z3628" s="105"/>
      <c r="AA3628" s="11"/>
      <c r="AB3628" s="11"/>
      <c r="AC3628" s="105"/>
      <c r="AD3628" s="11" t="b">
        <v>0</v>
      </c>
      <c r="AE3628" s="105"/>
      <c r="AF3628" s="11"/>
      <c r="AG3628" s="11"/>
      <c r="AH3628" s="11"/>
      <c r="AI3628" s="11"/>
    </row>
    <row r="3629" ht="12.5" spans="3:35">
      <c r="C3629" s="19"/>
      <c r="D3629" s="19"/>
      <c r="H3629" s="105"/>
      <c r="I3629" s="126"/>
      <c r="J3629" s="11"/>
      <c r="K3629" s="108"/>
      <c r="L3629" s="11"/>
      <c r="M3629" s="105"/>
      <c r="N3629" s="105"/>
      <c r="O3629" s="11"/>
      <c r="P3629" s="11"/>
      <c r="Q3629" s="105"/>
      <c r="R3629" s="105"/>
      <c r="S3629" s="105"/>
      <c r="T3629" s="105"/>
      <c r="U3629" s="105"/>
      <c r="V3629" s="105"/>
      <c r="W3629" s="105"/>
      <c r="X3629" s="11"/>
      <c r="Y3629" s="11"/>
      <c r="Z3629" s="105"/>
      <c r="AA3629" s="11"/>
      <c r="AB3629" s="11"/>
      <c r="AC3629" s="105"/>
      <c r="AD3629" s="11" t="b">
        <v>0</v>
      </c>
      <c r="AE3629" s="105"/>
      <c r="AF3629" s="11"/>
      <c r="AG3629" s="11"/>
      <c r="AH3629" s="11"/>
      <c r="AI3629" s="11"/>
    </row>
    <row r="3630" ht="12.5" spans="3:35">
      <c r="C3630" s="19"/>
      <c r="D3630" s="19"/>
      <c r="H3630" s="105"/>
      <c r="I3630" s="126"/>
      <c r="J3630" s="11"/>
      <c r="K3630" s="108"/>
      <c r="L3630" s="11"/>
      <c r="M3630" s="105"/>
      <c r="N3630" s="105"/>
      <c r="O3630" s="11"/>
      <c r="P3630" s="11"/>
      <c r="Q3630" s="105"/>
      <c r="R3630" s="105"/>
      <c r="S3630" s="105"/>
      <c r="T3630" s="105"/>
      <c r="U3630" s="105"/>
      <c r="V3630" s="105"/>
      <c r="W3630" s="105"/>
      <c r="X3630" s="11"/>
      <c r="Y3630" s="11"/>
      <c r="Z3630" s="105"/>
      <c r="AA3630" s="11"/>
      <c r="AB3630" s="11"/>
      <c r="AC3630" s="105"/>
      <c r="AD3630" s="11" t="b">
        <v>0</v>
      </c>
      <c r="AE3630" s="105"/>
      <c r="AF3630" s="11"/>
      <c r="AG3630" s="11"/>
      <c r="AH3630" s="11"/>
      <c r="AI3630" s="11"/>
    </row>
    <row r="3631" ht="12.5" spans="3:35">
      <c r="C3631" s="19"/>
      <c r="D3631" s="19"/>
      <c r="H3631" s="105"/>
      <c r="I3631" s="126"/>
      <c r="J3631" s="11"/>
      <c r="K3631" s="108"/>
      <c r="L3631" s="11"/>
      <c r="M3631" s="105"/>
      <c r="N3631" s="105"/>
      <c r="O3631" s="11"/>
      <c r="P3631" s="11"/>
      <c r="Q3631" s="105"/>
      <c r="R3631" s="105"/>
      <c r="S3631" s="105"/>
      <c r="T3631" s="105"/>
      <c r="U3631" s="105"/>
      <c r="V3631" s="105"/>
      <c r="W3631" s="105"/>
      <c r="X3631" s="11"/>
      <c r="Y3631" s="11"/>
      <c r="Z3631" s="105"/>
      <c r="AA3631" s="11"/>
      <c r="AB3631" s="11"/>
      <c r="AC3631" s="105"/>
      <c r="AD3631" s="11" t="b">
        <v>0</v>
      </c>
      <c r="AE3631" s="105"/>
      <c r="AF3631" s="11"/>
      <c r="AG3631" s="11"/>
      <c r="AH3631" s="11"/>
      <c r="AI3631" s="11"/>
    </row>
    <row r="3632" ht="12.5" spans="3:35">
      <c r="C3632" s="19"/>
      <c r="D3632" s="19"/>
      <c r="H3632" s="105"/>
      <c r="I3632" s="126"/>
      <c r="J3632" s="11"/>
      <c r="K3632" s="108"/>
      <c r="L3632" s="11"/>
      <c r="M3632" s="105"/>
      <c r="N3632" s="105"/>
      <c r="O3632" s="11"/>
      <c r="P3632" s="11"/>
      <c r="Q3632" s="105"/>
      <c r="R3632" s="105"/>
      <c r="S3632" s="105"/>
      <c r="T3632" s="105"/>
      <c r="U3632" s="105"/>
      <c r="V3632" s="105"/>
      <c r="W3632" s="105"/>
      <c r="X3632" s="11"/>
      <c r="Y3632" s="11"/>
      <c r="Z3632" s="105"/>
      <c r="AA3632" s="11"/>
      <c r="AB3632" s="11"/>
      <c r="AC3632" s="105"/>
      <c r="AD3632" s="11" t="b">
        <v>0</v>
      </c>
      <c r="AE3632" s="105"/>
      <c r="AF3632" s="11"/>
      <c r="AG3632" s="11"/>
      <c r="AH3632" s="11"/>
      <c r="AI3632" s="11"/>
    </row>
    <row r="3633" ht="12.5" spans="3:35">
      <c r="C3633" s="19"/>
      <c r="D3633" s="19"/>
      <c r="H3633" s="105"/>
      <c r="I3633" s="126"/>
      <c r="J3633" s="11"/>
      <c r="K3633" s="108"/>
      <c r="L3633" s="11"/>
      <c r="M3633" s="105"/>
      <c r="N3633" s="105"/>
      <c r="O3633" s="11"/>
      <c r="P3633" s="11"/>
      <c r="Q3633" s="105"/>
      <c r="R3633" s="105"/>
      <c r="S3633" s="105"/>
      <c r="T3633" s="105"/>
      <c r="U3633" s="105"/>
      <c r="V3633" s="105"/>
      <c r="W3633" s="105"/>
      <c r="X3633" s="11"/>
      <c r="Y3633" s="11"/>
      <c r="Z3633" s="105"/>
      <c r="AA3633" s="11"/>
      <c r="AB3633" s="11"/>
      <c r="AC3633" s="105"/>
      <c r="AD3633" s="11" t="b">
        <v>0</v>
      </c>
      <c r="AE3633" s="105"/>
      <c r="AF3633" s="11"/>
      <c r="AG3633" s="11"/>
      <c r="AH3633" s="11"/>
      <c r="AI3633" s="11"/>
    </row>
    <row r="3634" ht="12.5" spans="3:35">
      <c r="C3634" s="19"/>
      <c r="D3634" s="19"/>
      <c r="H3634" s="105"/>
      <c r="I3634" s="126"/>
      <c r="J3634" s="11"/>
      <c r="K3634" s="108"/>
      <c r="L3634" s="11"/>
      <c r="M3634" s="105"/>
      <c r="N3634" s="105"/>
      <c r="O3634" s="11"/>
      <c r="P3634" s="11"/>
      <c r="Q3634" s="105"/>
      <c r="R3634" s="105"/>
      <c r="S3634" s="105"/>
      <c r="T3634" s="105"/>
      <c r="U3634" s="105"/>
      <c r="V3634" s="105"/>
      <c r="W3634" s="105"/>
      <c r="X3634" s="11"/>
      <c r="Y3634" s="11"/>
      <c r="Z3634" s="105"/>
      <c r="AA3634" s="11"/>
      <c r="AB3634" s="11"/>
      <c r="AC3634" s="105"/>
      <c r="AD3634" s="11" t="b">
        <v>0</v>
      </c>
      <c r="AE3634" s="105"/>
      <c r="AF3634" s="11"/>
      <c r="AG3634" s="11"/>
      <c r="AH3634" s="11"/>
      <c r="AI3634" s="11"/>
    </row>
    <row r="3635" ht="12.5" spans="3:35">
      <c r="C3635" s="19"/>
      <c r="D3635" s="19"/>
      <c r="H3635" s="105"/>
      <c r="I3635" s="126"/>
      <c r="J3635" s="11"/>
      <c r="K3635" s="108"/>
      <c r="L3635" s="11"/>
      <c r="M3635" s="105"/>
      <c r="N3635" s="105"/>
      <c r="O3635" s="11"/>
      <c r="P3635" s="11"/>
      <c r="Q3635" s="105"/>
      <c r="R3635" s="105"/>
      <c r="S3635" s="105"/>
      <c r="T3635" s="105"/>
      <c r="U3635" s="105"/>
      <c r="V3635" s="105"/>
      <c r="W3635" s="105"/>
      <c r="X3635" s="11"/>
      <c r="Y3635" s="11"/>
      <c r="Z3635" s="105"/>
      <c r="AA3635" s="11"/>
      <c r="AB3635" s="11"/>
      <c r="AC3635" s="105"/>
      <c r="AD3635" s="11" t="b">
        <v>0</v>
      </c>
      <c r="AE3635" s="105"/>
      <c r="AF3635" s="11"/>
      <c r="AG3635" s="11"/>
      <c r="AH3635" s="11"/>
      <c r="AI3635" s="11"/>
    </row>
    <row r="3636" ht="12.5" spans="3:35">
      <c r="C3636" s="19"/>
      <c r="D3636" s="19"/>
      <c r="H3636" s="105"/>
      <c r="I3636" s="126"/>
      <c r="J3636" s="11"/>
      <c r="K3636" s="108"/>
      <c r="L3636" s="11"/>
      <c r="M3636" s="105"/>
      <c r="N3636" s="105"/>
      <c r="O3636" s="11"/>
      <c r="P3636" s="11"/>
      <c r="Q3636" s="105"/>
      <c r="R3636" s="105"/>
      <c r="S3636" s="105"/>
      <c r="T3636" s="105"/>
      <c r="U3636" s="105"/>
      <c r="V3636" s="105"/>
      <c r="W3636" s="105"/>
      <c r="X3636" s="11"/>
      <c r="Y3636" s="11"/>
      <c r="Z3636" s="105"/>
      <c r="AA3636" s="11"/>
      <c r="AB3636" s="11"/>
      <c r="AC3636" s="105"/>
      <c r="AD3636" s="11" t="b">
        <v>0</v>
      </c>
      <c r="AE3636" s="105"/>
      <c r="AF3636" s="11"/>
      <c r="AG3636" s="11"/>
      <c r="AH3636" s="11"/>
      <c r="AI3636" s="11"/>
    </row>
    <row r="3637" ht="12.5" spans="3:35">
      <c r="C3637" s="19"/>
      <c r="D3637" s="19"/>
      <c r="H3637" s="105"/>
      <c r="I3637" s="126"/>
      <c r="J3637" s="11"/>
      <c r="K3637" s="108"/>
      <c r="L3637" s="11"/>
      <c r="M3637" s="105"/>
      <c r="N3637" s="105"/>
      <c r="O3637" s="11"/>
      <c r="P3637" s="11"/>
      <c r="Q3637" s="105"/>
      <c r="R3637" s="105"/>
      <c r="S3637" s="105"/>
      <c r="T3637" s="105"/>
      <c r="U3637" s="105"/>
      <c r="V3637" s="105"/>
      <c r="W3637" s="105"/>
      <c r="X3637" s="11"/>
      <c r="Y3637" s="11"/>
      <c r="Z3637" s="105"/>
      <c r="AA3637" s="11"/>
      <c r="AB3637" s="11"/>
      <c r="AC3637" s="105"/>
      <c r="AD3637" s="11" t="b">
        <v>0</v>
      </c>
      <c r="AE3637" s="105"/>
      <c r="AF3637" s="11"/>
      <c r="AG3637" s="11"/>
      <c r="AH3637" s="11"/>
      <c r="AI3637" s="11"/>
    </row>
    <row r="3638" ht="12.5" spans="3:35">
      <c r="C3638" s="19"/>
      <c r="D3638" s="19"/>
      <c r="H3638" s="105"/>
      <c r="I3638" s="126"/>
      <c r="J3638" s="11"/>
      <c r="K3638" s="108"/>
      <c r="L3638" s="11"/>
      <c r="M3638" s="105"/>
      <c r="N3638" s="105"/>
      <c r="O3638" s="11"/>
      <c r="P3638" s="11"/>
      <c r="Q3638" s="105"/>
      <c r="R3638" s="105"/>
      <c r="S3638" s="105"/>
      <c r="T3638" s="105"/>
      <c r="U3638" s="105"/>
      <c r="V3638" s="105"/>
      <c r="W3638" s="105"/>
      <c r="X3638" s="11"/>
      <c r="Y3638" s="11"/>
      <c r="Z3638" s="105"/>
      <c r="AA3638" s="11"/>
      <c r="AB3638" s="11"/>
      <c r="AC3638" s="105"/>
      <c r="AD3638" s="11" t="b">
        <v>0</v>
      </c>
      <c r="AE3638" s="105"/>
      <c r="AF3638" s="11"/>
      <c r="AG3638" s="11"/>
      <c r="AH3638" s="11"/>
      <c r="AI3638" s="11"/>
    </row>
    <row r="3639" ht="12.5" spans="3:35">
      <c r="C3639" s="19"/>
      <c r="D3639" s="19"/>
      <c r="H3639" s="105"/>
      <c r="I3639" s="126"/>
      <c r="J3639" s="11"/>
      <c r="K3639" s="108"/>
      <c r="L3639" s="11"/>
      <c r="M3639" s="105"/>
      <c r="N3639" s="105"/>
      <c r="O3639" s="11"/>
      <c r="P3639" s="11"/>
      <c r="Q3639" s="105"/>
      <c r="R3639" s="105"/>
      <c r="S3639" s="105"/>
      <c r="T3639" s="105"/>
      <c r="U3639" s="105"/>
      <c r="V3639" s="105"/>
      <c r="W3639" s="105"/>
      <c r="X3639" s="11"/>
      <c r="Y3639" s="11"/>
      <c r="Z3639" s="105"/>
      <c r="AA3639" s="11"/>
      <c r="AB3639" s="11"/>
      <c r="AC3639" s="105"/>
      <c r="AD3639" s="11" t="b">
        <v>0</v>
      </c>
      <c r="AE3639" s="105"/>
      <c r="AF3639" s="11"/>
      <c r="AG3639" s="11"/>
      <c r="AH3639" s="11"/>
      <c r="AI3639" s="11"/>
    </row>
    <row r="3640" ht="12.5" spans="3:35">
      <c r="C3640" s="19"/>
      <c r="D3640" s="19"/>
      <c r="H3640" s="105"/>
      <c r="I3640" s="126"/>
      <c r="J3640" s="11"/>
      <c r="K3640" s="108"/>
      <c r="L3640" s="11"/>
      <c r="M3640" s="105"/>
      <c r="N3640" s="105"/>
      <c r="O3640" s="11"/>
      <c r="P3640" s="11"/>
      <c r="Q3640" s="105"/>
      <c r="R3640" s="105"/>
      <c r="S3640" s="105"/>
      <c r="T3640" s="105"/>
      <c r="U3640" s="105"/>
      <c r="V3640" s="105"/>
      <c r="W3640" s="105"/>
      <c r="X3640" s="11"/>
      <c r="Y3640" s="11"/>
      <c r="Z3640" s="105"/>
      <c r="AA3640" s="11"/>
      <c r="AB3640" s="11"/>
      <c r="AC3640" s="105"/>
      <c r="AD3640" s="11" t="b">
        <v>0</v>
      </c>
      <c r="AE3640" s="105"/>
      <c r="AF3640" s="11"/>
      <c r="AG3640" s="11"/>
      <c r="AH3640" s="11"/>
      <c r="AI3640" s="11"/>
    </row>
    <row r="3641" ht="12.5" spans="3:35">
      <c r="C3641" s="19"/>
      <c r="D3641" s="19"/>
      <c r="H3641" s="105"/>
      <c r="I3641" s="126"/>
      <c r="J3641" s="11"/>
      <c r="K3641" s="108"/>
      <c r="L3641" s="11"/>
      <c r="M3641" s="105"/>
      <c r="N3641" s="105"/>
      <c r="O3641" s="11"/>
      <c r="P3641" s="11"/>
      <c r="Q3641" s="105"/>
      <c r="R3641" s="105"/>
      <c r="S3641" s="105"/>
      <c r="T3641" s="105"/>
      <c r="U3641" s="105"/>
      <c r="V3641" s="105"/>
      <c r="W3641" s="105"/>
      <c r="X3641" s="11"/>
      <c r="Y3641" s="11"/>
      <c r="Z3641" s="105"/>
      <c r="AA3641" s="11"/>
      <c r="AB3641" s="11"/>
      <c r="AC3641" s="105"/>
      <c r="AD3641" s="11" t="b">
        <v>0</v>
      </c>
      <c r="AE3641" s="105"/>
      <c r="AF3641" s="11"/>
      <c r="AG3641" s="11"/>
      <c r="AH3641" s="11"/>
      <c r="AI3641" s="11"/>
    </row>
    <row r="3642" ht="12.5" spans="3:35">
      <c r="C3642" s="19"/>
      <c r="D3642" s="19"/>
      <c r="H3642" s="105"/>
      <c r="I3642" s="126"/>
      <c r="J3642" s="11"/>
      <c r="K3642" s="108"/>
      <c r="L3642" s="11"/>
      <c r="M3642" s="105"/>
      <c r="N3642" s="105"/>
      <c r="O3642" s="11"/>
      <c r="P3642" s="11"/>
      <c r="Q3642" s="105"/>
      <c r="R3642" s="105"/>
      <c r="S3642" s="105"/>
      <c r="T3642" s="105"/>
      <c r="U3642" s="105"/>
      <c r="V3642" s="105"/>
      <c r="W3642" s="105"/>
      <c r="X3642" s="11"/>
      <c r="Y3642" s="11"/>
      <c r="Z3642" s="105"/>
      <c r="AA3642" s="11"/>
      <c r="AB3642" s="11"/>
      <c r="AC3642" s="105"/>
      <c r="AD3642" s="11" t="b">
        <v>0</v>
      </c>
      <c r="AE3642" s="105"/>
      <c r="AF3642" s="11"/>
      <c r="AG3642" s="11"/>
      <c r="AH3642" s="11"/>
      <c r="AI3642" s="11"/>
    </row>
    <row r="3643" ht="12.5" spans="3:35">
      <c r="C3643" s="19"/>
      <c r="D3643" s="19"/>
      <c r="H3643" s="105"/>
      <c r="I3643" s="126"/>
      <c r="J3643" s="11"/>
      <c r="K3643" s="108"/>
      <c r="L3643" s="11"/>
      <c r="M3643" s="105"/>
      <c r="N3643" s="105"/>
      <c r="O3643" s="11"/>
      <c r="P3643" s="11"/>
      <c r="Q3643" s="105"/>
      <c r="R3643" s="105"/>
      <c r="S3643" s="105"/>
      <c r="T3643" s="105"/>
      <c r="U3643" s="105"/>
      <c r="V3643" s="105"/>
      <c r="W3643" s="105"/>
      <c r="X3643" s="11"/>
      <c r="Y3643" s="11"/>
      <c r="Z3643" s="105"/>
      <c r="AA3643" s="11"/>
      <c r="AB3643" s="11"/>
      <c r="AC3643" s="105"/>
      <c r="AD3643" s="11" t="b">
        <v>0</v>
      </c>
      <c r="AE3643" s="105"/>
      <c r="AF3643" s="11"/>
      <c r="AG3643" s="11"/>
      <c r="AH3643" s="11"/>
      <c r="AI3643" s="11"/>
    </row>
    <row r="3644" ht="12.5" spans="3:35">
      <c r="C3644" s="19"/>
      <c r="D3644" s="19"/>
      <c r="H3644" s="105"/>
      <c r="I3644" s="126"/>
      <c r="J3644" s="11"/>
      <c r="K3644" s="108"/>
      <c r="L3644" s="11"/>
      <c r="M3644" s="105"/>
      <c r="N3644" s="105"/>
      <c r="O3644" s="11"/>
      <c r="P3644" s="11"/>
      <c r="Q3644" s="105"/>
      <c r="R3644" s="105"/>
      <c r="S3644" s="105"/>
      <c r="T3644" s="105"/>
      <c r="U3644" s="105"/>
      <c r="V3644" s="105"/>
      <c r="W3644" s="105"/>
      <c r="X3644" s="11"/>
      <c r="Y3644" s="11"/>
      <c r="Z3644" s="105"/>
      <c r="AA3644" s="11"/>
      <c r="AB3644" s="11"/>
      <c r="AC3644" s="105"/>
      <c r="AD3644" s="11" t="b">
        <v>0</v>
      </c>
      <c r="AE3644" s="105"/>
      <c r="AF3644" s="11"/>
      <c r="AG3644" s="11"/>
      <c r="AH3644" s="11"/>
      <c r="AI3644" s="11"/>
    </row>
    <row r="3645" ht="12.5" spans="3:35">
      <c r="C3645" s="19"/>
      <c r="D3645" s="19"/>
      <c r="H3645" s="105"/>
      <c r="I3645" s="126"/>
      <c r="J3645" s="11"/>
      <c r="K3645" s="108"/>
      <c r="L3645" s="11"/>
      <c r="M3645" s="105"/>
      <c r="N3645" s="105"/>
      <c r="O3645" s="11"/>
      <c r="P3645" s="11"/>
      <c r="Q3645" s="105"/>
      <c r="R3645" s="105"/>
      <c r="S3645" s="105"/>
      <c r="T3645" s="105"/>
      <c r="U3645" s="105"/>
      <c r="V3645" s="105"/>
      <c r="W3645" s="105"/>
      <c r="X3645" s="11"/>
      <c r="Y3645" s="11"/>
      <c r="Z3645" s="105"/>
      <c r="AA3645" s="11"/>
      <c r="AB3645" s="11"/>
      <c r="AC3645" s="105"/>
      <c r="AD3645" s="11" t="b">
        <v>0</v>
      </c>
      <c r="AE3645" s="105"/>
      <c r="AF3645" s="11"/>
      <c r="AG3645" s="11"/>
      <c r="AH3645" s="11"/>
      <c r="AI3645" s="11"/>
    </row>
    <row r="3646" ht="12.5" spans="3:35">
      <c r="C3646" s="19"/>
      <c r="D3646" s="19"/>
      <c r="H3646" s="105"/>
      <c r="I3646" s="126"/>
      <c r="J3646" s="11"/>
      <c r="K3646" s="108"/>
      <c r="L3646" s="11"/>
      <c r="M3646" s="105"/>
      <c r="N3646" s="105"/>
      <c r="O3646" s="11"/>
      <c r="P3646" s="11"/>
      <c r="Q3646" s="105"/>
      <c r="R3646" s="105"/>
      <c r="S3646" s="105"/>
      <c r="T3646" s="105"/>
      <c r="U3646" s="105"/>
      <c r="V3646" s="105"/>
      <c r="W3646" s="105"/>
      <c r="X3646" s="11"/>
      <c r="Y3646" s="11"/>
      <c r="Z3646" s="105"/>
      <c r="AA3646" s="11"/>
      <c r="AB3646" s="11"/>
      <c r="AC3646" s="105"/>
      <c r="AD3646" s="11" t="b">
        <v>0</v>
      </c>
      <c r="AE3646" s="105"/>
      <c r="AF3646" s="11"/>
      <c r="AG3646" s="11"/>
      <c r="AH3646" s="11"/>
      <c r="AI3646" s="11"/>
    </row>
    <row r="3647" ht="12.5" spans="3:35">
      <c r="C3647" s="19"/>
      <c r="D3647" s="19"/>
      <c r="H3647" s="105"/>
      <c r="I3647" s="126"/>
      <c r="J3647" s="11"/>
      <c r="K3647" s="108"/>
      <c r="L3647" s="11"/>
      <c r="M3647" s="105"/>
      <c r="N3647" s="105"/>
      <c r="O3647" s="11"/>
      <c r="P3647" s="11"/>
      <c r="Q3647" s="105"/>
      <c r="R3647" s="105"/>
      <c r="S3647" s="105"/>
      <c r="T3647" s="105"/>
      <c r="U3647" s="105"/>
      <c r="V3647" s="105"/>
      <c r="W3647" s="105"/>
      <c r="X3647" s="11"/>
      <c r="Y3647" s="11"/>
      <c r="Z3647" s="105"/>
      <c r="AA3647" s="11"/>
      <c r="AB3647" s="11"/>
      <c r="AC3647" s="105"/>
      <c r="AD3647" s="11" t="b">
        <v>0</v>
      </c>
      <c r="AE3647" s="105"/>
      <c r="AF3647" s="11"/>
      <c r="AG3647" s="11"/>
      <c r="AH3647" s="11"/>
      <c r="AI3647" s="11"/>
    </row>
    <row r="3648" ht="12.5" spans="3:35">
      <c r="C3648" s="19"/>
      <c r="D3648" s="19"/>
      <c r="H3648" s="105"/>
      <c r="I3648" s="126"/>
      <c r="J3648" s="11"/>
      <c r="K3648" s="108"/>
      <c r="L3648" s="11"/>
      <c r="M3648" s="105"/>
      <c r="N3648" s="105"/>
      <c r="O3648" s="11"/>
      <c r="P3648" s="11"/>
      <c r="Q3648" s="105"/>
      <c r="R3648" s="105"/>
      <c r="S3648" s="105"/>
      <c r="T3648" s="105"/>
      <c r="U3648" s="105"/>
      <c r="V3648" s="105"/>
      <c r="W3648" s="105"/>
      <c r="X3648" s="11"/>
      <c r="Y3648" s="11"/>
      <c r="Z3648" s="105"/>
      <c r="AA3648" s="11"/>
      <c r="AB3648" s="11"/>
      <c r="AC3648" s="105"/>
      <c r="AD3648" s="11" t="b">
        <v>0</v>
      </c>
      <c r="AE3648" s="105"/>
      <c r="AF3648" s="11"/>
      <c r="AG3648" s="11"/>
      <c r="AH3648" s="11"/>
      <c r="AI3648" s="11"/>
    </row>
    <row r="3649" ht="12.5" spans="3:35">
      <c r="C3649" s="19"/>
      <c r="D3649" s="19"/>
      <c r="H3649" s="105"/>
      <c r="I3649" s="126"/>
      <c r="J3649" s="11"/>
      <c r="K3649" s="108"/>
      <c r="L3649" s="11"/>
      <c r="M3649" s="105"/>
      <c r="N3649" s="105"/>
      <c r="O3649" s="11"/>
      <c r="P3649" s="11"/>
      <c r="Q3649" s="105"/>
      <c r="R3649" s="105"/>
      <c r="S3649" s="105"/>
      <c r="T3649" s="105"/>
      <c r="U3649" s="105"/>
      <c r="V3649" s="105"/>
      <c r="W3649" s="105"/>
      <c r="X3649" s="11"/>
      <c r="Y3649" s="11"/>
      <c r="Z3649" s="105"/>
      <c r="AA3649" s="11"/>
      <c r="AB3649" s="11"/>
      <c r="AC3649" s="105"/>
      <c r="AD3649" s="11" t="b">
        <v>0</v>
      </c>
      <c r="AE3649" s="105"/>
      <c r="AF3649" s="11"/>
      <c r="AG3649" s="11"/>
      <c r="AH3649" s="11"/>
      <c r="AI3649" s="11"/>
    </row>
    <row r="3650" ht="12.5" spans="3:35">
      <c r="C3650" s="19"/>
      <c r="D3650" s="19"/>
      <c r="H3650" s="105"/>
      <c r="I3650" s="126"/>
      <c r="J3650" s="11"/>
      <c r="K3650" s="108"/>
      <c r="L3650" s="11"/>
      <c r="M3650" s="105"/>
      <c r="N3650" s="105"/>
      <c r="O3650" s="11"/>
      <c r="P3650" s="11"/>
      <c r="Q3650" s="105"/>
      <c r="R3650" s="105"/>
      <c r="S3650" s="105"/>
      <c r="T3650" s="105"/>
      <c r="U3650" s="105"/>
      <c r="V3650" s="105"/>
      <c r="W3650" s="105"/>
      <c r="X3650" s="11"/>
      <c r="Y3650" s="11"/>
      <c r="Z3650" s="105"/>
      <c r="AA3650" s="11"/>
      <c r="AB3650" s="11"/>
      <c r="AC3650" s="105"/>
      <c r="AD3650" s="11" t="b">
        <v>0</v>
      </c>
      <c r="AE3650" s="105"/>
      <c r="AF3650" s="11"/>
      <c r="AG3650" s="11"/>
      <c r="AH3650" s="11"/>
      <c r="AI3650" s="11"/>
    </row>
    <row r="3651" ht="12.5" spans="3:35">
      <c r="C3651" s="19"/>
      <c r="D3651" s="19"/>
      <c r="H3651" s="105"/>
      <c r="I3651" s="126"/>
      <c r="J3651" s="11"/>
      <c r="K3651" s="108"/>
      <c r="L3651" s="11"/>
      <c r="M3651" s="105"/>
      <c r="N3651" s="105"/>
      <c r="O3651" s="11"/>
      <c r="P3651" s="11"/>
      <c r="Q3651" s="105"/>
      <c r="R3651" s="105"/>
      <c r="S3651" s="105"/>
      <c r="T3651" s="105"/>
      <c r="U3651" s="105"/>
      <c r="V3651" s="105"/>
      <c r="W3651" s="105"/>
      <c r="X3651" s="11"/>
      <c r="Y3651" s="11"/>
      <c r="Z3651" s="105"/>
      <c r="AA3651" s="11"/>
      <c r="AB3651" s="11"/>
      <c r="AC3651" s="105"/>
      <c r="AD3651" s="11" t="b">
        <v>0</v>
      </c>
      <c r="AE3651" s="105"/>
      <c r="AF3651" s="11"/>
      <c r="AG3651" s="11"/>
      <c r="AH3651" s="11"/>
      <c r="AI3651" s="11"/>
    </row>
    <row r="3652" ht="12.5" spans="3:35">
      <c r="C3652" s="19"/>
      <c r="D3652" s="19"/>
      <c r="H3652" s="105"/>
      <c r="I3652" s="126"/>
      <c r="J3652" s="11"/>
      <c r="K3652" s="108"/>
      <c r="L3652" s="11"/>
      <c r="M3652" s="105"/>
      <c r="N3652" s="105"/>
      <c r="O3652" s="11"/>
      <c r="P3652" s="11"/>
      <c r="Q3652" s="105"/>
      <c r="R3652" s="105"/>
      <c r="S3652" s="105"/>
      <c r="T3652" s="105"/>
      <c r="U3652" s="105"/>
      <c r="V3652" s="105"/>
      <c r="W3652" s="105"/>
      <c r="X3652" s="11"/>
      <c r="Y3652" s="11"/>
      <c r="Z3652" s="105"/>
      <c r="AA3652" s="11"/>
      <c r="AB3652" s="11"/>
      <c r="AC3652" s="105"/>
      <c r="AD3652" s="11" t="b">
        <v>0</v>
      </c>
      <c r="AE3652" s="105"/>
      <c r="AF3652" s="11"/>
      <c r="AG3652" s="11"/>
      <c r="AH3652" s="11"/>
      <c r="AI3652" s="11"/>
    </row>
    <row r="3653" ht="12.5" spans="3:35">
      <c r="C3653" s="19"/>
      <c r="D3653" s="19"/>
      <c r="H3653" s="105"/>
      <c r="I3653" s="126"/>
      <c r="J3653" s="11"/>
      <c r="K3653" s="108"/>
      <c r="L3653" s="11"/>
      <c r="M3653" s="105"/>
      <c r="N3653" s="105"/>
      <c r="O3653" s="11"/>
      <c r="P3653" s="11"/>
      <c r="Q3653" s="105"/>
      <c r="R3653" s="105"/>
      <c r="S3653" s="105"/>
      <c r="T3653" s="105"/>
      <c r="U3653" s="105"/>
      <c r="V3653" s="105"/>
      <c r="W3653" s="105"/>
      <c r="X3653" s="11"/>
      <c r="Y3653" s="11"/>
      <c r="Z3653" s="105"/>
      <c r="AA3653" s="11"/>
      <c r="AB3653" s="11"/>
      <c r="AC3653" s="105"/>
      <c r="AD3653" s="11" t="b">
        <v>0</v>
      </c>
      <c r="AE3653" s="105"/>
      <c r="AF3653" s="11"/>
      <c r="AG3653" s="11"/>
      <c r="AH3653" s="11"/>
      <c r="AI3653" s="11"/>
    </row>
    <row r="3654" ht="12.5" spans="3:35">
      <c r="C3654" s="19"/>
      <c r="D3654" s="19"/>
      <c r="H3654" s="105"/>
      <c r="I3654" s="126"/>
      <c r="J3654" s="11"/>
      <c r="K3654" s="108"/>
      <c r="L3654" s="11"/>
      <c r="M3654" s="105"/>
      <c r="N3654" s="105"/>
      <c r="O3654" s="11"/>
      <c r="P3654" s="11"/>
      <c r="Q3654" s="105"/>
      <c r="R3654" s="105"/>
      <c r="S3654" s="105"/>
      <c r="T3654" s="105"/>
      <c r="U3654" s="105"/>
      <c r="V3654" s="105"/>
      <c r="W3654" s="105"/>
      <c r="X3654" s="11"/>
      <c r="Y3654" s="11"/>
      <c r="Z3654" s="105"/>
      <c r="AA3654" s="11"/>
      <c r="AB3654" s="11"/>
      <c r="AC3654" s="105"/>
      <c r="AD3654" s="11" t="b">
        <v>0</v>
      </c>
      <c r="AE3654" s="105"/>
      <c r="AF3654" s="11"/>
      <c r="AG3654" s="11"/>
      <c r="AH3654" s="11"/>
      <c r="AI3654" s="11"/>
    </row>
    <row r="3655" ht="12.5" spans="3:35">
      <c r="C3655" s="19"/>
      <c r="D3655" s="19"/>
      <c r="H3655" s="105"/>
      <c r="I3655" s="126"/>
      <c r="J3655" s="11"/>
      <c r="K3655" s="108"/>
      <c r="L3655" s="11"/>
      <c r="M3655" s="105"/>
      <c r="N3655" s="105"/>
      <c r="O3655" s="11"/>
      <c r="P3655" s="11"/>
      <c r="Q3655" s="105"/>
      <c r="R3655" s="105"/>
      <c r="S3655" s="105"/>
      <c r="T3655" s="105"/>
      <c r="U3655" s="105"/>
      <c r="V3655" s="105"/>
      <c r="W3655" s="105"/>
      <c r="X3655" s="11"/>
      <c r="Y3655" s="11"/>
      <c r="Z3655" s="105"/>
      <c r="AA3655" s="11"/>
      <c r="AB3655" s="11"/>
      <c r="AC3655" s="105"/>
      <c r="AD3655" s="11" t="b">
        <v>0</v>
      </c>
      <c r="AE3655" s="105"/>
      <c r="AF3655" s="11"/>
      <c r="AG3655" s="11"/>
      <c r="AH3655" s="11"/>
      <c r="AI3655" s="11"/>
    </row>
    <row r="3656" ht="12.5" spans="3:35">
      <c r="C3656" s="19"/>
      <c r="D3656" s="19"/>
      <c r="H3656" s="105"/>
      <c r="I3656" s="126"/>
      <c r="J3656" s="11"/>
      <c r="K3656" s="108"/>
      <c r="L3656" s="11"/>
      <c r="M3656" s="105"/>
      <c r="N3656" s="105"/>
      <c r="O3656" s="11"/>
      <c r="P3656" s="11"/>
      <c r="Q3656" s="105"/>
      <c r="R3656" s="105"/>
      <c r="S3656" s="105"/>
      <c r="T3656" s="105"/>
      <c r="U3656" s="105"/>
      <c r="V3656" s="105"/>
      <c r="W3656" s="105"/>
      <c r="X3656" s="11"/>
      <c r="Y3656" s="11"/>
      <c r="Z3656" s="105"/>
      <c r="AA3656" s="11"/>
      <c r="AB3656" s="11"/>
      <c r="AC3656" s="105"/>
      <c r="AD3656" s="11" t="b">
        <v>0</v>
      </c>
      <c r="AE3656" s="105"/>
      <c r="AF3656" s="11"/>
      <c r="AG3656" s="11"/>
      <c r="AH3656" s="11"/>
      <c r="AI3656" s="11"/>
    </row>
    <row r="3657" ht="12.5" spans="3:35">
      <c r="C3657" s="19"/>
      <c r="D3657" s="19"/>
      <c r="H3657" s="105"/>
      <c r="I3657" s="126"/>
      <c r="J3657" s="11"/>
      <c r="K3657" s="108"/>
      <c r="L3657" s="11"/>
      <c r="M3657" s="105"/>
      <c r="N3657" s="105"/>
      <c r="O3657" s="11"/>
      <c r="P3657" s="11"/>
      <c r="Q3657" s="105"/>
      <c r="R3657" s="105"/>
      <c r="S3657" s="105"/>
      <c r="T3657" s="105"/>
      <c r="U3657" s="105"/>
      <c r="V3657" s="105"/>
      <c r="W3657" s="105"/>
      <c r="X3657" s="11"/>
      <c r="Y3657" s="11"/>
      <c r="Z3657" s="105"/>
      <c r="AA3657" s="11"/>
      <c r="AB3657" s="11"/>
      <c r="AC3657" s="105"/>
      <c r="AD3657" s="11" t="b">
        <v>0</v>
      </c>
      <c r="AE3657" s="105"/>
      <c r="AF3657" s="11"/>
      <c r="AG3657" s="11"/>
      <c r="AH3657" s="11"/>
      <c r="AI3657" s="11"/>
    </row>
    <row r="3658" ht="12.5" spans="3:35">
      <c r="C3658" s="19"/>
      <c r="D3658" s="19"/>
      <c r="H3658" s="105"/>
      <c r="I3658" s="126"/>
      <c r="J3658" s="11"/>
      <c r="K3658" s="108"/>
      <c r="L3658" s="11"/>
      <c r="M3658" s="105"/>
      <c r="N3658" s="105"/>
      <c r="O3658" s="11"/>
      <c r="P3658" s="11"/>
      <c r="Q3658" s="105"/>
      <c r="R3658" s="105"/>
      <c r="S3658" s="105"/>
      <c r="T3658" s="105"/>
      <c r="U3658" s="105"/>
      <c r="V3658" s="105"/>
      <c r="W3658" s="105"/>
      <c r="X3658" s="11"/>
      <c r="Y3658" s="11"/>
      <c r="Z3658" s="105"/>
      <c r="AA3658" s="11"/>
      <c r="AB3658" s="11"/>
      <c r="AC3658" s="105"/>
      <c r="AD3658" s="11" t="b">
        <v>0</v>
      </c>
      <c r="AE3658" s="105"/>
      <c r="AF3658" s="11"/>
      <c r="AG3658" s="11"/>
      <c r="AH3658" s="11"/>
      <c r="AI3658" s="11"/>
    </row>
    <row r="3659" ht="12.5" spans="3:35">
      <c r="C3659" s="19"/>
      <c r="D3659" s="19"/>
      <c r="H3659" s="105"/>
      <c r="I3659" s="126"/>
      <c r="J3659" s="11"/>
      <c r="K3659" s="108"/>
      <c r="L3659" s="11"/>
      <c r="M3659" s="105"/>
      <c r="N3659" s="105"/>
      <c r="O3659" s="11"/>
      <c r="P3659" s="11"/>
      <c r="Q3659" s="105"/>
      <c r="R3659" s="105"/>
      <c r="S3659" s="105"/>
      <c r="T3659" s="105"/>
      <c r="U3659" s="105"/>
      <c r="V3659" s="105"/>
      <c r="W3659" s="105"/>
      <c r="X3659" s="11"/>
      <c r="Y3659" s="11"/>
      <c r="Z3659" s="105"/>
      <c r="AA3659" s="11"/>
      <c r="AB3659" s="11"/>
      <c r="AC3659" s="105"/>
      <c r="AD3659" s="11" t="b">
        <v>0</v>
      </c>
      <c r="AE3659" s="105"/>
      <c r="AF3659" s="11"/>
      <c r="AG3659" s="11"/>
      <c r="AH3659" s="11"/>
      <c r="AI3659" s="11"/>
    </row>
    <row r="3660" ht="12.5" spans="3:35">
      <c r="C3660" s="19"/>
      <c r="D3660" s="19"/>
      <c r="H3660" s="105"/>
      <c r="I3660" s="126"/>
      <c r="J3660" s="11"/>
      <c r="K3660" s="108"/>
      <c r="L3660" s="11"/>
      <c r="M3660" s="105"/>
      <c r="N3660" s="105"/>
      <c r="O3660" s="11"/>
      <c r="P3660" s="11"/>
      <c r="Q3660" s="105"/>
      <c r="R3660" s="105"/>
      <c r="S3660" s="105"/>
      <c r="T3660" s="105"/>
      <c r="U3660" s="105"/>
      <c r="V3660" s="105"/>
      <c r="W3660" s="105"/>
      <c r="X3660" s="11"/>
      <c r="Y3660" s="11"/>
      <c r="Z3660" s="105"/>
      <c r="AA3660" s="11"/>
      <c r="AB3660" s="11"/>
      <c r="AC3660" s="105"/>
      <c r="AD3660" s="11" t="b">
        <v>0</v>
      </c>
      <c r="AE3660" s="105"/>
      <c r="AF3660" s="11"/>
      <c r="AG3660" s="11"/>
      <c r="AH3660" s="11"/>
      <c r="AI3660" s="11"/>
    </row>
    <row r="3661" ht="12.5" spans="3:35">
      <c r="C3661" s="19"/>
      <c r="D3661" s="19"/>
      <c r="H3661" s="105"/>
      <c r="I3661" s="126"/>
      <c r="J3661" s="11"/>
      <c r="K3661" s="108"/>
      <c r="L3661" s="11"/>
      <c r="M3661" s="105"/>
      <c r="N3661" s="105"/>
      <c r="O3661" s="11"/>
      <c r="P3661" s="11"/>
      <c r="Q3661" s="105"/>
      <c r="R3661" s="105"/>
      <c r="S3661" s="105"/>
      <c r="T3661" s="105"/>
      <c r="U3661" s="105"/>
      <c r="V3661" s="105"/>
      <c r="W3661" s="105"/>
      <c r="X3661" s="11"/>
      <c r="Y3661" s="11"/>
      <c r="Z3661" s="105"/>
      <c r="AA3661" s="11"/>
      <c r="AB3661" s="11"/>
      <c r="AC3661" s="105"/>
      <c r="AD3661" s="11" t="b">
        <v>0</v>
      </c>
      <c r="AE3661" s="105"/>
      <c r="AF3661" s="11"/>
      <c r="AG3661" s="11"/>
      <c r="AH3661" s="11"/>
      <c r="AI3661" s="11"/>
    </row>
    <row r="3662" ht="12.5" spans="3:35">
      <c r="C3662" s="19"/>
      <c r="D3662" s="19"/>
      <c r="H3662" s="105"/>
      <c r="I3662" s="126"/>
      <c r="J3662" s="11"/>
      <c r="K3662" s="108"/>
      <c r="L3662" s="11"/>
      <c r="M3662" s="105"/>
      <c r="N3662" s="105"/>
      <c r="O3662" s="11"/>
      <c r="P3662" s="11"/>
      <c r="Q3662" s="105"/>
      <c r="R3662" s="105"/>
      <c r="S3662" s="105"/>
      <c r="T3662" s="105"/>
      <c r="U3662" s="105"/>
      <c r="V3662" s="105"/>
      <c r="W3662" s="105"/>
      <c r="X3662" s="11"/>
      <c r="Y3662" s="11"/>
      <c r="Z3662" s="105"/>
      <c r="AA3662" s="11"/>
      <c r="AB3662" s="11"/>
      <c r="AC3662" s="105"/>
      <c r="AD3662" s="11" t="b">
        <v>0</v>
      </c>
      <c r="AE3662" s="105"/>
      <c r="AF3662" s="11"/>
      <c r="AG3662" s="11"/>
      <c r="AH3662" s="11"/>
      <c r="AI3662" s="11"/>
    </row>
    <row r="3663" ht="12.5" spans="3:35">
      <c r="C3663" s="19"/>
      <c r="D3663" s="19"/>
      <c r="H3663" s="105"/>
      <c r="I3663" s="126"/>
      <c r="J3663" s="11"/>
      <c r="K3663" s="108"/>
      <c r="L3663" s="11"/>
      <c r="M3663" s="105"/>
      <c r="N3663" s="105"/>
      <c r="O3663" s="11"/>
      <c r="P3663" s="11"/>
      <c r="Q3663" s="105"/>
      <c r="R3663" s="105"/>
      <c r="S3663" s="105"/>
      <c r="T3663" s="105"/>
      <c r="U3663" s="105"/>
      <c r="V3663" s="105"/>
      <c r="W3663" s="105"/>
      <c r="X3663" s="11"/>
      <c r="Y3663" s="11"/>
      <c r="Z3663" s="105"/>
      <c r="AA3663" s="11"/>
      <c r="AB3663" s="11"/>
      <c r="AC3663" s="105"/>
      <c r="AD3663" s="11" t="b">
        <v>0</v>
      </c>
      <c r="AE3663" s="105"/>
      <c r="AF3663" s="11"/>
      <c r="AG3663" s="11"/>
      <c r="AH3663" s="11"/>
      <c r="AI3663" s="11"/>
    </row>
    <row r="3664" ht="12.5" spans="3:35">
      <c r="C3664" s="19"/>
      <c r="D3664" s="19"/>
      <c r="H3664" s="105"/>
      <c r="I3664" s="126"/>
      <c r="J3664" s="11"/>
      <c r="K3664" s="108"/>
      <c r="L3664" s="11"/>
      <c r="M3664" s="105"/>
      <c r="N3664" s="105"/>
      <c r="O3664" s="11"/>
      <c r="P3664" s="11"/>
      <c r="Q3664" s="105"/>
      <c r="R3664" s="105"/>
      <c r="S3664" s="105"/>
      <c r="T3664" s="105"/>
      <c r="U3664" s="105"/>
      <c r="V3664" s="105"/>
      <c r="W3664" s="105"/>
      <c r="X3664" s="11"/>
      <c r="Y3664" s="11"/>
      <c r="Z3664" s="105"/>
      <c r="AA3664" s="11"/>
      <c r="AB3664" s="11"/>
      <c r="AC3664" s="105"/>
      <c r="AD3664" s="11" t="b">
        <v>0</v>
      </c>
      <c r="AE3664" s="105"/>
      <c r="AF3664" s="11"/>
      <c r="AG3664" s="11"/>
      <c r="AH3664" s="11"/>
      <c r="AI3664" s="11"/>
    </row>
    <row r="3665" ht="12.5" spans="3:35">
      <c r="C3665" s="19"/>
      <c r="D3665" s="19"/>
      <c r="H3665" s="105"/>
      <c r="I3665" s="126"/>
      <c r="J3665" s="11"/>
      <c r="K3665" s="108"/>
      <c r="L3665" s="11"/>
      <c r="M3665" s="105"/>
      <c r="N3665" s="105"/>
      <c r="O3665" s="11"/>
      <c r="P3665" s="11"/>
      <c r="Q3665" s="105"/>
      <c r="R3665" s="105"/>
      <c r="S3665" s="105"/>
      <c r="T3665" s="105"/>
      <c r="U3665" s="105"/>
      <c r="V3665" s="105"/>
      <c r="W3665" s="105"/>
      <c r="X3665" s="11"/>
      <c r="Y3665" s="11"/>
      <c r="Z3665" s="105"/>
      <c r="AA3665" s="11"/>
      <c r="AB3665" s="11"/>
      <c r="AC3665" s="105"/>
      <c r="AD3665" s="11" t="b">
        <v>0</v>
      </c>
      <c r="AE3665" s="105"/>
      <c r="AF3665" s="11"/>
      <c r="AG3665" s="11"/>
      <c r="AH3665" s="11"/>
      <c r="AI3665" s="11"/>
    </row>
    <row r="3666" ht="12.5" spans="3:35">
      <c r="C3666" s="19"/>
      <c r="D3666" s="19"/>
      <c r="H3666" s="105"/>
      <c r="I3666" s="126"/>
      <c r="J3666" s="11"/>
      <c r="K3666" s="108"/>
      <c r="L3666" s="11"/>
      <c r="M3666" s="105"/>
      <c r="N3666" s="105"/>
      <c r="O3666" s="11"/>
      <c r="P3666" s="11"/>
      <c r="Q3666" s="105"/>
      <c r="R3666" s="105"/>
      <c r="S3666" s="105"/>
      <c r="T3666" s="105"/>
      <c r="U3666" s="105"/>
      <c r="V3666" s="105"/>
      <c r="W3666" s="105"/>
      <c r="X3666" s="11"/>
      <c r="Y3666" s="11"/>
      <c r="Z3666" s="105"/>
      <c r="AA3666" s="11"/>
      <c r="AB3666" s="11"/>
      <c r="AC3666" s="105"/>
      <c r="AD3666" s="11" t="b">
        <v>0</v>
      </c>
      <c r="AE3666" s="105"/>
      <c r="AF3666" s="11"/>
      <c r="AG3666" s="11"/>
      <c r="AH3666" s="11"/>
      <c r="AI3666" s="11"/>
    </row>
    <row r="3667" ht="12.5" spans="3:35">
      <c r="C3667" s="19"/>
      <c r="D3667" s="19"/>
      <c r="H3667" s="105"/>
      <c r="I3667" s="126"/>
      <c r="J3667" s="11"/>
      <c r="K3667" s="108"/>
      <c r="L3667" s="11"/>
      <c r="M3667" s="105"/>
      <c r="N3667" s="105"/>
      <c r="O3667" s="11"/>
      <c r="P3667" s="11"/>
      <c r="Q3667" s="105"/>
      <c r="R3667" s="105"/>
      <c r="S3667" s="105"/>
      <c r="T3667" s="105"/>
      <c r="U3667" s="105"/>
      <c r="V3667" s="105"/>
      <c r="W3667" s="105"/>
      <c r="X3667" s="11"/>
      <c r="Y3667" s="11"/>
      <c r="Z3667" s="105"/>
      <c r="AA3667" s="11"/>
      <c r="AB3667" s="11"/>
      <c r="AC3667" s="105"/>
      <c r="AD3667" s="11" t="b">
        <v>0</v>
      </c>
      <c r="AE3667" s="105"/>
      <c r="AF3667" s="11"/>
      <c r="AG3667" s="11"/>
      <c r="AH3667" s="11"/>
      <c r="AI3667" s="11"/>
    </row>
    <row r="3668" ht="12.5" spans="3:35">
      <c r="C3668" s="19"/>
      <c r="D3668" s="19"/>
      <c r="H3668" s="105"/>
      <c r="I3668" s="126"/>
      <c r="J3668" s="11"/>
      <c r="K3668" s="108"/>
      <c r="L3668" s="11"/>
      <c r="M3668" s="105"/>
      <c r="N3668" s="105"/>
      <c r="O3668" s="11"/>
      <c r="P3668" s="11"/>
      <c r="Q3668" s="105"/>
      <c r="R3668" s="105"/>
      <c r="S3668" s="105"/>
      <c r="T3668" s="105"/>
      <c r="U3668" s="105"/>
      <c r="V3668" s="105"/>
      <c r="W3668" s="105"/>
      <c r="X3668" s="11"/>
      <c r="Y3668" s="11"/>
      <c r="Z3668" s="105"/>
      <c r="AA3668" s="11"/>
      <c r="AB3668" s="11"/>
      <c r="AC3668" s="105"/>
      <c r="AD3668" s="11" t="b">
        <v>0</v>
      </c>
      <c r="AE3668" s="105"/>
      <c r="AF3668" s="11"/>
      <c r="AG3668" s="11"/>
      <c r="AH3668" s="11"/>
      <c r="AI3668" s="11"/>
    </row>
    <row r="3669" ht="12.5" spans="3:35">
      <c r="C3669" s="19"/>
      <c r="D3669" s="19"/>
      <c r="H3669" s="105"/>
      <c r="I3669" s="126"/>
      <c r="J3669" s="11"/>
      <c r="K3669" s="108"/>
      <c r="L3669" s="11"/>
      <c r="M3669" s="105"/>
      <c r="N3669" s="105"/>
      <c r="O3669" s="11"/>
      <c r="P3669" s="11"/>
      <c r="Q3669" s="105"/>
      <c r="R3669" s="105"/>
      <c r="S3669" s="105"/>
      <c r="T3669" s="105"/>
      <c r="U3669" s="105"/>
      <c r="V3669" s="105"/>
      <c r="W3669" s="105"/>
      <c r="X3669" s="11"/>
      <c r="Y3669" s="11"/>
      <c r="Z3669" s="105"/>
      <c r="AA3669" s="11"/>
      <c r="AB3669" s="11"/>
      <c r="AC3669" s="105"/>
      <c r="AD3669" s="11" t="b">
        <v>0</v>
      </c>
      <c r="AE3669" s="105"/>
      <c r="AF3669" s="11"/>
      <c r="AG3669" s="11"/>
      <c r="AH3669" s="11"/>
      <c r="AI3669" s="11"/>
    </row>
    <row r="3670" ht="12.5" spans="3:35">
      <c r="C3670" s="19"/>
      <c r="D3670" s="19"/>
      <c r="H3670" s="105"/>
      <c r="I3670" s="126"/>
      <c r="J3670" s="11"/>
      <c r="K3670" s="108"/>
      <c r="L3670" s="11"/>
      <c r="M3670" s="105"/>
      <c r="N3670" s="105"/>
      <c r="O3670" s="11"/>
      <c r="P3670" s="11"/>
      <c r="Q3670" s="105"/>
      <c r="R3670" s="105"/>
      <c r="S3670" s="105"/>
      <c r="T3670" s="105"/>
      <c r="U3670" s="105"/>
      <c r="V3670" s="105"/>
      <c r="W3670" s="105"/>
      <c r="X3670" s="11"/>
      <c r="Y3670" s="11"/>
      <c r="Z3670" s="105"/>
      <c r="AA3670" s="11"/>
      <c r="AB3670" s="11"/>
      <c r="AC3670" s="105"/>
      <c r="AD3670" s="11" t="b">
        <v>0</v>
      </c>
      <c r="AE3670" s="105"/>
      <c r="AF3670" s="11"/>
      <c r="AG3670" s="11"/>
      <c r="AH3670" s="11"/>
      <c r="AI3670" s="11"/>
    </row>
    <row r="3671" ht="12.5" spans="3:35">
      <c r="C3671" s="19"/>
      <c r="D3671" s="19"/>
      <c r="H3671" s="105"/>
      <c r="I3671" s="126"/>
      <c r="J3671" s="11"/>
      <c r="K3671" s="108"/>
      <c r="L3671" s="11"/>
      <c r="M3671" s="105"/>
      <c r="N3671" s="105"/>
      <c r="O3671" s="11"/>
      <c r="P3671" s="11"/>
      <c r="Q3671" s="105"/>
      <c r="R3671" s="105"/>
      <c r="S3671" s="105"/>
      <c r="T3671" s="105"/>
      <c r="U3671" s="105"/>
      <c r="V3671" s="105"/>
      <c r="W3671" s="105"/>
      <c r="X3671" s="11"/>
      <c r="Y3671" s="11"/>
      <c r="Z3671" s="105"/>
      <c r="AA3671" s="11"/>
      <c r="AB3671" s="11"/>
      <c r="AC3671" s="105"/>
      <c r="AD3671" s="11" t="b">
        <v>0</v>
      </c>
      <c r="AE3671" s="105"/>
      <c r="AF3671" s="11"/>
      <c r="AG3671" s="11"/>
      <c r="AH3671" s="11"/>
      <c r="AI3671" s="11"/>
    </row>
    <row r="3672" ht="12.5" spans="3:35">
      <c r="C3672" s="19"/>
      <c r="D3672" s="19"/>
      <c r="H3672" s="105"/>
      <c r="I3672" s="126"/>
      <c r="J3672" s="11"/>
      <c r="K3672" s="108"/>
      <c r="L3672" s="11"/>
      <c r="M3672" s="105"/>
      <c r="N3672" s="105"/>
      <c r="O3672" s="11"/>
      <c r="P3672" s="11"/>
      <c r="Q3672" s="105"/>
      <c r="R3672" s="105"/>
      <c r="S3672" s="105"/>
      <c r="T3672" s="105"/>
      <c r="U3672" s="105"/>
      <c r="V3672" s="105"/>
      <c r="W3672" s="105"/>
      <c r="X3672" s="11"/>
      <c r="Y3672" s="11"/>
      <c r="Z3672" s="105"/>
      <c r="AA3672" s="11"/>
      <c r="AB3672" s="11"/>
      <c r="AC3672" s="105"/>
      <c r="AD3672" s="11" t="b">
        <v>0</v>
      </c>
      <c r="AE3672" s="105"/>
      <c r="AF3672" s="11"/>
      <c r="AG3672" s="11"/>
      <c r="AH3672" s="11"/>
      <c r="AI3672" s="11"/>
    </row>
    <row r="3673" ht="12.5" spans="3:35">
      <c r="C3673" s="19"/>
      <c r="D3673" s="19"/>
      <c r="H3673" s="105"/>
      <c r="I3673" s="126"/>
      <c r="J3673" s="11"/>
      <c r="K3673" s="108"/>
      <c r="L3673" s="11"/>
      <c r="M3673" s="105"/>
      <c r="N3673" s="105"/>
      <c r="O3673" s="11"/>
      <c r="P3673" s="11"/>
      <c r="Q3673" s="105"/>
      <c r="R3673" s="105"/>
      <c r="S3673" s="105"/>
      <c r="T3673" s="105"/>
      <c r="U3673" s="105"/>
      <c r="V3673" s="105"/>
      <c r="W3673" s="105"/>
      <c r="X3673" s="11"/>
      <c r="Y3673" s="11"/>
      <c r="Z3673" s="105"/>
      <c r="AA3673" s="11"/>
      <c r="AB3673" s="11"/>
      <c r="AC3673" s="105"/>
      <c r="AD3673" s="11" t="b">
        <v>0</v>
      </c>
      <c r="AE3673" s="105"/>
      <c r="AF3673" s="11"/>
      <c r="AG3673" s="11"/>
      <c r="AH3673" s="11"/>
      <c r="AI3673" s="11"/>
    </row>
    <row r="3674" ht="12.5" spans="3:35">
      <c r="C3674" s="19"/>
      <c r="D3674" s="19"/>
      <c r="H3674" s="105"/>
      <c r="I3674" s="126"/>
      <c r="J3674" s="11"/>
      <c r="K3674" s="108"/>
      <c r="L3674" s="11"/>
      <c r="M3674" s="105"/>
      <c r="N3674" s="105"/>
      <c r="O3674" s="11"/>
      <c r="P3674" s="11"/>
      <c r="Q3674" s="105"/>
      <c r="R3674" s="105"/>
      <c r="S3674" s="105"/>
      <c r="T3674" s="105"/>
      <c r="U3674" s="105"/>
      <c r="V3674" s="105"/>
      <c r="W3674" s="105"/>
      <c r="X3674" s="11"/>
      <c r="Y3674" s="11"/>
      <c r="Z3674" s="105"/>
      <c r="AA3674" s="11"/>
      <c r="AB3674" s="11"/>
      <c r="AC3674" s="105"/>
      <c r="AD3674" s="11" t="b">
        <v>0</v>
      </c>
      <c r="AE3674" s="105"/>
      <c r="AF3674" s="11"/>
      <c r="AG3674" s="11"/>
      <c r="AH3674" s="11"/>
      <c r="AI3674" s="11"/>
    </row>
    <row r="3675" ht="12.5" spans="3:35">
      <c r="C3675" s="19"/>
      <c r="D3675" s="19"/>
      <c r="H3675" s="105"/>
      <c r="I3675" s="126"/>
      <c r="J3675" s="11"/>
      <c r="K3675" s="108"/>
      <c r="L3675" s="11"/>
      <c r="M3675" s="105"/>
      <c r="N3675" s="105"/>
      <c r="O3675" s="11"/>
      <c r="P3675" s="11"/>
      <c r="Q3675" s="105"/>
      <c r="R3675" s="105"/>
      <c r="S3675" s="105"/>
      <c r="T3675" s="105"/>
      <c r="U3675" s="105"/>
      <c r="V3675" s="105"/>
      <c r="W3675" s="105"/>
      <c r="X3675" s="11"/>
      <c r="Y3675" s="11"/>
      <c r="Z3675" s="105"/>
      <c r="AA3675" s="11"/>
      <c r="AB3675" s="11"/>
      <c r="AC3675" s="105"/>
      <c r="AD3675" s="11" t="b">
        <v>0</v>
      </c>
      <c r="AE3675" s="105"/>
      <c r="AF3675" s="11"/>
      <c r="AG3675" s="11"/>
      <c r="AH3675" s="11"/>
      <c r="AI3675" s="11"/>
    </row>
    <row r="3676" ht="12.5" spans="3:35">
      <c r="C3676" s="19"/>
      <c r="D3676" s="19"/>
      <c r="H3676" s="105"/>
      <c r="I3676" s="126"/>
      <c r="J3676" s="11"/>
      <c r="K3676" s="108"/>
      <c r="L3676" s="11"/>
      <c r="M3676" s="105"/>
      <c r="N3676" s="105"/>
      <c r="O3676" s="11"/>
      <c r="P3676" s="11"/>
      <c r="Q3676" s="105"/>
      <c r="R3676" s="105"/>
      <c r="S3676" s="105"/>
      <c r="T3676" s="105"/>
      <c r="U3676" s="105"/>
      <c r="V3676" s="105"/>
      <c r="W3676" s="105"/>
      <c r="X3676" s="11"/>
      <c r="Y3676" s="11"/>
      <c r="Z3676" s="105"/>
      <c r="AA3676" s="11"/>
      <c r="AB3676" s="11"/>
      <c r="AC3676" s="105"/>
      <c r="AD3676" s="11" t="b">
        <v>0</v>
      </c>
      <c r="AE3676" s="105"/>
      <c r="AF3676" s="11"/>
      <c r="AG3676" s="11"/>
      <c r="AH3676" s="11"/>
      <c r="AI3676" s="11"/>
    </row>
    <row r="3677" ht="12.5" spans="3:35">
      <c r="C3677" s="19"/>
      <c r="D3677" s="19"/>
      <c r="H3677" s="105"/>
      <c r="I3677" s="126"/>
      <c r="J3677" s="11"/>
      <c r="K3677" s="108"/>
      <c r="L3677" s="11"/>
      <c r="M3677" s="105"/>
      <c r="N3677" s="105"/>
      <c r="O3677" s="11"/>
      <c r="P3677" s="11"/>
      <c r="Q3677" s="105"/>
      <c r="R3677" s="105"/>
      <c r="S3677" s="105"/>
      <c r="T3677" s="105"/>
      <c r="U3677" s="105"/>
      <c r="V3677" s="105"/>
      <c r="W3677" s="105"/>
      <c r="X3677" s="11"/>
      <c r="Y3677" s="11"/>
      <c r="Z3677" s="105"/>
      <c r="AA3677" s="11"/>
      <c r="AB3677" s="11"/>
      <c r="AC3677" s="105"/>
      <c r="AD3677" s="11" t="b">
        <v>0</v>
      </c>
      <c r="AE3677" s="105"/>
      <c r="AF3677" s="11"/>
      <c r="AG3677" s="11"/>
      <c r="AH3677" s="11"/>
      <c r="AI3677" s="11"/>
    </row>
    <row r="3678" ht="12.5" spans="3:35">
      <c r="C3678" s="19"/>
      <c r="D3678" s="19"/>
      <c r="H3678" s="105"/>
      <c r="I3678" s="126"/>
      <c r="J3678" s="11"/>
      <c r="K3678" s="108"/>
      <c r="L3678" s="11"/>
      <c r="M3678" s="105"/>
      <c r="N3678" s="105"/>
      <c r="O3678" s="11"/>
      <c r="P3678" s="11"/>
      <c r="Q3678" s="105"/>
      <c r="R3678" s="105"/>
      <c r="S3678" s="105"/>
      <c r="T3678" s="105"/>
      <c r="U3678" s="105"/>
      <c r="V3678" s="105"/>
      <c r="W3678" s="105"/>
      <c r="X3678" s="11"/>
      <c r="Y3678" s="11"/>
      <c r="Z3678" s="105"/>
      <c r="AA3678" s="11"/>
      <c r="AB3678" s="11"/>
      <c r="AC3678" s="105"/>
      <c r="AD3678" s="11" t="b">
        <v>0</v>
      </c>
      <c r="AE3678" s="105"/>
      <c r="AF3678" s="11"/>
      <c r="AG3678" s="11"/>
      <c r="AH3678" s="11"/>
      <c r="AI3678" s="11"/>
    </row>
    <row r="3679" ht="12.5" spans="3:35">
      <c r="C3679" s="19"/>
      <c r="D3679" s="19"/>
      <c r="H3679" s="105"/>
      <c r="I3679" s="126"/>
      <c r="J3679" s="11"/>
      <c r="K3679" s="108"/>
      <c r="L3679" s="11"/>
      <c r="M3679" s="105"/>
      <c r="N3679" s="105"/>
      <c r="O3679" s="11"/>
      <c r="P3679" s="11"/>
      <c r="Q3679" s="105"/>
      <c r="R3679" s="105"/>
      <c r="S3679" s="105"/>
      <c r="T3679" s="105"/>
      <c r="U3679" s="105"/>
      <c r="V3679" s="105"/>
      <c r="W3679" s="105"/>
      <c r="X3679" s="11"/>
      <c r="Y3679" s="11"/>
      <c r="Z3679" s="105"/>
      <c r="AA3679" s="11"/>
      <c r="AB3679" s="11"/>
      <c r="AC3679" s="105"/>
      <c r="AD3679" s="11" t="b">
        <v>0</v>
      </c>
      <c r="AE3679" s="105"/>
      <c r="AF3679" s="11"/>
      <c r="AG3679" s="11"/>
      <c r="AH3679" s="11"/>
      <c r="AI3679" s="11"/>
    </row>
    <row r="3680" ht="12.5" spans="3:35">
      <c r="C3680" s="19"/>
      <c r="D3680" s="19"/>
      <c r="H3680" s="105"/>
      <c r="I3680" s="126"/>
      <c r="J3680" s="11"/>
      <c r="K3680" s="108"/>
      <c r="L3680" s="11"/>
      <c r="M3680" s="105"/>
      <c r="N3680" s="105"/>
      <c r="O3680" s="11"/>
      <c r="P3680" s="11"/>
      <c r="Q3680" s="105"/>
      <c r="R3680" s="105"/>
      <c r="S3680" s="105"/>
      <c r="T3680" s="105"/>
      <c r="U3680" s="105"/>
      <c r="V3680" s="105"/>
      <c r="W3680" s="105"/>
      <c r="X3680" s="11"/>
      <c r="Y3680" s="11"/>
      <c r="Z3680" s="105"/>
      <c r="AA3680" s="11"/>
      <c r="AB3680" s="11"/>
      <c r="AC3680" s="105"/>
      <c r="AD3680" s="11" t="b">
        <v>0</v>
      </c>
      <c r="AE3680" s="105"/>
      <c r="AF3680" s="11"/>
      <c r="AG3680" s="11"/>
      <c r="AH3680" s="11"/>
      <c r="AI3680" s="11"/>
    </row>
    <row r="3681" ht="12.5" spans="3:35">
      <c r="C3681" s="19"/>
      <c r="D3681" s="19"/>
      <c r="H3681" s="105"/>
      <c r="I3681" s="126"/>
      <c r="J3681" s="11"/>
      <c r="K3681" s="108"/>
      <c r="L3681" s="11"/>
      <c r="M3681" s="105"/>
      <c r="N3681" s="105"/>
      <c r="O3681" s="11"/>
      <c r="P3681" s="11"/>
      <c r="Q3681" s="105"/>
      <c r="R3681" s="105"/>
      <c r="S3681" s="105"/>
      <c r="T3681" s="105"/>
      <c r="U3681" s="105"/>
      <c r="V3681" s="105"/>
      <c r="W3681" s="105"/>
      <c r="X3681" s="11"/>
      <c r="Y3681" s="11"/>
      <c r="Z3681" s="105"/>
      <c r="AA3681" s="11"/>
      <c r="AB3681" s="11"/>
      <c r="AC3681" s="105"/>
      <c r="AD3681" s="11" t="b">
        <v>0</v>
      </c>
      <c r="AE3681" s="105"/>
      <c r="AF3681" s="11"/>
      <c r="AG3681" s="11"/>
      <c r="AH3681" s="11"/>
      <c r="AI3681" s="11"/>
    </row>
    <row r="3682" ht="12.5" spans="3:35">
      <c r="C3682" s="19"/>
      <c r="D3682" s="19"/>
      <c r="H3682" s="105"/>
      <c r="I3682" s="126"/>
      <c r="J3682" s="11"/>
      <c r="K3682" s="108"/>
      <c r="L3682" s="11"/>
      <c r="M3682" s="105"/>
      <c r="N3682" s="105"/>
      <c r="O3682" s="11"/>
      <c r="P3682" s="11"/>
      <c r="Q3682" s="105"/>
      <c r="R3682" s="105"/>
      <c r="S3682" s="105"/>
      <c r="T3682" s="105"/>
      <c r="U3682" s="105"/>
      <c r="V3682" s="105"/>
      <c r="W3682" s="105"/>
      <c r="X3682" s="11"/>
      <c r="Y3682" s="11"/>
      <c r="Z3682" s="105"/>
      <c r="AA3682" s="11"/>
      <c r="AB3682" s="11"/>
      <c r="AC3682" s="105"/>
      <c r="AD3682" s="11" t="b">
        <v>0</v>
      </c>
      <c r="AE3682" s="105"/>
      <c r="AF3682" s="11"/>
      <c r="AG3682" s="11"/>
      <c r="AH3682" s="11"/>
      <c r="AI3682" s="11"/>
    </row>
    <row r="3683" ht="12.5" spans="3:35">
      <c r="C3683" s="19"/>
      <c r="D3683" s="19"/>
      <c r="H3683" s="105"/>
      <c r="I3683" s="126"/>
      <c r="J3683" s="11"/>
      <c r="K3683" s="108"/>
      <c r="L3683" s="11"/>
      <c r="M3683" s="105"/>
      <c r="N3683" s="105"/>
      <c r="O3683" s="11"/>
      <c r="P3683" s="11"/>
      <c r="Q3683" s="105"/>
      <c r="R3683" s="105"/>
      <c r="S3683" s="105"/>
      <c r="T3683" s="105"/>
      <c r="U3683" s="105"/>
      <c r="V3683" s="105"/>
      <c r="W3683" s="105"/>
      <c r="X3683" s="11"/>
      <c r="Y3683" s="11"/>
      <c r="Z3683" s="105"/>
      <c r="AA3683" s="11"/>
      <c r="AB3683" s="11"/>
      <c r="AC3683" s="105"/>
      <c r="AD3683" s="11" t="b">
        <v>0</v>
      </c>
      <c r="AE3683" s="105"/>
      <c r="AF3683" s="11"/>
      <c r="AG3683" s="11"/>
      <c r="AH3683" s="11"/>
      <c r="AI3683" s="11"/>
    </row>
    <row r="3684" ht="12.5" spans="3:35">
      <c r="C3684" s="19"/>
      <c r="D3684" s="19"/>
      <c r="H3684" s="105"/>
      <c r="I3684" s="126"/>
      <c r="J3684" s="11"/>
      <c r="K3684" s="108"/>
      <c r="L3684" s="11"/>
      <c r="M3684" s="105"/>
      <c r="N3684" s="105"/>
      <c r="O3684" s="11"/>
      <c r="P3684" s="11"/>
      <c r="Q3684" s="105"/>
      <c r="R3684" s="105"/>
      <c r="S3684" s="105"/>
      <c r="T3684" s="105"/>
      <c r="U3684" s="105"/>
      <c r="V3684" s="105"/>
      <c r="W3684" s="105"/>
      <c r="X3684" s="11"/>
      <c r="Y3684" s="11"/>
      <c r="Z3684" s="105"/>
      <c r="AA3684" s="11"/>
      <c r="AB3684" s="11"/>
      <c r="AC3684" s="105"/>
      <c r="AD3684" s="11" t="b">
        <v>0</v>
      </c>
      <c r="AE3684" s="105"/>
      <c r="AF3684" s="11"/>
      <c r="AG3684" s="11"/>
      <c r="AH3684" s="11"/>
      <c r="AI3684" s="11"/>
    </row>
    <row r="3685" ht="12.5" spans="3:35">
      <c r="C3685" s="19"/>
      <c r="D3685" s="19"/>
      <c r="H3685" s="105"/>
      <c r="I3685" s="126"/>
      <c r="J3685" s="11"/>
      <c r="K3685" s="108"/>
      <c r="L3685" s="11"/>
      <c r="M3685" s="105"/>
      <c r="N3685" s="105"/>
      <c r="O3685" s="11"/>
      <c r="P3685" s="11"/>
      <c r="Q3685" s="105"/>
      <c r="R3685" s="105"/>
      <c r="S3685" s="105"/>
      <c r="T3685" s="105"/>
      <c r="U3685" s="105"/>
      <c r="V3685" s="105"/>
      <c r="W3685" s="105"/>
      <c r="X3685" s="11"/>
      <c r="Y3685" s="11"/>
      <c r="Z3685" s="105"/>
      <c r="AA3685" s="11"/>
      <c r="AB3685" s="11"/>
      <c r="AC3685" s="105"/>
      <c r="AD3685" s="11" t="b">
        <v>0</v>
      </c>
      <c r="AE3685" s="105"/>
      <c r="AF3685" s="11"/>
      <c r="AG3685" s="11"/>
      <c r="AH3685" s="11"/>
      <c r="AI3685" s="11"/>
    </row>
    <row r="3686" ht="12.5" spans="3:35">
      <c r="C3686" s="19"/>
      <c r="D3686" s="19"/>
      <c r="H3686" s="105"/>
      <c r="I3686" s="126"/>
      <c r="J3686" s="11"/>
      <c r="K3686" s="108"/>
      <c r="L3686" s="11"/>
      <c r="M3686" s="105"/>
      <c r="N3686" s="105"/>
      <c r="O3686" s="11"/>
      <c r="P3686" s="11"/>
      <c r="Q3686" s="105"/>
      <c r="R3686" s="105"/>
      <c r="S3686" s="105"/>
      <c r="T3686" s="105"/>
      <c r="U3686" s="105"/>
      <c r="V3686" s="105"/>
      <c r="W3686" s="105"/>
      <c r="X3686" s="11"/>
      <c r="Y3686" s="11"/>
      <c r="Z3686" s="105"/>
      <c r="AA3686" s="11"/>
      <c r="AB3686" s="11"/>
      <c r="AC3686" s="105"/>
      <c r="AD3686" s="11" t="b">
        <v>0</v>
      </c>
      <c r="AE3686" s="105"/>
      <c r="AF3686" s="11"/>
      <c r="AG3686" s="11"/>
      <c r="AH3686" s="11"/>
      <c r="AI3686" s="11"/>
    </row>
    <row r="3687" ht="12.5" spans="3:35">
      <c r="C3687" s="19"/>
      <c r="D3687" s="19"/>
      <c r="H3687" s="105"/>
      <c r="I3687" s="126"/>
      <c r="J3687" s="11"/>
      <c r="K3687" s="108"/>
      <c r="L3687" s="11"/>
      <c r="M3687" s="105"/>
      <c r="N3687" s="105"/>
      <c r="O3687" s="11"/>
      <c r="P3687" s="11"/>
      <c r="Q3687" s="105"/>
      <c r="R3687" s="105"/>
      <c r="S3687" s="105"/>
      <c r="T3687" s="105"/>
      <c r="U3687" s="105"/>
      <c r="V3687" s="105"/>
      <c r="W3687" s="105"/>
      <c r="X3687" s="11"/>
      <c r="Y3687" s="11"/>
      <c r="Z3687" s="105"/>
      <c r="AA3687" s="11"/>
      <c r="AB3687" s="11"/>
      <c r="AC3687" s="105"/>
      <c r="AD3687" s="11" t="b">
        <v>0</v>
      </c>
      <c r="AE3687" s="105"/>
      <c r="AF3687" s="11"/>
      <c r="AG3687" s="11"/>
      <c r="AH3687" s="11"/>
      <c r="AI3687" s="11"/>
    </row>
    <row r="3688" ht="12.5" spans="3:35">
      <c r="C3688" s="19"/>
      <c r="D3688" s="19"/>
      <c r="H3688" s="105"/>
      <c r="I3688" s="126"/>
      <c r="J3688" s="11"/>
      <c r="K3688" s="108"/>
      <c r="L3688" s="11"/>
      <c r="M3688" s="105"/>
      <c r="N3688" s="105"/>
      <c r="O3688" s="11"/>
      <c r="P3688" s="11"/>
      <c r="Q3688" s="105"/>
      <c r="R3688" s="105"/>
      <c r="S3688" s="105"/>
      <c r="T3688" s="105"/>
      <c r="U3688" s="105"/>
      <c r="V3688" s="105"/>
      <c r="W3688" s="105"/>
      <c r="X3688" s="11"/>
      <c r="Y3688" s="11"/>
      <c r="Z3688" s="105"/>
      <c r="AA3688" s="11"/>
      <c r="AB3688" s="11"/>
      <c r="AC3688" s="105"/>
      <c r="AD3688" s="11" t="b">
        <v>0</v>
      </c>
      <c r="AE3688" s="105"/>
      <c r="AF3688" s="11"/>
      <c r="AG3688" s="11"/>
      <c r="AH3688" s="11"/>
      <c r="AI3688" s="11"/>
    </row>
    <row r="3689" ht="12.5" spans="3:35">
      <c r="C3689" s="19"/>
      <c r="D3689" s="19"/>
      <c r="H3689" s="105"/>
      <c r="I3689" s="126"/>
      <c r="J3689" s="11"/>
      <c r="K3689" s="108"/>
      <c r="L3689" s="11"/>
      <c r="M3689" s="105"/>
      <c r="N3689" s="105"/>
      <c r="O3689" s="11"/>
      <c r="P3689" s="11"/>
      <c r="Q3689" s="105"/>
      <c r="R3689" s="105"/>
      <c r="S3689" s="105"/>
      <c r="T3689" s="105"/>
      <c r="U3689" s="105"/>
      <c r="V3689" s="105"/>
      <c r="W3689" s="105"/>
      <c r="X3689" s="11"/>
      <c r="Y3689" s="11"/>
      <c r="Z3689" s="105"/>
      <c r="AA3689" s="11"/>
      <c r="AB3689" s="11"/>
      <c r="AC3689" s="105"/>
      <c r="AD3689" s="11" t="b">
        <v>0</v>
      </c>
      <c r="AE3689" s="105"/>
      <c r="AF3689" s="11"/>
      <c r="AG3689" s="11"/>
      <c r="AH3689" s="11"/>
      <c r="AI3689" s="11"/>
    </row>
    <row r="3690" ht="12.5" spans="3:35">
      <c r="C3690" s="19"/>
      <c r="D3690" s="19"/>
      <c r="H3690" s="105"/>
      <c r="I3690" s="126"/>
      <c r="J3690" s="11"/>
      <c r="K3690" s="108"/>
      <c r="L3690" s="11"/>
      <c r="M3690" s="105"/>
      <c r="N3690" s="105"/>
      <c r="O3690" s="11"/>
      <c r="P3690" s="11"/>
      <c r="Q3690" s="105"/>
      <c r="R3690" s="105"/>
      <c r="S3690" s="105"/>
      <c r="T3690" s="105"/>
      <c r="U3690" s="105"/>
      <c r="V3690" s="105"/>
      <c r="W3690" s="105"/>
      <c r="X3690" s="11"/>
      <c r="Y3690" s="11"/>
      <c r="Z3690" s="105"/>
      <c r="AA3690" s="11"/>
      <c r="AB3690" s="11"/>
      <c r="AC3690" s="105"/>
      <c r="AD3690" s="11" t="b">
        <v>0</v>
      </c>
      <c r="AE3690" s="105"/>
      <c r="AF3690" s="11"/>
      <c r="AG3690" s="11"/>
      <c r="AH3690" s="11"/>
      <c r="AI3690" s="11"/>
    </row>
    <row r="3691" ht="12.5" spans="3:35">
      <c r="C3691" s="19"/>
      <c r="D3691" s="19"/>
      <c r="H3691" s="105"/>
      <c r="I3691" s="126"/>
      <c r="J3691" s="11"/>
      <c r="K3691" s="108"/>
      <c r="L3691" s="11"/>
      <c r="M3691" s="105"/>
      <c r="N3691" s="105"/>
      <c r="O3691" s="11"/>
      <c r="P3691" s="11"/>
      <c r="Q3691" s="105"/>
      <c r="R3691" s="105"/>
      <c r="S3691" s="105"/>
      <c r="T3691" s="105"/>
      <c r="U3691" s="105"/>
      <c r="V3691" s="105"/>
      <c r="W3691" s="105"/>
      <c r="X3691" s="11"/>
      <c r="Y3691" s="11"/>
      <c r="Z3691" s="105"/>
      <c r="AA3691" s="11"/>
      <c r="AB3691" s="11"/>
      <c r="AC3691" s="105"/>
      <c r="AD3691" s="11" t="b">
        <v>0</v>
      </c>
      <c r="AE3691" s="105"/>
      <c r="AF3691" s="11"/>
      <c r="AG3691" s="11"/>
      <c r="AH3691" s="11"/>
      <c r="AI3691" s="11"/>
    </row>
    <row r="3692" ht="12.5" spans="3:35">
      <c r="C3692" s="19"/>
      <c r="D3692" s="19"/>
      <c r="H3692" s="105"/>
      <c r="I3692" s="126"/>
      <c r="J3692" s="11"/>
      <c r="K3692" s="108"/>
      <c r="L3692" s="11"/>
      <c r="M3692" s="105"/>
      <c r="N3692" s="105"/>
      <c r="O3692" s="11"/>
      <c r="P3692" s="11"/>
      <c r="Q3692" s="105"/>
      <c r="R3692" s="105"/>
      <c r="S3692" s="105"/>
      <c r="T3692" s="105"/>
      <c r="U3692" s="105"/>
      <c r="V3692" s="105"/>
      <c r="W3692" s="105"/>
      <c r="X3692" s="11"/>
      <c r="Y3692" s="11"/>
      <c r="Z3692" s="105"/>
      <c r="AA3692" s="11"/>
      <c r="AB3692" s="11"/>
      <c r="AC3692" s="105"/>
      <c r="AD3692" s="11" t="b">
        <v>0</v>
      </c>
      <c r="AE3692" s="105"/>
      <c r="AF3692" s="11"/>
      <c r="AG3692" s="11"/>
      <c r="AH3692" s="11"/>
      <c r="AI3692" s="11"/>
    </row>
    <row r="3693" ht="12.5" spans="3:35">
      <c r="C3693" s="19"/>
      <c r="D3693" s="19"/>
      <c r="H3693" s="105"/>
      <c r="I3693" s="126"/>
      <c r="J3693" s="11"/>
      <c r="K3693" s="108"/>
      <c r="L3693" s="11"/>
      <c r="M3693" s="105"/>
      <c r="N3693" s="105"/>
      <c r="O3693" s="11"/>
      <c r="P3693" s="11"/>
      <c r="Q3693" s="105"/>
      <c r="R3693" s="105"/>
      <c r="S3693" s="105"/>
      <c r="T3693" s="105"/>
      <c r="U3693" s="105"/>
      <c r="V3693" s="105"/>
      <c r="W3693" s="105"/>
      <c r="X3693" s="11"/>
      <c r="Y3693" s="11"/>
      <c r="Z3693" s="105"/>
      <c r="AA3693" s="11"/>
      <c r="AB3693" s="11"/>
      <c r="AC3693" s="105"/>
      <c r="AD3693" s="11" t="b">
        <v>0</v>
      </c>
      <c r="AE3693" s="105"/>
      <c r="AF3693" s="11"/>
      <c r="AG3693" s="11"/>
      <c r="AH3693" s="11"/>
      <c r="AI3693" s="11"/>
    </row>
    <row r="3694" ht="12.5" spans="3:35">
      <c r="C3694" s="19"/>
      <c r="D3694" s="19"/>
      <c r="H3694" s="105"/>
      <c r="I3694" s="126"/>
      <c r="J3694" s="11"/>
      <c r="K3694" s="108"/>
      <c r="L3694" s="11"/>
      <c r="M3694" s="105"/>
      <c r="N3694" s="105"/>
      <c r="O3694" s="11"/>
      <c r="P3694" s="11"/>
      <c r="Q3694" s="105"/>
      <c r="R3694" s="105"/>
      <c r="S3694" s="105"/>
      <c r="T3694" s="105"/>
      <c r="U3694" s="105"/>
      <c r="V3694" s="105"/>
      <c r="W3694" s="105"/>
      <c r="X3694" s="11"/>
      <c r="Y3694" s="11"/>
      <c r="Z3694" s="105"/>
      <c r="AA3694" s="11"/>
      <c r="AB3694" s="11"/>
      <c r="AC3694" s="105"/>
      <c r="AD3694" s="11" t="b">
        <v>0</v>
      </c>
      <c r="AE3694" s="105"/>
      <c r="AF3694" s="11"/>
      <c r="AG3694" s="11"/>
      <c r="AH3694" s="11"/>
      <c r="AI3694" s="11"/>
    </row>
    <row r="3695" ht="12.5" spans="3:35">
      <c r="C3695" s="19"/>
      <c r="D3695" s="19"/>
      <c r="H3695" s="105"/>
      <c r="I3695" s="126"/>
      <c r="J3695" s="11"/>
      <c r="K3695" s="108"/>
      <c r="L3695" s="11"/>
      <c r="M3695" s="105"/>
      <c r="N3695" s="105"/>
      <c r="O3695" s="11"/>
      <c r="P3695" s="11"/>
      <c r="Q3695" s="105"/>
      <c r="R3695" s="105"/>
      <c r="S3695" s="105"/>
      <c r="T3695" s="105"/>
      <c r="U3695" s="105"/>
      <c r="V3695" s="105"/>
      <c r="W3695" s="105"/>
      <c r="X3695" s="11"/>
      <c r="Y3695" s="11"/>
      <c r="Z3695" s="105"/>
      <c r="AA3695" s="11"/>
      <c r="AB3695" s="11"/>
      <c r="AC3695" s="105"/>
      <c r="AD3695" s="11" t="b">
        <v>0</v>
      </c>
      <c r="AE3695" s="105"/>
      <c r="AF3695" s="11"/>
      <c r="AG3695" s="11"/>
      <c r="AH3695" s="11"/>
      <c r="AI3695" s="11"/>
    </row>
    <row r="3696" ht="12.5" spans="3:35">
      <c r="C3696" s="19"/>
      <c r="D3696" s="19"/>
      <c r="H3696" s="105"/>
      <c r="I3696" s="126"/>
      <c r="J3696" s="11"/>
      <c r="K3696" s="108"/>
      <c r="L3696" s="11"/>
      <c r="M3696" s="105"/>
      <c r="N3696" s="105"/>
      <c r="O3696" s="11"/>
      <c r="P3696" s="11"/>
      <c r="Q3696" s="105"/>
      <c r="R3696" s="105"/>
      <c r="S3696" s="105"/>
      <c r="T3696" s="105"/>
      <c r="U3696" s="105"/>
      <c r="V3696" s="105"/>
      <c r="W3696" s="105"/>
      <c r="X3696" s="11"/>
      <c r="Y3696" s="11"/>
      <c r="Z3696" s="105"/>
      <c r="AA3696" s="11"/>
      <c r="AB3696" s="11"/>
      <c r="AC3696" s="105"/>
      <c r="AD3696" s="11" t="b">
        <v>0</v>
      </c>
      <c r="AE3696" s="105"/>
      <c r="AF3696" s="11"/>
      <c r="AG3696" s="11"/>
      <c r="AH3696" s="11"/>
      <c r="AI3696" s="11"/>
    </row>
    <row r="3697" ht="12.5" spans="3:35">
      <c r="C3697" s="19"/>
      <c r="D3697" s="19"/>
      <c r="H3697" s="105"/>
      <c r="I3697" s="126"/>
      <c r="J3697" s="11"/>
      <c r="K3697" s="108"/>
      <c r="L3697" s="11"/>
      <c r="M3697" s="105"/>
      <c r="N3697" s="105"/>
      <c r="O3697" s="11"/>
      <c r="P3697" s="11"/>
      <c r="Q3697" s="105"/>
      <c r="R3697" s="105"/>
      <c r="S3697" s="105"/>
      <c r="T3697" s="105"/>
      <c r="U3697" s="105"/>
      <c r="V3697" s="105"/>
      <c r="W3697" s="105"/>
      <c r="X3697" s="11"/>
      <c r="Y3697" s="11"/>
      <c r="Z3697" s="105"/>
      <c r="AA3697" s="11"/>
      <c r="AB3697" s="11"/>
      <c r="AC3697" s="105"/>
      <c r="AD3697" s="11" t="b">
        <v>0</v>
      </c>
      <c r="AE3697" s="105"/>
      <c r="AF3697" s="11"/>
      <c r="AG3697" s="11"/>
      <c r="AH3697" s="11"/>
      <c r="AI3697" s="11"/>
    </row>
    <row r="3698" ht="12.5" spans="3:35">
      <c r="C3698" s="19"/>
      <c r="D3698" s="19"/>
      <c r="H3698" s="105"/>
      <c r="I3698" s="126"/>
      <c r="J3698" s="11"/>
      <c r="K3698" s="108"/>
      <c r="L3698" s="11"/>
      <c r="M3698" s="105"/>
      <c r="N3698" s="105"/>
      <c r="O3698" s="11"/>
      <c r="P3698" s="11"/>
      <c r="Q3698" s="105"/>
      <c r="R3698" s="105"/>
      <c r="S3698" s="105"/>
      <c r="T3698" s="105"/>
      <c r="U3698" s="105"/>
      <c r="V3698" s="105"/>
      <c r="W3698" s="105"/>
      <c r="X3698" s="11"/>
      <c r="Y3698" s="11"/>
      <c r="Z3698" s="105"/>
      <c r="AA3698" s="11"/>
      <c r="AB3698" s="11"/>
      <c r="AC3698" s="105"/>
      <c r="AD3698" s="11" t="b">
        <v>0</v>
      </c>
      <c r="AE3698" s="105"/>
      <c r="AF3698" s="11"/>
      <c r="AG3698" s="11"/>
      <c r="AH3698" s="11"/>
      <c r="AI3698" s="11"/>
    </row>
    <row r="3699" ht="12.5" spans="3:35">
      <c r="C3699" s="19"/>
      <c r="D3699" s="19"/>
      <c r="H3699" s="105"/>
      <c r="I3699" s="126"/>
      <c r="J3699" s="11"/>
      <c r="K3699" s="108"/>
      <c r="L3699" s="11"/>
      <c r="M3699" s="105"/>
      <c r="N3699" s="105"/>
      <c r="O3699" s="11"/>
      <c r="P3699" s="11"/>
      <c r="Q3699" s="105"/>
      <c r="R3699" s="105"/>
      <c r="S3699" s="105"/>
      <c r="T3699" s="105"/>
      <c r="U3699" s="105"/>
      <c r="V3699" s="105"/>
      <c r="W3699" s="105"/>
      <c r="X3699" s="11"/>
      <c r="Y3699" s="11"/>
      <c r="Z3699" s="105"/>
      <c r="AA3699" s="11"/>
      <c r="AB3699" s="11"/>
      <c r="AC3699" s="105"/>
      <c r="AD3699" s="11" t="b">
        <v>0</v>
      </c>
      <c r="AE3699" s="105"/>
      <c r="AF3699" s="11"/>
      <c r="AG3699" s="11"/>
      <c r="AH3699" s="11"/>
      <c r="AI3699" s="11"/>
    </row>
    <row r="3700" ht="12.5" spans="3:35">
      <c r="C3700" s="19"/>
      <c r="D3700" s="19"/>
      <c r="H3700" s="105"/>
      <c r="I3700" s="126"/>
      <c r="J3700" s="11"/>
      <c r="K3700" s="108"/>
      <c r="L3700" s="11"/>
      <c r="M3700" s="105"/>
      <c r="N3700" s="105"/>
      <c r="O3700" s="11"/>
      <c r="P3700" s="11"/>
      <c r="Q3700" s="105"/>
      <c r="R3700" s="105"/>
      <c r="S3700" s="105"/>
      <c r="T3700" s="105"/>
      <c r="U3700" s="105"/>
      <c r="V3700" s="105"/>
      <c r="W3700" s="105"/>
      <c r="X3700" s="11"/>
      <c r="Y3700" s="11"/>
      <c r="Z3700" s="105"/>
      <c r="AA3700" s="11"/>
      <c r="AB3700" s="11"/>
      <c r="AC3700" s="105"/>
      <c r="AD3700" s="11" t="b">
        <v>0</v>
      </c>
      <c r="AE3700" s="105"/>
      <c r="AF3700" s="11"/>
      <c r="AG3700" s="11"/>
      <c r="AH3700" s="11"/>
      <c r="AI3700" s="11"/>
    </row>
    <row r="3701" ht="12.5" spans="3:35">
      <c r="C3701" s="19"/>
      <c r="D3701" s="19"/>
      <c r="H3701" s="105"/>
      <c r="I3701" s="126"/>
      <c r="J3701" s="11"/>
      <c r="K3701" s="108"/>
      <c r="L3701" s="11"/>
      <c r="M3701" s="105"/>
      <c r="N3701" s="105"/>
      <c r="O3701" s="11"/>
      <c r="P3701" s="11"/>
      <c r="Q3701" s="105"/>
      <c r="R3701" s="105"/>
      <c r="S3701" s="105"/>
      <c r="T3701" s="105"/>
      <c r="U3701" s="105"/>
      <c r="V3701" s="105"/>
      <c r="W3701" s="105"/>
      <c r="X3701" s="11"/>
      <c r="Y3701" s="11"/>
      <c r="Z3701" s="105"/>
      <c r="AA3701" s="11"/>
      <c r="AB3701" s="11"/>
      <c r="AC3701" s="105"/>
      <c r="AD3701" s="11" t="b">
        <v>0</v>
      </c>
      <c r="AE3701" s="105"/>
      <c r="AF3701" s="11"/>
      <c r="AG3701" s="11"/>
      <c r="AH3701" s="11"/>
      <c r="AI3701" s="11"/>
    </row>
    <row r="3702" ht="12.5" spans="3:35">
      <c r="C3702" s="19"/>
      <c r="D3702" s="19"/>
      <c r="H3702" s="105"/>
      <c r="I3702" s="126"/>
      <c r="J3702" s="11"/>
      <c r="K3702" s="108"/>
      <c r="L3702" s="11"/>
      <c r="M3702" s="105"/>
      <c r="N3702" s="105"/>
      <c r="O3702" s="11"/>
      <c r="P3702" s="11"/>
      <c r="Q3702" s="105"/>
      <c r="R3702" s="105"/>
      <c r="S3702" s="105"/>
      <c r="T3702" s="105"/>
      <c r="U3702" s="105"/>
      <c r="V3702" s="105"/>
      <c r="W3702" s="105"/>
      <c r="X3702" s="11"/>
      <c r="Y3702" s="11"/>
      <c r="Z3702" s="105"/>
      <c r="AA3702" s="11"/>
      <c r="AB3702" s="11"/>
      <c r="AC3702" s="105"/>
      <c r="AD3702" s="11" t="b">
        <v>0</v>
      </c>
      <c r="AE3702" s="105"/>
      <c r="AF3702" s="11"/>
      <c r="AG3702" s="11"/>
      <c r="AH3702" s="11"/>
      <c r="AI3702" s="11"/>
    </row>
    <row r="3703" ht="12.5" spans="3:35">
      <c r="C3703" s="19"/>
      <c r="D3703" s="19"/>
      <c r="H3703" s="105"/>
      <c r="I3703" s="126"/>
      <c r="J3703" s="11"/>
      <c r="K3703" s="108"/>
      <c r="L3703" s="11"/>
      <c r="M3703" s="105"/>
      <c r="N3703" s="105"/>
      <c r="O3703" s="11"/>
      <c r="P3703" s="11"/>
      <c r="Q3703" s="105"/>
      <c r="R3703" s="105"/>
      <c r="S3703" s="105"/>
      <c r="T3703" s="105"/>
      <c r="U3703" s="105"/>
      <c r="V3703" s="105"/>
      <c r="W3703" s="105"/>
      <c r="X3703" s="11"/>
      <c r="Y3703" s="11"/>
      <c r="Z3703" s="105"/>
      <c r="AA3703" s="11"/>
      <c r="AB3703" s="11"/>
      <c r="AC3703" s="105"/>
      <c r="AD3703" s="11" t="b">
        <v>0</v>
      </c>
      <c r="AE3703" s="105"/>
      <c r="AF3703" s="148"/>
      <c r="AG3703" s="11"/>
      <c r="AH3703" s="11"/>
      <c r="AI3703" s="11"/>
    </row>
    <row r="3704" ht="12.5" spans="3:35">
      <c r="C3704" s="19"/>
      <c r="D3704" s="19"/>
      <c r="H3704" s="105"/>
      <c r="I3704" s="126"/>
      <c r="J3704" s="11"/>
      <c r="K3704" s="108"/>
      <c r="L3704" s="11"/>
      <c r="M3704" s="105"/>
      <c r="N3704" s="105"/>
      <c r="O3704" s="11"/>
      <c r="P3704" s="11"/>
      <c r="Q3704" s="105"/>
      <c r="R3704" s="105"/>
      <c r="S3704" s="105"/>
      <c r="T3704" s="105"/>
      <c r="U3704" s="105"/>
      <c r="V3704" s="105"/>
      <c r="W3704" s="105"/>
      <c r="X3704" s="11"/>
      <c r="Y3704" s="11"/>
      <c r="Z3704" s="105"/>
      <c r="AA3704" s="11"/>
      <c r="AB3704" s="11"/>
      <c r="AC3704" s="105"/>
      <c r="AD3704" s="11" t="b">
        <v>0</v>
      </c>
      <c r="AE3704" s="105"/>
      <c r="AF3704" s="148"/>
      <c r="AG3704" s="11"/>
      <c r="AH3704" s="11"/>
      <c r="AI3704" s="11"/>
    </row>
    <row r="3705" ht="12.5" spans="3:35">
      <c r="C3705" s="19"/>
      <c r="D3705" s="19"/>
      <c r="H3705" s="105"/>
      <c r="I3705" s="126"/>
      <c r="J3705" s="11"/>
      <c r="K3705" s="108"/>
      <c r="L3705" s="11"/>
      <c r="M3705" s="105"/>
      <c r="N3705" s="105"/>
      <c r="O3705" s="11"/>
      <c r="P3705" s="11"/>
      <c r="Q3705" s="105"/>
      <c r="R3705" s="105"/>
      <c r="S3705" s="105"/>
      <c r="T3705" s="105"/>
      <c r="U3705" s="105"/>
      <c r="V3705" s="105"/>
      <c r="W3705" s="105"/>
      <c r="X3705" s="11"/>
      <c r="Y3705" s="11"/>
      <c r="Z3705" s="105"/>
      <c r="AA3705" s="11"/>
      <c r="AB3705" s="11"/>
      <c r="AC3705" s="105"/>
      <c r="AD3705" s="11" t="b">
        <v>0</v>
      </c>
      <c r="AE3705" s="105"/>
      <c r="AF3705" s="11"/>
      <c r="AG3705" s="11"/>
      <c r="AH3705" s="11"/>
      <c r="AI3705" s="11"/>
    </row>
    <row r="3706" ht="12.5" spans="3:35">
      <c r="C3706" s="19"/>
      <c r="D3706" s="19"/>
      <c r="H3706" s="105"/>
      <c r="I3706" s="126"/>
      <c r="J3706" s="11"/>
      <c r="K3706" s="108"/>
      <c r="L3706" s="11"/>
      <c r="M3706" s="105"/>
      <c r="N3706" s="105"/>
      <c r="O3706" s="11"/>
      <c r="P3706" s="11"/>
      <c r="Q3706" s="105"/>
      <c r="R3706" s="105"/>
      <c r="S3706" s="105"/>
      <c r="T3706" s="105"/>
      <c r="U3706" s="105"/>
      <c r="V3706" s="105"/>
      <c r="W3706" s="105"/>
      <c r="X3706" s="11"/>
      <c r="Y3706" s="11"/>
      <c r="Z3706" s="105"/>
      <c r="AA3706" s="11"/>
      <c r="AB3706" s="11"/>
      <c r="AC3706" s="105"/>
      <c r="AD3706" s="11" t="b">
        <v>0</v>
      </c>
      <c r="AE3706" s="105"/>
      <c r="AF3706" s="11"/>
      <c r="AG3706" s="11"/>
      <c r="AH3706" s="11"/>
      <c r="AI3706" s="11"/>
    </row>
    <row r="3707" ht="12.5" spans="3:35">
      <c r="C3707" s="19"/>
      <c r="D3707" s="19"/>
      <c r="H3707" s="105"/>
      <c r="I3707" s="126"/>
      <c r="J3707" s="11"/>
      <c r="K3707" s="108"/>
      <c r="L3707" s="11"/>
      <c r="M3707" s="105"/>
      <c r="N3707" s="105"/>
      <c r="O3707" s="11"/>
      <c r="P3707" s="11"/>
      <c r="Q3707" s="105"/>
      <c r="R3707" s="105"/>
      <c r="S3707" s="105"/>
      <c r="T3707" s="105"/>
      <c r="U3707" s="105"/>
      <c r="V3707" s="105"/>
      <c r="W3707" s="105"/>
      <c r="X3707" s="11"/>
      <c r="Y3707" s="11"/>
      <c r="Z3707" s="105"/>
      <c r="AA3707" s="11"/>
      <c r="AB3707" s="11"/>
      <c r="AC3707" s="105"/>
      <c r="AD3707" s="11" t="b">
        <v>0</v>
      </c>
      <c r="AE3707" s="105"/>
      <c r="AF3707" s="11"/>
      <c r="AG3707" s="11"/>
      <c r="AH3707" s="11"/>
      <c r="AI3707" s="11"/>
    </row>
    <row r="3708" ht="12.5" spans="3:35">
      <c r="C3708" s="19"/>
      <c r="D3708" s="19"/>
      <c r="H3708" s="105"/>
      <c r="I3708" s="126"/>
      <c r="J3708" s="11"/>
      <c r="K3708" s="108"/>
      <c r="L3708" s="11"/>
      <c r="M3708" s="105"/>
      <c r="N3708" s="105"/>
      <c r="O3708" s="11"/>
      <c r="P3708" s="11"/>
      <c r="Q3708" s="105"/>
      <c r="R3708" s="105"/>
      <c r="S3708" s="105"/>
      <c r="T3708" s="105"/>
      <c r="U3708" s="105"/>
      <c r="V3708" s="105"/>
      <c r="W3708" s="105"/>
      <c r="X3708" s="11"/>
      <c r="Y3708" s="11"/>
      <c r="Z3708" s="105"/>
      <c r="AA3708" s="11"/>
      <c r="AB3708" s="11"/>
      <c r="AC3708" s="105"/>
      <c r="AD3708" s="11" t="b">
        <v>0</v>
      </c>
      <c r="AE3708" s="105"/>
      <c r="AF3708" s="11"/>
      <c r="AG3708" s="284" t="s">
        <v>5040</v>
      </c>
      <c r="AH3708" s="11"/>
      <c r="AI3708" s="11"/>
    </row>
    <row r="3709" ht="12.5" spans="3:35">
      <c r="C3709" s="19"/>
      <c r="D3709" s="19"/>
      <c r="H3709" s="105"/>
      <c r="I3709" s="126"/>
      <c r="J3709" s="11"/>
      <c r="K3709" s="108"/>
      <c r="L3709" s="11"/>
      <c r="M3709" s="105"/>
      <c r="N3709" s="105"/>
      <c r="O3709" s="11"/>
      <c r="P3709" s="11"/>
      <c r="Q3709" s="105"/>
      <c r="R3709" s="105"/>
      <c r="S3709" s="105"/>
      <c r="T3709" s="105"/>
      <c r="U3709" s="105"/>
      <c r="V3709" s="105"/>
      <c r="W3709" s="105"/>
      <c r="X3709" s="11"/>
      <c r="Y3709" s="11" t="s">
        <v>854</v>
      </c>
      <c r="Z3709" s="105"/>
      <c r="AA3709" s="11"/>
      <c r="AB3709" s="11"/>
      <c r="AC3709" s="105"/>
      <c r="AD3709" s="11" t="b">
        <v>0</v>
      </c>
      <c r="AE3709" s="105"/>
      <c r="AF3709" s="11"/>
      <c r="AG3709" s="11"/>
      <c r="AH3709" s="11"/>
      <c r="AI3709" s="11"/>
    </row>
    <row r="3710" ht="12.5" spans="3:35">
      <c r="C3710" s="19"/>
      <c r="D3710" s="19"/>
      <c r="H3710" s="105"/>
      <c r="I3710" s="126"/>
      <c r="J3710" s="11"/>
      <c r="K3710" s="108"/>
      <c r="L3710" s="11"/>
      <c r="M3710" s="105"/>
      <c r="N3710" s="105"/>
      <c r="O3710" s="11"/>
      <c r="P3710" s="11"/>
      <c r="Q3710" s="105"/>
      <c r="R3710" s="105"/>
      <c r="S3710" s="105"/>
      <c r="T3710" s="105"/>
      <c r="U3710" s="105"/>
      <c r="V3710" s="105"/>
      <c r="W3710" s="105"/>
      <c r="X3710" s="11"/>
      <c r="Y3710" s="11"/>
      <c r="Z3710" s="105"/>
      <c r="AA3710" s="11"/>
      <c r="AB3710" s="11"/>
      <c r="AC3710" s="105"/>
      <c r="AD3710" s="11" t="b">
        <v>0</v>
      </c>
      <c r="AE3710" s="105"/>
      <c r="AF3710" s="11"/>
      <c r="AG3710" s="11"/>
      <c r="AH3710" s="11"/>
      <c r="AI3710" s="11"/>
    </row>
    <row r="3711" ht="12.5" spans="3:35">
      <c r="C3711" s="19"/>
      <c r="D3711" s="19"/>
      <c r="H3711" s="105"/>
      <c r="I3711" s="126"/>
      <c r="J3711" s="11"/>
      <c r="K3711" s="108"/>
      <c r="L3711" s="11"/>
      <c r="M3711" s="105"/>
      <c r="N3711" s="105"/>
      <c r="O3711" s="11"/>
      <c r="P3711" s="11"/>
      <c r="Q3711" s="105"/>
      <c r="R3711" s="105"/>
      <c r="S3711" s="105"/>
      <c r="T3711" s="105"/>
      <c r="U3711" s="105"/>
      <c r="V3711" s="105"/>
      <c r="W3711" s="105"/>
      <c r="X3711" s="11"/>
      <c r="Y3711" s="11"/>
      <c r="Z3711" s="105"/>
      <c r="AA3711" s="11"/>
      <c r="AB3711" s="11"/>
      <c r="AC3711" s="105"/>
      <c r="AD3711" s="11" t="b">
        <v>0</v>
      </c>
      <c r="AE3711" s="105"/>
      <c r="AF3711" s="11"/>
      <c r="AG3711" s="11"/>
      <c r="AH3711" s="11"/>
      <c r="AI3711" s="11"/>
    </row>
    <row r="3712" ht="12.5" spans="3:35">
      <c r="C3712" s="19"/>
      <c r="D3712" s="19"/>
      <c r="H3712" s="105"/>
      <c r="I3712" s="126"/>
      <c r="J3712" s="11"/>
      <c r="K3712" s="108"/>
      <c r="L3712" s="11"/>
      <c r="M3712" s="105"/>
      <c r="N3712" s="105"/>
      <c r="O3712" s="11"/>
      <c r="P3712" s="11"/>
      <c r="Q3712" s="105"/>
      <c r="R3712" s="105"/>
      <c r="S3712" s="105"/>
      <c r="T3712" s="105"/>
      <c r="U3712" s="105"/>
      <c r="V3712" s="105"/>
      <c r="W3712" s="105"/>
      <c r="X3712" s="11"/>
      <c r="Y3712" s="11"/>
      <c r="Z3712" s="105"/>
      <c r="AA3712" s="11"/>
      <c r="AB3712" s="11"/>
      <c r="AC3712" s="105"/>
      <c r="AD3712" s="11" t="b">
        <v>0</v>
      </c>
      <c r="AE3712" s="105"/>
      <c r="AF3712" s="11"/>
      <c r="AG3712" s="11"/>
      <c r="AH3712" s="11"/>
      <c r="AI3712" s="11"/>
    </row>
    <row r="3713" ht="12.5" spans="3:35">
      <c r="C3713" s="19"/>
      <c r="D3713" s="19"/>
      <c r="H3713" s="105"/>
      <c r="I3713" s="126"/>
      <c r="J3713" s="11"/>
      <c r="K3713" s="108"/>
      <c r="L3713" s="11"/>
      <c r="M3713" s="105"/>
      <c r="N3713" s="105"/>
      <c r="O3713" s="11"/>
      <c r="P3713" s="11"/>
      <c r="Q3713" s="105"/>
      <c r="R3713" s="105"/>
      <c r="S3713" s="105"/>
      <c r="T3713" s="105"/>
      <c r="U3713" s="105"/>
      <c r="V3713" s="105"/>
      <c r="W3713" s="105"/>
      <c r="X3713" s="11"/>
      <c r="Y3713" s="11"/>
      <c r="Z3713" s="105"/>
      <c r="AA3713" s="11"/>
      <c r="AB3713" s="11"/>
      <c r="AC3713" s="105"/>
      <c r="AD3713" s="11" t="b">
        <v>0</v>
      </c>
      <c r="AE3713" s="105"/>
      <c r="AF3713" s="11"/>
      <c r="AG3713" s="11"/>
      <c r="AH3713" s="11"/>
      <c r="AI3713" s="11"/>
    </row>
    <row r="3714" ht="12.5" spans="3:35">
      <c r="C3714" s="19"/>
      <c r="D3714" s="19"/>
      <c r="H3714" s="105"/>
      <c r="I3714" s="126"/>
      <c r="J3714" s="11"/>
      <c r="K3714" s="108"/>
      <c r="L3714" s="11"/>
      <c r="M3714" s="105"/>
      <c r="N3714" s="105"/>
      <c r="O3714" s="11"/>
      <c r="P3714" s="11"/>
      <c r="Q3714" s="105"/>
      <c r="R3714" s="105"/>
      <c r="S3714" s="105"/>
      <c r="T3714" s="105"/>
      <c r="U3714" s="105"/>
      <c r="V3714" s="105"/>
      <c r="W3714" s="105"/>
      <c r="X3714" s="11"/>
      <c r="Y3714" s="11"/>
      <c r="Z3714" s="105"/>
      <c r="AA3714" s="11"/>
      <c r="AB3714" s="11"/>
      <c r="AC3714" s="105"/>
      <c r="AD3714" s="11" t="b">
        <v>0</v>
      </c>
      <c r="AE3714" s="105"/>
      <c r="AF3714" s="11"/>
      <c r="AG3714" s="11"/>
      <c r="AH3714" s="11"/>
      <c r="AI3714" s="11"/>
    </row>
    <row r="3715" ht="12.5" spans="3:35">
      <c r="C3715" s="19"/>
      <c r="D3715" s="19"/>
      <c r="H3715" s="105"/>
      <c r="I3715" s="126"/>
      <c r="J3715" s="11"/>
      <c r="K3715" s="108"/>
      <c r="L3715" s="11"/>
      <c r="M3715" s="105"/>
      <c r="N3715" s="105"/>
      <c r="O3715" s="11"/>
      <c r="P3715" s="11"/>
      <c r="Q3715" s="105"/>
      <c r="R3715" s="105"/>
      <c r="S3715" s="105"/>
      <c r="T3715" s="105"/>
      <c r="U3715" s="105"/>
      <c r="V3715" s="105"/>
      <c r="W3715" s="105"/>
      <c r="X3715" s="11"/>
      <c r="Y3715" s="11"/>
      <c r="Z3715" s="105"/>
      <c r="AA3715" s="11"/>
      <c r="AB3715" s="11"/>
      <c r="AC3715" s="105"/>
      <c r="AD3715" s="11" t="b">
        <v>0</v>
      </c>
      <c r="AE3715" s="105"/>
      <c r="AF3715" s="11"/>
      <c r="AG3715" s="11"/>
      <c r="AH3715" s="11"/>
      <c r="AI3715" s="11"/>
    </row>
    <row r="3716" ht="12.5" spans="3:35">
      <c r="C3716" s="19"/>
      <c r="D3716" s="19"/>
      <c r="H3716" s="105"/>
      <c r="I3716" s="126"/>
      <c r="J3716" s="11"/>
      <c r="K3716" s="108"/>
      <c r="L3716" s="11"/>
      <c r="M3716" s="105"/>
      <c r="N3716" s="105"/>
      <c r="O3716" s="11"/>
      <c r="P3716" s="11"/>
      <c r="Q3716" s="105"/>
      <c r="R3716" s="105"/>
      <c r="S3716" s="105"/>
      <c r="T3716" s="105"/>
      <c r="U3716" s="105"/>
      <c r="V3716" s="105"/>
      <c r="W3716" s="105"/>
      <c r="X3716" s="11"/>
      <c r="Y3716" s="11"/>
      <c r="Z3716" s="105"/>
      <c r="AA3716" s="11"/>
      <c r="AB3716" s="11"/>
      <c r="AC3716" s="105"/>
      <c r="AD3716" s="11" t="b">
        <v>0</v>
      </c>
      <c r="AE3716" s="105"/>
      <c r="AF3716" s="11"/>
      <c r="AG3716" s="11"/>
      <c r="AH3716" s="11"/>
      <c r="AI3716" s="11"/>
    </row>
    <row r="3717" ht="12.5" spans="3:35">
      <c r="C3717" s="19"/>
      <c r="D3717" s="19"/>
      <c r="H3717" s="105"/>
      <c r="I3717" s="126"/>
      <c r="J3717" s="11"/>
      <c r="K3717" s="108"/>
      <c r="L3717" s="11"/>
      <c r="M3717" s="105"/>
      <c r="N3717" s="105"/>
      <c r="O3717" s="11"/>
      <c r="P3717" s="11"/>
      <c r="Q3717" s="105"/>
      <c r="R3717" s="105"/>
      <c r="S3717" s="105"/>
      <c r="T3717" s="105"/>
      <c r="U3717" s="105"/>
      <c r="V3717" s="105"/>
      <c r="W3717" s="105"/>
      <c r="X3717" s="11"/>
      <c r="Y3717" s="11"/>
      <c r="Z3717" s="105"/>
      <c r="AA3717" s="11"/>
      <c r="AB3717" s="11"/>
      <c r="AC3717" s="105"/>
      <c r="AD3717" s="11" t="b">
        <v>0</v>
      </c>
      <c r="AE3717" s="105"/>
      <c r="AF3717" s="11"/>
      <c r="AG3717" s="11"/>
      <c r="AH3717" s="11"/>
      <c r="AI3717" s="11"/>
    </row>
    <row r="3718" ht="12.5" spans="3:35">
      <c r="C3718" s="19"/>
      <c r="D3718" s="19"/>
      <c r="H3718" s="105"/>
      <c r="I3718" s="126"/>
      <c r="J3718" s="11"/>
      <c r="K3718" s="108"/>
      <c r="L3718" s="11"/>
      <c r="M3718" s="105"/>
      <c r="N3718" s="105"/>
      <c r="O3718" s="11"/>
      <c r="P3718" s="11"/>
      <c r="Q3718" s="105"/>
      <c r="R3718" s="105"/>
      <c r="S3718" s="105"/>
      <c r="T3718" s="105"/>
      <c r="U3718" s="105"/>
      <c r="V3718" s="105"/>
      <c r="W3718" s="105"/>
      <c r="X3718" s="11"/>
      <c r="Y3718" s="11"/>
      <c r="Z3718" s="105"/>
      <c r="AA3718" s="11"/>
      <c r="AB3718" s="11"/>
      <c r="AC3718" s="105"/>
      <c r="AD3718" s="11" t="b">
        <v>0</v>
      </c>
      <c r="AE3718" s="105"/>
      <c r="AF3718" s="11"/>
      <c r="AG3718" s="11"/>
      <c r="AH3718" s="11"/>
      <c r="AI3718" s="11"/>
    </row>
    <row r="3719" ht="12.5" spans="3:35">
      <c r="C3719" s="19"/>
      <c r="D3719" s="19"/>
      <c r="H3719" s="105"/>
      <c r="I3719" s="126"/>
      <c r="J3719" s="11"/>
      <c r="K3719" s="108"/>
      <c r="L3719" s="11"/>
      <c r="M3719" s="105"/>
      <c r="N3719" s="105"/>
      <c r="O3719" s="11"/>
      <c r="P3719" s="11"/>
      <c r="Q3719" s="105"/>
      <c r="R3719" s="105"/>
      <c r="S3719" s="105"/>
      <c r="T3719" s="105"/>
      <c r="U3719" s="105"/>
      <c r="V3719" s="105"/>
      <c r="W3719" s="105"/>
      <c r="X3719" s="11"/>
      <c r="Y3719" s="11"/>
      <c r="Z3719" s="105"/>
      <c r="AA3719" s="11"/>
      <c r="AB3719" s="11"/>
      <c r="AC3719" s="105"/>
      <c r="AD3719" s="11" t="b">
        <v>0</v>
      </c>
      <c r="AE3719" s="105"/>
      <c r="AF3719" s="11"/>
      <c r="AG3719" s="11"/>
      <c r="AH3719" s="11"/>
      <c r="AI3719" s="11"/>
    </row>
    <row r="3720" ht="12.5" spans="3:35">
      <c r="C3720" s="19"/>
      <c r="D3720" s="19"/>
      <c r="H3720" s="105"/>
      <c r="I3720" s="126"/>
      <c r="J3720" s="11"/>
      <c r="K3720" s="108"/>
      <c r="L3720" s="11"/>
      <c r="M3720" s="105"/>
      <c r="N3720" s="105"/>
      <c r="O3720" s="11"/>
      <c r="P3720" s="11"/>
      <c r="Q3720" s="105"/>
      <c r="R3720" s="105"/>
      <c r="S3720" s="105"/>
      <c r="T3720" s="105"/>
      <c r="U3720" s="105"/>
      <c r="V3720" s="105"/>
      <c r="W3720" s="105"/>
      <c r="X3720" s="11"/>
      <c r="Y3720" s="11"/>
      <c r="Z3720" s="105"/>
      <c r="AA3720" s="11"/>
      <c r="AB3720" s="11"/>
      <c r="AC3720" s="105"/>
      <c r="AD3720" s="11" t="b">
        <v>0</v>
      </c>
      <c r="AE3720" s="105"/>
      <c r="AF3720" s="11"/>
      <c r="AG3720" s="11"/>
      <c r="AH3720" s="11"/>
      <c r="AI3720" s="11"/>
    </row>
    <row r="3721" ht="12.5" spans="3:35">
      <c r="C3721" s="19"/>
      <c r="D3721" s="19"/>
      <c r="H3721" s="105"/>
      <c r="I3721" s="126"/>
      <c r="J3721" s="11"/>
      <c r="K3721" s="108"/>
      <c r="L3721" s="11"/>
      <c r="M3721" s="105"/>
      <c r="N3721" s="105"/>
      <c r="O3721" s="11"/>
      <c r="P3721" s="11"/>
      <c r="Q3721" s="105"/>
      <c r="R3721" s="105"/>
      <c r="S3721" s="105"/>
      <c r="T3721" s="105"/>
      <c r="U3721" s="105"/>
      <c r="V3721" s="105"/>
      <c r="W3721" s="105"/>
      <c r="X3721" s="11"/>
      <c r="Y3721" s="11"/>
      <c r="Z3721" s="105"/>
      <c r="AA3721" s="11"/>
      <c r="AB3721" s="11"/>
      <c r="AC3721" s="105"/>
      <c r="AD3721" s="11" t="b">
        <v>0</v>
      </c>
      <c r="AE3721" s="105"/>
      <c r="AF3721" s="11"/>
      <c r="AG3721" s="11"/>
      <c r="AH3721" s="11"/>
      <c r="AI3721" s="11"/>
    </row>
    <row r="3722" ht="12.5" spans="3:35">
      <c r="C3722" s="19"/>
      <c r="D3722" s="19"/>
      <c r="H3722" s="105"/>
      <c r="I3722" s="126"/>
      <c r="J3722" s="11"/>
      <c r="K3722" s="108"/>
      <c r="L3722" s="11"/>
      <c r="M3722" s="105"/>
      <c r="N3722" s="105"/>
      <c r="O3722" s="11"/>
      <c r="P3722" s="11"/>
      <c r="Q3722" s="105"/>
      <c r="R3722" s="105"/>
      <c r="S3722" s="105"/>
      <c r="T3722" s="105"/>
      <c r="U3722" s="105"/>
      <c r="V3722" s="105"/>
      <c r="W3722" s="105"/>
      <c r="X3722" s="11"/>
      <c r="Y3722" s="11"/>
      <c r="Z3722" s="105"/>
      <c r="AA3722" s="11"/>
      <c r="AB3722" s="11"/>
      <c r="AC3722" s="105"/>
      <c r="AD3722" s="11" t="b">
        <v>0</v>
      </c>
      <c r="AE3722" s="105"/>
      <c r="AF3722" s="11"/>
      <c r="AG3722" s="11"/>
      <c r="AH3722" s="11"/>
      <c r="AI3722" s="11"/>
    </row>
    <row r="3723" ht="12.5" spans="3:35">
      <c r="C3723" s="19"/>
      <c r="D3723" s="19"/>
      <c r="H3723" s="105"/>
      <c r="I3723" s="126"/>
      <c r="J3723" s="11"/>
      <c r="K3723" s="108"/>
      <c r="L3723" s="11"/>
      <c r="M3723" s="105"/>
      <c r="N3723" s="105"/>
      <c r="O3723" s="11"/>
      <c r="P3723" s="11"/>
      <c r="Q3723" s="105"/>
      <c r="R3723" s="105"/>
      <c r="S3723" s="105"/>
      <c r="T3723" s="105"/>
      <c r="U3723" s="105"/>
      <c r="V3723" s="105"/>
      <c r="W3723" s="105"/>
      <c r="X3723" s="11"/>
      <c r="Y3723" s="11"/>
      <c r="Z3723" s="105"/>
      <c r="AA3723" s="11"/>
      <c r="AB3723" s="11"/>
      <c r="AC3723" s="105"/>
      <c r="AD3723" s="11" t="b">
        <v>0</v>
      </c>
      <c r="AE3723" s="105"/>
      <c r="AF3723" s="11"/>
      <c r="AG3723" s="11"/>
      <c r="AH3723" s="11"/>
      <c r="AI3723" s="11"/>
    </row>
    <row r="3724" ht="12.5" spans="3:35">
      <c r="C3724" s="19"/>
      <c r="D3724" s="19"/>
      <c r="H3724" s="105"/>
      <c r="I3724" s="126"/>
      <c r="J3724" s="11"/>
      <c r="K3724" s="108"/>
      <c r="L3724" s="11"/>
      <c r="M3724" s="105"/>
      <c r="N3724" s="105"/>
      <c r="O3724" s="11"/>
      <c r="P3724" s="11"/>
      <c r="Q3724" s="105"/>
      <c r="R3724" s="105"/>
      <c r="S3724" s="105"/>
      <c r="T3724" s="105"/>
      <c r="U3724" s="105"/>
      <c r="V3724" s="105"/>
      <c r="W3724" s="105"/>
      <c r="X3724" s="11"/>
      <c r="Y3724" s="11"/>
      <c r="Z3724" s="105"/>
      <c r="AA3724" s="11"/>
      <c r="AB3724" s="11"/>
      <c r="AC3724" s="105"/>
      <c r="AD3724" s="11" t="b">
        <v>0</v>
      </c>
      <c r="AE3724" s="105"/>
      <c r="AF3724" s="11"/>
      <c r="AG3724" s="11"/>
      <c r="AH3724" s="11"/>
      <c r="AI3724" s="11"/>
    </row>
    <row r="3725" ht="12.5" spans="3:35">
      <c r="C3725" s="19"/>
      <c r="D3725" s="19"/>
      <c r="H3725" s="105"/>
      <c r="I3725" s="126"/>
      <c r="J3725" s="11"/>
      <c r="K3725" s="108"/>
      <c r="L3725" s="11"/>
      <c r="M3725" s="105"/>
      <c r="N3725" s="105"/>
      <c r="O3725" s="11"/>
      <c r="P3725" s="11"/>
      <c r="Q3725" s="105"/>
      <c r="R3725" s="105"/>
      <c r="S3725" s="105"/>
      <c r="T3725" s="105"/>
      <c r="U3725" s="105"/>
      <c r="V3725" s="105"/>
      <c r="W3725" s="105"/>
      <c r="X3725" s="11"/>
      <c r="Y3725" s="11"/>
      <c r="Z3725" s="105"/>
      <c r="AA3725" s="11"/>
      <c r="AB3725" s="11"/>
      <c r="AC3725" s="105"/>
      <c r="AD3725" s="11" t="b">
        <v>0</v>
      </c>
      <c r="AE3725" s="105"/>
      <c r="AF3725" s="11"/>
      <c r="AG3725" s="11"/>
      <c r="AH3725" s="11"/>
      <c r="AI3725" s="11"/>
    </row>
    <row r="3726" ht="12.5" spans="3:35">
      <c r="C3726" s="19"/>
      <c r="D3726" s="19"/>
      <c r="H3726" s="105"/>
      <c r="I3726" s="126"/>
      <c r="J3726" s="11"/>
      <c r="K3726" s="108"/>
      <c r="L3726" s="11"/>
      <c r="M3726" s="105"/>
      <c r="N3726" s="105"/>
      <c r="O3726" s="11"/>
      <c r="P3726" s="11"/>
      <c r="Q3726" s="105"/>
      <c r="R3726" s="105"/>
      <c r="S3726" s="105"/>
      <c r="T3726" s="105"/>
      <c r="U3726" s="105"/>
      <c r="V3726" s="105"/>
      <c r="W3726" s="105"/>
      <c r="X3726" s="11"/>
      <c r="Y3726" s="11"/>
      <c r="Z3726" s="105"/>
      <c r="AA3726" s="11"/>
      <c r="AB3726" s="11"/>
      <c r="AC3726" s="105"/>
      <c r="AD3726" s="11" t="b">
        <v>0</v>
      </c>
      <c r="AE3726" s="105"/>
      <c r="AF3726" s="11"/>
      <c r="AG3726" s="11"/>
      <c r="AH3726" s="11"/>
      <c r="AI3726" s="11"/>
    </row>
    <row r="3727" ht="12.5" spans="3:35">
      <c r="C3727" s="19"/>
      <c r="D3727" s="19"/>
      <c r="H3727" s="105"/>
      <c r="I3727" s="126"/>
      <c r="J3727" s="11"/>
      <c r="K3727" s="108"/>
      <c r="L3727" s="11"/>
      <c r="M3727" s="105"/>
      <c r="N3727" s="105"/>
      <c r="O3727" s="11"/>
      <c r="P3727" s="11"/>
      <c r="Q3727" s="105"/>
      <c r="R3727" s="105"/>
      <c r="S3727" s="105"/>
      <c r="T3727" s="105"/>
      <c r="U3727" s="105"/>
      <c r="V3727" s="105"/>
      <c r="W3727" s="105"/>
      <c r="X3727" s="11"/>
      <c r="Y3727" s="11"/>
      <c r="Z3727" s="105"/>
      <c r="AA3727" s="11"/>
      <c r="AB3727" s="11"/>
      <c r="AC3727" s="105"/>
      <c r="AD3727" s="11" t="b">
        <v>0</v>
      </c>
      <c r="AE3727" s="105"/>
      <c r="AF3727" s="11"/>
      <c r="AG3727" s="11"/>
      <c r="AH3727" s="11"/>
      <c r="AI3727" s="11"/>
    </row>
    <row r="3728" ht="12.5" spans="3:35">
      <c r="C3728" s="19"/>
      <c r="D3728" s="19"/>
      <c r="H3728" s="105"/>
      <c r="I3728" s="126"/>
      <c r="J3728" s="11"/>
      <c r="K3728" s="108"/>
      <c r="L3728" s="11"/>
      <c r="M3728" s="105"/>
      <c r="N3728" s="105"/>
      <c r="O3728" s="11"/>
      <c r="P3728" s="11"/>
      <c r="Q3728" s="105"/>
      <c r="R3728" s="105"/>
      <c r="S3728" s="105"/>
      <c r="T3728" s="105"/>
      <c r="U3728" s="105"/>
      <c r="V3728" s="105"/>
      <c r="W3728" s="105"/>
      <c r="X3728" s="11"/>
      <c r="Y3728" s="11"/>
      <c r="Z3728" s="105"/>
      <c r="AA3728" s="11"/>
      <c r="AB3728" s="11"/>
      <c r="AC3728" s="105"/>
      <c r="AD3728" s="11" t="b">
        <v>0</v>
      </c>
      <c r="AE3728" s="105"/>
      <c r="AF3728" s="11"/>
      <c r="AG3728" s="11"/>
      <c r="AH3728" s="11"/>
      <c r="AI3728" s="11"/>
    </row>
    <row r="3729" ht="12.5" spans="3:35">
      <c r="C3729" s="19"/>
      <c r="D3729" s="19"/>
      <c r="H3729" s="105"/>
      <c r="I3729" s="126"/>
      <c r="J3729" s="11"/>
      <c r="K3729" s="108"/>
      <c r="L3729" s="11"/>
      <c r="M3729" s="105"/>
      <c r="N3729" s="105"/>
      <c r="O3729" s="11"/>
      <c r="P3729" s="11"/>
      <c r="Q3729" s="105"/>
      <c r="R3729" s="105"/>
      <c r="S3729" s="105"/>
      <c r="T3729" s="105"/>
      <c r="U3729" s="105"/>
      <c r="V3729" s="105"/>
      <c r="W3729" s="105"/>
      <c r="X3729" s="11"/>
      <c r="Y3729" s="11"/>
      <c r="Z3729" s="105"/>
      <c r="AA3729" s="11"/>
      <c r="AB3729" s="11"/>
      <c r="AC3729" s="105"/>
      <c r="AD3729" s="11" t="b">
        <v>0</v>
      </c>
      <c r="AE3729" s="105"/>
      <c r="AF3729" s="11"/>
      <c r="AG3729" s="11"/>
      <c r="AH3729" s="11"/>
      <c r="AI3729" s="11"/>
    </row>
    <row r="3730" ht="12.5" spans="3:35">
      <c r="C3730" s="19"/>
      <c r="D3730" s="19"/>
      <c r="H3730" s="105"/>
      <c r="I3730" s="126"/>
      <c r="J3730" s="11"/>
      <c r="K3730" s="108"/>
      <c r="L3730" s="11"/>
      <c r="M3730" s="105"/>
      <c r="N3730" s="105"/>
      <c r="O3730" s="11"/>
      <c r="P3730" s="11"/>
      <c r="Q3730" s="105"/>
      <c r="R3730" s="105"/>
      <c r="S3730" s="105"/>
      <c r="T3730" s="105"/>
      <c r="U3730" s="105"/>
      <c r="V3730" s="105"/>
      <c r="W3730" s="105"/>
      <c r="X3730" s="11"/>
      <c r="Y3730" s="11"/>
      <c r="Z3730" s="105"/>
      <c r="AA3730" s="11"/>
      <c r="AB3730" s="11"/>
      <c r="AC3730" s="105"/>
      <c r="AD3730" s="11" t="b">
        <v>0</v>
      </c>
      <c r="AE3730" s="105"/>
      <c r="AF3730" s="11"/>
      <c r="AG3730" s="11"/>
      <c r="AH3730" s="11"/>
      <c r="AI3730" s="11"/>
    </row>
    <row r="3731" ht="12.5" spans="3:35">
      <c r="C3731" s="19"/>
      <c r="D3731" s="19"/>
      <c r="H3731" s="105"/>
      <c r="I3731" s="126"/>
      <c r="J3731" s="11"/>
      <c r="K3731" s="108"/>
      <c r="L3731" s="11"/>
      <c r="M3731" s="105"/>
      <c r="N3731" s="105"/>
      <c r="O3731" s="11"/>
      <c r="P3731" s="11"/>
      <c r="Q3731" s="105"/>
      <c r="R3731" s="105"/>
      <c r="S3731" s="105"/>
      <c r="T3731" s="105"/>
      <c r="U3731" s="105"/>
      <c r="V3731" s="105"/>
      <c r="W3731" s="105"/>
      <c r="X3731" s="11"/>
      <c r="Y3731" s="11"/>
      <c r="Z3731" s="105"/>
      <c r="AA3731" s="11"/>
      <c r="AB3731" s="11"/>
      <c r="AC3731" s="105"/>
      <c r="AD3731" s="11" t="b">
        <v>0</v>
      </c>
      <c r="AE3731" s="105"/>
      <c r="AF3731" s="11"/>
      <c r="AG3731" s="11"/>
      <c r="AH3731" s="11"/>
      <c r="AI3731" s="11"/>
    </row>
    <row r="3732" ht="12.5" spans="3:35">
      <c r="C3732" s="19"/>
      <c r="D3732" s="19"/>
      <c r="H3732" s="105"/>
      <c r="I3732" s="126"/>
      <c r="J3732" s="11"/>
      <c r="K3732" s="108"/>
      <c r="L3732" s="11"/>
      <c r="M3732" s="105"/>
      <c r="N3732" s="105"/>
      <c r="O3732" s="11"/>
      <c r="P3732" s="11"/>
      <c r="Q3732" s="105"/>
      <c r="R3732" s="105"/>
      <c r="S3732" s="105"/>
      <c r="T3732" s="105"/>
      <c r="U3732" s="105"/>
      <c r="V3732" s="105"/>
      <c r="W3732" s="105"/>
      <c r="X3732" s="11"/>
      <c r="Y3732" s="11"/>
      <c r="Z3732" s="105"/>
      <c r="AA3732" s="11"/>
      <c r="AB3732" s="11"/>
      <c r="AC3732" s="105"/>
      <c r="AD3732" s="11" t="b">
        <v>0</v>
      </c>
      <c r="AE3732" s="105"/>
      <c r="AF3732" s="11"/>
      <c r="AG3732" s="11"/>
      <c r="AH3732" s="11"/>
      <c r="AI3732" s="11"/>
    </row>
    <row r="3733" ht="12.5" spans="3:35">
      <c r="C3733" s="19"/>
      <c r="D3733" s="19"/>
      <c r="H3733" s="105"/>
      <c r="I3733" s="126"/>
      <c r="J3733" s="11"/>
      <c r="K3733" s="108"/>
      <c r="L3733" s="11"/>
      <c r="M3733" s="105"/>
      <c r="N3733" s="105"/>
      <c r="O3733" s="11"/>
      <c r="P3733" s="11"/>
      <c r="Q3733" s="105"/>
      <c r="R3733" s="105"/>
      <c r="S3733" s="105"/>
      <c r="T3733" s="105"/>
      <c r="U3733" s="105"/>
      <c r="V3733" s="105"/>
      <c r="W3733" s="105"/>
      <c r="X3733" s="11"/>
      <c r="Y3733" s="11"/>
      <c r="Z3733" s="105"/>
      <c r="AA3733" s="11"/>
      <c r="AB3733" s="11"/>
      <c r="AC3733" s="105"/>
      <c r="AD3733" s="11" t="b">
        <v>0</v>
      </c>
      <c r="AE3733" s="105"/>
      <c r="AF3733" s="11"/>
      <c r="AG3733" s="11"/>
      <c r="AH3733" s="11"/>
      <c r="AI3733" s="11"/>
    </row>
    <row r="3734" ht="12.5" spans="3:35">
      <c r="C3734" s="19"/>
      <c r="D3734" s="19"/>
      <c r="H3734" s="105"/>
      <c r="I3734" s="126"/>
      <c r="J3734" s="11"/>
      <c r="K3734" s="108"/>
      <c r="L3734" s="11"/>
      <c r="M3734" s="105"/>
      <c r="N3734" s="105"/>
      <c r="O3734" s="11"/>
      <c r="P3734" s="11"/>
      <c r="Q3734" s="105"/>
      <c r="R3734" s="105"/>
      <c r="S3734" s="105"/>
      <c r="T3734" s="105"/>
      <c r="U3734" s="105"/>
      <c r="V3734" s="105"/>
      <c r="W3734" s="105"/>
      <c r="X3734" s="11"/>
      <c r="Y3734" s="11"/>
      <c r="Z3734" s="105"/>
      <c r="AA3734" s="11"/>
      <c r="AB3734" s="11"/>
      <c r="AC3734" s="105"/>
      <c r="AD3734" s="11" t="b">
        <v>0</v>
      </c>
      <c r="AE3734" s="105"/>
      <c r="AF3734" s="11"/>
      <c r="AG3734" s="11"/>
      <c r="AH3734" s="11"/>
      <c r="AI3734" s="11"/>
    </row>
    <row r="3735" ht="12.5" spans="3:35">
      <c r="C3735" s="19"/>
      <c r="D3735" s="19"/>
      <c r="H3735" s="105"/>
      <c r="I3735" s="126"/>
      <c r="J3735" s="11"/>
      <c r="K3735" s="108"/>
      <c r="L3735" s="11"/>
      <c r="M3735" s="105"/>
      <c r="N3735" s="105"/>
      <c r="O3735" s="11"/>
      <c r="P3735" s="11"/>
      <c r="Q3735" s="105"/>
      <c r="R3735" s="105"/>
      <c r="S3735" s="105"/>
      <c r="T3735" s="105"/>
      <c r="U3735" s="105"/>
      <c r="V3735" s="105"/>
      <c r="W3735" s="105"/>
      <c r="X3735" s="11"/>
      <c r="Y3735" s="11"/>
      <c r="Z3735" s="105"/>
      <c r="AA3735" s="11"/>
      <c r="AB3735" s="11"/>
      <c r="AC3735" s="105"/>
      <c r="AD3735" s="11" t="b">
        <v>0</v>
      </c>
      <c r="AE3735" s="105"/>
      <c r="AF3735" s="11"/>
      <c r="AG3735" s="11"/>
      <c r="AH3735" s="11"/>
      <c r="AI3735" s="11"/>
    </row>
    <row r="3736" ht="12.5" spans="3:35">
      <c r="C3736" s="19"/>
      <c r="D3736" s="19"/>
      <c r="H3736" s="105"/>
      <c r="I3736" s="126"/>
      <c r="J3736" s="11"/>
      <c r="K3736" s="108"/>
      <c r="L3736" s="11"/>
      <c r="M3736" s="105"/>
      <c r="N3736" s="105"/>
      <c r="O3736" s="11"/>
      <c r="P3736" s="11"/>
      <c r="Q3736" s="105"/>
      <c r="R3736" s="105"/>
      <c r="S3736" s="105"/>
      <c r="T3736" s="105"/>
      <c r="U3736" s="105"/>
      <c r="V3736" s="105"/>
      <c r="W3736" s="105"/>
      <c r="X3736" s="11"/>
      <c r="Y3736" s="11"/>
      <c r="Z3736" s="105"/>
      <c r="AA3736" s="11"/>
      <c r="AB3736" s="11"/>
      <c r="AC3736" s="105"/>
      <c r="AD3736" s="11" t="b">
        <v>0</v>
      </c>
      <c r="AE3736" s="105"/>
      <c r="AF3736" s="11"/>
      <c r="AG3736" s="11"/>
      <c r="AH3736" s="11"/>
      <c r="AI3736" s="11"/>
    </row>
    <row r="3737" ht="12.5" spans="3:35">
      <c r="C3737" s="19"/>
      <c r="D3737" s="19"/>
      <c r="H3737" s="105"/>
      <c r="I3737" s="126"/>
      <c r="J3737" s="11"/>
      <c r="K3737" s="108"/>
      <c r="L3737" s="11"/>
      <c r="M3737" s="105"/>
      <c r="N3737" s="105"/>
      <c r="O3737" s="11"/>
      <c r="P3737" s="11"/>
      <c r="Q3737" s="105"/>
      <c r="R3737" s="105"/>
      <c r="S3737" s="105"/>
      <c r="T3737" s="105"/>
      <c r="U3737" s="105"/>
      <c r="V3737" s="105"/>
      <c r="W3737" s="105"/>
      <c r="X3737" s="11"/>
      <c r="Y3737" s="11"/>
      <c r="Z3737" s="105"/>
      <c r="AA3737" s="11"/>
      <c r="AB3737" s="11"/>
      <c r="AC3737" s="105"/>
      <c r="AD3737" s="11" t="b">
        <v>0</v>
      </c>
      <c r="AE3737" s="105"/>
      <c r="AF3737" s="11"/>
      <c r="AG3737" s="11"/>
      <c r="AH3737" s="11"/>
      <c r="AI3737" s="11"/>
    </row>
    <row r="3738" ht="12.5" spans="3:35">
      <c r="C3738" s="19"/>
      <c r="D3738" s="19"/>
      <c r="H3738" s="105"/>
      <c r="I3738" s="126"/>
      <c r="J3738" s="11"/>
      <c r="K3738" s="108"/>
      <c r="L3738" s="11"/>
      <c r="M3738" s="105"/>
      <c r="N3738" s="105"/>
      <c r="O3738" s="11"/>
      <c r="P3738" s="11"/>
      <c r="Q3738" s="105"/>
      <c r="R3738" s="105"/>
      <c r="S3738" s="105"/>
      <c r="T3738" s="105"/>
      <c r="U3738" s="105"/>
      <c r="V3738" s="105"/>
      <c r="W3738" s="105"/>
      <c r="X3738" s="11"/>
      <c r="Y3738" s="11"/>
      <c r="Z3738" s="105"/>
      <c r="AA3738" s="11"/>
      <c r="AB3738" s="11"/>
      <c r="AC3738" s="105"/>
      <c r="AD3738" s="11" t="b">
        <v>0</v>
      </c>
      <c r="AE3738" s="105"/>
      <c r="AF3738" s="11"/>
      <c r="AG3738" s="11"/>
      <c r="AH3738" s="11"/>
      <c r="AI3738" s="11"/>
    </row>
    <row r="3739" ht="12.5" spans="3:35">
      <c r="C3739" s="19"/>
      <c r="D3739" s="19"/>
      <c r="H3739" s="105"/>
      <c r="I3739" s="126"/>
      <c r="J3739" s="11"/>
      <c r="K3739" s="108"/>
      <c r="L3739" s="11"/>
      <c r="M3739" s="105"/>
      <c r="N3739" s="105"/>
      <c r="O3739" s="11"/>
      <c r="P3739" s="11"/>
      <c r="Q3739" s="105"/>
      <c r="R3739" s="105"/>
      <c r="S3739" s="105"/>
      <c r="T3739" s="105"/>
      <c r="U3739" s="105"/>
      <c r="V3739" s="105"/>
      <c r="W3739" s="105"/>
      <c r="X3739" s="11"/>
      <c r="Y3739" s="11"/>
      <c r="Z3739" s="105"/>
      <c r="AA3739" s="11"/>
      <c r="AB3739" s="11"/>
      <c r="AC3739" s="105"/>
      <c r="AD3739" s="11" t="b">
        <v>0</v>
      </c>
      <c r="AE3739" s="105"/>
      <c r="AF3739" s="11"/>
      <c r="AG3739" s="11"/>
      <c r="AH3739" s="11"/>
      <c r="AI3739" s="11"/>
    </row>
    <row r="3740" ht="12.5" spans="3:35">
      <c r="C3740" s="19"/>
      <c r="D3740" s="19"/>
      <c r="H3740" s="105"/>
      <c r="I3740" s="126"/>
      <c r="J3740" s="11"/>
      <c r="K3740" s="108"/>
      <c r="L3740" s="11"/>
      <c r="M3740" s="105"/>
      <c r="N3740" s="105"/>
      <c r="O3740" s="11"/>
      <c r="P3740" s="11"/>
      <c r="Q3740" s="105"/>
      <c r="R3740" s="105"/>
      <c r="S3740" s="105"/>
      <c r="T3740" s="105"/>
      <c r="U3740" s="105"/>
      <c r="V3740" s="105"/>
      <c r="W3740" s="105"/>
      <c r="X3740" s="11"/>
      <c r="Y3740" s="11"/>
      <c r="Z3740" s="105"/>
      <c r="AA3740" s="11"/>
      <c r="AB3740" s="11"/>
      <c r="AC3740" s="105"/>
      <c r="AD3740" s="11" t="b">
        <v>0</v>
      </c>
      <c r="AE3740" s="105"/>
      <c r="AF3740" s="11"/>
      <c r="AG3740" s="11"/>
      <c r="AH3740" s="11"/>
      <c r="AI3740" s="11"/>
    </row>
    <row r="3741" ht="12.5" spans="3:35">
      <c r="C3741" s="19"/>
      <c r="D3741" s="19"/>
      <c r="H3741" s="105"/>
      <c r="I3741" s="126"/>
      <c r="J3741" s="11"/>
      <c r="K3741" s="108"/>
      <c r="L3741" s="11"/>
      <c r="M3741" s="105"/>
      <c r="N3741" s="105"/>
      <c r="O3741" s="11"/>
      <c r="P3741" s="11"/>
      <c r="Q3741" s="105"/>
      <c r="R3741" s="105"/>
      <c r="S3741" s="105"/>
      <c r="T3741" s="105"/>
      <c r="U3741" s="105"/>
      <c r="V3741" s="105"/>
      <c r="W3741" s="105"/>
      <c r="X3741" s="11"/>
      <c r="Y3741" s="11"/>
      <c r="Z3741" s="105"/>
      <c r="AA3741" s="11"/>
      <c r="AB3741" s="11"/>
      <c r="AC3741" s="105"/>
      <c r="AD3741" s="11" t="b">
        <v>0</v>
      </c>
      <c r="AE3741" s="105"/>
      <c r="AF3741" s="11"/>
      <c r="AG3741" s="11"/>
      <c r="AH3741" s="11"/>
      <c r="AI3741" s="11"/>
    </row>
    <row r="3742" ht="12.5" spans="3:35">
      <c r="C3742" s="19"/>
      <c r="D3742" s="19"/>
      <c r="H3742" s="105"/>
      <c r="I3742" s="126"/>
      <c r="J3742" s="11"/>
      <c r="K3742" s="108"/>
      <c r="L3742" s="11"/>
      <c r="M3742" s="105"/>
      <c r="N3742" s="105"/>
      <c r="O3742" s="11"/>
      <c r="P3742" s="11"/>
      <c r="Q3742" s="105"/>
      <c r="R3742" s="105"/>
      <c r="S3742" s="105"/>
      <c r="T3742" s="105"/>
      <c r="U3742" s="105"/>
      <c r="V3742" s="105"/>
      <c r="W3742" s="105"/>
      <c r="X3742" s="11"/>
      <c r="Y3742" s="11"/>
      <c r="Z3742" s="105"/>
      <c r="AA3742" s="11"/>
      <c r="AB3742" s="11"/>
      <c r="AC3742" s="105"/>
      <c r="AD3742" s="11" t="b">
        <v>0</v>
      </c>
      <c r="AE3742" s="105"/>
      <c r="AF3742" s="11"/>
      <c r="AG3742" s="11"/>
      <c r="AH3742" s="11"/>
      <c r="AI3742" s="11"/>
    </row>
    <row r="3743" ht="12.5" spans="3:35">
      <c r="C3743" s="19"/>
      <c r="D3743" s="19"/>
      <c r="H3743" s="105"/>
      <c r="I3743" s="126"/>
      <c r="J3743" s="11"/>
      <c r="K3743" s="108"/>
      <c r="L3743" s="11"/>
      <c r="M3743" s="105"/>
      <c r="N3743" s="105"/>
      <c r="O3743" s="11"/>
      <c r="P3743" s="11"/>
      <c r="Q3743" s="105"/>
      <c r="R3743" s="105"/>
      <c r="S3743" s="105"/>
      <c r="T3743" s="105"/>
      <c r="U3743" s="105"/>
      <c r="V3743" s="105"/>
      <c r="W3743" s="105"/>
      <c r="X3743" s="11"/>
      <c r="Y3743" s="11"/>
      <c r="Z3743" s="105"/>
      <c r="AA3743" s="11"/>
      <c r="AB3743" s="11"/>
      <c r="AC3743" s="105"/>
      <c r="AD3743" s="11" t="b">
        <v>0</v>
      </c>
      <c r="AE3743" s="105"/>
      <c r="AF3743" s="11"/>
      <c r="AG3743" s="11"/>
      <c r="AH3743" s="11"/>
      <c r="AI3743" s="11"/>
    </row>
    <row r="3744" ht="12.5" spans="3:35">
      <c r="C3744" s="19"/>
      <c r="D3744" s="19"/>
      <c r="H3744" s="105"/>
      <c r="I3744" s="126"/>
      <c r="J3744" s="11"/>
      <c r="K3744" s="108"/>
      <c r="L3744" s="11"/>
      <c r="M3744" s="105"/>
      <c r="N3744" s="105"/>
      <c r="O3744" s="11"/>
      <c r="P3744" s="11"/>
      <c r="Q3744" s="105"/>
      <c r="R3744" s="105"/>
      <c r="S3744" s="105"/>
      <c r="T3744" s="105"/>
      <c r="U3744" s="105"/>
      <c r="V3744" s="105"/>
      <c r="W3744" s="105"/>
      <c r="X3744" s="11"/>
      <c r="Y3744" s="11"/>
      <c r="Z3744" s="105"/>
      <c r="AA3744" s="11"/>
      <c r="AB3744" s="11"/>
      <c r="AC3744" s="105"/>
      <c r="AD3744" s="11" t="b">
        <v>0</v>
      </c>
      <c r="AE3744" s="105"/>
      <c r="AF3744" s="11"/>
      <c r="AG3744" s="11"/>
      <c r="AH3744" s="11"/>
      <c r="AI3744" s="11"/>
    </row>
    <row r="3745" ht="12.5" spans="3:35">
      <c r="C3745" s="19"/>
      <c r="D3745" s="19"/>
      <c r="H3745" s="105"/>
      <c r="I3745" s="126"/>
      <c r="J3745" s="11"/>
      <c r="K3745" s="108"/>
      <c r="L3745" s="11"/>
      <c r="M3745" s="105"/>
      <c r="N3745" s="105"/>
      <c r="O3745" s="11"/>
      <c r="P3745" s="11"/>
      <c r="Q3745" s="105"/>
      <c r="R3745" s="105"/>
      <c r="S3745" s="105"/>
      <c r="T3745" s="105"/>
      <c r="U3745" s="105"/>
      <c r="V3745" s="105"/>
      <c r="W3745" s="105"/>
      <c r="X3745" s="11"/>
      <c r="Y3745" s="11"/>
      <c r="Z3745" s="105"/>
      <c r="AA3745" s="11"/>
      <c r="AB3745" s="11"/>
      <c r="AC3745" s="105"/>
      <c r="AD3745" s="11" t="b">
        <v>0</v>
      </c>
      <c r="AE3745" s="105"/>
      <c r="AF3745" s="11"/>
      <c r="AG3745" s="11"/>
      <c r="AH3745" s="11"/>
      <c r="AI3745" s="11"/>
    </row>
    <row r="3746" ht="12.5" spans="3:35">
      <c r="C3746" s="19"/>
      <c r="D3746" s="19"/>
      <c r="H3746" s="105"/>
      <c r="I3746" s="126"/>
      <c r="J3746" s="11"/>
      <c r="K3746" s="108"/>
      <c r="L3746" s="11"/>
      <c r="M3746" s="105"/>
      <c r="N3746" s="105"/>
      <c r="O3746" s="11"/>
      <c r="P3746" s="11"/>
      <c r="Q3746" s="105"/>
      <c r="R3746" s="105"/>
      <c r="S3746" s="105"/>
      <c r="T3746" s="105"/>
      <c r="U3746" s="105"/>
      <c r="V3746" s="105"/>
      <c r="W3746" s="105"/>
      <c r="X3746" s="11"/>
      <c r="Y3746" s="11"/>
      <c r="Z3746" s="105"/>
      <c r="AA3746" s="11"/>
      <c r="AB3746" s="11"/>
      <c r="AC3746" s="105"/>
      <c r="AD3746" s="11" t="b">
        <v>0</v>
      </c>
      <c r="AE3746" s="105"/>
      <c r="AF3746" s="11"/>
      <c r="AG3746" s="11"/>
      <c r="AH3746" s="11"/>
      <c r="AI3746" s="11"/>
    </row>
    <row r="3747" ht="12.5" spans="3:35">
      <c r="C3747" s="19"/>
      <c r="D3747" s="19"/>
      <c r="H3747" s="105"/>
      <c r="I3747" s="126"/>
      <c r="J3747" s="11"/>
      <c r="K3747" s="108"/>
      <c r="L3747" s="11"/>
      <c r="M3747" s="105"/>
      <c r="N3747" s="105"/>
      <c r="O3747" s="11"/>
      <c r="P3747" s="11"/>
      <c r="Q3747" s="105"/>
      <c r="R3747" s="105"/>
      <c r="S3747" s="105"/>
      <c r="T3747" s="105"/>
      <c r="U3747" s="105"/>
      <c r="V3747" s="105"/>
      <c r="W3747" s="105"/>
      <c r="X3747" s="11"/>
      <c r="Y3747" s="11"/>
      <c r="Z3747" s="105"/>
      <c r="AA3747" s="11"/>
      <c r="AB3747" s="11"/>
      <c r="AC3747" s="105"/>
      <c r="AD3747" s="11" t="b">
        <v>0</v>
      </c>
      <c r="AE3747" s="105"/>
      <c r="AF3747" s="11"/>
      <c r="AG3747" s="11"/>
      <c r="AH3747" s="11"/>
      <c r="AI3747" s="11"/>
    </row>
    <row r="3748" ht="12.5" spans="3:35">
      <c r="C3748" s="19"/>
      <c r="D3748" s="19"/>
      <c r="H3748" s="105"/>
      <c r="I3748" s="126"/>
      <c r="J3748" s="11"/>
      <c r="K3748" s="108"/>
      <c r="L3748" s="11"/>
      <c r="M3748" s="105"/>
      <c r="N3748" s="105"/>
      <c r="O3748" s="11"/>
      <c r="P3748" s="11"/>
      <c r="Q3748" s="105"/>
      <c r="R3748" s="105"/>
      <c r="S3748" s="105"/>
      <c r="T3748" s="105"/>
      <c r="U3748" s="105"/>
      <c r="V3748" s="105"/>
      <c r="W3748" s="105"/>
      <c r="X3748" s="11"/>
      <c r="Y3748" s="11"/>
      <c r="Z3748" s="105"/>
      <c r="AA3748" s="11"/>
      <c r="AB3748" s="11"/>
      <c r="AC3748" s="105"/>
      <c r="AD3748" s="11" t="b">
        <v>0</v>
      </c>
      <c r="AE3748" s="105"/>
      <c r="AF3748" s="11"/>
      <c r="AG3748" s="11"/>
      <c r="AH3748" s="11"/>
      <c r="AI3748" s="11"/>
    </row>
    <row r="3749" ht="12.5" spans="3:35">
      <c r="C3749" s="19"/>
      <c r="D3749" s="19"/>
      <c r="H3749" s="105"/>
      <c r="I3749" s="126"/>
      <c r="J3749" s="11"/>
      <c r="K3749" s="108"/>
      <c r="L3749" s="11"/>
      <c r="M3749" s="105"/>
      <c r="N3749" s="105"/>
      <c r="O3749" s="11"/>
      <c r="P3749" s="11"/>
      <c r="Q3749" s="105"/>
      <c r="R3749" s="105"/>
      <c r="S3749" s="105"/>
      <c r="T3749" s="105"/>
      <c r="U3749" s="105"/>
      <c r="V3749" s="105"/>
      <c r="W3749" s="105"/>
      <c r="X3749" s="11"/>
      <c r="Y3749" s="11"/>
      <c r="Z3749" s="105"/>
      <c r="AA3749" s="11"/>
      <c r="AB3749" s="11"/>
      <c r="AC3749" s="105"/>
      <c r="AD3749" s="11" t="b">
        <v>0</v>
      </c>
      <c r="AE3749" s="105"/>
      <c r="AF3749" s="11"/>
      <c r="AG3749" s="11"/>
      <c r="AH3749" s="11"/>
      <c r="AI3749" s="11"/>
    </row>
    <row r="3750" ht="12.5" spans="3:35">
      <c r="C3750" s="19"/>
      <c r="D3750" s="19"/>
      <c r="H3750" s="105"/>
      <c r="I3750" s="126"/>
      <c r="J3750" s="11"/>
      <c r="K3750" s="108"/>
      <c r="L3750" s="11"/>
      <c r="M3750" s="105"/>
      <c r="N3750" s="105"/>
      <c r="O3750" s="11"/>
      <c r="P3750" s="11"/>
      <c r="Q3750" s="105"/>
      <c r="R3750" s="105"/>
      <c r="S3750" s="105"/>
      <c r="T3750" s="105"/>
      <c r="U3750" s="105"/>
      <c r="V3750" s="105"/>
      <c r="W3750" s="105"/>
      <c r="X3750" s="11"/>
      <c r="Y3750" s="11"/>
      <c r="Z3750" s="105"/>
      <c r="AA3750" s="11"/>
      <c r="AB3750" s="11"/>
      <c r="AC3750" s="105"/>
      <c r="AD3750" s="11" t="b">
        <v>0</v>
      </c>
      <c r="AE3750" s="105"/>
      <c r="AF3750" s="11"/>
      <c r="AG3750" s="11"/>
      <c r="AH3750" s="11"/>
      <c r="AI3750" s="11"/>
    </row>
    <row r="3751" ht="12.5" spans="3:35">
      <c r="C3751" s="19"/>
      <c r="D3751" s="19"/>
      <c r="H3751" s="105"/>
      <c r="I3751" s="126"/>
      <c r="J3751" s="11"/>
      <c r="K3751" s="108"/>
      <c r="L3751" s="11"/>
      <c r="M3751" s="105"/>
      <c r="N3751" s="105"/>
      <c r="O3751" s="11"/>
      <c r="P3751" s="11"/>
      <c r="Q3751" s="105"/>
      <c r="R3751" s="105"/>
      <c r="S3751" s="105"/>
      <c r="T3751" s="105"/>
      <c r="U3751" s="105"/>
      <c r="V3751" s="105"/>
      <c r="W3751" s="105"/>
      <c r="X3751" s="11"/>
      <c r="Y3751" s="11"/>
      <c r="Z3751" s="105"/>
      <c r="AA3751" s="11"/>
      <c r="AB3751" s="11"/>
      <c r="AC3751" s="105"/>
      <c r="AD3751" s="11" t="b">
        <v>0</v>
      </c>
      <c r="AE3751" s="105"/>
      <c r="AF3751" s="11"/>
      <c r="AG3751" s="11"/>
      <c r="AH3751" s="11"/>
      <c r="AI3751" s="11"/>
    </row>
    <row r="3752" ht="12.5" spans="3:35">
      <c r="C3752" s="19"/>
      <c r="D3752" s="19"/>
      <c r="H3752" s="105"/>
      <c r="I3752" s="126"/>
      <c r="J3752" s="11"/>
      <c r="K3752" s="108"/>
      <c r="L3752" s="11"/>
      <c r="M3752" s="105"/>
      <c r="N3752" s="105"/>
      <c r="O3752" s="11"/>
      <c r="P3752" s="11"/>
      <c r="Q3752" s="105"/>
      <c r="R3752" s="105"/>
      <c r="S3752" s="105"/>
      <c r="T3752" s="105"/>
      <c r="U3752" s="105"/>
      <c r="V3752" s="105"/>
      <c r="W3752" s="105"/>
      <c r="X3752" s="11"/>
      <c r="Y3752" s="11"/>
      <c r="Z3752" s="105"/>
      <c r="AA3752" s="11"/>
      <c r="AB3752" s="11"/>
      <c r="AC3752" s="105"/>
      <c r="AD3752" s="11" t="b">
        <v>0</v>
      </c>
      <c r="AE3752" s="105"/>
      <c r="AF3752" s="11"/>
      <c r="AG3752" s="11"/>
      <c r="AH3752" s="11"/>
      <c r="AI3752" s="11"/>
    </row>
    <row r="3753" ht="12.5" spans="3:35">
      <c r="C3753" s="19"/>
      <c r="D3753" s="19"/>
      <c r="H3753" s="105"/>
      <c r="I3753" s="126"/>
      <c r="J3753" s="11"/>
      <c r="K3753" s="108"/>
      <c r="L3753" s="11"/>
      <c r="M3753" s="105"/>
      <c r="N3753" s="105"/>
      <c r="O3753" s="11"/>
      <c r="P3753" s="11"/>
      <c r="Q3753" s="105"/>
      <c r="R3753" s="105"/>
      <c r="S3753" s="105"/>
      <c r="T3753" s="105"/>
      <c r="U3753" s="105"/>
      <c r="V3753" s="105"/>
      <c r="W3753" s="105"/>
      <c r="X3753" s="11"/>
      <c r="Y3753" s="11"/>
      <c r="Z3753" s="105"/>
      <c r="AA3753" s="11"/>
      <c r="AB3753" s="11"/>
      <c r="AC3753" s="105"/>
      <c r="AD3753" s="11" t="b">
        <v>0</v>
      </c>
      <c r="AE3753" s="105"/>
      <c r="AF3753" s="11"/>
      <c r="AG3753" s="11"/>
      <c r="AH3753" s="11"/>
      <c r="AI3753" s="11"/>
    </row>
    <row r="3754" ht="12.5" spans="3:35">
      <c r="C3754" s="19"/>
      <c r="D3754" s="19"/>
      <c r="H3754" s="105"/>
      <c r="I3754" s="126"/>
      <c r="J3754" s="11"/>
      <c r="K3754" s="108"/>
      <c r="L3754" s="11"/>
      <c r="M3754" s="105"/>
      <c r="N3754" s="105"/>
      <c r="O3754" s="11"/>
      <c r="P3754" s="11"/>
      <c r="Q3754" s="105"/>
      <c r="R3754" s="105"/>
      <c r="S3754" s="105"/>
      <c r="T3754" s="105"/>
      <c r="U3754" s="105"/>
      <c r="V3754" s="105"/>
      <c r="W3754" s="105"/>
      <c r="X3754" s="11"/>
      <c r="Y3754" s="11"/>
      <c r="Z3754" s="105"/>
      <c r="AA3754" s="11"/>
      <c r="AB3754" s="11"/>
      <c r="AC3754" s="105"/>
      <c r="AD3754" s="11" t="b">
        <v>0</v>
      </c>
      <c r="AE3754" s="105"/>
      <c r="AF3754" s="11"/>
      <c r="AG3754" s="11"/>
      <c r="AH3754" s="11"/>
      <c r="AI3754" s="11"/>
    </row>
    <row r="3755" ht="12.5" spans="3:35">
      <c r="C3755" s="19"/>
      <c r="D3755" s="19"/>
      <c r="H3755" s="105"/>
      <c r="I3755" s="126"/>
      <c r="J3755" s="11"/>
      <c r="K3755" s="108"/>
      <c r="L3755" s="11"/>
      <c r="M3755" s="105"/>
      <c r="N3755" s="105"/>
      <c r="O3755" s="11"/>
      <c r="P3755" s="11"/>
      <c r="Q3755" s="105"/>
      <c r="R3755" s="105"/>
      <c r="S3755" s="105"/>
      <c r="T3755" s="105"/>
      <c r="U3755" s="105"/>
      <c r="V3755" s="105"/>
      <c r="W3755" s="105"/>
      <c r="X3755" s="11"/>
      <c r="Y3755" s="11"/>
      <c r="Z3755" s="105"/>
      <c r="AA3755" s="11"/>
      <c r="AB3755" s="11"/>
      <c r="AC3755" s="105"/>
      <c r="AD3755" s="11" t="b">
        <v>0</v>
      </c>
      <c r="AE3755" s="105"/>
      <c r="AF3755" s="11"/>
      <c r="AG3755" s="11"/>
      <c r="AH3755" s="11"/>
      <c r="AI3755" s="11"/>
    </row>
    <row r="3756" ht="12.5" spans="3:35">
      <c r="C3756" s="19"/>
      <c r="D3756" s="19"/>
      <c r="H3756" s="105"/>
      <c r="I3756" s="126"/>
      <c r="J3756" s="11"/>
      <c r="K3756" s="108"/>
      <c r="L3756" s="11"/>
      <c r="M3756" s="105"/>
      <c r="N3756" s="105"/>
      <c r="O3756" s="11"/>
      <c r="P3756" s="11"/>
      <c r="Q3756" s="105"/>
      <c r="R3756" s="105"/>
      <c r="S3756" s="105"/>
      <c r="T3756" s="105"/>
      <c r="U3756" s="105"/>
      <c r="V3756" s="105"/>
      <c r="W3756" s="105"/>
      <c r="X3756" s="11"/>
      <c r="Y3756" s="11"/>
      <c r="Z3756" s="105"/>
      <c r="AA3756" s="11"/>
      <c r="AB3756" s="11"/>
      <c r="AC3756" s="105"/>
      <c r="AD3756" s="11" t="b">
        <v>0</v>
      </c>
      <c r="AE3756" s="105"/>
      <c r="AF3756" s="11"/>
      <c r="AG3756" s="11"/>
      <c r="AH3756" s="11"/>
      <c r="AI3756" s="11"/>
    </row>
    <row r="3757" ht="12.5" spans="3:35">
      <c r="C3757" s="19"/>
      <c r="D3757" s="19"/>
      <c r="H3757" s="105"/>
      <c r="I3757" s="126"/>
      <c r="J3757" s="11"/>
      <c r="K3757" s="108"/>
      <c r="L3757" s="11"/>
      <c r="M3757" s="105"/>
      <c r="N3757" s="105"/>
      <c r="O3757" s="11"/>
      <c r="P3757" s="11"/>
      <c r="Q3757" s="105"/>
      <c r="R3757" s="105"/>
      <c r="S3757" s="105"/>
      <c r="T3757" s="105"/>
      <c r="U3757" s="105"/>
      <c r="V3757" s="105"/>
      <c r="W3757" s="105"/>
      <c r="X3757" s="11"/>
      <c r="Y3757" s="11"/>
      <c r="Z3757" s="105"/>
      <c r="AA3757" s="11"/>
      <c r="AB3757" s="11"/>
      <c r="AC3757" s="105"/>
      <c r="AD3757" s="11" t="b">
        <v>0</v>
      </c>
      <c r="AE3757" s="105"/>
      <c r="AF3757" s="11"/>
      <c r="AG3757" s="11"/>
      <c r="AH3757" s="11"/>
      <c r="AI3757" s="11"/>
    </row>
    <row r="3758" ht="12.5" spans="3:35">
      <c r="C3758" s="19"/>
      <c r="D3758" s="19"/>
      <c r="H3758" s="105"/>
      <c r="I3758" s="126"/>
      <c r="J3758" s="11"/>
      <c r="K3758" s="108"/>
      <c r="L3758" s="11"/>
      <c r="M3758" s="105"/>
      <c r="N3758" s="105"/>
      <c r="O3758" s="11"/>
      <c r="P3758" s="11"/>
      <c r="Q3758" s="105"/>
      <c r="R3758" s="105"/>
      <c r="S3758" s="105"/>
      <c r="T3758" s="105"/>
      <c r="U3758" s="105"/>
      <c r="V3758" s="105"/>
      <c r="W3758" s="105"/>
      <c r="X3758" s="11"/>
      <c r="Y3758" s="11"/>
      <c r="Z3758" s="105"/>
      <c r="AA3758" s="11"/>
      <c r="AB3758" s="11"/>
      <c r="AC3758" s="105"/>
      <c r="AD3758" s="11" t="b">
        <v>0</v>
      </c>
      <c r="AE3758" s="105"/>
      <c r="AF3758" s="11"/>
      <c r="AG3758" s="11"/>
      <c r="AH3758" s="11"/>
      <c r="AI3758" s="11"/>
    </row>
    <row r="3759" ht="12.5" spans="3:35">
      <c r="C3759" s="19"/>
      <c r="D3759" s="19"/>
      <c r="H3759" s="105"/>
      <c r="I3759" s="126"/>
      <c r="J3759" s="11"/>
      <c r="K3759" s="108"/>
      <c r="L3759" s="11"/>
      <c r="M3759" s="105"/>
      <c r="N3759" s="105"/>
      <c r="O3759" s="11"/>
      <c r="P3759" s="11"/>
      <c r="Q3759" s="105"/>
      <c r="R3759" s="105"/>
      <c r="S3759" s="105"/>
      <c r="T3759" s="105"/>
      <c r="U3759" s="105"/>
      <c r="V3759" s="105"/>
      <c r="W3759" s="105"/>
      <c r="X3759" s="11"/>
      <c r="Y3759" s="11"/>
      <c r="Z3759" s="105"/>
      <c r="AA3759" s="11"/>
      <c r="AB3759" s="11"/>
      <c r="AC3759" s="105"/>
      <c r="AD3759" s="11" t="b">
        <v>0</v>
      </c>
      <c r="AE3759" s="105"/>
      <c r="AF3759" s="11"/>
      <c r="AG3759" s="11"/>
      <c r="AH3759" s="11"/>
      <c r="AI3759" s="11"/>
    </row>
    <row r="3760" ht="12.5" spans="3:35">
      <c r="C3760" s="19"/>
      <c r="D3760" s="19"/>
      <c r="H3760" s="105"/>
      <c r="I3760" s="126"/>
      <c r="J3760" s="11"/>
      <c r="K3760" s="108"/>
      <c r="L3760" s="11"/>
      <c r="M3760" s="105"/>
      <c r="N3760" s="105"/>
      <c r="O3760" s="11"/>
      <c r="P3760" s="11"/>
      <c r="Q3760" s="105"/>
      <c r="R3760" s="105"/>
      <c r="S3760" s="105"/>
      <c r="T3760" s="105"/>
      <c r="U3760" s="105"/>
      <c r="V3760" s="105"/>
      <c r="W3760" s="105"/>
      <c r="X3760" s="11"/>
      <c r="Y3760" s="11"/>
      <c r="Z3760" s="105"/>
      <c r="AA3760" s="11"/>
      <c r="AB3760" s="11"/>
      <c r="AC3760" s="105"/>
      <c r="AD3760" s="11" t="b">
        <v>0</v>
      </c>
      <c r="AE3760" s="105"/>
      <c r="AF3760" s="11"/>
      <c r="AG3760" s="11"/>
      <c r="AH3760" s="11"/>
      <c r="AI3760" s="11"/>
    </row>
    <row r="3761" ht="12.5" spans="3:35">
      <c r="C3761" s="19"/>
      <c r="D3761" s="19"/>
      <c r="H3761" s="105"/>
      <c r="I3761" s="126"/>
      <c r="J3761" s="11"/>
      <c r="K3761" s="108"/>
      <c r="L3761" s="11"/>
      <c r="M3761" s="105"/>
      <c r="N3761" s="105"/>
      <c r="O3761" s="11"/>
      <c r="P3761" s="11"/>
      <c r="Q3761" s="105"/>
      <c r="R3761" s="105"/>
      <c r="S3761" s="105"/>
      <c r="T3761" s="105"/>
      <c r="U3761" s="105"/>
      <c r="V3761" s="105"/>
      <c r="W3761" s="105"/>
      <c r="X3761" s="11"/>
      <c r="Y3761" s="11"/>
      <c r="Z3761" s="105"/>
      <c r="AA3761" s="11"/>
      <c r="AB3761" s="11"/>
      <c r="AC3761" s="105"/>
      <c r="AD3761" s="11" t="b">
        <v>0</v>
      </c>
      <c r="AE3761" s="105"/>
      <c r="AF3761" s="11"/>
      <c r="AG3761" s="11"/>
      <c r="AH3761" s="11"/>
      <c r="AI3761" s="11"/>
    </row>
    <row r="3762" ht="12.5" spans="3:35">
      <c r="C3762" s="19"/>
      <c r="D3762" s="19"/>
      <c r="H3762" s="105"/>
      <c r="I3762" s="126"/>
      <c r="J3762" s="11"/>
      <c r="K3762" s="108"/>
      <c r="L3762" s="11"/>
      <c r="M3762" s="105"/>
      <c r="N3762" s="105"/>
      <c r="O3762" s="11"/>
      <c r="P3762" s="11"/>
      <c r="Q3762" s="105"/>
      <c r="R3762" s="105"/>
      <c r="S3762" s="105"/>
      <c r="T3762" s="105"/>
      <c r="U3762" s="105"/>
      <c r="V3762" s="105"/>
      <c r="W3762" s="105"/>
      <c r="X3762" s="11"/>
      <c r="Y3762" s="11"/>
      <c r="Z3762" s="105"/>
      <c r="AA3762" s="11"/>
      <c r="AB3762" s="11"/>
      <c r="AC3762" s="105"/>
      <c r="AD3762" s="11" t="b">
        <v>0</v>
      </c>
      <c r="AE3762" s="105"/>
      <c r="AF3762" s="11"/>
      <c r="AG3762" s="11"/>
      <c r="AH3762" s="11"/>
      <c r="AI3762" s="11"/>
    </row>
    <row r="3763" ht="12.5" spans="3:35">
      <c r="C3763" s="19"/>
      <c r="D3763" s="19"/>
      <c r="H3763" s="105"/>
      <c r="I3763" s="126"/>
      <c r="J3763" s="11"/>
      <c r="K3763" s="108"/>
      <c r="L3763" s="11"/>
      <c r="M3763" s="105"/>
      <c r="N3763" s="105"/>
      <c r="O3763" s="11"/>
      <c r="P3763" s="11"/>
      <c r="Q3763" s="105"/>
      <c r="R3763" s="105"/>
      <c r="S3763" s="105"/>
      <c r="T3763" s="105"/>
      <c r="U3763" s="105"/>
      <c r="V3763" s="105"/>
      <c r="W3763" s="105"/>
      <c r="X3763" s="11"/>
      <c r="Y3763" s="11"/>
      <c r="Z3763" s="105"/>
      <c r="AA3763" s="11"/>
      <c r="AB3763" s="11"/>
      <c r="AC3763" s="105"/>
      <c r="AD3763" s="11" t="b">
        <v>0</v>
      </c>
      <c r="AE3763" s="105"/>
      <c r="AF3763" s="11"/>
      <c r="AG3763" s="11"/>
      <c r="AH3763" s="11"/>
      <c r="AI3763" s="11"/>
    </row>
    <row r="3764" ht="12.5" spans="3:35">
      <c r="C3764" s="19"/>
      <c r="D3764" s="19"/>
      <c r="H3764" s="105"/>
      <c r="I3764" s="126"/>
      <c r="J3764" s="11"/>
      <c r="K3764" s="108"/>
      <c r="L3764" s="11"/>
      <c r="M3764" s="105"/>
      <c r="N3764" s="105"/>
      <c r="O3764" s="11"/>
      <c r="P3764" s="11"/>
      <c r="Q3764" s="105"/>
      <c r="R3764" s="105"/>
      <c r="S3764" s="105"/>
      <c r="T3764" s="105"/>
      <c r="U3764" s="105"/>
      <c r="V3764" s="105"/>
      <c r="W3764" s="105"/>
      <c r="X3764" s="11"/>
      <c r="Y3764" s="11"/>
      <c r="Z3764" s="105"/>
      <c r="AA3764" s="11"/>
      <c r="AB3764" s="11"/>
      <c r="AC3764" s="105"/>
      <c r="AD3764" s="11" t="b">
        <v>0</v>
      </c>
      <c r="AE3764" s="105"/>
      <c r="AF3764" s="11"/>
      <c r="AG3764" s="11"/>
      <c r="AH3764" s="11"/>
      <c r="AI3764" s="11"/>
    </row>
    <row r="3765" ht="12.5" spans="3:35">
      <c r="C3765" s="19"/>
      <c r="D3765" s="19"/>
      <c r="H3765" s="105"/>
      <c r="I3765" s="126"/>
      <c r="J3765" s="11"/>
      <c r="K3765" s="108"/>
      <c r="L3765" s="11"/>
      <c r="M3765" s="105"/>
      <c r="N3765" s="105"/>
      <c r="O3765" s="11"/>
      <c r="P3765" s="11"/>
      <c r="Q3765" s="105"/>
      <c r="R3765" s="105"/>
      <c r="S3765" s="105"/>
      <c r="T3765" s="105"/>
      <c r="U3765" s="105"/>
      <c r="V3765" s="105"/>
      <c r="W3765" s="105"/>
      <c r="X3765" s="11"/>
      <c r="Y3765" s="11"/>
      <c r="Z3765" s="105"/>
      <c r="AA3765" s="11"/>
      <c r="AB3765" s="11"/>
      <c r="AC3765" s="105"/>
      <c r="AD3765" s="11" t="b">
        <v>0</v>
      </c>
      <c r="AE3765" s="105"/>
      <c r="AF3765" s="11"/>
      <c r="AG3765" s="11"/>
      <c r="AH3765" s="11"/>
      <c r="AI3765" s="11"/>
    </row>
    <row r="3766" ht="12.5" spans="3:35">
      <c r="C3766" s="19"/>
      <c r="D3766" s="19"/>
      <c r="H3766" s="105"/>
      <c r="I3766" s="126"/>
      <c r="J3766" s="11"/>
      <c r="K3766" s="108"/>
      <c r="L3766" s="11"/>
      <c r="M3766" s="105"/>
      <c r="N3766" s="105"/>
      <c r="O3766" s="11"/>
      <c r="P3766" s="11"/>
      <c r="Q3766" s="105"/>
      <c r="R3766" s="105"/>
      <c r="S3766" s="105"/>
      <c r="T3766" s="105"/>
      <c r="U3766" s="105"/>
      <c r="V3766" s="105"/>
      <c r="W3766" s="105"/>
      <c r="X3766" s="11"/>
      <c r="Y3766" s="11"/>
      <c r="Z3766" s="105"/>
      <c r="AA3766" s="11"/>
      <c r="AB3766" s="11"/>
      <c r="AC3766" s="105"/>
      <c r="AD3766" s="11" t="b">
        <v>0</v>
      </c>
      <c r="AE3766" s="105"/>
      <c r="AF3766" s="11"/>
      <c r="AG3766" s="11"/>
      <c r="AH3766" s="11"/>
      <c r="AI3766" s="11"/>
    </row>
    <row r="3767" ht="12.5" spans="3:35">
      <c r="C3767" s="19"/>
      <c r="D3767" s="19"/>
      <c r="H3767" s="105"/>
      <c r="I3767" s="126"/>
      <c r="J3767" s="11"/>
      <c r="K3767" s="108"/>
      <c r="L3767" s="11"/>
      <c r="M3767" s="105"/>
      <c r="N3767" s="105"/>
      <c r="O3767" s="11"/>
      <c r="P3767" s="11"/>
      <c r="Q3767" s="105"/>
      <c r="R3767" s="105"/>
      <c r="S3767" s="105"/>
      <c r="T3767" s="105"/>
      <c r="U3767" s="105"/>
      <c r="V3767" s="105"/>
      <c r="W3767" s="105"/>
      <c r="X3767" s="11"/>
      <c r="Y3767" s="11"/>
      <c r="Z3767" s="105"/>
      <c r="AA3767" s="11"/>
      <c r="AB3767" s="11"/>
      <c r="AC3767" s="105"/>
      <c r="AD3767" s="11" t="b">
        <v>0</v>
      </c>
      <c r="AE3767" s="105"/>
      <c r="AF3767" s="11"/>
      <c r="AG3767" s="11"/>
      <c r="AH3767" s="11"/>
      <c r="AI3767" s="11"/>
    </row>
    <row r="3768" ht="12.5" spans="3:35">
      <c r="C3768" s="19"/>
      <c r="D3768" s="19"/>
      <c r="H3768" s="105"/>
      <c r="I3768" s="126"/>
      <c r="J3768" s="11"/>
      <c r="K3768" s="108"/>
      <c r="L3768" s="11"/>
      <c r="M3768" s="105"/>
      <c r="N3768" s="105"/>
      <c r="O3768" s="11"/>
      <c r="P3768" s="11"/>
      <c r="Q3768" s="105"/>
      <c r="R3768" s="105"/>
      <c r="S3768" s="105"/>
      <c r="T3768" s="105"/>
      <c r="U3768" s="105"/>
      <c r="V3768" s="105"/>
      <c r="W3768" s="105"/>
      <c r="X3768" s="11"/>
      <c r="Y3768" s="11"/>
      <c r="Z3768" s="105"/>
      <c r="AA3768" s="11"/>
      <c r="AB3768" s="11"/>
      <c r="AC3768" s="105"/>
      <c r="AD3768" s="11" t="b">
        <v>0</v>
      </c>
      <c r="AE3768" s="105"/>
      <c r="AF3768" s="11"/>
      <c r="AG3768" s="11"/>
      <c r="AH3768" s="11"/>
      <c r="AI3768" s="11"/>
    </row>
    <row r="3769" ht="12.5" spans="3:35">
      <c r="C3769" s="19"/>
      <c r="D3769" s="19"/>
      <c r="H3769" s="105"/>
      <c r="I3769" s="126"/>
      <c r="J3769" s="11"/>
      <c r="K3769" s="108"/>
      <c r="L3769" s="11"/>
      <c r="M3769" s="105"/>
      <c r="N3769" s="105"/>
      <c r="O3769" s="11"/>
      <c r="P3769" s="11"/>
      <c r="Q3769" s="105"/>
      <c r="R3769" s="105"/>
      <c r="S3769" s="105"/>
      <c r="T3769" s="105"/>
      <c r="U3769" s="105"/>
      <c r="V3769" s="105"/>
      <c r="W3769" s="105"/>
      <c r="X3769" s="11"/>
      <c r="Y3769" s="11"/>
      <c r="Z3769" s="105"/>
      <c r="AA3769" s="11"/>
      <c r="AB3769" s="11"/>
      <c r="AC3769" s="105"/>
      <c r="AD3769" s="11" t="b">
        <v>0</v>
      </c>
      <c r="AE3769" s="105"/>
      <c r="AF3769" s="11"/>
      <c r="AG3769" s="11"/>
      <c r="AH3769" s="11"/>
      <c r="AI3769" s="11"/>
    </row>
    <row r="3770" ht="12.5" spans="3:35">
      <c r="C3770" s="19"/>
      <c r="D3770" s="19"/>
      <c r="H3770" s="105"/>
      <c r="I3770" s="126"/>
      <c r="J3770" s="11"/>
      <c r="K3770" s="108"/>
      <c r="L3770" s="11"/>
      <c r="M3770" s="105"/>
      <c r="N3770" s="105"/>
      <c r="O3770" s="11"/>
      <c r="P3770" s="11"/>
      <c r="Q3770" s="105"/>
      <c r="R3770" s="105"/>
      <c r="S3770" s="105"/>
      <c r="T3770" s="105"/>
      <c r="U3770" s="105"/>
      <c r="V3770" s="105"/>
      <c r="W3770" s="105"/>
      <c r="X3770" s="11"/>
      <c r="Y3770" s="11"/>
      <c r="Z3770" s="105"/>
      <c r="AA3770" s="11"/>
      <c r="AB3770" s="11"/>
      <c r="AC3770" s="105"/>
      <c r="AD3770" s="11" t="b">
        <v>0</v>
      </c>
      <c r="AE3770" s="105"/>
      <c r="AF3770" s="11"/>
      <c r="AG3770" s="11"/>
      <c r="AH3770" s="11"/>
      <c r="AI3770" s="11"/>
    </row>
    <row r="3771" ht="12.5" spans="3:35">
      <c r="C3771" s="19"/>
      <c r="D3771" s="19"/>
      <c r="H3771" s="105"/>
      <c r="I3771" s="126"/>
      <c r="J3771" s="11"/>
      <c r="K3771" s="108"/>
      <c r="L3771" s="11"/>
      <c r="M3771" s="105"/>
      <c r="N3771" s="105"/>
      <c r="O3771" s="11"/>
      <c r="P3771" s="11"/>
      <c r="Q3771" s="105"/>
      <c r="R3771" s="105"/>
      <c r="S3771" s="105"/>
      <c r="T3771" s="105"/>
      <c r="U3771" s="105"/>
      <c r="V3771" s="105"/>
      <c r="W3771" s="105"/>
      <c r="X3771" s="11"/>
      <c r="Y3771" s="11"/>
      <c r="Z3771" s="105"/>
      <c r="AA3771" s="11"/>
      <c r="AB3771" s="11"/>
      <c r="AC3771" s="105"/>
      <c r="AD3771" s="11" t="b">
        <v>0</v>
      </c>
      <c r="AE3771" s="105"/>
      <c r="AF3771" s="11"/>
      <c r="AG3771" s="11"/>
      <c r="AH3771" s="11"/>
      <c r="AI3771" s="11"/>
    </row>
    <row r="3772" ht="12.5" spans="3:35">
      <c r="C3772" s="19"/>
      <c r="D3772" s="19"/>
      <c r="H3772" s="105"/>
      <c r="I3772" s="126"/>
      <c r="J3772" s="11"/>
      <c r="K3772" s="108"/>
      <c r="L3772" s="11"/>
      <c r="M3772" s="105"/>
      <c r="N3772" s="105"/>
      <c r="O3772" s="11"/>
      <c r="P3772" s="11"/>
      <c r="Q3772" s="105"/>
      <c r="R3772" s="105"/>
      <c r="S3772" s="105"/>
      <c r="T3772" s="105"/>
      <c r="U3772" s="105"/>
      <c r="V3772" s="105"/>
      <c r="W3772" s="105"/>
      <c r="X3772" s="11"/>
      <c r="Y3772" s="11"/>
      <c r="Z3772" s="105"/>
      <c r="AA3772" s="11"/>
      <c r="AB3772" s="11"/>
      <c r="AC3772" s="105"/>
      <c r="AD3772" s="11" t="b">
        <v>0</v>
      </c>
      <c r="AE3772" s="105"/>
      <c r="AF3772" s="11"/>
      <c r="AG3772" s="11"/>
      <c r="AH3772" s="11"/>
      <c r="AI3772" s="11"/>
    </row>
    <row r="3773" ht="12.5" spans="3:35">
      <c r="C3773" s="19"/>
      <c r="D3773" s="19"/>
      <c r="H3773" s="105"/>
      <c r="I3773" s="126"/>
      <c r="J3773" s="11"/>
      <c r="K3773" s="108"/>
      <c r="L3773" s="11"/>
      <c r="M3773" s="105"/>
      <c r="N3773" s="105"/>
      <c r="O3773" s="11"/>
      <c r="P3773" s="11"/>
      <c r="Q3773" s="105"/>
      <c r="R3773" s="105"/>
      <c r="S3773" s="105"/>
      <c r="T3773" s="105"/>
      <c r="U3773" s="105"/>
      <c r="V3773" s="105"/>
      <c r="W3773" s="105"/>
      <c r="X3773" s="11"/>
      <c r="Y3773" s="11"/>
      <c r="Z3773" s="105"/>
      <c r="AA3773" s="11"/>
      <c r="AB3773" s="11"/>
      <c r="AC3773" s="105"/>
      <c r="AD3773" s="11" t="b">
        <v>0</v>
      </c>
      <c r="AE3773" s="105"/>
      <c r="AF3773" s="11"/>
      <c r="AG3773" s="11"/>
      <c r="AH3773" s="11"/>
      <c r="AI3773" s="11"/>
    </row>
    <row r="3774" ht="12.5" spans="3:35">
      <c r="C3774" s="19"/>
      <c r="D3774" s="19"/>
      <c r="H3774" s="105"/>
      <c r="I3774" s="126"/>
      <c r="J3774" s="11"/>
      <c r="K3774" s="108"/>
      <c r="L3774" s="11"/>
      <c r="M3774" s="105"/>
      <c r="N3774" s="105"/>
      <c r="O3774" s="11"/>
      <c r="P3774" s="11"/>
      <c r="Q3774" s="105"/>
      <c r="R3774" s="105"/>
      <c r="S3774" s="105"/>
      <c r="T3774" s="105"/>
      <c r="U3774" s="105"/>
      <c r="V3774" s="105"/>
      <c r="W3774" s="105"/>
      <c r="X3774" s="11"/>
      <c r="Y3774" s="11"/>
      <c r="Z3774" s="105"/>
      <c r="AA3774" s="11"/>
      <c r="AB3774" s="11"/>
      <c r="AC3774" s="105"/>
      <c r="AD3774" s="11" t="b">
        <v>0</v>
      </c>
      <c r="AE3774" s="105"/>
      <c r="AF3774" s="11"/>
      <c r="AG3774" s="11"/>
      <c r="AH3774" s="11"/>
      <c r="AI3774" s="11"/>
    </row>
    <row r="3775" ht="12.5" spans="3:35">
      <c r="C3775" s="19"/>
      <c r="D3775" s="19"/>
      <c r="H3775" s="105"/>
      <c r="I3775" s="126"/>
      <c r="J3775" s="11"/>
      <c r="K3775" s="108"/>
      <c r="L3775" s="11"/>
      <c r="M3775" s="105"/>
      <c r="N3775" s="105"/>
      <c r="O3775" s="11"/>
      <c r="P3775" s="11"/>
      <c r="Q3775" s="105"/>
      <c r="R3775" s="105"/>
      <c r="S3775" s="105"/>
      <c r="T3775" s="105"/>
      <c r="U3775" s="105"/>
      <c r="V3775" s="105"/>
      <c r="W3775" s="105"/>
      <c r="X3775" s="11"/>
      <c r="Y3775" s="11"/>
      <c r="Z3775" s="105"/>
      <c r="AA3775" s="11"/>
      <c r="AB3775" s="11"/>
      <c r="AC3775" s="105"/>
      <c r="AD3775" s="11" t="b">
        <v>0</v>
      </c>
      <c r="AE3775" s="105"/>
      <c r="AF3775" s="11"/>
      <c r="AG3775" s="11"/>
      <c r="AH3775" s="11"/>
      <c r="AI3775" s="11"/>
    </row>
    <row r="3776" ht="12.5" spans="3:35">
      <c r="C3776" s="19"/>
      <c r="D3776" s="19"/>
      <c r="H3776" s="105"/>
      <c r="I3776" s="126"/>
      <c r="J3776" s="11"/>
      <c r="K3776" s="108"/>
      <c r="L3776" s="11"/>
      <c r="M3776" s="105"/>
      <c r="N3776" s="105"/>
      <c r="O3776" s="11"/>
      <c r="P3776" s="11"/>
      <c r="Q3776" s="105"/>
      <c r="R3776" s="105"/>
      <c r="S3776" s="105"/>
      <c r="T3776" s="105"/>
      <c r="U3776" s="105"/>
      <c r="V3776" s="105"/>
      <c r="W3776" s="105"/>
      <c r="X3776" s="11"/>
      <c r="Y3776" s="11"/>
      <c r="Z3776" s="105"/>
      <c r="AA3776" s="11"/>
      <c r="AB3776" s="11"/>
      <c r="AC3776" s="105"/>
      <c r="AD3776" s="11" t="b">
        <v>0</v>
      </c>
      <c r="AE3776" s="105"/>
      <c r="AF3776" s="11"/>
      <c r="AG3776" s="11"/>
      <c r="AH3776" s="11"/>
      <c r="AI3776" s="11"/>
    </row>
    <row r="3777" ht="12.5" spans="3:35">
      <c r="C3777" s="19"/>
      <c r="D3777" s="19"/>
      <c r="H3777" s="105"/>
      <c r="I3777" s="126"/>
      <c r="J3777" s="11"/>
      <c r="K3777" s="108"/>
      <c r="L3777" s="11"/>
      <c r="M3777" s="105"/>
      <c r="N3777" s="105"/>
      <c r="O3777" s="11"/>
      <c r="P3777" s="11"/>
      <c r="Q3777" s="105"/>
      <c r="R3777" s="105"/>
      <c r="S3777" s="105"/>
      <c r="T3777" s="105"/>
      <c r="U3777" s="105"/>
      <c r="V3777" s="105"/>
      <c r="W3777" s="105"/>
      <c r="X3777" s="11"/>
      <c r="Y3777" s="11"/>
      <c r="Z3777" s="105"/>
      <c r="AA3777" s="11"/>
      <c r="AB3777" s="11"/>
      <c r="AC3777" s="105"/>
      <c r="AD3777" s="11" t="b">
        <v>0</v>
      </c>
      <c r="AE3777" s="105"/>
      <c r="AF3777" s="11"/>
      <c r="AG3777" s="11"/>
      <c r="AH3777" s="11"/>
      <c r="AI3777" s="11"/>
    </row>
    <row r="3778" ht="12.5" spans="3:35">
      <c r="C3778" s="19"/>
      <c r="D3778" s="19"/>
      <c r="H3778" s="105"/>
      <c r="I3778" s="126"/>
      <c r="J3778" s="11"/>
      <c r="K3778" s="108"/>
      <c r="L3778" s="11"/>
      <c r="M3778" s="105"/>
      <c r="N3778" s="105"/>
      <c r="O3778" s="11"/>
      <c r="P3778" s="11"/>
      <c r="Q3778" s="105"/>
      <c r="R3778" s="105"/>
      <c r="S3778" s="105"/>
      <c r="T3778" s="105"/>
      <c r="U3778" s="105"/>
      <c r="V3778" s="105"/>
      <c r="W3778" s="105"/>
      <c r="X3778" s="11"/>
      <c r="Y3778" s="11"/>
      <c r="Z3778" s="105"/>
      <c r="AA3778" s="11"/>
      <c r="AB3778" s="11"/>
      <c r="AC3778" s="105"/>
      <c r="AD3778" s="11" t="b">
        <v>0</v>
      </c>
      <c r="AE3778" s="105"/>
      <c r="AF3778" s="11"/>
      <c r="AG3778" s="11"/>
      <c r="AH3778" s="11"/>
      <c r="AI3778" s="11"/>
    </row>
    <row r="3779" ht="12.5" spans="3:35">
      <c r="C3779" s="19"/>
      <c r="D3779" s="19"/>
      <c r="H3779" s="105"/>
      <c r="I3779" s="126"/>
      <c r="J3779" s="11"/>
      <c r="K3779" s="108"/>
      <c r="L3779" s="11"/>
      <c r="M3779" s="105"/>
      <c r="N3779" s="105"/>
      <c r="O3779" s="11"/>
      <c r="P3779" s="11"/>
      <c r="Q3779" s="105"/>
      <c r="R3779" s="105"/>
      <c r="S3779" s="105"/>
      <c r="T3779" s="105"/>
      <c r="U3779" s="105"/>
      <c r="V3779" s="105"/>
      <c r="W3779" s="105"/>
      <c r="X3779" s="11"/>
      <c r="Y3779" s="11"/>
      <c r="Z3779" s="105"/>
      <c r="AA3779" s="11"/>
      <c r="AB3779" s="11"/>
      <c r="AC3779" s="105"/>
      <c r="AD3779" s="11" t="b">
        <v>0</v>
      </c>
      <c r="AE3779" s="105"/>
      <c r="AF3779" s="11"/>
      <c r="AG3779" s="11"/>
      <c r="AH3779" s="11"/>
      <c r="AI3779" s="11"/>
    </row>
    <row r="3780" ht="12.5" spans="3:35">
      <c r="C3780" s="19"/>
      <c r="D3780" s="19"/>
      <c r="H3780" s="105"/>
      <c r="I3780" s="126"/>
      <c r="J3780" s="11"/>
      <c r="K3780" s="108"/>
      <c r="L3780" s="11"/>
      <c r="M3780" s="105"/>
      <c r="N3780" s="105"/>
      <c r="O3780" s="11"/>
      <c r="P3780" s="11"/>
      <c r="Q3780" s="105"/>
      <c r="R3780" s="105"/>
      <c r="S3780" s="105"/>
      <c r="T3780" s="105"/>
      <c r="U3780" s="105"/>
      <c r="V3780" s="105"/>
      <c r="W3780" s="105"/>
      <c r="X3780" s="11"/>
      <c r="Y3780" s="11"/>
      <c r="Z3780" s="105"/>
      <c r="AA3780" s="11"/>
      <c r="AB3780" s="11"/>
      <c r="AC3780" s="105"/>
      <c r="AD3780" s="11" t="b">
        <v>0</v>
      </c>
      <c r="AE3780" s="105"/>
      <c r="AF3780" s="11"/>
      <c r="AG3780" s="11"/>
      <c r="AH3780" s="11"/>
      <c r="AI3780" s="11"/>
    </row>
    <row r="3781" ht="12.5" spans="3:35">
      <c r="C3781" s="19"/>
      <c r="D3781" s="19"/>
      <c r="H3781" s="105"/>
      <c r="I3781" s="126"/>
      <c r="J3781" s="11"/>
      <c r="K3781" s="108"/>
      <c r="L3781" s="11"/>
      <c r="M3781" s="105"/>
      <c r="N3781" s="105"/>
      <c r="O3781" s="11"/>
      <c r="P3781" s="11"/>
      <c r="Q3781" s="105"/>
      <c r="R3781" s="105"/>
      <c r="S3781" s="105"/>
      <c r="T3781" s="105"/>
      <c r="U3781" s="105"/>
      <c r="V3781" s="105"/>
      <c r="W3781" s="105"/>
      <c r="X3781" s="11"/>
      <c r="Y3781" s="11"/>
      <c r="Z3781" s="105"/>
      <c r="AA3781" s="11"/>
      <c r="AB3781" s="11"/>
      <c r="AC3781" s="105"/>
      <c r="AD3781" s="11" t="b">
        <v>0</v>
      </c>
      <c r="AE3781" s="105"/>
      <c r="AF3781" s="11"/>
      <c r="AG3781" s="11"/>
      <c r="AH3781" s="11"/>
      <c r="AI3781" s="11"/>
    </row>
    <row r="3782" ht="12.5" spans="3:35">
      <c r="C3782" s="19"/>
      <c r="D3782" s="19"/>
      <c r="H3782" s="105"/>
      <c r="I3782" s="126"/>
      <c r="J3782" s="11"/>
      <c r="K3782" s="108"/>
      <c r="L3782" s="11"/>
      <c r="M3782" s="105"/>
      <c r="N3782" s="105"/>
      <c r="O3782" s="11"/>
      <c r="P3782" s="11"/>
      <c r="Q3782" s="105"/>
      <c r="R3782" s="105"/>
      <c r="S3782" s="105"/>
      <c r="T3782" s="105"/>
      <c r="U3782" s="105"/>
      <c r="V3782" s="105"/>
      <c r="W3782" s="105"/>
      <c r="X3782" s="11"/>
      <c r="Y3782" s="11"/>
      <c r="Z3782" s="105"/>
      <c r="AA3782" s="11"/>
      <c r="AB3782" s="11"/>
      <c r="AC3782" s="105"/>
      <c r="AD3782" s="11" t="b">
        <v>0</v>
      </c>
      <c r="AE3782" s="105"/>
      <c r="AF3782" s="11"/>
      <c r="AG3782" s="11"/>
      <c r="AH3782" s="11"/>
      <c r="AI3782" s="11"/>
    </row>
    <row r="3783" ht="12.5" spans="3:35">
      <c r="C3783" s="19"/>
      <c r="D3783" s="19"/>
      <c r="H3783" s="105"/>
      <c r="I3783" s="126"/>
      <c r="J3783" s="11"/>
      <c r="K3783" s="108"/>
      <c r="L3783" s="11"/>
      <c r="M3783" s="105"/>
      <c r="N3783" s="105"/>
      <c r="O3783" s="11"/>
      <c r="P3783" s="11"/>
      <c r="Q3783" s="105"/>
      <c r="R3783" s="105"/>
      <c r="S3783" s="105"/>
      <c r="T3783" s="105"/>
      <c r="U3783" s="105"/>
      <c r="V3783" s="105"/>
      <c r="W3783" s="105"/>
      <c r="X3783" s="11"/>
      <c r="Y3783" s="11"/>
      <c r="Z3783" s="105"/>
      <c r="AA3783" s="11"/>
      <c r="AB3783" s="11"/>
      <c r="AC3783" s="105"/>
      <c r="AD3783" s="11" t="b">
        <v>0</v>
      </c>
      <c r="AE3783" s="105"/>
      <c r="AF3783" s="11"/>
      <c r="AG3783" s="11"/>
      <c r="AH3783" s="11"/>
      <c r="AI3783" s="11"/>
    </row>
    <row r="3784" ht="12.5" spans="3:35">
      <c r="C3784" s="19"/>
      <c r="D3784" s="19"/>
      <c r="H3784" s="105"/>
      <c r="I3784" s="126"/>
      <c r="J3784" s="11"/>
      <c r="K3784" s="108"/>
      <c r="L3784" s="11"/>
      <c r="M3784" s="105"/>
      <c r="N3784" s="105"/>
      <c r="O3784" s="11"/>
      <c r="P3784" s="11"/>
      <c r="Q3784" s="105"/>
      <c r="R3784" s="105"/>
      <c r="S3784" s="105"/>
      <c r="T3784" s="105"/>
      <c r="U3784" s="105"/>
      <c r="V3784" s="105"/>
      <c r="W3784" s="105"/>
      <c r="X3784" s="11"/>
      <c r="Y3784" s="11"/>
      <c r="Z3784" s="105"/>
      <c r="AA3784" s="11"/>
      <c r="AB3784" s="11"/>
      <c r="AC3784" s="105"/>
      <c r="AD3784" s="11" t="b">
        <v>0</v>
      </c>
      <c r="AE3784" s="105"/>
      <c r="AF3784" s="11"/>
      <c r="AG3784" s="11"/>
      <c r="AH3784" s="11"/>
      <c r="AI3784" s="11"/>
    </row>
    <row r="3785" ht="12.5" spans="3:35">
      <c r="C3785" s="19"/>
      <c r="D3785" s="19"/>
      <c r="H3785" s="105"/>
      <c r="I3785" s="126"/>
      <c r="J3785" s="11"/>
      <c r="K3785" s="108"/>
      <c r="L3785" s="11"/>
      <c r="M3785" s="105"/>
      <c r="N3785" s="105"/>
      <c r="O3785" s="11"/>
      <c r="P3785" s="11"/>
      <c r="Q3785" s="105"/>
      <c r="R3785" s="105"/>
      <c r="S3785" s="105"/>
      <c r="T3785" s="105"/>
      <c r="U3785" s="105"/>
      <c r="V3785" s="105"/>
      <c r="W3785" s="105"/>
      <c r="X3785" s="11"/>
      <c r="Y3785" s="11"/>
      <c r="Z3785" s="105"/>
      <c r="AA3785" s="11"/>
      <c r="AB3785" s="11"/>
      <c r="AC3785" s="105"/>
      <c r="AD3785" s="11" t="b">
        <v>0</v>
      </c>
      <c r="AE3785" s="105"/>
      <c r="AF3785" s="11"/>
      <c r="AG3785" s="11"/>
      <c r="AH3785" s="11"/>
      <c r="AI3785" s="11"/>
    </row>
    <row r="3786" ht="12.5" spans="3:35">
      <c r="C3786" s="19"/>
      <c r="D3786" s="19"/>
      <c r="H3786" s="105"/>
      <c r="I3786" s="126"/>
      <c r="J3786" s="11"/>
      <c r="K3786" s="108"/>
      <c r="L3786" s="11"/>
      <c r="M3786" s="105"/>
      <c r="N3786" s="105"/>
      <c r="O3786" s="11"/>
      <c r="P3786" s="11"/>
      <c r="Q3786" s="105"/>
      <c r="R3786" s="105"/>
      <c r="S3786" s="105"/>
      <c r="T3786" s="105"/>
      <c r="U3786" s="105"/>
      <c r="V3786" s="105"/>
      <c r="W3786" s="105"/>
      <c r="X3786" s="11"/>
      <c r="Y3786" s="11"/>
      <c r="Z3786" s="105"/>
      <c r="AA3786" s="11"/>
      <c r="AB3786" s="11"/>
      <c r="AC3786" s="105"/>
      <c r="AD3786" s="11" t="b">
        <v>0</v>
      </c>
      <c r="AE3786" s="105"/>
      <c r="AF3786" s="11"/>
      <c r="AG3786" s="11"/>
      <c r="AH3786" s="11"/>
      <c r="AI3786" s="11"/>
    </row>
    <row r="3787" ht="12.5" spans="3:35">
      <c r="C3787" s="19"/>
      <c r="D3787" s="19"/>
      <c r="H3787" s="105"/>
      <c r="I3787" s="126"/>
      <c r="J3787" s="11"/>
      <c r="K3787" s="108"/>
      <c r="L3787" s="11"/>
      <c r="M3787" s="105"/>
      <c r="N3787" s="105"/>
      <c r="O3787" s="11"/>
      <c r="P3787" s="11"/>
      <c r="Q3787" s="105"/>
      <c r="R3787" s="105"/>
      <c r="S3787" s="105"/>
      <c r="T3787" s="105"/>
      <c r="U3787" s="105"/>
      <c r="V3787" s="105"/>
      <c r="W3787" s="105"/>
      <c r="X3787" s="11"/>
      <c r="Y3787" s="11"/>
      <c r="Z3787" s="105"/>
      <c r="AA3787" s="11"/>
      <c r="AB3787" s="11"/>
      <c r="AC3787" s="105"/>
      <c r="AD3787" s="11" t="b">
        <v>0</v>
      </c>
      <c r="AE3787" s="105"/>
      <c r="AF3787" s="11"/>
      <c r="AG3787" s="11"/>
      <c r="AH3787" s="11"/>
      <c r="AI3787" s="11"/>
    </row>
    <row r="3788" ht="12.5" spans="3:35">
      <c r="C3788" s="19"/>
      <c r="D3788" s="19"/>
      <c r="H3788" s="105"/>
      <c r="I3788" s="126"/>
      <c r="J3788" s="11"/>
      <c r="K3788" s="108"/>
      <c r="L3788" s="11"/>
      <c r="M3788" s="105"/>
      <c r="N3788" s="105"/>
      <c r="O3788" s="11"/>
      <c r="P3788" s="11"/>
      <c r="Q3788" s="105"/>
      <c r="R3788" s="105"/>
      <c r="S3788" s="105"/>
      <c r="T3788" s="105"/>
      <c r="U3788" s="105"/>
      <c r="V3788" s="105"/>
      <c r="W3788" s="105"/>
      <c r="X3788" s="11"/>
      <c r="Y3788" s="11"/>
      <c r="Z3788" s="105"/>
      <c r="AA3788" s="11"/>
      <c r="AB3788" s="11"/>
      <c r="AC3788" s="105"/>
      <c r="AD3788" s="11" t="b">
        <v>0</v>
      </c>
      <c r="AE3788" s="105"/>
      <c r="AF3788" s="11"/>
      <c r="AG3788" s="11"/>
      <c r="AH3788" s="11"/>
      <c r="AI3788" s="11"/>
    </row>
    <row r="3789" ht="12.5" spans="3:35">
      <c r="C3789" s="19"/>
      <c r="D3789" s="19"/>
      <c r="H3789" s="105"/>
      <c r="I3789" s="126"/>
      <c r="J3789" s="11"/>
      <c r="K3789" s="108"/>
      <c r="L3789" s="11"/>
      <c r="M3789" s="105"/>
      <c r="N3789" s="105"/>
      <c r="O3789" s="11"/>
      <c r="P3789" s="11"/>
      <c r="Q3789" s="105"/>
      <c r="R3789" s="105"/>
      <c r="S3789" s="105"/>
      <c r="T3789" s="105"/>
      <c r="U3789" s="105"/>
      <c r="V3789" s="105"/>
      <c r="W3789" s="105"/>
      <c r="X3789" s="11"/>
      <c r="Y3789" s="11"/>
      <c r="Z3789" s="105"/>
      <c r="AA3789" s="11"/>
      <c r="AB3789" s="11"/>
      <c r="AC3789" s="105"/>
      <c r="AD3789" s="11" t="b">
        <v>0</v>
      </c>
      <c r="AE3789" s="105"/>
      <c r="AF3789" s="11"/>
      <c r="AG3789" s="11"/>
      <c r="AH3789" s="11"/>
      <c r="AI3789" s="11"/>
    </row>
    <row r="3790" ht="12.5" spans="3:35">
      <c r="C3790" s="19"/>
      <c r="D3790" s="19"/>
      <c r="H3790" s="105"/>
      <c r="I3790" s="126"/>
      <c r="J3790" s="11"/>
      <c r="K3790" s="108"/>
      <c r="L3790" s="11"/>
      <c r="M3790" s="105"/>
      <c r="N3790" s="105"/>
      <c r="O3790" s="11"/>
      <c r="P3790" s="11"/>
      <c r="Q3790" s="105"/>
      <c r="R3790" s="105"/>
      <c r="S3790" s="105"/>
      <c r="T3790" s="105"/>
      <c r="U3790" s="105"/>
      <c r="V3790" s="105"/>
      <c r="W3790" s="105"/>
      <c r="X3790" s="11"/>
      <c r="Y3790" s="11"/>
      <c r="Z3790" s="105"/>
      <c r="AA3790" s="11"/>
      <c r="AB3790" s="11"/>
      <c r="AC3790" s="105"/>
      <c r="AD3790" s="11" t="b">
        <v>0</v>
      </c>
      <c r="AE3790" s="105"/>
      <c r="AF3790" s="11"/>
      <c r="AG3790" s="11"/>
      <c r="AH3790" s="11"/>
      <c r="AI3790" s="11"/>
    </row>
    <row r="3791" ht="12.5" spans="3:35">
      <c r="C3791" s="19"/>
      <c r="D3791" s="19"/>
      <c r="H3791" s="105"/>
      <c r="I3791" s="126"/>
      <c r="J3791" s="11"/>
      <c r="K3791" s="108"/>
      <c r="L3791" s="11"/>
      <c r="M3791" s="105"/>
      <c r="N3791" s="105"/>
      <c r="O3791" s="11"/>
      <c r="P3791" s="11"/>
      <c r="Q3791" s="105"/>
      <c r="R3791" s="105"/>
      <c r="S3791" s="105"/>
      <c r="T3791" s="105"/>
      <c r="U3791" s="105"/>
      <c r="V3791" s="105"/>
      <c r="W3791" s="105"/>
      <c r="X3791" s="11"/>
      <c r="Y3791" s="11"/>
      <c r="Z3791" s="105"/>
      <c r="AA3791" s="11"/>
      <c r="AB3791" s="11"/>
      <c r="AC3791" s="105"/>
      <c r="AD3791" s="11" t="b">
        <v>0</v>
      </c>
      <c r="AE3791" s="105"/>
      <c r="AF3791" s="11"/>
      <c r="AG3791" s="11"/>
      <c r="AH3791" s="11"/>
      <c r="AI3791" s="11"/>
    </row>
    <row r="3792" ht="12.5" spans="3:35">
      <c r="C3792" s="19"/>
      <c r="D3792" s="19"/>
      <c r="H3792" s="105"/>
      <c r="I3792" s="126"/>
      <c r="J3792" s="11"/>
      <c r="K3792" s="108"/>
      <c r="L3792" s="11"/>
      <c r="M3792" s="105"/>
      <c r="N3792" s="105"/>
      <c r="O3792" s="11"/>
      <c r="P3792" s="11"/>
      <c r="Q3792" s="105"/>
      <c r="R3792" s="105"/>
      <c r="S3792" s="105"/>
      <c r="T3792" s="105"/>
      <c r="U3792" s="105"/>
      <c r="V3792" s="105"/>
      <c r="W3792" s="105"/>
      <c r="X3792" s="11"/>
      <c r="Y3792" s="11"/>
      <c r="Z3792" s="105"/>
      <c r="AA3792" s="11"/>
      <c r="AB3792" s="11"/>
      <c r="AC3792" s="105"/>
      <c r="AD3792" s="11" t="b">
        <v>0</v>
      </c>
      <c r="AE3792" s="105"/>
      <c r="AF3792" s="11"/>
      <c r="AG3792" s="11"/>
      <c r="AH3792" s="11"/>
      <c r="AI3792" s="11"/>
    </row>
    <row r="3793" ht="12.5" spans="3:35">
      <c r="C3793" s="19"/>
      <c r="D3793" s="19"/>
      <c r="H3793" s="105"/>
      <c r="I3793" s="126"/>
      <c r="J3793" s="11"/>
      <c r="K3793" s="108"/>
      <c r="L3793" s="11"/>
      <c r="M3793" s="105"/>
      <c r="N3793" s="105"/>
      <c r="O3793" s="11"/>
      <c r="P3793" s="11"/>
      <c r="Q3793" s="105"/>
      <c r="R3793" s="105"/>
      <c r="S3793" s="105"/>
      <c r="T3793" s="105"/>
      <c r="U3793" s="105"/>
      <c r="V3793" s="105"/>
      <c r="W3793" s="105"/>
      <c r="X3793" s="11"/>
      <c r="Y3793" s="11"/>
      <c r="Z3793" s="105"/>
      <c r="AA3793" s="11"/>
      <c r="AB3793" s="11"/>
      <c r="AC3793" s="105"/>
      <c r="AD3793" s="11" t="b">
        <v>0</v>
      </c>
      <c r="AE3793" s="105"/>
      <c r="AF3793" s="11"/>
      <c r="AG3793" s="11"/>
      <c r="AH3793" s="11"/>
      <c r="AI3793" s="11"/>
    </row>
    <row r="3794" ht="12.5" spans="3:35">
      <c r="C3794" s="19"/>
      <c r="D3794" s="19"/>
      <c r="H3794" s="105"/>
      <c r="I3794" s="126"/>
      <c r="J3794" s="11"/>
      <c r="K3794" s="108"/>
      <c r="L3794" s="11"/>
      <c r="M3794" s="105"/>
      <c r="N3794" s="105"/>
      <c r="O3794" s="11"/>
      <c r="P3794" s="11"/>
      <c r="Q3794" s="105"/>
      <c r="R3794" s="105"/>
      <c r="S3794" s="105"/>
      <c r="T3794" s="105"/>
      <c r="U3794" s="105"/>
      <c r="V3794" s="105"/>
      <c r="W3794" s="105"/>
      <c r="X3794" s="11"/>
      <c r="Y3794" s="11"/>
      <c r="Z3794" s="105"/>
      <c r="AA3794" s="11"/>
      <c r="AB3794" s="11"/>
      <c r="AC3794" s="105"/>
      <c r="AD3794" s="11" t="b">
        <v>0</v>
      </c>
      <c r="AE3794" s="105"/>
      <c r="AF3794" s="11"/>
      <c r="AG3794" s="11"/>
      <c r="AH3794" s="11"/>
      <c r="AI3794" s="11"/>
    </row>
    <row r="3795" ht="12.5" spans="3:35">
      <c r="C3795" s="19"/>
      <c r="D3795" s="19"/>
      <c r="H3795" s="105"/>
      <c r="I3795" s="126"/>
      <c r="J3795" s="11"/>
      <c r="K3795" s="108"/>
      <c r="L3795" s="11"/>
      <c r="M3795" s="105"/>
      <c r="N3795" s="105"/>
      <c r="O3795" s="11"/>
      <c r="P3795" s="11"/>
      <c r="Q3795" s="105"/>
      <c r="R3795" s="105"/>
      <c r="S3795" s="105"/>
      <c r="T3795" s="105"/>
      <c r="U3795" s="105"/>
      <c r="V3795" s="105"/>
      <c r="W3795" s="105"/>
      <c r="X3795" s="11"/>
      <c r="Y3795" s="11"/>
      <c r="Z3795" s="105"/>
      <c r="AA3795" s="11"/>
      <c r="AB3795" s="11"/>
      <c r="AC3795" s="105"/>
      <c r="AD3795" s="11" t="b">
        <v>0</v>
      </c>
      <c r="AE3795" s="105"/>
      <c r="AF3795" s="11"/>
      <c r="AG3795" s="11"/>
      <c r="AH3795" s="11"/>
      <c r="AI3795" s="11"/>
    </row>
    <row r="3796" ht="12.5" spans="3:35">
      <c r="C3796" s="19"/>
      <c r="D3796" s="19"/>
      <c r="H3796" s="105"/>
      <c r="I3796" s="126"/>
      <c r="J3796" s="11"/>
      <c r="K3796" s="108"/>
      <c r="L3796" s="11"/>
      <c r="M3796" s="105"/>
      <c r="N3796" s="105"/>
      <c r="O3796" s="11"/>
      <c r="P3796" s="11"/>
      <c r="Q3796" s="105"/>
      <c r="R3796" s="105"/>
      <c r="S3796" s="105"/>
      <c r="T3796" s="105"/>
      <c r="U3796" s="105"/>
      <c r="V3796" s="105"/>
      <c r="W3796" s="105"/>
      <c r="X3796" s="11"/>
      <c r="Y3796" s="11"/>
      <c r="Z3796" s="105"/>
      <c r="AA3796" s="11"/>
      <c r="AB3796" s="11"/>
      <c r="AC3796" s="105"/>
      <c r="AD3796" s="11" t="b">
        <v>0</v>
      </c>
      <c r="AE3796" s="105"/>
      <c r="AF3796" s="11"/>
      <c r="AG3796" s="11"/>
      <c r="AH3796" s="11"/>
      <c r="AI3796" s="11"/>
    </row>
    <row r="3797" ht="12.5" spans="3:35">
      <c r="C3797" s="19"/>
      <c r="D3797" s="19"/>
      <c r="H3797" s="105"/>
      <c r="I3797" s="126"/>
      <c r="J3797" s="11"/>
      <c r="K3797" s="108"/>
      <c r="L3797" s="11"/>
      <c r="M3797" s="105"/>
      <c r="N3797" s="105"/>
      <c r="O3797" s="11"/>
      <c r="P3797" s="11"/>
      <c r="Q3797" s="105"/>
      <c r="R3797" s="105"/>
      <c r="S3797" s="105"/>
      <c r="T3797" s="105"/>
      <c r="U3797" s="105"/>
      <c r="V3797" s="105"/>
      <c r="W3797" s="105"/>
      <c r="X3797" s="11"/>
      <c r="Y3797" s="11"/>
      <c r="Z3797" s="105"/>
      <c r="AA3797" s="11"/>
      <c r="AB3797" s="11"/>
      <c r="AC3797" s="105"/>
      <c r="AD3797" s="11" t="b">
        <v>0</v>
      </c>
      <c r="AE3797" s="105"/>
      <c r="AF3797" s="11"/>
      <c r="AG3797" s="11"/>
      <c r="AH3797" s="11"/>
      <c r="AI3797" s="11"/>
    </row>
    <row r="3798" ht="12.5" spans="3:35">
      <c r="C3798" s="19"/>
      <c r="D3798" s="19"/>
      <c r="H3798" s="105"/>
      <c r="I3798" s="126"/>
      <c r="J3798" s="11"/>
      <c r="K3798" s="108"/>
      <c r="L3798" s="11"/>
      <c r="M3798" s="105"/>
      <c r="N3798" s="105"/>
      <c r="O3798" s="11"/>
      <c r="P3798" s="11"/>
      <c r="Q3798" s="105"/>
      <c r="R3798" s="105"/>
      <c r="S3798" s="105"/>
      <c r="T3798" s="105"/>
      <c r="U3798" s="105"/>
      <c r="V3798" s="105"/>
      <c r="W3798" s="105"/>
      <c r="X3798" s="11"/>
      <c r="Y3798" s="11"/>
      <c r="Z3798" s="105"/>
      <c r="AA3798" s="11"/>
      <c r="AB3798" s="11"/>
      <c r="AC3798" s="105"/>
      <c r="AD3798" s="11" t="b">
        <v>0</v>
      </c>
      <c r="AE3798" s="105"/>
      <c r="AF3798" s="11"/>
      <c r="AG3798" s="11"/>
      <c r="AH3798" s="11"/>
      <c r="AI3798" s="11"/>
    </row>
    <row r="3799" ht="12.5" spans="3:35">
      <c r="C3799" s="19"/>
      <c r="D3799" s="19"/>
      <c r="H3799" s="105"/>
      <c r="I3799" s="126"/>
      <c r="J3799" s="11"/>
      <c r="K3799" s="108"/>
      <c r="L3799" s="11"/>
      <c r="M3799" s="105"/>
      <c r="N3799" s="105"/>
      <c r="O3799" s="11"/>
      <c r="P3799" s="11"/>
      <c r="Q3799" s="105"/>
      <c r="R3799" s="105"/>
      <c r="S3799" s="105"/>
      <c r="T3799" s="105"/>
      <c r="U3799" s="105"/>
      <c r="V3799" s="105"/>
      <c r="W3799" s="105"/>
      <c r="X3799" s="11"/>
      <c r="Y3799" s="11"/>
      <c r="Z3799" s="105"/>
      <c r="AA3799" s="11"/>
      <c r="AB3799" s="11"/>
      <c r="AC3799" s="105"/>
      <c r="AD3799" s="11" t="b">
        <v>0</v>
      </c>
      <c r="AE3799" s="105"/>
      <c r="AF3799" s="11"/>
      <c r="AG3799" s="11"/>
      <c r="AH3799" s="11"/>
      <c r="AI3799" s="11"/>
    </row>
    <row r="3800" ht="12.5" spans="3:35">
      <c r="C3800" s="19"/>
      <c r="D3800" s="19"/>
      <c r="H3800" s="105"/>
      <c r="I3800" s="126"/>
      <c r="J3800" s="11"/>
      <c r="K3800" s="108"/>
      <c r="L3800" s="11"/>
      <c r="M3800" s="105"/>
      <c r="N3800" s="105"/>
      <c r="O3800" s="11"/>
      <c r="P3800" s="11"/>
      <c r="Q3800" s="105"/>
      <c r="R3800" s="105"/>
      <c r="S3800" s="105"/>
      <c r="T3800" s="105"/>
      <c r="U3800" s="105"/>
      <c r="V3800" s="105"/>
      <c r="W3800" s="105"/>
      <c r="X3800" s="11"/>
      <c r="Y3800" s="11"/>
      <c r="Z3800" s="105"/>
      <c r="AA3800" s="11"/>
      <c r="AB3800" s="11"/>
      <c r="AC3800" s="105"/>
      <c r="AD3800" s="11" t="b">
        <v>0</v>
      </c>
      <c r="AE3800" s="105"/>
      <c r="AF3800" s="11"/>
      <c r="AG3800" s="11"/>
      <c r="AH3800" s="11"/>
      <c r="AI3800" s="11"/>
    </row>
    <row r="3801" ht="12.5" spans="3:35">
      <c r="C3801" s="19"/>
      <c r="D3801" s="19"/>
      <c r="H3801" s="105"/>
      <c r="I3801" s="126"/>
      <c r="J3801" s="11"/>
      <c r="K3801" s="108"/>
      <c r="L3801" s="11"/>
      <c r="M3801" s="105"/>
      <c r="N3801" s="105"/>
      <c r="O3801" s="11"/>
      <c r="P3801" s="11"/>
      <c r="Q3801" s="105"/>
      <c r="R3801" s="105"/>
      <c r="S3801" s="105"/>
      <c r="T3801" s="105"/>
      <c r="U3801" s="105"/>
      <c r="V3801" s="105"/>
      <c r="W3801" s="105"/>
      <c r="X3801" s="11"/>
      <c r="Y3801" s="11"/>
      <c r="Z3801" s="105"/>
      <c r="AA3801" s="11"/>
      <c r="AB3801" s="11"/>
      <c r="AC3801" s="105"/>
      <c r="AD3801" s="11" t="b">
        <v>0</v>
      </c>
      <c r="AE3801" s="105"/>
      <c r="AF3801" s="11"/>
      <c r="AG3801" s="11"/>
      <c r="AH3801" s="11"/>
      <c r="AI3801" s="11"/>
    </row>
    <row r="3802" ht="12.5" spans="3:35">
      <c r="C3802" s="19"/>
      <c r="D3802" s="19"/>
      <c r="H3802" s="105"/>
      <c r="I3802" s="126"/>
      <c r="J3802" s="11"/>
      <c r="K3802" s="108"/>
      <c r="L3802" s="11"/>
      <c r="M3802" s="105"/>
      <c r="N3802" s="105"/>
      <c r="O3802" s="11"/>
      <c r="P3802" s="11"/>
      <c r="Q3802" s="105"/>
      <c r="R3802" s="105"/>
      <c r="S3802" s="105"/>
      <c r="T3802" s="105"/>
      <c r="U3802" s="105"/>
      <c r="V3802" s="105"/>
      <c r="W3802" s="105"/>
      <c r="X3802" s="11"/>
      <c r="Y3802" s="11"/>
      <c r="Z3802" s="105"/>
      <c r="AA3802" s="11"/>
      <c r="AB3802" s="11"/>
      <c r="AC3802" s="105"/>
      <c r="AD3802" s="11" t="b">
        <v>0</v>
      </c>
      <c r="AE3802" s="105"/>
      <c r="AF3802" s="11"/>
      <c r="AG3802" s="11"/>
      <c r="AH3802" s="11"/>
      <c r="AI3802" s="11"/>
    </row>
    <row r="3803" ht="12.5" spans="3:35">
      <c r="C3803" s="19"/>
      <c r="D3803" s="19"/>
      <c r="H3803" s="105"/>
      <c r="I3803" s="126"/>
      <c r="J3803" s="11"/>
      <c r="K3803" s="108"/>
      <c r="L3803" s="11"/>
      <c r="M3803" s="105"/>
      <c r="N3803" s="105"/>
      <c r="O3803" s="11"/>
      <c r="P3803" s="11"/>
      <c r="Q3803" s="105"/>
      <c r="R3803" s="105"/>
      <c r="S3803" s="105"/>
      <c r="T3803" s="105"/>
      <c r="U3803" s="105"/>
      <c r="V3803" s="105"/>
      <c r="W3803" s="105"/>
      <c r="X3803" s="11"/>
      <c r="Y3803" s="11"/>
      <c r="Z3803" s="105"/>
      <c r="AA3803" s="11"/>
      <c r="AB3803" s="11"/>
      <c r="AC3803" s="105"/>
      <c r="AD3803" s="11" t="b">
        <v>0</v>
      </c>
      <c r="AE3803" s="105"/>
      <c r="AF3803" s="11"/>
      <c r="AG3803" s="11"/>
      <c r="AH3803" s="11"/>
      <c r="AI3803" s="11"/>
    </row>
    <row r="3804" ht="12.5" spans="3:35">
      <c r="C3804" s="19"/>
      <c r="D3804" s="19"/>
      <c r="H3804" s="105"/>
      <c r="I3804" s="126"/>
      <c r="J3804" s="11"/>
      <c r="K3804" s="108"/>
      <c r="L3804" s="11"/>
      <c r="M3804" s="105"/>
      <c r="N3804" s="105"/>
      <c r="O3804" s="11"/>
      <c r="P3804" s="11"/>
      <c r="Q3804" s="105"/>
      <c r="R3804" s="105"/>
      <c r="S3804" s="105"/>
      <c r="T3804" s="105"/>
      <c r="U3804" s="105"/>
      <c r="V3804" s="105"/>
      <c r="W3804" s="105"/>
      <c r="X3804" s="11"/>
      <c r="Y3804" s="11"/>
      <c r="Z3804" s="105"/>
      <c r="AA3804" s="11"/>
      <c r="AB3804" s="11"/>
      <c r="AC3804" s="105"/>
      <c r="AD3804" s="11" t="b">
        <v>0</v>
      </c>
      <c r="AE3804" s="105"/>
      <c r="AF3804" s="11"/>
      <c r="AG3804" s="11"/>
      <c r="AH3804" s="11"/>
      <c r="AI3804" s="11"/>
    </row>
    <row r="3805" ht="12.5" spans="3:35">
      <c r="C3805" s="19"/>
      <c r="D3805" s="19"/>
      <c r="H3805" s="105"/>
      <c r="I3805" s="126"/>
      <c r="J3805" s="11"/>
      <c r="K3805" s="108"/>
      <c r="L3805" s="11"/>
      <c r="M3805" s="105"/>
      <c r="N3805" s="105"/>
      <c r="O3805" s="11"/>
      <c r="P3805" s="11"/>
      <c r="Q3805" s="105"/>
      <c r="R3805" s="105"/>
      <c r="S3805" s="105"/>
      <c r="T3805" s="105"/>
      <c r="U3805" s="105"/>
      <c r="V3805" s="105"/>
      <c r="W3805" s="105"/>
      <c r="X3805" s="11"/>
      <c r="Y3805" s="11"/>
      <c r="Z3805" s="105"/>
      <c r="AA3805" s="11"/>
      <c r="AB3805" s="11"/>
      <c r="AC3805" s="105"/>
      <c r="AD3805" s="11" t="b">
        <v>0</v>
      </c>
      <c r="AE3805" s="105"/>
      <c r="AF3805" s="11"/>
      <c r="AG3805" s="11"/>
      <c r="AH3805" s="11"/>
      <c r="AI3805" s="11"/>
    </row>
    <row r="3806" ht="12.5" spans="3:35">
      <c r="C3806" s="19"/>
      <c r="D3806" s="19"/>
      <c r="H3806" s="105"/>
      <c r="I3806" s="126"/>
      <c r="J3806" s="11"/>
      <c r="K3806" s="108"/>
      <c r="L3806" s="11"/>
      <c r="M3806" s="105"/>
      <c r="N3806" s="105"/>
      <c r="O3806" s="11"/>
      <c r="P3806" s="11"/>
      <c r="Q3806" s="105"/>
      <c r="R3806" s="105"/>
      <c r="S3806" s="105"/>
      <c r="T3806" s="105"/>
      <c r="U3806" s="105"/>
      <c r="V3806" s="105"/>
      <c r="W3806" s="105"/>
      <c r="X3806" s="11"/>
      <c r="Y3806" s="11"/>
      <c r="Z3806" s="105"/>
      <c r="AA3806" s="11"/>
      <c r="AB3806" s="11"/>
      <c r="AC3806" s="105"/>
      <c r="AD3806" s="11" t="b">
        <v>0</v>
      </c>
      <c r="AE3806" s="105"/>
      <c r="AF3806" s="11"/>
      <c r="AG3806" s="11"/>
      <c r="AH3806" s="11"/>
      <c r="AI3806" s="11"/>
    </row>
    <row r="3807" ht="12.5" spans="3:35">
      <c r="C3807" s="19"/>
      <c r="D3807" s="19"/>
      <c r="H3807" s="105"/>
      <c r="I3807" s="126"/>
      <c r="J3807" s="11"/>
      <c r="K3807" s="108"/>
      <c r="L3807" s="11"/>
      <c r="M3807" s="105"/>
      <c r="N3807" s="105"/>
      <c r="O3807" s="11"/>
      <c r="P3807" s="11"/>
      <c r="Q3807" s="105"/>
      <c r="R3807" s="105"/>
      <c r="S3807" s="105"/>
      <c r="T3807" s="105"/>
      <c r="U3807" s="105"/>
      <c r="V3807" s="105"/>
      <c r="W3807" s="105"/>
      <c r="X3807" s="11"/>
      <c r="Y3807" s="11"/>
      <c r="Z3807" s="105"/>
      <c r="AA3807" s="11"/>
      <c r="AB3807" s="11"/>
      <c r="AC3807" s="105"/>
      <c r="AD3807" s="11" t="b">
        <v>0</v>
      </c>
      <c r="AE3807" s="105"/>
      <c r="AF3807" s="11"/>
      <c r="AG3807" s="11"/>
      <c r="AH3807" s="11"/>
      <c r="AI3807" s="11"/>
    </row>
    <row r="3808" ht="12.5" spans="3:35">
      <c r="C3808" s="19"/>
      <c r="D3808" s="19"/>
      <c r="H3808" s="105"/>
      <c r="I3808" s="126"/>
      <c r="J3808" s="11"/>
      <c r="K3808" s="108"/>
      <c r="L3808" s="11"/>
      <c r="M3808" s="105"/>
      <c r="N3808" s="105"/>
      <c r="O3808" s="11"/>
      <c r="P3808" s="11"/>
      <c r="Q3808" s="105"/>
      <c r="R3808" s="105"/>
      <c r="S3808" s="105"/>
      <c r="T3808" s="105"/>
      <c r="U3808" s="105"/>
      <c r="V3808" s="105"/>
      <c r="W3808" s="105"/>
      <c r="X3808" s="11"/>
      <c r="Y3808" s="11"/>
      <c r="Z3808" s="105"/>
      <c r="AA3808" s="11"/>
      <c r="AB3808" s="11"/>
      <c r="AC3808" s="105"/>
      <c r="AD3808" s="11" t="b">
        <v>0</v>
      </c>
      <c r="AE3808" s="105"/>
      <c r="AF3808" s="11"/>
      <c r="AG3808" s="11"/>
      <c r="AH3808" s="11"/>
      <c r="AI3808" s="11"/>
    </row>
    <row r="3809" ht="12.5" spans="3:35">
      <c r="C3809" s="19"/>
      <c r="D3809" s="19"/>
      <c r="H3809" s="105"/>
      <c r="I3809" s="126"/>
      <c r="J3809" s="11"/>
      <c r="K3809" s="108"/>
      <c r="L3809" s="11"/>
      <c r="M3809" s="105"/>
      <c r="N3809" s="105"/>
      <c r="O3809" s="11"/>
      <c r="P3809" s="11"/>
      <c r="Q3809" s="105"/>
      <c r="R3809" s="105"/>
      <c r="S3809" s="105"/>
      <c r="T3809" s="105"/>
      <c r="U3809" s="105"/>
      <c r="V3809" s="105"/>
      <c r="W3809" s="105"/>
      <c r="X3809" s="11"/>
      <c r="Y3809" s="11"/>
      <c r="Z3809" s="105"/>
      <c r="AA3809" s="11"/>
      <c r="AB3809" s="11"/>
      <c r="AC3809" s="105"/>
      <c r="AD3809" s="11" t="b">
        <v>0</v>
      </c>
      <c r="AE3809" s="105"/>
      <c r="AF3809" s="11"/>
      <c r="AG3809" s="11"/>
      <c r="AH3809" s="11"/>
      <c r="AI3809" s="11"/>
    </row>
    <row r="3810" ht="12.5" spans="3:35">
      <c r="C3810" s="19"/>
      <c r="D3810" s="19"/>
      <c r="H3810" s="105"/>
      <c r="I3810" s="126"/>
      <c r="J3810" s="11"/>
      <c r="K3810" s="108"/>
      <c r="L3810" s="11"/>
      <c r="M3810" s="105"/>
      <c r="N3810" s="105"/>
      <c r="O3810" s="11"/>
      <c r="P3810" s="11"/>
      <c r="Q3810" s="105"/>
      <c r="R3810" s="105"/>
      <c r="S3810" s="105"/>
      <c r="T3810" s="105"/>
      <c r="U3810" s="105"/>
      <c r="V3810" s="105"/>
      <c r="W3810" s="105"/>
      <c r="X3810" s="11"/>
      <c r="Y3810" s="11"/>
      <c r="Z3810" s="105"/>
      <c r="AA3810" s="11"/>
      <c r="AB3810" s="11"/>
      <c r="AC3810" s="105"/>
      <c r="AD3810" s="11" t="b">
        <v>0</v>
      </c>
      <c r="AE3810" s="105"/>
      <c r="AF3810" s="11"/>
      <c r="AG3810" s="11"/>
      <c r="AH3810" s="11"/>
      <c r="AI3810" s="11"/>
    </row>
    <row r="3811" ht="12.5" spans="3:35">
      <c r="C3811" s="19"/>
      <c r="D3811" s="19"/>
      <c r="H3811" s="105"/>
      <c r="I3811" s="126"/>
      <c r="J3811" s="11"/>
      <c r="K3811" s="108"/>
      <c r="L3811" s="11"/>
      <c r="M3811" s="105"/>
      <c r="N3811" s="105"/>
      <c r="O3811" s="11"/>
      <c r="P3811" s="11"/>
      <c r="Q3811" s="105"/>
      <c r="R3811" s="105"/>
      <c r="S3811" s="105"/>
      <c r="T3811" s="105"/>
      <c r="U3811" s="105"/>
      <c r="V3811" s="105"/>
      <c r="W3811" s="105"/>
      <c r="X3811" s="11"/>
      <c r="Y3811" s="11"/>
      <c r="Z3811" s="105"/>
      <c r="AA3811" s="11"/>
      <c r="AB3811" s="11"/>
      <c r="AC3811" s="105"/>
      <c r="AD3811" s="11" t="b">
        <v>0</v>
      </c>
      <c r="AE3811" s="105"/>
      <c r="AF3811" s="11"/>
      <c r="AG3811" s="11"/>
      <c r="AH3811" s="11"/>
      <c r="AI3811" s="11"/>
    </row>
    <row r="3812" ht="12.5" spans="3:35">
      <c r="C3812" s="19"/>
      <c r="D3812" s="19"/>
      <c r="H3812" s="105"/>
      <c r="I3812" s="126"/>
      <c r="J3812" s="11"/>
      <c r="K3812" s="108"/>
      <c r="L3812" s="11"/>
      <c r="M3812" s="105"/>
      <c r="N3812" s="105"/>
      <c r="O3812" s="11"/>
      <c r="P3812" s="11"/>
      <c r="Q3812" s="105"/>
      <c r="R3812" s="105"/>
      <c r="S3812" s="105"/>
      <c r="T3812" s="105"/>
      <c r="U3812" s="105"/>
      <c r="V3812" s="105"/>
      <c r="W3812" s="105"/>
      <c r="X3812" s="11"/>
      <c r="Y3812" s="11"/>
      <c r="Z3812" s="105"/>
      <c r="AA3812" s="11"/>
      <c r="AB3812" s="11"/>
      <c r="AC3812" s="105"/>
      <c r="AD3812" s="11" t="b">
        <v>0</v>
      </c>
      <c r="AE3812" s="105"/>
      <c r="AF3812" s="11"/>
      <c r="AG3812" s="11"/>
      <c r="AH3812" s="11"/>
      <c r="AI3812" s="11"/>
    </row>
    <row r="3813" ht="12.5" spans="3:35">
      <c r="C3813" s="19"/>
      <c r="D3813" s="19"/>
      <c r="H3813" s="105"/>
      <c r="I3813" s="126"/>
      <c r="J3813" s="11"/>
      <c r="K3813" s="108"/>
      <c r="L3813" s="11"/>
      <c r="M3813" s="105"/>
      <c r="N3813" s="105"/>
      <c r="O3813" s="11"/>
      <c r="P3813" s="11"/>
      <c r="Q3813" s="105"/>
      <c r="R3813" s="105"/>
      <c r="S3813" s="105"/>
      <c r="T3813" s="105"/>
      <c r="U3813" s="105"/>
      <c r="V3813" s="105"/>
      <c r="W3813" s="105"/>
      <c r="X3813" s="11"/>
      <c r="Y3813" s="11"/>
      <c r="Z3813" s="105"/>
      <c r="AA3813" s="11"/>
      <c r="AB3813" s="11"/>
      <c r="AC3813" s="105"/>
      <c r="AD3813" s="11" t="b">
        <v>0</v>
      </c>
      <c r="AE3813" s="105"/>
      <c r="AF3813" s="11"/>
      <c r="AG3813" s="11"/>
      <c r="AH3813" s="11"/>
      <c r="AI3813" s="11"/>
    </row>
    <row r="3814" ht="12.5" spans="3:35">
      <c r="C3814" s="19"/>
      <c r="D3814" s="19"/>
      <c r="H3814" s="105"/>
      <c r="I3814" s="126"/>
      <c r="J3814" s="11"/>
      <c r="K3814" s="108"/>
      <c r="L3814" s="11"/>
      <c r="M3814" s="105"/>
      <c r="N3814" s="105"/>
      <c r="O3814" s="11"/>
      <c r="P3814" s="11"/>
      <c r="Q3814" s="105"/>
      <c r="R3814" s="105"/>
      <c r="S3814" s="105"/>
      <c r="T3814" s="105"/>
      <c r="U3814" s="105"/>
      <c r="V3814" s="105"/>
      <c r="W3814" s="105"/>
      <c r="X3814" s="11"/>
      <c r="Y3814" s="11"/>
      <c r="Z3814" s="105"/>
      <c r="AA3814" s="11"/>
      <c r="AB3814" s="11"/>
      <c r="AC3814" s="105"/>
      <c r="AD3814" s="11" t="b">
        <v>0</v>
      </c>
      <c r="AE3814" s="105"/>
      <c r="AF3814" s="11"/>
      <c r="AG3814" s="11"/>
      <c r="AH3814" s="11"/>
      <c r="AI3814" s="11"/>
    </row>
    <row r="3815" ht="12.5" spans="3:35">
      <c r="C3815" s="19"/>
      <c r="D3815" s="19"/>
      <c r="H3815" s="105"/>
      <c r="I3815" s="126"/>
      <c r="J3815" s="11"/>
      <c r="K3815" s="108"/>
      <c r="L3815" s="11"/>
      <c r="M3815" s="105"/>
      <c r="N3815" s="105"/>
      <c r="O3815" s="11"/>
      <c r="P3815" s="11"/>
      <c r="Q3815" s="105"/>
      <c r="R3815" s="105"/>
      <c r="S3815" s="105"/>
      <c r="T3815" s="105"/>
      <c r="U3815" s="105"/>
      <c r="V3815" s="105"/>
      <c r="W3815" s="105"/>
      <c r="X3815" s="11"/>
      <c r="Y3815" s="11"/>
      <c r="Z3815" s="105"/>
      <c r="AA3815" s="11"/>
      <c r="AB3815" s="11"/>
      <c r="AC3815" s="105"/>
      <c r="AD3815" s="11" t="b">
        <v>0</v>
      </c>
      <c r="AE3815" s="105"/>
      <c r="AF3815" s="11"/>
      <c r="AG3815" s="11"/>
      <c r="AH3815" s="11"/>
      <c r="AI3815" s="11"/>
    </row>
    <row r="3816" ht="12.5" spans="3:35">
      <c r="C3816" s="19"/>
      <c r="D3816" s="19"/>
      <c r="H3816" s="105"/>
      <c r="I3816" s="126"/>
      <c r="J3816" s="11"/>
      <c r="K3816" s="108"/>
      <c r="L3816" s="11"/>
      <c r="M3816" s="105"/>
      <c r="N3816" s="105"/>
      <c r="O3816" s="11"/>
      <c r="P3816" s="11"/>
      <c r="Q3816" s="105"/>
      <c r="R3816" s="105"/>
      <c r="S3816" s="105"/>
      <c r="T3816" s="105"/>
      <c r="U3816" s="105"/>
      <c r="V3816" s="105"/>
      <c r="W3816" s="105"/>
      <c r="X3816" s="11"/>
      <c r="Y3816" s="11"/>
      <c r="Z3816" s="105"/>
      <c r="AA3816" s="11"/>
      <c r="AB3816" s="11"/>
      <c r="AC3816" s="105"/>
      <c r="AD3816" s="11" t="b">
        <v>0</v>
      </c>
      <c r="AE3816" s="105"/>
      <c r="AF3816" s="11"/>
      <c r="AG3816" s="11"/>
      <c r="AH3816" s="11"/>
      <c r="AI3816" s="11"/>
    </row>
    <row r="3817" ht="12.5" spans="3:35">
      <c r="C3817" s="19"/>
      <c r="D3817" s="19"/>
      <c r="H3817" s="105"/>
      <c r="I3817" s="126"/>
      <c r="J3817" s="11"/>
      <c r="K3817" s="108"/>
      <c r="L3817" s="11"/>
      <c r="M3817" s="105"/>
      <c r="N3817" s="105"/>
      <c r="O3817" s="11"/>
      <c r="P3817" s="11"/>
      <c r="Q3817" s="105"/>
      <c r="R3817" s="105"/>
      <c r="S3817" s="105"/>
      <c r="T3817" s="105"/>
      <c r="U3817" s="105"/>
      <c r="V3817" s="105"/>
      <c r="W3817" s="105"/>
      <c r="X3817" s="11"/>
      <c r="Y3817" s="11"/>
      <c r="Z3817" s="105"/>
      <c r="AA3817" s="11"/>
      <c r="AB3817" s="11"/>
      <c r="AC3817" s="105"/>
      <c r="AD3817" s="11" t="b">
        <v>0</v>
      </c>
      <c r="AE3817" s="105"/>
      <c r="AF3817" s="11"/>
      <c r="AG3817" s="11"/>
      <c r="AH3817" s="11"/>
      <c r="AI3817" s="11"/>
    </row>
    <row r="3818" ht="12.5" spans="3:35">
      <c r="C3818" s="19"/>
      <c r="D3818" s="19"/>
      <c r="H3818" s="105"/>
      <c r="I3818" s="126"/>
      <c r="J3818" s="11"/>
      <c r="K3818" s="108"/>
      <c r="L3818" s="11"/>
      <c r="M3818" s="105"/>
      <c r="N3818" s="105"/>
      <c r="O3818" s="11"/>
      <c r="P3818" s="11"/>
      <c r="Q3818" s="105"/>
      <c r="R3818" s="105"/>
      <c r="S3818" s="105"/>
      <c r="T3818" s="105"/>
      <c r="U3818" s="105"/>
      <c r="V3818" s="105"/>
      <c r="W3818" s="105"/>
      <c r="X3818" s="11"/>
      <c r="Y3818" s="11"/>
      <c r="Z3818" s="105"/>
      <c r="AA3818" s="11"/>
      <c r="AB3818" s="11"/>
      <c r="AC3818" s="105"/>
      <c r="AD3818" s="11" t="b">
        <v>0</v>
      </c>
      <c r="AE3818" s="105"/>
      <c r="AF3818" s="11"/>
      <c r="AG3818" s="11"/>
      <c r="AH3818" s="11"/>
      <c r="AI3818" s="11"/>
    </row>
    <row r="3819" ht="12.5" spans="3:35">
      <c r="C3819" s="19"/>
      <c r="D3819" s="19"/>
      <c r="H3819" s="105"/>
      <c r="I3819" s="126"/>
      <c r="J3819" s="11"/>
      <c r="K3819" s="108"/>
      <c r="L3819" s="11"/>
      <c r="M3819" s="105"/>
      <c r="N3819" s="105"/>
      <c r="O3819" s="11"/>
      <c r="P3819" s="11"/>
      <c r="Q3819" s="105"/>
      <c r="R3819" s="105"/>
      <c r="S3819" s="105"/>
      <c r="T3819" s="105"/>
      <c r="U3819" s="105"/>
      <c r="V3819" s="105"/>
      <c r="W3819" s="105"/>
      <c r="X3819" s="11"/>
      <c r="Y3819" s="11"/>
      <c r="Z3819" s="105"/>
      <c r="AA3819" s="11"/>
      <c r="AB3819" s="11"/>
      <c r="AC3819" s="105"/>
      <c r="AD3819" s="11" t="b">
        <v>0</v>
      </c>
      <c r="AE3819" s="105"/>
      <c r="AF3819" s="11"/>
      <c r="AG3819" s="11"/>
      <c r="AH3819" s="11"/>
      <c r="AI3819" s="11"/>
    </row>
    <row r="3820" ht="12.5" spans="3:35">
      <c r="C3820" s="19"/>
      <c r="D3820" s="19"/>
      <c r="H3820" s="105"/>
      <c r="I3820" s="126"/>
      <c r="J3820" s="11"/>
      <c r="K3820" s="108"/>
      <c r="L3820" s="11"/>
      <c r="M3820" s="105"/>
      <c r="N3820" s="105"/>
      <c r="O3820" s="11"/>
      <c r="P3820" s="11"/>
      <c r="Q3820" s="105"/>
      <c r="R3820" s="105"/>
      <c r="S3820" s="105"/>
      <c r="T3820" s="105"/>
      <c r="U3820" s="105"/>
      <c r="V3820" s="105"/>
      <c r="W3820" s="105"/>
      <c r="X3820" s="11"/>
      <c r="Y3820" s="11"/>
      <c r="Z3820" s="105"/>
      <c r="AA3820" s="11"/>
      <c r="AB3820" s="11"/>
      <c r="AC3820" s="105"/>
      <c r="AD3820" s="11" t="b">
        <v>0</v>
      </c>
      <c r="AE3820" s="105"/>
      <c r="AF3820" s="11"/>
      <c r="AG3820" s="11"/>
      <c r="AH3820" s="11"/>
      <c r="AI3820" s="11"/>
    </row>
    <row r="3821" ht="12.5" spans="3:35">
      <c r="C3821" s="19"/>
      <c r="D3821" s="19"/>
      <c r="H3821" s="105"/>
      <c r="I3821" s="126"/>
      <c r="J3821" s="11"/>
      <c r="K3821" s="108"/>
      <c r="L3821" s="11"/>
      <c r="M3821" s="105"/>
      <c r="N3821" s="105"/>
      <c r="O3821" s="11"/>
      <c r="P3821" s="11"/>
      <c r="Q3821" s="105"/>
      <c r="R3821" s="105"/>
      <c r="S3821" s="105"/>
      <c r="T3821" s="105"/>
      <c r="U3821" s="105"/>
      <c r="V3821" s="105"/>
      <c r="W3821" s="105"/>
      <c r="X3821" s="11"/>
      <c r="Y3821" s="11"/>
      <c r="Z3821" s="105"/>
      <c r="AA3821" s="11"/>
      <c r="AB3821" s="11"/>
      <c r="AC3821" s="105"/>
      <c r="AD3821" s="11" t="b">
        <v>0</v>
      </c>
      <c r="AE3821" s="105"/>
      <c r="AF3821" s="11"/>
      <c r="AG3821" s="11"/>
      <c r="AH3821" s="11"/>
      <c r="AI3821" s="11"/>
    </row>
    <row r="3822" ht="12.5" spans="3:35">
      <c r="C3822" s="19"/>
      <c r="D3822" s="19"/>
      <c r="H3822" s="105"/>
      <c r="I3822" s="126"/>
      <c r="J3822" s="11"/>
      <c r="K3822" s="108"/>
      <c r="L3822" s="11"/>
      <c r="M3822" s="105"/>
      <c r="N3822" s="105"/>
      <c r="O3822" s="11"/>
      <c r="P3822" s="11"/>
      <c r="Q3822" s="105"/>
      <c r="R3822" s="105"/>
      <c r="S3822" s="105"/>
      <c r="T3822" s="105"/>
      <c r="U3822" s="105"/>
      <c r="V3822" s="105"/>
      <c r="W3822" s="105"/>
      <c r="X3822" s="11"/>
      <c r="Y3822" s="11"/>
      <c r="Z3822" s="105"/>
      <c r="AA3822" s="11"/>
      <c r="AB3822" s="11"/>
      <c r="AC3822" s="105"/>
      <c r="AD3822" s="11" t="b">
        <v>0</v>
      </c>
      <c r="AE3822" s="105"/>
      <c r="AF3822" s="11"/>
      <c r="AG3822" s="11"/>
      <c r="AH3822" s="11"/>
      <c r="AI3822" s="11"/>
    </row>
    <row r="3823" ht="12.5" spans="3:35">
      <c r="C3823" s="19"/>
      <c r="D3823" s="19"/>
      <c r="H3823" s="105"/>
      <c r="I3823" s="126"/>
      <c r="J3823" s="11"/>
      <c r="K3823" s="108"/>
      <c r="L3823" s="11"/>
      <c r="M3823" s="105"/>
      <c r="N3823" s="105"/>
      <c r="O3823" s="11"/>
      <c r="P3823" s="11"/>
      <c r="Q3823" s="105"/>
      <c r="R3823" s="105"/>
      <c r="S3823" s="105"/>
      <c r="T3823" s="105"/>
      <c r="U3823" s="105"/>
      <c r="V3823" s="105"/>
      <c r="W3823" s="105"/>
      <c r="X3823" s="11"/>
      <c r="Y3823" s="11"/>
      <c r="Z3823" s="105"/>
      <c r="AA3823" s="11"/>
      <c r="AB3823" s="11"/>
      <c r="AC3823" s="105"/>
      <c r="AD3823" s="11" t="b">
        <v>0</v>
      </c>
      <c r="AE3823" s="105"/>
      <c r="AF3823" s="11"/>
      <c r="AG3823" s="11"/>
      <c r="AH3823" s="11"/>
      <c r="AI3823" s="11"/>
    </row>
    <row r="3824" ht="12.5" spans="3:35">
      <c r="C3824" s="19"/>
      <c r="D3824" s="19"/>
      <c r="H3824" s="105"/>
      <c r="I3824" s="126"/>
      <c r="J3824" s="11"/>
      <c r="K3824" s="108"/>
      <c r="L3824" s="11"/>
      <c r="M3824" s="105"/>
      <c r="N3824" s="105"/>
      <c r="O3824" s="11"/>
      <c r="P3824" s="11"/>
      <c r="Q3824" s="105"/>
      <c r="R3824" s="105"/>
      <c r="S3824" s="105"/>
      <c r="T3824" s="105"/>
      <c r="U3824" s="105"/>
      <c r="V3824" s="105"/>
      <c r="W3824" s="105"/>
      <c r="X3824" s="11"/>
      <c r="Y3824" s="11"/>
      <c r="Z3824" s="105"/>
      <c r="AA3824" s="11"/>
      <c r="AB3824" s="11"/>
      <c r="AC3824" s="105"/>
      <c r="AD3824" s="11" t="b">
        <v>0</v>
      </c>
      <c r="AE3824" s="105"/>
      <c r="AF3824" s="11"/>
      <c r="AG3824" s="11"/>
      <c r="AH3824" s="11"/>
      <c r="AI3824" s="11"/>
    </row>
    <row r="3825" ht="12.5" spans="3:35">
      <c r="C3825" s="19"/>
      <c r="D3825" s="19"/>
      <c r="H3825" s="105"/>
      <c r="I3825" s="126"/>
      <c r="J3825" s="11"/>
      <c r="K3825" s="108"/>
      <c r="L3825" s="11"/>
      <c r="M3825" s="105"/>
      <c r="N3825" s="105"/>
      <c r="O3825" s="11"/>
      <c r="P3825" s="11"/>
      <c r="Q3825" s="105"/>
      <c r="R3825" s="105"/>
      <c r="S3825" s="105"/>
      <c r="T3825" s="105"/>
      <c r="U3825" s="105"/>
      <c r="V3825" s="105"/>
      <c r="W3825" s="105"/>
      <c r="X3825" s="11"/>
      <c r="Y3825" s="11"/>
      <c r="Z3825" s="105"/>
      <c r="AA3825" s="11"/>
      <c r="AB3825" s="11"/>
      <c r="AC3825" s="105"/>
      <c r="AD3825" s="11" t="b">
        <v>0</v>
      </c>
      <c r="AE3825" s="105"/>
      <c r="AF3825" s="11"/>
      <c r="AG3825" s="11"/>
      <c r="AH3825" s="11"/>
      <c r="AI3825" s="11"/>
    </row>
    <row r="3826" ht="12.5" spans="3:35">
      <c r="C3826" s="19"/>
      <c r="D3826" s="19"/>
      <c r="H3826" s="105"/>
      <c r="I3826" s="126"/>
      <c r="J3826" s="11"/>
      <c r="K3826" s="108"/>
      <c r="L3826" s="11"/>
      <c r="M3826" s="105"/>
      <c r="N3826" s="105"/>
      <c r="O3826" s="11"/>
      <c r="P3826" s="11"/>
      <c r="Q3826" s="105"/>
      <c r="R3826" s="105"/>
      <c r="S3826" s="105"/>
      <c r="T3826" s="105"/>
      <c r="U3826" s="105"/>
      <c r="V3826" s="105"/>
      <c r="W3826" s="105"/>
      <c r="X3826" s="11"/>
      <c r="Y3826" s="11"/>
      <c r="Z3826" s="105"/>
      <c r="AA3826" s="11"/>
      <c r="AB3826" s="11"/>
      <c r="AC3826" s="105"/>
      <c r="AD3826" s="11" t="b">
        <v>0</v>
      </c>
      <c r="AE3826" s="105"/>
      <c r="AF3826" s="11"/>
      <c r="AG3826" s="11"/>
      <c r="AH3826" s="11"/>
      <c r="AI3826" s="11"/>
    </row>
    <row r="3827" ht="12.5" spans="3:35">
      <c r="C3827" s="19"/>
      <c r="D3827" s="19"/>
      <c r="H3827" s="105"/>
      <c r="I3827" s="126"/>
      <c r="J3827" s="11"/>
      <c r="K3827" s="108"/>
      <c r="L3827" s="11"/>
      <c r="M3827" s="105"/>
      <c r="N3827" s="105"/>
      <c r="O3827" s="11"/>
      <c r="P3827" s="11"/>
      <c r="Q3827" s="105"/>
      <c r="R3827" s="105"/>
      <c r="S3827" s="105"/>
      <c r="T3827" s="105"/>
      <c r="U3827" s="105"/>
      <c r="V3827" s="105"/>
      <c r="W3827" s="105"/>
      <c r="X3827" s="11"/>
      <c r="Y3827" s="11"/>
      <c r="Z3827" s="105"/>
      <c r="AA3827" s="11"/>
      <c r="AB3827" s="11"/>
      <c r="AC3827" s="105"/>
      <c r="AD3827" s="11" t="b">
        <v>0</v>
      </c>
      <c r="AE3827" s="105"/>
      <c r="AF3827" s="11"/>
      <c r="AG3827" s="11"/>
      <c r="AH3827" s="11"/>
      <c r="AI3827" s="11"/>
    </row>
    <row r="3828" ht="12.5" spans="3:35">
      <c r="C3828" s="19"/>
      <c r="D3828" s="19"/>
      <c r="H3828" s="105"/>
      <c r="I3828" s="126"/>
      <c r="J3828" s="11"/>
      <c r="K3828" s="108"/>
      <c r="L3828" s="11"/>
      <c r="M3828" s="105"/>
      <c r="N3828" s="105"/>
      <c r="O3828" s="11"/>
      <c r="P3828" s="11"/>
      <c r="Q3828" s="105"/>
      <c r="R3828" s="105"/>
      <c r="S3828" s="105"/>
      <c r="T3828" s="105"/>
      <c r="U3828" s="105"/>
      <c r="V3828" s="105"/>
      <c r="W3828" s="105"/>
      <c r="X3828" s="11"/>
      <c r="Y3828" s="11"/>
      <c r="Z3828" s="105"/>
      <c r="AA3828" s="11"/>
      <c r="AB3828" s="11"/>
      <c r="AC3828" s="105"/>
      <c r="AD3828" s="11" t="b">
        <v>0</v>
      </c>
      <c r="AE3828" s="105"/>
      <c r="AF3828" s="11"/>
      <c r="AG3828" s="11"/>
      <c r="AH3828" s="11"/>
      <c r="AI3828" s="11"/>
    </row>
    <row r="3829" ht="12.5" spans="3:35">
      <c r="C3829" s="19"/>
      <c r="D3829" s="19"/>
      <c r="H3829" s="105"/>
      <c r="I3829" s="126"/>
      <c r="J3829" s="11"/>
      <c r="K3829" s="108"/>
      <c r="L3829" s="11"/>
      <c r="M3829" s="105"/>
      <c r="N3829" s="105"/>
      <c r="O3829" s="11"/>
      <c r="P3829" s="11"/>
      <c r="Q3829" s="105"/>
      <c r="R3829" s="105"/>
      <c r="S3829" s="105"/>
      <c r="T3829" s="105"/>
      <c r="U3829" s="105"/>
      <c r="V3829" s="105"/>
      <c r="W3829" s="105"/>
      <c r="X3829" s="11"/>
      <c r="Y3829" s="11"/>
      <c r="Z3829" s="105"/>
      <c r="AA3829" s="11"/>
      <c r="AB3829" s="11"/>
      <c r="AC3829" s="105"/>
      <c r="AD3829" s="11" t="b">
        <v>0</v>
      </c>
      <c r="AE3829" s="105"/>
      <c r="AF3829" s="11"/>
      <c r="AG3829" s="11"/>
      <c r="AH3829" s="11"/>
      <c r="AI3829" s="11"/>
    </row>
    <row r="3830" ht="12.5" spans="3:35">
      <c r="C3830" s="19"/>
      <c r="D3830" s="19"/>
      <c r="H3830" s="105"/>
      <c r="I3830" s="126"/>
      <c r="J3830" s="11"/>
      <c r="K3830" s="108"/>
      <c r="L3830" s="11"/>
      <c r="M3830" s="105"/>
      <c r="N3830" s="105"/>
      <c r="O3830" s="11"/>
      <c r="P3830" s="11"/>
      <c r="Q3830" s="105"/>
      <c r="R3830" s="105"/>
      <c r="S3830" s="105"/>
      <c r="T3830" s="105"/>
      <c r="U3830" s="105"/>
      <c r="V3830" s="105"/>
      <c r="W3830" s="105"/>
      <c r="X3830" s="11"/>
      <c r="Y3830" s="11"/>
      <c r="Z3830" s="105"/>
      <c r="AA3830" s="11"/>
      <c r="AB3830" s="11"/>
      <c r="AC3830" s="105"/>
      <c r="AD3830" s="11" t="b">
        <v>0</v>
      </c>
      <c r="AE3830" s="105"/>
      <c r="AF3830" s="11"/>
      <c r="AG3830" s="11"/>
      <c r="AH3830" s="11"/>
      <c r="AI3830" s="11"/>
    </row>
    <row r="3831" ht="12.5" spans="3:35">
      <c r="C3831" s="19"/>
      <c r="D3831" s="19"/>
      <c r="H3831" s="105"/>
      <c r="I3831" s="126"/>
      <c r="J3831" s="11"/>
      <c r="K3831" s="108"/>
      <c r="L3831" s="11"/>
      <c r="M3831" s="105"/>
      <c r="N3831" s="105"/>
      <c r="O3831" s="11"/>
      <c r="P3831" s="11"/>
      <c r="Q3831" s="105"/>
      <c r="R3831" s="105"/>
      <c r="S3831" s="105"/>
      <c r="T3831" s="105"/>
      <c r="U3831" s="105"/>
      <c r="V3831" s="105"/>
      <c r="W3831" s="105"/>
      <c r="X3831" s="11"/>
      <c r="Y3831" s="11"/>
      <c r="Z3831" s="105"/>
      <c r="AA3831" s="11"/>
      <c r="AB3831" s="11"/>
      <c r="AC3831" s="105"/>
      <c r="AD3831" s="11" t="b">
        <v>0</v>
      </c>
      <c r="AE3831" s="105"/>
      <c r="AF3831" s="11"/>
      <c r="AG3831" s="11"/>
      <c r="AH3831" s="11"/>
      <c r="AI3831" s="11"/>
    </row>
    <row r="3832" ht="12.5" spans="3:35">
      <c r="C3832" s="19"/>
      <c r="D3832" s="19"/>
      <c r="H3832" s="105"/>
      <c r="I3832" s="126"/>
      <c r="J3832" s="11"/>
      <c r="K3832" s="108"/>
      <c r="L3832" s="11"/>
      <c r="M3832" s="105"/>
      <c r="N3832" s="105"/>
      <c r="O3832" s="11"/>
      <c r="P3832" s="11"/>
      <c r="Q3832" s="105"/>
      <c r="R3832" s="105"/>
      <c r="S3832" s="105"/>
      <c r="T3832" s="105"/>
      <c r="U3832" s="105"/>
      <c r="V3832" s="105"/>
      <c r="W3832" s="105"/>
      <c r="X3832" s="11"/>
      <c r="Y3832" s="11"/>
      <c r="Z3832" s="105"/>
      <c r="AA3832" s="11"/>
      <c r="AB3832" s="11"/>
      <c r="AC3832" s="105"/>
      <c r="AD3832" s="11" t="b">
        <v>0</v>
      </c>
      <c r="AE3832" s="105"/>
      <c r="AF3832" s="11"/>
      <c r="AG3832" s="11"/>
      <c r="AH3832" s="11"/>
      <c r="AI3832" s="11"/>
    </row>
    <row r="3833" ht="12.5" spans="3:35">
      <c r="C3833" s="19"/>
      <c r="D3833" s="19"/>
      <c r="H3833" s="105"/>
      <c r="I3833" s="126"/>
      <c r="J3833" s="11"/>
      <c r="K3833" s="108"/>
      <c r="L3833" s="11"/>
      <c r="M3833" s="105"/>
      <c r="N3833" s="105"/>
      <c r="O3833" s="11"/>
      <c r="P3833" s="11"/>
      <c r="Q3833" s="105"/>
      <c r="R3833" s="105"/>
      <c r="S3833" s="105"/>
      <c r="T3833" s="105"/>
      <c r="U3833" s="105"/>
      <c r="V3833" s="105"/>
      <c r="W3833" s="105"/>
      <c r="X3833" s="11"/>
      <c r="Y3833" s="11"/>
      <c r="Z3833" s="105"/>
      <c r="AA3833" s="11"/>
      <c r="AB3833" s="11"/>
      <c r="AC3833" s="105"/>
      <c r="AD3833" s="11" t="b">
        <v>0</v>
      </c>
      <c r="AE3833" s="105"/>
      <c r="AF3833" s="11"/>
      <c r="AG3833" s="11"/>
      <c r="AH3833" s="11"/>
      <c r="AI3833" s="11"/>
    </row>
    <row r="3834" ht="12.5" spans="3:35">
      <c r="C3834" s="19"/>
      <c r="D3834" s="19"/>
      <c r="H3834" s="105"/>
      <c r="I3834" s="126"/>
      <c r="J3834" s="11"/>
      <c r="K3834" s="108"/>
      <c r="L3834" s="11"/>
      <c r="M3834" s="105"/>
      <c r="N3834" s="105"/>
      <c r="O3834" s="11"/>
      <c r="P3834" s="11"/>
      <c r="Q3834" s="105"/>
      <c r="R3834" s="105"/>
      <c r="S3834" s="105"/>
      <c r="T3834" s="105"/>
      <c r="U3834" s="105"/>
      <c r="V3834" s="105"/>
      <c r="W3834" s="105"/>
      <c r="X3834" s="11"/>
      <c r="Y3834" s="11"/>
      <c r="Z3834" s="105"/>
      <c r="AA3834" s="11"/>
      <c r="AB3834" s="11"/>
      <c r="AC3834" s="105"/>
      <c r="AD3834" s="11" t="b">
        <v>0</v>
      </c>
      <c r="AE3834" s="105"/>
      <c r="AF3834" s="11"/>
      <c r="AG3834" s="11"/>
      <c r="AH3834" s="11"/>
      <c r="AI3834" s="11"/>
    </row>
    <row r="3835" ht="12.5" spans="3:35">
      <c r="C3835" s="19"/>
      <c r="D3835" s="19"/>
      <c r="H3835" s="105"/>
      <c r="I3835" s="126"/>
      <c r="J3835" s="11"/>
      <c r="K3835" s="108"/>
      <c r="L3835" s="11"/>
      <c r="M3835" s="105"/>
      <c r="N3835" s="105"/>
      <c r="O3835" s="11"/>
      <c r="P3835" s="11"/>
      <c r="Q3835" s="105"/>
      <c r="R3835" s="105"/>
      <c r="S3835" s="105"/>
      <c r="T3835" s="105"/>
      <c r="U3835" s="105"/>
      <c r="V3835" s="105"/>
      <c r="W3835" s="105"/>
      <c r="X3835" s="11"/>
      <c r="Y3835" s="11"/>
      <c r="Z3835" s="105"/>
      <c r="AA3835" s="11"/>
      <c r="AB3835" s="11"/>
      <c r="AC3835" s="105"/>
      <c r="AD3835" s="11" t="b">
        <v>0</v>
      </c>
      <c r="AE3835" s="105"/>
      <c r="AF3835" s="11"/>
      <c r="AG3835" s="11"/>
      <c r="AH3835" s="11"/>
      <c r="AI3835" s="11"/>
    </row>
    <row r="3836" ht="12.5" spans="3:35">
      <c r="C3836" s="19"/>
      <c r="D3836" s="19"/>
      <c r="H3836" s="105"/>
      <c r="I3836" s="126"/>
      <c r="J3836" s="11"/>
      <c r="K3836" s="108"/>
      <c r="L3836" s="11"/>
      <c r="M3836" s="105"/>
      <c r="N3836" s="105"/>
      <c r="O3836" s="11"/>
      <c r="P3836" s="11"/>
      <c r="Q3836" s="105"/>
      <c r="R3836" s="105"/>
      <c r="S3836" s="105"/>
      <c r="T3836" s="105"/>
      <c r="U3836" s="105"/>
      <c r="V3836" s="105"/>
      <c r="W3836" s="105"/>
      <c r="X3836" s="11"/>
      <c r="Y3836" s="11"/>
      <c r="Z3836" s="105"/>
      <c r="AA3836" s="11"/>
      <c r="AB3836" s="11"/>
      <c r="AC3836" s="105"/>
      <c r="AD3836" s="11" t="b">
        <v>0</v>
      </c>
      <c r="AE3836" s="105"/>
      <c r="AF3836" s="11"/>
      <c r="AG3836" s="11"/>
      <c r="AH3836" s="11"/>
      <c r="AI3836" s="11"/>
    </row>
    <row r="3837" ht="12.5" spans="3:35">
      <c r="C3837" s="19"/>
      <c r="D3837" s="19"/>
      <c r="H3837" s="105"/>
      <c r="I3837" s="126"/>
      <c r="J3837" s="11"/>
      <c r="K3837" s="108"/>
      <c r="L3837" s="11"/>
      <c r="M3837" s="105"/>
      <c r="N3837" s="105"/>
      <c r="O3837" s="11"/>
      <c r="P3837" s="11"/>
      <c r="Q3837" s="105"/>
      <c r="R3837" s="105"/>
      <c r="S3837" s="105"/>
      <c r="T3837" s="105"/>
      <c r="U3837" s="105"/>
      <c r="V3837" s="105"/>
      <c r="W3837" s="105"/>
      <c r="X3837" s="11"/>
      <c r="Y3837" s="11"/>
      <c r="Z3837" s="105"/>
      <c r="AA3837" s="11"/>
      <c r="AB3837" s="11"/>
      <c r="AC3837" s="105"/>
      <c r="AD3837" s="11" t="b">
        <v>0</v>
      </c>
      <c r="AE3837" s="105"/>
      <c r="AF3837" s="11"/>
      <c r="AG3837" s="11"/>
      <c r="AH3837" s="11"/>
      <c r="AI3837" s="11"/>
    </row>
    <row r="3838" ht="12.5" spans="3:35">
      <c r="C3838" s="19"/>
      <c r="D3838" s="19"/>
      <c r="H3838" s="105"/>
      <c r="I3838" s="126"/>
      <c r="J3838" s="11"/>
      <c r="K3838" s="108"/>
      <c r="L3838" s="11"/>
      <c r="M3838" s="105"/>
      <c r="N3838" s="105"/>
      <c r="O3838" s="11"/>
      <c r="P3838" s="11"/>
      <c r="Q3838" s="105"/>
      <c r="R3838" s="105"/>
      <c r="S3838" s="105"/>
      <c r="T3838" s="105"/>
      <c r="U3838" s="105"/>
      <c r="V3838" s="105"/>
      <c r="W3838" s="105"/>
      <c r="X3838" s="11"/>
      <c r="Y3838" s="11"/>
      <c r="Z3838" s="105"/>
      <c r="AA3838" s="11"/>
      <c r="AB3838" s="11"/>
      <c r="AC3838" s="105"/>
      <c r="AD3838" s="11" t="b">
        <v>0</v>
      </c>
      <c r="AE3838" s="105"/>
      <c r="AF3838" s="11"/>
      <c r="AG3838" s="11"/>
      <c r="AH3838" s="11"/>
      <c r="AI3838" s="11"/>
    </row>
    <row r="3839" ht="12.5" spans="3:35">
      <c r="C3839" s="19"/>
      <c r="D3839" s="19"/>
      <c r="H3839" s="105"/>
      <c r="I3839" s="126"/>
      <c r="J3839" s="11"/>
      <c r="K3839" s="108"/>
      <c r="L3839" s="11"/>
      <c r="M3839" s="105"/>
      <c r="N3839" s="105"/>
      <c r="O3839" s="11"/>
      <c r="P3839" s="11"/>
      <c r="Q3839" s="105"/>
      <c r="R3839" s="105"/>
      <c r="S3839" s="105"/>
      <c r="T3839" s="105"/>
      <c r="U3839" s="105"/>
      <c r="V3839" s="105"/>
      <c r="W3839" s="105"/>
      <c r="X3839" s="11"/>
      <c r="Y3839" s="11"/>
      <c r="Z3839" s="105"/>
      <c r="AA3839" s="11"/>
      <c r="AB3839" s="11"/>
      <c r="AC3839" s="105"/>
      <c r="AD3839" s="11" t="b">
        <v>0</v>
      </c>
      <c r="AE3839" s="105"/>
      <c r="AF3839" s="11"/>
      <c r="AG3839" s="11"/>
      <c r="AH3839" s="11"/>
      <c r="AI3839" s="11"/>
    </row>
    <row r="3840" ht="12.5" spans="3:35">
      <c r="C3840" s="19"/>
      <c r="D3840" s="19"/>
      <c r="H3840" s="105"/>
      <c r="I3840" s="126"/>
      <c r="J3840" s="11"/>
      <c r="K3840" s="108"/>
      <c r="L3840" s="11"/>
      <c r="M3840" s="105"/>
      <c r="N3840" s="105"/>
      <c r="O3840" s="11"/>
      <c r="P3840" s="11"/>
      <c r="Q3840" s="105"/>
      <c r="R3840" s="105"/>
      <c r="S3840" s="105"/>
      <c r="T3840" s="105"/>
      <c r="U3840" s="105"/>
      <c r="V3840" s="105"/>
      <c r="W3840" s="105"/>
      <c r="X3840" s="11"/>
      <c r="Y3840" s="11"/>
      <c r="Z3840" s="105"/>
      <c r="AA3840" s="11"/>
      <c r="AB3840" s="11"/>
      <c r="AC3840" s="105"/>
      <c r="AD3840" s="11" t="b">
        <v>0</v>
      </c>
      <c r="AE3840" s="105"/>
      <c r="AF3840" s="11"/>
      <c r="AG3840" s="11"/>
      <c r="AH3840" s="11"/>
      <c r="AI3840" s="11"/>
    </row>
    <row r="3841" ht="12.5" spans="3:35">
      <c r="C3841" s="19"/>
      <c r="D3841" s="19"/>
      <c r="H3841" s="105"/>
      <c r="I3841" s="126"/>
      <c r="J3841" s="11"/>
      <c r="K3841" s="108"/>
      <c r="L3841" s="11"/>
      <c r="M3841" s="105"/>
      <c r="N3841" s="105"/>
      <c r="O3841" s="11"/>
      <c r="P3841" s="11"/>
      <c r="Q3841" s="105"/>
      <c r="R3841" s="105"/>
      <c r="S3841" s="105"/>
      <c r="T3841" s="105"/>
      <c r="U3841" s="105"/>
      <c r="V3841" s="105"/>
      <c r="W3841" s="105"/>
      <c r="X3841" s="11"/>
      <c r="Y3841" s="11"/>
      <c r="Z3841" s="105"/>
      <c r="AA3841" s="11"/>
      <c r="AB3841" s="11"/>
      <c r="AC3841" s="105"/>
      <c r="AD3841" s="11" t="b">
        <v>0</v>
      </c>
      <c r="AE3841" s="105"/>
      <c r="AF3841" s="11"/>
      <c r="AG3841" s="11"/>
      <c r="AH3841" s="11"/>
      <c r="AI3841" s="11"/>
    </row>
    <row r="3842" ht="12.5" spans="3:35">
      <c r="C3842" s="19"/>
      <c r="D3842" s="19"/>
      <c r="H3842" s="105"/>
      <c r="I3842" s="126"/>
      <c r="J3842" s="11"/>
      <c r="K3842" s="108"/>
      <c r="L3842" s="11"/>
      <c r="M3842" s="105"/>
      <c r="N3842" s="105"/>
      <c r="O3842" s="11"/>
      <c r="P3842" s="11"/>
      <c r="Q3842" s="105"/>
      <c r="R3842" s="105"/>
      <c r="S3842" s="105"/>
      <c r="T3842" s="105"/>
      <c r="U3842" s="105"/>
      <c r="V3842" s="105"/>
      <c r="W3842" s="105"/>
      <c r="X3842" s="11"/>
      <c r="Y3842" s="11"/>
      <c r="Z3842" s="105"/>
      <c r="AA3842" s="11"/>
      <c r="AB3842" s="11"/>
      <c r="AC3842" s="105"/>
      <c r="AD3842" s="11" t="b">
        <v>0</v>
      </c>
      <c r="AE3842" s="105"/>
      <c r="AF3842" s="11"/>
      <c r="AG3842" s="11"/>
      <c r="AH3842" s="11"/>
      <c r="AI3842" s="11"/>
    </row>
    <row r="3843" ht="12.5" spans="3:35">
      <c r="C3843" s="19"/>
      <c r="D3843" s="19"/>
      <c r="H3843" s="105"/>
      <c r="I3843" s="126"/>
      <c r="J3843" s="11"/>
      <c r="K3843" s="108"/>
      <c r="L3843" s="11"/>
      <c r="M3843" s="105"/>
      <c r="N3843" s="105"/>
      <c r="O3843" s="11"/>
      <c r="P3843" s="11"/>
      <c r="Q3843" s="105"/>
      <c r="R3843" s="105"/>
      <c r="S3843" s="105"/>
      <c r="T3843" s="105"/>
      <c r="U3843" s="105"/>
      <c r="V3843" s="105"/>
      <c r="W3843" s="105"/>
      <c r="X3843" s="11"/>
      <c r="Y3843" s="11"/>
      <c r="Z3843" s="105"/>
      <c r="AA3843" s="11"/>
      <c r="AB3843" s="11"/>
      <c r="AC3843" s="105"/>
      <c r="AD3843" s="11" t="b">
        <v>0</v>
      </c>
      <c r="AE3843" s="105"/>
      <c r="AF3843" s="11"/>
      <c r="AG3843" s="11"/>
      <c r="AH3843" s="11"/>
      <c r="AI3843" s="11"/>
    </row>
    <row r="3844" ht="12.5" spans="3:35">
      <c r="C3844" s="19"/>
      <c r="D3844" s="19"/>
      <c r="H3844" s="105"/>
      <c r="I3844" s="126"/>
      <c r="J3844" s="11"/>
      <c r="K3844" s="108"/>
      <c r="L3844" s="11"/>
      <c r="M3844" s="105"/>
      <c r="N3844" s="105"/>
      <c r="O3844" s="11"/>
      <c r="P3844" s="11"/>
      <c r="Q3844" s="105"/>
      <c r="R3844" s="105"/>
      <c r="S3844" s="105"/>
      <c r="T3844" s="105"/>
      <c r="U3844" s="105"/>
      <c r="V3844" s="105"/>
      <c r="W3844" s="105"/>
      <c r="X3844" s="11"/>
      <c r="Y3844" s="11"/>
      <c r="Z3844" s="105"/>
      <c r="AA3844" s="11"/>
      <c r="AB3844" s="11"/>
      <c r="AC3844" s="105"/>
      <c r="AD3844" s="11" t="b">
        <v>0</v>
      </c>
      <c r="AE3844" s="105"/>
      <c r="AF3844" s="11"/>
      <c r="AG3844" s="11"/>
      <c r="AH3844" s="11"/>
      <c r="AI3844" s="11"/>
    </row>
    <row r="3845" ht="12.5" spans="3:35">
      <c r="C3845" s="19"/>
      <c r="D3845" s="19"/>
      <c r="H3845" s="105"/>
      <c r="I3845" s="126"/>
      <c r="J3845" s="11"/>
      <c r="K3845" s="108"/>
      <c r="L3845" s="11"/>
      <c r="M3845" s="105"/>
      <c r="N3845" s="105"/>
      <c r="O3845" s="11"/>
      <c r="P3845" s="11"/>
      <c r="Q3845" s="105"/>
      <c r="R3845" s="105"/>
      <c r="S3845" s="105"/>
      <c r="T3845" s="105"/>
      <c r="U3845" s="105"/>
      <c r="V3845" s="105"/>
      <c r="W3845" s="105"/>
      <c r="X3845" s="11"/>
      <c r="Y3845" s="11"/>
      <c r="Z3845" s="105"/>
      <c r="AA3845" s="11"/>
      <c r="AB3845" s="11"/>
      <c r="AC3845" s="105"/>
      <c r="AD3845" s="11" t="b">
        <v>0</v>
      </c>
      <c r="AE3845" s="105"/>
      <c r="AF3845" s="11"/>
      <c r="AG3845" s="11"/>
      <c r="AH3845" s="11"/>
      <c r="AI3845" s="11"/>
    </row>
    <row r="3846" ht="12.5" spans="3:35">
      <c r="C3846" s="19"/>
      <c r="D3846" s="19"/>
      <c r="H3846" s="105"/>
      <c r="I3846" s="126"/>
      <c r="J3846" s="11"/>
      <c r="K3846" s="108"/>
      <c r="L3846" s="11"/>
      <c r="M3846" s="105"/>
      <c r="N3846" s="105"/>
      <c r="O3846" s="11"/>
      <c r="P3846" s="11"/>
      <c r="Q3846" s="105"/>
      <c r="R3846" s="105"/>
      <c r="S3846" s="105"/>
      <c r="T3846" s="105"/>
      <c r="U3846" s="105"/>
      <c r="V3846" s="105"/>
      <c r="W3846" s="105"/>
      <c r="X3846" s="11"/>
      <c r="Y3846" s="11"/>
      <c r="Z3846" s="105"/>
      <c r="AA3846" s="11"/>
      <c r="AB3846" s="11"/>
      <c r="AC3846" s="105"/>
      <c r="AD3846" s="11" t="b">
        <v>0</v>
      </c>
      <c r="AE3846" s="105"/>
      <c r="AF3846" s="11"/>
      <c r="AG3846" s="11"/>
      <c r="AH3846" s="11"/>
      <c r="AI3846" s="11"/>
    </row>
    <row r="3847" ht="12.5" spans="3:35">
      <c r="C3847" s="19"/>
      <c r="D3847" s="19"/>
      <c r="H3847" s="105"/>
      <c r="I3847" s="126"/>
      <c r="J3847" s="11"/>
      <c r="K3847" s="108"/>
      <c r="L3847" s="11"/>
      <c r="M3847" s="105"/>
      <c r="N3847" s="105"/>
      <c r="O3847" s="11"/>
      <c r="P3847" s="11"/>
      <c r="Q3847" s="105"/>
      <c r="R3847" s="105"/>
      <c r="S3847" s="105"/>
      <c r="T3847" s="105"/>
      <c r="U3847" s="105"/>
      <c r="V3847" s="105"/>
      <c r="W3847" s="105"/>
      <c r="X3847" s="11"/>
      <c r="Y3847" s="11"/>
      <c r="Z3847" s="105"/>
      <c r="AA3847" s="11"/>
      <c r="AB3847" s="11"/>
      <c r="AC3847" s="105"/>
      <c r="AD3847" s="11" t="b">
        <v>0</v>
      </c>
      <c r="AE3847" s="105"/>
      <c r="AF3847" s="11"/>
      <c r="AG3847" s="11"/>
      <c r="AH3847" s="11"/>
      <c r="AI3847" s="11"/>
    </row>
    <row r="3848" ht="12.5" spans="3:35">
      <c r="C3848" s="19"/>
      <c r="D3848" s="19"/>
      <c r="H3848" s="105"/>
      <c r="I3848" s="126"/>
      <c r="J3848" s="11"/>
      <c r="K3848" s="108"/>
      <c r="L3848" s="11"/>
      <c r="M3848" s="105"/>
      <c r="N3848" s="105"/>
      <c r="O3848" s="11"/>
      <c r="P3848" s="11"/>
      <c r="Q3848" s="105"/>
      <c r="R3848" s="105"/>
      <c r="S3848" s="105"/>
      <c r="T3848" s="105"/>
      <c r="U3848" s="105"/>
      <c r="V3848" s="105"/>
      <c r="W3848" s="105"/>
      <c r="X3848" s="11"/>
      <c r="Y3848" s="11"/>
      <c r="Z3848" s="105"/>
      <c r="AA3848" s="11"/>
      <c r="AB3848" s="11"/>
      <c r="AC3848" s="105"/>
      <c r="AD3848" s="11" t="b">
        <v>0</v>
      </c>
      <c r="AE3848" s="105"/>
      <c r="AF3848" s="11"/>
      <c r="AG3848" s="11"/>
      <c r="AH3848" s="11"/>
      <c r="AI3848" s="11"/>
    </row>
    <row r="3849" ht="12.5" spans="3:35">
      <c r="C3849" s="19"/>
      <c r="D3849" s="19"/>
      <c r="H3849" s="105"/>
      <c r="I3849" s="126"/>
      <c r="J3849" s="11"/>
      <c r="K3849" s="108"/>
      <c r="L3849" s="11"/>
      <c r="M3849" s="105"/>
      <c r="N3849" s="105"/>
      <c r="O3849" s="11"/>
      <c r="P3849" s="11"/>
      <c r="Q3849" s="105"/>
      <c r="R3849" s="105"/>
      <c r="S3849" s="105"/>
      <c r="T3849" s="105"/>
      <c r="U3849" s="105"/>
      <c r="V3849" s="105"/>
      <c r="W3849" s="105"/>
      <c r="X3849" s="11"/>
      <c r="Y3849" s="11"/>
      <c r="Z3849" s="105"/>
      <c r="AA3849" s="11"/>
      <c r="AB3849" s="11"/>
      <c r="AC3849" s="105"/>
      <c r="AD3849" s="11" t="b">
        <v>0</v>
      </c>
      <c r="AE3849" s="105"/>
      <c r="AF3849" s="11"/>
      <c r="AG3849" s="11"/>
      <c r="AH3849" s="11"/>
      <c r="AI3849" s="11"/>
    </row>
    <row r="3850" ht="12.5" spans="3:35">
      <c r="C3850" s="19"/>
      <c r="D3850" s="19"/>
      <c r="H3850" s="105"/>
      <c r="I3850" s="126"/>
      <c r="J3850" s="11"/>
      <c r="K3850" s="108"/>
      <c r="L3850" s="11"/>
      <c r="M3850" s="105"/>
      <c r="N3850" s="105"/>
      <c r="O3850" s="11"/>
      <c r="P3850" s="11"/>
      <c r="Q3850" s="105"/>
      <c r="R3850" s="105"/>
      <c r="S3850" s="105"/>
      <c r="T3850" s="105"/>
      <c r="U3850" s="105"/>
      <c r="V3850" s="105"/>
      <c r="W3850" s="105"/>
      <c r="X3850" s="11"/>
      <c r="Y3850" s="11"/>
      <c r="Z3850" s="105"/>
      <c r="AA3850" s="11"/>
      <c r="AB3850" s="11"/>
      <c r="AC3850" s="105"/>
      <c r="AD3850" s="11" t="b">
        <v>0</v>
      </c>
      <c r="AE3850" s="105"/>
      <c r="AF3850" s="11"/>
      <c r="AG3850" s="11"/>
      <c r="AH3850" s="11"/>
      <c r="AI3850" s="11"/>
    </row>
    <row r="3851" ht="12.5" spans="3:35">
      <c r="C3851" s="19"/>
      <c r="D3851" s="19"/>
      <c r="H3851" s="105"/>
      <c r="I3851" s="126"/>
      <c r="J3851" s="11"/>
      <c r="K3851" s="108"/>
      <c r="L3851" s="11"/>
      <c r="M3851" s="105"/>
      <c r="N3851" s="105"/>
      <c r="O3851" s="11"/>
      <c r="P3851" s="11"/>
      <c r="Q3851" s="105"/>
      <c r="R3851" s="105"/>
      <c r="S3851" s="105"/>
      <c r="T3851" s="105"/>
      <c r="U3851" s="105"/>
      <c r="V3851" s="105"/>
      <c r="W3851" s="105"/>
      <c r="X3851" s="11"/>
      <c r="Y3851" s="11"/>
      <c r="Z3851" s="105"/>
      <c r="AA3851" s="11"/>
      <c r="AB3851" s="11"/>
      <c r="AC3851" s="105"/>
      <c r="AD3851" s="11" t="b">
        <v>0</v>
      </c>
      <c r="AE3851" s="105"/>
      <c r="AF3851" s="11"/>
      <c r="AG3851" s="11"/>
      <c r="AH3851" s="11"/>
      <c r="AI3851" s="11"/>
    </row>
    <row r="3852" ht="12.5" spans="3:35">
      <c r="C3852" s="19"/>
      <c r="D3852" s="19"/>
      <c r="H3852" s="105"/>
      <c r="I3852" s="126"/>
      <c r="J3852" s="11"/>
      <c r="K3852" s="108"/>
      <c r="L3852" s="11"/>
      <c r="M3852" s="105"/>
      <c r="N3852" s="105"/>
      <c r="O3852" s="11"/>
      <c r="P3852" s="11"/>
      <c r="Q3852" s="105"/>
      <c r="R3852" s="105"/>
      <c r="S3852" s="105"/>
      <c r="T3852" s="105"/>
      <c r="U3852" s="105"/>
      <c r="V3852" s="105"/>
      <c r="W3852" s="105"/>
      <c r="X3852" s="11"/>
      <c r="Y3852" s="11"/>
      <c r="Z3852" s="105"/>
      <c r="AA3852" s="11"/>
      <c r="AB3852" s="11"/>
      <c r="AC3852" s="105"/>
      <c r="AD3852" s="11" t="b">
        <v>0</v>
      </c>
      <c r="AE3852" s="105"/>
      <c r="AF3852" s="11"/>
      <c r="AG3852" s="11"/>
      <c r="AH3852" s="11"/>
      <c r="AI3852" s="11"/>
    </row>
    <row r="3853" ht="12.5" spans="3:35">
      <c r="C3853" s="19"/>
      <c r="D3853" s="19"/>
      <c r="H3853" s="105"/>
      <c r="I3853" s="126"/>
      <c r="J3853" s="11"/>
      <c r="K3853" s="108"/>
      <c r="L3853" s="11"/>
      <c r="M3853" s="105"/>
      <c r="N3853" s="105"/>
      <c r="O3853" s="11"/>
      <c r="P3853" s="11"/>
      <c r="Q3853" s="105"/>
      <c r="R3853" s="105"/>
      <c r="S3853" s="105"/>
      <c r="T3853" s="105"/>
      <c r="U3853" s="105"/>
      <c r="V3853" s="105"/>
      <c r="W3853" s="105"/>
      <c r="X3853" s="11"/>
      <c r="Y3853" s="11"/>
      <c r="Z3853" s="105"/>
      <c r="AA3853" s="11"/>
      <c r="AB3853" s="11"/>
      <c r="AC3853" s="105"/>
      <c r="AD3853" s="11" t="b">
        <v>0</v>
      </c>
      <c r="AE3853" s="105"/>
      <c r="AF3853" s="11"/>
      <c r="AG3853" s="11"/>
      <c r="AH3853" s="11"/>
      <c r="AI3853" s="11"/>
    </row>
    <row r="3854" ht="12.5" spans="3:35">
      <c r="C3854" s="19"/>
      <c r="D3854" s="19"/>
      <c r="H3854" s="105"/>
      <c r="I3854" s="126"/>
      <c r="J3854" s="11"/>
      <c r="K3854" s="108"/>
      <c r="L3854" s="11"/>
      <c r="M3854" s="105"/>
      <c r="N3854" s="105"/>
      <c r="O3854" s="11"/>
      <c r="P3854" s="11"/>
      <c r="Q3854" s="105"/>
      <c r="R3854" s="105"/>
      <c r="S3854" s="105"/>
      <c r="T3854" s="105"/>
      <c r="U3854" s="105"/>
      <c r="V3854" s="105"/>
      <c r="W3854" s="105"/>
      <c r="X3854" s="11"/>
      <c r="Y3854" s="11"/>
      <c r="Z3854" s="105"/>
      <c r="AA3854" s="11"/>
      <c r="AB3854" s="11"/>
      <c r="AC3854" s="105"/>
      <c r="AD3854" s="11" t="b">
        <v>0</v>
      </c>
      <c r="AE3854" s="105"/>
      <c r="AF3854" s="11"/>
      <c r="AG3854" s="11"/>
      <c r="AH3854" s="11"/>
      <c r="AI3854" s="11"/>
    </row>
    <row r="3855" ht="12.5" spans="3:35">
      <c r="C3855" s="19"/>
      <c r="D3855" s="19"/>
      <c r="H3855" s="105"/>
      <c r="I3855" s="126"/>
      <c r="J3855" s="11"/>
      <c r="K3855" s="108"/>
      <c r="L3855" s="11"/>
      <c r="M3855" s="105"/>
      <c r="N3855" s="105"/>
      <c r="O3855" s="11"/>
      <c r="P3855" s="11"/>
      <c r="Q3855" s="105"/>
      <c r="R3855" s="105"/>
      <c r="S3855" s="105"/>
      <c r="T3855" s="105"/>
      <c r="U3855" s="105"/>
      <c r="V3855" s="105"/>
      <c r="W3855" s="105"/>
      <c r="X3855" s="11"/>
      <c r="Y3855" s="11"/>
      <c r="Z3855" s="105"/>
      <c r="AA3855" s="11"/>
      <c r="AB3855" s="11"/>
      <c r="AC3855" s="105"/>
      <c r="AD3855" s="11" t="b">
        <v>0</v>
      </c>
      <c r="AE3855" s="105"/>
      <c r="AF3855" s="11"/>
      <c r="AG3855" s="11"/>
      <c r="AH3855" s="11"/>
      <c r="AI3855" s="11"/>
    </row>
    <row r="3856" ht="12.5" spans="3:35">
      <c r="C3856" s="19"/>
      <c r="D3856" s="19"/>
      <c r="H3856" s="105"/>
      <c r="I3856" s="126"/>
      <c r="J3856" s="11"/>
      <c r="K3856" s="108"/>
      <c r="L3856" s="11"/>
      <c r="M3856" s="105"/>
      <c r="N3856" s="105"/>
      <c r="O3856" s="11"/>
      <c r="P3856" s="11"/>
      <c r="Q3856" s="105"/>
      <c r="R3856" s="105"/>
      <c r="S3856" s="105"/>
      <c r="T3856" s="105"/>
      <c r="U3856" s="105"/>
      <c r="V3856" s="105"/>
      <c r="W3856" s="105"/>
      <c r="X3856" s="11"/>
      <c r="Y3856" s="11"/>
      <c r="Z3856" s="105"/>
      <c r="AA3856" s="11"/>
      <c r="AB3856" s="11"/>
      <c r="AC3856" s="105"/>
      <c r="AD3856" s="11" t="b">
        <v>0</v>
      </c>
      <c r="AE3856" s="105"/>
      <c r="AF3856" s="11"/>
      <c r="AG3856" s="11"/>
      <c r="AH3856" s="11"/>
      <c r="AI3856" s="11"/>
    </row>
    <row r="3857" ht="12.5" spans="3:35">
      <c r="C3857" s="19"/>
      <c r="D3857" s="19"/>
      <c r="H3857" s="105"/>
      <c r="I3857" s="126"/>
      <c r="J3857" s="11"/>
      <c r="K3857" s="108"/>
      <c r="L3857" s="11"/>
      <c r="M3857" s="105"/>
      <c r="N3857" s="105"/>
      <c r="O3857" s="11"/>
      <c r="P3857" s="11"/>
      <c r="Q3857" s="105"/>
      <c r="R3857" s="105"/>
      <c r="S3857" s="105"/>
      <c r="T3857" s="105"/>
      <c r="U3857" s="105"/>
      <c r="V3857" s="105"/>
      <c r="W3857" s="105"/>
      <c r="X3857" s="11"/>
      <c r="Y3857" s="11"/>
      <c r="Z3857" s="105"/>
      <c r="AA3857" s="11"/>
      <c r="AB3857" s="11"/>
      <c r="AC3857" s="105"/>
      <c r="AD3857" s="11" t="b">
        <v>0</v>
      </c>
      <c r="AE3857" s="105"/>
      <c r="AF3857" s="11"/>
      <c r="AG3857" s="11"/>
      <c r="AH3857" s="11"/>
      <c r="AI3857" s="11"/>
    </row>
    <row r="3858" ht="12.5" spans="3:35">
      <c r="C3858" s="19"/>
      <c r="D3858" s="19"/>
      <c r="H3858" s="105"/>
      <c r="I3858" s="126"/>
      <c r="J3858" s="11"/>
      <c r="K3858" s="108"/>
      <c r="L3858" s="11"/>
      <c r="M3858" s="105"/>
      <c r="N3858" s="105"/>
      <c r="O3858" s="11"/>
      <c r="P3858" s="11"/>
      <c r="Q3858" s="105"/>
      <c r="R3858" s="105"/>
      <c r="S3858" s="105"/>
      <c r="T3858" s="105"/>
      <c r="U3858" s="105"/>
      <c r="V3858" s="105"/>
      <c r="W3858" s="105"/>
      <c r="X3858" s="11"/>
      <c r="Y3858" s="11"/>
      <c r="Z3858" s="105"/>
      <c r="AA3858" s="11"/>
      <c r="AB3858" s="11"/>
      <c r="AC3858" s="105"/>
      <c r="AD3858" s="11" t="b">
        <v>0</v>
      </c>
      <c r="AE3858" s="105"/>
      <c r="AF3858" s="11"/>
      <c r="AG3858" s="11"/>
      <c r="AH3858" s="11"/>
      <c r="AI3858" s="11"/>
    </row>
    <row r="3859" ht="12.5" spans="3:35">
      <c r="C3859" s="19"/>
      <c r="D3859" s="19"/>
      <c r="H3859" s="105"/>
      <c r="I3859" s="126"/>
      <c r="J3859" s="11"/>
      <c r="K3859" s="108"/>
      <c r="L3859" s="11"/>
      <c r="M3859" s="105"/>
      <c r="N3859" s="105"/>
      <c r="O3859" s="11"/>
      <c r="P3859" s="11"/>
      <c r="Q3859" s="105"/>
      <c r="R3859" s="105"/>
      <c r="S3859" s="105"/>
      <c r="T3859" s="105"/>
      <c r="U3859" s="105"/>
      <c r="V3859" s="105"/>
      <c r="W3859" s="105"/>
      <c r="X3859" s="11"/>
      <c r="Y3859" s="11"/>
      <c r="Z3859" s="105"/>
      <c r="AA3859" s="11"/>
      <c r="AB3859" s="11"/>
      <c r="AC3859" s="105"/>
      <c r="AD3859" s="11" t="b">
        <v>0</v>
      </c>
      <c r="AE3859" s="105"/>
      <c r="AF3859" s="11"/>
      <c r="AG3859" s="11"/>
      <c r="AH3859" s="11"/>
      <c r="AI3859" s="11"/>
    </row>
    <row r="3860" ht="12.5" spans="3:35">
      <c r="C3860" s="19"/>
      <c r="D3860" s="19"/>
      <c r="H3860" s="105"/>
      <c r="I3860" s="126"/>
      <c r="J3860" s="11"/>
      <c r="K3860" s="108"/>
      <c r="L3860" s="11"/>
      <c r="M3860" s="105"/>
      <c r="N3860" s="105"/>
      <c r="O3860" s="11"/>
      <c r="P3860" s="11"/>
      <c r="Q3860" s="105"/>
      <c r="R3860" s="105"/>
      <c r="S3860" s="105"/>
      <c r="T3860" s="105"/>
      <c r="U3860" s="105"/>
      <c r="V3860" s="105"/>
      <c r="W3860" s="105"/>
      <c r="X3860" s="11"/>
      <c r="Y3860" s="11"/>
      <c r="Z3860" s="105"/>
      <c r="AA3860" s="11"/>
      <c r="AB3860" s="11"/>
      <c r="AC3860" s="105"/>
      <c r="AD3860" s="11" t="b">
        <v>0</v>
      </c>
      <c r="AE3860" s="105"/>
      <c r="AF3860" s="11"/>
      <c r="AG3860" s="11"/>
      <c r="AH3860" s="11"/>
      <c r="AI3860" s="11"/>
    </row>
    <row r="3861" ht="12.5" spans="3:35">
      <c r="C3861" s="19"/>
      <c r="D3861" s="19"/>
      <c r="H3861" s="105"/>
      <c r="I3861" s="126"/>
      <c r="J3861" s="11"/>
      <c r="K3861" s="108"/>
      <c r="L3861" s="11"/>
      <c r="M3861" s="105"/>
      <c r="N3861" s="105"/>
      <c r="O3861" s="11"/>
      <c r="P3861" s="11"/>
      <c r="Q3861" s="105"/>
      <c r="R3861" s="105"/>
      <c r="S3861" s="105"/>
      <c r="T3861" s="105"/>
      <c r="U3861" s="105"/>
      <c r="V3861" s="105"/>
      <c r="W3861" s="105"/>
      <c r="X3861" s="11"/>
      <c r="Y3861" s="11"/>
      <c r="Z3861" s="105"/>
      <c r="AA3861" s="11"/>
      <c r="AB3861" s="11"/>
      <c r="AC3861" s="105"/>
      <c r="AD3861" s="11" t="b">
        <v>0</v>
      </c>
      <c r="AE3861" s="105"/>
      <c r="AF3861" s="11"/>
      <c r="AG3861" s="11"/>
      <c r="AH3861" s="11"/>
      <c r="AI3861" s="11"/>
    </row>
    <row r="3862" ht="12.5" spans="3:35">
      <c r="C3862" s="19"/>
      <c r="D3862" s="19"/>
      <c r="H3862" s="105"/>
      <c r="I3862" s="126"/>
      <c r="J3862" s="11"/>
      <c r="K3862" s="108"/>
      <c r="L3862" s="11"/>
      <c r="M3862" s="105"/>
      <c r="N3862" s="105"/>
      <c r="O3862" s="11"/>
      <c r="P3862" s="11"/>
      <c r="Q3862" s="105"/>
      <c r="R3862" s="105"/>
      <c r="S3862" s="105"/>
      <c r="T3862" s="105"/>
      <c r="U3862" s="105"/>
      <c r="V3862" s="105"/>
      <c r="W3862" s="105"/>
      <c r="X3862" s="11"/>
      <c r="Y3862" s="11"/>
      <c r="Z3862" s="105"/>
      <c r="AA3862" s="11"/>
      <c r="AB3862" s="11"/>
      <c r="AC3862" s="105"/>
      <c r="AD3862" s="11" t="b">
        <v>0</v>
      </c>
      <c r="AE3862" s="105"/>
      <c r="AF3862" s="11"/>
      <c r="AG3862" s="11"/>
      <c r="AH3862" s="11"/>
      <c r="AI3862" s="11"/>
    </row>
    <row r="3863" ht="12.5" spans="3:35">
      <c r="C3863" s="19"/>
      <c r="D3863" s="19"/>
      <c r="H3863" s="105"/>
      <c r="I3863" s="126"/>
      <c r="J3863" s="11"/>
      <c r="K3863" s="108"/>
      <c r="L3863" s="11"/>
      <c r="M3863" s="105"/>
      <c r="N3863" s="105"/>
      <c r="O3863" s="11"/>
      <c r="P3863" s="11"/>
      <c r="Q3863" s="105"/>
      <c r="R3863" s="105"/>
      <c r="S3863" s="105"/>
      <c r="T3863" s="105"/>
      <c r="U3863" s="105"/>
      <c r="V3863" s="105"/>
      <c r="W3863" s="105"/>
      <c r="X3863" s="11"/>
      <c r="Y3863" s="11"/>
      <c r="Z3863" s="105"/>
      <c r="AA3863" s="11"/>
      <c r="AB3863" s="11"/>
      <c r="AC3863" s="105"/>
      <c r="AD3863" s="11" t="b">
        <v>0</v>
      </c>
      <c r="AE3863" s="105"/>
      <c r="AF3863" s="11"/>
      <c r="AG3863" s="11"/>
      <c r="AH3863" s="11"/>
      <c r="AI3863" s="11"/>
    </row>
    <row r="3864" ht="12.5" spans="3:35">
      <c r="C3864" s="19"/>
      <c r="D3864" s="19"/>
      <c r="H3864" s="105"/>
      <c r="I3864" s="126"/>
      <c r="J3864" s="11"/>
      <c r="K3864" s="108"/>
      <c r="L3864" s="11"/>
      <c r="M3864" s="105"/>
      <c r="N3864" s="105"/>
      <c r="O3864" s="11"/>
      <c r="P3864" s="11"/>
      <c r="Q3864" s="105"/>
      <c r="R3864" s="105"/>
      <c r="S3864" s="105"/>
      <c r="T3864" s="105"/>
      <c r="U3864" s="105"/>
      <c r="V3864" s="105"/>
      <c r="W3864" s="105"/>
      <c r="X3864" s="11"/>
      <c r="Y3864" s="11"/>
      <c r="Z3864" s="105"/>
      <c r="AA3864" s="11"/>
      <c r="AB3864" s="11"/>
      <c r="AC3864" s="105"/>
      <c r="AD3864" s="11" t="b">
        <v>0</v>
      </c>
      <c r="AE3864" s="105"/>
      <c r="AF3864" s="11"/>
      <c r="AG3864" s="11"/>
      <c r="AH3864" s="11"/>
      <c r="AI3864" s="11"/>
    </row>
    <row r="3865" ht="12.5" spans="3:35">
      <c r="C3865" s="19"/>
      <c r="D3865" s="19"/>
      <c r="H3865" s="105"/>
      <c r="I3865" s="126"/>
      <c r="J3865" s="11"/>
      <c r="K3865" s="108"/>
      <c r="L3865" s="11"/>
      <c r="M3865" s="105"/>
      <c r="N3865" s="105"/>
      <c r="O3865" s="11"/>
      <c r="P3865" s="11"/>
      <c r="Q3865" s="105"/>
      <c r="R3865" s="105"/>
      <c r="S3865" s="105"/>
      <c r="T3865" s="105"/>
      <c r="U3865" s="105"/>
      <c r="V3865" s="105"/>
      <c r="W3865" s="105"/>
      <c r="X3865" s="11"/>
      <c r="Y3865" s="11"/>
      <c r="Z3865" s="105"/>
      <c r="AA3865" s="11"/>
      <c r="AB3865" s="11"/>
      <c r="AC3865" s="105"/>
      <c r="AD3865" s="11" t="b">
        <v>0</v>
      </c>
      <c r="AE3865" s="105"/>
      <c r="AF3865" s="11"/>
      <c r="AG3865" s="11"/>
      <c r="AH3865" s="11"/>
      <c r="AI3865" s="11"/>
    </row>
    <row r="3866" ht="12.5" spans="3:35">
      <c r="C3866" s="19"/>
      <c r="D3866" s="19"/>
      <c r="H3866" s="105"/>
      <c r="I3866" s="126"/>
      <c r="J3866" s="11"/>
      <c r="K3866" s="108"/>
      <c r="L3866" s="11"/>
      <c r="M3866" s="105"/>
      <c r="N3866" s="105"/>
      <c r="O3866" s="11"/>
      <c r="P3866" s="11"/>
      <c r="Q3866" s="105"/>
      <c r="R3866" s="105"/>
      <c r="S3866" s="105"/>
      <c r="T3866" s="105"/>
      <c r="U3866" s="105"/>
      <c r="V3866" s="105"/>
      <c r="W3866" s="105"/>
      <c r="X3866" s="11"/>
      <c r="Y3866" s="11"/>
      <c r="Z3866" s="105"/>
      <c r="AA3866" s="11"/>
      <c r="AB3866" s="11"/>
      <c r="AC3866" s="105"/>
      <c r="AD3866" s="11" t="b">
        <v>0</v>
      </c>
      <c r="AE3866" s="105"/>
      <c r="AF3866" s="11"/>
      <c r="AG3866" s="11"/>
      <c r="AH3866" s="11"/>
      <c r="AI3866" s="11"/>
    </row>
    <row r="3867" ht="12.5" spans="3:35">
      <c r="C3867" s="19"/>
      <c r="D3867" s="19"/>
      <c r="H3867" s="105"/>
      <c r="I3867" s="126"/>
      <c r="J3867" s="11"/>
      <c r="K3867" s="108"/>
      <c r="L3867" s="11"/>
      <c r="M3867" s="105"/>
      <c r="N3867" s="105"/>
      <c r="O3867" s="11"/>
      <c r="P3867" s="11"/>
      <c r="Q3867" s="105"/>
      <c r="R3867" s="105"/>
      <c r="S3867" s="105"/>
      <c r="T3867" s="105"/>
      <c r="U3867" s="105"/>
      <c r="V3867" s="105"/>
      <c r="W3867" s="105"/>
      <c r="X3867" s="11"/>
      <c r="Y3867" s="11"/>
      <c r="Z3867" s="105"/>
      <c r="AA3867" s="11"/>
      <c r="AB3867" s="11"/>
      <c r="AC3867" s="105"/>
      <c r="AD3867" s="11" t="b">
        <v>0</v>
      </c>
      <c r="AE3867" s="105"/>
      <c r="AF3867" s="11"/>
      <c r="AG3867" s="11"/>
      <c r="AH3867" s="11"/>
      <c r="AI3867" s="11"/>
    </row>
    <row r="3868" ht="12.5" spans="3:35">
      <c r="C3868" s="19"/>
      <c r="D3868" s="19"/>
      <c r="H3868" s="105"/>
      <c r="I3868" s="126"/>
      <c r="J3868" s="11"/>
      <c r="K3868" s="108"/>
      <c r="L3868" s="11"/>
      <c r="M3868" s="105"/>
      <c r="N3868" s="105"/>
      <c r="O3868" s="11"/>
      <c r="P3868" s="11"/>
      <c r="Q3868" s="105"/>
      <c r="R3868" s="105"/>
      <c r="S3868" s="105"/>
      <c r="T3868" s="105"/>
      <c r="U3868" s="105"/>
      <c r="V3868" s="105"/>
      <c r="W3868" s="105"/>
      <c r="X3868" s="11"/>
      <c r="Y3868" s="11"/>
      <c r="Z3868" s="105"/>
      <c r="AA3868" s="11"/>
      <c r="AB3868" s="11"/>
      <c r="AC3868" s="105"/>
      <c r="AD3868" s="11" t="b">
        <v>0</v>
      </c>
      <c r="AE3868" s="105"/>
      <c r="AF3868" s="11"/>
      <c r="AG3868" s="11"/>
      <c r="AH3868" s="11"/>
      <c r="AI3868" s="11"/>
    </row>
    <row r="3869" ht="12.5" spans="3:35">
      <c r="C3869" s="19"/>
      <c r="D3869" s="19"/>
      <c r="H3869" s="105"/>
      <c r="I3869" s="126"/>
      <c r="J3869" s="11"/>
      <c r="K3869" s="108"/>
      <c r="L3869" s="11"/>
      <c r="M3869" s="105"/>
      <c r="N3869" s="105"/>
      <c r="O3869" s="11"/>
      <c r="P3869" s="11"/>
      <c r="Q3869" s="105"/>
      <c r="R3869" s="105"/>
      <c r="S3869" s="105"/>
      <c r="T3869" s="105"/>
      <c r="U3869" s="105"/>
      <c r="V3869" s="105"/>
      <c r="W3869" s="105"/>
      <c r="X3869" s="11"/>
      <c r="Y3869" s="11"/>
      <c r="Z3869" s="105"/>
      <c r="AA3869" s="11"/>
      <c r="AB3869" s="11"/>
      <c r="AC3869" s="105"/>
      <c r="AD3869" s="11" t="b">
        <v>0</v>
      </c>
      <c r="AE3869" s="105"/>
      <c r="AF3869" s="11"/>
      <c r="AG3869" s="11"/>
      <c r="AH3869" s="11"/>
      <c r="AI3869" s="11"/>
    </row>
    <row r="3870" ht="12.5" spans="3:35">
      <c r="C3870" s="19"/>
      <c r="D3870" s="19"/>
      <c r="H3870" s="105"/>
      <c r="I3870" s="126"/>
      <c r="J3870" s="11"/>
      <c r="K3870" s="108"/>
      <c r="L3870" s="11"/>
      <c r="M3870" s="105"/>
      <c r="N3870" s="105"/>
      <c r="O3870" s="11"/>
      <c r="P3870" s="11"/>
      <c r="Q3870" s="105"/>
      <c r="R3870" s="105"/>
      <c r="S3870" s="105"/>
      <c r="T3870" s="105"/>
      <c r="U3870" s="105"/>
      <c r="V3870" s="105"/>
      <c r="W3870" s="105"/>
      <c r="X3870" s="11"/>
      <c r="Y3870" s="11"/>
      <c r="Z3870" s="105"/>
      <c r="AA3870" s="11"/>
      <c r="AB3870" s="11"/>
      <c r="AC3870" s="105"/>
      <c r="AD3870" s="11" t="b">
        <v>0</v>
      </c>
      <c r="AE3870" s="105"/>
      <c r="AF3870" s="11"/>
      <c r="AG3870" s="11"/>
      <c r="AH3870" s="11"/>
      <c r="AI3870" s="11"/>
    </row>
    <row r="3871" ht="12.5" spans="3:35">
      <c r="C3871" s="19"/>
      <c r="D3871" s="19"/>
      <c r="H3871" s="105"/>
      <c r="I3871" s="126"/>
      <c r="J3871" s="11"/>
      <c r="K3871" s="108"/>
      <c r="L3871" s="11"/>
      <c r="M3871" s="105"/>
      <c r="N3871" s="105"/>
      <c r="O3871" s="11"/>
      <c r="P3871" s="11"/>
      <c r="Q3871" s="105"/>
      <c r="R3871" s="105"/>
      <c r="S3871" s="105"/>
      <c r="T3871" s="105"/>
      <c r="U3871" s="105"/>
      <c r="V3871" s="105"/>
      <c r="W3871" s="105"/>
      <c r="X3871" s="11"/>
      <c r="Y3871" s="11"/>
      <c r="Z3871" s="105"/>
      <c r="AA3871" s="11"/>
      <c r="AB3871" s="11"/>
      <c r="AC3871" s="105"/>
      <c r="AD3871" s="11" t="b">
        <v>0</v>
      </c>
      <c r="AE3871" s="105"/>
      <c r="AF3871" s="11"/>
      <c r="AG3871" s="11"/>
      <c r="AH3871" s="11"/>
      <c r="AI3871" s="11"/>
    </row>
    <row r="3872" ht="12.5" spans="3:35">
      <c r="C3872" s="19"/>
      <c r="D3872" s="19"/>
      <c r="H3872" s="105"/>
      <c r="I3872" s="126"/>
      <c r="J3872" s="11"/>
      <c r="K3872" s="108"/>
      <c r="L3872" s="11"/>
      <c r="M3872" s="105"/>
      <c r="N3872" s="105"/>
      <c r="O3872" s="11"/>
      <c r="P3872" s="11"/>
      <c r="Q3872" s="105"/>
      <c r="R3872" s="105"/>
      <c r="S3872" s="105"/>
      <c r="T3872" s="105"/>
      <c r="U3872" s="105"/>
      <c r="V3872" s="105"/>
      <c r="W3872" s="105"/>
      <c r="X3872" s="11"/>
      <c r="Y3872" s="11"/>
      <c r="Z3872" s="105"/>
      <c r="AA3872" s="11"/>
      <c r="AB3872" s="11"/>
      <c r="AC3872" s="105"/>
      <c r="AD3872" s="11" t="b">
        <v>0</v>
      </c>
      <c r="AE3872" s="105"/>
      <c r="AF3872" s="11"/>
      <c r="AG3872" s="11"/>
      <c r="AH3872" s="11"/>
      <c r="AI3872" s="11"/>
    </row>
    <row r="3873" ht="12.5" spans="3:35">
      <c r="C3873" s="19"/>
      <c r="D3873" s="19"/>
      <c r="H3873" s="105"/>
      <c r="I3873" s="126"/>
      <c r="J3873" s="11"/>
      <c r="K3873" s="108"/>
      <c r="L3873" s="11"/>
      <c r="M3873" s="105"/>
      <c r="N3873" s="105"/>
      <c r="O3873" s="11"/>
      <c r="P3873" s="11"/>
      <c r="Q3873" s="105"/>
      <c r="R3873" s="105"/>
      <c r="S3873" s="105"/>
      <c r="T3873" s="105"/>
      <c r="U3873" s="105"/>
      <c r="V3873" s="105"/>
      <c r="W3873" s="105"/>
      <c r="X3873" s="11"/>
      <c r="Y3873" s="11"/>
      <c r="Z3873" s="105"/>
      <c r="AA3873" s="11"/>
      <c r="AB3873" s="11"/>
      <c r="AC3873" s="105"/>
      <c r="AD3873" s="11" t="b">
        <v>0</v>
      </c>
      <c r="AE3873" s="105"/>
      <c r="AF3873" s="11"/>
      <c r="AG3873" s="11"/>
      <c r="AH3873" s="11"/>
      <c r="AI3873" s="11"/>
    </row>
    <row r="3874" ht="12.5" spans="3:35">
      <c r="C3874" s="19"/>
      <c r="D3874" s="19"/>
      <c r="H3874" s="105"/>
      <c r="I3874" s="126"/>
      <c r="J3874" s="11"/>
      <c r="K3874" s="108"/>
      <c r="L3874" s="11"/>
      <c r="M3874" s="105"/>
      <c r="N3874" s="105"/>
      <c r="O3874" s="11"/>
      <c r="P3874" s="11"/>
      <c r="Q3874" s="105"/>
      <c r="R3874" s="105"/>
      <c r="S3874" s="105"/>
      <c r="T3874" s="105"/>
      <c r="U3874" s="105"/>
      <c r="V3874" s="105"/>
      <c r="W3874" s="105"/>
      <c r="X3874" s="11"/>
      <c r="Y3874" s="11"/>
      <c r="Z3874" s="105"/>
      <c r="AA3874" s="11"/>
      <c r="AB3874" s="11"/>
      <c r="AC3874" s="105"/>
      <c r="AD3874" s="11" t="b">
        <v>0</v>
      </c>
      <c r="AE3874" s="105"/>
      <c r="AF3874" s="11"/>
      <c r="AG3874" s="11"/>
      <c r="AH3874" s="11"/>
      <c r="AI3874" s="11"/>
    </row>
    <row r="3875" ht="12.5" spans="3:35">
      <c r="C3875" s="19"/>
      <c r="D3875" s="19"/>
      <c r="H3875" s="105"/>
      <c r="I3875" s="126"/>
      <c r="J3875" s="11"/>
      <c r="K3875" s="108"/>
      <c r="L3875" s="11"/>
      <c r="M3875" s="105"/>
      <c r="N3875" s="105"/>
      <c r="O3875" s="11"/>
      <c r="P3875" s="11"/>
      <c r="Q3875" s="105"/>
      <c r="R3875" s="105"/>
      <c r="S3875" s="105"/>
      <c r="T3875" s="105"/>
      <c r="U3875" s="105"/>
      <c r="V3875" s="105"/>
      <c r="W3875" s="105"/>
      <c r="X3875" s="11"/>
      <c r="Y3875" s="11"/>
      <c r="Z3875" s="105"/>
      <c r="AA3875" s="11"/>
      <c r="AB3875" s="11"/>
      <c r="AC3875" s="105"/>
      <c r="AD3875" s="11" t="b">
        <v>0</v>
      </c>
      <c r="AE3875" s="105"/>
      <c r="AF3875" s="11"/>
      <c r="AG3875" s="11"/>
      <c r="AH3875" s="11"/>
      <c r="AI3875" s="11"/>
    </row>
    <row r="3876" ht="12.5" spans="3:35">
      <c r="C3876" s="19"/>
      <c r="D3876" s="19"/>
      <c r="H3876" s="105"/>
      <c r="I3876" s="126"/>
      <c r="J3876" s="11"/>
      <c r="K3876" s="108"/>
      <c r="L3876" s="11"/>
      <c r="M3876" s="105"/>
      <c r="N3876" s="105"/>
      <c r="O3876" s="11"/>
      <c r="P3876" s="11"/>
      <c r="Q3876" s="105"/>
      <c r="R3876" s="105"/>
      <c r="S3876" s="105"/>
      <c r="T3876" s="105"/>
      <c r="U3876" s="105"/>
      <c r="V3876" s="105"/>
      <c r="W3876" s="105"/>
      <c r="X3876" s="11"/>
      <c r="Y3876" s="11"/>
      <c r="Z3876" s="105"/>
      <c r="AA3876" s="11"/>
      <c r="AB3876" s="11"/>
      <c r="AC3876" s="105"/>
      <c r="AD3876" s="11" t="b">
        <v>0</v>
      </c>
      <c r="AE3876" s="105"/>
      <c r="AF3876" s="11"/>
      <c r="AG3876" s="11"/>
      <c r="AH3876" s="11"/>
      <c r="AI3876" s="11"/>
    </row>
    <row r="3877" ht="12.5" spans="3:35">
      <c r="C3877" s="19"/>
      <c r="D3877" s="19"/>
      <c r="H3877" s="105"/>
      <c r="I3877" s="126"/>
      <c r="J3877" s="11"/>
      <c r="K3877" s="108"/>
      <c r="L3877" s="11"/>
      <c r="M3877" s="105"/>
      <c r="N3877" s="105"/>
      <c r="O3877" s="11"/>
      <c r="P3877" s="11"/>
      <c r="Q3877" s="105"/>
      <c r="R3877" s="105"/>
      <c r="S3877" s="105"/>
      <c r="T3877" s="105"/>
      <c r="U3877" s="105"/>
      <c r="V3877" s="105"/>
      <c r="W3877" s="105"/>
      <c r="X3877" s="11"/>
      <c r="Y3877" s="11"/>
      <c r="Z3877" s="105"/>
      <c r="AA3877" s="11"/>
      <c r="AB3877" s="11"/>
      <c r="AC3877" s="105"/>
      <c r="AD3877" s="11" t="b">
        <v>0</v>
      </c>
      <c r="AE3877" s="105"/>
      <c r="AF3877" s="11"/>
      <c r="AG3877" s="11"/>
      <c r="AH3877" s="11"/>
      <c r="AI3877" s="11"/>
    </row>
    <row r="3878" ht="12.5" spans="3:35">
      <c r="C3878" s="19"/>
      <c r="D3878" s="19"/>
      <c r="H3878" s="105"/>
      <c r="I3878" s="126"/>
      <c r="J3878" s="11"/>
      <c r="K3878" s="108"/>
      <c r="L3878" s="11"/>
      <c r="M3878" s="105"/>
      <c r="N3878" s="105"/>
      <c r="O3878" s="11"/>
      <c r="P3878" s="11"/>
      <c r="Q3878" s="105"/>
      <c r="R3878" s="105"/>
      <c r="S3878" s="105"/>
      <c r="T3878" s="105"/>
      <c r="U3878" s="105"/>
      <c r="V3878" s="105"/>
      <c r="W3878" s="105"/>
      <c r="X3878" s="11"/>
      <c r="Y3878" s="11"/>
      <c r="Z3878" s="105"/>
      <c r="AA3878" s="11"/>
      <c r="AB3878" s="11"/>
      <c r="AC3878" s="105"/>
      <c r="AD3878" s="11" t="b">
        <v>0</v>
      </c>
      <c r="AE3878" s="105"/>
      <c r="AF3878" s="11"/>
      <c r="AG3878" s="11"/>
      <c r="AH3878" s="11"/>
      <c r="AI3878" s="11"/>
    </row>
    <row r="3879" ht="12.5" spans="3:35">
      <c r="C3879" s="19"/>
      <c r="D3879" s="19"/>
      <c r="H3879" s="105"/>
      <c r="I3879" s="126"/>
      <c r="J3879" s="11"/>
      <c r="K3879" s="108"/>
      <c r="L3879" s="11"/>
      <c r="M3879" s="105"/>
      <c r="N3879" s="105"/>
      <c r="O3879" s="11"/>
      <c r="P3879" s="11"/>
      <c r="Q3879" s="105"/>
      <c r="R3879" s="105"/>
      <c r="S3879" s="105"/>
      <c r="T3879" s="105"/>
      <c r="U3879" s="105"/>
      <c r="V3879" s="105"/>
      <c r="W3879" s="105"/>
      <c r="X3879" s="11"/>
      <c r="Y3879" s="11"/>
      <c r="Z3879" s="105"/>
      <c r="AA3879" s="11"/>
      <c r="AB3879" s="11"/>
      <c r="AC3879" s="105"/>
      <c r="AD3879" s="11" t="b">
        <v>0</v>
      </c>
      <c r="AE3879" s="105"/>
      <c r="AF3879" s="11"/>
      <c r="AG3879" s="11"/>
      <c r="AH3879" s="11"/>
      <c r="AI3879" s="11"/>
    </row>
    <row r="3880" ht="12.5" spans="3:35">
      <c r="C3880" s="19"/>
      <c r="D3880" s="19"/>
      <c r="H3880" s="105"/>
      <c r="I3880" s="126"/>
      <c r="J3880" s="11"/>
      <c r="K3880" s="108"/>
      <c r="L3880" s="11"/>
      <c r="M3880" s="105"/>
      <c r="N3880" s="105"/>
      <c r="O3880" s="11"/>
      <c r="P3880" s="11"/>
      <c r="Q3880" s="105"/>
      <c r="R3880" s="105"/>
      <c r="S3880" s="105"/>
      <c r="T3880" s="105"/>
      <c r="U3880" s="105"/>
      <c r="V3880" s="105"/>
      <c r="W3880" s="105"/>
      <c r="X3880" s="11"/>
      <c r="Y3880" s="11"/>
      <c r="Z3880" s="105"/>
      <c r="AA3880" s="11"/>
      <c r="AB3880" s="11"/>
      <c r="AC3880" s="105"/>
      <c r="AD3880" s="11" t="b">
        <v>0</v>
      </c>
      <c r="AE3880" s="105"/>
      <c r="AF3880" s="11"/>
      <c r="AG3880" s="11"/>
      <c r="AH3880" s="11"/>
      <c r="AI3880" s="11"/>
    </row>
    <row r="3881" ht="12.5" spans="3:35">
      <c r="C3881" s="19"/>
      <c r="D3881" s="19"/>
      <c r="H3881" s="105"/>
      <c r="I3881" s="126"/>
      <c r="J3881" s="11"/>
      <c r="K3881" s="108"/>
      <c r="L3881" s="11"/>
      <c r="M3881" s="105"/>
      <c r="N3881" s="105"/>
      <c r="O3881" s="11"/>
      <c r="P3881" s="11"/>
      <c r="Q3881" s="105"/>
      <c r="R3881" s="105"/>
      <c r="S3881" s="105"/>
      <c r="T3881" s="105"/>
      <c r="U3881" s="105"/>
      <c r="V3881" s="105"/>
      <c r="W3881" s="105"/>
      <c r="X3881" s="11"/>
      <c r="Y3881" s="11"/>
      <c r="Z3881" s="105"/>
      <c r="AA3881" s="11"/>
      <c r="AB3881" s="11"/>
      <c r="AC3881" s="105"/>
      <c r="AD3881" s="11" t="b">
        <v>0</v>
      </c>
      <c r="AE3881" s="105"/>
      <c r="AF3881" s="11"/>
      <c r="AG3881" s="11"/>
      <c r="AH3881" s="11"/>
      <c r="AI3881" s="11"/>
    </row>
    <row r="3882" ht="12.5" spans="3:35">
      <c r="C3882" s="19"/>
      <c r="D3882" s="19"/>
      <c r="H3882" s="105"/>
      <c r="I3882" s="126"/>
      <c r="J3882" s="11"/>
      <c r="K3882" s="108"/>
      <c r="L3882" s="11"/>
      <c r="M3882" s="105"/>
      <c r="N3882" s="105"/>
      <c r="O3882" s="11"/>
      <c r="P3882" s="11"/>
      <c r="Q3882" s="105"/>
      <c r="R3882" s="105"/>
      <c r="S3882" s="105"/>
      <c r="T3882" s="105"/>
      <c r="U3882" s="105"/>
      <c r="V3882" s="105"/>
      <c r="W3882" s="105"/>
      <c r="X3882" s="11"/>
      <c r="Y3882" s="11"/>
      <c r="Z3882" s="105"/>
      <c r="AA3882" s="11"/>
      <c r="AB3882" s="11"/>
      <c r="AC3882" s="105"/>
      <c r="AD3882" s="11" t="b">
        <v>0</v>
      </c>
      <c r="AE3882" s="105"/>
      <c r="AF3882" s="11"/>
      <c r="AG3882" s="11"/>
      <c r="AH3882" s="11"/>
      <c r="AI3882" s="11"/>
    </row>
    <row r="3883" ht="12.5" spans="3:35">
      <c r="C3883" s="19"/>
      <c r="D3883" s="19"/>
      <c r="H3883" s="105"/>
      <c r="I3883" s="126"/>
      <c r="J3883" s="11"/>
      <c r="K3883" s="108"/>
      <c r="L3883" s="11"/>
      <c r="M3883" s="105"/>
      <c r="N3883" s="105"/>
      <c r="O3883" s="11"/>
      <c r="P3883" s="11"/>
      <c r="Q3883" s="105"/>
      <c r="R3883" s="105"/>
      <c r="S3883" s="105"/>
      <c r="T3883" s="105"/>
      <c r="U3883" s="105"/>
      <c r="V3883" s="105"/>
      <c r="W3883" s="105"/>
      <c r="X3883" s="11"/>
      <c r="Y3883" s="11"/>
      <c r="Z3883" s="105"/>
      <c r="AA3883" s="11"/>
      <c r="AB3883" s="11"/>
      <c r="AC3883" s="105"/>
      <c r="AD3883" s="11" t="b">
        <v>0</v>
      </c>
      <c r="AE3883" s="105"/>
      <c r="AF3883" s="11"/>
      <c r="AG3883" s="11"/>
      <c r="AH3883" s="11"/>
      <c r="AI3883" s="11"/>
    </row>
    <row r="3884" ht="12.5" spans="3:35">
      <c r="C3884" s="19"/>
      <c r="D3884" s="19"/>
      <c r="H3884" s="105"/>
      <c r="I3884" s="126"/>
      <c r="J3884" s="11"/>
      <c r="K3884" s="108"/>
      <c r="L3884" s="11"/>
      <c r="M3884" s="105"/>
      <c r="N3884" s="105"/>
      <c r="O3884" s="11"/>
      <c r="P3884" s="11"/>
      <c r="Q3884" s="105"/>
      <c r="R3884" s="105"/>
      <c r="S3884" s="105"/>
      <c r="T3884" s="105"/>
      <c r="U3884" s="105"/>
      <c r="V3884" s="105"/>
      <c r="W3884" s="105"/>
      <c r="X3884" s="11"/>
      <c r="Y3884" s="11"/>
      <c r="Z3884" s="105"/>
      <c r="AA3884" s="11"/>
      <c r="AB3884" s="11"/>
      <c r="AC3884" s="105"/>
      <c r="AD3884" s="11" t="b">
        <v>0</v>
      </c>
      <c r="AE3884" s="105"/>
      <c r="AF3884" s="11"/>
      <c r="AG3884" s="11"/>
      <c r="AH3884" s="11"/>
      <c r="AI3884" s="11"/>
    </row>
    <row r="3885" ht="12.5" spans="3:35">
      <c r="C3885" s="19"/>
      <c r="D3885" s="19"/>
      <c r="H3885" s="105"/>
      <c r="I3885" s="126"/>
      <c r="J3885" s="11"/>
      <c r="K3885" s="108"/>
      <c r="L3885" s="11"/>
      <c r="M3885" s="105"/>
      <c r="N3885" s="105"/>
      <c r="O3885" s="11"/>
      <c r="P3885" s="11"/>
      <c r="Q3885" s="105"/>
      <c r="R3885" s="105"/>
      <c r="S3885" s="105"/>
      <c r="T3885" s="105"/>
      <c r="U3885" s="105"/>
      <c r="V3885" s="105"/>
      <c r="W3885" s="105"/>
      <c r="X3885" s="11"/>
      <c r="Y3885" s="11"/>
      <c r="Z3885" s="105"/>
      <c r="AA3885" s="11"/>
      <c r="AB3885" s="11"/>
      <c r="AC3885" s="105"/>
      <c r="AD3885" s="11" t="b">
        <v>0</v>
      </c>
      <c r="AE3885" s="105"/>
      <c r="AF3885" s="11"/>
      <c r="AG3885" s="11"/>
      <c r="AH3885" s="11"/>
      <c r="AI3885" s="11"/>
    </row>
    <row r="3886" ht="12.5" spans="3:35">
      <c r="C3886" s="19"/>
      <c r="D3886" s="19"/>
      <c r="H3886" s="105"/>
      <c r="I3886" s="126"/>
      <c r="J3886" s="11"/>
      <c r="K3886" s="108"/>
      <c r="L3886" s="11"/>
      <c r="M3886" s="105"/>
      <c r="N3886" s="105"/>
      <c r="O3886" s="11"/>
      <c r="P3886" s="11"/>
      <c r="Q3886" s="105"/>
      <c r="R3886" s="105"/>
      <c r="S3886" s="105"/>
      <c r="T3886" s="105"/>
      <c r="U3886" s="105"/>
      <c r="V3886" s="105"/>
      <c r="W3886" s="105"/>
      <c r="X3886" s="11"/>
      <c r="Y3886" s="11"/>
      <c r="Z3886" s="105"/>
      <c r="AA3886" s="11"/>
      <c r="AB3886" s="11"/>
      <c r="AC3886" s="105"/>
      <c r="AD3886" s="11" t="b">
        <v>0</v>
      </c>
      <c r="AE3886" s="105"/>
      <c r="AF3886" s="11"/>
      <c r="AG3886" s="11"/>
      <c r="AH3886" s="11"/>
      <c r="AI3886" s="11"/>
    </row>
    <row r="3887" ht="12.5" spans="3:35">
      <c r="C3887" s="19"/>
      <c r="D3887" s="19"/>
      <c r="H3887" s="105"/>
      <c r="I3887" s="126"/>
      <c r="J3887" s="11"/>
      <c r="K3887" s="108"/>
      <c r="L3887" s="11"/>
      <c r="M3887" s="105"/>
      <c r="N3887" s="105"/>
      <c r="O3887" s="11"/>
      <c r="P3887" s="11"/>
      <c r="Q3887" s="105"/>
      <c r="R3887" s="105"/>
      <c r="S3887" s="105"/>
      <c r="T3887" s="105"/>
      <c r="U3887" s="105"/>
      <c r="V3887" s="105"/>
      <c r="W3887" s="105"/>
      <c r="X3887" s="11"/>
      <c r="Y3887" s="11"/>
      <c r="Z3887" s="105"/>
      <c r="AA3887" s="11"/>
      <c r="AB3887" s="11"/>
      <c r="AC3887" s="105"/>
      <c r="AD3887" s="11" t="b">
        <v>0</v>
      </c>
      <c r="AE3887" s="105"/>
      <c r="AF3887" s="11"/>
      <c r="AG3887" s="11"/>
      <c r="AH3887" s="11"/>
      <c r="AI3887" s="11"/>
    </row>
    <row r="3888" ht="12.5" spans="3:35">
      <c r="C3888" s="19"/>
      <c r="D3888" s="19"/>
      <c r="H3888" s="105"/>
      <c r="I3888" s="126"/>
      <c r="J3888" s="11"/>
      <c r="K3888" s="108"/>
      <c r="L3888" s="11"/>
      <c r="M3888" s="105"/>
      <c r="N3888" s="105"/>
      <c r="O3888" s="11"/>
      <c r="P3888" s="11"/>
      <c r="Q3888" s="105"/>
      <c r="R3888" s="105"/>
      <c r="S3888" s="105"/>
      <c r="T3888" s="105"/>
      <c r="U3888" s="105"/>
      <c r="V3888" s="105"/>
      <c r="W3888" s="105"/>
      <c r="X3888" s="11"/>
      <c r="Y3888" s="11"/>
      <c r="Z3888" s="105"/>
      <c r="AA3888" s="11"/>
      <c r="AB3888" s="11"/>
      <c r="AC3888" s="105"/>
      <c r="AD3888" s="11" t="b">
        <v>0</v>
      </c>
      <c r="AE3888" s="105"/>
      <c r="AF3888" s="11"/>
      <c r="AG3888" s="11"/>
      <c r="AH3888" s="11"/>
      <c r="AI3888" s="11"/>
    </row>
    <row r="3889" ht="12.5" spans="3:35">
      <c r="C3889" s="19"/>
      <c r="D3889" s="19"/>
      <c r="H3889" s="105"/>
      <c r="I3889" s="126"/>
      <c r="J3889" s="11"/>
      <c r="K3889" s="108"/>
      <c r="L3889" s="11"/>
      <c r="M3889" s="105"/>
      <c r="N3889" s="105"/>
      <c r="O3889" s="11"/>
      <c r="P3889" s="11"/>
      <c r="Q3889" s="105"/>
      <c r="R3889" s="105"/>
      <c r="S3889" s="105"/>
      <c r="T3889" s="105"/>
      <c r="U3889" s="105"/>
      <c r="V3889" s="105"/>
      <c r="W3889" s="105"/>
      <c r="X3889" s="11"/>
      <c r="Y3889" s="11"/>
      <c r="Z3889" s="105"/>
      <c r="AA3889" s="11"/>
      <c r="AB3889" s="11"/>
      <c r="AC3889" s="105"/>
      <c r="AD3889" s="11" t="b">
        <v>0</v>
      </c>
      <c r="AE3889" s="105"/>
      <c r="AF3889" s="11"/>
      <c r="AG3889" s="11"/>
      <c r="AH3889" s="11"/>
      <c r="AI3889" s="11"/>
    </row>
    <row r="3890" ht="12.5" spans="3:35">
      <c r="C3890" s="19"/>
      <c r="D3890" s="19"/>
      <c r="H3890" s="105"/>
      <c r="I3890" s="126"/>
      <c r="J3890" s="11"/>
      <c r="K3890" s="108"/>
      <c r="L3890" s="11"/>
      <c r="M3890" s="105"/>
      <c r="N3890" s="105"/>
      <c r="O3890" s="11"/>
      <c r="P3890" s="11"/>
      <c r="Q3890" s="105"/>
      <c r="R3890" s="105"/>
      <c r="S3890" s="105"/>
      <c r="T3890" s="105"/>
      <c r="U3890" s="105"/>
      <c r="V3890" s="105"/>
      <c r="W3890" s="105"/>
      <c r="X3890" s="11"/>
      <c r="Y3890" s="11"/>
      <c r="Z3890" s="105"/>
      <c r="AA3890" s="11"/>
      <c r="AB3890" s="11"/>
      <c r="AC3890" s="105"/>
      <c r="AD3890" s="11" t="b">
        <v>0</v>
      </c>
      <c r="AE3890" s="105"/>
      <c r="AF3890" s="11"/>
      <c r="AG3890" s="11"/>
      <c r="AH3890" s="11"/>
      <c r="AI3890" s="11"/>
    </row>
    <row r="3891" ht="12.5" spans="3:35">
      <c r="C3891" s="19"/>
      <c r="D3891" s="19"/>
      <c r="H3891" s="105"/>
      <c r="I3891" s="126"/>
      <c r="J3891" s="11"/>
      <c r="K3891" s="108"/>
      <c r="L3891" s="11"/>
      <c r="M3891" s="105"/>
      <c r="N3891" s="105"/>
      <c r="O3891" s="11"/>
      <c r="P3891" s="11"/>
      <c r="Q3891" s="105"/>
      <c r="R3891" s="105"/>
      <c r="S3891" s="105"/>
      <c r="T3891" s="105"/>
      <c r="U3891" s="105"/>
      <c r="V3891" s="105"/>
      <c r="W3891" s="105"/>
      <c r="X3891" s="11"/>
      <c r="Y3891" s="11"/>
      <c r="Z3891" s="105"/>
      <c r="AA3891" s="11"/>
      <c r="AB3891" s="11"/>
      <c r="AC3891" s="105"/>
      <c r="AD3891" s="11" t="b">
        <v>0</v>
      </c>
      <c r="AE3891" s="105"/>
      <c r="AF3891" s="11"/>
      <c r="AG3891" s="11"/>
      <c r="AH3891" s="11"/>
      <c r="AI3891" s="11"/>
    </row>
    <row r="3892" ht="12.5" spans="3:35">
      <c r="C3892" s="19"/>
      <c r="D3892" s="19"/>
      <c r="H3892" s="105"/>
      <c r="I3892" s="126"/>
      <c r="J3892" s="11"/>
      <c r="K3892" s="108"/>
      <c r="L3892" s="11"/>
      <c r="M3892" s="105"/>
      <c r="N3892" s="105"/>
      <c r="O3892" s="11"/>
      <c r="P3892" s="11"/>
      <c r="Q3892" s="105"/>
      <c r="R3892" s="105"/>
      <c r="S3892" s="105"/>
      <c r="T3892" s="105"/>
      <c r="U3892" s="105"/>
      <c r="V3892" s="105"/>
      <c r="W3892" s="105"/>
      <c r="X3892" s="11"/>
      <c r="Y3892" s="11"/>
      <c r="Z3892" s="105"/>
      <c r="AA3892" s="11"/>
      <c r="AB3892" s="11"/>
      <c r="AC3892" s="105"/>
      <c r="AD3892" s="11" t="b">
        <v>0</v>
      </c>
      <c r="AE3892" s="105"/>
      <c r="AF3892" s="11"/>
      <c r="AG3892" s="11"/>
      <c r="AH3892" s="11"/>
      <c r="AI3892" s="11"/>
    </row>
    <row r="3893" ht="12.5" spans="3:35">
      <c r="C3893" s="19"/>
      <c r="D3893" s="19"/>
      <c r="H3893" s="105"/>
      <c r="I3893" s="126"/>
      <c r="J3893" s="11"/>
      <c r="K3893" s="108"/>
      <c r="L3893" s="11"/>
      <c r="M3893" s="105"/>
      <c r="N3893" s="105"/>
      <c r="O3893" s="11"/>
      <c r="P3893" s="11"/>
      <c r="Q3893" s="105"/>
      <c r="R3893" s="105"/>
      <c r="S3893" s="105"/>
      <c r="T3893" s="105"/>
      <c r="U3893" s="105"/>
      <c r="V3893" s="105"/>
      <c r="W3893" s="105"/>
      <c r="X3893" s="11"/>
      <c r="Y3893" s="11"/>
      <c r="Z3893" s="105"/>
      <c r="AA3893" s="11"/>
      <c r="AB3893" s="11"/>
      <c r="AC3893" s="105"/>
      <c r="AD3893" s="11" t="b">
        <v>0</v>
      </c>
      <c r="AE3893" s="105"/>
      <c r="AF3893" s="11"/>
      <c r="AG3893" s="11"/>
      <c r="AH3893" s="11"/>
      <c r="AI3893" s="11"/>
    </row>
    <row r="3894" ht="12.5" spans="3:35">
      <c r="C3894" s="19"/>
      <c r="D3894" s="19"/>
      <c r="H3894" s="105"/>
      <c r="I3894" s="126"/>
      <c r="J3894" s="11"/>
      <c r="K3894" s="108"/>
      <c r="L3894" s="11"/>
      <c r="M3894" s="105"/>
      <c r="N3894" s="105"/>
      <c r="O3894" s="11"/>
      <c r="P3894" s="11"/>
      <c r="Q3894" s="105"/>
      <c r="R3894" s="105"/>
      <c r="S3894" s="105"/>
      <c r="T3894" s="105"/>
      <c r="U3894" s="105"/>
      <c r="V3894" s="105"/>
      <c r="W3894" s="105"/>
      <c r="X3894" s="11"/>
      <c r="Y3894" s="11"/>
      <c r="Z3894" s="105"/>
      <c r="AA3894" s="11"/>
      <c r="AB3894" s="11"/>
      <c r="AC3894" s="105"/>
      <c r="AD3894" s="11" t="b">
        <v>0</v>
      </c>
      <c r="AE3894" s="105"/>
      <c r="AF3894" s="11"/>
      <c r="AG3894" s="11"/>
      <c r="AH3894" s="11"/>
      <c r="AI3894" s="11"/>
    </row>
    <row r="3895" ht="12.5" spans="3:35">
      <c r="C3895" s="19"/>
      <c r="D3895" s="19"/>
      <c r="H3895" s="105"/>
      <c r="I3895" s="126"/>
      <c r="J3895" s="11"/>
      <c r="K3895" s="108"/>
      <c r="L3895" s="11"/>
      <c r="M3895" s="105"/>
      <c r="N3895" s="105"/>
      <c r="O3895" s="11"/>
      <c r="P3895" s="11"/>
      <c r="Q3895" s="105"/>
      <c r="R3895" s="105"/>
      <c r="S3895" s="105"/>
      <c r="T3895" s="105"/>
      <c r="U3895" s="105"/>
      <c r="V3895" s="105"/>
      <c r="W3895" s="105"/>
      <c r="X3895" s="11"/>
      <c r="Y3895" s="11"/>
      <c r="Z3895" s="105"/>
      <c r="AA3895" s="11"/>
      <c r="AB3895" s="11"/>
      <c r="AC3895" s="105"/>
      <c r="AD3895" s="11" t="b">
        <v>0</v>
      </c>
      <c r="AE3895" s="105"/>
      <c r="AF3895" s="11"/>
      <c r="AG3895" s="11"/>
      <c r="AH3895" s="11"/>
      <c r="AI3895" s="11"/>
    </row>
    <row r="3896" ht="12.5" spans="3:35">
      <c r="C3896" s="19"/>
      <c r="D3896" s="19"/>
      <c r="H3896" s="105"/>
      <c r="I3896" s="126"/>
      <c r="J3896" s="11"/>
      <c r="K3896" s="108"/>
      <c r="L3896" s="11"/>
      <c r="M3896" s="105"/>
      <c r="N3896" s="105"/>
      <c r="O3896" s="11"/>
      <c r="P3896" s="11"/>
      <c r="Q3896" s="105"/>
      <c r="R3896" s="105"/>
      <c r="S3896" s="105"/>
      <c r="T3896" s="105"/>
      <c r="U3896" s="105"/>
      <c r="V3896" s="105"/>
      <c r="W3896" s="105"/>
      <c r="X3896" s="11"/>
      <c r="Y3896" s="11"/>
      <c r="Z3896" s="105"/>
      <c r="AA3896" s="11"/>
      <c r="AB3896" s="11"/>
      <c r="AC3896" s="105"/>
      <c r="AD3896" s="11" t="b">
        <v>0</v>
      </c>
      <c r="AE3896" s="105"/>
      <c r="AF3896" s="11"/>
      <c r="AG3896" s="11"/>
      <c r="AH3896" s="11"/>
      <c r="AI3896" s="11"/>
    </row>
    <row r="3897" ht="12.5" spans="3:35">
      <c r="C3897" s="19"/>
      <c r="D3897" s="19"/>
      <c r="H3897" s="105"/>
      <c r="I3897" s="126"/>
      <c r="J3897" s="11"/>
      <c r="K3897" s="108"/>
      <c r="L3897" s="11"/>
      <c r="M3897" s="105"/>
      <c r="N3897" s="105"/>
      <c r="O3897" s="11"/>
      <c r="P3897" s="11"/>
      <c r="Q3897" s="105"/>
      <c r="R3897" s="105"/>
      <c r="S3897" s="105"/>
      <c r="T3897" s="105"/>
      <c r="U3897" s="105"/>
      <c r="V3897" s="105"/>
      <c r="W3897" s="105"/>
      <c r="X3897" s="11"/>
      <c r="Y3897" s="11"/>
      <c r="Z3897" s="105"/>
      <c r="AA3897" s="11"/>
      <c r="AB3897" s="11"/>
      <c r="AC3897" s="105"/>
      <c r="AD3897" s="11" t="b">
        <v>0</v>
      </c>
      <c r="AE3897" s="105"/>
      <c r="AF3897" s="11"/>
      <c r="AG3897" s="11"/>
      <c r="AH3897" s="11"/>
      <c r="AI3897" s="11"/>
    </row>
    <row r="3898" ht="12.5" spans="3:35">
      <c r="C3898" s="19"/>
      <c r="D3898" s="19"/>
      <c r="H3898" s="105"/>
      <c r="I3898" s="126"/>
      <c r="J3898" s="11"/>
      <c r="K3898" s="108"/>
      <c r="L3898" s="11"/>
      <c r="M3898" s="105"/>
      <c r="N3898" s="105"/>
      <c r="O3898" s="11"/>
      <c r="P3898" s="11"/>
      <c r="Q3898" s="105"/>
      <c r="R3898" s="105"/>
      <c r="S3898" s="105"/>
      <c r="T3898" s="105"/>
      <c r="U3898" s="105"/>
      <c r="V3898" s="105"/>
      <c r="W3898" s="105"/>
      <c r="X3898" s="11"/>
      <c r="Y3898" s="11"/>
      <c r="Z3898" s="105"/>
      <c r="AA3898" s="11"/>
      <c r="AB3898" s="11"/>
      <c r="AC3898" s="105"/>
      <c r="AD3898" s="11" t="b">
        <v>0</v>
      </c>
      <c r="AE3898" s="105"/>
      <c r="AF3898" s="11"/>
      <c r="AG3898" s="11"/>
      <c r="AH3898" s="11"/>
      <c r="AI3898" s="11"/>
    </row>
    <row r="3899" ht="12.5" spans="3:35">
      <c r="C3899" s="19"/>
      <c r="D3899" s="19"/>
      <c r="H3899" s="105"/>
      <c r="I3899" s="126"/>
      <c r="J3899" s="11"/>
      <c r="K3899" s="108"/>
      <c r="L3899" s="11"/>
      <c r="M3899" s="105"/>
      <c r="N3899" s="105"/>
      <c r="O3899" s="11"/>
      <c r="P3899" s="11"/>
      <c r="Q3899" s="105"/>
      <c r="R3899" s="105"/>
      <c r="S3899" s="105"/>
      <c r="T3899" s="105"/>
      <c r="U3899" s="105"/>
      <c r="V3899" s="105"/>
      <c r="W3899" s="105"/>
      <c r="X3899" s="11"/>
      <c r="Y3899" s="11"/>
      <c r="Z3899" s="105"/>
      <c r="AA3899" s="11"/>
      <c r="AB3899" s="11"/>
      <c r="AC3899" s="105"/>
      <c r="AD3899" s="11" t="b">
        <v>0</v>
      </c>
      <c r="AE3899" s="105"/>
      <c r="AF3899" s="11"/>
      <c r="AG3899" s="11"/>
      <c r="AH3899" s="11"/>
      <c r="AI3899" s="11"/>
    </row>
    <row r="3900" ht="12.5" spans="3:35">
      <c r="C3900" s="19"/>
      <c r="D3900" s="19"/>
      <c r="H3900" s="105"/>
      <c r="I3900" s="126"/>
      <c r="J3900" s="11"/>
      <c r="K3900" s="108"/>
      <c r="L3900" s="11"/>
      <c r="M3900" s="105"/>
      <c r="N3900" s="105"/>
      <c r="O3900" s="11"/>
      <c r="P3900" s="11"/>
      <c r="Q3900" s="105"/>
      <c r="R3900" s="105"/>
      <c r="S3900" s="105"/>
      <c r="T3900" s="105"/>
      <c r="U3900" s="105"/>
      <c r="V3900" s="105"/>
      <c r="W3900" s="105"/>
      <c r="X3900" s="11"/>
      <c r="Y3900" s="11"/>
      <c r="Z3900" s="105"/>
      <c r="AA3900" s="11"/>
      <c r="AB3900" s="11"/>
      <c r="AC3900" s="105"/>
      <c r="AD3900" s="11" t="b">
        <v>0</v>
      </c>
      <c r="AE3900" s="105"/>
      <c r="AF3900" s="11"/>
      <c r="AG3900" s="11"/>
      <c r="AH3900" s="11"/>
      <c r="AI3900" s="11"/>
    </row>
    <row r="3901" ht="12.5" spans="3:35">
      <c r="C3901" s="19"/>
      <c r="D3901" s="19"/>
      <c r="H3901" s="105"/>
      <c r="I3901" s="126"/>
      <c r="J3901" s="11"/>
      <c r="K3901" s="108"/>
      <c r="L3901" s="11"/>
      <c r="M3901" s="105"/>
      <c r="N3901" s="105"/>
      <c r="O3901" s="11"/>
      <c r="P3901" s="11"/>
      <c r="Q3901" s="105"/>
      <c r="R3901" s="105"/>
      <c r="S3901" s="105"/>
      <c r="T3901" s="105"/>
      <c r="U3901" s="105"/>
      <c r="V3901" s="105"/>
      <c r="W3901" s="105"/>
      <c r="X3901" s="11"/>
      <c r="Y3901" s="11"/>
      <c r="Z3901" s="105"/>
      <c r="AA3901" s="11"/>
      <c r="AB3901" s="11"/>
      <c r="AC3901" s="105"/>
      <c r="AD3901" s="11" t="b">
        <v>0</v>
      </c>
      <c r="AE3901" s="105"/>
      <c r="AF3901" s="11"/>
      <c r="AG3901" s="11"/>
      <c r="AH3901" s="11"/>
      <c r="AI3901" s="11"/>
    </row>
    <row r="3902" ht="12.5" spans="3:35">
      <c r="C3902" s="19"/>
      <c r="D3902" s="19"/>
      <c r="H3902" s="105"/>
      <c r="I3902" s="126"/>
      <c r="J3902" s="11"/>
      <c r="K3902" s="108"/>
      <c r="L3902" s="11"/>
      <c r="M3902" s="105"/>
      <c r="N3902" s="105"/>
      <c r="O3902" s="11"/>
      <c r="P3902" s="11"/>
      <c r="Q3902" s="105"/>
      <c r="R3902" s="105"/>
      <c r="S3902" s="105"/>
      <c r="T3902" s="105"/>
      <c r="U3902" s="105"/>
      <c r="V3902" s="105"/>
      <c r="W3902" s="105"/>
      <c r="X3902" s="11"/>
      <c r="Y3902" s="11"/>
      <c r="Z3902" s="105"/>
      <c r="AA3902" s="11"/>
      <c r="AB3902" s="11"/>
      <c r="AC3902" s="105"/>
      <c r="AD3902" s="11" t="b">
        <v>0</v>
      </c>
      <c r="AE3902" s="105"/>
      <c r="AF3902" s="11"/>
      <c r="AG3902" s="11"/>
      <c r="AH3902" s="11"/>
      <c r="AI3902" s="11"/>
    </row>
    <row r="3903" ht="12.5" spans="3:35">
      <c r="C3903" s="19"/>
      <c r="D3903" s="19"/>
      <c r="H3903" s="105"/>
      <c r="I3903" s="126"/>
      <c r="J3903" s="11"/>
      <c r="K3903" s="108"/>
      <c r="L3903" s="11"/>
      <c r="M3903" s="105"/>
      <c r="N3903" s="105"/>
      <c r="O3903" s="11"/>
      <c r="P3903" s="11"/>
      <c r="Q3903" s="105"/>
      <c r="R3903" s="105"/>
      <c r="S3903" s="105"/>
      <c r="T3903" s="105"/>
      <c r="U3903" s="105"/>
      <c r="V3903" s="105"/>
      <c r="W3903" s="105"/>
      <c r="X3903" s="11"/>
      <c r="Y3903" s="11"/>
      <c r="Z3903" s="105"/>
      <c r="AA3903" s="11"/>
      <c r="AB3903" s="11"/>
      <c r="AC3903" s="105"/>
      <c r="AD3903" s="11" t="b">
        <v>0</v>
      </c>
      <c r="AE3903" s="105"/>
      <c r="AF3903" s="11"/>
      <c r="AG3903" s="11"/>
      <c r="AH3903" s="11"/>
      <c r="AI3903" s="11"/>
    </row>
    <row r="3904" ht="12.5" spans="3:35">
      <c r="C3904" s="19"/>
      <c r="D3904" s="19"/>
      <c r="H3904" s="105"/>
      <c r="I3904" s="126"/>
      <c r="J3904" s="11"/>
      <c r="K3904" s="108"/>
      <c r="L3904" s="11"/>
      <c r="M3904" s="105"/>
      <c r="N3904" s="105"/>
      <c r="O3904" s="11"/>
      <c r="P3904" s="11"/>
      <c r="Q3904" s="105"/>
      <c r="R3904" s="105"/>
      <c r="S3904" s="105"/>
      <c r="T3904" s="105"/>
      <c r="U3904" s="105"/>
      <c r="V3904" s="105"/>
      <c r="W3904" s="105"/>
      <c r="X3904" s="11"/>
      <c r="Y3904" s="11"/>
      <c r="Z3904" s="105"/>
      <c r="AA3904" s="11"/>
      <c r="AB3904" s="11"/>
      <c r="AC3904" s="105"/>
      <c r="AD3904" s="11" t="b">
        <v>0</v>
      </c>
      <c r="AE3904" s="105"/>
      <c r="AF3904" s="11"/>
      <c r="AG3904" s="11"/>
      <c r="AH3904" s="11"/>
      <c r="AI3904" s="11"/>
    </row>
    <row r="3905" ht="12.5" spans="3:35">
      <c r="C3905" s="19"/>
      <c r="D3905" s="19"/>
      <c r="H3905" s="105"/>
      <c r="I3905" s="126"/>
      <c r="J3905" s="11"/>
      <c r="K3905" s="108"/>
      <c r="L3905" s="11"/>
      <c r="M3905" s="105"/>
      <c r="N3905" s="105"/>
      <c r="O3905" s="11"/>
      <c r="P3905" s="11"/>
      <c r="Q3905" s="105"/>
      <c r="R3905" s="105"/>
      <c r="S3905" s="105"/>
      <c r="T3905" s="105"/>
      <c r="U3905" s="105"/>
      <c r="V3905" s="105"/>
      <c r="W3905" s="105"/>
      <c r="X3905" s="11"/>
      <c r="Y3905" s="11"/>
      <c r="Z3905" s="105"/>
      <c r="AA3905" s="11"/>
      <c r="AB3905" s="11"/>
      <c r="AC3905" s="105"/>
      <c r="AD3905" s="11" t="b">
        <v>0</v>
      </c>
      <c r="AE3905" s="105"/>
      <c r="AF3905" s="11"/>
      <c r="AG3905" s="11"/>
      <c r="AH3905" s="11"/>
      <c r="AI3905" s="11"/>
    </row>
    <row r="3906" ht="12.5" spans="3:35">
      <c r="C3906" s="19"/>
      <c r="D3906" s="19"/>
      <c r="H3906" s="105"/>
      <c r="I3906" s="126"/>
      <c r="J3906" s="11"/>
      <c r="K3906" s="108"/>
      <c r="L3906" s="11"/>
      <c r="M3906" s="105"/>
      <c r="N3906" s="105"/>
      <c r="O3906" s="11"/>
      <c r="P3906" s="11"/>
      <c r="Q3906" s="105"/>
      <c r="R3906" s="105"/>
      <c r="S3906" s="105"/>
      <c r="T3906" s="105"/>
      <c r="U3906" s="105"/>
      <c r="V3906" s="105"/>
      <c r="W3906" s="105"/>
      <c r="X3906" s="11"/>
      <c r="Y3906" s="11"/>
      <c r="Z3906" s="105"/>
      <c r="AA3906" s="11"/>
      <c r="AB3906" s="11"/>
      <c r="AC3906" s="105"/>
      <c r="AD3906" s="11" t="b">
        <v>0</v>
      </c>
      <c r="AE3906" s="105"/>
      <c r="AF3906" s="11"/>
      <c r="AG3906" s="11"/>
      <c r="AH3906" s="11"/>
      <c r="AI3906" s="11"/>
    </row>
    <row r="3907" ht="12.5" spans="3:35">
      <c r="C3907" s="19"/>
      <c r="D3907" s="19"/>
      <c r="H3907" s="105"/>
      <c r="I3907" s="126"/>
      <c r="J3907" s="11"/>
      <c r="K3907" s="108"/>
      <c r="L3907" s="11"/>
      <c r="M3907" s="105"/>
      <c r="N3907" s="105"/>
      <c r="O3907" s="11"/>
      <c r="P3907" s="11"/>
      <c r="Q3907" s="105"/>
      <c r="R3907" s="105"/>
      <c r="S3907" s="105"/>
      <c r="T3907" s="105"/>
      <c r="U3907" s="105"/>
      <c r="V3907" s="105"/>
      <c r="W3907" s="105"/>
      <c r="X3907" s="11"/>
      <c r="Y3907" s="11"/>
      <c r="Z3907" s="105"/>
      <c r="AA3907" s="11"/>
      <c r="AB3907" s="11"/>
      <c r="AC3907" s="105"/>
      <c r="AD3907" s="11" t="b">
        <v>0</v>
      </c>
      <c r="AE3907" s="105"/>
      <c r="AF3907" s="11"/>
      <c r="AG3907" s="11"/>
      <c r="AH3907" s="11"/>
      <c r="AI3907" s="11"/>
    </row>
    <row r="3908" ht="12.5" spans="3:35">
      <c r="C3908" s="19"/>
      <c r="D3908" s="19"/>
      <c r="H3908" s="105"/>
      <c r="I3908" s="126"/>
      <c r="J3908" s="11"/>
      <c r="K3908" s="108"/>
      <c r="L3908" s="11"/>
      <c r="M3908" s="105"/>
      <c r="N3908" s="105"/>
      <c r="O3908" s="11"/>
      <c r="P3908" s="11"/>
      <c r="Q3908" s="105"/>
      <c r="R3908" s="105"/>
      <c r="S3908" s="105"/>
      <c r="T3908" s="105"/>
      <c r="U3908" s="105"/>
      <c r="V3908" s="105"/>
      <c r="W3908" s="105"/>
      <c r="X3908" s="11"/>
      <c r="Y3908" s="11"/>
      <c r="Z3908" s="105"/>
      <c r="AA3908" s="11"/>
      <c r="AB3908" s="11"/>
      <c r="AC3908" s="105"/>
      <c r="AD3908" s="11" t="b">
        <v>0</v>
      </c>
      <c r="AE3908" s="105"/>
      <c r="AF3908" s="11"/>
      <c r="AG3908" s="11"/>
      <c r="AH3908" s="11"/>
      <c r="AI3908" s="11"/>
    </row>
    <row r="3909" ht="12.5" spans="3:35">
      <c r="C3909" s="19"/>
      <c r="D3909" s="19"/>
      <c r="H3909" s="105"/>
      <c r="I3909" s="126"/>
      <c r="J3909" s="11"/>
      <c r="K3909" s="108"/>
      <c r="L3909" s="11"/>
      <c r="M3909" s="105"/>
      <c r="N3909" s="105"/>
      <c r="O3909" s="11"/>
      <c r="P3909" s="11"/>
      <c r="Q3909" s="105"/>
      <c r="R3909" s="105"/>
      <c r="S3909" s="105"/>
      <c r="T3909" s="105"/>
      <c r="U3909" s="105"/>
      <c r="V3909" s="105"/>
      <c r="W3909" s="105"/>
      <c r="X3909" s="11"/>
      <c r="Y3909" s="11"/>
      <c r="Z3909" s="105"/>
      <c r="AA3909" s="11"/>
      <c r="AB3909" s="11"/>
      <c r="AC3909" s="105"/>
      <c r="AD3909" s="11" t="b">
        <v>0</v>
      </c>
      <c r="AE3909" s="105"/>
      <c r="AF3909" s="11"/>
      <c r="AG3909" s="11"/>
      <c r="AH3909" s="11"/>
      <c r="AI3909" s="11"/>
    </row>
    <row r="3910" ht="12.5" spans="3:35">
      <c r="C3910" s="19"/>
      <c r="D3910" s="19"/>
      <c r="H3910" s="105"/>
      <c r="I3910" s="126"/>
      <c r="J3910" s="11"/>
      <c r="K3910" s="108"/>
      <c r="L3910" s="11"/>
      <c r="M3910" s="105"/>
      <c r="N3910" s="105"/>
      <c r="O3910" s="11"/>
      <c r="P3910" s="11"/>
      <c r="Q3910" s="105"/>
      <c r="R3910" s="105"/>
      <c r="S3910" s="105"/>
      <c r="T3910" s="105"/>
      <c r="U3910" s="105"/>
      <c r="V3910" s="105"/>
      <c r="W3910" s="105"/>
      <c r="X3910" s="11"/>
      <c r="Y3910" s="11"/>
      <c r="Z3910" s="105"/>
      <c r="AA3910" s="11"/>
      <c r="AB3910" s="11"/>
      <c r="AC3910" s="105"/>
      <c r="AD3910" s="11" t="b">
        <v>0</v>
      </c>
      <c r="AE3910" s="105"/>
      <c r="AF3910" s="11"/>
      <c r="AG3910" s="11"/>
      <c r="AH3910" s="11"/>
      <c r="AI3910" s="11"/>
    </row>
    <row r="3911" ht="12.5" spans="3:35">
      <c r="C3911" s="19"/>
      <c r="D3911" s="19"/>
      <c r="H3911" s="105"/>
      <c r="I3911" s="126"/>
      <c r="J3911" s="11"/>
      <c r="K3911" s="108"/>
      <c r="L3911" s="11"/>
      <c r="M3911" s="105"/>
      <c r="N3911" s="105"/>
      <c r="O3911" s="11"/>
      <c r="P3911" s="11"/>
      <c r="Q3911" s="105"/>
      <c r="R3911" s="105"/>
      <c r="S3911" s="105"/>
      <c r="T3911" s="105"/>
      <c r="U3911" s="105"/>
      <c r="V3911" s="105"/>
      <c r="W3911" s="105"/>
      <c r="X3911" s="11"/>
      <c r="Y3911" s="11"/>
      <c r="Z3911" s="105"/>
      <c r="AA3911" s="11"/>
      <c r="AB3911" s="11"/>
      <c r="AC3911" s="105"/>
      <c r="AD3911" s="11" t="b">
        <v>0</v>
      </c>
      <c r="AE3911" s="105"/>
      <c r="AF3911" s="11"/>
      <c r="AG3911" s="11"/>
      <c r="AH3911" s="11"/>
      <c r="AI3911" s="11"/>
    </row>
    <row r="3912" ht="12.5" spans="3:35">
      <c r="C3912" s="19"/>
      <c r="D3912" s="19"/>
      <c r="H3912" s="105"/>
      <c r="I3912" s="126"/>
      <c r="J3912" s="11"/>
      <c r="K3912" s="108"/>
      <c r="L3912" s="11"/>
      <c r="M3912" s="105"/>
      <c r="N3912" s="105"/>
      <c r="O3912" s="11"/>
      <c r="P3912" s="11"/>
      <c r="Q3912" s="105"/>
      <c r="R3912" s="105"/>
      <c r="S3912" s="105"/>
      <c r="T3912" s="105"/>
      <c r="U3912" s="105"/>
      <c r="V3912" s="105"/>
      <c r="W3912" s="105"/>
      <c r="X3912" s="11"/>
      <c r="Y3912" s="11"/>
      <c r="Z3912" s="105"/>
      <c r="AA3912" s="11"/>
      <c r="AB3912" s="11"/>
      <c r="AC3912" s="105"/>
      <c r="AD3912" s="11" t="b">
        <v>0</v>
      </c>
      <c r="AE3912" s="105"/>
      <c r="AF3912" s="11"/>
      <c r="AG3912" s="11"/>
      <c r="AH3912" s="11"/>
      <c r="AI3912" s="11"/>
    </row>
    <row r="3913" ht="12.5" spans="3:35">
      <c r="C3913" s="19"/>
      <c r="D3913" s="19"/>
      <c r="H3913" s="105"/>
      <c r="I3913" s="126"/>
      <c r="J3913" s="11"/>
      <c r="K3913" s="108"/>
      <c r="L3913" s="11"/>
      <c r="M3913" s="105"/>
      <c r="N3913" s="105"/>
      <c r="O3913" s="11"/>
      <c r="P3913" s="11"/>
      <c r="Q3913" s="105"/>
      <c r="R3913" s="105"/>
      <c r="S3913" s="105"/>
      <c r="T3913" s="105"/>
      <c r="U3913" s="105"/>
      <c r="V3913" s="105"/>
      <c r="W3913" s="105"/>
      <c r="X3913" s="11"/>
      <c r="Y3913" s="11"/>
      <c r="Z3913" s="105"/>
      <c r="AA3913" s="11"/>
      <c r="AB3913" s="11"/>
      <c r="AC3913" s="105"/>
      <c r="AD3913" s="11" t="b">
        <v>0</v>
      </c>
      <c r="AE3913" s="105"/>
      <c r="AF3913" s="11"/>
      <c r="AG3913" s="11"/>
      <c r="AH3913" s="11"/>
      <c r="AI3913" s="11"/>
    </row>
    <row r="3914" ht="12.5" spans="3:35">
      <c r="C3914" s="19"/>
      <c r="D3914" s="19"/>
      <c r="H3914" s="105"/>
      <c r="I3914" s="126"/>
      <c r="J3914" s="11"/>
      <c r="K3914" s="108"/>
      <c r="L3914" s="11"/>
      <c r="M3914" s="105"/>
      <c r="N3914" s="105"/>
      <c r="O3914" s="11"/>
      <c r="P3914" s="11"/>
      <c r="Q3914" s="105"/>
      <c r="R3914" s="105"/>
      <c r="S3914" s="105"/>
      <c r="T3914" s="105"/>
      <c r="U3914" s="105"/>
      <c r="V3914" s="105"/>
      <c r="W3914" s="105"/>
      <c r="X3914" s="11"/>
      <c r="Y3914" s="11"/>
      <c r="Z3914" s="105"/>
      <c r="AA3914" s="11"/>
      <c r="AB3914" s="11"/>
      <c r="AC3914" s="105"/>
      <c r="AD3914" s="11" t="b">
        <v>0</v>
      </c>
      <c r="AE3914" s="105"/>
      <c r="AF3914" s="11"/>
      <c r="AG3914" s="11"/>
      <c r="AH3914" s="11"/>
      <c r="AI3914" s="11"/>
    </row>
    <row r="3915" ht="12.5" spans="3:35">
      <c r="C3915" s="19"/>
      <c r="D3915" s="19"/>
      <c r="H3915" s="105"/>
      <c r="I3915" s="126"/>
      <c r="J3915" s="11"/>
      <c r="K3915" s="108"/>
      <c r="L3915" s="11"/>
      <c r="M3915" s="105"/>
      <c r="N3915" s="105"/>
      <c r="O3915" s="11"/>
      <c r="P3915" s="11"/>
      <c r="Q3915" s="105"/>
      <c r="R3915" s="105"/>
      <c r="S3915" s="105"/>
      <c r="T3915" s="105"/>
      <c r="U3915" s="105"/>
      <c r="V3915" s="105"/>
      <c r="W3915" s="105"/>
      <c r="X3915" s="11"/>
      <c r="Y3915" s="11"/>
      <c r="Z3915" s="105"/>
      <c r="AA3915" s="11"/>
      <c r="AB3915" s="11"/>
      <c r="AC3915" s="105"/>
      <c r="AD3915" s="11" t="b">
        <v>0</v>
      </c>
      <c r="AE3915" s="105"/>
      <c r="AF3915" s="11"/>
      <c r="AG3915" s="11"/>
      <c r="AH3915" s="11"/>
      <c r="AI3915" s="11"/>
    </row>
    <row r="3916" ht="12.5" spans="3:35">
      <c r="C3916" s="19"/>
      <c r="D3916" s="19"/>
      <c r="H3916" s="105"/>
      <c r="I3916" s="126"/>
      <c r="J3916" s="11"/>
      <c r="K3916" s="108"/>
      <c r="L3916" s="11"/>
      <c r="M3916" s="105"/>
      <c r="N3916" s="105"/>
      <c r="O3916" s="11"/>
      <c r="P3916" s="11"/>
      <c r="Q3916" s="105"/>
      <c r="R3916" s="105"/>
      <c r="S3916" s="105"/>
      <c r="T3916" s="105"/>
      <c r="U3916" s="105"/>
      <c r="V3916" s="105"/>
      <c r="W3916" s="105"/>
      <c r="X3916" s="11"/>
      <c r="Y3916" s="11"/>
      <c r="Z3916" s="105"/>
      <c r="AA3916" s="11"/>
      <c r="AB3916" s="11"/>
      <c r="AC3916" s="105"/>
      <c r="AD3916" s="11" t="b">
        <v>0</v>
      </c>
      <c r="AE3916" s="105"/>
      <c r="AF3916" s="11"/>
      <c r="AG3916" s="11"/>
      <c r="AH3916" s="11"/>
      <c r="AI3916" s="11"/>
    </row>
    <row r="3917" ht="12.5" spans="3:35">
      <c r="C3917" s="19"/>
      <c r="D3917" s="19"/>
      <c r="H3917" s="105"/>
      <c r="I3917" s="126"/>
      <c r="J3917" s="11"/>
      <c r="K3917" s="108"/>
      <c r="L3917" s="11"/>
      <c r="M3917" s="105"/>
      <c r="N3917" s="105"/>
      <c r="O3917" s="11"/>
      <c r="P3917" s="11"/>
      <c r="Q3917" s="105"/>
      <c r="R3917" s="105"/>
      <c r="S3917" s="105"/>
      <c r="T3917" s="105"/>
      <c r="U3917" s="105"/>
      <c r="V3917" s="105"/>
      <c r="W3917" s="105"/>
      <c r="X3917" s="11"/>
      <c r="Y3917" s="11"/>
      <c r="Z3917" s="105"/>
      <c r="AA3917" s="11"/>
      <c r="AB3917" s="11"/>
      <c r="AC3917" s="105"/>
      <c r="AD3917" s="11" t="b">
        <v>0</v>
      </c>
      <c r="AE3917" s="105"/>
      <c r="AF3917" s="11"/>
      <c r="AG3917" s="11"/>
      <c r="AH3917" s="11"/>
      <c r="AI3917" s="11"/>
    </row>
    <row r="3918" ht="12.5" spans="3:35">
      <c r="C3918" s="19"/>
      <c r="D3918" s="19"/>
      <c r="H3918" s="105"/>
      <c r="I3918" s="126"/>
      <c r="J3918" s="11"/>
      <c r="K3918" s="108"/>
      <c r="L3918" s="11"/>
      <c r="M3918" s="105"/>
      <c r="N3918" s="105"/>
      <c r="O3918" s="11"/>
      <c r="P3918" s="11"/>
      <c r="Q3918" s="105"/>
      <c r="R3918" s="105"/>
      <c r="S3918" s="105"/>
      <c r="T3918" s="105"/>
      <c r="U3918" s="105"/>
      <c r="V3918" s="105"/>
      <c r="W3918" s="105"/>
      <c r="X3918" s="11"/>
      <c r="Y3918" s="11"/>
      <c r="Z3918" s="105"/>
      <c r="AA3918" s="11"/>
      <c r="AB3918" s="11"/>
      <c r="AC3918" s="105"/>
      <c r="AD3918" s="11" t="b">
        <v>0</v>
      </c>
      <c r="AE3918" s="105"/>
      <c r="AF3918" s="11"/>
      <c r="AG3918" s="11"/>
      <c r="AH3918" s="11"/>
      <c r="AI3918" s="11"/>
    </row>
    <row r="3919" ht="12.5" spans="3:35">
      <c r="C3919" s="19"/>
      <c r="D3919" s="19"/>
      <c r="H3919" s="105"/>
      <c r="I3919" s="126"/>
      <c r="J3919" s="11"/>
      <c r="K3919" s="108"/>
      <c r="L3919" s="11"/>
      <c r="M3919" s="105"/>
      <c r="N3919" s="105"/>
      <c r="O3919" s="11"/>
      <c r="P3919" s="11"/>
      <c r="Q3919" s="105"/>
      <c r="R3919" s="105"/>
      <c r="S3919" s="105"/>
      <c r="T3919" s="105"/>
      <c r="U3919" s="105"/>
      <c r="V3919" s="105"/>
      <c r="W3919" s="105"/>
      <c r="X3919" s="11"/>
      <c r="Y3919" s="11"/>
      <c r="Z3919" s="105"/>
      <c r="AA3919" s="11"/>
      <c r="AB3919" s="11"/>
      <c r="AC3919" s="105"/>
      <c r="AD3919" s="11" t="b">
        <v>0</v>
      </c>
      <c r="AE3919" s="105"/>
      <c r="AF3919" s="11"/>
      <c r="AG3919" s="11"/>
      <c r="AH3919" s="11"/>
      <c r="AI3919" s="11"/>
    </row>
    <row r="3920" ht="12.5" spans="3:35">
      <c r="C3920" s="19"/>
      <c r="D3920" s="19"/>
      <c r="H3920" s="105"/>
      <c r="I3920" s="126"/>
      <c r="J3920" s="11"/>
      <c r="K3920" s="108"/>
      <c r="L3920" s="11"/>
      <c r="M3920" s="105"/>
      <c r="N3920" s="105"/>
      <c r="O3920" s="11"/>
      <c r="P3920" s="11"/>
      <c r="Q3920" s="105"/>
      <c r="R3920" s="105"/>
      <c r="S3920" s="105"/>
      <c r="T3920" s="105"/>
      <c r="U3920" s="105"/>
      <c r="V3920" s="105"/>
      <c r="W3920" s="105"/>
      <c r="X3920" s="11"/>
      <c r="Y3920" s="11"/>
      <c r="Z3920" s="105"/>
      <c r="AA3920" s="11"/>
      <c r="AB3920" s="11"/>
      <c r="AC3920" s="105"/>
      <c r="AD3920" s="11" t="b">
        <v>0</v>
      </c>
      <c r="AE3920" s="105"/>
      <c r="AF3920" s="11"/>
      <c r="AG3920" s="11"/>
      <c r="AH3920" s="11"/>
      <c r="AI3920" s="11"/>
    </row>
    <row r="3921" ht="12.5" spans="3:35">
      <c r="C3921" s="19"/>
      <c r="D3921" s="19"/>
      <c r="H3921" s="105"/>
      <c r="I3921" s="126"/>
      <c r="J3921" s="11"/>
      <c r="K3921" s="108"/>
      <c r="L3921" s="11"/>
      <c r="M3921" s="105"/>
      <c r="N3921" s="105"/>
      <c r="O3921" s="11"/>
      <c r="P3921" s="11"/>
      <c r="Q3921" s="105"/>
      <c r="R3921" s="105"/>
      <c r="S3921" s="105"/>
      <c r="T3921" s="105"/>
      <c r="U3921" s="105"/>
      <c r="V3921" s="105"/>
      <c r="W3921" s="105"/>
      <c r="X3921" s="11"/>
      <c r="Y3921" s="11"/>
      <c r="Z3921" s="105"/>
      <c r="AA3921" s="11"/>
      <c r="AB3921" s="11"/>
      <c r="AC3921" s="105"/>
      <c r="AD3921" s="11" t="b">
        <v>0</v>
      </c>
      <c r="AE3921" s="105"/>
      <c r="AF3921" s="11"/>
      <c r="AG3921" s="11"/>
      <c r="AH3921" s="11"/>
      <c r="AI3921" s="11"/>
    </row>
    <row r="3922" ht="12.5" spans="3:35">
      <c r="C3922" s="19"/>
      <c r="D3922" s="19"/>
      <c r="H3922" s="105"/>
      <c r="I3922" s="126"/>
      <c r="J3922" s="11"/>
      <c r="K3922" s="108"/>
      <c r="L3922" s="11"/>
      <c r="M3922" s="105"/>
      <c r="N3922" s="105"/>
      <c r="O3922" s="11"/>
      <c r="P3922" s="11"/>
      <c r="Q3922" s="105"/>
      <c r="R3922" s="105"/>
      <c r="S3922" s="105"/>
      <c r="T3922" s="105"/>
      <c r="U3922" s="105"/>
      <c r="V3922" s="105"/>
      <c r="W3922" s="105"/>
      <c r="X3922" s="11"/>
      <c r="Y3922" s="11"/>
      <c r="Z3922" s="105"/>
      <c r="AA3922" s="11"/>
      <c r="AB3922" s="11"/>
      <c r="AC3922" s="105"/>
      <c r="AD3922" s="11" t="b">
        <v>0</v>
      </c>
      <c r="AE3922" s="105"/>
      <c r="AF3922" s="11"/>
      <c r="AG3922" s="11"/>
      <c r="AH3922" s="11"/>
      <c r="AI3922" s="11"/>
    </row>
    <row r="3923" ht="12.5" spans="3:35">
      <c r="C3923" s="19"/>
      <c r="D3923" s="19"/>
      <c r="H3923" s="105"/>
      <c r="I3923" s="126"/>
      <c r="J3923" s="11"/>
      <c r="K3923" s="108"/>
      <c r="L3923" s="11"/>
      <c r="M3923" s="105"/>
      <c r="N3923" s="105"/>
      <c r="O3923" s="11"/>
      <c r="P3923" s="11"/>
      <c r="Q3923" s="105"/>
      <c r="R3923" s="105"/>
      <c r="S3923" s="105"/>
      <c r="T3923" s="105"/>
      <c r="U3923" s="105"/>
      <c r="V3923" s="105"/>
      <c r="W3923" s="105"/>
      <c r="X3923" s="11"/>
      <c r="Y3923" s="11"/>
      <c r="Z3923" s="105"/>
      <c r="AA3923" s="11"/>
      <c r="AB3923" s="11"/>
      <c r="AC3923" s="105"/>
      <c r="AD3923" s="11" t="b">
        <v>0</v>
      </c>
      <c r="AE3923" s="105"/>
      <c r="AF3923" s="11"/>
      <c r="AG3923" s="11"/>
      <c r="AH3923" s="11"/>
      <c r="AI3923" s="11"/>
    </row>
    <row r="3924" ht="12.5" spans="3:35">
      <c r="C3924" s="19"/>
      <c r="D3924" s="19"/>
      <c r="H3924" s="105"/>
      <c r="I3924" s="126"/>
      <c r="J3924" s="11"/>
      <c r="K3924" s="108"/>
      <c r="L3924" s="11"/>
      <c r="M3924" s="105"/>
      <c r="N3924" s="105"/>
      <c r="O3924" s="11"/>
      <c r="P3924" s="11"/>
      <c r="Q3924" s="105"/>
      <c r="R3924" s="105"/>
      <c r="S3924" s="105"/>
      <c r="T3924" s="105"/>
      <c r="U3924" s="105"/>
      <c r="V3924" s="105"/>
      <c r="W3924" s="105"/>
      <c r="X3924" s="11"/>
      <c r="Y3924" s="11"/>
      <c r="Z3924" s="105"/>
      <c r="AA3924" s="11"/>
      <c r="AB3924" s="11"/>
      <c r="AC3924" s="105"/>
      <c r="AD3924" s="11" t="b">
        <v>0</v>
      </c>
      <c r="AE3924" s="105"/>
      <c r="AF3924" s="11"/>
      <c r="AG3924" s="11"/>
      <c r="AH3924" s="11"/>
      <c r="AI3924" s="11"/>
    </row>
    <row r="3925" ht="12.5" spans="3:35">
      <c r="C3925" s="19"/>
      <c r="D3925" s="19"/>
      <c r="H3925" s="105"/>
      <c r="I3925" s="126"/>
      <c r="J3925" s="11"/>
      <c r="K3925" s="108"/>
      <c r="L3925" s="11"/>
      <c r="M3925" s="105"/>
      <c r="N3925" s="105"/>
      <c r="O3925" s="11"/>
      <c r="P3925" s="11"/>
      <c r="Q3925" s="105"/>
      <c r="R3925" s="105"/>
      <c r="S3925" s="105"/>
      <c r="T3925" s="105"/>
      <c r="U3925" s="105"/>
      <c r="V3925" s="105"/>
      <c r="W3925" s="105"/>
      <c r="X3925" s="11"/>
      <c r="Y3925" s="11"/>
      <c r="Z3925" s="105"/>
      <c r="AA3925" s="11"/>
      <c r="AB3925" s="11"/>
      <c r="AC3925" s="105"/>
      <c r="AD3925" s="11" t="b">
        <v>0</v>
      </c>
      <c r="AE3925" s="105"/>
      <c r="AF3925" s="11"/>
      <c r="AG3925" s="11"/>
      <c r="AH3925" s="11"/>
      <c r="AI3925" s="11"/>
    </row>
    <row r="3926" ht="12.5" spans="3:35">
      <c r="C3926" s="19"/>
      <c r="D3926" s="19"/>
      <c r="H3926" s="105"/>
      <c r="I3926" s="126"/>
      <c r="J3926" s="11"/>
      <c r="K3926" s="108"/>
      <c r="L3926" s="11"/>
      <c r="M3926" s="105"/>
      <c r="N3926" s="105"/>
      <c r="O3926" s="11"/>
      <c r="P3926" s="11"/>
      <c r="Q3926" s="105"/>
      <c r="R3926" s="105"/>
      <c r="S3926" s="105"/>
      <c r="T3926" s="105"/>
      <c r="U3926" s="105"/>
      <c r="V3926" s="105"/>
      <c r="W3926" s="105"/>
      <c r="X3926" s="11"/>
      <c r="Y3926" s="11"/>
      <c r="Z3926" s="105"/>
      <c r="AA3926" s="11"/>
      <c r="AB3926" s="11"/>
      <c r="AC3926" s="105"/>
      <c r="AD3926" s="11" t="b">
        <v>0</v>
      </c>
      <c r="AE3926" s="105"/>
      <c r="AF3926" s="11"/>
      <c r="AG3926" s="11"/>
      <c r="AH3926" s="11"/>
      <c r="AI3926" s="11"/>
    </row>
    <row r="3927" ht="12.5" spans="3:35">
      <c r="C3927" s="19"/>
      <c r="D3927" s="19"/>
      <c r="H3927" s="105"/>
      <c r="I3927" s="126"/>
      <c r="J3927" s="11"/>
      <c r="K3927" s="108"/>
      <c r="L3927" s="11"/>
      <c r="M3927" s="105"/>
      <c r="N3927" s="105"/>
      <c r="O3927" s="11"/>
      <c r="P3927" s="11"/>
      <c r="Q3927" s="105"/>
      <c r="R3927" s="105"/>
      <c r="S3927" s="105"/>
      <c r="T3927" s="105"/>
      <c r="U3927" s="105"/>
      <c r="V3927" s="105"/>
      <c r="W3927" s="105"/>
      <c r="X3927" s="11"/>
      <c r="Y3927" s="11"/>
      <c r="Z3927" s="105"/>
      <c r="AA3927" s="11"/>
      <c r="AB3927" s="11"/>
      <c r="AC3927" s="105"/>
      <c r="AD3927" s="11" t="b">
        <v>0</v>
      </c>
      <c r="AE3927" s="105"/>
      <c r="AF3927" s="11"/>
      <c r="AG3927" s="11"/>
      <c r="AH3927" s="11"/>
      <c r="AI3927" s="11"/>
    </row>
    <row r="3928" ht="12.5" spans="3:35">
      <c r="C3928" s="19"/>
      <c r="D3928" s="19"/>
      <c r="H3928" s="105"/>
      <c r="I3928" s="126"/>
      <c r="J3928" s="11"/>
      <c r="K3928" s="108"/>
      <c r="L3928" s="11"/>
      <c r="M3928" s="105"/>
      <c r="N3928" s="105"/>
      <c r="O3928" s="11"/>
      <c r="P3928" s="11"/>
      <c r="Q3928" s="105"/>
      <c r="R3928" s="105"/>
      <c r="S3928" s="105"/>
      <c r="T3928" s="105"/>
      <c r="U3928" s="105"/>
      <c r="V3928" s="105"/>
      <c r="W3928" s="105"/>
      <c r="X3928" s="11"/>
      <c r="Y3928" s="11"/>
      <c r="Z3928" s="105"/>
      <c r="AA3928" s="11"/>
      <c r="AB3928" s="11"/>
      <c r="AC3928" s="105"/>
      <c r="AD3928" s="11" t="b">
        <v>0</v>
      </c>
      <c r="AE3928" s="105"/>
      <c r="AF3928" s="11"/>
      <c r="AG3928" s="11"/>
      <c r="AH3928" s="11"/>
      <c r="AI3928" s="11"/>
    </row>
    <row r="3929" ht="12.5" spans="3:35">
      <c r="C3929" s="19"/>
      <c r="D3929" s="19"/>
      <c r="H3929" s="105"/>
      <c r="I3929" s="126"/>
      <c r="J3929" s="11"/>
      <c r="K3929" s="108"/>
      <c r="L3929" s="11"/>
      <c r="M3929" s="105"/>
      <c r="N3929" s="105"/>
      <c r="O3929" s="11"/>
      <c r="P3929" s="11"/>
      <c r="Q3929" s="105"/>
      <c r="R3929" s="105"/>
      <c r="S3929" s="105"/>
      <c r="T3929" s="105"/>
      <c r="U3929" s="105"/>
      <c r="V3929" s="105"/>
      <c r="W3929" s="105"/>
      <c r="X3929" s="11"/>
      <c r="Y3929" s="11"/>
      <c r="Z3929" s="105"/>
      <c r="AA3929" s="11"/>
      <c r="AB3929" s="11"/>
      <c r="AC3929" s="105"/>
      <c r="AD3929" s="11" t="b">
        <v>0</v>
      </c>
      <c r="AE3929" s="105"/>
      <c r="AF3929" s="11"/>
      <c r="AG3929" s="11"/>
      <c r="AH3929" s="11"/>
      <c r="AI3929" s="11"/>
    </row>
    <row r="3930" ht="12.5" spans="3:35">
      <c r="C3930" s="19"/>
      <c r="D3930" s="19"/>
      <c r="H3930" s="105"/>
      <c r="I3930" s="126"/>
      <c r="J3930" s="11"/>
      <c r="K3930" s="108"/>
      <c r="L3930" s="11"/>
      <c r="M3930" s="105"/>
      <c r="N3930" s="105"/>
      <c r="O3930" s="11"/>
      <c r="P3930" s="11"/>
      <c r="Q3930" s="105"/>
      <c r="R3930" s="105"/>
      <c r="S3930" s="105"/>
      <c r="T3930" s="105"/>
      <c r="U3930" s="105"/>
      <c r="V3930" s="105"/>
      <c r="W3930" s="105"/>
      <c r="X3930" s="11"/>
      <c r="Y3930" s="11"/>
      <c r="Z3930" s="105"/>
      <c r="AA3930" s="11"/>
      <c r="AB3930" s="11"/>
      <c r="AC3930" s="105"/>
      <c r="AD3930" s="11" t="b">
        <v>0</v>
      </c>
      <c r="AE3930" s="105"/>
      <c r="AF3930" s="11"/>
      <c r="AG3930" s="11"/>
      <c r="AH3930" s="11"/>
      <c r="AI3930" s="11"/>
    </row>
    <row r="3931" ht="12.5" spans="3:35">
      <c r="C3931" s="19"/>
      <c r="D3931" s="19"/>
      <c r="H3931" s="105"/>
      <c r="I3931" s="126"/>
      <c r="J3931" s="11"/>
      <c r="K3931" s="108"/>
      <c r="L3931" s="11"/>
      <c r="M3931" s="105"/>
      <c r="N3931" s="105"/>
      <c r="O3931" s="11"/>
      <c r="P3931" s="11"/>
      <c r="Q3931" s="105"/>
      <c r="R3931" s="105"/>
      <c r="S3931" s="105"/>
      <c r="T3931" s="105"/>
      <c r="U3931" s="105"/>
      <c r="V3931" s="105"/>
      <c r="W3931" s="105"/>
      <c r="X3931" s="11"/>
      <c r="Y3931" s="11"/>
      <c r="Z3931" s="105"/>
      <c r="AA3931" s="11"/>
      <c r="AB3931" s="11"/>
      <c r="AC3931" s="105"/>
      <c r="AD3931" s="11" t="b">
        <v>0</v>
      </c>
      <c r="AE3931" s="105"/>
      <c r="AF3931" s="11"/>
      <c r="AG3931" s="11"/>
      <c r="AH3931" s="11"/>
      <c r="AI3931" s="11"/>
    </row>
    <row r="3932" ht="12.5" spans="3:35">
      <c r="C3932" s="19"/>
      <c r="D3932" s="19"/>
      <c r="H3932" s="105"/>
      <c r="I3932" s="126"/>
      <c r="J3932" s="11"/>
      <c r="K3932" s="108"/>
      <c r="L3932" s="11"/>
      <c r="M3932" s="105"/>
      <c r="N3932" s="105"/>
      <c r="O3932" s="11"/>
      <c r="P3932" s="11"/>
      <c r="Q3932" s="105"/>
      <c r="R3932" s="105"/>
      <c r="S3932" s="105"/>
      <c r="T3932" s="105"/>
      <c r="U3932" s="105"/>
      <c r="V3932" s="105"/>
      <c r="W3932" s="105"/>
      <c r="X3932" s="11"/>
      <c r="Y3932" s="11"/>
      <c r="Z3932" s="105"/>
      <c r="AA3932" s="11"/>
      <c r="AB3932" s="11"/>
      <c r="AC3932" s="105"/>
      <c r="AD3932" s="11" t="b">
        <v>0</v>
      </c>
      <c r="AE3932" s="105"/>
      <c r="AF3932" s="11"/>
      <c r="AG3932" s="11"/>
      <c r="AH3932" s="11"/>
      <c r="AI3932" s="11"/>
    </row>
    <row r="3933" ht="12.5" spans="3:35">
      <c r="C3933" s="19"/>
      <c r="D3933" s="19"/>
      <c r="H3933" s="105"/>
      <c r="I3933" s="126"/>
      <c r="J3933" s="11"/>
      <c r="K3933" s="108"/>
      <c r="L3933" s="11"/>
      <c r="M3933" s="105"/>
      <c r="N3933" s="105"/>
      <c r="O3933" s="11"/>
      <c r="P3933" s="11"/>
      <c r="Q3933" s="105"/>
      <c r="R3933" s="105"/>
      <c r="S3933" s="105"/>
      <c r="T3933" s="105"/>
      <c r="U3933" s="105"/>
      <c r="V3933" s="105"/>
      <c r="W3933" s="105"/>
      <c r="X3933" s="11"/>
      <c r="Y3933" s="11"/>
      <c r="Z3933" s="105"/>
      <c r="AA3933" s="11"/>
      <c r="AB3933" s="11"/>
      <c r="AC3933" s="105"/>
      <c r="AD3933" s="11" t="b">
        <v>0</v>
      </c>
      <c r="AE3933" s="105"/>
      <c r="AF3933" s="11"/>
      <c r="AG3933" s="11"/>
      <c r="AH3933" s="11"/>
      <c r="AI3933" s="11"/>
    </row>
    <row r="3934" ht="12.5" spans="3:35">
      <c r="C3934" s="19"/>
      <c r="D3934" s="19"/>
      <c r="H3934" s="105"/>
      <c r="I3934" s="126"/>
      <c r="J3934" s="11"/>
      <c r="K3934" s="108"/>
      <c r="L3934" s="11"/>
      <c r="M3934" s="105"/>
      <c r="N3934" s="105"/>
      <c r="O3934" s="11"/>
      <c r="P3934" s="11"/>
      <c r="Q3934" s="105"/>
      <c r="R3934" s="105"/>
      <c r="S3934" s="105"/>
      <c r="T3934" s="105"/>
      <c r="U3934" s="105"/>
      <c r="V3934" s="105"/>
      <c r="W3934" s="105"/>
      <c r="X3934" s="11"/>
      <c r="Y3934" s="11"/>
      <c r="Z3934" s="105"/>
      <c r="AA3934" s="11"/>
      <c r="AB3934" s="11"/>
      <c r="AC3934" s="105"/>
      <c r="AD3934" s="11" t="b">
        <v>0</v>
      </c>
      <c r="AE3934" s="105"/>
      <c r="AF3934" s="11"/>
      <c r="AG3934" s="11"/>
      <c r="AH3934" s="11"/>
      <c r="AI3934" s="11"/>
    </row>
    <row r="3935" ht="12.5" spans="3:35">
      <c r="C3935" s="19"/>
      <c r="D3935" s="19"/>
      <c r="H3935" s="105"/>
      <c r="I3935" s="126"/>
      <c r="J3935" s="11"/>
      <c r="K3935" s="108"/>
      <c r="L3935" s="11"/>
      <c r="M3935" s="105"/>
      <c r="N3935" s="105"/>
      <c r="O3935" s="11"/>
      <c r="P3935" s="11"/>
      <c r="Q3935" s="105"/>
      <c r="R3935" s="105"/>
      <c r="S3935" s="105"/>
      <c r="T3935" s="105"/>
      <c r="U3935" s="105"/>
      <c r="V3935" s="105"/>
      <c r="W3935" s="105"/>
      <c r="X3935" s="11"/>
      <c r="Y3935" s="11"/>
      <c r="Z3935" s="105"/>
      <c r="AA3935" s="11"/>
      <c r="AB3935" s="11"/>
      <c r="AC3935" s="105"/>
      <c r="AD3935" s="11" t="b">
        <v>0</v>
      </c>
      <c r="AE3935" s="105"/>
      <c r="AF3935" s="11"/>
      <c r="AG3935" s="11"/>
      <c r="AH3935" s="11"/>
      <c r="AI3935" s="11"/>
    </row>
    <row r="3936" ht="12.5" spans="3:35">
      <c r="C3936" s="19"/>
      <c r="D3936" s="19"/>
      <c r="H3936" s="105"/>
      <c r="I3936" s="126"/>
      <c r="J3936" s="11"/>
      <c r="K3936" s="108"/>
      <c r="L3936" s="11"/>
      <c r="M3936" s="105"/>
      <c r="N3936" s="105"/>
      <c r="O3936" s="11"/>
      <c r="P3936" s="11"/>
      <c r="Q3936" s="105"/>
      <c r="R3936" s="105"/>
      <c r="S3936" s="105"/>
      <c r="T3936" s="105"/>
      <c r="U3936" s="105"/>
      <c r="V3936" s="105"/>
      <c r="W3936" s="105"/>
      <c r="X3936" s="11"/>
      <c r="Y3936" s="11"/>
      <c r="Z3936" s="105"/>
      <c r="AA3936" s="11"/>
      <c r="AB3936" s="11"/>
      <c r="AC3936" s="105"/>
      <c r="AD3936" s="11" t="b">
        <v>0</v>
      </c>
      <c r="AE3936" s="105"/>
      <c r="AF3936" s="11"/>
      <c r="AG3936" s="11"/>
      <c r="AH3936" s="11"/>
      <c r="AI3936" s="11"/>
    </row>
    <row r="3937" ht="12.5" spans="3:35">
      <c r="C3937" s="19"/>
      <c r="D3937" s="19"/>
      <c r="H3937" s="105"/>
      <c r="I3937" s="126"/>
      <c r="J3937" s="11"/>
      <c r="K3937" s="108"/>
      <c r="L3937" s="11"/>
      <c r="M3937" s="105"/>
      <c r="N3937" s="105"/>
      <c r="O3937" s="11"/>
      <c r="P3937" s="11"/>
      <c r="Q3937" s="105"/>
      <c r="R3937" s="105"/>
      <c r="S3937" s="105"/>
      <c r="T3937" s="105"/>
      <c r="U3937" s="105"/>
      <c r="V3937" s="105"/>
      <c r="W3937" s="105"/>
      <c r="X3937" s="11"/>
      <c r="Y3937" s="11"/>
      <c r="Z3937" s="105"/>
      <c r="AA3937" s="11"/>
      <c r="AB3937" s="11"/>
      <c r="AC3937" s="105"/>
      <c r="AD3937" s="11" t="b">
        <v>0</v>
      </c>
      <c r="AE3937" s="105"/>
      <c r="AF3937" s="11"/>
      <c r="AG3937" s="11"/>
      <c r="AH3937" s="11"/>
      <c r="AI3937" s="11"/>
    </row>
    <row r="3938" ht="12.5" spans="3:35">
      <c r="C3938" s="19"/>
      <c r="D3938" s="19"/>
      <c r="H3938" s="105"/>
      <c r="I3938" s="126"/>
      <c r="J3938" s="11"/>
      <c r="K3938" s="108"/>
      <c r="L3938" s="11"/>
      <c r="M3938" s="105"/>
      <c r="N3938" s="105"/>
      <c r="O3938" s="11"/>
      <c r="P3938" s="11"/>
      <c r="Q3938" s="105"/>
      <c r="R3938" s="105"/>
      <c r="S3938" s="105"/>
      <c r="T3938" s="105"/>
      <c r="U3938" s="105"/>
      <c r="V3938" s="105"/>
      <c r="W3938" s="105"/>
      <c r="X3938" s="11"/>
      <c r="Y3938" s="11"/>
      <c r="Z3938" s="105"/>
      <c r="AA3938" s="11"/>
      <c r="AB3938" s="11"/>
      <c r="AC3938" s="105"/>
      <c r="AD3938" s="11" t="b">
        <v>0</v>
      </c>
      <c r="AE3938" s="105"/>
      <c r="AF3938" s="11"/>
      <c r="AG3938" s="11"/>
      <c r="AH3938" s="11"/>
      <c r="AI3938" s="11"/>
    </row>
    <row r="3939" ht="12.5" spans="3:35">
      <c r="C3939" s="19"/>
      <c r="D3939" s="19"/>
      <c r="H3939" s="105"/>
      <c r="I3939" s="126"/>
      <c r="J3939" s="11"/>
      <c r="K3939" s="108"/>
      <c r="L3939" s="11"/>
      <c r="M3939" s="105"/>
      <c r="N3939" s="105"/>
      <c r="O3939" s="11"/>
      <c r="P3939" s="11"/>
      <c r="Q3939" s="105"/>
      <c r="R3939" s="105"/>
      <c r="S3939" s="105"/>
      <c r="T3939" s="105"/>
      <c r="U3939" s="105"/>
      <c r="V3939" s="105"/>
      <c r="W3939" s="105"/>
      <c r="X3939" s="11"/>
      <c r="Y3939" s="11"/>
      <c r="Z3939" s="105"/>
      <c r="AA3939" s="11"/>
      <c r="AB3939" s="11"/>
      <c r="AC3939" s="105"/>
      <c r="AD3939" s="11" t="b">
        <v>0</v>
      </c>
      <c r="AE3939" s="105"/>
      <c r="AF3939" s="11"/>
      <c r="AG3939" s="11"/>
      <c r="AH3939" s="11"/>
      <c r="AI3939" s="11"/>
    </row>
    <row r="3940" ht="12.5" spans="3:35">
      <c r="C3940" s="19"/>
      <c r="D3940" s="19"/>
      <c r="H3940" s="105"/>
      <c r="I3940" s="126"/>
      <c r="J3940" s="11"/>
      <c r="K3940" s="108"/>
      <c r="L3940" s="11"/>
      <c r="M3940" s="105"/>
      <c r="N3940" s="105"/>
      <c r="O3940" s="11"/>
      <c r="P3940" s="11"/>
      <c r="Q3940" s="105"/>
      <c r="R3940" s="105"/>
      <c r="S3940" s="105"/>
      <c r="T3940" s="105"/>
      <c r="U3940" s="105"/>
      <c r="V3940" s="105"/>
      <c r="W3940" s="105"/>
      <c r="X3940" s="11"/>
      <c r="Y3940" s="11"/>
      <c r="Z3940" s="105"/>
      <c r="AA3940" s="11"/>
      <c r="AB3940" s="11"/>
      <c r="AC3940" s="105"/>
      <c r="AD3940" s="11" t="b">
        <v>0</v>
      </c>
      <c r="AE3940" s="105"/>
      <c r="AF3940" s="11"/>
      <c r="AG3940" s="11"/>
      <c r="AH3940" s="11"/>
      <c r="AI3940" s="11"/>
    </row>
    <row r="3941" ht="12.5" spans="3:35">
      <c r="C3941" s="19"/>
      <c r="D3941" s="19"/>
      <c r="H3941" s="105"/>
      <c r="I3941" s="126"/>
      <c r="J3941" s="11"/>
      <c r="K3941" s="108"/>
      <c r="L3941" s="11"/>
      <c r="M3941" s="105"/>
      <c r="N3941" s="105"/>
      <c r="O3941" s="11"/>
      <c r="P3941" s="11"/>
      <c r="Q3941" s="105"/>
      <c r="R3941" s="105"/>
      <c r="S3941" s="105"/>
      <c r="T3941" s="105"/>
      <c r="U3941" s="105"/>
      <c r="V3941" s="105"/>
      <c r="W3941" s="105"/>
      <c r="X3941" s="11"/>
      <c r="Y3941" s="11"/>
      <c r="Z3941" s="105"/>
      <c r="AA3941" s="11"/>
      <c r="AB3941" s="11"/>
      <c r="AC3941" s="105"/>
      <c r="AD3941" s="11" t="b">
        <v>0</v>
      </c>
      <c r="AE3941" s="105"/>
      <c r="AF3941" s="11"/>
      <c r="AG3941" s="11"/>
      <c r="AH3941" s="11"/>
      <c r="AI3941" s="11"/>
    </row>
    <row r="3942" ht="12.5" spans="3:35">
      <c r="C3942" s="19"/>
      <c r="D3942" s="19"/>
      <c r="H3942" s="105"/>
      <c r="I3942" s="126"/>
      <c r="J3942" s="11"/>
      <c r="K3942" s="108"/>
      <c r="L3942" s="11"/>
      <c r="M3942" s="105"/>
      <c r="N3942" s="105"/>
      <c r="O3942" s="11"/>
      <c r="P3942" s="11"/>
      <c r="Q3942" s="105"/>
      <c r="R3942" s="105"/>
      <c r="S3942" s="105"/>
      <c r="T3942" s="105"/>
      <c r="U3942" s="105"/>
      <c r="V3942" s="105"/>
      <c r="W3942" s="105"/>
      <c r="X3942" s="11"/>
      <c r="Y3942" s="11"/>
      <c r="Z3942" s="105"/>
      <c r="AA3942" s="11"/>
      <c r="AB3942" s="11"/>
      <c r="AC3942" s="105"/>
      <c r="AD3942" s="11" t="b">
        <v>0</v>
      </c>
      <c r="AE3942" s="105"/>
      <c r="AF3942" s="11"/>
      <c r="AG3942" s="11"/>
      <c r="AH3942" s="11"/>
      <c r="AI3942" s="11"/>
    </row>
    <row r="3943" ht="12.5" spans="3:35">
      <c r="C3943" s="19"/>
      <c r="D3943" s="19"/>
      <c r="H3943" s="105"/>
      <c r="I3943" s="126"/>
      <c r="J3943" s="11"/>
      <c r="K3943" s="108"/>
      <c r="L3943" s="11"/>
      <c r="M3943" s="105"/>
      <c r="N3943" s="105"/>
      <c r="O3943" s="11"/>
      <c r="P3943" s="11"/>
      <c r="Q3943" s="105"/>
      <c r="R3943" s="105"/>
      <c r="S3943" s="105"/>
      <c r="T3943" s="105"/>
      <c r="U3943" s="105"/>
      <c r="V3943" s="105"/>
      <c r="W3943" s="105"/>
      <c r="X3943" s="11"/>
      <c r="Y3943" s="11"/>
      <c r="Z3943" s="105"/>
      <c r="AA3943" s="11"/>
      <c r="AB3943" s="11"/>
      <c r="AC3943" s="105"/>
      <c r="AD3943" s="11" t="b">
        <v>0</v>
      </c>
      <c r="AE3943" s="105"/>
      <c r="AF3943" s="11"/>
      <c r="AG3943" s="11"/>
      <c r="AH3943" s="11"/>
      <c r="AI3943" s="11"/>
    </row>
    <row r="3944" ht="12.5" spans="3:35">
      <c r="C3944" s="19"/>
      <c r="D3944" s="19"/>
      <c r="H3944" s="105"/>
      <c r="I3944" s="126"/>
      <c r="J3944" s="11"/>
      <c r="K3944" s="108"/>
      <c r="L3944" s="11"/>
      <c r="M3944" s="105"/>
      <c r="N3944" s="105"/>
      <c r="O3944" s="11"/>
      <c r="P3944" s="11"/>
      <c r="Q3944" s="105"/>
      <c r="R3944" s="105"/>
      <c r="S3944" s="105"/>
      <c r="T3944" s="105"/>
      <c r="U3944" s="105"/>
      <c r="V3944" s="105"/>
      <c r="W3944" s="105"/>
      <c r="X3944" s="11"/>
      <c r="Y3944" s="11"/>
      <c r="Z3944" s="105"/>
      <c r="AA3944" s="11"/>
      <c r="AB3944" s="11"/>
      <c r="AC3944" s="105"/>
      <c r="AD3944" s="11" t="b">
        <v>0</v>
      </c>
      <c r="AE3944" s="105"/>
      <c r="AF3944" s="11"/>
      <c r="AG3944" s="11"/>
      <c r="AH3944" s="11"/>
      <c r="AI3944" s="11"/>
    </row>
    <row r="3945" ht="12.5" spans="3:35">
      <c r="C3945" s="19"/>
      <c r="D3945" s="19"/>
      <c r="H3945" s="105"/>
      <c r="I3945" s="126"/>
      <c r="J3945" s="11"/>
      <c r="K3945" s="108"/>
      <c r="L3945" s="11"/>
      <c r="M3945" s="105"/>
      <c r="N3945" s="105"/>
      <c r="O3945" s="11"/>
      <c r="P3945" s="11"/>
      <c r="Q3945" s="105"/>
      <c r="R3945" s="105"/>
      <c r="S3945" s="105"/>
      <c r="T3945" s="105"/>
      <c r="U3945" s="105"/>
      <c r="V3945" s="105"/>
      <c r="W3945" s="105"/>
      <c r="X3945" s="11"/>
      <c r="Y3945" s="11"/>
      <c r="Z3945" s="105"/>
      <c r="AA3945" s="11"/>
      <c r="AB3945" s="11"/>
      <c r="AC3945" s="105"/>
      <c r="AD3945" s="11" t="b">
        <v>0</v>
      </c>
      <c r="AE3945" s="105"/>
      <c r="AF3945" s="11"/>
      <c r="AG3945" s="11"/>
      <c r="AH3945" s="11"/>
      <c r="AI3945" s="11"/>
    </row>
    <row r="3946" ht="12.5" spans="3:35">
      <c r="C3946" s="19"/>
      <c r="D3946" s="19"/>
      <c r="H3946" s="105"/>
      <c r="I3946" s="126"/>
      <c r="J3946" s="11"/>
      <c r="K3946" s="108"/>
      <c r="L3946" s="11"/>
      <c r="M3946" s="105"/>
      <c r="N3946" s="105"/>
      <c r="O3946" s="11"/>
      <c r="P3946" s="11"/>
      <c r="Q3946" s="105"/>
      <c r="R3946" s="105"/>
      <c r="S3946" s="105"/>
      <c r="T3946" s="105"/>
      <c r="U3946" s="105"/>
      <c r="V3946" s="105"/>
      <c r="W3946" s="105"/>
      <c r="X3946" s="11"/>
      <c r="Y3946" s="11"/>
      <c r="Z3946" s="105"/>
      <c r="AA3946" s="11"/>
      <c r="AB3946" s="11"/>
      <c r="AC3946" s="105"/>
      <c r="AD3946" s="11" t="b">
        <v>0</v>
      </c>
      <c r="AE3946" s="105"/>
      <c r="AF3946" s="11"/>
      <c r="AG3946" s="11"/>
      <c r="AH3946" s="11"/>
      <c r="AI3946" s="11"/>
    </row>
    <row r="3947" ht="12.5" spans="3:35">
      <c r="C3947" s="19"/>
      <c r="D3947" s="19"/>
      <c r="H3947" s="105"/>
      <c r="I3947" s="126"/>
      <c r="J3947" s="11"/>
      <c r="K3947" s="108"/>
      <c r="L3947" s="11"/>
      <c r="M3947" s="105"/>
      <c r="N3947" s="105"/>
      <c r="O3947" s="11"/>
      <c r="P3947" s="11"/>
      <c r="Q3947" s="105"/>
      <c r="R3947" s="105"/>
      <c r="S3947" s="105"/>
      <c r="T3947" s="105"/>
      <c r="U3947" s="105"/>
      <c r="V3947" s="105"/>
      <c r="W3947" s="105"/>
      <c r="X3947" s="11"/>
      <c r="Y3947" s="11"/>
      <c r="Z3947" s="105"/>
      <c r="AA3947" s="11"/>
      <c r="AB3947" s="11"/>
      <c r="AC3947" s="105"/>
      <c r="AD3947" s="11" t="b">
        <v>0</v>
      </c>
      <c r="AE3947" s="105"/>
      <c r="AF3947" s="11"/>
      <c r="AG3947" s="11"/>
      <c r="AH3947" s="11"/>
      <c r="AI3947" s="11"/>
    </row>
    <row r="3948" ht="12.5" spans="3:35">
      <c r="C3948" s="19"/>
      <c r="D3948" s="19"/>
      <c r="H3948" s="105"/>
      <c r="I3948" s="126"/>
      <c r="J3948" s="11"/>
      <c r="K3948" s="108"/>
      <c r="L3948" s="11"/>
      <c r="M3948" s="105"/>
      <c r="N3948" s="105"/>
      <c r="O3948" s="11"/>
      <c r="P3948" s="11"/>
      <c r="Q3948" s="105"/>
      <c r="R3948" s="105"/>
      <c r="S3948" s="105"/>
      <c r="T3948" s="105"/>
      <c r="U3948" s="105"/>
      <c r="V3948" s="105"/>
      <c r="W3948" s="105"/>
      <c r="X3948" s="11"/>
      <c r="Y3948" s="11"/>
      <c r="Z3948" s="105"/>
      <c r="AA3948" s="11"/>
      <c r="AB3948" s="11"/>
      <c r="AC3948" s="105"/>
      <c r="AD3948" s="11" t="b">
        <v>0</v>
      </c>
      <c r="AE3948" s="105"/>
      <c r="AF3948" s="11"/>
      <c r="AG3948" s="11"/>
      <c r="AH3948" s="11"/>
      <c r="AI3948" s="11"/>
    </row>
    <row r="3949" ht="12.5" spans="3:35">
      <c r="C3949" s="19"/>
      <c r="D3949" s="19"/>
      <c r="H3949" s="105"/>
      <c r="I3949" s="126"/>
      <c r="J3949" s="11"/>
      <c r="K3949" s="108"/>
      <c r="L3949" s="11"/>
      <c r="M3949" s="105"/>
      <c r="N3949" s="105"/>
      <c r="O3949" s="11"/>
      <c r="P3949" s="11"/>
      <c r="Q3949" s="105"/>
      <c r="R3949" s="105"/>
      <c r="S3949" s="105"/>
      <c r="T3949" s="105"/>
      <c r="U3949" s="105"/>
      <c r="V3949" s="105"/>
      <c r="W3949" s="105"/>
      <c r="X3949" s="11"/>
      <c r="Y3949" s="11"/>
      <c r="Z3949" s="105"/>
      <c r="AA3949" s="11"/>
      <c r="AB3949" s="11"/>
      <c r="AC3949" s="105"/>
      <c r="AD3949" s="11" t="b">
        <v>0</v>
      </c>
      <c r="AE3949" s="105"/>
      <c r="AF3949" s="11"/>
      <c r="AG3949" s="11"/>
      <c r="AH3949" s="11"/>
      <c r="AI3949" s="11"/>
    </row>
    <row r="3950" ht="12.5" spans="3:35">
      <c r="C3950" s="19"/>
      <c r="D3950" s="19"/>
      <c r="H3950" s="105"/>
      <c r="I3950" s="126"/>
      <c r="J3950" s="11"/>
      <c r="K3950" s="108"/>
      <c r="L3950" s="11"/>
      <c r="M3950" s="105"/>
      <c r="N3950" s="105"/>
      <c r="O3950" s="11"/>
      <c r="P3950" s="11"/>
      <c r="Q3950" s="105"/>
      <c r="R3950" s="105"/>
      <c r="S3950" s="105"/>
      <c r="T3950" s="105"/>
      <c r="U3950" s="105"/>
      <c r="V3950" s="105"/>
      <c r="W3950" s="105"/>
      <c r="X3950" s="11"/>
      <c r="Y3950" s="11"/>
      <c r="Z3950" s="105"/>
      <c r="AA3950" s="11"/>
      <c r="AB3950" s="11"/>
      <c r="AC3950" s="105"/>
      <c r="AD3950" s="11" t="b">
        <v>0</v>
      </c>
      <c r="AE3950" s="105"/>
      <c r="AF3950" s="11"/>
      <c r="AG3950" s="11"/>
      <c r="AH3950" s="11"/>
      <c r="AI3950" s="11"/>
    </row>
    <row r="3951" ht="12.5" spans="3:35">
      <c r="C3951" s="19"/>
      <c r="D3951" s="19"/>
      <c r="H3951" s="105"/>
      <c r="I3951" s="126"/>
      <c r="J3951" s="11"/>
      <c r="K3951" s="108"/>
      <c r="L3951" s="11"/>
      <c r="M3951" s="105"/>
      <c r="N3951" s="105"/>
      <c r="O3951" s="11"/>
      <c r="P3951" s="11"/>
      <c r="Q3951" s="105"/>
      <c r="R3951" s="105"/>
      <c r="S3951" s="105"/>
      <c r="T3951" s="105"/>
      <c r="U3951" s="105"/>
      <c r="V3951" s="105"/>
      <c r="W3951" s="105"/>
      <c r="X3951" s="11"/>
      <c r="Y3951" s="11"/>
      <c r="Z3951" s="105"/>
      <c r="AA3951" s="11"/>
      <c r="AB3951" s="11"/>
      <c r="AC3951" s="105"/>
      <c r="AD3951" s="11" t="b">
        <v>0</v>
      </c>
      <c r="AE3951" s="105"/>
      <c r="AF3951" s="11"/>
      <c r="AG3951" s="11"/>
      <c r="AH3951" s="11"/>
      <c r="AI3951" s="11"/>
    </row>
    <row r="3952" ht="12.5" spans="3:35">
      <c r="C3952" s="19"/>
      <c r="D3952" s="19"/>
      <c r="H3952" s="105"/>
      <c r="I3952" s="126"/>
      <c r="J3952" s="11"/>
      <c r="K3952" s="108"/>
      <c r="L3952" s="11"/>
      <c r="M3952" s="105"/>
      <c r="N3952" s="105"/>
      <c r="O3952" s="11"/>
      <c r="P3952" s="11"/>
      <c r="Q3952" s="105"/>
      <c r="R3952" s="105"/>
      <c r="S3952" s="105"/>
      <c r="T3952" s="105"/>
      <c r="U3952" s="105"/>
      <c r="V3952" s="105"/>
      <c r="W3952" s="105"/>
      <c r="X3952" s="11"/>
      <c r="Y3952" s="11"/>
      <c r="Z3952" s="105"/>
      <c r="AA3952" s="11"/>
      <c r="AB3952" s="11"/>
      <c r="AC3952" s="105"/>
      <c r="AD3952" s="11" t="b">
        <v>0</v>
      </c>
      <c r="AE3952" s="105"/>
      <c r="AF3952" s="11"/>
      <c r="AG3952" s="11"/>
      <c r="AH3952" s="11"/>
      <c r="AI3952" s="11"/>
    </row>
    <row r="3953" ht="12.5" spans="3:35">
      <c r="C3953" s="19"/>
      <c r="D3953" s="19"/>
      <c r="H3953" s="105"/>
      <c r="I3953" s="126"/>
      <c r="J3953" s="11"/>
      <c r="K3953" s="108"/>
      <c r="L3953" s="11"/>
      <c r="M3953" s="105"/>
      <c r="N3953" s="105"/>
      <c r="O3953" s="11"/>
      <c r="P3953" s="11"/>
      <c r="Q3953" s="105"/>
      <c r="R3953" s="105"/>
      <c r="S3953" s="105"/>
      <c r="T3953" s="105"/>
      <c r="U3953" s="105"/>
      <c r="V3953" s="105"/>
      <c r="W3953" s="105"/>
      <c r="X3953" s="11"/>
      <c r="Y3953" s="11"/>
      <c r="Z3953" s="105"/>
      <c r="AA3953" s="11"/>
      <c r="AB3953" s="11"/>
      <c r="AC3953" s="105"/>
      <c r="AD3953" s="11" t="b">
        <v>0</v>
      </c>
      <c r="AE3953" s="105"/>
      <c r="AF3953" s="11"/>
      <c r="AG3953" s="11"/>
      <c r="AH3953" s="11"/>
      <c r="AI3953" s="11"/>
    </row>
    <row r="3954" ht="12.5" spans="3:35">
      <c r="C3954" s="19"/>
      <c r="D3954" s="19"/>
      <c r="H3954" s="105"/>
      <c r="I3954" s="126"/>
      <c r="J3954" s="11"/>
      <c r="K3954" s="108"/>
      <c r="L3954" s="11"/>
      <c r="M3954" s="105"/>
      <c r="N3954" s="105"/>
      <c r="O3954" s="11"/>
      <c r="P3954" s="11"/>
      <c r="Q3954" s="105"/>
      <c r="R3954" s="105"/>
      <c r="S3954" s="105"/>
      <c r="T3954" s="105"/>
      <c r="U3954" s="105"/>
      <c r="V3954" s="105"/>
      <c r="W3954" s="105"/>
      <c r="X3954" s="11"/>
      <c r="Y3954" s="11"/>
      <c r="Z3954" s="105"/>
      <c r="AA3954" s="11"/>
      <c r="AB3954" s="11"/>
      <c r="AC3954" s="105"/>
      <c r="AD3954" s="11" t="b">
        <v>0</v>
      </c>
      <c r="AE3954" s="105"/>
      <c r="AF3954" s="11"/>
      <c r="AG3954" s="11"/>
      <c r="AH3954" s="11"/>
      <c r="AI3954" s="11"/>
    </row>
    <row r="3955" ht="12.5" spans="3:35">
      <c r="C3955" s="19"/>
      <c r="D3955" s="19"/>
      <c r="H3955" s="105"/>
      <c r="I3955" s="126"/>
      <c r="J3955" s="11"/>
      <c r="K3955" s="108"/>
      <c r="L3955" s="11"/>
      <c r="M3955" s="105"/>
      <c r="N3955" s="105"/>
      <c r="O3955" s="11"/>
      <c r="P3955" s="11"/>
      <c r="Q3955" s="105"/>
      <c r="R3955" s="105"/>
      <c r="S3955" s="105"/>
      <c r="T3955" s="105"/>
      <c r="U3955" s="105"/>
      <c r="V3955" s="105"/>
      <c r="W3955" s="105"/>
      <c r="X3955" s="11"/>
      <c r="Y3955" s="11"/>
      <c r="Z3955" s="105"/>
      <c r="AA3955" s="11"/>
      <c r="AB3955" s="11"/>
      <c r="AC3955" s="105"/>
      <c r="AD3955" s="11" t="b">
        <v>0</v>
      </c>
      <c r="AE3955" s="105"/>
      <c r="AF3955" s="11"/>
      <c r="AG3955" s="11"/>
      <c r="AH3955" s="11"/>
      <c r="AI3955" s="11"/>
    </row>
    <row r="3956" ht="12.5" spans="3:35">
      <c r="C3956" s="19"/>
      <c r="D3956" s="19"/>
      <c r="H3956" s="105"/>
      <c r="I3956" s="126"/>
      <c r="J3956" s="11"/>
      <c r="K3956" s="108"/>
      <c r="L3956" s="11"/>
      <c r="M3956" s="105"/>
      <c r="N3956" s="105"/>
      <c r="O3956" s="11"/>
      <c r="P3956" s="11"/>
      <c r="Q3956" s="105"/>
      <c r="R3956" s="105"/>
      <c r="S3956" s="105"/>
      <c r="T3956" s="105"/>
      <c r="U3956" s="105"/>
      <c r="V3956" s="105"/>
      <c r="W3956" s="105"/>
      <c r="X3956" s="11"/>
      <c r="Y3956" s="11"/>
      <c r="Z3956" s="105"/>
      <c r="AA3956" s="11"/>
      <c r="AB3956" s="11"/>
      <c r="AC3956" s="105"/>
      <c r="AD3956" s="11" t="b">
        <v>0</v>
      </c>
      <c r="AE3956" s="105"/>
      <c r="AF3956" s="11"/>
      <c r="AG3956" s="11"/>
      <c r="AH3956" s="11"/>
      <c r="AI3956" s="11"/>
    </row>
    <row r="3957" ht="12.5" spans="3:35">
      <c r="C3957" s="19"/>
      <c r="D3957" s="19"/>
      <c r="H3957" s="105"/>
      <c r="I3957" s="126"/>
      <c r="J3957" s="11"/>
      <c r="K3957" s="108"/>
      <c r="L3957" s="11"/>
      <c r="M3957" s="105"/>
      <c r="N3957" s="105"/>
      <c r="O3957" s="11"/>
      <c r="P3957" s="11"/>
      <c r="Q3957" s="105"/>
      <c r="R3957" s="105"/>
      <c r="S3957" s="105"/>
      <c r="T3957" s="105"/>
      <c r="U3957" s="105"/>
      <c r="V3957" s="105"/>
      <c r="W3957" s="105"/>
      <c r="X3957" s="11"/>
      <c r="Y3957" s="11"/>
      <c r="Z3957" s="105"/>
      <c r="AA3957" s="11"/>
      <c r="AB3957" s="11"/>
      <c r="AC3957" s="105"/>
      <c r="AD3957" s="11" t="b">
        <v>0</v>
      </c>
      <c r="AE3957" s="105"/>
      <c r="AF3957" s="11"/>
      <c r="AG3957" s="11"/>
      <c r="AH3957" s="11"/>
      <c r="AI3957" s="11"/>
    </row>
    <row r="3958" ht="12.5" spans="3:35">
      <c r="C3958" s="19"/>
      <c r="D3958" s="19"/>
      <c r="H3958" s="105"/>
      <c r="I3958" s="126"/>
      <c r="J3958" s="11"/>
      <c r="K3958" s="108"/>
      <c r="L3958" s="11"/>
      <c r="M3958" s="105"/>
      <c r="N3958" s="105"/>
      <c r="O3958" s="11"/>
      <c r="P3958" s="11"/>
      <c r="Q3958" s="105"/>
      <c r="R3958" s="105"/>
      <c r="S3958" s="105"/>
      <c r="T3958" s="105"/>
      <c r="U3958" s="105"/>
      <c r="V3958" s="105"/>
      <c r="W3958" s="105"/>
      <c r="X3958" s="11"/>
      <c r="Y3958" s="11"/>
      <c r="Z3958" s="105"/>
      <c r="AA3958" s="11"/>
      <c r="AB3958" s="11"/>
      <c r="AC3958" s="105"/>
      <c r="AD3958" s="11" t="b">
        <v>0</v>
      </c>
      <c r="AE3958" s="105"/>
      <c r="AF3958" s="11"/>
      <c r="AG3958" s="11"/>
      <c r="AH3958" s="11"/>
      <c r="AI3958" s="11"/>
    </row>
    <row r="3959" ht="12.5" spans="3:35">
      <c r="C3959" s="19"/>
      <c r="D3959" s="19"/>
      <c r="H3959" s="105"/>
      <c r="I3959" s="126"/>
      <c r="J3959" s="11"/>
      <c r="K3959" s="108"/>
      <c r="L3959" s="11"/>
      <c r="M3959" s="105"/>
      <c r="N3959" s="105"/>
      <c r="O3959" s="11"/>
      <c r="P3959" s="11"/>
      <c r="Q3959" s="105"/>
      <c r="R3959" s="105"/>
      <c r="S3959" s="105"/>
      <c r="T3959" s="105"/>
      <c r="U3959" s="105"/>
      <c r="V3959" s="105"/>
      <c r="W3959" s="105"/>
      <c r="X3959" s="11"/>
      <c r="Y3959" s="11"/>
      <c r="Z3959" s="105"/>
      <c r="AA3959" s="11"/>
      <c r="AB3959" s="11"/>
      <c r="AC3959" s="105"/>
      <c r="AD3959" s="11" t="b">
        <v>0</v>
      </c>
      <c r="AE3959" s="105"/>
      <c r="AF3959" s="11"/>
      <c r="AG3959" s="11"/>
      <c r="AH3959" s="11"/>
      <c r="AI3959" s="11"/>
    </row>
    <row r="3960" ht="12.5" spans="3:35">
      <c r="C3960" s="19"/>
      <c r="D3960" s="19"/>
      <c r="H3960" s="105"/>
      <c r="I3960" s="126"/>
      <c r="J3960" s="11"/>
      <c r="K3960" s="108"/>
      <c r="L3960" s="11"/>
      <c r="M3960" s="105"/>
      <c r="N3960" s="105"/>
      <c r="O3960" s="11"/>
      <c r="P3960" s="11"/>
      <c r="Q3960" s="105"/>
      <c r="R3960" s="105"/>
      <c r="S3960" s="105"/>
      <c r="T3960" s="105"/>
      <c r="U3960" s="105"/>
      <c r="V3960" s="105"/>
      <c r="W3960" s="105"/>
      <c r="X3960" s="11"/>
      <c r="Y3960" s="11"/>
      <c r="Z3960" s="105"/>
      <c r="AA3960" s="11"/>
      <c r="AB3960" s="11"/>
      <c r="AC3960" s="105"/>
      <c r="AD3960" s="11" t="b">
        <v>0</v>
      </c>
      <c r="AE3960" s="105"/>
      <c r="AF3960" s="11"/>
      <c r="AG3960" s="11"/>
      <c r="AH3960" s="11"/>
      <c r="AI3960" s="11"/>
    </row>
    <row r="3961" ht="12.5" spans="3:35">
      <c r="C3961" s="19"/>
      <c r="D3961" s="19"/>
      <c r="H3961" s="105"/>
      <c r="I3961" s="126"/>
      <c r="J3961" s="11"/>
      <c r="K3961" s="108"/>
      <c r="L3961" s="11"/>
      <c r="M3961" s="105"/>
      <c r="N3961" s="105"/>
      <c r="O3961" s="11"/>
      <c r="P3961" s="11"/>
      <c r="Q3961" s="105"/>
      <c r="R3961" s="105"/>
      <c r="S3961" s="105"/>
      <c r="T3961" s="105"/>
      <c r="U3961" s="105"/>
      <c r="V3961" s="105"/>
      <c r="W3961" s="105"/>
      <c r="X3961" s="11"/>
      <c r="Y3961" s="11"/>
      <c r="Z3961" s="105"/>
      <c r="AA3961" s="11"/>
      <c r="AB3961" s="11"/>
      <c r="AC3961" s="105"/>
      <c r="AD3961" s="11" t="b">
        <v>0</v>
      </c>
      <c r="AE3961" s="105"/>
      <c r="AF3961" s="11"/>
      <c r="AG3961" s="11"/>
      <c r="AH3961" s="11"/>
      <c r="AI3961" s="11"/>
    </row>
    <row r="3962" ht="12.5" spans="3:35">
      <c r="C3962" s="19"/>
      <c r="D3962" s="19"/>
      <c r="H3962" s="105"/>
      <c r="I3962" s="126"/>
      <c r="J3962" s="11"/>
      <c r="K3962" s="108"/>
      <c r="L3962" s="11"/>
      <c r="M3962" s="105"/>
      <c r="N3962" s="105"/>
      <c r="O3962" s="11"/>
      <c r="P3962" s="11"/>
      <c r="Q3962" s="105"/>
      <c r="R3962" s="105"/>
      <c r="S3962" s="105"/>
      <c r="T3962" s="105"/>
      <c r="U3962" s="105"/>
      <c r="V3962" s="105"/>
      <c r="W3962" s="105"/>
      <c r="X3962" s="11"/>
      <c r="Y3962" s="11"/>
      <c r="Z3962" s="105"/>
      <c r="AA3962" s="11"/>
      <c r="AB3962" s="11"/>
      <c r="AC3962" s="105"/>
      <c r="AD3962" s="11" t="b">
        <v>0</v>
      </c>
      <c r="AE3962" s="105"/>
      <c r="AF3962" s="11"/>
      <c r="AG3962" s="11"/>
      <c r="AH3962" s="11"/>
      <c r="AI3962" s="11"/>
    </row>
    <row r="3963" ht="12.5" spans="3:35">
      <c r="C3963" s="19"/>
      <c r="D3963" s="19"/>
      <c r="H3963" s="105"/>
      <c r="I3963" s="126"/>
      <c r="J3963" s="11"/>
      <c r="K3963" s="108"/>
      <c r="L3963" s="11"/>
      <c r="M3963" s="105"/>
      <c r="N3963" s="105"/>
      <c r="O3963" s="11"/>
      <c r="P3963" s="11"/>
      <c r="Q3963" s="105"/>
      <c r="R3963" s="105"/>
      <c r="S3963" s="105"/>
      <c r="T3963" s="105"/>
      <c r="U3963" s="105"/>
      <c r="V3963" s="105"/>
      <c r="W3963" s="105"/>
      <c r="X3963" s="11"/>
      <c r="Y3963" s="11"/>
      <c r="Z3963" s="105"/>
      <c r="AA3963" s="11"/>
      <c r="AB3963" s="11"/>
      <c r="AC3963" s="105"/>
      <c r="AD3963" s="11" t="b">
        <v>0</v>
      </c>
      <c r="AE3963" s="105"/>
      <c r="AF3963" s="11"/>
      <c r="AG3963" s="11"/>
      <c r="AH3963" s="11"/>
      <c r="AI3963" s="11"/>
    </row>
    <row r="3964" ht="12.5" spans="3:35">
      <c r="C3964" s="19"/>
      <c r="D3964" s="19"/>
      <c r="H3964" s="105"/>
      <c r="I3964" s="126"/>
      <c r="J3964" s="11"/>
      <c r="K3964" s="108"/>
      <c r="L3964" s="11"/>
      <c r="M3964" s="105"/>
      <c r="N3964" s="105"/>
      <c r="O3964" s="11"/>
      <c r="P3964" s="11"/>
      <c r="Q3964" s="105"/>
      <c r="R3964" s="105"/>
      <c r="S3964" s="105"/>
      <c r="T3964" s="105"/>
      <c r="U3964" s="105"/>
      <c r="V3964" s="105"/>
      <c r="W3964" s="105"/>
      <c r="X3964" s="11"/>
      <c r="Y3964" s="11"/>
      <c r="Z3964" s="105"/>
      <c r="AA3964" s="11"/>
      <c r="AB3964" s="11"/>
      <c r="AC3964" s="105"/>
      <c r="AD3964" s="11" t="b">
        <v>0</v>
      </c>
      <c r="AE3964" s="105"/>
      <c r="AF3964" s="11"/>
      <c r="AG3964" s="11"/>
      <c r="AH3964" s="11"/>
      <c r="AI3964" s="11"/>
    </row>
    <row r="3965" ht="12.5" spans="3:35">
      <c r="C3965" s="19"/>
      <c r="D3965" s="19"/>
      <c r="H3965" s="105"/>
      <c r="I3965" s="126"/>
      <c r="J3965" s="11"/>
      <c r="K3965" s="108"/>
      <c r="L3965" s="11"/>
      <c r="M3965" s="105"/>
      <c r="N3965" s="105"/>
      <c r="O3965" s="11"/>
      <c r="P3965" s="11"/>
      <c r="Q3965" s="105"/>
      <c r="R3965" s="105"/>
      <c r="S3965" s="105"/>
      <c r="T3965" s="105"/>
      <c r="U3965" s="105"/>
      <c r="V3965" s="105"/>
      <c r="W3965" s="105"/>
      <c r="X3965" s="11"/>
      <c r="Y3965" s="11"/>
      <c r="Z3965" s="105"/>
      <c r="AA3965" s="11"/>
      <c r="AB3965" s="11"/>
      <c r="AC3965" s="105"/>
      <c r="AD3965" s="11" t="b">
        <v>0</v>
      </c>
      <c r="AE3965" s="105"/>
      <c r="AF3965" s="11"/>
      <c r="AG3965" s="11"/>
      <c r="AH3965" s="11"/>
      <c r="AI3965" s="11"/>
    </row>
    <row r="3966" ht="12.5" spans="3:35">
      <c r="C3966" s="19"/>
      <c r="D3966" s="19"/>
      <c r="H3966" s="105"/>
      <c r="I3966" s="126"/>
      <c r="J3966" s="11"/>
      <c r="K3966" s="108"/>
      <c r="L3966" s="11"/>
      <c r="M3966" s="105"/>
      <c r="N3966" s="105"/>
      <c r="O3966" s="11"/>
      <c r="P3966" s="11"/>
      <c r="Q3966" s="105"/>
      <c r="R3966" s="105"/>
      <c r="S3966" s="105"/>
      <c r="T3966" s="105"/>
      <c r="U3966" s="105"/>
      <c r="V3966" s="105"/>
      <c r="W3966" s="105"/>
      <c r="X3966" s="11"/>
      <c r="Y3966" s="11"/>
      <c r="Z3966" s="105"/>
      <c r="AA3966" s="11"/>
      <c r="AB3966" s="11"/>
      <c r="AC3966" s="105"/>
      <c r="AD3966" s="11" t="b">
        <v>0</v>
      </c>
      <c r="AE3966" s="105"/>
      <c r="AF3966" s="11"/>
      <c r="AG3966" s="11"/>
      <c r="AH3966" s="11"/>
      <c r="AI3966" s="11"/>
    </row>
    <row r="3967" ht="12.5" spans="3:35">
      <c r="C3967" s="19"/>
      <c r="D3967" s="19"/>
      <c r="H3967" s="105"/>
      <c r="I3967" s="126"/>
      <c r="J3967" s="11"/>
      <c r="K3967" s="108"/>
      <c r="L3967" s="11"/>
      <c r="M3967" s="105"/>
      <c r="N3967" s="105"/>
      <c r="O3967" s="11"/>
      <c r="P3967" s="11"/>
      <c r="Q3967" s="105"/>
      <c r="R3967" s="105"/>
      <c r="S3967" s="105"/>
      <c r="T3967" s="105"/>
      <c r="U3967" s="105"/>
      <c r="V3967" s="105"/>
      <c r="W3967" s="105"/>
      <c r="X3967" s="11"/>
      <c r="Y3967" s="11"/>
      <c r="Z3967" s="105"/>
      <c r="AA3967" s="11"/>
      <c r="AB3967" s="11"/>
      <c r="AC3967" s="105"/>
      <c r="AD3967" s="11" t="b">
        <v>0</v>
      </c>
      <c r="AE3967" s="105"/>
      <c r="AF3967" s="11"/>
      <c r="AG3967" s="11"/>
      <c r="AH3967" s="11"/>
      <c r="AI3967" s="11"/>
    </row>
    <row r="3968" ht="12.5" spans="3:35">
      <c r="C3968" s="19"/>
      <c r="D3968" s="19"/>
      <c r="H3968" s="105"/>
      <c r="I3968" s="126"/>
      <c r="J3968" s="11"/>
      <c r="K3968" s="108"/>
      <c r="L3968" s="11"/>
      <c r="M3968" s="105"/>
      <c r="N3968" s="105"/>
      <c r="O3968" s="11"/>
      <c r="P3968" s="11"/>
      <c r="Q3968" s="105"/>
      <c r="R3968" s="105"/>
      <c r="S3968" s="105"/>
      <c r="T3968" s="105"/>
      <c r="U3968" s="105"/>
      <c r="V3968" s="105"/>
      <c r="W3968" s="105"/>
      <c r="X3968" s="11"/>
      <c r="Y3968" s="11"/>
      <c r="Z3968" s="105"/>
      <c r="AA3968" s="11"/>
      <c r="AB3968" s="11"/>
      <c r="AC3968" s="105"/>
      <c r="AD3968" s="11" t="b">
        <v>0</v>
      </c>
      <c r="AE3968" s="105"/>
      <c r="AF3968" s="11"/>
      <c r="AG3968" s="11"/>
      <c r="AH3968" s="11"/>
      <c r="AI3968" s="11"/>
    </row>
    <row r="3969" ht="12.5" spans="3:35">
      <c r="C3969" s="19"/>
      <c r="D3969" s="19"/>
      <c r="H3969" s="105"/>
      <c r="I3969" s="126"/>
      <c r="J3969" s="11"/>
      <c r="K3969" s="108"/>
      <c r="L3969" s="11"/>
      <c r="M3969" s="105"/>
      <c r="N3969" s="105"/>
      <c r="O3969" s="11"/>
      <c r="P3969" s="11"/>
      <c r="Q3969" s="105"/>
      <c r="R3969" s="105"/>
      <c r="S3969" s="105"/>
      <c r="T3969" s="105"/>
      <c r="U3969" s="105"/>
      <c r="V3969" s="105"/>
      <c r="W3969" s="105"/>
      <c r="X3969" s="11"/>
      <c r="Y3969" s="11"/>
      <c r="Z3969" s="105"/>
      <c r="AA3969" s="11"/>
      <c r="AB3969" s="11"/>
      <c r="AC3969" s="105"/>
      <c r="AD3969" s="11" t="b">
        <v>0</v>
      </c>
      <c r="AE3969" s="105"/>
      <c r="AF3969" s="11"/>
      <c r="AG3969" s="11"/>
      <c r="AH3969" s="11"/>
      <c r="AI3969" s="11"/>
    </row>
    <row r="3970" ht="12.5" spans="3:35">
      <c r="C3970" s="19"/>
      <c r="D3970" s="19"/>
      <c r="H3970" s="105"/>
      <c r="I3970" s="126"/>
      <c r="J3970" s="11"/>
      <c r="K3970" s="108"/>
      <c r="L3970" s="11"/>
      <c r="M3970" s="105"/>
      <c r="N3970" s="105"/>
      <c r="O3970" s="11"/>
      <c r="P3970" s="11"/>
      <c r="Q3970" s="105"/>
      <c r="R3970" s="105"/>
      <c r="S3970" s="105"/>
      <c r="T3970" s="105"/>
      <c r="U3970" s="105"/>
      <c r="V3970" s="105"/>
      <c r="W3970" s="105"/>
      <c r="X3970" s="11"/>
      <c r="Y3970" s="11"/>
      <c r="Z3970" s="105"/>
      <c r="AA3970" s="11"/>
      <c r="AB3970" s="11"/>
      <c r="AC3970" s="105"/>
      <c r="AD3970" s="11" t="b">
        <v>0</v>
      </c>
      <c r="AE3970" s="105"/>
      <c r="AF3970" s="11"/>
      <c r="AG3970" s="11"/>
      <c r="AH3970" s="11"/>
      <c r="AI3970" s="11"/>
    </row>
    <row r="3971" ht="12.5" spans="3:35">
      <c r="C3971" s="19"/>
      <c r="D3971" s="19"/>
      <c r="H3971" s="105"/>
      <c r="I3971" s="126"/>
      <c r="J3971" s="11"/>
      <c r="K3971" s="108"/>
      <c r="L3971" s="11"/>
      <c r="M3971" s="105"/>
      <c r="N3971" s="105"/>
      <c r="O3971" s="11"/>
      <c r="P3971" s="11"/>
      <c r="Q3971" s="105"/>
      <c r="R3971" s="105"/>
      <c r="S3971" s="105"/>
      <c r="T3971" s="105"/>
      <c r="U3971" s="105"/>
      <c r="V3971" s="105"/>
      <c r="W3971" s="105"/>
      <c r="X3971" s="11"/>
      <c r="Y3971" s="11"/>
      <c r="Z3971" s="105"/>
      <c r="AA3971" s="11"/>
      <c r="AB3971" s="11"/>
      <c r="AC3971" s="105"/>
      <c r="AD3971" s="11" t="b">
        <v>0</v>
      </c>
      <c r="AE3971" s="105"/>
      <c r="AF3971" s="11"/>
      <c r="AG3971" s="11"/>
      <c r="AH3971" s="11"/>
      <c r="AI3971" s="11"/>
    </row>
    <row r="3972" ht="12.5" spans="3:35">
      <c r="C3972" s="19"/>
      <c r="D3972" s="19"/>
      <c r="H3972" s="105"/>
      <c r="I3972" s="126"/>
      <c r="J3972" s="11"/>
      <c r="K3972" s="108"/>
      <c r="L3972" s="11"/>
      <c r="M3972" s="105"/>
      <c r="N3972" s="105"/>
      <c r="O3972" s="11"/>
      <c r="P3972" s="11"/>
      <c r="Q3972" s="105"/>
      <c r="R3972" s="105"/>
      <c r="S3972" s="105"/>
      <c r="T3972" s="105"/>
      <c r="U3972" s="105"/>
      <c r="V3972" s="105"/>
      <c r="W3972" s="105"/>
      <c r="X3972" s="11"/>
      <c r="Y3972" s="11"/>
      <c r="Z3972" s="105"/>
      <c r="AA3972" s="11"/>
      <c r="AB3972" s="11"/>
      <c r="AC3972" s="105"/>
      <c r="AD3972" s="11" t="b">
        <v>0</v>
      </c>
      <c r="AE3972" s="105"/>
      <c r="AF3972" s="11"/>
      <c r="AG3972" s="11"/>
      <c r="AH3972" s="11"/>
      <c r="AI3972" s="11"/>
    </row>
    <row r="3973" ht="12.5" spans="3:35">
      <c r="C3973" s="19"/>
      <c r="D3973" s="19"/>
      <c r="H3973" s="105"/>
      <c r="I3973" s="126"/>
      <c r="J3973" s="11"/>
      <c r="K3973" s="108"/>
      <c r="L3973" s="11"/>
      <c r="M3973" s="105"/>
      <c r="N3973" s="105"/>
      <c r="O3973" s="11"/>
      <c r="P3973" s="11"/>
      <c r="Q3973" s="105"/>
      <c r="R3973" s="105"/>
      <c r="S3973" s="105"/>
      <c r="T3973" s="105"/>
      <c r="U3973" s="105"/>
      <c r="V3973" s="105"/>
      <c r="W3973" s="105"/>
      <c r="X3973" s="11"/>
      <c r="Y3973" s="11"/>
      <c r="Z3973" s="105"/>
      <c r="AA3973" s="11"/>
      <c r="AB3973" s="11"/>
      <c r="AC3973" s="105"/>
      <c r="AD3973" s="11" t="b">
        <v>0</v>
      </c>
      <c r="AE3973" s="105"/>
      <c r="AF3973" s="11"/>
      <c r="AG3973" s="11"/>
      <c r="AH3973" s="11"/>
      <c r="AI3973" s="11"/>
    </row>
    <row r="3974" ht="12.5" spans="3:35">
      <c r="C3974" s="19"/>
      <c r="D3974" s="19"/>
      <c r="H3974" s="105"/>
      <c r="I3974" s="126"/>
      <c r="J3974" s="11"/>
      <c r="K3974" s="108"/>
      <c r="L3974" s="11"/>
      <c r="M3974" s="105"/>
      <c r="N3974" s="105"/>
      <c r="O3974" s="11"/>
      <c r="P3974" s="11"/>
      <c r="Q3974" s="105"/>
      <c r="R3974" s="105"/>
      <c r="S3974" s="105"/>
      <c r="T3974" s="105"/>
      <c r="U3974" s="105"/>
      <c r="V3974" s="105"/>
      <c r="W3974" s="105"/>
      <c r="X3974" s="11"/>
      <c r="Y3974" s="11"/>
      <c r="Z3974" s="105"/>
      <c r="AA3974" s="11"/>
      <c r="AB3974" s="11"/>
      <c r="AC3974" s="105"/>
      <c r="AD3974" s="11" t="b">
        <v>0</v>
      </c>
      <c r="AE3974" s="105"/>
      <c r="AF3974" s="11"/>
      <c r="AG3974" s="11"/>
      <c r="AH3974" s="11"/>
      <c r="AI3974" s="11"/>
    </row>
    <row r="3975" ht="12.5" spans="3:35">
      <c r="C3975" s="19"/>
      <c r="D3975" s="19"/>
      <c r="H3975" s="105"/>
      <c r="I3975" s="126"/>
      <c r="J3975" s="11"/>
      <c r="K3975" s="108"/>
      <c r="L3975" s="11"/>
      <c r="M3975" s="105"/>
      <c r="N3975" s="105"/>
      <c r="O3975" s="11"/>
      <c r="P3975" s="11"/>
      <c r="Q3975" s="105"/>
      <c r="R3975" s="105"/>
      <c r="S3975" s="105"/>
      <c r="T3975" s="105"/>
      <c r="U3975" s="105"/>
      <c r="V3975" s="105"/>
      <c r="W3975" s="105"/>
      <c r="X3975" s="11"/>
      <c r="Y3975" s="11"/>
      <c r="Z3975" s="105"/>
      <c r="AA3975" s="11"/>
      <c r="AB3975" s="11"/>
      <c r="AC3975" s="105"/>
      <c r="AD3975" s="11" t="b">
        <v>0</v>
      </c>
      <c r="AE3975" s="105"/>
      <c r="AF3975" s="11"/>
      <c r="AG3975" s="11"/>
      <c r="AH3975" s="11"/>
      <c r="AI3975" s="11"/>
    </row>
    <row r="3976" ht="12.5" spans="3:35">
      <c r="C3976" s="19"/>
      <c r="D3976" s="19"/>
      <c r="H3976" s="105"/>
      <c r="I3976" s="126"/>
      <c r="J3976" s="11"/>
      <c r="K3976" s="108"/>
      <c r="L3976" s="11"/>
      <c r="M3976" s="105"/>
      <c r="N3976" s="105"/>
      <c r="O3976" s="11"/>
      <c r="P3976" s="11"/>
      <c r="Q3976" s="105"/>
      <c r="R3976" s="105"/>
      <c r="S3976" s="105"/>
      <c r="T3976" s="105"/>
      <c r="U3976" s="105"/>
      <c r="V3976" s="105"/>
      <c r="W3976" s="105"/>
      <c r="X3976" s="11"/>
      <c r="Y3976" s="11"/>
      <c r="Z3976" s="105"/>
      <c r="AA3976" s="11"/>
      <c r="AB3976" s="11"/>
      <c r="AC3976" s="105"/>
      <c r="AD3976" s="11" t="b">
        <v>0</v>
      </c>
      <c r="AE3976" s="105"/>
      <c r="AF3976" s="11"/>
      <c r="AG3976" s="11"/>
      <c r="AH3976" s="11"/>
      <c r="AI3976" s="11"/>
    </row>
    <row r="3977" ht="12.5" spans="3:35">
      <c r="C3977" s="19"/>
      <c r="D3977" s="19"/>
      <c r="H3977" s="105"/>
      <c r="I3977" s="126"/>
      <c r="J3977" s="11"/>
      <c r="K3977" s="108"/>
      <c r="L3977" s="11"/>
      <c r="M3977" s="105"/>
      <c r="N3977" s="105"/>
      <c r="O3977" s="11"/>
      <c r="P3977" s="11"/>
      <c r="Q3977" s="105"/>
      <c r="R3977" s="105"/>
      <c r="S3977" s="105"/>
      <c r="T3977" s="105"/>
      <c r="U3977" s="105"/>
      <c r="V3977" s="105"/>
      <c r="W3977" s="105"/>
      <c r="X3977" s="11"/>
      <c r="Y3977" s="11"/>
      <c r="Z3977" s="105"/>
      <c r="AA3977" s="11"/>
      <c r="AB3977" s="11"/>
      <c r="AC3977" s="105"/>
      <c r="AD3977" s="11" t="b">
        <v>0</v>
      </c>
      <c r="AE3977" s="105"/>
      <c r="AF3977" s="11"/>
      <c r="AG3977" s="11"/>
      <c r="AH3977" s="11"/>
      <c r="AI3977" s="11"/>
    </row>
    <row r="3978" ht="12.5" spans="3:35">
      <c r="C3978" s="19"/>
      <c r="D3978" s="19"/>
      <c r="H3978" s="105"/>
      <c r="I3978" s="126"/>
      <c r="J3978" s="11"/>
      <c r="K3978" s="108"/>
      <c r="L3978" s="11"/>
      <c r="M3978" s="105"/>
      <c r="N3978" s="105"/>
      <c r="O3978" s="11"/>
      <c r="P3978" s="11"/>
      <c r="Q3978" s="105"/>
      <c r="R3978" s="105"/>
      <c r="S3978" s="105"/>
      <c r="T3978" s="105"/>
      <c r="U3978" s="105"/>
      <c r="V3978" s="105"/>
      <c r="W3978" s="105"/>
      <c r="X3978" s="11"/>
      <c r="Y3978" s="11"/>
      <c r="Z3978" s="105"/>
      <c r="AA3978" s="11"/>
      <c r="AB3978" s="11"/>
      <c r="AC3978" s="105"/>
      <c r="AD3978" s="11" t="b">
        <v>0</v>
      </c>
      <c r="AE3978" s="105"/>
      <c r="AF3978" s="11"/>
      <c r="AG3978" s="11"/>
      <c r="AH3978" s="11"/>
      <c r="AI3978" s="11"/>
    </row>
    <row r="3979" ht="12.5" spans="3:35">
      <c r="C3979" s="19"/>
      <c r="D3979" s="19"/>
      <c r="H3979" s="105"/>
      <c r="I3979" s="126"/>
      <c r="J3979" s="11"/>
      <c r="K3979" s="108"/>
      <c r="L3979" s="11"/>
      <c r="M3979" s="105"/>
      <c r="N3979" s="105"/>
      <c r="O3979" s="11"/>
      <c r="P3979" s="11"/>
      <c r="Q3979" s="105"/>
      <c r="R3979" s="105"/>
      <c r="S3979" s="105"/>
      <c r="T3979" s="105"/>
      <c r="U3979" s="105"/>
      <c r="V3979" s="105"/>
      <c r="W3979" s="105"/>
      <c r="X3979" s="11"/>
      <c r="Y3979" s="11"/>
      <c r="Z3979" s="105"/>
      <c r="AA3979" s="11"/>
      <c r="AB3979" s="11"/>
      <c r="AC3979" s="105"/>
      <c r="AD3979" s="11" t="b">
        <v>0</v>
      </c>
      <c r="AE3979" s="105"/>
      <c r="AF3979" s="11"/>
      <c r="AG3979" s="11"/>
      <c r="AH3979" s="11"/>
      <c r="AI3979" s="11"/>
    </row>
    <row r="3980" ht="12.5" spans="3:35">
      <c r="C3980" s="19"/>
      <c r="D3980" s="19"/>
      <c r="H3980" s="105"/>
      <c r="I3980" s="126"/>
      <c r="J3980" s="11"/>
      <c r="K3980" s="108"/>
      <c r="L3980" s="11"/>
      <c r="M3980" s="105"/>
      <c r="N3980" s="105"/>
      <c r="O3980" s="11"/>
      <c r="P3980" s="11"/>
      <c r="Q3980" s="105"/>
      <c r="R3980" s="105"/>
      <c r="S3980" s="105"/>
      <c r="T3980" s="105"/>
      <c r="U3980" s="105"/>
      <c r="V3980" s="105"/>
      <c r="W3980" s="105"/>
      <c r="X3980" s="11"/>
      <c r="Y3980" s="11"/>
      <c r="Z3980" s="105"/>
      <c r="AA3980" s="11"/>
      <c r="AB3980" s="11"/>
      <c r="AC3980" s="105"/>
      <c r="AD3980" s="11" t="b">
        <v>0</v>
      </c>
      <c r="AE3980" s="105"/>
      <c r="AF3980" s="11"/>
      <c r="AG3980" s="11"/>
      <c r="AH3980" s="11"/>
      <c r="AI3980" s="11"/>
    </row>
    <row r="3981" ht="12.5" spans="3:35">
      <c r="C3981" s="19"/>
      <c r="D3981" s="19"/>
      <c r="H3981" s="105"/>
      <c r="I3981" s="126"/>
      <c r="J3981" s="11"/>
      <c r="K3981" s="108"/>
      <c r="L3981" s="11"/>
      <c r="M3981" s="105"/>
      <c r="N3981" s="105"/>
      <c r="O3981" s="11"/>
      <c r="P3981" s="11"/>
      <c r="Q3981" s="105"/>
      <c r="R3981" s="105"/>
      <c r="S3981" s="105"/>
      <c r="T3981" s="105"/>
      <c r="U3981" s="105"/>
      <c r="V3981" s="105"/>
      <c r="W3981" s="105"/>
      <c r="X3981" s="11"/>
      <c r="Y3981" s="11"/>
      <c r="Z3981" s="105"/>
      <c r="AA3981" s="11"/>
      <c r="AB3981" s="11"/>
      <c r="AC3981" s="105"/>
      <c r="AD3981" s="11" t="b">
        <v>0</v>
      </c>
      <c r="AE3981" s="105"/>
      <c r="AF3981" s="11"/>
      <c r="AG3981" s="11"/>
      <c r="AH3981" s="11"/>
      <c r="AI3981" s="11"/>
    </row>
    <row r="3982" ht="12.5" spans="3:35">
      <c r="C3982" s="19"/>
      <c r="D3982" s="19"/>
      <c r="H3982" s="105"/>
      <c r="I3982" s="126"/>
      <c r="J3982" s="11"/>
      <c r="K3982" s="108"/>
      <c r="L3982" s="11"/>
      <c r="M3982" s="105"/>
      <c r="N3982" s="105"/>
      <c r="O3982" s="11"/>
      <c r="P3982" s="11"/>
      <c r="Q3982" s="105"/>
      <c r="R3982" s="105"/>
      <c r="S3982" s="105"/>
      <c r="T3982" s="105"/>
      <c r="U3982" s="105"/>
      <c r="V3982" s="105"/>
      <c r="W3982" s="105"/>
      <c r="X3982" s="11"/>
      <c r="Y3982" s="11"/>
      <c r="Z3982" s="105"/>
      <c r="AA3982" s="11"/>
      <c r="AB3982" s="11"/>
      <c r="AC3982" s="105"/>
      <c r="AD3982" s="11" t="b">
        <v>0</v>
      </c>
      <c r="AE3982" s="105"/>
      <c r="AF3982" s="11"/>
      <c r="AG3982" s="11"/>
      <c r="AH3982" s="11"/>
      <c r="AI3982" s="11"/>
    </row>
    <row r="3983" ht="12.5" spans="3:35">
      <c r="C3983" s="19"/>
      <c r="D3983" s="19"/>
      <c r="H3983" s="105"/>
      <c r="I3983" s="126"/>
      <c r="J3983" s="11"/>
      <c r="K3983" s="108"/>
      <c r="L3983" s="11"/>
      <c r="M3983" s="105"/>
      <c r="N3983" s="105"/>
      <c r="O3983" s="11"/>
      <c r="P3983" s="11"/>
      <c r="Q3983" s="105"/>
      <c r="R3983" s="105"/>
      <c r="S3983" s="105"/>
      <c r="T3983" s="105"/>
      <c r="U3983" s="105"/>
      <c r="V3983" s="105"/>
      <c r="W3983" s="105"/>
      <c r="X3983" s="11"/>
      <c r="Y3983" s="11"/>
      <c r="Z3983" s="105"/>
      <c r="AA3983" s="11"/>
      <c r="AB3983" s="11"/>
      <c r="AC3983" s="105"/>
      <c r="AD3983" s="11" t="b">
        <v>0</v>
      </c>
      <c r="AE3983" s="105"/>
      <c r="AF3983" s="11"/>
      <c r="AG3983" s="11"/>
      <c r="AH3983" s="11"/>
      <c r="AI3983" s="11"/>
    </row>
    <row r="3984" ht="12.5" spans="3:35">
      <c r="C3984" s="19"/>
      <c r="D3984" s="19"/>
      <c r="H3984" s="105"/>
      <c r="I3984" s="126"/>
      <c r="J3984" s="11"/>
      <c r="K3984" s="108"/>
      <c r="L3984" s="11"/>
      <c r="M3984" s="105"/>
      <c r="N3984" s="105"/>
      <c r="O3984" s="11"/>
      <c r="P3984" s="11"/>
      <c r="Q3984" s="105"/>
      <c r="R3984" s="105"/>
      <c r="S3984" s="105"/>
      <c r="T3984" s="105"/>
      <c r="U3984" s="105"/>
      <c r="V3984" s="105"/>
      <c r="W3984" s="105"/>
      <c r="X3984" s="11"/>
      <c r="Y3984" s="11"/>
      <c r="Z3984" s="105"/>
      <c r="AA3984" s="11"/>
      <c r="AB3984" s="11"/>
      <c r="AC3984" s="105"/>
      <c r="AD3984" s="11" t="b">
        <v>0</v>
      </c>
      <c r="AE3984" s="105"/>
      <c r="AF3984" s="11"/>
      <c r="AG3984" s="11"/>
      <c r="AH3984" s="11"/>
      <c r="AI3984" s="11"/>
    </row>
    <row r="3985" ht="12.5" spans="3:35">
      <c r="C3985" s="19"/>
      <c r="D3985" s="19"/>
      <c r="H3985" s="105"/>
      <c r="I3985" s="126"/>
      <c r="J3985" s="11"/>
      <c r="K3985" s="108"/>
      <c r="L3985" s="11"/>
      <c r="M3985" s="105"/>
      <c r="N3985" s="105"/>
      <c r="O3985" s="11"/>
      <c r="P3985" s="11"/>
      <c r="Q3985" s="105"/>
      <c r="R3985" s="105"/>
      <c r="S3985" s="105"/>
      <c r="T3985" s="105"/>
      <c r="U3985" s="105"/>
      <c r="V3985" s="105"/>
      <c r="W3985" s="105"/>
      <c r="X3985" s="11"/>
      <c r="Y3985" s="11"/>
      <c r="Z3985" s="105"/>
      <c r="AA3985" s="11"/>
      <c r="AB3985" s="11"/>
      <c r="AC3985" s="105"/>
      <c r="AD3985" s="11" t="b">
        <v>0</v>
      </c>
      <c r="AE3985" s="105"/>
      <c r="AF3985" s="11"/>
      <c r="AG3985" s="11"/>
      <c r="AH3985" s="11"/>
      <c r="AI3985" s="11"/>
    </row>
    <row r="3986" ht="12.5" spans="3:35">
      <c r="C3986" s="19"/>
      <c r="D3986" s="19"/>
      <c r="H3986" s="105"/>
      <c r="I3986" s="126"/>
      <c r="J3986" s="11"/>
      <c r="K3986" s="108"/>
      <c r="L3986" s="11"/>
      <c r="M3986" s="105"/>
      <c r="N3986" s="105"/>
      <c r="O3986" s="11"/>
      <c r="P3986" s="11"/>
      <c r="Q3986" s="105"/>
      <c r="R3986" s="105"/>
      <c r="S3986" s="105"/>
      <c r="T3986" s="105"/>
      <c r="U3986" s="105"/>
      <c r="V3986" s="105"/>
      <c r="W3986" s="105"/>
      <c r="X3986" s="11"/>
      <c r="Y3986" s="11"/>
      <c r="Z3986" s="105"/>
      <c r="AA3986" s="11"/>
      <c r="AB3986" s="11"/>
      <c r="AC3986" s="105"/>
      <c r="AD3986" s="11" t="b">
        <v>0</v>
      </c>
      <c r="AE3986" s="105"/>
      <c r="AF3986" s="11"/>
      <c r="AG3986" s="11"/>
      <c r="AH3986" s="11"/>
      <c r="AI3986" s="11"/>
    </row>
    <row r="3987" ht="12.5" spans="3:35">
      <c r="C3987" s="19"/>
      <c r="D3987" s="19"/>
      <c r="H3987" s="105"/>
      <c r="I3987" s="126"/>
      <c r="J3987" s="11"/>
      <c r="K3987" s="108"/>
      <c r="L3987" s="11"/>
      <c r="M3987" s="105"/>
      <c r="N3987" s="105"/>
      <c r="O3987" s="11"/>
      <c r="P3987" s="11"/>
      <c r="Q3987" s="105"/>
      <c r="R3987" s="105"/>
      <c r="S3987" s="105"/>
      <c r="T3987" s="105"/>
      <c r="U3987" s="105"/>
      <c r="V3987" s="105"/>
      <c r="W3987" s="105"/>
      <c r="X3987" s="11"/>
      <c r="Y3987" s="11"/>
      <c r="Z3987" s="105"/>
      <c r="AA3987" s="11"/>
      <c r="AB3987" s="11"/>
      <c r="AC3987" s="105"/>
      <c r="AD3987" s="11" t="b">
        <v>0</v>
      </c>
      <c r="AE3987" s="105"/>
      <c r="AF3987" s="11"/>
      <c r="AG3987" s="11"/>
      <c r="AH3987" s="11"/>
      <c r="AI3987" s="11"/>
    </row>
    <row r="3988" ht="12.5" spans="3:35">
      <c r="C3988" s="19"/>
      <c r="D3988" s="19"/>
      <c r="H3988" s="105"/>
      <c r="I3988" s="126"/>
      <c r="J3988" s="11"/>
      <c r="K3988" s="108"/>
      <c r="L3988" s="11"/>
      <c r="M3988" s="105"/>
      <c r="N3988" s="105"/>
      <c r="O3988" s="11"/>
      <c r="P3988" s="11"/>
      <c r="Q3988" s="105"/>
      <c r="R3988" s="105"/>
      <c r="S3988" s="105"/>
      <c r="T3988" s="105"/>
      <c r="U3988" s="105"/>
      <c r="V3988" s="105"/>
      <c r="W3988" s="105"/>
      <c r="X3988" s="11"/>
      <c r="Y3988" s="11"/>
      <c r="Z3988" s="105"/>
      <c r="AA3988" s="11"/>
      <c r="AB3988" s="11"/>
      <c r="AC3988" s="105"/>
      <c r="AD3988" s="11" t="b">
        <v>0</v>
      </c>
      <c r="AE3988" s="105"/>
      <c r="AF3988" s="11"/>
      <c r="AG3988" s="11"/>
      <c r="AH3988" s="11"/>
      <c r="AI3988" s="11"/>
    </row>
    <row r="3989" ht="12.5" spans="3:35">
      <c r="C3989" s="19"/>
      <c r="D3989" s="19"/>
      <c r="H3989" s="105"/>
      <c r="I3989" s="126"/>
      <c r="J3989" s="11"/>
      <c r="K3989" s="108"/>
      <c r="L3989" s="11"/>
      <c r="M3989" s="105"/>
      <c r="N3989" s="105"/>
      <c r="O3989" s="11"/>
      <c r="P3989" s="11"/>
      <c r="Q3989" s="105"/>
      <c r="R3989" s="105"/>
      <c r="S3989" s="105"/>
      <c r="T3989" s="105"/>
      <c r="U3989" s="105"/>
      <c r="V3989" s="105"/>
      <c r="W3989" s="105"/>
      <c r="X3989" s="11"/>
      <c r="Y3989" s="11"/>
      <c r="Z3989" s="105"/>
      <c r="AA3989" s="11"/>
      <c r="AB3989" s="11"/>
      <c r="AC3989" s="105"/>
      <c r="AD3989" s="11" t="b">
        <v>0</v>
      </c>
      <c r="AE3989" s="105"/>
      <c r="AF3989" s="11"/>
      <c r="AG3989" s="11"/>
      <c r="AH3989" s="11"/>
      <c r="AI3989" s="11"/>
    </row>
    <row r="3990" ht="12.5" spans="3:35">
      <c r="C3990" s="19"/>
      <c r="D3990" s="19"/>
      <c r="H3990" s="105"/>
      <c r="I3990" s="126"/>
      <c r="J3990" s="11"/>
      <c r="K3990" s="108"/>
      <c r="L3990" s="11"/>
      <c r="M3990" s="105"/>
      <c r="N3990" s="105"/>
      <c r="O3990" s="11"/>
      <c r="P3990" s="11"/>
      <c r="Q3990" s="105"/>
      <c r="R3990" s="105"/>
      <c r="S3990" s="105"/>
      <c r="T3990" s="105"/>
      <c r="U3990" s="105"/>
      <c r="V3990" s="105"/>
      <c r="W3990" s="105"/>
      <c r="X3990" s="11"/>
      <c r="Y3990" s="11"/>
      <c r="Z3990" s="105"/>
      <c r="AA3990" s="11"/>
      <c r="AB3990" s="11"/>
      <c r="AC3990" s="105"/>
      <c r="AD3990" s="11" t="b">
        <v>0</v>
      </c>
      <c r="AE3990" s="105"/>
      <c r="AF3990" s="11"/>
      <c r="AG3990" s="11"/>
      <c r="AH3990" s="11"/>
      <c r="AI3990" s="11"/>
    </row>
    <row r="3991" ht="12.5" spans="3:35">
      <c r="C3991" s="19"/>
      <c r="D3991" s="19"/>
      <c r="H3991" s="105"/>
      <c r="I3991" s="126"/>
      <c r="J3991" s="11"/>
      <c r="K3991" s="108"/>
      <c r="L3991" s="11"/>
      <c r="M3991" s="105"/>
      <c r="N3991" s="105"/>
      <c r="O3991" s="11"/>
      <c r="P3991" s="11"/>
      <c r="Q3991" s="105"/>
      <c r="R3991" s="105"/>
      <c r="S3991" s="105"/>
      <c r="T3991" s="105"/>
      <c r="U3991" s="105"/>
      <c r="V3991" s="105"/>
      <c r="W3991" s="105"/>
      <c r="X3991" s="11"/>
      <c r="Y3991" s="11"/>
      <c r="Z3991" s="105"/>
      <c r="AA3991" s="11"/>
      <c r="AB3991" s="11"/>
      <c r="AC3991" s="105"/>
      <c r="AD3991" s="11" t="b">
        <v>0</v>
      </c>
      <c r="AE3991" s="105"/>
      <c r="AF3991" s="11"/>
      <c r="AG3991" s="11"/>
      <c r="AH3991" s="11"/>
      <c r="AI3991" s="11"/>
    </row>
    <row r="3992" ht="12.5" spans="3:35">
      <c r="C3992" s="19"/>
      <c r="D3992" s="19"/>
      <c r="H3992" s="105"/>
      <c r="I3992" s="126"/>
      <c r="J3992" s="11"/>
      <c r="K3992" s="108"/>
      <c r="L3992" s="11"/>
      <c r="M3992" s="105"/>
      <c r="N3992" s="105"/>
      <c r="O3992" s="11"/>
      <c r="P3992" s="11"/>
      <c r="Q3992" s="105"/>
      <c r="R3992" s="105"/>
      <c r="S3992" s="105"/>
      <c r="T3992" s="105"/>
      <c r="U3992" s="105"/>
      <c r="V3992" s="105"/>
      <c r="W3992" s="105"/>
      <c r="X3992" s="11"/>
      <c r="Y3992" s="11"/>
      <c r="Z3992" s="105"/>
      <c r="AA3992" s="11"/>
      <c r="AB3992" s="11"/>
      <c r="AC3992" s="105"/>
      <c r="AD3992" s="11" t="b">
        <v>0</v>
      </c>
      <c r="AE3992" s="105"/>
      <c r="AF3992" s="11"/>
      <c r="AG3992" s="11"/>
      <c r="AH3992" s="11"/>
      <c r="AI3992" s="11"/>
    </row>
    <row r="3993" ht="12.5" spans="3:35">
      <c r="C3993" s="19"/>
      <c r="D3993" s="19"/>
      <c r="H3993" s="105"/>
      <c r="I3993" s="126"/>
      <c r="J3993" s="11"/>
      <c r="K3993" s="108"/>
      <c r="L3993" s="11"/>
      <c r="M3993" s="105"/>
      <c r="N3993" s="105"/>
      <c r="O3993" s="11"/>
      <c r="P3993" s="11"/>
      <c r="Q3993" s="105"/>
      <c r="R3993" s="105"/>
      <c r="S3993" s="105"/>
      <c r="T3993" s="105"/>
      <c r="U3993" s="105"/>
      <c r="V3993" s="105"/>
      <c r="W3993" s="105"/>
      <c r="X3993" s="11"/>
      <c r="Y3993" s="11"/>
      <c r="Z3993" s="105"/>
      <c r="AA3993" s="11"/>
      <c r="AB3993" s="11"/>
      <c r="AC3993" s="105"/>
      <c r="AD3993" s="11" t="b">
        <v>0</v>
      </c>
      <c r="AE3993" s="105"/>
      <c r="AF3993" s="11"/>
      <c r="AG3993" s="11"/>
      <c r="AH3993" s="11"/>
      <c r="AI3993" s="11"/>
    </row>
    <row r="3994" ht="12.5" spans="3:35">
      <c r="C3994" s="19"/>
      <c r="D3994" s="19"/>
      <c r="H3994" s="105"/>
      <c r="I3994" s="126"/>
      <c r="J3994" s="11"/>
      <c r="K3994" s="108"/>
      <c r="L3994" s="11"/>
      <c r="M3994" s="105"/>
      <c r="N3994" s="105"/>
      <c r="O3994" s="11"/>
      <c r="P3994" s="11"/>
      <c r="Q3994" s="105"/>
      <c r="R3994" s="105"/>
      <c r="S3994" s="105"/>
      <c r="T3994" s="105"/>
      <c r="U3994" s="105"/>
      <c r="V3994" s="105"/>
      <c r="W3994" s="105"/>
      <c r="X3994" s="11"/>
      <c r="Y3994" s="11"/>
      <c r="Z3994" s="105"/>
      <c r="AA3994" s="11"/>
      <c r="AB3994" s="11"/>
      <c r="AC3994" s="105"/>
      <c r="AD3994" s="11" t="b">
        <v>0</v>
      </c>
      <c r="AE3994" s="105"/>
      <c r="AF3994" s="11"/>
      <c r="AG3994" s="11"/>
      <c r="AH3994" s="11"/>
      <c r="AI3994" s="11"/>
    </row>
    <row r="3995" ht="12.5" spans="3:35">
      <c r="C3995" s="19"/>
      <c r="D3995" s="19"/>
      <c r="H3995" s="105"/>
      <c r="I3995" s="126"/>
      <c r="J3995" s="11"/>
      <c r="K3995" s="108"/>
      <c r="L3995" s="11"/>
      <c r="M3995" s="105"/>
      <c r="N3995" s="105"/>
      <c r="O3995" s="11"/>
      <c r="P3995" s="11"/>
      <c r="Q3995" s="105"/>
      <c r="R3995" s="105"/>
      <c r="S3995" s="105"/>
      <c r="T3995" s="105"/>
      <c r="U3995" s="105"/>
      <c r="V3995" s="105"/>
      <c r="W3995" s="105"/>
      <c r="X3995" s="11"/>
      <c r="Y3995" s="11"/>
      <c r="Z3995" s="105"/>
      <c r="AA3995" s="11"/>
      <c r="AB3995" s="11"/>
      <c r="AC3995" s="105"/>
      <c r="AD3995" s="11" t="b">
        <v>0</v>
      </c>
      <c r="AE3995" s="105"/>
      <c r="AF3995" s="11"/>
      <c r="AG3995" s="11"/>
      <c r="AH3995" s="11"/>
      <c r="AI3995" s="11"/>
    </row>
    <row r="3996" ht="12.5" spans="3:35">
      <c r="C3996" s="19"/>
      <c r="D3996" s="19"/>
      <c r="H3996" s="105"/>
      <c r="I3996" s="126"/>
      <c r="J3996" s="11"/>
      <c r="K3996" s="108"/>
      <c r="L3996" s="11"/>
      <c r="M3996" s="105"/>
      <c r="N3996" s="105"/>
      <c r="O3996" s="11"/>
      <c r="P3996" s="11"/>
      <c r="Q3996" s="105"/>
      <c r="R3996" s="105"/>
      <c r="S3996" s="105"/>
      <c r="T3996" s="105"/>
      <c r="U3996" s="105"/>
      <c r="V3996" s="105"/>
      <c r="W3996" s="105"/>
      <c r="X3996" s="11"/>
      <c r="Y3996" s="11"/>
      <c r="Z3996" s="105"/>
      <c r="AA3996" s="11"/>
      <c r="AB3996" s="11"/>
      <c r="AC3996" s="105"/>
      <c r="AD3996" s="11" t="b">
        <v>0</v>
      </c>
      <c r="AE3996" s="105"/>
      <c r="AF3996" s="11"/>
      <c r="AG3996" s="11"/>
      <c r="AH3996" s="11"/>
      <c r="AI3996" s="11"/>
    </row>
    <row r="3997" ht="12.5" spans="3:35">
      <c r="C3997" s="19"/>
      <c r="D3997" s="19"/>
      <c r="H3997" s="105"/>
      <c r="I3997" s="126"/>
      <c r="J3997" s="11"/>
      <c r="K3997" s="108"/>
      <c r="L3997" s="11"/>
      <c r="M3997" s="105"/>
      <c r="N3997" s="105"/>
      <c r="O3997" s="11"/>
      <c r="P3997" s="11"/>
      <c r="Q3997" s="105"/>
      <c r="R3997" s="105"/>
      <c r="S3997" s="105"/>
      <c r="T3997" s="105"/>
      <c r="U3997" s="105"/>
      <c r="V3997" s="105"/>
      <c r="W3997" s="105"/>
      <c r="X3997" s="11"/>
      <c r="Y3997" s="11"/>
      <c r="Z3997" s="105"/>
      <c r="AA3997" s="11"/>
      <c r="AB3997" s="11"/>
      <c r="AC3997" s="105"/>
      <c r="AD3997" s="11" t="b">
        <v>0</v>
      </c>
      <c r="AE3997" s="105"/>
      <c r="AF3997" s="11"/>
      <c r="AG3997" s="11"/>
      <c r="AH3997" s="11"/>
      <c r="AI3997" s="11"/>
    </row>
    <row r="3998" ht="12.5" spans="3:35">
      <c r="C3998" s="19"/>
      <c r="D3998" s="19"/>
      <c r="H3998" s="105"/>
      <c r="I3998" s="126"/>
      <c r="J3998" s="11"/>
      <c r="K3998" s="108"/>
      <c r="L3998" s="11"/>
      <c r="M3998" s="105"/>
      <c r="N3998" s="105"/>
      <c r="O3998" s="11"/>
      <c r="P3998" s="11"/>
      <c r="Q3998" s="105"/>
      <c r="R3998" s="105"/>
      <c r="S3998" s="105"/>
      <c r="T3998" s="105"/>
      <c r="U3998" s="105"/>
      <c r="V3998" s="105"/>
      <c r="W3998" s="105"/>
      <c r="X3998" s="11"/>
      <c r="Y3998" s="11"/>
      <c r="Z3998" s="105"/>
      <c r="AA3998" s="11"/>
      <c r="AB3998" s="11"/>
      <c r="AC3998" s="105"/>
      <c r="AD3998" s="11" t="b">
        <v>0</v>
      </c>
      <c r="AE3998" s="105"/>
      <c r="AF3998" s="11"/>
      <c r="AG3998" s="11"/>
      <c r="AH3998" s="11"/>
      <c r="AI3998" s="11"/>
    </row>
    <row r="3999" ht="12.5" spans="3:35">
      <c r="C3999" s="19"/>
      <c r="D3999" s="19"/>
      <c r="H3999" s="105"/>
      <c r="I3999" s="126"/>
      <c r="J3999" s="11"/>
      <c r="K3999" s="108"/>
      <c r="L3999" s="11"/>
      <c r="M3999" s="105"/>
      <c r="N3999" s="105"/>
      <c r="O3999" s="11"/>
      <c r="P3999" s="11"/>
      <c r="Q3999" s="105"/>
      <c r="R3999" s="105"/>
      <c r="S3999" s="105"/>
      <c r="T3999" s="105"/>
      <c r="U3999" s="105"/>
      <c r="V3999" s="105"/>
      <c r="W3999" s="105"/>
      <c r="X3999" s="11"/>
      <c r="Y3999" s="11"/>
      <c r="Z3999" s="105"/>
      <c r="AA3999" s="11"/>
      <c r="AB3999" s="11"/>
      <c r="AC3999" s="105"/>
      <c r="AD3999" s="11" t="b">
        <v>0</v>
      </c>
      <c r="AE3999" s="105"/>
      <c r="AF3999" s="11"/>
      <c r="AG3999" s="11"/>
      <c r="AH3999" s="11"/>
      <c r="AI3999" s="11"/>
    </row>
    <row r="4000" ht="12.5" spans="3:35">
      <c r="C4000" s="19"/>
      <c r="D4000" s="19"/>
      <c r="H4000" s="105"/>
      <c r="I4000" s="126"/>
      <c r="J4000" s="11"/>
      <c r="K4000" s="108"/>
      <c r="L4000" s="11"/>
      <c r="M4000" s="105"/>
      <c r="N4000" s="105"/>
      <c r="O4000" s="11"/>
      <c r="P4000" s="11"/>
      <c r="Q4000" s="105"/>
      <c r="R4000" s="105"/>
      <c r="S4000" s="105"/>
      <c r="T4000" s="105"/>
      <c r="U4000" s="105"/>
      <c r="V4000" s="105"/>
      <c r="W4000" s="105"/>
      <c r="X4000" s="11"/>
      <c r="Y4000" s="11"/>
      <c r="Z4000" s="105"/>
      <c r="AA4000" s="11"/>
      <c r="AB4000" s="11"/>
      <c r="AC4000" s="105"/>
      <c r="AD4000" s="11" t="b">
        <v>0</v>
      </c>
      <c r="AE4000" s="105"/>
      <c r="AF4000" s="11"/>
      <c r="AG4000" s="11"/>
      <c r="AH4000" s="11"/>
      <c r="AI4000" s="11"/>
    </row>
    <row r="4001" ht="12.5" spans="3:35">
      <c r="C4001" s="19"/>
      <c r="D4001" s="19"/>
      <c r="H4001" s="105"/>
      <c r="I4001" s="126"/>
      <c r="J4001" s="11"/>
      <c r="K4001" s="108"/>
      <c r="L4001" s="11"/>
      <c r="M4001" s="105"/>
      <c r="N4001" s="105"/>
      <c r="O4001" s="11"/>
      <c r="P4001" s="11"/>
      <c r="Q4001" s="105"/>
      <c r="R4001" s="105"/>
      <c r="S4001" s="105"/>
      <c r="T4001" s="105"/>
      <c r="U4001" s="105"/>
      <c r="V4001" s="105"/>
      <c r="W4001" s="105"/>
      <c r="X4001" s="11"/>
      <c r="Y4001" s="11"/>
      <c r="Z4001" s="105"/>
      <c r="AA4001" s="11"/>
      <c r="AB4001" s="11"/>
      <c r="AC4001" s="105"/>
      <c r="AD4001" s="11" t="b">
        <v>0</v>
      </c>
      <c r="AE4001" s="105"/>
      <c r="AF4001" s="11"/>
      <c r="AG4001" s="11"/>
      <c r="AH4001" s="11"/>
      <c r="AI4001" s="11"/>
    </row>
    <row r="4002" ht="12.5" spans="3:35">
      <c r="C4002" s="19"/>
      <c r="D4002" s="19"/>
      <c r="H4002" s="105"/>
      <c r="I4002" s="126"/>
      <c r="J4002" s="11"/>
      <c r="K4002" s="108"/>
      <c r="L4002" s="11"/>
      <c r="M4002" s="105"/>
      <c r="N4002" s="105"/>
      <c r="O4002" s="11"/>
      <c r="P4002" s="11"/>
      <c r="Q4002" s="105"/>
      <c r="R4002" s="105"/>
      <c r="S4002" s="105"/>
      <c r="T4002" s="105"/>
      <c r="U4002" s="105"/>
      <c r="V4002" s="105"/>
      <c r="W4002" s="105"/>
      <c r="X4002" s="11"/>
      <c r="Y4002" s="11"/>
      <c r="Z4002" s="105"/>
      <c r="AA4002" s="11"/>
      <c r="AB4002" s="11"/>
      <c r="AC4002" s="105"/>
      <c r="AD4002" s="11" t="b">
        <v>0</v>
      </c>
      <c r="AE4002" s="105"/>
      <c r="AF4002" s="11"/>
      <c r="AG4002" s="11"/>
      <c r="AH4002" s="11"/>
      <c r="AI4002" s="11"/>
    </row>
    <row r="4003" ht="12.5" spans="3:35">
      <c r="C4003" s="19"/>
      <c r="D4003" s="19"/>
      <c r="H4003" s="105"/>
      <c r="I4003" s="126"/>
      <c r="J4003" s="11"/>
      <c r="K4003" s="108"/>
      <c r="L4003" s="11"/>
      <c r="M4003" s="105"/>
      <c r="N4003" s="105"/>
      <c r="O4003" s="11"/>
      <c r="P4003" s="11"/>
      <c r="Q4003" s="105"/>
      <c r="R4003" s="105"/>
      <c r="S4003" s="105"/>
      <c r="T4003" s="105"/>
      <c r="U4003" s="105"/>
      <c r="V4003" s="105"/>
      <c r="W4003" s="105"/>
      <c r="X4003" s="11"/>
      <c r="Y4003" s="11"/>
      <c r="Z4003" s="105"/>
      <c r="AA4003" s="11"/>
      <c r="AB4003" s="11"/>
      <c r="AC4003" s="105"/>
      <c r="AD4003" s="11" t="b">
        <v>0</v>
      </c>
      <c r="AE4003" s="105"/>
      <c r="AF4003" s="11"/>
      <c r="AG4003" s="11"/>
      <c r="AH4003" s="11"/>
      <c r="AI4003" s="11"/>
    </row>
    <row r="4004" ht="12.5" spans="3:35">
      <c r="C4004" s="19"/>
      <c r="D4004" s="19"/>
      <c r="H4004" s="105"/>
      <c r="I4004" s="126"/>
      <c r="J4004" s="11"/>
      <c r="K4004" s="108"/>
      <c r="L4004" s="11"/>
      <c r="M4004" s="105"/>
      <c r="N4004" s="105"/>
      <c r="O4004" s="11"/>
      <c r="P4004" s="11"/>
      <c r="Q4004" s="105"/>
      <c r="R4004" s="105"/>
      <c r="S4004" s="105"/>
      <c r="T4004" s="105"/>
      <c r="U4004" s="105"/>
      <c r="V4004" s="105"/>
      <c r="W4004" s="105"/>
      <c r="X4004" s="11"/>
      <c r="Y4004" s="11"/>
      <c r="Z4004" s="105"/>
      <c r="AA4004" s="11"/>
      <c r="AB4004" s="11"/>
      <c r="AC4004" s="105"/>
      <c r="AD4004" s="11" t="b">
        <v>0</v>
      </c>
      <c r="AE4004" s="105"/>
      <c r="AF4004" s="11"/>
      <c r="AG4004" s="11"/>
      <c r="AH4004" s="11"/>
      <c r="AI4004" s="11"/>
    </row>
    <row r="4005" ht="12.5" spans="3:35">
      <c r="C4005" s="19"/>
      <c r="D4005" s="19"/>
      <c r="H4005" s="105"/>
      <c r="I4005" s="126"/>
      <c r="J4005" s="11"/>
      <c r="K4005" s="108"/>
      <c r="L4005" s="11"/>
      <c r="M4005" s="105"/>
      <c r="N4005" s="105"/>
      <c r="O4005" s="11"/>
      <c r="P4005" s="11"/>
      <c r="Q4005" s="105"/>
      <c r="R4005" s="105"/>
      <c r="S4005" s="105"/>
      <c r="T4005" s="105"/>
      <c r="U4005" s="105"/>
      <c r="V4005" s="105"/>
      <c r="W4005" s="105"/>
      <c r="X4005" s="11"/>
      <c r="Y4005" s="11"/>
      <c r="Z4005" s="105"/>
      <c r="AA4005" s="11"/>
      <c r="AB4005" s="11"/>
      <c r="AC4005" s="105"/>
      <c r="AD4005" s="11" t="b">
        <v>0</v>
      </c>
      <c r="AE4005" s="105"/>
      <c r="AF4005" s="11"/>
      <c r="AG4005" s="11"/>
      <c r="AH4005" s="11"/>
      <c r="AI4005" s="11"/>
    </row>
    <row r="4006" ht="12.5" spans="3:35">
      <c r="C4006" s="19"/>
      <c r="D4006" s="19"/>
      <c r="H4006" s="105"/>
      <c r="I4006" s="126"/>
      <c r="J4006" s="11"/>
      <c r="K4006" s="108"/>
      <c r="L4006" s="11"/>
      <c r="M4006" s="105"/>
      <c r="N4006" s="105"/>
      <c r="O4006" s="11"/>
      <c r="P4006" s="11"/>
      <c r="Q4006" s="105"/>
      <c r="R4006" s="105"/>
      <c r="S4006" s="105"/>
      <c r="T4006" s="105"/>
      <c r="U4006" s="105"/>
      <c r="V4006" s="105"/>
      <c r="W4006" s="105"/>
      <c r="X4006" s="11"/>
      <c r="Y4006" s="11"/>
      <c r="Z4006" s="105"/>
      <c r="AA4006" s="11"/>
      <c r="AB4006" s="11"/>
      <c r="AC4006" s="105"/>
      <c r="AD4006" s="11" t="b">
        <v>0</v>
      </c>
      <c r="AE4006" s="105"/>
      <c r="AF4006" s="11"/>
      <c r="AG4006" s="11"/>
      <c r="AH4006" s="11"/>
      <c r="AI4006" s="11"/>
    </row>
    <row r="4007" ht="12.5" spans="3:35">
      <c r="C4007" s="19"/>
      <c r="D4007" s="19"/>
      <c r="H4007" s="105"/>
      <c r="I4007" s="126"/>
      <c r="J4007" s="11"/>
      <c r="K4007" s="108"/>
      <c r="L4007" s="11"/>
      <c r="M4007" s="105"/>
      <c r="N4007" s="105"/>
      <c r="O4007" s="11"/>
      <c r="P4007" s="11"/>
      <c r="Q4007" s="105"/>
      <c r="R4007" s="105"/>
      <c r="S4007" s="105"/>
      <c r="T4007" s="105"/>
      <c r="U4007" s="105"/>
      <c r="V4007" s="105"/>
      <c r="W4007" s="105"/>
      <c r="X4007" s="11"/>
      <c r="Y4007" s="11"/>
      <c r="Z4007" s="105"/>
      <c r="AA4007" s="11"/>
      <c r="AB4007" s="11"/>
      <c r="AC4007" s="105"/>
      <c r="AD4007" s="11" t="b">
        <v>0</v>
      </c>
      <c r="AE4007" s="105"/>
      <c r="AF4007" s="11"/>
      <c r="AG4007" s="11"/>
      <c r="AH4007" s="11"/>
      <c r="AI4007" s="11"/>
    </row>
    <row r="4008" ht="12.5" spans="3:35">
      <c r="C4008" s="19"/>
      <c r="D4008" s="19"/>
      <c r="H4008" s="105"/>
      <c r="I4008" s="126"/>
      <c r="J4008" s="11"/>
      <c r="K4008" s="108"/>
      <c r="L4008" s="11"/>
      <c r="M4008" s="105"/>
      <c r="N4008" s="105"/>
      <c r="O4008" s="11"/>
      <c r="P4008" s="11"/>
      <c r="Q4008" s="105"/>
      <c r="R4008" s="105"/>
      <c r="S4008" s="105"/>
      <c r="T4008" s="105"/>
      <c r="U4008" s="105"/>
      <c r="V4008" s="105"/>
      <c r="W4008" s="105"/>
      <c r="X4008" s="11"/>
      <c r="Y4008" s="11"/>
      <c r="Z4008" s="105"/>
      <c r="AA4008" s="11"/>
      <c r="AB4008" s="11"/>
      <c r="AC4008" s="105"/>
      <c r="AD4008" s="11" t="b">
        <v>0</v>
      </c>
      <c r="AE4008" s="105"/>
      <c r="AF4008" s="11"/>
      <c r="AG4008" s="11"/>
      <c r="AH4008" s="11"/>
      <c r="AI4008" s="11"/>
    </row>
    <row r="4009" ht="12.5" spans="3:35">
      <c r="C4009" s="19"/>
      <c r="D4009" s="19"/>
      <c r="H4009" s="105"/>
      <c r="I4009" s="126"/>
      <c r="J4009" s="11"/>
      <c r="K4009" s="108"/>
      <c r="L4009" s="11"/>
      <c r="M4009" s="105"/>
      <c r="N4009" s="105"/>
      <c r="O4009" s="11"/>
      <c r="P4009" s="11"/>
      <c r="Q4009" s="105"/>
      <c r="R4009" s="105"/>
      <c r="S4009" s="105"/>
      <c r="T4009" s="105"/>
      <c r="U4009" s="105"/>
      <c r="V4009" s="105"/>
      <c r="W4009" s="105"/>
      <c r="X4009" s="11"/>
      <c r="Y4009" s="11"/>
      <c r="Z4009" s="105"/>
      <c r="AA4009" s="11"/>
      <c r="AB4009" s="11"/>
      <c r="AC4009" s="105"/>
      <c r="AD4009" s="11" t="b">
        <v>0</v>
      </c>
      <c r="AE4009" s="105"/>
      <c r="AF4009" s="11"/>
      <c r="AG4009" s="11"/>
      <c r="AH4009" s="11"/>
      <c r="AI4009" s="11"/>
    </row>
    <row r="4010" ht="12.5" spans="3:35">
      <c r="C4010" s="19"/>
      <c r="D4010" s="19"/>
      <c r="H4010" s="105"/>
      <c r="I4010" s="126"/>
      <c r="J4010" s="11"/>
      <c r="K4010" s="108"/>
      <c r="L4010" s="11"/>
      <c r="M4010" s="105"/>
      <c r="N4010" s="105"/>
      <c r="O4010" s="11"/>
      <c r="P4010" s="11"/>
      <c r="Q4010" s="105"/>
      <c r="R4010" s="105"/>
      <c r="S4010" s="105"/>
      <c r="T4010" s="105"/>
      <c r="U4010" s="105"/>
      <c r="V4010" s="105"/>
      <c r="W4010" s="105"/>
      <c r="X4010" s="11"/>
      <c r="Y4010" s="11"/>
      <c r="Z4010" s="105"/>
      <c r="AA4010" s="11"/>
      <c r="AB4010" s="11"/>
      <c r="AC4010" s="105"/>
      <c r="AD4010" s="11" t="b">
        <v>0</v>
      </c>
      <c r="AE4010" s="105"/>
      <c r="AF4010" s="11"/>
      <c r="AG4010" s="11"/>
      <c r="AH4010" s="11"/>
      <c r="AI4010" s="11"/>
    </row>
    <row r="4011" ht="12.5" spans="3:35">
      <c r="C4011" s="19"/>
      <c r="D4011" s="19"/>
      <c r="H4011" s="105"/>
      <c r="I4011" s="126"/>
      <c r="J4011" s="11"/>
      <c r="K4011" s="108"/>
      <c r="L4011" s="11"/>
      <c r="M4011" s="105"/>
      <c r="N4011" s="105"/>
      <c r="O4011" s="11"/>
      <c r="P4011" s="11"/>
      <c r="Q4011" s="105"/>
      <c r="R4011" s="105"/>
      <c r="S4011" s="105"/>
      <c r="T4011" s="105"/>
      <c r="U4011" s="105"/>
      <c r="V4011" s="105"/>
      <c r="W4011" s="105"/>
      <c r="X4011" s="11"/>
      <c r="Y4011" s="11"/>
      <c r="Z4011" s="105"/>
      <c r="AA4011" s="11"/>
      <c r="AB4011" s="11"/>
      <c r="AC4011" s="105"/>
      <c r="AD4011" s="11" t="b">
        <v>0</v>
      </c>
      <c r="AE4011" s="105"/>
      <c r="AF4011" s="11"/>
      <c r="AG4011" s="11"/>
      <c r="AH4011" s="11"/>
      <c r="AI4011" s="11"/>
    </row>
    <row r="4012" ht="12.5" spans="3:35">
      <c r="C4012" s="19"/>
      <c r="D4012" s="19"/>
      <c r="H4012" s="105"/>
      <c r="I4012" s="126"/>
      <c r="J4012" s="11"/>
      <c r="K4012" s="108"/>
      <c r="L4012" s="11"/>
      <c r="M4012" s="105"/>
      <c r="N4012" s="105"/>
      <c r="O4012" s="11"/>
      <c r="P4012" s="11"/>
      <c r="Q4012" s="105"/>
      <c r="R4012" s="105"/>
      <c r="S4012" s="105"/>
      <c r="T4012" s="105"/>
      <c r="U4012" s="105"/>
      <c r="V4012" s="105"/>
      <c r="W4012" s="105"/>
      <c r="X4012" s="11"/>
      <c r="Y4012" s="11"/>
      <c r="Z4012" s="105"/>
      <c r="AA4012" s="11"/>
      <c r="AB4012" s="11"/>
      <c r="AC4012" s="105"/>
      <c r="AD4012" s="11" t="b">
        <v>0</v>
      </c>
      <c r="AE4012" s="105"/>
      <c r="AF4012" s="11"/>
      <c r="AG4012" s="11"/>
      <c r="AH4012" s="11"/>
      <c r="AI4012" s="11"/>
    </row>
    <row r="4013" ht="12.5" spans="3:35">
      <c r="C4013" s="19"/>
      <c r="D4013" s="19"/>
      <c r="H4013" s="105"/>
      <c r="I4013" s="126"/>
      <c r="J4013" s="11"/>
      <c r="K4013" s="108"/>
      <c r="L4013" s="11"/>
      <c r="M4013" s="105"/>
      <c r="N4013" s="105"/>
      <c r="O4013" s="11"/>
      <c r="P4013" s="11"/>
      <c r="Q4013" s="105"/>
      <c r="R4013" s="105"/>
      <c r="S4013" s="105"/>
      <c r="T4013" s="105"/>
      <c r="U4013" s="105"/>
      <c r="V4013" s="105"/>
      <c r="W4013" s="105"/>
      <c r="X4013" s="11"/>
      <c r="Y4013" s="11"/>
      <c r="Z4013" s="105"/>
      <c r="AA4013" s="11"/>
      <c r="AB4013" s="11"/>
      <c r="AC4013" s="105"/>
      <c r="AD4013" s="11" t="b">
        <v>0</v>
      </c>
      <c r="AE4013" s="105"/>
      <c r="AF4013" s="11"/>
      <c r="AG4013" s="11"/>
      <c r="AH4013" s="11"/>
      <c r="AI4013" s="11"/>
    </row>
    <row r="4014" ht="12.5" spans="3:35">
      <c r="C4014" s="19"/>
      <c r="D4014" s="19"/>
      <c r="H4014" s="105"/>
      <c r="I4014" s="126"/>
      <c r="J4014" s="11"/>
      <c r="K4014" s="108"/>
      <c r="L4014" s="11"/>
      <c r="M4014" s="105"/>
      <c r="N4014" s="105"/>
      <c r="O4014" s="11"/>
      <c r="P4014" s="11"/>
      <c r="Q4014" s="105"/>
      <c r="R4014" s="105"/>
      <c r="S4014" s="105"/>
      <c r="T4014" s="105"/>
      <c r="U4014" s="105"/>
      <c r="V4014" s="105"/>
      <c r="W4014" s="105"/>
      <c r="X4014" s="11"/>
      <c r="Y4014" s="11"/>
      <c r="Z4014" s="105"/>
      <c r="AA4014" s="11"/>
      <c r="AB4014" s="11"/>
      <c r="AC4014" s="105"/>
      <c r="AD4014" s="11" t="b">
        <v>0</v>
      </c>
      <c r="AE4014" s="105"/>
      <c r="AF4014" s="11"/>
      <c r="AG4014" s="11"/>
      <c r="AH4014" s="11"/>
      <c r="AI4014" s="11"/>
    </row>
    <row r="4015" ht="12.5" spans="3:35">
      <c r="C4015" s="19"/>
      <c r="D4015" s="19"/>
      <c r="H4015" s="105"/>
      <c r="I4015" s="126"/>
      <c r="J4015" s="11"/>
      <c r="K4015" s="108"/>
      <c r="L4015" s="11"/>
      <c r="M4015" s="105"/>
      <c r="N4015" s="105"/>
      <c r="O4015" s="11"/>
      <c r="P4015" s="11"/>
      <c r="Q4015" s="105"/>
      <c r="R4015" s="105"/>
      <c r="S4015" s="105"/>
      <c r="T4015" s="105"/>
      <c r="U4015" s="105"/>
      <c r="V4015" s="105"/>
      <c r="W4015" s="105"/>
      <c r="X4015" s="11"/>
      <c r="Y4015" s="11"/>
      <c r="Z4015" s="105"/>
      <c r="AA4015" s="11"/>
      <c r="AB4015" s="11"/>
      <c r="AC4015" s="105"/>
      <c r="AD4015" s="11" t="b">
        <v>0</v>
      </c>
      <c r="AE4015" s="105"/>
      <c r="AF4015" s="11"/>
      <c r="AG4015" s="11"/>
      <c r="AH4015" s="11"/>
      <c r="AI4015" s="11"/>
    </row>
    <row r="4016" ht="12.5" spans="3:35">
      <c r="C4016" s="19"/>
      <c r="D4016" s="19"/>
      <c r="H4016" s="105"/>
      <c r="I4016" s="126"/>
      <c r="J4016" s="11"/>
      <c r="K4016" s="108"/>
      <c r="L4016" s="11"/>
      <c r="M4016" s="105"/>
      <c r="N4016" s="105"/>
      <c r="O4016" s="11"/>
      <c r="P4016" s="11"/>
      <c r="Q4016" s="105"/>
      <c r="R4016" s="105"/>
      <c r="S4016" s="105"/>
      <c r="T4016" s="105"/>
      <c r="U4016" s="105"/>
      <c r="V4016" s="105"/>
      <c r="W4016" s="105"/>
      <c r="X4016" s="11"/>
      <c r="Y4016" s="11"/>
      <c r="Z4016" s="105"/>
      <c r="AA4016" s="11"/>
      <c r="AB4016" s="11"/>
      <c r="AC4016" s="105"/>
      <c r="AD4016" s="11" t="b">
        <v>0</v>
      </c>
      <c r="AE4016" s="105"/>
      <c r="AF4016" s="11"/>
      <c r="AG4016" s="11"/>
      <c r="AH4016" s="11"/>
      <c r="AI4016" s="11"/>
    </row>
    <row r="4017" ht="12.5" spans="3:35">
      <c r="C4017" s="19"/>
      <c r="D4017" s="19"/>
      <c r="H4017" s="105"/>
      <c r="I4017" s="126"/>
      <c r="J4017" s="11"/>
      <c r="K4017" s="108"/>
      <c r="L4017" s="11"/>
      <c r="M4017" s="105"/>
      <c r="N4017" s="105"/>
      <c r="O4017" s="11"/>
      <c r="P4017" s="11"/>
      <c r="Q4017" s="105"/>
      <c r="R4017" s="105"/>
      <c r="S4017" s="105"/>
      <c r="T4017" s="105"/>
      <c r="U4017" s="105"/>
      <c r="V4017" s="105"/>
      <c r="W4017" s="105"/>
      <c r="X4017" s="11"/>
      <c r="Y4017" s="11"/>
      <c r="Z4017" s="105"/>
      <c r="AA4017" s="11"/>
      <c r="AB4017" s="11"/>
      <c r="AC4017" s="105"/>
      <c r="AD4017" s="11" t="b">
        <v>0</v>
      </c>
      <c r="AE4017" s="105"/>
      <c r="AF4017" s="11"/>
      <c r="AG4017" s="11"/>
      <c r="AH4017" s="11"/>
      <c r="AI4017" s="11"/>
    </row>
    <row r="4018" ht="12.5" spans="3:35">
      <c r="C4018" s="19"/>
      <c r="D4018" s="19"/>
      <c r="H4018" s="105"/>
      <c r="I4018" s="126"/>
      <c r="J4018" s="11"/>
      <c r="K4018" s="108"/>
      <c r="L4018" s="11"/>
      <c r="M4018" s="105"/>
      <c r="N4018" s="105"/>
      <c r="O4018" s="11"/>
      <c r="P4018" s="11"/>
      <c r="Q4018" s="105"/>
      <c r="R4018" s="105"/>
      <c r="S4018" s="105"/>
      <c r="T4018" s="105"/>
      <c r="U4018" s="105"/>
      <c r="V4018" s="105"/>
      <c r="W4018" s="105"/>
      <c r="X4018" s="11"/>
      <c r="Y4018" s="11"/>
      <c r="Z4018" s="105"/>
      <c r="AA4018" s="11"/>
      <c r="AB4018" s="11"/>
      <c r="AC4018" s="105"/>
      <c r="AD4018" s="11" t="b">
        <v>0</v>
      </c>
      <c r="AE4018" s="105"/>
      <c r="AF4018" s="11"/>
      <c r="AG4018" s="11"/>
      <c r="AH4018" s="11"/>
      <c r="AI4018" s="11"/>
    </row>
    <row r="4019" ht="12.5" spans="3:35">
      <c r="C4019" s="19"/>
      <c r="D4019" s="19"/>
      <c r="H4019" s="105"/>
      <c r="I4019" s="126"/>
      <c r="J4019" s="11"/>
      <c r="K4019" s="108"/>
      <c r="L4019" s="11"/>
      <c r="M4019" s="105"/>
      <c r="N4019" s="105"/>
      <c r="O4019" s="11"/>
      <c r="P4019" s="11"/>
      <c r="Q4019" s="105"/>
      <c r="R4019" s="105"/>
      <c r="S4019" s="105"/>
      <c r="T4019" s="105"/>
      <c r="U4019" s="105"/>
      <c r="V4019" s="105"/>
      <c r="W4019" s="105"/>
      <c r="X4019" s="11"/>
      <c r="Y4019" s="11"/>
      <c r="Z4019" s="105"/>
      <c r="AA4019" s="11"/>
      <c r="AB4019" s="11"/>
      <c r="AC4019" s="105"/>
      <c r="AD4019" s="11" t="b">
        <v>0</v>
      </c>
      <c r="AE4019" s="105"/>
      <c r="AF4019" s="11"/>
      <c r="AG4019" s="11"/>
      <c r="AH4019" s="11"/>
      <c r="AI4019" s="11"/>
    </row>
    <row r="4020" ht="12.5" spans="3:35">
      <c r="C4020" s="19"/>
      <c r="D4020" s="19"/>
      <c r="H4020" s="105"/>
      <c r="I4020" s="126"/>
      <c r="J4020" s="11"/>
      <c r="K4020" s="108"/>
      <c r="L4020" s="11"/>
      <c r="M4020" s="105"/>
      <c r="N4020" s="105"/>
      <c r="O4020" s="11"/>
      <c r="P4020" s="11"/>
      <c r="Q4020" s="105"/>
      <c r="R4020" s="105"/>
      <c r="S4020" s="105"/>
      <c r="T4020" s="105"/>
      <c r="U4020" s="105"/>
      <c r="V4020" s="105"/>
      <c r="W4020" s="105"/>
      <c r="X4020" s="11"/>
      <c r="Y4020" s="11"/>
      <c r="Z4020" s="105"/>
      <c r="AA4020" s="11"/>
      <c r="AB4020" s="11"/>
      <c r="AC4020" s="105"/>
      <c r="AD4020" s="11" t="b">
        <v>0</v>
      </c>
      <c r="AE4020" s="105"/>
      <c r="AF4020" s="11"/>
      <c r="AG4020" s="11"/>
      <c r="AH4020" s="11"/>
      <c r="AI4020" s="11"/>
    </row>
    <row r="4021" ht="12.5" spans="3:35">
      <c r="C4021" s="19"/>
      <c r="D4021" s="19"/>
      <c r="H4021" s="105"/>
      <c r="I4021" s="126"/>
      <c r="J4021" s="11"/>
      <c r="K4021" s="108"/>
      <c r="L4021" s="11"/>
      <c r="M4021" s="105"/>
      <c r="N4021" s="105"/>
      <c r="O4021" s="11"/>
      <c r="P4021" s="11"/>
      <c r="Q4021" s="105"/>
      <c r="R4021" s="105"/>
      <c r="S4021" s="105"/>
      <c r="T4021" s="105"/>
      <c r="U4021" s="105"/>
      <c r="V4021" s="105"/>
      <c r="W4021" s="105"/>
      <c r="X4021" s="11"/>
      <c r="Y4021" s="11"/>
      <c r="Z4021" s="105"/>
      <c r="AA4021" s="11"/>
      <c r="AB4021" s="11"/>
      <c r="AC4021" s="105"/>
      <c r="AD4021" s="11" t="b">
        <v>0</v>
      </c>
      <c r="AE4021" s="105"/>
      <c r="AF4021" s="11"/>
      <c r="AG4021" s="11"/>
      <c r="AH4021" s="11"/>
      <c r="AI4021" s="11"/>
    </row>
    <row r="4022" ht="12.5" spans="3:35">
      <c r="C4022" s="19"/>
      <c r="D4022" s="19"/>
      <c r="H4022" s="105"/>
      <c r="I4022" s="126"/>
      <c r="J4022" s="11"/>
      <c r="K4022" s="108"/>
      <c r="L4022" s="11"/>
      <c r="M4022" s="105"/>
      <c r="N4022" s="105"/>
      <c r="O4022" s="11"/>
      <c r="P4022" s="11"/>
      <c r="Q4022" s="105"/>
      <c r="R4022" s="105"/>
      <c r="S4022" s="105"/>
      <c r="T4022" s="105"/>
      <c r="U4022" s="105"/>
      <c r="V4022" s="105"/>
      <c r="W4022" s="105"/>
      <c r="X4022" s="11"/>
      <c r="Y4022" s="11"/>
      <c r="Z4022" s="105"/>
      <c r="AA4022" s="11"/>
      <c r="AB4022" s="11"/>
      <c r="AC4022" s="105"/>
      <c r="AD4022" s="11" t="b">
        <v>0</v>
      </c>
      <c r="AE4022" s="105"/>
      <c r="AF4022" s="11"/>
      <c r="AG4022" s="11"/>
      <c r="AH4022" s="11"/>
      <c r="AI4022" s="11"/>
    </row>
    <row r="4023" ht="12.5" spans="3:35">
      <c r="C4023" s="19"/>
      <c r="D4023" s="19"/>
      <c r="H4023" s="105"/>
      <c r="I4023" s="126"/>
      <c r="J4023" s="11"/>
      <c r="K4023" s="108"/>
      <c r="L4023" s="11"/>
      <c r="M4023" s="105"/>
      <c r="N4023" s="105"/>
      <c r="O4023" s="11"/>
      <c r="P4023" s="11"/>
      <c r="Q4023" s="105"/>
      <c r="R4023" s="105"/>
      <c r="S4023" s="105"/>
      <c r="T4023" s="105"/>
      <c r="U4023" s="105"/>
      <c r="V4023" s="105"/>
      <c r="W4023" s="105"/>
      <c r="X4023" s="11"/>
      <c r="Y4023" s="11"/>
      <c r="Z4023" s="105"/>
      <c r="AA4023" s="11"/>
      <c r="AB4023" s="11"/>
      <c r="AC4023" s="105"/>
      <c r="AD4023" s="11" t="b">
        <v>0</v>
      </c>
      <c r="AE4023" s="105"/>
      <c r="AF4023" s="11"/>
      <c r="AG4023" s="11"/>
      <c r="AH4023" s="11"/>
      <c r="AI4023" s="11"/>
    </row>
    <row r="4024" ht="12.5" spans="3:35">
      <c r="C4024" s="19"/>
      <c r="D4024" s="19"/>
      <c r="H4024" s="105"/>
      <c r="I4024" s="126"/>
      <c r="J4024" s="11"/>
      <c r="K4024" s="108"/>
      <c r="L4024" s="11"/>
      <c r="M4024" s="105"/>
      <c r="N4024" s="105"/>
      <c r="O4024" s="11"/>
      <c r="P4024" s="11"/>
      <c r="Q4024" s="105"/>
      <c r="R4024" s="105"/>
      <c r="S4024" s="105"/>
      <c r="T4024" s="105"/>
      <c r="U4024" s="105"/>
      <c r="V4024" s="105"/>
      <c r="W4024" s="105"/>
      <c r="X4024" s="11"/>
      <c r="Y4024" s="11"/>
      <c r="Z4024" s="105"/>
      <c r="AA4024" s="11"/>
      <c r="AB4024" s="11"/>
      <c r="AC4024" s="105"/>
      <c r="AD4024" s="11" t="b">
        <v>0</v>
      </c>
      <c r="AE4024" s="105"/>
      <c r="AF4024" s="11"/>
      <c r="AG4024" s="11"/>
      <c r="AH4024" s="11"/>
      <c r="AI4024" s="11"/>
    </row>
    <row r="4025" ht="12.5" spans="3:35">
      <c r="C4025" s="19"/>
      <c r="D4025" s="19"/>
      <c r="H4025" s="105"/>
      <c r="I4025" s="126"/>
      <c r="J4025" s="11"/>
      <c r="K4025" s="108"/>
      <c r="L4025" s="11"/>
      <c r="M4025" s="105"/>
      <c r="N4025" s="105"/>
      <c r="O4025" s="11"/>
      <c r="P4025" s="11"/>
      <c r="Q4025" s="105"/>
      <c r="R4025" s="105"/>
      <c r="S4025" s="105"/>
      <c r="T4025" s="105"/>
      <c r="U4025" s="105"/>
      <c r="V4025" s="105"/>
      <c r="W4025" s="105"/>
      <c r="X4025" s="11"/>
      <c r="Y4025" s="11"/>
      <c r="Z4025" s="105"/>
      <c r="AA4025" s="11"/>
      <c r="AB4025" s="11"/>
      <c r="AC4025" s="105"/>
      <c r="AD4025" s="11" t="b">
        <v>0</v>
      </c>
      <c r="AE4025" s="105"/>
      <c r="AF4025" s="11"/>
      <c r="AG4025" s="11"/>
      <c r="AH4025" s="11"/>
      <c r="AI4025" s="11"/>
    </row>
    <row r="4026" ht="12.5" spans="3:35">
      <c r="C4026" s="19"/>
      <c r="D4026" s="19"/>
      <c r="H4026" s="105"/>
      <c r="I4026" s="126"/>
      <c r="J4026" s="11"/>
      <c r="K4026" s="108"/>
      <c r="L4026" s="11"/>
      <c r="M4026" s="105"/>
      <c r="N4026" s="105"/>
      <c r="O4026" s="11"/>
      <c r="P4026" s="11"/>
      <c r="Q4026" s="105"/>
      <c r="R4026" s="105"/>
      <c r="S4026" s="105"/>
      <c r="T4026" s="105"/>
      <c r="U4026" s="105"/>
      <c r="V4026" s="105"/>
      <c r="W4026" s="105"/>
      <c r="X4026" s="11"/>
      <c r="Y4026" s="11"/>
      <c r="Z4026" s="105"/>
      <c r="AA4026" s="11"/>
      <c r="AB4026" s="11"/>
      <c r="AC4026" s="105"/>
      <c r="AD4026" s="11" t="b">
        <v>0</v>
      </c>
      <c r="AE4026" s="105"/>
      <c r="AF4026" s="11"/>
      <c r="AG4026" s="11"/>
      <c r="AH4026" s="11"/>
      <c r="AI4026" s="11"/>
    </row>
    <row r="4027" ht="12.5" spans="3:35">
      <c r="C4027" s="19"/>
      <c r="D4027" s="19"/>
      <c r="H4027" s="105"/>
      <c r="I4027" s="126"/>
      <c r="J4027" s="11"/>
      <c r="K4027" s="108"/>
      <c r="L4027" s="11"/>
      <c r="M4027" s="105"/>
      <c r="N4027" s="105"/>
      <c r="O4027" s="11"/>
      <c r="P4027" s="11"/>
      <c r="Q4027" s="105"/>
      <c r="R4027" s="105"/>
      <c r="S4027" s="105"/>
      <c r="T4027" s="105"/>
      <c r="U4027" s="105"/>
      <c r="V4027" s="105"/>
      <c r="W4027" s="105"/>
      <c r="X4027" s="11"/>
      <c r="Y4027" s="11"/>
      <c r="Z4027" s="105"/>
      <c r="AA4027" s="11"/>
      <c r="AB4027" s="11"/>
      <c r="AC4027" s="105"/>
      <c r="AD4027" s="11" t="b">
        <v>0</v>
      </c>
      <c r="AE4027" s="105"/>
      <c r="AF4027" s="11"/>
      <c r="AG4027" s="11"/>
      <c r="AH4027" s="11"/>
      <c r="AI4027" s="11"/>
    </row>
    <row r="4028" ht="12.5" spans="3:35">
      <c r="C4028" s="19"/>
      <c r="D4028" s="19"/>
      <c r="H4028" s="105"/>
      <c r="I4028" s="126"/>
      <c r="J4028" s="11"/>
      <c r="K4028" s="108"/>
      <c r="L4028" s="11"/>
      <c r="M4028" s="105"/>
      <c r="N4028" s="105"/>
      <c r="O4028" s="11"/>
      <c r="P4028" s="11"/>
      <c r="Q4028" s="105"/>
      <c r="R4028" s="105"/>
      <c r="S4028" s="105"/>
      <c r="T4028" s="105"/>
      <c r="U4028" s="105"/>
      <c r="V4028" s="105"/>
      <c r="W4028" s="105"/>
      <c r="X4028" s="11"/>
      <c r="Y4028" s="11"/>
      <c r="Z4028" s="105"/>
      <c r="AA4028" s="11"/>
      <c r="AB4028" s="11"/>
      <c r="AC4028" s="105"/>
      <c r="AD4028" s="11" t="b">
        <v>0</v>
      </c>
      <c r="AE4028" s="105"/>
      <c r="AF4028" s="11"/>
      <c r="AG4028" s="11"/>
      <c r="AH4028" s="11"/>
      <c r="AI4028" s="11"/>
    </row>
    <row r="4029" ht="12.5" spans="3:35">
      <c r="C4029" s="19"/>
      <c r="D4029" s="19"/>
      <c r="H4029" s="105"/>
      <c r="I4029" s="126"/>
      <c r="J4029" s="11"/>
      <c r="K4029" s="108"/>
      <c r="L4029" s="11"/>
      <c r="M4029" s="105"/>
      <c r="N4029" s="105"/>
      <c r="O4029" s="11"/>
      <c r="P4029" s="11"/>
      <c r="Q4029" s="105"/>
      <c r="R4029" s="105"/>
      <c r="S4029" s="105"/>
      <c r="T4029" s="105"/>
      <c r="U4029" s="105"/>
      <c r="V4029" s="105"/>
      <c r="W4029" s="105"/>
      <c r="X4029" s="11"/>
      <c r="Y4029" s="11"/>
      <c r="Z4029" s="105"/>
      <c r="AA4029" s="11"/>
      <c r="AB4029" s="11"/>
      <c r="AC4029" s="105"/>
      <c r="AD4029" s="11" t="b">
        <v>0</v>
      </c>
      <c r="AE4029" s="105"/>
      <c r="AF4029" s="11"/>
      <c r="AG4029" s="11"/>
      <c r="AH4029" s="11"/>
      <c r="AI4029" s="11"/>
    </row>
    <row r="4030" ht="12.5" spans="3:35">
      <c r="C4030" s="19"/>
      <c r="D4030" s="19"/>
      <c r="H4030" s="105"/>
      <c r="I4030" s="126"/>
      <c r="J4030" s="11"/>
      <c r="K4030" s="108"/>
      <c r="L4030" s="11"/>
      <c r="M4030" s="105"/>
      <c r="N4030" s="105"/>
      <c r="O4030" s="11"/>
      <c r="P4030" s="11"/>
      <c r="Q4030" s="105"/>
      <c r="R4030" s="105"/>
      <c r="S4030" s="105"/>
      <c r="T4030" s="105"/>
      <c r="U4030" s="105"/>
      <c r="V4030" s="105"/>
      <c r="W4030" s="105"/>
      <c r="X4030" s="11"/>
      <c r="Y4030" s="11"/>
      <c r="Z4030" s="105"/>
      <c r="AA4030" s="11"/>
      <c r="AB4030" s="11"/>
      <c r="AC4030" s="105"/>
      <c r="AD4030" s="11" t="b">
        <v>0</v>
      </c>
      <c r="AE4030" s="105"/>
      <c r="AF4030" s="11"/>
      <c r="AG4030" s="11"/>
      <c r="AH4030" s="11"/>
      <c r="AI4030" s="11"/>
    </row>
    <row r="4031" ht="12.5" spans="3:35">
      <c r="C4031" s="19"/>
      <c r="D4031" s="19"/>
      <c r="H4031" s="105"/>
      <c r="I4031" s="126"/>
      <c r="J4031" s="11"/>
      <c r="K4031" s="108"/>
      <c r="L4031" s="11"/>
      <c r="M4031" s="105"/>
      <c r="N4031" s="105"/>
      <c r="O4031" s="11"/>
      <c r="P4031" s="11"/>
      <c r="Q4031" s="105"/>
      <c r="R4031" s="105"/>
      <c r="S4031" s="105"/>
      <c r="T4031" s="105"/>
      <c r="U4031" s="105"/>
      <c r="V4031" s="105"/>
      <c r="W4031" s="105"/>
      <c r="X4031" s="11"/>
      <c r="Y4031" s="11"/>
      <c r="Z4031" s="105"/>
      <c r="AA4031" s="11"/>
      <c r="AB4031" s="11"/>
      <c r="AC4031" s="105"/>
      <c r="AD4031" s="11" t="b">
        <v>0</v>
      </c>
      <c r="AE4031" s="105"/>
      <c r="AF4031" s="11"/>
      <c r="AG4031" s="11"/>
      <c r="AH4031" s="11"/>
      <c r="AI4031" s="11"/>
    </row>
    <row r="4032" ht="12.5" spans="3:35">
      <c r="C4032" s="19"/>
      <c r="D4032" s="19"/>
      <c r="H4032" s="105"/>
      <c r="I4032" s="126"/>
      <c r="J4032" s="11"/>
      <c r="K4032" s="108"/>
      <c r="L4032" s="11"/>
      <c r="M4032" s="105"/>
      <c r="N4032" s="105"/>
      <c r="O4032" s="11"/>
      <c r="P4032" s="11"/>
      <c r="Q4032" s="105"/>
      <c r="R4032" s="105"/>
      <c r="S4032" s="105"/>
      <c r="T4032" s="105"/>
      <c r="U4032" s="105"/>
      <c r="V4032" s="105"/>
      <c r="W4032" s="105"/>
      <c r="X4032" s="11"/>
      <c r="Y4032" s="11"/>
      <c r="Z4032" s="105"/>
      <c r="AA4032" s="11"/>
      <c r="AB4032" s="11"/>
      <c r="AC4032" s="105"/>
      <c r="AD4032" s="11" t="b">
        <v>0</v>
      </c>
      <c r="AE4032" s="105"/>
      <c r="AF4032" s="11"/>
      <c r="AG4032" s="11"/>
      <c r="AH4032" s="11"/>
      <c r="AI4032" s="11"/>
    </row>
    <row r="4033" ht="12.5" spans="3:35">
      <c r="C4033" s="19"/>
      <c r="D4033" s="19"/>
      <c r="H4033" s="105"/>
      <c r="I4033" s="126"/>
      <c r="J4033" s="11"/>
      <c r="K4033" s="108"/>
      <c r="L4033" s="11"/>
      <c r="M4033" s="105"/>
      <c r="N4033" s="105"/>
      <c r="O4033" s="11"/>
      <c r="P4033" s="11"/>
      <c r="Q4033" s="105"/>
      <c r="R4033" s="105"/>
      <c r="S4033" s="105"/>
      <c r="T4033" s="105"/>
      <c r="U4033" s="105"/>
      <c r="V4033" s="105"/>
      <c r="W4033" s="105"/>
      <c r="X4033" s="11"/>
      <c r="Y4033" s="11"/>
      <c r="Z4033" s="105"/>
      <c r="AA4033" s="11"/>
      <c r="AB4033" s="11"/>
      <c r="AC4033" s="105"/>
      <c r="AD4033" s="11" t="b">
        <v>0</v>
      </c>
      <c r="AE4033" s="105"/>
      <c r="AF4033" s="11"/>
      <c r="AG4033" s="11"/>
      <c r="AH4033" s="11"/>
      <c r="AI4033" s="11"/>
    </row>
    <row r="4034" ht="12.5" spans="3:35">
      <c r="C4034" s="19"/>
      <c r="D4034" s="19"/>
      <c r="H4034" s="105"/>
      <c r="I4034" s="126"/>
      <c r="J4034" s="11"/>
      <c r="K4034" s="108"/>
      <c r="L4034" s="11"/>
      <c r="M4034" s="105"/>
      <c r="N4034" s="105"/>
      <c r="O4034" s="11"/>
      <c r="P4034" s="11"/>
      <c r="Q4034" s="105"/>
      <c r="R4034" s="105"/>
      <c r="S4034" s="105"/>
      <c r="T4034" s="105"/>
      <c r="U4034" s="105"/>
      <c r="V4034" s="105"/>
      <c r="W4034" s="105"/>
      <c r="X4034" s="11"/>
      <c r="Y4034" s="11"/>
      <c r="Z4034" s="105"/>
      <c r="AA4034" s="11"/>
      <c r="AB4034" s="11"/>
      <c r="AC4034" s="105"/>
      <c r="AD4034" s="11" t="b">
        <v>0</v>
      </c>
      <c r="AE4034" s="105"/>
      <c r="AF4034" s="11"/>
      <c r="AG4034" s="11"/>
      <c r="AH4034" s="11"/>
      <c r="AI4034" s="11"/>
    </row>
    <row r="4035" ht="12.5" spans="3:35">
      <c r="C4035" s="19"/>
      <c r="D4035" s="19"/>
      <c r="H4035" s="105"/>
      <c r="I4035" s="126"/>
      <c r="J4035" s="11"/>
      <c r="K4035" s="108"/>
      <c r="L4035" s="11"/>
      <c r="M4035" s="105"/>
      <c r="N4035" s="105"/>
      <c r="O4035" s="11"/>
      <c r="P4035" s="11"/>
      <c r="Q4035" s="105"/>
      <c r="R4035" s="105"/>
      <c r="S4035" s="105"/>
      <c r="T4035" s="105"/>
      <c r="U4035" s="105"/>
      <c r="V4035" s="105"/>
      <c r="W4035" s="105"/>
      <c r="X4035" s="11"/>
      <c r="Y4035" s="11"/>
      <c r="Z4035" s="105"/>
      <c r="AA4035" s="11"/>
      <c r="AB4035" s="11"/>
      <c r="AC4035" s="105"/>
      <c r="AD4035" s="11" t="b">
        <v>0</v>
      </c>
      <c r="AE4035" s="105"/>
      <c r="AF4035" s="11"/>
      <c r="AG4035" s="11"/>
      <c r="AH4035" s="11"/>
      <c r="AI4035" s="11"/>
    </row>
    <row r="4036" ht="12.5" spans="3:35">
      <c r="C4036" s="19"/>
      <c r="D4036" s="19"/>
      <c r="H4036" s="105"/>
      <c r="I4036" s="126"/>
      <c r="J4036" s="11"/>
      <c r="K4036" s="108"/>
      <c r="L4036" s="11"/>
      <c r="M4036" s="105"/>
      <c r="N4036" s="105"/>
      <c r="O4036" s="11"/>
      <c r="P4036" s="11"/>
      <c r="Q4036" s="105"/>
      <c r="R4036" s="105"/>
      <c r="S4036" s="105"/>
      <c r="T4036" s="105"/>
      <c r="U4036" s="105"/>
      <c r="V4036" s="105"/>
      <c r="W4036" s="105"/>
      <c r="X4036" s="11"/>
      <c r="Y4036" s="11"/>
      <c r="Z4036" s="105"/>
      <c r="AA4036" s="11"/>
      <c r="AB4036" s="11"/>
      <c r="AC4036" s="105"/>
      <c r="AD4036" s="11" t="b">
        <v>0</v>
      </c>
      <c r="AE4036" s="105"/>
      <c r="AF4036" s="11"/>
      <c r="AG4036" s="11"/>
      <c r="AH4036" s="11"/>
      <c r="AI4036" s="11"/>
    </row>
    <row r="4037" ht="12.5" spans="3:35">
      <c r="C4037" s="19"/>
      <c r="D4037" s="19"/>
      <c r="H4037" s="105"/>
      <c r="I4037" s="126"/>
      <c r="J4037" s="11"/>
      <c r="K4037" s="108"/>
      <c r="L4037" s="11"/>
      <c r="M4037" s="105"/>
      <c r="N4037" s="105"/>
      <c r="O4037" s="11"/>
      <c r="P4037" s="11"/>
      <c r="Q4037" s="105"/>
      <c r="R4037" s="105"/>
      <c r="S4037" s="105"/>
      <c r="T4037" s="105"/>
      <c r="U4037" s="105"/>
      <c r="V4037" s="105"/>
      <c r="W4037" s="105"/>
      <c r="X4037" s="11"/>
      <c r="Y4037" s="11"/>
      <c r="Z4037" s="105"/>
      <c r="AA4037" s="11"/>
      <c r="AB4037" s="11"/>
      <c r="AC4037" s="105"/>
      <c r="AD4037" s="11" t="b">
        <v>0</v>
      </c>
      <c r="AE4037" s="105"/>
      <c r="AF4037" s="11"/>
      <c r="AG4037" s="11"/>
      <c r="AH4037" s="11"/>
      <c r="AI4037" s="11"/>
    </row>
    <row r="4038" ht="12.5" spans="3:35">
      <c r="C4038" s="19"/>
      <c r="D4038" s="19"/>
      <c r="H4038" s="105"/>
      <c r="I4038" s="126"/>
      <c r="J4038" s="11"/>
      <c r="K4038" s="108"/>
      <c r="L4038" s="11"/>
      <c r="M4038" s="105"/>
      <c r="N4038" s="105"/>
      <c r="O4038" s="11"/>
      <c r="P4038" s="11"/>
      <c r="Q4038" s="105"/>
      <c r="R4038" s="105"/>
      <c r="S4038" s="105"/>
      <c r="T4038" s="105"/>
      <c r="U4038" s="105"/>
      <c r="V4038" s="105"/>
      <c r="W4038" s="105"/>
      <c r="X4038" s="11"/>
      <c r="Y4038" s="11"/>
      <c r="Z4038" s="105"/>
      <c r="AA4038" s="11"/>
      <c r="AB4038" s="11"/>
      <c r="AC4038" s="105"/>
      <c r="AD4038" s="11" t="b">
        <v>0</v>
      </c>
      <c r="AE4038" s="105"/>
      <c r="AF4038" s="11"/>
      <c r="AG4038" s="11"/>
      <c r="AH4038" s="11"/>
      <c r="AI4038" s="11"/>
    </row>
    <row r="4039" ht="12.5" spans="3:35">
      <c r="C4039" s="19"/>
      <c r="D4039" s="19"/>
      <c r="H4039" s="105"/>
      <c r="I4039" s="126"/>
      <c r="J4039" s="11"/>
      <c r="K4039" s="108"/>
      <c r="L4039" s="11"/>
      <c r="M4039" s="105"/>
      <c r="N4039" s="105"/>
      <c r="O4039" s="11"/>
      <c r="P4039" s="11"/>
      <c r="Q4039" s="105"/>
      <c r="R4039" s="105"/>
      <c r="S4039" s="105"/>
      <c r="T4039" s="105"/>
      <c r="U4039" s="105"/>
      <c r="V4039" s="105"/>
      <c r="W4039" s="105"/>
      <c r="X4039" s="11"/>
      <c r="Y4039" s="11"/>
      <c r="Z4039" s="105"/>
      <c r="AA4039" s="11"/>
      <c r="AB4039" s="11"/>
      <c r="AC4039" s="105"/>
      <c r="AD4039" s="11" t="b">
        <v>0</v>
      </c>
      <c r="AE4039" s="105"/>
      <c r="AF4039" s="11"/>
      <c r="AG4039" s="11"/>
      <c r="AH4039" s="11"/>
      <c r="AI4039" s="11"/>
    </row>
    <row r="4040" ht="12.5" spans="3:35">
      <c r="C4040" s="19"/>
      <c r="D4040" s="19"/>
      <c r="H4040" s="105"/>
      <c r="I4040" s="126"/>
      <c r="J4040" s="11"/>
      <c r="K4040" s="108"/>
      <c r="L4040" s="11"/>
      <c r="M4040" s="105"/>
      <c r="N4040" s="105"/>
      <c r="O4040" s="11"/>
      <c r="P4040" s="11"/>
      <c r="Q4040" s="105"/>
      <c r="R4040" s="105"/>
      <c r="S4040" s="105"/>
      <c r="T4040" s="105"/>
      <c r="U4040" s="105"/>
      <c r="V4040" s="105"/>
      <c r="W4040" s="105"/>
      <c r="X4040" s="11"/>
      <c r="Y4040" s="11"/>
      <c r="Z4040" s="105"/>
      <c r="AA4040" s="11"/>
      <c r="AB4040" s="11"/>
      <c r="AC4040" s="105"/>
      <c r="AD4040" s="11" t="b">
        <v>0</v>
      </c>
      <c r="AE4040" s="105"/>
      <c r="AF4040" s="11"/>
      <c r="AG4040" s="11"/>
      <c r="AH4040" s="11"/>
      <c r="AI4040" s="11"/>
    </row>
    <row r="4041" ht="12.5" spans="3:35">
      <c r="C4041" s="19"/>
      <c r="D4041" s="19"/>
      <c r="H4041" s="105"/>
      <c r="I4041" s="126"/>
      <c r="J4041" s="11"/>
      <c r="K4041" s="108"/>
      <c r="L4041" s="11"/>
      <c r="M4041" s="105"/>
      <c r="N4041" s="105"/>
      <c r="O4041" s="11"/>
      <c r="P4041" s="11"/>
      <c r="Q4041" s="105"/>
      <c r="R4041" s="105"/>
      <c r="S4041" s="105"/>
      <c r="T4041" s="105"/>
      <c r="U4041" s="105"/>
      <c r="V4041" s="105"/>
      <c r="W4041" s="105"/>
      <c r="X4041" s="11"/>
      <c r="Y4041" s="11"/>
      <c r="Z4041" s="105"/>
      <c r="AA4041" s="11"/>
      <c r="AB4041" s="11"/>
      <c r="AC4041" s="105"/>
      <c r="AD4041" s="11" t="b">
        <v>0</v>
      </c>
      <c r="AE4041" s="105"/>
      <c r="AF4041" s="11"/>
      <c r="AG4041" s="11"/>
      <c r="AH4041" s="11"/>
      <c r="AI4041" s="11"/>
    </row>
    <row r="4042" ht="12.5" spans="3:35">
      <c r="C4042" s="19"/>
      <c r="D4042" s="19"/>
      <c r="H4042" s="105"/>
      <c r="I4042" s="126"/>
      <c r="J4042" s="11"/>
      <c r="K4042" s="108"/>
      <c r="L4042" s="11"/>
      <c r="M4042" s="105"/>
      <c r="N4042" s="105"/>
      <c r="O4042" s="11"/>
      <c r="P4042" s="11"/>
      <c r="Q4042" s="105"/>
      <c r="R4042" s="105"/>
      <c r="S4042" s="105"/>
      <c r="T4042" s="105"/>
      <c r="U4042" s="105"/>
      <c r="V4042" s="105"/>
      <c r="W4042" s="105"/>
      <c r="X4042" s="11"/>
      <c r="Y4042" s="11"/>
      <c r="Z4042" s="105"/>
      <c r="AA4042" s="11"/>
      <c r="AB4042" s="11"/>
      <c r="AC4042" s="105"/>
      <c r="AD4042" s="11" t="b">
        <v>0</v>
      </c>
      <c r="AE4042" s="105"/>
      <c r="AF4042" s="11"/>
      <c r="AG4042" s="11"/>
      <c r="AH4042" s="11"/>
      <c r="AI4042" s="11"/>
    </row>
    <row r="4043" ht="12.5" spans="3:35">
      <c r="C4043" s="19"/>
      <c r="D4043" s="19"/>
      <c r="H4043" s="105"/>
      <c r="I4043" s="126"/>
      <c r="J4043" s="11"/>
      <c r="K4043" s="108"/>
      <c r="L4043" s="11"/>
      <c r="M4043" s="105"/>
      <c r="N4043" s="105"/>
      <c r="O4043" s="11"/>
      <c r="P4043" s="11"/>
      <c r="Q4043" s="105"/>
      <c r="R4043" s="105"/>
      <c r="S4043" s="105"/>
      <c r="T4043" s="105"/>
      <c r="U4043" s="105"/>
      <c r="V4043" s="105"/>
      <c r="W4043" s="105"/>
      <c r="X4043" s="11"/>
      <c r="Y4043" s="11"/>
      <c r="Z4043" s="105"/>
      <c r="AA4043" s="11"/>
      <c r="AB4043" s="11"/>
      <c r="AC4043" s="105"/>
      <c r="AD4043" s="11" t="b">
        <v>0</v>
      </c>
      <c r="AE4043" s="105"/>
      <c r="AF4043" s="11"/>
      <c r="AG4043" s="11"/>
      <c r="AH4043" s="11"/>
      <c r="AI4043" s="11"/>
    </row>
    <row r="4044" ht="12.5" spans="3:35">
      <c r="C4044" s="19"/>
      <c r="D4044" s="19"/>
      <c r="H4044" s="105"/>
      <c r="I4044" s="126"/>
      <c r="J4044" s="11"/>
      <c r="K4044" s="108"/>
      <c r="L4044" s="11"/>
      <c r="M4044" s="105"/>
      <c r="N4044" s="105"/>
      <c r="O4044" s="11"/>
      <c r="P4044" s="11"/>
      <c r="Q4044" s="105"/>
      <c r="R4044" s="105"/>
      <c r="S4044" s="105"/>
      <c r="T4044" s="105"/>
      <c r="U4044" s="105"/>
      <c r="V4044" s="105"/>
      <c r="W4044" s="105"/>
      <c r="X4044" s="11"/>
      <c r="Y4044" s="11"/>
      <c r="Z4044" s="105"/>
      <c r="AA4044" s="11"/>
      <c r="AB4044" s="11"/>
      <c r="AC4044" s="105"/>
      <c r="AD4044" s="11" t="b">
        <v>0</v>
      </c>
      <c r="AE4044" s="105"/>
      <c r="AF4044" s="11"/>
      <c r="AG4044" s="11"/>
      <c r="AH4044" s="11"/>
      <c r="AI4044" s="11"/>
    </row>
    <row r="4045" ht="12.5" spans="3:35">
      <c r="C4045" s="19"/>
      <c r="D4045" s="19"/>
      <c r="H4045" s="105"/>
      <c r="I4045" s="126"/>
      <c r="J4045" s="11"/>
      <c r="K4045" s="108"/>
      <c r="L4045" s="11"/>
      <c r="M4045" s="105"/>
      <c r="N4045" s="105"/>
      <c r="O4045" s="11"/>
      <c r="P4045" s="11"/>
      <c r="Q4045" s="105"/>
      <c r="R4045" s="105"/>
      <c r="S4045" s="105"/>
      <c r="T4045" s="105"/>
      <c r="U4045" s="105"/>
      <c r="V4045" s="105"/>
      <c r="W4045" s="105"/>
      <c r="X4045" s="11"/>
      <c r="Y4045" s="11"/>
      <c r="Z4045" s="105"/>
      <c r="AA4045" s="11"/>
      <c r="AB4045" s="11"/>
      <c r="AC4045" s="105"/>
      <c r="AD4045" s="11" t="b">
        <v>0</v>
      </c>
      <c r="AE4045" s="105"/>
      <c r="AF4045" s="11"/>
      <c r="AG4045" s="11"/>
      <c r="AH4045" s="11"/>
      <c r="AI4045" s="11"/>
    </row>
    <row r="4046" ht="12.5" spans="3:35">
      <c r="C4046" s="19"/>
      <c r="D4046" s="19"/>
      <c r="H4046" s="105"/>
      <c r="I4046" s="126"/>
      <c r="J4046" s="11"/>
      <c r="K4046" s="108"/>
      <c r="L4046" s="11"/>
      <c r="M4046" s="105"/>
      <c r="N4046" s="105"/>
      <c r="O4046" s="11"/>
      <c r="P4046" s="11"/>
      <c r="Q4046" s="105"/>
      <c r="R4046" s="105"/>
      <c r="S4046" s="105"/>
      <c r="T4046" s="105"/>
      <c r="U4046" s="105"/>
      <c r="V4046" s="105"/>
      <c r="W4046" s="105"/>
      <c r="X4046" s="11"/>
      <c r="Y4046" s="11"/>
      <c r="Z4046" s="105"/>
      <c r="AA4046" s="11"/>
      <c r="AB4046" s="11"/>
      <c r="AC4046" s="105"/>
      <c r="AD4046" s="11" t="b">
        <v>0</v>
      </c>
      <c r="AE4046" s="105"/>
      <c r="AF4046" s="11"/>
      <c r="AG4046" s="11"/>
      <c r="AH4046" s="11"/>
      <c r="AI4046" s="11"/>
    </row>
    <row r="4047" ht="12.5" spans="3:35">
      <c r="C4047" s="19"/>
      <c r="D4047" s="19"/>
      <c r="H4047" s="105"/>
      <c r="I4047" s="126"/>
      <c r="J4047" s="11"/>
      <c r="K4047" s="108"/>
      <c r="L4047" s="11"/>
      <c r="M4047" s="105"/>
      <c r="N4047" s="105"/>
      <c r="O4047" s="11"/>
      <c r="P4047" s="11"/>
      <c r="Q4047" s="105"/>
      <c r="R4047" s="105"/>
      <c r="S4047" s="105"/>
      <c r="T4047" s="105"/>
      <c r="U4047" s="105"/>
      <c r="V4047" s="105"/>
      <c r="W4047" s="105"/>
      <c r="X4047" s="11"/>
      <c r="Y4047" s="11"/>
      <c r="Z4047" s="105"/>
      <c r="AA4047" s="11"/>
      <c r="AB4047" s="11"/>
      <c r="AC4047" s="105"/>
      <c r="AD4047" s="11" t="b">
        <v>0</v>
      </c>
      <c r="AE4047" s="105"/>
      <c r="AF4047" s="11"/>
      <c r="AG4047" s="11"/>
      <c r="AH4047" s="11"/>
      <c r="AI4047" s="11"/>
    </row>
    <row r="4048" ht="12.5" spans="3:35">
      <c r="C4048" s="19"/>
      <c r="D4048" s="19"/>
      <c r="H4048" s="105"/>
      <c r="I4048" s="126"/>
      <c r="J4048" s="11"/>
      <c r="K4048" s="108"/>
      <c r="L4048" s="11"/>
      <c r="M4048" s="105"/>
      <c r="N4048" s="105"/>
      <c r="O4048" s="11"/>
      <c r="P4048" s="11"/>
      <c r="Q4048" s="105"/>
      <c r="R4048" s="105"/>
      <c r="S4048" s="105"/>
      <c r="T4048" s="105"/>
      <c r="U4048" s="105"/>
      <c r="V4048" s="105"/>
      <c r="W4048" s="105"/>
      <c r="X4048" s="11"/>
      <c r="Y4048" s="11"/>
      <c r="Z4048" s="105"/>
      <c r="AA4048" s="11"/>
      <c r="AB4048" s="11"/>
      <c r="AC4048" s="105"/>
      <c r="AD4048" s="11" t="b">
        <v>0</v>
      </c>
      <c r="AE4048" s="105"/>
      <c r="AF4048" s="11"/>
      <c r="AG4048" s="11"/>
      <c r="AH4048" s="11"/>
      <c r="AI4048" s="11"/>
    </row>
    <row r="4049" ht="12.5" spans="3:35">
      <c r="C4049" s="19"/>
      <c r="D4049" s="19"/>
      <c r="H4049" s="105"/>
      <c r="I4049" s="126"/>
      <c r="J4049" s="11"/>
      <c r="K4049" s="108"/>
      <c r="L4049" s="11"/>
      <c r="M4049" s="105"/>
      <c r="N4049" s="105"/>
      <c r="O4049" s="11"/>
      <c r="P4049" s="11"/>
      <c r="Q4049" s="105"/>
      <c r="R4049" s="105"/>
      <c r="S4049" s="105"/>
      <c r="T4049" s="105"/>
      <c r="U4049" s="105"/>
      <c r="V4049" s="105"/>
      <c r="W4049" s="105"/>
      <c r="X4049" s="11"/>
      <c r="Y4049" s="11"/>
      <c r="Z4049" s="105"/>
      <c r="AA4049" s="11"/>
      <c r="AB4049" s="11"/>
      <c r="AC4049" s="105"/>
      <c r="AD4049" s="11" t="b">
        <v>0</v>
      </c>
      <c r="AE4049" s="105"/>
      <c r="AF4049" s="11"/>
      <c r="AG4049" s="11"/>
      <c r="AH4049" s="11"/>
      <c r="AI4049" s="11"/>
    </row>
    <row r="4050" ht="12.5" spans="3:35">
      <c r="C4050" s="19"/>
      <c r="D4050" s="19"/>
      <c r="H4050" s="105"/>
      <c r="I4050" s="126"/>
      <c r="J4050" s="11"/>
      <c r="K4050" s="108"/>
      <c r="L4050" s="11"/>
      <c r="M4050" s="105"/>
      <c r="N4050" s="105"/>
      <c r="O4050" s="11"/>
      <c r="P4050" s="11"/>
      <c r="Q4050" s="105"/>
      <c r="R4050" s="105"/>
      <c r="S4050" s="105"/>
      <c r="T4050" s="105"/>
      <c r="U4050" s="105"/>
      <c r="V4050" s="105"/>
      <c r="W4050" s="105"/>
      <c r="X4050" s="11"/>
      <c r="Y4050" s="11"/>
      <c r="Z4050" s="105"/>
      <c r="AA4050" s="11"/>
      <c r="AB4050" s="11"/>
      <c r="AC4050" s="105"/>
      <c r="AD4050" s="11" t="b">
        <v>0</v>
      </c>
      <c r="AE4050" s="105"/>
      <c r="AF4050" s="11"/>
      <c r="AG4050" s="11"/>
      <c r="AH4050" s="11"/>
      <c r="AI4050" s="11"/>
    </row>
    <row r="4051" ht="12.5" spans="3:35">
      <c r="C4051" s="19"/>
      <c r="D4051" s="19"/>
      <c r="H4051" s="105"/>
      <c r="I4051" s="126"/>
      <c r="J4051" s="11"/>
      <c r="K4051" s="108"/>
      <c r="L4051" s="11"/>
      <c r="M4051" s="105"/>
      <c r="N4051" s="105"/>
      <c r="O4051" s="11"/>
      <c r="P4051" s="11"/>
      <c r="Q4051" s="105"/>
      <c r="R4051" s="105"/>
      <c r="S4051" s="105"/>
      <c r="T4051" s="105"/>
      <c r="U4051" s="105"/>
      <c r="V4051" s="105"/>
      <c r="W4051" s="105"/>
      <c r="X4051" s="11"/>
      <c r="Y4051" s="11"/>
      <c r="Z4051" s="105"/>
      <c r="AA4051" s="11"/>
      <c r="AB4051" s="11"/>
      <c r="AC4051" s="105"/>
      <c r="AD4051" s="11" t="b">
        <v>0</v>
      </c>
      <c r="AE4051" s="105"/>
      <c r="AF4051" s="11"/>
      <c r="AG4051" s="11"/>
      <c r="AH4051" s="11"/>
      <c r="AI4051" s="11"/>
    </row>
    <row r="4052" ht="12.5" spans="3:35">
      <c r="C4052" s="19"/>
      <c r="D4052" s="19"/>
      <c r="H4052" s="105"/>
      <c r="I4052" s="126"/>
      <c r="J4052" s="11"/>
      <c r="K4052" s="108"/>
      <c r="L4052" s="11"/>
      <c r="M4052" s="105"/>
      <c r="N4052" s="105"/>
      <c r="O4052" s="11"/>
      <c r="P4052" s="11"/>
      <c r="Q4052" s="105"/>
      <c r="R4052" s="105"/>
      <c r="S4052" s="105"/>
      <c r="T4052" s="105"/>
      <c r="U4052" s="105"/>
      <c r="V4052" s="105"/>
      <c r="W4052" s="105"/>
      <c r="X4052" s="11"/>
      <c r="Y4052" s="11"/>
      <c r="Z4052" s="105"/>
      <c r="AA4052" s="11"/>
      <c r="AB4052" s="11"/>
      <c r="AC4052" s="105"/>
      <c r="AD4052" s="11" t="b">
        <v>0</v>
      </c>
      <c r="AE4052" s="105"/>
      <c r="AF4052" s="11"/>
      <c r="AG4052" s="11"/>
      <c r="AH4052" s="11"/>
      <c r="AI4052" s="11"/>
    </row>
    <row r="4053" ht="12.5" spans="3:35">
      <c r="C4053" s="19"/>
      <c r="D4053" s="19"/>
      <c r="H4053" s="105"/>
      <c r="I4053" s="126"/>
      <c r="J4053" s="11"/>
      <c r="K4053" s="108"/>
      <c r="L4053" s="11"/>
      <c r="M4053" s="105"/>
      <c r="N4053" s="105"/>
      <c r="O4053" s="11"/>
      <c r="P4053" s="11"/>
      <c r="Q4053" s="105"/>
      <c r="R4053" s="105"/>
      <c r="S4053" s="105"/>
      <c r="T4053" s="105"/>
      <c r="U4053" s="105"/>
      <c r="V4053" s="105"/>
      <c r="W4053" s="105"/>
      <c r="X4053" s="11"/>
      <c r="Y4053" s="11"/>
      <c r="Z4053" s="105"/>
      <c r="AA4053" s="11"/>
      <c r="AB4053" s="11"/>
      <c r="AC4053" s="105"/>
      <c r="AD4053" s="11" t="b">
        <v>0</v>
      </c>
      <c r="AE4053" s="105"/>
      <c r="AF4053" s="11"/>
      <c r="AG4053" s="11"/>
      <c r="AH4053" s="11"/>
      <c r="AI4053" s="11"/>
    </row>
    <row r="4054" ht="12.5" spans="3:35">
      <c r="C4054" s="19"/>
      <c r="D4054" s="19"/>
      <c r="H4054" s="105"/>
      <c r="I4054" s="126"/>
      <c r="J4054" s="11"/>
      <c r="K4054" s="108"/>
      <c r="L4054" s="11"/>
      <c r="M4054" s="105"/>
      <c r="N4054" s="105"/>
      <c r="O4054" s="11"/>
      <c r="P4054" s="11"/>
      <c r="Q4054" s="105"/>
      <c r="R4054" s="105"/>
      <c r="S4054" s="105"/>
      <c r="T4054" s="105"/>
      <c r="U4054" s="105"/>
      <c r="V4054" s="105"/>
      <c r="W4054" s="105"/>
      <c r="X4054" s="11"/>
      <c r="Y4054" s="11"/>
      <c r="Z4054" s="105"/>
      <c r="AA4054" s="11"/>
      <c r="AB4054" s="11"/>
      <c r="AC4054" s="105"/>
      <c r="AD4054" s="11" t="b">
        <v>0</v>
      </c>
      <c r="AE4054" s="105"/>
      <c r="AF4054" s="11"/>
      <c r="AG4054" s="11"/>
      <c r="AH4054" s="11"/>
      <c r="AI4054" s="11"/>
    </row>
    <row r="4055" ht="12.5" spans="3:35">
      <c r="C4055" s="19"/>
      <c r="D4055" s="19"/>
      <c r="H4055" s="105"/>
      <c r="I4055" s="126"/>
      <c r="J4055" s="11"/>
      <c r="K4055" s="108"/>
      <c r="L4055" s="11"/>
      <c r="M4055" s="105"/>
      <c r="N4055" s="105"/>
      <c r="O4055" s="11"/>
      <c r="P4055" s="11"/>
      <c r="Q4055" s="105"/>
      <c r="R4055" s="105"/>
      <c r="S4055" s="105"/>
      <c r="T4055" s="105"/>
      <c r="U4055" s="105"/>
      <c r="V4055" s="105"/>
      <c r="W4055" s="105"/>
      <c r="X4055" s="11"/>
      <c r="Y4055" s="11"/>
      <c r="Z4055" s="105"/>
      <c r="AA4055" s="11"/>
      <c r="AB4055" s="11"/>
      <c r="AC4055" s="105"/>
      <c r="AD4055" s="11" t="b">
        <v>0</v>
      </c>
      <c r="AE4055" s="105"/>
      <c r="AF4055" s="11"/>
      <c r="AG4055" s="11"/>
      <c r="AH4055" s="11"/>
      <c r="AI4055" s="11"/>
    </row>
    <row r="4056" ht="12.5" spans="3:35">
      <c r="C4056" s="19"/>
      <c r="D4056" s="19"/>
      <c r="H4056" s="105"/>
      <c r="I4056" s="126"/>
      <c r="J4056" s="11"/>
      <c r="K4056" s="108"/>
      <c r="L4056" s="11"/>
      <c r="M4056" s="105"/>
      <c r="N4056" s="105"/>
      <c r="O4056" s="11"/>
      <c r="P4056" s="11"/>
      <c r="Q4056" s="105"/>
      <c r="R4056" s="105"/>
      <c r="S4056" s="105"/>
      <c r="T4056" s="105"/>
      <c r="U4056" s="105"/>
      <c r="V4056" s="105"/>
      <c r="W4056" s="105"/>
      <c r="X4056" s="11"/>
      <c r="Y4056" s="11"/>
      <c r="Z4056" s="105"/>
      <c r="AA4056" s="11"/>
      <c r="AB4056" s="11"/>
      <c r="AC4056" s="105"/>
      <c r="AD4056" s="11" t="b">
        <v>0</v>
      </c>
      <c r="AE4056" s="105"/>
      <c r="AF4056" s="11"/>
      <c r="AG4056" s="11"/>
      <c r="AH4056" s="11"/>
      <c r="AI4056" s="11"/>
    </row>
    <row r="4057" ht="12.5" spans="3:35">
      <c r="C4057" s="19"/>
      <c r="D4057" s="19"/>
      <c r="H4057" s="105"/>
      <c r="I4057" s="126"/>
      <c r="J4057" s="11"/>
      <c r="K4057" s="108"/>
      <c r="L4057" s="11"/>
      <c r="M4057" s="105"/>
      <c r="N4057" s="105"/>
      <c r="O4057" s="11"/>
      <c r="P4057" s="11"/>
      <c r="Q4057" s="105"/>
      <c r="R4057" s="105"/>
      <c r="S4057" s="105"/>
      <c r="T4057" s="105"/>
      <c r="U4057" s="105"/>
      <c r="V4057" s="105"/>
      <c r="W4057" s="105"/>
      <c r="X4057" s="11"/>
      <c r="Y4057" s="11"/>
      <c r="Z4057" s="105"/>
      <c r="AA4057" s="11"/>
      <c r="AB4057" s="11"/>
      <c r="AC4057" s="105"/>
      <c r="AD4057" s="11" t="b">
        <v>0</v>
      </c>
      <c r="AE4057" s="105"/>
      <c r="AF4057" s="11"/>
      <c r="AG4057" s="11"/>
      <c r="AH4057" s="11"/>
      <c r="AI4057" s="11"/>
    </row>
    <row r="4058" ht="12.5" spans="3:35">
      <c r="C4058" s="19"/>
      <c r="D4058" s="19"/>
      <c r="H4058" s="105"/>
      <c r="I4058" s="126"/>
      <c r="J4058" s="11"/>
      <c r="K4058" s="108"/>
      <c r="L4058" s="11"/>
      <c r="M4058" s="105"/>
      <c r="N4058" s="105"/>
      <c r="O4058" s="11"/>
      <c r="P4058" s="11"/>
      <c r="Q4058" s="105"/>
      <c r="R4058" s="105"/>
      <c r="S4058" s="105"/>
      <c r="T4058" s="105"/>
      <c r="U4058" s="105"/>
      <c r="V4058" s="105"/>
      <c r="W4058" s="105"/>
      <c r="X4058" s="11"/>
      <c r="Y4058" s="11"/>
      <c r="Z4058" s="105"/>
      <c r="AA4058" s="11"/>
      <c r="AB4058" s="11"/>
      <c r="AC4058" s="105"/>
      <c r="AD4058" s="11" t="b">
        <v>0</v>
      </c>
      <c r="AE4058" s="105"/>
      <c r="AF4058" s="11"/>
      <c r="AG4058" s="11"/>
      <c r="AH4058" s="11"/>
      <c r="AI4058" s="11"/>
    </row>
    <row r="4059" ht="12.5" spans="3:35">
      <c r="C4059" s="19"/>
      <c r="D4059" s="19"/>
      <c r="H4059" s="105"/>
      <c r="I4059" s="126"/>
      <c r="J4059" s="11"/>
      <c r="K4059" s="108"/>
      <c r="L4059" s="11"/>
      <c r="M4059" s="105"/>
      <c r="N4059" s="105"/>
      <c r="O4059" s="11"/>
      <c r="P4059" s="11"/>
      <c r="Q4059" s="105"/>
      <c r="R4059" s="105"/>
      <c r="S4059" s="105"/>
      <c r="T4059" s="105"/>
      <c r="U4059" s="105"/>
      <c r="V4059" s="105"/>
      <c r="W4059" s="105"/>
      <c r="X4059" s="11"/>
      <c r="Y4059" s="11"/>
      <c r="Z4059" s="105"/>
      <c r="AA4059" s="11"/>
      <c r="AB4059" s="11"/>
      <c r="AC4059" s="105"/>
      <c r="AD4059" s="11" t="b">
        <v>0</v>
      </c>
      <c r="AE4059" s="105"/>
      <c r="AF4059" s="11"/>
      <c r="AG4059" s="11"/>
      <c r="AH4059" s="11"/>
      <c r="AI4059" s="11"/>
    </row>
    <row r="4060" ht="12.5" spans="3:35">
      <c r="C4060" s="19"/>
      <c r="D4060" s="19"/>
      <c r="H4060" s="105"/>
      <c r="I4060" s="126"/>
      <c r="J4060" s="11"/>
      <c r="K4060" s="108"/>
      <c r="L4060" s="11"/>
      <c r="M4060" s="105"/>
      <c r="N4060" s="105"/>
      <c r="O4060" s="11"/>
      <c r="P4060" s="11"/>
      <c r="Q4060" s="105"/>
      <c r="R4060" s="105"/>
      <c r="S4060" s="105"/>
      <c r="T4060" s="105"/>
      <c r="U4060" s="105"/>
      <c r="V4060" s="105"/>
      <c r="W4060" s="105"/>
      <c r="X4060" s="11"/>
      <c r="Y4060" s="11"/>
      <c r="Z4060" s="105"/>
      <c r="AA4060" s="11"/>
      <c r="AB4060" s="11"/>
      <c r="AC4060" s="105"/>
      <c r="AD4060" s="11" t="b">
        <v>0</v>
      </c>
      <c r="AE4060" s="105"/>
      <c r="AF4060" s="11"/>
      <c r="AG4060" s="11"/>
      <c r="AH4060" s="11"/>
      <c r="AI4060" s="11"/>
    </row>
    <row r="4061" ht="12.5" spans="3:35">
      <c r="C4061" s="19"/>
      <c r="D4061" s="19"/>
      <c r="H4061" s="105"/>
      <c r="I4061" s="126"/>
      <c r="J4061" s="11"/>
      <c r="K4061" s="108"/>
      <c r="L4061" s="11"/>
      <c r="M4061" s="105"/>
      <c r="N4061" s="105"/>
      <c r="O4061" s="11"/>
      <c r="P4061" s="11"/>
      <c r="Q4061" s="105"/>
      <c r="R4061" s="105"/>
      <c r="S4061" s="105"/>
      <c r="T4061" s="105"/>
      <c r="U4061" s="105"/>
      <c r="V4061" s="105"/>
      <c r="W4061" s="105"/>
      <c r="X4061" s="11"/>
      <c r="Y4061" s="11"/>
      <c r="Z4061" s="105"/>
      <c r="AA4061" s="11"/>
      <c r="AB4061" s="11"/>
      <c r="AC4061" s="105"/>
      <c r="AD4061" s="11" t="b">
        <v>0</v>
      </c>
      <c r="AE4061" s="105"/>
      <c r="AF4061" s="11"/>
      <c r="AG4061" s="11"/>
      <c r="AH4061" s="11"/>
      <c r="AI4061" s="11"/>
    </row>
    <row r="4062" ht="12.5" spans="3:35">
      <c r="C4062" s="19"/>
      <c r="D4062" s="19"/>
      <c r="H4062" s="105"/>
      <c r="I4062" s="126"/>
      <c r="J4062" s="11"/>
      <c r="K4062" s="108"/>
      <c r="L4062" s="11"/>
      <c r="M4062" s="105"/>
      <c r="N4062" s="105"/>
      <c r="O4062" s="11"/>
      <c r="P4062" s="11"/>
      <c r="Q4062" s="105"/>
      <c r="R4062" s="105"/>
      <c r="S4062" s="105"/>
      <c r="T4062" s="105"/>
      <c r="U4062" s="105"/>
      <c r="V4062" s="105"/>
      <c r="W4062" s="105"/>
      <c r="X4062" s="11"/>
      <c r="Y4062" s="11"/>
      <c r="Z4062" s="105"/>
      <c r="AA4062" s="11"/>
      <c r="AB4062" s="11"/>
      <c r="AC4062" s="105"/>
      <c r="AD4062" s="11" t="b">
        <v>0</v>
      </c>
      <c r="AE4062" s="105"/>
      <c r="AF4062" s="11"/>
      <c r="AG4062" s="11"/>
      <c r="AH4062" s="11"/>
      <c r="AI4062" s="11"/>
    </row>
    <row r="4063" ht="12.5" spans="3:35">
      <c r="C4063" s="19"/>
      <c r="D4063" s="19"/>
      <c r="H4063" s="105"/>
      <c r="I4063" s="126"/>
      <c r="J4063" s="11"/>
      <c r="K4063" s="108"/>
      <c r="L4063" s="11"/>
      <c r="M4063" s="105"/>
      <c r="N4063" s="105"/>
      <c r="O4063" s="11"/>
      <c r="P4063" s="11"/>
      <c r="Q4063" s="105"/>
      <c r="R4063" s="105"/>
      <c r="S4063" s="105"/>
      <c r="T4063" s="105"/>
      <c r="U4063" s="105"/>
      <c r="V4063" s="105"/>
      <c r="W4063" s="105"/>
      <c r="X4063" s="11"/>
      <c r="Y4063" s="11"/>
      <c r="Z4063" s="105"/>
      <c r="AA4063" s="11"/>
      <c r="AB4063" s="11"/>
      <c r="AC4063" s="105"/>
      <c r="AD4063" s="11" t="b">
        <v>0</v>
      </c>
      <c r="AE4063" s="105"/>
      <c r="AF4063" s="11"/>
      <c r="AG4063" s="11"/>
      <c r="AH4063" s="11"/>
      <c r="AI4063" s="11"/>
    </row>
    <row r="4064" ht="12.5" spans="3:35">
      <c r="C4064" s="19"/>
      <c r="D4064" s="19"/>
      <c r="H4064" s="105"/>
      <c r="I4064" s="126"/>
      <c r="J4064" s="11"/>
      <c r="K4064" s="108"/>
      <c r="L4064" s="11"/>
      <c r="M4064" s="105"/>
      <c r="N4064" s="105"/>
      <c r="O4064" s="11"/>
      <c r="P4064" s="11"/>
      <c r="Q4064" s="105"/>
      <c r="R4064" s="105"/>
      <c r="S4064" s="105"/>
      <c r="T4064" s="105"/>
      <c r="U4064" s="105"/>
      <c r="V4064" s="105"/>
      <c r="W4064" s="105"/>
      <c r="X4064" s="11"/>
      <c r="Y4064" s="11"/>
      <c r="Z4064" s="105"/>
      <c r="AA4064" s="11"/>
      <c r="AB4064" s="11"/>
      <c r="AC4064" s="105"/>
      <c r="AD4064" s="11" t="b">
        <v>0</v>
      </c>
      <c r="AE4064" s="105"/>
      <c r="AF4064" s="11"/>
      <c r="AG4064" s="11"/>
      <c r="AH4064" s="11"/>
      <c r="AI4064" s="11"/>
    </row>
    <row r="4065" ht="12.5" spans="3:35">
      <c r="C4065" s="19"/>
      <c r="D4065" s="19"/>
      <c r="H4065" s="105"/>
      <c r="I4065" s="126"/>
      <c r="J4065" s="11"/>
      <c r="K4065" s="108"/>
      <c r="L4065" s="11"/>
      <c r="M4065" s="105"/>
      <c r="N4065" s="105"/>
      <c r="O4065" s="11"/>
      <c r="P4065" s="11"/>
      <c r="Q4065" s="105"/>
      <c r="R4065" s="105"/>
      <c r="S4065" s="105"/>
      <c r="T4065" s="105"/>
      <c r="U4065" s="105"/>
      <c r="V4065" s="105"/>
      <c r="W4065" s="105"/>
      <c r="X4065" s="11"/>
      <c r="Y4065" s="11"/>
      <c r="Z4065" s="105"/>
      <c r="AA4065" s="11"/>
      <c r="AB4065" s="11"/>
      <c r="AC4065" s="105"/>
      <c r="AD4065" s="11" t="b">
        <v>0</v>
      </c>
      <c r="AE4065" s="105"/>
      <c r="AF4065" s="11"/>
      <c r="AG4065" s="11"/>
      <c r="AH4065" s="11"/>
      <c r="AI4065" s="11"/>
    </row>
    <row r="4066" ht="12.5" spans="3:35">
      <c r="C4066" s="19"/>
      <c r="D4066" s="19"/>
      <c r="H4066" s="105"/>
      <c r="I4066" s="126"/>
      <c r="J4066" s="11"/>
      <c r="K4066" s="108"/>
      <c r="L4066" s="11"/>
      <c r="M4066" s="105"/>
      <c r="N4066" s="105"/>
      <c r="O4066" s="11"/>
      <c r="P4066" s="11"/>
      <c r="Q4066" s="105"/>
      <c r="R4066" s="105"/>
      <c r="S4066" s="105"/>
      <c r="T4066" s="105"/>
      <c r="U4066" s="105"/>
      <c r="V4066" s="105"/>
      <c r="W4066" s="105"/>
      <c r="X4066" s="11"/>
      <c r="Y4066" s="11"/>
      <c r="Z4066" s="105"/>
      <c r="AA4066" s="11"/>
      <c r="AB4066" s="11"/>
      <c r="AC4066" s="105"/>
      <c r="AD4066" s="11" t="b">
        <v>0</v>
      </c>
      <c r="AE4066" s="105"/>
      <c r="AF4066" s="11"/>
      <c r="AG4066" s="11"/>
      <c r="AH4066" s="11"/>
      <c r="AI4066" s="11"/>
    </row>
    <row r="4067" ht="12.5" spans="3:35">
      <c r="C4067" s="19"/>
      <c r="D4067" s="19"/>
      <c r="H4067" s="105"/>
      <c r="I4067" s="126"/>
      <c r="J4067" s="11"/>
      <c r="K4067" s="108"/>
      <c r="L4067" s="11"/>
      <c r="M4067" s="105"/>
      <c r="N4067" s="105"/>
      <c r="O4067" s="11"/>
      <c r="P4067" s="11"/>
      <c r="Q4067" s="105"/>
      <c r="R4067" s="105"/>
      <c r="S4067" s="105"/>
      <c r="T4067" s="105"/>
      <c r="U4067" s="105"/>
      <c r="V4067" s="105"/>
      <c r="W4067" s="105"/>
      <c r="X4067" s="11"/>
      <c r="Y4067" s="11"/>
      <c r="Z4067" s="105"/>
      <c r="AA4067" s="11"/>
      <c r="AB4067" s="11"/>
      <c r="AC4067" s="105"/>
      <c r="AD4067" s="11" t="b">
        <v>0</v>
      </c>
      <c r="AE4067" s="105"/>
      <c r="AF4067" s="11"/>
      <c r="AG4067" s="11"/>
      <c r="AH4067" s="11"/>
      <c r="AI4067" s="11"/>
    </row>
    <row r="4068" ht="12.5" spans="3:35">
      <c r="C4068" s="19"/>
      <c r="D4068" s="19"/>
      <c r="H4068" s="105"/>
      <c r="I4068" s="126"/>
      <c r="J4068" s="11"/>
      <c r="K4068" s="108"/>
      <c r="L4068" s="11"/>
      <c r="M4068" s="105"/>
      <c r="N4068" s="105"/>
      <c r="O4068" s="11"/>
      <c r="P4068" s="11"/>
      <c r="Q4068" s="105"/>
      <c r="R4068" s="105"/>
      <c r="S4068" s="105"/>
      <c r="T4068" s="105"/>
      <c r="U4068" s="105"/>
      <c r="V4068" s="105"/>
      <c r="W4068" s="105"/>
      <c r="X4068" s="11"/>
      <c r="Y4068" s="11"/>
      <c r="Z4068" s="105"/>
      <c r="AA4068" s="11"/>
      <c r="AB4068" s="11"/>
      <c r="AC4068" s="105"/>
      <c r="AD4068" s="11" t="b">
        <v>0</v>
      </c>
      <c r="AE4068" s="105"/>
      <c r="AF4068" s="11"/>
      <c r="AG4068" s="11"/>
      <c r="AH4068" s="11"/>
      <c r="AI4068" s="11"/>
    </row>
    <row r="4069" ht="12.5" spans="3:35">
      <c r="C4069" s="19"/>
      <c r="D4069" s="19"/>
      <c r="H4069" s="105"/>
      <c r="I4069" s="126"/>
      <c r="J4069" s="11"/>
      <c r="K4069" s="108"/>
      <c r="L4069" s="11"/>
      <c r="M4069" s="105"/>
      <c r="N4069" s="105"/>
      <c r="O4069" s="11"/>
      <c r="P4069" s="11"/>
      <c r="Q4069" s="105"/>
      <c r="R4069" s="105"/>
      <c r="S4069" s="105"/>
      <c r="T4069" s="105"/>
      <c r="U4069" s="105"/>
      <c r="V4069" s="105"/>
      <c r="W4069" s="105"/>
      <c r="X4069" s="11"/>
      <c r="Y4069" s="11"/>
      <c r="Z4069" s="105"/>
      <c r="AA4069" s="11"/>
      <c r="AB4069" s="11"/>
      <c r="AC4069" s="105"/>
      <c r="AD4069" s="11" t="b">
        <v>0</v>
      </c>
      <c r="AE4069" s="105"/>
      <c r="AF4069" s="11"/>
      <c r="AG4069" s="11"/>
      <c r="AH4069" s="11"/>
      <c r="AI4069" s="11"/>
    </row>
    <row r="4070" ht="12.5" spans="3:35">
      <c r="C4070" s="19"/>
      <c r="D4070" s="19"/>
      <c r="H4070" s="105"/>
      <c r="I4070" s="126"/>
      <c r="J4070" s="11"/>
      <c r="K4070" s="108"/>
      <c r="L4070" s="11"/>
      <c r="M4070" s="105"/>
      <c r="N4070" s="105"/>
      <c r="O4070" s="11"/>
      <c r="P4070" s="11"/>
      <c r="Q4070" s="105"/>
      <c r="R4070" s="105"/>
      <c r="S4070" s="105"/>
      <c r="T4070" s="105"/>
      <c r="U4070" s="105"/>
      <c r="V4070" s="105"/>
      <c r="W4070" s="105"/>
      <c r="X4070" s="11"/>
      <c r="Y4070" s="11"/>
      <c r="Z4070" s="105"/>
      <c r="AA4070" s="11"/>
      <c r="AB4070" s="11"/>
      <c r="AC4070" s="105"/>
      <c r="AD4070" s="11" t="b">
        <v>0</v>
      </c>
      <c r="AE4070" s="105"/>
      <c r="AF4070" s="11"/>
      <c r="AG4070" s="11"/>
      <c r="AH4070" s="11"/>
      <c r="AI4070" s="11"/>
    </row>
    <row r="4071" ht="12.5" spans="3:35">
      <c r="C4071" s="19"/>
      <c r="D4071" s="19"/>
      <c r="H4071" s="105"/>
      <c r="I4071" s="126"/>
      <c r="J4071" s="11"/>
      <c r="K4071" s="108"/>
      <c r="L4071" s="11"/>
      <c r="M4071" s="105"/>
      <c r="N4071" s="105"/>
      <c r="O4071" s="11"/>
      <c r="P4071" s="11"/>
      <c r="Q4071" s="105"/>
      <c r="R4071" s="105"/>
      <c r="S4071" s="105"/>
      <c r="T4071" s="105"/>
      <c r="U4071" s="105"/>
      <c r="V4071" s="105"/>
      <c r="W4071" s="105"/>
      <c r="X4071" s="11"/>
      <c r="Y4071" s="11"/>
      <c r="Z4071" s="105"/>
      <c r="AA4071" s="11"/>
      <c r="AB4071" s="11"/>
      <c r="AC4071" s="105"/>
      <c r="AD4071" s="11" t="b">
        <v>0</v>
      </c>
      <c r="AE4071" s="105"/>
      <c r="AF4071" s="11"/>
      <c r="AG4071" s="11"/>
      <c r="AH4071" s="11"/>
      <c r="AI4071" s="11"/>
    </row>
    <row r="4072" ht="12.5" spans="3:35">
      <c r="C4072" s="19"/>
      <c r="D4072" s="19"/>
      <c r="H4072" s="105"/>
      <c r="I4072" s="126"/>
      <c r="J4072" s="11"/>
      <c r="K4072" s="108"/>
      <c r="L4072" s="11"/>
      <c r="M4072" s="105"/>
      <c r="N4072" s="105"/>
      <c r="O4072" s="11"/>
      <c r="P4072" s="11"/>
      <c r="Q4072" s="105"/>
      <c r="R4072" s="105"/>
      <c r="S4072" s="105"/>
      <c r="T4072" s="105"/>
      <c r="U4072" s="105"/>
      <c r="V4072" s="105"/>
      <c r="W4072" s="105"/>
      <c r="X4072" s="11"/>
      <c r="Y4072" s="11"/>
      <c r="Z4072" s="105"/>
      <c r="AA4072" s="11"/>
      <c r="AB4072" s="11"/>
      <c r="AC4072" s="105"/>
      <c r="AD4072" s="11" t="b">
        <v>0</v>
      </c>
      <c r="AE4072" s="105"/>
      <c r="AF4072" s="11"/>
      <c r="AG4072" s="11"/>
      <c r="AH4072" s="11"/>
      <c r="AI4072" s="11"/>
    </row>
    <row r="4073" ht="12.5" spans="3:35">
      <c r="C4073" s="19"/>
      <c r="D4073" s="19"/>
      <c r="H4073" s="105"/>
      <c r="I4073" s="126"/>
      <c r="J4073" s="11"/>
      <c r="K4073" s="108"/>
      <c r="L4073" s="11"/>
      <c r="M4073" s="105"/>
      <c r="N4073" s="105"/>
      <c r="O4073" s="11"/>
      <c r="P4073" s="11"/>
      <c r="Q4073" s="105"/>
      <c r="R4073" s="105"/>
      <c r="S4073" s="105"/>
      <c r="T4073" s="105"/>
      <c r="U4073" s="105"/>
      <c r="V4073" s="105"/>
      <c r="W4073" s="105"/>
      <c r="X4073" s="11"/>
      <c r="Y4073" s="11"/>
      <c r="Z4073" s="105"/>
      <c r="AA4073" s="11"/>
      <c r="AB4073" s="11"/>
      <c r="AC4073" s="105"/>
      <c r="AD4073" s="11" t="b">
        <v>0</v>
      </c>
      <c r="AE4073" s="105"/>
      <c r="AF4073" s="11"/>
      <c r="AG4073" s="11"/>
      <c r="AH4073" s="11"/>
      <c r="AI4073" s="11"/>
    </row>
    <row r="4074" ht="12.5" spans="3:35">
      <c r="C4074" s="19"/>
      <c r="D4074" s="19"/>
      <c r="H4074" s="105"/>
      <c r="I4074" s="126"/>
      <c r="J4074" s="11"/>
      <c r="K4074" s="108"/>
      <c r="L4074" s="11"/>
      <c r="M4074" s="105"/>
      <c r="N4074" s="105"/>
      <c r="O4074" s="11"/>
      <c r="P4074" s="11"/>
      <c r="Q4074" s="105"/>
      <c r="R4074" s="105"/>
      <c r="S4074" s="105"/>
      <c r="T4074" s="105"/>
      <c r="U4074" s="105"/>
      <c r="V4074" s="105"/>
      <c r="W4074" s="105"/>
      <c r="X4074" s="11"/>
      <c r="Y4074" s="11"/>
      <c r="Z4074" s="105"/>
      <c r="AA4074" s="11"/>
      <c r="AB4074" s="11"/>
      <c r="AC4074" s="105"/>
      <c r="AD4074" s="11" t="b">
        <v>0</v>
      </c>
      <c r="AE4074" s="105"/>
      <c r="AF4074" s="11"/>
      <c r="AG4074" s="11"/>
      <c r="AH4074" s="11"/>
      <c r="AI4074" s="11"/>
    </row>
    <row r="4075" ht="12.5" spans="3:35">
      <c r="C4075" s="19"/>
      <c r="D4075" s="19"/>
      <c r="H4075" s="105"/>
      <c r="I4075" s="126"/>
      <c r="J4075" s="11"/>
      <c r="K4075" s="108"/>
      <c r="L4075" s="11"/>
      <c r="M4075" s="105"/>
      <c r="N4075" s="105"/>
      <c r="O4075" s="11"/>
      <c r="P4075" s="11"/>
      <c r="Q4075" s="105"/>
      <c r="R4075" s="105"/>
      <c r="S4075" s="105"/>
      <c r="T4075" s="105"/>
      <c r="U4075" s="105"/>
      <c r="V4075" s="105"/>
      <c r="W4075" s="105"/>
      <c r="X4075" s="11"/>
      <c r="Y4075" s="11"/>
      <c r="Z4075" s="105"/>
      <c r="AA4075" s="11"/>
      <c r="AB4075" s="11"/>
      <c r="AC4075" s="105"/>
      <c r="AD4075" s="11" t="b">
        <v>0</v>
      </c>
      <c r="AE4075" s="105"/>
      <c r="AF4075" s="11"/>
      <c r="AG4075" s="11"/>
      <c r="AH4075" s="11"/>
      <c r="AI4075" s="11"/>
    </row>
    <row r="4076" ht="12.5" spans="3:35">
      <c r="C4076" s="19"/>
      <c r="D4076" s="19"/>
      <c r="H4076" s="105"/>
      <c r="I4076" s="126"/>
      <c r="J4076" s="11"/>
      <c r="K4076" s="108"/>
      <c r="L4076" s="11"/>
      <c r="M4076" s="105"/>
      <c r="N4076" s="105"/>
      <c r="O4076" s="11"/>
      <c r="P4076" s="11"/>
      <c r="Q4076" s="105"/>
      <c r="R4076" s="105"/>
      <c r="S4076" s="105"/>
      <c r="T4076" s="105"/>
      <c r="U4076" s="105"/>
      <c r="V4076" s="105"/>
      <c r="W4076" s="105"/>
      <c r="X4076" s="11"/>
      <c r="Y4076" s="11"/>
      <c r="Z4076" s="105"/>
      <c r="AA4076" s="11"/>
      <c r="AB4076" s="11"/>
      <c r="AC4076" s="105"/>
      <c r="AD4076" s="11" t="b">
        <v>0</v>
      </c>
      <c r="AE4076" s="105"/>
      <c r="AF4076" s="11"/>
      <c r="AG4076" s="11"/>
      <c r="AH4076" s="11"/>
      <c r="AI4076" s="11"/>
    </row>
    <row r="4077" ht="12.5" spans="3:35">
      <c r="C4077" s="19"/>
      <c r="D4077" s="19"/>
      <c r="H4077" s="105"/>
      <c r="I4077" s="126"/>
      <c r="J4077" s="11"/>
      <c r="K4077" s="108"/>
      <c r="L4077" s="11"/>
      <c r="M4077" s="105"/>
      <c r="N4077" s="105"/>
      <c r="O4077" s="11"/>
      <c r="P4077" s="11"/>
      <c r="Q4077" s="105"/>
      <c r="R4077" s="105"/>
      <c r="S4077" s="105"/>
      <c r="T4077" s="105"/>
      <c r="U4077" s="105"/>
      <c r="V4077" s="105"/>
      <c r="W4077" s="105"/>
      <c r="X4077" s="11"/>
      <c r="Y4077" s="11"/>
      <c r="Z4077" s="105"/>
      <c r="AA4077" s="11"/>
      <c r="AB4077" s="11"/>
      <c r="AC4077" s="105"/>
      <c r="AD4077" s="11" t="b">
        <v>0</v>
      </c>
      <c r="AE4077" s="105"/>
      <c r="AF4077" s="11"/>
      <c r="AG4077" s="11"/>
      <c r="AH4077" s="11"/>
      <c r="AI4077" s="11"/>
    </row>
    <row r="4078" ht="12.5" spans="3:35">
      <c r="C4078" s="19"/>
      <c r="D4078" s="19"/>
      <c r="H4078" s="105"/>
      <c r="I4078" s="126"/>
      <c r="J4078" s="11"/>
      <c r="K4078" s="108"/>
      <c r="L4078" s="11"/>
      <c r="M4078" s="105"/>
      <c r="N4078" s="105"/>
      <c r="O4078" s="11"/>
      <c r="P4078" s="11"/>
      <c r="Q4078" s="105"/>
      <c r="R4078" s="105"/>
      <c r="S4078" s="105"/>
      <c r="T4078" s="105"/>
      <c r="U4078" s="105"/>
      <c r="V4078" s="105"/>
      <c r="W4078" s="105"/>
      <c r="X4078" s="11"/>
      <c r="Y4078" s="11"/>
      <c r="Z4078" s="105"/>
      <c r="AA4078" s="11"/>
      <c r="AB4078" s="11"/>
      <c r="AC4078" s="105"/>
      <c r="AD4078" s="11" t="b">
        <v>0</v>
      </c>
      <c r="AE4078" s="105"/>
      <c r="AF4078" s="11"/>
      <c r="AG4078" s="11"/>
      <c r="AH4078" s="11"/>
      <c r="AI4078" s="11"/>
    </row>
    <row r="4079" ht="12.5" spans="3:35">
      <c r="C4079" s="19"/>
      <c r="D4079" s="19"/>
      <c r="H4079" s="105"/>
      <c r="I4079" s="126"/>
      <c r="J4079" s="11"/>
      <c r="K4079" s="108"/>
      <c r="L4079" s="11"/>
      <c r="M4079" s="105"/>
      <c r="N4079" s="105"/>
      <c r="O4079" s="11"/>
      <c r="P4079" s="11"/>
      <c r="Q4079" s="105"/>
      <c r="R4079" s="105"/>
      <c r="S4079" s="105"/>
      <c r="T4079" s="105"/>
      <c r="U4079" s="105"/>
      <c r="V4079" s="105"/>
      <c r="W4079" s="105"/>
      <c r="X4079" s="11"/>
      <c r="Y4079" s="11"/>
      <c r="Z4079" s="105"/>
      <c r="AA4079" s="11"/>
      <c r="AB4079" s="11"/>
      <c r="AC4079" s="105"/>
      <c r="AD4079" s="11" t="b">
        <v>0</v>
      </c>
      <c r="AE4079" s="105"/>
      <c r="AF4079" s="11"/>
      <c r="AG4079" s="11"/>
      <c r="AH4079" s="11"/>
      <c r="AI4079" s="11"/>
    </row>
    <row r="4080" ht="12.5" spans="3:35">
      <c r="C4080" s="19"/>
      <c r="D4080" s="19"/>
      <c r="H4080" s="105"/>
      <c r="I4080" s="126"/>
      <c r="J4080" s="11"/>
      <c r="K4080" s="108"/>
      <c r="L4080" s="11"/>
      <c r="M4080" s="105"/>
      <c r="N4080" s="105"/>
      <c r="O4080" s="11"/>
      <c r="P4080" s="11"/>
      <c r="Q4080" s="105"/>
      <c r="R4080" s="105"/>
      <c r="S4080" s="105"/>
      <c r="T4080" s="105"/>
      <c r="U4080" s="105"/>
      <c r="V4080" s="105"/>
      <c r="W4080" s="105"/>
      <c r="X4080" s="11"/>
      <c r="Y4080" s="11"/>
      <c r="Z4080" s="105"/>
      <c r="AA4080" s="11"/>
      <c r="AB4080" s="11"/>
      <c r="AC4080" s="105"/>
      <c r="AD4080" s="11" t="b">
        <v>0</v>
      </c>
      <c r="AE4080" s="105"/>
      <c r="AF4080" s="11"/>
      <c r="AG4080" s="11"/>
      <c r="AH4080" s="11"/>
      <c r="AI4080" s="11"/>
    </row>
    <row r="4081" ht="12.5" spans="3:35">
      <c r="C4081" s="19"/>
      <c r="D4081" s="19"/>
      <c r="H4081" s="105"/>
      <c r="I4081" s="126"/>
      <c r="J4081" s="11"/>
      <c r="K4081" s="108"/>
      <c r="L4081" s="11"/>
      <c r="M4081" s="105"/>
      <c r="N4081" s="105"/>
      <c r="O4081" s="11"/>
      <c r="P4081" s="11"/>
      <c r="Q4081" s="105"/>
      <c r="R4081" s="105"/>
      <c r="S4081" s="105"/>
      <c r="T4081" s="105"/>
      <c r="U4081" s="105"/>
      <c r="V4081" s="105"/>
      <c r="W4081" s="105"/>
      <c r="X4081" s="11"/>
      <c r="Y4081" s="11"/>
      <c r="Z4081" s="105"/>
      <c r="AA4081" s="11"/>
      <c r="AB4081" s="11"/>
      <c r="AC4081" s="105"/>
      <c r="AD4081" s="11" t="b">
        <v>0</v>
      </c>
      <c r="AE4081" s="105"/>
      <c r="AF4081" s="11"/>
      <c r="AG4081" s="11"/>
      <c r="AH4081" s="11"/>
      <c r="AI4081" s="11"/>
    </row>
    <row r="4082" ht="12.5" spans="3:35">
      <c r="C4082" s="19"/>
      <c r="D4082" s="19"/>
      <c r="H4082" s="105"/>
      <c r="I4082" s="126"/>
      <c r="J4082" s="11"/>
      <c r="K4082" s="108"/>
      <c r="L4082" s="11"/>
      <c r="M4082" s="105"/>
      <c r="N4082" s="105"/>
      <c r="O4082" s="11"/>
      <c r="P4082" s="11"/>
      <c r="Q4082" s="105"/>
      <c r="R4082" s="105"/>
      <c r="S4082" s="105"/>
      <c r="T4082" s="105"/>
      <c r="U4082" s="105"/>
      <c r="V4082" s="105"/>
      <c r="W4082" s="105"/>
      <c r="X4082" s="11"/>
      <c r="Y4082" s="11"/>
      <c r="Z4082" s="105"/>
      <c r="AA4082" s="11"/>
      <c r="AB4082" s="11"/>
      <c r="AC4082" s="105"/>
      <c r="AD4082" s="11" t="b">
        <v>0</v>
      </c>
      <c r="AE4082" s="105"/>
      <c r="AF4082" s="11"/>
      <c r="AG4082" s="11"/>
      <c r="AH4082" s="11"/>
      <c r="AI4082" s="11"/>
    </row>
    <row r="4083" ht="12.5" spans="3:35">
      <c r="C4083" s="19"/>
      <c r="D4083" s="19"/>
      <c r="H4083" s="105"/>
      <c r="I4083" s="126"/>
      <c r="J4083" s="11"/>
      <c r="K4083" s="108"/>
      <c r="L4083" s="11"/>
      <c r="M4083" s="105"/>
      <c r="N4083" s="105"/>
      <c r="O4083" s="11"/>
      <c r="P4083" s="11"/>
      <c r="Q4083" s="105"/>
      <c r="R4083" s="105"/>
      <c r="S4083" s="105"/>
      <c r="T4083" s="105"/>
      <c r="U4083" s="105"/>
      <c r="V4083" s="105"/>
      <c r="W4083" s="105"/>
      <c r="X4083" s="11"/>
      <c r="Y4083" s="11"/>
      <c r="Z4083" s="105"/>
      <c r="AA4083" s="11"/>
      <c r="AB4083" s="11"/>
      <c r="AC4083" s="105"/>
      <c r="AD4083" s="11" t="b">
        <v>0</v>
      </c>
      <c r="AE4083" s="105"/>
      <c r="AF4083" s="11"/>
      <c r="AG4083" s="11"/>
      <c r="AH4083" s="11"/>
      <c r="AI4083" s="11"/>
    </row>
    <row r="4084" ht="12.5" spans="3:35">
      <c r="C4084" s="19"/>
      <c r="D4084" s="19"/>
      <c r="H4084" s="105"/>
      <c r="I4084" s="126"/>
      <c r="J4084" s="11"/>
      <c r="K4084" s="108"/>
      <c r="L4084" s="11"/>
      <c r="M4084" s="105"/>
      <c r="N4084" s="105"/>
      <c r="O4084" s="11"/>
      <c r="P4084" s="11"/>
      <c r="Q4084" s="105"/>
      <c r="R4084" s="105"/>
      <c r="S4084" s="105"/>
      <c r="T4084" s="105"/>
      <c r="U4084" s="105"/>
      <c r="V4084" s="105"/>
      <c r="W4084" s="105"/>
      <c r="X4084" s="11"/>
      <c r="Y4084" s="11"/>
      <c r="Z4084" s="105"/>
      <c r="AA4084" s="11"/>
      <c r="AB4084" s="11"/>
      <c r="AC4084" s="105"/>
      <c r="AD4084" s="11" t="b">
        <v>0</v>
      </c>
      <c r="AE4084" s="105"/>
      <c r="AF4084" s="11"/>
      <c r="AG4084" s="11"/>
      <c r="AH4084" s="11"/>
      <c r="AI4084" s="11"/>
    </row>
    <row r="4085" ht="12.5" spans="3:35">
      <c r="C4085" s="19"/>
      <c r="D4085" s="19"/>
      <c r="H4085" s="105"/>
      <c r="I4085" s="126"/>
      <c r="J4085" s="11"/>
      <c r="K4085" s="108"/>
      <c r="L4085" s="11"/>
      <c r="M4085" s="105"/>
      <c r="N4085" s="105"/>
      <c r="O4085" s="11"/>
      <c r="P4085" s="11"/>
      <c r="Q4085" s="105"/>
      <c r="R4085" s="105"/>
      <c r="S4085" s="105"/>
      <c r="T4085" s="105"/>
      <c r="U4085" s="105"/>
      <c r="V4085" s="105"/>
      <c r="W4085" s="105"/>
      <c r="X4085" s="11"/>
      <c r="Y4085" s="11"/>
      <c r="Z4085" s="105"/>
      <c r="AA4085" s="11"/>
      <c r="AB4085" s="11"/>
      <c r="AC4085" s="105"/>
      <c r="AD4085" s="11" t="b">
        <v>0</v>
      </c>
      <c r="AE4085" s="105"/>
      <c r="AF4085" s="11"/>
      <c r="AG4085" s="11"/>
      <c r="AH4085" s="11"/>
      <c r="AI4085" s="11"/>
    </row>
    <row r="4086" ht="12.5" spans="3:35">
      <c r="C4086" s="19"/>
      <c r="D4086" s="19"/>
      <c r="H4086" s="105"/>
      <c r="I4086" s="126"/>
      <c r="J4086" s="11"/>
      <c r="K4086" s="108"/>
      <c r="L4086" s="11"/>
      <c r="M4086" s="105"/>
      <c r="N4086" s="105"/>
      <c r="O4086" s="11"/>
      <c r="P4086" s="11"/>
      <c r="Q4086" s="105"/>
      <c r="R4086" s="105"/>
      <c r="S4086" s="105"/>
      <c r="T4086" s="105"/>
      <c r="U4086" s="105"/>
      <c r="V4086" s="105"/>
      <c r="W4086" s="105"/>
      <c r="X4086" s="11"/>
      <c r="Y4086" s="11"/>
      <c r="Z4086" s="105"/>
      <c r="AA4086" s="11"/>
      <c r="AB4086" s="11"/>
      <c r="AC4086" s="105"/>
      <c r="AD4086" s="11" t="b">
        <v>0</v>
      </c>
      <c r="AE4086" s="105"/>
      <c r="AF4086" s="11"/>
      <c r="AG4086" s="11"/>
      <c r="AH4086" s="11"/>
      <c r="AI4086" s="11"/>
    </row>
    <row r="4087" ht="12.5" spans="3:35">
      <c r="C4087" s="19"/>
      <c r="D4087" s="19"/>
      <c r="H4087" s="105"/>
      <c r="I4087" s="126"/>
      <c r="J4087" s="11"/>
      <c r="K4087" s="108"/>
      <c r="L4087" s="11"/>
      <c r="M4087" s="105"/>
      <c r="N4087" s="105"/>
      <c r="O4087" s="11"/>
      <c r="P4087" s="11"/>
      <c r="Q4087" s="105"/>
      <c r="R4087" s="105"/>
      <c r="S4087" s="105"/>
      <c r="T4087" s="105"/>
      <c r="U4087" s="105"/>
      <c r="V4087" s="105"/>
      <c r="W4087" s="105"/>
      <c r="X4087" s="11"/>
      <c r="Y4087" s="11"/>
      <c r="Z4087" s="105"/>
      <c r="AA4087" s="11"/>
      <c r="AB4087" s="11"/>
      <c r="AC4087" s="105"/>
      <c r="AD4087" s="11" t="b">
        <v>0</v>
      </c>
      <c r="AE4087" s="105"/>
      <c r="AF4087" s="11"/>
      <c r="AG4087" s="11"/>
      <c r="AH4087" s="11"/>
      <c r="AI4087" s="11"/>
    </row>
    <row r="4088" ht="12.5" spans="3:35">
      <c r="C4088" s="19"/>
      <c r="D4088" s="19"/>
      <c r="H4088" s="105"/>
      <c r="I4088" s="126"/>
      <c r="J4088" s="11"/>
      <c r="K4088" s="108"/>
      <c r="L4088" s="11"/>
      <c r="M4088" s="105"/>
      <c r="N4088" s="105"/>
      <c r="O4088" s="11"/>
      <c r="P4088" s="11"/>
      <c r="Q4088" s="105"/>
      <c r="R4088" s="105"/>
      <c r="S4088" s="105"/>
      <c r="T4088" s="105"/>
      <c r="U4088" s="105"/>
      <c r="V4088" s="105"/>
      <c r="W4088" s="105"/>
      <c r="X4088" s="11"/>
      <c r="Y4088" s="11"/>
      <c r="Z4088" s="105"/>
      <c r="AA4088" s="11"/>
      <c r="AB4088" s="11"/>
      <c r="AC4088" s="105"/>
      <c r="AD4088" s="11" t="b">
        <v>0</v>
      </c>
      <c r="AE4088" s="105"/>
      <c r="AF4088" s="11"/>
      <c r="AG4088" s="11"/>
      <c r="AH4088" s="11"/>
      <c r="AI4088" s="11"/>
    </row>
    <row r="4089" ht="12.5" spans="3:35">
      <c r="C4089" s="19"/>
      <c r="D4089" s="19"/>
      <c r="H4089" s="105"/>
      <c r="I4089" s="126"/>
      <c r="J4089" s="11"/>
      <c r="K4089" s="108"/>
      <c r="L4089" s="11"/>
      <c r="M4089" s="105"/>
      <c r="N4089" s="105"/>
      <c r="O4089" s="11"/>
      <c r="P4089" s="11"/>
      <c r="Q4089" s="105"/>
      <c r="R4089" s="105"/>
      <c r="S4089" s="105"/>
      <c r="T4089" s="105"/>
      <c r="U4089" s="105"/>
      <c r="V4089" s="105"/>
      <c r="W4089" s="105"/>
      <c r="X4089" s="11"/>
      <c r="Y4089" s="11"/>
      <c r="Z4089" s="105"/>
      <c r="AA4089" s="11"/>
      <c r="AB4089" s="11"/>
      <c r="AC4089" s="105"/>
      <c r="AD4089" s="11" t="b">
        <v>0</v>
      </c>
      <c r="AE4089" s="105"/>
      <c r="AF4089" s="11"/>
      <c r="AG4089" s="11"/>
      <c r="AH4089" s="11"/>
      <c r="AI4089" s="11"/>
    </row>
    <row r="4090" ht="12.5" spans="3:35">
      <c r="C4090" s="19"/>
      <c r="D4090" s="19"/>
      <c r="H4090" s="105"/>
      <c r="I4090" s="126"/>
      <c r="J4090" s="11"/>
      <c r="K4090" s="108"/>
      <c r="L4090" s="11"/>
      <c r="M4090" s="105"/>
      <c r="N4090" s="105"/>
      <c r="O4090" s="11"/>
      <c r="P4090" s="11"/>
      <c r="Q4090" s="105"/>
      <c r="R4090" s="105"/>
      <c r="S4090" s="105"/>
      <c r="T4090" s="105"/>
      <c r="U4090" s="105"/>
      <c r="V4090" s="105"/>
      <c r="W4090" s="105"/>
      <c r="X4090" s="11"/>
      <c r="Y4090" s="11"/>
      <c r="Z4090" s="105"/>
      <c r="AA4090" s="11"/>
      <c r="AB4090" s="11"/>
      <c r="AC4090" s="105"/>
      <c r="AD4090" s="11" t="b">
        <v>0</v>
      </c>
      <c r="AE4090" s="105"/>
      <c r="AF4090" s="11"/>
      <c r="AG4090" s="11"/>
      <c r="AH4090" s="11"/>
      <c r="AI4090" s="11"/>
    </row>
    <row r="4091" ht="12.5" spans="3:35">
      <c r="C4091" s="19"/>
      <c r="D4091" s="19"/>
      <c r="H4091" s="105"/>
      <c r="I4091" s="126"/>
      <c r="J4091" s="11"/>
      <c r="K4091" s="108"/>
      <c r="L4091" s="11"/>
      <c r="M4091" s="105"/>
      <c r="N4091" s="105"/>
      <c r="O4091" s="11"/>
      <c r="P4091" s="11"/>
      <c r="Q4091" s="105"/>
      <c r="R4091" s="105"/>
      <c r="S4091" s="105"/>
      <c r="T4091" s="105"/>
      <c r="U4091" s="105"/>
      <c r="V4091" s="105"/>
      <c r="W4091" s="105"/>
      <c r="X4091" s="11"/>
      <c r="Y4091" s="11"/>
      <c r="Z4091" s="105"/>
      <c r="AA4091" s="11"/>
      <c r="AB4091" s="11"/>
      <c r="AC4091" s="105"/>
      <c r="AD4091" s="11" t="b">
        <v>0</v>
      </c>
      <c r="AE4091" s="105"/>
      <c r="AF4091" s="11"/>
      <c r="AG4091" s="11"/>
      <c r="AH4091" s="11"/>
      <c r="AI4091" s="11"/>
    </row>
    <row r="4092" ht="12.5" spans="3:35">
      <c r="C4092" s="19"/>
      <c r="D4092" s="19"/>
      <c r="H4092" s="105"/>
      <c r="I4092" s="126"/>
      <c r="J4092" s="11"/>
      <c r="K4092" s="108"/>
      <c r="L4092" s="11"/>
      <c r="M4092" s="105"/>
      <c r="N4092" s="105"/>
      <c r="O4092" s="11"/>
      <c r="P4092" s="11"/>
      <c r="Q4092" s="105"/>
      <c r="R4092" s="105"/>
      <c r="S4092" s="105"/>
      <c r="T4092" s="105"/>
      <c r="U4092" s="105"/>
      <c r="V4092" s="105"/>
      <c r="W4092" s="105"/>
      <c r="X4092" s="11"/>
      <c r="Y4092" s="11"/>
      <c r="Z4092" s="105"/>
      <c r="AA4092" s="11"/>
      <c r="AB4092" s="11"/>
      <c r="AC4092" s="105"/>
      <c r="AD4092" s="11" t="b">
        <v>0</v>
      </c>
      <c r="AE4092" s="105"/>
      <c r="AF4092" s="11"/>
      <c r="AG4092" s="11"/>
      <c r="AH4092" s="11"/>
      <c r="AI4092" s="11"/>
    </row>
    <row r="4093" ht="12.5" spans="3:35">
      <c r="C4093" s="19"/>
      <c r="D4093" s="19"/>
      <c r="H4093" s="105"/>
      <c r="I4093" s="126"/>
      <c r="J4093" s="11"/>
      <c r="K4093" s="108"/>
      <c r="L4093" s="11"/>
      <c r="M4093" s="105"/>
      <c r="N4093" s="105"/>
      <c r="O4093" s="11"/>
      <c r="P4093" s="11"/>
      <c r="Q4093" s="105"/>
      <c r="R4093" s="105"/>
      <c r="S4093" s="105"/>
      <c r="T4093" s="105"/>
      <c r="U4093" s="105"/>
      <c r="V4093" s="105"/>
      <c r="W4093" s="105"/>
      <c r="X4093" s="11"/>
      <c r="Y4093" s="11"/>
      <c r="Z4093" s="105"/>
      <c r="AA4093" s="11"/>
      <c r="AB4093" s="11"/>
      <c r="AC4093" s="105"/>
      <c r="AD4093" s="11" t="b">
        <v>0</v>
      </c>
      <c r="AE4093" s="105"/>
      <c r="AF4093" s="11"/>
      <c r="AG4093" s="11"/>
      <c r="AH4093" s="11"/>
      <c r="AI4093" s="11"/>
    </row>
    <row r="4094" ht="12.5" spans="3:35">
      <c r="C4094" s="19"/>
      <c r="D4094" s="19"/>
      <c r="H4094" s="105"/>
      <c r="I4094" s="126"/>
      <c r="J4094" s="11"/>
      <c r="K4094" s="108"/>
      <c r="L4094" s="11"/>
      <c r="M4094" s="105"/>
      <c r="N4094" s="105"/>
      <c r="O4094" s="11"/>
      <c r="P4094" s="11"/>
      <c r="Q4094" s="105"/>
      <c r="R4094" s="105"/>
      <c r="S4094" s="105"/>
      <c r="T4094" s="105"/>
      <c r="U4094" s="105"/>
      <c r="V4094" s="105"/>
      <c r="W4094" s="105"/>
      <c r="X4094" s="11"/>
      <c r="Y4094" s="11"/>
      <c r="Z4094" s="105"/>
      <c r="AA4094" s="11"/>
      <c r="AB4094" s="11"/>
      <c r="AC4094" s="105"/>
      <c r="AD4094" s="11" t="b">
        <v>0</v>
      </c>
      <c r="AE4094" s="105"/>
      <c r="AF4094" s="11"/>
      <c r="AG4094" s="11"/>
      <c r="AH4094" s="11"/>
      <c r="AI4094" s="11"/>
    </row>
    <row r="4095" ht="12.5" spans="3:35">
      <c r="C4095" s="19"/>
      <c r="D4095" s="19"/>
      <c r="H4095" s="105"/>
      <c r="I4095" s="126"/>
      <c r="J4095" s="11"/>
      <c r="K4095" s="108"/>
      <c r="L4095" s="11"/>
      <c r="M4095" s="105"/>
      <c r="N4095" s="105"/>
      <c r="O4095" s="11"/>
      <c r="P4095" s="11"/>
      <c r="Q4095" s="105"/>
      <c r="R4095" s="105"/>
      <c r="S4095" s="105"/>
      <c r="T4095" s="105"/>
      <c r="U4095" s="105"/>
      <c r="V4095" s="105"/>
      <c r="W4095" s="105"/>
      <c r="X4095" s="11"/>
      <c r="Y4095" s="11"/>
      <c r="Z4095" s="105"/>
      <c r="AA4095" s="11"/>
      <c r="AB4095" s="11"/>
      <c r="AC4095" s="105"/>
      <c r="AD4095" s="11" t="b">
        <v>0</v>
      </c>
      <c r="AE4095" s="105"/>
      <c r="AF4095" s="11"/>
      <c r="AG4095" s="11"/>
      <c r="AH4095" s="11"/>
      <c r="AI4095" s="11"/>
    </row>
    <row r="4096" ht="12.5" spans="3:35">
      <c r="C4096" s="19"/>
      <c r="D4096" s="19"/>
      <c r="H4096" s="105"/>
      <c r="I4096" s="126"/>
      <c r="J4096" s="11"/>
      <c r="K4096" s="108"/>
      <c r="L4096" s="11"/>
      <c r="M4096" s="105"/>
      <c r="N4096" s="105"/>
      <c r="O4096" s="11"/>
      <c r="P4096" s="11"/>
      <c r="Q4096" s="105"/>
      <c r="R4096" s="105"/>
      <c r="S4096" s="105"/>
      <c r="T4096" s="105"/>
      <c r="U4096" s="105"/>
      <c r="V4096" s="105"/>
      <c r="W4096" s="105"/>
      <c r="X4096" s="11"/>
      <c r="Y4096" s="11"/>
      <c r="Z4096" s="105"/>
      <c r="AA4096" s="11"/>
      <c r="AB4096" s="11"/>
      <c r="AC4096" s="105"/>
      <c r="AD4096" s="11" t="b">
        <v>0</v>
      </c>
      <c r="AE4096" s="105"/>
      <c r="AF4096" s="11"/>
      <c r="AG4096" s="11"/>
      <c r="AH4096" s="11"/>
      <c r="AI4096" s="11"/>
    </row>
    <row r="4097" ht="12.5" spans="3:35">
      <c r="C4097" s="19"/>
      <c r="D4097" s="19"/>
      <c r="H4097" s="105"/>
      <c r="I4097" s="126"/>
      <c r="J4097" s="11"/>
      <c r="K4097" s="108"/>
      <c r="L4097" s="11"/>
      <c r="M4097" s="105"/>
      <c r="N4097" s="105"/>
      <c r="O4097" s="11"/>
      <c r="P4097" s="11"/>
      <c r="Q4097" s="105"/>
      <c r="R4097" s="105"/>
      <c r="S4097" s="105"/>
      <c r="T4097" s="105"/>
      <c r="U4097" s="105"/>
      <c r="V4097" s="105"/>
      <c r="W4097" s="105"/>
      <c r="X4097" s="11"/>
      <c r="Y4097" s="11"/>
      <c r="Z4097" s="105"/>
      <c r="AA4097" s="11"/>
      <c r="AB4097" s="11"/>
      <c r="AC4097" s="105"/>
      <c r="AD4097" s="11" t="b">
        <v>0</v>
      </c>
      <c r="AE4097" s="105"/>
      <c r="AF4097" s="11"/>
      <c r="AG4097" s="11"/>
      <c r="AH4097" s="11"/>
      <c r="AI4097" s="11"/>
    </row>
    <row r="4098" ht="12.5" spans="3:35">
      <c r="C4098" s="19"/>
      <c r="D4098" s="19"/>
      <c r="H4098" s="105"/>
      <c r="I4098" s="126"/>
      <c r="J4098" s="11"/>
      <c r="K4098" s="108"/>
      <c r="L4098" s="11"/>
      <c r="M4098" s="105"/>
      <c r="N4098" s="105"/>
      <c r="O4098" s="11"/>
      <c r="P4098" s="11"/>
      <c r="Q4098" s="105"/>
      <c r="R4098" s="105"/>
      <c r="S4098" s="105"/>
      <c r="T4098" s="105"/>
      <c r="U4098" s="105"/>
      <c r="V4098" s="105"/>
      <c r="W4098" s="105"/>
      <c r="X4098" s="11"/>
      <c r="Y4098" s="11"/>
      <c r="Z4098" s="105"/>
      <c r="AA4098" s="11"/>
      <c r="AB4098" s="11"/>
      <c r="AC4098" s="105"/>
      <c r="AD4098" s="11" t="b">
        <v>0</v>
      </c>
      <c r="AE4098" s="105"/>
      <c r="AF4098" s="11"/>
      <c r="AG4098" s="11"/>
      <c r="AH4098" s="11"/>
      <c r="AI4098" s="11"/>
    </row>
    <row r="4099" ht="12.5" spans="3:35">
      <c r="C4099" s="19"/>
      <c r="D4099" s="19"/>
      <c r="H4099" s="105"/>
      <c r="I4099" s="126"/>
      <c r="J4099" s="11"/>
      <c r="K4099" s="108"/>
      <c r="L4099" s="11"/>
      <c r="M4099" s="105"/>
      <c r="N4099" s="105"/>
      <c r="O4099" s="11"/>
      <c r="P4099" s="11"/>
      <c r="Q4099" s="105"/>
      <c r="R4099" s="105"/>
      <c r="S4099" s="105"/>
      <c r="T4099" s="105"/>
      <c r="U4099" s="105"/>
      <c r="V4099" s="105"/>
      <c r="W4099" s="105"/>
      <c r="X4099" s="11"/>
      <c r="Y4099" s="11"/>
      <c r="Z4099" s="105"/>
      <c r="AA4099" s="11"/>
      <c r="AB4099" s="11"/>
      <c r="AC4099" s="105"/>
      <c r="AD4099" s="11" t="b">
        <v>0</v>
      </c>
      <c r="AE4099" s="105"/>
      <c r="AF4099" s="11"/>
      <c r="AG4099" s="11"/>
      <c r="AH4099" s="11"/>
      <c r="AI4099" s="11"/>
    </row>
    <row r="4100" ht="12.5" spans="3:35">
      <c r="C4100" s="19"/>
      <c r="D4100" s="19"/>
      <c r="H4100" s="105"/>
      <c r="I4100" s="126"/>
      <c r="J4100" s="11"/>
      <c r="K4100" s="108"/>
      <c r="L4100" s="11"/>
      <c r="M4100" s="105"/>
      <c r="N4100" s="105"/>
      <c r="O4100" s="11"/>
      <c r="P4100" s="11"/>
      <c r="Q4100" s="105"/>
      <c r="R4100" s="105"/>
      <c r="S4100" s="105"/>
      <c r="T4100" s="105"/>
      <c r="U4100" s="105"/>
      <c r="V4100" s="105"/>
      <c r="W4100" s="105"/>
      <c r="X4100" s="11"/>
      <c r="Y4100" s="11"/>
      <c r="Z4100" s="105"/>
      <c r="AA4100" s="11"/>
      <c r="AB4100" s="11"/>
      <c r="AC4100" s="105"/>
      <c r="AD4100" s="11" t="b">
        <v>0</v>
      </c>
      <c r="AE4100" s="105"/>
      <c r="AF4100" s="11"/>
      <c r="AG4100" s="11"/>
      <c r="AH4100" s="11"/>
      <c r="AI4100" s="11"/>
    </row>
    <row r="4101" ht="12.5" spans="3:35">
      <c r="C4101" s="19"/>
      <c r="D4101" s="19"/>
      <c r="H4101" s="105"/>
      <c r="I4101" s="126"/>
      <c r="J4101" s="11"/>
      <c r="K4101" s="108"/>
      <c r="L4101" s="11"/>
      <c r="M4101" s="105"/>
      <c r="N4101" s="105"/>
      <c r="O4101" s="11"/>
      <c r="P4101" s="11"/>
      <c r="Q4101" s="105"/>
      <c r="R4101" s="105"/>
      <c r="S4101" s="105"/>
      <c r="T4101" s="105"/>
      <c r="U4101" s="105"/>
      <c r="V4101" s="105"/>
      <c r="W4101" s="105"/>
      <c r="X4101" s="11"/>
      <c r="Y4101" s="11"/>
      <c r="Z4101" s="105"/>
      <c r="AA4101" s="11"/>
      <c r="AB4101" s="11"/>
      <c r="AC4101" s="105"/>
      <c r="AD4101" s="11" t="b">
        <v>0</v>
      </c>
      <c r="AE4101" s="105"/>
      <c r="AF4101" s="11"/>
      <c r="AG4101" s="11"/>
      <c r="AH4101" s="11"/>
      <c r="AI4101" s="11"/>
    </row>
    <row r="4102" ht="12.5" spans="3:35">
      <c r="C4102" s="19"/>
      <c r="D4102" s="19"/>
      <c r="H4102" s="105"/>
      <c r="I4102" s="126"/>
      <c r="J4102" s="11"/>
      <c r="K4102" s="108"/>
      <c r="L4102" s="11"/>
      <c r="M4102" s="105"/>
      <c r="N4102" s="105"/>
      <c r="O4102" s="11"/>
      <c r="P4102" s="11"/>
      <c r="Q4102" s="105"/>
      <c r="R4102" s="105"/>
      <c r="S4102" s="105"/>
      <c r="T4102" s="105"/>
      <c r="U4102" s="105"/>
      <c r="V4102" s="105"/>
      <c r="W4102" s="105"/>
      <c r="X4102" s="11"/>
      <c r="Y4102" s="11"/>
      <c r="Z4102" s="105"/>
      <c r="AA4102" s="11"/>
      <c r="AB4102" s="11"/>
      <c r="AC4102" s="105"/>
      <c r="AD4102" s="11" t="b">
        <v>0</v>
      </c>
      <c r="AE4102" s="105"/>
      <c r="AF4102" s="11"/>
      <c r="AG4102" s="11"/>
      <c r="AH4102" s="11"/>
      <c r="AI4102" s="11"/>
    </row>
    <row r="4103" ht="12.5" spans="3:35">
      <c r="C4103" s="19"/>
      <c r="D4103" s="19"/>
      <c r="H4103" s="105"/>
      <c r="I4103" s="126"/>
      <c r="J4103" s="11"/>
      <c r="K4103" s="108"/>
      <c r="L4103" s="11"/>
      <c r="M4103" s="105"/>
      <c r="N4103" s="105"/>
      <c r="O4103" s="11"/>
      <c r="P4103" s="11"/>
      <c r="Q4103" s="105"/>
      <c r="R4103" s="105"/>
      <c r="S4103" s="105"/>
      <c r="T4103" s="105"/>
      <c r="U4103" s="105"/>
      <c r="V4103" s="105"/>
      <c r="W4103" s="105"/>
      <c r="X4103" s="11"/>
      <c r="Y4103" s="11"/>
      <c r="Z4103" s="105"/>
      <c r="AA4103" s="11"/>
      <c r="AB4103" s="11"/>
      <c r="AC4103" s="105"/>
      <c r="AD4103" s="11" t="b">
        <v>0</v>
      </c>
      <c r="AE4103" s="105"/>
      <c r="AF4103" s="11"/>
      <c r="AG4103" s="11"/>
      <c r="AH4103" s="11"/>
      <c r="AI4103" s="11"/>
    </row>
    <row r="4104" ht="12.5" spans="3:35">
      <c r="C4104" s="19"/>
      <c r="D4104" s="19"/>
      <c r="H4104" s="105"/>
      <c r="I4104" s="126"/>
      <c r="J4104" s="11"/>
      <c r="K4104" s="108"/>
      <c r="L4104" s="11"/>
      <c r="M4104" s="105"/>
      <c r="N4104" s="105"/>
      <c r="O4104" s="11"/>
      <c r="P4104" s="11"/>
      <c r="Q4104" s="105"/>
      <c r="R4104" s="105"/>
      <c r="S4104" s="105"/>
      <c r="T4104" s="105"/>
      <c r="U4104" s="105"/>
      <c r="V4104" s="105"/>
      <c r="W4104" s="105"/>
      <c r="X4104" s="11"/>
      <c r="Y4104" s="11"/>
      <c r="Z4104" s="105"/>
      <c r="AA4104" s="11"/>
      <c r="AB4104" s="11"/>
      <c r="AC4104" s="105"/>
      <c r="AD4104" s="11" t="b">
        <v>0</v>
      </c>
      <c r="AE4104" s="105"/>
      <c r="AF4104" s="11"/>
      <c r="AG4104" s="11"/>
      <c r="AH4104" s="11"/>
      <c r="AI4104" s="11"/>
    </row>
    <row r="4105" ht="12.5" spans="3:35">
      <c r="C4105" s="19"/>
      <c r="D4105" s="19"/>
      <c r="H4105" s="105"/>
      <c r="I4105" s="126"/>
      <c r="J4105" s="11"/>
      <c r="K4105" s="108"/>
      <c r="L4105" s="11"/>
      <c r="M4105" s="105"/>
      <c r="N4105" s="105"/>
      <c r="O4105" s="11"/>
      <c r="P4105" s="11"/>
      <c r="Q4105" s="105"/>
      <c r="R4105" s="105"/>
      <c r="S4105" s="105"/>
      <c r="T4105" s="105"/>
      <c r="U4105" s="105"/>
      <c r="V4105" s="105"/>
      <c r="W4105" s="105"/>
      <c r="X4105" s="11"/>
      <c r="Y4105" s="11"/>
      <c r="Z4105" s="105"/>
      <c r="AA4105" s="11"/>
      <c r="AB4105" s="11"/>
      <c r="AC4105" s="105"/>
      <c r="AD4105" s="11" t="b">
        <v>0</v>
      </c>
      <c r="AE4105" s="105"/>
      <c r="AF4105" s="11"/>
      <c r="AG4105" s="11"/>
      <c r="AH4105" s="11"/>
      <c r="AI4105" s="11"/>
    </row>
    <row r="4106" ht="12.5" spans="3:35">
      <c r="C4106" s="19"/>
      <c r="D4106" s="19"/>
      <c r="H4106" s="105"/>
      <c r="I4106" s="126"/>
      <c r="J4106" s="11"/>
      <c r="K4106" s="108"/>
      <c r="L4106" s="11"/>
      <c r="M4106" s="105"/>
      <c r="N4106" s="105"/>
      <c r="O4106" s="11"/>
      <c r="P4106" s="11"/>
      <c r="Q4106" s="105"/>
      <c r="R4106" s="105"/>
      <c r="S4106" s="105"/>
      <c r="T4106" s="105"/>
      <c r="U4106" s="105"/>
      <c r="V4106" s="105"/>
      <c r="W4106" s="105"/>
      <c r="X4106" s="11"/>
      <c r="Y4106" s="11"/>
      <c r="Z4106" s="105"/>
      <c r="AA4106" s="11"/>
      <c r="AB4106" s="11"/>
      <c r="AC4106" s="105"/>
      <c r="AD4106" s="11" t="b">
        <v>0</v>
      </c>
      <c r="AE4106" s="105"/>
      <c r="AF4106" s="11"/>
      <c r="AG4106" s="11"/>
      <c r="AH4106" s="11"/>
      <c r="AI4106" s="11"/>
    </row>
    <row r="4107" ht="12.5" spans="3:35">
      <c r="C4107" s="19"/>
      <c r="D4107" s="19"/>
      <c r="H4107" s="105"/>
      <c r="I4107" s="126"/>
      <c r="J4107" s="11"/>
      <c r="K4107" s="108"/>
      <c r="L4107" s="11"/>
      <c r="M4107" s="105"/>
      <c r="N4107" s="105"/>
      <c r="O4107" s="11"/>
      <c r="P4107" s="11"/>
      <c r="Q4107" s="105"/>
      <c r="R4107" s="105"/>
      <c r="S4107" s="105"/>
      <c r="T4107" s="105"/>
      <c r="U4107" s="105"/>
      <c r="V4107" s="105"/>
      <c r="W4107" s="105"/>
      <c r="X4107" s="11"/>
      <c r="Y4107" s="11"/>
      <c r="Z4107" s="105"/>
      <c r="AA4107" s="11"/>
      <c r="AB4107" s="11"/>
      <c r="AC4107" s="105"/>
      <c r="AD4107" s="11" t="b">
        <v>0</v>
      </c>
      <c r="AE4107" s="105"/>
      <c r="AF4107" s="11"/>
      <c r="AG4107" s="11"/>
      <c r="AH4107" s="11"/>
      <c r="AI4107" s="11"/>
    </row>
    <row r="4108" ht="12.5" spans="3:35">
      <c r="C4108" s="19"/>
      <c r="D4108" s="19"/>
      <c r="H4108" s="105"/>
      <c r="I4108" s="126"/>
      <c r="J4108" s="11"/>
      <c r="K4108" s="108"/>
      <c r="L4108" s="11"/>
      <c r="M4108" s="105"/>
      <c r="N4108" s="105"/>
      <c r="O4108" s="11"/>
      <c r="P4108" s="11"/>
      <c r="Q4108" s="105"/>
      <c r="R4108" s="105"/>
      <c r="S4108" s="105"/>
      <c r="T4108" s="105"/>
      <c r="U4108" s="105"/>
      <c r="V4108" s="105"/>
      <c r="W4108" s="105"/>
      <c r="X4108" s="11"/>
      <c r="Y4108" s="11"/>
      <c r="Z4108" s="105"/>
      <c r="AA4108" s="11"/>
      <c r="AB4108" s="11"/>
      <c r="AC4108" s="105"/>
      <c r="AD4108" s="11" t="b">
        <v>0</v>
      </c>
      <c r="AE4108" s="105"/>
      <c r="AF4108" s="11"/>
      <c r="AG4108" s="11"/>
      <c r="AH4108" s="11"/>
      <c r="AI4108" s="11"/>
    </row>
    <row r="4109" ht="12.5" spans="3:35">
      <c r="C4109" s="19"/>
      <c r="D4109" s="19"/>
      <c r="H4109" s="105"/>
      <c r="I4109" s="126"/>
      <c r="J4109" s="11"/>
      <c r="K4109" s="108"/>
      <c r="L4109" s="11"/>
      <c r="M4109" s="105"/>
      <c r="N4109" s="105"/>
      <c r="O4109" s="11"/>
      <c r="P4109" s="11"/>
      <c r="Q4109" s="105"/>
      <c r="R4109" s="105"/>
      <c r="S4109" s="105"/>
      <c r="T4109" s="105"/>
      <c r="U4109" s="105"/>
      <c r="V4109" s="105"/>
      <c r="W4109" s="105"/>
      <c r="X4109" s="11"/>
      <c r="Y4109" s="11"/>
      <c r="Z4109" s="105"/>
      <c r="AA4109" s="11"/>
      <c r="AB4109" s="11"/>
      <c r="AC4109" s="105"/>
      <c r="AD4109" s="11" t="b">
        <v>0</v>
      </c>
      <c r="AE4109" s="105"/>
      <c r="AF4109" s="11"/>
      <c r="AG4109" s="11"/>
      <c r="AH4109" s="11"/>
      <c r="AI4109" s="11"/>
    </row>
    <row r="4110" ht="12.5" spans="3:35">
      <c r="C4110" s="19"/>
      <c r="D4110" s="19"/>
      <c r="H4110" s="105"/>
      <c r="I4110" s="126"/>
      <c r="J4110" s="11"/>
      <c r="K4110" s="108"/>
      <c r="L4110" s="11"/>
      <c r="M4110" s="105"/>
      <c r="N4110" s="105"/>
      <c r="O4110" s="11"/>
      <c r="P4110" s="11"/>
      <c r="Q4110" s="105"/>
      <c r="R4110" s="105"/>
      <c r="S4110" s="105"/>
      <c r="T4110" s="105"/>
      <c r="U4110" s="105"/>
      <c r="V4110" s="105"/>
      <c r="W4110" s="105"/>
      <c r="X4110" s="11"/>
      <c r="Y4110" s="11"/>
      <c r="Z4110" s="105"/>
      <c r="AA4110" s="11"/>
      <c r="AB4110" s="11"/>
      <c r="AC4110" s="105"/>
      <c r="AD4110" s="11" t="b">
        <v>0</v>
      </c>
      <c r="AE4110" s="105"/>
      <c r="AF4110" s="11"/>
      <c r="AG4110" s="11"/>
      <c r="AH4110" s="11"/>
      <c r="AI4110" s="11"/>
    </row>
    <row r="4111" ht="12.5" spans="3:35">
      <c r="C4111" s="19"/>
      <c r="D4111" s="19"/>
      <c r="H4111" s="105"/>
      <c r="I4111" s="126"/>
      <c r="J4111" s="11"/>
      <c r="K4111" s="108"/>
      <c r="L4111" s="11"/>
      <c r="M4111" s="105"/>
      <c r="N4111" s="105"/>
      <c r="O4111" s="11"/>
      <c r="P4111" s="11"/>
      <c r="Q4111" s="105"/>
      <c r="R4111" s="105"/>
      <c r="S4111" s="105"/>
      <c r="T4111" s="105"/>
      <c r="U4111" s="105"/>
      <c r="V4111" s="105"/>
      <c r="W4111" s="105"/>
      <c r="X4111" s="11"/>
      <c r="Y4111" s="11"/>
      <c r="Z4111" s="105"/>
      <c r="AA4111" s="11"/>
      <c r="AB4111" s="11"/>
      <c r="AC4111" s="105"/>
      <c r="AD4111" s="11" t="b">
        <v>0</v>
      </c>
      <c r="AE4111" s="105"/>
      <c r="AF4111" s="11"/>
      <c r="AG4111" s="11"/>
      <c r="AH4111" s="11"/>
      <c r="AI4111" s="11"/>
    </row>
    <row r="4112" ht="12.5" spans="3:35">
      <c r="C4112" s="19"/>
      <c r="D4112" s="19"/>
      <c r="H4112" s="105"/>
      <c r="I4112" s="126"/>
      <c r="J4112" s="11"/>
      <c r="K4112" s="108"/>
      <c r="L4112" s="11"/>
      <c r="M4112" s="105"/>
      <c r="N4112" s="105"/>
      <c r="O4112" s="11"/>
      <c r="P4112" s="11"/>
      <c r="Q4112" s="105"/>
      <c r="R4112" s="105"/>
      <c r="S4112" s="105"/>
      <c r="T4112" s="105"/>
      <c r="U4112" s="105"/>
      <c r="V4112" s="105"/>
      <c r="W4112" s="105"/>
      <c r="X4112" s="11"/>
      <c r="Y4112" s="11"/>
      <c r="Z4112" s="105"/>
      <c r="AA4112" s="11"/>
      <c r="AB4112" s="11"/>
      <c r="AC4112" s="105"/>
      <c r="AD4112" s="11" t="b">
        <v>0</v>
      </c>
      <c r="AE4112" s="105"/>
      <c r="AF4112" s="11"/>
      <c r="AG4112" s="11"/>
      <c r="AH4112" s="11"/>
      <c r="AI4112" s="11"/>
    </row>
    <row r="4113" ht="12.5" spans="3:35">
      <c r="C4113" s="19"/>
      <c r="D4113" s="19"/>
      <c r="H4113" s="105"/>
      <c r="I4113" s="126"/>
      <c r="J4113" s="11"/>
      <c r="K4113" s="108"/>
      <c r="L4113" s="11"/>
      <c r="M4113" s="105"/>
      <c r="N4113" s="105"/>
      <c r="O4113" s="11"/>
      <c r="P4113" s="11"/>
      <c r="Q4113" s="105"/>
      <c r="R4113" s="105"/>
      <c r="S4113" s="105"/>
      <c r="T4113" s="105"/>
      <c r="U4113" s="105"/>
      <c r="V4113" s="105"/>
      <c r="W4113" s="105"/>
      <c r="X4113" s="11"/>
      <c r="Y4113" s="11"/>
      <c r="Z4113" s="105"/>
      <c r="AA4113" s="11"/>
      <c r="AB4113" s="11"/>
      <c r="AC4113" s="105"/>
      <c r="AD4113" s="11" t="b">
        <v>0</v>
      </c>
      <c r="AE4113" s="105"/>
      <c r="AF4113" s="11"/>
      <c r="AG4113" s="11"/>
      <c r="AH4113" s="11"/>
      <c r="AI4113" s="11"/>
    </row>
    <row r="4114" ht="12.5" spans="3:35">
      <c r="C4114" s="19"/>
      <c r="D4114" s="19"/>
      <c r="H4114" s="105"/>
      <c r="I4114" s="126"/>
      <c r="J4114" s="11"/>
      <c r="K4114" s="108"/>
      <c r="L4114" s="11"/>
      <c r="M4114" s="105"/>
      <c r="N4114" s="105"/>
      <c r="O4114" s="11"/>
      <c r="P4114" s="11"/>
      <c r="Q4114" s="105"/>
      <c r="R4114" s="105"/>
      <c r="S4114" s="105"/>
      <c r="T4114" s="105"/>
      <c r="U4114" s="105"/>
      <c r="V4114" s="105"/>
      <c r="W4114" s="105"/>
      <c r="X4114" s="11"/>
      <c r="Y4114" s="11"/>
      <c r="Z4114" s="105"/>
      <c r="AA4114" s="11"/>
      <c r="AB4114" s="11"/>
      <c r="AC4114" s="105"/>
      <c r="AD4114" s="11" t="b">
        <v>0</v>
      </c>
      <c r="AE4114" s="105"/>
      <c r="AF4114" s="11"/>
      <c r="AG4114" s="11"/>
      <c r="AH4114" s="11"/>
      <c r="AI4114" s="11"/>
    </row>
    <row r="4115" ht="12.5" spans="3:35">
      <c r="C4115" s="19"/>
      <c r="D4115" s="19"/>
      <c r="H4115" s="105"/>
      <c r="I4115" s="126"/>
      <c r="J4115" s="11"/>
      <c r="K4115" s="108"/>
      <c r="L4115" s="11"/>
      <c r="M4115" s="105"/>
      <c r="N4115" s="105"/>
      <c r="O4115" s="11"/>
      <c r="P4115" s="11"/>
      <c r="Q4115" s="105"/>
      <c r="R4115" s="105"/>
      <c r="S4115" s="105"/>
      <c r="T4115" s="105"/>
      <c r="U4115" s="105"/>
      <c r="V4115" s="105"/>
      <c r="W4115" s="105"/>
      <c r="X4115" s="11"/>
      <c r="Y4115" s="11"/>
      <c r="Z4115" s="105"/>
      <c r="AA4115" s="11"/>
      <c r="AB4115" s="11"/>
      <c r="AC4115" s="105"/>
      <c r="AD4115" s="11" t="b">
        <v>0</v>
      </c>
      <c r="AE4115" s="105"/>
      <c r="AF4115" s="11"/>
      <c r="AG4115" s="11"/>
      <c r="AH4115" s="11"/>
      <c r="AI4115" s="11"/>
    </row>
    <row r="4116" ht="12.5" spans="3:35">
      <c r="C4116" s="19"/>
      <c r="D4116" s="19"/>
      <c r="H4116" s="105"/>
      <c r="I4116" s="126"/>
      <c r="J4116" s="11"/>
      <c r="K4116" s="108"/>
      <c r="L4116" s="11"/>
      <c r="M4116" s="105"/>
      <c r="N4116" s="105"/>
      <c r="O4116" s="11"/>
      <c r="P4116" s="11"/>
      <c r="Q4116" s="105"/>
      <c r="R4116" s="105"/>
      <c r="S4116" s="105"/>
      <c r="T4116" s="105"/>
      <c r="U4116" s="105"/>
      <c r="V4116" s="105"/>
      <c r="W4116" s="105"/>
      <c r="X4116" s="11"/>
      <c r="Y4116" s="11"/>
      <c r="Z4116" s="105"/>
      <c r="AA4116" s="11"/>
      <c r="AB4116" s="11"/>
      <c r="AC4116" s="105"/>
      <c r="AD4116" s="11" t="b">
        <v>0</v>
      </c>
      <c r="AE4116" s="105"/>
      <c r="AF4116" s="11"/>
      <c r="AG4116" s="11"/>
      <c r="AH4116" s="11"/>
      <c r="AI4116" s="11"/>
    </row>
    <row r="4117" ht="12.5" spans="3:35">
      <c r="C4117" s="19"/>
      <c r="D4117" s="19"/>
      <c r="H4117" s="105"/>
      <c r="I4117" s="126"/>
      <c r="J4117" s="11"/>
      <c r="K4117" s="108"/>
      <c r="L4117" s="11"/>
      <c r="M4117" s="105"/>
      <c r="N4117" s="105"/>
      <c r="O4117" s="11"/>
      <c r="P4117" s="11"/>
      <c r="Q4117" s="105"/>
      <c r="R4117" s="105"/>
      <c r="S4117" s="105"/>
      <c r="T4117" s="105"/>
      <c r="U4117" s="105"/>
      <c r="V4117" s="105"/>
      <c r="W4117" s="105"/>
      <c r="X4117" s="11"/>
      <c r="Y4117" s="11"/>
      <c r="Z4117" s="105"/>
      <c r="AA4117" s="11"/>
      <c r="AB4117" s="11"/>
      <c r="AC4117" s="105"/>
      <c r="AD4117" s="11" t="b">
        <v>0</v>
      </c>
      <c r="AE4117" s="105"/>
      <c r="AF4117" s="11"/>
      <c r="AG4117" s="11"/>
      <c r="AH4117" s="11"/>
      <c r="AI4117" s="11"/>
    </row>
    <row r="4118" ht="12.5" spans="3:35">
      <c r="C4118" s="19"/>
      <c r="D4118" s="19"/>
      <c r="H4118" s="105"/>
      <c r="I4118" s="126"/>
      <c r="J4118" s="11"/>
      <c r="K4118" s="108"/>
      <c r="L4118" s="11"/>
      <c r="M4118" s="105"/>
      <c r="N4118" s="105"/>
      <c r="O4118" s="11"/>
      <c r="P4118" s="11"/>
      <c r="Q4118" s="105"/>
      <c r="R4118" s="105"/>
      <c r="S4118" s="105"/>
      <c r="T4118" s="105"/>
      <c r="U4118" s="105"/>
      <c r="V4118" s="105"/>
      <c r="W4118" s="105"/>
      <c r="X4118" s="11"/>
      <c r="Y4118" s="11"/>
      <c r="Z4118" s="105"/>
      <c r="AA4118" s="11"/>
      <c r="AB4118" s="11"/>
      <c r="AC4118" s="105"/>
      <c r="AD4118" s="11" t="b">
        <v>0</v>
      </c>
      <c r="AE4118" s="105"/>
      <c r="AF4118" s="11"/>
      <c r="AG4118" s="11"/>
      <c r="AH4118" s="11"/>
      <c r="AI4118" s="11"/>
    </row>
    <row r="4119" ht="12.5" spans="3:35">
      <c r="C4119" s="19"/>
      <c r="D4119" s="19"/>
      <c r="H4119" s="105"/>
      <c r="I4119" s="126"/>
      <c r="J4119" s="11"/>
      <c r="K4119" s="108"/>
      <c r="L4119" s="11"/>
      <c r="M4119" s="105"/>
      <c r="N4119" s="105"/>
      <c r="O4119" s="11"/>
      <c r="P4119" s="11"/>
      <c r="Q4119" s="105"/>
      <c r="R4119" s="105"/>
      <c r="S4119" s="105"/>
      <c r="T4119" s="105"/>
      <c r="U4119" s="105"/>
      <c r="V4119" s="105"/>
      <c r="W4119" s="105"/>
      <c r="X4119" s="11"/>
      <c r="Y4119" s="11"/>
      <c r="Z4119" s="105"/>
      <c r="AA4119" s="11"/>
      <c r="AB4119" s="11"/>
      <c r="AC4119" s="105"/>
      <c r="AD4119" s="11" t="b">
        <v>0</v>
      </c>
      <c r="AE4119" s="105"/>
      <c r="AF4119" s="11"/>
      <c r="AG4119" s="11"/>
      <c r="AH4119" s="11"/>
      <c r="AI4119" s="11"/>
    </row>
    <row r="4120" ht="12.5" spans="3:35">
      <c r="C4120" s="19"/>
      <c r="D4120" s="19"/>
      <c r="H4120" s="105"/>
      <c r="I4120" s="126"/>
      <c r="J4120" s="11"/>
      <c r="K4120" s="108"/>
      <c r="L4120" s="11"/>
      <c r="M4120" s="105"/>
      <c r="N4120" s="105"/>
      <c r="O4120" s="11"/>
      <c r="P4120" s="11"/>
      <c r="Q4120" s="105"/>
      <c r="R4120" s="105"/>
      <c r="S4120" s="105"/>
      <c r="T4120" s="105"/>
      <c r="U4120" s="105"/>
      <c r="V4120" s="105"/>
      <c r="W4120" s="105"/>
      <c r="X4120" s="11"/>
      <c r="Y4120" s="11"/>
      <c r="Z4120" s="105"/>
      <c r="AA4120" s="11"/>
      <c r="AB4120" s="11"/>
      <c r="AC4120" s="105"/>
      <c r="AD4120" s="11" t="b">
        <v>0</v>
      </c>
      <c r="AE4120" s="105"/>
      <c r="AF4120" s="11"/>
      <c r="AG4120" s="11"/>
      <c r="AH4120" s="11"/>
      <c r="AI4120" s="11"/>
    </row>
    <row r="4121" ht="12.5" spans="3:35">
      <c r="C4121" s="19"/>
      <c r="D4121" s="19"/>
      <c r="H4121" s="105"/>
      <c r="I4121" s="126"/>
      <c r="J4121" s="11"/>
      <c r="K4121" s="108"/>
      <c r="L4121" s="11"/>
      <c r="M4121" s="105"/>
      <c r="N4121" s="105"/>
      <c r="O4121" s="11"/>
      <c r="P4121" s="11"/>
      <c r="Q4121" s="105"/>
      <c r="R4121" s="105"/>
      <c r="S4121" s="105"/>
      <c r="T4121" s="105"/>
      <c r="U4121" s="105"/>
      <c r="V4121" s="105"/>
      <c r="W4121" s="105"/>
      <c r="X4121" s="11"/>
      <c r="Y4121" s="11"/>
      <c r="Z4121" s="105"/>
      <c r="AA4121" s="11"/>
      <c r="AB4121" s="11"/>
      <c r="AC4121" s="105"/>
      <c r="AD4121" s="11" t="b">
        <v>0</v>
      </c>
      <c r="AE4121" s="105"/>
      <c r="AF4121" s="11"/>
      <c r="AG4121" s="11"/>
      <c r="AH4121" s="11"/>
      <c r="AI4121" s="11"/>
    </row>
    <row r="4122" ht="12.5" spans="3:35">
      <c r="C4122" s="19"/>
      <c r="D4122" s="19"/>
      <c r="H4122" s="105"/>
      <c r="I4122" s="126"/>
      <c r="J4122" s="11"/>
      <c r="K4122" s="108"/>
      <c r="L4122" s="11"/>
      <c r="M4122" s="105"/>
      <c r="N4122" s="105"/>
      <c r="O4122" s="11"/>
      <c r="P4122" s="11"/>
      <c r="Q4122" s="105"/>
      <c r="R4122" s="105"/>
      <c r="S4122" s="105"/>
      <c r="T4122" s="105"/>
      <c r="U4122" s="105"/>
      <c r="V4122" s="105"/>
      <c r="W4122" s="105"/>
      <c r="X4122" s="11"/>
      <c r="Y4122" s="11"/>
      <c r="Z4122" s="105"/>
      <c r="AA4122" s="11"/>
      <c r="AB4122" s="11"/>
      <c r="AC4122" s="105"/>
      <c r="AD4122" s="11" t="b">
        <v>0</v>
      </c>
      <c r="AE4122" s="105"/>
      <c r="AF4122" s="11"/>
      <c r="AG4122" s="11"/>
      <c r="AH4122" s="11"/>
      <c r="AI4122" s="11"/>
    </row>
    <row r="4123" ht="12.5" spans="3:35">
      <c r="C4123" s="19"/>
      <c r="D4123" s="19"/>
      <c r="H4123" s="105"/>
      <c r="I4123" s="126"/>
      <c r="J4123" s="11"/>
      <c r="K4123" s="108"/>
      <c r="L4123" s="11"/>
      <c r="M4123" s="105"/>
      <c r="N4123" s="105"/>
      <c r="O4123" s="11"/>
      <c r="P4123" s="11"/>
      <c r="Q4123" s="105"/>
      <c r="R4123" s="105"/>
      <c r="S4123" s="105"/>
      <c r="T4123" s="105"/>
      <c r="U4123" s="105"/>
      <c r="V4123" s="105"/>
      <c r="W4123" s="105"/>
      <c r="X4123" s="11"/>
      <c r="Y4123" s="11"/>
      <c r="Z4123" s="105"/>
      <c r="AA4123" s="11"/>
      <c r="AB4123" s="11"/>
      <c r="AC4123" s="105"/>
      <c r="AD4123" s="11" t="b">
        <v>0</v>
      </c>
      <c r="AE4123" s="105"/>
      <c r="AF4123" s="11"/>
      <c r="AG4123" s="11"/>
      <c r="AH4123" s="11"/>
      <c r="AI4123" s="11"/>
    </row>
    <row r="4124" ht="12.5" spans="3:35">
      <c r="C4124" s="19"/>
      <c r="D4124" s="19"/>
      <c r="H4124" s="105"/>
      <c r="I4124" s="126"/>
      <c r="J4124" s="11"/>
      <c r="K4124" s="108"/>
      <c r="L4124" s="11"/>
      <c r="M4124" s="105"/>
      <c r="N4124" s="105"/>
      <c r="O4124" s="11"/>
      <c r="P4124" s="11"/>
      <c r="Q4124" s="105"/>
      <c r="R4124" s="105"/>
      <c r="S4124" s="105"/>
      <c r="T4124" s="105"/>
      <c r="U4124" s="105"/>
      <c r="V4124" s="105"/>
      <c r="W4124" s="105"/>
      <c r="X4124" s="11"/>
      <c r="Y4124" s="11"/>
      <c r="Z4124" s="105"/>
      <c r="AA4124" s="11"/>
      <c r="AB4124" s="11"/>
      <c r="AC4124" s="105"/>
      <c r="AD4124" s="11" t="b">
        <v>0</v>
      </c>
      <c r="AE4124" s="105"/>
      <c r="AF4124" s="11"/>
      <c r="AG4124" s="11"/>
      <c r="AH4124" s="11"/>
      <c r="AI4124" s="11"/>
    </row>
    <row r="4125" ht="12.5" spans="3:35">
      <c r="C4125" s="19"/>
      <c r="D4125" s="19"/>
      <c r="H4125" s="105"/>
      <c r="I4125" s="126"/>
      <c r="J4125" s="11"/>
      <c r="K4125" s="108"/>
      <c r="L4125" s="11"/>
      <c r="M4125" s="105"/>
      <c r="N4125" s="105"/>
      <c r="O4125" s="11"/>
      <c r="P4125" s="11"/>
      <c r="Q4125" s="105"/>
      <c r="R4125" s="105"/>
      <c r="S4125" s="105"/>
      <c r="T4125" s="105"/>
      <c r="U4125" s="105"/>
      <c r="V4125" s="105"/>
      <c r="W4125" s="105"/>
      <c r="X4125" s="11"/>
      <c r="Y4125" s="11"/>
      <c r="Z4125" s="105"/>
      <c r="AA4125" s="11"/>
      <c r="AB4125" s="11"/>
      <c r="AC4125" s="105"/>
      <c r="AD4125" s="11" t="b">
        <v>0</v>
      </c>
      <c r="AE4125" s="105"/>
      <c r="AF4125" s="11"/>
      <c r="AG4125" s="11"/>
      <c r="AH4125" s="11"/>
      <c r="AI4125" s="11"/>
    </row>
    <row r="4126" ht="12.5" spans="3:35">
      <c r="C4126" s="19"/>
      <c r="D4126" s="19"/>
      <c r="H4126" s="105"/>
      <c r="I4126" s="126"/>
      <c r="J4126" s="11"/>
      <c r="K4126" s="108"/>
      <c r="L4126" s="11"/>
      <c r="M4126" s="105"/>
      <c r="N4126" s="105"/>
      <c r="O4126" s="11"/>
      <c r="P4126" s="11"/>
      <c r="Q4126" s="105"/>
      <c r="R4126" s="105"/>
      <c r="S4126" s="105"/>
      <c r="T4126" s="105"/>
      <c r="U4126" s="105"/>
      <c r="V4126" s="105"/>
      <c r="W4126" s="105"/>
      <c r="X4126" s="11"/>
      <c r="Y4126" s="11"/>
      <c r="Z4126" s="105"/>
      <c r="AA4126" s="11"/>
      <c r="AB4126" s="11"/>
      <c r="AC4126" s="105"/>
      <c r="AD4126" s="11" t="b">
        <v>0</v>
      </c>
      <c r="AE4126" s="105"/>
      <c r="AF4126" s="11"/>
      <c r="AG4126" s="11"/>
      <c r="AH4126" s="11"/>
      <c r="AI4126" s="11"/>
    </row>
    <row r="4127" ht="12.5" spans="3:35">
      <c r="C4127" s="19"/>
      <c r="D4127" s="19"/>
      <c r="H4127" s="105"/>
      <c r="I4127" s="126"/>
      <c r="J4127" s="11"/>
      <c r="K4127" s="108"/>
      <c r="L4127" s="11"/>
      <c r="M4127" s="105"/>
      <c r="N4127" s="105"/>
      <c r="O4127" s="11"/>
      <c r="P4127" s="11"/>
      <c r="Q4127" s="105"/>
      <c r="R4127" s="105"/>
      <c r="S4127" s="105"/>
      <c r="T4127" s="105"/>
      <c r="U4127" s="105"/>
      <c r="V4127" s="105"/>
      <c r="W4127" s="105"/>
      <c r="X4127" s="11"/>
      <c r="Y4127" s="11"/>
      <c r="Z4127" s="105"/>
      <c r="AA4127" s="11"/>
      <c r="AB4127" s="11"/>
      <c r="AC4127" s="105"/>
      <c r="AD4127" s="11" t="b">
        <v>0</v>
      </c>
      <c r="AE4127" s="105"/>
      <c r="AF4127" s="11"/>
      <c r="AG4127" s="11"/>
      <c r="AH4127" s="11"/>
      <c r="AI4127" s="11"/>
    </row>
    <row r="4128" ht="12.5" spans="3:35">
      <c r="C4128" s="19"/>
      <c r="D4128" s="19"/>
      <c r="H4128" s="105"/>
      <c r="I4128" s="126"/>
      <c r="J4128" s="11"/>
      <c r="K4128" s="108"/>
      <c r="L4128" s="11"/>
      <c r="M4128" s="105"/>
      <c r="N4128" s="105"/>
      <c r="O4128" s="11"/>
      <c r="P4128" s="11"/>
      <c r="Q4128" s="105"/>
      <c r="R4128" s="105"/>
      <c r="S4128" s="105"/>
      <c r="T4128" s="105"/>
      <c r="U4128" s="105"/>
      <c r="V4128" s="105"/>
      <c r="W4128" s="105"/>
      <c r="X4128" s="11"/>
      <c r="Y4128" s="11"/>
      <c r="Z4128" s="105"/>
      <c r="AA4128" s="11"/>
      <c r="AB4128" s="11"/>
      <c r="AC4128" s="105"/>
      <c r="AD4128" s="11" t="b">
        <v>0</v>
      </c>
      <c r="AE4128" s="105"/>
      <c r="AF4128" s="11"/>
      <c r="AG4128" s="11"/>
      <c r="AH4128" s="11"/>
      <c r="AI4128" s="11"/>
    </row>
    <row r="4129" ht="12.5" spans="3:35">
      <c r="C4129" s="19"/>
      <c r="D4129" s="19"/>
      <c r="H4129" s="105"/>
      <c r="I4129" s="126"/>
      <c r="J4129" s="11"/>
      <c r="K4129" s="108"/>
      <c r="L4129" s="11"/>
      <c r="M4129" s="105"/>
      <c r="N4129" s="105"/>
      <c r="O4129" s="11"/>
      <c r="P4129" s="11"/>
      <c r="Q4129" s="105"/>
      <c r="R4129" s="105"/>
      <c r="S4129" s="105"/>
      <c r="T4129" s="105"/>
      <c r="U4129" s="105"/>
      <c r="V4129" s="105"/>
      <c r="W4129" s="105"/>
      <c r="X4129" s="11"/>
      <c r="Y4129" s="11"/>
      <c r="Z4129" s="105"/>
      <c r="AA4129" s="11"/>
      <c r="AB4129" s="11"/>
      <c r="AC4129" s="105"/>
      <c r="AD4129" s="11" t="b">
        <v>0</v>
      </c>
      <c r="AE4129" s="105"/>
      <c r="AF4129" s="11"/>
      <c r="AG4129" s="11"/>
      <c r="AH4129" s="11"/>
      <c r="AI4129" s="11"/>
    </row>
    <row r="4130" ht="12.5" spans="3:35">
      <c r="C4130" s="19"/>
      <c r="D4130" s="19"/>
      <c r="H4130" s="105"/>
      <c r="I4130" s="126"/>
      <c r="J4130" s="11"/>
      <c r="K4130" s="108"/>
      <c r="L4130" s="11"/>
      <c r="M4130" s="105"/>
      <c r="N4130" s="105"/>
      <c r="O4130" s="11"/>
      <c r="P4130" s="11"/>
      <c r="Q4130" s="105"/>
      <c r="R4130" s="105"/>
      <c r="S4130" s="105"/>
      <c r="T4130" s="105"/>
      <c r="U4130" s="105"/>
      <c r="V4130" s="105"/>
      <c r="W4130" s="105"/>
      <c r="X4130" s="11"/>
      <c r="Y4130" s="11"/>
      <c r="Z4130" s="105"/>
      <c r="AA4130" s="11"/>
      <c r="AB4130" s="11"/>
      <c r="AC4130" s="105"/>
      <c r="AD4130" s="11" t="b">
        <v>0</v>
      </c>
      <c r="AE4130" s="105"/>
      <c r="AF4130" s="11"/>
      <c r="AG4130" s="11"/>
      <c r="AH4130" s="11"/>
      <c r="AI4130" s="11"/>
    </row>
    <row r="4131" ht="12.5" spans="3:35">
      <c r="C4131" s="19"/>
      <c r="D4131" s="19"/>
      <c r="H4131" s="105"/>
      <c r="I4131" s="126"/>
      <c r="J4131" s="11"/>
      <c r="K4131" s="108"/>
      <c r="L4131" s="11"/>
      <c r="M4131" s="105"/>
      <c r="N4131" s="105"/>
      <c r="O4131" s="11"/>
      <c r="P4131" s="11"/>
      <c r="Q4131" s="105"/>
      <c r="R4131" s="105"/>
      <c r="S4131" s="105"/>
      <c r="T4131" s="105"/>
      <c r="U4131" s="105"/>
      <c r="V4131" s="105"/>
      <c r="W4131" s="105"/>
      <c r="X4131" s="11"/>
      <c r="Y4131" s="11"/>
      <c r="Z4131" s="105"/>
      <c r="AA4131" s="11"/>
      <c r="AB4131" s="11"/>
      <c r="AC4131" s="105"/>
      <c r="AD4131" s="11" t="b">
        <v>0</v>
      </c>
      <c r="AE4131" s="105"/>
      <c r="AF4131" s="11"/>
      <c r="AG4131" s="11"/>
      <c r="AH4131" s="11"/>
      <c r="AI4131" s="11"/>
    </row>
    <row r="4132" ht="12.5" spans="3:35">
      <c r="C4132" s="19"/>
      <c r="D4132" s="19"/>
      <c r="H4132" s="105"/>
      <c r="I4132" s="126"/>
      <c r="J4132" s="11"/>
      <c r="K4132" s="108"/>
      <c r="L4132" s="11"/>
      <c r="M4132" s="105"/>
      <c r="N4132" s="105"/>
      <c r="O4132" s="11"/>
      <c r="P4132" s="11"/>
      <c r="Q4132" s="105"/>
      <c r="R4132" s="105"/>
      <c r="S4132" s="105"/>
      <c r="T4132" s="105"/>
      <c r="U4132" s="105"/>
      <c r="V4132" s="105"/>
      <c r="W4132" s="105"/>
      <c r="X4132" s="11"/>
      <c r="Y4132" s="11"/>
      <c r="Z4132" s="105"/>
      <c r="AA4132" s="11"/>
      <c r="AB4132" s="11"/>
      <c r="AC4132" s="105"/>
      <c r="AD4132" s="11" t="b">
        <v>0</v>
      </c>
      <c r="AE4132" s="105"/>
      <c r="AF4132" s="11"/>
      <c r="AG4132" s="11"/>
      <c r="AH4132" s="11"/>
      <c r="AI4132" s="11"/>
    </row>
    <row r="4133" ht="12.5" spans="3:35">
      <c r="C4133" s="19"/>
      <c r="D4133" s="19"/>
      <c r="H4133" s="105"/>
      <c r="I4133" s="126"/>
      <c r="J4133" s="11"/>
      <c r="K4133" s="108"/>
      <c r="L4133" s="11"/>
      <c r="M4133" s="105"/>
      <c r="N4133" s="105"/>
      <c r="O4133" s="11"/>
      <c r="P4133" s="11"/>
      <c r="Q4133" s="105"/>
      <c r="R4133" s="105"/>
      <c r="S4133" s="105"/>
      <c r="T4133" s="105"/>
      <c r="U4133" s="105"/>
      <c r="V4133" s="105"/>
      <c r="W4133" s="105"/>
      <c r="X4133" s="11"/>
      <c r="Y4133" s="11"/>
      <c r="Z4133" s="105"/>
      <c r="AA4133" s="11"/>
      <c r="AB4133" s="11"/>
      <c r="AC4133" s="105"/>
      <c r="AD4133" s="11" t="b">
        <v>0</v>
      </c>
      <c r="AE4133" s="105"/>
      <c r="AF4133" s="11"/>
      <c r="AG4133" s="11"/>
      <c r="AH4133" s="11"/>
      <c r="AI4133" s="11"/>
    </row>
    <row r="4134" ht="12.5" spans="3:35">
      <c r="C4134" s="19"/>
      <c r="D4134" s="19"/>
      <c r="H4134" s="105"/>
      <c r="I4134" s="126"/>
      <c r="J4134" s="11"/>
      <c r="K4134" s="108"/>
      <c r="L4134" s="11"/>
      <c r="M4134" s="105"/>
      <c r="N4134" s="105"/>
      <c r="O4134" s="11"/>
      <c r="P4134" s="11"/>
      <c r="Q4134" s="105"/>
      <c r="R4134" s="105"/>
      <c r="S4134" s="105"/>
      <c r="T4134" s="105"/>
      <c r="U4134" s="105"/>
      <c r="V4134" s="105"/>
      <c r="W4134" s="105"/>
      <c r="X4134" s="11"/>
      <c r="Y4134" s="11"/>
      <c r="Z4134" s="105"/>
      <c r="AA4134" s="11"/>
      <c r="AB4134" s="11"/>
      <c r="AC4134" s="105"/>
      <c r="AD4134" s="11" t="b">
        <v>0</v>
      </c>
      <c r="AE4134" s="105"/>
      <c r="AF4134" s="11"/>
      <c r="AG4134" s="11"/>
      <c r="AH4134" s="11"/>
      <c r="AI4134" s="11"/>
    </row>
    <row r="4135" ht="12.5" spans="3:35">
      <c r="C4135" s="19"/>
      <c r="D4135" s="19"/>
      <c r="H4135" s="105"/>
      <c r="I4135" s="126"/>
      <c r="J4135" s="11"/>
      <c r="K4135" s="108"/>
      <c r="L4135" s="11"/>
      <c r="M4135" s="105"/>
      <c r="N4135" s="105"/>
      <c r="O4135" s="11"/>
      <c r="P4135" s="11"/>
      <c r="Q4135" s="105"/>
      <c r="R4135" s="105"/>
      <c r="S4135" s="105"/>
      <c r="T4135" s="105"/>
      <c r="U4135" s="105"/>
      <c r="V4135" s="105"/>
      <c r="W4135" s="105"/>
      <c r="X4135" s="11"/>
      <c r="Y4135" s="11"/>
      <c r="Z4135" s="105"/>
      <c r="AA4135" s="11"/>
      <c r="AB4135" s="11"/>
      <c r="AC4135" s="105"/>
      <c r="AD4135" s="11" t="b">
        <v>0</v>
      </c>
      <c r="AE4135" s="105"/>
      <c r="AF4135" s="11"/>
      <c r="AG4135" s="11"/>
      <c r="AH4135" s="11"/>
      <c r="AI4135" s="11"/>
    </row>
    <row r="4136" ht="12.5" spans="3:35">
      <c r="C4136" s="19"/>
      <c r="D4136" s="19"/>
      <c r="H4136" s="105"/>
      <c r="I4136" s="126"/>
      <c r="J4136" s="11"/>
      <c r="K4136" s="108"/>
      <c r="L4136" s="11"/>
      <c r="M4136" s="105"/>
      <c r="N4136" s="105"/>
      <c r="O4136" s="11"/>
      <c r="P4136" s="11"/>
      <c r="Q4136" s="105"/>
      <c r="R4136" s="105"/>
      <c r="S4136" s="105"/>
      <c r="T4136" s="105"/>
      <c r="U4136" s="105"/>
      <c r="V4136" s="105"/>
      <c r="W4136" s="105"/>
      <c r="X4136" s="11"/>
      <c r="Y4136" s="11"/>
      <c r="Z4136" s="105"/>
      <c r="AA4136" s="11"/>
      <c r="AB4136" s="11"/>
      <c r="AC4136" s="105"/>
      <c r="AD4136" s="11" t="b">
        <v>0</v>
      </c>
      <c r="AE4136" s="105"/>
      <c r="AF4136" s="11"/>
      <c r="AG4136" s="11"/>
      <c r="AH4136" s="11"/>
      <c r="AI4136" s="11"/>
    </row>
    <row r="4137" ht="12.5" spans="3:35">
      <c r="C4137" s="19"/>
      <c r="D4137" s="19"/>
      <c r="H4137" s="105"/>
      <c r="I4137" s="126"/>
      <c r="J4137" s="11"/>
      <c r="K4137" s="108"/>
      <c r="L4137" s="11"/>
      <c r="M4137" s="105"/>
      <c r="N4137" s="105"/>
      <c r="O4137" s="11"/>
      <c r="P4137" s="11"/>
      <c r="Q4137" s="105"/>
      <c r="R4137" s="105"/>
      <c r="S4137" s="105"/>
      <c r="T4137" s="105"/>
      <c r="U4137" s="105"/>
      <c r="V4137" s="105"/>
      <c r="W4137" s="105"/>
      <c r="X4137" s="11"/>
      <c r="Y4137" s="11"/>
      <c r="Z4137" s="105"/>
      <c r="AA4137" s="11"/>
      <c r="AB4137" s="11"/>
      <c r="AC4137" s="105"/>
      <c r="AD4137" s="11" t="b">
        <v>0</v>
      </c>
      <c r="AE4137" s="105"/>
      <c r="AF4137" s="11"/>
      <c r="AG4137" s="11"/>
      <c r="AH4137" s="11"/>
      <c r="AI4137" s="11"/>
    </row>
    <row r="4138" ht="12.5" spans="3:35">
      <c r="C4138" s="19"/>
      <c r="D4138" s="19"/>
      <c r="H4138" s="105"/>
      <c r="I4138" s="126"/>
      <c r="J4138" s="11"/>
      <c r="K4138" s="108"/>
      <c r="L4138" s="11"/>
      <c r="M4138" s="105"/>
      <c r="N4138" s="105"/>
      <c r="O4138" s="11"/>
      <c r="P4138" s="11"/>
      <c r="Q4138" s="105"/>
      <c r="R4138" s="105"/>
      <c r="S4138" s="105"/>
      <c r="T4138" s="105"/>
      <c r="U4138" s="105"/>
      <c r="V4138" s="105"/>
      <c r="W4138" s="105"/>
      <c r="X4138" s="11"/>
      <c r="Y4138" s="11"/>
      <c r="Z4138" s="105"/>
      <c r="AA4138" s="11"/>
      <c r="AB4138" s="11"/>
      <c r="AC4138" s="105"/>
      <c r="AD4138" s="11" t="b">
        <v>0</v>
      </c>
      <c r="AE4138" s="105"/>
      <c r="AF4138" s="11"/>
      <c r="AG4138" s="11"/>
      <c r="AH4138" s="11"/>
      <c r="AI4138" s="11"/>
    </row>
    <row r="4139" ht="12.5" spans="3:35">
      <c r="C4139" s="19"/>
      <c r="D4139" s="19"/>
      <c r="H4139" s="105"/>
      <c r="I4139" s="126"/>
      <c r="J4139" s="11"/>
      <c r="K4139" s="108"/>
      <c r="L4139" s="11"/>
      <c r="M4139" s="105"/>
      <c r="N4139" s="105"/>
      <c r="O4139" s="11"/>
      <c r="P4139" s="11"/>
      <c r="Q4139" s="105"/>
      <c r="R4139" s="105"/>
      <c r="S4139" s="105"/>
      <c r="T4139" s="105"/>
      <c r="U4139" s="105"/>
      <c r="V4139" s="105"/>
      <c r="W4139" s="105"/>
      <c r="X4139" s="11"/>
      <c r="Y4139" s="11"/>
      <c r="Z4139" s="105"/>
      <c r="AA4139" s="11"/>
      <c r="AB4139" s="11"/>
      <c r="AC4139" s="105"/>
      <c r="AD4139" s="11" t="b">
        <v>0</v>
      </c>
      <c r="AE4139" s="105"/>
      <c r="AF4139" s="11"/>
      <c r="AG4139" s="11"/>
      <c r="AH4139" s="11"/>
      <c r="AI4139" s="11"/>
    </row>
    <row r="4140" ht="12.5" spans="3:35">
      <c r="C4140" s="19"/>
      <c r="D4140" s="19"/>
      <c r="H4140" s="105"/>
      <c r="I4140" s="126"/>
      <c r="J4140" s="11"/>
      <c r="K4140" s="108"/>
      <c r="L4140" s="11"/>
      <c r="M4140" s="105"/>
      <c r="N4140" s="105"/>
      <c r="O4140" s="11"/>
      <c r="P4140" s="11"/>
      <c r="Q4140" s="105"/>
      <c r="R4140" s="105"/>
      <c r="S4140" s="105"/>
      <c r="T4140" s="105"/>
      <c r="U4140" s="105"/>
      <c r="V4140" s="105"/>
      <c r="W4140" s="105"/>
      <c r="X4140" s="11"/>
      <c r="Y4140" s="11"/>
      <c r="Z4140" s="105"/>
      <c r="AA4140" s="11"/>
      <c r="AB4140" s="11"/>
      <c r="AC4140" s="105"/>
      <c r="AD4140" s="11" t="b">
        <v>0</v>
      </c>
      <c r="AE4140" s="105"/>
      <c r="AF4140" s="11"/>
      <c r="AG4140" s="11"/>
      <c r="AH4140" s="11"/>
      <c r="AI4140" s="11"/>
    </row>
    <row r="4141" ht="12.5" spans="3:35">
      <c r="C4141" s="19"/>
      <c r="D4141" s="19"/>
      <c r="H4141" s="105"/>
      <c r="I4141" s="126"/>
      <c r="J4141" s="11"/>
      <c r="K4141" s="108"/>
      <c r="L4141" s="11"/>
      <c r="M4141" s="105"/>
      <c r="N4141" s="105"/>
      <c r="O4141" s="11"/>
      <c r="P4141" s="11"/>
      <c r="Q4141" s="105"/>
      <c r="R4141" s="105"/>
      <c r="S4141" s="105"/>
      <c r="T4141" s="105"/>
      <c r="U4141" s="105"/>
      <c r="V4141" s="105"/>
      <c r="W4141" s="105"/>
      <c r="X4141" s="11"/>
      <c r="Y4141" s="11"/>
      <c r="Z4141" s="105"/>
      <c r="AA4141" s="11"/>
      <c r="AB4141" s="11"/>
      <c r="AC4141" s="105"/>
      <c r="AD4141" s="11" t="b">
        <v>0</v>
      </c>
      <c r="AE4141" s="105"/>
      <c r="AF4141" s="11"/>
      <c r="AG4141" s="11"/>
      <c r="AH4141" s="11"/>
      <c r="AI4141" s="11"/>
    </row>
    <row r="4142" ht="12.5" spans="3:35">
      <c r="C4142" s="19"/>
      <c r="D4142" s="19"/>
      <c r="H4142" s="105"/>
      <c r="I4142" s="126"/>
      <c r="J4142" s="11"/>
      <c r="K4142" s="108"/>
      <c r="L4142" s="11"/>
      <c r="M4142" s="105"/>
      <c r="N4142" s="105"/>
      <c r="O4142" s="11"/>
      <c r="P4142" s="11"/>
      <c r="Q4142" s="105"/>
      <c r="R4142" s="105"/>
      <c r="S4142" s="105"/>
      <c r="T4142" s="105"/>
      <c r="U4142" s="105"/>
      <c r="V4142" s="105"/>
      <c r="W4142" s="105"/>
      <c r="X4142" s="11"/>
      <c r="Y4142" s="11"/>
      <c r="Z4142" s="105"/>
      <c r="AA4142" s="11"/>
      <c r="AB4142" s="11"/>
      <c r="AC4142" s="105"/>
      <c r="AD4142" s="11" t="b">
        <v>0</v>
      </c>
      <c r="AE4142" s="105"/>
      <c r="AF4142" s="11"/>
      <c r="AG4142" s="11"/>
      <c r="AH4142" s="11"/>
      <c r="AI4142" s="11"/>
    </row>
    <row r="4143" ht="12.5" spans="3:35">
      <c r="C4143" s="19"/>
      <c r="D4143" s="19"/>
      <c r="H4143" s="105"/>
      <c r="I4143" s="126"/>
      <c r="J4143" s="11"/>
      <c r="K4143" s="108"/>
      <c r="L4143" s="11"/>
      <c r="M4143" s="105"/>
      <c r="N4143" s="105"/>
      <c r="O4143" s="11"/>
      <c r="P4143" s="11"/>
      <c r="Q4143" s="105"/>
      <c r="R4143" s="105"/>
      <c r="S4143" s="105"/>
      <c r="T4143" s="105"/>
      <c r="U4143" s="105"/>
      <c r="V4143" s="105"/>
      <c r="W4143" s="105"/>
      <c r="X4143" s="11"/>
      <c r="Y4143" s="11"/>
      <c r="Z4143" s="105"/>
      <c r="AA4143" s="11"/>
      <c r="AB4143" s="11"/>
      <c r="AC4143" s="105"/>
      <c r="AD4143" s="11" t="b">
        <v>0</v>
      </c>
      <c r="AE4143" s="105"/>
      <c r="AF4143" s="11"/>
      <c r="AG4143" s="11"/>
      <c r="AH4143" s="11"/>
      <c r="AI4143" s="11"/>
    </row>
    <row r="4144" ht="12.5" spans="3:35">
      <c r="C4144" s="19"/>
      <c r="D4144" s="19"/>
      <c r="H4144" s="105"/>
      <c r="I4144" s="126"/>
      <c r="J4144" s="11"/>
      <c r="K4144" s="108"/>
      <c r="L4144" s="11"/>
      <c r="M4144" s="105"/>
      <c r="N4144" s="105"/>
      <c r="O4144" s="11"/>
      <c r="P4144" s="11"/>
      <c r="Q4144" s="105"/>
      <c r="R4144" s="105"/>
      <c r="S4144" s="105"/>
      <c r="T4144" s="105"/>
      <c r="U4144" s="105"/>
      <c r="V4144" s="105"/>
      <c r="W4144" s="105"/>
      <c r="X4144" s="11"/>
      <c r="Y4144" s="11"/>
      <c r="Z4144" s="105"/>
      <c r="AA4144" s="11"/>
      <c r="AB4144" s="11"/>
      <c r="AC4144" s="105"/>
      <c r="AD4144" s="11" t="b">
        <v>0</v>
      </c>
      <c r="AE4144" s="105"/>
      <c r="AF4144" s="11"/>
      <c r="AG4144" s="11"/>
      <c r="AH4144" s="11"/>
      <c r="AI4144" s="11"/>
    </row>
    <row r="4145" ht="12.5" spans="3:35">
      <c r="C4145" s="19"/>
      <c r="D4145" s="19"/>
      <c r="H4145" s="105"/>
      <c r="I4145" s="126"/>
      <c r="J4145" s="11"/>
      <c r="K4145" s="108"/>
      <c r="L4145" s="11"/>
      <c r="M4145" s="105"/>
      <c r="N4145" s="105"/>
      <c r="O4145" s="11"/>
      <c r="P4145" s="11"/>
      <c r="Q4145" s="105"/>
      <c r="R4145" s="105"/>
      <c r="S4145" s="105"/>
      <c r="T4145" s="105"/>
      <c r="U4145" s="105"/>
      <c r="V4145" s="105"/>
      <c r="W4145" s="105"/>
      <c r="X4145" s="11"/>
      <c r="Y4145" s="11"/>
      <c r="Z4145" s="105"/>
      <c r="AA4145" s="11"/>
      <c r="AB4145" s="11"/>
      <c r="AC4145" s="105"/>
      <c r="AD4145" s="11" t="b">
        <v>0</v>
      </c>
      <c r="AE4145" s="105"/>
      <c r="AF4145" s="11"/>
      <c r="AG4145" s="11"/>
      <c r="AH4145" s="11"/>
      <c r="AI4145" s="11"/>
    </row>
    <row r="4146" ht="12.5" spans="3:35">
      <c r="C4146" s="19"/>
      <c r="D4146" s="19"/>
      <c r="H4146" s="105"/>
      <c r="I4146" s="126"/>
      <c r="J4146" s="11"/>
      <c r="K4146" s="108"/>
      <c r="L4146" s="11"/>
      <c r="M4146" s="105"/>
      <c r="N4146" s="105"/>
      <c r="O4146" s="11"/>
      <c r="P4146" s="11"/>
      <c r="Q4146" s="105"/>
      <c r="R4146" s="105"/>
      <c r="S4146" s="105"/>
      <c r="T4146" s="105"/>
      <c r="U4146" s="105"/>
      <c r="V4146" s="105"/>
      <c r="W4146" s="105"/>
      <c r="X4146" s="11"/>
      <c r="Y4146" s="11"/>
      <c r="Z4146" s="105"/>
      <c r="AA4146" s="11"/>
      <c r="AB4146" s="11"/>
      <c r="AC4146" s="105"/>
      <c r="AD4146" s="11" t="b">
        <v>0</v>
      </c>
      <c r="AE4146" s="105"/>
      <c r="AF4146" s="11"/>
      <c r="AG4146" s="11"/>
      <c r="AH4146" s="11"/>
      <c r="AI4146" s="11"/>
    </row>
    <row r="4147" ht="12.5" spans="3:35">
      <c r="C4147" s="19"/>
      <c r="D4147" s="19"/>
      <c r="H4147" s="105"/>
      <c r="I4147" s="126"/>
      <c r="J4147" s="11"/>
      <c r="K4147" s="108"/>
      <c r="L4147" s="11"/>
      <c r="M4147" s="105"/>
      <c r="N4147" s="105"/>
      <c r="O4147" s="11"/>
      <c r="P4147" s="11"/>
      <c r="Q4147" s="105"/>
      <c r="R4147" s="105"/>
      <c r="S4147" s="105"/>
      <c r="T4147" s="105"/>
      <c r="U4147" s="105"/>
      <c r="V4147" s="105"/>
      <c r="W4147" s="105"/>
      <c r="X4147" s="11"/>
      <c r="Y4147" s="11"/>
      <c r="Z4147" s="105"/>
      <c r="AA4147" s="11"/>
      <c r="AB4147" s="11"/>
      <c r="AC4147" s="105"/>
      <c r="AD4147" s="11" t="b">
        <v>0</v>
      </c>
      <c r="AE4147" s="105"/>
      <c r="AF4147" s="11"/>
      <c r="AG4147" s="11"/>
      <c r="AH4147" s="11"/>
      <c r="AI4147" s="11"/>
    </row>
    <row r="4148" ht="12.5" spans="3:35">
      <c r="C4148" s="19"/>
      <c r="D4148" s="19"/>
      <c r="H4148" s="105"/>
      <c r="I4148" s="126"/>
      <c r="J4148" s="11"/>
      <c r="K4148" s="108"/>
      <c r="L4148" s="11"/>
      <c r="M4148" s="105"/>
      <c r="N4148" s="105"/>
      <c r="O4148" s="11"/>
      <c r="P4148" s="11"/>
      <c r="Q4148" s="105"/>
      <c r="R4148" s="105"/>
      <c r="S4148" s="105"/>
      <c r="T4148" s="105"/>
      <c r="U4148" s="105"/>
      <c r="V4148" s="105"/>
      <c r="W4148" s="105"/>
      <c r="X4148" s="11"/>
      <c r="Y4148" s="11"/>
      <c r="Z4148" s="105"/>
      <c r="AA4148" s="11"/>
      <c r="AB4148" s="11"/>
      <c r="AC4148" s="105"/>
      <c r="AD4148" s="11" t="b">
        <v>0</v>
      </c>
      <c r="AE4148" s="105"/>
      <c r="AF4148" s="11"/>
      <c r="AG4148" s="11"/>
      <c r="AH4148" s="11"/>
      <c r="AI4148" s="11"/>
    </row>
    <row r="4149" ht="12.5" spans="3:35">
      <c r="C4149" s="19"/>
      <c r="D4149" s="19"/>
      <c r="H4149" s="105"/>
      <c r="I4149" s="126"/>
      <c r="J4149" s="11"/>
      <c r="K4149" s="108"/>
      <c r="L4149" s="11"/>
      <c r="M4149" s="105"/>
      <c r="N4149" s="105"/>
      <c r="O4149" s="11"/>
      <c r="P4149" s="11"/>
      <c r="Q4149" s="105"/>
      <c r="R4149" s="105"/>
      <c r="S4149" s="105"/>
      <c r="T4149" s="105"/>
      <c r="U4149" s="105"/>
      <c r="V4149" s="105"/>
      <c r="W4149" s="105"/>
      <c r="X4149" s="11"/>
      <c r="Y4149" s="11"/>
      <c r="Z4149" s="105"/>
      <c r="AA4149" s="11"/>
      <c r="AB4149" s="11"/>
      <c r="AC4149" s="105"/>
      <c r="AD4149" s="11" t="b">
        <v>0</v>
      </c>
      <c r="AE4149" s="105"/>
      <c r="AF4149" s="11"/>
      <c r="AG4149" s="11"/>
      <c r="AH4149" s="11"/>
      <c r="AI4149" s="11"/>
    </row>
    <row r="4150" ht="12.5" spans="3:35">
      <c r="C4150" s="19"/>
      <c r="D4150" s="19"/>
      <c r="H4150" s="105"/>
      <c r="I4150" s="126"/>
      <c r="J4150" s="11"/>
      <c r="K4150" s="108"/>
      <c r="L4150" s="11"/>
      <c r="M4150" s="105"/>
      <c r="N4150" s="105"/>
      <c r="O4150" s="11"/>
      <c r="P4150" s="11"/>
      <c r="Q4150" s="105"/>
      <c r="R4150" s="105"/>
      <c r="S4150" s="105"/>
      <c r="T4150" s="105"/>
      <c r="U4150" s="105"/>
      <c r="V4150" s="105"/>
      <c r="W4150" s="105"/>
      <c r="X4150" s="11"/>
      <c r="Y4150" s="11"/>
      <c r="Z4150" s="105"/>
      <c r="AA4150" s="11"/>
      <c r="AB4150" s="11"/>
      <c r="AC4150" s="105"/>
      <c r="AD4150" s="11" t="b">
        <v>0</v>
      </c>
      <c r="AE4150" s="105"/>
      <c r="AF4150" s="11"/>
      <c r="AG4150" s="11"/>
      <c r="AH4150" s="11"/>
      <c r="AI4150" s="11"/>
    </row>
    <row r="4151" ht="12.5" spans="3:35">
      <c r="C4151" s="19"/>
      <c r="D4151" s="19"/>
      <c r="H4151" s="105"/>
      <c r="I4151" s="126"/>
      <c r="J4151" s="11"/>
      <c r="K4151" s="108"/>
      <c r="L4151" s="11"/>
      <c r="M4151" s="105"/>
      <c r="N4151" s="105"/>
      <c r="O4151" s="11"/>
      <c r="P4151" s="11"/>
      <c r="Q4151" s="105"/>
      <c r="R4151" s="105"/>
      <c r="S4151" s="105"/>
      <c r="T4151" s="105"/>
      <c r="U4151" s="105"/>
      <c r="V4151" s="105"/>
      <c r="W4151" s="105"/>
      <c r="X4151" s="11"/>
      <c r="Y4151" s="11"/>
      <c r="Z4151" s="105"/>
      <c r="AA4151" s="11"/>
      <c r="AB4151" s="11"/>
      <c r="AC4151" s="105"/>
      <c r="AD4151" s="11" t="b">
        <v>0</v>
      </c>
      <c r="AE4151" s="105"/>
      <c r="AF4151" s="11"/>
      <c r="AG4151" s="11"/>
      <c r="AH4151" s="11"/>
      <c r="AI4151" s="11"/>
    </row>
    <row r="4152" ht="12.5" spans="3:35">
      <c r="C4152" s="19"/>
      <c r="D4152" s="19"/>
      <c r="H4152" s="105"/>
      <c r="I4152" s="126"/>
      <c r="J4152" s="11"/>
      <c r="K4152" s="108"/>
      <c r="L4152" s="11"/>
      <c r="M4152" s="105"/>
      <c r="N4152" s="105"/>
      <c r="O4152" s="11"/>
      <c r="P4152" s="11"/>
      <c r="Q4152" s="105"/>
      <c r="R4152" s="105"/>
      <c r="S4152" s="105"/>
      <c r="T4152" s="105"/>
      <c r="U4152" s="105"/>
      <c r="V4152" s="105"/>
      <c r="W4152" s="105"/>
      <c r="X4152" s="11"/>
      <c r="Y4152" s="11"/>
      <c r="Z4152" s="105"/>
      <c r="AA4152" s="11"/>
      <c r="AB4152" s="11"/>
      <c r="AC4152" s="105"/>
      <c r="AD4152" s="11" t="b">
        <v>0</v>
      </c>
      <c r="AE4152" s="105"/>
      <c r="AF4152" s="11"/>
      <c r="AG4152" s="11"/>
      <c r="AH4152" s="11"/>
      <c r="AI4152" s="11"/>
    </row>
    <row r="4153" ht="12.5" spans="3:35">
      <c r="C4153" s="19"/>
      <c r="D4153" s="19"/>
      <c r="H4153" s="105"/>
      <c r="I4153" s="126"/>
      <c r="J4153" s="11"/>
      <c r="K4153" s="108"/>
      <c r="L4153" s="11"/>
      <c r="M4153" s="105"/>
      <c r="N4153" s="105"/>
      <c r="O4153" s="11"/>
      <c r="P4153" s="11"/>
      <c r="Q4153" s="105"/>
      <c r="R4153" s="105"/>
      <c r="S4153" s="105"/>
      <c r="T4153" s="105"/>
      <c r="U4153" s="105"/>
      <c r="V4153" s="105"/>
      <c r="W4153" s="105"/>
      <c r="X4153" s="11"/>
      <c r="Y4153" s="11"/>
      <c r="Z4153" s="105"/>
      <c r="AA4153" s="11"/>
      <c r="AB4153" s="11"/>
      <c r="AC4153" s="105"/>
      <c r="AD4153" s="11" t="b">
        <v>0</v>
      </c>
      <c r="AE4153" s="105"/>
      <c r="AF4153" s="11"/>
      <c r="AG4153" s="11"/>
      <c r="AH4153" s="11"/>
      <c r="AI4153" s="11"/>
    </row>
    <row r="4154" ht="12.5" spans="3:35">
      <c r="C4154" s="19"/>
      <c r="D4154" s="19"/>
      <c r="H4154" s="105"/>
      <c r="I4154" s="126"/>
      <c r="J4154" s="11"/>
      <c r="K4154" s="108"/>
      <c r="L4154" s="11"/>
      <c r="M4154" s="105"/>
      <c r="N4154" s="105"/>
      <c r="O4154" s="11"/>
      <c r="P4154" s="11"/>
      <c r="Q4154" s="105"/>
      <c r="R4154" s="105"/>
      <c r="S4154" s="105"/>
      <c r="T4154" s="105"/>
      <c r="U4154" s="105"/>
      <c r="V4154" s="105"/>
      <c r="W4154" s="105"/>
      <c r="X4154" s="11"/>
      <c r="Y4154" s="11"/>
      <c r="Z4154" s="105"/>
      <c r="AA4154" s="11"/>
      <c r="AB4154" s="11"/>
      <c r="AC4154" s="105"/>
      <c r="AD4154" s="11" t="b">
        <v>0</v>
      </c>
      <c r="AE4154" s="105"/>
      <c r="AF4154" s="11"/>
      <c r="AG4154" s="11"/>
      <c r="AH4154" s="11"/>
      <c r="AI4154" s="11"/>
    </row>
    <row r="4155" ht="12.5" spans="3:35">
      <c r="C4155" s="19"/>
      <c r="D4155" s="19"/>
      <c r="H4155" s="105"/>
      <c r="I4155" s="126"/>
      <c r="J4155" s="11"/>
      <c r="K4155" s="108"/>
      <c r="L4155" s="11"/>
      <c r="M4155" s="105"/>
      <c r="N4155" s="105"/>
      <c r="O4155" s="11"/>
      <c r="P4155" s="11"/>
      <c r="Q4155" s="105"/>
      <c r="R4155" s="105"/>
      <c r="S4155" s="105"/>
      <c r="T4155" s="105"/>
      <c r="U4155" s="105"/>
      <c r="V4155" s="105"/>
      <c r="W4155" s="105"/>
      <c r="X4155" s="11"/>
      <c r="Y4155" s="11"/>
      <c r="Z4155" s="105"/>
      <c r="AA4155" s="11"/>
      <c r="AB4155" s="11"/>
      <c r="AC4155" s="105"/>
      <c r="AD4155" s="11" t="b">
        <v>0</v>
      </c>
      <c r="AE4155" s="105"/>
      <c r="AF4155" s="11"/>
      <c r="AG4155" s="11"/>
      <c r="AH4155" s="11"/>
      <c r="AI4155" s="11"/>
    </row>
    <row r="4156" ht="12.5" spans="3:35">
      <c r="C4156" s="19"/>
      <c r="D4156" s="19"/>
      <c r="H4156" s="105"/>
      <c r="I4156" s="126"/>
      <c r="J4156" s="11"/>
      <c r="K4156" s="108"/>
      <c r="L4156" s="11"/>
      <c r="M4156" s="105"/>
      <c r="N4156" s="105"/>
      <c r="O4156" s="11"/>
      <c r="P4156" s="11"/>
      <c r="Q4156" s="105"/>
      <c r="R4156" s="105"/>
      <c r="S4156" s="105"/>
      <c r="T4156" s="105"/>
      <c r="U4156" s="105"/>
      <c r="V4156" s="105"/>
      <c r="W4156" s="105"/>
      <c r="X4156" s="11"/>
      <c r="Y4156" s="11"/>
      <c r="Z4156" s="105"/>
      <c r="AA4156" s="11"/>
      <c r="AB4156" s="11"/>
      <c r="AC4156" s="105"/>
      <c r="AD4156" s="11" t="b">
        <v>0</v>
      </c>
      <c r="AE4156" s="105"/>
      <c r="AF4156" s="11"/>
      <c r="AG4156" s="11"/>
      <c r="AH4156" s="11"/>
      <c r="AI4156" s="11"/>
    </row>
    <row r="4157" ht="12.5" spans="3:35">
      <c r="C4157" s="19"/>
      <c r="D4157" s="19"/>
      <c r="H4157" s="105"/>
      <c r="I4157" s="126"/>
      <c r="J4157" s="11"/>
      <c r="K4157" s="108"/>
      <c r="L4157" s="11"/>
      <c r="M4157" s="105"/>
      <c r="N4157" s="105"/>
      <c r="O4157" s="11"/>
      <c r="P4157" s="11"/>
      <c r="Q4157" s="105"/>
      <c r="R4157" s="105"/>
      <c r="S4157" s="105"/>
      <c r="T4157" s="105"/>
      <c r="U4157" s="105"/>
      <c r="V4157" s="105"/>
      <c r="W4157" s="105"/>
      <c r="X4157" s="11"/>
      <c r="Y4157" s="11"/>
      <c r="Z4157" s="105"/>
      <c r="AA4157" s="11"/>
      <c r="AB4157" s="11"/>
      <c r="AC4157" s="105"/>
      <c r="AD4157" s="11" t="b">
        <v>0</v>
      </c>
      <c r="AE4157" s="105"/>
      <c r="AF4157" s="11"/>
      <c r="AG4157" s="11"/>
      <c r="AH4157" s="11"/>
      <c r="AI4157" s="11"/>
    </row>
    <row r="4158" ht="12.5" spans="3:35">
      <c r="C4158" s="19"/>
      <c r="D4158" s="19"/>
      <c r="H4158" s="105"/>
      <c r="I4158" s="126"/>
      <c r="J4158" s="11"/>
      <c r="K4158" s="108"/>
      <c r="L4158" s="11"/>
      <c r="M4158" s="105"/>
      <c r="N4158" s="105"/>
      <c r="O4158" s="11"/>
      <c r="P4158" s="11"/>
      <c r="Q4158" s="105"/>
      <c r="R4158" s="105"/>
      <c r="S4158" s="105"/>
      <c r="T4158" s="105"/>
      <c r="U4158" s="105"/>
      <c r="V4158" s="105"/>
      <c r="W4158" s="105"/>
      <c r="X4158" s="11"/>
      <c r="Y4158" s="11"/>
      <c r="Z4158" s="105"/>
      <c r="AA4158" s="11"/>
      <c r="AB4158" s="11"/>
      <c r="AC4158" s="105"/>
      <c r="AD4158" s="11" t="b">
        <v>0</v>
      </c>
      <c r="AE4158" s="105"/>
      <c r="AF4158" s="11"/>
      <c r="AG4158" s="11"/>
      <c r="AH4158" s="11"/>
      <c r="AI4158" s="11"/>
    </row>
    <row r="4159" ht="12.5" spans="3:35">
      <c r="C4159" s="19"/>
      <c r="D4159" s="19"/>
      <c r="H4159" s="105"/>
      <c r="I4159" s="126"/>
      <c r="J4159" s="11"/>
      <c r="K4159" s="108"/>
      <c r="L4159" s="11"/>
      <c r="M4159" s="105"/>
      <c r="N4159" s="105"/>
      <c r="O4159" s="11"/>
      <c r="P4159" s="11"/>
      <c r="Q4159" s="105"/>
      <c r="R4159" s="105"/>
      <c r="S4159" s="105"/>
      <c r="T4159" s="105"/>
      <c r="U4159" s="105"/>
      <c r="V4159" s="105"/>
      <c r="W4159" s="105"/>
      <c r="X4159" s="11"/>
      <c r="Y4159" s="11"/>
      <c r="Z4159" s="105"/>
      <c r="AA4159" s="11"/>
      <c r="AB4159" s="11"/>
      <c r="AC4159" s="105"/>
      <c r="AD4159" s="11" t="b">
        <v>0</v>
      </c>
      <c r="AE4159" s="105"/>
      <c r="AF4159" s="11"/>
      <c r="AG4159" s="11"/>
      <c r="AH4159" s="11"/>
      <c r="AI4159" s="11"/>
    </row>
    <row r="4160" ht="12.5" spans="3:35">
      <c r="C4160" s="19"/>
      <c r="D4160" s="19"/>
      <c r="H4160" s="105"/>
      <c r="I4160" s="126"/>
      <c r="J4160" s="11"/>
      <c r="K4160" s="108"/>
      <c r="L4160" s="11"/>
      <c r="M4160" s="105"/>
      <c r="N4160" s="105"/>
      <c r="O4160" s="11"/>
      <c r="P4160" s="11"/>
      <c r="Q4160" s="105"/>
      <c r="R4160" s="105"/>
      <c r="S4160" s="105"/>
      <c r="T4160" s="105"/>
      <c r="U4160" s="105"/>
      <c r="V4160" s="105"/>
      <c r="W4160" s="105"/>
      <c r="X4160" s="11"/>
      <c r="Y4160" s="11"/>
      <c r="Z4160" s="105"/>
      <c r="AA4160" s="11"/>
      <c r="AB4160" s="11"/>
      <c r="AC4160" s="105"/>
      <c r="AD4160" s="11" t="b">
        <v>0</v>
      </c>
      <c r="AE4160" s="105"/>
      <c r="AF4160" s="11"/>
      <c r="AG4160" s="11"/>
      <c r="AH4160" s="11"/>
      <c r="AI4160" s="11"/>
    </row>
    <row r="4161" ht="12.5" spans="3:35">
      <c r="C4161" s="19"/>
      <c r="D4161" s="19"/>
      <c r="H4161" s="105"/>
      <c r="I4161" s="126"/>
      <c r="J4161" s="11"/>
      <c r="K4161" s="108"/>
      <c r="L4161" s="11"/>
      <c r="M4161" s="105"/>
      <c r="N4161" s="105"/>
      <c r="O4161" s="11"/>
      <c r="P4161" s="11"/>
      <c r="Q4161" s="105"/>
      <c r="R4161" s="105"/>
      <c r="S4161" s="105"/>
      <c r="T4161" s="105"/>
      <c r="U4161" s="105"/>
      <c r="V4161" s="105"/>
      <c r="W4161" s="105"/>
      <c r="X4161" s="11"/>
      <c r="Y4161" s="11"/>
      <c r="Z4161" s="105"/>
      <c r="AA4161" s="11"/>
      <c r="AB4161" s="11"/>
      <c r="AC4161" s="105"/>
      <c r="AD4161" s="11" t="b">
        <v>0</v>
      </c>
      <c r="AE4161" s="105"/>
      <c r="AF4161" s="11"/>
      <c r="AG4161" s="11"/>
      <c r="AH4161" s="11"/>
      <c r="AI4161" s="11"/>
    </row>
    <row r="4162" ht="12.5" spans="3:35">
      <c r="C4162" s="19"/>
      <c r="D4162" s="19"/>
      <c r="H4162" s="105"/>
      <c r="I4162" s="126"/>
      <c r="J4162" s="11"/>
      <c r="K4162" s="108"/>
      <c r="L4162" s="11"/>
      <c r="M4162" s="105"/>
      <c r="N4162" s="105"/>
      <c r="O4162" s="11"/>
      <c r="P4162" s="11"/>
      <c r="Q4162" s="105"/>
      <c r="R4162" s="105"/>
      <c r="S4162" s="105"/>
      <c r="T4162" s="105"/>
      <c r="U4162" s="105"/>
      <c r="V4162" s="105"/>
      <c r="W4162" s="105"/>
      <c r="X4162" s="11"/>
      <c r="Y4162" s="11"/>
      <c r="Z4162" s="105"/>
      <c r="AA4162" s="11"/>
      <c r="AB4162" s="11"/>
      <c r="AC4162" s="105"/>
      <c r="AD4162" s="11" t="b">
        <v>0</v>
      </c>
      <c r="AE4162" s="105"/>
      <c r="AF4162" s="11"/>
      <c r="AG4162" s="11"/>
      <c r="AH4162" s="11"/>
      <c r="AI4162" s="11"/>
    </row>
    <row r="4163" ht="12.5" spans="3:35">
      <c r="C4163" s="19"/>
      <c r="D4163" s="19"/>
      <c r="H4163" s="105"/>
      <c r="I4163" s="126"/>
      <c r="J4163" s="11"/>
      <c r="K4163" s="108"/>
      <c r="L4163" s="11"/>
      <c r="M4163" s="105"/>
      <c r="N4163" s="105"/>
      <c r="O4163" s="11"/>
      <c r="P4163" s="11"/>
      <c r="Q4163" s="105"/>
      <c r="R4163" s="105"/>
      <c r="S4163" s="105"/>
      <c r="T4163" s="105"/>
      <c r="U4163" s="105"/>
      <c r="V4163" s="105"/>
      <c r="W4163" s="105"/>
      <c r="X4163" s="11"/>
      <c r="Y4163" s="11"/>
      <c r="Z4163" s="105"/>
      <c r="AA4163" s="11"/>
      <c r="AB4163" s="11"/>
      <c r="AC4163" s="105"/>
      <c r="AD4163" s="11" t="b">
        <v>0</v>
      </c>
      <c r="AE4163" s="105"/>
      <c r="AF4163" s="11"/>
      <c r="AG4163" s="11"/>
      <c r="AH4163" s="11"/>
      <c r="AI4163" s="11"/>
    </row>
    <row r="4164" ht="12.5" spans="3:35">
      <c r="C4164" s="19"/>
      <c r="D4164" s="19"/>
      <c r="H4164" s="105"/>
      <c r="I4164" s="126"/>
      <c r="J4164" s="11"/>
      <c r="K4164" s="108"/>
      <c r="L4164" s="11"/>
      <c r="M4164" s="105"/>
      <c r="N4164" s="105"/>
      <c r="O4164" s="11"/>
      <c r="P4164" s="11"/>
      <c r="Q4164" s="105"/>
      <c r="R4164" s="105"/>
      <c r="S4164" s="105"/>
      <c r="T4164" s="105"/>
      <c r="U4164" s="105"/>
      <c r="V4164" s="105"/>
      <c r="W4164" s="105"/>
      <c r="X4164" s="11"/>
      <c r="Y4164" s="11"/>
      <c r="Z4164" s="105"/>
      <c r="AA4164" s="11"/>
      <c r="AB4164" s="11"/>
      <c r="AC4164" s="105"/>
      <c r="AD4164" s="11" t="b">
        <v>0</v>
      </c>
      <c r="AE4164" s="105"/>
      <c r="AF4164" s="11"/>
      <c r="AG4164" s="11"/>
      <c r="AH4164" s="11"/>
      <c r="AI4164" s="11"/>
    </row>
    <row r="4165" ht="12.5" spans="3:35">
      <c r="C4165" s="19"/>
      <c r="D4165" s="19"/>
      <c r="H4165" s="105"/>
      <c r="I4165" s="126"/>
      <c r="J4165" s="11"/>
      <c r="K4165" s="108"/>
      <c r="L4165" s="11"/>
      <c r="M4165" s="105"/>
      <c r="N4165" s="105"/>
      <c r="O4165" s="11"/>
      <c r="P4165" s="11"/>
      <c r="Q4165" s="105"/>
      <c r="R4165" s="105"/>
      <c r="S4165" s="105"/>
      <c r="T4165" s="105"/>
      <c r="U4165" s="105"/>
      <c r="V4165" s="105"/>
      <c r="W4165" s="105"/>
      <c r="X4165" s="11"/>
      <c r="Y4165" s="11"/>
      <c r="Z4165" s="105"/>
      <c r="AA4165" s="11"/>
      <c r="AB4165" s="11"/>
      <c r="AC4165" s="105"/>
      <c r="AD4165" s="11" t="b">
        <v>0</v>
      </c>
      <c r="AE4165" s="105"/>
      <c r="AF4165" s="11"/>
      <c r="AG4165" s="11"/>
      <c r="AH4165" s="11"/>
      <c r="AI4165" s="11"/>
    </row>
    <row r="4166" ht="12.5" spans="3:35">
      <c r="C4166" s="19"/>
      <c r="D4166" s="19"/>
      <c r="H4166" s="105"/>
      <c r="I4166" s="126"/>
      <c r="J4166" s="11"/>
      <c r="K4166" s="108"/>
      <c r="L4166" s="11"/>
      <c r="M4166" s="105"/>
      <c r="N4166" s="105"/>
      <c r="O4166" s="11"/>
      <c r="P4166" s="11"/>
      <c r="Q4166" s="105"/>
      <c r="R4166" s="105"/>
      <c r="S4166" s="105"/>
      <c r="T4166" s="105"/>
      <c r="U4166" s="105"/>
      <c r="V4166" s="105"/>
      <c r="W4166" s="105"/>
      <c r="X4166" s="11"/>
      <c r="Y4166" s="11"/>
      <c r="Z4166" s="105"/>
      <c r="AA4166" s="11"/>
      <c r="AB4166" s="11"/>
      <c r="AC4166" s="105"/>
      <c r="AD4166" s="11" t="b">
        <v>0</v>
      </c>
      <c r="AE4166" s="105"/>
      <c r="AF4166" s="11"/>
      <c r="AG4166" s="11"/>
      <c r="AH4166" s="11"/>
      <c r="AI4166" s="11"/>
    </row>
    <row r="4167" ht="12.5" spans="3:35">
      <c r="C4167" s="19"/>
      <c r="D4167" s="19"/>
      <c r="H4167" s="105"/>
      <c r="I4167" s="126"/>
      <c r="J4167" s="11"/>
      <c r="K4167" s="108"/>
      <c r="L4167" s="11"/>
      <c r="M4167" s="105"/>
      <c r="N4167" s="105"/>
      <c r="O4167" s="11"/>
      <c r="P4167" s="11"/>
      <c r="Q4167" s="105"/>
      <c r="R4167" s="105"/>
      <c r="S4167" s="105"/>
      <c r="T4167" s="105"/>
      <c r="U4167" s="105"/>
      <c r="V4167" s="105"/>
      <c r="W4167" s="105"/>
      <c r="X4167" s="11"/>
      <c r="Y4167" s="11"/>
      <c r="Z4167" s="105"/>
      <c r="AA4167" s="11"/>
      <c r="AB4167" s="11"/>
      <c r="AC4167" s="105"/>
      <c r="AD4167" s="11" t="b">
        <v>0</v>
      </c>
      <c r="AE4167" s="105"/>
      <c r="AF4167" s="11"/>
      <c r="AG4167" s="11"/>
      <c r="AH4167" s="11"/>
      <c r="AI4167" s="11"/>
    </row>
    <row r="4168" ht="12.5" spans="3:35">
      <c r="C4168" s="19"/>
      <c r="D4168" s="19"/>
      <c r="H4168" s="105"/>
      <c r="I4168" s="126"/>
      <c r="J4168" s="11"/>
      <c r="K4168" s="108"/>
      <c r="L4168" s="11"/>
      <c r="M4168" s="105"/>
      <c r="N4168" s="105"/>
      <c r="O4168" s="11"/>
      <c r="P4168" s="11"/>
      <c r="Q4168" s="105"/>
      <c r="R4168" s="105"/>
      <c r="S4168" s="105"/>
      <c r="T4168" s="105"/>
      <c r="U4168" s="105"/>
      <c r="V4168" s="105"/>
      <c r="W4168" s="105"/>
      <c r="X4168" s="11"/>
      <c r="Y4168" s="11"/>
      <c r="Z4168" s="105"/>
      <c r="AA4168" s="11"/>
      <c r="AB4168" s="11"/>
      <c r="AC4168" s="105"/>
      <c r="AD4168" s="11" t="b">
        <v>0</v>
      </c>
      <c r="AE4168" s="105"/>
      <c r="AF4168" s="11"/>
      <c r="AG4168" s="11"/>
      <c r="AH4168" s="11"/>
      <c r="AI4168" s="11"/>
    </row>
    <row r="4169" ht="12.5" spans="3:35">
      <c r="C4169" s="19"/>
      <c r="D4169" s="19"/>
      <c r="H4169" s="105"/>
      <c r="I4169" s="126"/>
      <c r="J4169" s="11"/>
      <c r="K4169" s="108"/>
      <c r="L4169" s="11"/>
      <c r="M4169" s="105"/>
      <c r="N4169" s="105"/>
      <c r="O4169" s="11"/>
      <c r="P4169" s="11"/>
      <c r="Q4169" s="105"/>
      <c r="R4169" s="105"/>
      <c r="S4169" s="105"/>
      <c r="T4169" s="105"/>
      <c r="U4169" s="105"/>
      <c r="V4169" s="105"/>
      <c r="W4169" s="105"/>
      <c r="X4169" s="11"/>
      <c r="Y4169" s="11"/>
      <c r="Z4169" s="105"/>
      <c r="AA4169" s="11"/>
      <c r="AB4169" s="11"/>
      <c r="AC4169" s="105"/>
      <c r="AD4169" s="11" t="b">
        <v>0</v>
      </c>
      <c r="AE4169" s="105"/>
      <c r="AF4169" s="11"/>
      <c r="AG4169" s="11"/>
      <c r="AH4169" s="11"/>
      <c r="AI4169" s="11"/>
    </row>
    <row r="4170" ht="12.5" spans="3:35">
      <c r="C4170" s="19"/>
      <c r="D4170" s="19"/>
      <c r="H4170" s="105"/>
      <c r="I4170" s="126"/>
      <c r="J4170" s="11"/>
      <c r="K4170" s="108"/>
      <c r="L4170" s="11"/>
      <c r="M4170" s="105"/>
      <c r="N4170" s="105"/>
      <c r="O4170" s="11"/>
      <c r="P4170" s="11"/>
      <c r="Q4170" s="105"/>
      <c r="R4170" s="105"/>
      <c r="S4170" s="105"/>
      <c r="T4170" s="105"/>
      <c r="U4170" s="105"/>
      <c r="V4170" s="105"/>
      <c r="W4170" s="105"/>
      <c r="X4170" s="11"/>
      <c r="Y4170" s="11"/>
      <c r="Z4170" s="105"/>
      <c r="AA4170" s="11"/>
      <c r="AB4170" s="11"/>
      <c r="AC4170" s="105"/>
      <c r="AD4170" s="11" t="b">
        <v>0</v>
      </c>
      <c r="AE4170" s="105"/>
      <c r="AF4170" s="11"/>
      <c r="AG4170" s="11"/>
      <c r="AH4170" s="11"/>
      <c r="AI4170" s="11"/>
    </row>
    <row r="4171" ht="12.5" spans="3:35">
      <c r="C4171" s="19"/>
      <c r="D4171" s="19"/>
      <c r="H4171" s="105"/>
      <c r="I4171" s="126"/>
      <c r="J4171" s="11"/>
      <c r="K4171" s="108"/>
      <c r="L4171" s="11"/>
      <c r="M4171" s="105"/>
      <c r="N4171" s="105"/>
      <c r="O4171" s="11"/>
      <c r="P4171" s="11"/>
      <c r="Q4171" s="105"/>
      <c r="R4171" s="105"/>
      <c r="S4171" s="105"/>
      <c r="T4171" s="105"/>
      <c r="U4171" s="105"/>
      <c r="V4171" s="105"/>
      <c r="W4171" s="105"/>
      <c r="X4171" s="11"/>
      <c r="Y4171" s="11"/>
      <c r="Z4171" s="105"/>
      <c r="AA4171" s="11"/>
      <c r="AB4171" s="11"/>
      <c r="AC4171" s="105"/>
      <c r="AD4171" s="11" t="b">
        <v>0</v>
      </c>
      <c r="AE4171" s="105"/>
      <c r="AF4171" s="11"/>
      <c r="AG4171" s="11"/>
      <c r="AH4171" s="11"/>
      <c r="AI4171" s="11"/>
    </row>
    <row r="4172" ht="12.5" spans="3:35">
      <c r="C4172" s="19"/>
      <c r="D4172" s="19"/>
      <c r="H4172" s="105"/>
      <c r="I4172" s="126"/>
      <c r="J4172" s="11"/>
      <c r="K4172" s="108"/>
      <c r="L4172" s="11"/>
      <c r="M4172" s="105"/>
      <c r="N4172" s="105"/>
      <c r="O4172" s="11"/>
      <c r="P4172" s="11"/>
      <c r="Q4172" s="105"/>
      <c r="R4172" s="105"/>
      <c r="S4172" s="105"/>
      <c r="T4172" s="105"/>
      <c r="U4172" s="105"/>
      <c r="V4172" s="105"/>
      <c r="W4172" s="105"/>
      <c r="X4172" s="11"/>
      <c r="Y4172" s="11"/>
      <c r="Z4172" s="105"/>
      <c r="AA4172" s="11"/>
      <c r="AB4172" s="11"/>
      <c r="AC4172" s="105"/>
      <c r="AD4172" s="11" t="b">
        <v>0</v>
      </c>
      <c r="AE4172" s="105"/>
      <c r="AF4172" s="11"/>
      <c r="AG4172" s="11"/>
      <c r="AH4172" s="11"/>
      <c r="AI4172" s="11"/>
    </row>
    <row r="4173" ht="12.5" spans="3:35">
      <c r="C4173" s="19"/>
      <c r="D4173" s="19"/>
      <c r="H4173" s="105"/>
      <c r="I4173" s="126"/>
      <c r="J4173" s="11"/>
      <c r="K4173" s="108"/>
      <c r="L4173" s="11"/>
      <c r="M4173" s="105"/>
      <c r="N4173" s="105"/>
      <c r="O4173" s="11"/>
      <c r="P4173" s="11"/>
      <c r="Q4173" s="105"/>
      <c r="R4173" s="105"/>
      <c r="S4173" s="105"/>
      <c r="T4173" s="105"/>
      <c r="U4173" s="105"/>
      <c r="V4173" s="105"/>
      <c r="W4173" s="105"/>
      <c r="X4173" s="11"/>
      <c r="Y4173" s="11"/>
      <c r="Z4173" s="105"/>
      <c r="AA4173" s="11"/>
      <c r="AB4173" s="11"/>
      <c r="AC4173" s="105"/>
      <c r="AD4173" s="11" t="b">
        <v>0</v>
      </c>
      <c r="AE4173" s="105"/>
      <c r="AF4173" s="11"/>
      <c r="AG4173" s="11"/>
      <c r="AH4173" s="11"/>
      <c r="AI4173" s="11"/>
    </row>
    <row r="4174" ht="12.5" spans="3:35">
      <c r="C4174" s="19"/>
      <c r="D4174" s="19"/>
      <c r="H4174" s="105"/>
      <c r="I4174" s="126"/>
      <c r="J4174" s="11"/>
      <c r="K4174" s="108"/>
      <c r="L4174" s="11"/>
      <c r="M4174" s="105"/>
      <c r="N4174" s="105"/>
      <c r="O4174" s="11"/>
      <c r="P4174" s="11"/>
      <c r="Q4174" s="105"/>
      <c r="R4174" s="105"/>
      <c r="S4174" s="105"/>
      <c r="T4174" s="105"/>
      <c r="U4174" s="105"/>
      <c r="V4174" s="105"/>
      <c r="W4174" s="105"/>
      <c r="X4174" s="11"/>
      <c r="Y4174" s="11"/>
      <c r="Z4174" s="105"/>
      <c r="AA4174" s="11"/>
      <c r="AB4174" s="11"/>
      <c r="AC4174" s="105"/>
      <c r="AD4174" s="11" t="b">
        <v>0</v>
      </c>
      <c r="AE4174" s="105"/>
      <c r="AF4174" s="11"/>
      <c r="AG4174" s="11"/>
      <c r="AH4174" s="11"/>
      <c r="AI4174" s="11"/>
    </row>
    <row r="4175" ht="12.5" spans="3:35">
      <c r="C4175" s="19"/>
      <c r="D4175" s="19"/>
      <c r="H4175" s="105"/>
      <c r="I4175" s="126"/>
      <c r="J4175" s="11"/>
      <c r="K4175" s="108"/>
      <c r="L4175" s="11"/>
      <c r="M4175" s="105"/>
      <c r="N4175" s="105"/>
      <c r="O4175" s="11"/>
      <c r="P4175" s="11"/>
      <c r="Q4175" s="105"/>
      <c r="R4175" s="105"/>
      <c r="S4175" s="105"/>
      <c r="T4175" s="105"/>
      <c r="U4175" s="105"/>
      <c r="V4175" s="105"/>
      <c r="W4175" s="105"/>
      <c r="X4175" s="11"/>
      <c r="Y4175" s="11"/>
      <c r="Z4175" s="105"/>
      <c r="AA4175" s="11"/>
      <c r="AB4175" s="11"/>
      <c r="AC4175" s="105"/>
      <c r="AD4175" s="11" t="b">
        <v>0</v>
      </c>
      <c r="AE4175" s="105"/>
      <c r="AF4175" s="11"/>
      <c r="AG4175" s="11"/>
      <c r="AH4175" s="11"/>
      <c r="AI4175" s="11"/>
    </row>
    <row r="4176" ht="12.5" spans="3:35">
      <c r="C4176" s="19"/>
      <c r="D4176" s="19"/>
      <c r="H4176" s="105"/>
      <c r="I4176" s="126"/>
      <c r="J4176" s="11"/>
      <c r="K4176" s="108"/>
      <c r="L4176" s="11"/>
      <c r="M4176" s="105"/>
      <c r="N4176" s="105"/>
      <c r="O4176" s="11"/>
      <c r="P4176" s="11"/>
      <c r="Q4176" s="105"/>
      <c r="R4176" s="105"/>
      <c r="S4176" s="105"/>
      <c r="T4176" s="105"/>
      <c r="U4176" s="105"/>
      <c r="V4176" s="105"/>
      <c r="W4176" s="105"/>
      <c r="X4176" s="11"/>
      <c r="Y4176" s="11"/>
      <c r="Z4176" s="105"/>
      <c r="AA4176" s="11"/>
      <c r="AB4176" s="11"/>
      <c r="AC4176" s="105"/>
      <c r="AD4176" s="11" t="b">
        <v>0</v>
      </c>
      <c r="AE4176" s="105"/>
      <c r="AF4176" s="11"/>
      <c r="AG4176" s="11"/>
      <c r="AH4176" s="11"/>
      <c r="AI4176" s="11"/>
    </row>
    <row r="4177" ht="12.5" spans="3:35">
      <c r="C4177" s="19"/>
      <c r="D4177" s="19"/>
      <c r="H4177" s="105"/>
      <c r="I4177" s="126"/>
      <c r="J4177" s="11"/>
      <c r="K4177" s="108"/>
      <c r="L4177" s="11"/>
      <c r="M4177" s="105"/>
      <c r="N4177" s="105"/>
      <c r="O4177" s="11"/>
      <c r="P4177" s="11"/>
      <c r="Q4177" s="105"/>
      <c r="R4177" s="105"/>
      <c r="S4177" s="105"/>
      <c r="T4177" s="105"/>
      <c r="U4177" s="105"/>
      <c r="V4177" s="105"/>
      <c r="W4177" s="105"/>
      <c r="X4177" s="11"/>
      <c r="Y4177" s="11"/>
      <c r="Z4177" s="105"/>
      <c r="AA4177" s="11"/>
      <c r="AB4177" s="11"/>
      <c r="AC4177" s="105"/>
      <c r="AD4177" s="11" t="b">
        <v>0</v>
      </c>
      <c r="AE4177" s="105"/>
      <c r="AF4177" s="11"/>
      <c r="AG4177" s="11"/>
      <c r="AH4177" s="11"/>
      <c r="AI4177" s="11"/>
    </row>
    <row r="4178" ht="12.5" spans="3:35">
      <c r="C4178" s="19"/>
      <c r="D4178" s="19"/>
      <c r="H4178" s="105"/>
      <c r="I4178" s="126"/>
      <c r="J4178" s="11"/>
      <c r="K4178" s="108"/>
      <c r="L4178" s="11"/>
      <c r="M4178" s="105"/>
      <c r="N4178" s="105"/>
      <c r="O4178" s="11"/>
      <c r="P4178" s="11"/>
      <c r="Q4178" s="105"/>
      <c r="R4178" s="105"/>
      <c r="S4178" s="105"/>
      <c r="T4178" s="105"/>
      <c r="U4178" s="105"/>
      <c r="V4178" s="105"/>
      <c r="W4178" s="105"/>
      <c r="X4178" s="11"/>
      <c r="Y4178" s="11"/>
      <c r="Z4178" s="105"/>
      <c r="AA4178" s="11"/>
      <c r="AB4178" s="11"/>
      <c r="AC4178" s="105"/>
      <c r="AD4178" s="11" t="b">
        <v>0</v>
      </c>
      <c r="AE4178" s="105"/>
      <c r="AF4178" s="11"/>
      <c r="AG4178" s="11"/>
      <c r="AH4178" s="11"/>
      <c r="AI4178" s="11"/>
    </row>
    <row r="4179" ht="12.5" spans="3:35">
      <c r="C4179" s="19"/>
      <c r="D4179" s="19"/>
      <c r="H4179" s="105"/>
      <c r="I4179" s="126"/>
      <c r="J4179" s="11"/>
      <c r="K4179" s="108"/>
      <c r="L4179" s="11"/>
      <c r="M4179" s="105"/>
      <c r="N4179" s="105"/>
      <c r="O4179" s="11"/>
      <c r="P4179" s="11"/>
      <c r="Q4179" s="105"/>
      <c r="R4179" s="105"/>
      <c r="S4179" s="105"/>
      <c r="T4179" s="105"/>
      <c r="U4179" s="105"/>
      <c r="V4179" s="105"/>
      <c r="W4179" s="105"/>
      <c r="X4179" s="11"/>
      <c r="Y4179" s="11"/>
      <c r="Z4179" s="105"/>
      <c r="AA4179" s="11"/>
      <c r="AB4179" s="11"/>
      <c r="AC4179" s="105"/>
      <c r="AD4179" s="11" t="b">
        <v>0</v>
      </c>
      <c r="AE4179" s="105"/>
      <c r="AF4179" s="11"/>
      <c r="AG4179" s="11"/>
      <c r="AH4179" s="11"/>
      <c r="AI4179" s="11"/>
    </row>
    <row r="4180" ht="12.5" spans="3:35">
      <c r="C4180" s="19"/>
      <c r="D4180" s="19"/>
      <c r="H4180" s="105"/>
      <c r="I4180" s="126"/>
      <c r="J4180" s="11"/>
      <c r="K4180" s="108"/>
      <c r="L4180" s="11"/>
      <c r="M4180" s="105"/>
      <c r="N4180" s="105"/>
      <c r="O4180" s="11"/>
      <c r="P4180" s="11"/>
      <c r="Q4180" s="105"/>
      <c r="R4180" s="105"/>
      <c r="S4180" s="105"/>
      <c r="T4180" s="105"/>
      <c r="U4180" s="105"/>
      <c r="V4180" s="105"/>
      <c r="W4180" s="105"/>
      <c r="X4180" s="11"/>
      <c r="Y4180" s="11"/>
      <c r="Z4180" s="105"/>
      <c r="AA4180" s="11"/>
      <c r="AB4180" s="11"/>
      <c r="AC4180" s="105"/>
      <c r="AD4180" s="11" t="b">
        <v>0</v>
      </c>
      <c r="AE4180" s="105"/>
      <c r="AF4180" s="11"/>
      <c r="AG4180" s="11"/>
      <c r="AH4180" s="11"/>
      <c r="AI4180" s="11"/>
    </row>
    <row r="4181" ht="12.5" spans="3:35">
      <c r="C4181" s="19"/>
      <c r="D4181" s="19"/>
      <c r="H4181" s="105"/>
      <c r="I4181" s="126"/>
      <c r="J4181" s="11"/>
      <c r="K4181" s="108"/>
      <c r="L4181" s="11"/>
      <c r="M4181" s="105"/>
      <c r="N4181" s="105"/>
      <c r="O4181" s="11"/>
      <c r="P4181" s="11"/>
      <c r="Q4181" s="105"/>
      <c r="R4181" s="105"/>
      <c r="S4181" s="105"/>
      <c r="T4181" s="105"/>
      <c r="U4181" s="105"/>
      <c r="V4181" s="105"/>
      <c r="W4181" s="105"/>
      <c r="X4181" s="11"/>
      <c r="Y4181" s="11"/>
      <c r="Z4181" s="105"/>
      <c r="AA4181" s="11"/>
      <c r="AB4181" s="11"/>
      <c r="AC4181" s="105"/>
      <c r="AD4181" s="11" t="b">
        <v>0</v>
      </c>
      <c r="AE4181" s="105"/>
      <c r="AF4181" s="11"/>
      <c r="AG4181" s="11"/>
      <c r="AH4181" s="11"/>
      <c r="AI4181" s="11"/>
    </row>
    <row r="4182" ht="12.5" spans="3:35">
      <c r="C4182" s="19"/>
      <c r="D4182" s="19"/>
      <c r="H4182" s="105"/>
      <c r="I4182" s="126"/>
      <c r="J4182" s="11"/>
      <c r="K4182" s="108"/>
      <c r="L4182" s="11"/>
      <c r="M4182" s="105"/>
      <c r="N4182" s="105"/>
      <c r="O4182" s="11"/>
      <c r="P4182" s="11"/>
      <c r="Q4182" s="105"/>
      <c r="R4182" s="105"/>
      <c r="S4182" s="105"/>
      <c r="T4182" s="105"/>
      <c r="U4182" s="105"/>
      <c r="V4182" s="105"/>
      <c r="W4182" s="105"/>
      <c r="X4182" s="11"/>
      <c r="Y4182" s="11"/>
      <c r="Z4182" s="105"/>
      <c r="AA4182" s="11"/>
      <c r="AB4182" s="11"/>
      <c r="AC4182" s="105"/>
      <c r="AD4182" s="11" t="b">
        <v>0</v>
      </c>
      <c r="AE4182" s="105"/>
      <c r="AF4182" s="11"/>
      <c r="AG4182" s="11"/>
      <c r="AH4182" s="11"/>
      <c r="AI4182" s="11"/>
    </row>
    <row r="4183" ht="12.5" spans="3:35">
      <c r="C4183" s="19"/>
      <c r="D4183" s="19"/>
      <c r="H4183" s="105"/>
      <c r="I4183" s="126"/>
      <c r="J4183" s="11"/>
      <c r="K4183" s="108"/>
      <c r="L4183" s="11"/>
      <c r="M4183" s="105"/>
      <c r="N4183" s="105"/>
      <c r="O4183" s="11"/>
      <c r="P4183" s="11"/>
      <c r="Q4183" s="105"/>
      <c r="R4183" s="105"/>
      <c r="S4183" s="105"/>
      <c r="T4183" s="105"/>
      <c r="U4183" s="105"/>
      <c r="V4183" s="105"/>
      <c r="W4183" s="105"/>
      <c r="X4183" s="11"/>
      <c r="Y4183" s="11"/>
      <c r="Z4183" s="105"/>
      <c r="AA4183" s="11"/>
      <c r="AB4183" s="11"/>
      <c r="AC4183" s="105"/>
      <c r="AD4183" s="11" t="b">
        <v>0</v>
      </c>
      <c r="AE4183" s="105"/>
      <c r="AF4183" s="11"/>
      <c r="AG4183" s="11"/>
      <c r="AH4183" s="11"/>
      <c r="AI4183" s="11"/>
    </row>
    <row r="4184" ht="12.5" spans="3:35">
      <c r="C4184" s="19"/>
      <c r="D4184" s="19"/>
      <c r="H4184" s="105"/>
      <c r="I4184" s="126"/>
      <c r="J4184" s="11"/>
      <c r="K4184" s="108"/>
      <c r="L4184" s="11"/>
      <c r="M4184" s="105"/>
      <c r="N4184" s="105"/>
      <c r="O4184" s="11"/>
      <c r="P4184" s="11"/>
      <c r="Q4184" s="105"/>
      <c r="R4184" s="105"/>
      <c r="S4184" s="105"/>
      <c r="T4184" s="105"/>
      <c r="U4184" s="105"/>
      <c r="V4184" s="105"/>
      <c r="W4184" s="105"/>
      <c r="X4184" s="11"/>
      <c r="Y4184" s="11"/>
      <c r="Z4184" s="105"/>
      <c r="AA4184" s="11"/>
      <c r="AB4184" s="11"/>
      <c r="AC4184" s="105"/>
      <c r="AD4184" s="11" t="b">
        <v>0</v>
      </c>
      <c r="AE4184" s="105"/>
      <c r="AF4184" s="11"/>
      <c r="AG4184" s="11"/>
      <c r="AH4184" s="11"/>
      <c r="AI4184" s="11"/>
    </row>
    <row r="4185" ht="12.5" spans="3:35">
      <c r="C4185" s="19"/>
      <c r="D4185" s="19"/>
      <c r="H4185" s="105"/>
      <c r="I4185" s="126"/>
      <c r="J4185" s="11"/>
      <c r="K4185" s="108"/>
      <c r="L4185" s="11"/>
      <c r="M4185" s="105"/>
      <c r="N4185" s="105"/>
      <c r="O4185" s="11"/>
      <c r="P4185" s="11"/>
      <c r="Q4185" s="105"/>
      <c r="R4185" s="105"/>
      <c r="S4185" s="105"/>
      <c r="T4185" s="105"/>
      <c r="U4185" s="105"/>
      <c r="V4185" s="105"/>
      <c r="W4185" s="105"/>
      <c r="X4185" s="11"/>
      <c r="Y4185" s="11"/>
      <c r="Z4185" s="105"/>
      <c r="AA4185" s="11"/>
      <c r="AB4185" s="11"/>
      <c r="AC4185" s="105"/>
      <c r="AD4185" s="11" t="b">
        <v>0</v>
      </c>
      <c r="AE4185" s="105"/>
      <c r="AF4185" s="11"/>
      <c r="AG4185" s="11"/>
      <c r="AH4185" s="11"/>
      <c r="AI4185" s="11"/>
    </row>
    <row r="4186" ht="12.5" spans="3:35">
      <c r="C4186" s="19"/>
      <c r="D4186" s="19"/>
      <c r="H4186" s="105"/>
      <c r="I4186" s="126"/>
      <c r="J4186" s="11"/>
      <c r="K4186" s="108"/>
      <c r="L4186" s="11"/>
      <c r="M4186" s="105"/>
      <c r="N4186" s="105"/>
      <c r="O4186" s="11"/>
      <c r="P4186" s="11"/>
      <c r="Q4186" s="105"/>
      <c r="R4186" s="105"/>
      <c r="S4186" s="105"/>
      <c r="T4186" s="105"/>
      <c r="U4186" s="105"/>
      <c r="V4186" s="105"/>
      <c r="W4186" s="105"/>
      <c r="X4186" s="11"/>
      <c r="Y4186" s="11"/>
      <c r="Z4186" s="105"/>
      <c r="AA4186" s="11"/>
      <c r="AB4186" s="11"/>
      <c r="AC4186" s="105"/>
      <c r="AD4186" s="11" t="b">
        <v>0</v>
      </c>
      <c r="AE4186" s="105"/>
      <c r="AF4186" s="11"/>
      <c r="AG4186" s="11"/>
      <c r="AH4186" s="11"/>
      <c r="AI4186" s="11"/>
    </row>
    <row r="4187" ht="12.5" spans="3:35">
      <c r="C4187" s="19"/>
      <c r="D4187" s="19"/>
      <c r="H4187" s="105"/>
      <c r="I4187" s="126"/>
      <c r="J4187" s="11"/>
      <c r="K4187" s="108"/>
      <c r="L4187" s="11"/>
      <c r="M4187" s="105"/>
      <c r="N4187" s="105"/>
      <c r="O4187" s="11"/>
      <c r="P4187" s="11"/>
      <c r="Q4187" s="105"/>
      <c r="R4187" s="105"/>
      <c r="S4187" s="105"/>
      <c r="T4187" s="105"/>
      <c r="U4187" s="105"/>
      <c r="V4187" s="105"/>
      <c r="W4187" s="105"/>
      <c r="X4187" s="11"/>
      <c r="Y4187" s="11"/>
      <c r="Z4187" s="105"/>
      <c r="AA4187" s="11"/>
      <c r="AB4187" s="11"/>
      <c r="AC4187" s="105"/>
      <c r="AD4187" s="11" t="b">
        <v>0</v>
      </c>
      <c r="AE4187" s="105"/>
      <c r="AF4187" s="11"/>
      <c r="AG4187" s="11"/>
      <c r="AH4187" s="11"/>
      <c r="AI4187" s="11"/>
    </row>
    <row r="4188" ht="12.5" spans="3:35">
      <c r="C4188" s="19"/>
      <c r="D4188" s="19"/>
      <c r="H4188" s="105"/>
      <c r="I4188" s="126"/>
      <c r="J4188" s="11"/>
      <c r="K4188" s="108"/>
      <c r="L4188" s="11"/>
      <c r="M4188" s="105"/>
      <c r="N4188" s="105"/>
      <c r="O4188" s="11"/>
      <c r="P4188" s="11"/>
      <c r="Q4188" s="105"/>
      <c r="R4188" s="105"/>
      <c r="S4188" s="105"/>
      <c r="T4188" s="105"/>
      <c r="U4188" s="105"/>
      <c r="V4188" s="105"/>
      <c r="W4188" s="105"/>
      <c r="X4188" s="11"/>
      <c r="Y4188" s="11"/>
      <c r="Z4188" s="105"/>
      <c r="AA4188" s="11"/>
      <c r="AB4188" s="11"/>
      <c r="AC4188" s="105"/>
      <c r="AD4188" s="11" t="b">
        <v>0</v>
      </c>
      <c r="AE4188" s="105"/>
      <c r="AF4188" s="11"/>
      <c r="AG4188" s="11"/>
      <c r="AH4188" s="11"/>
      <c r="AI4188" s="11"/>
    </row>
    <row r="4189" ht="12.5" spans="3:35">
      <c r="C4189" s="19"/>
      <c r="D4189" s="19"/>
      <c r="H4189" s="105"/>
      <c r="I4189" s="126"/>
      <c r="J4189" s="11"/>
      <c r="K4189" s="108"/>
      <c r="L4189" s="11"/>
      <c r="M4189" s="105"/>
      <c r="N4189" s="105"/>
      <c r="O4189" s="11"/>
      <c r="P4189" s="11"/>
      <c r="Q4189" s="105"/>
      <c r="R4189" s="105"/>
      <c r="S4189" s="105"/>
      <c r="T4189" s="105"/>
      <c r="U4189" s="105"/>
      <c r="V4189" s="105"/>
      <c r="W4189" s="105"/>
      <c r="X4189" s="11"/>
      <c r="Y4189" s="11"/>
      <c r="Z4189" s="105"/>
      <c r="AA4189" s="11"/>
      <c r="AB4189" s="11"/>
      <c r="AC4189" s="105"/>
      <c r="AD4189" s="11" t="b">
        <v>0</v>
      </c>
      <c r="AE4189" s="105"/>
      <c r="AF4189" s="11"/>
      <c r="AG4189" s="11"/>
      <c r="AH4189" s="11"/>
      <c r="AI4189" s="11"/>
    </row>
    <row r="4190" ht="12.5" spans="3:35">
      <c r="C4190" s="19"/>
      <c r="D4190" s="19"/>
      <c r="H4190" s="105"/>
      <c r="I4190" s="126"/>
      <c r="J4190" s="11"/>
      <c r="K4190" s="108"/>
      <c r="L4190" s="11"/>
      <c r="M4190" s="105"/>
      <c r="N4190" s="105"/>
      <c r="O4190" s="11"/>
      <c r="P4190" s="11"/>
      <c r="Q4190" s="105"/>
      <c r="R4190" s="105"/>
      <c r="S4190" s="105"/>
      <c r="T4190" s="105"/>
      <c r="U4190" s="105"/>
      <c r="V4190" s="105"/>
      <c r="W4190" s="105"/>
      <c r="X4190" s="11"/>
      <c r="Y4190" s="11"/>
      <c r="Z4190" s="105"/>
      <c r="AA4190" s="11"/>
      <c r="AB4190" s="11"/>
      <c r="AC4190" s="105"/>
      <c r="AD4190" s="11" t="b">
        <v>0</v>
      </c>
      <c r="AE4190" s="105"/>
      <c r="AF4190" s="11"/>
      <c r="AG4190" s="11"/>
      <c r="AH4190" s="11"/>
      <c r="AI4190" s="11"/>
    </row>
    <row r="4191" ht="12.5" spans="3:35">
      <c r="C4191" s="19"/>
      <c r="D4191" s="19"/>
      <c r="H4191" s="105"/>
      <c r="I4191" s="126"/>
      <c r="J4191" s="11"/>
      <c r="K4191" s="108"/>
      <c r="L4191" s="11"/>
      <c r="M4191" s="105"/>
      <c r="N4191" s="105"/>
      <c r="O4191" s="11"/>
      <c r="P4191" s="11"/>
      <c r="Q4191" s="105"/>
      <c r="R4191" s="105"/>
      <c r="S4191" s="105"/>
      <c r="T4191" s="105"/>
      <c r="U4191" s="105"/>
      <c r="V4191" s="105"/>
      <c r="W4191" s="105"/>
      <c r="X4191" s="11"/>
      <c r="Y4191" s="11"/>
      <c r="Z4191" s="105"/>
      <c r="AA4191" s="11"/>
      <c r="AB4191" s="11"/>
      <c r="AC4191" s="105"/>
      <c r="AD4191" s="11" t="b">
        <v>0</v>
      </c>
      <c r="AE4191" s="105"/>
      <c r="AF4191" s="11"/>
      <c r="AG4191" s="11"/>
      <c r="AH4191" s="11"/>
      <c r="AI4191" s="11"/>
    </row>
    <row r="4192" ht="12.5" spans="3:35">
      <c r="C4192" s="19"/>
      <c r="D4192" s="19"/>
      <c r="H4192" s="105"/>
      <c r="I4192" s="126"/>
      <c r="J4192" s="11"/>
      <c r="K4192" s="108"/>
      <c r="L4192" s="11"/>
      <c r="M4192" s="105"/>
      <c r="N4192" s="105"/>
      <c r="O4192" s="11"/>
      <c r="P4192" s="11"/>
      <c r="Q4192" s="105"/>
      <c r="R4192" s="105"/>
      <c r="S4192" s="105"/>
      <c r="T4192" s="105"/>
      <c r="U4192" s="105"/>
      <c r="V4192" s="105"/>
      <c r="W4192" s="105"/>
      <c r="X4192" s="11"/>
      <c r="Y4192" s="11"/>
      <c r="Z4192" s="105"/>
      <c r="AA4192" s="11"/>
      <c r="AB4192" s="11"/>
      <c r="AC4192" s="105"/>
      <c r="AD4192" s="11" t="b">
        <v>0</v>
      </c>
      <c r="AE4192" s="105"/>
      <c r="AF4192" s="11"/>
      <c r="AG4192" s="11"/>
      <c r="AH4192" s="11"/>
      <c r="AI4192" s="11"/>
    </row>
    <row r="4193" ht="12.5" spans="3:35">
      <c r="C4193" s="19"/>
      <c r="D4193" s="19"/>
      <c r="H4193" s="105"/>
      <c r="I4193" s="126"/>
      <c r="J4193" s="11"/>
      <c r="K4193" s="108"/>
      <c r="L4193" s="11"/>
      <c r="M4193" s="105"/>
      <c r="N4193" s="105"/>
      <c r="O4193" s="11"/>
      <c r="P4193" s="11"/>
      <c r="Q4193" s="105"/>
      <c r="R4193" s="105"/>
      <c r="S4193" s="105"/>
      <c r="T4193" s="105"/>
      <c r="U4193" s="105"/>
      <c r="V4193" s="105"/>
      <c r="W4193" s="105"/>
      <c r="X4193" s="11"/>
      <c r="Y4193" s="11"/>
      <c r="Z4193" s="105"/>
      <c r="AA4193" s="11"/>
      <c r="AB4193" s="11"/>
      <c r="AC4193" s="105"/>
      <c r="AD4193" s="11" t="b">
        <v>0</v>
      </c>
      <c r="AE4193" s="105"/>
      <c r="AF4193" s="11"/>
      <c r="AG4193" s="11"/>
      <c r="AH4193" s="11"/>
      <c r="AI4193" s="11"/>
    </row>
    <row r="4194" ht="12.5" spans="3:35">
      <c r="C4194" s="19"/>
      <c r="D4194" s="19"/>
      <c r="H4194" s="105"/>
      <c r="I4194" s="126"/>
      <c r="J4194" s="11"/>
      <c r="K4194" s="108"/>
      <c r="L4194" s="11"/>
      <c r="M4194" s="105"/>
      <c r="N4194" s="105"/>
      <c r="O4194" s="11"/>
      <c r="P4194" s="11"/>
      <c r="Q4194" s="105"/>
      <c r="R4194" s="105"/>
      <c r="S4194" s="105"/>
      <c r="T4194" s="105"/>
      <c r="U4194" s="105"/>
      <c r="V4194" s="105"/>
      <c r="W4194" s="105"/>
      <c r="X4194" s="11"/>
      <c r="Y4194" s="11"/>
      <c r="Z4194" s="105"/>
      <c r="AA4194" s="11"/>
      <c r="AB4194" s="11"/>
      <c r="AC4194" s="105"/>
      <c r="AD4194" s="11" t="b">
        <v>0</v>
      </c>
      <c r="AE4194" s="105"/>
      <c r="AF4194" s="11"/>
      <c r="AG4194" s="11"/>
      <c r="AH4194" s="11"/>
      <c r="AI4194" s="11"/>
    </row>
    <row r="4195" ht="12.5" spans="3:35">
      <c r="C4195" s="19"/>
      <c r="D4195" s="19"/>
      <c r="H4195" s="105"/>
      <c r="I4195" s="126"/>
      <c r="J4195" s="11"/>
      <c r="K4195" s="108"/>
      <c r="L4195" s="11"/>
      <c r="M4195" s="105"/>
      <c r="N4195" s="105"/>
      <c r="O4195" s="11"/>
      <c r="P4195" s="11"/>
      <c r="Q4195" s="105"/>
      <c r="R4195" s="105"/>
      <c r="S4195" s="105"/>
      <c r="T4195" s="105"/>
      <c r="U4195" s="105"/>
      <c r="V4195" s="105"/>
      <c r="W4195" s="105"/>
      <c r="X4195" s="11"/>
      <c r="Y4195" s="11"/>
      <c r="Z4195" s="105"/>
      <c r="AA4195" s="11"/>
      <c r="AB4195" s="11"/>
      <c r="AC4195" s="105"/>
      <c r="AD4195" s="11" t="b">
        <v>0</v>
      </c>
      <c r="AE4195" s="105"/>
      <c r="AF4195" s="11"/>
      <c r="AG4195" s="11"/>
      <c r="AH4195" s="11"/>
      <c r="AI4195" s="11"/>
    </row>
    <row r="4196" ht="12.5" spans="3:35">
      <c r="C4196" s="19"/>
      <c r="D4196" s="19"/>
      <c r="H4196" s="105"/>
      <c r="I4196" s="126"/>
      <c r="J4196" s="11"/>
      <c r="K4196" s="108"/>
      <c r="L4196" s="11"/>
      <c r="M4196" s="105"/>
      <c r="N4196" s="105"/>
      <c r="O4196" s="11"/>
      <c r="P4196" s="11"/>
      <c r="Q4196" s="105"/>
      <c r="R4196" s="105"/>
      <c r="S4196" s="105"/>
      <c r="T4196" s="105"/>
      <c r="U4196" s="105"/>
      <c r="V4196" s="105"/>
      <c r="W4196" s="105"/>
      <c r="X4196" s="11"/>
      <c r="Y4196" s="11"/>
      <c r="Z4196" s="105"/>
      <c r="AA4196" s="11"/>
      <c r="AB4196" s="11"/>
      <c r="AC4196" s="105"/>
      <c r="AD4196" s="11" t="b">
        <v>0</v>
      </c>
      <c r="AE4196" s="105"/>
      <c r="AF4196" s="11"/>
      <c r="AG4196" s="11"/>
      <c r="AH4196" s="11"/>
      <c r="AI4196" s="11"/>
    </row>
    <row r="4197" ht="12.5" spans="3:35">
      <c r="C4197" s="19"/>
      <c r="D4197" s="19"/>
      <c r="H4197" s="105"/>
      <c r="I4197" s="126"/>
      <c r="J4197" s="11"/>
      <c r="K4197" s="108"/>
      <c r="L4197" s="11"/>
      <c r="M4197" s="105"/>
      <c r="N4197" s="105"/>
      <c r="O4197" s="11"/>
      <c r="P4197" s="11"/>
      <c r="Q4197" s="105"/>
      <c r="R4197" s="105"/>
      <c r="S4197" s="105"/>
      <c r="T4197" s="105"/>
      <c r="U4197" s="105"/>
      <c r="V4197" s="105"/>
      <c r="W4197" s="105"/>
      <c r="X4197" s="11"/>
      <c r="Y4197" s="11"/>
      <c r="Z4197" s="105"/>
      <c r="AA4197" s="11"/>
      <c r="AB4197" s="11"/>
      <c r="AC4197" s="105"/>
      <c r="AD4197" s="11" t="b">
        <v>0</v>
      </c>
      <c r="AE4197" s="105"/>
      <c r="AF4197" s="11"/>
      <c r="AG4197" s="11"/>
      <c r="AH4197" s="11"/>
      <c r="AI4197" s="11"/>
    </row>
    <row r="4198" ht="12.5" spans="3:35">
      <c r="C4198" s="19"/>
      <c r="D4198" s="19"/>
      <c r="H4198" s="105"/>
      <c r="I4198" s="126"/>
      <c r="J4198" s="11"/>
      <c r="K4198" s="108"/>
      <c r="L4198" s="11"/>
      <c r="M4198" s="105"/>
      <c r="N4198" s="105"/>
      <c r="O4198" s="11"/>
      <c r="P4198" s="11"/>
      <c r="Q4198" s="105"/>
      <c r="R4198" s="105"/>
      <c r="S4198" s="105"/>
      <c r="T4198" s="105"/>
      <c r="U4198" s="105"/>
      <c r="V4198" s="105"/>
      <c r="W4198" s="105"/>
      <c r="X4198" s="11"/>
      <c r="Y4198" s="11"/>
      <c r="Z4198" s="105"/>
      <c r="AA4198" s="11"/>
      <c r="AB4198" s="11"/>
      <c r="AC4198" s="105"/>
      <c r="AD4198" s="11" t="b">
        <v>0</v>
      </c>
      <c r="AE4198" s="105"/>
      <c r="AF4198" s="11"/>
      <c r="AG4198" s="11"/>
      <c r="AH4198" s="11"/>
      <c r="AI4198" s="11"/>
    </row>
    <row r="4199" ht="12.5" spans="3:35">
      <c r="C4199" s="19"/>
      <c r="D4199" s="19"/>
      <c r="H4199" s="105"/>
      <c r="I4199" s="126"/>
      <c r="J4199" s="11"/>
      <c r="K4199" s="108"/>
      <c r="L4199" s="11"/>
      <c r="M4199" s="105"/>
      <c r="N4199" s="105"/>
      <c r="O4199" s="11"/>
      <c r="P4199" s="11"/>
      <c r="Q4199" s="105"/>
      <c r="R4199" s="105"/>
      <c r="S4199" s="105"/>
      <c r="T4199" s="105"/>
      <c r="U4199" s="105"/>
      <c r="V4199" s="105"/>
      <c r="W4199" s="105"/>
      <c r="X4199" s="11"/>
      <c r="Y4199" s="11"/>
      <c r="Z4199" s="105"/>
      <c r="AA4199" s="11"/>
      <c r="AB4199" s="11"/>
      <c r="AC4199" s="105"/>
      <c r="AD4199" s="11" t="b">
        <v>0</v>
      </c>
      <c r="AE4199" s="105"/>
      <c r="AF4199" s="11"/>
      <c r="AG4199" s="11"/>
      <c r="AH4199" s="11"/>
      <c r="AI4199" s="11"/>
    </row>
    <row r="4200" ht="12.5" spans="3:35">
      <c r="C4200" s="19"/>
      <c r="D4200" s="19"/>
      <c r="H4200" s="105"/>
      <c r="I4200" s="126"/>
      <c r="J4200" s="11"/>
      <c r="K4200" s="108"/>
      <c r="L4200" s="11"/>
      <c r="M4200" s="105"/>
      <c r="N4200" s="105"/>
      <c r="O4200" s="11"/>
      <c r="P4200" s="11"/>
      <c r="Q4200" s="105"/>
      <c r="R4200" s="105"/>
      <c r="S4200" s="105"/>
      <c r="T4200" s="105"/>
      <c r="U4200" s="105"/>
      <c r="V4200" s="105"/>
      <c r="W4200" s="105"/>
      <c r="X4200" s="11"/>
      <c r="Y4200" s="11"/>
      <c r="Z4200" s="105"/>
      <c r="AA4200" s="11"/>
      <c r="AB4200" s="11"/>
      <c r="AC4200" s="105"/>
      <c r="AD4200" s="11" t="b">
        <v>0</v>
      </c>
      <c r="AE4200" s="105"/>
      <c r="AF4200" s="11"/>
      <c r="AG4200" s="11"/>
      <c r="AH4200" s="11"/>
      <c r="AI4200" s="11"/>
    </row>
    <row r="4201" ht="12.5" spans="3:35">
      <c r="C4201" s="19"/>
      <c r="D4201" s="19"/>
      <c r="H4201" s="105"/>
      <c r="I4201" s="126"/>
      <c r="J4201" s="11"/>
      <c r="K4201" s="108"/>
      <c r="L4201" s="11"/>
      <c r="M4201" s="105"/>
      <c r="N4201" s="105"/>
      <c r="O4201" s="11"/>
      <c r="P4201" s="11"/>
      <c r="Q4201" s="105"/>
      <c r="R4201" s="105"/>
      <c r="S4201" s="105"/>
      <c r="T4201" s="105"/>
      <c r="U4201" s="105"/>
      <c r="V4201" s="105"/>
      <c r="W4201" s="105"/>
      <c r="X4201" s="11"/>
      <c r="Y4201" s="11"/>
      <c r="Z4201" s="105"/>
      <c r="AA4201" s="11"/>
      <c r="AB4201" s="11"/>
      <c r="AC4201" s="105"/>
      <c r="AD4201" s="11" t="b">
        <v>0</v>
      </c>
      <c r="AE4201" s="105"/>
      <c r="AF4201" s="11"/>
      <c r="AG4201" s="11"/>
      <c r="AH4201" s="11"/>
      <c r="AI4201" s="11"/>
    </row>
    <row r="4202" ht="12.5" spans="3:35">
      <c r="C4202" s="19"/>
      <c r="D4202" s="19"/>
      <c r="H4202" s="105"/>
      <c r="I4202" s="126"/>
      <c r="J4202" s="11"/>
      <c r="K4202" s="108"/>
      <c r="L4202" s="11"/>
      <c r="M4202" s="105"/>
      <c r="N4202" s="105"/>
      <c r="O4202" s="11"/>
      <c r="P4202" s="11"/>
      <c r="Q4202" s="105"/>
      <c r="R4202" s="105"/>
      <c r="S4202" s="105"/>
      <c r="T4202" s="105"/>
      <c r="U4202" s="105"/>
      <c r="V4202" s="105"/>
      <c r="W4202" s="105"/>
      <c r="X4202" s="11"/>
      <c r="Y4202" s="11"/>
      <c r="Z4202" s="105"/>
      <c r="AA4202" s="11"/>
      <c r="AB4202" s="11"/>
      <c r="AC4202" s="105"/>
      <c r="AD4202" s="11" t="b">
        <v>0</v>
      </c>
      <c r="AE4202" s="105"/>
      <c r="AF4202" s="11"/>
      <c r="AG4202" s="11"/>
      <c r="AH4202" s="11"/>
      <c r="AI4202" s="11"/>
    </row>
    <row r="4203" ht="12.5" spans="3:35">
      <c r="C4203" s="19"/>
      <c r="D4203" s="19"/>
      <c r="H4203" s="105"/>
      <c r="I4203" s="126"/>
      <c r="J4203" s="11"/>
      <c r="K4203" s="108"/>
      <c r="L4203" s="11"/>
      <c r="M4203" s="105"/>
      <c r="N4203" s="105"/>
      <c r="O4203" s="11"/>
      <c r="P4203" s="11"/>
      <c r="Q4203" s="105"/>
      <c r="R4203" s="105"/>
      <c r="S4203" s="105"/>
      <c r="T4203" s="105"/>
      <c r="U4203" s="105"/>
      <c r="V4203" s="105"/>
      <c r="W4203" s="105"/>
      <c r="X4203" s="11"/>
      <c r="Y4203" s="11"/>
      <c r="Z4203" s="105"/>
      <c r="AA4203" s="11"/>
      <c r="AB4203" s="11"/>
      <c r="AC4203" s="105"/>
      <c r="AD4203" s="11" t="b">
        <v>0</v>
      </c>
      <c r="AE4203" s="105"/>
      <c r="AF4203" s="11"/>
      <c r="AG4203" s="11"/>
      <c r="AH4203" s="11"/>
      <c r="AI4203" s="11"/>
    </row>
    <row r="4204" ht="12.5" spans="3:35">
      <c r="C4204" s="19"/>
      <c r="D4204" s="19"/>
      <c r="H4204" s="105"/>
      <c r="I4204" s="126"/>
      <c r="J4204" s="11"/>
      <c r="K4204" s="108"/>
      <c r="L4204" s="11"/>
      <c r="M4204" s="105"/>
      <c r="N4204" s="105"/>
      <c r="O4204" s="11"/>
      <c r="P4204" s="11"/>
      <c r="Q4204" s="105"/>
      <c r="R4204" s="105"/>
      <c r="S4204" s="105"/>
      <c r="T4204" s="105"/>
      <c r="U4204" s="105"/>
      <c r="V4204" s="105"/>
      <c r="W4204" s="105"/>
      <c r="X4204" s="11"/>
      <c r="Y4204" s="11"/>
      <c r="Z4204" s="105"/>
      <c r="AA4204" s="11"/>
      <c r="AB4204" s="11"/>
      <c r="AC4204" s="105"/>
      <c r="AD4204" s="11" t="b">
        <v>0</v>
      </c>
      <c r="AE4204" s="105"/>
      <c r="AF4204" s="11"/>
      <c r="AG4204" s="11"/>
      <c r="AH4204" s="11"/>
      <c r="AI4204" s="11"/>
    </row>
    <row r="4205" ht="12.5" spans="3:35">
      <c r="C4205" s="19"/>
      <c r="D4205" s="19"/>
      <c r="H4205" s="105"/>
      <c r="I4205" s="126"/>
      <c r="J4205" s="11"/>
      <c r="K4205" s="108"/>
      <c r="L4205" s="11"/>
      <c r="M4205" s="105"/>
      <c r="N4205" s="105"/>
      <c r="O4205" s="11"/>
      <c r="P4205" s="11"/>
      <c r="Q4205" s="105"/>
      <c r="R4205" s="105"/>
      <c r="S4205" s="105"/>
      <c r="T4205" s="105"/>
      <c r="U4205" s="105"/>
      <c r="V4205" s="105"/>
      <c r="W4205" s="105"/>
      <c r="X4205" s="11"/>
      <c r="Y4205" s="11"/>
      <c r="Z4205" s="105"/>
      <c r="AA4205" s="11"/>
      <c r="AB4205" s="11"/>
      <c r="AC4205" s="105"/>
      <c r="AD4205" s="11" t="b">
        <v>0</v>
      </c>
      <c r="AE4205" s="105"/>
      <c r="AF4205" s="11"/>
      <c r="AG4205" s="11"/>
      <c r="AH4205" s="11"/>
      <c r="AI4205" s="11"/>
    </row>
    <row r="4206" ht="12.5" spans="3:35">
      <c r="C4206" s="19"/>
      <c r="D4206" s="19"/>
      <c r="H4206" s="105"/>
      <c r="I4206" s="126"/>
      <c r="J4206" s="11"/>
      <c r="K4206" s="108"/>
      <c r="L4206" s="11"/>
      <c r="M4206" s="105"/>
      <c r="N4206" s="105"/>
      <c r="O4206" s="11"/>
      <c r="P4206" s="11"/>
      <c r="Q4206" s="105"/>
      <c r="R4206" s="105"/>
      <c r="S4206" s="105"/>
      <c r="T4206" s="105"/>
      <c r="U4206" s="105"/>
      <c r="V4206" s="105"/>
      <c r="W4206" s="105"/>
      <c r="X4206" s="11"/>
      <c r="Y4206" s="11"/>
      <c r="Z4206" s="105"/>
      <c r="AA4206" s="11"/>
      <c r="AB4206" s="11"/>
      <c r="AC4206" s="105"/>
      <c r="AD4206" s="11" t="b">
        <v>0</v>
      </c>
      <c r="AE4206" s="105"/>
      <c r="AF4206" s="11"/>
      <c r="AG4206" s="11"/>
      <c r="AH4206" s="11"/>
      <c r="AI4206" s="11"/>
    </row>
    <row r="4207" ht="12.5" spans="3:35">
      <c r="C4207" s="19"/>
      <c r="D4207" s="19"/>
      <c r="H4207" s="105"/>
      <c r="I4207" s="126"/>
      <c r="J4207" s="11"/>
      <c r="K4207" s="108"/>
      <c r="L4207" s="11"/>
      <c r="M4207" s="105"/>
      <c r="N4207" s="105"/>
      <c r="O4207" s="11"/>
      <c r="P4207" s="11"/>
      <c r="Q4207" s="105"/>
      <c r="R4207" s="105"/>
      <c r="S4207" s="105"/>
      <c r="T4207" s="105"/>
      <c r="U4207" s="105"/>
      <c r="V4207" s="105"/>
      <c r="W4207" s="105"/>
      <c r="X4207" s="11"/>
      <c r="Y4207" s="11"/>
      <c r="Z4207" s="105"/>
      <c r="AA4207" s="11"/>
      <c r="AB4207" s="11"/>
      <c r="AC4207" s="105"/>
      <c r="AD4207" s="11" t="b">
        <v>0</v>
      </c>
      <c r="AE4207" s="105"/>
      <c r="AF4207" s="11"/>
      <c r="AG4207" s="11"/>
      <c r="AH4207" s="11"/>
      <c r="AI4207" s="11"/>
    </row>
    <row r="4208" ht="12.5" spans="3:35">
      <c r="C4208" s="19"/>
      <c r="D4208" s="19"/>
      <c r="H4208" s="105"/>
      <c r="I4208" s="126"/>
      <c r="J4208" s="11"/>
      <c r="K4208" s="108"/>
      <c r="L4208" s="11"/>
      <c r="M4208" s="105"/>
      <c r="N4208" s="105"/>
      <c r="O4208" s="11"/>
      <c r="P4208" s="11"/>
      <c r="Q4208" s="105"/>
      <c r="R4208" s="105"/>
      <c r="S4208" s="105"/>
      <c r="T4208" s="105"/>
      <c r="U4208" s="105"/>
      <c r="V4208" s="105"/>
      <c r="W4208" s="105"/>
      <c r="X4208" s="11"/>
      <c r="Y4208" s="11"/>
      <c r="Z4208" s="105"/>
      <c r="AA4208" s="11"/>
      <c r="AB4208" s="11"/>
      <c r="AC4208" s="105"/>
      <c r="AD4208" s="11" t="b">
        <v>0</v>
      </c>
      <c r="AE4208" s="105"/>
      <c r="AF4208" s="11"/>
      <c r="AG4208" s="11"/>
      <c r="AH4208" s="11"/>
      <c r="AI4208" s="11"/>
    </row>
    <row r="4209" ht="12.5" spans="3:35">
      <c r="C4209" s="19"/>
      <c r="D4209" s="19"/>
      <c r="H4209" s="105"/>
      <c r="I4209" s="126"/>
      <c r="J4209" s="11"/>
      <c r="K4209" s="108"/>
      <c r="L4209" s="11"/>
      <c r="M4209" s="105"/>
      <c r="N4209" s="105"/>
      <c r="O4209" s="11"/>
      <c r="P4209" s="11"/>
      <c r="Q4209" s="105"/>
      <c r="R4209" s="105"/>
      <c r="S4209" s="105"/>
      <c r="T4209" s="105"/>
      <c r="U4209" s="105"/>
      <c r="V4209" s="105"/>
      <c r="W4209" s="105"/>
      <c r="X4209" s="11"/>
      <c r="Y4209" s="11"/>
      <c r="Z4209" s="105"/>
      <c r="AA4209" s="11"/>
      <c r="AB4209" s="11"/>
      <c r="AC4209" s="105"/>
      <c r="AD4209" s="11" t="b">
        <v>0</v>
      </c>
      <c r="AE4209" s="105"/>
      <c r="AF4209" s="11"/>
      <c r="AG4209" s="11"/>
      <c r="AH4209" s="11"/>
      <c r="AI4209" s="11"/>
    </row>
    <row r="4210" ht="12.5" spans="3:35">
      <c r="C4210" s="19"/>
      <c r="D4210" s="19"/>
      <c r="H4210" s="105"/>
      <c r="I4210" s="126"/>
      <c r="J4210" s="11"/>
      <c r="K4210" s="108"/>
      <c r="L4210" s="11"/>
      <c r="M4210" s="105"/>
      <c r="N4210" s="105"/>
      <c r="O4210" s="11"/>
      <c r="P4210" s="11"/>
      <c r="Q4210" s="105"/>
      <c r="R4210" s="105"/>
      <c r="S4210" s="105"/>
      <c r="T4210" s="105"/>
      <c r="U4210" s="105"/>
      <c r="V4210" s="105"/>
      <c r="W4210" s="105"/>
      <c r="X4210" s="11"/>
      <c r="Y4210" s="11"/>
      <c r="Z4210" s="105"/>
      <c r="AA4210" s="11"/>
      <c r="AB4210" s="11"/>
      <c r="AC4210" s="105"/>
      <c r="AD4210" s="11" t="b">
        <v>0</v>
      </c>
      <c r="AE4210" s="105"/>
      <c r="AF4210" s="11"/>
      <c r="AG4210" s="11"/>
      <c r="AH4210" s="11"/>
      <c r="AI4210" s="11"/>
    </row>
    <row r="4211" ht="12.5" spans="3:35">
      <c r="C4211" s="19"/>
      <c r="D4211" s="19"/>
      <c r="H4211" s="105"/>
      <c r="I4211" s="126"/>
      <c r="J4211" s="11"/>
      <c r="K4211" s="108"/>
      <c r="L4211" s="11"/>
      <c r="M4211" s="105"/>
      <c r="N4211" s="105"/>
      <c r="O4211" s="11"/>
      <c r="P4211" s="11"/>
      <c r="Q4211" s="105"/>
      <c r="R4211" s="105"/>
      <c r="S4211" s="105"/>
      <c r="T4211" s="105"/>
      <c r="U4211" s="105"/>
      <c r="V4211" s="105"/>
      <c r="W4211" s="105"/>
      <c r="X4211" s="11"/>
      <c r="Y4211" s="11"/>
      <c r="Z4211" s="105"/>
      <c r="AA4211" s="11"/>
      <c r="AB4211" s="11"/>
      <c r="AC4211" s="105"/>
      <c r="AD4211" s="11" t="b">
        <v>0</v>
      </c>
      <c r="AE4211" s="105"/>
      <c r="AF4211" s="11"/>
      <c r="AG4211" s="11"/>
      <c r="AH4211" s="11"/>
      <c r="AI4211" s="11"/>
    </row>
    <row r="4212" ht="12.5" spans="3:35">
      <c r="C4212" s="19"/>
      <c r="D4212" s="19"/>
      <c r="H4212" s="105"/>
      <c r="I4212" s="126"/>
      <c r="J4212" s="11"/>
      <c r="K4212" s="108"/>
      <c r="L4212" s="11"/>
      <c r="M4212" s="105"/>
      <c r="N4212" s="105"/>
      <c r="O4212" s="11"/>
      <c r="P4212" s="11"/>
      <c r="Q4212" s="105"/>
      <c r="R4212" s="105"/>
      <c r="S4212" s="105"/>
      <c r="T4212" s="105"/>
      <c r="U4212" s="105"/>
      <c r="V4212" s="105"/>
      <c r="W4212" s="105"/>
      <c r="X4212" s="11"/>
      <c r="Y4212" s="11"/>
      <c r="Z4212" s="105"/>
      <c r="AA4212" s="11"/>
      <c r="AB4212" s="11"/>
      <c r="AC4212" s="105"/>
      <c r="AD4212" s="11" t="b">
        <v>0</v>
      </c>
      <c r="AE4212" s="105"/>
      <c r="AF4212" s="11"/>
      <c r="AG4212" s="11"/>
      <c r="AH4212" s="11"/>
      <c r="AI4212" s="11"/>
    </row>
    <row r="4213" ht="12.5" spans="3:35">
      <c r="C4213" s="19"/>
      <c r="D4213" s="19"/>
      <c r="H4213" s="105"/>
      <c r="I4213" s="126"/>
      <c r="J4213" s="11"/>
      <c r="K4213" s="108"/>
      <c r="L4213" s="11"/>
      <c r="M4213" s="105"/>
      <c r="N4213" s="105"/>
      <c r="O4213" s="11"/>
      <c r="P4213" s="11"/>
      <c r="Q4213" s="105"/>
      <c r="R4213" s="105"/>
      <c r="S4213" s="105"/>
      <c r="T4213" s="105"/>
      <c r="U4213" s="105"/>
      <c r="V4213" s="105"/>
      <c r="W4213" s="105"/>
      <c r="X4213" s="11"/>
      <c r="Y4213" s="11"/>
      <c r="Z4213" s="105"/>
      <c r="AA4213" s="11"/>
      <c r="AB4213" s="11"/>
      <c r="AC4213" s="105"/>
      <c r="AD4213" s="11" t="b">
        <v>0</v>
      </c>
      <c r="AE4213" s="105"/>
      <c r="AF4213" s="11"/>
      <c r="AG4213" s="11"/>
      <c r="AH4213" s="11"/>
      <c r="AI4213" s="11"/>
    </row>
    <row r="4214" ht="12.5" spans="3:35">
      <c r="C4214" s="19"/>
      <c r="D4214" s="19"/>
      <c r="H4214" s="105"/>
      <c r="I4214" s="126"/>
      <c r="J4214" s="11"/>
      <c r="K4214" s="108"/>
      <c r="L4214" s="11"/>
      <c r="M4214" s="105"/>
      <c r="N4214" s="105"/>
      <c r="O4214" s="11"/>
      <c r="P4214" s="11"/>
      <c r="Q4214" s="105"/>
      <c r="R4214" s="105"/>
      <c r="S4214" s="105"/>
      <c r="T4214" s="105"/>
      <c r="U4214" s="105"/>
      <c r="V4214" s="105"/>
      <c r="W4214" s="105"/>
      <c r="X4214" s="11"/>
      <c r="Y4214" s="11"/>
      <c r="Z4214" s="105"/>
      <c r="AA4214" s="11"/>
      <c r="AB4214" s="11"/>
      <c r="AC4214" s="105"/>
      <c r="AD4214" s="11" t="b">
        <v>0</v>
      </c>
      <c r="AE4214" s="105"/>
      <c r="AF4214" s="11"/>
      <c r="AG4214" s="11"/>
      <c r="AH4214" s="11"/>
      <c r="AI4214" s="11"/>
    </row>
    <row r="4215" ht="12.5" spans="3:35">
      <c r="C4215" s="19"/>
      <c r="D4215" s="19"/>
      <c r="H4215" s="105"/>
      <c r="I4215" s="126"/>
      <c r="J4215" s="11"/>
      <c r="K4215" s="108"/>
      <c r="L4215" s="11"/>
      <c r="M4215" s="105"/>
      <c r="N4215" s="105"/>
      <c r="O4215" s="11"/>
      <c r="P4215" s="11"/>
      <c r="Q4215" s="105"/>
      <c r="R4215" s="105"/>
      <c r="S4215" s="105"/>
      <c r="T4215" s="105"/>
      <c r="U4215" s="105"/>
      <c r="V4215" s="105"/>
      <c r="W4215" s="105"/>
      <c r="X4215" s="11"/>
      <c r="Y4215" s="11"/>
      <c r="Z4215" s="105"/>
      <c r="AA4215" s="11"/>
      <c r="AB4215" s="11"/>
      <c r="AC4215" s="105"/>
      <c r="AD4215" s="11" t="b">
        <v>0</v>
      </c>
      <c r="AE4215" s="105"/>
      <c r="AF4215" s="11"/>
      <c r="AG4215" s="11"/>
      <c r="AH4215" s="11"/>
      <c r="AI4215" s="11"/>
    </row>
    <row r="4216" ht="12.5" spans="3:35">
      <c r="C4216" s="19"/>
      <c r="D4216" s="19"/>
      <c r="H4216" s="105"/>
      <c r="I4216" s="126"/>
      <c r="J4216" s="11"/>
      <c r="K4216" s="108"/>
      <c r="L4216" s="11"/>
      <c r="M4216" s="105"/>
      <c r="N4216" s="105"/>
      <c r="O4216" s="11"/>
      <c r="P4216" s="11"/>
      <c r="Q4216" s="105"/>
      <c r="R4216" s="105"/>
      <c r="S4216" s="105"/>
      <c r="T4216" s="105"/>
      <c r="U4216" s="105"/>
      <c r="V4216" s="105"/>
      <c r="W4216" s="105"/>
      <c r="X4216" s="11"/>
      <c r="Y4216" s="11"/>
      <c r="Z4216" s="105"/>
      <c r="AA4216" s="11"/>
      <c r="AB4216" s="11"/>
      <c r="AC4216" s="105"/>
      <c r="AD4216" s="11" t="b">
        <v>0</v>
      </c>
      <c r="AE4216" s="105"/>
      <c r="AF4216" s="11"/>
      <c r="AG4216" s="11"/>
      <c r="AH4216" s="11"/>
      <c r="AI4216" s="11"/>
    </row>
    <row r="4217" ht="12.5" spans="3:35">
      <c r="C4217" s="19"/>
      <c r="D4217" s="19"/>
      <c r="H4217" s="105"/>
      <c r="I4217" s="126"/>
      <c r="J4217" s="11"/>
      <c r="K4217" s="108"/>
      <c r="L4217" s="11"/>
      <c r="M4217" s="105"/>
      <c r="N4217" s="105"/>
      <c r="O4217" s="11"/>
      <c r="P4217" s="11"/>
      <c r="Q4217" s="105"/>
      <c r="R4217" s="105"/>
      <c r="S4217" s="105"/>
      <c r="T4217" s="105"/>
      <c r="U4217" s="105"/>
      <c r="V4217" s="105"/>
      <c r="W4217" s="105"/>
      <c r="X4217" s="11"/>
      <c r="Y4217" s="11"/>
      <c r="Z4217" s="105"/>
      <c r="AA4217" s="11"/>
      <c r="AB4217" s="11"/>
      <c r="AC4217" s="105"/>
      <c r="AD4217" s="11" t="b">
        <v>0</v>
      </c>
      <c r="AE4217" s="105"/>
      <c r="AF4217" s="11"/>
      <c r="AG4217" s="11"/>
      <c r="AH4217" s="11"/>
      <c r="AI4217" s="11"/>
    </row>
    <row r="4218" ht="12.5" spans="3:35">
      <c r="C4218" s="19"/>
      <c r="D4218" s="19"/>
      <c r="H4218" s="105"/>
      <c r="I4218" s="126"/>
      <c r="J4218" s="11"/>
      <c r="K4218" s="108"/>
      <c r="L4218" s="11"/>
      <c r="M4218" s="105"/>
      <c r="N4218" s="105"/>
      <c r="O4218" s="11"/>
      <c r="P4218" s="11"/>
      <c r="Q4218" s="105"/>
      <c r="R4218" s="105"/>
      <c r="S4218" s="105"/>
      <c r="T4218" s="105"/>
      <c r="U4218" s="105"/>
      <c r="V4218" s="105"/>
      <c r="W4218" s="105"/>
      <c r="X4218" s="11"/>
      <c r="Y4218" s="11"/>
      <c r="Z4218" s="105"/>
      <c r="AA4218" s="11"/>
      <c r="AB4218" s="11"/>
      <c r="AC4218" s="105"/>
      <c r="AD4218" s="11" t="b">
        <v>0</v>
      </c>
      <c r="AE4218" s="105"/>
      <c r="AF4218" s="11"/>
      <c r="AG4218" s="11"/>
      <c r="AH4218" s="11"/>
      <c r="AI4218" s="11"/>
    </row>
    <row r="4219" ht="12.5" spans="3:35">
      <c r="C4219" s="19"/>
      <c r="D4219" s="19"/>
      <c r="H4219" s="105"/>
      <c r="I4219" s="126"/>
      <c r="J4219" s="11"/>
      <c r="K4219" s="108"/>
      <c r="L4219" s="11"/>
      <c r="M4219" s="105"/>
      <c r="N4219" s="105"/>
      <c r="O4219" s="11"/>
      <c r="P4219" s="11"/>
      <c r="Q4219" s="105"/>
      <c r="R4219" s="105"/>
      <c r="S4219" s="105"/>
      <c r="T4219" s="105"/>
      <c r="U4219" s="105"/>
      <c r="V4219" s="105"/>
      <c r="W4219" s="105"/>
      <c r="X4219" s="11"/>
      <c r="Y4219" s="11"/>
      <c r="Z4219" s="105"/>
      <c r="AA4219" s="11"/>
      <c r="AB4219" s="11"/>
      <c r="AC4219" s="105"/>
      <c r="AD4219" s="11" t="b">
        <v>0</v>
      </c>
      <c r="AE4219" s="105"/>
      <c r="AF4219" s="11"/>
      <c r="AG4219" s="11"/>
      <c r="AH4219" s="11"/>
      <c r="AI4219" s="11"/>
    </row>
    <row r="4220" ht="12.5" spans="3:35">
      <c r="C4220" s="19"/>
      <c r="D4220" s="19"/>
      <c r="H4220" s="105"/>
      <c r="I4220" s="126"/>
      <c r="J4220" s="11"/>
      <c r="K4220" s="108"/>
      <c r="L4220" s="11"/>
      <c r="M4220" s="105"/>
      <c r="N4220" s="105"/>
      <c r="O4220" s="11"/>
      <c r="P4220" s="11"/>
      <c r="Q4220" s="105"/>
      <c r="R4220" s="105"/>
      <c r="S4220" s="105"/>
      <c r="T4220" s="105"/>
      <c r="U4220" s="105"/>
      <c r="V4220" s="105"/>
      <c r="W4220" s="105"/>
      <c r="X4220" s="11"/>
      <c r="Y4220" s="11"/>
      <c r="Z4220" s="105"/>
      <c r="AA4220" s="11"/>
      <c r="AB4220" s="11"/>
      <c r="AC4220" s="105"/>
      <c r="AD4220" s="11" t="b">
        <v>0</v>
      </c>
      <c r="AE4220" s="105"/>
      <c r="AF4220" s="11"/>
      <c r="AG4220" s="11"/>
      <c r="AH4220" s="11"/>
      <c r="AI4220" s="11"/>
    </row>
    <row r="4221" ht="12.5" spans="3:35">
      <c r="C4221" s="19"/>
      <c r="D4221" s="19"/>
      <c r="H4221" s="105"/>
      <c r="I4221" s="126"/>
      <c r="J4221" s="11"/>
      <c r="K4221" s="108"/>
      <c r="L4221" s="11"/>
      <c r="M4221" s="105"/>
      <c r="N4221" s="105"/>
      <c r="O4221" s="11"/>
      <c r="P4221" s="11"/>
      <c r="Q4221" s="105"/>
      <c r="R4221" s="105"/>
      <c r="S4221" s="105"/>
      <c r="T4221" s="105"/>
      <c r="U4221" s="105"/>
      <c r="V4221" s="105"/>
      <c r="W4221" s="105"/>
      <c r="X4221" s="11"/>
      <c r="Y4221" s="11"/>
      <c r="Z4221" s="105"/>
      <c r="AA4221" s="11"/>
      <c r="AB4221" s="11"/>
      <c r="AC4221" s="105"/>
      <c r="AD4221" s="11" t="b">
        <v>0</v>
      </c>
      <c r="AE4221" s="105"/>
      <c r="AF4221" s="11"/>
      <c r="AG4221" s="11"/>
      <c r="AH4221" s="11"/>
      <c r="AI4221" s="11"/>
    </row>
    <row r="4222" ht="12.5" spans="3:35">
      <c r="C4222" s="19"/>
      <c r="D4222" s="19"/>
      <c r="H4222" s="105"/>
      <c r="I4222" s="126"/>
      <c r="J4222" s="11"/>
      <c r="K4222" s="108"/>
      <c r="L4222" s="11"/>
      <c r="M4222" s="105"/>
      <c r="N4222" s="105"/>
      <c r="O4222" s="11"/>
      <c r="P4222" s="11"/>
      <c r="Q4222" s="105"/>
      <c r="R4222" s="105"/>
      <c r="S4222" s="105"/>
      <c r="T4222" s="105"/>
      <c r="U4222" s="105"/>
      <c r="V4222" s="105"/>
      <c r="W4222" s="105"/>
      <c r="X4222" s="11"/>
      <c r="Y4222" s="11"/>
      <c r="Z4222" s="105"/>
      <c r="AA4222" s="11"/>
      <c r="AB4222" s="11"/>
      <c r="AC4222" s="105"/>
      <c r="AD4222" s="11" t="b">
        <v>0</v>
      </c>
      <c r="AE4222" s="105"/>
      <c r="AF4222" s="11"/>
      <c r="AG4222" s="11"/>
      <c r="AH4222" s="11"/>
      <c r="AI4222" s="11"/>
    </row>
    <row r="4223" ht="12.5" spans="3:35">
      <c r="C4223" s="19"/>
      <c r="D4223" s="19"/>
      <c r="H4223" s="105"/>
      <c r="I4223" s="126"/>
      <c r="J4223" s="11"/>
      <c r="K4223" s="108"/>
      <c r="L4223" s="11"/>
      <c r="M4223" s="105"/>
      <c r="N4223" s="105"/>
      <c r="O4223" s="11"/>
      <c r="P4223" s="11"/>
      <c r="Q4223" s="105"/>
      <c r="R4223" s="105"/>
      <c r="S4223" s="105"/>
      <c r="T4223" s="105"/>
      <c r="U4223" s="105"/>
      <c r="V4223" s="105"/>
      <c r="W4223" s="105"/>
      <c r="X4223" s="11"/>
      <c r="Y4223" s="11"/>
      <c r="Z4223" s="105"/>
      <c r="AA4223" s="11"/>
      <c r="AB4223" s="11"/>
      <c r="AC4223" s="105"/>
      <c r="AD4223" s="11" t="b">
        <v>0</v>
      </c>
      <c r="AE4223" s="105"/>
      <c r="AF4223" s="11"/>
      <c r="AG4223" s="11"/>
      <c r="AH4223" s="11"/>
      <c r="AI4223" s="11"/>
    </row>
    <row r="4224" ht="12.5" spans="3:35">
      <c r="C4224" s="19"/>
      <c r="D4224" s="19"/>
      <c r="H4224" s="105"/>
      <c r="I4224" s="126"/>
      <c r="J4224" s="11"/>
      <c r="K4224" s="108"/>
      <c r="L4224" s="11"/>
      <c r="M4224" s="105"/>
      <c r="N4224" s="105"/>
      <c r="O4224" s="11"/>
      <c r="P4224" s="11"/>
      <c r="Q4224" s="105"/>
      <c r="R4224" s="105"/>
      <c r="S4224" s="105"/>
      <c r="T4224" s="105"/>
      <c r="U4224" s="105"/>
      <c r="V4224" s="105"/>
      <c r="W4224" s="105"/>
      <c r="X4224" s="11"/>
      <c r="Y4224" s="11"/>
      <c r="Z4224" s="105"/>
      <c r="AA4224" s="11"/>
      <c r="AB4224" s="11"/>
      <c r="AC4224" s="105"/>
      <c r="AD4224" s="11" t="b">
        <v>0</v>
      </c>
      <c r="AE4224" s="105"/>
      <c r="AF4224" s="11"/>
      <c r="AG4224" s="11"/>
      <c r="AH4224" s="11"/>
      <c r="AI4224" s="11"/>
    </row>
    <row r="4225" ht="12.5" spans="3:35">
      <c r="C4225" s="19"/>
      <c r="D4225" s="19"/>
      <c r="H4225" s="105"/>
      <c r="I4225" s="126"/>
      <c r="J4225" s="11"/>
      <c r="K4225" s="108"/>
      <c r="L4225" s="11"/>
      <c r="M4225" s="105"/>
      <c r="N4225" s="105"/>
      <c r="O4225" s="11"/>
      <c r="P4225" s="11"/>
      <c r="Q4225" s="105"/>
      <c r="R4225" s="105"/>
      <c r="S4225" s="105"/>
      <c r="T4225" s="105"/>
      <c r="U4225" s="105"/>
      <c r="V4225" s="105"/>
      <c r="W4225" s="105"/>
      <c r="X4225" s="11"/>
      <c r="Y4225" s="11"/>
      <c r="Z4225" s="105"/>
      <c r="AA4225" s="11"/>
      <c r="AB4225" s="11"/>
      <c r="AC4225" s="105"/>
      <c r="AD4225" s="11" t="b">
        <v>0</v>
      </c>
      <c r="AE4225" s="105"/>
      <c r="AF4225" s="11"/>
      <c r="AG4225" s="11"/>
      <c r="AH4225" s="11"/>
      <c r="AI4225" s="11"/>
    </row>
    <row r="4226" ht="12.5" spans="3:35">
      <c r="C4226" s="19"/>
      <c r="D4226" s="19"/>
      <c r="H4226" s="105"/>
      <c r="I4226" s="126"/>
      <c r="J4226" s="11"/>
      <c r="K4226" s="108"/>
      <c r="L4226" s="11"/>
      <c r="M4226" s="105"/>
      <c r="N4226" s="105"/>
      <c r="O4226" s="11"/>
      <c r="P4226" s="11"/>
      <c r="Q4226" s="105"/>
      <c r="R4226" s="105"/>
      <c r="S4226" s="105"/>
      <c r="T4226" s="105"/>
      <c r="U4226" s="105"/>
      <c r="V4226" s="105"/>
      <c r="W4226" s="105"/>
      <c r="X4226" s="11"/>
      <c r="Y4226" s="11"/>
      <c r="Z4226" s="105"/>
      <c r="AA4226" s="11"/>
      <c r="AB4226" s="11"/>
      <c r="AC4226" s="105"/>
      <c r="AD4226" s="11" t="b">
        <v>0</v>
      </c>
      <c r="AE4226" s="105"/>
      <c r="AF4226" s="11"/>
      <c r="AG4226" s="11"/>
      <c r="AH4226" s="11"/>
      <c r="AI4226" s="11"/>
    </row>
    <row r="4227" ht="12.5" spans="3:35">
      <c r="C4227" s="19"/>
      <c r="D4227" s="19"/>
      <c r="H4227" s="105"/>
      <c r="I4227" s="126"/>
      <c r="J4227" s="11"/>
      <c r="K4227" s="108"/>
      <c r="L4227" s="11"/>
      <c r="M4227" s="105"/>
      <c r="N4227" s="105"/>
      <c r="O4227" s="11"/>
      <c r="P4227" s="11"/>
      <c r="Q4227" s="105"/>
      <c r="R4227" s="105"/>
      <c r="S4227" s="105"/>
      <c r="T4227" s="105"/>
      <c r="U4227" s="105"/>
      <c r="V4227" s="105"/>
      <c r="W4227" s="105"/>
      <c r="X4227" s="11"/>
      <c r="Y4227" s="11"/>
      <c r="Z4227" s="105"/>
      <c r="AA4227" s="11"/>
      <c r="AB4227" s="11"/>
      <c r="AC4227" s="105"/>
      <c r="AD4227" s="11" t="b">
        <v>0</v>
      </c>
      <c r="AE4227" s="105"/>
      <c r="AF4227" s="11"/>
      <c r="AG4227" s="11"/>
      <c r="AH4227" s="11"/>
      <c r="AI4227" s="11"/>
    </row>
    <row r="4228" ht="12.5" spans="3:35">
      <c r="C4228" s="19"/>
      <c r="D4228" s="19"/>
      <c r="H4228" s="105"/>
      <c r="I4228" s="126"/>
      <c r="J4228" s="11"/>
      <c r="K4228" s="108"/>
      <c r="L4228" s="11"/>
      <c r="M4228" s="105"/>
      <c r="N4228" s="105"/>
      <c r="O4228" s="11"/>
      <c r="P4228" s="11"/>
      <c r="Q4228" s="105"/>
      <c r="R4228" s="105"/>
      <c r="S4228" s="105"/>
      <c r="T4228" s="105"/>
      <c r="U4228" s="105"/>
      <c r="V4228" s="105"/>
      <c r="W4228" s="105"/>
      <c r="X4228" s="11"/>
      <c r="Y4228" s="11"/>
      <c r="Z4228" s="105"/>
      <c r="AA4228" s="11"/>
      <c r="AB4228" s="11"/>
      <c r="AC4228" s="105"/>
      <c r="AD4228" s="11" t="b">
        <v>0</v>
      </c>
      <c r="AE4228" s="105"/>
      <c r="AF4228" s="11"/>
      <c r="AG4228" s="11"/>
      <c r="AH4228" s="11"/>
      <c r="AI4228" s="11"/>
    </row>
    <row r="4229" ht="12.5" spans="3:35">
      <c r="C4229" s="19"/>
      <c r="D4229" s="19"/>
      <c r="H4229" s="105"/>
      <c r="I4229" s="126"/>
      <c r="J4229" s="11"/>
      <c r="K4229" s="108"/>
      <c r="L4229" s="11"/>
      <c r="M4229" s="105"/>
      <c r="N4229" s="105"/>
      <c r="O4229" s="11"/>
      <c r="P4229" s="11"/>
      <c r="Q4229" s="105"/>
      <c r="R4229" s="105"/>
      <c r="S4229" s="105"/>
      <c r="T4229" s="105"/>
      <c r="U4229" s="105"/>
      <c r="V4229" s="105"/>
      <c r="W4229" s="105"/>
      <c r="X4229" s="11"/>
      <c r="Y4229" s="11"/>
      <c r="Z4229" s="105"/>
      <c r="AA4229" s="11"/>
      <c r="AB4229" s="11"/>
      <c r="AC4229" s="105"/>
      <c r="AD4229" s="11" t="b">
        <v>0</v>
      </c>
      <c r="AE4229" s="105"/>
      <c r="AF4229" s="11"/>
      <c r="AG4229" s="11"/>
      <c r="AH4229" s="11"/>
      <c r="AI4229" s="11"/>
    </row>
    <row r="4230" ht="12.5" spans="3:35">
      <c r="C4230" s="19"/>
      <c r="D4230" s="19"/>
      <c r="H4230" s="105"/>
      <c r="I4230" s="126"/>
      <c r="J4230" s="11"/>
      <c r="K4230" s="108"/>
      <c r="L4230" s="11"/>
      <c r="M4230" s="105"/>
      <c r="N4230" s="105"/>
      <c r="O4230" s="11"/>
      <c r="P4230" s="11"/>
      <c r="Q4230" s="105"/>
      <c r="R4230" s="105"/>
      <c r="S4230" s="105"/>
      <c r="T4230" s="105"/>
      <c r="U4230" s="105"/>
      <c r="V4230" s="105"/>
      <c r="W4230" s="105"/>
      <c r="X4230" s="11"/>
      <c r="Y4230" s="11"/>
      <c r="Z4230" s="105"/>
      <c r="AA4230" s="11"/>
      <c r="AB4230" s="11"/>
      <c r="AC4230" s="105"/>
      <c r="AD4230" s="11" t="b">
        <v>0</v>
      </c>
      <c r="AE4230" s="105"/>
      <c r="AF4230" s="11"/>
      <c r="AG4230" s="11"/>
      <c r="AH4230" s="11"/>
      <c r="AI4230" s="11"/>
    </row>
    <row r="4231" ht="12.5" spans="3:35">
      <c r="C4231" s="19"/>
      <c r="D4231" s="19"/>
      <c r="H4231" s="105"/>
      <c r="I4231" s="126"/>
      <c r="J4231" s="11"/>
      <c r="K4231" s="108"/>
      <c r="L4231" s="11"/>
      <c r="M4231" s="105"/>
      <c r="N4231" s="105"/>
      <c r="O4231" s="11"/>
      <c r="P4231" s="11"/>
      <c r="Q4231" s="105"/>
      <c r="R4231" s="105"/>
      <c r="S4231" s="105"/>
      <c r="T4231" s="105"/>
      <c r="U4231" s="105"/>
      <c r="V4231" s="105"/>
      <c r="W4231" s="105"/>
      <c r="X4231" s="11"/>
      <c r="Y4231" s="11"/>
      <c r="Z4231" s="105"/>
      <c r="AA4231" s="11"/>
      <c r="AB4231" s="11"/>
      <c r="AC4231" s="105"/>
      <c r="AD4231" s="11" t="b">
        <v>0</v>
      </c>
      <c r="AE4231" s="105"/>
      <c r="AF4231" s="11"/>
      <c r="AG4231" s="11"/>
      <c r="AH4231" s="11"/>
      <c r="AI4231" s="11"/>
    </row>
    <row r="4232" ht="12.5" spans="3:35">
      <c r="C4232" s="19"/>
      <c r="D4232" s="19"/>
      <c r="H4232" s="105"/>
      <c r="I4232" s="126"/>
      <c r="J4232" s="11"/>
      <c r="K4232" s="108"/>
      <c r="L4232" s="11"/>
      <c r="M4232" s="105"/>
      <c r="N4232" s="105"/>
      <c r="O4232" s="11"/>
      <c r="P4232" s="11"/>
      <c r="Q4232" s="105"/>
      <c r="R4232" s="105"/>
      <c r="S4232" s="105"/>
      <c r="T4232" s="105"/>
      <c r="U4232" s="105"/>
      <c r="V4232" s="105"/>
      <c r="W4232" s="105"/>
      <c r="X4232" s="11"/>
      <c r="Y4232" s="11"/>
      <c r="Z4232" s="105"/>
      <c r="AA4232" s="11"/>
      <c r="AB4232" s="11"/>
      <c r="AC4232" s="105"/>
      <c r="AD4232" s="11" t="b">
        <v>0</v>
      </c>
      <c r="AE4232" s="105"/>
      <c r="AF4232" s="11"/>
      <c r="AG4232" s="11"/>
      <c r="AH4232" s="11"/>
      <c r="AI4232" s="11"/>
    </row>
    <row r="4233" ht="12.5" spans="3:35">
      <c r="C4233" s="19"/>
      <c r="D4233" s="19"/>
      <c r="H4233" s="105"/>
      <c r="I4233" s="126"/>
      <c r="J4233" s="11"/>
      <c r="K4233" s="108"/>
      <c r="L4233" s="11"/>
      <c r="M4233" s="105"/>
      <c r="N4233" s="105"/>
      <c r="O4233" s="11"/>
      <c r="P4233" s="11"/>
      <c r="Q4233" s="105"/>
      <c r="R4233" s="105"/>
      <c r="S4233" s="105"/>
      <c r="T4233" s="105"/>
      <c r="U4233" s="105"/>
      <c r="V4233" s="105"/>
      <c r="W4233" s="105"/>
      <c r="X4233" s="11"/>
      <c r="Y4233" s="11"/>
      <c r="Z4233" s="105"/>
      <c r="AA4233" s="11"/>
      <c r="AB4233" s="11"/>
      <c r="AC4233" s="105"/>
      <c r="AD4233" s="11" t="b">
        <v>0</v>
      </c>
      <c r="AE4233" s="105"/>
      <c r="AF4233" s="11"/>
      <c r="AG4233" s="11"/>
      <c r="AH4233" s="11"/>
      <c r="AI4233" s="11"/>
    </row>
    <row r="4234" ht="12.5" spans="3:35">
      <c r="C4234" s="19"/>
      <c r="D4234" s="19"/>
      <c r="H4234" s="105"/>
      <c r="I4234" s="126"/>
      <c r="J4234" s="11"/>
      <c r="K4234" s="108"/>
      <c r="L4234" s="11"/>
      <c r="M4234" s="105"/>
      <c r="N4234" s="105"/>
      <c r="O4234" s="11"/>
      <c r="P4234" s="11"/>
      <c r="Q4234" s="105"/>
      <c r="R4234" s="105"/>
      <c r="S4234" s="105"/>
      <c r="T4234" s="105"/>
      <c r="U4234" s="105"/>
      <c r="V4234" s="105"/>
      <c r="W4234" s="105"/>
      <c r="X4234" s="11"/>
      <c r="Y4234" s="11"/>
      <c r="Z4234" s="105"/>
      <c r="AA4234" s="11"/>
      <c r="AB4234" s="11"/>
      <c r="AC4234" s="105"/>
      <c r="AD4234" s="11" t="b">
        <v>0</v>
      </c>
      <c r="AE4234" s="105"/>
      <c r="AF4234" s="11"/>
      <c r="AG4234" s="11"/>
      <c r="AH4234" s="11"/>
      <c r="AI4234" s="11"/>
    </row>
    <row r="4235" ht="12.5" spans="3:35">
      <c r="C4235" s="19"/>
      <c r="D4235" s="19"/>
      <c r="H4235" s="105"/>
      <c r="I4235" s="126"/>
      <c r="J4235" s="11"/>
      <c r="K4235" s="108"/>
      <c r="L4235" s="11"/>
      <c r="M4235" s="105"/>
      <c r="N4235" s="105"/>
      <c r="O4235" s="11"/>
      <c r="P4235" s="11"/>
      <c r="Q4235" s="105"/>
      <c r="R4235" s="105"/>
      <c r="S4235" s="105"/>
      <c r="T4235" s="105"/>
      <c r="U4235" s="105"/>
      <c r="V4235" s="105"/>
      <c r="W4235" s="105"/>
      <c r="X4235" s="11"/>
      <c r="Y4235" s="11"/>
      <c r="Z4235" s="105"/>
      <c r="AA4235" s="11"/>
      <c r="AB4235" s="11"/>
      <c r="AC4235" s="105"/>
      <c r="AD4235" s="11" t="b">
        <v>0</v>
      </c>
      <c r="AE4235" s="105"/>
      <c r="AF4235" s="11"/>
      <c r="AG4235" s="11"/>
      <c r="AH4235" s="11"/>
      <c r="AI4235" s="11"/>
    </row>
    <row r="4236" ht="12.5" spans="3:35">
      <c r="C4236" s="19"/>
      <c r="D4236" s="19"/>
      <c r="H4236" s="105"/>
      <c r="I4236" s="126"/>
      <c r="J4236" s="11"/>
      <c r="K4236" s="108"/>
      <c r="L4236" s="11"/>
      <c r="M4236" s="105"/>
      <c r="N4236" s="105"/>
      <c r="O4236" s="11"/>
      <c r="P4236" s="11"/>
      <c r="Q4236" s="105"/>
      <c r="R4236" s="105"/>
      <c r="S4236" s="105"/>
      <c r="T4236" s="105"/>
      <c r="U4236" s="105"/>
      <c r="V4236" s="105"/>
      <c r="W4236" s="105"/>
      <c r="X4236" s="11"/>
      <c r="Y4236" s="11"/>
      <c r="Z4236" s="105"/>
      <c r="AA4236" s="11"/>
      <c r="AB4236" s="11"/>
      <c r="AC4236" s="105"/>
      <c r="AD4236" s="11" t="b">
        <v>0</v>
      </c>
      <c r="AE4236" s="105"/>
      <c r="AF4236" s="11"/>
      <c r="AG4236" s="11"/>
      <c r="AH4236" s="11"/>
      <c r="AI4236" s="11"/>
    </row>
    <row r="4237" ht="12.5" spans="3:35">
      <c r="C4237" s="19"/>
      <c r="D4237" s="19"/>
      <c r="H4237" s="105"/>
      <c r="I4237" s="126"/>
      <c r="J4237" s="11"/>
      <c r="K4237" s="108"/>
      <c r="L4237" s="11"/>
      <c r="M4237" s="105"/>
      <c r="N4237" s="105"/>
      <c r="O4237" s="11"/>
      <c r="P4237" s="11"/>
      <c r="Q4237" s="105"/>
      <c r="R4237" s="105"/>
      <c r="S4237" s="105"/>
      <c r="T4237" s="105"/>
      <c r="U4237" s="105"/>
      <c r="V4237" s="105"/>
      <c r="W4237" s="105"/>
      <c r="X4237" s="11"/>
      <c r="Y4237" s="11"/>
      <c r="Z4237" s="105"/>
      <c r="AA4237" s="11"/>
      <c r="AB4237" s="11"/>
      <c r="AC4237" s="105"/>
      <c r="AD4237" s="11" t="b">
        <v>0</v>
      </c>
      <c r="AE4237" s="105"/>
      <c r="AF4237" s="11"/>
      <c r="AG4237" s="11"/>
      <c r="AH4237" s="11"/>
      <c r="AI4237" s="11"/>
    </row>
    <row r="4238" ht="12.5" spans="3:35">
      <c r="C4238" s="19"/>
      <c r="D4238" s="19"/>
      <c r="H4238" s="105"/>
      <c r="I4238" s="126"/>
      <c r="J4238" s="11"/>
      <c r="K4238" s="108"/>
      <c r="L4238" s="11"/>
      <c r="M4238" s="105"/>
      <c r="N4238" s="105"/>
      <c r="O4238" s="11"/>
      <c r="P4238" s="11"/>
      <c r="Q4238" s="105"/>
      <c r="R4238" s="105"/>
      <c r="S4238" s="105"/>
      <c r="T4238" s="105"/>
      <c r="U4238" s="105"/>
      <c r="V4238" s="105"/>
      <c r="W4238" s="105"/>
      <c r="X4238" s="11"/>
      <c r="Y4238" s="11"/>
      <c r="Z4238" s="105"/>
      <c r="AA4238" s="11"/>
      <c r="AB4238" s="11"/>
      <c r="AC4238" s="105"/>
      <c r="AD4238" s="11" t="b">
        <v>0</v>
      </c>
      <c r="AE4238" s="105"/>
      <c r="AF4238" s="11"/>
      <c r="AG4238" s="11"/>
      <c r="AH4238" s="11"/>
      <c r="AI4238" s="11"/>
    </row>
    <row r="4239" ht="12.5" spans="3:35">
      <c r="C4239" s="19"/>
      <c r="D4239" s="19"/>
      <c r="H4239" s="105"/>
      <c r="I4239" s="126"/>
      <c r="J4239" s="11"/>
      <c r="K4239" s="108"/>
      <c r="L4239" s="11"/>
      <c r="M4239" s="105"/>
      <c r="N4239" s="105"/>
      <c r="O4239" s="11"/>
      <c r="P4239" s="11"/>
      <c r="Q4239" s="105"/>
      <c r="R4239" s="105"/>
      <c r="S4239" s="105"/>
      <c r="T4239" s="105"/>
      <c r="U4239" s="105"/>
      <c r="V4239" s="105"/>
      <c r="W4239" s="105"/>
      <c r="X4239" s="11"/>
      <c r="Y4239" s="11"/>
      <c r="Z4239" s="105"/>
      <c r="AA4239" s="11"/>
      <c r="AB4239" s="11"/>
      <c r="AC4239" s="105"/>
      <c r="AD4239" s="11" t="b">
        <v>0</v>
      </c>
      <c r="AE4239" s="105"/>
      <c r="AF4239" s="11"/>
      <c r="AG4239" s="11"/>
      <c r="AH4239" s="11"/>
      <c r="AI4239" s="11"/>
    </row>
    <row r="4240" ht="12.5" spans="3:35">
      <c r="C4240" s="19"/>
      <c r="D4240" s="19"/>
      <c r="H4240" s="105"/>
      <c r="I4240" s="126"/>
      <c r="J4240" s="11"/>
      <c r="K4240" s="108"/>
      <c r="L4240" s="11"/>
      <c r="M4240" s="105"/>
      <c r="N4240" s="105"/>
      <c r="O4240" s="11"/>
      <c r="P4240" s="11"/>
      <c r="Q4240" s="105"/>
      <c r="R4240" s="105"/>
      <c r="S4240" s="105"/>
      <c r="T4240" s="105"/>
      <c r="U4240" s="105"/>
      <c r="V4240" s="105"/>
      <c r="W4240" s="105"/>
      <c r="X4240" s="11"/>
      <c r="Y4240" s="11"/>
      <c r="Z4240" s="105"/>
      <c r="AA4240" s="11"/>
      <c r="AB4240" s="11"/>
      <c r="AC4240" s="105"/>
      <c r="AD4240" s="11" t="b">
        <v>0</v>
      </c>
      <c r="AE4240" s="105"/>
      <c r="AF4240" s="11"/>
      <c r="AG4240" s="11"/>
      <c r="AH4240" s="11"/>
      <c r="AI4240" s="11"/>
    </row>
    <row r="4241" ht="12.5" spans="3:35">
      <c r="C4241" s="19"/>
      <c r="D4241" s="19"/>
      <c r="H4241" s="105"/>
      <c r="I4241" s="126"/>
      <c r="J4241" s="11"/>
      <c r="K4241" s="108"/>
      <c r="L4241" s="11"/>
      <c r="M4241" s="105"/>
      <c r="N4241" s="105"/>
      <c r="O4241" s="11"/>
      <c r="P4241" s="11"/>
      <c r="Q4241" s="105"/>
      <c r="R4241" s="105"/>
      <c r="S4241" s="105"/>
      <c r="T4241" s="105"/>
      <c r="U4241" s="105"/>
      <c r="V4241" s="105"/>
      <c r="W4241" s="105"/>
      <c r="X4241" s="11"/>
      <c r="Y4241" s="11"/>
      <c r="Z4241" s="105"/>
      <c r="AA4241" s="11"/>
      <c r="AB4241" s="11"/>
      <c r="AC4241" s="105"/>
      <c r="AD4241" s="11" t="b">
        <v>0</v>
      </c>
      <c r="AE4241" s="105"/>
      <c r="AF4241" s="11"/>
      <c r="AG4241" s="11"/>
      <c r="AH4241" s="11"/>
      <c r="AI4241" s="11"/>
    </row>
    <row r="4242" ht="12.5" spans="3:35">
      <c r="C4242" s="19"/>
      <c r="D4242" s="19"/>
      <c r="H4242" s="105"/>
      <c r="I4242" s="126"/>
      <c r="J4242" s="11"/>
      <c r="K4242" s="108"/>
      <c r="L4242" s="11"/>
      <c r="M4242" s="105"/>
      <c r="N4242" s="105"/>
      <c r="O4242" s="11"/>
      <c r="P4242" s="11"/>
      <c r="Q4242" s="105"/>
      <c r="R4242" s="105"/>
      <c r="S4242" s="105"/>
      <c r="T4242" s="105"/>
      <c r="U4242" s="105"/>
      <c r="V4242" s="105"/>
      <c r="W4242" s="105"/>
      <c r="X4242" s="11"/>
      <c r="Y4242" s="11"/>
      <c r="Z4242" s="105"/>
      <c r="AA4242" s="11"/>
      <c r="AB4242" s="11"/>
      <c r="AC4242" s="105"/>
      <c r="AD4242" s="11" t="b">
        <v>0</v>
      </c>
      <c r="AE4242" s="105"/>
      <c r="AF4242" s="11"/>
      <c r="AG4242" s="11"/>
      <c r="AH4242" s="11"/>
      <c r="AI4242" s="11"/>
    </row>
    <row r="4243" ht="12.5" spans="3:35">
      <c r="C4243" s="19"/>
      <c r="D4243" s="19"/>
      <c r="H4243" s="105"/>
      <c r="I4243" s="126"/>
      <c r="J4243" s="11"/>
      <c r="K4243" s="108"/>
      <c r="L4243" s="11"/>
      <c r="M4243" s="105"/>
      <c r="N4243" s="105"/>
      <c r="O4243" s="11"/>
      <c r="P4243" s="11"/>
      <c r="Q4243" s="105"/>
      <c r="R4243" s="105"/>
      <c r="S4243" s="105"/>
      <c r="T4243" s="105"/>
      <c r="U4243" s="105"/>
      <c r="V4243" s="105"/>
      <c r="W4243" s="105"/>
      <c r="X4243" s="11"/>
      <c r="Y4243" s="11"/>
      <c r="Z4243" s="105"/>
      <c r="AA4243" s="11"/>
      <c r="AB4243" s="11"/>
      <c r="AC4243" s="105"/>
      <c r="AD4243" s="11" t="b">
        <v>0</v>
      </c>
      <c r="AE4243" s="105"/>
      <c r="AF4243" s="11"/>
      <c r="AG4243" s="11"/>
      <c r="AH4243" s="11"/>
      <c r="AI4243" s="11"/>
    </row>
    <row r="4244" ht="12.5" spans="3:35">
      <c r="C4244" s="19"/>
      <c r="D4244" s="19"/>
      <c r="H4244" s="105"/>
      <c r="I4244" s="126"/>
      <c r="J4244" s="11"/>
      <c r="K4244" s="108"/>
      <c r="L4244" s="11"/>
      <c r="M4244" s="105"/>
      <c r="N4244" s="105"/>
      <c r="O4244" s="11"/>
      <c r="P4244" s="11"/>
      <c r="Q4244" s="105"/>
      <c r="R4244" s="105"/>
      <c r="S4244" s="105"/>
      <c r="T4244" s="105"/>
      <c r="U4244" s="105"/>
      <c r="V4244" s="105"/>
      <c r="W4244" s="105"/>
      <c r="X4244" s="11"/>
      <c r="Y4244" s="11"/>
      <c r="Z4244" s="105"/>
      <c r="AA4244" s="11"/>
      <c r="AB4244" s="11"/>
      <c r="AC4244" s="105"/>
      <c r="AD4244" s="11" t="b">
        <v>0</v>
      </c>
      <c r="AE4244" s="105"/>
      <c r="AF4244" s="11"/>
      <c r="AG4244" s="11"/>
      <c r="AH4244" s="11"/>
      <c r="AI4244" s="11"/>
    </row>
    <row r="4245" ht="12.5" spans="3:35">
      <c r="C4245" s="19"/>
      <c r="D4245" s="19"/>
      <c r="H4245" s="105"/>
      <c r="I4245" s="126"/>
      <c r="J4245" s="11"/>
      <c r="K4245" s="108"/>
      <c r="L4245" s="11"/>
      <c r="M4245" s="105"/>
      <c r="N4245" s="105"/>
      <c r="O4245" s="11"/>
      <c r="P4245" s="11"/>
      <c r="Q4245" s="105"/>
      <c r="R4245" s="105"/>
      <c r="S4245" s="105"/>
      <c r="T4245" s="105"/>
      <c r="U4245" s="105"/>
      <c r="V4245" s="105"/>
      <c r="W4245" s="105"/>
      <c r="X4245" s="11"/>
      <c r="Y4245" s="11"/>
      <c r="Z4245" s="105"/>
      <c r="AA4245" s="11"/>
      <c r="AB4245" s="11"/>
      <c r="AC4245" s="105"/>
      <c r="AD4245" s="11" t="b">
        <v>0</v>
      </c>
      <c r="AE4245" s="105"/>
      <c r="AF4245" s="11"/>
      <c r="AG4245" s="11"/>
      <c r="AH4245" s="11"/>
      <c r="AI4245" s="11"/>
    </row>
    <row r="4246" ht="12.5" spans="3:35">
      <c r="C4246" s="19"/>
      <c r="D4246" s="19"/>
      <c r="H4246" s="105"/>
      <c r="I4246" s="126"/>
      <c r="J4246" s="11"/>
      <c r="K4246" s="108"/>
      <c r="L4246" s="11"/>
      <c r="M4246" s="105"/>
      <c r="N4246" s="105"/>
      <c r="O4246" s="11"/>
      <c r="P4246" s="11"/>
      <c r="Q4246" s="105"/>
      <c r="R4246" s="105"/>
      <c r="S4246" s="105"/>
      <c r="T4246" s="105"/>
      <c r="U4246" s="105"/>
      <c r="V4246" s="105"/>
      <c r="W4246" s="105"/>
      <c r="X4246" s="11"/>
      <c r="Y4246" s="11"/>
      <c r="Z4246" s="105"/>
      <c r="AA4246" s="11"/>
      <c r="AB4246" s="11"/>
      <c r="AC4246" s="105"/>
      <c r="AD4246" s="11" t="b">
        <v>0</v>
      </c>
      <c r="AE4246" s="105"/>
      <c r="AF4246" s="11"/>
      <c r="AG4246" s="11"/>
      <c r="AH4246" s="11"/>
      <c r="AI4246" s="11"/>
    </row>
    <row r="4247" ht="12.5" spans="3:35">
      <c r="C4247" s="19"/>
      <c r="D4247" s="19"/>
      <c r="H4247" s="105"/>
      <c r="I4247" s="126"/>
      <c r="J4247" s="11"/>
      <c r="K4247" s="108"/>
      <c r="L4247" s="11"/>
      <c r="M4247" s="105"/>
      <c r="N4247" s="105"/>
      <c r="O4247" s="11"/>
      <c r="P4247" s="11"/>
      <c r="Q4247" s="105"/>
      <c r="R4247" s="105"/>
      <c r="S4247" s="105"/>
      <c r="T4247" s="105"/>
      <c r="U4247" s="105"/>
      <c r="V4247" s="105"/>
      <c r="W4247" s="105"/>
      <c r="X4247" s="11"/>
      <c r="Y4247" s="11"/>
      <c r="Z4247" s="105"/>
      <c r="AA4247" s="11"/>
      <c r="AB4247" s="11"/>
      <c r="AC4247" s="105"/>
      <c r="AD4247" s="11" t="b">
        <v>0</v>
      </c>
      <c r="AE4247" s="105"/>
      <c r="AF4247" s="11"/>
      <c r="AG4247" s="11"/>
      <c r="AH4247" s="11"/>
      <c r="AI4247" s="11"/>
    </row>
    <row r="4248" ht="12.5" spans="3:35">
      <c r="C4248" s="19"/>
      <c r="D4248" s="19"/>
      <c r="H4248" s="105"/>
      <c r="I4248" s="126"/>
      <c r="J4248" s="11"/>
      <c r="K4248" s="108"/>
      <c r="L4248" s="11"/>
      <c r="M4248" s="105"/>
      <c r="N4248" s="105"/>
      <c r="O4248" s="11"/>
      <c r="P4248" s="11"/>
      <c r="Q4248" s="105"/>
      <c r="R4248" s="105"/>
      <c r="S4248" s="105"/>
      <c r="T4248" s="105"/>
      <c r="U4248" s="105"/>
      <c r="V4248" s="105"/>
      <c r="W4248" s="105"/>
      <c r="X4248" s="11"/>
      <c r="Y4248" s="11"/>
      <c r="Z4248" s="105"/>
      <c r="AA4248" s="11"/>
      <c r="AB4248" s="11"/>
      <c r="AC4248" s="105"/>
      <c r="AD4248" s="11" t="b">
        <v>0</v>
      </c>
      <c r="AE4248" s="105"/>
      <c r="AF4248" s="11"/>
      <c r="AG4248" s="11"/>
      <c r="AH4248" s="11"/>
      <c r="AI4248" s="11"/>
    </row>
    <row r="4249" ht="12.5" spans="3:35">
      <c r="C4249" s="19"/>
      <c r="D4249" s="19"/>
      <c r="H4249" s="105"/>
      <c r="I4249" s="126"/>
      <c r="J4249" s="11"/>
      <c r="K4249" s="108"/>
      <c r="L4249" s="11"/>
      <c r="M4249" s="105"/>
      <c r="N4249" s="105"/>
      <c r="O4249" s="11"/>
      <c r="P4249" s="11"/>
      <c r="Q4249" s="105"/>
      <c r="R4249" s="105"/>
      <c r="S4249" s="105"/>
      <c r="T4249" s="105"/>
      <c r="U4249" s="105"/>
      <c r="V4249" s="105"/>
      <c r="W4249" s="105"/>
      <c r="X4249" s="11"/>
      <c r="Y4249" s="11"/>
      <c r="Z4249" s="105"/>
      <c r="AA4249" s="11"/>
      <c r="AB4249" s="11"/>
      <c r="AC4249" s="105"/>
      <c r="AD4249" s="11" t="b">
        <v>0</v>
      </c>
      <c r="AE4249" s="105"/>
      <c r="AF4249" s="11"/>
      <c r="AG4249" s="11"/>
      <c r="AH4249" s="11"/>
      <c r="AI4249" s="11"/>
    </row>
    <row r="4250" ht="12.5" spans="3:35">
      <c r="C4250" s="19"/>
      <c r="D4250" s="19"/>
      <c r="H4250" s="105"/>
      <c r="I4250" s="126"/>
      <c r="J4250" s="11"/>
      <c r="K4250" s="108"/>
      <c r="L4250" s="11"/>
      <c r="M4250" s="105"/>
      <c r="N4250" s="105"/>
      <c r="O4250" s="11"/>
      <c r="P4250" s="11"/>
      <c r="Q4250" s="105"/>
      <c r="R4250" s="105"/>
      <c r="S4250" s="105"/>
      <c r="T4250" s="105"/>
      <c r="U4250" s="105"/>
      <c r="V4250" s="105"/>
      <c r="W4250" s="105"/>
      <c r="X4250" s="11"/>
      <c r="Y4250" s="11"/>
      <c r="Z4250" s="105"/>
      <c r="AA4250" s="11"/>
      <c r="AB4250" s="11"/>
      <c r="AC4250" s="105"/>
      <c r="AD4250" s="11" t="b">
        <v>0</v>
      </c>
      <c r="AE4250" s="105"/>
      <c r="AF4250" s="11"/>
      <c r="AG4250" s="11"/>
      <c r="AH4250" s="11"/>
      <c r="AI4250" s="11"/>
    </row>
    <row r="4251" ht="12.5" spans="3:35">
      <c r="C4251" s="19"/>
      <c r="D4251" s="19"/>
      <c r="H4251" s="105"/>
      <c r="I4251" s="126"/>
      <c r="J4251" s="11"/>
      <c r="K4251" s="108"/>
      <c r="L4251" s="11"/>
      <c r="M4251" s="105"/>
      <c r="N4251" s="105"/>
      <c r="O4251" s="11"/>
      <c r="P4251" s="11"/>
      <c r="Q4251" s="105"/>
      <c r="R4251" s="105"/>
      <c r="S4251" s="105"/>
      <c r="T4251" s="105"/>
      <c r="U4251" s="105"/>
      <c r="V4251" s="105"/>
      <c r="W4251" s="105"/>
      <c r="X4251" s="11"/>
      <c r="Y4251" s="11"/>
      <c r="Z4251" s="105"/>
      <c r="AA4251" s="11"/>
      <c r="AB4251" s="11"/>
      <c r="AC4251" s="105"/>
      <c r="AD4251" s="11" t="b">
        <v>0</v>
      </c>
      <c r="AE4251" s="105"/>
      <c r="AF4251" s="11"/>
      <c r="AG4251" s="11"/>
      <c r="AH4251" s="11"/>
      <c r="AI4251" s="11"/>
    </row>
    <row r="4252" ht="12.5" spans="3:35">
      <c r="C4252" s="19"/>
      <c r="D4252" s="19"/>
      <c r="H4252" s="105"/>
      <c r="I4252" s="126"/>
      <c r="J4252" s="11"/>
      <c r="K4252" s="108"/>
      <c r="L4252" s="11"/>
      <c r="M4252" s="105"/>
      <c r="N4252" s="105"/>
      <c r="O4252" s="11"/>
      <c r="P4252" s="11"/>
      <c r="Q4252" s="105"/>
      <c r="R4252" s="105"/>
      <c r="S4252" s="105"/>
      <c r="T4252" s="105"/>
      <c r="U4252" s="105"/>
      <c r="V4252" s="105"/>
      <c r="W4252" s="105"/>
      <c r="X4252" s="11"/>
      <c r="Y4252" s="11"/>
      <c r="Z4252" s="105"/>
      <c r="AA4252" s="11"/>
      <c r="AB4252" s="11"/>
      <c r="AC4252" s="105"/>
      <c r="AD4252" s="11" t="b">
        <v>0</v>
      </c>
      <c r="AE4252" s="105"/>
      <c r="AF4252" s="11"/>
      <c r="AG4252" s="11"/>
      <c r="AH4252" s="11"/>
      <c r="AI4252" s="11"/>
    </row>
    <row r="4253" ht="12.5" spans="3:35">
      <c r="C4253" s="19"/>
      <c r="D4253" s="19"/>
      <c r="H4253" s="105"/>
      <c r="I4253" s="126"/>
      <c r="J4253" s="11"/>
      <c r="K4253" s="108"/>
      <c r="L4253" s="11"/>
      <c r="M4253" s="105"/>
      <c r="N4253" s="105"/>
      <c r="O4253" s="11"/>
      <c r="P4253" s="11"/>
      <c r="Q4253" s="105"/>
      <c r="R4253" s="105"/>
      <c r="S4253" s="105"/>
      <c r="T4253" s="105"/>
      <c r="U4253" s="105"/>
      <c r="V4253" s="105"/>
      <c r="W4253" s="105"/>
      <c r="X4253" s="11"/>
      <c r="Y4253" s="11"/>
      <c r="Z4253" s="105"/>
      <c r="AA4253" s="11"/>
      <c r="AB4253" s="11"/>
      <c r="AC4253" s="105"/>
      <c r="AD4253" s="11" t="b">
        <v>0</v>
      </c>
      <c r="AE4253" s="105"/>
      <c r="AF4253" s="11"/>
      <c r="AG4253" s="11"/>
      <c r="AH4253" s="11"/>
      <c r="AI4253" s="11"/>
    </row>
    <row r="4254" ht="12.5" spans="3:35">
      <c r="C4254" s="19"/>
      <c r="D4254" s="19"/>
      <c r="H4254" s="105"/>
      <c r="I4254" s="126"/>
      <c r="J4254" s="11"/>
      <c r="K4254" s="108"/>
      <c r="L4254" s="11"/>
      <c r="M4254" s="105"/>
      <c r="N4254" s="105"/>
      <c r="O4254" s="11"/>
      <c r="P4254" s="11"/>
      <c r="Q4254" s="105"/>
      <c r="R4254" s="105"/>
      <c r="S4254" s="105"/>
      <c r="T4254" s="105"/>
      <c r="U4254" s="105"/>
      <c r="V4254" s="105"/>
      <c r="W4254" s="105"/>
      <c r="X4254" s="11"/>
      <c r="Y4254" s="11"/>
      <c r="Z4254" s="105"/>
      <c r="AA4254" s="11"/>
      <c r="AB4254" s="11"/>
      <c r="AC4254" s="105"/>
      <c r="AD4254" s="11" t="b">
        <v>0</v>
      </c>
      <c r="AE4254" s="105"/>
      <c r="AF4254" s="11"/>
      <c r="AG4254" s="11"/>
      <c r="AH4254" s="11"/>
      <c r="AI4254" s="11"/>
    </row>
    <row r="4255" ht="12.5" spans="3:35">
      <c r="C4255" s="19"/>
      <c r="D4255" s="19"/>
      <c r="H4255" s="105"/>
      <c r="I4255" s="126"/>
      <c r="J4255" s="11"/>
      <c r="K4255" s="108"/>
      <c r="L4255" s="11"/>
      <c r="M4255" s="105"/>
      <c r="N4255" s="105"/>
      <c r="O4255" s="11"/>
      <c r="P4255" s="11"/>
      <c r="Q4255" s="105"/>
      <c r="R4255" s="105"/>
      <c r="S4255" s="105"/>
      <c r="T4255" s="105"/>
      <c r="U4255" s="105"/>
      <c r="V4255" s="105"/>
      <c r="W4255" s="105"/>
      <c r="X4255" s="11"/>
      <c r="Y4255" s="11"/>
      <c r="Z4255" s="105"/>
      <c r="AA4255" s="11"/>
      <c r="AB4255" s="11"/>
      <c r="AC4255" s="105"/>
      <c r="AD4255" s="11" t="b">
        <v>0</v>
      </c>
      <c r="AE4255" s="105"/>
      <c r="AF4255" s="11"/>
      <c r="AG4255" s="11"/>
      <c r="AH4255" s="11"/>
      <c r="AI4255" s="11"/>
    </row>
    <row r="4256" ht="12.5" spans="3:35">
      <c r="C4256" s="19"/>
      <c r="D4256" s="19"/>
      <c r="H4256" s="105"/>
      <c r="I4256" s="126"/>
      <c r="J4256" s="11"/>
      <c r="K4256" s="108"/>
      <c r="L4256" s="11"/>
      <c r="M4256" s="105"/>
      <c r="N4256" s="105"/>
      <c r="O4256" s="11"/>
      <c r="P4256" s="11"/>
      <c r="Q4256" s="105"/>
      <c r="R4256" s="105"/>
      <c r="S4256" s="105"/>
      <c r="T4256" s="105"/>
      <c r="U4256" s="105"/>
      <c r="V4256" s="105"/>
      <c r="W4256" s="105"/>
      <c r="X4256" s="11"/>
      <c r="Y4256" s="11"/>
      <c r="Z4256" s="105"/>
      <c r="AA4256" s="11"/>
      <c r="AB4256" s="11"/>
      <c r="AC4256" s="105"/>
      <c r="AD4256" s="11" t="b">
        <v>0</v>
      </c>
      <c r="AE4256" s="105"/>
      <c r="AF4256" s="11"/>
      <c r="AG4256" s="11"/>
      <c r="AH4256" s="11"/>
      <c r="AI4256" s="11"/>
    </row>
    <row r="4257" ht="12.5" spans="3:35">
      <c r="C4257" s="19"/>
      <c r="D4257" s="19"/>
      <c r="H4257" s="105"/>
      <c r="I4257" s="126"/>
      <c r="J4257" s="11"/>
      <c r="K4257" s="108"/>
      <c r="L4257" s="11"/>
      <c r="M4257" s="105"/>
      <c r="N4257" s="105"/>
      <c r="O4257" s="11"/>
      <c r="P4257" s="11"/>
      <c r="Q4257" s="105"/>
      <c r="R4257" s="105"/>
      <c r="S4257" s="105"/>
      <c r="T4257" s="105"/>
      <c r="U4257" s="105"/>
      <c r="V4257" s="105"/>
      <c r="W4257" s="105"/>
      <c r="X4257" s="11"/>
      <c r="Y4257" s="11"/>
      <c r="Z4257" s="105"/>
      <c r="AA4257" s="11"/>
      <c r="AB4257" s="11"/>
      <c r="AC4257" s="105"/>
      <c r="AD4257" s="11" t="b">
        <v>0</v>
      </c>
      <c r="AE4257" s="105"/>
      <c r="AF4257" s="11"/>
      <c r="AG4257" s="11"/>
      <c r="AH4257" s="11"/>
      <c r="AI4257" s="11"/>
    </row>
    <row r="4258" ht="12.5" spans="3:35">
      <c r="C4258" s="19"/>
      <c r="D4258" s="19"/>
      <c r="H4258" s="105"/>
      <c r="I4258" s="126"/>
      <c r="J4258" s="11"/>
      <c r="K4258" s="108"/>
      <c r="L4258" s="11"/>
      <c r="M4258" s="105"/>
      <c r="N4258" s="105"/>
      <c r="O4258" s="11"/>
      <c r="P4258" s="11"/>
      <c r="Q4258" s="105"/>
      <c r="R4258" s="105"/>
      <c r="S4258" s="105"/>
      <c r="T4258" s="105"/>
      <c r="U4258" s="105"/>
      <c r="V4258" s="105"/>
      <c r="W4258" s="105"/>
      <c r="X4258" s="11"/>
      <c r="Y4258" s="11"/>
      <c r="Z4258" s="105"/>
      <c r="AA4258" s="11"/>
      <c r="AB4258" s="11"/>
      <c r="AC4258" s="105"/>
      <c r="AD4258" s="11" t="b">
        <v>0</v>
      </c>
      <c r="AE4258" s="105"/>
      <c r="AF4258" s="11"/>
      <c r="AG4258" s="11"/>
      <c r="AH4258" s="11"/>
      <c r="AI4258" s="11"/>
    </row>
    <row r="4259" ht="12.5" spans="3:35">
      <c r="C4259" s="19"/>
      <c r="D4259" s="19"/>
      <c r="H4259" s="105"/>
      <c r="I4259" s="126"/>
      <c r="J4259" s="11"/>
      <c r="K4259" s="108"/>
      <c r="L4259" s="11"/>
      <c r="M4259" s="105"/>
      <c r="N4259" s="105"/>
      <c r="O4259" s="11"/>
      <c r="P4259" s="11"/>
      <c r="Q4259" s="105"/>
      <c r="R4259" s="105"/>
      <c r="S4259" s="105"/>
      <c r="T4259" s="105"/>
      <c r="U4259" s="105"/>
      <c r="V4259" s="105"/>
      <c r="W4259" s="105"/>
      <c r="X4259" s="11"/>
      <c r="Y4259" s="11"/>
      <c r="Z4259" s="105"/>
      <c r="AA4259" s="11"/>
      <c r="AB4259" s="11"/>
      <c r="AC4259" s="105"/>
      <c r="AD4259" s="11" t="b">
        <v>0</v>
      </c>
      <c r="AE4259" s="105"/>
      <c r="AF4259" s="11"/>
      <c r="AG4259" s="11"/>
      <c r="AH4259" s="11"/>
      <c r="AI4259" s="11"/>
    </row>
    <row r="4260" ht="12.5" spans="3:35">
      <c r="C4260" s="19"/>
      <c r="D4260" s="19"/>
      <c r="H4260" s="105"/>
      <c r="I4260" s="126"/>
      <c r="J4260" s="11"/>
      <c r="K4260" s="108"/>
      <c r="L4260" s="11"/>
      <c r="M4260" s="105"/>
      <c r="N4260" s="105"/>
      <c r="O4260" s="11"/>
      <c r="P4260" s="11"/>
      <c r="Q4260" s="105"/>
      <c r="R4260" s="105"/>
      <c r="S4260" s="105"/>
      <c r="T4260" s="105"/>
      <c r="U4260" s="105"/>
      <c r="V4260" s="105"/>
      <c r="W4260" s="105"/>
      <c r="X4260" s="11"/>
      <c r="Y4260" s="11"/>
      <c r="Z4260" s="105"/>
      <c r="AA4260" s="11"/>
      <c r="AB4260" s="11"/>
      <c r="AC4260" s="105"/>
      <c r="AD4260" s="11" t="b">
        <v>0</v>
      </c>
      <c r="AE4260" s="105"/>
      <c r="AF4260" s="11"/>
      <c r="AG4260" s="11"/>
      <c r="AH4260" s="11"/>
      <c r="AI4260" s="11"/>
    </row>
    <row r="4261" ht="12.5" spans="3:35">
      <c r="C4261" s="19"/>
      <c r="D4261" s="19"/>
      <c r="H4261" s="105"/>
      <c r="I4261" s="126"/>
      <c r="J4261" s="11"/>
      <c r="K4261" s="108"/>
      <c r="L4261" s="11"/>
      <c r="M4261" s="105"/>
      <c r="N4261" s="105"/>
      <c r="O4261" s="11"/>
      <c r="P4261" s="11"/>
      <c r="Q4261" s="105"/>
      <c r="R4261" s="105"/>
      <c r="S4261" s="105"/>
      <c r="T4261" s="105"/>
      <c r="U4261" s="105"/>
      <c r="V4261" s="105"/>
      <c r="W4261" s="105"/>
      <c r="X4261" s="11"/>
      <c r="Y4261" s="11"/>
      <c r="Z4261" s="105"/>
      <c r="AA4261" s="11"/>
      <c r="AB4261" s="11"/>
      <c r="AC4261" s="105"/>
      <c r="AD4261" s="11" t="b">
        <v>0</v>
      </c>
      <c r="AE4261" s="105"/>
      <c r="AF4261" s="11"/>
      <c r="AG4261" s="11"/>
      <c r="AH4261" s="11"/>
      <c r="AI4261" s="11"/>
    </row>
    <row r="4262" ht="12.5" spans="3:35">
      <c r="C4262" s="19"/>
      <c r="D4262" s="19"/>
      <c r="H4262" s="105"/>
      <c r="I4262" s="126"/>
      <c r="J4262" s="11"/>
      <c r="K4262" s="108"/>
      <c r="L4262" s="11"/>
      <c r="M4262" s="105"/>
      <c r="N4262" s="105"/>
      <c r="O4262" s="11"/>
      <c r="P4262" s="11"/>
      <c r="Q4262" s="105"/>
      <c r="R4262" s="105"/>
      <c r="S4262" s="105"/>
      <c r="T4262" s="105"/>
      <c r="U4262" s="105"/>
      <c r="V4262" s="105"/>
      <c r="W4262" s="105"/>
      <c r="X4262" s="11"/>
      <c r="Y4262" s="11"/>
      <c r="Z4262" s="105"/>
      <c r="AA4262" s="11"/>
      <c r="AB4262" s="11"/>
      <c r="AC4262" s="105"/>
      <c r="AD4262" s="11" t="b">
        <v>0</v>
      </c>
      <c r="AE4262" s="105"/>
      <c r="AF4262" s="11"/>
      <c r="AG4262" s="11"/>
      <c r="AH4262" s="11"/>
      <c r="AI4262" s="11"/>
    </row>
    <row r="4263" ht="12.5" spans="3:35">
      <c r="C4263" s="19"/>
      <c r="D4263" s="19"/>
      <c r="H4263" s="105"/>
      <c r="I4263" s="126"/>
      <c r="J4263" s="11"/>
      <c r="K4263" s="108"/>
      <c r="L4263" s="11"/>
      <c r="M4263" s="105"/>
      <c r="N4263" s="105"/>
      <c r="O4263" s="11"/>
      <c r="P4263" s="11"/>
      <c r="Q4263" s="105"/>
      <c r="R4263" s="105"/>
      <c r="S4263" s="105"/>
      <c r="T4263" s="105"/>
      <c r="U4263" s="105"/>
      <c r="V4263" s="105"/>
      <c r="W4263" s="105"/>
      <c r="X4263" s="11"/>
      <c r="Y4263" s="11"/>
      <c r="Z4263" s="105"/>
      <c r="AA4263" s="11"/>
      <c r="AB4263" s="11"/>
      <c r="AC4263" s="105"/>
      <c r="AD4263" s="11" t="b">
        <v>0</v>
      </c>
      <c r="AE4263" s="105"/>
      <c r="AF4263" s="11"/>
      <c r="AG4263" s="11"/>
      <c r="AH4263" s="11"/>
      <c r="AI4263" s="11"/>
    </row>
    <row r="4264" ht="12.5" spans="3:35">
      <c r="C4264" s="19"/>
      <c r="D4264" s="19"/>
      <c r="H4264" s="105"/>
      <c r="I4264" s="126"/>
      <c r="J4264" s="11"/>
      <c r="K4264" s="108"/>
      <c r="L4264" s="11"/>
      <c r="M4264" s="105"/>
      <c r="N4264" s="105"/>
      <c r="O4264" s="11"/>
      <c r="P4264" s="11"/>
      <c r="Q4264" s="105"/>
      <c r="R4264" s="105"/>
      <c r="S4264" s="105"/>
      <c r="T4264" s="105"/>
      <c r="U4264" s="105"/>
      <c r="V4264" s="105"/>
      <c r="W4264" s="105"/>
      <c r="X4264" s="11"/>
      <c r="Y4264" s="11"/>
      <c r="Z4264" s="105"/>
      <c r="AA4264" s="11"/>
      <c r="AB4264" s="11"/>
      <c r="AC4264" s="105"/>
      <c r="AD4264" s="11" t="b">
        <v>0</v>
      </c>
      <c r="AE4264" s="105"/>
      <c r="AF4264" s="11"/>
      <c r="AG4264" s="11"/>
      <c r="AH4264" s="11"/>
      <c r="AI4264" s="11"/>
    </row>
    <row r="4265" ht="12.5" spans="3:35">
      <c r="C4265" s="19"/>
      <c r="D4265" s="19"/>
      <c r="H4265" s="105"/>
      <c r="I4265" s="126"/>
      <c r="J4265" s="11"/>
      <c r="K4265" s="108"/>
      <c r="L4265" s="11"/>
      <c r="M4265" s="105"/>
      <c r="N4265" s="105"/>
      <c r="O4265" s="11"/>
      <c r="P4265" s="11"/>
      <c r="Q4265" s="105"/>
      <c r="R4265" s="105"/>
      <c r="S4265" s="105"/>
      <c r="T4265" s="105"/>
      <c r="U4265" s="105"/>
      <c r="V4265" s="105"/>
      <c r="W4265" s="105"/>
      <c r="X4265" s="11"/>
      <c r="Y4265" s="11"/>
      <c r="Z4265" s="105"/>
      <c r="AA4265" s="11"/>
      <c r="AB4265" s="11"/>
      <c r="AC4265" s="105"/>
      <c r="AD4265" s="11" t="b">
        <v>0</v>
      </c>
      <c r="AE4265" s="105"/>
      <c r="AF4265" s="11"/>
      <c r="AG4265" s="11"/>
      <c r="AH4265" s="11"/>
      <c r="AI4265" s="11"/>
    </row>
    <row r="4266" ht="12.5" spans="3:35">
      <c r="C4266" s="19"/>
      <c r="D4266" s="19"/>
      <c r="H4266" s="105"/>
      <c r="I4266" s="126"/>
      <c r="J4266" s="11"/>
      <c r="K4266" s="108"/>
      <c r="L4266" s="11"/>
      <c r="M4266" s="105"/>
      <c r="N4266" s="105"/>
      <c r="O4266" s="11"/>
      <c r="P4266" s="11"/>
      <c r="Q4266" s="105"/>
      <c r="R4266" s="105"/>
      <c r="S4266" s="105"/>
      <c r="T4266" s="105"/>
      <c r="U4266" s="105"/>
      <c r="V4266" s="105"/>
      <c r="W4266" s="105"/>
      <c r="X4266" s="11"/>
      <c r="Y4266" s="11"/>
      <c r="Z4266" s="105"/>
      <c r="AA4266" s="11"/>
      <c r="AB4266" s="11"/>
      <c r="AC4266" s="105"/>
      <c r="AD4266" s="11" t="b">
        <v>0</v>
      </c>
      <c r="AE4266" s="105"/>
      <c r="AF4266" s="11"/>
      <c r="AG4266" s="11"/>
      <c r="AH4266" s="11"/>
      <c r="AI4266" s="11"/>
    </row>
    <row r="4267" ht="12.5" spans="3:35">
      <c r="C4267" s="19"/>
      <c r="D4267" s="19"/>
      <c r="H4267" s="105"/>
      <c r="I4267" s="126"/>
      <c r="J4267" s="11"/>
      <c r="K4267" s="108"/>
      <c r="L4267" s="11"/>
      <c r="M4267" s="105"/>
      <c r="N4267" s="105"/>
      <c r="O4267" s="11"/>
      <c r="P4267" s="11"/>
      <c r="Q4267" s="105"/>
      <c r="R4267" s="105"/>
      <c r="S4267" s="105"/>
      <c r="T4267" s="105"/>
      <c r="U4267" s="105"/>
      <c r="V4267" s="105"/>
      <c r="W4267" s="105"/>
      <c r="X4267" s="11"/>
      <c r="Y4267" s="11"/>
      <c r="Z4267" s="105"/>
      <c r="AA4267" s="11"/>
      <c r="AB4267" s="11"/>
      <c r="AC4267" s="105"/>
      <c r="AD4267" s="11" t="b">
        <v>0</v>
      </c>
      <c r="AE4267" s="105"/>
      <c r="AF4267" s="11"/>
      <c r="AG4267" s="11"/>
      <c r="AH4267" s="11"/>
      <c r="AI4267" s="11"/>
    </row>
    <row r="4268" ht="12.5" spans="3:35">
      <c r="C4268" s="19"/>
      <c r="D4268" s="19"/>
      <c r="H4268" s="105"/>
      <c r="I4268" s="126"/>
      <c r="J4268" s="11"/>
      <c r="K4268" s="108"/>
      <c r="L4268" s="11"/>
      <c r="M4268" s="105"/>
      <c r="N4268" s="105"/>
      <c r="O4268" s="11"/>
      <c r="P4268" s="11"/>
      <c r="Q4268" s="105"/>
      <c r="R4268" s="105"/>
      <c r="S4268" s="105"/>
      <c r="T4268" s="105"/>
      <c r="U4268" s="105"/>
      <c r="V4268" s="105"/>
      <c r="W4268" s="105"/>
      <c r="X4268" s="11"/>
      <c r="Y4268" s="11"/>
      <c r="Z4268" s="105"/>
      <c r="AA4268" s="11"/>
      <c r="AB4268" s="11"/>
      <c r="AC4268" s="105"/>
      <c r="AD4268" s="11" t="b">
        <v>0</v>
      </c>
      <c r="AE4268" s="105"/>
      <c r="AF4268" s="11"/>
      <c r="AG4268" s="11"/>
      <c r="AH4268" s="11"/>
      <c r="AI4268" s="11"/>
    </row>
    <row r="4269" ht="12.5" spans="3:35">
      <c r="C4269" s="19"/>
      <c r="D4269" s="19"/>
      <c r="H4269" s="105"/>
      <c r="I4269" s="126"/>
      <c r="J4269" s="11"/>
      <c r="K4269" s="108"/>
      <c r="L4269" s="11"/>
      <c r="M4269" s="105"/>
      <c r="N4269" s="105"/>
      <c r="O4269" s="11"/>
      <c r="P4269" s="11"/>
      <c r="Q4269" s="105"/>
      <c r="R4269" s="105"/>
      <c r="S4269" s="105"/>
      <c r="T4269" s="105"/>
      <c r="U4269" s="105"/>
      <c r="V4269" s="105"/>
      <c r="W4269" s="105"/>
      <c r="X4269" s="11"/>
      <c r="Y4269" s="11"/>
      <c r="Z4269" s="105"/>
      <c r="AA4269" s="11"/>
      <c r="AB4269" s="11"/>
      <c r="AC4269" s="105"/>
      <c r="AD4269" s="11" t="b">
        <v>0</v>
      </c>
      <c r="AE4269" s="105"/>
      <c r="AF4269" s="11"/>
      <c r="AG4269" s="11"/>
      <c r="AH4269" s="11"/>
      <c r="AI4269" s="11"/>
    </row>
    <row r="4270" ht="12.5" spans="3:35">
      <c r="C4270" s="19"/>
      <c r="D4270" s="19"/>
      <c r="H4270" s="105"/>
      <c r="I4270" s="126"/>
      <c r="J4270" s="11"/>
      <c r="K4270" s="108"/>
      <c r="L4270" s="11"/>
      <c r="M4270" s="105"/>
      <c r="N4270" s="105"/>
      <c r="O4270" s="11"/>
      <c r="P4270" s="11"/>
      <c r="Q4270" s="105"/>
      <c r="R4270" s="105"/>
      <c r="S4270" s="105"/>
      <c r="T4270" s="105"/>
      <c r="U4270" s="105"/>
      <c r="V4270" s="105"/>
      <c r="W4270" s="105"/>
      <c r="X4270" s="11"/>
      <c r="Y4270" s="11"/>
      <c r="Z4270" s="105"/>
      <c r="AA4270" s="11"/>
      <c r="AB4270" s="11"/>
      <c r="AC4270" s="105"/>
      <c r="AD4270" s="11" t="b">
        <v>0</v>
      </c>
      <c r="AE4270" s="105"/>
      <c r="AF4270" s="11"/>
      <c r="AG4270" s="11"/>
      <c r="AH4270" s="11"/>
      <c r="AI4270" s="11"/>
    </row>
    <row r="4271" ht="12.5" spans="3:35">
      <c r="C4271" s="19"/>
      <c r="D4271" s="19"/>
      <c r="H4271" s="105"/>
      <c r="I4271" s="126"/>
      <c r="J4271" s="11"/>
      <c r="K4271" s="108"/>
      <c r="L4271" s="11"/>
      <c r="M4271" s="105"/>
      <c r="N4271" s="105"/>
      <c r="O4271" s="11"/>
      <c r="P4271" s="11"/>
      <c r="Q4271" s="105"/>
      <c r="R4271" s="105"/>
      <c r="S4271" s="105"/>
      <c r="T4271" s="105"/>
      <c r="U4271" s="105"/>
      <c r="V4271" s="105"/>
      <c r="W4271" s="105"/>
      <c r="X4271" s="11"/>
      <c r="Y4271" s="11"/>
      <c r="Z4271" s="105"/>
      <c r="AA4271" s="11"/>
      <c r="AB4271" s="11"/>
      <c r="AC4271" s="105"/>
      <c r="AD4271" s="11" t="b">
        <v>0</v>
      </c>
      <c r="AE4271" s="105"/>
      <c r="AF4271" s="11"/>
      <c r="AG4271" s="11"/>
      <c r="AH4271" s="11"/>
      <c r="AI4271" s="11"/>
    </row>
    <row r="4272" ht="12.5" spans="3:35">
      <c r="C4272" s="19"/>
      <c r="D4272" s="19"/>
      <c r="H4272" s="105"/>
      <c r="I4272" s="126"/>
      <c r="J4272" s="11"/>
      <c r="K4272" s="108"/>
      <c r="L4272" s="11"/>
      <c r="M4272" s="105"/>
      <c r="N4272" s="105"/>
      <c r="O4272" s="11"/>
      <c r="P4272" s="11"/>
      <c r="Q4272" s="105"/>
      <c r="R4272" s="105"/>
      <c r="S4272" s="105"/>
      <c r="T4272" s="105"/>
      <c r="U4272" s="105"/>
      <c r="V4272" s="105"/>
      <c r="W4272" s="105"/>
      <c r="X4272" s="11"/>
      <c r="Y4272" s="11"/>
      <c r="Z4272" s="105"/>
      <c r="AA4272" s="11"/>
      <c r="AB4272" s="11"/>
      <c r="AC4272" s="105"/>
      <c r="AD4272" s="11" t="b">
        <v>0</v>
      </c>
      <c r="AE4272" s="105"/>
      <c r="AF4272" s="11"/>
      <c r="AG4272" s="11"/>
      <c r="AH4272" s="11"/>
      <c r="AI4272" s="11"/>
    </row>
    <row r="4273" ht="12.5" spans="3:35">
      <c r="C4273" s="19"/>
      <c r="D4273" s="19"/>
      <c r="H4273" s="105"/>
      <c r="I4273" s="126"/>
      <c r="J4273" s="11"/>
      <c r="K4273" s="108"/>
      <c r="L4273" s="11"/>
      <c r="M4273" s="105"/>
      <c r="N4273" s="105"/>
      <c r="O4273" s="11"/>
      <c r="P4273" s="11"/>
      <c r="Q4273" s="105"/>
      <c r="R4273" s="105"/>
      <c r="S4273" s="105"/>
      <c r="T4273" s="105"/>
      <c r="U4273" s="105"/>
      <c r="V4273" s="105"/>
      <c r="W4273" s="105"/>
      <c r="X4273" s="11"/>
      <c r="Y4273" s="11"/>
      <c r="Z4273" s="105"/>
      <c r="AA4273" s="11"/>
      <c r="AB4273" s="11"/>
      <c r="AC4273" s="105"/>
      <c r="AD4273" s="11" t="b">
        <v>0</v>
      </c>
      <c r="AE4273" s="105"/>
      <c r="AF4273" s="11"/>
      <c r="AG4273" s="11"/>
      <c r="AH4273" s="11"/>
      <c r="AI4273" s="11"/>
    </row>
    <row r="4274" ht="12.5" spans="3:35">
      <c r="C4274" s="19"/>
      <c r="D4274" s="19"/>
      <c r="H4274" s="105"/>
      <c r="I4274" s="126"/>
      <c r="J4274" s="11"/>
      <c r="K4274" s="108"/>
      <c r="L4274" s="11"/>
      <c r="M4274" s="105"/>
      <c r="N4274" s="105"/>
      <c r="O4274" s="11"/>
      <c r="P4274" s="11"/>
      <c r="Q4274" s="105"/>
      <c r="R4274" s="105"/>
      <c r="S4274" s="105"/>
      <c r="T4274" s="105"/>
      <c r="U4274" s="105"/>
      <c r="V4274" s="105"/>
      <c r="W4274" s="105"/>
      <c r="X4274" s="11"/>
      <c r="Y4274" s="11"/>
      <c r="Z4274" s="105"/>
      <c r="AA4274" s="11"/>
      <c r="AB4274" s="11"/>
      <c r="AC4274" s="105"/>
      <c r="AD4274" s="11" t="b">
        <v>0</v>
      </c>
      <c r="AE4274" s="105"/>
      <c r="AF4274" s="11"/>
      <c r="AG4274" s="11"/>
      <c r="AH4274" s="11"/>
      <c r="AI4274" s="11"/>
    </row>
    <row r="4275" ht="12.5" spans="3:35">
      <c r="C4275" s="19"/>
      <c r="D4275" s="19"/>
      <c r="H4275" s="105"/>
      <c r="I4275" s="126"/>
      <c r="J4275" s="11"/>
      <c r="K4275" s="108"/>
      <c r="L4275" s="11"/>
      <c r="M4275" s="105"/>
      <c r="N4275" s="105"/>
      <c r="O4275" s="11"/>
      <c r="P4275" s="11"/>
      <c r="Q4275" s="105"/>
      <c r="R4275" s="105"/>
      <c r="S4275" s="105"/>
      <c r="T4275" s="105"/>
      <c r="U4275" s="105"/>
      <c r="V4275" s="105"/>
      <c r="W4275" s="105"/>
      <c r="X4275" s="11"/>
      <c r="Y4275" s="11"/>
      <c r="Z4275" s="105"/>
      <c r="AA4275" s="11"/>
      <c r="AB4275" s="11"/>
      <c r="AC4275" s="105"/>
      <c r="AD4275" s="11" t="b">
        <v>0</v>
      </c>
      <c r="AE4275" s="105"/>
      <c r="AF4275" s="11"/>
      <c r="AG4275" s="11"/>
      <c r="AH4275" s="11"/>
      <c r="AI4275" s="11"/>
    </row>
    <row r="4276" ht="12.5" spans="3:35">
      <c r="C4276" s="19"/>
      <c r="D4276" s="19"/>
      <c r="H4276" s="105"/>
      <c r="I4276" s="126"/>
      <c r="J4276" s="11"/>
      <c r="K4276" s="108"/>
      <c r="L4276" s="11"/>
      <c r="M4276" s="105"/>
      <c r="N4276" s="105"/>
      <c r="O4276" s="11"/>
      <c r="P4276" s="11"/>
      <c r="Q4276" s="105"/>
      <c r="R4276" s="105"/>
      <c r="S4276" s="105"/>
      <c r="T4276" s="105"/>
      <c r="U4276" s="105"/>
      <c r="V4276" s="105"/>
      <c r="W4276" s="105"/>
      <c r="X4276" s="11"/>
      <c r="Y4276" s="11"/>
      <c r="Z4276" s="105"/>
      <c r="AA4276" s="11"/>
      <c r="AB4276" s="11"/>
      <c r="AC4276" s="105"/>
      <c r="AD4276" s="11" t="b">
        <v>0</v>
      </c>
      <c r="AE4276" s="105"/>
      <c r="AF4276" s="11"/>
      <c r="AG4276" s="11"/>
      <c r="AH4276" s="11"/>
      <c r="AI4276" s="11"/>
    </row>
    <row r="4277" ht="12.5" spans="3:35">
      <c r="C4277" s="19"/>
      <c r="D4277" s="19"/>
      <c r="H4277" s="105"/>
      <c r="I4277" s="126"/>
      <c r="J4277" s="11"/>
      <c r="K4277" s="108"/>
      <c r="L4277" s="11"/>
      <c r="M4277" s="105"/>
      <c r="N4277" s="105"/>
      <c r="O4277" s="11"/>
      <c r="P4277" s="11"/>
      <c r="Q4277" s="105"/>
      <c r="R4277" s="105"/>
      <c r="S4277" s="105"/>
      <c r="T4277" s="105"/>
      <c r="U4277" s="105"/>
      <c r="V4277" s="105"/>
      <c r="W4277" s="105"/>
      <c r="X4277" s="11"/>
      <c r="Y4277" s="11"/>
      <c r="Z4277" s="105"/>
      <c r="AA4277" s="11"/>
      <c r="AB4277" s="11"/>
      <c r="AC4277" s="105"/>
      <c r="AD4277" s="11" t="b">
        <v>0</v>
      </c>
      <c r="AE4277" s="105"/>
      <c r="AF4277" s="11"/>
      <c r="AG4277" s="11"/>
      <c r="AH4277" s="11"/>
      <c r="AI4277" s="11"/>
    </row>
    <row r="4278" ht="12.5" spans="3:35">
      <c r="C4278" s="19"/>
      <c r="D4278" s="19"/>
      <c r="H4278" s="105"/>
      <c r="I4278" s="126"/>
      <c r="J4278" s="11"/>
      <c r="K4278" s="108"/>
      <c r="L4278" s="11"/>
      <c r="M4278" s="105"/>
      <c r="N4278" s="105"/>
      <c r="O4278" s="11"/>
      <c r="P4278" s="11"/>
      <c r="Q4278" s="105"/>
      <c r="R4278" s="105"/>
      <c r="S4278" s="105"/>
      <c r="T4278" s="105"/>
      <c r="U4278" s="105"/>
      <c r="V4278" s="105"/>
      <c r="W4278" s="105"/>
      <c r="X4278" s="11"/>
      <c r="Y4278" s="11"/>
      <c r="Z4278" s="105"/>
      <c r="AA4278" s="11"/>
      <c r="AB4278" s="11"/>
      <c r="AC4278" s="105"/>
      <c r="AD4278" s="11" t="b">
        <v>0</v>
      </c>
      <c r="AE4278" s="105"/>
      <c r="AF4278" s="11"/>
      <c r="AG4278" s="11"/>
      <c r="AH4278" s="11"/>
      <c r="AI4278" s="11"/>
    </row>
    <row r="4279" ht="12.5" spans="3:35">
      <c r="C4279" s="19"/>
      <c r="D4279" s="19"/>
      <c r="H4279" s="105"/>
      <c r="I4279" s="126"/>
      <c r="J4279" s="11"/>
      <c r="K4279" s="108"/>
      <c r="L4279" s="11"/>
      <c r="M4279" s="105"/>
      <c r="N4279" s="105"/>
      <c r="O4279" s="11"/>
      <c r="P4279" s="11"/>
      <c r="Q4279" s="105"/>
      <c r="R4279" s="105"/>
      <c r="S4279" s="105"/>
      <c r="T4279" s="105"/>
      <c r="U4279" s="105"/>
      <c r="V4279" s="105"/>
      <c r="W4279" s="105"/>
      <c r="X4279" s="11"/>
      <c r="Y4279" s="11"/>
      <c r="Z4279" s="105"/>
      <c r="AA4279" s="11"/>
      <c r="AB4279" s="11"/>
      <c r="AC4279" s="105"/>
      <c r="AD4279" s="11" t="b">
        <v>0</v>
      </c>
      <c r="AE4279" s="105"/>
      <c r="AF4279" s="11"/>
      <c r="AG4279" s="11"/>
      <c r="AH4279" s="11"/>
      <c r="AI4279" s="11"/>
    </row>
    <row r="4280" ht="12.5" spans="3:35">
      <c r="C4280" s="19"/>
      <c r="D4280" s="19"/>
      <c r="H4280" s="105"/>
      <c r="I4280" s="126"/>
      <c r="J4280" s="11"/>
      <c r="K4280" s="108"/>
      <c r="L4280" s="11"/>
      <c r="M4280" s="105"/>
      <c r="N4280" s="105"/>
      <c r="O4280" s="11"/>
      <c r="P4280" s="11"/>
      <c r="Q4280" s="105"/>
      <c r="R4280" s="105"/>
      <c r="S4280" s="105"/>
      <c r="T4280" s="105"/>
      <c r="U4280" s="105"/>
      <c r="V4280" s="105"/>
      <c r="W4280" s="105"/>
      <c r="X4280" s="11"/>
      <c r="Y4280" s="11"/>
      <c r="Z4280" s="105"/>
      <c r="AA4280" s="11"/>
      <c r="AB4280" s="11"/>
      <c r="AC4280" s="105"/>
      <c r="AD4280" s="11" t="b">
        <v>0</v>
      </c>
      <c r="AE4280" s="105"/>
      <c r="AF4280" s="11"/>
      <c r="AG4280" s="11"/>
      <c r="AH4280" s="11"/>
      <c r="AI4280" s="11"/>
    </row>
    <row r="4281" ht="12.5" spans="3:35">
      <c r="C4281" s="19"/>
      <c r="D4281" s="19"/>
      <c r="H4281" s="105"/>
      <c r="I4281" s="126"/>
      <c r="J4281" s="11"/>
      <c r="K4281" s="108"/>
      <c r="L4281" s="11"/>
      <c r="M4281" s="105"/>
      <c r="N4281" s="105"/>
      <c r="O4281" s="11"/>
      <c r="P4281" s="11"/>
      <c r="Q4281" s="105"/>
      <c r="R4281" s="105"/>
      <c r="S4281" s="105"/>
      <c r="T4281" s="105"/>
      <c r="U4281" s="105"/>
      <c r="V4281" s="105"/>
      <c r="W4281" s="105"/>
      <c r="X4281" s="11"/>
      <c r="Y4281" s="11"/>
      <c r="Z4281" s="105"/>
      <c r="AA4281" s="11"/>
      <c r="AB4281" s="11"/>
      <c r="AC4281" s="105"/>
      <c r="AD4281" s="11" t="b">
        <v>0</v>
      </c>
      <c r="AE4281" s="105"/>
      <c r="AF4281" s="11"/>
      <c r="AG4281" s="11"/>
      <c r="AH4281" s="11"/>
      <c r="AI4281" s="11"/>
    </row>
    <row r="4282" ht="12.5" spans="3:35">
      <c r="C4282" s="19"/>
      <c r="D4282" s="19"/>
      <c r="H4282" s="105"/>
      <c r="I4282" s="126"/>
      <c r="J4282" s="11"/>
      <c r="K4282" s="108"/>
      <c r="L4282" s="11"/>
      <c r="M4282" s="105"/>
      <c r="N4282" s="105"/>
      <c r="O4282" s="11"/>
      <c r="P4282" s="11"/>
      <c r="Q4282" s="105"/>
      <c r="R4282" s="105"/>
      <c r="S4282" s="105"/>
      <c r="T4282" s="105"/>
      <c r="U4282" s="105"/>
      <c r="V4282" s="105"/>
      <c r="W4282" s="105"/>
      <c r="X4282" s="11"/>
      <c r="Y4282" s="11"/>
      <c r="Z4282" s="105"/>
      <c r="AA4282" s="11"/>
      <c r="AB4282" s="11"/>
      <c r="AC4282" s="105"/>
      <c r="AD4282" s="11" t="b">
        <v>0</v>
      </c>
      <c r="AE4282" s="105"/>
      <c r="AF4282" s="11"/>
      <c r="AG4282" s="11"/>
      <c r="AH4282" s="11"/>
      <c r="AI4282" s="11"/>
    </row>
    <row r="4283" ht="12.5" spans="3:35">
      <c r="C4283" s="19"/>
      <c r="D4283" s="19"/>
      <c r="H4283" s="105"/>
      <c r="I4283" s="126"/>
      <c r="J4283" s="11"/>
      <c r="K4283" s="108"/>
      <c r="L4283" s="11"/>
      <c r="M4283" s="105"/>
      <c r="N4283" s="105"/>
      <c r="O4283" s="11"/>
      <c r="P4283" s="11"/>
      <c r="Q4283" s="105"/>
      <c r="R4283" s="105"/>
      <c r="S4283" s="105"/>
      <c r="T4283" s="105"/>
      <c r="U4283" s="105"/>
      <c r="V4283" s="105"/>
      <c r="W4283" s="105"/>
      <c r="X4283" s="11"/>
      <c r="Y4283" s="11"/>
      <c r="Z4283" s="105"/>
      <c r="AA4283" s="11"/>
      <c r="AB4283" s="11"/>
      <c r="AC4283" s="105"/>
      <c r="AD4283" s="11" t="b">
        <v>0</v>
      </c>
      <c r="AE4283" s="105"/>
      <c r="AF4283" s="11"/>
      <c r="AG4283" s="11"/>
      <c r="AH4283" s="11"/>
      <c r="AI4283" s="11"/>
    </row>
    <row r="4284" ht="12.5" spans="3:35">
      <c r="C4284" s="19"/>
      <c r="D4284" s="19"/>
      <c r="H4284" s="105"/>
      <c r="I4284" s="126"/>
      <c r="J4284" s="11"/>
      <c r="K4284" s="108"/>
      <c r="L4284" s="11"/>
      <c r="M4284" s="105"/>
      <c r="N4284" s="105"/>
      <c r="O4284" s="11"/>
      <c r="P4284" s="11"/>
      <c r="Q4284" s="105"/>
      <c r="R4284" s="105"/>
      <c r="S4284" s="105"/>
      <c r="T4284" s="105"/>
      <c r="U4284" s="105"/>
      <c r="V4284" s="105"/>
      <c r="W4284" s="105"/>
      <c r="X4284" s="11"/>
      <c r="Y4284" s="11"/>
      <c r="Z4284" s="105"/>
      <c r="AA4284" s="11"/>
      <c r="AB4284" s="11"/>
      <c r="AC4284" s="105"/>
      <c r="AD4284" s="11" t="b">
        <v>0</v>
      </c>
      <c r="AE4284" s="105"/>
      <c r="AF4284" s="11"/>
      <c r="AG4284" s="11"/>
      <c r="AH4284" s="11"/>
      <c r="AI4284" s="11"/>
    </row>
    <row r="4285" ht="12.5" spans="3:35">
      <c r="C4285" s="19"/>
      <c r="D4285" s="19"/>
      <c r="H4285" s="105"/>
      <c r="I4285" s="126"/>
      <c r="J4285" s="11"/>
      <c r="K4285" s="108"/>
      <c r="L4285" s="11"/>
      <c r="M4285" s="105"/>
      <c r="N4285" s="105"/>
      <c r="O4285" s="11"/>
      <c r="P4285" s="11"/>
      <c r="Q4285" s="105"/>
      <c r="R4285" s="105"/>
      <c r="S4285" s="105"/>
      <c r="T4285" s="105"/>
      <c r="U4285" s="105"/>
      <c r="V4285" s="105"/>
      <c r="W4285" s="105"/>
      <c r="X4285" s="11"/>
      <c r="Y4285" s="11"/>
      <c r="Z4285" s="105"/>
      <c r="AA4285" s="11"/>
      <c r="AB4285" s="11"/>
      <c r="AC4285" s="105"/>
      <c r="AD4285" s="11" t="b">
        <v>0</v>
      </c>
      <c r="AE4285" s="105"/>
      <c r="AF4285" s="11"/>
      <c r="AG4285" s="11"/>
      <c r="AH4285" s="11"/>
      <c r="AI4285" s="11"/>
    </row>
    <row r="4286" ht="12.5" spans="3:35">
      <c r="C4286" s="19"/>
      <c r="D4286" s="19"/>
      <c r="H4286" s="105"/>
      <c r="I4286" s="126"/>
      <c r="J4286" s="11"/>
      <c r="K4286" s="108"/>
      <c r="L4286" s="11"/>
      <c r="M4286" s="105"/>
      <c r="N4286" s="105"/>
      <c r="O4286" s="11"/>
      <c r="P4286" s="11"/>
      <c r="Q4286" s="105"/>
      <c r="R4286" s="105"/>
      <c r="S4286" s="105"/>
      <c r="T4286" s="105"/>
      <c r="U4286" s="105"/>
      <c r="V4286" s="105"/>
      <c r="W4286" s="105"/>
      <c r="X4286" s="11"/>
      <c r="Y4286" s="11"/>
      <c r="Z4286" s="105"/>
      <c r="AA4286" s="11"/>
      <c r="AB4286" s="11"/>
      <c r="AC4286" s="105"/>
      <c r="AD4286" s="11" t="b">
        <v>0</v>
      </c>
      <c r="AE4286" s="105"/>
      <c r="AF4286" s="11"/>
      <c r="AG4286" s="11"/>
      <c r="AH4286" s="11"/>
      <c r="AI4286" s="11"/>
    </row>
    <row r="4287" ht="12.5" spans="3:35">
      <c r="C4287" s="19"/>
      <c r="D4287" s="19"/>
      <c r="H4287" s="105"/>
      <c r="I4287" s="126"/>
      <c r="J4287" s="11"/>
      <c r="K4287" s="108"/>
      <c r="L4287" s="11"/>
      <c r="M4287" s="105"/>
      <c r="N4287" s="105"/>
      <c r="O4287" s="11"/>
      <c r="P4287" s="11"/>
      <c r="Q4287" s="105"/>
      <c r="R4287" s="105"/>
      <c r="S4287" s="105"/>
      <c r="T4287" s="105"/>
      <c r="U4287" s="105"/>
      <c r="V4287" s="105"/>
      <c r="W4287" s="105"/>
      <c r="X4287" s="11"/>
      <c r="Y4287" s="11"/>
      <c r="Z4287" s="105"/>
      <c r="AA4287" s="11"/>
      <c r="AB4287" s="11"/>
      <c r="AC4287" s="105"/>
      <c r="AD4287" s="11" t="b">
        <v>0</v>
      </c>
      <c r="AE4287" s="105"/>
      <c r="AF4287" s="11"/>
      <c r="AG4287" s="11"/>
      <c r="AH4287" s="11"/>
      <c r="AI4287" s="11"/>
    </row>
    <row r="4288" ht="12.5" spans="3:35">
      <c r="C4288" s="19"/>
      <c r="D4288" s="19"/>
      <c r="H4288" s="105"/>
      <c r="I4288" s="126"/>
      <c r="J4288" s="11"/>
      <c r="K4288" s="108"/>
      <c r="L4288" s="11"/>
      <c r="M4288" s="105"/>
      <c r="N4288" s="105"/>
      <c r="O4288" s="11"/>
      <c r="P4288" s="11"/>
      <c r="Q4288" s="105"/>
      <c r="R4288" s="105"/>
      <c r="S4288" s="105"/>
      <c r="T4288" s="105"/>
      <c r="U4288" s="105"/>
      <c r="V4288" s="105"/>
      <c r="W4288" s="105"/>
      <c r="X4288" s="11"/>
      <c r="Y4288" s="11"/>
      <c r="Z4288" s="105"/>
      <c r="AA4288" s="11"/>
      <c r="AB4288" s="11"/>
      <c r="AC4288" s="105"/>
      <c r="AD4288" s="11" t="b">
        <v>0</v>
      </c>
      <c r="AE4288" s="105"/>
      <c r="AF4288" s="11"/>
      <c r="AG4288" s="11"/>
      <c r="AH4288" s="11"/>
      <c r="AI4288" s="11"/>
    </row>
    <row r="4289" ht="12.5" spans="3:35">
      <c r="C4289" s="19"/>
      <c r="D4289" s="19"/>
      <c r="H4289" s="105"/>
      <c r="I4289" s="126"/>
      <c r="J4289" s="11"/>
      <c r="K4289" s="108"/>
      <c r="L4289" s="11"/>
      <c r="M4289" s="105"/>
      <c r="N4289" s="105"/>
      <c r="O4289" s="11"/>
      <c r="P4289" s="11"/>
      <c r="Q4289" s="105"/>
      <c r="R4289" s="105"/>
      <c r="S4289" s="105"/>
      <c r="T4289" s="105"/>
      <c r="U4289" s="105"/>
      <c r="V4289" s="105"/>
      <c r="W4289" s="105"/>
      <c r="X4289" s="11"/>
      <c r="Y4289" s="11"/>
      <c r="Z4289" s="105"/>
      <c r="AA4289" s="11"/>
      <c r="AB4289" s="11"/>
      <c r="AC4289" s="105"/>
      <c r="AD4289" s="11" t="b">
        <v>0</v>
      </c>
      <c r="AE4289" s="105"/>
      <c r="AF4289" s="11"/>
      <c r="AG4289" s="11"/>
      <c r="AH4289" s="11"/>
      <c r="AI4289" s="11"/>
    </row>
    <row r="4290" ht="12.5" spans="3:35">
      <c r="C4290" s="19"/>
      <c r="D4290" s="19"/>
      <c r="H4290" s="105"/>
      <c r="I4290" s="126"/>
      <c r="J4290" s="11"/>
      <c r="K4290" s="108"/>
      <c r="L4290" s="11"/>
      <c r="M4290" s="105"/>
      <c r="N4290" s="105"/>
      <c r="O4290" s="11"/>
      <c r="P4290" s="11"/>
      <c r="Q4290" s="105"/>
      <c r="R4290" s="105"/>
      <c r="S4290" s="105"/>
      <c r="T4290" s="105"/>
      <c r="U4290" s="105"/>
      <c r="V4290" s="105"/>
      <c r="W4290" s="105"/>
      <c r="X4290" s="11"/>
      <c r="Y4290" s="11"/>
      <c r="Z4290" s="105"/>
      <c r="AA4290" s="11"/>
      <c r="AB4290" s="11"/>
      <c r="AC4290" s="105"/>
      <c r="AD4290" s="11" t="b">
        <v>0</v>
      </c>
      <c r="AE4290" s="105"/>
      <c r="AF4290" s="11"/>
      <c r="AG4290" s="11"/>
      <c r="AH4290" s="11"/>
      <c r="AI4290" s="11"/>
    </row>
    <row r="4291" ht="12.5" spans="3:35">
      <c r="C4291" s="19"/>
      <c r="D4291" s="19"/>
      <c r="H4291" s="105"/>
      <c r="I4291" s="126"/>
      <c r="J4291" s="11"/>
      <c r="K4291" s="108"/>
      <c r="L4291" s="11"/>
      <c r="M4291" s="105"/>
      <c r="N4291" s="105"/>
      <c r="O4291" s="11"/>
      <c r="P4291" s="11"/>
      <c r="Q4291" s="105"/>
      <c r="R4291" s="105"/>
      <c r="S4291" s="105"/>
      <c r="T4291" s="105"/>
      <c r="U4291" s="105"/>
      <c r="V4291" s="105"/>
      <c r="W4291" s="105"/>
      <c r="X4291" s="11"/>
      <c r="Y4291" s="11"/>
      <c r="Z4291" s="105"/>
      <c r="AA4291" s="11"/>
      <c r="AB4291" s="11"/>
      <c r="AC4291" s="105"/>
      <c r="AD4291" s="11" t="b">
        <v>0</v>
      </c>
      <c r="AE4291" s="105"/>
      <c r="AF4291" s="11"/>
      <c r="AG4291" s="11"/>
      <c r="AH4291" s="11"/>
      <c r="AI4291" s="11"/>
    </row>
    <row r="4292" ht="12.5" spans="3:35">
      <c r="C4292" s="19"/>
      <c r="D4292" s="19"/>
      <c r="H4292" s="105"/>
      <c r="I4292" s="126"/>
      <c r="J4292" s="11"/>
      <c r="K4292" s="108"/>
      <c r="L4292" s="11"/>
      <c r="M4292" s="105"/>
      <c r="N4292" s="105"/>
      <c r="O4292" s="11"/>
      <c r="P4292" s="11"/>
      <c r="Q4292" s="105"/>
      <c r="R4292" s="105"/>
      <c r="S4292" s="105"/>
      <c r="T4292" s="105"/>
      <c r="U4292" s="105"/>
      <c r="V4292" s="105"/>
      <c r="W4292" s="105"/>
      <c r="X4292" s="11"/>
      <c r="Y4292" s="11"/>
      <c r="Z4292" s="105"/>
      <c r="AA4292" s="11"/>
      <c r="AB4292" s="11"/>
      <c r="AC4292" s="105"/>
      <c r="AD4292" s="11" t="b">
        <v>0</v>
      </c>
      <c r="AE4292" s="105"/>
      <c r="AF4292" s="11"/>
      <c r="AG4292" s="11"/>
      <c r="AH4292" s="11"/>
      <c r="AI4292" s="11"/>
    </row>
    <row r="4293" ht="12.5" spans="3:35">
      <c r="C4293" s="19"/>
      <c r="D4293" s="19"/>
      <c r="H4293" s="105"/>
      <c r="I4293" s="126"/>
      <c r="J4293" s="11"/>
      <c r="K4293" s="108"/>
      <c r="L4293" s="11"/>
      <c r="M4293" s="105"/>
      <c r="N4293" s="105"/>
      <c r="O4293" s="11"/>
      <c r="P4293" s="11"/>
      <c r="Q4293" s="105"/>
      <c r="R4293" s="105"/>
      <c r="S4293" s="105"/>
      <c r="T4293" s="105"/>
      <c r="U4293" s="105"/>
      <c r="V4293" s="105"/>
      <c r="W4293" s="105"/>
      <c r="X4293" s="11"/>
      <c r="Y4293" s="11"/>
      <c r="Z4293" s="105"/>
      <c r="AA4293" s="11"/>
      <c r="AB4293" s="11"/>
      <c r="AC4293" s="105"/>
      <c r="AD4293" s="11" t="b">
        <v>0</v>
      </c>
      <c r="AE4293" s="105"/>
      <c r="AF4293" s="11"/>
      <c r="AG4293" s="11"/>
      <c r="AH4293" s="11"/>
      <c r="AI4293" s="11"/>
    </row>
    <row r="4294" ht="12.5" spans="3:35">
      <c r="C4294" s="19"/>
      <c r="D4294" s="19"/>
      <c r="H4294" s="105"/>
      <c r="I4294" s="126"/>
      <c r="J4294" s="11"/>
      <c r="K4294" s="108"/>
      <c r="L4294" s="11"/>
      <c r="M4294" s="105"/>
      <c r="N4294" s="105"/>
      <c r="O4294" s="11"/>
      <c r="P4294" s="11"/>
      <c r="Q4294" s="105"/>
      <c r="R4294" s="105"/>
      <c r="S4294" s="105"/>
      <c r="T4294" s="105"/>
      <c r="U4294" s="105"/>
      <c r="V4294" s="105"/>
      <c r="W4294" s="105"/>
      <c r="X4294" s="11"/>
      <c r="Y4294" s="11"/>
      <c r="Z4294" s="105"/>
      <c r="AA4294" s="11"/>
      <c r="AB4294" s="11"/>
      <c r="AC4294" s="105"/>
      <c r="AD4294" s="11" t="b">
        <v>0</v>
      </c>
      <c r="AE4294" s="105"/>
      <c r="AF4294" s="11"/>
      <c r="AG4294" s="11"/>
      <c r="AH4294" s="11"/>
      <c r="AI4294" s="11"/>
    </row>
    <row r="4295" ht="12.5" spans="3:35">
      <c r="C4295" s="19"/>
      <c r="D4295" s="19"/>
      <c r="H4295" s="105"/>
      <c r="I4295" s="126"/>
      <c r="J4295" s="11"/>
      <c r="K4295" s="108"/>
      <c r="L4295" s="11"/>
      <c r="M4295" s="105"/>
      <c r="N4295" s="105"/>
      <c r="O4295" s="11"/>
      <c r="P4295" s="11"/>
      <c r="Q4295" s="105"/>
      <c r="R4295" s="105"/>
      <c r="S4295" s="105"/>
      <c r="T4295" s="105"/>
      <c r="U4295" s="105"/>
      <c r="V4295" s="105"/>
      <c r="W4295" s="105"/>
      <c r="X4295" s="11"/>
      <c r="Y4295" s="11"/>
      <c r="Z4295" s="105"/>
      <c r="AA4295" s="11"/>
      <c r="AB4295" s="11"/>
      <c r="AC4295" s="105"/>
      <c r="AD4295" s="11" t="b">
        <v>0</v>
      </c>
      <c r="AE4295" s="105"/>
      <c r="AF4295" s="11"/>
      <c r="AG4295" s="11"/>
      <c r="AH4295" s="11"/>
      <c r="AI4295" s="11"/>
    </row>
    <row r="4296" ht="12.5" spans="3:35">
      <c r="C4296" s="19"/>
      <c r="D4296" s="19"/>
      <c r="H4296" s="105"/>
      <c r="I4296" s="126"/>
      <c r="J4296" s="11"/>
      <c r="K4296" s="108"/>
      <c r="L4296" s="11"/>
      <c r="M4296" s="105"/>
      <c r="N4296" s="105"/>
      <c r="O4296" s="11"/>
      <c r="P4296" s="11"/>
      <c r="Q4296" s="105"/>
      <c r="R4296" s="105"/>
      <c r="S4296" s="105"/>
      <c r="T4296" s="105"/>
      <c r="U4296" s="105"/>
      <c r="V4296" s="105"/>
      <c r="W4296" s="105"/>
      <c r="X4296" s="11"/>
      <c r="Y4296" s="11"/>
      <c r="Z4296" s="105"/>
      <c r="AA4296" s="11"/>
      <c r="AB4296" s="11"/>
      <c r="AC4296" s="105"/>
      <c r="AD4296" s="11" t="b">
        <v>0</v>
      </c>
      <c r="AE4296" s="105"/>
      <c r="AF4296" s="11"/>
      <c r="AG4296" s="11"/>
      <c r="AH4296" s="11"/>
      <c r="AI4296" s="11"/>
    </row>
    <row r="4297" ht="12.5" spans="3:35">
      <c r="C4297" s="19"/>
      <c r="D4297" s="19"/>
      <c r="H4297" s="105"/>
      <c r="I4297" s="126"/>
      <c r="J4297" s="11"/>
      <c r="K4297" s="108"/>
      <c r="L4297" s="11"/>
      <c r="M4297" s="105"/>
      <c r="N4297" s="105"/>
      <c r="O4297" s="11"/>
      <c r="P4297" s="11"/>
      <c r="Q4297" s="105"/>
      <c r="R4297" s="105"/>
      <c r="S4297" s="105"/>
      <c r="T4297" s="105"/>
      <c r="U4297" s="105"/>
      <c r="V4297" s="105"/>
      <c r="W4297" s="105"/>
      <c r="X4297" s="11"/>
      <c r="Y4297" s="11"/>
      <c r="Z4297" s="105"/>
      <c r="AA4297" s="11"/>
      <c r="AB4297" s="11"/>
      <c r="AC4297" s="105"/>
      <c r="AD4297" s="11" t="b">
        <v>0</v>
      </c>
      <c r="AE4297" s="105"/>
      <c r="AF4297" s="11"/>
      <c r="AG4297" s="11"/>
      <c r="AH4297" s="11"/>
      <c r="AI4297" s="11"/>
    </row>
    <row r="4298" ht="12.5" spans="3:35">
      <c r="C4298" s="19"/>
      <c r="D4298" s="19"/>
      <c r="H4298" s="105"/>
      <c r="I4298" s="126"/>
      <c r="J4298" s="11"/>
      <c r="K4298" s="108"/>
      <c r="L4298" s="11"/>
      <c r="M4298" s="105"/>
      <c r="N4298" s="105"/>
      <c r="O4298" s="11"/>
      <c r="P4298" s="11"/>
      <c r="Q4298" s="105"/>
      <c r="R4298" s="105"/>
      <c r="S4298" s="105"/>
      <c r="T4298" s="105"/>
      <c r="U4298" s="105"/>
      <c r="V4298" s="105"/>
      <c r="W4298" s="105"/>
      <c r="X4298" s="11"/>
      <c r="Y4298" s="11"/>
      <c r="Z4298" s="105"/>
      <c r="AA4298" s="11"/>
      <c r="AB4298" s="11"/>
      <c r="AC4298" s="105"/>
      <c r="AD4298" s="11" t="b">
        <v>0</v>
      </c>
      <c r="AE4298" s="105"/>
      <c r="AF4298" s="11"/>
      <c r="AG4298" s="11"/>
      <c r="AH4298" s="11"/>
      <c r="AI4298" s="11"/>
    </row>
    <row r="4299" ht="12.5" spans="3:35">
      <c r="C4299" s="19"/>
      <c r="D4299" s="19"/>
      <c r="H4299" s="105"/>
      <c r="I4299" s="126"/>
      <c r="J4299" s="11"/>
      <c r="K4299" s="108"/>
      <c r="L4299" s="11"/>
      <c r="M4299" s="105"/>
      <c r="N4299" s="105"/>
      <c r="O4299" s="11"/>
      <c r="P4299" s="11"/>
      <c r="Q4299" s="105"/>
      <c r="R4299" s="105"/>
      <c r="S4299" s="105"/>
      <c r="T4299" s="105"/>
      <c r="U4299" s="105"/>
      <c r="V4299" s="105"/>
      <c r="W4299" s="105"/>
      <c r="X4299" s="11"/>
      <c r="Y4299" s="11"/>
      <c r="Z4299" s="105"/>
      <c r="AA4299" s="11"/>
      <c r="AB4299" s="11"/>
      <c r="AC4299" s="105"/>
      <c r="AD4299" s="11" t="b">
        <v>0</v>
      </c>
      <c r="AE4299" s="105"/>
      <c r="AF4299" s="11"/>
      <c r="AG4299" s="11"/>
      <c r="AH4299" s="11"/>
      <c r="AI4299" s="11"/>
    </row>
    <row r="4300" ht="12.5" spans="3:35">
      <c r="C4300" s="19"/>
      <c r="D4300" s="19"/>
      <c r="H4300" s="105"/>
      <c r="I4300" s="126"/>
      <c r="J4300" s="11"/>
      <c r="K4300" s="108"/>
      <c r="L4300" s="11"/>
      <c r="M4300" s="105"/>
      <c r="N4300" s="105"/>
      <c r="O4300" s="11"/>
      <c r="P4300" s="11"/>
      <c r="Q4300" s="105"/>
      <c r="R4300" s="105"/>
      <c r="S4300" s="105"/>
      <c r="T4300" s="105"/>
      <c r="U4300" s="105"/>
      <c r="V4300" s="105"/>
      <c r="W4300" s="105"/>
      <c r="X4300" s="11"/>
      <c r="Y4300" s="11"/>
      <c r="Z4300" s="105"/>
      <c r="AA4300" s="11"/>
      <c r="AB4300" s="11"/>
      <c r="AC4300" s="105"/>
      <c r="AD4300" s="11" t="b">
        <v>0</v>
      </c>
      <c r="AE4300" s="105"/>
      <c r="AF4300" s="11"/>
      <c r="AG4300" s="11"/>
      <c r="AH4300" s="11"/>
      <c r="AI4300" s="11"/>
    </row>
    <row r="4301" ht="12.5" spans="3:35">
      <c r="C4301" s="19"/>
      <c r="D4301" s="19"/>
      <c r="H4301" s="105"/>
      <c r="I4301" s="126"/>
      <c r="J4301" s="11"/>
      <c r="K4301" s="108"/>
      <c r="L4301" s="11"/>
      <c r="M4301" s="105"/>
      <c r="N4301" s="105"/>
      <c r="O4301" s="11"/>
      <c r="P4301" s="11"/>
      <c r="Q4301" s="105"/>
      <c r="R4301" s="105"/>
      <c r="S4301" s="105"/>
      <c r="T4301" s="105"/>
      <c r="U4301" s="105"/>
      <c r="V4301" s="105"/>
      <c r="W4301" s="105"/>
      <c r="X4301" s="11"/>
      <c r="Y4301" s="11"/>
      <c r="Z4301" s="105"/>
      <c r="AA4301" s="11"/>
      <c r="AB4301" s="11"/>
      <c r="AC4301" s="105"/>
      <c r="AD4301" s="11" t="b">
        <v>0</v>
      </c>
      <c r="AE4301" s="105"/>
      <c r="AF4301" s="11"/>
      <c r="AG4301" s="11"/>
      <c r="AH4301" s="11"/>
      <c r="AI4301" s="11"/>
    </row>
    <row r="4302" ht="12.5" spans="3:35">
      <c r="C4302" s="19"/>
      <c r="D4302" s="19"/>
      <c r="H4302" s="105"/>
      <c r="I4302" s="126"/>
      <c r="J4302" s="11"/>
      <c r="K4302" s="108"/>
      <c r="L4302" s="11"/>
      <c r="M4302" s="105"/>
      <c r="N4302" s="105"/>
      <c r="O4302" s="11"/>
      <c r="P4302" s="11"/>
      <c r="Q4302" s="105"/>
      <c r="R4302" s="105"/>
      <c r="S4302" s="105"/>
      <c r="T4302" s="105"/>
      <c r="U4302" s="105"/>
      <c r="V4302" s="105"/>
      <c r="W4302" s="105"/>
      <c r="X4302" s="11"/>
      <c r="Y4302" s="11"/>
      <c r="Z4302" s="105"/>
      <c r="AA4302" s="11"/>
      <c r="AB4302" s="11"/>
      <c r="AC4302" s="105"/>
      <c r="AD4302" s="11" t="b">
        <v>0</v>
      </c>
      <c r="AE4302" s="105"/>
      <c r="AF4302" s="11"/>
      <c r="AG4302" s="11"/>
      <c r="AH4302" s="11"/>
      <c r="AI4302" s="11"/>
    </row>
    <row r="4303" ht="12.5" spans="3:35">
      <c r="C4303" s="19"/>
      <c r="D4303" s="19"/>
      <c r="H4303" s="105"/>
      <c r="I4303" s="126"/>
      <c r="J4303" s="11"/>
      <c r="K4303" s="108"/>
      <c r="L4303" s="11"/>
      <c r="M4303" s="105"/>
      <c r="N4303" s="105"/>
      <c r="O4303" s="11"/>
      <c r="P4303" s="11"/>
      <c r="Q4303" s="105"/>
      <c r="R4303" s="105"/>
      <c r="S4303" s="105"/>
      <c r="T4303" s="105"/>
      <c r="U4303" s="105"/>
      <c r="V4303" s="105"/>
      <c r="W4303" s="105"/>
      <c r="X4303" s="11"/>
      <c r="Y4303" s="11"/>
      <c r="Z4303" s="105"/>
      <c r="AA4303" s="11"/>
      <c r="AB4303" s="11"/>
      <c r="AC4303" s="105"/>
      <c r="AD4303" s="11" t="b">
        <v>0</v>
      </c>
      <c r="AE4303" s="105"/>
      <c r="AF4303" s="11"/>
      <c r="AG4303" s="11"/>
      <c r="AH4303" s="11"/>
      <c r="AI4303" s="11"/>
    </row>
    <row r="4304" ht="12.5" spans="3:35">
      <c r="C4304" s="19"/>
      <c r="D4304" s="19"/>
      <c r="H4304" s="105"/>
      <c r="I4304" s="126"/>
      <c r="J4304" s="11"/>
      <c r="K4304" s="108"/>
      <c r="L4304" s="11"/>
      <c r="M4304" s="105"/>
      <c r="N4304" s="105"/>
      <c r="O4304" s="11"/>
      <c r="P4304" s="11"/>
      <c r="Q4304" s="105"/>
      <c r="R4304" s="105"/>
      <c r="S4304" s="105"/>
      <c r="T4304" s="105"/>
      <c r="U4304" s="105"/>
      <c r="V4304" s="105"/>
      <c r="W4304" s="105"/>
      <c r="X4304" s="11"/>
      <c r="Y4304" s="11"/>
      <c r="Z4304" s="105"/>
      <c r="AA4304" s="11"/>
      <c r="AB4304" s="11"/>
      <c r="AC4304" s="105"/>
      <c r="AD4304" s="11" t="b">
        <v>0</v>
      </c>
      <c r="AE4304" s="105"/>
      <c r="AF4304" s="11"/>
      <c r="AG4304" s="11"/>
      <c r="AH4304" s="11"/>
      <c r="AI4304" s="11"/>
    </row>
    <row r="4305" ht="12.5" spans="3:35">
      <c r="C4305" s="19"/>
      <c r="D4305" s="19"/>
      <c r="H4305" s="105"/>
      <c r="I4305" s="126"/>
      <c r="J4305" s="11"/>
      <c r="K4305" s="108"/>
      <c r="L4305" s="11"/>
      <c r="M4305" s="105"/>
      <c r="N4305" s="105"/>
      <c r="O4305" s="11"/>
      <c r="P4305" s="11"/>
      <c r="Q4305" s="105"/>
      <c r="R4305" s="105"/>
      <c r="S4305" s="105"/>
      <c r="T4305" s="105"/>
      <c r="U4305" s="105"/>
      <c r="V4305" s="105"/>
      <c r="W4305" s="105"/>
      <c r="X4305" s="11"/>
      <c r="Y4305" s="11"/>
      <c r="Z4305" s="105"/>
      <c r="AA4305" s="11"/>
      <c r="AB4305" s="11"/>
      <c r="AC4305" s="105"/>
      <c r="AD4305" s="11" t="b">
        <v>0</v>
      </c>
      <c r="AE4305" s="105"/>
      <c r="AF4305" s="11"/>
      <c r="AG4305" s="11"/>
      <c r="AH4305" s="11"/>
      <c r="AI4305" s="11"/>
    </row>
    <row r="4306" ht="12.5" spans="3:35">
      <c r="C4306" s="19"/>
      <c r="D4306" s="19"/>
      <c r="H4306" s="105"/>
      <c r="I4306" s="126"/>
      <c r="J4306" s="11"/>
      <c r="K4306" s="108"/>
      <c r="L4306" s="11"/>
      <c r="M4306" s="105"/>
      <c r="N4306" s="105"/>
      <c r="O4306" s="11"/>
      <c r="P4306" s="11"/>
      <c r="Q4306" s="105"/>
      <c r="R4306" s="105"/>
      <c r="S4306" s="105"/>
      <c r="T4306" s="105"/>
      <c r="U4306" s="105"/>
      <c r="V4306" s="105"/>
      <c r="W4306" s="105"/>
      <c r="X4306" s="11"/>
      <c r="Y4306" s="11"/>
      <c r="Z4306" s="105"/>
      <c r="AA4306" s="11"/>
      <c r="AB4306" s="11"/>
      <c r="AC4306" s="105"/>
      <c r="AD4306" s="11" t="b">
        <v>0</v>
      </c>
      <c r="AE4306" s="105"/>
      <c r="AF4306" s="11"/>
      <c r="AG4306" s="11"/>
      <c r="AH4306" s="11"/>
      <c r="AI4306" s="11"/>
    </row>
    <row r="4307" ht="12.5" spans="3:35">
      <c r="C4307" s="19"/>
      <c r="D4307" s="19"/>
      <c r="H4307" s="105"/>
      <c r="I4307" s="126"/>
      <c r="J4307" s="11"/>
      <c r="K4307" s="108"/>
      <c r="L4307" s="11"/>
      <c r="M4307" s="105"/>
      <c r="N4307" s="105"/>
      <c r="O4307" s="11"/>
      <c r="P4307" s="11"/>
      <c r="Q4307" s="105"/>
      <c r="R4307" s="105"/>
      <c r="S4307" s="105"/>
      <c r="T4307" s="105"/>
      <c r="U4307" s="105"/>
      <c r="V4307" s="105"/>
      <c r="W4307" s="105"/>
      <c r="X4307" s="11"/>
      <c r="Y4307" s="11"/>
      <c r="Z4307" s="105"/>
      <c r="AA4307" s="11"/>
      <c r="AB4307" s="11"/>
      <c r="AC4307" s="105"/>
      <c r="AD4307" s="11" t="b">
        <v>0</v>
      </c>
      <c r="AE4307" s="105"/>
      <c r="AF4307" s="11"/>
      <c r="AG4307" s="11"/>
      <c r="AH4307" s="11"/>
      <c r="AI4307" s="11"/>
    </row>
    <row r="4308" ht="12.5" spans="3:35">
      <c r="C4308" s="19"/>
      <c r="D4308" s="19"/>
      <c r="H4308" s="105"/>
      <c r="I4308" s="126"/>
      <c r="J4308" s="11"/>
      <c r="K4308" s="108"/>
      <c r="L4308" s="11"/>
      <c r="M4308" s="105"/>
      <c r="N4308" s="105"/>
      <c r="O4308" s="11"/>
      <c r="P4308" s="11"/>
      <c r="Q4308" s="105"/>
      <c r="R4308" s="105"/>
      <c r="S4308" s="105"/>
      <c r="T4308" s="105"/>
      <c r="U4308" s="105"/>
      <c r="V4308" s="105"/>
      <c r="W4308" s="105"/>
      <c r="X4308" s="11"/>
      <c r="Y4308" s="11"/>
      <c r="Z4308" s="105"/>
      <c r="AA4308" s="11"/>
      <c r="AB4308" s="11"/>
      <c r="AC4308" s="105"/>
      <c r="AD4308" s="11" t="b">
        <v>0</v>
      </c>
      <c r="AE4308" s="105"/>
      <c r="AF4308" s="11"/>
      <c r="AG4308" s="11"/>
      <c r="AH4308" s="11"/>
      <c r="AI4308" s="11"/>
    </row>
    <row r="4309" ht="12.5" spans="3:35">
      <c r="C4309" s="19"/>
      <c r="D4309" s="19"/>
      <c r="H4309" s="105"/>
      <c r="I4309" s="126"/>
      <c r="J4309" s="11"/>
      <c r="K4309" s="108"/>
      <c r="L4309" s="11"/>
      <c r="M4309" s="105"/>
      <c r="N4309" s="105"/>
      <c r="O4309" s="11"/>
      <c r="P4309" s="11"/>
      <c r="Q4309" s="105"/>
      <c r="R4309" s="105"/>
      <c r="S4309" s="105"/>
      <c r="T4309" s="105"/>
      <c r="U4309" s="105"/>
      <c r="V4309" s="105"/>
      <c r="W4309" s="105"/>
      <c r="X4309" s="11"/>
      <c r="Y4309" s="11"/>
      <c r="Z4309" s="105"/>
      <c r="AA4309" s="11"/>
      <c r="AB4309" s="11"/>
      <c r="AC4309" s="105"/>
      <c r="AD4309" s="11" t="b">
        <v>0</v>
      </c>
      <c r="AE4309" s="105"/>
      <c r="AF4309" s="11"/>
      <c r="AG4309" s="11"/>
      <c r="AH4309" s="11"/>
      <c r="AI4309" s="11"/>
    </row>
    <row r="4310" ht="12.5" spans="3:35">
      <c r="C4310" s="19"/>
      <c r="D4310" s="19"/>
      <c r="H4310" s="105"/>
      <c r="I4310" s="126"/>
      <c r="J4310" s="11"/>
      <c r="K4310" s="108"/>
      <c r="L4310" s="11"/>
      <c r="M4310" s="105"/>
      <c r="N4310" s="105"/>
      <c r="O4310" s="11"/>
      <c r="P4310" s="11"/>
      <c r="Q4310" s="105"/>
      <c r="R4310" s="105"/>
      <c r="S4310" s="105"/>
      <c r="T4310" s="105"/>
      <c r="U4310" s="105"/>
      <c r="V4310" s="105"/>
      <c r="W4310" s="105"/>
      <c r="X4310" s="11"/>
      <c r="Y4310" s="11"/>
      <c r="Z4310" s="105"/>
      <c r="AA4310" s="11"/>
      <c r="AB4310" s="11"/>
      <c r="AC4310" s="105"/>
      <c r="AD4310" s="11" t="b">
        <v>0</v>
      </c>
      <c r="AE4310" s="105"/>
      <c r="AF4310" s="11"/>
      <c r="AG4310" s="11"/>
      <c r="AH4310" s="11"/>
      <c r="AI4310" s="11"/>
    </row>
    <row r="4311" ht="12.5" spans="3:35">
      <c r="C4311" s="19"/>
      <c r="D4311" s="19"/>
      <c r="H4311" s="105"/>
      <c r="I4311" s="126"/>
      <c r="J4311" s="11"/>
      <c r="K4311" s="108"/>
      <c r="L4311" s="11"/>
      <c r="M4311" s="105"/>
      <c r="N4311" s="105"/>
      <c r="O4311" s="11"/>
      <c r="P4311" s="11"/>
      <c r="Q4311" s="105"/>
      <c r="R4311" s="105"/>
      <c r="S4311" s="105"/>
      <c r="T4311" s="105"/>
      <c r="U4311" s="105"/>
      <c r="V4311" s="105"/>
      <c r="W4311" s="105"/>
      <c r="X4311" s="11"/>
      <c r="Y4311" s="11"/>
      <c r="Z4311" s="105"/>
      <c r="AA4311" s="11"/>
      <c r="AB4311" s="11"/>
      <c r="AC4311" s="105"/>
      <c r="AD4311" s="11" t="b">
        <v>0</v>
      </c>
      <c r="AE4311" s="105"/>
      <c r="AF4311" s="11"/>
      <c r="AG4311" s="11"/>
      <c r="AH4311" s="11"/>
      <c r="AI4311" s="11"/>
    </row>
    <row r="4312" ht="12.5" spans="3:35">
      <c r="C4312" s="19"/>
      <c r="D4312" s="19"/>
      <c r="H4312" s="105"/>
      <c r="I4312" s="126"/>
      <c r="J4312" s="11"/>
      <c r="K4312" s="108"/>
      <c r="L4312" s="11"/>
      <c r="M4312" s="105"/>
      <c r="N4312" s="105"/>
      <c r="O4312" s="11"/>
      <c r="P4312" s="11"/>
      <c r="Q4312" s="105"/>
      <c r="R4312" s="105"/>
      <c r="S4312" s="105"/>
      <c r="T4312" s="105"/>
      <c r="U4312" s="105"/>
      <c r="V4312" s="105"/>
      <c r="W4312" s="105"/>
      <c r="X4312" s="11"/>
      <c r="Y4312" s="11"/>
      <c r="Z4312" s="105"/>
      <c r="AA4312" s="11"/>
      <c r="AB4312" s="11"/>
      <c r="AC4312" s="105"/>
      <c r="AD4312" s="11" t="b">
        <v>0</v>
      </c>
      <c r="AE4312" s="105"/>
      <c r="AF4312" s="11"/>
      <c r="AG4312" s="11"/>
      <c r="AH4312" s="11"/>
      <c r="AI4312" s="11"/>
    </row>
    <row r="4313" ht="12.5" spans="3:35">
      <c r="C4313" s="19"/>
      <c r="D4313" s="19"/>
      <c r="H4313" s="105"/>
      <c r="I4313" s="126"/>
      <c r="J4313" s="11"/>
      <c r="K4313" s="108"/>
      <c r="L4313" s="11"/>
      <c r="M4313" s="105"/>
      <c r="N4313" s="105"/>
      <c r="O4313" s="11"/>
      <c r="P4313" s="11"/>
      <c r="Q4313" s="105"/>
      <c r="R4313" s="105"/>
      <c r="S4313" s="105"/>
      <c r="T4313" s="105"/>
      <c r="U4313" s="105"/>
      <c r="V4313" s="105"/>
      <c r="W4313" s="105"/>
      <c r="X4313" s="11"/>
      <c r="Y4313" s="11"/>
      <c r="Z4313" s="105"/>
      <c r="AA4313" s="11"/>
      <c r="AB4313" s="11"/>
      <c r="AC4313" s="105"/>
      <c r="AD4313" s="11" t="b">
        <v>0</v>
      </c>
      <c r="AE4313" s="105"/>
      <c r="AF4313" s="11"/>
      <c r="AG4313" s="11"/>
      <c r="AH4313" s="11"/>
      <c r="AI4313" s="11"/>
    </row>
    <row r="4314" ht="12.5" spans="3:35">
      <c r="C4314" s="19"/>
      <c r="D4314" s="19"/>
      <c r="H4314" s="105"/>
      <c r="I4314" s="126"/>
      <c r="J4314" s="11"/>
      <c r="K4314" s="108"/>
      <c r="L4314" s="11"/>
      <c r="M4314" s="105"/>
      <c r="N4314" s="105"/>
      <c r="O4314" s="11"/>
      <c r="P4314" s="11"/>
      <c r="Q4314" s="105"/>
      <c r="R4314" s="105"/>
      <c r="S4314" s="105"/>
      <c r="T4314" s="105"/>
      <c r="U4314" s="105"/>
      <c r="V4314" s="105"/>
      <c r="W4314" s="105"/>
      <c r="X4314" s="11"/>
      <c r="Y4314" s="11"/>
      <c r="Z4314" s="105"/>
      <c r="AA4314" s="11"/>
      <c r="AB4314" s="11"/>
      <c r="AC4314" s="105"/>
      <c r="AD4314" s="11" t="b">
        <v>0</v>
      </c>
      <c r="AE4314" s="105"/>
      <c r="AF4314" s="11"/>
      <c r="AG4314" s="11"/>
      <c r="AH4314" s="11"/>
      <c r="AI4314" s="11"/>
    </row>
    <row r="4315" ht="12.5" spans="3:35">
      <c r="C4315" s="19"/>
      <c r="D4315" s="19"/>
      <c r="H4315" s="105"/>
      <c r="I4315" s="126"/>
      <c r="J4315" s="11"/>
      <c r="K4315" s="108"/>
      <c r="L4315" s="11"/>
      <c r="M4315" s="105"/>
      <c r="N4315" s="105"/>
      <c r="O4315" s="11"/>
      <c r="P4315" s="11"/>
      <c r="Q4315" s="105"/>
      <c r="R4315" s="105"/>
      <c r="S4315" s="105"/>
      <c r="T4315" s="105"/>
      <c r="U4315" s="105"/>
      <c r="V4315" s="105"/>
      <c r="W4315" s="105"/>
      <c r="X4315" s="11"/>
      <c r="Y4315" s="11"/>
      <c r="Z4315" s="105"/>
      <c r="AA4315" s="11"/>
      <c r="AB4315" s="11"/>
      <c r="AC4315" s="105"/>
      <c r="AD4315" s="11" t="b">
        <v>0</v>
      </c>
      <c r="AE4315" s="105"/>
      <c r="AF4315" s="11"/>
      <c r="AG4315" s="11"/>
      <c r="AH4315" s="11"/>
      <c r="AI4315" s="11"/>
    </row>
    <row r="4316" ht="12.5" spans="3:35">
      <c r="C4316" s="19"/>
      <c r="D4316" s="19"/>
      <c r="H4316" s="105"/>
      <c r="I4316" s="126"/>
      <c r="J4316" s="11"/>
      <c r="K4316" s="108"/>
      <c r="L4316" s="11"/>
      <c r="M4316" s="105"/>
      <c r="N4316" s="105"/>
      <c r="O4316" s="11"/>
      <c r="P4316" s="11"/>
      <c r="Q4316" s="105"/>
      <c r="R4316" s="105"/>
      <c r="S4316" s="105"/>
      <c r="T4316" s="105"/>
      <c r="U4316" s="105"/>
      <c r="V4316" s="105"/>
      <c r="W4316" s="105"/>
      <c r="X4316" s="11"/>
      <c r="Y4316" s="11"/>
      <c r="Z4316" s="105"/>
      <c r="AA4316" s="11"/>
      <c r="AB4316" s="11"/>
      <c r="AC4316" s="105"/>
      <c r="AD4316" s="11" t="b">
        <v>0</v>
      </c>
      <c r="AE4316" s="105"/>
      <c r="AF4316" s="11"/>
      <c r="AG4316" s="11"/>
      <c r="AH4316" s="11"/>
      <c r="AI4316" s="11"/>
    </row>
    <row r="4317" ht="12.5" spans="3:35">
      <c r="C4317" s="19"/>
      <c r="D4317" s="19"/>
      <c r="H4317" s="105"/>
      <c r="I4317" s="126"/>
      <c r="J4317" s="11"/>
      <c r="K4317" s="108"/>
      <c r="L4317" s="11"/>
      <c r="M4317" s="105"/>
      <c r="N4317" s="105"/>
      <c r="O4317" s="11"/>
      <c r="P4317" s="11"/>
      <c r="Q4317" s="105"/>
      <c r="R4317" s="105"/>
      <c r="S4317" s="105"/>
      <c r="T4317" s="105"/>
      <c r="U4317" s="105"/>
      <c r="V4317" s="105"/>
      <c r="W4317" s="105"/>
      <c r="X4317" s="11"/>
      <c r="Y4317" s="11"/>
      <c r="Z4317" s="105"/>
      <c r="AA4317" s="11"/>
      <c r="AB4317" s="11"/>
      <c r="AC4317" s="105"/>
      <c r="AD4317" s="11" t="b">
        <v>0</v>
      </c>
      <c r="AE4317" s="105"/>
      <c r="AF4317" s="11"/>
      <c r="AG4317" s="11"/>
      <c r="AH4317" s="11"/>
      <c r="AI4317" s="11"/>
    </row>
    <row r="4318" ht="12.5" spans="3:35">
      <c r="C4318" s="19"/>
      <c r="D4318" s="19"/>
      <c r="H4318" s="105"/>
      <c r="I4318" s="126"/>
      <c r="J4318" s="11"/>
      <c r="K4318" s="108"/>
      <c r="L4318" s="11"/>
      <c r="M4318" s="105"/>
      <c r="N4318" s="105"/>
      <c r="O4318" s="11"/>
      <c r="P4318" s="11"/>
      <c r="Q4318" s="105"/>
      <c r="R4318" s="105"/>
      <c r="S4318" s="105"/>
      <c r="T4318" s="105"/>
      <c r="U4318" s="105"/>
      <c r="V4318" s="105"/>
      <c r="W4318" s="105"/>
      <c r="X4318" s="11"/>
      <c r="Y4318" s="11"/>
      <c r="Z4318" s="105"/>
      <c r="AA4318" s="11"/>
      <c r="AB4318" s="11"/>
      <c r="AC4318" s="105"/>
      <c r="AD4318" s="11" t="b">
        <v>0</v>
      </c>
      <c r="AE4318" s="105"/>
      <c r="AF4318" s="11"/>
      <c r="AG4318" s="11"/>
      <c r="AH4318" s="11"/>
      <c r="AI4318" s="11"/>
    </row>
    <row r="4319" ht="12.5" spans="3:35">
      <c r="C4319" s="19"/>
      <c r="D4319" s="19"/>
      <c r="H4319" s="105"/>
      <c r="I4319" s="126"/>
      <c r="J4319" s="11"/>
      <c r="K4319" s="108"/>
      <c r="L4319" s="11"/>
      <c r="M4319" s="105"/>
      <c r="N4319" s="105"/>
      <c r="O4319" s="11"/>
      <c r="P4319" s="11"/>
      <c r="Q4319" s="105"/>
      <c r="R4319" s="105"/>
      <c r="S4319" s="105"/>
      <c r="T4319" s="105"/>
      <c r="U4319" s="105"/>
      <c r="V4319" s="105"/>
      <c r="W4319" s="105"/>
      <c r="X4319" s="11"/>
      <c r="Y4319" s="11"/>
      <c r="Z4319" s="105"/>
      <c r="AA4319" s="11"/>
      <c r="AB4319" s="11"/>
      <c r="AC4319" s="105"/>
      <c r="AD4319" s="11" t="b">
        <v>0</v>
      </c>
      <c r="AE4319" s="105"/>
      <c r="AF4319" s="11"/>
      <c r="AG4319" s="11"/>
      <c r="AH4319" s="11"/>
      <c r="AI4319" s="11"/>
    </row>
    <row r="4320" ht="12.5" spans="3:35">
      <c r="C4320" s="19"/>
      <c r="D4320" s="19"/>
      <c r="H4320" s="105"/>
      <c r="I4320" s="126"/>
      <c r="J4320" s="11"/>
      <c r="K4320" s="108"/>
      <c r="L4320" s="11"/>
      <c r="M4320" s="105"/>
      <c r="N4320" s="105"/>
      <c r="O4320" s="11"/>
      <c r="P4320" s="11"/>
      <c r="Q4320" s="105"/>
      <c r="R4320" s="105"/>
      <c r="S4320" s="105"/>
      <c r="T4320" s="105"/>
      <c r="U4320" s="105"/>
      <c r="V4320" s="105"/>
      <c r="W4320" s="105"/>
      <c r="X4320" s="11"/>
      <c r="Y4320" s="11"/>
      <c r="Z4320" s="105"/>
      <c r="AA4320" s="11"/>
      <c r="AB4320" s="11"/>
      <c r="AC4320" s="105"/>
      <c r="AD4320" s="11" t="b">
        <v>0</v>
      </c>
      <c r="AE4320" s="105"/>
      <c r="AF4320" s="11"/>
      <c r="AG4320" s="11"/>
      <c r="AH4320" s="11"/>
      <c r="AI4320" s="11"/>
    </row>
    <row r="4321" ht="12.5" spans="3:35">
      <c r="C4321" s="19"/>
      <c r="D4321" s="19"/>
      <c r="H4321" s="105"/>
      <c r="I4321" s="126"/>
      <c r="J4321" s="11"/>
      <c r="K4321" s="108"/>
      <c r="L4321" s="11"/>
      <c r="M4321" s="105"/>
      <c r="N4321" s="105"/>
      <c r="O4321" s="11"/>
      <c r="P4321" s="11"/>
      <c r="Q4321" s="105"/>
      <c r="R4321" s="105"/>
      <c r="S4321" s="105"/>
      <c r="T4321" s="105"/>
      <c r="U4321" s="105"/>
      <c r="V4321" s="105"/>
      <c r="W4321" s="105"/>
      <c r="X4321" s="11"/>
      <c r="Y4321" s="11"/>
      <c r="Z4321" s="105"/>
      <c r="AA4321" s="11"/>
      <c r="AB4321" s="11"/>
      <c r="AC4321" s="105"/>
      <c r="AD4321" s="11" t="b">
        <v>0</v>
      </c>
      <c r="AE4321" s="105"/>
      <c r="AF4321" s="11"/>
      <c r="AG4321" s="11"/>
      <c r="AH4321" s="11"/>
      <c r="AI4321" s="11"/>
    </row>
    <row r="4322" ht="12.5" spans="3:35">
      <c r="C4322" s="19"/>
      <c r="D4322" s="19"/>
      <c r="H4322" s="105"/>
      <c r="I4322" s="126"/>
      <c r="J4322" s="11"/>
      <c r="K4322" s="108"/>
      <c r="L4322" s="11"/>
      <c r="M4322" s="105"/>
      <c r="N4322" s="105"/>
      <c r="O4322" s="11"/>
      <c r="P4322" s="11"/>
      <c r="Q4322" s="105"/>
      <c r="R4322" s="105"/>
      <c r="S4322" s="105"/>
      <c r="T4322" s="105"/>
      <c r="U4322" s="105"/>
      <c r="V4322" s="105"/>
      <c r="W4322" s="105"/>
      <c r="X4322" s="11"/>
      <c r="Y4322" s="11"/>
      <c r="Z4322" s="105"/>
      <c r="AA4322" s="11"/>
      <c r="AB4322" s="11"/>
      <c r="AC4322" s="105"/>
      <c r="AD4322" s="11" t="b">
        <v>0</v>
      </c>
      <c r="AE4322" s="105"/>
      <c r="AF4322" s="11"/>
      <c r="AG4322" s="11"/>
      <c r="AH4322" s="11"/>
      <c r="AI4322" s="11"/>
    </row>
    <row r="4323" ht="12.5" spans="3:35">
      <c r="C4323" s="19"/>
      <c r="D4323" s="19"/>
      <c r="H4323" s="105"/>
      <c r="I4323" s="126"/>
      <c r="J4323" s="11"/>
      <c r="K4323" s="108"/>
      <c r="L4323" s="11"/>
      <c r="M4323" s="105"/>
      <c r="N4323" s="105"/>
      <c r="O4323" s="11"/>
      <c r="P4323" s="11"/>
      <c r="Q4323" s="105"/>
      <c r="R4323" s="105"/>
      <c r="S4323" s="105"/>
      <c r="T4323" s="105"/>
      <c r="U4323" s="105"/>
      <c r="V4323" s="105"/>
      <c r="W4323" s="105"/>
      <c r="X4323" s="11"/>
      <c r="Y4323" s="11"/>
      <c r="Z4323" s="105"/>
      <c r="AA4323" s="11"/>
      <c r="AB4323" s="11"/>
      <c r="AC4323" s="105"/>
      <c r="AD4323" s="11" t="b">
        <v>0</v>
      </c>
      <c r="AE4323" s="105"/>
      <c r="AF4323" s="11"/>
      <c r="AG4323" s="11"/>
      <c r="AH4323" s="11"/>
      <c r="AI4323" s="11"/>
    </row>
    <row r="4324" ht="12.5" spans="3:35">
      <c r="C4324" s="19"/>
      <c r="D4324" s="19"/>
      <c r="H4324" s="105"/>
      <c r="I4324" s="126"/>
      <c r="J4324" s="11"/>
      <c r="K4324" s="108"/>
      <c r="L4324" s="11"/>
      <c r="M4324" s="105"/>
      <c r="N4324" s="105"/>
      <c r="O4324" s="11"/>
      <c r="P4324" s="11"/>
      <c r="Q4324" s="105"/>
      <c r="R4324" s="105"/>
      <c r="S4324" s="105"/>
      <c r="T4324" s="105"/>
      <c r="U4324" s="105"/>
      <c r="V4324" s="105"/>
      <c r="W4324" s="105"/>
      <c r="X4324" s="11"/>
      <c r="Y4324" s="11"/>
      <c r="Z4324" s="105"/>
      <c r="AA4324" s="11"/>
      <c r="AB4324" s="11"/>
      <c r="AC4324" s="105"/>
      <c r="AD4324" s="11" t="b">
        <v>0</v>
      </c>
      <c r="AE4324" s="105"/>
      <c r="AF4324" s="11"/>
      <c r="AG4324" s="11"/>
      <c r="AH4324" s="11"/>
      <c r="AI4324" s="11"/>
    </row>
    <row r="4325" ht="12.5" spans="3:35">
      <c r="C4325" s="19"/>
      <c r="D4325" s="19"/>
      <c r="H4325" s="105"/>
      <c r="I4325" s="126"/>
      <c r="J4325" s="11"/>
      <c r="K4325" s="108"/>
      <c r="L4325" s="11"/>
      <c r="M4325" s="105"/>
      <c r="N4325" s="105"/>
      <c r="O4325" s="11"/>
      <c r="P4325" s="11"/>
      <c r="Q4325" s="105"/>
      <c r="R4325" s="105"/>
      <c r="S4325" s="105"/>
      <c r="T4325" s="105"/>
      <c r="U4325" s="105"/>
      <c r="V4325" s="105"/>
      <c r="W4325" s="105"/>
      <c r="X4325" s="11"/>
      <c r="Y4325" s="11"/>
      <c r="Z4325" s="105"/>
      <c r="AA4325" s="11"/>
      <c r="AB4325" s="11"/>
      <c r="AC4325" s="105"/>
      <c r="AD4325" s="11" t="b">
        <v>0</v>
      </c>
      <c r="AE4325" s="105"/>
      <c r="AF4325" s="11"/>
      <c r="AG4325" s="11"/>
      <c r="AH4325" s="11"/>
      <c r="AI4325" s="11"/>
    </row>
    <row r="4326" ht="12.5" spans="3:35">
      <c r="C4326" s="19"/>
      <c r="D4326" s="19"/>
      <c r="H4326" s="105"/>
      <c r="I4326" s="126"/>
      <c r="J4326" s="11"/>
      <c r="K4326" s="108"/>
      <c r="L4326" s="11"/>
      <c r="M4326" s="105"/>
      <c r="N4326" s="105"/>
      <c r="O4326" s="11"/>
      <c r="P4326" s="11"/>
      <c r="Q4326" s="105"/>
      <c r="R4326" s="105"/>
      <c r="S4326" s="105"/>
      <c r="T4326" s="105"/>
      <c r="U4326" s="105"/>
      <c r="V4326" s="105"/>
      <c r="W4326" s="105"/>
      <c r="X4326" s="11"/>
      <c r="Y4326" s="11"/>
      <c r="Z4326" s="105"/>
      <c r="AA4326" s="11"/>
      <c r="AB4326" s="11"/>
      <c r="AC4326" s="105"/>
      <c r="AD4326" s="11" t="b">
        <v>0</v>
      </c>
      <c r="AE4326" s="105"/>
      <c r="AF4326" s="11"/>
      <c r="AG4326" s="11"/>
      <c r="AH4326" s="11"/>
      <c r="AI4326" s="11"/>
    </row>
    <row r="4327" ht="12.5" spans="3:35">
      <c r="C4327" s="19"/>
      <c r="D4327" s="19"/>
      <c r="H4327" s="105"/>
      <c r="I4327" s="126"/>
      <c r="J4327" s="11"/>
      <c r="K4327" s="108"/>
      <c r="L4327" s="11"/>
      <c r="M4327" s="105"/>
      <c r="N4327" s="105"/>
      <c r="O4327" s="11"/>
      <c r="P4327" s="11"/>
      <c r="Q4327" s="105"/>
      <c r="R4327" s="105"/>
      <c r="S4327" s="105"/>
      <c r="T4327" s="105"/>
      <c r="U4327" s="105"/>
      <c r="V4327" s="105"/>
      <c r="W4327" s="105"/>
      <c r="X4327" s="11"/>
      <c r="Y4327" s="11"/>
      <c r="Z4327" s="105"/>
      <c r="AA4327" s="11"/>
      <c r="AB4327" s="11"/>
      <c r="AC4327" s="105"/>
      <c r="AD4327" s="11" t="b">
        <v>0</v>
      </c>
      <c r="AE4327" s="105"/>
      <c r="AF4327" s="11"/>
      <c r="AG4327" s="11"/>
      <c r="AH4327" s="11"/>
      <c r="AI4327" s="11"/>
    </row>
    <row r="4328" ht="12.5" spans="3:35">
      <c r="C4328" s="19"/>
      <c r="D4328" s="19"/>
      <c r="H4328" s="105"/>
      <c r="I4328" s="126"/>
      <c r="J4328" s="11"/>
      <c r="K4328" s="108"/>
      <c r="L4328" s="11"/>
      <c r="M4328" s="105"/>
      <c r="N4328" s="105"/>
      <c r="O4328" s="11"/>
      <c r="P4328" s="11"/>
      <c r="Q4328" s="105"/>
      <c r="R4328" s="105"/>
      <c r="S4328" s="105"/>
      <c r="T4328" s="105"/>
      <c r="U4328" s="105"/>
      <c r="V4328" s="105"/>
      <c r="W4328" s="105"/>
      <c r="X4328" s="11"/>
      <c r="Y4328" s="11"/>
      <c r="Z4328" s="105"/>
      <c r="AA4328" s="11"/>
      <c r="AB4328" s="11"/>
      <c r="AC4328" s="105"/>
      <c r="AD4328" s="11" t="b">
        <v>0</v>
      </c>
      <c r="AE4328" s="105"/>
      <c r="AF4328" s="11"/>
      <c r="AG4328" s="11"/>
      <c r="AH4328" s="11"/>
      <c r="AI4328" s="11"/>
    </row>
    <row r="4329" ht="12.5" spans="3:35">
      <c r="C4329" s="19"/>
      <c r="D4329" s="19"/>
      <c r="H4329" s="105"/>
      <c r="I4329" s="126"/>
      <c r="J4329" s="11"/>
      <c r="K4329" s="108"/>
      <c r="L4329" s="11"/>
      <c r="M4329" s="105"/>
      <c r="N4329" s="105"/>
      <c r="O4329" s="11"/>
      <c r="P4329" s="11"/>
      <c r="Q4329" s="105"/>
      <c r="R4329" s="105"/>
      <c r="S4329" s="105"/>
      <c r="T4329" s="105"/>
      <c r="U4329" s="105"/>
      <c r="V4329" s="105"/>
      <c r="W4329" s="105"/>
      <c r="X4329" s="11"/>
      <c r="Y4329" s="11"/>
      <c r="Z4329" s="105"/>
      <c r="AA4329" s="11"/>
      <c r="AB4329" s="11"/>
      <c r="AC4329" s="105"/>
      <c r="AD4329" s="11" t="b">
        <v>0</v>
      </c>
      <c r="AE4329" s="105"/>
      <c r="AF4329" s="11"/>
      <c r="AG4329" s="11"/>
      <c r="AH4329" s="11"/>
      <c r="AI4329" s="11"/>
    </row>
    <row r="4330" ht="12.5" spans="3:35">
      <c r="C4330" s="19"/>
      <c r="D4330" s="19"/>
      <c r="H4330" s="105"/>
      <c r="I4330" s="126"/>
      <c r="J4330" s="11"/>
      <c r="K4330" s="108"/>
      <c r="L4330" s="11"/>
      <c r="M4330" s="105"/>
      <c r="N4330" s="105"/>
      <c r="O4330" s="11"/>
      <c r="P4330" s="11"/>
      <c r="Q4330" s="105"/>
      <c r="R4330" s="105"/>
      <c r="S4330" s="105"/>
      <c r="T4330" s="105"/>
      <c r="U4330" s="105"/>
      <c r="V4330" s="105"/>
      <c r="W4330" s="105"/>
      <c r="X4330" s="11"/>
      <c r="Y4330" s="11"/>
      <c r="Z4330" s="105"/>
      <c r="AA4330" s="11"/>
      <c r="AB4330" s="11"/>
      <c r="AC4330" s="105"/>
      <c r="AD4330" s="11" t="b">
        <v>0</v>
      </c>
      <c r="AE4330" s="105"/>
      <c r="AF4330" s="11"/>
      <c r="AG4330" s="11"/>
      <c r="AH4330" s="11"/>
      <c r="AI4330" s="11"/>
    </row>
    <row r="4331" ht="12.5" spans="3:35">
      <c r="C4331" s="19"/>
      <c r="D4331" s="19"/>
      <c r="H4331" s="105"/>
      <c r="I4331" s="126"/>
      <c r="J4331" s="11"/>
      <c r="K4331" s="108"/>
      <c r="L4331" s="11"/>
      <c r="M4331" s="105"/>
      <c r="N4331" s="105"/>
      <c r="O4331" s="11"/>
      <c r="P4331" s="11"/>
      <c r="Q4331" s="105"/>
      <c r="R4331" s="105"/>
      <c r="S4331" s="105"/>
      <c r="T4331" s="105"/>
      <c r="U4331" s="105"/>
      <c r="V4331" s="105"/>
      <c r="W4331" s="105"/>
      <c r="X4331" s="11"/>
      <c r="Y4331" s="11"/>
      <c r="Z4331" s="105"/>
      <c r="AA4331" s="11"/>
      <c r="AB4331" s="11"/>
      <c r="AC4331" s="105"/>
      <c r="AD4331" s="11" t="b">
        <v>0</v>
      </c>
      <c r="AE4331" s="105"/>
      <c r="AF4331" s="11"/>
      <c r="AG4331" s="11"/>
      <c r="AH4331" s="11"/>
      <c r="AI4331" s="11"/>
    </row>
    <row r="4332" ht="12.5" spans="3:35">
      <c r="C4332" s="19"/>
      <c r="D4332" s="19"/>
      <c r="H4332" s="105"/>
      <c r="I4332" s="126"/>
      <c r="J4332" s="11"/>
      <c r="K4332" s="108"/>
      <c r="L4332" s="11"/>
      <c r="M4332" s="105"/>
      <c r="N4332" s="105"/>
      <c r="O4332" s="11"/>
      <c r="P4332" s="11"/>
      <c r="Q4332" s="105"/>
      <c r="R4332" s="105"/>
      <c r="S4332" s="105"/>
      <c r="T4332" s="105"/>
      <c r="U4332" s="105"/>
      <c r="V4332" s="105"/>
      <c r="W4332" s="105"/>
      <c r="X4332" s="11"/>
      <c r="Y4332" s="11"/>
      <c r="Z4332" s="105"/>
      <c r="AA4332" s="11"/>
      <c r="AB4332" s="11"/>
      <c r="AC4332" s="105"/>
      <c r="AD4332" s="11" t="b">
        <v>0</v>
      </c>
      <c r="AE4332" s="105"/>
      <c r="AF4332" s="11"/>
      <c r="AG4332" s="11"/>
      <c r="AH4332" s="11"/>
      <c r="AI4332" s="11"/>
    </row>
    <row r="4333" ht="12.5" spans="3:35">
      <c r="C4333" s="19"/>
      <c r="D4333" s="19"/>
      <c r="H4333" s="105"/>
      <c r="I4333" s="126"/>
      <c r="J4333" s="11"/>
      <c r="K4333" s="108"/>
      <c r="L4333" s="11"/>
      <c r="M4333" s="105"/>
      <c r="N4333" s="105"/>
      <c r="O4333" s="11"/>
      <c r="P4333" s="11"/>
      <c r="Q4333" s="105"/>
      <c r="R4333" s="105"/>
      <c r="S4333" s="105"/>
      <c r="T4333" s="105"/>
      <c r="U4333" s="105"/>
      <c r="V4333" s="105"/>
      <c r="W4333" s="105"/>
      <c r="X4333" s="11"/>
      <c r="Y4333" s="11"/>
      <c r="Z4333" s="105"/>
      <c r="AA4333" s="11"/>
      <c r="AB4333" s="11"/>
      <c r="AC4333" s="105"/>
      <c r="AD4333" s="11" t="b">
        <v>0</v>
      </c>
      <c r="AE4333" s="105"/>
      <c r="AF4333" s="11"/>
      <c r="AG4333" s="11"/>
      <c r="AH4333" s="11"/>
      <c r="AI4333" s="11"/>
    </row>
    <row r="4334" ht="12.5" spans="3:35">
      <c r="C4334" s="19"/>
      <c r="D4334" s="19"/>
      <c r="H4334" s="105"/>
      <c r="I4334" s="126"/>
      <c r="J4334" s="11"/>
      <c r="K4334" s="108"/>
      <c r="L4334" s="11"/>
      <c r="M4334" s="105"/>
      <c r="N4334" s="105"/>
      <c r="O4334" s="11"/>
      <c r="P4334" s="11"/>
      <c r="Q4334" s="105"/>
      <c r="R4334" s="105"/>
      <c r="S4334" s="105"/>
      <c r="T4334" s="105"/>
      <c r="U4334" s="105"/>
      <c r="V4334" s="105"/>
      <c r="W4334" s="105"/>
      <c r="X4334" s="11"/>
      <c r="Y4334" s="11"/>
      <c r="Z4334" s="105"/>
      <c r="AA4334" s="11"/>
      <c r="AB4334" s="11"/>
      <c r="AC4334" s="105"/>
      <c r="AD4334" s="11" t="b">
        <v>0</v>
      </c>
      <c r="AE4334" s="105"/>
      <c r="AF4334" s="11"/>
      <c r="AG4334" s="11"/>
      <c r="AH4334" s="11"/>
      <c r="AI4334" s="11"/>
    </row>
    <row r="4335" ht="12.5" spans="3:35">
      <c r="C4335" s="19"/>
      <c r="D4335" s="19"/>
      <c r="H4335" s="105"/>
      <c r="I4335" s="126"/>
      <c r="J4335" s="11"/>
      <c r="K4335" s="108"/>
      <c r="L4335" s="11"/>
      <c r="M4335" s="105"/>
      <c r="N4335" s="105"/>
      <c r="O4335" s="11"/>
      <c r="P4335" s="11"/>
      <c r="Q4335" s="105"/>
      <c r="R4335" s="105"/>
      <c r="S4335" s="105"/>
      <c r="T4335" s="105"/>
      <c r="U4335" s="105"/>
      <c r="V4335" s="105"/>
      <c r="W4335" s="105"/>
      <c r="X4335" s="11"/>
      <c r="Y4335" s="11"/>
      <c r="Z4335" s="105"/>
      <c r="AA4335" s="11"/>
      <c r="AB4335" s="11"/>
      <c r="AC4335" s="105"/>
      <c r="AD4335" s="11" t="b">
        <v>0</v>
      </c>
      <c r="AE4335" s="105"/>
      <c r="AF4335" s="11"/>
      <c r="AG4335" s="11"/>
      <c r="AH4335" s="11"/>
      <c r="AI4335" s="11"/>
    </row>
    <row r="4336" ht="12.5" spans="3:35">
      <c r="C4336" s="19"/>
      <c r="D4336" s="19"/>
      <c r="H4336" s="105"/>
      <c r="I4336" s="126"/>
      <c r="J4336" s="11"/>
      <c r="K4336" s="108"/>
      <c r="L4336" s="11"/>
      <c r="M4336" s="105"/>
      <c r="N4336" s="105"/>
      <c r="O4336" s="11"/>
      <c r="P4336" s="11"/>
      <c r="Q4336" s="105"/>
      <c r="R4336" s="105"/>
      <c r="S4336" s="105"/>
      <c r="T4336" s="105"/>
      <c r="U4336" s="105"/>
      <c r="V4336" s="105"/>
      <c r="W4336" s="105"/>
      <c r="X4336" s="11"/>
      <c r="Y4336" s="11"/>
      <c r="Z4336" s="105"/>
      <c r="AA4336" s="11"/>
      <c r="AB4336" s="11"/>
      <c r="AC4336" s="105"/>
      <c r="AD4336" s="11" t="b">
        <v>0</v>
      </c>
      <c r="AE4336" s="105"/>
      <c r="AF4336" s="11"/>
      <c r="AG4336" s="11"/>
      <c r="AH4336" s="11"/>
      <c r="AI4336" s="11"/>
    </row>
    <row r="4337" ht="12.5" spans="3:35">
      <c r="C4337" s="19"/>
      <c r="D4337" s="19"/>
      <c r="H4337" s="105"/>
      <c r="I4337" s="126"/>
      <c r="J4337" s="11"/>
      <c r="K4337" s="108"/>
      <c r="L4337" s="11"/>
      <c r="M4337" s="105"/>
      <c r="N4337" s="105"/>
      <c r="O4337" s="11"/>
      <c r="P4337" s="11"/>
      <c r="Q4337" s="105"/>
      <c r="R4337" s="105"/>
      <c r="S4337" s="105"/>
      <c r="T4337" s="105"/>
      <c r="U4337" s="105"/>
      <c r="V4337" s="105"/>
      <c r="W4337" s="105"/>
      <c r="X4337" s="11"/>
      <c r="Y4337" s="11"/>
      <c r="Z4337" s="105"/>
      <c r="AA4337" s="11"/>
      <c r="AB4337" s="11"/>
      <c r="AC4337" s="105"/>
      <c r="AD4337" s="11" t="b">
        <v>0</v>
      </c>
      <c r="AE4337" s="105"/>
      <c r="AF4337" s="11"/>
      <c r="AG4337" s="11"/>
      <c r="AH4337" s="11"/>
      <c r="AI4337" s="11"/>
    </row>
    <row r="4338" ht="12.5" spans="3:35">
      <c r="C4338" s="19"/>
      <c r="D4338" s="19"/>
      <c r="H4338" s="105"/>
      <c r="I4338" s="126"/>
      <c r="J4338" s="11"/>
      <c r="K4338" s="108"/>
      <c r="L4338" s="11"/>
      <c r="M4338" s="105"/>
      <c r="N4338" s="105"/>
      <c r="O4338" s="11"/>
      <c r="P4338" s="11"/>
      <c r="Q4338" s="105"/>
      <c r="R4338" s="105"/>
      <c r="S4338" s="105"/>
      <c r="T4338" s="105"/>
      <c r="U4338" s="105"/>
      <c r="V4338" s="105"/>
      <c r="W4338" s="105"/>
      <c r="X4338" s="11"/>
      <c r="Y4338" s="11"/>
      <c r="Z4338" s="105"/>
      <c r="AA4338" s="11"/>
      <c r="AB4338" s="11"/>
      <c r="AC4338" s="105"/>
      <c r="AD4338" s="11" t="b">
        <v>0</v>
      </c>
      <c r="AE4338" s="105"/>
      <c r="AF4338" s="11"/>
      <c r="AG4338" s="11"/>
      <c r="AH4338" s="11"/>
      <c r="AI4338" s="11"/>
    </row>
    <row r="4339" ht="12.5" spans="3:35">
      <c r="C4339" s="19"/>
      <c r="D4339" s="19"/>
      <c r="H4339" s="105"/>
      <c r="I4339" s="126"/>
      <c r="J4339" s="11"/>
      <c r="K4339" s="108"/>
      <c r="L4339" s="11"/>
      <c r="M4339" s="105"/>
      <c r="N4339" s="105"/>
      <c r="O4339" s="11"/>
      <c r="P4339" s="11"/>
      <c r="Q4339" s="105"/>
      <c r="R4339" s="105"/>
      <c r="S4339" s="105"/>
      <c r="T4339" s="105"/>
      <c r="U4339" s="105"/>
      <c r="V4339" s="105"/>
      <c r="W4339" s="105"/>
      <c r="X4339" s="11"/>
      <c r="Y4339" s="11"/>
      <c r="Z4339" s="105"/>
      <c r="AA4339" s="11"/>
      <c r="AB4339" s="11"/>
      <c r="AC4339" s="105"/>
      <c r="AD4339" s="11" t="b">
        <v>0</v>
      </c>
      <c r="AE4339" s="105"/>
      <c r="AF4339" s="11"/>
      <c r="AG4339" s="11"/>
      <c r="AH4339" s="11"/>
      <c r="AI4339" s="11"/>
    </row>
    <row r="4340" ht="12.5" spans="3:35">
      <c r="C4340" s="19"/>
      <c r="D4340" s="19"/>
      <c r="H4340" s="105"/>
      <c r="I4340" s="126"/>
      <c r="J4340" s="11"/>
      <c r="K4340" s="108"/>
      <c r="L4340" s="11"/>
      <c r="M4340" s="105"/>
      <c r="N4340" s="105"/>
      <c r="O4340" s="11"/>
      <c r="P4340" s="11"/>
      <c r="Q4340" s="105"/>
      <c r="R4340" s="105"/>
      <c r="S4340" s="105"/>
      <c r="T4340" s="105"/>
      <c r="U4340" s="105"/>
      <c r="V4340" s="105"/>
      <c r="W4340" s="105"/>
      <c r="X4340" s="11"/>
      <c r="Y4340" s="11"/>
      <c r="Z4340" s="105"/>
      <c r="AA4340" s="11"/>
      <c r="AB4340" s="11"/>
      <c r="AC4340" s="105"/>
      <c r="AD4340" s="11" t="b">
        <v>0</v>
      </c>
      <c r="AE4340" s="105"/>
      <c r="AF4340" s="11"/>
      <c r="AG4340" s="11"/>
      <c r="AH4340" s="11"/>
      <c r="AI4340" s="11"/>
    </row>
    <row r="4341" ht="12.5" spans="3:35">
      <c r="C4341" s="19"/>
      <c r="D4341" s="19"/>
      <c r="H4341" s="105"/>
      <c r="I4341" s="126"/>
      <c r="J4341" s="11"/>
      <c r="K4341" s="108"/>
      <c r="L4341" s="11"/>
      <c r="M4341" s="105"/>
      <c r="N4341" s="105"/>
      <c r="O4341" s="11"/>
      <c r="P4341" s="11"/>
      <c r="Q4341" s="105"/>
      <c r="R4341" s="105"/>
      <c r="S4341" s="105"/>
      <c r="T4341" s="105"/>
      <c r="U4341" s="105"/>
      <c r="V4341" s="105"/>
      <c r="W4341" s="105"/>
      <c r="X4341" s="11"/>
      <c r="Y4341" s="11"/>
      <c r="Z4341" s="105"/>
      <c r="AA4341" s="11"/>
      <c r="AB4341" s="11"/>
      <c r="AC4341" s="105"/>
      <c r="AD4341" s="11" t="b">
        <v>0</v>
      </c>
      <c r="AE4341" s="105"/>
      <c r="AF4341" s="11"/>
      <c r="AG4341" s="11"/>
      <c r="AH4341" s="11"/>
      <c r="AI4341" s="11"/>
    </row>
    <row r="4342" ht="12.5" spans="3:35">
      <c r="C4342" s="19"/>
      <c r="D4342" s="19"/>
      <c r="H4342" s="105"/>
      <c r="I4342" s="126"/>
      <c r="J4342" s="11"/>
      <c r="K4342" s="108"/>
      <c r="L4342" s="11"/>
      <c r="M4342" s="105"/>
      <c r="N4342" s="105"/>
      <c r="O4342" s="11"/>
      <c r="P4342" s="11"/>
      <c r="Q4342" s="105"/>
      <c r="R4342" s="105"/>
      <c r="S4342" s="105"/>
      <c r="T4342" s="105"/>
      <c r="U4342" s="105"/>
      <c r="V4342" s="105"/>
      <c r="W4342" s="105"/>
      <c r="X4342" s="11"/>
      <c r="Y4342" s="11"/>
      <c r="Z4342" s="105"/>
      <c r="AA4342" s="11"/>
      <c r="AB4342" s="11"/>
      <c r="AC4342" s="105"/>
      <c r="AD4342" s="11" t="b">
        <v>0</v>
      </c>
      <c r="AE4342" s="105"/>
      <c r="AF4342" s="11"/>
      <c r="AG4342" s="11"/>
      <c r="AH4342" s="11"/>
      <c r="AI4342" s="11"/>
    </row>
    <row r="4343" ht="12.5" spans="3:35">
      <c r="C4343" s="19"/>
      <c r="D4343" s="19"/>
      <c r="H4343" s="105"/>
      <c r="I4343" s="126"/>
      <c r="J4343" s="11"/>
      <c r="K4343" s="108"/>
      <c r="L4343" s="11"/>
      <c r="M4343" s="105"/>
      <c r="N4343" s="105"/>
      <c r="O4343" s="11"/>
      <c r="P4343" s="11"/>
      <c r="Q4343" s="105"/>
      <c r="R4343" s="105"/>
      <c r="S4343" s="105"/>
      <c r="T4343" s="105"/>
      <c r="U4343" s="105"/>
      <c r="V4343" s="105"/>
      <c r="W4343" s="105"/>
      <c r="X4343" s="11"/>
      <c r="Y4343" s="11"/>
      <c r="Z4343" s="105"/>
      <c r="AA4343" s="11"/>
      <c r="AB4343" s="11"/>
      <c r="AC4343" s="105"/>
      <c r="AD4343" s="11" t="b">
        <v>0</v>
      </c>
      <c r="AE4343" s="105"/>
      <c r="AF4343" s="11"/>
      <c r="AG4343" s="11"/>
      <c r="AH4343" s="11"/>
      <c r="AI4343" s="11"/>
    </row>
    <row r="4344" ht="12.5" spans="3:35">
      <c r="C4344" s="19"/>
      <c r="D4344" s="19"/>
      <c r="H4344" s="105"/>
      <c r="I4344" s="126"/>
      <c r="J4344" s="11"/>
      <c r="K4344" s="108"/>
      <c r="L4344" s="11"/>
      <c r="M4344" s="105"/>
      <c r="N4344" s="105"/>
      <c r="O4344" s="11"/>
      <c r="P4344" s="11"/>
      <c r="Q4344" s="105"/>
      <c r="R4344" s="105"/>
      <c r="S4344" s="105"/>
      <c r="T4344" s="105"/>
      <c r="U4344" s="105"/>
      <c r="V4344" s="105"/>
      <c r="W4344" s="105"/>
      <c r="X4344" s="11"/>
      <c r="Y4344" s="11"/>
      <c r="Z4344" s="105"/>
      <c r="AA4344" s="11"/>
      <c r="AB4344" s="11"/>
      <c r="AC4344" s="105"/>
      <c r="AD4344" s="11" t="b">
        <v>0</v>
      </c>
      <c r="AE4344" s="105"/>
      <c r="AF4344" s="11"/>
      <c r="AG4344" s="11"/>
      <c r="AH4344" s="11"/>
      <c r="AI4344" s="11"/>
    </row>
    <row r="4345" ht="12.5" spans="3:35">
      <c r="C4345" s="19"/>
      <c r="D4345" s="19"/>
      <c r="H4345" s="105"/>
      <c r="I4345" s="126"/>
      <c r="J4345" s="11"/>
      <c r="K4345" s="108"/>
      <c r="L4345" s="11"/>
      <c r="M4345" s="105"/>
      <c r="N4345" s="105"/>
      <c r="O4345" s="11"/>
      <c r="P4345" s="11"/>
      <c r="Q4345" s="105"/>
      <c r="R4345" s="105"/>
      <c r="S4345" s="105"/>
      <c r="T4345" s="105"/>
      <c r="U4345" s="105"/>
      <c r="V4345" s="105"/>
      <c r="W4345" s="105"/>
      <c r="X4345" s="11"/>
      <c r="Y4345" s="11"/>
      <c r="Z4345" s="105"/>
      <c r="AA4345" s="11"/>
      <c r="AB4345" s="11"/>
      <c r="AC4345" s="105"/>
      <c r="AD4345" s="11" t="b">
        <v>0</v>
      </c>
      <c r="AE4345" s="105"/>
      <c r="AF4345" s="11"/>
      <c r="AG4345" s="11"/>
      <c r="AH4345" s="11"/>
      <c r="AI4345" s="11"/>
    </row>
    <row r="4346" ht="12.5" spans="3:35">
      <c r="C4346" s="19"/>
      <c r="D4346" s="19"/>
      <c r="H4346" s="105"/>
      <c r="I4346" s="126"/>
      <c r="J4346" s="11"/>
      <c r="K4346" s="108"/>
      <c r="L4346" s="11"/>
      <c r="M4346" s="105"/>
      <c r="N4346" s="105"/>
      <c r="O4346" s="11"/>
      <c r="P4346" s="11"/>
      <c r="Q4346" s="105"/>
      <c r="R4346" s="105"/>
      <c r="S4346" s="105"/>
      <c r="T4346" s="105"/>
      <c r="U4346" s="105"/>
      <c r="V4346" s="105"/>
      <c r="W4346" s="105"/>
      <c r="X4346" s="11"/>
      <c r="Y4346" s="11"/>
      <c r="Z4346" s="105"/>
      <c r="AA4346" s="11"/>
      <c r="AB4346" s="11"/>
      <c r="AC4346" s="105"/>
      <c r="AD4346" s="11" t="b">
        <v>0</v>
      </c>
      <c r="AE4346" s="105"/>
      <c r="AF4346" s="11"/>
      <c r="AG4346" s="11"/>
      <c r="AH4346" s="11"/>
      <c r="AI4346" s="11"/>
    </row>
    <row r="4347" ht="12.5" spans="3:35">
      <c r="C4347" s="19"/>
      <c r="D4347" s="19"/>
      <c r="H4347" s="105"/>
      <c r="I4347" s="126"/>
      <c r="J4347" s="11"/>
      <c r="K4347" s="108"/>
      <c r="L4347" s="11"/>
      <c r="M4347" s="105"/>
      <c r="N4347" s="105"/>
      <c r="O4347" s="11"/>
      <c r="P4347" s="11"/>
      <c r="Q4347" s="105"/>
      <c r="R4347" s="105"/>
      <c r="S4347" s="105"/>
      <c r="T4347" s="105"/>
      <c r="U4347" s="105"/>
      <c r="V4347" s="105"/>
      <c r="W4347" s="105"/>
      <c r="X4347" s="11"/>
      <c r="Y4347" s="11"/>
      <c r="Z4347" s="105"/>
      <c r="AA4347" s="11"/>
      <c r="AB4347" s="11"/>
      <c r="AC4347" s="105"/>
      <c r="AD4347" s="11" t="b">
        <v>0</v>
      </c>
      <c r="AE4347" s="105"/>
      <c r="AF4347" s="11"/>
      <c r="AG4347" s="11"/>
      <c r="AH4347" s="11"/>
      <c r="AI4347" s="11"/>
    </row>
    <row r="4348" ht="12.5" spans="3:35">
      <c r="C4348" s="19"/>
      <c r="D4348" s="19"/>
      <c r="H4348" s="105"/>
      <c r="I4348" s="126"/>
      <c r="J4348" s="11"/>
      <c r="K4348" s="108"/>
      <c r="L4348" s="11"/>
      <c r="M4348" s="105"/>
      <c r="N4348" s="105"/>
      <c r="O4348" s="11"/>
      <c r="P4348" s="11"/>
      <c r="Q4348" s="105"/>
      <c r="R4348" s="105"/>
      <c r="S4348" s="105"/>
      <c r="T4348" s="105"/>
      <c r="U4348" s="105"/>
      <c r="V4348" s="105"/>
      <c r="W4348" s="105"/>
      <c r="X4348" s="11"/>
      <c r="Y4348" s="11"/>
      <c r="Z4348" s="105"/>
      <c r="AA4348" s="11"/>
      <c r="AB4348" s="11"/>
      <c r="AC4348" s="105"/>
      <c r="AD4348" s="11" t="b">
        <v>0</v>
      </c>
      <c r="AE4348" s="105"/>
      <c r="AF4348" s="11"/>
      <c r="AG4348" s="11"/>
      <c r="AH4348" s="11"/>
      <c r="AI4348" s="11"/>
    </row>
    <row r="4349" ht="12.5" spans="3:35">
      <c r="C4349" s="19"/>
      <c r="D4349" s="19"/>
      <c r="H4349" s="105"/>
      <c r="I4349" s="126"/>
      <c r="J4349" s="11"/>
      <c r="K4349" s="108"/>
      <c r="L4349" s="11"/>
      <c r="M4349" s="105"/>
      <c r="N4349" s="105"/>
      <c r="O4349" s="11"/>
      <c r="P4349" s="11"/>
      <c r="Q4349" s="105"/>
      <c r="R4349" s="105"/>
      <c r="S4349" s="105"/>
      <c r="T4349" s="105"/>
      <c r="U4349" s="105"/>
      <c r="V4349" s="105"/>
      <c r="W4349" s="105"/>
      <c r="X4349" s="11"/>
      <c r="Y4349" s="11"/>
      <c r="Z4349" s="105"/>
      <c r="AA4349" s="11"/>
      <c r="AB4349" s="11"/>
      <c r="AC4349" s="105"/>
      <c r="AD4349" s="11" t="b">
        <v>0</v>
      </c>
      <c r="AE4349" s="105"/>
      <c r="AF4349" s="11"/>
      <c r="AG4349" s="11"/>
      <c r="AH4349" s="11"/>
      <c r="AI4349" s="11"/>
    </row>
    <row r="4350" ht="12.5" spans="3:35">
      <c r="C4350" s="19"/>
      <c r="D4350" s="19"/>
      <c r="H4350" s="105"/>
      <c r="I4350" s="126"/>
      <c r="J4350" s="11"/>
      <c r="K4350" s="108"/>
      <c r="L4350" s="11"/>
      <c r="M4350" s="105"/>
      <c r="N4350" s="105"/>
      <c r="O4350" s="11"/>
      <c r="P4350" s="11"/>
      <c r="Q4350" s="105"/>
      <c r="R4350" s="105"/>
      <c r="S4350" s="105"/>
      <c r="T4350" s="105"/>
      <c r="U4350" s="105"/>
      <c r="V4350" s="105"/>
      <c r="W4350" s="105"/>
      <c r="X4350" s="11"/>
      <c r="Y4350" s="11"/>
      <c r="Z4350" s="105"/>
      <c r="AA4350" s="11"/>
      <c r="AB4350" s="11"/>
      <c r="AC4350" s="105"/>
      <c r="AD4350" s="11" t="b">
        <v>0</v>
      </c>
      <c r="AE4350" s="105"/>
      <c r="AF4350" s="11"/>
      <c r="AG4350" s="11"/>
      <c r="AH4350" s="11"/>
      <c r="AI4350" s="11"/>
    </row>
    <row r="4351" ht="12.5" spans="3:35">
      <c r="C4351" s="19"/>
      <c r="D4351" s="19"/>
      <c r="H4351" s="105"/>
      <c r="I4351" s="126"/>
      <c r="J4351" s="11"/>
      <c r="K4351" s="108"/>
      <c r="L4351" s="11"/>
      <c r="M4351" s="105"/>
      <c r="N4351" s="105"/>
      <c r="O4351" s="11"/>
      <c r="P4351" s="11"/>
      <c r="Q4351" s="105"/>
      <c r="R4351" s="105"/>
      <c r="S4351" s="105"/>
      <c r="T4351" s="105"/>
      <c r="U4351" s="105"/>
      <c r="V4351" s="105"/>
      <c r="W4351" s="105"/>
      <c r="X4351" s="11"/>
      <c r="Y4351" s="11"/>
      <c r="Z4351" s="105"/>
      <c r="AA4351" s="11"/>
      <c r="AB4351" s="11"/>
      <c r="AC4351" s="105"/>
      <c r="AD4351" s="11" t="b">
        <v>0</v>
      </c>
      <c r="AE4351" s="105"/>
      <c r="AF4351" s="11"/>
      <c r="AG4351" s="11"/>
      <c r="AH4351" s="11"/>
      <c r="AI4351" s="11"/>
    </row>
    <row r="4352" ht="12.5" spans="3:35">
      <c r="C4352" s="19"/>
      <c r="D4352" s="19"/>
      <c r="H4352" s="105"/>
      <c r="I4352" s="126"/>
      <c r="J4352" s="11"/>
      <c r="K4352" s="108"/>
      <c r="L4352" s="11"/>
      <c r="M4352" s="105"/>
      <c r="N4352" s="105"/>
      <c r="O4352" s="11"/>
      <c r="P4352" s="11"/>
      <c r="Q4352" s="105"/>
      <c r="R4352" s="105"/>
      <c r="S4352" s="105"/>
      <c r="T4352" s="105"/>
      <c r="U4352" s="105"/>
      <c r="V4352" s="105"/>
      <c r="W4352" s="105"/>
      <c r="X4352" s="11"/>
      <c r="Y4352" s="11"/>
      <c r="Z4352" s="105"/>
      <c r="AA4352" s="11"/>
      <c r="AB4352" s="11"/>
      <c r="AC4352" s="105"/>
      <c r="AD4352" s="11" t="b">
        <v>0</v>
      </c>
      <c r="AE4352" s="105"/>
      <c r="AF4352" s="11"/>
      <c r="AG4352" s="11"/>
      <c r="AH4352" s="11"/>
      <c r="AI4352" s="11"/>
    </row>
    <row r="4353" ht="12.5" spans="3:35">
      <c r="C4353" s="19"/>
      <c r="D4353" s="19"/>
      <c r="H4353" s="105"/>
      <c r="I4353" s="126"/>
      <c r="J4353" s="11"/>
      <c r="K4353" s="108"/>
      <c r="L4353" s="11"/>
      <c r="M4353" s="105"/>
      <c r="N4353" s="105"/>
      <c r="O4353" s="11"/>
      <c r="P4353" s="11"/>
      <c r="Q4353" s="105"/>
      <c r="R4353" s="105"/>
      <c r="S4353" s="105"/>
      <c r="T4353" s="105"/>
      <c r="U4353" s="105"/>
      <c r="V4353" s="105"/>
      <c r="W4353" s="105"/>
      <c r="X4353" s="11"/>
      <c r="Y4353" s="11"/>
      <c r="Z4353" s="105"/>
      <c r="AA4353" s="11"/>
      <c r="AB4353" s="11"/>
      <c r="AC4353" s="105"/>
      <c r="AD4353" s="11" t="b">
        <v>0</v>
      </c>
      <c r="AE4353" s="105"/>
      <c r="AF4353" s="11"/>
      <c r="AG4353" s="11"/>
      <c r="AH4353" s="11"/>
      <c r="AI4353" s="11"/>
    </row>
    <row r="4354" ht="12.5" spans="3:35">
      <c r="C4354" s="19"/>
      <c r="D4354" s="19"/>
      <c r="H4354" s="105"/>
      <c r="I4354" s="126"/>
      <c r="J4354" s="11"/>
      <c r="K4354" s="108"/>
      <c r="L4354" s="11"/>
      <c r="M4354" s="105"/>
      <c r="N4354" s="105"/>
      <c r="O4354" s="11"/>
      <c r="P4354" s="11"/>
      <c r="Q4354" s="105"/>
      <c r="R4354" s="105"/>
      <c r="S4354" s="105"/>
      <c r="T4354" s="105"/>
      <c r="U4354" s="105"/>
      <c r="V4354" s="105"/>
      <c r="W4354" s="105"/>
      <c r="X4354" s="11"/>
      <c r="Y4354" s="11"/>
      <c r="Z4354" s="105"/>
      <c r="AA4354" s="11"/>
      <c r="AB4354" s="11"/>
      <c r="AC4354" s="105"/>
      <c r="AD4354" s="11" t="b">
        <v>0</v>
      </c>
      <c r="AE4354" s="105"/>
      <c r="AF4354" s="11"/>
      <c r="AG4354" s="11"/>
      <c r="AH4354" s="11"/>
      <c r="AI4354" s="11"/>
    </row>
    <row r="4355" ht="12.5" spans="3:35">
      <c r="C4355" s="19"/>
      <c r="D4355" s="19"/>
      <c r="H4355" s="105"/>
      <c r="I4355" s="126"/>
      <c r="J4355" s="11"/>
      <c r="K4355" s="108"/>
      <c r="L4355" s="11"/>
      <c r="M4355" s="105"/>
      <c r="N4355" s="105"/>
      <c r="O4355" s="11"/>
      <c r="P4355" s="11"/>
      <c r="Q4355" s="105"/>
      <c r="R4355" s="105"/>
      <c r="S4355" s="105"/>
      <c r="T4355" s="105"/>
      <c r="U4355" s="105"/>
      <c r="V4355" s="105"/>
      <c r="W4355" s="105"/>
      <c r="X4355" s="11"/>
      <c r="Y4355" s="11"/>
      <c r="Z4355" s="105"/>
      <c r="AA4355" s="11"/>
      <c r="AB4355" s="11"/>
      <c r="AC4355" s="105"/>
      <c r="AD4355" s="11" t="b">
        <v>0</v>
      </c>
      <c r="AE4355" s="105"/>
      <c r="AF4355" s="11"/>
      <c r="AG4355" s="11"/>
      <c r="AH4355" s="11"/>
      <c r="AI4355" s="11"/>
    </row>
    <row r="4356" ht="12.5" spans="3:35">
      <c r="C4356" s="19"/>
      <c r="D4356" s="19"/>
      <c r="H4356" s="105"/>
      <c r="I4356" s="126"/>
      <c r="J4356" s="11"/>
      <c r="K4356" s="108"/>
      <c r="L4356" s="11"/>
      <c r="M4356" s="105"/>
      <c r="N4356" s="105"/>
      <c r="O4356" s="11"/>
      <c r="P4356" s="11"/>
      <c r="Q4356" s="105"/>
      <c r="R4356" s="105"/>
      <c r="S4356" s="105"/>
      <c r="T4356" s="105"/>
      <c r="U4356" s="105"/>
      <c r="V4356" s="105"/>
      <c r="W4356" s="105"/>
      <c r="X4356" s="11"/>
      <c r="Y4356" s="11"/>
      <c r="Z4356" s="105"/>
      <c r="AA4356" s="11"/>
      <c r="AB4356" s="11"/>
      <c r="AC4356" s="105"/>
      <c r="AD4356" s="11" t="b">
        <v>0</v>
      </c>
      <c r="AE4356" s="105"/>
      <c r="AF4356" s="11"/>
      <c r="AG4356" s="11"/>
      <c r="AH4356" s="11"/>
      <c r="AI4356" s="11"/>
    </row>
    <row r="4357" ht="12.5" spans="3:35">
      <c r="C4357" s="19"/>
      <c r="D4357" s="19"/>
      <c r="H4357" s="105"/>
      <c r="I4357" s="126"/>
      <c r="J4357" s="11"/>
      <c r="K4357" s="108"/>
      <c r="L4357" s="11"/>
      <c r="M4357" s="105"/>
      <c r="N4357" s="105"/>
      <c r="O4357" s="11"/>
      <c r="P4357" s="11"/>
      <c r="Q4357" s="105"/>
      <c r="R4357" s="105"/>
      <c r="S4357" s="105"/>
      <c r="T4357" s="105"/>
      <c r="U4357" s="105"/>
      <c r="V4357" s="105"/>
      <c r="W4357" s="105"/>
      <c r="X4357" s="11"/>
      <c r="Y4357" s="11"/>
      <c r="Z4357" s="105"/>
      <c r="AA4357" s="11"/>
      <c r="AB4357" s="11"/>
      <c r="AC4357" s="105"/>
      <c r="AD4357" s="11" t="b">
        <v>0</v>
      </c>
      <c r="AE4357" s="105"/>
      <c r="AF4357" s="11"/>
      <c r="AG4357" s="11"/>
      <c r="AH4357" s="11"/>
      <c r="AI4357" s="11"/>
    </row>
    <row r="4358" ht="12.5" spans="3:35">
      <c r="C4358" s="19"/>
      <c r="D4358" s="19"/>
      <c r="H4358" s="105"/>
      <c r="I4358" s="126"/>
      <c r="J4358" s="11"/>
      <c r="K4358" s="108"/>
      <c r="L4358" s="11"/>
      <c r="M4358" s="105"/>
      <c r="N4358" s="105"/>
      <c r="O4358" s="11"/>
      <c r="P4358" s="11"/>
      <c r="Q4358" s="105"/>
      <c r="R4358" s="105"/>
      <c r="S4358" s="105"/>
      <c r="T4358" s="105"/>
      <c r="U4358" s="105"/>
      <c r="V4358" s="105"/>
      <c r="W4358" s="105"/>
      <c r="X4358" s="11"/>
      <c r="Y4358" s="11"/>
      <c r="Z4358" s="105"/>
      <c r="AA4358" s="11"/>
      <c r="AB4358" s="11"/>
      <c r="AC4358" s="105"/>
      <c r="AD4358" s="11" t="b">
        <v>0</v>
      </c>
      <c r="AE4358" s="105"/>
      <c r="AF4358" s="11"/>
      <c r="AG4358" s="11"/>
      <c r="AH4358" s="11"/>
      <c r="AI4358" s="11"/>
    </row>
    <row r="4359" ht="12.5" spans="3:35">
      <c r="C4359" s="19"/>
      <c r="D4359" s="19"/>
      <c r="H4359" s="105"/>
      <c r="I4359" s="126"/>
      <c r="J4359" s="11"/>
      <c r="K4359" s="108"/>
      <c r="L4359" s="11"/>
      <c r="M4359" s="105"/>
      <c r="N4359" s="105"/>
      <c r="O4359" s="11"/>
      <c r="P4359" s="11"/>
      <c r="Q4359" s="105"/>
      <c r="R4359" s="105"/>
      <c r="S4359" s="105"/>
      <c r="T4359" s="105"/>
      <c r="U4359" s="105"/>
      <c r="V4359" s="105"/>
      <c r="W4359" s="105"/>
      <c r="X4359" s="11"/>
      <c r="Y4359" s="11"/>
      <c r="Z4359" s="105"/>
      <c r="AA4359" s="11"/>
      <c r="AB4359" s="11"/>
      <c r="AC4359" s="105"/>
      <c r="AD4359" s="11" t="b">
        <v>0</v>
      </c>
      <c r="AE4359" s="105"/>
      <c r="AF4359" s="11"/>
      <c r="AG4359" s="11"/>
      <c r="AH4359" s="11"/>
      <c r="AI4359" s="11"/>
    </row>
    <row r="4360" ht="12.5" spans="3:35">
      <c r="C4360" s="19"/>
      <c r="D4360" s="19"/>
      <c r="H4360" s="105"/>
      <c r="I4360" s="126"/>
      <c r="J4360" s="11"/>
      <c r="K4360" s="108"/>
      <c r="L4360" s="11"/>
      <c r="M4360" s="105"/>
      <c r="N4360" s="105"/>
      <c r="O4360" s="11"/>
      <c r="P4360" s="11"/>
      <c r="Q4360" s="105"/>
      <c r="R4360" s="105"/>
      <c r="S4360" s="105"/>
      <c r="T4360" s="105"/>
      <c r="U4360" s="105"/>
      <c r="V4360" s="105"/>
      <c r="W4360" s="105"/>
      <c r="X4360" s="11"/>
      <c r="Y4360" s="11"/>
      <c r="Z4360" s="105"/>
      <c r="AA4360" s="11"/>
      <c r="AB4360" s="11"/>
      <c r="AC4360" s="105"/>
      <c r="AD4360" s="11" t="b">
        <v>0</v>
      </c>
      <c r="AE4360" s="105"/>
      <c r="AF4360" s="11"/>
      <c r="AG4360" s="11"/>
      <c r="AH4360" s="11"/>
      <c r="AI4360" s="11"/>
    </row>
    <row r="4361" ht="12.5" spans="3:35">
      <c r="C4361" s="19"/>
      <c r="D4361" s="19"/>
      <c r="H4361" s="105"/>
      <c r="I4361" s="126"/>
      <c r="J4361" s="11"/>
      <c r="K4361" s="108"/>
      <c r="L4361" s="11"/>
      <c r="M4361" s="105"/>
      <c r="N4361" s="105"/>
      <c r="O4361" s="11"/>
      <c r="P4361" s="11"/>
      <c r="Q4361" s="105"/>
      <c r="R4361" s="105"/>
      <c r="S4361" s="105"/>
      <c r="T4361" s="105"/>
      <c r="U4361" s="105"/>
      <c r="V4361" s="105"/>
      <c r="W4361" s="105"/>
      <c r="X4361" s="11"/>
      <c r="Y4361" s="11"/>
      <c r="Z4361" s="105"/>
      <c r="AA4361" s="11"/>
      <c r="AB4361" s="11"/>
      <c r="AC4361" s="105"/>
      <c r="AD4361" s="11" t="b">
        <v>0</v>
      </c>
      <c r="AE4361" s="105"/>
      <c r="AF4361" s="11"/>
      <c r="AG4361" s="11"/>
      <c r="AH4361" s="11"/>
      <c r="AI4361" s="11"/>
    </row>
    <row r="4362" ht="12.5" spans="3:35">
      <c r="C4362" s="19"/>
      <c r="D4362" s="19"/>
      <c r="H4362" s="105"/>
      <c r="I4362" s="126"/>
      <c r="J4362" s="11"/>
      <c r="K4362" s="108"/>
      <c r="L4362" s="11"/>
      <c r="M4362" s="105"/>
      <c r="N4362" s="105"/>
      <c r="O4362" s="11"/>
      <c r="P4362" s="11"/>
      <c r="Q4362" s="105"/>
      <c r="R4362" s="105"/>
      <c r="S4362" s="105"/>
      <c r="T4362" s="105"/>
      <c r="U4362" s="105"/>
      <c r="V4362" s="105"/>
      <c r="W4362" s="105"/>
      <c r="X4362" s="11"/>
      <c r="Y4362" s="11"/>
      <c r="Z4362" s="105"/>
      <c r="AA4362" s="11"/>
      <c r="AB4362" s="11"/>
      <c r="AC4362" s="105"/>
      <c r="AD4362" s="11" t="b">
        <v>0</v>
      </c>
      <c r="AE4362" s="105"/>
      <c r="AF4362" s="11"/>
      <c r="AG4362" s="11"/>
      <c r="AH4362" s="11"/>
      <c r="AI4362" s="11"/>
    </row>
    <row r="4363" ht="12.5" spans="3:35">
      <c r="C4363" s="19"/>
      <c r="D4363" s="19"/>
      <c r="H4363" s="105"/>
      <c r="I4363" s="126"/>
      <c r="J4363" s="11"/>
      <c r="K4363" s="108"/>
      <c r="L4363" s="11"/>
      <c r="M4363" s="105"/>
      <c r="N4363" s="105"/>
      <c r="O4363" s="11"/>
      <c r="P4363" s="11"/>
      <c r="Q4363" s="105"/>
      <c r="R4363" s="105"/>
      <c r="S4363" s="105"/>
      <c r="T4363" s="105"/>
      <c r="U4363" s="105"/>
      <c r="V4363" s="105"/>
      <c r="W4363" s="105"/>
      <c r="X4363" s="11"/>
      <c r="Y4363" s="11"/>
      <c r="Z4363" s="105"/>
      <c r="AA4363" s="11"/>
      <c r="AB4363" s="11"/>
      <c r="AC4363" s="105"/>
      <c r="AD4363" s="11" t="b">
        <v>0</v>
      </c>
      <c r="AE4363" s="105"/>
      <c r="AF4363" s="11"/>
      <c r="AG4363" s="11"/>
      <c r="AH4363" s="11"/>
      <c r="AI4363" s="11"/>
    </row>
    <row r="4364" ht="12.5" spans="3:35">
      <c r="C4364" s="19"/>
      <c r="D4364" s="19"/>
      <c r="H4364" s="105"/>
      <c r="I4364" s="126"/>
      <c r="J4364" s="11"/>
      <c r="K4364" s="108"/>
      <c r="L4364" s="11"/>
      <c r="M4364" s="105"/>
      <c r="N4364" s="105"/>
      <c r="O4364" s="11"/>
      <c r="P4364" s="11"/>
      <c r="Q4364" s="105"/>
      <c r="R4364" s="105"/>
      <c r="S4364" s="105"/>
      <c r="T4364" s="105"/>
      <c r="U4364" s="105"/>
      <c r="V4364" s="105"/>
      <c r="W4364" s="105"/>
      <c r="X4364" s="11"/>
      <c r="Y4364" s="11"/>
      <c r="Z4364" s="105"/>
      <c r="AA4364" s="11"/>
      <c r="AB4364" s="11"/>
      <c r="AC4364" s="105"/>
      <c r="AD4364" s="11" t="b">
        <v>0</v>
      </c>
      <c r="AE4364" s="105"/>
      <c r="AF4364" s="11"/>
      <c r="AG4364" s="11"/>
      <c r="AH4364" s="11"/>
      <c r="AI4364" s="11"/>
    </row>
    <row r="4365" ht="12.5" spans="3:35">
      <c r="C4365" s="19"/>
      <c r="D4365" s="19"/>
      <c r="H4365" s="105"/>
      <c r="I4365" s="126"/>
      <c r="J4365" s="11"/>
      <c r="K4365" s="108"/>
      <c r="L4365" s="11"/>
      <c r="M4365" s="105"/>
      <c r="N4365" s="105"/>
      <c r="O4365" s="11"/>
      <c r="P4365" s="11"/>
      <c r="Q4365" s="105"/>
      <c r="R4365" s="105"/>
      <c r="S4365" s="105"/>
      <c r="T4365" s="105"/>
      <c r="U4365" s="105"/>
      <c r="V4365" s="105"/>
      <c r="W4365" s="105"/>
      <c r="X4365" s="11"/>
      <c r="Y4365" s="11"/>
      <c r="Z4365" s="105"/>
      <c r="AA4365" s="11"/>
      <c r="AB4365" s="11"/>
      <c r="AC4365" s="105"/>
      <c r="AD4365" s="11" t="b">
        <v>0</v>
      </c>
      <c r="AE4365" s="105"/>
      <c r="AF4365" s="11"/>
      <c r="AG4365" s="11"/>
      <c r="AH4365" s="11"/>
      <c r="AI4365" s="11"/>
    </row>
    <row r="4366" ht="12.5" spans="3:35">
      <c r="C4366" s="19"/>
      <c r="D4366" s="19"/>
      <c r="H4366" s="105"/>
      <c r="I4366" s="126"/>
      <c r="J4366" s="11"/>
      <c r="K4366" s="108"/>
      <c r="L4366" s="11"/>
      <c r="M4366" s="105"/>
      <c r="N4366" s="105"/>
      <c r="O4366" s="11"/>
      <c r="P4366" s="11"/>
      <c r="Q4366" s="105"/>
      <c r="R4366" s="105"/>
      <c r="S4366" s="105"/>
      <c r="T4366" s="105"/>
      <c r="U4366" s="105"/>
      <c r="V4366" s="105"/>
      <c r="W4366" s="105"/>
      <c r="X4366" s="11"/>
      <c r="Y4366" s="11"/>
      <c r="Z4366" s="105"/>
      <c r="AA4366" s="11"/>
      <c r="AB4366" s="11"/>
      <c r="AC4366" s="105"/>
      <c r="AD4366" s="11" t="b">
        <v>0</v>
      </c>
      <c r="AE4366" s="105"/>
      <c r="AF4366" s="11"/>
      <c r="AG4366" s="11"/>
      <c r="AH4366" s="11"/>
      <c r="AI4366" s="11"/>
    </row>
    <row r="4367" ht="12.5" spans="3:35">
      <c r="C4367" s="19"/>
      <c r="D4367" s="19"/>
      <c r="H4367" s="105"/>
      <c r="I4367" s="126"/>
      <c r="J4367" s="11"/>
      <c r="K4367" s="108"/>
      <c r="L4367" s="11"/>
      <c r="M4367" s="105"/>
      <c r="N4367" s="105"/>
      <c r="O4367" s="11"/>
      <c r="P4367" s="11"/>
      <c r="Q4367" s="105"/>
      <c r="R4367" s="105"/>
      <c r="S4367" s="105"/>
      <c r="T4367" s="105"/>
      <c r="U4367" s="105"/>
      <c r="V4367" s="105"/>
      <c r="W4367" s="105"/>
      <c r="X4367" s="11"/>
      <c r="Y4367" s="11"/>
      <c r="Z4367" s="105"/>
      <c r="AA4367" s="11"/>
      <c r="AB4367" s="11"/>
      <c r="AC4367" s="105"/>
      <c r="AD4367" s="11" t="b">
        <v>0</v>
      </c>
      <c r="AE4367" s="105"/>
      <c r="AF4367" s="11"/>
      <c r="AG4367" s="11"/>
      <c r="AH4367" s="11"/>
      <c r="AI4367" s="11"/>
    </row>
    <row r="4368" ht="12.5" spans="3:35">
      <c r="C4368" s="19"/>
      <c r="D4368" s="19"/>
      <c r="H4368" s="105"/>
      <c r="I4368" s="126"/>
      <c r="J4368" s="11"/>
      <c r="K4368" s="108"/>
      <c r="L4368" s="11"/>
      <c r="M4368" s="105"/>
      <c r="N4368" s="105"/>
      <c r="O4368" s="11"/>
      <c r="P4368" s="11"/>
      <c r="Q4368" s="105"/>
      <c r="R4368" s="105"/>
      <c r="S4368" s="105"/>
      <c r="T4368" s="105"/>
      <c r="U4368" s="105"/>
      <c r="V4368" s="105"/>
      <c r="W4368" s="105"/>
      <c r="X4368" s="11"/>
      <c r="Y4368" s="11"/>
      <c r="Z4368" s="105"/>
      <c r="AA4368" s="11"/>
      <c r="AB4368" s="11"/>
      <c r="AC4368" s="105"/>
      <c r="AD4368" s="11" t="b">
        <v>0</v>
      </c>
      <c r="AE4368" s="105"/>
      <c r="AF4368" s="11"/>
      <c r="AG4368" s="11"/>
      <c r="AH4368" s="11"/>
      <c r="AI4368" s="11"/>
    </row>
    <row r="4369" ht="12.5" spans="3:35">
      <c r="C4369" s="19"/>
      <c r="D4369" s="19"/>
      <c r="H4369" s="105"/>
      <c r="I4369" s="126"/>
      <c r="J4369" s="11"/>
      <c r="K4369" s="108"/>
      <c r="L4369" s="11"/>
      <c r="M4369" s="105"/>
      <c r="N4369" s="105"/>
      <c r="O4369" s="11"/>
      <c r="P4369" s="11"/>
      <c r="Q4369" s="105"/>
      <c r="R4369" s="105"/>
      <c r="S4369" s="105"/>
      <c r="T4369" s="105"/>
      <c r="U4369" s="105"/>
      <c r="V4369" s="105"/>
      <c r="W4369" s="105"/>
      <c r="X4369" s="11"/>
      <c r="Y4369" s="11"/>
      <c r="Z4369" s="105"/>
      <c r="AA4369" s="11"/>
      <c r="AB4369" s="11"/>
      <c r="AC4369" s="105"/>
      <c r="AD4369" s="11" t="b">
        <v>0</v>
      </c>
      <c r="AE4369" s="105"/>
      <c r="AF4369" s="11"/>
      <c r="AG4369" s="11"/>
      <c r="AH4369" s="11"/>
      <c r="AI4369" s="11"/>
    </row>
    <row r="4370" ht="12.5" spans="3:35">
      <c r="C4370" s="19"/>
      <c r="D4370" s="19"/>
      <c r="H4370" s="105"/>
      <c r="I4370" s="126"/>
      <c r="J4370" s="11"/>
      <c r="K4370" s="108"/>
      <c r="L4370" s="11"/>
      <c r="M4370" s="105"/>
      <c r="N4370" s="105"/>
      <c r="O4370" s="11"/>
      <c r="P4370" s="11"/>
      <c r="Q4370" s="105"/>
      <c r="R4370" s="105"/>
      <c r="S4370" s="105"/>
      <c r="T4370" s="105"/>
      <c r="U4370" s="105"/>
      <c r="V4370" s="105"/>
      <c r="W4370" s="105"/>
      <c r="X4370" s="11"/>
      <c r="Y4370" s="11"/>
      <c r="Z4370" s="105"/>
      <c r="AA4370" s="11"/>
      <c r="AB4370" s="11"/>
      <c r="AC4370" s="105"/>
      <c r="AD4370" s="11" t="b">
        <v>0</v>
      </c>
      <c r="AE4370" s="105"/>
      <c r="AF4370" s="11"/>
      <c r="AG4370" s="11"/>
      <c r="AH4370" s="11"/>
      <c r="AI4370" s="11"/>
    </row>
    <row r="4371" ht="12.5" spans="3:35">
      <c r="C4371" s="19"/>
      <c r="D4371" s="19"/>
      <c r="H4371" s="105"/>
      <c r="I4371" s="126"/>
      <c r="J4371" s="11"/>
      <c r="K4371" s="108"/>
      <c r="L4371" s="11"/>
      <c r="M4371" s="105"/>
      <c r="N4371" s="105"/>
      <c r="O4371" s="11"/>
      <c r="P4371" s="11"/>
      <c r="Q4371" s="105"/>
      <c r="R4371" s="105"/>
      <c r="S4371" s="105"/>
      <c r="T4371" s="105"/>
      <c r="U4371" s="105"/>
      <c r="V4371" s="105"/>
      <c r="W4371" s="105"/>
      <c r="X4371" s="11"/>
      <c r="Y4371" s="11"/>
      <c r="Z4371" s="105"/>
      <c r="AA4371" s="11"/>
      <c r="AB4371" s="11"/>
      <c r="AC4371" s="105"/>
      <c r="AD4371" s="11" t="b">
        <v>0</v>
      </c>
      <c r="AE4371" s="105"/>
      <c r="AF4371" s="11"/>
      <c r="AG4371" s="11"/>
      <c r="AH4371" s="11"/>
      <c r="AI4371" s="11"/>
    </row>
    <row r="4372" ht="12.5" spans="3:35">
      <c r="C4372" s="19"/>
      <c r="D4372" s="19"/>
      <c r="H4372" s="105"/>
      <c r="I4372" s="126"/>
      <c r="J4372" s="11"/>
      <c r="K4372" s="108"/>
      <c r="L4372" s="11"/>
      <c r="M4372" s="105"/>
      <c r="N4372" s="105"/>
      <c r="O4372" s="11"/>
      <c r="P4372" s="11"/>
      <c r="Q4372" s="105"/>
      <c r="R4372" s="105"/>
      <c r="S4372" s="105"/>
      <c r="T4372" s="105"/>
      <c r="U4372" s="105"/>
      <c r="V4372" s="105"/>
      <c r="W4372" s="105"/>
      <c r="X4372" s="11"/>
      <c r="Y4372" s="11"/>
      <c r="Z4372" s="105"/>
      <c r="AA4372" s="11"/>
      <c r="AB4372" s="11"/>
      <c r="AC4372" s="105"/>
      <c r="AD4372" s="11" t="b">
        <v>0</v>
      </c>
      <c r="AE4372" s="105"/>
      <c r="AF4372" s="11"/>
      <c r="AG4372" s="11"/>
      <c r="AH4372" s="11"/>
      <c r="AI4372" s="11"/>
    </row>
    <row r="4373" ht="12.5" spans="3:35">
      <c r="C4373" s="19"/>
      <c r="D4373" s="19"/>
      <c r="H4373" s="105"/>
      <c r="I4373" s="126"/>
      <c r="J4373" s="11"/>
      <c r="K4373" s="108"/>
      <c r="L4373" s="11"/>
      <c r="M4373" s="105"/>
      <c r="N4373" s="105"/>
      <c r="O4373" s="11"/>
      <c r="P4373" s="11"/>
      <c r="Q4373" s="105"/>
      <c r="R4373" s="105"/>
      <c r="S4373" s="105"/>
      <c r="T4373" s="105"/>
      <c r="U4373" s="105"/>
      <c r="V4373" s="105"/>
      <c r="W4373" s="105"/>
      <c r="X4373" s="11"/>
      <c r="Y4373" s="11"/>
      <c r="Z4373" s="105"/>
      <c r="AA4373" s="11"/>
      <c r="AB4373" s="11"/>
      <c r="AC4373" s="105"/>
      <c r="AD4373" s="11" t="b">
        <v>0</v>
      </c>
      <c r="AE4373" s="105"/>
      <c r="AF4373" s="11"/>
      <c r="AG4373" s="11"/>
      <c r="AH4373" s="11"/>
      <c r="AI4373" s="11"/>
    </row>
    <row r="4374" ht="12.5" spans="3:35">
      <c r="C4374" s="19"/>
      <c r="D4374" s="19"/>
      <c r="H4374" s="105"/>
      <c r="I4374" s="126"/>
      <c r="J4374" s="11"/>
      <c r="K4374" s="108"/>
      <c r="L4374" s="11"/>
      <c r="M4374" s="105"/>
      <c r="N4374" s="105"/>
      <c r="O4374" s="11"/>
      <c r="P4374" s="11"/>
      <c r="Q4374" s="105"/>
      <c r="R4374" s="105"/>
      <c r="S4374" s="105"/>
      <c r="T4374" s="105"/>
      <c r="U4374" s="105"/>
      <c r="V4374" s="105"/>
      <c r="W4374" s="105"/>
      <c r="X4374" s="11"/>
      <c r="Y4374" s="11"/>
      <c r="Z4374" s="105"/>
      <c r="AA4374" s="11"/>
      <c r="AB4374" s="11"/>
      <c r="AC4374" s="105"/>
      <c r="AD4374" s="11" t="b">
        <v>0</v>
      </c>
      <c r="AE4374" s="105"/>
      <c r="AF4374" s="11"/>
      <c r="AG4374" s="11"/>
      <c r="AH4374" s="11"/>
      <c r="AI4374" s="11"/>
    </row>
    <row r="4375" ht="12.5" spans="3:35">
      <c r="C4375" s="19"/>
      <c r="D4375" s="19"/>
      <c r="H4375" s="105"/>
      <c r="I4375" s="126"/>
      <c r="J4375" s="11"/>
      <c r="K4375" s="108"/>
      <c r="L4375" s="11"/>
      <c r="M4375" s="105"/>
      <c r="N4375" s="105"/>
      <c r="O4375" s="11"/>
      <c r="P4375" s="11"/>
      <c r="Q4375" s="105"/>
      <c r="R4375" s="105"/>
      <c r="S4375" s="105"/>
      <c r="T4375" s="105"/>
      <c r="U4375" s="105"/>
      <c r="V4375" s="105"/>
      <c r="W4375" s="105"/>
      <c r="X4375" s="11"/>
      <c r="Y4375" s="11"/>
      <c r="Z4375" s="105"/>
      <c r="AA4375" s="11"/>
      <c r="AB4375" s="11"/>
      <c r="AC4375" s="105"/>
      <c r="AD4375" s="11" t="b">
        <v>0</v>
      </c>
      <c r="AE4375" s="105"/>
      <c r="AF4375" s="11"/>
      <c r="AG4375" s="11"/>
      <c r="AH4375" s="11"/>
      <c r="AI4375" s="11"/>
    </row>
    <row r="4376" ht="12.5" spans="3:35">
      <c r="C4376" s="19"/>
      <c r="D4376" s="19"/>
      <c r="H4376" s="105"/>
      <c r="I4376" s="126"/>
      <c r="J4376" s="11"/>
      <c r="K4376" s="108"/>
      <c r="L4376" s="11"/>
      <c r="M4376" s="105"/>
      <c r="N4376" s="105"/>
      <c r="O4376" s="11"/>
      <c r="P4376" s="11"/>
      <c r="Q4376" s="105"/>
      <c r="R4376" s="105"/>
      <c r="S4376" s="105"/>
      <c r="T4376" s="105"/>
      <c r="U4376" s="105"/>
      <c r="V4376" s="105"/>
      <c r="W4376" s="105"/>
      <c r="X4376" s="11"/>
      <c r="Y4376" s="11"/>
      <c r="Z4376" s="105"/>
      <c r="AA4376" s="11"/>
      <c r="AB4376" s="11"/>
      <c r="AC4376" s="105"/>
      <c r="AD4376" s="11" t="b">
        <v>0</v>
      </c>
      <c r="AE4376" s="105"/>
      <c r="AF4376" s="11"/>
      <c r="AG4376" s="11"/>
      <c r="AH4376" s="11"/>
      <c r="AI4376" s="11"/>
    </row>
    <row r="4377" ht="12.5" spans="3:35">
      <c r="C4377" s="19"/>
      <c r="D4377" s="19"/>
      <c r="H4377" s="105"/>
      <c r="I4377" s="126"/>
      <c r="J4377" s="11"/>
      <c r="K4377" s="108"/>
      <c r="L4377" s="11"/>
      <c r="M4377" s="105"/>
      <c r="N4377" s="105"/>
      <c r="O4377" s="11"/>
      <c r="P4377" s="11"/>
      <c r="Q4377" s="105"/>
      <c r="R4377" s="105"/>
      <c r="S4377" s="105"/>
      <c r="T4377" s="105"/>
      <c r="U4377" s="105"/>
      <c r="V4377" s="105"/>
      <c r="W4377" s="105"/>
      <c r="X4377" s="11"/>
      <c r="Y4377" s="11"/>
      <c r="Z4377" s="105"/>
      <c r="AA4377" s="11"/>
      <c r="AB4377" s="11"/>
      <c r="AC4377" s="105"/>
      <c r="AD4377" s="11" t="b">
        <v>0</v>
      </c>
      <c r="AE4377" s="105"/>
      <c r="AF4377" s="11"/>
      <c r="AG4377" s="11"/>
      <c r="AH4377" s="11"/>
      <c r="AI4377" s="11"/>
    </row>
    <row r="4378" ht="12.5" spans="3:35">
      <c r="C4378" s="19"/>
      <c r="D4378" s="19"/>
      <c r="H4378" s="105"/>
      <c r="I4378" s="126"/>
      <c r="J4378" s="11"/>
      <c r="K4378" s="108"/>
      <c r="L4378" s="11"/>
      <c r="M4378" s="105"/>
      <c r="N4378" s="105"/>
      <c r="O4378" s="11"/>
      <c r="P4378" s="11"/>
      <c r="Q4378" s="105"/>
      <c r="R4378" s="105"/>
      <c r="S4378" s="105"/>
      <c r="T4378" s="105"/>
      <c r="U4378" s="105"/>
      <c r="V4378" s="105"/>
      <c r="W4378" s="105"/>
      <c r="X4378" s="11"/>
      <c r="Y4378" s="11"/>
      <c r="Z4378" s="105"/>
      <c r="AA4378" s="11"/>
      <c r="AB4378" s="11"/>
      <c r="AC4378" s="105"/>
      <c r="AD4378" s="11" t="b">
        <v>0</v>
      </c>
      <c r="AE4378" s="105"/>
      <c r="AF4378" s="11"/>
      <c r="AG4378" s="11"/>
      <c r="AH4378" s="11"/>
      <c r="AI4378" s="11"/>
    </row>
    <row r="4379" ht="12.5" spans="3:35">
      <c r="C4379" s="19"/>
      <c r="D4379" s="19"/>
      <c r="H4379" s="105"/>
      <c r="I4379" s="126"/>
      <c r="J4379" s="11"/>
      <c r="K4379" s="108"/>
      <c r="L4379" s="11"/>
      <c r="M4379" s="105"/>
      <c r="N4379" s="105"/>
      <c r="O4379" s="11"/>
      <c r="P4379" s="11"/>
      <c r="Q4379" s="105"/>
      <c r="R4379" s="105"/>
      <c r="S4379" s="105"/>
      <c r="T4379" s="105"/>
      <c r="U4379" s="105"/>
      <c r="V4379" s="105"/>
      <c r="W4379" s="105"/>
      <c r="X4379" s="11"/>
      <c r="Y4379" s="11"/>
      <c r="Z4379" s="105"/>
      <c r="AA4379" s="11"/>
      <c r="AB4379" s="11"/>
      <c r="AC4379" s="105"/>
      <c r="AD4379" s="11" t="b">
        <v>0</v>
      </c>
      <c r="AE4379" s="105"/>
      <c r="AF4379" s="11"/>
      <c r="AG4379" s="11"/>
      <c r="AH4379" s="11"/>
      <c r="AI4379" s="11"/>
    </row>
    <row r="4380" ht="12.5" spans="3:35">
      <c r="C4380" s="19"/>
      <c r="D4380" s="19"/>
      <c r="H4380" s="105"/>
      <c r="I4380" s="126"/>
      <c r="J4380" s="11"/>
      <c r="K4380" s="108"/>
      <c r="L4380" s="11"/>
      <c r="M4380" s="105"/>
      <c r="N4380" s="105"/>
      <c r="O4380" s="11"/>
      <c r="P4380" s="11"/>
      <c r="Q4380" s="105"/>
      <c r="R4380" s="105"/>
      <c r="S4380" s="105"/>
      <c r="T4380" s="105"/>
      <c r="U4380" s="105"/>
      <c r="V4380" s="105"/>
      <c r="W4380" s="105"/>
      <c r="X4380" s="11"/>
      <c r="Y4380" s="11"/>
      <c r="Z4380" s="105"/>
      <c r="AA4380" s="11"/>
      <c r="AB4380" s="11"/>
      <c r="AC4380" s="105"/>
      <c r="AD4380" s="11" t="b">
        <v>0</v>
      </c>
      <c r="AE4380" s="105"/>
      <c r="AF4380" s="11"/>
      <c r="AG4380" s="11"/>
      <c r="AH4380" s="11"/>
      <c r="AI4380" s="11"/>
    </row>
    <row r="4381" ht="12.5" spans="3:35">
      <c r="C4381" s="19"/>
      <c r="D4381" s="19"/>
      <c r="H4381" s="105"/>
      <c r="I4381" s="126"/>
      <c r="J4381" s="11"/>
      <c r="K4381" s="108"/>
      <c r="L4381" s="11"/>
      <c r="M4381" s="105"/>
      <c r="N4381" s="105"/>
      <c r="O4381" s="11"/>
      <c r="P4381" s="11"/>
      <c r="Q4381" s="105"/>
      <c r="R4381" s="105"/>
      <c r="S4381" s="105"/>
      <c r="T4381" s="105"/>
      <c r="U4381" s="105"/>
      <c r="V4381" s="105"/>
      <c r="W4381" s="105"/>
      <c r="X4381" s="11"/>
      <c r="Y4381" s="11"/>
      <c r="Z4381" s="105"/>
      <c r="AA4381" s="11"/>
      <c r="AB4381" s="11"/>
      <c r="AC4381" s="105"/>
      <c r="AD4381" s="11" t="b">
        <v>0</v>
      </c>
      <c r="AE4381" s="105"/>
      <c r="AF4381" s="11"/>
      <c r="AG4381" s="11"/>
      <c r="AH4381" s="11"/>
      <c r="AI4381" s="11"/>
    </row>
    <row r="4382" ht="12.5" spans="3:35">
      <c r="C4382" s="19"/>
      <c r="D4382" s="19"/>
      <c r="H4382" s="105"/>
      <c r="I4382" s="126"/>
      <c r="J4382" s="11"/>
      <c r="K4382" s="108"/>
      <c r="L4382" s="11"/>
      <c r="M4382" s="105"/>
      <c r="N4382" s="105"/>
      <c r="O4382" s="11"/>
      <c r="P4382" s="11"/>
      <c r="Q4382" s="105"/>
      <c r="R4382" s="105"/>
      <c r="S4382" s="105"/>
      <c r="T4382" s="105"/>
      <c r="U4382" s="105"/>
      <c r="V4382" s="105"/>
      <c r="W4382" s="105"/>
      <c r="X4382" s="11"/>
      <c r="Y4382" s="11"/>
      <c r="Z4382" s="105"/>
      <c r="AA4382" s="11"/>
      <c r="AB4382" s="11"/>
      <c r="AC4382" s="105"/>
      <c r="AD4382" s="11" t="b">
        <v>0</v>
      </c>
      <c r="AE4382" s="105"/>
      <c r="AF4382" s="11"/>
      <c r="AG4382" s="11"/>
      <c r="AH4382" s="11"/>
      <c r="AI4382" s="11"/>
    </row>
    <row r="4383" ht="12.5" spans="3:35">
      <c r="C4383" s="19"/>
      <c r="D4383" s="19"/>
      <c r="H4383" s="105"/>
      <c r="I4383" s="126"/>
      <c r="J4383" s="11"/>
      <c r="K4383" s="108"/>
      <c r="L4383" s="11"/>
      <c r="M4383" s="105"/>
      <c r="N4383" s="105"/>
      <c r="O4383" s="11"/>
      <c r="P4383" s="11"/>
      <c r="Q4383" s="105"/>
      <c r="R4383" s="105"/>
      <c r="S4383" s="105"/>
      <c r="T4383" s="105"/>
      <c r="U4383" s="105"/>
      <c r="V4383" s="105"/>
      <c r="W4383" s="105"/>
      <c r="X4383" s="11"/>
      <c r="Y4383" s="11"/>
      <c r="Z4383" s="105"/>
      <c r="AA4383" s="11"/>
      <c r="AB4383" s="11"/>
      <c r="AC4383" s="105"/>
      <c r="AD4383" s="11" t="b">
        <v>0</v>
      </c>
      <c r="AE4383" s="105"/>
      <c r="AF4383" s="11"/>
      <c r="AG4383" s="11"/>
      <c r="AH4383" s="11"/>
      <c r="AI4383" s="11"/>
    </row>
    <row r="4384" ht="12.5" spans="3:35">
      <c r="C4384" s="19"/>
      <c r="D4384" s="19"/>
      <c r="H4384" s="105"/>
      <c r="I4384" s="126"/>
      <c r="J4384" s="11"/>
      <c r="K4384" s="108"/>
      <c r="L4384" s="11"/>
      <c r="M4384" s="105"/>
      <c r="N4384" s="105"/>
      <c r="O4384" s="11"/>
      <c r="P4384" s="11"/>
      <c r="Q4384" s="105"/>
      <c r="R4384" s="105"/>
      <c r="S4384" s="105"/>
      <c r="T4384" s="105"/>
      <c r="U4384" s="105"/>
      <c r="V4384" s="105"/>
      <c r="W4384" s="105"/>
      <c r="X4384" s="11"/>
      <c r="Y4384" s="11"/>
      <c r="Z4384" s="105"/>
      <c r="AA4384" s="11"/>
      <c r="AB4384" s="11"/>
      <c r="AC4384" s="105"/>
      <c r="AD4384" s="11" t="b">
        <v>0</v>
      </c>
      <c r="AE4384" s="105"/>
      <c r="AF4384" s="11"/>
      <c r="AG4384" s="11"/>
      <c r="AH4384" s="11"/>
      <c r="AI4384" s="11"/>
    </row>
    <row r="4385" ht="12.5" spans="3:35">
      <c r="C4385" s="19"/>
      <c r="D4385" s="19"/>
      <c r="H4385" s="105"/>
      <c r="I4385" s="126"/>
      <c r="J4385" s="11"/>
      <c r="K4385" s="108"/>
      <c r="L4385" s="11"/>
      <c r="M4385" s="105"/>
      <c r="N4385" s="105"/>
      <c r="O4385" s="11"/>
      <c r="P4385" s="11"/>
      <c r="Q4385" s="105"/>
      <c r="R4385" s="105"/>
      <c r="S4385" s="105"/>
      <c r="T4385" s="105"/>
      <c r="U4385" s="105"/>
      <c r="V4385" s="105"/>
      <c r="W4385" s="105"/>
      <c r="X4385" s="11"/>
      <c r="Y4385" s="11"/>
      <c r="Z4385" s="105"/>
      <c r="AA4385" s="11"/>
      <c r="AB4385" s="11"/>
      <c r="AC4385" s="105"/>
      <c r="AD4385" s="11" t="b">
        <v>0</v>
      </c>
      <c r="AE4385" s="105"/>
      <c r="AF4385" s="11"/>
      <c r="AG4385" s="11"/>
      <c r="AH4385" s="11"/>
      <c r="AI4385" s="11"/>
    </row>
    <row r="4386" ht="12.5" spans="3:35">
      <c r="C4386" s="19"/>
      <c r="D4386" s="19"/>
      <c r="H4386" s="105"/>
      <c r="I4386" s="126"/>
      <c r="J4386" s="11"/>
      <c r="K4386" s="108"/>
      <c r="L4386" s="11"/>
      <c r="M4386" s="105"/>
      <c r="N4386" s="105"/>
      <c r="O4386" s="11"/>
      <c r="P4386" s="11"/>
      <c r="Q4386" s="105"/>
      <c r="R4386" s="105"/>
      <c r="S4386" s="105"/>
      <c r="T4386" s="105"/>
      <c r="U4386" s="105"/>
      <c r="V4386" s="105"/>
      <c r="W4386" s="105"/>
      <c r="X4386" s="11"/>
      <c r="Y4386" s="11"/>
      <c r="Z4386" s="105"/>
      <c r="AA4386" s="11"/>
      <c r="AB4386" s="11"/>
      <c r="AC4386" s="105"/>
      <c r="AD4386" s="11" t="b">
        <v>0</v>
      </c>
      <c r="AE4386" s="105"/>
      <c r="AF4386" s="11"/>
      <c r="AG4386" s="11"/>
      <c r="AH4386" s="11"/>
      <c r="AI4386" s="11"/>
    </row>
    <row r="4387" ht="12.5" spans="3:35">
      <c r="C4387" s="19"/>
      <c r="D4387" s="19"/>
      <c r="H4387" s="105"/>
      <c r="I4387" s="126"/>
      <c r="J4387" s="11"/>
      <c r="K4387" s="108"/>
      <c r="L4387" s="11"/>
      <c r="M4387" s="105"/>
      <c r="N4387" s="105"/>
      <c r="O4387" s="11"/>
      <c r="P4387" s="11"/>
      <c r="Q4387" s="105"/>
      <c r="R4387" s="105"/>
      <c r="S4387" s="105"/>
      <c r="T4387" s="105"/>
      <c r="U4387" s="105"/>
      <c r="V4387" s="105"/>
      <c r="W4387" s="105"/>
      <c r="X4387" s="11"/>
      <c r="Y4387" s="11"/>
      <c r="Z4387" s="105"/>
      <c r="AA4387" s="11"/>
      <c r="AB4387" s="11"/>
      <c r="AC4387" s="105"/>
      <c r="AD4387" s="11" t="b">
        <v>0</v>
      </c>
      <c r="AE4387" s="105"/>
      <c r="AF4387" s="11"/>
      <c r="AG4387" s="11"/>
      <c r="AH4387" s="11"/>
      <c r="AI4387" s="11"/>
    </row>
    <row r="4388" ht="12.5" spans="3:35">
      <c r="C4388" s="19"/>
      <c r="D4388" s="19"/>
      <c r="H4388" s="105"/>
      <c r="I4388" s="126"/>
      <c r="J4388" s="11"/>
      <c r="K4388" s="108"/>
      <c r="L4388" s="11"/>
      <c r="M4388" s="105"/>
      <c r="N4388" s="105"/>
      <c r="O4388" s="11"/>
      <c r="P4388" s="11"/>
      <c r="Q4388" s="105"/>
      <c r="R4388" s="105"/>
      <c r="S4388" s="105"/>
      <c r="T4388" s="105"/>
      <c r="U4388" s="105"/>
      <c r="V4388" s="105"/>
      <c r="W4388" s="105"/>
      <c r="X4388" s="11"/>
      <c r="Y4388" s="11"/>
      <c r="Z4388" s="105"/>
      <c r="AA4388" s="11"/>
      <c r="AB4388" s="11"/>
      <c r="AC4388" s="105"/>
      <c r="AD4388" s="11" t="b">
        <v>0</v>
      </c>
      <c r="AE4388" s="105"/>
      <c r="AF4388" s="11"/>
      <c r="AG4388" s="11"/>
      <c r="AH4388" s="11"/>
      <c r="AI4388" s="11"/>
    </row>
    <row r="4389" ht="12.5" spans="3:35">
      <c r="C4389" s="19"/>
      <c r="D4389" s="19"/>
      <c r="H4389" s="105"/>
      <c r="I4389" s="126"/>
      <c r="J4389" s="11"/>
      <c r="K4389" s="108"/>
      <c r="L4389" s="11"/>
      <c r="M4389" s="105"/>
      <c r="N4389" s="105"/>
      <c r="O4389" s="11"/>
      <c r="P4389" s="11"/>
      <c r="Q4389" s="105"/>
      <c r="R4389" s="105"/>
      <c r="S4389" s="105"/>
      <c r="T4389" s="105"/>
      <c r="U4389" s="105"/>
      <c r="V4389" s="105"/>
      <c r="W4389" s="105"/>
      <c r="X4389" s="11"/>
      <c r="Y4389" s="11"/>
      <c r="Z4389" s="105"/>
      <c r="AA4389" s="11"/>
      <c r="AB4389" s="11"/>
      <c r="AC4389" s="105"/>
      <c r="AD4389" s="11" t="b">
        <v>0</v>
      </c>
      <c r="AE4389" s="105"/>
      <c r="AF4389" s="11"/>
      <c r="AG4389" s="11"/>
      <c r="AH4389" s="11"/>
      <c r="AI4389" s="11"/>
    </row>
    <row r="4390" ht="12.5" spans="3:35">
      <c r="C4390" s="19"/>
      <c r="D4390" s="19"/>
      <c r="H4390" s="105"/>
      <c r="I4390" s="126"/>
      <c r="J4390" s="11"/>
      <c r="K4390" s="108"/>
      <c r="L4390" s="11"/>
      <c r="M4390" s="105"/>
      <c r="N4390" s="105"/>
      <c r="O4390" s="11"/>
      <c r="P4390" s="11"/>
      <c r="Q4390" s="105"/>
      <c r="R4390" s="105"/>
      <c r="S4390" s="105"/>
      <c r="T4390" s="105"/>
      <c r="U4390" s="105"/>
      <c r="V4390" s="105"/>
      <c r="W4390" s="105"/>
      <c r="X4390" s="11"/>
      <c r="Y4390" s="11"/>
      <c r="Z4390" s="105"/>
      <c r="AA4390" s="11"/>
      <c r="AB4390" s="11"/>
      <c r="AC4390" s="105"/>
      <c r="AD4390" s="11" t="b">
        <v>0</v>
      </c>
      <c r="AE4390" s="105"/>
      <c r="AF4390" s="11"/>
      <c r="AG4390" s="11"/>
      <c r="AH4390" s="11"/>
      <c r="AI4390" s="11"/>
    </row>
    <row r="4391" ht="12.5" spans="3:35">
      <c r="C4391" s="19"/>
      <c r="D4391" s="19"/>
      <c r="H4391" s="105"/>
      <c r="I4391" s="126"/>
      <c r="J4391" s="11"/>
      <c r="K4391" s="108"/>
      <c r="L4391" s="11"/>
      <c r="M4391" s="105"/>
      <c r="N4391" s="105"/>
      <c r="O4391" s="11"/>
      <c r="P4391" s="11"/>
      <c r="Q4391" s="105"/>
      <c r="R4391" s="105"/>
      <c r="S4391" s="105"/>
      <c r="T4391" s="105"/>
      <c r="U4391" s="105"/>
      <c r="V4391" s="105"/>
      <c r="W4391" s="105"/>
      <c r="X4391" s="11"/>
      <c r="Y4391" s="11"/>
      <c r="Z4391" s="105"/>
      <c r="AA4391" s="11"/>
      <c r="AB4391" s="11"/>
      <c r="AC4391" s="105"/>
      <c r="AD4391" s="11" t="b">
        <v>0</v>
      </c>
      <c r="AE4391" s="105"/>
      <c r="AF4391" s="11"/>
      <c r="AG4391" s="11"/>
      <c r="AH4391" s="11"/>
      <c r="AI4391" s="11"/>
    </row>
    <row r="4392" ht="12.5" spans="3:35">
      <c r="C4392" s="19"/>
      <c r="D4392" s="19"/>
      <c r="H4392" s="105"/>
      <c r="I4392" s="126"/>
      <c r="J4392" s="11"/>
      <c r="K4392" s="108"/>
      <c r="L4392" s="11"/>
      <c r="M4392" s="105"/>
      <c r="N4392" s="105"/>
      <c r="O4392" s="11"/>
      <c r="P4392" s="11"/>
      <c r="Q4392" s="105"/>
      <c r="R4392" s="105"/>
      <c r="S4392" s="105"/>
      <c r="T4392" s="105"/>
      <c r="U4392" s="105"/>
      <c r="V4392" s="105"/>
      <c r="W4392" s="105"/>
      <c r="X4392" s="11"/>
      <c r="Y4392" s="11"/>
      <c r="Z4392" s="105"/>
      <c r="AA4392" s="11"/>
      <c r="AB4392" s="11"/>
      <c r="AC4392" s="105"/>
      <c r="AD4392" s="11" t="b">
        <v>0</v>
      </c>
      <c r="AE4392" s="105"/>
      <c r="AF4392" s="11"/>
      <c r="AG4392" s="11"/>
      <c r="AH4392" s="11"/>
      <c r="AI4392" s="11"/>
    </row>
    <row r="4393" ht="12.5" spans="3:35">
      <c r="C4393" s="19"/>
      <c r="D4393" s="19"/>
      <c r="H4393" s="105"/>
      <c r="I4393" s="126"/>
      <c r="J4393" s="11"/>
      <c r="K4393" s="108"/>
      <c r="L4393" s="11"/>
      <c r="M4393" s="105"/>
      <c r="N4393" s="105"/>
      <c r="O4393" s="11"/>
      <c r="P4393" s="11"/>
      <c r="Q4393" s="105"/>
      <c r="R4393" s="105"/>
      <c r="S4393" s="105"/>
      <c r="T4393" s="105"/>
      <c r="U4393" s="105"/>
      <c r="V4393" s="105"/>
      <c r="W4393" s="105"/>
      <c r="X4393" s="11"/>
      <c r="Y4393" s="11"/>
      <c r="Z4393" s="105"/>
      <c r="AA4393" s="11"/>
      <c r="AB4393" s="11"/>
      <c r="AC4393" s="105"/>
      <c r="AD4393" s="11" t="b">
        <v>0</v>
      </c>
      <c r="AE4393" s="105"/>
      <c r="AF4393" s="11"/>
      <c r="AG4393" s="11"/>
      <c r="AH4393" s="11"/>
      <c r="AI4393" s="11"/>
    </row>
    <row r="4394" ht="12.5" spans="3:35">
      <c r="C4394" s="19"/>
      <c r="D4394" s="19"/>
      <c r="H4394" s="105"/>
      <c r="I4394" s="126"/>
      <c r="J4394" s="11"/>
      <c r="K4394" s="108"/>
      <c r="L4394" s="11"/>
      <c r="M4394" s="105"/>
      <c r="N4394" s="105"/>
      <c r="O4394" s="11"/>
      <c r="P4394" s="11"/>
      <c r="Q4394" s="105"/>
      <c r="R4394" s="105"/>
      <c r="S4394" s="105"/>
      <c r="T4394" s="105"/>
      <c r="U4394" s="105"/>
      <c r="V4394" s="105"/>
      <c r="W4394" s="105"/>
      <c r="X4394" s="11"/>
      <c r="Y4394" s="11"/>
      <c r="Z4394" s="105"/>
      <c r="AA4394" s="11"/>
      <c r="AB4394" s="11"/>
      <c r="AC4394" s="105"/>
      <c r="AD4394" s="11" t="b">
        <v>0</v>
      </c>
      <c r="AE4394" s="105"/>
      <c r="AF4394" s="11"/>
      <c r="AG4394" s="11"/>
      <c r="AH4394" s="11"/>
      <c r="AI4394" s="11"/>
    </row>
    <row r="4395" ht="12.5" spans="3:35">
      <c r="C4395" s="19"/>
      <c r="D4395" s="19"/>
      <c r="H4395" s="105"/>
      <c r="I4395" s="126"/>
      <c r="J4395" s="11"/>
      <c r="K4395" s="108"/>
      <c r="L4395" s="11"/>
      <c r="M4395" s="105"/>
      <c r="N4395" s="105"/>
      <c r="O4395" s="11"/>
      <c r="P4395" s="11"/>
      <c r="Q4395" s="105"/>
      <c r="R4395" s="105"/>
      <c r="S4395" s="105"/>
      <c r="T4395" s="105"/>
      <c r="U4395" s="105"/>
      <c r="V4395" s="105"/>
      <c r="W4395" s="105"/>
      <c r="X4395" s="11"/>
      <c r="Y4395" s="11"/>
      <c r="Z4395" s="105"/>
      <c r="AA4395" s="11"/>
      <c r="AB4395" s="11"/>
      <c r="AC4395" s="105"/>
      <c r="AD4395" s="11" t="b">
        <v>0</v>
      </c>
      <c r="AE4395" s="105"/>
      <c r="AF4395" s="11"/>
      <c r="AG4395" s="11"/>
      <c r="AH4395" s="11"/>
      <c r="AI4395" s="11"/>
    </row>
    <row r="4396" ht="12.5" spans="3:35">
      <c r="C4396" s="19"/>
      <c r="D4396" s="19"/>
      <c r="H4396" s="105"/>
      <c r="I4396" s="126"/>
      <c r="J4396" s="11"/>
      <c r="K4396" s="108"/>
      <c r="L4396" s="11"/>
      <c r="M4396" s="105"/>
      <c r="N4396" s="105"/>
      <c r="O4396" s="11"/>
      <c r="P4396" s="11"/>
      <c r="Q4396" s="105"/>
      <c r="R4396" s="105"/>
      <c r="S4396" s="105"/>
      <c r="T4396" s="105"/>
      <c r="U4396" s="105"/>
      <c r="V4396" s="105"/>
      <c r="W4396" s="105"/>
      <c r="X4396" s="11"/>
      <c r="Y4396" s="11"/>
      <c r="Z4396" s="105"/>
      <c r="AA4396" s="11"/>
      <c r="AB4396" s="11"/>
      <c r="AC4396" s="105"/>
      <c r="AD4396" s="11" t="b">
        <v>0</v>
      </c>
      <c r="AE4396" s="105"/>
      <c r="AF4396" s="11"/>
      <c r="AG4396" s="11"/>
      <c r="AH4396" s="11"/>
      <c r="AI4396" s="11"/>
    </row>
    <row r="4397" ht="12.5" spans="3:35">
      <c r="C4397" s="19"/>
      <c r="D4397" s="19"/>
      <c r="H4397" s="105"/>
      <c r="I4397" s="126"/>
      <c r="J4397" s="11"/>
      <c r="K4397" s="108"/>
      <c r="L4397" s="11"/>
      <c r="M4397" s="105"/>
      <c r="N4397" s="105"/>
      <c r="O4397" s="11"/>
      <c r="P4397" s="11"/>
      <c r="Q4397" s="105"/>
      <c r="R4397" s="105"/>
      <c r="S4397" s="105"/>
      <c r="T4397" s="105"/>
      <c r="U4397" s="105"/>
      <c r="V4397" s="105"/>
      <c r="W4397" s="105"/>
      <c r="X4397" s="11"/>
      <c r="Y4397" s="11"/>
      <c r="Z4397" s="105"/>
      <c r="AA4397" s="11"/>
      <c r="AB4397" s="11"/>
      <c r="AC4397" s="105"/>
      <c r="AD4397" s="11" t="b">
        <v>0</v>
      </c>
      <c r="AE4397" s="105"/>
      <c r="AF4397" s="11"/>
      <c r="AG4397" s="11"/>
      <c r="AH4397" s="11"/>
      <c r="AI4397" s="11"/>
    </row>
    <row r="4398" ht="12.5" spans="3:35">
      <c r="C4398" s="19"/>
      <c r="D4398" s="19"/>
      <c r="H4398" s="105"/>
      <c r="I4398" s="126"/>
      <c r="J4398" s="11"/>
      <c r="K4398" s="108"/>
      <c r="L4398" s="11"/>
      <c r="M4398" s="105"/>
      <c r="N4398" s="105"/>
      <c r="O4398" s="11"/>
      <c r="P4398" s="11"/>
      <c r="Q4398" s="105"/>
      <c r="R4398" s="105"/>
      <c r="S4398" s="105"/>
      <c r="T4398" s="105"/>
      <c r="U4398" s="105"/>
      <c r="V4398" s="105"/>
      <c r="W4398" s="105"/>
      <c r="X4398" s="11"/>
      <c r="Y4398" s="11"/>
      <c r="Z4398" s="105"/>
      <c r="AA4398" s="11"/>
      <c r="AB4398" s="11"/>
      <c r="AC4398" s="105"/>
      <c r="AD4398" s="11" t="b">
        <v>0</v>
      </c>
      <c r="AE4398" s="105"/>
      <c r="AF4398" s="11"/>
      <c r="AG4398" s="11"/>
      <c r="AH4398" s="11"/>
      <c r="AI4398" s="11"/>
    </row>
    <row r="4399" ht="12.5" spans="3:35">
      <c r="C4399" s="19"/>
      <c r="D4399" s="19"/>
      <c r="H4399" s="105"/>
      <c r="I4399" s="126"/>
      <c r="J4399" s="11"/>
      <c r="K4399" s="108"/>
      <c r="L4399" s="11"/>
      <c r="M4399" s="105"/>
      <c r="N4399" s="105"/>
      <c r="O4399" s="11"/>
      <c r="P4399" s="11"/>
      <c r="Q4399" s="105"/>
      <c r="R4399" s="105"/>
      <c r="S4399" s="105"/>
      <c r="T4399" s="105"/>
      <c r="U4399" s="105"/>
      <c r="V4399" s="105"/>
      <c r="W4399" s="105"/>
      <c r="X4399" s="11"/>
      <c r="Y4399" s="11"/>
      <c r="Z4399" s="105"/>
      <c r="AA4399" s="11"/>
      <c r="AB4399" s="11"/>
      <c r="AC4399" s="105"/>
      <c r="AD4399" s="11" t="b">
        <v>0</v>
      </c>
      <c r="AE4399" s="105"/>
      <c r="AF4399" s="11"/>
      <c r="AG4399" s="11"/>
      <c r="AH4399" s="11"/>
      <c r="AI4399" s="11"/>
    </row>
    <row r="4400" ht="12.5" spans="3:35">
      <c r="C4400" s="19"/>
      <c r="D4400" s="19"/>
      <c r="H4400" s="105"/>
      <c r="I4400" s="126"/>
      <c r="J4400" s="11"/>
      <c r="K4400" s="108"/>
      <c r="L4400" s="11"/>
      <c r="M4400" s="105"/>
      <c r="N4400" s="105"/>
      <c r="O4400" s="11"/>
      <c r="P4400" s="11"/>
      <c r="Q4400" s="105"/>
      <c r="R4400" s="105"/>
      <c r="S4400" s="105"/>
      <c r="T4400" s="105"/>
      <c r="U4400" s="105"/>
      <c r="V4400" s="105"/>
      <c r="W4400" s="105"/>
      <c r="X4400" s="11"/>
      <c r="Y4400" s="11"/>
      <c r="Z4400" s="105"/>
      <c r="AA4400" s="11"/>
      <c r="AB4400" s="11"/>
      <c r="AC4400" s="105"/>
      <c r="AD4400" s="11" t="b">
        <v>0</v>
      </c>
      <c r="AE4400" s="105"/>
      <c r="AF4400" s="11"/>
      <c r="AG4400" s="11"/>
      <c r="AH4400" s="11"/>
      <c r="AI4400" s="11"/>
    </row>
    <row r="4401" ht="12.5" spans="3:35">
      <c r="C4401" s="19"/>
      <c r="D4401" s="19"/>
      <c r="H4401" s="105"/>
      <c r="I4401" s="126"/>
      <c r="J4401" s="11"/>
      <c r="K4401" s="108"/>
      <c r="L4401" s="11"/>
      <c r="M4401" s="105"/>
      <c r="N4401" s="105"/>
      <c r="O4401" s="11"/>
      <c r="P4401" s="11"/>
      <c r="Q4401" s="105"/>
      <c r="R4401" s="105"/>
      <c r="S4401" s="105"/>
      <c r="T4401" s="105"/>
      <c r="U4401" s="105"/>
      <c r="V4401" s="105"/>
      <c r="W4401" s="105"/>
      <c r="X4401" s="11"/>
      <c r="Y4401" s="11"/>
      <c r="Z4401" s="105"/>
      <c r="AA4401" s="11"/>
      <c r="AB4401" s="11"/>
      <c r="AC4401" s="105"/>
      <c r="AD4401" s="11" t="b">
        <v>0</v>
      </c>
      <c r="AE4401" s="105"/>
      <c r="AF4401" s="11"/>
      <c r="AG4401" s="11"/>
      <c r="AH4401" s="11"/>
      <c r="AI4401" s="11"/>
    </row>
    <row r="4402" ht="12.5" spans="3:35">
      <c r="C4402" s="19"/>
      <c r="D4402" s="19"/>
      <c r="H4402" s="105"/>
      <c r="I4402" s="126"/>
      <c r="J4402" s="11"/>
      <c r="K4402" s="108"/>
      <c r="L4402" s="11"/>
      <c r="M4402" s="105"/>
      <c r="N4402" s="105"/>
      <c r="O4402" s="11"/>
      <c r="P4402" s="11"/>
      <c r="Q4402" s="105"/>
      <c r="R4402" s="105"/>
      <c r="S4402" s="105"/>
      <c r="T4402" s="105"/>
      <c r="U4402" s="105"/>
      <c r="V4402" s="105"/>
      <c r="W4402" s="105"/>
      <c r="X4402" s="11"/>
      <c r="Y4402" s="11"/>
      <c r="Z4402" s="105"/>
      <c r="AA4402" s="11"/>
      <c r="AB4402" s="11"/>
      <c r="AC4402" s="105"/>
      <c r="AD4402" s="11" t="b">
        <v>0</v>
      </c>
      <c r="AE4402" s="105"/>
      <c r="AF4402" s="11"/>
      <c r="AG4402" s="11"/>
      <c r="AH4402" s="11"/>
      <c r="AI4402" s="11"/>
    </row>
    <row r="4403" ht="12.5" spans="3:35">
      <c r="C4403" s="19"/>
      <c r="D4403" s="19"/>
      <c r="H4403" s="105"/>
      <c r="I4403" s="126"/>
      <c r="J4403" s="11"/>
      <c r="K4403" s="108"/>
      <c r="L4403" s="11"/>
      <c r="M4403" s="105"/>
      <c r="N4403" s="105"/>
      <c r="O4403" s="11"/>
      <c r="P4403" s="11"/>
      <c r="Q4403" s="105"/>
      <c r="R4403" s="105"/>
      <c r="S4403" s="105"/>
      <c r="T4403" s="105"/>
      <c r="U4403" s="105"/>
      <c r="V4403" s="105"/>
      <c r="W4403" s="105"/>
      <c r="X4403" s="11"/>
      <c r="Y4403" s="11"/>
      <c r="Z4403" s="105"/>
      <c r="AA4403" s="11"/>
      <c r="AB4403" s="11"/>
      <c r="AC4403" s="105"/>
      <c r="AD4403" s="11" t="b">
        <v>0</v>
      </c>
      <c r="AE4403" s="105"/>
      <c r="AF4403" s="11"/>
      <c r="AG4403" s="11"/>
      <c r="AH4403" s="11"/>
      <c r="AI4403" s="11"/>
    </row>
    <row r="4404" ht="12.5" spans="3:35">
      <c r="C4404" s="19"/>
      <c r="D4404" s="19"/>
      <c r="H4404" s="105"/>
      <c r="I4404" s="126"/>
      <c r="J4404" s="11"/>
      <c r="K4404" s="108"/>
      <c r="L4404" s="11"/>
      <c r="M4404" s="105"/>
      <c r="N4404" s="105"/>
      <c r="O4404" s="11"/>
      <c r="P4404" s="11"/>
      <c r="Q4404" s="105"/>
      <c r="R4404" s="105"/>
      <c r="S4404" s="105"/>
      <c r="T4404" s="105"/>
      <c r="U4404" s="105"/>
      <c r="V4404" s="105"/>
      <c r="W4404" s="105"/>
      <c r="X4404" s="11"/>
      <c r="Y4404" s="11"/>
      <c r="Z4404" s="105"/>
      <c r="AA4404" s="11"/>
      <c r="AB4404" s="11"/>
      <c r="AC4404" s="105"/>
      <c r="AD4404" s="11" t="b">
        <v>0</v>
      </c>
      <c r="AE4404" s="105"/>
      <c r="AF4404" s="11"/>
      <c r="AG4404" s="11"/>
      <c r="AH4404" s="11"/>
      <c r="AI4404" s="11"/>
    </row>
    <row r="4405" ht="12.5" spans="3:35">
      <c r="C4405" s="19"/>
      <c r="D4405" s="19"/>
      <c r="H4405" s="105"/>
      <c r="I4405" s="126"/>
      <c r="J4405" s="11"/>
      <c r="K4405" s="108"/>
      <c r="L4405" s="11"/>
      <c r="M4405" s="105"/>
      <c r="N4405" s="105"/>
      <c r="O4405" s="11"/>
      <c r="P4405" s="11"/>
      <c r="Q4405" s="105"/>
      <c r="R4405" s="105"/>
      <c r="S4405" s="105"/>
      <c r="T4405" s="105"/>
      <c r="U4405" s="105"/>
      <c r="V4405" s="105"/>
      <c r="W4405" s="105"/>
      <c r="X4405" s="11"/>
      <c r="Y4405" s="11"/>
      <c r="Z4405" s="105"/>
      <c r="AA4405" s="11"/>
      <c r="AB4405" s="11"/>
      <c r="AC4405" s="105"/>
      <c r="AD4405" s="11" t="b">
        <v>0</v>
      </c>
      <c r="AE4405" s="105"/>
      <c r="AF4405" s="11"/>
      <c r="AG4405" s="11"/>
      <c r="AH4405" s="11"/>
      <c r="AI4405" s="11"/>
    </row>
    <row r="4406" ht="12.5" spans="3:35">
      <c r="C4406" s="19"/>
      <c r="D4406" s="19"/>
      <c r="H4406" s="105"/>
      <c r="I4406" s="126"/>
      <c r="J4406" s="11"/>
      <c r="K4406" s="108"/>
      <c r="L4406" s="11"/>
      <c r="M4406" s="105"/>
      <c r="N4406" s="105"/>
      <c r="O4406" s="11"/>
      <c r="P4406" s="11"/>
      <c r="Q4406" s="105"/>
      <c r="R4406" s="105"/>
      <c r="S4406" s="105"/>
      <c r="T4406" s="105"/>
      <c r="U4406" s="105"/>
      <c r="V4406" s="105"/>
      <c r="W4406" s="105"/>
      <c r="X4406" s="11"/>
      <c r="Y4406" s="11"/>
      <c r="Z4406" s="105"/>
      <c r="AA4406" s="11"/>
      <c r="AB4406" s="11"/>
      <c r="AC4406" s="105"/>
      <c r="AD4406" s="11" t="b">
        <v>0</v>
      </c>
      <c r="AE4406" s="105"/>
      <c r="AF4406" s="11"/>
      <c r="AG4406" s="11"/>
      <c r="AH4406" s="11"/>
      <c r="AI4406" s="11"/>
    </row>
    <row r="4407" ht="12.5" spans="3:35">
      <c r="C4407" s="19"/>
      <c r="D4407" s="19"/>
      <c r="H4407" s="105"/>
      <c r="I4407" s="126"/>
      <c r="J4407" s="11"/>
      <c r="K4407" s="108"/>
      <c r="L4407" s="11"/>
      <c r="M4407" s="105"/>
      <c r="N4407" s="105"/>
      <c r="O4407" s="11"/>
      <c r="P4407" s="11"/>
      <c r="Q4407" s="105"/>
      <c r="R4407" s="105"/>
      <c r="S4407" s="105"/>
      <c r="T4407" s="105"/>
      <c r="U4407" s="105"/>
      <c r="V4407" s="105"/>
      <c r="W4407" s="105"/>
      <c r="X4407" s="11"/>
      <c r="Y4407" s="11"/>
      <c r="Z4407" s="105"/>
      <c r="AA4407" s="11"/>
      <c r="AB4407" s="11"/>
      <c r="AC4407" s="105"/>
      <c r="AD4407" s="11" t="b">
        <v>0</v>
      </c>
      <c r="AE4407" s="105"/>
      <c r="AF4407" s="11"/>
      <c r="AG4407" s="11"/>
      <c r="AH4407" s="11"/>
      <c r="AI4407" s="11"/>
    </row>
    <row r="4408" ht="12.5" spans="3:35">
      <c r="C4408" s="19"/>
      <c r="D4408" s="19"/>
      <c r="H4408" s="105"/>
      <c r="I4408" s="126"/>
      <c r="J4408" s="11"/>
      <c r="K4408" s="108"/>
      <c r="L4408" s="11"/>
      <c r="M4408" s="105"/>
      <c r="N4408" s="105"/>
      <c r="O4408" s="11"/>
      <c r="P4408" s="11"/>
      <c r="Q4408" s="105"/>
      <c r="R4408" s="105"/>
      <c r="S4408" s="105"/>
      <c r="T4408" s="105"/>
      <c r="U4408" s="105"/>
      <c r="V4408" s="105"/>
      <c r="W4408" s="105"/>
      <c r="X4408" s="11"/>
      <c r="Y4408" s="11"/>
      <c r="Z4408" s="105"/>
      <c r="AA4408" s="11"/>
      <c r="AB4408" s="11"/>
      <c r="AC4408" s="105"/>
      <c r="AD4408" s="11" t="b">
        <v>0</v>
      </c>
      <c r="AE4408" s="105"/>
      <c r="AF4408" s="11"/>
      <c r="AG4408" s="11"/>
      <c r="AH4408" s="11"/>
      <c r="AI4408" s="11"/>
    </row>
    <row r="4409" ht="12.5" spans="3:35">
      <c r="C4409" s="19"/>
      <c r="D4409" s="19"/>
      <c r="H4409" s="105"/>
      <c r="I4409" s="126"/>
      <c r="J4409" s="11"/>
      <c r="K4409" s="108"/>
      <c r="L4409" s="11"/>
      <c r="M4409" s="105"/>
      <c r="N4409" s="105"/>
      <c r="O4409" s="11"/>
      <c r="P4409" s="11"/>
      <c r="Q4409" s="105"/>
      <c r="R4409" s="105"/>
      <c r="S4409" s="105"/>
      <c r="T4409" s="105"/>
      <c r="U4409" s="105"/>
      <c r="V4409" s="105"/>
      <c r="W4409" s="105"/>
      <c r="X4409" s="11"/>
      <c r="Y4409" s="11"/>
      <c r="Z4409" s="105"/>
      <c r="AA4409" s="11"/>
      <c r="AB4409" s="11"/>
      <c r="AC4409" s="105"/>
      <c r="AD4409" s="11" t="b">
        <v>0</v>
      </c>
      <c r="AE4409" s="105"/>
      <c r="AF4409" s="11"/>
      <c r="AG4409" s="11"/>
      <c r="AH4409" s="11"/>
      <c r="AI4409" s="11"/>
    </row>
    <row r="4410" ht="12.5" spans="3:35">
      <c r="C4410" s="19"/>
      <c r="D4410" s="19"/>
      <c r="H4410" s="105"/>
      <c r="I4410" s="126"/>
      <c r="J4410" s="11"/>
      <c r="K4410" s="108"/>
      <c r="L4410" s="11"/>
      <c r="M4410" s="105"/>
      <c r="N4410" s="105"/>
      <c r="O4410" s="11"/>
      <c r="P4410" s="11"/>
      <c r="Q4410" s="105"/>
      <c r="R4410" s="105"/>
      <c r="S4410" s="105"/>
      <c r="T4410" s="105"/>
      <c r="U4410" s="105"/>
      <c r="V4410" s="105"/>
      <c r="W4410" s="105"/>
      <c r="X4410" s="11"/>
      <c r="Y4410" s="11"/>
      <c r="Z4410" s="105"/>
      <c r="AA4410" s="11"/>
      <c r="AB4410" s="11"/>
      <c r="AC4410" s="105"/>
      <c r="AD4410" s="11" t="b">
        <v>0</v>
      </c>
      <c r="AE4410" s="105"/>
      <c r="AF4410" s="11"/>
      <c r="AG4410" s="11"/>
      <c r="AH4410" s="11"/>
      <c r="AI4410" s="11"/>
    </row>
    <row r="4411" ht="12.5" spans="3:35">
      <c r="C4411" s="19"/>
      <c r="D4411" s="19"/>
      <c r="H4411" s="105"/>
      <c r="I4411" s="126"/>
      <c r="J4411" s="11"/>
      <c r="K4411" s="108"/>
      <c r="L4411" s="11"/>
      <c r="M4411" s="105"/>
      <c r="N4411" s="105"/>
      <c r="O4411" s="11"/>
      <c r="P4411" s="11"/>
      <c r="Q4411" s="105"/>
      <c r="R4411" s="105"/>
      <c r="S4411" s="105"/>
      <c r="T4411" s="105"/>
      <c r="U4411" s="105"/>
      <c r="V4411" s="105"/>
      <c r="W4411" s="105"/>
      <c r="X4411" s="11"/>
      <c r="Y4411" s="11"/>
      <c r="Z4411" s="105"/>
      <c r="AA4411" s="11"/>
      <c r="AB4411" s="11"/>
      <c r="AC4411" s="105"/>
      <c r="AD4411" s="11" t="b">
        <v>0</v>
      </c>
      <c r="AE4411" s="105"/>
      <c r="AF4411" s="11"/>
      <c r="AG4411" s="11"/>
      <c r="AH4411" s="11"/>
      <c r="AI4411" s="11"/>
    </row>
    <row r="4412" ht="12.5" spans="3:35">
      <c r="C4412" s="19"/>
      <c r="D4412" s="19"/>
      <c r="H4412" s="105"/>
      <c r="I4412" s="126"/>
      <c r="J4412" s="11"/>
      <c r="K4412" s="108"/>
      <c r="L4412" s="11"/>
      <c r="M4412" s="105"/>
      <c r="N4412" s="105"/>
      <c r="O4412" s="11"/>
      <c r="P4412" s="11"/>
      <c r="Q4412" s="105"/>
      <c r="R4412" s="105"/>
      <c r="S4412" s="105"/>
      <c r="T4412" s="105"/>
      <c r="U4412" s="105"/>
      <c r="V4412" s="105"/>
      <c r="W4412" s="105"/>
      <c r="X4412" s="11"/>
      <c r="Y4412" s="11"/>
      <c r="Z4412" s="105"/>
      <c r="AA4412" s="11"/>
      <c r="AB4412" s="11"/>
      <c r="AC4412" s="105"/>
      <c r="AD4412" s="11" t="b">
        <v>0</v>
      </c>
      <c r="AE4412" s="105"/>
      <c r="AF4412" s="11"/>
      <c r="AG4412" s="11"/>
      <c r="AH4412" s="11"/>
      <c r="AI4412" s="11"/>
    </row>
    <row r="4413" ht="12.5" spans="3:35">
      <c r="C4413" s="19"/>
      <c r="D4413" s="19"/>
      <c r="H4413" s="105"/>
      <c r="I4413" s="126"/>
      <c r="J4413" s="11"/>
      <c r="K4413" s="108"/>
      <c r="L4413" s="11"/>
      <c r="M4413" s="105"/>
      <c r="N4413" s="105"/>
      <c r="O4413" s="11"/>
      <c r="P4413" s="11"/>
      <c r="Q4413" s="105"/>
      <c r="R4413" s="105"/>
      <c r="S4413" s="105"/>
      <c r="T4413" s="105"/>
      <c r="U4413" s="105"/>
      <c r="V4413" s="105"/>
      <c r="W4413" s="105"/>
      <c r="X4413" s="11"/>
      <c r="Y4413" s="11"/>
      <c r="Z4413" s="105"/>
      <c r="AA4413" s="11"/>
      <c r="AB4413" s="11"/>
      <c r="AC4413" s="105"/>
      <c r="AD4413" s="11" t="b">
        <v>0</v>
      </c>
      <c r="AE4413" s="105"/>
      <c r="AF4413" s="11"/>
      <c r="AG4413" s="11"/>
      <c r="AH4413" s="11"/>
      <c r="AI4413" s="11"/>
    </row>
    <row r="4414" ht="12.5" spans="3:35">
      <c r="C4414" s="19"/>
      <c r="D4414" s="19"/>
      <c r="H4414" s="105"/>
      <c r="I4414" s="126"/>
      <c r="J4414" s="11"/>
      <c r="K4414" s="108"/>
      <c r="L4414" s="11"/>
      <c r="M4414" s="105"/>
      <c r="N4414" s="105"/>
      <c r="O4414" s="11"/>
      <c r="P4414" s="11"/>
      <c r="Q4414" s="105"/>
      <c r="R4414" s="105"/>
      <c r="S4414" s="105"/>
      <c r="T4414" s="105"/>
      <c r="U4414" s="105"/>
      <c r="V4414" s="105"/>
      <c r="W4414" s="105"/>
      <c r="X4414" s="11"/>
      <c r="Y4414" s="11"/>
      <c r="Z4414" s="105"/>
      <c r="AA4414" s="11"/>
      <c r="AB4414" s="11"/>
      <c r="AC4414" s="105"/>
      <c r="AD4414" s="11" t="b">
        <v>0</v>
      </c>
      <c r="AE4414" s="105"/>
      <c r="AF4414" s="11"/>
      <c r="AG4414" s="11"/>
      <c r="AH4414" s="11"/>
      <c r="AI4414" s="11"/>
    </row>
    <row r="4415" ht="12.5" spans="3:35">
      <c r="C4415" s="19"/>
      <c r="D4415" s="19"/>
      <c r="H4415" s="105"/>
      <c r="I4415" s="126"/>
      <c r="J4415" s="11"/>
      <c r="K4415" s="108"/>
      <c r="L4415" s="11"/>
      <c r="M4415" s="105"/>
      <c r="N4415" s="105"/>
      <c r="O4415" s="11"/>
      <c r="P4415" s="11"/>
      <c r="Q4415" s="105"/>
      <c r="R4415" s="105"/>
      <c r="S4415" s="105"/>
      <c r="T4415" s="105"/>
      <c r="U4415" s="105"/>
      <c r="V4415" s="105"/>
      <c r="W4415" s="105"/>
      <c r="X4415" s="11"/>
      <c r="Y4415" s="11"/>
      <c r="Z4415" s="105"/>
      <c r="AA4415" s="11"/>
      <c r="AB4415" s="11"/>
      <c r="AC4415" s="105"/>
      <c r="AD4415" s="11" t="b">
        <v>0</v>
      </c>
      <c r="AE4415" s="105"/>
      <c r="AF4415" s="11"/>
      <c r="AG4415" s="11"/>
      <c r="AH4415" s="11"/>
      <c r="AI4415" s="11"/>
    </row>
    <row r="4416" ht="12.5" spans="3:35">
      <c r="C4416" s="19"/>
      <c r="D4416" s="19"/>
      <c r="H4416" s="105"/>
      <c r="I4416" s="126"/>
      <c r="J4416" s="11"/>
      <c r="K4416" s="108"/>
      <c r="L4416" s="11"/>
      <c r="M4416" s="105"/>
      <c r="N4416" s="105"/>
      <c r="O4416" s="11"/>
      <c r="P4416" s="11"/>
      <c r="Q4416" s="105"/>
      <c r="R4416" s="105"/>
      <c r="S4416" s="105"/>
      <c r="T4416" s="105"/>
      <c r="U4416" s="105"/>
      <c r="V4416" s="105"/>
      <c r="W4416" s="105"/>
      <c r="X4416" s="11"/>
      <c r="Y4416" s="11"/>
      <c r="Z4416" s="105"/>
      <c r="AA4416" s="11"/>
      <c r="AB4416" s="11"/>
      <c r="AC4416" s="105"/>
      <c r="AD4416" s="11" t="b">
        <v>0</v>
      </c>
      <c r="AE4416" s="105"/>
      <c r="AF4416" s="11"/>
      <c r="AG4416" s="11"/>
      <c r="AH4416" s="11"/>
      <c r="AI4416" s="11"/>
    </row>
    <row r="4417" ht="12.5" spans="3:35">
      <c r="C4417" s="19"/>
      <c r="D4417" s="19"/>
      <c r="H4417" s="105"/>
      <c r="I4417" s="126"/>
      <c r="J4417" s="11"/>
      <c r="K4417" s="108"/>
      <c r="L4417" s="11"/>
      <c r="M4417" s="105"/>
      <c r="N4417" s="105"/>
      <c r="O4417" s="11"/>
      <c r="P4417" s="11"/>
      <c r="Q4417" s="105"/>
      <c r="R4417" s="105"/>
      <c r="S4417" s="105"/>
      <c r="T4417" s="105"/>
      <c r="U4417" s="105"/>
      <c r="V4417" s="105"/>
      <c r="W4417" s="105"/>
      <c r="X4417" s="11"/>
      <c r="Y4417" s="11"/>
      <c r="Z4417" s="105"/>
      <c r="AA4417" s="11"/>
      <c r="AB4417" s="11"/>
      <c r="AC4417" s="105"/>
      <c r="AD4417" s="11" t="b">
        <v>0</v>
      </c>
      <c r="AE4417" s="105"/>
      <c r="AF4417" s="11"/>
      <c r="AG4417" s="11"/>
      <c r="AH4417" s="11"/>
      <c r="AI4417" s="11"/>
    </row>
    <row r="4418" ht="12.5" spans="3:35">
      <c r="C4418" s="19"/>
      <c r="D4418" s="19"/>
      <c r="H4418" s="105"/>
      <c r="I4418" s="126"/>
      <c r="J4418" s="11"/>
      <c r="K4418" s="108"/>
      <c r="L4418" s="11"/>
      <c r="M4418" s="105"/>
      <c r="N4418" s="105"/>
      <c r="O4418" s="11"/>
      <c r="P4418" s="11"/>
      <c r="Q4418" s="105"/>
      <c r="R4418" s="105"/>
      <c r="S4418" s="105"/>
      <c r="T4418" s="105"/>
      <c r="U4418" s="105"/>
      <c r="V4418" s="105"/>
      <c r="W4418" s="105"/>
      <c r="X4418" s="11"/>
      <c r="Y4418" s="11"/>
      <c r="Z4418" s="105"/>
      <c r="AA4418" s="11"/>
      <c r="AB4418" s="11"/>
      <c r="AC4418" s="105"/>
      <c r="AD4418" s="11" t="b">
        <v>0</v>
      </c>
      <c r="AE4418" s="105"/>
      <c r="AF4418" s="11"/>
      <c r="AG4418" s="11"/>
      <c r="AH4418" s="11"/>
      <c r="AI4418" s="11"/>
    </row>
    <row r="4419" ht="12.5" spans="3:35">
      <c r="C4419" s="19"/>
      <c r="D4419" s="19"/>
      <c r="H4419" s="105"/>
      <c r="I4419" s="126"/>
      <c r="J4419" s="11"/>
      <c r="K4419" s="108"/>
      <c r="L4419" s="11"/>
      <c r="M4419" s="105"/>
      <c r="N4419" s="105"/>
      <c r="O4419" s="11"/>
      <c r="P4419" s="11"/>
      <c r="Q4419" s="105"/>
      <c r="R4419" s="105"/>
      <c r="S4419" s="105"/>
      <c r="T4419" s="105"/>
      <c r="U4419" s="105"/>
      <c r="V4419" s="105"/>
      <c r="W4419" s="105"/>
      <c r="X4419" s="11"/>
      <c r="Y4419" s="11"/>
      <c r="Z4419" s="105"/>
      <c r="AA4419" s="11"/>
      <c r="AB4419" s="11"/>
      <c r="AC4419" s="105"/>
      <c r="AD4419" s="11" t="b">
        <v>0</v>
      </c>
      <c r="AE4419" s="105"/>
      <c r="AF4419" s="11"/>
      <c r="AG4419" s="11"/>
      <c r="AH4419" s="11"/>
      <c r="AI4419" s="11"/>
    </row>
    <row r="4420" ht="12.5" spans="3:35">
      <c r="C4420" s="19"/>
      <c r="D4420" s="19"/>
      <c r="H4420" s="105"/>
      <c r="I4420" s="126"/>
      <c r="J4420" s="11"/>
      <c r="K4420" s="108"/>
      <c r="L4420" s="11"/>
      <c r="M4420" s="105"/>
      <c r="N4420" s="105"/>
      <c r="O4420" s="11"/>
      <c r="P4420" s="11"/>
      <c r="Q4420" s="105"/>
      <c r="R4420" s="105"/>
      <c r="S4420" s="105"/>
      <c r="T4420" s="105"/>
      <c r="U4420" s="105"/>
      <c r="V4420" s="105"/>
      <c r="W4420" s="105"/>
      <c r="X4420" s="11"/>
      <c r="Y4420" s="11"/>
      <c r="Z4420" s="105"/>
      <c r="AA4420" s="11"/>
      <c r="AB4420" s="11"/>
      <c r="AC4420" s="105"/>
      <c r="AD4420" s="11" t="b">
        <v>0</v>
      </c>
      <c r="AE4420" s="105"/>
      <c r="AF4420" s="11"/>
      <c r="AG4420" s="11"/>
      <c r="AH4420" s="11"/>
      <c r="AI4420" s="11"/>
    </row>
    <row r="4421" ht="12.5" spans="3:35">
      <c r="C4421" s="19"/>
      <c r="D4421" s="19"/>
      <c r="H4421" s="105"/>
      <c r="I4421" s="126"/>
      <c r="J4421" s="11"/>
      <c r="K4421" s="108"/>
      <c r="L4421" s="11"/>
      <c r="M4421" s="105"/>
      <c r="N4421" s="105"/>
      <c r="O4421" s="11"/>
      <c r="P4421" s="11"/>
      <c r="Q4421" s="105"/>
      <c r="R4421" s="105"/>
      <c r="S4421" s="105"/>
      <c r="T4421" s="105"/>
      <c r="U4421" s="105"/>
      <c r="V4421" s="105"/>
      <c r="W4421" s="105"/>
      <c r="X4421" s="11"/>
      <c r="Y4421" s="11"/>
      <c r="Z4421" s="105"/>
      <c r="AA4421" s="11"/>
      <c r="AB4421" s="11"/>
      <c r="AC4421" s="105"/>
      <c r="AD4421" s="11" t="b">
        <v>0</v>
      </c>
      <c r="AE4421" s="105"/>
      <c r="AF4421" s="11"/>
      <c r="AG4421" s="11"/>
      <c r="AH4421" s="11"/>
      <c r="AI4421" s="11"/>
    </row>
    <row r="4422" ht="12.5" spans="3:35">
      <c r="C4422" s="19"/>
      <c r="D4422" s="19"/>
      <c r="H4422" s="105"/>
      <c r="I4422" s="126"/>
      <c r="J4422" s="11"/>
      <c r="K4422" s="108"/>
      <c r="L4422" s="11"/>
      <c r="M4422" s="105"/>
      <c r="N4422" s="105"/>
      <c r="O4422" s="11"/>
      <c r="P4422" s="11"/>
      <c r="Q4422" s="105"/>
      <c r="R4422" s="105"/>
      <c r="S4422" s="105"/>
      <c r="T4422" s="105"/>
      <c r="U4422" s="105"/>
      <c r="V4422" s="105"/>
      <c r="W4422" s="105"/>
      <c r="X4422" s="11"/>
      <c r="Y4422" s="11"/>
      <c r="Z4422" s="105"/>
      <c r="AA4422" s="11"/>
      <c r="AB4422" s="11"/>
      <c r="AC4422" s="105"/>
      <c r="AD4422" s="11" t="b">
        <v>0</v>
      </c>
      <c r="AE4422" s="105"/>
      <c r="AF4422" s="11"/>
      <c r="AG4422" s="11"/>
      <c r="AH4422" s="11"/>
      <c r="AI4422" s="11"/>
    </row>
    <row r="4423" ht="12.5" spans="3:35">
      <c r="C4423" s="19"/>
      <c r="D4423" s="19"/>
      <c r="H4423" s="105"/>
      <c r="I4423" s="126"/>
      <c r="J4423" s="11"/>
      <c r="K4423" s="108"/>
      <c r="L4423" s="11"/>
      <c r="M4423" s="105"/>
      <c r="N4423" s="105"/>
      <c r="O4423" s="11"/>
      <c r="P4423" s="11"/>
      <c r="Q4423" s="105"/>
      <c r="R4423" s="105"/>
      <c r="S4423" s="105"/>
      <c r="T4423" s="105"/>
      <c r="U4423" s="105"/>
      <c r="V4423" s="105"/>
      <c r="W4423" s="105"/>
      <c r="X4423" s="11"/>
      <c r="Y4423" s="11"/>
      <c r="Z4423" s="105"/>
      <c r="AA4423" s="11"/>
      <c r="AB4423" s="11"/>
      <c r="AC4423" s="105"/>
      <c r="AD4423" s="11" t="b">
        <v>0</v>
      </c>
      <c r="AE4423" s="105"/>
      <c r="AF4423" s="11"/>
      <c r="AG4423" s="11"/>
      <c r="AH4423" s="11"/>
      <c r="AI4423" s="11"/>
    </row>
    <row r="4424" ht="12.5" spans="3:35">
      <c r="C4424" s="19"/>
      <c r="D4424" s="19"/>
      <c r="H4424" s="105"/>
      <c r="I4424" s="126"/>
      <c r="J4424" s="11"/>
      <c r="K4424" s="108"/>
      <c r="L4424" s="11"/>
      <c r="M4424" s="105"/>
      <c r="N4424" s="105"/>
      <c r="O4424" s="11"/>
      <c r="P4424" s="11"/>
      <c r="Q4424" s="105"/>
      <c r="R4424" s="105"/>
      <c r="S4424" s="105"/>
      <c r="T4424" s="105"/>
      <c r="U4424" s="105"/>
      <c r="V4424" s="105"/>
      <c r="W4424" s="105"/>
      <c r="X4424" s="11"/>
      <c r="Y4424" s="11"/>
      <c r="Z4424" s="105"/>
      <c r="AA4424" s="11"/>
      <c r="AB4424" s="11"/>
      <c r="AC4424" s="105"/>
      <c r="AD4424" s="11" t="b">
        <v>0</v>
      </c>
      <c r="AE4424" s="105"/>
      <c r="AF4424" s="11"/>
      <c r="AG4424" s="11"/>
      <c r="AH4424" s="11"/>
      <c r="AI4424" s="11"/>
    </row>
    <row r="4425" ht="12.5" spans="3:35">
      <c r="C4425" s="19"/>
      <c r="D4425" s="19"/>
      <c r="H4425" s="105"/>
      <c r="I4425" s="126"/>
      <c r="J4425" s="11"/>
      <c r="K4425" s="108"/>
      <c r="L4425" s="11"/>
      <c r="M4425" s="105"/>
      <c r="N4425" s="105"/>
      <c r="O4425" s="11"/>
      <c r="P4425" s="11"/>
      <c r="Q4425" s="105"/>
      <c r="R4425" s="105"/>
      <c r="S4425" s="105"/>
      <c r="T4425" s="105"/>
      <c r="U4425" s="105"/>
      <c r="V4425" s="105"/>
      <c r="W4425" s="105"/>
      <c r="X4425" s="11"/>
      <c r="Y4425" s="11"/>
      <c r="Z4425" s="105"/>
      <c r="AA4425" s="11"/>
      <c r="AB4425" s="11"/>
      <c r="AC4425" s="105"/>
      <c r="AD4425" s="11" t="b">
        <v>0</v>
      </c>
      <c r="AE4425" s="105"/>
      <c r="AF4425" s="11"/>
      <c r="AG4425" s="11"/>
      <c r="AH4425" s="11"/>
      <c r="AI4425" s="11"/>
    </row>
    <row r="4426" ht="12.5" spans="3:35">
      <c r="C4426" s="19"/>
      <c r="D4426" s="19"/>
      <c r="H4426" s="105"/>
      <c r="I4426" s="126"/>
      <c r="J4426" s="11"/>
      <c r="K4426" s="108"/>
      <c r="L4426" s="11"/>
      <c r="M4426" s="105"/>
      <c r="N4426" s="105"/>
      <c r="O4426" s="11"/>
      <c r="P4426" s="11"/>
      <c r="Q4426" s="105"/>
      <c r="R4426" s="105"/>
      <c r="S4426" s="105"/>
      <c r="T4426" s="105"/>
      <c r="U4426" s="105"/>
      <c r="V4426" s="105"/>
      <c r="W4426" s="105"/>
      <c r="X4426" s="11"/>
      <c r="Y4426" s="11"/>
      <c r="Z4426" s="105"/>
      <c r="AA4426" s="11"/>
      <c r="AB4426" s="11"/>
      <c r="AC4426" s="105"/>
      <c r="AD4426" s="11" t="b">
        <v>0</v>
      </c>
      <c r="AE4426" s="105"/>
      <c r="AF4426" s="11"/>
      <c r="AG4426" s="11"/>
      <c r="AH4426" s="11"/>
      <c r="AI4426" s="11"/>
    </row>
    <row r="4427" ht="12.5" spans="3:35">
      <c r="C4427" s="19"/>
      <c r="D4427" s="19"/>
      <c r="H4427" s="105"/>
      <c r="I4427" s="126"/>
      <c r="J4427" s="11"/>
      <c r="K4427" s="108"/>
      <c r="L4427" s="11"/>
      <c r="M4427" s="105"/>
      <c r="N4427" s="105"/>
      <c r="O4427" s="11"/>
      <c r="P4427" s="11"/>
      <c r="Q4427" s="105"/>
      <c r="R4427" s="105"/>
      <c r="S4427" s="105"/>
      <c r="T4427" s="105"/>
      <c r="U4427" s="105"/>
      <c r="V4427" s="105"/>
      <c r="W4427" s="105"/>
      <c r="X4427" s="11"/>
      <c r="Y4427" s="11"/>
      <c r="Z4427" s="105"/>
      <c r="AA4427" s="11"/>
      <c r="AB4427" s="11"/>
      <c r="AC4427" s="105"/>
      <c r="AD4427" s="11" t="b">
        <v>0</v>
      </c>
      <c r="AE4427" s="105"/>
      <c r="AF4427" s="11"/>
      <c r="AG4427" s="11"/>
      <c r="AH4427" s="11"/>
      <c r="AI4427" s="11"/>
    </row>
    <row r="4428" ht="12.5" spans="3:35">
      <c r="C4428" s="19"/>
      <c r="D4428" s="19"/>
      <c r="H4428" s="105"/>
      <c r="I4428" s="126"/>
      <c r="J4428" s="11"/>
      <c r="K4428" s="108"/>
      <c r="L4428" s="11"/>
      <c r="M4428" s="105"/>
      <c r="N4428" s="105"/>
      <c r="O4428" s="11"/>
      <c r="P4428" s="11"/>
      <c r="Q4428" s="105"/>
      <c r="R4428" s="105"/>
      <c r="S4428" s="105"/>
      <c r="T4428" s="105"/>
      <c r="U4428" s="105"/>
      <c r="V4428" s="105"/>
      <c r="W4428" s="105"/>
      <c r="X4428" s="11"/>
      <c r="Y4428" s="11"/>
      <c r="Z4428" s="105"/>
      <c r="AA4428" s="11"/>
      <c r="AB4428" s="11"/>
      <c r="AC4428" s="105"/>
      <c r="AD4428" s="11" t="b">
        <v>0</v>
      </c>
      <c r="AE4428" s="105"/>
      <c r="AF4428" s="11"/>
      <c r="AG4428" s="11"/>
      <c r="AH4428" s="11"/>
      <c r="AI4428" s="11"/>
    </row>
    <row r="4429" ht="12.5" spans="3:35">
      <c r="C4429" s="19"/>
      <c r="D4429" s="19"/>
      <c r="H4429" s="105"/>
      <c r="I4429" s="126"/>
      <c r="J4429" s="11"/>
      <c r="K4429" s="108"/>
      <c r="L4429" s="11"/>
      <c r="M4429" s="105"/>
      <c r="N4429" s="105"/>
      <c r="O4429" s="11"/>
      <c r="P4429" s="11"/>
      <c r="Q4429" s="105"/>
      <c r="R4429" s="105"/>
      <c r="S4429" s="105"/>
      <c r="T4429" s="105"/>
      <c r="U4429" s="105"/>
      <c r="V4429" s="105"/>
      <c r="W4429" s="105"/>
      <c r="X4429" s="11"/>
      <c r="Y4429" s="11"/>
      <c r="Z4429" s="105"/>
      <c r="AA4429" s="11"/>
      <c r="AB4429" s="11"/>
      <c r="AC4429" s="105"/>
      <c r="AD4429" s="11" t="b">
        <v>0</v>
      </c>
      <c r="AE4429" s="105"/>
      <c r="AF4429" s="11"/>
      <c r="AG4429" s="11"/>
      <c r="AH4429" s="11"/>
      <c r="AI4429" s="11"/>
    </row>
    <row r="4430" ht="12.5" spans="3:35">
      <c r="C4430" s="19"/>
      <c r="D4430" s="19"/>
      <c r="H4430" s="105"/>
      <c r="I4430" s="126"/>
      <c r="J4430" s="11"/>
      <c r="K4430" s="108"/>
      <c r="L4430" s="11"/>
      <c r="M4430" s="105"/>
      <c r="N4430" s="105"/>
      <c r="O4430" s="11"/>
      <c r="P4430" s="11"/>
      <c r="Q4430" s="105"/>
      <c r="R4430" s="105"/>
      <c r="S4430" s="105"/>
      <c r="T4430" s="105"/>
      <c r="U4430" s="105"/>
      <c r="V4430" s="105"/>
      <c r="W4430" s="105"/>
      <c r="X4430" s="11"/>
      <c r="Y4430" s="11"/>
      <c r="Z4430" s="105"/>
      <c r="AA4430" s="11"/>
      <c r="AB4430" s="11"/>
      <c r="AC4430" s="105"/>
      <c r="AD4430" s="11" t="b">
        <v>0</v>
      </c>
      <c r="AE4430" s="105"/>
      <c r="AF4430" s="11"/>
      <c r="AG4430" s="11"/>
      <c r="AH4430" s="11"/>
      <c r="AI4430" s="11"/>
    </row>
    <row r="4431" ht="12.5" spans="3:35">
      <c r="C4431" s="19"/>
      <c r="D4431" s="19"/>
      <c r="H4431" s="105"/>
      <c r="I4431" s="126"/>
      <c r="J4431" s="11"/>
      <c r="K4431" s="108"/>
      <c r="L4431" s="11"/>
      <c r="M4431" s="105"/>
      <c r="N4431" s="105"/>
      <c r="O4431" s="11"/>
      <c r="P4431" s="11"/>
      <c r="Q4431" s="105"/>
      <c r="R4431" s="105"/>
      <c r="S4431" s="105"/>
      <c r="T4431" s="105"/>
      <c r="U4431" s="105"/>
      <c r="V4431" s="105"/>
      <c r="W4431" s="105"/>
      <c r="X4431" s="11"/>
      <c r="Y4431" s="11"/>
      <c r="Z4431" s="105"/>
      <c r="AA4431" s="11"/>
      <c r="AB4431" s="11"/>
      <c r="AC4431" s="105"/>
      <c r="AD4431" s="11" t="b">
        <v>0</v>
      </c>
      <c r="AE4431" s="105"/>
      <c r="AF4431" s="11"/>
      <c r="AG4431" s="11"/>
      <c r="AH4431" s="11"/>
      <c r="AI4431" s="11"/>
    </row>
    <row r="4432" ht="12.5" spans="3:35">
      <c r="C4432" s="19"/>
      <c r="D4432" s="19"/>
      <c r="H4432" s="105"/>
      <c r="I4432" s="126"/>
      <c r="J4432" s="11"/>
      <c r="K4432" s="108"/>
      <c r="L4432" s="11"/>
      <c r="M4432" s="105"/>
      <c r="N4432" s="105"/>
      <c r="O4432" s="11"/>
      <c r="P4432" s="11"/>
      <c r="Q4432" s="105"/>
      <c r="R4432" s="105"/>
      <c r="S4432" s="105"/>
      <c r="T4432" s="105"/>
      <c r="U4432" s="105"/>
      <c r="V4432" s="105"/>
      <c r="W4432" s="105"/>
      <c r="X4432" s="11"/>
      <c r="Y4432" s="11"/>
      <c r="Z4432" s="105"/>
      <c r="AA4432" s="11"/>
      <c r="AB4432" s="11"/>
      <c r="AC4432" s="105"/>
      <c r="AD4432" s="11" t="b">
        <v>0</v>
      </c>
      <c r="AE4432" s="105"/>
      <c r="AF4432" s="11"/>
      <c r="AG4432" s="11"/>
      <c r="AH4432" s="11"/>
      <c r="AI4432" s="11"/>
    </row>
    <row r="4433" ht="12.5" spans="3:35">
      <c r="C4433" s="19"/>
      <c r="D4433" s="19"/>
      <c r="H4433" s="105"/>
      <c r="I4433" s="126"/>
      <c r="J4433" s="11"/>
      <c r="K4433" s="108"/>
      <c r="L4433" s="11"/>
      <c r="M4433" s="105"/>
      <c r="N4433" s="105"/>
      <c r="O4433" s="11"/>
      <c r="P4433" s="11"/>
      <c r="Q4433" s="105"/>
      <c r="R4433" s="105"/>
      <c r="S4433" s="105"/>
      <c r="T4433" s="105"/>
      <c r="U4433" s="105"/>
      <c r="V4433" s="105"/>
      <c r="W4433" s="105"/>
      <c r="X4433" s="11"/>
      <c r="Y4433" s="11"/>
      <c r="Z4433" s="105"/>
      <c r="AA4433" s="11"/>
      <c r="AB4433" s="11"/>
      <c r="AC4433" s="105"/>
      <c r="AD4433" s="11" t="b">
        <v>0</v>
      </c>
      <c r="AE4433" s="105"/>
      <c r="AF4433" s="11"/>
      <c r="AG4433" s="11"/>
      <c r="AH4433" s="11"/>
      <c r="AI4433" s="11"/>
    </row>
    <row r="4434" ht="12.5" spans="3:35">
      <c r="C4434" s="19"/>
      <c r="D4434" s="19"/>
      <c r="H4434" s="105"/>
      <c r="I4434" s="126"/>
      <c r="J4434" s="11"/>
      <c r="K4434" s="108"/>
      <c r="L4434" s="11"/>
      <c r="M4434" s="105"/>
      <c r="N4434" s="105"/>
      <c r="O4434" s="11"/>
      <c r="P4434" s="11"/>
      <c r="Q4434" s="105"/>
      <c r="R4434" s="105"/>
      <c r="S4434" s="105"/>
      <c r="T4434" s="105"/>
      <c r="U4434" s="105"/>
      <c r="V4434" s="105"/>
      <c r="W4434" s="105"/>
      <c r="X4434" s="11"/>
      <c r="Y4434" s="11"/>
      <c r="Z4434" s="105"/>
      <c r="AA4434" s="11"/>
      <c r="AB4434" s="11"/>
      <c r="AC4434" s="105"/>
      <c r="AD4434" s="11" t="b">
        <v>0</v>
      </c>
      <c r="AE4434" s="105"/>
      <c r="AF4434" s="11"/>
      <c r="AG4434" s="11"/>
      <c r="AH4434" s="11"/>
      <c r="AI4434" s="11"/>
    </row>
    <row r="4435" ht="12.5" spans="3:35">
      <c r="C4435" s="19"/>
      <c r="D4435" s="19"/>
      <c r="H4435" s="105"/>
      <c r="I4435" s="126"/>
      <c r="J4435" s="11"/>
      <c r="K4435" s="108"/>
      <c r="L4435" s="11"/>
      <c r="M4435" s="105"/>
      <c r="N4435" s="105"/>
      <c r="O4435" s="11"/>
      <c r="P4435" s="11"/>
      <c r="Q4435" s="105"/>
      <c r="R4435" s="105"/>
      <c r="S4435" s="105"/>
      <c r="T4435" s="105"/>
      <c r="U4435" s="105"/>
      <c r="V4435" s="105"/>
      <c r="W4435" s="105"/>
      <c r="X4435" s="11"/>
      <c r="Y4435" s="11"/>
      <c r="Z4435" s="105"/>
      <c r="AA4435" s="11"/>
      <c r="AB4435" s="11"/>
      <c r="AC4435" s="105"/>
      <c r="AD4435" s="11" t="b">
        <v>0</v>
      </c>
      <c r="AE4435" s="105"/>
      <c r="AF4435" s="11"/>
      <c r="AG4435" s="11"/>
      <c r="AH4435" s="11"/>
      <c r="AI4435" s="11"/>
    </row>
    <row r="4436" ht="12.5" spans="3:35">
      <c r="C4436" s="19"/>
      <c r="D4436" s="19"/>
      <c r="H4436" s="105"/>
      <c r="I4436" s="126"/>
      <c r="J4436" s="11"/>
      <c r="K4436" s="108"/>
      <c r="L4436" s="11"/>
      <c r="M4436" s="105"/>
      <c r="N4436" s="105"/>
      <c r="O4436" s="11"/>
      <c r="P4436" s="11"/>
      <c r="Q4436" s="105"/>
      <c r="R4436" s="105"/>
      <c r="S4436" s="105"/>
      <c r="T4436" s="105"/>
      <c r="U4436" s="105"/>
      <c r="V4436" s="105"/>
      <c r="W4436" s="105"/>
      <c r="X4436" s="11"/>
      <c r="Y4436" s="11"/>
      <c r="Z4436" s="105"/>
      <c r="AA4436" s="11"/>
      <c r="AB4436" s="11"/>
      <c r="AC4436" s="105"/>
      <c r="AD4436" s="11" t="b">
        <v>0</v>
      </c>
      <c r="AE4436" s="105"/>
      <c r="AF4436" s="11"/>
      <c r="AG4436" s="11"/>
      <c r="AH4436" s="11"/>
      <c r="AI4436" s="11"/>
    </row>
    <row r="4437" ht="12.5" spans="3:35">
      <c r="C4437" s="19"/>
      <c r="D4437" s="19"/>
      <c r="H4437" s="105"/>
      <c r="I4437" s="126"/>
      <c r="J4437" s="11"/>
      <c r="K4437" s="108"/>
      <c r="L4437" s="11"/>
      <c r="M4437" s="105"/>
      <c r="N4437" s="105"/>
      <c r="O4437" s="11"/>
      <c r="P4437" s="11"/>
      <c r="Q4437" s="105"/>
      <c r="R4437" s="105"/>
      <c r="S4437" s="105"/>
      <c r="T4437" s="105"/>
      <c r="U4437" s="105"/>
      <c r="V4437" s="105"/>
      <c r="W4437" s="105"/>
      <c r="X4437" s="11"/>
      <c r="Y4437" s="11"/>
      <c r="Z4437" s="105"/>
      <c r="AA4437" s="11"/>
      <c r="AB4437" s="11"/>
      <c r="AC4437" s="105"/>
      <c r="AD4437" s="11" t="b">
        <v>0</v>
      </c>
      <c r="AE4437" s="105"/>
      <c r="AF4437" s="11"/>
      <c r="AG4437" s="11"/>
      <c r="AH4437" s="11"/>
      <c r="AI4437" s="11"/>
    </row>
    <row r="4438" ht="12.5" spans="3:35">
      <c r="C4438" s="19"/>
      <c r="D4438" s="19"/>
      <c r="H4438" s="105"/>
      <c r="I4438" s="126"/>
      <c r="J4438" s="11"/>
      <c r="K4438" s="108"/>
      <c r="L4438" s="11"/>
      <c r="M4438" s="105"/>
      <c r="N4438" s="105"/>
      <c r="O4438" s="11"/>
      <c r="P4438" s="11"/>
      <c r="Q4438" s="105"/>
      <c r="R4438" s="105"/>
      <c r="S4438" s="105"/>
      <c r="T4438" s="105"/>
      <c r="U4438" s="105"/>
      <c r="V4438" s="105"/>
      <c r="W4438" s="105"/>
      <c r="X4438" s="11"/>
      <c r="Y4438" s="11"/>
      <c r="Z4438" s="105"/>
      <c r="AA4438" s="11"/>
      <c r="AB4438" s="11"/>
      <c r="AC4438" s="105"/>
      <c r="AD4438" s="11" t="b">
        <v>0</v>
      </c>
      <c r="AE4438" s="105"/>
      <c r="AF4438" s="11"/>
      <c r="AG4438" s="11"/>
      <c r="AH4438" s="11"/>
      <c r="AI4438" s="11"/>
    </row>
    <row r="4439" ht="12.5" spans="3:35">
      <c r="C4439" s="19"/>
      <c r="D4439" s="19"/>
      <c r="H4439" s="105"/>
      <c r="I4439" s="126"/>
      <c r="J4439" s="11"/>
      <c r="K4439" s="108"/>
      <c r="L4439" s="11"/>
      <c r="M4439" s="105"/>
      <c r="N4439" s="105"/>
      <c r="O4439" s="11"/>
      <c r="P4439" s="11"/>
      <c r="Q4439" s="105"/>
      <c r="R4439" s="105"/>
      <c r="S4439" s="105"/>
      <c r="T4439" s="105"/>
      <c r="U4439" s="105"/>
      <c r="V4439" s="105"/>
      <c r="W4439" s="105"/>
      <c r="X4439" s="11"/>
      <c r="Y4439" s="11"/>
      <c r="Z4439" s="105"/>
      <c r="AA4439" s="11"/>
      <c r="AB4439" s="11"/>
      <c r="AC4439" s="105"/>
      <c r="AD4439" s="11" t="b">
        <v>0</v>
      </c>
      <c r="AE4439" s="105"/>
      <c r="AF4439" s="11"/>
      <c r="AG4439" s="11"/>
      <c r="AH4439" s="11"/>
      <c r="AI4439" s="11"/>
    </row>
    <row r="4440" ht="12.5" spans="3:35">
      <c r="C4440" s="19"/>
      <c r="D4440" s="19"/>
      <c r="H4440" s="105"/>
      <c r="I4440" s="126"/>
      <c r="J4440" s="11"/>
      <c r="K4440" s="108"/>
      <c r="L4440" s="11"/>
      <c r="M4440" s="105"/>
      <c r="N4440" s="105"/>
      <c r="O4440" s="11"/>
      <c r="P4440" s="11"/>
      <c r="Q4440" s="105"/>
      <c r="R4440" s="105"/>
      <c r="S4440" s="105"/>
      <c r="T4440" s="105"/>
      <c r="U4440" s="105"/>
      <c r="V4440" s="105"/>
      <c r="W4440" s="105"/>
      <c r="X4440" s="11"/>
      <c r="Y4440" s="11"/>
      <c r="Z4440" s="105"/>
      <c r="AA4440" s="11"/>
      <c r="AB4440" s="11"/>
      <c r="AC4440" s="105"/>
      <c r="AD4440" s="11" t="b">
        <v>0</v>
      </c>
      <c r="AE4440" s="105"/>
      <c r="AF4440" s="11"/>
      <c r="AG4440" s="11"/>
      <c r="AH4440" s="11"/>
      <c r="AI4440" s="11"/>
    </row>
    <row r="4441" ht="12.5" spans="3:35">
      <c r="C4441" s="19"/>
      <c r="D4441" s="19"/>
      <c r="H4441" s="105"/>
      <c r="I4441" s="126"/>
      <c r="J4441" s="11"/>
      <c r="K4441" s="108"/>
      <c r="L4441" s="11"/>
      <c r="M4441" s="105"/>
      <c r="N4441" s="105"/>
      <c r="O4441" s="11"/>
      <c r="P4441" s="11"/>
      <c r="Q4441" s="105"/>
      <c r="R4441" s="105"/>
      <c r="S4441" s="105"/>
      <c r="T4441" s="105"/>
      <c r="U4441" s="105"/>
      <c r="V4441" s="105"/>
      <c r="W4441" s="105"/>
      <c r="X4441" s="11"/>
      <c r="Y4441" s="11"/>
      <c r="Z4441" s="105"/>
      <c r="AA4441" s="11"/>
      <c r="AB4441" s="11"/>
      <c r="AC4441" s="105"/>
      <c r="AD4441" s="11" t="b">
        <v>0</v>
      </c>
      <c r="AE4441" s="105"/>
      <c r="AF4441" s="11"/>
      <c r="AG4441" s="11"/>
      <c r="AH4441" s="11"/>
      <c r="AI4441" s="11"/>
    </row>
    <row r="4442" ht="12.5" spans="3:35">
      <c r="C4442" s="19"/>
      <c r="D4442" s="19"/>
      <c r="H4442" s="105"/>
      <c r="I4442" s="126"/>
      <c r="J4442" s="11"/>
      <c r="K4442" s="108"/>
      <c r="L4442" s="11"/>
      <c r="M4442" s="105"/>
      <c r="N4442" s="105"/>
      <c r="O4442" s="11"/>
      <c r="P4442" s="11"/>
      <c r="Q4442" s="105"/>
      <c r="R4442" s="105"/>
      <c r="S4442" s="105"/>
      <c r="T4442" s="105"/>
      <c r="U4442" s="105"/>
      <c r="V4442" s="105"/>
      <c r="W4442" s="105"/>
      <c r="X4442" s="11"/>
      <c r="Y4442" s="11"/>
      <c r="Z4442" s="105"/>
      <c r="AA4442" s="11"/>
      <c r="AB4442" s="11"/>
      <c r="AC4442" s="105"/>
      <c r="AD4442" s="11" t="b">
        <v>0</v>
      </c>
      <c r="AE4442" s="105"/>
      <c r="AF4442" s="11"/>
      <c r="AG4442" s="11"/>
      <c r="AH4442" s="11"/>
      <c r="AI4442" s="11"/>
    </row>
    <row r="4443" ht="12.5" spans="3:35">
      <c r="C4443" s="19"/>
      <c r="D4443" s="19"/>
      <c r="H4443" s="105"/>
      <c r="I4443" s="126"/>
      <c r="J4443" s="11"/>
      <c r="K4443" s="108"/>
      <c r="L4443" s="11"/>
      <c r="M4443" s="105"/>
      <c r="N4443" s="105"/>
      <c r="O4443" s="11"/>
      <c r="P4443" s="11"/>
      <c r="Q4443" s="105"/>
      <c r="R4443" s="105"/>
      <c r="S4443" s="105"/>
      <c r="T4443" s="105"/>
      <c r="U4443" s="105"/>
      <c r="V4443" s="105"/>
      <c r="W4443" s="105"/>
      <c r="X4443" s="11"/>
      <c r="Y4443" s="11"/>
      <c r="Z4443" s="105"/>
      <c r="AA4443" s="11"/>
      <c r="AB4443" s="11"/>
      <c r="AC4443" s="105"/>
      <c r="AD4443" s="11" t="b">
        <v>0</v>
      </c>
      <c r="AE4443" s="105"/>
      <c r="AF4443" s="11"/>
      <c r="AG4443" s="11"/>
      <c r="AH4443" s="11"/>
      <c r="AI4443" s="11"/>
    </row>
    <row r="4444" ht="12.5" spans="3:35">
      <c r="C4444" s="19"/>
      <c r="D4444" s="19"/>
      <c r="H4444" s="105"/>
      <c r="I4444" s="126"/>
      <c r="J4444" s="11"/>
      <c r="K4444" s="108"/>
      <c r="L4444" s="11"/>
      <c r="M4444" s="105"/>
      <c r="N4444" s="105"/>
      <c r="O4444" s="11"/>
      <c r="P4444" s="11"/>
      <c r="Q4444" s="105"/>
      <c r="R4444" s="105"/>
      <c r="S4444" s="105"/>
      <c r="T4444" s="105"/>
      <c r="U4444" s="105"/>
      <c r="V4444" s="105"/>
      <c r="W4444" s="105"/>
      <c r="X4444" s="11"/>
      <c r="Y4444" s="11"/>
      <c r="Z4444" s="105"/>
      <c r="AA4444" s="11"/>
      <c r="AB4444" s="11"/>
      <c r="AC4444" s="105"/>
      <c r="AD4444" s="11" t="b">
        <v>0</v>
      </c>
      <c r="AE4444" s="105"/>
      <c r="AF4444" s="11"/>
      <c r="AG4444" s="11"/>
      <c r="AH4444" s="11"/>
      <c r="AI4444" s="11"/>
    </row>
    <row r="4445" ht="12.5" spans="3:35">
      <c r="C4445" s="19"/>
      <c r="D4445" s="19"/>
      <c r="H4445" s="105"/>
      <c r="I4445" s="126"/>
      <c r="J4445" s="11"/>
      <c r="K4445" s="108"/>
      <c r="L4445" s="11"/>
      <c r="M4445" s="105"/>
      <c r="N4445" s="105"/>
      <c r="O4445" s="11"/>
      <c r="P4445" s="11"/>
      <c r="Q4445" s="105"/>
      <c r="R4445" s="105"/>
      <c r="S4445" s="105"/>
      <c r="T4445" s="105"/>
      <c r="U4445" s="105"/>
      <c r="V4445" s="105"/>
      <c r="W4445" s="105"/>
      <c r="X4445" s="11"/>
      <c r="Y4445" s="11"/>
      <c r="Z4445" s="105"/>
      <c r="AA4445" s="11"/>
      <c r="AB4445" s="11"/>
      <c r="AC4445" s="105"/>
      <c r="AD4445" s="11" t="b">
        <v>0</v>
      </c>
      <c r="AE4445" s="105"/>
      <c r="AF4445" s="11"/>
      <c r="AG4445" s="11"/>
      <c r="AH4445" s="11"/>
      <c r="AI4445" s="11"/>
    </row>
    <row r="4446" ht="12.5" spans="3:35">
      <c r="C4446" s="19"/>
      <c r="D4446" s="19"/>
      <c r="H4446" s="105"/>
      <c r="I4446" s="126"/>
      <c r="J4446" s="11"/>
      <c r="K4446" s="108"/>
      <c r="L4446" s="11"/>
      <c r="M4446" s="105"/>
      <c r="N4446" s="105"/>
      <c r="O4446" s="11"/>
      <c r="P4446" s="11"/>
      <c r="Q4446" s="105"/>
      <c r="R4446" s="105"/>
      <c r="S4446" s="105"/>
      <c r="T4446" s="105"/>
      <c r="U4446" s="105"/>
      <c r="V4446" s="105"/>
      <c r="W4446" s="105"/>
      <c r="X4446" s="11"/>
      <c r="Y4446" s="11"/>
      <c r="Z4446" s="105"/>
      <c r="AA4446" s="11"/>
      <c r="AB4446" s="11"/>
      <c r="AC4446" s="105"/>
      <c r="AD4446" s="11" t="b">
        <v>0</v>
      </c>
      <c r="AE4446" s="105"/>
      <c r="AF4446" s="11"/>
      <c r="AG4446" s="11"/>
      <c r="AH4446" s="11"/>
      <c r="AI4446" s="11"/>
    </row>
    <row r="4447" ht="12.5" spans="3:35">
      <c r="C4447" s="19"/>
      <c r="D4447" s="19"/>
      <c r="H4447" s="105"/>
      <c r="I4447" s="126"/>
      <c r="J4447" s="11"/>
      <c r="K4447" s="108"/>
      <c r="L4447" s="11"/>
      <c r="M4447" s="105"/>
      <c r="N4447" s="105"/>
      <c r="O4447" s="11"/>
      <c r="P4447" s="11"/>
      <c r="Q4447" s="105"/>
      <c r="R4447" s="105"/>
      <c r="S4447" s="105"/>
      <c r="T4447" s="105"/>
      <c r="U4447" s="105"/>
      <c r="V4447" s="105"/>
      <c r="W4447" s="105"/>
      <c r="X4447" s="11"/>
      <c r="Y4447" s="11"/>
      <c r="Z4447" s="105"/>
      <c r="AA4447" s="11"/>
      <c r="AB4447" s="11"/>
      <c r="AC4447" s="105"/>
      <c r="AD4447" s="11" t="b">
        <v>0</v>
      </c>
      <c r="AE4447" s="105"/>
      <c r="AF4447" s="11"/>
      <c r="AG4447" s="11"/>
      <c r="AH4447" s="11"/>
      <c r="AI4447" s="11"/>
    </row>
    <row r="4448" ht="12.5" spans="3:35">
      <c r="C4448" s="19"/>
      <c r="D4448" s="19"/>
      <c r="H4448" s="105"/>
      <c r="I4448" s="126"/>
      <c r="J4448" s="11"/>
      <c r="K4448" s="108"/>
      <c r="L4448" s="11"/>
      <c r="M4448" s="105"/>
      <c r="N4448" s="105"/>
      <c r="O4448" s="11"/>
      <c r="P4448" s="11"/>
      <c r="Q4448" s="105"/>
      <c r="R4448" s="105"/>
      <c r="S4448" s="105"/>
      <c r="T4448" s="105"/>
      <c r="U4448" s="105"/>
      <c r="V4448" s="105"/>
      <c r="W4448" s="105"/>
      <c r="X4448" s="11"/>
      <c r="Y4448" s="11"/>
      <c r="Z4448" s="105"/>
      <c r="AA4448" s="11"/>
      <c r="AB4448" s="11"/>
      <c r="AC4448" s="105"/>
      <c r="AD4448" s="11" t="b">
        <v>0</v>
      </c>
      <c r="AE4448" s="105"/>
      <c r="AF4448" s="11"/>
      <c r="AG4448" s="11"/>
      <c r="AH4448" s="11"/>
      <c r="AI4448" s="11"/>
    </row>
    <row r="4449" ht="12.5" spans="3:35">
      <c r="C4449" s="19"/>
      <c r="D4449" s="19"/>
      <c r="H4449" s="105"/>
      <c r="I4449" s="126"/>
      <c r="J4449" s="11"/>
      <c r="K4449" s="108"/>
      <c r="L4449" s="11"/>
      <c r="M4449" s="105"/>
      <c r="N4449" s="105"/>
      <c r="O4449" s="11"/>
      <c r="P4449" s="11"/>
      <c r="Q4449" s="105"/>
      <c r="R4449" s="105"/>
      <c r="S4449" s="105"/>
      <c r="T4449" s="105"/>
      <c r="U4449" s="105"/>
      <c r="V4449" s="105"/>
      <c r="W4449" s="105"/>
      <c r="X4449" s="11"/>
      <c r="Y4449" s="11"/>
      <c r="Z4449" s="105"/>
      <c r="AA4449" s="11"/>
      <c r="AB4449" s="11"/>
      <c r="AC4449" s="105"/>
      <c r="AD4449" s="11" t="b">
        <v>0</v>
      </c>
      <c r="AE4449" s="105"/>
      <c r="AF4449" s="11"/>
      <c r="AG4449" s="11"/>
      <c r="AH4449" s="11"/>
      <c r="AI4449" s="11"/>
    </row>
    <row r="4450" ht="12.5" spans="3:35">
      <c r="C4450" s="19"/>
      <c r="D4450" s="19"/>
      <c r="H4450" s="105"/>
      <c r="I4450" s="126"/>
      <c r="J4450" s="11"/>
      <c r="K4450" s="108"/>
      <c r="L4450" s="11"/>
      <c r="M4450" s="105"/>
      <c r="N4450" s="105"/>
      <c r="O4450" s="11"/>
      <c r="P4450" s="11"/>
      <c r="Q4450" s="105"/>
      <c r="R4450" s="105"/>
      <c r="S4450" s="105"/>
      <c r="T4450" s="105"/>
      <c r="U4450" s="105"/>
      <c r="V4450" s="105"/>
      <c r="W4450" s="105"/>
      <c r="X4450" s="11"/>
      <c r="Y4450" s="11"/>
      <c r="Z4450" s="105"/>
      <c r="AA4450" s="11"/>
      <c r="AB4450" s="11"/>
      <c r="AC4450" s="105"/>
      <c r="AD4450" s="11" t="b">
        <v>0</v>
      </c>
      <c r="AE4450" s="105"/>
      <c r="AF4450" s="11"/>
      <c r="AG4450" s="11"/>
      <c r="AH4450" s="11"/>
      <c r="AI4450" s="11"/>
    </row>
    <row r="4451" ht="12.5" spans="3:35">
      <c r="C4451" s="19"/>
      <c r="D4451" s="19"/>
      <c r="H4451" s="105"/>
      <c r="I4451" s="126"/>
      <c r="J4451" s="11"/>
      <c r="K4451" s="108"/>
      <c r="L4451" s="11"/>
      <c r="M4451" s="105"/>
      <c r="N4451" s="105"/>
      <c r="O4451" s="11"/>
      <c r="P4451" s="11"/>
      <c r="Q4451" s="105"/>
      <c r="R4451" s="105"/>
      <c r="S4451" s="105"/>
      <c r="T4451" s="105"/>
      <c r="U4451" s="105"/>
      <c r="V4451" s="105"/>
      <c r="W4451" s="105"/>
      <c r="X4451" s="11"/>
      <c r="Y4451" s="11"/>
      <c r="Z4451" s="105"/>
      <c r="AA4451" s="11"/>
      <c r="AB4451" s="11"/>
      <c r="AC4451" s="105"/>
      <c r="AD4451" s="11" t="b">
        <v>0</v>
      </c>
      <c r="AE4451" s="105"/>
      <c r="AF4451" s="11"/>
      <c r="AG4451" s="11"/>
      <c r="AH4451" s="11"/>
      <c r="AI4451" s="11"/>
    </row>
    <row r="4452" ht="12.5" spans="3:35">
      <c r="C4452" s="19"/>
      <c r="D4452" s="19"/>
      <c r="H4452" s="105"/>
      <c r="I4452" s="126"/>
      <c r="J4452" s="11"/>
      <c r="K4452" s="108"/>
      <c r="L4452" s="11"/>
      <c r="M4452" s="105"/>
      <c r="N4452" s="105"/>
      <c r="O4452" s="11"/>
      <c r="P4452" s="11"/>
      <c r="Q4452" s="105"/>
      <c r="R4452" s="105"/>
      <c r="S4452" s="105"/>
      <c r="T4452" s="105"/>
      <c r="U4452" s="105"/>
      <c r="V4452" s="105"/>
      <c r="W4452" s="105"/>
      <c r="X4452" s="11"/>
      <c r="Y4452" s="11"/>
      <c r="Z4452" s="105"/>
      <c r="AA4452" s="11"/>
      <c r="AB4452" s="11"/>
      <c r="AC4452" s="105"/>
      <c r="AD4452" s="11" t="b">
        <v>0</v>
      </c>
      <c r="AE4452" s="105"/>
      <c r="AF4452" s="11"/>
      <c r="AG4452" s="11"/>
      <c r="AH4452" s="11"/>
      <c r="AI4452" s="11"/>
    </row>
    <row r="4453" ht="12.5" spans="3:35">
      <c r="C4453" s="19"/>
      <c r="D4453" s="19"/>
      <c r="H4453" s="105"/>
      <c r="I4453" s="126"/>
      <c r="J4453" s="11"/>
      <c r="K4453" s="108"/>
      <c r="L4453" s="11"/>
      <c r="M4453" s="105"/>
      <c r="N4453" s="105"/>
      <c r="O4453" s="11"/>
      <c r="P4453" s="11"/>
      <c r="Q4453" s="105"/>
      <c r="R4453" s="105"/>
      <c r="S4453" s="105"/>
      <c r="T4453" s="105"/>
      <c r="U4453" s="105"/>
      <c r="V4453" s="105"/>
      <c r="W4453" s="105"/>
      <c r="X4453" s="11"/>
      <c r="Y4453" s="11"/>
      <c r="Z4453" s="105"/>
      <c r="AA4453" s="11"/>
      <c r="AB4453" s="11"/>
      <c r="AC4453" s="105"/>
      <c r="AD4453" s="11" t="b">
        <v>0</v>
      </c>
      <c r="AE4453" s="105"/>
      <c r="AF4453" s="11"/>
      <c r="AG4453" s="11"/>
      <c r="AH4453" s="11"/>
      <c r="AI4453" s="11"/>
    </row>
    <row r="4454" ht="12.5" spans="3:35">
      <c r="C4454" s="19"/>
      <c r="D4454" s="19"/>
      <c r="H4454" s="105"/>
      <c r="I4454" s="126"/>
      <c r="J4454" s="11"/>
      <c r="K4454" s="108"/>
      <c r="L4454" s="11"/>
      <c r="M4454" s="105"/>
      <c r="N4454" s="105"/>
      <c r="O4454" s="11"/>
      <c r="P4454" s="11"/>
      <c r="Q4454" s="105"/>
      <c r="R4454" s="105"/>
      <c r="S4454" s="105"/>
      <c r="T4454" s="105"/>
      <c r="U4454" s="105"/>
      <c r="V4454" s="105"/>
      <c r="W4454" s="105"/>
      <c r="X4454" s="11"/>
      <c r="Y4454" s="11"/>
      <c r="Z4454" s="105"/>
      <c r="AA4454" s="11"/>
      <c r="AB4454" s="11"/>
      <c r="AC4454" s="105"/>
      <c r="AD4454" s="11" t="b">
        <v>0</v>
      </c>
      <c r="AE4454" s="105"/>
      <c r="AF4454" s="11"/>
      <c r="AG4454" s="11"/>
      <c r="AH4454" s="11"/>
      <c r="AI4454" s="11"/>
    </row>
    <row r="4455" ht="12.5" spans="3:35">
      <c r="C4455" s="19"/>
      <c r="D4455" s="19"/>
      <c r="H4455" s="105"/>
      <c r="I4455" s="126"/>
      <c r="J4455" s="11"/>
      <c r="K4455" s="108"/>
      <c r="L4455" s="11"/>
      <c r="M4455" s="105"/>
      <c r="N4455" s="105"/>
      <c r="O4455" s="11"/>
      <c r="P4455" s="11"/>
      <c r="Q4455" s="105"/>
      <c r="R4455" s="105"/>
      <c r="S4455" s="105"/>
      <c r="T4455" s="105"/>
      <c r="U4455" s="105"/>
      <c r="V4455" s="105"/>
      <c r="W4455" s="105"/>
      <c r="X4455" s="11"/>
      <c r="Y4455" s="11"/>
      <c r="Z4455" s="105"/>
      <c r="AA4455" s="11"/>
      <c r="AB4455" s="11"/>
      <c r="AC4455" s="105"/>
      <c r="AD4455" s="11" t="b">
        <v>0</v>
      </c>
      <c r="AE4455" s="105"/>
      <c r="AF4455" s="11"/>
      <c r="AG4455" s="11"/>
      <c r="AH4455" s="11"/>
      <c r="AI4455" s="11"/>
    </row>
    <row r="4456" ht="12.5" spans="3:35">
      <c r="C4456" s="19"/>
      <c r="D4456" s="19"/>
      <c r="H4456" s="105"/>
      <c r="I4456" s="126"/>
      <c r="J4456" s="11"/>
      <c r="K4456" s="108"/>
      <c r="L4456" s="11"/>
      <c r="M4456" s="105"/>
      <c r="N4456" s="105"/>
      <c r="O4456" s="11"/>
      <c r="P4456" s="11"/>
      <c r="Q4456" s="105"/>
      <c r="R4456" s="105"/>
      <c r="S4456" s="105"/>
      <c r="T4456" s="105"/>
      <c r="U4456" s="105"/>
      <c r="V4456" s="105"/>
      <c r="W4456" s="105"/>
      <c r="X4456" s="11"/>
      <c r="Y4456" s="11"/>
      <c r="Z4456" s="105"/>
      <c r="AA4456" s="11"/>
      <c r="AB4456" s="11"/>
      <c r="AC4456" s="105"/>
      <c r="AD4456" s="11" t="b">
        <v>0</v>
      </c>
      <c r="AE4456" s="105"/>
      <c r="AF4456" s="11"/>
      <c r="AG4456" s="11"/>
      <c r="AH4456" s="11"/>
      <c r="AI4456" s="11"/>
    </row>
    <row r="4457" ht="12.5" spans="3:35">
      <c r="C4457" s="19"/>
      <c r="D4457" s="19"/>
      <c r="H4457" s="105"/>
      <c r="I4457" s="126"/>
      <c r="J4457" s="11"/>
      <c r="K4457" s="108"/>
      <c r="L4457" s="11"/>
      <c r="M4457" s="105"/>
      <c r="N4457" s="105"/>
      <c r="O4457" s="11"/>
      <c r="P4457" s="11"/>
      <c r="Q4457" s="105"/>
      <c r="R4457" s="105"/>
      <c r="S4457" s="105"/>
      <c r="T4457" s="105"/>
      <c r="U4457" s="105"/>
      <c r="V4457" s="105"/>
      <c r="W4457" s="105"/>
      <c r="X4457" s="11"/>
      <c r="Y4457" s="11"/>
      <c r="Z4457" s="105"/>
      <c r="AA4457" s="11"/>
      <c r="AB4457" s="11"/>
      <c r="AC4457" s="105"/>
      <c r="AD4457" s="11" t="b">
        <v>0</v>
      </c>
      <c r="AE4457" s="105"/>
      <c r="AF4457" s="11"/>
      <c r="AG4457" s="11"/>
      <c r="AH4457" s="11"/>
      <c r="AI4457" s="11"/>
    </row>
    <row r="4458" ht="12.5" spans="3:35">
      <c r="C4458" s="19"/>
      <c r="D4458" s="19"/>
      <c r="H4458" s="105"/>
      <c r="I4458" s="126"/>
      <c r="J4458" s="11"/>
      <c r="K4458" s="108"/>
      <c r="L4458" s="11"/>
      <c r="M4458" s="105"/>
      <c r="N4458" s="105"/>
      <c r="O4458" s="11"/>
      <c r="P4458" s="11"/>
      <c r="Q4458" s="105"/>
      <c r="R4458" s="105"/>
      <c r="S4458" s="105"/>
      <c r="T4458" s="105"/>
      <c r="U4458" s="105"/>
      <c r="V4458" s="105"/>
      <c r="W4458" s="105"/>
      <c r="X4458" s="11"/>
      <c r="Y4458" s="11"/>
      <c r="Z4458" s="105"/>
      <c r="AA4458" s="11"/>
      <c r="AB4458" s="11"/>
      <c r="AC4458" s="105"/>
      <c r="AD4458" s="11" t="b">
        <v>0</v>
      </c>
      <c r="AE4458" s="105"/>
      <c r="AF4458" s="11"/>
      <c r="AG4458" s="11"/>
      <c r="AH4458" s="11"/>
      <c r="AI4458" s="11"/>
    </row>
    <row r="4459" ht="12.5" spans="3:35">
      <c r="C4459" s="19"/>
      <c r="D4459" s="19"/>
      <c r="H4459" s="105"/>
      <c r="I4459" s="126"/>
      <c r="J4459" s="11"/>
      <c r="K4459" s="108"/>
      <c r="L4459" s="11"/>
      <c r="M4459" s="105"/>
      <c r="N4459" s="105"/>
      <c r="O4459" s="11"/>
      <c r="P4459" s="11"/>
      <c r="Q4459" s="105"/>
      <c r="R4459" s="105"/>
      <c r="S4459" s="105"/>
      <c r="T4459" s="105"/>
      <c r="U4459" s="105"/>
      <c r="V4459" s="105"/>
      <c r="W4459" s="105"/>
      <c r="X4459" s="11"/>
      <c r="Y4459" s="11"/>
      <c r="Z4459" s="105"/>
      <c r="AA4459" s="11"/>
      <c r="AB4459" s="11"/>
      <c r="AC4459" s="105"/>
      <c r="AD4459" s="11" t="b">
        <v>0</v>
      </c>
      <c r="AE4459" s="105"/>
      <c r="AF4459" s="11"/>
      <c r="AG4459" s="11"/>
      <c r="AH4459" s="11"/>
      <c r="AI4459" s="11"/>
    </row>
    <row r="4460" ht="12.5" spans="3:35">
      <c r="C4460" s="19"/>
      <c r="D4460" s="19"/>
      <c r="H4460" s="105"/>
      <c r="I4460" s="126"/>
      <c r="J4460" s="11"/>
      <c r="K4460" s="108"/>
      <c r="L4460" s="11"/>
      <c r="M4460" s="105"/>
      <c r="N4460" s="105"/>
      <c r="O4460" s="11"/>
      <c r="P4460" s="11"/>
      <c r="Q4460" s="105"/>
      <c r="R4460" s="105"/>
      <c r="S4460" s="105"/>
      <c r="T4460" s="105"/>
      <c r="U4460" s="105"/>
      <c r="V4460" s="105"/>
      <c r="W4460" s="105"/>
      <c r="X4460" s="11"/>
      <c r="Y4460" s="11"/>
      <c r="Z4460" s="105"/>
      <c r="AA4460" s="11"/>
      <c r="AB4460" s="11"/>
      <c r="AC4460" s="105"/>
      <c r="AD4460" s="11" t="b">
        <v>0</v>
      </c>
      <c r="AE4460" s="105"/>
      <c r="AF4460" s="11"/>
      <c r="AG4460" s="11"/>
      <c r="AH4460" s="11"/>
      <c r="AI4460" s="11"/>
    </row>
    <row r="4461" ht="12.5" spans="3:35">
      <c r="C4461" s="19"/>
      <c r="D4461" s="19"/>
      <c r="H4461" s="105"/>
      <c r="I4461" s="126"/>
      <c r="J4461" s="11"/>
      <c r="K4461" s="108"/>
      <c r="L4461" s="11"/>
      <c r="M4461" s="105"/>
      <c r="N4461" s="105"/>
      <c r="O4461" s="11"/>
      <c r="P4461" s="11"/>
      <c r="Q4461" s="105"/>
      <c r="R4461" s="105"/>
      <c r="S4461" s="105"/>
      <c r="T4461" s="105"/>
      <c r="U4461" s="105"/>
      <c r="V4461" s="105"/>
      <c r="W4461" s="105"/>
      <c r="X4461" s="11"/>
      <c r="Y4461" s="11"/>
      <c r="Z4461" s="105"/>
      <c r="AA4461" s="11"/>
      <c r="AB4461" s="11"/>
      <c r="AC4461" s="105"/>
      <c r="AD4461" s="11" t="b">
        <v>0</v>
      </c>
      <c r="AE4461" s="105"/>
      <c r="AF4461" s="11"/>
      <c r="AG4461" s="11"/>
      <c r="AH4461" s="11"/>
      <c r="AI4461" s="11"/>
    </row>
    <row r="4462" ht="12.5" spans="3:35">
      <c r="C4462" s="19"/>
      <c r="D4462" s="19"/>
      <c r="H4462" s="105"/>
      <c r="I4462" s="126"/>
      <c r="J4462" s="11"/>
      <c r="K4462" s="108"/>
      <c r="L4462" s="11"/>
      <c r="M4462" s="105"/>
      <c r="N4462" s="105"/>
      <c r="O4462" s="11"/>
      <c r="P4462" s="11"/>
      <c r="Q4462" s="105"/>
      <c r="R4462" s="105"/>
      <c r="S4462" s="105"/>
      <c r="T4462" s="105"/>
      <c r="U4462" s="105"/>
      <c r="V4462" s="105"/>
      <c r="W4462" s="105"/>
      <c r="X4462" s="11"/>
      <c r="Y4462" s="11"/>
      <c r="Z4462" s="105"/>
      <c r="AA4462" s="11"/>
      <c r="AB4462" s="11"/>
      <c r="AC4462" s="105"/>
      <c r="AD4462" s="11" t="b">
        <v>0</v>
      </c>
      <c r="AE4462" s="105"/>
      <c r="AF4462" s="11"/>
      <c r="AG4462" s="11"/>
      <c r="AH4462" s="11"/>
      <c r="AI4462" s="11"/>
    </row>
    <row r="4463" ht="12.5" spans="3:35">
      <c r="C4463" s="19"/>
      <c r="D4463" s="19"/>
      <c r="H4463" s="105"/>
      <c r="I4463" s="126"/>
      <c r="J4463" s="11"/>
      <c r="K4463" s="108"/>
      <c r="L4463" s="11"/>
      <c r="M4463" s="105"/>
      <c r="N4463" s="105"/>
      <c r="O4463" s="11"/>
      <c r="P4463" s="11"/>
      <c r="Q4463" s="105"/>
      <c r="R4463" s="105"/>
      <c r="S4463" s="105"/>
      <c r="T4463" s="105"/>
      <c r="U4463" s="105"/>
      <c r="V4463" s="105"/>
      <c r="W4463" s="105"/>
      <c r="X4463" s="11"/>
      <c r="Y4463" s="11"/>
      <c r="Z4463" s="105"/>
      <c r="AA4463" s="11"/>
      <c r="AB4463" s="11"/>
      <c r="AC4463" s="105"/>
      <c r="AD4463" s="11" t="b">
        <v>0</v>
      </c>
      <c r="AE4463" s="105"/>
      <c r="AF4463" s="11"/>
      <c r="AG4463" s="11"/>
      <c r="AH4463" s="11"/>
      <c r="AI4463" s="11"/>
    </row>
    <row r="4464" ht="12.5" spans="3:35">
      <c r="C4464" s="19"/>
      <c r="D4464" s="19"/>
      <c r="H4464" s="105"/>
      <c r="I4464" s="126"/>
      <c r="J4464" s="11"/>
      <c r="K4464" s="108"/>
      <c r="L4464" s="11"/>
      <c r="M4464" s="105"/>
      <c r="N4464" s="105"/>
      <c r="O4464" s="11"/>
      <c r="P4464" s="11"/>
      <c r="Q4464" s="105"/>
      <c r="R4464" s="105"/>
      <c r="S4464" s="105"/>
      <c r="T4464" s="105"/>
      <c r="U4464" s="105"/>
      <c r="V4464" s="105"/>
      <c r="W4464" s="105"/>
      <c r="X4464" s="11"/>
      <c r="Y4464" s="11"/>
      <c r="Z4464" s="105"/>
      <c r="AA4464" s="11"/>
      <c r="AB4464" s="11"/>
      <c r="AC4464" s="105"/>
      <c r="AD4464" s="11" t="b">
        <v>0</v>
      </c>
      <c r="AE4464" s="105"/>
      <c r="AF4464" s="11"/>
      <c r="AG4464" s="11"/>
      <c r="AH4464" s="11"/>
      <c r="AI4464" s="11"/>
    </row>
    <row r="4465" ht="12.5" spans="3:35">
      <c r="C4465" s="19"/>
      <c r="D4465" s="19"/>
      <c r="H4465" s="105"/>
      <c r="I4465" s="126"/>
      <c r="J4465" s="11"/>
      <c r="K4465" s="108"/>
      <c r="L4465" s="11"/>
      <c r="M4465" s="105"/>
      <c r="N4465" s="105"/>
      <c r="O4465" s="11"/>
      <c r="P4465" s="11"/>
      <c r="Q4465" s="105"/>
      <c r="R4465" s="105"/>
      <c r="S4465" s="105"/>
      <c r="T4465" s="105"/>
      <c r="U4465" s="105"/>
      <c r="V4465" s="105"/>
      <c r="W4465" s="105"/>
      <c r="X4465" s="11"/>
      <c r="Y4465" s="11"/>
      <c r="Z4465" s="105"/>
      <c r="AA4465" s="11"/>
      <c r="AB4465" s="11"/>
      <c r="AC4465" s="105"/>
      <c r="AD4465" s="11" t="b">
        <v>0</v>
      </c>
      <c r="AE4465" s="105"/>
      <c r="AF4465" s="11"/>
      <c r="AG4465" s="11"/>
      <c r="AH4465" s="11"/>
      <c r="AI4465" s="11"/>
    </row>
    <row r="4466" ht="12.5" spans="3:35">
      <c r="C4466" s="19"/>
      <c r="D4466" s="19"/>
      <c r="H4466" s="105"/>
      <c r="I4466" s="126"/>
      <c r="J4466" s="11"/>
      <c r="K4466" s="108"/>
      <c r="L4466" s="11"/>
      <c r="M4466" s="105"/>
      <c r="N4466" s="105"/>
      <c r="O4466" s="11"/>
      <c r="P4466" s="11"/>
      <c r="Q4466" s="105"/>
      <c r="R4466" s="105"/>
      <c r="S4466" s="105"/>
      <c r="T4466" s="105"/>
      <c r="U4466" s="105"/>
      <c r="V4466" s="105"/>
      <c r="W4466" s="105"/>
      <c r="X4466" s="11"/>
      <c r="Y4466" s="11"/>
      <c r="Z4466" s="105"/>
      <c r="AA4466" s="11"/>
      <c r="AB4466" s="11"/>
      <c r="AC4466" s="105"/>
      <c r="AD4466" s="11" t="b">
        <v>0</v>
      </c>
      <c r="AE4466" s="105"/>
      <c r="AF4466" s="11"/>
      <c r="AG4466" s="11"/>
      <c r="AH4466" s="11"/>
      <c r="AI4466" s="11"/>
    </row>
    <row r="4467" ht="12.5" spans="3:35">
      <c r="C4467" s="19"/>
      <c r="D4467" s="19"/>
      <c r="H4467" s="105"/>
      <c r="I4467" s="126"/>
      <c r="J4467" s="11"/>
      <c r="K4467" s="108"/>
      <c r="L4467" s="11"/>
      <c r="M4467" s="105"/>
      <c r="N4467" s="105"/>
      <c r="O4467" s="11"/>
      <c r="P4467" s="11"/>
      <c r="Q4467" s="105"/>
      <c r="R4467" s="105"/>
      <c r="S4467" s="105"/>
      <c r="T4467" s="105"/>
      <c r="U4467" s="105"/>
      <c r="V4467" s="105"/>
      <c r="W4467" s="105"/>
      <c r="X4467" s="11"/>
      <c r="Y4467" s="11"/>
      <c r="Z4467" s="105"/>
      <c r="AA4467" s="11"/>
      <c r="AB4467" s="11"/>
      <c r="AC4467" s="105"/>
      <c r="AD4467" s="11" t="b">
        <v>0</v>
      </c>
      <c r="AE4467" s="105"/>
      <c r="AF4467" s="11"/>
      <c r="AG4467" s="11"/>
      <c r="AH4467" s="11"/>
      <c r="AI4467" s="11"/>
    </row>
    <row r="4468" ht="12.5" spans="3:35">
      <c r="C4468" s="19"/>
      <c r="D4468" s="19"/>
      <c r="H4468" s="105"/>
      <c r="I4468" s="126"/>
      <c r="J4468" s="11"/>
      <c r="K4468" s="108"/>
      <c r="L4468" s="11"/>
      <c r="M4468" s="105"/>
      <c r="N4468" s="105"/>
      <c r="O4468" s="11"/>
      <c r="P4468" s="11"/>
      <c r="Q4468" s="105"/>
      <c r="R4468" s="105"/>
      <c r="S4468" s="105"/>
      <c r="T4468" s="105"/>
      <c r="U4468" s="105"/>
      <c r="V4468" s="105"/>
      <c r="W4468" s="105"/>
      <c r="X4468" s="11"/>
      <c r="Y4468" s="11"/>
      <c r="Z4468" s="105"/>
      <c r="AA4468" s="11"/>
      <c r="AB4468" s="11"/>
      <c r="AC4468" s="105"/>
      <c r="AD4468" s="11" t="b">
        <v>0</v>
      </c>
      <c r="AE4468" s="105"/>
      <c r="AF4468" s="11"/>
      <c r="AG4468" s="11"/>
      <c r="AH4468" s="11"/>
      <c r="AI4468" s="11"/>
    </row>
    <row r="4469" ht="12.5" spans="3:35">
      <c r="C4469" s="19"/>
      <c r="D4469" s="19"/>
      <c r="H4469" s="105"/>
      <c r="I4469" s="126"/>
      <c r="J4469" s="11"/>
      <c r="K4469" s="108"/>
      <c r="L4469" s="11"/>
      <c r="M4469" s="105"/>
      <c r="N4469" s="105"/>
      <c r="O4469" s="11"/>
      <c r="P4469" s="11"/>
      <c r="Q4469" s="105"/>
      <c r="R4469" s="105"/>
      <c r="S4469" s="105"/>
      <c r="T4469" s="105"/>
      <c r="U4469" s="105"/>
      <c r="V4469" s="105"/>
      <c r="W4469" s="105"/>
      <c r="X4469" s="11"/>
      <c r="Y4469" s="11"/>
      <c r="Z4469" s="105"/>
      <c r="AA4469" s="11"/>
      <c r="AB4469" s="11"/>
      <c r="AC4469" s="105"/>
      <c r="AD4469" s="11" t="b">
        <v>0</v>
      </c>
      <c r="AE4469" s="105"/>
      <c r="AF4469" s="11"/>
      <c r="AG4469" s="11"/>
      <c r="AH4469" s="11"/>
      <c r="AI4469" s="11"/>
    </row>
    <row r="4470" ht="12.5" spans="3:35">
      <c r="C4470" s="19"/>
      <c r="D4470" s="19"/>
      <c r="H4470" s="105"/>
      <c r="I4470" s="126"/>
      <c r="J4470" s="11"/>
      <c r="K4470" s="108"/>
      <c r="L4470" s="11"/>
      <c r="M4470" s="105"/>
      <c r="N4470" s="105"/>
      <c r="O4470" s="11"/>
      <c r="P4470" s="11"/>
      <c r="Q4470" s="105"/>
      <c r="R4470" s="105"/>
      <c r="S4470" s="105"/>
      <c r="T4470" s="105"/>
      <c r="U4470" s="105"/>
      <c r="V4470" s="105"/>
      <c r="W4470" s="105"/>
      <c r="X4470" s="11"/>
      <c r="Y4470" s="11"/>
      <c r="Z4470" s="105"/>
      <c r="AA4470" s="11"/>
      <c r="AB4470" s="11"/>
      <c r="AC4470" s="105"/>
      <c r="AD4470" s="11" t="b">
        <v>0</v>
      </c>
      <c r="AE4470" s="105"/>
      <c r="AF4470" s="11"/>
      <c r="AG4470" s="11"/>
      <c r="AH4470" s="11"/>
      <c r="AI4470" s="11"/>
    </row>
    <row r="4471" ht="12.5" spans="3:35">
      <c r="C4471" s="19"/>
      <c r="D4471" s="19"/>
      <c r="H4471" s="105"/>
      <c r="I4471" s="126"/>
      <c r="J4471" s="11"/>
      <c r="K4471" s="108"/>
      <c r="L4471" s="11"/>
      <c r="M4471" s="105"/>
      <c r="N4471" s="105"/>
      <c r="O4471" s="11"/>
      <c r="P4471" s="11"/>
      <c r="Q4471" s="105"/>
      <c r="R4471" s="105"/>
      <c r="S4471" s="105"/>
      <c r="T4471" s="105"/>
      <c r="U4471" s="105"/>
      <c r="V4471" s="105"/>
      <c r="W4471" s="105"/>
      <c r="X4471" s="11"/>
      <c r="Y4471" s="11"/>
      <c r="Z4471" s="105"/>
      <c r="AA4471" s="11"/>
      <c r="AB4471" s="11"/>
      <c r="AC4471" s="105"/>
      <c r="AD4471" s="11" t="b">
        <v>0</v>
      </c>
      <c r="AE4471" s="105"/>
      <c r="AF4471" s="11"/>
      <c r="AG4471" s="11"/>
      <c r="AH4471" s="11"/>
      <c r="AI4471" s="11"/>
    </row>
    <row r="4472" ht="12.5" spans="3:35">
      <c r="C4472" s="19"/>
      <c r="D4472" s="19"/>
      <c r="H4472" s="105"/>
      <c r="I4472" s="126"/>
      <c r="J4472" s="11"/>
      <c r="K4472" s="108"/>
      <c r="L4472" s="11"/>
      <c r="M4472" s="105"/>
      <c r="N4472" s="105"/>
      <c r="O4472" s="11"/>
      <c r="P4472" s="11"/>
      <c r="Q4472" s="105"/>
      <c r="R4472" s="105"/>
      <c r="S4472" s="105"/>
      <c r="T4472" s="105"/>
      <c r="U4472" s="105"/>
      <c r="V4472" s="105"/>
      <c r="W4472" s="105"/>
      <c r="X4472" s="11"/>
      <c r="Y4472" s="11"/>
      <c r="Z4472" s="105"/>
      <c r="AA4472" s="11"/>
      <c r="AB4472" s="11"/>
      <c r="AC4472" s="105"/>
      <c r="AD4472" s="11" t="b">
        <v>0</v>
      </c>
      <c r="AE4472" s="105"/>
      <c r="AF4472" s="11"/>
      <c r="AG4472" s="11"/>
      <c r="AH4472" s="11"/>
      <c r="AI4472" s="11"/>
    </row>
    <row r="4473" ht="12.5" spans="3:35">
      <c r="C4473" s="19"/>
      <c r="D4473" s="19"/>
      <c r="H4473" s="105"/>
      <c r="I4473" s="126"/>
      <c r="J4473" s="11"/>
      <c r="K4473" s="108"/>
      <c r="L4473" s="11"/>
      <c r="M4473" s="105"/>
      <c r="N4473" s="105"/>
      <c r="O4473" s="11"/>
      <c r="P4473" s="11"/>
      <c r="Q4473" s="105"/>
      <c r="R4473" s="105"/>
      <c r="S4473" s="105"/>
      <c r="T4473" s="105"/>
      <c r="U4473" s="105"/>
      <c r="V4473" s="105"/>
      <c r="W4473" s="105"/>
      <c r="X4473" s="11"/>
      <c r="Y4473" s="11"/>
      <c r="Z4473" s="105"/>
      <c r="AA4473" s="11"/>
      <c r="AB4473" s="11"/>
      <c r="AC4473" s="105"/>
      <c r="AD4473" s="11" t="b">
        <v>0</v>
      </c>
      <c r="AE4473" s="105"/>
      <c r="AF4473" s="11"/>
      <c r="AG4473" s="11"/>
      <c r="AH4473" s="11"/>
      <c r="AI4473" s="11"/>
    </row>
    <row r="4474" ht="12.5" spans="3:35">
      <c r="C4474" s="19"/>
      <c r="D4474" s="19"/>
      <c r="H4474" s="105"/>
      <c r="I4474" s="126"/>
      <c r="J4474" s="11"/>
      <c r="K4474" s="108"/>
      <c r="L4474" s="11"/>
      <c r="M4474" s="105"/>
      <c r="N4474" s="105"/>
      <c r="O4474" s="11"/>
      <c r="P4474" s="11"/>
      <c r="Q4474" s="105"/>
      <c r="R4474" s="105"/>
      <c r="S4474" s="105"/>
      <c r="T4474" s="105"/>
      <c r="U4474" s="105"/>
      <c r="V4474" s="105"/>
      <c r="W4474" s="105"/>
      <c r="X4474" s="11"/>
      <c r="Y4474" s="11"/>
      <c r="Z4474" s="105"/>
      <c r="AA4474" s="11"/>
      <c r="AB4474" s="11"/>
      <c r="AC4474" s="105"/>
      <c r="AD4474" s="11" t="b">
        <v>0</v>
      </c>
      <c r="AE4474" s="105"/>
      <c r="AF4474" s="11"/>
      <c r="AG4474" s="11"/>
      <c r="AH4474" s="11"/>
      <c r="AI4474" s="11"/>
    </row>
    <row r="4475" ht="12.5" spans="3:35">
      <c r="C4475" s="19"/>
      <c r="D4475" s="19"/>
      <c r="H4475" s="105"/>
      <c r="I4475" s="126"/>
      <c r="J4475" s="11"/>
      <c r="K4475" s="108"/>
      <c r="L4475" s="11"/>
      <c r="M4475" s="105"/>
      <c r="N4475" s="105"/>
      <c r="O4475" s="11"/>
      <c r="P4475" s="11"/>
      <c r="Q4475" s="105"/>
      <c r="R4475" s="105"/>
      <c r="S4475" s="105"/>
      <c r="T4475" s="105"/>
      <c r="U4475" s="105"/>
      <c r="V4475" s="105"/>
      <c r="W4475" s="105"/>
      <c r="X4475" s="11"/>
      <c r="Y4475" s="11"/>
      <c r="Z4475" s="105"/>
      <c r="AA4475" s="11"/>
      <c r="AB4475" s="11"/>
      <c r="AC4475" s="105"/>
      <c r="AD4475" s="11" t="b">
        <v>0</v>
      </c>
      <c r="AE4475" s="105"/>
      <c r="AF4475" s="11"/>
      <c r="AG4475" s="11"/>
      <c r="AH4475" s="11"/>
      <c r="AI4475" s="11"/>
    </row>
    <row r="4476" ht="12.5" spans="3:35">
      <c r="C4476" s="19"/>
      <c r="D4476" s="19"/>
      <c r="H4476" s="105"/>
      <c r="I4476" s="126"/>
      <c r="J4476" s="11"/>
      <c r="K4476" s="108"/>
      <c r="L4476" s="11"/>
      <c r="M4476" s="105"/>
      <c r="N4476" s="105"/>
      <c r="O4476" s="11"/>
      <c r="P4476" s="11"/>
      <c r="Q4476" s="105"/>
      <c r="R4476" s="105"/>
      <c r="S4476" s="105"/>
      <c r="T4476" s="105"/>
      <c r="U4476" s="105"/>
      <c r="V4476" s="105"/>
      <c r="W4476" s="105"/>
      <c r="X4476" s="11"/>
      <c r="Y4476" s="11"/>
      <c r="Z4476" s="105"/>
      <c r="AA4476" s="11"/>
      <c r="AB4476" s="11"/>
      <c r="AC4476" s="105"/>
      <c r="AD4476" s="11" t="b">
        <v>0</v>
      </c>
      <c r="AE4476" s="105"/>
      <c r="AF4476" s="11"/>
      <c r="AG4476" s="11"/>
      <c r="AH4476" s="11"/>
      <c r="AI4476" s="11"/>
    </row>
    <row r="4477" ht="12.5" spans="3:35">
      <c r="C4477" s="19"/>
      <c r="D4477" s="19"/>
      <c r="H4477" s="105"/>
      <c r="I4477" s="126"/>
      <c r="J4477" s="11"/>
      <c r="K4477" s="108"/>
      <c r="L4477" s="11"/>
      <c r="M4477" s="105"/>
      <c r="N4477" s="105"/>
      <c r="O4477" s="11"/>
      <c r="P4477" s="11"/>
      <c r="Q4477" s="105"/>
      <c r="R4477" s="105"/>
      <c r="S4477" s="105"/>
      <c r="T4477" s="105"/>
      <c r="U4477" s="105"/>
      <c r="V4477" s="105"/>
      <c r="W4477" s="105"/>
      <c r="X4477" s="11"/>
      <c r="Y4477" s="11"/>
      <c r="Z4477" s="105"/>
      <c r="AA4477" s="11"/>
      <c r="AB4477" s="11"/>
      <c r="AC4477" s="105"/>
      <c r="AD4477" s="11" t="b">
        <v>0</v>
      </c>
      <c r="AE4477" s="105"/>
      <c r="AF4477" s="11"/>
      <c r="AG4477" s="11"/>
      <c r="AH4477" s="11"/>
      <c r="AI4477" s="11"/>
    </row>
    <row r="4478" ht="12.5" spans="3:35">
      <c r="C4478" s="19"/>
      <c r="D4478" s="19"/>
      <c r="H4478" s="105"/>
      <c r="I4478" s="126"/>
      <c r="J4478" s="11"/>
      <c r="K4478" s="108"/>
      <c r="L4478" s="11"/>
      <c r="M4478" s="105"/>
      <c r="N4478" s="105"/>
      <c r="O4478" s="11"/>
      <c r="P4478" s="11"/>
      <c r="Q4478" s="105"/>
      <c r="R4478" s="105"/>
      <c r="S4478" s="105"/>
      <c r="T4478" s="105"/>
      <c r="U4478" s="105"/>
      <c r="V4478" s="105"/>
      <c r="W4478" s="105"/>
      <c r="X4478" s="11"/>
      <c r="Y4478" s="11"/>
      <c r="Z4478" s="105"/>
      <c r="AA4478" s="11"/>
      <c r="AB4478" s="11"/>
      <c r="AC4478" s="105"/>
      <c r="AD4478" s="11" t="b">
        <v>0</v>
      </c>
      <c r="AE4478" s="105"/>
      <c r="AF4478" s="11"/>
      <c r="AG4478" s="11"/>
      <c r="AH4478" s="11"/>
      <c r="AI4478" s="11"/>
    </row>
    <row r="4479" ht="12.5" spans="3:35">
      <c r="C4479" s="19"/>
      <c r="D4479" s="19"/>
      <c r="H4479" s="105"/>
      <c r="I4479" s="126"/>
      <c r="J4479" s="11"/>
      <c r="K4479" s="108"/>
      <c r="L4479" s="11"/>
      <c r="M4479" s="105"/>
      <c r="N4479" s="105"/>
      <c r="O4479" s="11"/>
      <c r="P4479" s="11"/>
      <c r="Q4479" s="105"/>
      <c r="R4479" s="105"/>
      <c r="S4479" s="105"/>
      <c r="T4479" s="105"/>
      <c r="U4479" s="105"/>
      <c r="V4479" s="105"/>
      <c r="W4479" s="105"/>
      <c r="X4479" s="11"/>
      <c r="Y4479" s="11"/>
      <c r="Z4479" s="105"/>
      <c r="AA4479" s="11"/>
      <c r="AB4479" s="11"/>
      <c r="AC4479" s="105"/>
      <c r="AD4479" s="11" t="b">
        <v>0</v>
      </c>
      <c r="AE4479" s="105"/>
      <c r="AF4479" s="11"/>
      <c r="AG4479" s="11"/>
      <c r="AH4479" s="11"/>
      <c r="AI4479" s="11"/>
    </row>
    <row r="4480" ht="12.5" spans="3:35">
      <c r="C4480" s="19"/>
      <c r="D4480" s="19"/>
      <c r="H4480" s="105"/>
      <c r="I4480" s="126"/>
      <c r="J4480" s="11"/>
      <c r="K4480" s="108"/>
      <c r="L4480" s="11"/>
      <c r="M4480" s="105"/>
      <c r="N4480" s="105"/>
      <c r="O4480" s="11"/>
      <c r="P4480" s="11"/>
      <c r="Q4480" s="105"/>
      <c r="R4480" s="105"/>
      <c r="S4480" s="105"/>
      <c r="T4480" s="105"/>
      <c r="U4480" s="105"/>
      <c r="V4480" s="105"/>
      <c r="W4480" s="105"/>
      <c r="X4480" s="11"/>
      <c r="Y4480" s="11"/>
      <c r="Z4480" s="105"/>
      <c r="AA4480" s="11"/>
      <c r="AB4480" s="11"/>
      <c r="AC4480" s="105"/>
      <c r="AD4480" s="11" t="b">
        <v>0</v>
      </c>
      <c r="AE4480" s="105"/>
      <c r="AF4480" s="11"/>
      <c r="AG4480" s="11"/>
      <c r="AH4480" s="11"/>
      <c r="AI4480" s="11"/>
    </row>
    <row r="4481" ht="12.5" spans="3:35">
      <c r="C4481" s="19"/>
      <c r="D4481" s="19"/>
      <c r="H4481" s="105"/>
      <c r="I4481" s="126"/>
      <c r="J4481" s="11"/>
      <c r="K4481" s="108"/>
      <c r="L4481" s="11"/>
      <c r="M4481" s="105"/>
      <c r="N4481" s="105"/>
      <c r="O4481" s="11"/>
      <c r="P4481" s="11"/>
      <c r="Q4481" s="105"/>
      <c r="R4481" s="105"/>
      <c r="S4481" s="105"/>
      <c r="T4481" s="105"/>
      <c r="U4481" s="105"/>
      <c r="V4481" s="105"/>
      <c r="W4481" s="105"/>
      <c r="X4481" s="11"/>
      <c r="Y4481" s="11"/>
      <c r="Z4481" s="105"/>
      <c r="AA4481" s="11"/>
      <c r="AB4481" s="11"/>
      <c r="AC4481" s="105"/>
      <c r="AD4481" s="11" t="b">
        <v>0</v>
      </c>
      <c r="AE4481" s="105"/>
      <c r="AF4481" s="11"/>
      <c r="AG4481" s="11"/>
      <c r="AH4481" s="11"/>
      <c r="AI4481" s="11"/>
    </row>
    <row r="4482" ht="12.5" spans="3:35">
      <c r="C4482" s="19"/>
      <c r="D4482" s="19"/>
      <c r="H4482" s="105"/>
      <c r="I4482" s="126"/>
      <c r="J4482" s="11"/>
      <c r="K4482" s="108"/>
      <c r="L4482" s="11"/>
      <c r="M4482" s="105"/>
      <c r="N4482" s="105"/>
      <c r="O4482" s="11"/>
      <c r="P4482" s="11"/>
      <c r="Q4482" s="105"/>
      <c r="R4482" s="105"/>
      <c r="S4482" s="105"/>
      <c r="T4482" s="105"/>
      <c r="U4482" s="105"/>
      <c r="V4482" s="105"/>
      <c r="W4482" s="105"/>
      <c r="X4482" s="11"/>
      <c r="Y4482" s="11"/>
      <c r="Z4482" s="105"/>
      <c r="AA4482" s="11"/>
      <c r="AB4482" s="11"/>
      <c r="AC4482" s="105"/>
      <c r="AD4482" s="11" t="b">
        <v>0</v>
      </c>
      <c r="AE4482" s="105"/>
      <c r="AF4482" s="11"/>
      <c r="AG4482" s="11"/>
      <c r="AH4482" s="11"/>
      <c r="AI4482" s="11"/>
    </row>
    <row r="4483" ht="12.5" spans="3:35">
      <c r="C4483" s="19"/>
      <c r="D4483" s="19"/>
      <c r="H4483" s="105"/>
      <c r="I4483" s="126"/>
      <c r="J4483" s="11"/>
      <c r="K4483" s="108"/>
      <c r="L4483" s="11"/>
      <c r="M4483" s="105"/>
      <c r="N4483" s="105"/>
      <c r="O4483" s="11"/>
      <c r="P4483" s="11"/>
      <c r="Q4483" s="105"/>
      <c r="R4483" s="105"/>
      <c r="S4483" s="105"/>
      <c r="T4483" s="105"/>
      <c r="U4483" s="105"/>
      <c r="V4483" s="105"/>
      <c r="W4483" s="105"/>
      <c r="X4483" s="11"/>
      <c r="Y4483" s="11"/>
      <c r="Z4483" s="105"/>
      <c r="AA4483" s="11"/>
      <c r="AB4483" s="11"/>
      <c r="AC4483" s="105"/>
      <c r="AD4483" s="11" t="b">
        <v>0</v>
      </c>
      <c r="AE4483" s="105"/>
      <c r="AF4483" s="11"/>
      <c r="AG4483" s="11"/>
      <c r="AH4483" s="11"/>
      <c r="AI4483" s="11"/>
    </row>
    <row r="4484" ht="12.5" spans="3:35">
      <c r="C4484" s="19"/>
      <c r="D4484" s="19"/>
      <c r="H4484" s="105"/>
      <c r="I4484" s="126"/>
      <c r="J4484" s="11"/>
      <c r="K4484" s="108"/>
      <c r="L4484" s="11"/>
      <c r="M4484" s="105"/>
      <c r="N4484" s="105"/>
      <c r="O4484" s="11"/>
      <c r="P4484" s="11"/>
      <c r="Q4484" s="105"/>
      <c r="R4484" s="105"/>
      <c r="S4484" s="105"/>
      <c r="T4484" s="105"/>
      <c r="U4484" s="105"/>
      <c r="V4484" s="105"/>
      <c r="W4484" s="105"/>
      <c r="X4484" s="11"/>
      <c r="Y4484" s="11"/>
      <c r="Z4484" s="105"/>
      <c r="AA4484" s="11"/>
      <c r="AB4484" s="11"/>
      <c r="AC4484" s="105"/>
      <c r="AD4484" s="11" t="b">
        <v>0</v>
      </c>
      <c r="AE4484" s="105"/>
      <c r="AF4484" s="11"/>
      <c r="AG4484" s="11"/>
      <c r="AH4484" s="11"/>
      <c r="AI4484" s="11"/>
    </row>
    <row r="4485" ht="12.5" spans="3:35">
      <c r="C4485" s="19"/>
      <c r="D4485" s="19"/>
      <c r="H4485" s="105"/>
      <c r="I4485" s="126"/>
      <c r="J4485" s="11"/>
      <c r="K4485" s="108"/>
      <c r="L4485" s="11"/>
      <c r="M4485" s="105"/>
      <c r="N4485" s="105"/>
      <c r="O4485" s="11"/>
      <c r="P4485" s="11"/>
      <c r="Q4485" s="105"/>
      <c r="R4485" s="105"/>
      <c r="S4485" s="105"/>
      <c r="T4485" s="105"/>
      <c r="U4485" s="105"/>
      <c r="V4485" s="105"/>
      <c r="W4485" s="105"/>
      <c r="X4485" s="11"/>
      <c r="Y4485" s="11"/>
      <c r="Z4485" s="105"/>
      <c r="AA4485" s="11"/>
      <c r="AB4485" s="11"/>
      <c r="AC4485" s="105"/>
      <c r="AD4485" s="11" t="b">
        <v>0</v>
      </c>
      <c r="AE4485" s="105"/>
      <c r="AF4485" s="11"/>
      <c r="AG4485" s="11"/>
      <c r="AH4485" s="11"/>
      <c r="AI4485" s="11"/>
    </row>
    <row r="4486" ht="12.5" spans="3:35">
      <c r="C4486" s="19"/>
      <c r="D4486" s="19"/>
      <c r="H4486" s="105"/>
      <c r="I4486" s="126"/>
      <c r="J4486" s="11"/>
      <c r="K4486" s="108"/>
      <c r="L4486" s="11"/>
      <c r="M4486" s="105"/>
      <c r="N4486" s="105"/>
      <c r="O4486" s="11"/>
      <c r="P4486" s="11"/>
      <c r="Q4486" s="105"/>
      <c r="R4486" s="105"/>
      <c r="S4486" s="105"/>
      <c r="T4486" s="105"/>
      <c r="U4486" s="105"/>
      <c r="V4486" s="105"/>
      <c r="W4486" s="105"/>
      <c r="X4486" s="11"/>
      <c r="Y4486" s="11"/>
      <c r="Z4486" s="105"/>
      <c r="AA4486" s="11"/>
      <c r="AB4486" s="11"/>
      <c r="AC4486" s="105"/>
      <c r="AD4486" s="11" t="b">
        <v>0</v>
      </c>
      <c r="AE4486" s="105"/>
      <c r="AF4486" s="11"/>
      <c r="AG4486" s="11"/>
      <c r="AH4486" s="11"/>
      <c r="AI4486" s="11"/>
    </row>
    <row r="4487" ht="12.5" spans="3:35">
      <c r="C4487" s="19"/>
      <c r="D4487" s="19"/>
      <c r="H4487" s="105"/>
      <c r="I4487" s="126"/>
      <c r="J4487" s="11"/>
      <c r="K4487" s="108"/>
      <c r="L4487" s="11"/>
      <c r="M4487" s="105"/>
      <c r="N4487" s="105"/>
      <c r="O4487" s="11"/>
      <c r="P4487" s="11"/>
      <c r="Q4487" s="105"/>
      <c r="R4487" s="105"/>
      <c r="S4487" s="105"/>
      <c r="T4487" s="105"/>
      <c r="U4487" s="105"/>
      <c r="V4487" s="105"/>
      <c r="W4487" s="105"/>
      <c r="X4487" s="11"/>
      <c r="Y4487" s="11"/>
      <c r="Z4487" s="105"/>
      <c r="AA4487" s="11"/>
      <c r="AB4487" s="11"/>
      <c r="AC4487" s="105"/>
      <c r="AD4487" s="11" t="b">
        <v>0</v>
      </c>
      <c r="AE4487" s="105"/>
      <c r="AF4487" s="11"/>
      <c r="AG4487" s="11"/>
      <c r="AH4487" s="11"/>
      <c r="AI4487" s="11"/>
    </row>
    <row r="4488" ht="12.5" spans="3:35">
      <c r="C4488" s="19"/>
      <c r="D4488" s="19"/>
      <c r="H4488" s="105"/>
      <c r="I4488" s="126"/>
      <c r="J4488" s="11"/>
      <c r="K4488" s="108"/>
      <c r="L4488" s="11"/>
      <c r="M4488" s="105"/>
      <c r="N4488" s="105"/>
      <c r="O4488" s="11"/>
      <c r="P4488" s="11"/>
      <c r="Q4488" s="105"/>
      <c r="R4488" s="105"/>
      <c r="S4488" s="105"/>
      <c r="T4488" s="105"/>
      <c r="U4488" s="105"/>
      <c r="V4488" s="105"/>
      <c r="W4488" s="105"/>
      <c r="X4488" s="11"/>
      <c r="Y4488" s="11"/>
      <c r="Z4488" s="105"/>
      <c r="AA4488" s="11"/>
      <c r="AB4488" s="11"/>
      <c r="AC4488" s="105"/>
      <c r="AD4488" s="11" t="b">
        <v>0</v>
      </c>
      <c r="AE4488" s="105"/>
      <c r="AF4488" s="11"/>
      <c r="AG4488" s="11"/>
      <c r="AH4488" s="11"/>
      <c r="AI4488" s="11"/>
    </row>
    <row r="4489" ht="12.5" spans="3:35">
      <c r="C4489" s="19"/>
      <c r="D4489" s="19"/>
      <c r="H4489" s="105"/>
      <c r="I4489" s="126"/>
      <c r="J4489" s="11"/>
      <c r="K4489" s="108"/>
      <c r="L4489" s="11"/>
      <c r="M4489" s="105"/>
      <c r="N4489" s="105"/>
      <c r="O4489" s="11"/>
      <c r="P4489" s="11"/>
      <c r="Q4489" s="105"/>
      <c r="R4489" s="105"/>
      <c r="S4489" s="105"/>
      <c r="T4489" s="105"/>
      <c r="U4489" s="105"/>
      <c r="V4489" s="105"/>
      <c r="W4489" s="105"/>
      <c r="X4489" s="11"/>
      <c r="Y4489" s="11"/>
      <c r="Z4489" s="105"/>
      <c r="AA4489" s="11"/>
      <c r="AB4489" s="11"/>
      <c r="AC4489" s="105"/>
      <c r="AD4489" s="11" t="b">
        <v>0</v>
      </c>
      <c r="AE4489" s="105"/>
      <c r="AF4489" s="11"/>
      <c r="AG4489" s="11"/>
      <c r="AH4489" s="11"/>
      <c r="AI4489" s="11"/>
    </row>
    <row r="4490" ht="12.5" spans="3:35">
      <c r="C4490" s="19"/>
      <c r="D4490" s="19"/>
      <c r="H4490" s="105"/>
      <c r="I4490" s="126"/>
      <c r="J4490" s="11"/>
      <c r="K4490" s="108"/>
      <c r="L4490" s="11"/>
      <c r="M4490" s="105"/>
      <c r="N4490" s="105"/>
      <c r="O4490" s="11"/>
      <c r="P4490" s="11"/>
      <c r="Q4490" s="105"/>
      <c r="R4490" s="105"/>
      <c r="S4490" s="105"/>
      <c r="T4490" s="105"/>
      <c r="U4490" s="105"/>
      <c r="V4490" s="105"/>
      <c r="W4490" s="105"/>
      <c r="X4490" s="11"/>
      <c r="Y4490" s="11"/>
      <c r="Z4490" s="105"/>
      <c r="AA4490" s="11"/>
      <c r="AB4490" s="11"/>
      <c r="AC4490" s="105"/>
      <c r="AD4490" s="11" t="b">
        <v>0</v>
      </c>
      <c r="AE4490" s="105"/>
      <c r="AF4490" s="11"/>
      <c r="AG4490" s="11"/>
      <c r="AH4490" s="11"/>
      <c r="AI4490" s="11"/>
    </row>
    <row r="4491" ht="12.5" spans="3:35">
      <c r="C4491" s="19"/>
      <c r="D4491" s="19"/>
      <c r="H4491" s="105"/>
      <c r="I4491" s="126"/>
      <c r="J4491" s="11"/>
      <c r="K4491" s="108"/>
      <c r="L4491" s="11"/>
      <c r="M4491" s="105"/>
      <c r="N4491" s="105"/>
      <c r="O4491" s="11"/>
      <c r="P4491" s="11"/>
      <c r="Q4491" s="105"/>
      <c r="R4491" s="105"/>
      <c r="S4491" s="105"/>
      <c r="T4491" s="105"/>
      <c r="U4491" s="105"/>
      <c r="V4491" s="105"/>
      <c r="W4491" s="105"/>
      <c r="X4491" s="11"/>
      <c r="Y4491" s="11"/>
      <c r="Z4491" s="105"/>
      <c r="AA4491" s="11"/>
      <c r="AB4491" s="11"/>
      <c r="AC4491" s="105"/>
      <c r="AD4491" s="11" t="b">
        <v>0</v>
      </c>
      <c r="AE4491" s="105"/>
      <c r="AF4491" s="11"/>
      <c r="AG4491" s="11"/>
      <c r="AH4491" s="11"/>
      <c r="AI4491" s="11"/>
    </row>
    <row r="4492" ht="12.5" spans="3:35">
      <c r="C4492" s="19"/>
      <c r="D4492" s="19"/>
      <c r="H4492" s="105"/>
      <c r="I4492" s="126"/>
      <c r="J4492" s="11"/>
      <c r="K4492" s="108"/>
      <c r="L4492" s="11"/>
      <c r="M4492" s="105"/>
      <c r="N4492" s="105"/>
      <c r="O4492" s="11"/>
      <c r="P4492" s="11"/>
      <c r="Q4492" s="105"/>
      <c r="R4492" s="105"/>
      <c r="S4492" s="105"/>
      <c r="T4492" s="105"/>
      <c r="U4492" s="105"/>
      <c r="V4492" s="105"/>
      <c r="W4492" s="105"/>
      <c r="X4492" s="11"/>
      <c r="Y4492" s="11"/>
      <c r="Z4492" s="105"/>
      <c r="AA4492" s="11"/>
      <c r="AB4492" s="11"/>
      <c r="AC4492" s="105"/>
      <c r="AD4492" s="11" t="b">
        <v>0</v>
      </c>
      <c r="AE4492" s="105"/>
      <c r="AF4492" s="11"/>
      <c r="AG4492" s="11"/>
      <c r="AH4492" s="11"/>
      <c r="AI4492" s="11"/>
    </row>
    <row r="4493" ht="12.5" spans="3:35">
      <c r="C4493" s="19"/>
      <c r="D4493" s="19"/>
      <c r="H4493" s="105"/>
      <c r="I4493" s="126"/>
      <c r="J4493" s="11"/>
      <c r="K4493" s="108"/>
      <c r="L4493" s="11"/>
      <c r="M4493" s="105"/>
      <c r="N4493" s="105"/>
      <c r="O4493" s="11"/>
      <c r="P4493" s="11"/>
      <c r="Q4493" s="105"/>
      <c r="R4493" s="105"/>
      <c r="S4493" s="105"/>
      <c r="T4493" s="105"/>
      <c r="U4493" s="105"/>
      <c r="V4493" s="105"/>
      <c r="W4493" s="105"/>
      <c r="X4493" s="11"/>
      <c r="Y4493" s="11"/>
      <c r="Z4493" s="105"/>
      <c r="AA4493" s="11"/>
      <c r="AB4493" s="11"/>
      <c r="AC4493" s="105"/>
      <c r="AD4493" s="11" t="b">
        <v>0</v>
      </c>
      <c r="AE4493" s="105"/>
      <c r="AF4493" s="11"/>
      <c r="AG4493" s="11"/>
      <c r="AH4493" s="11"/>
      <c r="AI4493" s="11"/>
    </row>
    <row r="4494" ht="12.5" spans="3:35">
      <c r="C4494" s="19"/>
      <c r="D4494" s="19"/>
      <c r="H4494" s="105"/>
      <c r="I4494" s="126"/>
      <c r="J4494" s="11"/>
      <c r="K4494" s="108"/>
      <c r="L4494" s="11"/>
      <c r="M4494" s="105"/>
      <c r="N4494" s="105"/>
      <c r="O4494" s="11"/>
      <c r="P4494" s="11"/>
      <c r="Q4494" s="105"/>
      <c r="R4494" s="105"/>
      <c r="S4494" s="105"/>
      <c r="T4494" s="105"/>
      <c r="U4494" s="105"/>
      <c r="V4494" s="105"/>
      <c r="W4494" s="105"/>
      <c r="X4494" s="11"/>
      <c r="Y4494" s="11"/>
      <c r="Z4494" s="105"/>
      <c r="AA4494" s="11"/>
      <c r="AB4494" s="11"/>
      <c r="AC4494" s="105"/>
      <c r="AD4494" s="11" t="b">
        <v>0</v>
      </c>
      <c r="AE4494" s="105"/>
      <c r="AF4494" s="11"/>
      <c r="AG4494" s="11"/>
      <c r="AH4494" s="11"/>
      <c r="AI4494" s="11"/>
    </row>
    <row r="4495" ht="12.5" spans="3:35">
      <c r="C4495" s="19"/>
      <c r="D4495" s="19"/>
      <c r="H4495" s="105"/>
      <c r="I4495" s="126"/>
      <c r="J4495" s="11"/>
      <c r="K4495" s="108"/>
      <c r="L4495" s="11"/>
      <c r="M4495" s="105"/>
      <c r="N4495" s="105"/>
      <c r="O4495" s="11"/>
      <c r="P4495" s="11"/>
      <c r="Q4495" s="105"/>
      <c r="R4495" s="105"/>
      <c r="S4495" s="105"/>
      <c r="T4495" s="105"/>
      <c r="U4495" s="105"/>
      <c r="V4495" s="105"/>
      <c r="W4495" s="105"/>
      <c r="X4495" s="11"/>
      <c r="Y4495" s="11"/>
      <c r="Z4495" s="105"/>
      <c r="AA4495" s="11"/>
      <c r="AB4495" s="11"/>
      <c r="AC4495" s="105"/>
      <c r="AD4495" s="11" t="b">
        <v>0</v>
      </c>
      <c r="AE4495" s="105"/>
      <c r="AF4495" s="11"/>
      <c r="AG4495" s="11"/>
      <c r="AH4495" s="11"/>
      <c r="AI4495" s="11"/>
    </row>
    <row r="4496" ht="12.5" spans="3:35">
      <c r="C4496" s="19"/>
      <c r="D4496" s="19"/>
      <c r="H4496" s="105"/>
      <c r="I4496" s="126"/>
      <c r="J4496" s="11"/>
      <c r="K4496" s="108"/>
      <c r="L4496" s="11"/>
      <c r="M4496" s="105"/>
      <c r="N4496" s="105"/>
      <c r="O4496" s="11"/>
      <c r="P4496" s="11"/>
      <c r="Q4496" s="105"/>
      <c r="R4496" s="105"/>
      <c r="S4496" s="105"/>
      <c r="T4496" s="105"/>
      <c r="U4496" s="105"/>
      <c r="V4496" s="105"/>
      <c r="W4496" s="105"/>
      <c r="X4496" s="11"/>
      <c r="Y4496" s="11"/>
      <c r="Z4496" s="105"/>
      <c r="AA4496" s="11"/>
      <c r="AB4496" s="11"/>
      <c r="AC4496" s="105"/>
      <c r="AD4496" s="11" t="b">
        <v>0</v>
      </c>
      <c r="AE4496" s="105"/>
      <c r="AF4496" s="11"/>
      <c r="AG4496" s="11"/>
      <c r="AH4496" s="11"/>
      <c r="AI4496" s="11"/>
    </row>
    <row r="4497" ht="12.5" spans="3:35">
      <c r="C4497" s="19"/>
      <c r="D4497" s="19"/>
      <c r="H4497" s="105"/>
      <c r="I4497" s="126"/>
      <c r="J4497" s="11"/>
      <c r="K4497" s="108"/>
      <c r="L4497" s="11"/>
      <c r="M4497" s="105"/>
      <c r="N4497" s="105"/>
      <c r="O4497" s="11"/>
      <c r="P4497" s="11"/>
      <c r="Q4497" s="105"/>
      <c r="R4497" s="105"/>
      <c r="S4497" s="105"/>
      <c r="T4497" s="105"/>
      <c r="U4497" s="105"/>
      <c r="V4497" s="105"/>
      <c r="W4497" s="105"/>
      <c r="X4497" s="11"/>
      <c r="Y4497" s="11"/>
      <c r="Z4497" s="105"/>
      <c r="AA4497" s="11"/>
      <c r="AB4497" s="11"/>
      <c r="AC4497" s="105"/>
      <c r="AD4497" s="11" t="b">
        <v>0</v>
      </c>
      <c r="AE4497" s="105"/>
      <c r="AF4497" s="11"/>
      <c r="AG4497" s="11"/>
      <c r="AH4497" s="11"/>
      <c r="AI4497" s="11"/>
    </row>
    <row r="4498" ht="12.5" spans="3:35">
      <c r="C4498" s="19"/>
      <c r="D4498" s="19"/>
      <c r="H4498" s="105"/>
      <c r="I4498" s="126"/>
      <c r="J4498" s="11"/>
      <c r="K4498" s="108"/>
      <c r="L4498" s="11"/>
      <c r="M4498" s="105"/>
      <c r="N4498" s="105"/>
      <c r="O4498" s="11"/>
      <c r="P4498" s="11"/>
      <c r="Q4498" s="105"/>
      <c r="R4498" s="105"/>
      <c r="S4498" s="105"/>
      <c r="T4498" s="105"/>
      <c r="U4498" s="105"/>
      <c r="V4498" s="105"/>
      <c r="W4498" s="105"/>
      <c r="X4498" s="11"/>
      <c r="Y4498" s="11"/>
      <c r="Z4498" s="105"/>
      <c r="AA4498" s="11"/>
      <c r="AB4498" s="11"/>
      <c r="AC4498" s="105"/>
      <c r="AD4498" s="11" t="b">
        <v>0</v>
      </c>
      <c r="AE4498" s="105"/>
      <c r="AF4498" s="11"/>
      <c r="AG4498" s="11"/>
      <c r="AH4498" s="11"/>
      <c r="AI4498" s="11"/>
    </row>
    <row r="4499" ht="12.5" spans="3:35">
      <c r="C4499" s="19"/>
      <c r="D4499" s="19"/>
      <c r="H4499" s="105"/>
      <c r="I4499" s="126"/>
      <c r="J4499" s="11"/>
      <c r="K4499" s="108"/>
      <c r="L4499" s="11"/>
      <c r="M4499" s="105"/>
      <c r="N4499" s="105"/>
      <c r="O4499" s="11"/>
      <c r="P4499" s="11"/>
      <c r="Q4499" s="105"/>
      <c r="R4499" s="105"/>
      <c r="S4499" s="105"/>
      <c r="T4499" s="105"/>
      <c r="U4499" s="105"/>
      <c r="V4499" s="105"/>
      <c r="W4499" s="105"/>
      <c r="X4499" s="11"/>
      <c r="Y4499" s="11"/>
      <c r="Z4499" s="105"/>
      <c r="AA4499" s="11"/>
      <c r="AB4499" s="11"/>
      <c r="AC4499" s="105"/>
      <c r="AD4499" s="11" t="b">
        <v>0</v>
      </c>
      <c r="AE4499" s="105"/>
      <c r="AF4499" s="11"/>
      <c r="AG4499" s="11"/>
      <c r="AH4499" s="11"/>
      <c r="AI4499" s="11"/>
    </row>
    <row r="4500" ht="12.5" spans="3:35">
      <c r="C4500" s="19"/>
      <c r="D4500" s="19"/>
      <c r="H4500" s="105"/>
      <c r="I4500" s="126"/>
      <c r="J4500" s="11"/>
      <c r="K4500" s="108"/>
      <c r="L4500" s="11"/>
      <c r="M4500" s="105"/>
      <c r="N4500" s="105"/>
      <c r="O4500" s="11"/>
      <c r="P4500" s="11"/>
      <c r="Q4500" s="105"/>
      <c r="R4500" s="105"/>
      <c r="S4500" s="105"/>
      <c r="T4500" s="105"/>
      <c r="U4500" s="105"/>
      <c r="V4500" s="105"/>
      <c r="W4500" s="105"/>
      <c r="X4500" s="11"/>
      <c r="Y4500" s="11"/>
      <c r="Z4500" s="105"/>
      <c r="AA4500" s="11"/>
      <c r="AB4500" s="11"/>
      <c r="AC4500" s="105"/>
      <c r="AD4500" s="11" t="b">
        <v>0</v>
      </c>
      <c r="AE4500" s="105"/>
      <c r="AF4500" s="11"/>
      <c r="AG4500" s="11"/>
      <c r="AH4500" s="11"/>
      <c r="AI4500" s="11"/>
    </row>
    <row r="4501" ht="12.5" spans="3:35">
      <c r="C4501" s="19"/>
      <c r="D4501" s="19"/>
      <c r="H4501" s="105"/>
      <c r="I4501" s="126"/>
      <c r="J4501" s="11"/>
      <c r="K4501" s="108"/>
      <c r="L4501" s="11"/>
      <c r="M4501" s="105"/>
      <c r="N4501" s="105"/>
      <c r="O4501" s="11"/>
      <c r="P4501" s="11"/>
      <c r="Q4501" s="105"/>
      <c r="R4501" s="105"/>
      <c r="S4501" s="105"/>
      <c r="T4501" s="105"/>
      <c r="U4501" s="105"/>
      <c r="V4501" s="105"/>
      <c r="W4501" s="105"/>
      <c r="X4501" s="11"/>
      <c r="Y4501" s="11"/>
      <c r="Z4501" s="105"/>
      <c r="AA4501" s="11"/>
      <c r="AB4501" s="11"/>
      <c r="AC4501" s="105"/>
      <c r="AD4501" s="11" t="b">
        <v>0</v>
      </c>
      <c r="AE4501" s="105"/>
      <c r="AF4501" s="11"/>
      <c r="AG4501" s="11"/>
      <c r="AH4501" s="11"/>
      <c r="AI4501" s="11"/>
    </row>
    <row r="4502" ht="12.5" spans="3:35">
      <c r="C4502" s="19"/>
      <c r="D4502" s="19"/>
      <c r="H4502" s="105"/>
      <c r="I4502" s="126"/>
      <c r="J4502" s="11"/>
      <c r="K4502" s="108"/>
      <c r="L4502" s="11"/>
      <c r="M4502" s="105"/>
      <c r="N4502" s="105"/>
      <c r="O4502" s="11"/>
      <c r="P4502" s="11"/>
      <c r="Q4502" s="105"/>
      <c r="R4502" s="105"/>
      <c r="S4502" s="105"/>
      <c r="T4502" s="105"/>
      <c r="U4502" s="105"/>
      <c r="V4502" s="105"/>
      <c r="W4502" s="105"/>
      <c r="X4502" s="11"/>
      <c r="Y4502" s="11"/>
      <c r="Z4502" s="105"/>
      <c r="AA4502" s="11"/>
      <c r="AB4502" s="11"/>
      <c r="AC4502" s="105"/>
      <c r="AD4502" s="11" t="b">
        <v>0</v>
      </c>
      <c r="AE4502" s="105"/>
      <c r="AF4502" s="11"/>
      <c r="AG4502" s="11"/>
      <c r="AH4502" s="11"/>
      <c r="AI4502" s="11"/>
    </row>
    <row r="4503" ht="12.5" spans="3:35">
      <c r="C4503" s="19"/>
      <c r="D4503" s="19"/>
      <c r="H4503" s="105"/>
      <c r="I4503" s="126"/>
      <c r="J4503" s="11"/>
      <c r="K4503" s="108"/>
      <c r="L4503" s="11"/>
      <c r="M4503" s="105"/>
      <c r="N4503" s="105"/>
      <c r="O4503" s="11"/>
      <c r="P4503" s="11"/>
      <c r="Q4503" s="105"/>
      <c r="R4503" s="105"/>
      <c r="S4503" s="105"/>
      <c r="T4503" s="105"/>
      <c r="U4503" s="105"/>
      <c r="V4503" s="105"/>
      <c r="W4503" s="105"/>
      <c r="X4503" s="11"/>
      <c r="Y4503" s="11"/>
      <c r="Z4503" s="105"/>
      <c r="AA4503" s="11"/>
      <c r="AB4503" s="11"/>
      <c r="AC4503" s="105"/>
      <c r="AD4503" s="11" t="b">
        <v>0</v>
      </c>
      <c r="AE4503" s="105"/>
      <c r="AF4503" s="11"/>
      <c r="AG4503" s="11"/>
      <c r="AH4503" s="11"/>
      <c r="AI4503" s="11"/>
    </row>
    <row r="4504" ht="12.5" spans="3:35">
      <c r="C4504" s="19"/>
      <c r="D4504" s="19"/>
      <c r="H4504" s="105"/>
      <c r="I4504" s="126"/>
      <c r="J4504" s="11"/>
      <c r="K4504" s="108"/>
      <c r="L4504" s="11"/>
      <c r="M4504" s="105"/>
      <c r="N4504" s="105"/>
      <c r="O4504" s="11"/>
      <c r="P4504" s="11"/>
      <c r="Q4504" s="105"/>
      <c r="R4504" s="105"/>
      <c r="S4504" s="105"/>
      <c r="T4504" s="105"/>
      <c r="U4504" s="105"/>
      <c r="V4504" s="105"/>
      <c r="W4504" s="105"/>
      <c r="X4504" s="11"/>
      <c r="Y4504" s="11"/>
      <c r="Z4504" s="105"/>
      <c r="AA4504" s="11"/>
      <c r="AB4504" s="11"/>
      <c r="AC4504" s="105"/>
      <c r="AD4504" s="11" t="b">
        <v>0</v>
      </c>
      <c r="AE4504" s="105"/>
      <c r="AF4504" s="11"/>
      <c r="AG4504" s="11"/>
      <c r="AH4504" s="11"/>
      <c r="AI4504" s="11"/>
    </row>
    <row r="4505" ht="12.5" spans="3:35">
      <c r="C4505" s="19"/>
      <c r="D4505" s="19"/>
      <c r="H4505" s="105"/>
      <c r="I4505" s="126"/>
      <c r="J4505" s="11"/>
      <c r="K4505" s="108"/>
      <c r="L4505" s="11"/>
      <c r="M4505" s="105"/>
      <c r="N4505" s="105"/>
      <c r="O4505" s="11"/>
      <c r="P4505" s="11"/>
      <c r="Q4505" s="105"/>
      <c r="R4505" s="105"/>
      <c r="S4505" s="105"/>
      <c r="T4505" s="105"/>
      <c r="U4505" s="105"/>
      <c r="V4505" s="105"/>
      <c r="W4505" s="105"/>
      <c r="X4505" s="11"/>
      <c r="Y4505" s="11"/>
      <c r="Z4505" s="105"/>
      <c r="AA4505" s="11"/>
      <c r="AB4505" s="11"/>
      <c r="AC4505" s="105"/>
      <c r="AD4505" s="11" t="b">
        <v>0</v>
      </c>
      <c r="AE4505" s="105"/>
      <c r="AF4505" s="11"/>
      <c r="AG4505" s="11"/>
      <c r="AH4505" s="11"/>
      <c r="AI4505" s="11"/>
    </row>
    <row r="4506" ht="12.5" spans="3:35">
      <c r="C4506" s="19"/>
      <c r="D4506" s="19"/>
      <c r="H4506" s="105"/>
      <c r="I4506" s="126"/>
      <c r="J4506" s="11"/>
      <c r="K4506" s="108"/>
      <c r="L4506" s="11"/>
      <c r="M4506" s="105"/>
      <c r="N4506" s="105"/>
      <c r="O4506" s="11"/>
      <c r="P4506" s="11"/>
      <c r="Q4506" s="105"/>
      <c r="R4506" s="105"/>
      <c r="S4506" s="105"/>
      <c r="T4506" s="105"/>
      <c r="U4506" s="105"/>
      <c r="V4506" s="105"/>
      <c r="W4506" s="105"/>
      <c r="X4506" s="11"/>
      <c r="Y4506" s="11"/>
      <c r="Z4506" s="105"/>
      <c r="AA4506" s="11"/>
      <c r="AB4506" s="11"/>
      <c r="AC4506" s="105"/>
      <c r="AD4506" s="11" t="b">
        <v>0</v>
      </c>
      <c r="AE4506" s="105"/>
      <c r="AF4506" s="11"/>
      <c r="AG4506" s="11"/>
      <c r="AH4506" s="11"/>
      <c r="AI4506" s="11"/>
    </row>
    <row r="4507" ht="12.5" spans="3:35">
      <c r="C4507" s="19"/>
      <c r="D4507" s="19"/>
      <c r="H4507" s="105"/>
      <c r="I4507" s="126"/>
      <c r="J4507" s="11"/>
      <c r="K4507" s="108"/>
      <c r="L4507" s="11"/>
      <c r="M4507" s="105"/>
      <c r="N4507" s="105"/>
      <c r="O4507" s="11"/>
      <c r="P4507" s="11"/>
      <c r="Q4507" s="105"/>
      <c r="R4507" s="105"/>
      <c r="S4507" s="105"/>
      <c r="T4507" s="105"/>
      <c r="U4507" s="105"/>
      <c r="V4507" s="105"/>
      <c r="W4507" s="105"/>
      <c r="X4507" s="11"/>
      <c r="Y4507" s="11"/>
      <c r="Z4507" s="105"/>
      <c r="AA4507" s="11"/>
      <c r="AB4507" s="11"/>
      <c r="AC4507" s="105"/>
      <c r="AD4507" s="11" t="b">
        <v>0</v>
      </c>
      <c r="AE4507" s="105"/>
      <c r="AF4507" s="11"/>
      <c r="AG4507" s="11"/>
      <c r="AH4507" s="11"/>
      <c r="AI4507" s="11"/>
    </row>
    <row r="4508" ht="12.5" spans="3:35">
      <c r="C4508" s="19"/>
      <c r="D4508" s="19"/>
      <c r="H4508" s="105"/>
      <c r="I4508" s="126"/>
      <c r="J4508" s="11"/>
      <c r="K4508" s="108"/>
      <c r="L4508" s="11"/>
      <c r="M4508" s="105"/>
      <c r="N4508" s="105"/>
      <c r="O4508" s="11"/>
      <c r="P4508" s="11"/>
      <c r="Q4508" s="105"/>
      <c r="R4508" s="105"/>
      <c r="S4508" s="105"/>
      <c r="T4508" s="105"/>
      <c r="U4508" s="105"/>
      <c r="V4508" s="105"/>
      <c r="W4508" s="105"/>
      <c r="X4508" s="11"/>
      <c r="Y4508" s="11"/>
      <c r="Z4508" s="105"/>
      <c r="AA4508" s="11"/>
      <c r="AB4508" s="11"/>
      <c r="AC4508" s="105"/>
      <c r="AD4508" s="11" t="b">
        <v>0</v>
      </c>
      <c r="AE4508" s="105"/>
      <c r="AF4508" s="11"/>
      <c r="AG4508" s="11"/>
      <c r="AH4508" s="11"/>
      <c r="AI4508" s="11"/>
    </row>
    <row r="4509" ht="12.5" spans="3:35">
      <c r="C4509" s="19"/>
      <c r="D4509" s="19"/>
      <c r="H4509" s="105"/>
      <c r="I4509" s="126"/>
      <c r="J4509" s="11"/>
      <c r="K4509" s="108"/>
      <c r="L4509" s="11"/>
      <c r="M4509" s="105"/>
      <c r="N4509" s="105"/>
      <c r="O4509" s="11"/>
      <c r="P4509" s="11"/>
      <c r="Q4509" s="105"/>
      <c r="R4509" s="105"/>
      <c r="S4509" s="105"/>
      <c r="T4509" s="105"/>
      <c r="U4509" s="105"/>
      <c r="V4509" s="105"/>
      <c r="W4509" s="105"/>
      <c r="X4509" s="11"/>
      <c r="Y4509" s="11"/>
      <c r="Z4509" s="105"/>
      <c r="AA4509" s="11"/>
      <c r="AB4509" s="11"/>
      <c r="AC4509" s="105"/>
      <c r="AD4509" s="11" t="b">
        <v>0</v>
      </c>
      <c r="AE4509" s="105"/>
      <c r="AF4509" s="11"/>
      <c r="AG4509" s="11"/>
      <c r="AH4509" s="11"/>
      <c r="AI4509" s="11"/>
    </row>
    <row r="4510" ht="12.5" spans="3:35">
      <c r="C4510" s="19"/>
      <c r="D4510" s="19"/>
      <c r="H4510" s="105"/>
      <c r="I4510" s="126"/>
      <c r="J4510" s="11"/>
      <c r="K4510" s="108"/>
      <c r="L4510" s="11"/>
      <c r="M4510" s="105"/>
      <c r="N4510" s="105"/>
      <c r="O4510" s="11"/>
      <c r="P4510" s="11"/>
      <c r="Q4510" s="105"/>
      <c r="R4510" s="105"/>
      <c r="S4510" s="105"/>
      <c r="T4510" s="105"/>
      <c r="U4510" s="105"/>
      <c r="V4510" s="105"/>
      <c r="W4510" s="105"/>
      <c r="X4510" s="11"/>
      <c r="Y4510" s="11"/>
      <c r="Z4510" s="105"/>
      <c r="AA4510" s="11"/>
      <c r="AB4510" s="11"/>
      <c r="AC4510" s="105"/>
      <c r="AD4510" s="11" t="b">
        <v>0</v>
      </c>
      <c r="AE4510" s="105"/>
      <c r="AF4510" s="11"/>
      <c r="AG4510" s="11"/>
      <c r="AH4510" s="11"/>
      <c r="AI4510" s="11"/>
    </row>
    <row r="4511" ht="12.5" spans="3:35">
      <c r="C4511" s="19"/>
      <c r="D4511" s="19"/>
      <c r="H4511" s="105"/>
      <c r="I4511" s="126"/>
      <c r="J4511" s="11"/>
      <c r="K4511" s="108"/>
      <c r="L4511" s="11"/>
      <c r="M4511" s="105"/>
      <c r="N4511" s="105"/>
      <c r="O4511" s="11"/>
      <c r="P4511" s="11"/>
      <c r="Q4511" s="105"/>
      <c r="R4511" s="105"/>
      <c r="S4511" s="105"/>
      <c r="T4511" s="105"/>
      <c r="U4511" s="105"/>
      <c r="V4511" s="105"/>
      <c r="W4511" s="105"/>
      <c r="X4511" s="11"/>
      <c r="Y4511" s="11"/>
      <c r="Z4511" s="105"/>
      <c r="AA4511" s="11"/>
      <c r="AB4511" s="11"/>
      <c r="AC4511" s="105"/>
      <c r="AD4511" s="11" t="b">
        <v>0</v>
      </c>
      <c r="AE4511" s="105"/>
      <c r="AF4511" s="11"/>
      <c r="AG4511" s="11"/>
      <c r="AH4511" s="11"/>
      <c r="AI4511" s="11"/>
    </row>
    <row r="4512" ht="12.5" spans="3:35">
      <c r="C4512" s="19"/>
      <c r="D4512" s="19"/>
      <c r="H4512" s="105"/>
      <c r="I4512" s="126"/>
      <c r="J4512" s="11"/>
      <c r="K4512" s="108"/>
      <c r="L4512" s="11"/>
      <c r="M4512" s="105"/>
      <c r="N4512" s="105"/>
      <c r="O4512" s="11"/>
      <c r="P4512" s="11"/>
      <c r="Q4512" s="105"/>
      <c r="R4512" s="105"/>
      <c r="S4512" s="105"/>
      <c r="T4512" s="105"/>
      <c r="U4512" s="105"/>
      <c r="V4512" s="105"/>
      <c r="W4512" s="105"/>
      <c r="X4512" s="11"/>
      <c r="Y4512" s="11"/>
      <c r="Z4512" s="105"/>
      <c r="AA4512" s="11"/>
      <c r="AB4512" s="11"/>
      <c r="AC4512" s="105"/>
      <c r="AD4512" s="11" t="b">
        <v>0</v>
      </c>
      <c r="AE4512" s="105"/>
      <c r="AF4512" s="11"/>
      <c r="AG4512" s="11"/>
      <c r="AH4512" s="11"/>
      <c r="AI4512" s="11"/>
    </row>
    <row r="4513" ht="12.5" spans="3:35">
      <c r="C4513" s="19"/>
      <c r="D4513" s="19"/>
      <c r="H4513" s="105"/>
      <c r="I4513" s="126"/>
      <c r="J4513" s="11"/>
      <c r="K4513" s="108"/>
      <c r="L4513" s="11"/>
      <c r="M4513" s="105"/>
      <c r="N4513" s="105"/>
      <c r="O4513" s="11"/>
      <c r="P4513" s="11"/>
      <c r="Q4513" s="105"/>
      <c r="R4513" s="105"/>
      <c r="S4513" s="105"/>
      <c r="T4513" s="105"/>
      <c r="U4513" s="105"/>
      <c r="V4513" s="105"/>
      <c r="W4513" s="105"/>
      <c r="X4513" s="11"/>
      <c r="Y4513" s="11"/>
      <c r="Z4513" s="105"/>
      <c r="AA4513" s="11"/>
      <c r="AB4513" s="11"/>
      <c r="AC4513" s="105"/>
      <c r="AD4513" s="11" t="b">
        <v>0</v>
      </c>
      <c r="AE4513" s="105"/>
      <c r="AF4513" s="11"/>
      <c r="AG4513" s="11"/>
      <c r="AH4513" s="11"/>
      <c r="AI4513" s="11"/>
    </row>
    <row r="4514" ht="12.5" spans="3:35">
      <c r="C4514" s="19"/>
      <c r="D4514" s="19"/>
      <c r="H4514" s="105"/>
      <c r="I4514" s="126"/>
      <c r="J4514" s="11"/>
      <c r="K4514" s="108"/>
      <c r="L4514" s="11"/>
      <c r="M4514" s="105"/>
      <c r="N4514" s="105"/>
      <c r="O4514" s="11"/>
      <c r="P4514" s="11"/>
      <c r="Q4514" s="105"/>
      <c r="R4514" s="105"/>
      <c r="S4514" s="105"/>
      <c r="T4514" s="105"/>
      <c r="U4514" s="105"/>
      <c r="V4514" s="105"/>
      <c r="W4514" s="105"/>
      <c r="X4514" s="11"/>
      <c r="Y4514" s="11"/>
      <c r="Z4514" s="105"/>
      <c r="AA4514" s="11"/>
      <c r="AB4514" s="11"/>
      <c r="AC4514" s="105"/>
      <c r="AD4514" s="11" t="b">
        <v>0</v>
      </c>
      <c r="AE4514" s="105"/>
      <c r="AF4514" s="11"/>
      <c r="AG4514" s="11"/>
      <c r="AH4514" s="11"/>
      <c r="AI4514" s="11"/>
    </row>
    <row r="4515" ht="12.5" spans="3:35">
      <c r="C4515" s="19"/>
      <c r="D4515" s="19"/>
      <c r="H4515" s="105"/>
      <c r="I4515" s="126"/>
      <c r="J4515" s="11"/>
      <c r="K4515" s="108"/>
      <c r="L4515" s="11"/>
      <c r="M4515" s="105"/>
      <c r="N4515" s="105"/>
      <c r="O4515" s="11"/>
      <c r="P4515" s="11"/>
      <c r="Q4515" s="105"/>
      <c r="R4515" s="105"/>
      <c r="S4515" s="105"/>
      <c r="T4515" s="105"/>
      <c r="U4515" s="105"/>
      <c r="V4515" s="105"/>
      <c r="W4515" s="105"/>
      <c r="X4515" s="11"/>
      <c r="Y4515" s="11"/>
      <c r="Z4515" s="105"/>
      <c r="AA4515" s="11"/>
      <c r="AB4515" s="11"/>
      <c r="AC4515" s="105"/>
      <c r="AD4515" s="11" t="b">
        <v>0</v>
      </c>
      <c r="AE4515" s="105"/>
      <c r="AF4515" s="11"/>
      <c r="AG4515" s="11"/>
      <c r="AH4515" s="11"/>
      <c r="AI4515" s="11"/>
    </row>
    <row r="4516" ht="12.5" spans="3:35">
      <c r="C4516" s="19"/>
      <c r="D4516" s="19"/>
      <c r="H4516" s="105"/>
      <c r="I4516" s="126"/>
      <c r="J4516" s="11"/>
      <c r="K4516" s="108"/>
      <c r="L4516" s="11"/>
      <c r="M4516" s="105"/>
      <c r="N4516" s="105"/>
      <c r="O4516" s="11"/>
      <c r="P4516" s="11"/>
      <c r="Q4516" s="105"/>
      <c r="R4516" s="105"/>
      <c r="S4516" s="105"/>
      <c r="T4516" s="105"/>
      <c r="U4516" s="105"/>
      <c r="V4516" s="105"/>
      <c r="W4516" s="105"/>
      <c r="X4516" s="11"/>
      <c r="Y4516" s="11"/>
      <c r="Z4516" s="105"/>
      <c r="AA4516" s="11"/>
      <c r="AB4516" s="11"/>
      <c r="AC4516" s="105"/>
      <c r="AD4516" s="11" t="b">
        <v>0</v>
      </c>
      <c r="AE4516" s="105"/>
      <c r="AF4516" s="11"/>
      <c r="AG4516" s="11"/>
      <c r="AH4516" s="11"/>
      <c r="AI4516" s="11"/>
    </row>
    <row r="4517" ht="12.5" spans="3:35">
      <c r="C4517" s="19"/>
      <c r="D4517" s="19"/>
      <c r="H4517" s="105"/>
      <c r="I4517" s="126"/>
      <c r="J4517" s="11"/>
      <c r="K4517" s="108"/>
      <c r="L4517" s="11"/>
      <c r="M4517" s="105"/>
      <c r="N4517" s="105"/>
      <c r="O4517" s="11"/>
      <c r="P4517" s="11"/>
      <c r="Q4517" s="105"/>
      <c r="R4517" s="105"/>
      <c r="S4517" s="105"/>
      <c r="T4517" s="105"/>
      <c r="U4517" s="105"/>
      <c r="V4517" s="105"/>
      <c r="W4517" s="105"/>
      <c r="X4517" s="11"/>
      <c r="Y4517" s="11"/>
      <c r="Z4517" s="105"/>
      <c r="AA4517" s="11"/>
      <c r="AB4517" s="11"/>
      <c r="AC4517" s="105"/>
      <c r="AD4517" s="11" t="b">
        <v>0</v>
      </c>
      <c r="AE4517" s="105"/>
      <c r="AF4517" s="11"/>
      <c r="AG4517" s="11"/>
      <c r="AH4517" s="11"/>
      <c r="AI4517" s="11"/>
    </row>
    <row r="4518" ht="12.5" spans="3:35">
      <c r="C4518" s="19"/>
      <c r="D4518" s="19"/>
      <c r="H4518" s="105"/>
      <c r="I4518" s="126"/>
      <c r="J4518" s="11"/>
      <c r="K4518" s="108"/>
      <c r="L4518" s="11"/>
      <c r="M4518" s="105"/>
      <c r="N4518" s="105"/>
      <c r="O4518" s="11"/>
      <c r="P4518" s="11"/>
      <c r="Q4518" s="105"/>
      <c r="R4518" s="105"/>
      <c r="S4518" s="105"/>
      <c r="T4518" s="105"/>
      <c r="U4518" s="105"/>
      <c r="V4518" s="105"/>
      <c r="W4518" s="105"/>
      <c r="X4518" s="11"/>
      <c r="Y4518" s="11"/>
      <c r="Z4518" s="105"/>
      <c r="AA4518" s="11"/>
      <c r="AB4518" s="11"/>
      <c r="AC4518" s="105"/>
      <c r="AD4518" s="11" t="b">
        <v>0</v>
      </c>
      <c r="AE4518" s="105"/>
      <c r="AF4518" s="11"/>
      <c r="AG4518" s="11"/>
      <c r="AH4518" s="11"/>
      <c r="AI4518" s="11"/>
    </row>
    <row r="4519" ht="12.5" spans="3:35">
      <c r="C4519" s="19"/>
      <c r="D4519" s="19"/>
      <c r="H4519" s="105"/>
      <c r="I4519" s="126"/>
      <c r="J4519" s="11"/>
      <c r="K4519" s="108"/>
      <c r="L4519" s="11"/>
      <c r="M4519" s="105"/>
      <c r="N4519" s="105"/>
      <c r="O4519" s="11"/>
      <c r="P4519" s="11"/>
      <c r="Q4519" s="105"/>
      <c r="R4519" s="105"/>
      <c r="S4519" s="105"/>
      <c r="T4519" s="105"/>
      <c r="U4519" s="105"/>
      <c r="V4519" s="105"/>
      <c r="W4519" s="105"/>
      <c r="X4519" s="11"/>
      <c r="Y4519" s="11"/>
      <c r="Z4519" s="105"/>
      <c r="AA4519" s="11"/>
      <c r="AB4519" s="11"/>
      <c r="AC4519" s="105"/>
      <c r="AD4519" s="11" t="b">
        <v>0</v>
      </c>
      <c r="AE4519" s="105"/>
      <c r="AF4519" s="11"/>
      <c r="AG4519" s="11"/>
      <c r="AH4519" s="11"/>
      <c r="AI4519" s="11"/>
    </row>
    <row r="4520" ht="12.5" spans="3:35">
      <c r="C4520" s="19"/>
      <c r="D4520" s="19"/>
      <c r="H4520" s="105"/>
      <c r="I4520" s="126"/>
      <c r="J4520" s="11"/>
      <c r="K4520" s="108"/>
      <c r="L4520" s="11"/>
      <c r="M4520" s="105"/>
      <c r="N4520" s="105"/>
      <c r="O4520" s="11"/>
      <c r="P4520" s="11"/>
      <c r="Q4520" s="105"/>
      <c r="R4520" s="105"/>
      <c r="S4520" s="105"/>
      <c r="T4520" s="105"/>
      <c r="U4520" s="105"/>
      <c r="V4520" s="105"/>
      <c r="W4520" s="105"/>
      <c r="X4520" s="11"/>
      <c r="Y4520" s="11"/>
      <c r="Z4520" s="105"/>
      <c r="AA4520" s="11"/>
      <c r="AB4520" s="11"/>
      <c r="AC4520" s="105"/>
      <c r="AD4520" s="11" t="b">
        <v>0</v>
      </c>
      <c r="AE4520" s="105"/>
      <c r="AF4520" s="11"/>
      <c r="AG4520" s="11"/>
      <c r="AH4520" s="11"/>
      <c r="AI4520" s="11"/>
    </row>
    <row r="4521" ht="12.5" spans="3:35">
      <c r="C4521" s="19"/>
      <c r="D4521" s="19"/>
      <c r="H4521" s="105"/>
      <c r="I4521" s="126"/>
      <c r="J4521" s="11"/>
      <c r="K4521" s="108"/>
      <c r="L4521" s="11"/>
      <c r="M4521" s="105"/>
      <c r="N4521" s="105"/>
      <c r="O4521" s="11"/>
      <c r="P4521" s="11"/>
      <c r="Q4521" s="105"/>
      <c r="R4521" s="105"/>
      <c r="S4521" s="105"/>
      <c r="T4521" s="105"/>
      <c r="U4521" s="105"/>
      <c r="V4521" s="105"/>
      <c r="W4521" s="105"/>
      <c r="X4521" s="11"/>
      <c r="Y4521" s="11"/>
      <c r="Z4521" s="105"/>
      <c r="AA4521" s="11"/>
      <c r="AB4521" s="11"/>
      <c r="AC4521" s="105"/>
      <c r="AD4521" s="11" t="b">
        <v>0</v>
      </c>
      <c r="AE4521" s="105"/>
      <c r="AF4521" s="11"/>
      <c r="AG4521" s="11"/>
      <c r="AH4521" s="11"/>
      <c r="AI4521" s="11"/>
    </row>
    <row r="4522" ht="12.5" spans="3:35">
      <c r="C4522" s="19"/>
      <c r="D4522" s="19"/>
      <c r="H4522" s="105"/>
      <c r="I4522" s="126"/>
      <c r="J4522" s="11"/>
      <c r="K4522" s="108"/>
      <c r="L4522" s="11"/>
      <c r="M4522" s="105"/>
      <c r="N4522" s="105"/>
      <c r="O4522" s="11"/>
      <c r="P4522" s="11"/>
      <c r="Q4522" s="105"/>
      <c r="R4522" s="105"/>
      <c r="S4522" s="105"/>
      <c r="T4522" s="105"/>
      <c r="U4522" s="105"/>
      <c r="V4522" s="105"/>
      <c r="W4522" s="105"/>
      <c r="X4522" s="11"/>
      <c r="Y4522" s="11"/>
      <c r="Z4522" s="105"/>
      <c r="AA4522" s="11"/>
      <c r="AB4522" s="11"/>
      <c r="AC4522" s="105"/>
      <c r="AD4522" s="11" t="b">
        <v>0</v>
      </c>
      <c r="AE4522" s="105"/>
      <c r="AF4522" s="11"/>
      <c r="AG4522" s="11"/>
      <c r="AH4522" s="11"/>
      <c r="AI4522" s="11"/>
    </row>
    <row r="4523" ht="12.5" spans="3:35">
      <c r="C4523" s="19"/>
      <c r="D4523" s="19"/>
      <c r="H4523" s="105"/>
      <c r="I4523" s="126"/>
      <c r="J4523" s="11"/>
      <c r="K4523" s="108"/>
      <c r="L4523" s="11"/>
      <c r="M4523" s="105"/>
      <c r="N4523" s="105"/>
      <c r="O4523" s="11"/>
      <c r="P4523" s="11"/>
      <c r="Q4523" s="105"/>
      <c r="R4523" s="105"/>
      <c r="S4523" s="105"/>
      <c r="T4523" s="105"/>
      <c r="U4523" s="105"/>
      <c r="V4523" s="105"/>
      <c r="W4523" s="105"/>
      <c r="X4523" s="11"/>
      <c r="Y4523" s="11"/>
      <c r="Z4523" s="105"/>
      <c r="AA4523" s="11"/>
      <c r="AB4523" s="11"/>
      <c r="AC4523" s="105"/>
      <c r="AD4523" s="11" t="b">
        <v>0</v>
      </c>
      <c r="AE4523" s="105"/>
      <c r="AF4523" s="11"/>
      <c r="AG4523" s="11"/>
      <c r="AH4523" s="11"/>
      <c r="AI4523" s="11"/>
    </row>
    <row r="4524" ht="12.5" spans="3:35">
      <c r="C4524" s="19"/>
      <c r="D4524" s="19"/>
      <c r="H4524" s="105"/>
      <c r="I4524" s="126"/>
      <c r="J4524" s="11"/>
      <c r="K4524" s="108"/>
      <c r="L4524" s="11"/>
      <c r="M4524" s="105"/>
      <c r="N4524" s="105"/>
      <c r="O4524" s="11"/>
      <c r="P4524" s="11"/>
      <c r="Q4524" s="105"/>
      <c r="R4524" s="105"/>
      <c r="S4524" s="105"/>
      <c r="T4524" s="105"/>
      <c r="U4524" s="105"/>
      <c r="V4524" s="105"/>
      <c r="W4524" s="105"/>
      <c r="X4524" s="11"/>
      <c r="Y4524" s="11"/>
      <c r="Z4524" s="105"/>
      <c r="AA4524" s="11"/>
      <c r="AB4524" s="11"/>
      <c r="AC4524" s="105"/>
      <c r="AD4524" s="11" t="b">
        <v>0</v>
      </c>
      <c r="AE4524" s="105"/>
      <c r="AF4524" s="11"/>
      <c r="AG4524" s="11"/>
      <c r="AH4524" s="11"/>
      <c r="AI4524" s="11"/>
    </row>
    <row r="4525" ht="12.5" spans="3:35">
      <c r="C4525" s="19"/>
      <c r="D4525" s="19"/>
      <c r="H4525" s="105"/>
      <c r="I4525" s="126"/>
      <c r="J4525" s="11"/>
      <c r="K4525" s="108"/>
      <c r="L4525" s="11"/>
      <c r="M4525" s="105"/>
      <c r="N4525" s="105"/>
      <c r="O4525" s="11"/>
      <c r="P4525" s="11"/>
      <c r="Q4525" s="105"/>
      <c r="R4525" s="105"/>
      <c r="S4525" s="105"/>
      <c r="T4525" s="105"/>
      <c r="U4525" s="105"/>
      <c r="V4525" s="105"/>
      <c r="W4525" s="105"/>
      <c r="X4525" s="11"/>
      <c r="Y4525" s="11"/>
      <c r="Z4525" s="105"/>
      <c r="AA4525" s="11"/>
      <c r="AB4525" s="11"/>
      <c r="AC4525" s="105"/>
      <c r="AD4525" s="11" t="b">
        <v>0</v>
      </c>
      <c r="AE4525" s="105"/>
      <c r="AF4525" s="11"/>
      <c r="AG4525" s="11"/>
      <c r="AH4525" s="11"/>
      <c r="AI4525" s="11"/>
    </row>
    <row r="4526" ht="12.5" spans="3:35">
      <c r="C4526" s="19"/>
      <c r="D4526" s="19"/>
      <c r="H4526" s="105"/>
      <c r="I4526" s="126"/>
      <c r="J4526" s="11"/>
      <c r="K4526" s="108"/>
      <c r="L4526" s="11"/>
      <c r="M4526" s="105"/>
      <c r="N4526" s="105"/>
      <c r="O4526" s="11"/>
      <c r="P4526" s="11"/>
      <c r="Q4526" s="105"/>
      <c r="R4526" s="105"/>
      <c r="S4526" s="105"/>
      <c r="T4526" s="105"/>
      <c r="U4526" s="105"/>
      <c r="V4526" s="105"/>
      <c r="W4526" s="105"/>
      <c r="X4526" s="11"/>
      <c r="Y4526" s="11"/>
      <c r="Z4526" s="105"/>
      <c r="AA4526" s="11"/>
      <c r="AB4526" s="11"/>
      <c r="AC4526" s="105"/>
      <c r="AD4526" s="11" t="b">
        <v>0</v>
      </c>
      <c r="AE4526" s="105"/>
      <c r="AF4526" s="11"/>
      <c r="AG4526" s="11"/>
      <c r="AH4526" s="11"/>
      <c r="AI4526" s="11"/>
    </row>
    <row r="4527" ht="12.5" spans="3:35">
      <c r="C4527" s="19"/>
      <c r="D4527" s="19"/>
      <c r="H4527" s="105"/>
      <c r="I4527" s="126"/>
      <c r="J4527" s="11"/>
      <c r="K4527" s="108"/>
      <c r="L4527" s="11"/>
      <c r="M4527" s="105"/>
      <c r="N4527" s="105"/>
      <c r="O4527" s="11"/>
      <c r="P4527" s="11"/>
      <c r="Q4527" s="105"/>
      <c r="R4527" s="105"/>
      <c r="S4527" s="105"/>
      <c r="T4527" s="105"/>
      <c r="U4527" s="105"/>
      <c r="V4527" s="105"/>
      <c r="W4527" s="105"/>
      <c r="X4527" s="11"/>
      <c r="Y4527" s="11"/>
      <c r="Z4527" s="105"/>
      <c r="AA4527" s="11"/>
      <c r="AB4527" s="11"/>
      <c r="AC4527" s="105"/>
      <c r="AD4527" s="11" t="b">
        <v>0</v>
      </c>
      <c r="AE4527" s="105"/>
      <c r="AF4527" s="11"/>
      <c r="AG4527" s="11"/>
      <c r="AH4527" s="11"/>
      <c r="AI4527" s="11"/>
    </row>
    <row r="4528" ht="12.5" spans="3:35">
      <c r="C4528" s="19"/>
      <c r="D4528" s="19"/>
      <c r="H4528" s="105"/>
      <c r="I4528" s="126"/>
      <c r="J4528" s="11"/>
      <c r="K4528" s="108"/>
      <c r="L4528" s="11"/>
      <c r="M4528" s="105"/>
      <c r="N4528" s="105"/>
      <c r="O4528" s="11"/>
      <c r="P4528" s="11"/>
      <c r="Q4528" s="105"/>
      <c r="R4528" s="105"/>
      <c r="S4528" s="105"/>
      <c r="T4528" s="105"/>
      <c r="U4528" s="105"/>
      <c r="V4528" s="105"/>
      <c r="W4528" s="105"/>
      <c r="X4528" s="11"/>
      <c r="Y4528" s="11"/>
      <c r="Z4528" s="105"/>
      <c r="AA4528" s="11"/>
      <c r="AB4528" s="11"/>
      <c r="AC4528" s="105"/>
      <c r="AD4528" s="11" t="b">
        <v>0</v>
      </c>
      <c r="AE4528" s="105"/>
      <c r="AF4528" s="11"/>
      <c r="AG4528" s="11"/>
      <c r="AH4528" s="11"/>
      <c r="AI4528" s="11"/>
    </row>
    <row r="4529" ht="12.5" spans="3:35">
      <c r="C4529" s="19"/>
      <c r="D4529" s="19"/>
      <c r="H4529" s="105"/>
      <c r="I4529" s="126"/>
      <c r="J4529" s="11"/>
      <c r="K4529" s="108"/>
      <c r="L4529" s="11"/>
      <c r="M4529" s="105"/>
      <c r="N4529" s="105"/>
      <c r="O4529" s="11"/>
      <c r="P4529" s="11"/>
      <c r="Q4529" s="105"/>
      <c r="R4529" s="105"/>
      <c r="S4529" s="105"/>
      <c r="T4529" s="105"/>
      <c r="U4529" s="105"/>
      <c r="V4529" s="105"/>
      <c r="W4529" s="105"/>
      <c r="X4529" s="11"/>
      <c r="Y4529" s="11"/>
      <c r="Z4529" s="105"/>
      <c r="AA4529" s="11"/>
      <c r="AB4529" s="11"/>
      <c r="AC4529" s="105"/>
      <c r="AD4529" s="11" t="b">
        <v>0</v>
      </c>
      <c r="AE4529" s="105"/>
      <c r="AF4529" s="11"/>
      <c r="AG4529" s="11"/>
      <c r="AH4529" s="11"/>
      <c r="AI4529" s="11"/>
    </row>
    <row r="4530" ht="12.5" spans="3:35">
      <c r="C4530" s="19"/>
      <c r="D4530" s="19"/>
      <c r="H4530" s="105"/>
      <c r="I4530" s="126"/>
      <c r="J4530" s="11"/>
      <c r="K4530" s="108"/>
      <c r="L4530" s="11"/>
      <c r="M4530" s="105"/>
      <c r="N4530" s="105"/>
      <c r="O4530" s="11"/>
      <c r="P4530" s="11"/>
      <c r="Q4530" s="105"/>
      <c r="R4530" s="105"/>
      <c r="S4530" s="105"/>
      <c r="T4530" s="105"/>
      <c r="U4530" s="105"/>
      <c r="V4530" s="105"/>
      <c r="W4530" s="105"/>
      <c r="X4530" s="11"/>
      <c r="Y4530" s="11"/>
      <c r="Z4530" s="105"/>
      <c r="AA4530" s="11"/>
      <c r="AB4530" s="11"/>
      <c r="AC4530" s="105"/>
      <c r="AD4530" s="11" t="b">
        <v>0</v>
      </c>
      <c r="AE4530" s="105"/>
      <c r="AF4530" s="11"/>
      <c r="AG4530" s="11"/>
      <c r="AH4530" s="11"/>
      <c r="AI4530" s="11"/>
    </row>
    <row r="4531" ht="12.5" spans="3:35">
      <c r="C4531" s="19"/>
      <c r="D4531" s="19"/>
      <c r="H4531" s="105"/>
      <c r="I4531" s="126"/>
      <c r="J4531" s="11"/>
      <c r="K4531" s="108"/>
      <c r="L4531" s="11"/>
      <c r="M4531" s="105"/>
      <c r="N4531" s="105"/>
      <c r="O4531" s="11"/>
      <c r="P4531" s="11"/>
      <c r="Q4531" s="105"/>
      <c r="R4531" s="105"/>
      <c r="S4531" s="105"/>
      <c r="T4531" s="105"/>
      <c r="U4531" s="105"/>
      <c r="V4531" s="105"/>
      <c r="W4531" s="105"/>
      <c r="X4531" s="11"/>
      <c r="Y4531" s="11"/>
      <c r="Z4531" s="105"/>
      <c r="AA4531" s="11"/>
      <c r="AB4531" s="11"/>
      <c r="AC4531" s="105"/>
      <c r="AD4531" s="11" t="b">
        <v>0</v>
      </c>
      <c r="AE4531" s="105"/>
      <c r="AF4531" s="11"/>
      <c r="AG4531" s="11"/>
      <c r="AH4531" s="11"/>
      <c r="AI4531" s="11"/>
    </row>
    <row r="4532" ht="12.5" spans="3:35">
      <c r="C4532" s="19"/>
      <c r="D4532" s="19"/>
      <c r="H4532" s="105"/>
      <c r="I4532" s="126"/>
      <c r="J4532" s="11"/>
      <c r="K4532" s="108"/>
      <c r="L4532" s="11"/>
      <c r="M4532" s="105"/>
      <c r="N4532" s="105"/>
      <c r="O4532" s="11"/>
      <c r="P4532" s="11"/>
      <c r="Q4532" s="105"/>
      <c r="R4532" s="105"/>
      <c r="S4532" s="105"/>
      <c r="T4532" s="105"/>
      <c r="U4532" s="105"/>
      <c r="V4532" s="105"/>
      <c r="W4532" s="105"/>
      <c r="X4532" s="11"/>
      <c r="Y4532" s="11"/>
      <c r="Z4532" s="105"/>
      <c r="AA4532" s="11"/>
      <c r="AB4532" s="11"/>
      <c r="AC4532" s="105"/>
      <c r="AD4532" s="11" t="b">
        <v>0</v>
      </c>
      <c r="AE4532" s="105"/>
      <c r="AF4532" s="11"/>
      <c r="AG4532" s="11"/>
      <c r="AH4532" s="11"/>
      <c r="AI4532" s="11"/>
    </row>
    <row r="4533" ht="12.5" spans="3:35">
      <c r="C4533" s="19"/>
      <c r="D4533" s="19"/>
      <c r="H4533" s="105"/>
      <c r="I4533" s="126"/>
      <c r="J4533" s="11"/>
      <c r="K4533" s="108"/>
      <c r="L4533" s="11"/>
      <c r="M4533" s="105"/>
      <c r="N4533" s="105"/>
      <c r="O4533" s="11"/>
      <c r="P4533" s="11"/>
      <c r="Q4533" s="105"/>
      <c r="R4533" s="105"/>
      <c r="S4533" s="105"/>
      <c r="T4533" s="105"/>
      <c r="U4533" s="105"/>
      <c r="V4533" s="105"/>
      <c r="W4533" s="105"/>
      <c r="X4533" s="11"/>
      <c r="Y4533" s="11"/>
      <c r="Z4533" s="105"/>
      <c r="AA4533" s="11"/>
      <c r="AB4533" s="11"/>
      <c r="AC4533" s="105"/>
      <c r="AD4533" s="11" t="b">
        <v>0</v>
      </c>
      <c r="AE4533" s="105"/>
      <c r="AF4533" s="11"/>
      <c r="AG4533" s="11"/>
      <c r="AH4533" s="11"/>
      <c r="AI4533" s="11"/>
    </row>
    <row r="4534" ht="12.5" spans="3:35">
      <c r="C4534" s="19"/>
      <c r="D4534" s="19"/>
      <c r="H4534" s="105"/>
      <c r="I4534" s="126"/>
      <c r="J4534" s="11"/>
      <c r="K4534" s="108"/>
      <c r="L4534" s="11"/>
      <c r="M4534" s="105"/>
      <c r="N4534" s="105"/>
      <c r="O4534" s="11"/>
      <c r="P4534" s="11"/>
      <c r="Q4534" s="105"/>
      <c r="R4534" s="105"/>
      <c r="S4534" s="105"/>
      <c r="T4534" s="105"/>
      <c r="U4534" s="105"/>
      <c r="V4534" s="105"/>
      <c r="W4534" s="105"/>
      <c r="X4534" s="11"/>
      <c r="Y4534" s="11"/>
      <c r="Z4534" s="105"/>
      <c r="AA4534" s="11"/>
      <c r="AB4534" s="11"/>
      <c r="AC4534" s="105"/>
      <c r="AD4534" s="11" t="b">
        <v>0</v>
      </c>
      <c r="AE4534" s="105"/>
      <c r="AF4534" s="11"/>
      <c r="AG4534" s="11"/>
      <c r="AH4534" s="11"/>
      <c r="AI4534" s="11"/>
    </row>
    <row r="4535" ht="12.5" spans="3:35">
      <c r="C4535" s="19"/>
      <c r="D4535" s="19"/>
      <c r="H4535" s="105"/>
      <c r="I4535" s="126"/>
      <c r="J4535" s="11"/>
      <c r="K4535" s="108"/>
      <c r="L4535" s="11"/>
      <c r="M4535" s="105"/>
      <c r="N4535" s="105"/>
      <c r="O4535" s="11"/>
      <c r="P4535" s="11"/>
      <c r="Q4535" s="105"/>
      <c r="R4535" s="105"/>
      <c r="S4535" s="105"/>
      <c r="T4535" s="105"/>
      <c r="U4535" s="105"/>
      <c r="V4535" s="105"/>
      <c r="W4535" s="105"/>
      <c r="X4535" s="11"/>
      <c r="Y4535" s="11"/>
      <c r="Z4535" s="105"/>
      <c r="AA4535" s="11"/>
      <c r="AB4535" s="11"/>
      <c r="AC4535" s="105"/>
      <c r="AD4535" s="11" t="b">
        <v>0</v>
      </c>
      <c r="AE4535" s="105"/>
      <c r="AF4535" s="11"/>
      <c r="AG4535" s="11"/>
      <c r="AH4535" s="11"/>
      <c r="AI4535" s="11"/>
    </row>
    <row r="4536" ht="12.5" spans="3:35">
      <c r="C4536" s="19"/>
      <c r="D4536" s="19"/>
      <c r="H4536" s="105"/>
      <c r="I4536" s="126"/>
      <c r="J4536" s="11"/>
      <c r="K4536" s="108"/>
      <c r="L4536" s="11"/>
      <c r="M4536" s="105"/>
      <c r="N4536" s="105"/>
      <c r="O4536" s="11"/>
      <c r="P4536" s="11"/>
      <c r="Q4536" s="105"/>
      <c r="R4536" s="105"/>
      <c r="S4536" s="105"/>
      <c r="T4536" s="105"/>
      <c r="U4536" s="105"/>
      <c r="V4536" s="105"/>
      <c r="W4536" s="105"/>
      <c r="X4536" s="11"/>
      <c r="Y4536" s="11"/>
      <c r="Z4536" s="105"/>
      <c r="AA4536" s="11"/>
      <c r="AB4536" s="11"/>
      <c r="AC4536" s="105"/>
      <c r="AD4536" s="11" t="b">
        <v>0</v>
      </c>
      <c r="AE4536" s="105"/>
      <c r="AF4536" s="11"/>
      <c r="AG4536" s="11"/>
      <c r="AH4536" s="11"/>
      <c r="AI4536" s="11"/>
    </row>
    <row r="4537" ht="12.5" spans="3:35">
      <c r="C4537" s="19"/>
      <c r="D4537" s="19"/>
      <c r="H4537" s="105"/>
      <c r="I4537" s="126"/>
      <c r="J4537" s="11"/>
      <c r="K4537" s="108"/>
      <c r="L4537" s="11"/>
      <c r="M4537" s="105"/>
      <c r="N4537" s="105"/>
      <c r="O4537" s="11"/>
      <c r="P4537" s="11"/>
      <c r="Q4537" s="105"/>
      <c r="R4537" s="105"/>
      <c r="S4537" s="105"/>
      <c r="T4537" s="105"/>
      <c r="U4537" s="105"/>
      <c r="V4537" s="105"/>
      <c r="W4537" s="105"/>
      <c r="X4537" s="11"/>
      <c r="Y4537" s="11"/>
      <c r="Z4537" s="105"/>
      <c r="AA4537" s="11"/>
      <c r="AB4537" s="11"/>
      <c r="AC4537" s="105"/>
      <c r="AD4537" s="11" t="b">
        <v>0</v>
      </c>
      <c r="AE4537" s="105"/>
      <c r="AF4537" s="11"/>
      <c r="AG4537" s="11"/>
      <c r="AH4537" s="11"/>
      <c r="AI4537" s="11"/>
    </row>
    <row r="4538" ht="12.5" spans="3:35">
      <c r="C4538" s="19"/>
      <c r="D4538" s="19"/>
      <c r="H4538" s="105"/>
      <c r="I4538" s="126"/>
      <c r="J4538" s="11"/>
      <c r="K4538" s="108"/>
      <c r="L4538" s="11"/>
      <c r="M4538" s="105"/>
      <c r="N4538" s="105"/>
      <c r="O4538" s="11"/>
      <c r="P4538" s="11"/>
      <c r="Q4538" s="105"/>
      <c r="R4538" s="105"/>
      <c r="S4538" s="105"/>
      <c r="T4538" s="105"/>
      <c r="U4538" s="105"/>
      <c r="V4538" s="105"/>
      <c r="W4538" s="105"/>
      <c r="X4538" s="11"/>
      <c r="Y4538" s="11"/>
      <c r="Z4538" s="105"/>
      <c r="AA4538" s="11"/>
      <c r="AB4538" s="11"/>
      <c r="AC4538" s="105"/>
      <c r="AD4538" s="11" t="b">
        <v>0</v>
      </c>
      <c r="AE4538" s="105"/>
      <c r="AF4538" s="11"/>
      <c r="AG4538" s="11"/>
      <c r="AH4538" s="11"/>
      <c r="AI4538" s="11"/>
    </row>
    <row r="4539" ht="12.5" spans="3:35">
      <c r="C4539" s="19"/>
      <c r="D4539" s="19"/>
      <c r="H4539" s="105"/>
      <c r="I4539" s="126"/>
      <c r="J4539" s="11"/>
      <c r="K4539" s="108"/>
      <c r="L4539" s="11"/>
      <c r="M4539" s="105"/>
      <c r="N4539" s="105"/>
      <c r="O4539" s="11"/>
      <c r="P4539" s="11"/>
      <c r="Q4539" s="105"/>
      <c r="R4539" s="105"/>
      <c r="S4539" s="105"/>
      <c r="T4539" s="105"/>
      <c r="U4539" s="105"/>
      <c r="V4539" s="105"/>
      <c r="W4539" s="105"/>
      <c r="X4539" s="11"/>
      <c r="Y4539" s="11"/>
      <c r="Z4539" s="105"/>
      <c r="AA4539" s="11"/>
      <c r="AB4539" s="11"/>
      <c r="AC4539" s="105"/>
      <c r="AD4539" s="11" t="b">
        <v>0</v>
      </c>
      <c r="AE4539" s="105"/>
      <c r="AF4539" s="11"/>
      <c r="AG4539" s="11"/>
      <c r="AH4539" s="11"/>
      <c r="AI4539" s="11"/>
    </row>
    <row r="4540" ht="12.5" spans="3:35">
      <c r="C4540" s="19"/>
      <c r="D4540" s="19"/>
      <c r="H4540" s="105"/>
      <c r="I4540" s="126"/>
      <c r="J4540" s="11"/>
      <c r="K4540" s="108"/>
      <c r="L4540" s="11"/>
      <c r="M4540" s="105"/>
      <c r="N4540" s="105"/>
      <c r="O4540" s="11"/>
      <c r="P4540" s="11"/>
      <c r="Q4540" s="105"/>
      <c r="R4540" s="105"/>
      <c r="S4540" s="105"/>
      <c r="T4540" s="105"/>
      <c r="U4540" s="105"/>
      <c r="V4540" s="105"/>
      <c r="W4540" s="105"/>
      <c r="X4540" s="11"/>
      <c r="Y4540" s="11"/>
      <c r="Z4540" s="105"/>
      <c r="AA4540" s="11"/>
      <c r="AB4540" s="11"/>
      <c r="AC4540" s="105"/>
      <c r="AD4540" s="11" t="b">
        <v>0</v>
      </c>
      <c r="AE4540" s="105"/>
      <c r="AF4540" s="11"/>
      <c r="AG4540" s="11"/>
      <c r="AH4540" s="11"/>
      <c r="AI4540" s="11"/>
    </row>
    <row r="4541" ht="12.5" spans="3:35">
      <c r="C4541" s="19"/>
      <c r="D4541" s="19"/>
      <c r="H4541" s="105"/>
      <c r="I4541" s="126"/>
      <c r="J4541" s="11"/>
      <c r="K4541" s="108"/>
      <c r="L4541" s="11"/>
      <c r="M4541" s="105"/>
      <c r="N4541" s="105"/>
      <c r="O4541" s="11"/>
      <c r="P4541" s="11"/>
      <c r="Q4541" s="105"/>
      <c r="R4541" s="105"/>
      <c r="S4541" s="105"/>
      <c r="T4541" s="105"/>
      <c r="U4541" s="105"/>
      <c r="V4541" s="105"/>
      <c r="W4541" s="105"/>
      <c r="X4541" s="11"/>
      <c r="Y4541" s="11"/>
      <c r="Z4541" s="105"/>
      <c r="AA4541" s="11"/>
      <c r="AB4541" s="11"/>
      <c r="AC4541" s="105"/>
      <c r="AD4541" s="11" t="b">
        <v>0</v>
      </c>
      <c r="AE4541" s="105"/>
      <c r="AF4541" s="11"/>
      <c r="AG4541" s="11"/>
      <c r="AH4541" s="11"/>
      <c r="AI4541" s="11"/>
    </row>
    <row r="4542" ht="12.5" spans="3:35">
      <c r="C4542" s="19"/>
      <c r="D4542" s="19"/>
      <c r="H4542" s="105"/>
      <c r="I4542" s="126"/>
      <c r="J4542" s="11"/>
      <c r="K4542" s="108"/>
      <c r="L4542" s="11"/>
      <c r="M4542" s="105"/>
      <c r="N4542" s="105"/>
      <c r="O4542" s="11"/>
      <c r="P4542" s="11"/>
      <c r="Q4542" s="105"/>
      <c r="R4542" s="105"/>
      <c r="S4542" s="105"/>
      <c r="T4542" s="105"/>
      <c r="U4542" s="105"/>
      <c r="V4542" s="105"/>
      <c r="W4542" s="105"/>
      <c r="X4542" s="11"/>
      <c r="Y4542" s="11"/>
      <c r="Z4542" s="105"/>
      <c r="AA4542" s="11"/>
      <c r="AB4542" s="11"/>
      <c r="AC4542" s="105"/>
      <c r="AD4542" s="11" t="b">
        <v>0</v>
      </c>
      <c r="AE4542" s="105"/>
      <c r="AF4542" s="11"/>
      <c r="AG4542" s="11"/>
      <c r="AH4542" s="11"/>
      <c r="AI4542" s="11"/>
    </row>
    <row r="4543" ht="12.5" spans="3:35">
      <c r="C4543" s="19"/>
      <c r="D4543" s="19"/>
      <c r="H4543" s="105"/>
      <c r="I4543" s="126"/>
      <c r="J4543" s="11"/>
      <c r="K4543" s="108"/>
      <c r="L4543" s="11"/>
      <c r="M4543" s="105"/>
      <c r="N4543" s="105"/>
      <c r="O4543" s="11"/>
      <c r="P4543" s="11"/>
      <c r="Q4543" s="105"/>
      <c r="R4543" s="105"/>
      <c r="S4543" s="105"/>
      <c r="T4543" s="105"/>
      <c r="U4543" s="105"/>
      <c r="V4543" s="105"/>
      <c r="W4543" s="105"/>
      <c r="X4543" s="11"/>
      <c r="Y4543" s="11"/>
      <c r="Z4543" s="105"/>
      <c r="AA4543" s="11"/>
      <c r="AB4543" s="11"/>
      <c r="AC4543" s="105"/>
      <c r="AD4543" s="11" t="b">
        <v>0</v>
      </c>
      <c r="AE4543" s="105"/>
      <c r="AF4543" s="11"/>
      <c r="AG4543" s="11"/>
      <c r="AH4543" s="11"/>
      <c r="AI4543" s="11"/>
    </row>
    <row r="4544" ht="12.5" spans="3:35">
      <c r="C4544" s="19"/>
      <c r="D4544" s="19"/>
      <c r="H4544" s="105"/>
      <c r="I4544" s="126"/>
      <c r="J4544" s="11"/>
      <c r="K4544" s="108"/>
      <c r="L4544" s="11"/>
      <c r="M4544" s="105"/>
      <c r="N4544" s="105"/>
      <c r="O4544" s="11"/>
      <c r="P4544" s="11"/>
      <c r="Q4544" s="105"/>
      <c r="R4544" s="105"/>
      <c r="S4544" s="105"/>
      <c r="T4544" s="105"/>
      <c r="U4544" s="105"/>
      <c r="V4544" s="105"/>
      <c r="W4544" s="105"/>
      <c r="X4544" s="11"/>
      <c r="Y4544" s="11"/>
      <c r="Z4544" s="105"/>
      <c r="AA4544" s="11"/>
      <c r="AB4544" s="11"/>
      <c r="AC4544" s="105"/>
      <c r="AD4544" s="11" t="b">
        <v>0</v>
      </c>
      <c r="AE4544" s="105"/>
      <c r="AF4544" s="11"/>
      <c r="AG4544" s="11"/>
      <c r="AH4544" s="11"/>
      <c r="AI4544" s="11"/>
    </row>
    <row r="4545" ht="12.5" spans="3:35">
      <c r="C4545" s="19"/>
      <c r="D4545" s="19"/>
      <c r="H4545" s="105"/>
      <c r="I4545" s="126"/>
      <c r="J4545" s="11"/>
      <c r="K4545" s="108"/>
      <c r="L4545" s="11"/>
      <c r="M4545" s="105"/>
      <c r="N4545" s="105"/>
      <c r="O4545" s="11"/>
      <c r="P4545" s="11"/>
      <c r="Q4545" s="105"/>
      <c r="R4545" s="105"/>
      <c r="S4545" s="105"/>
      <c r="T4545" s="105"/>
      <c r="U4545" s="105"/>
      <c r="V4545" s="105"/>
      <c r="W4545" s="105"/>
      <c r="X4545" s="11"/>
      <c r="Y4545" s="11"/>
      <c r="Z4545" s="105"/>
      <c r="AA4545" s="11"/>
      <c r="AB4545" s="11"/>
      <c r="AC4545" s="105"/>
      <c r="AD4545" s="11" t="b">
        <v>0</v>
      </c>
      <c r="AE4545" s="105"/>
      <c r="AF4545" s="11"/>
      <c r="AG4545" s="11"/>
      <c r="AH4545" s="11"/>
      <c r="AI4545" s="11"/>
    </row>
    <row r="4546" ht="12.5" spans="3:35">
      <c r="C4546" s="19"/>
      <c r="D4546" s="19"/>
      <c r="H4546" s="105"/>
      <c r="I4546" s="126"/>
      <c r="J4546" s="11"/>
      <c r="K4546" s="108"/>
      <c r="L4546" s="11"/>
      <c r="M4546" s="105"/>
      <c r="N4546" s="105"/>
      <c r="O4546" s="11"/>
      <c r="P4546" s="11"/>
      <c r="Q4546" s="105"/>
      <c r="R4546" s="105"/>
      <c r="S4546" s="105"/>
      <c r="T4546" s="105"/>
      <c r="U4546" s="105"/>
      <c r="V4546" s="105"/>
      <c r="W4546" s="105"/>
      <c r="X4546" s="11"/>
      <c r="Y4546" s="11"/>
      <c r="Z4546" s="105"/>
      <c r="AA4546" s="11"/>
      <c r="AB4546" s="11"/>
      <c r="AC4546" s="105"/>
      <c r="AD4546" s="11" t="b">
        <v>0</v>
      </c>
      <c r="AE4546" s="105"/>
      <c r="AF4546" s="11"/>
      <c r="AG4546" s="11"/>
      <c r="AH4546" s="11"/>
      <c r="AI4546" s="11"/>
    </row>
    <row r="4547" ht="12.5" spans="3:35">
      <c r="C4547" s="19"/>
      <c r="D4547" s="19"/>
      <c r="H4547" s="105"/>
      <c r="I4547" s="126"/>
      <c r="J4547" s="11"/>
      <c r="K4547" s="108"/>
      <c r="L4547" s="11"/>
      <c r="M4547" s="105"/>
      <c r="N4547" s="105"/>
      <c r="O4547" s="11"/>
      <c r="P4547" s="11"/>
      <c r="Q4547" s="105"/>
      <c r="R4547" s="105"/>
      <c r="S4547" s="105"/>
      <c r="T4547" s="105"/>
      <c r="U4547" s="105"/>
      <c r="V4547" s="105"/>
      <c r="W4547" s="105"/>
      <c r="X4547" s="11"/>
      <c r="Y4547" s="11"/>
      <c r="Z4547" s="105"/>
      <c r="AA4547" s="11"/>
      <c r="AB4547" s="11"/>
      <c r="AC4547" s="105"/>
      <c r="AD4547" s="11" t="b">
        <v>0</v>
      </c>
      <c r="AE4547" s="105"/>
      <c r="AF4547" s="11"/>
      <c r="AG4547" s="11"/>
      <c r="AH4547" s="11"/>
      <c r="AI4547" s="11"/>
    </row>
    <row r="4548" ht="12.5" spans="3:35">
      <c r="C4548" s="19"/>
      <c r="D4548" s="19"/>
      <c r="H4548" s="105"/>
      <c r="I4548" s="126"/>
      <c r="J4548" s="11"/>
      <c r="K4548" s="108"/>
      <c r="L4548" s="11"/>
      <c r="M4548" s="105"/>
      <c r="N4548" s="105"/>
      <c r="O4548" s="11"/>
      <c r="P4548" s="11"/>
      <c r="Q4548" s="105"/>
      <c r="R4548" s="105"/>
      <c r="S4548" s="105"/>
      <c r="T4548" s="105"/>
      <c r="U4548" s="105"/>
      <c r="V4548" s="105"/>
      <c r="W4548" s="105"/>
      <c r="X4548" s="11"/>
      <c r="Y4548" s="11"/>
      <c r="Z4548" s="105"/>
      <c r="AA4548" s="11"/>
      <c r="AB4548" s="11"/>
      <c r="AC4548" s="105"/>
      <c r="AD4548" s="11" t="b">
        <v>0</v>
      </c>
      <c r="AE4548" s="105"/>
      <c r="AF4548" s="11"/>
      <c r="AG4548" s="11"/>
      <c r="AH4548" s="11"/>
      <c r="AI4548" s="11"/>
    </row>
    <row r="4549" ht="12.5" spans="3:35">
      <c r="C4549" s="19"/>
      <c r="D4549" s="19"/>
      <c r="H4549" s="105"/>
      <c r="I4549" s="126"/>
      <c r="J4549" s="11"/>
      <c r="K4549" s="108"/>
      <c r="L4549" s="11"/>
      <c r="M4549" s="105"/>
      <c r="N4549" s="105"/>
      <c r="O4549" s="11"/>
      <c r="P4549" s="11"/>
      <c r="Q4549" s="105"/>
      <c r="R4549" s="105"/>
      <c r="S4549" s="105"/>
      <c r="T4549" s="105"/>
      <c r="U4549" s="105"/>
      <c r="V4549" s="105"/>
      <c r="W4549" s="105"/>
      <c r="X4549" s="11"/>
      <c r="Y4549" s="11"/>
      <c r="Z4549" s="105"/>
      <c r="AA4549" s="11"/>
      <c r="AB4549" s="11"/>
      <c r="AC4549" s="105"/>
      <c r="AD4549" s="11" t="b">
        <v>0</v>
      </c>
      <c r="AE4549" s="105"/>
      <c r="AF4549" s="11"/>
      <c r="AG4549" s="11"/>
      <c r="AH4549" s="11"/>
      <c r="AI4549" s="11"/>
    </row>
    <row r="4550" ht="12.5" spans="3:35">
      <c r="C4550" s="19"/>
      <c r="D4550" s="19"/>
      <c r="H4550" s="105"/>
      <c r="I4550" s="126"/>
      <c r="J4550" s="11"/>
      <c r="K4550" s="108"/>
      <c r="L4550" s="11"/>
      <c r="M4550" s="105"/>
      <c r="N4550" s="105"/>
      <c r="O4550" s="11"/>
      <c r="P4550" s="11"/>
      <c r="Q4550" s="105"/>
      <c r="R4550" s="105"/>
      <c r="S4550" s="105"/>
      <c r="T4550" s="105"/>
      <c r="U4550" s="105"/>
      <c r="V4550" s="105"/>
      <c r="W4550" s="105"/>
      <c r="X4550" s="11"/>
      <c r="Y4550" s="11"/>
      <c r="Z4550" s="105"/>
      <c r="AA4550" s="11"/>
      <c r="AB4550" s="11"/>
      <c r="AC4550" s="105"/>
      <c r="AD4550" s="11" t="b">
        <v>0</v>
      </c>
      <c r="AE4550" s="105"/>
      <c r="AF4550" s="11"/>
      <c r="AG4550" s="11"/>
      <c r="AH4550" s="11"/>
      <c r="AI4550" s="11"/>
    </row>
    <row r="4551" ht="12.5" spans="3:35">
      <c r="C4551" s="19"/>
      <c r="D4551" s="19"/>
      <c r="H4551" s="105"/>
      <c r="I4551" s="126"/>
      <c r="J4551" s="11"/>
      <c r="K4551" s="108"/>
      <c r="L4551" s="11"/>
      <c r="M4551" s="105"/>
      <c r="N4551" s="105"/>
      <c r="O4551" s="11"/>
      <c r="P4551" s="11"/>
      <c r="Q4551" s="105"/>
      <c r="R4551" s="105"/>
      <c r="S4551" s="105"/>
      <c r="T4551" s="105"/>
      <c r="U4551" s="105"/>
      <c r="V4551" s="105"/>
      <c r="W4551" s="105"/>
      <c r="X4551" s="11"/>
      <c r="Y4551" s="11"/>
      <c r="Z4551" s="105"/>
      <c r="AA4551" s="11"/>
      <c r="AB4551" s="11"/>
      <c r="AC4551" s="105"/>
      <c r="AD4551" s="11" t="b">
        <v>0</v>
      </c>
      <c r="AE4551" s="105"/>
      <c r="AF4551" s="11"/>
      <c r="AG4551" s="11"/>
      <c r="AH4551" s="11"/>
      <c r="AI4551" s="11"/>
    </row>
    <row r="4552" ht="12.5" spans="3:35">
      <c r="C4552" s="19"/>
      <c r="D4552" s="19"/>
      <c r="H4552" s="105"/>
      <c r="I4552" s="126"/>
      <c r="J4552" s="11"/>
      <c r="K4552" s="108"/>
      <c r="L4552" s="11"/>
      <c r="M4552" s="105"/>
      <c r="N4552" s="105"/>
      <c r="O4552" s="11"/>
      <c r="P4552" s="11"/>
      <c r="Q4552" s="105"/>
      <c r="R4552" s="105"/>
      <c r="S4552" s="105"/>
      <c r="T4552" s="105"/>
      <c r="U4552" s="105"/>
      <c r="V4552" s="105"/>
      <c r="W4552" s="105"/>
      <c r="X4552" s="11"/>
      <c r="Y4552" s="11"/>
      <c r="Z4552" s="105"/>
      <c r="AA4552" s="11"/>
      <c r="AB4552" s="11"/>
      <c r="AC4552" s="105"/>
      <c r="AD4552" s="11" t="b">
        <v>0</v>
      </c>
      <c r="AE4552" s="105"/>
      <c r="AF4552" s="11"/>
      <c r="AG4552" s="11"/>
      <c r="AH4552" s="11"/>
      <c r="AI4552" s="11"/>
    </row>
    <row r="4553" ht="12.5" spans="3:35">
      <c r="C4553" s="19"/>
      <c r="D4553" s="19"/>
      <c r="H4553" s="105"/>
      <c r="I4553" s="126"/>
      <c r="J4553" s="11"/>
      <c r="K4553" s="108"/>
      <c r="L4553" s="11"/>
      <c r="M4553" s="105"/>
      <c r="N4553" s="105"/>
      <c r="O4553" s="11"/>
      <c r="P4553" s="11"/>
      <c r="Q4553" s="105"/>
      <c r="R4553" s="105"/>
      <c r="S4553" s="105"/>
      <c r="T4553" s="105"/>
      <c r="U4553" s="105"/>
      <c r="V4553" s="105"/>
      <c r="W4553" s="105"/>
      <c r="X4553" s="11"/>
      <c r="Y4553" s="11"/>
      <c r="Z4553" s="105"/>
      <c r="AA4553" s="11"/>
      <c r="AB4553" s="11"/>
      <c r="AC4553" s="105"/>
      <c r="AD4553" s="11" t="b">
        <v>0</v>
      </c>
      <c r="AE4553" s="105"/>
      <c r="AF4553" s="11"/>
      <c r="AG4553" s="11"/>
      <c r="AH4553" s="11"/>
      <c r="AI4553" s="11"/>
    </row>
    <row r="4554" ht="12.5" spans="3:35">
      <c r="C4554" s="19"/>
      <c r="D4554" s="19"/>
      <c r="H4554" s="105"/>
      <c r="I4554" s="126"/>
      <c r="J4554" s="11"/>
      <c r="K4554" s="108"/>
      <c r="L4554" s="11"/>
      <c r="M4554" s="105"/>
      <c r="N4554" s="105"/>
      <c r="O4554" s="11"/>
      <c r="P4554" s="11"/>
      <c r="Q4554" s="105"/>
      <c r="R4554" s="105"/>
      <c r="S4554" s="105"/>
      <c r="T4554" s="105"/>
      <c r="U4554" s="105"/>
      <c r="V4554" s="105"/>
      <c r="W4554" s="105"/>
      <c r="X4554" s="11"/>
      <c r="Y4554" s="11"/>
      <c r="Z4554" s="105"/>
      <c r="AA4554" s="11"/>
      <c r="AB4554" s="11"/>
      <c r="AC4554" s="105"/>
      <c r="AD4554" s="11" t="b">
        <v>0</v>
      </c>
      <c r="AE4554" s="105"/>
      <c r="AF4554" s="11"/>
      <c r="AG4554" s="11"/>
      <c r="AH4554" s="11"/>
      <c r="AI4554" s="11"/>
    </row>
    <row r="4555" ht="12.5" spans="3:35">
      <c r="C4555" s="19"/>
      <c r="D4555" s="19"/>
      <c r="H4555" s="105"/>
      <c r="I4555" s="126"/>
      <c r="J4555" s="11"/>
      <c r="K4555" s="108"/>
      <c r="L4555" s="11"/>
      <c r="M4555" s="105"/>
      <c r="N4555" s="105"/>
      <c r="O4555" s="11"/>
      <c r="P4555" s="11"/>
      <c r="Q4555" s="105"/>
      <c r="R4555" s="105"/>
      <c r="S4555" s="105"/>
      <c r="T4555" s="105"/>
      <c r="U4555" s="105"/>
      <c r="V4555" s="105"/>
      <c r="W4555" s="105"/>
      <c r="X4555" s="11"/>
      <c r="Y4555" s="11"/>
      <c r="Z4555" s="105"/>
      <c r="AA4555" s="11"/>
      <c r="AB4555" s="11"/>
      <c r="AC4555" s="105"/>
      <c r="AD4555" s="11" t="b">
        <v>0</v>
      </c>
      <c r="AE4555" s="105"/>
      <c r="AF4555" s="11"/>
      <c r="AG4555" s="11"/>
      <c r="AH4555" s="11"/>
      <c r="AI4555" s="11"/>
    </row>
    <row r="4556" ht="12.5" spans="3:35">
      <c r="C4556" s="19"/>
      <c r="D4556" s="19"/>
      <c r="H4556" s="105"/>
      <c r="I4556" s="126"/>
      <c r="J4556" s="11"/>
      <c r="K4556" s="108"/>
      <c r="L4556" s="11"/>
      <c r="M4556" s="105"/>
      <c r="N4556" s="105"/>
      <c r="O4556" s="11"/>
      <c r="P4556" s="11"/>
      <c r="Q4556" s="105"/>
      <c r="R4556" s="105"/>
      <c r="S4556" s="105"/>
      <c r="T4556" s="105"/>
      <c r="U4556" s="105"/>
      <c r="V4556" s="105"/>
      <c r="W4556" s="105"/>
      <c r="X4556" s="11"/>
      <c r="Y4556" s="11"/>
      <c r="Z4556" s="105"/>
      <c r="AA4556" s="11"/>
      <c r="AB4556" s="11"/>
      <c r="AC4556" s="105"/>
      <c r="AD4556" s="11" t="b">
        <v>0</v>
      </c>
      <c r="AE4556" s="105"/>
      <c r="AF4556" s="11"/>
      <c r="AG4556" s="11"/>
      <c r="AH4556" s="11"/>
      <c r="AI4556" s="11"/>
    </row>
    <row r="4557" ht="12.5" spans="3:35">
      <c r="C4557" s="19"/>
      <c r="D4557" s="19"/>
      <c r="H4557" s="105"/>
      <c r="I4557" s="126"/>
      <c r="J4557" s="11"/>
      <c r="K4557" s="108"/>
      <c r="L4557" s="11"/>
      <c r="M4557" s="105"/>
      <c r="N4557" s="105"/>
      <c r="O4557" s="11"/>
      <c r="P4557" s="11"/>
      <c r="Q4557" s="105"/>
      <c r="R4557" s="105"/>
      <c r="S4557" s="105"/>
      <c r="T4557" s="105"/>
      <c r="U4557" s="105"/>
      <c r="V4557" s="105"/>
      <c r="W4557" s="105"/>
      <c r="X4557" s="11"/>
      <c r="Y4557" s="11"/>
      <c r="Z4557" s="105"/>
      <c r="AA4557" s="11"/>
      <c r="AB4557" s="11"/>
      <c r="AC4557" s="105"/>
      <c r="AD4557" s="11" t="b">
        <v>0</v>
      </c>
      <c r="AE4557" s="105"/>
      <c r="AF4557" s="11"/>
      <c r="AG4557" s="11"/>
      <c r="AH4557" s="11"/>
      <c r="AI4557" s="11"/>
    </row>
    <row r="4558" ht="12.5" spans="3:35">
      <c r="C4558" s="19"/>
      <c r="D4558" s="19"/>
      <c r="H4558" s="105"/>
      <c r="I4558" s="126"/>
      <c r="J4558" s="11"/>
      <c r="K4558" s="108"/>
      <c r="L4558" s="11"/>
      <c r="M4558" s="105"/>
      <c r="N4558" s="105"/>
      <c r="O4558" s="11"/>
      <c r="P4558" s="11"/>
      <c r="Q4558" s="105"/>
      <c r="R4558" s="105"/>
      <c r="S4558" s="105"/>
      <c r="T4558" s="105"/>
      <c r="U4558" s="105"/>
      <c r="V4558" s="105"/>
      <c r="W4558" s="105"/>
      <c r="X4558" s="11"/>
      <c r="Y4558" s="11"/>
      <c r="Z4558" s="105"/>
      <c r="AA4558" s="11"/>
      <c r="AB4558" s="11"/>
      <c r="AC4558" s="105"/>
      <c r="AD4558" s="11" t="b">
        <v>0</v>
      </c>
      <c r="AE4558" s="105"/>
      <c r="AF4558" s="11"/>
      <c r="AG4558" s="11"/>
      <c r="AH4558" s="11"/>
      <c r="AI4558" s="11"/>
    </row>
    <row r="4559" ht="12.5" spans="3:35">
      <c r="C4559" s="19"/>
      <c r="D4559" s="19"/>
      <c r="H4559" s="105"/>
      <c r="I4559" s="126"/>
      <c r="J4559" s="11"/>
      <c r="K4559" s="108"/>
      <c r="L4559" s="11"/>
      <c r="M4559" s="105"/>
      <c r="N4559" s="105"/>
      <c r="O4559" s="11"/>
      <c r="P4559" s="11"/>
      <c r="Q4559" s="105"/>
      <c r="R4559" s="105"/>
      <c r="S4559" s="105"/>
      <c r="T4559" s="105"/>
      <c r="U4559" s="105"/>
      <c r="V4559" s="105"/>
      <c r="W4559" s="105"/>
      <c r="X4559" s="11"/>
      <c r="Y4559" s="11"/>
      <c r="Z4559" s="105"/>
      <c r="AA4559" s="11"/>
      <c r="AB4559" s="11"/>
      <c r="AC4559" s="105"/>
      <c r="AD4559" s="11" t="b">
        <v>0</v>
      </c>
      <c r="AE4559" s="105"/>
      <c r="AF4559" s="11"/>
      <c r="AG4559" s="11"/>
      <c r="AH4559" s="11"/>
      <c r="AI4559" s="11"/>
    </row>
    <row r="4560" ht="12.5" spans="3:35">
      <c r="C4560" s="19"/>
      <c r="D4560" s="19"/>
      <c r="H4560" s="105"/>
      <c r="I4560" s="126"/>
      <c r="J4560" s="11"/>
      <c r="K4560" s="108"/>
      <c r="L4560" s="11"/>
      <c r="M4560" s="105"/>
      <c r="N4560" s="105"/>
      <c r="O4560" s="11"/>
      <c r="P4560" s="11"/>
      <c r="Q4560" s="105"/>
      <c r="R4560" s="105"/>
      <c r="S4560" s="105"/>
      <c r="T4560" s="105"/>
      <c r="U4560" s="105"/>
      <c r="V4560" s="105"/>
      <c r="W4560" s="105"/>
      <c r="X4560" s="11"/>
      <c r="Y4560" s="11"/>
      <c r="Z4560" s="105"/>
      <c r="AA4560" s="11"/>
      <c r="AB4560" s="11"/>
      <c r="AC4560" s="105"/>
      <c r="AD4560" s="11" t="b">
        <v>0</v>
      </c>
      <c r="AE4560" s="105"/>
      <c r="AF4560" s="11"/>
      <c r="AG4560" s="11"/>
      <c r="AH4560" s="11"/>
      <c r="AI4560" s="11"/>
    </row>
    <row r="4561" ht="12.5" spans="3:35">
      <c r="C4561" s="19"/>
      <c r="D4561" s="19"/>
      <c r="H4561" s="105"/>
      <c r="I4561" s="126"/>
      <c r="J4561" s="11"/>
      <c r="K4561" s="108"/>
      <c r="L4561" s="11"/>
      <c r="M4561" s="105"/>
      <c r="N4561" s="105"/>
      <c r="O4561" s="11"/>
      <c r="P4561" s="11"/>
      <c r="Q4561" s="105"/>
      <c r="R4561" s="105"/>
      <c r="S4561" s="105"/>
      <c r="T4561" s="105"/>
      <c r="U4561" s="105"/>
      <c r="V4561" s="105"/>
      <c r="W4561" s="105"/>
      <c r="X4561" s="11"/>
      <c r="Y4561" s="11"/>
      <c r="Z4561" s="105"/>
      <c r="AA4561" s="11"/>
      <c r="AB4561" s="11"/>
      <c r="AC4561" s="105"/>
      <c r="AD4561" s="11" t="b">
        <v>0</v>
      </c>
      <c r="AE4561" s="105"/>
      <c r="AF4561" s="11"/>
      <c r="AG4561" s="11"/>
      <c r="AH4561" s="11"/>
      <c r="AI4561" s="11"/>
    </row>
    <row r="4562" ht="12.5" spans="3:35">
      <c r="C4562" s="19"/>
      <c r="D4562" s="19"/>
      <c r="H4562" s="105"/>
      <c r="I4562" s="126"/>
      <c r="J4562" s="11"/>
      <c r="K4562" s="108"/>
      <c r="L4562" s="11"/>
      <c r="M4562" s="105"/>
      <c r="N4562" s="105"/>
      <c r="O4562" s="11"/>
      <c r="P4562" s="11"/>
      <c r="Q4562" s="105"/>
      <c r="R4562" s="105"/>
      <c r="S4562" s="105"/>
      <c r="T4562" s="105"/>
      <c r="U4562" s="105"/>
      <c r="V4562" s="105"/>
      <c r="W4562" s="105"/>
      <c r="X4562" s="11"/>
      <c r="Y4562" s="11"/>
      <c r="Z4562" s="105"/>
      <c r="AA4562" s="11"/>
      <c r="AB4562" s="11"/>
      <c r="AC4562" s="105"/>
      <c r="AD4562" s="11" t="b">
        <v>0</v>
      </c>
      <c r="AE4562" s="105"/>
      <c r="AF4562" s="11"/>
      <c r="AG4562" s="11"/>
      <c r="AH4562" s="11"/>
      <c r="AI4562" s="11"/>
    </row>
    <row r="4563" ht="12.5" spans="3:35">
      <c r="C4563" s="19"/>
      <c r="D4563" s="19"/>
      <c r="H4563" s="105"/>
      <c r="I4563" s="126"/>
      <c r="J4563" s="11"/>
      <c r="K4563" s="108"/>
      <c r="L4563" s="11"/>
      <c r="M4563" s="105"/>
      <c r="N4563" s="105"/>
      <c r="O4563" s="11"/>
      <c r="P4563" s="11"/>
      <c r="Q4563" s="105"/>
      <c r="R4563" s="105"/>
      <c r="S4563" s="105"/>
      <c r="T4563" s="105"/>
      <c r="U4563" s="105"/>
      <c r="V4563" s="105"/>
      <c r="W4563" s="105"/>
      <c r="X4563" s="11"/>
      <c r="Y4563" s="11"/>
      <c r="Z4563" s="105"/>
      <c r="AA4563" s="11"/>
      <c r="AB4563" s="11"/>
      <c r="AC4563" s="105"/>
      <c r="AD4563" s="11" t="b">
        <v>0</v>
      </c>
      <c r="AE4563" s="105"/>
      <c r="AF4563" s="11"/>
      <c r="AG4563" s="11"/>
      <c r="AH4563" s="11"/>
      <c r="AI4563" s="11"/>
    </row>
    <row r="4564" ht="12.5" spans="3:35">
      <c r="C4564" s="19"/>
      <c r="D4564" s="19"/>
      <c r="H4564" s="105"/>
      <c r="I4564" s="126"/>
      <c r="J4564" s="11"/>
      <c r="K4564" s="108"/>
      <c r="L4564" s="11"/>
      <c r="M4564" s="105"/>
      <c r="N4564" s="105"/>
      <c r="O4564" s="11"/>
      <c r="P4564" s="11"/>
      <c r="Q4564" s="105"/>
      <c r="R4564" s="105"/>
      <c r="S4564" s="105"/>
      <c r="T4564" s="105"/>
      <c r="U4564" s="105"/>
      <c r="V4564" s="105"/>
      <c r="W4564" s="105"/>
      <c r="X4564" s="11"/>
      <c r="Y4564" s="11"/>
      <c r="Z4564" s="105"/>
      <c r="AA4564" s="11"/>
      <c r="AB4564" s="11"/>
      <c r="AC4564" s="105"/>
      <c r="AD4564" s="11" t="b">
        <v>0</v>
      </c>
      <c r="AE4564" s="105"/>
      <c r="AF4564" s="11"/>
      <c r="AG4564" s="11"/>
      <c r="AH4564" s="11"/>
      <c r="AI4564" s="11"/>
    </row>
    <row r="4565" ht="12.5" spans="3:35">
      <c r="C4565" s="19"/>
      <c r="D4565" s="19"/>
      <c r="H4565" s="105"/>
      <c r="I4565" s="126"/>
      <c r="J4565" s="11"/>
      <c r="K4565" s="108"/>
      <c r="L4565" s="11"/>
      <c r="M4565" s="105"/>
      <c r="N4565" s="105"/>
      <c r="O4565" s="11"/>
      <c r="P4565" s="11"/>
      <c r="Q4565" s="105"/>
      <c r="R4565" s="105"/>
      <c r="S4565" s="105"/>
      <c r="T4565" s="105"/>
      <c r="U4565" s="105"/>
      <c r="V4565" s="105"/>
      <c r="W4565" s="105"/>
      <c r="X4565" s="11"/>
      <c r="Y4565" s="11"/>
      <c r="Z4565" s="105"/>
      <c r="AA4565" s="11"/>
      <c r="AB4565" s="11"/>
      <c r="AC4565" s="105"/>
      <c r="AD4565" s="11" t="b">
        <v>0</v>
      </c>
      <c r="AE4565" s="105"/>
      <c r="AF4565" s="11"/>
      <c r="AG4565" s="11"/>
      <c r="AH4565" s="11"/>
      <c r="AI4565" s="11"/>
    </row>
    <row r="4566" ht="12.5" spans="3:35">
      <c r="C4566" s="19"/>
      <c r="D4566" s="19"/>
      <c r="H4566" s="105"/>
      <c r="I4566" s="126"/>
      <c r="J4566" s="11"/>
      <c r="K4566" s="108"/>
      <c r="L4566" s="11"/>
      <c r="M4566" s="105"/>
      <c r="N4566" s="105"/>
      <c r="O4566" s="11"/>
      <c r="P4566" s="11"/>
      <c r="Q4566" s="105"/>
      <c r="R4566" s="105"/>
      <c r="S4566" s="105"/>
      <c r="T4566" s="105"/>
      <c r="U4566" s="105"/>
      <c r="V4566" s="105"/>
      <c r="W4566" s="105"/>
      <c r="X4566" s="11"/>
      <c r="Y4566" s="11"/>
      <c r="Z4566" s="105"/>
      <c r="AA4566" s="11"/>
      <c r="AB4566" s="11"/>
      <c r="AC4566" s="105"/>
      <c r="AD4566" s="11" t="b">
        <v>0</v>
      </c>
      <c r="AE4566" s="105"/>
      <c r="AF4566" s="11"/>
      <c r="AG4566" s="11"/>
      <c r="AH4566" s="11"/>
      <c r="AI4566" s="11"/>
    </row>
    <row r="4567" ht="12.5" spans="3:35">
      <c r="C4567" s="19"/>
      <c r="D4567" s="19"/>
      <c r="H4567" s="105"/>
      <c r="I4567" s="126"/>
      <c r="J4567" s="11"/>
      <c r="K4567" s="108"/>
      <c r="L4567" s="11"/>
      <c r="M4567" s="105"/>
      <c r="N4567" s="105"/>
      <c r="O4567" s="11"/>
      <c r="P4567" s="11"/>
      <c r="Q4567" s="105"/>
      <c r="R4567" s="105"/>
      <c r="S4567" s="105"/>
      <c r="T4567" s="105"/>
      <c r="U4567" s="105"/>
      <c r="V4567" s="105"/>
      <c r="W4567" s="105"/>
      <c r="X4567" s="11"/>
      <c r="Y4567" s="11"/>
      <c r="Z4567" s="105"/>
      <c r="AA4567" s="11"/>
      <c r="AB4567" s="11"/>
      <c r="AC4567" s="105"/>
      <c r="AD4567" s="11" t="b">
        <v>0</v>
      </c>
      <c r="AE4567" s="105"/>
      <c r="AF4567" s="11"/>
      <c r="AG4567" s="11"/>
      <c r="AH4567" s="11"/>
      <c r="AI4567" s="11"/>
    </row>
    <row r="4568" ht="12.5" spans="3:35">
      <c r="C4568" s="19"/>
      <c r="D4568" s="19"/>
      <c r="H4568" s="105"/>
      <c r="I4568" s="126"/>
      <c r="J4568" s="11"/>
      <c r="K4568" s="108"/>
      <c r="L4568" s="11"/>
      <c r="M4568" s="105"/>
      <c r="N4568" s="105"/>
      <c r="O4568" s="11"/>
      <c r="P4568" s="11"/>
      <c r="Q4568" s="105"/>
      <c r="R4568" s="105"/>
      <c r="S4568" s="105"/>
      <c r="T4568" s="105"/>
      <c r="U4568" s="105"/>
      <c r="V4568" s="105"/>
      <c r="W4568" s="105"/>
      <c r="X4568" s="11"/>
      <c r="Y4568" s="11"/>
      <c r="Z4568" s="105"/>
      <c r="AA4568" s="11"/>
      <c r="AB4568" s="11"/>
      <c r="AC4568" s="105"/>
      <c r="AD4568" s="11" t="b">
        <v>0</v>
      </c>
      <c r="AE4568" s="105"/>
      <c r="AF4568" s="11"/>
      <c r="AG4568" s="11"/>
      <c r="AH4568" s="11"/>
      <c r="AI4568" s="11"/>
    </row>
    <row r="4569" ht="12.5" spans="3:35">
      <c r="C4569" s="19"/>
      <c r="D4569" s="19"/>
      <c r="H4569" s="105"/>
      <c r="I4569" s="126"/>
      <c r="J4569" s="11"/>
      <c r="K4569" s="108"/>
      <c r="L4569" s="11"/>
      <c r="M4569" s="105"/>
      <c r="N4569" s="105"/>
      <c r="O4569" s="11"/>
      <c r="P4569" s="11"/>
      <c r="Q4569" s="105"/>
      <c r="R4569" s="105"/>
      <c r="S4569" s="105"/>
      <c r="T4569" s="105"/>
      <c r="U4569" s="105"/>
      <c r="V4569" s="105"/>
      <c r="W4569" s="105"/>
      <c r="X4569" s="11"/>
      <c r="Y4569" s="11"/>
      <c r="Z4569" s="105"/>
      <c r="AA4569" s="11"/>
      <c r="AB4569" s="11"/>
      <c r="AC4569" s="105"/>
      <c r="AD4569" s="11" t="b">
        <v>0</v>
      </c>
      <c r="AE4569" s="105"/>
      <c r="AF4569" s="11"/>
      <c r="AG4569" s="11"/>
      <c r="AH4569" s="11"/>
      <c r="AI4569" s="11"/>
    </row>
    <row r="4570" ht="12.5" spans="3:35">
      <c r="C4570" s="19"/>
      <c r="D4570" s="19"/>
      <c r="H4570" s="105"/>
      <c r="I4570" s="126"/>
      <c r="J4570" s="11"/>
      <c r="K4570" s="108"/>
      <c r="L4570" s="11"/>
      <c r="M4570" s="105"/>
      <c r="N4570" s="105"/>
      <c r="O4570" s="11"/>
      <c r="P4570" s="11"/>
      <c r="Q4570" s="105"/>
      <c r="R4570" s="105"/>
      <c r="S4570" s="105"/>
      <c r="T4570" s="105"/>
      <c r="U4570" s="105"/>
      <c r="V4570" s="105"/>
      <c r="W4570" s="105"/>
      <c r="X4570" s="11"/>
      <c r="Y4570" s="11"/>
      <c r="Z4570" s="105"/>
      <c r="AA4570" s="11"/>
      <c r="AB4570" s="11"/>
      <c r="AC4570" s="105"/>
      <c r="AD4570" s="11" t="b">
        <v>0</v>
      </c>
      <c r="AE4570" s="105"/>
      <c r="AF4570" s="11"/>
      <c r="AG4570" s="11"/>
      <c r="AH4570" s="11"/>
      <c r="AI4570" s="11"/>
    </row>
    <row r="4571" ht="12.5" spans="3:35">
      <c r="C4571" s="19"/>
      <c r="D4571" s="19"/>
      <c r="H4571" s="105"/>
      <c r="I4571" s="126"/>
      <c r="J4571" s="11"/>
      <c r="K4571" s="108"/>
      <c r="L4571" s="11"/>
      <c r="M4571" s="105"/>
      <c r="N4571" s="105"/>
      <c r="O4571" s="11"/>
      <c r="P4571" s="11"/>
      <c r="Q4571" s="105"/>
      <c r="R4571" s="105"/>
      <c r="S4571" s="105"/>
      <c r="T4571" s="105"/>
      <c r="U4571" s="105"/>
      <c r="V4571" s="105"/>
      <c r="W4571" s="105"/>
      <c r="X4571" s="11"/>
      <c r="Y4571" s="11"/>
      <c r="Z4571" s="105"/>
      <c r="AA4571" s="11"/>
      <c r="AB4571" s="11"/>
      <c r="AC4571" s="105"/>
      <c r="AD4571" s="11" t="b">
        <v>0</v>
      </c>
      <c r="AE4571" s="105"/>
      <c r="AF4571" s="11"/>
      <c r="AG4571" s="11"/>
      <c r="AH4571" s="11"/>
      <c r="AI4571" s="11"/>
    </row>
    <row r="4572" ht="12.5" spans="3:35">
      <c r="C4572" s="19"/>
      <c r="D4572" s="19"/>
      <c r="H4572" s="105"/>
      <c r="I4572" s="126"/>
      <c r="J4572" s="11"/>
      <c r="K4572" s="108"/>
      <c r="L4572" s="11"/>
      <c r="M4572" s="105"/>
      <c r="N4572" s="105"/>
      <c r="O4572" s="11"/>
      <c r="P4572" s="11"/>
      <c r="Q4572" s="105"/>
      <c r="R4572" s="105"/>
      <c r="S4572" s="105"/>
      <c r="T4572" s="105"/>
      <c r="U4572" s="105"/>
      <c r="V4572" s="105"/>
      <c r="W4572" s="105"/>
      <c r="X4572" s="11"/>
      <c r="Y4572" s="11"/>
      <c r="Z4572" s="105"/>
      <c r="AA4572" s="11"/>
      <c r="AB4572" s="11"/>
      <c r="AC4572" s="105"/>
      <c r="AD4572" s="11" t="b">
        <v>0</v>
      </c>
      <c r="AE4572" s="105"/>
      <c r="AF4572" s="11"/>
      <c r="AG4572" s="11"/>
      <c r="AH4572" s="11"/>
      <c r="AI4572" s="11"/>
    </row>
    <row r="4573" ht="12.5" spans="3:35">
      <c r="C4573" s="19"/>
      <c r="D4573" s="19"/>
      <c r="H4573" s="105"/>
      <c r="I4573" s="126"/>
      <c r="J4573" s="11"/>
      <c r="K4573" s="108"/>
      <c r="L4573" s="11"/>
      <c r="M4573" s="105"/>
      <c r="N4573" s="105"/>
      <c r="O4573" s="11"/>
      <c r="P4573" s="11"/>
      <c r="Q4573" s="105"/>
      <c r="R4573" s="105"/>
      <c r="S4573" s="105"/>
      <c r="T4573" s="105"/>
      <c r="U4573" s="105"/>
      <c r="V4573" s="105"/>
      <c r="W4573" s="105"/>
      <c r="X4573" s="11"/>
      <c r="Y4573" s="11"/>
      <c r="Z4573" s="105"/>
      <c r="AA4573" s="11"/>
      <c r="AB4573" s="11"/>
      <c r="AC4573" s="105"/>
      <c r="AD4573" s="11" t="b">
        <v>0</v>
      </c>
      <c r="AE4573" s="105"/>
      <c r="AF4573" s="11"/>
      <c r="AG4573" s="11"/>
      <c r="AH4573" s="11"/>
      <c r="AI4573" s="11"/>
    </row>
    <row r="4574" ht="12.5" spans="3:35">
      <c r="C4574" s="19"/>
      <c r="D4574" s="19"/>
      <c r="H4574" s="105"/>
      <c r="I4574" s="126"/>
      <c r="J4574" s="11"/>
      <c r="K4574" s="108"/>
      <c r="L4574" s="11"/>
      <c r="M4574" s="105"/>
      <c r="N4574" s="105"/>
      <c r="O4574" s="11"/>
      <c r="P4574" s="11"/>
      <c r="Q4574" s="105"/>
      <c r="R4574" s="105"/>
      <c r="S4574" s="105"/>
      <c r="T4574" s="105"/>
      <c r="U4574" s="105"/>
      <c r="V4574" s="105"/>
      <c r="W4574" s="105"/>
      <c r="X4574" s="11"/>
      <c r="Y4574" s="11"/>
      <c r="Z4574" s="105"/>
      <c r="AA4574" s="11"/>
      <c r="AB4574" s="11"/>
      <c r="AC4574" s="105"/>
      <c r="AD4574" s="11" t="b">
        <v>0</v>
      </c>
      <c r="AE4574" s="105"/>
      <c r="AF4574" s="11"/>
      <c r="AG4574" s="11"/>
      <c r="AH4574" s="11"/>
      <c r="AI4574" s="11"/>
    </row>
    <row r="4575" ht="12.5" spans="3:35">
      <c r="C4575" s="19"/>
      <c r="D4575" s="19"/>
      <c r="H4575" s="105"/>
      <c r="I4575" s="126"/>
      <c r="J4575" s="11"/>
      <c r="K4575" s="108"/>
      <c r="L4575" s="11"/>
      <c r="M4575" s="105"/>
      <c r="N4575" s="105"/>
      <c r="O4575" s="11"/>
      <c r="P4575" s="11"/>
      <c r="Q4575" s="105"/>
      <c r="R4575" s="105"/>
      <c r="S4575" s="105"/>
      <c r="T4575" s="105"/>
      <c r="U4575" s="105"/>
      <c r="V4575" s="105"/>
      <c r="W4575" s="105"/>
      <c r="X4575" s="11"/>
      <c r="Y4575" s="11"/>
      <c r="Z4575" s="105"/>
      <c r="AA4575" s="11"/>
      <c r="AB4575" s="11"/>
      <c r="AC4575" s="105"/>
      <c r="AD4575" s="11" t="b">
        <v>0</v>
      </c>
      <c r="AE4575" s="105"/>
      <c r="AF4575" s="11"/>
      <c r="AG4575" s="11"/>
      <c r="AH4575" s="11"/>
      <c r="AI4575" s="11"/>
    </row>
    <row r="4576" ht="12.5" spans="3:35">
      <c r="C4576" s="19"/>
      <c r="D4576" s="19"/>
      <c r="H4576" s="105"/>
      <c r="I4576" s="126"/>
      <c r="J4576" s="11"/>
      <c r="K4576" s="108"/>
      <c r="L4576" s="11"/>
      <c r="M4576" s="105"/>
      <c r="N4576" s="105"/>
      <c r="O4576" s="11"/>
      <c r="P4576" s="11"/>
      <c r="Q4576" s="105"/>
      <c r="R4576" s="105"/>
      <c r="S4576" s="105"/>
      <c r="T4576" s="105"/>
      <c r="U4576" s="105"/>
      <c r="V4576" s="105"/>
      <c r="W4576" s="105"/>
      <c r="X4576" s="11"/>
      <c r="Y4576" s="11"/>
      <c r="Z4576" s="105"/>
      <c r="AA4576" s="11"/>
      <c r="AB4576" s="11"/>
      <c r="AC4576" s="105"/>
      <c r="AD4576" s="11" t="b">
        <v>0</v>
      </c>
      <c r="AE4576" s="105"/>
      <c r="AF4576" s="11"/>
      <c r="AG4576" s="11"/>
      <c r="AH4576" s="11"/>
      <c r="AI4576" s="11"/>
    </row>
    <row r="4577" ht="12.5" spans="3:35">
      <c r="C4577" s="19"/>
      <c r="D4577" s="19"/>
      <c r="H4577" s="105"/>
      <c r="I4577" s="126"/>
      <c r="J4577" s="11"/>
      <c r="K4577" s="108"/>
      <c r="L4577" s="11"/>
      <c r="M4577" s="105"/>
      <c r="N4577" s="105"/>
      <c r="O4577" s="11"/>
      <c r="P4577" s="11"/>
      <c r="Q4577" s="105"/>
      <c r="R4577" s="105"/>
      <c r="S4577" s="105"/>
      <c r="T4577" s="105"/>
      <c r="U4577" s="105"/>
      <c r="V4577" s="105"/>
      <c r="W4577" s="105"/>
      <c r="X4577" s="11"/>
      <c r="Y4577" s="11"/>
      <c r="Z4577" s="105"/>
      <c r="AA4577" s="11"/>
      <c r="AB4577" s="11"/>
      <c r="AC4577" s="105"/>
      <c r="AD4577" s="11" t="b">
        <v>0</v>
      </c>
      <c r="AE4577" s="105"/>
      <c r="AF4577" s="11"/>
      <c r="AG4577" s="11"/>
      <c r="AH4577" s="11"/>
      <c r="AI4577" s="11"/>
    </row>
    <row r="4578" ht="12.5" spans="3:35">
      <c r="C4578" s="19"/>
      <c r="D4578" s="19"/>
      <c r="H4578" s="105"/>
      <c r="I4578" s="126"/>
      <c r="J4578" s="11"/>
      <c r="K4578" s="108"/>
      <c r="L4578" s="11"/>
      <c r="M4578" s="105"/>
      <c r="N4578" s="105"/>
      <c r="O4578" s="11"/>
      <c r="P4578" s="11"/>
      <c r="Q4578" s="105"/>
      <c r="R4578" s="105"/>
      <c r="S4578" s="105"/>
      <c r="T4578" s="105"/>
      <c r="U4578" s="105"/>
      <c r="V4578" s="105"/>
      <c r="W4578" s="105"/>
      <c r="X4578" s="11"/>
      <c r="Y4578" s="11"/>
      <c r="Z4578" s="105"/>
      <c r="AA4578" s="11"/>
      <c r="AB4578" s="11"/>
      <c r="AC4578" s="105"/>
      <c r="AD4578" s="11" t="b">
        <v>0</v>
      </c>
      <c r="AE4578" s="105"/>
      <c r="AF4578" s="11"/>
      <c r="AG4578" s="11"/>
      <c r="AH4578" s="11"/>
      <c r="AI4578" s="11"/>
    </row>
    <row r="4579" ht="12.5" spans="3:35">
      <c r="C4579" s="19"/>
      <c r="D4579" s="19"/>
      <c r="H4579" s="105"/>
      <c r="I4579" s="126"/>
      <c r="J4579" s="11"/>
      <c r="K4579" s="108"/>
      <c r="L4579" s="11"/>
      <c r="M4579" s="105"/>
      <c r="N4579" s="105"/>
      <c r="O4579" s="11"/>
      <c r="P4579" s="11"/>
      <c r="Q4579" s="105"/>
      <c r="R4579" s="105"/>
      <c r="S4579" s="105"/>
      <c r="T4579" s="105"/>
      <c r="U4579" s="105"/>
      <c r="V4579" s="105"/>
      <c r="W4579" s="105"/>
      <c r="X4579" s="11"/>
      <c r="Y4579" s="11"/>
      <c r="Z4579" s="105"/>
      <c r="AA4579" s="11"/>
      <c r="AB4579" s="11"/>
      <c r="AC4579" s="105"/>
      <c r="AD4579" s="11" t="b">
        <v>0</v>
      </c>
      <c r="AE4579" s="105"/>
      <c r="AF4579" s="11"/>
      <c r="AG4579" s="11"/>
      <c r="AH4579" s="11"/>
      <c r="AI4579" s="11"/>
    </row>
    <row r="4580" ht="12.5" spans="3:35">
      <c r="C4580" s="19"/>
      <c r="D4580" s="19"/>
      <c r="H4580" s="105"/>
      <c r="I4580" s="126"/>
      <c r="J4580" s="11"/>
      <c r="K4580" s="108"/>
      <c r="L4580" s="11"/>
      <c r="M4580" s="105"/>
      <c r="N4580" s="105"/>
      <c r="O4580" s="11"/>
      <c r="P4580" s="11"/>
      <c r="Q4580" s="105"/>
      <c r="R4580" s="105"/>
      <c r="S4580" s="105"/>
      <c r="T4580" s="105"/>
      <c r="U4580" s="105"/>
      <c r="V4580" s="105"/>
      <c r="W4580" s="105"/>
      <c r="X4580" s="11"/>
      <c r="Y4580" s="11"/>
      <c r="Z4580" s="105"/>
      <c r="AA4580" s="11"/>
      <c r="AB4580" s="11"/>
      <c r="AC4580" s="105"/>
      <c r="AD4580" s="11" t="b">
        <v>0</v>
      </c>
      <c r="AE4580" s="105"/>
      <c r="AF4580" s="11"/>
      <c r="AG4580" s="11"/>
      <c r="AH4580" s="11"/>
      <c r="AI4580" s="11"/>
    </row>
    <row r="4581" ht="12.5" spans="3:35">
      <c r="C4581" s="19"/>
      <c r="D4581" s="19"/>
      <c r="H4581" s="105"/>
      <c r="I4581" s="126"/>
      <c r="J4581" s="11"/>
      <c r="K4581" s="108"/>
      <c r="L4581" s="11"/>
      <c r="M4581" s="105"/>
      <c r="N4581" s="105"/>
      <c r="O4581" s="11"/>
      <c r="P4581" s="11"/>
      <c r="Q4581" s="105"/>
      <c r="R4581" s="105"/>
      <c r="S4581" s="105"/>
      <c r="T4581" s="105"/>
      <c r="U4581" s="105"/>
      <c r="V4581" s="105"/>
      <c r="W4581" s="105"/>
      <c r="X4581" s="11"/>
      <c r="Y4581" s="11"/>
      <c r="Z4581" s="105"/>
      <c r="AA4581" s="11"/>
      <c r="AB4581" s="11"/>
      <c r="AC4581" s="105"/>
      <c r="AD4581" s="11" t="b">
        <v>0</v>
      </c>
      <c r="AE4581" s="105"/>
      <c r="AF4581" s="11"/>
      <c r="AG4581" s="11"/>
      <c r="AH4581" s="11"/>
      <c r="AI4581" s="11"/>
    </row>
    <row r="4582" ht="12.5" spans="3:35">
      <c r="C4582" s="19"/>
      <c r="D4582" s="19"/>
      <c r="H4582" s="105"/>
      <c r="I4582" s="126"/>
      <c r="J4582" s="11"/>
      <c r="K4582" s="108"/>
      <c r="L4582" s="11"/>
      <c r="M4582" s="105"/>
      <c r="N4582" s="105"/>
      <c r="O4582" s="11"/>
      <c r="P4582" s="11"/>
      <c r="Q4582" s="105"/>
      <c r="R4582" s="105"/>
      <c r="S4582" s="105"/>
      <c r="T4582" s="105"/>
      <c r="U4582" s="105"/>
      <c r="V4582" s="105"/>
      <c r="W4582" s="105"/>
      <c r="X4582" s="11"/>
      <c r="Y4582" s="11"/>
      <c r="Z4582" s="105"/>
      <c r="AA4582" s="11"/>
      <c r="AB4582" s="11"/>
      <c r="AC4582" s="105"/>
      <c r="AD4582" s="11" t="b">
        <v>0</v>
      </c>
      <c r="AE4582" s="105"/>
      <c r="AF4582" s="11"/>
      <c r="AG4582" s="11"/>
      <c r="AH4582" s="11"/>
      <c r="AI4582" s="11"/>
    </row>
    <row r="4583" ht="12.5" spans="3:35">
      <c r="C4583" s="19"/>
      <c r="D4583" s="19"/>
      <c r="H4583" s="105"/>
      <c r="I4583" s="126"/>
      <c r="J4583" s="11"/>
      <c r="K4583" s="108"/>
      <c r="L4583" s="11"/>
      <c r="M4583" s="105"/>
      <c r="N4583" s="105"/>
      <c r="O4583" s="11"/>
      <c r="P4583" s="11"/>
      <c r="Q4583" s="105"/>
      <c r="R4583" s="105"/>
      <c r="S4583" s="105"/>
      <c r="T4583" s="105"/>
      <c r="U4583" s="105"/>
      <c r="V4583" s="105"/>
      <c r="W4583" s="105"/>
      <c r="X4583" s="11"/>
      <c r="Y4583" s="11"/>
      <c r="Z4583" s="105"/>
      <c r="AA4583" s="11"/>
      <c r="AB4583" s="11"/>
      <c r="AC4583" s="105"/>
      <c r="AD4583" s="11" t="b">
        <v>0</v>
      </c>
      <c r="AE4583" s="105"/>
      <c r="AF4583" s="11"/>
      <c r="AG4583" s="11"/>
      <c r="AH4583" s="11"/>
      <c r="AI4583" s="11"/>
    </row>
    <row r="4584" ht="12.5" spans="3:35">
      <c r="C4584" s="19"/>
      <c r="D4584" s="19"/>
      <c r="H4584" s="105"/>
      <c r="I4584" s="126"/>
      <c r="J4584" s="11"/>
      <c r="K4584" s="108"/>
      <c r="L4584" s="11"/>
      <c r="M4584" s="105"/>
      <c r="N4584" s="105"/>
      <c r="O4584" s="11"/>
      <c r="P4584" s="11"/>
      <c r="Q4584" s="105"/>
      <c r="R4584" s="105"/>
      <c r="S4584" s="105"/>
      <c r="T4584" s="105"/>
      <c r="U4584" s="105"/>
      <c r="V4584" s="105"/>
      <c r="W4584" s="105"/>
      <c r="X4584" s="11"/>
      <c r="Y4584" s="11"/>
      <c r="Z4584" s="105"/>
      <c r="AA4584" s="11"/>
      <c r="AB4584" s="11"/>
      <c r="AC4584" s="105"/>
      <c r="AD4584" s="11" t="b">
        <v>0</v>
      </c>
      <c r="AE4584" s="105"/>
      <c r="AF4584" s="11"/>
      <c r="AG4584" s="11"/>
      <c r="AH4584" s="11"/>
      <c r="AI4584" s="11"/>
    </row>
    <row r="4585" ht="12.5" spans="3:35">
      <c r="C4585" s="19"/>
      <c r="D4585" s="19"/>
      <c r="H4585" s="105"/>
      <c r="I4585" s="126"/>
      <c r="J4585" s="11"/>
      <c r="K4585" s="108"/>
      <c r="L4585" s="11"/>
      <c r="M4585" s="105"/>
      <c r="N4585" s="105"/>
      <c r="O4585" s="11"/>
      <c r="P4585" s="11"/>
      <c r="Q4585" s="105"/>
      <c r="R4585" s="105"/>
      <c r="S4585" s="105"/>
      <c r="T4585" s="105"/>
      <c r="U4585" s="105"/>
      <c r="V4585" s="105"/>
      <c r="W4585" s="105"/>
      <c r="X4585" s="11"/>
      <c r="Y4585" s="11"/>
      <c r="Z4585" s="105"/>
      <c r="AA4585" s="11"/>
      <c r="AB4585" s="11"/>
      <c r="AC4585" s="105"/>
      <c r="AD4585" s="11" t="b">
        <v>0</v>
      </c>
      <c r="AE4585" s="105"/>
      <c r="AF4585" s="11"/>
      <c r="AG4585" s="11"/>
      <c r="AH4585" s="11"/>
      <c r="AI4585" s="11"/>
    </row>
    <row r="4586" ht="12.5" spans="3:35">
      <c r="C4586" s="19"/>
      <c r="D4586" s="19"/>
      <c r="H4586" s="105"/>
      <c r="I4586" s="126"/>
      <c r="J4586" s="11"/>
      <c r="K4586" s="108"/>
      <c r="L4586" s="11"/>
      <c r="M4586" s="105"/>
      <c r="N4586" s="105"/>
      <c r="O4586" s="11"/>
      <c r="P4586" s="11"/>
      <c r="Q4586" s="105"/>
      <c r="R4586" s="105"/>
      <c r="S4586" s="105"/>
      <c r="T4586" s="105"/>
      <c r="U4586" s="105"/>
      <c r="V4586" s="105"/>
      <c r="W4586" s="105"/>
      <c r="X4586" s="11"/>
      <c r="Y4586" s="11"/>
      <c r="Z4586" s="105"/>
      <c r="AA4586" s="11"/>
      <c r="AB4586" s="11"/>
      <c r="AC4586" s="105"/>
      <c r="AD4586" s="11" t="b">
        <v>0</v>
      </c>
      <c r="AE4586" s="105"/>
      <c r="AF4586" s="11"/>
      <c r="AG4586" s="11"/>
      <c r="AH4586" s="11"/>
      <c r="AI4586" s="11"/>
    </row>
    <row r="4587" ht="12.5" spans="3:35">
      <c r="C4587" s="19"/>
      <c r="D4587" s="19"/>
      <c r="H4587" s="105"/>
      <c r="I4587" s="126"/>
      <c r="J4587" s="11"/>
      <c r="K4587" s="108"/>
      <c r="L4587" s="11"/>
      <c r="M4587" s="105"/>
      <c r="N4587" s="105"/>
      <c r="O4587" s="11"/>
      <c r="P4587" s="11"/>
      <c r="Q4587" s="105"/>
      <c r="R4587" s="105"/>
      <c r="S4587" s="105"/>
      <c r="T4587" s="105"/>
      <c r="U4587" s="105"/>
      <c r="V4587" s="105"/>
      <c r="W4587" s="105"/>
      <c r="X4587" s="11"/>
      <c r="Y4587" s="11"/>
      <c r="Z4587" s="105"/>
      <c r="AA4587" s="11"/>
      <c r="AB4587" s="11"/>
      <c r="AC4587" s="105"/>
      <c r="AD4587" s="11" t="b">
        <v>0</v>
      </c>
      <c r="AE4587" s="105"/>
      <c r="AF4587" s="11"/>
      <c r="AG4587" s="11"/>
      <c r="AH4587" s="11"/>
      <c r="AI4587" s="11"/>
    </row>
    <row r="4588" ht="12.5" spans="3:35">
      <c r="C4588" s="19"/>
      <c r="D4588" s="19"/>
      <c r="H4588" s="105"/>
      <c r="I4588" s="126"/>
      <c r="J4588" s="11"/>
      <c r="K4588" s="108"/>
      <c r="L4588" s="11"/>
      <c r="M4588" s="105"/>
      <c r="N4588" s="105"/>
      <c r="O4588" s="11"/>
      <c r="P4588" s="11"/>
      <c r="Q4588" s="105"/>
      <c r="R4588" s="105"/>
      <c r="S4588" s="105"/>
      <c r="T4588" s="105"/>
      <c r="U4588" s="105"/>
      <c r="V4588" s="105"/>
      <c r="W4588" s="105"/>
      <c r="X4588" s="11"/>
      <c r="Y4588" s="11"/>
      <c r="Z4588" s="105"/>
      <c r="AA4588" s="11"/>
      <c r="AB4588" s="11"/>
      <c r="AC4588" s="105"/>
      <c r="AD4588" s="11" t="b">
        <v>0</v>
      </c>
      <c r="AE4588" s="105"/>
      <c r="AF4588" s="11"/>
      <c r="AG4588" s="11"/>
      <c r="AH4588" s="11"/>
      <c r="AI4588" s="11"/>
    </row>
    <row r="4589" ht="12.5" spans="3:35">
      <c r="C4589" s="19"/>
      <c r="D4589" s="19"/>
      <c r="H4589" s="105"/>
      <c r="I4589" s="126"/>
      <c r="J4589" s="11"/>
      <c r="K4589" s="108"/>
      <c r="L4589" s="11"/>
      <c r="M4589" s="105"/>
      <c r="N4589" s="105"/>
      <c r="O4589" s="11"/>
      <c r="P4589" s="11"/>
      <c r="Q4589" s="105"/>
      <c r="R4589" s="105"/>
      <c r="S4589" s="105"/>
      <c r="T4589" s="105"/>
      <c r="U4589" s="105"/>
      <c r="V4589" s="105"/>
      <c r="W4589" s="105"/>
      <c r="X4589" s="11"/>
      <c r="Y4589" s="11"/>
      <c r="Z4589" s="105"/>
      <c r="AA4589" s="11"/>
      <c r="AB4589" s="11"/>
      <c r="AC4589" s="105"/>
      <c r="AD4589" s="11" t="b">
        <v>0</v>
      </c>
      <c r="AE4589" s="105"/>
      <c r="AF4589" s="11"/>
      <c r="AG4589" s="11"/>
      <c r="AH4589" s="11"/>
      <c r="AI4589" s="11"/>
    </row>
    <row r="4590" ht="12.5" spans="3:35">
      <c r="C4590" s="19"/>
      <c r="D4590" s="19"/>
      <c r="H4590" s="105"/>
      <c r="I4590" s="126"/>
      <c r="J4590" s="11"/>
      <c r="K4590" s="108"/>
      <c r="L4590" s="11"/>
      <c r="M4590" s="105"/>
      <c r="N4590" s="105"/>
      <c r="O4590" s="11"/>
      <c r="P4590" s="11"/>
      <c r="Q4590" s="105"/>
      <c r="R4590" s="105"/>
      <c r="S4590" s="105"/>
      <c r="T4590" s="105"/>
      <c r="U4590" s="105"/>
      <c r="V4590" s="105"/>
      <c r="W4590" s="105"/>
      <c r="X4590" s="11"/>
      <c r="Y4590" s="11"/>
      <c r="Z4590" s="105"/>
      <c r="AA4590" s="11"/>
      <c r="AB4590" s="11"/>
      <c r="AC4590" s="105"/>
      <c r="AD4590" s="11" t="b">
        <v>0</v>
      </c>
      <c r="AE4590" s="105"/>
      <c r="AF4590" s="11"/>
      <c r="AG4590" s="11"/>
      <c r="AH4590" s="11"/>
      <c r="AI4590" s="11"/>
    </row>
    <row r="4591" ht="12.5" spans="3:35">
      <c r="C4591" s="19"/>
      <c r="D4591" s="19"/>
      <c r="H4591" s="105"/>
      <c r="I4591" s="126"/>
      <c r="J4591" s="11"/>
      <c r="K4591" s="108"/>
      <c r="L4591" s="11"/>
      <c r="M4591" s="105"/>
      <c r="N4591" s="105"/>
      <c r="O4591" s="11"/>
      <c r="P4591" s="11"/>
      <c r="Q4591" s="105"/>
      <c r="R4591" s="105"/>
      <c r="S4591" s="105"/>
      <c r="T4591" s="105"/>
      <c r="U4591" s="105"/>
      <c r="V4591" s="105"/>
      <c r="W4591" s="105"/>
      <c r="X4591" s="11"/>
      <c r="Y4591" s="11"/>
      <c r="Z4591" s="105"/>
      <c r="AA4591" s="11"/>
      <c r="AB4591" s="11"/>
      <c r="AC4591" s="105"/>
      <c r="AD4591" s="11" t="b">
        <v>0</v>
      </c>
      <c r="AE4591" s="105"/>
      <c r="AF4591" s="11"/>
      <c r="AG4591" s="11"/>
      <c r="AH4591" s="11"/>
      <c r="AI4591" s="11"/>
    </row>
    <row r="4592" ht="12.5" spans="3:35">
      <c r="C4592" s="19"/>
      <c r="D4592" s="19"/>
      <c r="H4592" s="105"/>
      <c r="I4592" s="126"/>
      <c r="J4592" s="11"/>
      <c r="K4592" s="108"/>
      <c r="L4592" s="11"/>
      <c r="M4592" s="105"/>
      <c r="N4592" s="105"/>
      <c r="O4592" s="11"/>
      <c r="P4592" s="11"/>
      <c r="Q4592" s="105"/>
      <c r="R4592" s="105"/>
      <c r="S4592" s="105"/>
      <c r="T4592" s="105"/>
      <c r="U4592" s="105"/>
      <c r="V4592" s="105"/>
      <c r="W4592" s="105"/>
      <c r="X4592" s="11"/>
      <c r="Y4592" s="11"/>
      <c r="Z4592" s="105"/>
      <c r="AA4592" s="11"/>
      <c r="AB4592" s="11"/>
      <c r="AC4592" s="105"/>
      <c r="AD4592" s="11" t="b">
        <v>0</v>
      </c>
      <c r="AE4592" s="105"/>
      <c r="AF4592" s="11"/>
      <c r="AG4592" s="11"/>
      <c r="AH4592" s="11"/>
      <c r="AI4592" s="11"/>
    </row>
    <row r="4593" ht="12.5" spans="3:35">
      <c r="C4593" s="19"/>
      <c r="D4593" s="19"/>
      <c r="H4593" s="105"/>
      <c r="I4593" s="126"/>
      <c r="J4593" s="11"/>
      <c r="K4593" s="108"/>
      <c r="L4593" s="11"/>
      <c r="M4593" s="105"/>
      <c r="N4593" s="105"/>
      <c r="O4593" s="11"/>
      <c r="P4593" s="11"/>
      <c r="Q4593" s="105"/>
      <c r="R4593" s="105"/>
      <c r="S4593" s="105"/>
      <c r="T4593" s="105"/>
      <c r="U4593" s="105"/>
      <c r="V4593" s="105"/>
      <c r="W4593" s="105"/>
      <c r="X4593" s="11"/>
      <c r="Y4593" s="11"/>
      <c r="Z4593" s="105"/>
      <c r="AA4593" s="11"/>
      <c r="AB4593" s="11"/>
      <c r="AC4593" s="105"/>
      <c r="AD4593" s="11" t="b">
        <v>0</v>
      </c>
      <c r="AE4593" s="105"/>
      <c r="AF4593" s="11"/>
      <c r="AG4593" s="11"/>
      <c r="AH4593" s="11"/>
      <c r="AI4593" s="11"/>
    </row>
    <row r="4594" ht="12.5" spans="3:35">
      <c r="C4594" s="19"/>
      <c r="D4594" s="19"/>
      <c r="H4594" s="105"/>
      <c r="I4594" s="126"/>
      <c r="J4594" s="11"/>
      <c r="K4594" s="108"/>
      <c r="L4594" s="11"/>
      <c r="M4594" s="105"/>
      <c r="N4594" s="105"/>
      <c r="O4594" s="11"/>
      <c r="P4594" s="11"/>
      <c r="Q4594" s="105"/>
      <c r="R4594" s="105"/>
      <c r="S4594" s="105"/>
      <c r="T4594" s="105"/>
      <c r="U4594" s="105"/>
      <c r="V4594" s="105"/>
      <c r="W4594" s="105"/>
      <c r="X4594" s="11"/>
      <c r="Y4594" s="11"/>
      <c r="Z4594" s="105"/>
      <c r="AA4594" s="11"/>
      <c r="AB4594" s="11"/>
      <c r="AC4594" s="105"/>
      <c r="AD4594" s="11" t="b">
        <v>0</v>
      </c>
      <c r="AE4594" s="105"/>
      <c r="AF4594" s="11"/>
      <c r="AG4594" s="11"/>
      <c r="AH4594" s="11"/>
      <c r="AI4594" s="11"/>
    </row>
    <row r="4595" ht="12.5" spans="3:35">
      <c r="C4595" s="19"/>
      <c r="D4595" s="19"/>
      <c r="H4595" s="105"/>
      <c r="I4595" s="126"/>
      <c r="J4595" s="11"/>
      <c r="K4595" s="108"/>
      <c r="L4595" s="11"/>
      <c r="M4595" s="105"/>
      <c r="N4595" s="105"/>
      <c r="O4595" s="11"/>
      <c r="P4595" s="11"/>
      <c r="Q4595" s="105"/>
      <c r="R4595" s="105"/>
      <c r="S4595" s="105"/>
      <c r="T4595" s="105"/>
      <c r="U4595" s="105"/>
      <c r="V4595" s="105"/>
      <c r="W4595" s="105"/>
      <c r="X4595" s="11"/>
      <c r="Y4595" s="11"/>
      <c r="Z4595" s="105"/>
      <c r="AA4595" s="11"/>
      <c r="AB4595" s="11"/>
      <c r="AC4595" s="105"/>
      <c r="AD4595" s="11" t="b">
        <v>0</v>
      </c>
      <c r="AE4595" s="105"/>
      <c r="AF4595" s="11"/>
      <c r="AG4595" s="11"/>
      <c r="AH4595" s="11"/>
      <c r="AI4595" s="11"/>
    </row>
    <row r="4596" ht="12.5" spans="3:35">
      <c r="C4596" s="19"/>
      <c r="D4596" s="19"/>
      <c r="H4596" s="105"/>
      <c r="I4596" s="126"/>
      <c r="J4596" s="11"/>
      <c r="K4596" s="108"/>
      <c r="L4596" s="11"/>
      <c r="M4596" s="105"/>
      <c r="N4596" s="105"/>
      <c r="O4596" s="11"/>
      <c r="P4596" s="11"/>
      <c r="Q4596" s="105"/>
      <c r="R4596" s="105"/>
      <c r="S4596" s="105"/>
      <c r="T4596" s="105"/>
      <c r="U4596" s="105"/>
      <c r="V4596" s="105"/>
      <c r="W4596" s="105"/>
      <c r="X4596" s="11"/>
      <c r="Y4596" s="11"/>
      <c r="Z4596" s="105"/>
      <c r="AA4596" s="11"/>
      <c r="AB4596" s="11"/>
      <c r="AC4596" s="105"/>
      <c r="AD4596" s="11" t="b">
        <v>0</v>
      </c>
      <c r="AE4596" s="105"/>
      <c r="AF4596" s="11"/>
      <c r="AG4596" s="11"/>
      <c r="AH4596" s="11"/>
      <c r="AI4596" s="11"/>
    </row>
    <row r="4597" ht="12.5" spans="3:35">
      <c r="C4597" s="19"/>
      <c r="D4597" s="19"/>
      <c r="H4597" s="105"/>
      <c r="I4597" s="126"/>
      <c r="J4597" s="11"/>
      <c r="K4597" s="108"/>
      <c r="L4597" s="11"/>
      <c r="M4597" s="105"/>
      <c r="N4597" s="105"/>
      <c r="O4597" s="11"/>
      <c r="P4597" s="11"/>
      <c r="Q4597" s="105"/>
      <c r="R4597" s="105"/>
      <c r="S4597" s="105"/>
      <c r="T4597" s="105"/>
      <c r="U4597" s="105"/>
      <c r="V4597" s="105"/>
      <c r="W4597" s="105"/>
      <c r="X4597" s="11"/>
      <c r="Y4597" s="11"/>
      <c r="Z4597" s="105"/>
      <c r="AA4597" s="11"/>
      <c r="AB4597" s="11"/>
      <c r="AC4597" s="105"/>
      <c r="AD4597" s="11" t="b">
        <v>0</v>
      </c>
      <c r="AE4597" s="105"/>
      <c r="AF4597" s="11"/>
      <c r="AG4597" s="11"/>
      <c r="AH4597" s="11"/>
      <c r="AI4597" s="11"/>
    </row>
    <row r="4598" ht="12.5" spans="3:35">
      <c r="C4598" s="19"/>
      <c r="D4598" s="19"/>
      <c r="H4598" s="105"/>
      <c r="I4598" s="126"/>
      <c r="J4598" s="11"/>
      <c r="K4598" s="108"/>
      <c r="L4598" s="11"/>
      <c r="M4598" s="105"/>
      <c r="N4598" s="105"/>
      <c r="O4598" s="11"/>
      <c r="P4598" s="11"/>
      <c r="Q4598" s="105"/>
      <c r="R4598" s="105"/>
      <c r="S4598" s="105"/>
      <c r="T4598" s="105"/>
      <c r="U4598" s="105"/>
      <c r="V4598" s="105"/>
      <c r="W4598" s="105"/>
      <c r="X4598" s="11"/>
      <c r="Y4598" s="11"/>
      <c r="Z4598" s="105"/>
      <c r="AA4598" s="11"/>
      <c r="AB4598" s="11"/>
      <c r="AC4598" s="105"/>
      <c r="AD4598" s="11" t="b">
        <v>0</v>
      </c>
      <c r="AE4598" s="105"/>
      <c r="AF4598" s="11"/>
      <c r="AG4598" s="11"/>
      <c r="AH4598" s="11"/>
      <c r="AI4598" s="11"/>
    </row>
    <row r="4599" ht="12.5" spans="3:35">
      <c r="C4599" s="19"/>
      <c r="D4599" s="19"/>
      <c r="H4599" s="105"/>
      <c r="I4599" s="126"/>
      <c r="J4599" s="11"/>
      <c r="K4599" s="108"/>
      <c r="L4599" s="11"/>
      <c r="M4599" s="105"/>
      <c r="N4599" s="105"/>
      <c r="O4599" s="11"/>
      <c r="P4599" s="11"/>
      <c r="Q4599" s="105"/>
      <c r="R4599" s="105"/>
      <c r="S4599" s="105"/>
      <c r="T4599" s="105"/>
      <c r="U4599" s="105"/>
      <c r="V4599" s="105"/>
      <c r="W4599" s="105"/>
      <c r="X4599" s="11"/>
      <c r="Y4599" s="11"/>
      <c r="Z4599" s="105"/>
      <c r="AA4599" s="11"/>
      <c r="AB4599" s="11"/>
      <c r="AC4599" s="105"/>
      <c r="AD4599" s="11" t="b">
        <v>0</v>
      </c>
      <c r="AE4599" s="105"/>
      <c r="AF4599" s="11"/>
      <c r="AG4599" s="11"/>
      <c r="AH4599" s="11"/>
      <c r="AI4599" s="11"/>
    </row>
    <row r="4600" ht="12.5" spans="3:35">
      <c r="C4600" s="19"/>
      <c r="D4600" s="19"/>
      <c r="H4600" s="105"/>
      <c r="I4600" s="126"/>
      <c r="J4600" s="11"/>
      <c r="K4600" s="108"/>
      <c r="L4600" s="11"/>
      <c r="M4600" s="105"/>
      <c r="N4600" s="105"/>
      <c r="O4600" s="11"/>
      <c r="P4600" s="11"/>
      <c r="Q4600" s="105"/>
      <c r="R4600" s="105"/>
      <c r="S4600" s="105"/>
      <c r="T4600" s="105"/>
      <c r="U4600" s="105"/>
      <c r="V4600" s="105"/>
      <c r="W4600" s="105"/>
      <c r="X4600" s="11"/>
      <c r="Y4600" s="11"/>
      <c r="Z4600" s="105"/>
      <c r="AA4600" s="11"/>
      <c r="AB4600" s="11"/>
      <c r="AC4600" s="105"/>
      <c r="AD4600" s="11" t="b">
        <v>0</v>
      </c>
      <c r="AE4600" s="105"/>
      <c r="AF4600" s="11"/>
      <c r="AG4600" s="11"/>
      <c r="AH4600" s="11"/>
      <c r="AI4600" s="11"/>
    </row>
    <row r="4601" ht="12.5" spans="3:35">
      <c r="C4601" s="19"/>
      <c r="D4601" s="19"/>
      <c r="H4601" s="105"/>
      <c r="I4601" s="126"/>
      <c r="J4601" s="11"/>
      <c r="K4601" s="108"/>
      <c r="L4601" s="11"/>
      <c r="M4601" s="105"/>
      <c r="N4601" s="105"/>
      <c r="O4601" s="11"/>
      <c r="P4601" s="11"/>
      <c r="Q4601" s="105"/>
      <c r="R4601" s="105"/>
      <c r="S4601" s="105"/>
      <c r="T4601" s="105"/>
      <c r="U4601" s="105"/>
      <c r="V4601" s="105"/>
      <c r="W4601" s="105"/>
      <c r="X4601" s="11"/>
      <c r="Y4601" s="11"/>
      <c r="Z4601" s="105"/>
      <c r="AA4601" s="11"/>
      <c r="AB4601" s="11"/>
      <c r="AC4601" s="105"/>
      <c r="AD4601" s="11" t="b">
        <v>0</v>
      </c>
      <c r="AE4601" s="105"/>
      <c r="AF4601" s="11"/>
      <c r="AG4601" s="11"/>
      <c r="AH4601" s="11"/>
      <c r="AI4601" s="11"/>
    </row>
    <row r="4602" ht="12.5" spans="3:35">
      <c r="C4602" s="19"/>
      <c r="D4602" s="19"/>
      <c r="H4602" s="105"/>
      <c r="I4602" s="126"/>
      <c r="J4602" s="11"/>
      <c r="K4602" s="108"/>
      <c r="L4602" s="11"/>
      <c r="M4602" s="105"/>
      <c r="N4602" s="105"/>
      <c r="O4602" s="11"/>
      <c r="P4602" s="11"/>
      <c r="Q4602" s="105"/>
      <c r="R4602" s="105"/>
      <c r="S4602" s="105"/>
      <c r="T4602" s="105"/>
      <c r="U4602" s="105"/>
      <c r="V4602" s="105"/>
      <c r="W4602" s="105"/>
      <c r="X4602" s="11"/>
      <c r="Y4602" s="11"/>
      <c r="Z4602" s="105"/>
      <c r="AA4602" s="11"/>
      <c r="AB4602" s="11"/>
      <c r="AC4602" s="105"/>
      <c r="AD4602" s="11" t="b">
        <v>0</v>
      </c>
      <c r="AE4602" s="105"/>
      <c r="AF4602" s="11"/>
      <c r="AG4602" s="11"/>
      <c r="AH4602" s="11"/>
      <c r="AI4602" s="11"/>
    </row>
    <row r="4603" ht="12.5" spans="3:35">
      <c r="C4603" s="19"/>
      <c r="D4603" s="19"/>
      <c r="H4603" s="105"/>
      <c r="I4603" s="126"/>
      <c r="J4603" s="11"/>
      <c r="K4603" s="108"/>
      <c r="L4603" s="11"/>
      <c r="M4603" s="105"/>
      <c r="N4603" s="105"/>
      <c r="O4603" s="11"/>
      <c r="P4603" s="11"/>
      <c r="Q4603" s="105"/>
      <c r="R4603" s="105"/>
      <c r="S4603" s="105"/>
      <c r="T4603" s="105"/>
      <c r="U4603" s="105"/>
      <c r="V4603" s="105"/>
      <c r="W4603" s="105"/>
      <c r="X4603" s="11"/>
      <c r="Y4603" s="11"/>
      <c r="Z4603" s="105"/>
      <c r="AA4603" s="11"/>
      <c r="AB4603" s="11"/>
      <c r="AC4603" s="105"/>
      <c r="AD4603" s="11" t="b">
        <v>0</v>
      </c>
      <c r="AE4603" s="105"/>
      <c r="AF4603" s="11"/>
      <c r="AG4603" s="11"/>
      <c r="AH4603" s="11"/>
      <c r="AI4603" s="11"/>
    </row>
    <row r="4604" ht="12.5" spans="3:35">
      <c r="C4604" s="19"/>
      <c r="D4604" s="19"/>
      <c r="H4604" s="105"/>
      <c r="I4604" s="126"/>
      <c r="J4604" s="11"/>
      <c r="K4604" s="108"/>
      <c r="L4604" s="11"/>
      <c r="M4604" s="105"/>
      <c r="N4604" s="105"/>
      <c r="O4604" s="11"/>
      <c r="P4604" s="11"/>
      <c r="Q4604" s="105"/>
      <c r="R4604" s="105"/>
      <c r="S4604" s="105"/>
      <c r="T4604" s="105"/>
      <c r="U4604" s="105"/>
      <c r="V4604" s="105"/>
      <c r="W4604" s="105"/>
      <c r="X4604" s="11"/>
      <c r="Y4604" s="11"/>
      <c r="Z4604" s="105"/>
      <c r="AA4604" s="11"/>
      <c r="AB4604" s="11"/>
      <c r="AC4604" s="105"/>
      <c r="AD4604" s="11" t="b">
        <v>0</v>
      </c>
      <c r="AE4604" s="105"/>
      <c r="AF4604" s="11"/>
      <c r="AG4604" s="11"/>
      <c r="AH4604" s="11"/>
      <c r="AI4604" s="11"/>
    </row>
    <row r="4605" ht="12.5" spans="3:35">
      <c r="C4605" s="19"/>
      <c r="D4605" s="19"/>
      <c r="H4605" s="105"/>
      <c r="I4605" s="126"/>
      <c r="J4605" s="11"/>
      <c r="K4605" s="108"/>
      <c r="L4605" s="11"/>
      <c r="M4605" s="105"/>
      <c r="N4605" s="105"/>
      <c r="O4605" s="11"/>
      <c r="P4605" s="11"/>
      <c r="Q4605" s="105"/>
      <c r="R4605" s="105"/>
      <c r="S4605" s="105"/>
      <c r="T4605" s="105"/>
      <c r="U4605" s="105"/>
      <c r="V4605" s="105"/>
      <c r="W4605" s="105"/>
      <c r="X4605" s="11"/>
      <c r="Y4605" s="11"/>
      <c r="Z4605" s="105"/>
      <c r="AA4605" s="11"/>
      <c r="AB4605" s="11"/>
      <c r="AC4605" s="105"/>
      <c r="AD4605" s="11" t="b">
        <v>0</v>
      </c>
      <c r="AE4605" s="105"/>
      <c r="AF4605" s="11"/>
      <c r="AG4605" s="11"/>
      <c r="AH4605" s="11"/>
      <c r="AI4605" s="11"/>
    </row>
    <row r="4606" ht="12.5" spans="3:35">
      <c r="C4606" s="19"/>
      <c r="D4606" s="19"/>
      <c r="H4606" s="105"/>
      <c r="I4606" s="126"/>
      <c r="J4606" s="11"/>
      <c r="K4606" s="108"/>
      <c r="L4606" s="11"/>
      <c r="M4606" s="105"/>
      <c r="N4606" s="105"/>
      <c r="O4606" s="11"/>
      <c r="P4606" s="11"/>
      <c r="Q4606" s="105"/>
      <c r="R4606" s="105"/>
      <c r="S4606" s="105"/>
      <c r="T4606" s="105"/>
      <c r="U4606" s="105"/>
      <c r="V4606" s="105"/>
      <c r="W4606" s="105"/>
      <c r="X4606" s="11"/>
      <c r="Y4606" s="11"/>
      <c r="Z4606" s="105"/>
      <c r="AA4606" s="11"/>
      <c r="AB4606" s="11"/>
      <c r="AC4606" s="105"/>
      <c r="AD4606" s="11" t="b">
        <v>0</v>
      </c>
      <c r="AE4606" s="105"/>
      <c r="AF4606" s="11"/>
      <c r="AG4606" s="11"/>
      <c r="AH4606" s="11"/>
      <c r="AI4606" s="11"/>
    </row>
    <row r="4607" ht="12.5" spans="3:35">
      <c r="C4607" s="19"/>
      <c r="D4607" s="19"/>
      <c r="H4607" s="105"/>
      <c r="I4607" s="126"/>
      <c r="J4607" s="11"/>
      <c r="K4607" s="108"/>
      <c r="L4607" s="11"/>
      <c r="M4607" s="105"/>
      <c r="N4607" s="105"/>
      <c r="O4607" s="11"/>
      <c r="P4607" s="11"/>
      <c r="Q4607" s="105"/>
      <c r="R4607" s="105"/>
      <c r="S4607" s="105"/>
      <c r="T4607" s="105"/>
      <c r="U4607" s="105"/>
      <c r="V4607" s="105"/>
      <c r="W4607" s="105"/>
      <c r="X4607" s="11"/>
      <c r="Y4607" s="11"/>
      <c r="Z4607" s="105"/>
      <c r="AA4607" s="11"/>
      <c r="AB4607" s="11"/>
      <c r="AC4607" s="105"/>
      <c r="AD4607" s="11" t="b">
        <v>0</v>
      </c>
      <c r="AE4607" s="105"/>
      <c r="AF4607" s="11"/>
      <c r="AG4607" s="11"/>
      <c r="AH4607" s="11"/>
      <c r="AI4607" s="11"/>
    </row>
    <row r="4608" ht="12.5" spans="3:35">
      <c r="C4608" s="19"/>
      <c r="D4608" s="19"/>
      <c r="H4608" s="105"/>
      <c r="I4608" s="126"/>
      <c r="J4608" s="11"/>
      <c r="K4608" s="108"/>
      <c r="L4608" s="11"/>
      <c r="M4608" s="105"/>
      <c r="N4608" s="105"/>
      <c r="O4608" s="11"/>
      <c r="P4608" s="11"/>
      <c r="Q4608" s="105"/>
      <c r="R4608" s="105"/>
      <c r="S4608" s="105"/>
      <c r="T4608" s="105"/>
      <c r="U4608" s="105"/>
      <c r="V4608" s="105"/>
      <c r="W4608" s="105"/>
      <c r="X4608" s="11"/>
      <c r="Y4608" s="11"/>
      <c r="Z4608" s="105"/>
      <c r="AA4608" s="11"/>
      <c r="AB4608" s="11"/>
      <c r="AC4608" s="105"/>
      <c r="AD4608" s="11" t="b">
        <v>0</v>
      </c>
      <c r="AE4608" s="105"/>
      <c r="AF4608" s="11"/>
      <c r="AG4608" s="11"/>
      <c r="AH4608" s="11"/>
      <c r="AI4608" s="11"/>
    </row>
    <row r="4609" ht="12.5" spans="3:35">
      <c r="C4609" s="19"/>
      <c r="D4609" s="19"/>
      <c r="H4609" s="105"/>
      <c r="I4609" s="126"/>
      <c r="J4609" s="11"/>
      <c r="K4609" s="108"/>
      <c r="L4609" s="11"/>
      <c r="M4609" s="105"/>
      <c r="N4609" s="105"/>
      <c r="O4609" s="11"/>
      <c r="P4609" s="11"/>
      <c r="Q4609" s="105"/>
      <c r="R4609" s="105"/>
      <c r="S4609" s="105"/>
      <c r="T4609" s="105"/>
      <c r="U4609" s="105"/>
      <c r="V4609" s="105"/>
      <c r="W4609" s="105"/>
      <c r="X4609" s="11"/>
      <c r="Y4609" s="11"/>
      <c r="Z4609" s="105"/>
      <c r="AA4609" s="11"/>
      <c r="AB4609" s="11"/>
      <c r="AC4609" s="105"/>
      <c r="AD4609" s="11" t="b">
        <v>0</v>
      </c>
      <c r="AE4609" s="105"/>
      <c r="AF4609" s="11"/>
      <c r="AG4609" s="11"/>
      <c r="AH4609" s="11"/>
      <c r="AI4609" s="11"/>
    </row>
    <row r="4610" ht="12.5" spans="3:35">
      <c r="C4610" s="19"/>
      <c r="D4610" s="19"/>
      <c r="H4610" s="105"/>
      <c r="I4610" s="126"/>
      <c r="J4610" s="11"/>
      <c r="K4610" s="108"/>
      <c r="L4610" s="11"/>
      <c r="M4610" s="105"/>
      <c r="N4610" s="105"/>
      <c r="O4610" s="11"/>
      <c r="P4610" s="11"/>
      <c r="Q4610" s="105"/>
      <c r="R4610" s="105"/>
      <c r="S4610" s="105"/>
      <c r="T4610" s="105"/>
      <c r="U4610" s="105"/>
      <c r="V4610" s="105"/>
      <c r="W4610" s="105"/>
      <c r="X4610" s="11"/>
      <c r="Y4610" s="11"/>
      <c r="Z4610" s="105"/>
      <c r="AA4610" s="11"/>
      <c r="AB4610" s="11"/>
      <c r="AC4610" s="105"/>
      <c r="AD4610" s="11" t="b">
        <v>0</v>
      </c>
      <c r="AE4610" s="105"/>
      <c r="AF4610" s="11"/>
      <c r="AG4610" s="11"/>
      <c r="AH4610" s="11"/>
      <c r="AI4610" s="11"/>
    </row>
    <row r="4611" ht="12.5" spans="3:35">
      <c r="C4611" s="19"/>
      <c r="D4611" s="19"/>
      <c r="H4611" s="105"/>
      <c r="I4611" s="126"/>
      <c r="J4611" s="11"/>
      <c r="K4611" s="108"/>
      <c r="L4611" s="11"/>
      <c r="M4611" s="105"/>
      <c r="N4611" s="105"/>
      <c r="O4611" s="11"/>
      <c r="P4611" s="11"/>
      <c r="Q4611" s="105"/>
      <c r="R4611" s="105"/>
      <c r="S4611" s="105"/>
      <c r="T4611" s="105"/>
      <c r="U4611" s="105"/>
      <c r="V4611" s="105"/>
      <c r="W4611" s="105"/>
      <c r="X4611" s="11"/>
      <c r="Y4611" s="11"/>
      <c r="Z4611" s="105"/>
      <c r="AA4611" s="11"/>
      <c r="AB4611" s="11"/>
      <c r="AC4611" s="105"/>
      <c r="AD4611" s="11" t="b">
        <v>0</v>
      </c>
      <c r="AE4611" s="105"/>
      <c r="AF4611" s="11"/>
      <c r="AG4611" s="11"/>
      <c r="AH4611" s="11"/>
      <c r="AI4611" s="11"/>
    </row>
    <row r="4612" ht="12.5" spans="3:35">
      <c r="C4612" s="19"/>
      <c r="D4612" s="19"/>
      <c r="H4612" s="105"/>
      <c r="I4612" s="126"/>
      <c r="J4612" s="11"/>
      <c r="K4612" s="108"/>
      <c r="L4612" s="11"/>
      <c r="M4612" s="105"/>
      <c r="N4612" s="105"/>
      <c r="O4612" s="11"/>
      <c r="P4612" s="11"/>
      <c r="Q4612" s="105"/>
      <c r="R4612" s="105"/>
      <c r="S4612" s="105"/>
      <c r="T4612" s="105"/>
      <c r="U4612" s="105"/>
      <c r="V4612" s="105"/>
      <c r="W4612" s="105"/>
      <c r="X4612" s="11"/>
      <c r="Y4612" s="11"/>
      <c r="Z4612" s="105"/>
      <c r="AA4612" s="11"/>
      <c r="AB4612" s="11"/>
      <c r="AC4612" s="105"/>
      <c r="AD4612" s="11" t="b">
        <v>0</v>
      </c>
      <c r="AE4612" s="105"/>
      <c r="AF4612" s="11"/>
      <c r="AG4612" s="11"/>
      <c r="AH4612" s="11"/>
      <c r="AI4612" s="11"/>
    </row>
    <row r="4613" ht="12.5" spans="3:35">
      <c r="C4613" s="19"/>
      <c r="D4613" s="19"/>
      <c r="H4613" s="105"/>
      <c r="I4613" s="126"/>
      <c r="J4613" s="11"/>
      <c r="K4613" s="108"/>
      <c r="L4613" s="11"/>
      <c r="M4613" s="105"/>
      <c r="N4613" s="105"/>
      <c r="O4613" s="11"/>
      <c r="P4613" s="11"/>
      <c r="Q4613" s="105"/>
      <c r="R4613" s="105"/>
      <c r="S4613" s="105"/>
      <c r="T4613" s="105"/>
      <c r="U4613" s="105"/>
      <c r="V4613" s="105"/>
      <c r="W4613" s="105"/>
      <c r="X4613" s="11"/>
      <c r="Y4613" s="11"/>
      <c r="Z4613" s="105"/>
      <c r="AA4613" s="11"/>
      <c r="AB4613" s="11"/>
      <c r="AC4613" s="105"/>
      <c r="AD4613" s="11" t="b">
        <v>0</v>
      </c>
      <c r="AE4613" s="105"/>
      <c r="AF4613" s="11"/>
      <c r="AG4613" s="11"/>
      <c r="AH4613" s="11"/>
      <c r="AI4613" s="11"/>
    </row>
    <row r="4614" ht="12.5" spans="3:35">
      <c r="C4614" s="19"/>
      <c r="D4614" s="19"/>
      <c r="H4614" s="105"/>
      <c r="I4614" s="126"/>
      <c r="J4614" s="11"/>
      <c r="K4614" s="108"/>
      <c r="L4614" s="11"/>
      <c r="M4614" s="105"/>
      <c r="N4614" s="105"/>
      <c r="O4614" s="11"/>
      <c r="P4614" s="11"/>
      <c r="Q4614" s="105"/>
      <c r="R4614" s="105"/>
      <c r="S4614" s="105"/>
      <c r="T4614" s="105"/>
      <c r="U4614" s="105"/>
      <c r="V4614" s="105"/>
      <c r="W4614" s="105"/>
      <c r="X4614" s="11"/>
      <c r="Y4614" s="11"/>
      <c r="Z4614" s="105"/>
      <c r="AA4614" s="11"/>
      <c r="AB4614" s="11"/>
      <c r="AC4614" s="105"/>
      <c r="AD4614" s="11" t="b">
        <v>0</v>
      </c>
      <c r="AE4614" s="105"/>
      <c r="AF4614" s="11"/>
      <c r="AG4614" s="11"/>
      <c r="AH4614" s="11"/>
      <c r="AI4614" s="11"/>
    </row>
    <row r="4615" ht="12.5" spans="3:35">
      <c r="C4615" s="19"/>
      <c r="D4615" s="19"/>
      <c r="H4615" s="105"/>
      <c r="I4615" s="126"/>
      <c r="J4615" s="11"/>
      <c r="K4615" s="108"/>
      <c r="L4615" s="11"/>
      <c r="M4615" s="105"/>
      <c r="N4615" s="105"/>
      <c r="O4615" s="11"/>
      <c r="P4615" s="11"/>
      <c r="Q4615" s="105"/>
      <c r="R4615" s="105"/>
      <c r="S4615" s="105"/>
      <c r="T4615" s="105"/>
      <c r="U4615" s="105"/>
      <c r="V4615" s="105"/>
      <c r="W4615" s="105"/>
      <c r="X4615" s="11"/>
      <c r="Y4615" s="11"/>
      <c r="Z4615" s="105"/>
      <c r="AA4615" s="11"/>
      <c r="AB4615" s="11"/>
      <c r="AC4615" s="105"/>
      <c r="AD4615" s="11" t="b">
        <v>0</v>
      </c>
      <c r="AE4615" s="105"/>
      <c r="AF4615" s="11"/>
      <c r="AG4615" s="11"/>
      <c r="AH4615" s="11"/>
      <c r="AI4615" s="11"/>
    </row>
    <row r="4616" ht="12.5" spans="3:35">
      <c r="C4616" s="19"/>
      <c r="D4616" s="19"/>
      <c r="H4616" s="105"/>
      <c r="I4616" s="126"/>
      <c r="J4616" s="11"/>
      <c r="K4616" s="108"/>
      <c r="L4616" s="11"/>
      <c r="M4616" s="105"/>
      <c r="N4616" s="105"/>
      <c r="O4616" s="11"/>
      <c r="P4616" s="11"/>
      <c r="Q4616" s="105"/>
      <c r="R4616" s="105"/>
      <c r="S4616" s="105"/>
      <c r="T4616" s="105"/>
      <c r="U4616" s="105"/>
      <c r="V4616" s="105"/>
      <c r="W4616" s="105"/>
      <c r="X4616" s="11"/>
      <c r="Y4616" s="11"/>
      <c r="Z4616" s="105"/>
      <c r="AA4616" s="11"/>
      <c r="AB4616" s="11"/>
      <c r="AC4616" s="105"/>
      <c r="AD4616" s="11" t="b">
        <v>0</v>
      </c>
      <c r="AE4616" s="105"/>
      <c r="AF4616" s="11"/>
      <c r="AG4616" s="11"/>
      <c r="AH4616" s="11"/>
      <c r="AI4616" s="11"/>
    </row>
    <row r="4617" ht="12.5" spans="3:35">
      <c r="C4617" s="19"/>
      <c r="D4617" s="19"/>
      <c r="H4617" s="105"/>
      <c r="I4617" s="126"/>
      <c r="J4617" s="11"/>
      <c r="K4617" s="108"/>
      <c r="L4617" s="11"/>
      <c r="M4617" s="105"/>
      <c r="N4617" s="105"/>
      <c r="O4617" s="11"/>
      <c r="P4617" s="11"/>
      <c r="Q4617" s="105"/>
      <c r="R4617" s="105"/>
      <c r="S4617" s="105"/>
      <c r="T4617" s="105"/>
      <c r="U4617" s="105"/>
      <c r="V4617" s="105"/>
      <c r="W4617" s="105"/>
      <c r="X4617" s="11"/>
      <c r="Y4617" s="11"/>
      <c r="Z4617" s="105"/>
      <c r="AA4617" s="11"/>
      <c r="AB4617" s="11"/>
      <c r="AC4617" s="105"/>
      <c r="AD4617" s="11" t="b">
        <v>0</v>
      </c>
      <c r="AE4617" s="105"/>
      <c r="AF4617" s="11"/>
      <c r="AG4617" s="11"/>
      <c r="AH4617" s="11"/>
      <c r="AI4617" s="11"/>
    </row>
    <row r="4618" ht="12.5" spans="3:35">
      <c r="C4618" s="19"/>
      <c r="D4618" s="19"/>
      <c r="H4618" s="105"/>
      <c r="I4618" s="126"/>
      <c r="J4618" s="11"/>
      <c r="K4618" s="108"/>
      <c r="L4618" s="11"/>
      <c r="M4618" s="105"/>
      <c r="N4618" s="105"/>
      <c r="O4618" s="11"/>
      <c r="P4618" s="11"/>
      <c r="Q4618" s="105"/>
      <c r="R4618" s="105"/>
      <c r="S4618" s="105"/>
      <c r="T4618" s="105"/>
      <c r="U4618" s="105"/>
      <c r="V4618" s="105"/>
      <c r="W4618" s="105"/>
      <c r="X4618" s="11"/>
      <c r="Y4618" s="11"/>
      <c r="Z4618" s="105"/>
      <c r="AA4618" s="11"/>
      <c r="AB4618" s="11"/>
      <c r="AC4618" s="105"/>
      <c r="AD4618" s="11" t="b">
        <v>0</v>
      </c>
      <c r="AE4618" s="105"/>
      <c r="AF4618" s="11"/>
      <c r="AG4618" s="11"/>
      <c r="AH4618" s="11"/>
      <c r="AI4618" s="11"/>
    </row>
    <row r="4619" ht="12.5" spans="3:35">
      <c r="C4619" s="19"/>
      <c r="D4619" s="19"/>
      <c r="H4619" s="105"/>
      <c r="I4619" s="126"/>
      <c r="J4619" s="11"/>
      <c r="K4619" s="108"/>
      <c r="L4619" s="11"/>
      <c r="M4619" s="105"/>
      <c r="N4619" s="105"/>
      <c r="O4619" s="11"/>
      <c r="P4619" s="11"/>
      <c r="Q4619" s="105"/>
      <c r="R4619" s="105"/>
      <c r="S4619" s="105"/>
      <c r="T4619" s="105"/>
      <c r="U4619" s="105"/>
      <c r="V4619" s="105"/>
      <c r="W4619" s="105"/>
      <c r="X4619" s="11"/>
      <c r="Y4619" s="11"/>
      <c r="Z4619" s="105"/>
      <c r="AA4619" s="11"/>
      <c r="AB4619" s="11"/>
      <c r="AC4619" s="105"/>
      <c r="AD4619" s="11" t="b">
        <v>0</v>
      </c>
      <c r="AE4619" s="105"/>
      <c r="AF4619" s="11"/>
      <c r="AG4619" s="11"/>
      <c r="AH4619" s="11"/>
      <c r="AI4619" s="11"/>
    </row>
    <row r="4620" ht="12.5" spans="3:35">
      <c r="C4620" s="19"/>
      <c r="D4620" s="19"/>
      <c r="H4620" s="105"/>
      <c r="I4620" s="126"/>
      <c r="J4620" s="11"/>
      <c r="K4620" s="108"/>
      <c r="L4620" s="11"/>
      <c r="M4620" s="105"/>
      <c r="N4620" s="105"/>
      <c r="O4620" s="11"/>
      <c r="P4620" s="11"/>
      <c r="Q4620" s="105"/>
      <c r="R4620" s="105"/>
      <c r="S4620" s="105"/>
      <c r="T4620" s="105"/>
      <c r="U4620" s="105"/>
      <c r="V4620" s="105"/>
      <c r="W4620" s="105"/>
      <c r="X4620" s="11"/>
      <c r="Y4620" s="11"/>
      <c r="Z4620" s="105"/>
      <c r="AA4620" s="11"/>
      <c r="AB4620" s="11"/>
      <c r="AC4620" s="105"/>
      <c r="AD4620" s="11" t="b">
        <v>0</v>
      </c>
      <c r="AE4620" s="105"/>
      <c r="AF4620" s="11"/>
      <c r="AG4620" s="11"/>
      <c r="AH4620" s="11"/>
      <c r="AI4620" s="11"/>
    </row>
    <row r="4621" ht="12.5" spans="3:35">
      <c r="C4621" s="19"/>
      <c r="D4621" s="19"/>
      <c r="H4621" s="105"/>
      <c r="I4621" s="126"/>
      <c r="J4621" s="11"/>
      <c r="K4621" s="108"/>
      <c r="L4621" s="11"/>
      <c r="M4621" s="105"/>
      <c r="N4621" s="105"/>
      <c r="O4621" s="11"/>
      <c r="P4621" s="11"/>
      <c r="Q4621" s="105"/>
      <c r="R4621" s="105"/>
      <c r="S4621" s="105"/>
      <c r="T4621" s="105"/>
      <c r="U4621" s="105"/>
      <c r="V4621" s="105"/>
      <c r="W4621" s="105"/>
      <c r="X4621" s="11"/>
      <c r="Y4621" s="11"/>
      <c r="Z4621" s="105"/>
      <c r="AA4621" s="11"/>
      <c r="AB4621" s="11"/>
      <c r="AC4621" s="105"/>
      <c r="AD4621" s="11" t="b">
        <v>0</v>
      </c>
      <c r="AE4621" s="105"/>
      <c r="AF4621" s="11"/>
      <c r="AG4621" s="11"/>
      <c r="AH4621" s="11"/>
      <c r="AI4621" s="11"/>
    </row>
    <row r="4622" ht="12.5" spans="3:35">
      <c r="C4622" s="19"/>
      <c r="D4622" s="19"/>
      <c r="H4622" s="105"/>
      <c r="I4622" s="126"/>
      <c r="J4622" s="11"/>
      <c r="K4622" s="108"/>
      <c r="L4622" s="11"/>
      <c r="M4622" s="105"/>
      <c r="N4622" s="105"/>
      <c r="O4622" s="11"/>
      <c r="P4622" s="11"/>
      <c r="Q4622" s="105"/>
      <c r="R4622" s="105"/>
      <c r="S4622" s="105"/>
      <c r="T4622" s="105"/>
      <c r="U4622" s="105"/>
      <c r="V4622" s="105"/>
      <c r="W4622" s="105"/>
      <c r="X4622" s="11"/>
      <c r="Y4622" s="11"/>
      <c r="Z4622" s="105"/>
      <c r="AA4622" s="11"/>
      <c r="AB4622" s="11"/>
      <c r="AC4622" s="105"/>
      <c r="AD4622" s="11" t="b">
        <v>0</v>
      </c>
      <c r="AE4622" s="105"/>
      <c r="AF4622" s="11"/>
      <c r="AG4622" s="11"/>
      <c r="AH4622" s="11"/>
      <c r="AI4622" s="11"/>
    </row>
    <row r="4623" ht="12.5" spans="3:35">
      <c r="C4623" s="19"/>
      <c r="D4623" s="19"/>
      <c r="H4623" s="105"/>
      <c r="I4623" s="126"/>
      <c r="J4623" s="11"/>
      <c r="K4623" s="108"/>
      <c r="L4623" s="11"/>
      <c r="M4623" s="105"/>
      <c r="N4623" s="105"/>
      <c r="O4623" s="11"/>
      <c r="P4623" s="11"/>
      <c r="Q4623" s="105"/>
      <c r="R4623" s="105"/>
      <c r="S4623" s="105"/>
      <c r="T4623" s="105"/>
      <c r="U4623" s="105"/>
      <c r="V4623" s="105"/>
      <c r="W4623" s="105"/>
      <c r="X4623" s="11"/>
      <c r="Y4623" s="11"/>
      <c r="Z4623" s="105"/>
      <c r="AA4623" s="11"/>
      <c r="AB4623" s="11"/>
      <c r="AC4623" s="105"/>
      <c r="AD4623" s="11" t="b">
        <v>0</v>
      </c>
      <c r="AE4623" s="105"/>
      <c r="AF4623" s="11"/>
      <c r="AG4623" s="11"/>
      <c r="AH4623" s="11"/>
      <c r="AI4623" s="11"/>
    </row>
    <row r="4624" ht="12.5" spans="3:35">
      <c r="C4624" s="19"/>
      <c r="D4624" s="19"/>
      <c r="H4624" s="105"/>
      <c r="I4624" s="126"/>
      <c r="J4624" s="11"/>
      <c r="K4624" s="108"/>
      <c r="L4624" s="11"/>
      <c r="M4624" s="105"/>
      <c r="N4624" s="105"/>
      <c r="O4624" s="11"/>
      <c r="P4624" s="11"/>
      <c r="Q4624" s="105"/>
      <c r="R4624" s="105"/>
      <c r="S4624" s="105"/>
      <c r="T4624" s="105"/>
      <c r="U4624" s="105"/>
      <c r="V4624" s="105"/>
      <c r="W4624" s="105"/>
      <c r="X4624" s="11"/>
      <c r="Y4624" s="11"/>
      <c r="Z4624" s="105"/>
      <c r="AA4624" s="11"/>
      <c r="AB4624" s="11"/>
      <c r="AC4624" s="105"/>
      <c r="AD4624" s="11" t="b">
        <v>0</v>
      </c>
      <c r="AE4624" s="105"/>
      <c r="AF4624" s="11"/>
      <c r="AG4624" s="11"/>
      <c r="AH4624" s="11"/>
      <c r="AI4624" s="11"/>
    </row>
    <row r="4625" ht="12.5" spans="3:35">
      <c r="C4625" s="19"/>
      <c r="D4625" s="19"/>
      <c r="H4625" s="105"/>
      <c r="I4625" s="126"/>
      <c r="J4625" s="11"/>
      <c r="K4625" s="108"/>
      <c r="L4625" s="11"/>
      <c r="M4625" s="105"/>
      <c r="N4625" s="105"/>
      <c r="O4625" s="11"/>
      <c r="P4625" s="11"/>
      <c r="Q4625" s="105"/>
      <c r="R4625" s="105"/>
      <c r="S4625" s="105"/>
      <c r="T4625" s="105"/>
      <c r="U4625" s="105"/>
      <c r="V4625" s="105"/>
      <c r="W4625" s="105"/>
      <c r="X4625" s="11"/>
      <c r="Y4625" s="11"/>
      <c r="Z4625" s="105"/>
      <c r="AA4625" s="11"/>
      <c r="AB4625" s="11"/>
      <c r="AC4625" s="105"/>
      <c r="AD4625" s="11" t="b">
        <v>0</v>
      </c>
      <c r="AE4625" s="105"/>
      <c r="AF4625" s="11"/>
      <c r="AG4625" s="11"/>
      <c r="AH4625" s="11"/>
      <c r="AI4625" s="11"/>
    </row>
    <row r="4626" ht="12.5" spans="3:35">
      <c r="C4626" s="19"/>
      <c r="D4626" s="19"/>
      <c r="H4626" s="105"/>
      <c r="I4626" s="126"/>
      <c r="J4626" s="11"/>
      <c r="K4626" s="108"/>
      <c r="L4626" s="11"/>
      <c r="M4626" s="105"/>
      <c r="N4626" s="105"/>
      <c r="O4626" s="11"/>
      <c r="P4626" s="11"/>
      <c r="Q4626" s="105"/>
      <c r="R4626" s="105"/>
      <c r="S4626" s="105"/>
      <c r="T4626" s="105"/>
      <c r="U4626" s="105"/>
      <c r="V4626" s="105"/>
      <c r="W4626" s="105"/>
      <c r="X4626" s="11"/>
      <c r="Y4626" s="11"/>
      <c r="Z4626" s="105"/>
      <c r="AA4626" s="11"/>
      <c r="AB4626" s="11"/>
      <c r="AC4626" s="105"/>
      <c r="AD4626" s="11" t="b">
        <v>0</v>
      </c>
      <c r="AE4626" s="105"/>
      <c r="AF4626" s="11"/>
      <c r="AG4626" s="11"/>
      <c r="AH4626" s="11"/>
      <c r="AI4626" s="11"/>
    </row>
    <row r="4627" ht="12.5" spans="3:35">
      <c r="C4627" s="19"/>
      <c r="D4627" s="19"/>
      <c r="H4627" s="105"/>
      <c r="I4627" s="126"/>
      <c r="J4627" s="11"/>
      <c r="K4627" s="108"/>
      <c r="L4627" s="11"/>
      <c r="M4627" s="105"/>
      <c r="N4627" s="105"/>
      <c r="O4627" s="11"/>
      <c r="P4627" s="11"/>
      <c r="Q4627" s="105"/>
      <c r="R4627" s="105"/>
      <c r="S4627" s="105"/>
      <c r="T4627" s="105"/>
      <c r="U4627" s="105"/>
      <c r="V4627" s="105"/>
      <c r="W4627" s="105"/>
      <c r="X4627" s="11"/>
      <c r="Y4627" s="11"/>
      <c r="Z4627" s="105"/>
      <c r="AA4627" s="11"/>
      <c r="AB4627" s="11"/>
      <c r="AC4627" s="105"/>
      <c r="AD4627" s="11" t="b">
        <v>0</v>
      </c>
      <c r="AE4627" s="105"/>
      <c r="AF4627" s="11"/>
      <c r="AG4627" s="11"/>
      <c r="AH4627" s="11"/>
      <c r="AI4627" s="11"/>
    </row>
    <row r="4628" ht="12.5" spans="3:35">
      <c r="C4628" s="19"/>
      <c r="D4628" s="19"/>
      <c r="H4628" s="105"/>
      <c r="I4628" s="126"/>
      <c r="J4628" s="11"/>
      <c r="K4628" s="108"/>
      <c r="L4628" s="11"/>
      <c r="M4628" s="105"/>
      <c r="N4628" s="105"/>
      <c r="O4628" s="11"/>
      <c r="P4628" s="11"/>
      <c r="Q4628" s="105"/>
      <c r="R4628" s="105"/>
      <c r="S4628" s="105"/>
      <c r="T4628" s="105"/>
      <c r="U4628" s="105"/>
      <c r="V4628" s="105"/>
      <c r="W4628" s="105"/>
      <c r="X4628" s="11"/>
      <c r="Y4628" s="11"/>
      <c r="Z4628" s="105"/>
      <c r="AA4628" s="11"/>
      <c r="AB4628" s="11"/>
      <c r="AC4628" s="105"/>
      <c r="AD4628" s="11" t="b">
        <v>0</v>
      </c>
      <c r="AE4628" s="105"/>
      <c r="AF4628" s="11"/>
      <c r="AG4628" s="11"/>
      <c r="AH4628" s="11"/>
      <c r="AI4628" s="11"/>
    </row>
    <row r="4629" ht="12.5" spans="3:35">
      <c r="C4629" s="19"/>
      <c r="D4629" s="19"/>
      <c r="H4629" s="105"/>
      <c r="I4629" s="126"/>
      <c r="J4629" s="11"/>
      <c r="K4629" s="108"/>
      <c r="L4629" s="11"/>
      <c r="M4629" s="105"/>
      <c r="N4629" s="105"/>
      <c r="O4629" s="11"/>
      <c r="P4629" s="11"/>
      <c r="Q4629" s="105"/>
      <c r="R4629" s="105"/>
      <c r="S4629" s="105"/>
      <c r="T4629" s="105"/>
      <c r="U4629" s="105"/>
      <c r="V4629" s="105"/>
      <c r="W4629" s="105"/>
      <c r="X4629" s="11"/>
      <c r="Y4629" s="11"/>
      <c r="Z4629" s="105"/>
      <c r="AA4629" s="11"/>
      <c r="AB4629" s="11"/>
      <c r="AC4629" s="105"/>
      <c r="AD4629" s="11" t="b">
        <v>0</v>
      </c>
      <c r="AE4629" s="105"/>
      <c r="AF4629" s="11"/>
      <c r="AG4629" s="11"/>
      <c r="AH4629" s="11"/>
      <c r="AI4629" s="11"/>
    </row>
    <row r="4630" ht="12.5" spans="3:35">
      <c r="C4630" s="19"/>
      <c r="D4630" s="19"/>
      <c r="H4630" s="105"/>
      <c r="I4630" s="126"/>
      <c r="J4630" s="11"/>
      <c r="K4630" s="108"/>
      <c r="L4630" s="11"/>
      <c r="M4630" s="105"/>
      <c r="N4630" s="105"/>
      <c r="O4630" s="11"/>
      <c r="P4630" s="11"/>
      <c r="Q4630" s="105"/>
      <c r="R4630" s="105"/>
      <c r="S4630" s="105"/>
      <c r="T4630" s="105"/>
      <c r="U4630" s="105"/>
      <c r="V4630" s="105"/>
      <c r="W4630" s="105"/>
      <c r="X4630" s="11"/>
      <c r="Y4630" s="11"/>
      <c r="Z4630" s="105"/>
      <c r="AA4630" s="11"/>
      <c r="AB4630" s="11"/>
      <c r="AC4630" s="105"/>
      <c r="AD4630" s="11" t="b">
        <v>0</v>
      </c>
      <c r="AE4630" s="105"/>
      <c r="AF4630" s="11"/>
      <c r="AG4630" s="11"/>
      <c r="AH4630" s="11"/>
      <c r="AI4630" s="11"/>
    </row>
    <row r="4631" ht="12.5" spans="3:35">
      <c r="C4631" s="19"/>
      <c r="D4631" s="19"/>
      <c r="H4631" s="105"/>
      <c r="I4631" s="126"/>
      <c r="J4631" s="11"/>
      <c r="K4631" s="108"/>
      <c r="L4631" s="11"/>
      <c r="M4631" s="105"/>
      <c r="N4631" s="105"/>
      <c r="O4631" s="11"/>
      <c r="P4631" s="11"/>
      <c r="Q4631" s="105"/>
      <c r="R4631" s="105"/>
      <c r="S4631" s="105"/>
      <c r="T4631" s="105"/>
      <c r="U4631" s="105"/>
      <c r="V4631" s="105"/>
      <c r="W4631" s="105"/>
      <c r="X4631" s="11"/>
      <c r="Y4631" s="11"/>
      <c r="Z4631" s="105"/>
      <c r="AA4631" s="11"/>
      <c r="AB4631" s="11"/>
      <c r="AC4631" s="105"/>
      <c r="AD4631" s="11" t="b">
        <v>0</v>
      </c>
      <c r="AE4631" s="105"/>
      <c r="AF4631" s="11"/>
      <c r="AG4631" s="11"/>
      <c r="AH4631" s="11"/>
      <c r="AI4631" s="11"/>
    </row>
    <row r="4632" ht="12.5" spans="3:35">
      <c r="C4632" s="19"/>
      <c r="D4632" s="19"/>
      <c r="H4632" s="105"/>
      <c r="I4632" s="126"/>
      <c r="J4632" s="11"/>
      <c r="K4632" s="108"/>
      <c r="L4632" s="11"/>
      <c r="M4632" s="105"/>
      <c r="N4632" s="105"/>
      <c r="O4632" s="11"/>
      <c r="P4632" s="11"/>
      <c r="Q4632" s="105"/>
      <c r="R4632" s="105"/>
      <c r="S4632" s="105"/>
      <c r="T4632" s="105"/>
      <c r="U4632" s="105"/>
      <c r="V4632" s="105"/>
      <c r="W4632" s="105"/>
      <c r="X4632" s="11"/>
      <c r="Y4632" s="11"/>
      <c r="Z4632" s="105"/>
      <c r="AA4632" s="11"/>
      <c r="AB4632" s="11"/>
      <c r="AC4632" s="105"/>
      <c r="AD4632" s="11" t="b">
        <v>0</v>
      </c>
      <c r="AE4632" s="105"/>
      <c r="AF4632" s="11"/>
      <c r="AG4632" s="11"/>
      <c r="AH4632" s="11"/>
      <c r="AI4632" s="11"/>
    </row>
    <row r="4633" ht="12.5" spans="3:35">
      <c r="C4633" s="19"/>
      <c r="D4633" s="19"/>
      <c r="H4633" s="105"/>
      <c r="I4633" s="126"/>
      <c r="J4633" s="11"/>
      <c r="K4633" s="108"/>
      <c r="L4633" s="11"/>
      <c r="M4633" s="105"/>
      <c r="N4633" s="105"/>
      <c r="O4633" s="11"/>
      <c r="P4633" s="11"/>
      <c r="Q4633" s="105"/>
      <c r="R4633" s="105"/>
      <c r="S4633" s="105"/>
      <c r="T4633" s="105"/>
      <c r="U4633" s="105"/>
      <c r="V4633" s="105"/>
      <c r="W4633" s="105"/>
      <c r="X4633" s="11"/>
      <c r="Y4633" s="11"/>
      <c r="Z4633" s="105"/>
      <c r="AA4633" s="11"/>
      <c r="AB4633" s="11"/>
      <c r="AC4633" s="105"/>
      <c r="AD4633" s="11" t="b">
        <v>0</v>
      </c>
      <c r="AE4633" s="105"/>
      <c r="AF4633" s="11"/>
      <c r="AG4633" s="11"/>
      <c r="AH4633" s="11"/>
      <c r="AI4633" s="11"/>
    </row>
    <row r="4634" ht="12.5" spans="3:35">
      <c r="C4634" s="19"/>
      <c r="D4634" s="19"/>
      <c r="H4634" s="105"/>
      <c r="I4634" s="126"/>
      <c r="J4634" s="11"/>
      <c r="K4634" s="108"/>
      <c r="L4634" s="11"/>
      <c r="M4634" s="105"/>
      <c r="N4634" s="105"/>
      <c r="O4634" s="11"/>
      <c r="P4634" s="11"/>
      <c r="Q4634" s="105"/>
      <c r="R4634" s="105"/>
      <c r="S4634" s="105"/>
      <c r="T4634" s="105"/>
      <c r="U4634" s="105"/>
      <c r="V4634" s="105"/>
      <c r="W4634" s="105"/>
      <c r="X4634" s="11"/>
      <c r="Y4634" s="11"/>
      <c r="Z4634" s="105"/>
      <c r="AA4634" s="11"/>
      <c r="AB4634" s="11"/>
      <c r="AC4634" s="105"/>
      <c r="AD4634" s="11" t="b">
        <v>0</v>
      </c>
      <c r="AE4634" s="105"/>
      <c r="AF4634" s="11"/>
      <c r="AG4634" s="11"/>
      <c r="AH4634" s="11"/>
      <c r="AI4634" s="11"/>
    </row>
    <row r="4635" ht="12.5" spans="3:35">
      <c r="C4635" s="19"/>
      <c r="D4635" s="19"/>
      <c r="H4635" s="105"/>
      <c r="I4635" s="126"/>
      <c r="J4635" s="11"/>
      <c r="K4635" s="108"/>
      <c r="L4635" s="11"/>
      <c r="M4635" s="105"/>
      <c r="N4635" s="105"/>
      <c r="O4635" s="11"/>
      <c r="P4635" s="11"/>
      <c r="Q4635" s="105"/>
      <c r="R4635" s="105"/>
      <c r="S4635" s="105"/>
      <c r="T4635" s="105"/>
      <c r="U4635" s="105"/>
      <c r="V4635" s="105"/>
      <c r="W4635" s="105"/>
      <c r="X4635" s="11"/>
      <c r="Y4635" s="11"/>
      <c r="Z4635" s="105"/>
      <c r="AA4635" s="11"/>
      <c r="AB4635" s="11"/>
      <c r="AC4635" s="105"/>
      <c r="AD4635" s="11" t="b">
        <v>0</v>
      </c>
      <c r="AE4635" s="105"/>
      <c r="AF4635" s="11"/>
      <c r="AG4635" s="11"/>
      <c r="AH4635" s="11"/>
      <c r="AI4635" s="11"/>
    </row>
    <row r="4636" ht="12.5" spans="3:35">
      <c r="C4636" s="19"/>
      <c r="D4636" s="19"/>
      <c r="H4636" s="105"/>
      <c r="I4636" s="126"/>
      <c r="J4636" s="11"/>
      <c r="K4636" s="108"/>
      <c r="L4636" s="11"/>
      <c r="M4636" s="105"/>
      <c r="N4636" s="105"/>
      <c r="O4636" s="11"/>
      <c r="P4636" s="11"/>
      <c r="Q4636" s="105"/>
      <c r="R4636" s="105"/>
      <c r="S4636" s="105"/>
      <c r="T4636" s="105"/>
      <c r="U4636" s="105"/>
      <c r="V4636" s="105"/>
      <c r="W4636" s="105"/>
      <c r="X4636" s="11"/>
      <c r="Y4636" s="11"/>
      <c r="Z4636" s="105"/>
      <c r="AA4636" s="11"/>
      <c r="AB4636" s="11"/>
      <c r="AC4636" s="105"/>
      <c r="AD4636" s="11" t="b">
        <v>0</v>
      </c>
      <c r="AE4636" s="105"/>
      <c r="AF4636" s="11"/>
      <c r="AG4636" s="11"/>
      <c r="AH4636" s="11"/>
      <c r="AI4636" s="11"/>
    </row>
    <row r="4637" ht="12.5" spans="3:35">
      <c r="C4637" s="19"/>
      <c r="D4637" s="19"/>
      <c r="H4637" s="105"/>
      <c r="I4637" s="126"/>
      <c r="J4637" s="11"/>
      <c r="K4637" s="108"/>
      <c r="L4637" s="11"/>
      <c r="M4637" s="105"/>
      <c r="N4637" s="105"/>
      <c r="O4637" s="11"/>
      <c r="P4637" s="11"/>
      <c r="Q4637" s="105"/>
      <c r="R4637" s="105"/>
      <c r="S4637" s="105"/>
      <c r="T4637" s="105"/>
      <c r="U4637" s="105"/>
      <c r="V4637" s="105"/>
      <c r="W4637" s="105"/>
      <c r="X4637" s="11"/>
      <c r="Y4637" s="11"/>
      <c r="Z4637" s="105"/>
      <c r="AA4637" s="11"/>
      <c r="AB4637" s="11"/>
      <c r="AC4637" s="105"/>
      <c r="AD4637" s="11" t="b">
        <v>0</v>
      </c>
      <c r="AE4637" s="105"/>
      <c r="AF4637" s="11"/>
      <c r="AG4637" s="11"/>
      <c r="AH4637" s="11"/>
      <c r="AI4637" s="11"/>
    </row>
    <row r="4638" ht="12.5" spans="3:35">
      <c r="C4638" s="19"/>
      <c r="D4638" s="19"/>
      <c r="H4638" s="105"/>
      <c r="I4638" s="126"/>
      <c r="J4638" s="11"/>
      <c r="K4638" s="108"/>
      <c r="L4638" s="11"/>
      <c r="M4638" s="105"/>
      <c r="N4638" s="105"/>
      <c r="O4638" s="11"/>
      <c r="P4638" s="11"/>
      <c r="Q4638" s="105"/>
      <c r="R4638" s="105"/>
      <c r="S4638" s="105"/>
      <c r="T4638" s="105"/>
      <c r="U4638" s="105"/>
      <c r="V4638" s="105"/>
      <c r="W4638" s="105"/>
      <c r="X4638" s="11"/>
      <c r="Y4638" s="11"/>
      <c r="Z4638" s="105"/>
      <c r="AA4638" s="11"/>
      <c r="AB4638" s="11"/>
      <c r="AC4638" s="105"/>
      <c r="AD4638" s="11" t="b">
        <v>0</v>
      </c>
      <c r="AE4638" s="105"/>
      <c r="AF4638" s="11"/>
      <c r="AG4638" s="11"/>
      <c r="AH4638" s="11"/>
      <c r="AI4638" s="11"/>
    </row>
    <row r="4639" ht="12.5" spans="3:35">
      <c r="C4639" s="19"/>
      <c r="D4639" s="19"/>
      <c r="H4639" s="105"/>
      <c r="I4639" s="126"/>
      <c r="J4639" s="11"/>
      <c r="K4639" s="108"/>
      <c r="L4639" s="11"/>
      <c r="M4639" s="105"/>
      <c r="N4639" s="105"/>
      <c r="O4639" s="11"/>
      <c r="P4639" s="11"/>
      <c r="Q4639" s="105"/>
      <c r="R4639" s="105"/>
      <c r="S4639" s="105"/>
      <c r="T4639" s="105"/>
      <c r="U4639" s="105"/>
      <c r="V4639" s="105"/>
      <c r="W4639" s="105"/>
      <c r="X4639" s="11"/>
      <c r="Y4639" s="11"/>
      <c r="Z4639" s="105"/>
      <c r="AA4639" s="11"/>
      <c r="AB4639" s="11"/>
      <c r="AC4639" s="105"/>
      <c r="AD4639" s="11" t="b">
        <v>0</v>
      </c>
      <c r="AE4639" s="105"/>
      <c r="AF4639" s="11"/>
      <c r="AG4639" s="11"/>
      <c r="AH4639" s="11"/>
      <c r="AI4639" s="11"/>
    </row>
    <row r="4640" ht="12.5" spans="3:35">
      <c r="C4640" s="19"/>
      <c r="D4640" s="19"/>
      <c r="H4640" s="105"/>
      <c r="I4640" s="126"/>
      <c r="J4640" s="11"/>
      <c r="K4640" s="108"/>
      <c r="L4640" s="11"/>
      <c r="M4640" s="105"/>
      <c r="N4640" s="105"/>
      <c r="O4640" s="11"/>
      <c r="P4640" s="11"/>
      <c r="Q4640" s="105"/>
      <c r="R4640" s="105"/>
      <c r="S4640" s="105"/>
      <c r="T4640" s="105"/>
      <c r="U4640" s="105"/>
      <c r="V4640" s="105"/>
      <c r="W4640" s="105"/>
      <c r="X4640" s="11"/>
      <c r="Y4640" s="11"/>
      <c r="Z4640" s="105"/>
      <c r="AA4640" s="11"/>
      <c r="AB4640" s="11"/>
      <c r="AC4640" s="105"/>
      <c r="AD4640" s="11" t="b">
        <v>0</v>
      </c>
      <c r="AE4640" s="105"/>
      <c r="AF4640" s="11"/>
      <c r="AG4640" s="11"/>
      <c r="AH4640" s="11"/>
      <c r="AI4640" s="11"/>
    </row>
    <row r="4641" ht="12.5" spans="3:35">
      <c r="C4641" s="19"/>
      <c r="D4641" s="19"/>
      <c r="H4641" s="105"/>
      <c r="I4641" s="126"/>
      <c r="J4641" s="11"/>
      <c r="K4641" s="108"/>
      <c r="L4641" s="11"/>
      <c r="M4641" s="105"/>
      <c r="N4641" s="105"/>
      <c r="O4641" s="11"/>
      <c r="P4641" s="11"/>
      <c r="Q4641" s="105"/>
      <c r="R4641" s="105"/>
      <c r="S4641" s="105"/>
      <c r="T4641" s="105"/>
      <c r="U4641" s="105"/>
      <c r="V4641" s="105"/>
      <c r="W4641" s="105"/>
      <c r="X4641" s="11"/>
      <c r="Y4641" s="11"/>
      <c r="Z4641" s="105"/>
      <c r="AA4641" s="11"/>
      <c r="AB4641" s="11"/>
      <c r="AC4641" s="105"/>
      <c r="AD4641" s="11" t="b">
        <v>0</v>
      </c>
      <c r="AE4641" s="105"/>
      <c r="AF4641" s="11"/>
      <c r="AG4641" s="11"/>
      <c r="AH4641" s="11"/>
      <c r="AI4641" s="11"/>
    </row>
    <row r="4642" ht="12.5" spans="3:35">
      <c r="C4642" s="19"/>
      <c r="D4642" s="19"/>
      <c r="H4642" s="105"/>
      <c r="I4642" s="126"/>
      <c r="J4642" s="11"/>
      <c r="K4642" s="108"/>
      <c r="L4642" s="11"/>
      <c r="M4642" s="105"/>
      <c r="N4642" s="105"/>
      <c r="O4642" s="11"/>
      <c r="P4642" s="11"/>
      <c r="Q4642" s="105"/>
      <c r="R4642" s="105"/>
      <c r="S4642" s="105"/>
      <c r="T4642" s="105"/>
      <c r="U4642" s="105"/>
      <c r="V4642" s="105"/>
      <c r="W4642" s="105"/>
      <c r="X4642" s="11"/>
      <c r="Y4642" s="11"/>
      <c r="Z4642" s="105"/>
      <c r="AA4642" s="11"/>
      <c r="AB4642" s="11"/>
      <c r="AC4642" s="105"/>
      <c r="AD4642" s="11" t="b">
        <v>0</v>
      </c>
      <c r="AE4642" s="105"/>
      <c r="AF4642" s="11"/>
      <c r="AG4642" s="11"/>
      <c r="AH4642" s="11"/>
      <c r="AI4642" s="11"/>
    </row>
    <row r="4643" ht="12.5" spans="3:35">
      <c r="C4643" s="19"/>
      <c r="D4643" s="19"/>
      <c r="H4643" s="105"/>
      <c r="I4643" s="126"/>
      <c r="J4643" s="11"/>
      <c r="K4643" s="108"/>
      <c r="L4643" s="11"/>
      <c r="M4643" s="105"/>
      <c r="N4643" s="105"/>
      <c r="O4643" s="11"/>
      <c r="P4643" s="11"/>
      <c r="Q4643" s="105"/>
      <c r="R4643" s="105"/>
      <c r="S4643" s="105"/>
      <c r="T4643" s="105"/>
      <c r="U4643" s="105"/>
      <c r="V4643" s="105"/>
      <c r="W4643" s="105"/>
      <c r="X4643" s="11"/>
      <c r="Y4643" s="11"/>
      <c r="Z4643" s="105"/>
      <c r="AA4643" s="11"/>
      <c r="AB4643" s="11"/>
      <c r="AC4643" s="105"/>
      <c r="AD4643" s="11" t="b">
        <v>0</v>
      </c>
      <c r="AE4643" s="105"/>
      <c r="AF4643" s="11"/>
      <c r="AG4643" s="11"/>
      <c r="AH4643" s="11"/>
      <c r="AI4643" s="11"/>
    </row>
    <row r="4644" ht="12.5" spans="3:35">
      <c r="C4644" s="19"/>
      <c r="D4644" s="19"/>
      <c r="H4644" s="105"/>
      <c r="I4644" s="126"/>
      <c r="J4644" s="11"/>
      <c r="K4644" s="108"/>
      <c r="L4644" s="11"/>
      <c r="M4644" s="105"/>
      <c r="N4644" s="105"/>
      <c r="O4644" s="11"/>
      <c r="P4644" s="11"/>
      <c r="Q4644" s="105"/>
      <c r="R4644" s="105"/>
      <c r="S4644" s="105"/>
      <c r="T4644" s="105"/>
      <c r="U4644" s="105"/>
      <c r="V4644" s="105"/>
      <c r="W4644" s="105"/>
      <c r="X4644" s="11"/>
      <c r="Y4644" s="11"/>
      <c r="Z4644" s="105"/>
      <c r="AA4644" s="11"/>
      <c r="AB4644" s="11"/>
      <c r="AC4644" s="105"/>
      <c r="AD4644" s="11" t="b">
        <v>0</v>
      </c>
      <c r="AE4644" s="105"/>
      <c r="AF4644" s="11"/>
      <c r="AG4644" s="11"/>
      <c r="AH4644" s="11"/>
      <c r="AI4644" s="11"/>
    </row>
    <row r="4645" ht="12.5" spans="3:35">
      <c r="C4645" s="19"/>
      <c r="D4645" s="19"/>
      <c r="H4645" s="105"/>
      <c r="I4645" s="126"/>
      <c r="J4645" s="11"/>
      <c r="K4645" s="108"/>
      <c r="L4645" s="11"/>
      <c r="M4645" s="105"/>
      <c r="N4645" s="105"/>
      <c r="O4645" s="11"/>
      <c r="P4645" s="11"/>
      <c r="Q4645" s="105"/>
      <c r="R4645" s="105"/>
      <c r="S4645" s="105"/>
      <c r="T4645" s="105"/>
      <c r="U4645" s="105"/>
      <c r="V4645" s="105"/>
      <c r="W4645" s="105"/>
      <c r="X4645" s="11"/>
      <c r="Y4645" s="11"/>
      <c r="Z4645" s="105"/>
      <c r="AA4645" s="11"/>
      <c r="AB4645" s="11"/>
      <c r="AC4645" s="105"/>
      <c r="AD4645" s="11" t="b">
        <v>0</v>
      </c>
      <c r="AE4645" s="105"/>
      <c r="AF4645" s="11"/>
      <c r="AG4645" s="11"/>
      <c r="AH4645" s="11"/>
      <c r="AI4645" s="11"/>
    </row>
    <row r="4646" ht="12.5" spans="3:35">
      <c r="C4646" s="19"/>
      <c r="D4646" s="19"/>
      <c r="H4646" s="105"/>
      <c r="I4646" s="126"/>
      <c r="J4646" s="11"/>
      <c r="K4646" s="108"/>
      <c r="L4646" s="11"/>
      <c r="M4646" s="105"/>
      <c r="N4646" s="105"/>
      <c r="O4646" s="11"/>
      <c r="P4646" s="11"/>
      <c r="Q4646" s="105"/>
      <c r="R4646" s="105"/>
      <c r="S4646" s="105"/>
      <c r="T4646" s="105"/>
      <c r="U4646" s="105"/>
      <c r="V4646" s="105"/>
      <c r="W4646" s="105"/>
      <c r="X4646" s="11"/>
      <c r="Y4646" s="11"/>
      <c r="Z4646" s="105"/>
      <c r="AA4646" s="11"/>
      <c r="AB4646" s="11"/>
      <c r="AC4646" s="105"/>
      <c r="AD4646" s="11" t="b">
        <v>0</v>
      </c>
      <c r="AE4646" s="105"/>
      <c r="AF4646" s="11"/>
      <c r="AG4646" s="11"/>
      <c r="AH4646" s="11"/>
      <c r="AI4646" s="11"/>
    </row>
    <row r="4647" ht="12.5" spans="3:35">
      <c r="C4647" s="19"/>
      <c r="D4647" s="19"/>
      <c r="H4647" s="105"/>
      <c r="I4647" s="126"/>
      <c r="J4647" s="11"/>
      <c r="K4647" s="108"/>
      <c r="L4647" s="11"/>
      <c r="M4647" s="105"/>
      <c r="N4647" s="105"/>
      <c r="O4647" s="11"/>
      <c r="P4647" s="11"/>
      <c r="Q4647" s="105"/>
      <c r="R4647" s="105"/>
      <c r="S4647" s="105"/>
      <c r="T4647" s="105"/>
      <c r="U4647" s="105"/>
      <c r="V4647" s="105"/>
      <c r="W4647" s="105"/>
      <c r="X4647" s="11"/>
      <c r="Y4647" s="11"/>
      <c r="Z4647" s="105"/>
      <c r="AA4647" s="11"/>
      <c r="AB4647" s="11"/>
      <c r="AC4647" s="105"/>
      <c r="AD4647" s="11" t="b">
        <v>0</v>
      </c>
      <c r="AE4647" s="105"/>
      <c r="AF4647" s="11"/>
      <c r="AG4647" s="11"/>
      <c r="AH4647" s="11"/>
      <c r="AI4647" s="11"/>
    </row>
    <row r="4648" ht="12.5" spans="3:35">
      <c r="C4648" s="19"/>
      <c r="D4648" s="19"/>
      <c r="H4648" s="105"/>
      <c r="I4648" s="126"/>
      <c r="J4648" s="11"/>
      <c r="K4648" s="108"/>
      <c r="L4648" s="11"/>
      <c r="M4648" s="105"/>
      <c r="N4648" s="105"/>
      <c r="O4648" s="11"/>
      <c r="P4648" s="11"/>
      <c r="Q4648" s="105"/>
      <c r="R4648" s="105"/>
      <c r="S4648" s="105"/>
      <c r="T4648" s="105"/>
      <c r="U4648" s="105"/>
      <c r="V4648" s="105"/>
      <c r="W4648" s="105"/>
      <c r="X4648" s="11"/>
      <c r="Y4648" s="11"/>
      <c r="Z4648" s="105"/>
      <c r="AA4648" s="11"/>
      <c r="AB4648" s="11"/>
      <c r="AC4648" s="105"/>
      <c r="AD4648" s="11" t="b">
        <v>0</v>
      </c>
      <c r="AE4648" s="105"/>
      <c r="AF4648" s="11"/>
      <c r="AG4648" s="11"/>
      <c r="AH4648" s="11"/>
      <c r="AI4648" s="11"/>
    </row>
    <row r="4649" ht="12.5" spans="3:35">
      <c r="C4649" s="19"/>
      <c r="D4649" s="19"/>
      <c r="H4649" s="105"/>
      <c r="I4649" s="126"/>
      <c r="J4649" s="11"/>
      <c r="K4649" s="108"/>
      <c r="L4649" s="11"/>
      <c r="M4649" s="105"/>
      <c r="N4649" s="105"/>
      <c r="O4649" s="11"/>
      <c r="P4649" s="11"/>
      <c r="Q4649" s="105"/>
      <c r="R4649" s="105"/>
      <c r="S4649" s="105"/>
      <c r="T4649" s="105"/>
      <c r="U4649" s="105"/>
      <c r="V4649" s="105"/>
      <c r="W4649" s="105"/>
      <c r="X4649" s="11"/>
      <c r="Y4649" s="11"/>
      <c r="Z4649" s="105"/>
      <c r="AA4649" s="11"/>
      <c r="AB4649" s="11"/>
      <c r="AC4649" s="105"/>
      <c r="AD4649" s="11" t="b">
        <v>0</v>
      </c>
      <c r="AE4649" s="105"/>
      <c r="AF4649" s="11"/>
      <c r="AG4649" s="11"/>
      <c r="AH4649" s="11"/>
      <c r="AI4649" s="11"/>
    </row>
    <row r="4650" ht="12.5" spans="3:35">
      <c r="C4650" s="19"/>
      <c r="D4650" s="19"/>
      <c r="H4650" s="105"/>
      <c r="I4650" s="126"/>
      <c r="J4650" s="11"/>
      <c r="K4650" s="108"/>
      <c r="L4650" s="11"/>
      <c r="M4650" s="105"/>
      <c r="N4650" s="105"/>
      <c r="O4650" s="11"/>
      <c r="P4650" s="11"/>
      <c r="Q4650" s="105"/>
      <c r="R4650" s="105"/>
      <c r="S4650" s="105"/>
      <c r="T4650" s="105"/>
      <c r="U4650" s="105"/>
      <c r="V4650" s="105"/>
      <c r="W4650" s="105"/>
      <c r="X4650" s="11"/>
      <c r="Y4650" s="11"/>
      <c r="Z4650" s="105"/>
      <c r="AA4650" s="11"/>
      <c r="AB4650" s="11"/>
      <c r="AC4650" s="105"/>
      <c r="AD4650" s="11" t="b">
        <v>0</v>
      </c>
      <c r="AE4650" s="105"/>
      <c r="AF4650" s="11"/>
      <c r="AG4650" s="11"/>
      <c r="AH4650" s="11"/>
      <c r="AI4650" s="11"/>
    </row>
    <row r="4651" ht="12.5" spans="3:35">
      <c r="C4651" s="19"/>
      <c r="D4651" s="19"/>
      <c r="H4651" s="105"/>
      <c r="I4651" s="126"/>
      <c r="J4651" s="11"/>
      <c r="K4651" s="108"/>
      <c r="L4651" s="11"/>
      <c r="M4651" s="105"/>
      <c r="N4651" s="105"/>
      <c r="O4651" s="11"/>
      <c r="P4651" s="11"/>
      <c r="Q4651" s="105"/>
      <c r="R4651" s="105"/>
      <c r="S4651" s="105"/>
      <c r="T4651" s="105"/>
      <c r="U4651" s="105"/>
      <c r="V4651" s="105"/>
      <c r="W4651" s="105"/>
      <c r="X4651" s="11"/>
      <c r="Y4651" s="11"/>
      <c r="Z4651" s="105"/>
      <c r="AA4651" s="11"/>
      <c r="AB4651" s="11"/>
      <c r="AC4651" s="105"/>
      <c r="AD4651" s="11" t="b">
        <v>0</v>
      </c>
      <c r="AE4651" s="105"/>
      <c r="AF4651" s="11"/>
      <c r="AG4651" s="11"/>
      <c r="AH4651" s="11"/>
      <c r="AI4651" s="11"/>
    </row>
    <row r="4652" ht="12.5" spans="3:35">
      <c r="C4652" s="19"/>
      <c r="D4652" s="19"/>
      <c r="H4652" s="105"/>
      <c r="I4652" s="126"/>
      <c r="J4652" s="11"/>
      <c r="K4652" s="108"/>
      <c r="L4652" s="11"/>
      <c r="M4652" s="105"/>
      <c r="N4652" s="105"/>
      <c r="O4652" s="11"/>
      <c r="P4652" s="11"/>
      <c r="Q4652" s="105"/>
      <c r="R4652" s="105"/>
      <c r="S4652" s="105"/>
      <c r="T4652" s="105"/>
      <c r="U4652" s="105"/>
      <c r="V4652" s="105"/>
      <c r="W4652" s="105"/>
      <c r="X4652" s="11"/>
      <c r="Y4652" s="11"/>
      <c r="Z4652" s="105"/>
      <c r="AA4652" s="11"/>
      <c r="AB4652" s="11"/>
      <c r="AC4652" s="105"/>
      <c r="AD4652" s="11" t="b">
        <v>0</v>
      </c>
      <c r="AE4652" s="105"/>
      <c r="AF4652" s="11"/>
      <c r="AG4652" s="11"/>
      <c r="AH4652" s="11"/>
      <c r="AI4652" s="11"/>
    </row>
    <row r="4653" ht="12.5" spans="3:35">
      <c r="C4653" s="19"/>
      <c r="D4653" s="19"/>
      <c r="H4653" s="105"/>
      <c r="I4653" s="126"/>
      <c r="J4653" s="11"/>
      <c r="K4653" s="108"/>
      <c r="L4653" s="11"/>
      <c r="M4653" s="105"/>
      <c r="N4653" s="105"/>
      <c r="O4653" s="11"/>
      <c r="P4653" s="11"/>
      <c r="Q4653" s="105"/>
      <c r="R4653" s="105"/>
      <c r="S4653" s="105"/>
      <c r="T4653" s="105"/>
      <c r="U4653" s="105"/>
      <c r="V4653" s="105"/>
      <c r="W4653" s="105"/>
      <c r="X4653" s="11"/>
      <c r="Y4653" s="11"/>
      <c r="Z4653" s="105"/>
      <c r="AA4653" s="11"/>
      <c r="AB4653" s="11"/>
      <c r="AC4653" s="105"/>
      <c r="AD4653" s="11" t="b">
        <v>0</v>
      </c>
      <c r="AE4653" s="105"/>
      <c r="AF4653" s="11"/>
      <c r="AG4653" s="11"/>
      <c r="AH4653" s="11"/>
      <c r="AI4653" s="11"/>
    </row>
    <row r="4654" ht="12.5" spans="3:35">
      <c r="C4654" s="19"/>
      <c r="D4654" s="19"/>
      <c r="H4654" s="105"/>
      <c r="I4654" s="126"/>
      <c r="J4654" s="11"/>
      <c r="K4654" s="108"/>
      <c r="L4654" s="11"/>
      <c r="M4654" s="105"/>
      <c r="N4654" s="105"/>
      <c r="O4654" s="11"/>
      <c r="P4654" s="11"/>
      <c r="Q4654" s="105"/>
      <c r="R4654" s="105"/>
      <c r="S4654" s="105"/>
      <c r="T4654" s="105"/>
      <c r="U4654" s="105"/>
      <c r="V4654" s="105"/>
      <c r="W4654" s="105"/>
      <c r="X4654" s="11"/>
      <c r="Y4654" s="11"/>
      <c r="Z4654" s="105"/>
      <c r="AA4654" s="11"/>
      <c r="AB4654" s="11"/>
      <c r="AC4654" s="105"/>
      <c r="AD4654" s="11" t="b">
        <v>0</v>
      </c>
      <c r="AE4654" s="105"/>
      <c r="AF4654" s="11"/>
      <c r="AG4654" s="11"/>
      <c r="AH4654" s="11"/>
      <c r="AI4654" s="11"/>
    </row>
    <row r="4655" ht="12.5" spans="3:35">
      <c r="C4655" s="19"/>
      <c r="D4655" s="19"/>
      <c r="H4655" s="105"/>
      <c r="I4655" s="126"/>
      <c r="J4655" s="11"/>
      <c r="K4655" s="108"/>
      <c r="L4655" s="11"/>
      <c r="M4655" s="105"/>
      <c r="N4655" s="105"/>
      <c r="O4655" s="11"/>
      <c r="P4655" s="11"/>
      <c r="Q4655" s="105"/>
      <c r="R4655" s="105"/>
      <c r="S4655" s="105"/>
      <c r="T4655" s="105"/>
      <c r="U4655" s="105"/>
      <c r="V4655" s="105"/>
      <c r="W4655" s="105"/>
      <c r="X4655" s="11"/>
      <c r="Y4655" s="11"/>
      <c r="Z4655" s="105"/>
      <c r="AA4655" s="11"/>
      <c r="AB4655" s="11"/>
      <c r="AC4655" s="105"/>
      <c r="AD4655" s="11" t="b">
        <v>0</v>
      </c>
      <c r="AE4655" s="105"/>
      <c r="AF4655" s="11"/>
      <c r="AG4655" s="11"/>
      <c r="AH4655" s="11"/>
      <c r="AI4655" s="11"/>
    </row>
    <row r="4656" ht="12.5" spans="3:35">
      <c r="C4656" s="19"/>
      <c r="D4656" s="19"/>
      <c r="H4656" s="105"/>
      <c r="I4656" s="126"/>
      <c r="J4656" s="11"/>
      <c r="K4656" s="108"/>
      <c r="L4656" s="11"/>
      <c r="M4656" s="105"/>
      <c r="N4656" s="105"/>
      <c r="O4656" s="11"/>
      <c r="P4656" s="11"/>
      <c r="Q4656" s="105"/>
      <c r="R4656" s="105"/>
      <c r="S4656" s="105"/>
      <c r="T4656" s="105"/>
      <c r="U4656" s="105"/>
      <c r="V4656" s="105"/>
      <c r="W4656" s="105"/>
      <c r="X4656" s="11"/>
      <c r="Y4656" s="11"/>
      <c r="Z4656" s="105"/>
      <c r="AA4656" s="11"/>
      <c r="AB4656" s="11"/>
      <c r="AC4656" s="105"/>
      <c r="AD4656" s="11" t="b">
        <v>0</v>
      </c>
      <c r="AE4656" s="105"/>
      <c r="AF4656" s="11"/>
      <c r="AG4656" s="11"/>
      <c r="AH4656" s="11"/>
      <c r="AI4656" s="11"/>
    </row>
    <row r="4657" ht="12.5" spans="3:35">
      <c r="C4657" s="19"/>
      <c r="D4657" s="19"/>
      <c r="H4657" s="105"/>
      <c r="I4657" s="126"/>
      <c r="J4657" s="11"/>
      <c r="K4657" s="108"/>
      <c r="L4657" s="11"/>
      <c r="M4657" s="105"/>
      <c r="N4657" s="105"/>
      <c r="O4657" s="11"/>
      <c r="P4657" s="11"/>
      <c r="Q4657" s="105"/>
      <c r="R4657" s="105"/>
      <c r="S4657" s="105"/>
      <c r="T4657" s="105"/>
      <c r="U4657" s="105"/>
      <c r="V4657" s="105"/>
      <c r="W4657" s="105"/>
      <c r="X4657" s="11"/>
      <c r="Y4657" s="11"/>
      <c r="Z4657" s="105"/>
      <c r="AA4657" s="11"/>
      <c r="AB4657" s="11"/>
      <c r="AC4657" s="105"/>
      <c r="AD4657" s="11" t="b">
        <v>0</v>
      </c>
      <c r="AE4657" s="105"/>
      <c r="AF4657" s="11"/>
      <c r="AG4657" s="11"/>
      <c r="AH4657" s="11"/>
      <c r="AI4657" s="11"/>
    </row>
    <row r="4658" ht="12.5" spans="3:35">
      <c r="C4658" s="19"/>
      <c r="D4658" s="19"/>
      <c r="H4658" s="105"/>
      <c r="I4658" s="126"/>
      <c r="J4658" s="11"/>
      <c r="K4658" s="108"/>
      <c r="L4658" s="11"/>
      <c r="M4658" s="105"/>
      <c r="N4658" s="105"/>
      <c r="O4658" s="11"/>
      <c r="P4658" s="11"/>
      <c r="Q4658" s="105"/>
      <c r="R4658" s="105"/>
      <c r="S4658" s="105"/>
      <c r="T4658" s="105"/>
      <c r="U4658" s="105"/>
      <c r="V4658" s="105"/>
      <c r="W4658" s="105"/>
      <c r="X4658" s="11"/>
      <c r="Y4658" s="11"/>
      <c r="Z4658" s="105"/>
      <c r="AA4658" s="11"/>
      <c r="AB4658" s="11"/>
      <c r="AC4658" s="105"/>
      <c r="AD4658" s="11" t="b">
        <v>0</v>
      </c>
      <c r="AE4658" s="105"/>
      <c r="AF4658" s="11"/>
      <c r="AG4658" s="11"/>
      <c r="AH4658" s="11"/>
      <c r="AI4658" s="11"/>
    </row>
    <row r="4659" ht="12.5" spans="3:35">
      <c r="C4659" s="19"/>
      <c r="D4659" s="19"/>
      <c r="H4659" s="105"/>
      <c r="I4659" s="126"/>
      <c r="J4659" s="11"/>
      <c r="K4659" s="108"/>
      <c r="L4659" s="11"/>
      <c r="M4659" s="105"/>
      <c r="N4659" s="105"/>
      <c r="O4659" s="11"/>
      <c r="P4659" s="11"/>
      <c r="Q4659" s="105"/>
      <c r="R4659" s="105"/>
      <c r="S4659" s="105"/>
      <c r="T4659" s="105"/>
      <c r="U4659" s="105"/>
      <c r="V4659" s="105"/>
      <c r="W4659" s="105"/>
      <c r="X4659" s="11"/>
      <c r="Y4659" s="11"/>
      <c r="Z4659" s="105"/>
      <c r="AA4659" s="11"/>
      <c r="AB4659" s="11"/>
      <c r="AC4659" s="105"/>
      <c r="AD4659" s="11" t="b">
        <v>0</v>
      </c>
      <c r="AE4659" s="105"/>
      <c r="AF4659" s="11"/>
      <c r="AG4659" s="11"/>
      <c r="AH4659" s="11"/>
      <c r="AI4659" s="11"/>
    </row>
    <row r="4660" ht="12.5" spans="3:35">
      <c r="C4660" s="19"/>
      <c r="D4660" s="19"/>
      <c r="H4660" s="105"/>
      <c r="I4660" s="126"/>
      <c r="J4660" s="11"/>
      <c r="K4660" s="108"/>
      <c r="L4660" s="11"/>
      <c r="M4660" s="105"/>
      <c r="N4660" s="105"/>
      <c r="O4660" s="11"/>
      <c r="P4660" s="11"/>
      <c r="Q4660" s="105"/>
      <c r="R4660" s="105"/>
      <c r="S4660" s="105"/>
      <c r="T4660" s="105"/>
      <c r="U4660" s="105"/>
      <c r="V4660" s="105"/>
      <c r="W4660" s="105"/>
      <c r="X4660" s="11"/>
      <c r="Y4660" s="11"/>
      <c r="Z4660" s="105"/>
      <c r="AA4660" s="11"/>
      <c r="AB4660" s="11"/>
      <c r="AC4660" s="105"/>
      <c r="AD4660" s="11" t="b">
        <v>0</v>
      </c>
      <c r="AE4660" s="105"/>
      <c r="AF4660" s="11"/>
      <c r="AG4660" s="11"/>
      <c r="AH4660" s="11"/>
      <c r="AI4660" s="11"/>
    </row>
    <row r="4661" ht="12.5" spans="3:35">
      <c r="C4661" s="19"/>
      <c r="D4661" s="19"/>
      <c r="H4661" s="105"/>
      <c r="I4661" s="126"/>
      <c r="J4661" s="11"/>
      <c r="K4661" s="108"/>
      <c r="L4661" s="11"/>
      <c r="M4661" s="105"/>
      <c r="N4661" s="105"/>
      <c r="O4661" s="11"/>
      <c r="P4661" s="11"/>
      <c r="Q4661" s="105"/>
      <c r="R4661" s="105"/>
      <c r="S4661" s="105"/>
      <c r="T4661" s="105"/>
      <c r="U4661" s="105"/>
      <c r="V4661" s="105"/>
      <c r="W4661" s="105"/>
      <c r="X4661" s="11"/>
      <c r="Y4661" s="11"/>
      <c r="Z4661" s="105"/>
      <c r="AA4661" s="11"/>
      <c r="AB4661" s="11"/>
      <c r="AC4661" s="105"/>
      <c r="AD4661" s="11" t="b">
        <v>0</v>
      </c>
      <c r="AE4661" s="105"/>
      <c r="AF4661" s="11"/>
      <c r="AG4661" s="11"/>
      <c r="AH4661" s="11"/>
      <c r="AI4661" s="11"/>
    </row>
    <row r="4662" ht="12.5" spans="3:35">
      <c r="C4662" s="19"/>
      <c r="D4662" s="19"/>
      <c r="H4662" s="105"/>
      <c r="I4662" s="126"/>
      <c r="J4662" s="11"/>
      <c r="K4662" s="108"/>
      <c r="L4662" s="11"/>
      <c r="M4662" s="105"/>
      <c r="N4662" s="105"/>
      <c r="O4662" s="11"/>
      <c r="P4662" s="11"/>
      <c r="Q4662" s="105"/>
      <c r="R4662" s="105"/>
      <c r="S4662" s="105"/>
      <c r="T4662" s="105"/>
      <c r="U4662" s="105"/>
      <c r="V4662" s="105"/>
      <c r="W4662" s="105"/>
      <c r="X4662" s="11"/>
      <c r="Y4662" s="11"/>
      <c r="Z4662" s="105"/>
      <c r="AA4662" s="11"/>
      <c r="AB4662" s="11"/>
      <c r="AC4662" s="105"/>
      <c r="AD4662" s="11" t="b">
        <v>0</v>
      </c>
      <c r="AE4662" s="105"/>
      <c r="AF4662" s="11"/>
      <c r="AG4662" s="11"/>
      <c r="AH4662" s="11"/>
      <c r="AI4662" s="11"/>
    </row>
    <row r="4663" ht="12.5" spans="3:35">
      <c r="C4663" s="19"/>
      <c r="D4663" s="19"/>
      <c r="H4663" s="105"/>
      <c r="I4663" s="126"/>
      <c r="J4663" s="11"/>
      <c r="K4663" s="108"/>
      <c r="L4663" s="11"/>
      <c r="M4663" s="105"/>
      <c r="N4663" s="105"/>
      <c r="O4663" s="11"/>
      <c r="P4663" s="11"/>
      <c r="Q4663" s="105"/>
      <c r="R4663" s="105"/>
      <c r="S4663" s="105"/>
      <c r="T4663" s="105"/>
      <c r="U4663" s="105"/>
      <c r="V4663" s="105"/>
      <c r="W4663" s="105"/>
      <c r="X4663" s="11"/>
      <c r="Y4663" s="11"/>
      <c r="Z4663" s="105"/>
      <c r="AA4663" s="11"/>
      <c r="AB4663" s="11"/>
      <c r="AC4663" s="105"/>
      <c r="AD4663" s="11" t="b">
        <v>0</v>
      </c>
      <c r="AE4663" s="105"/>
      <c r="AF4663" s="11"/>
      <c r="AG4663" s="11"/>
      <c r="AH4663" s="11"/>
      <c r="AI4663" s="11"/>
    </row>
    <row r="4664" ht="12.5" spans="3:35">
      <c r="C4664" s="19"/>
      <c r="D4664" s="19"/>
      <c r="H4664" s="105"/>
      <c r="I4664" s="126"/>
      <c r="J4664" s="11"/>
      <c r="K4664" s="108"/>
      <c r="L4664" s="11"/>
      <c r="M4664" s="105"/>
      <c r="N4664" s="105"/>
      <c r="O4664" s="11"/>
      <c r="P4664" s="11"/>
      <c r="Q4664" s="105"/>
      <c r="R4664" s="105"/>
      <c r="S4664" s="105"/>
      <c r="T4664" s="105"/>
      <c r="U4664" s="105"/>
      <c r="V4664" s="105"/>
      <c r="W4664" s="105"/>
      <c r="X4664" s="11"/>
      <c r="Y4664" s="11"/>
      <c r="Z4664" s="105"/>
      <c r="AA4664" s="11"/>
      <c r="AB4664" s="11"/>
      <c r="AC4664" s="105"/>
      <c r="AD4664" s="11" t="b">
        <v>0</v>
      </c>
      <c r="AE4664" s="105"/>
      <c r="AF4664" s="11"/>
      <c r="AG4664" s="11"/>
      <c r="AH4664" s="11"/>
      <c r="AI4664" s="11"/>
    </row>
    <row r="4665" ht="12.5" spans="3:35">
      <c r="C4665" s="19"/>
      <c r="D4665" s="19"/>
      <c r="H4665" s="105"/>
      <c r="I4665" s="126"/>
      <c r="J4665" s="11"/>
      <c r="K4665" s="108"/>
      <c r="L4665" s="11"/>
      <c r="M4665" s="105"/>
      <c r="N4665" s="105"/>
      <c r="O4665" s="11"/>
      <c r="P4665" s="11"/>
      <c r="Q4665" s="105"/>
      <c r="R4665" s="105"/>
      <c r="S4665" s="105"/>
      <c r="T4665" s="105"/>
      <c r="U4665" s="105"/>
      <c r="V4665" s="105"/>
      <c r="W4665" s="105"/>
      <c r="X4665" s="11"/>
      <c r="Y4665" s="11"/>
      <c r="Z4665" s="105"/>
      <c r="AA4665" s="11"/>
      <c r="AB4665" s="11"/>
      <c r="AC4665" s="105"/>
      <c r="AD4665" s="11" t="b">
        <v>0</v>
      </c>
      <c r="AE4665" s="105"/>
      <c r="AF4665" s="11"/>
      <c r="AG4665" s="11"/>
      <c r="AH4665" s="11"/>
      <c r="AI4665" s="11"/>
    </row>
    <row r="4666" ht="12.5" spans="3:35">
      <c r="C4666" s="19"/>
      <c r="D4666" s="19"/>
      <c r="H4666" s="105"/>
      <c r="I4666" s="126"/>
      <c r="J4666" s="11"/>
      <c r="K4666" s="108"/>
      <c r="L4666" s="11"/>
      <c r="M4666" s="105"/>
      <c r="N4666" s="105"/>
      <c r="O4666" s="11"/>
      <c r="P4666" s="11"/>
      <c r="Q4666" s="105"/>
      <c r="R4666" s="105"/>
      <c r="S4666" s="105"/>
      <c r="T4666" s="105"/>
      <c r="U4666" s="105"/>
      <c r="V4666" s="105"/>
      <c r="W4666" s="105"/>
      <c r="X4666" s="11"/>
      <c r="Y4666" s="11"/>
      <c r="Z4666" s="105"/>
      <c r="AA4666" s="11"/>
      <c r="AB4666" s="11"/>
      <c r="AC4666" s="105"/>
      <c r="AD4666" s="11" t="b">
        <v>0</v>
      </c>
      <c r="AE4666" s="105"/>
      <c r="AF4666" s="11"/>
      <c r="AG4666" s="11"/>
      <c r="AH4666" s="11"/>
      <c r="AI4666" s="11"/>
    </row>
    <row r="4667" ht="12.5" spans="3:35">
      <c r="C4667" s="19"/>
      <c r="D4667" s="19"/>
      <c r="H4667" s="105"/>
      <c r="I4667" s="126"/>
      <c r="J4667" s="11"/>
      <c r="K4667" s="108"/>
      <c r="L4667" s="11"/>
      <c r="M4667" s="105"/>
      <c r="N4667" s="105"/>
      <c r="O4667" s="11"/>
      <c r="P4667" s="11"/>
      <c r="Q4667" s="105"/>
      <c r="R4667" s="105"/>
      <c r="S4667" s="105"/>
      <c r="T4667" s="105"/>
      <c r="U4667" s="105"/>
      <c r="V4667" s="105"/>
      <c r="W4667" s="105"/>
      <c r="X4667" s="11"/>
      <c r="Y4667" s="11"/>
      <c r="Z4667" s="105"/>
      <c r="AA4667" s="11"/>
      <c r="AB4667" s="11"/>
      <c r="AC4667" s="105"/>
      <c r="AD4667" s="11" t="b">
        <v>0</v>
      </c>
      <c r="AE4667" s="105"/>
      <c r="AF4667" s="11"/>
      <c r="AG4667" s="11"/>
      <c r="AH4667" s="11"/>
      <c r="AI4667" s="11"/>
    </row>
    <row r="4668" ht="12.5" spans="3:35">
      <c r="C4668" s="19"/>
      <c r="D4668" s="19"/>
      <c r="H4668" s="105"/>
      <c r="I4668" s="126"/>
      <c r="J4668" s="11"/>
      <c r="K4668" s="108"/>
      <c r="L4668" s="11"/>
      <c r="M4668" s="105"/>
      <c r="N4668" s="105"/>
      <c r="O4668" s="11"/>
      <c r="P4668" s="11"/>
      <c r="Q4668" s="105"/>
      <c r="R4668" s="105"/>
      <c r="S4668" s="105"/>
      <c r="T4668" s="105"/>
      <c r="U4668" s="105"/>
      <c r="V4668" s="105"/>
      <c r="W4668" s="105"/>
      <c r="X4668" s="11"/>
      <c r="Y4668" s="11"/>
      <c r="Z4668" s="105"/>
      <c r="AA4668" s="11"/>
      <c r="AB4668" s="11"/>
      <c r="AC4668" s="105"/>
      <c r="AD4668" s="11" t="b">
        <v>0</v>
      </c>
      <c r="AE4668" s="105"/>
      <c r="AF4668" s="11"/>
      <c r="AG4668" s="11"/>
      <c r="AH4668" s="11"/>
      <c r="AI4668" s="11"/>
    </row>
    <row r="4669" ht="12.5" spans="3:35">
      <c r="C4669" s="19"/>
      <c r="D4669" s="19"/>
      <c r="H4669" s="105"/>
      <c r="I4669" s="126"/>
      <c r="J4669" s="11"/>
      <c r="K4669" s="108"/>
      <c r="L4669" s="11"/>
      <c r="M4669" s="105"/>
      <c r="N4669" s="105"/>
      <c r="O4669" s="11"/>
      <c r="P4669" s="11"/>
      <c r="Q4669" s="105"/>
      <c r="R4669" s="105"/>
      <c r="S4669" s="105"/>
      <c r="T4669" s="105"/>
      <c r="U4669" s="105"/>
      <c r="V4669" s="105"/>
      <c r="W4669" s="105"/>
      <c r="X4669" s="11"/>
      <c r="Y4669" s="11"/>
      <c r="Z4669" s="105"/>
      <c r="AA4669" s="11"/>
      <c r="AB4669" s="11"/>
      <c r="AC4669" s="105"/>
      <c r="AD4669" s="11" t="b">
        <v>0</v>
      </c>
      <c r="AE4669" s="105"/>
      <c r="AF4669" s="11"/>
      <c r="AG4669" s="11"/>
      <c r="AH4669" s="11"/>
      <c r="AI4669" s="11"/>
    </row>
    <row r="4670" ht="12.5" spans="3:35">
      <c r="C4670" s="19"/>
      <c r="D4670" s="19"/>
      <c r="H4670" s="105"/>
      <c r="I4670" s="126"/>
      <c r="J4670" s="11"/>
      <c r="K4670" s="108"/>
      <c r="L4670" s="11"/>
      <c r="M4670" s="105"/>
      <c r="N4670" s="105"/>
      <c r="O4670" s="11"/>
      <c r="P4670" s="11"/>
      <c r="Q4670" s="105"/>
      <c r="R4670" s="105"/>
      <c r="S4670" s="105"/>
      <c r="T4670" s="105"/>
      <c r="U4670" s="105"/>
      <c r="V4670" s="105"/>
      <c r="W4670" s="105"/>
      <c r="X4670" s="11"/>
      <c r="Y4670" s="11"/>
      <c r="Z4670" s="105"/>
      <c r="AA4670" s="11"/>
      <c r="AB4670" s="11"/>
      <c r="AC4670" s="105"/>
      <c r="AD4670" s="11" t="b">
        <v>0</v>
      </c>
      <c r="AE4670" s="105"/>
      <c r="AF4670" s="11"/>
      <c r="AG4670" s="11"/>
      <c r="AH4670" s="11"/>
      <c r="AI4670" s="11"/>
    </row>
    <row r="4671" ht="12.5" spans="3:35">
      <c r="C4671" s="19"/>
      <c r="D4671" s="19"/>
      <c r="H4671" s="105"/>
      <c r="I4671" s="126"/>
      <c r="J4671" s="11"/>
      <c r="K4671" s="108"/>
      <c r="L4671" s="11"/>
      <c r="M4671" s="105"/>
      <c r="N4671" s="105"/>
      <c r="O4671" s="11"/>
      <c r="P4671" s="11"/>
      <c r="Q4671" s="105"/>
      <c r="R4671" s="105"/>
      <c r="S4671" s="105"/>
      <c r="T4671" s="105"/>
      <c r="U4671" s="105"/>
      <c r="V4671" s="105"/>
      <c r="W4671" s="105"/>
      <c r="X4671" s="11"/>
      <c r="Y4671" s="11"/>
      <c r="Z4671" s="105"/>
      <c r="AA4671" s="11"/>
      <c r="AB4671" s="11"/>
      <c r="AC4671" s="105"/>
      <c r="AD4671" s="11" t="b">
        <v>0</v>
      </c>
      <c r="AE4671" s="105"/>
      <c r="AF4671" s="11"/>
      <c r="AG4671" s="11"/>
      <c r="AH4671" s="11"/>
      <c r="AI4671" s="11"/>
    </row>
    <row r="4672" ht="12.5" spans="3:35">
      <c r="C4672" s="19"/>
      <c r="D4672" s="19"/>
      <c r="H4672" s="105"/>
      <c r="I4672" s="126"/>
      <c r="J4672" s="11"/>
      <c r="K4672" s="108"/>
      <c r="L4672" s="11"/>
      <c r="M4672" s="105"/>
      <c r="N4672" s="105"/>
      <c r="O4672" s="11"/>
      <c r="P4672" s="11"/>
      <c r="Q4672" s="105"/>
      <c r="R4672" s="105"/>
      <c r="S4672" s="105"/>
      <c r="T4672" s="105"/>
      <c r="U4672" s="105"/>
      <c r="V4672" s="105"/>
      <c r="W4672" s="105"/>
      <c r="X4672" s="11"/>
      <c r="Y4672" s="11"/>
      <c r="Z4672" s="105"/>
      <c r="AA4672" s="11"/>
      <c r="AB4672" s="11"/>
      <c r="AC4672" s="105"/>
      <c r="AD4672" s="11" t="b">
        <v>0</v>
      </c>
      <c r="AE4672" s="105"/>
      <c r="AF4672" s="11"/>
      <c r="AG4672" s="11"/>
      <c r="AH4672" s="11"/>
      <c r="AI4672" s="11"/>
    </row>
    <row r="4673" ht="12.5" spans="3:35">
      <c r="C4673" s="19"/>
      <c r="D4673" s="19"/>
      <c r="H4673" s="105"/>
      <c r="I4673" s="126"/>
      <c r="J4673" s="11"/>
      <c r="K4673" s="108"/>
      <c r="L4673" s="11"/>
      <c r="M4673" s="105"/>
      <c r="N4673" s="105"/>
      <c r="O4673" s="11"/>
      <c r="P4673" s="11"/>
      <c r="Q4673" s="105"/>
      <c r="R4673" s="105"/>
      <c r="S4673" s="105"/>
      <c r="T4673" s="105"/>
      <c r="U4673" s="105"/>
      <c r="V4673" s="105"/>
      <c r="W4673" s="105"/>
      <c r="X4673" s="11"/>
      <c r="Y4673" s="11"/>
      <c r="Z4673" s="105"/>
      <c r="AA4673" s="11"/>
      <c r="AB4673" s="11"/>
      <c r="AC4673" s="105"/>
      <c r="AD4673" s="11" t="b">
        <v>0</v>
      </c>
      <c r="AE4673" s="105"/>
      <c r="AF4673" s="11"/>
      <c r="AG4673" s="11"/>
      <c r="AH4673" s="11"/>
      <c r="AI4673" s="11"/>
    </row>
    <row r="4674" ht="12.5" spans="3:35">
      <c r="C4674" s="19"/>
      <c r="D4674" s="19"/>
      <c r="H4674" s="105"/>
      <c r="I4674" s="126"/>
      <c r="J4674" s="11"/>
      <c r="K4674" s="108"/>
      <c r="L4674" s="11"/>
      <c r="M4674" s="105"/>
      <c r="N4674" s="105"/>
      <c r="O4674" s="11"/>
      <c r="P4674" s="11"/>
      <c r="Q4674" s="105"/>
      <c r="R4674" s="105"/>
      <c r="S4674" s="105"/>
      <c r="T4674" s="105"/>
      <c r="U4674" s="105"/>
      <c r="V4674" s="105"/>
      <c r="W4674" s="105"/>
      <c r="X4674" s="11"/>
      <c r="Y4674" s="11"/>
      <c r="Z4674" s="105"/>
      <c r="AA4674" s="11"/>
      <c r="AB4674" s="11"/>
      <c r="AC4674" s="105"/>
      <c r="AD4674" s="11" t="b">
        <v>0</v>
      </c>
      <c r="AE4674" s="105"/>
      <c r="AF4674" s="11"/>
      <c r="AG4674" s="11"/>
      <c r="AH4674" s="11"/>
      <c r="AI4674" s="11"/>
    </row>
    <row r="4675" ht="12.5" spans="3:35">
      <c r="C4675" s="19"/>
      <c r="D4675" s="19"/>
      <c r="H4675" s="105"/>
      <c r="I4675" s="126"/>
      <c r="J4675" s="11"/>
      <c r="K4675" s="108"/>
      <c r="L4675" s="11"/>
      <c r="M4675" s="105"/>
      <c r="N4675" s="105"/>
      <c r="O4675" s="11"/>
      <c r="P4675" s="11"/>
      <c r="Q4675" s="105"/>
      <c r="R4675" s="105"/>
      <c r="S4675" s="105"/>
      <c r="T4675" s="105"/>
      <c r="U4675" s="105"/>
      <c r="V4675" s="105"/>
      <c r="W4675" s="105"/>
      <c r="X4675" s="11"/>
      <c r="Y4675" s="11"/>
      <c r="Z4675" s="105"/>
      <c r="AA4675" s="11"/>
      <c r="AB4675" s="11"/>
      <c r="AC4675" s="105"/>
      <c r="AD4675" s="11" t="b">
        <v>0</v>
      </c>
      <c r="AE4675" s="105"/>
      <c r="AF4675" s="11"/>
      <c r="AG4675" s="11"/>
      <c r="AH4675" s="11"/>
      <c r="AI4675" s="11"/>
    </row>
    <row r="4676" ht="12.5" spans="3:35">
      <c r="C4676" s="19"/>
      <c r="D4676" s="19"/>
      <c r="H4676" s="105"/>
      <c r="I4676" s="126"/>
      <c r="J4676" s="11"/>
      <c r="K4676" s="108"/>
      <c r="L4676" s="11"/>
      <c r="M4676" s="105"/>
      <c r="N4676" s="105"/>
      <c r="O4676" s="11"/>
      <c r="P4676" s="11"/>
      <c r="Q4676" s="105"/>
      <c r="R4676" s="105"/>
      <c r="S4676" s="105"/>
      <c r="T4676" s="105"/>
      <c r="U4676" s="105"/>
      <c r="V4676" s="105"/>
      <c r="W4676" s="105"/>
      <c r="X4676" s="11"/>
      <c r="Y4676" s="11"/>
      <c r="Z4676" s="105"/>
      <c r="AA4676" s="11"/>
      <c r="AB4676" s="11"/>
      <c r="AC4676" s="105"/>
      <c r="AD4676" s="11" t="b">
        <v>0</v>
      </c>
      <c r="AE4676" s="105"/>
      <c r="AF4676" s="11"/>
      <c r="AG4676" s="11"/>
      <c r="AH4676" s="11"/>
      <c r="AI4676" s="11"/>
    </row>
    <row r="4677" ht="12.5" spans="3:35">
      <c r="C4677" s="19"/>
      <c r="D4677" s="19"/>
      <c r="H4677" s="105"/>
      <c r="I4677" s="126"/>
      <c r="J4677" s="11"/>
      <c r="K4677" s="108"/>
      <c r="L4677" s="11"/>
      <c r="M4677" s="105"/>
      <c r="N4677" s="105"/>
      <c r="O4677" s="11"/>
      <c r="P4677" s="11"/>
      <c r="Q4677" s="105"/>
      <c r="R4677" s="105"/>
      <c r="S4677" s="105"/>
      <c r="T4677" s="105"/>
      <c r="U4677" s="105"/>
      <c r="V4677" s="105"/>
      <c r="W4677" s="105"/>
      <c r="X4677" s="11"/>
      <c r="Y4677" s="11"/>
      <c r="Z4677" s="105"/>
      <c r="AA4677" s="11"/>
      <c r="AB4677" s="11"/>
      <c r="AC4677" s="105"/>
      <c r="AD4677" s="11" t="b">
        <v>0</v>
      </c>
      <c r="AE4677" s="105"/>
      <c r="AF4677" s="11"/>
      <c r="AG4677" s="11"/>
      <c r="AH4677" s="11"/>
      <c r="AI4677" s="11"/>
    </row>
    <row r="4678" ht="12.5" spans="3:35">
      <c r="C4678" s="19"/>
      <c r="D4678" s="19"/>
      <c r="H4678" s="105"/>
      <c r="I4678" s="126"/>
      <c r="J4678" s="11"/>
      <c r="K4678" s="108"/>
      <c r="L4678" s="11"/>
      <c r="M4678" s="105"/>
      <c r="N4678" s="105"/>
      <c r="O4678" s="11"/>
      <c r="P4678" s="11"/>
      <c r="Q4678" s="105"/>
      <c r="R4678" s="105"/>
      <c r="S4678" s="105"/>
      <c r="T4678" s="105"/>
      <c r="U4678" s="105"/>
      <c r="V4678" s="105"/>
      <c r="W4678" s="105"/>
      <c r="X4678" s="11"/>
      <c r="Y4678" s="11"/>
      <c r="Z4678" s="105"/>
      <c r="AA4678" s="11"/>
      <c r="AB4678" s="11"/>
      <c r="AC4678" s="105"/>
      <c r="AD4678" s="11" t="b">
        <v>0</v>
      </c>
      <c r="AE4678" s="105"/>
      <c r="AF4678" s="11"/>
      <c r="AG4678" s="11"/>
      <c r="AH4678" s="11"/>
      <c r="AI4678" s="11"/>
    </row>
    <row r="4679" ht="12.5" spans="3:35">
      <c r="C4679" s="19"/>
      <c r="D4679" s="19"/>
      <c r="H4679" s="105"/>
      <c r="I4679" s="126"/>
      <c r="J4679" s="11"/>
      <c r="K4679" s="108"/>
      <c r="L4679" s="11"/>
      <c r="M4679" s="105"/>
      <c r="N4679" s="105"/>
      <c r="O4679" s="11"/>
      <c r="P4679" s="11"/>
      <c r="Q4679" s="105"/>
      <c r="R4679" s="105"/>
      <c r="S4679" s="105"/>
      <c r="T4679" s="105"/>
      <c r="U4679" s="105"/>
      <c r="V4679" s="105"/>
      <c r="W4679" s="105"/>
      <c r="X4679" s="11"/>
      <c r="Y4679" s="11"/>
      <c r="Z4679" s="105"/>
      <c r="AA4679" s="11"/>
      <c r="AB4679" s="11"/>
      <c r="AC4679" s="105"/>
      <c r="AD4679" s="11" t="b">
        <v>0</v>
      </c>
      <c r="AE4679" s="105"/>
      <c r="AF4679" s="11"/>
      <c r="AG4679" s="11"/>
      <c r="AH4679" s="11"/>
      <c r="AI4679" s="11"/>
    </row>
    <row r="4680" ht="12.5" spans="3:35">
      <c r="C4680" s="19"/>
      <c r="D4680" s="19"/>
      <c r="H4680" s="105"/>
      <c r="I4680" s="126"/>
      <c r="J4680" s="11"/>
      <c r="K4680" s="108"/>
      <c r="L4680" s="11"/>
      <c r="M4680" s="105"/>
      <c r="N4680" s="105"/>
      <c r="O4680" s="11"/>
      <c r="P4680" s="11"/>
      <c r="Q4680" s="105"/>
      <c r="R4680" s="105"/>
      <c r="S4680" s="105"/>
      <c r="T4680" s="105"/>
      <c r="U4680" s="105"/>
      <c r="V4680" s="105"/>
      <c r="W4680" s="105"/>
      <c r="X4680" s="11"/>
      <c r="Y4680" s="11"/>
      <c r="Z4680" s="105"/>
      <c r="AA4680" s="11"/>
      <c r="AB4680" s="11"/>
      <c r="AC4680" s="105"/>
      <c r="AD4680" s="11" t="b">
        <v>0</v>
      </c>
      <c r="AE4680" s="105"/>
      <c r="AF4680" s="11"/>
      <c r="AG4680" s="11"/>
      <c r="AH4680" s="11"/>
      <c r="AI4680" s="11"/>
    </row>
    <row r="4681" ht="12.5" spans="3:35">
      <c r="C4681" s="19"/>
      <c r="D4681" s="19"/>
      <c r="H4681" s="105"/>
      <c r="I4681" s="126"/>
      <c r="J4681" s="11"/>
      <c r="K4681" s="108"/>
      <c r="L4681" s="11"/>
      <c r="M4681" s="105"/>
      <c r="N4681" s="105"/>
      <c r="O4681" s="11"/>
      <c r="P4681" s="11"/>
      <c r="Q4681" s="105"/>
      <c r="R4681" s="105"/>
      <c r="S4681" s="105"/>
      <c r="T4681" s="105"/>
      <c r="U4681" s="105"/>
      <c r="V4681" s="105"/>
      <c r="W4681" s="105"/>
      <c r="X4681" s="11"/>
      <c r="Y4681" s="11"/>
      <c r="Z4681" s="105"/>
      <c r="AA4681" s="11"/>
      <c r="AB4681" s="11"/>
      <c r="AC4681" s="105"/>
      <c r="AD4681" s="11" t="b">
        <v>0</v>
      </c>
      <c r="AE4681" s="105"/>
      <c r="AF4681" s="11"/>
      <c r="AG4681" s="11"/>
      <c r="AH4681" s="11"/>
      <c r="AI4681" s="11"/>
    </row>
    <row r="4682" ht="12.5" spans="3:35">
      <c r="C4682" s="19"/>
      <c r="D4682" s="19"/>
      <c r="H4682" s="105"/>
      <c r="I4682" s="126"/>
      <c r="J4682" s="11"/>
      <c r="K4682" s="108"/>
      <c r="L4682" s="11"/>
      <c r="M4682" s="105"/>
      <c r="N4682" s="105"/>
      <c r="O4682" s="11"/>
      <c r="P4682" s="11"/>
      <c r="Q4682" s="105"/>
      <c r="R4682" s="105"/>
      <c r="S4682" s="105"/>
      <c r="T4682" s="105"/>
      <c r="U4682" s="105"/>
      <c r="V4682" s="105"/>
      <c r="W4682" s="105"/>
      <c r="X4682" s="11"/>
      <c r="Y4682" s="11"/>
      <c r="Z4682" s="105"/>
      <c r="AA4682" s="11"/>
      <c r="AB4682" s="11"/>
      <c r="AC4682" s="105"/>
      <c r="AD4682" s="11" t="b">
        <v>0</v>
      </c>
      <c r="AE4682" s="105"/>
      <c r="AF4682" s="11"/>
      <c r="AG4682" s="11"/>
      <c r="AH4682" s="11"/>
      <c r="AI4682" s="11"/>
    </row>
    <row r="4683" ht="12.5" spans="3:35">
      <c r="C4683" s="19"/>
      <c r="D4683" s="19"/>
      <c r="H4683" s="105"/>
      <c r="I4683" s="126"/>
      <c r="J4683" s="11"/>
      <c r="K4683" s="108"/>
      <c r="L4683" s="11"/>
      <c r="M4683" s="105"/>
      <c r="N4683" s="105"/>
      <c r="O4683" s="11"/>
      <c r="P4683" s="11"/>
      <c r="Q4683" s="105"/>
      <c r="R4683" s="105"/>
      <c r="S4683" s="105"/>
      <c r="T4683" s="105"/>
      <c r="U4683" s="105"/>
      <c r="V4683" s="105"/>
      <c r="W4683" s="105"/>
      <c r="X4683" s="11"/>
      <c r="Y4683" s="11"/>
      <c r="Z4683" s="105"/>
      <c r="AA4683" s="11"/>
      <c r="AB4683" s="11"/>
      <c r="AC4683" s="105"/>
      <c r="AD4683" s="11" t="b">
        <v>0</v>
      </c>
      <c r="AE4683" s="105"/>
      <c r="AF4683" s="11"/>
      <c r="AG4683" s="11"/>
      <c r="AH4683" s="11"/>
      <c r="AI4683" s="11"/>
    </row>
    <row r="4684" ht="12.5" spans="3:35">
      <c r="C4684" s="19"/>
      <c r="D4684" s="19"/>
      <c r="H4684" s="105"/>
      <c r="I4684" s="126"/>
      <c r="J4684" s="11"/>
      <c r="K4684" s="108"/>
      <c r="L4684" s="11"/>
      <c r="M4684" s="105"/>
      <c r="N4684" s="105"/>
      <c r="O4684" s="11"/>
      <c r="P4684" s="11"/>
      <c r="Q4684" s="105"/>
      <c r="R4684" s="105"/>
      <c r="S4684" s="105"/>
      <c r="T4684" s="105"/>
      <c r="U4684" s="105"/>
      <c r="V4684" s="105"/>
      <c r="W4684" s="105"/>
      <c r="X4684" s="11"/>
      <c r="Y4684" s="11"/>
      <c r="Z4684" s="105"/>
      <c r="AA4684" s="11"/>
      <c r="AB4684" s="11"/>
      <c r="AC4684" s="105"/>
      <c r="AD4684" s="11" t="b">
        <v>0</v>
      </c>
      <c r="AE4684" s="105"/>
      <c r="AF4684" s="11"/>
      <c r="AG4684" s="11"/>
      <c r="AH4684" s="11"/>
      <c r="AI4684" s="11"/>
    </row>
    <row r="4685" ht="12.5" spans="3:35">
      <c r="C4685" s="19"/>
      <c r="D4685" s="19"/>
      <c r="H4685" s="105"/>
      <c r="I4685" s="126"/>
      <c r="J4685" s="11"/>
      <c r="K4685" s="108"/>
      <c r="L4685" s="11"/>
      <c r="M4685" s="105"/>
      <c r="N4685" s="105"/>
      <c r="O4685" s="11"/>
      <c r="P4685" s="11"/>
      <c r="Q4685" s="105"/>
      <c r="R4685" s="105"/>
      <c r="S4685" s="105"/>
      <c r="T4685" s="105"/>
      <c r="U4685" s="105"/>
      <c r="V4685" s="105"/>
      <c r="W4685" s="105"/>
      <c r="X4685" s="11"/>
      <c r="Y4685" s="11"/>
      <c r="Z4685" s="105"/>
      <c r="AA4685" s="11"/>
      <c r="AB4685" s="11"/>
      <c r="AC4685" s="105"/>
      <c r="AD4685" s="11" t="b">
        <v>0</v>
      </c>
      <c r="AE4685" s="105"/>
      <c r="AF4685" s="11"/>
      <c r="AG4685" s="11"/>
      <c r="AH4685" s="11"/>
      <c r="AI4685" s="11"/>
    </row>
    <row r="4686" ht="12.5" spans="3:35">
      <c r="C4686" s="19"/>
      <c r="D4686" s="19"/>
      <c r="H4686" s="105"/>
      <c r="I4686" s="126"/>
      <c r="J4686" s="11"/>
      <c r="K4686" s="108"/>
      <c r="L4686" s="11"/>
      <c r="M4686" s="105"/>
      <c r="N4686" s="105"/>
      <c r="O4686" s="11"/>
      <c r="P4686" s="11"/>
      <c r="Q4686" s="105"/>
      <c r="R4686" s="105"/>
      <c r="S4686" s="105"/>
      <c r="T4686" s="105"/>
      <c r="U4686" s="105"/>
      <c r="V4686" s="105"/>
      <c r="W4686" s="105"/>
      <c r="X4686" s="11"/>
      <c r="Y4686" s="11"/>
      <c r="Z4686" s="105"/>
      <c r="AA4686" s="11"/>
      <c r="AB4686" s="11"/>
      <c r="AC4686" s="105"/>
      <c r="AD4686" s="11" t="b">
        <v>0</v>
      </c>
      <c r="AE4686" s="105"/>
      <c r="AF4686" s="11"/>
      <c r="AG4686" s="11"/>
      <c r="AH4686" s="11"/>
      <c r="AI4686" s="11"/>
    </row>
    <row r="4687" ht="12.5" spans="3:35">
      <c r="C4687" s="19"/>
      <c r="D4687" s="19"/>
      <c r="H4687" s="105"/>
      <c r="I4687" s="126"/>
      <c r="J4687" s="11"/>
      <c r="K4687" s="108"/>
      <c r="L4687" s="11"/>
      <c r="M4687" s="105"/>
      <c r="N4687" s="105"/>
      <c r="O4687" s="11"/>
      <c r="P4687" s="11"/>
      <c r="Q4687" s="105"/>
      <c r="R4687" s="105"/>
      <c r="S4687" s="105"/>
      <c r="T4687" s="105"/>
      <c r="U4687" s="105"/>
      <c r="V4687" s="105"/>
      <c r="W4687" s="105"/>
      <c r="X4687" s="11"/>
      <c r="Y4687" s="11"/>
      <c r="Z4687" s="105"/>
      <c r="AA4687" s="11"/>
      <c r="AB4687" s="11"/>
      <c r="AC4687" s="105"/>
      <c r="AD4687" s="11" t="b">
        <v>0</v>
      </c>
      <c r="AE4687" s="105"/>
      <c r="AF4687" s="11"/>
      <c r="AG4687" s="11"/>
      <c r="AH4687" s="11"/>
      <c r="AI4687" s="11"/>
    </row>
    <row r="4688" ht="12.5" spans="3:35">
      <c r="C4688" s="19"/>
      <c r="D4688" s="19"/>
      <c r="H4688" s="105"/>
      <c r="I4688" s="126"/>
      <c r="J4688" s="11"/>
      <c r="K4688" s="108"/>
      <c r="L4688" s="11"/>
      <c r="M4688" s="105"/>
      <c r="N4688" s="105"/>
      <c r="O4688" s="11"/>
      <c r="P4688" s="11"/>
      <c r="Q4688" s="105"/>
      <c r="R4688" s="105"/>
      <c r="S4688" s="105"/>
      <c r="T4688" s="105"/>
      <c r="U4688" s="105"/>
      <c r="V4688" s="105"/>
      <c r="W4688" s="105"/>
      <c r="X4688" s="11"/>
      <c r="Y4688" s="11"/>
      <c r="Z4688" s="105"/>
      <c r="AA4688" s="11"/>
      <c r="AB4688" s="11"/>
      <c r="AC4688" s="105"/>
      <c r="AD4688" s="11" t="b">
        <v>0</v>
      </c>
      <c r="AE4688" s="105"/>
      <c r="AF4688" s="11"/>
      <c r="AG4688" s="11"/>
      <c r="AH4688" s="11"/>
      <c r="AI4688" s="11"/>
    </row>
    <row r="4689" ht="12.5" spans="3:35">
      <c r="C4689" s="19"/>
      <c r="D4689" s="19"/>
      <c r="H4689" s="105"/>
      <c r="I4689" s="126"/>
      <c r="J4689" s="11"/>
      <c r="K4689" s="108"/>
      <c r="L4689" s="11"/>
      <c r="M4689" s="105"/>
      <c r="N4689" s="105"/>
      <c r="O4689" s="11"/>
      <c r="P4689" s="11"/>
      <c r="Q4689" s="105"/>
      <c r="R4689" s="105"/>
      <c r="S4689" s="105"/>
      <c r="T4689" s="105"/>
      <c r="U4689" s="105"/>
      <c r="V4689" s="105"/>
      <c r="W4689" s="105"/>
      <c r="X4689" s="11"/>
      <c r="Y4689" s="11"/>
      <c r="Z4689" s="105"/>
      <c r="AA4689" s="11"/>
      <c r="AB4689" s="11"/>
      <c r="AC4689" s="105"/>
      <c r="AD4689" s="11" t="b">
        <v>0</v>
      </c>
      <c r="AE4689" s="105"/>
      <c r="AF4689" s="11"/>
      <c r="AG4689" s="11"/>
      <c r="AH4689" s="11"/>
      <c r="AI4689" s="11"/>
    </row>
    <row r="4690" ht="12.5" spans="3:35">
      <c r="C4690" s="19"/>
      <c r="D4690" s="19"/>
      <c r="H4690" s="105"/>
      <c r="I4690" s="126"/>
      <c r="J4690" s="11"/>
      <c r="K4690" s="108"/>
      <c r="L4690" s="11"/>
      <c r="M4690" s="105"/>
      <c r="N4690" s="105"/>
      <c r="O4690" s="11"/>
      <c r="P4690" s="11"/>
      <c r="Q4690" s="105"/>
      <c r="R4690" s="105"/>
      <c r="S4690" s="105"/>
      <c r="T4690" s="105"/>
      <c r="U4690" s="105"/>
      <c r="V4690" s="105"/>
      <c r="W4690" s="105"/>
      <c r="X4690" s="11"/>
      <c r="Y4690" s="11"/>
      <c r="Z4690" s="105"/>
      <c r="AA4690" s="11"/>
      <c r="AB4690" s="11"/>
      <c r="AC4690" s="105"/>
      <c r="AD4690" s="11" t="b">
        <v>0</v>
      </c>
      <c r="AE4690" s="105"/>
      <c r="AF4690" s="11"/>
      <c r="AG4690" s="11"/>
      <c r="AH4690" s="11"/>
      <c r="AI4690" s="11"/>
    </row>
    <row r="4691" ht="12.5" spans="3:35">
      <c r="C4691" s="19"/>
      <c r="D4691" s="19"/>
      <c r="H4691" s="105"/>
      <c r="I4691" s="126"/>
      <c r="J4691" s="11"/>
      <c r="K4691" s="108"/>
      <c r="L4691" s="11"/>
      <c r="M4691" s="105"/>
      <c r="N4691" s="105"/>
      <c r="O4691" s="11"/>
      <c r="P4691" s="11"/>
      <c r="Q4691" s="105"/>
      <c r="R4691" s="105"/>
      <c r="S4691" s="105"/>
      <c r="T4691" s="105"/>
      <c r="U4691" s="105"/>
      <c r="V4691" s="105"/>
      <c r="W4691" s="105"/>
      <c r="X4691" s="11"/>
      <c r="Y4691" s="11"/>
      <c r="Z4691" s="105"/>
      <c r="AA4691" s="11"/>
      <c r="AB4691" s="11"/>
      <c r="AC4691" s="105"/>
      <c r="AD4691" s="11" t="b">
        <v>0</v>
      </c>
      <c r="AE4691" s="105"/>
      <c r="AF4691" s="11"/>
      <c r="AG4691" s="11"/>
      <c r="AH4691" s="11"/>
      <c r="AI4691" s="11"/>
    </row>
    <row r="4692" ht="12.5" spans="3:35">
      <c r="C4692" s="19"/>
      <c r="D4692" s="19"/>
      <c r="H4692" s="105"/>
      <c r="I4692" s="126"/>
      <c r="J4692" s="11"/>
      <c r="K4692" s="108"/>
      <c r="L4692" s="11"/>
      <c r="M4692" s="105"/>
      <c r="N4692" s="105"/>
      <c r="O4692" s="11"/>
      <c r="P4692" s="11"/>
      <c r="Q4692" s="105"/>
      <c r="R4692" s="105"/>
      <c r="S4692" s="105"/>
      <c r="T4692" s="105"/>
      <c r="U4692" s="105"/>
      <c r="V4692" s="105"/>
      <c r="W4692" s="105"/>
      <c r="X4692" s="11"/>
      <c r="Y4692" s="11"/>
      <c r="Z4692" s="105"/>
      <c r="AA4692" s="11"/>
      <c r="AB4692" s="11"/>
      <c r="AC4692" s="105"/>
      <c r="AD4692" s="11" t="b">
        <v>0</v>
      </c>
      <c r="AE4692" s="105"/>
      <c r="AF4692" s="11"/>
      <c r="AG4692" s="11"/>
      <c r="AH4692" s="11"/>
      <c r="AI4692" s="11"/>
    </row>
    <row r="4693" ht="12.5" spans="3:35">
      <c r="C4693" s="19"/>
      <c r="D4693" s="19"/>
      <c r="H4693" s="105"/>
      <c r="I4693" s="126"/>
      <c r="J4693" s="11"/>
      <c r="K4693" s="108"/>
      <c r="L4693" s="11"/>
      <c r="M4693" s="105"/>
      <c r="N4693" s="105"/>
      <c r="O4693" s="11"/>
      <c r="P4693" s="11"/>
      <c r="Q4693" s="105"/>
      <c r="R4693" s="105"/>
      <c r="S4693" s="105"/>
      <c r="T4693" s="105"/>
      <c r="U4693" s="105"/>
      <c r="V4693" s="105"/>
      <c r="W4693" s="105"/>
      <c r="X4693" s="11"/>
      <c r="Y4693" s="11"/>
      <c r="Z4693" s="105"/>
      <c r="AA4693" s="11"/>
      <c r="AB4693" s="11"/>
      <c r="AC4693" s="105"/>
      <c r="AD4693" s="11" t="b">
        <v>0</v>
      </c>
      <c r="AE4693" s="105"/>
      <c r="AF4693" s="11"/>
      <c r="AG4693" s="11"/>
      <c r="AH4693" s="11"/>
      <c r="AI4693" s="11"/>
    </row>
    <row r="4694" ht="12.5" spans="3:35">
      <c r="C4694" s="19"/>
      <c r="D4694" s="19"/>
      <c r="H4694" s="105"/>
      <c r="I4694" s="126"/>
      <c r="J4694" s="11"/>
      <c r="K4694" s="108"/>
      <c r="L4694" s="11"/>
      <c r="M4694" s="105"/>
      <c r="N4694" s="105"/>
      <c r="O4694" s="11"/>
      <c r="P4694" s="11"/>
      <c r="Q4694" s="105"/>
      <c r="R4694" s="105"/>
      <c r="S4694" s="105"/>
      <c r="T4694" s="105"/>
      <c r="U4694" s="105"/>
      <c r="V4694" s="105"/>
      <c r="W4694" s="105"/>
      <c r="X4694" s="11"/>
      <c r="Y4694" s="11"/>
      <c r="Z4694" s="105"/>
      <c r="AA4694" s="11"/>
      <c r="AB4694" s="11"/>
      <c r="AC4694" s="105"/>
      <c r="AD4694" s="11" t="b">
        <v>0</v>
      </c>
      <c r="AE4694" s="105"/>
      <c r="AF4694" s="11"/>
      <c r="AG4694" s="11"/>
      <c r="AH4694" s="11"/>
      <c r="AI4694" s="11"/>
    </row>
    <row r="4695" ht="12.5" spans="3:35">
      <c r="C4695" s="19"/>
      <c r="D4695" s="19"/>
      <c r="H4695" s="105"/>
      <c r="I4695" s="126"/>
      <c r="J4695" s="11"/>
      <c r="K4695" s="108"/>
      <c r="L4695" s="11"/>
      <c r="M4695" s="105"/>
      <c r="N4695" s="105"/>
      <c r="O4695" s="11"/>
      <c r="P4695" s="11"/>
      <c r="Q4695" s="105"/>
      <c r="R4695" s="105"/>
      <c r="S4695" s="105"/>
      <c r="T4695" s="105"/>
      <c r="U4695" s="105"/>
      <c r="V4695" s="105"/>
      <c r="W4695" s="105"/>
      <c r="X4695" s="11"/>
      <c r="Y4695" s="11"/>
      <c r="Z4695" s="105"/>
      <c r="AA4695" s="11"/>
      <c r="AB4695" s="11"/>
      <c r="AC4695" s="105"/>
      <c r="AD4695" s="11" t="b">
        <v>0</v>
      </c>
      <c r="AE4695" s="105"/>
      <c r="AF4695" s="11"/>
      <c r="AG4695" s="11"/>
      <c r="AH4695" s="11"/>
      <c r="AI4695" s="11"/>
    </row>
    <row r="4696" ht="12.5" spans="3:35">
      <c r="C4696" s="19"/>
      <c r="D4696" s="19"/>
      <c r="H4696" s="105"/>
      <c r="I4696" s="126"/>
      <c r="J4696" s="11"/>
      <c r="K4696" s="108"/>
      <c r="L4696" s="11"/>
      <c r="M4696" s="105"/>
      <c r="N4696" s="105"/>
      <c r="O4696" s="11"/>
      <c r="P4696" s="11"/>
      <c r="Q4696" s="105"/>
      <c r="R4696" s="105"/>
      <c r="S4696" s="105"/>
      <c r="T4696" s="105"/>
      <c r="U4696" s="105"/>
      <c r="V4696" s="105"/>
      <c r="W4696" s="105"/>
      <c r="X4696" s="11"/>
      <c r="Y4696" s="11"/>
      <c r="Z4696" s="105"/>
      <c r="AA4696" s="11"/>
      <c r="AB4696" s="11"/>
      <c r="AC4696" s="105"/>
      <c r="AD4696" s="11" t="b">
        <v>0</v>
      </c>
      <c r="AE4696" s="105"/>
      <c r="AF4696" s="11"/>
      <c r="AG4696" s="11"/>
      <c r="AH4696" s="11"/>
      <c r="AI4696" s="11"/>
    </row>
    <row r="4697" ht="12.5" spans="3:35">
      <c r="C4697" s="19"/>
      <c r="D4697" s="19"/>
      <c r="H4697" s="105"/>
      <c r="I4697" s="126"/>
      <c r="J4697" s="11"/>
      <c r="K4697" s="108"/>
      <c r="L4697" s="11"/>
      <c r="M4697" s="105"/>
      <c r="N4697" s="105"/>
      <c r="O4697" s="11"/>
      <c r="P4697" s="11"/>
      <c r="Q4697" s="105"/>
      <c r="R4697" s="105"/>
      <c r="S4697" s="105"/>
      <c r="T4697" s="105"/>
      <c r="U4697" s="105"/>
      <c r="V4697" s="105"/>
      <c r="W4697" s="105"/>
      <c r="X4697" s="11"/>
      <c r="Y4697" s="11"/>
      <c r="Z4697" s="105"/>
      <c r="AA4697" s="11"/>
      <c r="AB4697" s="11"/>
      <c r="AC4697" s="105"/>
      <c r="AD4697" s="11" t="b">
        <v>0</v>
      </c>
      <c r="AE4697" s="105"/>
      <c r="AF4697" s="11"/>
      <c r="AG4697" s="11"/>
      <c r="AH4697" s="11"/>
      <c r="AI4697" s="11"/>
    </row>
    <row r="4698" ht="12.5" spans="3:35">
      <c r="C4698" s="19"/>
      <c r="D4698" s="19"/>
      <c r="H4698" s="105"/>
      <c r="I4698" s="126"/>
      <c r="J4698" s="11"/>
      <c r="K4698" s="108"/>
      <c r="L4698" s="11"/>
      <c r="M4698" s="105"/>
      <c r="N4698" s="105"/>
      <c r="O4698" s="11"/>
      <c r="P4698" s="11"/>
      <c r="Q4698" s="105"/>
      <c r="R4698" s="105"/>
      <c r="S4698" s="105"/>
      <c r="T4698" s="105"/>
      <c r="U4698" s="105"/>
      <c r="V4698" s="105"/>
      <c r="W4698" s="105"/>
      <c r="X4698" s="11"/>
      <c r="Y4698" s="11"/>
      <c r="Z4698" s="105"/>
      <c r="AA4698" s="11"/>
      <c r="AB4698" s="11"/>
      <c r="AC4698" s="105"/>
      <c r="AD4698" s="11" t="b">
        <v>0</v>
      </c>
      <c r="AE4698" s="105"/>
      <c r="AF4698" s="11"/>
      <c r="AG4698" s="11"/>
      <c r="AH4698" s="11"/>
      <c r="AI4698" s="11"/>
    </row>
    <row r="4699" ht="12.5" spans="3:35">
      <c r="C4699" s="19"/>
      <c r="D4699" s="19"/>
      <c r="H4699" s="105"/>
      <c r="I4699" s="126"/>
      <c r="J4699" s="11"/>
      <c r="K4699" s="108"/>
      <c r="L4699" s="11"/>
      <c r="M4699" s="105"/>
      <c r="N4699" s="105"/>
      <c r="O4699" s="11"/>
      <c r="P4699" s="11"/>
      <c r="Q4699" s="105"/>
      <c r="R4699" s="105"/>
      <c r="S4699" s="105"/>
      <c r="T4699" s="105"/>
      <c r="U4699" s="105"/>
      <c r="V4699" s="105"/>
      <c r="W4699" s="105"/>
      <c r="X4699" s="11"/>
      <c r="Y4699" s="11"/>
      <c r="Z4699" s="105"/>
      <c r="AA4699" s="11"/>
      <c r="AB4699" s="11"/>
      <c r="AC4699" s="105"/>
      <c r="AD4699" s="11" t="b">
        <v>0</v>
      </c>
      <c r="AE4699" s="105"/>
      <c r="AF4699" s="11"/>
      <c r="AG4699" s="11"/>
      <c r="AH4699" s="11"/>
      <c r="AI4699" s="11"/>
    </row>
    <row r="4700" ht="12.5" spans="3:35">
      <c r="C4700" s="19"/>
      <c r="D4700" s="19"/>
      <c r="H4700" s="105"/>
      <c r="I4700" s="126"/>
      <c r="J4700" s="11"/>
      <c r="K4700" s="108"/>
      <c r="L4700" s="11"/>
      <c r="M4700" s="105"/>
      <c r="N4700" s="105"/>
      <c r="O4700" s="11"/>
      <c r="P4700" s="11"/>
      <c r="Q4700" s="105"/>
      <c r="R4700" s="105"/>
      <c r="S4700" s="105"/>
      <c r="T4700" s="105"/>
      <c r="U4700" s="105"/>
      <c r="V4700" s="105"/>
      <c r="W4700" s="105"/>
      <c r="X4700" s="11"/>
      <c r="Y4700" s="11"/>
      <c r="Z4700" s="105"/>
      <c r="AA4700" s="11"/>
      <c r="AB4700" s="11"/>
      <c r="AC4700" s="105"/>
      <c r="AD4700" s="11" t="b">
        <v>0</v>
      </c>
      <c r="AE4700" s="105"/>
      <c r="AF4700" s="11"/>
      <c r="AG4700" s="11"/>
      <c r="AH4700" s="11"/>
      <c r="AI4700" s="11"/>
    </row>
    <row r="4701" ht="12.5" spans="3:35">
      <c r="C4701" s="19"/>
      <c r="D4701" s="19"/>
      <c r="H4701" s="105"/>
      <c r="I4701" s="126"/>
      <c r="J4701" s="11"/>
      <c r="K4701" s="108"/>
      <c r="L4701" s="11"/>
      <c r="M4701" s="105"/>
      <c r="N4701" s="105"/>
      <c r="O4701" s="11"/>
      <c r="P4701" s="11"/>
      <c r="Q4701" s="105"/>
      <c r="R4701" s="105"/>
      <c r="S4701" s="105"/>
      <c r="T4701" s="105"/>
      <c r="U4701" s="105"/>
      <c r="V4701" s="105"/>
      <c r="W4701" s="105"/>
      <c r="X4701" s="11"/>
      <c r="Y4701" s="11"/>
      <c r="Z4701" s="105"/>
      <c r="AA4701" s="11"/>
      <c r="AB4701" s="11"/>
      <c r="AC4701" s="105"/>
      <c r="AD4701" s="11" t="b">
        <v>0</v>
      </c>
      <c r="AE4701" s="105"/>
      <c r="AF4701" s="11"/>
      <c r="AG4701" s="11"/>
      <c r="AH4701" s="11"/>
      <c r="AI4701" s="11"/>
    </row>
    <row r="4702" ht="12.5" spans="3:35">
      <c r="C4702" s="19"/>
      <c r="D4702" s="19"/>
      <c r="H4702" s="105"/>
      <c r="I4702" s="126"/>
      <c r="J4702" s="11"/>
      <c r="K4702" s="108"/>
      <c r="L4702" s="11"/>
      <c r="M4702" s="105"/>
      <c r="N4702" s="105"/>
      <c r="O4702" s="11"/>
      <c r="P4702" s="11"/>
      <c r="Q4702" s="105"/>
      <c r="R4702" s="105"/>
      <c r="S4702" s="105"/>
      <c r="T4702" s="105"/>
      <c r="U4702" s="105"/>
      <c r="V4702" s="105"/>
      <c r="W4702" s="105"/>
      <c r="X4702" s="11"/>
      <c r="Y4702" s="11"/>
      <c r="Z4702" s="105"/>
      <c r="AA4702" s="11"/>
      <c r="AB4702" s="11"/>
      <c r="AC4702" s="105"/>
      <c r="AD4702" s="11" t="b">
        <v>0</v>
      </c>
      <c r="AE4702" s="105"/>
      <c r="AF4702" s="11"/>
      <c r="AG4702" s="11"/>
      <c r="AH4702" s="11"/>
      <c r="AI4702" s="11"/>
    </row>
    <row r="4703" ht="12.5" spans="3:35">
      <c r="C4703" s="19"/>
      <c r="D4703" s="19"/>
      <c r="H4703" s="105"/>
      <c r="I4703" s="126"/>
      <c r="J4703" s="11"/>
      <c r="K4703" s="108"/>
      <c r="L4703" s="11"/>
      <c r="M4703" s="105"/>
      <c r="N4703" s="105"/>
      <c r="O4703" s="11"/>
      <c r="P4703" s="11"/>
      <c r="Q4703" s="105"/>
      <c r="R4703" s="105"/>
      <c r="S4703" s="105"/>
      <c r="T4703" s="105"/>
      <c r="U4703" s="105"/>
      <c r="V4703" s="105"/>
      <c r="W4703" s="105"/>
      <c r="X4703" s="11"/>
      <c r="Y4703" s="11"/>
      <c r="Z4703" s="105"/>
      <c r="AA4703" s="11"/>
      <c r="AB4703" s="11"/>
      <c r="AC4703" s="105"/>
      <c r="AD4703" s="11" t="b">
        <v>0</v>
      </c>
      <c r="AE4703" s="105"/>
      <c r="AF4703" s="11"/>
      <c r="AG4703" s="11"/>
      <c r="AH4703" s="11"/>
      <c r="AI4703" s="11"/>
    </row>
    <row r="4704" ht="12.5" spans="3:35">
      <c r="C4704" s="19"/>
      <c r="D4704" s="19"/>
      <c r="H4704" s="105"/>
      <c r="I4704" s="126"/>
      <c r="J4704" s="11"/>
      <c r="K4704" s="108"/>
      <c r="L4704" s="11"/>
      <c r="M4704" s="105"/>
      <c r="N4704" s="105"/>
      <c r="O4704" s="11"/>
      <c r="P4704" s="11"/>
      <c r="Q4704" s="105"/>
      <c r="R4704" s="105"/>
      <c r="S4704" s="105"/>
      <c r="T4704" s="105"/>
      <c r="U4704" s="105"/>
      <c r="V4704" s="105"/>
      <c r="W4704" s="105"/>
      <c r="X4704" s="11"/>
      <c r="Y4704" s="11"/>
      <c r="Z4704" s="105"/>
      <c r="AA4704" s="11"/>
      <c r="AB4704" s="11"/>
      <c r="AC4704" s="105"/>
      <c r="AD4704" s="11" t="b">
        <v>0</v>
      </c>
      <c r="AE4704" s="105"/>
      <c r="AF4704" s="11"/>
      <c r="AG4704" s="11"/>
      <c r="AH4704" s="11"/>
      <c r="AI4704" s="11"/>
    </row>
    <row r="4705" ht="12.5" spans="3:35">
      <c r="C4705" s="19"/>
      <c r="D4705" s="19"/>
      <c r="H4705" s="105"/>
      <c r="I4705" s="126"/>
      <c r="J4705" s="11"/>
      <c r="K4705" s="108"/>
      <c r="L4705" s="11"/>
      <c r="M4705" s="105"/>
      <c r="N4705" s="105"/>
      <c r="O4705" s="11"/>
      <c r="P4705" s="11"/>
      <c r="Q4705" s="105"/>
      <c r="R4705" s="105"/>
      <c r="S4705" s="105"/>
      <c r="T4705" s="105"/>
      <c r="U4705" s="105"/>
      <c r="V4705" s="105"/>
      <c r="W4705" s="105"/>
      <c r="X4705" s="11"/>
      <c r="Y4705" s="11"/>
      <c r="Z4705" s="105"/>
      <c r="AA4705" s="11"/>
      <c r="AB4705" s="11"/>
      <c r="AC4705" s="105"/>
      <c r="AD4705" s="11" t="b">
        <v>0</v>
      </c>
      <c r="AE4705" s="105"/>
      <c r="AF4705" s="11"/>
      <c r="AG4705" s="11"/>
      <c r="AH4705" s="11"/>
      <c r="AI4705" s="11"/>
    </row>
    <row r="4706" ht="12.5" spans="3:35">
      <c r="C4706" s="19"/>
      <c r="D4706" s="19"/>
      <c r="H4706" s="105"/>
      <c r="I4706" s="126"/>
      <c r="J4706" s="11"/>
      <c r="K4706" s="108"/>
      <c r="L4706" s="11"/>
      <c r="M4706" s="105"/>
      <c r="N4706" s="105"/>
      <c r="O4706" s="11"/>
      <c r="P4706" s="11"/>
      <c r="Q4706" s="105"/>
      <c r="R4706" s="105"/>
      <c r="S4706" s="105"/>
      <c r="T4706" s="105"/>
      <c r="U4706" s="105"/>
      <c r="V4706" s="105"/>
      <c r="W4706" s="105"/>
      <c r="X4706" s="11"/>
      <c r="Y4706" s="11"/>
      <c r="Z4706" s="105"/>
      <c r="AA4706" s="11"/>
      <c r="AB4706" s="11"/>
      <c r="AC4706" s="105"/>
      <c r="AD4706" s="11" t="b">
        <v>0</v>
      </c>
      <c r="AE4706" s="105"/>
      <c r="AF4706" s="11"/>
      <c r="AG4706" s="11"/>
      <c r="AH4706" s="11"/>
      <c r="AI4706" s="11"/>
    </row>
    <row r="4707" ht="12.5" spans="3:35">
      <c r="C4707" s="19"/>
      <c r="D4707" s="19"/>
      <c r="H4707" s="105"/>
      <c r="I4707" s="126"/>
      <c r="J4707" s="11"/>
      <c r="K4707" s="108"/>
      <c r="L4707" s="11"/>
      <c r="M4707" s="105"/>
      <c r="N4707" s="105"/>
      <c r="O4707" s="11"/>
      <c r="P4707" s="11"/>
      <c r="Q4707" s="105"/>
      <c r="R4707" s="105"/>
      <c r="S4707" s="105"/>
      <c r="T4707" s="105"/>
      <c r="U4707" s="105"/>
      <c r="V4707" s="105"/>
      <c r="W4707" s="105"/>
      <c r="X4707" s="11"/>
      <c r="Y4707" s="11"/>
      <c r="Z4707" s="105"/>
      <c r="AA4707" s="11"/>
      <c r="AB4707" s="11"/>
      <c r="AC4707" s="105"/>
      <c r="AD4707" s="11" t="b">
        <v>0</v>
      </c>
      <c r="AE4707" s="105"/>
      <c r="AF4707" s="11"/>
      <c r="AG4707" s="11"/>
      <c r="AH4707" s="11"/>
      <c r="AI4707" s="11"/>
    </row>
    <row r="4708" ht="12.5" spans="3:35">
      <c r="C4708" s="19"/>
      <c r="D4708" s="19"/>
      <c r="H4708" s="105"/>
      <c r="I4708" s="126"/>
      <c r="J4708" s="11"/>
      <c r="K4708" s="108"/>
      <c r="L4708" s="11"/>
      <c r="M4708" s="105"/>
      <c r="N4708" s="105"/>
      <c r="O4708" s="11"/>
      <c r="P4708" s="11"/>
      <c r="Q4708" s="105"/>
      <c r="R4708" s="105"/>
      <c r="S4708" s="105"/>
      <c r="T4708" s="105"/>
      <c r="U4708" s="105"/>
      <c r="V4708" s="105"/>
      <c r="W4708" s="105"/>
      <c r="X4708" s="11"/>
      <c r="Y4708" s="11"/>
      <c r="Z4708" s="105"/>
      <c r="AA4708" s="11"/>
      <c r="AB4708" s="11"/>
      <c r="AC4708" s="105"/>
      <c r="AD4708" s="11" t="b">
        <v>0</v>
      </c>
      <c r="AE4708" s="105"/>
      <c r="AF4708" s="11"/>
      <c r="AG4708" s="11"/>
      <c r="AH4708" s="11"/>
      <c r="AI4708" s="11"/>
    </row>
    <row r="4709" ht="12.5" spans="3:35">
      <c r="C4709" s="19"/>
      <c r="D4709" s="19"/>
      <c r="H4709" s="105"/>
      <c r="I4709" s="126"/>
      <c r="J4709" s="11"/>
      <c r="K4709" s="108"/>
      <c r="L4709" s="11"/>
      <c r="M4709" s="105"/>
      <c r="N4709" s="105"/>
      <c r="O4709" s="11"/>
      <c r="P4709" s="11"/>
      <c r="Q4709" s="105"/>
      <c r="R4709" s="105"/>
      <c r="S4709" s="105"/>
      <c r="T4709" s="105"/>
      <c r="U4709" s="105"/>
      <c r="V4709" s="105"/>
      <c r="W4709" s="105"/>
      <c r="X4709" s="11"/>
      <c r="Y4709" s="11"/>
      <c r="Z4709" s="105"/>
      <c r="AA4709" s="11"/>
      <c r="AB4709" s="11"/>
      <c r="AC4709" s="105"/>
      <c r="AD4709" s="11" t="b">
        <v>0</v>
      </c>
      <c r="AE4709" s="105"/>
      <c r="AF4709" s="11"/>
      <c r="AG4709" s="11"/>
      <c r="AH4709" s="11"/>
      <c r="AI4709" s="11"/>
    </row>
    <row r="4710" ht="12.5" spans="3:35">
      <c r="C4710" s="19"/>
      <c r="D4710" s="19"/>
      <c r="H4710" s="105"/>
      <c r="I4710" s="126"/>
      <c r="J4710" s="11"/>
      <c r="K4710" s="108"/>
      <c r="L4710" s="11"/>
      <c r="M4710" s="105"/>
      <c r="N4710" s="105"/>
      <c r="O4710" s="11"/>
      <c r="P4710" s="11"/>
      <c r="Q4710" s="105"/>
      <c r="R4710" s="105"/>
      <c r="S4710" s="105"/>
      <c r="T4710" s="105"/>
      <c r="U4710" s="105"/>
      <c r="V4710" s="105"/>
      <c r="W4710" s="105"/>
      <c r="X4710" s="11"/>
      <c r="Y4710" s="11"/>
      <c r="Z4710" s="105"/>
      <c r="AA4710" s="11"/>
      <c r="AB4710" s="11"/>
      <c r="AC4710" s="105"/>
      <c r="AD4710" s="11" t="b">
        <v>0</v>
      </c>
      <c r="AE4710" s="105"/>
      <c r="AF4710" s="11"/>
      <c r="AG4710" s="11"/>
      <c r="AH4710" s="11"/>
      <c r="AI4710" s="11"/>
    </row>
    <row r="4711" ht="12.5" spans="3:35">
      <c r="C4711" s="19"/>
      <c r="D4711" s="19"/>
      <c r="H4711" s="105"/>
      <c r="I4711" s="126"/>
      <c r="J4711" s="11"/>
      <c r="K4711" s="108"/>
      <c r="L4711" s="11"/>
      <c r="M4711" s="105"/>
      <c r="N4711" s="105"/>
      <c r="O4711" s="11"/>
      <c r="P4711" s="11"/>
      <c r="Q4711" s="105"/>
      <c r="R4711" s="105"/>
      <c r="S4711" s="105"/>
      <c r="T4711" s="105"/>
      <c r="U4711" s="105"/>
      <c r="V4711" s="105"/>
      <c r="W4711" s="105"/>
      <c r="X4711" s="11"/>
      <c r="Y4711" s="11"/>
      <c r="Z4711" s="105"/>
      <c r="AA4711" s="11"/>
      <c r="AB4711" s="11"/>
      <c r="AC4711" s="105"/>
      <c r="AD4711" s="11" t="b">
        <v>0</v>
      </c>
      <c r="AE4711" s="105"/>
      <c r="AF4711" s="11"/>
      <c r="AG4711" s="11"/>
      <c r="AH4711" s="11"/>
      <c r="AI4711" s="11"/>
    </row>
    <row r="4712" ht="12.5" spans="3:35">
      <c r="C4712" s="19"/>
      <c r="D4712" s="19"/>
      <c r="H4712" s="105"/>
      <c r="I4712" s="126"/>
      <c r="J4712" s="11"/>
      <c r="K4712" s="108"/>
      <c r="L4712" s="11"/>
      <c r="M4712" s="105"/>
      <c r="N4712" s="105"/>
      <c r="O4712" s="11"/>
      <c r="P4712" s="11"/>
      <c r="Q4712" s="105"/>
      <c r="R4712" s="105"/>
      <c r="S4712" s="105"/>
      <c r="T4712" s="105"/>
      <c r="U4712" s="105"/>
      <c r="V4712" s="105"/>
      <c r="W4712" s="105"/>
      <c r="X4712" s="11"/>
      <c r="Y4712" s="11"/>
      <c r="Z4712" s="105"/>
      <c r="AA4712" s="11"/>
      <c r="AB4712" s="11"/>
      <c r="AC4712" s="105"/>
      <c r="AD4712" s="11" t="b">
        <v>0</v>
      </c>
      <c r="AE4712" s="105"/>
      <c r="AF4712" s="11"/>
      <c r="AG4712" s="11"/>
      <c r="AH4712" s="11"/>
      <c r="AI4712" s="11"/>
    </row>
    <row r="4713" ht="12.5" spans="3:35">
      <c r="C4713" s="19"/>
      <c r="D4713" s="19"/>
      <c r="H4713" s="105"/>
      <c r="I4713" s="126"/>
      <c r="J4713" s="11"/>
      <c r="K4713" s="108"/>
      <c r="L4713" s="11"/>
      <c r="M4713" s="105"/>
      <c r="N4713" s="105"/>
      <c r="O4713" s="11"/>
      <c r="P4713" s="11"/>
      <c r="Q4713" s="105"/>
      <c r="R4713" s="105"/>
      <c r="S4713" s="105"/>
      <c r="T4713" s="105"/>
      <c r="U4713" s="105"/>
      <c r="V4713" s="105"/>
      <c r="W4713" s="105"/>
      <c r="X4713" s="11"/>
      <c r="Y4713" s="11"/>
      <c r="Z4713" s="105"/>
      <c r="AA4713" s="11"/>
      <c r="AB4713" s="11"/>
      <c r="AC4713" s="105"/>
      <c r="AD4713" s="11" t="b">
        <v>0</v>
      </c>
      <c r="AE4713" s="105"/>
      <c r="AF4713" s="11"/>
      <c r="AG4713" s="11"/>
      <c r="AH4713" s="11"/>
      <c r="AI4713" s="11"/>
    </row>
    <row r="4714" ht="12.5" spans="3:35">
      <c r="C4714" s="19"/>
      <c r="D4714" s="19"/>
      <c r="H4714" s="105"/>
      <c r="I4714" s="126"/>
      <c r="J4714" s="11"/>
      <c r="K4714" s="108"/>
      <c r="L4714" s="11"/>
      <c r="M4714" s="105"/>
      <c r="N4714" s="105"/>
      <c r="O4714" s="11"/>
      <c r="P4714" s="11"/>
      <c r="Q4714" s="105"/>
      <c r="R4714" s="105"/>
      <c r="S4714" s="105"/>
      <c r="T4714" s="105"/>
      <c r="U4714" s="105"/>
      <c r="V4714" s="105"/>
      <c r="W4714" s="105"/>
      <c r="X4714" s="11"/>
      <c r="Y4714" s="11"/>
      <c r="Z4714" s="105"/>
      <c r="AA4714" s="11"/>
      <c r="AB4714" s="11"/>
      <c r="AC4714" s="105"/>
      <c r="AD4714" s="11" t="b">
        <v>0</v>
      </c>
      <c r="AE4714" s="105"/>
      <c r="AF4714" s="11"/>
      <c r="AG4714" s="11"/>
      <c r="AH4714" s="11"/>
      <c r="AI4714" s="11"/>
    </row>
    <row r="4715" ht="12.5" spans="3:35">
      <c r="C4715" s="19"/>
      <c r="D4715" s="19"/>
      <c r="H4715" s="105"/>
      <c r="I4715" s="126"/>
      <c r="J4715" s="11"/>
      <c r="K4715" s="108"/>
      <c r="L4715" s="11"/>
      <c r="M4715" s="105"/>
      <c r="N4715" s="105"/>
      <c r="O4715" s="11"/>
      <c r="P4715" s="11"/>
      <c r="Q4715" s="105"/>
      <c r="R4715" s="105"/>
      <c r="S4715" s="105"/>
      <c r="T4715" s="105"/>
      <c r="U4715" s="105"/>
      <c r="V4715" s="105"/>
      <c r="W4715" s="105"/>
      <c r="X4715" s="11"/>
      <c r="Y4715" s="11"/>
      <c r="Z4715" s="105"/>
      <c r="AA4715" s="11"/>
      <c r="AB4715" s="11"/>
      <c r="AC4715" s="105"/>
      <c r="AD4715" s="11" t="b">
        <v>0</v>
      </c>
      <c r="AE4715" s="105"/>
      <c r="AF4715" s="11"/>
      <c r="AG4715" s="11"/>
      <c r="AH4715" s="11"/>
      <c r="AI4715" s="11"/>
    </row>
    <row r="4716" ht="12.5" spans="3:35">
      <c r="C4716" s="19"/>
      <c r="D4716" s="19"/>
      <c r="H4716" s="105"/>
      <c r="I4716" s="126"/>
      <c r="J4716" s="11"/>
      <c r="K4716" s="108"/>
      <c r="L4716" s="11"/>
      <c r="M4716" s="105"/>
      <c r="N4716" s="105"/>
      <c r="O4716" s="11"/>
      <c r="P4716" s="11"/>
      <c r="Q4716" s="105"/>
      <c r="R4716" s="105"/>
      <c r="S4716" s="105"/>
      <c r="T4716" s="105"/>
      <c r="U4716" s="105"/>
      <c r="V4716" s="105"/>
      <c r="W4716" s="105"/>
      <c r="X4716" s="11"/>
      <c r="Y4716" s="11"/>
      <c r="Z4716" s="105"/>
      <c r="AA4716" s="11"/>
      <c r="AB4716" s="11"/>
      <c r="AC4716" s="105"/>
      <c r="AD4716" s="11" t="b">
        <v>0</v>
      </c>
      <c r="AE4716" s="105"/>
      <c r="AF4716" s="11"/>
      <c r="AG4716" s="11"/>
      <c r="AH4716" s="11"/>
      <c r="AI4716" s="11"/>
    </row>
    <row r="4717" ht="12.5" spans="3:35">
      <c r="C4717" s="19"/>
      <c r="D4717" s="19"/>
      <c r="H4717" s="105"/>
      <c r="I4717" s="126"/>
      <c r="J4717" s="11"/>
      <c r="K4717" s="108"/>
      <c r="L4717" s="11"/>
      <c r="M4717" s="105"/>
      <c r="N4717" s="105"/>
      <c r="O4717" s="11"/>
      <c r="P4717" s="11"/>
      <c r="Q4717" s="105"/>
      <c r="R4717" s="105"/>
      <c r="S4717" s="105"/>
      <c r="T4717" s="105"/>
      <c r="U4717" s="105"/>
      <c r="V4717" s="105"/>
      <c r="W4717" s="105"/>
      <c r="X4717" s="11"/>
      <c r="Y4717" s="11"/>
      <c r="Z4717" s="105"/>
      <c r="AA4717" s="11"/>
      <c r="AB4717" s="11"/>
      <c r="AC4717" s="105"/>
      <c r="AD4717" s="11" t="b">
        <v>0</v>
      </c>
      <c r="AE4717" s="105"/>
      <c r="AF4717" s="11"/>
      <c r="AG4717" s="11"/>
      <c r="AH4717" s="11"/>
      <c r="AI4717" s="11"/>
    </row>
    <row r="4718" ht="12.5" spans="3:35">
      <c r="C4718" s="19"/>
      <c r="D4718" s="19"/>
      <c r="H4718" s="105"/>
      <c r="I4718" s="126"/>
      <c r="J4718" s="11"/>
      <c r="K4718" s="108"/>
      <c r="L4718" s="11"/>
      <c r="M4718" s="105"/>
      <c r="N4718" s="105"/>
      <c r="O4718" s="11"/>
      <c r="P4718" s="11"/>
      <c r="Q4718" s="105"/>
      <c r="R4718" s="105"/>
      <c r="S4718" s="105"/>
      <c r="T4718" s="105"/>
      <c r="U4718" s="105"/>
      <c r="V4718" s="105"/>
      <c r="W4718" s="105"/>
      <c r="X4718" s="11"/>
      <c r="Y4718" s="11"/>
      <c r="Z4718" s="105"/>
      <c r="AA4718" s="11"/>
      <c r="AB4718" s="11"/>
      <c r="AC4718" s="105"/>
      <c r="AD4718" s="11" t="b">
        <v>0</v>
      </c>
      <c r="AE4718" s="105"/>
      <c r="AF4718" s="11"/>
      <c r="AG4718" s="11"/>
      <c r="AH4718" s="11"/>
      <c r="AI4718" s="11"/>
    </row>
    <row r="4719" ht="12.5" spans="3:35">
      <c r="C4719" s="19"/>
      <c r="D4719" s="19"/>
      <c r="H4719" s="105"/>
      <c r="I4719" s="126"/>
      <c r="J4719" s="11"/>
      <c r="K4719" s="108"/>
      <c r="L4719" s="11"/>
      <c r="M4719" s="105"/>
      <c r="N4719" s="105"/>
      <c r="O4719" s="11"/>
      <c r="P4719" s="11"/>
      <c r="Q4719" s="105"/>
      <c r="R4719" s="105"/>
      <c r="S4719" s="105"/>
      <c r="T4719" s="105"/>
      <c r="U4719" s="105"/>
      <c r="V4719" s="105"/>
      <c r="W4719" s="105"/>
      <c r="X4719" s="11"/>
      <c r="Y4719" s="11"/>
      <c r="Z4719" s="105"/>
      <c r="AA4719" s="11"/>
      <c r="AB4719" s="11"/>
      <c r="AC4719" s="105"/>
      <c r="AD4719" s="11" t="b">
        <v>0</v>
      </c>
      <c r="AE4719" s="105"/>
      <c r="AF4719" s="11"/>
      <c r="AG4719" s="11"/>
      <c r="AH4719" s="11"/>
      <c r="AI4719" s="11"/>
    </row>
    <row r="4720" ht="12.5" spans="3:35">
      <c r="C4720" s="19"/>
      <c r="D4720" s="19"/>
      <c r="H4720" s="105"/>
      <c r="I4720" s="126"/>
      <c r="J4720" s="11"/>
      <c r="K4720" s="108"/>
      <c r="L4720" s="11"/>
      <c r="M4720" s="105"/>
      <c r="N4720" s="105"/>
      <c r="O4720" s="11"/>
      <c r="P4720" s="11"/>
      <c r="Q4720" s="105"/>
      <c r="R4720" s="105"/>
      <c r="S4720" s="105"/>
      <c r="T4720" s="105"/>
      <c r="U4720" s="105"/>
      <c r="V4720" s="105"/>
      <c r="W4720" s="105"/>
      <c r="X4720" s="11"/>
      <c r="Y4720" s="11"/>
      <c r="Z4720" s="105"/>
      <c r="AA4720" s="11"/>
      <c r="AB4720" s="11"/>
      <c r="AC4720" s="105"/>
      <c r="AD4720" s="11" t="b">
        <v>0</v>
      </c>
      <c r="AE4720" s="105"/>
      <c r="AF4720" s="11"/>
      <c r="AG4720" s="11"/>
      <c r="AH4720" s="11"/>
      <c r="AI4720" s="11"/>
    </row>
    <row r="4721" ht="12.5" spans="3:35">
      <c r="C4721" s="19"/>
      <c r="D4721" s="19"/>
      <c r="H4721" s="105"/>
      <c r="I4721" s="126"/>
      <c r="J4721" s="11"/>
      <c r="K4721" s="108"/>
      <c r="L4721" s="11"/>
      <c r="M4721" s="105"/>
      <c r="N4721" s="105"/>
      <c r="O4721" s="11"/>
      <c r="P4721" s="11"/>
      <c r="Q4721" s="105"/>
      <c r="R4721" s="105"/>
      <c r="S4721" s="105"/>
      <c r="T4721" s="105"/>
      <c r="U4721" s="105"/>
      <c r="V4721" s="105"/>
      <c r="W4721" s="105"/>
      <c r="X4721" s="11"/>
      <c r="Y4721" s="11"/>
      <c r="Z4721" s="105"/>
      <c r="AA4721" s="11"/>
      <c r="AB4721" s="11"/>
      <c r="AC4721" s="105"/>
      <c r="AD4721" s="11" t="b">
        <v>0</v>
      </c>
      <c r="AE4721" s="105"/>
      <c r="AF4721" s="11"/>
      <c r="AG4721" s="11"/>
      <c r="AH4721" s="11"/>
      <c r="AI4721" s="11"/>
    </row>
    <row r="4722" ht="12.5" spans="3:35">
      <c r="C4722" s="19"/>
      <c r="D4722" s="19"/>
      <c r="H4722" s="105"/>
      <c r="I4722" s="126"/>
      <c r="J4722" s="11"/>
      <c r="K4722" s="108"/>
      <c r="L4722" s="11"/>
      <c r="M4722" s="105"/>
      <c r="N4722" s="105"/>
      <c r="O4722" s="11"/>
      <c r="P4722" s="11"/>
      <c r="Q4722" s="105"/>
      <c r="R4722" s="105"/>
      <c r="S4722" s="105"/>
      <c r="T4722" s="105"/>
      <c r="U4722" s="105"/>
      <c r="V4722" s="105"/>
      <c r="W4722" s="105"/>
      <c r="X4722" s="11"/>
      <c r="Y4722" s="11"/>
      <c r="Z4722" s="105"/>
      <c r="AA4722" s="11"/>
      <c r="AB4722" s="11"/>
      <c r="AC4722" s="105"/>
      <c r="AD4722" s="11" t="b">
        <v>0</v>
      </c>
      <c r="AE4722" s="105"/>
      <c r="AF4722" s="11"/>
      <c r="AG4722" s="11"/>
      <c r="AH4722" s="11"/>
      <c r="AI4722" s="11"/>
    </row>
    <row r="4723" ht="12.5" spans="3:35">
      <c r="C4723" s="19"/>
      <c r="D4723" s="19"/>
      <c r="H4723" s="105"/>
      <c r="I4723" s="126"/>
      <c r="J4723" s="11"/>
      <c r="K4723" s="108"/>
      <c r="L4723" s="11"/>
      <c r="M4723" s="105"/>
      <c r="N4723" s="105"/>
      <c r="O4723" s="11"/>
      <c r="P4723" s="11"/>
      <c r="Q4723" s="105"/>
      <c r="R4723" s="105"/>
      <c r="S4723" s="105"/>
      <c r="T4723" s="105"/>
      <c r="U4723" s="105"/>
      <c r="V4723" s="105"/>
      <c r="W4723" s="105"/>
      <c r="X4723" s="11"/>
      <c r="Y4723" s="11"/>
      <c r="Z4723" s="105"/>
      <c r="AA4723" s="11"/>
      <c r="AB4723" s="11"/>
      <c r="AC4723" s="105"/>
      <c r="AD4723" s="11" t="b">
        <v>0</v>
      </c>
      <c r="AE4723" s="105"/>
      <c r="AF4723" s="11"/>
      <c r="AG4723" s="11"/>
      <c r="AH4723" s="11"/>
      <c r="AI4723" s="11"/>
    </row>
    <row r="4724" ht="12.5" spans="3:35">
      <c r="C4724" s="19"/>
      <c r="D4724" s="19"/>
      <c r="H4724" s="105"/>
      <c r="I4724" s="126"/>
      <c r="J4724" s="11"/>
      <c r="K4724" s="108"/>
      <c r="L4724" s="11"/>
      <c r="M4724" s="105"/>
      <c r="N4724" s="105"/>
      <c r="O4724" s="11"/>
      <c r="P4724" s="11"/>
      <c r="Q4724" s="105"/>
      <c r="R4724" s="105"/>
      <c r="S4724" s="105"/>
      <c r="T4724" s="105"/>
      <c r="U4724" s="105"/>
      <c r="V4724" s="105"/>
      <c r="W4724" s="105"/>
      <c r="X4724" s="11"/>
      <c r="Y4724" s="11"/>
      <c r="Z4724" s="105"/>
      <c r="AA4724" s="11"/>
      <c r="AB4724" s="11"/>
      <c r="AC4724" s="105"/>
      <c r="AD4724" s="11" t="b">
        <v>0</v>
      </c>
      <c r="AE4724" s="105"/>
      <c r="AF4724" s="11"/>
      <c r="AG4724" s="11"/>
      <c r="AH4724" s="11"/>
      <c r="AI4724" s="11"/>
    </row>
    <row r="4725" ht="12.5" spans="3:35">
      <c r="C4725" s="19"/>
      <c r="D4725" s="19"/>
      <c r="H4725" s="105"/>
      <c r="I4725" s="126"/>
      <c r="J4725" s="11"/>
      <c r="K4725" s="108"/>
      <c r="L4725" s="11"/>
      <c r="M4725" s="105"/>
      <c r="N4725" s="105"/>
      <c r="O4725" s="11"/>
      <c r="P4725" s="11"/>
      <c r="Q4725" s="105"/>
      <c r="R4725" s="105"/>
      <c r="S4725" s="105"/>
      <c r="T4725" s="105"/>
      <c r="U4725" s="105"/>
      <c r="V4725" s="105"/>
      <c r="W4725" s="105"/>
      <c r="X4725" s="11"/>
      <c r="Y4725" s="11"/>
      <c r="Z4725" s="105"/>
      <c r="AA4725" s="11"/>
      <c r="AB4725" s="11"/>
      <c r="AC4725" s="105"/>
      <c r="AD4725" s="11" t="b">
        <v>0</v>
      </c>
      <c r="AE4725" s="105"/>
      <c r="AF4725" s="11"/>
      <c r="AG4725" s="11"/>
      <c r="AH4725" s="11"/>
      <c r="AI4725" s="11"/>
    </row>
    <row r="4726" ht="12.5" spans="3:35">
      <c r="C4726" s="19"/>
      <c r="D4726" s="19"/>
      <c r="H4726" s="105"/>
      <c r="I4726" s="126"/>
      <c r="J4726" s="11"/>
      <c r="K4726" s="108"/>
      <c r="L4726" s="11"/>
      <c r="M4726" s="105"/>
      <c r="N4726" s="105"/>
      <c r="O4726" s="11"/>
      <c r="P4726" s="11"/>
      <c r="Q4726" s="105"/>
      <c r="R4726" s="105"/>
      <c r="S4726" s="105"/>
      <c r="T4726" s="105"/>
      <c r="U4726" s="105"/>
      <c r="V4726" s="105"/>
      <c r="W4726" s="105"/>
      <c r="X4726" s="11"/>
      <c r="Y4726" s="11"/>
      <c r="Z4726" s="105"/>
      <c r="AA4726" s="11"/>
      <c r="AB4726" s="11"/>
      <c r="AC4726" s="105"/>
      <c r="AD4726" s="11" t="b">
        <v>0</v>
      </c>
      <c r="AE4726" s="105"/>
      <c r="AF4726" s="11"/>
      <c r="AG4726" s="11"/>
      <c r="AH4726" s="11"/>
      <c r="AI4726" s="11"/>
    </row>
    <row r="4727" ht="12.5" spans="3:35">
      <c r="C4727" s="19"/>
      <c r="D4727" s="19"/>
      <c r="H4727" s="105"/>
      <c r="I4727" s="126"/>
      <c r="J4727" s="11"/>
      <c r="K4727" s="108"/>
      <c r="L4727" s="11"/>
      <c r="M4727" s="105"/>
      <c r="N4727" s="105"/>
      <c r="O4727" s="11"/>
      <c r="P4727" s="11"/>
      <c r="Q4727" s="105"/>
      <c r="R4727" s="105"/>
      <c r="S4727" s="105"/>
      <c r="T4727" s="105"/>
      <c r="U4727" s="105"/>
      <c r="V4727" s="105"/>
      <c r="W4727" s="105"/>
      <c r="X4727" s="11"/>
      <c r="Y4727" s="11"/>
      <c r="Z4727" s="105"/>
      <c r="AA4727" s="11"/>
      <c r="AB4727" s="11"/>
      <c r="AC4727" s="105"/>
      <c r="AD4727" s="11" t="b">
        <v>0</v>
      </c>
      <c r="AE4727" s="105"/>
      <c r="AF4727" s="11"/>
      <c r="AG4727" s="11"/>
      <c r="AH4727" s="11"/>
      <c r="AI4727" s="11"/>
    </row>
    <row r="4728" ht="12.5" spans="3:35">
      <c r="C4728" s="19"/>
      <c r="D4728" s="19"/>
      <c r="H4728" s="105"/>
      <c r="I4728" s="126"/>
      <c r="J4728" s="11"/>
      <c r="K4728" s="108"/>
      <c r="L4728" s="11"/>
      <c r="M4728" s="105"/>
      <c r="N4728" s="105"/>
      <c r="O4728" s="11"/>
      <c r="P4728" s="11"/>
      <c r="Q4728" s="105"/>
      <c r="R4728" s="105"/>
      <c r="S4728" s="105"/>
      <c r="T4728" s="105"/>
      <c r="U4728" s="105"/>
      <c r="V4728" s="105"/>
      <c r="W4728" s="105"/>
      <c r="X4728" s="11"/>
      <c r="Y4728" s="11"/>
      <c r="Z4728" s="105"/>
      <c r="AA4728" s="11"/>
      <c r="AB4728" s="11"/>
      <c r="AC4728" s="105"/>
      <c r="AD4728" s="11" t="b">
        <v>0</v>
      </c>
      <c r="AE4728" s="105"/>
      <c r="AF4728" s="11"/>
      <c r="AG4728" s="11"/>
      <c r="AH4728" s="11"/>
      <c r="AI4728" s="11"/>
    </row>
    <row r="4729" ht="12.5" spans="3:35">
      <c r="C4729" s="19"/>
      <c r="D4729" s="19"/>
      <c r="H4729" s="105"/>
      <c r="I4729" s="126"/>
      <c r="J4729" s="11"/>
      <c r="K4729" s="108"/>
      <c r="L4729" s="11"/>
      <c r="M4729" s="105"/>
      <c r="N4729" s="105"/>
      <c r="O4729" s="11"/>
      <c r="P4729" s="11"/>
      <c r="Q4729" s="105"/>
      <c r="R4729" s="105"/>
      <c r="S4729" s="105"/>
      <c r="T4729" s="105"/>
      <c r="U4729" s="105"/>
      <c r="V4729" s="105"/>
      <c r="W4729" s="105"/>
      <c r="X4729" s="11"/>
      <c r="Y4729" s="11"/>
      <c r="Z4729" s="105"/>
      <c r="AA4729" s="11"/>
      <c r="AB4729" s="11"/>
      <c r="AC4729" s="105"/>
      <c r="AD4729" s="11" t="b">
        <v>0</v>
      </c>
      <c r="AE4729" s="105"/>
      <c r="AF4729" s="11"/>
      <c r="AG4729" s="11"/>
      <c r="AH4729" s="11"/>
      <c r="AI4729" s="11"/>
    </row>
    <row r="4730" ht="12.5" spans="3:35">
      <c r="C4730" s="19"/>
      <c r="D4730" s="19"/>
      <c r="H4730" s="105"/>
      <c r="I4730" s="126"/>
      <c r="J4730" s="11"/>
      <c r="K4730" s="108"/>
      <c r="L4730" s="11"/>
      <c r="M4730" s="105"/>
      <c r="N4730" s="105"/>
      <c r="O4730" s="11"/>
      <c r="P4730" s="11"/>
      <c r="Q4730" s="105"/>
      <c r="R4730" s="105"/>
      <c r="S4730" s="105"/>
      <c r="T4730" s="105"/>
      <c r="U4730" s="105"/>
      <c r="V4730" s="105"/>
      <c r="W4730" s="105"/>
      <c r="X4730" s="11"/>
      <c r="Y4730" s="11"/>
      <c r="Z4730" s="105"/>
      <c r="AA4730" s="11"/>
      <c r="AB4730" s="11"/>
      <c r="AC4730" s="105"/>
      <c r="AD4730" s="11" t="b">
        <v>0</v>
      </c>
      <c r="AE4730" s="105"/>
      <c r="AF4730" s="11"/>
      <c r="AG4730" s="11"/>
      <c r="AH4730" s="11"/>
      <c r="AI4730" s="11"/>
    </row>
    <row r="4731" ht="12.5" spans="3:35">
      <c r="C4731" s="19"/>
      <c r="D4731" s="19"/>
      <c r="H4731" s="105"/>
      <c r="I4731" s="126"/>
      <c r="J4731" s="11"/>
      <c r="K4731" s="108"/>
      <c r="L4731" s="11"/>
      <c r="M4731" s="105"/>
      <c r="N4731" s="105"/>
      <c r="O4731" s="11"/>
      <c r="P4731" s="11"/>
      <c r="Q4731" s="105"/>
      <c r="R4731" s="105"/>
      <c r="S4731" s="105"/>
      <c r="T4731" s="105"/>
      <c r="U4731" s="105"/>
      <c r="V4731" s="105"/>
      <c r="W4731" s="105"/>
      <c r="X4731" s="11"/>
      <c r="Y4731" s="11"/>
      <c r="Z4731" s="105"/>
      <c r="AA4731" s="11"/>
      <c r="AB4731" s="11"/>
      <c r="AC4731" s="105"/>
      <c r="AD4731" s="11" t="b">
        <v>0</v>
      </c>
      <c r="AE4731" s="105"/>
      <c r="AF4731" s="11"/>
      <c r="AG4731" s="11"/>
      <c r="AH4731" s="11"/>
      <c r="AI4731" s="11"/>
    </row>
    <row r="4732" ht="12.5" spans="3:35">
      <c r="C4732" s="19"/>
      <c r="D4732" s="19"/>
      <c r="H4732" s="105"/>
      <c r="I4732" s="126"/>
      <c r="J4732" s="11"/>
      <c r="K4732" s="108"/>
      <c r="L4732" s="11"/>
      <c r="M4732" s="105"/>
      <c r="N4732" s="105"/>
      <c r="O4732" s="11"/>
      <c r="P4732" s="11"/>
      <c r="Q4732" s="105"/>
      <c r="R4732" s="105"/>
      <c r="S4732" s="105"/>
      <c r="T4732" s="105"/>
      <c r="U4732" s="105"/>
      <c r="V4732" s="105"/>
      <c r="W4732" s="105"/>
      <c r="X4732" s="11"/>
      <c r="Y4732" s="11"/>
      <c r="Z4732" s="105"/>
      <c r="AA4732" s="11"/>
      <c r="AB4732" s="11"/>
      <c r="AC4732" s="105"/>
      <c r="AD4732" s="11" t="b">
        <v>0</v>
      </c>
      <c r="AE4732" s="105"/>
      <c r="AF4732" s="11"/>
      <c r="AG4732" s="11"/>
      <c r="AH4732" s="11"/>
      <c r="AI4732" s="11"/>
    </row>
    <row r="4733" ht="12.5" spans="3:35">
      <c r="C4733" s="19"/>
      <c r="D4733" s="19"/>
      <c r="H4733" s="105"/>
      <c r="I4733" s="126"/>
      <c r="J4733" s="11"/>
      <c r="K4733" s="108"/>
      <c r="L4733" s="11"/>
      <c r="M4733" s="105"/>
      <c r="N4733" s="105"/>
      <c r="O4733" s="11"/>
      <c r="P4733" s="11"/>
      <c r="Q4733" s="105"/>
      <c r="R4733" s="105"/>
      <c r="S4733" s="105"/>
      <c r="T4733" s="105"/>
      <c r="U4733" s="105"/>
      <c r="V4733" s="105"/>
      <c r="W4733" s="105"/>
      <c r="X4733" s="11"/>
      <c r="Y4733" s="11"/>
      <c r="Z4733" s="105"/>
      <c r="AA4733" s="11"/>
      <c r="AB4733" s="11"/>
      <c r="AC4733" s="105"/>
      <c r="AD4733" s="11" t="b">
        <v>0</v>
      </c>
      <c r="AE4733" s="105"/>
      <c r="AF4733" s="11"/>
      <c r="AG4733" s="11"/>
      <c r="AH4733" s="11"/>
      <c r="AI4733" s="11"/>
    </row>
    <row r="4734" ht="12.5" spans="3:35">
      <c r="C4734" s="19"/>
      <c r="D4734" s="19"/>
      <c r="H4734" s="105"/>
      <c r="I4734" s="126"/>
      <c r="J4734" s="11"/>
      <c r="K4734" s="108"/>
      <c r="L4734" s="11"/>
      <c r="M4734" s="105"/>
      <c r="N4734" s="105"/>
      <c r="O4734" s="11"/>
      <c r="P4734" s="11"/>
      <c r="Q4734" s="105"/>
      <c r="R4734" s="105"/>
      <c r="S4734" s="105"/>
      <c r="T4734" s="105"/>
      <c r="U4734" s="105"/>
      <c r="V4734" s="105"/>
      <c r="W4734" s="105"/>
      <c r="X4734" s="11"/>
      <c r="Y4734" s="11"/>
      <c r="Z4734" s="105"/>
      <c r="AA4734" s="11"/>
      <c r="AB4734" s="11"/>
      <c r="AC4734" s="105"/>
      <c r="AD4734" s="11" t="b">
        <v>0</v>
      </c>
      <c r="AE4734" s="105"/>
      <c r="AF4734" s="11"/>
      <c r="AG4734" s="11"/>
      <c r="AH4734" s="11"/>
      <c r="AI4734" s="11"/>
    </row>
    <row r="4735" ht="12.5" spans="3:35">
      <c r="C4735" s="19"/>
      <c r="D4735" s="19"/>
      <c r="H4735" s="105"/>
      <c r="I4735" s="126"/>
      <c r="J4735" s="11"/>
      <c r="K4735" s="108"/>
      <c r="L4735" s="11"/>
      <c r="M4735" s="105"/>
      <c r="N4735" s="105"/>
      <c r="O4735" s="11"/>
      <c r="P4735" s="11"/>
      <c r="Q4735" s="105"/>
      <c r="R4735" s="105"/>
      <c r="S4735" s="105"/>
      <c r="T4735" s="105"/>
      <c r="U4735" s="105"/>
      <c r="V4735" s="105"/>
      <c r="W4735" s="105"/>
      <c r="X4735" s="11"/>
      <c r="Y4735" s="11"/>
      <c r="Z4735" s="105"/>
      <c r="AA4735" s="11"/>
      <c r="AB4735" s="11"/>
      <c r="AC4735" s="105"/>
      <c r="AD4735" s="11" t="b">
        <v>0</v>
      </c>
      <c r="AE4735" s="105"/>
      <c r="AF4735" s="11"/>
      <c r="AG4735" s="11"/>
      <c r="AH4735" s="11"/>
      <c r="AI4735" s="11"/>
    </row>
    <row r="4736" ht="12.5" spans="3:35">
      <c r="C4736" s="19"/>
      <c r="D4736" s="19"/>
      <c r="H4736" s="105"/>
      <c r="I4736" s="126"/>
      <c r="J4736" s="11"/>
      <c r="K4736" s="108"/>
      <c r="L4736" s="11"/>
      <c r="M4736" s="105"/>
      <c r="N4736" s="105"/>
      <c r="O4736" s="11"/>
      <c r="P4736" s="11"/>
      <c r="Q4736" s="105"/>
      <c r="R4736" s="105"/>
      <c r="S4736" s="105"/>
      <c r="T4736" s="105"/>
      <c r="U4736" s="105"/>
      <c r="V4736" s="105"/>
      <c r="W4736" s="105"/>
      <c r="X4736" s="11"/>
      <c r="Y4736" s="11"/>
      <c r="Z4736" s="105"/>
      <c r="AA4736" s="11"/>
      <c r="AB4736" s="11"/>
      <c r="AC4736" s="105"/>
      <c r="AD4736" s="11" t="b">
        <v>0</v>
      </c>
      <c r="AE4736" s="105"/>
      <c r="AF4736" s="11"/>
      <c r="AG4736" s="11"/>
      <c r="AH4736" s="11"/>
      <c r="AI4736" s="11"/>
    </row>
    <row r="4737" ht="12.5" spans="3:35">
      <c r="C4737" s="19"/>
      <c r="D4737" s="19"/>
      <c r="H4737" s="105"/>
      <c r="I4737" s="126"/>
      <c r="J4737" s="11"/>
      <c r="K4737" s="108"/>
      <c r="L4737" s="11"/>
      <c r="M4737" s="105"/>
      <c r="N4737" s="105"/>
      <c r="O4737" s="11"/>
      <c r="P4737" s="11"/>
      <c r="Q4737" s="105"/>
      <c r="R4737" s="105"/>
      <c r="S4737" s="105"/>
      <c r="T4737" s="105"/>
      <c r="U4737" s="105"/>
      <c r="V4737" s="105"/>
      <c r="W4737" s="105"/>
      <c r="X4737" s="11"/>
      <c r="Y4737" s="11"/>
      <c r="Z4737" s="105"/>
      <c r="AA4737" s="11"/>
      <c r="AB4737" s="11"/>
      <c r="AC4737" s="105"/>
      <c r="AD4737" s="11" t="b">
        <v>0</v>
      </c>
      <c r="AE4737" s="105"/>
      <c r="AF4737" s="11"/>
      <c r="AG4737" s="11"/>
      <c r="AH4737" s="11"/>
      <c r="AI4737" s="11"/>
    </row>
    <row r="4738" ht="12.5" spans="3:35">
      <c r="C4738" s="19"/>
      <c r="D4738" s="19"/>
      <c r="H4738" s="105"/>
      <c r="I4738" s="126"/>
      <c r="J4738" s="11"/>
      <c r="K4738" s="108"/>
      <c r="L4738" s="11"/>
      <c r="M4738" s="105"/>
      <c r="N4738" s="105"/>
      <c r="O4738" s="11"/>
      <c r="P4738" s="11"/>
      <c r="Q4738" s="105"/>
      <c r="R4738" s="105"/>
      <c r="S4738" s="105"/>
      <c r="T4738" s="105"/>
      <c r="U4738" s="105"/>
      <c r="V4738" s="105"/>
      <c r="W4738" s="105"/>
      <c r="X4738" s="11"/>
      <c r="Y4738" s="11"/>
      <c r="Z4738" s="105"/>
      <c r="AA4738" s="11"/>
      <c r="AB4738" s="11"/>
      <c r="AC4738" s="105"/>
      <c r="AD4738" s="11" t="b">
        <v>0</v>
      </c>
      <c r="AE4738" s="105"/>
      <c r="AF4738" s="11"/>
      <c r="AG4738" s="11"/>
      <c r="AH4738" s="11"/>
      <c r="AI4738" s="11"/>
    </row>
    <row r="4739" ht="12.5" spans="3:35">
      <c r="C4739" s="19"/>
      <c r="D4739" s="19"/>
      <c r="H4739" s="105"/>
      <c r="I4739" s="126"/>
      <c r="J4739" s="11"/>
      <c r="K4739" s="108"/>
      <c r="L4739" s="11"/>
      <c r="M4739" s="105"/>
      <c r="N4739" s="105"/>
      <c r="O4739" s="11"/>
      <c r="P4739" s="11"/>
      <c r="Q4739" s="105"/>
      <c r="R4739" s="105"/>
      <c r="S4739" s="105"/>
      <c r="T4739" s="105"/>
      <c r="U4739" s="105"/>
      <c r="V4739" s="105"/>
      <c r="W4739" s="105"/>
      <c r="X4739" s="11"/>
      <c r="Y4739" s="11"/>
      <c r="Z4739" s="105"/>
      <c r="AA4739" s="11"/>
      <c r="AB4739" s="11"/>
      <c r="AC4739" s="105"/>
      <c r="AD4739" s="11" t="b">
        <v>0</v>
      </c>
      <c r="AE4739" s="105"/>
      <c r="AF4739" s="11"/>
      <c r="AG4739" s="11"/>
      <c r="AH4739" s="11"/>
      <c r="AI4739" s="11"/>
    </row>
    <row r="4740" ht="12.5" spans="3:35">
      <c r="C4740" s="19"/>
      <c r="D4740" s="19"/>
      <c r="H4740" s="105"/>
      <c r="I4740" s="126"/>
      <c r="J4740" s="11"/>
      <c r="K4740" s="108"/>
      <c r="L4740" s="11"/>
      <c r="M4740" s="105"/>
      <c r="N4740" s="105"/>
      <c r="O4740" s="11"/>
      <c r="P4740" s="11"/>
      <c r="Q4740" s="105"/>
      <c r="R4740" s="105"/>
      <c r="S4740" s="105"/>
      <c r="T4740" s="105"/>
      <c r="U4740" s="105"/>
      <c r="V4740" s="105"/>
      <c r="W4740" s="105"/>
      <c r="X4740" s="11"/>
      <c r="Y4740" s="11"/>
      <c r="Z4740" s="105"/>
      <c r="AA4740" s="11"/>
      <c r="AB4740" s="11"/>
      <c r="AC4740" s="105"/>
      <c r="AD4740" s="11" t="b">
        <v>0</v>
      </c>
      <c r="AE4740" s="105"/>
      <c r="AF4740" s="11"/>
      <c r="AG4740" s="11"/>
      <c r="AH4740" s="11"/>
      <c r="AI4740" s="11"/>
    </row>
    <row r="4741" ht="12.5" spans="3:35">
      <c r="C4741" s="19"/>
      <c r="D4741" s="19"/>
      <c r="H4741" s="105"/>
      <c r="I4741" s="126"/>
      <c r="J4741" s="11"/>
      <c r="K4741" s="108"/>
      <c r="L4741" s="11"/>
      <c r="M4741" s="105"/>
      <c r="N4741" s="105"/>
      <c r="O4741" s="11"/>
      <c r="P4741" s="11"/>
      <c r="Q4741" s="105"/>
      <c r="R4741" s="105"/>
      <c r="S4741" s="105"/>
      <c r="T4741" s="105"/>
      <c r="U4741" s="105"/>
      <c r="V4741" s="105"/>
      <c r="W4741" s="105"/>
      <c r="X4741" s="11"/>
      <c r="Y4741" s="11"/>
      <c r="Z4741" s="105"/>
      <c r="AA4741" s="11"/>
      <c r="AB4741" s="11"/>
      <c r="AC4741" s="105"/>
      <c r="AD4741" s="11" t="b">
        <v>0</v>
      </c>
      <c r="AE4741" s="105"/>
      <c r="AF4741" s="11"/>
      <c r="AG4741" s="11"/>
      <c r="AH4741" s="11"/>
      <c r="AI4741" s="11"/>
    </row>
    <row r="4742" ht="12.5" spans="3:35">
      <c r="C4742" s="19"/>
      <c r="D4742" s="19"/>
      <c r="H4742" s="105"/>
      <c r="I4742" s="126"/>
      <c r="J4742" s="11"/>
      <c r="K4742" s="108"/>
      <c r="L4742" s="11"/>
      <c r="M4742" s="105"/>
      <c r="N4742" s="105"/>
      <c r="O4742" s="11"/>
      <c r="P4742" s="11"/>
      <c r="Q4742" s="105"/>
      <c r="R4742" s="105"/>
      <c r="S4742" s="105"/>
      <c r="T4742" s="105"/>
      <c r="U4742" s="105"/>
      <c r="V4742" s="105"/>
      <c r="W4742" s="105"/>
      <c r="X4742" s="11"/>
      <c r="Y4742" s="11"/>
      <c r="Z4742" s="105"/>
      <c r="AA4742" s="11"/>
      <c r="AB4742" s="11"/>
      <c r="AC4742" s="105"/>
      <c r="AD4742" s="11" t="b">
        <v>0</v>
      </c>
      <c r="AE4742" s="105"/>
      <c r="AF4742" s="11"/>
      <c r="AG4742" s="11"/>
      <c r="AH4742" s="11"/>
      <c r="AI4742" s="11"/>
    </row>
    <row r="4743" ht="12.5" spans="3:35">
      <c r="C4743" s="19"/>
      <c r="D4743" s="19"/>
      <c r="H4743" s="105"/>
      <c r="I4743" s="126"/>
      <c r="J4743" s="11"/>
      <c r="K4743" s="108"/>
      <c r="L4743" s="11"/>
      <c r="M4743" s="105"/>
      <c r="N4743" s="105"/>
      <c r="O4743" s="11"/>
      <c r="P4743" s="11"/>
      <c r="Q4743" s="105"/>
      <c r="R4743" s="105"/>
      <c r="S4743" s="105"/>
      <c r="T4743" s="105"/>
      <c r="U4743" s="105"/>
      <c r="V4743" s="105"/>
      <c r="W4743" s="105"/>
      <c r="X4743" s="11"/>
      <c r="Y4743" s="11"/>
      <c r="Z4743" s="105"/>
      <c r="AA4743" s="11"/>
      <c r="AB4743" s="11"/>
      <c r="AC4743" s="105"/>
      <c r="AD4743" s="11" t="b">
        <v>0</v>
      </c>
      <c r="AE4743" s="105"/>
      <c r="AF4743" s="11"/>
      <c r="AG4743" s="11"/>
      <c r="AH4743" s="11"/>
      <c r="AI4743" s="11"/>
    </row>
    <row r="4744" ht="12.5" spans="3:35">
      <c r="C4744" s="19"/>
      <c r="D4744" s="19"/>
      <c r="H4744" s="105"/>
      <c r="I4744" s="126"/>
      <c r="J4744" s="11"/>
      <c r="K4744" s="108"/>
      <c r="L4744" s="11"/>
      <c r="M4744" s="105"/>
      <c r="N4744" s="105"/>
      <c r="O4744" s="11"/>
      <c r="P4744" s="11"/>
      <c r="Q4744" s="105"/>
      <c r="R4744" s="105"/>
      <c r="S4744" s="105"/>
      <c r="T4744" s="105"/>
      <c r="U4744" s="105"/>
      <c r="V4744" s="105"/>
      <c r="W4744" s="105"/>
      <c r="X4744" s="11"/>
      <c r="Y4744" s="11"/>
      <c r="Z4744" s="105"/>
      <c r="AA4744" s="11"/>
      <c r="AB4744" s="11"/>
      <c r="AC4744" s="105"/>
      <c r="AD4744" s="11" t="b">
        <v>0</v>
      </c>
      <c r="AE4744" s="105"/>
      <c r="AF4744" s="11"/>
      <c r="AG4744" s="11"/>
      <c r="AH4744" s="11"/>
      <c r="AI4744" s="11"/>
    </row>
    <row r="4745" ht="12.5" spans="3:35">
      <c r="C4745" s="19"/>
      <c r="D4745" s="19"/>
      <c r="H4745" s="105"/>
      <c r="I4745" s="126"/>
      <c r="J4745" s="11"/>
      <c r="K4745" s="108"/>
      <c r="L4745" s="11"/>
      <c r="M4745" s="105"/>
      <c r="N4745" s="105"/>
      <c r="O4745" s="11"/>
      <c r="P4745" s="11"/>
      <c r="Q4745" s="105"/>
      <c r="R4745" s="105"/>
      <c r="S4745" s="105"/>
      <c r="T4745" s="105"/>
      <c r="U4745" s="105"/>
      <c r="V4745" s="105"/>
      <c r="W4745" s="105"/>
      <c r="X4745" s="11"/>
      <c r="Y4745" s="11"/>
      <c r="Z4745" s="105"/>
      <c r="AA4745" s="11"/>
      <c r="AB4745" s="11"/>
      <c r="AC4745" s="105"/>
      <c r="AD4745" s="11" t="b">
        <v>0</v>
      </c>
      <c r="AE4745" s="105"/>
      <c r="AF4745" s="11"/>
      <c r="AG4745" s="11"/>
      <c r="AH4745" s="11"/>
      <c r="AI4745" s="11"/>
    </row>
    <row r="4746" ht="12.5" spans="3:35">
      <c r="C4746" s="19"/>
      <c r="D4746" s="19"/>
      <c r="H4746" s="105"/>
      <c r="I4746" s="126"/>
      <c r="J4746" s="11"/>
      <c r="K4746" s="108"/>
      <c r="L4746" s="11"/>
      <c r="M4746" s="105"/>
      <c r="N4746" s="105"/>
      <c r="O4746" s="11"/>
      <c r="P4746" s="11"/>
      <c r="Q4746" s="105"/>
      <c r="R4746" s="105"/>
      <c r="S4746" s="105"/>
      <c r="T4746" s="105"/>
      <c r="U4746" s="105"/>
      <c r="V4746" s="105"/>
      <c r="W4746" s="105"/>
      <c r="X4746" s="11"/>
      <c r="Y4746" s="11"/>
      <c r="Z4746" s="105"/>
      <c r="AA4746" s="11"/>
      <c r="AB4746" s="11"/>
      <c r="AC4746" s="105"/>
      <c r="AD4746" s="11" t="b">
        <v>0</v>
      </c>
      <c r="AE4746" s="105"/>
      <c r="AF4746" s="11"/>
      <c r="AG4746" s="11"/>
      <c r="AH4746" s="11"/>
      <c r="AI4746" s="11"/>
    </row>
    <row r="4747" ht="12.5" spans="3:35">
      <c r="C4747" s="19"/>
      <c r="D4747" s="19"/>
      <c r="H4747" s="105"/>
      <c r="I4747" s="126"/>
      <c r="J4747" s="11"/>
      <c r="K4747" s="108"/>
      <c r="L4747" s="11"/>
      <c r="M4747" s="105"/>
      <c r="N4747" s="105"/>
      <c r="O4747" s="11"/>
      <c r="P4747" s="11"/>
      <c r="Q4747" s="105"/>
      <c r="R4747" s="105"/>
      <c r="S4747" s="105"/>
      <c r="T4747" s="105"/>
      <c r="U4747" s="105"/>
      <c r="V4747" s="105"/>
      <c r="W4747" s="105"/>
      <c r="X4747" s="11"/>
      <c r="Y4747" s="11"/>
      <c r="Z4747" s="105"/>
      <c r="AA4747" s="11"/>
      <c r="AB4747" s="11"/>
      <c r="AC4747" s="105"/>
      <c r="AD4747" s="11" t="b">
        <v>0</v>
      </c>
      <c r="AE4747" s="105"/>
      <c r="AF4747" s="11"/>
      <c r="AG4747" s="11"/>
      <c r="AH4747" s="11"/>
      <c r="AI4747" s="11"/>
    </row>
    <row r="4748" ht="12.5" spans="3:35">
      <c r="C4748" s="19"/>
      <c r="D4748" s="19"/>
      <c r="H4748" s="105"/>
      <c r="I4748" s="126"/>
      <c r="J4748" s="11"/>
      <c r="K4748" s="108"/>
      <c r="L4748" s="11"/>
      <c r="M4748" s="105"/>
      <c r="N4748" s="105"/>
      <c r="O4748" s="11"/>
      <c r="P4748" s="11"/>
      <c r="Q4748" s="105"/>
      <c r="R4748" s="105"/>
      <c r="S4748" s="105"/>
      <c r="T4748" s="105"/>
      <c r="U4748" s="105"/>
      <c r="V4748" s="105"/>
      <c r="W4748" s="105"/>
      <c r="X4748" s="11"/>
      <c r="Y4748" s="11"/>
      <c r="Z4748" s="105"/>
      <c r="AA4748" s="11"/>
      <c r="AB4748" s="11"/>
      <c r="AC4748" s="105"/>
      <c r="AD4748" s="11" t="b">
        <v>0</v>
      </c>
      <c r="AE4748" s="105"/>
      <c r="AF4748" s="11"/>
      <c r="AG4748" s="11"/>
      <c r="AH4748" s="11"/>
      <c r="AI4748" s="11"/>
    </row>
    <row r="4749" ht="12.5" spans="3:35">
      <c r="C4749" s="19"/>
      <c r="D4749" s="19"/>
      <c r="H4749" s="105"/>
      <c r="I4749" s="126"/>
      <c r="J4749" s="11"/>
      <c r="K4749" s="108"/>
      <c r="L4749" s="11"/>
      <c r="M4749" s="105"/>
      <c r="N4749" s="105"/>
      <c r="O4749" s="11"/>
      <c r="P4749" s="11"/>
      <c r="Q4749" s="105"/>
      <c r="R4749" s="105"/>
      <c r="S4749" s="105"/>
      <c r="T4749" s="105"/>
      <c r="U4749" s="105"/>
      <c r="V4749" s="105"/>
      <c r="W4749" s="105"/>
      <c r="X4749" s="11"/>
      <c r="Y4749" s="11"/>
      <c r="Z4749" s="105"/>
      <c r="AA4749" s="11"/>
      <c r="AB4749" s="11"/>
      <c r="AC4749" s="105"/>
      <c r="AD4749" s="11" t="b">
        <v>0</v>
      </c>
      <c r="AE4749" s="105"/>
      <c r="AF4749" s="11"/>
      <c r="AG4749" s="11"/>
      <c r="AH4749" s="11"/>
      <c r="AI4749" s="11"/>
    </row>
    <row r="4750" ht="12.5" spans="3:35">
      <c r="C4750" s="19"/>
      <c r="D4750" s="19"/>
      <c r="H4750" s="105"/>
      <c r="I4750" s="126"/>
      <c r="J4750" s="11"/>
      <c r="K4750" s="108"/>
      <c r="L4750" s="11"/>
      <c r="M4750" s="105"/>
      <c r="N4750" s="105"/>
      <c r="O4750" s="11"/>
      <c r="P4750" s="11"/>
      <c r="Q4750" s="105"/>
      <c r="R4750" s="105"/>
      <c r="S4750" s="105"/>
      <c r="T4750" s="105"/>
      <c r="U4750" s="105"/>
      <c r="V4750" s="105"/>
      <c r="W4750" s="105"/>
      <c r="X4750" s="11"/>
      <c r="Y4750" s="11"/>
      <c r="Z4750" s="105"/>
      <c r="AA4750" s="11"/>
      <c r="AB4750" s="11"/>
      <c r="AC4750" s="105"/>
      <c r="AD4750" s="11" t="b">
        <v>0</v>
      </c>
      <c r="AE4750" s="105"/>
      <c r="AF4750" s="11"/>
      <c r="AG4750" s="11"/>
      <c r="AH4750" s="11"/>
      <c r="AI4750" s="11"/>
    </row>
    <row r="4751" ht="12.5" spans="3:35">
      <c r="C4751" s="19"/>
      <c r="D4751" s="19"/>
      <c r="H4751" s="105"/>
      <c r="I4751" s="126"/>
      <c r="J4751" s="11"/>
      <c r="K4751" s="108"/>
      <c r="L4751" s="11"/>
      <c r="M4751" s="105"/>
      <c r="N4751" s="105"/>
      <c r="O4751" s="11"/>
      <c r="P4751" s="11"/>
      <c r="Q4751" s="105"/>
      <c r="R4751" s="105"/>
      <c r="S4751" s="105"/>
      <c r="T4751" s="105"/>
      <c r="U4751" s="105"/>
      <c r="V4751" s="105"/>
      <c r="W4751" s="105"/>
      <c r="X4751" s="11"/>
      <c r="Y4751" s="11"/>
      <c r="Z4751" s="105"/>
      <c r="AA4751" s="11"/>
      <c r="AB4751" s="11"/>
      <c r="AC4751" s="105"/>
      <c r="AD4751" s="11" t="b">
        <v>0</v>
      </c>
      <c r="AE4751" s="105"/>
      <c r="AF4751" s="11"/>
      <c r="AG4751" s="11"/>
      <c r="AH4751" s="11"/>
      <c r="AI4751" s="11"/>
    </row>
    <row r="4752" ht="12.5" spans="3:35">
      <c r="C4752" s="19"/>
      <c r="D4752" s="19"/>
      <c r="H4752" s="105"/>
      <c r="I4752" s="126"/>
      <c r="J4752" s="11"/>
      <c r="K4752" s="108"/>
      <c r="L4752" s="11"/>
      <c r="M4752" s="105"/>
      <c r="N4752" s="105"/>
      <c r="O4752" s="11"/>
      <c r="P4752" s="11"/>
      <c r="Q4752" s="105"/>
      <c r="R4752" s="105"/>
      <c r="S4752" s="105"/>
      <c r="T4752" s="105"/>
      <c r="U4752" s="105"/>
      <c r="V4752" s="105"/>
      <c r="W4752" s="105"/>
      <c r="X4752" s="11"/>
      <c r="Y4752" s="11"/>
      <c r="Z4752" s="105"/>
      <c r="AA4752" s="11"/>
      <c r="AB4752" s="11"/>
      <c r="AC4752" s="105"/>
      <c r="AD4752" s="11" t="b">
        <v>0</v>
      </c>
      <c r="AE4752" s="105"/>
      <c r="AF4752" s="11"/>
      <c r="AG4752" s="11"/>
      <c r="AH4752" s="11"/>
      <c r="AI4752" s="11"/>
    </row>
    <row r="4753" ht="12.5" spans="3:35">
      <c r="C4753" s="19"/>
      <c r="D4753" s="19"/>
      <c r="H4753" s="105"/>
      <c r="I4753" s="126"/>
      <c r="J4753" s="11"/>
      <c r="K4753" s="108"/>
      <c r="L4753" s="11"/>
      <c r="M4753" s="105"/>
      <c r="N4753" s="105"/>
      <c r="O4753" s="11"/>
      <c r="P4753" s="11"/>
      <c r="Q4753" s="105"/>
      <c r="R4753" s="105"/>
      <c r="S4753" s="105"/>
      <c r="T4753" s="105"/>
      <c r="U4753" s="105"/>
      <c r="V4753" s="105"/>
      <c r="W4753" s="105"/>
      <c r="X4753" s="11"/>
      <c r="Y4753" s="11"/>
      <c r="Z4753" s="105"/>
      <c r="AA4753" s="11"/>
      <c r="AB4753" s="11"/>
      <c r="AC4753" s="105"/>
      <c r="AD4753" s="11" t="b">
        <v>0</v>
      </c>
      <c r="AE4753" s="105"/>
      <c r="AF4753" s="11"/>
      <c r="AG4753" s="11"/>
      <c r="AH4753" s="11"/>
      <c r="AI4753" s="11"/>
    </row>
    <row r="4754" ht="12.5" spans="3:35">
      <c r="C4754" s="19"/>
      <c r="D4754" s="19"/>
      <c r="H4754" s="105"/>
      <c r="I4754" s="126"/>
      <c r="J4754" s="11"/>
      <c r="K4754" s="108"/>
      <c r="L4754" s="11"/>
      <c r="M4754" s="105"/>
      <c r="N4754" s="105"/>
      <c r="O4754" s="11"/>
      <c r="P4754" s="11"/>
      <c r="Q4754" s="105"/>
      <c r="R4754" s="105"/>
      <c r="S4754" s="105"/>
      <c r="T4754" s="105"/>
      <c r="U4754" s="105"/>
      <c r="V4754" s="105"/>
      <c r="W4754" s="105"/>
      <c r="X4754" s="11"/>
      <c r="Y4754" s="11"/>
      <c r="Z4754" s="105"/>
      <c r="AA4754" s="11"/>
      <c r="AB4754" s="11"/>
      <c r="AC4754" s="105"/>
      <c r="AD4754" s="11" t="b">
        <v>0</v>
      </c>
      <c r="AE4754" s="105"/>
      <c r="AF4754" s="11"/>
      <c r="AG4754" s="11"/>
      <c r="AH4754" s="11"/>
      <c r="AI4754" s="11"/>
    </row>
    <row r="4755" ht="12.5" spans="3:35">
      <c r="C4755" s="19"/>
      <c r="D4755" s="19"/>
      <c r="H4755" s="105"/>
      <c r="I4755" s="126"/>
      <c r="J4755" s="11"/>
      <c r="K4755" s="108"/>
      <c r="L4755" s="11"/>
      <c r="M4755" s="105"/>
      <c r="N4755" s="105"/>
      <c r="O4755" s="11"/>
      <c r="P4755" s="11"/>
      <c r="Q4755" s="105"/>
      <c r="R4755" s="105"/>
      <c r="S4755" s="105"/>
      <c r="T4755" s="105"/>
      <c r="U4755" s="105"/>
      <c r="V4755" s="105"/>
      <c r="W4755" s="105"/>
      <c r="X4755" s="11"/>
      <c r="Y4755" s="11"/>
      <c r="Z4755" s="105"/>
      <c r="AA4755" s="11"/>
      <c r="AB4755" s="11"/>
      <c r="AC4755" s="105"/>
      <c r="AD4755" s="11" t="b">
        <v>0</v>
      </c>
      <c r="AE4755" s="105"/>
      <c r="AF4755" s="11"/>
      <c r="AG4755" s="11"/>
      <c r="AH4755" s="11"/>
      <c r="AI4755" s="11"/>
    </row>
    <row r="4756" ht="12.5" spans="3:35">
      <c r="C4756" s="19"/>
      <c r="D4756" s="19"/>
      <c r="H4756" s="105"/>
      <c r="I4756" s="126"/>
      <c r="J4756" s="11"/>
      <c r="K4756" s="108"/>
      <c r="L4756" s="11"/>
      <c r="M4756" s="105"/>
      <c r="N4756" s="105"/>
      <c r="O4756" s="11"/>
      <c r="P4756" s="11"/>
      <c r="Q4756" s="105"/>
      <c r="R4756" s="105"/>
      <c r="S4756" s="105"/>
      <c r="T4756" s="105"/>
      <c r="U4756" s="105"/>
      <c r="V4756" s="105"/>
      <c r="W4756" s="105"/>
      <c r="X4756" s="11"/>
      <c r="Y4756" s="11"/>
      <c r="Z4756" s="105"/>
      <c r="AA4756" s="11"/>
      <c r="AB4756" s="11"/>
      <c r="AC4756" s="105"/>
      <c r="AD4756" s="11" t="b">
        <v>0</v>
      </c>
      <c r="AE4756" s="105"/>
      <c r="AF4756" s="11"/>
      <c r="AG4756" s="11"/>
      <c r="AH4756" s="11"/>
      <c r="AI4756" s="11"/>
    </row>
    <row r="4757" ht="12.5" spans="3:35">
      <c r="C4757" s="19"/>
      <c r="D4757" s="19"/>
      <c r="H4757" s="105"/>
      <c r="I4757" s="126"/>
      <c r="J4757" s="11"/>
      <c r="K4757" s="108"/>
      <c r="L4757" s="11"/>
      <c r="M4757" s="105"/>
      <c r="N4757" s="105"/>
      <c r="O4757" s="11"/>
      <c r="P4757" s="11"/>
      <c r="Q4757" s="105"/>
      <c r="R4757" s="105"/>
      <c r="S4757" s="105"/>
      <c r="T4757" s="105"/>
      <c r="U4757" s="105"/>
      <c r="V4757" s="105"/>
      <c r="W4757" s="105"/>
      <c r="X4757" s="11"/>
      <c r="Y4757" s="11"/>
      <c r="Z4757" s="105"/>
      <c r="AA4757" s="11"/>
      <c r="AB4757" s="11"/>
      <c r="AC4757" s="105"/>
      <c r="AD4757" s="11" t="b">
        <v>0</v>
      </c>
      <c r="AE4757" s="105"/>
      <c r="AF4757" s="11"/>
      <c r="AG4757" s="11"/>
      <c r="AH4757" s="11"/>
      <c r="AI4757" s="11"/>
    </row>
    <row r="4758" ht="12.5" spans="3:35">
      <c r="C4758" s="19"/>
      <c r="D4758" s="19"/>
      <c r="H4758" s="105"/>
      <c r="I4758" s="126"/>
      <c r="J4758" s="11"/>
      <c r="K4758" s="108"/>
      <c r="L4758" s="11"/>
      <c r="M4758" s="105"/>
      <c r="N4758" s="105"/>
      <c r="O4758" s="11"/>
      <c r="P4758" s="11"/>
      <c r="Q4758" s="105"/>
      <c r="R4758" s="105"/>
      <c r="S4758" s="105"/>
      <c r="T4758" s="105"/>
      <c r="U4758" s="105"/>
      <c r="V4758" s="105"/>
      <c r="W4758" s="105"/>
      <c r="X4758" s="11"/>
      <c r="Y4758" s="11"/>
      <c r="Z4758" s="105"/>
      <c r="AA4758" s="11"/>
      <c r="AB4758" s="11"/>
      <c r="AC4758" s="105"/>
      <c r="AD4758" s="11" t="b">
        <v>0</v>
      </c>
      <c r="AE4758" s="105"/>
      <c r="AF4758" s="11"/>
      <c r="AG4758" s="11"/>
      <c r="AH4758" s="11"/>
      <c r="AI4758" s="11"/>
    </row>
    <row r="4759" ht="12.5" spans="3:35">
      <c r="C4759" s="19"/>
      <c r="D4759" s="19"/>
      <c r="H4759" s="105"/>
      <c r="I4759" s="126"/>
      <c r="J4759" s="11"/>
      <c r="K4759" s="108"/>
      <c r="L4759" s="11"/>
      <c r="M4759" s="105"/>
      <c r="N4759" s="105"/>
      <c r="O4759" s="11"/>
      <c r="P4759" s="11"/>
      <c r="Q4759" s="105"/>
      <c r="R4759" s="105"/>
      <c r="S4759" s="105"/>
      <c r="T4759" s="105"/>
      <c r="U4759" s="105"/>
      <c r="V4759" s="105"/>
      <c r="W4759" s="105"/>
      <c r="X4759" s="11"/>
      <c r="Y4759" s="11"/>
      <c r="Z4759" s="105"/>
      <c r="AA4759" s="11"/>
      <c r="AB4759" s="11"/>
      <c r="AC4759" s="105"/>
      <c r="AD4759" s="11" t="b">
        <v>0</v>
      </c>
      <c r="AE4759" s="105"/>
      <c r="AF4759" s="11"/>
      <c r="AG4759" s="11"/>
      <c r="AH4759" s="11"/>
      <c r="AI4759" s="11"/>
    </row>
    <row r="4760" ht="12.5" spans="3:35">
      <c r="C4760" s="19"/>
      <c r="D4760" s="19"/>
      <c r="H4760" s="105"/>
      <c r="I4760" s="126"/>
      <c r="J4760" s="11"/>
      <c r="K4760" s="108"/>
      <c r="L4760" s="11"/>
      <c r="M4760" s="105"/>
      <c r="N4760" s="105"/>
      <c r="O4760" s="11"/>
      <c r="P4760" s="11"/>
      <c r="Q4760" s="105"/>
      <c r="R4760" s="105"/>
      <c r="S4760" s="105"/>
      <c r="T4760" s="105"/>
      <c r="U4760" s="105"/>
      <c r="V4760" s="105"/>
      <c r="W4760" s="105"/>
      <c r="X4760" s="11"/>
      <c r="Y4760" s="11"/>
      <c r="Z4760" s="105"/>
      <c r="AA4760" s="11"/>
      <c r="AB4760" s="11"/>
      <c r="AC4760" s="105"/>
      <c r="AD4760" s="11" t="b">
        <v>0</v>
      </c>
      <c r="AE4760" s="105"/>
      <c r="AF4760" s="11"/>
      <c r="AG4760" s="11"/>
      <c r="AH4760" s="11"/>
      <c r="AI4760" s="11"/>
    </row>
    <row r="4761" ht="12.5" spans="3:35">
      <c r="C4761" s="19"/>
      <c r="D4761" s="19"/>
      <c r="H4761" s="105"/>
      <c r="I4761" s="126"/>
      <c r="J4761" s="11"/>
      <c r="K4761" s="108"/>
      <c r="L4761" s="11"/>
      <c r="M4761" s="105"/>
      <c r="N4761" s="105"/>
      <c r="O4761" s="11"/>
      <c r="P4761" s="11"/>
      <c r="Q4761" s="105"/>
      <c r="R4761" s="105"/>
      <c r="S4761" s="105"/>
      <c r="T4761" s="105"/>
      <c r="U4761" s="105"/>
      <c r="V4761" s="105"/>
      <c r="W4761" s="105"/>
      <c r="X4761" s="11"/>
      <c r="Y4761" s="11"/>
      <c r="Z4761" s="105"/>
      <c r="AA4761" s="11"/>
      <c r="AB4761" s="11"/>
      <c r="AC4761" s="105"/>
      <c r="AD4761" s="11" t="b">
        <v>0</v>
      </c>
      <c r="AE4761" s="105"/>
      <c r="AF4761" s="11"/>
      <c r="AG4761" s="11"/>
      <c r="AH4761" s="11"/>
      <c r="AI4761" s="11"/>
    </row>
    <row r="4762" ht="12.5" spans="3:35">
      <c r="C4762" s="19"/>
      <c r="D4762" s="19"/>
      <c r="H4762" s="105"/>
      <c r="I4762" s="126"/>
      <c r="J4762" s="11"/>
      <c r="K4762" s="108"/>
      <c r="L4762" s="11"/>
      <c r="M4762" s="105"/>
      <c r="N4762" s="105"/>
      <c r="O4762" s="11"/>
      <c r="P4762" s="11"/>
      <c r="Q4762" s="105"/>
      <c r="R4762" s="105"/>
      <c r="S4762" s="105"/>
      <c r="T4762" s="105"/>
      <c r="U4762" s="105"/>
      <c r="V4762" s="105"/>
      <c r="W4762" s="105"/>
      <c r="X4762" s="11"/>
      <c r="Y4762" s="11"/>
      <c r="Z4762" s="105"/>
      <c r="AA4762" s="11"/>
      <c r="AB4762" s="11"/>
      <c r="AC4762" s="105"/>
      <c r="AD4762" s="11" t="b">
        <v>0</v>
      </c>
      <c r="AE4762" s="105"/>
      <c r="AF4762" s="11"/>
      <c r="AG4762" s="11"/>
      <c r="AH4762" s="11"/>
      <c r="AI4762" s="11"/>
    </row>
    <row r="4763" ht="12.5" spans="3:35">
      <c r="C4763" s="19"/>
      <c r="D4763" s="19"/>
      <c r="H4763" s="105"/>
      <c r="I4763" s="126"/>
      <c r="J4763" s="11"/>
      <c r="K4763" s="108"/>
      <c r="L4763" s="11"/>
      <c r="M4763" s="105"/>
      <c r="N4763" s="105"/>
      <c r="O4763" s="11"/>
      <c r="P4763" s="11"/>
      <c r="Q4763" s="105"/>
      <c r="R4763" s="105"/>
      <c r="S4763" s="105"/>
      <c r="T4763" s="105"/>
      <c r="U4763" s="105"/>
      <c r="V4763" s="105"/>
      <c r="W4763" s="105"/>
      <c r="X4763" s="11"/>
      <c r="Y4763" s="11"/>
      <c r="Z4763" s="105"/>
      <c r="AA4763" s="11"/>
      <c r="AB4763" s="11"/>
      <c r="AC4763" s="105"/>
      <c r="AD4763" s="11" t="b">
        <v>0</v>
      </c>
      <c r="AE4763" s="105"/>
      <c r="AF4763" s="11"/>
      <c r="AG4763" s="11"/>
      <c r="AH4763" s="11"/>
      <c r="AI4763" s="11"/>
    </row>
    <row r="4764" ht="12.5" spans="3:35">
      <c r="C4764" s="19"/>
      <c r="D4764" s="19"/>
      <c r="H4764" s="105"/>
      <c r="I4764" s="126"/>
      <c r="J4764" s="11"/>
      <c r="K4764" s="108"/>
      <c r="L4764" s="11"/>
      <c r="M4764" s="105"/>
      <c r="N4764" s="105"/>
      <c r="O4764" s="11"/>
      <c r="P4764" s="11"/>
      <c r="Q4764" s="105"/>
      <c r="R4764" s="105"/>
      <c r="S4764" s="105"/>
      <c r="T4764" s="105"/>
      <c r="U4764" s="105"/>
      <c r="V4764" s="105"/>
      <c r="W4764" s="105"/>
      <c r="X4764" s="11"/>
      <c r="Y4764" s="11"/>
      <c r="Z4764" s="105"/>
      <c r="AA4764" s="11"/>
      <c r="AB4764" s="11"/>
      <c r="AC4764" s="105"/>
      <c r="AD4764" s="11" t="b">
        <v>0</v>
      </c>
      <c r="AE4764" s="105"/>
      <c r="AF4764" s="11"/>
      <c r="AG4764" s="11"/>
      <c r="AH4764" s="11"/>
      <c r="AI4764" s="11"/>
    </row>
    <row r="4765" ht="12.5" spans="3:35">
      <c r="C4765" s="19"/>
      <c r="D4765" s="19"/>
      <c r="H4765" s="105"/>
      <c r="I4765" s="126"/>
      <c r="J4765" s="11"/>
      <c r="K4765" s="108"/>
      <c r="L4765" s="11"/>
      <c r="M4765" s="105"/>
      <c r="N4765" s="105"/>
      <c r="O4765" s="11"/>
      <c r="P4765" s="11"/>
      <c r="Q4765" s="105"/>
      <c r="R4765" s="105"/>
      <c r="S4765" s="105"/>
      <c r="T4765" s="105"/>
      <c r="U4765" s="105"/>
      <c r="V4765" s="105"/>
      <c r="W4765" s="105"/>
      <c r="X4765" s="11"/>
      <c r="Y4765" s="11"/>
      <c r="Z4765" s="105"/>
      <c r="AA4765" s="11"/>
      <c r="AB4765" s="11"/>
      <c r="AC4765" s="105"/>
      <c r="AD4765" s="11" t="b">
        <v>0</v>
      </c>
      <c r="AE4765" s="105"/>
      <c r="AF4765" s="11"/>
      <c r="AG4765" s="11"/>
      <c r="AH4765" s="11"/>
      <c r="AI4765" s="11"/>
    </row>
    <row r="4766" ht="12.5" spans="3:35">
      <c r="C4766" s="19"/>
      <c r="D4766" s="19"/>
      <c r="H4766" s="105"/>
      <c r="I4766" s="126"/>
      <c r="J4766" s="11"/>
      <c r="K4766" s="108"/>
      <c r="L4766" s="11"/>
      <c r="M4766" s="105"/>
      <c r="N4766" s="105"/>
      <c r="O4766" s="11"/>
      <c r="P4766" s="11"/>
      <c r="Q4766" s="105"/>
      <c r="R4766" s="105"/>
      <c r="S4766" s="105"/>
      <c r="T4766" s="105"/>
      <c r="U4766" s="105"/>
      <c r="V4766" s="105"/>
      <c r="W4766" s="105"/>
      <c r="X4766" s="11"/>
      <c r="Y4766" s="11"/>
      <c r="Z4766" s="105"/>
      <c r="AA4766" s="11"/>
      <c r="AB4766" s="11"/>
      <c r="AC4766" s="105"/>
      <c r="AD4766" s="11" t="b">
        <v>0</v>
      </c>
      <c r="AE4766" s="105"/>
      <c r="AF4766" s="11"/>
      <c r="AG4766" s="11"/>
      <c r="AH4766" s="11"/>
      <c r="AI4766" s="11"/>
    </row>
    <row r="4767" ht="12.5" spans="3:35">
      <c r="C4767" s="19"/>
      <c r="D4767" s="19"/>
      <c r="H4767" s="105"/>
      <c r="I4767" s="126"/>
      <c r="J4767" s="11"/>
      <c r="K4767" s="108"/>
      <c r="L4767" s="11"/>
      <c r="M4767" s="105"/>
      <c r="N4767" s="105"/>
      <c r="O4767" s="11"/>
      <c r="P4767" s="11"/>
      <c r="Q4767" s="105"/>
      <c r="R4767" s="105"/>
      <c r="S4767" s="105"/>
      <c r="T4767" s="105"/>
      <c r="U4767" s="105"/>
      <c r="V4767" s="105"/>
      <c r="W4767" s="105"/>
      <c r="X4767" s="11"/>
      <c r="Y4767" s="11"/>
      <c r="Z4767" s="105"/>
      <c r="AA4767" s="11"/>
      <c r="AB4767" s="11"/>
      <c r="AC4767" s="105"/>
      <c r="AD4767" s="11" t="b">
        <v>0</v>
      </c>
      <c r="AE4767" s="105"/>
      <c r="AF4767" s="11"/>
      <c r="AG4767" s="11"/>
      <c r="AH4767" s="11"/>
      <c r="AI4767" s="11"/>
    </row>
    <row r="4768" ht="12.5" spans="3:35">
      <c r="C4768" s="19"/>
      <c r="D4768" s="19"/>
      <c r="H4768" s="105"/>
      <c r="I4768" s="126"/>
      <c r="J4768" s="11"/>
      <c r="K4768" s="108"/>
      <c r="L4768" s="11"/>
      <c r="M4768" s="105"/>
      <c r="N4768" s="105"/>
      <c r="O4768" s="11"/>
      <c r="P4768" s="11"/>
      <c r="Q4768" s="105"/>
      <c r="R4768" s="105"/>
      <c r="S4768" s="105"/>
      <c r="T4768" s="105"/>
      <c r="U4768" s="105"/>
      <c r="V4768" s="105"/>
      <c r="W4768" s="105"/>
      <c r="X4768" s="11"/>
      <c r="Y4768" s="11"/>
      <c r="Z4768" s="105"/>
      <c r="AA4768" s="11"/>
      <c r="AB4768" s="11"/>
      <c r="AC4768" s="105"/>
      <c r="AD4768" s="11" t="b">
        <v>0</v>
      </c>
      <c r="AE4768" s="105"/>
      <c r="AF4768" s="11"/>
      <c r="AG4768" s="11"/>
      <c r="AH4768" s="11"/>
      <c r="AI4768" s="11"/>
    </row>
    <row r="4769" ht="12.5" spans="3:35">
      <c r="C4769" s="19"/>
      <c r="D4769" s="19"/>
      <c r="H4769" s="105"/>
      <c r="I4769" s="126"/>
      <c r="J4769" s="11"/>
      <c r="K4769" s="108"/>
      <c r="L4769" s="11"/>
      <c r="M4769" s="105"/>
      <c r="N4769" s="105"/>
      <c r="O4769" s="11"/>
      <c r="P4769" s="11"/>
      <c r="Q4769" s="105"/>
      <c r="R4769" s="105"/>
      <c r="S4769" s="105"/>
      <c r="T4769" s="105"/>
      <c r="U4769" s="105"/>
      <c r="V4769" s="105"/>
      <c r="W4769" s="105"/>
      <c r="X4769" s="11"/>
      <c r="Y4769" s="11"/>
      <c r="Z4769" s="105"/>
      <c r="AA4769" s="11"/>
      <c r="AB4769" s="11"/>
      <c r="AC4769" s="105"/>
      <c r="AD4769" s="11" t="b">
        <v>0</v>
      </c>
      <c r="AE4769" s="105"/>
      <c r="AF4769" s="11"/>
      <c r="AG4769" s="11"/>
      <c r="AH4769" s="11"/>
      <c r="AI4769" s="11"/>
    </row>
    <row r="4770" ht="12.5" spans="3:35">
      <c r="C4770" s="19"/>
      <c r="D4770" s="19"/>
      <c r="H4770" s="105"/>
      <c r="I4770" s="126"/>
      <c r="J4770" s="11"/>
      <c r="K4770" s="108"/>
      <c r="L4770" s="11"/>
      <c r="M4770" s="105"/>
      <c r="N4770" s="105"/>
      <c r="O4770" s="11"/>
      <c r="P4770" s="11"/>
      <c r="Q4770" s="105"/>
      <c r="R4770" s="105"/>
      <c r="S4770" s="105"/>
      <c r="T4770" s="105"/>
      <c r="U4770" s="105"/>
      <c r="V4770" s="105"/>
      <c r="W4770" s="105"/>
      <c r="X4770" s="11"/>
      <c r="Y4770" s="11"/>
      <c r="Z4770" s="105"/>
      <c r="AA4770" s="11"/>
      <c r="AB4770" s="11"/>
      <c r="AC4770" s="105"/>
      <c r="AD4770" s="11" t="b">
        <v>0</v>
      </c>
      <c r="AE4770" s="105"/>
      <c r="AF4770" s="11"/>
      <c r="AG4770" s="11"/>
      <c r="AH4770" s="11"/>
      <c r="AI4770" s="11"/>
    </row>
    <row r="4771" ht="12.5" spans="3:35">
      <c r="C4771" s="19"/>
      <c r="D4771" s="19"/>
      <c r="H4771" s="105"/>
      <c r="I4771" s="126"/>
      <c r="J4771" s="11"/>
      <c r="K4771" s="108"/>
      <c r="L4771" s="11"/>
      <c r="M4771" s="105"/>
      <c r="N4771" s="105"/>
      <c r="O4771" s="11"/>
      <c r="P4771" s="11"/>
      <c r="Q4771" s="105"/>
      <c r="R4771" s="105"/>
      <c r="S4771" s="105"/>
      <c r="T4771" s="105"/>
      <c r="U4771" s="105"/>
      <c r="V4771" s="105"/>
      <c r="W4771" s="105"/>
      <c r="X4771" s="11"/>
      <c r="Y4771" s="11"/>
      <c r="Z4771" s="105"/>
      <c r="AA4771" s="11"/>
      <c r="AB4771" s="11"/>
      <c r="AC4771" s="105"/>
      <c r="AD4771" s="11" t="b">
        <v>0</v>
      </c>
      <c r="AE4771" s="105"/>
      <c r="AF4771" s="11"/>
      <c r="AG4771" s="11"/>
      <c r="AH4771" s="11"/>
      <c r="AI4771" s="11"/>
    </row>
    <row r="4772" ht="12.5" spans="3:35">
      <c r="C4772" s="19"/>
      <c r="D4772" s="19"/>
      <c r="H4772" s="105"/>
      <c r="I4772" s="126"/>
      <c r="J4772" s="11"/>
      <c r="K4772" s="108"/>
      <c r="L4772" s="11"/>
      <c r="M4772" s="105"/>
      <c r="N4772" s="105"/>
      <c r="O4772" s="11"/>
      <c r="P4772" s="11"/>
      <c r="Q4772" s="105"/>
      <c r="R4772" s="105"/>
      <c r="S4772" s="105"/>
      <c r="T4772" s="105"/>
      <c r="U4772" s="105"/>
      <c r="V4772" s="105"/>
      <c r="W4772" s="105"/>
      <c r="X4772" s="11"/>
      <c r="Y4772" s="11"/>
      <c r="Z4772" s="105"/>
      <c r="AA4772" s="11"/>
      <c r="AB4772" s="11"/>
      <c r="AC4772" s="105"/>
      <c r="AD4772" s="11" t="b">
        <v>0</v>
      </c>
      <c r="AE4772" s="105"/>
      <c r="AF4772" s="11"/>
      <c r="AG4772" s="11"/>
      <c r="AH4772" s="11"/>
      <c r="AI4772" s="11"/>
    </row>
    <row r="4773" ht="12.5" spans="3:35">
      <c r="C4773" s="19"/>
      <c r="D4773" s="19"/>
      <c r="H4773" s="105"/>
      <c r="I4773" s="126"/>
      <c r="J4773" s="11"/>
      <c r="K4773" s="108"/>
      <c r="L4773" s="11"/>
      <c r="M4773" s="105"/>
      <c r="N4773" s="105"/>
      <c r="O4773" s="11"/>
      <c r="P4773" s="11"/>
      <c r="Q4773" s="105"/>
      <c r="R4773" s="105"/>
      <c r="S4773" s="105"/>
      <c r="T4773" s="105"/>
      <c r="U4773" s="105"/>
      <c r="V4773" s="105"/>
      <c r="W4773" s="105"/>
      <c r="X4773" s="11"/>
      <c r="Y4773" s="11"/>
      <c r="Z4773" s="105"/>
      <c r="AA4773" s="11"/>
      <c r="AB4773" s="11"/>
      <c r="AC4773" s="105"/>
      <c r="AD4773" s="11" t="b">
        <v>0</v>
      </c>
      <c r="AE4773" s="105"/>
      <c r="AF4773" s="11"/>
      <c r="AG4773" s="11"/>
      <c r="AH4773" s="11"/>
      <c r="AI4773" s="11"/>
    </row>
    <row r="4774" ht="12.5" spans="3:35">
      <c r="C4774" s="19"/>
      <c r="D4774" s="19"/>
      <c r="H4774" s="105"/>
      <c r="I4774" s="126"/>
      <c r="J4774" s="11"/>
      <c r="K4774" s="108"/>
      <c r="L4774" s="11"/>
      <c r="M4774" s="105"/>
      <c r="N4774" s="105"/>
      <c r="O4774" s="11"/>
      <c r="P4774" s="11"/>
      <c r="Q4774" s="105"/>
      <c r="R4774" s="105"/>
      <c r="S4774" s="105"/>
      <c r="T4774" s="105"/>
      <c r="U4774" s="105"/>
      <c r="V4774" s="105"/>
      <c r="W4774" s="105"/>
      <c r="X4774" s="11"/>
      <c r="Y4774" s="11"/>
      <c r="Z4774" s="105"/>
      <c r="AA4774" s="11"/>
      <c r="AB4774" s="11"/>
      <c r="AC4774" s="105"/>
      <c r="AD4774" s="11" t="b">
        <v>0</v>
      </c>
      <c r="AE4774" s="105"/>
      <c r="AF4774" s="11"/>
      <c r="AG4774" s="11"/>
      <c r="AH4774" s="11"/>
      <c r="AI4774" s="11"/>
    </row>
    <row r="4775" ht="12.5" spans="3:35">
      <c r="C4775" s="19"/>
      <c r="D4775" s="19"/>
      <c r="H4775" s="105"/>
      <c r="I4775" s="126"/>
      <c r="J4775" s="11"/>
      <c r="K4775" s="108"/>
      <c r="L4775" s="11"/>
      <c r="M4775" s="105"/>
      <c r="N4775" s="105"/>
      <c r="O4775" s="11"/>
      <c r="P4775" s="11"/>
      <c r="Q4775" s="105"/>
      <c r="R4775" s="105"/>
      <c r="S4775" s="105"/>
      <c r="T4775" s="105"/>
      <c r="U4775" s="105"/>
      <c r="V4775" s="105"/>
      <c r="W4775" s="105"/>
      <c r="X4775" s="11"/>
      <c r="Y4775" s="11"/>
      <c r="Z4775" s="105"/>
      <c r="AA4775" s="11"/>
      <c r="AB4775" s="11"/>
      <c r="AC4775" s="105"/>
      <c r="AD4775" s="11" t="b">
        <v>0</v>
      </c>
      <c r="AE4775" s="105"/>
      <c r="AF4775" s="11"/>
      <c r="AG4775" s="11"/>
      <c r="AH4775" s="11"/>
      <c r="AI4775" s="11"/>
    </row>
    <row r="4776" ht="12.5" spans="3:35">
      <c r="C4776" s="19"/>
      <c r="D4776" s="19"/>
      <c r="H4776" s="105"/>
      <c r="I4776" s="126"/>
      <c r="J4776" s="11"/>
      <c r="K4776" s="108"/>
      <c r="L4776" s="11"/>
      <c r="M4776" s="105"/>
      <c r="N4776" s="105"/>
      <c r="O4776" s="11"/>
      <c r="P4776" s="11"/>
      <c r="Q4776" s="105"/>
      <c r="R4776" s="105"/>
      <c r="S4776" s="105"/>
      <c r="T4776" s="105"/>
      <c r="U4776" s="105"/>
      <c r="V4776" s="105"/>
      <c r="W4776" s="105"/>
      <c r="X4776" s="11"/>
      <c r="Y4776" s="11"/>
      <c r="Z4776" s="105"/>
      <c r="AA4776" s="11"/>
      <c r="AB4776" s="11"/>
      <c r="AC4776" s="105"/>
      <c r="AD4776" s="11" t="b">
        <v>0</v>
      </c>
      <c r="AE4776" s="105"/>
      <c r="AF4776" s="11"/>
      <c r="AG4776" s="11"/>
      <c r="AH4776" s="11"/>
      <c r="AI4776" s="11"/>
    </row>
    <row r="4777" ht="12.5" spans="3:35">
      <c r="C4777" s="19"/>
      <c r="D4777" s="19"/>
      <c r="H4777" s="105"/>
      <c r="I4777" s="126"/>
      <c r="J4777" s="11"/>
      <c r="K4777" s="108"/>
      <c r="L4777" s="11"/>
      <c r="M4777" s="105"/>
      <c r="N4777" s="105"/>
      <c r="O4777" s="11"/>
      <c r="P4777" s="11"/>
      <c r="Q4777" s="105"/>
      <c r="R4777" s="105"/>
      <c r="S4777" s="105"/>
      <c r="T4777" s="105"/>
      <c r="U4777" s="105"/>
      <c r="V4777" s="105"/>
      <c r="W4777" s="105"/>
      <c r="X4777" s="11"/>
      <c r="Y4777" s="11"/>
      <c r="Z4777" s="105"/>
      <c r="AA4777" s="11"/>
      <c r="AB4777" s="11"/>
      <c r="AC4777" s="105"/>
      <c r="AD4777" s="11" t="b">
        <v>0</v>
      </c>
      <c r="AE4777" s="105"/>
      <c r="AF4777" s="11"/>
      <c r="AG4777" s="11"/>
      <c r="AH4777" s="11"/>
      <c r="AI4777" s="11"/>
    </row>
    <row r="4778" ht="12.5" spans="3:35">
      <c r="C4778" s="19"/>
      <c r="D4778" s="19"/>
      <c r="H4778" s="105"/>
      <c r="I4778" s="126"/>
      <c r="J4778" s="11"/>
      <c r="K4778" s="108"/>
      <c r="L4778" s="11"/>
      <c r="M4778" s="105"/>
      <c r="N4778" s="105"/>
      <c r="O4778" s="11"/>
      <c r="P4778" s="11"/>
      <c r="Q4778" s="105"/>
      <c r="R4778" s="105"/>
      <c r="S4778" s="105"/>
      <c r="T4778" s="105"/>
      <c r="U4778" s="105"/>
      <c r="V4778" s="105"/>
      <c r="W4778" s="105"/>
      <c r="X4778" s="11"/>
      <c r="Y4778" s="11"/>
      <c r="Z4778" s="105"/>
      <c r="AA4778" s="11"/>
      <c r="AB4778" s="11"/>
      <c r="AC4778" s="105"/>
      <c r="AD4778" s="11" t="b">
        <v>0</v>
      </c>
      <c r="AE4778" s="105"/>
      <c r="AF4778" s="11"/>
      <c r="AG4778" s="11"/>
      <c r="AH4778" s="11"/>
      <c r="AI4778" s="11"/>
    </row>
    <row r="4779" ht="12.5" spans="3:35">
      <c r="C4779" s="19"/>
      <c r="D4779" s="19"/>
      <c r="H4779" s="105"/>
      <c r="I4779" s="126"/>
      <c r="J4779" s="11"/>
      <c r="K4779" s="108"/>
      <c r="L4779" s="11"/>
      <c r="M4779" s="105"/>
      <c r="N4779" s="105"/>
      <c r="O4779" s="11"/>
      <c r="P4779" s="11"/>
      <c r="Q4779" s="105"/>
      <c r="R4779" s="105"/>
      <c r="S4779" s="105"/>
      <c r="T4779" s="105"/>
      <c r="U4779" s="105"/>
      <c r="V4779" s="105"/>
      <c r="W4779" s="105"/>
      <c r="X4779" s="11"/>
      <c r="Y4779" s="11"/>
      <c r="Z4779" s="105"/>
      <c r="AA4779" s="11"/>
      <c r="AB4779" s="11"/>
      <c r="AC4779" s="105"/>
      <c r="AD4779" s="11" t="b">
        <v>0</v>
      </c>
      <c r="AE4779" s="105"/>
      <c r="AF4779" s="11"/>
      <c r="AG4779" s="11"/>
      <c r="AH4779" s="11"/>
      <c r="AI4779" s="11"/>
    </row>
    <row r="4780" ht="12.5" spans="3:35">
      <c r="C4780" s="19"/>
      <c r="D4780" s="19"/>
      <c r="H4780" s="105"/>
      <c r="I4780" s="126"/>
      <c r="J4780" s="11"/>
      <c r="K4780" s="108"/>
      <c r="L4780" s="11"/>
      <c r="M4780" s="105"/>
      <c r="N4780" s="105"/>
      <c r="O4780" s="11"/>
      <c r="P4780" s="11"/>
      <c r="Q4780" s="105"/>
      <c r="R4780" s="105"/>
      <c r="S4780" s="105"/>
      <c r="T4780" s="105"/>
      <c r="U4780" s="105"/>
      <c r="V4780" s="105"/>
      <c r="W4780" s="105"/>
      <c r="X4780" s="11"/>
      <c r="Y4780" s="11"/>
      <c r="Z4780" s="105"/>
      <c r="AA4780" s="11"/>
      <c r="AB4780" s="11"/>
      <c r="AC4780" s="105"/>
      <c r="AD4780" s="11" t="b">
        <v>0</v>
      </c>
      <c r="AE4780" s="105"/>
      <c r="AF4780" s="11"/>
      <c r="AG4780" s="11"/>
      <c r="AH4780" s="11"/>
      <c r="AI4780" s="11"/>
    </row>
    <row r="4781" ht="12.5" spans="3:35">
      <c r="C4781" s="19"/>
      <c r="D4781" s="19"/>
      <c r="H4781" s="105"/>
      <c r="I4781" s="126"/>
      <c r="J4781" s="11"/>
      <c r="K4781" s="108"/>
      <c r="L4781" s="11"/>
      <c r="M4781" s="105"/>
      <c r="N4781" s="105"/>
      <c r="O4781" s="11"/>
      <c r="P4781" s="11"/>
      <c r="Q4781" s="105"/>
      <c r="R4781" s="105"/>
      <c r="S4781" s="105"/>
      <c r="T4781" s="105"/>
      <c r="U4781" s="105"/>
      <c r="V4781" s="105"/>
      <c r="W4781" s="105"/>
      <c r="X4781" s="11"/>
      <c r="Y4781" s="11"/>
      <c r="Z4781" s="105"/>
      <c r="AA4781" s="11"/>
      <c r="AB4781" s="11"/>
      <c r="AC4781" s="105"/>
      <c r="AD4781" s="11" t="b">
        <v>0</v>
      </c>
      <c r="AE4781" s="105"/>
      <c r="AF4781" s="11"/>
      <c r="AG4781" s="11"/>
      <c r="AH4781" s="11"/>
      <c r="AI4781" s="11"/>
    </row>
    <row r="4782" ht="12.5" spans="3:35">
      <c r="C4782" s="19"/>
      <c r="D4782" s="19"/>
      <c r="H4782" s="105"/>
      <c r="I4782" s="126"/>
      <c r="J4782" s="11"/>
      <c r="K4782" s="108"/>
      <c r="L4782" s="11"/>
      <c r="M4782" s="105"/>
      <c r="N4782" s="105"/>
      <c r="O4782" s="11"/>
      <c r="P4782" s="11"/>
      <c r="Q4782" s="105"/>
      <c r="R4782" s="105"/>
      <c r="S4782" s="105"/>
      <c r="T4782" s="105"/>
      <c r="U4782" s="105"/>
      <c r="V4782" s="105"/>
      <c r="W4782" s="105"/>
      <c r="X4782" s="11"/>
      <c r="Y4782" s="11"/>
      <c r="Z4782" s="105"/>
      <c r="AA4782" s="11"/>
      <c r="AB4782" s="11"/>
      <c r="AC4782" s="105"/>
      <c r="AD4782" s="11" t="b">
        <v>0</v>
      </c>
      <c r="AE4782" s="105"/>
      <c r="AF4782" s="11"/>
      <c r="AG4782" s="11"/>
      <c r="AH4782" s="11"/>
      <c r="AI4782" s="11"/>
    </row>
    <row r="4783" ht="12.5" spans="3:35">
      <c r="C4783" s="19"/>
      <c r="D4783" s="19"/>
      <c r="H4783" s="105"/>
      <c r="I4783" s="126"/>
      <c r="J4783" s="11"/>
      <c r="K4783" s="108"/>
      <c r="L4783" s="11"/>
      <c r="M4783" s="105"/>
      <c r="N4783" s="105"/>
      <c r="O4783" s="11"/>
      <c r="P4783" s="11"/>
      <c r="Q4783" s="105"/>
      <c r="R4783" s="105"/>
      <c r="S4783" s="105"/>
      <c r="T4783" s="105"/>
      <c r="U4783" s="105"/>
      <c r="V4783" s="105"/>
      <c r="W4783" s="105"/>
      <c r="X4783" s="11"/>
      <c r="Y4783" s="11"/>
      <c r="Z4783" s="105"/>
      <c r="AA4783" s="11"/>
      <c r="AB4783" s="11"/>
      <c r="AC4783" s="105"/>
      <c r="AD4783" s="11" t="b">
        <v>0</v>
      </c>
      <c r="AE4783" s="105"/>
      <c r="AF4783" s="11"/>
      <c r="AG4783" s="11"/>
      <c r="AH4783" s="11"/>
      <c r="AI4783" s="11"/>
    </row>
    <row r="4784" ht="12.5" spans="3:35">
      <c r="C4784" s="19"/>
      <c r="D4784" s="19"/>
      <c r="H4784" s="105"/>
      <c r="I4784" s="126"/>
      <c r="J4784" s="11"/>
      <c r="K4784" s="108"/>
      <c r="L4784" s="11"/>
      <c r="M4784" s="105"/>
      <c r="N4784" s="105"/>
      <c r="O4784" s="11"/>
      <c r="P4784" s="11"/>
      <c r="Q4784" s="105"/>
      <c r="R4784" s="105"/>
      <c r="S4784" s="105"/>
      <c r="T4784" s="105"/>
      <c r="U4784" s="105"/>
      <c r="V4784" s="105"/>
      <c r="W4784" s="105"/>
      <c r="X4784" s="11"/>
      <c r="Y4784" s="11"/>
      <c r="Z4784" s="105"/>
      <c r="AA4784" s="11"/>
      <c r="AB4784" s="11"/>
      <c r="AC4784" s="105"/>
      <c r="AD4784" s="11" t="b">
        <v>0</v>
      </c>
      <c r="AE4784" s="105"/>
      <c r="AF4784" s="11"/>
      <c r="AG4784" s="11"/>
      <c r="AH4784" s="11"/>
      <c r="AI4784" s="11"/>
    </row>
    <row r="4785" ht="12.5" spans="3:35">
      <c r="C4785" s="19"/>
      <c r="D4785" s="19"/>
      <c r="H4785" s="105"/>
      <c r="I4785" s="126"/>
      <c r="J4785" s="11"/>
      <c r="K4785" s="108"/>
      <c r="L4785" s="11"/>
      <c r="M4785" s="105"/>
      <c r="N4785" s="105"/>
      <c r="O4785" s="11"/>
      <c r="P4785" s="11"/>
      <c r="Q4785" s="105"/>
      <c r="R4785" s="105"/>
      <c r="S4785" s="105"/>
      <c r="T4785" s="105"/>
      <c r="U4785" s="105"/>
      <c r="V4785" s="105"/>
      <c r="W4785" s="105"/>
      <c r="X4785" s="11"/>
      <c r="Y4785" s="11"/>
      <c r="Z4785" s="105"/>
      <c r="AA4785" s="11"/>
      <c r="AB4785" s="11"/>
      <c r="AC4785" s="105"/>
      <c r="AD4785" s="11" t="b">
        <v>0</v>
      </c>
      <c r="AE4785" s="105"/>
      <c r="AF4785" s="11"/>
      <c r="AG4785" s="11"/>
      <c r="AH4785" s="11"/>
      <c r="AI4785" s="11"/>
    </row>
    <row r="4786" ht="12.5" spans="3:35">
      <c r="C4786" s="19"/>
      <c r="D4786" s="19"/>
      <c r="H4786" s="105"/>
      <c r="I4786" s="126"/>
      <c r="J4786" s="11"/>
      <c r="K4786" s="108"/>
      <c r="L4786" s="11"/>
      <c r="M4786" s="105"/>
      <c r="N4786" s="105"/>
      <c r="O4786" s="11"/>
      <c r="P4786" s="11"/>
      <c r="Q4786" s="105"/>
      <c r="R4786" s="105"/>
      <c r="S4786" s="105"/>
      <c r="T4786" s="105"/>
      <c r="U4786" s="105"/>
      <c r="V4786" s="105"/>
      <c r="W4786" s="105"/>
      <c r="X4786" s="11"/>
      <c r="Y4786" s="11"/>
      <c r="Z4786" s="105"/>
      <c r="AA4786" s="11"/>
      <c r="AB4786" s="11"/>
      <c r="AC4786" s="105"/>
      <c r="AD4786" s="11" t="b">
        <v>0</v>
      </c>
      <c r="AE4786" s="105"/>
      <c r="AF4786" s="11"/>
      <c r="AG4786" s="11"/>
      <c r="AH4786" s="11"/>
      <c r="AI4786" s="11"/>
    </row>
    <row r="4787" ht="12.5" spans="3:35">
      <c r="C4787" s="19"/>
      <c r="D4787" s="19"/>
      <c r="H4787" s="105"/>
      <c r="I4787" s="126"/>
      <c r="J4787" s="11"/>
      <c r="K4787" s="108"/>
      <c r="L4787" s="11"/>
      <c r="M4787" s="105"/>
      <c r="N4787" s="105"/>
      <c r="O4787" s="11"/>
      <c r="P4787" s="11"/>
      <c r="Q4787" s="105"/>
      <c r="R4787" s="105"/>
      <c r="S4787" s="105"/>
      <c r="T4787" s="105"/>
      <c r="U4787" s="105"/>
      <c r="V4787" s="105"/>
      <c r="W4787" s="105"/>
      <c r="X4787" s="11"/>
      <c r="Y4787" s="11"/>
      <c r="Z4787" s="105"/>
      <c r="AA4787" s="11"/>
      <c r="AB4787" s="11"/>
      <c r="AC4787" s="105"/>
      <c r="AD4787" s="11" t="b">
        <v>0</v>
      </c>
      <c r="AE4787" s="105"/>
      <c r="AF4787" s="11"/>
      <c r="AG4787" s="11"/>
      <c r="AH4787" s="11"/>
      <c r="AI4787" s="11"/>
    </row>
    <row r="4788" ht="12.5" spans="3:35">
      <c r="C4788" s="19"/>
      <c r="D4788" s="19"/>
      <c r="H4788" s="105"/>
      <c r="I4788" s="126"/>
      <c r="J4788" s="11"/>
      <c r="K4788" s="108"/>
      <c r="L4788" s="11"/>
      <c r="M4788" s="105"/>
      <c r="N4788" s="105"/>
      <c r="O4788" s="11"/>
      <c r="P4788" s="11"/>
      <c r="Q4788" s="105"/>
      <c r="R4788" s="105"/>
      <c r="S4788" s="105"/>
      <c r="T4788" s="105"/>
      <c r="U4788" s="105"/>
      <c r="V4788" s="105"/>
      <c r="W4788" s="105"/>
      <c r="X4788" s="11"/>
      <c r="Y4788" s="11"/>
      <c r="Z4788" s="105"/>
      <c r="AA4788" s="11"/>
      <c r="AB4788" s="11"/>
      <c r="AC4788" s="105"/>
      <c r="AD4788" s="11" t="b">
        <v>0</v>
      </c>
      <c r="AE4788" s="105"/>
      <c r="AF4788" s="11"/>
      <c r="AG4788" s="11"/>
      <c r="AH4788" s="11"/>
      <c r="AI4788" s="11"/>
    </row>
    <row r="4789" ht="12.5" spans="3:35">
      <c r="C4789" s="19"/>
      <c r="D4789" s="19"/>
      <c r="H4789" s="105"/>
      <c r="I4789" s="126"/>
      <c r="J4789" s="11"/>
      <c r="K4789" s="108"/>
      <c r="L4789" s="11"/>
      <c r="M4789" s="105"/>
      <c r="N4789" s="105"/>
      <c r="O4789" s="11"/>
      <c r="P4789" s="11"/>
      <c r="Q4789" s="105"/>
      <c r="R4789" s="105"/>
      <c r="S4789" s="105"/>
      <c r="T4789" s="105"/>
      <c r="U4789" s="105"/>
      <c r="V4789" s="105"/>
      <c r="W4789" s="105"/>
      <c r="X4789" s="11"/>
      <c r="Y4789" s="11"/>
      <c r="Z4789" s="105"/>
      <c r="AA4789" s="11"/>
      <c r="AB4789" s="11"/>
      <c r="AC4789" s="105"/>
      <c r="AD4789" s="11" t="b">
        <v>0</v>
      </c>
      <c r="AE4789" s="105"/>
      <c r="AF4789" s="11"/>
      <c r="AG4789" s="11"/>
      <c r="AH4789" s="11"/>
      <c r="AI4789" s="11"/>
    </row>
    <row r="4790" ht="12.5" spans="3:35">
      <c r="C4790" s="19"/>
      <c r="D4790" s="19"/>
      <c r="H4790" s="105"/>
      <c r="I4790" s="126"/>
      <c r="J4790" s="11"/>
      <c r="K4790" s="108"/>
      <c r="L4790" s="11"/>
      <c r="M4790" s="105"/>
      <c r="N4790" s="105"/>
      <c r="O4790" s="11"/>
      <c r="P4790" s="11"/>
      <c r="Q4790" s="105"/>
      <c r="R4790" s="105"/>
      <c r="S4790" s="105"/>
      <c r="T4790" s="105"/>
      <c r="U4790" s="105"/>
      <c r="V4790" s="105"/>
      <c r="W4790" s="105"/>
      <c r="X4790" s="11"/>
      <c r="Y4790" s="11"/>
      <c r="Z4790" s="105"/>
      <c r="AA4790" s="11"/>
      <c r="AB4790" s="11"/>
      <c r="AC4790" s="105"/>
      <c r="AD4790" s="11" t="b">
        <v>0</v>
      </c>
      <c r="AE4790" s="105"/>
      <c r="AF4790" s="11"/>
      <c r="AG4790" s="11"/>
      <c r="AH4790" s="11"/>
      <c r="AI4790" s="11"/>
    </row>
    <row r="4791" ht="12.5" spans="3:35">
      <c r="C4791" s="19"/>
      <c r="D4791" s="19"/>
      <c r="H4791" s="105"/>
      <c r="I4791" s="126"/>
      <c r="J4791" s="11"/>
      <c r="K4791" s="108"/>
      <c r="L4791" s="11"/>
      <c r="M4791" s="105"/>
      <c r="N4791" s="105"/>
      <c r="O4791" s="11"/>
      <c r="P4791" s="11"/>
      <c r="Q4791" s="105"/>
      <c r="R4791" s="105"/>
      <c r="S4791" s="105"/>
      <c r="T4791" s="105"/>
      <c r="U4791" s="105"/>
      <c r="V4791" s="105"/>
      <c r="W4791" s="105"/>
      <c r="X4791" s="11"/>
      <c r="Y4791" s="11"/>
      <c r="Z4791" s="105"/>
      <c r="AA4791" s="11"/>
      <c r="AB4791" s="11"/>
      <c r="AC4791" s="105"/>
      <c r="AD4791" s="11" t="b">
        <v>0</v>
      </c>
      <c r="AE4791" s="105"/>
      <c r="AF4791" s="11"/>
      <c r="AG4791" s="11"/>
      <c r="AH4791" s="11"/>
      <c r="AI4791" s="11"/>
    </row>
    <row r="4792" ht="12.5" spans="3:35">
      <c r="C4792" s="19"/>
      <c r="D4792" s="19"/>
      <c r="H4792" s="105"/>
      <c r="I4792" s="126"/>
      <c r="J4792" s="11"/>
      <c r="K4792" s="108"/>
      <c r="L4792" s="11"/>
      <c r="M4792" s="105"/>
      <c r="N4792" s="105"/>
      <c r="O4792" s="11"/>
      <c r="P4792" s="11"/>
      <c r="Q4792" s="105"/>
      <c r="R4792" s="105"/>
      <c r="S4792" s="105"/>
      <c r="T4792" s="105"/>
      <c r="U4792" s="105"/>
      <c r="V4792" s="105"/>
      <c r="W4792" s="105"/>
      <c r="X4792" s="11"/>
      <c r="Y4792" s="11"/>
      <c r="Z4792" s="105"/>
      <c r="AA4792" s="11"/>
      <c r="AB4792" s="11"/>
      <c r="AC4792" s="105"/>
      <c r="AD4792" s="11" t="b">
        <v>0</v>
      </c>
      <c r="AE4792" s="105"/>
      <c r="AF4792" s="11"/>
      <c r="AG4792" s="11"/>
      <c r="AH4792" s="11"/>
      <c r="AI4792" s="11"/>
    </row>
    <row r="4793" ht="12.5" spans="3:35">
      <c r="C4793" s="19"/>
      <c r="D4793" s="19"/>
      <c r="H4793" s="105"/>
      <c r="I4793" s="126"/>
      <c r="J4793" s="11"/>
      <c r="K4793" s="108"/>
      <c r="L4793" s="11"/>
      <c r="M4793" s="105"/>
      <c r="N4793" s="105"/>
      <c r="O4793" s="11"/>
      <c r="P4793" s="11"/>
      <c r="Q4793" s="105"/>
      <c r="R4793" s="105"/>
      <c r="S4793" s="105"/>
      <c r="T4793" s="105"/>
      <c r="U4793" s="105"/>
      <c r="V4793" s="105"/>
      <c r="W4793" s="105"/>
      <c r="X4793" s="11"/>
      <c r="Y4793" s="11"/>
      <c r="Z4793" s="105"/>
      <c r="AA4793" s="11"/>
      <c r="AB4793" s="11"/>
      <c r="AC4793" s="105"/>
      <c r="AD4793" s="11" t="b">
        <v>0</v>
      </c>
      <c r="AE4793" s="105"/>
      <c r="AF4793" s="11"/>
      <c r="AG4793" s="11"/>
      <c r="AH4793" s="11"/>
      <c r="AI4793" s="11"/>
    </row>
    <row r="4794" ht="12.5" spans="3:35">
      <c r="C4794" s="19"/>
      <c r="D4794" s="19"/>
      <c r="H4794" s="105"/>
      <c r="I4794" s="126"/>
      <c r="J4794" s="11"/>
      <c r="K4794" s="108"/>
      <c r="L4794" s="11"/>
      <c r="M4794" s="105"/>
      <c r="N4794" s="105"/>
      <c r="O4794" s="11"/>
      <c r="P4794" s="11"/>
      <c r="Q4794" s="105"/>
      <c r="R4794" s="105"/>
      <c r="S4794" s="105"/>
      <c r="T4794" s="105"/>
      <c r="U4794" s="105"/>
      <c r="V4794" s="105"/>
      <c r="W4794" s="105"/>
      <c r="X4794" s="11"/>
      <c r="Y4794" s="11"/>
      <c r="Z4794" s="105"/>
      <c r="AA4794" s="11"/>
      <c r="AB4794" s="11"/>
      <c r="AC4794" s="105"/>
      <c r="AD4794" s="11" t="b">
        <v>0</v>
      </c>
      <c r="AE4794" s="105"/>
      <c r="AF4794" s="11"/>
      <c r="AG4794" s="11"/>
      <c r="AH4794" s="11"/>
      <c r="AI4794" s="11"/>
    </row>
    <row r="4795" ht="12.5" spans="3:35">
      <c r="C4795" s="19"/>
      <c r="D4795" s="19"/>
      <c r="H4795" s="105"/>
      <c r="I4795" s="126"/>
      <c r="J4795" s="11"/>
      <c r="K4795" s="108"/>
      <c r="L4795" s="11"/>
      <c r="M4795" s="105"/>
      <c r="N4795" s="105"/>
      <c r="O4795" s="11"/>
      <c r="P4795" s="11"/>
      <c r="Q4795" s="105"/>
      <c r="R4795" s="105"/>
      <c r="S4795" s="105"/>
      <c r="T4795" s="105"/>
      <c r="U4795" s="105"/>
      <c r="V4795" s="105"/>
      <c r="W4795" s="105"/>
      <c r="X4795" s="11"/>
      <c r="Y4795" s="11"/>
      <c r="Z4795" s="105"/>
      <c r="AA4795" s="11"/>
      <c r="AB4795" s="11"/>
      <c r="AC4795" s="105"/>
      <c r="AD4795" s="11" t="b">
        <v>0</v>
      </c>
      <c r="AE4795" s="105"/>
      <c r="AF4795" s="11"/>
      <c r="AG4795" s="11"/>
      <c r="AH4795" s="11"/>
      <c r="AI4795" s="11"/>
    </row>
    <row r="4796" ht="12.5" spans="3:35">
      <c r="C4796" s="19"/>
      <c r="D4796" s="19"/>
      <c r="H4796" s="105"/>
      <c r="I4796" s="126"/>
      <c r="J4796" s="11"/>
      <c r="K4796" s="108"/>
      <c r="L4796" s="11"/>
      <c r="M4796" s="105"/>
      <c r="N4796" s="105"/>
      <c r="O4796" s="11"/>
      <c r="P4796" s="11"/>
      <c r="Q4796" s="105"/>
      <c r="R4796" s="105"/>
      <c r="S4796" s="105"/>
      <c r="T4796" s="105"/>
      <c r="U4796" s="105"/>
      <c r="V4796" s="105"/>
      <c r="W4796" s="105"/>
      <c r="X4796" s="11"/>
      <c r="Y4796" s="11"/>
      <c r="Z4796" s="105"/>
      <c r="AA4796" s="11"/>
      <c r="AB4796" s="11"/>
      <c r="AC4796" s="105"/>
      <c r="AD4796" s="11" t="b">
        <v>0</v>
      </c>
      <c r="AE4796" s="105"/>
      <c r="AF4796" s="11"/>
      <c r="AG4796" s="11"/>
      <c r="AH4796" s="11"/>
      <c r="AI4796" s="11"/>
    </row>
    <row r="4797" ht="12.5" spans="3:35">
      <c r="C4797" s="19"/>
      <c r="D4797" s="19"/>
      <c r="H4797" s="105"/>
      <c r="I4797" s="126"/>
      <c r="J4797" s="11"/>
      <c r="K4797" s="108"/>
      <c r="L4797" s="11"/>
      <c r="M4797" s="105"/>
      <c r="N4797" s="105"/>
      <c r="O4797" s="11"/>
      <c r="P4797" s="11"/>
      <c r="Q4797" s="105"/>
      <c r="R4797" s="105"/>
      <c r="S4797" s="105"/>
      <c r="T4797" s="105"/>
      <c r="U4797" s="105"/>
      <c r="V4797" s="105"/>
      <c r="W4797" s="105"/>
      <c r="X4797" s="11"/>
      <c r="Y4797" s="11"/>
      <c r="Z4797" s="105"/>
      <c r="AA4797" s="11"/>
      <c r="AB4797" s="11"/>
      <c r="AC4797" s="105"/>
      <c r="AD4797" s="11" t="b">
        <v>0</v>
      </c>
      <c r="AE4797" s="105"/>
      <c r="AF4797" s="11"/>
      <c r="AG4797" s="11"/>
      <c r="AH4797" s="11"/>
      <c r="AI4797" s="11"/>
    </row>
    <row r="4798" ht="12.5" spans="3:35">
      <c r="C4798" s="19"/>
      <c r="D4798" s="19"/>
      <c r="H4798" s="105"/>
      <c r="I4798" s="126"/>
      <c r="J4798" s="11"/>
      <c r="K4798" s="108"/>
      <c r="L4798" s="11"/>
      <c r="M4798" s="105"/>
      <c r="N4798" s="105"/>
      <c r="O4798" s="11"/>
      <c r="P4798" s="11"/>
      <c r="Q4798" s="105"/>
      <c r="R4798" s="105"/>
      <c r="S4798" s="105"/>
      <c r="T4798" s="105"/>
      <c r="U4798" s="105"/>
      <c r="V4798" s="105"/>
      <c r="W4798" s="105"/>
      <c r="X4798" s="11"/>
      <c r="Y4798" s="11"/>
      <c r="Z4798" s="105"/>
      <c r="AA4798" s="11"/>
      <c r="AB4798" s="11"/>
      <c r="AC4798" s="105"/>
      <c r="AD4798" s="11" t="b">
        <v>0</v>
      </c>
      <c r="AE4798" s="105"/>
      <c r="AF4798" s="11"/>
      <c r="AG4798" s="11"/>
      <c r="AH4798" s="11"/>
      <c r="AI4798" s="11"/>
    </row>
    <row r="4799" ht="12.5" spans="3:35">
      <c r="C4799" s="19"/>
      <c r="D4799" s="19"/>
      <c r="H4799" s="105"/>
      <c r="I4799" s="126"/>
      <c r="J4799" s="11"/>
      <c r="K4799" s="108"/>
      <c r="L4799" s="11"/>
      <c r="M4799" s="105"/>
      <c r="N4799" s="105"/>
      <c r="O4799" s="11"/>
      <c r="P4799" s="11"/>
      <c r="Q4799" s="105"/>
      <c r="R4799" s="105"/>
      <c r="S4799" s="105"/>
      <c r="T4799" s="105"/>
      <c r="U4799" s="105"/>
      <c r="V4799" s="105"/>
      <c r="W4799" s="105"/>
      <c r="X4799" s="11"/>
      <c r="Y4799" s="11"/>
      <c r="Z4799" s="105"/>
      <c r="AA4799" s="11"/>
      <c r="AB4799" s="11"/>
      <c r="AC4799" s="105"/>
      <c r="AD4799" s="11" t="b">
        <v>0</v>
      </c>
      <c r="AE4799" s="105"/>
      <c r="AF4799" s="11"/>
      <c r="AG4799" s="11"/>
      <c r="AH4799" s="11"/>
      <c r="AI4799" s="11"/>
    </row>
    <row r="4800" ht="12.5" spans="3:35">
      <c r="C4800" s="19"/>
      <c r="D4800" s="19"/>
      <c r="H4800" s="105"/>
      <c r="I4800" s="126"/>
      <c r="J4800" s="11"/>
      <c r="K4800" s="108"/>
      <c r="L4800" s="11"/>
      <c r="M4800" s="105"/>
      <c r="N4800" s="105"/>
      <c r="O4800" s="11"/>
      <c r="P4800" s="11"/>
      <c r="Q4800" s="105"/>
      <c r="R4800" s="105"/>
      <c r="S4800" s="105"/>
      <c r="T4800" s="105"/>
      <c r="U4800" s="105"/>
      <c r="V4800" s="105"/>
      <c r="W4800" s="105"/>
      <c r="X4800" s="11"/>
      <c r="Y4800" s="11"/>
      <c r="Z4800" s="105"/>
      <c r="AA4800" s="11"/>
      <c r="AB4800" s="11"/>
      <c r="AC4800" s="105"/>
      <c r="AD4800" s="11" t="b">
        <v>0</v>
      </c>
      <c r="AE4800" s="105"/>
      <c r="AF4800" s="11"/>
      <c r="AG4800" s="11"/>
      <c r="AH4800" s="11"/>
      <c r="AI4800" s="11"/>
    </row>
    <row r="4801" ht="12.5" spans="3:35">
      <c r="C4801" s="19"/>
      <c r="D4801" s="19"/>
      <c r="H4801" s="105"/>
      <c r="I4801" s="126"/>
      <c r="J4801" s="11"/>
      <c r="K4801" s="108"/>
      <c r="L4801" s="11"/>
      <c r="M4801" s="105"/>
      <c r="N4801" s="105"/>
      <c r="O4801" s="11"/>
      <c r="P4801" s="11"/>
      <c r="Q4801" s="105"/>
      <c r="R4801" s="105"/>
      <c r="S4801" s="105"/>
      <c r="T4801" s="105"/>
      <c r="U4801" s="105"/>
      <c r="V4801" s="105"/>
      <c r="W4801" s="105"/>
      <c r="X4801" s="11"/>
      <c r="Y4801" s="11"/>
      <c r="Z4801" s="105"/>
      <c r="AA4801" s="11"/>
      <c r="AB4801" s="11"/>
      <c r="AC4801" s="105"/>
      <c r="AD4801" s="11" t="b">
        <v>0</v>
      </c>
      <c r="AE4801" s="105"/>
      <c r="AF4801" s="11"/>
      <c r="AG4801" s="11"/>
      <c r="AH4801" s="11"/>
      <c r="AI4801" s="11"/>
    </row>
    <row r="4802" ht="12.5" spans="3:35">
      <c r="C4802" s="19"/>
      <c r="D4802" s="19"/>
      <c r="H4802" s="105"/>
      <c r="I4802" s="126"/>
      <c r="J4802" s="11"/>
      <c r="K4802" s="108"/>
      <c r="L4802" s="11"/>
      <c r="M4802" s="105"/>
      <c r="N4802" s="105"/>
      <c r="O4802" s="11"/>
      <c r="P4802" s="11"/>
      <c r="Q4802" s="105"/>
      <c r="R4802" s="105"/>
      <c r="S4802" s="105"/>
      <c r="T4802" s="105"/>
      <c r="U4802" s="105"/>
      <c r="V4802" s="105"/>
      <c r="W4802" s="105"/>
      <c r="X4802" s="11"/>
      <c r="Y4802" s="11"/>
      <c r="Z4802" s="105"/>
      <c r="AA4802" s="11"/>
      <c r="AB4802" s="11"/>
      <c r="AC4802" s="105"/>
      <c r="AD4802" s="11" t="b">
        <v>0</v>
      </c>
      <c r="AE4802" s="105"/>
      <c r="AF4802" s="11"/>
      <c r="AG4802" s="11"/>
      <c r="AH4802" s="11"/>
      <c r="AI4802" s="11"/>
    </row>
    <row r="4803" ht="12.5" spans="3:35">
      <c r="C4803" s="19"/>
      <c r="D4803" s="19"/>
      <c r="H4803" s="105"/>
      <c r="I4803" s="126"/>
      <c r="J4803" s="11"/>
      <c r="K4803" s="108"/>
      <c r="L4803" s="11"/>
      <c r="M4803" s="105"/>
      <c r="N4803" s="105"/>
      <c r="O4803" s="11"/>
      <c r="P4803" s="11"/>
      <c r="Q4803" s="105"/>
      <c r="R4803" s="105"/>
      <c r="S4803" s="105"/>
      <c r="T4803" s="105"/>
      <c r="U4803" s="105"/>
      <c r="V4803" s="105"/>
      <c r="W4803" s="105"/>
      <c r="X4803" s="11"/>
      <c r="Y4803" s="11"/>
      <c r="Z4803" s="105"/>
      <c r="AA4803" s="11"/>
      <c r="AB4803" s="11"/>
      <c r="AC4803" s="105"/>
      <c r="AD4803" s="11" t="b">
        <v>0</v>
      </c>
      <c r="AE4803" s="105"/>
      <c r="AF4803" s="11"/>
      <c r="AG4803" s="11"/>
      <c r="AH4803" s="11"/>
      <c r="AI4803" s="11"/>
    </row>
    <row r="4804" ht="12.5" spans="3:35">
      <c r="C4804" s="19"/>
      <c r="D4804" s="19"/>
      <c r="H4804" s="105"/>
      <c r="I4804" s="126"/>
      <c r="J4804" s="11"/>
      <c r="K4804" s="108"/>
      <c r="L4804" s="11"/>
      <c r="M4804" s="105"/>
      <c r="N4804" s="105"/>
      <c r="O4804" s="11"/>
      <c r="P4804" s="11"/>
      <c r="Q4804" s="105"/>
      <c r="R4804" s="105"/>
      <c r="S4804" s="105"/>
      <c r="T4804" s="105"/>
      <c r="U4804" s="105"/>
      <c r="V4804" s="105"/>
      <c r="W4804" s="105"/>
      <c r="X4804" s="11"/>
      <c r="Y4804" s="11"/>
      <c r="Z4804" s="105"/>
      <c r="AA4804" s="11"/>
      <c r="AB4804" s="11"/>
      <c r="AC4804" s="105"/>
      <c r="AD4804" s="11" t="b">
        <v>0</v>
      </c>
      <c r="AE4804" s="105"/>
      <c r="AF4804" s="11"/>
      <c r="AG4804" s="11"/>
      <c r="AH4804" s="11"/>
      <c r="AI4804" s="11"/>
    </row>
    <row r="4805" ht="12.5" spans="3:35">
      <c r="C4805" s="19"/>
      <c r="D4805" s="19"/>
      <c r="H4805" s="105"/>
      <c r="I4805" s="126"/>
      <c r="J4805" s="11"/>
      <c r="K4805" s="108"/>
      <c r="L4805" s="11"/>
      <c r="M4805" s="105"/>
      <c r="N4805" s="105"/>
      <c r="O4805" s="11"/>
      <c r="P4805" s="11"/>
      <c r="Q4805" s="105"/>
      <c r="R4805" s="105"/>
      <c r="S4805" s="105"/>
      <c r="T4805" s="105"/>
      <c r="U4805" s="105"/>
      <c r="V4805" s="105"/>
      <c r="W4805" s="105"/>
      <c r="X4805" s="11"/>
      <c r="Y4805" s="11"/>
      <c r="Z4805" s="105"/>
      <c r="AA4805" s="11"/>
      <c r="AB4805" s="11"/>
      <c r="AC4805" s="105"/>
      <c r="AD4805" s="11" t="b">
        <v>0</v>
      </c>
      <c r="AE4805" s="105"/>
      <c r="AF4805" s="11"/>
      <c r="AG4805" s="11"/>
      <c r="AH4805" s="11"/>
      <c r="AI4805" s="11"/>
    </row>
    <row r="4806" ht="12.5" spans="3:35">
      <c r="C4806" s="19"/>
      <c r="D4806" s="19"/>
      <c r="H4806" s="105"/>
      <c r="I4806" s="126"/>
      <c r="J4806" s="11"/>
      <c r="K4806" s="108"/>
      <c r="L4806" s="11"/>
      <c r="M4806" s="105"/>
      <c r="N4806" s="105"/>
      <c r="O4806" s="11"/>
      <c r="P4806" s="11"/>
      <c r="Q4806" s="105"/>
      <c r="R4806" s="105"/>
      <c r="S4806" s="105"/>
      <c r="T4806" s="105"/>
      <c r="U4806" s="105"/>
      <c r="V4806" s="105"/>
      <c r="W4806" s="105"/>
      <c r="X4806" s="11"/>
      <c r="Y4806" s="11"/>
      <c r="Z4806" s="105"/>
      <c r="AA4806" s="11"/>
      <c r="AB4806" s="11"/>
      <c r="AC4806" s="105"/>
      <c r="AD4806" s="11" t="b">
        <v>0</v>
      </c>
      <c r="AE4806" s="105"/>
      <c r="AF4806" s="11"/>
      <c r="AG4806" s="11"/>
      <c r="AH4806" s="11"/>
      <c r="AI4806" s="11"/>
    </row>
    <row r="4807" ht="12.5" spans="3:35">
      <c r="C4807" s="19"/>
      <c r="D4807" s="19"/>
      <c r="H4807" s="105"/>
      <c r="I4807" s="126"/>
      <c r="J4807" s="11"/>
      <c r="K4807" s="108"/>
      <c r="L4807" s="11"/>
      <c r="M4807" s="105"/>
      <c r="N4807" s="105"/>
      <c r="O4807" s="11"/>
      <c r="P4807" s="11"/>
      <c r="Q4807" s="105"/>
      <c r="R4807" s="105"/>
      <c r="S4807" s="105"/>
      <c r="T4807" s="105"/>
      <c r="U4807" s="105"/>
      <c r="V4807" s="105"/>
      <c r="W4807" s="105"/>
      <c r="X4807" s="11"/>
      <c r="Y4807" s="11"/>
      <c r="Z4807" s="105"/>
      <c r="AA4807" s="11"/>
      <c r="AB4807" s="11"/>
      <c r="AC4807" s="105"/>
      <c r="AD4807" s="11" t="b">
        <v>0</v>
      </c>
      <c r="AE4807" s="105"/>
      <c r="AF4807" s="11"/>
      <c r="AG4807" s="11"/>
      <c r="AH4807" s="11"/>
      <c r="AI4807" s="11"/>
    </row>
    <row r="4808" ht="12.5" spans="3:35">
      <c r="C4808" s="19"/>
      <c r="D4808" s="19"/>
      <c r="H4808" s="105"/>
      <c r="I4808" s="126"/>
      <c r="J4808" s="11"/>
      <c r="K4808" s="108"/>
      <c r="L4808" s="11"/>
      <c r="M4808" s="105"/>
      <c r="N4808" s="105"/>
      <c r="O4808" s="11"/>
      <c r="P4808" s="11"/>
      <c r="Q4808" s="105"/>
      <c r="R4808" s="105"/>
      <c r="S4808" s="105"/>
      <c r="T4808" s="105"/>
      <c r="U4808" s="105"/>
      <c r="V4808" s="105"/>
      <c r="W4808" s="105"/>
      <c r="X4808" s="11"/>
      <c r="Y4808" s="11"/>
      <c r="Z4808" s="105"/>
      <c r="AA4808" s="11"/>
      <c r="AB4808" s="11"/>
      <c r="AC4808" s="105"/>
      <c r="AD4808" s="11" t="b">
        <v>0</v>
      </c>
      <c r="AE4808" s="105"/>
      <c r="AF4808" s="11"/>
      <c r="AG4808" s="11"/>
      <c r="AH4808" s="11"/>
      <c r="AI4808" s="11"/>
    </row>
    <row r="4809" ht="12.5" spans="3:35">
      <c r="C4809" s="19"/>
      <c r="D4809" s="19"/>
      <c r="H4809" s="105"/>
      <c r="I4809" s="126"/>
      <c r="J4809" s="11"/>
      <c r="K4809" s="108"/>
      <c r="L4809" s="11"/>
      <c r="M4809" s="105"/>
      <c r="N4809" s="105"/>
      <c r="O4809" s="11"/>
      <c r="P4809" s="11"/>
      <c r="Q4809" s="105"/>
      <c r="R4809" s="105"/>
      <c r="S4809" s="105"/>
      <c r="T4809" s="105"/>
      <c r="U4809" s="105"/>
      <c r="V4809" s="105"/>
      <c r="W4809" s="105"/>
      <c r="X4809" s="11"/>
      <c r="Y4809" s="11"/>
      <c r="Z4809" s="105"/>
      <c r="AA4809" s="11"/>
      <c r="AB4809" s="11"/>
      <c r="AC4809" s="105"/>
      <c r="AD4809" s="11" t="b">
        <v>0</v>
      </c>
      <c r="AE4809" s="105"/>
      <c r="AF4809" s="11"/>
      <c r="AG4809" s="11"/>
      <c r="AH4809" s="11"/>
      <c r="AI4809" s="11"/>
    </row>
    <row r="4810" ht="12.5" spans="3:35">
      <c r="C4810" s="19"/>
      <c r="D4810" s="19"/>
      <c r="H4810" s="105"/>
      <c r="I4810" s="126"/>
      <c r="J4810" s="11"/>
      <c r="K4810" s="108"/>
      <c r="L4810" s="11"/>
      <c r="M4810" s="105"/>
      <c r="N4810" s="105"/>
      <c r="O4810" s="11"/>
      <c r="P4810" s="11"/>
      <c r="Q4810" s="105"/>
      <c r="R4810" s="105"/>
      <c r="S4810" s="105"/>
      <c r="T4810" s="105"/>
      <c r="U4810" s="105"/>
      <c r="V4810" s="105"/>
      <c r="W4810" s="105"/>
      <c r="X4810" s="11"/>
      <c r="Y4810" s="11"/>
      <c r="Z4810" s="105"/>
      <c r="AA4810" s="11"/>
      <c r="AB4810" s="11"/>
      <c r="AC4810" s="105"/>
      <c r="AD4810" s="11" t="b">
        <v>0</v>
      </c>
      <c r="AE4810" s="105"/>
      <c r="AF4810" s="11"/>
      <c r="AG4810" s="11"/>
      <c r="AH4810" s="11"/>
      <c r="AI4810" s="11"/>
    </row>
    <row r="4811" ht="12.5" spans="3:35">
      <c r="C4811" s="19"/>
      <c r="D4811" s="19"/>
      <c r="H4811" s="105"/>
      <c r="I4811" s="126"/>
      <c r="J4811" s="11"/>
      <c r="K4811" s="108"/>
      <c r="L4811" s="11"/>
      <c r="M4811" s="105"/>
      <c r="N4811" s="105"/>
      <c r="O4811" s="11"/>
      <c r="P4811" s="11"/>
      <c r="Q4811" s="105"/>
      <c r="R4811" s="105"/>
      <c r="S4811" s="105"/>
      <c r="T4811" s="105"/>
      <c r="U4811" s="105"/>
      <c r="V4811" s="105"/>
      <c r="W4811" s="105"/>
      <c r="X4811" s="11"/>
      <c r="Y4811" s="11"/>
      <c r="Z4811" s="105"/>
      <c r="AA4811" s="11"/>
      <c r="AB4811" s="11"/>
      <c r="AC4811" s="105"/>
      <c r="AD4811" s="11" t="b">
        <v>0</v>
      </c>
      <c r="AE4811" s="105"/>
      <c r="AF4811" s="11"/>
      <c r="AG4811" s="11"/>
      <c r="AH4811" s="11"/>
      <c r="AI4811" s="11"/>
    </row>
    <row r="4812" ht="12.5" spans="3:35">
      <c r="C4812" s="19"/>
      <c r="D4812" s="19"/>
      <c r="H4812" s="105"/>
      <c r="I4812" s="126"/>
      <c r="J4812" s="11"/>
      <c r="K4812" s="108"/>
      <c r="L4812" s="11"/>
      <c r="M4812" s="105"/>
      <c r="N4812" s="105"/>
      <c r="O4812" s="11"/>
      <c r="P4812" s="11"/>
      <c r="Q4812" s="105"/>
      <c r="R4812" s="105"/>
      <c r="S4812" s="105"/>
      <c r="T4812" s="105"/>
      <c r="U4812" s="105"/>
      <c r="V4812" s="105"/>
      <c r="W4812" s="105"/>
      <c r="X4812" s="11"/>
      <c r="Y4812" s="11"/>
      <c r="Z4812" s="105"/>
      <c r="AA4812" s="11"/>
      <c r="AB4812" s="11"/>
      <c r="AC4812" s="105"/>
      <c r="AD4812" s="11" t="b">
        <v>0</v>
      </c>
      <c r="AE4812" s="105"/>
      <c r="AF4812" s="11"/>
      <c r="AG4812" s="11"/>
      <c r="AH4812" s="11"/>
      <c r="AI4812" s="11"/>
    </row>
    <row r="4813" ht="12.5" spans="3:35">
      <c r="C4813" s="19"/>
      <c r="D4813" s="19"/>
      <c r="H4813" s="105"/>
      <c r="I4813" s="126"/>
      <c r="J4813" s="11"/>
      <c r="K4813" s="108"/>
      <c r="L4813" s="11"/>
      <c r="M4813" s="105"/>
      <c r="N4813" s="105"/>
      <c r="O4813" s="11"/>
      <c r="P4813" s="11"/>
      <c r="Q4813" s="105"/>
      <c r="R4813" s="105"/>
      <c r="S4813" s="105"/>
      <c r="T4813" s="105"/>
      <c r="U4813" s="105"/>
      <c r="V4813" s="105"/>
      <c r="W4813" s="105"/>
      <c r="X4813" s="11"/>
      <c r="Y4813" s="11"/>
      <c r="Z4813" s="105"/>
      <c r="AA4813" s="11"/>
      <c r="AB4813" s="11"/>
      <c r="AC4813" s="105"/>
      <c r="AD4813" s="11" t="b">
        <v>0</v>
      </c>
      <c r="AE4813" s="105"/>
      <c r="AF4813" s="11"/>
      <c r="AG4813" s="11"/>
      <c r="AH4813" s="11"/>
      <c r="AI4813" s="11"/>
    </row>
    <row r="4814" ht="12.5" spans="3:35">
      <c r="C4814" s="19"/>
      <c r="D4814" s="19"/>
      <c r="H4814" s="105"/>
      <c r="I4814" s="126"/>
      <c r="J4814" s="11"/>
      <c r="K4814" s="108"/>
      <c r="L4814" s="11"/>
      <c r="M4814" s="105"/>
      <c r="N4814" s="105"/>
      <c r="O4814" s="11"/>
      <c r="P4814" s="11"/>
      <c r="Q4814" s="105"/>
      <c r="R4814" s="105"/>
      <c r="S4814" s="105"/>
      <c r="T4814" s="105"/>
      <c r="U4814" s="105"/>
      <c r="V4814" s="105"/>
      <c r="W4814" s="105"/>
      <c r="X4814" s="11"/>
      <c r="Y4814" s="11"/>
      <c r="Z4814" s="105"/>
      <c r="AA4814" s="11"/>
      <c r="AB4814" s="11"/>
      <c r="AC4814" s="105"/>
      <c r="AD4814" s="11" t="b">
        <v>0</v>
      </c>
      <c r="AE4814" s="105"/>
      <c r="AF4814" s="11"/>
      <c r="AG4814" s="11"/>
      <c r="AH4814" s="11"/>
      <c r="AI4814" s="11"/>
    </row>
    <row r="4815" ht="12.5" spans="3:35">
      <c r="C4815" s="19"/>
      <c r="D4815" s="19"/>
      <c r="H4815" s="105"/>
      <c r="I4815" s="126"/>
      <c r="J4815" s="11"/>
      <c r="K4815" s="108"/>
      <c r="L4815" s="11"/>
      <c r="M4815" s="105"/>
      <c r="N4815" s="105"/>
      <c r="O4815" s="11"/>
      <c r="P4815" s="11"/>
      <c r="Q4815" s="105"/>
      <c r="R4815" s="105"/>
      <c r="S4815" s="105"/>
      <c r="T4815" s="105"/>
      <c r="U4815" s="105"/>
      <c r="V4815" s="105"/>
      <c r="W4815" s="105"/>
      <c r="X4815" s="11"/>
      <c r="Y4815" s="11"/>
      <c r="Z4815" s="105"/>
      <c r="AA4815" s="11"/>
      <c r="AB4815" s="11"/>
      <c r="AC4815" s="105"/>
      <c r="AD4815" s="11" t="b">
        <v>0</v>
      </c>
      <c r="AE4815" s="105"/>
      <c r="AF4815" s="11"/>
      <c r="AG4815" s="11"/>
      <c r="AH4815" s="11"/>
      <c r="AI4815" s="11"/>
    </row>
    <row r="4816" ht="12.5" spans="3:35">
      <c r="C4816" s="19"/>
      <c r="D4816" s="19"/>
      <c r="H4816" s="105"/>
      <c r="I4816" s="126"/>
      <c r="J4816" s="11"/>
      <c r="K4816" s="108"/>
      <c r="L4816" s="11"/>
      <c r="M4816" s="105"/>
      <c r="N4816" s="105"/>
      <c r="O4816" s="11"/>
      <c r="P4816" s="11"/>
      <c r="Q4816" s="105"/>
      <c r="R4816" s="105"/>
      <c r="S4816" s="105"/>
      <c r="T4816" s="105"/>
      <c r="U4816" s="105"/>
      <c r="V4816" s="105"/>
      <c r="W4816" s="105"/>
      <c r="X4816" s="11"/>
      <c r="Y4816" s="11"/>
      <c r="Z4816" s="105"/>
      <c r="AA4816" s="11"/>
      <c r="AB4816" s="11"/>
      <c r="AC4816" s="105"/>
      <c r="AD4816" s="11" t="b">
        <v>0</v>
      </c>
      <c r="AE4816" s="105"/>
      <c r="AF4816" s="11"/>
      <c r="AG4816" s="11"/>
      <c r="AH4816" s="11"/>
      <c r="AI4816" s="11"/>
    </row>
    <row r="4817" ht="12.5" spans="3:35">
      <c r="C4817" s="19"/>
      <c r="D4817" s="19"/>
      <c r="H4817" s="105"/>
      <c r="I4817" s="126"/>
      <c r="J4817" s="11"/>
      <c r="K4817" s="108"/>
      <c r="L4817" s="11"/>
      <c r="M4817" s="105"/>
      <c r="N4817" s="105"/>
      <c r="O4817" s="11"/>
      <c r="P4817" s="11"/>
      <c r="Q4817" s="105"/>
      <c r="R4817" s="105"/>
      <c r="S4817" s="105"/>
      <c r="T4817" s="105"/>
      <c r="U4817" s="105"/>
      <c r="V4817" s="105"/>
      <c r="W4817" s="105"/>
      <c r="X4817" s="11"/>
      <c r="Y4817" s="11"/>
      <c r="Z4817" s="105"/>
      <c r="AA4817" s="11"/>
      <c r="AB4817" s="11"/>
      <c r="AC4817" s="105"/>
      <c r="AD4817" s="11" t="b">
        <v>0</v>
      </c>
      <c r="AE4817" s="105"/>
      <c r="AF4817" s="11"/>
      <c r="AG4817" s="11"/>
      <c r="AH4817" s="11"/>
      <c r="AI4817" s="11"/>
    </row>
    <row r="4818" ht="12.5" spans="3:35">
      <c r="C4818" s="19"/>
      <c r="D4818" s="19"/>
      <c r="H4818" s="105"/>
      <c r="I4818" s="126"/>
      <c r="J4818" s="11"/>
      <c r="K4818" s="108"/>
      <c r="L4818" s="11"/>
      <c r="M4818" s="105"/>
      <c r="N4818" s="105"/>
      <c r="O4818" s="11"/>
      <c r="P4818" s="11"/>
      <c r="Q4818" s="105"/>
      <c r="R4818" s="105"/>
      <c r="S4818" s="105"/>
      <c r="T4818" s="105"/>
      <c r="U4818" s="105"/>
      <c r="V4818" s="105"/>
      <c r="W4818" s="105"/>
      <c r="X4818" s="11"/>
      <c r="Y4818" s="11"/>
      <c r="Z4818" s="105"/>
      <c r="AA4818" s="11"/>
      <c r="AB4818" s="11"/>
      <c r="AC4818" s="105"/>
      <c r="AD4818" s="11" t="b">
        <v>0</v>
      </c>
      <c r="AE4818" s="105"/>
      <c r="AF4818" s="11"/>
      <c r="AG4818" s="11"/>
      <c r="AH4818" s="11"/>
      <c r="AI4818" s="11"/>
    </row>
    <row r="4819" ht="12.5" spans="3:35">
      <c r="C4819" s="19"/>
      <c r="D4819" s="19"/>
      <c r="H4819" s="105"/>
      <c r="I4819" s="126"/>
      <c r="J4819" s="11"/>
      <c r="K4819" s="108"/>
      <c r="L4819" s="11"/>
      <c r="M4819" s="105"/>
      <c r="N4819" s="105"/>
      <c r="O4819" s="11"/>
      <c r="P4819" s="11"/>
      <c r="Q4819" s="105"/>
      <c r="R4819" s="105"/>
      <c r="S4819" s="105"/>
      <c r="T4819" s="105"/>
      <c r="U4819" s="105"/>
      <c r="V4819" s="105"/>
      <c r="W4819" s="105"/>
      <c r="X4819" s="11"/>
      <c r="Y4819" s="11"/>
      <c r="Z4819" s="105"/>
      <c r="AA4819" s="11"/>
      <c r="AB4819" s="11"/>
      <c r="AC4819" s="105"/>
      <c r="AD4819" s="11" t="b">
        <v>0</v>
      </c>
      <c r="AE4819" s="105"/>
      <c r="AF4819" s="11"/>
      <c r="AG4819" s="11"/>
      <c r="AH4819" s="11"/>
      <c r="AI4819" s="11"/>
    </row>
    <row r="4820" ht="12.5" spans="3:35">
      <c r="C4820" s="19"/>
      <c r="D4820" s="19"/>
      <c r="H4820" s="105"/>
      <c r="I4820" s="126"/>
      <c r="J4820" s="11"/>
      <c r="K4820" s="108"/>
      <c r="L4820" s="11"/>
      <c r="M4820" s="105"/>
      <c r="N4820" s="105"/>
      <c r="O4820" s="11"/>
      <c r="P4820" s="11"/>
      <c r="Q4820" s="105"/>
      <c r="R4820" s="105"/>
      <c r="S4820" s="105"/>
      <c r="T4820" s="105"/>
      <c r="U4820" s="105"/>
      <c r="V4820" s="105"/>
      <c r="W4820" s="105"/>
      <c r="X4820" s="11"/>
      <c r="Y4820" s="11"/>
      <c r="Z4820" s="105"/>
      <c r="AA4820" s="11"/>
      <c r="AB4820" s="11"/>
      <c r="AC4820" s="105"/>
      <c r="AD4820" s="11" t="b">
        <v>0</v>
      </c>
      <c r="AE4820" s="105"/>
      <c r="AF4820" s="11"/>
      <c r="AG4820" s="11"/>
      <c r="AH4820" s="11"/>
      <c r="AI4820" s="11"/>
    </row>
    <row r="4821" ht="12.5" spans="3:35">
      <c r="C4821" s="19"/>
      <c r="D4821" s="19"/>
      <c r="H4821" s="105"/>
      <c r="I4821" s="126"/>
      <c r="J4821" s="11"/>
      <c r="K4821" s="108"/>
      <c r="L4821" s="11"/>
      <c r="M4821" s="105"/>
      <c r="N4821" s="105"/>
      <c r="O4821" s="11"/>
      <c r="P4821" s="11"/>
      <c r="Q4821" s="105"/>
      <c r="R4821" s="105"/>
      <c r="S4821" s="105"/>
      <c r="T4821" s="105"/>
      <c r="U4821" s="105"/>
      <c r="V4821" s="105"/>
      <c r="W4821" s="105"/>
      <c r="X4821" s="11"/>
      <c r="Y4821" s="11"/>
      <c r="Z4821" s="105"/>
      <c r="AA4821" s="11"/>
      <c r="AB4821" s="11"/>
      <c r="AC4821" s="105"/>
      <c r="AD4821" s="11" t="b">
        <v>0</v>
      </c>
      <c r="AE4821" s="105"/>
      <c r="AF4821" s="11"/>
      <c r="AG4821" s="11"/>
      <c r="AH4821" s="11"/>
      <c r="AI4821" s="11"/>
    </row>
    <row r="4822" ht="12.5" spans="3:35">
      <c r="C4822" s="19"/>
      <c r="D4822" s="19"/>
      <c r="H4822" s="105"/>
      <c r="I4822" s="126"/>
      <c r="J4822" s="11"/>
      <c r="K4822" s="108"/>
      <c r="L4822" s="11"/>
      <c r="M4822" s="105"/>
      <c r="N4822" s="105"/>
      <c r="O4822" s="11"/>
      <c r="P4822" s="11"/>
      <c r="Q4822" s="105"/>
      <c r="R4822" s="105"/>
      <c r="S4822" s="105"/>
      <c r="T4822" s="105"/>
      <c r="U4822" s="105"/>
      <c r="V4822" s="105"/>
      <c r="W4822" s="105"/>
      <c r="X4822" s="11"/>
      <c r="Y4822" s="11"/>
      <c r="Z4822" s="105"/>
      <c r="AA4822" s="11"/>
      <c r="AB4822" s="11"/>
      <c r="AC4822" s="105"/>
      <c r="AD4822" s="11" t="b">
        <v>0</v>
      </c>
      <c r="AE4822" s="105"/>
      <c r="AF4822" s="11"/>
      <c r="AG4822" s="11"/>
      <c r="AH4822" s="11"/>
      <c r="AI4822" s="11"/>
    </row>
    <row r="4823" ht="12.5" spans="3:35">
      <c r="C4823" s="19"/>
      <c r="D4823" s="19"/>
      <c r="H4823" s="105"/>
      <c r="I4823" s="126"/>
      <c r="J4823" s="11"/>
      <c r="K4823" s="108"/>
      <c r="L4823" s="11"/>
      <c r="M4823" s="105"/>
      <c r="N4823" s="105"/>
      <c r="O4823" s="11"/>
      <c r="P4823" s="11"/>
      <c r="Q4823" s="105"/>
      <c r="R4823" s="105"/>
      <c r="S4823" s="105"/>
      <c r="T4823" s="105"/>
      <c r="U4823" s="105"/>
      <c r="V4823" s="105"/>
      <c r="W4823" s="105"/>
      <c r="X4823" s="11"/>
      <c r="Y4823" s="11"/>
      <c r="Z4823" s="105"/>
      <c r="AA4823" s="11"/>
      <c r="AB4823" s="11"/>
      <c r="AC4823" s="105"/>
      <c r="AD4823" s="11" t="b">
        <v>0</v>
      </c>
      <c r="AE4823" s="105"/>
      <c r="AF4823" s="11"/>
      <c r="AG4823" s="11"/>
      <c r="AH4823" s="11"/>
      <c r="AI4823" s="11"/>
    </row>
    <row r="4824" ht="12.5" spans="3:35">
      <c r="C4824" s="19"/>
      <c r="D4824" s="19"/>
      <c r="H4824" s="105"/>
      <c r="I4824" s="126"/>
      <c r="J4824" s="11"/>
      <c r="K4824" s="108"/>
      <c r="L4824" s="11"/>
      <c r="M4824" s="105"/>
      <c r="N4824" s="105"/>
      <c r="O4824" s="11"/>
      <c r="P4824" s="11"/>
      <c r="Q4824" s="105"/>
      <c r="R4824" s="105"/>
      <c r="S4824" s="105"/>
      <c r="T4824" s="105"/>
      <c r="U4824" s="105"/>
      <c r="V4824" s="105"/>
      <c r="W4824" s="105"/>
      <c r="X4824" s="11"/>
      <c r="Y4824" s="11"/>
      <c r="Z4824" s="105"/>
      <c r="AA4824" s="11"/>
      <c r="AB4824" s="11"/>
      <c r="AC4824" s="105"/>
      <c r="AD4824" s="11" t="b">
        <v>0</v>
      </c>
      <c r="AE4824" s="105"/>
      <c r="AF4824" s="11"/>
      <c r="AG4824" s="11"/>
      <c r="AH4824" s="11"/>
      <c r="AI4824" s="11"/>
    </row>
    <row r="4825" ht="12.5" spans="3:35">
      <c r="C4825" s="19"/>
      <c r="D4825" s="19"/>
      <c r="H4825" s="105"/>
      <c r="I4825" s="126"/>
      <c r="J4825" s="11"/>
      <c r="K4825" s="108"/>
      <c r="L4825" s="11"/>
      <c r="M4825" s="105"/>
      <c r="N4825" s="105"/>
      <c r="O4825" s="11"/>
      <c r="P4825" s="11"/>
      <c r="Q4825" s="105"/>
      <c r="R4825" s="105"/>
      <c r="S4825" s="105"/>
      <c r="T4825" s="105"/>
      <c r="U4825" s="105"/>
      <c r="V4825" s="105"/>
      <c r="W4825" s="105"/>
      <c r="X4825" s="11"/>
      <c r="Y4825" s="11"/>
      <c r="Z4825" s="105"/>
      <c r="AA4825" s="11"/>
      <c r="AB4825" s="11"/>
      <c r="AC4825" s="105"/>
      <c r="AD4825" s="11" t="b">
        <v>0</v>
      </c>
      <c r="AE4825" s="105"/>
      <c r="AF4825" s="11"/>
      <c r="AG4825" s="11"/>
      <c r="AH4825" s="11"/>
      <c r="AI4825" s="11"/>
    </row>
    <row r="4826" ht="12.5" spans="3:35">
      <c r="C4826" s="19"/>
      <c r="D4826" s="19"/>
      <c r="H4826" s="105"/>
      <c r="I4826" s="126"/>
      <c r="J4826" s="11"/>
      <c r="K4826" s="108"/>
      <c r="L4826" s="11"/>
      <c r="M4826" s="105"/>
      <c r="N4826" s="105"/>
      <c r="O4826" s="11"/>
      <c r="P4826" s="11"/>
      <c r="Q4826" s="105"/>
      <c r="R4826" s="105"/>
      <c r="S4826" s="105"/>
      <c r="T4826" s="105"/>
      <c r="U4826" s="105"/>
      <c r="V4826" s="105"/>
      <c r="W4826" s="105"/>
      <c r="X4826" s="11"/>
      <c r="Y4826" s="11"/>
      <c r="Z4826" s="105"/>
      <c r="AA4826" s="11"/>
      <c r="AB4826" s="11"/>
      <c r="AC4826" s="105"/>
      <c r="AD4826" s="11" t="b">
        <v>0</v>
      </c>
      <c r="AE4826" s="105"/>
      <c r="AF4826" s="11"/>
      <c r="AG4826" s="11"/>
      <c r="AH4826" s="11"/>
      <c r="AI4826" s="11"/>
    </row>
    <row r="4827" ht="12.5" spans="3:35">
      <c r="C4827" s="19"/>
      <c r="D4827" s="19"/>
      <c r="H4827" s="105"/>
      <c r="I4827" s="126"/>
      <c r="J4827" s="11"/>
      <c r="K4827" s="108"/>
      <c r="L4827" s="11"/>
      <c r="M4827" s="105"/>
      <c r="N4827" s="105"/>
      <c r="O4827" s="11"/>
      <c r="P4827" s="11"/>
      <c r="Q4827" s="105"/>
      <c r="R4827" s="105"/>
      <c r="S4827" s="105"/>
      <c r="T4827" s="105"/>
      <c r="U4827" s="105"/>
      <c r="V4827" s="105"/>
      <c r="W4827" s="105"/>
      <c r="X4827" s="11"/>
      <c r="Y4827" s="11"/>
      <c r="Z4827" s="105"/>
      <c r="AA4827" s="11"/>
      <c r="AB4827" s="11"/>
      <c r="AC4827" s="105"/>
      <c r="AD4827" s="11" t="b">
        <v>0</v>
      </c>
      <c r="AE4827" s="105"/>
      <c r="AF4827" s="11"/>
      <c r="AG4827" s="11"/>
      <c r="AH4827" s="11"/>
      <c r="AI4827" s="11"/>
    </row>
    <row r="4828" ht="12.5" spans="3:35">
      <c r="C4828" s="19"/>
      <c r="D4828" s="19"/>
      <c r="H4828" s="105"/>
      <c r="I4828" s="126"/>
      <c r="J4828" s="11"/>
      <c r="K4828" s="108"/>
      <c r="L4828" s="11"/>
      <c r="M4828" s="105"/>
      <c r="N4828" s="105"/>
      <c r="O4828" s="11"/>
      <c r="P4828" s="11"/>
      <c r="Q4828" s="105"/>
      <c r="R4828" s="105"/>
      <c r="S4828" s="105"/>
      <c r="T4828" s="105"/>
      <c r="U4828" s="105"/>
      <c r="V4828" s="105"/>
      <c r="W4828" s="105"/>
      <c r="X4828" s="11"/>
      <c r="Y4828" s="11"/>
      <c r="Z4828" s="105"/>
      <c r="AA4828" s="11"/>
      <c r="AB4828" s="11"/>
      <c r="AC4828" s="105"/>
      <c r="AD4828" s="11" t="b">
        <v>0</v>
      </c>
      <c r="AE4828" s="105"/>
      <c r="AF4828" s="11"/>
      <c r="AG4828" s="11"/>
      <c r="AH4828" s="11"/>
      <c r="AI4828" s="11"/>
    </row>
    <row r="4829" ht="12.5" spans="3:35">
      <c r="C4829" s="19"/>
      <c r="D4829" s="19"/>
      <c r="H4829" s="105"/>
      <c r="I4829" s="126"/>
      <c r="J4829" s="11"/>
      <c r="K4829" s="108"/>
      <c r="L4829" s="11"/>
      <c r="M4829" s="105"/>
      <c r="N4829" s="105"/>
      <c r="O4829" s="11"/>
      <c r="P4829" s="11"/>
      <c r="Q4829" s="105"/>
      <c r="R4829" s="105"/>
      <c r="S4829" s="105"/>
      <c r="T4829" s="105"/>
      <c r="U4829" s="105"/>
      <c r="V4829" s="105"/>
      <c r="W4829" s="105"/>
      <c r="X4829" s="11"/>
      <c r="Y4829" s="11"/>
      <c r="Z4829" s="105"/>
      <c r="AA4829" s="11"/>
      <c r="AB4829" s="11"/>
      <c r="AC4829" s="105"/>
      <c r="AD4829" s="11" t="b">
        <v>0</v>
      </c>
      <c r="AE4829" s="105"/>
      <c r="AF4829" s="11"/>
      <c r="AG4829" s="11"/>
      <c r="AH4829" s="11"/>
      <c r="AI4829" s="11"/>
    </row>
    <row r="4830" ht="12.5" spans="3:35">
      <c r="C4830" s="19"/>
      <c r="D4830" s="19"/>
      <c r="H4830" s="105"/>
      <c r="I4830" s="126"/>
      <c r="J4830" s="11"/>
      <c r="K4830" s="108"/>
      <c r="L4830" s="11"/>
      <c r="M4830" s="105"/>
      <c r="N4830" s="105"/>
      <c r="O4830" s="11"/>
      <c r="P4830" s="11"/>
      <c r="Q4830" s="105"/>
      <c r="R4830" s="105"/>
      <c r="S4830" s="105"/>
      <c r="T4830" s="105"/>
      <c r="U4830" s="105"/>
      <c r="V4830" s="105"/>
      <c r="W4830" s="105"/>
      <c r="X4830" s="11"/>
      <c r="Y4830" s="11"/>
      <c r="Z4830" s="105"/>
      <c r="AA4830" s="11"/>
      <c r="AB4830" s="11"/>
      <c r="AC4830" s="105"/>
      <c r="AD4830" s="11" t="b">
        <v>0</v>
      </c>
      <c r="AE4830" s="105"/>
      <c r="AF4830" s="11"/>
      <c r="AG4830" s="11"/>
      <c r="AH4830" s="11"/>
      <c r="AI4830" s="11"/>
    </row>
    <row r="4831" ht="12.5" spans="3:35">
      <c r="C4831" s="19"/>
      <c r="D4831" s="19"/>
      <c r="H4831" s="105"/>
      <c r="I4831" s="126"/>
      <c r="J4831" s="11"/>
      <c r="K4831" s="108"/>
      <c r="L4831" s="11"/>
      <c r="M4831" s="105"/>
      <c r="N4831" s="105"/>
      <c r="O4831" s="11"/>
      <c r="P4831" s="11"/>
      <c r="Q4831" s="105"/>
      <c r="R4831" s="105"/>
      <c r="S4831" s="105"/>
      <c r="T4831" s="105"/>
      <c r="U4831" s="105"/>
      <c r="V4831" s="105"/>
      <c r="W4831" s="105"/>
      <c r="X4831" s="11"/>
      <c r="Y4831" s="11"/>
      <c r="Z4831" s="105"/>
      <c r="AA4831" s="11"/>
      <c r="AB4831" s="11"/>
      <c r="AC4831" s="105"/>
      <c r="AD4831" s="11" t="b">
        <v>0</v>
      </c>
      <c r="AE4831" s="105"/>
      <c r="AF4831" s="11"/>
      <c r="AG4831" s="11"/>
      <c r="AH4831" s="11"/>
      <c r="AI4831" s="11"/>
    </row>
    <row r="4832" ht="12.5" spans="3:35">
      <c r="C4832" s="19"/>
      <c r="D4832" s="19"/>
      <c r="H4832" s="105"/>
      <c r="I4832" s="126"/>
      <c r="J4832" s="11"/>
      <c r="K4832" s="108"/>
      <c r="L4832" s="11"/>
      <c r="M4832" s="105"/>
      <c r="N4832" s="105"/>
      <c r="O4832" s="11"/>
      <c r="P4832" s="11"/>
      <c r="Q4832" s="105"/>
      <c r="R4832" s="105"/>
      <c r="S4832" s="105"/>
      <c r="T4832" s="105"/>
      <c r="U4832" s="105"/>
      <c r="V4832" s="105"/>
      <c r="W4832" s="105"/>
      <c r="X4832" s="11"/>
      <c r="Y4832" s="11"/>
      <c r="Z4832" s="105"/>
      <c r="AA4832" s="11"/>
      <c r="AB4832" s="11"/>
      <c r="AC4832" s="105"/>
      <c r="AD4832" s="11" t="b">
        <v>0</v>
      </c>
      <c r="AE4832" s="105"/>
      <c r="AF4832" s="11"/>
      <c r="AG4832" s="11"/>
      <c r="AH4832" s="11"/>
      <c r="AI4832" s="11"/>
    </row>
    <row r="4833" ht="12.5" spans="3:35">
      <c r="C4833" s="19"/>
      <c r="D4833" s="19"/>
      <c r="H4833" s="105"/>
      <c r="I4833" s="126"/>
      <c r="J4833" s="11"/>
      <c r="K4833" s="108"/>
      <c r="L4833" s="11"/>
      <c r="M4833" s="105"/>
      <c r="N4833" s="105"/>
      <c r="O4833" s="11"/>
      <c r="P4833" s="11"/>
      <c r="Q4833" s="105"/>
      <c r="R4833" s="105"/>
      <c r="S4833" s="105"/>
      <c r="T4833" s="105"/>
      <c r="U4833" s="105"/>
      <c r="V4833" s="105"/>
      <c r="W4833" s="105"/>
      <c r="X4833" s="11"/>
      <c r="Y4833" s="11"/>
      <c r="Z4833" s="105"/>
      <c r="AA4833" s="11"/>
      <c r="AB4833" s="11"/>
      <c r="AC4833" s="105"/>
      <c r="AD4833" s="11" t="b">
        <v>0</v>
      </c>
      <c r="AE4833" s="105"/>
      <c r="AF4833" s="11"/>
      <c r="AG4833" s="11"/>
      <c r="AH4833" s="11"/>
      <c r="AI4833" s="11"/>
    </row>
    <row r="4834" ht="12.5" spans="3:35">
      <c r="C4834" s="19"/>
      <c r="D4834" s="19"/>
      <c r="H4834" s="105"/>
      <c r="I4834" s="126"/>
      <c r="J4834" s="11"/>
      <c r="K4834" s="108"/>
      <c r="L4834" s="11"/>
      <c r="M4834" s="105"/>
      <c r="N4834" s="105"/>
      <c r="O4834" s="11"/>
      <c r="P4834" s="11"/>
      <c r="Q4834" s="105"/>
      <c r="R4834" s="105"/>
      <c r="S4834" s="105"/>
      <c r="T4834" s="105"/>
      <c r="U4834" s="105"/>
      <c r="V4834" s="105"/>
      <c r="W4834" s="105"/>
      <c r="X4834" s="11"/>
      <c r="Y4834" s="11"/>
      <c r="Z4834" s="105"/>
      <c r="AA4834" s="11"/>
      <c r="AB4834" s="11"/>
      <c r="AC4834" s="105"/>
      <c r="AD4834" s="11" t="b">
        <v>0</v>
      </c>
      <c r="AE4834" s="105"/>
      <c r="AF4834" s="11"/>
      <c r="AG4834" s="11"/>
      <c r="AH4834" s="11"/>
      <c r="AI4834" s="11"/>
    </row>
    <row r="4835" ht="12.5" spans="3:35">
      <c r="C4835" s="19"/>
      <c r="D4835" s="19"/>
      <c r="H4835" s="105"/>
      <c r="I4835" s="126"/>
      <c r="J4835" s="11"/>
      <c r="K4835" s="108"/>
      <c r="L4835" s="11"/>
      <c r="M4835" s="105"/>
      <c r="N4835" s="105"/>
      <c r="O4835" s="11"/>
      <c r="P4835" s="11"/>
      <c r="Q4835" s="105"/>
      <c r="R4835" s="105"/>
      <c r="S4835" s="105"/>
      <c r="T4835" s="105"/>
      <c r="U4835" s="105"/>
      <c r="V4835" s="105"/>
      <c r="W4835" s="105"/>
      <c r="X4835" s="11"/>
      <c r="Y4835" s="11"/>
      <c r="Z4835" s="105"/>
      <c r="AA4835" s="11"/>
      <c r="AB4835" s="11"/>
      <c r="AC4835" s="105"/>
      <c r="AD4835" s="11" t="b">
        <v>0</v>
      </c>
      <c r="AE4835" s="105"/>
      <c r="AF4835" s="11"/>
      <c r="AG4835" s="11"/>
      <c r="AH4835" s="11"/>
      <c r="AI4835" s="11"/>
    </row>
    <row r="4836" ht="12.5" spans="3:35">
      <c r="C4836" s="19"/>
      <c r="D4836" s="19"/>
      <c r="H4836" s="105"/>
      <c r="I4836" s="126"/>
      <c r="J4836" s="11"/>
      <c r="K4836" s="108"/>
      <c r="L4836" s="11"/>
      <c r="M4836" s="105"/>
      <c r="N4836" s="105"/>
      <c r="O4836" s="11"/>
      <c r="P4836" s="11"/>
      <c r="Q4836" s="105"/>
      <c r="R4836" s="105"/>
      <c r="S4836" s="105"/>
      <c r="T4836" s="105"/>
      <c r="U4836" s="105"/>
      <c r="V4836" s="105"/>
      <c r="W4836" s="105"/>
      <c r="X4836" s="11"/>
      <c r="Y4836" s="11"/>
      <c r="Z4836" s="105"/>
      <c r="AA4836" s="11"/>
      <c r="AB4836" s="11"/>
      <c r="AC4836" s="105"/>
      <c r="AD4836" s="11" t="b">
        <v>0</v>
      </c>
      <c r="AE4836" s="105"/>
      <c r="AF4836" s="11"/>
      <c r="AG4836" s="11"/>
      <c r="AH4836" s="11"/>
      <c r="AI4836" s="11"/>
    </row>
    <row r="4837" ht="12.5" spans="3:35">
      <c r="C4837" s="19"/>
      <c r="D4837" s="19"/>
      <c r="H4837" s="105"/>
      <c r="I4837" s="126"/>
      <c r="J4837" s="11"/>
      <c r="K4837" s="108"/>
      <c r="L4837" s="11"/>
      <c r="M4837" s="105"/>
      <c r="N4837" s="105"/>
      <c r="O4837" s="11"/>
      <c r="P4837" s="11"/>
      <c r="Q4837" s="105"/>
      <c r="R4837" s="105"/>
      <c r="S4837" s="105"/>
      <c r="T4837" s="105"/>
      <c r="U4837" s="105"/>
      <c r="V4837" s="105"/>
      <c r="W4837" s="105"/>
      <c r="X4837" s="11"/>
      <c r="Y4837" s="11"/>
      <c r="Z4837" s="105"/>
      <c r="AA4837" s="11"/>
      <c r="AB4837" s="11"/>
      <c r="AC4837" s="105"/>
      <c r="AD4837" s="11" t="b">
        <v>0</v>
      </c>
      <c r="AE4837" s="105"/>
      <c r="AF4837" s="11"/>
      <c r="AG4837" s="11"/>
      <c r="AH4837" s="11"/>
      <c r="AI4837" s="11"/>
    </row>
    <row r="4838" ht="12.5" spans="3:35">
      <c r="C4838" s="19"/>
      <c r="D4838" s="19"/>
      <c r="H4838" s="105"/>
      <c r="I4838" s="126"/>
      <c r="J4838" s="11"/>
      <c r="K4838" s="108"/>
      <c r="L4838" s="11"/>
      <c r="M4838" s="105"/>
      <c r="N4838" s="105"/>
      <c r="O4838" s="11"/>
      <c r="P4838" s="11"/>
      <c r="Q4838" s="105"/>
      <c r="R4838" s="105"/>
      <c r="S4838" s="105"/>
      <c r="T4838" s="105"/>
      <c r="U4838" s="105"/>
      <c r="V4838" s="105"/>
      <c r="W4838" s="105"/>
      <c r="X4838" s="11"/>
      <c r="Y4838" s="11"/>
      <c r="Z4838" s="105"/>
      <c r="AA4838" s="11"/>
      <c r="AB4838" s="11"/>
      <c r="AC4838" s="105"/>
      <c r="AD4838" s="11" t="b">
        <v>0</v>
      </c>
      <c r="AE4838" s="105"/>
      <c r="AF4838" s="11"/>
      <c r="AG4838" s="11"/>
      <c r="AH4838" s="11"/>
      <c r="AI4838" s="11"/>
    </row>
    <row r="4839" ht="12.5" spans="3:35">
      <c r="C4839" s="19"/>
      <c r="D4839" s="19"/>
      <c r="H4839" s="105"/>
      <c r="I4839" s="126"/>
      <c r="J4839" s="11"/>
      <c r="K4839" s="108"/>
      <c r="L4839" s="11"/>
      <c r="M4839" s="105"/>
      <c r="N4839" s="105"/>
      <c r="O4839" s="11"/>
      <c r="P4839" s="11"/>
      <c r="Q4839" s="105"/>
      <c r="R4839" s="105"/>
      <c r="S4839" s="105"/>
      <c r="T4839" s="105"/>
      <c r="U4839" s="105"/>
      <c r="V4839" s="105"/>
      <c r="W4839" s="105"/>
      <c r="X4839" s="11"/>
      <c r="Y4839" s="11"/>
      <c r="Z4839" s="105"/>
      <c r="AA4839" s="11"/>
      <c r="AB4839" s="11"/>
      <c r="AC4839" s="105"/>
      <c r="AD4839" s="11" t="b">
        <v>0</v>
      </c>
      <c r="AE4839" s="105"/>
      <c r="AF4839" s="11"/>
      <c r="AG4839" s="11"/>
      <c r="AH4839" s="11"/>
      <c r="AI4839" s="11"/>
    </row>
    <row r="4840" ht="12.5" spans="3:35">
      <c r="C4840" s="19"/>
      <c r="D4840" s="19"/>
      <c r="H4840" s="105"/>
      <c r="I4840" s="126"/>
      <c r="J4840" s="11"/>
      <c r="K4840" s="108"/>
      <c r="L4840" s="11"/>
      <c r="M4840" s="105"/>
      <c r="N4840" s="105"/>
      <c r="O4840" s="11"/>
      <c r="P4840" s="11"/>
      <c r="Q4840" s="105"/>
      <c r="R4840" s="105"/>
      <c r="S4840" s="105"/>
      <c r="T4840" s="105"/>
      <c r="U4840" s="105"/>
      <c r="V4840" s="105"/>
      <c r="W4840" s="105"/>
      <c r="X4840" s="11"/>
      <c r="Y4840" s="11"/>
      <c r="Z4840" s="105"/>
      <c r="AA4840" s="11"/>
      <c r="AB4840" s="11"/>
      <c r="AC4840" s="105"/>
      <c r="AD4840" s="11" t="b">
        <v>0</v>
      </c>
      <c r="AE4840" s="105"/>
      <c r="AF4840" s="11"/>
      <c r="AG4840" s="11"/>
      <c r="AH4840" s="11"/>
      <c r="AI4840" s="11"/>
    </row>
    <row r="4841" ht="12.5" spans="3:35">
      <c r="C4841" s="19"/>
      <c r="D4841" s="19"/>
      <c r="H4841" s="105"/>
      <c r="I4841" s="126"/>
      <c r="J4841" s="11"/>
      <c r="K4841" s="108"/>
      <c r="L4841" s="11"/>
      <c r="M4841" s="105"/>
      <c r="N4841" s="105"/>
      <c r="O4841" s="11"/>
      <c r="P4841" s="11"/>
      <c r="Q4841" s="105"/>
      <c r="R4841" s="105"/>
      <c r="S4841" s="105"/>
      <c r="T4841" s="105"/>
      <c r="U4841" s="105"/>
      <c r="V4841" s="105"/>
      <c r="W4841" s="105"/>
      <c r="X4841" s="11"/>
      <c r="Y4841" s="11"/>
      <c r="Z4841" s="105"/>
      <c r="AA4841" s="11"/>
      <c r="AB4841" s="11"/>
      <c r="AC4841" s="105"/>
      <c r="AD4841" s="11" t="b">
        <v>0</v>
      </c>
      <c r="AE4841" s="105"/>
      <c r="AF4841" s="11"/>
      <c r="AG4841" s="11"/>
      <c r="AH4841" s="11"/>
      <c r="AI4841" s="11"/>
    </row>
    <row r="4842" ht="12.5" spans="3:35">
      <c r="C4842" s="19"/>
      <c r="D4842" s="19"/>
      <c r="H4842" s="105"/>
      <c r="I4842" s="126"/>
      <c r="J4842" s="11"/>
      <c r="K4842" s="108"/>
      <c r="L4842" s="11"/>
      <c r="M4842" s="105"/>
      <c r="N4842" s="105"/>
      <c r="O4842" s="11"/>
      <c r="P4842" s="11"/>
      <c r="Q4842" s="105"/>
      <c r="R4842" s="105"/>
      <c r="S4842" s="105"/>
      <c r="T4842" s="105"/>
      <c r="U4842" s="105"/>
      <c r="V4842" s="105"/>
      <c r="W4842" s="105"/>
      <c r="X4842" s="11"/>
      <c r="Y4842" s="11"/>
      <c r="Z4842" s="105"/>
      <c r="AA4842" s="11"/>
      <c r="AB4842" s="11"/>
      <c r="AC4842" s="105"/>
      <c r="AD4842" s="11" t="b">
        <v>0</v>
      </c>
      <c r="AE4842" s="105"/>
      <c r="AF4842" s="11"/>
      <c r="AG4842" s="11"/>
      <c r="AH4842" s="11"/>
      <c r="AI4842" s="11"/>
    </row>
    <row r="4843" ht="12.5" spans="3:35">
      <c r="C4843" s="19"/>
      <c r="D4843" s="19"/>
      <c r="H4843" s="105"/>
      <c r="I4843" s="126"/>
      <c r="J4843" s="11"/>
      <c r="K4843" s="108"/>
      <c r="L4843" s="11"/>
      <c r="M4843" s="105"/>
      <c r="N4843" s="105"/>
      <c r="O4843" s="11"/>
      <c r="P4843" s="11"/>
      <c r="Q4843" s="105"/>
      <c r="R4843" s="105"/>
      <c r="S4843" s="105"/>
      <c r="T4843" s="105"/>
      <c r="U4843" s="105"/>
      <c r="V4843" s="105"/>
      <c r="W4843" s="105"/>
      <c r="X4843" s="11"/>
      <c r="Y4843" s="11"/>
      <c r="Z4843" s="105"/>
      <c r="AA4843" s="11"/>
      <c r="AB4843" s="11"/>
      <c r="AC4843" s="105"/>
      <c r="AD4843" s="11" t="b">
        <v>0</v>
      </c>
      <c r="AE4843" s="105"/>
      <c r="AF4843" s="11"/>
      <c r="AG4843" s="11"/>
      <c r="AH4843" s="11"/>
      <c r="AI4843" s="11"/>
    </row>
    <row r="4844" ht="12.5" spans="3:35">
      <c r="C4844" s="19"/>
      <c r="D4844" s="19"/>
      <c r="H4844" s="105"/>
      <c r="I4844" s="126"/>
      <c r="J4844" s="11"/>
      <c r="K4844" s="108"/>
      <c r="L4844" s="11"/>
      <c r="M4844" s="105"/>
      <c r="N4844" s="105"/>
      <c r="O4844" s="11"/>
      <c r="P4844" s="11"/>
      <c r="Q4844" s="105"/>
      <c r="R4844" s="105"/>
      <c r="S4844" s="105"/>
      <c r="T4844" s="105"/>
      <c r="U4844" s="105"/>
      <c r="V4844" s="105"/>
      <c r="W4844" s="105"/>
      <c r="X4844" s="11"/>
      <c r="Y4844" s="11"/>
      <c r="Z4844" s="105"/>
      <c r="AA4844" s="11"/>
      <c r="AB4844" s="11"/>
      <c r="AC4844" s="105"/>
      <c r="AD4844" s="11" t="b">
        <v>0</v>
      </c>
      <c r="AE4844" s="105"/>
      <c r="AF4844" s="11"/>
      <c r="AG4844" s="11"/>
      <c r="AH4844" s="11"/>
      <c r="AI4844" s="11"/>
    </row>
    <row r="4845" ht="12.5" spans="3:35">
      <c r="C4845" s="19"/>
      <c r="D4845" s="19"/>
      <c r="H4845" s="105"/>
      <c r="I4845" s="126"/>
      <c r="J4845" s="11"/>
      <c r="K4845" s="108"/>
      <c r="L4845" s="11"/>
      <c r="M4845" s="105"/>
      <c r="N4845" s="105"/>
      <c r="O4845" s="11"/>
      <c r="P4845" s="11"/>
      <c r="Q4845" s="105"/>
      <c r="R4845" s="105"/>
      <c r="S4845" s="105"/>
      <c r="T4845" s="105"/>
      <c r="U4845" s="105"/>
      <c r="V4845" s="105"/>
      <c r="W4845" s="105"/>
      <c r="X4845" s="11"/>
      <c r="Y4845" s="11"/>
      <c r="Z4845" s="105"/>
      <c r="AA4845" s="11"/>
      <c r="AB4845" s="11"/>
      <c r="AC4845" s="105"/>
      <c r="AD4845" s="11" t="b">
        <v>0</v>
      </c>
      <c r="AE4845" s="105"/>
      <c r="AF4845" s="11"/>
      <c r="AG4845" s="11"/>
      <c r="AH4845" s="11"/>
      <c r="AI4845" s="11"/>
    </row>
    <row r="4846" ht="12.5" spans="3:35">
      <c r="C4846" s="19"/>
      <c r="D4846" s="19"/>
      <c r="H4846" s="105"/>
      <c r="I4846" s="126"/>
      <c r="J4846" s="11"/>
      <c r="K4846" s="108"/>
      <c r="L4846" s="11"/>
      <c r="M4846" s="105"/>
      <c r="N4846" s="105"/>
      <c r="O4846" s="11"/>
      <c r="P4846" s="11"/>
      <c r="Q4846" s="105"/>
      <c r="R4846" s="105"/>
      <c r="S4846" s="105"/>
      <c r="T4846" s="105"/>
      <c r="U4846" s="105"/>
      <c r="V4846" s="105"/>
      <c r="W4846" s="105"/>
      <c r="X4846" s="11"/>
      <c r="Y4846" s="11"/>
      <c r="Z4846" s="105"/>
      <c r="AA4846" s="11"/>
      <c r="AB4846" s="11"/>
      <c r="AC4846" s="105"/>
      <c r="AD4846" s="11" t="b">
        <v>0</v>
      </c>
      <c r="AE4846" s="105"/>
      <c r="AF4846" s="11"/>
      <c r="AG4846" s="11"/>
      <c r="AH4846" s="11"/>
      <c r="AI4846" s="11"/>
    </row>
    <row r="4847" ht="12.5" spans="3:35">
      <c r="C4847" s="19"/>
      <c r="D4847" s="19"/>
      <c r="H4847" s="105"/>
      <c r="I4847" s="126"/>
      <c r="J4847" s="11"/>
      <c r="K4847" s="108"/>
      <c r="L4847" s="11"/>
      <c r="M4847" s="105"/>
      <c r="N4847" s="105"/>
      <c r="O4847" s="11"/>
      <c r="P4847" s="11"/>
      <c r="Q4847" s="105"/>
      <c r="R4847" s="105"/>
      <c r="S4847" s="105"/>
      <c r="T4847" s="105"/>
      <c r="U4847" s="105"/>
      <c r="V4847" s="105"/>
      <c r="W4847" s="105"/>
      <c r="X4847" s="11"/>
      <c r="Y4847" s="11"/>
      <c r="Z4847" s="105"/>
      <c r="AA4847" s="11"/>
      <c r="AB4847" s="11"/>
      <c r="AC4847" s="105"/>
      <c r="AD4847" s="11" t="b">
        <v>0</v>
      </c>
      <c r="AE4847" s="105"/>
      <c r="AF4847" s="11"/>
      <c r="AG4847" s="11"/>
      <c r="AH4847" s="11"/>
      <c r="AI4847" s="11"/>
    </row>
    <row r="4848" ht="12.5" spans="3:35">
      <c r="C4848" s="19"/>
      <c r="D4848" s="19"/>
      <c r="H4848" s="105"/>
      <c r="I4848" s="126"/>
      <c r="J4848" s="11"/>
      <c r="K4848" s="108"/>
      <c r="L4848" s="11"/>
      <c r="M4848" s="105"/>
      <c r="N4848" s="105"/>
      <c r="O4848" s="11"/>
      <c r="P4848" s="11"/>
      <c r="Q4848" s="105"/>
      <c r="R4848" s="105"/>
      <c r="S4848" s="105"/>
      <c r="T4848" s="105"/>
      <c r="U4848" s="105"/>
      <c r="V4848" s="105"/>
      <c r="W4848" s="105"/>
      <c r="X4848" s="11"/>
      <c r="Y4848" s="11"/>
      <c r="Z4848" s="105"/>
      <c r="AA4848" s="11"/>
      <c r="AB4848" s="11"/>
      <c r="AC4848" s="105"/>
      <c r="AD4848" s="11" t="b">
        <v>0</v>
      </c>
      <c r="AE4848" s="105"/>
      <c r="AF4848" s="11"/>
      <c r="AG4848" s="11"/>
      <c r="AH4848" s="11"/>
      <c r="AI4848" s="11"/>
    </row>
    <row r="4849" ht="12.5" spans="3:35">
      <c r="C4849" s="19"/>
      <c r="D4849" s="19"/>
      <c r="H4849" s="105"/>
      <c r="I4849" s="126"/>
      <c r="J4849" s="11"/>
      <c r="K4849" s="108"/>
      <c r="L4849" s="11"/>
      <c r="M4849" s="105"/>
      <c r="N4849" s="105"/>
      <c r="O4849" s="11"/>
      <c r="P4849" s="11"/>
      <c r="Q4849" s="105"/>
      <c r="R4849" s="105"/>
      <c r="S4849" s="105"/>
      <c r="T4849" s="105"/>
      <c r="U4849" s="105"/>
      <c r="V4849" s="105"/>
      <c r="W4849" s="105"/>
      <c r="X4849" s="11"/>
      <c r="Y4849" s="11"/>
      <c r="Z4849" s="105"/>
      <c r="AA4849" s="11"/>
      <c r="AB4849" s="11"/>
      <c r="AC4849" s="105"/>
      <c r="AD4849" s="11" t="b">
        <v>0</v>
      </c>
      <c r="AE4849" s="105"/>
      <c r="AF4849" s="11"/>
      <c r="AG4849" s="11"/>
      <c r="AH4849" s="11"/>
      <c r="AI4849" s="11"/>
    </row>
    <row r="4850" ht="12.5" spans="3:35">
      <c r="C4850" s="19"/>
      <c r="D4850" s="19"/>
      <c r="H4850" s="105"/>
      <c r="I4850" s="126"/>
      <c r="J4850" s="11"/>
      <c r="K4850" s="108"/>
      <c r="L4850" s="11"/>
      <c r="M4850" s="105"/>
      <c r="N4850" s="105"/>
      <c r="O4850" s="11"/>
      <c r="P4850" s="11"/>
      <c r="Q4850" s="105"/>
      <c r="R4850" s="105"/>
      <c r="S4850" s="105"/>
      <c r="T4850" s="105"/>
      <c r="U4850" s="105"/>
      <c r="V4850" s="105"/>
      <c r="W4850" s="105"/>
      <c r="X4850" s="11"/>
      <c r="Y4850" s="11"/>
      <c r="Z4850" s="105"/>
      <c r="AA4850" s="11"/>
      <c r="AB4850" s="11"/>
      <c r="AC4850" s="105"/>
      <c r="AD4850" s="11" t="b">
        <v>0</v>
      </c>
      <c r="AE4850" s="105"/>
      <c r="AF4850" s="11"/>
      <c r="AG4850" s="11"/>
      <c r="AH4850" s="11"/>
      <c r="AI4850" s="11"/>
    </row>
    <row r="4851" ht="12.5" spans="3:35">
      <c r="C4851" s="19"/>
      <c r="D4851" s="19"/>
      <c r="H4851" s="105"/>
      <c r="I4851" s="126"/>
      <c r="J4851" s="11"/>
      <c r="K4851" s="108"/>
      <c r="L4851" s="11"/>
      <c r="M4851" s="105"/>
      <c r="N4851" s="105"/>
      <c r="O4851" s="11"/>
      <c r="P4851" s="11"/>
      <c r="Q4851" s="105"/>
      <c r="R4851" s="105"/>
      <c r="S4851" s="105"/>
      <c r="T4851" s="105"/>
      <c r="U4851" s="105"/>
      <c r="V4851" s="105"/>
      <c r="W4851" s="105"/>
      <c r="X4851" s="11"/>
      <c r="Y4851" s="11"/>
      <c r="Z4851" s="105"/>
      <c r="AA4851" s="11"/>
      <c r="AB4851" s="11"/>
      <c r="AC4851" s="105"/>
      <c r="AD4851" s="11" t="b">
        <v>0</v>
      </c>
      <c r="AE4851" s="105"/>
      <c r="AF4851" s="11"/>
      <c r="AG4851" s="11"/>
      <c r="AH4851" s="11"/>
      <c r="AI4851" s="11"/>
    </row>
    <row r="4852" ht="12.5" spans="3:35">
      <c r="C4852" s="19"/>
      <c r="D4852" s="19"/>
      <c r="H4852" s="105"/>
      <c r="I4852" s="126"/>
      <c r="J4852" s="11"/>
      <c r="K4852" s="108"/>
      <c r="L4852" s="11"/>
      <c r="M4852" s="105"/>
      <c r="N4852" s="105"/>
      <c r="O4852" s="11"/>
      <c r="P4852" s="11"/>
      <c r="Q4852" s="105"/>
      <c r="R4852" s="105"/>
      <c r="S4852" s="105"/>
      <c r="T4852" s="105"/>
      <c r="U4852" s="105"/>
      <c r="V4852" s="105"/>
      <c r="W4852" s="105"/>
      <c r="X4852" s="11"/>
      <c r="Y4852" s="11"/>
      <c r="Z4852" s="105"/>
      <c r="AA4852" s="11"/>
      <c r="AB4852" s="11"/>
      <c r="AC4852" s="105"/>
      <c r="AD4852" s="11" t="b">
        <v>0</v>
      </c>
      <c r="AE4852" s="105"/>
      <c r="AF4852" s="11"/>
      <c r="AG4852" s="11"/>
      <c r="AH4852" s="11"/>
      <c r="AI4852" s="11"/>
    </row>
    <row r="4853" ht="12.5" spans="3:35">
      <c r="C4853" s="19"/>
      <c r="D4853" s="19"/>
      <c r="H4853" s="105"/>
      <c r="I4853" s="126"/>
      <c r="J4853" s="11"/>
      <c r="K4853" s="108"/>
      <c r="L4853" s="11"/>
      <c r="M4853" s="105"/>
      <c r="N4853" s="105"/>
      <c r="O4853" s="11"/>
      <c r="P4853" s="11"/>
      <c r="Q4853" s="105"/>
      <c r="R4853" s="105"/>
      <c r="S4853" s="105"/>
      <c r="T4853" s="105"/>
      <c r="U4853" s="105"/>
      <c r="V4853" s="105"/>
      <c r="W4853" s="105"/>
      <c r="X4853" s="11"/>
      <c r="Y4853" s="11"/>
      <c r="Z4853" s="105"/>
      <c r="AA4853" s="11"/>
      <c r="AB4853" s="11"/>
      <c r="AC4853" s="105"/>
      <c r="AD4853" s="11" t="b">
        <v>0</v>
      </c>
      <c r="AE4853" s="105"/>
      <c r="AF4853" s="11"/>
      <c r="AG4853" s="11"/>
      <c r="AH4853" s="11"/>
      <c r="AI4853" s="11"/>
    </row>
    <row r="4854" ht="12.5" spans="3:35">
      <c r="C4854" s="19"/>
      <c r="D4854" s="19"/>
      <c r="H4854" s="105"/>
      <c r="I4854" s="126"/>
      <c r="J4854" s="11"/>
      <c r="K4854" s="108"/>
      <c r="L4854" s="11"/>
      <c r="M4854" s="105"/>
      <c r="N4854" s="105"/>
      <c r="O4854" s="11"/>
      <c r="P4854" s="11"/>
      <c r="Q4854" s="105"/>
      <c r="R4854" s="105"/>
      <c r="S4854" s="105"/>
      <c r="T4854" s="105"/>
      <c r="U4854" s="105"/>
      <c r="V4854" s="105"/>
      <c r="W4854" s="105"/>
      <c r="X4854" s="11"/>
      <c r="Y4854" s="11"/>
      <c r="Z4854" s="105"/>
      <c r="AA4854" s="11"/>
      <c r="AB4854" s="11"/>
      <c r="AC4854" s="105"/>
      <c r="AD4854" s="11" t="b">
        <v>0</v>
      </c>
      <c r="AE4854" s="105"/>
      <c r="AF4854" s="11"/>
      <c r="AG4854" s="11"/>
      <c r="AH4854" s="11"/>
      <c r="AI4854" s="11"/>
    </row>
    <row r="4855" ht="12.5" spans="3:35">
      <c r="C4855" s="19"/>
      <c r="D4855" s="19"/>
      <c r="H4855" s="105"/>
      <c r="I4855" s="126"/>
      <c r="J4855" s="11"/>
      <c r="K4855" s="108"/>
      <c r="L4855" s="11"/>
      <c r="M4855" s="105"/>
      <c r="N4855" s="105"/>
      <c r="O4855" s="11"/>
      <c r="P4855" s="11"/>
      <c r="Q4855" s="105"/>
      <c r="R4855" s="105"/>
      <c r="S4855" s="105"/>
      <c r="T4855" s="105"/>
      <c r="U4855" s="105"/>
      <c r="V4855" s="105"/>
      <c r="W4855" s="105"/>
      <c r="X4855" s="11"/>
      <c r="Y4855" s="11"/>
      <c r="Z4855" s="105"/>
      <c r="AA4855" s="11"/>
      <c r="AB4855" s="11"/>
      <c r="AC4855" s="105"/>
      <c r="AD4855" s="11" t="b">
        <v>0</v>
      </c>
      <c r="AE4855" s="105"/>
      <c r="AF4855" s="11"/>
      <c r="AG4855" s="11"/>
      <c r="AH4855" s="11"/>
      <c r="AI4855" s="11"/>
    </row>
    <row r="4856" ht="12.5" spans="3:35">
      <c r="C4856" s="19"/>
      <c r="D4856" s="19"/>
      <c r="H4856" s="105"/>
      <c r="I4856" s="126"/>
      <c r="J4856" s="11"/>
      <c r="K4856" s="108"/>
      <c r="L4856" s="11"/>
      <c r="M4856" s="105"/>
      <c r="N4856" s="105"/>
      <c r="O4856" s="11"/>
      <c r="P4856" s="11"/>
      <c r="Q4856" s="105"/>
      <c r="R4856" s="105"/>
      <c r="S4856" s="105"/>
      <c r="T4856" s="105"/>
      <c r="U4856" s="105"/>
      <c r="V4856" s="105"/>
      <c r="W4856" s="105"/>
      <c r="X4856" s="11"/>
      <c r="Y4856" s="11"/>
      <c r="Z4856" s="105"/>
      <c r="AA4856" s="11"/>
      <c r="AB4856" s="11"/>
      <c r="AC4856" s="105"/>
      <c r="AD4856" s="11" t="b">
        <v>0</v>
      </c>
      <c r="AE4856" s="105"/>
      <c r="AF4856" s="11"/>
      <c r="AG4856" s="11"/>
      <c r="AH4856" s="11"/>
      <c r="AI4856" s="11"/>
    </row>
    <row r="4857" ht="12.5" spans="3:35">
      <c r="C4857" s="19"/>
      <c r="D4857" s="19"/>
      <c r="H4857" s="105"/>
      <c r="I4857" s="126"/>
      <c r="J4857" s="11"/>
      <c r="K4857" s="108"/>
      <c r="L4857" s="11"/>
      <c r="M4857" s="105"/>
      <c r="N4857" s="105"/>
      <c r="O4857" s="11"/>
      <c r="P4857" s="11"/>
      <c r="Q4857" s="105"/>
      <c r="R4857" s="105"/>
      <c r="S4857" s="105"/>
      <c r="T4857" s="105"/>
      <c r="U4857" s="105"/>
      <c r="V4857" s="105"/>
      <c r="W4857" s="105"/>
      <c r="X4857" s="11"/>
      <c r="Y4857" s="11"/>
      <c r="Z4857" s="105"/>
      <c r="AA4857" s="11"/>
      <c r="AB4857" s="11"/>
      <c r="AC4857" s="105"/>
      <c r="AD4857" s="11" t="b">
        <v>0</v>
      </c>
      <c r="AE4857" s="105"/>
      <c r="AF4857" s="11"/>
      <c r="AG4857" s="11"/>
      <c r="AH4857" s="11"/>
      <c r="AI4857" s="11"/>
    </row>
    <row r="4858" ht="12.5" spans="3:35">
      <c r="C4858" s="19"/>
      <c r="D4858" s="19"/>
      <c r="H4858" s="105"/>
      <c r="I4858" s="126"/>
      <c r="J4858" s="11"/>
      <c r="K4858" s="108"/>
      <c r="L4858" s="11"/>
      <c r="M4858" s="105"/>
      <c r="N4858" s="105"/>
      <c r="O4858" s="11"/>
      <c r="P4858" s="11"/>
      <c r="Q4858" s="105"/>
      <c r="R4858" s="105"/>
      <c r="S4858" s="105"/>
      <c r="T4858" s="105"/>
      <c r="U4858" s="105"/>
      <c r="V4858" s="105"/>
      <c r="W4858" s="105"/>
      <c r="X4858" s="11"/>
      <c r="Y4858" s="11"/>
      <c r="Z4858" s="105"/>
      <c r="AA4858" s="11"/>
      <c r="AB4858" s="11"/>
      <c r="AC4858" s="105"/>
      <c r="AD4858" s="11" t="b">
        <v>0</v>
      </c>
      <c r="AE4858" s="105"/>
      <c r="AF4858" s="11"/>
      <c r="AG4858" s="11"/>
      <c r="AH4858" s="11"/>
      <c r="AI4858" s="11"/>
    </row>
    <row r="4859" ht="12.5" spans="3:35">
      <c r="C4859" s="19"/>
      <c r="D4859" s="19"/>
      <c r="H4859" s="105"/>
      <c r="I4859" s="126"/>
      <c r="J4859" s="11"/>
      <c r="K4859" s="108"/>
      <c r="L4859" s="11"/>
      <c r="M4859" s="105"/>
      <c r="N4859" s="105"/>
      <c r="O4859" s="11"/>
      <c r="P4859" s="11"/>
      <c r="Q4859" s="105"/>
      <c r="R4859" s="105"/>
      <c r="S4859" s="105"/>
      <c r="T4859" s="105"/>
      <c r="U4859" s="105"/>
      <c r="V4859" s="105"/>
      <c r="W4859" s="105"/>
      <c r="X4859" s="11"/>
      <c r="Y4859" s="11"/>
      <c r="Z4859" s="105"/>
      <c r="AA4859" s="11"/>
      <c r="AB4859" s="11"/>
      <c r="AC4859" s="105"/>
      <c r="AD4859" s="11" t="b">
        <v>0</v>
      </c>
      <c r="AE4859" s="105"/>
      <c r="AF4859" s="11"/>
      <c r="AG4859" s="11"/>
      <c r="AH4859" s="11"/>
      <c r="AI4859" s="11"/>
    </row>
    <row r="4860" ht="12.5" spans="3:35">
      <c r="C4860" s="19"/>
      <c r="D4860" s="19"/>
      <c r="H4860" s="105"/>
      <c r="I4860" s="126"/>
      <c r="J4860" s="11"/>
      <c r="K4860" s="108"/>
      <c r="L4860" s="11"/>
      <c r="M4860" s="105"/>
      <c r="N4860" s="105"/>
      <c r="O4860" s="11"/>
      <c r="P4860" s="11"/>
      <c r="Q4860" s="105"/>
      <c r="R4860" s="105"/>
      <c r="S4860" s="105"/>
      <c r="T4860" s="105"/>
      <c r="U4860" s="105"/>
      <c r="V4860" s="105"/>
      <c r="W4860" s="105"/>
      <c r="X4860" s="11"/>
      <c r="Y4860" s="11"/>
      <c r="Z4860" s="105"/>
      <c r="AA4860" s="11"/>
      <c r="AB4860" s="11"/>
      <c r="AC4860" s="105"/>
      <c r="AD4860" s="11" t="b">
        <v>0</v>
      </c>
      <c r="AE4860" s="105"/>
      <c r="AF4860" s="11"/>
      <c r="AG4860" s="11"/>
      <c r="AH4860" s="11"/>
      <c r="AI4860" s="11"/>
    </row>
    <row r="4861" ht="12.5" spans="3:35">
      <c r="C4861" s="19"/>
      <c r="D4861" s="19"/>
      <c r="H4861" s="105"/>
      <c r="I4861" s="126"/>
      <c r="J4861" s="11"/>
      <c r="K4861" s="108"/>
      <c r="L4861" s="11"/>
      <c r="M4861" s="105"/>
      <c r="N4861" s="105"/>
      <c r="O4861" s="11"/>
      <c r="P4861" s="11"/>
      <c r="Q4861" s="105"/>
      <c r="R4861" s="105"/>
      <c r="S4861" s="105"/>
      <c r="T4861" s="105"/>
      <c r="U4861" s="105"/>
      <c r="V4861" s="105"/>
      <c r="W4861" s="105"/>
      <c r="X4861" s="11"/>
      <c r="Y4861" s="11"/>
      <c r="Z4861" s="105"/>
      <c r="AA4861" s="11"/>
      <c r="AB4861" s="11"/>
      <c r="AC4861" s="105"/>
      <c r="AD4861" s="11" t="b">
        <v>0</v>
      </c>
      <c r="AE4861" s="105"/>
      <c r="AF4861" s="11"/>
      <c r="AG4861" s="11"/>
      <c r="AH4861" s="11"/>
      <c r="AI4861" s="11"/>
    </row>
    <row r="4862" ht="12.5" spans="3:35">
      <c r="C4862" s="19"/>
      <c r="D4862" s="19"/>
      <c r="H4862" s="105"/>
      <c r="I4862" s="126"/>
      <c r="J4862" s="11"/>
      <c r="K4862" s="108"/>
      <c r="L4862" s="11"/>
      <c r="M4862" s="105"/>
      <c r="N4862" s="105"/>
      <c r="O4862" s="11"/>
      <c r="P4862" s="11"/>
      <c r="Q4862" s="105"/>
      <c r="R4862" s="105"/>
      <c r="S4862" s="105"/>
      <c r="T4862" s="105"/>
      <c r="U4862" s="105"/>
      <c r="V4862" s="105"/>
      <c r="W4862" s="105"/>
      <c r="X4862" s="11"/>
      <c r="Y4862" s="11"/>
      <c r="Z4862" s="105"/>
      <c r="AA4862" s="11"/>
      <c r="AB4862" s="11"/>
      <c r="AC4862" s="105"/>
      <c r="AD4862" s="11" t="b">
        <v>0</v>
      </c>
      <c r="AE4862" s="105"/>
      <c r="AF4862" s="11"/>
      <c r="AG4862" s="11"/>
      <c r="AH4862" s="11"/>
      <c r="AI4862" s="11"/>
    </row>
    <row r="4863" ht="12.5" spans="3:35">
      <c r="C4863" s="19"/>
      <c r="D4863" s="19"/>
      <c r="H4863" s="105"/>
      <c r="I4863" s="126"/>
      <c r="J4863" s="11"/>
      <c r="K4863" s="108"/>
      <c r="L4863" s="11"/>
      <c r="M4863" s="105"/>
      <c r="N4863" s="105"/>
      <c r="O4863" s="11"/>
      <c r="P4863" s="11"/>
      <c r="Q4863" s="105"/>
      <c r="R4863" s="105"/>
      <c r="S4863" s="105"/>
      <c r="T4863" s="105"/>
      <c r="U4863" s="105"/>
      <c r="V4863" s="105"/>
      <c r="W4863" s="105"/>
      <c r="X4863" s="11"/>
      <c r="Y4863" s="11"/>
      <c r="Z4863" s="105"/>
      <c r="AA4863" s="11"/>
      <c r="AB4863" s="11"/>
      <c r="AC4863" s="105"/>
      <c r="AD4863" s="11" t="b">
        <v>0</v>
      </c>
      <c r="AE4863" s="105"/>
      <c r="AF4863" s="11"/>
      <c r="AG4863" s="11"/>
      <c r="AH4863" s="11"/>
      <c r="AI4863" s="11"/>
    </row>
    <row r="4864" ht="12.5" spans="3:35">
      <c r="C4864" s="19"/>
      <c r="D4864" s="19"/>
      <c r="H4864" s="105"/>
      <c r="I4864" s="126"/>
      <c r="J4864" s="11"/>
      <c r="K4864" s="108"/>
      <c r="L4864" s="11"/>
      <c r="M4864" s="105"/>
      <c r="N4864" s="105"/>
      <c r="O4864" s="11"/>
      <c r="P4864" s="11"/>
      <c r="Q4864" s="105"/>
      <c r="R4864" s="105"/>
      <c r="S4864" s="105"/>
      <c r="T4864" s="105"/>
      <c r="U4864" s="105"/>
      <c r="V4864" s="105"/>
      <c r="W4864" s="105"/>
      <c r="X4864" s="11"/>
      <c r="Y4864" s="11"/>
      <c r="Z4864" s="105"/>
      <c r="AA4864" s="11"/>
      <c r="AB4864" s="11"/>
      <c r="AC4864" s="105"/>
      <c r="AD4864" s="11" t="b">
        <v>0</v>
      </c>
      <c r="AE4864" s="105"/>
      <c r="AF4864" s="11"/>
      <c r="AG4864" s="11"/>
      <c r="AH4864" s="11"/>
      <c r="AI4864" s="11"/>
    </row>
    <row r="4865" ht="12.5" spans="3:35">
      <c r="C4865" s="19"/>
      <c r="D4865" s="19"/>
      <c r="H4865" s="105"/>
      <c r="I4865" s="126"/>
      <c r="J4865" s="11"/>
      <c r="K4865" s="108"/>
      <c r="L4865" s="11"/>
      <c r="M4865" s="105"/>
      <c r="N4865" s="105"/>
      <c r="O4865" s="11"/>
      <c r="P4865" s="11"/>
      <c r="Q4865" s="105"/>
      <c r="R4865" s="105"/>
      <c r="S4865" s="105"/>
      <c r="T4865" s="105"/>
      <c r="U4865" s="105"/>
      <c r="V4865" s="105"/>
      <c r="W4865" s="105"/>
      <c r="X4865" s="11"/>
      <c r="Y4865" s="11"/>
      <c r="Z4865" s="105"/>
      <c r="AA4865" s="11"/>
      <c r="AB4865" s="11"/>
      <c r="AC4865" s="105"/>
      <c r="AD4865" s="11" t="b">
        <v>0</v>
      </c>
      <c r="AE4865" s="105"/>
      <c r="AF4865" s="11"/>
      <c r="AG4865" s="11"/>
      <c r="AH4865" s="11"/>
      <c r="AI4865" s="11"/>
    </row>
    <row r="4866" ht="12.5" spans="3:35">
      <c r="C4866" s="19"/>
      <c r="D4866" s="19"/>
      <c r="H4866" s="105"/>
      <c r="I4866" s="126"/>
      <c r="J4866" s="11"/>
      <c r="K4866" s="108"/>
      <c r="L4866" s="11"/>
      <c r="M4866" s="105"/>
      <c r="N4866" s="105"/>
      <c r="O4866" s="11"/>
      <c r="P4866" s="11"/>
      <c r="Q4866" s="105"/>
      <c r="R4866" s="105"/>
      <c r="S4866" s="105"/>
      <c r="T4866" s="105"/>
      <c r="U4866" s="105"/>
      <c r="V4866" s="105"/>
      <c r="W4866" s="105"/>
      <c r="X4866" s="11"/>
      <c r="Y4866" s="11"/>
      <c r="Z4866" s="105"/>
      <c r="AA4866" s="11"/>
      <c r="AB4866" s="11"/>
      <c r="AC4866" s="105"/>
      <c r="AD4866" s="11" t="b">
        <v>0</v>
      </c>
      <c r="AE4866" s="105"/>
      <c r="AF4866" s="11"/>
      <c r="AG4866" s="11"/>
      <c r="AH4866" s="11"/>
      <c r="AI4866" s="11"/>
    </row>
    <row r="4867" ht="12.5" spans="3:35">
      <c r="C4867" s="19"/>
      <c r="D4867" s="19"/>
      <c r="H4867" s="105"/>
      <c r="I4867" s="126"/>
      <c r="J4867" s="11"/>
      <c r="K4867" s="108"/>
      <c r="L4867" s="11"/>
      <c r="M4867" s="105"/>
      <c r="N4867" s="105"/>
      <c r="O4867" s="11"/>
      <c r="P4867" s="11"/>
      <c r="Q4867" s="105"/>
      <c r="R4867" s="105"/>
      <c r="S4867" s="105"/>
      <c r="T4867" s="105"/>
      <c r="U4867" s="105"/>
      <c r="V4867" s="105"/>
      <c r="W4867" s="105"/>
      <c r="X4867" s="11"/>
      <c r="Y4867" s="11"/>
      <c r="Z4867" s="105"/>
      <c r="AA4867" s="11"/>
      <c r="AB4867" s="11"/>
      <c r="AC4867" s="105"/>
      <c r="AD4867" s="11" t="b">
        <v>0</v>
      </c>
      <c r="AE4867" s="105"/>
      <c r="AF4867" s="11"/>
      <c r="AG4867" s="11"/>
      <c r="AH4867" s="11"/>
      <c r="AI4867" s="11"/>
    </row>
    <row r="4868" ht="12.5" spans="3:35">
      <c r="C4868" s="19"/>
      <c r="D4868" s="19"/>
      <c r="H4868" s="105"/>
      <c r="I4868" s="126"/>
      <c r="J4868" s="11"/>
      <c r="K4868" s="108"/>
      <c r="L4868" s="11"/>
      <c r="M4868" s="105"/>
      <c r="N4868" s="105"/>
      <c r="O4868" s="11"/>
      <c r="P4868" s="11"/>
      <c r="Q4868" s="105"/>
      <c r="R4868" s="105"/>
      <c r="S4868" s="105"/>
      <c r="T4868" s="105"/>
      <c r="U4868" s="105"/>
      <c r="V4868" s="105"/>
      <c r="W4868" s="105"/>
      <c r="X4868" s="11"/>
      <c r="Y4868" s="11"/>
      <c r="Z4868" s="105"/>
      <c r="AA4868" s="11"/>
      <c r="AB4868" s="11"/>
      <c r="AC4868" s="105"/>
      <c r="AD4868" s="11" t="b">
        <v>0</v>
      </c>
      <c r="AE4868" s="105"/>
      <c r="AF4868" s="11"/>
      <c r="AG4868" s="11"/>
      <c r="AH4868" s="11"/>
      <c r="AI4868" s="11"/>
    </row>
    <row r="4869" ht="12.5" spans="3:35">
      <c r="C4869" s="19"/>
      <c r="D4869" s="19"/>
      <c r="H4869" s="105"/>
      <c r="I4869" s="126"/>
      <c r="J4869" s="11"/>
      <c r="K4869" s="108"/>
      <c r="L4869" s="11"/>
      <c r="M4869" s="105"/>
      <c r="N4869" s="105"/>
      <c r="O4869" s="11"/>
      <c r="P4869" s="11"/>
      <c r="Q4869" s="105"/>
      <c r="R4869" s="105"/>
      <c r="S4869" s="105"/>
      <c r="T4869" s="105"/>
      <c r="U4869" s="105"/>
      <c r="V4869" s="105"/>
      <c r="W4869" s="105"/>
      <c r="X4869" s="11"/>
      <c r="Y4869" s="11"/>
      <c r="Z4869" s="105"/>
      <c r="AA4869" s="11"/>
      <c r="AB4869" s="11"/>
      <c r="AC4869" s="105"/>
      <c r="AD4869" s="11" t="b">
        <v>0</v>
      </c>
      <c r="AE4869" s="105"/>
      <c r="AF4869" s="11"/>
      <c r="AG4869" s="11"/>
      <c r="AH4869" s="11"/>
      <c r="AI4869" s="11"/>
    </row>
    <row r="4870" ht="12.5" spans="3:35">
      <c r="C4870" s="19"/>
      <c r="D4870" s="19"/>
      <c r="H4870" s="105"/>
      <c r="I4870" s="126"/>
      <c r="J4870" s="11"/>
      <c r="K4870" s="108"/>
      <c r="L4870" s="11"/>
      <c r="M4870" s="105"/>
      <c r="N4870" s="105"/>
      <c r="O4870" s="11"/>
      <c r="P4870" s="11"/>
      <c r="Q4870" s="105"/>
      <c r="R4870" s="105"/>
      <c r="S4870" s="105"/>
      <c r="T4870" s="105"/>
      <c r="U4870" s="105"/>
      <c r="V4870" s="105"/>
      <c r="W4870" s="105"/>
      <c r="X4870" s="11"/>
      <c r="Y4870" s="11"/>
      <c r="Z4870" s="105"/>
      <c r="AA4870" s="11"/>
      <c r="AB4870" s="11"/>
      <c r="AC4870" s="105"/>
      <c r="AD4870" s="11" t="b">
        <v>0</v>
      </c>
      <c r="AE4870" s="105"/>
      <c r="AF4870" s="11"/>
      <c r="AG4870" s="11"/>
      <c r="AH4870" s="11"/>
      <c r="AI4870" s="11"/>
    </row>
    <row r="4871" ht="12.5" spans="3:35">
      <c r="C4871" s="19"/>
      <c r="D4871" s="19"/>
      <c r="H4871" s="105"/>
      <c r="I4871" s="126"/>
      <c r="J4871" s="11"/>
      <c r="K4871" s="108"/>
      <c r="L4871" s="11"/>
      <c r="M4871" s="105"/>
      <c r="N4871" s="105"/>
      <c r="O4871" s="11"/>
      <c r="P4871" s="11"/>
      <c r="Q4871" s="105"/>
      <c r="R4871" s="105"/>
      <c r="S4871" s="105"/>
      <c r="T4871" s="105"/>
      <c r="U4871" s="105"/>
      <c r="V4871" s="105"/>
      <c r="W4871" s="105"/>
      <c r="X4871" s="11"/>
      <c r="Y4871" s="11"/>
      <c r="Z4871" s="105"/>
      <c r="AA4871" s="11"/>
      <c r="AB4871" s="11"/>
      <c r="AC4871" s="105"/>
      <c r="AD4871" s="11" t="b">
        <v>0</v>
      </c>
      <c r="AE4871" s="105"/>
      <c r="AF4871" s="11"/>
      <c r="AG4871" s="11"/>
      <c r="AH4871" s="11"/>
      <c r="AI4871" s="11"/>
    </row>
    <row r="4872" ht="12.5" spans="3:35">
      <c r="C4872" s="19"/>
      <c r="D4872" s="19"/>
      <c r="H4872" s="105"/>
      <c r="I4872" s="126"/>
      <c r="J4872" s="11"/>
      <c r="K4872" s="108"/>
      <c r="L4872" s="11"/>
      <c r="M4872" s="105"/>
      <c r="N4872" s="105"/>
      <c r="O4872" s="11"/>
      <c r="P4872" s="11"/>
      <c r="Q4872" s="105"/>
      <c r="R4872" s="105"/>
      <c r="S4872" s="105"/>
      <c r="T4872" s="105"/>
      <c r="U4872" s="105"/>
      <c r="V4872" s="105"/>
      <c r="W4872" s="105"/>
      <c r="X4872" s="11"/>
      <c r="Y4872" s="11"/>
      <c r="Z4872" s="105"/>
      <c r="AA4872" s="11"/>
      <c r="AB4872" s="11"/>
      <c r="AC4872" s="105"/>
      <c r="AD4872" s="11" t="b">
        <v>0</v>
      </c>
      <c r="AE4872" s="105"/>
      <c r="AF4872" s="11"/>
      <c r="AG4872" s="11"/>
      <c r="AH4872" s="11"/>
      <c r="AI4872" s="11"/>
    </row>
    <row r="4873" ht="12.5" spans="3:35">
      <c r="C4873" s="19"/>
      <c r="D4873" s="19"/>
      <c r="H4873" s="105"/>
      <c r="I4873" s="126"/>
      <c r="J4873" s="11"/>
      <c r="K4873" s="108"/>
      <c r="L4873" s="11"/>
      <c r="M4873" s="105"/>
      <c r="N4873" s="105"/>
      <c r="O4873" s="11"/>
      <c r="P4873" s="11"/>
      <c r="Q4873" s="105"/>
      <c r="R4873" s="105"/>
      <c r="S4873" s="105"/>
      <c r="T4873" s="105"/>
      <c r="U4873" s="105"/>
      <c r="V4873" s="105"/>
      <c r="W4873" s="105"/>
      <c r="X4873" s="11"/>
      <c r="Y4873" s="11"/>
      <c r="Z4873" s="105"/>
      <c r="AA4873" s="11"/>
      <c r="AB4873" s="11"/>
      <c r="AC4873" s="105"/>
      <c r="AD4873" s="11" t="b">
        <v>0</v>
      </c>
      <c r="AE4873" s="105"/>
      <c r="AF4873" s="11"/>
      <c r="AG4873" s="11"/>
      <c r="AH4873" s="11"/>
      <c r="AI4873" s="11"/>
    </row>
    <row r="4874" ht="12.5" spans="3:35">
      <c r="C4874" s="19"/>
      <c r="D4874" s="19"/>
      <c r="H4874" s="105"/>
      <c r="I4874" s="126"/>
      <c r="J4874" s="11"/>
      <c r="K4874" s="108"/>
      <c r="L4874" s="11"/>
      <c r="M4874" s="105"/>
      <c r="N4874" s="105"/>
      <c r="O4874" s="11"/>
      <c r="P4874" s="11"/>
      <c r="Q4874" s="105"/>
      <c r="R4874" s="105"/>
      <c r="S4874" s="105"/>
      <c r="T4874" s="105"/>
      <c r="U4874" s="105"/>
      <c r="V4874" s="105"/>
      <c r="W4874" s="105"/>
      <c r="X4874" s="11"/>
      <c r="Y4874" s="11"/>
      <c r="Z4874" s="105"/>
      <c r="AA4874" s="11"/>
      <c r="AB4874" s="11"/>
      <c r="AC4874" s="105"/>
      <c r="AD4874" s="11" t="b">
        <v>0</v>
      </c>
      <c r="AE4874" s="105"/>
      <c r="AF4874" s="11"/>
      <c r="AG4874" s="11"/>
      <c r="AH4874" s="11"/>
      <c r="AI4874" s="11"/>
    </row>
    <row r="4875" ht="12.5" spans="3:35">
      <c r="C4875" s="19"/>
      <c r="D4875" s="19"/>
      <c r="H4875" s="105"/>
      <c r="I4875" s="126"/>
      <c r="J4875" s="11"/>
      <c r="K4875" s="108"/>
      <c r="L4875" s="11"/>
      <c r="M4875" s="105"/>
      <c r="N4875" s="105"/>
      <c r="O4875" s="11"/>
      <c r="P4875" s="11"/>
      <c r="Q4875" s="105"/>
      <c r="R4875" s="105"/>
      <c r="S4875" s="105"/>
      <c r="T4875" s="105"/>
      <c r="U4875" s="105"/>
      <c r="V4875" s="105"/>
      <c r="W4875" s="105"/>
      <c r="X4875" s="11"/>
      <c r="Y4875" s="11"/>
      <c r="Z4875" s="105"/>
      <c r="AA4875" s="11"/>
      <c r="AB4875" s="11"/>
      <c r="AC4875" s="105"/>
      <c r="AD4875" s="11" t="b">
        <v>0</v>
      </c>
      <c r="AE4875" s="105"/>
      <c r="AF4875" s="11"/>
      <c r="AG4875" s="11"/>
      <c r="AH4875" s="11"/>
      <c r="AI4875" s="11"/>
    </row>
    <row r="4876" ht="12.5" spans="3:35">
      <c r="C4876" s="19"/>
      <c r="D4876" s="19"/>
      <c r="H4876" s="105"/>
      <c r="I4876" s="126"/>
      <c r="J4876" s="11"/>
      <c r="K4876" s="108"/>
      <c r="L4876" s="11"/>
      <c r="M4876" s="105"/>
      <c r="N4876" s="105"/>
      <c r="O4876" s="11"/>
      <c r="P4876" s="11"/>
      <c r="Q4876" s="105"/>
      <c r="R4876" s="105"/>
      <c r="S4876" s="105"/>
      <c r="T4876" s="105"/>
      <c r="U4876" s="105"/>
      <c r="V4876" s="105"/>
      <c r="W4876" s="105"/>
      <c r="X4876" s="11"/>
      <c r="Y4876" s="11"/>
      <c r="Z4876" s="105"/>
      <c r="AA4876" s="11"/>
      <c r="AB4876" s="11"/>
      <c r="AC4876" s="105"/>
      <c r="AD4876" s="11" t="b">
        <v>0</v>
      </c>
      <c r="AE4876" s="105"/>
      <c r="AF4876" s="11"/>
      <c r="AG4876" s="11"/>
      <c r="AH4876" s="11"/>
      <c r="AI4876" s="11"/>
    </row>
    <row r="4877" ht="12.5" spans="3:35">
      <c r="C4877" s="19"/>
      <c r="D4877" s="19"/>
      <c r="H4877" s="105"/>
      <c r="I4877" s="126"/>
      <c r="J4877" s="11"/>
      <c r="K4877" s="108"/>
      <c r="L4877" s="11"/>
      <c r="M4877" s="105"/>
      <c r="N4877" s="105"/>
      <c r="O4877" s="11"/>
      <c r="P4877" s="11"/>
      <c r="Q4877" s="105"/>
      <c r="R4877" s="105"/>
      <c r="S4877" s="105"/>
      <c r="T4877" s="105"/>
      <c r="U4877" s="105"/>
      <c r="V4877" s="105"/>
      <c r="W4877" s="105"/>
      <c r="X4877" s="11"/>
      <c r="Y4877" s="11"/>
      <c r="Z4877" s="105"/>
      <c r="AA4877" s="11"/>
      <c r="AB4877" s="11"/>
      <c r="AC4877" s="105"/>
      <c r="AD4877" s="11" t="b">
        <v>0</v>
      </c>
      <c r="AE4877" s="105"/>
      <c r="AF4877" s="11"/>
      <c r="AG4877" s="11"/>
      <c r="AH4877" s="11"/>
      <c r="AI4877" s="11"/>
    </row>
    <row r="4878" ht="12.5" spans="3:35">
      <c r="C4878" s="19"/>
      <c r="D4878" s="19"/>
      <c r="H4878" s="105"/>
      <c r="I4878" s="126"/>
      <c r="J4878" s="11"/>
      <c r="K4878" s="108"/>
      <c r="L4878" s="11"/>
      <c r="M4878" s="105"/>
      <c r="N4878" s="105"/>
      <c r="O4878" s="11"/>
      <c r="P4878" s="11"/>
      <c r="Q4878" s="105"/>
      <c r="R4878" s="105"/>
      <c r="S4878" s="105"/>
      <c r="T4878" s="105"/>
      <c r="U4878" s="105"/>
      <c r="V4878" s="105"/>
      <c r="W4878" s="105"/>
      <c r="X4878" s="11"/>
      <c r="Y4878" s="11"/>
      <c r="Z4878" s="105"/>
      <c r="AA4878" s="11"/>
      <c r="AB4878" s="11"/>
      <c r="AC4878" s="105"/>
      <c r="AD4878" s="11" t="b">
        <v>0</v>
      </c>
      <c r="AE4878" s="105"/>
      <c r="AF4878" s="11"/>
      <c r="AG4878" s="11"/>
      <c r="AH4878" s="11"/>
      <c r="AI4878" s="11"/>
    </row>
    <row r="4879" ht="12.5" spans="3:35">
      <c r="C4879" s="19"/>
      <c r="D4879" s="19"/>
      <c r="H4879" s="105"/>
      <c r="I4879" s="126"/>
      <c r="J4879" s="11"/>
      <c r="K4879" s="108"/>
      <c r="L4879" s="11"/>
      <c r="M4879" s="105"/>
      <c r="N4879" s="105"/>
      <c r="O4879" s="11"/>
      <c r="P4879" s="11"/>
      <c r="Q4879" s="105"/>
      <c r="R4879" s="105"/>
      <c r="S4879" s="105"/>
      <c r="T4879" s="105"/>
      <c r="U4879" s="105"/>
      <c r="V4879" s="105"/>
      <c r="W4879" s="105"/>
      <c r="X4879" s="11"/>
      <c r="Y4879" s="11"/>
      <c r="Z4879" s="105"/>
      <c r="AA4879" s="11"/>
      <c r="AB4879" s="11"/>
      <c r="AC4879" s="105"/>
      <c r="AD4879" s="11" t="b">
        <v>0</v>
      </c>
      <c r="AE4879" s="105"/>
      <c r="AF4879" s="11"/>
      <c r="AG4879" s="11"/>
      <c r="AH4879" s="11"/>
      <c r="AI4879" s="11"/>
    </row>
    <row r="4880" ht="12.5" spans="3:35">
      <c r="C4880" s="19"/>
      <c r="D4880" s="19"/>
      <c r="H4880" s="105"/>
      <c r="I4880" s="126"/>
      <c r="J4880" s="11"/>
      <c r="K4880" s="108"/>
      <c r="L4880" s="11"/>
      <c r="M4880" s="105"/>
      <c r="N4880" s="105"/>
      <c r="O4880" s="11"/>
      <c r="P4880" s="11"/>
      <c r="Q4880" s="105"/>
      <c r="R4880" s="105"/>
      <c r="S4880" s="105"/>
      <c r="T4880" s="105"/>
      <c r="U4880" s="105"/>
      <c r="V4880" s="105"/>
      <c r="W4880" s="105"/>
      <c r="X4880" s="11"/>
      <c r="Y4880" s="11"/>
      <c r="Z4880" s="105"/>
      <c r="AA4880" s="11"/>
      <c r="AB4880" s="11"/>
      <c r="AC4880" s="105"/>
      <c r="AD4880" s="11" t="b">
        <v>0</v>
      </c>
      <c r="AE4880" s="105"/>
      <c r="AF4880" s="11"/>
      <c r="AG4880" s="11"/>
      <c r="AH4880" s="11"/>
      <c r="AI4880" s="11"/>
    </row>
    <row r="4881" ht="12.5" spans="3:35">
      <c r="C4881" s="19"/>
      <c r="D4881" s="19"/>
      <c r="H4881" s="105"/>
      <c r="I4881" s="126"/>
      <c r="J4881" s="11"/>
      <c r="K4881" s="108"/>
      <c r="L4881" s="11"/>
      <c r="M4881" s="105"/>
      <c r="N4881" s="105"/>
      <c r="O4881" s="11"/>
      <c r="P4881" s="11"/>
      <c r="Q4881" s="105"/>
      <c r="R4881" s="105"/>
      <c r="S4881" s="105"/>
      <c r="T4881" s="105"/>
      <c r="U4881" s="105"/>
      <c r="V4881" s="105"/>
      <c r="W4881" s="105"/>
      <c r="X4881" s="11"/>
      <c r="Y4881" s="11"/>
      <c r="Z4881" s="105"/>
      <c r="AA4881" s="11"/>
      <c r="AB4881" s="11"/>
      <c r="AC4881" s="105"/>
      <c r="AD4881" s="11" t="b">
        <v>0</v>
      </c>
      <c r="AE4881" s="105"/>
      <c r="AF4881" s="11"/>
      <c r="AG4881" s="11"/>
      <c r="AH4881" s="11"/>
      <c r="AI4881" s="11"/>
    </row>
    <row r="4882" ht="12.5" spans="3:35">
      <c r="C4882" s="19"/>
      <c r="D4882" s="19"/>
      <c r="H4882" s="105"/>
      <c r="I4882" s="126"/>
      <c r="J4882" s="11"/>
      <c r="K4882" s="108"/>
      <c r="L4882" s="11"/>
      <c r="M4882" s="105"/>
      <c r="N4882" s="105"/>
      <c r="O4882" s="11"/>
      <c r="P4882" s="11"/>
      <c r="Q4882" s="105"/>
      <c r="R4882" s="105"/>
      <c r="S4882" s="105"/>
      <c r="T4882" s="105"/>
      <c r="U4882" s="105"/>
      <c r="V4882" s="105"/>
      <c r="W4882" s="105"/>
      <c r="X4882" s="11"/>
      <c r="Y4882" s="11"/>
      <c r="Z4882" s="105"/>
      <c r="AA4882" s="11"/>
      <c r="AB4882" s="11"/>
      <c r="AC4882" s="105"/>
      <c r="AD4882" s="11" t="b">
        <v>0</v>
      </c>
      <c r="AE4882" s="105"/>
      <c r="AF4882" s="11"/>
      <c r="AG4882" s="11"/>
      <c r="AH4882" s="11"/>
      <c r="AI4882" s="11"/>
    </row>
    <row r="4883" ht="12.5" spans="3:35">
      <c r="C4883" s="19"/>
      <c r="D4883" s="19"/>
      <c r="H4883" s="105"/>
      <c r="I4883" s="126"/>
      <c r="J4883" s="11"/>
      <c r="K4883" s="108"/>
      <c r="L4883" s="11"/>
      <c r="M4883" s="105"/>
      <c r="N4883" s="105"/>
      <c r="O4883" s="11"/>
      <c r="P4883" s="11"/>
      <c r="Q4883" s="105"/>
      <c r="R4883" s="105"/>
      <c r="S4883" s="105"/>
      <c r="T4883" s="105"/>
      <c r="U4883" s="105"/>
      <c r="V4883" s="105"/>
      <c r="W4883" s="105"/>
      <c r="X4883" s="11"/>
      <c r="Y4883" s="11"/>
      <c r="Z4883" s="105"/>
      <c r="AA4883" s="11"/>
      <c r="AB4883" s="11"/>
      <c r="AC4883" s="105"/>
      <c r="AD4883" s="11" t="b">
        <v>0</v>
      </c>
      <c r="AE4883" s="105"/>
      <c r="AF4883" s="11"/>
      <c r="AG4883" s="11"/>
      <c r="AH4883" s="11"/>
      <c r="AI4883" s="11"/>
    </row>
    <row r="4884" ht="12.5" spans="3:35">
      <c r="C4884" s="19"/>
      <c r="D4884" s="19"/>
      <c r="H4884" s="105"/>
      <c r="I4884" s="126"/>
      <c r="J4884" s="11"/>
      <c r="K4884" s="108"/>
      <c r="L4884" s="11"/>
      <c r="M4884" s="105"/>
      <c r="N4884" s="105"/>
      <c r="O4884" s="11"/>
      <c r="P4884" s="11"/>
      <c r="Q4884" s="105"/>
      <c r="R4884" s="105"/>
      <c r="S4884" s="105"/>
      <c r="T4884" s="105"/>
      <c r="U4884" s="105"/>
      <c r="V4884" s="105"/>
      <c r="W4884" s="105"/>
      <c r="X4884" s="11"/>
      <c r="Y4884" s="11"/>
      <c r="Z4884" s="105"/>
      <c r="AA4884" s="11"/>
      <c r="AB4884" s="11"/>
      <c r="AC4884" s="105"/>
      <c r="AD4884" s="11" t="b">
        <v>0</v>
      </c>
      <c r="AE4884" s="105"/>
      <c r="AF4884" s="11"/>
      <c r="AG4884" s="11"/>
      <c r="AH4884" s="11"/>
      <c r="AI4884" s="11"/>
    </row>
    <row r="4885" ht="12.5" spans="3:35">
      <c r="C4885" s="19"/>
      <c r="D4885" s="19"/>
      <c r="H4885" s="105"/>
      <c r="I4885" s="126"/>
      <c r="J4885" s="11"/>
      <c r="K4885" s="108"/>
      <c r="L4885" s="11"/>
      <c r="M4885" s="105"/>
      <c r="N4885" s="105"/>
      <c r="O4885" s="11"/>
      <c r="P4885" s="11"/>
      <c r="Q4885" s="105"/>
      <c r="R4885" s="105"/>
      <c r="S4885" s="105"/>
      <c r="T4885" s="105"/>
      <c r="U4885" s="105"/>
      <c r="V4885" s="105"/>
      <c r="W4885" s="105"/>
      <c r="X4885" s="11"/>
      <c r="Y4885" s="11"/>
      <c r="Z4885" s="105"/>
      <c r="AA4885" s="11"/>
      <c r="AB4885" s="11"/>
      <c r="AC4885" s="105"/>
      <c r="AD4885" s="11" t="b">
        <v>0</v>
      </c>
      <c r="AE4885" s="105"/>
      <c r="AF4885" s="11"/>
      <c r="AG4885" s="11"/>
      <c r="AH4885" s="11"/>
      <c r="AI4885" s="11"/>
    </row>
    <row r="4886" ht="12.5" spans="3:35">
      <c r="C4886" s="19"/>
      <c r="D4886" s="19"/>
      <c r="H4886" s="105"/>
      <c r="I4886" s="126"/>
      <c r="J4886" s="11"/>
      <c r="K4886" s="108"/>
      <c r="L4886" s="11"/>
      <c r="M4886" s="105"/>
      <c r="N4886" s="105"/>
      <c r="O4886" s="11"/>
      <c r="P4886" s="11"/>
      <c r="Q4886" s="105"/>
      <c r="R4886" s="105"/>
      <c r="S4886" s="105"/>
      <c r="T4886" s="105"/>
      <c r="U4886" s="105"/>
      <c r="V4886" s="105"/>
      <c r="W4886" s="105"/>
      <c r="X4886" s="11"/>
      <c r="Y4886" s="11"/>
      <c r="Z4886" s="105"/>
      <c r="AA4886" s="11"/>
      <c r="AB4886" s="11"/>
      <c r="AC4886" s="105"/>
      <c r="AD4886" s="11" t="b">
        <v>0</v>
      </c>
      <c r="AE4886" s="105"/>
      <c r="AF4886" s="11"/>
      <c r="AG4886" s="11"/>
      <c r="AH4886" s="11"/>
      <c r="AI4886" s="11"/>
    </row>
    <row r="4887" ht="12.5" spans="3:35">
      <c r="C4887" s="19"/>
      <c r="D4887" s="19"/>
      <c r="H4887" s="105"/>
      <c r="I4887" s="126"/>
      <c r="J4887" s="11"/>
      <c r="K4887" s="108"/>
      <c r="L4887" s="11"/>
      <c r="M4887" s="105"/>
      <c r="N4887" s="105"/>
      <c r="O4887" s="11"/>
      <c r="P4887" s="11"/>
      <c r="Q4887" s="105"/>
      <c r="R4887" s="105"/>
      <c r="S4887" s="105"/>
      <c r="T4887" s="105"/>
      <c r="U4887" s="105"/>
      <c r="V4887" s="105"/>
      <c r="W4887" s="105"/>
      <c r="X4887" s="11"/>
      <c r="Y4887" s="11"/>
      <c r="Z4887" s="105"/>
      <c r="AA4887" s="11"/>
      <c r="AB4887" s="11"/>
      <c r="AC4887" s="105"/>
      <c r="AD4887" s="11" t="b">
        <v>0</v>
      </c>
      <c r="AE4887" s="105"/>
      <c r="AF4887" s="11"/>
      <c r="AG4887" s="11"/>
      <c r="AH4887" s="11"/>
      <c r="AI4887" s="11"/>
    </row>
    <row r="4888" ht="12.5" spans="3:35">
      <c r="C4888" s="19"/>
      <c r="D4888" s="19"/>
      <c r="H4888" s="105"/>
      <c r="I4888" s="126"/>
      <c r="J4888" s="11"/>
      <c r="K4888" s="108"/>
      <c r="L4888" s="11"/>
      <c r="M4888" s="105"/>
      <c r="N4888" s="105"/>
      <c r="O4888" s="11"/>
      <c r="P4888" s="11"/>
      <c r="Q4888" s="105"/>
      <c r="R4888" s="105"/>
      <c r="S4888" s="105"/>
      <c r="T4888" s="105"/>
      <c r="U4888" s="105"/>
      <c r="V4888" s="105"/>
      <c r="W4888" s="105"/>
      <c r="X4888" s="11"/>
      <c r="Y4888" s="11"/>
      <c r="Z4888" s="105"/>
      <c r="AA4888" s="11"/>
      <c r="AB4888" s="11"/>
      <c r="AC4888" s="105"/>
      <c r="AD4888" s="11" t="b">
        <v>0</v>
      </c>
      <c r="AE4888" s="105"/>
      <c r="AF4888" s="11"/>
      <c r="AG4888" s="11"/>
      <c r="AH4888" s="11"/>
      <c r="AI4888" s="11"/>
    </row>
    <row r="4889" ht="12.5" spans="3:35">
      <c r="C4889" s="19"/>
      <c r="D4889" s="19"/>
      <c r="H4889" s="105"/>
      <c r="I4889" s="126"/>
      <c r="J4889" s="11"/>
      <c r="K4889" s="108"/>
      <c r="L4889" s="11"/>
      <c r="M4889" s="105"/>
      <c r="N4889" s="105"/>
      <c r="O4889" s="11"/>
      <c r="P4889" s="11"/>
      <c r="Q4889" s="105"/>
      <c r="R4889" s="105"/>
      <c r="S4889" s="105"/>
      <c r="T4889" s="105"/>
      <c r="U4889" s="105"/>
      <c r="V4889" s="105"/>
      <c r="W4889" s="105"/>
      <c r="X4889" s="11"/>
      <c r="Y4889" s="11"/>
      <c r="Z4889" s="105"/>
      <c r="AA4889" s="11"/>
      <c r="AB4889" s="11"/>
      <c r="AC4889" s="105"/>
      <c r="AD4889" s="11" t="b">
        <v>0</v>
      </c>
      <c r="AE4889" s="105"/>
      <c r="AF4889" s="11"/>
      <c r="AG4889" s="11"/>
      <c r="AH4889" s="11"/>
      <c r="AI4889" s="11"/>
    </row>
    <row r="4890" ht="12.5" spans="3:35">
      <c r="C4890" s="19"/>
      <c r="D4890" s="19"/>
      <c r="H4890" s="105"/>
      <c r="I4890" s="126"/>
      <c r="J4890" s="11"/>
      <c r="K4890" s="108"/>
      <c r="L4890" s="11"/>
      <c r="M4890" s="105"/>
      <c r="N4890" s="105"/>
      <c r="O4890" s="11"/>
      <c r="P4890" s="11"/>
      <c r="Q4890" s="105"/>
      <c r="R4890" s="105"/>
      <c r="S4890" s="105"/>
      <c r="T4890" s="105"/>
      <c r="U4890" s="105"/>
      <c r="V4890" s="105"/>
      <c r="W4890" s="105"/>
      <c r="X4890" s="11"/>
      <c r="Y4890" s="11"/>
      <c r="Z4890" s="105"/>
      <c r="AA4890" s="11"/>
      <c r="AB4890" s="11"/>
      <c r="AC4890" s="105"/>
      <c r="AD4890" s="11" t="b">
        <v>0</v>
      </c>
      <c r="AE4890" s="105"/>
      <c r="AF4890" s="11"/>
      <c r="AG4890" s="11"/>
      <c r="AH4890" s="11"/>
      <c r="AI4890" s="11"/>
    </row>
    <row r="4891" ht="12.5" spans="3:35">
      <c r="C4891" s="19"/>
      <c r="D4891" s="19"/>
      <c r="H4891" s="105"/>
      <c r="I4891" s="126"/>
      <c r="J4891" s="11"/>
      <c r="K4891" s="108"/>
      <c r="L4891" s="11"/>
      <c r="M4891" s="105"/>
      <c r="N4891" s="105"/>
      <c r="O4891" s="11"/>
      <c r="P4891" s="11"/>
      <c r="Q4891" s="105"/>
      <c r="R4891" s="105"/>
      <c r="S4891" s="105"/>
      <c r="T4891" s="105"/>
      <c r="U4891" s="105"/>
      <c r="V4891" s="105"/>
      <c r="W4891" s="105"/>
      <c r="X4891" s="11"/>
      <c r="Y4891" s="11"/>
      <c r="Z4891" s="105"/>
      <c r="AA4891" s="11"/>
      <c r="AB4891" s="11"/>
      <c r="AC4891" s="105"/>
      <c r="AD4891" s="11" t="b">
        <v>0</v>
      </c>
      <c r="AE4891" s="105"/>
      <c r="AF4891" s="11"/>
      <c r="AG4891" s="11"/>
      <c r="AH4891" s="11"/>
      <c r="AI4891" s="11"/>
    </row>
    <row r="4892" ht="12.5" spans="3:35">
      <c r="C4892" s="19"/>
      <c r="D4892" s="19"/>
      <c r="H4892" s="105"/>
      <c r="I4892" s="126"/>
      <c r="J4892" s="11"/>
      <c r="K4892" s="108"/>
      <c r="L4892" s="11"/>
      <c r="M4892" s="105"/>
      <c r="N4892" s="105"/>
      <c r="O4892" s="11"/>
      <c r="P4892" s="11"/>
      <c r="Q4892" s="105"/>
      <c r="R4892" s="105"/>
      <c r="S4892" s="105"/>
      <c r="T4892" s="105"/>
      <c r="U4892" s="105"/>
      <c r="V4892" s="105"/>
      <c r="W4892" s="105"/>
      <c r="X4892" s="11"/>
      <c r="Y4892" s="11"/>
      <c r="Z4892" s="105"/>
      <c r="AA4892" s="11"/>
      <c r="AB4892" s="11"/>
      <c r="AC4892" s="105"/>
      <c r="AD4892" s="11" t="b">
        <v>0</v>
      </c>
      <c r="AE4892" s="105"/>
      <c r="AF4892" s="11"/>
      <c r="AG4892" s="11"/>
      <c r="AH4892" s="11"/>
      <c r="AI4892" s="11"/>
    </row>
    <row r="4893" ht="12.5" spans="3:35">
      <c r="C4893" s="19"/>
      <c r="D4893" s="19"/>
      <c r="H4893" s="105"/>
      <c r="I4893" s="126"/>
      <c r="J4893" s="11"/>
      <c r="K4893" s="108"/>
      <c r="L4893" s="11"/>
      <c r="M4893" s="105"/>
      <c r="N4893" s="105"/>
      <c r="O4893" s="11"/>
      <c r="P4893" s="11"/>
      <c r="Q4893" s="105"/>
      <c r="R4893" s="105"/>
      <c r="S4893" s="105"/>
      <c r="T4893" s="105"/>
      <c r="U4893" s="105"/>
      <c r="V4893" s="105"/>
      <c r="W4893" s="105"/>
      <c r="X4893" s="11"/>
      <c r="Y4893" s="11"/>
      <c r="Z4893" s="105"/>
      <c r="AA4893" s="11"/>
      <c r="AB4893" s="11"/>
      <c r="AC4893" s="105"/>
      <c r="AD4893" s="11" t="b">
        <v>0</v>
      </c>
      <c r="AE4893" s="105"/>
      <c r="AF4893" s="11"/>
      <c r="AG4893" s="11"/>
      <c r="AH4893" s="11"/>
      <c r="AI4893" s="11"/>
    </row>
    <row r="4894" ht="12.5" spans="3:35">
      <c r="C4894" s="19"/>
      <c r="D4894" s="19"/>
      <c r="H4894" s="105"/>
      <c r="I4894" s="126"/>
      <c r="J4894" s="11"/>
      <c r="K4894" s="108"/>
      <c r="L4894" s="11"/>
      <c r="M4894" s="105"/>
      <c r="N4894" s="105"/>
      <c r="O4894" s="11"/>
      <c r="P4894" s="11"/>
      <c r="Q4894" s="105"/>
      <c r="R4894" s="105"/>
      <c r="S4894" s="105"/>
      <c r="T4894" s="105"/>
      <c r="U4894" s="105"/>
      <c r="V4894" s="105"/>
      <c r="W4894" s="105"/>
      <c r="X4894" s="11"/>
      <c r="Y4894" s="11"/>
      <c r="Z4894" s="105"/>
      <c r="AA4894" s="11"/>
      <c r="AB4894" s="11"/>
      <c r="AC4894" s="105"/>
      <c r="AD4894" s="11" t="b">
        <v>0</v>
      </c>
      <c r="AE4894" s="105"/>
      <c r="AF4894" s="11"/>
      <c r="AG4894" s="11"/>
      <c r="AH4894" s="11"/>
      <c r="AI4894" s="11"/>
    </row>
    <row r="4895" ht="12.5" spans="3:35">
      <c r="C4895" s="19"/>
      <c r="D4895" s="19"/>
      <c r="H4895" s="105"/>
      <c r="I4895" s="126"/>
      <c r="J4895" s="11"/>
      <c r="K4895" s="108"/>
      <c r="L4895" s="11"/>
      <c r="M4895" s="105"/>
      <c r="N4895" s="105"/>
      <c r="O4895" s="11"/>
      <c r="P4895" s="11"/>
      <c r="Q4895" s="105"/>
      <c r="R4895" s="105"/>
      <c r="S4895" s="105"/>
      <c r="T4895" s="105"/>
      <c r="U4895" s="105"/>
      <c r="V4895" s="105"/>
      <c r="W4895" s="105"/>
      <c r="X4895" s="11"/>
      <c r="Y4895" s="11"/>
      <c r="Z4895" s="105"/>
      <c r="AA4895" s="11"/>
      <c r="AB4895" s="11"/>
      <c r="AC4895" s="105"/>
      <c r="AD4895" s="11" t="b">
        <v>0</v>
      </c>
      <c r="AE4895" s="105"/>
      <c r="AF4895" s="11"/>
      <c r="AG4895" s="11"/>
      <c r="AH4895" s="11"/>
      <c r="AI4895" s="11"/>
    </row>
    <row r="4896" ht="12.5" spans="3:35">
      <c r="C4896" s="19"/>
      <c r="D4896" s="19"/>
      <c r="H4896" s="105"/>
      <c r="I4896" s="126"/>
      <c r="J4896" s="11"/>
      <c r="K4896" s="108"/>
      <c r="L4896" s="11"/>
      <c r="M4896" s="105"/>
      <c r="N4896" s="105"/>
      <c r="O4896" s="11"/>
      <c r="P4896" s="11"/>
      <c r="Q4896" s="105"/>
      <c r="R4896" s="105"/>
      <c r="S4896" s="105"/>
      <c r="T4896" s="105"/>
      <c r="U4896" s="105"/>
      <c r="V4896" s="105"/>
      <c r="W4896" s="105"/>
      <c r="X4896" s="11"/>
      <c r="Y4896" s="11"/>
      <c r="Z4896" s="105"/>
      <c r="AA4896" s="11"/>
      <c r="AB4896" s="11"/>
      <c r="AC4896" s="105"/>
      <c r="AD4896" s="11" t="b">
        <v>0</v>
      </c>
      <c r="AE4896" s="105"/>
      <c r="AF4896" s="11"/>
      <c r="AG4896" s="11"/>
      <c r="AH4896" s="11"/>
      <c r="AI4896" s="11"/>
    </row>
    <row r="4897" ht="12.5" spans="3:35">
      <c r="C4897" s="19"/>
      <c r="D4897" s="19"/>
      <c r="H4897" s="105"/>
      <c r="I4897" s="126"/>
      <c r="J4897" s="11"/>
      <c r="K4897" s="108"/>
      <c r="L4897" s="11"/>
      <c r="M4897" s="105"/>
      <c r="N4897" s="105"/>
      <c r="O4897" s="11"/>
      <c r="P4897" s="11"/>
      <c r="Q4897" s="105"/>
      <c r="R4897" s="105"/>
      <c r="S4897" s="105"/>
      <c r="T4897" s="105"/>
      <c r="U4897" s="105"/>
      <c r="V4897" s="105"/>
      <c r="W4897" s="105"/>
      <c r="X4897" s="11"/>
      <c r="Y4897" s="11"/>
      <c r="Z4897" s="105"/>
      <c r="AA4897" s="11"/>
      <c r="AB4897" s="11"/>
      <c r="AC4897" s="105"/>
      <c r="AD4897" s="11" t="b">
        <v>0</v>
      </c>
      <c r="AE4897" s="105"/>
      <c r="AF4897" s="11"/>
      <c r="AG4897" s="11"/>
      <c r="AH4897" s="11"/>
      <c r="AI4897" s="11"/>
    </row>
    <row r="4898" ht="12.5" spans="3:35">
      <c r="C4898" s="19"/>
      <c r="D4898" s="19"/>
      <c r="H4898" s="105"/>
      <c r="I4898" s="126"/>
      <c r="J4898" s="11"/>
      <c r="K4898" s="108"/>
      <c r="L4898" s="11"/>
      <c r="M4898" s="105"/>
      <c r="N4898" s="105"/>
      <c r="O4898" s="11"/>
      <c r="P4898" s="11"/>
      <c r="Q4898" s="105"/>
      <c r="R4898" s="105"/>
      <c r="S4898" s="105"/>
      <c r="T4898" s="105"/>
      <c r="U4898" s="105"/>
      <c r="V4898" s="105"/>
      <c r="W4898" s="105"/>
      <c r="X4898" s="11"/>
      <c r="Y4898" s="11"/>
      <c r="Z4898" s="105"/>
      <c r="AA4898" s="11"/>
      <c r="AB4898" s="11"/>
      <c r="AC4898" s="105"/>
      <c r="AD4898" s="11" t="b">
        <v>0</v>
      </c>
      <c r="AE4898" s="105"/>
      <c r="AF4898" s="11"/>
      <c r="AG4898" s="11"/>
      <c r="AH4898" s="11"/>
      <c r="AI4898" s="11"/>
    </row>
    <row r="4899" ht="12.5" spans="3:35">
      <c r="C4899" s="19"/>
      <c r="D4899" s="19"/>
      <c r="H4899" s="105"/>
      <c r="I4899" s="126"/>
      <c r="J4899" s="11"/>
      <c r="K4899" s="108"/>
      <c r="L4899" s="11"/>
      <c r="M4899" s="105"/>
      <c r="N4899" s="105"/>
      <c r="O4899" s="11"/>
      <c r="P4899" s="11"/>
      <c r="Q4899" s="105"/>
      <c r="R4899" s="105"/>
      <c r="S4899" s="105"/>
      <c r="T4899" s="105"/>
      <c r="U4899" s="105"/>
      <c r="V4899" s="105"/>
      <c r="W4899" s="105"/>
      <c r="X4899" s="11"/>
      <c r="Y4899" s="11"/>
      <c r="Z4899" s="105"/>
      <c r="AA4899" s="11"/>
      <c r="AB4899" s="11"/>
      <c r="AC4899" s="105"/>
      <c r="AD4899" s="11" t="b">
        <v>0</v>
      </c>
      <c r="AE4899" s="105"/>
      <c r="AF4899" s="11"/>
      <c r="AG4899" s="11"/>
      <c r="AH4899" s="11"/>
      <c r="AI4899" s="11"/>
    </row>
    <row r="4900" ht="12.5" spans="3:35">
      <c r="C4900" s="19"/>
      <c r="D4900" s="19"/>
      <c r="H4900" s="105"/>
      <c r="I4900" s="126"/>
      <c r="J4900" s="11"/>
      <c r="K4900" s="108"/>
      <c r="L4900" s="11"/>
      <c r="M4900" s="105"/>
      <c r="N4900" s="105"/>
      <c r="O4900" s="11"/>
      <c r="P4900" s="11"/>
      <c r="Q4900" s="105"/>
      <c r="R4900" s="105"/>
      <c r="S4900" s="105"/>
      <c r="T4900" s="105"/>
      <c r="U4900" s="105"/>
      <c r="V4900" s="105"/>
      <c r="W4900" s="105"/>
      <c r="X4900" s="11"/>
      <c r="Y4900" s="11"/>
      <c r="Z4900" s="105"/>
      <c r="AA4900" s="11"/>
      <c r="AB4900" s="11"/>
      <c r="AC4900" s="105"/>
      <c r="AD4900" s="11" t="b">
        <v>0</v>
      </c>
      <c r="AE4900" s="105"/>
      <c r="AF4900" s="11"/>
      <c r="AG4900" s="11"/>
      <c r="AH4900" s="11"/>
      <c r="AI4900" s="11"/>
    </row>
    <row r="4901" ht="12.5" spans="3:35">
      <c r="C4901" s="19"/>
      <c r="D4901" s="19"/>
      <c r="H4901" s="105"/>
      <c r="I4901" s="126"/>
      <c r="J4901" s="11"/>
      <c r="K4901" s="108"/>
      <c r="L4901" s="11"/>
      <c r="M4901" s="105"/>
      <c r="N4901" s="105"/>
      <c r="O4901" s="11"/>
      <c r="P4901" s="11"/>
      <c r="Q4901" s="105"/>
      <c r="R4901" s="105"/>
      <c r="S4901" s="105"/>
      <c r="T4901" s="105"/>
      <c r="U4901" s="105"/>
      <c r="V4901" s="105"/>
      <c r="W4901" s="105"/>
      <c r="X4901" s="11"/>
      <c r="Y4901" s="11"/>
      <c r="Z4901" s="105"/>
      <c r="AA4901" s="11"/>
      <c r="AB4901" s="11"/>
      <c r="AC4901" s="105"/>
      <c r="AD4901" s="11" t="b">
        <v>0</v>
      </c>
      <c r="AE4901" s="105"/>
      <c r="AF4901" s="11"/>
      <c r="AG4901" s="11"/>
      <c r="AH4901" s="11"/>
      <c r="AI4901" s="11"/>
    </row>
    <row r="4902" ht="12.5" spans="3:35">
      <c r="C4902" s="19"/>
      <c r="D4902" s="19"/>
      <c r="H4902" s="105"/>
      <c r="I4902" s="126"/>
      <c r="J4902" s="11"/>
      <c r="K4902" s="108"/>
      <c r="L4902" s="11"/>
      <c r="M4902" s="105"/>
      <c r="N4902" s="105"/>
      <c r="O4902" s="11"/>
      <c r="P4902" s="11"/>
      <c r="Q4902" s="105"/>
      <c r="R4902" s="105"/>
      <c r="S4902" s="105"/>
      <c r="T4902" s="105"/>
      <c r="U4902" s="105"/>
      <c r="V4902" s="105"/>
      <c r="W4902" s="105"/>
      <c r="X4902" s="11"/>
      <c r="Y4902" s="11"/>
      <c r="Z4902" s="105"/>
      <c r="AA4902" s="11"/>
      <c r="AB4902" s="11"/>
      <c r="AC4902" s="105"/>
      <c r="AD4902" s="11" t="b">
        <v>0</v>
      </c>
      <c r="AE4902" s="105"/>
      <c r="AF4902" s="11"/>
      <c r="AG4902" s="11"/>
      <c r="AH4902" s="11"/>
      <c r="AI4902" s="11"/>
    </row>
    <row r="4903" ht="12.5" spans="3:35">
      <c r="C4903" s="19"/>
      <c r="D4903" s="19"/>
      <c r="H4903" s="105"/>
      <c r="I4903" s="126"/>
      <c r="J4903" s="11"/>
      <c r="K4903" s="108"/>
      <c r="L4903" s="11"/>
      <c r="M4903" s="105"/>
      <c r="N4903" s="105"/>
      <c r="O4903" s="11"/>
      <c r="P4903" s="11"/>
      <c r="Q4903" s="105"/>
      <c r="R4903" s="105"/>
      <c r="S4903" s="105"/>
      <c r="T4903" s="105"/>
      <c r="U4903" s="105"/>
      <c r="V4903" s="105"/>
      <c r="W4903" s="105"/>
      <c r="X4903" s="11"/>
      <c r="Y4903" s="11"/>
      <c r="Z4903" s="105"/>
      <c r="AA4903" s="11"/>
      <c r="AB4903" s="11"/>
      <c r="AC4903" s="105"/>
      <c r="AD4903" s="11" t="b">
        <v>0</v>
      </c>
      <c r="AE4903" s="105"/>
      <c r="AF4903" s="11"/>
      <c r="AG4903" s="11"/>
      <c r="AH4903" s="11"/>
      <c r="AI4903" s="11"/>
    </row>
    <row r="4904" ht="12.5" spans="3:35">
      <c r="C4904" s="19"/>
      <c r="D4904" s="19"/>
      <c r="H4904" s="105"/>
      <c r="I4904" s="126"/>
      <c r="J4904" s="11"/>
      <c r="K4904" s="108"/>
      <c r="L4904" s="11"/>
      <c r="M4904" s="105"/>
      <c r="N4904" s="105"/>
      <c r="O4904" s="11"/>
      <c r="P4904" s="11"/>
      <c r="Q4904" s="105"/>
      <c r="R4904" s="105"/>
      <c r="S4904" s="105"/>
      <c r="T4904" s="105"/>
      <c r="U4904" s="105"/>
      <c r="V4904" s="105"/>
      <c r="W4904" s="105"/>
      <c r="X4904" s="11"/>
      <c r="Y4904" s="11"/>
      <c r="Z4904" s="105"/>
      <c r="AA4904" s="11"/>
      <c r="AB4904" s="11"/>
      <c r="AC4904" s="105"/>
      <c r="AD4904" s="11" t="b">
        <v>0</v>
      </c>
      <c r="AE4904" s="105"/>
      <c r="AF4904" s="11"/>
      <c r="AG4904" s="11"/>
      <c r="AH4904" s="11"/>
      <c r="AI4904" s="11"/>
    </row>
    <row r="4905" ht="12.5" spans="3:35">
      <c r="C4905" s="19"/>
      <c r="D4905" s="19"/>
      <c r="H4905" s="105"/>
      <c r="I4905" s="126"/>
      <c r="J4905" s="11"/>
      <c r="K4905" s="108"/>
      <c r="L4905" s="11"/>
      <c r="M4905" s="105"/>
      <c r="N4905" s="105"/>
      <c r="O4905" s="11"/>
      <c r="P4905" s="11"/>
      <c r="Q4905" s="105"/>
      <c r="R4905" s="105"/>
      <c r="S4905" s="105"/>
      <c r="T4905" s="105"/>
      <c r="U4905" s="105"/>
      <c r="V4905" s="105"/>
      <c r="W4905" s="105"/>
      <c r="X4905" s="11"/>
      <c r="Y4905" s="11"/>
      <c r="Z4905" s="105"/>
      <c r="AA4905" s="11"/>
      <c r="AB4905" s="11"/>
      <c r="AC4905" s="105"/>
      <c r="AD4905" s="11" t="b">
        <v>0</v>
      </c>
      <c r="AE4905" s="105"/>
      <c r="AF4905" s="11"/>
      <c r="AG4905" s="11"/>
      <c r="AH4905" s="11"/>
      <c r="AI4905" s="11"/>
    </row>
    <row r="4906" ht="12.5" spans="3:35">
      <c r="C4906" s="19"/>
      <c r="D4906" s="19"/>
      <c r="H4906" s="105"/>
      <c r="I4906" s="126"/>
      <c r="J4906" s="11"/>
      <c r="K4906" s="108"/>
      <c r="L4906" s="11"/>
      <c r="M4906" s="105"/>
      <c r="N4906" s="105"/>
      <c r="O4906" s="11"/>
      <c r="P4906" s="11"/>
      <c r="Q4906" s="105"/>
      <c r="R4906" s="105"/>
      <c r="S4906" s="105"/>
      <c r="T4906" s="105"/>
      <c r="U4906" s="105"/>
      <c r="V4906" s="105"/>
      <c r="W4906" s="105"/>
      <c r="X4906" s="11"/>
      <c r="Y4906" s="11"/>
      <c r="Z4906" s="105"/>
      <c r="AA4906" s="11"/>
      <c r="AB4906" s="11"/>
      <c r="AC4906" s="105"/>
      <c r="AD4906" s="11" t="b">
        <v>0</v>
      </c>
      <c r="AE4906" s="105"/>
      <c r="AF4906" s="11"/>
      <c r="AG4906" s="11"/>
      <c r="AH4906" s="11"/>
      <c r="AI4906" s="11"/>
    </row>
    <row r="4907" ht="12.5" spans="3:35">
      <c r="C4907" s="19"/>
      <c r="D4907" s="19"/>
      <c r="H4907" s="105"/>
      <c r="I4907" s="126"/>
      <c r="J4907" s="11"/>
      <c r="K4907" s="108"/>
      <c r="L4907" s="11"/>
      <c r="M4907" s="105"/>
      <c r="N4907" s="105"/>
      <c r="O4907" s="11"/>
      <c r="P4907" s="11"/>
      <c r="Q4907" s="105"/>
      <c r="R4907" s="105"/>
      <c r="S4907" s="105"/>
      <c r="T4907" s="105"/>
      <c r="U4907" s="105"/>
      <c r="V4907" s="105"/>
      <c r="W4907" s="105"/>
      <c r="X4907" s="11"/>
      <c r="Y4907" s="11"/>
      <c r="Z4907" s="105"/>
      <c r="AA4907" s="11"/>
      <c r="AB4907" s="11"/>
      <c r="AC4907" s="105"/>
      <c r="AD4907" s="11" t="b">
        <v>0</v>
      </c>
      <c r="AE4907" s="105"/>
      <c r="AF4907" s="11"/>
      <c r="AG4907" s="11"/>
      <c r="AH4907" s="11"/>
      <c r="AI4907" s="11"/>
    </row>
    <row r="4908" ht="12.5" spans="3:35">
      <c r="C4908" s="19"/>
      <c r="D4908" s="19"/>
      <c r="H4908" s="105"/>
      <c r="I4908" s="126"/>
      <c r="J4908" s="11"/>
      <c r="K4908" s="108"/>
      <c r="L4908" s="11"/>
      <c r="M4908" s="105"/>
      <c r="N4908" s="105"/>
      <c r="O4908" s="11"/>
      <c r="P4908" s="11"/>
      <c r="Q4908" s="105"/>
      <c r="R4908" s="105"/>
      <c r="S4908" s="105"/>
      <c r="T4908" s="105"/>
      <c r="U4908" s="105"/>
      <c r="V4908" s="105"/>
      <c r="W4908" s="105"/>
      <c r="X4908" s="11"/>
      <c r="Y4908" s="11"/>
      <c r="Z4908" s="105"/>
      <c r="AA4908" s="11"/>
      <c r="AB4908" s="11"/>
      <c r="AC4908" s="105"/>
      <c r="AD4908" s="11" t="b">
        <v>0</v>
      </c>
      <c r="AE4908" s="105"/>
      <c r="AF4908" s="11"/>
      <c r="AG4908" s="11"/>
      <c r="AH4908" s="11"/>
      <c r="AI4908" s="11"/>
    </row>
    <row r="4909" ht="12.5" spans="3:35">
      <c r="C4909" s="19"/>
      <c r="D4909" s="19"/>
      <c r="H4909" s="105"/>
      <c r="I4909" s="126"/>
      <c r="J4909" s="11"/>
      <c r="K4909" s="108"/>
      <c r="L4909" s="11"/>
      <c r="M4909" s="105"/>
      <c r="N4909" s="105"/>
      <c r="O4909" s="11"/>
      <c r="P4909" s="11"/>
      <c r="Q4909" s="105"/>
      <c r="R4909" s="105"/>
      <c r="S4909" s="105"/>
      <c r="T4909" s="105"/>
      <c r="U4909" s="105"/>
      <c r="V4909" s="105"/>
      <c r="W4909" s="105"/>
      <c r="X4909" s="11"/>
      <c r="Y4909" s="11"/>
      <c r="Z4909" s="105"/>
      <c r="AA4909" s="11"/>
      <c r="AB4909" s="11"/>
      <c r="AC4909" s="105"/>
      <c r="AD4909" s="11" t="b">
        <v>0</v>
      </c>
      <c r="AE4909" s="105"/>
      <c r="AF4909" s="11"/>
      <c r="AG4909" s="11"/>
      <c r="AH4909" s="11"/>
      <c r="AI4909" s="11"/>
    </row>
    <row r="4910" ht="12.5" spans="3:35">
      <c r="C4910" s="19"/>
      <c r="D4910" s="19"/>
      <c r="H4910" s="105"/>
      <c r="I4910" s="126"/>
      <c r="J4910" s="11"/>
      <c r="K4910" s="108"/>
      <c r="L4910" s="11"/>
      <c r="M4910" s="105"/>
      <c r="N4910" s="105"/>
      <c r="O4910" s="11"/>
      <c r="P4910" s="11"/>
      <c r="Q4910" s="105"/>
      <c r="R4910" s="105"/>
      <c r="S4910" s="105"/>
      <c r="T4910" s="105"/>
      <c r="U4910" s="105"/>
      <c r="V4910" s="105"/>
      <c r="W4910" s="105"/>
      <c r="X4910" s="11"/>
      <c r="Y4910" s="11"/>
      <c r="Z4910" s="105"/>
      <c r="AA4910" s="11"/>
      <c r="AB4910" s="11"/>
      <c r="AC4910" s="105"/>
      <c r="AD4910" s="11" t="b">
        <v>0</v>
      </c>
      <c r="AE4910" s="105"/>
      <c r="AF4910" s="11"/>
      <c r="AG4910" s="11"/>
      <c r="AH4910" s="11"/>
      <c r="AI4910" s="11"/>
    </row>
    <row r="4911" ht="12.5" spans="3:35">
      <c r="C4911" s="19"/>
      <c r="D4911" s="19"/>
      <c r="H4911" s="105"/>
      <c r="I4911" s="126"/>
      <c r="J4911" s="11"/>
      <c r="K4911" s="108"/>
      <c r="L4911" s="11"/>
      <c r="M4911" s="105"/>
      <c r="N4911" s="105"/>
      <c r="O4911" s="11"/>
      <c r="P4911" s="11"/>
      <c r="Q4911" s="105"/>
      <c r="R4911" s="105"/>
      <c r="S4911" s="105"/>
      <c r="T4911" s="105"/>
      <c r="U4911" s="105"/>
      <c r="V4911" s="105"/>
      <c r="W4911" s="105"/>
      <c r="X4911" s="11"/>
      <c r="Y4911" s="11"/>
      <c r="Z4911" s="105"/>
      <c r="AA4911" s="11"/>
      <c r="AB4911" s="11"/>
      <c r="AC4911" s="105"/>
      <c r="AD4911" s="11" t="b">
        <v>0</v>
      </c>
      <c r="AE4911" s="105"/>
      <c r="AF4911" s="11"/>
      <c r="AG4911" s="11"/>
      <c r="AH4911" s="11"/>
      <c r="AI4911" s="11"/>
    </row>
    <row r="4912" ht="12.5" spans="3:35">
      <c r="C4912" s="19"/>
      <c r="D4912" s="19"/>
      <c r="H4912" s="105"/>
      <c r="I4912" s="126"/>
      <c r="J4912" s="11"/>
      <c r="K4912" s="108"/>
      <c r="L4912" s="11"/>
      <c r="M4912" s="105"/>
      <c r="N4912" s="105"/>
      <c r="O4912" s="11"/>
      <c r="P4912" s="11"/>
      <c r="Q4912" s="105"/>
      <c r="R4912" s="105"/>
      <c r="S4912" s="105"/>
      <c r="T4912" s="105"/>
      <c r="U4912" s="105"/>
      <c r="V4912" s="105"/>
      <c r="W4912" s="105"/>
      <c r="X4912" s="11"/>
      <c r="Y4912" s="11"/>
      <c r="Z4912" s="105"/>
      <c r="AA4912" s="11"/>
      <c r="AB4912" s="11"/>
      <c r="AC4912" s="105"/>
      <c r="AD4912" s="11" t="b">
        <v>0</v>
      </c>
      <c r="AE4912" s="105"/>
      <c r="AF4912" s="11"/>
      <c r="AG4912" s="11"/>
      <c r="AH4912" s="11"/>
      <c r="AI4912" s="11"/>
    </row>
    <row r="4913" ht="12.5" spans="3:35">
      <c r="C4913" s="19"/>
      <c r="D4913" s="19"/>
      <c r="H4913" s="105"/>
      <c r="I4913" s="126"/>
      <c r="J4913" s="11"/>
      <c r="K4913" s="108"/>
      <c r="L4913" s="11"/>
      <c r="M4913" s="105"/>
      <c r="N4913" s="105"/>
      <c r="O4913" s="11"/>
      <c r="P4913" s="11"/>
      <c r="Q4913" s="105"/>
      <c r="R4913" s="105"/>
      <c r="S4913" s="105"/>
      <c r="T4913" s="105"/>
      <c r="U4913" s="105"/>
      <c r="V4913" s="105"/>
      <c r="W4913" s="105"/>
      <c r="X4913" s="11"/>
      <c r="Y4913" s="11"/>
      <c r="Z4913" s="105"/>
      <c r="AA4913" s="11"/>
      <c r="AB4913" s="11"/>
      <c r="AC4913" s="105"/>
      <c r="AD4913" s="11" t="b">
        <v>0</v>
      </c>
      <c r="AE4913" s="105"/>
      <c r="AF4913" s="11"/>
      <c r="AG4913" s="11"/>
      <c r="AH4913" s="11"/>
      <c r="AI4913" s="11"/>
    </row>
    <row r="4914" ht="12.5" spans="3:35">
      <c r="C4914" s="19"/>
      <c r="D4914" s="19"/>
      <c r="H4914" s="105"/>
      <c r="I4914" s="126"/>
      <c r="J4914" s="11"/>
      <c r="K4914" s="108"/>
      <c r="L4914" s="11"/>
      <c r="M4914" s="105"/>
      <c r="N4914" s="105"/>
      <c r="O4914" s="11"/>
      <c r="P4914" s="11"/>
      <c r="Q4914" s="105"/>
      <c r="R4914" s="105"/>
      <c r="S4914" s="105"/>
      <c r="T4914" s="105"/>
      <c r="U4914" s="105"/>
      <c r="V4914" s="105"/>
      <c r="W4914" s="105"/>
      <c r="X4914" s="11"/>
      <c r="Y4914" s="11"/>
      <c r="Z4914" s="105"/>
      <c r="AA4914" s="11"/>
      <c r="AB4914" s="11"/>
      <c r="AC4914" s="105"/>
      <c r="AD4914" s="11" t="b">
        <v>0</v>
      </c>
      <c r="AE4914" s="105"/>
      <c r="AF4914" s="11"/>
      <c r="AG4914" s="11"/>
      <c r="AH4914" s="11"/>
      <c r="AI4914" s="11"/>
    </row>
    <row r="4915" ht="12.5" spans="3:35">
      <c r="C4915" s="19"/>
      <c r="D4915" s="19"/>
      <c r="H4915" s="105"/>
      <c r="I4915" s="126"/>
      <c r="J4915" s="11"/>
      <c r="K4915" s="108"/>
      <c r="L4915" s="11"/>
      <c r="M4915" s="105"/>
      <c r="N4915" s="105"/>
      <c r="O4915" s="11"/>
      <c r="P4915" s="11"/>
      <c r="Q4915" s="105"/>
      <c r="R4915" s="105"/>
      <c r="S4915" s="105"/>
      <c r="T4915" s="105"/>
      <c r="U4915" s="105"/>
      <c r="V4915" s="105"/>
      <c r="W4915" s="105"/>
      <c r="X4915" s="11"/>
      <c r="Y4915" s="11"/>
      <c r="Z4915" s="105"/>
      <c r="AA4915" s="11"/>
      <c r="AB4915" s="11"/>
      <c r="AC4915" s="105"/>
      <c r="AD4915" s="11" t="b">
        <v>0</v>
      </c>
      <c r="AE4915" s="105"/>
      <c r="AF4915" s="11"/>
      <c r="AG4915" s="11"/>
      <c r="AH4915" s="11"/>
      <c r="AI4915" s="11"/>
    </row>
    <row r="4916" ht="12.5" spans="3:35">
      <c r="C4916" s="19"/>
      <c r="D4916" s="19"/>
      <c r="H4916" s="105"/>
      <c r="I4916" s="126"/>
      <c r="J4916" s="11"/>
      <c r="K4916" s="108"/>
      <c r="L4916" s="11"/>
      <c r="M4916" s="105"/>
      <c r="N4916" s="105"/>
      <c r="O4916" s="11"/>
      <c r="P4916" s="11"/>
      <c r="Q4916" s="105"/>
      <c r="R4916" s="105"/>
      <c r="S4916" s="105"/>
      <c r="T4916" s="105"/>
      <c r="U4916" s="105"/>
      <c r="V4916" s="105"/>
      <c r="W4916" s="105"/>
      <c r="X4916" s="11"/>
      <c r="Y4916" s="11"/>
      <c r="Z4916" s="105"/>
      <c r="AA4916" s="11"/>
      <c r="AB4916" s="11"/>
      <c r="AC4916" s="105"/>
      <c r="AD4916" s="11" t="b">
        <v>0</v>
      </c>
      <c r="AE4916" s="105"/>
      <c r="AF4916" s="11"/>
      <c r="AG4916" s="11"/>
      <c r="AH4916" s="11"/>
      <c r="AI4916" s="11"/>
    </row>
    <row r="4917" ht="12.5" spans="3:35">
      <c r="C4917" s="19"/>
      <c r="D4917" s="19"/>
      <c r="H4917" s="105"/>
      <c r="I4917" s="126"/>
      <c r="J4917" s="11"/>
      <c r="K4917" s="108"/>
      <c r="L4917" s="11"/>
      <c r="M4917" s="105"/>
      <c r="N4917" s="105"/>
      <c r="O4917" s="11"/>
      <c r="P4917" s="11"/>
      <c r="Q4917" s="105"/>
      <c r="R4917" s="105"/>
      <c r="S4917" s="105"/>
      <c r="T4917" s="105"/>
      <c r="U4917" s="105"/>
      <c r="V4917" s="105"/>
      <c r="W4917" s="105"/>
      <c r="X4917" s="11"/>
      <c r="Y4917" s="11"/>
      <c r="Z4917" s="105"/>
      <c r="AA4917" s="11"/>
      <c r="AB4917" s="11"/>
      <c r="AC4917" s="105"/>
      <c r="AD4917" s="11" t="b">
        <v>0</v>
      </c>
      <c r="AE4917" s="105"/>
      <c r="AF4917" s="11"/>
      <c r="AG4917" s="11"/>
      <c r="AH4917" s="11"/>
      <c r="AI4917" s="11"/>
    </row>
    <row r="4918" ht="12.5" spans="3:35">
      <c r="C4918" s="19"/>
      <c r="D4918" s="19"/>
      <c r="H4918" s="105"/>
      <c r="I4918" s="126"/>
      <c r="J4918" s="11"/>
      <c r="K4918" s="108"/>
      <c r="L4918" s="11"/>
      <c r="M4918" s="105"/>
      <c r="N4918" s="105"/>
      <c r="O4918" s="11"/>
      <c r="P4918" s="11"/>
      <c r="Q4918" s="105"/>
      <c r="R4918" s="105"/>
      <c r="S4918" s="105"/>
      <c r="T4918" s="105"/>
      <c r="U4918" s="105"/>
      <c r="V4918" s="105"/>
      <c r="W4918" s="105"/>
      <c r="X4918" s="11"/>
      <c r="Y4918" s="11"/>
      <c r="Z4918" s="105"/>
      <c r="AA4918" s="11"/>
      <c r="AB4918" s="11"/>
      <c r="AC4918" s="105"/>
      <c r="AD4918" s="11" t="b">
        <v>0</v>
      </c>
      <c r="AE4918" s="105"/>
      <c r="AF4918" s="11"/>
      <c r="AG4918" s="11"/>
      <c r="AH4918" s="11"/>
      <c r="AI4918" s="11"/>
    </row>
    <row r="4919" ht="12.5" spans="3:35">
      <c r="C4919" s="19"/>
      <c r="D4919" s="19"/>
      <c r="H4919" s="105"/>
      <c r="I4919" s="126"/>
      <c r="J4919" s="11"/>
      <c r="K4919" s="108"/>
      <c r="L4919" s="11"/>
      <c r="M4919" s="105"/>
      <c r="N4919" s="105"/>
      <c r="O4919" s="11"/>
      <c r="P4919" s="11"/>
      <c r="Q4919" s="105"/>
      <c r="R4919" s="105"/>
      <c r="S4919" s="105"/>
      <c r="T4919" s="105"/>
      <c r="U4919" s="105"/>
      <c r="V4919" s="105"/>
      <c r="W4919" s="105"/>
      <c r="X4919" s="11"/>
      <c r="Y4919" s="11"/>
      <c r="Z4919" s="105"/>
      <c r="AA4919" s="11"/>
      <c r="AB4919" s="11"/>
      <c r="AC4919" s="105"/>
      <c r="AD4919" s="11" t="b">
        <v>0</v>
      </c>
      <c r="AE4919" s="105"/>
      <c r="AF4919" s="11"/>
      <c r="AG4919" s="11"/>
      <c r="AH4919" s="11"/>
      <c r="AI4919" s="11"/>
    </row>
    <row r="4920" ht="12.5" spans="3:35">
      <c r="C4920" s="19"/>
      <c r="D4920" s="19"/>
      <c r="H4920" s="105"/>
      <c r="I4920" s="126"/>
      <c r="J4920" s="11"/>
      <c r="K4920" s="108"/>
      <c r="L4920" s="11"/>
      <c r="M4920" s="105"/>
      <c r="N4920" s="105"/>
      <c r="O4920" s="11"/>
      <c r="P4920" s="11"/>
      <c r="Q4920" s="105"/>
      <c r="R4920" s="105"/>
      <c r="S4920" s="105"/>
      <c r="T4920" s="105"/>
      <c r="U4920" s="105"/>
      <c r="V4920" s="105"/>
      <c r="W4920" s="105"/>
      <c r="X4920" s="11"/>
      <c r="Y4920" s="11"/>
      <c r="Z4920" s="105"/>
      <c r="AA4920" s="11"/>
      <c r="AB4920" s="11"/>
      <c r="AC4920" s="105"/>
      <c r="AD4920" s="11" t="b">
        <v>0</v>
      </c>
      <c r="AE4920" s="105"/>
      <c r="AF4920" s="11"/>
      <c r="AG4920" s="11"/>
      <c r="AH4920" s="11"/>
      <c r="AI4920" s="11"/>
    </row>
    <row r="4921" ht="12.5" spans="3:35">
      <c r="C4921" s="19"/>
      <c r="D4921" s="19"/>
      <c r="H4921" s="105"/>
      <c r="I4921" s="126"/>
      <c r="J4921" s="11"/>
      <c r="K4921" s="108"/>
      <c r="L4921" s="11"/>
      <c r="M4921" s="105"/>
      <c r="N4921" s="105"/>
      <c r="O4921" s="11"/>
      <c r="P4921" s="11"/>
      <c r="Q4921" s="105"/>
      <c r="R4921" s="105"/>
      <c r="S4921" s="105"/>
      <c r="T4921" s="105"/>
      <c r="U4921" s="105"/>
      <c r="V4921" s="105"/>
      <c r="W4921" s="105"/>
      <c r="X4921" s="11"/>
      <c r="Y4921" s="11"/>
      <c r="Z4921" s="105"/>
      <c r="AA4921" s="11"/>
      <c r="AB4921" s="11"/>
      <c r="AC4921" s="105"/>
      <c r="AD4921" s="11" t="b">
        <v>0</v>
      </c>
      <c r="AE4921" s="105"/>
      <c r="AF4921" s="11"/>
      <c r="AG4921" s="11"/>
      <c r="AH4921" s="11"/>
      <c r="AI4921" s="11"/>
    </row>
    <row r="4922" ht="12.5" spans="3:35">
      <c r="C4922" s="19"/>
      <c r="D4922" s="19"/>
      <c r="H4922" s="105"/>
      <c r="I4922" s="126"/>
      <c r="J4922" s="11"/>
      <c r="K4922" s="108"/>
      <c r="L4922" s="11"/>
      <c r="M4922" s="105"/>
      <c r="N4922" s="105"/>
      <c r="O4922" s="11"/>
      <c r="P4922" s="11"/>
      <c r="Q4922" s="105"/>
      <c r="R4922" s="105"/>
      <c r="S4922" s="105"/>
      <c r="T4922" s="105"/>
      <c r="U4922" s="105"/>
      <c r="V4922" s="105"/>
      <c r="W4922" s="105"/>
      <c r="X4922" s="11"/>
      <c r="Y4922" s="11"/>
      <c r="Z4922" s="105"/>
      <c r="AA4922" s="11"/>
      <c r="AB4922" s="11"/>
      <c r="AC4922" s="105"/>
      <c r="AD4922" s="11" t="b">
        <v>0</v>
      </c>
      <c r="AE4922" s="105"/>
      <c r="AF4922" s="11"/>
      <c r="AG4922" s="11"/>
      <c r="AH4922" s="11"/>
      <c r="AI4922" s="11"/>
    </row>
    <row r="4923" ht="12.5" spans="3:35">
      <c r="C4923" s="19"/>
      <c r="D4923" s="19"/>
      <c r="H4923" s="105"/>
      <c r="I4923" s="126"/>
      <c r="J4923" s="11"/>
      <c r="K4923" s="108"/>
      <c r="L4923" s="11"/>
      <c r="M4923" s="105"/>
      <c r="N4923" s="105"/>
      <c r="O4923" s="11"/>
      <c r="P4923" s="11"/>
      <c r="Q4923" s="105"/>
      <c r="R4923" s="105"/>
      <c r="S4923" s="105"/>
      <c r="T4923" s="105"/>
      <c r="U4923" s="105"/>
      <c r="V4923" s="105"/>
      <c r="W4923" s="105"/>
      <c r="X4923" s="11"/>
      <c r="Y4923" s="11"/>
      <c r="Z4923" s="105"/>
      <c r="AA4923" s="11"/>
      <c r="AB4923" s="11"/>
      <c r="AC4923" s="105"/>
      <c r="AD4923" s="11" t="b">
        <v>0</v>
      </c>
      <c r="AE4923" s="105"/>
      <c r="AF4923" s="11"/>
      <c r="AG4923" s="11"/>
      <c r="AH4923" s="11"/>
      <c r="AI4923" s="11"/>
    </row>
    <row r="4924" ht="12.5" spans="3:35">
      <c r="C4924" s="19"/>
      <c r="D4924" s="19"/>
      <c r="H4924" s="105"/>
      <c r="I4924" s="126"/>
      <c r="J4924" s="11"/>
      <c r="K4924" s="108"/>
      <c r="L4924" s="11"/>
      <c r="M4924" s="105"/>
      <c r="N4924" s="105"/>
      <c r="O4924" s="11"/>
      <c r="P4924" s="11"/>
      <c r="Q4924" s="105"/>
      <c r="R4924" s="105"/>
      <c r="S4924" s="105"/>
      <c r="T4924" s="105"/>
      <c r="U4924" s="105"/>
      <c r="V4924" s="105"/>
      <c r="W4924" s="105"/>
      <c r="X4924" s="11"/>
      <c r="Y4924" s="11"/>
      <c r="Z4924" s="105"/>
      <c r="AA4924" s="11"/>
      <c r="AB4924" s="11"/>
      <c r="AC4924" s="105"/>
      <c r="AD4924" s="11" t="b">
        <v>0</v>
      </c>
      <c r="AE4924" s="105"/>
      <c r="AF4924" s="11"/>
      <c r="AG4924" s="11"/>
      <c r="AH4924" s="11"/>
      <c r="AI4924" s="11"/>
    </row>
    <row r="4925" ht="12.5" spans="3:35">
      <c r="C4925" s="19"/>
      <c r="D4925" s="19"/>
      <c r="H4925" s="105"/>
      <c r="I4925" s="126"/>
      <c r="J4925" s="11"/>
      <c r="K4925" s="108"/>
      <c r="L4925" s="11"/>
      <c r="M4925" s="105"/>
      <c r="N4925" s="105"/>
      <c r="O4925" s="11"/>
      <c r="P4925" s="11"/>
      <c r="Q4925" s="105"/>
      <c r="R4925" s="105"/>
      <c r="S4925" s="105"/>
      <c r="T4925" s="105"/>
      <c r="U4925" s="105"/>
      <c r="V4925" s="105"/>
      <c r="W4925" s="105"/>
      <c r="X4925" s="11"/>
      <c r="Y4925" s="11"/>
      <c r="Z4925" s="105"/>
      <c r="AA4925" s="11"/>
      <c r="AB4925" s="11"/>
      <c r="AC4925" s="105"/>
      <c r="AD4925" s="11" t="b">
        <v>0</v>
      </c>
      <c r="AE4925" s="105"/>
      <c r="AF4925" s="11"/>
      <c r="AG4925" s="11"/>
      <c r="AH4925" s="11"/>
      <c r="AI4925" s="11"/>
    </row>
    <row r="4926" ht="12.5" spans="3:35">
      <c r="C4926" s="19"/>
      <c r="D4926" s="19"/>
      <c r="H4926" s="105"/>
      <c r="I4926" s="126"/>
      <c r="J4926" s="11"/>
      <c r="K4926" s="108"/>
      <c r="L4926" s="11"/>
      <c r="M4926" s="105"/>
      <c r="N4926" s="105"/>
      <c r="O4926" s="11"/>
      <c r="P4926" s="11"/>
      <c r="Q4926" s="105"/>
      <c r="R4926" s="105"/>
      <c r="S4926" s="105"/>
      <c r="T4926" s="105"/>
      <c r="U4926" s="105"/>
      <c r="V4926" s="105"/>
      <c r="W4926" s="105"/>
      <c r="X4926" s="11"/>
      <c r="Y4926" s="11"/>
      <c r="Z4926" s="105"/>
      <c r="AA4926" s="11"/>
      <c r="AB4926" s="11"/>
      <c r="AC4926" s="105"/>
      <c r="AD4926" s="11" t="b">
        <v>0</v>
      </c>
      <c r="AE4926" s="105"/>
      <c r="AF4926" s="11"/>
      <c r="AG4926" s="11"/>
      <c r="AH4926" s="11"/>
      <c r="AI4926" s="11"/>
    </row>
    <row r="4927" ht="12.5" spans="3:35">
      <c r="C4927" s="19"/>
      <c r="D4927" s="19"/>
      <c r="H4927" s="105"/>
      <c r="I4927" s="126"/>
      <c r="J4927" s="11"/>
      <c r="K4927" s="108"/>
      <c r="L4927" s="11"/>
      <c r="M4927" s="105"/>
      <c r="N4927" s="105"/>
      <c r="O4927" s="11"/>
      <c r="P4927" s="11"/>
      <c r="Q4927" s="105"/>
      <c r="R4927" s="105"/>
      <c r="S4927" s="105"/>
      <c r="T4927" s="105"/>
      <c r="U4927" s="105"/>
      <c r="V4927" s="105"/>
      <c r="W4927" s="105"/>
      <c r="X4927" s="11"/>
      <c r="Y4927" s="11"/>
      <c r="Z4927" s="105"/>
      <c r="AA4927" s="11"/>
      <c r="AB4927" s="11"/>
      <c r="AC4927" s="105"/>
      <c r="AD4927" s="11" t="b">
        <v>0</v>
      </c>
      <c r="AE4927" s="105"/>
      <c r="AF4927" s="11"/>
      <c r="AG4927" s="11"/>
      <c r="AH4927" s="11"/>
      <c r="AI4927" s="11"/>
    </row>
    <row r="4928" ht="12.5" spans="3:35">
      <c r="C4928" s="19"/>
      <c r="D4928" s="19"/>
      <c r="H4928" s="105"/>
      <c r="I4928" s="126"/>
      <c r="J4928" s="11"/>
      <c r="K4928" s="108"/>
      <c r="L4928" s="11"/>
      <c r="M4928" s="105"/>
      <c r="N4928" s="105"/>
      <c r="O4928" s="11"/>
      <c r="P4928" s="11"/>
      <c r="Q4928" s="105"/>
      <c r="R4928" s="105"/>
      <c r="S4928" s="105"/>
      <c r="T4928" s="105"/>
      <c r="U4928" s="105"/>
      <c r="V4928" s="105"/>
      <c r="W4928" s="105"/>
      <c r="X4928" s="11"/>
      <c r="Y4928" s="11"/>
      <c r="Z4928" s="105"/>
      <c r="AA4928" s="11"/>
      <c r="AB4928" s="11"/>
      <c r="AC4928" s="105"/>
      <c r="AD4928" s="11" t="b">
        <v>0</v>
      </c>
      <c r="AE4928" s="105"/>
      <c r="AF4928" s="11"/>
      <c r="AG4928" s="11"/>
      <c r="AH4928" s="11"/>
      <c r="AI4928" s="11"/>
    </row>
    <row r="4929" ht="12.5" spans="3:35">
      <c r="C4929" s="19"/>
      <c r="D4929" s="19"/>
      <c r="H4929" s="105"/>
      <c r="I4929" s="126"/>
      <c r="J4929" s="11"/>
      <c r="K4929" s="108"/>
      <c r="L4929" s="11"/>
      <c r="M4929" s="105"/>
      <c r="N4929" s="105"/>
      <c r="O4929" s="11"/>
      <c r="P4929" s="11"/>
      <c r="Q4929" s="105"/>
      <c r="R4929" s="105"/>
      <c r="S4929" s="105"/>
      <c r="T4929" s="105"/>
      <c r="U4929" s="105"/>
      <c r="V4929" s="105"/>
      <c r="W4929" s="105"/>
      <c r="X4929" s="11"/>
      <c r="Y4929" s="11"/>
      <c r="Z4929" s="105"/>
      <c r="AA4929" s="11"/>
      <c r="AB4929" s="11"/>
      <c r="AC4929" s="105"/>
      <c r="AD4929" s="11" t="b">
        <v>0</v>
      </c>
      <c r="AE4929" s="105"/>
      <c r="AF4929" s="11"/>
      <c r="AG4929" s="11"/>
      <c r="AH4929" s="11"/>
      <c r="AI4929" s="11"/>
    </row>
    <row r="4930" ht="12.5" spans="3:35">
      <c r="C4930" s="19"/>
      <c r="D4930" s="19"/>
      <c r="H4930" s="105"/>
      <c r="I4930" s="126"/>
      <c r="J4930" s="11"/>
      <c r="K4930" s="108"/>
      <c r="L4930" s="11"/>
      <c r="M4930" s="105"/>
      <c r="N4930" s="105"/>
      <c r="O4930" s="11"/>
      <c r="P4930" s="11"/>
      <c r="Q4930" s="105"/>
      <c r="R4930" s="105"/>
      <c r="S4930" s="105"/>
      <c r="T4930" s="105"/>
      <c r="U4930" s="105"/>
      <c r="V4930" s="105"/>
      <c r="W4930" s="105"/>
      <c r="X4930" s="11"/>
      <c r="Y4930" s="11"/>
      <c r="Z4930" s="105"/>
      <c r="AA4930" s="11"/>
      <c r="AB4930" s="11"/>
      <c r="AC4930" s="105"/>
      <c r="AD4930" s="11" t="b">
        <v>0</v>
      </c>
      <c r="AE4930" s="105"/>
      <c r="AF4930" s="11"/>
      <c r="AG4930" s="11"/>
      <c r="AH4930" s="11"/>
      <c r="AI4930" s="11"/>
    </row>
    <row r="4931" ht="12.5" spans="3:35">
      <c r="C4931" s="19"/>
      <c r="D4931" s="19"/>
      <c r="H4931" s="105"/>
      <c r="I4931" s="126"/>
      <c r="J4931" s="11"/>
      <c r="K4931" s="108"/>
      <c r="L4931" s="11"/>
      <c r="M4931" s="105"/>
      <c r="N4931" s="105"/>
      <c r="O4931" s="11"/>
      <c r="P4931" s="11"/>
      <c r="Q4931" s="105"/>
      <c r="R4931" s="105"/>
      <c r="S4931" s="105"/>
      <c r="T4931" s="105"/>
      <c r="U4931" s="105"/>
      <c r="V4931" s="105"/>
      <c r="W4931" s="105"/>
      <c r="X4931" s="11"/>
      <c r="Y4931" s="11"/>
      <c r="Z4931" s="105"/>
      <c r="AA4931" s="11"/>
      <c r="AB4931" s="11"/>
      <c r="AC4931" s="105"/>
      <c r="AD4931" s="11" t="b">
        <v>0</v>
      </c>
      <c r="AE4931" s="105"/>
      <c r="AF4931" s="11"/>
      <c r="AG4931" s="11"/>
      <c r="AH4931" s="11"/>
      <c r="AI4931" s="11"/>
    </row>
    <row r="4932" ht="12.5" spans="3:35">
      <c r="C4932" s="19"/>
      <c r="D4932" s="19"/>
      <c r="H4932" s="105"/>
      <c r="I4932" s="126"/>
      <c r="J4932" s="11"/>
      <c r="K4932" s="108"/>
      <c r="L4932" s="11"/>
      <c r="M4932" s="105"/>
      <c r="N4932" s="105"/>
      <c r="O4932" s="11"/>
      <c r="P4932" s="11"/>
      <c r="Q4932" s="105"/>
      <c r="R4932" s="105"/>
      <c r="S4932" s="105"/>
      <c r="T4932" s="105"/>
      <c r="U4932" s="105"/>
      <c r="V4932" s="105"/>
      <c r="W4932" s="105"/>
      <c r="X4932" s="11"/>
      <c r="Y4932" s="11"/>
      <c r="Z4932" s="105"/>
      <c r="AA4932" s="11"/>
      <c r="AB4932" s="11"/>
      <c r="AC4932" s="105"/>
      <c r="AD4932" s="11" t="b">
        <v>0</v>
      </c>
      <c r="AE4932" s="105"/>
      <c r="AF4932" s="11"/>
      <c r="AG4932" s="11"/>
      <c r="AH4932" s="11"/>
      <c r="AI4932" s="11"/>
    </row>
    <row r="4933" ht="12.5" spans="3:35">
      <c r="C4933" s="19"/>
      <c r="D4933" s="19"/>
      <c r="H4933" s="105"/>
      <c r="I4933" s="126"/>
      <c r="J4933" s="11"/>
      <c r="K4933" s="108"/>
      <c r="L4933" s="11"/>
      <c r="M4933" s="105"/>
      <c r="N4933" s="105"/>
      <c r="O4933" s="11"/>
      <c r="P4933" s="11"/>
      <c r="Q4933" s="105"/>
      <c r="R4933" s="105"/>
      <c r="S4933" s="105"/>
      <c r="T4933" s="105"/>
      <c r="U4933" s="105"/>
      <c r="V4933" s="105"/>
      <c r="W4933" s="105"/>
      <c r="X4933" s="11"/>
      <c r="Y4933" s="11"/>
      <c r="Z4933" s="105"/>
      <c r="AA4933" s="11"/>
      <c r="AB4933" s="11"/>
      <c r="AC4933" s="105"/>
      <c r="AD4933" s="11" t="b">
        <v>0</v>
      </c>
      <c r="AE4933" s="105"/>
      <c r="AF4933" s="11"/>
      <c r="AG4933" s="11"/>
      <c r="AH4933" s="11"/>
      <c r="AI4933" s="11"/>
    </row>
    <row r="4934" ht="12.5" spans="3:35">
      <c r="C4934" s="19"/>
      <c r="D4934" s="19"/>
      <c r="H4934" s="105"/>
      <c r="I4934" s="126"/>
      <c r="J4934" s="11"/>
      <c r="K4934" s="108"/>
      <c r="L4934" s="11"/>
      <c r="M4934" s="105"/>
      <c r="N4934" s="105"/>
      <c r="O4934" s="11"/>
      <c r="P4934" s="11"/>
      <c r="Q4934" s="105"/>
      <c r="R4934" s="105"/>
      <c r="S4934" s="105"/>
      <c r="T4934" s="105"/>
      <c r="U4934" s="105"/>
      <c r="V4934" s="105"/>
      <c r="W4934" s="105"/>
      <c r="X4934" s="11"/>
      <c r="Y4934" s="11"/>
      <c r="Z4934" s="105"/>
      <c r="AA4934" s="11"/>
      <c r="AB4934" s="11"/>
      <c r="AC4934" s="105"/>
      <c r="AD4934" s="11" t="b">
        <v>0</v>
      </c>
      <c r="AE4934" s="105"/>
      <c r="AF4934" s="11"/>
      <c r="AG4934" s="11"/>
      <c r="AH4934" s="11"/>
      <c r="AI4934" s="11"/>
    </row>
    <row r="4935" ht="12.5" spans="3:35">
      <c r="C4935" s="19"/>
      <c r="D4935" s="19"/>
      <c r="H4935" s="105"/>
      <c r="I4935" s="126"/>
      <c r="J4935" s="11"/>
      <c r="K4935" s="108"/>
      <c r="L4935" s="11"/>
      <c r="M4935" s="105"/>
      <c r="N4935" s="105"/>
      <c r="O4935" s="11"/>
      <c r="P4935" s="11"/>
      <c r="Q4935" s="105"/>
      <c r="R4935" s="105"/>
      <c r="S4935" s="105"/>
      <c r="T4935" s="105"/>
      <c r="U4935" s="105"/>
      <c r="V4935" s="105"/>
      <c r="W4935" s="105"/>
      <c r="X4935" s="11"/>
      <c r="Y4935" s="11"/>
      <c r="Z4935" s="105"/>
      <c r="AA4935" s="11"/>
      <c r="AB4935" s="11"/>
      <c r="AC4935" s="105"/>
      <c r="AD4935" s="11" t="b">
        <v>0</v>
      </c>
      <c r="AE4935" s="105"/>
      <c r="AF4935" s="11"/>
      <c r="AG4935" s="11"/>
      <c r="AH4935" s="11"/>
      <c r="AI4935" s="11"/>
    </row>
    <row r="4936" ht="12.5" spans="3:35">
      <c r="C4936" s="19"/>
      <c r="D4936" s="19"/>
      <c r="H4936" s="105"/>
      <c r="I4936" s="126"/>
      <c r="J4936" s="11"/>
      <c r="K4936" s="108"/>
      <c r="L4936" s="11"/>
      <c r="M4936" s="105"/>
      <c r="N4936" s="105"/>
      <c r="O4936" s="11"/>
      <c r="P4936" s="11"/>
      <c r="Q4936" s="105"/>
      <c r="R4936" s="105"/>
      <c r="S4936" s="105"/>
      <c r="T4936" s="105"/>
      <c r="U4936" s="105"/>
      <c r="V4936" s="105"/>
      <c r="W4936" s="105"/>
      <c r="X4936" s="11"/>
      <c r="Y4936" s="11"/>
      <c r="Z4936" s="105"/>
      <c r="AA4936" s="11"/>
      <c r="AB4936" s="11"/>
      <c r="AC4936" s="105"/>
      <c r="AD4936" s="11" t="b">
        <v>0</v>
      </c>
      <c r="AE4936" s="105"/>
      <c r="AF4936" s="11"/>
      <c r="AG4936" s="11"/>
      <c r="AH4936" s="11"/>
      <c r="AI4936" s="11"/>
    </row>
    <row r="4937" ht="12.5" spans="3:35">
      <c r="C4937" s="19"/>
      <c r="D4937" s="19"/>
      <c r="H4937" s="105"/>
      <c r="I4937" s="126"/>
      <c r="J4937" s="11"/>
      <c r="K4937" s="108"/>
      <c r="L4937" s="11"/>
      <c r="M4937" s="105"/>
      <c r="N4937" s="105"/>
      <c r="O4937" s="11"/>
      <c r="P4937" s="11"/>
      <c r="Q4937" s="105"/>
      <c r="R4937" s="105"/>
      <c r="S4937" s="105"/>
      <c r="T4937" s="105"/>
      <c r="U4937" s="105"/>
      <c r="V4937" s="105"/>
      <c r="W4937" s="105"/>
      <c r="X4937" s="11"/>
      <c r="Y4937" s="11"/>
      <c r="Z4937" s="105"/>
      <c r="AA4937" s="11"/>
      <c r="AB4937" s="11"/>
      <c r="AC4937" s="105"/>
      <c r="AD4937" s="11" t="b">
        <v>0</v>
      </c>
      <c r="AE4937" s="105"/>
      <c r="AF4937" s="11"/>
      <c r="AG4937" s="11"/>
      <c r="AH4937" s="11"/>
      <c r="AI4937" s="11"/>
    </row>
    <row r="4938" ht="12.5" spans="3:35">
      <c r="C4938" s="19"/>
      <c r="D4938" s="19"/>
      <c r="H4938" s="105"/>
      <c r="I4938" s="126"/>
      <c r="J4938" s="11"/>
      <c r="K4938" s="108"/>
      <c r="L4938" s="11"/>
      <c r="M4938" s="105"/>
      <c r="N4938" s="105"/>
      <c r="O4938" s="11"/>
      <c r="P4938" s="11"/>
      <c r="Q4938" s="105"/>
      <c r="R4938" s="105"/>
      <c r="S4938" s="105"/>
      <c r="T4938" s="105"/>
      <c r="U4938" s="105"/>
      <c r="V4938" s="105"/>
      <c r="W4938" s="105"/>
      <c r="X4938" s="11"/>
      <c r="Y4938" s="11"/>
      <c r="Z4938" s="105"/>
      <c r="AA4938" s="11"/>
      <c r="AB4938" s="11"/>
      <c r="AC4938" s="105"/>
      <c r="AD4938" s="11" t="b">
        <v>0</v>
      </c>
      <c r="AE4938" s="105"/>
      <c r="AF4938" s="11"/>
      <c r="AG4938" s="11"/>
      <c r="AH4938" s="11"/>
      <c r="AI4938" s="11"/>
    </row>
    <row r="4939" ht="12.5" spans="3:35">
      <c r="C4939" s="19"/>
      <c r="D4939" s="19"/>
      <c r="H4939" s="105"/>
      <c r="I4939" s="126"/>
      <c r="J4939" s="11"/>
      <c r="K4939" s="108"/>
      <c r="L4939" s="11"/>
      <c r="M4939" s="105"/>
      <c r="N4939" s="105"/>
      <c r="O4939" s="11"/>
      <c r="P4939" s="11"/>
      <c r="Q4939" s="105"/>
      <c r="R4939" s="105"/>
      <c r="S4939" s="105"/>
      <c r="T4939" s="105"/>
      <c r="U4939" s="105"/>
      <c r="V4939" s="105"/>
      <c r="W4939" s="105"/>
      <c r="X4939" s="11"/>
      <c r="Y4939" s="11"/>
      <c r="Z4939" s="105"/>
      <c r="AA4939" s="11"/>
      <c r="AB4939" s="11"/>
      <c r="AC4939" s="105"/>
      <c r="AD4939" s="11" t="b">
        <v>0</v>
      </c>
      <c r="AE4939" s="105"/>
      <c r="AF4939" s="11"/>
      <c r="AG4939" s="11"/>
      <c r="AH4939" s="11"/>
      <c r="AI4939" s="11"/>
    </row>
    <row r="4940" ht="12.5" spans="3:35">
      <c r="C4940" s="19"/>
      <c r="D4940" s="19"/>
      <c r="H4940" s="105"/>
      <c r="I4940" s="126"/>
      <c r="J4940" s="11"/>
      <c r="K4940" s="108"/>
      <c r="L4940" s="11"/>
      <c r="M4940" s="105"/>
      <c r="N4940" s="105"/>
      <c r="O4940" s="11"/>
      <c r="P4940" s="11"/>
      <c r="Q4940" s="105"/>
      <c r="R4940" s="105"/>
      <c r="S4940" s="105"/>
      <c r="T4940" s="105"/>
      <c r="U4940" s="105"/>
      <c r="V4940" s="105"/>
      <c r="W4940" s="105"/>
      <c r="X4940" s="11"/>
      <c r="Y4940" s="11"/>
      <c r="Z4940" s="105"/>
      <c r="AA4940" s="11"/>
      <c r="AB4940" s="11"/>
      <c r="AC4940" s="105"/>
      <c r="AD4940" s="11" t="b">
        <v>0</v>
      </c>
      <c r="AE4940" s="105"/>
      <c r="AF4940" s="11"/>
      <c r="AG4940" s="11"/>
      <c r="AH4940" s="11"/>
      <c r="AI4940" s="11"/>
    </row>
    <row r="4941" ht="12.5" spans="3:35">
      <c r="C4941" s="19"/>
      <c r="D4941" s="19"/>
      <c r="H4941" s="105"/>
      <c r="I4941" s="126"/>
      <c r="J4941" s="11"/>
      <c r="K4941" s="108"/>
      <c r="L4941" s="11"/>
      <c r="M4941" s="105"/>
      <c r="N4941" s="105"/>
      <c r="O4941" s="11"/>
      <c r="P4941" s="11"/>
      <c r="Q4941" s="105"/>
      <c r="R4941" s="105"/>
      <c r="S4941" s="105"/>
      <c r="T4941" s="105"/>
      <c r="U4941" s="105"/>
      <c r="V4941" s="105"/>
      <c r="W4941" s="105"/>
      <c r="X4941" s="11"/>
      <c r="Y4941" s="11"/>
      <c r="Z4941" s="105"/>
      <c r="AA4941" s="11"/>
      <c r="AB4941" s="11"/>
      <c r="AC4941" s="105"/>
      <c r="AD4941" s="11" t="b">
        <v>0</v>
      </c>
      <c r="AE4941" s="105"/>
      <c r="AF4941" s="11"/>
      <c r="AG4941" s="11"/>
      <c r="AH4941" s="11"/>
      <c r="AI4941" s="11"/>
    </row>
    <row r="4942" ht="12.5" spans="3:35">
      <c r="C4942" s="19"/>
      <c r="D4942" s="19"/>
      <c r="H4942" s="105"/>
      <c r="I4942" s="126"/>
      <c r="J4942" s="11"/>
      <c r="K4942" s="108"/>
      <c r="L4942" s="11"/>
      <c r="M4942" s="105"/>
      <c r="N4942" s="105"/>
      <c r="O4942" s="11"/>
      <c r="P4942" s="11"/>
      <c r="Q4942" s="105"/>
      <c r="R4942" s="105"/>
      <c r="S4942" s="105"/>
      <c r="T4942" s="105"/>
      <c r="U4942" s="105"/>
      <c r="V4942" s="105"/>
      <c r="W4942" s="105"/>
      <c r="X4942" s="11"/>
      <c r="Y4942" s="11"/>
      <c r="Z4942" s="105"/>
      <c r="AA4942" s="11"/>
      <c r="AB4942" s="11"/>
      <c r="AC4942" s="105"/>
      <c r="AD4942" s="11" t="b">
        <v>0</v>
      </c>
      <c r="AE4942" s="105"/>
      <c r="AF4942" s="11"/>
      <c r="AG4942" s="11"/>
      <c r="AH4942" s="11"/>
      <c r="AI4942" s="11"/>
    </row>
    <row r="4943" ht="12.5" spans="3:35">
      <c r="C4943" s="19"/>
      <c r="D4943" s="19"/>
      <c r="H4943" s="105"/>
      <c r="I4943" s="126"/>
      <c r="J4943" s="11"/>
      <c r="K4943" s="108"/>
      <c r="L4943" s="11"/>
      <c r="M4943" s="105"/>
      <c r="N4943" s="105"/>
      <c r="O4943" s="11"/>
      <c r="P4943" s="11"/>
      <c r="Q4943" s="105"/>
      <c r="R4943" s="105"/>
      <c r="S4943" s="105"/>
      <c r="T4943" s="105"/>
      <c r="U4943" s="105"/>
      <c r="V4943" s="105"/>
      <c r="W4943" s="105"/>
      <c r="X4943" s="11"/>
      <c r="Y4943" s="11"/>
      <c r="Z4943" s="105"/>
      <c r="AA4943" s="11"/>
      <c r="AB4943" s="11"/>
      <c r="AC4943" s="105"/>
      <c r="AD4943" s="11" t="b">
        <v>0</v>
      </c>
      <c r="AE4943" s="105"/>
      <c r="AF4943" s="11"/>
      <c r="AG4943" s="11"/>
      <c r="AH4943" s="11"/>
      <c r="AI4943" s="11"/>
    </row>
    <row r="4944" ht="12.5" spans="3:35">
      <c r="C4944" s="19"/>
      <c r="D4944" s="19"/>
      <c r="H4944" s="105"/>
      <c r="I4944" s="126"/>
      <c r="J4944" s="11"/>
      <c r="K4944" s="108"/>
      <c r="L4944" s="11"/>
      <c r="M4944" s="105"/>
      <c r="N4944" s="105"/>
      <c r="O4944" s="11"/>
      <c r="P4944" s="11"/>
      <c r="Q4944" s="105"/>
      <c r="R4944" s="105"/>
      <c r="S4944" s="105"/>
      <c r="T4944" s="105"/>
      <c r="U4944" s="105"/>
      <c r="V4944" s="105"/>
      <c r="W4944" s="105"/>
      <c r="X4944" s="11"/>
      <c r="Y4944" s="11"/>
      <c r="Z4944" s="105"/>
      <c r="AA4944" s="11"/>
      <c r="AB4944" s="11"/>
      <c r="AC4944" s="105"/>
      <c r="AD4944" s="11" t="b">
        <v>0</v>
      </c>
      <c r="AE4944" s="105"/>
      <c r="AF4944" s="11"/>
      <c r="AG4944" s="11"/>
      <c r="AH4944" s="11"/>
      <c r="AI4944" s="11"/>
    </row>
    <row r="4945" ht="12.5" spans="3:35">
      <c r="C4945" s="19"/>
      <c r="D4945" s="19"/>
      <c r="H4945" s="105"/>
      <c r="I4945" s="126"/>
      <c r="J4945" s="11"/>
      <c r="K4945" s="108"/>
      <c r="L4945" s="11"/>
      <c r="M4945" s="105"/>
      <c r="N4945" s="105"/>
      <c r="O4945" s="11"/>
      <c r="P4945" s="11"/>
      <c r="Q4945" s="105"/>
      <c r="R4945" s="105"/>
      <c r="S4945" s="105"/>
      <c r="T4945" s="105"/>
      <c r="U4945" s="105"/>
      <c r="V4945" s="105"/>
      <c r="W4945" s="105"/>
      <c r="X4945" s="11"/>
      <c r="Y4945" s="11"/>
      <c r="Z4945" s="105"/>
      <c r="AA4945" s="11"/>
      <c r="AB4945" s="11"/>
      <c r="AC4945" s="105"/>
      <c r="AD4945" s="11" t="b">
        <v>0</v>
      </c>
      <c r="AE4945" s="105"/>
      <c r="AF4945" s="11"/>
      <c r="AG4945" s="11"/>
      <c r="AH4945" s="11"/>
      <c r="AI4945" s="11"/>
    </row>
    <row r="4946" ht="12.5" spans="3:35">
      <c r="C4946" s="19"/>
      <c r="D4946" s="19"/>
      <c r="H4946" s="105"/>
      <c r="I4946" s="126"/>
      <c r="J4946" s="11"/>
      <c r="K4946" s="108"/>
      <c r="L4946" s="11"/>
      <c r="M4946" s="105"/>
      <c r="N4946" s="105"/>
      <c r="O4946" s="11"/>
      <c r="P4946" s="11"/>
      <c r="Q4946" s="105"/>
      <c r="R4946" s="105"/>
      <c r="S4946" s="105"/>
      <c r="T4946" s="105"/>
      <c r="U4946" s="105"/>
      <c r="V4946" s="105"/>
      <c r="W4946" s="105"/>
      <c r="X4946" s="11"/>
      <c r="Y4946" s="11"/>
      <c r="Z4946" s="105"/>
      <c r="AA4946" s="11"/>
      <c r="AB4946" s="11"/>
      <c r="AC4946" s="105"/>
      <c r="AD4946" s="11" t="b">
        <v>0</v>
      </c>
      <c r="AE4946" s="105"/>
      <c r="AF4946" s="11"/>
      <c r="AG4946" s="11"/>
      <c r="AH4946" s="11"/>
      <c r="AI4946" s="11"/>
    </row>
    <row r="4947" ht="12.5" spans="3:35">
      <c r="C4947" s="19"/>
      <c r="D4947" s="19"/>
      <c r="H4947" s="105"/>
      <c r="I4947" s="126"/>
      <c r="J4947" s="11"/>
      <c r="K4947" s="108"/>
      <c r="L4947" s="11"/>
      <c r="M4947" s="105"/>
      <c r="N4947" s="105"/>
      <c r="O4947" s="11"/>
      <c r="P4947" s="11"/>
      <c r="Q4947" s="105"/>
      <c r="R4947" s="105"/>
      <c r="S4947" s="105"/>
      <c r="T4947" s="105"/>
      <c r="U4947" s="105"/>
      <c r="V4947" s="105"/>
      <c r="W4947" s="105"/>
      <c r="X4947" s="11"/>
      <c r="Y4947" s="11"/>
      <c r="Z4947" s="105"/>
      <c r="AA4947" s="11"/>
      <c r="AB4947" s="11"/>
      <c r="AC4947" s="105"/>
      <c r="AD4947" s="11" t="b">
        <v>0</v>
      </c>
      <c r="AE4947" s="105"/>
      <c r="AF4947" s="11"/>
      <c r="AG4947" s="11"/>
      <c r="AH4947" s="11"/>
      <c r="AI4947" s="11"/>
    </row>
    <row r="4948" ht="12.5" spans="3:35">
      <c r="C4948" s="19"/>
      <c r="D4948" s="19"/>
      <c r="H4948" s="105"/>
      <c r="I4948" s="126"/>
      <c r="J4948" s="11"/>
      <c r="K4948" s="108"/>
      <c r="L4948" s="11"/>
      <c r="M4948" s="105"/>
      <c r="N4948" s="105"/>
      <c r="O4948" s="11"/>
      <c r="P4948" s="11"/>
      <c r="Q4948" s="105"/>
      <c r="R4948" s="105"/>
      <c r="S4948" s="105"/>
      <c r="T4948" s="105"/>
      <c r="U4948" s="105"/>
      <c r="V4948" s="105"/>
      <c r="W4948" s="105"/>
      <c r="X4948" s="11"/>
      <c r="Y4948" s="11"/>
      <c r="Z4948" s="105"/>
      <c r="AA4948" s="11"/>
      <c r="AB4948" s="11"/>
      <c r="AC4948" s="105"/>
      <c r="AD4948" s="11" t="b">
        <v>0</v>
      </c>
      <c r="AE4948" s="105"/>
      <c r="AF4948" s="11"/>
      <c r="AG4948" s="11"/>
      <c r="AH4948" s="11"/>
      <c r="AI4948" s="11"/>
    </row>
    <row r="4949" ht="12.5" spans="3:35">
      <c r="C4949" s="19"/>
      <c r="D4949" s="19"/>
      <c r="H4949" s="105"/>
      <c r="I4949" s="126"/>
      <c r="J4949" s="11"/>
      <c r="K4949" s="108"/>
      <c r="L4949" s="11"/>
      <c r="M4949" s="105"/>
      <c r="N4949" s="105"/>
      <c r="O4949" s="11"/>
      <c r="P4949" s="11"/>
      <c r="Q4949" s="105"/>
      <c r="R4949" s="105"/>
      <c r="S4949" s="105"/>
      <c r="T4949" s="105"/>
      <c r="U4949" s="105"/>
      <c r="V4949" s="105"/>
      <c r="W4949" s="105"/>
      <c r="X4949" s="11"/>
      <c r="Y4949" s="11"/>
      <c r="Z4949" s="105"/>
      <c r="AA4949" s="11"/>
      <c r="AB4949" s="11"/>
      <c r="AC4949" s="105"/>
      <c r="AD4949" s="11" t="b">
        <v>0</v>
      </c>
      <c r="AE4949" s="105"/>
      <c r="AF4949" s="11"/>
      <c r="AG4949" s="11"/>
      <c r="AH4949" s="11"/>
      <c r="AI4949" s="11"/>
    </row>
    <row r="4950" ht="12.5" spans="3:35">
      <c r="C4950" s="19"/>
      <c r="D4950" s="19"/>
      <c r="H4950" s="105"/>
      <c r="I4950" s="126"/>
      <c r="J4950" s="11"/>
      <c r="K4950" s="108"/>
      <c r="L4950" s="11"/>
      <c r="M4950" s="105"/>
      <c r="N4950" s="105"/>
      <c r="O4950" s="11"/>
      <c r="P4950" s="11"/>
      <c r="Q4950" s="105"/>
      <c r="R4950" s="105"/>
      <c r="S4950" s="105"/>
      <c r="T4950" s="105"/>
      <c r="U4950" s="105"/>
      <c r="V4950" s="105"/>
      <c r="W4950" s="105"/>
      <c r="X4950" s="11"/>
      <c r="Y4950" s="11"/>
      <c r="Z4950" s="105"/>
      <c r="AA4950" s="11"/>
      <c r="AB4950" s="11"/>
      <c r="AC4950" s="105"/>
      <c r="AD4950" s="11" t="b">
        <v>0</v>
      </c>
      <c r="AE4950" s="105"/>
      <c r="AF4950" s="11"/>
      <c r="AG4950" s="11"/>
      <c r="AH4950" s="11"/>
      <c r="AI4950" s="11"/>
    </row>
    <row r="4951" ht="12.5" spans="3:35">
      <c r="C4951" s="19"/>
      <c r="D4951" s="19"/>
      <c r="H4951" s="105"/>
      <c r="I4951" s="126"/>
      <c r="J4951" s="11"/>
      <c r="K4951" s="108"/>
      <c r="L4951" s="11"/>
      <c r="M4951" s="105"/>
      <c r="N4951" s="105"/>
      <c r="O4951" s="11"/>
      <c r="P4951" s="11"/>
      <c r="Q4951" s="105"/>
      <c r="R4951" s="105"/>
      <c r="S4951" s="105"/>
      <c r="T4951" s="105"/>
      <c r="U4951" s="105"/>
      <c r="V4951" s="105"/>
      <c r="W4951" s="105"/>
      <c r="X4951" s="11"/>
      <c r="Y4951" s="11"/>
      <c r="Z4951" s="105"/>
      <c r="AA4951" s="11"/>
      <c r="AB4951" s="11"/>
      <c r="AC4951" s="105"/>
      <c r="AD4951" s="11" t="b">
        <v>0</v>
      </c>
      <c r="AE4951" s="105"/>
      <c r="AF4951" s="11"/>
      <c r="AG4951" s="11"/>
      <c r="AH4951" s="11"/>
      <c r="AI4951" s="11"/>
    </row>
    <row r="4952" ht="12.5" spans="3:35">
      <c r="C4952" s="19"/>
      <c r="D4952" s="19"/>
      <c r="H4952" s="105"/>
      <c r="I4952" s="126"/>
      <c r="J4952" s="11"/>
      <c r="K4952" s="108"/>
      <c r="L4952" s="11"/>
      <c r="M4952" s="105"/>
      <c r="N4952" s="105"/>
      <c r="O4952" s="11"/>
      <c r="P4952" s="11"/>
      <c r="Q4952" s="105"/>
      <c r="R4952" s="105"/>
      <c r="S4952" s="105"/>
      <c r="T4952" s="105"/>
      <c r="U4952" s="105"/>
      <c r="V4952" s="105"/>
      <c r="W4952" s="105"/>
      <c r="X4952" s="11"/>
      <c r="Y4952" s="11"/>
      <c r="Z4952" s="105"/>
      <c r="AA4952" s="11"/>
      <c r="AB4952" s="11"/>
      <c r="AC4952" s="105"/>
      <c r="AD4952" s="11" t="b">
        <v>0</v>
      </c>
      <c r="AE4952" s="105"/>
      <c r="AF4952" s="11"/>
      <c r="AG4952" s="11"/>
      <c r="AH4952" s="11"/>
      <c r="AI4952" s="11"/>
    </row>
    <row r="4953" ht="12.5" spans="3:35">
      <c r="C4953" s="19"/>
      <c r="D4953" s="19"/>
      <c r="H4953" s="105"/>
      <c r="I4953" s="126"/>
      <c r="J4953" s="11"/>
      <c r="K4953" s="108"/>
      <c r="L4953" s="11"/>
      <c r="M4953" s="105"/>
      <c r="N4953" s="105"/>
      <c r="O4953" s="11"/>
      <c r="P4953" s="11"/>
      <c r="Q4953" s="105"/>
      <c r="R4953" s="105"/>
      <c r="S4953" s="105"/>
      <c r="T4953" s="105"/>
      <c r="U4953" s="105"/>
      <c r="V4953" s="105"/>
      <c r="W4953" s="105"/>
      <c r="X4953" s="11"/>
      <c r="Y4953" s="11"/>
      <c r="Z4953" s="105"/>
      <c r="AA4953" s="11"/>
      <c r="AB4953" s="11"/>
      <c r="AC4953" s="105"/>
      <c r="AD4953" s="11" t="b">
        <v>0</v>
      </c>
      <c r="AE4953" s="105"/>
      <c r="AF4953" s="11"/>
      <c r="AG4953" s="11"/>
      <c r="AH4953" s="11"/>
      <c r="AI4953" s="11"/>
    </row>
    <row r="4954" ht="12.5" spans="3:35">
      <c r="C4954" s="19"/>
      <c r="D4954" s="19"/>
      <c r="H4954" s="105"/>
      <c r="I4954" s="126"/>
      <c r="J4954" s="11"/>
      <c r="K4954" s="108"/>
      <c r="L4954" s="11"/>
      <c r="M4954" s="105"/>
      <c r="N4954" s="105"/>
      <c r="O4954" s="11"/>
      <c r="P4954" s="11"/>
      <c r="Q4954" s="105"/>
      <c r="R4954" s="105"/>
      <c r="S4954" s="105"/>
      <c r="T4954" s="105"/>
      <c r="U4954" s="105"/>
      <c r="V4954" s="105"/>
      <c r="W4954" s="105"/>
      <c r="X4954" s="11"/>
      <c r="Y4954" s="11"/>
      <c r="Z4954" s="105"/>
      <c r="AA4954" s="11"/>
      <c r="AB4954" s="11"/>
      <c r="AC4954" s="105"/>
      <c r="AD4954" s="11" t="b">
        <v>0</v>
      </c>
      <c r="AE4954" s="105"/>
      <c r="AF4954" s="11"/>
      <c r="AG4954" s="11"/>
      <c r="AH4954" s="11"/>
      <c r="AI4954" s="11"/>
    </row>
    <row r="4955" ht="12.5" spans="3:35">
      <c r="C4955" s="19"/>
      <c r="D4955" s="19"/>
      <c r="H4955" s="105"/>
      <c r="I4955" s="126"/>
      <c r="J4955" s="11"/>
      <c r="K4955" s="108"/>
      <c r="L4955" s="11"/>
      <c r="M4955" s="105"/>
      <c r="N4955" s="105"/>
      <c r="O4955" s="11"/>
      <c r="P4955" s="11"/>
      <c r="Q4955" s="105"/>
      <c r="R4955" s="105"/>
      <c r="S4955" s="105"/>
      <c r="T4955" s="105"/>
      <c r="U4955" s="105"/>
      <c r="V4955" s="105"/>
      <c r="W4955" s="105"/>
      <c r="X4955" s="11"/>
      <c r="Y4955" s="11"/>
      <c r="Z4955" s="105"/>
      <c r="AA4955" s="11"/>
      <c r="AB4955" s="11"/>
      <c r="AC4955" s="105"/>
      <c r="AD4955" s="11" t="b">
        <v>0</v>
      </c>
      <c r="AE4955" s="105"/>
      <c r="AF4955" s="11"/>
      <c r="AG4955" s="11"/>
      <c r="AH4955" s="11"/>
      <c r="AI4955" s="11"/>
    </row>
    <row r="4956" ht="12.5" spans="3:35">
      <c r="C4956" s="19"/>
      <c r="D4956" s="19"/>
      <c r="H4956" s="105"/>
      <c r="I4956" s="126"/>
      <c r="J4956" s="11"/>
      <c r="K4956" s="108"/>
      <c r="L4956" s="11"/>
      <c r="M4956" s="105"/>
      <c r="N4956" s="105"/>
      <c r="O4956" s="11"/>
      <c r="P4956" s="11"/>
      <c r="Q4956" s="105"/>
      <c r="R4956" s="105"/>
      <c r="S4956" s="105"/>
      <c r="T4956" s="105"/>
      <c r="U4956" s="105"/>
      <c r="V4956" s="105"/>
      <c r="W4956" s="105"/>
      <c r="X4956" s="11"/>
      <c r="Y4956" s="11"/>
      <c r="Z4956" s="105"/>
      <c r="AA4956" s="11"/>
      <c r="AB4956" s="11"/>
      <c r="AC4956" s="105"/>
      <c r="AD4956" s="11" t="b">
        <v>0</v>
      </c>
      <c r="AE4956" s="105"/>
      <c r="AF4956" s="11"/>
      <c r="AG4956" s="11"/>
      <c r="AH4956" s="11"/>
      <c r="AI4956" s="11"/>
    </row>
    <row r="4957" ht="12.5" spans="3:35">
      <c r="C4957" s="19"/>
      <c r="D4957" s="19"/>
      <c r="H4957" s="105"/>
      <c r="I4957" s="126"/>
      <c r="J4957" s="11"/>
      <c r="K4957" s="108"/>
      <c r="L4957" s="11"/>
      <c r="M4957" s="105"/>
      <c r="N4957" s="105"/>
      <c r="O4957" s="11"/>
      <c r="P4957" s="11"/>
      <c r="Q4957" s="105"/>
      <c r="R4957" s="105"/>
      <c r="S4957" s="105"/>
      <c r="T4957" s="105"/>
      <c r="U4957" s="105"/>
      <c r="V4957" s="105"/>
      <c r="W4957" s="105"/>
      <c r="X4957" s="11"/>
      <c r="Y4957" s="11"/>
      <c r="Z4957" s="105"/>
      <c r="AA4957" s="11"/>
      <c r="AB4957" s="11"/>
      <c r="AC4957" s="105"/>
      <c r="AD4957" s="11" t="b">
        <v>0</v>
      </c>
      <c r="AE4957" s="105"/>
      <c r="AF4957" s="11"/>
      <c r="AG4957" s="11"/>
      <c r="AH4957" s="11"/>
      <c r="AI4957" s="11"/>
    </row>
    <row r="4958" ht="12.5" spans="3:35">
      <c r="C4958" s="19"/>
      <c r="D4958" s="19"/>
      <c r="H4958" s="105"/>
      <c r="I4958" s="126"/>
      <c r="J4958" s="11"/>
      <c r="K4958" s="108"/>
      <c r="L4958" s="11"/>
      <c r="M4958" s="105"/>
      <c r="N4958" s="105"/>
      <c r="O4958" s="11"/>
      <c r="P4958" s="11"/>
      <c r="Q4958" s="105"/>
      <c r="R4958" s="105"/>
      <c r="S4958" s="105"/>
      <c r="T4958" s="105"/>
      <c r="U4958" s="105"/>
      <c r="V4958" s="105"/>
      <c r="W4958" s="105"/>
      <c r="X4958" s="11"/>
      <c r="Y4958" s="11"/>
      <c r="Z4958" s="105"/>
      <c r="AA4958" s="11"/>
      <c r="AB4958" s="11"/>
      <c r="AC4958" s="105"/>
      <c r="AD4958" s="11" t="b">
        <v>0</v>
      </c>
      <c r="AE4958" s="105"/>
      <c r="AF4958" s="11"/>
      <c r="AG4958" s="11"/>
      <c r="AH4958" s="11"/>
      <c r="AI4958" s="11"/>
    </row>
    <row r="4959" ht="12.5" spans="3:35">
      <c r="C4959" s="19"/>
      <c r="D4959" s="19"/>
      <c r="H4959" s="105"/>
      <c r="I4959" s="126"/>
      <c r="J4959" s="11"/>
      <c r="K4959" s="108"/>
      <c r="L4959" s="11"/>
      <c r="M4959" s="105"/>
      <c r="N4959" s="105"/>
      <c r="O4959" s="11"/>
      <c r="P4959" s="11"/>
      <c r="Q4959" s="105"/>
      <c r="R4959" s="105"/>
      <c r="S4959" s="105"/>
      <c r="T4959" s="105"/>
      <c r="U4959" s="105"/>
      <c r="V4959" s="105"/>
      <c r="W4959" s="105"/>
      <c r="X4959" s="11"/>
      <c r="Y4959" s="11"/>
      <c r="Z4959" s="105"/>
      <c r="AA4959" s="11"/>
      <c r="AB4959" s="11"/>
      <c r="AC4959" s="105"/>
      <c r="AD4959" s="11" t="b">
        <v>0</v>
      </c>
      <c r="AE4959" s="105"/>
      <c r="AF4959" s="11"/>
      <c r="AG4959" s="11"/>
      <c r="AH4959" s="11"/>
      <c r="AI4959" s="11"/>
    </row>
    <row r="4960" ht="12.5" spans="3:35">
      <c r="C4960" s="19"/>
      <c r="D4960" s="19"/>
      <c r="H4960" s="105"/>
      <c r="I4960" s="126"/>
      <c r="J4960" s="11"/>
      <c r="K4960" s="108"/>
      <c r="L4960" s="11"/>
      <c r="M4960" s="105"/>
      <c r="N4960" s="105"/>
      <c r="O4960" s="11"/>
      <c r="P4960" s="11"/>
      <c r="Q4960" s="105"/>
      <c r="R4960" s="105"/>
      <c r="S4960" s="105"/>
      <c r="T4960" s="105"/>
      <c r="U4960" s="105"/>
      <c r="V4960" s="105"/>
      <c r="W4960" s="105"/>
      <c r="X4960" s="11"/>
      <c r="Y4960" s="11"/>
      <c r="Z4960" s="105"/>
      <c r="AA4960" s="11"/>
      <c r="AB4960" s="11"/>
      <c r="AC4960" s="105"/>
      <c r="AD4960" s="11" t="b">
        <v>0</v>
      </c>
      <c r="AE4960" s="105"/>
      <c r="AF4960" s="11"/>
      <c r="AG4960" s="11"/>
      <c r="AH4960" s="11"/>
      <c r="AI4960" s="11"/>
    </row>
    <row r="4961" ht="12.5" spans="3:35">
      <c r="C4961" s="19"/>
      <c r="D4961" s="19"/>
      <c r="H4961" s="105"/>
      <c r="I4961" s="126"/>
      <c r="J4961" s="11"/>
      <c r="K4961" s="108"/>
      <c r="L4961" s="11"/>
      <c r="M4961" s="105"/>
      <c r="N4961" s="105"/>
      <c r="O4961" s="11"/>
      <c r="P4961" s="11"/>
      <c r="Q4961" s="105"/>
      <c r="R4961" s="105"/>
      <c r="S4961" s="105"/>
      <c r="T4961" s="105"/>
      <c r="U4961" s="105"/>
      <c r="V4961" s="105"/>
      <c r="W4961" s="105"/>
      <c r="X4961" s="11"/>
      <c r="Y4961" s="11"/>
      <c r="Z4961" s="105"/>
      <c r="AA4961" s="11"/>
      <c r="AB4961" s="11"/>
      <c r="AC4961" s="105"/>
      <c r="AD4961" s="11" t="b">
        <v>0</v>
      </c>
      <c r="AE4961" s="105"/>
      <c r="AF4961" s="11"/>
      <c r="AG4961" s="11"/>
      <c r="AH4961" s="11"/>
      <c r="AI4961" s="11"/>
    </row>
    <row r="4962" ht="12.5" spans="3:35">
      <c r="C4962" s="19"/>
      <c r="D4962" s="19"/>
      <c r="H4962" s="105"/>
      <c r="I4962" s="126"/>
      <c r="J4962" s="11"/>
      <c r="K4962" s="108"/>
      <c r="L4962" s="11"/>
      <c r="M4962" s="105"/>
      <c r="N4962" s="105"/>
      <c r="O4962" s="11"/>
      <c r="P4962" s="11"/>
      <c r="Q4962" s="105"/>
      <c r="R4962" s="105"/>
      <c r="S4962" s="105"/>
      <c r="T4962" s="105"/>
      <c r="U4962" s="105"/>
      <c r="V4962" s="105"/>
      <c r="W4962" s="105"/>
      <c r="X4962" s="11"/>
      <c r="Y4962" s="11"/>
      <c r="Z4962" s="105"/>
      <c r="AA4962" s="11"/>
      <c r="AB4962" s="11"/>
      <c r="AC4962" s="105"/>
      <c r="AD4962" s="11" t="b">
        <v>0</v>
      </c>
      <c r="AE4962" s="105"/>
      <c r="AF4962" s="11"/>
      <c r="AG4962" s="11"/>
      <c r="AH4962" s="11"/>
      <c r="AI4962" s="11"/>
    </row>
    <row r="4963" ht="12.5" spans="3:35">
      <c r="C4963" s="19"/>
      <c r="D4963" s="19"/>
      <c r="H4963" s="105"/>
      <c r="I4963" s="126"/>
      <c r="J4963" s="11"/>
      <c r="K4963" s="108"/>
      <c r="L4963" s="11"/>
      <c r="M4963" s="105"/>
      <c r="N4963" s="105"/>
      <c r="O4963" s="11"/>
      <c r="P4963" s="11"/>
      <c r="Q4963" s="105"/>
      <c r="R4963" s="105"/>
      <c r="S4963" s="105"/>
      <c r="T4963" s="105"/>
      <c r="U4963" s="105"/>
      <c r="V4963" s="105"/>
      <c r="W4963" s="105"/>
      <c r="X4963" s="11"/>
      <c r="Y4963" s="11"/>
      <c r="Z4963" s="105"/>
      <c r="AA4963" s="11"/>
      <c r="AB4963" s="11"/>
      <c r="AC4963" s="105"/>
      <c r="AD4963" s="11" t="b">
        <v>0</v>
      </c>
      <c r="AE4963" s="105"/>
      <c r="AF4963" s="11"/>
      <c r="AG4963" s="11"/>
      <c r="AH4963" s="11"/>
      <c r="AI4963" s="11"/>
    </row>
    <row r="4964" ht="12.5" spans="3:35">
      <c r="C4964" s="19"/>
      <c r="D4964" s="19"/>
      <c r="H4964" s="105"/>
      <c r="I4964" s="126"/>
      <c r="J4964" s="11"/>
      <c r="K4964" s="108"/>
      <c r="L4964" s="11"/>
      <c r="M4964" s="105"/>
      <c r="N4964" s="105"/>
      <c r="O4964" s="11"/>
      <c r="P4964" s="11"/>
      <c r="Q4964" s="105"/>
      <c r="R4964" s="105"/>
      <c r="S4964" s="105"/>
      <c r="T4964" s="105"/>
      <c r="U4964" s="105"/>
      <c r="V4964" s="105"/>
      <c r="W4964" s="105"/>
      <c r="X4964" s="11"/>
      <c r="Y4964" s="11"/>
      <c r="Z4964" s="105"/>
      <c r="AA4964" s="11"/>
      <c r="AB4964" s="11"/>
      <c r="AC4964" s="105"/>
      <c r="AD4964" s="11" t="b">
        <v>0</v>
      </c>
      <c r="AE4964" s="105"/>
      <c r="AF4964" s="11"/>
      <c r="AG4964" s="11"/>
      <c r="AH4964" s="11"/>
      <c r="AI4964" s="11"/>
    </row>
    <row r="4965" ht="12.5" spans="3:35">
      <c r="C4965" s="19"/>
      <c r="D4965" s="19"/>
      <c r="H4965" s="105"/>
      <c r="I4965" s="126"/>
      <c r="J4965" s="11"/>
      <c r="K4965" s="108"/>
      <c r="L4965" s="11"/>
      <c r="M4965" s="105"/>
      <c r="N4965" s="105"/>
      <c r="O4965" s="11"/>
      <c r="P4965" s="11"/>
      <c r="Q4965" s="105"/>
      <c r="R4965" s="105"/>
      <c r="S4965" s="105"/>
      <c r="T4965" s="105"/>
      <c r="U4965" s="105"/>
      <c r="V4965" s="105"/>
      <c r="W4965" s="105"/>
      <c r="X4965" s="11"/>
      <c r="Y4965" s="11"/>
      <c r="Z4965" s="105"/>
      <c r="AA4965" s="11"/>
      <c r="AB4965" s="11"/>
      <c r="AC4965" s="105"/>
      <c r="AD4965" s="11" t="b">
        <v>0</v>
      </c>
      <c r="AE4965" s="105"/>
      <c r="AF4965" s="11"/>
      <c r="AG4965" s="11"/>
      <c r="AH4965" s="11"/>
      <c r="AI4965" s="11"/>
    </row>
    <row r="4966" ht="12.5" spans="3:35">
      <c r="C4966" s="19"/>
      <c r="D4966" s="19"/>
      <c r="H4966" s="105"/>
      <c r="I4966" s="126"/>
      <c r="J4966" s="11"/>
      <c r="K4966" s="108"/>
      <c r="L4966" s="11"/>
      <c r="M4966" s="105"/>
      <c r="N4966" s="105"/>
      <c r="O4966" s="11"/>
      <c r="P4966" s="11"/>
      <c r="Q4966" s="105"/>
      <c r="R4966" s="105"/>
      <c r="S4966" s="105"/>
      <c r="T4966" s="105"/>
      <c r="U4966" s="105"/>
      <c r="V4966" s="105"/>
      <c r="W4966" s="105"/>
      <c r="X4966" s="11"/>
      <c r="Y4966" s="11"/>
      <c r="Z4966" s="105"/>
      <c r="AA4966" s="11"/>
      <c r="AB4966" s="11"/>
      <c r="AC4966" s="105"/>
      <c r="AD4966" s="11" t="b">
        <v>0</v>
      </c>
      <c r="AE4966" s="105"/>
      <c r="AF4966" s="11"/>
      <c r="AG4966" s="11"/>
      <c r="AH4966" s="11"/>
      <c r="AI4966" s="11"/>
    </row>
    <row r="4967" ht="12.5" spans="3:35">
      <c r="C4967" s="19"/>
      <c r="D4967" s="19"/>
      <c r="H4967" s="105"/>
      <c r="I4967" s="126"/>
      <c r="J4967" s="11"/>
      <c r="K4967" s="108"/>
      <c r="L4967" s="11"/>
      <c r="M4967" s="105"/>
      <c r="N4967" s="105"/>
      <c r="O4967" s="11"/>
      <c r="P4967" s="11"/>
      <c r="Q4967" s="105"/>
      <c r="R4967" s="105"/>
      <c r="S4967" s="105"/>
      <c r="T4967" s="105"/>
      <c r="U4967" s="105"/>
      <c r="V4967" s="105"/>
      <c r="W4967" s="105"/>
      <c r="X4967" s="11"/>
      <c r="Y4967" s="11"/>
      <c r="Z4967" s="105"/>
      <c r="AA4967" s="11"/>
      <c r="AB4967" s="11"/>
      <c r="AC4967" s="105"/>
      <c r="AD4967" s="11" t="b">
        <v>0</v>
      </c>
      <c r="AE4967" s="105"/>
      <c r="AF4967" s="11"/>
      <c r="AG4967" s="11"/>
      <c r="AH4967" s="11"/>
      <c r="AI4967" s="11"/>
    </row>
    <row r="4968" ht="12.5" spans="3:35">
      <c r="C4968" s="19"/>
      <c r="D4968" s="19"/>
      <c r="H4968" s="105"/>
      <c r="I4968" s="126"/>
      <c r="J4968" s="11"/>
      <c r="K4968" s="108"/>
      <c r="L4968" s="11"/>
      <c r="M4968" s="105"/>
      <c r="N4968" s="105"/>
      <c r="O4968" s="11"/>
      <c r="P4968" s="11"/>
      <c r="Q4968" s="105"/>
      <c r="R4968" s="105"/>
      <c r="S4968" s="105"/>
      <c r="T4968" s="105"/>
      <c r="U4968" s="105"/>
      <c r="V4968" s="105"/>
      <c r="W4968" s="105"/>
      <c r="X4968" s="11"/>
      <c r="Y4968" s="11"/>
      <c r="Z4968" s="105"/>
      <c r="AA4968" s="11"/>
      <c r="AB4968" s="11"/>
      <c r="AC4968" s="105"/>
      <c r="AD4968" s="11" t="b">
        <v>0</v>
      </c>
      <c r="AE4968" s="105"/>
      <c r="AF4968" s="11"/>
      <c r="AG4968" s="11"/>
      <c r="AH4968" s="11"/>
      <c r="AI4968" s="11"/>
    </row>
    <row r="4969" ht="12.5" spans="3:35">
      <c r="C4969" s="19"/>
      <c r="D4969" s="19"/>
      <c r="H4969" s="105"/>
      <c r="I4969" s="126"/>
      <c r="J4969" s="11"/>
      <c r="K4969" s="108"/>
      <c r="L4969" s="11"/>
      <c r="M4969" s="105"/>
      <c r="N4969" s="105"/>
      <c r="O4969" s="11"/>
      <c r="P4969" s="11"/>
      <c r="Q4969" s="105"/>
      <c r="R4969" s="105"/>
      <c r="S4969" s="105"/>
      <c r="T4969" s="105"/>
      <c r="U4969" s="105"/>
      <c r="V4969" s="105"/>
      <c r="W4969" s="105"/>
      <c r="X4969" s="11"/>
      <c r="Y4969" s="11"/>
      <c r="Z4969" s="105"/>
      <c r="AA4969" s="11"/>
      <c r="AB4969" s="11"/>
      <c r="AC4969" s="105"/>
      <c r="AD4969" s="11" t="b">
        <v>0</v>
      </c>
      <c r="AE4969" s="105"/>
      <c r="AF4969" s="11"/>
      <c r="AG4969" s="11"/>
      <c r="AH4969" s="11"/>
      <c r="AI4969" s="11"/>
    </row>
    <row r="4970" ht="12.5" spans="3:35">
      <c r="C4970" s="19"/>
      <c r="D4970" s="19"/>
      <c r="H4970" s="105"/>
      <c r="I4970" s="126"/>
      <c r="J4970" s="11"/>
      <c r="K4970" s="108"/>
      <c r="L4970" s="11"/>
      <c r="M4970" s="105"/>
      <c r="N4970" s="105"/>
      <c r="O4970" s="11"/>
      <c r="P4970" s="11"/>
      <c r="Q4970" s="105"/>
      <c r="R4970" s="105"/>
      <c r="S4970" s="105"/>
      <c r="T4970" s="105"/>
      <c r="U4970" s="105"/>
      <c r="V4970" s="105"/>
      <c r="W4970" s="105"/>
      <c r="X4970" s="11"/>
      <c r="Y4970" s="11"/>
      <c r="Z4970" s="105"/>
      <c r="AA4970" s="11"/>
      <c r="AB4970" s="11"/>
      <c r="AC4970" s="105"/>
      <c r="AD4970" s="11" t="b">
        <v>0</v>
      </c>
      <c r="AE4970" s="105"/>
      <c r="AF4970" s="11"/>
      <c r="AG4970" s="11"/>
      <c r="AH4970" s="11"/>
      <c r="AI4970" s="11"/>
    </row>
    <row r="4971" ht="12.5" spans="3:35">
      <c r="C4971" s="19"/>
      <c r="D4971" s="19"/>
      <c r="H4971" s="105"/>
      <c r="I4971" s="126"/>
      <c r="J4971" s="11"/>
      <c r="K4971" s="108"/>
      <c r="L4971" s="11"/>
      <c r="M4971" s="105"/>
      <c r="N4971" s="105"/>
      <c r="O4971" s="11"/>
      <c r="P4971" s="11"/>
      <c r="Q4971" s="105"/>
      <c r="R4971" s="105"/>
      <c r="S4971" s="105"/>
      <c r="T4971" s="105"/>
      <c r="U4971" s="105"/>
      <c r="V4971" s="105"/>
      <c r="W4971" s="105"/>
      <c r="X4971" s="11"/>
      <c r="Y4971" s="11"/>
      <c r="Z4971" s="105"/>
      <c r="AA4971" s="11"/>
      <c r="AB4971" s="11"/>
      <c r="AC4971" s="105"/>
      <c r="AD4971" s="11" t="b">
        <v>0</v>
      </c>
      <c r="AE4971" s="105"/>
      <c r="AF4971" s="11"/>
      <c r="AG4971" s="11"/>
      <c r="AH4971" s="11"/>
      <c r="AI4971" s="11"/>
    </row>
    <row r="4972" ht="12.5" spans="3:35">
      <c r="C4972" s="19"/>
      <c r="D4972" s="19"/>
      <c r="H4972" s="105"/>
      <c r="I4972" s="126"/>
      <c r="J4972" s="11"/>
      <c r="K4972" s="108"/>
      <c r="L4972" s="11"/>
      <c r="M4972" s="105"/>
      <c r="N4972" s="105"/>
      <c r="O4972" s="11"/>
      <c r="P4972" s="11"/>
      <c r="Q4972" s="105"/>
      <c r="R4972" s="105"/>
      <c r="S4972" s="105"/>
      <c r="T4972" s="105"/>
      <c r="U4972" s="105"/>
      <c r="V4972" s="105"/>
      <c r="W4972" s="105"/>
      <c r="X4972" s="11"/>
      <c r="Y4972" s="11"/>
      <c r="Z4972" s="105"/>
      <c r="AA4972" s="11"/>
      <c r="AB4972" s="11"/>
      <c r="AC4972" s="105"/>
      <c r="AD4972" s="11" t="b">
        <v>0</v>
      </c>
      <c r="AE4972" s="105"/>
      <c r="AF4972" s="11"/>
      <c r="AG4972" s="11"/>
      <c r="AH4972" s="11"/>
      <c r="AI4972" s="11"/>
    </row>
    <row r="4973" ht="12.5" spans="3:35">
      <c r="C4973" s="19"/>
      <c r="D4973" s="19"/>
      <c r="H4973" s="105"/>
      <c r="I4973" s="126"/>
      <c r="J4973" s="11"/>
      <c r="K4973" s="108"/>
      <c r="L4973" s="11"/>
      <c r="M4973" s="105"/>
      <c r="N4973" s="105"/>
      <c r="O4973" s="11"/>
      <c r="P4973" s="11"/>
      <c r="Q4973" s="105"/>
      <c r="R4973" s="105"/>
      <c r="S4973" s="105"/>
      <c r="T4973" s="105"/>
      <c r="U4973" s="105"/>
      <c r="V4973" s="105"/>
      <c r="W4973" s="105"/>
      <c r="X4973" s="11"/>
      <c r="Y4973" s="11"/>
      <c r="Z4973" s="105"/>
      <c r="AA4973" s="11"/>
      <c r="AB4973" s="11"/>
      <c r="AC4973" s="105"/>
      <c r="AD4973" s="11" t="b">
        <v>0</v>
      </c>
      <c r="AE4973" s="105"/>
      <c r="AF4973" s="11"/>
      <c r="AG4973" s="11"/>
      <c r="AH4973" s="11"/>
      <c r="AI4973" s="11"/>
    </row>
    <row r="4974" ht="12.5" spans="3:35">
      <c r="C4974" s="19"/>
      <c r="D4974" s="19"/>
      <c r="H4974" s="105"/>
      <c r="I4974" s="126"/>
      <c r="J4974" s="11"/>
      <c r="K4974" s="108"/>
      <c r="L4974" s="11"/>
      <c r="M4974" s="105"/>
      <c r="N4974" s="105"/>
      <c r="O4974" s="11"/>
      <c r="P4974" s="11"/>
      <c r="Q4974" s="105"/>
      <c r="R4974" s="105"/>
      <c r="S4974" s="105"/>
      <c r="T4974" s="105"/>
      <c r="U4974" s="105"/>
      <c r="V4974" s="105"/>
      <c r="W4974" s="105"/>
      <c r="X4974" s="11"/>
      <c r="Y4974" s="11"/>
      <c r="Z4974" s="105"/>
      <c r="AA4974" s="11"/>
      <c r="AB4974" s="11"/>
      <c r="AC4974" s="105"/>
      <c r="AD4974" s="11" t="b">
        <v>0</v>
      </c>
      <c r="AE4974" s="105"/>
      <c r="AF4974" s="11"/>
      <c r="AG4974" s="11"/>
      <c r="AH4974" s="11"/>
      <c r="AI4974" s="11"/>
    </row>
    <row r="4975" ht="12.5" spans="3:35">
      <c r="C4975" s="19"/>
      <c r="D4975" s="19"/>
      <c r="H4975" s="105"/>
      <c r="I4975" s="126"/>
      <c r="J4975" s="11"/>
      <c r="K4975" s="108"/>
      <c r="L4975" s="11"/>
      <c r="M4975" s="105"/>
      <c r="N4975" s="105"/>
      <c r="O4975" s="11"/>
      <c r="P4975" s="11"/>
      <c r="Q4975" s="105"/>
      <c r="R4975" s="105"/>
      <c r="S4975" s="105"/>
      <c r="T4975" s="105"/>
      <c r="U4975" s="105"/>
      <c r="V4975" s="105"/>
      <c r="W4975" s="105"/>
      <c r="X4975" s="11"/>
      <c r="Y4975" s="11"/>
      <c r="Z4975" s="105"/>
      <c r="AA4975" s="11"/>
      <c r="AB4975" s="11"/>
      <c r="AC4975" s="105"/>
      <c r="AD4975" s="11" t="b">
        <v>0</v>
      </c>
      <c r="AE4975" s="105"/>
      <c r="AF4975" s="11"/>
      <c r="AG4975" s="11"/>
      <c r="AH4975" s="11"/>
      <c r="AI4975" s="11"/>
    </row>
    <row r="4976" ht="12.5" spans="3:35">
      <c r="C4976" s="19"/>
      <c r="D4976" s="19"/>
      <c r="H4976" s="105"/>
      <c r="I4976" s="126"/>
      <c r="J4976" s="11"/>
      <c r="K4976" s="108"/>
      <c r="L4976" s="11"/>
      <c r="M4976" s="105"/>
      <c r="N4976" s="105"/>
      <c r="O4976" s="11"/>
      <c r="P4976" s="11"/>
      <c r="Q4976" s="105"/>
      <c r="R4976" s="105"/>
      <c r="S4976" s="105"/>
      <c r="T4976" s="105"/>
      <c r="U4976" s="105"/>
      <c r="V4976" s="105"/>
      <c r="W4976" s="105"/>
      <c r="X4976" s="11"/>
      <c r="Y4976" s="11"/>
      <c r="Z4976" s="105"/>
      <c r="AA4976" s="11"/>
      <c r="AB4976" s="11"/>
      <c r="AC4976" s="105"/>
      <c r="AD4976" s="11" t="b">
        <v>0</v>
      </c>
      <c r="AE4976" s="105"/>
      <c r="AF4976" s="11"/>
      <c r="AG4976" s="11"/>
      <c r="AH4976" s="11"/>
      <c r="AI4976" s="11"/>
    </row>
    <row r="4977" ht="12.5" spans="3:35">
      <c r="C4977" s="19"/>
      <c r="D4977" s="19"/>
      <c r="H4977" s="105"/>
      <c r="I4977" s="126"/>
      <c r="J4977" s="11"/>
      <c r="K4977" s="108"/>
      <c r="L4977" s="11"/>
      <c r="M4977" s="105"/>
      <c r="N4977" s="105"/>
      <c r="O4977" s="11"/>
      <c r="P4977" s="11"/>
      <c r="Q4977" s="105"/>
      <c r="R4977" s="105"/>
      <c r="S4977" s="105"/>
      <c r="T4977" s="105"/>
      <c r="U4977" s="105"/>
      <c r="V4977" s="105"/>
      <c r="W4977" s="105"/>
      <c r="X4977" s="11"/>
      <c r="Y4977" s="11"/>
      <c r="Z4977" s="105"/>
      <c r="AA4977" s="11"/>
      <c r="AB4977" s="11"/>
      <c r="AC4977" s="105"/>
      <c r="AD4977" s="11" t="b">
        <v>0</v>
      </c>
      <c r="AE4977" s="105"/>
      <c r="AF4977" s="11"/>
      <c r="AG4977" s="11"/>
      <c r="AH4977" s="11"/>
      <c r="AI4977" s="11"/>
    </row>
    <row r="4978" ht="12.5" spans="3:35">
      <c r="C4978" s="19"/>
      <c r="D4978" s="19"/>
      <c r="H4978" s="105"/>
      <c r="I4978" s="126"/>
      <c r="J4978" s="11"/>
      <c r="K4978" s="108"/>
      <c r="L4978" s="11"/>
      <c r="M4978" s="105"/>
      <c r="N4978" s="105"/>
      <c r="O4978" s="11"/>
      <c r="P4978" s="11"/>
      <c r="Q4978" s="105"/>
      <c r="R4978" s="105"/>
      <c r="S4978" s="105"/>
      <c r="T4978" s="105"/>
      <c r="U4978" s="105"/>
      <c r="V4978" s="105"/>
      <c r="W4978" s="105"/>
      <c r="X4978" s="11"/>
      <c r="Y4978" s="11"/>
      <c r="Z4978" s="105"/>
      <c r="AA4978" s="11"/>
      <c r="AB4978" s="11"/>
      <c r="AC4978" s="105"/>
      <c r="AD4978" s="11" t="b">
        <v>0</v>
      </c>
      <c r="AE4978" s="105"/>
      <c r="AF4978" s="11"/>
      <c r="AG4978" s="11"/>
      <c r="AH4978" s="11"/>
      <c r="AI4978" s="11"/>
    </row>
    <row r="4979" ht="12.5" spans="3:35">
      <c r="C4979" s="19"/>
      <c r="D4979" s="19"/>
      <c r="H4979" s="105"/>
      <c r="I4979" s="126"/>
      <c r="J4979" s="11"/>
      <c r="K4979" s="108"/>
      <c r="L4979" s="11"/>
      <c r="M4979" s="105"/>
      <c r="N4979" s="105"/>
      <c r="O4979" s="11"/>
      <c r="P4979" s="11"/>
      <c r="Q4979" s="105"/>
      <c r="R4979" s="105"/>
      <c r="S4979" s="105"/>
      <c r="T4979" s="105"/>
      <c r="U4979" s="105"/>
      <c r="V4979" s="105"/>
      <c r="W4979" s="105"/>
      <c r="X4979" s="11"/>
      <c r="Y4979" s="11"/>
      <c r="Z4979" s="105"/>
      <c r="AA4979" s="11"/>
      <c r="AB4979" s="11"/>
      <c r="AC4979" s="105"/>
      <c r="AD4979" s="11" t="b">
        <v>0</v>
      </c>
      <c r="AE4979" s="105"/>
      <c r="AF4979" s="11"/>
      <c r="AG4979" s="11"/>
      <c r="AH4979" s="11"/>
      <c r="AI4979" s="11"/>
    </row>
    <row r="4980" ht="12.5" spans="3:35">
      <c r="C4980" s="19"/>
      <c r="D4980" s="19"/>
      <c r="H4980" s="105"/>
      <c r="I4980" s="126"/>
      <c r="J4980" s="11"/>
      <c r="K4980" s="108"/>
      <c r="L4980" s="11"/>
      <c r="M4980" s="105"/>
      <c r="N4980" s="105"/>
      <c r="O4980" s="11"/>
      <c r="P4980" s="11"/>
      <c r="Q4980" s="105"/>
      <c r="R4980" s="105"/>
      <c r="S4980" s="105"/>
      <c r="T4980" s="105"/>
      <c r="U4980" s="105"/>
      <c r="V4980" s="105"/>
      <c r="W4980" s="105"/>
      <c r="X4980" s="11"/>
      <c r="Y4980" s="11"/>
      <c r="Z4980" s="105"/>
      <c r="AA4980" s="11"/>
      <c r="AB4980" s="11"/>
      <c r="AC4980" s="105"/>
      <c r="AD4980" s="11" t="b">
        <v>0</v>
      </c>
      <c r="AE4980" s="105"/>
      <c r="AF4980" s="11"/>
      <c r="AG4980" s="11"/>
      <c r="AH4980" s="11"/>
      <c r="AI4980" s="11"/>
    </row>
    <row r="4981" ht="12.5" spans="3:35">
      <c r="C4981" s="19"/>
      <c r="D4981" s="19"/>
      <c r="H4981" s="105"/>
      <c r="I4981" s="126"/>
      <c r="J4981" s="11"/>
      <c r="K4981" s="108"/>
      <c r="L4981" s="11"/>
      <c r="M4981" s="105"/>
      <c r="N4981" s="105"/>
      <c r="O4981" s="11"/>
      <c r="P4981" s="11"/>
      <c r="Q4981" s="105"/>
      <c r="R4981" s="105"/>
      <c r="S4981" s="105"/>
      <c r="T4981" s="105"/>
      <c r="U4981" s="105"/>
      <c r="V4981" s="105"/>
      <c r="W4981" s="105"/>
      <c r="X4981" s="11"/>
      <c r="Y4981" s="11"/>
      <c r="Z4981" s="105"/>
      <c r="AA4981" s="11"/>
      <c r="AB4981" s="11"/>
      <c r="AC4981" s="105"/>
      <c r="AD4981" s="11" t="b">
        <v>0</v>
      </c>
      <c r="AE4981" s="105"/>
      <c r="AF4981" s="11"/>
      <c r="AG4981" s="11"/>
      <c r="AH4981" s="11"/>
      <c r="AI4981" s="11"/>
    </row>
    <row r="4982" ht="12.5" spans="3:35">
      <c r="C4982" s="19"/>
      <c r="D4982" s="19"/>
      <c r="H4982" s="105"/>
      <c r="I4982" s="126"/>
      <c r="J4982" s="11"/>
      <c r="K4982" s="108"/>
      <c r="L4982" s="11"/>
      <c r="M4982" s="105"/>
      <c r="N4982" s="105"/>
      <c r="O4982" s="11"/>
      <c r="P4982" s="11"/>
      <c r="Q4982" s="105"/>
      <c r="R4982" s="105"/>
      <c r="S4982" s="105"/>
      <c r="T4982" s="105"/>
      <c r="U4982" s="105"/>
      <c r="V4982" s="105"/>
      <c r="W4982" s="105"/>
      <c r="X4982" s="11"/>
      <c r="Y4982" s="11"/>
      <c r="Z4982" s="105"/>
      <c r="AA4982" s="11"/>
      <c r="AB4982" s="11"/>
      <c r="AC4982" s="105"/>
      <c r="AD4982" s="11" t="b">
        <v>0</v>
      </c>
      <c r="AE4982" s="105"/>
      <c r="AF4982" s="11"/>
      <c r="AG4982" s="11"/>
      <c r="AH4982" s="11"/>
      <c r="AI4982" s="11"/>
    </row>
    <row r="4983" ht="12.5" spans="3:35">
      <c r="C4983" s="19"/>
      <c r="D4983" s="19"/>
      <c r="H4983" s="105"/>
      <c r="I4983" s="126"/>
      <c r="J4983" s="11"/>
      <c r="K4983" s="108"/>
      <c r="L4983" s="11"/>
      <c r="M4983" s="105"/>
      <c r="N4983" s="105"/>
      <c r="O4983" s="11"/>
      <c r="P4983" s="11"/>
      <c r="Q4983" s="105"/>
      <c r="R4983" s="105"/>
      <c r="S4983" s="105"/>
      <c r="T4983" s="105"/>
      <c r="U4983" s="105"/>
      <c r="V4983" s="105"/>
      <c r="W4983" s="105"/>
      <c r="X4983" s="11"/>
      <c r="Y4983" s="11"/>
      <c r="Z4983" s="105"/>
      <c r="AA4983" s="11"/>
      <c r="AB4983" s="11"/>
      <c r="AC4983" s="105"/>
      <c r="AD4983" s="11" t="b">
        <v>0</v>
      </c>
      <c r="AE4983" s="105"/>
      <c r="AF4983" s="11"/>
      <c r="AG4983" s="11"/>
      <c r="AH4983" s="11"/>
      <c r="AI4983" s="11"/>
    </row>
    <row r="4984" ht="12.5" spans="3:35">
      <c r="C4984" s="19"/>
      <c r="D4984" s="19"/>
      <c r="H4984" s="105"/>
      <c r="I4984" s="126"/>
      <c r="J4984" s="11"/>
      <c r="K4984" s="108"/>
      <c r="L4984" s="11"/>
      <c r="M4984" s="105"/>
      <c r="N4984" s="105"/>
      <c r="O4984" s="11"/>
      <c r="P4984" s="11"/>
      <c r="Q4984" s="105"/>
      <c r="R4984" s="105"/>
      <c r="S4984" s="105"/>
      <c r="T4984" s="105"/>
      <c r="U4984" s="105"/>
      <c r="V4984" s="105"/>
      <c r="W4984" s="105"/>
      <c r="X4984" s="11"/>
      <c r="Y4984" s="11"/>
      <c r="Z4984" s="105"/>
      <c r="AA4984" s="11"/>
      <c r="AB4984" s="11"/>
      <c r="AC4984" s="105"/>
      <c r="AD4984" s="11" t="b">
        <v>0</v>
      </c>
      <c r="AE4984" s="105"/>
      <c r="AF4984" s="11"/>
      <c r="AG4984" s="11"/>
      <c r="AH4984" s="11"/>
      <c r="AI4984" s="11"/>
    </row>
    <row r="4985" ht="12.5" spans="3:35">
      <c r="C4985" s="19"/>
      <c r="D4985" s="19"/>
      <c r="H4985" s="105"/>
      <c r="I4985" s="126"/>
      <c r="J4985" s="11"/>
      <c r="K4985" s="108"/>
      <c r="L4985" s="11"/>
      <c r="M4985" s="105"/>
      <c r="N4985" s="105"/>
      <c r="O4985" s="11"/>
      <c r="P4985" s="11"/>
      <c r="Q4985" s="105"/>
      <c r="R4985" s="105"/>
      <c r="S4985" s="105"/>
      <c r="T4985" s="105"/>
      <c r="U4985" s="105"/>
      <c r="V4985" s="105"/>
      <c r="W4985" s="105"/>
      <c r="X4985" s="11"/>
      <c r="Y4985" s="11"/>
      <c r="Z4985" s="105"/>
      <c r="AA4985" s="11"/>
      <c r="AB4985" s="11"/>
      <c r="AC4985" s="105"/>
      <c r="AD4985" s="11" t="b">
        <v>0</v>
      </c>
      <c r="AE4985" s="105"/>
      <c r="AF4985" s="11"/>
      <c r="AG4985" s="11"/>
      <c r="AH4985" s="11"/>
      <c r="AI4985" s="11"/>
    </row>
    <row r="4986" ht="12.5" spans="3:35">
      <c r="C4986" s="19"/>
      <c r="D4986" s="19"/>
      <c r="H4986" s="105"/>
      <c r="I4986" s="126"/>
      <c r="J4986" s="11"/>
      <c r="K4986" s="108"/>
      <c r="L4986" s="11"/>
      <c r="M4986" s="105"/>
      <c r="N4986" s="105"/>
      <c r="O4986" s="11"/>
      <c r="P4986" s="11"/>
      <c r="Q4986" s="105"/>
      <c r="R4986" s="105"/>
      <c r="S4986" s="105"/>
      <c r="T4986" s="105"/>
      <c r="U4986" s="105"/>
      <c r="V4986" s="105"/>
      <c r="W4986" s="105"/>
      <c r="X4986" s="11"/>
      <c r="Y4986" s="11"/>
      <c r="Z4986" s="105"/>
      <c r="AA4986" s="11"/>
      <c r="AB4986" s="11"/>
      <c r="AC4986" s="105"/>
      <c r="AD4986" s="11" t="b">
        <v>0</v>
      </c>
      <c r="AE4986" s="105"/>
      <c r="AF4986" s="11"/>
      <c r="AG4986" s="11"/>
      <c r="AH4986" s="11"/>
      <c r="AI4986" s="11"/>
    </row>
    <row r="4987" ht="12.5" spans="3:35">
      <c r="C4987" s="19"/>
      <c r="D4987" s="19"/>
      <c r="H4987" s="105"/>
      <c r="I4987" s="126"/>
      <c r="J4987" s="11"/>
      <c r="K4987" s="108"/>
      <c r="L4987" s="11"/>
      <c r="M4987" s="105"/>
      <c r="N4987" s="105"/>
      <c r="O4987" s="11"/>
      <c r="P4987" s="11"/>
      <c r="Q4987" s="105"/>
      <c r="R4987" s="105"/>
      <c r="S4987" s="105"/>
      <c r="T4987" s="105"/>
      <c r="U4987" s="105"/>
      <c r="V4987" s="105"/>
      <c r="W4987" s="105"/>
      <c r="X4987" s="11"/>
      <c r="Y4987" s="11"/>
      <c r="Z4987" s="105"/>
      <c r="AA4987" s="11"/>
      <c r="AB4987" s="11"/>
      <c r="AC4987" s="105"/>
      <c r="AD4987" s="11" t="b">
        <v>0</v>
      </c>
      <c r="AE4987" s="105"/>
      <c r="AF4987" s="11"/>
      <c r="AG4987" s="11"/>
      <c r="AH4987" s="11"/>
      <c r="AI4987" s="11"/>
    </row>
    <row r="4988" ht="12.5" spans="3:35">
      <c r="C4988" s="19"/>
      <c r="D4988" s="19"/>
      <c r="H4988" s="105"/>
      <c r="I4988" s="126"/>
      <c r="J4988" s="11"/>
      <c r="K4988" s="108"/>
      <c r="L4988" s="11"/>
      <c r="M4988" s="105"/>
      <c r="N4988" s="105"/>
      <c r="O4988" s="11"/>
      <c r="P4988" s="11"/>
      <c r="Q4988" s="105"/>
      <c r="R4988" s="105"/>
      <c r="S4988" s="105"/>
      <c r="T4988" s="105"/>
      <c r="U4988" s="105"/>
      <c r="V4988" s="105"/>
      <c r="W4988" s="105"/>
      <c r="X4988" s="11"/>
      <c r="Y4988" s="11"/>
      <c r="Z4988" s="105"/>
      <c r="AA4988" s="11"/>
      <c r="AB4988" s="11"/>
      <c r="AC4988" s="105"/>
      <c r="AD4988" s="11" t="b">
        <v>0</v>
      </c>
      <c r="AE4988" s="105"/>
      <c r="AF4988" s="11"/>
      <c r="AG4988" s="11"/>
      <c r="AH4988" s="11"/>
      <c r="AI4988" s="11"/>
    </row>
    <row r="4989" ht="12.5" spans="3:35">
      <c r="C4989" s="19"/>
      <c r="D4989" s="19"/>
      <c r="H4989" s="105"/>
      <c r="I4989" s="126"/>
      <c r="J4989" s="11"/>
      <c r="K4989" s="108"/>
      <c r="L4989" s="11"/>
      <c r="M4989" s="105"/>
      <c r="N4989" s="105"/>
      <c r="O4989" s="11"/>
      <c r="P4989" s="11"/>
      <c r="Q4989" s="105"/>
      <c r="R4989" s="105"/>
      <c r="S4989" s="105"/>
      <c r="T4989" s="105"/>
      <c r="U4989" s="105"/>
      <c r="V4989" s="105"/>
      <c r="W4989" s="105"/>
      <c r="X4989" s="11"/>
      <c r="Y4989" s="11"/>
      <c r="Z4989" s="105"/>
      <c r="AA4989" s="11"/>
      <c r="AB4989" s="11"/>
      <c r="AC4989" s="105"/>
      <c r="AD4989" s="11" t="b">
        <v>0</v>
      </c>
      <c r="AE4989" s="105"/>
      <c r="AF4989" s="11"/>
      <c r="AG4989" s="11"/>
      <c r="AH4989" s="11"/>
      <c r="AI4989" s="11"/>
    </row>
    <row r="4990" ht="12.5" spans="3:35">
      <c r="C4990" s="19"/>
      <c r="D4990" s="19"/>
      <c r="H4990" s="105"/>
      <c r="I4990" s="126"/>
      <c r="J4990" s="11"/>
      <c r="K4990" s="108"/>
      <c r="L4990" s="11"/>
      <c r="M4990" s="105"/>
      <c r="N4990" s="105"/>
      <c r="O4990" s="11"/>
      <c r="P4990" s="11"/>
      <c r="Q4990" s="105"/>
      <c r="R4990" s="105"/>
      <c r="S4990" s="105"/>
      <c r="T4990" s="105"/>
      <c r="U4990" s="105"/>
      <c r="V4990" s="105"/>
      <c r="W4990" s="105"/>
      <c r="X4990" s="11"/>
      <c r="Y4990" s="11"/>
      <c r="Z4990" s="105"/>
      <c r="AA4990" s="11"/>
      <c r="AB4990" s="11"/>
      <c r="AC4990" s="105"/>
      <c r="AD4990" s="11" t="b">
        <v>0</v>
      </c>
      <c r="AE4990" s="105"/>
      <c r="AF4990" s="11"/>
      <c r="AG4990" s="11"/>
      <c r="AH4990" s="11"/>
      <c r="AI4990" s="11"/>
    </row>
    <row r="4991" ht="12.5" spans="3:35">
      <c r="C4991" s="19"/>
      <c r="D4991" s="19"/>
      <c r="H4991" s="105"/>
      <c r="I4991" s="126"/>
      <c r="J4991" s="11"/>
      <c r="K4991" s="108"/>
      <c r="L4991" s="11"/>
      <c r="M4991" s="105"/>
      <c r="N4991" s="105"/>
      <c r="O4991" s="11"/>
      <c r="P4991" s="11"/>
      <c r="Q4991" s="105"/>
      <c r="R4991" s="105"/>
      <c r="S4991" s="105"/>
      <c r="T4991" s="105"/>
      <c r="U4991" s="105"/>
      <c r="V4991" s="105"/>
      <c r="W4991" s="105"/>
      <c r="X4991" s="11"/>
      <c r="Y4991" s="11"/>
      <c r="Z4991" s="105"/>
      <c r="AA4991" s="11"/>
      <c r="AB4991" s="11"/>
      <c r="AC4991" s="105"/>
      <c r="AD4991" s="11" t="b">
        <v>0</v>
      </c>
      <c r="AE4991" s="105"/>
      <c r="AF4991" s="11"/>
      <c r="AG4991" s="11"/>
      <c r="AH4991" s="11"/>
      <c r="AI4991" s="11"/>
    </row>
    <row r="4992" ht="12.5" spans="3:35">
      <c r="C4992" s="19"/>
      <c r="D4992" s="19"/>
      <c r="H4992" s="105"/>
      <c r="I4992" s="126"/>
      <c r="J4992" s="11"/>
      <c r="K4992" s="108"/>
      <c r="L4992" s="11"/>
      <c r="M4992" s="105"/>
      <c r="N4992" s="105"/>
      <c r="O4992" s="11"/>
      <c r="P4992" s="11"/>
      <c r="Q4992" s="105"/>
      <c r="R4992" s="105"/>
      <c r="S4992" s="105"/>
      <c r="T4992" s="105"/>
      <c r="U4992" s="105"/>
      <c r="V4992" s="105"/>
      <c r="W4992" s="105"/>
      <c r="X4992" s="11"/>
      <c r="Y4992" s="11"/>
      <c r="Z4992" s="105"/>
      <c r="AA4992" s="11"/>
      <c r="AB4992" s="11"/>
      <c r="AC4992" s="105"/>
      <c r="AD4992" s="11" t="b">
        <v>0</v>
      </c>
      <c r="AE4992" s="105"/>
      <c r="AF4992" s="11"/>
      <c r="AG4992" s="11"/>
      <c r="AH4992" s="11"/>
      <c r="AI4992" s="11"/>
    </row>
    <row r="4993" ht="12.5" spans="3:35">
      <c r="C4993" s="19"/>
      <c r="D4993" s="19"/>
      <c r="H4993" s="105"/>
      <c r="I4993" s="126"/>
      <c r="J4993" s="11"/>
      <c r="K4993" s="108"/>
      <c r="L4993" s="11"/>
      <c r="M4993" s="105"/>
      <c r="N4993" s="105"/>
      <c r="O4993" s="11"/>
      <c r="P4993" s="11"/>
      <c r="Q4993" s="105"/>
      <c r="R4993" s="105"/>
      <c r="S4993" s="105"/>
      <c r="T4993" s="105"/>
      <c r="U4993" s="105"/>
      <c r="V4993" s="105"/>
      <c r="W4993" s="105"/>
      <c r="X4993" s="11"/>
      <c r="Y4993" s="11"/>
      <c r="Z4993" s="105"/>
      <c r="AA4993" s="11"/>
      <c r="AB4993" s="11"/>
      <c r="AC4993" s="105"/>
      <c r="AD4993" s="11" t="b">
        <v>0</v>
      </c>
      <c r="AE4993" s="105"/>
      <c r="AF4993" s="11"/>
      <c r="AG4993" s="11"/>
      <c r="AH4993" s="11"/>
      <c r="AI4993" s="11"/>
    </row>
    <row r="4994" ht="12.5" spans="3:35">
      <c r="C4994" s="19"/>
      <c r="D4994" s="19"/>
      <c r="H4994" s="105"/>
      <c r="I4994" s="126"/>
      <c r="J4994" s="11"/>
      <c r="K4994" s="108"/>
      <c r="L4994" s="11"/>
      <c r="M4994" s="105"/>
      <c r="N4994" s="105"/>
      <c r="O4994" s="11"/>
      <c r="P4994" s="11"/>
      <c r="Q4994" s="105"/>
      <c r="R4994" s="105"/>
      <c r="S4994" s="105"/>
      <c r="T4994" s="105"/>
      <c r="U4994" s="105"/>
      <c r="V4994" s="105"/>
      <c r="W4994" s="105"/>
      <c r="X4994" s="11"/>
      <c r="Y4994" s="11"/>
      <c r="Z4994" s="105"/>
      <c r="AA4994" s="11"/>
      <c r="AB4994" s="11"/>
      <c r="AC4994" s="105"/>
      <c r="AD4994" s="11" t="b">
        <v>0</v>
      </c>
      <c r="AE4994" s="105"/>
      <c r="AF4994" s="11"/>
      <c r="AG4994" s="11"/>
      <c r="AH4994" s="11"/>
      <c r="AI4994" s="11"/>
    </row>
    <row r="4995" ht="12.5" spans="3:35">
      <c r="C4995" s="19"/>
      <c r="D4995" s="19"/>
      <c r="H4995" s="105"/>
      <c r="I4995" s="126"/>
      <c r="J4995" s="11"/>
      <c r="K4995" s="108"/>
      <c r="L4995" s="11"/>
      <c r="M4995" s="105"/>
      <c r="N4995" s="105"/>
      <c r="O4995" s="11"/>
      <c r="P4995" s="11"/>
      <c r="Q4995" s="105"/>
      <c r="R4995" s="105"/>
      <c r="S4995" s="105"/>
      <c r="T4995" s="105"/>
      <c r="U4995" s="105"/>
      <c r="V4995" s="105"/>
      <c r="W4995" s="105"/>
      <c r="X4995" s="11"/>
      <c r="Y4995" s="11"/>
      <c r="Z4995" s="105"/>
      <c r="AA4995" s="11"/>
      <c r="AB4995" s="11"/>
      <c r="AC4995" s="105"/>
      <c r="AD4995" s="11" t="b">
        <v>0</v>
      </c>
      <c r="AE4995" s="105"/>
      <c r="AF4995" s="11"/>
      <c r="AG4995" s="11"/>
      <c r="AH4995" s="11"/>
      <c r="AI4995" s="11"/>
    </row>
    <row r="4996" ht="12.5" spans="3:35">
      <c r="C4996" s="19"/>
      <c r="D4996" s="19"/>
      <c r="H4996" s="105"/>
      <c r="I4996" s="126"/>
      <c r="J4996" s="11"/>
      <c r="K4996" s="108"/>
      <c r="L4996" s="11"/>
      <c r="M4996" s="105"/>
      <c r="N4996" s="105"/>
      <c r="O4996" s="11"/>
      <c r="P4996" s="11"/>
      <c r="Q4996" s="105"/>
      <c r="R4996" s="105"/>
      <c r="S4996" s="105"/>
      <c r="T4996" s="105"/>
      <c r="U4996" s="105"/>
      <c r="V4996" s="105"/>
      <c r="W4996" s="105"/>
      <c r="X4996" s="11"/>
      <c r="Y4996" s="11"/>
      <c r="Z4996" s="105"/>
      <c r="AA4996" s="11"/>
      <c r="AB4996" s="11"/>
      <c r="AC4996" s="105"/>
      <c r="AD4996" s="11" t="b">
        <v>0</v>
      </c>
      <c r="AE4996" s="105"/>
      <c r="AF4996" s="11"/>
      <c r="AG4996" s="11"/>
      <c r="AH4996" s="11"/>
      <c r="AI4996" s="11"/>
    </row>
    <row r="4997" ht="12.5" spans="3:35">
      <c r="C4997" s="19"/>
      <c r="D4997" s="19"/>
      <c r="H4997" s="105"/>
      <c r="I4997" s="126"/>
      <c r="J4997" s="11"/>
      <c r="K4997" s="108"/>
      <c r="L4997" s="11"/>
      <c r="M4997" s="105"/>
      <c r="N4997" s="105"/>
      <c r="O4997" s="11"/>
      <c r="P4997" s="11"/>
      <c r="Q4997" s="105"/>
      <c r="R4997" s="105"/>
      <c r="S4997" s="105"/>
      <c r="T4997" s="105"/>
      <c r="U4997" s="105"/>
      <c r="V4997" s="105"/>
      <c r="W4997" s="105"/>
      <c r="X4997" s="11"/>
      <c r="Y4997" s="11"/>
      <c r="Z4997" s="105"/>
      <c r="AA4997" s="11"/>
      <c r="AB4997" s="11"/>
      <c r="AC4997" s="105"/>
      <c r="AD4997" s="11" t="b">
        <v>0</v>
      </c>
      <c r="AE4997" s="105"/>
      <c r="AF4997" s="11"/>
      <c r="AG4997" s="11"/>
      <c r="AH4997" s="11"/>
      <c r="AI4997" s="11"/>
    </row>
    <row r="4998" ht="12.5" spans="3:35">
      <c r="C4998" s="19"/>
      <c r="D4998" s="19"/>
      <c r="H4998" s="105"/>
      <c r="I4998" s="126"/>
      <c r="J4998" s="11"/>
      <c r="K4998" s="108"/>
      <c r="L4998" s="11"/>
      <c r="M4998" s="105"/>
      <c r="N4998" s="105"/>
      <c r="O4998" s="11"/>
      <c r="P4998" s="11"/>
      <c r="Q4998" s="105"/>
      <c r="R4998" s="105"/>
      <c r="S4998" s="105"/>
      <c r="T4998" s="105"/>
      <c r="U4998" s="105"/>
      <c r="V4998" s="105"/>
      <c r="W4998" s="105"/>
      <c r="X4998" s="11"/>
      <c r="Y4998" s="11"/>
      <c r="Z4998" s="105"/>
      <c r="AA4998" s="11"/>
      <c r="AB4998" s="11"/>
      <c r="AC4998" s="105"/>
      <c r="AD4998" s="11" t="b">
        <v>0</v>
      </c>
      <c r="AE4998" s="105"/>
      <c r="AF4998" s="11"/>
      <c r="AG4998" s="11"/>
      <c r="AH4998" s="11"/>
      <c r="AI4998" s="11"/>
    </row>
    <row r="4999" ht="12.5" spans="3:35">
      <c r="C4999" s="19"/>
      <c r="D4999" s="19"/>
      <c r="H4999" s="105"/>
      <c r="I4999" s="126"/>
      <c r="J4999" s="11"/>
      <c r="K4999" s="108"/>
      <c r="L4999" s="11"/>
      <c r="M4999" s="105"/>
      <c r="N4999" s="105"/>
      <c r="O4999" s="11"/>
      <c r="P4999" s="11"/>
      <c r="Q4999" s="105"/>
      <c r="R4999" s="105"/>
      <c r="S4999" s="105"/>
      <c r="T4999" s="105"/>
      <c r="U4999" s="105"/>
      <c r="V4999" s="105"/>
      <c r="W4999" s="105"/>
      <c r="X4999" s="11"/>
      <c r="Y4999" s="11"/>
      <c r="Z4999" s="105"/>
      <c r="AA4999" s="11"/>
      <c r="AB4999" s="11"/>
      <c r="AC4999" s="105"/>
      <c r="AD4999" s="11" t="b">
        <v>0</v>
      </c>
      <c r="AE4999" s="105"/>
      <c r="AF4999" s="11"/>
      <c r="AG4999" s="11"/>
      <c r="AH4999" s="11"/>
      <c r="AI4999" s="11"/>
    </row>
    <row r="5000" ht="12.5" spans="3:35">
      <c r="C5000" s="19"/>
      <c r="D5000" s="19"/>
      <c r="H5000" s="105"/>
      <c r="I5000" s="126"/>
      <c r="J5000" s="11"/>
      <c r="K5000" s="108"/>
      <c r="L5000" s="11"/>
      <c r="M5000" s="105"/>
      <c r="N5000" s="105"/>
      <c r="O5000" s="11"/>
      <c r="P5000" s="11"/>
      <c r="Q5000" s="105"/>
      <c r="R5000" s="105"/>
      <c r="S5000" s="105"/>
      <c r="T5000" s="105"/>
      <c r="U5000" s="105"/>
      <c r="V5000" s="105"/>
      <c r="W5000" s="105"/>
      <c r="X5000" s="11"/>
      <c r="Y5000" s="11"/>
      <c r="Z5000" s="105"/>
      <c r="AA5000" s="11"/>
      <c r="AB5000" s="11"/>
      <c r="AC5000" s="105"/>
      <c r="AD5000" s="11" t="b">
        <v>0</v>
      </c>
      <c r="AE5000" s="105"/>
      <c r="AF5000" s="11"/>
      <c r="AG5000" s="11"/>
      <c r="AH5000" s="11"/>
      <c r="AI5000" s="11"/>
    </row>
    <row r="5001" ht="12.5" spans="3:35">
      <c r="C5001" s="19"/>
      <c r="D5001" s="19"/>
      <c r="H5001" s="105"/>
      <c r="I5001" s="126"/>
      <c r="J5001" s="11"/>
      <c r="K5001" s="108"/>
      <c r="L5001" s="11"/>
      <c r="M5001" s="105"/>
      <c r="N5001" s="105"/>
      <c r="O5001" s="11"/>
      <c r="P5001" s="11"/>
      <c r="Q5001" s="105"/>
      <c r="R5001" s="105"/>
      <c r="S5001" s="105"/>
      <c r="T5001" s="105"/>
      <c r="U5001" s="105"/>
      <c r="V5001" s="105"/>
      <c r="W5001" s="105"/>
      <c r="X5001" s="11"/>
      <c r="Y5001" s="11"/>
      <c r="Z5001" s="105"/>
      <c r="AA5001" s="11"/>
      <c r="AB5001" s="11"/>
      <c r="AC5001" s="105"/>
      <c r="AD5001" s="11" t="b">
        <v>0</v>
      </c>
      <c r="AE5001" s="105"/>
      <c r="AF5001" s="11"/>
      <c r="AG5001" s="11"/>
      <c r="AH5001" s="11"/>
      <c r="AI5001" s="11"/>
    </row>
    <row r="5002" ht="12.5" spans="3:35">
      <c r="C5002" s="19"/>
      <c r="D5002" s="19"/>
      <c r="H5002" s="105"/>
      <c r="I5002" s="126"/>
      <c r="J5002" s="11"/>
      <c r="K5002" s="108"/>
      <c r="L5002" s="11"/>
      <c r="M5002" s="105"/>
      <c r="N5002" s="105"/>
      <c r="O5002" s="11"/>
      <c r="P5002" s="11"/>
      <c r="Q5002" s="105"/>
      <c r="R5002" s="105"/>
      <c r="S5002" s="105"/>
      <c r="T5002" s="105"/>
      <c r="U5002" s="105"/>
      <c r="V5002" s="105"/>
      <c r="W5002" s="105"/>
      <c r="X5002" s="11"/>
      <c r="Y5002" s="11"/>
      <c r="Z5002" s="105"/>
      <c r="AA5002" s="11"/>
      <c r="AB5002" s="11"/>
      <c r="AC5002" s="105"/>
      <c r="AD5002" s="11" t="b">
        <v>0</v>
      </c>
      <c r="AE5002" s="105"/>
      <c r="AF5002" s="11"/>
      <c r="AG5002" s="11"/>
      <c r="AH5002" s="11"/>
      <c r="AI5002" s="11"/>
    </row>
    <row r="5003" ht="12.5" spans="3:35">
      <c r="C5003" s="19"/>
      <c r="D5003" s="19"/>
      <c r="H5003" s="105"/>
      <c r="I5003" s="126"/>
      <c r="J5003" s="11"/>
      <c r="K5003" s="108"/>
      <c r="L5003" s="11"/>
      <c r="M5003" s="105"/>
      <c r="N5003" s="105"/>
      <c r="O5003" s="11"/>
      <c r="P5003" s="11"/>
      <c r="Q5003" s="105"/>
      <c r="R5003" s="105"/>
      <c r="S5003" s="105"/>
      <c r="T5003" s="105"/>
      <c r="U5003" s="105"/>
      <c r="V5003" s="105"/>
      <c r="W5003" s="105"/>
      <c r="X5003" s="11"/>
      <c r="Y5003" s="11"/>
      <c r="Z5003" s="105"/>
      <c r="AA5003" s="11"/>
      <c r="AB5003" s="11"/>
      <c r="AC5003" s="105"/>
      <c r="AD5003" s="11" t="b">
        <v>0</v>
      </c>
      <c r="AE5003" s="105"/>
      <c r="AF5003" s="11"/>
      <c r="AG5003" s="11"/>
      <c r="AH5003" s="11"/>
      <c r="AI5003" s="11"/>
    </row>
    <row r="5004" ht="12.5" spans="3:35">
      <c r="C5004" s="19"/>
      <c r="D5004" s="19"/>
      <c r="H5004" s="105"/>
      <c r="I5004" s="126"/>
      <c r="J5004" s="11"/>
      <c r="K5004" s="108"/>
      <c r="L5004" s="11"/>
      <c r="M5004" s="105"/>
      <c r="N5004" s="105"/>
      <c r="O5004" s="11"/>
      <c r="P5004" s="11"/>
      <c r="Q5004" s="105"/>
      <c r="R5004" s="105"/>
      <c r="S5004" s="105"/>
      <c r="T5004" s="105"/>
      <c r="U5004" s="105"/>
      <c r="V5004" s="105"/>
      <c r="W5004" s="105"/>
      <c r="X5004" s="11"/>
      <c r="Y5004" s="11"/>
      <c r="Z5004" s="105"/>
      <c r="AA5004" s="11"/>
      <c r="AB5004" s="11"/>
      <c r="AC5004" s="105"/>
      <c r="AD5004" s="11" t="b">
        <v>0</v>
      </c>
      <c r="AE5004" s="105"/>
      <c r="AF5004" s="11"/>
      <c r="AG5004" s="11"/>
      <c r="AH5004" s="11"/>
      <c r="AI5004" s="11"/>
    </row>
    <row r="5005" ht="12.5" spans="3:35">
      <c r="C5005" s="19"/>
      <c r="D5005" s="19"/>
      <c r="H5005" s="105"/>
      <c r="I5005" s="126"/>
      <c r="J5005" s="11"/>
      <c r="K5005" s="108"/>
      <c r="L5005" s="11"/>
      <c r="M5005" s="105"/>
      <c r="N5005" s="105"/>
      <c r="O5005" s="11"/>
      <c r="P5005" s="11"/>
      <c r="Q5005" s="105"/>
      <c r="R5005" s="105"/>
      <c r="S5005" s="105"/>
      <c r="T5005" s="105"/>
      <c r="U5005" s="105"/>
      <c r="V5005" s="105"/>
      <c r="W5005" s="105"/>
      <c r="X5005" s="11"/>
      <c r="Y5005" s="11"/>
      <c r="Z5005" s="105"/>
      <c r="AA5005" s="11"/>
      <c r="AB5005" s="11"/>
      <c r="AC5005" s="105"/>
      <c r="AD5005" s="11" t="b">
        <v>0</v>
      </c>
      <c r="AE5005" s="105"/>
      <c r="AF5005" s="11"/>
      <c r="AG5005" s="11"/>
      <c r="AH5005" s="11"/>
      <c r="AI5005" s="11"/>
    </row>
    <row r="5006" ht="12.5" spans="3:35">
      <c r="C5006" s="19"/>
      <c r="D5006" s="19"/>
      <c r="H5006" s="105"/>
      <c r="I5006" s="126"/>
      <c r="J5006" s="11"/>
      <c r="K5006" s="108"/>
      <c r="L5006" s="11"/>
      <c r="M5006" s="105"/>
      <c r="N5006" s="105"/>
      <c r="O5006" s="11"/>
      <c r="P5006" s="11"/>
      <c r="Q5006" s="105"/>
      <c r="R5006" s="105"/>
      <c r="S5006" s="105"/>
      <c r="T5006" s="105"/>
      <c r="U5006" s="105"/>
      <c r="V5006" s="105"/>
      <c r="W5006" s="105"/>
      <c r="X5006" s="11"/>
      <c r="Y5006" s="11"/>
      <c r="Z5006" s="105"/>
      <c r="AA5006" s="11"/>
      <c r="AB5006" s="11"/>
      <c r="AC5006" s="105"/>
      <c r="AD5006" s="11" t="b">
        <v>0</v>
      </c>
      <c r="AE5006" s="105"/>
      <c r="AF5006" s="11"/>
      <c r="AG5006" s="11"/>
      <c r="AH5006" s="11"/>
      <c r="AI5006" s="11"/>
    </row>
    <row r="5007" ht="12.5" spans="3:35">
      <c r="C5007" s="19"/>
      <c r="D5007" s="19"/>
      <c r="H5007" s="105"/>
      <c r="I5007" s="126"/>
      <c r="J5007" s="11"/>
      <c r="K5007" s="108"/>
      <c r="L5007" s="11"/>
      <c r="M5007" s="105"/>
      <c r="N5007" s="105"/>
      <c r="O5007" s="11"/>
      <c r="P5007" s="11"/>
      <c r="Q5007" s="105"/>
      <c r="R5007" s="105"/>
      <c r="S5007" s="105"/>
      <c r="T5007" s="105"/>
      <c r="U5007" s="105"/>
      <c r="V5007" s="105"/>
      <c r="W5007" s="105"/>
      <c r="X5007" s="11"/>
      <c r="Y5007" s="11"/>
      <c r="Z5007" s="105"/>
      <c r="AA5007" s="11"/>
      <c r="AB5007" s="11"/>
      <c r="AC5007" s="105"/>
      <c r="AD5007" s="11" t="b">
        <v>0</v>
      </c>
      <c r="AE5007" s="105"/>
      <c r="AF5007" s="11"/>
      <c r="AG5007" s="11"/>
      <c r="AH5007" s="11"/>
      <c r="AI5007" s="11"/>
    </row>
    <row r="5008" ht="12.5" spans="3:35">
      <c r="C5008" s="19"/>
      <c r="D5008" s="19"/>
      <c r="H5008" s="105"/>
      <c r="I5008" s="126"/>
      <c r="J5008" s="11"/>
      <c r="K5008" s="108"/>
      <c r="L5008" s="11"/>
      <c r="M5008" s="105"/>
      <c r="N5008" s="105"/>
      <c r="O5008" s="11"/>
      <c r="P5008" s="11"/>
      <c r="Q5008" s="105"/>
      <c r="R5008" s="105"/>
      <c r="S5008" s="105"/>
      <c r="T5008" s="105"/>
      <c r="U5008" s="105"/>
      <c r="V5008" s="105"/>
      <c r="W5008" s="105"/>
      <c r="X5008" s="11"/>
      <c r="Y5008" s="11"/>
      <c r="Z5008" s="105"/>
      <c r="AA5008" s="11"/>
      <c r="AB5008" s="11"/>
      <c r="AC5008" s="105"/>
      <c r="AD5008" s="11" t="b">
        <v>0</v>
      </c>
      <c r="AE5008" s="105"/>
      <c r="AF5008" s="11"/>
      <c r="AG5008" s="11"/>
      <c r="AH5008" s="11"/>
      <c r="AI5008" s="11"/>
    </row>
    <row r="5009" ht="12.5" spans="3:35">
      <c r="C5009" s="19"/>
      <c r="D5009" s="19"/>
      <c r="H5009" s="105"/>
      <c r="I5009" s="126"/>
      <c r="J5009" s="11"/>
      <c r="K5009" s="108"/>
      <c r="L5009" s="11"/>
      <c r="M5009" s="105"/>
      <c r="N5009" s="105"/>
      <c r="O5009" s="11"/>
      <c r="P5009" s="11"/>
      <c r="Q5009" s="105"/>
      <c r="R5009" s="105"/>
      <c r="S5009" s="105"/>
      <c r="T5009" s="105"/>
      <c r="U5009" s="105"/>
      <c r="V5009" s="105"/>
      <c r="W5009" s="105"/>
      <c r="X5009" s="11"/>
      <c r="Y5009" s="11"/>
      <c r="Z5009" s="105"/>
      <c r="AA5009" s="11"/>
      <c r="AB5009" s="11"/>
      <c r="AC5009" s="105"/>
      <c r="AD5009" s="11" t="b">
        <v>0</v>
      </c>
      <c r="AE5009" s="105"/>
      <c r="AF5009" s="11"/>
      <c r="AG5009" s="11"/>
      <c r="AH5009" s="11"/>
      <c r="AI5009" s="11"/>
    </row>
    <row r="5010" ht="12.5" spans="3:35">
      <c r="C5010" s="19"/>
      <c r="D5010" s="19"/>
      <c r="H5010" s="105"/>
      <c r="I5010" s="126"/>
      <c r="J5010" s="11"/>
      <c r="K5010" s="108"/>
      <c r="L5010" s="11"/>
      <c r="M5010" s="105"/>
      <c r="N5010" s="105"/>
      <c r="O5010" s="11"/>
      <c r="P5010" s="11"/>
      <c r="Q5010" s="105"/>
      <c r="R5010" s="105"/>
      <c r="S5010" s="105"/>
      <c r="T5010" s="105"/>
      <c r="U5010" s="105"/>
      <c r="V5010" s="105"/>
      <c r="W5010" s="105"/>
      <c r="X5010" s="11"/>
      <c r="Y5010" s="11"/>
      <c r="Z5010" s="105"/>
      <c r="AA5010" s="11"/>
      <c r="AB5010" s="11"/>
      <c r="AC5010" s="105"/>
      <c r="AD5010" s="11" t="b">
        <v>0</v>
      </c>
      <c r="AE5010" s="105"/>
      <c r="AF5010" s="11"/>
      <c r="AG5010" s="11"/>
      <c r="AH5010" s="11"/>
      <c r="AI5010" s="11"/>
    </row>
    <row r="5011" ht="12.5" spans="3:35">
      <c r="C5011" s="19"/>
      <c r="D5011" s="19"/>
      <c r="H5011" s="105"/>
      <c r="I5011" s="126"/>
      <c r="J5011" s="11"/>
      <c r="K5011" s="108"/>
      <c r="L5011" s="11"/>
      <c r="M5011" s="105"/>
      <c r="N5011" s="105"/>
      <c r="O5011" s="11"/>
      <c r="P5011" s="11"/>
      <c r="Q5011" s="105"/>
      <c r="R5011" s="105"/>
      <c r="S5011" s="105"/>
      <c r="T5011" s="105"/>
      <c r="U5011" s="105"/>
      <c r="V5011" s="105"/>
      <c r="W5011" s="105"/>
      <c r="X5011" s="11"/>
      <c r="Y5011" s="11"/>
      <c r="Z5011" s="105"/>
      <c r="AA5011" s="11"/>
      <c r="AB5011" s="11"/>
      <c r="AC5011" s="105"/>
      <c r="AD5011" s="11" t="b">
        <v>0</v>
      </c>
      <c r="AE5011" s="105"/>
      <c r="AF5011" s="11"/>
      <c r="AG5011" s="11"/>
      <c r="AH5011" s="11"/>
      <c r="AI5011" s="11"/>
    </row>
    <row r="5012" ht="12.5" spans="3:35">
      <c r="C5012" s="19"/>
      <c r="D5012" s="19"/>
      <c r="H5012" s="105"/>
      <c r="I5012" s="126"/>
      <c r="J5012" s="11"/>
      <c r="K5012" s="108"/>
      <c r="L5012" s="11"/>
      <c r="M5012" s="105"/>
      <c r="N5012" s="105"/>
      <c r="O5012" s="11"/>
      <c r="P5012" s="11"/>
      <c r="Q5012" s="105"/>
      <c r="R5012" s="105"/>
      <c r="S5012" s="105"/>
      <c r="T5012" s="105"/>
      <c r="U5012" s="105"/>
      <c r="V5012" s="105"/>
      <c r="W5012" s="105"/>
      <c r="X5012" s="11"/>
      <c r="Y5012" s="11"/>
      <c r="Z5012" s="105"/>
      <c r="AA5012" s="11"/>
      <c r="AB5012" s="11"/>
      <c r="AC5012" s="105"/>
      <c r="AD5012" s="11" t="b">
        <v>0</v>
      </c>
      <c r="AE5012" s="105"/>
      <c r="AF5012" s="11"/>
      <c r="AG5012" s="11"/>
      <c r="AH5012" s="11"/>
      <c r="AI5012" s="11"/>
    </row>
    <row r="5013" ht="12.5" spans="3:35">
      <c r="C5013" s="19"/>
      <c r="D5013" s="19"/>
      <c r="H5013" s="105"/>
      <c r="I5013" s="126"/>
      <c r="J5013" s="11"/>
      <c r="K5013" s="108"/>
      <c r="L5013" s="11"/>
      <c r="M5013" s="105"/>
      <c r="N5013" s="105"/>
      <c r="O5013" s="11"/>
      <c r="P5013" s="11"/>
      <c r="Q5013" s="105"/>
      <c r="R5013" s="105"/>
      <c r="S5013" s="105"/>
      <c r="T5013" s="105"/>
      <c r="U5013" s="105"/>
      <c r="V5013" s="105"/>
      <c r="W5013" s="105"/>
      <c r="X5013" s="11"/>
      <c r="Y5013" s="11"/>
      <c r="Z5013" s="105"/>
      <c r="AA5013" s="11"/>
      <c r="AB5013" s="11"/>
      <c r="AC5013" s="105"/>
      <c r="AD5013" s="11" t="b">
        <v>0</v>
      </c>
      <c r="AE5013" s="105"/>
      <c r="AF5013" s="11"/>
      <c r="AG5013" s="11"/>
      <c r="AH5013" s="11"/>
      <c r="AI5013" s="11"/>
    </row>
    <row r="5014" ht="12.5" spans="3:35">
      <c r="C5014" s="19"/>
      <c r="D5014" s="19"/>
      <c r="H5014" s="105"/>
      <c r="I5014" s="126"/>
      <c r="J5014" s="11"/>
      <c r="K5014" s="108"/>
      <c r="L5014" s="11"/>
      <c r="M5014" s="105"/>
      <c r="N5014" s="105"/>
      <c r="O5014" s="11"/>
      <c r="P5014" s="11"/>
      <c r="Q5014" s="105"/>
      <c r="R5014" s="105"/>
      <c r="S5014" s="105"/>
      <c r="T5014" s="105"/>
      <c r="U5014" s="105"/>
      <c r="V5014" s="105"/>
      <c r="W5014" s="105"/>
      <c r="X5014" s="11"/>
      <c r="Y5014" s="11"/>
      <c r="Z5014" s="105"/>
      <c r="AA5014" s="11"/>
      <c r="AB5014" s="11"/>
      <c r="AC5014" s="105"/>
      <c r="AD5014" s="11" t="b">
        <v>0</v>
      </c>
      <c r="AE5014" s="105"/>
      <c r="AF5014" s="11"/>
      <c r="AG5014" s="11"/>
      <c r="AH5014" s="11"/>
      <c r="AI5014" s="11"/>
    </row>
    <row r="5015" ht="12.5" spans="3:35">
      <c r="C5015" s="19"/>
      <c r="D5015" s="19"/>
      <c r="H5015" s="105"/>
      <c r="I5015" s="126"/>
      <c r="J5015" s="11"/>
      <c r="K5015" s="108"/>
      <c r="L5015" s="11"/>
      <c r="M5015" s="105"/>
      <c r="N5015" s="105"/>
      <c r="O5015" s="11"/>
      <c r="P5015" s="11"/>
      <c r="Q5015" s="105"/>
      <c r="R5015" s="105"/>
      <c r="S5015" s="105"/>
      <c r="T5015" s="105"/>
      <c r="U5015" s="105"/>
      <c r="V5015" s="105"/>
      <c r="W5015" s="105"/>
      <c r="X5015" s="11"/>
      <c r="Y5015" s="11"/>
      <c r="Z5015" s="105"/>
      <c r="AA5015" s="11"/>
      <c r="AB5015" s="11"/>
      <c r="AC5015" s="105"/>
      <c r="AD5015" s="11" t="b">
        <v>0</v>
      </c>
      <c r="AE5015" s="105"/>
      <c r="AF5015" s="11"/>
      <c r="AG5015" s="11"/>
      <c r="AH5015" s="11"/>
      <c r="AI5015" s="11"/>
    </row>
    <row r="5016" ht="12.5" spans="3:35">
      <c r="C5016" s="19"/>
      <c r="D5016" s="19"/>
      <c r="H5016" s="105"/>
      <c r="I5016" s="126"/>
      <c r="J5016" s="11"/>
      <c r="K5016" s="108"/>
      <c r="L5016" s="11"/>
      <c r="M5016" s="105"/>
      <c r="N5016" s="105"/>
      <c r="O5016" s="11"/>
      <c r="P5016" s="11"/>
      <c r="Q5016" s="105"/>
      <c r="R5016" s="105"/>
      <c r="S5016" s="105"/>
      <c r="T5016" s="105"/>
      <c r="U5016" s="105"/>
      <c r="V5016" s="105"/>
      <c r="W5016" s="105"/>
      <c r="X5016" s="11"/>
      <c r="Y5016" s="11"/>
      <c r="Z5016" s="105"/>
      <c r="AA5016" s="11"/>
      <c r="AB5016" s="11"/>
      <c r="AC5016" s="105"/>
      <c r="AD5016" s="11" t="b">
        <v>0</v>
      </c>
      <c r="AE5016" s="105"/>
      <c r="AF5016" s="11"/>
      <c r="AG5016" s="11"/>
      <c r="AH5016" s="11"/>
      <c r="AI5016" s="11"/>
    </row>
    <row r="5017" ht="12.5" spans="3:35">
      <c r="C5017" s="19"/>
      <c r="D5017" s="19"/>
      <c r="H5017" s="105"/>
      <c r="I5017" s="126"/>
      <c r="J5017" s="11"/>
      <c r="K5017" s="108"/>
      <c r="L5017" s="11"/>
      <c r="M5017" s="105"/>
      <c r="N5017" s="105"/>
      <c r="O5017" s="11"/>
      <c r="P5017" s="11"/>
      <c r="Q5017" s="105"/>
      <c r="R5017" s="105"/>
      <c r="S5017" s="105"/>
      <c r="T5017" s="105"/>
      <c r="U5017" s="105"/>
      <c r="V5017" s="105"/>
      <c r="W5017" s="105"/>
      <c r="X5017" s="11"/>
      <c r="Y5017" s="11"/>
      <c r="Z5017" s="105"/>
      <c r="AA5017" s="11"/>
      <c r="AB5017" s="11"/>
      <c r="AC5017" s="105"/>
      <c r="AD5017" s="11" t="b">
        <v>0</v>
      </c>
      <c r="AE5017" s="105"/>
      <c r="AF5017" s="11"/>
      <c r="AG5017" s="11"/>
      <c r="AH5017" s="11"/>
      <c r="AI5017" s="11"/>
    </row>
    <row r="5018" ht="12.5" spans="3:35">
      <c r="C5018" s="19"/>
      <c r="D5018" s="19"/>
      <c r="H5018" s="105"/>
      <c r="I5018" s="126"/>
      <c r="J5018" s="11"/>
      <c r="K5018" s="108"/>
      <c r="L5018" s="11"/>
      <c r="M5018" s="105"/>
      <c r="N5018" s="105"/>
      <c r="O5018" s="11"/>
      <c r="P5018" s="11"/>
      <c r="Q5018" s="105"/>
      <c r="R5018" s="105"/>
      <c r="S5018" s="105"/>
      <c r="T5018" s="105"/>
      <c r="U5018" s="105"/>
      <c r="V5018" s="105"/>
      <c r="W5018" s="105"/>
      <c r="X5018" s="11"/>
      <c r="Y5018" s="11"/>
      <c r="Z5018" s="105"/>
      <c r="AA5018" s="11"/>
      <c r="AB5018" s="11"/>
      <c r="AC5018" s="105"/>
      <c r="AD5018" s="11" t="b">
        <v>0</v>
      </c>
      <c r="AE5018" s="105"/>
      <c r="AF5018" s="11"/>
      <c r="AG5018" s="11"/>
      <c r="AH5018" s="11"/>
      <c r="AI5018" s="11"/>
    </row>
    <row r="5019" ht="12.5" spans="3:35">
      <c r="C5019" s="19"/>
      <c r="D5019" s="19"/>
      <c r="H5019" s="105"/>
      <c r="I5019" s="126"/>
      <c r="J5019" s="11"/>
      <c r="K5019" s="108"/>
      <c r="L5019" s="11"/>
      <c r="M5019" s="105"/>
      <c r="N5019" s="105"/>
      <c r="O5019" s="11"/>
      <c r="P5019" s="11"/>
      <c r="Q5019" s="105"/>
      <c r="R5019" s="105"/>
      <c r="S5019" s="105"/>
      <c r="T5019" s="105"/>
      <c r="U5019" s="105"/>
      <c r="V5019" s="105"/>
      <c r="W5019" s="105"/>
      <c r="X5019" s="11"/>
      <c r="Y5019" s="11"/>
      <c r="Z5019" s="105"/>
      <c r="AA5019" s="11"/>
      <c r="AB5019" s="11"/>
      <c r="AC5019" s="105"/>
      <c r="AD5019" s="11" t="b">
        <v>0</v>
      </c>
      <c r="AE5019" s="105"/>
      <c r="AF5019" s="11"/>
      <c r="AG5019" s="11"/>
      <c r="AH5019" s="11"/>
      <c r="AI5019" s="11"/>
    </row>
    <row r="5020" ht="12.5" spans="3:35">
      <c r="C5020" s="19"/>
      <c r="D5020" s="19"/>
      <c r="H5020" s="105"/>
      <c r="I5020" s="126"/>
      <c r="J5020" s="11"/>
      <c r="K5020" s="108"/>
      <c r="L5020" s="11"/>
      <c r="M5020" s="105"/>
      <c r="N5020" s="105"/>
      <c r="O5020" s="11"/>
      <c r="P5020" s="11"/>
      <c r="Q5020" s="105"/>
      <c r="R5020" s="105"/>
      <c r="S5020" s="105"/>
      <c r="T5020" s="105"/>
      <c r="U5020" s="105"/>
      <c r="V5020" s="105"/>
      <c r="W5020" s="105"/>
      <c r="X5020" s="11"/>
      <c r="Y5020" s="11"/>
      <c r="Z5020" s="105"/>
      <c r="AA5020" s="11"/>
      <c r="AB5020" s="11"/>
      <c r="AC5020" s="105"/>
      <c r="AD5020" s="11" t="b">
        <v>0</v>
      </c>
      <c r="AE5020" s="105"/>
      <c r="AF5020" s="11"/>
      <c r="AG5020" s="11"/>
      <c r="AH5020" s="11"/>
      <c r="AI5020" s="11"/>
    </row>
    <row r="5021" ht="12.5" spans="3:35">
      <c r="C5021" s="19"/>
      <c r="D5021" s="19"/>
      <c r="H5021" s="105"/>
      <c r="I5021" s="126"/>
      <c r="J5021" s="11"/>
      <c r="K5021" s="108"/>
      <c r="L5021" s="11"/>
      <c r="M5021" s="105"/>
      <c r="N5021" s="105"/>
      <c r="O5021" s="11"/>
      <c r="P5021" s="11"/>
      <c r="Q5021" s="105"/>
      <c r="R5021" s="105"/>
      <c r="S5021" s="105"/>
      <c r="T5021" s="105"/>
      <c r="U5021" s="105"/>
      <c r="V5021" s="105"/>
      <c r="W5021" s="105"/>
      <c r="X5021" s="11"/>
      <c r="Y5021" s="11"/>
      <c r="Z5021" s="105"/>
      <c r="AA5021" s="11"/>
      <c r="AB5021" s="11"/>
      <c r="AC5021" s="105"/>
      <c r="AD5021" s="11" t="b">
        <v>0</v>
      </c>
      <c r="AE5021" s="105"/>
      <c r="AF5021" s="11"/>
      <c r="AG5021" s="11"/>
      <c r="AH5021" s="11"/>
      <c r="AI5021" s="11"/>
    </row>
    <row r="5022" ht="12.5" spans="3:35">
      <c r="C5022" s="19"/>
      <c r="D5022" s="19"/>
      <c r="H5022" s="105"/>
      <c r="I5022" s="126"/>
      <c r="J5022" s="11"/>
      <c r="K5022" s="108"/>
      <c r="L5022" s="11"/>
      <c r="M5022" s="105"/>
      <c r="N5022" s="105"/>
      <c r="O5022" s="11"/>
      <c r="P5022" s="11"/>
      <c r="Q5022" s="105"/>
      <c r="R5022" s="105"/>
      <c r="S5022" s="105"/>
      <c r="T5022" s="105"/>
      <c r="U5022" s="105"/>
      <c r="V5022" s="105"/>
      <c r="W5022" s="105"/>
      <c r="X5022" s="11"/>
      <c r="Y5022" s="11"/>
      <c r="Z5022" s="105"/>
      <c r="AA5022" s="11"/>
      <c r="AB5022" s="11"/>
      <c r="AC5022" s="105"/>
      <c r="AD5022" s="11" t="b">
        <v>0</v>
      </c>
      <c r="AE5022" s="105"/>
      <c r="AF5022" s="11"/>
      <c r="AG5022" s="11"/>
      <c r="AH5022" s="11"/>
      <c r="AI5022" s="11"/>
    </row>
    <row r="5023" ht="12.5" spans="3:35">
      <c r="C5023" s="19"/>
      <c r="D5023" s="19"/>
      <c r="H5023" s="105"/>
      <c r="I5023" s="126"/>
      <c r="J5023" s="11"/>
      <c r="K5023" s="108"/>
      <c r="L5023" s="11"/>
      <c r="M5023" s="105"/>
      <c r="N5023" s="105"/>
      <c r="O5023" s="11"/>
      <c r="P5023" s="11"/>
      <c r="Q5023" s="105"/>
      <c r="R5023" s="105"/>
      <c r="S5023" s="105"/>
      <c r="T5023" s="105"/>
      <c r="U5023" s="105"/>
      <c r="V5023" s="105"/>
      <c r="W5023" s="105"/>
      <c r="X5023" s="11"/>
      <c r="Y5023" s="11"/>
      <c r="Z5023" s="105"/>
      <c r="AA5023" s="11"/>
      <c r="AB5023" s="11"/>
      <c r="AC5023" s="105"/>
      <c r="AD5023" s="11" t="b">
        <v>0</v>
      </c>
      <c r="AE5023" s="105"/>
      <c r="AF5023" s="11"/>
      <c r="AG5023" s="11"/>
      <c r="AH5023" s="11"/>
      <c r="AI5023" s="11"/>
    </row>
    <row r="5024" ht="12.5" spans="3:35">
      <c r="C5024" s="19"/>
      <c r="D5024" s="19"/>
      <c r="H5024" s="105"/>
      <c r="I5024" s="126"/>
      <c r="J5024" s="11"/>
      <c r="K5024" s="108"/>
      <c r="L5024" s="11"/>
      <c r="M5024" s="105"/>
      <c r="N5024" s="105"/>
      <c r="O5024" s="11"/>
      <c r="P5024" s="11"/>
      <c r="Q5024" s="105"/>
      <c r="R5024" s="105"/>
      <c r="S5024" s="105"/>
      <c r="T5024" s="105"/>
      <c r="U5024" s="105"/>
      <c r="V5024" s="105"/>
      <c r="W5024" s="105"/>
      <c r="X5024" s="11"/>
      <c r="Y5024" s="11"/>
      <c r="Z5024" s="105"/>
      <c r="AA5024" s="11"/>
      <c r="AB5024" s="11"/>
      <c r="AC5024" s="105"/>
      <c r="AD5024" s="11" t="b">
        <v>0</v>
      </c>
      <c r="AE5024" s="105"/>
      <c r="AF5024" s="11"/>
      <c r="AG5024" s="11"/>
      <c r="AH5024" s="11"/>
      <c r="AI5024" s="11"/>
    </row>
    <row r="5025" ht="12.5" spans="3:35">
      <c r="C5025" s="19"/>
      <c r="D5025" s="19"/>
      <c r="H5025" s="105"/>
      <c r="I5025" s="126"/>
      <c r="J5025" s="11"/>
      <c r="K5025" s="108"/>
      <c r="L5025" s="11"/>
      <c r="M5025" s="105"/>
      <c r="N5025" s="105"/>
      <c r="O5025" s="11"/>
      <c r="P5025" s="11"/>
      <c r="Q5025" s="105"/>
      <c r="R5025" s="105"/>
      <c r="S5025" s="105"/>
      <c r="T5025" s="105"/>
      <c r="U5025" s="105"/>
      <c r="V5025" s="105"/>
      <c r="W5025" s="105"/>
      <c r="X5025" s="11"/>
      <c r="Y5025" s="11"/>
      <c r="Z5025" s="105"/>
      <c r="AA5025" s="11"/>
      <c r="AB5025" s="11"/>
      <c r="AC5025" s="105"/>
      <c r="AD5025" s="11" t="b">
        <v>0</v>
      </c>
      <c r="AE5025" s="105"/>
      <c r="AF5025" s="11"/>
      <c r="AG5025" s="11"/>
      <c r="AH5025" s="11"/>
      <c r="AI5025" s="11"/>
    </row>
    <row r="5026" ht="12.5" spans="3:35">
      <c r="C5026" s="19"/>
      <c r="D5026" s="19"/>
      <c r="H5026" s="105"/>
      <c r="I5026" s="126"/>
      <c r="J5026" s="11"/>
      <c r="K5026" s="108"/>
      <c r="L5026" s="11"/>
      <c r="M5026" s="105"/>
      <c r="N5026" s="105"/>
      <c r="O5026" s="11"/>
      <c r="P5026" s="11"/>
      <c r="Q5026" s="105"/>
      <c r="R5026" s="105"/>
      <c r="S5026" s="105"/>
      <c r="T5026" s="105"/>
      <c r="U5026" s="105"/>
      <c r="V5026" s="105"/>
      <c r="W5026" s="105"/>
      <c r="X5026" s="11"/>
      <c r="Y5026" s="11"/>
      <c r="Z5026" s="105"/>
      <c r="AA5026" s="11"/>
      <c r="AB5026" s="11"/>
      <c r="AC5026" s="105"/>
      <c r="AD5026" s="11" t="b">
        <v>0</v>
      </c>
      <c r="AE5026" s="105"/>
      <c r="AF5026" s="11"/>
      <c r="AG5026" s="11"/>
      <c r="AH5026" s="11"/>
      <c r="AI5026" s="11"/>
    </row>
    <row r="5027" ht="12.5" spans="3:35">
      <c r="C5027" s="19"/>
      <c r="D5027" s="19"/>
      <c r="H5027" s="105"/>
      <c r="I5027" s="126"/>
      <c r="J5027" s="11"/>
      <c r="K5027" s="108"/>
      <c r="L5027" s="11"/>
      <c r="M5027" s="105"/>
      <c r="N5027" s="105"/>
      <c r="O5027" s="11"/>
      <c r="P5027" s="11"/>
      <c r="Q5027" s="105"/>
      <c r="R5027" s="105"/>
      <c r="S5027" s="105"/>
      <c r="T5027" s="105"/>
      <c r="U5027" s="105"/>
      <c r="V5027" s="105"/>
      <c r="W5027" s="105"/>
      <c r="X5027" s="11"/>
      <c r="Y5027" s="11"/>
      <c r="Z5027" s="105"/>
      <c r="AA5027" s="11"/>
      <c r="AB5027" s="11"/>
      <c r="AC5027" s="105"/>
      <c r="AD5027" s="11" t="b">
        <v>0</v>
      </c>
      <c r="AE5027" s="105"/>
      <c r="AF5027" s="11"/>
      <c r="AG5027" s="11"/>
      <c r="AH5027" s="11"/>
      <c r="AI5027" s="11"/>
    </row>
    <row r="5028" ht="12.5" spans="3:35">
      <c r="C5028" s="19"/>
      <c r="D5028" s="19"/>
      <c r="H5028" s="105"/>
      <c r="I5028" s="126"/>
      <c r="J5028" s="11"/>
      <c r="K5028" s="108"/>
      <c r="L5028" s="11"/>
      <c r="M5028" s="105"/>
      <c r="N5028" s="105"/>
      <c r="O5028" s="11"/>
      <c r="P5028" s="11"/>
      <c r="Q5028" s="105"/>
      <c r="R5028" s="105"/>
      <c r="S5028" s="105"/>
      <c r="T5028" s="105"/>
      <c r="U5028" s="105"/>
      <c r="V5028" s="105"/>
      <c r="W5028" s="105"/>
      <c r="X5028" s="11"/>
      <c r="Y5028" s="11"/>
      <c r="Z5028" s="105"/>
      <c r="AA5028" s="11"/>
      <c r="AB5028" s="11"/>
      <c r="AC5028" s="105"/>
      <c r="AD5028" s="11" t="b">
        <v>0</v>
      </c>
      <c r="AE5028" s="105"/>
      <c r="AF5028" s="11"/>
      <c r="AG5028" s="11"/>
      <c r="AH5028" s="11"/>
      <c r="AI5028" s="11"/>
    </row>
    <row r="5029" ht="12.5" spans="3:35">
      <c r="C5029" s="19"/>
      <c r="D5029" s="19"/>
      <c r="H5029" s="105"/>
      <c r="I5029" s="126"/>
      <c r="J5029" s="11"/>
      <c r="K5029" s="108"/>
      <c r="L5029" s="11"/>
      <c r="M5029" s="105"/>
      <c r="N5029" s="105"/>
      <c r="O5029" s="11"/>
      <c r="P5029" s="11"/>
      <c r="Q5029" s="105"/>
      <c r="R5029" s="105"/>
      <c r="S5029" s="105"/>
      <c r="T5029" s="105"/>
      <c r="U5029" s="105"/>
      <c r="V5029" s="105"/>
      <c r="W5029" s="105"/>
      <c r="X5029" s="11"/>
      <c r="Y5029" s="11"/>
      <c r="Z5029" s="105"/>
      <c r="AA5029" s="11"/>
      <c r="AB5029" s="11"/>
      <c r="AC5029" s="105"/>
      <c r="AD5029" s="11" t="b">
        <v>0</v>
      </c>
      <c r="AE5029" s="105"/>
      <c r="AF5029" s="11"/>
      <c r="AG5029" s="11"/>
      <c r="AH5029" s="11"/>
      <c r="AI5029" s="11"/>
    </row>
    <row r="5030" ht="12.5" spans="3:35">
      <c r="C5030" s="19"/>
      <c r="D5030" s="19"/>
      <c r="H5030" s="105"/>
      <c r="I5030" s="126"/>
      <c r="J5030" s="11"/>
      <c r="K5030" s="108"/>
      <c r="L5030" s="11"/>
      <c r="M5030" s="105"/>
      <c r="N5030" s="105"/>
      <c r="O5030" s="11"/>
      <c r="P5030" s="11"/>
      <c r="Q5030" s="105"/>
      <c r="R5030" s="105"/>
      <c r="S5030" s="105"/>
      <c r="T5030" s="105"/>
      <c r="U5030" s="105"/>
      <c r="V5030" s="105"/>
      <c r="W5030" s="105"/>
      <c r="X5030" s="11"/>
      <c r="Y5030" s="11"/>
      <c r="Z5030" s="105"/>
      <c r="AA5030" s="11"/>
      <c r="AB5030" s="11"/>
      <c r="AC5030" s="105"/>
      <c r="AD5030" s="11" t="b">
        <v>0</v>
      </c>
      <c r="AE5030" s="105"/>
      <c r="AF5030" s="11"/>
      <c r="AG5030" s="11"/>
      <c r="AH5030" s="11"/>
      <c r="AI5030" s="11"/>
    </row>
    <row r="5031" ht="12.5" spans="3:35">
      <c r="C5031" s="19"/>
      <c r="D5031" s="19"/>
      <c r="H5031" s="105"/>
      <c r="I5031" s="126"/>
      <c r="J5031" s="11"/>
      <c r="K5031" s="108"/>
      <c r="L5031" s="11"/>
      <c r="M5031" s="105"/>
      <c r="N5031" s="105"/>
      <c r="O5031" s="11"/>
      <c r="P5031" s="11"/>
      <c r="Q5031" s="105"/>
      <c r="R5031" s="105"/>
      <c r="S5031" s="105"/>
      <c r="T5031" s="105"/>
      <c r="U5031" s="105"/>
      <c r="V5031" s="105"/>
      <c r="W5031" s="105"/>
      <c r="X5031" s="11"/>
      <c r="Y5031" s="11"/>
      <c r="Z5031" s="105"/>
      <c r="AA5031" s="11"/>
      <c r="AB5031" s="11"/>
      <c r="AC5031" s="105"/>
      <c r="AD5031" s="11" t="b">
        <v>0</v>
      </c>
      <c r="AE5031" s="105"/>
      <c r="AF5031" s="11"/>
      <c r="AG5031" s="11"/>
      <c r="AH5031" s="11"/>
      <c r="AI5031" s="11"/>
    </row>
    <row r="5032" ht="12.5" spans="3:35">
      <c r="C5032" s="19"/>
      <c r="D5032" s="19"/>
      <c r="H5032" s="105"/>
      <c r="I5032" s="126"/>
      <c r="J5032" s="11"/>
      <c r="K5032" s="108"/>
      <c r="L5032" s="11"/>
      <c r="M5032" s="105"/>
      <c r="N5032" s="105"/>
      <c r="O5032" s="11"/>
      <c r="P5032" s="11"/>
      <c r="Q5032" s="105"/>
      <c r="R5032" s="105"/>
      <c r="S5032" s="105"/>
      <c r="T5032" s="105"/>
      <c r="U5032" s="105"/>
      <c r="V5032" s="105"/>
      <c r="W5032" s="105"/>
      <c r="X5032" s="11"/>
      <c r="Y5032" s="11"/>
      <c r="Z5032" s="105"/>
      <c r="AA5032" s="11"/>
      <c r="AB5032" s="11"/>
      <c r="AC5032" s="105"/>
      <c r="AD5032" s="11" t="b">
        <v>0</v>
      </c>
      <c r="AE5032" s="105"/>
      <c r="AF5032" s="11"/>
      <c r="AG5032" s="11"/>
      <c r="AH5032" s="11"/>
      <c r="AI5032" s="11"/>
    </row>
    <row r="5033" ht="12.5" spans="3:35">
      <c r="C5033" s="19"/>
      <c r="D5033" s="19"/>
      <c r="H5033" s="105"/>
      <c r="I5033" s="126"/>
      <c r="J5033" s="11"/>
      <c r="K5033" s="108"/>
      <c r="L5033" s="11"/>
      <c r="M5033" s="105"/>
      <c r="N5033" s="105"/>
      <c r="O5033" s="11"/>
      <c r="P5033" s="11"/>
      <c r="Q5033" s="105"/>
      <c r="R5033" s="105"/>
      <c r="S5033" s="105"/>
      <c r="T5033" s="105"/>
      <c r="U5033" s="105"/>
      <c r="V5033" s="105"/>
      <c r="W5033" s="105"/>
      <c r="X5033" s="11"/>
      <c r="Y5033" s="11"/>
      <c r="Z5033" s="105"/>
      <c r="AA5033" s="11"/>
      <c r="AB5033" s="11"/>
      <c r="AC5033" s="105"/>
      <c r="AD5033" s="11" t="b">
        <v>0</v>
      </c>
      <c r="AE5033" s="105"/>
      <c r="AF5033" s="11"/>
      <c r="AG5033" s="11"/>
      <c r="AH5033" s="11"/>
      <c r="AI5033" s="11"/>
    </row>
    <row r="5034" ht="12.5" spans="3:35">
      <c r="C5034" s="19"/>
      <c r="D5034" s="19"/>
      <c r="H5034" s="105"/>
      <c r="I5034" s="126"/>
      <c r="J5034" s="11"/>
      <c r="K5034" s="108"/>
      <c r="L5034" s="11"/>
      <c r="M5034" s="105"/>
      <c r="N5034" s="105"/>
      <c r="O5034" s="11"/>
      <c r="P5034" s="11"/>
      <c r="Q5034" s="105"/>
      <c r="R5034" s="105"/>
      <c r="S5034" s="105"/>
      <c r="T5034" s="105"/>
      <c r="U5034" s="105"/>
      <c r="V5034" s="105"/>
      <c r="W5034" s="105"/>
      <c r="X5034" s="11"/>
      <c r="Y5034" s="11"/>
      <c r="Z5034" s="105"/>
      <c r="AA5034" s="11"/>
      <c r="AB5034" s="11"/>
      <c r="AC5034" s="105"/>
      <c r="AD5034" s="11" t="b">
        <v>0</v>
      </c>
      <c r="AE5034" s="105"/>
      <c r="AF5034" s="11"/>
      <c r="AG5034" s="11"/>
      <c r="AH5034" s="11"/>
      <c r="AI5034" s="11"/>
    </row>
    <row r="5035" ht="12.5" spans="3:35">
      <c r="C5035" s="19"/>
      <c r="D5035" s="19"/>
      <c r="H5035" s="105"/>
      <c r="I5035" s="126"/>
      <c r="J5035" s="11"/>
      <c r="K5035" s="108"/>
      <c r="L5035" s="11"/>
      <c r="M5035" s="105"/>
      <c r="N5035" s="105"/>
      <c r="O5035" s="11"/>
      <c r="P5035" s="11"/>
      <c r="Q5035" s="105"/>
      <c r="R5035" s="105"/>
      <c r="S5035" s="105"/>
      <c r="T5035" s="105"/>
      <c r="U5035" s="105"/>
      <c r="V5035" s="105"/>
      <c r="W5035" s="105"/>
      <c r="X5035" s="11"/>
      <c r="Y5035" s="11"/>
      <c r="Z5035" s="105"/>
      <c r="AA5035" s="11"/>
      <c r="AB5035" s="11"/>
      <c r="AC5035" s="105"/>
      <c r="AD5035" s="11" t="b">
        <v>0</v>
      </c>
      <c r="AE5035" s="105"/>
      <c r="AF5035" s="11"/>
      <c r="AG5035" s="11"/>
      <c r="AH5035" s="11"/>
      <c r="AI5035" s="11"/>
    </row>
    <row r="5036" ht="12.5" spans="3:35">
      <c r="C5036" s="19"/>
      <c r="D5036" s="19"/>
      <c r="H5036" s="105"/>
      <c r="I5036" s="126"/>
      <c r="J5036" s="11"/>
      <c r="K5036" s="108"/>
      <c r="L5036" s="11"/>
      <c r="M5036" s="105"/>
      <c r="N5036" s="105"/>
      <c r="O5036" s="11"/>
      <c r="P5036" s="11"/>
      <c r="Q5036" s="105"/>
      <c r="R5036" s="105"/>
      <c r="S5036" s="105"/>
      <c r="T5036" s="105"/>
      <c r="U5036" s="105"/>
      <c r="V5036" s="105"/>
      <c r="W5036" s="105"/>
      <c r="X5036" s="11"/>
      <c r="Y5036" s="11"/>
      <c r="Z5036" s="105"/>
      <c r="AA5036" s="11"/>
      <c r="AB5036" s="11"/>
      <c r="AC5036" s="105"/>
      <c r="AD5036" s="11" t="b">
        <v>0</v>
      </c>
      <c r="AE5036" s="105"/>
      <c r="AF5036" s="11"/>
      <c r="AG5036" s="11"/>
      <c r="AH5036" s="11"/>
      <c r="AI5036" s="11"/>
    </row>
    <row r="5037" ht="12.5" spans="3:35">
      <c r="C5037" s="19"/>
      <c r="D5037" s="19"/>
      <c r="H5037" s="105"/>
      <c r="I5037" s="126"/>
      <c r="J5037" s="11"/>
      <c r="K5037" s="108"/>
      <c r="L5037" s="11"/>
      <c r="M5037" s="105"/>
      <c r="N5037" s="105"/>
      <c r="O5037" s="11"/>
      <c r="P5037" s="11"/>
      <c r="Q5037" s="105"/>
      <c r="R5037" s="105"/>
      <c r="S5037" s="105"/>
      <c r="T5037" s="105"/>
      <c r="U5037" s="105"/>
      <c r="V5037" s="105"/>
      <c r="W5037" s="105"/>
      <c r="X5037" s="11"/>
      <c r="Y5037" s="11"/>
      <c r="Z5037" s="105"/>
      <c r="AA5037" s="11"/>
      <c r="AB5037" s="11"/>
      <c r="AC5037" s="105"/>
      <c r="AD5037" s="11" t="b">
        <v>0</v>
      </c>
      <c r="AE5037" s="105"/>
      <c r="AF5037" s="11"/>
      <c r="AG5037" s="11"/>
      <c r="AH5037" s="11"/>
      <c r="AI5037" s="11"/>
    </row>
    <row r="5038" ht="12.5" spans="3:35">
      <c r="C5038" s="19"/>
      <c r="D5038" s="19"/>
      <c r="H5038" s="105"/>
      <c r="I5038" s="126"/>
      <c r="J5038" s="11"/>
      <c r="K5038" s="108"/>
      <c r="L5038" s="11"/>
      <c r="M5038" s="105"/>
      <c r="N5038" s="105"/>
      <c r="O5038" s="11"/>
      <c r="P5038" s="11"/>
      <c r="Q5038" s="105"/>
      <c r="R5038" s="105"/>
      <c r="S5038" s="105"/>
      <c r="T5038" s="105"/>
      <c r="U5038" s="105"/>
      <c r="V5038" s="105"/>
      <c r="W5038" s="105"/>
      <c r="X5038" s="11"/>
      <c r="Y5038" s="11"/>
      <c r="Z5038" s="105"/>
      <c r="AA5038" s="11"/>
      <c r="AB5038" s="11"/>
      <c r="AC5038" s="105"/>
      <c r="AD5038" s="11" t="b">
        <v>0</v>
      </c>
      <c r="AE5038" s="105"/>
      <c r="AF5038" s="11"/>
      <c r="AG5038" s="11"/>
      <c r="AH5038" s="11"/>
      <c r="AI5038" s="11"/>
    </row>
    <row r="5039" ht="12.5" spans="3:35">
      <c r="C5039" s="19"/>
      <c r="D5039" s="19"/>
      <c r="H5039" s="105"/>
      <c r="I5039" s="126"/>
      <c r="J5039" s="11"/>
      <c r="K5039" s="108"/>
      <c r="L5039" s="11"/>
      <c r="M5039" s="105"/>
      <c r="N5039" s="105"/>
      <c r="O5039" s="11"/>
      <c r="P5039" s="11"/>
      <c r="Q5039" s="105"/>
      <c r="R5039" s="105"/>
      <c r="S5039" s="105"/>
      <c r="T5039" s="105"/>
      <c r="U5039" s="105"/>
      <c r="V5039" s="105"/>
      <c r="W5039" s="105"/>
      <c r="X5039" s="11"/>
      <c r="Y5039" s="11"/>
      <c r="Z5039" s="105"/>
      <c r="AA5039" s="11"/>
      <c r="AB5039" s="11"/>
      <c r="AC5039" s="105"/>
      <c r="AD5039" s="11" t="b">
        <v>0</v>
      </c>
      <c r="AE5039" s="105"/>
      <c r="AF5039" s="11"/>
      <c r="AG5039" s="11"/>
      <c r="AH5039" s="11"/>
      <c r="AI5039" s="11"/>
    </row>
    <row r="5040" ht="12.5" spans="3:35">
      <c r="C5040" s="19"/>
      <c r="D5040" s="19"/>
      <c r="H5040" s="105"/>
      <c r="I5040" s="126"/>
      <c r="J5040" s="11"/>
      <c r="K5040" s="108"/>
      <c r="L5040" s="11"/>
      <c r="M5040" s="105"/>
      <c r="N5040" s="105"/>
      <c r="O5040" s="11"/>
      <c r="P5040" s="11"/>
      <c r="Q5040" s="105"/>
      <c r="R5040" s="105"/>
      <c r="S5040" s="105"/>
      <c r="T5040" s="105"/>
      <c r="U5040" s="105"/>
      <c r="V5040" s="105"/>
      <c r="W5040" s="105"/>
      <c r="X5040" s="11"/>
      <c r="Y5040" s="11"/>
      <c r="Z5040" s="105"/>
      <c r="AA5040" s="11"/>
      <c r="AB5040" s="11"/>
      <c r="AC5040" s="105"/>
      <c r="AD5040" s="11" t="b">
        <v>0</v>
      </c>
      <c r="AE5040" s="105"/>
      <c r="AF5040" s="11"/>
      <c r="AG5040" s="11"/>
      <c r="AH5040" s="11"/>
      <c r="AI5040" s="11"/>
    </row>
    <row r="5041" ht="12.5" spans="3:35">
      <c r="C5041" s="19"/>
      <c r="D5041" s="19"/>
      <c r="H5041" s="105"/>
      <c r="I5041" s="126"/>
      <c r="J5041" s="11"/>
      <c r="K5041" s="108"/>
      <c r="L5041" s="11"/>
      <c r="M5041" s="105"/>
      <c r="N5041" s="105"/>
      <c r="O5041" s="11"/>
      <c r="P5041" s="11"/>
      <c r="Q5041" s="105"/>
      <c r="R5041" s="105"/>
      <c r="S5041" s="105"/>
      <c r="T5041" s="105"/>
      <c r="U5041" s="105"/>
      <c r="V5041" s="105"/>
      <c r="W5041" s="105"/>
      <c r="X5041" s="11"/>
      <c r="Y5041" s="11"/>
      <c r="Z5041" s="105"/>
      <c r="AA5041" s="11"/>
      <c r="AB5041" s="11"/>
      <c r="AC5041" s="105"/>
      <c r="AD5041" s="11" t="b">
        <v>0</v>
      </c>
      <c r="AE5041" s="105"/>
      <c r="AF5041" s="11"/>
      <c r="AG5041" s="11"/>
      <c r="AH5041" s="11"/>
      <c r="AI5041" s="11"/>
    </row>
    <row r="5042" ht="12.5" spans="3:35">
      <c r="C5042" s="19"/>
      <c r="D5042" s="19"/>
      <c r="H5042" s="105"/>
      <c r="I5042" s="126"/>
      <c r="J5042" s="11"/>
      <c r="K5042" s="108"/>
      <c r="L5042" s="11"/>
      <c r="M5042" s="105"/>
      <c r="N5042" s="105"/>
      <c r="O5042" s="11"/>
      <c r="P5042" s="11"/>
      <c r="Q5042" s="105"/>
      <c r="R5042" s="105"/>
      <c r="S5042" s="105"/>
      <c r="T5042" s="105"/>
      <c r="U5042" s="105"/>
      <c r="V5042" s="105"/>
      <c r="W5042" s="105"/>
      <c r="X5042" s="11"/>
      <c r="Y5042" s="11"/>
      <c r="Z5042" s="105"/>
      <c r="AA5042" s="11"/>
      <c r="AB5042" s="11"/>
      <c r="AC5042" s="105"/>
      <c r="AD5042" s="11" t="b">
        <v>0</v>
      </c>
      <c r="AE5042" s="105"/>
      <c r="AF5042" s="11"/>
      <c r="AG5042" s="11"/>
      <c r="AH5042" s="11"/>
      <c r="AI5042" s="11"/>
    </row>
    <row r="5043" ht="12.5" spans="3:35">
      <c r="C5043" s="19"/>
      <c r="D5043" s="19"/>
      <c r="H5043" s="105"/>
      <c r="I5043" s="126"/>
      <c r="J5043" s="11"/>
      <c r="K5043" s="108"/>
      <c r="L5043" s="11"/>
      <c r="M5043" s="105"/>
      <c r="N5043" s="105"/>
      <c r="O5043" s="11"/>
      <c r="P5043" s="11"/>
      <c r="Q5043" s="105"/>
      <c r="R5043" s="105"/>
      <c r="S5043" s="105"/>
      <c r="T5043" s="105"/>
      <c r="U5043" s="105"/>
      <c r="V5043" s="105"/>
      <c r="W5043" s="105"/>
      <c r="X5043" s="11"/>
      <c r="Y5043" s="11"/>
      <c r="Z5043" s="105"/>
      <c r="AA5043" s="11"/>
      <c r="AB5043" s="11"/>
      <c r="AC5043" s="105"/>
      <c r="AD5043" s="11" t="b">
        <v>0</v>
      </c>
      <c r="AE5043" s="105"/>
      <c r="AF5043" s="11"/>
      <c r="AG5043" s="11"/>
      <c r="AH5043" s="11"/>
      <c r="AI5043" s="11"/>
    </row>
    <row r="5044" ht="12.5" spans="3:35">
      <c r="C5044" s="19"/>
      <c r="D5044" s="19"/>
      <c r="H5044" s="105"/>
      <c r="I5044" s="126"/>
      <c r="J5044" s="11"/>
      <c r="K5044" s="108"/>
      <c r="L5044" s="11"/>
      <c r="M5044" s="105"/>
      <c r="N5044" s="105"/>
      <c r="O5044" s="11"/>
      <c r="P5044" s="11"/>
      <c r="Q5044" s="105"/>
      <c r="R5044" s="105"/>
      <c r="S5044" s="105"/>
      <c r="T5044" s="105"/>
      <c r="U5044" s="105"/>
      <c r="V5044" s="105"/>
      <c r="W5044" s="105"/>
      <c r="X5044" s="11"/>
      <c r="Y5044" s="11"/>
      <c r="Z5044" s="105"/>
      <c r="AA5044" s="11"/>
      <c r="AB5044" s="11"/>
      <c r="AC5044" s="105"/>
      <c r="AD5044" s="11" t="b">
        <v>0</v>
      </c>
      <c r="AE5044" s="105"/>
      <c r="AF5044" s="11"/>
      <c r="AG5044" s="11"/>
      <c r="AH5044" s="11"/>
      <c r="AI5044" s="11"/>
    </row>
    <row r="5045" ht="12.5" spans="3:35">
      <c r="C5045" s="19"/>
      <c r="D5045" s="19"/>
      <c r="H5045" s="105"/>
      <c r="I5045" s="126"/>
      <c r="J5045" s="11"/>
      <c r="K5045" s="108"/>
      <c r="L5045" s="11"/>
      <c r="M5045" s="105"/>
      <c r="N5045" s="105"/>
      <c r="O5045" s="11"/>
      <c r="P5045" s="11"/>
      <c r="Q5045" s="105"/>
      <c r="R5045" s="105"/>
      <c r="S5045" s="105"/>
      <c r="T5045" s="105"/>
      <c r="U5045" s="105"/>
      <c r="V5045" s="105"/>
      <c r="W5045" s="105"/>
      <c r="X5045" s="11"/>
      <c r="Y5045" s="11"/>
      <c r="Z5045" s="105"/>
      <c r="AA5045" s="11"/>
      <c r="AB5045" s="11"/>
      <c r="AC5045" s="105"/>
      <c r="AD5045" s="11" t="b">
        <v>0</v>
      </c>
      <c r="AE5045" s="105"/>
      <c r="AF5045" s="11"/>
      <c r="AG5045" s="11"/>
      <c r="AH5045" s="11"/>
      <c r="AI5045" s="11"/>
    </row>
    <row r="5046" ht="12.5" spans="3:35">
      <c r="C5046" s="19"/>
      <c r="D5046" s="19"/>
      <c r="H5046" s="105"/>
      <c r="I5046" s="126"/>
      <c r="J5046" s="11"/>
      <c r="K5046" s="108"/>
      <c r="L5046" s="11"/>
      <c r="M5046" s="105"/>
      <c r="N5046" s="105"/>
      <c r="O5046" s="11"/>
      <c r="P5046" s="11"/>
      <c r="Q5046" s="105"/>
      <c r="R5046" s="105"/>
      <c r="S5046" s="105"/>
      <c r="T5046" s="105"/>
      <c r="U5046" s="105"/>
      <c r="V5046" s="105"/>
      <c r="W5046" s="105"/>
      <c r="X5046" s="11"/>
      <c r="Y5046" s="11"/>
      <c r="Z5046" s="105"/>
      <c r="AA5046" s="11"/>
      <c r="AB5046" s="11"/>
      <c r="AC5046" s="105"/>
      <c r="AD5046" s="11" t="b">
        <v>0</v>
      </c>
      <c r="AE5046" s="105"/>
      <c r="AF5046" s="11"/>
      <c r="AG5046" s="11"/>
      <c r="AH5046" s="11"/>
      <c r="AI5046" s="11"/>
    </row>
    <row r="5047" ht="12.5" spans="3:35">
      <c r="C5047" s="19"/>
      <c r="D5047" s="19"/>
      <c r="H5047" s="105"/>
      <c r="I5047" s="126"/>
      <c r="J5047" s="11"/>
      <c r="K5047" s="108"/>
      <c r="L5047" s="11"/>
      <c r="M5047" s="105"/>
      <c r="N5047" s="105"/>
      <c r="O5047" s="11"/>
      <c r="P5047" s="11"/>
      <c r="Q5047" s="105"/>
      <c r="R5047" s="105"/>
      <c r="S5047" s="105"/>
      <c r="T5047" s="105"/>
      <c r="U5047" s="105"/>
      <c r="V5047" s="105"/>
      <c r="W5047" s="105"/>
      <c r="X5047" s="11"/>
      <c r="Y5047" s="11"/>
      <c r="Z5047" s="105"/>
      <c r="AA5047" s="11"/>
      <c r="AB5047" s="11"/>
      <c r="AC5047" s="105"/>
      <c r="AD5047" s="11" t="b">
        <v>0</v>
      </c>
      <c r="AE5047" s="105"/>
      <c r="AF5047" s="11"/>
      <c r="AG5047" s="11"/>
      <c r="AH5047" s="11"/>
      <c r="AI5047" s="11"/>
    </row>
    <row r="5048" ht="12.5" spans="3:35">
      <c r="C5048" s="19"/>
      <c r="D5048" s="19"/>
      <c r="H5048" s="105"/>
      <c r="I5048" s="126"/>
      <c r="J5048" s="11"/>
      <c r="K5048" s="108"/>
      <c r="L5048" s="11"/>
      <c r="M5048" s="105"/>
      <c r="N5048" s="105"/>
      <c r="O5048" s="11"/>
      <c r="P5048" s="11"/>
      <c r="Q5048" s="105"/>
      <c r="R5048" s="105"/>
      <c r="S5048" s="105"/>
      <c r="T5048" s="105"/>
      <c r="U5048" s="105"/>
      <c r="V5048" s="105"/>
      <c r="W5048" s="105"/>
      <c r="X5048" s="11"/>
      <c r="Y5048" s="11"/>
      <c r="Z5048" s="105"/>
      <c r="AA5048" s="11"/>
      <c r="AB5048" s="11"/>
      <c r="AC5048" s="105"/>
      <c r="AD5048" s="11" t="b">
        <v>0</v>
      </c>
      <c r="AE5048" s="105"/>
      <c r="AF5048" s="11"/>
      <c r="AG5048" s="11"/>
      <c r="AH5048" s="11"/>
      <c r="AI5048" s="11"/>
    </row>
    <row r="5049" ht="12.5" spans="3:35">
      <c r="C5049" s="19"/>
      <c r="D5049" s="19"/>
      <c r="H5049" s="105"/>
      <c r="I5049" s="126"/>
      <c r="J5049" s="11"/>
      <c r="K5049" s="108"/>
      <c r="L5049" s="11"/>
      <c r="M5049" s="105"/>
      <c r="N5049" s="105"/>
      <c r="O5049" s="11"/>
      <c r="P5049" s="11"/>
      <c r="Q5049" s="105"/>
      <c r="R5049" s="105"/>
      <c r="S5049" s="105"/>
      <c r="T5049" s="105"/>
      <c r="U5049" s="105"/>
      <c r="V5049" s="105"/>
      <c r="W5049" s="105"/>
      <c r="X5049" s="11"/>
      <c r="Y5049" s="11"/>
      <c r="Z5049" s="105"/>
      <c r="AA5049" s="11"/>
      <c r="AB5049" s="11"/>
      <c r="AC5049" s="105"/>
      <c r="AD5049" s="11" t="b">
        <v>0</v>
      </c>
      <c r="AE5049" s="105"/>
      <c r="AF5049" s="11"/>
      <c r="AG5049" s="11"/>
      <c r="AH5049" s="11"/>
      <c r="AI5049" s="11"/>
    </row>
    <row r="5050" ht="12.5" spans="3:35">
      <c r="C5050" s="19"/>
      <c r="D5050" s="19"/>
      <c r="H5050" s="105"/>
      <c r="I5050" s="126"/>
      <c r="J5050" s="11"/>
      <c r="K5050" s="108"/>
      <c r="L5050" s="11"/>
      <c r="M5050" s="105"/>
      <c r="N5050" s="105"/>
      <c r="O5050" s="11"/>
      <c r="P5050" s="11"/>
      <c r="Q5050" s="105"/>
      <c r="R5050" s="105"/>
      <c r="S5050" s="105"/>
      <c r="T5050" s="105"/>
      <c r="U5050" s="105"/>
      <c r="V5050" s="105"/>
      <c r="W5050" s="105"/>
      <c r="X5050" s="11"/>
      <c r="Y5050" s="11"/>
      <c r="Z5050" s="105"/>
      <c r="AA5050" s="11"/>
      <c r="AB5050" s="11"/>
      <c r="AC5050" s="105"/>
      <c r="AD5050" s="11" t="b">
        <v>0</v>
      </c>
      <c r="AE5050" s="105"/>
      <c r="AF5050" s="11"/>
      <c r="AG5050" s="11"/>
      <c r="AH5050" s="11"/>
      <c r="AI5050" s="11"/>
    </row>
    <row r="5051" ht="12.5" spans="3:35">
      <c r="C5051" s="19"/>
      <c r="D5051" s="19"/>
      <c r="H5051" s="105"/>
      <c r="I5051" s="126"/>
      <c r="J5051" s="11"/>
      <c r="K5051" s="108"/>
      <c r="L5051" s="11"/>
      <c r="M5051" s="105"/>
      <c r="N5051" s="105"/>
      <c r="O5051" s="11"/>
      <c r="P5051" s="11"/>
      <c r="Q5051" s="105"/>
      <c r="R5051" s="105"/>
      <c r="S5051" s="105"/>
      <c r="T5051" s="105"/>
      <c r="U5051" s="105"/>
      <c r="V5051" s="105"/>
      <c r="W5051" s="105"/>
      <c r="X5051" s="11"/>
      <c r="Y5051" s="11"/>
      <c r="Z5051" s="105"/>
      <c r="AA5051" s="11"/>
      <c r="AB5051" s="11"/>
      <c r="AC5051" s="105"/>
      <c r="AD5051" s="11" t="b">
        <v>0</v>
      </c>
      <c r="AE5051" s="105"/>
      <c r="AF5051" s="11"/>
      <c r="AG5051" s="11"/>
      <c r="AH5051" s="11"/>
      <c r="AI5051" s="11"/>
    </row>
    <row r="5052" ht="12.5" spans="3:35">
      <c r="C5052" s="19"/>
      <c r="D5052" s="19"/>
      <c r="H5052" s="105"/>
      <c r="I5052" s="126"/>
      <c r="J5052" s="11"/>
      <c r="K5052" s="108"/>
      <c r="L5052" s="11"/>
      <c r="M5052" s="105"/>
      <c r="N5052" s="105"/>
      <c r="O5052" s="11"/>
      <c r="P5052" s="11"/>
      <c r="Q5052" s="105"/>
      <c r="R5052" s="105"/>
      <c r="S5052" s="105"/>
      <c r="T5052" s="105"/>
      <c r="U5052" s="105"/>
      <c r="V5052" s="105"/>
      <c r="W5052" s="105"/>
      <c r="X5052" s="11"/>
      <c r="Y5052" s="11"/>
      <c r="Z5052" s="105"/>
      <c r="AA5052" s="11"/>
      <c r="AB5052" s="11"/>
      <c r="AC5052" s="105"/>
      <c r="AD5052" s="11" t="b">
        <v>0</v>
      </c>
      <c r="AE5052" s="105"/>
      <c r="AF5052" s="11"/>
      <c r="AG5052" s="11"/>
      <c r="AH5052" s="11"/>
      <c r="AI5052" s="11"/>
    </row>
    <row r="5053" ht="12.5" spans="3:35">
      <c r="C5053" s="19"/>
      <c r="D5053" s="19"/>
      <c r="H5053" s="105"/>
      <c r="I5053" s="126"/>
      <c r="J5053" s="11"/>
      <c r="K5053" s="108"/>
      <c r="L5053" s="11"/>
      <c r="M5053" s="105"/>
      <c r="N5053" s="105"/>
      <c r="O5053" s="11"/>
      <c r="P5053" s="11"/>
      <c r="Q5053" s="105"/>
      <c r="R5053" s="105"/>
      <c r="S5053" s="105"/>
      <c r="T5053" s="105"/>
      <c r="U5053" s="105"/>
      <c r="V5053" s="105"/>
      <c r="W5053" s="105"/>
      <c r="X5053" s="11"/>
      <c r="Y5053" s="11"/>
      <c r="Z5053" s="105"/>
      <c r="AA5053" s="11"/>
      <c r="AB5053" s="11"/>
      <c r="AC5053" s="105"/>
      <c r="AD5053" s="11" t="b">
        <v>0</v>
      </c>
      <c r="AE5053" s="105"/>
      <c r="AF5053" s="11"/>
      <c r="AG5053" s="11"/>
      <c r="AH5053" s="11"/>
      <c r="AI5053" s="11"/>
    </row>
    <row r="5054" ht="12.5" spans="3:35">
      <c r="C5054" s="19"/>
      <c r="D5054" s="19"/>
      <c r="H5054" s="105"/>
      <c r="I5054" s="126"/>
      <c r="J5054" s="11"/>
      <c r="K5054" s="108"/>
      <c r="L5054" s="11"/>
      <c r="M5054" s="105"/>
      <c r="N5054" s="105"/>
      <c r="O5054" s="11"/>
      <c r="P5054" s="11"/>
      <c r="Q5054" s="105"/>
      <c r="R5054" s="105"/>
      <c r="S5054" s="105"/>
      <c r="T5054" s="105"/>
      <c r="U5054" s="105"/>
      <c r="V5054" s="105"/>
      <c r="W5054" s="105"/>
      <c r="X5054" s="11"/>
      <c r="Y5054" s="11"/>
      <c r="Z5054" s="105"/>
      <c r="AA5054" s="11"/>
      <c r="AB5054" s="11"/>
      <c r="AC5054" s="105"/>
      <c r="AD5054" s="11" t="b">
        <v>0</v>
      </c>
      <c r="AE5054" s="105"/>
      <c r="AF5054" s="11"/>
      <c r="AG5054" s="11"/>
      <c r="AH5054" s="11"/>
      <c r="AI5054" s="11"/>
    </row>
    <row r="5055" ht="12.5" spans="3:35">
      <c r="C5055" s="19"/>
      <c r="D5055" s="19"/>
      <c r="H5055" s="105"/>
      <c r="I5055" s="126"/>
      <c r="J5055" s="11"/>
      <c r="K5055" s="108"/>
      <c r="L5055" s="11"/>
      <c r="M5055" s="105"/>
      <c r="N5055" s="105"/>
      <c r="O5055" s="11"/>
      <c r="P5055" s="11"/>
      <c r="Q5055" s="105"/>
      <c r="R5055" s="105"/>
      <c r="S5055" s="105"/>
      <c r="T5055" s="105"/>
      <c r="U5055" s="105"/>
      <c r="V5055" s="105"/>
      <c r="W5055" s="105"/>
      <c r="X5055" s="11"/>
      <c r="Y5055" s="11"/>
      <c r="Z5055" s="105"/>
      <c r="AA5055" s="11"/>
      <c r="AB5055" s="11"/>
      <c r="AC5055" s="105"/>
      <c r="AD5055" s="11" t="b">
        <v>0</v>
      </c>
      <c r="AE5055" s="105"/>
      <c r="AF5055" s="11"/>
      <c r="AG5055" s="11"/>
      <c r="AH5055" s="11"/>
      <c r="AI5055" s="11"/>
    </row>
    <row r="5056" ht="12.5" spans="3:35">
      <c r="C5056" s="19"/>
      <c r="D5056" s="19"/>
      <c r="H5056" s="105"/>
      <c r="I5056" s="126"/>
      <c r="J5056" s="11"/>
      <c r="K5056" s="108"/>
      <c r="L5056" s="11"/>
      <c r="M5056" s="105"/>
      <c r="N5056" s="105"/>
      <c r="O5056" s="11"/>
      <c r="P5056" s="11"/>
      <c r="Q5056" s="105"/>
      <c r="R5056" s="105"/>
      <c r="S5056" s="105"/>
      <c r="T5056" s="105"/>
      <c r="U5056" s="105"/>
      <c r="V5056" s="105"/>
      <c r="W5056" s="105"/>
      <c r="X5056" s="11"/>
      <c r="Y5056" s="11"/>
      <c r="Z5056" s="105"/>
      <c r="AA5056" s="11"/>
      <c r="AB5056" s="11"/>
      <c r="AC5056" s="105"/>
      <c r="AD5056" s="11" t="b">
        <v>0</v>
      </c>
      <c r="AE5056" s="105"/>
      <c r="AF5056" s="11"/>
      <c r="AG5056" s="11"/>
      <c r="AH5056" s="11"/>
      <c r="AI5056" s="11"/>
    </row>
    <row r="5057" ht="12.5" spans="3:35">
      <c r="C5057" s="19"/>
      <c r="D5057" s="19"/>
      <c r="H5057" s="105"/>
      <c r="I5057" s="126"/>
      <c r="J5057" s="11"/>
      <c r="K5057" s="108"/>
      <c r="L5057" s="11"/>
      <c r="M5057" s="105"/>
      <c r="N5057" s="105"/>
      <c r="O5057" s="11"/>
      <c r="P5057" s="11"/>
      <c r="Q5057" s="105"/>
      <c r="R5057" s="105"/>
      <c r="S5057" s="105"/>
      <c r="T5057" s="105"/>
      <c r="U5057" s="105"/>
      <c r="V5057" s="105"/>
      <c r="W5057" s="105"/>
      <c r="X5057" s="11"/>
      <c r="Y5057" s="11"/>
      <c r="Z5057" s="105"/>
      <c r="AA5057" s="11"/>
      <c r="AB5057" s="11"/>
      <c r="AC5057" s="105"/>
      <c r="AD5057" s="11" t="b">
        <v>0</v>
      </c>
      <c r="AE5057" s="105"/>
      <c r="AF5057" s="11"/>
      <c r="AG5057" s="11"/>
      <c r="AH5057" s="11"/>
      <c r="AI5057" s="11"/>
    </row>
    <row r="5058" ht="12.5" spans="3:35">
      <c r="C5058" s="19"/>
      <c r="D5058" s="19"/>
      <c r="H5058" s="105"/>
      <c r="I5058" s="126"/>
      <c r="J5058" s="11"/>
      <c r="K5058" s="108"/>
      <c r="L5058" s="11"/>
      <c r="M5058" s="105"/>
      <c r="N5058" s="105"/>
      <c r="O5058" s="11"/>
      <c r="P5058" s="11"/>
      <c r="Q5058" s="105"/>
      <c r="R5058" s="105"/>
      <c r="S5058" s="105"/>
      <c r="T5058" s="105"/>
      <c r="U5058" s="105"/>
      <c r="V5058" s="105"/>
      <c r="W5058" s="105"/>
      <c r="X5058" s="11"/>
      <c r="Y5058" s="11"/>
      <c r="Z5058" s="105"/>
      <c r="AA5058" s="11"/>
      <c r="AB5058" s="11"/>
      <c r="AC5058" s="105"/>
      <c r="AD5058" s="11" t="b">
        <v>0</v>
      </c>
      <c r="AE5058" s="105"/>
      <c r="AF5058" s="11"/>
      <c r="AG5058" s="11"/>
      <c r="AH5058" s="11"/>
      <c r="AI5058" s="11"/>
    </row>
    <row r="5059" ht="12.5" spans="3:35">
      <c r="C5059" s="19"/>
      <c r="D5059" s="19"/>
      <c r="H5059" s="105"/>
      <c r="I5059" s="126"/>
      <c r="J5059" s="11"/>
      <c r="K5059" s="108"/>
      <c r="L5059" s="11"/>
      <c r="M5059" s="105"/>
      <c r="N5059" s="105"/>
      <c r="O5059" s="11"/>
      <c r="P5059" s="11"/>
      <c r="Q5059" s="105"/>
      <c r="R5059" s="105"/>
      <c r="S5059" s="105"/>
      <c r="T5059" s="105"/>
      <c r="U5059" s="105"/>
      <c r="V5059" s="105"/>
      <c r="W5059" s="105"/>
      <c r="X5059" s="11"/>
      <c r="Y5059" s="11"/>
      <c r="Z5059" s="105"/>
      <c r="AA5059" s="11"/>
      <c r="AB5059" s="11"/>
      <c r="AC5059" s="105"/>
      <c r="AD5059" s="11" t="b">
        <v>0</v>
      </c>
      <c r="AE5059" s="105"/>
      <c r="AF5059" s="11"/>
      <c r="AG5059" s="11"/>
      <c r="AH5059" s="11"/>
      <c r="AI5059" s="11"/>
    </row>
    <row r="5060" ht="12.5" spans="3:35">
      <c r="C5060" s="19"/>
      <c r="D5060" s="19"/>
      <c r="H5060" s="105"/>
      <c r="I5060" s="126"/>
      <c r="J5060" s="11"/>
      <c r="K5060" s="108"/>
      <c r="L5060" s="11"/>
      <c r="M5060" s="105"/>
      <c r="N5060" s="105"/>
      <c r="O5060" s="11"/>
      <c r="P5060" s="11"/>
      <c r="Q5060" s="105"/>
      <c r="R5060" s="105"/>
      <c r="S5060" s="105"/>
      <c r="T5060" s="105"/>
      <c r="U5060" s="105"/>
      <c r="V5060" s="105"/>
      <c r="W5060" s="105"/>
      <c r="X5060" s="11"/>
      <c r="Y5060" s="11"/>
      <c r="Z5060" s="105"/>
      <c r="AA5060" s="11"/>
      <c r="AB5060" s="11"/>
      <c r="AC5060" s="105"/>
      <c r="AD5060" s="11" t="b">
        <v>0</v>
      </c>
      <c r="AE5060" s="105"/>
      <c r="AF5060" s="11"/>
      <c r="AG5060" s="11"/>
      <c r="AH5060" s="11"/>
      <c r="AI5060" s="11"/>
    </row>
    <row r="5061" ht="12.5" spans="3:35">
      <c r="C5061" s="19"/>
      <c r="D5061" s="19"/>
      <c r="H5061" s="105"/>
      <c r="I5061" s="126"/>
      <c r="J5061" s="11"/>
      <c r="K5061" s="108"/>
      <c r="L5061" s="11"/>
      <c r="M5061" s="105"/>
      <c r="N5061" s="105"/>
      <c r="O5061" s="11"/>
      <c r="P5061" s="11"/>
      <c r="Q5061" s="105"/>
      <c r="R5061" s="105"/>
      <c r="S5061" s="105"/>
      <c r="T5061" s="105"/>
      <c r="U5061" s="105"/>
      <c r="V5061" s="105"/>
      <c r="W5061" s="105"/>
      <c r="X5061" s="11"/>
      <c r="Y5061" s="11"/>
      <c r="Z5061" s="105"/>
      <c r="AA5061" s="11"/>
      <c r="AB5061" s="11"/>
      <c r="AC5061" s="105"/>
      <c r="AD5061" s="11" t="b">
        <v>0</v>
      </c>
      <c r="AE5061" s="105"/>
      <c r="AF5061" s="11"/>
      <c r="AG5061" s="11"/>
      <c r="AH5061" s="11"/>
      <c r="AI5061" s="11"/>
    </row>
    <row r="5062" ht="12.5" spans="3:35">
      <c r="C5062" s="19"/>
      <c r="D5062" s="19"/>
      <c r="H5062" s="105"/>
      <c r="I5062" s="126"/>
      <c r="J5062" s="11"/>
      <c r="K5062" s="108"/>
      <c r="L5062" s="11"/>
      <c r="M5062" s="105"/>
      <c r="N5062" s="105"/>
      <c r="O5062" s="11"/>
      <c r="P5062" s="11"/>
      <c r="Q5062" s="105"/>
      <c r="R5062" s="105"/>
      <c r="S5062" s="105"/>
      <c r="T5062" s="105"/>
      <c r="U5062" s="105"/>
      <c r="V5062" s="105"/>
      <c r="W5062" s="105"/>
      <c r="X5062" s="11"/>
      <c r="Y5062" s="11"/>
      <c r="Z5062" s="105"/>
      <c r="AA5062" s="11"/>
      <c r="AB5062" s="11"/>
      <c r="AC5062" s="105"/>
      <c r="AD5062" s="11" t="b">
        <v>0</v>
      </c>
      <c r="AE5062" s="105"/>
      <c r="AF5062" s="11"/>
      <c r="AG5062" s="11"/>
      <c r="AH5062" s="11"/>
      <c r="AI5062" s="11"/>
    </row>
    <row r="5063" ht="12.5" spans="3:35">
      <c r="C5063" s="19"/>
      <c r="D5063" s="19"/>
      <c r="H5063" s="105"/>
      <c r="I5063" s="126"/>
      <c r="J5063" s="11"/>
      <c r="K5063" s="108"/>
      <c r="L5063" s="11"/>
      <c r="M5063" s="105"/>
      <c r="N5063" s="105"/>
      <c r="O5063" s="11"/>
      <c r="P5063" s="11"/>
      <c r="Q5063" s="105"/>
      <c r="R5063" s="105"/>
      <c r="S5063" s="105"/>
      <c r="T5063" s="105"/>
      <c r="U5063" s="105"/>
      <c r="V5063" s="105"/>
      <c r="W5063" s="105"/>
      <c r="X5063" s="11"/>
      <c r="Y5063" s="11"/>
      <c r="Z5063" s="105"/>
      <c r="AA5063" s="11"/>
      <c r="AB5063" s="11"/>
      <c r="AC5063" s="105"/>
      <c r="AD5063" s="11" t="b">
        <v>0</v>
      </c>
      <c r="AE5063" s="105"/>
      <c r="AF5063" s="11"/>
      <c r="AG5063" s="11"/>
      <c r="AH5063" s="11"/>
      <c r="AI5063" s="11"/>
    </row>
    <row r="5064" ht="12.5" spans="3:35">
      <c r="C5064" s="19"/>
      <c r="D5064" s="19"/>
      <c r="H5064" s="105"/>
      <c r="I5064" s="126"/>
      <c r="J5064" s="11"/>
      <c r="K5064" s="108"/>
      <c r="L5064" s="11"/>
      <c r="M5064" s="105"/>
      <c r="N5064" s="105"/>
      <c r="O5064" s="11"/>
      <c r="P5064" s="11"/>
      <c r="Q5064" s="105"/>
      <c r="R5064" s="105"/>
      <c r="S5064" s="105"/>
      <c r="T5064" s="105"/>
      <c r="U5064" s="105"/>
      <c r="V5064" s="105"/>
      <c r="W5064" s="105"/>
      <c r="X5064" s="11"/>
      <c r="Y5064" s="11"/>
      <c r="Z5064" s="105"/>
      <c r="AA5064" s="11"/>
      <c r="AB5064" s="11"/>
      <c r="AC5064" s="105"/>
      <c r="AD5064" s="11" t="b">
        <v>0</v>
      </c>
      <c r="AE5064" s="105"/>
      <c r="AF5064" s="11"/>
      <c r="AG5064" s="11"/>
      <c r="AH5064" s="11"/>
      <c r="AI5064" s="11"/>
    </row>
    <row r="5065" ht="12.5" spans="3:35">
      <c r="C5065" s="19"/>
      <c r="D5065" s="19"/>
      <c r="H5065" s="105"/>
      <c r="I5065" s="126"/>
      <c r="J5065" s="11"/>
      <c r="K5065" s="108"/>
      <c r="L5065" s="11"/>
      <c r="M5065" s="105"/>
      <c r="N5065" s="105"/>
      <c r="O5065" s="11"/>
      <c r="P5065" s="11"/>
      <c r="Q5065" s="105"/>
      <c r="R5065" s="105"/>
      <c r="S5065" s="105"/>
      <c r="T5065" s="105"/>
      <c r="U5065" s="105"/>
      <c r="V5065" s="105"/>
      <c r="W5065" s="105"/>
      <c r="X5065" s="11"/>
      <c r="Y5065" s="11"/>
      <c r="Z5065" s="105"/>
      <c r="AA5065" s="11"/>
      <c r="AB5065" s="11"/>
      <c r="AC5065" s="105"/>
      <c r="AD5065" s="11" t="b">
        <v>0</v>
      </c>
      <c r="AE5065" s="105"/>
      <c r="AF5065" s="11"/>
      <c r="AG5065" s="11"/>
      <c r="AH5065" s="11"/>
      <c r="AI5065" s="11"/>
    </row>
    <row r="5066" ht="12.5" spans="3:35">
      <c r="C5066" s="19"/>
      <c r="D5066" s="19"/>
      <c r="H5066" s="105"/>
      <c r="I5066" s="126"/>
      <c r="J5066" s="11"/>
      <c r="K5066" s="108"/>
      <c r="L5066" s="11"/>
      <c r="M5066" s="105"/>
      <c r="N5066" s="105"/>
      <c r="O5066" s="11"/>
      <c r="P5066" s="11"/>
      <c r="Q5066" s="105"/>
      <c r="R5066" s="105"/>
      <c r="S5066" s="105"/>
      <c r="T5066" s="105"/>
      <c r="U5066" s="105"/>
      <c r="V5066" s="105"/>
      <c r="W5066" s="105"/>
      <c r="X5066" s="11"/>
      <c r="Y5066" s="11"/>
      <c r="Z5066" s="105"/>
      <c r="AA5066" s="11"/>
      <c r="AB5066" s="11"/>
      <c r="AC5066" s="105"/>
      <c r="AD5066" s="11" t="b">
        <v>0</v>
      </c>
      <c r="AE5066" s="105"/>
      <c r="AF5066" s="11"/>
      <c r="AG5066" s="11"/>
      <c r="AH5066" s="11"/>
      <c r="AI5066" s="11"/>
    </row>
    <row r="5067" ht="12.5" spans="3:35">
      <c r="C5067" s="19"/>
      <c r="D5067" s="19"/>
      <c r="H5067" s="105"/>
      <c r="I5067" s="126"/>
      <c r="J5067" s="11"/>
      <c r="K5067" s="108"/>
      <c r="L5067" s="11"/>
      <c r="M5067" s="105"/>
      <c r="N5067" s="105"/>
      <c r="O5067" s="11"/>
      <c r="P5067" s="11"/>
      <c r="Q5067" s="105"/>
      <c r="R5067" s="105"/>
      <c r="S5067" s="105"/>
      <c r="T5067" s="105"/>
      <c r="U5067" s="105"/>
      <c r="V5067" s="105"/>
      <c r="W5067" s="105"/>
      <c r="X5067" s="11"/>
      <c r="Y5067" s="11"/>
      <c r="Z5067" s="105"/>
      <c r="AA5067" s="11"/>
      <c r="AB5067" s="11"/>
      <c r="AC5067" s="105"/>
      <c r="AD5067" s="11" t="b">
        <v>0</v>
      </c>
      <c r="AE5067" s="105"/>
      <c r="AF5067" s="11"/>
      <c r="AG5067" s="11"/>
      <c r="AH5067" s="11"/>
      <c r="AI5067" s="11"/>
    </row>
    <row r="5068" ht="12.5" spans="3:35">
      <c r="C5068" s="19"/>
      <c r="D5068" s="19"/>
      <c r="H5068" s="105"/>
      <c r="I5068" s="126"/>
      <c r="J5068" s="11"/>
      <c r="K5068" s="108"/>
      <c r="L5068" s="11"/>
      <c r="M5068" s="105"/>
      <c r="N5068" s="105"/>
      <c r="O5068" s="11"/>
      <c r="P5068" s="11"/>
      <c r="Q5068" s="105"/>
      <c r="R5068" s="105"/>
      <c r="S5068" s="105"/>
      <c r="T5068" s="105"/>
      <c r="U5068" s="105"/>
      <c r="V5068" s="105"/>
      <c r="W5068" s="105"/>
      <c r="X5068" s="11"/>
      <c r="Y5068" s="11"/>
      <c r="Z5068" s="105"/>
      <c r="AA5068" s="11"/>
      <c r="AB5068" s="11"/>
      <c r="AC5068" s="105"/>
      <c r="AD5068" s="11" t="b">
        <v>0</v>
      </c>
      <c r="AE5068" s="105"/>
      <c r="AF5068" s="11"/>
      <c r="AG5068" s="11"/>
      <c r="AH5068" s="11"/>
      <c r="AI5068" s="11"/>
    </row>
    <row r="5069" ht="12.5" spans="3:35">
      <c r="C5069" s="19"/>
      <c r="D5069" s="19"/>
      <c r="H5069" s="105"/>
      <c r="I5069" s="126"/>
      <c r="J5069" s="11"/>
      <c r="K5069" s="108"/>
      <c r="L5069" s="11"/>
      <c r="M5069" s="105"/>
      <c r="N5069" s="105"/>
      <c r="O5069" s="11"/>
      <c r="P5069" s="11"/>
      <c r="Q5069" s="105"/>
      <c r="R5069" s="105"/>
      <c r="S5069" s="105"/>
      <c r="T5069" s="105"/>
      <c r="U5069" s="105"/>
      <c r="V5069" s="105"/>
      <c r="W5069" s="105"/>
      <c r="X5069" s="11"/>
      <c r="Y5069" s="11"/>
      <c r="Z5069" s="105"/>
      <c r="AA5069" s="11"/>
      <c r="AB5069" s="11"/>
      <c r="AC5069" s="105"/>
      <c r="AD5069" s="11" t="b">
        <v>0</v>
      </c>
      <c r="AE5069" s="105"/>
      <c r="AF5069" s="11"/>
      <c r="AG5069" s="11"/>
      <c r="AH5069" s="11"/>
      <c r="AI5069" s="11"/>
    </row>
    <row r="5070" ht="12.5" spans="3:35">
      <c r="C5070" s="19"/>
      <c r="D5070" s="19"/>
      <c r="H5070" s="105"/>
      <c r="I5070" s="126"/>
      <c r="J5070" s="11"/>
      <c r="K5070" s="108"/>
      <c r="L5070" s="11"/>
      <c r="M5070" s="105"/>
      <c r="N5070" s="105"/>
      <c r="O5070" s="11"/>
      <c r="P5070" s="11"/>
      <c r="Q5070" s="105"/>
      <c r="R5070" s="105"/>
      <c r="S5070" s="105"/>
      <c r="T5070" s="105"/>
      <c r="U5070" s="105"/>
      <c r="V5070" s="105"/>
      <c r="W5070" s="105"/>
      <c r="X5070" s="11"/>
      <c r="Y5070" s="11"/>
      <c r="Z5070" s="105"/>
      <c r="AA5070" s="11"/>
      <c r="AB5070" s="11"/>
      <c r="AC5070" s="105"/>
      <c r="AD5070" s="11" t="b">
        <v>0</v>
      </c>
      <c r="AE5070" s="105"/>
      <c r="AF5070" s="11"/>
      <c r="AG5070" s="11"/>
      <c r="AH5070" s="11"/>
      <c r="AI5070" s="11"/>
    </row>
    <row r="5071" ht="12.5" spans="3:35">
      <c r="C5071" s="19"/>
      <c r="D5071" s="19"/>
      <c r="H5071" s="105"/>
      <c r="I5071" s="126"/>
      <c r="J5071" s="11"/>
      <c r="K5071" s="108"/>
      <c r="L5071" s="11"/>
      <c r="M5071" s="105"/>
      <c r="N5071" s="105"/>
      <c r="O5071" s="11"/>
      <c r="P5071" s="11"/>
      <c r="Q5071" s="105"/>
      <c r="R5071" s="105"/>
      <c r="S5071" s="105"/>
      <c r="T5071" s="105"/>
      <c r="U5071" s="105"/>
      <c r="V5071" s="105"/>
      <c r="W5071" s="105"/>
      <c r="X5071" s="11"/>
      <c r="Y5071" s="11"/>
      <c r="Z5071" s="105"/>
      <c r="AA5071" s="11"/>
      <c r="AB5071" s="11"/>
      <c r="AC5071" s="105"/>
      <c r="AD5071" s="11" t="b">
        <v>0</v>
      </c>
      <c r="AE5071" s="105"/>
      <c r="AF5071" s="11"/>
      <c r="AG5071" s="11"/>
      <c r="AH5071" s="11"/>
      <c r="AI5071" s="11"/>
    </row>
    <row r="5072" ht="12.5" spans="3:35">
      <c r="C5072" s="19"/>
      <c r="D5072" s="19"/>
      <c r="H5072" s="105"/>
      <c r="I5072" s="126"/>
      <c r="J5072" s="11"/>
      <c r="K5072" s="108"/>
      <c r="L5072" s="11"/>
      <c r="M5072" s="105"/>
      <c r="N5072" s="105"/>
      <c r="O5072" s="11"/>
      <c r="P5072" s="11"/>
      <c r="Q5072" s="105"/>
      <c r="R5072" s="105"/>
      <c r="S5072" s="105"/>
      <c r="T5072" s="105"/>
      <c r="U5072" s="105"/>
      <c r="V5072" s="105"/>
      <c r="W5072" s="105"/>
      <c r="X5072" s="11"/>
      <c r="Y5072" s="11"/>
      <c r="Z5072" s="105"/>
      <c r="AA5072" s="11"/>
      <c r="AB5072" s="11"/>
      <c r="AC5072" s="105"/>
      <c r="AD5072" s="11" t="b">
        <v>0</v>
      </c>
      <c r="AE5072" s="105"/>
      <c r="AF5072" s="11"/>
      <c r="AG5072" s="11"/>
      <c r="AH5072" s="11"/>
      <c r="AI5072" s="11"/>
    </row>
    <row r="5073" ht="12.5" spans="3:35">
      <c r="C5073" s="19"/>
      <c r="D5073" s="19"/>
      <c r="H5073" s="105"/>
      <c r="I5073" s="126"/>
      <c r="J5073" s="11"/>
      <c r="K5073" s="108"/>
      <c r="L5073" s="11"/>
      <c r="M5073" s="105"/>
      <c r="N5073" s="105"/>
      <c r="O5073" s="11"/>
      <c r="P5073" s="11"/>
      <c r="Q5073" s="105"/>
      <c r="R5073" s="105"/>
      <c r="S5073" s="105"/>
      <c r="T5073" s="105"/>
      <c r="U5073" s="105"/>
      <c r="V5073" s="105"/>
      <c r="W5073" s="105"/>
      <c r="X5073" s="11"/>
      <c r="Y5073" s="11"/>
      <c r="Z5073" s="105"/>
      <c r="AA5073" s="11"/>
      <c r="AB5073" s="11"/>
      <c r="AC5073" s="105"/>
      <c r="AD5073" s="11" t="b">
        <v>0</v>
      </c>
      <c r="AE5073" s="105"/>
      <c r="AF5073" s="11"/>
      <c r="AG5073" s="11"/>
      <c r="AH5073" s="11"/>
      <c r="AI5073" s="11"/>
    </row>
    <row r="5074" ht="12.5" spans="3:35">
      <c r="C5074" s="19"/>
      <c r="D5074" s="19"/>
      <c r="H5074" s="105"/>
      <c r="I5074" s="126"/>
      <c r="J5074" s="11"/>
      <c r="K5074" s="108"/>
      <c r="L5074" s="11"/>
      <c r="M5074" s="105"/>
      <c r="N5074" s="105"/>
      <c r="O5074" s="11"/>
      <c r="P5074" s="11"/>
      <c r="Q5074" s="105"/>
      <c r="R5074" s="105"/>
      <c r="S5074" s="105"/>
      <c r="T5074" s="105"/>
      <c r="U5074" s="105"/>
      <c r="V5074" s="105"/>
      <c r="W5074" s="105"/>
      <c r="X5074" s="11"/>
      <c r="Y5074" s="11"/>
      <c r="Z5074" s="105"/>
      <c r="AA5074" s="11"/>
      <c r="AB5074" s="11"/>
      <c r="AC5074" s="105"/>
      <c r="AD5074" s="11" t="b">
        <v>0</v>
      </c>
      <c r="AE5074" s="105"/>
      <c r="AF5074" s="11"/>
      <c r="AG5074" s="11"/>
      <c r="AH5074" s="11"/>
      <c r="AI5074" s="11"/>
    </row>
    <row r="5075" ht="12.5" spans="3:35">
      <c r="C5075" s="19"/>
      <c r="D5075" s="19"/>
      <c r="H5075" s="105"/>
      <c r="I5075" s="126"/>
      <c r="J5075" s="11"/>
      <c r="K5075" s="108"/>
      <c r="L5075" s="11"/>
      <c r="M5075" s="105"/>
      <c r="N5075" s="105"/>
      <c r="O5075" s="11"/>
      <c r="P5075" s="11"/>
      <c r="Q5075" s="105"/>
      <c r="R5075" s="105"/>
      <c r="S5075" s="105"/>
      <c r="T5075" s="105"/>
      <c r="U5075" s="105"/>
      <c r="V5075" s="105"/>
      <c r="W5075" s="105"/>
      <c r="X5075" s="11"/>
      <c r="Y5075" s="11"/>
      <c r="Z5075" s="105"/>
      <c r="AA5075" s="11"/>
      <c r="AB5075" s="11"/>
      <c r="AC5075" s="105"/>
      <c r="AD5075" s="11" t="b">
        <v>0</v>
      </c>
      <c r="AE5075" s="105"/>
      <c r="AF5075" s="11"/>
      <c r="AG5075" s="11"/>
      <c r="AH5075" s="11"/>
      <c r="AI5075" s="11"/>
    </row>
    <row r="5076" ht="12.5" spans="3:35">
      <c r="C5076" s="19"/>
      <c r="D5076" s="19"/>
      <c r="H5076" s="105"/>
      <c r="I5076" s="126"/>
      <c r="J5076" s="11"/>
      <c r="K5076" s="108"/>
      <c r="L5076" s="11"/>
      <c r="M5076" s="105"/>
      <c r="N5076" s="105"/>
      <c r="O5076" s="11"/>
      <c r="P5076" s="11"/>
      <c r="Q5076" s="105"/>
      <c r="R5076" s="105"/>
      <c r="S5076" s="105"/>
      <c r="T5076" s="105"/>
      <c r="U5076" s="105"/>
      <c r="V5076" s="105"/>
      <c r="W5076" s="105"/>
      <c r="X5076" s="11"/>
      <c r="Y5076" s="11"/>
      <c r="Z5076" s="105"/>
      <c r="AA5076" s="11"/>
      <c r="AB5076" s="11"/>
      <c r="AC5076" s="105"/>
      <c r="AD5076" s="11" t="b">
        <v>0</v>
      </c>
      <c r="AE5076" s="105"/>
      <c r="AF5076" s="11"/>
      <c r="AG5076" s="11"/>
      <c r="AH5076" s="11"/>
      <c r="AI5076" s="11"/>
    </row>
    <row r="5077" ht="12.5" spans="3:35">
      <c r="C5077" s="19"/>
      <c r="D5077" s="19"/>
      <c r="H5077" s="105"/>
      <c r="I5077" s="126"/>
      <c r="J5077" s="11"/>
      <c r="K5077" s="108"/>
      <c r="L5077" s="11"/>
      <c r="M5077" s="105"/>
      <c r="N5077" s="105"/>
      <c r="O5077" s="11"/>
      <c r="P5077" s="11"/>
      <c r="Q5077" s="105"/>
      <c r="R5077" s="105"/>
      <c r="S5077" s="105"/>
      <c r="T5077" s="105"/>
      <c r="U5077" s="105"/>
      <c r="V5077" s="105"/>
      <c r="W5077" s="105"/>
      <c r="X5077" s="11"/>
      <c r="Y5077" s="11"/>
      <c r="Z5077" s="105"/>
      <c r="AA5077" s="11"/>
      <c r="AB5077" s="11"/>
      <c r="AC5077" s="105"/>
      <c r="AD5077" s="11" t="b">
        <v>0</v>
      </c>
      <c r="AE5077" s="105"/>
      <c r="AF5077" s="11"/>
      <c r="AG5077" s="11"/>
      <c r="AH5077" s="11"/>
      <c r="AI5077" s="11"/>
    </row>
    <row r="5078" ht="12.5" spans="3:35">
      <c r="C5078" s="19"/>
      <c r="D5078" s="19"/>
      <c r="H5078" s="105"/>
      <c r="I5078" s="126"/>
      <c r="J5078" s="11"/>
      <c r="K5078" s="108"/>
      <c r="L5078" s="11"/>
      <c r="M5078" s="105"/>
      <c r="N5078" s="105"/>
      <c r="O5078" s="11"/>
      <c r="P5078" s="11"/>
      <c r="Q5078" s="105"/>
      <c r="R5078" s="105"/>
      <c r="S5078" s="105"/>
      <c r="T5078" s="105"/>
      <c r="U5078" s="105"/>
      <c r="V5078" s="105"/>
      <c r="W5078" s="105"/>
      <c r="X5078" s="11"/>
      <c r="Y5078" s="11"/>
      <c r="Z5078" s="105"/>
      <c r="AA5078" s="11"/>
      <c r="AB5078" s="11"/>
      <c r="AC5078" s="105"/>
      <c r="AD5078" s="11" t="b">
        <v>0</v>
      </c>
      <c r="AE5078" s="105"/>
      <c r="AF5078" s="11"/>
      <c r="AG5078" s="11"/>
      <c r="AH5078" s="11"/>
      <c r="AI5078" s="11"/>
    </row>
    <row r="5079" ht="12.5" spans="3:35">
      <c r="C5079" s="19"/>
      <c r="D5079" s="19"/>
      <c r="H5079" s="105"/>
      <c r="I5079" s="126"/>
      <c r="J5079" s="11"/>
      <c r="K5079" s="108"/>
      <c r="L5079" s="11"/>
      <c r="M5079" s="105"/>
      <c r="N5079" s="105"/>
      <c r="O5079" s="11"/>
      <c r="P5079" s="11"/>
      <c r="Q5079" s="105"/>
      <c r="R5079" s="105"/>
      <c r="S5079" s="105"/>
      <c r="T5079" s="105"/>
      <c r="U5079" s="105"/>
      <c r="V5079" s="105"/>
      <c r="W5079" s="105"/>
      <c r="X5079" s="11"/>
      <c r="Y5079" s="11"/>
      <c r="Z5079" s="105"/>
      <c r="AA5079" s="11"/>
      <c r="AB5079" s="11"/>
      <c r="AC5079" s="105"/>
      <c r="AD5079" s="11" t="b">
        <v>0</v>
      </c>
      <c r="AE5079" s="105"/>
      <c r="AF5079" s="11"/>
      <c r="AG5079" s="11"/>
      <c r="AH5079" s="11"/>
      <c r="AI5079" s="11"/>
    </row>
    <row r="5080" ht="12.5" spans="3:35">
      <c r="C5080" s="19"/>
      <c r="D5080" s="19"/>
      <c r="H5080" s="105"/>
      <c r="I5080" s="126"/>
      <c r="J5080" s="11"/>
      <c r="K5080" s="108"/>
      <c r="L5080" s="11"/>
      <c r="M5080" s="105"/>
      <c r="N5080" s="105"/>
      <c r="O5080" s="11"/>
      <c r="P5080" s="11"/>
      <c r="Q5080" s="105"/>
      <c r="R5080" s="105"/>
      <c r="S5080" s="105"/>
      <c r="T5080" s="105"/>
      <c r="U5080" s="105"/>
      <c r="V5080" s="105"/>
      <c r="W5080" s="105"/>
      <c r="X5080" s="11"/>
      <c r="Y5080" s="11"/>
      <c r="Z5080" s="105"/>
      <c r="AA5080" s="11"/>
      <c r="AB5080" s="11"/>
      <c r="AC5080" s="105"/>
      <c r="AD5080" s="11" t="b">
        <v>0</v>
      </c>
      <c r="AE5080" s="105"/>
      <c r="AF5080" s="11"/>
      <c r="AG5080" s="11"/>
      <c r="AH5080" s="11"/>
      <c r="AI5080" s="11"/>
    </row>
    <row r="5081" ht="12.5" spans="3:35">
      <c r="C5081" s="19"/>
      <c r="D5081" s="19"/>
      <c r="H5081" s="105"/>
      <c r="I5081" s="126"/>
      <c r="J5081" s="11"/>
      <c r="K5081" s="108"/>
      <c r="L5081" s="11"/>
      <c r="M5081" s="105"/>
      <c r="N5081" s="105"/>
      <c r="O5081" s="11"/>
      <c r="P5081" s="11"/>
      <c r="Q5081" s="105"/>
      <c r="R5081" s="105"/>
      <c r="S5081" s="105"/>
      <c r="T5081" s="105"/>
      <c r="U5081" s="105"/>
      <c r="V5081" s="105"/>
      <c r="W5081" s="105"/>
      <c r="X5081" s="11"/>
      <c r="Y5081" s="11"/>
      <c r="Z5081" s="105"/>
      <c r="AA5081" s="11"/>
      <c r="AB5081" s="11"/>
      <c r="AC5081" s="105"/>
      <c r="AD5081" s="11" t="b">
        <v>0</v>
      </c>
      <c r="AE5081" s="105"/>
      <c r="AF5081" s="11"/>
      <c r="AG5081" s="11"/>
      <c r="AH5081" s="11"/>
      <c r="AI5081" s="11"/>
    </row>
    <row r="5082" ht="12.5" spans="3:35">
      <c r="C5082" s="19"/>
      <c r="D5082" s="19"/>
      <c r="H5082" s="105"/>
      <c r="I5082" s="126"/>
      <c r="J5082" s="11"/>
      <c r="K5082" s="108"/>
      <c r="L5082" s="11"/>
      <c r="M5082" s="105"/>
      <c r="N5082" s="105"/>
      <c r="O5082" s="11"/>
      <c r="P5082" s="11"/>
      <c r="Q5082" s="105"/>
      <c r="R5082" s="105"/>
      <c r="S5082" s="105"/>
      <c r="T5082" s="105"/>
      <c r="U5082" s="105"/>
      <c r="V5082" s="105"/>
      <c r="W5082" s="105"/>
      <c r="X5082" s="11"/>
      <c r="Y5082" s="11"/>
      <c r="Z5082" s="105"/>
      <c r="AA5082" s="11"/>
      <c r="AB5082" s="11"/>
      <c r="AC5082" s="105"/>
      <c r="AD5082" s="11" t="b">
        <v>0</v>
      </c>
      <c r="AE5082" s="105"/>
      <c r="AF5082" s="11"/>
      <c r="AG5082" s="11"/>
      <c r="AH5082" s="11"/>
      <c r="AI5082" s="11"/>
    </row>
    <row r="5083" ht="12.5" spans="3:35">
      <c r="C5083" s="19"/>
      <c r="D5083" s="19"/>
      <c r="H5083" s="105"/>
      <c r="I5083" s="126"/>
      <c r="J5083" s="11"/>
      <c r="K5083" s="108"/>
      <c r="L5083" s="11"/>
      <c r="M5083" s="105"/>
      <c r="N5083" s="105"/>
      <c r="O5083" s="11"/>
      <c r="P5083" s="11"/>
      <c r="Q5083" s="105"/>
      <c r="R5083" s="105"/>
      <c r="S5083" s="105"/>
      <c r="T5083" s="105"/>
      <c r="U5083" s="105"/>
      <c r="V5083" s="105"/>
      <c r="W5083" s="105"/>
      <c r="X5083" s="11"/>
      <c r="Y5083" s="11"/>
      <c r="Z5083" s="105"/>
      <c r="AA5083" s="11"/>
      <c r="AB5083" s="11"/>
      <c r="AC5083" s="105"/>
      <c r="AD5083" s="11" t="b">
        <v>0</v>
      </c>
      <c r="AE5083" s="105"/>
      <c r="AF5083" s="11"/>
      <c r="AG5083" s="11"/>
      <c r="AH5083" s="11"/>
      <c r="AI5083" s="11"/>
    </row>
    <row r="5084" ht="12.5" spans="3:35">
      <c r="C5084" s="19"/>
      <c r="D5084" s="19"/>
      <c r="H5084" s="105"/>
      <c r="I5084" s="126"/>
      <c r="J5084" s="11"/>
      <c r="K5084" s="108"/>
      <c r="L5084" s="11"/>
      <c r="M5084" s="105"/>
      <c r="N5084" s="105"/>
      <c r="O5084" s="11"/>
      <c r="P5084" s="11"/>
      <c r="Q5084" s="105"/>
      <c r="R5084" s="105"/>
      <c r="S5084" s="105"/>
      <c r="T5084" s="105"/>
      <c r="U5084" s="105"/>
      <c r="V5084" s="105"/>
      <c r="W5084" s="105"/>
      <c r="X5084" s="11"/>
      <c r="Y5084" s="11"/>
      <c r="Z5084" s="105"/>
      <c r="AA5084" s="11"/>
      <c r="AB5084" s="11"/>
      <c r="AC5084" s="105"/>
      <c r="AD5084" s="11" t="b">
        <v>0</v>
      </c>
      <c r="AE5084" s="105"/>
      <c r="AF5084" s="11"/>
      <c r="AG5084" s="11"/>
      <c r="AH5084" s="11"/>
      <c r="AI5084" s="11"/>
    </row>
    <row r="5085" ht="12.5" spans="3:35">
      <c r="C5085" s="19"/>
      <c r="D5085" s="19"/>
      <c r="H5085" s="105"/>
      <c r="I5085" s="126"/>
      <c r="J5085" s="11"/>
      <c r="K5085" s="108"/>
      <c r="L5085" s="11"/>
      <c r="M5085" s="105"/>
      <c r="N5085" s="105"/>
      <c r="O5085" s="11"/>
      <c r="P5085" s="11"/>
      <c r="Q5085" s="105"/>
      <c r="R5085" s="105"/>
      <c r="S5085" s="105"/>
      <c r="T5085" s="105"/>
      <c r="U5085" s="105"/>
      <c r="V5085" s="105"/>
      <c r="W5085" s="105"/>
      <c r="X5085" s="11"/>
      <c r="Y5085" s="11"/>
      <c r="Z5085" s="105"/>
      <c r="AA5085" s="11"/>
      <c r="AB5085" s="11"/>
      <c r="AC5085" s="105"/>
      <c r="AD5085" s="11" t="b">
        <v>0</v>
      </c>
      <c r="AE5085" s="105"/>
      <c r="AF5085" s="11"/>
      <c r="AG5085" s="11"/>
      <c r="AH5085" s="11"/>
      <c r="AI5085" s="11"/>
    </row>
    <row r="5086" ht="12.5" spans="3:35">
      <c r="C5086" s="19"/>
      <c r="D5086" s="19"/>
      <c r="H5086" s="105"/>
      <c r="I5086" s="126"/>
      <c r="J5086" s="11"/>
      <c r="K5086" s="108"/>
      <c r="L5086" s="11"/>
      <c r="M5086" s="105"/>
      <c r="N5086" s="105"/>
      <c r="O5086" s="11"/>
      <c r="P5086" s="11"/>
      <c r="Q5086" s="105"/>
      <c r="R5086" s="105"/>
      <c r="S5086" s="105"/>
      <c r="T5086" s="105"/>
      <c r="U5086" s="105"/>
      <c r="V5086" s="105"/>
      <c r="W5086" s="105"/>
      <c r="X5086" s="11"/>
      <c r="Y5086" s="11"/>
      <c r="Z5086" s="105"/>
      <c r="AA5086" s="11"/>
      <c r="AB5086" s="11"/>
      <c r="AC5086" s="105"/>
      <c r="AD5086" s="11" t="b">
        <v>0</v>
      </c>
      <c r="AE5086" s="105"/>
      <c r="AF5086" s="11"/>
      <c r="AG5086" s="11"/>
      <c r="AH5086" s="11"/>
      <c r="AI5086" s="11"/>
    </row>
    <row r="5087" ht="12.5" spans="3:35">
      <c r="C5087" s="19"/>
      <c r="D5087" s="19"/>
      <c r="H5087" s="105"/>
      <c r="I5087" s="126"/>
      <c r="J5087" s="11"/>
      <c r="K5087" s="108"/>
      <c r="L5087" s="11"/>
      <c r="M5087" s="105"/>
      <c r="N5087" s="105"/>
      <c r="O5087" s="11"/>
      <c r="P5087" s="11"/>
      <c r="Q5087" s="105"/>
      <c r="R5087" s="105"/>
      <c r="S5087" s="105"/>
      <c r="T5087" s="105"/>
      <c r="U5087" s="105"/>
      <c r="V5087" s="105"/>
      <c r="W5087" s="105"/>
      <c r="X5087" s="11"/>
      <c r="Y5087" s="11"/>
      <c r="Z5087" s="105"/>
      <c r="AA5087" s="11"/>
      <c r="AB5087" s="11"/>
      <c r="AC5087" s="105"/>
      <c r="AD5087" s="11" t="b">
        <v>0</v>
      </c>
      <c r="AE5087" s="105"/>
      <c r="AF5087" s="11"/>
      <c r="AG5087" s="11"/>
      <c r="AH5087" s="11"/>
      <c r="AI5087" s="11"/>
    </row>
    <row r="5088" ht="12.5" spans="3:35">
      <c r="C5088" s="19"/>
      <c r="D5088" s="19"/>
      <c r="H5088" s="105"/>
      <c r="I5088" s="126"/>
      <c r="J5088" s="11"/>
      <c r="K5088" s="108"/>
      <c r="L5088" s="11"/>
      <c r="M5088" s="105"/>
      <c r="N5088" s="105"/>
      <c r="O5088" s="11"/>
      <c r="P5088" s="11"/>
      <c r="Q5088" s="105"/>
      <c r="R5088" s="105"/>
      <c r="S5088" s="105"/>
      <c r="T5088" s="105"/>
      <c r="U5088" s="105"/>
      <c r="V5088" s="105"/>
      <c r="W5088" s="105"/>
      <c r="X5088" s="11"/>
      <c r="Y5088" s="11"/>
      <c r="Z5088" s="105"/>
      <c r="AA5088" s="11"/>
      <c r="AB5088" s="11"/>
      <c r="AC5088" s="105"/>
      <c r="AD5088" s="11" t="b">
        <v>0</v>
      </c>
      <c r="AE5088" s="105"/>
      <c r="AF5088" s="11"/>
      <c r="AG5088" s="11"/>
      <c r="AH5088" s="11"/>
      <c r="AI5088" s="11"/>
    </row>
    <row r="5089" ht="12.5" spans="3:35">
      <c r="C5089" s="19"/>
      <c r="D5089" s="19"/>
      <c r="H5089" s="105"/>
      <c r="I5089" s="126"/>
      <c r="J5089" s="11"/>
      <c r="K5089" s="108"/>
      <c r="L5089" s="11"/>
      <c r="M5089" s="105"/>
      <c r="N5089" s="105"/>
      <c r="O5089" s="11"/>
      <c r="P5089" s="11"/>
      <c r="Q5089" s="105"/>
      <c r="R5089" s="105"/>
      <c r="S5089" s="105"/>
      <c r="T5089" s="105"/>
      <c r="U5089" s="105"/>
      <c r="V5089" s="105"/>
      <c r="W5089" s="105"/>
      <c r="X5089" s="11"/>
      <c r="Y5089" s="11"/>
      <c r="Z5089" s="105"/>
      <c r="AA5089" s="11"/>
      <c r="AB5089" s="11"/>
      <c r="AC5089" s="105"/>
      <c r="AD5089" s="11" t="b">
        <v>0</v>
      </c>
      <c r="AE5089" s="105"/>
      <c r="AF5089" s="11"/>
      <c r="AG5089" s="11"/>
      <c r="AH5089" s="11"/>
      <c r="AI5089" s="11"/>
    </row>
    <row r="5090" ht="12.5" spans="3:35">
      <c r="C5090" s="19"/>
      <c r="D5090" s="19"/>
      <c r="H5090" s="105"/>
      <c r="I5090" s="126"/>
      <c r="J5090" s="11"/>
      <c r="K5090" s="108"/>
      <c r="L5090" s="11"/>
      <c r="M5090" s="105"/>
      <c r="N5090" s="105"/>
      <c r="O5090" s="11"/>
      <c r="P5090" s="11"/>
      <c r="Q5090" s="105"/>
      <c r="R5090" s="105"/>
      <c r="S5090" s="105"/>
      <c r="T5090" s="105"/>
      <c r="U5090" s="105"/>
      <c r="V5090" s="105"/>
      <c r="W5090" s="105"/>
      <c r="X5090" s="11"/>
      <c r="Y5090" s="11"/>
      <c r="Z5090" s="105"/>
      <c r="AA5090" s="11"/>
      <c r="AB5090" s="11"/>
      <c r="AC5090" s="105"/>
      <c r="AD5090" s="11" t="b">
        <v>0</v>
      </c>
      <c r="AE5090" s="105"/>
      <c r="AF5090" s="11"/>
      <c r="AG5090" s="11"/>
      <c r="AH5090" s="11"/>
      <c r="AI5090" s="11"/>
    </row>
    <row r="5091" ht="12.5" spans="3:35">
      <c r="C5091" s="19"/>
      <c r="D5091" s="19"/>
      <c r="H5091" s="105"/>
      <c r="I5091" s="126"/>
      <c r="J5091" s="11"/>
      <c r="K5091" s="108"/>
      <c r="L5091" s="11"/>
      <c r="M5091" s="105"/>
      <c r="N5091" s="105"/>
      <c r="O5091" s="11"/>
      <c r="P5091" s="11"/>
      <c r="Q5091" s="105"/>
      <c r="R5091" s="105"/>
      <c r="S5091" s="105"/>
      <c r="T5091" s="105"/>
      <c r="U5091" s="105"/>
      <c r="V5091" s="105"/>
      <c r="W5091" s="105"/>
      <c r="X5091" s="11"/>
      <c r="Y5091" s="11"/>
      <c r="Z5091" s="105"/>
      <c r="AA5091" s="11"/>
      <c r="AB5091" s="11"/>
      <c r="AC5091" s="105"/>
      <c r="AD5091" s="11" t="b">
        <v>0</v>
      </c>
      <c r="AE5091" s="105"/>
      <c r="AF5091" s="11"/>
      <c r="AG5091" s="11"/>
      <c r="AH5091" s="11"/>
      <c r="AI5091" s="11"/>
    </row>
    <row r="5092" ht="12.5" spans="3:35">
      <c r="C5092" s="19"/>
      <c r="D5092" s="19"/>
      <c r="H5092" s="105"/>
      <c r="I5092" s="126"/>
      <c r="J5092" s="11"/>
      <c r="K5092" s="108"/>
      <c r="L5092" s="11"/>
      <c r="M5092" s="105"/>
      <c r="N5092" s="105"/>
      <c r="O5092" s="11"/>
      <c r="P5092" s="11"/>
      <c r="Q5092" s="105"/>
      <c r="R5092" s="105"/>
      <c r="S5092" s="105"/>
      <c r="T5092" s="105"/>
      <c r="U5092" s="105"/>
      <c r="V5092" s="105"/>
      <c r="W5092" s="105"/>
      <c r="X5092" s="11"/>
      <c r="Y5092" s="11"/>
      <c r="Z5092" s="105"/>
      <c r="AA5092" s="11"/>
      <c r="AB5092" s="11"/>
      <c r="AC5092" s="105"/>
      <c r="AD5092" s="11" t="b">
        <v>0</v>
      </c>
      <c r="AE5092" s="105"/>
      <c r="AF5092" s="11"/>
      <c r="AG5092" s="11"/>
      <c r="AH5092" s="11"/>
      <c r="AI5092" s="11"/>
    </row>
    <row r="5093" ht="12.5" spans="3:35">
      <c r="C5093" s="19"/>
      <c r="D5093" s="19"/>
      <c r="H5093" s="105"/>
      <c r="I5093" s="126"/>
      <c r="J5093" s="11"/>
      <c r="K5093" s="108"/>
      <c r="L5093" s="11"/>
      <c r="M5093" s="105"/>
      <c r="N5093" s="105"/>
      <c r="O5093" s="11"/>
      <c r="P5093" s="11"/>
      <c r="Q5093" s="105"/>
      <c r="R5093" s="105"/>
      <c r="S5093" s="105"/>
      <c r="T5093" s="105"/>
      <c r="U5093" s="105"/>
      <c r="V5093" s="105"/>
      <c r="W5093" s="105"/>
      <c r="X5093" s="11"/>
      <c r="Y5093" s="11"/>
      <c r="Z5093" s="105"/>
      <c r="AA5093" s="11"/>
      <c r="AB5093" s="11"/>
      <c r="AC5093" s="105"/>
      <c r="AD5093" s="11" t="b">
        <v>0</v>
      </c>
      <c r="AE5093" s="105"/>
      <c r="AF5093" s="11"/>
      <c r="AG5093" s="11"/>
      <c r="AH5093" s="11"/>
      <c r="AI5093" s="11"/>
    </row>
    <row r="5094" ht="12.5" spans="3:35">
      <c r="C5094" s="19"/>
      <c r="D5094" s="19"/>
      <c r="H5094" s="105"/>
      <c r="I5094" s="126"/>
      <c r="J5094" s="11"/>
      <c r="K5094" s="108"/>
      <c r="L5094" s="11"/>
      <c r="M5094" s="105"/>
      <c r="N5094" s="105"/>
      <c r="O5094" s="11"/>
      <c r="P5094" s="11"/>
      <c r="Q5094" s="105"/>
      <c r="R5094" s="105"/>
      <c r="S5094" s="105"/>
      <c r="T5094" s="105"/>
      <c r="U5094" s="105"/>
      <c r="V5094" s="105"/>
      <c r="W5094" s="105"/>
      <c r="X5094" s="11"/>
      <c r="Y5094" s="11"/>
      <c r="Z5094" s="105"/>
      <c r="AA5094" s="11"/>
      <c r="AB5094" s="11"/>
      <c r="AC5094" s="105"/>
      <c r="AD5094" s="11" t="b">
        <v>0</v>
      </c>
      <c r="AE5094" s="105"/>
      <c r="AF5094" s="11"/>
      <c r="AG5094" s="11"/>
      <c r="AH5094" s="11"/>
      <c r="AI5094" s="11"/>
    </row>
    <row r="5095" ht="12.5" spans="3:35">
      <c r="C5095" s="19"/>
      <c r="D5095" s="19"/>
      <c r="H5095" s="105"/>
      <c r="I5095" s="126"/>
      <c r="J5095" s="11"/>
      <c r="K5095" s="108"/>
      <c r="L5095" s="11"/>
      <c r="M5095" s="105"/>
      <c r="N5095" s="105"/>
      <c r="O5095" s="11"/>
      <c r="P5095" s="11"/>
      <c r="Q5095" s="105"/>
      <c r="R5095" s="105"/>
      <c r="S5095" s="105"/>
      <c r="T5095" s="105"/>
      <c r="U5095" s="105"/>
      <c r="V5095" s="105"/>
      <c r="W5095" s="105"/>
      <c r="X5095" s="11"/>
      <c r="Y5095" s="11"/>
      <c r="Z5095" s="105"/>
      <c r="AA5095" s="11"/>
      <c r="AB5095" s="11"/>
      <c r="AC5095" s="105"/>
      <c r="AD5095" s="11" t="b">
        <v>0</v>
      </c>
      <c r="AE5095" s="105"/>
      <c r="AF5095" s="11"/>
      <c r="AG5095" s="11"/>
      <c r="AH5095" s="11"/>
      <c r="AI5095" s="11"/>
    </row>
    <row r="5096" ht="12.5" spans="3:35">
      <c r="C5096" s="19"/>
      <c r="D5096" s="19"/>
      <c r="H5096" s="105"/>
      <c r="I5096" s="126"/>
      <c r="J5096" s="11"/>
      <c r="K5096" s="108"/>
      <c r="L5096" s="11"/>
      <c r="M5096" s="105"/>
      <c r="N5096" s="105"/>
      <c r="O5096" s="11"/>
      <c r="P5096" s="11"/>
      <c r="Q5096" s="105"/>
      <c r="R5096" s="105"/>
      <c r="S5096" s="105"/>
      <c r="T5096" s="105"/>
      <c r="U5096" s="105"/>
      <c r="V5096" s="105"/>
      <c r="W5096" s="105"/>
      <c r="X5096" s="11"/>
      <c r="Y5096" s="11"/>
      <c r="Z5096" s="105"/>
      <c r="AA5096" s="11"/>
      <c r="AB5096" s="11"/>
      <c r="AC5096" s="105"/>
      <c r="AD5096" s="11" t="b">
        <v>0</v>
      </c>
      <c r="AE5096" s="105"/>
      <c r="AF5096" s="11"/>
      <c r="AG5096" s="11"/>
      <c r="AH5096" s="11"/>
      <c r="AI5096" s="11"/>
    </row>
    <row r="5097" ht="12.5" spans="3:35">
      <c r="C5097" s="19"/>
      <c r="D5097" s="19"/>
      <c r="H5097" s="105"/>
      <c r="I5097" s="126"/>
      <c r="J5097" s="11"/>
      <c r="K5097" s="108"/>
      <c r="L5097" s="11"/>
      <c r="M5097" s="105"/>
      <c r="N5097" s="105"/>
      <c r="O5097" s="11"/>
      <c r="P5097" s="11"/>
      <c r="Q5097" s="105"/>
      <c r="R5097" s="105"/>
      <c r="S5097" s="105"/>
      <c r="T5097" s="105"/>
      <c r="U5097" s="105"/>
      <c r="V5097" s="105"/>
      <c r="W5097" s="105"/>
      <c r="X5097" s="11"/>
      <c r="Y5097" s="11"/>
      <c r="Z5097" s="105"/>
      <c r="AA5097" s="11"/>
      <c r="AB5097" s="11"/>
      <c r="AC5097" s="105"/>
      <c r="AD5097" s="11" t="b">
        <v>0</v>
      </c>
      <c r="AE5097" s="105"/>
      <c r="AF5097" s="11"/>
      <c r="AG5097" s="11"/>
      <c r="AH5097" s="11"/>
      <c r="AI5097" s="11"/>
    </row>
    <row r="5098" ht="12.5" spans="3:35">
      <c r="C5098" s="19"/>
      <c r="D5098" s="19"/>
      <c r="H5098" s="105"/>
      <c r="I5098" s="126"/>
      <c r="J5098" s="11"/>
      <c r="K5098" s="108"/>
      <c r="L5098" s="11"/>
      <c r="M5098" s="105"/>
      <c r="N5098" s="105"/>
      <c r="O5098" s="11"/>
      <c r="P5098" s="11"/>
      <c r="Q5098" s="105"/>
      <c r="R5098" s="105"/>
      <c r="S5098" s="105"/>
      <c r="T5098" s="105"/>
      <c r="U5098" s="105"/>
      <c r="V5098" s="105"/>
      <c r="W5098" s="105"/>
      <c r="X5098" s="11"/>
      <c r="Y5098" s="11"/>
      <c r="Z5098" s="105"/>
      <c r="AA5098" s="11"/>
      <c r="AB5098" s="11"/>
      <c r="AC5098" s="105"/>
      <c r="AD5098" s="11" t="b">
        <v>0</v>
      </c>
      <c r="AE5098" s="105"/>
      <c r="AF5098" s="11"/>
      <c r="AG5098" s="11"/>
      <c r="AH5098" s="11"/>
      <c r="AI5098" s="11"/>
    </row>
    <row r="5099" ht="12.5" spans="3:35">
      <c r="C5099" s="19"/>
      <c r="D5099" s="19"/>
      <c r="H5099" s="105"/>
      <c r="I5099" s="126"/>
      <c r="J5099" s="11"/>
      <c r="K5099" s="108"/>
      <c r="L5099" s="11"/>
      <c r="M5099" s="105"/>
      <c r="N5099" s="105"/>
      <c r="O5099" s="11"/>
      <c r="P5099" s="11"/>
      <c r="Q5099" s="105"/>
      <c r="R5099" s="105"/>
      <c r="S5099" s="105"/>
      <c r="T5099" s="105"/>
      <c r="U5099" s="105"/>
      <c r="V5099" s="105"/>
      <c r="W5099" s="105"/>
      <c r="X5099" s="11"/>
      <c r="Y5099" s="11"/>
      <c r="Z5099" s="105"/>
      <c r="AA5099" s="11"/>
      <c r="AB5099" s="11"/>
      <c r="AC5099" s="105"/>
      <c r="AD5099" s="11" t="b">
        <v>0</v>
      </c>
      <c r="AE5099" s="105"/>
      <c r="AF5099" s="11"/>
      <c r="AG5099" s="11"/>
      <c r="AH5099" s="11"/>
      <c r="AI5099" s="11"/>
    </row>
    <row r="5100" ht="12.5" spans="3:35">
      <c r="C5100" s="19"/>
      <c r="D5100" s="19"/>
      <c r="H5100" s="105"/>
      <c r="I5100" s="126"/>
      <c r="J5100" s="11"/>
      <c r="K5100" s="108"/>
      <c r="L5100" s="11"/>
      <c r="M5100" s="105"/>
      <c r="N5100" s="105"/>
      <c r="O5100" s="11"/>
      <c r="P5100" s="11"/>
      <c r="Q5100" s="105"/>
      <c r="R5100" s="105"/>
      <c r="S5100" s="105"/>
      <c r="T5100" s="105"/>
      <c r="U5100" s="105"/>
      <c r="V5100" s="105"/>
      <c r="W5100" s="105"/>
      <c r="X5100" s="11"/>
      <c r="Y5100" s="11"/>
      <c r="Z5100" s="105"/>
      <c r="AA5100" s="11"/>
      <c r="AB5100" s="11"/>
      <c r="AC5100" s="105"/>
      <c r="AD5100" s="11" t="b">
        <v>0</v>
      </c>
      <c r="AE5100" s="105"/>
      <c r="AF5100" s="11"/>
      <c r="AG5100" s="11"/>
      <c r="AH5100" s="11"/>
      <c r="AI5100" s="11"/>
    </row>
    <row r="5101" ht="12.5" spans="3:35">
      <c r="C5101" s="19"/>
      <c r="D5101" s="19"/>
      <c r="H5101" s="105"/>
      <c r="I5101" s="126"/>
      <c r="J5101" s="11"/>
      <c r="K5101" s="108"/>
      <c r="L5101" s="11"/>
      <c r="M5101" s="105"/>
      <c r="N5101" s="105"/>
      <c r="O5101" s="11"/>
      <c r="P5101" s="11"/>
      <c r="Q5101" s="105"/>
      <c r="R5101" s="105"/>
      <c r="S5101" s="105"/>
      <c r="T5101" s="105"/>
      <c r="U5101" s="105"/>
      <c r="V5101" s="105"/>
      <c r="W5101" s="105"/>
      <c r="X5101" s="11"/>
      <c r="Y5101" s="11"/>
      <c r="Z5101" s="105"/>
      <c r="AA5101" s="11"/>
      <c r="AB5101" s="11"/>
      <c r="AC5101" s="105"/>
      <c r="AD5101" s="11" t="b">
        <v>0</v>
      </c>
      <c r="AE5101" s="105"/>
      <c r="AF5101" s="11"/>
      <c r="AG5101" s="11"/>
      <c r="AH5101" s="11"/>
      <c r="AI5101" s="11"/>
    </row>
    <row r="5102" ht="12.5" spans="3:35">
      <c r="C5102" s="19"/>
      <c r="D5102" s="19"/>
      <c r="H5102" s="105"/>
      <c r="I5102" s="126"/>
      <c r="J5102" s="11"/>
      <c r="K5102" s="108"/>
      <c r="L5102" s="11"/>
      <c r="M5102" s="105"/>
      <c r="N5102" s="105"/>
      <c r="O5102" s="11"/>
      <c r="P5102" s="11"/>
      <c r="Q5102" s="105"/>
      <c r="R5102" s="105"/>
      <c r="S5102" s="105"/>
      <c r="T5102" s="105"/>
      <c r="U5102" s="105"/>
      <c r="V5102" s="105"/>
      <c r="W5102" s="105"/>
      <c r="X5102" s="11"/>
      <c r="Y5102" s="11"/>
      <c r="Z5102" s="105"/>
      <c r="AA5102" s="11"/>
      <c r="AB5102" s="11"/>
      <c r="AC5102" s="105"/>
      <c r="AD5102" s="11" t="b">
        <v>0</v>
      </c>
      <c r="AE5102" s="105"/>
      <c r="AF5102" s="11"/>
      <c r="AG5102" s="11"/>
      <c r="AH5102" s="11"/>
      <c r="AI5102" s="11"/>
    </row>
    <row r="5103" ht="12.5" spans="3:35">
      <c r="C5103" s="19"/>
      <c r="D5103" s="19"/>
      <c r="H5103" s="105"/>
      <c r="I5103" s="126"/>
      <c r="J5103" s="11"/>
      <c r="K5103" s="108"/>
      <c r="L5103" s="11"/>
      <c r="M5103" s="105"/>
      <c r="N5103" s="105"/>
      <c r="O5103" s="11"/>
      <c r="P5103" s="11"/>
      <c r="Q5103" s="105"/>
      <c r="R5103" s="105"/>
      <c r="S5103" s="105"/>
      <c r="T5103" s="105"/>
      <c r="U5103" s="105"/>
      <c r="V5103" s="105"/>
      <c r="W5103" s="105"/>
      <c r="X5103" s="11"/>
      <c r="Y5103" s="11"/>
      <c r="Z5103" s="105"/>
      <c r="AA5103" s="11"/>
      <c r="AB5103" s="11"/>
      <c r="AC5103" s="105"/>
      <c r="AD5103" s="11" t="b">
        <v>0</v>
      </c>
      <c r="AE5103" s="105"/>
      <c r="AF5103" s="11"/>
      <c r="AG5103" s="11"/>
      <c r="AH5103" s="11"/>
      <c r="AI5103" s="11"/>
    </row>
    <row r="5104" ht="12.5" spans="3:35">
      <c r="C5104" s="19"/>
      <c r="D5104" s="19"/>
      <c r="H5104" s="105"/>
      <c r="I5104" s="126"/>
      <c r="J5104" s="11"/>
      <c r="K5104" s="108"/>
      <c r="L5104" s="11"/>
      <c r="M5104" s="105"/>
      <c r="N5104" s="105"/>
      <c r="O5104" s="11"/>
      <c r="P5104" s="11"/>
      <c r="Q5104" s="105"/>
      <c r="R5104" s="105"/>
      <c r="S5104" s="105"/>
      <c r="T5104" s="105"/>
      <c r="U5104" s="105"/>
      <c r="V5104" s="105"/>
      <c r="W5104" s="105"/>
      <c r="X5104" s="11"/>
      <c r="Y5104" s="11"/>
      <c r="Z5104" s="105"/>
      <c r="AA5104" s="11"/>
      <c r="AB5104" s="11"/>
      <c r="AC5104" s="105"/>
      <c r="AD5104" s="11" t="b">
        <v>0</v>
      </c>
      <c r="AE5104" s="105"/>
      <c r="AF5104" s="11"/>
      <c r="AG5104" s="11"/>
      <c r="AH5104" s="11"/>
      <c r="AI5104" s="11"/>
    </row>
    <row r="5105" ht="12.5" spans="3:35">
      <c r="C5105" s="19"/>
      <c r="D5105" s="19"/>
      <c r="H5105" s="105"/>
      <c r="I5105" s="126"/>
      <c r="J5105" s="11"/>
      <c r="K5105" s="108"/>
      <c r="L5105" s="11"/>
      <c r="M5105" s="105"/>
      <c r="N5105" s="105"/>
      <c r="O5105" s="11"/>
      <c r="P5105" s="11"/>
      <c r="Q5105" s="105"/>
      <c r="R5105" s="105"/>
      <c r="S5105" s="105"/>
      <c r="T5105" s="105"/>
      <c r="U5105" s="105"/>
      <c r="V5105" s="105"/>
      <c r="W5105" s="105"/>
      <c r="X5105" s="11"/>
      <c r="Y5105" s="11"/>
      <c r="Z5105" s="105"/>
      <c r="AA5105" s="11"/>
      <c r="AB5105" s="11"/>
      <c r="AC5105" s="105"/>
      <c r="AD5105" s="11" t="b">
        <v>0</v>
      </c>
      <c r="AE5105" s="105"/>
      <c r="AF5105" s="11"/>
      <c r="AG5105" s="11"/>
      <c r="AH5105" s="11"/>
      <c r="AI5105" s="11"/>
    </row>
    <row r="5106" ht="12.5" spans="3:35">
      <c r="C5106" s="19"/>
      <c r="D5106" s="19"/>
      <c r="H5106" s="105"/>
      <c r="I5106" s="126"/>
      <c r="J5106" s="11"/>
      <c r="K5106" s="108"/>
      <c r="L5106" s="11"/>
      <c r="M5106" s="105"/>
      <c r="N5106" s="105"/>
      <c r="O5106" s="11"/>
      <c r="P5106" s="11"/>
      <c r="Q5106" s="105"/>
      <c r="R5106" s="105"/>
      <c r="S5106" s="105"/>
      <c r="T5106" s="105"/>
      <c r="U5106" s="105"/>
      <c r="V5106" s="105"/>
      <c r="W5106" s="105"/>
      <c r="X5106" s="11"/>
      <c r="Y5106" s="11"/>
      <c r="Z5106" s="105"/>
      <c r="AA5106" s="11"/>
      <c r="AB5106" s="11"/>
      <c r="AC5106" s="105"/>
      <c r="AD5106" s="11" t="b">
        <v>0</v>
      </c>
      <c r="AE5106" s="105"/>
      <c r="AF5106" s="11"/>
      <c r="AG5106" s="11"/>
      <c r="AH5106" s="11"/>
      <c r="AI5106" s="11"/>
    </row>
    <row r="5107" ht="12.5" spans="3:35">
      <c r="C5107" s="19"/>
      <c r="D5107" s="19"/>
      <c r="H5107" s="105"/>
      <c r="I5107" s="126"/>
      <c r="J5107" s="11"/>
      <c r="K5107" s="108"/>
      <c r="L5107" s="11"/>
      <c r="M5107" s="105"/>
      <c r="N5107" s="105"/>
      <c r="O5107" s="11"/>
      <c r="P5107" s="11"/>
      <c r="Q5107" s="105"/>
      <c r="R5107" s="105"/>
      <c r="S5107" s="105"/>
      <c r="T5107" s="105"/>
      <c r="U5107" s="105"/>
      <c r="V5107" s="105"/>
      <c r="W5107" s="105"/>
      <c r="X5107" s="11"/>
      <c r="Y5107" s="11"/>
      <c r="Z5107" s="105"/>
      <c r="AA5107" s="11"/>
      <c r="AB5107" s="11"/>
      <c r="AC5107" s="105"/>
      <c r="AD5107" s="11" t="b">
        <v>0</v>
      </c>
      <c r="AE5107" s="105"/>
      <c r="AF5107" s="11"/>
      <c r="AG5107" s="11"/>
      <c r="AH5107" s="11"/>
      <c r="AI5107" s="11"/>
    </row>
    <row r="5108" ht="12.5" spans="3:35">
      <c r="C5108" s="19"/>
      <c r="D5108" s="19"/>
      <c r="H5108" s="105"/>
      <c r="I5108" s="126"/>
      <c r="J5108" s="11"/>
      <c r="K5108" s="108"/>
      <c r="L5108" s="11"/>
      <c r="M5108" s="105"/>
      <c r="N5108" s="105"/>
      <c r="O5108" s="11"/>
      <c r="P5108" s="11"/>
      <c r="Q5108" s="105"/>
      <c r="R5108" s="105"/>
      <c r="S5108" s="105"/>
      <c r="T5108" s="105"/>
      <c r="U5108" s="105"/>
      <c r="V5108" s="105"/>
      <c r="W5108" s="105"/>
      <c r="X5108" s="11"/>
      <c r="Y5108" s="11"/>
      <c r="Z5108" s="105"/>
      <c r="AA5108" s="11"/>
      <c r="AB5108" s="11"/>
      <c r="AC5108" s="105"/>
      <c r="AD5108" s="11" t="b">
        <v>0</v>
      </c>
      <c r="AE5108" s="105"/>
      <c r="AF5108" s="11"/>
      <c r="AG5108" s="11"/>
      <c r="AH5108" s="11"/>
      <c r="AI5108" s="11"/>
    </row>
    <row r="5109" ht="12.5" spans="3:35">
      <c r="C5109" s="19"/>
      <c r="D5109" s="19"/>
      <c r="H5109" s="105"/>
      <c r="I5109" s="126"/>
      <c r="J5109" s="11"/>
      <c r="K5109" s="108"/>
      <c r="L5109" s="11"/>
      <c r="M5109" s="105"/>
      <c r="N5109" s="105"/>
      <c r="O5109" s="11"/>
      <c r="P5109" s="11"/>
      <c r="Q5109" s="105"/>
      <c r="R5109" s="105"/>
      <c r="S5109" s="105"/>
      <c r="T5109" s="105"/>
      <c r="U5109" s="105"/>
      <c r="V5109" s="105"/>
      <c r="W5109" s="105"/>
      <c r="X5109" s="11"/>
      <c r="Y5109" s="11"/>
      <c r="Z5109" s="105"/>
      <c r="AA5109" s="11"/>
      <c r="AB5109" s="11"/>
      <c r="AC5109" s="105"/>
      <c r="AD5109" s="11" t="b">
        <v>0</v>
      </c>
      <c r="AE5109" s="105"/>
      <c r="AF5109" s="11"/>
      <c r="AG5109" s="11"/>
      <c r="AH5109" s="11"/>
      <c r="AI5109" s="11"/>
    </row>
    <row r="5110" ht="12.5" spans="3:35">
      <c r="C5110" s="19"/>
      <c r="D5110" s="19"/>
      <c r="H5110" s="105"/>
      <c r="I5110" s="126"/>
      <c r="J5110" s="11"/>
      <c r="K5110" s="108"/>
      <c r="L5110" s="11"/>
      <c r="M5110" s="105"/>
      <c r="N5110" s="105"/>
      <c r="O5110" s="11"/>
      <c r="P5110" s="11"/>
      <c r="Q5110" s="105"/>
      <c r="R5110" s="105"/>
      <c r="S5110" s="105"/>
      <c r="T5110" s="105"/>
      <c r="U5110" s="105"/>
      <c r="V5110" s="105"/>
      <c r="W5110" s="105"/>
      <c r="X5110" s="11"/>
      <c r="Y5110" s="11"/>
      <c r="Z5110" s="105"/>
      <c r="AA5110" s="11"/>
      <c r="AB5110" s="11"/>
      <c r="AC5110" s="105"/>
      <c r="AD5110" s="11" t="b">
        <v>0</v>
      </c>
      <c r="AE5110" s="105"/>
      <c r="AF5110" s="11"/>
      <c r="AG5110" s="11"/>
      <c r="AH5110" s="11"/>
      <c r="AI5110" s="11"/>
    </row>
    <row r="5111" ht="12.5" spans="3:35">
      <c r="C5111" s="19"/>
      <c r="D5111" s="19"/>
      <c r="H5111" s="105"/>
      <c r="I5111" s="126"/>
      <c r="J5111" s="11"/>
      <c r="K5111" s="108"/>
      <c r="L5111" s="11"/>
      <c r="M5111" s="105"/>
      <c r="N5111" s="105"/>
      <c r="O5111" s="11"/>
      <c r="P5111" s="11"/>
      <c r="Q5111" s="105"/>
      <c r="R5111" s="105"/>
      <c r="S5111" s="105"/>
      <c r="T5111" s="105"/>
      <c r="U5111" s="105"/>
      <c r="V5111" s="105"/>
      <c r="W5111" s="105"/>
      <c r="X5111" s="11"/>
      <c r="Y5111" s="11"/>
      <c r="Z5111" s="105"/>
      <c r="AA5111" s="11"/>
      <c r="AB5111" s="11"/>
      <c r="AC5111" s="105"/>
      <c r="AD5111" s="11" t="b">
        <v>0</v>
      </c>
      <c r="AE5111" s="105"/>
      <c r="AF5111" s="11"/>
      <c r="AG5111" s="11"/>
      <c r="AH5111" s="11"/>
      <c r="AI5111" s="11"/>
    </row>
    <row r="5112" ht="12.5" spans="3:35">
      <c r="C5112" s="19"/>
      <c r="D5112" s="19"/>
      <c r="H5112" s="105"/>
      <c r="I5112" s="126"/>
      <c r="J5112" s="11"/>
      <c r="K5112" s="108"/>
      <c r="L5112" s="11"/>
      <c r="M5112" s="105"/>
      <c r="N5112" s="105"/>
      <c r="O5112" s="11"/>
      <c r="P5112" s="11"/>
      <c r="Q5112" s="105"/>
      <c r="R5112" s="105"/>
      <c r="S5112" s="105"/>
      <c r="T5112" s="105"/>
      <c r="U5112" s="105"/>
      <c r="V5112" s="105"/>
      <c r="W5112" s="105"/>
      <c r="X5112" s="11"/>
      <c r="Y5112" s="11"/>
      <c r="Z5112" s="105"/>
      <c r="AA5112" s="11"/>
      <c r="AB5112" s="11"/>
      <c r="AC5112" s="105"/>
      <c r="AD5112" s="11" t="b">
        <v>0</v>
      </c>
      <c r="AE5112" s="105"/>
      <c r="AF5112" s="11"/>
      <c r="AG5112" s="11"/>
      <c r="AH5112" s="11"/>
      <c r="AI5112" s="11"/>
    </row>
    <row r="5113" ht="12.5" spans="3:35">
      <c r="C5113" s="19"/>
      <c r="D5113" s="19"/>
      <c r="H5113" s="105"/>
      <c r="I5113" s="126"/>
      <c r="J5113" s="11"/>
      <c r="K5113" s="108"/>
      <c r="L5113" s="11"/>
      <c r="M5113" s="105"/>
      <c r="N5113" s="105"/>
      <c r="O5113" s="11"/>
      <c r="P5113" s="11"/>
      <c r="Q5113" s="105"/>
      <c r="R5113" s="105"/>
      <c r="S5113" s="105"/>
      <c r="T5113" s="105"/>
      <c r="U5113" s="105"/>
      <c r="V5113" s="105"/>
      <c r="W5113" s="105"/>
      <c r="X5113" s="11"/>
      <c r="Y5113" s="11"/>
      <c r="Z5113" s="105"/>
      <c r="AA5113" s="11"/>
      <c r="AB5113" s="11"/>
      <c r="AC5113" s="105"/>
      <c r="AD5113" s="11" t="b">
        <v>0</v>
      </c>
      <c r="AE5113" s="105"/>
      <c r="AF5113" s="11"/>
      <c r="AG5113" s="11"/>
      <c r="AH5113" s="11"/>
      <c r="AI5113" s="11"/>
    </row>
    <row r="5114" ht="12.5" spans="3:35">
      <c r="C5114" s="19"/>
      <c r="D5114" s="19"/>
      <c r="H5114" s="105"/>
      <c r="I5114" s="126"/>
      <c r="J5114" s="11"/>
      <c r="K5114" s="108"/>
      <c r="L5114" s="11"/>
      <c r="M5114" s="105"/>
      <c r="N5114" s="105"/>
      <c r="O5114" s="11"/>
      <c r="P5114" s="11"/>
      <c r="Q5114" s="105"/>
      <c r="R5114" s="105"/>
      <c r="S5114" s="105"/>
      <c r="T5114" s="105"/>
      <c r="U5114" s="105"/>
      <c r="V5114" s="105"/>
      <c r="W5114" s="105"/>
      <c r="X5114" s="11"/>
      <c r="Y5114" s="11"/>
      <c r="Z5114" s="105"/>
      <c r="AA5114" s="11"/>
      <c r="AB5114" s="11"/>
      <c r="AC5114" s="105"/>
      <c r="AD5114" s="11" t="b">
        <v>0</v>
      </c>
      <c r="AE5114" s="105"/>
      <c r="AF5114" s="11"/>
      <c r="AG5114" s="11"/>
      <c r="AH5114" s="11"/>
      <c r="AI5114" s="11"/>
    </row>
    <row r="5115" ht="12.5" spans="3:35">
      <c r="C5115" s="19"/>
      <c r="D5115" s="19"/>
      <c r="H5115" s="105"/>
      <c r="I5115" s="126"/>
      <c r="J5115" s="11"/>
      <c r="K5115" s="108"/>
      <c r="L5115" s="11"/>
      <c r="M5115" s="105"/>
      <c r="N5115" s="105"/>
      <c r="O5115" s="11"/>
      <c r="P5115" s="11"/>
      <c r="Q5115" s="105"/>
      <c r="R5115" s="105"/>
      <c r="S5115" s="105"/>
      <c r="T5115" s="105"/>
      <c r="U5115" s="105"/>
      <c r="V5115" s="105"/>
      <c r="W5115" s="105"/>
      <c r="X5115" s="11"/>
      <c r="Y5115" s="11"/>
      <c r="Z5115" s="105"/>
      <c r="AA5115" s="11"/>
      <c r="AB5115" s="11"/>
      <c r="AC5115" s="105"/>
      <c r="AD5115" s="11" t="b">
        <v>0</v>
      </c>
      <c r="AE5115" s="105"/>
      <c r="AF5115" s="11"/>
      <c r="AG5115" s="11"/>
      <c r="AH5115" s="11"/>
      <c r="AI5115" s="11"/>
    </row>
    <row r="5116" ht="12.5" spans="3:35">
      <c r="C5116" s="19"/>
      <c r="D5116" s="19"/>
      <c r="H5116" s="105"/>
      <c r="I5116" s="126"/>
      <c r="J5116" s="11"/>
      <c r="K5116" s="108"/>
      <c r="L5116" s="11"/>
      <c r="M5116" s="105"/>
      <c r="N5116" s="105"/>
      <c r="O5116" s="11"/>
      <c r="P5116" s="11"/>
      <c r="Q5116" s="105"/>
      <c r="R5116" s="105"/>
      <c r="S5116" s="105"/>
      <c r="T5116" s="105"/>
      <c r="U5116" s="105"/>
      <c r="V5116" s="105"/>
      <c r="W5116" s="105"/>
      <c r="X5116" s="11"/>
      <c r="Y5116" s="11"/>
      <c r="Z5116" s="105"/>
      <c r="AA5116" s="11"/>
      <c r="AB5116" s="11"/>
      <c r="AC5116" s="105"/>
      <c r="AD5116" s="11" t="b">
        <v>0</v>
      </c>
      <c r="AE5116" s="105"/>
      <c r="AF5116" s="11"/>
      <c r="AG5116" s="11"/>
      <c r="AH5116" s="11"/>
      <c r="AI5116" s="11"/>
    </row>
    <row r="5117" ht="12.5" spans="3:35">
      <c r="C5117" s="19"/>
      <c r="D5117" s="19"/>
      <c r="H5117" s="105"/>
      <c r="I5117" s="126"/>
      <c r="J5117" s="11"/>
      <c r="K5117" s="108"/>
      <c r="L5117" s="11"/>
      <c r="M5117" s="105"/>
      <c r="N5117" s="105"/>
      <c r="O5117" s="11"/>
      <c r="P5117" s="11"/>
      <c r="Q5117" s="105"/>
      <c r="R5117" s="105"/>
      <c r="S5117" s="105"/>
      <c r="T5117" s="105"/>
      <c r="U5117" s="105"/>
      <c r="V5117" s="105"/>
      <c r="W5117" s="105"/>
      <c r="X5117" s="11"/>
      <c r="Y5117" s="11"/>
      <c r="Z5117" s="105"/>
      <c r="AA5117" s="11"/>
      <c r="AB5117" s="11"/>
      <c r="AC5117" s="105"/>
      <c r="AD5117" s="11" t="b">
        <v>0</v>
      </c>
      <c r="AE5117" s="105"/>
      <c r="AF5117" s="11"/>
      <c r="AG5117" s="11"/>
      <c r="AH5117" s="11"/>
      <c r="AI5117" s="11"/>
    </row>
    <row r="5118" ht="12.5" spans="3:35">
      <c r="C5118" s="19"/>
      <c r="D5118" s="19"/>
      <c r="H5118" s="105"/>
      <c r="I5118" s="126"/>
      <c r="J5118" s="11"/>
      <c r="K5118" s="108"/>
      <c r="L5118" s="11"/>
      <c r="M5118" s="105"/>
      <c r="N5118" s="105"/>
      <c r="O5118" s="11"/>
      <c r="P5118" s="11"/>
      <c r="Q5118" s="105"/>
      <c r="R5118" s="105"/>
      <c r="S5118" s="105"/>
      <c r="T5118" s="105"/>
      <c r="U5118" s="105"/>
      <c r="V5118" s="105"/>
      <c r="W5118" s="105"/>
      <c r="X5118" s="11"/>
      <c r="Y5118" s="11"/>
      <c r="Z5118" s="105"/>
      <c r="AA5118" s="11"/>
      <c r="AB5118" s="11"/>
      <c r="AC5118" s="105"/>
      <c r="AD5118" s="11" t="b">
        <v>0</v>
      </c>
      <c r="AE5118" s="105"/>
      <c r="AF5118" s="11"/>
      <c r="AG5118" s="11"/>
      <c r="AH5118" s="11"/>
      <c r="AI5118" s="11"/>
    </row>
    <row r="5119" ht="12.5" spans="3:35">
      <c r="C5119" s="19"/>
      <c r="D5119" s="19"/>
      <c r="H5119" s="105"/>
      <c r="I5119" s="126"/>
      <c r="J5119" s="11"/>
      <c r="K5119" s="108"/>
      <c r="L5119" s="11"/>
      <c r="M5119" s="105"/>
      <c r="N5119" s="105"/>
      <c r="O5119" s="11"/>
      <c r="P5119" s="11"/>
      <c r="Q5119" s="105"/>
      <c r="R5119" s="105"/>
      <c r="S5119" s="105"/>
      <c r="T5119" s="105"/>
      <c r="U5119" s="105"/>
      <c r="V5119" s="105"/>
      <c r="W5119" s="105"/>
      <c r="X5119" s="11"/>
      <c r="Y5119" s="11"/>
      <c r="Z5119" s="105"/>
      <c r="AA5119" s="11"/>
      <c r="AB5119" s="11"/>
      <c r="AC5119" s="105"/>
      <c r="AD5119" s="11" t="b">
        <v>0</v>
      </c>
      <c r="AE5119" s="105"/>
      <c r="AF5119" s="11"/>
      <c r="AG5119" s="11"/>
      <c r="AH5119" s="11"/>
      <c r="AI5119" s="11"/>
    </row>
    <row r="5120" ht="12.5" spans="3:35">
      <c r="C5120" s="19"/>
      <c r="D5120" s="19"/>
      <c r="H5120" s="105"/>
      <c r="I5120" s="126"/>
      <c r="J5120" s="11"/>
      <c r="K5120" s="108"/>
      <c r="L5120" s="11"/>
      <c r="M5120" s="105"/>
      <c r="N5120" s="105"/>
      <c r="O5120" s="11"/>
      <c r="P5120" s="11"/>
      <c r="Q5120" s="105"/>
      <c r="R5120" s="105"/>
      <c r="S5120" s="105"/>
      <c r="T5120" s="105"/>
      <c r="U5120" s="105"/>
      <c r="V5120" s="105"/>
      <c r="W5120" s="105"/>
      <c r="X5120" s="11"/>
      <c r="Y5120" s="11"/>
      <c r="Z5120" s="105"/>
      <c r="AA5120" s="11"/>
      <c r="AB5120" s="11"/>
      <c r="AC5120" s="105"/>
      <c r="AD5120" s="11" t="b">
        <v>0</v>
      </c>
      <c r="AE5120" s="105"/>
      <c r="AF5120" s="11"/>
      <c r="AG5120" s="11"/>
      <c r="AH5120" s="11"/>
      <c r="AI5120" s="11"/>
    </row>
    <row r="5121" ht="12.5" spans="3:35">
      <c r="C5121" s="19"/>
      <c r="D5121" s="19"/>
      <c r="H5121" s="105"/>
      <c r="I5121" s="126"/>
      <c r="J5121" s="11"/>
      <c r="K5121" s="108"/>
      <c r="L5121" s="11"/>
      <c r="M5121" s="105"/>
      <c r="N5121" s="105"/>
      <c r="O5121" s="11"/>
      <c r="P5121" s="11"/>
      <c r="Q5121" s="105"/>
      <c r="R5121" s="105"/>
      <c r="S5121" s="105"/>
      <c r="T5121" s="105"/>
      <c r="U5121" s="105"/>
      <c r="V5121" s="105"/>
      <c r="W5121" s="105"/>
      <c r="X5121" s="11"/>
      <c r="Y5121" s="11"/>
      <c r="Z5121" s="105"/>
      <c r="AA5121" s="11"/>
      <c r="AB5121" s="11"/>
      <c r="AC5121" s="105"/>
      <c r="AD5121" s="11" t="b">
        <v>0</v>
      </c>
      <c r="AE5121" s="105"/>
      <c r="AF5121" s="11"/>
      <c r="AG5121" s="11"/>
      <c r="AH5121" s="11"/>
      <c r="AI5121" s="11"/>
    </row>
    <row r="5122" ht="12.5" spans="3:35">
      <c r="C5122" s="19"/>
      <c r="D5122" s="19"/>
      <c r="H5122" s="105"/>
      <c r="I5122" s="126"/>
      <c r="J5122" s="11"/>
      <c r="K5122" s="108"/>
      <c r="L5122" s="11"/>
      <c r="M5122" s="105"/>
      <c r="N5122" s="105"/>
      <c r="O5122" s="11"/>
      <c r="P5122" s="11"/>
      <c r="Q5122" s="105"/>
      <c r="R5122" s="105"/>
      <c r="S5122" s="105"/>
      <c r="T5122" s="105"/>
      <c r="U5122" s="105"/>
      <c r="V5122" s="105"/>
      <c r="W5122" s="105"/>
      <c r="X5122" s="11"/>
      <c r="Y5122" s="11"/>
      <c r="Z5122" s="105"/>
      <c r="AA5122" s="11"/>
      <c r="AB5122" s="11"/>
      <c r="AC5122" s="105"/>
      <c r="AD5122" s="11" t="b">
        <v>0</v>
      </c>
      <c r="AE5122" s="105"/>
      <c r="AF5122" s="11"/>
      <c r="AG5122" s="11"/>
      <c r="AH5122" s="11"/>
      <c r="AI5122" s="11"/>
    </row>
    <row r="5123" ht="12.5" spans="3:35">
      <c r="C5123" s="19"/>
      <c r="D5123" s="19"/>
      <c r="H5123" s="105"/>
      <c r="I5123" s="126"/>
      <c r="J5123" s="11"/>
      <c r="K5123" s="108"/>
      <c r="L5123" s="11"/>
      <c r="M5123" s="105"/>
      <c r="N5123" s="105"/>
      <c r="O5123" s="11"/>
      <c r="P5123" s="11"/>
      <c r="Q5123" s="105"/>
      <c r="R5123" s="105"/>
      <c r="S5123" s="105"/>
      <c r="T5123" s="105"/>
      <c r="U5123" s="105"/>
      <c r="V5123" s="105"/>
      <c r="W5123" s="105"/>
      <c r="X5123" s="11"/>
      <c r="Y5123" s="11"/>
      <c r="Z5123" s="105"/>
      <c r="AA5123" s="11"/>
      <c r="AB5123" s="11"/>
      <c r="AC5123" s="105"/>
      <c r="AD5123" s="11" t="b">
        <v>0</v>
      </c>
      <c r="AE5123" s="105"/>
      <c r="AF5123" s="11"/>
      <c r="AG5123" s="11"/>
      <c r="AH5123" s="11"/>
      <c r="AI5123" s="11"/>
    </row>
    <row r="5124" ht="12.5" spans="3:35">
      <c r="C5124" s="19"/>
      <c r="D5124" s="19"/>
      <c r="H5124" s="105"/>
      <c r="I5124" s="126"/>
      <c r="J5124" s="11"/>
      <c r="K5124" s="108"/>
      <c r="L5124" s="11"/>
      <c r="M5124" s="105"/>
      <c r="N5124" s="105"/>
      <c r="O5124" s="11"/>
      <c r="P5124" s="11"/>
      <c r="Q5124" s="105"/>
      <c r="R5124" s="105"/>
      <c r="S5124" s="105"/>
      <c r="T5124" s="105"/>
      <c r="U5124" s="105"/>
      <c r="V5124" s="105"/>
      <c r="W5124" s="105"/>
      <c r="X5124" s="11"/>
      <c r="Y5124" s="11"/>
      <c r="Z5124" s="105"/>
      <c r="AA5124" s="11"/>
      <c r="AB5124" s="11"/>
      <c r="AC5124" s="105"/>
      <c r="AD5124" s="11" t="b">
        <v>0</v>
      </c>
      <c r="AE5124" s="105"/>
      <c r="AF5124" s="11"/>
      <c r="AG5124" s="11"/>
      <c r="AH5124" s="11"/>
      <c r="AI5124" s="11"/>
    </row>
    <row r="5125" ht="12.5" spans="3:35">
      <c r="C5125" s="19"/>
      <c r="D5125" s="19"/>
      <c r="H5125" s="105"/>
      <c r="I5125" s="126"/>
      <c r="J5125" s="11"/>
      <c r="K5125" s="108"/>
      <c r="L5125" s="11"/>
      <c r="M5125" s="105"/>
      <c r="N5125" s="105"/>
      <c r="O5125" s="11"/>
      <c r="P5125" s="11"/>
      <c r="Q5125" s="105"/>
      <c r="R5125" s="105"/>
      <c r="S5125" s="105"/>
      <c r="T5125" s="105"/>
      <c r="U5125" s="105"/>
      <c r="V5125" s="105"/>
      <c r="W5125" s="105"/>
      <c r="X5125" s="11"/>
      <c r="Y5125" s="11"/>
      <c r="Z5125" s="105"/>
      <c r="AA5125" s="11"/>
      <c r="AB5125" s="11"/>
      <c r="AC5125" s="105"/>
      <c r="AD5125" s="11" t="b">
        <v>0</v>
      </c>
      <c r="AE5125" s="105"/>
      <c r="AF5125" s="11"/>
      <c r="AG5125" s="11"/>
      <c r="AH5125" s="11"/>
      <c r="AI5125" s="11"/>
    </row>
    <row r="5126" ht="12.5" spans="3:35">
      <c r="C5126" s="19"/>
      <c r="D5126" s="19"/>
      <c r="H5126" s="105"/>
      <c r="I5126" s="126"/>
      <c r="J5126" s="11"/>
      <c r="K5126" s="108"/>
      <c r="L5126" s="11"/>
      <c r="M5126" s="105"/>
      <c r="N5126" s="105"/>
      <c r="O5126" s="11"/>
      <c r="P5126" s="11"/>
      <c r="Q5126" s="105"/>
      <c r="R5126" s="105"/>
      <c r="S5126" s="105"/>
      <c r="T5126" s="105"/>
      <c r="U5126" s="105"/>
      <c r="V5126" s="105"/>
      <c r="W5126" s="105"/>
      <c r="X5126" s="11"/>
      <c r="Y5126" s="11"/>
      <c r="Z5126" s="105"/>
      <c r="AA5126" s="11"/>
      <c r="AB5126" s="11"/>
      <c r="AC5126" s="105"/>
      <c r="AD5126" s="11" t="b">
        <v>0</v>
      </c>
      <c r="AE5126" s="105"/>
      <c r="AF5126" s="11"/>
      <c r="AG5126" s="11"/>
      <c r="AH5126" s="11"/>
      <c r="AI5126" s="11"/>
    </row>
    <row r="5127" ht="12.5" spans="3:35">
      <c r="C5127" s="19"/>
      <c r="D5127" s="19"/>
      <c r="H5127" s="105"/>
      <c r="I5127" s="126"/>
      <c r="J5127" s="11"/>
      <c r="K5127" s="108"/>
      <c r="L5127" s="11"/>
      <c r="M5127" s="105"/>
      <c r="N5127" s="105"/>
      <c r="O5127" s="11"/>
      <c r="P5127" s="11"/>
      <c r="Q5127" s="105"/>
      <c r="R5127" s="105"/>
      <c r="S5127" s="105"/>
      <c r="T5127" s="105"/>
      <c r="U5127" s="105"/>
      <c r="V5127" s="105"/>
      <c r="W5127" s="105"/>
      <c r="X5127" s="11"/>
      <c r="Y5127" s="11"/>
      <c r="Z5127" s="105"/>
      <c r="AA5127" s="11"/>
      <c r="AB5127" s="11"/>
      <c r="AC5127" s="105"/>
      <c r="AD5127" s="11" t="b">
        <v>0</v>
      </c>
      <c r="AE5127" s="105"/>
      <c r="AF5127" s="11"/>
      <c r="AG5127" s="11"/>
      <c r="AH5127" s="11"/>
      <c r="AI5127" s="11"/>
    </row>
    <row r="5128" ht="12.5" spans="3:35">
      <c r="C5128" s="19"/>
      <c r="D5128" s="19"/>
      <c r="H5128" s="105"/>
      <c r="I5128" s="126"/>
      <c r="J5128" s="11"/>
      <c r="K5128" s="108"/>
      <c r="L5128" s="11"/>
      <c r="M5128" s="105"/>
      <c r="N5128" s="105"/>
      <c r="O5128" s="11"/>
      <c r="P5128" s="11"/>
      <c r="Q5128" s="105"/>
      <c r="R5128" s="105"/>
      <c r="S5128" s="105"/>
      <c r="T5128" s="105"/>
      <c r="U5128" s="105"/>
      <c r="V5128" s="105"/>
      <c r="W5128" s="105"/>
      <c r="X5128" s="11"/>
      <c r="Y5128" s="11"/>
      <c r="Z5128" s="105"/>
      <c r="AA5128" s="11"/>
      <c r="AB5128" s="11"/>
      <c r="AC5128" s="105"/>
      <c r="AD5128" s="11" t="b">
        <v>0</v>
      </c>
      <c r="AE5128" s="105"/>
      <c r="AF5128" s="11"/>
      <c r="AG5128" s="11"/>
      <c r="AH5128" s="11"/>
      <c r="AI5128" s="11"/>
    </row>
    <row r="5129" ht="12.5" spans="3:35">
      <c r="C5129" s="19"/>
      <c r="D5129" s="19"/>
      <c r="H5129" s="105"/>
      <c r="I5129" s="126"/>
      <c r="J5129" s="11"/>
      <c r="K5129" s="108"/>
      <c r="L5129" s="11"/>
      <c r="M5129" s="105"/>
      <c r="N5129" s="105"/>
      <c r="O5129" s="11"/>
      <c r="P5129" s="11"/>
      <c r="Q5129" s="105"/>
      <c r="R5129" s="105"/>
      <c r="S5129" s="105"/>
      <c r="T5129" s="105"/>
      <c r="U5129" s="105"/>
      <c r="V5129" s="105"/>
      <c r="W5129" s="105"/>
      <c r="X5129" s="11"/>
      <c r="Y5129" s="11"/>
      <c r="Z5129" s="105"/>
      <c r="AA5129" s="11"/>
      <c r="AB5129" s="11"/>
      <c r="AC5129" s="105"/>
      <c r="AD5129" s="11" t="b">
        <v>0</v>
      </c>
      <c r="AE5129" s="105"/>
      <c r="AF5129" s="11"/>
      <c r="AG5129" s="11"/>
      <c r="AH5129" s="11"/>
      <c r="AI5129" s="11"/>
    </row>
    <row r="5130" ht="12.5" spans="3:35">
      <c r="C5130" s="19"/>
      <c r="D5130" s="19"/>
      <c r="H5130" s="105"/>
      <c r="I5130" s="126"/>
      <c r="J5130" s="11"/>
      <c r="K5130" s="108"/>
      <c r="L5130" s="11"/>
      <c r="M5130" s="105"/>
      <c r="N5130" s="105"/>
      <c r="O5130" s="11"/>
      <c r="P5130" s="11"/>
      <c r="Q5130" s="105"/>
      <c r="R5130" s="105"/>
      <c r="S5130" s="105"/>
      <c r="T5130" s="105"/>
      <c r="U5130" s="105"/>
      <c r="V5130" s="105"/>
      <c r="W5130" s="105"/>
      <c r="X5130" s="11"/>
      <c r="Y5130" s="11"/>
      <c r="Z5130" s="105"/>
      <c r="AA5130" s="11"/>
      <c r="AB5130" s="11"/>
      <c r="AC5130" s="105"/>
      <c r="AD5130" s="11" t="b">
        <v>0</v>
      </c>
      <c r="AE5130" s="105"/>
      <c r="AF5130" s="11"/>
      <c r="AG5130" s="11"/>
      <c r="AH5130" s="11"/>
      <c r="AI5130" s="11"/>
    </row>
    <row r="5131" ht="12.5" spans="3:35">
      <c r="C5131" s="19"/>
      <c r="D5131" s="19"/>
      <c r="H5131" s="105"/>
      <c r="I5131" s="126"/>
      <c r="J5131" s="11"/>
      <c r="K5131" s="108"/>
      <c r="L5131" s="11"/>
      <c r="M5131" s="105"/>
      <c r="N5131" s="105"/>
      <c r="O5131" s="11"/>
      <c r="P5131" s="11"/>
      <c r="Q5131" s="105"/>
      <c r="R5131" s="105"/>
      <c r="S5131" s="105"/>
      <c r="T5131" s="105"/>
      <c r="U5131" s="105"/>
      <c r="V5131" s="105"/>
      <c r="W5131" s="105"/>
      <c r="X5131" s="11"/>
      <c r="Y5131" s="11"/>
      <c r="Z5131" s="105"/>
      <c r="AA5131" s="11"/>
      <c r="AB5131" s="11"/>
      <c r="AC5131" s="105"/>
      <c r="AD5131" s="11" t="b">
        <v>0</v>
      </c>
      <c r="AE5131" s="105"/>
      <c r="AF5131" s="11"/>
      <c r="AG5131" s="11"/>
      <c r="AH5131" s="11"/>
      <c r="AI5131" s="11"/>
    </row>
    <row r="5132" ht="12.5" spans="3:35">
      <c r="C5132" s="19"/>
      <c r="D5132" s="19"/>
      <c r="H5132" s="105"/>
      <c r="I5132" s="126"/>
      <c r="J5132" s="11"/>
      <c r="K5132" s="108"/>
      <c r="L5132" s="11"/>
      <c r="M5132" s="105"/>
      <c r="N5132" s="105"/>
      <c r="O5132" s="11"/>
      <c r="P5132" s="11"/>
      <c r="Q5132" s="105"/>
      <c r="R5132" s="105"/>
      <c r="S5132" s="105"/>
      <c r="T5132" s="105"/>
      <c r="U5132" s="105"/>
      <c r="V5132" s="105"/>
      <c r="W5132" s="105"/>
      <c r="X5132" s="11"/>
      <c r="Y5132" s="11"/>
      <c r="Z5132" s="105"/>
      <c r="AA5132" s="11"/>
      <c r="AB5132" s="11"/>
      <c r="AC5132" s="105"/>
      <c r="AD5132" s="11" t="b">
        <v>0</v>
      </c>
      <c r="AE5132" s="105"/>
      <c r="AF5132" s="11"/>
      <c r="AG5132" s="11"/>
      <c r="AH5132" s="11"/>
      <c r="AI5132" s="11"/>
    </row>
    <row r="5133" ht="12.5" spans="3:35">
      <c r="C5133" s="19"/>
      <c r="D5133" s="19"/>
      <c r="H5133" s="105"/>
      <c r="I5133" s="126"/>
      <c r="J5133" s="11"/>
      <c r="K5133" s="108"/>
      <c r="L5133" s="11"/>
      <c r="M5133" s="105"/>
      <c r="N5133" s="105"/>
      <c r="O5133" s="11"/>
      <c r="P5133" s="11"/>
      <c r="Q5133" s="105"/>
      <c r="R5133" s="105"/>
      <c r="S5133" s="105"/>
      <c r="T5133" s="105"/>
      <c r="U5133" s="105"/>
      <c r="V5133" s="105"/>
      <c r="W5133" s="105"/>
      <c r="X5133" s="11"/>
      <c r="Y5133" s="11"/>
      <c r="Z5133" s="105"/>
      <c r="AA5133" s="11"/>
      <c r="AB5133" s="11"/>
      <c r="AC5133" s="105"/>
      <c r="AD5133" s="11" t="b">
        <v>0</v>
      </c>
      <c r="AE5133" s="105"/>
      <c r="AF5133" s="11"/>
      <c r="AG5133" s="11"/>
      <c r="AH5133" s="11"/>
      <c r="AI5133" s="11"/>
    </row>
    <row r="5134" ht="12.5" spans="3:35">
      <c r="C5134" s="19"/>
      <c r="D5134" s="19"/>
      <c r="H5134" s="105"/>
      <c r="I5134" s="126"/>
      <c r="J5134" s="11"/>
      <c r="K5134" s="108"/>
      <c r="L5134" s="11"/>
      <c r="M5134" s="105"/>
      <c r="N5134" s="105"/>
      <c r="O5134" s="11"/>
      <c r="P5134" s="11"/>
      <c r="Q5134" s="105"/>
      <c r="R5134" s="105"/>
      <c r="S5134" s="105"/>
      <c r="T5134" s="105"/>
      <c r="U5134" s="105"/>
      <c r="V5134" s="105"/>
      <c r="W5134" s="105"/>
      <c r="X5134" s="11"/>
      <c r="Y5134" s="11"/>
      <c r="Z5134" s="105"/>
      <c r="AA5134" s="11"/>
      <c r="AB5134" s="11"/>
      <c r="AC5134" s="105"/>
      <c r="AD5134" s="11" t="b">
        <v>0</v>
      </c>
      <c r="AE5134" s="105"/>
      <c r="AF5134" s="11"/>
      <c r="AG5134" s="11"/>
      <c r="AH5134" s="11"/>
      <c r="AI5134" s="11"/>
    </row>
    <row r="5135" ht="12.5" spans="3:35">
      <c r="C5135" s="19"/>
      <c r="D5135" s="19"/>
      <c r="H5135" s="105"/>
      <c r="I5135" s="126"/>
      <c r="J5135" s="11"/>
      <c r="K5135" s="108"/>
      <c r="L5135" s="11"/>
      <c r="M5135" s="105"/>
      <c r="N5135" s="105"/>
      <c r="O5135" s="11"/>
      <c r="P5135" s="11"/>
      <c r="Q5135" s="105"/>
      <c r="R5135" s="105"/>
      <c r="S5135" s="105"/>
      <c r="T5135" s="105"/>
      <c r="U5135" s="105"/>
      <c r="V5135" s="105"/>
      <c r="W5135" s="105"/>
      <c r="X5135" s="11"/>
      <c r="Y5135" s="11"/>
      <c r="Z5135" s="105"/>
      <c r="AA5135" s="11"/>
      <c r="AB5135" s="11"/>
      <c r="AC5135" s="105"/>
      <c r="AD5135" s="11" t="b">
        <v>0</v>
      </c>
      <c r="AE5135" s="105"/>
      <c r="AF5135" s="11"/>
      <c r="AG5135" s="11"/>
      <c r="AH5135" s="11"/>
      <c r="AI5135" s="11"/>
    </row>
    <row r="5136" ht="12.5" spans="3:35">
      <c r="C5136" s="19"/>
      <c r="D5136" s="19"/>
      <c r="H5136" s="105"/>
      <c r="I5136" s="126"/>
      <c r="J5136" s="11"/>
      <c r="K5136" s="108"/>
      <c r="L5136" s="11"/>
      <c r="M5136" s="105"/>
      <c r="N5136" s="105"/>
      <c r="O5136" s="11"/>
      <c r="P5136" s="11"/>
      <c r="Q5136" s="105"/>
      <c r="R5136" s="105"/>
      <c r="S5136" s="105"/>
      <c r="T5136" s="105"/>
      <c r="U5136" s="105"/>
      <c r="V5136" s="105"/>
      <c r="W5136" s="105"/>
      <c r="X5136" s="11"/>
      <c r="Y5136" s="11"/>
      <c r="Z5136" s="105"/>
      <c r="AA5136" s="11"/>
      <c r="AB5136" s="11"/>
      <c r="AC5136" s="105"/>
      <c r="AD5136" s="11" t="b">
        <v>0</v>
      </c>
      <c r="AE5136" s="105"/>
      <c r="AF5136" s="11"/>
      <c r="AG5136" s="11"/>
      <c r="AH5136" s="11"/>
      <c r="AI5136" s="11"/>
    </row>
    <row r="5137" ht="12.5" spans="3:35">
      <c r="C5137" s="19"/>
      <c r="D5137" s="19"/>
      <c r="H5137" s="105"/>
      <c r="I5137" s="126"/>
      <c r="J5137" s="11"/>
      <c r="K5137" s="108"/>
      <c r="L5137" s="11"/>
      <c r="M5137" s="105"/>
      <c r="N5137" s="105"/>
      <c r="O5137" s="11"/>
      <c r="P5137" s="11"/>
      <c r="Q5137" s="105"/>
      <c r="R5137" s="105"/>
      <c r="S5137" s="105"/>
      <c r="T5137" s="105"/>
      <c r="U5137" s="105"/>
      <c r="V5137" s="105"/>
      <c r="W5137" s="105"/>
      <c r="X5137" s="11"/>
      <c r="Y5137" s="11"/>
      <c r="Z5137" s="105"/>
      <c r="AA5137" s="11"/>
      <c r="AB5137" s="11"/>
      <c r="AC5137" s="105"/>
      <c r="AD5137" s="11" t="b">
        <v>0</v>
      </c>
      <c r="AE5137" s="105"/>
      <c r="AF5137" s="11"/>
      <c r="AG5137" s="11"/>
      <c r="AH5137" s="11"/>
      <c r="AI5137" s="11"/>
    </row>
    <row r="5138" ht="12.5" spans="3:35">
      <c r="C5138" s="19"/>
      <c r="D5138" s="19"/>
      <c r="H5138" s="105"/>
      <c r="I5138" s="126"/>
      <c r="J5138" s="11"/>
      <c r="K5138" s="108"/>
      <c r="L5138" s="11"/>
      <c r="M5138" s="105"/>
      <c r="N5138" s="105"/>
      <c r="O5138" s="11"/>
      <c r="P5138" s="11"/>
      <c r="Q5138" s="105"/>
      <c r="R5138" s="105"/>
      <c r="S5138" s="105"/>
      <c r="T5138" s="105"/>
      <c r="U5138" s="105"/>
      <c r="V5138" s="105"/>
      <c r="W5138" s="105"/>
      <c r="X5138" s="11"/>
      <c r="Y5138" s="11"/>
      <c r="Z5138" s="105"/>
      <c r="AA5138" s="11"/>
      <c r="AB5138" s="11"/>
      <c r="AC5138" s="105"/>
      <c r="AD5138" s="11" t="b">
        <v>0</v>
      </c>
      <c r="AE5138" s="105"/>
      <c r="AF5138" s="11"/>
      <c r="AG5138" s="11"/>
      <c r="AH5138" s="11"/>
      <c r="AI5138" s="11"/>
    </row>
    <row r="5139" ht="12.5" spans="3:35">
      <c r="C5139" s="19"/>
      <c r="D5139" s="19"/>
      <c r="H5139" s="105"/>
      <c r="I5139" s="126"/>
      <c r="J5139" s="11"/>
      <c r="K5139" s="108"/>
      <c r="L5139" s="11"/>
      <c r="M5139" s="105"/>
      <c r="N5139" s="105"/>
      <c r="O5139" s="11"/>
      <c r="P5139" s="11"/>
      <c r="Q5139" s="105"/>
      <c r="R5139" s="105"/>
      <c r="S5139" s="105"/>
      <c r="T5139" s="105"/>
      <c r="U5139" s="105"/>
      <c r="V5139" s="105"/>
      <c r="W5139" s="105"/>
      <c r="X5139" s="11"/>
      <c r="Y5139" s="11"/>
      <c r="Z5139" s="105"/>
      <c r="AA5139" s="11"/>
      <c r="AB5139" s="11"/>
      <c r="AC5139" s="105"/>
      <c r="AD5139" s="11" t="b">
        <v>0</v>
      </c>
      <c r="AE5139" s="105"/>
      <c r="AF5139" s="11"/>
      <c r="AG5139" s="11"/>
      <c r="AH5139" s="11"/>
      <c r="AI5139" s="11"/>
    </row>
    <row r="5140" ht="12.5" spans="3:35">
      <c r="C5140" s="19"/>
      <c r="D5140" s="19"/>
      <c r="H5140" s="105"/>
      <c r="I5140" s="126"/>
      <c r="J5140" s="11"/>
      <c r="K5140" s="108"/>
      <c r="L5140" s="11"/>
      <c r="M5140" s="105"/>
      <c r="N5140" s="105"/>
      <c r="O5140" s="11"/>
      <c r="P5140" s="11"/>
      <c r="Q5140" s="105"/>
      <c r="R5140" s="105"/>
      <c r="S5140" s="105"/>
      <c r="T5140" s="105"/>
      <c r="U5140" s="105"/>
      <c r="V5140" s="105"/>
      <c r="W5140" s="105"/>
      <c r="X5140" s="11"/>
      <c r="Y5140" s="11"/>
      <c r="Z5140" s="105"/>
      <c r="AA5140" s="11"/>
      <c r="AB5140" s="11"/>
      <c r="AC5140" s="105"/>
      <c r="AD5140" s="11" t="b">
        <v>0</v>
      </c>
      <c r="AE5140" s="105"/>
      <c r="AF5140" s="11"/>
      <c r="AG5140" s="11"/>
      <c r="AH5140" s="11"/>
      <c r="AI5140" s="11"/>
    </row>
    <row r="5141" ht="12.5" spans="3:35">
      <c r="C5141" s="19"/>
      <c r="D5141" s="19"/>
      <c r="H5141" s="105"/>
      <c r="I5141" s="126"/>
      <c r="J5141" s="11"/>
      <c r="K5141" s="108"/>
      <c r="L5141" s="11"/>
      <c r="M5141" s="105"/>
      <c r="N5141" s="105"/>
      <c r="O5141" s="11"/>
      <c r="P5141" s="11"/>
      <c r="Q5141" s="105"/>
      <c r="R5141" s="105"/>
      <c r="S5141" s="105"/>
      <c r="T5141" s="105"/>
      <c r="U5141" s="105"/>
      <c r="V5141" s="105"/>
      <c r="W5141" s="105"/>
      <c r="X5141" s="11"/>
      <c r="Y5141" s="11"/>
      <c r="Z5141" s="105"/>
      <c r="AA5141" s="11"/>
      <c r="AB5141" s="11"/>
      <c r="AC5141" s="105"/>
      <c r="AD5141" s="11" t="b">
        <v>0</v>
      </c>
      <c r="AE5141" s="105"/>
      <c r="AF5141" s="11"/>
      <c r="AG5141" s="11"/>
      <c r="AH5141" s="11"/>
      <c r="AI5141" s="11"/>
    </row>
    <row r="5142" ht="12.5" spans="3:35">
      <c r="C5142" s="19"/>
      <c r="D5142" s="19"/>
      <c r="H5142" s="105"/>
      <c r="I5142" s="126"/>
      <c r="J5142" s="11"/>
      <c r="K5142" s="108"/>
      <c r="L5142" s="11"/>
      <c r="M5142" s="105"/>
      <c r="N5142" s="105"/>
      <c r="O5142" s="11"/>
      <c r="P5142" s="11"/>
      <c r="Q5142" s="105"/>
      <c r="R5142" s="105"/>
      <c r="S5142" s="105"/>
      <c r="T5142" s="105"/>
      <c r="U5142" s="105"/>
      <c r="V5142" s="105"/>
      <c r="W5142" s="105"/>
      <c r="X5142" s="11"/>
      <c r="Y5142" s="11"/>
      <c r="Z5142" s="105"/>
      <c r="AA5142" s="11"/>
      <c r="AB5142" s="11"/>
      <c r="AC5142" s="105"/>
      <c r="AD5142" s="11" t="b">
        <v>0</v>
      </c>
      <c r="AE5142" s="105"/>
      <c r="AF5142" s="11"/>
      <c r="AG5142" s="11"/>
      <c r="AH5142" s="11"/>
      <c r="AI5142" s="11"/>
    </row>
    <row r="5143" ht="12.5" spans="3:35">
      <c r="C5143" s="19"/>
      <c r="D5143" s="19"/>
      <c r="H5143" s="105"/>
      <c r="I5143" s="126"/>
      <c r="J5143" s="11"/>
      <c r="K5143" s="108"/>
      <c r="L5143" s="11"/>
      <c r="M5143" s="105"/>
      <c r="N5143" s="105"/>
      <c r="O5143" s="11"/>
      <c r="P5143" s="11"/>
      <c r="Q5143" s="105"/>
      <c r="R5143" s="105"/>
      <c r="S5143" s="105"/>
      <c r="T5143" s="105"/>
      <c r="U5143" s="105"/>
      <c r="V5143" s="105"/>
      <c r="W5143" s="105"/>
      <c r="X5143" s="11"/>
      <c r="Y5143" s="11"/>
      <c r="Z5143" s="105"/>
      <c r="AA5143" s="11"/>
      <c r="AB5143" s="11"/>
      <c r="AC5143" s="105"/>
      <c r="AD5143" s="11" t="b">
        <v>0</v>
      </c>
      <c r="AE5143" s="105"/>
      <c r="AF5143" s="11"/>
      <c r="AG5143" s="11"/>
      <c r="AH5143" s="11"/>
      <c r="AI5143" s="11"/>
    </row>
    <row r="5144" ht="12.5" spans="3:35">
      <c r="C5144" s="19"/>
      <c r="D5144" s="19"/>
      <c r="H5144" s="105"/>
      <c r="I5144" s="126"/>
      <c r="J5144" s="11"/>
      <c r="K5144" s="108"/>
      <c r="L5144" s="11"/>
      <c r="M5144" s="105"/>
      <c r="N5144" s="105"/>
      <c r="O5144" s="11"/>
      <c r="P5144" s="11"/>
      <c r="Q5144" s="105"/>
      <c r="R5144" s="105"/>
      <c r="S5144" s="105"/>
      <c r="T5144" s="105"/>
      <c r="U5144" s="105"/>
      <c r="V5144" s="105"/>
      <c r="W5144" s="105"/>
      <c r="X5144" s="11"/>
      <c r="Y5144" s="11"/>
      <c r="Z5144" s="105"/>
      <c r="AA5144" s="11"/>
      <c r="AB5144" s="11"/>
      <c r="AC5144" s="105"/>
      <c r="AD5144" s="11" t="b">
        <v>0</v>
      </c>
      <c r="AE5144" s="105"/>
      <c r="AF5144" s="11"/>
      <c r="AG5144" s="11"/>
      <c r="AH5144" s="11"/>
      <c r="AI5144" s="11"/>
    </row>
    <row r="5145" ht="12.5" spans="3:35">
      <c r="C5145" s="19"/>
      <c r="D5145" s="19"/>
      <c r="H5145" s="105"/>
      <c r="I5145" s="126"/>
      <c r="J5145" s="11"/>
      <c r="K5145" s="108"/>
      <c r="L5145" s="11"/>
      <c r="M5145" s="105"/>
      <c r="N5145" s="105"/>
      <c r="O5145" s="11"/>
      <c r="P5145" s="11"/>
      <c r="Q5145" s="105"/>
      <c r="R5145" s="105"/>
      <c r="S5145" s="105"/>
      <c r="T5145" s="105"/>
      <c r="U5145" s="105"/>
      <c r="V5145" s="105"/>
      <c r="W5145" s="105"/>
      <c r="X5145" s="11"/>
      <c r="Y5145" s="11"/>
      <c r="Z5145" s="105"/>
      <c r="AA5145" s="11"/>
      <c r="AB5145" s="11"/>
      <c r="AC5145" s="105"/>
      <c r="AD5145" s="11" t="b">
        <v>0</v>
      </c>
      <c r="AE5145" s="105"/>
      <c r="AF5145" s="11"/>
      <c r="AG5145" s="11"/>
      <c r="AH5145" s="11"/>
      <c r="AI5145" s="11"/>
    </row>
    <row r="5146" ht="12.5" spans="3:35">
      <c r="C5146" s="19"/>
      <c r="D5146" s="19"/>
      <c r="H5146" s="105"/>
      <c r="I5146" s="126"/>
      <c r="J5146" s="11"/>
      <c r="K5146" s="108"/>
      <c r="L5146" s="11"/>
      <c r="M5146" s="105"/>
      <c r="N5146" s="105"/>
      <c r="O5146" s="11"/>
      <c r="P5146" s="11"/>
      <c r="Q5146" s="105"/>
      <c r="R5146" s="105"/>
      <c r="S5146" s="105"/>
      <c r="T5146" s="105"/>
      <c r="U5146" s="105"/>
      <c r="V5146" s="105"/>
      <c r="W5146" s="105"/>
      <c r="X5146" s="11"/>
      <c r="Y5146" s="11"/>
      <c r="Z5146" s="105"/>
      <c r="AA5146" s="11"/>
      <c r="AB5146" s="11"/>
      <c r="AC5146" s="105"/>
      <c r="AD5146" s="11" t="b">
        <v>0</v>
      </c>
      <c r="AE5146" s="105"/>
      <c r="AF5146" s="11"/>
      <c r="AG5146" s="11"/>
      <c r="AH5146" s="11"/>
      <c r="AI5146" s="11"/>
    </row>
    <row r="5147" ht="12.5" spans="3:35">
      <c r="C5147" s="19"/>
      <c r="D5147" s="19"/>
      <c r="H5147" s="105"/>
      <c r="I5147" s="126"/>
      <c r="J5147" s="11"/>
      <c r="K5147" s="108"/>
      <c r="L5147" s="11"/>
      <c r="M5147" s="105"/>
      <c r="N5147" s="105"/>
      <c r="O5147" s="11"/>
      <c r="P5147" s="11"/>
      <c r="Q5147" s="105"/>
      <c r="R5147" s="105"/>
      <c r="S5147" s="105"/>
      <c r="T5147" s="105"/>
      <c r="U5147" s="105"/>
      <c r="V5147" s="105"/>
      <c r="W5147" s="105"/>
      <c r="X5147" s="11"/>
      <c r="Y5147" s="11"/>
      <c r="Z5147" s="105"/>
      <c r="AA5147" s="11"/>
      <c r="AB5147" s="11"/>
      <c r="AC5147" s="105"/>
      <c r="AD5147" s="11" t="b">
        <v>0</v>
      </c>
      <c r="AE5147" s="105"/>
      <c r="AF5147" s="11"/>
      <c r="AG5147" s="11"/>
      <c r="AH5147" s="11"/>
      <c r="AI5147" s="11"/>
    </row>
    <row r="5148" ht="12.5" spans="3:35">
      <c r="C5148" s="19"/>
      <c r="D5148" s="19"/>
      <c r="H5148" s="105"/>
      <c r="I5148" s="126"/>
      <c r="J5148" s="11"/>
      <c r="K5148" s="108"/>
      <c r="L5148" s="11"/>
      <c r="M5148" s="105"/>
      <c r="N5148" s="105"/>
      <c r="O5148" s="11"/>
      <c r="P5148" s="11"/>
      <c r="Q5148" s="105"/>
      <c r="R5148" s="105"/>
      <c r="S5148" s="105"/>
      <c r="T5148" s="105"/>
      <c r="U5148" s="105"/>
      <c r="V5148" s="105"/>
      <c r="W5148" s="105"/>
      <c r="X5148" s="11"/>
      <c r="Y5148" s="11"/>
      <c r="Z5148" s="105"/>
      <c r="AA5148" s="11"/>
      <c r="AB5148" s="11"/>
      <c r="AC5148" s="105"/>
      <c r="AD5148" s="11" t="b">
        <v>0</v>
      </c>
      <c r="AE5148" s="105"/>
      <c r="AF5148" s="11"/>
      <c r="AG5148" s="11"/>
      <c r="AH5148" s="11"/>
      <c r="AI5148" s="11"/>
    </row>
    <row r="5149" ht="12.5" spans="3:35">
      <c r="C5149" s="19"/>
      <c r="D5149" s="19"/>
      <c r="H5149" s="105"/>
      <c r="I5149" s="126"/>
      <c r="J5149" s="11"/>
      <c r="K5149" s="108"/>
      <c r="L5149" s="11"/>
      <c r="M5149" s="105"/>
      <c r="N5149" s="105"/>
      <c r="O5149" s="11"/>
      <c r="P5149" s="11"/>
      <c r="Q5149" s="105"/>
      <c r="R5149" s="105"/>
      <c r="S5149" s="105"/>
      <c r="T5149" s="105"/>
      <c r="U5149" s="105"/>
      <c r="V5149" s="105"/>
      <c r="W5149" s="105"/>
      <c r="X5149" s="11"/>
      <c r="Y5149" s="11"/>
      <c r="Z5149" s="105"/>
      <c r="AA5149" s="11"/>
      <c r="AB5149" s="11"/>
      <c r="AC5149" s="105"/>
      <c r="AD5149" s="11" t="b">
        <v>0</v>
      </c>
      <c r="AE5149" s="105"/>
      <c r="AF5149" s="11"/>
      <c r="AG5149" s="11"/>
      <c r="AH5149" s="11"/>
      <c r="AI5149" s="11"/>
    </row>
    <row r="5150" ht="12.5" spans="3:35">
      <c r="C5150" s="19"/>
      <c r="D5150" s="19"/>
      <c r="H5150" s="105"/>
      <c r="I5150" s="126"/>
      <c r="J5150" s="11"/>
      <c r="K5150" s="108"/>
      <c r="L5150" s="11"/>
      <c r="M5150" s="105"/>
      <c r="N5150" s="105"/>
      <c r="O5150" s="11"/>
      <c r="P5150" s="11"/>
      <c r="Q5150" s="105"/>
      <c r="R5150" s="105"/>
      <c r="S5150" s="105"/>
      <c r="T5150" s="105"/>
      <c r="U5150" s="105"/>
      <c r="V5150" s="105"/>
      <c r="W5150" s="105"/>
      <c r="X5150" s="11"/>
      <c r="Y5150" s="11"/>
      <c r="Z5150" s="105"/>
      <c r="AA5150" s="11"/>
      <c r="AB5150" s="11"/>
      <c r="AC5150" s="105"/>
      <c r="AD5150" s="11" t="b">
        <v>0</v>
      </c>
      <c r="AE5150" s="105"/>
      <c r="AF5150" s="11"/>
      <c r="AG5150" s="11"/>
      <c r="AH5150" s="11"/>
      <c r="AI5150" s="11"/>
    </row>
    <row r="5151" ht="12.5" spans="3:35">
      <c r="C5151" s="19"/>
      <c r="D5151" s="19"/>
      <c r="H5151" s="105"/>
      <c r="I5151" s="126"/>
      <c r="J5151" s="11"/>
      <c r="K5151" s="108"/>
      <c r="L5151" s="11"/>
      <c r="M5151" s="105"/>
      <c r="N5151" s="105"/>
      <c r="O5151" s="11"/>
      <c r="P5151" s="11"/>
      <c r="Q5151" s="105"/>
      <c r="R5151" s="105"/>
      <c r="S5151" s="105"/>
      <c r="T5151" s="105"/>
      <c r="U5151" s="105"/>
      <c r="V5151" s="105"/>
      <c r="W5151" s="105"/>
      <c r="X5151" s="11"/>
      <c r="Y5151" s="11"/>
      <c r="Z5151" s="105"/>
      <c r="AA5151" s="11"/>
      <c r="AB5151" s="11"/>
      <c r="AC5151" s="105"/>
      <c r="AD5151" s="11" t="b">
        <v>0</v>
      </c>
      <c r="AE5151" s="105"/>
      <c r="AF5151" s="11"/>
      <c r="AG5151" s="11"/>
      <c r="AH5151" s="11"/>
      <c r="AI5151" s="11"/>
    </row>
    <row r="5152" ht="12.5" spans="3:35">
      <c r="C5152" s="19"/>
      <c r="D5152" s="19"/>
      <c r="H5152" s="105"/>
      <c r="I5152" s="126"/>
      <c r="J5152" s="11"/>
      <c r="K5152" s="108"/>
      <c r="L5152" s="11"/>
      <c r="M5152" s="105"/>
      <c r="N5152" s="105"/>
      <c r="O5152" s="11"/>
      <c r="P5152" s="11"/>
      <c r="Q5152" s="105"/>
      <c r="R5152" s="105"/>
      <c r="S5152" s="105"/>
      <c r="T5152" s="105"/>
      <c r="U5152" s="105"/>
      <c r="V5152" s="105"/>
      <c r="W5152" s="105"/>
      <c r="X5152" s="11"/>
      <c r="Y5152" s="11"/>
      <c r="Z5152" s="105"/>
      <c r="AA5152" s="11"/>
      <c r="AB5152" s="11"/>
      <c r="AC5152" s="105"/>
      <c r="AD5152" s="11" t="b">
        <v>0</v>
      </c>
      <c r="AE5152" s="105"/>
      <c r="AF5152" s="11"/>
      <c r="AG5152" s="11"/>
      <c r="AH5152" s="11"/>
      <c r="AI5152" s="11"/>
    </row>
    <row r="5153" ht="12.5" spans="3:35">
      <c r="C5153" s="19"/>
      <c r="D5153" s="19"/>
      <c r="H5153" s="105"/>
      <c r="I5153" s="126"/>
      <c r="J5153" s="11"/>
      <c r="K5153" s="108"/>
      <c r="L5153" s="11"/>
      <c r="M5153" s="105"/>
      <c r="N5153" s="105"/>
      <c r="O5153" s="11"/>
      <c r="P5153" s="11"/>
      <c r="Q5153" s="105"/>
      <c r="R5153" s="105"/>
      <c r="S5153" s="105"/>
      <c r="T5153" s="105"/>
      <c r="U5153" s="105"/>
      <c r="V5153" s="105"/>
      <c r="W5153" s="105"/>
      <c r="X5153" s="11"/>
      <c r="Y5153" s="11"/>
      <c r="Z5153" s="105"/>
      <c r="AA5153" s="11"/>
      <c r="AB5153" s="11"/>
      <c r="AC5153" s="105"/>
      <c r="AD5153" s="11" t="b">
        <v>0</v>
      </c>
      <c r="AE5153" s="105"/>
      <c r="AF5153" s="11"/>
      <c r="AG5153" s="11"/>
      <c r="AH5153" s="11"/>
      <c r="AI5153" s="11"/>
    </row>
    <row r="5154" ht="12.5" spans="3:35">
      <c r="C5154" s="19"/>
      <c r="D5154" s="19"/>
      <c r="H5154" s="105"/>
      <c r="I5154" s="126"/>
      <c r="J5154" s="11"/>
      <c r="K5154" s="108"/>
      <c r="L5154" s="11"/>
      <c r="M5154" s="105"/>
      <c r="N5154" s="105"/>
      <c r="O5154" s="11"/>
      <c r="P5154" s="11"/>
      <c r="Q5154" s="105"/>
      <c r="R5154" s="105"/>
      <c r="S5154" s="105"/>
      <c r="T5154" s="105"/>
      <c r="U5154" s="105"/>
      <c r="V5154" s="105"/>
      <c r="W5154" s="105"/>
      <c r="X5154" s="11"/>
      <c r="Y5154" s="11"/>
      <c r="Z5154" s="105"/>
      <c r="AA5154" s="11"/>
      <c r="AB5154" s="11"/>
      <c r="AC5154" s="105"/>
      <c r="AD5154" s="11" t="b">
        <v>0</v>
      </c>
      <c r="AE5154" s="105"/>
      <c r="AF5154" s="11"/>
      <c r="AG5154" s="11"/>
      <c r="AH5154" s="11"/>
      <c r="AI5154" s="11"/>
    </row>
    <row r="5155" ht="12.5" spans="3:35">
      <c r="C5155" s="19"/>
      <c r="D5155" s="19"/>
      <c r="H5155" s="105"/>
      <c r="I5155" s="126"/>
      <c r="J5155" s="11"/>
      <c r="K5155" s="108"/>
      <c r="L5155" s="11"/>
      <c r="M5155" s="105"/>
      <c r="N5155" s="105"/>
      <c r="O5155" s="11"/>
      <c r="P5155" s="11"/>
      <c r="Q5155" s="105"/>
      <c r="R5155" s="105"/>
      <c r="S5155" s="105"/>
      <c r="T5155" s="105"/>
      <c r="U5155" s="105"/>
      <c r="V5155" s="105"/>
      <c r="W5155" s="105"/>
      <c r="X5155" s="11"/>
      <c r="Y5155" s="11"/>
      <c r="Z5155" s="105"/>
      <c r="AA5155" s="11"/>
      <c r="AB5155" s="11"/>
      <c r="AC5155" s="105"/>
      <c r="AD5155" s="11" t="b">
        <v>0</v>
      </c>
      <c r="AE5155" s="105"/>
      <c r="AF5155" s="11"/>
      <c r="AG5155" s="11"/>
      <c r="AH5155" s="11"/>
      <c r="AI5155" s="11"/>
    </row>
    <row r="5156" ht="12.5" spans="3:35">
      <c r="C5156" s="19"/>
      <c r="D5156" s="19"/>
      <c r="H5156" s="105"/>
      <c r="I5156" s="126"/>
      <c r="J5156" s="11"/>
      <c r="K5156" s="108"/>
      <c r="L5156" s="11"/>
      <c r="M5156" s="105"/>
      <c r="N5156" s="105"/>
      <c r="O5156" s="11"/>
      <c r="P5156" s="11"/>
      <c r="Q5156" s="105"/>
      <c r="R5156" s="105"/>
      <c r="S5156" s="105"/>
      <c r="T5156" s="105"/>
      <c r="U5156" s="105"/>
      <c r="V5156" s="105"/>
      <c r="W5156" s="105"/>
      <c r="X5156" s="11"/>
      <c r="Y5156" s="11"/>
      <c r="Z5156" s="105"/>
      <c r="AA5156" s="11"/>
      <c r="AB5156" s="11"/>
      <c r="AC5156" s="105"/>
      <c r="AD5156" s="11" t="b">
        <v>0</v>
      </c>
      <c r="AE5156" s="105"/>
      <c r="AF5156" s="11"/>
      <c r="AG5156" s="11"/>
      <c r="AH5156" s="11"/>
      <c r="AI5156" s="11"/>
    </row>
    <row r="5157" ht="12.5" spans="3:35">
      <c r="C5157" s="19"/>
      <c r="D5157" s="19"/>
      <c r="H5157" s="105"/>
      <c r="I5157" s="126"/>
      <c r="J5157" s="11"/>
      <c r="K5157" s="108"/>
      <c r="L5157" s="11"/>
      <c r="M5157" s="105"/>
      <c r="N5157" s="105"/>
      <c r="O5157" s="11"/>
      <c r="P5157" s="11"/>
      <c r="Q5157" s="105"/>
      <c r="R5157" s="105"/>
      <c r="S5157" s="105"/>
      <c r="T5157" s="105"/>
      <c r="U5157" s="105"/>
      <c r="V5157" s="105"/>
      <c r="W5157" s="105"/>
      <c r="X5157" s="11"/>
      <c r="Y5157" s="11"/>
      <c r="Z5157" s="105"/>
      <c r="AA5157" s="11"/>
      <c r="AB5157" s="11"/>
      <c r="AC5157" s="105"/>
      <c r="AD5157" s="11" t="b">
        <v>0</v>
      </c>
      <c r="AE5157" s="105"/>
      <c r="AF5157" s="11"/>
      <c r="AG5157" s="11"/>
      <c r="AH5157" s="11"/>
      <c r="AI5157" s="11"/>
    </row>
    <row r="5158" ht="12.5" spans="3:35">
      <c r="C5158" s="19"/>
      <c r="D5158" s="19"/>
      <c r="H5158" s="105"/>
      <c r="I5158" s="126"/>
      <c r="J5158" s="11"/>
      <c r="K5158" s="108"/>
      <c r="L5158" s="11"/>
      <c r="M5158" s="105"/>
      <c r="N5158" s="105"/>
      <c r="O5158" s="11"/>
      <c r="P5158" s="11"/>
      <c r="Q5158" s="105"/>
      <c r="R5158" s="105"/>
      <c r="S5158" s="105"/>
      <c r="T5158" s="105"/>
      <c r="U5158" s="105"/>
      <c r="V5158" s="105"/>
      <c r="W5158" s="105"/>
      <c r="X5158" s="11"/>
      <c r="Y5158" s="11"/>
      <c r="Z5158" s="105"/>
      <c r="AA5158" s="11"/>
      <c r="AB5158" s="11"/>
      <c r="AC5158" s="105"/>
      <c r="AD5158" s="11" t="b">
        <v>0</v>
      </c>
      <c r="AE5158" s="105"/>
      <c r="AF5158" s="11"/>
      <c r="AG5158" s="11"/>
      <c r="AH5158" s="11"/>
      <c r="AI5158" s="11"/>
    </row>
    <row r="5159" ht="12.5" spans="3:35">
      <c r="C5159" s="19"/>
      <c r="D5159" s="19"/>
      <c r="H5159" s="105"/>
      <c r="I5159" s="126"/>
      <c r="J5159" s="11"/>
      <c r="K5159" s="108"/>
      <c r="L5159" s="11"/>
      <c r="M5159" s="105"/>
      <c r="N5159" s="105"/>
      <c r="O5159" s="11"/>
      <c r="P5159" s="11"/>
      <c r="Q5159" s="105"/>
      <c r="R5159" s="105"/>
      <c r="S5159" s="105"/>
      <c r="T5159" s="105"/>
      <c r="U5159" s="105"/>
      <c r="V5159" s="105"/>
      <c r="W5159" s="105"/>
      <c r="X5159" s="11"/>
      <c r="Y5159" s="11"/>
      <c r="Z5159" s="105"/>
      <c r="AA5159" s="11"/>
      <c r="AB5159" s="11"/>
      <c r="AC5159" s="105"/>
      <c r="AD5159" s="11" t="b">
        <v>0</v>
      </c>
      <c r="AE5159" s="105"/>
      <c r="AF5159" s="11"/>
      <c r="AG5159" s="11"/>
      <c r="AH5159" s="11"/>
      <c r="AI5159" s="11"/>
    </row>
    <row r="5160" ht="12.5" spans="3:35">
      <c r="C5160" s="19"/>
      <c r="D5160" s="19"/>
      <c r="H5160" s="105"/>
      <c r="I5160" s="126"/>
      <c r="J5160" s="11"/>
      <c r="K5160" s="108"/>
      <c r="L5160" s="11"/>
      <c r="M5160" s="105"/>
      <c r="N5160" s="105"/>
      <c r="O5160" s="11"/>
      <c r="P5160" s="11"/>
      <c r="Q5160" s="105"/>
      <c r="R5160" s="105"/>
      <c r="S5160" s="105"/>
      <c r="T5160" s="105"/>
      <c r="U5160" s="105"/>
      <c r="V5160" s="105"/>
      <c r="W5160" s="105"/>
      <c r="X5160" s="11"/>
      <c r="Y5160" s="11"/>
      <c r="Z5160" s="105"/>
      <c r="AA5160" s="11"/>
      <c r="AB5160" s="11"/>
      <c r="AC5160" s="105"/>
      <c r="AD5160" s="11" t="b">
        <v>0</v>
      </c>
      <c r="AE5160" s="105"/>
      <c r="AF5160" s="11"/>
      <c r="AG5160" s="11"/>
      <c r="AH5160" s="11"/>
      <c r="AI5160" s="11"/>
    </row>
    <row r="5161" ht="12.5" spans="3:35">
      <c r="C5161" s="19"/>
      <c r="D5161" s="19"/>
      <c r="H5161" s="105"/>
      <c r="I5161" s="126"/>
      <c r="J5161" s="11"/>
      <c r="K5161" s="108"/>
      <c r="L5161" s="11"/>
      <c r="M5161" s="105"/>
      <c r="N5161" s="105"/>
      <c r="O5161" s="11"/>
      <c r="P5161" s="11"/>
      <c r="Q5161" s="105"/>
      <c r="R5161" s="105"/>
      <c r="S5161" s="105"/>
      <c r="T5161" s="105"/>
      <c r="U5161" s="105"/>
      <c r="V5161" s="105"/>
      <c r="W5161" s="105"/>
      <c r="X5161" s="11"/>
      <c r="Y5161" s="11"/>
      <c r="Z5161" s="105"/>
      <c r="AA5161" s="11"/>
      <c r="AB5161" s="11"/>
      <c r="AC5161" s="105"/>
      <c r="AD5161" s="11" t="b">
        <v>0</v>
      </c>
      <c r="AE5161" s="105"/>
      <c r="AF5161" s="11"/>
      <c r="AG5161" s="11"/>
      <c r="AH5161" s="11"/>
      <c r="AI5161" s="11"/>
    </row>
    <row r="5162" ht="12.5" spans="3:35">
      <c r="C5162" s="19"/>
      <c r="D5162" s="19"/>
      <c r="H5162" s="105"/>
      <c r="I5162" s="126"/>
      <c r="J5162" s="11"/>
      <c r="K5162" s="108"/>
      <c r="L5162" s="11"/>
      <c r="M5162" s="105"/>
      <c r="N5162" s="105"/>
      <c r="O5162" s="11"/>
      <c r="P5162" s="11"/>
      <c r="Q5162" s="105"/>
      <c r="R5162" s="105"/>
      <c r="S5162" s="105"/>
      <c r="T5162" s="105"/>
      <c r="U5162" s="105"/>
      <c r="V5162" s="105"/>
      <c r="W5162" s="105"/>
      <c r="X5162" s="11"/>
      <c r="Y5162" s="11"/>
      <c r="Z5162" s="105"/>
      <c r="AA5162" s="11"/>
      <c r="AB5162" s="11"/>
      <c r="AC5162" s="105"/>
      <c r="AD5162" s="11" t="b">
        <v>0</v>
      </c>
      <c r="AE5162" s="105"/>
      <c r="AF5162" s="11"/>
      <c r="AG5162" s="11"/>
      <c r="AH5162" s="11"/>
      <c r="AI5162" s="11"/>
    </row>
    <row r="5163" ht="12.5" spans="3:35">
      <c r="C5163" s="19"/>
      <c r="D5163" s="19"/>
      <c r="H5163" s="105"/>
      <c r="I5163" s="126"/>
      <c r="J5163" s="11"/>
      <c r="K5163" s="108"/>
      <c r="L5163" s="11"/>
      <c r="M5163" s="105"/>
      <c r="N5163" s="105"/>
      <c r="O5163" s="11"/>
      <c r="P5163" s="11"/>
      <c r="Q5163" s="105"/>
      <c r="R5163" s="105"/>
      <c r="S5163" s="105"/>
      <c r="T5163" s="105"/>
      <c r="U5163" s="105"/>
      <c r="V5163" s="105"/>
      <c r="W5163" s="105"/>
      <c r="X5163" s="11"/>
      <c r="Y5163" s="11"/>
      <c r="Z5163" s="105"/>
      <c r="AA5163" s="11"/>
      <c r="AB5163" s="11"/>
      <c r="AC5163" s="105"/>
      <c r="AD5163" s="11" t="b">
        <v>0</v>
      </c>
      <c r="AE5163" s="105"/>
      <c r="AF5163" s="11"/>
      <c r="AG5163" s="11"/>
      <c r="AH5163" s="11"/>
      <c r="AI5163" s="11"/>
    </row>
    <row r="5164" ht="12.5" spans="3:35">
      <c r="C5164" s="19"/>
      <c r="D5164" s="19"/>
      <c r="H5164" s="105"/>
      <c r="I5164" s="126"/>
      <c r="J5164" s="11"/>
      <c r="K5164" s="108"/>
      <c r="L5164" s="11"/>
      <c r="M5164" s="105"/>
      <c r="N5164" s="105"/>
      <c r="O5164" s="11"/>
      <c r="P5164" s="11"/>
      <c r="Q5164" s="105"/>
      <c r="R5164" s="105"/>
      <c r="S5164" s="105"/>
      <c r="T5164" s="105"/>
      <c r="U5164" s="105"/>
      <c r="V5164" s="105"/>
      <c r="W5164" s="105"/>
      <c r="X5164" s="11"/>
      <c r="Y5164" s="11"/>
      <c r="Z5164" s="105"/>
      <c r="AA5164" s="11"/>
      <c r="AB5164" s="11"/>
      <c r="AC5164" s="105"/>
      <c r="AD5164" s="11" t="b">
        <v>0</v>
      </c>
      <c r="AE5164" s="105"/>
      <c r="AF5164" s="11"/>
      <c r="AG5164" s="11"/>
      <c r="AH5164" s="11"/>
      <c r="AI5164" s="11"/>
    </row>
    <row r="5165" ht="12.5" spans="3:35">
      <c r="C5165" s="19"/>
      <c r="D5165" s="19"/>
      <c r="H5165" s="105"/>
      <c r="I5165" s="126"/>
      <c r="J5165" s="11"/>
      <c r="K5165" s="108"/>
      <c r="L5165" s="11"/>
      <c r="M5165" s="105"/>
      <c r="N5165" s="105"/>
      <c r="O5165" s="11"/>
      <c r="P5165" s="11"/>
      <c r="Q5165" s="105"/>
      <c r="R5165" s="105"/>
      <c r="S5165" s="105"/>
      <c r="T5165" s="105"/>
      <c r="U5165" s="105"/>
      <c r="V5165" s="105"/>
      <c r="W5165" s="105"/>
      <c r="X5165" s="11"/>
      <c r="Y5165" s="11"/>
      <c r="Z5165" s="105"/>
      <c r="AA5165" s="11"/>
      <c r="AB5165" s="11"/>
      <c r="AC5165" s="105"/>
      <c r="AD5165" s="11" t="b">
        <v>0</v>
      </c>
      <c r="AE5165" s="105"/>
      <c r="AF5165" s="11"/>
      <c r="AG5165" s="11"/>
      <c r="AH5165" s="11"/>
      <c r="AI5165" s="11"/>
    </row>
    <row r="5166" ht="12.5" spans="3:35">
      <c r="C5166" s="19"/>
      <c r="D5166" s="19"/>
      <c r="H5166" s="105"/>
      <c r="I5166" s="126"/>
      <c r="J5166" s="11"/>
      <c r="K5166" s="108"/>
      <c r="L5166" s="11"/>
      <c r="M5166" s="105"/>
      <c r="N5166" s="105"/>
      <c r="O5166" s="11"/>
      <c r="P5166" s="11"/>
      <c r="Q5166" s="105"/>
      <c r="R5166" s="105"/>
      <c r="S5166" s="105"/>
      <c r="T5166" s="105"/>
      <c r="U5166" s="105"/>
      <c r="V5166" s="105"/>
      <c r="W5166" s="105"/>
      <c r="X5166" s="11"/>
      <c r="Y5166" s="11"/>
      <c r="Z5166" s="105"/>
      <c r="AA5166" s="11"/>
      <c r="AB5166" s="11"/>
      <c r="AC5166" s="105"/>
      <c r="AD5166" s="11" t="b">
        <v>0</v>
      </c>
      <c r="AE5166" s="105"/>
      <c r="AF5166" s="11"/>
      <c r="AG5166" s="11"/>
      <c r="AH5166" s="11"/>
      <c r="AI5166" s="11"/>
    </row>
    <row r="5167" ht="12.5" spans="3:35">
      <c r="C5167" s="19"/>
      <c r="D5167" s="19"/>
      <c r="H5167" s="105"/>
      <c r="I5167" s="126"/>
      <c r="J5167" s="11"/>
      <c r="K5167" s="108"/>
      <c r="L5167" s="11"/>
      <c r="M5167" s="105"/>
      <c r="N5167" s="105"/>
      <c r="O5167" s="11"/>
      <c r="P5167" s="11"/>
      <c r="Q5167" s="105"/>
      <c r="R5167" s="105"/>
      <c r="S5167" s="105"/>
      <c r="T5167" s="105"/>
      <c r="U5167" s="105"/>
      <c r="V5167" s="105"/>
      <c r="W5167" s="105"/>
      <c r="X5167" s="11"/>
      <c r="Y5167" s="11"/>
      <c r="Z5167" s="105"/>
      <c r="AA5167" s="11"/>
      <c r="AB5167" s="11"/>
      <c r="AC5167" s="105"/>
      <c r="AD5167" s="11" t="b">
        <v>0</v>
      </c>
      <c r="AE5167" s="105"/>
      <c r="AF5167" s="11"/>
      <c r="AG5167" s="11"/>
      <c r="AH5167" s="11"/>
      <c r="AI5167" s="11"/>
    </row>
    <row r="5168" ht="12.5" spans="3:35">
      <c r="C5168" s="19"/>
      <c r="D5168" s="19"/>
      <c r="H5168" s="105"/>
      <c r="I5168" s="126"/>
      <c r="J5168" s="11"/>
      <c r="K5168" s="108"/>
      <c r="L5168" s="11"/>
      <c r="M5168" s="105"/>
      <c r="N5168" s="105"/>
      <c r="O5168" s="11"/>
      <c r="P5168" s="11"/>
      <c r="Q5168" s="105"/>
      <c r="R5168" s="105"/>
      <c r="S5168" s="105"/>
      <c r="T5168" s="105"/>
      <c r="U5168" s="105"/>
      <c r="V5168" s="105"/>
      <c r="W5168" s="105"/>
      <c r="X5168" s="11"/>
      <c r="Y5168" s="11"/>
      <c r="Z5168" s="105"/>
      <c r="AA5168" s="11"/>
      <c r="AB5168" s="11"/>
      <c r="AC5168" s="105"/>
      <c r="AD5168" s="11" t="b">
        <v>0</v>
      </c>
      <c r="AE5168" s="105"/>
      <c r="AF5168" s="11"/>
      <c r="AG5168" s="11"/>
      <c r="AH5168" s="11"/>
      <c r="AI5168" s="11"/>
    </row>
    <row r="5169" ht="12.5" spans="3:35">
      <c r="C5169" s="19"/>
      <c r="D5169" s="19"/>
      <c r="H5169" s="105"/>
      <c r="I5169" s="126"/>
      <c r="J5169" s="11"/>
      <c r="K5169" s="108"/>
      <c r="L5169" s="11"/>
      <c r="M5169" s="105"/>
      <c r="N5169" s="105"/>
      <c r="O5169" s="11"/>
      <c r="P5169" s="11"/>
      <c r="Q5169" s="105"/>
      <c r="R5169" s="105"/>
      <c r="S5169" s="105"/>
      <c r="T5169" s="105"/>
      <c r="U5169" s="105"/>
      <c r="V5169" s="105"/>
      <c r="W5169" s="105"/>
      <c r="X5169" s="11"/>
      <c r="Y5169" s="11"/>
      <c r="Z5169" s="105"/>
      <c r="AA5169" s="11"/>
      <c r="AB5169" s="11"/>
      <c r="AC5169" s="105"/>
      <c r="AD5169" s="11" t="b">
        <v>0</v>
      </c>
      <c r="AE5169" s="105"/>
      <c r="AF5169" s="11"/>
      <c r="AG5169" s="11"/>
      <c r="AH5169" s="11"/>
      <c r="AI5169" s="11"/>
    </row>
    <row r="5170" ht="12.5" spans="3:35">
      <c r="C5170" s="19"/>
      <c r="D5170" s="19"/>
      <c r="H5170" s="105"/>
      <c r="I5170" s="126"/>
      <c r="J5170" s="11"/>
      <c r="K5170" s="108"/>
      <c r="L5170" s="11"/>
      <c r="M5170" s="105"/>
      <c r="N5170" s="105"/>
      <c r="O5170" s="11"/>
      <c r="P5170" s="11"/>
      <c r="Q5170" s="105"/>
      <c r="R5170" s="105"/>
      <c r="S5170" s="105"/>
      <c r="T5170" s="105"/>
      <c r="U5170" s="105"/>
      <c r="V5170" s="105"/>
      <c r="W5170" s="105"/>
      <c r="X5170" s="11"/>
      <c r="Y5170" s="11"/>
      <c r="Z5170" s="105"/>
      <c r="AA5170" s="11"/>
      <c r="AB5170" s="11"/>
      <c r="AC5170" s="105"/>
      <c r="AD5170" s="11" t="b">
        <v>0</v>
      </c>
      <c r="AE5170" s="105"/>
      <c r="AF5170" s="11"/>
      <c r="AG5170" s="11"/>
      <c r="AH5170" s="11"/>
      <c r="AI5170" s="11"/>
    </row>
    <row r="5171" ht="12.5" spans="3:35">
      <c r="C5171" s="19"/>
      <c r="D5171" s="19"/>
      <c r="H5171" s="105"/>
      <c r="I5171" s="126"/>
      <c r="J5171" s="11"/>
      <c r="K5171" s="108"/>
      <c r="L5171" s="11"/>
      <c r="M5171" s="105"/>
      <c r="N5171" s="105"/>
      <c r="O5171" s="11"/>
      <c r="P5171" s="11"/>
      <c r="Q5171" s="105"/>
      <c r="R5171" s="105"/>
      <c r="S5171" s="105"/>
      <c r="T5171" s="105"/>
      <c r="U5171" s="105"/>
      <c r="V5171" s="105"/>
      <c r="W5171" s="105"/>
      <c r="X5171" s="11"/>
      <c r="Y5171" s="11"/>
      <c r="Z5171" s="105"/>
      <c r="AA5171" s="11"/>
      <c r="AB5171" s="11"/>
      <c r="AC5171" s="105"/>
      <c r="AD5171" s="11" t="b">
        <v>0</v>
      </c>
      <c r="AE5171" s="105"/>
      <c r="AF5171" s="11"/>
      <c r="AG5171" s="11"/>
      <c r="AH5171" s="11"/>
      <c r="AI5171" s="11"/>
    </row>
    <row r="5172" ht="12.5" spans="3:35">
      <c r="C5172" s="19"/>
      <c r="D5172" s="19"/>
      <c r="H5172" s="105"/>
      <c r="I5172" s="126"/>
      <c r="J5172" s="11"/>
      <c r="K5172" s="108"/>
      <c r="L5172" s="11"/>
      <c r="M5172" s="105"/>
      <c r="N5172" s="105"/>
      <c r="O5172" s="11"/>
      <c r="P5172" s="11"/>
      <c r="Q5172" s="105"/>
      <c r="R5172" s="105"/>
      <c r="S5172" s="105"/>
      <c r="T5172" s="105"/>
      <c r="U5172" s="105"/>
      <c r="V5172" s="105"/>
      <c r="W5172" s="105"/>
      <c r="X5172" s="11"/>
      <c r="Y5172" s="11"/>
      <c r="Z5172" s="105"/>
      <c r="AA5172" s="11"/>
      <c r="AB5172" s="11"/>
      <c r="AC5172" s="105"/>
      <c r="AD5172" s="11" t="b">
        <v>0</v>
      </c>
      <c r="AE5172" s="105"/>
      <c r="AF5172" s="11"/>
      <c r="AG5172" s="11"/>
      <c r="AH5172" s="11"/>
      <c r="AI5172" s="11"/>
    </row>
    <row r="5173" ht="12.5" spans="3:35">
      <c r="C5173" s="19"/>
      <c r="D5173" s="19"/>
      <c r="H5173" s="105"/>
      <c r="I5173" s="126"/>
      <c r="J5173" s="11"/>
      <c r="K5173" s="108"/>
      <c r="L5173" s="11"/>
      <c r="M5173" s="105"/>
      <c r="N5173" s="105"/>
      <c r="O5173" s="11"/>
      <c r="P5173" s="11"/>
      <c r="Q5173" s="105"/>
      <c r="R5173" s="105"/>
      <c r="S5173" s="105"/>
      <c r="T5173" s="105"/>
      <c r="U5173" s="105"/>
      <c r="V5173" s="105"/>
      <c r="W5173" s="105"/>
      <c r="X5173" s="11"/>
      <c r="Y5173" s="11"/>
      <c r="Z5173" s="105"/>
      <c r="AA5173" s="11"/>
      <c r="AB5173" s="11"/>
      <c r="AC5173" s="105"/>
      <c r="AD5173" s="11" t="b">
        <v>0</v>
      </c>
      <c r="AE5173" s="105"/>
      <c r="AF5173" s="11"/>
      <c r="AG5173" s="11"/>
      <c r="AH5173" s="11"/>
      <c r="AI5173" s="11"/>
    </row>
    <row r="5174" ht="12.5" spans="3:35">
      <c r="C5174" s="19"/>
      <c r="D5174" s="19"/>
      <c r="H5174" s="105"/>
      <c r="I5174" s="126"/>
      <c r="J5174" s="11"/>
      <c r="K5174" s="108"/>
      <c r="L5174" s="11"/>
      <c r="M5174" s="105"/>
      <c r="N5174" s="105"/>
      <c r="O5174" s="11"/>
      <c r="P5174" s="11"/>
      <c r="Q5174" s="105"/>
      <c r="R5174" s="105"/>
      <c r="S5174" s="105"/>
      <c r="T5174" s="105"/>
      <c r="U5174" s="105"/>
      <c r="V5174" s="105"/>
      <c r="W5174" s="105"/>
      <c r="X5174" s="11"/>
      <c r="Y5174" s="11"/>
      <c r="Z5174" s="105"/>
      <c r="AA5174" s="11"/>
      <c r="AB5174" s="11"/>
      <c r="AC5174" s="105"/>
      <c r="AD5174" s="11" t="b">
        <v>0</v>
      </c>
      <c r="AE5174" s="105"/>
      <c r="AF5174" s="11"/>
      <c r="AG5174" s="11"/>
      <c r="AH5174" s="11"/>
      <c r="AI5174" s="11"/>
    </row>
    <row r="5175" ht="12.5" spans="3:35">
      <c r="C5175" s="19"/>
      <c r="D5175" s="19"/>
      <c r="H5175" s="105"/>
      <c r="I5175" s="126"/>
      <c r="J5175" s="11"/>
      <c r="K5175" s="108"/>
      <c r="L5175" s="11"/>
      <c r="M5175" s="105"/>
      <c r="N5175" s="105"/>
      <c r="O5175" s="11"/>
      <c r="P5175" s="11"/>
      <c r="Q5175" s="105"/>
      <c r="R5175" s="105"/>
      <c r="S5175" s="105"/>
      <c r="T5175" s="105"/>
      <c r="U5175" s="105"/>
      <c r="V5175" s="105"/>
      <c r="W5175" s="105"/>
      <c r="X5175" s="11"/>
      <c r="Y5175" s="11"/>
      <c r="Z5175" s="105"/>
      <c r="AA5175" s="11"/>
      <c r="AB5175" s="11"/>
      <c r="AC5175" s="105"/>
      <c r="AD5175" s="11" t="b">
        <v>0</v>
      </c>
      <c r="AE5175" s="105"/>
      <c r="AF5175" s="11"/>
      <c r="AG5175" s="11"/>
      <c r="AH5175" s="11"/>
      <c r="AI5175" s="11"/>
    </row>
    <row r="5176" ht="12.5" spans="3:35">
      <c r="C5176" s="19"/>
      <c r="D5176" s="19"/>
      <c r="H5176" s="105"/>
      <c r="I5176" s="126"/>
      <c r="J5176" s="11"/>
      <c r="K5176" s="108"/>
      <c r="L5176" s="11"/>
      <c r="M5176" s="105"/>
      <c r="N5176" s="105"/>
      <c r="O5176" s="11"/>
      <c r="P5176" s="11"/>
      <c r="Q5176" s="105"/>
      <c r="R5176" s="105"/>
      <c r="S5176" s="105"/>
      <c r="T5176" s="105"/>
      <c r="U5176" s="105"/>
      <c r="V5176" s="105"/>
      <c r="W5176" s="105"/>
      <c r="X5176" s="11"/>
      <c r="Y5176" s="11"/>
      <c r="Z5176" s="105"/>
      <c r="AA5176" s="11"/>
      <c r="AB5176" s="11"/>
      <c r="AC5176" s="105"/>
      <c r="AD5176" s="11" t="b">
        <v>0</v>
      </c>
      <c r="AE5176" s="105"/>
      <c r="AF5176" s="11"/>
      <c r="AG5176" s="11"/>
      <c r="AH5176" s="11"/>
      <c r="AI5176" s="11"/>
    </row>
    <row r="5177" ht="12.5" spans="3:35">
      <c r="C5177" s="19"/>
      <c r="D5177" s="19"/>
      <c r="H5177" s="105"/>
      <c r="I5177" s="126"/>
      <c r="J5177" s="11"/>
      <c r="K5177" s="108"/>
      <c r="L5177" s="11"/>
      <c r="M5177" s="105"/>
      <c r="N5177" s="105"/>
      <c r="O5177" s="11"/>
      <c r="P5177" s="11"/>
      <c r="Q5177" s="105"/>
      <c r="R5177" s="105"/>
      <c r="S5177" s="105"/>
      <c r="T5177" s="105"/>
      <c r="U5177" s="105"/>
      <c r="V5177" s="105"/>
      <c r="W5177" s="105"/>
      <c r="X5177" s="11"/>
      <c r="Y5177" s="11"/>
      <c r="Z5177" s="105"/>
      <c r="AA5177" s="11"/>
      <c r="AB5177" s="11"/>
      <c r="AC5177" s="105"/>
      <c r="AD5177" s="11" t="b">
        <v>0</v>
      </c>
      <c r="AE5177" s="105"/>
      <c r="AF5177" s="11"/>
      <c r="AG5177" s="11"/>
      <c r="AH5177" s="11"/>
      <c r="AI5177" s="11"/>
    </row>
    <row r="5178" ht="12.5" spans="3:35">
      <c r="C5178" s="19"/>
      <c r="D5178" s="19"/>
      <c r="H5178" s="105"/>
      <c r="I5178" s="126"/>
      <c r="J5178" s="11"/>
      <c r="K5178" s="108"/>
      <c r="L5178" s="11"/>
      <c r="M5178" s="105"/>
      <c r="N5178" s="105"/>
      <c r="O5178" s="11"/>
      <c r="P5178" s="11"/>
      <c r="Q5178" s="105"/>
      <c r="R5178" s="105"/>
      <c r="S5178" s="105"/>
      <c r="T5178" s="105"/>
      <c r="U5178" s="105"/>
      <c r="V5178" s="105"/>
      <c r="W5178" s="105"/>
      <c r="X5178" s="11"/>
      <c r="Y5178" s="11"/>
      <c r="Z5178" s="105"/>
      <c r="AA5178" s="11"/>
      <c r="AB5178" s="11"/>
      <c r="AC5178" s="105"/>
      <c r="AD5178" s="11" t="b">
        <v>0</v>
      </c>
      <c r="AE5178" s="105"/>
      <c r="AF5178" s="11"/>
      <c r="AG5178" s="11"/>
      <c r="AH5178" s="11"/>
      <c r="AI5178" s="11"/>
    </row>
    <row r="5179" ht="12.5" spans="3:35">
      <c r="C5179" s="19"/>
      <c r="D5179" s="19"/>
      <c r="H5179" s="105"/>
      <c r="I5179" s="126"/>
      <c r="J5179" s="11"/>
      <c r="K5179" s="108"/>
      <c r="L5179" s="11"/>
      <c r="M5179" s="105"/>
      <c r="N5179" s="105"/>
      <c r="O5179" s="11"/>
      <c r="P5179" s="11"/>
      <c r="Q5179" s="105"/>
      <c r="R5179" s="105"/>
      <c r="S5179" s="105"/>
      <c r="T5179" s="105"/>
      <c r="U5179" s="105"/>
      <c r="V5179" s="105"/>
      <c r="W5179" s="105"/>
      <c r="X5179" s="11"/>
      <c r="Y5179" s="11"/>
      <c r="Z5179" s="105"/>
      <c r="AA5179" s="11"/>
      <c r="AB5179" s="11"/>
      <c r="AC5179" s="105"/>
      <c r="AD5179" s="11" t="b">
        <v>0</v>
      </c>
      <c r="AE5179" s="105"/>
      <c r="AF5179" s="11"/>
      <c r="AG5179" s="11"/>
      <c r="AH5179" s="11"/>
      <c r="AI5179" s="11"/>
    </row>
    <row r="5180" ht="12.5" spans="3:35">
      <c r="C5180" s="19"/>
      <c r="D5180" s="19"/>
      <c r="H5180" s="105"/>
      <c r="I5180" s="126"/>
      <c r="J5180" s="11"/>
      <c r="K5180" s="108"/>
      <c r="L5180" s="11"/>
      <c r="M5180" s="105"/>
      <c r="N5180" s="105"/>
      <c r="O5180" s="11"/>
      <c r="P5180" s="11"/>
      <c r="Q5180" s="105"/>
      <c r="R5180" s="105"/>
      <c r="S5180" s="105"/>
      <c r="T5180" s="105"/>
      <c r="U5180" s="105"/>
      <c r="V5180" s="105"/>
      <c r="W5180" s="105"/>
      <c r="X5180" s="11"/>
      <c r="Y5180" s="11"/>
      <c r="Z5180" s="105"/>
      <c r="AA5180" s="11"/>
      <c r="AB5180" s="11"/>
      <c r="AC5180" s="105"/>
      <c r="AD5180" s="11" t="b">
        <v>0</v>
      </c>
      <c r="AE5180" s="105"/>
      <c r="AF5180" s="11"/>
      <c r="AG5180" s="11"/>
      <c r="AH5180" s="11"/>
      <c r="AI5180" s="11"/>
    </row>
    <row r="5181" ht="12.5" spans="3:35">
      <c r="C5181" s="19"/>
      <c r="D5181" s="19"/>
      <c r="H5181" s="105"/>
      <c r="I5181" s="126"/>
      <c r="J5181" s="11"/>
      <c r="K5181" s="108"/>
      <c r="L5181" s="11"/>
      <c r="M5181" s="105"/>
      <c r="N5181" s="105"/>
      <c r="O5181" s="11"/>
      <c r="P5181" s="11"/>
      <c r="Q5181" s="105"/>
      <c r="R5181" s="105"/>
      <c r="S5181" s="105"/>
      <c r="T5181" s="105"/>
      <c r="U5181" s="105"/>
      <c r="V5181" s="105"/>
      <c r="W5181" s="105"/>
      <c r="X5181" s="11"/>
      <c r="Y5181" s="11"/>
      <c r="Z5181" s="105"/>
      <c r="AA5181" s="11"/>
      <c r="AB5181" s="11"/>
      <c r="AC5181" s="105"/>
      <c r="AD5181" s="11" t="b">
        <v>0</v>
      </c>
      <c r="AE5181" s="105"/>
      <c r="AF5181" s="11"/>
      <c r="AG5181" s="11"/>
      <c r="AH5181" s="11"/>
      <c r="AI5181" s="11"/>
    </row>
    <row r="5182" ht="12.5" spans="3:35">
      <c r="C5182" s="19"/>
      <c r="D5182" s="19"/>
      <c r="H5182" s="105"/>
      <c r="I5182" s="126"/>
      <c r="J5182" s="11"/>
      <c r="K5182" s="108"/>
      <c r="L5182" s="11"/>
      <c r="M5182" s="105"/>
      <c r="N5182" s="105"/>
      <c r="O5182" s="11"/>
      <c r="P5182" s="11"/>
      <c r="Q5182" s="105"/>
      <c r="R5182" s="105"/>
      <c r="S5182" s="105"/>
      <c r="T5182" s="105"/>
      <c r="U5182" s="105"/>
      <c r="V5182" s="105"/>
      <c r="W5182" s="105"/>
      <c r="X5182" s="11"/>
      <c r="Y5182" s="11"/>
      <c r="Z5182" s="105"/>
      <c r="AA5182" s="11"/>
      <c r="AB5182" s="11"/>
      <c r="AC5182" s="105"/>
      <c r="AD5182" s="11" t="b">
        <v>0</v>
      </c>
      <c r="AE5182" s="105"/>
      <c r="AF5182" s="11"/>
      <c r="AG5182" s="11"/>
      <c r="AH5182" s="11"/>
      <c r="AI5182" s="11"/>
    </row>
    <row r="5183" ht="12.5" spans="3:35">
      <c r="C5183" s="19"/>
      <c r="D5183" s="19"/>
      <c r="H5183" s="105"/>
      <c r="I5183" s="126"/>
      <c r="J5183" s="11"/>
      <c r="K5183" s="108"/>
      <c r="L5183" s="11"/>
      <c r="M5183" s="105"/>
      <c r="N5183" s="105"/>
      <c r="O5183" s="11"/>
      <c r="P5183" s="11"/>
      <c r="Q5183" s="105"/>
      <c r="R5183" s="105"/>
      <c r="S5183" s="105"/>
      <c r="T5183" s="105"/>
      <c r="U5183" s="105"/>
      <c r="V5183" s="105"/>
      <c r="W5183" s="105"/>
      <c r="X5183" s="11"/>
      <c r="Y5183" s="11"/>
      <c r="Z5183" s="105"/>
      <c r="AA5183" s="11"/>
      <c r="AB5183" s="11"/>
      <c r="AC5183" s="105"/>
      <c r="AD5183" s="11" t="b">
        <v>0</v>
      </c>
      <c r="AE5183" s="105"/>
      <c r="AF5183" s="11"/>
      <c r="AG5183" s="11"/>
      <c r="AH5183" s="11"/>
      <c r="AI5183" s="11"/>
    </row>
    <row r="5184" ht="12.5" spans="3:35">
      <c r="C5184" s="19"/>
      <c r="D5184" s="19"/>
      <c r="H5184" s="105"/>
      <c r="I5184" s="126"/>
      <c r="J5184" s="11"/>
      <c r="K5184" s="108"/>
      <c r="L5184" s="11"/>
      <c r="M5184" s="105"/>
      <c r="N5184" s="105"/>
      <c r="O5184" s="11"/>
      <c r="P5184" s="11"/>
      <c r="Q5184" s="105"/>
      <c r="R5184" s="105"/>
      <c r="S5184" s="105"/>
      <c r="T5184" s="105"/>
      <c r="U5184" s="105"/>
      <c r="V5184" s="105"/>
      <c r="W5184" s="105"/>
      <c r="X5184" s="11"/>
      <c r="Y5184" s="11"/>
      <c r="Z5184" s="105"/>
      <c r="AA5184" s="11"/>
      <c r="AB5184" s="11"/>
      <c r="AC5184" s="105"/>
      <c r="AD5184" s="11" t="b">
        <v>0</v>
      </c>
      <c r="AE5184" s="105"/>
      <c r="AF5184" s="11"/>
      <c r="AG5184" s="11"/>
      <c r="AH5184" s="11"/>
      <c r="AI5184" s="11"/>
    </row>
    <row r="5185" ht="12.5" spans="3:35">
      <c r="C5185" s="19"/>
      <c r="D5185" s="19"/>
      <c r="H5185" s="105"/>
      <c r="I5185" s="126"/>
      <c r="J5185" s="11"/>
      <c r="K5185" s="108"/>
      <c r="L5185" s="11"/>
      <c r="M5185" s="105"/>
      <c r="N5185" s="105"/>
      <c r="O5185" s="11"/>
      <c r="P5185" s="11"/>
      <c r="Q5185" s="105"/>
      <c r="R5185" s="105"/>
      <c r="S5185" s="105"/>
      <c r="T5185" s="105"/>
      <c r="U5185" s="105"/>
      <c r="V5185" s="105"/>
      <c r="W5185" s="105"/>
      <c r="X5185" s="11"/>
      <c r="Y5185" s="11"/>
      <c r="Z5185" s="105"/>
      <c r="AA5185" s="11"/>
      <c r="AB5185" s="11"/>
      <c r="AC5185" s="105"/>
      <c r="AD5185" s="11" t="b">
        <v>0</v>
      </c>
      <c r="AE5185" s="105"/>
      <c r="AF5185" s="11"/>
      <c r="AG5185" s="11"/>
      <c r="AH5185" s="11"/>
      <c r="AI5185" s="11"/>
    </row>
    <row r="5186" ht="12.5" spans="3:35">
      <c r="C5186" s="19"/>
      <c r="D5186" s="19"/>
      <c r="H5186" s="105"/>
      <c r="I5186" s="126"/>
      <c r="J5186" s="11"/>
      <c r="K5186" s="108"/>
      <c r="L5186" s="11"/>
      <c r="M5186" s="105"/>
      <c r="N5186" s="105"/>
      <c r="O5186" s="11"/>
      <c r="P5186" s="11"/>
      <c r="Q5186" s="105"/>
      <c r="R5186" s="105"/>
      <c r="S5186" s="105"/>
      <c r="T5186" s="105"/>
      <c r="U5186" s="105"/>
      <c r="V5186" s="105"/>
      <c r="W5186" s="105"/>
      <c r="X5186" s="11"/>
      <c r="Y5186" s="11"/>
      <c r="Z5186" s="105"/>
      <c r="AA5186" s="11"/>
      <c r="AB5186" s="11"/>
      <c r="AC5186" s="105"/>
      <c r="AD5186" s="11" t="b">
        <v>0</v>
      </c>
      <c r="AE5186" s="105"/>
      <c r="AF5186" s="11"/>
      <c r="AG5186" s="11"/>
      <c r="AH5186" s="11"/>
      <c r="AI5186" s="11"/>
    </row>
    <row r="5187" ht="12.5" spans="3:35">
      <c r="C5187" s="19"/>
      <c r="D5187" s="19"/>
      <c r="H5187" s="105"/>
      <c r="I5187" s="126"/>
      <c r="J5187" s="11"/>
      <c r="K5187" s="108"/>
      <c r="L5187" s="11"/>
      <c r="M5187" s="105"/>
      <c r="N5187" s="105"/>
      <c r="O5187" s="11"/>
      <c r="P5187" s="11"/>
      <c r="Q5187" s="105"/>
      <c r="R5187" s="105"/>
      <c r="S5187" s="105"/>
      <c r="T5187" s="105"/>
      <c r="U5187" s="105"/>
      <c r="V5187" s="105"/>
      <c r="W5187" s="105"/>
      <c r="X5187" s="11"/>
      <c r="Y5187" s="11"/>
      <c r="Z5187" s="105"/>
      <c r="AA5187" s="11"/>
      <c r="AB5187" s="11"/>
      <c r="AC5187" s="105"/>
      <c r="AD5187" s="11" t="b">
        <v>0</v>
      </c>
      <c r="AE5187" s="105"/>
      <c r="AF5187" s="11"/>
      <c r="AG5187" s="11"/>
      <c r="AH5187" s="11"/>
      <c r="AI5187" s="11"/>
    </row>
    <row r="5188" ht="12.5" spans="3:35">
      <c r="C5188" s="19"/>
      <c r="D5188" s="19"/>
      <c r="H5188" s="105"/>
      <c r="I5188" s="126"/>
      <c r="J5188" s="11"/>
      <c r="K5188" s="108"/>
      <c r="L5188" s="11"/>
      <c r="M5188" s="105"/>
      <c r="N5188" s="105"/>
      <c r="O5188" s="11"/>
      <c r="P5188" s="11"/>
      <c r="Q5188" s="105"/>
      <c r="R5188" s="105"/>
      <c r="S5188" s="105"/>
      <c r="T5188" s="105"/>
      <c r="U5188" s="105"/>
      <c r="V5188" s="105"/>
      <c r="W5188" s="105"/>
      <c r="X5188" s="11"/>
      <c r="Y5188" s="11"/>
      <c r="Z5188" s="105"/>
      <c r="AA5188" s="11"/>
      <c r="AB5188" s="11"/>
      <c r="AC5188" s="105"/>
      <c r="AD5188" s="11" t="b">
        <v>0</v>
      </c>
      <c r="AE5188" s="105"/>
      <c r="AF5188" s="11"/>
      <c r="AG5188" s="11"/>
      <c r="AH5188" s="11"/>
      <c r="AI5188" s="11"/>
    </row>
    <row r="5189" ht="12.5" spans="3:35">
      <c r="C5189" s="19"/>
      <c r="D5189" s="19"/>
      <c r="H5189" s="105"/>
      <c r="I5189" s="126"/>
      <c r="J5189" s="11"/>
      <c r="K5189" s="108"/>
      <c r="L5189" s="11"/>
      <c r="M5189" s="105"/>
      <c r="N5189" s="105"/>
      <c r="O5189" s="11"/>
      <c r="P5189" s="11"/>
      <c r="Q5189" s="105"/>
      <c r="R5189" s="105"/>
      <c r="S5189" s="105"/>
      <c r="T5189" s="105"/>
      <c r="U5189" s="105"/>
      <c r="V5189" s="105"/>
      <c r="W5189" s="105"/>
      <c r="X5189" s="11"/>
      <c r="Y5189" s="11"/>
      <c r="Z5189" s="105"/>
      <c r="AA5189" s="11"/>
      <c r="AB5189" s="11"/>
      <c r="AC5189" s="105"/>
      <c r="AD5189" s="11" t="b">
        <v>0</v>
      </c>
      <c r="AE5189" s="105"/>
      <c r="AF5189" s="11"/>
      <c r="AG5189" s="11"/>
      <c r="AH5189" s="11"/>
      <c r="AI5189" s="11"/>
    </row>
    <row r="5190" ht="12.5" spans="3:35">
      <c r="C5190" s="19"/>
      <c r="D5190" s="19"/>
      <c r="H5190" s="105"/>
      <c r="I5190" s="126"/>
      <c r="J5190" s="11"/>
      <c r="K5190" s="108"/>
      <c r="L5190" s="11"/>
      <c r="M5190" s="105"/>
      <c r="N5190" s="105"/>
      <c r="O5190" s="11"/>
      <c r="P5190" s="11"/>
      <c r="Q5190" s="105"/>
      <c r="R5190" s="105"/>
      <c r="S5190" s="105"/>
      <c r="T5190" s="105"/>
      <c r="U5190" s="105"/>
      <c r="V5190" s="105"/>
      <c r="W5190" s="105"/>
      <c r="X5190" s="11"/>
      <c r="Y5190" s="11"/>
      <c r="Z5190" s="105"/>
      <c r="AA5190" s="11"/>
      <c r="AB5190" s="11"/>
      <c r="AC5190" s="105"/>
      <c r="AD5190" s="11" t="b">
        <v>0</v>
      </c>
      <c r="AE5190" s="105"/>
      <c r="AF5190" s="11"/>
      <c r="AG5190" s="11"/>
      <c r="AH5190" s="11"/>
      <c r="AI5190" s="11"/>
    </row>
    <row r="5191" ht="12.5" spans="3:35">
      <c r="C5191" s="19"/>
      <c r="D5191" s="19"/>
      <c r="H5191" s="105"/>
      <c r="I5191" s="126"/>
      <c r="J5191" s="11"/>
      <c r="K5191" s="108"/>
      <c r="L5191" s="11"/>
      <c r="M5191" s="105"/>
      <c r="N5191" s="105"/>
      <c r="O5191" s="11"/>
      <c r="P5191" s="11"/>
      <c r="Q5191" s="105"/>
      <c r="R5191" s="105"/>
      <c r="S5191" s="105"/>
      <c r="T5191" s="105"/>
      <c r="U5191" s="105"/>
      <c r="V5191" s="105"/>
      <c r="W5191" s="105"/>
      <c r="X5191" s="11"/>
      <c r="Y5191" s="11"/>
      <c r="Z5191" s="105"/>
      <c r="AA5191" s="11"/>
      <c r="AB5191" s="11"/>
      <c r="AC5191" s="105"/>
      <c r="AD5191" s="11" t="b">
        <v>0</v>
      </c>
      <c r="AE5191" s="105"/>
      <c r="AF5191" s="11"/>
      <c r="AG5191" s="11"/>
      <c r="AH5191" s="11"/>
      <c r="AI5191" s="11"/>
    </row>
    <row r="5192" ht="12.5" spans="3:35">
      <c r="C5192" s="19"/>
      <c r="D5192" s="19"/>
      <c r="H5192" s="105"/>
      <c r="I5192" s="126"/>
      <c r="J5192" s="11"/>
      <c r="K5192" s="108"/>
      <c r="L5192" s="11"/>
      <c r="M5192" s="105"/>
      <c r="N5192" s="105"/>
      <c r="O5192" s="11"/>
      <c r="P5192" s="11"/>
      <c r="Q5192" s="105"/>
      <c r="R5192" s="105"/>
      <c r="S5192" s="105"/>
      <c r="T5192" s="105"/>
      <c r="U5192" s="105"/>
      <c r="V5192" s="105"/>
      <c r="W5192" s="105"/>
      <c r="X5192" s="11"/>
      <c r="Y5192" s="11"/>
      <c r="Z5192" s="105"/>
      <c r="AA5192" s="11"/>
      <c r="AB5192" s="11"/>
      <c r="AC5192" s="105"/>
      <c r="AD5192" s="11" t="b">
        <v>0</v>
      </c>
      <c r="AE5192" s="105"/>
      <c r="AF5192" s="11"/>
      <c r="AG5192" s="11"/>
      <c r="AH5192" s="11"/>
      <c r="AI5192" s="11"/>
    </row>
    <row r="5193" ht="12.5" spans="3:35">
      <c r="C5193" s="19"/>
      <c r="D5193" s="19"/>
      <c r="H5193" s="105"/>
      <c r="I5193" s="126"/>
      <c r="J5193" s="11"/>
      <c r="K5193" s="108"/>
      <c r="L5193" s="11"/>
      <c r="M5193" s="105"/>
      <c r="N5193" s="105"/>
      <c r="O5193" s="11"/>
      <c r="P5193" s="11"/>
      <c r="Q5193" s="105"/>
      <c r="R5193" s="105"/>
      <c r="S5193" s="105"/>
      <c r="T5193" s="105"/>
      <c r="U5193" s="105"/>
      <c r="V5193" s="105"/>
      <c r="W5193" s="105"/>
      <c r="X5193" s="11"/>
      <c r="Y5193" s="11"/>
      <c r="Z5193" s="105"/>
      <c r="AA5193" s="11"/>
      <c r="AB5193" s="11"/>
      <c r="AC5193" s="105"/>
      <c r="AD5193" s="11" t="b">
        <v>0</v>
      </c>
      <c r="AE5193" s="105"/>
      <c r="AF5193" s="11"/>
      <c r="AG5193" s="11"/>
      <c r="AH5193" s="11"/>
      <c r="AI5193" s="11"/>
    </row>
    <row r="5194" ht="12.5" spans="3:35">
      <c r="C5194" s="19"/>
      <c r="D5194" s="19"/>
      <c r="H5194" s="105"/>
      <c r="I5194" s="126"/>
      <c r="J5194" s="11"/>
      <c r="K5194" s="108"/>
      <c r="L5194" s="11"/>
      <c r="M5194" s="105"/>
      <c r="N5194" s="105"/>
      <c r="O5194" s="11"/>
      <c r="P5194" s="11"/>
      <c r="Q5194" s="105"/>
      <c r="R5194" s="105"/>
      <c r="S5194" s="105"/>
      <c r="T5194" s="105"/>
      <c r="U5194" s="105"/>
      <c r="V5194" s="105"/>
      <c r="W5194" s="105"/>
      <c r="X5194" s="11"/>
      <c r="Y5194" s="11"/>
      <c r="Z5194" s="105"/>
      <c r="AA5194" s="11"/>
      <c r="AB5194" s="11"/>
      <c r="AC5194" s="105"/>
      <c r="AD5194" s="11" t="b">
        <v>0</v>
      </c>
      <c r="AE5194" s="105"/>
      <c r="AF5194" s="11"/>
      <c r="AG5194" s="11"/>
      <c r="AH5194" s="11"/>
      <c r="AI5194" s="11"/>
    </row>
    <row r="5195" ht="12.5" spans="3:35">
      <c r="C5195" s="19"/>
      <c r="D5195" s="19"/>
      <c r="H5195" s="105"/>
      <c r="I5195" s="126"/>
      <c r="J5195" s="11"/>
      <c r="K5195" s="108"/>
      <c r="L5195" s="11"/>
      <c r="M5195" s="105"/>
      <c r="N5195" s="105"/>
      <c r="O5195" s="11"/>
      <c r="P5195" s="11"/>
      <c r="Q5195" s="105"/>
      <c r="R5195" s="105"/>
      <c r="S5195" s="105"/>
      <c r="T5195" s="105"/>
      <c r="U5195" s="105"/>
      <c r="V5195" s="105"/>
      <c r="W5195" s="105"/>
      <c r="X5195" s="11"/>
      <c r="Y5195" s="11"/>
      <c r="Z5195" s="105"/>
      <c r="AA5195" s="11"/>
      <c r="AB5195" s="11"/>
      <c r="AC5195" s="105"/>
      <c r="AD5195" s="11" t="b">
        <v>0</v>
      </c>
      <c r="AE5195" s="105"/>
      <c r="AF5195" s="11"/>
      <c r="AG5195" s="11"/>
      <c r="AH5195" s="11"/>
      <c r="AI5195" s="11"/>
    </row>
    <row r="5196" ht="12.5" spans="3:35">
      <c r="C5196" s="19"/>
      <c r="D5196" s="19"/>
      <c r="H5196" s="105"/>
      <c r="I5196" s="126"/>
      <c r="J5196" s="11"/>
      <c r="K5196" s="108"/>
      <c r="L5196" s="11"/>
      <c r="M5196" s="105"/>
      <c r="N5196" s="105"/>
      <c r="O5196" s="11"/>
      <c r="P5196" s="11"/>
      <c r="Q5196" s="105"/>
      <c r="R5196" s="105"/>
      <c r="S5196" s="105"/>
      <c r="T5196" s="105"/>
      <c r="U5196" s="105"/>
      <c r="V5196" s="105"/>
      <c r="W5196" s="105"/>
      <c r="X5196" s="11"/>
      <c r="Y5196" s="11"/>
      <c r="Z5196" s="105"/>
      <c r="AA5196" s="11"/>
      <c r="AB5196" s="11"/>
      <c r="AC5196" s="105"/>
      <c r="AD5196" s="11" t="b">
        <v>0</v>
      </c>
      <c r="AE5196" s="105"/>
      <c r="AF5196" s="11"/>
      <c r="AG5196" s="11"/>
      <c r="AH5196" s="11"/>
      <c r="AI5196" s="11"/>
    </row>
    <row r="5197" ht="12.5" spans="3:35">
      <c r="C5197" s="19"/>
      <c r="D5197" s="19"/>
      <c r="H5197" s="105"/>
      <c r="I5197" s="126"/>
      <c r="J5197" s="11"/>
      <c r="K5197" s="108"/>
      <c r="L5197" s="11"/>
      <c r="M5197" s="105"/>
      <c r="N5197" s="105"/>
      <c r="O5197" s="11"/>
      <c r="P5197" s="11"/>
      <c r="Q5197" s="105"/>
      <c r="R5197" s="105"/>
      <c r="S5197" s="105"/>
      <c r="T5197" s="105"/>
      <c r="U5197" s="105"/>
      <c r="V5197" s="105"/>
      <c r="W5197" s="105"/>
      <c r="X5197" s="11"/>
      <c r="Y5197" s="11"/>
      <c r="Z5197" s="105"/>
      <c r="AA5197" s="11"/>
      <c r="AB5197" s="11"/>
      <c r="AC5197" s="105"/>
      <c r="AD5197" s="11" t="b">
        <v>0</v>
      </c>
      <c r="AE5197" s="105"/>
      <c r="AF5197" s="11"/>
      <c r="AG5197" s="11"/>
      <c r="AH5197" s="11"/>
      <c r="AI5197" s="11"/>
    </row>
    <row r="5198" ht="12.5" spans="3:35">
      <c r="C5198" s="19"/>
      <c r="D5198" s="19"/>
      <c r="H5198" s="105"/>
      <c r="I5198" s="126"/>
      <c r="J5198" s="11"/>
      <c r="K5198" s="108"/>
      <c r="L5198" s="11"/>
      <c r="M5198" s="105"/>
      <c r="N5198" s="105"/>
      <c r="O5198" s="11"/>
      <c r="P5198" s="11"/>
      <c r="Q5198" s="105"/>
      <c r="R5198" s="105"/>
      <c r="S5198" s="105"/>
      <c r="T5198" s="105"/>
      <c r="U5198" s="105"/>
      <c r="V5198" s="105"/>
      <c r="W5198" s="105"/>
      <c r="X5198" s="11"/>
      <c r="Y5198" s="11"/>
      <c r="Z5198" s="105"/>
      <c r="AA5198" s="11"/>
      <c r="AB5198" s="11"/>
      <c r="AC5198" s="105"/>
      <c r="AD5198" s="11" t="b">
        <v>0</v>
      </c>
      <c r="AE5198" s="105"/>
      <c r="AF5198" s="11"/>
      <c r="AG5198" s="11"/>
      <c r="AH5198" s="11"/>
      <c r="AI5198" s="11"/>
    </row>
    <row r="5199" ht="12.5" spans="3:35">
      <c r="C5199" s="19"/>
      <c r="D5199" s="19"/>
      <c r="H5199" s="105"/>
      <c r="I5199" s="126"/>
      <c r="J5199" s="11"/>
      <c r="K5199" s="108"/>
      <c r="L5199" s="11"/>
      <c r="M5199" s="105"/>
      <c r="N5199" s="105"/>
      <c r="O5199" s="11"/>
      <c r="P5199" s="11"/>
      <c r="Q5199" s="105"/>
      <c r="R5199" s="105"/>
      <c r="S5199" s="105"/>
      <c r="T5199" s="105"/>
      <c r="U5199" s="105"/>
      <c r="V5199" s="105"/>
      <c r="W5199" s="105"/>
      <c r="X5199" s="11"/>
      <c r="Y5199" s="11"/>
      <c r="Z5199" s="105"/>
      <c r="AA5199" s="11"/>
      <c r="AB5199" s="11"/>
      <c r="AC5199" s="105"/>
      <c r="AD5199" s="11" t="b">
        <v>0</v>
      </c>
      <c r="AE5199" s="105"/>
      <c r="AF5199" s="11"/>
      <c r="AG5199" s="11"/>
      <c r="AH5199" s="11"/>
      <c r="AI5199" s="11"/>
    </row>
    <row r="5200" ht="12.5" spans="3:35">
      <c r="C5200" s="19"/>
      <c r="D5200" s="19"/>
      <c r="H5200" s="105"/>
      <c r="I5200" s="126"/>
      <c r="J5200" s="11"/>
      <c r="K5200" s="108"/>
      <c r="L5200" s="11"/>
      <c r="M5200" s="105"/>
      <c r="N5200" s="105"/>
      <c r="O5200" s="11"/>
      <c r="P5200" s="11"/>
      <c r="Q5200" s="105"/>
      <c r="R5200" s="105"/>
      <c r="S5200" s="105"/>
      <c r="T5200" s="105"/>
      <c r="U5200" s="105"/>
      <c r="V5200" s="105"/>
      <c r="W5200" s="105"/>
      <c r="X5200" s="11"/>
      <c r="Y5200" s="11"/>
      <c r="Z5200" s="105"/>
      <c r="AA5200" s="11"/>
      <c r="AB5200" s="11"/>
      <c r="AC5200" s="105"/>
      <c r="AD5200" s="11" t="b">
        <v>0</v>
      </c>
      <c r="AE5200" s="105"/>
      <c r="AF5200" s="11"/>
      <c r="AG5200" s="11"/>
      <c r="AH5200" s="11"/>
      <c r="AI5200" s="11"/>
    </row>
    <row r="5201" ht="12.5" spans="3:35">
      <c r="C5201" s="19"/>
      <c r="D5201" s="19"/>
      <c r="H5201" s="105"/>
      <c r="I5201" s="126"/>
      <c r="J5201" s="11"/>
      <c r="K5201" s="108"/>
      <c r="L5201" s="11"/>
      <c r="M5201" s="105"/>
      <c r="N5201" s="105"/>
      <c r="O5201" s="11"/>
      <c r="P5201" s="11"/>
      <c r="Q5201" s="105"/>
      <c r="R5201" s="105"/>
      <c r="S5201" s="105"/>
      <c r="T5201" s="105"/>
      <c r="U5201" s="105"/>
      <c r="V5201" s="105"/>
      <c r="W5201" s="105"/>
      <c r="X5201" s="11"/>
      <c r="Y5201" s="11"/>
      <c r="Z5201" s="105"/>
      <c r="AA5201" s="11"/>
      <c r="AB5201" s="11"/>
      <c r="AC5201" s="105"/>
      <c r="AD5201" s="11" t="b">
        <v>0</v>
      </c>
      <c r="AE5201" s="105"/>
      <c r="AF5201" s="11"/>
      <c r="AG5201" s="11"/>
      <c r="AH5201" s="11"/>
      <c r="AI5201" s="11"/>
    </row>
    <row r="5202" ht="12.5" spans="3:35">
      <c r="C5202" s="19"/>
      <c r="D5202" s="19"/>
      <c r="H5202" s="105"/>
      <c r="I5202" s="126"/>
      <c r="J5202" s="11"/>
      <c r="K5202" s="108"/>
      <c r="L5202" s="11"/>
      <c r="M5202" s="105"/>
      <c r="N5202" s="105"/>
      <c r="O5202" s="11"/>
      <c r="P5202" s="11"/>
      <c r="Q5202" s="105"/>
      <c r="R5202" s="105"/>
      <c r="S5202" s="105"/>
      <c r="T5202" s="105"/>
      <c r="U5202" s="105"/>
      <c r="V5202" s="105"/>
      <c r="W5202" s="105"/>
      <c r="X5202" s="11"/>
      <c r="Y5202" s="11"/>
      <c r="Z5202" s="105"/>
      <c r="AA5202" s="11"/>
      <c r="AB5202" s="11"/>
      <c r="AC5202" s="105"/>
      <c r="AD5202" s="11" t="b">
        <v>0</v>
      </c>
      <c r="AE5202" s="105"/>
      <c r="AF5202" s="11"/>
      <c r="AG5202" s="11"/>
      <c r="AH5202" s="11"/>
      <c r="AI5202" s="11"/>
    </row>
    <row r="5203" ht="12.5" spans="3:35">
      <c r="C5203" s="19"/>
      <c r="D5203" s="19"/>
      <c r="H5203" s="105"/>
      <c r="I5203" s="126"/>
      <c r="J5203" s="11"/>
      <c r="K5203" s="108"/>
      <c r="L5203" s="11"/>
      <c r="M5203" s="105"/>
      <c r="N5203" s="105"/>
      <c r="O5203" s="11"/>
      <c r="P5203" s="11"/>
      <c r="Q5203" s="105"/>
      <c r="R5203" s="105"/>
      <c r="S5203" s="105"/>
      <c r="T5203" s="105"/>
      <c r="U5203" s="105"/>
      <c r="V5203" s="105"/>
      <c r="W5203" s="105"/>
      <c r="X5203" s="11"/>
      <c r="Y5203" s="11"/>
      <c r="Z5203" s="105"/>
      <c r="AA5203" s="11"/>
      <c r="AB5203" s="11"/>
      <c r="AC5203" s="105"/>
      <c r="AD5203" s="11" t="b">
        <v>0</v>
      </c>
      <c r="AE5203" s="105"/>
      <c r="AF5203" s="11"/>
      <c r="AG5203" s="11"/>
      <c r="AH5203" s="11"/>
      <c r="AI5203" s="11"/>
    </row>
    <row r="5204" ht="12.5" spans="3:35">
      <c r="C5204" s="19"/>
      <c r="D5204" s="19"/>
      <c r="H5204" s="105"/>
      <c r="I5204" s="126"/>
      <c r="J5204" s="11"/>
      <c r="K5204" s="108"/>
      <c r="L5204" s="11"/>
      <c r="M5204" s="105"/>
      <c r="N5204" s="105"/>
      <c r="O5204" s="11"/>
      <c r="P5204" s="11"/>
      <c r="Q5204" s="105"/>
      <c r="R5204" s="105"/>
      <c r="S5204" s="105"/>
      <c r="T5204" s="105"/>
      <c r="U5204" s="105"/>
      <c r="V5204" s="105"/>
      <c r="W5204" s="105"/>
      <c r="X5204" s="11"/>
      <c r="Y5204" s="11"/>
      <c r="Z5204" s="105"/>
      <c r="AA5204" s="11"/>
      <c r="AB5204" s="11"/>
      <c r="AC5204" s="105"/>
      <c r="AD5204" s="11" t="b">
        <v>0</v>
      </c>
      <c r="AE5204" s="105"/>
      <c r="AF5204" s="11"/>
      <c r="AG5204" s="11"/>
      <c r="AH5204" s="11"/>
      <c r="AI5204" s="11"/>
    </row>
    <row r="5205" ht="12.5" spans="3:35">
      <c r="C5205" s="19"/>
      <c r="D5205" s="19"/>
      <c r="H5205" s="105"/>
      <c r="I5205" s="126"/>
      <c r="J5205" s="11"/>
      <c r="K5205" s="108"/>
      <c r="L5205" s="11"/>
      <c r="M5205" s="105"/>
      <c r="N5205" s="105"/>
      <c r="O5205" s="11"/>
      <c r="P5205" s="11"/>
      <c r="Q5205" s="105"/>
      <c r="R5205" s="105"/>
      <c r="S5205" s="105"/>
      <c r="T5205" s="105"/>
      <c r="U5205" s="105"/>
      <c r="V5205" s="105"/>
      <c r="W5205" s="105"/>
      <c r="X5205" s="11"/>
      <c r="Y5205" s="11"/>
      <c r="Z5205" s="105"/>
      <c r="AA5205" s="11"/>
      <c r="AB5205" s="11"/>
      <c r="AC5205" s="105"/>
      <c r="AD5205" s="11" t="b">
        <v>0</v>
      </c>
      <c r="AE5205" s="105"/>
      <c r="AF5205" s="11"/>
      <c r="AG5205" s="11"/>
      <c r="AH5205" s="11"/>
      <c r="AI5205" s="11"/>
    </row>
    <row r="5206" ht="12.5" spans="3:35">
      <c r="C5206" s="19"/>
      <c r="D5206" s="19"/>
      <c r="H5206" s="105"/>
      <c r="I5206" s="126"/>
      <c r="J5206" s="11"/>
      <c r="K5206" s="108"/>
      <c r="L5206" s="11"/>
      <c r="M5206" s="105"/>
      <c r="N5206" s="105"/>
      <c r="O5206" s="11"/>
      <c r="P5206" s="11"/>
      <c r="Q5206" s="105"/>
      <c r="R5206" s="105"/>
      <c r="S5206" s="105"/>
      <c r="T5206" s="105"/>
      <c r="U5206" s="105"/>
      <c r="V5206" s="105"/>
      <c r="W5206" s="105"/>
      <c r="X5206" s="11"/>
      <c r="Y5206" s="11"/>
      <c r="Z5206" s="105"/>
      <c r="AA5206" s="11"/>
      <c r="AB5206" s="11"/>
      <c r="AC5206" s="105"/>
      <c r="AD5206" s="11" t="b">
        <v>0</v>
      </c>
      <c r="AE5206" s="105"/>
      <c r="AF5206" s="11"/>
      <c r="AG5206" s="11"/>
      <c r="AH5206" s="11"/>
      <c r="AI5206" s="11"/>
    </row>
    <row r="5207" ht="12.5" spans="3:35">
      <c r="C5207" s="19"/>
      <c r="D5207" s="19"/>
      <c r="H5207" s="105"/>
      <c r="I5207" s="126"/>
      <c r="J5207" s="11"/>
      <c r="K5207" s="108"/>
      <c r="L5207" s="11"/>
      <c r="M5207" s="105"/>
      <c r="N5207" s="105"/>
      <c r="O5207" s="11"/>
      <c r="P5207" s="11"/>
      <c r="Q5207" s="105"/>
      <c r="R5207" s="105"/>
      <c r="S5207" s="105"/>
      <c r="T5207" s="105"/>
      <c r="U5207" s="105"/>
      <c r="V5207" s="105"/>
      <c r="W5207" s="105"/>
      <c r="X5207" s="11"/>
      <c r="Y5207" s="11"/>
      <c r="Z5207" s="105"/>
      <c r="AA5207" s="11"/>
      <c r="AB5207" s="11"/>
      <c r="AC5207" s="105"/>
      <c r="AD5207" s="11" t="b">
        <v>0</v>
      </c>
      <c r="AE5207" s="105"/>
      <c r="AF5207" s="11"/>
      <c r="AG5207" s="11"/>
      <c r="AH5207" s="11"/>
      <c r="AI5207" s="11"/>
    </row>
    <row r="5208" ht="12.5" spans="3:35">
      <c r="C5208" s="19"/>
      <c r="D5208" s="19"/>
      <c r="H5208" s="105"/>
      <c r="I5208" s="126"/>
      <c r="J5208" s="11"/>
      <c r="K5208" s="108"/>
      <c r="L5208" s="11"/>
      <c r="M5208" s="105"/>
      <c r="N5208" s="105"/>
      <c r="O5208" s="11"/>
      <c r="P5208" s="11"/>
      <c r="Q5208" s="105"/>
      <c r="R5208" s="105"/>
      <c r="S5208" s="105"/>
      <c r="T5208" s="105"/>
      <c r="U5208" s="105"/>
      <c r="V5208" s="105"/>
      <c r="W5208" s="105"/>
      <c r="X5208" s="11"/>
      <c r="Y5208" s="11"/>
      <c r="Z5208" s="105"/>
      <c r="AA5208" s="11"/>
      <c r="AB5208" s="11"/>
      <c r="AC5208" s="105"/>
      <c r="AD5208" s="11" t="b">
        <v>0</v>
      </c>
      <c r="AE5208" s="105"/>
      <c r="AF5208" s="11"/>
      <c r="AG5208" s="11"/>
      <c r="AH5208" s="11"/>
      <c r="AI5208" s="11"/>
    </row>
    <row r="5209" ht="12.5" spans="3:35">
      <c r="C5209" s="19"/>
      <c r="D5209" s="19"/>
      <c r="H5209" s="105"/>
      <c r="I5209" s="126"/>
      <c r="J5209" s="11"/>
      <c r="K5209" s="108"/>
      <c r="L5209" s="11"/>
      <c r="M5209" s="105"/>
      <c r="N5209" s="105"/>
      <c r="O5209" s="11"/>
      <c r="P5209" s="11"/>
      <c r="Q5209" s="105"/>
      <c r="R5209" s="105"/>
      <c r="S5209" s="105"/>
      <c r="T5209" s="105"/>
      <c r="U5209" s="105"/>
      <c r="V5209" s="105"/>
      <c r="W5209" s="105"/>
      <c r="X5209" s="11"/>
      <c r="Y5209" s="11"/>
      <c r="Z5209" s="105"/>
      <c r="AA5209" s="11"/>
      <c r="AB5209" s="11"/>
      <c r="AC5209" s="105"/>
      <c r="AD5209" s="11" t="b">
        <v>0</v>
      </c>
      <c r="AE5209" s="105"/>
      <c r="AF5209" s="11"/>
      <c r="AG5209" s="11"/>
      <c r="AH5209" s="11"/>
      <c r="AI5209" s="11"/>
    </row>
    <row r="5210" ht="12.5" spans="3:35">
      <c r="C5210" s="19"/>
      <c r="D5210" s="19"/>
      <c r="H5210" s="105"/>
      <c r="I5210" s="126"/>
      <c r="J5210" s="11"/>
      <c r="K5210" s="108"/>
      <c r="L5210" s="11"/>
      <c r="M5210" s="105"/>
      <c r="N5210" s="105"/>
      <c r="O5210" s="11"/>
      <c r="P5210" s="11"/>
      <c r="Q5210" s="105"/>
      <c r="R5210" s="105"/>
      <c r="S5210" s="105"/>
      <c r="T5210" s="105"/>
      <c r="U5210" s="105"/>
      <c r="V5210" s="105"/>
      <c r="W5210" s="105"/>
      <c r="X5210" s="11"/>
      <c r="Y5210" s="11"/>
      <c r="Z5210" s="105"/>
      <c r="AA5210" s="11"/>
      <c r="AB5210" s="11"/>
      <c r="AC5210" s="105"/>
      <c r="AD5210" s="11" t="b">
        <v>0</v>
      </c>
      <c r="AE5210" s="105"/>
      <c r="AF5210" s="11"/>
      <c r="AG5210" s="11"/>
      <c r="AH5210" s="11"/>
      <c r="AI5210" s="11"/>
    </row>
    <row r="5211" ht="12.5" spans="3:35">
      <c r="C5211" s="19"/>
      <c r="D5211" s="19"/>
      <c r="H5211" s="105"/>
      <c r="I5211" s="126"/>
      <c r="J5211" s="11"/>
      <c r="K5211" s="108"/>
      <c r="L5211" s="11"/>
      <c r="M5211" s="105"/>
      <c r="N5211" s="105"/>
      <c r="O5211" s="11"/>
      <c r="P5211" s="11"/>
      <c r="Q5211" s="105"/>
      <c r="R5211" s="105"/>
      <c r="S5211" s="105"/>
      <c r="T5211" s="105"/>
      <c r="U5211" s="105"/>
      <c r="V5211" s="105"/>
      <c r="W5211" s="105"/>
      <c r="X5211" s="11"/>
      <c r="Y5211" s="11"/>
      <c r="Z5211" s="105"/>
      <c r="AA5211" s="11"/>
      <c r="AB5211" s="11"/>
      <c r="AC5211" s="105"/>
      <c r="AD5211" s="11" t="b">
        <v>0</v>
      </c>
      <c r="AE5211" s="105"/>
      <c r="AF5211" s="11"/>
      <c r="AG5211" s="11"/>
      <c r="AH5211" s="11"/>
      <c r="AI5211" s="11"/>
    </row>
    <row r="5212" ht="12.5" spans="3:35">
      <c r="C5212" s="19"/>
      <c r="D5212" s="19"/>
      <c r="H5212" s="105"/>
      <c r="I5212" s="126"/>
      <c r="J5212" s="11"/>
      <c r="K5212" s="108"/>
      <c r="L5212" s="11"/>
      <c r="M5212" s="105"/>
      <c r="N5212" s="105"/>
      <c r="O5212" s="11"/>
      <c r="P5212" s="11"/>
      <c r="Q5212" s="105"/>
      <c r="R5212" s="105"/>
      <c r="S5212" s="105"/>
      <c r="T5212" s="105"/>
      <c r="U5212" s="105"/>
      <c r="V5212" s="105"/>
      <c r="W5212" s="105"/>
      <c r="X5212" s="11"/>
      <c r="Y5212" s="11"/>
      <c r="Z5212" s="105"/>
      <c r="AA5212" s="11"/>
      <c r="AB5212" s="11"/>
      <c r="AC5212" s="105"/>
      <c r="AD5212" s="11" t="b">
        <v>0</v>
      </c>
      <c r="AE5212" s="105"/>
      <c r="AF5212" s="11"/>
      <c r="AG5212" s="11"/>
      <c r="AH5212" s="11"/>
      <c r="AI5212" s="11"/>
    </row>
    <row r="5213" ht="12.5" spans="3:35">
      <c r="C5213" s="19"/>
      <c r="D5213" s="19"/>
      <c r="H5213" s="105"/>
      <c r="I5213" s="126"/>
      <c r="J5213" s="11"/>
      <c r="K5213" s="108"/>
      <c r="L5213" s="11"/>
      <c r="M5213" s="105"/>
      <c r="N5213" s="105"/>
      <c r="O5213" s="11"/>
      <c r="P5213" s="11"/>
      <c r="Q5213" s="105"/>
      <c r="R5213" s="105"/>
      <c r="S5213" s="105"/>
      <c r="T5213" s="105"/>
      <c r="U5213" s="105"/>
      <c r="V5213" s="105"/>
      <c r="W5213" s="105"/>
      <c r="X5213" s="11"/>
      <c r="Y5213" s="11"/>
      <c r="Z5213" s="105"/>
      <c r="AA5213" s="11"/>
      <c r="AB5213" s="11"/>
      <c r="AC5213" s="105"/>
      <c r="AD5213" s="11" t="b">
        <v>0</v>
      </c>
      <c r="AE5213" s="105"/>
      <c r="AF5213" s="11"/>
      <c r="AG5213" s="11"/>
      <c r="AH5213" s="11"/>
      <c r="AI5213" s="11"/>
    </row>
    <row r="5214" ht="12.5" spans="3:35">
      <c r="C5214" s="19"/>
      <c r="D5214" s="19"/>
      <c r="H5214" s="105"/>
      <c r="I5214" s="126"/>
      <c r="J5214" s="11"/>
      <c r="K5214" s="108"/>
      <c r="L5214" s="11"/>
      <c r="M5214" s="105"/>
      <c r="N5214" s="105"/>
      <c r="O5214" s="11"/>
      <c r="P5214" s="11"/>
      <c r="Q5214" s="105"/>
      <c r="R5214" s="105"/>
      <c r="S5214" s="105"/>
      <c r="T5214" s="105"/>
      <c r="U5214" s="105"/>
      <c r="V5214" s="105"/>
      <c r="W5214" s="105"/>
      <c r="X5214" s="11"/>
      <c r="Y5214" s="11"/>
      <c r="Z5214" s="105"/>
      <c r="AA5214" s="11"/>
      <c r="AB5214" s="11"/>
      <c r="AC5214" s="105"/>
      <c r="AD5214" s="11" t="b">
        <v>0</v>
      </c>
      <c r="AE5214" s="105"/>
      <c r="AF5214" s="11"/>
      <c r="AG5214" s="11"/>
      <c r="AH5214" s="11"/>
      <c r="AI5214" s="11"/>
    </row>
    <row r="5215" ht="12.5" spans="3:35">
      <c r="C5215" s="19"/>
      <c r="D5215" s="19"/>
      <c r="H5215" s="105"/>
      <c r="I5215" s="126"/>
      <c r="J5215" s="11"/>
      <c r="K5215" s="108"/>
      <c r="L5215" s="11"/>
      <c r="M5215" s="105"/>
      <c r="N5215" s="105"/>
      <c r="O5215" s="11"/>
      <c r="P5215" s="11"/>
      <c r="Q5215" s="105"/>
      <c r="R5215" s="105"/>
      <c r="S5215" s="105"/>
      <c r="T5215" s="105"/>
      <c r="U5215" s="105"/>
      <c r="V5215" s="105"/>
      <c r="W5215" s="105"/>
      <c r="X5215" s="11"/>
      <c r="Y5215" s="11"/>
      <c r="Z5215" s="105"/>
      <c r="AA5215" s="11"/>
      <c r="AB5215" s="11"/>
      <c r="AC5215" s="105"/>
      <c r="AD5215" s="11" t="b">
        <v>0</v>
      </c>
      <c r="AE5215" s="105"/>
      <c r="AF5215" s="11"/>
      <c r="AG5215" s="11"/>
      <c r="AH5215" s="11"/>
      <c r="AI5215" s="11"/>
    </row>
    <row r="5216" ht="12.5" spans="3:35">
      <c r="C5216" s="19"/>
      <c r="D5216" s="19"/>
      <c r="H5216" s="105"/>
      <c r="I5216" s="126"/>
      <c r="J5216" s="11"/>
      <c r="K5216" s="108"/>
      <c r="L5216" s="11"/>
      <c r="M5216" s="105"/>
      <c r="N5216" s="105"/>
      <c r="O5216" s="11"/>
      <c r="P5216" s="11"/>
      <c r="Q5216" s="105"/>
      <c r="R5216" s="105"/>
      <c r="S5216" s="105"/>
      <c r="T5216" s="105"/>
      <c r="U5216" s="105"/>
      <c r="V5216" s="105"/>
      <c r="W5216" s="105"/>
      <c r="X5216" s="11"/>
      <c r="Y5216" s="11"/>
      <c r="Z5216" s="105"/>
      <c r="AA5216" s="11"/>
      <c r="AB5216" s="11"/>
      <c r="AC5216" s="105"/>
      <c r="AD5216" s="11" t="b">
        <v>0</v>
      </c>
      <c r="AE5216" s="105"/>
      <c r="AF5216" s="11"/>
      <c r="AG5216" s="11"/>
      <c r="AH5216" s="11"/>
      <c r="AI5216" s="11"/>
    </row>
    <row r="5217" ht="12.5" spans="3:35">
      <c r="C5217" s="19"/>
      <c r="D5217" s="19"/>
      <c r="H5217" s="105"/>
      <c r="I5217" s="126"/>
      <c r="J5217" s="11"/>
      <c r="K5217" s="108"/>
      <c r="L5217" s="11"/>
      <c r="M5217" s="105"/>
      <c r="N5217" s="105"/>
      <c r="O5217" s="11"/>
      <c r="P5217" s="11"/>
      <c r="Q5217" s="105"/>
      <c r="R5217" s="105"/>
      <c r="S5217" s="105"/>
      <c r="T5217" s="105"/>
      <c r="U5217" s="105"/>
      <c r="V5217" s="105"/>
      <c r="W5217" s="105"/>
      <c r="X5217" s="11"/>
      <c r="Y5217" s="11"/>
      <c r="Z5217" s="105"/>
      <c r="AA5217" s="11"/>
      <c r="AB5217" s="11"/>
      <c r="AC5217" s="105"/>
      <c r="AD5217" s="11" t="b">
        <v>0</v>
      </c>
      <c r="AE5217" s="105"/>
      <c r="AF5217" s="11"/>
      <c r="AG5217" s="11"/>
      <c r="AH5217" s="11"/>
      <c r="AI5217" s="11"/>
    </row>
    <row r="5218" ht="12.5" spans="3:35">
      <c r="C5218" s="19"/>
      <c r="D5218" s="19"/>
      <c r="H5218" s="105"/>
      <c r="I5218" s="126"/>
      <c r="J5218" s="11"/>
      <c r="K5218" s="108"/>
      <c r="L5218" s="11"/>
      <c r="M5218" s="105"/>
      <c r="N5218" s="105"/>
      <c r="O5218" s="11"/>
      <c r="P5218" s="11"/>
      <c r="Q5218" s="105"/>
      <c r="R5218" s="105"/>
      <c r="S5218" s="105"/>
      <c r="T5218" s="105"/>
      <c r="U5218" s="105"/>
      <c r="V5218" s="105"/>
      <c r="W5218" s="105"/>
      <c r="X5218" s="11"/>
      <c r="Y5218" s="11"/>
      <c r="Z5218" s="105"/>
      <c r="AA5218" s="11"/>
      <c r="AB5218" s="11"/>
      <c r="AC5218" s="105"/>
      <c r="AD5218" s="11" t="b">
        <v>0</v>
      </c>
      <c r="AE5218" s="105"/>
      <c r="AF5218" s="11"/>
      <c r="AG5218" s="11"/>
      <c r="AH5218" s="11"/>
      <c r="AI5218" s="11"/>
    </row>
    <row r="5219" ht="12.5" spans="3:35">
      <c r="C5219" s="19"/>
      <c r="D5219" s="19"/>
      <c r="H5219" s="105"/>
      <c r="I5219" s="126"/>
      <c r="J5219" s="11"/>
      <c r="K5219" s="108"/>
      <c r="L5219" s="11"/>
      <c r="M5219" s="105"/>
      <c r="N5219" s="105"/>
      <c r="O5219" s="11"/>
      <c r="P5219" s="11"/>
      <c r="Q5219" s="105"/>
      <c r="R5219" s="105"/>
      <c r="S5219" s="105"/>
      <c r="T5219" s="105"/>
      <c r="U5219" s="105"/>
      <c r="V5219" s="105"/>
      <c r="W5219" s="105"/>
      <c r="X5219" s="11"/>
      <c r="Y5219" s="11"/>
      <c r="Z5219" s="105"/>
      <c r="AA5219" s="11"/>
      <c r="AB5219" s="11"/>
      <c r="AC5219" s="105"/>
      <c r="AD5219" s="11" t="b">
        <v>0</v>
      </c>
      <c r="AE5219" s="105"/>
      <c r="AF5219" s="11"/>
      <c r="AG5219" s="11"/>
      <c r="AH5219" s="11"/>
      <c r="AI5219" s="11"/>
    </row>
    <row r="5220" ht="12.5" spans="3:35">
      <c r="C5220" s="19"/>
      <c r="D5220" s="19"/>
      <c r="H5220" s="105"/>
      <c r="I5220" s="126"/>
      <c r="J5220" s="11"/>
      <c r="K5220" s="108"/>
      <c r="L5220" s="11"/>
      <c r="M5220" s="105"/>
      <c r="N5220" s="105"/>
      <c r="O5220" s="11"/>
      <c r="P5220" s="11"/>
      <c r="Q5220" s="105"/>
      <c r="R5220" s="105"/>
      <c r="S5220" s="105"/>
      <c r="T5220" s="105"/>
      <c r="U5220" s="105"/>
      <c r="V5220" s="105"/>
      <c r="W5220" s="105"/>
      <c r="X5220" s="11"/>
      <c r="Y5220" s="11"/>
      <c r="Z5220" s="105"/>
      <c r="AA5220" s="11"/>
      <c r="AB5220" s="11"/>
      <c r="AC5220" s="105"/>
      <c r="AD5220" s="11" t="b">
        <v>0</v>
      </c>
      <c r="AE5220" s="105"/>
      <c r="AF5220" s="11"/>
      <c r="AG5220" s="11"/>
      <c r="AH5220" s="11"/>
      <c r="AI5220" s="11"/>
    </row>
    <row r="5221" ht="12.5" spans="3:35">
      <c r="C5221" s="19"/>
      <c r="D5221" s="19"/>
      <c r="H5221" s="105"/>
      <c r="I5221" s="126"/>
      <c r="J5221" s="11"/>
      <c r="K5221" s="108"/>
      <c r="L5221" s="11"/>
      <c r="M5221" s="105"/>
      <c r="N5221" s="105"/>
      <c r="O5221" s="11"/>
      <c r="P5221" s="11"/>
      <c r="Q5221" s="105"/>
      <c r="R5221" s="105"/>
      <c r="S5221" s="105"/>
      <c r="T5221" s="105"/>
      <c r="U5221" s="105"/>
      <c r="V5221" s="105"/>
      <c r="W5221" s="105"/>
      <c r="X5221" s="11"/>
      <c r="Y5221" s="11"/>
      <c r="Z5221" s="105"/>
      <c r="AA5221" s="11"/>
      <c r="AB5221" s="11"/>
      <c r="AC5221" s="105"/>
      <c r="AD5221" s="11" t="b">
        <v>0</v>
      </c>
      <c r="AE5221" s="105"/>
      <c r="AF5221" s="11"/>
      <c r="AG5221" s="11"/>
      <c r="AH5221" s="11"/>
      <c r="AI5221" s="11"/>
    </row>
    <row r="5222" ht="12.5" spans="3:35">
      <c r="C5222" s="19"/>
      <c r="D5222" s="19"/>
      <c r="H5222" s="105"/>
      <c r="I5222" s="126"/>
      <c r="J5222" s="11"/>
      <c r="K5222" s="108"/>
      <c r="L5222" s="11"/>
      <c r="M5222" s="105"/>
      <c r="N5222" s="105"/>
      <c r="O5222" s="11"/>
      <c r="P5222" s="11"/>
      <c r="Q5222" s="105"/>
      <c r="R5222" s="105"/>
      <c r="S5222" s="105"/>
      <c r="T5222" s="105"/>
      <c r="U5222" s="105"/>
      <c r="V5222" s="105"/>
      <c r="W5222" s="105"/>
      <c r="X5222" s="11"/>
      <c r="Y5222" s="11"/>
      <c r="Z5222" s="105"/>
      <c r="AA5222" s="11"/>
      <c r="AB5222" s="11"/>
      <c r="AC5222" s="105"/>
      <c r="AD5222" s="11" t="b">
        <v>0</v>
      </c>
      <c r="AE5222" s="105"/>
      <c r="AF5222" s="11"/>
      <c r="AG5222" s="11"/>
      <c r="AH5222" s="11"/>
      <c r="AI5222" s="11"/>
    </row>
    <row r="5223" ht="12.5" spans="3:35">
      <c r="C5223" s="19"/>
      <c r="D5223" s="19"/>
      <c r="H5223" s="105"/>
      <c r="I5223" s="126"/>
      <c r="J5223" s="11"/>
      <c r="K5223" s="108"/>
      <c r="L5223" s="11"/>
      <c r="M5223" s="105"/>
      <c r="N5223" s="105"/>
      <c r="O5223" s="11"/>
      <c r="P5223" s="11"/>
      <c r="Q5223" s="105"/>
      <c r="R5223" s="105"/>
      <c r="S5223" s="105"/>
      <c r="T5223" s="105"/>
      <c r="U5223" s="105"/>
      <c r="V5223" s="105"/>
      <c r="W5223" s="105"/>
      <c r="X5223" s="11"/>
      <c r="Y5223" s="11"/>
      <c r="Z5223" s="105"/>
      <c r="AA5223" s="11"/>
      <c r="AB5223" s="11"/>
      <c r="AC5223" s="105"/>
      <c r="AD5223" s="11" t="b">
        <v>0</v>
      </c>
      <c r="AE5223" s="105"/>
      <c r="AF5223" s="11"/>
      <c r="AG5223" s="11"/>
      <c r="AH5223" s="11"/>
      <c r="AI5223" s="11"/>
    </row>
    <row r="5224" ht="12.5" spans="3:35">
      <c r="C5224" s="19"/>
      <c r="D5224" s="19"/>
      <c r="H5224" s="105"/>
      <c r="I5224" s="126"/>
      <c r="J5224" s="11"/>
      <c r="K5224" s="108"/>
      <c r="L5224" s="11"/>
      <c r="M5224" s="105"/>
      <c r="N5224" s="105"/>
      <c r="O5224" s="11"/>
      <c r="P5224" s="11"/>
      <c r="Q5224" s="105"/>
      <c r="R5224" s="105"/>
      <c r="S5224" s="105"/>
      <c r="T5224" s="105"/>
      <c r="U5224" s="105"/>
      <c r="V5224" s="105"/>
      <c r="W5224" s="105"/>
      <c r="X5224" s="11"/>
      <c r="Y5224" s="11"/>
      <c r="Z5224" s="105"/>
      <c r="AA5224" s="11"/>
      <c r="AB5224" s="11"/>
      <c r="AC5224" s="105"/>
      <c r="AD5224" s="11" t="b">
        <v>0</v>
      </c>
      <c r="AE5224" s="105"/>
      <c r="AF5224" s="11"/>
      <c r="AG5224" s="11"/>
      <c r="AH5224" s="11"/>
      <c r="AI5224" s="11"/>
    </row>
    <row r="5225" ht="12.5" spans="3:35">
      <c r="C5225" s="19"/>
      <c r="D5225" s="19"/>
      <c r="H5225" s="105"/>
      <c r="I5225" s="126"/>
      <c r="J5225" s="11"/>
      <c r="K5225" s="108"/>
      <c r="L5225" s="11"/>
      <c r="M5225" s="105"/>
      <c r="N5225" s="105"/>
      <c r="O5225" s="11"/>
      <c r="P5225" s="11"/>
      <c r="Q5225" s="105"/>
      <c r="R5225" s="105"/>
      <c r="S5225" s="105"/>
      <c r="T5225" s="105"/>
      <c r="U5225" s="105"/>
      <c r="V5225" s="105"/>
      <c r="W5225" s="105"/>
      <c r="X5225" s="11"/>
      <c r="Y5225" s="11"/>
      <c r="Z5225" s="105"/>
      <c r="AA5225" s="11"/>
      <c r="AB5225" s="11"/>
      <c r="AC5225" s="105"/>
      <c r="AD5225" s="11" t="b">
        <v>0</v>
      </c>
      <c r="AE5225" s="105"/>
      <c r="AF5225" s="11"/>
      <c r="AG5225" s="11"/>
      <c r="AH5225" s="11"/>
      <c r="AI5225" s="11"/>
    </row>
    <row r="5226" ht="12.5" spans="3:35">
      <c r="C5226" s="19"/>
      <c r="D5226" s="19"/>
      <c r="H5226" s="105"/>
      <c r="I5226" s="126"/>
      <c r="J5226" s="11"/>
      <c r="K5226" s="108"/>
      <c r="L5226" s="11"/>
      <c r="M5226" s="105"/>
      <c r="N5226" s="105"/>
      <c r="O5226" s="11"/>
      <c r="P5226" s="11"/>
      <c r="Q5226" s="105"/>
      <c r="R5226" s="105"/>
      <c r="S5226" s="105"/>
      <c r="T5226" s="105"/>
      <c r="U5226" s="105"/>
      <c r="V5226" s="105"/>
      <c r="W5226" s="105"/>
      <c r="X5226" s="11"/>
      <c r="Y5226" s="11"/>
      <c r="Z5226" s="105"/>
      <c r="AA5226" s="11"/>
      <c r="AB5226" s="11"/>
      <c r="AC5226" s="105"/>
      <c r="AD5226" s="11" t="b">
        <v>0</v>
      </c>
      <c r="AE5226" s="105"/>
      <c r="AF5226" s="11"/>
      <c r="AG5226" s="11"/>
      <c r="AH5226" s="11"/>
      <c r="AI5226" s="11"/>
    </row>
    <row r="5227" ht="12.5" spans="3:35">
      <c r="C5227" s="19"/>
      <c r="D5227" s="19"/>
      <c r="H5227" s="105"/>
      <c r="I5227" s="126"/>
      <c r="J5227" s="11"/>
      <c r="K5227" s="108"/>
      <c r="L5227" s="11"/>
      <c r="M5227" s="105"/>
      <c r="N5227" s="105"/>
      <c r="O5227" s="11"/>
      <c r="P5227" s="11"/>
      <c r="Q5227" s="105"/>
      <c r="R5227" s="105"/>
      <c r="S5227" s="105"/>
      <c r="T5227" s="105"/>
      <c r="U5227" s="105"/>
      <c r="V5227" s="105"/>
      <c r="W5227" s="105"/>
      <c r="X5227" s="11"/>
      <c r="Y5227" s="11"/>
      <c r="Z5227" s="105"/>
      <c r="AA5227" s="11"/>
      <c r="AB5227" s="11"/>
      <c r="AC5227" s="105"/>
      <c r="AD5227" s="11" t="b">
        <v>0</v>
      </c>
      <c r="AE5227" s="105"/>
      <c r="AF5227" s="11"/>
      <c r="AG5227" s="11"/>
      <c r="AH5227" s="11"/>
      <c r="AI5227" s="11"/>
    </row>
    <row r="5228" ht="12.5" spans="3:35">
      <c r="C5228" s="19"/>
      <c r="D5228" s="19"/>
      <c r="H5228" s="105"/>
      <c r="I5228" s="126"/>
      <c r="J5228" s="11"/>
      <c r="K5228" s="108"/>
      <c r="L5228" s="11"/>
      <c r="M5228" s="105"/>
      <c r="N5228" s="105"/>
      <c r="O5228" s="11"/>
      <c r="P5228" s="11"/>
      <c r="Q5228" s="105"/>
      <c r="R5228" s="105"/>
      <c r="S5228" s="105"/>
      <c r="T5228" s="105"/>
      <c r="U5228" s="105"/>
      <c r="V5228" s="105"/>
      <c r="W5228" s="105"/>
      <c r="X5228" s="11"/>
      <c r="Y5228" s="11"/>
      <c r="Z5228" s="105"/>
      <c r="AA5228" s="11"/>
      <c r="AB5228" s="11"/>
      <c r="AC5228" s="105"/>
      <c r="AD5228" s="11" t="b">
        <v>0</v>
      </c>
      <c r="AE5228" s="105"/>
      <c r="AF5228" s="11"/>
      <c r="AG5228" s="11"/>
      <c r="AH5228" s="11"/>
      <c r="AI5228" s="11"/>
    </row>
    <row r="5229" ht="12.5" spans="3:35">
      <c r="C5229" s="19"/>
      <c r="D5229" s="19"/>
      <c r="H5229" s="105"/>
      <c r="I5229" s="126"/>
      <c r="J5229" s="11"/>
      <c r="K5229" s="108"/>
      <c r="L5229" s="11"/>
      <c r="M5229" s="105"/>
      <c r="N5229" s="105"/>
      <c r="O5229" s="11"/>
      <c r="P5229" s="11"/>
      <c r="Q5229" s="105"/>
      <c r="R5229" s="105"/>
      <c r="S5229" s="105"/>
      <c r="T5229" s="105"/>
      <c r="U5229" s="105"/>
      <c r="V5229" s="105"/>
      <c r="W5229" s="105"/>
      <c r="X5229" s="11"/>
      <c r="Y5229" s="11"/>
      <c r="Z5229" s="105"/>
      <c r="AA5229" s="11"/>
      <c r="AB5229" s="11"/>
      <c r="AC5229" s="105"/>
      <c r="AD5229" s="11" t="b">
        <v>0</v>
      </c>
      <c r="AE5229" s="105"/>
      <c r="AF5229" s="11"/>
      <c r="AG5229" s="11"/>
      <c r="AH5229" s="11"/>
      <c r="AI5229" s="11"/>
    </row>
    <row r="5230" ht="12.5" spans="3:35">
      <c r="C5230" s="19"/>
      <c r="D5230" s="19"/>
      <c r="H5230" s="105"/>
      <c r="I5230" s="126"/>
      <c r="J5230" s="11"/>
      <c r="K5230" s="108"/>
      <c r="L5230" s="11"/>
      <c r="M5230" s="105"/>
      <c r="N5230" s="105"/>
      <c r="O5230" s="11"/>
      <c r="P5230" s="11"/>
      <c r="Q5230" s="105"/>
      <c r="R5230" s="105"/>
      <c r="S5230" s="105"/>
      <c r="T5230" s="105"/>
      <c r="U5230" s="105"/>
      <c r="V5230" s="105"/>
      <c r="W5230" s="105"/>
      <c r="X5230" s="11"/>
      <c r="Y5230" s="11"/>
      <c r="Z5230" s="105"/>
      <c r="AA5230" s="11"/>
      <c r="AB5230" s="11"/>
      <c r="AC5230" s="105"/>
      <c r="AD5230" s="11" t="b">
        <v>0</v>
      </c>
      <c r="AE5230" s="105"/>
      <c r="AF5230" s="11"/>
      <c r="AG5230" s="11"/>
      <c r="AH5230" s="11"/>
      <c r="AI5230" s="11"/>
    </row>
    <row r="5231" ht="12.5" spans="3:35">
      <c r="C5231" s="19"/>
      <c r="D5231" s="19"/>
      <c r="H5231" s="105"/>
      <c r="I5231" s="126"/>
      <c r="J5231" s="11"/>
      <c r="K5231" s="108"/>
      <c r="L5231" s="11"/>
      <c r="M5231" s="105"/>
      <c r="N5231" s="105"/>
      <c r="O5231" s="11"/>
      <c r="P5231" s="11"/>
      <c r="Q5231" s="105"/>
      <c r="R5231" s="105"/>
      <c r="S5231" s="105"/>
      <c r="T5231" s="105"/>
      <c r="U5231" s="105"/>
      <c r="V5231" s="105"/>
      <c r="W5231" s="105"/>
      <c r="X5231" s="11"/>
      <c r="Y5231" s="11"/>
      <c r="Z5231" s="105"/>
      <c r="AA5231" s="11"/>
      <c r="AB5231" s="11"/>
      <c r="AC5231" s="105"/>
      <c r="AD5231" s="11" t="b">
        <v>0</v>
      </c>
      <c r="AE5231" s="105"/>
      <c r="AF5231" s="11"/>
      <c r="AG5231" s="11"/>
      <c r="AH5231" s="11"/>
      <c r="AI5231" s="11"/>
    </row>
    <row r="5232" ht="12.5" spans="3:35">
      <c r="C5232" s="19"/>
      <c r="D5232" s="19"/>
      <c r="H5232" s="105"/>
      <c r="I5232" s="126"/>
      <c r="J5232" s="11"/>
      <c r="K5232" s="108"/>
      <c r="L5232" s="11"/>
      <c r="M5232" s="105"/>
      <c r="N5232" s="105"/>
      <c r="O5232" s="11"/>
      <c r="P5232" s="11"/>
      <c r="Q5232" s="105"/>
      <c r="R5232" s="105"/>
      <c r="S5232" s="105"/>
      <c r="T5232" s="105"/>
      <c r="U5232" s="105"/>
      <c r="V5232" s="105"/>
      <c r="W5232" s="105"/>
      <c r="X5232" s="11"/>
      <c r="Y5232" s="11"/>
      <c r="Z5232" s="105"/>
      <c r="AA5232" s="11"/>
      <c r="AB5232" s="11"/>
      <c r="AC5232" s="105"/>
      <c r="AD5232" s="11" t="b">
        <v>0</v>
      </c>
      <c r="AE5232" s="105"/>
      <c r="AF5232" s="11"/>
      <c r="AG5232" s="11"/>
      <c r="AH5232" s="11"/>
      <c r="AI5232" s="11"/>
    </row>
    <row r="5233" ht="12.5" spans="3:35">
      <c r="C5233" s="19"/>
      <c r="D5233" s="19"/>
      <c r="H5233" s="105"/>
      <c r="I5233" s="126"/>
      <c r="J5233" s="11"/>
      <c r="K5233" s="108"/>
      <c r="L5233" s="11"/>
      <c r="M5233" s="105"/>
      <c r="N5233" s="105"/>
      <c r="O5233" s="11"/>
      <c r="P5233" s="11"/>
      <c r="Q5233" s="105"/>
      <c r="R5233" s="105"/>
      <c r="S5233" s="105"/>
      <c r="T5233" s="105"/>
      <c r="U5233" s="105"/>
      <c r="V5233" s="105"/>
      <c r="W5233" s="105"/>
      <c r="X5233" s="11"/>
      <c r="Y5233" s="11"/>
      <c r="Z5233" s="105"/>
      <c r="AA5233" s="11"/>
      <c r="AB5233" s="11"/>
      <c r="AC5233" s="105"/>
      <c r="AD5233" s="11" t="b">
        <v>0</v>
      </c>
      <c r="AE5233" s="105"/>
      <c r="AF5233" s="11"/>
      <c r="AG5233" s="11"/>
      <c r="AH5233" s="11"/>
      <c r="AI5233" s="11"/>
    </row>
    <row r="5234" ht="12.5" spans="3:35">
      <c r="C5234" s="19"/>
      <c r="D5234" s="19"/>
      <c r="H5234" s="105"/>
      <c r="I5234" s="126"/>
      <c r="J5234" s="11"/>
      <c r="K5234" s="108"/>
      <c r="L5234" s="11"/>
      <c r="M5234" s="105"/>
      <c r="N5234" s="105"/>
      <c r="O5234" s="11"/>
      <c r="P5234" s="11"/>
      <c r="Q5234" s="105"/>
      <c r="R5234" s="105"/>
      <c r="S5234" s="105"/>
      <c r="T5234" s="105"/>
      <c r="U5234" s="105"/>
      <c r="V5234" s="105"/>
      <c r="W5234" s="105"/>
      <c r="X5234" s="11"/>
      <c r="Y5234" s="11"/>
      <c r="Z5234" s="105"/>
      <c r="AA5234" s="11"/>
      <c r="AB5234" s="11"/>
      <c r="AC5234" s="105"/>
      <c r="AD5234" s="11" t="b">
        <v>0</v>
      </c>
      <c r="AE5234" s="105"/>
      <c r="AF5234" s="11"/>
      <c r="AG5234" s="11"/>
      <c r="AH5234" s="11"/>
      <c r="AI5234" s="11"/>
    </row>
    <row r="5235" ht="12.5" spans="3:35">
      <c r="C5235" s="19"/>
      <c r="D5235" s="19"/>
      <c r="H5235" s="105"/>
      <c r="I5235" s="126"/>
      <c r="J5235" s="11"/>
      <c r="K5235" s="108"/>
      <c r="L5235" s="11"/>
      <c r="M5235" s="105"/>
      <c r="N5235" s="105"/>
      <c r="O5235" s="11"/>
      <c r="P5235" s="11"/>
      <c r="Q5235" s="105"/>
      <c r="R5235" s="105"/>
      <c r="S5235" s="105"/>
      <c r="T5235" s="105"/>
      <c r="U5235" s="105"/>
      <c r="V5235" s="105"/>
      <c r="W5235" s="105"/>
      <c r="X5235" s="11"/>
      <c r="Y5235" s="11"/>
      <c r="Z5235" s="105"/>
      <c r="AA5235" s="11"/>
      <c r="AB5235" s="11"/>
      <c r="AC5235" s="105"/>
      <c r="AD5235" s="11" t="b">
        <v>0</v>
      </c>
      <c r="AE5235" s="105"/>
      <c r="AF5235" s="11"/>
      <c r="AG5235" s="11"/>
      <c r="AH5235" s="11"/>
      <c r="AI5235" s="11"/>
    </row>
    <row r="5236" ht="12.5" spans="3:35">
      <c r="C5236" s="19"/>
      <c r="D5236" s="19"/>
      <c r="H5236" s="105"/>
      <c r="I5236" s="126"/>
      <c r="J5236" s="11"/>
      <c r="K5236" s="108"/>
      <c r="L5236" s="11"/>
      <c r="M5236" s="105"/>
      <c r="N5236" s="105"/>
      <c r="O5236" s="11"/>
      <c r="P5236" s="11"/>
      <c r="Q5236" s="105"/>
      <c r="R5236" s="105"/>
      <c r="S5236" s="105"/>
      <c r="T5236" s="105"/>
      <c r="U5236" s="105"/>
      <c r="V5236" s="105"/>
      <c r="W5236" s="105"/>
      <c r="X5236" s="11"/>
      <c r="Y5236" s="11"/>
      <c r="Z5236" s="105"/>
      <c r="AA5236" s="11"/>
      <c r="AB5236" s="11"/>
      <c r="AC5236" s="105"/>
      <c r="AD5236" s="11" t="b">
        <v>0</v>
      </c>
      <c r="AE5236" s="105"/>
      <c r="AF5236" s="11"/>
      <c r="AG5236" s="11"/>
      <c r="AH5236" s="11"/>
      <c r="AI5236" s="11"/>
    </row>
    <row r="5237" ht="12.5" spans="3:35">
      <c r="C5237" s="19"/>
      <c r="D5237" s="19"/>
      <c r="H5237" s="105"/>
      <c r="I5237" s="126"/>
      <c r="J5237" s="11"/>
      <c r="K5237" s="108"/>
      <c r="L5237" s="11"/>
      <c r="M5237" s="105"/>
      <c r="N5237" s="105"/>
      <c r="O5237" s="11"/>
      <c r="P5237" s="11"/>
      <c r="Q5237" s="105"/>
      <c r="R5237" s="105"/>
      <c r="S5237" s="105"/>
      <c r="T5237" s="105"/>
      <c r="U5237" s="105"/>
      <c r="V5237" s="105"/>
      <c r="W5237" s="105"/>
      <c r="X5237" s="11"/>
      <c r="Y5237" s="11"/>
      <c r="Z5237" s="105"/>
      <c r="AA5237" s="11"/>
      <c r="AB5237" s="11"/>
      <c r="AC5237" s="105"/>
      <c r="AD5237" s="11" t="b">
        <v>0</v>
      </c>
      <c r="AE5237" s="105"/>
      <c r="AF5237" s="11"/>
      <c r="AG5237" s="11"/>
      <c r="AH5237" s="11"/>
      <c r="AI5237" s="11"/>
    </row>
    <row r="5238" ht="12.5" spans="3:35">
      <c r="C5238" s="19"/>
      <c r="D5238" s="19"/>
      <c r="H5238" s="105"/>
      <c r="I5238" s="126"/>
      <c r="J5238" s="11"/>
      <c r="K5238" s="108"/>
      <c r="L5238" s="11"/>
      <c r="M5238" s="105"/>
      <c r="N5238" s="105"/>
      <c r="O5238" s="11"/>
      <c r="P5238" s="11"/>
      <c r="Q5238" s="105"/>
      <c r="R5238" s="105"/>
      <c r="S5238" s="105"/>
      <c r="T5238" s="105"/>
      <c r="U5238" s="105"/>
      <c r="V5238" s="105"/>
      <c r="W5238" s="105"/>
      <c r="X5238" s="11"/>
      <c r="Y5238" s="11"/>
      <c r="Z5238" s="105"/>
      <c r="AA5238" s="11"/>
      <c r="AB5238" s="11"/>
      <c r="AC5238" s="105"/>
      <c r="AD5238" s="11" t="b">
        <v>0</v>
      </c>
      <c r="AE5238" s="105"/>
      <c r="AF5238" s="11"/>
      <c r="AG5238" s="11"/>
      <c r="AH5238" s="11"/>
      <c r="AI5238" s="11"/>
    </row>
    <row r="5239" ht="12.5" spans="3:35">
      <c r="C5239" s="19"/>
      <c r="D5239" s="19"/>
      <c r="H5239" s="105"/>
      <c r="I5239" s="126"/>
      <c r="J5239" s="11"/>
      <c r="K5239" s="108"/>
      <c r="L5239" s="11"/>
      <c r="M5239" s="105"/>
      <c r="N5239" s="105"/>
      <c r="O5239" s="11"/>
      <c r="P5239" s="11"/>
      <c r="Q5239" s="105"/>
      <c r="R5239" s="105"/>
      <c r="S5239" s="105"/>
      <c r="T5239" s="105"/>
      <c r="U5239" s="105"/>
      <c r="V5239" s="105"/>
      <c r="W5239" s="105"/>
      <c r="X5239" s="11"/>
      <c r="Y5239" s="11"/>
      <c r="Z5239" s="105"/>
      <c r="AA5239" s="11"/>
      <c r="AB5239" s="11"/>
      <c r="AC5239" s="105"/>
      <c r="AD5239" s="11" t="b">
        <v>0</v>
      </c>
      <c r="AE5239" s="105"/>
      <c r="AF5239" s="11"/>
      <c r="AG5239" s="11"/>
      <c r="AH5239" s="11"/>
      <c r="AI5239" s="11"/>
    </row>
    <row r="5240" ht="12.5" spans="3:35">
      <c r="C5240" s="19"/>
      <c r="D5240" s="19"/>
      <c r="H5240" s="105"/>
      <c r="I5240" s="126"/>
      <c r="J5240" s="11"/>
      <c r="K5240" s="108"/>
      <c r="L5240" s="11"/>
      <c r="M5240" s="105"/>
      <c r="N5240" s="105"/>
      <c r="O5240" s="11"/>
      <c r="P5240" s="11"/>
      <c r="Q5240" s="105"/>
      <c r="R5240" s="105"/>
      <c r="S5240" s="105"/>
      <c r="T5240" s="105"/>
      <c r="U5240" s="105"/>
      <c r="V5240" s="105"/>
      <c r="W5240" s="105"/>
      <c r="X5240" s="11"/>
      <c r="Y5240" s="11"/>
      <c r="Z5240" s="105"/>
      <c r="AA5240" s="11"/>
      <c r="AB5240" s="11"/>
      <c r="AC5240" s="105"/>
      <c r="AD5240" s="11" t="b">
        <v>0</v>
      </c>
      <c r="AE5240" s="105"/>
      <c r="AF5240" s="11"/>
      <c r="AG5240" s="11"/>
      <c r="AH5240" s="11"/>
      <c r="AI5240" s="11"/>
    </row>
    <row r="5241" ht="12.5" spans="3:35">
      <c r="C5241" s="19"/>
      <c r="D5241" s="19"/>
      <c r="H5241" s="105"/>
      <c r="I5241" s="126"/>
      <c r="J5241" s="11"/>
      <c r="K5241" s="108"/>
      <c r="L5241" s="11"/>
      <c r="M5241" s="105"/>
      <c r="N5241" s="105"/>
      <c r="O5241" s="11"/>
      <c r="P5241" s="11"/>
      <c r="Q5241" s="105"/>
      <c r="R5241" s="105"/>
      <c r="S5241" s="105"/>
      <c r="T5241" s="105"/>
      <c r="U5241" s="105"/>
      <c r="V5241" s="105"/>
      <c r="W5241" s="105"/>
      <c r="X5241" s="11"/>
      <c r="Y5241" s="11"/>
      <c r="Z5241" s="105"/>
      <c r="AA5241" s="11"/>
      <c r="AB5241" s="11"/>
      <c r="AC5241" s="105"/>
      <c r="AD5241" s="11" t="b">
        <v>0</v>
      </c>
      <c r="AE5241" s="105"/>
      <c r="AF5241" s="11"/>
      <c r="AG5241" s="11"/>
      <c r="AH5241" s="11"/>
      <c r="AI5241" s="11"/>
    </row>
    <row r="5242" ht="12.5" spans="3:35">
      <c r="C5242" s="19"/>
      <c r="D5242" s="19"/>
      <c r="H5242" s="105"/>
      <c r="I5242" s="126"/>
      <c r="J5242" s="11"/>
      <c r="K5242" s="108"/>
      <c r="L5242" s="11"/>
      <c r="M5242" s="105"/>
      <c r="N5242" s="105"/>
      <c r="O5242" s="11"/>
      <c r="P5242" s="11"/>
      <c r="Q5242" s="105"/>
      <c r="R5242" s="105"/>
      <c r="S5242" s="105"/>
      <c r="T5242" s="105"/>
      <c r="U5242" s="105"/>
      <c r="V5242" s="105"/>
      <c r="W5242" s="105"/>
      <c r="X5242" s="11"/>
      <c r="Y5242" s="11"/>
      <c r="Z5242" s="105"/>
      <c r="AA5242" s="11"/>
      <c r="AB5242" s="11"/>
      <c r="AC5242" s="105"/>
      <c r="AD5242" s="11" t="b">
        <v>0</v>
      </c>
      <c r="AE5242" s="105"/>
      <c r="AF5242" s="11"/>
      <c r="AG5242" s="11"/>
      <c r="AH5242" s="11"/>
      <c r="AI5242" s="11"/>
    </row>
    <row r="5243" ht="12.5" spans="3:35">
      <c r="C5243" s="19"/>
      <c r="D5243" s="19"/>
      <c r="H5243" s="105"/>
      <c r="I5243" s="126"/>
      <c r="J5243" s="11"/>
      <c r="K5243" s="108"/>
      <c r="L5243" s="11"/>
      <c r="M5243" s="105"/>
      <c r="N5243" s="105"/>
      <c r="O5243" s="11"/>
      <c r="P5243" s="11"/>
      <c r="Q5243" s="105"/>
      <c r="R5243" s="105"/>
      <c r="S5243" s="105"/>
      <c r="T5243" s="105"/>
      <c r="U5243" s="105"/>
      <c r="V5243" s="105"/>
      <c r="W5243" s="105"/>
      <c r="X5243" s="11"/>
      <c r="Y5243" s="11"/>
      <c r="Z5243" s="105"/>
      <c r="AA5243" s="11"/>
      <c r="AB5243" s="11"/>
      <c r="AC5243" s="105"/>
      <c r="AD5243" s="11" t="b">
        <v>0</v>
      </c>
      <c r="AE5243" s="105"/>
      <c r="AF5243" s="11"/>
      <c r="AG5243" s="11"/>
      <c r="AH5243" s="11"/>
      <c r="AI5243" s="11"/>
    </row>
    <row r="5244" ht="12.5" spans="3:35">
      <c r="C5244" s="19"/>
      <c r="D5244" s="19"/>
      <c r="H5244" s="105"/>
      <c r="I5244" s="126"/>
      <c r="J5244" s="11"/>
      <c r="K5244" s="108"/>
      <c r="L5244" s="11"/>
      <c r="M5244" s="105"/>
      <c r="N5244" s="105"/>
      <c r="O5244" s="11"/>
      <c r="P5244" s="11"/>
      <c r="Q5244" s="105"/>
      <c r="R5244" s="105"/>
      <c r="S5244" s="105"/>
      <c r="T5244" s="105"/>
      <c r="U5244" s="105"/>
      <c r="V5244" s="105"/>
      <c r="W5244" s="105"/>
      <c r="X5244" s="11"/>
      <c r="Y5244" s="11"/>
      <c r="Z5244" s="105"/>
      <c r="AA5244" s="11"/>
      <c r="AB5244" s="11"/>
      <c r="AC5244" s="105"/>
      <c r="AD5244" s="11" t="b">
        <v>0</v>
      </c>
      <c r="AE5244" s="105"/>
      <c r="AF5244" s="11"/>
      <c r="AG5244" s="11"/>
      <c r="AH5244" s="11"/>
      <c r="AI5244" s="11"/>
    </row>
    <row r="5245" ht="12.5" spans="3:35">
      <c r="C5245" s="19"/>
      <c r="D5245" s="19"/>
      <c r="H5245" s="105"/>
      <c r="I5245" s="126"/>
      <c r="J5245" s="11"/>
      <c r="K5245" s="108"/>
      <c r="L5245" s="11"/>
      <c r="M5245" s="105"/>
      <c r="N5245" s="105"/>
      <c r="O5245" s="11"/>
      <c r="P5245" s="11"/>
      <c r="Q5245" s="105"/>
      <c r="R5245" s="105"/>
      <c r="S5245" s="105"/>
      <c r="T5245" s="105"/>
      <c r="U5245" s="105"/>
      <c r="V5245" s="105"/>
      <c r="W5245" s="105"/>
      <c r="X5245" s="11"/>
      <c r="Y5245" s="11"/>
      <c r="Z5245" s="105"/>
      <c r="AA5245" s="11"/>
      <c r="AB5245" s="11"/>
      <c r="AC5245" s="105"/>
      <c r="AD5245" s="11" t="b">
        <v>0</v>
      </c>
      <c r="AE5245" s="105"/>
      <c r="AF5245" s="11"/>
      <c r="AG5245" s="11"/>
      <c r="AH5245" s="11"/>
      <c r="AI5245" s="11"/>
    </row>
    <row r="5246" ht="12.5" spans="3:35">
      <c r="C5246" s="19"/>
      <c r="D5246" s="19"/>
      <c r="H5246" s="105"/>
      <c r="I5246" s="126"/>
      <c r="J5246" s="11"/>
      <c r="K5246" s="108"/>
      <c r="L5246" s="11"/>
      <c r="M5246" s="105"/>
      <c r="N5246" s="105"/>
      <c r="O5246" s="11"/>
      <c r="P5246" s="11"/>
      <c r="Q5246" s="105"/>
      <c r="R5246" s="105"/>
      <c r="S5246" s="105"/>
      <c r="T5246" s="105"/>
      <c r="U5246" s="105"/>
      <c r="V5246" s="105"/>
      <c r="W5246" s="105"/>
      <c r="X5246" s="11"/>
      <c r="Y5246" s="11"/>
      <c r="Z5246" s="105"/>
      <c r="AA5246" s="11"/>
      <c r="AB5246" s="11"/>
      <c r="AC5246" s="105"/>
      <c r="AD5246" s="11" t="b">
        <v>0</v>
      </c>
      <c r="AE5246" s="105"/>
      <c r="AF5246" s="11"/>
      <c r="AG5246" s="11"/>
      <c r="AH5246" s="11"/>
      <c r="AI5246" s="11"/>
    </row>
    <row r="5247" ht="12.5" spans="3:35">
      <c r="C5247" s="19"/>
      <c r="D5247" s="19"/>
      <c r="H5247" s="105"/>
      <c r="I5247" s="126"/>
      <c r="J5247" s="11"/>
      <c r="K5247" s="108"/>
      <c r="L5247" s="11"/>
      <c r="M5247" s="105"/>
      <c r="N5247" s="105"/>
      <c r="O5247" s="11"/>
      <c r="P5247" s="11"/>
      <c r="Q5247" s="105"/>
      <c r="R5247" s="105"/>
      <c r="S5247" s="105"/>
      <c r="T5247" s="105"/>
      <c r="U5247" s="105"/>
      <c r="V5247" s="105"/>
      <c r="W5247" s="105"/>
      <c r="X5247" s="11"/>
      <c r="Y5247" s="11"/>
      <c r="Z5247" s="105"/>
      <c r="AA5247" s="11"/>
      <c r="AB5247" s="11"/>
      <c r="AC5247" s="105"/>
      <c r="AD5247" s="11" t="b">
        <v>0</v>
      </c>
      <c r="AE5247" s="105"/>
      <c r="AF5247" s="11"/>
      <c r="AG5247" s="11"/>
      <c r="AH5247" s="11"/>
      <c r="AI5247" s="11"/>
    </row>
    <row r="5248" ht="12.5" spans="3:35">
      <c r="C5248" s="19"/>
      <c r="D5248" s="19"/>
      <c r="H5248" s="105"/>
      <c r="I5248" s="126"/>
      <c r="J5248" s="11"/>
      <c r="K5248" s="108"/>
      <c r="L5248" s="11"/>
      <c r="M5248" s="105"/>
      <c r="N5248" s="105"/>
      <c r="O5248" s="11"/>
      <c r="P5248" s="11"/>
      <c r="Q5248" s="105"/>
      <c r="R5248" s="105"/>
      <c r="S5248" s="105"/>
      <c r="T5248" s="105"/>
      <c r="U5248" s="105"/>
      <c r="V5248" s="105"/>
      <c r="W5248" s="105"/>
      <c r="X5248" s="11"/>
      <c r="Y5248" s="11"/>
      <c r="Z5248" s="105"/>
      <c r="AA5248" s="11"/>
      <c r="AB5248" s="11"/>
      <c r="AC5248" s="105"/>
      <c r="AD5248" s="11" t="b">
        <v>0</v>
      </c>
      <c r="AE5248" s="105"/>
      <c r="AF5248" s="11"/>
      <c r="AG5248" s="11"/>
      <c r="AH5248" s="11"/>
      <c r="AI5248" s="11"/>
    </row>
    <row r="5249" ht="12.5" spans="3:35">
      <c r="C5249" s="19"/>
      <c r="D5249" s="19"/>
      <c r="H5249" s="105"/>
      <c r="I5249" s="126"/>
      <c r="J5249" s="11"/>
      <c r="K5249" s="108"/>
      <c r="L5249" s="11"/>
      <c r="M5249" s="105"/>
      <c r="N5249" s="105"/>
      <c r="O5249" s="11"/>
      <c r="P5249" s="11"/>
      <c r="Q5249" s="105"/>
      <c r="R5249" s="105"/>
      <c r="S5249" s="105"/>
      <c r="T5249" s="105"/>
      <c r="U5249" s="105"/>
      <c r="V5249" s="105"/>
      <c r="W5249" s="105"/>
      <c r="X5249" s="11"/>
      <c r="Y5249" s="11"/>
      <c r="Z5249" s="105"/>
      <c r="AA5249" s="11"/>
      <c r="AB5249" s="11"/>
      <c r="AC5249" s="105"/>
      <c r="AD5249" s="11" t="b">
        <v>0</v>
      </c>
      <c r="AE5249" s="105"/>
      <c r="AF5249" s="11"/>
      <c r="AG5249" s="11"/>
      <c r="AH5249" s="11"/>
      <c r="AI5249" s="11"/>
    </row>
    <row r="5250" ht="12.5" spans="3:35">
      <c r="C5250" s="19"/>
      <c r="D5250" s="19"/>
      <c r="H5250" s="105"/>
      <c r="I5250" s="126"/>
      <c r="J5250" s="11"/>
      <c r="K5250" s="108"/>
      <c r="L5250" s="11"/>
      <c r="M5250" s="105"/>
      <c r="N5250" s="105"/>
      <c r="O5250" s="11"/>
      <c r="P5250" s="11"/>
      <c r="Q5250" s="105"/>
      <c r="R5250" s="105"/>
      <c r="S5250" s="105"/>
      <c r="T5250" s="105"/>
      <c r="U5250" s="105"/>
      <c r="V5250" s="105"/>
      <c r="W5250" s="105"/>
      <c r="X5250" s="11"/>
      <c r="Y5250" s="11"/>
      <c r="Z5250" s="105"/>
      <c r="AA5250" s="11"/>
      <c r="AB5250" s="11"/>
      <c r="AC5250" s="105"/>
      <c r="AD5250" s="11" t="b">
        <v>0</v>
      </c>
      <c r="AE5250" s="105"/>
      <c r="AF5250" s="11"/>
      <c r="AG5250" s="11"/>
      <c r="AH5250" s="11"/>
      <c r="AI5250" s="11"/>
    </row>
    <row r="5251" ht="12.5" spans="3:35">
      <c r="C5251" s="19"/>
      <c r="D5251" s="19"/>
      <c r="H5251" s="105"/>
      <c r="I5251" s="126"/>
      <c r="J5251" s="11"/>
      <c r="K5251" s="108"/>
      <c r="L5251" s="11"/>
      <c r="M5251" s="105"/>
      <c r="N5251" s="105"/>
      <c r="O5251" s="11"/>
      <c r="P5251" s="11"/>
      <c r="Q5251" s="105"/>
      <c r="R5251" s="105"/>
      <c r="S5251" s="105"/>
      <c r="T5251" s="105"/>
      <c r="U5251" s="105"/>
      <c r="V5251" s="105"/>
      <c r="W5251" s="105"/>
      <c r="X5251" s="11"/>
      <c r="Y5251" s="11"/>
      <c r="Z5251" s="105"/>
      <c r="AA5251" s="11"/>
      <c r="AB5251" s="11"/>
      <c r="AC5251" s="105"/>
      <c r="AD5251" s="11" t="b">
        <v>0</v>
      </c>
      <c r="AE5251" s="105"/>
      <c r="AF5251" s="11"/>
      <c r="AG5251" s="11"/>
      <c r="AH5251" s="11"/>
      <c r="AI5251" s="11"/>
    </row>
    <row r="5252" ht="12.5" spans="3:35">
      <c r="C5252" s="19"/>
      <c r="D5252" s="19"/>
      <c r="H5252" s="105"/>
      <c r="I5252" s="126"/>
      <c r="J5252" s="11"/>
      <c r="K5252" s="108"/>
      <c r="L5252" s="11"/>
      <c r="M5252" s="105"/>
      <c r="N5252" s="105"/>
      <c r="O5252" s="11"/>
      <c r="P5252" s="11"/>
      <c r="Q5252" s="105"/>
      <c r="R5252" s="105"/>
      <c r="S5252" s="105"/>
      <c r="T5252" s="105"/>
      <c r="U5252" s="105"/>
      <c r="V5252" s="105"/>
      <c r="W5252" s="105"/>
      <c r="X5252" s="11"/>
      <c r="Y5252" s="11"/>
      <c r="Z5252" s="105"/>
      <c r="AA5252" s="11"/>
      <c r="AB5252" s="11"/>
      <c r="AC5252" s="105"/>
      <c r="AD5252" s="11" t="b">
        <v>0</v>
      </c>
      <c r="AE5252" s="105"/>
      <c r="AF5252" s="11"/>
      <c r="AG5252" s="11"/>
      <c r="AH5252" s="11"/>
      <c r="AI5252" s="11"/>
    </row>
    <row r="5253" ht="12.5" spans="3:35">
      <c r="C5253" s="19"/>
      <c r="D5253" s="19"/>
      <c r="H5253" s="105"/>
      <c r="I5253" s="126"/>
      <c r="J5253" s="11"/>
      <c r="K5253" s="108"/>
      <c r="L5253" s="11"/>
      <c r="M5253" s="105"/>
      <c r="N5253" s="105"/>
      <c r="O5253" s="11"/>
      <c r="P5253" s="11"/>
      <c r="Q5253" s="105"/>
      <c r="R5253" s="105"/>
      <c r="S5253" s="105"/>
      <c r="T5253" s="105"/>
      <c r="U5253" s="105"/>
      <c r="V5253" s="105"/>
      <c r="W5253" s="105"/>
      <c r="X5253" s="11"/>
      <c r="Y5253" s="11"/>
      <c r="Z5253" s="105"/>
      <c r="AA5253" s="11"/>
      <c r="AB5253" s="11"/>
      <c r="AC5253" s="105"/>
      <c r="AD5253" s="11" t="b">
        <v>0</v>
      </c>
      <c r="AE5253" s="105"/>
      <c r="AF5253" s="11"/>
      <c r="AG5253" s="11"/>
      <c r="AH5253" s="11"/>
      <c r="AI5253" s="11"/>
    </row>
    <row r="5254" ht="12.5" spans="3:35">
      <c r="C5254" s="19"/>
      <c r="D5254" s="19"/>
      <c r="H5254" s="105"/>
      <c r="I5254" s="126"/>
      <c r="J5254" s="11"/>
      <c r="K5254" s="108"/>
      <c r="L5254" s="11"/>
      <c r="M5254" s="105"/>
      <c r="N5254" s="105"/>
      <c r="O5254" s="11"/>
      <c r="P5254" s="11"/>
      <c r="Q5254" s="105"/>
      <c r="R5254" s="105"/>
      <c r="S5254" s="105"/>
      <c r="T5254" s="105"/>
      <c r="U5254" s="105"/>
      <c r="V5254" s="105"/>
      <c r="W5254" s="105"/>
      <c r="X5254" s="11"/>
      <c r="Y5254" s="11"/>
      <c r="Z5254" s="105"/>
      <c r="AA5254" s="11"/>
      <c r="AB5254" s="11"/>
      <c r="AC5254" s="105"/>
      <c r="AD5254" s="11" t="b">
        <v>0</v>
      </c>
      <c r="AE5254" s="105"/>
      <c r="AF5254" s="11"/>
      <c r="AG5254" s="11"/>
      <c r="AH5254" s="11"/>
      <c r="AI5254" s="11"/>
    </row>
    <row r="5255" ht="12.5" spans="3:35">
      <c r="C5255" s="19"/>
      <c r="D5255" s="19"/>
      <c r="H5255" s="105"/>
      <c r="I5255" s="126"/>
      <c r="J5255" s="11"/>
      <c r="K5255" s="108"/>
      <c r="L5255" s="11"/>
      <c r="M5255" s="105"/>
      <c r="N5255" s="105"/>
      <c r="O5255" s="11"/>
      <c r="P5255" s="11"/>
      <c r="Q5255" s="105"/>
      <c r="R5255" s="105"/>
      <c r="S5255" s="105"/>
      <c r="T5255" s="105"/>
      <c r="U5255" s="105"/>
      <c r="V5255" s="105"/>
      <c r="W5255" s="105"/>
      <c r="X5255" s="11"/>
      <c r="Y5255" s="11"/>
      <c r="Z5255" s="105"/>
      <c r="AA5255" s="11"/>
      <c r="AB5255" s="11"/>
      <c r="AC5255" s="105"/>
      <c r="AD5255" s="11" t="b">
        <v>0</v>
      </c>
      <c r="AE5255" s="105"/>
      <c r="AF5255" s="11"/>
      <c r="AG5255" s="11"/>
      <c r="AH5255" s="11"/>
      <c r="AI5255" s="11"/>
    </row>
    <row r="5256" ht="12.5" spans="3:35">
      <c r="C5256" s="19"/>
      <c r="D5256" s="19"/>
      <c r="H5256" s="105"/>
      <c r="I5256" s="126"/>
      <c r="J5256" s="11"/>
      <c r="K5256" s="108"/>
      <c r="L5256" s="11"/>
      <c r="M5256" s="105"/>
      <c r="N5256" s="105"/>
      <c r="O5256" s="11"/>
      <c r="P5256" s="11"/>
      <c r="Q5256" s="105"/>
      <c r="R5256" s="105"/>
      <c r="S5256" s="105"/>
      <c r="T5256" s="105"/>
      <c r="U5256" s="105"/>
      <c r="V5256" s="105"/>
      <c r="W5256" s="105"/>
      <c r="X5256" s="11"/>
      <c r="Y5256" s="11"/>
      <c r="Z5256" s="105"/>
      <c r="AA5256" s="11"/>
      <c r="AB5256" s="11"/>
      <c r="AC5256" s="105"/>
      <c r="AD5256" s="11" t="b">
        <v>0</v>
      </c>
      <c r="AE5256" s="105"/>
      <c r="AF5256" s="11"/>
      <c r="AG5256" s="11"/>
      <c r="AH5256" s="11"/>
      <c r="AI5256" s="11"/>
    </row>
    <row r="5257" ht="12.5" spans="3:35">
      <c r="C5257" s="19"/>
      <c r="D5257" s="19"/>
      <c r="H5257" s="105"/>
      <c r="I5257" s="126"/>
      <c r="J5257" s="11"/>
      <c r="K5257" s="108"/>
      <c r="L5257" s="11"/>
      <c r="M5257" s="105"/>
      <c r="N5257" s="105"/>
      <c r="O5257" s="11"/>
      <c r="P5257" s="11"/>
      <c r="Q5257" s="105"/>
      <c r="R5257" s="105"/>
      <c r="S5257" s="105"/>
      <c r="T5257" s="105"/>
      <c r="U5257" s="105"/>
      <c r="V5257" s="105"/>
      <c r="W5257" s="105"/>
      <c r="X5257" s="11"/>
      <c r="Y5257" s="11"/>
      <c r="Z5257" s="105"/>
      <c r="AA5257" s="11"/>
      <c r="AB5257" s="11"/>
      <c r="AC5257" s="105"/>
      <c r="AD5257" s="11" t="b">
        <v>0</v>
      </c>
      <c r="AE5257" s="105"/>
      <c r="AF5257" s="11"/>
      <c r="AG5257" s="11"/>
      <c r="AH5257" s="11"/>
      <c r="AI5257" s="11"/>
    </row>
    <row r="5258" ht="12.5" spans="3:35">
      <c r="C5258" s="19"/>
      <c r="D5258" s="19"/>
      <c r="H5258" s="105"/>
      <c r="I5258" s="126"/>
      <c r="J5258" s="11"/>
      <c r="K5258" s="108"/>
      <c r="L5258" s="11"/>
      <c r="M5258" s="105"/>
      <c r="N5258" s="105"/>
      <c r="O5258" s="11"/>
      <c r="P5258" s="11"/>
      <c r="Q5258" s="105"/>
      <c r="R5258" s="105"/>
      <c r="S5258" s="105"/>
      <c r="T5258" s="105"/>
      <c r="U5258" s="105"/>
      <c r="V5258" s="105"/>
      <c r="W5258" s="105"/>
      <c r="X5258" s="11"/>
      <c r="Y5258" s="11"/>
      <c r="Z5258" s="105"/>
      <c r="AA5258" s="11"/>
      <c r="AB5258" s="11"/>
      <c r="AC5258" s="105"/>
      <c r="AD5258" s="11" t="b">
        <v>0</v>
      </c>
      <c r="AE5258" s="105"/>
      <c r="AF5258" s="11"/>
      <c r="AG5258" s="11"/>
      <c r="AH5258" s="11"/>
      <c r="AI5258" s="11"/>
    </row>
    <row r="5259" ht="12.5" spans="3:35">
      <c r="C5259" s="19"/>
      <c r="D5259" s="19"/>
      <c r="H5259" s="105"/>
      <c r="I5259" s="126"/>
      <c r="J5259" s="11"/>
      <c r="K5259" s="108"/>
      <c r="L5259" s="11"/>
      <c r="M5259" s="105"/>
      <c r="N5259" s="105"/>
      <c r="O5259" s="11"/>
      <c r="P5259" s="11"/>
      <c r="Q5259" s="105"/>
      <c r="R5259" s="105"/>
      <c r="S5259" s="105"/>
      <c r="T5259" s="105"/>
      <c r="U5259" s="105"/>
      <c r="V5259" s="105"/>
      <c r="W5259" s="105"/>
      <c r="X5259" s="11"/>
      <c r="Y5259" s="11"/>
      <c r="Z5259" s="105"/>
      <c r="AA5259" s="11"/>
      <c r="AB5259" s="11"/>
      <c r="AC5259" s="105"/>
      <c r="AD5259" s="11" t="b">
        <v>0</v>
      </c>
      <c r="AE5259" s="105"/>
      <c r="AF5259" s="11"/>
      <c r="AG5259" s="11"/>
      <c r="AH5259" s="11"/>
      <c r="AI5259" s="11"/>
    </row>
    <row r="5260" ht="12.5" spans="3:35">
      <c r="C5260" s="19"/>
      <c r="D5260" s="19"/>
      <c r="H5260" s="105"/>
      <c r="I5260" s="126"/>
      <c r="J5260" s="11"/>
      <c r="K5260" s="108"/>
      <c r="L5260" s="11"/>
      <c r="M5260" s="105"/>
      <c r="N5260" s="105"/>
      <c r="O5260" s="11"/>
      <c r="P5260" s="11"/>
      <c r="Q5260" s="105"/>
      <c r="R5260" s="105"/>
      <c r="S5260" s="105"/>
      <c r="T5260" s="105"/>
      <c r="U5260" s="105"/>
      <c r="V5260" s="105"/>
      <c r="W5260" s="105"/>
      <c r="X5260" s="11"/>
      <c r="Y5260" s="11"/>
      <c r="Z5260" s="105"/>
      <c r="AA5260" s="11"/>
      <c r="AB5260" s="11"/>
      <c r="AC5260" s="105"/>
      <c r="AD5260" s="11" t="b">
        <v>0</v>
      </c>
      <c r="AE5260" s="105"/>
      <c r="AF5260" s="11"/>
      <c r="AG5260" s="11"/>
      <c r="AH5260" s="11"/>
      <c r="AI5260" s="11"/>
    </row>
    <row r="5261" ht="12.5" spans="3:35">
      <c r="C5261" s="19"/>
      <c r="D5261" s="19"/>
      <c r="H5261" s="105"/>
      <c r="I5261" s="126"/>
      <c r="J5261" s="11"/>
      <c r="K5261" s="108"/>
      <c r="L5261" s="11"/>
      <c r="M5261" s="105"/>
      <c r="N5261" s="105"/>
      <c r="O5261" s="11"/>
      <c r="P5261" s="11"/>
      <c r="Q5261" s="105"/>
      <c r="R5261" s="105"/>
      <c r="S5261" s="105"/>
      <c r="T5261" s="105"/>
      <c r="U5261" s="105"/>
      <c r="V5261" s="105"/>
      <c r="W5261" s="105"/>
      <c r="X5261" s="11"/>
      <c r="Y5261" s="11"/>
      <c r="Z5261" s="105"/>
      <c r="AA5261" s="11"/>
      <c r="AB5261" s="11"/>
      <c r="AC5261" s="105"/>
      <c r="AD5261" s="11" t="b">
        <v>0</v>
      </c>
      <c r="AE5261" s="105"/>
      <c r="AF5261" s="11"/>
      <c r="AG5261" s="11"/>
      <c r="AH5261" s="11"/>
      <c r="AI5261" s="11"/>
    </row>
    <row r="5262" ht="12.5" spans="3:35">
      <c r="C5262" s="19"/>
      <c r="D5262" s="19"/>
      <c r="H5262" s="105"/>
      <c r="I5262" s="126"/>
      <c r="J5262" s="11"/>
      <c r="K5262" s="108"/>
      <c r="L5262" s="11"/>
      <c r="M5262" s="105"/>
      <c r="N5262" s="105"/>
      <c r="O5262" s="11"/>
      <c r="P5262" s="11"/>
      <c r="Q5262" s="105"/>
      <c r="R5262" s="105"/>
      <c r="S5262" s="105"/>
      <c r="T5262" s="105"/>
      <c r="U5262" s="105"/>
      <c r="V5262" s="105"/>
      <c r="W5262" s="105"/>
      <c r="X5262" s="11"/>
      <c r="Y5262" s="11"/>
      <c r="Z5262" s="105"/>
      <c r="AA5262" s="11"/>
      <c r="AB5262" s="11"/>
      <c r="AC5262" s="105"/>
      <c r="AD5262" s="11" t="b">
        <v>0</v>
      </c>
      <c r="AE5262" s="105"/>
      <c r="AF5262" s="11"/>
      <c r="AG5262" s="11"/>
      <c r="AH5262" s="11"/>
      <c r="AI5262" s="11"/>
    </row>
    <row r="5263" ht="12.5" spans="3:35">
      <c r="C5263" s="19"/>
      <c r="D5263" s="19"/>
      <c r="H5263" s="105"/>
      <c r="I5263" s="126"/>
      <c r="J5263" s="11"/>
      <c r="K5263" s="108"/>
      <c r="L5263" s="11"/>
      <c r="M5263" s="105"/>
      <c r="N5263" s="105"/>
      <c r="O5263" s="11"/>
      <c r="P5263" s="11"/>
      <c r="Q5263" s="105"/>
      <c r="R5263" s="105"/>
      <c r="S5263" s="105"/>
      <c r="T5263" s="105"/>
      <c r="U5263" s="105"/>
      <c r="V5263" s="105"/>
      <c r="W5263" s="105"/>
      <c r="X5263" s="11"/>
      <c r="Y5263" s="11"/>
      <c r="Z5263" s="105"/>
      <c r="AA5263" s="11"/>
      <c r="AB5263" s="11"/>
      <c r="AC5263" s="105"/>
      <c r="AD5263" s="11" t="b">
        <v>0</v>
      </c>
      <c r="AE5263" s="105"/>
      <c r="AF5263" s="11"/>
      <c r="AG5263" s="11"/>
      <c r="AH5263" s="11"/>
      <c r="AI5263" s="11"/>
    </row>
    <row r="5264" ht="12.5" spans="3:35">
      <c r="C5264" s="19"/>
      <c r="D5264" s="19"/>
      <c r="H5264" s="105"/>
      <c r="I5264" s="126"/>
      <c r="J5264" s="11"/>
      <c r="K5264" s="108"/>
      <c r="L5264" s="11"/>
      <c r="M5264" s="105"/>
      <c r="N5264" s="105"/>
      <c r="O5264" s="11"/>
      <c r="P5264" s="11"/>
      <c r="Q5264" s="105"/>
      <c r="R5264" s="105"/>
      <c r="S5264" s="105"/>
      <c r="T5264" s="105"/>
      <c r="U5264" s="105"/>
      <c r="V5264" s="105"/>
      <c r="W5264" s="105"/>
      <c r="X5264" s="11"/>
      <c r="Y5264" s="11"/>
      <c r="Z5264" s="105"/>
      <c r="AA5264" s="11"/>
      <c r="AB5264" s="11"/>
      <c r="AC5264" s="105"/>
      <c r="AD5264" s="11" t="b">
        <v>0</v>
      </c>
      <c r="AE5264" s="105"/>
      <c r="AF5264" s="11"/>
      <c r="AG5264" s="11"/>
      <c r="AH5264" s="11"/>
      <c r="AI5264" s="11"/>
    </row>
    <row r="5265" ht="12.5" spans="3:35">
      <c r="C5265" s="19"/>
      <c r="D5265" s="19"/>
      <c r="H5265" s="105"/>
      <c r="I5265" s="126"/>
      <c r="J5265" s="11"/>
      <c r="K5265" s="108"/>
      <c r="L5265" s="11"/>
      <c r="M5265" s="105"/>
      <c r="N5265" s="105"/>
      <c r="O5265" s="11"/>
      <c r="P5265" s="11"/>
      <c r="Q5265" s="105"/>
      <c r="R5265" s="105"/>
      <c r="S5265" s="105"/>
      <c r="T5265" s="105"/>
      <c r="U5265" s="105"/>
      <c r="V5265" s="105"/>
      <c r="W5265" s="105"/>
      <c r="X5265" s="11"/>
      <c r="Y5265" s="11"/>
      <c r="Z5265" s="105"/>
      <c r="AA5265" s="11"/>
      <c r="AB5265" s="11"/>
      <c r="AC5265" s="105"/>
      <c r="AD5265" s="11" t="b">
        <v>0</v>
      </c>
      <c r="AE5265" s="105"/>
      <c r="AF5265" s="11"/>
      <c r="AG5265" s="11"/>
      <c r="AH5265" s="11"/>
      <c r="AI5265" s="11"/>
    </row>
    <row r="5266" ht="12.5" spans="3:35">
      <c r="C5266" s="19"/>
      <c r="D5266" s="19"/>
      <c r="H5266" s="105"/>
      <c r="I5266" s="126"/>
      <c r="J5266" s="11"/>
      <c r="K5266" s="108"/>
      <c r="L5266" s="11"/>
      <c r="M5266" s="105"/>
      <c r="N5266" s="105"/>
      <c r="O5266" s="11"/>
      <c r="P5266" s="11"/>
      <c r="Q5266" s="105"/>
      <c r="R5266" s="105"/>
      <c r="S5266" s="105"/>
      <c r="T5266" s="105"/>
      <c r="U5266" s="105"/>
      <c r="V5266" s="105"/>
      <c r="W5266" s="105"/>
      <c r="X5266" s="11"/>
      <c r="Y5266" s="11"/>
      <c r="Z5266" s="105"/>
      <c r="AA5266" s="11"/>
      <c r="AB5266" s="11"/>
      <c r="AC5266" s="105"/>
      <c r="AD5266" s="11" t="b">
        <v>0</v>
      </c>
      <c r="AE5266" s="105"/>
      <c r="AF5266" s="11"/>
      <c r="AG5266" s="11"/>
      <c r="AH5266" s="11"/>
      <c r="AI5266" s="11"/>
    </row>
    <row r="5267" ht="12.5" spans="3:35">
      <c r="C5267" s="19"/>
      <c r="D5267" s="19"/>
      <c r="H5267" s="105"/>
      <c r="I5267" s="126"/>
      <c r="J5267" s="11"/>
      <c r="K5267" s="108"/>
      <c r="L5267" s="11"/>
      <c r="M5267" s="105"/>
      <c r="N5267" s="105"/>
      <c r="O5267" s="11"/>
      <c r="P5267" s="11"/>
      <c r="Q5267" s="105"/>
      <c r="R5267" s="105"/>
      <c r="S5267" s="105"/>
      <c r="T5267" s="105"/>
      <c r="U5267" s="105"/>
      <c r="V5267" s="105"/>
      <c r="W5267" s="105"/>
      <c r="X5267" s="11"/>
      <c r="Y5267" s="11"/>
      <c r="Z5267" s="105"/>
      <c r="AA5267" s="11"/>
      <c r="AB5267" s="11"/>
      <c r="AC5267" s="105"/>
      <c r="AD5267" s="11" t="b">
        <v>0</v>
      </c>
      <c r="AE5267" s="105"/>
      <c r="AF5267" s="11"/>
      <c r="AG5267" s="11"/>
      <c r="AH5267" s="11"/>
      <c r="AI5267" s="11"/>
    </row>
    <row r="5268" ht="12.5" spans="3:35">
      <c r="C5268" s="19"/>
      <c r="D5268" s="19"/>
      <c r="H5268" s="105"/>
      <c r="I5268" s="126"/>
      <c r="J5268" s="11"/>
      <c r="K5268" s="108"/>
      <c r="L5268" s="11"/>
      <c r="M5268" s="105"/>
      <c r="N5268" s="105"/>
      <c r="O5268" s="11"/>
      <c r="P5268" s="11"/>
      <c r="Q5268" s="105"/>
      <c r="R5268" s="105"/>
      <c r="S5268" s="105"/>
      <c r="T5268" s="105"/>
      <c r="U5268" s="105"/>
      <c r="V5268" s="105"/>
      <c r="W5268" s="105"/>
      <c r="X5268" s="11"/>
      <c r="Y5268" s="11"/>
      <c r="Z5268" s="105"/>
      <c r="AA5268" s="11"/>
      <c r="AB5268" s="11"/>
      <c r="AC5268" s="105"/>
      <c r="AD5268" s="11" t="b">
        <v>0</v>
      </c>
      <c r="AE5268" s="105"/>
      <c r="AF5268" s="11"/>
      <c r="AG5268" s="11"/>
      <c r="AH5268" s="11"/>
      <c r="AI5268" s="11"/>
    </row>
    <row r="5269" ht="12.5" spans="3:35">
      <c r="C5269" s="19"/>
      <c r="D5269" s="19"/>
      <c r="H5269" s="105"/>
      <c r="I5269" s="126"/>
      <c r="J5269" s="11"/>
      <c r="K5269" s="108"/>
      <c r="L5269" s="11"/>
      <c r="M5269" s="105"/>
      <c r="N5269" s="105"/>
      <c r="O5269" s="11"/>
      <c r="P5269" s="11"/>
      <c r="Q5269" s="105"/>
      <c r="R5269" s="105"/>
      <c r="S5269" s="105"/>
      <c r="T5269" s="105"/>
      <c r="U5269" s="105"/>
      <c r="V5269" s="105"/>
      <c r="W5269" s="105"/>
      <c r="X5269" s="11"/>
      <c r="Y5269" s="11"/>
      <c r="Z5269" s="105"/>
      <c r="AA5269" s="11"/>
      <c r="AB5269" s="11"/>
      <c r="AC5269" s="105"/>
      <c r="AD5269" s="11" t="b">
        <v>0</v>
      </c>
      <c r="AE5269" s="105"/>
      <c r="AF5269" s="11"/>
      <c r="AG5269" s="11"/>
      <c r="AH5269" s="11"/>
      <c r="AI5269" s="11"/>
    </row>
    <row r="5270" ht="12.5" spans="3:35">
      <c r="C5270" s="19"/>
      <c r="D5270" s="19"/>
      <c r="H5270" s="105"/>
      <c r="I5270" s="126"/>
      <c r="J5270" s="11"/>
      <c r="K5270" s="108"/>
      <c r="L5270" s="11"/>
      <c r="M5270" s="105"/>
      <c r="N5270" s="105"/>
      <c r="O5270" s="11"/>
      <c r="P5270" s="11"/>
      <c r="Q5270" s="105"/>
      <c r="R5270" s="105"/>
      <c r="S5270" s="105"/>
      <c r="T5270" s="105"/>
      <c r="U5270" s="105"/>
      <c r="V5270" s="105"/>
      <c r="W5270" s="105"/>
      <c r="X5270" s="11"/>
      <c r="Y5270" s="11"/>
      <c r="Z5270" s="105"/>
      <c r="AA5270" s="11"/>
      <c r="AB5270" s="11"/>
      <c r="AC5270" s="105"/>
      <c r="AD5270" s="11" t="b">
        <v>0</v>
      </c>
      <c r="AE5270" s="105"/>
      <c r="AF5270" s="11"/>
      <c r="AG5270" s="11"/>
      <c r="AH5270" s="11"/>
      <c r="AI5270" s="11"/>
    </row>
    <row r="5271" ht="12.5" spans="3:35">
      <c r="C5271" s="19"/>
      <c r="D5271" s="19"/>
      <c r="H5271" s="105"/>
      <c r="I5271" s="126"/>
      <c r="J5271" s="11"/>
      <c r="K5271" s="108"/>
      <c r="L5271" s="11"/>
      <c r="M5271" s="105"/>
      <c r="N5271" s="105"/>
      <c r="O5271" s="11"/>
      <c r="P5271" s="11"/>
      <c r="Q5271" s="105"/>
      <c r="R5271" s="105"/>
      <c r="S5271" s="105"/>
      <c r="T5271" s="105"/>
      <c r="U5271" s="105"/>
      <c r="V5271" s="105"/>
      <c r="W5271" s="105"/>
      <c r="X5271" s="11"/>
      <c r="Y5271" s="11"/>
      <c r="Z5271" s="105"/>
      <c r="AA5271" s="11"/>
      <c r="AB5271" s="11"/>
      <c r="AC5271" s="105"/>
      <c r="AD5271" s="11" t="b">
        <v>0</v>
      </c>
      <c r="AE5271" s="105"/>
      <c r="AF5271" s="11"/>
      <c r="AG5271" s="11"/>
      <c r="AH5271" s="11"/>
      <c r="AI5271" s="11"/>
    </row>
    <row r="5272" ht="12.5" spans="3:35">
      <c r="C5272" s="19"/>
      <c r="D5272" s="19"/>
      <c r="H5272" s="105"/>
      <c r="I5272" s="126"/>
      <c r="J5272" s="11"/>
      <c r="K5272" s="108"/>
      <c r="L5272" s="11"/>
      <c r="M5272" s="105"/>
      <c r="N5272" s="105"/>
      <c r="O5272" s="11"/>
      <c r="P5272" s="11"/>
      <c r="Q5272" s="105"/>
      <c r="R5272" s="105"/>
      <c r="S5272" s="105"/>
      <c r="T5272" s="105"/>
      <c r="U5272" s="105"/>
      <c r="V5272" s="105"/>
      <c r="W5272" s="105"/>
      <c r="X5272" s="11"/>
      <c r="Y5272" s="11"/>
      <c r="Z5272" s="105"/>
      <c r="AA5272" s="11"/>
      <c r="AB5272" s="11"/>
      <c r="AC5272" s="105"/>
      <c r="AD5272" s="11" t="b">
        <v>0</v>
      </c>
      <c r="AE5272" s="105"/>
      <c r="AF5272" s="11"/>
      <c r="AG5272" s="11"/>
      <c r="AH5272" s="11"/>
      <c r="AI5272" s="11"/>
    </row>
    <row r="5273" ht="12.5" spans="3:35">
      <c r="C5273" s="19"/>
      <c r="D5273" s="19"/>
      <c r="H5273" s="105"/>
      <c r="I5273" s="126"/>
      <c r="J5273" s="11"/>
      <c r="K5273" s="108"/>
      <c r="L5273" s="11"/>
      <c r="M5273" s="105"/>
      <c r="N5273" s="105"/>
      <c r="O5273" s="11"/>
      <c r="P5273" s="11"/>
      <c r="Q5273" s="105"/>
      <c r="R5273" s="105"/>
      <c r="S5273" s="105"/>
      <c r="T5273" s="105"/>
      <c r="U5273" s="105"/>
      <c r="V5273" s="105"/>
      <c r="W5273" s="105"/>
      <c r="X5273" s="11"/>
      <c r="Y5273" s="11"/>
      <c r="Z5273" s="105"/>
      <c r="AA5273" s="11"/>
      <c r="AB5273" s="11"/>
      <c r="AC5273" s="105"/>
      <c r="AD5273" s="11" t="b">
        <v>0</v>
      </c>
      <c r="AE5273" s="105"/>
      <c r="AF5273" s="11"/>
      <c r="AG5273" s="11"/>
      <c r="AH5273" s="11"/>
      <c r="AI5273" s="11"/>
    </row>
    <row r="5274" ht="12.5" spans="3:35">
      <c r="C5274" s="19"/>
      <c r="D5274" s="19"/>
      <c r="H5274" s="105"/>
      <c r="I5274" s="126"/>
      <c r="J5274" s="11"/>
      <c r="K5274" s="108"/>
      <c r="L5274" s="11"/>
      <c r="M5274" s="105"/>
      <c r="N5274" s="105"/>
      <c r="O5274" s="11"/>
      <c r="P5274" s="11"/>
      <c r="Q5274" s="105"/>
      <c r="R5274" s="105"/>
      <c r="S5274" s="105"/>
      <c r="T5274" s="105"/>
      <c r="U5274" s="105"/>
      <c r="V5274" s="105"/>
      <c r="W5274" s="105"/>
      <c r="X5274" s="11"/>
      <c r="Y5274" s="11"/>
      <c r="Z5274" s="105"/>
      <c r="AA5274" s="11"/>
      <c r="AB5274" s="11"/>
      <c r="AC5274" s="105"/>
      <c r="AD5274" s="11" t="b">
        <v>0</v>
      </c>
      <c r="AE5274" s="105"/>
      <c r="AF5274" s="11"/>
      <c r="AG5274" s="11"/>
      <c r="AH5274" s="11"/>
      <c r="AI5274" s="11"/>
    </row>
    <row r="5275" ht="12.5" spans="3:35">
      <c r="C5275" s="19"/>
      <c r="D5275" s="19"/>
      <c r="H5275" s="105"/>
      <c r="I5275" s="126"/>
      <c r="J5275" s="11"/>
      <c r="K5275" s="108"/>
      <c r="L5275" s="11"/>
      <c r="M5275" s="105"/>
      <c r="N5275" s="105"/>
      <c r="O5275" s="11"/>
      <c r="P5275" s="11"/>
      <c r="Q5275" s="105"/>
      <c r="R5275" s="105"/>
      <c r="S5275" s="105"/>
      <c r="T5275" s="105"/>
      <c r="U5275" s="105"/>
      <c r="V5275" s="105"/>
      <c r="W5275" s="105"/>
      <c r="X5275" s="11"/>
      <c r="Y5275" s="11"/>
      <c r="Z5275" s="105"/>
      <c r="AA5275" s="11"/>
      <c r="AB5275" s="11"/>
      <c r="AC5275" s="105"/>
      <c r="AD5275" s="11" t="b">
        <v>0</v>
      </c>
      <c r="AE5275" s="105"/>
      <c r="AF5275" s="11"/>
      <c r="AG5275" s="11"/>
      <c r="AH5275" s="11"/>
      <c r="AI5275" s="11"/>
    </row>
    <row r="5276" ht="12.5" spans="3:35">
      <c r="C5276" s="19"/>
      <c r="D5276" s="19"/>
      <c r="H5276" s="105"/>
      <c r="I5276" s="126"/>
      <c r="J5276" s="11"/>
      <c r="K5276" s="108"/>
      <c r="L5276" s="11"/>
      <c r="M5276" s="105"/>
      <c r="N5276" s="105"/>
      <c r="O5276" s="11"/>
      <c r="P5276" s="11"/>
      <c r="Q5276" s="105"/>
      <c r="R5276" s="105"/>
      <c r="S5276" s="105"/>
      <c r="T5276" s="105"/>
      <c r="U5276" s="105"/>
      <c r="V5276" s="105"/>
      <c r="W5276" s="105"/>
      <c r="X5276" s="11"/>
      <c r="Y5276" s="11"/>
      <c r="Z5276" s="105"/>
      <c r="AA5276" s="11"/>
      <c r="AB5276" s="11"/>
      <c r="AC5276" s="105"/>
      <c r="AD5276" s="11" t="b">
        <v>0</v>
      </c>
      <c r="AE5276" s="105"/>
      <c r="AF5276" s="11"/>
      <c r="AG5276" s="11"/>
      <c r="AH5276" s="11"/>
      <c r="AI5276" s="11"/>
    </row>
    <row r="5277" ht="12.5" spans="3:35">
      <c r="C5277" s="19"/>
      <c r="D5277" s="19"/>
      <c r="H5277" s="105"/>
      <c r="I5277" s="126"/>
      <c r="J5277" s="11"/>
      <c r="K5277" s="108"/>
      <c r="L5277" s="11"/>
      <c r="M5277" s="105"/>
      <c r="N5277" s="105"/>
      <c r="O5277" s="11"/>
      <c r="P5277" s="11"/>
      <c r="Q5277" s="105"/>
      <c r="R5277" s="105"/>
      <c r="S5277" s="105"/>
      <c r="T5277" s="105"/>
      <c r="U5277" s="105"/>
      <c r="V5277" s="105"/>
      <c r="W5277" s="105"/>
      <c r="X5277" s="11"/>
      <c r="Y5277" s="11"/>
      <c r="Z5277" s="105"/>
      <c r="AA5277" s="11"/>
      <c r="AB5277" s="11"/>
      <c r="AC5277" s="105"/>
      <c r="AD5277" s="11" t="b">
        <v>0</v>
      </c>
      <c r="AE5277" s="105"/>
      <c r="AF5277" s="11"/>
      <c r="AG5277" s="11"/>
      <c r="AH5277" s="11"/>
      <c r="AI5277" s="11"/>
    </row>
    <row r="5278" ht="12.5" spans="3:35">
      <c r="C5278" s="19"/>
      <c r="D5278" s="19"/>
      <c r="H5278" s="105"/>
      <c r="I5278" s="126"/>
      <c r="J5278" s="11"/>
      <c r="K5278" s="108"/>
      <c r="L5278" s="11"/>
      <c r="M5278" s="105"/>
      <c r="N5278" s="105"/>
      <c r="O5278" s="11"/>
      <c r="P5278" s="11"/>
      <c r="Q5278" s="105"/>
      <c r="R5278" s="105"/>
      <c r="S5278" s="105"/>
      <c r="T5278" s="105"/>
      <c r="U5278" s="105"/>
      <c r="V5278" s="105"/>
      <c r="W5278" s="105"/>
      <c r="X5278" s="11"/>
      <c r="Y5278" s="11"/>
      <c r="Z5278" s="105"/>
      <c r="AA5278" s="11"/>
      <c r="AB5278" s="11"/>
      <c r="AC5278" s="105"/>
      <c r="AD5278" s="11" t="b">
        <v>0</v>
      </c>
      <c r="AE5278" s="105"/>
      <c r="AF5278" s="11"/>
      <c r="AG5278" s="11"/>
      <c r="AH5278" s="11"/>
      <c r="AI5278" s="11"/>
    </row>
    <row r="5279" ht="12.5" spans="3:35">
      <c r="C5279" s="19"/>
      <c r="D5279" s="19"/>
      <c r="H5279" s="105"/>
      <c r="I5279" s="126"/>
      <c r="J5279" s="11"/>
      <c r="K5279" s="108"/>
      <c r="L5279" s="11"/>
      <c r="M5279" s="105"/>
      <c r="N5279" s="105"/>
      <c r="O5279" s="11"/>
      <c r="P5279" s="11"/>
      <c r="Q5279" s="105"/>
      <c r="R5279" s="105"/>
      <c r="S5279" s="105"/>
      <c r="T5279" s="105"/>
      <c r="U5279" s="105"/>
      <c r="V5279" s="105"/>
      <c r="W5279" s="105"/>
      <c r="X5279" s="11"/>
      <c r="Y5279" s="11"/>
      <c r="Z5279" s="105"/>
      <c r="AA5279" s="11"/>
      <c r="AB5279" s="11"/>
      <c r="AC5279" s="105"/>
      <c r="AD5279" s="11" t="b">
        <v>0</v>
      </c>
      <c r="AE5279" s="105"/>
      <c r="AF5279" s="11"/>
      <c r="AG5279" s="11"/>
      <c r="AH5279" s="11"/>
      <c r="AI5279" s="11"/>
    </row>
    <row r="5280" ht="12.5" spans="3:35">
      <c r="C5280" s="19"/>
      <c r="D5280" s="19"/>
      <c r="H5280" s="105"/>
      <c r="I5280" s="126"/>
      <c r="J5280" s="11"/>
      <c r="K5280" s="108"/>
      <c r="L5280" s="11"/>
      <c r="M5280" s="105"/>
      <c r="N5280" s="105"/>
      <c r="O5280" s="11"/>
      <c r="P5280" s="11"/>
      <c r="Q5280" s="105"/>
      <c r="R5280" s="105"/>
      <c r="S5280" s="105"/>
      <c r="T5280" s="105"/>
      <c r="U5280" s="105"/>
      <c r="V5280" s="105"/>
      <c r="W5280" s="105"/>
      <c r="X5280" s="11"/>
      <c r="Y5280" s="11"/>
      <c r="Z5280" s="105"/>
      <c r="AA5280" s="11"/>
      <c r="AB5280" s="11"/>
      <c r="AC5280" s="105"/>
      <c r="AD5280" s="11" t="b">
        <v>0</v>
      </c>
      <c r="AE5280" s="105"/>
      <c r="AF5280" s="11"/>
      <c r="AG5280" s="11"/>
      <c r="AH5280" s="11"/>
      <c r="AI5280" s="11"/>
    </row>
    <row r="5281" ht="12.5" spans="3:35">
      <c r="C5281" s="19"/>
      <c r="D5281" s="19"/>
      <c r="H5281" s="105"/>
      <c r="I5281" s="126"/>
      <c r="J5281" s="11"/>
      <c r="K5281" s="108"/>
      <c r="L5281" s="11"/>
      <c r="M5281" s="105"/>
      <c r="N5281" s="105"/>
      <c r="O5281" s="11"/>
      <c r="P5281" s="11"/>
      <c r="Q5281" s="105"/>
      <c r="R5281" s="105"/>
      <c r="S5281" s="105"/>
      <c r="T5281" s="105"/>
      <c r="U5281" s="105"/>
      <c r="V5281" s="105"/>
      <c r="W5281" s="105"/>
      <c r="X5281" s="11"/>
      <c r="Y5281" s="11"/>
      <c r="Z5281" s="105"/>
      <c r="AA5281" s="11"/>
      <c r="AB5281" s="11"/>
      <c r="AC5281" s="105"/>
      <c r="AD5281" s="11" t="b">
        <v>0</v>
      </c>
      <c r="AE5281" s="105"/>
      <c r="AF5281" s="11"/>
      <c r="AG5281" s="11"/>
      <c r="AH5281" s="11"/>
      <c r="AI5281" s="11"/>
    </row>
    <row r="5282" ht="12.5" spans="3:35">
      <c r="C5282" s="19"/>
      <c r="D5282" s="19"/>
      <c r="H5282" s="105"/>
      <c r="I5282" s="126"/>
      <c r="J5282" s="11"/>
      <c r="K5282" s="108"/>
      <c r="L5282" s="11"/>
      <c r="M5282" s="105"/>
      <c r="N5282" s="105"/>
      <c r="O5282" s="11"/>
      <c r="P5282" s="11"/>
      <c r="Q5282" s="105"/>
      <c r="R5282" s="105"/>
      <c r="S5282" s="105"/>
      <c r="T5282" s="105"/>
      <c r="U5282" s="105"/>
      <c r="V5282" s="105"/>
      <c r="W5282" s="105"/>
      <c r="X5282" s="11"/>
      <c r="Y5282" s="11"/>
      <c r="Z5282" s="105"/>
      <c r="AA5282" s="11"/>
      <c r="AB5282" s="11"/>
      <c r="AC5282" s="105"/>
      <c r="AD5282" s="11" t="b">
        <v>0</v>
      </c>
      <c r="AE5282" s="105"/>
      <c r="AF5282" s="11"/>
      <c r="AG5282" s="11"/>
      <c r="AH5282" s="11"/>
      <c r="AI5282" s="11"/>
    </row>
    <row r="5283" ht="12.5" spans="3:35">
      <c r="C5283" s="19"/>
      <c r="D5283" s="19"/>
      <c r="H5283" s="105"/>
      <c r="I5283" s="126"/>
      <c r="J5283" s="11"/>
      <c r="K5283" s="108"/>
      <c r="L5283" s="11"/>
      <c r="M5283" s="105"/>
      <c r="N5283" s="105"/>
      <c r="O5283" s="11"/>
      <c r="P5283" s="11"/>
      <c r="Q5283" s="105"/>
      <c r="R5283" s="105"/>
      <c r="S5283" s="105"/>
      <c r="T5283" s="105"/>
      <c r="U5283" s="105"/>
      <c r="V5283" s="105"/>
      <c r="W5283" s="105"/>
      <c r="X5283" s="11"/>
      <c r="Y5283" s="11"/>
      <c r="Z5283" s="105"/>
      <c r="AA5283" s="11"/>
      <c r="AB5283" s="11"/>
      <c r="AC5283" s="105"/>
      <c r="AD5283" s="11" t="b">
        <v>0</v>
      </c>
      <c r="AE5283" s="105"/>
      <c r="AF5283" s="11"/>
      <c r="AG5283" s="11"/>
      <c r="AH5283" s="11"/>
      <c r="AI5283" s="11"/>
    </row>
    <row r="5284" ht="12.5" spans="3:35">
      <c r="C5284" s="19"/>
      <c r="D5284" s="19"/>
      <c r="H5284" s="105"/>
      <c r="I5284" s="126"/>
      <c r="J5284" s="11"/>
      <c r="K5284" s="108"/>
      <c r="L5284" s="11"/>
      <c r="M5284" s="105"/>
      <c r="N5284" s="105"/>
      <c r="O5284" s="11"/>
      <c r="P5284" s="11"/>
      <c r="Q5284" s="105"/>
      <c r="R5284" s="105"/>
      <c r="S5284" s="105"/>
      <c r="T5284" s="105"/>
      <c r="U5284" s="105"/>
      <c r="V5284" s="105"/>
      <c r="W5284" s="105"/>
      <c r="X5284" s="11"/>
      <c r="Y5284" s="11"/>
      <c r="Z5284" s="105"/>
      <c r="AA5284" s="11"/>
      <c r="AB5284" s="11"/>
      <c r="AC5284" s="105"/>
      <c r="AD5284" s="11" t="b">
        <v>0</v>
      </c>
      <c r="AE5284" s="105"/>
      <c r="AF5284" s="11"/>
      <c r="AG5284" s="11"/>
      <c r="AH5284" s="11"/>
      <c r="AI5284" s="11"/>
    </row>
    <row r="5285" ht="12.5" spans="3:35">
      <c r="C5285" s="19"/>
      <c r="D5285" s="19"/>
      <c r="H5285" s="105"/>
      <c r="I5285" s="126"/>
      <c r="J5285" s="11"/>
      <c r="K5285" s="108"/>
      <c r="L5285" s="11"/>
      <c r="M5285" s="105"/>
      <c r="N5285" s="105"/>
      <c r="O5285" s="11"/>
      <c r="P5285" s="11"/>
      <c r="Q5285" s="105"/>
      <c r="R5285" s="105"/>
      <c r="S5285" s="105"/>
      <c r="T5285" s="105"/>
      <c r="U5285" s="105"/>
      <c r="V5285" s="105"/>
      <c r="W5285" s="105"/>
      <c r="X5285" s="11"/>
      <c r="Y5285" s="11"/>
      <c r="Z5285" s="105"/>
      <c r="AA5285" s="11"/>
      <c r="AB5285" s="11"/>
      <c r="AC5285" s="105"/>
      <c r="AD5285" s="11" t="b">
        <v>0</v>
      </c>
      <c r="AE5285" s="105"/>
      <c r="AF5285" s="11"/>
      <c r="AG5285" s="11"/>
      <c r="AH5285" s="11"/>
      <c r="AI5285" s="11"/>
    </row>
    <row r="5286" ht="12.5" spans="3:35">
      <c r="C5286" s="19"/>
      <c r="D5286" s="19"/>
      <c r="H5286" s="105"/>
      <c r="I5286" s="126"/>
      <c r="J5286" s="11"/>
      <c r="K5286" s="108"/>
      <c r="L5286" s="11"/>
      <c r="M5286" s="105"/>
      <c r="N5286" s="105"/>
      <c r="O5286" s="11"/>
      <c r="P5286" s="11"/>
      <c r="Q5286" s="105"/>
      <c r="R5286" s="105"/>
      <c r="S5286" s="105"/>
      <c r="T5286" s="105"/>
      <c r="U5286" s="105"/>
      <c r="V5286" s="105"/>
      <c r="W5286" s="105"/>
      <c r="X5286" s="11"/>
      <c r="Y5286" s="11"/>
      <c r="Z5286" s="105"/>
      <c r="AA5286" s="11"/>
      <c r="AB5286" s="11"/>
      <c r="AC5286" s="105"/>
      <c r="AD5286" s="11" t="b">
        <v>0</v>
      </c>
      <c r="AE5286" s="105"/>
      <c r="AF5286" s="11"/>
      <c r="AG5286" s="11"/>
      <c r="AH5286" s="11"/>
      <c r="AI5286" s="11"/>
    </row>
    <row r="5287" ht="12.5" spans="3:35">
      <c r="C5287" s="19"/>
      <c r="D5287" s="19"/>
      <c r="H5287" s="105"/>
      <c r="I5287" s="126"/>
      <c r="J5287" s="11"/>
      <c r="K5287" s="108"/>
      <c r="L5287" s="11"/>
      <c r="M5287" s="105"/>
      <c r="N5287" s="105"/>
      <c r="O5287" s="11"/>
      <c r="P5287" s="11"/>
      <c r="Q5287" s="105"/>
      <c r="R5287" s="105"/>
      <c r="S5287" s="105"/>
      <c r="T5287" s="105"/>
      <c r="U5287" s="105"/>
      <c r="V5287" s="105"/>
      <c r="W5287" s="105"/>
      <c r="X5287" s="11"/>
      <c r="Y5287" s="11"/>
      <c r="Z5287" s="105"/>
      <c r="AA5287" s="11"/>
      <c r="AB5287" s="11"/>
      <c r="AC5287" s="105"/>
      <c r="AD5287" s="11" t="b">
        <v>0</v>
      </c>
      <c r="AE5287" s="105"/>
      <c r="AF5287" s="11"/>
      <c r="AG5287" s="11"/>
      <c r="AH5287" s="11"/>
      <c r="AI5287" s="11"/>
    </row>
    <row r="5288" ht="12.5" spans="3:35">
      <c r="C5288" s="19"/>
      <c r="D5288" s="19"/>
      <c r="H5288" s="105"/>
      <c r="I5288" s="126"/>
      <c r="J5288" s="11"/>
      <c r="K5288" s="108"/>
      <c r="L5288" s="11"/>
      <c r="M5288" s="105"/>
      <c r="N5288" s="105"/>
      <c r="O5288" s="11"/>
      <c r="P5288" s="11"/>
      <c r="Q5288" s="105"/>
      <c r="R5288" s="105"/>
      <c r="S5288" s="105"/>
      <c r="T5288" s="105"/>
      <c r="U5288" s="105"/>
      <c r="V5288" s="105"/>
      <c r="W5288" s="105"/>
      <c r="X5288" s="11"/>
      <c r="Y5288" s="11"/>
      <c r="Z5288" s="105"/>
      <c r="AA5288" s="11"/>
      <c r="AB5288" s="11"/>
      <c r="AC5288" s="105"/>
      <c r="AD5288" s="11" t="b">
        <v>0</v>
      </c>
      <c r="AE5288" s="105"/>
      <c r="AF5288" s="11"/>
      <c r="AG5288" s="11"/>
      <c r="AH5288" s="11"/>
      <c r="AI5288" s="11"/>
    </row>
    <row r="5289" ht="12.5" spans="3:35">
      <c r="C5289" s="19"/>
      <c r="D5289" s="19"/>
      <c r="H5289" s="105"/>
      <c r="I5289" s="126"/>
      <c r="J5289" s="11"/>
      <c r="K5289" s="108"/>
      <c r="L5289" s="11"/>
      <c r="M5289" s="105"/>
      <c r="N5289" s="105"/>
      <c r="O5289" s="11"/>
      <c r="P5289" s="11"/>
      <c r="Q5289" s="105"/>
      <c r="R5289" s="105"/>
      <c r="S5289" s="105"/>
      <c r="T5289" s="105"/>
      <c r="U5289" s="105"/>
      <c r="V5289" s="105"/>
      <c r="W5289" s="105"/>
      <c r="X5289" s="11"/>
      <c r="Y5289" s="11"/>
      <c r="Z5289" s="105"/>
      <c r="AA5289" s="11"/>
      <c r="AB5289" s="11"/>
      <c r="AC5289" s="105"/>
      <c r="AD5289" s="11" t="b">
        <v>0</v>
      </c>
      <c r="AE5289" s="105"/>
      <c r="AF5289" s="11"/>
      <c r="AG5289" s="11"/>
      <c r="AH5289" s="11"/>
      <c r="AI5289" s="11"/>
    </row>
    <row r="5290" ht="12.5" spans="3:35">
      <c r="C5290" s="19"/>
      <c r="D5290" s="19"/>
      <c r="H5290" s="105"/>
      <c r="I5290" s="126"/>
      <c r="J5290" s="11"/>
      <c r="K5290" s="108"/>
      <c r="L5290" s="11"/>
      <c r="M5290" s="105"/>
      <c r="N5290" s="105"/>
      <c r="O5290" s="11"/>
      <c r="P5290" s="11"/>
      <c r="Q5290" s="105"/>
      <c r="R5290" s="105"/>
      <c r="S5290" s="105"/>
      <c r="T5290" s="105"/>
      <c r="U5290" s="105"/>
      <c r="V5290" s="105"/>
      <c r="W5290" s="105"/>
      <c r="X5290" s="11"/>
      <c r="Y5290" s="11"/>
      <c r="Z5290" s="105"/>
      <c r="AA5290" s="11"/>
      <c r="AB5290" s="11"/>
      <c r="AC5290" s="105"/>
      <c r="AD5290" s="11" t="b">
        <v>0</v>
      </c>
      <c r="AE5290" s="105"/>
      <c r="AF5290" s="11"/>
      <c r="AG5290" s="11"/>
      <c r="AH5290" s="11"/>
      <c r="AI5290" s="11"/>
    </row>
    <row r="5291" ht="12.5" spans="3:35">
      <c r="C5291" s="19"/>
      <c r="D5291" s="19"/>
      <c r="H5291" s="105"/>
      <c r="I5291" s="126"/>
      <c r="J5291" s="11"/>
      <c r="K5291" s="108"/>
      <c r="L5291" s="11"/>
      <c r="M5291" s="105"/>
      <c r="N5291" s="105"/>
      <c r="O5291" s="11"/>
      <c r="P5291" s="11"/>
      <c r="Q5291" s="105"/>
      <c r="R5291" s="105"/>
      <c r="S5291" s="105"/>
      <c r="T5291" s="105"/>
      <c r="U5291" s="105"/>
      <c r="V5291" s="105"/>
      <c r="W5291" s="105"/>
      <c r="X5291" s="11"/>
      <c r="Y5291" s="11"/>
      <c r="Z5291" s="105"/>
      <c r="AA5291" s="11"/>
      <c r="AB5291" s="11"/>
      <c r="AC5291" s="105"/>
      <c r="AD5291" s="11" t="b">
        <v>0</v>
      </c>
      <c r="AE5291" s="105"/>
      <c r="AF5291" s="11"/>
      <c r="AG5291" s="11"/>
      <c r="AH5291" s="11"/>
      <c r="AI5291" s="11"/>
    </row>
    <row r="5292" ht="12.5" spans="3:35">
      <c r="C5292" s="19"/>
      <c r="D5292" s="19"/>
      <c r="H5292" s="105"/>
      <c r="I5292" s="126"/>
      <c r="J5292" s="11"/>
      <c r="K5292" s="108"/>
      <c r="L5292" s="11"/>
      <c r="M5292" s="105"/>
      <c r="N5292" s="105"/>
      <c r="O5292" s="11"/>
      <c r="P5292" s="11"/>
      <c r="Q5292" s="105"/>
      <c r="R5292" s="105"/>
      <c r="S5292" s="105"/>
      <c r="T5292" s="105"/>
      <c r="U5292" s="105"/>
      <c r="V5292" s="105"/>
      <c r="W5292" s="105"/>
      <c r="X5292" s="11"/>
      <c r="Y5292" s="11"/>
      <c r="Z5292" s="105"/>
      <c r="AA5292" s="11"/>
      <c r="AB5292" s="11"/>
      <c r="AC5292" s="105"/>
      <c r="AD5292" s="11" t="b">
        <v>0</v>
      </c>
      <c r="AE5292" s="105"/>
      <c r="AF5292" s="11"/>
      <c r="AG5292" s="11"/>
      <c r="AH5292" s="11"/>
      <c r="AI5292" s="11"/>
    </row>
    <row r="5293" ht="12.5" spans="3:35">
      <c r="C5293" s="19"/>
      <c r="D5293" s="19"/>
      <c r="H5293" s="105"/>
      <c r="I5293" s="126"/>
      <c r="J5293" s="11"/>
      <c r="K5293" s="108"/>
      <c r="L5293" s="11"/>
      <c r="M5293" s="105"/>
      <c r="N5293" s="105"/>
      <c r="O5293" s="11"/>
      <c r="P5293" s="11"/>
      <c r="Q5293" s="105"/>
      <c r="R5293" s="105"/>
      <c r="S5293" s="105"/>
      <c r="T5293" s="105"/>
      <c r="U5293" s="105"/>
      <c r="V5293" s="105"/>
      <c r="W5293" s="105"/>
      <c r="X5293" s="11"/>
      <c r="Y5293" s="11"/>
      <c r="Z5293" s="105"/>
      <c r="AA5293" s="11"/>
      <c r="AB5293" s="11"/>
      <c r="AC5293" s="105"/>
      <c r="AD5293" s="11" t="b">
        <v>0</v>
      </c>
      <c r="AE5293" s="105"/>
      <c r="AF5293" s="11"/>
      <c r="AG5293" s="11"/>
      <c r="AH5293" s="11"/>
      <c r="AI5293" s="11"/>
    </row>
    <row r="5294" ht="12.5" spans="3:35">
      <c r="C5294" s="19"/>
      <c r="D5294" s="19"/>
      <c r="H5294" s="105"/>
      <c r="I5294" s="126"/>
      <c r="J5294" s="11"/>
      <c r="K5294" s="108"/>
      <c r="L5294" s="11"/>
      <c r="M5294" s="105"/>
      <c r="N5294" s="105"/>
      <c r="O5294" s="11"/>
      <c r="P5294" s="11"/>
      <c r="Q5294" s="105"/>
      <c r="R5294" s="105"/>
      <c r="S5294" s="105"/>
      <c r="T5294" s="105"/>
      <c r="U5294" s="105"/>
      <c r="V5294" s="105"/>
      <c r="W5294" s="105"/>
      <c r="X5294" s="11"/>
      <c r="Y5294" s="11"/>
      <c r="Z5294" s="105"/>
      <c r="AA5294" s="11"/>
      <c r="AB5294" s="11"/>
      <c r="AC5294" s="105"/>
      <c r="AD5294" s="11" t="b">
        <v>0</v>
      </c>
      <c r="AE5294" s="105"/>
      <c r="AF5294" s="11"/>
      <c r="AG5294" s="11"/>
      <c r="AH5294" s="11"/>
      <c r="AI5294" s="11"/>
    </row>
    <row r="5295" ht="12.5" spans="3:35">
      <c r="C5295" s="19"/>
      <c r="D5295" s="19"/>
      <c r="H5295" s="105"/>
      <c r="I5295" s="126"/>
      <c r="J5295" s="11"/>
      <c r="K5295" s="108"/>
      <c r="L5295" s="11"/>
      <c r="M5295" s="105"/>
      <c r="N5295" s="105"/>
      <c r="O5295" s="11"/>
      <c r="P5295" s="11"/>
      <c r="Q5295" s="105"/>
      <c r="R5295" s="105"/>
      <c r="S5295" s="105"/>
      <c r="T5295" s="105"/>
      <c r="U5295" s="105"/>
      <c r="V5295" s="105"/>
      <c r="W5295" s="105"/>
      <c r="X5295" s="11"/>
      <c r="Y5295" s="11"/>
      <c r="Z5295" s="105"/>
      <c r="AA5295" s="11"/>
      <c r="AB5295" s="11"/>
      <c r="AC5295" s="105"/>
      <c r="AD5295" s="11" t="b">
        <v>0</v>
      </c>
      <c r="AE5295" s="105"/>
      <c r="AF5295" s="11"/>
      <c r="AG5295" s="11"/>
      <c r="AH5295" s="11"/>
      <c r="AI5295" s="11"/>
    </row>
    <row r="5296" ht="12.5" spans="3:35">
      <c r="C5296" s="19"/>
      <c r="D5296" s="19"/>
      <c r="H5296" s="105"/>
      <c r="I5296" s="126"/>
      <c r="J5296" s="11"/>
      <c r="K5296" s="108"/>
      <c r="L5296" s="11"/>
      <c r="M5296" s="105"/>
      <c r="N5296" s="105"/>
      <c r="O5296" s="11"/>
      <c r="P5296" s="11"/>
      <c r="Q5296" s="105"/>
      <c r="R5296" s="105"/>
      <c r="S5296" s="105"/>
      <c r="T5296" s="105"/>
      <c r="U5296" s="105"/>
      <c r="V5296" s="105"/>
      <c r="W5296" s="105"/>
      <c r="X5296" s="11"/>
      <c r="Y5296" s="11"/>
      <c r="Z5296" s="105"/>
      <c r="AA5296" s="11"/>
      <c r="AB5296" s="11"/>
      <c r="AC5296" s="105"/>
      <c r="AD5296" s="11" t="b">
        <v>0</v>
      </c>
      <c r="AE5296" s="105"/>
      <c r="AF5296" s="11"/>
      <c r="AG5296" s="11"/>
      <c r="AH5296" s="11"/>
      <c r="AI5296" s="11"/>
    </row>
    <row r="5297" ht="12.5" spans="3:35">
      <c r="C5297" s="19"/>
      <c r="D5297" s="19"/>
      <c r="H5297" s="105"/>
      <c r="I5297" s="126"/>
      <c r="J5297" s="11"/>
      <c r="K5297" s="108"/>
      <c r="L5297" s="11"/>
      <c r="M5297" s="105"/>
      <c r="N5297" s="105"/>
      <c r="O5297" s="11"/>
      <c r="P5297" s="11"/>
      <c r="Q5297" s="105"/>
      <c r="R5297" s="105"/>
      <c r="S5297" s="105"/>
      <c r="T5297" s="105"/>
      <c r="U5297" s="105"/>
      <c r="V5297" s="105"/>
      <c r="W5297" s="105"/>
      <c r="X5297" s="11"/>
      <c r="Y5297" s="11"/>
      <c r="Z5297" s="105"/>
      <c r="AA5297" s="11"/>
      <c r="AB5297" s="11"/>
      <c r="AC5297" s="105"/>
      <c r="AD5297" s="11" t="b">
        <v>0</v>
      </c>
      <c r="AE5297" s="105"/>
      <c r="AF5297" s="11"/>
      <c r="AG5297" s="11"/>
      <c r="AH5297" s="11"/>
      <c r="AI5297" s="11"/>
    </row>
    <row r="5298" ht="12.5" spans="3:35">
      <c r="C5298" s="19"/>
      <c r="D5298" s="19"/>
      <c r="H5298" s="105"/>
      <c r="I5298" s="126"/>
      <c r="J5298" s="11"/>
      <c r="K5298" s="108"/>
      <c r="L5298" s="11"/>
      <c r="M5298" s="105"/>
      <c r="N5298" s="105"/>
      <c r="O5298" s="11"/>
      <c r="P5298" s="11"/>
      <c r="Q5298" s="105"/>
      <c r="R5298" s="105"/>
      <c r="S5298" s="105"/>
      <c r="T5298" s="105"/>
      <c r="U5298" s="105"/>
      <c r="V5298" s="105"/>
      <c r="W5298" s="105"/>
      <c r="X5298" s="11"/>
      <c r="Y5298" s="11"/>
      <c r="Z5298" s="105"/>
      <c r="AA5298" s="11"/>
      <c r="AB5298" s="11"/>
      <c r="AC5298" s="105"/>
      <c r="AD5298" s="11" t="b">
        <v>0</v>
      </c>
      <c r="AE5298" s="105"/>
      <c r="AF5298" s="11"/>
      <c r="AG5298" s="11"/>
      <c r="AH5298" s="11"/>
      <c r="AI5298" s="11"/>
    </row>
    <row r="5299" ht="12.5" spans="3:35">
      <c r="C5299" s="19"/>
      <c r="D5299" s="19"/>
      <c r="H5299" s="105"/>
      <c r="I5299" s="126"/>
      <c r="J5299" s="11"/>
      <c r="K5299" s="108"/>
      <c r="L5299" s="11"/>
      <c r="M5299" s="105"/>
      <c r="N5299" s="105"/>
      <c r="O5299" s="11"/>
      <c r="P5299" s="11"/>
      <c r="Q5299" s="105"/>
      <c r="R5299" s="105"/>
      <c r="S5299" s="105"/>
      <c r="T5299" s="105"/>
      <c r="U5299" s="105"/>
      <c r="V5299" s="105"/>
      <c r="W5299" s="105"/>
      <c r="X5299" s="11"/>
      <c r="Y5299" s="11"/>
      <c r="Z5299" s="105"/>
      <c r="AA5299" s="11"/>
      <c r="AB5299" s="11"/>
      <c r="AC5299" s="105"/>
      <c r="AD5299" s="11" t="b">
        <v>0</v>
      </c>
      <c r="AE5299" s="105"/>
      <c r="AF5299" s="11"/>
      <c r="AG5299" s="11"/>
      <c r="AH5299" s="11"/>
      <c r="AI5299" s="11"/>
    </row>
    <row r="5300" ht="12.5" spans="3:35">
      <c r="C5300" s="19"/>
      <c r="D5300" s="19"/>
      <c r="H5300" s="105"/>
      <c r="I5300" s="126"/>
      <c r="J5300" s="11"/>
      <c r="K5300" s="108"/>
      <c r="L5300" s="11"/>
      <c r="M5300" s="105"/>
      <c r="N5300" s="105"/>
      <c r="O5300" s="11"/>
      <c r="P5300" s="11"/>
      <c r="Q5300" s="105"/>
      <c r="R5300" s="105"/>
      <c r="S5300" s="105"/>
      <c r="T5300" s="105"/>
      <c r="U5300" s="105"/>
      <c r="V5300" s="105"/>
      <c r="W5300" s="105"/>
      <c r="X5300" s="11"/>
      <c r="Y5300" s="11"/>
      <c r="Z5300" s="105"/>
      <c r="AA5300" s="11"/>
      <c r="AB5300" s="11"/>
      <c r="AC5300" s="105"/>
      <c r="AD5300" s="11" t="b">
        <v>0</v>
      </c>
      <c r="AE5300" s="105"/>
      <c r="AF5300" s="11"/>
      <c r="AG5300" s="11"/>
      <c r="AH5300" s="11"/>
      <c r="AI5300" s="11"/>
    </row>
    <row r="5301" ht="12.5" spans="3:35">
      <c r="C5301" s="19"/>
      <c r="D5301" s="19"/>
      <c r="H5301" s="105"/>
      <c r="I5301" s="126"/>
      <c r="J5301" s="11"/>
      <c r="K5301" s="108"/>
      <c r="L5301" s="11"/>
      <c r="M5301" s="105"/>
      <c r="N5301" s="105"/>
      <c r="O5301" s="11"/>
      <c r="P5301" s="11"/>
      <c r="Q5301" s="105"/>
      <c r="R5301" s="105"/>
      <c r="S5301" s="105"/>
      <c r="T5301" s="105"/>
      <c r="U5301" s="105"/>
      <c r="V5301" s="105"/>
      <c r="W5301" s="105"/>
      <c r="X5301" s="11"/>
      <c r="Y5301" s="11"/>
      <c r="Z5301" s="105"/>
      <c r="AA5301" s="11"/>
      <c r="AB5301" s="11"/>
      <c r="AC5301" s="105"/>
      <c r="AD5301" s="11" t="b">
        <v>0</v>
      </c>
      <c r="AE5301" s="105"/>
      <c r="AF5301" s="11"/>
      <c r="AG5301" s="11"/>
      <c r="AH5301" s="11"/>
      <c r="AI5301" s="11"/>
    </row>
    <row r="5302" ht="12.5" spans="3:35">
      <c r="C5302" s="19"/>
      <c r="D5302" s="19"/>
      <c r="H5302" s="105"/>
      <c r="I5302" s="126"/>
      <c r="J5302" s="11"/>
      <c r="K5302" s="108"/>
      <c r="L5302" s="11"/>
      <c r="M5302" s="105"/>
      <c r="N5302" s="105"/>
      <c r="O5302" s="11"/>
      <c r="P5302" s="11"/>
      <c r="Q5302" s="105"/>
      <c r="R5302" s="105"/>
      <c r="S5302" s="105"/>
      <c r="T5302" s="105"/>
      <c r="U5302" s="105"/>
      <c r="V5302" s="105"/>
      <c r="W5302" s="105"/>
      <c r="X5302" s="11"/>
      <c r="Y5302" s="11"/>
      <c r="Z5302" s="105"/>
      <c r="AA5302" s="11"/>
      <c r="AB5302" s="11"/>
      <c r="AC5302" s="105"/>
      <c r="AD5302" s="11" t="b">
        <v>0</v>
      </c>
      <c r="AE5302" s="105"/>
      <c r="AF5302" s="11"/>
      <c r="AG5302" s="11"/>
      <c r="AH5302" s="11"/>
      <c r="AI5302" s="11"/>
    </row>
    <row r="5303" ht="12.5" spans="3:35">
      <c r="C5303" s="19"/>
      <c r="D5303" s="19"/>
      <c r="H5303" s="105"/>
      <c r="I5303" s="126"/>
      <c r="J5303" s="11"/>
      <c r="K5303" s="108"/>
      <c r="L5303" s="11"/>
      <c r="M5303" s="105"/>
      <c r="N5303" s="105"/>
      <c r="O5303" s="11"/>
      <c r="P5303" s="11"/>
      <c r="Q5303" s="105"/>
      <c r="R5303" s="105"/>
      <c r="S5303" s="105"/>
      <c r="T5303" s="105"/>
      <c r="U5303" s="105"/>
      <c r="V5303" s="105"/>
      <c r="W5303" s="105"/>
      <c r="X5303" s="11"/>
      <c r="Y5303" s="11"/>
      <c r="Z5303" s="105"/>
      <c r="AA5303" s="11"/>
      <c r="AB5303" s="11"/>
      <c r="AC5303" s="105"/>
      <c r="AD5303" s="11" t="b">
        <v>0</v>
      </c>
      <c r="AE5303" s="105"/>
      <c r="AF5303" s="11"/>
      <c r="AG5303" s="11"/>
      <c r="AH5303" s="11"/>
      <c r="AI5303" s="11"/>
    </row>
    <row r="5304" ht="12.5" spans="3:35">
      <c r="C5304" s="19"/>
      <c r="D5304" s="19"/>
      <c r="H5304" s="105"/>
      <c r="I5304" s="126"/>
      <c r="J5304" s="11"/>
      <c r="K5304" s="108"/>
      <c r="L5304" s="11"/>
      <c r="M5304" s="105"/>
      <c r="N5304" s="105"/>
      <c r="O5304" s="11"/>
      <c r="P5304" s="11"/>
      <c r="Q5304" s="105"/>
      <c r="R5304" s="105"/>
      <c r="S5304" s="105"/>
      <c r="T5304" s="105"/>
      <c r="U5304" s="105"/>
      <c r="V5304" s="105"/>
      <c r="W5304" s="105"/>
      <c r="X5304" s="11"/>
      <c r="Y5304" s="11"/>
      <c r="Z5304" s="105"/>
      <c r="AA5304" s="11"/>
      <c r="AB5304" s="11"/>
      <c r="AC5304" s="105"/>
      <c r="AD5304" s="11" t="b">
        <v>0</v>
      </c>
      <c r="AE5304" s="105"/>
      <c r="AF5304" s="11"/>
      <c r="AG5304" s="11"/>
      <c r="AH5304" s="11"/>
      <c r="AI5304" s="11"/>
    </row>
    <row r="5305" ht="12.5" spans="3:35">
      <c r="C5305" s="19"/>
      <c r="D5305" s="19"/>
      <c r="H5305" s="105"/>
      <c r="I5305" s="126"/>
      <c r="J5305" s="11"/>
      <c r="K5305" s="108"/>
      <c r="L5305" s="11"/>
      <c r="M5305" s="105"/>
      <c r="N5305" s="105"/>
      <c r="O5305" s="11"/>
      <c r="P5305" s="11"/>
      <c r="Q5305" s="105"/>
      <c r="R5305" s="105"/>
      <c r="S5305" s="105"/>
      <c r="T5305" s="105"/>
      <c r="U5305" s="105"/>
      <c r="V5305" s="105"/>
      <c r="W5305" s="105"/>
      <c r="X5305" s="11"/>
      <c r="Y5305" s="11"/>
      <c r="Z5305" s="105"/>
      <c r="AA5305" s="11"/>
      <c r="AB5305" s="11"/>
      <c r="AC5305" s="105"/>
      <c r="AD5305" s="11" t="b">
        <v>0</v>
      </c>
      <c r="AE5305" s="105"/>
      <c r="AF5305" s="11"/>
      <c r="AG5305" s="11"/>
      <c r="AH5305" s="11"/>
      <c r="AI5305" s="11"/>
    </row>
    <row r="5306" ht="12.5" spans="3:35">
      <c r="C5306" s="19"/>
      <c r="D5306" s="19"/>
      <c r="H5306" s="105"/>
      <c r="I5306" s="126"/>
      <c r="J5306" s="11"/>
      <c r="K5306" s="108"/>
      <c r="L5306" s="11"/>
      <c r="M5306" s="105"/>
      <c r="N5306" s="105"/>
      <c r="O5306" s="11"/>
      <c r="P5306" s="11"/>
      <c r="Q5306" s="105"/>
      <c r="R5306" s="105"/>
      <c r="S5306" s="105"/>
      <c r="T5306" s="105"/>
      <c r="U5306" s="105"/>
      <c r="V5306" s="105"/>
      <c r="W5306" s="105"/>
      <c r="X5306" s="11"/>
      <c r="Y5306" s="11"/>
      <c r="Z5306" s="105"/>
      <c r="AA5306" s="11"/>
      <c r="AB5306" s="11"/>
      <c r="AC5306" s="105"/>
      <c r="AD5306" s="11" t="b">
        <v>0</v>
      </c>
      <c r="AE5306" s="105"/>
      <c r="AF5306" s="11"/>
      <c r="AG5306" s="11"/>
      <c r="AH5306" s="11"/>
      <c r="AI5306" s="11"/>
    </row>
    <row r="5307" ht="12.5" spans="3:35">
      <c r="C5307" s="19"/>
      <c r="D5307" s="19"/>
      <c r="H5307" s="105"/>
      <c r="I5307" s="126"/>
      <c r="J5307" s="11"/>
      <c r="K5307" s="108"/>
      <c r="L5307" s="11"/>
      <c r="M5307" s="105"/>
      <c r="N5307" s="105"/>
      <c r="O5307" s="11"/>
      <c r="P5307" s="11"/>
      <c r="Q5307" s="105"/>
      <c r="R5307" s="105"/>
      <c r="S5307" s="105"/>
      <c r="T5307" s="105"/>
      <c r="U5307" s="105"/>
      <c r="V5307" s="105"/>
      <c r="W5307" s="105"/>
      <c r="X5307" s="11"/>
      <c r="Y5307" s="11"/>
      <c r="Z5307" s="105"/>
      <c r="AA5307" s="11"/>
      <c r="AB5307" s="11"/>
      <c r="AC5307" s="105"/>
      <c r="AD5307" s="11" t="b">
        <v>0</v>
      </c>
      <c r="AE5307" s="105"/>
      <c r="AF5307" s="11"/>
      <c r="AG5307" s="11"/>
      <c r="AH5307" s="11"/>
      <c r="AI5307" s="11"/>
    </row>
    <row r="5308" ht="12.5" spans="3:35">
      <c r="C5308" s="19"/>
      <c r="D5308" s="19"/>
      <c r="H5308" s="105"/>
      <c r="I5308" s="126"/>
      <c r="J5308" s="11"/>
      <c r="K5308" s="108"/>
      <c r="L5308" s="11"/>
      <c r="M5308" s="105"/>
      <c r="N5308" s="105"/>
      <c r="O5308" s="11"/>
      <c r="P5308" s="11"/>
      <c r="Q5308" s="105"/>
      <c r="R5308" s="105"/>
      <c r="S5308" s="105"/>
      <c r="T5308" s="105"/>
      <c r="U5308" s="105"/>
      <c r="V5308" s="105"/>
      <c r="W5308" s="105"/>
      <c r="X5308" s="11"/>
      <c r="Y5308" s="11"/>
      <c r="Z5308" s="105"/>
      <c r="AA5308" s="11"/>
      <c r="AB5308" s="11"/>
      <c r="AC5308" s="105"/>
      <c r="AD5308" s="11" t="b">
        <v>0</v>
      </c>
      <c r="AE5308" s="105"/>
      <c r="AF5308" s="11"/>
      <c r="AG5308" s="11"/>
      <c r="AH5308" s="11"/>
      <c r="AI5308" s="11"/>
    </row>
    <row r="5309" ht="12.5" spans="3:35">
      <c r="C5309" s="19"/>
      <c r="D5309" s="19"/>
      <c r="H5309" s="105"/>
      <c r="I5309" s="126"/>
      <c r="J5309" s="11"/>
      <c r="K5309" s="108"/>
      <c r="L5309" s="11"/>
      <c r="M5309" s="105"/>
      <c r="N5309" s="105"/>
      <c r="O5309" s="11"/>
      <c r="P5309" s="11"/>
      <c r="Q5309" s="105"/>
      <c r="R5309" s="105"/>
      <c r="S5309" s="105"/>
      <c r="T5309" s="105"/>
      <c r="U5309" s="105"/>
      <c r="V5309" s="105"/>
      <c r="W5309" s="105"/>
      <c r="X5309" s="11"/>
      <c r="Y5309" s="11"/>
      <c r="Z5309" s="105"/>
      <c r="AA5309" s="11"/>
      <c r="AB5309" s="11"/>
      <c r="AC5309" s="105"/>
      <c r="AD5309" s="11" t="b">
        <v>0</v>
      </c>
      <c r="AE5309" s="105"/>
      <c r="AF5309" s="11"/>
      <c r="AG5309" s="11"/>
      <c r="AH5309" s="11"/>
      <c r="AI5309" s="11"/>
    </row>
    <row r="5310" ht="12.5" spans="3:35">
      <c r="C5310" s="19"/>
      <c r="D5310" s="19"/>
      <c r="H5310" s="105"/>
      <c r="I5310" s="126"/>
      <c r="J5310" s="11"/>
      <c r="K5310" s="108"/>
      <c r="L5310" s="11"/>
      <c r="M5310" s="105"/>
      <c r="N5310" s="105"/>
      <c r="O5310" s="11"/>
      <c r="P5310" s="11"/>
      <c r="Q5310" s="105"/>
      <c r="R5310" s="105"/>
      <c r="S5310" s="105"/>
      <c r="T5310" s="105"/>
      <c r="U5310" s="105"/>
      <c r="V5310" s="105"/>
      <c r="W5310" s="105"/>
      <c r="X5310" s="11"/>
      <c r="Y5310" s="11"/>
      <c r="Z5310" s="105"/>
      <c r="AA5310" s="11"/>
      <c r="AB5310" s="11"/>
      <c r="AC5310" s="105"/>
      <c r="AD5310" s="11" t="b">
        <v>0</v>
      </c>
      <c r="AE5310" s="105"/>
      <c r="AF5310" s="11"/>
      <c r="AG5310" s="11"/>
      <c r="AH5310" s="11"/>
      <c r="AI5310" s="11"/>
    </row>
    <row r="5311" ht="12.5" spans="3:35">
      <c r="C5311" s="19"/>
      <c r="D5311" s="19"/>
      <c r="H5311" s="105"/>
      <c r="I5311" s="126"/>
      <c r="J5311" s="11"/>
      <c r="K5311" s="108"/>
      <c r="L5311" s="11"/>
      <c r="M5311" s="105"/>
      <c r="N5311" s="105"/>
      <c r="O5311" s="11"/>
      <c r="P5311" s="11"/>
      <c r="Q5311" s="105"/>
      <c r="R5311" s="105"/>
      <c r="S5311" s="105"/>
      <c r="T5311" s="105"/>
      <c r="U5311" s="105"/>
      <c r="V5311" s="105"/>
      <c r="W5311" s="105"/>
      <c r="X5311" s="11"/>
      <c r="Y5311" s="11"/>
      <c r="Z5311" s="105"/>
      <c r="AA5311" s="11"/>
      <c r="AB5311" s="11"/>
      <c r="AC5311" s="105"/>
      <c r="AD5311" s="11" t="b">
        <v>0</v>
      </c>
      <c r="AE5311" s="105"/>
      <c r="AF5311" s="11"/>
      <c r="AG5311" s="11"/>
      <c r="AH5311" s="11"/>
      <c r="AI5311" s="11"/>
    </row>
    <row r="5312" ht="12.5" spans="3:35">
      <c r="C5312" s="19"/>
      <c r="D5312" s="19"/>
      <c r="H5312" s="105"/>
      <c r="I5312" s="126"/>
      <c r="J5312" s="11"/>
      <c r="K5312" s="108"/>
      <c r="L5312" s="11"/>
      <c r="M5312" s="105"/>
      <c r="N5312" s="105"/>
      <c r="O5312" s="11"/>
      <c r="P5312" s="11"/>
      <c r="Q5312" s="105"/>
      <c r="R5312" s="105"/>
      <c r="S5312" s="105"/>
      <c r="T5312" s="105"/>
      <c r="U5312" s="105"/>
      <c r="V5312" s="105"/>
      <c r="W5312" s="105"/>
      <c r="X5312" s="11"/>
      <c r="Y5312" s="11"/>
      <c r="Z5312" s="105"/>
      <c r="AA5312" s="11"/>
      <c r="AB5312" s="11"/>
      <c r="AC5312" s="105"/>
      <c r="AD5312" s="11" t="b">
        <v>0</v>
      </c>
      <c r="AE5312" s="105"/>
      <c r="AF5312" s="11"/>
      <c r="AG5312" s="11"/>
      <c r="AH5312" s="11"/>
      <c r="AI5312" s="11"/>
    </row>
    <row r="5313" ht="12.5" spans="3:35">
      <c r="C5313" s="19"/>
      <c r="D5313" s="19"/>
      <c r="H5313" s="105"/>
      <c r="I5313" s="126"/>
      <c r="J5313" s="11"/>
      <c r="K5313" s="108"/>
      <c r="L5313" s="11"/>
      <c r="M5313" s="105"/>
      <c r="N5313" s="105"/>
      <c r="O5313" s="11"/>
      <c r="P5313" s="11"/>
      <c r="Q5313" s="105"/>
      <c r="R5313" s="105"/>
      <c r="S5313" s="105"/>
      <c r="T5313" s="105"/>
      <c r="U5313" s="105"/>
      <c r="V5313" s="105"/>
      <c r="W5313" s="105"/>
      <c r="X5313" s="11"/>
      <c r="Y5313" s="11"/>
      <c r="Z5313" s="105"/>
      <c r="AA5313" s="11"/>
      <c r="AB5313" s="11"/>
      <c r="AC5313" s="105"/>
      <c r="AD5313" s="11" t="b">
        <v>0</v>
      </c>
      <c r="AE5313" s="105"/>
      <c r="AF5313" s="11"/>
      <c r="AG5313" s="11"/>
      <c r="AH5313" s="11"/>
      <c r="AI5313" s="11"/>
    </row>
    <row r="5314" ht="12.5" spans="3:35">
      <c r="C5314" s="19"/>
      <c r="D5314" s="19"/>
      <c r="H5314" s="105"/>
      <c r="I5314" s="126"/>
      <c r="J5314" s="11"/>
      <c r="K5314" s="108"/>
      <c r="L5314" s="11"/>
      <c r="M5314" s="105"/>
      <c r="N5314" s="105"/>
      <c r="O5314" s="11"/>
      <c r="P5314" s="11"/>
      <c r="Q5314" s="105"/>
      <c r="R5314" s="105"/>
      <c r="S5314" s="105"/>
      <c r="T5314" s="105"/>
      <c r="U5314" s="105"/>
      <c r="V5314" s="105"/>
      <c r="W5314" s="105"/>
      <c r="X5314" s="11"/>
      <c r="Y5314" s="11"/>
      <c r="Z5314" s="105"/>
      <c r="AA5314" s="11"/>
      <c r="AB5314" s="11"/>
      <c r="AC5314" s="105"/>
      <c r="AD5314" s="11" t="b">
        <v>0</v>
      </c>
      <c r="AE5314" s="105"/>
      <c r="AF5314" s="11"/>
      <c r="AG5314" s="11"/>
      <c r="AH5314" s="11"/>
      <c r="AI5314" s="11"/>
    </row>
    <row r="5315" ht="12.5" spans="3:35">
      <c r="C5315" s="19"/>
      <c r="D5315" s="19"/>
      <c r="H5315" s="105"/>
      <c r="I5315" s="126"/>
      <c r="J5315" s="11"/>
      <c r="K5315" s="108"/>
      <c r="L5315" s="11"/>
      <c r="M5315" s="105"/>
      <c r="N5315" s="105"/>
      <c r="O5315" s="11"/>
      <c r="P5315" s="11"/>
      <c r="Q5315" s="105"/>
      <c r="R5315" s="105"/>
      <c r="S5315" s="105"/>
      <c r="T5315" s="105"/>
      <c r="U5315" s="105"/>
      <c r="V5315" s="105"/>
      <c r="W5315" s="105"/>
      <c r="X5315" s="11"/>
      <c r="Y5315" s="11"/>
      <c r="Z5315" s="105"/>
      <c r="AA5315" s="11"/>
      <c r="AB5315" s="11"/>
      <c r="AC5315" s="105"/>
      <c r="AD5315" s="11" t="b">
        <v>0</v>
      </c>
      <c r="AE5315" s="105"/>
      <c r="AF5315" s="11"/>
      <c r="AG5315" s="11"/>
      <c r="AH5315" s="11"/>
      <c r="AI5315" s="11"/>
    </row>
    <row r="5316" ht="12.5" spans="3:35">
      <c r="C5316" s="19"/>
      <c r="D5316" s="19"/>
      <c r="H5316" s="105"/>
      <c r="I5316" s="126"/>
      <c r="J5316" s="11"/>
      <c r="K5316" s="108"/>
      <c r="L5316" s="11"/>
      <c r="M5316" s="105"/>
      <c r="N5316" s="105"/>
      <c r="O5316" s="11"/>
      <c r="P5316" s="11"/>
      <c r="Q5316" s="105"/>
      <c r="R5316" s="105"/>
      <c r="S5316" s="105"/>
      <c r="T5316" s="105"/>
      <c r="U5316" s="105"/>
      <c r="V5316" s="105"/>
      <c r="W5316" s="105"/>
      <c r="X5316" s="11"/>
      <c r="Y5316" s="11"/>
      <c r="Z5316" s="105"/>
      <c r="AA5316" s="11"/>
      <c r="AB5316" s="11"/>
      <c r="AC5316" s="105"/>
      <c r="AD5316" s="11" t="b">
        <v>0</v>
      </c>
      <c r="AE5316" s="105"/>
      <c r="AF5316" s="11"/>
      <c r="AG5316" s="11"/>
      <c r="AH5316" s="11"/>
      <c r="AI5316" s="11"/>
    </row>
    <row r="5317" ht="12.5" spans="3:35">
      <c r="C5317" s="19"/>
      <c r="D5317" s="19"/>
      <c r="H5317" s="105"/>
      <c r="I5317" s="126"/>
      <c r="J5317" s="11"/>
      <c r="K5317" s="108"/>
      <c r="L5317" s="11"/>
      <c r="M5317" s="105"/>
      <c r="N5317" s="105"/>
      <c r="O5317" s="11"/>
      <c r="P5317" s="11"/>
      <c r="Q5317" s="105"/>
      <c r="R5317" s="105"/>
      <c r="S5317" s="105"/>
      <c r="T5317" s="105"/>
      <c r="U5317" s="105"/>
      <c r="V5317" s="105"/>
      <c r="W5317" s="105"/>
      <c r="X5317" s="11"/>
      <c r="Y5317" s="11"/>
      <c r="Z5317" s="105"/>
      <c r="AA5317" s="11"/>
      <c r="AB5317" s="11"/>
      <c r="AC5317" s="105"/>
      <c r="AD5317" s="11" t="b">
        <v>0</v>
      </c>
      <c r="AE5317" s="105"/>
      <c r="AF5317" s="11"/>
      <c r="AG5317" s="11"/>
      <c r="AH5317" s="11"/>
      <c r="AI5317" s="11"/>
    </row>
    <row r="5318" ht="12.5" spans="3:35">
      <c r="C5318" s="19"/>
      <c r="D5318" s="19"/>
      <c r="H5318" s="105"/>
      <c r="I5318" s="126"/>
      <c r="J5318" s="11"/>
      <c r="K5318" s="108"/>
      <c r="L5318" s="11"/>
      <c r="M5318" s="105"/>
      <c r="N5318" s="105"/>
      <c r="O5318" s="11"/>
      <c r="P5318" s="11"/>
      <c r="Q5318" s="105"/>
      <c r="R5318" s="105"/>
      <c r="S5318" s="105"/>
      <c r="T5318" s="105"/>
      <c r="U5318" s="105"/>
      <c r="V5318" s="105"/>
      <c r="W5318" s="105"/>
      <c r="X5318" s="11"/>
      <c r="Y5318" s="11"/>
      <c r="Z5318" s="105"/>
      <c r="AA5318" s="11"/>
      <c r="AB5318" s="11"/>
      <c r="AC5318" s="105"/>
      <c r="AD5318" s="11" t="b">
        <v>0</v>
      </c>
      <c r="AE5318" s="105"/>
      <c r="AF5318" s="11"/>
      <c r="AG5318" s="11"/>
      <c r="AH5318" s="11"/>
      <c r="AI5318" s="11"/>
    </row>
    <row r="5319" ht="12.5" spans="3:35">
      <c r="C5319" s="19"/>
      <c r="D5319" s="19"/>
      <c r="H5319" s="105"/>
      <c r="I5319" s="126"/>
      <c r="J5319" s="11"/>
      <c r="K5319" s="108"/>
      <c r="L5319" s="11"/>
      <c r="M5319" s="105"/>
      <c r="N5319" s="105"/>
      <c r="O5319" s="11"/>
      <c r="P5319" s="11"/>
      <c r="Q5319" s="105"/>
      <c r="R5319" s="105"/>
      <c r="S5319" s="105"/>
      <c r="T5319" s="105"/>
      <c r="U5319" s="105"/>
      <c r="V5319" s="105"/>
      <c r="W5319" s="105"/>
      <c r="X5319" s="11"/>
      <c r="Y5319" s="11"/>
      <c r="Z5319" s="105"/>
      <c r="AA5319" s="11"/>
      <c r="AB5319" s="11"/>
      <c r="AC5319" s="105"/>
      <c r="AD5319" s="11" t="b">
        <v>0</v>
      </c>
      <c r="AE5319" s="105"/>
      <c r="AF5319" s="11"/>
      <c r="AG5319" s="11"/>
      <c r="AH5319" s="11"/>
      <c r="AI5319" s="11"/>
    </row>
    <row r="5320" ht="12.5" spans="3:35">
      <c r="C5320" s="19"/>
      <c r="D5320" s="19"/>
      <c r="H5320" s="105"/>
      <c r="I5320" s="126"/>
      <c r="J5320" s="11"/>
      <c r="K5320" s="108"/>
      <c r="L5320" s="11"/>
      <c r="M5320" s="105"/>
      <c r="N5320" s="105"/>
      <c r="O5320" s="11"/>
      <c r="P5320" s="11"/>
      <c r="Q5320" s="105"/>
      <c r="R5320" s="105"/>
      <c r="S5320" s="105"/>
      <c r="T5320" s="105"/>
      <c r="U5320" s="105"/>
      <c r="V5320" s="105"/>
      <c r="W5320" s="105"/>
      <c r="X5320" s="11"/>
      <c r="Y5320" s="11"/>
      <c r="Z5320" s="105"/>
      <c r="AA5320" s="11"/>
      <c r="AB5320" s="11"/>
      <c r="AC5320" s="105"/>
      <c r="AD5320" s="11" t="b">
        <v>0</v>
      </c>
      <c r="AE5320" s="105"/>
      <c r="AF5320" s="11"/>
      <c r="AG5320" s="11"/>
      <c r="AH5320" s="11"/>
      <c r="AI5320" s="11"/>
    </row>
    <row r="5321" ht="12.5" spans="3:35">
      <c r="C5321" s="19"/>
      <c r="D5321" s="19"/>
      <c r="H5321" s="105"/>
      <c r="I5321" s="126"/>
      <c r="J5321" s="11"/>
      <c r="K5321" s="108"/>
      <c r="L5321" s="11"/>
      <c r="M5321" s="105"/>
      <c r="N5321" s="105"/>
      <c r="O5321" s="11"/>
      <c r="P5321" s="11"/>
      <c r="Q5321" s="105"/>
      <c r="R5321" s="105"/>
      <c r="S5321" s="105"/>
      <c r="T5321" s="105"/>
      <c r="U5321" s="105"/>
      <c r="V5321" s="105"/>
      <c r="W5321" s="105"/>
      <c r="X5321" s="11"/>
      <c r="Y5321" s="11"/>
      <c r="Z5321" s="105"/>
      <c r="AA5321" s="11"/>
      <c r="AB5321" s="11"/>
      <c r="AC5321" s="105"/>
      <c r="AD5321" s="11" t="b">
        <v>0</v>
      </c>
      <c r="AE5321" s="105"/>
      <c r="AF5321" s="11"/>
      <c r="AG5321" s="11"/>
      <c r="AH5321" s="11"/>
      <c r="AI5321" s="11"/>
    </row>
    <row r="5322" ht="12.5" spans="3:35">
      <c r="C5322" s="19"/>
      <c r="D5322" s="19"/>
      <c r="H5322" s="105"/>
      <c r="I5322" s="126"/>
      <c r="J5322" s="11"/>
      <c r="K5322" s="108"/>
      <c r="L5322" s="11"/>
      <c r="M5322" s="105"/>
      <c r="N5322" s="105"/>
      <c r="O5322" s="11"/>
      <c r="P5322" s="11"/>
      <c r="Q5322" s="105"/>
      <c r="R5322" s="105"/>
      <c r="S5322" s="105"/>
      <c r="T5322" s="105"/>
      <c r="U5322" s="105"/>
      <c r="V5322" s="105"/>
      <c r="W5322" s="105"/>
      <c r="X5322" s="11"/>
      <c r="Y5322" s="11"/>
      <c r="Z5322" s="105"/>
      <c r="AA5322" s="11"/>
      <c r="AB5322" s="11"/>
      <c r="AC5322" s="105"/>
      <c r="AD5322" s="11" t="b">
        <v>0</v>
      </c>
      <c r="AE5322" s="105"/>
      <c r="AF5322" s="11"/>
      <c r="AG5322" s="11"/>
      <c r="AH5322" s="11"/>
      <c r="AI5322" s="11"/>
    </row>
    <row r="5323" ht="12.5" spans="3:35">
      <c r="C5323" s="19"/>
      <c r="D5323" s="19"/>
      <c r="H5323" s="105"/>
      <c r="I5323" s="126"/>
      <c r="J5323" s="11"/>
      <c r="K5323" s="108"/>
      <c r="L5323" s="11"/>
      <c r="M5323" s="105"/>
      <c r="N5323" s="105"/>
      <c r="O5323" s="11"/>
      <c r="P5323" s="11"/>
      <c r="Q5323" s="105"/>
      <c r="R5323" s="105"/>
      <c r="S5323" s="105"/>
      <c r="T5323" s="105"/>
      <c r="U5323" s="105"/>
      <c r="V5323" s="105"/>
      <c r="W5323" s="105"/>
      <c r="X5323" s="11"/>
      <c r="Y5323" s="11"/>
      <c r="Z5323" s="105"/>
      <c r="AA5323" s="11"/>
      <c r="AB5323" s="11"/>
      <c r="AC5323" s="105"/>
      <c r="AD5323" s="11" t="b">
        <v>0</v>
      </c>
      <c r="AE5323" s="105"/>
      <c r="AF5323" s="11"/>
      <c r="AG5323" s="11"/>
      <c r="AH5323" s="11"/>
      <c r="AI5323" s="11"/>
    </row>
    <row r="5324" ht="12.5" spans="3:35">
      <c r="C5324" s="19"/>
      <c r="D5324" s="19"/>
      <c r="H5324" s="105"/>
      <c r="I5324" s="126"/>
      <c r="J5324" s="11"/>
      <c r="K5324" s="108"/>
      <c r="L5324" s="11"/>
      <c r="M5324" s="105"/>
      <c r="N5324" s="105"/>
      <c r="O5324" s="11"/>
      <c r="P5324" s="11"/>
      <c r="Q5324" s="105"/>
      <c r="R5324" s="105"/>
      <c r="S5324" s="105"/>
      <c r="T5324" s="105"/>
      <c r="U5324" s="105"/>
      <c r="V5324" s="105"/>
      <c r="W5324" s="105"/>
      <c r="X5324" s="11"/>
      <c r="Y5324" s="11"/>
      <c r="Z5324" s="105"/>
      <c r="AA5324" s="11"/>
      <c r="AB5324" s="11"/>
      <c r="AC5324" s="105"/>
      <c r="AD5324" s="11" t="b">
        <v>0</v>
      </c>
      <c r="AE5324" s="105"/>
      <c r="AF5324" s="11"/>
      <c r="AG5324" s="11"/>
      <c r="AH5324" s="11"/>
      <c r="AI5324" s="11"/>
    </row>
    <row r="5325" ht="12.5" spans="3:35">
      <c r="C5325" s="19"/>
      <c r="D5325" s="19"/>
      <c r="H5325" s="105"/>
      <c r="I5325" s="126"/>
      <c r="J5325" s="11"/>
      <c r="K5325" s="108"/>
      <c r="L5325" s="11"/>
      <c r="M5325" s="105"/>
      <c r="N5325" s="105"/>
      <c r="O5325" s="11"/>
      <c r="P5325" s="11"/>
      <c r="Q5325" s="105"/>
      <c r="R5325" s="105"/>
      <c r="S5325" s="105"/>
      <c r="T5325" s="105"/>
      <c r="U5325" s="105"/>
      <c r="V5325" s="105"/>
      <c r="W5325" s="105"/>
      <c r="X5325" s="11"/>
      <c r="Y5325" s="11"/>
      <c r="Z5325" s="105"/>
      <c r="AA5325" s="11"/>
      <c r="AB5325" s="11"/>
      <c r="AC5325" s="105"/>
      <c r="AD5325" s="11" t="b">
        <v>0</v>
      </c>
      <c r="AE5325" s="105"/>
      <c r="AF5325" s="11"/>
      <c r="AG5325" s="11"/>
      <c r="AH5325" s="11"/>
      <c r="AI5325" s="11"/>
    </row>
    <row r="5326" ht="12.5" spans="3:35">
      <c r="C5326" s="19"/>
      <c r="D5326" s="19"/>
      <c r="H5326" s="105"/>
      <c r="I5326" s="126"/>
      <c r="J5326" s="11"/>
      <c r="K5326" s="108"/>
      <c r="L5326" s="11"/>
      <c r="M5326" s="105"/>
      <c r="N5326" s="105"/>
      <c r="O5326" s="11"/>
      <c r="P5326" s="11"/>
      <c r="Q5326" s="105"/>
      <c r="R5326" s="105"/>
      <c r="S5326" s="105"/>
      <c r="T5326" s="105"/>
      <c r="U5326" s="105"/>
      <c r="V5326" s="105"/>
      <c r="W5326" s="105"/>
      <c r="X5326" s="11"/>
      <c r="Y5326" s="11"/>
      <c r="Z5326" s="105"/>
      <c r="AA5326" s="11"/>
      <c r="AB5326" s="11"/>
      <c r="AC5326" s="105"/>
      <c r="AD5326" s="11" t="b">
        <v>0</v>
      </c>
      <c r="AE5326" s="105"/>
      <c r="AF5326" s="11"/>
      <c r="AG5326" s="11"/>
      <c r="AH5326" s="11"/>
      <c r="AI5326" s="11"/>
    </row>
    <row r="5327" ht="12.5" spans="3:35">
      <c r="C5327" s="19"/>
      <c r="D5327" s="19"/>
      <c r="H5327" s="105"/>
      <c r="I5327" s="126"/>
      <c r="J5327" s="11"/>
      <c r="K5327" s="108"/>
      <c r="L5327" s="11"/>
      <c r="M5327" s="105"/>
      <c r="N5327" s="105"/>
      <c r="O5327" s="11"/>
      <c r="P5327" s="11"/>
      <c r="Q5327" s="105"/>
      <c r="R5327" s="105"/>
      <c r="S5327" s="105"/>
      <c r="T5327" s="105"/>
      <c r="U5327" s="105"/>
      <c r="V5327" s="105"/>
      <c r="W5327" s="105"/>
      <c r="X5327" s="11"/>
      <c r="Y5327" s="11"/>
      <c r="Z5327" s="105"/>
      <c r="AA5327" s="11"/>
      <c r="AB5327" s="11"/>
      <c r="AC5327" s="105"/>
      <c r="AD5327" s="11" t="b">
        <v>0</v>
      </c>
      <c r="AE5327" s="105"/>
      <c r="AF5327" s="11"/>
      <c r="AG5327" s="11"/>
      <c r="AH5327" s="11"/>
      <c r="AI5327" s="11"/>
    </row>
    <row r="5328" ht="12.5" spans="3:35">
      <c r="C5328" s="19"/>
      <c r="D5328" s="19"/>
      <c r="H5328" s="105"/>
      <c r="I5328" s="126"/>
      <c r="J5328" s="11"/>
      <c r="K5328" s="108"/>
      <c r="L5328" s="11"/>
      <c r="M5328" s="105"/>
      <c r="N5328" s="105"/>
      <c r="O5328" s="11"/>
      <c r="P5328" s="11"/>
      <c r="Q5328" s="105"/>
      <c r="R5328" s="105"/>
      <c r="S5328" s="105"/>
      <c r="T5328" s="105"/>
      <c r="U5328" s="105"/>
      <c r="V5328" s="105"/>
      <c r="W5328" s="105"/>
      <c r="X5328" s="11"/>
      <c r="Y5328" s="11"/>
      <c r="Z5328" s="105"/>
      <c r="AA5328" s="11"/>
      <c r="AB5328" s="11"/>
      <c r="AC5328" s="105"/>
      <c r="AD5328" s="11" t="b">
        <v>0</v>
      </c>
      <c r="AE5328" s="105"/>
      <c r="AF5328" s="11"/>
      <c r="AG5328" s="11"/>
      <c r="AH5328" s="11"/>
      <c r="AI5328" s="11"/>
    </row>
    <row r="5329" ht="12.5" spans="3:35">
      <c r="C5329" s="19"/>
      <c r="D5329" s="19"/>
      <c r="H5329" s="105"/>
      <c r="I5329" s="126"/>
      <c r="J5329" s="11"/>
      <c r="K5329" s="108"/>
      <c r="L5329" s="11"/>
      <c r="M5329" s="105"/>
      <c r="N5329" s="105"/>
      <c r="O5329" s="11"/>
      <c r="P5329" s="11"/>
      <c r="Q5329" s="105"/>
      <c r="R5329" s="105"/>
      <c r="S5329" s="105"/>
      <c r="T5329" s="105"/>
      <c r="U5329" s="105"/>
      <c r="V5329" s="105"/>
      <c r="W5329" s="105"/>
      <c r="X5329" s="11"/>
      <c r="Y5329" s="11"/>
      <c r="Z5329" s="105"/>
      <c r="AA5329" s="11"/>
      <c r="AB5329" s="11"/>
      <c r="AC5329" s="105"/>
      <c r="AD5329" s="11" t="b">
        <v>0</v>
      </c>
      <c r="AE5329" s="105"/>
      <c r="AF5329" s="11"/>
      <c r="AG5329" s="11"/>
      <c r="AH5329" s="11"/>
      <c r="AI5329" s="11"/>
    </row>
    <row r="5330" ht="12.5" spans="3:35">
      <c r="C5330" s="19"/>
      <c r="D5330" s="19"/>
      <c r="H5330" s="105"/>
      <c r="I5330" s="126"/>
      <c r="J5330" s="11"/>
      <c r="K5330" s="108"/>
      <c r="L5330" s="11"/>
      <c r="M5330" s="105"/>
      <c r="N5330" s="105"/>
      <c r="O5330" s="11"/>
      <c r="P5330" s="11"/>
      <c r="Q5330" s="105"/>
      <c r="R5330" s="105"/>
      <c r="S5330" s="105"/>
      <c r="T5330" s="105"/>
      <c r="U5330" s="105"/>
      <c r="V5330" s="105"/>
      <c r="W5330" s="105"/>
      <c r="X5330" s="11"/>
      <c r="Y5330" s="11"/>
      <c r="Z5330" s="105"/>
      <c r="AA5330" s="11"/>
      <c r="AB5330" s="11"/>
      <c r="AC5330" s="105"/>
      <c r="AD5330" s="11" t="b">
        <v>0</v>
      </c>
      <c r="AE5330" s="105"/>
      <c r="AF5330" s="11"/>
      <c r="AG5330" s="11"/>
      <c r="AH5330" s="11"/>
      <c r="AI5330" s="11"/>
    </row>
    <row r="5331" ht="12.5" spans="3:35">
      <c r="C5331" s="19"/>
      <c r="D5331" s="19"/>
      <c r="H5331" s="105"/>
      <c r="I5331" s="126"/>
      <c r="J5331" s="11"/>
      <c r="K5331" s="108"/>
      <c r="L5331" s="11"/>
      <c r="M5331" s="105"/>
      <c r="N5331" s="105"/>
      <c r="O5331" s="11"/>
      <c r="P5331" s="11"/>
      <c r="Q5331" s="105"/>
      <c r="R5331" s="105"/>
      <c r="S5331" s="105"/>
      <c r="T5331" s="105"/>
      <c r="U5331" s="105"/>
      <c r="V5331" s="105"/>
      <c r="W5331" s="105"/>
      <c r="X5331" s="11"/>
      <c r="Y5331" s="11"/>
      <c r="Z5331" s="105"/>
      <c r="AA5331" s="11"/>
      <c r="AB5331" s="11"/>
      <c r="AC5331" s="105"/>
      <c r="AD5331" s="11" t="b">
        <v>0</v>
      </c>
      <c r="AE5331" s="105"/>
      <c r="AF5331" s="11"/>
      <c r="AG5331" s="11"/>
      <c r="AH5331" s="11"/>
      <c r="AI5331" s="11"/>
    </row>
    <row r="5332" ht="12.5" spans="3:35">
      <c r="C5332" s="19"/>
      <c r="D5332" s="19"/>
      <c r="H5332" s="105"/>
      <c r="I5332" s="126"/>
      <c r="J5332" s="11"/>
      <c r="K5332" s="108"/>
      <c r="L5332" s="11"/>
      <c r="M5332" s="105"/>
      <c r="N5332" s="105"/>
      <c r="O5332" s="11"/>
      <c r="P5332" s="11"/>
      <c r="Q5332" s="105"/>
      <c r="R5332" s="105"/>
      <c r="S5332" s="105"/>
      <c r="T5332" s="105"/>
      <c r="U5332" s="105"/>
      <c r="V5332" s="105"/>
      <c r="W5332" s="105"/>
      <c r="X5332" s="11"/>
      <c r="Y5332" s="11"/>
      <c r="Z5332" s="105"/>
      <c r="AA5332" s="11"/>
      <c r="AB5332" s="11"/>
      <c r="AC5332" s="105"/>
      <c r="AD5332" s="11" t="b">
        <v>0</v>
      </c>
      <c r="AE5332" s="105"/>
      <c r="AF5332" s="11"/>
      <c r="AG5332" s="11"/>
      <c r="AH5332" s="11"/>
      <c r="AI5332" s="11"/>
    </row>
    <row r="5333" ht="12.5" spans="3:35">
      <c r="C5333" s="19"/>
      <c r="D5333" s="19"/>
      <c r="H5333" s="105"/>
      <c r="I5333" s="126"/>
      <c r="J5333" s="11"/>
      <c r="K5333" s="108"/>
      <c r="L5333" s="11"/>
      <c r="M5333" s="105"/>
      <c r="N5333" s="105"/>
      <c r="O5333" s="11"/>
      <c r="P5333" s="11"/>
      <c r="Q5333" s="105"/>
      <c r="R5333" s="105"/>
      <c r="S5333" s="105"/>
      <c r="T5333" s="105"/>
      <c r="U5333" s="105"/>
      <c r="V5333" s="105"/>
      <c r="W5333" s="105"/>
      <c r="X5333" s="11"/>
      <c r="Y5333" s="11"/>
      <c r="Z5333" s="105"/>
      <c r="AA5333" s="11"/>
      <c r="AB5333" s="11"/>
      <c r="AC5333" s="105"/>
      <c r="AD5333" s="11" t="b">
        <v>0</v>
      </c>
      <c r="AE5333" s="105"/>
      <c r="AF5333" s="11"/>
      <c r="AG5333" s="11"/>
      <c r="AH5333" s="11"/>
      <c r="AI5333" s="11"/>
    </row>
    <row r="5334" ht="12.5" spans="3:35">
      <c r="C5334" s="19"/>
      <c r="D5334" s="19"/>
      <c r="H5334" s="105"/>
      <c r="I5334" s="126"/>
      <c r="J5334" s="11"/>
      <c r="K5334" s="108"/>
      <c r="L5334" s="11"/>
      <c r="M5334" s="105"/>
      <c r="N5334" s="105"/>
      <c r="O5334" s="11"/>
      <c r="P5334" s="11"/>
      <c r="Q5334" s="105"/>
      <c r="R5334" s="105"/>
      <c r="S5334" s="105"/>
      <c r="T5334" s="105"/>
      <c r="U5334" s="105"/>
      <c r="V5334" s="105"/>
      <c r="W5334" s="105"/>
      <c r="X5334" s="11"/>
      <c r="Y5334" s="11"/>
      <c r="Z5334" s="105"/>
      <c r="AA5334" s="11"/>
      <c r="AB5334" s="11"/>
      <c r="AC5334" s="105"/>
      <c r="AD5334" s="11" t="b">
        <v>0</v>
      </c>
      <c r="AE5334" s="105"/>
      <c r="AF5334" s="11"/>
      <c r="AG5334" s="11"/>
      <c r="AH5334" s="11"/>
      <c r="AI5334" s="11"/>
    </row>
    <row r="5335" ht="12.5" spans="3:35">
      <c r="C5335" s="19"/>
      <c r="D5335" s="19"/>
      <c r="H5335" s="105"/>
      <c r="I5335" s="126"/>
      <c r="J5335" s="11"/>
      <c r="K5335" s="108"/>
      <c r="L5335" s="11"/>
      <c r="M5335" s="105"/>
      <c r="N5335" s="105"/>
      <c r="O5335" s="11"/>
      <c r="P5335" s="11"/>
      <c r="Q5335" s="105"/>
      <c r="R5335" s="105"/>
      <c r="S5335" s="105"/>
      <c r="T5335" s="105"/>
      <c r="U5335" s="105"/>
      <c r="V5335" s="105"/>
      <c r="W5335" s="105"/>
      <c r="X5335" s="11"/>
      <c r="Y5335" s="11"/>
      <c r="Z5335" s="105"/>
      <c r="AA5335" s="11"/>
      <c r="AB5335" s="11"/>
      <c r="AC5335" s="105"/>
      <c r="AD5335" s="11" t="b">
        <v>0</v>
      </c>
      <c r="AE5335" s="105"/>
      <c r="AF5335" s="11"/>
      <c r="AG5335" s="11"/>
      <c r="AH5335" s="11"/>
      <c r="AI5335" s="11"/>
    </row>
    <row r="5336" ht="12.5" spans="3:35">
      <c r="C5336" s="19"/>
      <c r="D5336" s="19"/>
      <c r="H5336" s="105"/>
      <c r="I5336" s="126"/>
      <c r="J5336" s="11"/>
      <c r="K5336" s="108"/>
      <c r="L5336" s="11"/>
      <c r="M5336" s="105"/>
      <c r="N5336" s="105"/>
      <c r="O5336" s="11"/>
      <c r="P5336" s="11"/>
      <c r="Q5336" s="105"/>
      <c r="R5336" s="105"/>
      <c r="S5336" s="105"/>
      <c r="T5336" s="105"/>
      <c r="U5336" s="105"/>
      <c r="V5336" s="105"/>
      <c r="W5336" s="105"/>
      <c r="X5336" s="11"/>
      <c r="Y5336" s="11"/>
      <c r="Z5336" s="105"/>
      <c r="AA5336" s="11"/>
      <c r="AB5336" s="11"/>
      <c r="AC5336" s="105"/>
      <c r="AD5336" s="11" t="b">
        <v>0</v>
      </c>
      <c r="AE5336" s="105"/>
      <c r="AF5336" s="11"/>
      <c r="AG5336" s="11"/>
      <c r="AH5336" s="11"/>
      <c r="AI5336" s="11"/>
    </row>
    <row r="5337" ht="12.5" spans="3:35">
      <c r="C5337" s="19"/>
      <c r="D5337" s="19"/>
      <c r="H5337" s="105"/>
      <c r="I5337" s="126"/>
      <c r="J5337" s="11"/>
      <c r="K5337" s="108"/>
      <c r="L5337" s="11"/>
      <c r="M5337" s="105"/>
      <c r="N5337" s="105"/>
      <c r="O5337" s="11"/>
      <c r="P5337" s="11"/>
      <c r="Q5337" s="105"/>
      <c r="R5337" s="105"/>
      <c r="S5337" s="105"/>
      <c r="T5337" s="105"/>
      <c r="U5337" s="105"/>
      <c r="V5337" s="105"/>
      <c r="W5337" s="105"/>
      <c r="X5337" s="11"/>
      <c r="Y5337" s="11"/>
      <c r="Z5337" s="105"/>
      <c r="AA5337" s="11"/>
      <c r="AB5337" s="11"/>
      <c r="AC5337" s="105"/>
      <c r="AD5337" s="11" t="b">
        <v>0</v>
      </c>
      <c r="AE5337" s="105"/>
      <c r="AF5337" s="11"/>
      <c r="AG5337" s="11"/>
      <c r="AH5337" s="11"/>
      <c r="AI5337" s="11"/>
    </row>
    <row r="5338" ht="12.5" spans="3:35">
      <c r="C5338" s="19"/>
      <c r="D5338" s="19"/>
      <c r="H5338" s="105"/>
      <c r="I5338" s="126"/>
      <c r="J5338" s="11"/>
      <c r="K5338" s="108"/>
      <c r="L5338" s="11"/>
      <c r="M5338" s="105"/>
      <c r="N5338" s="105"/>
      <c r="O5338" s="11"/>
      <c r="P5338" s="11"/>
      <c r="Q5338" s="105"/>
      <c r="R5338" s="105"/>
      <c r="S5338" s="105"/>
      <c r="T5338" s="105"/>
      <c r="U5338" s="105"/>
      <c r="V5338" s="105"/>
      <c r="W5338" s="105"/>
      <c r="X5338" s="11"/>
      <c r="Y5338" s="11"/>
      <c r="Z5338" s="105"/>
      <c r="AA5338" s="11"/>
      <c r="AB5338" s="11"/>
      <c r="AC5338" s="105"/>
      <c r="AD5338" s="11" t="b">
        <v>0</v>
      </c>
      <c r="AE5338" s="105"/>
      <c r="AF5338" s="11"/>
      <c r="AG5338" s="11"/>
      <c r="AH5338" s="11"/>
      <c r="AI5338" s="11"/>
    </row>
    <row r="5339" ht="12.5" spans="3:35">
      <c r="C5339" s="19"/>
      <c r="D5339" s="19"/>
      <c r="H5339" s="105"/>
      <c r="I5339" s="126"/>
      <c r="J5339" s="11"/>
      <c r="K5339" s="108"/>
      <c r="L5339" s="11"/>
      <c r="M5339" s="105"/>
      <c r="N5339" s="105"/>
      <c r="O5339" s="11"/>
      <c r="P5339" s="11"/>
      <c r="Q5339" s="105"/>
      <c r="R5339" s="105"/>
      <c r="S5339" s="105"/>
      <c r="T5339" s="105"/>
      <c r="U5339" s="105"/>
      <c r="V5339" s="105"/>
      <c r="W5339" s="105"/>
      <c r="X5339" s="11"/>
      <c r="Y5339" s="11"/>
      <c r="Z5339" s="105"/>
      <c r="AA5339" s="11"/>
      <c r="AB5339" s="11"/>
      <c r="AC5339" s="105"/>
      <c r="AD5339" s="11" t="b">
        <v>0</v>
      </c>
      <c r="AE5339" s="105"/>
      <c r="AF5339" s="11"/>
      <c r="AG5339" s="11"/>
      <c r="AH5339" s="11"/>
      <c r="AI5339" s="11"/>
    </row>
    <row r="5340" ht="12.5" spans="3:35">
      <c r="C5340" s="19"/>
      <c r="D5340" s="19"/>
      <c r="H5340" s="105"/>
      <c r="I5340" s="126"/>
      <c r="J5340" s="11"/>
      <c r="K5340" s="108"/>
      <c r="L5340" s="11"/>
      <c r="M5340" s="105"/>
      <c r="N5340" s="105"/>
      <c r="O5340" s="11"/>
      <c r="P5340" s="11"/>
      <c r="Q5340" s="105"/>
      <c r="R5340" s="105"/>
      <c r="S5340" s="105"/>
      <c r="T5340" s="105"/>
      <c r="U5340" s="105"/>
      <c r="V5340" s="105"/>
      <c r="W5340" s="105"/>
      <c r="X5340" s="11"/>
      <c r="Y5340" s="11"/>
      <c r="Z5340" s="105"/>
      <c r="AA5340" s="11"/>
      <c r="AB5340" s="11"/>
      <c r="AC5340" s="105"/>
      <c r="AD5340" s="11" t="b">
        <v>0</v>
      </c>
      <c r="AE5340" s="105"/>
      <c r="AF5340" s="11"/>
      <c r="AG5340" s="11"/>
      <c r="AH5340" s="11"/>
      <c r="AI5340" s="11"/>
    </row>
    <row r="5341" ht="12.5" spans="3:35">
      <c r="C5341" s="19"/>
      <c r="D5341" s="19"/>
      <c r="H5341" s="105"/>
      <c r="I5341" s="126"/>
      <c r="J5341" s="11"/>
      <c r="K5341" s="108"/>
      <c r="L5341" s="11"/>
      <c r="M5341" s="105"/>
      <c r="N5341" s="105"/>
      <c r="O5341" s="11"/>
      <c r="P5341" s="11"/>
      <c r="Q5341" s="105"/>
      <c r="R5341" s="105"/>
      <c r="S5341" s="105"/>
      <c r="T5341" s="105"/>
      <c r="U5341" s="105"/>
      <c r="V5341" s="105"/>
      <c r="W5341" s="105"/>
      <c r="X5341" s="11"/>
      <c r="Y5341" s="11"/>
      <c r="Z5341" s="105"/>
      <c r="AA5341" s="11"/>
      <c r="AB5341" s="11"/>
      <c r="AC5341" s="105"/>
      <c r="AD5341" s="11" t="b">
        <v>0</v>
      </c>
      <c r="AE5341" s="105"/>
      <c r="AF5341" s="11"/>
      <c r="AG5341" s="11"/>
      <c r="AH5341" s="11"/>
      <c r="AI5341" s="11"/>
    </row>
    <row r="5342" ht="12.5" spans="3:35">
      <c r="C5342" s="19"/>
      <c r="D5342" s="19"/>
      <c r="H5342" s="105"/>
      <c r="I5342" s="126"/>
      <c r="J5342" s="11"/>
      <c r="K5342" s="108"/>
      <c r="L5342" s="11"/>
      <c r="M5342" s="105"/>
      <c r="N5342" s="105"/>
      <c r="O5342" s="11"/>
      <c r="P5342" s="11"/>
      <c r="Q5342" s="105"/>
      <c r="R5342" s="105"/>
      <c r="S5342" s="105"/>
      <c r="T5342" s="105"/>
      <c r="U5342" s="105"/>
      <c r="V5342" s="105"/>
      <c r="W5342" s="105"/>
      <c r="X5342" s="11"/>
      <c r="Y5342" s="11"/>
      <c r="Z5342" s="105"/>
      <c r="AA5342" s="11"/>
      <c r="AB5342" s="11"/>
      <c r="AC5342" s="105"/>
      <c r="AD5342" s="11" t="b">
        <v>0</v>
      </c>
      <c r="AE5342" s="105"/>
      <c r="AF5342" s="11"/>
      <c r="AG5342" s="11"/>
      <c r="AH5342" s="11"/>
      <c r="AI5342" s="11"/>
    </row>
    <row r="5343" ht="12.5" spans="3:35">
      <c r="C5343" s="19"/>
      <c r="D5343" s="19"/>
      <c r="H5343" s="105"/>
      <c r="I5343" s="126"/>
      <c r="J5343" s="11"/>
      <c r="K5343" s="108"/>
      <c r="L5343" s="11"/>
      <c r="M5343" s="105"/>
      <c r="N5343" s="105"/>
      <c r="O5343" s="11"/>
      <c r="P5343" s="11"/>
      <c r="Q5343" s="105"/>
      <c r="R5343" s="105"/>
      <c r="S5343" s="105"/>
      <c r="T5343" s="105"/>
      <c r="U5343" s="105"/>
      <c r="V5343" s="105"/>
      <c r="W5343" s="105"/>
      <c r="X5343" s="11"/>
      <c r="Y5343" s="11"/>
      <c r="Z5343" s="105"/>
      <c r="AA5343" s="11"/>
      <c r="AB5343" s="11"/>
      <c r="AC5343" s="105"/>
      <c r="AD5343" s="11" t="b">
        <v>0</v>
      </c>
      <c r="AE5343" s="105"/>
      <c r="AF5343" s="11"/>
      <c r="AG5343" s="11"/>
      <c r="AH5343" s="11"/>
      <c r="AI5343" s="11"/>
    </row>
    <row r="5344" ht="12.5" spans="3:35">
      <c r="C5344" s="19"/>
      <c r="D5344" s="19"/>
      <c r="H5344" s="105"/>
      <c r="I5344" s="126"/>
      <c r="J5344" s="11"/>
      <c r="K5344" s="108"/>
      <c r="L5344" s="11"/>
      <c r="M5344" s="105"/>
      <c r="N5344" s="105"/>
      <c r="O5344" s="11"/>
      <c r="P5344" s="11"/>
      <c r="Q5344" s="105"/>
      <c r="R5344" s="105"/>
      <c r="S5344" s="105"/>
      <c r="T5344" s="105"/>
      <c r="U5344" s="105"/>
      <c r="V5344" s="105"/>
      <c r="W5344" s="105"/>
      <c r="X5344" s="11"/>
      <c r="Y5344" s="11"/>
      <c r="Z5344" s="105"/>
      <c r="AA5344" s="11"/>
      <c r="AB5344" s="11"/>
      <c r="AC5344" s="105"/>
      <c r="AD5344" s="11" t="b">
        <v>0</v>
      </c>
      <c r="AE5344" s="105"/>
      <c r="AF5344" s="11"/>
      <c r="AG5344" s="11"/>
      <c r="AH5344" s="11"/>
      <c r="AI5344" s="11"/>
    </row>
    <row r="5345" ht="12.5" spans="3:35">
      <c r="C5345" s="19"/>
      <c r="D5345" s="19"/>
      <c r="H5345" s="105"/>
      <c r="I5345" s="126"/>
      <c r="J5345" s="11"/>
      <c r="K5345" s="108"/>
      <c r="L5345" s="11"/>
      <c r="M5345" s="105"/>
      <c r="N5345" s="105"/>
      <c r="O5345" s="11"/>
      <c r="P5345" s="11"/>
      <c r="Q5345" s="105"/>
      <c r="R5345" s="105"/>
      <c r="S5345" s="105"/>
      <c r="T5345" s="105"/>
      <c r="U5345" s="105"/>
      <c r="V5345" s="105"/>
      <c r="W5345" s="105"/>
      <c r="X5345" s="11"/>
      <c r="Y5345" s="11"/>
      <c r="Z5345" s="105"/>
      <c r="AA5345" s="11"/>
      <c r="AB5345" s="11"/>
      <c r="AC5345" s="105"/>
      <c r="AD5345" s="11" t="b">
        <v>0</v>
      </c>
      <c r="AE5345" s="105"/>
      <c r="AF5345" s="11"/>
      <c r="AG5345" s="11"/>
      <c r="AH5345" s="11"/>
      <c r="AI5345" s="11"/>
    </row>
    <row r="5346" ht="12.5" spans="3:35">
      <c r="C5346" s="19"/>
      <c r="D5346" s="19"/>
      <c r="H5346" s="105"/>
      <c r="I5346" s="126"/>
      <c r="J5346" s="11"/>
      <c r="K5346" s="108"/>
      <c r="L5346" s="11"/>
      <c r="M5346" s="105"/>
      <c r="N5346" s="105"/>
      <c r="O5346" s="11"/>
      <c r="P5346" s="11"/>
      <c r="Q5346" s="105"/>
      <c r="R5346" s="105"/>
      <c r="S5346" s="105"/>
      <c r="T5346" s="105"/>
      <c r="U5346" s="105"/>
      <c r="V5346" s="105"/>
      <c r="W5346" s="105"/>
      <c r="X5346" s="11"/>
      <c r="Y5346" s="11"/>
      <c r="Z5346" s="105"/>
      <c r="AA5346" s="11"/>
      <c r="AB5346" s="11"/>
      <c r="AC5346" s="105"/>
      <c r="AD5346" s="11" t="b">
        <v>0</v>
      </c>
      <c r="AE5346" s="105"/>
      <c r="AF5346" s="11"/>
      <c r="AG5346" s="11"/>
      <c r="AH5346" s="11"/>
      <c r="AI5346" s="11"/>
    </row>
    <row r="5347" ht="12.5" spans="3:35">
      <c r="C5347" s="19"/>
      <c r="D5347" s="19"/>
      <c r="H5347" s="105"/>
      <c r="I5347" s="126"/>
      <c r="J5347" s="11"/>
      <c r="K5347" s="108"/>
      <c r="L5347" s="11"/>
      <c r="M5347" s="105"/>
      <c r="N5347" s="105"/>
      <c r="O5347" s="11"/>
      <c r="P5347" s="11"/>
      <c r="Q5347" s="105"/>
      <c r="R5347" s="105"/>
      <c r="S5347" s="105"/>
      <c r="T5347" s="105"/>
      <c r="U5347" s="105"/>
      <c r="V5347" s="105"/>
      <c r="W5347" s="105"/>
      <c r="X5347" s="11"/>
      <c r="Y5347" s="11"/>
      <c r="Z5347" s="105"/>
      <c r="AA5347" s="11"/>
      <c r="AB5347" s="11"/>
      <c r="AC5347" s="105"/>
      <c r="AD5347" s="11" t="b">
        <v>0</v>
      </c>
      <c r="AE5347" s="105"/>
      <c r="AF5347" s="11"/>
      <c r="AG5347" s="11"/>
      <c r="AH5347" s="11"/>
      <c r="AI5347" s="11"/>
    </row>
    <row r="5348" ht="12.5" spans="3:35">
      <c r="C5348" s="19"/>
      <c r="D5348" s="19"/>
      <c r="H5348" s="105"/>
      <c r="I5348" s="126"/>
      <c r="J5348" s="11"/>
      <c r="K5348" s="108"/>
      <c r="L5348" s="11"/>
      <c r="M5348" s="105"/>
      <c r="N5348" s="105"/>
      <c r="O5348" s="11"/>
      <c r="P5348" s="11"/>
      <c r="Q5348" s="105"/>
      <c r="R5348" s="105"/>
      <c r="S5348" s="105"/>
      <c r="T5348" s="105"/>
      <c r="U5348" s="105"/>
      <c r="V5348" s="105"/>
      <c r="W5348" s="105"/>
      <c r="X5348" s="11"/>
      <c r="Y5348" s="11"/>
      <c r="Z5348" s="105"/>
      <c r="AA5348" s="11"/>
      <c r="AB5348" s="11"/>
      <c r="AC5348" s="105"/>
      <c r="AD5348" s="11" t="b">
        <v>0</v>
      </c>
      <c r="AE5348" s="105"/>
      <c r="AF5348" s="11"/>
      <c r="AG5348" s="11"/>
      <c r="AH5348" s="11"/>
      <c r="AI5348" s="11"/>
    </row>
    <row r="5349" ht="12.5" spans="3:35">
      <c r="C5349" s="19"/>
      <c r="D5349" s="19"/>
      <c r="H5349" s="105"/>
      <c r="I5349" s="126"/>
      <c r="J5349" s="11"/>
      <c r="K5349" s="108"/>
      <c r="L5349" s="11"/>
      <c r="M5349" s="105"/>
      <c r="N5349" s="105"/>
      <c r="O5349" s="11"/>
      <c r="P5349" s="11"/>
      <c r="Q5349" s="105"/>
      <c r="R5349" s="105"/>
      <c r="S5349" s="105"/>
      <c r="T5349" s="105"/>
      <c r="U5349" s="105"/>
      <c r="V5349" s="105"/>
      <c r="W5349" s="105"/>
      <c r="X5349" s="11"/>
      <c r="Y5349" s="11"/>
      <c r="Z5349" s="105"/>
      <c r="AA5349" s="11"/>
      <c r="AB5349" s="11"/>
      <c r="AC5349" s="105"/>
      <c r="AD5349" s="11" t="b">
        <v>0</v>
      </c>
      <c r="AE5349" s="105"/>
      <c r="AF5349" s="11"/>
      <c r="AG5349" s="11"/>
      <c r="AH5349" s="11"/>
      <c r="AI5349" s="11"/>
    </row>
    <row r="5350" ht="12.5" spans="3:35">
      <c r="C5350" s="19"/>
      <c r="D5350" s="19"/>
      <c r="H5350" s="105"/>
      <c r="I5350" s="126"/>
      <c r="J5350" s="11"/>
      <c r="K5350" s="108"/>
      <c r="L5350" s="11"/>
      <c r="M5350" s="105"/>
      <c r="N5350" s="105"/>
      <c r="O5350" s="11"/>
      <c r="P5350" s="11"/>
      <c r="Q5350" s="105"/>
      <c r="R5350" s="105"/>
      <c r="S5350" s="105"/>
      <c r="T5350" s="105"/>
      <c r="U5350" s="105"/>
      <c r="V5350" s="105"/>
      <c r="W5350" s="105"/>
      <c r="X5350" s="11"/>
      <c r="Y5350" s="11"/>
      <c r="Z5350" s="105"/>
      <c r="AA5350" s="11"/>
      <c r="AB5350" s="11"/>
      <c r="AC5350" s="105"/>
      <c r="AD5350" s="11" t="b">
        <v>0</v>
      </c>
      <c r="AE5350" s="105"/>
      <c r="AF5350" s="11"/>
      <c r="AG5350" s="11"/>
      <c r="AH5350" s="11"/>
      <c r="AI5350" s="11"/>
    </row>
    <row r="5351" ht="12.5" spans="3:35">
      <c r="C5351" s="19"/>
      <c r="D5351" s="19"/>
      <c r="H5351" s="105"/>
      <c r="I5351" s="126"/>
      <c r="J5351" s="11"/>
      <c r="K5351" s="108"/>
      <c r="L5351" s="11"/>
      <c r="M5351" s="105"/>
      <c r="N5351" s="105"/>
      <c r="O5351" s="11"/>
      <c r="P5351" s="11"/>
      <c r="Q5351" s="105"/>
      <c r="R5351" s="105"/>
      <c r="S5351" s="105"/>
      <c r="T5351" s="105"/>
      <c r="U5351" s="105"/>
      <c r="V5351" s="105"/>
      <c r="W5351" s="105"/>
      <c r="X5351" s="11"/>
      <c r="Y5351" s="11"/>
      <c r="Z5351" s="105"/>
      <c r="AA5351" s="11"/>
      <c r="AB5351" s="11"/>
      <c r="AC5351" s="105"/>
      <c r="AD5351" s="11" t="b">
        <v>0</v>
      </c>
      <c r="AE5351" s="105"/>
      <c r="AF5351" s="11"/>
      <c r="AG5351" s="11"/>
      <c r="AH5351" s="11"/>
      <c r="AI5351" s="11"/>
    </row>
    <row r="5352" ht="12.5" spans="3:35">
      <c r="C5352" s="19"/>
      <c r="D5352" s="19"/>
      <c r="H5352" s="105"/>
      <c r="I5352" s="126"/>
      <c r="J5352" s="11"/>
      <c r="K5352" s="108"/>
      <c r="L5352" s="11"/>
      <c r="M5352" s="105"/>
      <c r="N5352" s="105"/>
      <c r="O5352" s="11"/>
      <c r="P5352" s="11"/>
      <c r="Q5352" s="105"/>
      <c r="R5352" s="105"/>
      <c r="S5352" s="105"/>
      <c r="T5352" s="105"/>
      <c r="U5352" s="105"/>
      <c r="V5352" s="105"/>
      <c r="W5352" s="105"/>
      <c r="X5352" s="11"/>
      <c r="Y5352" s="11"/>
      <c r="Z5352" s="105"/>
      <c r="AA5352" s="11"/>
      <c r="AB5352" s="11"/>
      <c r="AC5352" s="105"/>
      <c r="AD5352" s="11" t="b">
        <v>0</v>
      </c>
      <c r="AE5352" s="105"/>
      <c r="AF5352" s="11"/>
      <c r="AG5352" s="11"/>
      <c r="AH5352" s="11"/>
      <c r="AI5352" s="11"/>
    </row>
    <row r="5353" ht="12.5" spans="3:35">
      <c r="C5353" s="19"/>
      <c r="D5353" s="19"/>
      <c r="H5353" s="105"/>
      <c r="I5353" s="126"/>
      <c r="J5353" s="11"/>
      <c r="K5353" s="108"/>
      <c r="L5353" s="11"/>
      <c r="M5353" s="105"/>
      <c r="N5353" s="105"/>
      <c r="O5353" s="11"/>
      <c r="P5353" s="11"/>
      <c r="Q5353" s="105"/>
      <c r="R5353" s="105"/>
      <c r="S5353" s="105"/>
      <c r="T5353" s="105"/>
      <c r="U5353" s="105"/>
      <c r="V5353" s="105"/>
      <c r="W5353" s="105"/>
      <c r="X5353" s="11"/>
      <c r="Y5353" s="11"/>
      <c r="Z5353" s="105"/>
      <c r="AA5353" s="11"/>
      <c r="AB5353" s="11"/>
      <c r="AC5353" s="105"/>
      <c r="AD5353" s="11" t="b">
        <v>0</v>
      </c>
      <c r="AE5353" s="105"/>
      <c r="AF5353" s="11"/>
      <c r="AG5353" s="11"/>
      <c r="AH5353" s="11"/>
      <c r="AI5353" s="11"/>
    </row>
    <row r="5354" ht="12.5" spans="3:35">
      <c r="C5354" s="19"/>
      <c r="D5354" s="19"/>
      <c r="H5354" s="105"/>
      <c r="I5354" s="126"/>
      <c r="J5354" s="11"/>
      <c r="K5354" s="108"/>
      <c r="L5354" s="11"/>
      <c r="M5354" s="105"/>
      <c r="N5354" s="105"/>
      <c r="O5354" s="11"/>
      <c r="P5354" s="11"/>
      <c r="Q5354" s="105"/>
      <c r="R5354" s="105"/>
      <c r="S5354" s="105"/>
      <c r="T5354" s="105"/>
      <c r="U5354" s="105"/>
      <c r="V5354" s="105"/>
      <c r="W5354" s="105"/>
      <c r="X5354" s="11"/>
      <c r="Y5354" s="11"/>
      <c r="Z5354" s="105"/>
      <c r="AA5354" s="11"/>
      <c r="AB5354" s="11"/>
      <c r="AC5354" s="105"/>
      <c r="AD5354" s="11" t="b">
        <v>0</v>
      </c>
      <c r="AE5354" s="105"/>
      <c r="AF5354" s="11"/>
      <c r="AG5354" s="11"/>
      <c r="AH5354" s="11"/>
      <c r="AI5354" s="11"/>
    </row>
    <row r="5355" ht="12.5" spans="3:35">
      <c r="C5355" s="19"/>
      <c r="D5355" s="19"/>
      <c r="H5355" s="105"/>
      <c r="I5355" s="126"/>
      <c r="J5355" s="11"/>
      <c r="K5355" s="108"/>
      <c r="L5355" s="11"/>
      <c r="M5355" s="105"/>
      <c r="N5355" s="105"/>
      <c r="O5355" s="11"/>
      <c r="P5355" s="11"/>
      <c r="Q5355" s="105"/>
      <c r="R5355" s="105"/>
      <c r="S5355" s="105"/>
      <c r="T5355" s="105"/>
      <c r="U5355" s="105"/>
      <c r="V5355" s="105"/>
      <c r="W5355" s="105"/>
      <c r="X5355" s="11"/>
      <c r="Y5355" s="11"/>
      <c r="Z5355" s="105"/>
      <c r="AA5355" s="11"/>
      <c r="AB5355" s="11"/>
      <c r="AC5355" s="105"/>
      <c r="AD5355" s="11" t="b">
        <v>0</v>
      </c>
      <c r="AE5355" s="105"/>
      <c r="AF5355" s="11"/>
      <c r="AG5355" s="11"/>
      <c r="AH5355" s="11"/>
      <c r="AI5355" s="11"/>
    </row>
    <row r="5356" ht="12.5" spans="3:35">
      <c r="C5356" s="19"/>
      <c r="D5356" s="19"/>
      <c r="H5356" s="105"/>
      <c r="I5356" s="126"/>
      <c r="J5356" s="11"/>
      <c r="K5356" s="108"/>
      <c r="L5356" s="11"/>
      <c r="M5356" s="105"/>
      <c r="N5356" s="105"/>
      <c r="O5356" s="11"/>
      <c r="P5356" s="11"/>
      <c r="Q5356" s="105"/>
      <c r="R5356" s="105"/>
      <c r="S5356" s="105"/>
      <c r="T5356" s="105"/>
      <c r="U5356" s="105"/>
      <c r="V5356" s="105"/>
      <c r="W5356" s="105"/>
      <c r="X5356" s="11"/>
      <c r="Y5356" s="11"/>
      <c r="Z5356" s="105"/>
      <c r="AA5356" s="11"/>
      <c r="AB5356" s="11"/>
      <c r="AC5356" s="105"/>
      <c r="AD5356" s="11" t="b">
        <v>0</v>
      </c>
      <c r="AE5356" s="105"/>
      <c r="AF5356" s="11"/>
      <c r="AG5356" s="11"/>
      <c r="AH5356" s="11"/>
      <c r="AI5356" s="11"/>
    </row>
    <row r="5357" ht="12.5" spans="3:35">
      <c r="C5357" s="19"/>
      <c r="D5357" s="19"/>
      <c r="H5357" s="105"/>
      <c r="I5357" s="126"/>
      <c r="J5357" s="11"/>
      <c r="K5357" s="108"/>
      <c r="L5357" s="11"/>
      <c r="M5357" s="105"/>
      <c r="N5357" s="105"/>
      <c r="O5357" s="11"/>
      <c r="P5357" s="11"/>
      <c r="Q5357" s="105"/>
      <c r="R5357" s="105"/>
      <c r="S5357" s="105"/>
      <c r="T5357" s="105"/>
      <c r="U5357" s="105"/>
      <c r="V5357" s="105"/>
      <c r="W5357" s="105"/>
      <c r="X5357" s="11"/>
      <c r="Y5357" s="11"/>
      <c r="Z5357" s="105"/>
      <c r="AA5357" s="11"/>
      <c r="AB5357" s="11"/>
      <c r="AC5357" s="105"/>
      <c r="AD5357" s="11" t="b">
        <v>0</v>
      </c>
      <c r="AE5357" s="105"/>
      <c r="AF5357" s="11"/>
      <c r="AG5357" s="11"/>
      <c r="AH5357" s="11"/>
      <c r="AI5357" s="11"/>
    </row>
    <row r="5358" ht="12.5" spans="3:35">
      <c r="C5358" s="19"/>
      <c r="D5358" s="19"/>
      <c r="H5358" s="105"/>
      <c r="I5358" s="126"/>
      <c r="J5358" s="11"/>
      <c r="K5358" s="108"/>
      <c r="L5358" s="11"/>
      <c r="M5358" s="105"/>
      <c r="N5358" s="105"/>
      <c r="O5358" s="11"/>
      <c r="P5358" s="11"/>
      <c r="Q5358" s="105"/>
      <c r="R5358" s="105"/>
      <c r="S5358" s="105"/>
      <c r="T5358" s="105"/>
      <c r="U5358" s="105"/>
      <c r="V5358" s="105"/>
      <c r="W5358" s="105"/>
      <c r="X5358" s="11"/>
      <c r="Y5358" s="11"/>
      <c r="Z5358" s="105"/>
      <c r="AA5358" s="11"/>
      <c r="AB5358" s="11"/>
      <c r="AC5358" s="105"/>
      <c r="AD5358" s="11" t="b">
        <v>0</v>
      </c>
      <c r="AE5358" s="105"/>
      <c r="AF5358" s="11"/>
      <c r="AG5358" s="11"/>
      <c r="AH5358" s="11"/>
      <c r="AI5358" s="11"/>
    </row>
    <row r="5359" ht="12.5" spans="3:35">
      <c r="C5359" s="19"/>
      <c r="D5359" s="19"/>
      <c r="H5359" s="105"/>
      <c r="I5359" s="126"/>
      <c r="J5359" s="11"/>
      <c r="K5359" s="108"/>
      <c r="L5359" s="11"/>
      <c r="M5359" s="105"/>
      <c r="N5359" s="105"/>
      <c r="O5359" s="11"/>
      <c r="P5359" s="11"/>
      <c r="Q5359" s="105"/>
      <c r="R5359" s="105"/>
      <c r="S5359" s="105"/>
      <c r="T5359" s="105"/>
      <c r="U5359" s="105"/>
      <c r="V5359" s="105"/>
      <c r="W5359" s="105"/>
      <c r="X5359" s="11"/>
      <c r="Y5359" s="11"/>
      <c r="Z5359" s="105"/>
      <c r="AA5359" s="11"/>
      <c r="AB5359" s="11"/>
      <c r="AC5359" s="105"/>
      <c r="AD5359" s="11" t="b">
        <v>0</v>
      </c>
      <c r="AE5359" s="105"/>
      <c r="AF5359" s="11"/>
      <c r="AG5359" s="11"/>
      <c r="AH5359" s="11"/>
      <c r="AI5359" s="11"/>
    </row>
    <row r="5360" ht="12.5" spans="3:35">
      <c r="C5360" s="19"/>
      <c r="D5360" s="19"/>
      <c r="H5360" s="105"/>
      <c r="I5360" s="126"/>
      <c r="J5360" s="11"/>
      <c r="K5360" s="108"/>
      <c r="L5360" s="11"/>
      <c r="M5360" s="105"/>
      <c r="N5360" s="105"/>
      <c r="O5360" s="11"/>
      <c r="P5360" s="11"/>
      <c r="Q5360" s="105"/>
      <c r="R5360" s="105"/>
      <c r="S5360" s="105"/>
      <c r="T5360" s="105"/>
      <c r="U5360" s="105"/>
      <c r="V5360" s="105"/>
      <c r="W5360" s="105"/>
      <c r="X5360" s="11"/>
      <c r="Y5360" s="11"/>
      <c r="Z5360" s="105"/>
      <c r="AA5360" s="11"/>
      <c r="AB5360" s="11"/>
      <c r="AC5360" s="105"/>
      <c r="AD5360" s="11" t="b">
        <v>0</v>
      </c>
      <c r="AE5360" s="105"/>
      <c r="AF5360" s="11"/>
      <c r="AG5360" s="11"/>
      <c r="AH5360" s="11"/>
      <c r="AI5360" s="11"/>
    </row>
    <row r="5361" ht="12.5" spans="3:35">
      <c r="C5361" s="19"/>
      <c r="D5361" s="19"/>
      <c r="H5361" s="105"/>
      <c r="I5361" s="126"/>
      <c r="J5361" s="11"/>
      <c r="K5361" s="108"/>
      <c r="L5361" s="11"/>
      <c r="M5361" s="105"/>
      <c r="N5361" s="105"/>
      <c r="O5361" s="11"/>
      <c r="P5361" s="11"/>
      <c r="Q5361" s="105"/>
      <c r="R5361" s="105"/>
      <c r="S5361" s="105"/>
      <c r="T5361" s="105"/>
      <c r="U5361" s="105"/>
      <c r="V5361" s="105"/>
      <c r="W5361" s="105"/>
      <c r="X5361" s="11"/>
      <c r="Y5361" s="11"/>
      <c r="Z5361" s="105"/>
      <c r="AA5361" s="11"/>
      <c r="AB5361" s="11"/>
      <c r="AC5361" s="105"/>
      <c r="AD5361" s="11" t="b">
        <v>0</v>
      </c>
      <c r="AE5361" s="105"/>
      <c r="AF5361" s="11"/>
      <c r="AG5361" s="11"/>
      <c r="AH5361" s="11"/>
      <c r="AI5361" s="11"/>
    </row>
    <row r="5362" ht="12.5" spans="3:35">
      <c r="C5362" s="19"/>
      <c r="D5362" s="19"/>
      <c r="H5362" s="105"/>
      <c r="I5362" s="126"/>
      <c r="J5362" s="11"/>
      <c r="K5362" s="108"/>
      <c r="L5362" s="11"/>
      <c r="M5362" s="105"/>
      <c r="N5362" s="105"/>
      <c r="O5362" s="11"/>
      <c r="P5362" s="11"/>
      <c r="Q5362" s="105"/>
      <c r="R5362" s="105"/>
      <c r="S5362" s="105"/>
      <c r="T5362" s="105"/>
      <c r="U5362" s="105"/>
      <c r="V5362" s="105"/>
      <c r="W5362" s="105"/>
      <c r="X5362" s="11"/>
      <c r="Y5362" s="11"/>
      <c r="Z5362" s="105"/>
      <c r="AA5362" s="11"/>
      <c r="AB5362" s="11"/>
      <c r="AC5362" s="105"/>
      <c r="AD5362" s="11" t="b">
        <v>0</v>
      </c>
      <c r="AE5362" s="105"/>
      <c r="AF5362" s="11"/>
      <c r="AG5362" s="11"/>
      <c r="AH5362" s="11"/>
      <c r="AI5362" s="11"/>
    </row>
    <row r="5363" ht="12.5" spans="3:35">
      <c r="C5363" s="19"/>
      <c r="D5363" s="19"/>
      <c r="H5363" s="105"/>
      <c r="I5363" s="126"/>
      <c r="J5363" s="11"/>
      <c r="K5363" s="108"/>
      <c r="L5363" s="11"/>
      <c r="M5363" s="105"/>
      <c r="N5363" s="105"/>
      <c r="O5363" s="11"/>
      <c r="P5363" s="11"/>
      <c r="Q5363" s="105"/>
      <c r="R5363" s="105"/>
      <c r="S5363" s="105"/>
      <c r="T5363" s="105"/>
      <c r="U5363" s="105"/>
      <c r="V5363" s="105"/>
      <c r="W5363" s="105"/>
      <c r="X5363" s="11"/>
      <c r="Y5363" s="11"/>
      <c r="Z5363" s="105"/>
      <c r="AA5363" s="11"/>
      <c r="AB5363" s="11"/>
      <c r="AC5363" s="105"/>
      <c r="AD5363" s="11" t="b">
        <v>0</v>
      </c>
      <c r="AE5363" s="105"/>
      <c r="AF5363" s="11"/>
      <c r="AG5363" s="11"/>
      <c r="AH5363" s="11"/>
      <c r="AI5363" s="11"/>
    </row>
    <row r="5364" ht="12.5" spans="3:35">
      <c r="C5364" s="19"/>
      <c r="D5364" s="19"/>
      <c r="H5364" s="105"/>
      <c r="I5364" s="126"/>
      <c r="J5364" s="11"/>
      <c r="K5364" s="108"/>
      <c r="L5364" s="11"/>
      <c r="M5364" s="105"/>
      <c r="N5364" s="105"/>
      <c r="O5364" s="11"/>
      <c r="P5364" s="11"/>
      <c r="Q5364" s="105"/>
      <c r="R5364" s="105"/>
      <c r="S5364" s="105"/>
      <c r="T5364" s="105"/>
      <c r="U5364" s="105"/>
      <c r="V5364" s="105"/>
      <c r="W5364" s="105"/>
      <c r="X5364" s="11"/>
      <c r="Y5364" s="11"/>
      <c r="Z5364" s="105"/>
      <c r="AA5364" s="11"/>
      <c r="AB5364" s="11"/>
      <c r="AC5364" s="105"/>
      <c r="AD5364" s="11" t="b">
        <v>0</v>
      </c>
      <c r="AE5364" s="105"/>
      <c r="AF5364" s="11"/>
      <c r="AG5364" s="11"/>
      <c r="AH5364" s="11"/>
      <c r="AI5364" s="11"/>
    </row>
    <row r="5365" ht="12.5" spans="3:35">
      <c r="C5365" s="19"/>
      <c r="D5365" s="19"/>
      <c r="H5365" s="105"/>
      <c r="I5365" s="126"/>
      <c r="J5365" s="11"/>
      <c r="K5365" s="108"/>
      <c r="L5365" s="11"/>
      <c r="M5365" s="105"/>
      <c r="N5365" s="105"/>
      <c r="O5365" s="11"/>
      <c r="P5365" s="11"/>
      <c r="Q5365" s="105"/>
      <c r="R5365" s="105"/>
      <c r="S5365" s="105"/>
      <c r="T5365" s="105"/>
      <c r="U5365" s="105"/>
      <c r="V5365" s="105"/>
      <c r="W5365" s="105"/>
      <c r="X5365" s="11"/>
      <c r="Y5365" s="11"/>
      <c r="Z5365" s="105"/>
      <c r="AA5365" s="11"/>
      <c r="AB5365" s="11"/>
      <c r="AC5365" s="105"/>
      <c r="AD5365" s="11" t="b">
        <v>0</v>
      </c>
      <c r="AE5365" s="105"/>
      <c r="AF5365" s="11"/>
      <c r="AG5365" s="11"/>
      <c r="AH5365" s="11"/>
      <c r="AI5365" s="11"/>
    </row>
    <row r="5366" ht="12.5" spans="3:35">
      <c r="C5366" s="19"/>
      <c r="D5366" s="19"/>
      <c r="H5366" s="105"/>
      <c r="I5366" s="126"/>
      <c r="J5366" s="11"/>
      <c r="K5366" s="108"/>
      <c r="L5366" s="11"/>
      <c r="M5366" s="105"/>
      <c r="N5366" s="105"/>
      <c r="O5366" s="11"/>
      <c r="P5366" s="11"/>
      <c r="Q5366" s="105"/>
      <c r="R5366" s="105"/>
      <c r="S5366" s="105"/>
      <c r="T5366" s="105"/>
      <c r="U5366" s="105"/>
      <c r="V5366" s="105"/>
      <c r="W5366" s="105"/>
      <c r="X5366" s="11"/>
      <c r="Y5366" s="11"/>
      <c r="Z5366" s="105"/>
      <c r="AA5366" s="11"/>
      <c r="AB5366" s="11"/>
      <c r="AC5366" s="105"/>
      <c r="AD5366" s="11" t="b">
        <v>0</v>
      </c>
      <c r="AE5366" s="105"/>
      <c r="AF5366" s="11"/>
      <c r="AG5366" s="11"/>
      <c r="AH5366" s="11"/>
      <c r="AI5366" s="11"/>
    </row>
    <row r="5367" ht="12.5" spans="3:35">
      <c r="C5367" s="19"/>
      <c r="D5367" s="19"/>
      <c r="H5367" s="105"/>
      <c r="I5367" s="126"/>
      <c r="J5367" s="11"/>
      <c r="K5367" s="108"/>
      <c r="L5367" s="11"/>
      <c r="M5367" s="105"/>
      <c r="N5367" s="105"/>
      <c r="O5367" s="11"/>
      <c r="P5367" s="11"/>
      <c r="Q5367" s="105"/>
      <c r="R5367" s="105"/>
      <c r="S5367" s="105"/>
      <c r="T5367" s="105"/>
      <c r="U5367" s="105"/>
      <c r="V5367" s="105"/>
      <c r="W5367" s="105"/>
      <c r="X5367" s="11"/>
      <c r="Y5367" s="11"/>
      <c r="Z5367" s="105"/>
      <c r="AA5367" s="11"/>
      <c r="AB5367" s="11"/>
      <c r="AC5367" s="105"/>
      <c r="AD5367" s="11" t="b">
        <v>0</v>
      </c>
      <c r="AE5367" s="105"/>
      <c r="AF5367" s="11"/>
      <c r="AG5367" s="11"/>
      <c r="AH5367" s="11"/>
      <c r="AI5367" s="11"/>
    </row>
    <row r="5368" ht="12.5" spans="3:35">
      <c r="C5368" s="19"/>
      <c r="D5368" s="19"/>
      <c r="H5368" s="105"/>
      <c r="I5368" s="126"/>
      <c r="J5368" s="11"/>
      <c r="K5368" s="108"/>
      <c r="L5368" s="11"/>
      <c r="M5368" s="105"/>
      <c r="N5368" s="105"/>
      <c r="O5368" s="11"/>
      <c r="P5368" s="11"/>
      <c r="Q5368" s="105"/>
      <c r="R5368" s="105"/>
      <c r="S5368" s="105"/>
      <c r="T5368" s="105"/>
      <c r="U5368" s="105"/>
      <c r="V5368" s="105"/>
      <c r="W5368" s="105"/>
      <c r="X5368" s="11"/>
      <c r="Y5368" s="11"/>
      <c r="Z5368" s="105"/>
      <c r="AA5368" s="11"/>
      <c r="AB5368" s="11"/>
      <c r="AC5368" s="105"/>
      <c r="AD5368" s="11" t="b">
        <v>0</v>
      </c>
      <c r="AE5368" s="105"/>
      <c r="AF5368" s="11"/>
      <c r="AG5368" s="11"/>
      <c r="AH5368" s="11"/>
      <c r="AI5368" s="11"/>
    </row>
    <row r="5369" ht="12.5" spans="3:35">
      <c r="C5369" s="19"/>
      <c r="D5369" s="19"/>
      <c r="H5369" s="105"/>
      <c r="I5369" s="126"/>
      <c r="J5369" s="11"/>
      <c r="K5369" s="108"/>
      <c r="L5369" s="11"/>
      <c r="M5369" s="105"/>
      <c r="N5369" s="105"/>
      <c r="O5369" s="11"/>
      <c r="P5369" s="11"/>
      <c r="Q5369" s="105"/>
      <c r="R5369" s="105"/>
      <c r="S5369" s="105"/>
      <c r="T5369" s="105"/>
      <c r="U5369" s="105"/>
      <c r="V5369" s="105"/>
      <c r="W5369" s="105"/>
      <c r="X5369" s="11"/>
      <c r="Y5369" s="11"/>
      <c r="Z5369" s="105"/>
      <c r="AA5369" s="11"/>
      <c r="AB5369" s="11"/>
      <c r="AC5369" s="105"/>
      <c r="AD5369" s="11" t="b">
        <v>0</v>
      </c>
      <c r="AE5369" s="105"/>
      <c r="AF5369" s="11"/>
      <c r="AG5369" s="11"/>
      <c r="AH5369" s="11"/>
      <c r="AI5369" s="11"/>
    </row>
    <row r="5370" ht="12.5" spans="3:35">
      <c r="C5370" s="19"/>
      <c r="D5370" s="19"/>
      <c r="H5370" s="105"/>
      <c r="I5370" s="126"/>
      <c r="J5370" s="11"/>
      <c r="K5370" s="108"/>
      <c r="L5370" s="11"/>
      <c r="M5370" s="105"/>
      <c r="N5370" s="105"/>
      <c r="O5370" s="11"/>
      <c r="P5370" s="11"/>
      <c r="Q5370" s="105"/>
      <c r="R5370" s="105"/>
      <c r="S5370" s="105"/>
      <c r="T5370" s="105"/>
      <c r="U5370" s="105"/>
      <c r="V5370" s="105"/>
      <c r="W5370" s="105"/>
      <c r="X5370" s="11"/>
      <c r="Y5370" s="11"/>
      <c r="Z5370" s="105"/>
      <c r="AA5370" s="11"/>
      <c r="AB5370" s="11"/>
      <c r="AC5370" s="105"/>
      <c r="AD5370" s="11" t="b">
        <v>0</v>
      </c>
      <c r="AE5370" s="105"/>
      <c r="AF5370" s="11"/>
      <c r="AG5370" s="11"/>
      <c r="AH5370" s="11"/>
      <c r="AI5370" s="11"/>
    </row>
    <row r="5371" ht="12.5" spans="3:35">
      <c r="C5371" s="19"/>
      <c r="D5371" s="19"/>
      <c r="H5371" s="105"/>
      <c r="I5371" s="126"/>
      <c r="J5371" s="11"/>
      <c r="K5371" s="108"/>
      <c r="L5371" s="11"/>
      <c r="M5371" s="105"/>
      <c r="N5371" s="105"/>
      <c r="O5371" s="11"/>
      <c r="P5371" s="11"/>
      <c r="Q5371" s="105"/>
      <c r="R5371" s="105"/>
      <c r="S5371" s="105"/>
      <c r="T5371" s="105"/>
      <c r="U5371" s="105"/>
      <c r="V5371" s="105"/>
      <c r="W5371" s="105"/>
      <c r="X5371" s="11"/>
      <c r="Y5371" s="11"/>
      <c r="Z5371" s="105"/>
      <c r="AA5371" s="11"/>
      <c r="AB5371" s="11"/>
      <c r="AC5371" s="105"/>
      <c r="AD5371" s="11" t="b">
        <v>0</v>
      </c>
      <c r="AE5371" s="105"/>
      <c r="AF5371" s="11"/>
      <c r="AG5371" s="11"/>
      <c r="AH5371" s="11"/>
      <c r="AI5371" s="11"/>
    </row>
    <row r="5372" ht="12.5" spans="3:35">
      <c r="C5372" s="19"/>
      <c r="D5372" s="19"/>
      <c r="H5372" s="105"/>
      <c r="I5372" s="126"/>
      <c r="J5372" s="11"/>
      <c r="K5372" s="108"/>
      <c r="L5372" s="11"/>
      <c r="M5372" s="105"/>
      <c r="N5372" s="105"/>
      <c r="O5372" s="11"/>
      <c r="P5372" s="11"/>
      <c r="Q5372" s="105"/>
      <c r="R5372" s="105"/>
      <c r="S5372" s="105"/>
      <c r="T5372" s="105"/>
      <c r="U5372" s="105"/>
      <c r="V5372" s="105"/>
      <c r="W5372" s="105"/>
      <c r="X5372" s="11"/>
      <c r="Y5372" s="11"/>
      <c r="Z5372" s="105"/>
      <c r="AA5372" s="11"/>
      <c r="AB5372" s="11"/>
      <c r="AC5372" s="105"/>
      <c r="AD5372" s="11" t="b">
        <v>0</v>
      </c>
      <c r="AE5372" s="105"/>
      <c r="AF5372" s="11"/>
      <c r="AG5372" s="11"/>
      <c r="AH5372" s="11"/>
      <c r="AI5372" s="11"/>
    </row>
    <row r="5373" ht="12.5" spans="3:35">
      <c r="C5373" s="19"/>
      <c r="D5373" s="19"/>
      <c r="H5373" s="105"/>
      <c r="I5373" s="126"/>
      <c r="J5373" s="11"/>
      <c r="K5373" s="108"/>
      <c r="L5373" s="11"/>
      <c r="M5373" s="105"/>
      <c r="N5373" s="105"/>
      <c r="O5373" s="11"/>
      <c r="P5373" s="11"/>
      <c r="Q5373" s="105"/>
      <c r="R5373" s="105"/>
      <c r="S5373" s="105"/>
      <c r="T5373" s="105"/>
      <c r="U5373" s="105"/>
      <c r="V5373" s="105"/>
      <c r="W5373" s="105"/>
      <c r="X5373" s="11"/>
      <c r="Y5373" s="11"/>
      <c r="Z5373" s="105"/>
      <c r="AA5373" s="11"/>
      <c r="AB5373" s="11"/>
      <c r="AC5373" s="105"/>
      <c r="AD5373" s="11" t="b">
        <v>0</v>
      </c>
      <c r="AE5373" s="105"/>
      <c r="AF5373" s="11"/>
      <c r="AG5373" s="11"/>
      <c r="AH5373" s="11"/>
      <c r="AI5373" s="11"/>
    </row>
    <row r="5374" ht="12.5" spans="3:35">
      <c r="C5374" s="19"/>
      <c r="D5374" s="19"/>
      <c r="H5374" s="105"/>
      <c r="I5374" s="126"/>
      <c r="J5374" s="11"/>
      <c r="K5374" s="108"/>
      <c r="L5374" s="11"/>
      <c r="M5374" s="105"/>
      <c r="N5374" s="105"/>
      <c r="O5374" s="11"/>
      <c r="P5374" s="11"/>
      <c r="Q5374" s="105"/>
      <c r="R5374" s="105"/>
      <c r="S5374" s="105"/>
      <c r="T5374" s="105"/>
      <c r="U5374" s="105"/>
      <c r="V5374" s="105"/>
      <c r="W5374" s="105"/>
      <c r="X5374" s="11"/>
      <c r="Y5374" s="11"/>
      <c r="Z5374" s="105"/>
      <c r="AA5374" s="11"/>
      <c r="AB5374" s="11"/>
      <c r="AC5374" s="105"/>
      <c r="AD5374" s="11" t="b">
        <v>0</v>
      </c>
      <c r="AE5374" s="105"/>
      <c r="AF5374" s="11"/>
      <c r="AG5374" s="11"/>
      <c r="AH5374" s="11"/>
      <c r="AI5374" s="11"/>
    </row>
    <row r="5375" ht="12.5" spans="3:35">
      <c r="C5375" s="19"/>
      <c r="D5375" s="19"/>
      <c r="H5375" s="105"/>
      <c r="I5375" s="126"/>
      <c r="J5375" s="11"/>
      <c r="K5375" s="108"/>
      <c r="L5375" s="11"/>
      <c r="M5375" s="105"/>
      <c r="N5375" s="105"/>
      <c r="O5375" s="11"/>
      <c r="P5375" s="11"/>
      <c r="Q5375" s="105"/>
      <c r="R5375" s="105"/>
      <c r="S5375" s="105"/>
      <c r="T5375" s="105"/>
      <c r="U5375" s="105"/>
      <c r="V5375" s="105"/>
      <c r="W5375" s="105"/>
      <c r="X5375" s="11"/>
      <c r="Y5375" s="11"/>
      <c r="Z5375" s="105"/>
      <c r="AA5375" s="11"/>
      <c r="AB5375" s="11"/>
      <c r="AC5375" s="105"/>
      <c r="AD5375" s="11" t="b">
        <v>0</v>
      </c>
      <c r="AE5375" s="105"/>
      <c r="AF5375" s="11"/>
      <c r="AG5375" s="11"/>
      <c r="AH5375" s="11"/>
      <c r="AI5375" s="11"/>
    </row>
    <row r="5376" ht="12.5" spans="3:35">
      <c r="C5376" s="19"/>
      <c r="D5376" s="19"/>
      <c r="H5376" s="105"/>
      <c r="I5376" s="126"/>
      <c r="J5376" s="11"/>
      <c r="K5376" s="108"/>
      <c r="L5376" s="11"/>
      <c r="M5376" s="105"/>
      <c r="N5376" s="105"/>
      <c r="O5376" s="11"/>
      <c r="P5376" s="11"/>
      <c r="Q5376" s="105"/>
      <c r="R5376" s="105"/>
      <c r="S5376" s="105"/>
      <c r="T5376" s="105"/>
      <c r="U5376" s="105"/>
      <c r="V5376" s="105"/>
      <c r="W5376" s="105"/>
      <c r="X5376" s="11"/>
      <c r="Y5376" s="11"/>
      <c r="Z5376" s="105"/>
      <c r="AA5376" s="11"/>
      <c r="AB5376" s="11"/>
      <c r="AC5376" s="105"/>
      <c r="AD5376" s="11" t="b">
        <v>0</v>
      </c>
      <c r="AE5376" s="105"/>
      <c r="AF5376" s="11"/>
      <c r="AG5376" s="11"/>
      <c r="AH5376" s="11"/>
      <c r="AI5376" s="11"/>
    </row>
    <row r="5377" ht="12.5" spans="3:35">
      <c r="C5377" s="19"/>
      <c r="D5377" s="19"/>
      <c r="H5377" s="105"/>
      <c r="I5377" s="126"/>
      <c r="J5377" s="11"/>
      <c r="K5377" s="108"/>
      <c r="L5377" s="11"/>
      <c r="M5377" s="105"/>
      <c r="N5377" s="105"/>
      <c r="O5377" s="11"/>
      <c r="P5377" s="11"/>
      <c r="Q5377" s="105"/>
      <c r="R5377" s="105"/>
      <c r="S5377" s="105"/>
      <c r="T5377" s="105"/>
      <c r="U5377" s="105"/>
      <c r="V5377" s="105"/>
      <c r="W5377" s="105"/>
      <c r="X5377" s="11"/>
      <c r="Y5377" s="11"/>
      <c r="Z5377" s="105"/>
      <c r="AA5377" s="11"/>
      <c r="AB5377" s="11"/>
      <c r="AC5377" s="105"/>
      <c r="AD5377" s="11" t="b">
        <v>0</v>
      </c>
      <c r="AE5377" s="105"/>
      <c r="AF5377" s="11"/>
      <c r="AG5377" s="11"/>
      <c r="AH5377" s="11"/>
      <c r="AI5377" s="11"/>
    </row>
    <row r="5378" ht="12.5" spans="3:35">
      <c r="C5378" s="19"/>
      <c r="D5378" s="19"/>
      <c r="H5378" s="105"/>
      <c r="I5378" s="126"/>
      <c r="J5378" s="11"/>
      <c r="K5378" s="108"/>
      <c r="L5378" s="11"/>
      <c r="M5378" s="105"/>
      <c r="N5378" s="105"/>
      <c r="O5378" s="11"/>
      <c r="P5378" s="11"/>
      <c r="Q5378" s="105"/>
      <c r="R5378" s="105"/>
      <c r="S5378" s="105"/>
      <c r="T5378" s="105"/>
      <c r="U5378" s="105"/>
      <c r="V5378" s="105"/>
      <c r="W5378" s="105"/>
      <c r="X5378" s="11"/>
      <c r="Y5378" s="11"/>
      <c r="Z5378" s="105"/>
      <c r="AA5378" s="11"/>
      <c r="AB5378" s="11"/>
      <c r="AC5378" s="105"/>
      <c r="AD5378" s="11" t="b">
        <v>0</v>
      </c>
      <c r="AE5378" s="105"/>
      <c r="AF5378" s="11"/>
      <c r="AG5378" s="11"/>
      <c r="AH5378" s="11"/>
      <c r="AI5378" s="11"/>
    </row>
    <row r="5379" ht="12.5" spans="3:35">
      <c r="C5379" s="19"/>
      <c r="D5379" s="19"/>
      <c r="H5379" s="105"/>
      <c r="I5379" s="126"/>
      <c r="J5379" s="11"/>
      <c r="K5379" s="108"/>
      <c r="L5379" s="11"/>
      <c r="M5379" s="105"/>
      <c r="N5379" s="105"/>
      <c r="O5379" s="11"/>
      <c r="P5379" s="11"/>
      <c r="Q5379" s="105"/>
      <c r="R5379" s="105"/>
      <c r="S5379" s="105"/>
      <c r="T5379" s="105"/>
      <c r="U5379" s="105"/>
      <c r="V5379" s="105"/>
      <c r="W5379" s="105"/>
      <c r="X5379" s="11"/>
      <c r="Y5379" s="11"/>
      <c r="Z5379" s="105"/>
      <c r="AA5379" s="11"/>
      <c r="AB5379" s="11"/>
      <c r="AC5379" s="105"/>
      <c r="AD5379" s="11" t="b">
        <v>0</v>
      </c>
      <c r="AE5379" s="105"/>
      <c r="AF5379" s="11"/>
      <c r="AG5379" s="11"/>
      <c r="AH5379" s="11"/>
      <c r="AI5379" s="11"/>
    </row>
    <row r="5380" ht="12.5" spans="3:35">
      <c r="C5380" s="19"/>
      <c r="D5380" s="19"/>
      <c r="H5380" s="105"/>
      <c r="I5380" s="126"/>
      <c r="J5380" s="11"/>
      <c r="K5380" s="108"/>
      <c r="L5380" s="11"/>
      <c r="M5380" s="105"/>
      <c r="N5380" s="105"/>
      <c r="O5380" s="11"/>
      <c r="P5380" s="11"/>
      <c r="Q5380" s="105"/>
      <c r="R5380" s="105"/>
      <c r="S5380" s="105"/>
      <c r="T5380" s="105"/>
      <c r="U5380" s="105"/>
      <c r="V5380" s="105"/>
      <c r="W5380" s="105"/>
      <c r="X5380" s="11"/>
      <c r="Y5380" s="11"/>
      <c r="Z5380" s="105"/>
      <c r="AA5380" s="11"/>
      <c r="AB5380" s="11"/>
      <c r="AC5380" s="105"/>
      <c r="AD5380" s="11" t="b">
        <v>0</v>
      </c>
      <c r="AE5380" s="105"/>
      <c r="AF5380" s="11"/>
      <c r="AG5380" s="11"/>
      <c r="AH5380" s="11"/>
      <c r="AI5380" s="11"/>
    </row>
    <row r="5381" ht="12.5" spans="3:35">
      <c r="C5381" s="19"/>
      <c r="D5381" s="19"/>
      <c r="H5381" s="105"/>
      <c r="I5381" s="126"/>
      <c r="J5381" s="11"/>
      <c r="K5381" s="108"/>
      <c r="L5381" s="11"/>
      <c r="M5381" s="105"/>
      <c r="N5381" s="105"/>
      <c r="O5381" s="11"/>
      <c r="P5381" s="11"/>
      <c r="Q5381" s="105"/>
      <c r="R5381" s="105"/>
      <c r="S5381" s="105"/>
      <c r="T5381" s="105"/>
      <c r="U5381" s="105"/>
      <c r="V5381" s="105"/>
      <c r="W5381" s="105"/>
      <c r="X5381" s="11"/>
      <c r="Y5381" s="11"/>
      <c r="Z5381" s="105"/>
      <c r="AA5381" s="11"/>
      <c r="AB5381" s="11"/>
      <c r="AC5381" s="105"/>
      <c r="AD5381" s="11" t="b">
        <v>0</v>
      </c>
      <c r="AE5381" s="105"/>
      <c r="AF5381" s="11"/>
      <c r="AG5381" s="11"/>
      <c r="AH5381" s="11"/>
      <c r="AI5381" s="11"/>
    </row>
    <row r="5382" ht="12.5" spans="3:35">
      <c r="C5382" s="19"/>
      <c r="D5382" s="19"/>
      <c r="H5382" s="105"/>
      <c r="I5382" s="126"/>
      <c r="J5382" s="11"/>
      <c r="K5382" s="108"/>
      <c r="L5382" s="11"/>
      <c r="M5382" s="105"/>
      <c r="N5382" s="105"/>
      <c r="O5382" s="11"/>
      <c r="P5382" s="11"/>
      <c r="Q5382" s="105"/>
      <c r="R5382" s="105"/>
      <c r="S5382" s="105"/>
      <c r="T5382" s="105"/>
      <c r="U5382" s="105"/>
      <c r="V5382" s="105"/>
      <c r="W5382" s="105"/>
      <c r="X5382" s="11"/>
      <c r="Y5382" s="11"/>
      <c r="Z5382" s="105"/>
      <c r="AA5382" s="11"/>
      <c r="AB5382" s="11"/>
      <c r="AC5382" s="105"/>
      <c r="AD5382" s="11" t="b">
        <v>0</v>
      </c>
      <c r="AE5382" s="105"/>
      <c r="AF5382" s="11"/>
      <c r="AG5382" s="11"/>
      <c r="AH5382" s="11"/>
      <c r="AI5382" s="11"/>
    </row>
    <row r="5383" ht="12.5" spans="3:35">
      <c r="C5383" s="19"/>
      <c r="D5383" s="19"/>
      <c r="H5383" s="105"/>
      <c r="I5383" s="126"/>
      <c r="J5383" s="11"/>
      <c r="K5383" s="108"/>
      <c r="L5383" s="11"/>
      <c r="M5383" s="105"/>
      <c r="N5383" s="105"/>
      <c r="O5383" s="11"/>
      <c r="P5383" s="11"/>
      <c r="Q5383" s="105"/>
      <c r="R5383" s="105"/>
      <c r="S5383" s="105"/>
      <c r="T5383" s="105"/>
      <c r="U5383" s="105"/>
      <c r="V5383" s="105"/>
      <c r="W5383" s="105"/>
      <c r="X5383" s="11"/>
      <c r="Y5383" s="11"/>
      <c r="Z5383" s="105"/>
      <c r="AA5383" s="11"/>
      <c r="AB5383" s="11"/>
      <c r="AC5383" s="105"/>
      <c r="AD5383" s="11" t="b">
        <v>0</v>
      </c>
      <c r="AE5383" s="105"/>
      <c r="AF5383" s="11"/>
      <c r="AG5383" s="11"/>
      <c r="AH5383" s="11"/>
      <c r="AI5383" s="11"/>
    </row>
    <row r="5384" ht="12.5" spans="3:35">
      <c r="C5384" s="19"/>
      <c r="D5384" s="19"/>
      <c r="H5384" s="105"/>
      <c r="I5384" s="126"/>
      <c r="J5384" s="11"/>
      <c r="K5384" s="108"/>
      <c r="L5384" s="11"/>
      <c r="M5384" s="105"/>
      <c r="N5384" s="105"/>
      <c r="O5384" s="11"/>
      <c r="P5384" s="11"/>
      <c r="Q5384" s="105"/>
      <c r="R5384" s="105"/>
      <c r="S5384" s="105"/>
      <c r="T5384" s="105"/>
      <c r="U5384" s="105"/>
      <c r="V5384" s="105"/>
      <c r="W5384" s="105"/>
      <c r="X5384" s="11"/>
      <c r="Y5384" s="11"/>
      <c r="Z5384" s="105"/>
      <c r="AA5384" s="11"/>
      <c r="AB5384" s="11"/>
      <c r="AC5384" s="105"/>
      <c r="AD5384" s="11" t="b">
        <v>0</v>
      </c>
      <c r="AE5384" s="105"/>
      <c r="AF5384" s="11"/>
      <c r="AG5384" s="11"/>
      <c r="AH5384" s="11"/>
      <c r="AI5384" s="11"/>
    </row>
    <row r="5385" ht="12.5" spans="3:35">
      <c r="C5385" s="19"/>
      <c r="D5385" s="19"/>
      <c r="H5385" s="105"/>
      <c r="I5385" s="126"/>
      <c r="J5385" s="11"/>
      <c r="K5385" s="108"/>
      <c r="L5385" s="11"/>
      <c r="M5385" s="105"/>
      <c r="N5385" s="105"/>
      <c r="O5385" s="11"/>
      <c r="P5385" s="11"/>
      <c r="Q5385" s="105"/>
      <c r="R5385" s="105"/>
      <c r="S5385" s="105"/>
      <c r="T5385" s="105"/>
      <c r="U5385" s="105"/>
      <c r="V5385" s="105"/>
      <c r="W5385" s="105"/>
      <c r="X5385" s="11"/>
      <c r="Y5385" s="11"/>
      <c r="Z5385" s="105"/>
      <c r="AA5385" s="11"/>
      <c r="AB5385" s="11"/>
      <c r="AC5385" s="105"/>
      <c r="AD5385" s="11" t="b">
        <v>0</v>
      </c>
      <c r="AE5385" s="105"/>
      <c r="AF5385" s="11"/>
      <c r="AG5385" s="11"/>
      <c r="AH5385" s="11"/>
      <c r="AI5385" s="11"/>
    </row>
    <row r="5386" ht="12.5" spans="3:35">
      <c r="C5386" s="19"/>
      <c r="D5386" s="19"/>
      <c r="H5386" s="105"/>
      <c r="I5386" s="126"/>
      <c r="J5386" s="11"/>
      <c r="K5386" s="108"/>
      <c r="L5386" s="11"/>
      <c r="M5386" s="105"/>
      <c r="N5386" s="105"/>
      <c r="O5386" s="11"/>
      <c r="P5386" s="11"/>
      <c r="Q5386" s="105"/>
      <c r="R5386" s="105"/>
      <c r="S5386" s="105"/>
      <c r="T5386" s="105"/>
      <c r="U5386" s="105"/>
      <c r="V5386" s="105"/>
      <c r="W5386" s="105"/>
      <c r="X5386" s="11"/>
      <c r="Y5386" s="11"/>
      <c r="Z5386" s="105"/>
      <c r="AA5386" s="11"/>
      <c r="AB5386" s="11"/>
      <c r="AC5386" s="105"/>
      <c r="AD5386" s="11" t="b">
        <v>0</v>
      </c>
      <c r="AE5386" s="105"/>
      <c r="AF5386" s="11"/>
      <c r="AG5386" s="11"/>
      <c r="AH5386" s="11"/>
      <c r="AI5386" s="11"/>
    </row>
    <row r="5387" ht="12.5" spans="3:35">
      <c r="C5387" s="19"/>
      <c r="D5387" s="19"/>
      <c r="H5387" s="105"/>
      <c r="I5387" s="126"/>
      <c r="J5387" s="11"/>
      <c r="K5387" s="108"/>
      <c r="L5387" s="11"/>
      <c r="M5387" s="105"/>
      <c r="N5387" s="105"/>
      <c r="O5387" s="11"/>
      <c r="P5387" s="11"/>
      <c r="Q5387" s="105"/>
      <c r="R5387" s="105"/>
      <c r="S5387" s="105"/>
      <c r="T5387" s="105"/>
      <c r="U5387" s="105"/>
      <c r="V5387" s="105"/>
      <c r="W5387" s="105"/>
      <c r="X5387" s="11"/>
      <c r="Y5387" s="11"/>
      <c r="Z5387" s="105"/>
      <c r="AA5387" s="11"/>
      <c r="AB5387" s="11"/>
      <c r="AC5387" s="105"/>
      <c r="AD5387" s="11" t="b">
        <v>0</v>
      </c>
      <c r="AE5387" s="105"/>
      <c r="AF5387" s="11"/>
      <c r="AG5387" s="11"/>
      <c r="AH5387" s="11"/>
      <c r="AI5387" s="11"/>
    </row>
    <row r="5388" ht="12.5" spans="3:35">
      <c r="C5388" s="19"/>
      <c r="D5388" s="19"/>
      <c r="H5388" s="105"/>
      <c r="I5388" s="126"/>
      <c r="J5388" s="11"/>
      <c r="K5388" s="108"/>
      <c r="L5388" s="11"/>
      <c r="M5388" s="105"/>
      <c r="N5388" s="105"/>
      <c r="O5388" s="11"/>
      <c r="P5388" s="11"/>
      <c r="Q5388" s="105"/>
      <c r="R5388" s="105"/>
      <c r="S5388" s="105"/>
      <c r="T5388" s="105"/>
      <c r="U5388" s="105"/>
      <c r="V5388" s="105"/>
      <c r="W5388" s="105"/>
      <c r="X5388" s="11"/>
      <c r="Y5388" s="11"/>
      <c r="Z5388" s="105"/>
      <c r="AA5388" s="11"/>
      <c r="AB5388" s="11"/>
      <c r="AC5388" s="105"/>
      <c r="AD5388" s="11" t="b">
        <v>0</v>
      </c>
      <c r="AE5388" s="105"/>
      <c r="AF5388" s="11"/>
      <c r="AG5388" s="11"/>
      <c r="AH5388" s="11"/>
      <c r="AI5388" s="11"/>
    </row>
    <row r="5389" ht="12.5" spans="3:35">
      <c r="C5389" s="19"/>
      <c r="D5389" s="19"/>
      <c r="H5389" s="105"/>
      <c r="I5389" s="126"/>
      <c r="J5389" s="11"/>
      <c r="K5389" s="108"/>
      <c r="L5389" s="11"/>
      <c r="M5389" s="105"/>
      <c r="N5389" s="105"/>
      <c r="O5389" s="11"/>
      <c r="P5389" s="11"/>
      <c r="Q5389" s="105"/>
      <c r="R5389" s="105"/>
      <c r="S5389" s="105"/>
      <c r="T5389" s="105"/>
      <c r="U5389" s="105"/>
      <c r="V5389" s="105"/>
      <c r="W5389" s="105"/>
      <c r="X5389" s="11"/>
      <c r="Y5389" s="11"/>
      <c r="Z5389" s="105"/>
      <c r="AA5389" s="11"/>
      <c r="AB5389" s="11"/>
      <c r="AC5389" s="105"/>
      <c r="AD5389" s="11" t="b">
        <v>0</v>
      </c>
      <c r="AE5389" s="105"/>
      <c r="AF5389" s="11"/>
      <c r="AG5389" s="11"/>
      <c r="AH5389" s="11"/>
      <c r="AI5389" s="11"/>
    </row>
    <row r="5390" ht="12.5" spans="3:35">
      <c r="C5390" s="19"/>
      <c r="D5390" s="19"/>
      <c r="H5390" s="105"/>
      <c r="I5390" s="126"/>
      <c r="J5390" s="11"/>
      <c r="K5390" s="108"/>
      <c r="L5390" s="11"/>
      <c r="M5390" s="105"/>
      <c r="N5390" s="105"/>
      <c r="O5390" s="11"/>
      <c r="P5390" s="11"/>
      <c r="Q5390" s="105"/>
      <c r="R5390" s="105"/>
      <c r="S5390" s="105"/>
      <c r="T5390" s="105"/>
      <c r="U5390" s="105"/>
      <c r="V5390" s="105"/>
      <c r="W5390" s="105"/>
      <c r="X5390" s="11"/>
      <c r="Y5390" s="11"/>
      <c r="Z5390" s="105"/>
      <c r="AA5390" s="11"/>
      <c r="AB5390" s="11"/>
      <c r="AC5390" s="105"/>
      <c r="AD5390" s="11" t="b">
        <v>0</v>
      </c>
      <c r="AE5390" s="105"/>
      <c r="AF5390" s="11"/>
      <c r="AG5390" s="11"/>
      <c r="AH5390" s="11"/>
      <c r="AI5390" s="11"/>
    </row>
    <row r="5391" ht="12.5" spans="3:35">
      <c r="C5391" s="19"/>
      <c r="D5391" s="19"/>
      <c r="H5391" s="105"/>
      <c r="I5391" s="126"/>
      <c r="J5391" s="11"/>
      <c r="K5391" s="108"/>
      <c r="L5391" s="11"/>
      <c r="M5391" s="105"/>
      <c r="N5391" s="105"/>
      <c r="O5391" s="11"/>
      <c r="P5391" s="11"/>
      <c r="Q5391" s="105"/>
      <c r="R5391" s="105"/>
      <c r="S5391" s="105"/>
      <c r="T5391" s="105"/>
      <c r="U5391" s="105"/>
      <c r="V5391" s="105"/>
      <c r="W5391" s="105"/>
      <c r="X5391" s="11"/>
      <c r="Y5391" s="11"/>
      <c r="Z5391" s="105"/>
      <c r="AA5391" s="11"/>
      <c r="AB5391" s="11"/>
      <c r="AC5391" s="105"/>
      <c r="AD5391" s="11" t="b">
        <v>0</v>
      </c>
      <c r="AE5391" s="105"/>
      <c r="AF5391" s="11"/>
      <c r="AG5391" s="11"/>
      <c r="AH5391" s="11"/>
      <c r="AI5391" s="11"/>
    </row>
    <row r="5392" ht="12.5" spans="3:35">
      <c r="C5392" s="19"/>
      <c r="D5392" s="19"/>
      <c r="H5392" s="105"/>
      <c r="I5392" s="126"/>
      <c r="J5392" s="11"/>
      <c r="K5392" s="108"/>
      <c r="L5392" s="11"/>
      <c r="M5392" s="105"/>
      <c r="N5392" s="105"/>
      <c r="O5392" s="11"/>
      <c r="P5392" s="11"/>
      <c r="Q5392" s="105"/>
      <c r="R5392" s="105"/>
      <c r="S5392" s="105"/>
      <c r="T5392" s="105"/>
      <c r="U5392" s="105"/>
      <c r="V5392" s="105"/>
      <c r="W5392" s="105"/>
      <c r="X5392" s="11"/>
      <c r="Y5392" s="11"/>
      <c r="Z5392" s="105"/>
      <c r="AA5392" s="11"/>
      <c r="AB5392" s="11"/>
      <c r="AC5392" s="105"/>
      <c r="AD5392" s="11" t="b">
        <v>0</v>
      </c>
      <c r="AE5392" s="105"/>
      <c r="AF5392" s="11"/>
      <c r="AG5392" s="11"/>
      <c r="AH5392" s="11"/>
      <c r="AI5392" s="11"/>
    </row>
    <row r="5393" ht="12.5" spans="3:35">
      <c r="C5393" s="19"/>
      <c r="D5393" s="19"/>
      <c r="H5393" s="105"/>
      <c r="I5393" s="126"/>
      <c r="J5393" s="11"/>
      <c r="K5393" s="108"/>
      <c r="L5393" s="11"/>
      <c r="M5393" s="105"/>
      <c r="N5393" s="105"/>
      <c r="O5393" s="11"/>
      <c r="P5393" s="11"/>
      <c r="Q5393" s="105"/>
      <c r="R5393" s="105"/>
      <c r="S5393" s="105"/>
      <c r="T5393" s="105"/>
      <c r="U5393" s="105"/>
      <c r="V5393" s="105"/>
      <c r="W5393" s="105"/>
      <c r="X5393" s="11"/>
      <c r="Y5393" s="11"/>
      <c r="Z5393" s="105"/>
      <c r="AA5393" s="11"/>
      <c r="AB5393" s="11"/>
      <c r="AC5393" s="105"/>
      <c r="AD5393" s="11" t="b">
        <v>0</v>
      </c>
      <c r="AE5393" s="105"/>
      <c r="AF5393" s="11"/>
      <c r="AG5393" s="11"/>
      <c r="AH5393" s="11"/>
      <c r="AI5393" s="11"/>
    </row>
    <row r="5394" ht="12.5" spans="3:35">
      <c r="C5394" s="19"/>
      <c r="D5394" s="19"/>
      <c r="H5394" s="105"/>
      <c r="I5394" s="126"/>
      <c r="J5394" s="11"/>
      <c r="K5394" s="108"/>
      <c r="L5394" s="11"/>
      <c r="M5394" s="105"/>
      <c r="N5394" s="105"/>
      <c r="O5394" s="11"/>
      <c r="P5394" s="11"/>
      <c r="Q5394" s="105"/>
      <c r="R5394" s="105"/>
      <c r="S5394" s="105"/>
      <c r="T5394" s="105"/>
      <c r="U5394" s="105"/>
      <c r="V5394" s="105"/>
      <c r="W5394" s="105"/>
      <c r="X5394" s="11"/>
      <c r="Y5394" s="11"/>
      <c r="Z5394" s="105"/>
      <c r="AA5394" s="11"/>
      <c r="AB5394" s="11"/>
      <c r="AC5394" s="105"/>
      <c r="AD5394" s="11" t="b">
        <v>0</v>
      </c>
      <c r="AE5394" s="105"/>
      <c r="AF5394" s="11"/>
      <c r="AG5394" s="11"/>
      <c r="AH5394" s="11"/>
      <c r="AI5394" s="11"/>
    </row>
    <row r="5395" ht="12.5" spans="3:35">
      <c r="C5395" s="19"/>
      <c r="D5395" s="19"/>
      <c r="H5395" s="105"/>
      <c r="I5395" s="126"/>
      <c r="J5395" s="11"/>
      <c r="K5395" s="108"/>
      <c r="L5395" s="11"/>
      <c r="M5395" s="105"/>
      <c r="N5395" s="105"/>
      <c r="O5395" s="11"/>
      <c r="P5395" s="11"/>
      <c r="Q5395" s="105"/>
      <c r="R5395" s="105"/>
      <c r="S5395" s="105"/>
      <c r="T5395" s="105"/>
      <c r="U5395" s="105"/>
      <c r="V5395" s="105"/>
      <c r="W5395" s="105"/>
      <c r="X5395" s="11"/>
      <c r="Y5395" s="11"/>
      <c r="Z5395" s="105"/>
      <c r="AA5395" s="11"/>
      <c r="AB5395" s="11"/>
      <c r="AC5395" s="105"/>
      <c r="AD5395" s="11" t="b">
        <v>0</v>
      </c>
      <c r="AE5395" s="105"/>
      <c r="AF5395" s="11"/>
      <c r="AG5395" s="11"/>
      <c r="AH5395" s="11"/>
      <c r="AI5395" s="11"/>
    </row>
    <row r="5396" ht="12.5" spans="3:35">
      <c r="C5396" s="19"/>
      <c r="D5396" s="19"/>
      <c r="H5396" s="105"/>
      <c r="I5396" s="126"/>
      <c r="J5396" s="11"/>
      <c r="K5396" s="108"/>
      <c r="L5396" s="11"/>
      <c r="M5396" s="105"/>
      <c r="N5396" s="105"/>
      <c r="O5396" s="11"/>
      <c r="P5396" s="11"/>
      <c r="Q5396" s="105"/>
      <c r="R5396" s="105"/>
      <c r="S5396" s="105"/>
      <c r="T5396" s="105"/>
      <c r="U5396" s="105"/>
      <c r="V5396" s="105"/>
      <c r="W5396" s="105"/>
      <c r="X5396" s="11"/>
      <c r="Y5396" s="11"/>
      <c r="Z5396" s="105"/>
      <c r="AA5396" s="11"/>
      <c r="AB5396" s="11"/>
      <c r="AC5396" s="105"/>
      <c r="AD5396" s="11" t="b">
        <v>0</v>
      </c>
      <c r="AE5396" s="105"/>
      <c r="AF5396" s="11"/>
      <c r="AG5396" s="11"/>
      <c r="AH5396" s="11"/>
      <c r="AI5396" s="11"/>
    </row>
    <row r="5397" ht="12.5" spans="3:35">
      <c r="C5397" s="19"/>
      <c r="D5397" s="19"/>
      <c r="H5397" s="105"/>
      <c r="I5397" s="126"/>
      <c r="J5397" s="11"/>
      <c r="K5397" s="108"/>
      <c r="L5397" s="11"/>
      <c r="M5397" s="105"/>
      <c r="N5397" s="105"/>
      <c r="O5397" s="11"/>
      <c r="P5397" s="11"/>
      <c r="Q5397" s="105"/>
      <c r="R5397" s="105"/>
      <c r="S5397" s="105"/>
      <c r="T5397" s="105"/>
      <c r="U5397" s="105"/>
      <c r="V5397" s="105"/>
      <c r="W5397" s="105"/>
      <c r="X5397" s="11"/>
      <c r="Y5397" s="11"/>
      <c r="Z5397" s="105"/>
      <c r="AA5397" s="11"/>
      <c r="AB5397" s="11"/>
      <c r="AC5397" s="105"/>
      <c r="AD5397" s="11" t="b">
        <v>0</v>
      </c>
      <c r="AE5397" s="105"/>
      <c r="AF5397" s="11"/>
      <c r="AG5397" s="11"/>
      <c r="AH5397" s="11"/>
      <c r="AI5397" s="11"/>
    </row>
    <row r="5398" ht="12.5" spans="3:35">
      <c r="C5398" s="19"/>
      <c r="D5398" s="19"/>
      <c r="H5398" s="105"/>
      <c r="I5398" s="126"/>
      <c r="J5398" s="11"/>
      <c r="K5398" s="108"/>
      <c r="L5398" s="11"/>
      <c r="M5398" s="105"/>
      <c r="N5398" s="105"/>
      <c r="O5398" s="11"/>
      <c r="P5398" s="11"/>
      <c r="Q5398" s="105"/>
      <c r="R5398" s="105"/>
      <c r="S5398" s="105"/>
      <c r="T5398" s="105"/>
      <c r="U5398" s="105"/>
      <c r="V5398" s="105"/>
      <c r="W5398" s="105"/>
      <c r="X5398" s="11"/>
      <c r="Y5398" s="11"/>
      <c r="Z5398" s="105"/>
      <c r="AA5398" s="11"/>
      <c r="AB5398" s="11"/>
      <c r="AC5398" s="105"/>
      <c r="AD5398" s="11" t="b">
        <v>0</v>
      </c>
      <c r="AE5398" s="105"/>
      <c r="AF5398" s="11"/>
      <c r="AG5398" s="11"/>
      <c r="AH5398" s="11"/>
      <c r="AI5398" s="11"/>
    </row>
    <row r="5399" ht="12.5" spans="3:35">
      <c r="C5399" s="19"/>
      <c r="D5399" s="19"/>
      <c r="H5399" s="105"/>
      <c r="I5399" s="126"/>
      <c r="J5399" s="11"/>
      <c r="K5399" s="108"/>
      <c r="L5399" s="11"/>
      <c r="M5399" s="105"/>
      <c r="N5399" s="105"/>
      <c r="O5399" s="11"/>
      <c r="P5399" s="11"/>
      <c r="Q5399" s="105"/>
      <c r="R5399" s="105"/>
      <c r="S5399" s="105"/>
      <c r="T5399" s="105"/>
      <c r="U5399" s="105"/>
      <c r="V5399" s="105"/>
      <c r="W5399" s="105"/>
      <c r="X5399" s="11"/>
      <c r="Y5399" s="11"/>
      <c r="Z5399" s="105"/>
      <c r="AA5399" s="11"/>
      <c r="AB5399" s="11"/>
      <c r="AC5399" s="105"/>
      <c r="AD5399" s="11" t="b">
        <v>0</v>
      </c>
      <c r="AE5399" s="105"/>
      <c r="AF5399" s="11"/>
      <c r="AG5399" s="11"/>
      <c r="AH5399" s="11"/>
      <c r="AI5399" s="11"/>
    </row>
    <row r="5400" ht="12.5" spans="3:35">
      <c r="C5400" s="19"/>
      <c r="D5400" s="19"/>
      <c r="H5400" s="105"/>
      <c r="I5400" s="126"/>
      <c r="J5400" s="11"/>
      <c r="K5400" s="108"/>
      <c r="L5400" s="11"/>
      <c r="M5400" s="105"/>
      <c r="N5400" s="105"/>
      <c r="O5400" s="11"/>
      <c r="P5400" s="11"/>
      <c r="Q5400" s="105"/>
      <c r="R5400" s="105"/>
      <c r="S5400" s="105"/>
      <c r="T5400" s="105"/>
      <c r="U5400" s="105"/>
      <c r="V5400" s="105"/>
      <c r="W5400" s="105"/>
      <c r="X5400" s="11"/>
      <c r="Y5400" s="11"/>
      <c r="Z5400" s="105"/>
      <c r="AA5400" s="11"/>
      <c r="AB5400" s="11"/>
      <c r="AC5400" s="105"/>
      <c r="AD5400" s="11" t="b">
        <v>0</v>
      </c>
      <c r="AE5400" s="105"/>
      <c r="AF5400" s="11"/>
      <c r="AG5400" s="11"/>
      <c r="AH5400" s="11"/>
      <c r="AI5400" s="11"/>
    </row>
    <row r="5401" ht="12.5" spans="3:35">
      <c r="C5401" s="19"/>
      <c r="D5401" s="19"/>
      <c r="H5401" s="105"/>
      <c r="I5401" s="126"/>
      <c r="J5401" s="11"/>
      <c r="K5401" s="108"/>
      <c r="L5401" s="11"/>
      <c r="M5401" s="105"/>
      <c r="N5401" s="105"/>
      <c r="O5401" s="11"/>
      <c r="P5401" s="11"/>
      <c r="Q5401" s="105"/>
      <c r="R5401" s="105"/>
      <c r="S5401" s="105"/>
      <c r="T5401" s="105"/>
      <c r="U5401" s="105"/>
      <c r="V5401" s="105"/>
      <c r="W5401" s="105"/>
      <c r="X5401" s="11"/>
      <c r="Y5401" s="11"/>
      <c r="Z5401" s="105"/>
      <c r="AA5401" s="11"/>
      <c r="AB5401" s="11"/>
      <c r="AC5401" s="105"/>
      <c r="AD5401" s="11" t="b">
        <v>0</v>
      </c>
      <c r="AE5401" s="105"/>
      <c r="AF5401" s="11"/>
      <c r="AG5401" s="11"/>
      <c r="AH5401" s="11"/>
      <c r="AI5401" s="11"/>
    </row>
    <row r="5402" ht="12.5" spans="3:35">
      <c r="C5402" s="19"/>
      <c r="D5402" s="19"/>
      <c r="H5402" s="105"/>
      <c r="I5402" s="126"/>
      <c r="J5402" s="11"/>
      <c r="K5402" s="108"/>
      <c r="L5402" s="11"/>
      <c r="M5402" s="105"/>
      <c r="N5402" s="105"/>
      <c r="O5402" s="11"/>
      <c r="P5402" s="11"/>
      <c r="Q5402" s="105"/>
      <c r="R5402" s="105"/>
      <c r="S5402" s="105"/>
      <c r="T5402" s="105"/>
      <c r="U5402" s="105"/>
      <c r="V5402" s="105"/>
      <c r="W5402" s="105"/>
      <c r="X5402" s="11"/>
      <c r="Y5402" s="11"/>
      <c r="Z5402" s="105"/>
      <c r="AA5402" s="11"/>
      <c r="AB5402" s="11"/>
      <c r="AC5402" s="105"/>
      <c r="AD5402" s="11" t="b">
        <v>0</v>
      </c>
      <c r="AE5402" s="105"/>
      <c r="AF5402" s="11"/>
      <c r="AG5402" s="11"/>
      <c r="AH5402" s="11"/>
      <c r="AI5402" s="11"/>
    </row>
    <row r="5403" ht="12.5" spans="3:35">
      <c r="C5403" s="19"/>
      <c r="D5403" s="19"/>
      <c r="H5403" s="105"/>
      <c r="I5403" s="126"/>
      <c r="J5403" s="11"/>
      <c r="K5403" s="108"/>
      <c r="L5403" s="11"/>
      <c r="M5403" s="105"/>
      <c r="N5403" s="105"/>
      <c r="O5403" s="11"/>
      <c r="P5403" s="11"/>
      <c r="Q5403" s="105"/>
      <c r="R5403" s="105"/>
      <c r="S5403" s="105"/>
      <c r="T5403" s="105"/>
      <c r="U5403" s="105"/>
      <c r="V5403" s="105"/>
      <c r="W5403" s="105"/>
      <c r="X5403" s="11"/>
      <c r="Y5403" s="11"/>
      <c r="Z5403" s="105"/>
      <c r="AA5403" s="11"/>
      <c r="AB5403" s="11"/>
      <c r="AC5403" s="105"/>
      <c r="AD5403" s="11" t="b">
        <v>0</v>
      </c>
      <c r="AE5403" s="105"/>
      <c r="AF5403" s="11"/>
      <c r="AG5403" s="11"/>
      <c r="AH5403" s="11"/>
      <c r="AI5403" s="11"/>
    </row>
    <row r="5404" ht="12.5" spans="3:35">
      <c r="C5404" s="19"/>
      <c r="D5404" s="19"/>
      <c r="H5404" s="105"/>
      <c r="I5404" s="126"/>
      <c r="J5404" s="11"/>
      <c r="K5404" s="108"/>
      <c r="L5404" s="11"/>
      <c r="M5404" s="105"/>
      <c r="N5404" s="105"/>
      <c r="O5404" s="11"/>
      <c r="P5404" s="11"/>
      <c r="Q5404" s="105"/>
      <c r="R5404" s="105"/>
      <c r="S5404" s="105"/>
      <c r="T5404" s="105"/>
      <c r="U5404" s="105"/>
      <c r="V5404" s="105"/>
      <c r="W5404" s="105"/>
      <c r="X5404" s="11"/>
      <c r="Y5404" s="11"/>
      <c r="Z5404" s="105"/>
      <c r="AA5404" s="11"/>
      <c r="AB5404" s="11"/>
      <c r="AC5404" s="105"/>
      <c r="AD5404" s="11" t="b">
        <v>0</v>
      </c>
      <c r="AE5404" s="105"/>
      <c r="AF5404" s="11"/>
      <c r="AG5404" s="11"/>
      <c r="AH5404" s="11"/>
      <c r="AI5404" s="11"/>
    </row>
    <row r="5405" ht="12.5" spans="3:35">
      <c r="C5405" s="19"/>
      <c r="D5405" s="19"/>
      <c r="H5405" s="105"/>
      <c r="I5405" s="126"/>
      <c r="J5405" s="11"/>
      <c r="K5405" s="108"/>
      <c r="L5405" s="11"/>
      <c r="M5405" s="105"/>
      <c r="N5405" s="105"/>
      <c r="O5405" s="11"/>
      <c r="P5405" s="11"/>
      <c r="Q5405" s="105"/>
      <c r="R5405" s="105"/>
      <c r="S5405" s="105"/>
      <c r="T5405" s="105"/>
      <c r="U5405" s="105"/>
      <c r="V5405" s="105"/>
      <c r="W5405" s="105"/>
      <c r="X5405" s="11"/>
      <c r="Y5405" s="11"/>
      <c r="Z5405" s="105"/>
      <c r="AA5405" s="11"/>
      <c r="AB5405" s="11"/>
      <c r="AC5405" s="105"/>
      <c r="AD5405" s="11" t="b">
        <v>0</v>
      </c>
      <c r="AE5405" s="105"/>
      <c r="AF5405" s="11"/>
      <c r="AG5405" s="11"/>
      <c r="AH5405" s="11"/>
      <c r="AI5405" s="11"/>
    </row>
    <row r="5406" ht="12.5" spans="3:35">
      <c r="C5406" s="19"/>
      <c r="D5406" s="19"/>
      <c r="H5406" s="105"/>
      <c r="I5406" s="126"/>
      <c r="J5406" s="11"/>
      <c r="K5406" s="108"/>
      <c r="L5406" s="11"/>
      <c r="M5406" s="105"/>
      <c r="N5406" s="105"/>
      <c r="O5406" s="11"/>
      <c r="P5406" s="11"/>
      <c r="Q5406" s="105"/>
      <c r="R5406" s="105"/>
      <c r="S5406" s="105"/>
      <c r="T5406" s="105"/>
      <c r="U5406" s="105"/>
      <c r="V5406" s="105"/>
      <c r="W5406" s="105"/>
      <c r="X5406" s="11"/>
      <c r="Y5406" s="11"/>
      <c r="Z5406" s="105"/>
      <c r="AA5406" s="11"/>
      <c r="AB5406" s="11"/>
      <c r="AC5406" s="105"/>
      <c r="AD5406" s="11" t="b">
        <v>0</v>
      </c>
      <c r="AE5406" s="105"/>
      <c r="AF5406" s="11"/>
      <c r="AG5406" s="11"/>
      <c r="AH5406" s="11"/>
      <c r="AI5406" s="11"/>
    </row>
    <row r="5407" ht="12.5" spans="3:35">
      <c r="C5407" s="19"/>
      <c r="D5407" s="19"/>
      <c r="H5407" s="105"/>
      <c r="I5407" s="126"/>
      <c r="J5407" s="11"/>
      <c r="K5407" s="108"/>
      <c r="L5407" s="11"/>
      <c r="M5407" s="105"/>
      <c r="N5407" s="105"/>
      <c r="O5407" s="11"/>
      <c r="P5407" s="11"/>
      <c r="Q5407" s="105"/>
      <c r="R5407" s="105"/>
      <c r="S5407" s="105"/>
      <c r="T5407" s="105"/>
      <c r="U5407" s="105"/>
      <c r="V5407" s="105"/>
      <c r="W5407" s="105"/>
      <c r="X5407" s="11"/>
      <c r="Y5407" s="11"/>
      <c r="Z5407" s="105"/>
      <c r="AA5407" s="11"/>
      <c r="AB5407" s="11"/>
      <c r="AC5407" s="105"/>
      <c r="AD5407" s="11" t="b">
        <v>0</v>
      </c>
      <c r="AE5407" s="105"/>
      <c r="AF5407" s="11"/>
      <c r="AG5407" s="11"/>
      <c r="AH5407" s="11"/>
      <c r="AI5407" s="11"/>
    </row>
    <row r="5408" ht="12.5" spans="3:35">
      <c r="C5408" s="19"/>
      <c r="D5408" s="19"/>
      <c r="H5408" s="105"/>
      <c r="I5408" s="126"/>
      <c r="J5408" s="11"/>
      <c r="K5408" s="108"/>
      <c r="L5408" s="11"/>
      <c r="M5408" s="105"/>
      <c r="N5408" s="105"/>
      <c r="O5408" s="11"/>
      <c r="P5408" s="11"/>
      <c r="Q5408" s="105"/>
      <c r="R5408" s="105"/>
      <c r="S5408" s="105"/>
      <c r="T5408" s="105"/>
      <c r="U5408" s="105"/>
      <c r="V5408" s="105"/>
      <c r="W5408" s="105"/>
      <c r="X5408" s="11"/>
      <c r="Y5408" s="11"/>
      <c r="Z5408" s="105"/>
      <c r="AA5408" s="11"/>
      <c r="AB5408" s="11"/>
      <c r="AC5408" s="105"/>
      <c r="AD5408" s="11" t="b">
        <v>0</v>
      </c>
      <c r="AE5408" s="105"/>
      <c r="AF5408" s="11"/>
      <c r="AG5408" s="11"/>
      <c r="AH5408" s="11"/>
      <c r="AI5408" s="11"/>
    </row>
    <row r="5409" ht="12.5" spans="3:35">
      <c r="C5409" s="19"/>
      <c r="D5409" s="19"/>
      <c r="H5409" s="105"/>
      <c r="I5409" s="126"/>
      <c r="J5409" s="11"/>
      <c r="K5409" s="108"/>
      <c r="L5409" s="11"/>
      <c r="M5409" s="105"/>
      <c r="N5409" s="105"/>
      <c r="O5409" s="11"/>
      <c r="P5409" s="11"/>
      <c r="Q5409" s="105"/>
      <c r="R5409" s="105"/>
      <c r="S5409" s="105"/>
      <c r="T5409" s="105"/>
      <c r="U5409" s="105"/>
      <c r="V5409" s="105"/>
      <c r="W5409" s="105"/>
      <c r="X5409" s="11"/>
      <c r="Y5409" s="11"/>
      <c r="Z5409" s="105"/>
      <c r="AA5409" s="11"/>
      <c r="AB5409" s="11"/>
      <c r="AC5409" s="105"/>
      <c r="AD5409" s="11" t="b">
        <v>0</v>
      </c>
      <c r="AE5409" s="105"/>
      <c r="AF5409" s="11"/>
      <c r="AG5409" s="11"/>
      <c r="AH5409" s="11"/>
      <c r="AI5409" s="11"/>
    </row>
    <row r="5410" ht="12.5" spans="3:35">
      <c r="C5410" s="19"/>
      <c r="D5410" s="19"/>
      <c r="H5410" s="105"/>
      <c r="I5410" s="126"/>
      <c r="J5410" s="11"/>
      <c r="K5410" s="108"/>
      <c r="L5410" s="11"/>
      <c r="M5410" s="105"/>
      <c r="N5410" s="105"/>
      <c r="O5410" s="11"/>
      <c r="P5410" s="11"/>
      <c r="Q5410" s="105"/>
      <c r="R5410" s="105"/>
      <c r="S5410" s="105"/>
      <c r="T5410" s="105"/>
      <c r="U5410" s="105"/>
      <c r="V5410" s="105"/>
      <c r="W5410" s="105"/>
      <c r="X5410" s="11"/>
      <c r="Y5410" s="11"/>
      <c r="Z5410" s="105"/>
      <c r="AA5410" s="11"/>
      <c r="AB5410" s="11"/>
      <c r="AC5410" s="105"/>
      <c r="AD5410" s="11" t="b">
        <v>0</v>
      </c>
      <c r="AE5410" s="105"/>
      <c r="AF5410" s="11"/>
      <c r="AG5410" s="11"/>
      <c r="AH5410" s="11"/>
      <c r="AI5410" s="11"/>
    </row>
    <row r="5411" ht="12.5" spans="3:35">
      <c r="C5411" s="19"/>
      <c r="D5411" s="19"/>
      <c r="H5411" s="105"/>
      <c r="I5411" s="126"/>
      <c r="J5411" s="11"/>
      <c r="K5411" s="108"/>
      <c r="L5411" s="11"/>
      <c r="M5411" s="105"/>
      <c r="N5411" s="105"/>
      <c r="O5411" s="11"/>
      <c r="P5411" s="11"/>
      <c r="Q5411" s="105"/>
      <c r="R5411" s="105"/>
      <c r="S5411" s="105"/>
      <c r="T5411" s="105"/>
      <c r="U5411" s="105"/>
      <c r="V5411" s="105"/>
      <c r="W5411" s="105"/>
      <c r="X5411" s="11"/>
      <c r="Y5411" s="11"/>
      <c r="Z5411" s="105"/>
      <c r="AA5411" s="11"/>
      <c r="AB5411" s="11"/>
      <c r="AC5411" s="105"/>
      <c r="AD5411" s="11" t="b">
        <v>0</v>
      </c>
      <c r="AE5411" s="105"/>
      <c r="AF5411" s="11"/>
      <c r="AG5411" s="11"/>
      <c r="AH5411" s="11"/>
      <c r="AI5411" s="11"/>
    </row>
    <row r="5412" ht="12.5" spans="3:35">
      <c r="C5412" s="19"/>
      <c r="D5412" s="19"/>
      <c r="H5412" s="105"/>
      <c r="I5412" s="126"/>
      <c r="J5412" s="11"/>
      <c r="K5412" s="108"/>
      <c r="L5412" s="11"/>
      <c r="M5412" s="105"/>
      <c r="N5412" s="105"/>
      <c r="O5412" s="11"/>
      <c r="P5412" s="11"/>
      <c r="Q5412" s="105"/>
      <c r="R5412" s="105"/>
      <c r="S5412" s="105"/>
      <c r="T5412" s="105"/>
      <c r="U5412" s="105"/>
      <c r="V5412" s="105"/>
      <c r="W5412" s="105"/>
      <c r="X5412" s="11"/>
      <c r="Y5412" s="11"/>
      <c r="Z5412" s="105"/>
      <c r="AA5412" s="11"/>
      <c r="AB5412" s="11"/>
      <c r="AC5412" s="105"/>
      <c r="AD5412" s="11" t="b">
        <v>0</v>
      </c>
      <c r="AE5412" s="105"/>
      <c r="AF5412" s="11"/>
      <c r="AG5412" s="11"/>
      <c r="AH5412" s="11"/>
      <c r="AI5412" s="11"/>
    </row>
    <row r="5413" ht="12.5" spans="3:35">
      <c r="C5413" s="19"/>
      <c r="D5413" s="19"/>
      <c r="H5413" s="105"/>
      <c r="I5413" s="126"/>
      <c r="J5413" s="11"/>
      <c r="K5413" s="108"/>
      <c r="L5413" s="11"/>
      <c r="M5413" s="105"/>
      <c r="N5413" s="105"/>
      <c r="O5413" s="11"/>
      <c r="P5413" s="11"/>
      <c r="Q5413" s="105"/>
      <c r="R5413" s="105"/>
      <c r="S5413" s="105"/>
      <c r="T5413" s="105"/>
      <c r="U5413" s="105"/>
      <c r="V5413" s="105"/>
      <c r="W5413" s="105"/>
      <c r="X5413" s="11"/>
      <c r="Y5413" s="11"/>
      <c r="Z5413" s="105"/>
      <c r="AA5413" s="11"/>
      <c r="AB5413" s="11"/>
      <c r="AC5413" s="105"/>
      <c r="AD5413" s="11" t="b">
        <v>0</v>
      </c>
      <c r="AE5413" s="105"/>
      <c r="AF5413" s="11"/>
      <c r="AG5413" s="11"/>
      <c r="AH5413" s="11"/>
      <c r="AI5413" s="11"/>
    </row>
    <row r="5414" ht="12.5" spans="3:35">
      <c r="C5414" s="19"/>
      <c r="D5414" s="19"/>
      <c r="H5414" s="105"/>
      <c r="I5414" s="126"/>
      <c r="J5414" s="11"/>
      <c r="K5414" s="108"/>
      <c r="L5414" s="11"/>
      <c r="M5414" s="105"/>
      <c r="N5414" s="105"/>
      <c r="O5414" s="11"/>
      <c r="P5414" s="11"/>
      <c r="Q5414" s="105"/>
      <c r="R5414" s="105"/>
      <c r="S5414" s="105"/>
      <c r="T5414" s="105"/>
      <c r="U5414" s="105"/>
      <c r="V5414" s="105"/>
      <c r="W5414" s="105"/>
      <c r="X5414" s="11"/>
      <c r="Y5414" s="11"/>
      <c r="Z5414" s="105"/>
      <c r="AA5414" s="11"/>
      <c r="AB5414" s="11"/>
      <c r="AC5414" s="105"/>
      <c r="AD5414" s="11" t="b">
        <v>0</v>
      </c>
      <c r="AE5414" s="105"/>
      <c r="AF5414" s="11"/>
      <c r="AG5414" s="11"/>
      <c r="AH5414" s="11"/>
      <c r="AI5414" s="11"/>
    </row>
    <row r="5415" ht="12.5" spans="3:35">
      <c r="C5415" s="19"/>
      <c r="D5415" s="19"/>
      <c r="H5415" s="105"/>
      <c r="I5415" s="126"/>
      <c r="J5415" s="11"/>
      <c r="K5415" s="108"/>
      <c r="L5415" s="11"/>
      <c r="M5415" s="105"/>
      <c r="N5415" s="105"/>
      <c r="O5415" s="11"/>
      <c r="P5415" s="11"/>
      <c r="Q5415" s="105"/>
      <c r="R5415" s="105"/>
      <c r="S5415" s="105"/>
      <c r="T5415" s="105"/>
      <c r="U5415" s="105"/>
      <c r="V5415" s="105"/>
      <c r="W5415" s="105"/>
      <c r="X5415" s="11"/>
      <c r="Y5415" s="11"/>
      <c r="Z5415" s="105"/>
      <c r="AA5415" s="11"/>
      <c r="AB5415" s="11"/>
      <c r="AC5415" s="105"/>
      <c r="AD5415" s="11" t="b">
        <v>0</v>
      </c>
      <c r="AE5415" s="105"/>
      <c r="AF5415" s="11"/>
      <c r="AG5415" s="11"/>
      <c r="AH5415" s="11"/>
      <c r="AI5415" s="11"/>
    </row>
    <row r="5416" ht="12.5" spans="3:35">
      <c r="C5416" s="19"/>
      <c r="D5416" s="19"/>
      <c r="H5416" s="105"/>
      <c r="I5416" s="126"/>
      <c r="J5416" s="11"/>
      <c r="K5416" s="108"/>
      <c r="L5416" s="11"/>
      <c r="M5416" s="105"/>
      <c r="N5416" s="105"/>
      <c r="O5416" s="11"/>
      <c r="P5416" s="11"/>
      <c r="Q5416" s="105"/>
      <c r="R5416" s="105"/>
      <c r="S5416" s="105"/>
      <c r="T5416" s="105"/>
      <c r="U5416" s="105"/>
      <c r="V5416" s="105"/>
      <c r="W5416" s="105"/>
      <c r="X5416" s="11"/>
      <c r="Y5416" s="11"/>
      <c r="Z5416" s="105"/>
      <c r="AA5416" s="11"/>
      <c r="AB5416" s="11"/>
      <c r="AC5416" s="105"/>
      <c r="AD5416" s="11" t="b">
        <v>0</v>
      </c>
      <c r="AE5416" s="105"/>
      <c r="AF5416" s="11"/>
      <c r="AG5416" s="11"/>
      <c r="AH5416" s="11"/>
      <c r="AI5416" s="11"/>
    </row>
    <row r="5417" ht="12.5" spans="3:35">
      <c r="C5417" s="19"/>
      <c r="D5417" s="19"/>
      <c r="H5417" s="105"/>
      <c r="I5417" s="126"/>
      <c r="J5417" s="11"/>
      <c r="K5417" s="108"/>
      <c r="L5417" s="11"/>
      <c r="M5417" s="105"/>
      <c r="N5417" s="105"/>
      <c r="O5417" s="11"/>
      <c r="P5417" s="11"/>
      <c r="Q5417" s="105"/>
      <c r="R5417" s="105"/>
      <c r="S5417" s="105"/>
      <c r="T5417" s="105"/>
      <c r="U5417" s="105"/>
      <c r="V5417" s="105"/>
      <c r="W5417" s="105"/>
      <c r="X5417" s="11"/>
      <c r="Y5417" s="11"/>
      <c r="Z5417" s="105"/>
      <c r="AA5417" s="11"/>
      <c r="AB5417" s="11"/>
      <c r="AC5417" s="105"/>
      <c r="AD5417" s="11" t="b">
        <v>0</v>
      </c>
      <c r="AE5417" s="105"/>
      <c r="AF5417" s="11"/>
      <c r="AG5417" s="11"/>
      <c r="AH5417" s="11"/>
      <c r="AI5417" s="11"/>
    </row>
    <row r="5418" ht="12.5" spans="3:35">
      <c r="C5418" s="19"/>
      <c r="D5418" s="19"/>
      <c r="H5418" s="105"/>
      <c r="I5418" s="126"/>
      <c r="J5418" s="11"/>
      <c r="K5418" s="108"/>
      <c r="L5418" s="11"/>
      <c r="M5418" s="105"/>
      <c r="N5418" s="105"/>
      <c r="O5418" s="11"/>
      <c r="P5418" s="11"/>
      <c r="Q5418" s="105"/>
      <c r="R5418" s="105"/>
      <c r="S5418" s="105"/>
      <c r="T5418" s="105"/>
      <c r="U5418" s="105"/>
      <c r="V5418" s="105"/>
      <c r="W5418" s="105"/>
      <c r="X5418" s="11"/>
      <c r="Y5418" s="11"/>
      <c r="Z5418" s="105"/>
      <c r="AA5418" s="11"/>
      <c r="AB5418" s="11"/>
      <c r="AC5418" s="105"/>
      <c r="AD5418" s="11" t="b">
        <v>0</v>
      </c>
      <c r="AE5418" s="105"/>
      <c r="AF5418" s="11"/>
      <c r="AG5418" s="11"/>
      <c r="AH5418" s="11"/>
      <c r="AI5418" s="11"/>
    </row>
    <row r="5419" ht="12.5" spans="3:35">
      <c r="C5419" s="19"/>
      <c r="D5419" s="19"/>
      <c r="H5419" s="105"/>
      <c r="I5419" s="126"/>
      <c r="J5419" s="11"/>
      <c r="K5419" s="108"/>
      <c r="L5419" s="11"/>
      <c r="M5419" s="105"/>
      <c r="N5419" s="105"/>
      <c r="O5419" s="11"/>
      <c r="P5419" s="11"/>
      <c r="Q5419" s="105"/>
      <c r="R5419" s="105"/>
      <c r="S5419" s="105"/>
      <c r="T5419" s="105"/>
      <c r="U5419" s="105"/>
      <c r="V5419" s="105"/>
      <c r="W5419" s="105"/>
      <c r="X5419" s="11"/>
      <c r="Y5419" s="11"/>
      <c r="Z5419" s="105"/>
      <c r="AA5419" s="11"/>
      <c r="AB5419" s="11"/>
      <c r="AC5419" s="105"/>
      <c r="AD5419" s="11" t="b">
        <v>0</v>
      </c>
      <c r="AE5419" s="105"/>
      <c r="AF5419" s="11"/>
      <c r="AG5419" s="11"/>
      <c r="AH5419" s="11"/>
      <c r="AI5419" s="11"/>
    </row>
    <row r="5420" ht="12.5" spans="3:35">
      <c r="C5420" s="19"/>
      <c r="D5420" s="19"/>
      <c r="H5420" s="105"/>
      <c r="I5420" s="126"/>
      <c r="J5420" s="11"/>
      <c r="K5420" s="108"/>
      <c r="L5420" s="11"/>
      <c r="M5420" s="105"/>
      <c r="N5420" s="105"/>
      <c r="O5420" s="11"/>
      <c r="P5420" s="11"/>
      <c r="Q5420" s="105"/>
      <c r="R5420" s="105"/>
      <c r="S5420" s="105"/>
      <c r="T5420" s="105"/>
      <c r="U5420" s="105"/>
      <c r="V5420" s="105"/>
      <c r="W5420" s="105"/>
      <c r="X5420" s="11"/>
      <c r="Y5420" s="11"/>
      <c r="Z5420" s="105"/>
      <c r="AA5420" s="11"/>
      <c r="AB5420" s="11"/>
      <c r="AC5420" s="105"/>
      <c r="AD5420" s="11" t="b">
        <v>0</v>
      </c>
      <c r="AE5420" s="105"/>
      <c r="AF5420" s="11"/>
      <c r="AG5420" s="11"/>
      <c r="AH5420" s="11"/>
      <c r="AI5420" s="11"/>
    </row>
    <row r="5421" ht="12.5" spans="3:35">
      <c r="C5421" s="19"/>
      <c r="D5421" s="19"/>
      <c r="H5421" s="105"/>
      <c r="I5421" s="126"/>
      <c r="J5421" s="11"/>
      <c r="K5421" s="108"/>
      <c r="L5421" s="11"/>
      <c r="M5421" s="105"/>
      <c r="N5421" s="105"/>
      <c r="O5421" s="11"/>
      <c r="P5421" s="11"/>
      <c r="Q5421" s="105"/>
      <c r="R5421" s="105"/>
      <c r="S5421" s="105"/>
      <c r="T5421" s="105"/>
      <c r="U5421" s="105"/>
      <c r="V5421" s="105"/>
      <c r="W5421" s="105"/>
      <c r="X5421" s="11"/>
      <c r="Y5421" s="11"/>
      <c r="Z5421" s="105"/>
      <c r="AA5421" s="11"/>
      <c r="AB5421" s="11"/>
      <c r="AC5421" s="105"/>
      <c r="AD5421" s="11" t="b">
        <v>0</v>
      </c>
      <c r="AE5421" s="105"/>
      <c r="AF5421" s="11"/>
      <c r="AG5421" s="11"/>
      <c r="AH5421" s="11"/>
      <c r="AI5421" s="11"/>
    </row>
    <row r="5422" ht="12.5" spans="3:35">
      <c r="C5422" s="19"/>
      <c r="D5422" s="19"/>
      <c r="H5422" s="105"/>
      <c r="I5422" s="126"/>
      <c r="J5422" s="11"/>
      <c r="K5422" s="108"/>
      <c r="L5422" s="11"/>
      <c r="M5422" s="105"/>
      <c r="N5422" s="105"/>
      <c r="O5422" s="11"/>
      <c r="P5422" s="11"/>
      <c r="Q5422" s="105"/>
      <c r="R5422" s="105"/>
      <c r="S5422" s="105"/>
      <c r="T5422" s="105"/>
      <c r="U5422" s="105"/>
      <c r="V5422" s="105"/>
      <c r="W5422" s="105"/>
      <c r="X5422" s="11"/>
      <c r="Y5422" s="11"/>
      <c r="Z5422" s="105"/>
      <c r="AA5422" s="11"/>
      <c r="AB5422" s="11"/>
      <c r="AC5422" s="105"/>
      <c r="AD5422" s="11" t="b">
        <v>0</v>
      </c>
      <c r="AE5422" s="105"/>
      <c r="AF5422" s="11"/>
      <c r="AG5422" s="11"/>
      <c r="AH5422" s="11"/>
      <c r="AI5422" s="11"/>
    </row>
    <row r="5423" ht="12.5" spans="3:35">
      <c r="C5423" s="19"/>
      <c r="D5423" s="19"/>
      <c r="H5423" s="105"/>
      <c r="I5423" s="126"/>
      <c r="J5423" s="11"/>
      <c r="K5423" s="108"/>
      <c r="L5423" s="11"/>
      <c r="M5423" s="105"/>
      <c r="N5423" s="105"/>
      <c r="O5423" s="11"/>
      <c r="P5423" s="11"/>
      <c r="Q5423" s="105"/>
      <c r="R5423" s="105"/>
      <c r="S5423" s="105"/>
      <c r="T5423" s="105"/>
      <c r="U5423" s="105"/>
      <c r="V5423" s="105"/>
      <c r="W5423" s="105"/>
      <c r="X5423" s="11"/>
      <c r="Y5423" s="11"/>
      <c r="Z5423" s="105"/>
      <c r="AA5423" s="11"/>
      <c r="AB5423" s="11"/>
      <c r="AC5423" s="105"/>
      <c r="AD5423" s="11" t="b">
        <v>0</v>
      </c>
      <c r="AE5423" s="105"/>
      <c r="AF5423" s="11"/>
      <c r="AG5423" s="11"/>
      <c r="AH5423" s="11"/>
      <c r="AI5423" s="11"/>
    </row>
    <row r="5424" ht="12.5" spans="3:35">
      <c r="C5424" s="19"/>
      <c r="D5424" s="19"/>
      <c r="H5424" s="105"/>
      <c r="I5424" s="126"/>
      <c r="J5424" s="11"/>
      <c r="K5424" s="108"/>
      <c r="L5424" s="11"/>
      <c r="M5424" s="105"/>
      <c r="N5424" s="105"/>
      <c r="O5424" s="11"/>
      <c r="P5424" s="11"/>
      <c r="Q5424" s="105"/>
      <c r="R5424" s="105"/>
      <c r="S5424" s="105"/>
      <c r="T5424" s="105"/>
      <c r="U5424" s="105"/>
      <c r="V5424" s="105"/>
      <c r="W5424" s="105"/>
      <c r="X5424" s="11"/>
      <c r="Y5424" s="11"/>
      <c r="Z5424" s="105"/>
      <c r="AA5424" s="11"/>
      <c r="AB5424" s="11"/>
      <c r="AC5424" s="105"/>
      <c r="AD5424" s="11" t="b">
        <v>0</v>
      </c>
      <c r="AE5424" s="105"/>
      <c r="AF5424" s="11"/>
      <c r="AG5424" s="11"/>
      <c r="AH5424" s="11"/>
      <c r="AI5424" s="11"/>
    </row>
    <row r="5425" ht="12.5" spans="3:35">
      <c r="C5425" s="19"/>
      <c r="D5425" s="19"/>
      <c r="H5425" s="105"/>
      <c r="I5425" s="126"/>
      <c r="J5425" s="11"/>
      <c r="K5425" s="108"/>
      <c r="L5425" s="11"/>
      <c r="M5425" s="105"/>
      <c r="N5425" s="105"/>
      <c r="O5425" s="11"/>
      <c r="P5425" s="11"/>
      <c r="Q5425" s="105"/>
      <c r="R5425" s="105"/>
      <c r="S5425" s="105"/>
      <c r="T5425" s="105"/>
      <c r="U5425" s="105"/>
      <c r="V5425" s="105"/>
      <c r="W5425" s="105"/>
      <c r="X5425" s="11"/>
      <c r="Y5425" s="11"/>
      <c r="Z5425" s="105"/>
      <c r="AA5425" s="11"/>
      <c r="AB5425" s="11"/>
      <c r="AC5425" s="105"/>
      <c r="AD5425" s="11" t="b">
        <v>0</v>
      </c>
      <c r="AE5425" s="105"/>
      <c r="AF5425" s="11"/>
      <c r="AG5425" s="11"/>
      <c r="AH5425" s="11"/>
      <c r="AI5425" s="11"/>
    </row>
    <row r="5426" ht="12.5" spans="3:35">
      <c r="C5426" s="19"/>
      <c r="D5426" s="19"/>
      <c r="H5426" s="105"/>
      <c r="I5426" s="126"/>
      <c r="J5426" s="11"/>
      <c r="K5426" s="108"/>
      <c r="L5426" s="11"/>
      <c r="M5426" s="105"/>
      <c r="N5426" s="105"/>
      <c r="O5426" s="11"/>
      <c r="P5426" s="11"/>
      <c r="Q5426" s="105"/>
      <c r="R5426" s="105"/>
      <c r="S5426" s="105"/>
      <c r="T5426" s="105"/>
      <c r="U5426" s="105"/>
      <c r="V5426" s="105"/>
      <c r="W5426" s="105"/>
      <c r="X5426" s="11"/>
      <c r="Y5426" s="11"/>
      <c r="Z5426" s="105"/>
      <c r="AA5426" s="11"/>
      <c r="AB5426" s="11"/>
      <c r="AC5426" s="105"/>
      <c r="AD5426" s="11" t="b">
        <v>0</v>
      </c>
      <c r="AE5426" s="105"/>
      <c r="AF5426" s="11"/>
      <c r="AG5426" s="11"/>
      <c r="AH5426" s="11"/>
      <c r="AI5426" s="11"/>
    </row>
    <row r="5427" ht="12.5" spans="3:35">
      <c r="C5427" s="19"/>
      <c r="D5427" s="19"/>
      <c r="H5427" s="105"/>
      <c r="I5427" s="126"/>
      <c r="J5427" s="11"/>
      <c r="K5427" s="108"/>
      <c r="L5427" s="11"/>
      <c r="M5427" s="105"/>
      <c r="N5427" s="105"/>
      <c r="O5427" s="11"/>
      <c r="P5427" s="11"/>
      <c r="Q5427" s="105"/>
      <c r="R5427" s="105"/>
      <c r="S5427" s="105"/>
      <c r="T5427" s="105"/>
      <c r="U5427" s="105"/>
      <c r="V5427" s="105"/>
      <c r="W5427" s="105"/>
      <c r="X5427" s="11"/>
      <c r="Y5427" s="11"/>
      <c r="Z5427" s="105"/>
      <c r="AA5427" s="11"/>
      <c r="AB5427" s="11"/>
      <c r="AC5427" s="105"/>
      <c r="AD5427" s="11" t="b">
        <v>0</v>
      </c>
      <c r="AE5427" s="105"/>
      <c r="AF5427" s="11"/>
      <c r="AG5427" s="11"/>
      <c r="AH5427" s="11"/>
      <c r="AI5427" s="11"/>
    </row>
    <row r="5428" ht="12.5" spans="3:35">
      <c r="C5428" s="19"/>
      <c r="D5428" s="19"/>
      <c r="H5428" s="105"/>
      <c r="I5428" s="126"/>
      <c r="J5428" s="11"/>
      <c r="K5428" s="108"/>
      <c r="L5428" s="11"/>
      <c r="M5428" s="105"/>
      <c r="N5428" s="105"/>
      <c r="O5428" s="11"/>
      <c r="P5428" s="11"/>
      <c r="Q5428" s="105"/>
      <c r="R5428" s="105"/>
      <c r="S5428" s="105"/>
      <c r="T5428" s="105"/>
      <c r="U5428" s="105"/>
      <c r="V5428" s="105"/>
      <c r="W5428" s="105"/>
      <c r="X5428" s="11"/>
      <c r="Y5428" s="11"/>
      <c r="Z5428" s="105"/>
      <c r="AA5428" s="11"/>
      <c r="AB5428" s="11"/>
      <c r="AC5428" s="105"/>
      <c r="AD5428" s="11" t="b">
        <v>0</v>
      </c>
      <c r="AE5428" s="105"/>
      <c r="AF5428" s="11"/>
      <c r="AG5428" s="11"/>
      <c r="AH5428" s="11"/>
      <c r="AI5428" s="11"/>
    </row>
    <row r="5429" ht="12.5" spans="3:35">
      <c r="C5429" s="19"/>
      <c r="D5429" s="19"/>
      <c r="H5429" s="105"/>
      <c r="I5429" s="126"/>
      <c r="J5429" s="11"/>
      <c r="K5429" s="108"/>
      <c r="L5429" s="11"/>
      <c r="M5429" s="105"/>
      <c r="N5429" s="105"/>
      <c r="O5429" s="11"/>
      <c r="P5429" s="11"/>
      <c r="Q5429" s="105"/>
      <c r="R5429" s="105"/>
      <c r="S5429" s="105"/>
      <c r="T5429" s="105"/>
      <c r="U5429" s="105"/>
      <c r="V5429" s="105"/>
      <c r="W5429" s="105"/>
      <c r="X5429" s="11"/>
      <c r="Y5429" s="11"/>
      <c r="Z5429" s="105"/>
      <c r="AA5429" s="11"/>
      <c r="AB5429" s="11"/>
      <c r="AC5429" s="105"/>
      <c r="AD5429" s="11" t="b">
        <v>0</v>
      </c>
      <c r="AE5429" s="105"/>
      <c r="AF5429" s="11"/>
      <c r="AG5429" s="11"/>
      <c r="AH5429" s="11"/>
      <c r="AI5429" s="11"/>
    </row>
    <row r="5430" ht="12.5" spans="3:35">
      <c r="C5430" s="19"/>
      <c r="D5430" s="19"/>
      <c r="H5430" s="105"/>
      <c r="I5430" s="126"/>
      <c r="J5430" s="11"/>
      <c r="K5430" s="108"/>
      <c r="L5430" s="11"/>
      <c r="M5430" s="105"/>
      <c r="N5430" s="105"/>
      <c r="O5430" s="11"/>
      <c r="P5430" s="11"/>
      <c r="Q5430" s="105"/>
      <c r="R5430" s="105"/>
      <c r="S5430" s="105"/>
      <c r="T5430" s="105"/>
      <c r="U5430" s="105"/>
      <c r="V5430" s="105"/>
      <c r="W5430" s="105"/>
      <c r="X5430" s="11"/>
      <c r="Y5430" s="11"/>
      <c r="Z5430" s="105"/>
      <c r="AA5430" s="11"/>
      <c r="AB5430" s="11"/>
      <c r="AC5430" s="105"/>
      <c r="AD5430" s="11" t="b">
        <v>0</v>
      </c>
      <c r="AE5430" s="105"/>
      <c r="AF5430" s="11"/>
      <c r="AG5430" s="11"/>
      <c r="AH5430" s="11"/>
      <c r="AI5430" s="11"/>
    </row>
    <row r="5431" ht="12.5" spans="3:35">
      <c r="C5431" s="19"/>
      <c r="D5431" s="19"/>
      <c r="H5431" s="105"/>
      <c r="I5431" s="126"/>
      <c r="J5431" s="11"/>
      <c r="K5431" s="108"/>
      <c r="L5431" s="11"/>
      <c r="M5431" s="105"/>
      <c r="N5431" s="105"/>
      <c r="O5431" s="11"/>
      <c r="P5431" s="11"/>
      <c r="Q5431" s="105"/>
      <c r="R5431" s="105"/>
      <c r="S5431" s="105"/>
      <c r="T5431" s="105"/>
      <c r="U5431" s="105"/>
      <c r="V5431" s="105"/>
      <c r="W5431" s="105"/>
      <c r="X5431" s="11"/>
      <c r="Y5431" s="11"/>
      <c r="Z5431" s="105"/>
      <c r="AA5431" s="11"/>
      <c r="AB5431" s="11"/>
      <c r="AC5431" s="105"/>
      <c r="AD5431" s="11" t="b">
        <v>0</v>
      </c>
      <c r="AE5431" s="105"/>
      <c r="AF5431" s="11"/>
      <c r="AG5431" s="11"/>
      <c r="AH5431" s="11"/>
      <c r="AI5431" s="11"/>
    </row>
    <row r="5432" ht="12.5" spans="3:35">
      <c r="C5432" s="19"/>
      <c r="D5432" s="19"/>
      <c r="H5432" s="105"/>
      <c r="I5432" s="126"/>
      <c r="J5432" s="11"/>
      <c r="K5432" s="108"/>
      <c r="L5432" s="11"/>
      <c r="M5432" s="105"/>
      <c r="N5432" s="105"/>
      <c r="O5432" s="11"/>
      <c r="P5432" s="11"/>
      <c r="Q5432" s="105"/>
      <c r="R5432" s="105"/>
      <c r="S5432" s="105"/>
      <c r="T5432" s="105"/>
      <c r="U5432" s="105"/>
      <c r="V5432" s="105"/>
      <c r="W5432" s="105"/>
      <c r="X5432" s="11"/>
      <c r="Y5432" s="11"/>
      <c r="Z5432" s="105"/>
      <c r="AA5432" s="11"/>
      <c r="AB5432" s="11"/>
      <c r="AC5432" s="105"/>
      <c r="AD5432" s="11" t="b">
        <v>0</v>
      </c>
      <c r="AE5432" s="105"/>
      <c r="AF5432" s="11"/>
      <c r="AG5432" s="11"/>
      <c r="AH5432" s="11"/>
      <c r="AI5432" s="11"/>
    </row>
    <row r="5433" ht="12.5" spans="3:35">
      <c r="C5433" s="19"/>
      <c r="D5433" s="19"/>
      <c r="H5433" s="105"/>
      <c r="I5433" s="126"/>
      <c r="J5433" s="11"/>
      <c r="K5433" s="108"/>
      <c r="L5433" s="11"/>
      <c r="M5433" s="105"/>
      <c r="N5433" s="105"/>
      <c r="O5433" s="11"/>
      <c r="P5433" s="11"/>
      <c r="Q5433" s="105"/>
      <c r="R5433" s="105"/>
      <c r="S5433" s="105"/>
      <c r="T5433" s="105"/>
      <c r="U5433" s="105"/>
      <c r="V5433" s="105"/>
      <c r="W5433" s="105"/>
      <c r="X5433" s="11"/>
      <c r="Y5433" s="11"/>
      <c r="Z5433" s="105"/>
      <c r="AA5433" s="11"/>
      <c r="AB5433" s="11"/>
      <c r="AC5433" s="105"/>
      <c r="AD5433" s="11" t="b">
        <v>0</v>
      </c>
      <c r="AE5433" s="105"/>
      <c r="AF5433" s="11"/>
      <c r="AG5433" s="11"/>
      <c r="AH5433" s="11"/>
      <c r="AI5433" s="11"/>
    </row>
    <row r="5434" ht="12.5" spans="3:35">
      <c r="C5434" s="19"/>
      <c r="D5434" s="19"/>
      <c r="H5434" s="105"/>
      <c r="I5434" s="126"/>
      <c r="J5434" s="11"/>
      <c r="K5434" s="108"/>
      <c r="L5434" s="11"/>
      <c r="M5434" s="105"/>
      <c r="N5434" s="105"/>
      <c r="O5434" s="11"/>
      <c r="P5434" s="11"/>
      <c r="Q5434" s="105"/>
      <c r="R5434" s="105"/>
      <c r="S5434" s="105"/>
      <c r="T5434" s="105"/>
      <c r="U5434" s="105"/>
      <c r="V5434" s="105"/>
      <c r="W5434" s="105"/>
      <c r="X5434" s="11"/>
      <c r="Y5434" s="11"/>
      <c r="Z5434" s="105"/>
      <c r="AA5434" s="11"/>
      <c r="AB5434" s="11"/>
      <c r="AC5434" s="105"/>
      <c r="AD5434" s="11" t="b">
        <v>0</v>
      </c>
      <c r="AE5434" s="105"/>
      <c r="AF5434" s="11"/>
      <c r="AG5434" s="11"/>
      <c r="AH5434" s="11"/>
      <c r="AI5434" s="11"/>
    </row>
    <row r="5435" ht="12.5" spans="3:35">
      <c r="C5435" s="19"/>
      <c r="D5435" s="19"/>
      <c r="H5435" s="105"/>
      <c r="I5435" s="126"/>
      <c r="J5435" s="11"/>
      <c r="K5435" s="108"/>
      <c r="L5435" s="11"/>
      <c r="M5435" s="105"/>
      <c r="N5435" s="105"/>
      <c r="O5435" s="11"/>
      <c r="P5435" s="11"/>
      <c r="Q5435" s="105"/>
      <c r="R5435" s="105"/>
      <c r="S5435" s="105"/>
      <c r="T5435" s="105"/>
      <c r="U5435" s="105"/>
      <c r="V5435" s="105"/>
      <c r="W5435" s="105"/>
      <c r="X5435" s="11"/>
      <c r="Y5435" s="11"/>
      <c r="Z5435" s="105"/>
      <c r="AA5435" s="11"/>
      <c r="AB5435" s="11"/>
      <c r="AC5435" s="105"/>
      <c r="AD5435" s="11" t="b">
        <v>0</v>
      </c>
      <c r="AE5435" s="105"/>
      <c r="AF5435" s="11"/>
      <c r="AG5435" s="11"/>
      <c r="AH5435" s="11"/>
      <c r="AI5435" s="11"/>
    </row>
    <row r="5436" ht="12.5" spans="3:35">
      <c r="C5436" s="19"/>
      <c r="D5436" s="19"/>
      <c r="H5436" s="105"/>
      <c r="I5436" s="126"/>
      <c r="J5436" s="11"/>
      <c r="K5436" s="108"/>
      <c r="L5436" s="11"/>
      <c r="M5436" s="105"/>
      <c r="N5436" s="105"/>
      <c r="O5436" s="11"/>
      <c r="P5436" s="11"/>
      <c r="Q5436" s="105"/>
      <c r="R5436" s="105"/>
      <c r="S5436" s="105"/>
      <c r="T5436" s="105"/>
      <c r="U5436" s="105"/>
      <c r="V5436" s="105"/>
      <c r="W5436" s="105"/>
      <c r="X5436" s="11"/>
      <c r="Y5436" s="11"/>
      <c r="Z5436" s="105"/>
      <c r="AA5436" s="11"/>
      <c r="AB5436" s="11"/>
      <c r="AC5436" s="105"/>
      <c r="AD5436" s="11" t="b">
        <v>0</v>
      </c>
      <c r="AE5436" s="105"/>
      <c r="AF5436" s="11"/>
      <c r="AG5436" s="11"/>
      <c r="AH5436" s="11"/>
      <c r="AI5436" s="11"/>
    </row>
    <row r="5437" ht="12.5" spans="3:35">
      <c r="C5437" s="19"/>
      <c r="D5437" s="19"/>
      <c r="H5437" s="105"/>
      <c r="I5437" s="126"/>
      <c r="J5437" s="11"/>
      <c r="K5437" s="108"/>
      <c r="L5437" s="11"/>
      <c r="M5437" s="105"/>
      <c r="N5437" s="105"/>
      <c r="O5437" s="11"/>
      <c r="P5437" s="11"/>
      <c r="Q5437" s="105"/>
      <c r="R5437" s="105"/>
      <c r="S5437" s="105"/>
      <c r="T5437" s="105"/>
      <c r="U5437" s="105"/>
      <c r="V5437" s="105"/>
      <c r="W5437" s="105"/>
      <c r="X5437" s="11"/>
      <c r="Y5437" s="11"/>
      <c r="Z5437" s="105"/>
      <c r="AA5437" s="11"/>
      <c r="AB5437" s="11"/>
      <c r="AC5437" s="105"/>
      <c r="AD5437" s="11" t="b">
        <v>0</v>
      </c>
      <c r="AE5437" s="105"/>
      <c r="AF5437" s="11"/>
      <c r="AG5437" s="11"/>
      <c r="AH5437" s="11"/>
      <c r="AI5437" s="11"/>
    </row>
    <row r="5438" ht="12.5" spans="3:35">
      <c r="C5438" s="19"/>
      <c r="D5438" s="19"/>
      <c r="H5438" s="105"/>
      <c r="I5438" s="126"/>
      <c r="J5438" s="11"/>
      <c r="K5438" s="108"/>
      <c r="L5438" s="11"/>
      <c r="M5438" s="105"/>
      <c r="N5438" s="105"/>
      <c r="O5438" s="11"/>
      <c r="P5438" s="11"/>
      <c r="Q5438" s="105"/>
      <c r="R5438" s="105"/>
      <c r="S5438" s="105"/>
      <c r="T5438" s="105"/>
      <c r="U5438" s="105"/>
      <c r="V5438" s="105"/>
      <c r="W5438" s="105"/>
      <c r="X5438" s="11"/>
      <c r="Y5438" s="11"/>
      <c r="Z5438" s="105"/>
      <c r="AA5438" s="11"/>
      <c r="AB5438" s="11"/>
      <c r="AC5438" s="105"/>
      <c r="AD5438" s="11" t="b">
        <v>0</v>
      </c>
      <c r="AE5438" s="105"/>
      <c r="AF5438" s="11"/>
      <c r="AG5438" s="11"/>
      <c r="AH5438" s="11"/>
      <c r="AI5438" s="11"/>
    </row>
    <row r="5439" ht="12.5" spans="3:35">
      <c r="C5439" s="19"/>
      <c r="D5439" s="19"/>
      <c r="H5439" s="105"/>
      <c r="I5439" s="126"/>
      <c r="J5439" s="11"/>
      <c r="K5439" s="108"/>
      <c r="L5439" s="11"/>
      <c r="M5439" s="105"/>
      <c r="N5439" s="105"/>
      <c r="O5439" s="11"/>
      <c r="P5439" s="11"/>
      <c r="Q5439" s="105"/>
      <c r="R5439" s="105"/>
      <c r="S5439" s="105"/>
      <c r="T5439" s="105"/>
      <c r="U5439" s="105"/>
      <c r="V5439" s="105"/>
      <c r="W5439" s="105"/>
      <c r="X5439" s="11"/>
      <c r="Y5439" s="11"/>
      <c r="Z5439" s="105"/>
      <c r="AA5439" s="11"/>
      <c r="AB5439" s="11"/>
      <c r="AC5439" s="105"/>
      <c r="AD5439" s="11" t="b">
        <v>0</v>
      </c>
      <c r="AE5439" s="105"/>
      <c r="AF5439" s="11"/>
      <c r="AG5439" s="11"/>
      <c r="AH5439" s="11"/>
      <c r="AI5439" s="11"/>
    </row>
    <row r="5440" ht="12.5" spans="3:35">
      <c r="C5440" s="19"/>
      <c r="D5440" s="19"/>
      <c r="H5440" s="105"/>
      <c r="I5440" s="126"/>
      <c r="J5440" s="11"/>
      <c r="K5440" s="108"/>
      <c r="L5440" s="11"/>
      <c r="M5440" s="105"/>
      <c r="N5440" s="105"/>
      <c r="O5440" s="11"/>
      <c r="P5440" s="11"/>
      <c r="Q5440" s="105"/>
      <c r="R5440" s="105"/>
      <c r="S5440" s="105"/>
      <c r="T5440" s="105"/>
      <c r="U5440" s="105"/>
      <c r="V5440" s="105"/>
      <c r="W5440" s="105"/>
      <c r="X5440" s="11"/>
      <c r="Y5440" s="11"/>
      <c r="Z5440" s="105"/>
      <c r="AA5440" s="11"/>
      <c r="AB5440" s="11"/>
      <c r="AC5440" s="105"/>
      <c r="AD5440" s="11" t="b">
        <v>0</v>
      </c>
      <c r="AE5440" s="105"/>
      <c r="AF5440" s="11"/>
      <c r="AG5440" s="11"/>
      <c r="AH5440" s="11"/>
      <c r="AI5440" s="11"/>
    </row>
    <row r="5441" ht="12.5" spans="3:35">
      <c r="C5441" s="19"/>
      <c r="D5441" s="19"/>
      <c r="H5441" s="105"/>
      <c r="I5441" s="126"/>
      <c r="J5441" s="11"/>
      <c r="K5441" s="108"/>
      <c r="L5441" s="11"/>
      <c r="M5441" s="105"/>
      <c r="N5441" s="105"/>
      <c r="O5441" s="11"/>
      <c r="P5441" s="11"/>
      <c r="Q5441" s="105"/>
      <c r="R5441" s="105"/>
      <c r="S5441" s="105"/>
      <c r="T5441" s="105"/>
      <c r="U5441" s="105"/>
      <c r="V5441" s="105"/>
      <c r="W5441" s="105"/>
      <c r="X5441" s="11"/>
      <c r="Y5441" s="11"/>
      <c r="Z5441" s="105"/>
      <c r="AA5441" s="11"/>
      <c r="AB5441" s="11"/>
      <c r="AC5441" s="105"/>
      <c r="AD5441" s="11" t="b">
        <v>0</v>
      </c>
      <c r="AE5441" s="105"/>
      <c r="AF5441" s="11"/>
      <c r="AG5441" s="11"/>
      <c r="AH5441" s="11"/>
      <c r="AI5441" s="11"/>
    </row>
    <row r="5442" ht="12.5" spans="3:35">
      <c r="C5442" s="19"/>
      <c r="D5442" s="19"/>
      <c r="H5442" s="105"/>
      <c r="I5442" s="126"/>
      <c r="J5442" s="11"/>
      <c r="K5442" s="108"/>
      <c r="L5442" s="11"/>
      <c r="M5442" s="105"/>
      <c r="N5442" s="105"/>
      <c r="O5442" s="11"/>
      <c r="P5442" s="11"/>
      <c r="Q5442" s="105"/>
      <c r="R5442" s="105"/>
      <c r="S5442" s="105"/>
      <c r="T5442" s="105"/>
      <c r="U5442" s="105"/>
      <c r="V5442" s="105"/>
      <c r="W5442" s="105"/>
      <c r="X5442" s="11"/>
      <c r="Y5442" s="11"/>
      <c r="Z5442" s="105"/>
      <c r="AA5442" s="11"/>
      <c r="AB5442" s="11"/>
      <c r="AC5442" s="105"/>
      <c r="AD5442" s="11" t="b">
        <v>0</v>
      </c>
      <c r="AE5442" s="105"/>
      <c r="AF5442" s="11"/>
      <c r="AG5442" s="11"/>
      <c r="AH5442" s="11"/>
      <c r="AI5442" s="11"/>
    </row>
    <row r="5443" ht="12.5" spans="3:35">
      <c r="C5443" s="19"/>
      <c r="D5443" s="19"/>
      <c r="H5443" s="105"/>
      <c r="I5443" s="126"/>
      <c r="J5443" s="11"/>
      <c r="K5443" s="108"/>
      <c r="L5443" s="11"/>
      <c r="M5443" s="105"/>
      <c r="N5443" s="105"/>
      <c r="O5443" s="11"/>
      <c r="P5443" s="11"/>
      <c r="Q5443" s="105"/>
      <c r="R5443" s="105"/>
      <c r="S5443" s="105"/>
      <c r="T5443" s="105"/>
      <c r="U5443" s="105"/>
      <c r="V5443" s="105"/>
      <c r="W5443" s="105"/>
      <c r="X5443" s="11"/>
      <c r="Y5443" s="11"/>
      <c r="Z5443" s="105"/>
      <c r="AA5443" s="11"/>
      <c r="AB5443" s="11"/>
      <c r="AC5443" s="105"/>
      <c r="AD5443" s="11" t="b">
        <v>0</v>
      </c>
      <c r="AE5443" s="105"/>
      <c r="AF5443" s="11"/>
      <c r="AG5443" s="11"/>
      <c r="AH5443" s="11"/>
      <c r="AI5443" s="11"/>
    </row>
    <row r="5444" ht="12.5" spans="3:35">
      <c r="C5444" s="19"/>
      <c r="D5444" s="19"/>
      <c r="H5444" s="105"/>
      <c r="I5444" s="126"/>
      <c r="J5444" s="11"/>
      <c r="K5444" s="108"/>
      <c r="L5444" s="11"/>
      <c r="M5444" s="105"/>
      <c r="N5444" s="105"/>
      <c r="O5444" s="11"/>
      <c r="P5444" s="11"/>
      <c r="Q5444" s="105"/>
      <c r="R5444" s="105"/>
      <c r="S5444" s="105"/>
      <c r="T5444" s="105"/>
      <c r="U5444" s="105"/>
      <c r="V5444" s="105"/>
      <c r="W5444" s="105"/>
      <c r="X5444" s="11"/>
      <c r="Y5444" s="11"/>
      <c r="Z5444" s="105"/>
      <c r="AA5444" s="11"/>
      <c r="AB5444" s="11"/>
      <c r="AC5444" s="105"/>
      <c r="AD5444" s="11" t="b">
        <v>0</v>
      </c>
      <c r="AE5444" s="105"/>
      <c r="AF5444" s="11"/>
      <c r="AG5444" s="11"/>
      <c r="AH5444" s="11"/>
      <c r="AI5444" s="11"/>
    </row>
    <row r="5445" ht="12.5" spans="3:35">
      <c r="C5445" s="19"/>
      <c r="D5445" s="19"/>
      <c r="H5445" s="105"/>
      <c r="I5445" s="126"/>
      <c r="J5445" s="11"/>
      <c r="K5445" s="108"/>
      <c r="L5445" s="11"/>
      <c r="M5445" s="105"/>
      <c r="N5445" s="105"/>
      <c r="O5445" s="11"/>
      <c r="P5445" s="11"/>
      <c r="Q5445" s="105"/>
      <c r="R5445" s="105"/>
      <c r="S5445" s="105"/>
      <c r="T5445" s="105"/>
      <c r="U5445" s="105"/>
      <c r="V5445" s="105"/>
      <c r="W5445" s="105"/>
      <c r="X5445" s="11"/>
      <c r="Y5445" s="11"/>
      <c r="Z5445" s="105"/>
      <c r="AA5445" s="11"/>
      <c r="AB5445" s="11"/>
      <c r="AC5445" s="105"/>
      <c r="AD5445" s="11" t="b">
        <v>0</v>
      </c>
      <c r="AE5445" s="105"/>
      <c r="AF5445" s="11"/>
      <c r="AG5445" s="11"/>
      <c r="AH5445" s="11"/>
      <c r="AI5445" s="11"/>
    </row>
    <row r="5446" ht="12.5" spans="3:35">
      <c r="C5446" s="19"/>
      <c r="D5446" s="19"/>
      <c r="H5446" s="105"/>
      <c r="I5446" s="126"/>
      <c r="J5446" s="11"/>
      <c r="K5446" s="108"/>
      <c r="L5446" s="11"/>
      <c r="M5446" s="105"/>
      <c r="N5446" s="105"/>
      <c r="O5446" s="11"/>
      <c r="P5446" s="11"/>
      <c r="Q5446" s="105"/>
      <c r="R5446" s="105"/>
      <c r="S5446" s="105"/>
      <c r="T5446" s="105"/>
      <c r="U5446" s="105"/>
      <c r="V5446" s="105"/>
      <c r="W5446" s="105"/>
      <c r="X5446" s="11"/>
      <c r="Y5446" s="11"/>
      <c r="Z5446" s="105"/>
      <c r="AA5446" s="11"/>
      <c r="AB5446" s="11"/>
      <c r="AC5446" s="105"/>
      <c r="AD5446" s="11" t="b">
        <v>0</v>
      </c>
      <c r="AE5446" s="105"/>
      <c r="AF5446" s="11"/>
      <c r="AG5446" s="11"/>
      <c r="AH5446" s="11"/>
      <c r="AI5446" s="11"/>
    </row>
    <row r="5447" ht="12.5" spans="3:35">
      <c r="C5447" s="19"/>
      <c r="D5447" s="19"/>
      <c r="H5447" s="105"/>
      <c r="I5447" s="126"/>
      <c r="J5447" s="11"/>
      <c r="K5447" s="108"/>
      <c r="L5447" s="11"/>
      <c r="M5447" s="105"/>
      <c r="N5447" s="105"/>
      <c r="O5447" s="11"/>
      <c r="P5447" s="11"/>
      <c r="Q5447" s="105"/>
      <c r="R5447" s="105"/>
      <c r="S5447" s="105"/>
      <c r="T5447" s="105"/>
      <c r="U5447" s="105"/>
      <c r="V5447" s="105"/>
      <c r="W5447" s="105"/>
      <c r="X5447" s="11"/>
      <c r="Y5447" s="11"/>
      <c r="Z5447" s="105"/>
      <c r="AA5447" s="11"/>
      <c r="AB5447" s="11"/>
      <c r="AC5447" s="105"/>
      <c r="AD5447" s="11" t="b">
        <v>0</v>
      </c>
      <c r="AE5447" s="105"/>
      <c r="AF5447" s="11"/>
      <c r="AG5447" s="11"/>
      <c r="AH5447" s="11"/>
      <c r="AI5447" s="11"/>
    </row>
    <row r="5448" ht="12.5" spans="3:35">
      <c r="C5448" s="19"/>
      <c r="D5448" s="19"/>
      <c r="H5448" s="105"/>
      <c r="I5448" s="126"/>
      <c r="J5448" s="11"/>
      <c r="K5448" s="108"/>
      <c r="L5448" s="11"/>
      <c r="M5448" s="105"/>
      <c r="N5448" s="105"/>
      <c r="O5448" s="11"/>
      <c r="P5448" s="11"/>
      <c r="Q5448" s="105"/>
      <c r="R5448" s="105"/>
      <c r="S5448" s="105"/>
      <c r="T5448" s="105"/>
      <c r="U5448" s="105"/>
      <c r="V5448" s="105"/>
      <c r="W5448" s="105"/>
      <c r="X5448" s="11"/>
      <c r="Y5448" s="11"/>
      <c r="Z5448" s="105"/>
      <c r="AA5448" s="11"/>
      <c r="AB5448" s="11"/>
      <c r="AC5448" s="105"/>
      <c r="AD5448" s="11" t="b">
        <v>0</v>
      </c>
      <c r="AE5448" s="105"/>
      <c r="AF5448" s="11"/>
      <c r="AG5448" s="11"/>
      <c r="AH5448" s="11"/>
      <c r="AI5448" s="11"/>
    </row>
    <row r="5449" ht="12.5" spans="3:35">
      <c r="C5449" s="19"/>
      <c r="D5449" s="19"/>
      <c r="H5449" s="105"/>
      <c r="I5449" s="126"/>
      <c r="J5449" s="11"/>
      <c r="K5449" s="108"/>
      <c r="L5449" s="11"/>
      <c r="M5449" s="105"/>
      <c r="N5449" s="105"/>
      <c r="O5449" s="11"/>
      <c r="P5449" s="11"/>
      <c r="Q5449" s="105"/>
      <c r="R5449" s="105"/>
      <c r="S5449" s="105"/>
      <c r="T5449" s="105"/>
      <c r="U5449" s="105"/>
      <c r="V5449" s="105"/>
      <c r="W5449" s="105"/>
      <c r="X5449" s="11"/>
      <c r="Y5449" s="11"/>
      <c r="Z5449" s="105"/>
      <c r="AA5449" s="11"/>
      <c r="AB5449" s="11"/>
      <c r="AC5449" s="105"/>
      <c r="AD5449" s="11" t="b">
        <v>0</v>
      </c>
      <c r="AE5449" s="105"/>
      <c r="AF5449" s="11"/>
      <c r="AG5449" s="11"/>
      <c r="AH5449" s="11"/>
      <c r="AI5449" s="11"/>
    </row>
    <row r="5450" ht="12.5" spans="3:35">
      <c r="C5450" s="19"/>
      <c r="D5450" s="19"/>
      <c r="H5450" s="105"/>
      <c r="I5450" s="126"/>
      <c r="J5450" s="11"/>
      <c r="K5450" s="108"/>
      <c r="L5450" s="11"/>
      <c r="M5450" s="105"/>
      <c r="N5450" s="105"/>
      <c r="O5450" s="11"/>
      <c r="P5450" s="11"/>
      <c r="Q5450" s="105"/>
      <c r="R5450" s="105"/>
      <c r="S5450" s="105"/>
      <c r="T5450" s="105"/>
      <c r="U5450" s="105"/>
      <c r="V5450" s="105"/>
      <c r="W5450" s="105"/>
      <c r="X5450" s="11"/>
      <c r="Y5450" s="11"/>
      <c r="Z5450" s="105"/>
      <c r="AA5450" s="11"/>
      <c r="AB5450" s="11"/>
      <c r="AC5450" s="105"/>
      <c r="AD5450" s="11" t="b">
        <v>0</v>
      </c>
      <c r="AE5450" s="105"/>
      <c r="AF5450" s="11"/>
      <c r="AG5450" s="11"/>
      <c r="AH5450" s="11"/>
      <c r="AI5450" s="11"/>
    </row>
    <row r="5451" ht="12.5" spans="3:35">
      <c r="C5451" s="19"/>
      <c r="D5451" s="19"/>
      <c r="H5451" s="105"/>
      <c r="I5451" s="126"/>
      <c r="J5451" s="11"/>
      <c r="K5451" s="108"/>
      <c r="L5451" s="11"/>
      <c r="M5451" s="105"/>
      <c r="N5451" s="105"/>
      <c r="O5451" s="11"/>
      <c r="P5451" s="11"/>
      <c r="Q5451" s="105"/>
      <c r="R5451" s="105"/>
      <c r="S5451" s="105"/>
      <c r="T5451" s="105"/>
      <c r="U5451" s="105"/>
      <c r="V5451" s="105"/>
      <c r="W5451" s="105"/>
      <c r="X5451" s="11"/>
      <c r="Y5451" s="11"/>
      <c r="Z5451" s="105"/>
      <c r="AA5451" s="11"/>
      <c r="AB5451" s="11"/>
      <c r="AC5451" s="105"/>
      <c r="AD5451" s="11" t="b">
        <v>0</v>
      </c>
      <c r="AE5451" s="105"/>
      <c r="AF5451" s="11"/>
      <c r="AG5451" s="11"/>
      <c r="AH5451" s="11"/>
      <c r="AI5451" s="11"/>
    </row>
    <row r="5452" ht="12.5" spans="3:35">
      <c r="C5452" s="19"/>
      <c r="D5452" s="19"/>
      <c r="H5452" s="105"/>
      <c r="I5452" s="126"/>
      <c r="J5452" s="11"/>
      <c r="K5452" s="108"/>
      <c r="L5452" s="11"/>
      <c r="M5452" s="105"/>
      <c r="N5452" s="105"/>
      <c r="O5452" s="11"/>
      <c r="P5452" s="11"/>
      <c r="Q5452" s="105"/>
      <c r="R5452" s="105"/>
      <c r="S5452" s="105"/>
      <c r="T5452" s="105"/>
      <c r="U5452" s="105"/>
      <c r="V5452" s="105"/>
      <c r="W5452" s="105"/>
      <c r="X5452" s="11"/>
      <c r="Y5452" s="11"/>
      <c r="Z5452" s="105"/>
      <c r="AA5452" s="11"/>
      <c r="AB5452" s="11"/>
      <c r="AC5452" s="105"/>
      <c r="AD5452" s="11" t="b">
        <v>0</v>
      </c>
      <c r="AE5452" s="105"/>
      <c r="AF5452" s="11"/>
      <c r="AG5452" s="11"/>
      <c r="AH5452" s="11"/>
      <c r="AI5452" s="11"/>
    </row>
    <row r="5453" ht="12.5" spans="3:35">
      <c r="C5453" s="19"/>
      <c r="D5453" s="19"/>
      <c r="H5453" s="105"/>
      <c r="I5453" s="126"/>
      <c r="J5453" s="11"/>
      <c r="K5453" s="108"/>
      <c r="L5453" s="11"/>
      <c r="M5453" s="105"/>
      <c r="N5453" s="105"/>
      <c r="O5453" s="11"/>
      <c r="P5453" s="11"/>
      <c r="Q5453" s="105"/>
      <c r="R5453" s="105"/>
      <c r="S5453" s="105"/>
      <c r="T5453" s="105"/>
      <c r="U5453" s="105"/>
      <c r="V5453" s="105"/>
      <c r="W5453" s="105"/>
      <c r="X5453" s="11"/>
      <c r="Y5453" s="11"/>
      <c r="Z5453" s="105"/>
      <c r="AA5453" s="11"/>
      <c r="AB5453" s="11"/>
      <c r="AC5453" s="105"/>
      <c r="AD5453" s="11" t="b">
        <v>0</v>
      </c>
      <c r="AE5453" s="105"/>
      <c r="AF5453" s="11"/>
      <c r="AG5453" s="11"/>
      <c r="AH5453" s="11"/>
      <c r="AI5453" s="11"/>
    </row>
    <row r="5454" ht="12.5" spans="3:35">
      <c r="C5454" s="19"/>
      <c r="D5454" s="19"/>
      <c r="H5454" s="105"/>
      <c r="I5454" s="126"/>
      <c r="J5454" s="11"/>
      <c r="K5454" s="108"/>
      <c r="L5454" s="11"/>
      <c r="M5454" s="105"/>
      <c r="N5454" s="105"/>
      <c r="O5454" s="11"/>
      <c r="P5454" s="11"/>
      <c r="Q5454" s="105"/>
      <c r="R5454" s="105"/>
      <c r="S5454" s="105"/>
      <c r="T5454" s="105"/>
      <c r="U5454" s="105"/>
      <c r="V5454" s="105"/>
      <c r="W5454" s="105"/>
      <c r="X5454" s="11"/>
      <c r="Y5454" s="11"/>
      <c r="Z5454" s="105"/>
      <c r="AA5454" s="11"/>
      <c r="AB5454" s="11"/>
      <c r="AC5454" s="105"/>
      <c r="AD5454" s="11" t="b">
        <v>0</v>
      </c>
      <c r="AE5454" s="105"/>
      <c r="AF5454" s="11"/>
      <c r="AG5454" s="11"/>
      <c r="AH5454" s="11"/>
      <c r="AI5454" s="11"/>
    </row>
    <row r="5455" ht="12.5" spans="3:35">
      <c r="C5455" s="19"/>
      <c r="D5455" s="19"/>
      <c r="H5455" s="105"/>
      <c r="I5455" s="126"/>
      <c r="J5455" s="11"/>
      <c r="K5455" s="108"/>
      <c r="L5455" s="11"/>
      <c r="M5455" s="105"/>
      <c r="N5455" s="105"/>
      <c r="O5455" s="11"/>
      <c r="P5455" s="11"/>
      <c r="Q5455" s="105"/>
      <c r="R5455" s="105"/>
      <c r="S5455" s="105"/>
      <c r="T5455" s="105"/>
      <c r="U5455" s="105"/>
      <c r="V5455" s="105"/>
      <c r="W5455" s="105"/>
      <c r="X5455" s="11"/>
      <c r="Y5455" s="11"/>
      <c r="Z5455" s="105"/>
      <c r="AA5455" s="11"/>
      <c r="AB5455" s="11"/>
      <c r="AC5455" s="105"/>
      <c r="AD5455" s="11" t="b">
        <v>0</v>
      </c>
      <c r="AE5455" s="105"/>
      <c r="AF5455" s="11"/>
      <c r="AG5455" s="11"/>
      <c r="AH5455" s="11"/>
      <c r="AI5455" s="11"/>
    </row>
    <row r="5456" ht="12.5" spans="3:35">
      <c r="C5456" s="19"/>
      <c r="D5456" s="19"/>
      <c r="H5456" s="105"/>
      <c r="I5456" s="126"/>
      <c r="J5456" s="11"/>
      <c r="K5456" s="108"/>
      <c r="L5456" s="11"/>
      <c r="M5456" s="105"/>
      <c r="N5456" s="105"/>
      <c r="O5456" s="11"/>
      <c r="P5456" s="11"/>
      <c r="Q5456" s="105"/>
      <c r="R5456" s="105"/>
      <c r="S5456" s="105"/>
      <c r="T5456" s="105"/>
      <c r="U5456" s="105"/>
      <c r="V5456" s="105"/>
      <c r="W5456" s="105"/>
      <c r="X5456" s="11"/>
      <c r="Y5456" s="11"/>
      <c r="Z5456" s="105"/>
      <c r="AA5456" s="11"/>
      <c r="AB5456" s="11"/>
      <c r="AC5456" s="105"/>
      <c r="AD5456" s="11" t="b">
        <v>0</v>
      </c>
      <c r="AE5456" s="105"/>
      <c r="AF5456" s="11"/>
      <c r="AG5456" s="11"/>
      <c r="AH5456" s="11"/>
      <c r="AI5456" s="11"/>
    </row>
    <row r="5457" ht="12.5" spans="3:35">
      <c r="C5457" s="19"/>
      <c r="D5457" s="19"/>
      <c r="H5457" s="105"/>
      <c r="I5457" s="126"/>
      <c r="J5457" s="11"/>
      <c r="K5457" s="108"/>
      <c r="L5457" s="11"/>
      <c r="M5457" s="105"/>
      <c r="N5457" s="105"/>
      <c r="O5457" s="11"/>
      <c r="P5457" s="11"/>
      <c r="Q5457" s="105"/>
      <c r="R5457" s="105"/>
      <c r="S5457" s="105"/>
      <c r="T5457" s="105"/>
      <c r="U5457" s="105"/>
      <c r="V5457" s="105"/>
      <c r="W5457" s="105"/>
      <c r="X5457" s="11"/>
      <c r="Y5457" s="11"/>
      <c r="Z5457" s="105"/>
      <c r="AA5457" s="11"/>
      <c r="AB5457" s="11"/>
      <c r="AC5457" s="105"/>
      <c r="AD5457" s="11" t="b">
        <v>0</v>
      </c>
      <c r="AE5457" s="105"/>
      <c r="AF5457" s="11"/>
      <c r="AG5457" s="11"/>
      <c r="AH5457" s="11"/>
      <c r="AI5457" s="11"/>
    </row>
    <row r="5458" ht="12.5" spans="3:35">
      <c r="C5458" s="19"/>
      <c r="D5458" s="19"/>
      <c r="H5458" s="105"/>
      <c r="I5458" s="126"/>
      <c r="J5458" s="11"/>
      <c r="K5458" s="108"/>
      <c r="L5458" s="11"/>
      <c r="M5458" s="105"/>
      <c r="N5458" s="105"/>
      <c r="O5458" s="11"/>
      <c r="P5458" s="11"/>
      <c r="Q5458" s="105"/>
      <c r="R5458" s="105"/>
      <c r="S5458" s="105"/>
      <c r="T5458" s="105"/>
      <c r="U5458" s="105"/>
      <c r="V5458" s="105"/>
      <c r="W5458" s="105"/>
      <c r="X5458" s="11"/>
      <c r="Y5458" s="11"/>
      <c r="Z5458" s="105"/>
      <c r="AA5458" s="11"/>
      <c r="AB5458" s="11"/>
      <c r="AC5458" s="105"/>
      <c r="AD5458" s="11" t="b">
        <v>0</v>
      </c>
      <c r="AE5458" s="105"/>
      <c r="AF5458" s="11"/>
      <c r="AG5458" s="11"/>
      <c r="AH5458" s="11"/>
      <c r="AI5458" s="11"/>
    </row>
    <row r="5459" ht="12.5" spans="3:35">
      <c r="C5459" s="19"/>
      <c r="D5459" s="19"/>
      <c r="H5459" s="105"/>
      <c r="I5459" s="126"/>
      <c r="J5459" s="11"/>
      <c r="K5459" s="108"/>
      <c r="L5459" s="11"/>
      <c r="M5459" s="105"/>
      <c r="N5459" s="105"/>
      <c r="O5459" s="11"/>
      <c r="P5459" s="11"/>
      <c r="Q5459" s="105"/>
      <c r="R5459" s="105"/>
      <c r="S5459" s="105"/>
      <c r="T5459" s="105"/>
      <c r="U5459" s="105"/>
      <c r="V5459" s="105"/>
      <c r="W5459" s="105"/>
      <c r="X5459" s="11"/>
      <c r="Y5459" s="11"/>
      <c r="Z5459" s="105"/>
      <c r="AA5459" s="11"/>
      <c r="AB5459" s="11"/>
      <c r="AC5459" s="105"/>
      <c r="AD5459" s="11" t="b">
        <v>0</v>
      </c>
      <c r="AE5459" s="105"/>
      <c r="AF5459" s="11"/>
      <c r="AG5459" s="11"/>
      <c r="AH5459" s="11"/>
      <c r="AI5459" s="11"/>
    </row>
    <row r="5460" ht="12.5" spans="3:35">
      <c r="C5460" s="19"/>
      <c r="D5460" s="19"/>
      <c r="H5460" s="105"/>
      <c r="I5460" s="126"/>
      <c r="J5460" s="11"/>
      <c r="K5460" s="108"/>
      <c r="L5460" s="11"/>
      <c r="M5460" s="105"/>
      <c r="N5460" s="105"/>
      <c r="O5460" s="11"/>
      <c r="P5460" s="11"/>
      <c r="Q5460" s="105"/>
      <c r="R5460" s="105"/>
      <c r="S5460" s="105"/>
      <c r="T5460" s="105"/>
      <c r="U5460" s="105"/>
      <c r="V5460" s="105"/>
      <c r="W5460" s="105"/>
      <c r="X5460" s="11"/>
      <c r="Y5460" s="11"/>
      <c r="Z5460" s="105"/>
      <c r="AA5460" s="11"/>
      <c r="AB5460" s="11"/>
      <c r="AC5460" s="105"/>
      <c r="AD5460" s="11" t="b">
        <v>0</v>
      </c>
      <c r="AE5460" s="105"/>
      <c r="AF5460" s="11"/>
      <c r="AG5460" s="11"/>
      <c r="AH5460" s="11"/>
      <c r="AI5460" s="11"/>
    </row>
    <row r="5461" ht="12.5" spans="3:35">
      <c r="C5461" s="19"/>
      <c r="D5461" s="19"/>
      <c r="H5461" s="105"/>
      <c r="I5461" s="126"/>
      <c r="J5461" s="11"/>
      <c r="K5461" s="108"/>
      <c r="L5461" s="11"/>
      <c r="M5461" s="105"/>
      <c r="N5461" s="105"/>
      <c r="O5461" s="11"/>
      <c r="P5461" s="11"/>
      <c r="Q5461" s="105"/>
      <c r="R5461" s="105"/>
      <c r="S5461" s="105"/>
      <c r="T5461" s="105"/>
      <c r="U5461" s="105"/>
      <c r="V5461" s="105"/>
      <c r="W5461" s="105"/>
      <c r="X5461" s="11"/>
      <c r="Y5461" s="11"/>
      <c r="Z5461" s="105"/>
      <c r="AA5461" s="11"/>
      <c r="AB5461" s="11"/>
      <c r="AC5461" s="105"/>
      <c r="AD5461" s="11" t="b">
        <v>0</v>
      </c>
      <c r="AE5461" s="105"/>
      <c r="AF5461" s="11"/>
      <c r="AG5461" s="11"/>
      <c r="AH5461" s="11"/>
      <c r="AI5461" s="11"/>
    </row>
    <row r="5462" ht="12.5" spans="3:35">
      <c r="C5462" s="19"/>
      <c r="D5462" s="19"/>
      <c r="H5462" s="105"/>
      <c r="I5462" s="126"/>
      <c r="J5462" s="11"/>
      <c r="K5462" s="108"/>
      <c r="L5462" s="11"/>
      <c r="M5462" s="105"/>
      <c r="N5462" s="105"/>
      <c r="O5462" s="11"/>
      <c r="P5462" s="11"/>
      <c r="Q5462" s="105"/>
      <c r="R5462" s="105"/>
      <c r="S5462" s="105"/>
      <c r="T5462" s="105"/>
      <c r="U5462" s="105"/>
      <c r="V5462" s="105"/>
      <c r="W5462" s="105"/>
      <c r="X5462" s="11"/>
      <c r="Y5462" s="11"/>
      <c r="Z5462" s="105"/>
      <c r="AA5462" s="11"/>
      <c r="AB5462" s="11"/>
      <c r="AC5462" s="105"/>
      <c r="AD5462" s="11" t="b">
        <v>0</v>
      </c>
      <c r="AE5462" s="105"/>
      <c r="AF5462" s="11"/>
      <c r="AG5462" s="11"/>
      <c r="AH5462" s="11"/>
      <c r="AI5462" s="11"/>
    </row>
    <row r="5463" ht="12.5" spans="3:35">
      <c r="C5463" s="19"/>
      <c r="D5463" s="19"/>
      <c r="H5463" s="105"/>
      <c r="I5463" s="126"/>
      <c r="J5463" s="11"/>
      <c r="K5463" s="108"/>
      <c r="L5463" s="11"/>
      <c r="M5463" s="105"/>
      <c r="N5463" s="105"/>
      <c r="O5463" s="11"/>
      <c r="P5463" s="11"/>
      <c r="Q5463" s="105"/>
      <c r="R5463" s="105"/>
      <c r="S5463" s="105"/>
      <c r="T5463" s="105"/>
      <c r="U5463" s="105"/>
      <c r="V5463" s="105"/>
      <c r="W5463" s="105"/>
      <c r="X5463" s="11"/>
      <c r="Y5463" s="11"/>
      <c r="Z5463" s="105"/>
      <c r="AA5463" s="11"/>
      <c r="AB5463" s="11"/>
      <c r="AC5463" s="105"/>
      <c r="AD5463" s="11" t="b">
        <v>0</v>
      </c>
      <c r="AE5463" s="105"/>
      <c r="AF5463" s="11"/>
      <c r="AG5463" s="11"/>
      <c r="AH5463" s="11"/>
      <c r="AI5463" s="11"/>
    </row>
    <row r="5464" ht="12.5" spans="3:35">
      <c r="C5464" s="19"/>
      <c r="D5464" s="19"/>
      <c r="H5464" s="105"/>
      <c r="I5464" s="126"/>
      <c r="J5464" s="11"/>
      <c r="K5464" s="108"/>
      <c r="L5464" s="11"/>
      <c r="M5464" s="105"/>
      <c r="N5464" s="105"/>
      <c r="O5464" s="11"/>
      <c r="P5464" s="11"/>
      <c r="Q5464" s="105"/>
      <c r="R5464" s="105"/>
      <c r="S5464" s="105"/>
      <c r="T5464" s="105"/>
      <c r="U5464" s="105"/>
      <c r="V5464" s="105"/>
      <c r="W5464" s="105"/>
      <c r="X5464" s="11"/>
      <c r="Y5464" s="11"/>
      <c r="Z5464" s="105"/>
      <c r="AA5464" s="11"/>
      <c r="AB5464" s="11"/>
      <c r="AC5464" s="105"/>
      <c r="AD5464" s="11" t="b">
        <v>0</v>
      </c>
      <c r="AE5464" s="105"/>
      <c r="AF5464" s="11"/>
      <c r="AG5464" s="11"/>
      <c r="AH5464" s="11"/>
      <c r="AI5464" s="11"/>
    </row>
    <row r="5465" ht="12.5" spans="3:35">
      <c r="C5465" s="19"/>
      <c r="D5465" s="19"/>
      <c r="H5465" s="105"/>
      <c r="I5465" s="126"/>
      <c r="J5465" s="11"/>
      <c r="K5465" s="108"/>
      <c r="L5465" s="11"/>
      <c r="M5465" s="105"/>
      <c r="N5465" s="105"/>
      <c r="O5465" s="11"/>
      <c r="P5465" s="11"/>
      <c r="Q5465" s="105"/>
      <c r="R5465" s="105"/>
      <c r="S5465" s="105"/>
      <c r="T5465" s="105"/>
      <c r="U5465" s="105"/>
      <c r="V5465" s="105"/>
      <c r="W5465" s="105"/>
      <c r="X5465" s="11"/>
      <c r="Y5465" s="11"/>
      <c r="Z5465" s="105"/>
      <c r="AA5465" s="11"/>
      <c r="AB5465" s="11"/>
      <c r="AC5465" s="105"/>
      <c r="AD5465" s="11" t="b">
        <v>0</v>
      </c>
      <c r="AE5465" s="105"/>
      <c r="AF5465" s="11"/>
      <c r="AG5465" s="11"/>
      <c r="AH5465" s="11"/>
      <c r="AI5465" s="11"/>
    </row>
    <row r="5466" ht="12.5" spans="3:35">
      <c r="C5466" s="19"/>
      <c r="D5466" s="19"/>
      <c r="H5466" s="105"/>
      <c r="I5466" s="126"/>
      <c r="J5466" s="11"/>
      <c r="K5466" s="108"/>
      <c r="L5466" s="11"/>
      <c r="M5466" s="105"/>
      <c r="N5466" s="105"/>
      <c r="O5466" s="11"/>
      <c r="P5466" s="11"/>
      <c r="Q5466" s="105"/>
      <c r="R5466" s="105"/>
      <c r="S5466" s="105"/>
      <c r="T5466" s="105"/>
      <c r="U5466" s="105"/>
      <c r="V5466" s="105"/>
      <c r="W5466" s="105"/>
      <c r="X5466" s="11"/>
      <c r="Y5466" s="11"/>
      <c r="Z5466" s="105"/>
      <c r="AA5466" s="11"/>
      <c r="AB5466" s="11"/>
      <c r="AC5466" s="105"/>
      <c r="AD5466" s="11" t="b">
        <v>0</v>
      </c>
      <c r="AE5466" s="105"/>
      <c r="AF5466" s="11"/>
      <c r="AG5466" s="11"/>
      <c r="AH5466" s="11"/>
      <c r="AI5466" s="11"/>
    </row>
    <row r="5467" ht="12.5" spans="3:35">
      <c r="C5467" s="19"/>
      <c r="D5467" s="19"/>
      <c r="H5467" s="105"/>
      <c r="I5467" s="126"/>
      <c r="J5467" s="11"/>
      <c r="K5467" s="108"/>
      <c r="L5467" s="11"/>
      <c r="M5467" s="105"/>
      <c r="N5467" s="105"/>
      <c r="O5467" s="11"/>
      <c r="P5467" s="11"/>
      <c r="Q5467" s="105"/>
      <c r="R5467" s="105"/>
      <c r="S5467" s="105"/>
      <c r="T5467" s="105"/>
      <c r="U5467" s="105"/>
      <c r="V5467" s="105"/>
      <c r="W5467" s="105"/>
      <c r="X5467" s="11"/>
      <c r="Y5467" s="11"/>
      <c r="Z5467" s="105"/>
      <c r="AA5467" s="11"/>
      <c r="AB5467" s="11"/>
      <c r="AC5467" s="105"/>
      <c r="AD5467" s="11" t="b">
        <v>0</v>
      </c>
      <c r="AE5467" s="105"/>
      <c r="AF5467" s="11"/>
      <c r="AG5467" s="11"/>
      <c r="AH5467" s="11"/>
      <c r="AI5467" s="11"/>
    </row>
    <row r="5468" ht="12.5" spans="3:35">
      <c r="C5468" s="19"/>
      <c r="D5468" s="19"/>
      <c r="H5468" s="105"/>
      <c r="I5468" s="126"/>
      <c r="J5468" s="11"/>
      <c r="K5468" s="108"/>
      <c r="L5468" s="11"/>
      <c r="M5468" s="105"/>
      <c r="N5468" s="105"/>
      <c r="O5468" s="11"/>
      <c r="P5468" s="11"/>
      <c r="Q5468" s="105"/>
      <c r="R5468" s="105"/>
      <c r="S5468" s="105"/>
      <c r="T5468" s="105"/>
      <c r="U5468" s="105"/>
      <c r="V5468" s="105"/>
      <c r="W5468" s="105"/>
      <c r="X5468" s="11"/>
      <c r="Y5468" s="11"/>
      <c r="Z5468" s="105"/>
      <c r="AA5468" s="11"/>
      <c r="AB5468" s="11"/>
      <c r="AC5468" s="105"/>
      <c r="AD5468" s="11" t="b">
        <v>0</v>
      </c>
      <c r="AE5468" s="105"/>
      <c r="AF5468" s="11"/>
      <c r="AG5468" s="11"/>
      <c r="AH5468" s="11"/>
      <c r="AI5468" s="11"/>
    </row>
    <row r="5469" ht="12.5" spans="3:35">
      <c r="C5469" s="19"/>
      <c r="D5469" s="19"/>
      <c r="H5469" s="105"/>
      <c r="I5469" s="126"/>
      <c r="J5469" s="11"/>
      <c r="K5469" s="108"/>
      <c r="L5469" s="11"/>
      <c r="M5469" s="105"/>
      <c r="N5469" s="105"/>
      <c r="O5469" s="11"/>
      <c r="P5469" s="11"/>
      <c r="Q5469" s="105"/>
      <c r="R5469" s="105"/>
      <c r="S5469" s="105"/>
      <c r="T5469" s="105"/>
      <c r="U5469" s="105"/>
      <c r="V5469" s="105"/>
      <c r="W5469" s="105"/>
      <c r="X5469" s="11"/>
      <c r="Y5469" s="11"/>
      <c r="Z5469" s="105"/>
      <c r="AA5469" s="11"/>
      <c r="AB5469" s="11"/>
      <c r="AC5469" s="105"/>
      <c r="AD5469" s="11" t="b">
        <v>0</v>
      </c>
      <c r="AE5469" s="105"/>
      <c r="AF5469" s="11"/>
      <c r="AG5469" s="11"/>
      <c r="AH5469" s="11"/>
      <c r="AI5469" s="11"/>
    </row>
    <row r="5470" ht="12.5" spans="3:35">
      <c r="C5470" s="19"/>
      <c r="D5470" s="19"/>
      <c r="H5470" s="105"/>
      <c r="I5470" s="126"/>
      <c r="J5470" s="11"/>
      <c r="K5470" s="108"/>
      <c r="L5470" s="11"/>
      <c r="M5470" s="105"/>
      <c r="N5470" s="105"/>
      <c r="O5470" s="11"/>
      <c r="P5470" s="11"/>
      <c r="Q5470" s="105"/>
      <c r="R5470" s="105"/>
      <c r="S5470" s="105"/>
      <c r="T5470" s="105"/>
      <c r="U5470" s="105"/>
      <c r="V5470" s="105"/>
      <c r="W5470" s="105"/>
      <c r="X5470" s="11"/>
      <c r="Y5470" s="11"/>
      <c r="Z5470" s="105"/>
      <c r="AA5470" s="11"/>
      <c r="AB5470" s="11"/>
      <c r="AC5470" s="105"/>
      <c r="AD5470" s="11" t="b">
        <v>0</v>
      </c>
      <c r="AE5470" s="105"/>
      <c r="AF5470" s="11"/>
      <c r="AG5470" s="11"/>
      <c r="AH5470" s="11"/>
      <c r="AI5470" s="11"/>
    </row>
    <row r="5471" ht="12.5" spans="3:35">
      <c r="C5471" s="19"/>
      <c r="D5471" s="19"/>
      <c r="H5471" s="105"/>
      <c r="I5471" s="126"/>
      <c r="J5471" s="11"/>
      <c r="K5471" s="108"/>
      <c r="L5471" s="11"/>
      <c r="M5471" s="105"/>
      <c r="N5471" s="105"/>
      <c r="O5471" s="11"/>
      <c r="P5471" s="11"/>
      <c r="Q5471" s="105"/>
      <c r="R5471" s="105"/>
      <c r="S5471" s="105"/>
      <c r="T5471" s="105"/>
      <c r="U5471" s="105"/>
      <c r="V5471" s="105"/>
      <c r="W5471" s="105"/>
      <c r="X5471" s="11"/>
      <c r="Y5471" s="11"/>
      <c r="Z5471" s="105"/>
      <c r="AA5471" s="11"/>
      <c r="AB5471" s="11"/>
      <c r="AC5471" s="105"/>
      <c r="AD5471" s="11" t="b">
        <v>0</v>
      </c>
      <c r="AE5471" s="105"/>
      <c r="AF5471" s="11"/>
      <c r="AG5471" s="11"/>
      <c r="AH5471" s="11"/>
      <c r="AI5471" s="11"/>
    </row>
    <row r="5472" ht="12.5" spans="3:35">
      <c r="C5472" s="19"/>
      <c r="D5472" s="19"/>
      <c r="H5472" s="105"/>
      <c r="I5472" s="126"/>
      <c r="J5472" s="11"/>
      <c r="K5472" s="108"/>
      <c r="L5472" s="11"/>
      <c r="M5472" s="105"/>
      <c r="N5472" s="105"/>
      <c r="O5472" s="11"/>
      <c r="P5472" s="11"/>
      <c r="Q5472" s="105"/>
      <c r="R5472" s="105"/>
      <c r="S5472" s="105"/>
      <c r="T5472" s="105"/>
      <c r="U5472" s="105"/>
      <c r="V5472" s="105"/>
      <c r="W5472" s="105"/>
      <c r="X5472" s="11"/>
      <c r="Y5472" s="11"/>
      <c r="Z5472" s="105"/>
      <c r="AA5472" s="11"/>
      <c r="AB5472" s="11"/>
      <c r="AC5472" s="105"/>
      <c r="AD5472" s="11" t="b">
        <v>0</v>
      </c>
      <c r="AE5472" s="105"/>
      <c r="AF5472" s="11"/>
      <c r="AG5472" s="11"/>
      <c r="AH5472" s="11"/>
      <c r="AI5472" s="11"/>
    </row>
    <row r="5473" ht="12.5" spans="3:35">
      <c r="C5473" s="19"/>
      <c r="D5473" s="19"/>
      <c r="H5473" s="105"/>
      <c r="I5473" s="126"/>
      <c r="J5473" s="11"/>
      <c r="K5473" s="108"/>
      <c r="L5473" s="11"/>
      <c r="M5473" s="105"/>
      <c r="N5473" s="105"/>
      <c r="O5473" s="11"/>
      <c r="P5473" s="11"/>
      <c r="Q5473" s="105"/>
      <c r="R5473" s="105"/>
      <c r="S5473" s="105"/>
      <c r="T5473" s="105"/>
      <c r="U5473" s="105"/>
      <c r="V5473" s="105"/>
      <c r="W5473" s="105"/>
      <c r="X5473" s="11"/>
      <c r="Y5473" s="11"/>
      <c r="Z5473" s="105"/>
      <c r="AA5473" s="11"/>
      <c r="AB5473" s="11"/>
      <c r="AC5473" s="105"/>
      <c r="AD5473" s="11" t="b">
        <v>0</v>
      </c>
      <c r="AE5473" s="105"/>
      <c r="AF5473" s="11"/>
      <c r="AG5473" s="11"/>
      <c r="AH5473" s="11"/>
      <c r="AI5473" s="11"/>
    </row>
    <row r="5474" ht="12.5" spans="3:35">
      <c r="C5474" s="19"/>
      <c r="D5474" s="19"/>
      <c r="H5474" s="105"/>
      <c r="I5474" s="126"/>
      <c r="J5474" s="11"/>
      <c r="K5474" s="108"/>
      <c r="L5474" s="11"/>
      <c r="M5474" s="105"/>
      <c r="N5474" s="105"/>
      <c r="O5474" s="11"/>
      <c r="P5474" s="11"/>
      <c r="Q5474" s="105"/>
      <c r="R5474" s="105"/>
      <c r="S5474" s="105"/>
      <c r="T5474" s="105"/>
      <c r="U5474" s="105"/>
      <c r="V5474" s="105"/>
      <c r="W5474" s="105"/>
      <c r="X5474" s="11"/>
      <c r="Y5474" s="11"/>
      <c r="Z5474" s="105"/>
      <c r="AA5474" s="11"/>
      <c r="AB5474" s="11"/>
      <c r="AC5474" s="105"/>
      <c r="AD5474" s="11" t="b">
        <v>0</v>
      </c>
      <c r="AE5474" s="105"/>
      <c r="AF5474" s="11"/>
      <c r="AG5474" s="11"/>
      <c r="AH5474" s="11"/>
      <c r="AI5474" s="11"/>
    </row>
    <row r="5475" ht="12.5" spans="3:35">
      <c r="C5475" s="19"/>
      <c r="D5475" s="19"/>
      <c r="H5475" s="105"/>
      <c r="I5475" s="126"/>
      <c r="J5475" s="11"/>
      <c r="K5475" s="108"/>
      <c r="L5475" s="11"/>
      <c r="M5475" s="105"/>
      <c r="N5475" s="105"/>
      <c r="O5475" s="11"/>
      <c r="P5475" s="11"/>
      <c r="Q5475" s="105"/>
      <c r="R5475" s="105"/>
      <c r="S5475" s="105"/>
      <c r="T5475" s="105"/>
      <c r="U5475" s="105"/>
      <c r="V5475" s="105"/>
      <c r="W5475" s="105"/>
      <c r="X5475" s="11"/>
      <c r="Y5475" s="11"/>
      <c r="Z5475" s="105"/>
      <c r="AA5475" s="11"/>
      <c r="AB5475" s="11"/>
      <c r="AC5475" s="105"/>
      <c r="AD5475" s="11" t="b">
        <v>0</v>
      </c>
      <c r="AE5475" s="105"/>
      <c r="AF5475" s="11"/>
      <c r="AG5475" s="11"/>
      <c r="AH5475" s="11"/>
      <c r="AI5475" s="11"/>
    </row>
    <row r="5476" ht="12.5" spans="3:35">
      <c r="C5476" s="19"/>
      <c r="D5476" s="19"/>
      <c r="H5476" s="105"/>
      <c r="I5476" s="126"/>
      <c r="J5476" s="11"/>
      <c r="K5476" s="108"/>
      <c r="L5476" s="11"/>
      <c r="M5476" s="105"/>
      <c r="N5476" s="105"/>
      <c r="O5476" s="11"/>
      <c r="P5476" s="11"/>
      <c r="Q5476" s="105"/>
      <c r="R5476" s="105"/>
      <c r="S5476" s="105"/>
      <c r="T5476" s="105"/>
      <c r="U5476" s="105"/>
      <c r="V5476" s="105"/>
      <c r="W5476" s="105"/>
      <c r="X5476" s="11"/>
      <c r="Y5476" s="11"/>
      <c r="Z5476" s="105"/>
      <c r="AA5476" s="11"/>
      <c r="AB5476" s="11"/>
      <c r="AC5476" s="105"/>
      <c r="AD5476" s="11" t="b">
        <v>0</v>
      </c>
      <c r="AE5476" s="105"/>
      <c r="AF5476" s="11"/>
      <c r="AG5476" s="11"/>
      <c r="AH5476" s="11"/>
      <c r="AI5476" s="11"/>
    </row>
    <row r="5477" ht="12.5" spans="3:35">
      <c r="C5477" s="19"/>
      <c r="D5477" s="19"/>
      <c r="H5477" s="105"/>
      <c r="I5477" s="126"/>
      <c r="J5477" s="11"/>
      <c r="K5477" s="108"/>
      <c r="L5477" s="11"/>
      <c r="M5477" s="105"/>
      <c r="N5477" s="105"/>
      <c r="O5477" s="11"/>
      <c r="P5477" s="11"/>
      <c r="Q5477" s="105"/>
      <c r="R5477" s="105"/>
      <c r="S5477" s="105"/>
      <c r="T5477" s="105"/>
      <c r="U5477" s="105"/>
      <c r="V5477" s="105"/>
      <c r="W5477" s="105"/>
      <c r="X5477" s="11"/>
      <c r="Y5477" s="11"/>
      <c r="Z5477" s="105"/>
      <c r="AA5477" s="11"/>
      <c r="AB5477" s="11"/>
      <c r="AC5477" s="105"/>
      <c r="AD5477" s="11" t="b">
        <v>0</v>
      </c>
      <c r="AE5477" s="105"/>
      <c r="AF5477" s="11"/>
      <c r="AG5477" s="11"/>
      <c r="AH5477" s="11"/>
      <c r="AI5477" s="11"/>
    </row>
    <row r="5478" ht="12.5" spans="3:35">
      <c r="C5478" s="19"/>
      <c r="D5478" s="19"/>
      <c r="H5478" s="105"/>
      <c r="I5478" s="126"/>
      <c r="J5478" s="11"/>
      <c r="K5478" s="108"/>
      <c r="L5478" s="11"/>
      <c r="M5478" s="105"/>
      <c r="N5478" s="105"/>
      <c r="O5478" s="11"/>
      <c r="P5478" s="11"/>
      <c r="Q5478" s="105"/>
      <c r="R5478" s="105"/>
      <c r="S5478" s="105"/>
      <c r="T5478" s="105"/>
      <c r="U5478" s="105"/>
      <c r="V5478" s="105"/>
      <c r="W5478" s="105"/>
      <c r="X5478" s="11"/>
      <c r="Y5478" s="11"/>
      <c r="Z5478" s="105"/>
      <c r="AA5478" s="11"/>
      <c r="AB5478" s="11"/>
      <c r="AC5478" s="105"/>
      <c r="AD5478" s="11" t="b">
        <v>0</v>
      </c>
      <c r="AE5478" s="105"/>
      <c r="AF5478" s="11"/>
      <c r="AG5478" s="11"/>
      <c r="AH5478" s="11"/>
      <c r="AI5478" s="11"/>
    </row>
    <row r="5479" ht="12.5" spans="3:35">
      <c r="C5479" s="19"/>
      <c r="D5479" s="19"/>
      <c r="H5479" s="105"/>
      <c r="I5479" s="126"/>
      <c r="J5479" s="11"/>
      <c r="K5479" s="108"/>
      <c r="L5479" s="11"/>
      <c r="M5479" s="105"/>
      <c r="N5479" s="105"/>
      <c r="O5479" s="11"/>
      <c r="P5479" s="11"/>
      <c r="Q5479" s="105"/>
      <c r="R5479" s="105"/>
      <c r="S5479" s="105"/>
      <c r="T5479" s="105"/>
      <c r="U5479" s="105"/>
      <c r="V5479" s="105"/>
      <c r="W5479" s="105"/>
      <c r="X5479" s="11"/>
      <c r="Y5479" s="11"/>
      <c r="Z5479" s="105"/>
      <c r="AA5479" s="11"/>
      <c r="AB5479" s="11"/>
      <c r="AC5479" s="105"/>
      <c r="AD5479" s="11" t="b">
        <v>0</v>
      </c>
      <c r="AE5479" s="105"/>
      <c r="AF5479" s="11"/>
      <c r="AG5479" s="11"/>
      <c r="AH5479" s="11"/>
      <c r="AI5479" s="11"/>
    </row>
    <row r="5480" ht="12.5" spans="3:35">
      <c r="C5480" s="19"/>
      <c r="D5480" s="19"/>
      <c r="H5480" s="105"/>
      <c r="I5480" s="126"/>
      <c r="J5480" s="11"/>
      <c r="K5480" s="108"/>
      <c r="L5480" s="11"/>
      <c r="M5480" s="105"/>
      <c r="N5480" s="105"/>
      <c r="O5480" s="11"/>
      <c r="P5480" s="11"/>
      <c r="Q5480" s="105"/>
      <c r="R5480" s="105"/>
      <c r="S5480" s="105"/>
      <c r="T5480" s="105"/>
      <c r="U5480" s="105"/>
      <c r="V5480" s="105"/>
      <c r="W5480" s="105"/>
      <c r="X5480" s="11"/>
      <c r="Y5480" s="11"/>
      <c r="Z5480" s="105"/>
      <c r="AA5480" s="11"/>
      <c r="AB5480" s="11"/>
      <c r="AC5480" s="105"/>
      <c r="AD5480" s="11" t="b">
        <v>0</v>
      </c>
      <c r="AE5480" s="105"/>
      <c r="AF5480" s="11"/>
      <c r="AG5480" s="11"/>
      <c r="AH5480" s="11"/>
      <c r="AI5480" s="11"/>
    </row>
    <row r="5481" ht="12.5" spans="3:35">
      <c r="C5481" s="19"/>
      <c r="D5481" s="19"/>
      <c r="H5481" s="105"/>
      <c r="I5481" s="126"/>
      <c r="J5481" s="11"/>
      <c r="K5481" s="108"/>
      <c r="L5481" s="11"/>
      <c r="M5481" s="105"/>
      <c r="N5481" s="105"/>
      <c r="O5481" s="11"/>
      <c r="P5481" s="11"/>
      <c r="Q5481" s="105"/>
      <c r="R5481" s="105"/>
      <c r="S5481" s="105"/>
      <c r="T5481" s="105"/>
      <c r="U5481" s="105"/>
      <c r="V5481" s="105"/>
      <c r="W5481" s="105"/>
      <c r="X5481" s="11"/>
      <c r="Y5481" s="11"/>
      <c r="Z5481" s="105"/>
      <c r="AA5481" s="11"/>
      <c r="AB5481" s="11"/>
      <c r="AC5481" s="105"/>
      <c r="AD5481" s="11" t="b">
        <v>0</v>
      </c>
      <c r="AE5481" s="105"/>
      <c r="AF5481" s="11"/>
      <c r="AG5481" s="11"/>
      <c r="AH5481" s="11"/>
      <c r="AI5481" s="11"/>
    </row>
    <row r="5482" ht="12.5" spans="3:35">
      <c r="C5482" s="19"/>
      <c r="D5482" s="19"/>
      <c r="H5482" s="105"/>
      <c r="I5482" s="126"/>
      <c r="J5482" s="11"/>
      <c r="K5482" s="108"/>
      <c r="L5482" s="11"/>
      <c r="M5482" s="105"/>
      <c r="N5482" s="105"/>
      <c r="O5482" s="11"/>
      <c r="P5482" s="11"/>
      <c r="Q5482" s="105"/>
      <c r="R5482" s="105"/>
      <c r="S5482" s="105"/>
      <c r="T5482" s="105"/>
      <c r="U5482" s="105"/>
      <c r="V5482" s="105"/>
      <c r="W5482" s="105"/>
      <c r="X5482" s="11"/>
      <c r="Y5482" s="11"/>
      <c r="Z5482" s="105"/>
      <c r="AA5482" s="11"/>
      <c r="AB5482" s="11"/>
      <c r="AC5482" s="105"/>
      <c r="AD5482" s="11" t="b">
        <v>0</v>
      </c>
      <c r="AE5482" s="105"/>
      <c r="AF5482" s="11"/>
      <c r="AG5482" s="11"/>
      <c r="AH5482" s="11"/>
      <c r="AI5482" s="11"/>
    </row>
    <row r="5483" ht="12.5" spans="3:35">
      <c r="C5483" s="19"/>
      <c r="D5483" s="19"/>
      <c r="H5483" s="105"/>
      <c r="I5483" s="126"/>
      <c r="J5483" s="11"/>
      <c r="K5483" s="108"/>
      <c r="L5483" s="11"/>
      <c r="M5483" s="105"/>
      <c r="N5483" s="105"/>
      <c r="O5483" s="11"/>
      <c r="P5483" s="11"/>
      <c r="Q5483" s="105"/>
      <c r="R5483" s="105"/>
      <c r="S5483" s="105"/>
      <c r="T5483" s="105"/>
      <c r="U5483" s="105"/>
      <c r="V5483" s="105"/>
      <c r="W5483" s="105"/>
      <c r="X5483" s="11"/>
      <c r="Y5483" s="11"/>
      <c r="Z5483" s="105"/>
      <c r="AA5483" s="11"/>
      <c r="AB5483" s="11"/>
      <c r="AC5483" s="105"/>
      <c r="AD5483" s="11" t="b">
        <v>0</v>
      </c>
      <c r="AE5483" s="105"/>
      <c r="AF5483" s="11"/>
      <c r="AG5483" s="11"/>
      <c r="AH5483" s="11"/>
      <c r="AI5483" s="11"/>
    </row>
    <row r="5484" ht="12.5" spans="3:35">
      <c r="C5484" s="19"/>
      <c r="D5484" s="19"/>
      <c r="H5484" s="105"/>
      <c r="I5484" s="126"/>
      <c r="J5484" s="11"/>
      <c r="K5484" s="108"/>
      <c r="L5484" s="11"/>
      <c r="M5484" s="105"/>
      <c r="N5484" s="105"/>
      <c r="O5484" s="11"/>
      <c r="P5484" s="11"/>
      <c r="Q5484" s="105"/>
      <c r="R5484" s="105"/>
      <c r="S5484" s="105"/>
      <c r="T5484" s="105"/>
      <c r="U5484" s="105"/>
      <c r="V5484" s="105"/>
      <c r="W5484" s="105"/>
      <c r="X5484" s="11"/>
      <c r="Y5484" s="11"/>
      <c r="Z5484" s="105"/>
      <c r="AA5484" s="11"/>
      <c r="AB5484" s="11"/>
      <c r="AC5484" s="105"/>
      <c r="AD5484" s="11" t="b">
        <v>0</v>
      </c>
      <c r="AE5484" s="105"/>
      <c r="AF5484" s="11"/>
      <c r="AG5484" s="11"/>
      <c r="AH5484" s="11"/>
      <c r="AI5484" s="11"/>
    </row>
    <row r="5485" ht="12.5" spans="3:35">
      <c r="C5485" s="19"/>
      <c r="D5485" s="19"/>
      <c r="H5485" s="105"/>
      <c r="I5485" s="126"/>
      <c r="J5485" s="11"/>
      <c r="K5485" s="108"/>
      <c r="L5485" s="11"/>
      <c r="M5485" s="105"/>
      <c r="N5485" s="105"/>
      <c r="O5485" s="11"/>
      <c r="P5485" s="11"/>
      <c r="Q5485" s="105"/>
      <c r="R5485" s="105"/>
      <c r="S5485" s="105"/>
      <c r="T5485" s="105"/>
      <c r="U5485" s="105"/>
      <c r="V5485" s="105"/>
      <c r="W5485" s="105"/>
      <c r="X5485" s="11"/>
      <c r="Y5485" s="11"/>
      <c r="Z5485" s="105"/>
      <c r="AA5485" s="11"/>
      <c r="AB5485" s="11"/>
      <c r="AC5485" s="105"/>
      <c r="AD5485" s="11" t="b">
        <v>0</v>
      </c>
      <c r="AE5485" s="105"/>
      <c r="AF5485" s="11"/>
      <c r="AG5485" s="11"/>
      <c r="AH5485" s="11"/>
      <c r="AI5485" s="11"/>
    </row>
    <row r="5486" ht="12.5" spans="3:35">
      <c r="C5486" s="19"/>
      <c r="D5486" s="19"/>
      <c r="H5486" s="105"/>
      <c r="I5486" s="126"/>
      <c r="J5486" s="11"/>
      <c r="K5486" s="108"/>
      <c r="L5486" s="11"/>
      <c r="M5486" s="105"/>
      <c r="N5486" s="105"/>
      <c r="O5486" s="11"/>
      <c r="P5486" s="11"/>
      <c r="Q5486" s="105"/>
      <c r="R5486" s="105"/>
      <c r="S5486" s="105"/>
      <c r="T5486" s="105"/>
      <c r="U5486" s="105"/>
      <c r="V5486" s="105"/>
      <c r="W5486" s="105"/>
      <c r="X5486" s="11"/>
      <c r="Y5486" s="11"/>
      <c r="Z5486" s="105"/>
      <c r="AA5486" s="11"/>
      <c r="AB5486" s="11"/>
      <c r="AC5486" s="105"/>
      <c r="AD5486" s="11" t="b">
        <v>0</v>
      </c>
      <c r="AE5486" s="105"/>
      <c r="AF5486" s="11"/>
      <c r="AG5486" s="11"/>
      <c r="AH5486" s="11"/>
      <c r="AI5486" s="11"/>
    </row>
    <row r="5487" ht="12.5" spans="3:35">
      <c r="C5487" s="19"/>
      <c r="D5487" s="19"/>
      <c r="H5487" s="105"/>
      <c r="I5487" s="126"/>
      <c r="J5487" s="11"/>
      <c r="K5487" s="108"/>
      <c r="L5487" s="11"/>
      <c r="M5487" s="105"/>
      <c r="N5487" s="105"/>
      <c r="O5487" s="11"/>
      <c r="P5487" s="11"/>
      <c r="Q5487" s="105"/>
      <c r="R5487" s="105"/>
      <c r="S5487" s="105"/>
      <c r="T5487" s="105"/>
      <c r="U5487" s="105"/>
      <c r="V5487" s="105"/>
      <c r="W5487" s="105"/>
      <c r="X5487" s="11"/>
      <c r="Y5487" s="11"/>
      <c r="Z5487" s="105"/>
      <c r="AA5487" s="11"/>
      <c r="AB5487" s="11"/>
      <c r="AC5487" s="105"/>
      <c r="AD5487" s="11" t="b">
        <v>0</v>
      </c>
      <c r="AE5487" s="105"/>
      <c r="AF5487" s="11"/>
      <c r="AG5487" s="11"/>
      <c r="AH5487" s="11"/>
      <c r="AI5487" s="11"/>
    </row>
    <row r="5488" ht="12.5" spans="3:35">
      <c r="C5488" s="19"/>
      <c r="D5488" s="19"/>
      <c r="H5488" s="105"/>
      <c r="I5488" s="126"/>
      <c r="J5488" s="11"/>
      <c r="K5488" s="108"/>
      <c r="L5488" s="11"/>
      <c r="M5488" s="105"/>
      <c r="N5488" s="105"/>
      <c r="O5488" s="11"/>
      <c r="P5488" s="11"/>
      <c r="Q5488" s="105"/>
      <c r="R5488" s="105"/>
      <c r="S5488" s="105"/>
      <c r="T5488" s="105"/>
      <c r="U5488" s="105"/>
      <c r="V5488" s="105"/>
      <c r="W5488" s="105"/>
      <c r="X5488" s="11"/>
      <c r="Y5488" s="11"/>
      <c r="Z5488" s="105"/>
      <c r="AA5488" s="11"/>
      <c r="AB5488" s="11"/>
      <c r="AC5488" s="105"/>
      <c r="AD5488" s="11" t="b">
        <v>0</v>
      </c>
      <c r="AE5488" s="105"/>
      <c r="AF5488" s="11"/>
      <c r="AG5488" s="11"/>
      <c r="AH5488" s="11"/>
      <c r="AI5488" s="11"/>
    </row>
    <row r="5489" ht="12.5" spans="3:35">
      <c r="C5489" s="19"/>
      <c r="D5489" s="19"/>
      <c r="H5489" s="105"/>
      <c r="I5489" s="126"/>
      <c r="J5489" s="11"/>
      <c r="K5489" s="108"/>
      <c r="L5489" s="11"/>
      <c r="M5489" s="105"/>
      <c r="N5489" s="105"/>
      <c r="O5489" s="11"/>
      <c r="P5489" s="11"/>
      <c r="Q5489" s="105"/>
      <c r="R5489" s="105"/>
      <c r="S5489" s="105"/>
      <c r="T5489" s="105"/>
      <c r="U5489" s="105"/>
      <c r="V5489" s="105"/>
      <c r="W5489" s="105"/>
      <c r="X5489" s="11"/>
      <c r="Y5489" s="11"/>
      <c r="Z5489" s="105"/>
      <c r="AA5489" s="11"/>
      <c r="AB5489" s="11"/>
      <c r="AC5489" s="105"/>
      <c r="AD5489" s="11" t="b">
        <v>0</v>
      </c>
      <c r="AE5489" s="105"/>
      <c r="AF5489" s="11"/>
      <c r="AG5489" s="11"/>
      <c r="AH5489" s="11"/>
      <c r="AI5489" s="11"/>
    </row>
    <row r="5490" ht="12.5" spans="3:35">
      <c r="C5490" s="19"/>
      <c r="D5490" s="19"/>
      <c r="H5490" s="105"/>
      <c r="I5490" s="126"/>
      <c r="J5490" s="11"/>
      <c r="K5490" s="108"/>
      <c r="L5490" s="11"/>
      <c r="M5490" s="105"/>
      <c r="N5490" s="105"/>
      <c r="O5490" s="11"/>
      <c r="P5490" s="11"/>
      <c r="Q5490" s="105"/>
      <c r="R5490" s="105"/>
      <c r="S5490" s="105"/>
      <c r="T5490" s="105"/>
      <c r="U5490" s="105"/>
      <c r="V5490" s="105"/>
      <c r="W5490" s="105"/>
      <c r="X5490" s="11"/>
      <c r="Y5490" s="11"/>
      <c r="Z5490" s="105"/>
      <c r="AA5490" s="11"/>
      <c r="AB5490" s="11"/>
      <c r="AC5490" s="105"/>
      <c r="AD5490" s="11" t="b">
        <v>0</v>
      </c>
      <c r="AE5490" s="105"/>
      <c r="AF5490" s="11"/>
      <c r="AG5490" s="11"/>
      <c r="AH5490" s="11"/>
      <c r="AI5490" s="11"/>
    </row>
    <row r="5491" ht="12.5" spans="3:35">
      <c r="C5491" s="19"/>
      <c r="D5491" s="19"/>
      <c r="H5491" s="105"/>
      <c r="I5491" s="126"/>
      <c r="J5491" s="11"/>
      <c r="K5491" s="108"/>
      <c r="L5491" s="11"/>
      <c r="M5491" s="105"/>
      <c r="N5491" s="105"/>
      <c r="O5491" s="11"/>
      <c r="P5491" s="11"/>
      <c r="Q5491" s="105"/>
      <c r="R5491" s="105"/>
      <c r="S5491" s="105"/>
      <c r="T5491" s="105"/>
      <c r="U5491" s="105"/>
      <c r="V5491" s="105"/>
      <c r="W5491" s="105"/>
      <c r="X5491" s="11"/>
      <c r="Y5491" s="11"/>
      <c r="Z5491" s="105"/>
      <c r="AA5491" s="11"/>
      <c r="AB5491" s="11"/>
      <c r="AC5491" s="105"/>
      <c r="AD5491" s="11" t="b">
        <v>0</v>
      </c>
      <c r="AE5491" s="105"/>
      <c r="AF5491" s="11"/>
      <c r="AG5491" s="11"/>
      <c r="AH5491" s="11"/>
      <c r="AI5491" s="11"/>
    </row>
    <row r="5492" ht="12.5" spans="3:35">
      <c r="C5492" s="19"/>
      <c r="D5492" s="19"/>
      <c r="H5492" s="105"/>
      <c r="I5492" s="126"/>
      <c r="J5492" s="11"/>
      <c r="K5492" s="108"/>
      <c r="L5492" s="11"/>
      <c r="M5492" s="105"/>
      <c r="N5492" s="105"/>
      <c r="O5492" s="11"/>
      <c r="P5492" s="11"/>
      <c r="Q5492" s="105"/>
      <c r="R5492" s="105"/>
      <c r="S5492" s="105"/>
      <c r="T5492" s="105"/>
      <c r="U5492" s="105"/>
      <c r="V5492" s="105"/>
      <c r="W5492" s="105"/>
      <c r="X5492" s="11"/>
      <c r="Y5492" s="11"/>
      <c r="Z5492" s="105"/>
      <c r="AA5492" s="11"/>
      <c r="AB5492" s="11"/>
      <c r="AC5492" s="105"/>
      <c r="AD5492" s="11" t="b">
        <v>0</v>
      </c>
      <c r="AE5492" s="105"/>
      <c r="AF5492" s="11"/>
      <c r="AG5492" s="11"/>
      <c r="AH5492" s="11"/>
      <c r="AI5492" s="11"/>
    </row>
    <row r="5493" ht="12.5" spans="3:35">
      <c r="C5493" s="19"/>
      <c r="D5493" s="19"/>
      <c r="H5493" s="105"/>
      <c r="I5493" s="126"/>
      <c r="J5493" s="11"/>
      <c r="K5493" s="108"/>
      <c r="L5493" s="11"/>
      <c r="M5493" s="105"/>
      <c r="N5493" s="105"/>
      <c r="O5493" s="11"/>
      <c r="P5493" s="11"/>
      <c r="Q5493" s="105"/>
      <c r="R5493" s="105"/>
      <c r="S5493" s="105"/>
      <c r="T5493" s="105"/>
      <c r="U5493" s="105"/>
      <c r="V5493" s="105"/>
      <c r="W5493" s="105"/>
      <c r="X5493" s="11"/>
      <c r="Y5493" s="11"/>
      <c r="Z5493" s="105"/>
      <c r="AA5493" s="11"/>
      <c r="AB5493" s="11"/>
      <c r="AC5493" s="105"/>
      <c r="AD5493" s="11" t="b">
        <v>0</v>
      </c>
      <c r="AE5493" s="105"/>
      <c r="AF5493" s="11"/>
      <c r="AG5493" s="11"/>
      <c r="AH5493" s="11"/>
      <c r="AI5493" s="11"/>
    </row>
    <row r="5494" ht="12.5" spans="3:35">
      <c r="C5494" s="19"/>
      <c r="D5494" s="19"/>
      <c r="H5494" s="105"/>
      <c r="I5494" s="126"/>
      <c r="J5494" s="11"/>
      <c r="K5494" s="108"/>
      <c r="L5494" s="11"/>
      <c r="M5494" s="105"/>
      <c r="N5494" s="105"/>
      <c r="O5494" s="11"/>
      <c r="P5494" s="11"/>
      <c r="Q5494" s="105"/>
      <c r="R5494" s="105"/>
      <c r="S5494" s="105"/>
      <c r="T5494" s="105"/>
      <c r="U5494" s="105"/>
      <c r="V5494" s="105"/>
      <c r="W5494" s="105"/>
      <c r="X5494" s="11"/>
      <c r="Y5494" s="11"/>
      <c r="Z5494" s="105"/>
      <c r="AA5494" s="11"/>
      <c r="AB5494" s="11"/>
      <c r="AC5494" s="105"/>
      <c r="AD5494" s="11" t="b">
        <v>0</v>
      </c>
      <c r="AE5494" s="105"/>
      <c r="AF5494" s="11"/>
      <c r="AG5494" s="11"/>
      <c r="AH5494" s="11"/>
      <c r="AI5494" s="11"/>
    </row>
    <row r="5495" ht="12.5" spans="3:35">
      <c r="C5495" s="19"/>
      <c r="D5495" s="19"/>
      <c r="H5495" s="105"/>
      <c r="I5495" s="126"/>
      <c r="J5495" s="11"/>
      <c r="K5495" s="108"/>
      <c r="L5495" s="11"/>
      <c r="M5495" s="105"/>
      <c r="N5495" s="105"/>
      <c r="O5495" s="11"/>
      <c r="P5495" s="11"/>
      <c r="Q5495" s="105"/>
      <c r="R5495" s="105"/>
      <c r="S5495" s="105"/>
      <c r="T5495" s="105"/>
      <c r="U5495" s="105"/>
      <c r="V5495" s="105"/>
      <c r="W5495" s="105"/>
      <c r="X5495" s="11"/>
      <c r="Y5495" s="11"/>
      <c r="Z5495" s="105"/>
      <c r="AA5495" s="11"/>
      <c r="AB5495" s="11"/>
      <c r="AC5495" s="105"/>
      <c r="AD5495" s="11" t="b">
        <v>0</v>
      </c>
      <c r="AE5495" s="105"/>
      <c r="AF5495" s="11"/>
      <c r="AG5495" s="11"/>
      <c r="AH5495" s="11"/>
      <c r="AI5495" s="11"/>
    </row>
    <row r="5496" ht="12.5" spans="3:35">
      <c r="C5496" s="19"/>
      <c r="D5496" s="19"/>
      <c r="H5496" s="105"/>
      <c r="I5496" s="126"/>
      <c r="J5496" s="11"/>
      <c r="K5496" s="108"/>
      <c r="L5496" s="11"/>
      <c r="M5496" s="105"/>
      <c r="N5496" s="105"/>
      <c r="O5496" s="11"/>
      <c r="P5496" s="11"/>
      <c r="Q5496" s="105"/>
      <c r="R5496" s="105"/>
      <c r="S5496" s="105"/>
      <c r="T5496" s="105"/>
      <c r="U5496" s="105"/>
      <c r="V5496" s="105"/>
      <c r="W5496" s="105"/>
      <c r="X5496" s="11"/>
      <c r="Y5496" s="11"/>
      <c r="Z5496" s="105"/>
      <c r="AA5496" s="11"/>
      <c r="AB5496" s="11"/>
      <c r="AC5496" s="105"/>
      <c r="AD5496" s="11" t="b">
        <v>0</v>
      </c>
      <c r="AE5496" s="105"/>
      <c r="AF5496" s="11"/>
      <c r="AG5496" s="11"/>
      <c r="AH5496" s="11"/>
      <c r="AI5496" s="11"/>
    </row>
    <row r="5497" ht="12.5" spans="3:35">
      <c r="C5497" s="19"/>
      <c r="D5497" s="19"/>
      <c r="H5497" s="105"/>
      <c r="I5497" s="126"/>
      <c r="J5497" s="11"/>
      <c r="K5497" s="108"/>
      <c r="L5497" s="11"/>
      <c r="M5497" s="105"/>
      <c r="N5497" s="105"/>
      <c r="O5497" s="11"/>
      <c r="P5497" s="11"/>
      <c r="Q5497" s="105"/>
      <c r="R5497" s="105"/>
      <c r="S5497" s="105"/>
      <c r="T5497" s="105"/>
      <c r="U5497" s="105"/>
      <c r="V5497" s="105"/>
      <c r="W5497" s="105"/>
      <c r="X5497" s="11"/>
      <c r="Y5497" s="11"/>
      <c r="Z5497" s="105"/>
      <c r="AA5497" s="11"/>
      <c r="AB5497" s="11"/>
      <c r="AC5497" s="105"/>
      <c r="AD5497" s="11" t="b">
        <v>0</v>
      </c>
      <c r="AE5497" s="105"/>
      <c r="AF5497" s="11"/>
      <c r="AG5497" s="11"/>
      <c r="AH5497" s="11"/>
      <c r="AI5497" s="11"/>
    </row>
    <row r="5498" ht="12.5" spans="3:35">
      <c r="C5498" s="19"/>
      <c r="D5498" s="19"/>
      <c r="H5498" s="105"/>
      <c r="I5498" s="126"/>
      <c r="J5498" s="11"/>
      <c r="K5498" s="108"/>
      <c r="L5498" s="11"/>
      <c r="M5498" s="105"/>
      <c r="N5498" s="105"/>
      <c r="O5498" s="11"/>
      <c r="P5498" s="11"/>
      <c r="Q5498" s="105"/>
      <c r="R5498" s="105"/>
      <c r="S5498" s="105"/>
      <c r="T5498" s="105"/>
      <c r="U5498" s="105"/>
      <c r="V5498" s="105"/>
      <c r="W5498" s="105"/>
      <c r="X5498" s="11"/>
      <c r="Y5498" s="11"/>
      <c r="Z5498" s="105"/>
      <c r="AA5498" s="11"/>
      <c r="AB5498" s="11"/>
      <c r="AC5498" s="105"/>
      <c r="AD5498" s="11" t="b">
        <v>0</v>
      </c>
      <c r="AE5498" s="105"/>
      <c r="AF5498" s="11"/>
      <c r="AG5498" s="11"/>
      <c r="AH5498" s="11"/>
      <c r="AI5498" s="11"/>
    </row>
    <row r="5499" ht="12.5" spans="3:35">
      <c r="C5499" s="19"/>
      <c r="D5499" s="19"/>
      <c r="H5499" s="105"/>
      <c r="I5499" s="126"/>
      <c r="J5499" s="11"/>
      <c r="K5499" s="108"/>
      <c r="L5499" s="11"/>
      <c r="M5499" s="105"/>
      <c r="N5499" s="105"/>
      <c r="O5499" s="11"/>
      <c r="P5499" s="11"/>
      <c r="Q5499" s="105"/>
      <c r="R5499" s="105"/>
      <c r="S5499" s="105"/>
      <c r="T5499" s="105"/>
      <c r="U5499" s="105"/>
      <c r="V5499" s="105"/>
      <c r="W5499" s="105"/>
      <c r="X5499" s="11"/>
      <c r="Y5499" s="11"/>
      <c r="Z5499" s="105"/>
      <c r="AA5499" s="11"/>
      <c r="AB5499" s="11"/>
      <c r="AC5499" s="105"/>
      <c r="AD5499" s="11" t="b">
        <v>0</v>
      </c>
      <c r="AE5499" s="105"/>
      <c r="AF5499" s="11"/>
      <c r="AG5499" s="11"/>
      <c r="AH5499" s="11"/>
      <c r="AI5499" s="11"/>
    </row>
    <row r="5500" ht="12.5" spans="3:35">
      <c r="C5500" s="19"/>
      <c r="D5500" s="19"/>
      <c r="H5500" s="105"/>
      <c r="I5500" s="126"/>
      <c r="J5500" s="11"/>
      <c r="K5500" s="108"/>
      <c r="L5500" s="11"/>
      <c r="M5500" s="105"/>
      <c r="N5500" s="105"/>
      <c r="O5500" s="11"/>
      <c r="P5500" s="11"/>
      <c r="Q5500" s="105"/>
      <c r="R5500" s="105"/>
      <c r="S5500" s="105"/>
      <c r="T5500" s="105"/>
      <c r="U5500" s="105"/>
      <c r="V5500" s="105"/>
      <c r="W5500" s="105"/>
      <c r="X5500" s="11"/>
      <c r="Y5500" s="11"/>
      <c r="Z5500" s="105"/>
      <c r="AA5500" s="11"/>
      <c r="AB5500" s="11"/>
      <c r="AC5500" s="105"/>
      <c r="AD5500" s="11" t="b">
        <v>0</v>
      </c>
      <c r="AE5500" s="105"/>
      <c r="AF5500" s="11"/>
      <c r="AG5500" s="11"/>
      <c r="AH5500" s="11"/>
      <c r="AI5500" s="11"/>
    </row>
    <row r="5501" ht="12.5" spans="3:35">
      <c r="C5501" s="19"/>
      <c r="D5501" s="19"/>
      <c r="H5501" s="105"/>
      <c r="I5501" s="126"/>
      <c r="J5501" s="11"/>
      <c r="K5501" s="108"/>
      <c r="L5501" s="11"/>
      <c r="M5501" s="105"/>
      <c r="N5501" s="105"/>
      <c r="O5501" s="11"/>
      <c r="P5501" s="11"/>
      <c r="Q5501" s="105"/>
      <c r="R5501" s="105"/>
      <c r="S5501" s="105"/>
      <c r="T5501" s="105"/>
      <c r="U5501" s="105"/>
      <c r="V5501" s="105"/>
      <c r="W5501" s="105"/>
      <c r="X5501" s="11"/>
      <c r="Y5501" s="11"/>
      <c r="Z5501" s="105"/>
      <c r="AA5501" s="11"/>
      <c r="AB5501" s="11"/>
      <c r="AC5501" s="105"/>
      <c r="AD5501" s="11" t="b">
        <v>0</v>
      </c>
      <c r="AE5501" s="105"/>
      <c r="AF5501" s="11"/>
      <c r="AG5501" s="11"/>
      <c r="AH5501" s="11"/>
      <c r="AI5501" s="11"/>
    </row>
    <row r="5502" ht="12.5" spans="3:35">
      <c r="C5502" s="19"/>
      <c r="D5502" s="19"/>
      <c r="H5502" s="105"/>
      <c r="I5502" s="126"/>
      <c r="J5502" s="11"/>
      <c r="K5502" s="108"/>
      <c r="L5502" s="11"/>
      <c r="M5502" s="105"/>
      <c r="N5502" s="105"/>
      <c r="O5502" s="11"/>
      <c r="P5502" s="11"/>
      <c r="Q5502" s="105"/>
      <c r="R5502" s="105"/>
      <c r="S5502" s="105"/>
      <c r="T5502" s="105"/>
      <c r="U5502" s="105"/>
      <c r="V5502" s="105"/>
      <c r="W5502" s="105"/>
      <c r="X5502" s="11"/>
      <c r="Y5502" s="11"/>
      <c r="Z5502" s="105"/>
      <c r="AA5502" s="11"/>
      <c r="AB5502" s="11"/>
      <c r="AC5502" s="105"/>
      <c r="AD5502" s="11" t="b">
        <v>0</v>
      </c>
      <c r="AE5502" s="105"/>
      <c r="AF5502" s="11"/>
      <c r="AG5502" s="11"/>
      <c r="AH5502" s="11"/>
      <c r="AI5502" s="11"/>
    </row>
    <row r="5503" ht="12.5" spans="3:35">
      <c r="C5503" s="19"/>
      <c r="D5503" s="19"/>
      <c r="H5503" s="105"/>
      <c r="I5503" s="126"/>
      <c r="J5503" s="11"/>
      <c r="K5503" s="108"/>
      <c r="L5503" s="11"/>
      <c r="M5503" s="105"/>
      <c r="N5503" s="105"/>
      <c r="O5503" s="11"/>
      <c r="P5503" s="11"/>
      <c r="Q5503" s="105"/>
      <c r="R5503" s="105"/>
      <c r="S5503" s="105"/>
      <c r="T5503" s="105"/>
      <c r="U5503" s="105"/>
      <c r="V5503" s="105"/>
      <c r="W5503" s="105"/>
      <c r="X5503" s="11"/>
      <c r="Y5503" s="11"/>
      <c r="Z5503" s="105"/>
      <c r="AA5503" s="11"/>
      <c r="AB5503" s="11"/>
      <c r="AC5503" s="105"/>
      <c r="AD5503" s="11" t="b">
        <v>0</v>
      </c>
      <c r="AE5503" s="105"/>
      <c r="AF5503" s="11"/>
      <c r="AG5503" s="11"/>
      <c r="AH5503" s="11"/>
      <c r="AI5503" s="11"/>
    </row>
    <row r="5504" ht="12.5" spans="3:35">
      <c r="C5504" s="19"/>
      <c r="D5504" s="19"/>
      <c r="H5504" s="105"/>
      <c r="I5504" s="126"/>
      <c r="J5504" s="11"/>
      <c r="K5504" s="108"/>
      <c r="L5504" s="11"/>
      <c r="M5504" s="105"/>
      <c r="N5504" s="105"/>
      <c r="O5504" s="11"/>
      <c r="P5504" s="11"/>
      <c r="Q5504" s="105"/>
      <c r="R5504" s="105"/>
      <c r="S5504" s="105"/>
      <c r="T5504" s="105"/>
      <c r="U5504" s="105"/>
      <c r="V5504" s="105"/>
      <c r="W5504" s="105"/>
      <c r="X5504" s="11"/>
      <c r="Y5504" s="11"/>
      <c r="Z5504" s="105"/>
      <c r="AA5504" s="11"/>
      <c r="AB5504" s="11"/>
      <c r="AC5504" s="105"/>
      <c r="AD5504" s="11" t="b">
        <v>0</v>
      </c>
      <c r="AE5504" s="105"/>
      <c r="AF5504" s="11"/>
      <c r="AG5504" s="11"/>
      <c r="AH5504" s="11"/>
      <c r="AI5504" s="11"/>
    </row>
    <row r="5505" ht="12.5" spans="3:35">
      <c r="C5505" s="19"/>
      <c r="D5505" s="19"/>
      <c r="H5505" s="105"/>
      <c r="I5505" s="126"/>
      <c r="J5505" s="11"/>
      <c r="K5505" s="108"/>
      <c r="L5505" s="11"/>
      <c r="M5505" s="105"/>
      <c r="N5505" s="105"/>
      <c r="O5505" s="11"/>
      <c r="P5505" s="11"/>
      <c r="Q5505" s="105"/>
      <c r="R5505" s="105"/>
      <c r="S5505" s="105"/>
      <c r="T5505" s="105"/>
      <c r="U5505" s="105"/>
      <c r="V5505" s="105"/>
      <c r="W5505" s="105"/>
      <c r="X5505" s="11"/>
      <c r="Y5505" s="11"/>
      <c r="Z5505" s="105"/>
      <c r="AA5505" s="11"/>
      <c r="AB5505" s="11"/>
      <c r="AC5505" s="105"/>
      <c r="AD5505" s="11" t="b">
        <v>0</v>
      </c>
      <c r="AE5505" s="105"/>
      <c r="AF5505" s="11"/>
      <c r="AG5505" s="11"/>
      <c r="AH5505" s="11"/>
      <c r="AI5505" s="11"/>
    </row>
    <row r="5506" ht="12.5" spans="3:35">
      <c r="C5506" s="19"/>
      <c r="D5506" s="19"/>
      <c r="H5506" s="105"/>
      <c r="I5506" s="126"/>
      <c r="J5506" s="11"/>
      <c r="K5506" s="108"/>
      <c r="L5506" s="11"/>
      <c r="M5506" s="105"/>
      <c r="N5506" s="105"/>
      <c r="O5506" s="11"/>
      <c r="P5506" s="11"/>
      <c r="Q5506" s="105"/>
      <c r="R5506" s="105"/>
      <c r="S5506" s="105"/>
      <c r="T5506" s="105"/>
      <c r="U5506" s="105"/>
      <c r="V5506" s="105"/>
      <c r="W5506" s="105"/>
      <c r="X5506" s="11"/>
      <c r="Y5506" s="11"/>
      <c r="Z5506" s="105"/>
      <c r="AA5506" s="11"/>
      <c r="AB5506" s="11"/>
      <c r="AC5506" s="105"/>
      <c r="AD5506" s="11" t="b">
        <v>0</v>
      </c>
      <c r="AE5506" s="105"/>
      <c r="AF5506" s="11"/>
      <c r="AG5506" s="11"/>
      <c r="AH5506" s="11"/>
      <c r="AI5506" s="11"/>
    </row>
    <row r="5507" ht="12.5" spans="3:35">
      <c r="C5507" s="19"/>
      <c r="D5507" s="19"/>
      <c r="H5507" s="105"/>
      <c r="I5507" s="126"/>
      <c r="J5507" s="11"/>
      <c r="K5507" s="108"/>
      <c r="L5507" s="11"/>
      <c r="M5507" s="105"/>
      <c r="N5507" s="105"/>
      <c r="O5507" s="11"/>
      <c r="P5507" s="11"/>
      <c r="Q5507" s="105"/>
      <c r="R5507" s="105"/>
      <c r="S5507" s="105"/>
      <c r="T5507" s="105"/>
      <c r="U5507" s="105"/>
      <c r="V5507" s="105"/>
      <c r="W5507" s="105"/>
      <c r="X5507" s="11"/>
      <c r="Y5507" s="11"/>
      <c r="Z5507" s="105"/>
      <c r="AA5507" s="11"/>
      <c r="AB5507" s="11"/>
      <c r="AC5507" s="105"/>
      <c r="AD5507" s="11" t="b">
        <v>0</v>
      </c>
      <c r="AE5507" s="105"/>
      <c r="AF5507" s="11"/>
      <c r="AG5507" s="11"/>
      <c r="AH5507" s="11"/>
      <c r="AI5507" s="11"/>
    </row>
    <row r="5508" ht="12.5" spans="3:35">
      <c r="C5508" s="19"/>
      <c r="D5508" s="19"/>
      <c r="H5508" s="105"/>
      <c r="I5508" s="126"/>
      <c r="J5508" s="11"/>
      <c r="K5508" s="108"/>
      <c r="L5508" s="11"/>
      <c r="M5508" s="105"/>
      <c r="N5508" s="105"/>
      <c r="O5508" s="11"/>
      <c r="P5508" s="11"/>
      <c r="Q5508" s="105"/>
      <c r="R5508" s="105"/>
      <c r="S5508" s="105"/>
      <c r="T5508" s="105"/>
      <c r="U5508" s="105"/>
      <c r="V5508" s="105"/>
      <c r="W5508" s="105"/>
      <c r="X5508" s="11"/>
      <c r="Y5508" s="11"/>
      <c r="Z5508" s="105"/>
      <c r="AA5508" s="11"/>
      <c r="AB5508" s="11"/>
      <c r="AC5508" s="105"/>
      <c r="AD5508" s="11" t="b">
        <v>0</v>
      </c>
      <c r="AE5508" s="105"/>
      <c r="AF5508" s="11"/>
      <c r="AG5508" s="11"/>
      <c r="AH5508" s="11"/>
      <c r="AI5508" s="11"/>
    </row>
    <row r="5509" ht="12.5" spans="3:35">
      <c r="C5509" s="19"/>
      <c r="D5509" s="19"/>
      <c r="H5509" s="105"/>
      <c r="I5509" s="126"/>
      <c r="J5509" s="11"/>
      <c r="K5509" s="108"/>
      <c r="L5509" s="11"/>
      <c r="M5509" s="105"/>
      <c r="N5509" s="105"/>
      <c r="O5509" s="11"/>
      <c r="P5509" s="11"/>
      <c r="Q5509" s="105"/>
      <c r="R5509" s="105"/>
      <c r="S5509" s="105"/>
      <c r="T5509" s="105"/>
      <c r="U5509" s="105"/>
      <c r="V5509" s="105"/>
      <c r="W5509" s="105"/>
      <c r="X5509" s="11"/>
      <c r="Y5509" s="11"/>
      <c r="Z5509" s="105"/>
      <c r="AA5509" s="11"/>
      <c r="AB5509" s="11"/>
      <c r="AC5509" s="105"/>
      <c r="AD5509" s="11" t="b">
        <v>0</v>
      </c>
      <c r="AE5509" s="105"/>
      <c r="AF5509" s="11"/>
      <c r="AG5509" s="11"/>
      <c r="AH5509" s="11"/>
      <c r="AI5509" s="11"/>
    </row>
    <row r="5510" ht="12.5" spans="3:35">
      <c r="C5510" s="19"/>
      <c r="D5510" s="19"/>
      <c r="H5510" s="105"/>
      <c r="I5510" s="126"/>
      <c r="J5510" s="11"/>
      <c r="K5510" s="108"/>
      <c r="L5510" s="11"/>
      <c r="M5510" s="105"/>
      <c r="N5510" s="105"/>
      <c r="O5510" s="11"/>
      <c r="P5510" s="11"/>
      <c r="Q5510" s="105"/>
      <c r="R5510" s="105"/>
      <c r="S5510" s="105"/>
      <c r="T5510" s="105"/>
      <c r="U5510" s="105"/>
      <c r="V5510" s="105"/>
      <c r="W5510" s="105"/>
      <c r="X5510" s="11"/>
      <c r="Y5510" s="11"/>
      <c r="Z5510" s="105"/>
      <c r="AA5510" s="11"/>
      <c r="AB5510" s="11"/>
      <c r="AC5510" s="105"/>
      <c r="AD5510" s="11" t="b">
        <v>0</v>
      </c>
      <c r="AE5510" s="105"/>
      <c r="AF5510" s="11"/>
      <c r="AG5510" s="11"/>
      <c r="AH5510" s="11"/>
      <c r="AI5510" s="11"/>
    </row>
    <row r="5511" ht="12.5" spans="3:35">
      <c r="C5511" s="19"/>
      <c r="D5511" s="19"/>
      <c r="H5511" s="105"/>
      <c r="I5511" s="126"/>
      <c r="J5511" s="11"/>
      <c r="K5511" s="108"/>
      <c r="L5511" s="11"/>
      <c r="M5511" s="105"/>
      <c r="N5511" s="105"/>
      <c r="O5511" s="11"/>
      <c r="P5511" s="11"/>
      <c r="Q5511" s="105"/>
      <c r="R5511" s="105"/>
      <c r="S5511" s="105"/>
      <c r="T5511" s="105"/>
      <c r="U5511" s="105"/>
      <c r="V5511" s="105"/>
      <c r="W5511" s="105"/>
      <c r="X5511" s="11"/>
      <c r="Y5511" s="11"/>
      <c r="Z5511" s="105"/>
      <c r="AA5511" s="11"/>
      <c r="AB5511" s="11"/>
      <c r="AC5511" s="105"/>
      <c r="AD5511" s="11" t="b">
        <v>0</v>
      </c>
      <c r="AE5511" s="105"/>
      <c r="AF5511" s="11"/>
      <c r="AG5511" s="11"/>
      <c r="AH5511" s="11"/>
      <c r="AI5511" s="11"/>
    </row>
    <row r="5512" ht="12.5" spans="3:35">
      <c r="C5512" s="19"/>
      <c r="D5512" s="19"/>
      <c r="H5512" s="105"/>
      <c r="I5512" s="126"/>
      <c r="J5512" s="11"/>
      <c r="K5512" s="108"/>
      <c r="L5512" s="11"/>
      <c r="M5512" s="105"/>
      <c r="N5512" s="105"/>
      <c r="O5512" s="11"/>
      <c r="P5512" s="11"/>
      <c r="Q5512" s="105"/>
      <c r="R5512" s="105"/>
      <c r="S5512" s="105"/>
      <c r="T5512" s="105"/>
      <c r="U5512" s="105"/>
      <c r="V5512" s="105"/>
      <c r="W5512" s="105"/>
      <c r="X5512" s="11"/>
      <c r="Y5512" s="11"/>
      <c r="Z5512" s="105"/>
      <c r="AA5512" s="11"/>
      <c r="AB5512" s="11"/>
      <c r="AC5512" s="105"/>
      <c r="AD5512" s="11" t="b">
        <v>0</v>
      </c>
      <c r="AE5512" s="105"/>
      <c r="AF5512" s="11"/>
      <c r="AG5512" s="11"/>
      <c r="AH5512" s="11"/>
      <c r="AI5512" s="11"/>
    </row>
    <row r="5513" ht="12.5" spans="3:35">
      <c r="C5513" s="19"/>
      <c r="D5513" s="19"/>
      <c r="H5513" s="105"/>
      <c r="I5513" s="126"/>
      <c r="J5513" s="11"/>
      <c r="K5513" s="108"/>
      <c r="L5513" s="11"/>
      <c r="M5513" s="105"/>
      <c r="N5513" s="105"/>
      <c r="O5513" s="11"/>
      <c r="P5513" s="11"/>
      <c r="Q5513" s="105"/>
      <c r="R5513" s="105"/>
      <c r="S5513" s="105"/>
      <c r="T5513" s="105"/>
      <c r="U5513" s="105"/>
      <c r="V5513" s="105"/>
      <c r="W5513" s="105"/>
      <c r="X5513" s="11"/>
      <c r="Y5513" s="11"/>
      <c r="Z5513" s="105"/>
      <c r="AA5513" s="11"/>
      <c r="AB5513" s="11"/>
      <c r="AC5513" s="105"/>
      <c r="AD5513" s="11" t="b">
        <v>0</v>
      </c>
      <c r="AE5513" s="105"/>
      <c r="AF5513" s="11"/>
      <c r="AG5513" s="11"/>
      <c r="AH5513" s="11"/>
      <c r="AI5513" s="11"/>
    </row>
    <row r="5514" ht="12.5" spans="3:35">
      <c r="C5514" s="19"/>
      <c r="D5514" s="19"/>
      <c r="H5514" s="105"/>
      <c r="I5514" s="126"/>
      <c r="J5514" s="11"/>
      <c r="K5514" s="108"/>
      <c r="L5514" s="11"/>
      <c r="M5514" s="105"/>
      <c r="N5514" s="105"/>
      <c r="O5514" s="11"/>
      <c r="P5514" s="11"/>
      <c r="Q5514" s="105"/>
      <c r="R5514" s="105"/>
      <c r="S5514" s="105"/>
      <c r="T5514" s="105"/>
      <c r="U5514" s="105"/>
      <c r="V5514" s="105"/>
      <c r="W5514" s="105"/>
      <c r="X5514" s="11"/>
      <c r="Y5514" s="11"/>
      <c r="Z5514" s="105"/>
      <c r="AA5514" s="11"/>
      <c r="AB5514" s="11"/>
      <c r="AC5514" s="105"/>
      <c r="AD5514" s="11" t="b">
        <v>0</v>
      </c>
      <c r="AE5514" s="105"/>
      <c r="AF5514" s="11"/>
      <c r="AG5514" s="11"/>
      <c r="AH5514" s="11"/>
      <c r="AI5514" s="11"/>
    </row>
    <row r="5515" ht="12.5" spans="3:35">
      <c r="C5515" s="19"/>
      <c r="D5515" s="19"/>
      <c r="H5515" s="105"/>
      <c r="I5515" s="126"/>
      <c r="J5515" s="11"/>
      <c r="K5515" s="108"/>
      <c r="L5515" s="11"/>
      <c r="M5515" s="105"/>
      <c r="N5515" s="105"/>
      <c r="O5515" s="11"/>
      <c r="P5515" s="11"/>
      <c r="Q5515" s="105"/>
      <c r="R5515" s="105"/>
      <c r="S5515" s="105"/>
      <c r="T5515" s="105"/>
      <c r="U5515" s="105"/>
      <c r="V5515" s="105"/>
      <c r="W5515" s="105"/>
      <c r="X5515" s="11"/>
      <c r="Y5515" s="11"/>
      <c r="Z5515" s="105"/>
      <c r="AA5515" s="11"/>
      <c r="AB5515" s="11"/>
      <c r="AC5515" s="105"/>
      <c r="AD5515" s="11" t="b">
        <v>0</v>
      </c>
      <c r="AE5515" s="105"/>
      <c r="AF5515" s="11"/>
      <c r="AG5515" s="11"/>
      <c r="AH5515" s="11"/>
      <c r="AI5515" s="11"/>
    </row>
    <row r="5516" ht="12.5" spans="3:35">
      <c r="C5516" s="19"/>
      <c r="D5516" s="19"/>
      <c r="H5516" s="105"/>
      <c r="I5516" s="126"/>
      <c r="J5516" s="11"/>
      <c r="K5516" s="108"/>
      <c r="L5516" s="11"/>
      <c r="M5516" s="105"/>
      <c r="N5516" s="105"/>
      <c r="O5516" s="11"/>
      <c r="P5516" s="11"/>
      <c r="Q5516" s="105"/>
      <c r="R5516" s="105"/>
      <c r="S5516" s="105"/>
      <c r="T5516" s="105"/>
      <c r="U5516" s="105"/>
      <c r="V5516" s="105"/>
      <c r="W5516" s="105"/>
      <c r="X5516" s="11"/>
      <c r="Y5516" s="11"/>
      <c r="Z5516" s="105"/>
      <c r="AA5516" s="11"/>
      <c r="AB5516" s="11"/>
      <c r="AC5516" s="105"/>
      <c r="AD5516" s="11" t="b">
        <v>0</v>
      </c>
      <c r="AE5516" s="105"/>
      <c r="AF5516" s="11"/>
      <c r="AG5516" s="11"/>
      <c r="AH5516" s="11"/>
      <c r="AI5516" s="11"/>
    </row>
    <row r="5517" ht="12.5" spans="3:35">
      <c r="C5517" s="19"/>
      <c r="D5517" s="19"/>
      <c r="H5517" s="105"/>
      <c r="I5517" s="126"/>
      <c r="J5517" s="11"/>
      <c r="K5517" s="108"/>
      <c r="L5517" s="11"/>
      <c r="M5517" s="105"/>
      <c r="N5517" s="105"/>
      <c r="O5517" s="11"/>
      <c r="P5517" s="11"/>
      <c r="Q5517" s="105"/>
      <c r="R5517" s="105"/>
      <c r="S5517" s="105"/>
      <c r="T5517" s="105"/>
      <c r="U5517" s="105"/>
      <c r="V5517" s="105"/>
      <c r="W5517" s="105"/>
      <c r="X5517" s="11"/>
      <c r="Y5517" s="11"/>
      <c r="Z5517" s="105"/>
      <c r="AA5517" s="11"/>
      <c r="AB5517" s="11"/>
      <c r="AC5517" s="105"/>
      <c r="AD5517" s="11" t="b">
        <v>0</v>
      </c>
      <c r="AE5517" s="105"/>
      <c r="AF5517" s="11"/>
      <c r="AG5517" s="11"/>
      <c r="AH5517" s="11"/>
      <c r="AI5517" s="11"/>
    </row>
    <row r="5518" ht="12.5" spans="3:35">
      <c r="C5518" s="19"/>
      <c r="D5518" s="19"/>
      <c r="H5518" s="105"/>
      <c r="I5518" s="126"/>
      <c r="J5518" s="11"/>
      <c r="K5518" s="108"/>
      <c r="L5518" s="11"/>
      <c r="M5518" s="105"/>
      <c r="N5518" s="105"/>
      <c r="O5518" s="11"/>
      <c r="P5518" s="11"/>
      <c r="Q5518" s="105"/>
      <c r="R5518" s="105"/>
      <c r="S5518" s="105"/>
      <c r="T5518" s="105"/>
      <c r="U5518" s="105"/>
      <c r="V5518" s="105"/>
      <c r="W5518" s="105"/>
      <c r="X5518" s="11"/>
      <c r="Y5518" s="11"/>
      <c r="Z5518" s="105"/>
      <c r="AA5518" s="11"/>
      <c r="AB5518" s="11"/>
      <c r="AC5518" s="105"/>
      <c r="AD5518" s="11" t="b">
        <v>0</v>
      </c>
      <c r="AE5518" s="105"/>
      <c r="AF5518" s="11"/>
      <c r="AG5518" s="11"/>
      <c r="AH5518" s="11"/>
      <c r="AI5518" s="11"/>
    </row>
    <row r="5519" ht="12.5" spans="3:35">
      <c r="C5519" s="19"/>
      <c r="D5519" s="19"/>
      <c r="H5519" s="105"/>
      <c r="I5519" s="126"/>
      <c r="J5519" s="11"/>
      <c r="K5519" s="108"/>
      <c r="L5519" s="11"/>
      <c r="M5519" s="105"/>
      <c r="N5519" s="105"/>
      <c r="O5519" s="11"/>
      <c r="P5519" s="11"/>
      <c r="Q5519" s="105"/>
      <c r="R5519" s="105"/>
      <c r="S5519" s="105"/>
      <c r="T5519" s="105"/>
      <c r="U5519" s="105"/>
      <c r="V5519" s="105"/>
      <c r="W5519" s="105"/>
      <c r="X5519" s="11"/>
      <c r="Y5519" s="11"/>
      <c r="Z5519" s="105"/>
      <c r="AA5519" s="11"/>
      <c r="AB5519" s="11"/>
      <c r="AC5519" s="105"/>
      <c r="AD5519" s="11" t="b">
        <v>0</v>
      </c>
      <c r="AE5519" s="105"/>
      <c r="AF5519" s="11"/>
      <c r="AG5519" s="11"/>
      <c r="AH5519" s="11"/>
      <c r="AI5519" s="11"/>
    </row>
    <row r="5520" ht="12.5" spans="3:35">
      <c r="C5520" s="19"/>
      <c r="D5520" s="19"/>
      <c r="H5520" s="105"/>
      <c r="I5520" s="126"/>
      <c r="J5520" s="11"/>
      <c r="K5520" s="108"/>
      <c r="L5520" s="11"/>
      <c r="M5520" s="105"/>
      <c r="N5520" s="105"/>
      <c r="O5520" s="11"/>
      <c r="P5520" s="11"/>
      <c r="Q5520" s="105"/>
      <c r="R5520" s="105"/>
      <c r="S5520" s="105"/>
      <c r="T5520" s="105"/>
      <c r="U5520" s="105"/>
      <c r="V5520" s="105"/>
      <c r="W5520" s="105"/>
      <c r="X5520" s="11"/>
      <c r="Y5520" s="11"/>
      <c r="Z5520" s="105"/>
      <c r="AA5520" s="11"/>
      <c r="AB5520" s="11"/>
      <c r="AC5520" s="105"/>
      <c r="AD5520" s="11" t="b">
        <v>0</v>
      </c>
      <c r="AE5520" s="105"/>
      <c r="AF5520" s="11"/>
      <c r="AG5520" s="11"/>
      <c r="AH5520" s="11"/>
      <c r="AI5520" s="11"/>
    </row>
    <row r="5521" ht="12.5" spans="3:35">
      <c r="C5521" s="19"/>
      <c r="D5521" s="19"/>
      <c r="H5521" s="105"/>
      <c r="I5521" s="126"/>
      <c r="J5521" s="11"/>
      <c r="K5521" s="108"/>
      <c r="L5521" s="11"/>
      <c r="M5521" s="105"/>
      <c r="N5521" s="105"/>
      <c r="O5521" s="11"/>
      <c r="P5521" s="11"/>
      <c r="Q5521" s="105"/>
      <c r="R5521" s="105"/>
      <c r="S5521" s="105"/>
      <c r="T5521" s="105"/>
      <c r="U5521" s="105"/>
      <c r="V5521" s="105"/>
      <c r="W5521" s="105"/>
      <c r="X5521" s="11"/>
      <c r="Y5521" s="11"/>
      <c r="Z5521" s="105"/>
      <c r="AA5521" s="11"/>
      <c r="AB5521" s="11"/>
      <c r="AC5521" s="105"/>
      <c r="AD5521" s="11" t="b">
        <v>0</v>
      </c>
      <c r="AE5521" s="105"/>
      <c r="AF5521" s="11"/>
      <c r="AG5521" s="11"/>
      <c r="AH5521" s="11"/>
      <c r="AI5521" s="11"/>
    </row>
    <row r="5522" ht="12.5" spans="3:35">
      <c r="C5522" s="19"/>
      <c r="D5522" s="19"/>
      <c r="H5522" s="105"/>
      <c r="I5522" s="126"/>
      <c r="J5522" s="11"/>
      <c r="K5522" s="108"/>
      <c r="L5522" s="11"/>
      <c r="M5522" s="105"/>
      <c r="N5522" s="105"/>
      <c r="O5522" s="11"/>
      <c r="P5522" s="11"/>
      <c r="Q5522" s="105"/>
      <c r="R5522" s="105"/>
      <c r="S5522" s="105"/>
      <c r="T5522" s="105"/>
      <c r="U5522" s="105"/>
      <c r="V5522" s="105"/>
      <c r="W5522" s="105"/>
      <c r="X5522" s="11"/>
      <c r="Y5522" s="11"/>
      <c r="Z5522" s="105"/>
      <c r="AA5522" s="11"/>
      <c r="AB5522" s="11"/>
      <c r="AC5522" s="105"/>
      <c r="AD5522" s="11" t="b">
        <v>0</v>
      </c>
      <c r="AE5522" s="105"/>
      <c r="AF5522" s="11"/>
      <c r="AG5522" s="11"/>
      <c r="AH5522" s="11"/>
      <c r="AI5522" s="11"/>
    </row>
    <row r="5523" ht="12.5" spans="3:35">
      <c r="C5523" s="19"/>
      <c r="D5523" s="19"/>
      <c r="H5523" s="105"/>
      <c r="I5523" s="126"/>
      <c r="J5523" s="11"/>
      <c r="K5523" s="108"/>
      <c r="L5523" s="11"/>
      <c r="M5523" s="105"/>
      <c r="N5523" s="105"/>
      <c r="O5523" s="11"/>
      <c r="P5523" s="11"/>
      <c r="Q5523" s="105"/>
      <c r="R5523" s="105"/>
      <c r="S5523" s="105"/>
      <c r="T5523" s="105"/>
      <c r="U5523" s="105"/>
      <c r="V5523" s="105"/>
      <c r="W5523" s="105"/>
      <c r="X5523" s="11"/>
      <c r="Y5523" s="11"/>
      <c r="Z5523" s="105"/>
      <c r="AA5523" s="11"/>
      <c r="AB5523" s="11"/>
      <c r="AC5523" s="105"/>
      <c r="AD5523" s="11" t="b">
        <v>0</v>
      </c>
      <c r="AE5523" s="105"/>
      <c r="AF5523" s="11"/>
      <c r="AG5523" s="11"/>
      <c r="AH5523" s="11"/>
      <c r="AI5523" s="11"/>
    </row>
    <row r="5524" ht="12.5" spans="3:35">
      <c r="C5524" s="19"/>
      <c r="D5524" s="19"/>
      <c r="H5524" s="105"/>
      <c r="I5524" s="126"/>
      <c r="J5524" s="11"/>
      <c r="K5524" s="108"/>
      <c r="L5524" s="11"/>
      <c r="M5524" s="105"/>
      <c r="N5524" s="105"/>
      <c r="O5524" s="11"/>
      <c r="P5524" s="11"/>
      <c r="Q5524" s="105"/>
      <c r="R5524" s="105"/>
      <c r="S5524" s="105"/>
      <c r="T5524" s="105"/>
      <c r="U5524" s="105"/>
      <c r="V5524" s="105"/>
      <c r="W5524" s="105"/>
      <c r="X5524" s="11"/>
      <c r="Y5524" s="11"/>
      <c r="Z5524" s="105"/>
      <c r="AA5524" s="11"/>
      <c r="AB5524" s="11"/>
      <c r="AC5524" s="105"/>
      <c r="AD5524" s="11" t="b">
        <v>0</v>
      </c>
      <c r="AE5524" s="105"/>
      <c r="AF5524" s="11"/>
      <c r="AG5524" s="11"/>
      <c r="AH5524" s="11"/>
      <c r="AI5524" s="11"/>
    </row>
    <row r="5525" ht="12.5" spans="3:35">
      <c r="C5525" s="19"/>
      <c r="D5525" s="19"/>
      <c r="H5525" s="105"/>
      <c r="I5525" s="126"/>
      <c r="J5525" s="11"/>
      <c r="K5525" s="108"/>
      <c r="L5525" s="11"/>
      <c r="M5525" s="105"/>
      <c r="N5525" s="105"/>
      <c r="O5525" s="11"/>
      <c r="P5525" s="11"/>
      <c r="Q5525" s="105"/>
      <c r="R5525" s="105"/>
      <c r="S5525" s="105"/>
      <c r="T5525" s="105"/>
      <c r="U5525" s="105"/>
      <c r="V5525" s="105"/>
      <c r="W5525" s="105"/>
      <c r="X5525" s="11"/>
      <c r="Y5525" s="11"/>
      <c r="Z5525" s="105"/>
      <c r="AA5525" s="11"/>
      <c r="AB5525" s="11"/>
      <c r="AC5525" s="105"/>
      <c r="AD5525" s="11" t="b">
        <v>0</v>
      </c>
      <c r="AE5525" s="105"/>
      <c r="AF5525" s="11"/>
      <c r="AG5525" s="11"/>
      <c r="AH5525" s="11"/>
      <c r="AI5525" s="11"/>
    </row>
    <row r="5526" ht="12.5" spans="3:35">
      <c r="C5526" s="19"/>
      <c r="D5526" s="19"/>
      <c r="H5526" s="105"/>
      <c r="I5526" s="126"/>
      <c r="J5526" s="11"/>
      <c r="K5526" s="108"/>
      <c r="L5526" s="11"/>
      <c r="M5526" s="105"/>
      <c r="N5526" s="105"/>
      <c r="O5526" s="11"/>
      <c r="P5526" s="11"/>
      <c r="Q5526" s="105"/>
      <c r="R5526" s="105"/>
      <c r="S5526" s="105"/>
      <c r="T5526" s="105"/>
      <c r="U5526" s="105"/>
      <c r="V5526" s="105"/>
      <c r="W5526" s="105"/>
      <c r="X5526" s="11"/>
      <c r="Y5526" s="11"/>
      <c r="Z5526" s="105"/>
      <c r="AA5526" s="11"/>
      <c r="AB5526" s="11"/>
      <c r="AC5526" s="105"/>
      <c r="AD5526" s="11" t="b">
        <v>0</v>
      </c>
      <c r="AE5526" s="105"/>
      <c r="AF5526" s="11"/>
      <c r="AG5526" s="11"/>
      <c r="AH5526" s="11"/>
      <c r="AI5526" s="11"/>
    </row>
    <row r="5527" ht="12.5" spans="3:35">
      <c r="C5527" s="19"/>
      <c r="D5527" s="19"/>
      <c r="H5527" s="105"/>
      <c r="I5527" s="126"/>
      <c r="J5527" s="11"/>
      <c r="K5527" s="108"/>
      <c r="L5527" s="11"/>
      <c r="M5527" s="105"/>
      <c r="N5527" s="105"/>
      <c r="O5527" s="11"/>
      <c r="P5527" s="11"/>
      <c r="Q5527" s="105"/>
      <c r="R5527" s="105"/>
      <c r="S5527" s="105"/>
      <c r="T5527" s="105"/>
      <c r="U5527" s="105"/>
      <c r="V5527" s="105"/>
      <c r="W5527" s="105"/>
      <c r="X5527" s="11"/>
      <c r="Y5527" s="11"/>
      <c r="Z5527" s="105"/>
      <c r="AA5527" s="11"/>
      <c r="AB5527" s="11"/>
      <c r="AC5527" s="105"/>
      <c r="AD5527" s="11" t="b">
        <v>0</v>
      </c>
      <c r="AE5527" s="105"/>
      <c r="AF5527" s="11"/>
      <c r="AG5527" s="11"/>
      <c r="AH5527" s="11"/>
      <c r="AI5527" s="11"/>
    </row>
    <row r="5528" ht="12.5" spans="3:35">
      <c r="C5528" s="19"/>
      <c r="D5528" s="19"/>
      <c r="H5528" s="105"/>
      <c r="I5528" s="126"/>
      <c r="J5528" s="11"/>
      <c r="K5528" s="108"/>
      <c r="L5528" s="11"/>
      <c r="M5528" s="105"/>
      <c r="N5528" s="105"/>
      <c r="O5528" s="11"/>
      <c r="P5528" s="11"/>
      <c r="Q5528" s="105"/>
      <c r="R5528" s="105"/>
      <c r="S5528" s="105"/>
      <c r="T5528" s="105"/>
      <c r="U5528" s="105"/>
      <c r="V5528" s="105"/>
      <c r="W5528" s="105"/>
      <c r="X5528" s="11"/>
      <c r="Y5528" s="11"/>
      <c r="Z5528" s="105"/>
      <c r="AA5528" s="11"/>
      <c r="AB5528" s="11"/>
      <c r="AC5528" s="105"/>
      <c r="AD5528" s="11" t="b">
        <v>0</v>
      </c>
      <c r="AE5528" s="105"/>
      <c r="AF5528" s="11"/>
      <c r="AG5528" s="11"/>
      <c r="AH5528" s="11"/>
      <c r="AI5528" s="11"/>
    </row>
    <row r="5529" ht="12.5" spans="3:35">
      <c r="C5529" s="19"/>
      <c r="D5529" s="19"/>
      <c r="H5529" s="105"/>
      <c r="I5529" s="126"/>
      <c r="J5529" s="11"/>
      <c r="K5529" s="108"/>
      <c r="L5529" s="11"/>
      <c r="M5529" s="105"/>
      <c r="N5529" s="105"/>
      <c r="O5529" s="11"/>
      <c r="P5529" s="11"/>
      <c r="Q5529" s="105"/>
      <c r="R5529" s="105"/>
      <c r="S5529" s="105"/>
      <c r="T5529" s="105"/>
      <c r="U5529" s="105"/>
      <c r="V5529" s="105"/>
      <c r="W5529" s="105"/>
      <c r="X5529" s="11"/>
      <c r="Y5529" s="11"/>
      <c r="Z5529" s="105"/>
      <c r="AA5529" s="11"/>
      <c r="AB5529" s="11"/>
      <c r="AC5529" s="105"/>
      <c r="AD5529" s="11" t="b">
        <v>0</v>
      </c>
      <c r="AE5529" s="105"/>
      <c r="AF5529" s="11"/>
      <c r="AG5529" s="11"/>
      <c r="AH5529" s="11"/>
      <c r="AI5529" s="11"/>
    </row>
    <row r="5530" ht="12.5" spans="3:35">
      <c r="C5530" s="19"/>
      <c r="D5530" s="19"/>
      <c r="H5530" s="105"/>
      <c r="I5530" s="126"/>
      <c r="J5530" s="11"/>
      <c r="K5530" s="108"/>
      <c r="L5530" s="11"/>
      <c r="M5530" s="105"/>
      <c r="N5530" s="105"/>
      <c r="O5530" s="11"/>
      <c r="P5530" s="11"/>
      <c r="Q5530" s="105"/>
      <c r="R5530" s="105"/>
      <c r="S5530" s="105"/>
      <c r="T5530" s="105"/>
      <c r="U5530" s="105"/>
      <c r="V5530" s="105"/>
      <c r="W5530" s="105"/>
      <c r="X5530" s="11"/>
      <c r="Y5530" s="11"/>
      <c r="Z5530" s="105"/>
      <c r="AA5530" s="11"/>
      <c r="AB5530" s="11"/>
      <c r="AC5530" s="105"/>
      <c r="AD5530" s="11" t="b">
        <v>0</v>
      </c>
      <c r="AE5530" s="105"/>
      <c r="AF5530" s="11"/>
      <c r="AG5530" s="11"/>
      <c r="AH5530" s="11"/>
      <c r="AI5530" s="11"/>
    </row>
    <row r="5531" ht="12.5" spans="3:35">
      <c r="C5531" s="19"/>
      <c r="D5531" s="19"/>
      <c r="H5531" s="105"/>
      <c r="I5531" s="126"/>
      <c r="J5531" s="11"/>
      <c r="K5531" s="108"/>
      <c r="L5531" s="11"/>
      <c r="M5531" s="105"/>
      <c r="N5531" s="105"/>
      <c r="O5531" s="11"/>
      <c r="P5531" s="11"/>
      <c r="Q5531" s="105"/>
      <c r="R5531" s="105"/>
      <c r="S5531" s="105"/>
      <c r="T5531" s="105"/>
      <c r="U5531" s="105"/>
      <c r="V5531" s="105"/>
      <c r="W5531" s="105"/>
      <c r="X5531" s="11"/>
      <c r="Y5531" s="11"/>
      <c r="Z5531" s="105"/>
      <c r="AA5531" s="11"/>
      <c r="AB5531" s="11"/>
      <c r="AC5531" s="105"/>
      <c r="AD5531" s="11" t="b">
        <v>0</v>
      </c>
      <c r="AE5531" s="105"/>
      <c r="AF5531" s="11"/>
      <c r="AG5531" s="11"/>
      <c r="AH5531" s="11"/>
      <c r="AI5531" s="11"/>
    </row>
    <row r="5532" ht="12.5" spans="3:35">
      <c r="C5532" s="19"/>
      <c r="D5532" s="19"/>
      <c r="H5532" s="105"/>
      <c r="I5532" s="126"/>
      <c r="J5532" s="11"/>
      <c r="K5532" s="108"/>
      <c r="L5532" s="11"/>
      <c r="M5532" s="105"/>
      <c r="N5532" s="105"/>
      <c r="O5532" s="11"/>
      <c r="P5532" s="11"/>
      <c r="Q5532" s="105"/>
      <c r="R5532" s="105"/>
      <c r="S5532" s="105"/>
      <c r="T5532" s="105"/>
      <c r="U5532" s="105"/>
      <c r="V5532" s="105"/>
      <c r="W5532" s="105"/>
      <c r="X5532" s="11"/>
      <c r="Y5532" s="11"/>
      <c r="Z5532" s="105"/>
      <c r="AA5532" s="11"/>
      <c r="AB5532" s="11"/>
      <c r="AC5532" s="105"/>
      <c r="AD5532" s="11" t="b">
        <v>0</v>
      </c>
      <c r="AE5532" s="105"/>
      <c r="AF5532" s="11"/>
      <c r="AG5532" s="11"/>
      <c r="AH5532" s="11"/>
      <c r="AI5532" s="11"/>
    </row>
    <row r="5533" ht="12.5" spans="3:35">
      <c r="C5533" s="19"/>
      <c r="D5533" s="19"/>
      <c r="H5533" s="105"/>
      <c r="I5533" s="126"/>
      <c r="J5533" s="11"/>
      <c r="K5533" s="108"/>
      <c r="L5533" s="11"/>
      <c r="M5533" s="105"/>
      <c r="N5533" s="105"/>
      <c r="O5533" s="11"/>
      <c r="P5533" s="11"/>
      <c r="Q5533" s="105"/>
      <c r="R5533" s="105"/>
      <c r="S5533" s="105"/>
      <c r="T5533" s="105"/>
      <c r="U5533" s="105"/>
      <c r="V5533" s="105"/>
      <c r="W5533" s="105"/>
      <c r="X5533" s="11"/>
      <c r="Y5533" s="11"/>
      <c r="Z5533" s="105"/>
      <c r="AA5533" s="11"/>
      <c r="AB5533" s="11"/>
      <c r="AC5533" s="105"/>
      <c r="AD5533" s="11" t="b">
        <v>0</v>
      </c>
      <c r="AE5533" s="105"/>
      <c r="AF5533" s="11"/>
      <c r="AG5533" s="11"/>
      <c r="AH5533" s="11"/>
      <c r="AI5533" s="11"/>
    </row>
    <row r="5534" ht="12.5" spans="3:35">
      <c r="C5534" s="19"/>
      <c r="D5534" s="19"/>
      <c r="H5534" s="105"/>
      <c r="I5534" s="126"/>
      <c r="J5534" s="11"/>
      <c r="K5534" s="108"/>
      <c r="L5534" s="11"/>
      <c r="M5534" s="105"/>
      <c r="N5534" s="105"/>
      <c r="O5534" s="11"/>
      <c r="P5534" s="11"/>
      <c r="Q5534" s="105"/>
      <c r="R5534" s="105"/>
      <c r="S5534" s="105"/>
      <c r="T5534" s="105"/>
      <c r="U5534" s="105"/>
      <c r="V5534" s="105"/>
      <c r="W5534" s="105"/>
      <c r="X5534" s="11"/>
      <c r="Y5534" s="11"/>
      <c r="Z5534" s="105"/>
      <c r="AA5534" s="11"/>
      <c r="AB5534" s="11"/>
      <c r="AC5534" s="105"/>
      <c r="AD5534" s="11" t="b">
        <v>0</v>
      </c>
      <c r="AE5534" s="105"/>
      <c r="AF5534" s="11"/>
      <c r="AG5534" s="11"/>
      <c r="AH5534" s="11"/>
      <c r="AI5534" s="11"/>
    </row>
    <row r="5535" ht="12.5" spans="3:35">
      <c r="C5535" s="19"/>
      <c r="D5535" s="19"/>
      <c r="H5535" s="105"/>
      <c r="I5535" s="126"/>
      <c r="J5535" s="11"/>
      <c r="K5535" s="108"/>
      <c r="L5535" s="11"/>
      <c r="M5535" s="105"/>
      <c r="N5535" s="105"/>
      <c r="O5535" s="11"/>
      <c r="P5535" s="11"/>
      <c r="Q5535" s="105"/>
      <c r="R5535" s="105"/>
      <c r="S5535" s="105"/>
      <c r="T5535" s="105"/>
      <c r="U5535" s="105"/>
      <c r="V5535" s="105"/>
      <c r="W5535" s="105"/>
      <c r="X5535" s="11"/>
      <c r="Y5535" s="11"/>
      <c r="Z5535" s="105"/>
      <c r="AA5535" s="11"/>
      <c r="AB5535" s="11"/>
      <c r="AC5535" s="105"/>
      <c r="AD5535" s="11" t="b">
        <v>0</v>
      </c>
      <c r="AE5535" s="105"/>
      <c r="AF5535" s="11"/>
      <c r="AG5535" s="11"/>
      <c r="AH5535" s="11"/>
      <c r="AI5535" s="11"/>
    </row>
    <row r="5536" ht="12.5" spans="3:35">
      <c r="C5536" s="19"/>
      <c r="D5536" s="19"/>
      <c r="H5536" s="105"/>
      <c r="I5536" s="126"/>
      <c r="J5536" s="11"/>
      <c r="K5536" s="108"/>
      <c r="L5536" s="11"/>
      <c r="M5536" s="105"/>
      <c r="N5536" s="105"/>
      <c r="O5536" s="11"/>
      <c r="P5536" s="11"/>
      <c r="Q5536" s="105"/>
      <c r="R5536" s="105"/>
      <c r="S5536" s="105"/>
      <c r="T5536" s="105"/>
      <c r="U5536" s="105"/>
      <c r="V5536" s="105"/>
      <c r="W5536" s="105"/>
      <c r="X5536" s="11"/>
      <c r="Y5536" s="11"/>
      <c r="Z5536" s="105"/>
      <c r="AA5536" s="11"/>
      <c r="AB5536" s="11"/>
      <c r="AC5536" s="105"/>
      <c r="AD5536" s="11" t="b">
        <v>0</v>
      </c>
      <c r="AE5536" s="105"/>
      <c r="AF5536" s="11"/>
      <c r="AG5536" s="11"/>
      <c r="AH5536" s="11"/>
      <c r="AI5536" s="11"/>
    </row>
    <row r="5537" ht="12.5" spans="3:35">
      <c r="C5537" s="19"/>
      <c r="D5537" s="19"/>
      <c r="H5537" s="105"/>
      <c r="I5537" s="126"/>
      <c r="J5537" s="11"/>
      <c r="K5537" s="108"/>
      <c r="L5537" s="11"/>
      <c r="M5537" s="105"/>
      <c r="N5537" s="105"/>
      <c r="O5537" s="11"/>
      <c r="P5537" s="11"/>
      <c r="Q5537" s="105"/>
      <c r="R5537" s="105"/>
      <c r="S5537" s="105"/>
      <c r="T5537" s="105"/>
      <c r="U5537" s="105"/>
      <c r="V5537" s="105"/>
      <c r="W5537" s="105"/>
      <c r="X5537" s="11"/>
      <c r="Y5537" s="11"/>
      <c r="Z5537" s="105"/>
      <c r="AA5537" s="11"/>
      <c r="AB5537" s="11"/>
      <c r="AC5537" s="105"/>
      <c r="AD5537" s="11" t="b">
        <v>0</v>
      </c>
      <c r="AE5537" s="105"/>
      <c r="AF5537" s="11"/>
      <c r="AG5537" s="11"/>
      <c r="AH5537" s="11"/>
      <c r="AI5537" s="11"/>
    </row>
    <row r="5538" ht="12.5" spans="3:35">
      <c r="C5538" s="19"/>
      <c r="D5538" s="19"/>
      <c r="H5538" s="105"/>
      <c r="I5538" s="126"/>
      <c r="J5538" s="11"/>
      <c r="K5538" s="108"/>
      <c r="L5538" s="11"/>
      <c r="M5538" s="105"/>
      <c r="N5538" s="105"/>
      <c r="O5538" s="11"/>
      <c r="P5538" s="11"/>
      <c r="Q5538" s="105"/>
      <c r="R5538" s="105"/>
      <c r="S5538" s="105"/>
      <c r="T5538" s="105"/>
      <c r="U5538" s="105"/>
      <c r="V5538" s="105"/>
      <c r="W5538" s="105"/>
      <c r="X5538" s="11"/>
      <c r="Y5538" s="11"/>
      <c r="Z5538" s="105"/>
      <c r="AA5538" s="11"/>
      <c r="AB5538" s="11"/>
      <c r="AC5538" s="105"/>
      <c r="AD5538" s="11" t="b">
        <v>0</v>
      </c>
      <c r="AE5538" s="105"/>
      <c r="AF5538" s="11"/>
      <c r="AG5538" s="11"/>
      <c r="AH5538" s="11"/>
      <c r="AI5538" s="11"/>
    </row>
    <row r="5539" ht="12.5" spans="3:35">
      <c r="C5539" s="19"/>
      <c r="D5539" s="19"/>
      <c r="H5539" s="105"/>
      <c r="I5539" s="126"/>
      <c r="J5539" s="11"/>
      <c r="K5539" s="108"/>
      <c r="L5539" s="11"/>
      <c r="M5539" s="105"/>
      <c r="N5539" s="105"/>
      <c r="O5539" s="11"/>
      <c r="P5539" s="11"/>
      <c r="Q5539" s="105"/>
      <c r="R5539" s="105"/>
      <c r="S5539" s="105"/>
      <c r="T5539" s="105"/>
      <c r="U5539" s="105"/>
      <c r="V5539" s="105"/>
      <c r="W5539" s="105"/>
      <c r="X5539" s="11"/>
      <c r="Y5539" s="11"/>
      <c r="Z5539" s="105"/>
      <c r="AA5539" s="11"/>
      <c r="AB5539" s="11"/>
      <c r="AC5539" s="105"/>
      <c r="AD5539" s="11" t="b">
        <v>0</v>
      </c>
      <c r="AE5539" s="105"/>
      <c r="AF5539" s="11"/>
      <c r="AG5539" s="11"/>
      <c r="AH5539" s="11"/>
      <c r="AI5539" s="11"/>
    </row>
    <row r="5540" ht="12.5" spans="3:35">
      <c r="C5540" s="19"/>
      <c r="D5540" s="19"/>
      <c r="H5540" s="105"/>
      <c r="I5540" s="126"/>
      <c r="J5540" s="11"/>
      <c r="K5540" s="108"/>
      <c r="L5540" s="11"/>
      <c r="M5540" s="105"/>
      <c r="N5540" s="105"/>
      <c r="O5540" s="11"/>
      <c r="P5540" s="11"/>
      <c r="Q5540" s="105"/>
      <c r="R5540" s="105"/>
      <c r="S5540" s="105"/>
      <c r="T5540" s="105"/>
      <c r="U5540" s="105"/>
      <c r="V5540" s="105"/>
      <c r="W5540" s="105"/>
      <c r="X5540" s="11"/>
      <c r="Y5540" s="11"/>
      <c r="Z5540" s="105"/>
      <c r="AA5540" s="11"/>
      <c r="AB5540" s="11"/>
      <c r="AC5540" s="105"/>
      <c r="AD5540" s="11" t="b">
        <v>0</v>
      </c>
      <c r="AE5540" s="105"/>
      <c r="AF5540" s="11"/>
      <c r="AG5540" s="11"/>
      <c r="AH5540" s="11"/>
      <c r="AI5540" s="11"/>
    </row>
    <row r="5541" ht="12.5" spans="3:35">
      <c r="C5541" s="19"/>
      <c r="D5541" s="19"/>
      <c r="H5541" s="105"/>
      <c r="I5541" s="126"/>
      <c r="J5541" s="11"/>
      <c r="K5541" s="108"/>
      <c r="L5541" s="11"/>
      <c r="M5541" s="105"/>
      <c r="N5541" s="105"/>
      <c r="O5541" s="11"/>
      <c r="P5541" s="11"/>
      <c r="Q5541" s="105"/>
      <c r="R5541" s="105"/>
      <c r="S5541" s="105"/>
      <c r="T5541" s="105"/>
      <c r="U5541" s="105"/>
      <c r="V5541" s="105"/>
      <c r="W5541" s="105"/>
      <c r="X5541" s="11"/>
      <c r="Y5541" s="11"/>
      <c r="Z5541" s="105"/>
      <c r="AA5541" s="11"/>
      <c r="AB5541" s="11"/>
      <c r="AC5541" s="105"/>
      <c r="AD5541" s="11" t="b">
        <v>0</v>
      </c>
      <c r="AE5541" s="105"/>
      <c r="AF5541" s="11"/>
      <c r="AG5541" s="11"/>
      <c r="AH5541" s="11"/>
      <c r="AI5541" s="11"/>
    </row>
    <row r="5542" ht="12.5" spans="3:35">
      <c r="C5542" s="19"/>
      <c r="D5542" s="19"/>
      <c r="H5542" s="105"/>
      <c r="I5542" s="126"/>
      <c r="J5542" s="11"/>
      <c r="K5542" s="108"/>
      <c r="L5542" s="11"/>
      <c r="M5542" s="105"/>
      <c r="N5542" s="105"/>
      <c r="O5542" s="11"/>
      <c r="P5542" s="11"/>
      <c r="Q5542" s="105"/>
      <c r="R5542" s="105"/>
      <c r="S5542" s="105"/>
      <c r="T5542" s="105"/>
      <c r="U5542" s="105"/>
      <c r="V5542" s="105"/>
      <c r="W5542" s="105"/>
      <c r="X5542" s="11"/>
      <c r="Y5542" s="11"/>
      <c r="Z5542" s="105"/>
      <c r="AA5542" s="11"/>
      <c r="AB5542" s="11"/>
      <c r="AC5542" s="105"/>
      <c r="AD5542" s="11" t="b">
        <v>0</v>
      </c>
      <c r="AE5542" s="105"/>
      <c r="AF5542" s="11"/>
      <c r="AG5542" s="11"/>
      <c r="AH5542" s="11"/>
      <c r="AI5542" s="11"/>
    </row>
    <row r="5543" ht="12.5" spans="3:35">
      <c r="C5543" s="19"/>
      <c r="D5543" s="19"/>
      <c r="H5543" s="105"/>
      <c r="I5543" s="126"/>
      <c r="J5543" s="11"/>
      <c r="K5543" s="108"/>
      <c r="L5543" s="11"/>
      <c r="M5543" s="105"/>
      <c r="N5543" s="105"/>
      <c r="O5543" s="11"/>
      <c r="P5543" s="11"/>
      <c r="Q5543" s="105"/>
      <c r="R5543" s="105"/>
      <c r="S5543" s="105"/>
      <c r="T5543" s="105"/>
      <c r="U5543" s="105"/>
      <c r="V5543" s="105"/>
      <c r="W5543" s="105"/>
      <c r="X5543" s="11"/>
      <c r="Y5543" s="11"/>
      <c r="Z5543" s="105"/>
      <c r="AA5543" s="11"/>
      <c r="AB5543" s="11"/>
      <c r="AC5543" s="105"/>
      <c r="AD5543" s="11" t="b">
        <v>0</v>
      </c>
      <c r="AE5543" s="105"/>
      <c r="AF5543" s="11"/>
      <c r="AG5543" s="11"/>
      <c r="AH5543" s="11"/>
      <c r="AI5543" s="11"/>
    </row>
    <row r="5544" ht="12.5" spans="3:35">
      <c r="C5544" s="19"/>
      <c r="D5544" s="19"/>
      <c r="H5544" s="105"/>
      <c r="I5544" s="126"/>
      <c r="J5544" s="11"/>
      <c r="K5544" s="108"/>
      <c r="L5544" s="11"/>
      <c r="M5544" s="105"/>
      <c r="N5544" s="105"/>
      <c r="O5544" s="11"/>
      <c r="P5544" s="11"/>
      <c r="Q5544" s="105"/>
      <c r="R5544" s="105"/>
      <c r="S5544" s="105"/>
      <c r="T5544" s="105"/>
      <c r="U5544" s="105"/>
      <c r="V5544" s="105"/>
      <c r="W5544" s="105"/>
      <c r="X5544" s="11"/>
      <c r="Y5544" s="11"/>
      <c r="Z5544" s="105"/>
      <c r="AA5544" s="11"/>
      <c r="AB5544" s="11"/>
      <c r="AC5544" s="105"/>
      <c r="AD5544" s="11" t="b">
        <v>0</v>
      </c>
      <c r="AE5544" s="105"/>
      <c r="AF5544" s="11"/>
      <c r="AG5544" s="11"/>
      <c r="AH5544" s="11"/>
      <c r="AI5544" s="11"/>
    </row>
    <row r="5545" ht="12.5" spans="3:35">
      <c r="C5545" s="19"/>
      <c r="D5545" s="19"/>
      <c r="H5545" s="105"/>
      <c r="I5545" s="126"/>
      <c r="J5545" s="11"/>
      <c r="K5545" s="108"/>
      <c r="L5545" s="11"/>
      <c r="M5545" s="105"/>
      <c r="N5545" s="105"/>
      <c r="O5545" s="11"/>
      <c r="P5545" s="11"/>
      <c r="Q5545" s="105"/>
      <c r="R5545" s="105"/>
      <c r="S5545" s="105"/>
      <c r="T5545" s="105"/>
      <c r="U5545" s="105"/>
      <c r="V5545" s="105"/>
      <c r="W5545" s="105"/>
      <c r="X5545" s="11"/>
      <c r="Y5545" s="11"/>
      <c r="Z5545" s="105"/>
      <c r="AA5545" s="11"/>
      <c r="AB5545" s="11"/>
      <c r="AC5545" s="105"/>
      <c r="AD5545" s="11" t="b">
        <v>0</v>
      </c>
      <c r="AE5545" s="105"/>
      <c r="AF5545" s="11"/>
      <c r="AG5545" s="11"/>
      <c r="AH5545" s="11"/>
      <c r="AI5545" s="11"/>
    </row>
    <row r="5546" ht="12.5" spans="3:35">
      <c r="C5546" s="19"/>
      <c r="D5546" s="19"/>
      <c r="H5546" s="105"/>
      <c r="I5546" s="126"/>
      <c r="J5546" s="11"/>
      <c r="K5546" s="108"/>
      <c r="L5546" s="11"/>
      <c r="M5546" s="105"/>
      <c r="N5546" s="105"/>
      <c r="O5546" s="11"/>
      <c r="P5546" s="11"/>
      <c r="Q5546" s="105"/>
      <c r="R5546" s="105"/>
      <c r="S5546" s="105"/>
      <c r="T5546" s="105"/>
      <c r="U5546" s="105"/>
      <c r="V5546" s="105"/>
      <c r="W5546" s="105"/>
      <c r="X5546" s="11"/>
      <c r="Y5546" s="11"/>
      <c r="Z5546" s="105"/>
      <c r="AA5546" s="11"/>
      <c r="AB5546" s="11"/>
      <c r="AC5546" s="105"/>
      <c r="AD5546" s="11" t="b">
        <v>0</v>
      </c>
      <c r="AE5546" s="105"/>
      <c r="AF5546" s="11"/>
      <c r="AG5546" s="11"/>
      <c r="AH5546" s="11"/>
      <c r="AI5546" s="11"/>
    </row>
    <row r="5547" ht="12.5" spans="3:35">
      <c r="C5547" s="19"/>
      <c r="D5547" s="19"/>
      <c r="H5547" s="105"/>
      <c r="I5547" s="126"/>
      <c r="J5547" s="11"/>
      <c r="K5547" s="108"/>
      <c r="L5547" s="11"/>
      <c r="M5547" s="105"/>
      <c r="N5547" s="105"/>
      <c r="O5547" s="11"/>
      <c r="P5547" s="11"/>
      <c r="Q5547" s="105"/>
      <c r="R5547" s="105"/>
      <c r="S5547" s="105"/>
      <c r="T5547" s="105"/>
      <c r="U5547" s="105"/>
      <c r="V5547" s="105"/>
      <c r="W5547" s="105"/>
      <c r="X5547" s="11"/>
      <c r="Y5547" s="11"/>
      <c r="Z5547" s="105"/>
      <c r="AA5547" s="11"/>
      <c r="AB5547" s="11"/>
      <c r="AC5547" s="105"/>
      <c r="AD5547" s="11" t="b">
        <v>0</v>
      </c>
      <c r="AE5547" s="105"/>
      <c r="AF5547" s="11"/>
      <c r="AG5547" s="11"/>
      <c r="AH5547" s="11"/>
      <c r="AI5547" s="11"/>
    </row>
    <row r="5548" ht="12.5" spans="3:35">
      <c r="C5548" s="19"/>
      <c r="D5548" s="19"/>
      <c r="H5548" s="105"/>
      <c r="I5548" s="126"/>
      <c r="J5548" s="11"/>
      <c r="K5548" s="108"/>
      <c r="L5548" s="11"/>
      <c r="M5548" s="105"/>
      <c r="N5548" s="105"/>
      <c r="O5548" s="11"/>
      <c r="P5548" s="11"/>
      <c r="Q5548" s="105"/>
      <c r="R5548" s="105"/>
      <c r="S5548" s="105"/>
      <c r="T5548" s="105"/>
      <c r="U5548" s="105"/>
      <c r="V5548" s="105"/>
      <c r="W5548" s="105"/>
      <c r="X5548" s="11"/>
      <c r="Y5548" s="11"/>
      <c r="Z5548" s="105"/>
      <c r="AA5548" s="11"/>
      <c r="AB5548" s="11"/>
      <c r="AC5548" s="105"/>
      <c r="AD5548" s="11" t="b">
        <v>0</v>
      </c>
      <c r="AE5548" s="105"/>
      <c r="AF5548" s="11"/>
      <c r="AG5548" s="11"/>
      <c r="AH5548" s="11"/>
      <c r="AI5548" s="11"/>
    </row>
    <row r="5549" ht="12.5" spans="3:35">
      <c r="C5549" s="19"/>
      <c r="D5549" s="19"/>
      <c r="H5549" s="105"/>
      <c r="I5549" s="126"/>
      <c r="J5549" s="11"/>
      <c r="K5549" s="108"/>
      <c r="L5549" s="11"/>
      <c r="M5549" s="105"/>
      <c r="N5549" s="105"/>
      <c r="O5549" s="11"/>
      <c r="P5549" s="11"/>
      <c r="Q5549" s="105"/>
      <c r="R5549" s="105"/>
      <c r="S5549" s="105"/>
      <c r="T5549" s="105"/>
      <c r="U5549" s="105"/>
      <c r="V5549" s="105"/>
      <c r="W5549" s="105"/>
      <c r="X5549" s="11"/>
      <c r="Y5549" s="11"/>
      <c r="Z5549" s="105"/>
      <c r="AA5549" s="11"/>
      <c r="AB5549" s="11"/>
      <c r="AC5549" s="105"/>
      <c r="AD5549" s="11" t="b">
        <v>0</v>
      </c>
      <c r="AE5549" s="105"/>
      <c r="AF5549" s="11"/>
      <c r="AG5549" s="11"/>
      <c r="AH5549" s="11"/>
      <c r="AI5549" s="11"/>
    </row>
    <row r="5550" ht="12.5" spans="3:35">
      <c r="C5550" s="19"/>
      <c r="D5550" s="19"/>
      <c r="H5550" s="105"/>
      <c r="I5550" s="126"/>
      <c r="J5550" s="11"/>
      <c r="K5550" s="108"/>
      <c r="L5550" s="11"/>
      <c r="M5550" s="105"/>
      <c r="N5550" s="105"/>
      <c r="O5550" s="11"/>
      <c r="P5550" s="11"/>
      <c r="Q5550" s="105"/>
      <c r="R5550" s="105"/>
      <c r="S5550" s="105"/>
      <c r="T5550" s="105"/>
      <c r="U5550" s="105"/>
      <c r="V5550" s="105"/>
      <c r="W5550" s="105"/>
      <c r="X5550" s="11"/>
      <c r="Y5550" s="11"/>
      <c r="Z5550" s="105"/>
      <c r="AA5550" s="11"/>
      <c r="AB5550" s="11"/>
      <c r="AC5550" s="105"/>
      <c r="AD5550" s="11" t="b">
        <v>0</v>
      </c>
      <c r="AE5550" s="105"/>
      <c r="AF5550" s="11"/>
      <c r="AG5550" s="11"/>
      <c r="AH5550" s="11"/>
      <c r="AI5550" s="11"/>
    </row>
    <row r="5551" ht="12.5" spans="3:35">
      <c r="C5551" s="19"/>
      <c r="D5551" s="19"/>
      <c r="H5551" s="105"/>
      <c r="I5551" s="126"/>
      <c r="J5551" s="11"/>
      <c r="K5551" s="108"/>
      <c r="L5551" s="11"/>
      <c r="M5551" s="105"/>
      <c r="N5551" s="105"/>
      <c r="O5551" s="11"/>
      <c r="P5551" s="11"/>
      <c r="Q5551" s="105"/>
      <c r="R5551" s="105"/>
      <c r="S5551" s="105"/>
      <c r="T5551" s="105"/>
      <c r="U5551" s="105"/>
      <c r="V5551" s="105"/>
      <c r="W5551" s="105"/>
      <c r="X5551" s="11"/>
      <c r="Y5551" s="11"/>
      <c r="Z5551" s="105"/>
      <c r="AA5551" s="11"/>
      <c r="AB5551" s="11"/>
      <c r="AC5551" s="105"/>
      <c r="AD5551" s="11" t="b">
        <v>0</v>
      </c>
      <c r="AE5551" s="105"/>
      <c r="AF5551" s="11"/>
      <c r="AG5551" s="11"/>
      <c r="AH5551" s="11"/>
      <c r="AI5551" s="11"/>
    </row>
    <row r="5552" ht="12.5" spans="3:35">
      <c r="C5552" s="19"/>
      <c r="D5552" s="19"/>
      <c r="H5552" s="105"/>
      <c r="I5552" s="126"/>
      <c r="J5552" s="11"/>
      <c r="K5552" s="108"/>
      <c r="L5552" s="11"/>
      <c r="M5552" s="105"/>
      <c r="N5552" s="105"/>
      <c r="O5552" s="11"/>
      <c r="P5552" s="11"/>
      <c r="Q5552" s="105"/>
      <c r="R5552" s="105"/>
      <c r="S5552" s="105"/>
      <c r="T5552" s="105"/>
      <c r="U5552" s="105"/>
      <c r="V5552" s="105"/>
      <c r="W5552" s="105"/>
      <c r="X5552" s="11"/>
      <c r="Y5552" s="11"/>
      <c r="Z5552" s="105"/>
      <c r="AA5552" s="11"/>
      <c r="AB5552" s="11"/>
      <c r="AC5552" s="105"/>
      <c r="AD5552" s="11" t="b">
        <v>0</v>
      </c>
      <c r="AE5552" s="105"/>
      <c r="AF5552" s="11"/>
      <c r="AG5552" s="11"/>
      <c r="AH5552" s="11"/>
      <c r="AI5552" s="11"/>
    </row>
    <row r="5553" ht="12.5" spans="3:35">
      <c r="C5553" s="19"/>
      <c r="D5553" s="19"/>
      <c r="H5553" s="105"/>
      <c r="I5553" s="126"/>
      <c r="J5553" s="11"/>
      <c r="K5553" s="108"/>
      <c r="L5553" s="11"/>
      <c r="M5553" s="105"/>
      <c r="N5553" s="105"/>
      <c r="O5553" s="11"/>
      <c r="P5553" s="11"/>
      <c r="Q5553" s="105"/>
      <c r="R5553" s="105"/>
      <c r="S5553" s="105"/>
      <c r="T5553" s="105"/>
      <c r="U5553" s="105"/>
      <c r="V5553" s="105"/>
      <c r="W5553" s="105"/>
      <c r="X5553" s="11"/>
      <c r="Y5553" s="11"/>
      <c r="Z5553" s="105"/>
      <c r="AA5553" s="11"/>
      <c r="AB5553" s="11"/>
      <c r="AC5553" s="105"/>
      <c r="AD5553" s="11" t="b">
        <v>0</v>
      </c>
      <c r="AE5553" s="105"/>
      <c r="AF5553" s="11"/>
      <c r="AG5553" s="11"/>
      <c r="AH5553" s="11"/>
      <c r="AI5553" s="11"/>
    </row>
    <row r="5554" ht="12.5" spans="3:35">
      <c r="C5554" s="19"/>
      <c r="D5554" s="19"/>
      <c r="H5554" s="105"/>
      <c r="I5554" s="126"/>
      <c r="J5554" s="11"/>
      <c r="K5554" s="108"/>
      <c r="L5554" s="11"/>
      <c r="M5554" s="105"/>
      <c r="N5554" s="105"/>
      <c r="O5554" s="11"/>
      <c r="P5554" s="11"/>
      <c r="Q5554" s="105"/>
      <c r="R5554" s="105"/>
      <c r="S5554" s="105"/>
      <c r="T5554" s="105"/>
      <c r="U5554" s="105"/>
      <c r="V5554" s="105"/>
      <c r="W5554" s="105"/>
      <c r="X5554" s="11"/>
      <c r="Y5554" s="11"/>
      <c r="Z5554" s="105"/>
      <c r="AA5554" s="11"/>
      <c r="AB5554" s="11"/>
      <c r="AC5554" s="105"/>
      <c r="AD5554" s="11" t="b">
        <v>0</v>
      </c>
      <c r="AE5554" s="105"/>
      <c r="AF5554" s="11"/>
      <c r="AG5554" s="11"/>
      <c r="AH5554" s="11"/>
      <c r="AI5554" s="11"/>
    </row>
    <row r="5555" ht="12.5" spans="3:35">
      <c r="C5555" s="19"/>
      <c r="D5555" s="19"/>
      <c r="H5555" s="105"/>
      <c r="I5555" s="126"/>
      <c r="J5555" s="11"/>
      <c r="K5555" s="108"/>
      <c r="L5555" s="11"/>
      <c r="M5555" s="105"/>
      <c r="N5555" s="105"/>
      <c r="O5555" s="11"/>
      <c r="P5555" s="11"/>
      <c r="Q5555" s="105"/>
      <c r="R5555" s="105"/>
      <c r="S5555" s="105"/>
      <c r="T5555" s="105"/>
      <c r="U5555" s="105"/>
      <c r="V5555" s="105"/>
      <c r="W5555" s="105"/>
      <c r="X5555" s="11"/>
      <c r="Y5555" s="11"/>
      <c r="Z5555" s="105"/>
      <c r="AA5555" s="11"/>
      <c r="AB5555" s="11"/>
      <c r="AC5555" s="105"/>
      <c r="AD5555" s="11" t="b">
        <v>0</v>
      </c>
      <c r="AE5555" s="105"/>
      <c r="AF5555" s="11"/>
      <c r="AG5555" s="11"/>
      <c r="AH5555" s="11"/>
      <c r="AI5555" s="11"/>
    </row>
    <row r="5556" ht="12.5" spans="3:35">
      <c r="C5556" s="19"/>
      <c r="D5556" s="19"/>
      <c r="H5556" s="105"/>
      <c r="I5556" s="126"/>
      <c r="J5556" s="11"/>
      <c r="K5556" s="108"/>
      <c r="L5556" s="11"/>
      <c r="M5556" s="105"/>
      <c r="N5556" s="105"/>
      <c r="O5556" s="11"/>
      <c r="P5556" s="11"/>
      <c r="Q5556" s="105"/>
      <c r="R5556" s="105"/>
      <c r="S5556" s="105"/>
      <c r="T5556" s="105"/>
      <c r="U5556" s="105"/>
      <c r="V5556" s="105"/>
      <c r="W5556" s="105"/>
      <c r="X5556" s="11"/>
      <c r="Y5556" s="11"/>
      <c r="Z5556" s="105"/>
      <c r="AA5556" s="11"/>
      <c r="AB5556" s="11"/>
      <c r="AC5556" s="105"/>
      <c r="AD5556" s="11" t="b">
        <v>0</v>
      </c>
      <c r="AE5556" s="105"/>
      <c r="AF5556" s="11"/>
      <c r="AG5556" s="11"/>
      <c r="AH5556" s="11"/>
      <c r="AI5556" s="11"/>
    </row>
    <row r="5557" ht="12.5" spans="3:35">
      <c r="C5557" s="19"/>
      <c r="D5557" s="19"/>
      <c r="H5557" s="105"/>
      <c r="I5557" s="126"/>
      <c r="J5557" s="11"/>
      <c r="K5557" s="108"/>
      <c r="L5557" s="11"/>
      <c r="M5557" s="105"/>
      <c r="N5557" s="105"/>
      <c r="O5557" s="11"/>
      <c r="P5557" s="11"/>
      <c r="Q5557" s="105"/>
      <c r="R5557" s="105"/>
      <c r="S5557" s="105"/>
      <c r="T5557" s="105"/>
      <c r="U5557" s="105"/>
      <c r="V5557" s="105"/>
      <c r="W5557" s="105"/>
      <c r="X5557" s="11"/>
      <c r="Y5557" s="11"/>
      <c r="Z5557" s="105"/>
      <c r="AA5557" s="11"/>
      <c r="AB5557" s="11"/>
      <c r="AC5557" s="105"/>
      <c r="AD5557" s="11" t="b">
        <v>0</v>
      </c>
      <c r="AE5557" s="105"/>
      <c r="AF5557" s="11"/>
      <c r="AG5557" s="11"/>
      <c r="AH5557" s="11"/>
      <c r="AI5557" s="11"/>
    </row>
    <row r="5558" ht="12.5" spans="3:35">
      <c r="C5558" s="19"/>
      <c r="D5558" s="19"/>
      <c r="H5558" s="105"/>
      <c r="I5558" s="126"/>
      <c r="J5558" s="11"/>
      <c r="K5558" s="108"/>
      <c r="L5558" s="11"/>
      <c r="M5558" s="105"/>
      <c r="N5558" s="105"/>
      <c r="O5558" s="11"/>
      <c r="P5558" s="11"/>
      <c r="Q5558" s="105"/>
      <c r="R5558" s="105"/>
      <c r="S5558" s="105"/>
      <c r="T5558" s="105"/>
      <c r="U5558" s="105"/>
      <c r="V5558" s="105"/>
      <c r="W5558" s="105"/>
      <c r="X5558" s="11"/>
      <c r="Y5558" s="11"/>
      <c r="Z5558" s="105"/>
      <c r="AA5558" s="11"/>
      <c r="AB5558" s="11"/>
      <c r="AC5558" s="105"/>
      <c r="AD5558" s="11" t="b">
        <v>0</v>
      </c>
      <c r="AE5558" s="105"/>
      <c r="AF5558" s="11"/>
      <c r="AG5558" s="11"/>
      <c r="AH5558" s="11"/>
      <c r="AI5558" s="11"/>
    </row>
    <row r="5559" ht="12.5" spans="3:35">
      <c r="C5559" s="19"/>
      <c r="D5559" s="19"/>
      <c r="H5559" s="105"/>
      <c r="I5559" s="126"/>
      <c r="J5559" s="11"/>
      <c r="K5559" s="108"/>
      <c r="L5559" s="11"/>
      <c r="M5559" s="105"/>
      <c r="N5559" s="105"/>
      <c r="O5559" s="11"/>
      <c r="P5559" s="11"/>
      <c r="Q5559" s="105"/>
      <c r="R5559" s="105"/>
      <c r="S5559" s="105"/>
      <c r="T5559" s="105"/>
      <c r="U5559" s="105"/>
      <c r="V5559" s="105"/>
      <c r="W5559" s="105"/>
      <c r="X5559" s="11"/>
      <c r="Y5559" s="11"/>
      <c r="Z5559" s="105"/>
      <c r="AA5559" s="11"/>
      <c r="AB5559" s="11"/>
      <c r="AC5559" s="105"/>
      <c r="AD5559" s="11" t="b">
        <v>0</v>
      </c>
      <c r="AE5559" s="105"/>
      <c r="AF5559" s="11"/>
      <c r="AG5559" s="11"/>
      <c r="AH5559" s="11"/>
      <c r="AI5559" s="11"/>
    </row>
    <row r="5560" ht="12.5" spans="3:35">
      <c r="C5560" s="19"/>
      <c r="D5560" s="19"/>
      <c r="H5560" s="105"/>
      <c r="I5560" s="126"/>
      <c r="J5560" s="11"/>
      <c r="K5560" s="108"/>
      <c r="L5560" s="11"/>
      <c r="M5560" s="105"/>
      <c r="N5560" s="105"/>
      <c r="O5560" s="11"/>
      <c r="P5560" s="11"/>
      <c r="Q5560" s="105"/>
      <c r="R5560" s="105"/>
      <c r="S5560" s="105"/>
      <c r="T5560" s="105"/>
      <c r="U5560" s="105"/>
      <c r="V5560" s="105"/>
      <c r="W5560" s="105"/>
      <c r="X5560" s="11"/>
      <c r="Y5560" s="11"/>
      <c r="Z5560" s="105"/>
      <c r="AA5560" s="11"/>
      <c r="AB5560" s="11"/>
      <c r="AC5560" s="105"/>
      <c r="AD5560" s="11" t="b">
        <v>0</v>
      </c>
      <c r="AE5560" s="105"/>
      <c r="AF5560" s="11"/>
      <c r="AG5560" s="11"/>
      <c r="AH5560" s="11"/>
      <c r="AI5560" s="11"/>
    </row>
    <row r="5561" ht="12.5" spans="3:35">
      <c r="C5561" s="19"/>
      <c r="D5561" s="19"/>
      <c r="H5561" s="105"/>
      <c r="I5561" s="126"/>
      <c r="J5561" s="11"/>
      <c r="K5561" s="108"/>
      <c r="L5561" s="11"/>
      <c r="M5561" s="105"/>
      <c r="N5561" s="105"/>
      <c r="O5561" s="11"/>
      <c r="P5561" s="11"/>
      <c r="Q5561" s="105"/>
      <c r="R5561" s="105"/>
      <c r="S5561" s="105"/>
      <c r="T5561" s="105"/>
      <c r="U5561" s="105"/>
      <c r="V5561" s="105"/>
      <c r="W5561" s="105"/>
      <c r="X5561" s="11"/>
      <c r="Y5561" s="11"/>
      <c r="Z5561" s="105"/>
      <c r="AA5561" s="11"/>
      <c r="AB5561" s="11"/>
      <c r="AC5561" s="105"/>
      <c r="AD5561" s="11" t="b">
        <v>0</v>
      </c>
      <c r="AE5561" s="105"/>
      <c r="AF5561" s="11"/>
      <c r="AG5561" s="11"/>
      <c r="AH5561" s="11"/>
      <c r="AI5561" s="11"/>
    </row>
    <row r="5562" ht="12.5" spans="3:35">
      <c r="C5562" s="19"/>
      <c r="D5562" s="19"/>
      <c r="H5562" s="105"/>
      <c r="I5562" s="126"/>
      <c r="J5562" s="11"/>
      <c r="K5562" s="108"/>
      <c r="L5562" s="11"/>
      <c r="M5562" s="105"/>
      <c r="N5562" s="105"/>
      <c r="O5562" s="11"/>
      <c r="P5562" s="11"/>
      <c r="Q5562" s="105"/>
      <c r="R5562" s="105"/>
      <c r="S5562" s="105"/>
      <c r="T5562" s="105"/>
      <c r="U5562" s="105"/>
      <c r="V5562" s="105"/>
      <c r="W5562" s="105"/>
      <c r="X5562" s="11"/>
      <c r="Y5562" s="11"/>
      <c r="Z5562" s="105"/>
      <c r="AA5562" s="11"/>
      <c r="AB5562" s="11"/>
      <c r="AC5562" s="105"/>
      <c r="AD5562" s="11" t="b">
        <v>0</v>
      </c>
      <c r="AE5562" s="105"/>
      <c r="AF5562" s="11"/>
      <c r="AG5562" s="11"/>
      <c r="AH5562" s="11"/>
      <c r="AI5562" s="11"/>
    </row>
    <row r="5563" ht="12.5" spans="3:35">
      <c r="C5563" s="19"/>
      <c r="D5563" s="19"/>
      <c r="H5563" s="105"/>
      <c r="I5563" s="126"/>
      <c r="J5563" s="11"/>
      <c r="K5563" s="108"/>
      <c r="L5563" s="11"/>
      <c r="M5563" s="105"/>
      <c r="N5563" s="105"/>
      <c r="O5563" s="11"/>
      <c r="P5563" s="11"/>
      <c r="Q5563" s="105"/>
      <c r="R5563" s="105"/>
      <c r="S5563" s="105"/>
      <c r="T5563" s="105"/>
      <c r="U5563" s="105"/>
      <c r="V5563" s="105"/>
      <c r="W5563" s="105"/>
      <c r="X5563" s="11"/>
      <c r="Y5563" s="11"/>
      <c r="Z5563" s="105"/>
      <c r="AA5563" s="11"/>
      <c r="AB5563" s="11"/>
      <c r="AC5563" s="105"/>
      <c r="AD5563" s="11" t="b">
        <v>0</v>
      </c>
      <c r="AE5563" s="105"/>
      <c r="AF5563" s="11"/>
      <c r="AG5563" s="11"/>
      <c r="AH5563" s="11"/>
      <c r="AI5563" s="11"/>
    </row>
    <row r="5564" ht="12.5" spans="3:35">
      <c r="C5564" s="19"/>
      <c r="D5564" s="19"/>
      <c r="H5564" s="105"/>
      <c r="I5564" s="126"/>
      <c r="J5564" s="11"/>
      <c r="K5564" s="108"/>
      <c r="L5564" s="11"/>
      <c r="M5564" s="105"/>
      <c r="N5564" s="105"/>
      <c r="O5564" s="11"/>
      <c r="P5564" s="11"/>
      <c r="Q5564" s="105"/>
      <c r="R5564" s="105"/>
      <c r="S5564" s="105"/>
      <c r="T5564" s="105"/>
      <c r="U5564" s="105"/>
      <c r="V5564" s="105"/>
      <c r="W5564" s="105"/>
      <c r="X5564" s="11"/>
      <c r="Y5564" s="11"/>
      <c r="Z5564" s="105"/>
      <c r="AA5564" s="11"/>
      <c r="AB5564" s="11"/>
      <c r="AC5564" s="105"/>
      <c r="AD5564" s="11" t="b">
        <v>0</v>
      </c>
      <c r="AE5564" s="105"/>
      <c r="AF5564" s="11"/>
      <c r="AG5564" s="11"/>
      <c r="AH5564" s="11"/>
      <c r="AI5564" s="11"/>
    </row>
    <row r="5565" ht="12.5" spans="3:35">
      <c r="C5565" s="19"/>
      <c r="D5565" s="19"/>
      <c r="H5565" s="105"/>
      <c r="I5565" s="126"/>
      <c r="J5565" s="11"/>
      <c r="K5565" s="108"/>
      <c r="L5565" s="11"/>
      <c r="M5565" s="105"/>
      <c r="N5565" s="105"/>
      <c r="O5565" s="11"/>
      <c r="P5565" s="11"/>
      <c r="Q5565" s="105"/>
      <c r="R5565" s="105"/>
      <c r="S5565" s="105"/>
      <c r="T5565" s="105"/>
      <c r="U5565" s="105"/>
      <c r="V5565" s="105"/>
      <c r="W5565" s="105"/>
      <c r="X5565" s="11"/>
      <c r="Y5565" s="11"/>
      <c r="Z5565" s="105"/>
      <c r="AA5565" s="11"/>
      <c r="AB5565" s="11"/>
      <c r="AC5565" s="105"/>
      <c r="AD5565" s="11" t="b">
        <v>0</v>
      </c>
      <c r="AE5565" s="105"/>
      <c r="AF5565" s="11"/>
      <c r="AG5565" s="11"/>
      <c r="AH5565" s="11"/>
      <c r="AI5565" s="11"/>
    </row>
    <row r="5566" ht="12.5" spans="3:35">
      <c r="C5566" s="19"/>
      <c r="D5566" s="19"/>
      <c r="H5566" s="105"/>
      <c r="I5566" s="126"/>
      <c r="J5566" s="11"/>
      <c r="K5566" s="108"/>
      <c r="L5566" s="11"/>
      <c r="M5566" s="105"/>
      <c r="N5566" s="105"/>
      <c r="O5566" s="11"/>
      <c r="P5566" s="11"/>
      <c r="Q5566" s="105"/>
      <c r="R5566" s="105"/>
      <c r="S5566" s="105"/>
      <c r="T5566" s="105"/>
      <c r="U5566" s="105"/>
      <c r="V5566" s="105"/>
      <c r="W5566" s="105"/>
      <c r="X5566" s="11"/>
      <c r="Y5566" s="11"/>
      <c r="Z5566" s="105"/>
      <c r="AA5566" s="11"/>
      <c r="AB5566" s="11"/>
      <c r="AC5566" s="105"/>
      <c r="AD5566" s="11" t="b">
        <v>0</v>
      </c>
      <c r="AE5566" s="105"/>
      <c r="AF5566" s="11"/>
      <c r="AG5566" s="11"/>
      <c r="AH5566" s="11"/>
      <c r="AI5566" s="11"/>
    </row>
    <row r="5567" ht="12.5" spans="3:35">
      <c r="C5567" s="19"/>
      <c r="D5567" s="19"/>
      <c r="H5567" s="105"/>
      <c r="I5567" s="126"/>
      <c r="J5567" s="11"/>
      <c r="K5567" s="108"/>
      <c r="L5567" s="11"/>
      <c r="M5567" s="105"/>
      <c r="N5567" s="105"/>
      <c r="O5567" s="11"/>
      <c r="P5567" s="11"/>
      <c r="Q5567" s="105"/>
      <c r="R5567" s="105"/>
      <c r="S5567" s="105"/>
      <c r="T5567" s="105"/>
      <c r="U5567" s="105"/>
      <c r="V5567" s="105"/>
      <c r="W5567" s="105"/>
      <c r="X5567" s="11"/>
      <c r="Y5567" s="11"/>
      <c r="Z5567" s="105"/>
      <c r="AA5567" s="11"/>
      <c r="AB5567" s="11"/>
      <c r="AC5567" s="105"/>
      <c r="AD5567" s="11" t="b">
        <v>0</v>
      </c>
      <c r="AE5567" s="105"/>
      <c r="AF5567" s="11"/>
      <c r="AG5567" s="11"/>
      <c r="AH5567" s="11"/>
      <c r="AI5567" s="11"/>
    </row>
    <row r="5568" ht="12.5" spans="3:35">
      <c r="C5568" s="19"/>
      <c r="D5568" s="19"/>
      <c r="H5568" s="105"/>
      <c r="I5568" s="126"/>
      <c r="J5568" s="11"/>
      <c r="K5568" s="108"/>
      <c r="L5568" s="11"/>
      <c r="M5568" s="105"/>
      <c r="N5568" s="105"/>
      <c r="O5568" s="11"/>
      <c r="P5568" s="11"/>
      <c r="Q5568" s="105"/>
      <c r="R5568" s="105"/>
      <c r="S5568" s="105"/>
      <c r="T5568" s="105"/>
      <c r="U5568" s="105"/>
      <c r="V5568" s="105"/>
      <c r="W5568" s="105"/>
      <c r="X5568" s="11"/>
      <c r="Y5568" s="11"/>
      <c r="Z5568" s="105"/>
      <c r="AA5568" s="11"/>
      <c r="AB5568" s="11"/>
      <c r="AC5568" s="105"/>
      <c r="AD5568" s="11" t="b">
        <v>0</v>
      </c>
      <c r="AE5568" s="105"/>
      <c r="AF5568" s="11"/>
      <c r="AG5568" s="11"/>
      <c r="AH5568" s="11"/>
      <c r="AI5568" s="11"/>
    </row>
    <row r="5569" ht="12.5" spans="3:35">
      <c r="C5569" s="19"/>
      <c r="D5569" s="19"/>
      <c r="H5569" s="105"/>
      <c r="I5569" s="126"/>
      <c r="J5569" s="11"/>
      <c r="K5569" s="108"/>
      <c r="L5569" s="11"/>
      <c r="M5569" s="105"/>
      <c r="N5569" s="105"/>
      <c r="O5569" s="11"/>
      <c r="P5569" s="11"/>
      <c r="Q5569" s="105"/>
      <c r="R5569" s="105"/>
      <c r="S5569" s="105"/>
      <c r="T5569" s="105"/>
      <c r="U5569" s="105"/>
      <c r="V5569" s="105"/>
      <c r="W5569" s="105"/>
      <c r="X5569" s="11"/>
      <c r="Y5569" s="11"/>
      <c r="Z5569" s="105"/>
      <c r="AA5569" s="11"/>
      <c r="AB5569" s="11"/>
      <c r="AC5569" s="105"/>
      <c r="AD5569" s="11" t="b">
        <v>0</v>
      </c>
      <c r="AE5569" s="105"/>
      <c r="AF5569" s="11"/>
      <c r="AG5569" s="11"/>
      <c r="AH5569" s="11"/>
      <c r="AI5569" s="11"/>
    </row>
    <row r="5570" ht="12.5" spans="3:35">
      <c r="C5570" s="19"/>
      <c r="D5570" s="19"/>
      <c r="H5570" s="105"/>
      <c r="I5570" s="126"/>
      <c r="J5570" s="11"/>
      <c r="K5570" s="108"/>
      <c r="L5570" s="11"/>
      <c r="M5570" s="105"/>
      <c r="N5570" s="105"/>
      <c r="O5570" s="11"/>
      <c r="P5570" s="11"/>
      <c r="Q5570" s="105"/>
      <c r="R5570" s="105"/>
      <c r="S5570" s="105"/>
      <c r="T5570" s="105"/>
      <c r="U5570" s="105"/>
      <c r="V5570" s="105"/>
      <c r="W5570" s="105"/>
      <c r="X5570" s="11"/>
      <c r="Y5570" s="11"/>
      <c r="Z5570" s="105"/>
      <c r="AA5570" s="11"/>
      <c r="AB5570" s="11"/>
      <c r="AC5570" s="105"/>
      <c r="AD5570" s="11" t="b">
        <v>0</v>
      </c>
      <c r="AE5570" s="105"/>
      <c r="AF5570" s="11"/>
      <c r="AG5570" s="11"/>
      <c r="AH5570" s="11"/>
      <c r="AI5570" s="11"/>
    </row>
    <row r="5571" ht="12.5" spans="3:35">
      <c r="C5571" s="19"/>
      <c r="D5571" s="19"/>
      <c r="H5571" s="105"/>
      <c r="I5571" s="126"/>
      <c r="J5571" s="11"/>
      <c r="K5571" s="108"/>
      <c r="L5571" s="11"/>
      <c r="M5571" s="105"/>
      <c r="N5571" s="105"/>
      <c r="O5571" s="11"/>
      <c r="P5571" s="11"/>
      <c r="Q5571" s="105"/>
      <c r="R5571" s="105"/>
      <c r="S5571" s="105"/>
      <c r="T5571" s="105"/>
      <c r="U5571" s="105"/>
      <c r="V5571" s="105"/>
      <c r="W5571" s="105"/>
      <c r="X5571" s="11"/>
      <c r="Y5571" s="11"/>
      <c r="Z5571" s="105"/>
      <c r="AA5571" s="11"/>
      <c r="AB5571" s="11"/>
      <c r="AC5571" s="105"/>
      <c r="AD5571" s="11" t="b">
        <v>0</v>
      </c>
      <c r="AE5571" s="105"/>
      <c r="AF5571" s="11"/>
      <c r="AG5571" s="11"/>
      <c r="AH5571" s="11"/>
      <c r="AI5571" s="11"/>
    </row>
    <row r="5572" ht="12.5" spans="3:35">
      <c r="C5572" s="19"/>
      <c r="D5572" s="19"/>
      <c r="H5572" s="105"/>
      <c r="I5572" s="126"/>
      <c r="J5572" s="11"/>
      <c r="K5572" s="108"/>
      <c r="L5572" s="11"/>
      <c r="M5572" s="105"/>
      <c r="N5572" s="105"/>
      <c r="O5572" s="11"/>
      <c r="P5572" s="11"/>
      <c r="Q5572" s="105"/>
      <c r="R5572" s="105"/>
      <c r="S5572" s="105"/>
      <c r="T5572" s="105"/>
      <c r="U5572" s="105"/>
      <c r="V5572" s="105"/>
      <c r="W5572" s="105"/>
      <c r="X5572" s="11"/>
      <c r="Y5572" s="11"/>
      <c r="Z5572" s="105"/>
      <c r="AA5572" s="11"/>
      <c r="AB5572" s="11"/>
      <c r="AC5572" s="105"/>
      <c r="AD5572" s="11" t="b">
        <v>0</v>
      </c>
      <c r="AE5572" s="105"/>
      <c r="AF5572" s="11"/>
      <c r="AG5572" s="11"/>
      <c r="AH5572" s="11"/>
      <c r="AI5572" s="11"/>
    </row>
    <row r="5573" ht="12.5" spans="3:35">
      <c r="C5573" s="19"/>
      <c r="D5573" s="19"/>
      <c r="H5573" s="105"/>
      <c r="I5573" s="126"/>
      <c r="J5573" s="11"/>
      <c r="K5573" s="108"/>
      <c r="L5573" s="11"/>
      <c r="M5573" s="105"/>
      <c r="N5573" s="105"/>
      <c r="O5573" s="11"/>
      <c r="P5573" s="11"/>
      <c r="Q5573" s="105"/>
      <c r="R5573" s="105"/>
      <c r="S5573" s="105"/>
      <c r="T5573" s="105"/>
      <c r="U5573" s="105"/>
      <c r="V5573" s="105"/>
      <c r="W5573" s="105"/>
      <c r="X5573" s="11"/>
      <c r="Y5573" s="11"/>
      <c r="Z5573" s="105"/>
      <c r="AA5573" s="11"/>
      <c r="AB5573" s="11"/>
      <c r="AC5573" s="105"/>
      <c r="AD5573" s="11" t="b">
        <v>0</v>
      </c>
      <c r="AE5573" s="105"/>
      <c r="AF5573" s="11"/>
      <c r="AG5573" s="11"/>
      <c r="AH5573" s="11"/>
      <c r="AI5573" s="11"/>
    </row>
    <row r="5574" ht="12.5" spans="3:35">
      <c r="C5574" s="19"/>
      <c r="D5574" s="19"/>
      <c r="H5574" s="105"/>
      <c r="I5574" s="126"/>
      <c r="J5574" s="11"/>
      <c r="K5574" s="108"/>
      <c r="L5574" s="11"/>
      <c r="M5574" s="105"/>
      <c r="N5574" s="105"/>
      <c r="O5574" s="11"/>
      <c r="P5574" s="11"/>
      <c r="Q5574" s="105"/>
      <c r="R5574" s="105"/>
      <c r="S5574" s="105"/>
      <c r="T5574" s="105"/>
      <c r="U5574" s="105"/>
      <c r="V5574" s="105"/>
      <c r="W5574" s="105"/>
      <c r="X5574" s="11"/>
      <c r="Y5574" s="11"/>
      <c r="Z5574" s="105"/>
      <c r="AA5574" s="11"/>
      <c r="AB5574" s="11"/>
      <c r="AC5574" s="105"/>
      <c r="AD5574" s="11" t="b">
        <v>0</v>
      </c>
      <c r="AE5574" s="105"/>
      <c r="AF5574" s="11"/>
      <c r="AG5574" s="11"/>
      <c r="AH5574" s="11"/>
      <c r="AI5574" s="11"/>
    </row>
    <row r="5575" ht="12.5" spans="3:35">
      <c r="C5575" s="19"/>
      <c r="D5575" s="19"/>
      <c r="H5575" s="105"/>
      <c r="I5575" s="126"/>
      <c r="J5575" s="11"/>
      <c r="K5575" s="108"/>
      <c r="L5575" s="11"/>
      <c r="M5575" s="105"/>
      <c r="N5575" s="105"/>
      <c r="O5575" s="11"/>
      <c r="P5575" s="11"/>
      <c r="Q5575" s="105"/>
      <c r="R5575" s="105"/>
      <c r="S5575" s="105"/>
      <c r="T5575" s="105"/>
      <c r="U5575" s="105"/>
      <c r="V5575" s="105"/>
      <c r="W5575" s="105"/>
      <c r="X5575" s="11"/>
      <c r="Y5575" s="11"/>
      <c r="Z5575" s="105"/>
      <c r="AA5575" s="11"/>
      <c r="AB5575" s="11"/>
      <c r="AC5575" s="105"/>
      <c r="AD5575" s="11" t="b">
        <v>0</v>
      </c>
      <c r="AE5575" s="105"/>
      <c r="AF5575" s="11"/>
      <c r="AG5575" s="11"/>
      <c r="AH5575" s="11"/>
      <c r="AI5575" s="11"/>
    </row>
    <row r="5576" ht="12.5" spans="3:35">
      <c r="C5576" s="19"/>
      <c r="D5576" s="19"/>
      <c r="H5576" s="105"/>
      <c r="I5576" s="126"/>
      <c r="J5576" s="11"/>
      <c r="K5576" s="108"/>
      <c r="L5576" s="11"/>
      <c r="M5576" s="105"/>
      <c r="N5576" s="105"/>
      <c r="O5576" s="11"/>
      <c r="P5576" s="11"/>
      <c r="Q5576" s="105"/>
      <c r="R5576" s="105"/>
      <c r="S5576" s="105"/>
      <c r="T5576" s="105"/>
      <c r="U5576" s="105"/>
      <c r="V5576" s="105"/>
      <c r="W5576" s="105"/>
      <c r="X5576" s="11"/>
      <c r="Y5576" s="11"/>
      <c r="Z5576" s="105"/>
      <c r="AA5576" s="11"/>
      <c r="AB5576" s="11"/>
      <c r="AC5576" s="105"/>
      <c r="AD5576" s="11" t="b">
        <v>0</v>
      </c>
      <c r="AE5576" s="105"/>
      <c r="AF5576" s="11"/>
      <c r="AG5576" s="11"/>
      <c r="AH5576" s="11"/>
      <c r="AI5576" s="11"/>
    </row>
    <row r="5577" ht="12.5" spans="3:35">
      <c r="C5577" s="19"/>
      <c r="D5577" s="19"/>
      <c r="H5577" s="105"/>
      <c r="I5577" s="126"/>
      <c r="J5577" s="11"/>
      <c r="K5577" s="108"/>
      <c r="L5577" s="11"/>
      <c r="M5577" s="105"/>
      <c r="N5577" s="105"/>
      <c r="O5577" s="11"/>
      <c r="P5577" s="11"/>
      <c r="Q5577" s="105"/>
      <c r="R5577" s="105"/>
      <c r="S5577" s="105"/>
      <c r="T5577" s="105"/>
      <c r="U5577" s="105"/>
      <c r="V5577" s="105"/>
      <c r="W5577" s="105"/>
      <c r="X5577" s="11"/>
      <c r="Y5577" s="11"/>
      <c r="Z5577" s="105"/>
      <c r="AA5577" s="11"/>
      <c r="AB5577" s="11"/>
      <c r="AC5577" s="105"/>
      <c r="AD5577" s="11" t="b">
        <v>0</v>
      </c>
      <c r="AE5577" s="105"/>
      <c r="AF5577" s="11"/>
      <c r="AG5577" s="11"/>
      <c r="AH5577" s="11"/>
      <c r="AI5577" s="11"/>
    </row>
    <row r="5578" ht="12.5" spans="3:35">
      <c r="C5578" s="19"/>
      <c r="D5578" s="19"/>
      <c r="H5578" s="105"/>
      <c r="I5578" s="126"/>
      <c r="J5578" s="11"/>
      <c r="K5578" s="108"/>
      <c r="L5578" s="11"/>
      <c r="M5578" s="105"/>
      <c r="N5578" s="105"/>
      <c r="O5578" s="11"/>
      <c r="P5578" s="11"/>
      <c r="Q5578" s="105"/>
      <c r="R5578" s="105"/>
      <c r="S5578" s="105"/>
      <c r="T5578" s="105"/>
      <c r="U5578" s="105"/>
      <c r="V5578" s="105"/>
      <c r="W5578" s="105"/>
      <c r="X5578" s="11"/>
      <c r="Y5578" s="11"/>
      <c r="Z5578" s="105"/>
      <c r="AA5578" s="11"/>
      <c r="AB5578" s="11"/>
      <c r="AC5578" s="105"/>
      <c r="AD5578" s="11" t="b">
        <v>0</v>
      </c>
      <c r="AE5578" s="105"/>
      <c r="AF5578" s="11"/>
      <c r="AG5578" s="11"/>
      <c r="AH5578" s="11"/>
      <c r="AI5578" s="11"/>
    </row>
    <row r="5579" ht="12.5" spans="3:35">
      <c r="C5579" s="19"/>
      <c r="D5579" s="19"/>
      <c r="H5579" s="105"/>
      <c r="I5579" s="126"/>
      <c r="J5579" s="11"/>
      <c r="K5579" s="108"/>
      <c r="L5579" s="11"/>
      <c r="M5579" s="105"/>
      <c r="N5579" s="105"/>
      <c r="O5579" s="11"/>
      <c r="P5579" s="11"/>
      <c r="Q5579" s="105"/>
      <c r="R5579" s="105"/>
      <c r="S5579" s="105"/>
      <c r="T5579" s="105"/>
      <c r="U5579" s="105"/>
      <c r="V5579" s="105"/>
      <c r="W5579" s="105"/>
      <c r="X5579" s="11"/>
      <c r="Y5579" s="11"/>
      <c r="Z5579" s="105"/>
      <c r="AA5579" s="11"/>
      <c r="AB5579" s="11"/>
      <c r="AC5579" s="105"/>
      <c r="AD5579" s="11" t="b">
        <v>0</v>
      </c>
      <c r="AE5579" s="105"/>
      <c r="AF5579" s="11"/>
      <c r="AG5579" s="11"/>
      <c r="AH5579" s="11"/>
      <c r="AI5579" s="11"/>
    </row>
    <row r="5580" ht="12.5" spans="3:35">
      <c r="C5580" s="19"/>
      <c r="D5580" s="19"/>
      <c r="H5580" s="105"/>
      <c r="I5580" s="126"/>
      <c r="J5580" s="11"/>
      <c r="K5580" s="108"/>
      <c r="L5580" s="11"/>
      <c r="M5580" s="105"/>
      <c r="N5580" s="105"/>
      <c r="O5580" s="11"/>
      <c r="P5580" s="11"/>
      <c r="Q5580" s="105"/>
      <c r="R5580" s="105"/>
      <c r="S5580" s="105"/>
      <c r="T5580" s="105"/>
      <c r="U5580" s="105"/>
      <c r="V5580" s="105"/>
      <c r="W5580" s="105"/>
      <c r="X5580" s="11"/>
      <c r="Y5580" s="11"/>
      <c r="Z5580" s="105"/>
      <c r="AA5580" s="11"/>
      <c r="AB5580" s="11"/>
      <c r="AC5580" s="105"/>
      <c r="AD5580" s="11" t="b">
        <v>0</v>
      </c>
      <c r="AE5580" s="105"/>
      <c r="AF5580" s="11"/>
      <c r="AG5580" s="11"/>
      <c r="AH5580" s="11"/>
      <c r="AI5580" s="11"/>
    </row>
    <row r="5581" ht="12.5" spans="3:35">
      <c r="C5581" s="19"/>
      <c r="D5581" s="19"/>
      <c r="H5581" s="105"/>
      <c r="I5581" s="126"/>
      <c r="J5581" s="11"/>
      <c r="K5581" s="108"/>
      <c r="L5581" s="11"/>
      <c r="M5581" s="105"/>
      <c r="N5581" s="105"/>
      <c r="O5581" s="11"/>
      <c r="P5581" s="11"/>
      <c r="Q5581" s="105"/>
      <c r="R5581" s="105"/>
      <c r="S5581" s="105"/>
      <c r="T5581" s="105"/>
      <c r="U5581" s="105"/>
      <c r="V5581" s="105"/>
      <c r="W5581" s="105"/>
      <c r="X5581" s="11"/>
      <c r="Y5581" s="11"/>
      <c r="Z5581" s="105"/>
      <c r="AA5581" s="11"/>
      <c r="AB5581" s="11"/>
      <c r="AC5581" s="105"/>
      <c r="AD5581" s="11" t="b">
        <v>0</v>
      </c>
      <c r="AE5581" s="105"/>
      <c r="AF5581" s="11"/>
      <c r="AG5581" s="11"/>
      <c r="AH5581" s="11"/>
      <c r="AI5581" s="11"/>
    </row>
    <row r="5582" ht="12.5" spans="3:35">
      <c r="C5582" s="19"/>
      <c r="D5582" s="19"/>
      <c r="H5582" s="105"/>
      <c r="I5582" s="126"/>
      <c r="J5582" s="11"/>
      <c r="K5582" s="108"/>
      <c r="L5582" s="11"/>
      <c r="M5582" s="105"/>
      <c r="N5582" s="105"/>
      <c r="O5582" s="11"/>
      <c r="P5582" s="11"/>
      <c r="Q5582" s="105"/>
      <c r="R5582" s="105"/>
      <c r="S5582" s="105"/>
      <c r="T5582" s="105"/>
      <c r="U5582" s="105"/>
      <c r="V5582" s="105"/>
      <c r="W5582" s="105"/>
      <c r="X5582" s="11"/>
      <c r="Y5582" s="11"/>
      <c r="Z5582" s="105"/>
      <c r="AA5582" s="11"/>
      <c r="AB5582" s="11"/>
      <c r="AC5582" s="105"/>
      <c r="AD5582" s="11" t="b">
        <v>0</v>
      </c>
      <c r="AE5582" s="105"/>
      <c r="AF5582" s="11"/>
      <c r="AG5582" s="11"/>
      <c r="AH5582" s="11"/>
      <c r="AI5582" s="11"/>
    </row>
    <row r="5583" ht="12.5" spans="3:35">
      <c r="C5583" s="19"/>
      <c r="D5583" s="19"/>
      <c r="H5583" s="105"/>
      <c r="I5583" s="126"/>
      <c r="J5583" s="11"/>
      <c r="K5583" s="108"/>
      <c r="L5583" s="11"/>
      <c r="M5583" s="105"/>
      <c r="N5583" s="105"/>
      <c r="O5583" s="11"/>
      <c r="P5583" s="11"/>
      <c r="Q5583" s="105"/>
      <c r="R5583" s="105"/>
      <c r="S5583" s="105"/>
      <c r="T5583" s="105"/>
      <c r="U5583" s="105"/>
      <c r="V5583" s="105"/>
      <c r="W5583" s="105"/>
      <c r="X5583" s="11"/>
      <c r="Y5583" s="11"/>
      <c r="Z5583" s="105"/>
      <c r="AA5583" s="11"/>
      <c r="AB5583" s="11"/>
      <c r="AC5583" s="105"/>
      <c r="AD5583" s="11" t="b">
        <v>0</v>
      </c>
      <c r="AE5583" s="105"/>
      <c r="AF5583" s="11"/>
      <c r="AG5583" s="11"/>
      <c r="AH5583" s="11"/>
      <c r="AI5583" s="11"/>
    </row>
    <row r="5584" ht="12.5" spans="3:35">
      <c r="C5584" s="19"/>
      <c r="D5584" s="19"/>
      <c r="H5584" s="105"/>
      <c r="I5584" s="126"/>
      <c r="J5584" s="11"/>
      <c r="K5584" s="108"/>
      <c r="L5584" s="11"/>
      <c r="M5584" s="105"/>
      <c r="N5584" s="105"/>
      <c r="O5584" s="11"/>
      <c r="P5584" s="11"/>
      <c r="Q5584" s="105"/>
      <c r="R5584" s="105"/>
      <c r="S5584" s="105"/>
      <c r="T5584" s="105"/>
      <c r="U5584" s="105"/>
      <c r="V5584" s="105"/>
      <c r="W5584" s="105"/>
      <c r="X5584" s="11"/>
      <c r="Y5584" s="11"/>
      <c r="Z5584" s="105"/>
      <c r="AA5584" s="11"/>
      <c r="AB5584" s="11"/>
      <c r="AC5584" s="105"/>
      <c r="AD5584" s="11" t="b">
        <v>0</v>
      </c>
      <c r="AE5584" s="105"/>
      <c r="AF5584" s="11"/>
      <c r="AG5584" s="11"/>
      <c r="AH5584" s="11"/>
      <c r="AI5584" s="11"/>
    </row>
    <row r="5585" ht="12.5" spans="3:35">
      <c r="C5585" s="19"/>
      <c r="D5585" s="19"/>
      <c r="H5585" s="105"/>
      <c r="I5585" s="126"/>
      <c r="J5585" s="11"/>
      <c r="K5585" s="108"/>
      <c r="L5585" s="11"/>
      <c r="M5585" s="105"/>
      <c r="N5585" s="105"/>
      <c r="O5585" s="11"/>
      <c r="P5585" s="11"/>
      <c r="Q5585" s="105"/>
      <c r="R5585" s="105"/>
      <c r="S5585" s="105"/>
      <c r="T5585" s="105"/>
      <c r="U5585" s="105"/>
      <c r="V5585" s="105"/>
      <c r="W5585" s="105"/>
      <c r="X5585" s="11"/>
      <c r="Y5585" s="11"/>
      <c r="Z5585" s="105"/>
      <c r="AA5585" s="11"/>
      <c r="AB5585" s="11"/>
      <c r="AC5585" s="105"/>
      <c r="AD5585" s="11" t="b">
        <v>0</v>
      </c>
      <c r="AE5585" s="105"/>
      <c r="AF5585" s="11"/>
      <c r="AG5585" s="11"/>
      <c r="AH5585" s="11"/>
      <c r="AI5585" s="11"/>
    </row>
    <row r="5586" ht="12.5" spans="3:35">
      <c r="C5586" s="19"/>
      <c r="D5586" s="19"/>
      <c r="H5586" s="105"/>
      <c r="I5586" s="126"/>
      <c r="J5586" s="11"/>
      <c r="K5586" s="108"/>
      <c r="L5586" s="11"/>
      <c r="M5586" s="105"/>
      <c r="N5586" s="105"/>
      <c r="O5586" s="11"/>
      <c r="P5586" s="11"/>
      <c r="Q5586" s="105"/>
      <c r="R5586" s="105"/>
      <c r="S5586" s="105"/>
      <c r="T5586" s="105"/>
      <c r="U5586" s="105"/>
      <c r="V5586" s="105"/>
      <c r="W5586" s="105"/>
      <c r="X5586" s="11"/>
      <c r="Y5586" s="11"/>
      <c r="Z5586" s="105"/>
      <c r="AA5586" s="11"/>
      <c r="AB5586" s="11"/>
      <c r="AC5586" s="105"/>
      <c r="AD5586" s="11" t="b">
        <v>0</v>
      </c>
      <c r="AE5586" s="105"/>
      <c r="AF5586" s="11"/>
      <c r="AG5586" s="11"/>
      <c r="AH5586" s="11"/>
      <c r="AI5586" s="11"/>
    </row>
    <row r="5587" ht="12.5" spans="3:35">
      <c r="C5587" s="19"/>
      <c r="D5587" s="19"/>
      <c r="H5587" s="105"/>
      <c r="I5587" s="126"/>
      <c r="J5587" s="11"/>
      <c r="K5587" s="108"/>
      <c r="L5587" s="11"/>
      <c r="M5587" s="105"/>
      <c r="N5587" s="105"/>
      <c r="O5587" s="11"/>
      <c r="P5587" s="11"/>
      <c r="Q5587" s="105"/>
      <c r="R5587" s="105"/>
      <c r="S5587" s="105"/>
      <c r="T5587" s="105"/>
      <c r="U5587" s="105"/>
      <c r="V5587" s="105"/>
      <c r="W5587" s="105"/>
      <c r="X5587" s="11"/>
      <c r="Y5587" s="11"/>
      <c r="Z5587" s="105"/>
      <c r="AA5587" s="11"/>
      <c r="AB5587" s="11"/>
      <c r="AC5587" s="105"/>
      <c r="AD5587" s="11" t="b">
        <v>0</v>
      </c>
      <c r="AE5587" s="105"/>
      <c r="AF5587" s="11"/>
      <c r="AG5587" s="11"/>
      <c r="AH5587" s="11"/>
      <c r="AI5587" s="11"/>
    </row>
    <row r="5588" ht="12.5" spans="3:35">
      <c r="C5588" s="19"/>
      <c r="D5588" s="19"/>
      <c r="H5588" s="105"/>
      <c r="I5588" s="126"/>
      <c r="J5588" s="11"/>
      <c r="K5588" s="108"/>
      <c r="L5588" s="11"/>
      <c r="M5588" s="105"/>
      <c r="N5588" s="105"/>
      <c r="O5588" s="11"/>
      <c r="P5588" s="11"/>
      <c r="Q5588" s="105"/>
      <c r="R5588" s="105"/>
      <c r="S5588" s="105"/>
      <c r="T5588" s="105"/>
      <c r="U5588" s="105"/>
      <c r="V5588" s="105"/>
      <c r="W5588" s="105"/>
      <c r="X5588" s="11"/>
      <c r="Y5588" s="11"/>
      <c r="Z5588" s="105"/>
      <c r="AA5588" s="11"/>
      <c r="AB5588" s="11"/>
      <c r="AC5588" s="105"/>
      <c r="AD5588" s="11" t="b">
        <v>0</v>
      </c>
      <c r="AE5588" s="105"/>
      <c r="AF5588" s="11"/>
      <c r="AG5588" s="11"/>
      <c r="AH5588" s="11"/>
      <c r="AI5588" s="11"/>
    </row>
    <row r="5589" ht="12.5" spans="3:35">
      <c r="C5589" s="19"/>
      <c r="D5589" s="19"/>
      <c r="H5589" s="105"/>
      <c r="I5589" s="126"/>
      <c r="J5589" s="11"/>
      <c r="K5589" s="108"/>
      <c r="L5589" s="11"/>
      <c r="M5589" s="105"/>
      <c r="N5589" s="105"/>
      <c r="O5589" s="11"/>
      <c r="P5589" s="11"/>
      <c r="Q5589" s="105"/>
      <c r="R5589" s="105"/>
      <c r="S5589" s="105"/>
      <c r="T5589" s="105"/>
      <c r="U5589" s="105"/>
      <c r="V5589" s="105"/>
      <c r="W5589" s="105"/>
      <c r="X5589" s="11"/>
      <c r="Y5589" s="11"/>
      <c r="Z5589" s="105"/>
      <c r="AA5589" s="11"/>
      <c r="AB5589" s="11"/>
      <c r="AC5589" s="105"/>
      <c r="AD5589" s="11" t="b">
        <v>0</v>
      </c>
      <c r="AE5589" s="105"/>
      <c r="AF5589" s="11"/>
      <c r="AG5589" s="11"/>
      <c r="AH5589" s="11"/>
      <c r="AI5589" s="11"/>
    </row>
    <row r="5590" ht="12.5" spans="3:35">
      <c r="C5590" s="19"/>
      <c r="D5590" s="19"/>
      <c r="H5590" s="105"/>
      <c r="I5590" s="126"/>
      <c r="J5590" s="11"/>
      <c r="K5590" s="108"/>
      <c r="L5590" s="11"/>
      <c r="M5590" s="105"/>
      <c r="N5590" s="105"/>
      <c r="O5590" s="11"/>
      <c r="P5590" s="11"/>
      <c r="Q5590" s="105"/>
      <c r="R5590" s="105"/>
      <c r="S5590" s="105"/>
      <c r="T5590" s="105"/>
      <c r="U5590" s="105"/>
      <c r="V5590" s="105"/>
      <c r="W5590" s="105"/>
      <c r="X5590" s="11"/>
      <c r="Y5590" s="11"/>
      <c r="Z5590" s="105"/>
      <c r="AA5590" s="11"/>
      <c r="AB5590" s="11"/>
      <c r="AC5590" s="105"/>
      <c r="AD5590" s="11" t="b">
        <v>0</v>
      </c>
      <c r="AE5590" s="105"/>
      <c r="AF5590" s="11"/>
      <c r="AG5590" s="11"/>
      <c r="AH5590" s="11"/>
      <c r="AI5590" s="11"/>
    </row>
    <row r="5591" ht="12.5" spans="3:35">
      <c r="C5591" s="19"/>
      <c r="D5591" s="19"/>
      <c r="H5591" s="105"/>
      <c r="I5591" s="126"/>
      <c r="J5591" s="11"/>
      <c r="K5591" s="108"/>
      <c r="L5591" s="11"/>
      <c r="M5591" s="105"/>
      <c r="N5591" s="105"/>
      <c r="O5591" s="11"/>
      <c r="P5591" s="11"/>
      <c r="Q5591" s="105"/>
      <c r="R5591" s="105"/>
      <c r="S5591" s="105"/>
      <c r="T5591" s="105"/>
      <c r="U5591" s="105"/>
      <c r="V5591" s="105"/>
      <c r="W5591" s="105"/>
      <c r="X5591" s="11"/>
      <c r="Y5591" s="11"/>
      <c r="Z5591" s="105"/>
      <c r="AA5591" s="11"/>
      <c r="AB5591" s="11"/>
      <c r="AC5591" s="105"/>
      <c r="AD5591" s="11" t="b">
        <v>0</v>
      </c>
      <c r="AE5591" s="105"/>
      <c r="AF5591" s="11"/>
      <c r="AG5591" s="11"/>
      <c r="AH5591" s="11"/>
      <c r="AI5591" s="11"/>
    </row>
    <row r="5592" ht="12.5" spans="3:35">
      <c r="C5592" s="19"/>
      <c r="D5592" s="19"/>
      <c r="H5592" s="105"/>
      <c r="I5592" s="126"/>
      <c r="J5592" s="11"/>
      <c r="K5592" s="108"/>
      <c r="L5592" s="11"/>
      <c r="M5592" s="105"/>
      <c r="N5592" s="105"/>
      <c r="O5592" s="11"/>
      <c r="P5592" s="11"/>
      <c r="Q5592" s="105"/>
      <c r="R5592" s="105"/>
      <c r="S5592" s="105"/>
      <c r="T5592" s="105"/>
      <c r="U5592" s="105"/>
      <c r="V5592" s="105"/>
      <c r="W5592" s="105"/>
      <c r="X5592" s="11"/>
      <c r="Y5592" s="11"/>
      <c r="Z5592" s="105"/>
      <c r="AA5592" s="11"/>
      <c r="AB5592" s="11"/>
      <c r="AC5592" s="105"/>
      <c r="AD5592" s="11" t="b">
        <v>0</v>
      </c>
      <c r="AE5592" s="105"/>
      <c r="AF5592" s="11"/>
      <c r="AG5592" s="11"/>
      <c r="AH5592" s="11"/>
      <c r="AI5592" s="11"/>
    </row>
    <row r="5593" ht="12.5" spans="3:35">
      <c r="C5593" s="19"/>
      <c r="D5593" s="19"/>
      <c r="H5593" s="105"/>
      <c r="I5593" s="126"/>
      <c r="J5593" s="11"/>
      <c r="K5593" s="108"/>
      <c r="L5593" s="11"/>
      <c r="M5593" s="105"/>
      <c r="N5593" s="105"/>
      <c r="O5593" s="11"/>
      <c r="P5593" s="11"/>
      <c r="Q5593" s="105"/>
      <c r="R5593" s="105"/>
      <c r="S5593" s="105"/>
      <c r="T5593" s="105"/>
      <c r="U5593" s="105"/>
      <c r="V5593" s="105"/>
      <c r="W5593" s="105"/>
      <c r="X5593" s="11"/>
      <c r="Y5593" s="11"/>
      <c r="Z5593" s="105"/>
      <c r="AA5593" s="11"/>
      <c r="AB5593" s="11"/>
      <c r="AC5593" s="105"/>
      <c r="AD5593" s="11" t="b">
        <v>0</v>
      </c>
      <c r="AE5593" s="105"/>
      <c r="AF5593" s="11"/>
      <c r="AG5593" s="11"/>
      <c r="AH5593" s="11"/>
      <c r="AI5593" s="11"/>
    </row>
    <row r="5594" ht="12.5" spans="3:35">
      <c r="C5594" s="19"/>
      <c r="D5594" s="19"/>
      <c r="H5594" s="105"/>
      <c r="I5594" s="126"/>
      <c r="J5594" s="11"/>
      <c r="K5594" s="108"/>
      <c r="L5594" s="11"/>
      <c r="M5594" s="105"/>
      <c r="N5594" s="105"/>
      <c r="O5594" s="11"/>
      <c r="P5594" s="11"/>
      <c r="Q5594" s="105"/>
      <c r="R5594" s="105"/>
      <c r="S5594" s="105"/>
      <c r="T5594" s="105"/>
      <c r="U5594" s="105"/>
      <c r="V5594" s="105"/>
      <c r="W5594" s="105"/>
      <c r="X5594" s="11"/>
      <c r="Y5594" s="11"/>
      <c r="Z5594" s="105"/>
      <c r="AA5594" s="11"/>
      <c r="AB5594" s="11"/>
      <c r="AC5594" s="105"/>
      <c r="AD5594" s="11" t="b">
        <v>0</v>
      </c>
      <c r="AE5594" s="105"/>
      <c r="AF5594" s="11"/>
      <c r="AG5594" s="11"/>
      <c r="AH5594" s="11"/>
      <c r="AI5594" s="11"/>
    </row>
    <row r="5595" ht="12.5" spans="3:35">
      <c r="C5595" s="19"/>
      <c r="D5595" s="19"/>
      <c r="H5595" s="105"/>
      <c r="I5595" s="126"/>
      <c r="J5595" s="11"/>
      <c r="K5595" s="108"/>
      <c r="L5595" s="11"/>
      <c r="M5595" s="105"/>
      <c r="N5595" s="105"/>
      <c r="O5595" s="11"/>
      <c r="P5595" s="11"/>
      <c r="Q5595" s="105"/>
      <c r="R5595" s="105"/>
      <c r="S5595" s="105"/>
      <c r="T5595" s="105"/>
      <c r="U5595" s="105"/>
      <c r="V5595" s="105"/>
      <c r="W5595" s="105"/>
      <c r="X5595" s="11"/>
      <c r="Y5595" s="11"/>
      <c r="Z5595" s="105"/>
      <c r="AA5595" s="11"/>
      <c r="AB5595" s="11"/>
      <c r="AC5595" s="105"/>
      <c r="AD5595" s="11" t="b">
        <v>0</v>
      </c>
      <c r="AE5595" s="105"/>
      <c r="AF5595" s="11"/>
      <c r="AG5595" s="11"/>
      <c r="AH5595" s="11"/>
      <c r="AI5595" s="11"/>
    </row>
    <row r="5596" ht="12.5" spans="3:35">
      <c r="C5596" s="19"/>
      <c r="D5596" s="19"/>
      <c r="H5596" s="105"/>
      <c r="I5596" s="126"/>
      <c r="J5596" s="11"/>
      <c r="K5596" s="108"/>
      <c r="L5596" s="11"/>
      <c r="M5596" s="105"/>
      <c r="N5596" s="105"/>
      <c r="O5596" s="11"/>
      <c r="P5596" s="11"/>
      <c r="Q5596" s="105"/>
      <c r="R5596" s="105"/>
      <c r="S5596" s="105"/>
      <c r="T5596" s="105"/>
      <c r="U5596" s="105"/>
      <c r="V5596" s="105"/>
      <c r="W5596" s="105"/>
      <c r="X5596" s="11"/>
      <c r="Y5596" s="11"/>
      <c r="Z5596" s="105"/>
      <c r="AA5596" s="11"/>
      <c r="AB5596" s="11"/>
      <c r="AC5596" s="105"/>
      <c r="AD5596" s="11" t="b">
        <v>0</v>
      </c>
      <c r="AE5596" s="105"/>
      <c r="AF5596" s="11"/>
      <c r="AG5596" s="11"/>
      <c r="AH5596" s="11"/>
      <c r="AI5596" s="11"/>
    </row>
    <row r="5597" ht="12.5" spans="3:35">
      <c r="C5597" s="19"/>
      <c r="D5597" s="19"/>
      <c r="H5597" s="105"/>
      <c r="I5597" s="126"/>
      <c r="J5597" s="11"/>
      <c r="K5597" s="108"/>
      <c r="L5597" s="11"/>
      <c r="M5597" s="105"/>
      <c r="N5597" s="105"/>
      <c r="O5597" s="11"/>
      <c r="P5597" s="11"/>
      <c r="Q5597" s="105"/>
      <c r="R5597" s="105"/>
      <c r="S5597" s="105"/>
      <c r="T5597" s="105"/>
      <c r="U5597" s="105"/>
      <c r="V5597" s="105"/>
      <c r="W5597" s="105"/>
      <c r="X5597" s="11"/>
      <c r="Y5597" s="11"/>
      <c r="Z5597" s="105"/>
      <c r="AA5597" s="11"/>
      <c r="AB5597" s="11"/>
      <c r="AC5597" s="105"/>
      <c r="AD5597" s="11" t="b">
        <v>0</v>
      </c>
      <c r="AE5597" s="105"/>
      <c r="AF5597" s="11"/>
      <c r="AG5597" s="11"/>
      <c r="AH5597" s="11"/>
      <c r="AI5597" s="11"/>
    </row>
    <row r="5598" ht="12.5" spans="3:35">
      <c r="C5598" s="19"/>
      <c r="D5598" s="19"/>
      <c r="H5598" s="105"/>
      <c r="I5598" s="126"/>
      <c r="J5598" s="11"/>
      <c r="K5598" s="108"/>
      <c r="L5598" s="11"/>
      <c r="M5598" s="105"/>
      <c r="N5598" s="105"/>
      <c r="O5598" s="11"/>
      <c r="P5598" s="11"/>
      <c r="Q5598" s="105"/>
      <c r="R5598" s="105"/>
      <c r="S5598" s="105"/>
      <c r="T5598" s="105"/>
      <c r="U5598" s="105"/>
      <c r="V5598" s="105"/>
      <c r="W5598" s="105"/>
      <c r="X5598" s="11"/>
      <c r="Y5598" s="11"/>
      <c r="Z5598" s="105"/>
      <c r="AA5598" s="11"/>
      <c r="AB5598" s="11"/>
      <c r="AC5598" s="105"/>
      <c r="AD5598" s="11" t="b">
        <v>0</v>
      </c>
      <c r="AE5598" s="105"/>
      <c r="AF5598" s="11"/>
      <c r="AG5598" s="11"/>
      <c r="AH5598" s="11"/>
      <c r="AI5598" s="11"/>
    </row>
    <row r="5599" ht="12.5" spans="3:35">
      <c r="C5599" s="19"/>
      <c r="D5599" s="19"/>
      <c r="H5599" s="105"/>
      <c r="I5599" s="126"/>
      <c r="J5599" s="11"/>
      <c r="K5599" s="108"/>
      <c r="L5599" s="11"/>
      <c r="M5599" s="105"/>
      <c r="N5599" s="105"/>
      <c r="O5599" s="11"/>
      <c r="P5599" s="11"/>
      <c r="Q5599" s="105"/>
      <c r="R5599" s="105"/>
      <c r="S5599" s="105"/>
      <c r="T5599" s="105"/>
      <c r="U5599" s="105"/>
      <c r="V5599" s="105"/>
      <c r="W5599" s="105"/>
      <c r="X5599" s="11"/>
      <c r="Y5599" s="11"/>
      <c r="Z5599" s="105"/>
      <c r="AA5599" s="11"/>
      <c r="AB5599" s="11"/>
      <c r="AC5599" s="105"/>
      <c r="AD5599" s="11" t="b">
        <v>0</v>
      </c>
      <c r="AE5599" s="105"/>
      <c r="AF5599" s="11"/>
      <c r="AG5599" s="11"/>
      <c r="AH5599" s="11"/>
      <c r="AI5599" s="11"/>
    </row>
    <row r="5600" ht="12.5" spans="3:35">
      <c r="C5600" s="19"/>
      <c r="D5600" s="19"/>
      <c r="H5600" s="105"/>
      <c r="I5600" s="126"/>
      <c r="J5600" s="11"/>
      <c r="K5600" s="108"/>
      <c r="L5600" s="11"/>
      <c r="M5600" s="105"/>
      <c r="N5600" s="105"/>
      <c r="O5600" s="11"/>
      <c r="P5600" s="11"/>
      <c r="Q5600" s="105"/>
      <c r="R5600" s="105"/>
      <c r="S5600" s="105"/>
      <c r="T5600" s="105"/>
      <c r="U5600" s="105"/>
      <c r="V5600" s="105"/>
      <c r="W5600" s="105"/>
      <c r="X5600" s="11"/>
      <c r="Y5600" s="11"/>
      <c r="Z5600" s="105"/>
      <c r="AA5600" s="11"/>
      <c r="AB5600" s="11"/>
      <c r="AC5600" s="105"/>
      <c r="AD5600" s="11" t="b">
        <v>0</v>
      </c>
      <c r="AE5600" s="105"/>
      <c r="AF5600" s="11"/>
      <c r="AG5600" s="11"/>
      <c r="AH5600" s="11"/>
      <c r="AI5600" s="11"/>
    </row>
    <row r="5601" ht="12.5" spans="3:35">
      <c r="C5601" s="19"/>
      <c r="D5601" s="19"/>
      <c r="H5601" s="105"/>
      <c r="I5601" s="126"/>
      <c r="J5601" s="11"/>
      <c r="K5601" s="108"/>
      <c r="L5601" s="11"/>
      <c r="M5601" s="105"/>
      <c r="N5601" s="105"/>
      <c r="O5601" s="11"/>
      <c r="P5601" s="11"/>
      <c r="Q5601" s="105"/>
      <c r="R5601" s="105"/>
      <c r="S5601" s="105"/>
      <c r="T5601" s="105"/>
      <c r="U5601" s="105"/>
      <c r="V5601" s="105"/>
      <c r="W5601" s="105"/>
      <c r="X5601" s="11"/>
      <c r="Y5601" s="11"/>
      <c r="Z5601" s="105"/>
      <c r="AA5601" s="11"/>
      <c r="AB5601" s="11"/>
      <c r="AC5601" s="105"/>
      <c r="AD5601" s="11" t="b">
        <v>0</v>
      </c>
      <c r="AE5601" s="105"/>
      <c r="AF5601" s="11"/>
      <c r="AG5601" s="11"/>
      <c r="AH5601" s="11"/>
      <c r="AI5601" s="11"/>
    </row>
    <row r="5602" ht="12.5" spans="3:35">
      <c r="C5602" s="19"/>
      <c r="D5602" s="19"/>
      <c r="H5602" s="105"/>
      <c r="I5602" s="126"/>
      <c r="J5602" s="11"/>
      <c r="K5602" s="108"/>
      <c r="L5602" s="11"/>
      <c r="M5602" s="105"/>
      <c r="N5602" s="105"/>
      <c r="O5602" s="11"/>
      <c r="P5602" s="11"/>
      <c r="Q5602" s="105"/>
      <c r="R5602" s="105"/>
      <c r="S5602" s="105"/>
      <c r="T5602" s="105"/>
      <c r="U5602" s="105"/>
      <c r="V5602" s="105"/>
      <c r="W5602" s="105"/>
      <c r="X5602" s="11"/>
      <c r="Y5602" s="11"/>
      <c r="Z5602" s="105"/>
      <c r="AA5602" s="11"/>
      <c r="AB5602" s="11"/>
      <c r="AC5602" s="105"/>
      <c r="AD5602" s="11" t="b">
        <v>0</v>
      </c>
      <c r="AE5602" s="105"/>
      <c r="AF5602" s="11"/>
      <c r="AG5602" s="11"/>
      <c r="AH5602" s="11"/>
      <c r="AI5602" s="11"/>
    </row>
    <row r="5603" ht="12.5" spans="3:35">
      <c r="C5603" s="19"/>
      <c r="D5603" s="19"/>
      <c r="H5603" s="105"/>
      <c r="I5603" s="126"/>
      <c r="J5603" s="11"/>
      <c r="K5603" s="108"/>
      <c r="L5603" s="11"/>
      <c r="M5603" s="105"/>
      <c r="N5603" s="105"/>
      <c r="O5603" s="11"/>
      <c r="P5603" s="11"/>
      <c r="Q5603" s="105"/>
      <c r="R5603" s="105"/>
      <c r="S5603" s="105"/>
      <c r="T5603" s="105"/>
      <c r="U5603" s="105"/>
      <c r="V5603" s="105"/>
      <c r="W5603" s="105"/>
      <c r="X5603" s="11"/>
      <c r="Y5603" s="11"/>
      <c r="Z5603" s="105"/>
      <c r="AA5603" s="11"/>
      <c r="AB5603" s="11"/>
      <c r="AC5603" s="105"/>
      <c r="AD5603" s="11" t="b">
        <v>0</v>
      </c>
      <c r="AE5603" s="105"/>
      <c r="AF5603" s="11"/>
      <c r="AG5603" s="11"/>
      <c r="AH5603" s="11"/>
      <c r="AI5603" s="11"/>
    </row>
    <row r="5604" ht="12.5" spans="3:35">
      <c r="C5604" s="19"/>
      <c r="D5604" s="19"/>
      <c r="H5604" s="105"/>
      <c r="I5604" s="126"/>
      <c r="J5604" s="11"/>
      <c r="K5604" s="108"/>
      <c r="L5604" s="11"/>
      <c r="M5604" s="105"/>
      <c r="N5604" s="105"/>
      <c r="O5604" s="11"/>
      <c r="P5604" s="11"/>
      <c r="Q5604" s="105"/>
      <c r="R5604" s="105"/>
      <c r="S5604" s="105"/>
      <c r="T5604" s="105"/>
      <c r="U5604" s="105"/>
      <c r="V5604" s="105"/>
      <c r="W5604" s="105"/>
      <c r="X5604" s="11"/>
      <c r="Y5604" s="11"/>
      <c r="Z5604" s="105"/>
      <c r="AA5604" s="11"/>
      <c r="AB5604" s="11"/>
      <c r="AC5604" s="105"/>
      <c r="AD5604" s="11" t="b">
        <v>0</v>
      </c>
      <c r="AE5604" s="105"/>
      <c r="AF5604" s="11"/>
      <c r="AG5604" s="11"/>
      <c r="AH5604" s="11"/>
      <c r="AI5604" s="11"/>
    </row>
    <row r="5605" ht="12.5" spans="3:35">
      <c r="C5605" s="19"/>
      <c r="D5605" s="19"/>
      <c r="H5605" s="105"/>
      <c r="I5605" s="126"/>
      <c r="J5605" s="11"/>
      <c r="K5605" s="108"/>
      <c r="L5605" s="11"/>
      <c r="M5605" s="105"/>
      <c r="N5605" s="105"/>
      <c r="O5605" s="11"/>
      <c r="P5605" s="11"/>
      <c r="Q5605" s="105"/>
      <c r="R5605" s="105"/>
      <c r="S5605" s="105"/>
      <c r="T5605" s="105"/>
      <c r="U5605" s="105"/>
      <c r="V5605" s="105"/>
      <c r="W5605" s="105"/>
      <c r="X5605" s="11"/>
      <c r="Y5605" s="11"/>
      <c r="Z5605" s="105"/>
      <c r="AA5605" s="11"/>
      <c r="AB5605" s="11"/>
      <c r="AC5605" s="105"/>
      <c r="AD5605" s="11" t="b">
        <v>0</v>
      </c>
      <c r="AE5605" s="105"/>
      <c r="AF5605" s="11"/>
      <c r="AG5605" s="11"/>
      <c r="AH5605" s="11"/>
      <c r="AI5605" s="11"/>
    </row>
    <row r="5606" ht="12.5" spans="3:35">
      <c r="C5606" s="19"/>
      <c r="D5606" s="19"/>
      <c r="H5606" s="105"/>
      <c r="I5606" s="126"/>
      <c r="J5606" s="11"/>
      <c r="K5606" s="108"/>
      <c r="L5606" s="11"/>
      <c r="M5606" s="105"/>
      <c r="N5606" s="105"/>
      <c r="O5606" s="11"/>
      <c r="P5606" s="11"/>
      <c r="Q5606" s="105"/>
      <c r="R5606" s="105"/>
      <c r="S5606" s="105"/>
      <c r="T5606" s="105"/>
      <c r="U5606" s="105"/>
      <c r="V5606" s="105"/>
      <c r="W5606" s="105"/>
      <c r="X5606" s="11"/>
      <c r="Y5606" s="11"/>
      <c r="Z5606" s="105"/>
      <c r="AA5606" s="11"/>
      <c r="AB5606" s="11"/>
      <c r="AC5606" s="105"/>
      <c r="AD5606" s="11" t="b">
        <v>0</v>
      </c>
      <c r="AE5606" s="105"/>
      <c r="AF5606" s="11"/>
      <c r="AG5606" s="11"/>
      <c r="AH5606" s="11"/>
      <c r="AI5606" s="11"/>
    </row>
    <row r="5607" ht="12.5" spans="3:35">
      <c r="C5607" s="19"/>
      <c r="D5607" s="19"/>
      <c r="H5607" s="105"/>
      <c r="I5607" s="126"/>
      <c r="J5607" s="11"/>
      <c r="K5607" s="108"/>
      <c r="L5607" s="11"/>
      <c r="M5607" s="105"/>
      <c r="N5607" s="105"/>
      <c r="O5607" s="11"/>
      <c r="P5607" s="11"/>
      <c r="Q5607" s="105"/>
      <c r="R5607" s="105"/>
      <c r="S5607" s="105"/>
      <c r="T5607" s="105"/>
      <c r="U5607" s="105"/>
      <c r="V5607" s="105"/>
      <c r="W5607" s="105"/>
      <c r="X5607" s="11"/>
      <c r="Y5607" s="11"/>
      <c r="Z5607" s="105"/>
      <c r="AA5607" s="11"/>
      <c r="AB5607" s="11"/>
      <c r="AC5607" s="105"/>
      <c r="AD5607" s="11" t="b">
        <v>0</v>
      </c>
      <c r="AE5607" s="105"/>
      <c r="AF5607" s="11"/>
      <c r="AG5607" s="11"/>
      <c r="AH5607" s="11"/>
      <c r="AI5607" s="11"/>
    </row>
    <row r="5608" ht="12.5" spans="3:35">
      <c r="C5608" s="19"/>
      <c r="D5608" s="19"/>
      <c r="H5608" s="105"/>
      <c r="I5608" s="126"/>
      <c r="J5608" s="11"/>
      <c r="K5608" s="108"/>
      <c r="L5608" s="11"/>
      <c r="M5608" s="105"/>
      <c r="N5608" s="105"/>
      <c r="O5608" s="11"/>
      <c r="P5608" s="11"/>
      <c r="Q5608" s="105"/>
      <c r="R5608" s="105"/>
      <c r="S5608" s="105"/>
      <c r="T5608" s="105"/>
      <c r="U5608" s="105"/>
      <c r="V5608" s="105"/>
      <c r="W5608" s="105"/>
      <c r="X5608" s="11"/>
      <c r="Y5608" s="11"/>
      <c r="Z5608" s="105"/>
      <c r="AA5608" s="11"/>
      <c r="AB5608" s="11"/>
      <c r="AC5608" s="105"/>
      <c r="AD5608" s="11" t="b">
        <v>0</v>
      </c>
      <c r="AE5608" s="105"/>
      <c r="AF5608" s="11"/>
      <c r="AG5608" s="11"/>
      <c r="AH5608" s="11"/>
      <c r="AI5608" s="11"/>
    </row>
    <row r="5609" ht="12.5" spans="3:35">
      <c r="C5609" s="19"/>
      <c r="D5609" s="19"/>
      <c r="H5609" s="105"/>
      <c r="I5609" s="126"/>
      <c r="J5609" s="11"/>
      <c r="K5609" s="108"/>
      <c r="L5609" s="11"/>
      <c r="M5609" s="105"/>
      <c r="N5609" s="105"/>
      <c r="O5609" s="11"/>
      <c r="P5609" s="11"/>
      <c r="Q5609" s="105"/>
      <c r="R5609" s="105"/>
      <c r="S5609" s="105"/>
      <c r="T5609" s="105"/>
      <c r="U5609" s="105"/>
      <c r="V5609" s="105"/>
      <c r="W5609" s="105"/>
      <c r="X5609" s="11"/>
      <c r="Y5609" s="11"/>
      <c r="Z5609" s="105"/>
      <c r="AA5609" s="11"/>
      <c r="AB5609" s="11"/>
      <c r="AC5609" s="105"/>
      <c r="AD5609" s="11" t="b">
        <v>0</v>
      </c>
      <c r="AE5609" s="105"/>
      <c r="AF5609" s="11"/>
      <c r="AG5609" s="11"/>
      <c r="AH5609" s="11"/>
      <c r="AI5609" s="11"/>
    </row>
    <row r="5610" ht="12.5" spans="3:35">
      <c r="C5610" s="19"/>
      <c r="D5610" s="19"/>
      <c r="H5610" s="105"/>
      <c r="I5610" s="126"/>
      <c r="J5610" s="11"/>
      <c r="K5610" s="108"/>
      <c r="L5610" s="11"/>
      <c r="M5610" s="105"/>
      <c r="N5610" s="105"/>
      <c r="O5610" s="11"/>
      <c r="P5610" s="11"/>
      <c r="Q5610" s="105"/>
      <c r="R5610" s="105"/>
      <c r="S5610" s="105"/>
      <c r="T5610" s="105"/>
      <c r="U5610" s="105"/>
      <c r="V5610" s="105"/>
      <c r="W5610" s="105"/>
      <c r="X5610" s="11"/>
      <c r="Y5610" s="11"/>
      <c r="Z5610" s="105"/>
      <c r="AA5610" s="11"/>
      <c r="AB5610" s="11"/>
      <c r="AC5610" s="105"/>
      <c r="AD5610" s="11" t="b">
        <v>0</v>
      </c>
      <c r="AE5610" s="105"/>
      <c r="AF5610" s="11"/>
      <c r="AG5610" s="11"/>
      <c r="AH5610" s="11"/>
      <c r="AI5610" s="11"/>
    </row>
    <row r="5611" ht="12.5" spans="3:35">
      <c r="C5611" s="19"/>
      <c r="D5611" s="19"/>
      <c r="H5611" s="105"/>
      <c r="I5611" s="126"/>
      <c r="J5611" s="11"/>
      <c r="K5611" s="108"/>
      <c r="L5611" s="11"/>
      <c r="M5611" s="105"/>
      <c r="N5611" s="105"/>
      <c r="O5611" s="11"/>
      <c r="P5611" s="11"/>
      <c r="Q5611" s="105"/>
      <c r="R5611" s="105"/>
      <c r="S5611" s="105"/>
      <c r="T5611" s="105"/>
      <c r="U5611" s="105"/>
      <c r="V5611" s="105"/>
      <c r="W5611" s="105"/>
      <c r="X5611" s="11"/>
      <c r="Y5611" s="11"/>
      <c r="Z5611" s="105"/>
      <c r="AA5611" s="11"/>
      <c r="AB5611" s="11"/>
      <c r="AC5611" s="105"/>
      <c r="AD5611" s="11" t="b">
        <v>0</v>
      </c>
      <c r="AE5611" s="105"/>
      <c r="AF5611" s="11"/>
      <c r="AG5611" s="11"/>
      <c r="AH5611" s="11"/>
      <c r="AI5611" s="11"/>
    </row>
    <row r="5612" ht="12.5" spans="3:35">
      <c r="C5612" s="19"/>
      <c r="D5612" s="19"/>
      <c r="H5612" s="105"/>
      <c r="I5612" s="126"/>
      <c r="J5612" s="11"/>
      <c r="K5612" s="108"/>
      <c r="L5612" s="11"/>
      <c r="M5612" s="105"/>
      <c r="N5612" s="105"/>
      <c r="O5612" s="11"/>
      <c r="P5612" s="11"/>
      <c r="Q5612" s="105"/>
      <c r="R5612" s="105"/>
      <c r="S5612" s="105"/>
      <c r="T5612" s="105"/>
      <c r="U5612" s="105"/>
      <c r="V5612" s="105"/>
      <c r="W5612" s="105"/>
      <c r="X5612" s="11"/>
      <c r="Y5612" s="11"/>
      <c r="Z5612" s="105"/>
      <c r="AA5612" s="11"/>
      <c r="AB5612" s="11"/>
      <c r="AC5612" s="105"/>
      <c r="AD5612" s="11" t="b">
        <v>0</v>
      </c>
      <c r="AE5612" s="105"/>
      <c r="AF5612" s="11"/>
      <c r="AG5612" s="11"/>
      <c r="AH5612" s="11"/>
      <c r="AI5612" s="11"/>
    </row>
    <row r="5613" ht="12.5" spans="3:35">
      <c r="C5613" s="19"/>
      <c r="D5613" s="19"/>
      <c r="H5613" s="105"/>
      <c r="I5613" s="126"/>
      <c r="J5613" s="11"/>
      <c r="K5613" s="108"/>
      <c r="L5613" s="11"/>
      <c r="M5613" s="105"/>
      <c r="N5613" s="105"/>
      <c r="O5613" s="11"/>
      <c r="P5613" s="11"/>
      <c r="Q5613" s="105"/>
      <c r="R5613" s="105"/>
      <c r="S5613" s="105"/>
      <c r="T5613" s="105"/>
      <c r="U5613" s="105"/>
      <c r="V5613" s="105"/>
      <c r="W5613" s="105"/>
      <c r="X5613" s="11"/>
      <c r="Y5613" s="11"/>
      <c r="Z5613" s="105"/>
      <c r="AA5613" s="11"/>
      <c r="AB5613" s="11"/>
      <c r="AC5613" s="105"/>
      <c r="AD5613" s="11" t="b">
        <v>0</v>
      </c>
      <c r="AE5613" s="105"/>
      <c r="AF5613" s="11"/>
      <c r="AG5613" s="11"/>
      <c r="AH5613" s="11"/>
      <c r="AI5613" s="11"/>
    </row>
    <row r="5614" ht="12.5" spans="3:35">
      <c r="C5614" s="19"/>
      <c r="D5614" s="19"/>
      <c r="H5614" s="105"/>
      <c r="I5614" s="126"/>
      <c r="J5614" s="11"/>
      <c r="K5614" s="108"/>
      <c r="L5614" s="11"/>
      <c r="M5614" s="105"/>
      <c r="N5614" s="105"/>
      <c r="O5614" s="11"/>
      <c r="P5614" s="11"/>
      <c r="Q5614" s="105"/>
      <c r="R5614" s="105"/>
      <c r="S5614" s="105"/>
      <c r="T5614" s="105"/>
      <c r="U5614" s="105"/>
      <c r="V5614" s="105"/>
      <c r="W5614" s="105"/>
      <c r="X5614" s="11"/>
      <c r="Y5614" s="11"/>
      <c r="Z5614" s="105"/>
      <c r="AA5614" s="11"/>
      <c r="AB5614" s="11"/>
      <c r="AC5614" s="105"/>
      <c r="AD5614" s="11" t="b">
        <v>0</v>
      </c>
      <c r="AE5614" s="105"/>
      <c r="AF5614" s="11"/>
      <c r="AG5614" s="11"/>
      <c r="AH5614" s="11"/>
      <c r="AI5614" s="11"/>
    </row>
    <row r="5615" ht="12.5" spans="3:35">
      <c r="C5615" s="19"/>
      <c r="D5615" s="19"/>
      <c r="H5615" s="105"/>
      <c r="I5615" s="126"/>
      <c r="J5615" s="11"/>
      <c r="K5615" s="108"/>
      <c r="L5615" s="11"/>
      <c r="M5615" s="105"/>
      <c r="N5615" s="105"/>
      <c r="O5615" s="11"/>
      <c r="P5615" s="11"/>
      <c r="Q5615" s="105"/>
      <c r="R5615" s="105"/>
      <c r="S5615" s="105"/>
      <c r="T5615" s="105"/>
      <c r="U5615" s="105"/>
      <c r="V5615" s="105"/>
      <c r="W5615" s="105"/>
      <c r="X5615" s="11"/>
      <c r="Y5615" s="11"/>
      <c r="Z5615" s="105"/>
      <c r="AA5615" s="11"/>
      <c r="AB5615" s="11"/>
      <c r="AC5615" s="105"/>
      <c r="AD5615" s="11" t="b">
        <v>0</v>
      </c>
      <c r="AE5615" s="105"/>
      <c r="AF5615" s="11"/>
      <c r="AG5615" s="11"/>
      <c r="AH5615" s="11"/>
      <c r="AI5615" s="11"/>
    </row>
    <row r="5616" ht="12.5" spans="3:35">
      <c r="C5616" s="19"/>
      <c r="D5616" s="19"/>
      <c r="H5616" s="105"/>
      <c r="I5616" s="126"/>
      <c r="J5616" s="11"/>
      <c r="K5616" s="108"/>
      <c r="L5616" s="11"/>
      <c r="M5616" s="105"/>
      <c r="N5616" s="105"/>
      <c r="O5616" s="11"/>
      <c r="P5616" s="11"/>
      <c r="Q5616" s="105"/>
      <c r="R5616" s="105"/>
      <c r="S5616" s="105"/>
      <c r="T5616" s="105"/>
      <c r="U5616" s="105"/>
      <c r="V5616" s="105"/>
      <c r="W5616" s="105"/>
      <c r="X5616" s="11"/>
      <c r="Y5616" s="11"/>
      <c r="Z5616" s="105"/>
      <c r="AA5616" s="11"/>
      <c r="AB5616" s="11"/>
      <c r="AC5616" s="105"/>
      <c r="AD5616" s="11" t="b">
        <v>0</v>
      </c>
      <c r="AE5616" s="105"/>
      <c r="AF5616" s="11"/>
      <c r="AG5616" s="11"/>
      <c r="AH5616" s="11"/>
      <c r="AI5616" s="11"/>
    </row>
    <row r="5617" ht="12.5" spans="3:35">
      <c r="C5617" s="19"/>
      <c r="D5617" s="19"/>
      <c r="H5617" s="105"/>
      <c r="I5617" s="126"/>
      <c r="J5617" s="11"/>
      <c r="K5617" s="108"/>
      <c r="L5617" s="11"/>
      <c r="M5617" s="105"/>
      <c r="N5617" s="105"/>
      <c r="O5617" s="11"/>
      <c r="P5617" s="11"/>
      <c r="Q5617" s="105"/>
      <c r="R5617" s="105"/>
      <c r="S5617" s="105"/>
      <c r="T5617" s="105"/>
      <c r="U5617" s="105"/>
      <c r="V5617" s="105"/>
      <c r="W5617" s="105"/>
      <c r="X5617" s="11"/>
      <c r="Y5617" s="11"/>
      <c r="Z5617" s="105"/>
      <c r="AA5617" s="11"/>
      <c r="AB5617" s="11"/>
      <c r="AC5617" s="105"/>
      <c r="AD5617" s="11" t="b">
        <v>0</v>
      </c>
      <c r="AE5617" s="105"/>
      <c r="AF5617" s="11"/>
      <c r="AG5617" s="11"/>
      <c r="AH5617" s="11"/>
      <c r="AI5617" s="11"/>
    </row>
    <row r="5618" ht="12.5" spans="3:35">
      <c r="C5618" s="19"/>
      <c r="D5618" s="19"/>
      <c r="H5618" s="105"/>
      <c r="I5618" s="126"/>
      <c r="J5618" s="11"/>
      <c r="K5618" s="108"/>
      <c r="L5618" s="11"/>
      <c r="M5618" s="105"/>
      <c r="N5618" s="105"/>
      <c r="O5618" s="11"/>
      <c r="P5618" s="11"/>
      <c r="Q5618" s="105"/>
      <c r="R5618" s="105"/>
      <c r="S5618" s="105"/>
      <c r="T5618" s="105"/>
      <c r="U5618" s="105"/>
      <c r="V5618" s="105"/>
      <c r="W5618" s="105"/>
      <c r="X5618" s="11"/>
      <c r="Y5618" s="11"/>
      <c r="Z5618" s="105"/>
      <c r="AA5618" s="11"/>
      <c r="AB5618" s="11"/>
      <c r="AC5618" s="105"/>
      <c r="AD5618" s="11" t="b">
        <v>0</v>
      </c>
      <c r="AE5618" s="105"/>
      <c r="AF5618" s="11"/>
      <c r="AG5618" s="11"/>
      <c r="AH5618" s="11"/>
      <c r="AI5618" s="11"/>
    </row>
    <row r="5619" ht="12.5" spans="3:35">
      <c r="C5619" s="19"/>
      <c r="D5619" s="19"/>
      <c r="H5619" s="105"/>
      <c r="I5619" s="126"/>
      <c r="J5619" s="11"/>
      <c r="K5619" s="108"/>
      <c r="L5619" s="11"/>
      <c r="M5619" s="105"/>
      <c r="N5619" s="105"/>
      <c r="O5619" s="11"/>
      <c r="P5619" s="11"/>
      <c r="Q5619" s="105"/>
      <c r="R5619" s="105"/>
      <c r="S5619" s="105"/>
      <c r="T5619" s="105"/>
      <c r="U5619" s="105"/>
      <c r="V5619" s="105"/>
      <c r="W5619" s="105"/>
      <c r="X5619" s="11"/>
      <c r="Y5619" s="11"/>
      <c r="Z5619" s="105"/>
      <c r="AA5619" s="11"/>
      <c r="AB5619" s="11"/>
      <c r="AC5619" s="105"/>
      <c r="AD5619" s="11" t="b">
        <v>0</v>
      </c>
      <c r="AE5619" s="105"/>
      <c r="AF5619" s="11"/>
      <c r="AG5619" s="11"/>
      <c r="AH5619" s="11"/>
      <c r="AI5619" s="11"/>
    </row>
    <row r="5620" ht="12.5" spans="3:35">
      <c r="C5620" s="19"/>
      <c r="D5620" s="19"/>
      <c r="H5620" s="105"/>
      <c r="I5620" s="126"/>
      <c r="J5620" s="11"/>
      <c r="K5620" s="108"/>
      <c r="L5620" s="11"/>
      <c r="M5620" s="105"/>
      <c r="N5620" s="105"/>
      <c r="O5620" s="11"/>
      <c r="P5620" s="11"/>
      <c r="Q5620" s="105"/>
      <c r="R5620" s="105"/>
      <c r="S5620" s="105"/>
      <c r="T5620" s="105"/>
      <c r="U5620" s="105"/>
      <c r="V5620" s="105"/>
      <c r="W5620" s="105"/>
      <c r="X5620" s="11"/>
      <c r="Y5620" s="11"/>
      <c r="Z5620" s="105"/>
      <c r="AA5620" s="11"/>
      <c r="AB5620" s="11"/>
      <c r="AC5620" s="105"/>
      <c r="AD5620" s="11" t="b">
        <v>0</v>
      </c>
      <c r="AE5620" s="105"/>
      <c r="AF5620" s="11"/>
      <c r="AG5620" s="11"/>
      <c r="AH5620" s="11"/>
      <c r="AI5620" s="11"/>
    </row>
    <row r="5621" ht="12.5" spans="3:35">
      <c r="C5621" s="19"/>
      <c r="D5621" s="19"/>
      <c r="H5621" s="105"/>
      <c r="I5621" s="126"/>
      <c r="J5621" s="11"/>
      <c r="K5621" s="108"/>
      <c r="L5621" s="11"/>
      <c r="M5621" s="105"/>
      <c r="N5621" s="105"/>
      <c r="O5621" s="11"/>
      <c r="P5621" s="11"/>
      <c r="Q5621" s="105"/>
      <c r="R5621" s="105"/>
      <c r="S5621" s="105"/>
      <c r="T5621" s="105"/>
      <c r="U5621" s="105"/>
      <c r="V5621" s="105"/>
      <c r="W5621" s="105"/>
      <c r="X5621" s="11"/>
      <c r="Y5621" s="11"/>
      <c r="Z5621" s="105"/>
      <c r="AA5621" s="11"/>
      <c r="AB5621" s="11"/>
      <c r="AC5621" s="105"/>
      <c r="AD5621" s="11" t="b">
        <v>0</v>
      </c>
      <c r="AE5621" s="105"/>
      <c r="AF5621" s="11"/>
      <c r="AG5621" s="11"/>
      <c r="AH5621" s="11"/>
      <c r="AI5621" s="11"/>
    </row>
    <row r="5622" ht="12.5" spans="3:35">
      <c r="C5622" s="19"/>
      <c r="D5622" s="19"/>
      <c r="H5622" s="105"/>
      <c r="I5622" s="126"/>
      <c r="J5622" s="11"/>
      <c r="K5622" s="108"/>
      <c r="L5622" s="11"/>
      <c r="M5622" s="105"/>
      <c r="N5622" s="105"/>
      <c r="O5622" s="11"/>
      <c r="P5622" s="11"/>
      <c r="Q5622" s="105"/>
      <c r="R5622" s="105"/>
      <c r="S5622" s="105"/>
      <c r="T5622" s="105"/>
      <c r="U5622" s="105"/>
      <c r="V5622" s="105"/>
      <c r="W5622" s="105"/>
      <c r="X5622" s="11"/>
      <c r="Y5622" s="11"/>
      <c r="Z5622" s="105"/>
      <c r="AA5622" s="11"/>
      <c r="AB5622" s="11"/>
      <c r="AC5622" s="105"/>
      <c r="AD5622" s="11" t="b">
        <v>0</v>
      </c>
      <c r="AE5622" s="105"/>
      <c r="AF5622" s="11"/>
      <c r="AG5622" s="11"/>
      <c r="AH5622" s="11"/>
      <c r="AI5622" s="11"/>
    </row>
    <row r="5623" ht="12.5" spans="3:35">
      <c r="C5623" s="19"/>
      <c r="D5623" s="19"/>
      <c r="H5623" s="105"/>
      <c r="I5623" s="126"/>
      <c r="J5623" s="11"/>
      <c r="K5623" s="108"/>
      <c r="L5623" s="11"/>
      <c r="M5623" s="105"/>
      <c r="N5623" s="105"/>
      <c r="O5623" s="11"/>
      <c r="P5623" s="11"/>
      <c r="Q5623" s="105"/>
      <c r="R5623" s="105"/>
      <c r="S5623" s="105"/>
      <c r="T5623" s="105"/>
      <c r="U5623" s="105"/>
      <c r="V5623" s="105"/>
      <c r="W5623" s="105"/>
      <c r="X5623" s="11"/>
      <c r="Y5623" s="11"/>
      <c r="Z5623" s="105"/>
      <c r="AA5623" s="11"/>
      <c r="AB5623" s="11"/>
      <c r="AC5623" s="105"/>
      <c r="AD5623" s="11" t="b">
        <v>0</v>
      </c>
      <c r="AE5623" s="105"/>
      <c r="AF5623" s="11"/>
      <c r="AG5623" s="11"/>
      <c r="AH5623" s="11"/>
      <c r="AI5623" s="11"/>
    </row>
    <row r="5624" ht="12.5" spans="3:35">
      <c r="C5624" s="19"/>
      <c r="D5624" s="19"/>
      <c r="H5624" s="105"/>
      <c r="I5624" s="126"/>
      <c r="J5624" s="11"/>
      <c r="K5624" s="108"/>
      <c r="L5624" s="11"/>
      <c r="M5624" s="105"/>
      <c r="N5624" s="105"/>
      <c r="O5624" s="11"/>
      <c r="P5624" s="11"/>
      <c r="Q5624" s="105"/>
      <c r="R5624" s="105"/>
      <c r="S5624" s="105"/>
      <c r="T5624" s="105"/>
      <c r="U5624" s="105"/>
      <c r="V5624" s="105"/>
      <c r="W5624" s="105"/>
      <c r="X5624" s="11"/>
      <c r="Y5624" s="11"/>
      <c r="Z5624" s="105"/>
      <c r="AA5624" s="11"/>
      <c r="AB5624" s="11"/>
      <c r="AC5624" s="105"/>
      <c r="AD5624" s="11" t="b">
        <v>0</v>
      </c>
      <c r="AE5624" s="105"/>
      <c r="AF5624" s="11"/>
      <c r="AG5624" s="11"/>
      <c r="AH5624" s="11"/>
      <c r="AI5624" s="11"/>
    </row>
    <row r="5625" ht="12.5" spans="3:35">
      <c r="C5625" s="19"/>
      <c r="D5625" s="19"/>
      <c r="H5625" s="105"/>
      <c r="I5625" s="126"/>
      <c r="J5625" s="11"/>
      <c r="K5625" s="108"/>
      <c r="L5625" s="11"/>
      <c r="M5625" s="105"/>
      <c r="N5625" s="105"/>
      <c r="O5625" s="11"/>
      <c r="P5625" s="11"/>
      <c r="Q5625" s="105"/>
      <c r="R5625" s="105"/>
      <c r="S5625" s="105"/>
      <c r="T5625" s="105"/>
      <c r="U5625" s="105"/>
      <c r="V5625" s="105"/>
      <c r="W5625" s="105"/>
      <c r="X5625" s="11"/>
      <c r="Y5625" s="11"/>
      <c r="Z5625" s="105"/>
      <c r="AA5625" s="11"/>
      <c r="AB5625" s="11"/>
      <c r="AC5625" s="105"/>
      <c r="AD5625" s="11" t="b">
        <v>0</v>
      </c>
      <c r="AE5625" s="105"/>
      <c r="AF5625" s="11"/>
      <c r="AG5625" s="11"/>
      <c r="AH5625" s="11"/>
      <c r="AI5625" s="11"/>
    </row>
    <row r="5626" ht="12.5" spans="3:35">
      <c r="C5626" s="19"/>
      <c r="D5626" s="19"/>
      <c r="H5626" s="105"/>
      <c r="I5626" s="126"/>
      <c r="J5626" s="11"/>
      <c r="K5626" s="108"/>
      <c r="L5626" s="11"/>
      <c r="M5626" s="105"/>
      <c r="N5626" s="105"/>
      <c r="O5626" s="11"/>
      <c r="P5626" s="11"/>
      <c r="Q5626" s="105"/>
      <c r="R5626" s="105"/>
      <c r="S5626" s="105"/>
      <c r="T5626" s="105"/>
      <c r="U5626" s="105"/>
      <c r="V5626" s="105"/>
      <c r="W5626" s="105"/>
      <c r="X5626" s="11"/>
      <c r="Y5626" s="11"/>
      <c r="Z5626" s="105"/>
      <c r="AA5626" s="11"/>
      <c r="AB5626" s="11"/>
      <c r="AC5626" s="105"/>
      <c r="AD5626" s="11" t="b">
        <v>0</v>
      </c>
      <c r="AE5626" s="105"/>
      <c r="AF5626" s="11"/>
      <c r="AG5626" s="11"/>
      <c r="AH5626" s="11"/>
      <c r="AI5626" s="11"/>
    </row>
    <row r="5627" ht="12.5" spans="3:35">
      <c r="C5627" s="19"/>
      <c r="D5627" s="19"/>
      <c r="H5627" s="105"/>
      <c r="I5627" s="126"/>
      <c r="J5627" s="11"/>
      <c r="K5627" s="108"/>
      <c r="L5627" s="11"/>
      <c r="M5627" s="105"/>
      <c r="N5627" s="105"/>
      <c r="O5627" s="11"/>
      <c r="P5627" s="11"/>
      <c r="Q5627" s="105"/>
      <c r="R5627" s="105"/>
      <c r="S5627" s="105"/>
      <c r="T5627" s="105"/>
      <c r="U5627" s="105"/>
      <c r="V5627" s="105"/>
      <c r="W5627" s="105"/>
      <c r="X5627" s="11"/>
      <c r="Y5627" s="11"/>
      <c r="Z5627" s="105"/>
      <c r="AA5627" s="11"/>
      <c r="AB5627" s="11"/>
      <c r="AC5627" s="105"/>
      <c r="AD5627" s="11" t="b">
        <v>0</v>
      </c>
      <c r="AE5627" s="105"/>
      <c r="AF5627" s="11"/>
      <c r="AG5627" s="11"/>
      <c r="AH5627" s="11"/>
      <c r="AI5627" s="11"/>
    </row>
    <row r="5628" ht="12.5" spans="3:35">
      <c r="C5628" s="19"/>
      <c r="D5628" s="19"/>
      <c r="H5628" s="105"/>
      <c r="I5628" s="126"/>
      <c r="J5628" s="11"/>
      <c r="K5628" s="108"/>
      <c r="L5628" s="11"/>
      <c r="M5628" s="105"/>
      <c r="N5628" s="105"/>
      <c r="O5628" s="11"/>
      <c r="P5628" s="11"/>
      <c r="Q5628" s="105"/>
      <c r="R5628" s="105"/>
      <c r="S5628" s="105"/>
      <c r="T5628" s="105"/>
      <c r="U5628" s="105"/>
      <c r="V5628" s="105"/>
      <c r="W5628" s="105"/>
      <c r="X5628" s="11"/>
      <c r="Y5628" s="11"/>
      <c r="Z5628" s="105"/>
      <c r="AA5628" s="11"/>
      <c r="AB5628" s="11"/>
      <c r="AC5628" s="105"/>
      <c r="AD5628" s="11" t="b">
        <v>0</v>
      </c>
      <c r="AE5628" s="105"/>
      <c r="AF5628" s="11"/>
      <c r="AG5628" s="11"/>
      <c r="AH5628" s="11"/>
      <c r="AI5628" s="11"/>
    </row>
    <row r="5629" ht="12.5" spans="3:35">
      <c r="C5629" s="19"/>
      <c r="D5629" s="19"/>
      <c r="H5629" s="105"/>
      <c r="I5629" s="126"/>
      <c r="J5629" s="11"/>
      <c r="K5629" s="108"/>
      <c r="L5629" s="11"/>
      <c r="M5629" s="105"/>
      <c r="N5629" s="105"/>
      <c r="O5629" s="11"/>
      <c r="P5629" s="11"/>
      <c r="Q5629" s="105"/>
      <c r="R5629" s="105"/>
      <c r="S5629" s="105"/>
      <c r="T5629" s="105"/>
      <c r="U5629" s="105"/>
      <c r="V5629" s="105"/>
      <c r="W5629" s="105"/>
      <c r="X5629" s="11"/>
      <c r="Y5629" s="11"/>
      <c r="Z5629" s="105"/>
      <c r="AA5629" s="11"/>
      <c r="AB5629" s="11"/>
      <c r="AC5629" s="105"/>
      <c r="AD5629" s="11" t="b">
        <v>0</v>
      </c>
      <c r="AE5629" s="105"/>
      <c r="AF5629" s="11"/>
      <c r="AG5629" s="11"/>
      <c r="AH5629" s="11"/>
      <c r="AI5629" s="11"/>
    </row>
    <row r="5630" ht="12.5" spans="3:35">
      <c r="C5630" s="19"/>
      <c r="D5630" s="19"/>
      <c r="H5630" s="105"/>
      <c r="I5630" s="126"/>
      <c r="J5630" s="11"/>
      <c r="K5630" s="108"/>
      <c r="L5630" s="11"/>
      <c r="M5630" s="105"/>
      <c r="N5630" s="105"/>
      <c r="O5630" s="11"/>
      <c r="P5630" s="11"/>
      <c r="Q5630" s="105"/>
      <c r="R5630" s="105"/>
      <c r="S5630" s="105"/>
      <c r="T5630" s="105"/>
      <c r="U5630" s="105"/>
      <c r="V5630" s="105"/>
      <c r="W5630" s="105"/>
      <c r="X5630" s="11"/>
      <c r="Y5630" s="11"/>
      <c r="Z5630" s="105"/>
      <c r="AA5630" s="11"/>
      <c r="AB5630" s="11"/>
      <c r="AC5630" s="105"/>
      <c r="AD5630" s="11" t="b">
        <v>0</v>
      </c>
      <c r="AE5630" s="105"/>
      <c r="AF5630" s="11"/>
      <c r="AG5630" s="11"/>
      <c r="AH5630" s="11"/>
      <c r="AI5630" s="11"/>
    </row>
    <row r="5631" ht="12.5" spans="3:35">
      <c r="C5631" s="19"/>
      <c r="D5631" s="19"/>
      <c r="H5631" s="105"/>
      <c r="I5631" s="126"/>
      <c r="J5631" s="11"/>
      <c r="K5631" s="108"/>
      <c r="L5631" s="11"/>
      <c r="M5631" s="105"/>
      <c r="N5631" s="105"/>
      <c r="O5631" s="11"/>
      <c r="P5631" s="11"/>
      <c r="Q5631" s="105"/>
      <c r="R5631" s="105"/>
      <c r="S5631" s="105"/>
      <c r="T5631" s="105"/>
      <c r="U5631" s="105"/>
      <c r="V5631" s="105"/>
      <c r="W5631" s="105"/>
      <c r="X5631" s="11"/>
      <c r="Y5631" s="11"/>
      <c r="Z5631" s="105"/>
      <c r="AA5631" s="11"/>
      <c r="AB5631" s="11"/>
      <c r="AC5631" s="105"/>
      <c r="AD5631" s="11" t="b">
        <v>0</v>
      </c>
      <c r="AE5631" s="105"/>
      <c r="AF5631" s="11"/>
      <c r="AG5631" s="11"/>
      <c r="AH5631" s="11"/>
      <c r="AI5631" s="11"/>
    </row>
    <row r="5632" ht="12.5" spans="3:35">
      <c r="C5632" s="19"/>
      <c r="D5632" s="19"/>
      <c r="H5632" s="105"/>
      <c r="I5632" s="126"/>
      <c r="J5632" s="11"/>
      <c r="K5632" s="108"/>
      <c r="L5632" s="11"/>
      <c r="M5632" s="105"/>
      <c r="N5632" s="105"/>
      <c r="O5632" s="11"/>
      <c r="P5632" s="11"/>
      <c r="Q5632" s="105"/>
      <c r="R5632" s="105"/>
      <c r="S5632" s="105"/>
      <c r="T5632" s="105"/>
      <c r="U5632" s="105"/>
      <c r="V5632" s="105"/>
      <c r="W5632" s="105"/>
      <c r="X5632" s="11"/>
      <c r="Y5632" s="11"/>
      <c r="Z5632" s="105"/>
      <c r="AA5632" s="11"/>
      <c r="AB5632" s="11"/>
      <c r="AC5632" s="105"/>
      <c r="AD5632" s="11" t="b">
        <v>0</v>
      </c>
      <c r="AE5632" s="105"/>
      <c r="AF5632" s="11"/>
      <c r="AG5632" s="11"/>
      <c r="AH5632" s="11"/>
      <c r="AI5632" s="11"/>
    </row>
    <row r="5633" ht="12.5" spans="3:35">
      <c r="C5633" s="19"/>
      <c r="D5633" s="19"/>
      <c r="H5633" s="105"/>
      <c r="I5633" s="126"/>
      <c r="J5633" s="11"/>
      <c r="K5633" s="108"/>
      <c r="L5633" s="11"/>
      <c r="M5633" s="105"/>
      <c r="N5633" s="105"/>
      <c r="O5633" s="11"/>
      <c r="P5633" s="11"/>
      <c r="Q5633" s="105"/>
      <c r="R5633" s="105"/>
      <c r="S5633" s="105"/>
      <c r="T5633" s="105"/>
      <c r="U5633" s="105"/>
      <c r="V5633" s="105"/>
      <c r="W5633" s="105"/>
      <c r="X5633" s="11"/>
      <c r="Y5633" s="11"/>
      <c r="Z5633" s="105"/>
      <c r="AA5633" s="11"/>
      <c r="AB5633" s="11"/>
      <c r="AC5633" s="105"/>
      <c r="AD5633" s="11" t="b">
        <v>0</v>
      </c>
      <c r="AE5633" s="105"/>
      <c r="AF5633" s="11"/>
      <c r="AG5633" s="11"/>
      <c r="AH5633" s="11"/>
      <c r="AI5633" s="11"/>
    </row>
    <row r="5634" ht="12.5" spans="3:35">
      <c r="C5634" s="19"/>
      <c r="D5634" s="19"/>
      <c r="H5634" s="105"/>
      <c r="I5634" s="126"/>
      <c r="J5634" s="11"/>
      <c r="K5634" s="108"/>
      <c r="L5634" s="11"/>
      <c r="M5634" s="105"/>
      <c r="N5634" s="105"/>
      <c r="O5634" s="11"/>
      <c r="P5634" s="11"/>
      <c r="Q5634" s="105"/>
      <c r="R5634" s="105"/>
      <c r="S5634" s="105"/>
      <c r="T5634" s="105"/>
      <c r="U5634" s="105"/>
      <c r="V5634" s="105"/>
      <c r="W5634" s="105"/>
      <c r="X5634" s="11"/>
      <c r="Y5634" s="11"/>
      <c r="Z5634" s="105"/>
      <c r="AA5634" s="11"/>
      <c r="AB5634" s="11"/>
      <c r="AC5634" s="105"/>
      <c r="AD5634" s="11" t="b">
        <v>0</v>
      </c>
      <c r="AE5634" s="105"/>
      <c r="AF5634" s="11"/>
      <c r="AG5634" s="11"/>
      <c r="AH5634" s="11"/>
      <c r="AI5634" s="11"/>
    </row>
    <row r="5635" ht="12.5" spans="3:35">
      <c r="C5635" s="19"/>
      <c r="D5635" s="19"/>
      <c r="H5635" s="105"/>
      <c r="I5635" s="126"/>
      <c r="J5635" s="11"/>
      <c r="K5635" s="108"/>
      <c r="L5635" s="11"/>
      <c r="M5635" s="105"/>
      <c r="N5635" s="105"/>
      <c r="O5635" s="11"/>
      <c r="P5635" s="11"/>
      <c r="Q5635" s="105"/>
      <c r="R5635" s="105"/>
      <c r="S5635" s="105"/>
      <c r="T5635" s="105"/>
      <c r="U5635" s="105"/>
      <c r="V5635" s="105"/>
      <c r="W5635" s="105"/>
      <c r="X5635" s="11"/>
      <c r="Y5635" s="11"/>
      <c r="Z5635" s="105"/>
      <c r="AA5635" s="11"/>
      <c r="AB5635" s="11"/>
      <c r="AC5635" s="105"/>
      <c r="AD5635" s="11" t="b">
        <v>0</v>
      </c>
      <c r="AE5635" s="105"/>
      <c r="AF5635" s="11"/>
      <c r="AG5635" s="11"/>
      <c r="AH5635" s="11"/>
      <c r="AI5635" s="11"/>
    </row>
    <row r="5636" ht="12.5" spans="3:35">
      <c r="C5636" s="19"/>
      <c r="D5636" s="19"/>
      <c r="H5636" s="105"/>
      <c r="I5636" s="126"/>
      <c r="J5636" s="11"/>
      <c r="K5636" s="108"/>
      <c r="L5636" s="11"/>
      <c r="M5636" s="105"/>
      <c r="N5636" s="105"/>
      <c r="O5636" s="11"/>
      <c r="P5636" s="11"/>
      <c r="Q5636" s="105"/>
      <c r="R5636" s="105"/>
      <c r="S5636" s="105"/>
      <c r="T5636" s="105"/>
      <c r="U5636" s="105"/>
      <c r="V5636" s="105"/>
      <c r="W5636" s="105"/>
      <c r="X5636" s="11"/>
      <c r="Y5636" s="11"/>
      <c r="Z5636" s="105"/>
      <c r="AA5636" s="11"/>
      <c r="AB5636" s="11"/>
      <c r="AC5636" s="105"/>
      <c r="AD5636" s="11" t="b">
        <v>0</v>
      </c>
      <c r="AE5636" s="105"/>
      <c r="AF5636" s="11"/>
      <c r="AG5636" s="11"/>
      <c r="AH5636" s="11"/>
      <c r="AI5636" s="11"/>
    </row>
    <row r="5637" ht="12.5" spans="3:35">
      <c r="C5637" s="19"/>
      <c r="D5637" s="19"/>
      <c r="H5637" s="105"/>
      <c r="I5637" s="126"/>
      <c r="J5637" s="11"/>
      <c r="K5637" s="108"/>
      <c r="L5637" s="11"/>
      <c r="M5637" s="105"/>
      <c r="N5637" s="105"/>
      <c r="O5637" s="11"/>
      <c r="P5637" s="11"/>
      <c r="Q5637" s="105"/>
      <c r="R5637" s="105"/>
      <c r="S5637" s="105"/>
      <c r="T5637" s="105"/>
      <c r="U5637" s="105"/>
      <c r="V5637" s="105"/>
      <c r="W5637" s="105"/>
      <c r="X5637" s="11"/>
      <c r="Y5637" s="11"/>
      <c r="Z5637" s="105"/>
      <c r="AA5637" s="11"/>
      <c r="AB5637" s="11"/>
      <c r="AC5637" s="105"/>
      <c r="AD5637" s="11" t="b">
        <v>0</v>
      </c>
      <c r="AE5637" s="105"/>
      <c r="AF5637" s="11"/>
      <c r="AG5637" s="11"/>
      <c r="AH5637" s="11"/>
      <c r="AI5637" s="11"/>
    </row>
    <row r="5638" ht="12.5" spans="3:35">
      <c r="C5638" s="19"/>
      <c r="D5638" s="19"/>
      <c r="H5638" s="105"/>
      <c r="I5638" s="126"/>
      <c r="J5638" s="11"/>
      <c r="K5638" s="108"/>
      <c r="L5638" s="11"/>
      <c r="M5638" s="105"/>
      <c r="N5638" s="105"/>
      <c r="O5638" s="11"/>
      <c r="P5638" s="11"/>
      <c r="Q5638" s="105"/>
      <c r="R5638" s="105"/>
      <c r="S5638" s="105"/>
      <c r="T5638" s="105"/>
      <c r="U5638" s="105"/>
      <c r="V5638" s="105"/>
      <c r="W5638" s="105"/>
      <c r="X5638" s="11"/>
      <c r="Y5638" s="11"/>
      <c r="Z5638" s="105"/>
      <c r="AA5638" s="11"/>
      <c r="AB5638" s="11"/>
      <c r="AC5638" s="105"/>
      <c r="AD5638" s="11" t="b">
        <v>0</v>
      </c>
      <c r="AE5638" s="105"/>
      <c r="AF5638" s="11"/>
      <c r="AG5638" s="11"/>
      <c r="AH5638" s="11"/>
      <c r="AI5638" s="11"/>
    </row>
    <row r="5639" ht="12.5" spans="3:35">
      <c r="C5639" s="19"/>
      <c r="D5639" s="19"/>
      <c r="H5639" s="105"/>
      <c r="I5639" s="126"/>
      <c r="J5639" s="11"/>
      <c r="K5639" s="108"/>
      <c r="L5639" s="11"/>
      <c r="M5639" s="105"/>
      <c r="N5639" s="105"/>
      <c r="O5639" s="11"/>
      <c r="P5639" s="11"/>
      <c r="Q5639" s="105"/>
      <c r="R5639" s="105"/>
      <c r="S5639" s="105"/>
      <c r="T5639" s="105"/>
      <c r="U5639" s="105"/>
      <c r="V5639" s="105"/>
      <c r="W5639" s="105"/>
      <c r="X5639" s="11"/>
      <c r="Y5639" s="11"/>
      <c r="Z5639" s="105"/>
      <c r="AA5639" s="11"/>
      <c r="AB5639" s="11"/>
      <c r="AC5639" s="105"/>
      <c r="AD5639" s="11" t="b">
        <v>0</v>
      </c>
      <c r="AE5639" s="105"/>
      <c r="AF5639" s="11"/>
      <c r="AG5639" s="11"/>
      <c r="AH5639" s="11"/>
      <c r="AI5639" s="11"/>
    </row>
    <row r="5640" ht="12.5" spans="3:35">
      <c r="C5640" s="19"/>
      <c r="D5640" s="19"/>
      <c r="H5640" s="105"/>
      <c r="I5640" s="126"/>
      <c r="J5640" s="11"/>
      <c r="K5640" s="108"/>
      <c r="L5640" s="11"/>
      <c r="M5640" s="105"/>
      <c r="N5640" s="105"/>
      <c r="O5640" s="11"/>
      <c r="P5640" s="11"/>
      <c r="Q5640" s="105"/>
      <c r="R5640" s="105"/>
      <c r="S5640" s="105"/>
      <c r="T5640" s="105"/>
      <c r="U5640" s="105"/>
      <c r="V5640" s="105"/>
      <c r="W5640" s="105"/>
      <c r="X5640" s="11"/>
      <c r="Y5640" s="11"/>
      <c r="Z5640" s="105"/>
      <c r="AA5640" s="11"/>
      <c r="AB5640" s="11"/>
      <c r="AC5640" s="105"/>
      <c r="AD5640" s="11" t="b">
        <v>0</v>
      </c>
      <c r="AE5640" s="105"/>
      <c r="AF5640" s="11"/>
      <c r="AG5640" s="11"/>
      <c r="AH5640" s="11"/>
      <c r="AI5640" s="11"/>
    </row>
    <row r="5641" ht="12.5" spans="3:35">
      <c r="C5641" s="19"/>
      <c r="D5641" s="19"/>
      <c r="H5641" s="105"/>
      <c r="I5641" s="126"/>
      <c r="J5641" s="11"/>
      <c r="K5641" s="108"/>
      <c r="L5641" s="11"/>
      <c r="M5641" s="105"/>
      <c r="N5641" s="105"/>
      <c r="O5641" s="11"/>
      <c r="P5641" s="11"/>
      <c r="Q5641" s="105"/>
      <c r="R5641" s="105"/>
      <c r="S5641" s="105"/>
      <c r="T5641" s="105"/>
      <c r="U5641" s="105"/>
      <c r="V5641" s="105"/>
      <c r="W5641" s="105"/>
      <c r="X5641" s="11"/>
      <c r="Y5641" s="11"/>
      <c r="Z5641" s="105"/>
      <c r="AA5641" s="11"/>
      <c r="AB5641" s="11"/>
      <c r="AC5641" s="105"/>
      <c r="AD5641" s="11" t="b">
        <v>0</v>
      </c>
      <c r="AE5641" s="105"/>
      <c r="AF5641" s="11"/>
      <c r="AG5641" s="11"/>
      <c r="AH5641" s="11"/>
      <c r="AI5641" s="11"/>
    </row>
    <row r="5642" ht="12.5" spans="3:35">
      <c r="C5642" s="19"/>
      <c r="D5642" s="19"/>
      <c r="H5642" s="105"/>
      <c r="I5642" s="126"/>
      <c r="J5642" s="11"/>
      <c r="K5642" s="108"/>
      <c r="L5642" s="11"/>
      <c r="M5642" s="105"/>
      <c r="N5642" s="105"/>
      <c r="O5642" s="11"/>
      <c r="P5642" s="11"/>
      <c r="Q5642" s="105"/>
      <c r="R5642" s="105"/>
      <c r="S5642" s="105"/>
      <c r="T5642" s="105"/>
      <c r="U5642" s="105"/>
      <c r="V5642" s="105"/>
      <c r="W5642" s="105"/>
      <c r="X5642" s="11"/>
      <c r="Y5642" s="11"/>
      <c r="Z5642" s="105"/>
      <c r="AA5642" s="11"/>
      <c r="AB5642" s="11"/>
      <c r="AC5642" s="105"/>
      <c r="AD5642" s="11" t="b">
        <v>0</v>
      </c>
      <c r="AE5642" s="105"/>
      <c r="AF5642" s="11"/>
      <c r="AG5642" s="11"/>
      <c r="AH5642" s="11"/>
      <c r="AI5642" s="11"/>
    </row>
    <row r="5643" ht="12.5" spans="3:35">
      <c r="C5643" s="19"/>
      <c r="D5643" s="19"/>
      <c r="H5643" s="105"/>
      <c r="I5643" s="126"/>
      <c r="J5643" s="11"/>
      <c r="K5643" s="108"/>
      <c r="L5643" s="11"/>
      <c r="M5643" s="105"/>
      <c r="N5643" s="105"/>
      <c r="O5643" s="11"/>
      <c r="P5643" s="11"/>
      <c r="Q5643" s="105"/>
      <c r="R5643" s="105"/>
      <c r="S5643" s="105"/>
      <c r="T5643" s="105"/>
      <c r="U5643" s="105"/>
      <c r="V5643" s="105"/>
      <c r="W5643" s="105"/>
      <c r="X5643" s="11"/>
      <c r="Y5643" s="11"/>
      <c r="Z5643" s="105"/>
      <c r="AA5643" s="11"/>
      <c r="AB5643" s="11"/>
      <c r="AC5643" s="105"/>
      <c r="AD5643" s="11" t="b">
        <v>0</v>
      </c>
      <c r="AE5643" s="105"/>
      <c r="AF5643" s="11"/>
      <c r="AG5643" s="11"/>
      <c r="AH5643" s="11"/>
      <c r="AI5643" s="11"/>
    </row>
    <row r="5644" ht="12.5" spans="3:35">
      <c r="C5644" s="19"/>
      <c r="D5644" s="19"/>
      <c r="H5644" s="105"/>
      <c r="I5644" s="126"/>
      <c r="J5644" s="11"/>
      <c r="K5644" s="108"/>
      <c r="L5644" s="11"/>
      <c r="M5644" s="105"/>
      <c r="N5644" s="105"/>
      <c r="O5644" s="11"/>
      <c r="P5644" s="11"/>
      <c r="Q5644" s="105"/>
      <c r="R5644" s="105"/>
      <c r="S5644" s="105"/>
      <c r="T5644" s="105"/>
      <c r="U5644" s="105"/>
      <c r="V5644" s="105"/>
      <c r="W5644" s="105"/>
      <c r="X5644" s="11"/>
      <c r="Y5644" s="11"/>
      <c r="Z5644" s="105"/>
      <c r="AA5644" s="11"/>
      <c r="AB5644" s="11"/>
      <c r="AC5644" s="105"/>
      <c r="AD5644" s="11" t="b">
        <v>0</v>
      </c>
      <c r="AE5644" s="105"/>
      <c r="AF5644" s="11"/>
      <c r="AG5644" s="11"/>
      <c r="AH5644" s="11"/>
      <c r="AI5644" s="11"/>
    </row>
    <row r="5645" ht="12.5" spans="3:35">
      <c r="C5645" s="19"/>
      <c r="D5645" s="19"/>
      <c r="H5645" s="105"/>
      <c r="I5645" s="126"/>
      <c r="J5645" s="11"/>
      <c r="K5645" s="108"/>
      <c r="L5645" s="11"/>
      <c r="M5645" s="105"/>
      <c r="N5645" s="105"/>
      <c r="O5645" s="11"/>
      <c r="P5645" s="11"/>
      <c r="Q5645" s="105"/>
      <c r="R5645" s="105"/>
      <c r="S5645" s="105"/>
      <c r="T5645" s="105"/>
      <c r="U5645" s="105"/>
      <c r="V5645" s="105"/>
      <c r="W5645" s="105"/>
      <c r="X5645" s="11"/>
      <c r="Y5645" s="11"/>
      <c r="Z5645" s="105"/>
      <c r="AA5645" s="11"/>
      <c r="AB5645" s="11"/>
      <c r="AC5645" s="105"/>
      <c r="AD5645" s="11" t="b">
        <v>0</v>
      </c>
      <c r="AE5645" s="105"/>
      <c r="AF5645" s="11"/>
      <c r="AG5645" s="11"/>
      <c r="AH5645" s="11"/>
      <c r="AI5645" s="11"/>
    </row>
    <row r="5646" ht="12.5" spans="3:35">
      <c r="C5646" s="19"/>
      <c r="D5646" s="19"/>
      <c r="H5646" s="105"/>
      <c r="I5646" s="126"/>
      <c r="J5646" s="11"/>
      <c r="K5646" s="108"/>
      <c r="L5646" s="11"/>
      <c r="M5646" s="105"/>
      <c r="N5646" s="105"/>
      <c r="O5646" s="11"/>
      <c r="P5646" s="11"/>
      <c r="Q5646" s="105"/>
      <c r="R5646" s="105"/>
      <c r="S5646" s="105"/>
      <c r="T5646" s="105"/>
      <c r="U5646" s="105"/>
      <c r="V5646" s="105"/>
      <c r="W5646" s="105"/>
      <c r="X5646" s="11"/>
      <c r="Y5646" s="11"/>
      <c r="Z5646" s="105"/>
      <c r="AA5646" s="11"/>
      <c r="AB5646" s="11"/>
      <c r="AC5646" s="105"/>
      <c r="AD5646" s="11" t="b">
        <v>0</v>
      </c>
      <c r="AE5646" s="105"/>
      <c r="AF5646" s="11"/>
      <c r="AG5646" s="11"/>
      <c r="AH5646" s="11"/>
      <c r="AI5646" s="11"/>
    </row>
    <row r="5647" ht="12.5" spans="3:35">
      <c r="C5647" s="19"/>
      <c r="D5647" s="19"/>
      <c r="H5647" s="105"/>
      <c r="I5647" s="126"/>
      <c r="J5647" s="11"/>
      <c r="K5647" s="108"/>
      <c r="L5647" s="11"/>
      <c r="M5647" s="105"/>
      <c r="N5647" s="105"/>
      <c r="O5647" s="11"/>
      <c r="P5647" s="11"/>
      <c r="Q5647" s="105"/>
      <c r="R5647" s="105"/>
      <c r="S5647" s="105"/>
      <c r="T5647" s="105"/>
      <c r="U5647" s="105"/>
      <c r="V5647" s="105"/>
      <c r="W5647" s="105"/>
      <c r="X5647" s="11"/>
      <c r="Y5647" s="11"/>
      <c r="Z5647" s="105"/>
      <c r="AA5647" s="11"/>
      <c r="AB5647" s="11"/>
      <c r="AC5647" s="105"/>
      <c r="AD5647" s="11" t="b">
        <v>0</v>
      </c>
      <c r="AE5647" s="105"/>
      <c r="AF5647" s="11"/>
      <c r="AG5647" s="11"/>
      <c r="AH5647" s="11"/>
      <c r="AI5647" s="11"/>
    </row>
    <row r="5648" ht="12.5" spans="3:35">
      <c r="C5648" s="19"/>
      <c r="D5648" s="19"/>
      <c r="H5648" s="105"/>
      <c r="I5648" s="126"/>
      <c r="J5648" s="11"/>
      <c r="K5648" s="108"/>
      <c r="L5648" s="11"/>
      <c r="M5648" s="105"/>
      <c r="N5648" s="105"/>
      <c r="O5648" s="11"/>
      <c r="P5648" s="11"/>
      <c r="Q5648" s="105"/>
      <c r="R5648" s="105"/>
      <c r="S5648" s="105"/>
      <c r="T5648" s="105"/>
      <c r="U5648" s="105"/>
      <c r="V5648" s="105"/>
      <c r="W5648" s="105"/>
      <c r="X5648" s="11"/>
      <c r="Y5648" s="11"/>
      <c r="Z5648" s="105"/>
      <c r="AA5648" s="11"/>
      <c r="AB5648" s="11"/>
      <c r="AC5648" s="105"/>
      <c r="AD5648" s="11" t="b">
        <v>0</v>
      </c>
      <c r="AE5648" s="105"/>
      <c r="AF5648" s="11"/>
      <c r="AG5648" s="11"/>
      <c r="AH5648" s="11"/>
      <c r="AI5648" s="11"/>
    </row>
    <row r="5649" ht="12.5" spans="3:35">
      <c r="C5649" s="19"/>
      <c r="D5649" s="19"/>
      <c r="H5649" s="105"/>
      <c r="I5649" s="126"/>
      <c r="J5649" s="11"/>
      <c r="K5649" s="108"/>
      <c r="L5649" s="11"/>
      <c r="M5649" s="105"/>
      <c r="N5649" s="105"/>
      <c r="O5649" s="11"/>
      <c r="P5649" s="11"/>
      <c r="Q5649" s="105"/>
      <c r="R5649" s="105"/>
      <c r="S5649" s="105"/>
      <c r="T5649" s="105"/>
      <c r="U5649" s="105"/>
      <c r="V5649" s="105"/>
      <c r="W5649" s="105"/>
      <c r="X5649" s="11"/>
      <c r="Y5649" s="11"/>
      <c r="Z5649" s="105"/>
      <c r="AA5649" s="11"/>
      <c r="AB5649" s="11"/>
      <c r="AC5649" s="105"/>
      <c r="AD5649" s="11" t="b">
        <v>0</v>
      </c>
      <c r="AE5649" s="105"/>
      <c r="AF5649" s="11"/>
      <c r="AG5649" s="11"/>
      <c r="AH5649" s="11"/>
      <c r="AI5649" s="11"/>
    </row>
    <row r="5650" ht="12.5" spans="3:35">
      <c r="C5650" s="19"/>
      <c r="D5650" s="19"/>
      <c r="H5650" s="105"/>
      <c r="I5650" s="126"/>
      <c r="J5650" s="11"/>
      <c r="K5650" s="108"/>
      <c r="L5650" s="11"/>
      <c r="M5650" s="105"/>
      <c r="N5650" s="105"/>
      <c r="O5650" s="11"/>
      <c r="P5650" s="11"/>
      <c r="Q5650" s="105"/>
      <c r="R5650" s="105"/>
      <c r="S5650" s="105"/>
      <c r="T5650" s="105"/>
      <c r="U5650" s="105"/>
      <c r="V5650" s="105"/>
      <c r="W5650" s="105"/>
      <c r="X5650" s="11"/>
      <c r="Y5650" s="11"/>
      <c r="Z5650" s="105"/>
      <c r="AA5650" s="11"/>
      <c r="AB5650" s="11"/>
      <c r="AC5650" s="105"/>
      <c r="AD5650" s="11" t="b">
        <v>0</v>
      </c>
      <c r="AE5650" s="105"/>
      <c r="AF5650" s="11"/>
      <c r="AG5650" s="11"/>
      <c r="AH5650" s="11"/>
      <c r="AI5650" s="11"/>
    </row>
    <row r="5651" ht="12.5" spans="3:35">
      <c r="C5651" s="19"/>
      <c r="D5651" s="19"/>
      <c r="H5651" s="105"/>
      <c r="I5651" s="126"/>
      <c r="J5651" s="11"/>
      <c r="K5651" s="108"/>
      <c r="L5651" s="11"/>
      <c r="M5651" s="105"/>
      <c r="N5651" s="105"/>
      <c r="O5651" s="11"/>
      <c r="P5651" s="11"/>
      <c r="Q5651" s="105"/>
      <c r="R5651" s="105"/>
      <c r="S5651" s="105"/>
      <c r="T5651" s="105"/>
      <c r="U5651" s="105"/>
      <c r="V5651" s="105"/>
      <c r="W5651" s="105"/>
      <c r="X5651" s="11"/>
      <c r="Y5651" s="11"/>
      <c r="Z5651" s="105"/>
      <c r="AA5651" s="11"/>
      <c r="AB5651" s="11"/>
      <c r="AC5651" s="105"/>
      <c r="AD5651" s="11" t="b">
        <v>0</v>
      </c>
      <c r="AE5651" s="105"/>
      <c r="AF5651" s="11"/>
      <c r="AG5651" s="11"/>
      <c r="AH5651" s="11"/>
      <c r="AI5651" s="11"/>
    </row>
    <row r="5652" ht="12.5" spans="3:35">
      <c r="C5652" s="19"/>
      <c r="D5652" s="19"/>
      <c r="H5652" s="105"/>
      <c r="I5652" s="126"/>
      <c r="J5652" s="11"/>
      <c r="K5652" s="108"/>
      <c r="L5652" s="11"/>
      <c r="M5652" s="105"/>
      <c r="N5652" s="105"/>
      <c r="O5652" s="11"/>
      <c r="P5652" s="11"/>
      <c r="Q5652" s="105"/>
      <c r="R5652" s="105"/>
      <c r="S5652" s="105"/>
      <c r="T5652" s="105"/>
      <c r="U5652" s="105"/>
      <c r="V5652" s="105"/>
      <c r="W5652" s="105"/>
      <c r="X5652" s="11"/>
      <c r="Y5652" s="11"/>
      <c r="Z5652" s="105"/>
      <c r="AA5652" s="11"/>
      <c r="AB5652" s="11"/>
      <c r="AC5652" s="105"/>
      <c r="AD5652" s="11" t="b">
        <v>0</v>
      </c>
      <c r="AE5652" s="105"/>
      <c r="AF5652" s="11"/>
      <c r="AG5652" s="11"/>
      <c r="AH5652" s="11"/>
      <c r="AI5652" s="11"/>
    </row>
    <row r="5653" ht="12.5" spans="3:35">
      <c r="C5653" s="19"/>
      <c r="D5653" s="19"/>
      <c r="H5653" s="105"/>
      <c r="I5653" s="126"/>
      <c r="J5653" s="11"/>
      <c r="K5653" s="108"/>
      <c r="L5653" s="11"/>
      <c r="M5653" s="105"/>
      <c r="N5653" s="105"/>
      <c r="O5653" s="11"/>
      <c r="P5653" s="11"/>
      <c r="Q5653" s="105"/>
      <c r="R5653" s="105"/>
      <c r="S5653" s="105"/>
      <c r="T5653" s="105"/>
      <c r="U5653" s="105"/>
      <c r="V5653" s="105"/>
      <c r="W5653" s="105"/>
      <c r="X5653" s="11"/>
      <c r="Y5653" s="11"/>
      <c r="Z5653" s="105"/>
      <c r="AA5653" s="11"/>
      <c r="AB5653" s="11"/>
      <c r="AC5653" s="105"/>
      <c r="AD5653" s="11" t="b">
        <v>0</v>
      </c>
      <c r="AE5653" s="105"/>
      <c r="AF5653" s="11"/>
      <c r="AG5653" s="11"/>
      <c r="AH5653" s="11"/>
      <c r="AI5653" s="11"/>
    </row>
    <row r="5654" ht="12.5" spans="3:35">
      <c r="C5654" s="19"/>
      <c r="D5654" s="19"/>
      <c r="H5654" s="105"/>
      <c r="I5654" s="126"/>
      <c r="J5654" s="11"/>
      <c r="K5654" s="108"/>
      <c r="L5654" s="11"/>
      <c r="M5654" s="105"/>
      <c r="N5654" s="105"/>
      <c r="O5654" s="11"/>
      <c r="P5654" s="11"/>
      <c r="Q5654" s="105"/>
      <c r="R5654" s="105"/>
      <c r="S5654" s="105"/>
      <c r="T5654" s="105"/>
      <c r="U5654" s="105"/>
      <c r="V5654" s="105"/>
      <c r="W5654" s="105"/>
      <c r="X5654" s="11"/>
      <c r="Y5654" s="11"/>
      <c r="Z5654" s="105"/>
      <c r="AA5654" s="11"/>
      <c r="AB5654" s="11"/>
      <c r="AC5654" s="105"/>
      <c r="AD5654" s="11" t="b">
        <v>0</v>
      </c>
      <c r="AE5654" s="105"/>
      <c r="AF5654" s="11"/>
      <c r="AG5654" s="11"/>
      <c r="AH5654" s="11"/>
      <c r="AI5654" s="11"/>
    </row>
    <row r="5655" ht="12.5" spans="3:35">
      <c r="C5655" s="19"/>
      <c r="D5655" s="19"/>
      <c r="H5655" s="105"/>
      <c r="I5655" s="126"/>
      <c r="J5655" s="11"/>
      <c r="K5655" s="108"/>
      <c r="L5655" s="11"/>
      <c r="M5655" s="105"/>
      <c r="N5655" s="105"/>
      <c r="O5655" s="11"/>
      <c r="P5655" s="11"/>
      <c r="Q5655" s="105"/>
      <c r="R5655" s="105"/>
      <c r="S5655" s="105"/>
      <c r="T5655" s="105"/>
      <c r="U5655" s="105"/>
      <c r="V5655" s="105"/>
      <c r="W5655" s="105"/>
      <c r="X5655" s="11"/>
      <c r="Y5655" s="11"/>
      <c r="Z5655" s="105"/>
      <c r="AA5655" s="11"/>
      <c r="AB5655" s="11"/>
      <c r="AC5655" s="105"/>
      <c r="AD5655" s="11" t="b">
        <v>0</v>
      </c>
      <c r="AE5655" s="105"/>
      <c r="AF5655" s="11"/>
      <c r="AG5655" s="11"/>
      <c r="AH5655" s="11"/>
      <c r="AI5655" s="11"/>
    </row>
    <row r="5656" ht="12.5" spans="3:35">
      <c r="C5656" s="19"/>
      <c r="D5656" s="19"/>
      <c r="H5656" s="105"/>
      <c r="I5656" s="126"/>
      <c r="J5656" s="11"/>
      <c r="K5656" s="108"/>
      <c r="L5656" s="11"/>
      <c r="M5656" s="105"/>
      <c r="N5656" s="105"/>
      <c r="O5656" s="11"/>
      <c r="P5656" s="11"/>
      <c r="Q5656" s="105"/>
      <c r="R5656" s="105"/>
      <c r="S5656" s="105"/>
      <c r="T5656" s="105"/>
      <c r="U5656" s="105"/>
      <c r="V5656" s="105"/>
      <c r="W5656" s="105"/>
      <c r="X5656" s="11"/>
      <c r="Y5656" s="11"/>
      <c r="Z5656" s="105"/>
      <c r="AA5656" s="11"/>
      <c r="AB5656" s="11"/>
      <c r="AC5656" s="105"/>
      <c r="AD5656" s="11" t="b">
        <v>0</v>
      </c>
      <c r="AE5656" s="105"/>
      <c r="AF5656" s="11"/>
      <c r="AG5656" s="11"/>
      <c r="AH5656" s="11"/>
      <c r="AI5656" s="11"/>
    </row>
    <row r="5657" ht="12.5" spans="3:35">
      <c r="C5657" s="19"/>
      <c r="D5657" s="19"/>
      <c r="H5657" s="105"/>
      <c r="I5657" s="126"/>
      <c r="J5657" s="11"/>
      <c r="K5657" s="108"/>
      <c r="L5657" s="11"/>
      <c r="M5657" s="105"/>
      <c r="N5657" s="105"/>
      <c r="O5657" s="11"/>
      <c r="P5657" s="11"/>
      <c r="Q5657" s="105"/>
      <c r="R5657" s="105"/>
      <c r="S5657" s="105"/>
      <c r="T5657" s="105"/>
      <c r="U5657" s="105"/>
      <c r="V5657" s="105"/>
      <c r="W5657" s="105"/>
      <c r="X5657" s="11"/>
      <c r="Y5657" s="11"/>
      <c r="Z5657" s="105"/>
      <c r="AA5657" s="11"/>
      <c r="AB5657" s="11"/>
      <c r="AC5657" s="105"/>
      <c r="AD5657" s="11" t="b">
        <v>0</v>
      </c>
      <c r="AE5657" s="105"/>
      <c r="AF5657" s="11"/>
      <c r="AG5657" s="11"/>
      <c r="AH5657" s="11"/>
      <c r="AI5657" s="11"/>
    </row>
    <row r="5658" ht="12.5" spans="3:35">
      <c r="C5658" s="19"/>
      <c r="D5658" s="19"/>
      <c r="H5658" s="105"/>
      <c r="I5658" s="126"/>
      <c r="J5658" s="11"/>
      <c r="K5658" s="108"/>
      <c r="L5658" s="11"/>
      <c r="M5658" s="105"/>
      <c r="N5658" s="105"/>
      <c r="O5658" s="11"/>
      <c r="P5658" s="11"/>
      <c r="Q5658" s="105"/>
      <c r="R5658" s="105"/>
      <c r="S5658" s="105"/>
      <c r="T5658" s="105"/>
      <c r="U5658" s="105"/>
      <c r="V5658" s="105"/>
      <c r="W5658" s="105"/>
      <c r="X5658" s="11"/>
      <c r="Y5658" s="11"/>
      <c r="Z5658" s="105"/>
      <c r="AA5658" s="11"/>
      <c r="AB5658" s="11"/>
      <c r="AC5658" s="105"/>
      <c r="AD5658" s="11" t="b">
        <v>0</v>
      </c>
      <c r="AE5658" s="105"/>
      <c r="AF5658" s="11"/>
      <c r="AG5658" s="11"/>
      <c r="AH5658" s="11"/>
      <c r="AI5658" s="11"/>
    </row>
    <row r="5659" ht="12.5" spans="3:35">
      <c r="C5659" s="19"/>
      <c r="D5659" s="19"/>
      <c r="H5659" s="105"/>
      <c r="I5659" s="126"/>
      <c r="J5659" s="11"/>
      <c r="K5659" s="108"/>
      <c r="L5659" s="11"/>
      <c r="M5659" s="105"/>
      <c r="N5659" s="105"/>
      <c r="O5659" s="11"/>
      <c r="P5659" s="11"/>
      <c r="Q5659" s="105"/>
      <c r="R5659" s="105"/>
      <c r="S5659" s="105"/>
      <c r="T5659" s="105"/>
      <c r="U5659" s="105"/>
      <c r="V5659" s="105"/>
      <c r="W5659" s="105"/>
      <c r="X5659" s="11"/>
      <c r="Y5659" s="11"/>
      <c r="Z5659" s="105"/>
      <c r="AA5659" s="11"/>
      <c r="AB5659" s="11"/>
      <c r="AC5659" s="105"/>
      <c r="AD5659" s="11" t="b">
        <v>0</v>
      </c>
      <c r="AE5659" s="105"/>
      <c r="AF5659" s="11"/>
      <c r="AG5659" s="11"/>
      <c r="AH5659" s="11"/>
      <c r="AI5659" s="11"/>
    </row>
    <row r="5660" ht="12.5" spans="3:35">
      <c r="C5660" s="19"/>
      <c r="D5660" s="19"/>
      <c r="H5660" s="105"/>
      <c r="I5660" s="126"/>
      <c r="J5660" s="11"/>
      <c r="K5660" s="108"/>
      <c r="L5660" s="11"/>
      <c r="M5660" s="105"/>
      <c r="N5660" s="105"/>
      <c r="O5660" s="11"/>
      <c r="P5660" s="11"/>
      <c r="Q5660" s="105"/>
      <c r="R5660" s="105"/>
      <c r="S5660" s="105"/>
      <c r="T5660" s="105"/>
      <c r="U5660" s="105"/>
      <c r="V5660" s="105"/>
      <c r="W5660" s="105"/>
      <c r="X5660" s="11"/>
      <c r="Y5660" s="11"/>
      <c r="Z5660" s="105"/>
      <c r="AA5660" s="11"/>
      <c r="AB5660" s="11"/>
      <c r="AC5660" s="105"/>
      <c r="AD5660" s="11" t="b">
        <v>0</v>
      </c>
      <c r="AE5660" s="105"/>
      <c r="AF5660" s="11"/>
      <c r="AG5660" s="11"/>
      <c r="AH5660" s="11"/>
      <c r="AI5660" s="11"/>
    </row>
    <row r="5661" ht="12.5" spans="3:35">
      <c r="C5661" s="19"/>
      <c r="D5661" s="19"/>
      <c r="H5661" s="105"/>
      <c r="I5661" s="126"/>
      <c r="J5661" s="11"/>
      <c r="K5661" s="108"/>
      <c r="L5661" s="11"/>
      <c r="M5661" s="105"/>
      <c r="N5661" s="105"/>
      <c r="O5661" s="11"/>
      <c r="P5661" s="11"/>
      <c r="Q5661" s="105"/>
      <c r="R5661" s="105"/>
      <c r="S5661" s="105"/>
      <c r="T5661" s="105"/>
      <c r="U5661" s="105"/>
      <c r="V5661" s="105"/>
      <c r="W5661" s="105"/>
      <c r="X5661" s="11"/>
      <c r="Y5661" s="11"/>
      <c r="Z5661" s="105"/>
      <c r="AA5661" s="11"/>
      <c r="AB5661" s="11"/>
      <c r="AC5661" s="105"/>
      <c r="AD5661" s="11" t="b">
        <v>0</v>
      </c>
      <c r="AE5661" s="105"/>
      <c r="AF5661" s="11"/>
      <c r="AG5661" s="11"/>
      <c r="AH5661" s="11"/>
      <c r="AI5661" s="11"/>
    </row>
    <row r="5662" ht="12.5" spans="3:35">
      <c r="C5662" s="19"/>
      <c r="D5662" s="19"/>
      <c r="H5662" s="105"/>
      <c r="I5662" s="126"/>
      <c r="J5662" s="11"/>
      <c r="K5662" s="108"/>
      <c r="L5662" s="11"/>
      <c r="M5662" s="105"/>
      <c r="N5662" s="105"/>
      <c r="O5662" s="11"/>
      <c r="P5662" s="11"/>
      <c r="Q5662" s="105"/>
      <c r="R5662" s="105"/>
      <c r="S5662" s="105"/>
      <c r="T5662" s="105"/>
      <c r="U5662" s="105"/>
      <c r="V5662" s="105"/>
      <c r="W5662" s="105"/>
      <c r="X5662" s="11"/>
      <c r="Y5662" s="11"/>
      <c r="Z5662" s="105"/>
      <c r="AA5662" s="11"/>
      <c r="AB5662" s="11"/>
      <c r="AC5662" s="105"/>
      <c r="AD5662" s="11" t="b">
        <v>0</v>
      </c>
      <c r="AE5662" s="105"/>
      <c r="AF5662" s="11"/>
      <c r="AG5662" s="11"/>
      <c r="AH5662" s="11"/>
      <c r="AI5662" s="11"/>
    </row>
    <row r="5663" ht="12.5" spans="3:35">
      <c r="C5663" s="19"/>
      <c r="D5663" s="19"/>
      <c r="H5663" s="105"/>
      <c r="I5663" s="126"/>
      <c r="J5663" s="11"/>
      <c r="K5663" s="108"/>
      <c r="L5663" s="11"/>
      <c r="M5663" s="105"/>
      <c r="N5663" s="105"/>
      <c r="O5663" s="11"/>
      <c r="P5663" s="11"/>
      <c r="Q5663" s="105"/>
      <c r="R5663" s="105"/>
      <c r="S5663" s="105"/>
      <c r="T5663" s="105"/>
      <c r="U5663" s="105"/>
      <c r="V5663" s="105"/>
      <c r="W5663" s="105"/>
      <c r="X5663" s="11"/>
      <c r="Y5663" s="11"/>
      <c r="Z5663" s="105"/>
      <c r="AA5663" s="11"/>
      <c r="AB5663" s="11"/>
      <c r="AC5663" s="105"/>
      <c r="AD5663" s="11" t="b">
        <v>0</v>
      </c>
      <c r="AE5663" s="105"/>
      <c r="AF5663" s="11"/>
      <c r="AG5663" s="11"/>
      <c r="AH5663" s="11"/>
      <c r="AI5663" s="11"/>
    </row>
    <row r="5664" ht="12.5" spans="3:35">
      <c r="C5664" s="19"/>
      <c r="D5664" s="19"/>
      <c r="H5664" s="105"/>
      <c r="I5664" s="126"/>
      <c r="J5664" s="11"/>
      <c r="K5664" s="108"/>
      <c r="L5664" s="11"/>
      <c r="M5664" s="105"/>
      <c r="N5664" s="105"/>
      <c r="O5664" s="11"/>
      <c r="P5664" s="11"/>
      <c r="Q5664" s="105"/>
      <c r="R5664" s="105"/>
      <c r="S5664" s="105"/>
      <c r="T5664" s="105"/>
      <c r="U5664" s="105"/>
      <c r="V5664" s="105"/>
      <c r="W5664" s="105"/>
      <c r="X5664" s="11"/>
      <c r="Y5664" s="11"/>
      <c r="Z5664" s="105"/>
      <c r="AA5664" s="11"/>
      <c r="AB5664" s="11"/>
      <c r="AC5664" s="105"/>
      <c r="AD5664" s="11" t="b">
        <v>0</v>
      </c>
      <c r="AE5664" s="105"/>
      <c r="AF5664" s="11"/>
      <c r="AG5664" s="11"/>
      <c r="AH5664" s="11"/>
      <c r="AI5664" s="11"/>
    </row>
    <row r="5665" ht="12.5" spans="3:35">
      <c r="C5665" s="19"/>
      <c r="D5665" s="19"/>
      <c r="H5665" s="105"/>
      <c r="I5665" s="126"/>
      <c r="J5665" s="11"/>
      <c r="K5665" s="108"/>
      <c r="L5665" s="11"/>
      <c r="M5665" s="105"/>
      <c r="N5665" s="105"/>
      <c r="O5665" s="11"/>
      <c r="P5665" s="11"/>
      <c r="Q5665" s="105"/>
      <c r="R5665" s="105"/>
      <c r="S5665" s="105"/>
      <c r="T5665" s="105"/>
      <c r="U5665" s="105"/>
      <c r="V5665" s="105"/>
      <c r="W5665" s="105"/>
      <c r="X5665" s="11"/>
      <c r="Y5665" s="11"/>
      <c r="Z5665" s="105"/>
      <c r="AA5665" s="11"/>
      <c r="AB5665" s="11"/>
      <c r="AC5665" s="105"/>
      <c r="AD5665" s="11" t="b">
        <v>0</v>
      </c>
      <c r="AE5665" s="105"/>
      <c r="AF5665" s="11"/>
      <c r="AG5665" s="11"/>
      <c r="AH5665" s="11"/>
      <c r="AI5665" s="11"/>
    </row>
    <row r="5666" ht="12.5" spans="3:35">
      <c r="C5666" s="19"/>
      <c r="D5666" s="19"/>
      <c r="H5666" s="105"/>
      <c r="I5666" s="126"/>
      <c r="J5666" s="11"/>
      <c r="K5666" s="108"/>
      <c r="L5666" s="11"/>
      <c r="M5666" s="105"/>
      <c r="N5666" s="105"/>
      <c r="O5666" s="11"/>
      <c r="P5666" s="11"/>
      <c r="Q5666" s="105"/>
      <c r="R5666" s="105"/>
      <c r="S5666" s="105"/>
      <c r="T5666" s="105"/>
      <c r="U5666" s="105"/>
      <c r="V5666" s="105"/>
      <c r="W5666" s="105"/>
      <c r="X5666" s="11"/>
      <c r="Y5666" s="11"/>
      <c r="Z5666" s="105"/>
      <c r="AA5666" s="11"/>
      <c r="AB5666" s="11"/>
      <c r="AC5666" s="105"/>
      <c r="AD5666" s="11" t="b">
        <v>0</v>
      </c>
      <c r="AE5666" s="105"/>
      <c r="AF5666" s="11"/>
      <c r="AG5666" s="11"/>
      <c r="AH5666" s="11"/>
      <c r="AI5666" s="11"/>
    </row>
    <row r="5667" ht="12.5" spans="3:35">
      <c r="C5667" s="19"/>
      <c r="D5667" s="19"/>
      <c r="H5667" s="105"/>
      <c r="I5667" s="126"/>
      <c r="J5667" s="11"/>
      <c r="K5667" s="108"/>
      <c r="L5667" s="11"/>
      <c r="M5667" s="105"/>
      <c r="N5667" s="105"/>
      <c r="O5667" s="11"/>
      <c r="P5667" s="11"/>
      <c r="Q5667" s="105"/>
      <c r="R5667" s="105"/>
      <c r="S5667" s="105"/>
      <c r="T5667" s="105"/>
      <c r="U5667" s="105"/>
      <c r="V5667" s="105"/>
      <c r="W5667" s="105"/>
      <c r="X5667" s="11"/>
      <c r="Y5667" s="11"/>
      <c r="Z5667" s="105"/>
      <c r="AA5667" s="11"/>
      <c r="AB5667" s="11"/>
      <c r="AC5667" s="105"/>
      <c r="AD5667" s="11" t="b">
        <v>0</v>
      </c>
      <c r="AE5667" s="105"/>
      <c r="AF5667" s="11"/>
      <c r="AG5667" s="11"/>
      <c r="AH5667" s="11"/>
      <c r="AI5667" s="11"/>
    </row>
    <row r="5668" ht="12.5" spans="3:35">
      <c r="C5668" s="19"/>
      <c r="D5668" s="19"/>
      <c r="H5668" s="105"/>
      <c r="I5668" s="126"/>
      <c r="J5668" s="11"/>
      <c r="K5668" s="108"/>
      <c r="L5668" s="11"/>
      <c r="M5668" s="105"/>
      <c r="N5668" s="105"/>
      <c r="O5668" s="11"/>
      <c r="P5668" s="11"/>
      <c r="Q5668" s="105"/>
      <c r="R5668" s="105"/>
      <c r="S5668" s="105"/>
      <c r="T5668" s="105"/>
      <c r="U5668" s="105"/>
      <c r="V5668" s="105"/>
      <c r="W5668" s="105"/>
      <c r="X5668" s="11"/>
      <c r="Y5668" s="11"/>
      <c r="Z5668" s="105"/>
      <c r="AA5668" s="11"/>
      <c r="AB5668" s="11"/>
      <c r="AC5668" s="105"/>
      <c r="AD5668" s="11" t="b">
        <v>0</v>
      </c>
      <c r="AE5668" s="105"/>
      <c r="AF5668" s="11"/>
      <c r="AG5668" s="11"/>
      <c r="AH5668" s="11"/>
      <c r="AI5668" s="11"/>
    </row>
    <row r="5669" ht="12.5" spans="3:35">
      <c r="C5669" s="19"/>
      <c r="D5669" s="19"/>
      <c r="H5669" s="105"/>
      <c r="I5669" s="126"/>
      <c r="J5669" s="11"/>
      <c r="K5669" s="108"/>
      <c r="L5669" s="11"/>
      <c r="M5669" s="105"/>
      <c r="N5669" s="105"/>
      <c r="O5669" s="11"/>
      <c r="P5669" s="11"/>
      <c r="Q5669" s="105"/>
      <c r="R5669" s="105"/>
      <c r="S5669" s="105"/>
      <c r="T5669" s="105"/>
      <c r="U5669" s="105"/>
      <c r="V5669" s="105"/>
      <c r="W5669" s="105"/>
      <c r="X5669" s="11"/>
      <c r="Y5669" s="11"/>
      <c r="Z5669" s="105"/>
      <c r="AA5669" s="11"/>
      <c r="AB5669" s="11"/>
      <c r="AC5669" s="105"/>
      <c r="AD5669" s="11" t="b">
        <v>0</v>
      </c>
      <c r="AE5669" s="105"/>
      <c r="AF5669" s="11"/>
      <c r="AG5669" s="11"/>
      <c r="AH5669" s="11"/>
      <c r="AI5669" s="11"/>
    </row>
    <row r="5670" ht="12.5" spans="3:35">
      <c r="C5670" s="19"/>
      <c r="D5670" s="19"/>
      <c r="H5670" s="105"/>
      <c r="I5670" s="126"/>
      <c r="J5670" s="11"/>
      <c r="K5670" s="108"/>
      <c r="L5670" s="11"/>
      <c r="M5670" s="105"/>
      <c r="N5670" s="105"/>
      <c r="O5670" s="11"/>
      <c r="P5670" s="11"/>
      <c r="Q5670" s="105"/>
      <c r="R5670" s="105"/>
      <c r="S5670" s="105"/>
      <c r="T5670" s="105"/>
      <c r="U5670" s="105"/>
      <c r="V5670" s="105"/>
      <c r="W5670" s="105"/>
      <c r="X5670" s="11"/>
      <c r="Y5670" s="11"/>
      <c r="Z5670" s="105"/>
      <c r="AA5670" s="11"/>
      <c r="AB5670" s="11"/>
      <c r="AC5670" s="105"/>
      <c r="AD5670" s="11" t="b">
        <v>0</v>
      </c>
      <c r="AE5670" s="105"/>
      <c r="AF5670" s="11"/>
      <c r="AG5670" s="11"/>
      <c r="AH5670" s="11"/>
      <c r="AI5670" s="11"/>
    </row>
    <row r="5671" ht="12.5" spans="3:35">
      <c r="C5671" s="19"/>
      <c r="D5671" s="19"/>
      <c r="H5671" s="105"/>
      <c r="I5671" s="126"/>
      <c r="J5671" s="11"/>
      <c r="K5671" s="108"/>
      <c r="L5671" s="11"/>
      <c r="M5671" s="105"/>
      <c r="N5671" s="105"/>
      <c r="O5671" s="11"/>
      <c r="P5671" s="11"/>
      <c r="Q5671" s="105"/>
      <c r="R5671" s="105"/>
      <c r="S5671" s="105"/>
      <c r="T5671" s="105"/>
      <c r="U5671" s="105"/>
      <c r="V5671" s="105"/>
      <c r="W5671" s="105"/>
      <c r="X5671" s="11"/>
      <c r="Y5671" s="11"/>
      <c r="Z5671" s="105"/>
      <c r="AA5671" s="11"/>
      <c r="AB5671" s="11"/>
      <c r="AC5671" s="105"/>
      <c r="AD5671" s="11" t="b">
        <v>0</v>
      </c>
      <c r="AE5671" s="105"/>
      <c r="AF5671" s="11"/>
      <c r="AG5671" s="11"/>
      <c r="AH5671" s="11"/>
      <c r="AI5671" s="11"/>
    </row>
    <row r="5672" ht="12.5" spans="3:35">
      <c r="C5672" s="19"/>
      <c r="D5672" s="19"/>
      <c r="H5672" s="105"/>
      <c r="I5672" s="126"/>
      <c r="J5672" s="11"/>
      <c r="K5672" s="108"/>
      <c r="L5672" s="11"/>
      <c r="M5672" s="105"/>
      <c r="N5672" s="105"/>
      <c r="O5672" s="11"/>
      <c r="P5672" s="11"/>
      <c r="Q5672" s="105"/>
      <c r="R5672" s="105"/>
      <c r="S5672" s="105"/>
      <c r="T5672" s="105"/>
      <c r="U5672" s="105"/>
      <c r="V5672" s="105"/>
      <c r="W5672" s="105"/>
      <c r="X5672" s="11"/>
      <c r="Y5672" s="11"/>
      <c r="Z5672" s="105"/>
      <c r="AA5672" s="11"/>
      <c r="AB5672" s="11"/>
      <c r="AC5672" s="105"/>
      <c r="AD5672" s="11" t="b">
        <v>0</v>
      </c>
      <c r="AE5672" s="105"/>
      <c r="AF5672" s="11"/>
      <c r="AG5672" s="11"/>
      <c r="AH5672" s="11"/>
      <c r="AI5672" s="11"/>
    </row>
    <row r="5673" ht="12.5" spans="3:35">
      <c r="C5673" s="19"/>
      <c r="D5673" s="19"/>
      <c r="H5673" s="105"/>
      <c r="I5673" s="126"/>
      <c r="J5673" s="11"/>
      <c r="K5673" s="108"/>
      <c r="L5673" s="11"/>
      <c r="M5673" s="105"/>
      <c r="N5673" s="105"/>
      <c r="O5673" s="11"/>
      <c r="P5673" s="11"/>
      <c r="Q5673" s="105"/>
      <c r="R5673" s="105"/>
      <c r="S5673" s="105"/>
      <c r="T5673" s="105"/>
      <c r="U5673" s="105"/>
      <c r="V5673" s="105"/>
      <c r="W5673" s="105"/>
      <c r="X5673" s="11"/>
      <c r="Y5673" s="11"/>
      <c r="Z5673" s="105"/>
      <c r="AA5673" s="11"/>
      <c r="AB5673" s="11"/>
      <c r="AC5673" s="105"/>
      <c r="AD5673" s="11" t="b">
        <v>0</v>
      </c>
      <c r="AE5673" s="105"/>
      <c r="AF5673" s="11"/>
      <c r="AG5673" s="11"/>
      <c r="AH5673" s="11"/>
      <c r="AI5673" s="11"/>
    </row>
    <row r="5674" ht="12.5" spans="3:35">
      <c r="C5674" s="19"/>
      <c r="D5674" s="19"/>
      <c r="H5674" s="105"/>
      <c r="I5674" s="126"/>
      <c r="J5674" s="11"/>
      <c r="K5674" s="108"/>
      <c r="L5674" s="11"/>
      <c r="M5674" s="105"/>
      <c r="N5674" s="105"/>
      <c r="O5674" s="11"/>
      <c r="P5674" s="11"/>
      <c r="Q5674" s="105"/>
      <c r="R5674" s="105"/>
      <c r="S5674" s="105"/>
      <c r="T5674" s="105"/>
      <c r="U5674" s="105"/>
      <c r="V5674" s="105"/>
      <c r="W5674" s="105"/>
      <c r="X5674" s="11"/>
      <c r="Y5674" s="11"/>
      <c r="Z5674" s="105"/>
      <c r="AA5674" s="11"/>
      <c r="AB5674" s="11"/>
      <c r="AC5674" s="105"/>
      <c r="AD5674" s="11" t="b">
        <v>0</v>
      </c>
      <c r="AE5674" s="105"/>
      <c r="AF5674" s="11"/>
      <c r="AG5674" s="11"/>
      <c r="AH5674" s="11"/>
      <c r="AI5674" s="11"/>
    </row>
    <row r="5675" ht="12.5" spans="3:35">
      <c r="C5675" s="19"/>
      <c r="D5675" s="19"/>
      <c r="H5675" s="105"/>
      <c r="I5675" s="126"/>
      <c r="J5675" s="11"/>
      <c r="K5675" s="108"/>
      <c r="L5675" s="11"/>
      <c r="M5675" s="105"/>
      <c r="N5675" s="105"/>
      <c r="O5675" s="11"/>
      <c r="P5675" s="11"/>
      <c r="Q5675" s="105"/>
      <c r="R5675" s="105"/>
      <c r="S5675" s="105"/>
      <c r="T5675" s="105"/>
      <c r="U5675" s="105"/>
      <c r="V5675" s="105"/>
      <c r="W5675" s="105"/>
      <c r="X5675" s="11"/>
      <c r="Y5675" s="11"/>
      <c r="Z5675" s="105"/>
      <c r="AA5675" s="11"/>
      <c r="AB5675" s="11"/>
      <c r="AC5675" s="105"/>
      <c r="AD5675" s="11" t="b">
        <v>0</v>
      </c>
      <c r="AE5675" s="105"/>
      <c r="AF5675" s="11"/>
      <c r="AG5675" s="11"/>
      <c r="AH5675" s="11"/>
      <c r="AI5675" s="11"/>
    </row>
    <row r="5676" ht="12.5" spans="3:35">
      <c r="C5676" s="19"/>
      <c r="D5676" s="19"/>
      <c r="H5676" s="105"/>
      <c r="I5676" s="126"/>
      <c r="J5676" s="11"/>
      <c r="K5676" s="108"/>
      <c r="L5676" s="11"/>
      <c r="M5676" s="105"/>
      <c r="N5676" s="105"/>
      <c r="O5676" s="11"/>
      <c r="P5676" s="11"/>
      <c r="Q5676" s="105"/>
      <c r="R5676" s="105"/>
      <c r="S5676" s="105"/>
      <c r="T5676" s="105"/>
      <c r="U5676" s="105"/>
      <c r="V5676" s="105"/>
      <c r="W5676" s="105"/>
      <c r="X5676" s="11"/>
      <c r="Y5676" s="11"/>
      <c r="Z5676" s="105"/>
      <c r="AA5676" s="11"/>
      <c r="AB5676" s="11"/>
      <c r="AC5676" s="105"/>
      <c r="AD5676" s="11" t="b">
        <v>0</v>
      </c>
      <c r="AE5676" s="105"/>
      <c r="AF5676" s="11"/>
      <c r="AG5676" s="11"/>
      <c r="AH5676" s="11"/>
      <c r="AI5676" s="11"/>
    </row>
    <row r="5677" ht="12.5" spans="3:35">
      <c r="C5677" s="19"/>
      <c r="D5677" s="19"/>
      <c r="H5677" s="105"/>
      <c r="I5677" s="126"/>
      <c r="J5677" s="11"/>
      <c r="K5677" s="108"/>
      <c r="L5677" s="11"/>
      <c r="M5677" s="105"/>
      <c r="N5677" s="105"/>
      <c r="O5677" s="11"/>
      <c r="P5677" s="11"/>
      <c r="Q5677" s="105"/>
      <c r="R5677" s="105"/>
      <c r="S5677" s="105"/>
      <c r="T5677" s="105"/>
      <c r="U5677" s="105"/>
      <c r="V5677" s="105"/>
      <c r="W5677" s="105"/>
      <c r="X5677" s="11"/>
      <c r="Y5677" s="11"/>
      <c r="Z5677" s="105"/>
      <c r="AA5677" s="11"/>
      <c r="AB5677" s="11"/>
      <c r="AC5677" s="105"/>
      <c r="AD5677" s="11" t="b">
        <v>0</v>
      </c>
      <c r="AE5677" s="105"/>
      <c r="AF5677" s="11"/>
      <c r="AG5677" s="11"/>
      <c r="AH5677" s="11"/>
      <c r="AI5677" s="11"/>
    </row>
    <row r="5678" ht="12.5" spans="3:35">
      <c r="C5678" s="19"/>
      <c r="D5678" s="19"/>
      <c r="H5678" s="105"/>
      <c r="I5678" s="126"/>
      <c r="J5678" s="11"/>
      <c r="K5678" s="108"/>
      <c r="L5678" s="11"/>
      <c r="M5678" s="105"/>
      <c r="N5678" s="105"/>
      <c r="O5678" s="11"/>
      <c r="P5678" s="11"/>
      <c r="Q5678" s="105"/>
      <c r="R5678" s="105"/>
      <c r="S5678" s="105"/>
      <c r="T5678" s="105"/>
      <c r="U5678" s="105"/>
      <c r="V5678" s="105"/>
      <c r="W5678" s="105"/>
      <c r="X5678" s="11"/>
      <c r="Y5678" s="11"/>
      <c r="Z5678" s="105"/>
      <c r="AA5678" s="11"/>
      <c r="AB5678" s="11"/>
      <c r="AC5678" s="105"/>
      <c r="AD5678" s="11" t="b">
        <v>0</v>
      </c>
      <c r="AE5678" s="105"/>
      <c r="AF5678" s="11"/>
      <c r="AG5678" s="11"/>
      <c r="AH5678" s="11"/>
      <c r="AI5678" s="11"/>
    </row>
    <row r="5679" ht="12.5" spans="3:35">
      <c r="C5679" s="19"/>
      <c r="D5679" s="19"/>
      <c r="H5679" s="105"/>
      <c r="I5679" s="126"/>
      <c r="J5679" s="11"/>
      <c r="K5679" s="108"/>
      <c r="L5679" s="11"/>
      <c r="M5679" s="105"/>
      <c r="N5679" s="105"/>
      <c r="O5679" s="11"/>
      <c r="P5679" s="11"/>
      <c r="Q5679" s="105"/>
      <c r="R5679" s="105"/>
      <c r="S5679" s="105"/>
      <c r="T5679" s="105"/>
      <c r="U5679" s="105"/>
      <c r="V5679" s="105"/>
      <c r="W5679" s="105"/>
      <c r="X5679" s="11"/>
      <c r="Y5679" s="11"/>
      <c r="Z5679" s="105"/>
      <c r="AA5679" s="11"/>
      <c r="AB5679" s="11"/>
      <c r="AC5679" s="105"/>
      <c r="AD5679" s="11" t="b">
        <v>0</v>
      </c>
      <c r="AE5679" s="105"/>
      <c r="AF5679" s="11"/>
      <c r="AG5679" s="11"/>
      <c r="AH5679" s="11"/>
      <c r="AI5679" s="11"/>
    </row>
    <row r="5680" ht="12.5" spans="3:35">
      <c r="C5680" s="19"/>
      <c r="D5680" s="19"/>
      <c r="H5680" s="105"/>
      <c r="I5680" s="126"/>
      <c r="J5680" s="11"/>
      <c r="K5680" s="108"/>
      <c r="L5680" s="11"/>
      <c r="M5680" s="105"/>
      <c r="N5680" s="105"/>
      <c r="O5680" s="11"/>
      <c r="P5680" s="11"/>
      <c r="Q5680" s="105"/>
      <c r="R5680" s="105"/>
      <c r="S5680" s="105"/>
      <c r="T5680" s="105"/>
      <c r="U5680" s="105"/>
      <c r="V5680" s="105"/>
      <c r="W5680" s="105"/>
      <c r="X5680" s="11"/>
      <c r="Y5680" s="11"/>
      <c r="Z5680" s="105"/>
      <c r="AA5680" s="11"/>
      <c r="AB5680" s="11"/>
      <c r="AC5680" s="105"/>
      <c r="AD5680" s="11" t="b">
        <v>0</v>
      </c>
      <c r="AE5680" s="105"/>
      <c r="AF5680" s="11"/>
      <c r="AG5680" s="11"/>
      <c r="AH5680" s="11"/>
      <c r="AI5680" s="11"/>
    </row>
    <row r="5681" ht="12.5" spans="3:35">
      <c r="C5681" s="19"/>
      <c r="D5681" s="19"/>
      <c r="H5681" s="105"/>
      <c r="I5681" s="126"/>
      <c r="J5681" s="11"/>
      <c r="K5681" s="108"/>
      <c r="L5681" s="11"/>
      <c r="M5681" s="105"/>
      <c r="N5681" s="105"/>
      <c r="O5681" s="11"/>
      <c r="P5681" s="11"/>
      <c r="Q5681" s="105"/>
      <c r="R5681" s="105"/>
      <c r="S5681" s="105"/>
      <c r="T5681" s="105"/>
      <c r="U5681" s="105"/>
      <c r="V5681" s="105"/>
      <c r="W5681" s="105"/>
      <c r="X5681" s="11"/>
      <c r="Y5681" s="11"/>
      <c r="Z5681" s="105"/>
      <c r="AA5681" s="11"/>
      <c r="AB5681" s="11"/>
      <c r="AC5681" s="105"/>
      <c r="AD5681" s="11" t="b">
        <v>0</v>
      </c>
      <c r="AE5681" s="105"/>
      <c r="AF5681" s="11"/>
      <c r="AG5681" s="11"/>
      <c r="AH5681" s="11"/>
      <c r="AI5681" s="11"/>
    </row>
    <row r="5682" ht="12.5" spans="3:35">
      <c r="C5682" s="19"/>
      <c r="D5682" s="19"/>
      <c r="H5682" s="105"/>
      <c r="I5682" s="126"/>
      <c r="J5682" s="11"/>
      <c r="K5682" s="108"/>
      <c r="L5682" s="11"/>
      <c r="M5682" s="105"/>
      <c r="N5682" s="105"/>
      <c r="O5682" s="11"/>
      <c r="P5682" s="11"/>
      <c r="Q5682" s="105"/>
      <c r="R5682" s="105"/>
      <c r="S5682" s="105"/>
      <c r="T5682" s="105"/>
      <c r="U5682" s="105"/>
      <c r="V5682" s="105"/>
      <c r="W5682" s="105"/>
      <c r="X5682" s="11"/>
      <c r="Y5682" s="11"/>
      <c r="Z5682" s="105"/>
      <c r="AA5682" s="11"/>
      <c r="AB5682" s="11"/>
      <c r="AC5682" s="105"/>
      <c r="AD5682" s="11" t="b">
        <v>0</v>
      </c>
      <c r="AE5682" s="105"/>
      <c r="AF5682" s="11"/>
      <c r="AG5682" s="11"/>
      <c r="AH5682" s="11"/>
      <c r="AI5682" s="11"/>
    </row>
    <row r="5683" ht="12.5" spans="3:35">
      <c r="C5683" s="19"/>
      <c r="D5683" s="19"/>
      <c r="H5683" s="105"/>
      <c r="I5683" s="126"/>
      <c r="J5683" s="11"/>
      <c r="K5683" s="108"/>
      <c r="L5683" s="11"/>
      <c r="M5683" s="105"/>
      <c r="N5683" s="105"/>
      <c r="O5683" s="11"/>
      <c r="P5683" s="11"/>
      <c r="Q5683" s="105"/>
      <c r="R5683" s="105"/>
      <c r="S5683" s="105"/>
      <c r="T5683" s="105"/>
      <c r="U5683" s="105"/>
      <c r="V5683" s="105"/>
      <c r="W5683" s="105"/>
      <c r="X5683" s="11"/>
      <c r="Y5683" s="11"/>
      <c r="Z5683" s="105"/>
      <c r="AA5683" s="11"/>
      <c r="AB5683" s="11"/>
      <c r="AC5683" s="105"/>
      <c r="AD5683" s="11" t="b">
        <v>0</v>
      </c>
      <c r="AE5683" s="105"/>
      <c r="AF5683" s="11"/>
      <c r="AG5683" s="11"/>
      <c r="AH5683" s="11"/>
      <c r="AI5683" s="11"/>
    </row>
    <row r="5684" ht="12.5" spans="3:35">
      <c r="C5684" s="19"/>
      <c r="D5684" s="19"/>
      <c r="H5684" s="105"/>
      <c r="I5684" s="126"/>
      <c r="J5684" s="11"/>
      <c r="K5684" s="108"/>
      <c r="L5684" s="11"/>
      <c r="M5684" s="105"/>
      <c r="N5684" s="105"/>
      <c r="O5684" s="11"/>
      <c r="P5684" s="11"/>
      <c r="Q5684" s="105"/>
      <c r="R5684" s="105"/>
      <c r="S5684" s="105"/>
      <c r="T5684" s="105"/>
      <c r="U5684" s="105"/>
      <c r="V5684" s="105"/>
      <c r="W5684" s="105"/>
      <c r="X5684" s="11"/>
      <c r="Y5684" s="11"/>
      <c r="Z5684" s="105"/>
      <c r="AA5684" s="11"/>
      <c r="AB5684" s="11"/>
      <c r="AC5684" s="105"/>
      <c r="AD5684" s="11" t="b">
        <v>0</v>
      </c>
      <c r="AE5684" s="105"/>
      <c r="AF5684" s="11"/>
      <c r="AG5684" s="11"/>
      <c r="AH5684" s="11"/>
      <c r="AI5684" s="11"/>
    </row>
    <row r="5685" ht="12.5" spans="3:35">
      <c r="C5685" s="19"/>
      <c r="D5685" s="19"/>
      <c r="H5685" s="105"/>
      <c r="I5685" s="126"/>
      <c r="J5685" s="11"/>
      <c r="K5685" s="108"/>
      <c r="L5685" s="11"/>
      <c r="M5685" s="105"/>
      <c r="N5685" s="105"/>
      <c r="O5685" s="11"/>
      <c r="P5685" s="11"/>
      <c r="Q5685" s="105"/>
      <c r="R5685" s="105"/>
      <c r="S5685" s="105"/>
      <c r="T5685" s="105"/>
      <c r="U5685" s="105"/>
      <c r="V5685" s="105"/>
      <c r="W5685" s="105"/>
      <c r="X5685" s="11"/>
      <c r="Y5685" s="11"/>
      <c r="Z5685" s="105"/>
      <c r="AA5685" s="11"/>
      <c r="AB5685" s="11"/>
      <c r="AC5685" s="105"/>
      <c r="AD5685" s="11" t="b">
        <v>0</v>
      </c>
      <c r="AE5685" s="105"/>
      <c r="AF5685" s="11"/>
      <c r="AG5685" s="11"/>
      <c r="AH5685" s="11"/>
      <c r="AI5685" s="11"/>
    </row>
    <row r="5686" ht="12.5" spans="3:35">
      <c r="C5686" s="19"/>
      <c r="D5686" s="19"/>
      <c r="H5686" s="105"/>
      <c r="I5686" s="126"/>
      <c r="J5686" s="11"/>
      <c r="K5686" s="108"/>
      <c r="L5686" s="11"/>
      <c r="M5686" s="105"/>
      <c r="N5686" s="105"/>
      <c r="O5686" s="11"/>
      <c r="P5686" s="11"/>
      <c r="Q5686" s="105"/>
      <c r="R5686" s="105"/>
      <c r="S5686" s="105"/>
      <c r="T5686" s="105"/>
      <c r="U5686" s="105"/>
      <c r="V5686" s="105"/>
      <c r="W5686" s="105"/>
      <c r="X5686" s="11"/>
      <c r="Y5686" s="11"/>
      <c r="Z5686" s="105"/>
      <c r="AA5686" s="11"/>
      <c r="AB5686" s="11"/>
      <c r="AC5686" s="105"/>
      <c r="AD5686" s="11" t="b">
        <v>0</v>
      </c>
      <c r="AE5686" s="105"/>
      <c r="AF5686" s="11"/>
      <c r="AG5686" s="11"/>
      <c r="AH5686" s="11"/>
      <c r="AI5686" s="11"/>
    </row>
    <row r="5687" ht="12.5" spans="3:35">
      <c r="C5687" s="19"/>
      <c r="D5687" s="19"/>
      <c r="H5687" s="105"/>
      <c r="I5687" s="126"/>
      <c r="J5687" s="11"/>
      <c r="K5687" s="108"/>
      <c r="L5687" s="11"/>
      <c r="M5687" s="105"/>
      <c r="N5687" s="105"/>
      <c r="O5687" s="11"/>
      <c r="P5687" s="11"/>
      <c r="Q5687" s="105"/>
      <c r="R5687" s="105"/>
      <c r="S5687" s="105"/>
      <c r="T5687" s="105"/>
      <c r="U5687" s="105"/>
      <c r="V5687" s="105"/>
      <c r="W5687" s="105"/>
      <c r="X5687" s="11"/>
      <c r="Y5687" s="11"/>
      <c r="Z5687" s="105"/>
      <c r="AA5687" s="11"/>
      <c r="AB5687" s="11"/>
      <c r="AC5687" s="105"/>
      <c r="AD5687" s="11" t="b">
        <v>0</v>
      </c>
      <c r="AE5687" s="105"/>
      <c r="AF5687" s="11"/>
      <c r="AG5687" s="11"/>
      <c r="AH5687" s="11"/>
      <c r="AI5687" s="11"/>
    </row>
    <row r="5688" ht="12.5" spans="3:35">
      <c r="C5688" s="19"/>
      <c r="D5688" s="19"/>
      <c r="H5688" s="105"/>
      <c r="I5688" s="126"/>
      <c r="J5688" s="11"/>
      <c r="K5688" s="108"/>
      <c r="L5688" s="11"/>
      <c r="M5688" s="105"/>
      <c r="N5688" s="105"/>
      <c r="O5688" s="11"/>
      <c r="P5688" s="11"/>
      <c r="Q5688" s="105"/>
      <c r="R5688" s="105"/>
      <c r="S5688" s="105"/>
      <c r="T5688" s="105"/>
      <c r="U5688" s="105"/>
      <c r="V5688" s="105"/>
      <c r="W5688" s="105"/>
      <c r="X5688" s="11"/>
      <c r="Y5688" s="11"/>
      <c r="Z5688" s="105"/>
      <c r="AA5688" s="11"/>
      <c r="AB5688" s="11"/>
      <c r="AC5688" s="105"/>
      <c r="AD5688" s="11" t="b">
        <v>0</v>
      </c>
      <c r="AE5688" s="105"/>
      <c r="AF5688" s="11"/>
      <c r="AG5688" s="11"/>
      <c r="AH5688" s="11"/>
      <c r="AI5688" s="11"/>
    </row>
    <row r="5689" ht="12.5" spans="3:35">
      <c r="C5689" s="19"/>
      <c r="D5689" s="19"/>
      <c r="H5689" s="105"/>
      <c r="I5689" s="126"/>
      <c r="J5689" s="11"/>
      <c r="K5689" s="108"/>
      <c r="L5689" s="11"/>
      <c r="M5689" s="105"/>
      <c r="N5689" s="105"/>
      <c r="O5689" s="11"/>
      <c r="P5689" s="11"/>
      <c r="Q5689" s="105"/>
      <c r="R5689" s="105"/>
      <c r="S5689" s="105"/>
      <c r="T5689" s="105"/>
      <c r="U5689" s="105"/>
      <c r="V5689" s="105"/>
      <c r="W5689" s="105"/>
      <c r="X5689" s="11"/>
      <c r="Y5689" s="11"/>
      <c r="Z5689" s="105"/>
      <c r="AA5689" s="11"/>
      <c r="AB5689" s="11"/>
      <c r="AC5689" s="105"/>
      <c r="AD5689" s="11" t="b">
        <v>0</v>
      </c>
      <c r="AE5689" s="105"/>
      <c r="AF5689" s="11"/>
      <c r="AG5689" s="11"/>
      <c r="AH5689" s="11"/>
      <c r="AI5689" s="11"/>
    </row>
    <row r="5690" ht="12.5" spans="3:35">
      <c r="C5690" s="19"/>
      <c r="D5690" s="19"/>
      <c r="H5690" s="105"/>
      <c r="I5690" s="126"/>
      <c r="J5690" s="11"/>
      <c r="K5690" s="108"/>
      <c r="L5690" s="11"/>
      <c r="M5690" s="105"/>
      <c r="N5690" s="105"/>
      <c r="O5690" s="11"/>
      <c r="P5690" s="11"/>
      <c r="Q5690" s="105"/>
      <c r="R5690" s="105"/>
      <c r="S5690" s="105"/>
      <c r="T5690" s="105"/>
      <c r="U5690" s="105"/>
      <c r="V5690" s="105"/>
      <c r="W5690" s="105"/>
      <c r="X5690" s="11"/>
      <c r="Y5690" s="11"/>
      <c r="Z5690" s="105"/>
      <c r="AA5690" s="11"/>
      <c r="AB5690" s="11"/>
      <c r="AC5690" s="105"/>
      <c r="AD5690" s="11" t="b">
        <v>0</v>
      </c>
      <c r="AE5690" s="105"/>
      <c r="AF5690" s="11"/>
      <c r="AG5690" s="11"/>
      <c r="AH5690" s="11"/>
      <c r="AI5690" s="11"/>
    </row>
    <row r="5691" ht="12.5" spans="3:35">
      <c r="C5691" s="19"/>
      <c r="D5691" s="19"/>
      <c r="H5691" s="105"/>
      <c r="I5691" s="126"/>
      <c r="J5691" s="11"/>
      <c r="K5691" s="108"/>
      <c r="L5691" s="11"/>
      <c r="M5691" s="105"/>
      <c r="N5691" s="105"/>
      <c r="O5691" s="11"/>
      <c r="P5691" s="11"/>
      <c r="Q5691" s="105"/>
      <c r="R5691" s="105"/>
      <c r="S5691" s="105"/>
      <c r="T5691" s="105"/>
      <c r="U5691" s="105"/>
      <c r="V5691" s="105"/>
      <c r="W5691" s="105"/>
      <c r="X5691" s="11"/>
      <c r="Y5691" s="11"/>
      <c r="Z5691" s="105"/>
      <c r="AA5691" s="11"/>
      <c r="AB5691" s="11"/>
      <c r="AC5691" s="105"/>
      <c r="AD5691" s="11" t="b">
        <v>0</v>
      </c>
      <c r="AE5691" s="105"/>
      <c r="AF5691" s="11"/>
      <c r="AG5691" s="11"/>
      <c r="AH5691" s="11"/>
      <c r="AI5691" s="11"/>
    </row>
    <row r="5692" ht="12.5" spans="3:35">
      <c r="C5692" s="19"/>
      <c r="D5692" s="19"/>
      <c r="H5692" s="105"/>
      <c r="I5692" s="126"/>
      <c r="J5692" s="11"/>
      <c r="K5692" s="108"/>
      <c r="L5692" s="11"/>
      <c r="M5692" s="105"/>
      <c r="N5692" s="105"/>
      <c r="O5692" s="11"/>
      <c r="P5692" s="11"/>
      <c r="Q5692" s="105"/>
      <c r="R5692" s="105"/>
      <c r="S5692" s="105"/>
      <c r="T5692" s="105"/>
      <c r="U5692" s="105"/>
      <c r="V5692" s="105"/>
      <c r="W5692" s="105"/>
      <c r="X5692" s="11"/>
      <c r="Y5692" s="11"/>
      <c r="Z5692" s="105"/>
      <c r="AA5692" s="11"/>
      <c r="AB5692" s="11"/>
      <c r="AC5692" s="105"/>
      <c r="AD5692" s="11" t="b">
        <v>0</v>
      </c>
      <c r="AE5692" s="105"/>
      <c r="AF5692" s="11"/>
      <c r="AG5692" s="11"/>
      <c r="AH5692" s="11"/>
      <c r="AI5692" s="11"/>
    </row>
    <row r="5693" ht="12.5" spans="3:35">
      <c r="C5693" s="19"/>
      <c r="D5693" s="19"/>
      <c r="H5693" s="105"/>
      <c r="I5693" s="126"/>
      <c r="J5693" s="11"/>
      <c r="K5693" s="108"/>
      <c r="L5693" s="11"/>
      <c r="M5693" s="105"/>
      <c r="N5693" s="105"/>
      <c r="O5693" s="11"/>
      <c r="P5693" s="11"/>
      <c r="Q5693" s="105"/>
      <c r="R5693" s="105"/>
      <c r="S5693" s="105"/>
      <c r="T5693" s="105"/>
      <c r="U5693" s="105"/>
      <c r="V5693" s="105"/>
      <c r="W5693" s="105"/>
      <c r="X5693" s="11"/>
      <c r="Y5693" s="11"/>
      <c r="Z5693" s="105"/>
      <c r="AA5693" s="11"/>
      <c r="AB5693" s="11"/>
      <c r="AC5693" s="105"/>
      <c r="AD5693" s="11" t="b">
        <v>0</v>
      </c>
      <c r="AE5693" s="105"/>
      <c r="AF5693" s="11"/>
      <c r="AG5693" s="11"/>
      <c r="AH5693" s="11"/>
      <c r="AI5693" s="11"/>
    </row>
    <row r="5694" ht="12.5" spans="3:35">
      <c r="C5694" s="19"/>
      <c r="D5694" s="19"/>
      <c r="H5694" s="105"/>
      <c r="I5694" s="126"/>
      <c r="J5694" s="11"/>
      <c r="K5694" s="108"/>
      <c r="L5694" s="11"/>
      <c r="M5694" s="105"/>
      <c r="N5694" s="105"/>
      <c r="O5694" s="11"/>
      <c r="P5694" s="11"/>
      <c r="Q5694" s="105"/>
      <c r="R5694" s="105"/>
      <c r="S5694" s="105"/>
      <c r="T5694" s="105"/>
      <c r="U5694" s="105"/>
      <c r="V5694" s="105"/>
      <c r="W5694" s="105"/>
      <c r="X5694" s="11"/>
      <c r="Y5694" s="11"/>
      <c r="Z5694" s="105"/>
      <c r="AA5694" s="11"/>
      <c r="AB5694" s="11"/>
      <c r="AC5694" s="105"/>
      <c r="AD5694" s="11" t="b">
        <v>0</v>
      </c>
      <c r="AE5694" s="105"/>
      <c r="AF5694" s="11"/>
      <c r="AG5694" s="11"/>
      <c r="AH5694" s="11"/>
      <c r="AI5694" s="11"/>
    </row>
    <row r="5695" ht="12.5" spans="3:35">
      <c r="C5695" s="19"/>
      <c r="D5695" s="19"/>
      <c r="H5695" s="105"/>
      <c r="I5695" s="126"/>
      <c r="J5695" s="11"/>
      <c r="K5695" s="108"/>
      <c r="L5695" s="11"/>
      <c r="M5695" s="105"/>
      <c r="N5695" s="105"/>
      <c r="O5695" s="11"/>
      <c r="P5695" s="11"/>
      <c r="Q5695" s="105"/>
      <c r="R5695" s="105"/>
      <c r="S5695" s="105"/>
      <c r="T5695" s="105"/>
      <c r="U5695" s="105"/>
      <c r="V5695" s="105"/>
      <c r="W5695" s="105"/>
      <c r="X5695" s="11"/>
      <c r="Y5695" s="11"/>
      <c r="Z5695" s="105"/>
      <c r="AA5695" s="11"/>
      <c r="AB5695" s="11"/>
      <c r="AC5695" s="105"/>
      <c r="AD5695" s="11" t="b">
        <v>0</v>
      </c>
      <c r="AE5695" s="105"/>
      <c r="AF5695" s="11"/>
      <c r="AG5695" s="11"/>
      <c r="AH5695" s="11"/>
      <c r="AI5695" s="11"/>
    </row>
    <row r="5696" ht="12.5" spans="3:35">
      <c r="C5696" s="19"/>
      <c r="D5696" s="19"/>
      <c r="H5696" s="105"/>
      <c r="I5696" s="126"/>
      <c r="J5696" s="11"/>
      <c r="K5696" s="108"/>
      <c r="L5696" s="11"/>
      <c r="M5696" s="105"/>
      <c r="N5696" s="105"/>
      <c r="O5696" s="11"/>
      <c r="P5696" s="11"/>
      <c r="Q5696" s="105"/>
      <c r="R5696" s="105"/>
      <c r="S5696" s="105"/>
      <c r="T5696" s="105"/>
      <c r="U5696" s="105"/>
      <c r="V5696" s="105"/>
      <c r="W5696" s="105"/>
      <c r="X5696" s="11"/>
      <c r="Y5696" s="11"/>
      <c r="Z5696" s="105"/>
      <c r="AA5696" s="11"/>
      <c r="AB5696" s="11"/>
      <c r="AC5696" s="105"/>
      <c r="AD5696" s="11" t="b">
        <v>0</v>
      </c>
      <c r="AE5696" s="105"/>
      <c r="AF5696" s="11"/>
      <c r="AG5696" s="11"/>
      <c r="AH5696" s="11"/>
      <c r="AI5696" s="11"/>
    </row>
    <row r="5697" ht="12.5" spans="3:35">
      <c r="C5697" s="19"/>
      <c r="D5697" s="19"/>
      <c r="H5697" s="105"/>
      <c r="I5697" s="126"/>
      <c r="J5697" s="11"/>
      <c r="K5697" s="108"/>
      <c r="L5697" s="11"/>
      <c r="M5697" s="105"/>
      <c r="N5697" s="105"/>
      <c r="O5697" s="11"/>
      <c r="P5697" s="11"/>
      <c r="Q5697" s="105"/>
      <c r="R5697" s="105"/>
      <c r="S5697" s="105"/>
      <c r="T5697" s="105"/>
      <c r="U5697" s="105"/>
      <c r="V5697" s="105"/>
      <c r="W5697" s="105"/>
      <c r="X5697" s="11"/>
      <c r="Y5697" s="11"/>
      <c r="Z5697" s="105"/>
      <c r="AA5697" s="11"/>
      <c r="AB5697" s="11"/>
      <c r="AC5697" s="105"/>
      <c r="AD5697" s="11" t="b">
        <v>0</v>
      </c>
      <c r="AE5697" s="105"/>
      <c r="AF5697" s="11"/>
      <c r="AG5697" s="11"/>
      <c r="AH5697" s="11"/>
      <c r="AI5697" s="11"/>
    </row>
    <row r="5698" ht="12.5" spans="3:35">
      <c r="C5698" s="19"/>
      <c r="D5698" s="19"/>
      <c r="H5698" s="105"/>
      <c r="I5698" s="126"/>
      <c r="J5698" s="11"/>
      <c r="K5698" s="108"/>
      <c r="L5698" s="11"/>
      <c r="M5698" s="105"/>
      <c r="N5698" s="105"/>
      <c r="O5698" s="11"/>
      <c r="P5698" s="11"/>
      <c r="Q5698" s="105"/>
      <c r="R5698" s="105"/>
      <c r="S5698" s="105"/>
      <c r="T5698" s="105"/>
      <c r="U5698" s="105"/>
      <c r="V5698" s="105"/>
      <c r="W5698" s="105"/>
      <c r="X5698" s="11"/>
      <c r="Y5698" s="11"/>
      <c r="Z5698" s="105"/>
      <c r="AA5698" s="11"/>
      <c r="AB5698" s="11"/>
      <c r="AC5698" s="105"/>
      <c r="AD5698" s="11" t="b">
        <v>0</v>
      </c>
      <c r="AE5698" s="105"/>
      <c r="AF5698" s="11"/>
      <c r="AG5698" s="11"/>
      <c r="AH5698" s="11"/>
      <c r="AI5698" s="11"/>
    </row>
    <row r="5699" ht="12.5" spans="3:35">
      <c r="C5699" s="19"/>
      <c r="D5699" s="19"/>
      <c r="H5699" s="105"/>
      <c r="I5699" s="126"/>
      <c r="J5699" s="11"/>
      <c r="K5699" s="108"/>
      <c r="L5699" s="11"/>
      <c r="M5699" s="105"/>
      <c r="N5699" s="105"/>
      <c r="O5699" s="11"/>
      <c r="P5699" s="11"/>
      <c r="Q5699" s="105"/>
      <c r="R5699" s="105"/>
      <c r="S5699" s="105"/>
      <c r="T5699" s="105"/>
      <c r="U5699" s="105"/>
      <c r="V5699" s="105"/>
      <c r="W5699" s="105"/>
      <c r="X5699" s="11"/>
      <c r="Y5699" s="11"/>
      <c r="Z5699" s="105"/>
      <c r="AA5699" s="11"/>
      <c r="AB5699" s="11"/>
      <c r="AC5699" s="105"/>
      <c r="AD5699" s="11" t="b">
        <v>0</v>
      </c>
      <c r="AE5699" s="105"/>
      <c r="AF5699" s="11"/>
      <c r="AG5699" s="11"/>
      <c r="AH5699" s="11"/>
      <c r="AI5699" s="11"/>
    </row>
    <row r="5700" ht="12.5" spans="3:35">
      <c r="C5700" s="19"/>
      <c r="D5700" s="19"/>
      <c r="H5700" s="105"/>
      <c r="I5700" s="126"/>
      <c r="J5700" s="11"/>
      <c r="K5700" s="108"/>
      <c r="L5700" s="11"/>
      <c r="M5700" s="105"/>
      <c r="N5700" s="105"/>
      <c r="O5700" s="11"/>
      <c r="P5700" s="11"/>
      <c r="Q5700" s="105"/>
      <c r="R5700" s="105"/>
      <c r="S5700" s="105"/>
      <c r="T5700" s="105"/>
      <c r="U5700" s="105"/>
      <c r="V5700" s="105"/>
      <c r="W5700" s="105"/>
      <c r="X5700" s="11"/>
      <c r="Y5700" s="11"/>
      <c r="Z5700" s="105"/>
      <c r="AA5700" s="11"/>
      <c r="AB5700" s="11"/>
      <c r="AC5700" s="105"/>
      <c r="AD5700" s="11" t="b">
        <v>0</v>
      </c>
      <c r="AE5700" s="105"/>
      <c r="AF5700" s="11"/>
      <c r="AG5700" s="11"/>
      <c r="AH5700" s="11"/>
      <c r="AI5700" s="11"/>
    </row>
    <row r="5701" ht="12.5" spans="3:35">
      <c r="C5701" s="19"/>
      <c r="D5701" s="19"/>
      <c r="H5701" s="105"/>
      <c r="I5701" s="126"/>
      <c r="J5701" s="11"/>
      <c r="K5701" s="108"/>
      <c r="L5701" s="11"/>
      <c r="M5701" s="105"/>
      <c r="N5701" s="105"/>
      <c r="O5701" s="11"/>
      <c r="P5701" s="11"/>
      <c r="Q5701" s="105"/>
      <c r="R5701" s="105"/>
      <c r="S5701" s="105"/>
      <c r="T5701" s="105"/>
      <c r="U5701" s="105"/>
      <c r="V5701" s="105"/>
      <c r="W5701" s="105"/>
      <c r="X5701" s="11"/>
      <c r="Y5701" s="11"/>
      <c r="Z5701" s="105"/>
      <c r="AA5701" s="11"/>
      <c r="AB5701" s="11"/>
      <c r="AC5701" s="105"/>
      <c r="AD5701" s="11" t="b">
        <v>0</v>
      </c>
      <c r="AE5701" s="105"/>
      <c r="AF5701" s="11"/>
      <c r="AG5701" s="11"/>
      <c r="AH5701" s="11"/>
      <c r="AI5701" s="11"/>
    </row>
    <row r="5702" ht="12.5" spans="3:35">
      <c r="C5702" s="19"/>
      <c r="D5702" s="19"/>
      <c r="H5702" s="105"/>
      <c r="I5702" s="126"/>
      <c r="J5702" s="11"/>
      <c r="K5702" s="108"/>
      <c r="L5702" s="11"/>
      <c r="M5702" s="105"/>
      <c r="N5702" s="105"/>
      <c r="O5702" s="11"/>
      <c r="P5702" s="11"/>
      <c r="Q5702" s="105"/>
      <c r="R5702" s="105"/>
      <c r="S5702" s="105"/>
      <c r="T5702" s="105"/>
      <c r="U5702" s="105"/>
      <c r="V5702" s="105"/>
      <c r="W5702" s="105"/>
      <c r="X5702" s="11"/>
      <c r="Y5702" s="11"/>
      <c r="Z5702" s="105"/>
      <c r="AA5702" s="11"/>
      <c r="AB5702" s="11"/>
      <c r="AC5702" s="105"/>
      <c r="AD5702" s="11" t="b">
        <v>0</v>
      </c>
      <c r="AE5702" s="105"/>
      <c r="AF5702" s="11"/>
      <c r="AG5702" s="11"/>
      <c r="AH5702" s="11"/>
      <c r="AI5702" s="11"/>
    </row>
    <row r="5703" ht="12.5" spans="3:35">
      <c r="C5703" s="19"/>
      <c r="D5703" s="19"/>
      <c r="H5703" s="105"/>
      <c r="I5703" s="126"/>
      <c r="J5703" s="11"/>
      <c r="K5703" s="108"/>
      <c r="L5703" s="11"/>
      <c r="M5703" s="105"/>
      <c r="N5703" s="105"/>
      <c r="O5703" s="11"/>
      <c r="P5703" s="11"/>
      <c r="Q5703" s="105"/>
      <c r="R5703" s="105"/>
      <c r="S5703" s="105"/>
      <c r="T5703" s="105"/>
      <c r="U5703" s="105"/>
      <c r="V5703" s="105"/>
      <c r="W5703" s="105"/>
      <c r="X5703" s="11"/>
      <c r="Y5703" s="11"/>
      <c r="Z5703" s="105"/>
      <c r="AA5703" s="11"/>
      <c r="AB5703" s="11"/>
      <c r="AC5703" s="105"/>
      <c r="AD5703" s="11" t="b">
        <v>0</v>
      </c>
      <c r="AE5703" s="105"/>
      <c r="AF5703" s="11"/>
      <c r="AG5703" s="11"/>
      <c r="AH5703" s="11"/>
      <c r="AI5703" s="11"/>
    </row>
  </sheetData>
  <customSheetViews>
    <customSheetView guid="{9AA15DBA-215F-41F1-953B-B9F16BBFF479}" filter="1" showAutoFilter="1">
      <pageMargins left="0" right="0" top="0" bottom="0" header="0" footer="0"/>
      <headerFooter/>
      <autoFilter ref="A1:AK4703">
        <filterColumn colId="19">
          <customFilters>
            <customFilter operator="equal" val="SIM, Nutricionista"/>
          </customFilters>
        </filterColumn>
      </autoFilter>
    </customSheetView>
    <customSheetView guid="{EF7FAE0B-3171-46EB-9B66-0E7F6C993EFC}" filter="1" showAutoFilter="1">
      <pageMargins left="0" right="0" top="0" bottom="0" header="0" footer="0"/>
      <headerFooter/>
      <autoFilter ref="A1:AH4703">
        <filterColumn colId="21">
          <filters>
            <filter val="2/1/2024"/>
            <filter val="2/2/2024"/>
            <filter val="2/3/2024"/>
            <filter val="2/5/2024"/>
            <filter val="2/7/2024"/>
            <filter val="2/8/2024"/>
            <filter val="2/9/2024"/>
            <filter val="1/2/2023"/>
            <filter val="1/3/2023"/>
            <filter val="1/1/2024"/>
            <filter val="1/2/2024"/>
            <filter val="1/3/2024"/>
            <filter val="1/4/2024"/>
            <filter val="1/5/2024"/>
            <filter val="1/6/2024"/>
            <filter val="1/7/2024"/>
            <filter val="1/9/2024"/>
            <filter val="4/7/2023"/>
            <filter val="4/1/2024"/>
            <filter val="4/2/2024"/>
            <filter val="4/4/2024"/>
            <filter val="4/5/2024"/>
            <filter val="4/6/2024"/>
            <filter val="4/8/2024"/>
            <filter val="4/9/2024"/>
            <filter val="3/5/2023"/>
            <filter val="3/1/2024"/>
            <filter val="3/2/2024"/>
            <filter val="3/3/2024"/>
            <filter val="3/4/2024"/>
            <filter val="3/5/2024"/>
            <filter val="3/6/2024"/>
            <filter val="3/7/2024"/>
            <filter val="3/8/2024"/>
            <filter val="3/9/2024"/>
            <filter val="8/11/2023"/>
            <filter val="8/12/2023"/>
            <filter val="10/13/2023"/>
            <filter val="8/13/2023"/>
            <filter val="10/14/2023"/>
            <filter val="8/14/2023"/>
            <filter val="10/15/2023"/>
            <filter val="8/15/2023"/>
            <filter val="10/16/2023"/>
            <filter val="10/17/2023"/>
            <filter val="8/17/2023"/>
            <filter val="10/18/2023"/>
            <filter val="8/18/2023"/>
            <filter val="10/19/2023"/>
            <filter val="8/19/2023"/>
            <filter val="10/20/2023"/>
            <filter val="4/20/2023"/>
            <filter val="8/20/2023"/>
            <filter val="10/21/2023"/>
            <filter val="8/21/2023"/>
            <filter val="10/22/2023"/>
            <filter val="8/22/2023"/>
            <filter val="10/23/2023"/>
            <filter val="8/23/2023"/>
            <filter val="10/24/2023"/>
            <filter val="4/24/2023"/>
            <filter val="8/24/2023"/>
            <filter val="10/25/2023"/>
            <filter val="8/25/2023"/>
            <filter val="10/26/2023"/>
            <filter val="8/26/2023"/>
            <filter val="10/27/2023"/>
            <filter val="10/28/2023"/>
            <filter val="8/29/2023"/>
            <filter val="10/30/2023"/>
            <filter val="8/30/2023"/>
            <filter val="10/31/2023"/>
            <filter val="8/31/2023"/>
            <filter val="4/10/2024"/>
            <filter val="4/11/2024"/>
            <filter val="4/12/2024"/>
            <filter val="4/13/2024"/>
            <filter val="4/14/2024"/>
            <filter val="4/15/2024"/>
            <filter val="4/16/2024"/>
            <filter val="4/17/2024"/>
            <filter val="4/18/2024"/>
            <filter val="4/19/2024"/>
            <filter val="4/20/2024"/>
            <filter val="4/21/2024"/>
            <filter val="4/22/2024"/>
            <filter val="4/23/2024"/>
            <filter val="4/24/2024"/>
            <filter val="4/25/2024"/>
            <filter val="4/26/2024"/>
            <filter val="4/27/2024"/>
            <filter val="4/28/2024"/>
            <filter val="4/29/2024"/>
            <filter val="9/1/2023"/>
            <filter val="9/2/2023"/>
            <filter val="9/3/2023"/>
            <filter val="9/4/2023"/>
            <filter val="9/5/2023"/>
            <filter val="9/8/2023"/>
            <filter val="6/1/2023"/>
            <filter val="6/2/2023"/>
            <filter val="6/3/2023"/>
            <filter val="6/4/2023"/>
            <filter val="6/5/2023"/>
            <filter val="6/6/2023"/>
            <filter val="6/7/2023"/>
            <filter val="6/8/2023"/>
            <filter val="6/9/2023"/>
            <filter val="6/2/2024"/>
            <filter val="6/3/2024"/>
            <filter val="6/4/2024"/>
            <filter val="6/5/2024"/>
            <filter val="6/6/2024"/>
            <filter val="6/7/2024"/>
            <filter val="5/1/2023"/>
            <filter val="5/3/2023"/>
            <filter val="5/4/2023"/>
            <filter val="5/8/2023"/>
            <filter val="5/9/2023"/>
            <filter val="5/2/2024"/>
            <filter val="5/3/2024"/>
            <filter val="5/4/2024"/>
            <filter val="5/5/2024"/>
            <filter val="5/6/2024"/>
            <filter val="5/7/2024"/>
            <filter val="5/8/2024"/>
            <filter val="5/9/2024"/>
            <filter val="8/1/2023"/>
            <filter val="8/2/2023"/>
            <filter val="8/3/2023"/>
            <filter val="8/4/2023"/>
            <filter val="8/5/2023"/>
            <filter val="8/6/2023"/>
            <filter val="8/7/2023"/>
            <filter val="8/8/2023"/>
            <filter val="8/9/2023"/>
            <filter val="7/1/2023"/>
            <filter val="7/2/2023"/>
            <filter val="7/3/2023"/>
            <filter val="7/4/2023"/>
            <filter val="7/5/2023"/>
            <filter val="7/6/2023"/>
            <filter val="7/7/2023"/>
            <filter val="7/8/2023"/>
            <filter val="7/9/2023"/>
            <filter val="7/11/2023"/>
            <filter val="7/12/2023"/>
            <filter val="7/13/2023"/>
            <filter val="7/14/2023"/>
            <filter val="7/15/2023"/>
            <filter val="7/16/2023"/>
            <filter val="3/17/2023"/>
            <filter val="7/17/2023"/>
            <filter val="7/18/2023"/>
            <filter val="7/19/2023"/>
            <filter val="3/20/2023"/>
            <filter val="7/20/2023"/>
            <filter val="3/21/2023"/>
            <filter val="7/21/2023"/>
            <filter val="7/22/2023"/>
            <filter val="7/23/2023"/>
            <filter val="7/26/2023"/>
            <filter val="7/27/2023"/>
            <filter val="7/29/2023"/>
            <filter val="7/30/2023"/>
            <filter val="7/31/2023"/>
            <filter val="3/10/2024"/>
            <filter val="3/11/2024"/>
            <filter val="3/12/2024"/>
            <filter val="3/13/2024"/>
            <filter val="3/14/2024"/>
            <filter val="3/15/2024"/>
            <filter val="3/16/2024"/>
            <filter val="3/17/2024"/>
            <filter val="3/19/2024"/>
            <filter val="3/20/2024"/>
            <filter val="3/21/2024"/>
            <filter val="3/22/2024"/>
            <filter val="3/23/2024"/>
            <filter val="3/24/2024"/>
            <filter val="3/25/2024"/>
            <filter val="3/26/2024"/>
            <filter val="3/27/2024"/>
            <filter val="3/28/2024"/>
            <filter val="3/29/2024"/>
            <filter val="3/30/2024"/>
            <filter val="3/31/2024"/>
            <filter val="12/15/2022"/>
            <filter val="6/27/2022"/>
            <filter val="6/10/2023"/>
            <filter val="12/11/2023"/>
            <filter val="6/11/2023"/>
            <filter val="6/12/2023"/>
            <filter val="12/13/2023"/>
            <filter val="6/13/2023"/>
            <filter val="12/14/2023"/>
            <filter val="6/14/2023"/>
            <filter val="12/15/2023"/>
            <filter val="6/15/2023"/>
            <filter val="12/16/2023"/>
            <filter val="6/16/2023"/>
            <filter val="12/17/2023"/>
            <filter val="6/17/2023"/>
            <filter val="12/18/2023"/>
            <filter val="6/18/2023"/>
            <filter val="12/19/2023"/>
            <filter val="6/19/2023"/>
            <filter val="12/20/2023"/>
            <filter val="6/20/2023"/>
            <filter val="12/21/2023"/>
            <filter val="6/21/2023"/>
            <filter val="12/22/2023"/>
            <filter val="6/22/2023"/>
            <filter val="12/23/2023"/>
            <filter val="6/23/2023"/>
            <filter val="6/25/2023"/>
            <filter val="12/26/2023"/>
            <filter val="6/26/2023"/>
            <filter val="12/27/2023"/>
            <filter val="6/27/2023"/>
            <filter val="12/28/2023"/>
            <filter val="6/28/2023"/>
            <filter val="12/29/2023"/>
            <filter val="6/29/2023"/>
            <filter val="12/30/2023"/>
            <filter val="6/30/2023"/>
            <filter val="12/31/2023"/>
            <filter val="2/10/2024"/>
            <filter val="2/11/2024"/>
            <filter val="2/12/2024"/>
            <filter val="2/13/2024"/>
            <filter val="2/14/2024"/>
            <filter val="2/15/2024"/>
            <filter val="2/16/2024"/>
            <filter val="2/17/2024"/>
            <filter val="2/18/2024"/>
            <filter val="2/19/2024"/>
            <filter val="2/20/2024"/>
            <filter val="2/21/2024"/>
            <filter val="2/22/2024"/>
            <filter val="2/23/2024"/>
            <filter val="2/24/2024"/>
            <filter val="2/25/2024"/>
            <filter val="2/26/2024"/>
            <filter val="2/27/2024"/>
            <filter val="2/29/2024"/>
            <filter val="12/1/2022"/>
            <filter val="12/1/2023"/>
            <filter val="12/2/2023"/>
            <filter val="12/3/2023"/>
            <filter val="12/4/2023"/>
            <filter val="12/5/2023"/>
            <filter val="12/6/2023"/>
            <filter val="12/7/2023"/>
            <filter val="12/8/2023"/>
            <filter val="12/9/2023"/>
            <filter val="11/1/2023"/>
            <filter val="11/2/2023"/>
            <filter val="11/3/2023"/>
            <filter val="11/4/2023"/>
            <filter val="11/5/2023"/>
            <filter val="11/6/2023"/>
            <filter val="11/7/2023"/>
            <filter val="11/8/2023"/>
            <filter val="11/9/2023"/>
            <filter val="10/1/2023"/>
            <filter val="10/3/2023"/>
            <filter val="10/4/2023"/>
            <filter val="10/5/2023"/>
            <filter val="10/6/2023"/>
            <filter val="10/7/2023"/>
            <filter val="10/9/2023"/>
            <filter val="11/10/2022"/>
            <filter val="9/10/2023"/>
            <filter val="1/11/2023"/>
            <filter val="5/11/2023"/>
            <filter val="9/11/2023"/>
            <filter val="9/12/2023"/>
            <filter val="9/13/2023"/>
            <filter val="11/14/2023"/>
            <filter val="9/14/2023"/>
            <filter val="11/15/2023"/>
            <filter val="9/15/2023"/>
            <filter val="11/16/2023"/>
            <filter val="1/16/2023"/>
            <filter val="9/16/2023"/>
            <filter val="11/17/2023"/>
            <filter val="9/17/2023"/>
            <filter val="11/18/2023"/>
            <filter val="9/18/2023"/>
            <filter val="11/19/2023"/>
            <filter val="9/19/2023"/>
            <filter val="11/21/2023"/>
            <filter val="9/21/2023"/>
            <filter val="11/22/2023"/>
            <filter val="5/22/2023"/>
            <filter val="9/22/2023"/>
            <filter val="11/23/2023"/>
            <filter val="9/23/2023"/>
            <filter val="11/24/2023"/>
            <filter val="9/24/2023"/>
            <filter val="11/25/2023"/>
            <filter val="1/25/2023"/>
            <filter val="9/25/2023"/>
            <filter val="11/26/2023"/>
            <filter val="1/26/2023"/>
            <filter val="9/26/2023"/>
            <filter val="11/27/2023"/>
            <filter val="1/27/2023"/>
            <filter val="11/28/2023"/>
            <filter val="9/28/2023"/>
            <filter val="11/29/2023"/>
            <filter val="9/29/2023"/>
            <filter val="11/30/2023"/>
            <filter val="5/31/2023"/>
            <filter val="1/10/2024"/>
            <filter val="5/10/2024"/>
            <filter val="1/11/2024"/>
            <filter val="1/12/2024"/>
            <filter val="5/12/2024"/>
            <filter val="1/13/2024"/>
            <filter val="5/13/2024"/>
            <filter val="1/14/2024"/>
            <filter val="5/14/2024"/>
            <filter val="1/15/2024"/>
            <filter val="5/15/2024"/>
            <filter val="5/16/2024"/>
            <filter val="1/17/2024"/>
            <filter val="5/17/2024"/>
            <filter val="1/18/2024"/>
            <filter val="5/18/2024"/>
            <filter val="1/19/2024"/>
            <filter val="5/19/2024"/>
            <filter val="1/20/2024"/>
            <filter val="5/20/2024"/>
            <filter val="5/21/2024"/>
            <filter val="1/22/2024"/>
            <filter val="5/22/2024"/>
            <filter val="1/23/2024"/>
            <filter val="5/23/2024"/>
            <filter val="1/24/2024"/>
            <filter val="5/24/2024"/>
            <filter val="1/25/2024"/>
            <filter val="5/25/2024"/>
            <filter val="5/26/2024"/>
            <filter val="1/27/2024"/>
            <filter val="5/27/2024"/>
            <filter val="1/28/2024"/>
            <filter val="5/28/2024"/>
            <filter val="5/29/2024"/>
            <filter val="1/30/2024"/>
            <filter val="5/30/2024"/>
            <filter val="1/31/2024"/>
            <filter val="5/31/2024"/>
          </filters>
        </filterColumn>
      </autoFilter>
    </customSheetView>
    <customSheetView guid="{7E01EEAE-4860-4321-B905-E0A24A962C8B}" filter="1" showAutoFilter="1">
      <pageMargins left="0" right="0" top="0" bottom="0" header="0" footer="0"/>
      <headerFooter/>
      <autoFilter ref="A1:AH3702">
        <filterColumn colId="21">
          <filters>
            <filter val="2/1/2024"/>
            <filter val="2/2/2024"/>
            <filter val="2/3/2024"/>
            <filter val="2/5/2024"/>
            <filter val="2/7/2024"/>
            <filter val="2/8/2024"/>
            <filter val="2/9/2024"/>
            <filter val="1/2/2023"/>
            <filter val="1/3/2023"/>
            <filter val="1/1/2024"/>
            <filter val="1/2/2024"/>
            <filter val="1/3/2024"/>
            <filter val="1/4/2024"/>
            <filter val="1/5/2024"/>
            <filter val="1/6/2024"/>
            <filter val="1/7/2024"/>
            <filter val="1/9/2024"/>
            <filter val="4/7/2023"/>
            <filter val="4/1/2024"/>
            <filter val="4/2/2024"/>
            <filter val="4/4/2024"/>
            <filter val="4/5/2024"/>
            <filter val="4/6/2024"/>
            <filter val="4/8/2024"/>
            <filter val="4/9/2024"/>
            <filter val="3/5/2023"/>
            <filter val="3/1/2024"/>
            <filter val="3/2/2024"/>
            <filter val="3/3/2024"/>
            <filter val="3/4/2024"/>
            <filter val="3/5/2024"/>
            <filter val="3/6/2024"/>
            <filter val="3/7/2024"/>
            <filter val="3/8/2024"/>
            <filter val="3/9/2024"/>
            <filter val="8/11/2023"/>
            <filter val="8/12/2023"/>
            <filter val="10/13/2023"/>
            <filter val="8/13/2023"/>
            <filter val="10/14/2023"/>
            <filter val="8/14/2023"/>
            <filter val="10/15/2023"/>
            <filter val="8/15/2023"/>
            <filter val="10/16/2023"/>
            <filter val="10/17/2023"/>
            <filter val="8/17/2023"/>
            <filter val="10/18/2023"/>
            <filter val="8/18/2023"/>
            <filter val="10/19/2023"/>
            <filter val="8/19/2023"/>
            <filter val="10/20/2023"/>
            <filter val="4/20/2023"/>
            <filter val="8/20/2023"/>
            <filter val="10/21/2023"/>
            <filter val="8/21/2023"/>
            <filter val="10/22/2023"/>
            <filter val="8/22/2023"/>
            <filter val="10/23/2023"/>
            <filter val="8/23/2023"/>
            <filter val="10/24/2023"/>
            <filter val="4/24/2023"/>
            <filter val="8/24/2023"/>
            <filter val="10/25/2023"/>
            <filter val="8/25/2023"/>
            <filter val="10/26/2023"/>
            <filter val="8/26/2023"/>
            <filter val="10/27/2023"/>
            <filter val="10/28/2023"/>
            <filter val="8/29/2023"/>
            <filter val="10/30/2023"/>
            <filter val="8/30/2023"/>
            <filter val="10/31/2023"/>
            <filter val="8/31/2023"/>
            <filter val="4/10/2024"/>
            <filter val="4/11/2024"/>
            <filter val="4/12/2024"/>
            <filter val="4/13/2024"/>
            <filter val="4/14/2024"/>
            <filter val="4/15/2024"/>
            <filter val="4/16/2024"/>
            <filter val="4/17/2024"/>
            <filter val="4/18/2024"/>
            <filter val="4/19/2024"/>
            <filter val="4/20/2024"/>
            <filter val="4/21/2024"/>
            <filter val="4/22/2024"/>
            <filter val="4/23/2024"/>
            <filter val="4/24/2024"/>
            <filter val="4/25/2024"/>
            <filter val="4/26/2024"/>
            <filter val="4/27/2024"/>
            <filter val="4/28/2024"/>
            <filter val="4/29/2024"/>
            <filter val="9/1/2023"/>
            <filter val="9/2/2023"/>
            <filter val="9/3/2023"/>
            <filter val="9/4/2023"/>
            <filter val="9/5/2023"/>
            <filter val="9/8/2023"/>
            <filter val="6/1/2023"/>
            <filter val="6/2/2023"/>
            <filter val="6/3/2023"/>
            <filter val="6/4/2023"/>
            <filter val="6/5/2023"/>
            <filter val="6/6/2023"/>
            <filter val="6/7/2023"/>
            <filter val="6/8/2023"/>
            <filter val="6/9/2023"/>
            <filter val="6/2/2024"/>
            <filter val="6/3/2024"/>
            <filter val="6/4/2024"/>
            <filter val="6/5/2024"/>
            <filter val="6/6/2024"/>
            <filter val="6/7/2024"/>
            <filter val="5/1/2023"/>
            <filter val="5/3/2023"/>
            <filter val="5/4/2023"/>
            <filter val="5/8/2023"/>
            <filter val="5/9/2023"/>
            <filter val="5/2/2024"/>
            <filter val="5/3/2024"/>
            <filter val="5/4/2024"/>
            <filter val="5/5/2024"/>
            <filter val="5/6/2024"/>
            <filter val="5/7/2024"/>
            <filter val="5/8/2024"/>
            <filter val="5/9/2024"/>
            <filter val="8/1/2023"/>
            <filter val="8/2/2023"/>
            <filter val="8/3/2023"/>
            <filter val="8/4/2023"/>
            <filter val="8/5/2023"/>
            <filter val="8/6/2023"/>
            <filter val="8/7/2023"/>
            <filter val="8/8/2023"/>
            <filter val="8/9/2023"/>
            <filter val="7/1/2023"/>
            <filter val="7/2/2023"/>
            <filter val="7/3/2023"/>
            <filter val="7/4/2023"/>
            <filter val="7/5/2023"/>
            <filter val="7/6/2023"/>
            <filter val="7/7/2023"/>
            <filter val="7/8/2023"/>
            <filter val="7/9/2023"/>
            <filter val="7/11/2023"/>
            <filter val="7/12/2023"/>
            <filter val="7/13/2023"/>
            <filter val="7/14/2023"/>
            <filter val="7/15/2023"/>
            <filter val="7/16/2023"/>
            <filter val="3/17/2023"/>
            <filter val="7/17/2023"/>
            <filter val="7/18/2023"/>
            <filter val="7/19/2023"/>
            <filter val="3/20/2023"/>
            <filter val="7/20/2023"/>
            <filter val="3/21/2023"/>
            <filter val="7/21/2023"/>
            <filter val="7/22/2023"/>
            <filter val="7/23/2023"/>
            <filter val="7/26/2023"/>
            <filter val="7/27/2023"/>
            <filter val="7/29/2023"/>
            <filter val="7/30/2023"/>
            <filter val="7/31/2023"/>
            <filter val="3/10/2024"/>
            <filter val="3/11/2024"/>
            <filter val="3/12/2024"/>
            <filter val="3/13/2024"/>
            <filter val="3/14/2024"/>
            <filter val="3/15/2024"/>
            <filter val="3/16/2024"/>
            <filter val="3/17/2024"/>
            <filter val="3/19/2024"/>
            <filter val="3/20/2024"/>
            <filter val="3/21/2024"/>
            <filter val="3/22/2024"/>
            <filter val="3/23/2024"/>
            <filter val="3/24/2024"/>
            <filter val="3/25/2024"/>
            <filter val="3/26/2024"/>
            <filter val="3/27/2024"/>
            <filter val="3/28/2024"/>
            <filter val="3/29/2024"/>
            <filter val="3/30/2024"/>
            <filter val="3/31/2024"/>
            <filter val="12/15/2022"/>
            <filter val="6/27/2022"/>
            <filter val="6/10/2023"/>
            <filter val="12/11/2023"/>
            <filter val="6/11/2023"/>
            <filter val="6/12/2023"/>
            <filter val="12/13/2023"/>
            <filter val="6/13/2023"/>
            <filter val="12/14/2023"/>
            <filter val="6/14/2023"/>
            <filter val="12/15/2023"/>
            <filter val="6/15/2023"/>
            <filter val="12/16/2023"/>
            <filter val="6/16/2023"/>
            <filter val="12/17/2023"/>
            <filter val="6/17/2023"/>
            <filter val="12/18/2023"/>
            <filter val="6/18/2023"/>
            <filter val="12/19/2023"/>
            <filter val="6/19/2023"/>
            <filter val="12/20/2023"/>
            <filter val="6/20/2023"/>
            <filter val="12/21/2023"/>
            <filter val="6/21/2023"/>
            <filter val="12/22/2023"/>
            <filter val="6/22/2023"/>
            <filter val="12/23/2023"/>
            <filter val="6/23/2023"/>
            <filter val="6/25/2023"/>
            <filter val="12/26/2023"/>
            <filter val="6/26/2023"/>
            <filter val="12/27/2023"/>
            <filter val="6/27/2023"/>
            <filter val="12/28/2023"/>
            <filter val="6/28/2023"/>
            <filter val="12/29/2023"/>
            <filter val="6/29/2023"/>
            <filter val="12/30/2023"/>
            <filter val="6/30/2023"/>
            <filter val="12/31/2023"/>
            <filter val="2/10/2024"/>
            <filter val="2/11/2024"/>
            <filter val="2/12/2024"/>
            <filter val="2/13/2024"/>
            <filter val="2/14/2024"/>
            <filter val="2/15/2024"/>
            <filter val="2/16/2024"/>
            <filter val="2/17/2024"/>
            <filter val="2/18/2024"/>
            <filter val="2/19/2024"/>
            <filter val="2/20/2024"/>
            <filter val="2/21/2024"/>
            <filter val="2/22/2024"/>
            <filter val="2/23/2024"/>
            <filter val="2/24/2024"/>
            <filter val="2/25/2024"/>
            <filter val="2/26/2024"/>
            <filter val="2/27/2024"/>
            <filter val="2/29/2024"/>
            <filter val="12/1/2022"/>
            <filter val="12/1/2023"/>
            <filter val="12/2/2023"/>
            <filter val="12/3/2023"/>
            <filter val="12/4/2023"/>
            <filter val="12/5/2023"/>
            <filter val="12/6/2023"/>
            <filter val="12/7/2023"/>
            <filter val="12/8/2023"/>
            <filter val="12/9/2023"/>
            <filter val="11/1/2023"/>
            <filter val="11/2/2023"/>
            <filter val="11/3/2023"/>
            <filter val="11/4/2023"/>
            <filter val="11/5/2023"/>
            <filter val="11/6/2023"/>
            <filter val="11/7/2023"/>
            <filter val="11/8/2023"/>
            <filter val="11/9/2023"/>
            <filter val="10/1/2023"/>
            <filter val="10/3/2023"/>
            <filter val="10/4/2023"/>
            <filter val="10/5/2023"/>
            <filter val="10/6/2023"/>
            <filter val="10/7/2023"/>
            <filter val="10/9/2023"/>
            <filter val="11/10/2022"/>
            <filter val="9/10/2023"/>
            <filter val="1/11/2023"/>
            <filter val="5/11/2023"/>
            <filter val="9/11/2023"/>
            <filter val="9/12/2023"/>
            <filter val="9/13/2023"/>
            <filter val="11/14/2023"/>
            <filter val="9/14/2023"/>
            <filter val="11/15/2023"/>
            <filter val="9/15/2023"/>
            <filter val="11/16/2023"/>
            <filter val="1/16/2023"/>
            <filter val="9/16/2023"/>
            <filter val="11/17/2023"/>
            <filter val="9/17/2023"/>
            <filter val="11/18/2023"/>
            <filter val="9/18/2023"/>
            <filter val="11/19/2023"/>
            <filter val="9/19/2023"/>
            <filter val="11/21/2023"/>
            <filter val="9/21/2023"/>
            <filter val="11/22/2023"/>
            <filter val="5/22/2023"/>
            <filter val="9/22/2023"/>
            <filter val="11/23/2023"/>
            <filter val="9/23/2023"/>
            <filter val="11/24/2023"/>
            <filter val="9/24/2023"/>
            <filter val="11/25/2023"/>
            <filter val="1/25/2023"/>
            <filter val="9/25/2023"/>
            <filter val="11/26/2023"/>
            <filter val="1/26/2023"/>
            <filter val="9/26/2023"/>
            <filter val="11/27/2023"/>
            <filter val="1/27/2023"/>
            <filter val="11/28/2023"/>
            <filter val="9/28/2023"/>
            <filter val="11/29/2023"/>
            <filter val="9/29/2023"/>
            <filter val="11/30/2023"/>
            <filter val="5/31/2023"/>
            <filter val="1/10/2024"/>
            <filter val="5/10/2024"/>
            <filter val="1/11/2024"/>
            <filter val="1/12/2024"/>
            <filter val="5/12/2024"/>
            <filter val="1/13/2024"/>
            <filter val="5/13/2024"/>
            <filter val="1/14/2024"/>
            <filter val="5/14/2024"/>
            <filter val="1/15/2024"/>
            <filter val="5/15/2024"/>
            <filter val="5/16/2024"/>
            <filter val="1/17/2024"/>
            <filter val="5/17/2024"/>
            <filter val="1/18/2024"/>
            <filter val="5/18/2024"/>
            <filter val="1/19/2024"/>
            <filter val="5/19/2024"/>
            <filter val="1/20/2024"/>
            <filter val="5/20/2024"/>
            <filter val="5/21/2024"/>
            <filter val="1/22/2024"/>
            <filter val="5/22/2024"/>
            <filter val="1/23/2024"/>
            <filter val="5/23/2024"/>
            <filter val="1/24/2024"/>
            <filter val="5/24/2024"/>
            <filter val="1/25/2024"/>
            <filter val="5/25/2024"/>
            <filter val="5/26/2024"/>
            <filter val="1/27/2024"/>
            <filter val="5/27/2024"/>
            <filter val="1/28/2024"/>
            <filter val="5/28/2024"/>
            <filter val="5/29/2024"/>
            <filter val="1/30/2024"/>
            <filter val="5/30/2024"/>
            <filter val="1/31/2024"/>
            <filter val="5/31/2024"/>
          </filters>
        </filterColumn>
      </autoFilter>
    </customSheetView>
    <customSheetView guid="{9A9BF7C0-7EE5-4D01-8F0D-AD84B4CB5D68}" filter="1" showAutoFilter="1">
      <pageMargins left="0" right="0" top="0" bottom="0" header="0" footer="0"/>
      <headerFooter/>
      <autoFilter ref="A1:AH2228">
        <filterColumn colId="21">
          <filters>
            <filter val="2/1/2024"/>
            <filter val="2/2/2024"/>
            <filter val="2/3/2024"/>
            <filter val="2/5/2024"/>
            <filter val="2/7/2024"/>
            <filter val="2/8/2024"/>
            <filter val="2/9/2024"/>
            <filter val="1/2/2023"/>
            <filter val="1/3/2023"/>
            <filter val="1/1/2024"/>
            <filter val="1/2/2024"/>
            <filter val="1/3/2024"/>
            <filter val="1/4/2024"/>
            <filter val="1/5/2024"/>
            <filter val="1/6/2024"/>
            <filter val="1/7/2024"/>
            <filter val="1/9/2024"/>
            <filter val="4/7/2023"/>
            <filter val="4/1/2024"/>
            <filter val="4/2/2024"/>
            <filter val="4/4/2024"/>
            <filter val="4/5/2024"/>
            <filter val="4/6/2024"/>
            <filter val="4/8/2024"/>
            <filter val="4/9/2024"/>
            <filter val="3/5/2023"/>
            <filter val="3/1/2024"/>
            <filter val="3/2/2024"/>
            <filter val="3/3/2024"/>
            <filter val="3/4/2024"/>
            <filter val="3/5/2024"/>
            <filter val="3/6/2024"/>
            <filter val="3/7/2024"/>
            <filter val="3/8/2024"/>
            <filter val="3/9/2024"/>
            <filter val="8/11/2023"/>
            <filter val="8/12/2023"/>
            <filter val="10/13/2023"/>
            <filter val="8/13/2023"/>
            <filter val="10/14/2023"/>
            <filter val="8/14/2023"/>
            <filter val="10/15/2023"/>
            <filter val="8/15/2023"/>
            <filter val="10/16/2023"/>
            <filter val="10/17/2023"/>
            <filter val="8/17/2023"/>
            <filter val="10/18/2023"/>
            <filter val="8/18/2023"/>
            <filter val="10/19/2023"/>
            <filter val="8/19/2023"/>
            <filter val="10/20/2023"/>
            <filter val="4/20/2023"/>
            <filter val="8/20/2023"/>
            <filter val="10/21/2023"/>
            <filter val="8/21/2023"/>
            <filter val="10/22/2023"/>
            <filter val="8/22/2023"/>
            <filter val="10/23/2023"/>
            <filter val="8/23/2023"/>
            <filter val="10/24/2023"/>
            <filter val="4/24/2023"/>
            <filter val="8/24/2023"/>
            <filter val="10/25/2023"/>
            <filter val="8/25/2023"/>
            <filter val="10/26/2023"/>
            <filter val="8/26/2023"/>
            <filter val="10/27/2023"/>
            <filter val="10/28/2023"/>
            <filter val="8/29/2023"/>
            <filter val="10/30/2023"/>
            <filter val="8/30/2023"/>
            <filter val="10/31/2023"/>
            <filter val="8/31/2023"/>
            <filter val="4/10/2024"/>
            <filter val="4/11/2024"/>
            <filter val="4/12/2024"/>
            <filter val="4/13/2024"/>
            <filter val="4/14/2024"/>
            <filter val="4/15/2024"/>
            <filter val="4/16/2024"/>
            <filter val="4/17/2024"/>
            <filter val="4/18/2024"/>
            <filter val="4/19/2024"/>
            <filter val="4/20/2024"/>
            <filter val="4/21/2024"/>
            <filter val="4/22/2024"/>
            <filter val="4/23/2024"/>
            <filter val="4/24/2024"/>
            <filter val="4/25/2024"/>
            <filter val="4/26/2024"/>
            <filter val="4/27/2024"/>
            <filter val="4/28/2024"/>
            <filter val="4/29/2024"/>
            <filter val="9/1/2023"/>
            <filter val="9/2/2023"/>
            <filter val="9/3/2023"/>
            <filter val="9/4/2023"/>
            <filter val="9/5/2023"/>
            <filter val="9/8/2023"/>
            <filter val="6/1/2023"/>
            <filter val="6/2/2023"/>
            <filter val="6/3/2023"/>
            <filter val="6/4/2023"/>
            <filter val="6/5/2023"/>
            <filter val="6/6/2023"/>
            <filter val="6/7/2023"/>
            <filter val="6/8/2023"/>
            <filter val="6/9/2023"/>
            <filter val="6/2/2024"/>
            <filter val="6/3/2024"/>
            <filter val="6/4/2024"/>
            <filter val="6/5/2024"/>
            <filter val="6/6/2024"/>
            <filter val="6/7/2024"/>
            <filter val="5/1/2023"/>
            <filter val="5/3/2023"/>
            <filter val="5/4/2023"/>
            <filter val="5/8/2023"/>
            <filter val="5/9/2023"/>
            <filter val="5/2/2024"/>
            <filter val="5/3/2024"/>
            <filter val="5/4/2024"/>
            <filter val="5/5/2024"/>
            <filter val="5/6/2024"/>
            <filter val="5/7/2024"/>
            <filter val="5/8/2024"/>
            <filter val="5/9/2024"/>
            <filter val="8/1/2023"/>
            <filter val="8/2/2023"/>
            <filter val="8/3/2023"/>
            <filter val="8/4/2023"/>
            <filter val="8/5/2023"/>
            <filter val="8/6/2023"/>
            <filter val="8/7/2023"/>
            <filter val="8/8/2023"/>
            <filter val="8/9/2023"/>
            <filter val="7/1/2023"/>
            <filter val="7/2/2023"/>
            <filter val="7/3/2023"/>
            <filter val="7/4/2023"/>
            <filter val="7/5/2023"/>
            <filter val="7/6/2023"/>
            <filter val="7/7/2023"/>
            <filter val="7/8/2023"/>
            <filter val="7/9/2023"/>
            <filter val="7/11/2023"/>
            <filter val="7/12/2023"/>
            <filter val="7/13/2023"/>
            <filter val="7/14/2023"/>
            <filter val="7/15/2023"/>
            <filter val="7/16/2023"/>
            <filter val="3/17/2023"/>
            <filter val="7/17/2023"/>
            <filter val="7/18/2023"/>
            <filter val="7/19/2023"/>
            <filter val="3/20/2023"/>
            <filter val="7/20/2023"/>
            <filter val="3/21/2023"/>
            <filter val="7/21/2023"/>
            <filter val="7/22/2023"/>
            <filter val="7/23/2023"/>
            <filter val="7/26/2023"/>
            <filter val="7/27/2023"/>
            <filter val="7/29/2023"/>
            <filter val="7/30/2023"/>
            <filter val="7/31/2023"/>
            <filter val="27/04/2024"/>
            <filter val="13/05/2024"/>
            <filter val="3/10/2024"/>
            <filter val="3/11/2024"/>
            <filter val="3/12/2024"/>
            <filter val="3/13/2024"/>
            <filter val="3/14/2024"/>
            <filter val="3/15/2024"/>
            <filter val="3/16/2024"/>
            <filter val="3/17/2024"/>
            <filter val="3/19/2024"/>
            <filter val="3/20/2024"/>
            <filter val="3/21/2024"/>
            <filter val="3/22/2024"/>
            <filter val="3/23/2024"/>
            <filter val="3/24/2024"/>
            <filter val="3/25/2024"/>
            <filter val="3/26/2024"/>
            <filter val="3/27/2024"/>
            <filter val="3/28/2024"/>
            <filter val="3/29/2024"/>
            <filter val="3/30/2024"/>
            <filter val="3/31/2024"/>
            <filter val="12/15/2022"/>
            <filter val="6/27/2022"/>
            <filter val="6/10/2023"/>
            <filter val="12/11/2023"/>
            <filter val="6/11/2023"/>
            <filter val="6/12/2023"/>
            <filter val="12/13/2023"/>
            <filter val="6/13/2023"/>
            <filter val="12/14/2023"/>
            <filter val="6/14/2023"/>
            <filter val="12/15/2023"/>
            <filter val="6/15/2023"/>
            <filter val="12/16/2023"/>
            <filter val="6/16/2023"/>
            <filter val="12/17/2023"/>
            <filter val="6/17/2023"/>
            <filter val="12/18/2023"/>
            <filter val="6/18/2023"/>
            <filter val="12/19/2023"/>
            <filter val="6/19/2023"/>
            <filter val="12/20/2023"/>
            <filter val="6/20/2023"/>
            <filter val="12/21/2023"/>
            <filter val="6/21/2023"/>
            <filter val="12/22/2023"/>
            <filter val="6/22/2023"/>
            <filter val="12/23/2023"/>
            <filter val="6/23/2023"/>
            <filter val="6/25/2023"/>
            <filter val="12/26/2023"/>
            <filter val="6/26/2023"/>
            <filter val="12/27/2023"/>
            <filter val="6/27/2023"/>
            <filter val="12/28/2023"/>
            <filter val="6/28/2023"/>
            <filter val="12/29/2023"/>
            <filter val="6/29/2023"/>
            <filter val="12/30/2023"/>
            <filter val="6/30/2023"/>
            <filter val="12/31/2023"/>
            <filter val="2/10/2024"/>
            <filter val="2/11/2024"/>
            <filter val="2/12/2024"/>
            <filter val="2/13/2024"/>
            <filter val="2/14/2024"/>
            <filter val="2/15/2024"/>
            <filter val="2/16/2024"/>
            <filter val="2/17/2024"/>
            <filter val="2/18/2024"/>
            <filter val="2/19/2024"/>
            <filter val="2/20/2024"/>
            <filter val="2/21/2024"/>
            <filter val="2/22/2024"/>
            <filter val="2/23/2024"/>
            <filter val="2/24/2024"/>
            <filter val="2/25/2024"/>
            <filter val="2/26/2024"/>
            <filter val="2/27/2024"/>
            <filter val="2/29/2024"/>
            <filter val="12/1/2022"/>
            <filter val="12/1/2023"/>
            <filter val="12/2/2023"/>
            <filter val="12/3/2023"/>
            <filter val="12/4/2023"/>
            <filter val="12/5/2023"/>
            <filter val="12/6/2023"/>
            <filter val="12/7/2023"/>
            <filter val="12/8/2023"/>
            <filter val="12/9/2023"/>
            <filter val="11/1/2023"/>
            <filter val="11/2/2023"/>
            <filter val="11/3/2023"/>
            <filter val="11/4/2023"/>
            <filter val="11/5/2023"/>
            <filter val="11/6/2023"/>
            <filter val="11/7/2023"/>
            <filter val="11/8/2023"/>
            <filter val="11/9/2023"/>
            <filter val="10/1/2023"/>
            <filter val="10/3/2023"/>
            <filter val="10/4/2023"/>
            <filter val="10/5/2023"/>
            <filter val="10/6/2023"/>
            <filter val="10/7/2023"/>
            <filter val="10/9/2023"/>
            <filter val="11/10/2022"/>
            <filter val="9/10/2023"/>
            <filter val="1/11/2023"/>
            <filter val="5/11/2023"/>
            <filter val="9/11/2023"/>
            <filter val="9/12/2023"/>
            <filter val="9/13/2023"/>
            <filter val="11/14/2023"/>
            <filter val="9/14/2023"/>
            <filter val="11/15/2023"/>
            <filter val="9/15/2023"/>
            <filter val="11/16/2023"/>
            <filter val="1/16/2023"/>
            <filter val="9/16/2023"/>
            <filter val="11/17/2023"/>
            <filter val="9/17/2023"/>
            <filter val="11/18/2023"/>
            <filter val="9/18/2023"/>
            <filter val="11/19/2023"/>
            <filter val="9/19/2023"/>
            <filter val="11/21/2023"/>
            <filter val="9/21/2023"/>
            <filter val="11/22/2023"/>
            <filter val="5/22/2023"/>
            <filter val="9/22/2023"/>
            <filter val="11/23/2023"/>
            <filter val="9/23/2023"/>
            <filter val="11/24/2023"/>
            <filter val="9/24/2023"/>
            <filter val="11/25/2023"/>
            <filter val="1/25/2023"/>
            <filter val="9/25/2023"/>
            <filter val="11/26/2023"/>
            <filter val="1/26/2023"/>
            <filter val="9/26/2023"/>
            <filter val="11/27/2023"/>
            <filter val="1/27/2023"/>
            <filter val="11/28/2023"/>
            <filter val="9/28/2023"/>
            <filter val="11/29/2023"/>
            <filter val="9/29/2023"/>
            <filter val="11/30/2023"/>
            <filter val="5/31/2023"/>
            <filter val="1/10/2024"/>
            <filter val="5/10/2024"/>
            <filter val="1/11/2024"/>
            <filter val="1/12/2024"/>
            <filter val="5/12/2024"/>
            <filter val="1/13/2024"/>
            <filter val="5/13/2024"/>
            <filter val="1/14/2024"/>
            <filter val="5/14/2024"/>
            <filter val="1/15/2024"/>
            <filter val="5/15/2024"/>
            <filter val="5/16/2024"/>
            <filter val="1/17/2024"/>
            <filter val="5/17/2024"/>
            <filter val="1/18/2024"/>
            <filter val="5/18/2024"/>
            <filter val="1/19/2024"/>
            <filter val="5/19/2024"/>
            <filter val="1/20/2024"/>
            <filter val="5/20/2024"/>
            <filter val="5/21/2024"/>
            <filter val="1/22/2024"/>
            <filter val="5/22/2024"/>
            <filter val="1/23/2024"/>
            <filter val="5/23/2024"/>
            <filter val="1/24/2024"/>
            <filter val="5/24/2024"/>
            <filter val="1/25/2024"/>
            <filter val="5/25/2024"/>
            <filter val="5/26/2024"/>
            <filter val="1/27/2024"/>
            <filter val="5/27/2024"/>
            <filter val="1/28/2024"/>
            <filter val="5/28/2024"/>
            <filter val="5/29/2024"/>
            <filter val="1/30/2024"/>
            <filter val="5/30/2024"/>
            <filter val="1/31/2024"/>
            <filter val="5/31/2024"/>
          </filters>
        </filterColumn>
        <filterColumn colId="27">
          <filters blank="1">
            <filter val="Tentativa 1 de monitoramento sem sucesso"/>
            <filter val="Em atendimento"/>
          </filters>
        </filterColumn>
      </autoFilter>
    </customSheetView>
    <customSheetView guid="{0ED2982F-ECBB-42C5-889F-AC9C2970CFBA}" filter="1" showAutoFilter="1">
      <pageMargins left="0" right="0" top="0" bottom="0" header="0" footer="0"/>
      <headerFooter/>
      <autoFilter ref="A1:AH5703">
        <filterColumn colId="21">
          <filters>
            <filter val="2/1/2024"/>
            <filter val="2/2/2024"/>
            <filter val="2/3/2024"/>
            <filter val="2/5/2024"/>
            <filter val="2/7/2024"/>
            <filter val="2/8/2024"/>
            <filter val="2/9/2024"/>
            <filter val="1/2/2023"/>
            <filter val="1/3/2023"/>
            <filter val="1/1/2024"/>
            <filter val="1/2/2024"/>
            <filter val="1/3/2024"/>
            <filter val="1/4/2024"/>
            <filter val="1/5/2024"/>
            <filter val="1/6/2024"/>
            <filter val="1/7/2024"/>
            <filter val="1/9/2024"/>
            <filter val="4/7/2023"/>
            <filter val="4/1/2024"/>
            <filter val="4/2/2024"/>
            <filter val="4/4/2024"/>
            <filter val="4/5/2024"/>
            <filter val="4/6/2024"/>
            <filter val="4/8/2024"/>
            <filter val="4/9/2024"/>
            <filter val="3/5/2023"/>
            <filter val="3/1/2024"/>
            <filter val="3/2/2024"/>
            <filter val="3/3/2024"/>
            <filter val="3/4/2024"/>
            <filter val="3/5/2024"/>
            <filter val="3/6/2024"/>
            <filter val="3/7/2024"/>
            <filter val="3/8/2024"/>
            <filter val="3/9/2024"/>
            <filter val="8/11/2023"/>
            <filter val="8/12/2023"/>
            <filter val="10/13/2023"/>
            <filter val="8/13/2023"/>
            <filter val="10/14/2023"/>
            <filter val="8/14/2023"/>
            <filter val="10/15/2023"/>
            <filter val="8/15/2023"/>
            <filter val="10/16/2023"/>
            <filter val="10/17/2023"/>
            <filter val="8/17/2023"/>
            <filter val="10/18/2023"/>
            <filter val="8/18/2023"/>
            <filter val="10/19/2023"/>
            <filter val="8/19/2023"/>
            <filter val="10/20/2023"/>
            <filter val="4/20/2023"/>
            <filter val="8/20/2023"/>
            <filter val="10/21/2023"/>
            <filter val="8/21/2023"/>
            <filter val="10/22/2023"/>
            <filter val="8/22/2023"/>
            <filter val="10/23/2023"/>
            <filter val="8/23/2023"/>
            <filter val="10/24/2023"/>
            <filter val="4/24/2023"/>
            <filter val="8/24/2023"/>
            <filter val="10/25/2023"/>
            <filter val="8/25/2023"/>
            <filter val="10/26/2023"/>
            <filter val="8/26/2023"/>
            <filter val="10/27/2023"/>
            <filter val="10/28/2023"/>
            <filter val="8/29/2023"/>
            <filter val="10/30/2023"/>
            <filter val="8/30/2023"/>
            <filter val="10/31/2023"/>
            <filter val="8/31/2023"/>
            <filter val="4/10/2024"/>
            <filter val="4/11/2024"/>
            <filter val="4/12/2024"/>
            <filter val="4/13/2024"/>
            <filter val="4/14/2024"/>
            <filter val="4/15/2024"/>
            <filter val="4/16/2024"/>
            <filter val="4/17/2024"/>
            <filter val="4/18/2024"/>
            <filter val="4/19/2024"/>
            <filter val="4/20/2024"/>
            <filter val="4/21/2024"/>
            <filter val="4/22/2024"/>
            <filter val="4/23/2024"/>
            <filter val="4/24/2024"/>
            <filter val="4/25/2024"/>
            <filter val="4/26/2024"/>
            <filter val="4/27/2024"/>
            <filter val="4/28/2024"/>
            <filter val="4/29/2024"/>
            <filter val="9/1/2023"/>
            <filter val="9/2/2023"/>
            <filter val="9/3/2023"/>
            <filter val="9/4/2023"/>
            <filter val="9/5/2023"/>
            <filter val="9/8/2023"/>
            <filter val="6/1/2023"/>
            <filter val="6/2/2023"/>
            <filter val="6/3/2023"/>
            <filter val="6/4/2023"/>
            <filter val="6/5/2023"/>
            <filter val="6/6/2023"/>
            <filter val="6/7/2023"/>
            <filter val="6/8/2023"/>
            <filter val="6/9/2023"/>
            <filter val="6/2/2024"/>
            <filter val="6/3/2024"/>
            <filter val="6/4/2024"/>
            <filter val="6/5/2024"/>
            <filter val="6/6/2024"/>
            <filter val="6/7/2024"/>
            <filter val="5/1/2023"/>
            <filter val="5/3/2023"/>
            <filter val="5/4/2023"/>
            <filter val="5/8/2023"/>
            <filter val="5/9/2023"/>
            <filter val="5/2/2024"/>
            <filter val="5/3/2024"/>
            <filter val="5/4/2024"/>
            <filter val="5/5/2024"/>
            <filter val="5/6/2024"/>
            <filter val="5/7/2024"/>
            <filter val="5/8/2024"/>
            <filter val="5/9/2024"/>
            <filter val="8/1/2023"/>
            <filter val="8/2/2023"/>
            <filter val="8/3/2023"/>
            <filter val="8/4/2023"/>
            <filter val="8/5/2023"/>
            <filter val="8/6/2023"/>
            <filter val="8/7/2023"/>
            <filter val="8/8/2023"/>
            <filter val="8/9/2023"/>
            <filter val="7/1/2023"/>
            <filter val="7/2/2023"/>
            <filter val="7/3/2023"/>
            <filter val="7/4/2023"/>
            <filter val="7/5/2023"/>
            <filter val="7/6/2023"/>
            <filter val="7/7/2023"/>
            <filter val="7/8/2023"/>
            <filter val="7/9/2023"/>
            <filter val="7/11/2023"/>
            <filter val="7/12/2023"/>
            <filter val="7/13/2023"/>
            <filter val="7/14/2023"/>
            <filter val="7/15/2023"/>
            <filter val="7/16/2023"/>
            <filter val="3/17/2023"/>
            <filter val="7/17/2023"/>
            <filter val="7/18/2023"/>
            <filter val="7/19/2023"/>
            <filter val="3/20/2023"/>
            <filter val="7/20/2023"/>
            <filter val="3/21/2023"/>
            <filter val="7/21/2023"/>
            <filter val="7/22/2023"/>
            <filter val="7/23/2023"/>
            <filter val="7/26/2023"/>
            <filter val="7/27/2023"/>
            <filter val="7/29/2023"/>
            <filter val="7/30/2023"/>
            <filter val="7/31/2023"/>
            <filter val="3/10/2024"/>
            <filter val="3/11/2024"/>
            <filter val="3/12/2024"/>
            <filter val="3/13/2024"/>
            <filter val="3/14/2024"/>
            <filter val="3/15/2024"/>
            <filter val="3/16/2024"/>
            <filter val="3/17/2024"/>
            <filter val="3/19/2024"/>
            <filter val="3/20/2024"/>
            <filter val="3/21/2024"/>
            <filter val="3/22/2024"/>
            <filter val="3/23/2024"/>
            <filter val="3/24/2024"/>
            <filter val="3/25/2024"/>
            <filter val="3/26/2024"/>
            <filter val="3/27/2024"/>
            <filter val="3/28/2024"/>
            <filter val="3/29/2024"/>
            <filter val="3/30/2024"/>
            <filter val="3/31/2024"/>
            <filter val="12/15/2022"/>
            <filter val="6/27/2022"/>
            <filter val="6/10/2023"/>
            <filter val="12/11/2023"/>
            <filter val="6/11/2023"/>
            <filter val="6/12/2023"/>
            <filter val="12/13/2023"/>
            <filter val="6/13/2023"/>
            <filter val="12/14/2023"/>
            <filter val="6/14/2023"/>
            <filter val="12/15/2023"/>
            <filter val="6/15/2023"/>
            <filter val="12/16/2023"/>
            <filter val="6/16/2023"/>
            <filter val="12/17/2023"/>
            <filter val="6/17/2023"/>
            <filter val="12/18/2023"/>
            <filter val="6/18/2023"/>
            <filter val="12/19/2023"/>
            <filter val="6/19/2023"/>
            <filter val="12/20/2023"/>
            <filter val="6/20/2023"/>
            <filter val="12/21/2023"/>
            <filter val="6/21/2023"/>
            <filter val="12/22/2023"/>
            <filter val="6/22/2023"/>
            <filter val="12/23/2023"/>
            <filter val="6/23/2023"/>
            <filter val="6/25/2023"/>
            <filter val="12/26/2023"/>
            <filter val="6/26/2023"/>
            <filter val="12/27/2023"/>
            <filter val="6/27/2023"/>
            <filter val="12/28/2023"/>
            <filter val="6/28/2023"/>
            <filter val="12/29/2023"/>
            <filter val="6/29/2023"/>
            <filter val="12/30/2023"/>
            <filter val="6/30/2023"/>
            <filter val="12/31/2023"/>
            <filter val="2/10/2024"/>
            <filter val="2/11/2024"/>
            <filter val="2/12/2024"/>
            <filter val="2/13/2024"/>
            <filter val="2/14/2024"/>
            <filter val="2/15/2024"/>
            <filter val="2/16/2024"/>
            <filter val="2/17/2024"/>
            <filter val="2/18/2024"/>
            <filter val="2/19/2024"/>
            <filter val="2/20/2024"/>
            <filter val="2/21/2024"/>
            <filter val="2/22/2024"/>
            <filter val="2/23/2024"/>
            <filter val="2/24/2024"/>
            <filter val="2/25/2024"/>
            <filter val="2/26/2024"/>
            <filter val="2/27/2024"/>
            <filter val="2/29/2024"/>
            <filter val="12/1/2022"/>
            <filter val="12/1/2023"/>
            <filter val="12/2/2023"/>
            <filter val="12/3/2023"/>
            <filter val="12/4/2023"/>
            <filter val="12/5/2023"/>
            <filter val="12/6/2023"/>
            <filter val="12/7/2023"/>
            <filter val="12/8/2023"/>
            <filter val="12/9/2023"/>
            <filter val="11/1/2023"/>
            <filter val="11/2/2023"/>
            <filter val="11/3/2023"/>
            <filter val="11/4/2023"/>
            <filter val="11/5/2023"/>
            <filter val="11/6/2023"/>
            <filter val="11/7/2023"/>
            <filter val="11/8/2023"/>
            <filter val="11/9/2023"/>
            <filter val="10/1/2023"/>
            <filter val="10/3/2023"/>
            <filter val="10/4/2023"/>
            <filter val="10/5/2023"/>
            <filter val="10/6/2023"/>
            <filter val="10/7/2023"/>
            <filter val="10/9/2023"/>
            <filter val="11/10/2022"/>
            <filter val="9/10/2023"/>
            <filter val="1/11/2023"/>
            <filter val="5/11/2023"/>
            <filter val="9/11/2023"/>
            <filter val="9/12/2023"/>
            <filter val="9/13/2023"/>
            <filter val="11/14/2023"/>
            <filter val="9/14/2023"/>
            <filter val="11/15/2023"/>
            <filter val="9/15/2023"/>
            <filter val="11/16/2023"/>
            <filter val="1/16/2023"/>
            <filter val="9/16/2023"/>
            <filter val="11/17/2023"/>
            <filter val="9/17/2023"/>
            <filter val="11/18/2023"/>
            <filter val="9/18/2023"/>
            <filter val="11/19/2023"/>
            <filter val="9/19/2023"/>
            <filter val="11/21/2023"/>
            <filter val="9/21/2023"/>
            <filter val="11/22/2023"/>
            <filter val="5/22/2023"/>
            <filter val="9/22/2023"/>
            <filter val="11/23/2023"/>
            <filter val="9/23/2023"/>
            <filter val="11/24/2023"/>
            <filter val="9/24/2023"/>
            <filter val="11/25/2023"/>
            <filter val="1/25/2023"/>
            <filter val="9/25/2023"/>
            <filter val="11/26/2023"/>
            <filter val="1/26/2023"/>
            <filter val="9/26/2023"/>
            <filter val="11/27/2023"/>
            <filter val="1/27/2023"/>
            <filter val="11/28/2023"/>
            <filter val="9/28/2023"/>
            <filter val="11/29/2023"/>
            <filter val="9/29/2023"/>
            <filter val="11/30/2023"/>
            <filter val="5/31/2023"/>
            <filter val="1/10/2024"/>
            <filter val="5/10/2024"/>
            <filter val="1/11/2024"/>
            <filter val="1/12/2024"/>
            <filter val="5/12/2024"/>
            <filter val="1/13/2024"/>
            <filter val="5/13/2024"/>
            <filter val="1/14/2024"/>
            <filter val="5/14/2024"/>
            <filter val="1/15/2024"/>
            <filter val="5/15/2024"/>
            <filter val="5/16/2024"/>
            <filter val="1/17/2024"/>
            <filter val="5/17/2024"/>
            <filter val="1/18/2024"/>
            <filter val="5/18/2024"/>
            <filter val="1/19/2024"/>
            <filter val="5/19/2024"/>
            <filter val="1/20/2024"/>
            <filter val="5/20/2024"/>
            <filter val="5/21/2024"/>
            <filter val="1/22/2024"/>
            <filter val="5/22/2024"/>
            <filter val="1/23/2024"/>
            <filter val="5/23/2024"/>
            <filter val="1/24/2024"/>
            <filter val="5/24/2024"/>
            <filter val="1/25/2024"/>
            <filter val="5/25/2024"/>
            <filter val="5/26/2024"/>
            <filter val="1/27/2024"/>
            <filter val="5/27/2024"/>
            <filter val="1/28/2024"/>
            <filter val="5/28/2024"/>
            <filter val="5/29/2024"/>
            <filter val="1/30/2024"/>
            <filter val="5/30/2024"/>
            <filter val="1/31/2024"/>
            <filter val="5/31/2024"/>
          </filters>
        </filterColumn>
      </autoFilter>
    </customSheetView>
    <customSheetView guid="{FDC1E790-8841-406D-A565-B1B6F4582855}" filter="1" showAutoFilter="1">
      <pageMargins left="0" right="0" top="0" bottom="0" header="0" footer="0"/>
      <headerFooter/>
      <autoFilter ref="A1:Y4703"/>
    </customSheetView>
    <customSheetView guid="{B92ECD2B-E7A7-43A6-A809-FF98B059A86A}" filter="1" showAutoFilter="1">
      <pageMargins left="0" right="0" top="0" bottom="0" header="0" footer="0"/>
      <headerFooter/>
      <autoFilter ref="AH3705"/>
    </customSheetView>
    <customSheetView guid="{D6E6366E-61EF-495D-9AE1-4F983961A368}" filter="1" showAutoFilter="1">
      <pageMargins left="0" right="0" top="0" bottom="0" header="0" footer="0"/>
      <headerFooter/>
      <autoFilter ref="A1:AH4703">
        <filterColumn colId="21">
          <filters>
            <filter val="2/1/2024"/>
            <filter val="2/2/2024"/>
            <filter val="2/3/2024"/>
            <filter val="2/5/2024"/>
            <filter val="2/7/2024"/>
            <filter val="2/8/2024"/>
            <filter val="2/9/2024"/>
            <filter val="1/2/2023"/>
            <filter val="1/3/2023"/>
            <filter val="1/1/2024"/>
            <filter val="1/2/2024"/>
            <filter val="1/3/2024"/>
            <filter val="1/4/2024"/>
            <filter val="1/5/2024"/>
            <filter val="1/6/2024"/>
            <filter val="1/7/2024"/>
            <filter val="1/9/2024"/>
            <filter val="4/7/2023"/>
            <filter val="4/1/2024"/>
            <filter val="4/2/2024"/>
            <filter val="4/4/2024"/>
            <filter val="4/5/2024"/>
            <filter val="4/6/2024"/>
            <filter val="4/8/2024"/>
            <filter val="4/9/2024"/>
            <filter val="3/5/2023"/>
            <filter val="3/1/2024"/>
            <filter val="3/2/2024"/>
            <filter val="3/3/2024"/>
            <filter val="3/4/2024"/>
            <filter val="3/5/2024"/>
            <filter val="3/6/2024"/>
            <filter val="3/7/2024"/>
            <filter val="3/8/2024"/>
            <filter val="3/9/2024"/>
            <filter val="8/11/2023"/>
            <filter val="8/12/2023"/>
            <filter val="10/13/2023"/>
            <filter val="8/13/2023"/>
            <filter val="10/14/2023"/>
            <filter val="8/14/2023"/>
            <filter val="10/15/2023"/>
            <filter val="8/15/2023"/>
            <filter val="10/16/2023"/>
            <filter val="10/17/2023"/>
            <filter val="8/17/2023"/>
            <filter val="10/18/2023"/>
            <filter val="8/18/2023"/>
            <filter val="10/19/2023"/>
            <filter val="8/19/2023"/>
            <filter val="10/20/2023"/>
            <filter val="4/20/2023"/>
            <filter val="8/20/2023"/>
            <filter val="10/21/2023"/>
            <filter val="8/21/2023"/>
            <filter val="10/22/2023"/>
            <filter val="8/22/2023"/>
            <filter val="10/23/2023"/>
            <filter val="8/23/2023"/>
            <filter val="10/24/2023"/>
            <filter val="4/24/2023"/>
            <filter val="8/24/2023"/>
            <filter val="10/25/2023"/>
            <filter val="8/25/2023"/>
            <filter val="10/26/2023"/>
            <filter val="8/26/2023"/>
            <filter val="10/27/2023"/>
            <filter val="10/28/2023"/>
            <filter val="8/29/2023"/>
            <filter val="10/30/2023"/>
            <filter val="8/30/2023"/>
            <filter val="10/31/2023"/>
            <filter val="8/31/2023"/>
            <filter val="4/10/2024"/>
            <filter val="4/11/2024"/>
            <filter val="4/12/2024"/>
            <filter val="4/13/2024"/>
            <filter val="4/14/2024"/>
            <filter val="4/15/2024"/>
            <filter val="4/16/2024"/>
            <filter val="4/17/2024"/>
            <filter val="4/18/2024"/>
            <filter val="4/19/2024"/>
            <filter val="4/20/2024"/>
            <filter val="4/21/2024"/>
            <filter val="4/22/2024"/>
            <filter val="4/23/2024"/>
            <filter val="4/24/2024"/>
            <filter val="4/25/2024"/>
            <filter val="4/26/2024"/>
            <filter val="4/27/2024"/>
            <filter val="4/28/2024"/>
            <filter val="4/29/2024"/>
            <filter val="9/1/2023"/>
            <filter val="9/2/2023"/>
            <filter val="9/3/2023"/>
            <filter val="9/4/2023"/>
            <filter val="9/5/2023"/>
            <filter val="9/8/2023"/>
            <filter val="6/1/2023"/>
            <filter val="6/2/2023"/>
            <filter val="6/3/2023"/>
            <filter val="6/4/2023"/>
            <filter val="6/5/2023"/>
            <filter val="6/6/2023"/>
            <filter val="6/7/2023"/>
            <filter val="6/8/2023"/>
            <filter val="6/9/2023"/>
            <filter val="6/2/2024"/>
            <filter val="6/3/2024"/>
            <filter val="6/4/2024"/>
            <filter val="6/5/2024"/>
            <filter val="6/6/2024"/>
            <filter val="6/7/2024"/>
            <filter val="5/1/2023"/>
            <filter val="5/3/2023"/>
            <filter val="5/4/2023"/>
            <filter val="5/8/2023"/>
            <filter val="5/9/2023"/>
            <filter val="5/2/2024"/>
            <filter val="5/3/2024"/>
            <filter val="5/4/2024"/>
            <filter val="5/5/2024"/>
            <filter val="5/6/2024"/>
            <filter val="5/7/2024"/>
            <filter val="5/8/2024"/>
            <filter val="5/9/2024"/>
            <filter val="8/1/2023"/>
            <filter val="8/2/2023"/>
            <filter val="8/3/2023"/>
            <filter val="8/4/2023"/>
            <filter val="8/5/2023"/>
            <filter val="8/6/2023"/>
            <filter val="8/7/2023"/>
            <filter val="8/8/2023"/>
            <filter val="8/9/2023"/>
            <filter val="7/1/2023"/>
            <filter val="7/2/2023"/>
            <filter val="7/3/2023"/>
            <filter val="7/4/2023"/>
            <filter val="7/5/2023"/>
            <filter val="7/6/2023"/>
            <filter val="7/7/2023"/>
            <filter val="7/8/2023"/>
            <filter val="7/9/2023"/>
            <filter val="7/11/2023"/>
            <filter val="7/12/2023"/>
            <filter val="7/13/2023"/>
            <filter val="7/14/2023"/>
            <filter val="7/15/2023"/>
            <filter val="7/16/2023"/>
            <filter val="3/17/2023"/>
            <filter val="7/17/2023"/>
            <filter val="7/18/2023"/>
            <filter val="7/19/2023"/>
            <filter val="3/20/2023"/>
            <filter val="7/20/2023"/>
            <filter val="3/21/2023"/>
            <filter val="7/21/2023"/>
            <filter val="7/22/2023"/>
            <filter val="7/23/2023"/>
            <filter val="7/26/2023"/>
            <filter val="7/27/2023"/>
            <filter val="7/29/2023"/>
            <filter val="7/30/2023"/>
            <filter val="7/31/2023"/>
            <filter val="3/10/2024"/>
            <filter val="3/11/2024"/>
            <filter val="3/12/2024"/>
            <filter val="3/13/2024"/>
            <filter val="3/14/2024"/>
            <filter val="3/15/2024"/>
            <filter val="3/16/2024"/>
            <filter val="3/17/2024"/>
            <filter val="3/19/2024"/>
            <filter val="3/20/2024"/>
            <filter val="3/21/2024"/>
            <filter val="3/22/2024"/>
            <filter val="3/23/2024"/>
            <filter val="3/24/2024"/>
            <filter val="3/25/2024"/>
            <filter val="3/26/2024"/>
            <filter val="3/27/2024"/>
            <filter val="3/28/2024"/>
            <filter val="3/29/2024"/>
            <filter val="3/30/2024"/>
            <filter val="3/31/2024"/>
            <filter val="12/15/2022"/>
            <filter val="6/27/2022"/>
            <filter val="6/10/2023"/>
            <filter val="12/11/2023"/>
            <filter val="6/11/2023"/>
            <filter val="6/12/2023"/>
            <filter val="12/13/2023"/>
            <filter val="6/13/2023"/>
            <filter val="12/14/2023"/>
            <filter val="6/14/2023"/>
            <filter val="12/15/2023"/>
            <filter val="6/15/2023"/>
            <filter val="12/16/2023"/>
            <filter val="6/16/2023"/>
            <filter val="12/17/2023"/>
            <filter val="6/17/2023"/>
            <filter val="12/18/2023"/>
            <filter val="6/18/2023"/>
            <filter val="12/19/2023"/>
            <filter val="6/19/2023"/>
            <filter val="12/20/2023"/>
            <filter val="6/20/2023"/>
            <filter val="12/21/2023"/>
            <filter val="6/21/2023"/>
            <filter val="12/22/2023"/>
            <filter val="6/22/2023"/>
            <filter val="12/23/2023"/>
            <filter val="6/23/2023"/>
            <filter val="6/25/2023"/>
            <filter val="12/26/2023"/>
            <filter val="6/26/2023"/>
            <filter val="12/27/2023"/>
            <filter val="6/27/2023"/>
            <filter val="12/28/2023"/>
            <filter val="6/28/2023"/>
            <filter val="12/29/2023"/>
            <filter val="6/29/2023"/>
            <filter val="12/30/2023"/>
            <filter val="6/30/2023"/>
            <filter val="12/31/2023"/>
            <filter val="2/10/2024"/>
            <filter val="2/11/2024"/>
            <filter val="2/12/2024"/>
            <filter val="2/13/2024"/>
            <filter val="2/14/2024"/>
            <filter val="2/15/2024"/>
            <filter val="2/16/2024"/>
            <filter val="2/17/2024"/>
            <filter val="2/18/2024"/>
            <filter val="2/19/2024"/>
            <filter val="2/20/2024"/>
            <filter val="2/21/2024"/>
            <filter val="2/22/2024"/>
            <filter val="2/23/2024"/>
            <filter val="2/24/2024"/>
            <filter val="2/25/2024"/>
            <filter val="2/26/2024"/>
            <filter val="2/27/2024"/>
            <filter val="2/29/2024"/>
            <filter val="12/1/2022"/>
            <filter val="12/1/2023"/>
            <filter val="12/2/2023"/>
            <filter val="12/3/2023"/>
            <filter val="12/4/2023"/>
            <filter val="12/5/2023"/>
            <filter val="12/6/2023"/>
            <filter val="12/7/2023"/>
            <filter val="12/8/2023"/>
            <filter val="12/9/2023"/>
            <filter val="11/1/2023"/>
            <filter val="11/2/2023"/>
            <filter val="11/3/2023"/>
            <filter val="11/4/2023"/>
            <filter val="11/5/2023"/>
            <filter val="11/6/2023"/>
            <filter val="11/7/2023"/>
            <filter val="11/8/2023"/>
            <filter val="11/9/2023"/>
            <filter val="10/1/2023"/>
            <filter val="10/3/2023"/>
            <filter val="10/4/2023"/>
            <filter val="10/5/2023"/>
            <filter val="10/6/2023"/>
            <filter val="10/7/2023"/>
            <filter val="10/9/2023"/>
            <filter val="11/10/2022"/>
            <filter val="9/10/2023"/>
            <filter val="1/11/2023"/>
            <filter val="5/11/2023"/>
            <filter val="9/11/2023"/>
            <filter val="9/12/2023"/>
            <filter val="9/13/2023"/>
            <filter val="11/14/2023"/>
            <filter val="9/14/2023"/>
            <filter val="11/15/2023"/>
            <filter val="9/15/2023"/>
            <filter val="11/16/2023"/>
            <filter val="1/16/2023"/>
            <filter val="9/16/2023"/>
            <filter val="11/17/2023"/>
            <filter val="9/17/2023"/>
            <filter val="11/18/2023"/>
            <filter val="9/18/2023"/>
            <filter val="11/19/2023"/>
            <filter val="9/19/2023"/>
            <filter val="11/21/2023"/>
            <filter val="9/21/2023"/>
            <filter val="11/22/2023"/>
            <filter val="5/22/2023"/>
            <filter val="9/22/2023"/>
            <filter val="11/23/2023"/>
            <filter val="9/23/2023"/>
            <filter val="11/24/2023"/>
            <filter val="9/24/2023"/>
            <filter val="11/25/2023"/>
            <filter val="1/25/2023"/>
            <filter val="9/25/2023"/>
            <filter val="11/26/2023"/>
            <filter val="1/26/2023"/>
            <filter val="9/26/2023"/>
            <filter val="11/27/2023"/>
            <filter val="1/27/2023"/>
            <filter val="11/28/2023"/>
            <filter val="9/28/2023"/>
            <filter val="11/29/2023"/>
            <filter val="9/29/2023"/>
            <filter val="11/30/2023"/>
            <filter val="5/31/2023"/>
            <filter val="1/10/2024"/>
            <filter val="5/10/2024"/>
            <filter val="1/11/2024"/>
            <filter val="1/12/2024"/>
            <filter val="5/12/2024"/>
            <filter val="1/13/2024"/>
            <filter val="5/13/2024"/>
            <filter val="1/14/2024"/>
            <filter val="5/14/2024"/>
            <filter val="1/15/2024"/>
            <filter val="5/15/2024"/>
            <filter val="5/16/2024"/>
            <filter val="1/17/2024"/>
            <filter val="5/17/2024"/>
            <filter val="1/18/2024"/>
            <filter val="5/18/2024"/>
            <filter val="1/19/2024"/>
            <filter val="5/19/2024"/>
            <filter val="1/20/2024"/>
            <filter val="5/20/2024"/>
            <filter val="5/21/2024"/>
            <filter val="1/22/2024"/>
            <filter val="5/22/2024"/>
            <filter val="1/23/2024"/>
            <filter val="5/23/2024"/>
            <filter val="1/24/2024"/>
            <filter val="5/24/2024"/>
            <filter val="1/25/2024"/>
            <filter val="5/25/2024"/>
            <filter val="5/26/2024"/>
            <filter val="1/27/2024"/>
            <filter val="5/27/2024"/>
            <filter val="1/28/2024"/>
            <filter val="5/28/2024"/>
            <filter val="5/29/2024"/>
            <filter val="1/30/2024"/>
            <filter val="5/30/2024"/>
            <filter val="1/31/2024"/>
            <filter val="5/31/2024"/>
          </filters>
        </filterColumn>
      </autoFilter>
    </customSheetView>
    <customSheetView guid="{F2C0F0EB-F8AA-435A-A1AA-977B6491958F}" filter="1" showAutoFilter="1">
      <pageMargins left="0" right="0" top="0" bottom="0" header="0" footer="0"/>
      <headerFooter/>
      <autoFilter ref="A1:AH5703">
        <filterColumn colId="21">
          <filters>
            <filter val="2/1/2024"/>
            <filter val="2/2/2024"/>
            <filter val="2/3/2024"/>
            <filter val="2/5/2024"/>
            <filter val="2/7/2024"/>
            <filter val="2/8/2024"/>
            <filter val="2/9/2024"/>
            <filter val="1/2/2023"/>
            <filter val="1/3/2023"/>
            <filter val="1/1/2024"/>
            <filter val="1/2/2024"/>
            <filter val="1/3/2024"/>
            <filter val="1/4/2024"/>
            <filter val="1/5/2024"/>
            <filter val="1/6/2024"/>
            <filter val="1/7/2024"/>
            <filter val="1/9/2024"/>
            <filter val="4/7/2023"/>
            <filter val="4/1/2024"/>
            <filter val="4/2/2024"/>
            <filter val="4/4/2024"/>
            <filter val="4/5/2024"/>
            <filter val="4/6/2024"/>
            <filter val="4/8/2024"/>
            <filter val="4/9/2024"/>
            <filter val="3/5/2023"/>
            <filter val="3/1/2024"/>
            <filter val="3/2/2024"/>
            <filter val="3/3/2024"/>
            <filter val="3/4/2024"/>
            <filter val="3/5/2024"/>
            <filter val="3/6/2024"/>
            <filter val="3/7/2024"/>
            <filter val="3/8/2024"/>
            <filter val="3/9/2024"/>
            <filter val="8/11/2023"/>
            <filter val="8/12/2023"/>
            <filter val="10/13/2023"/>
            <filter val="8/13/2023"/>
            <filter val="10/14/2023"/>
            <filter val="8/14/2023"/>
            <filter val="10/15/2023"/>
            <filter val="8/15/2023"/>
            <filter val="10/16/2023"/>
            <filter val="10/17/2023"/>
            <filter val="8/17/2023"/>
            <filter val="10/18/2023"/>
            <filter val="8/18/2023"/>
            <filter val="10/19/2023"/>
            <filter val="8/19/2023"/>
            <filter val="10/20/2023"/>
            <filter val="4/20/2023"/>
            <filter val="8/20/2023"/>
            <filter val="10/21/2023"/>
            <filter val="8/21/2023"/>
            <filter val="10/22/2023"/>
            <filter val="8/22/2023"/>
            <filter val="10/23/2023"/>
            <filter val="8/23/2023"/>
            <filter val="10/24/2023"/>
            <filter val="4/24/2023"/>
            <filter val="8/24/2023"/>
            <filter val="10/25/2023"/>
            <filter val="8/25/2023"/>
            <filter val="10/26/2023"/>
            <filter val="8/26/2023"/>
            <filter val="10/27/2023"/>
            <filter val="10/28/2023"/>
            <filter val="8/29/2023"/>
            <filter val="10/30/2023"/>
            <filter val="8/30/2023"/>
            <filter val="10/31/2023"/>
            <filter val="8/31/2023"/>
            <filter val="4/10/2024"/>
            <filter val="4/11/2024"/>
            <filter val="4/12/2024"/>
            <filter val="4/13/2024"/>
            <filter val="4/14/2024"/>
            <filter val="4/15/2024"/>
            <filter val="4/16/2024"/>
            <filter val="4/17/2024"/>
            <filter val="4/18/2024"/>
            <filter val="4/19/2024"/>
            <filter val="4/20/2024"/>
            <filter val="4/21/2024"/>
            <filter val="4/22/2024"/>
            <filter val="4/23/2024"/>
            <filter val="4/24/2024"/>
            <filter val="4/25/2024"/>
            <filter val="4/26/2024"/>
            <filter val="4/27/2024"/>
            <filter val="4/28/2024"/>
            <filter val="4/29/2024"/>
            <filter val="9/1/2023"/>
            <filter val="9/2/2023"/>
            <filter val="9/3/2023"/>
            <filter val="9/4/2023"/>
            <filter val="9/5/2023"/>
            <filter val="9/8/2023"/>
            <filter val="6/1/2023"/>
            <filter val="6/2/2023"/>
            <filter val="6/3/2023"/>
            <filter val="6/4/2023"/>
            <filter val="6/5/2023"/>
            <filter val="6/6/2023"/>
            <filter val="6/7/2023"/>
            <filter val="6/8/2023"/>
            <filter val="6/9/2023"/>
            <filter val="6/2/2024"/>
            <filter val="6/3/2024"/>
            <filter val="6/4/2024"/>
            <filter val="6/5/2024"/>
            <filter val="6/6/2024"/>
            <filter val="6/7/2024"/>
            <filter val="5/1/2023"/>
            <filter val="5/3/2023"/>
            <filter val="5/4/2023"/>
            <filter val="5/8/2023"/>
            <filter val="5/9/2023"/>
            <filter val="5/2/2024"/>
            <filter val="5/3/2024"/>
            <filter val="5/4/2024"/>
            <filter val="5/5/2024"/>
            <filter val="5/6/2024"/>
            <filter val="5/7/2024"/>
            <filter val="5/8/2024"/>
            <filter val="5/9/2024"/>
            <filter val="8/1/2023"/>
            <filter val="8/2/2023"/>
            <filter val="8/3/2023"/>
            <filter val="8/4/2023"/>
            <filter val="8/5/2023"/>
            <filter val="8/6/2023"/>
            <filter val="8/7/2023"/>
            <filter val="8/8/2023"/>
            <filter val="8/9/2023"/>
            <filter val="7/1/2023"/>
            <filter val="7/2/2023"/>
            <filter val="7/3/2023"/>
            <filter val="7/4/2023"/>
            <filter val="7/5/2023"/>
            <filter val="7/6/2023"/>
            <filter val="7/7/2023"/>
            <filter val="7/8/2023"/>
            <filter val="7/9/2023"/>
            <filter val="7/11/2023"/>
            <filter val="7/12/2023"/>
            <filter val="7/13/2023"/>
            <filter val="7/14/2023"/>
            <filter val="7/15/2023"/>
            <filter val="7/16/2023"/>
            <filter val="3/17/2023"/>
            <filter val="7/17/2023"/>
            <filter val="7/18/2023"/>
            <filter val="7/19/2023"/>
            <filter val="3/20/2023"/>
            <filter val="7/20/2023"/>
            <filter val="3/21/2023"/>
            <filter val="7/21/2023"/>
            <filter val="7/22/2023"/>
            <filter val="7/23/2023"/>
            <filter val="7/26/2023"/>
            <filter val="7/27/2023"/>
            <filter val="7/29/2023"/>
            <filter val="7/30/2023"/>
            <filter val="7/31/2023"/>
            <filter val="27/04/2024"/>
            <filter val="13/04/2024"/>
            <filter val="13/05/2024"/>
            <filter val="3/10/2024"/>
            <filter val="3/11/2024"/>
            <filter val="3/12/2024"/>
            <filter val="3/13/2024"/>
            <filter val="3/14/2024"/>
            <filter val="3/15/2024"/>
            <filter val="3/16/2024"/>
            <filter val="3/17/2024"/>
            <filter val="3/19/2024"/>
            <filter val="3/20/2024"/>
            <filter val="3/21/2024"/>
            <filter val="3/22/2024"/>
            <filter val="3/23/2024"/>
            <filter val="3/24/2024"/>
            <filter val="3/25/2024"/>
            <filter val="3/26/2024"/>
            <filter val="3/27/2024"/>
            <filter val="3/28/2024"/>
            <filter val="3/29/2024"/>
            <filter val="3/30/2024"/>
            <filter val="3/31/2024"/>
            <filter val="12/15/2022"/>
            <filter val="6/27/2022"/>
            <filter val="6/10/2023"/>
            <filter val="12/11/2023"/>
            <filter val="6/11/2023"/>
            <filter val="6/12/2023"/>
            <filter val="12/13/2023"/>
            <filter val="6/13/2023"/>
            <filter val="12/14/2023"/>
            <filter val="6/14/2023"/>
            <filter val="12/15/2023"/>
            <filter val="6/15/2023"/>
            <filter val="12/16/2023"/>
            <filter val="6/16/2023"/>
            <filter val="12/17/2023"/>
            <filter val="6/17/2023"/>
            <filter val="12/18/2023"/>
            <filter val="6/18/2023"/>
            <filter val="12/19/2023"/>
            <filter val="6/19/2023"/>
            <filter val="12/20/2023"/>
            <filter val="6/20/2023"/>
            <filter val="12/21/2023"/>
            <filter val="6/21/2023"/>
            <filter val="12/22/2023"/>
            <filter val="6/22/2023"/>
            <filter val="12/23/2023"/>
            <filter val="6/23/2023"/>
            <filter val="6/25/2023"/>
            <filter val="12/26/2023"/>
            <filter val="6/26/2023"/>
            <filter val="12/27/2023"/>
            <filter val="6/27/2023"/>
            <filter val="12/28/2023"/>
            <filter val="6/28/2023"/>
            <filter val="12/29/2023"/>
            <filter val="6/29/2023"/>
            <filter val="12/30/2023"/>
            <filter val="6/30/2023"/>
            <filter val="12/31/2023"/>
            <filter val="2/10/2024"/>
            <filter val="2/11/2024"/>
            <filter val="2/12/2024"/>
            <filter val="2/13/2024"/>
            <filter val="2/14/2024"/>
            <filter val="2/15/2024"/>
            <filter val="2/16/2024"/>
            <filter val="2/17/2024"/>
            <filter val="2/18/2024"/>
            <filter val="2/19/2024"/>
            <filter val="2/20/2024"/>
            <filter val="2/21/2024"/>
            <filter val="2/22/2024"/>
            <filter val="2/23/2024"/>
            <filter val="2/24/2024"/>
            <filter val="2/25/2024"/>
            <filter val="2/26/2024"/>
            <filter val="2/27/2024"/>
            <filter val="2/29/2024"/>
            <filter val="12/1/2022"/>
            <filter val="12/1/2023"/>
            <filter val="12/2/2023"/>
            <filter val="12/3/2023"/>
            <filter val="12/4/2023"/>
            <filter val="12/5/2023"/>
            <filter val="12/6/2023"/>
            <filter val="12/7/2023"/>
            <filter val="12/8/2023"/>
            <filter val="12/9/2023"/>
            <filter val="11/1/2023"/>
            <filter val="11/2/2023"/>
            <filter val="11/3/2023"/>
            <filter val="11/4/2023"/>
            <filter val="11/5/2023"/>
            <filter val="11/6/2023"/>
            <filter val="11/7/2023"/>
            <filter val="11/8/2023"/>
            <filter val="11/9/2023"/>
            <filter val="10/1/2023"/>
            <filter val="10/3/2023"/>
            <filter val="10/4/2023"/>
            <filter val="10/5/2023"/>
            <filter val="10/6/2023"/>
            <filter val="10/7/2023"/>
            <filter val="10/9/2023"/>
            <filter val="11/10/2022"/>
            <filter val="9/10/2023"/>
            <filter val="1/11/2023"/>
            <filter val="5/11/2023"/>
            <filter val="9/11/2023"/>
            <filter val="9/12/2023"/>
            <filter val="9/13/2023"/>
            <filter val="11/14/2023"/>
            <filter val="9/14/2023"/>
            <filter val="11/15/2023"/>
            <filter val="9/15/2023"/>
            <filter val="11/16/2023"/>
            <filter val="1/16/2023"/>
            <filter val="9/16/2023"/>
            <filter val="11/17/2023"/>
            <filter val="9/17/2023"/>
            <filter val="11/18/2023"/>
            <filter val="9/18/2023"/>
            <filter val="11/19/2023"/>
            <filter val="9/19/2023"/>
            <filter val="11/21/2023"/>
            <filter val="9/21/2023"/>
            <filter val="11/22/2023"/>
            <filter val="5/22/2023"/>
            <filter val="9/22/2023"/>
            <filter val="11/23/2023"/>
            <filter val="9/23/2023"/>
            <filter val="11/24/2023"/>
            <filter val="9/24/2023"/>
            <filter val="11/25/2023"/>
            <filter val="1/25/2023"/>
            <filter val="9/25/2023"/>
            <filter val="11/26/2023"/>
            <filter val="1/26/2023"/>
            <filter val="9/26/2023"/>
            <filter val="11/27/2023"/>
            <filter val="1/27/2023"/>
            <filter val="11/28/2023"/>
            <filter val="9/28/2023"/>
            <filter val="11/29/2023"/>
            <filter val="9/29/2023"/>
            <filter val="11/30/2023"/>
            <filter val="5/31/2023"/>
            <filter val="1/10/2024"/>
            <filter val="5/10/2024"/>
            <filter val="1/11/2024"/>
            <filter val="1/12/2024"/>
            <filter val="5/12/2024"/>
            <filter val="1/13/2024"/>
            <filter val="5/13/2024"/>
            <filter val="1/14/2024"/>
            <filter val="5/14/2024"/>
            <filter val="1/15/2024"/>
            <filter val="5/15/2024"/>
            <filter val="5/16/2024"/>
            <filter val="1/17/2024"/>
            <filter val="5/17/2024"/>
            <filter val="1/18/2024"/>
            <filter val="5/18/2024"/>
            <filter val="1/19/2024"/>
            <filter val="5/19/2024"/>
            <filter val="1/20/2024"/>
            <filter val="5/20/2024"/>
            <filter val="5/21/2024"/>
            <filter val="1/22/2024"/>
            <filter val="5/22/2024"/>
            <filter val="1/23/2024"/>
            <filter val="5/23/2024"/>
            <filter val="1/24/2024"/>
            <filter val="5/24/2024"/>
            <filter val="1/25/2024"/>
            <filter val="5/25/2024"/>
            <filter val="5/26/2024"/>
            <filter val="1/27/2024"/>
            <filter val="5/27/2024"/>
            <filter val="1/28/2024"/>
            <filter val="5/28/2024"/>
            <filter val="5/29/2024"/>
            <filter val="1/30/2024"/>
            <filter val="5/30/2024"/>
            <filter val="1/31/2024"/>
            <filter val="5/31/2024"/>
          </filters>
        </filterColumn>
      </autoFilter>
    </customSheetView>
    <customSheetView guid="{57082B1B-1301-42C6-B072-7F1E7C4F59F3}" filter="1" showAutoFilter="1">
      <pageMargins left="0" right="0" top="0" bottom="0" header="0" footer="0"/>
      <headerFooter/>
      <autoFilter ref="A1:AH5703">
        <filterColumn colId="21">
          <filters>
            <filter val="2/1/2024"/>
            <filter val="2/2/2024"/>
            <filter val="2/3/2024"/>
            <filter val="2/5/2024"/>
            <filter val="2/7/2024"/>
            <filter val="2/8/2024"/>
            <filter val="2/9/2024"/>
            <filter val="1/2/2023"/>
            <filter val="1/3/2023"/>
            <filter val="1/1/2024"/>
            <filter val="1/2/2024"/>
            <filter val="1/3/2024"/>
            <filter val="1/4/2024"/>
            <filter val="1/5/2024"/>
            <filter val="1/6/2024"/>
            <filter val="1/7/2024"/>
            <filter val="1/9/2024"/>
            <filter val="4/7/2023"/>
            <filter val="4/1/2024"/>
            <filter val="4/2/2024"/>
            <filter val="4/4/2024"/>
            <filter val="4/5/2024"/>
            <filter val="4/6/2024"/>
            <filter val="4/8/2024"/>
            <filter val="4/9/2024"/>
            <filter val="3/5/2023"/>
            <filter val="3/1/2024"/>
            <filter val="3/2/2024"/>
            <filter val="3/3/2024"/>
            <filter val="3/4/2024"/>
            <filter val="3/5/2024"/>
            <filter val="3/6/2024"/>
            <filter val="3/7/2024"/>
            <filter val="3/8/2024"/>
            <filter val="3/9/2024"/>
            <filter val="8/11/2023"/>
            <filter val="8/12/2023"/>
            <filter val="10/13/2023"/>
            <filter val="8/13/2023"/>
            <filter val="10/14/2023"/>
            <filter val="8/14/2023"/>
            <filter val="10/15/2023"/>
            <filter val="8/15/2023"/>
            <filter val="10/16/2023"/>
            <filter val="10/17/2023"/>
            <filter val="8/17/2023"/>
            <filter val="10/18/2023"/>
            <filter val="8/18/2023"/>
            <filter val="10/19/2023"/>
            <filter val="8/19/2023"/>
            <filter val="10/20/2023"/>
            <filter val="4/20/2023"/>
            <filter val="8/20/2023"/>
            <filter val="10/21/2023"/>
            <filter val="8/21/2023"/>
            <filter val="10/22/2023"/>
            <filter val="8/22/2023"/>
            <filter val="10/23/2023"/>
            <filter val="8/23/2023"/>
            <filter val="10/24/2023"/>
            <filter val="4/24/2023"/>
            <filter val="8/24/2023"/>
            <filter val="10/25/2023"/>
            <filter val="8/25/2023"/>
            <filter val="10/26/2023"/>
            <filter val="8/26/2023"/>
            <filter val="10/27/2023"/>
            <filter val="10/28/2023"/>
            <filter val="8/29/2023"/>
            <filter val="10/30/2023"/>
            <filter val="8/30/2023"/>
            <filter val="10/31/2023"/>
            <filter val="8/31/2023"/>
            <filter val="4/10/2024"/>
            <filter val="4/11/2024"/>
            <filter val="4/12/2024"/>
            <filter val="4/13/2024"/>
            <filter val="4/14/2024"/>
            <filter val="4/15/2024"/>
            <filter val="4/16/2024"/>
            <filter val="4/17/2024"/>
            <filter val="4/18/2024"/>
            <filter val="4/19/2024"/>
            <filter val="4/20/2024"/>
            <filter val="4/21/2024"/>
            <filter val="4/22/2024"/>
            <filter val="4/23/2024"/>
            <filter val="4/24/2024"/>
            <filter val="4/25/2024"/>
            <filter val="4/26/2024"/>
            <filter val="4/27/2024"/>
            <filter val="4/28/2024"/>
            <filter val="4/29/2024"/>
            <filter val="9/1/2023"/>
            <filter val="9/2/2023"/>
            <filter val="9/3/2023"/>
            <filter val="9/4/2023"/>
            <filter val="9/5/2023"/>
            <filter val="9/8/2023"/>
            <filter val="6/1/2023"/>
            <filter val="6/2/2023"/>
            <filter val="6/3/2023"/>
            <filter val="6/4/2023"/>
            <filter val="6/5/2023"/>
            <filter val="6/6/2023"/>
            <filter val="6/7/2023"/>
            <filter val="6/8/2023"/>
            <filter val="6/9/2023"/>
            <filter val="6/2/2024"/>
            <filter val="6/3/2024"/>
            <filter val="6/4/2024"/>
            <filter val="6/5/2024"/>
            <filter val="6/6/2024"/>
            <filter val="6/7/2024"/>
            <filter val="5/1/2023"/>
            <filter val="5/3/2023"/>
            <filter val="5/4/2023"/>
            <filter val="5/8/2023"/>
            <filter val="5/9/2023"/>
            <filter val="5/2/2024"/>
            <filter val="5/3/2024"/>
            <filter val="5/4/2024"/>
            <filter val="5/5/2024"/>
            <filter val="5/6/2024"/>
            <filter val="5/7/2024"/>
            <filter val="5/8/2024"/>
            <filter val="5/9/2024"/>
            <filter val="8/1/2023"/>
            <filter val="8/2/2023"/>
            <filter val="8/3/2023"/>
            <filter val="8/4/2023"/>
            <filter val="8/5/2023"/>
            <filter val="8/6/2023"/>
            <filter val="8/7/2023"/>
            <filter val="8/8/2023"/>
            <filter val="8/9/2023"/>
            <filter val="7/1/2023"/>
            <filter val="7/2/2023"/>
            <filter val="7/3/2023"/>
            <filter val="7/4/2023"/>
            <filter val="7/5/2023"/>
            <filter val="7/6/2023"/>
            <filter val="7/7/2023"/>
            <filter val="7/8/2023"/>
            <filter val="7/9/2023"/>
            <filter val="7/11/2023"/>
            <filter val="7/12/2023"/>
            <filter val="7/13/2023"/>
            <filter val="7/14/2023"/>
            <filter val="7/15/2023"/>
            <filter val="7/16/2023"/>
            <filter val="3/17/2023"/>
            <filter val="7/17/2023"/>
            <filter val="7/18/2023"/>
            <filter val="7/19/2023"/>
            <filter val="3/20/2023"/>
            <filter val="7/20/2023"/>
            <filter val="3/21/2023"/>
            <filter val="7/21/2023"/>
            <filter val="7/22/2023"/>
            <filter val="7/23/2023"/>
            <filter val="7/26/2023"/>
            <filter val="7/27/2023"/>
            <filter val="7/29/2023"/>
            <filter val="7/30/2023"/>
            <filter val="7/31/2023"/>
            <filter val="27/04/2024"/>
            <filter val="13/05/2024"/>
            <filter val="3/10/2024"/>
            <filter val="3/11/2024"/>
            <filter val="3/12/2024"/>
            <filter val="3/13/2024"/>
            <filter val="3/14/2024"/>
            <filter val="3/15/2024"/>
            <filter val="3/16/2024"/>
            <filter val="3/17/2024"/>
            <filter val="3/19/2024"/>
            <filter val="3/20/2024"/>
            <filter val="3/21/2024"/>
            <filter val="3/22/2024"/>
            <filter val="3/23/2024"/>
            <filter val="3/24/2024"/>
            <filter val="3/25/2024"/>
            <filter val="3/26/2024"/>
            <filter val="3/27/2024"/>
            <filter val="3/28/2024"/>
            <filter val="3/29/2024"/>
            <filter val="3/30/2024"/>
            <filter val="3/31/2024"/>
            <filter val="12/15/2022"/>
            <filter val="6/27/2022"/>
            <filter val="6/10/2023"/>
            <filter val="12/11/2023"/>
            <filter val="6/11/2023"/>
            <filter val="6/12/2023"/>
            <filter val="12/13/2023"/>
            <filter val="6/13/2023"/>
            <filter val="12/14/2023"/>
            <filter val="6/14/2023"/>
            <filter val="12/15/2023"/>
            <filter val="6/15/2023"/>
            <filter val="12/16/2023"/>
            <filter val="6/16/2023"/>
            <filter val="12/17/2023"/>
            <filter val="6/17/2023"/>
            <filter val="12/18/2023"/>
            <filter val="6/18/2023"/>
            <filter val="12/19/2023"/>
            <filter val="6/19/2023"/>
            <filter val="12/20/2023"/>
            <filter val="6/20/2023"/>
            <filter val="12/21/2023"/>
            <filter val="6/21/2023"/>
            <filter val="12/22/2023"/>
            <filter val="6/22/2023"/>
            <filter val="12/23/2023"/>
            <filter val="6/23/2023"/>
            <filter val="6/25/2023"/>
            <filter val="12/26/2023"/>
            <filter val="6/26/2023"/>
            <filter val="12/27/2023"/>
            <filter val="6/27/2023"/>
            <filter val="12/28/2023"/>
            <filter val="6/28/2023"/>
            <filter val="12/29/2023"/>
            <filter val="6/29/2023"/>
            <filter val="12/30/2023"/>
            <filter val="6/30/2023"/>
            <filter val="12/31/2023"/>
            <filter val="2/10/2024"/>
            <filter val="2/11/2024"/>
            <filter val="2/12/2024"/>
            <filter val="2/13/2024"/>
            <filter val="2/14/2024"/>
            <filter val="2/15/2024"/>
            <filter val="2/16/2024"/>
            <filter val="2/17/2024"/>
            <filter val="2/18/2024"/>
            <filter val="2/19/2024"/>
            <filter val="2/20/2024"/>
            <filter val="2/21/2024"/>
            <filter val="2/22/2024"/>
            <filter val="2/23/2024"/>
            <filter val="2/24/2024"/>
            <filter val="2/25/2024"/>
            <filter val="2/26/2024"/>
            <filter val="2/27/2024"/>
            <filter val="2/29/2024"/>
            <filter val="12/1/2022"/>
            <filter val="12/1/2023"/>
            <filter val="12/2/2023"/>
            <filter val="12/3/2023"/>
            <filter val="12/4/2023"/>
            <filter val="12/5/2023"/>
            <filter val="12/6/2023"/>
            <filter val="12/7/2023"/>
            <filter val="12/8/2023"/>
            <filter val="12/9/2023"/>
            <filter val="11/1/2023"/>
            <filter val="11/2/2023"/>
            <filter val="11/3/2023"/>
            <filter val="11/4/2023"/>
            <filter val="11/5/2023"/>
            <filter val="11/6/2023"/>
            <filter val="11/7/2023"/>
            <filter val="11/8/2023"/>
            <filter val="11/9/2023"/>
            <filter val="10/1/2023"/>
            <filter val="10/3/2023"/>
            <filter val="10/4/2023"/>
            <filter val="10/5/2023"/>
            <filter val="10/6/2023"/>
            <filter val="10/7/2023"/>
            <filter val="10/9/2023"/>
            <filter val="11/10/2022"/>
            <filter val="9/10/2023"/>
            <filter val="1/11/2023"/>
            <filter val="5/11/2023"/>
            <filter val="9/11/2023"/>
            <filter val="9/12/2023"/>
            <filter val="9/13/2023"/>
            <filter val="11/14/2023"/>
            <filter val="9/14/2023"/>
            <filter val="11/15/2023"/>
            <filter val="9/15/2023"/>
            <filter val="11/16/2023"/>
            <filter val="1/16/2023"/>
            <filter val="9/16/2023"/>
            <filter val="11/17/2023"/>
            <filter val="9/17/2023"/>
            <filter val="11/18/2023"/>
            <filter val="9/18/2023"/>
            <filter val="11/19/2023"/>
            <filter val="9/19/2023"/>
            <filter val="11/21/2023"/>
            <filter val="9/21/2023"/>
            <filter val="11/22/2023"/>
            <filter val="5/22/2023"/>
            <filter val="9/22/2023"/>
            <filter val="11/23/2023"/>
            <filter val="9/23/2023"/>
            <filter val="11/24/2023"/>
            <filter val="9/24/2023"/>
            <filter val="11/25/2023"/>
            <filter val="1/25/2023"/>
            <filter val="9/25/2023"/>
            <filter val="11/26/2023"/>
            <filter val="1/26/2023"/>
            <filter val="9/26/2023"/>
            <filter val="11/27/2023"/>
            <filter val="1/27/2023"/>
            <filter val="11/28/2023"/>
            <filter val="9/28/2023"/>
            <filter val="11/29/2023"/>
            <filter val="9/29/2023"/>
            <filter val="11/30/2023"/>
            <filter val="5/31/2023"/>
            <filter val="1/10/2024"/>
            <filter val="5/10/2024"/>
            <filter val="1/11/2024"/>
            <filter val="1/12/2024"/>
            <filter val="5/12/2024"/>
            <filter val="1/13/2024"/>
            <filter val="5/13/2024"/>
            <filter val="1/14/2024"/>
            <filter val="5/14/2024"/>
            <filter val="1/15/2024"/>
            <filter val="5/15/2024"/>
            <filter val="5/16/2024"/>
            <filter val="1/17/2024"/>
            <filter val="5/17/2024"/>
            <filter val="1/18/2024"/>
            <filter val="5/18/2024"/>
            <filter val="1/19/2024"/>
            <filter val="5/19/2024"/>
            <filter val="1/20/2024"/>
            <filter val="5/20/2024"/>
            <filter val="5/21/2024"/>
            <filter val="1/22/2024"/>
            <filter val="5/22/2024"/>
            <filter val="1/23/2024"/>
            <filter val="5/23/2024"/>
            <filter val="1/24/2024"/>
            <filter val="5/24/2024"/>
            <filter val="1/25/2024"/>
            <filter val="5/25/2024"/>
            <filter val="5/26/2024"/>
            <filter val="1/27/2024"/>
            <filter val="5/27/2024"/>
            <filter val="1/28/2024"/>
            <filter val="5/28/2024"/>
            <filter val="5/29/2024"/>
            <filter val="1/30/2024"/>
            <filter val="5/30/2024"/>
            <filter val="1/31/2024"/>
            <filter val="5/31/2024"/>
          </filters>
        </filterColumn>
      </autoFilter>
    </customSheetView>
    <customSheetView guid="{B1B030FE-9153-44B5-BDA8-17E97194FF42}" filter="1" showAutoFilter="1">
      <pageMargins left="0" right="0" top="0" bottom="0" header="0" footer="0"/>
      <headerFooter/>
      <autoFilter ref="Y3717"/>
    </customSheetView>
    <customSheetView guid="{273D72AF-73BC-44A3-9018-C66AFEA81757}" filter="1" showAutoFilter="1">
      <pageMargins left="0" right="0" top="0" bottom="0" header="0" footer="0"/>
      <headerFooter/>
      <autoFilter ref="A1:AH1605">
        <filterColumn colId="21">
          <filters>
            <filter val="2/1/2024"/>
            <filter val="2/2/2024"/>
            <filter val="2/3/2024"/>
            <filter val="2/5/2024"/>
            <filter val="2/7/2024"/>
            <filter val="2/8/2024"/>
            <filter val="2/9/2024"/>
            <filter val="1/2/2023"/>
            <filter val="1/3/2023"/>
            <filter val="1/1/2024"/>
            <filter val="1/2/2024"/>
            <filter val="1/3/2024"/>
            <filter val="1/4/2024"/>
            <filter val="1/5/2024"/>
            <filter val="1/6/2024"/>
            <filter val="1/7/2024"/>
            <filter val="1/9/2024"/>
            <filter val="4/7/2023"/>
            <filter val="4/1/2024"/>
            <filter val="4/2/2024"/>
            <filter val="4/4/2024"/>
            <filter val="4/5/2024"/>
            <filter val="4/6/2024"/>
            <filter val="4/8/2024"/>
            <filter val="4/9/2024"/>
            <filter val="3/5/2023"/>
            <filter val="3/1/2024"/>
            <filter val="3/2/2024"/>
            <filter val="3/3/2024"/>
            <filter val="3/4/2024"/>
            <filter val="3/5/2024"/>
            <filter val="3/6/2024"/>
            <filter val="3/7/2024"/>
            <filter val="3/8/2024"/>
            <filter val="3/9/2024"/>
            <filter val="10/10/2023"/>
            <filter val="10/11/2023"/>
            <filter val="8/11/2023"/>
            <filter val="10/12/2023"/>
            <filter val="8/12/2023"/>
            <filter val="10/13/2023"/>
            <filter val="8/13/2023"/>
            <filter val="10/14/2023"/>
            <filter val="8/14/2023"/>
            <filter val="10/15/2023"/>
            <filter val="8/15/2023"/>
            <filter val="10/16/2023"/>
            <filter val="10/17/2023"/>
            <filter val="8/17/2023"/>
            <filter val="10/18/2023"/>
            <filter val="8/18/2023"/>
            <filter val="10/19/2023"/>
            <filter val="8/19/2023"/>
            <filter val="10/20/2023"/>
            <filter val="4/20/2023"/>
            <filter val="8/20/2023"/>
            <filter val="10/21/2023"/>
            <filter val="8/21/2023"/>
            <filter val="10/22/2023"/>
            <filter val="8/22/2023"/>
            <filter val="10/23/2023"/>
            <filter val="8/23/2023"/>
            <filter val="10/24/2023"/>
            <filter val="4/24/2023"/>
            <filter val="8/24/2023"/>
            <filter val="10/25/2023"/>
            <filter val="8/25/2023"/>
            <filter val="10/26/2023"/>
            <filter val="8/26/2023"/>
            <filter val="10/27/2023"/>
            <filter val="10/28/2023"/>
            <filter val="8/29/2023"/>
            <filter val="10/30/2023"/>
            <filter val="8/30/2023"/>
            <filter val="10/31/2023"/>
            <filter val="8/31/2023"/>
            <filter val="10/01/2024"/>
            <filter val="4/10/2024"/>
            <filter val="4/11/2024"/>
            <filter val="4/12/2024"/>
            <filter val="4/13/2024"/>
            <filter val="4/14/2024"/>
            <filter val="4/15/2024"/>
            <filter val="4/16/2024"/>
            <filter val="4/17/2024"/>
            <filter val="4/18/2024"/>
            <filter val="4/19/2024"/>
            <filter val="4/20/2024"/>
            <filter val="4/21/2024"/>
            <filter val="4/22/2024"/>
            <filter val="4/23/2024"/>
            <filter val="4/24/2024"/>
            <filter val="4/25/2024"/>
            <filter val="4/26/2024"/>
            <filter val="4/27/2024"/>
            <filter val="4/28/2024"/>
            <filter val="4/29/2024"/>
            <filter val="9/1/2023"/>
            <filter val="9/2/2023"/>
            <filter val="9/3/2023"/>
            <filter val="9/4/2023"/>
            <filter val="9/5/2023"/>
            <filter val="9/8/2023"/>
            <filter val="6/1/2023"/>
            <filter val="6/2/2023"/>
            <filter val="6/3/2023"/>
            <filter val="6/4/2023"/>
            <filter val="6/5/2023"/>
            <filter val="6/6/2023"/>
            <filter val="6/7/2023"/>
            <filter val="6/8/2023"/>
            <filter val="6/9/2023"/>
            <filter val="6/2/2024"/>
            <filter val="6/3/2024"/>
            <filter val="6/4/2024"/>
            <filter val="6/5/2024"/>
            <filter val="6/6/2024"/>
            <filter val="6/7/2024"/>
            <filter val="5/1/2023"/>
            <filter val="5/3/2023"/>
            <filter val="5/4/2023"/>
            <filter val="5/8/2023"/>
            <filter val="5/9/2023"/>
            <filter val="5/2/2024"/>
            <filter val="5/3/2024"/>
            <filter val="5/4/2024"/>
            <filter val="5/5/2024"/>
            <filter val="5/6/2024"/>
            <filter val="5/7/2024"/>
            <filter val="5/8/2024"/>
            <filter val="5/9/2024"/>
            <filter val="8/1/2023"/>
            <filter val="8/2/2023"/>
            <filter val="8/3/2023"/>
            <filter val="8/4/2023"/>
            <filter val="8/5/2023"/>
            <filter val="8/6/2023"/>
            <filter val="8/7/2023"/>
            <filter val="8/8/2023"/>
            <filter val="8/9/2023"/>
            <filter val="7/1/2023"/>
            <filter val="7/2/2023"/>
            <filter val="7/3/2023"/>
            <filter val="7/4/2023"/>
            <filter val="7/5/2023"/>
            <filter val="7/6/2023"/>
            <filter val="7/7/2023"/>
            <filter val="7/8/2023"/>
            <filter val="7/9/2023"/>
            <filter val="7/11/2023"/>
            <filter val="7/12/2023"/>
            <filter val="7/13/2023"/>
            <filter val="7/14/2023"/>
            <filter val="7/15/2023"/>
            <filter val="7/16/2023"/>
            <filter val="3/17/2023"/>
            <filter val="7/17/2023"/>
            <filter val="7/18/2023"/>
            <filter val="7/19/2023"/>
            <filter val="3/20/2023"/>
            <filter val="7/20/2023"/>
            <filter val="3/21/2023"/>
            <filter val="7/21/2023"/>
            <filter val="7/22/2023"/>
            <filter val="7/23/2023"/>
            <filter val="7/26/2023"/>
            <filter val="7/27/2023"/>
            <filter val="7/29/2023"/>
            <filter val="7/30/2023"/>
            <filter val="7/31/2023"/>
            <filter val="27/04/2024"/>
            <filter val="13/04/2024"/>
            <filter val="13/05/2024"/>
            <filter val="3/10/2024"/>
            <filter val="3/11/2024"/>
            <filter val="3/12/2024"/>
            <filter val="3/13/2024"/>
            <filter val="3/14/2024"/>
            <filter val="3/15/2024"/>
            <filter val="3/16/2024"/>
            <filter val="3/17/2024"/>
            <filter val="3/19/2024"/>
            <filter val="3/20/2024"/>
            <filter val="3/21/2024"/>
            <filter val="3/22/2024"/>
            <filter val="3/23/2024"/>
            <filter val="3/24/2024"/>
            <filter val="3/25/2024"/>
            <filter val="3/26/2024"/>
            <filter val="3/27/2024"/>
            <filter val="3/28/2024"/>
            <filter val="3/29/2024"/>
            <filter val="3/30/2024"/>
            <filter val="3/31/2024"/>
            <filter val="12/15/2022"/>
            <filter val="6/27/2022"/>
            <filter val="12/10/2023"/>
            <filter val="6/10/2023"/>
            <filter val="12/11/2023"/>
            <filter val="6/11/2023"/>
            <filter val="12/12/2023"/>
            <filter val="6/12/2023"/>
            <filter val="12/13/2023"/>
            <filter val="6/13/2023"/>
            <filter val="12/14/2023"/>
            <filter val="6/14/2023"/>
            <filter val="12/15/2023"/>
            <filter val="6/15/2023"/>
            <filter val="12/16/2023"/>
            <filter val="6/16/2023"/>
            <filter val="12/17/2023"/>
            <filter val="6/17/2023"/>
            <filter val="12/18/2023"/>
            <filter val="6/18/2023"/>
            <filter val="12/19/2023"/>
            <filter val="6/19/2023"/>
            <filter val="12/20/2023"/>
            <filter val="6/20/2023"/>
            <filter val="12/21/2023"/>
            <filter val="6/21/2023"/>
            <filter val="12/22/2023"/>
            <filter val="6/22/2023"/>
            <filter val="12/23/2023"/>
            <filter val="6/23/2023"/>
            <filter val="6/25/2023"/>
            <filter val="12/26/2023"/>
            <filter val="6/26/2023"/>
            <filter val="12/27/2023"/>
            <filter val="6/27/2023"/>
            <filter val="12/28/2023"/>
            <filter val="6/28/2023"/>
            <filter val="12/29/2023"/>
            <filter val="6/29/2023"/>
            <filter val="12/30/2023"/>
            <filter val="6/30/2023"/>
            <filter val="12/31/2023"/>
            <filter val="2/10/2024"/>
            <filter val="2/11/2024"/>
            <filter val="2/12/2024"/>
            <filter val="2/13/2024"/>
            <filter val="2/14/2024"/>
            <filter val="2/15/2024"/>
            <filter val="2/16/2024"/>
            <filter val="2/17/2024"/>
            <filter val="2/18/2024"/>
            <filter val="2/19/2024"/>
            <filter val="2/20/2024"/>
            <filter val="2/21/2024"/>
            <filter val="2/22/2024"/>
            <filter val="2/23/2024"/>
            <filter val="2/24/2024"/>
            <filter val="2/25/2024"/>
            <filter val="2/26/2024"/>
            <filter val="2/27/2024"/>
            <filter val="2/29/2024"/>
            <filter val="12/1/2022"/>
            <filter val="12/1/2023"/>
            <filter val="12/2/2023"/>
            <filter val="12/3/2023"/>
            <filter val="12/4/2023"/>
            <filter val="12/5/2023"/>
            <filter val="12/6/2023"/>
            <filter val="12/7/2023"/>
            <filter val="12/8/2023"/>
            <filter val="12/9/2023"/>
            <filter val="11/1/2023"/>
            <filter val="11/2/2023"/>
            <filter val="11/3/2023"/>
            <filter val="11/4/2023"/>
            <filter val="11/5/2023"/>
            <filter val="11/6/2023"/>
            <filter val="11/7/2023"/>
            <filter val="11/8/2023"/>
            <filter val="11/9/2023"/>
            <filter val="10/1/2023"/>
            <filter val="10/3/2023"/>
            <filter val="10/4/2023"/>
            <filter val="10/5/2023"/>
            <filter val="10/6/2023"/>
            <filter val="10/7/2023"/>
            <filter val="10/9/2023"/>
            <filter val="11/10/2022"/>
            <filter val="11/10/2023"/>
            <filter val="9/10/2023"/>
            <filter val="11/11/2023"/>
            <filter val="1/11/2023"/>
            <filter val="5/11/2023"/>
            <filter val="9/11/2023"/>
            <filter val="9/12/2023"/>
            <filter val="9/13/2023"/>
            <filter val="11/14/2023"/>
            <filter val="9/14/2023"/>
            <filter val="11/15/2023"/>
            <filter val="9/15/2023"/>
            <filter val="11/16/2023"/>
            <filter val="1/16/2023"/>
            <filter val="9/16/2023"/>
            <filter val="11/17/2023"/>
            <filter val="9/17/2023"/>
            <filter val="11/18/2023"/>
            <filter val="9/18/2023"/>
            <filter val="11/19/2023"/>
            <filter val="9/19/2023"/>
            <filter val="11/21/2023"/>
            <filter val="9/21/2023"/>
            <filter val="11/22/2023"/>
            <filter val="5/22/2023"/>
            <filter val="9/22/2023"/>
            <filter val="11/23/2023"/>
            <filter val="9/23/2023"/>
            <filter val="11/24/2023"/>
            <filter val="9/24/2023"/>
            <filter val="11/25/2023"/>
            <filter val="1/25/2023"/>
            <filter val="9/25/2023"/>
            <filter val="11/26/2023"/>
            <filter val="1/26/2023"/>
            <filter val="9/26/2023"/>
            <filter val="11/27/2023"/>
            <filter val="1/27/2023"/>
            <filter val="11/28/2023"/>
            <filter val="9/28/2023"/>
            <filter val="11/29/2023"/>
            <filter val="9/29/2023"/>
            <filter val="11/30/2023"/>
            <filter val="5/31/2023"/>
            <filter val="01/03/2024"/>
            <filter val="1/10/2024"/>
            <filter val="5/10/2024"/>
            <filter val="1/11/2024"/>
            <filter val="1/12/2024"/>
            <filter val="5/12/2024"/>
            <filter val="1/13/2024"/>
            <filter val="5/13/2024"/>
            <filter val="1/14/2024"/>
            <filter val="5/14/2024"/>
            <filter val="1/15/2024"/>
            <filter val="5/15/2024"/>
            <filter val="5/16/2024"/>
            <filter val="1/17/2024"/>
            <filter val="5/17/2024"/>
            <filter val="1/18/2024"/>
            <filter val="5/18/2024"/>
            <filter val="1/19/2024"/>
            <filter val="5/19/2024"/>
            <filter val="1/20/2024"/>
            <filter val="5/20/2024"/>
            <filter val="5/21/2024"/>
            <filter val="1/22/2024"/>
            <filter val="5/22/2024"/>
            <filter val="1/23/2024"/>
            <filter val="5/23/2024"/>
            <filter val="1/24/2024"/>
            <filter val="5/24/2024"/>
            <filter val="1/25/2024"/>
            <filter val="5/25/2024"/>
            <filter val="5/26/2024"/>
            <filter val="1/27/2024"/>
            <filter val="5/27/2024"/>
            <filter val="1/28/2024"/>
            <filter val="5/28/2024"/>
            <filter val="5/29/2024"/>
            <filter val="1/30/2024"/>
            <filter val="5/30/2024"/>
            <filter val="1/31/2024"/>
            <filter val="5/31/2024"/>
          </filters>
        </filterColumn>
      </autoFilter>
    </customSheetView>
    <customSheetView guid="{0FD419F6-0B32-493F-9C0A-B591BDEFAB9E}" filter="1" showAutoFilter="1">
      <pageMargins left="0" right="0" top="0" bottom="0" header="0" footer="0"/>
      <headerFooter/>
      <autoFilter ref="A1:AH5703">
        <filterColumn colId="21">
          <filters>
            <filter val="2/1/2024"/>
            <filter val="2/2/2024"/>
            <filter val="2/3/2024"/>
            <filter val="2/5/2024"/>
            <filter val="2/7/2024"/>
            <filter val="2/8/2024"/>
            <filter val="2/9/2024"/>
            <filter val="1/2/2023"/>
            <filter val="1/3/2023"/>
            <filter val="1/1/2024"/>
            <filter val="1/2/2024"/>
            <filter val="1/3/2024"/>
            <filter val="1/4/2024"/>
            <filter val="1/5/2024"/>
            <filter val="1/6/2024"/>
            <filter val="1/7/2024"/>
            <filter val="1/9/2024"/>
            <filter val="4/7/2023"/>
            <filter val="4/1/2024"/>
            <filter val="4/2/2024"/>
            <filter val="4/4/2024"/>
            <filter val="4/5/2024"/>
            <filter val="4/6/2024"/>
            <filter val="4/8/2024"/>
            <filter val="4/9/2024"/>
            <filter val="3/5/2023"/>
            <filter val="3/1/2024"/>
            <filter val="3/2/2024"/>
            <filter val="3/3/2024"/>
            <filter val="3/4/2024"/>
            <filter val="3/5/2024"/>
            <filter val="3/6/2024"/>
            <filter val="3/7/2024"/>
            <filter val="3/8/2024"/>
            <filter val="3/9/2024"/>
            <filter val="8/11/2023"/>
            <filter val="8/12/2023"/>
            <filter val="10/13/2023"/>
            <filter val="8/13/2023"/>
            <filter val="10/14/2023"/>
            <filter val="8/14/2023"/>
            <filter val="10/15/2023"/>
            <filter val="8/15/2023"/>
            <filter val="10/16/2023"/>
            <filter val="10/17/2023"/>
            <filter val="8/17/2023"/>
            <filter val="10/18/2023"/>
            <filter val="8/18/2023"/>
            <filter val="10/19/2023"/>
            <filter val="8/19/2023"/>
            <filter val="10/20/2023"/>
            <filter val="4/20/2023"/>
            <filter val="8/20/2023"/>
            <filter val="10/21/2023"/>
            <filter val="8/21/2023"/>
            <filter val="10/22/2023"/>
            <filter val="8/22/2023"/>
            <filter val="10/23/2023"/>
            <filter val="8/23/2023"/>
            <filter val="10/24/2023"/>
            <filter val="4/24/2023"/>
            <filter val="8/24/2023"/>
            <filter val="10/25/2023"/>
            <filter val="8/25/2023"/>
            <filter val="10/26/2023"/>
            <filter val="8/26/2023"/>
            <filter val="10/27/2023"/>
            <filter val="10/28/2023"/>
            <filter val="8/29/2023"/>
            <filter val="10/30/2023"/>
            <filter val="8/30/2023"/>
            <filter val="10/31/2023"/>
            <filter val="8/31/2023"/>
            <filter val="4/10/2024"/>
            <filter val="4/11/2024"/>
            <filter val="4/12/2024"/>
            <filter val="4/13/2024"/>
            <filter val="4/14/2024"/>
            <filter val="4/15/2024"/>
            <filter val="4/16/2024"/>
            <filter val="4/17/2024"/>
            <filter val="4/18/2024"/>
            <filter val="4/19/2024"/>
            <filter val="4/20/2024"/>
            <filter val="4/21/2024"/>
            <filter val="4/22/2024"/>
            <filter val="4/23/2024"/>
            <filter val="4/24/2024"/>
            <filter val="4/25/2024"/>
            <filter val="4/26/2024"/>
            <filter val="4/27/2024"/>
            <filter val="4/28/2024"/>
            <filter val="4/29/2024"/>
            <filter val="9/1/2023"/>
            <filter val="9/2/2023"/>
            <filter val="9/3/2023"/>
            <filter val="9/4/2023"/>
            <filter val="9/5/2023"/>
            <filter val="9/8/2023"/>
            <filter val="6/1/2023"/>
            <filter val="6/2/2023"/>
            <filter val="6/3/2023"/>
            <filter val="6/4/2023"/>
            <filter val="6/5/2023"/>
            <filter val="6/6/2023"/>
            <filter val="6/7/2023"/>
            <filter val="6/8/2023"/>
            <filter val="6/9/2023"/>
            <filter val="6/2/2024"/>
            <filter val="6/3/2024"/>
            <filter val="6/4/2024"/>
            <filter val="6/5/2024"/>
            <filter val="6/6/2024"/>
            <filter val="6/7/2024"/>
            <filter val="5/1/2023"/>
            <filter val="5/3/2023"/>
            <filter val="5/4/2023"/>
            <filter val="5/8/2023"/>
            <filter val="5/9/2023"/>
            <filter val="5/2/2024"/>
            <filter val="5/3/2024"/>
            <filter val="5/4/2024"/>
            <filter val="5/5/2024"/>
            <filter val="5/6/2024"/>
            <filter val="5/7/2024"/>
            <filter val="5/8/2024"/>
            <filter val="5/9/2024"/>
            <filter val="8/1/2023"/>
            <filter val="8/2/2023"/>
            <filter val="8/3/2023"/>
            <filter val="8/4/2023"/>
            <filter val="8/5/2023"/>
            <filter val="8/6/2023"/>
            <filter val="8/7/2023"/>
            <filter val="8/8/2023"/>
            <filter val="8/9/2023"/>
            <filter val="7/1/2023"/>
            <filter val="7/2/2023"/>
            <filter val="7/3/2023"/>
            <filter val="7/4/2023"/>
            <filter val="7/5/2023"/>
            <filter val="7/6/2023"/>
            <filter val="7/7/2023"/>
            <filter val="7/8/2023"/>
            <filter val="7/9/2023"/>
            <filter val="7/11/2023"/>
            <filter val="7/12/2023"/>
            <filter val="7/13/2023"/>
            <filter val="7/14/2023"/>
            <filter val="7/15/2023"/>
            <filter val="7/16/2023"/>
            <filter val="3/17/2023"/>
            <filter val="7/17/2023"/>
            <filter val="7/18/2023"/>
            <filter val="7/19/2023"/>
            <filter val="3/20/2023"/>
            <filter val="7/20/2023"/>
            <filter val="3/21/2023"/>
            <filter val="7/21/2023"/>
            <filter val="7/22/2023"/>
            <filter val="7/23/2023"/>
            <filter val="7/26/2023"/>
            <filter val="7/27/2023"/>
            <filter val="7/29/2023"/>
            <filter val="7/30/2023"/>
            <filter val="7/31/2023"/>
            <filter val="3/10/2024"/>
            <filter val="3/11/2024"/>
            <filter val="3/12/2024"/>
            <filter val="3/13/2024"/>
            <filter val="3/14/2024"/>
            <filter val="3/15/2024"/>
            <filter val="3/16/2024"/>
            <filter val="3/17/2024"/>
            <filter val="3/19/2024"/>
            <filter val="3/20/2024"/>
            <filter val="3/21/2024"/>
            <filter val="3/22/2024"/>
            <filter val="3/23/2024"/>
            <filter val="3/24/2024"/>
            <filter val="3/25/2024"/>
            <filter val="3/26/2024"/>
            <filter val="3/27/2024"/>
            <filter val="3/28/2024"/>
            <filter val="3/29/2024"/>
            <filter val="3/30/2024"/>
            <filter val="3/31/2024"/>
            <filter val="12/15/2022"/>
            <filter val="6/27/2022"/>
            <filter val="6/10/2023"/>
            <filter val="12/11/2023"/>
            <filter val="6/11/2023"/>
            <filter val="6/12/2023"/>
            <filter val="12/13/2023"/>
            <filter val="6/13/2023"/>
            <filter val="12/14/2023"/>
            <filter val="6/14/2023"/>
            <filter val="12/15/2023"/>
            <filter val="6/15/2023"/>
            <filter val="12/16/2023"/>
            <filter val="6/16/2023"/>
            <filter val="12/17/2023"/>
            <filter val="6/17/2023"/>
            <filter val="12/18/2023"/>
            <filter val="6/18/2023"/>
            <filter val="12/19/2023"/>
            <filter val="6/19/2023"/>
            <filter val="12/20/2023"/>
            <filter val="6/20/2023"/>
            <filter val="12/21/2023"/>
            <filter val="6/21/2023"/>
            <filter val="12/22/2023"/>
            <filter val="6/22/2023"/>
            <filter val="12/23/2023"/>
            <filter val="6/23/2023"/>
            <filter val="6/25/2023"/>
            <filter val="12/26/2023"/>
            <filter val="6/26/2023"/>
            <filter val="12/27/2023"/>
            <filter val="6/27/2023"/>
            <filter val="12/28/2023"/>
            <filter val="6/28/2023"/>
            <filter val="12/29/2023"/>
            <filter val="6/29/2023"/>
            <filter val="12/30/2023"/>
            <filter val="6/30/2023"/>
            <filter val="12/31/2023"/>
            <filter val="2/10/2024"/>
            <filter val="2/11/2024"/>
            <filter val="2/12/2024"/>
            <filter val="2/13/2024"/>
            <filter val="2/14/2024"/>
            <filter val="2/15/2024"/>
            <filter val="2/16/2024"/>
            <filter val="2/17/2024"/>
            <filter val="2/18/2024"/>
            <filter val="2/19/2024"/>
            <filter val="2/20/2024"/>
            <filter val="2/21/2024"/>
            <filter val="2/22/2024"/>
            <filter val="2/23/2024"/>
            <filter val="2/24/2024"/>
            <filter val="2/25/2024"/>
            <filter val="2/26/2024"/>
            <filter val="2/27/2024"/>
            <filter val="2/29/2024"/>
            <filter val="12/1/2022"/>
            <filter val="12/1/2023"/>
            <filter val="12/2/2023"/>
            <filter val="12/3/2023"/>
            <filter val="12/4/2023"/>
            <filter val="12/5/2023"/>
            <filter val="12/6/2023"/>
            <filter val="12/7/2023"/>
            <filter val="12/8/2023"/>
            <filter val="12/9/2023"/>
            <filter val="11/1/2023"/>
            <filter val="11/2/2023"/>
            <filter val="11/3/2023"/>
            <filter val="11/4/2023"/>
            <filter val="11/5/2023"/>
            <filter val="11/6/2023"/>
            <filter val="11/7/2023"/>
            <filter val="11/8/2023"/>
            <filter val="11/9/2023"/>
            <filter val="10/1/2023"/>
            <filter val="10/3/2023"/>
            <filter val="10/4/2023"/>
            <filter val="10/5/2023"/>
            <filter val="10/6/2023"/>
            <filter val="10/7/2023"/>
            <filter val="10/9/2023"/>
            <filter val="11/10/2022"/>
            <filter val="9/10/2023"/>
            <filter val="1/11/2023"/>
            <filter val="5/11/2023"/>
            <filter val="9/11/2023"/>
            <filter val="9/12/2023"/>
            <filter val="9/13/2023"/>
            <filter val="11/14/2023"/>
            <filter val="9/14/2023"/>
            <filter val="11/15/2023"/>
            <filter val="9/15/2023"/>
            <filter val="11/16/2023"/>
            <filter val="1/16/2023"/>
            <filter val="9/16/2023"/>
            <filter val="11/17/2023"/>
            <filter val="9/17/2023"/>
            <filter val="11/18/2023"/>
            <filter val="9/18/2023"/>
            <filter val="11/19/2023"/>
            <filter val="9/19/2023"/>
            <filter val="11/21/2023"/>
            <filter val="9/21/2023"/>
            <filter val="11/22/2023"/>
            <filter val="5/22/2023"/>
            <filter val="9/22/2023"/>
            <filter val="11/23/2023"/>
            <filter val="9/23/2023"/>
            <filter val="11/24/2023"/>
            <filter val="9/24/2023"/>
            <filter val="11/25/2023"/>
            <filter val="1/25/2023"/>
            <filter val="9/25/2023"/>
            <filter val="11/26/2023"/>
            <filter val="1/26/2023"/>
            <filter val="9/26/2023"/>
            <filter val="11/27/2023"/>
            <filter val="1/27/2023"/>
            <filter val="11/28/2023"/>
            <filter val="9/28/2023"/>
            <filter val="11/29/2023"/>
            <filter val="9/29/2023"/>
            <filter val="11/30/2023"/>
            <filter val="5/31/2023"/>
            <filter val="1/10/2024"/>
            <filter val="5/10/2024"/>
            <filter val="1/11/2024"/>
            <filter val="1/12/2024"/>
            <filter val="5/12/2024"/>
            <filter val="1/13/2024"/>
            <filter val="5/13/2024"/>
            <filter val="1/14/2024"/>
            <filter val="5/14/2024"/>
            <filter val="1/15/2024"/>
            <filter val="5/15/2024"/>
            <filter val="5/16/2024"/>
            <filter val="1/17/2024"/>
            <filter val="5/17/2024"/>
            <filter val="1/18/2024"/>
            <filter val="5/18/2024"/>
            <filter val="1/19/2024"/>
            <filter val="5/19/2024"/>
            <filter val="1/20/2024"/>
            <filter val="5/20/2024"/>
            <filter val="5/21/2024"/>
            <filter val="1/22/2024"/>
            <filter val="5/22/2024"/>
            <filter val="1/23/2024"/>
            <filter val="5/23/2024"/>
            <filter val="1/24/2024"/>
            <filter val="5/24/2024"/>
            <filter val="1/25/2024"/>
            <filter val="5/25/2024"/>
            <filter val="5/26/2024"/>
            <filter val="1/27/2024"/>
            <filter val="5/27/2024"/>
            <filter val="1/28/2024"/>
            <filter val="5/28/2024"/>
            <filter val="5/29/2024"/>
            <filter val="1/30/2024"/>
            <filter val="5/30/2024"/>
            <filter val="1/31/2024"/>
            <filter val="5/31/2024"/>
          </filters>
        </filterColumn>
      </autoFilter>
    </customSheetView>
    <customSheetView guid="{61794A7B-1CD1-4AD4-A487-2D713F610EB5}" filter="1" showAutoFilter="1">
      <pageMargins left="0" right="0" top="0" bottom="0" header="0" footer="0"/>
      <headerFooter/>
      <autoFilter ref="A1:AH5703">
        <filterColumn colId="21">
          <filters>
            <filter val="2/1/2024"/>
            <filter val="2/2/2024"/>
            <filter val="2/3/2024"/>
            <filter val="2/5/2024"/>
            <filter val="2/7/2024"/>
            <filter val="2/8/2024"/>
            <filter val="2/9/2024"/>
            <filter val="1/2/2023"/>
            <filter val="1/3/2023"/>
            <filter val="1/1/2024"/>
            <filter val="1/2/2024"/>
            <filter val="1/3/2024"/>
            <filter val="1/4/2024"/>
            <filter val="1/5/2024"/>
            <filter val="1/6/2024"/>
            <filter val="1/7/2024"/>
            <filter val="1/9/2024"/>
            <filter val="4/7/2023"/>
            <filter val="4/1/2024"/>
            <filter val="4/2/2024"/>
            <filter val="4/4/2024"/>
            <filter val="4/5/2024"/>
            <filter val="4/6/2024"/>
            <filter val="4/8/2024"/>
            <filter val="4/9/2024"/>
            <filter val="3/5/2023"/>
            <filter val="3/1/2024"/>
            <filter val="3/2/2024"/>
            <filter val="3/3/2024"/>
            <filter val="3/4/2024"/>
            <filter val="3/5/2024"/>
            <filter val="3/6/2024"/>
            <filter val="3/7/2024"/>
            <filter val="3/8/2024"/>
            <filter val="3/9/2024"/>
            <filter val="8/11/2023"/>
            <filter val="8/12/2023"/>
            <filter val="10/13/2023"/>
            <filter val="8/13/2023"/>
            <filter val="10/14/2023"/>
            <filter val="8/14/2023"/>
            <filter val="10/15/2023"/>
            <filter val="8/15/2023"/>
            <filter val="10/16/2023"/>
            <filter val="10/17/2023"/>
            <filter val="8/17/2023"/>
            <filter val="10/18/2023"/>
            <filter val="8/18/2023"/>
            <filter val="10/19/2023"/>
            <filter val="8/19/2023"/>
            <filter val="10/20/2023"/>
            <filter val="4/20/2023"/>
            <filter val="8/20/2023"/>
            <filter val="10/21/2023"/>
            <filter val="8/21/2023"/>
            <filter val="10/22/2023"/>
            <filter val="8/22/2023"/>
            <filter val="10/23/2023"/>
            <filter val="8/23/2023"/>
            <filter val="10/24/2023"/>
            <filter val="4/24/2023"/>
            <filter val="8/24/2023"/>
            <filter val="10/25/2023"/>
            <filter val="8/25/2023"/>
            <filter val="10/26/2023"/>
            <filter val="8/26/2023"/>
            <filter val="10/27/2023"/>
            <filter val="10/28/2023"/>
            <filter val="8/29/2023"/>
            <filter val="10/30/2023"/>
            <filter val="8/30/2023"/>
            <filter val="10/31/2023"/>
            <filter val="8/31/2023"/>
            <filter val="4/10/2024"/>
            <filter val="4/11/2024"/>
            <filter val="4/12/2024"/>
            <filter val="4/13/2024"/>
            <filter val="4/14/2024"/>
            <filter val="4/15/2024"/>
            <filter val="4/16/2024"/>
            <filter val="4/17/2024"/>
            <filter val="4/18/2024"/>
            <filter val="4/19/2024"/>
            <filter val="4/20/2024"/>
            <filter val="4/21/2024"/>
            <filter val="4/22/2024"/>
            <filter val="4/23/2024"/>
            <filter val="4/24/2024"/>
            <filter val="4/25/2024"/>
            <filter val="4/26/2024"/>
            <filter val="4/27/2024"/>
            <filter val="4/28/2024"/>
            <filter val="4/29/2024"/>
            <filter val="9/1/2023"/>
            <filter val="9/2/2023"/>
            <filter val="9/3/2023"/>
            <filter val="9/4/2023"/>
            <filter val="9/5/2023"/>
            <filter val="9/8/2023"/>
            <filter val="6/1/2023"/>
            <filter val="6/2/2023"/>
            <filter val="6/3/2023"/>
            <filter val="6/4/2023"/>
            <filter val="6/5/2023"/>
            <filter val="6/6/2023"/>
            <filter val="6/7/2023"/>
            <filter val="6/8/2023"/>
            <filter val="6/9/2023"/>
            <filter val="6/2/2024"/>
            <filter val="6/3/2024"/>
            <filter val="6/4/2024"/>
            <filter val="6/5/2024"/>
            <filter val="6/6/2024"/>
            <filter val="6/7/2024"/>
            <filter val="5/1/2023"/>
            <filter val="5/3/2023"/>
            <filter val="5/4/2023"/>
            <filter val="5/8/2023"/>
            <filter val="5/9/2023"/>
            <filter val="5/2/2024"/>
            <filter val="5/3/2024"/>
            <filter val="5/4/2024"/>
            <filter val="5/5/2024"/>
            <filter val="5/6/2024"/>
            <filter val="5/7/2024"/>
            <filter val="5/8/2024"/>
            <filter val="5/9/2024"/>
            <filter val="8/1/2023"/>
            <filter val="8/2/2023"/>
            <filter val="8/3/2023"/>
            <filter val="8/4/2023"/>
            <filter val="8/5/2023"/>
            <filter val="8/6/2023"/>
            <filter val="8/7/2023"/>
            <filter val="8/8/2023"/>
            <filter val="8/9/2023"/>
            <filter val="7/1/2023"/>
            <filter val="7/2/2023"/>
            <filter val="7/3/2023"/>
            <filter val="7/4/2023"/>
            <filter val="7/5/2023"/>
            <filter val="7/6/2023"/>
            <filter val="7/7/2023"/>
            <filter val="7/8/2023"/>
            <filter val="7/9/2023"/>
            <filter val="7/11/2023"/>
            <filter val="7/12/2023"/>
            <filter val="7/13/2023"/>
            <filter val="7/14/2023"/>
            <filter val="7/15/2023"/>
            <filter val="7/16/2023"/>
            <filter val="3/17/2023"/>
            <filter val="7/17/2023"/>
            <filter val="7/18/2023"/>
            <filter val="7/19/2023"/>
            <filter val="3/20/2023"/>
            <filter val="7/20/2023"/>
            <filter val="3/21/2023"/>
            <filter val="7/21/2023"/>
            <filter val="7/22/2023"/>
            <filter val="7/23/2023"/>
            <filter val="7/26/2023"/>
            <filter val="7/27/2023"/>
            <filter val="7/29/2023"/>
            <filter val="7/30/2023"/>
            <filter val="7/31/2023"/>
            <filter val="3/10/2024"/>
            <filter val="3/11/2024"/>
            <filter val="3/12/2024"/>
            <filter val="3/13/2024"/>
            <filter val="3/14/2024"/>
            <filter val="3/15/2024"/>
            <filter val="3/16/2024"/>
            <filter val="3/17/2024"/>
            <filter val="3/19/2024"/>
            <filter val="3/20/2024"/>
            <filter val="3/21/2024"/>
            <filter val="3/22/2024"/>
            <filter val="3/23/2024"/>
            <filter val="3/24/2024"/>
            <filter val="3/25/2024"/>
            <filter val="3/26/2024"/>
            <filter val="3/27/2024"/>
            <filter val="3/28/2024"/>
            <filter val="3/29/2024"/>
            <filter val="3/30/2024"/>
            <filter val="3/31/2024"/>
            <filter val="12/15/2022"/>
            <filter val="6/27/2022"/>
            <filter val="6/10/2023"/>
            <filter val="12/11/2023"/>
            <filter val="6/11/2023"/>
            <filter val="6/12/2023"/>
            <filter val="12/13/2023"/>
            <filter val="6/13/2023"/>
            <filter val="12/14/2023"/>
            <filter val="6/14/2023"/>
            <filter val="12/15/2023"/>
            <filter val="6/15/2023"/>
            <filter val="12/16/2023"/>
            <filter val="6/16/2023"/>
            <filter val="12/17/2023"/>
            <filter val="6/17/2023"/>
            <filter val="12/18/2023"/>
            <filter val="6/18/2023"/>
            <filter val="12/19/2023"/>
            <filter val="6/19/2023"/>
            <filter val="12/20/2023"/>
            <filter val="6/20/2023"/>
            <filter val="12/21/2023"/>
            <filter val="6/21/2023"/>
            <filter val="12/22/2023"/>
            <filter val="6/22/2023"/>
            <filter val="12/23/2023"/>
            <filter val="6/23/2023"/>
            <filter val="6/25/2023"/>
            <filter val="12/26/2023"/>
            <filter val="6/26/2023"/>
            <filter val="12/27/2023"/>
            <filter val="6/27/2023"/>
            <filter val="12/28/2023"/>
            <filter val="6/28/2023"/>
            <filter val="12/29/2023"/>
            <filter val="6/29/2023"/>
            <filter val="12/30/2023"/>
            <filter val="6/30/2023"/>
            <filter val="12/31/2023"/>
            <filter val="2/10/2024"/>
            <filter val="2/11/2024"/>
            <filter val="2/12/2024"/>
            <filter val="2/13/2024"/>
            <filter val="2/14/2024"/>
            <filter val="2/15/2024"/>
            <filter val="2/16/2024"/>
            <filter val="2/17/2024"/>
            <filter val="2/18/2024"/>
            <filter val="2/19/2024"/>
            <filter val="2/20/2024"/>
            <filter val="2/21/2024"/>
            <filter val="2/22/2024"/>
            <filter val="2/23/2024"/>
            <filter val="2/24/2024"/>
            <filter val="2/25/2024"/>
            <filter val="2/26/2024"/>
            <filter val="2/27/2024"/>
            <filter val="2/29/2024"/>
            <filter val="12/1/2022"/>
            <filter val="12/1/2023"/>
            <filter val="12/2/2023"/>
            <filter val="12/3/2023"/>
            <filter val="12/4/2023"/>
            <filter val="12/5/2023"/>
            <filter val="12/6/2023"/>
            <filter val="12/7/2023"/>
            <filter val="12/8/2023"/>
            <filter val="12/9/2023"/>
            <filter val="11/1/2023"/>
            <filter val="11/2/2023"/>
            <filter val="11/3/2023"/>
            <filter val="11/4/2023"/>
            <filter val="11/5/2023"/>
            <filter val="11/6/2023"/>
            <filter val="11/7/2023"/>
            <filter val="11/8/2023"/>
            <filter val="11/9/2023"/>
            <filter val="10/1/2023"/>
            <filter val="10/3/2023"/>
            <filter val="10/4/2023"/>
            <filter val="10/5/2023"/>
            <filter val="10/6/2023"/>
            <filter val="10/7/2023"/>
            <filter val="10/9/2023"/>
            <filter val="11/10/2022"/>
            <filter val="9/10/2023"/>
            <filter val="1/11/2023"/>
            <filter val="5/11/2023"/>
            <filter val="9/11/2023"/>
            <filter val="9/12/2023"/>
            <filter val="9/13/2023"/>
            <filter val="11/14/2023"/>
            <filter val="9/14/2023"/>
            <filter val="11/15/2023"/>
            <filter val="9/15/2023"/>
            <filter val="11/16/2023"/>
            <filter val="1/16/2023"/>
            <filter val="9/16/2023"/>
            <filter val="11/17/2023"/>
            <filter val="9/17/2023"/>
            <filter val="11/18/2023"/>
            <filter val="9/18/2023"/>
            <filter val="11/19/2023"/>
            <filter val="9/19/2023"/>
            <filter val="11/21/2023"/>
            <filter val="9/21/2023"/>
            <filter val="11/22/2023"/>
            <filter val="5/22/2023"/>
            <filter val="9/22/2023"/>
            <filter val="11/23/2023"/>
            <filter val="9/23/2023"/>
            <filter val="11/24/2023"/>
            <filter val="9/24/2023"/>
            <filter val="11/25/2023"/>
            <filter val="1/25/2023"/>
            <filter val="9/25/2023"/>
            <filter val="11/26/2023"/>
            <filter val="1/26/2023"/>
            <filter val="9/26/2023"/>
            <filter val="11/27/2023"/>
            <filter val="1/27/2023"/>
            <filter val="11/28/2023"/>
            <filter val="9/28/2023"/>
            <filter val="11/29/2023"/>
            <filter val="9/29/2023"/>
            <filter val="11/30/2023"/>
            <filter val="5/31/2023"/>
            <filter val="1/10/2024"/>
            <filter val="5/10/2024"/>
            <filter val="1/11/2024"/>
            <filter val="1/12/2024"/>
            <filter val="5/12/2024"/>
            <filter val="1/13/2024"/>
            <filter val="5/13/2024"/>
            <filter val="1/14/2024"/>
            <filter val="5/14/2024"/>
            <filter val="1/15/2024"/>
            <filter val="5/15/2024"/>
            <filter val="5/16/2024"/>
            <filter val="1/17/2024"/>
            <filter val="5/17/2024"/>
            <filter val="1/18/2024"/>
            <filter val="5/18/2024"/>
            <filter val="1/19/2024"/>
            <filter val="5/19/2024"/>
            <filter val="1/20/2024"/>
            <filter val="5/20/2024"/>
            <filter val="5/21/2024"/>
            <filter val="1/22/2024"/>
            <filter val="5/22/2024"/>
            <filter val="1/23/2024"/>
            <filter val="5/23/2024"/>
            <filter val="1/24/2024"/>
            <filter val="5/24/2024"/>
            <filter val="1/25/2024"/>
            <filter val="5/25/2024"/>
            <filter val="5/26/2024"/>
            <filter val="1/27/2024"/>
            <filter val="5/27/2024"/>
            <filter val="1/28/2024"/>
            <filter val="5/28/2024"/>
            <filter val="5/29/2024"/>
            <filter val="1/30/2024"/>
            <filter val="5/30/2024"/>
            <filter val="1/31/2024"/>
            <filter val="5/31/2024"/>
          </filters>
        </filterColumn>
      </autoFilter>
    </customSheetView>
    <customSheetView guid="{406A547E-BA15-4AD5-8BFC-5FA7C8DC2C56}" filter="1" showAutoFilter="1">
      <pageMargins left="0" right="0" top="0" bottom="0" header="0" footer="0"/>
      <headerFooter/>
      <autoFilter ref="A1:AH5703"/>
    </customSheetView>
    <customSheetView guid="{38AE1E96-A1D5-4B20-B485-16B1B66D27F7}" filter="1" showAutoFilter="1">
      <pageMargins left="0" right="0" top="0" bottom="0" header="0" footer="0"/>
      <headerFooter/>
      <autoFilter ref="V1:V4703">
        <filterColumn colId="0">
          <filters>
            <filter val="2/1/2024"/>
            <filter val="2/2/2024"/>
            <filter val="2/3/2024"/>
            <filter val="2/5/2024"/>
            <filter val="2/7/2024"/>
            <filter val="2/8/2024"/>
            <filter val="2/9/2024"/>
            <filter val="1/2/2023"/>
            <filter val="1/3/2023"/>
            <filter val="1/1/2024"/>
            <filter val="1/2/2024"/>
            <filter val="1/3/2024"/>
            <filter val="1/4/2024"/>
            <filter val="1/5/2024"/>
            <filter val="1/6/2024"/>
            <filter val="1/7/2024"/>
            <filter val="1/9/2024"/>
            <filter val="4/7/2023"/>
            <filter val="4/1/2024"/>
            <filter val="4/2/2024"/>
            <filter val="4/4/2024"/>
            <filter val="4/5/2024"/>
            <filter val="4/6/2024"/>
            <filter val="4/8/2024"/>
            <filter val="4/9/2024"/>
            <filter val="3/5/2023"/>
            <filter val="3/1/2024"/>
            <filter val="3/2/2024"/>
            <filter val="3/3/2024"/>
            <filter val="3/4/2024"/>
            <filter val="3/5/2024"/>
            <filter val="3/6/2024"/>
            <filter val="3/7/2024"/>
            <filter val="3/8/2024"/>
            <filter val="3/9/2024"/>
            <filter val="8/11/2023"/>
            <filter val="8/12/2023"/>
            <filter val="10/13/2023"/>
            <filter val="8/13/2023"/>
            <filter val="10/14/2023"/>
            <filter val="8/14/2023"/>
            <filter val="10/15/2023"/>
            <filter val="8/15/2023"/>
            <filter val="10/16/2023"/>
            <filter val="10/17/2023"/>
            <filter val="8/17/2023"/>
            <filter val="10/18/2023"/>
            <filter val="8/18/2023"/>
            <filter val="10/19/2023"/>
            <filter val="8/19/2023"/>
            <filter val="10/20/2023"/>
            <filter val="4/20/2023"/>
            <filter val="8/20/2023"/>
            <filter val="10/21/2023"/>
            <filter val="8/21/2023"/>
            <filter val="10/22/2023"/>
            <filter val="8/22/2023"/>
            <filter val="10/23/2023"/>
            <filter val="8/23/2023"/>
            <filter val="10/24/2023"/>
            <filter val="4/24/2023"/>
            <filter val="8/24/2023"/>
            <filter val="10/25/2023"/>
            <filter val="8/25/2023"/>
            <filter val="10/26/2023"/>
            <filter val="8/26/2023"/>
            <filter val="10/27/2023"/>
            <filter val="10/28/2023"/>
            <filter val="8/29/2023"/>
            <filter val="10/30/2023"/>
            <filter val="8/30/2023"/>
            <filter val="10/31/2023"/>
            <filter val="8/31/2023"/>
            <filter val="4/10/2024"/>
            <filter val="4/11/2024"/>
            <filter val="4/12/2024"/>
            <filter val="4/13/2024"/>
            <filter val="4/14/2024"/>
            <filter val="4/15/2024"/>
            <filter val="4/16/2024"/>
            <filter val="4/17/2024"/>
            <filter val="4/18/2024"/>
            <filter val="4/19/2024"/>
            <filter val="4/20/2024"/>
            <filter val="4/21/2024"/>
            <filter val="4/22/2024"/>
            <filter val="4/23/2024"/>
            <filter val="4/24/2024"/>
            <filter val="4/25/2024"/>
            <filter val="4/26/2024"/>
            <filter val="4/27/2024"/>
            <filter val="4/28/2024"/>
            <filter val="4/29/2024"/>
            <filter val="9/1/2023"/>
            <filter val="9/2/2023"/>
            <filter val="9/3/2023"/>
            <filter val="9/4/2023"/>
            <filter val="9/5/2023"/>
            <filter val="9/8/2023"/>
            <filter val="6/1/2023"/>
            <filter val="6/2/2023"/>
            <filter val="6/3/2023"/>
            <filter val="6/4/2023"/>
            <filter val="6/5/2023"/>
            <filter val="6/6/2023"/>
            <filter val="6/7/2023"/>
            <filter val="6/8/2023"/>
            <filter val="6/9/2023"/>
            <filter val="6/2/2024"/>
            <filter val="6/3/2024"/>
            <filter val="6/4/2024"/>
            <filter val="6/5/2024"/>
            <filter val="6/6/2024"/>
            <filter val="6/7/2024"/>
            <filter val="5/1/2023"/>
            <filter val="5/3/2023"/>
            <filter val="5/4/2023"/>
            <filter val="5/8/2023"/>
            <filter val="5/9/2023"/>
            <filter val="5/2/2024"/>
            <filter val="5/3/2024"/>
            <filter val="5/4/2024"/>
            <filter val="5/5/2024"/>
            <filter val="5/6/2024"/>
            <filter val="5/7/2024"/>
            <filter val="5/8/2024"/>
            <filter val="5/9/2024"/>
            <filter val="8/1/2023"/>
            <filter val="8/2/2023"/>
            <filter val="8/3/2023"/>
            <filter val="8/4/2023"/>
            <filter val="8/5/2023"/>
            <filter val="8/6/2023"/>
            <filter val="8/7/2023"/>
            <filter val="8/8/2023"/>
            <filter val="8/9/2023"/>
            <filter val="7/1/2023"/>
            <filter val="7/2/2023"/>
            <filter val="7/3/2023"/>
            <filter val="7/4/2023"/>
            <filter val="7/5/2023"/>
            <filter val="7/6/2023"/>
            <filter val="7/7/2023"/>
            <filter val="7/8/2023"/>
            <filter val="7/9/2023"/>
            <filter val="7/11/2023"/>
            <filter val="7/12/2023"/>
            <filter val="7/13/2023"/>
            <filter val="7/14/2023"/>
            <filter val="7/15/2023"/>
            <filter val="7/16/2023"/>
            <filter val="3/17/2023"/>
            <filter val="7/17/2023"/>
            <filter val="7/18/2023"/>
            <filter val="7/19/2023"/>
            <filter val="3/20/2023"/>
            <filter val="7/20/2023"/>
            <filter val="3/21/2023"/>
            <filter val="7/21/2023"/>
            <filter val="7/22/2023"/>
            <filter val="7/23/2023"/>
            <filter val="7/26/2023"/>
            <filter val="7/27/2023"/>
            <filter val="7/29/2023"/>
            <filter val="7/30/2023"/>
            <filter val="7/31/2023"/>
            <filter val="3/10/2024"/>
            <filter val="3/11/2024"/>
            <filter val="3/12/2024"/>
            <filter val="3/13/2024"/>
            <filter val="3/14/2024"/>
            <filter val="3/15/2024"/>
            <filter val="3/16/2024"/>
            <filter val="3/17/2024"/>
            <filter val="3/19/2024"/>
            <filter val="3/20/2024"/>
            <filter val="3/21/2024"/>
            <filter val="3/22/2024"/>
            <filter val="3/23/2024"/>
            <filter val="3/24/2024"/>
            <filter val="3/25/2024"/>
            <filter val="3/26/2024"/>
            <filter val="3/27/2024"/>
            <filter val="3/28/2024"/>
            <filter val="3/29/2024"/>
            <filter val="3/30/2024"/>
            <filter val="3/31/2024"/>
            <filter val="12/15/2022"/>
            <filter val="6/27/2022"/>
            <filter val="6/10/2023"/>
            <filter val="12/11/2023"/>
            <filter val="6/11/2023"/>
            <filter val="6/12/2023"/>
            <filter val="12/13/2023"/>
            <filter val="6/13/2023"/>
            <filter val="12/14/2023"/>
            <filter val="6/14/2023"/>
            <filter val="12/15/2023"/>
            <filter val="6/15/2023"/>
            <filter val="12/16/2023"/>
            <filter val="6/16/2023"/>
            <filter val="12/17/2023"/>
            <filter val="6/17/2023"/>
            <filter val="12/18/2023"/>
            <filter val="6/18/2023"/>
            <filter val="12/19/2023"/>
            <filter val="6/19/2023"/>
            <filter val="12/20/2023"/>
            <filter val="6/20/2023"/>
            <filter val="12/21/2023"/>
            <filter val="6/21/2023"/>
            <filter val="12/22/2023"/>
            <filter val="6/22/2023"/>
            <filter val="12/23/2023"/>
            <filter val="6/23/2023"/>
            <filter val="6/25/2023"/>
            <filter val="12/26/2023"/>
            <filter val="6/26/2023"/>
            <filter val="12/27/2023"/>
            <filter val="6/27/2023"/>
            <filter val="12/28/2023"/>
            <filter val="6/28/2023"/>
            <filter val="12/29/2023"/>
            <filter val="6/29/2023"/>
            <filter val="12/30/2023"/>
            <filter val="6/30/2023"/>
            <filter val="12/31/2023"/>
            <filter val="2/10/2024"/>
            <filter val="2/11/2024"/>
            <filter val="2/12/2024"/>
            <filter val="2/13/2024"/>
            <filter val="2/14/2024"/>
            <filter val="2/15/2024"/>
            <filter val="2/16/2024"/>
            <filter val="2/17/2024"/>
            <filter val="2/18/2024"/>
            <filter val="2/19/2024"/>
            <filter val="2/20/2024"/>
            <filter val="2/21/2024"/>
            <filter val="2/22/2024"/>
            <filter val="2/23/2024"/>
            <filter val="2/24/2024"/>
            <filter val="2/25/2024"/>
            <filter val="2/26/2024"/>
            <filter val="2/27/2024"/>
            <filter val="2/29/2024"/>
            <filter val="12/1/2022"/>
            <filter val="12/1/2023"/>
            <filter val="12/2/2023"/>
            <filter val="12/3/2023"/>
            <filter val="12/4/2023"/>
            <filter val="12/5/2023"/>
            <filter val="12/6/2023"/>
            <filter val="12/7/2023"/>
            <filter val="12/8/2023"/>
            <filter val="12/9/2023"/>
            <filter val="11/1/2023"/>
            <filter val="11/2/2023"/>
            <filter val="11/3/2023"/>
            <filter val="11/4/2023"/>
            <filter val="11/5/2023"/>
            <filter val="11/6/2023"/>
            <filter val="11/7/2023"/>
            <filter val="11/8/2023"/>
            <filter val="11/9/2023"/>
            <filter val="10/1/2023"/>
            <filter val="10/3/2023"/>
            <filter val="10/4/2023"/>
            <filter val="10/5/2023"/>
            <filter val="10/6/2023"/>
            <filter val="10/7/2023"/>
            <filter val="10/9/2023"/>
            <filter val="11/10/2022"/>
            <filter val="9/10/2023"/>
            <filter val="1/11/2023"/>
            <filter val="5/11/2023"/>
            <filter val="9/11/2023"/>
            <filter val="9/12/2023"/>
            <filter val="9/13/2023"/>
            <filter val="11/14/2023"/>
            <filter val="9/14/2023"/>
            <filter val="11/15/2023"/>
            <filter val="9/15/2023"/>
            <filter val="11/16/2023"/>
            <filter val="1/16/2023"/>
            <filter val="9/16/2023"/>
            <filter val="11/17/2023"/>
            <filter val="9/17/2023"/>
            <filter val="11/18/2023"/>
            <filter val="9/18/2023"/>
            <filter val="11/19/2023"/>
            <filter val="9/19/2023"/>
            <filter val="11/21/2023"/>
            <filter val="9/21/2023"/>
            <filter val="11/22/2023"/>
            <filter val="5/22/2023"/>
            <filter val="9/22/2023"/>
            <filter val="11/23/2023"/>
            <filter val="9/23/2023"/>
            <filter val="11/24/2023"/>
            <filter val="9/24/2023"/>
            <filter val="11/25/2023"/>
            <filter val="1/25/2023"/>
            <filter val="9/25/2023"/>
            <filter val="11/26/2023"/>
            <filter val="1/26/2023"/>
            <filter val="9/26/2023"/>
            <filter val="11/27/2023"/>
            <filter val="1/27/2023"/>
            <filter val="11/28/2023"/>
            <filter val="9/28/2023"/>
            <filter val="11/29/2023"/>
            <filter val="9/29/2023"/>
            <filter val="11/30/2023"/>
            <filter val="5/31/2023"/>
            <filter val="1/10/2024"/>
            <filter val="5/10/2024"/>
            <filter val="1/11/2024"/>
            <filter val="1/12/2024"/>
            <filter val="5/12/2024"/>
            <filter val="1/13/2024"/>
            <filter val="5/13/2024"/>
            <filter val="1/14/2024"/>
            <filter val="5/14/2024"/>
            <filter val="1/15/2024"/>
            <filter val="5/15/2024"/>
            <filter val="5/16/2024"/>
            <filter val="1/17/2024"/>
            <filter val="5/17/2024"/>
            <filter val="1/18/2024"/>
            <filter val="5/18/2024"/>
            <filter val="1/19/2024"/>
            <filter val="5/19/2024"/>
            <filter val="1/20/2024"/>
            <filter val="5/20/2024"/>
            <filter val="5/21/2024"/>
            <filter val="1/22/2024"/>
            <filter val="5/22/2024"/>
            <filter val="1/23/2024"/>
            <filter val="5/23/2024"/>
            <filter val="1/24/2024"/>
            <filter val="5/24/2024"/>
            <filter val="1/25/2024"/>
            <filter val="5/25/2024"/>
            <filter val="5/26/2024"/>
            <filter val="1/27/2024"/>
            <filter val="5/27/2024"/>
            <filter val="1/28/2024"/>
            <filter val="5/28/2024"/>
            <filter val="5/29/2024"/>
            <filter val="1/30/2024"/>
            <filter val="5/30/2024"/>
            <filter val="1/31/2024"/>
            <filter val="5/31/2024"/>
          </filters>
        </filterColumn>
      </autoFilter>
    </customSheetView>
    <customSheetView guid="{307C25DC-C7DF-41B9-8134-689C45CA989E}" filter="1" showAutoFilter="1">
      <pageMargins left="0" right="0" top="0" bottom="0" header="0" footer="0"/>
      <headerFooter/>
      <autoFilter ref="A1:AH4703">
        <filterColumn colId="15">
          <customFilters>
            <customFilter operator="equal" val="SIM, situação não relacionada ao período gravídico-puerperal"/>
          </customFilters>
        </filterColumn>
      </autoFilter>
    </customSheetView>
  </customSheetViews>
  <dataValidations count="4">
    <dataValidation type="list" allowBlank="1" sqref="AC1248;AC1254:AC1504;AC1506:AC1604">
      <formula1>"CAMILLA,LILIANA,IANNE,LARISSA,JOANNA,TATYANA,MARTA,TASSIA,ALANY,ROSEANE,MARIANA,THIAGO,RHAYZA,ELAINE,NAYALE,DAMARTINE,JESSICA,BEATRIZ"</formula1>
    </dataValidation>
    <dataValidation type="list" allowBlank="1" sqref="AC3705">
      <formula1>"CAMILLA,LILIANA,IANNE,LARISSA,JOANNA,TATYANA,MARTA,TASSIA,ALANY,ROSEANE,MARIANA,THIAGO,RHAYZA,DAMARTINE,ELAINE,BEATRIZ"</formula1>
    </dataValidation>
    <dataValidation type="list" allowBlank="1" sqref="AB2:AB5703">
      <formula1>"Em atendimento,Atendimento realizado,Tentativa 1 de monitoramento sem sucesso,Tentativa 2 de monitoramento sem sucesso"</formula1>
    </dataValidation>
    <dataValidation type="list" allowBlank="1" sqref="AC2:AC1247;AC1249:AC1253;AC1605:AC3704;AC3706:AC5703">
      <formula1>"CAMILLA,LILIANA,IANNE,LARISSA,JOANNA,TATYANA,MARTA,TASSIA,ALANY,ROSEANE,MARIANA,THIAGO,RHAYZA,ANA_CINTRA,ELAINE,BEATRIZ,JESSICA"</formula1>
    </dataValidation>
  </dataValidations>
  <pageMargins left="0.511811024" right="0.511811024" top="0.787401575" bottom="0.787401575" header="0.31496062" footer="0.31496062"/>
  <headerFooter/>
  <legacyDrawing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FF"/>
    <outlinePr summaryBelow="0" summaryRight="0"/>
  </sheetPr>
  <dimension ref="A1:AD290"/>
  <sheetViews>
    <sheetView workbookViewId="0">
      <pane ySplit="1" topLeftCell="A2" activePane="bottomLeft" state="frozen"/>
      <selection/>
      <selection pane="bottomLeft" activeCell="B3" sqref="B3"/>
    </sheetView>
  </sheetViews>
  <sheetFormatPr defaultColWidth="12.5727272727273" defaultRowHeight="15.75" customHeight="1"/>
  <cols>
    <col min="1" max="1" width="17.4272727272727" customWidth="1"/>
    <col min="4" max="7" width="16.4272727272727" customWidth="1"/>
    <col min="11" max="11" width="18.1363636363636" customWidth="1"/>
    <col min="12" max="12" width="26.2818181818182" customWidth="1"/>
    <col min="13" max="13" width="61.7090909090909" customWidth="1"/>
  </cols>
  <sheetData>
    <row r="1" customHeight="1" spans="1:30">
      <c r="A1" s="143" t="s">
        <v>5041</v>
      </c>
      <c r="B1" s="143" t="s">
        <v>5042</v>
      </c>
      <c r="C1" s="143" t="s">
        <v>57</v>
      </c>
      <c r="D1" s="144" t="s">
        <v>5043</v>
      </c>
      <c r="E1" s="144" t="s">
        <v>5044</v>
      </c>
      <c r="F1" s="144" t="s">
        <v>5045</v>
      </c>
      <c r="G1" s="144" t="s">
        <v>5046</v>
      </c>
      <c r="H1" s="143" t="s">
        <v>5047</v>
      </c>
      <c r="I1" s="143" t="s">
        <v>5048</v>
      </c>
      <c r="J1" s="143" t="s">
        <v>5049</v>
      </c>
      <c r="K1" s="156" t="s">
        <v>5050</v>
      </c>
      <c r="L1" s="157" t="s">
        <v>5051</v>
      </c>
      <c r="M1" s="158" t="s">
        <v>5052</v>
      </c>
      <c r="N1" s="147"/>
      <c r="O1" s="147"/>
      <c r="P1" s="147"/>
      <c r="Q1" s="147"/>
      <c r="R1" s="147"/>
      <c r="S1" s="147"/>
      <c r="T1" s="147"/>
      <c r="U1" s="147"/>
      <c r="V1" s="147"/>
      <c r="W1" s="147"/>
      <c r="X1" s="147"/>
      <c r="Y1" s="147"/>
      <c r="Z1" s="147"/>
      <c r="AA1" s="147"/>
      <c r="AB1" s="147"/>
      <c r="AC1" s="147"/>
      <c r="AD1" s="147"/>
    </row>
    <row r="2" customHeight="1" spans="1:13">
      <c r="A2" s="11"/>
      <c r="B2" s="145" t="e">
        <f t="shared" ref="B2:B256" si="0">LEFT(A2,SEARCH(" ",A2)-1)</f>
        <v>#VALUE!</v>
      </c>
      <c r="C2" s="146"/>
      <c r="D2" s="11" t="b">
        <v>0</v>
      </c>
      <c r="F2" s="147" t="str">
        <f>IF(ISNA(VLOOKUP(A2,'Cadastro - Espelho (não editar)'!$A$3:$L$3204,12,0)),"",VLOOKUP(A2,'Cadastro - Espelho (não editar)'!$A$3:$L$3204,12,0))</f>
        <v/>
      </c>
      <c r="G2" s="11"/>
      <c r="H2" s="148"/>
      <c r="M2" s="105" t="e">
        <f t="shared" ref="M2:M44" si="1">IF(ISNA(CONCATENATE("Olá, ",B2,", Espero que você esteja bem! Somos da equipe do ATENDE GESTANTE 🤰🏽👩🏽‍🍼. Realizamos um atendimento de uma ",G2," do seu território. Acompanhe detalhes do nosso atendimento no histórico do prontuário PEC E-SUS APS. 👩🏽‍⚕️💻 Seguem os dados da usuária: Unidade: ",H2,"Nome: ",I2," CNS: ",J2," Caso deseje apoio para discutir ou manejar esse caso ou outro caso com uma de nossas enfermeiras ou médicas obstetras, agende uma teleinterconsulta conosco. Clique aqui 👇🏾")),"",CONCATENATE("Olá, ",B2,", Espero que você esteja bem! Somos da equipe do ATENDE GESTANTE 🤰🏽👩🏽‍🍼. Realizamos um atendimento de uma ",G2," do seu território. Acompanhe detalhes do nosso atendimento no histórico do prontuário PEC E-SUS APS. 👩🏽‍⚕️💻 Seguem os dados da usuária: Unidade: ",H2,"Nome: ",I2," CNS: ",J2," Caso deseje apoio para discutir ou manejar esse caso ou outro caso com uma de nossas enfermeiras ou médicas obstetras, agende uma teleinterconsulta conosco. Clique aqui 👇🏾"))</f>
        <v>#VALUE!</v>
      </c>
    </row>
    <row r="3" customHeight="1" spans="1:30">
      <c r="A3" s="64"/>
      <c r="B3" s="149" t="e">
        <f t="shared" si="0"/>
        <v>#VALUE!</v>
      </c>
      <c r="C3" s="64" t="str">
        <f>IF(ISNA(VLOOKUP(A3,'Cadastro - Espelho (não editar)'!$A$3:$H$3204,8,0)),"",VLOOKUP(A3,'Cadastro - Espelho (não editar)'!$A$3:$H$3204,8,0))</f>
        <v/>
      </c>
      <c r="D3" s="64" t="b">
        <v>0</v>
      </c>
      <c r="E3" s="64"/>
      <c r="F3" s="150" t="str">
        <f>IF(ISNA(VLOOKUP(A3,'Cadastro - Espelho (não editar)'!$A$3:$L$3204,12,0)),"",VLOOKUP(A3,'Cadastro - Espelho (não editar)'!$A$3:$L$3204,12,0))</f>
        <v/>
      </c>
      <c r="G3" s="64" t="s">
        <v>5053</v>
      </c>
      <c r="H3" s="151"/>
      <c r="I3" s="64"/>
      <c r="J3" s="64"/>
      <c r="K3" s="64"/>
      <c r="L3" s="64"/>
      <c r="M3" s="159" t="e">
        <f t="shared" si="1"/>
        <v>#VALUE!</v>
      </c>
      <c r="N3" s="64"/>
      <c r="O3" s="64"/>
      <c r="P3" s="64"/>
      <c r="Q3" s="64"/>
      <c r="R3" s="64"/>
      <c r="S3" s="64"/>
      <c r="T3" s="64"/>
      <c r="U3" s="64"/>
      <c r="V3" s="64"/>
      <c r="W3" s="64"/>
      <c r="X3" s="64"/>
      <c r="Y3" s="64"/>
      <c r="Z3" s="64"/>
      <c r="AA3" s="64"/>
      <c r="AB3" s="64"/>
      <c r="AC3" s="64"/>
      <c r="AD3" s="64"/>
    </row>
    <row r="4" customHeight="1" spans="1:13">
      <c r="A4" s="11" t="s">
        <v>5054</v>
      </c>
      <c r="B4" s="145" t="str">
        <f t="shared" si="0"/>
        <v>MARIA</v>
      </c>
      <c r="C4" s="27">
        <f>IF(ISNA(VLOOKUP(A4,'Cadastro - Espelho (não editar)'!$A$3:$H$3204,8,0)),"",VLOOKUP(A4,'Cadastro - Espelho (não editar)'!$A$3:$H$3204,8,0))</f>
        <v>81981101920</v>
      </c>
      <c r="D4" s="11" t="b">
        <v>1</v>
      </c>
      <c r="E4" s="11" t="s">
        <v>137</v>
      </c>
      <c r="F4" s="147">
        <f>IF(ISNA(VLOOKUP(A4,'Cadastro - Espelho (não editar)'!$A$3:$L$3204,12,0)),"",VLOOKUP(A4,'Cadastro - Espelho (não editar)'!$A$3:$L$3204,12,0))</f>
        <v>0</v>
      </c>
      <c r="G4" s="11" t="s">
        <v>5053</v>
      </c>
      <c r="H4" s="152" t="s">
        <v>5055</v>
      </c>
      <c r="I4" s="11" t="s">
        <v>4943</v>
      </c>
      <c r="J4" s="11">
        <v>700500326666257</v>
      </c>
      <c r="K4" s="11" t="s">
        <v>5056</v>
      </c>
      <c r="M4" s="105" t="str">
        <f t="shared" si="1"/>
        <v>Olá, MARIA, Espero que você esteja bem! Somos da equipe do ATENDE GESTANTE 🤰🏽👩🏽‍🍼. Realizamos um atendimento de uma gestante do seu território. Acompanhe detalhes do nosso atendimento no histórico do prontuário PEC E-SUS APS. 👩🏽‍⚕️💻 Seguem os dados da usuária: Unidade: Usf Rio PajeuNome: Maria Angelica Gonçalves da Silva CNS: 700500326666257 Caso deseje apoio para discutir ou manejar esse caso ou outro caso com uma de nossas enfermeiras ou médicas obstetras, agende uma teleinterconsulta conosco. Clique aqui 👇🏾</v>
      </c>
    </row>
    <row r="5" customHeight="1" spans="1:13">
      <c r="A5" s="11" t="s">
        <v>5057</v>
      </c>
      <c r="B5" s="145" t="str">
        <f t="shared" si="0"/>
        <v>CARLOS</v>
      </c>
      <c r="C5" s="27">
        <f>IF(ISNA(VLOOKUP(A5,'Cadastro - Espelho (não editar)'!$A$3:$H$3204,8,0)),"",VLOOKUP(A5,'Cadastro - Espelho (não editar)'!$A$3:$H$3204,8,0))</f>
        <v>81988122449</v>
      </c>
      <c r="D5" s="11" t="b">
        <v>1</v>
      </c>
      <c r="E5" s="11" t="s">
        <v>137</v>
      </c>
      <c r="F5" s="147">
        <f>IF(ISNA(VLOOKUP(A5,'Cadastro - Espelho (não editar)'!$A$3:$L$3204,12,0)),"",VLOOKUP(A5,'Cadastro - Espelho (não editar)'!$A$3:$L$3204,12,0))</f>
        <v>0</v>
      </c>
      <c r="G5" s="11" t="s">
        <v>5053</v>
      </c>
      <c r="H5" s="152" t="s">
        <v>5058</v>
      </c>
      <c r="I5" s="11" t="s">
        <v>2569</v>
      </c>
      <c r="J5" s="11">
        <v>706900193331433</v>
      </c>
      <c r="K5" s="11" t="s">
        <v>5056</v>
      </c>
      <c r="M5" s="105" t="str">
        <f t="shared" si="1"/>
        <v>Olá, CARLOS, Espero que você esteja bem! Somos da equipe do ATENDE GESTANTE 🤰🏽👩🏽‍🍼. Realizamos um atendimento de uma gestante do seu território. Acompanhe detalhes do nosso atendimento no histórico do prontuário PEC E-SUS APS. 👩🏽‍⚕️💻 Seguem os dados da usuária: Unidade: Usf Vila Tamandare BeirinhaNome: Jessika Carla da Silva CNS: 706900193331433 Caso deseje apoio para discutir ou manejar esse caso ou outro caso com uma de nossas enfermeiras ou médicas obstetras, agende uma teleinterconsulta conosco. Clique aqui 👇🏾</v>
      </c>
    </row>
    <row r="6" customHeight="1" spans="1:13">
      <c r="A6" s="11" t="s">
        <v>5059</v>
      </c>
      <c r="B6" s="145" t="str">
        <f t="shared" si="0"/>
        <v>VIVIANE</v>
      </c>
      <c r="C6" s="27">
        <f>IF(ISNA(VLOOKUP(A6,'Cadastro - Espelho (não editar)'!$A$3:$H$3204,8,0)),"",VLOOKUP(A6,'Cadastro - Espelho (não editar)'!$A$3:$H$3204,8,0))</f>
        <v>81998726312</v>
      </c>
      <c r="D6" s="11" t="b">
        <v>1</v>
      </c>
      <c r="E6" s="11" t="s">
        <v>137</v>
      </c>
      <c r="F6" s="147">
        <f>IF(ISNA(VLOOKUP(A6,'Cadastro - Espelho (não editar)'!$A$3:$L$3204,12,0)),"",VLOOKUP(A6,'Cadastro - Espelho (não editar)'!$A$3:$L$3204,12,0))</f>
        <v>0</v>
      </c>
      <c r="G6" s="11" t="s">
        <v>5053</v>
      </c>
      <c r="H6" s="148" t="s">
        <v>5060</v>
      </c>
      <c r="I6" s="11" t="s">
        <v>4950</v>
      </c>
      <c r="J6" s="11">
        <v>704607721393630</v>
      </c>
      <c r="K6" s="11" t="s">
        <v>5056</v>
      </c>
      <c r="M6" s="105" t="str">
        <f t="shared" si="1"/>
        <v>Olá, VIVIANE, Espero que você esteja bem! Somos da equipe do ATENDE GESTANTE 🤰🏽👩🏽‍🍼. Realizamos um atendimento de uma gestante do seu território. Acompanhe detalhes do nosso atendimento no histórico do prontuário PEC E-SUS APS. 👩🏽‍⚕️💻 Seguem os dados da usuária: Unidade: CS Romildo GomesNome: Joyce Silva Prazeres CNS: 704607721393630 Caso deseje apoio para discutir ou manejar esse caso ou outro caso com uma de nossas enfermeiras ou médicas obstetras, agende uma teleinterconsulta conosco. Clique aqui 👇🏾</v>
      </c>
    </row>
    <row r="7" customHeight="1" spans="1:13">
      <c r="A7" s="11" t="s">
        <v>5061</v>
      </c>
      <c r="B7" s="145" t="str">
        <f t="shared" si="0"/>
        <v>ERICKA</v>
      </c>
      <c r="C7" s="11">
        <f>IF(ISNA(VLOOKUP(A7,'Cadastro - Espelho (não editar)'!$A$3:$H$3204,8,0)),"",VLOOKUP(A7,'Cadastro - Espelho (não editar)'!$A$3:$H$3204,8,0))</f>
        <v>0</v>
      </c>
      <c r="D7" s="11" t="b">
        <v>0</v>
      </c>
      <c r="F7" s="147">
        <f>IF(ISNA(VLOOKUP(A7,'Cadastro - Espelho (não editar)'!$A$3:$L$3204,12,0)),"",VLOOKUP(A7,'Cadastro - Espelho (não editar)'!$A$3:$L$3204,12,0))</f>
        <v>0</v>
      </c>
      <c r="G7" s="11" t="s">
        <v>5053</v>
      </c>
      <c r="H7" s="152" t="s">
        <v>5062</v>
      </c>
      <c r="I7" s="11" t="s">
        <v>3423</v>
      </c>
      <c r="J7" s="11">
        <v>707105809407820</v>
      </c>
      <c r="M7" s="105" t="str">
        <f t="shared" si="1"/>
        <v>Olá, ERICKA, Espero que você esteja bem! Somos da equipe do ATENDE GESTANTE 🤰🏽👩🏽‍🍼. Realizamos um atendimento de uma gestante do seu território. Acompanhe detalhes do nosso atendimento no histórico do prontuário PEC E-SUS APS. 👩🏽‍⚕️💻 Seguem os dados da usuária: Unidade: Usf BarreirasNome: Iasmim Sales de Santana Silva CNS: 707105809407820 Caso deseje apoio para discutir ou manejar esse caso ou outro caso com uma de nossas enfermeiras ou médicas obstetras, agende uma teleinterconsulta conosco. Clique aqui 👇🏾</v>
      </c>
    </row>
    <row r="8" customHeight="1" spans="1:13">
      <c r="A8" s="11" t="s">
        <v>5063</v>
      </c>
      <c r="B8" s="145" t="str">
        <f t="shared" si="0"/>
        <v>EDNALVA</v>
      </c>
      <c r="C8" s="27">
        <f>IF(ISNA(VLOOKUP(A8,'Cadastro - Espelho (não editar)'!$A$3:$H$3204,8,0)),"",VLOOKUP(A8,'Cadastro - Espelho (não editar)'!$A$3:$H$3204,8,0))</f>
        <v>81991620069</v>
      </c>
      <c r="D8" s="11" t="b">
        <v>1</v>
      </c>
      <c r="E8" s="11" t="s">
        <v>137</v>
      </c>
      <c r="F8" s="147">
        <f>IF(ISNA(VLOOKUP(A8,'Cadastro - Espelho (não editar)'!$A$3:$L$3204,12,0)),"",VLOOKUP(A8,'Cadastro - Espelho (não editar)'!$A$3:$L$3204,12,0))</f>
        <v>0</v>
      </c>
      <c r="G8" s="11" t="s">
        <v>5053</v>
      </c>
      <c r="H8" s="148" t="s">
        <v>5064</v>
      </c>
      <c r="I8" s="11" t="s">
        <v>4967</v>
      </c>
      <c r="J8" s="11">
        <v>708704169647495</v>
      </c>
      <c r="K8" s="11" t="s">
        <v>5056</v>
      </c>
      <c r="M8" s="105" t="str">
        <f t="shared" si="1"/>
        <v>Olá, EDNALVA, Espero que você esteja bem! Somos da equipe do ATENDE GESTANTE 🤰🏽👩🏽‍🍼. Realizamos um atendimento de uma gestante do seu território. Acompanhe detalhes do nosso atendimento no histórico do prontuário PEC E-SUS APS. 👩🏽‍⚕️💻 Seguem os dados da usuária: Unidade: Usf Joaquim Costa CarvalhoNome: Ellen Mayra da Silva Ferreira CNS: 708704169647495 Caso deseje apoio para discutir ou manejar esse caso ou outro caso com uma de nossas enfermeiras ou médicas obstetras, agende uma teleinterconsulta conosco. Clique aqui 👇🏾</v>
      </c>
    </row>
    <row r="9" customHeight="1" spans="1:13">
      <c r="A9" s="11" t="s">
        <v>5065</v>
      </c>
      <c r="B9" s="145" t="str">
        <f t="shared" si="0"/>
        <v>MARIA</v>
      </c>
      <c r="C9" s="27">
        <f>IF(ISNA(VLOOKUP(A9,'Cadastro - Espelho (não editar)'!$A$3:$H$3204,8,0)),"",VLOOKUP(A9,'Cadastro - Espelho (não editar)'!$A$3:$H$3204,8,0))</f>
        <v>81997041276</v>
      </c>
      <c r="D9" s="11" t="b">
        <v>1</v>
      </c>
      <c r="E9" s="11" t="s">
        <v>137</v>
      </c>
      <c r="F9" s="147">
        <f>IF(ISNA(VLOOKUP(A9,'Cadastro - Espelho (não editar)'!$A$3:$L$3204,12,0)),"",VLOOKUP(A9,'Cadastro - Espelho (não editar)'!$A$3:$L$3204,12,0))</f>
        <v>0</v>
      </c>
      <c r="G9" s="11" t="s">
        <v>5053</v>
      </c>
      <c r="H9" s="148" t="s">
        <v>5064</v>
      </c>
      <c r="I9" s="11" t="s">
        <v>4967</v>
      </c>
      <c r="J9" s="11">
        <v>708704169647495</v>
      </c>
      <c r="K9" s="11" t="s">
        <v>5056</v>
      </c>
      <c r="M9" s="105" t="str">
        <f t="shared" si="1"/>
        <v>Olá, MARIA, Espero que você esteja bem! Somos da equipe do ATENDE GESTANTE 🤰🏽👩🏽‍🍼. Realizamos um atendimento de uma gestante do seu território. Acompanhe detalhes do nosso atendimento no histórico do prontuário PEC E-SUS APS. 👩🏽‍⚕️💻 Seguem os dados da usuária: Unidade: Usf Joaquim Costa CarvalhoNome: Ellen Mayra da Silva Ferreira CNS: 708704169647495 Caso deseje apoio para discutir ou manejar esse caso ou outro caso com uma de nossas enfermeiras ou médicas obstetras, agende uma teleinterconsulta conosco. Clique aqui 👇🏾</v>
      </c>
    </row>
    <row r="10" customHeight="1" spans="1:13">
      <c r="A10" s="11" t="s">
        <v>5066</v>
      </c>
      <c r="B10" s="145" t="str">
        <f t="shared" si="0"/>
        <v>Selma</v>
      </c>
      <c r="C10" s="27">
        <f>IF(ISNA(VLOOKUP(A10,'Cadastro - Espelho (não editar)'!$A$3:$H$3204,8,0)),"",VLOOKUP(A10,'Cadastro - Espelho (não editar)'!$A$3:$H$3204,8,0))</f>
        <v>81981708880</v>
      </c>
      <c r="D10" s="11" t="b">
        <v>1</v>
      </c>
      <c r="E10" s="11" t="s">
        <v>137</v>
      </c>
      <c r="F10" s="147">
        <f>IF(ISNA(VLOOKUP(A10,'Cadastro - Espelho (não editar)'!$A$3:$L$3204,12,0)),"",VLOOKUP(A10,'Cadastro - Espelho (não editar)'!$A$3:$L$3204,12,0))</f>
        <v>0</v>
      </c>
      <c r="G10" s="11" t="s">
        <v>5053</v>
      </c>
      <c r="H10" s="148" t="s">
        <v>5067</v>
      </c>
      <c r="I10" s="11" t="s">
        <v>4468</v>
      </c>
      <c r="J10" s="11">
        <v>700004688616605</v>
      </c>
      <c r="K10" s="11" t="s">
        <v>5056</v>
      </c>
      <c r="M10" s="105" t="str">
        <f t="shared" si="1"/>
        <v>Olá, Selma, Espero que você esteja bem! Somos da equipe do ATENDE GESTANTE 🤰🏽👩🏽‍🍼. Realizamos um atendimento de uma gestante do seu território. Acompanhe detalhes do nosso atendimento no histórico do prontuário PEC E-SUS APS. 👩🏽‍⚕️💻 Seguem os dados da usuária: Unidade: Usf Bidu KrauseNome: Ana Caroline Bezerra da Silva CNS: 700004688616605 Caso deseje apoio para discutir ou manejar esse caso ou outro caso com uma de nossas enfermeiras ou médicas obstetras, agende uma teleinterconsulta conosco. Clique aqui 👇🏾</v>
      </c>
    </row>
    <row r="11" customHeight="1" spans="1:13">
      <c r="A11" s="11" t="s">
        <v>5068</v>
      </c>
      <c r="B11" s="145" t="str">
        <f t="shared" si="0"/>
        <v>POLLYANA</v>
      </c>
      <c r="C11" s="27">
        <f>IF(ISNA(VLOOKUP(A11,'Cadastro - Espelho (não editar)'!$A$3:$H$3204,8,0)),"",VLOOKUP(A11,'Cadastro - Espelho (não editar)'!$A$3:$H$3204,8,0))</f>
        <v>81995253681</v>
      </c>
      <c r="D11" s="11" t="b">
        <v>1</v>
      </c>
      <c r="E11" s="11" t="s">
        <v>137</v>
      </c>
      <c r="F11" s="147">
        <f>IF(ISNA(VLOOKUP(A11,'Cadastro - Espelho (não editar)'!$A$3:$L$3204,12,0)),"",VLOOKUP(A11,'Cadastro - Espelho (não editar)'!$A$3:$L$3204,12,0))</f>
        <v>0</v>
      </c>
      <c r="G11" s="11" t="s">
        <v>5053</v>
      </c>
      <c r="H11" s="152" t="s">
        <v>5069</v>
      </c>
      <c r="I11" s="11" t="s">
        <v>2167</v>
      </c>
      <c r="J11" s="11">
        <v>898006177047124</v>
      </c>
      <c r="K11" s="11" t="s">
        <v>5056</v>
      </c>
      <c r="M11" s="105" t="str">
        <f t="shared" si="1"/>
        <v>Olá, POLLYANA, Espero que você esteja bem! Somos da equipe do ATENDE GESTANTE 🤰🏽👩🏽‍🍼. Realizamos um atendimento de uma gestante do seu território. Acompanhe detalhes do nosso atendimento no histórico do prontuário PEC E-SUS APS. 👩🏽‍⚕️💻 Seguem os dados da usuária: Unidade: Usf da MacaxeiraNome: Maria Nathalia da Silva Vasconcelos CNS: 898006177047124 Caso deseje apoio para discutir ou manejar esse caso ou outro caso com uma de nossas enfermeiras ou médicas obstetras, agende uma teleinterconsulta conosco. Clique aqui 👇🏾</v>
      </c>
    </row>
    <row r="12" customHeight="1" spans="1:13">
      <c r="A12" s="11" t="s">
        <v>5070</v>
      </c>
      <c r="B12" s="145" t="str">
        <f t="shared" si="0"/>
        <v>BRENNO</v>
      </c>
      <c r="C12" s="153">
        <v>68992100123</v>
      </c>
      <c r="D12" s="11" t="b">
        <v>1</v>
      </c>
      <c r="E12" s="11" t="s">
        <v>137</v>
      </c>
      <c r="F12" s="147" t="str">
        <f>IF(ISNA(VLOOKUP(A12,'Cadastro - Espelho (não editar)'!$A$3:$L$3204,12,0)),"",VLOOKUP(A12,'Cadastro - Espelho (não editar)'!$A$3:$L$3204,12,0))</f>
        <v/>
      </c>
      <c r="G12" s="11" t="s">
        <v>5053</v>
      </c>
      <c r="H12" s="152" t="s">
        <v>5071</v>
      </c>
      <c r="I12" s="11" t="s">
        <v>4899</v>
      </c>
      <c r="J12" s="11">
        <v>700007989953107</v>
      </c>
      <c r="K12" s="11" t="s">
        <v>5056</v>
      </c>
      <c r="M12" s="105" t="str">
        <f t="shared" si="1"/>
        <v>Olá, BRENNO, Espero que você esteja bem! Somos da equipe do ATENDE GESTANTE 🤰🏽👩🏽‍🍼. Realizamos um atendimento de uma gestante do seu território. Acompanhe detalhes do nosso atendimento no histórico do prontuário PEC E-SUS APS. 👩🏽‍⚕️💻 Seguem os dados da usuária: Unidade: Usf CoqueNome: Jessica Pinheiro da Silva CNS: 700007989953107 Caso deseje apoio para discutir ou manejar esse caso ou outro caso com uma de nossas enfermeiras ou médicas obstetras, agende uma teleinterconsulta conosco. Clique aqui 👇🏾</v>
      </c>
    </row>
    <row r="13" customHeight="1" spans="1:13">
      <c r="A13" s="11" t="s">
        <v>5072</v>
      </c>
      <c r="B13" s="145" t="str">
        <f t="shared" si="0"/>
        <v>MAIANA</v>
      </c>
      <c r="C13" s="27">
        <f>IF(ISNA(VLOOKUP(A13,'Cadastro - Espelho (não editar)'!$A$3:$H$3204,8,0)),"",VLOOKUP(A13,'Cadastro - Espelho (não editar)'!$A$3:$H$3204,8,0))</f>
        <v>81987989296</v>
      </c>
      <c r="D13" s="11" t="b">
        <v>1</v>
      </c>
      <c r="E13" s="11" t="s">
        <v>137</v>
      </c>
      <c r="F13" s="147">
        <f>IF(ISNA(VLOOKUP(A13,'Cadastro - Espelho (não editar)'!$A$3:$L$3204,12,0)),"",VLOOKUP(A13,'Cadastro - Espelho (não editar)'!$A$3:$L$3204,12,0))</f>
        <v>0</v>
      </c>
      <c r="G13" s="11" t="s">
        <v>5053</v>
      </c>
      <c r="H13" s="148" t="s">
        <v>5073</v>
      </c>
      <c r="I13" s="160" t="s">
        <v>4981</v>
      </c>
      <c r="J13" s="160">
        <v>700900983777493</v>
      </c>
      <c r="K13" s="11" t="s">
        <v>5056</v>
      </c>
      <c r="M13" s="105" t="str">
        <f t="shared" si="1"/>
        <v>Olá, MAIANA, Espero que você esteja bem! Somos da equipe do ATENDE GESTANTE 🤰🏽👩🏽‍🍼. Realizamos um atendimento de uma gestante do seu território. Acompanhe detalhes do nosso atendimento no histórico do prontuário PEC E-SUS APS. 👩🏽‍⚕️💻 Seguem os dados da usuária: Unidade: CS Ver Romildo GomesNome: Stefany Souza Silva CNS: 700900983777493 Caso deseje apoio para discutir ou manejar esse caso ou outro caso com uma de nossas enfermeiras ou médicas obstetras, agende uma teleinterconsulta conosco. Clique aqui 👇🏾</v>
      </c>
    </row>
    <row r="14" customHeight="1" spans="1:13">
      <c r="A14" s="11" t="s">
        <v>5074</v>
      </c>
      <c r="B14" s="145" t="str">
        <f t="shared" si="0"/>
        <v>CINTHIA</v>
      </c>
      <c r="C14" s="27">
        <f>IF(ISNA(VLOOKUP(A14,'Cadastro - Espelho (não editar)'!$A$3:$H$3204,8,0)),"",VLOOKUP(A14,'Cadastro - Espelho (não editar)'!$A$3:$H$3204,8,0))</f>
        <v>81991116211</v>
      </c>
      <c r="D14" s="11" t="b">
        <v>1</v>
      </c>
      <c r="E14" s="11" t="s">
        <v>137</v>
      </c>
      <c r="F14" s="147">
        <f>IF(ISNA(VLOOKUP(A14,'Cadastro - Espelho (não editar)'!$A$3:$L$3204,12,0)),"",VLOOKUP(A14,'Cadastro - Espelho (não editar)'!$A$3:$L$3204,12,0))</f>
        <v>0</v>
      </c>
      <c r="G14" s="11" t="s">
        <v>5075</v>
      </c>
      <c r="H14" s="148" t="s">
        <v>5076</v>
      </c>
      <c r="I14" s="11" t="s">
        <v>4986</v>
      </c>
      <c r="J14" s="11">
        <v>707306000757270</v>
      </c>
      <c r="K14" s="11" t="s">
        <v>5056</v>
      </c>
      <c r="M14" s="105" t="str">
        <f t="shared" si="1"/>
        <v>Olá, CINTHIA, Espero que você esteja bem! Somos da equipe do ATENDE GESTANTE 🤰🏽👩🏽‍🍼. Realizamos um atendimento de uma puérpera do seu território. Acompanhe detalhes do nosso atendimento no histórico do prontuário PEC E-SUS APS. 👩🏽‍⚕️💻 Seguem os dados da usuária: Unidade: Usf Vila UniaoNome: Andreza Goncalves do Nascimento CNS: 707306000757270 Caso deseje apoio para discutir ou manejar esse caso ou outro caso com uma de nossas enfermeiras ou médicas obstetras, agende uma teleinterconsulta conosco. Clique aqui 👇🏾</v>
      </c>
    </row>
    <row r="15" customHeight="1" spans="1:13">
      <c r="A15" s="11" t="s">
        <v>5077</v>
      </c>
      <c r="B15" s="145" t="str">
        <f t="shared" si="0"/>
        <v>ANDRE</v>
      </c>
      <c r="C15" s="27">
        <f>IF(ISNA(VLOOKUP(A15,'Cadastro - Espelho (não editar)'!$A$3:$H$3204,8,0)),"",VLOOKUP(A15,'Cadastro - Espelho (não editar)'!$A$3:$H$3204,8,0))</f>
        <v>81979156194</v>
      </c>
      <c r="D15" s="11" t="b">
        <v>1</v>
      </c>
      <c r="E15" s="11" t="s">
        <v>137</v>
      </c>
      <c r="F15" s="147">
        <f>IF(ISNA(VLOOKUP(A15,'Cadastro - Espelho (não editar)'!$A$3:$L$3204,12,0)),"",VLOOKUP(A15,'Cadastro - Espelho (não editar)'!$A$3:$L$3204,12,0))</f>
        <v>0</v>
      </c>
      <c r="G15" s="11" t="s">
        <v>5053</v>
      </c>
      <c r="H15" s="152" t="s">
        <v>5078</v>
      </c>
      <c r="I15" s="11" t="s">
        <v>4992</v>
      </c>
      <c r="J15" s="11">
        <v>708508517123080</v>
      </c>
      <c r="K15" s="11" t="s">
        <v>5056</v>
      </c>
      <c r="M15" s="105" t="str">
        <f t="shared" si="1"/>
        <v>Olá, ANDRE, Espero que você esteja bem! Somos da equipe do ATENDE GESTANTE 🤰🏽👩🏽‍🍼. Realizamos um atendimento de uma gestante do seu território. Acompanhe detalhes do nosso atendimento no histórico do prontuário PEC E-SUS APS. 👩🏽‍⚕️💻 Seguem os dados da usuária: Unidade: Usf Vila das AeromocasNome: Adrielly Emille Goncalves de Lima CNS: 708508517123080 Caso deseje apoio para discutir ou manejar esse caso ou outro caso com uma de nossas enfermeiras ou médicas obstetras, agende uma teleinterconsulta conosco. Clique aqui 👇🏾</v>
      </c>
    </row>
    <row r="16" customHeight="1" spans="1:13">
      <c r="A16" s="11" t="s">
        <v>5079</v>
      </c>
      <c r="B16" s="145" t="str">
        <f t="shared" si="0"/>
        <v>PATRICIA</v>
      </c>
      <c r="C16" s="27">
        <f>IF(ISNA(VLOOKUP(A16,'Cadastro - Espelho (não editar)'!$A$3:$H$3204,8,0)),"",VLOOKUP(A16,'Cadastro - Espelho (não editar)'!$A$3:$H$3204,8,0))</f>
        <v>81986279278</v>
      </c>
      <c r="D16" s="11" t="b">
        <v>1</v>
      </c>
      <c r="E16" s="11" t="s">
        <v>137</v>
      </c>
      <c r="F16" s="147">
        <f>IF(ISNA(VLOOKUP(A16,'Cadastro - Espelho (não editar)'!$A$3:$L$3204,12,0)),"",VLOOKUP(A16,'Cadastro - Espelho (não editar)'!$A$3:$L$3204,12,0))</f>
        <v>0</v>
      </c>
      <c r="G16" s="11" t="s">
        <v>5075</v>
      </c>
      <c r="H16" s="152" t="s">
        <v>5080</v>
      </c>
      <c r="I16" s="11" t="s">
        <v>4995</v>
      </c>
      <c r="J16" s="11">
        <v>706303762885274</v>
      </c>
      <c r="K16" s="11" t="s">
        <v>5056</v>
      </c>
      <c r="M16" s="105" t="str">
        <f t="shared" si="1"/>
        <v>Olá, PATRICIA, Espero que você esteja bem! Somos da equipe do ATENDE GESTANTE 🤰🏽👩🏽‍🍼. Realizamos um atendimento de uma puérpera do seu território. Acompanhe detalhes do nosso atendimento no histórico do prontuário PEC E-SUS APS. 👩🏽‍⚕️💻 Seguem os dados da usuária: Unidade: Usf Alto dos Coqueiros Corrego da JaqueiraNome: Layla Beatriz Xavier Correia CNS: 706303762885274 Caso deseje apoio para discutir ou manejar esse caso ou outro caso com uma de nossas enfermeiras ou médicas obstetras, agende uma teleinterconsulta conosco. Clique aqui 👇🏾</v>
      </c>
    </row>
    <row r="17" customHeight="1" spans="1:13">
      <c r="A17" s="11"/>
      <c r="B17" s="145" t="e">
        <f t="shared" si="0"/>
        <v>#VALUE!</v>
      </c>
      <c r="C17" s="11" t="str">
        <f>IF(ISNA(VLOOKUP(A17,'Cadastro - Espelho (não editar)'!$A$3:$H$3204,8,0)),"",VLOOKUP(A17,'Cadastro - Espelho (não editar)'!$A$3:$H$3204,8,0))</f>
        <v/>
      </c>
      <c r="D17" s="11" t="b">
        <v>0</v>
      </c>
      <c r="F17" s="147" t="str">
        <f>IF(ISNA(VLOOKUP(A17,'Cadastro - Espelho (não editar)'!$A$3:$L$3204,12,0)),"",VLOOKUP(A17,'Cadastro - Espelho (não editar)'!$A$3:$L$3204,12,0))</f>
        <v/>
      </c>
      <c r="G17" s="11" t="s">
        <v>5053</v>
      </c>
      <c r="H17" s="148"/>
      <c r="I17" s="11" t="s">
        <v>4999</v>
      </c>
      <c r="J17" s="11">
        <v>708205632095841</v>
      </c>
      <c r="M17" s="105" t="e">
        <f t="shared" si="1"/>
        <v>#VALUE!</v>
      </c>
    </row>
    <row r="18" customHeight="1" spans="1:13">
      <c r="A18" s="11" t="s">
        <v>5081</v>
      </c>
      <c r="B18" s="145" t="str">
        <f t="shared" si="0"/>
        <v>PAULA</v>
      </c>
      <c r="C18" s="27">
        <f>IF(ISNA(VLOOKUP(A18,'Cadastro - Espelho (não editar)'!$A$3:$H$3204,8,0)),"",VLOOKUP(A18,'Cadastro - Espelho (não editar)'!$A$3:$H$3204,8,0))</f>
        <v>81996070106</v>
      </c>
      <c r="D18" s="11" t="b">
        <v>1</v>
      </c>
      <c r="E18" s="11" t="s">
        <v>137</v>
      </c>
      <c r="F18" s="147">
        <f>IF(ISNA(VLOOKUP(A18,'Cadastro - Espelho (não editar)'!$A$3:$L$3204,12,0)),"",VLOOKUP(A18,'Cadastro - Espelho (não editar)'!$A$3:$L$3204,12,0))</f>
        <v>0</v>
      </c>
      <c r="G18" s="11" t="s">
        <v>5053</v>
      </c>
      <c r="H18" s="152" t="s">
        <v>5082</v>
      </c>
      <c r="I18" s="11" t="s">
        <v>5003</v>
      </c>
      <c r="J18" s="11">
        <v>703101891132960</v>
      </c>
      <c r="K18" s="11" t="s">
        <v>5056</v>
      </c>
      <c r="M18" s="105" t="str">
        <f t="shared" si="1"/>
        <v>Olá, PAULA, Espero que você esteja bem! Somos da equipe do ATENDE GESTANTE 🤰🏽👩🏽‍🍼. Realizamos um atendimento de uma gestante do seu território. Acompanhe detalhes do nosso atendimento no histórico do prontuário PEC E-SUS APS. 👩🏽‍⚕️💻 Seguem os dados da usuária: Unidade: Upinha Usf Padre Jose EdwaldoNome: Bianca Xaiane Marques Lira Paz CNS: 703101891132960 Caso deseje apoio para discutir ou manejar esse caso ou outro caso com uma de nossas enfermeiras ou médicas obstetras, agende uma teleinterconsulta conosco. Clique aqui 👇🏾</v>
      </c>
    </row>
    <row r="19" customHeight="1" spans="1:13">
      <c r="A19" s="11" t="s">
        <v>5083</v>
      </c>
      <c r="B19" s="145" t="str">
        <f t="shared" si="0"/>
        <v>JULIANA</v>
      </c>
      <c r="C19" s="27">
        <f>IF(ISNA(VLOOKUP(A19,'Cadastro - Espelho (não editar)'!$A$3:$H$3204,8,0)),"",VLOOKUP(A19,'Cadastro - Espelho (não editar)'!$A$3:$H$3204,8,0))</f>
        <v>81985475356</v>
      </c>
      <c r="D19" s="11" t="b">
        <v>1</v>
      </c>
      <c r="E19" s="11" t="s">
        <v>137</v>
      </c>
      <c r="F19" s="147">
        <f>IF(ISNA(VLOOKUP(A19,'Cadastro - Espelho (não editar)'!$A$3:$L$3204,12,0)),"",VLOOKUP(A19,'Cadastro - Espelho (não editar)'!$A$3:$L$3204,12,0))</f>
        <v>0</v>
      </c>
      <c r="G19" s="11" t="s">
        <v>5053</v>
      </c>
      <c r="H19" s="152" t="s">
        <v>5084</v>
      </c>
      <c r="I19" s="11" t="s">
        <v>5006</v>
      </c>
      <c r="J19" s="11">
        <v>700506311443651</v>
      </c>
      <c r="K19" s="11" t="s">
        <v>5056</v>
      </c>
      <c r="M19" s="105" t="str">
        <f t="shared" si="1"/>
        <v>Olá, JULIANA, Espero que você esteja bem! Somos da equipe do ATENDE GESTANTE 🤰🏽👩🏽‍🍼. Realizamos um atendimento de uma gestante do seu território. Acompanhe detalhes do nosso atendimento no histórico do prontuário PEC E-SUS APS. 👩🏽‍⚕️💻 Seguem os dados da usuária: Unidade: CS Ina Rosa BorgesNome: Josilene de Oliveira Nunes CNS: 700506311443651 Caso deseje apoio para discutir ou manejar esse caso ou outro caso com uma de nossas enfermeiras ou médicas obstetras, agende uma teleinterconsulta conosco. Clique aqui 👇🏾</v>
      </c>
    </row>
    <row r="20" customHeight="1" spans="1:13">
      <c r="A20" s="11" t="s">
        <v>5085</v>
      </c>
      <c r="B20" s="145" t="str">
        <f t="shared" si="0"/>
        <v>MARIA</v>
      </c>
      <c r="C20" s="27">
        <f>IF(ISNA(VLOOKUP(A20,'Cadastro - Espelho (não editar)'!$A$3:$H$3204,8,0)),"",VLOOKUP(A20,'Cadastro - Espelho (não editar)'!$A$3:$H$3204,8,0))</f>
        <v>81999687113</v>
      </c>
      <c r="D20" s="11" t="b">
        <v>1</v>
      </c>
      <c r="E20" s="11" t="s">
        <v>137</v>
      </c>
      <c r="F20" s="147">
        <f>IF(ISNA(VLOOKUP(A20,'Cadastro - Espelho (não editar)'!$A$3:$L$3204,12,0)),"",VLOOKUP(A20,'Cadastro - Espelho (não editar)'!$A$3:$L$3204,12,0))</f>
        <v>0</v>
      </c>
      <c r="G20" s="11" t="s">
        <v>5053</v>
      </c>
      <c r="H20" s="152" t="s">
        <v>5086</v>
      </c>
      <c r="I20" s="11" t="s">
        <v>2971</v>
      </c>
      <c r="J20" s="11">
        <v>702401092249521</v>
      </c>
      <c r="K20" s="11" t="s">
        <v>5056</v>
      </c>
      <c r="M20" s="105" t="str">
        <f t="shared" si="1"/>
        <v>Olá, MARIA, Espero que você esteja bem! Somos da equipe do ATENDE GESTANTE 🤰🏽👩🏽‍🍼. Realizamos um atendimento de uma gestante do seu território. Acompanhe detalhes do nosso atendimento no histórico do prontuário PEC E-SUS APS. 👩🏽‍⚕️💻 Seguem os dados da usuária: Unidade: Usf Rosa SelvagemNome: Sheila Cruz de Lemos CNS: 702401092249521 Caso deseje apoio para discutir ou manejar esse caso ou outro caso com uma de nossas enfermeiras ou médicas obstetras, agende uma teleinterconsulta conosco. Clique aqui 👇🏾</v>
      </c>
    </row>
    <row r="21" customHeight="1" spans="1:13">
      <c r="A21" s="11" t="s">
        <v>5087</v>
      </c>
      <c r="B21" s="145" t="str">
        <f t="shared" si="0"/>
        <v>ROBERTA</v>
      </c>
      <c r="C21" s="27">
        <f>IF(ISNA(VLOOKUP(A21,'Cadastro - Espelho (não editar)'!$A$3:$H$3204,8,0)),"",VLOOKUP(A21,'Cadastro - Espelho (não editar)'!$A$3:$H$3204,8,0))</f>
        <v>81982485519</v>
      </c>
      <c r="D21" s="11" t="b">
        <v>1</v>
      </c>
      <c r="E21" s="11" t="s">
        <v>137</v>
      </c>
      <c r="F21" s="147">
        <f>IF(ISNA(VLOOKUP(A21,'Cadastro - Espelho (não editar)'!$A$3:$L$3204,12,0)),"",VLOOKUP(A21,'Cadastro - Espelho (não editar)'!$A$3:$L$3204,12,0))</f>
        <v>0</v>
      </c>
      <c r="G21" s="11" t="s">
        <v>5053</v>
      </c>
      <c r="H21" s="152" t="s">
        <v>5088</v>
      </c>
      <c r="I21" s="11" t="s">
        <v>5027</v>
      </c>
      <c r="J21" s="11">
        <v>700006866310304</v>
      </c>
      <c r="K21" s="11" t="s">
        <v>5056</v>
      </c>
      <c r="M21" s="105" t="str">
        <f t="shared" si="1"/>
        <v>Olá, ROBERTA, Espero que você esteja bem! Somos da equipe do ATENDE GESTANTE 🤰🏽👩🏽‍🍼. Realizamos um atendimento de uma gestante do seu território. Acompanhe detalhes do nosso atendimento no histórico do prontuário PEC E-SUS APS. 👩🏽‍⚕️💻 Seguem os dados da usuária: Unidade: Usf Coelhos IINome: Pamela Vitoria da Silva Santos CNS: 700006866310304 Caso deseje apoio para discutir ou manejar esse caso ou outro caso com uma de nossas enfermeiras ou médicas obstetras, agende uma teleinterconsulta conosco. Clique aqui 👇🏾</v>
      </c>
    </row>
    <row r="22" customHeight="1" spans="1:13">
      <c r="A22" s="154" t="s">
        <v>5089</v>
      </c>
      <c r="B22" s="145" t="str">
        <f t="shared" si="0"/>
        <v>SHIRLENE</v>
      </c>
      <c r="C22" s="27">
        <f>IF(ISNA(VLOOKUP(A22,'Cadastro - Espelho (não editar)'!$A$3:$H$3204,8,0)),"",VLOOKUP(A22,'Cadastro - Espelho (não editar)'!$A$3:$H$3204,8,0))</f>
        <v>81988843980</v>
      </c>
      <c r="D22" s="11" t="b">
        <v>1</v>
      </c>
      <c r="E22" s="11" t="s">
        <v>137</v>
      </c>
      <c r="F22" s="147">
        <f>IF(ISNA(VLOOKUP(A22,'Cadastro - Espelho (não editar)'!$A$3:$L$3204,12,0)),"",VLOOKUP(A22,'Cadastro - Espelho (não editar)'!$A$3:$L$3204,12,0))</f>
        <v>0</v>
      </c>
      <c r="G22" s="11" t="s">
        <v>5053</v>
      </c>
      <c r="H22" s="152" t="s">
        <v>5088</v>
      </c>
      <c r="I22" s="11" t="s">
        <v>5027</v>
      </c>
      <c r="J22" s="11">
        <v>700006866310304</v>
      </c>
      <c r="K22" s="11" t="s">
        <v>5056</v>
      </c>
      <c r="M22" s="105" t="str">
        <f t="shared" si="1"/>
        <v>Olá, SHIRLENE, Espero que você esteja bem! Somos da equipe do ATENDE GESTANTE 🤰🏽👩🏽‍🍼. Realizamos um atendimento de uma gestante do seu território. Acompanhe detalhes do nosso atendimento no histórico do prontuário PEC E-SUS APS. 👩🏽‍⚕️💻 Seguem os dados da usuária: Unidade: Usf Coelhos IINome: Pamela Vitoria da Silva Santos CNS: 700006866310304 Caso deseje apoio para discutir ou manejar esse caso ou outro caso com uma de nossas enfermeiras ou médicas obstetras, agende uma teleinterconsulta conosco. Clique aqui 👇🏾</v>
      </c>
    </row>
    <row r="23" customHeight="1" spans="1:13">
      <c r="A23" s="11"/>
      <c r="B23" s="145" t="e">
        <f t="shared" si="0"/>
        <v>#VALUE!</v>
      </c>
      <c r="C23" s="11" t="str">
        <f>IF(ISNA(VLOOKUP(A23,'Cadastro - Espelho (não editar)'!$A$3:$H$3204,8,0)),"",VLOOKUP(A23,'Cadastro - Espelho (não editar)'!$A$3:$H$3204,8,0))</f>
        <v/>
      </c>
      <c r="D23" s="11" t="b">
        <v>0</v>
      </c>
      <c r="F23" s="147" t="str">
        <f>IF(ISNA(VLOOKUP(A23,'Cadastro - Espelho (não editar)'!$A$3:$L$3204,12,0)),"",VLOOKUP(A23,'Cadastro - Espelho (não editar)'!$A$3:$L$3204,12,0))</f>
        <v/>
      </c>
      <c r="G23" s="11" t="s">
        <v>5053</v>
      </c>
      <c r="H23" s="148"/>
      <c r="M23" s="105" t="e">
        <f t="shared" si="1"/>
        <v>#VALUE!</v>
      </c>
    </row>
    <row r="24" customHeight="1" spans="1:13">
      <c r="A24" s="11"/>
      <c r="B24" s="155" t="e">
        <f t="shared" si="0"/>
        <v>#VALUE!</v>
      </c>
      <c r="C24" s="11" t="str">
        <f>IF(ISNA(VLOOKUP(A24,'Cadastro - Espelho (não editar)'!$A$3:$H$3204,8,0)),"",VLOOKUP(A24,'Cadastro - Espelho (não editar)'!$A$3:$H$3204,8,0))</f>
        <v/>
      </c>
      <c r="D24" s="11" t="b">
        <v>0</v>
      </c>
      <c r="F24" s="147" t="str">
        <f>IF(ISNA(VLOOKUP(A24,'Cadastro - Espelho (não editar)'!$A$3:$L$3204,12,0)),"",VLOOKUP(A24,'Cadastro - Espelho (não editar)'!$A$3:$L$3204,12,0))</f>
        <v/>
      </c>
      <c r="G24" s="11" t="s">
        <v>5053</v>
      </c>
      <c r="H24" s="148"/>
      <c r="M24" s="105" t="e">
        <f t="shared" si="1"/>
        <v>#VALUE!</v>
      </c>
    </row>
    <row r="25" customHeight="1" spans="1:13">
      <c r="A25" s="11"/>
      <c r="B25" s="145" t="e">
        <f t="shared" si="0"/>
        <v>#VALUE!</v>
      </c>
      <c r="C25" s="11" t="str">
        <f>IF(ISNA(VLOOKUP(A25,'Cadastro - Espelho (não editar)'!$A$3:$H$3204,8,0)),"",VLOOKUP(A25,'Cadastro - Espelho (não editar)'!$A$3:$H$3204,8,0))</f>
        <v/>
      </c>
      <c r="D25" s="11" t="b">
        <v>0</v>
      </c>
      <c r="F25" s="147" t="str">
        <f>IF(ISNA(VLOOKUP(A25,'Cadastro - Espelho (não editar)'!$A$3:$L$3204,12,0)),"",VLOOKUP(A25,'Cadastro - Espelho (não editar)'!$A$3:$L$3204,12,0))</f>
        <v/>
      </c>
      <c r="G25" s="11" t="s">
        <v>5053</v>
      </c>
      <c r="H25" s="148"/>
      <c r="M25" s="105" t="e">
        <f t="shared" si="1"/>
        <v>#VALUE!</v>
      </c>
    </row>
    <row r="26" customHeight="1" spans="1:13">
      <c r="A26" s="11"/>
      <c r="B26" s="145" t="e">
        <f t="shared" si="0"/>
        <v>#VALUE!</v>
      </c>
      <c r="C26" s="11" t="str">
        <f>IF(ISNA(VLOOKUP(A26,'Cadastro - Espelho (não editar)'!$A$3:$H$3204,8,0)),"",VLOOKUP(A26,'Cadastro - Espelho (não editar)'!$A$3:$H$3204,8,0))</f>
        <v/>
      </c>
      <c r="D26" s="11" t="b">
        <v>0</v>
      </c>
      <c r="F26" s="147" t="str">
        <f>IF(ISNA(VLOOKUP(A26,'Cadastro - Espelho (não editar)'!$A$3:$L$3204,12,0)),"",VLOOKUP(A26,'Cadastro - Espelho (não editar)'!$A$3:$L$3204,12,0))</f>
        <v/>
      </c>
      <c r="G26" s="11" t="s">
        <v>5053</v>
      </c>
      <c r="H26" s="148"/>
      <c r="M26" s="105" t="e">
        <f t="shared" si="1"/>
        <v>#VALUE!</v>
      </c>
    </row>
    <row r="27" customHeight="1" spans="1:13">
      <c r="A27" s="11"/>
      <c r="B27" s="145" t="e">
        <f t="shared" si="0"/>
        <v>#VALUE!</v>
      </c>
      <c r="C27" s="11" t="str">
        <f>IF(ISNA(VLOOKUP(A27,'Cadastro - Espelho (não editar)'!$A$3:$H$3204,8,0)),"",VLOOKUP(A27,'Cadastro - Espelho (não editar)'!$A$3:$H$3204,8,0))</f>
        <v/>
      </c>
      <c r="D27" s="11" t="b">
        <v>0</v>
      </c>
      <c r="F27" s="147" t="str">
        <f>IF(ISNA(VLOOKUP(A27,'Cadastro - Espelho (não editar)'!$A$3:$L$3204,12,0)),"",VLOOKUP(A27,'Cadastro - Espelho (não editar)'!$A$3:$L$3204,12,0))</f>
        <v/>
      </c>
      <c r="G27" s="11" t="s">
        <v>5053</v>
      </c>
      <c r="H27" s="148"/>
      <c r="M27" s="105" t="e">
        <f t="shared" si="1"/>
        <v>#VALUE!</v>
      </c>
    </row>
    <row r="28" customHeight="1" spans="1:13">
      <c r="A28" s="11"/>
      <c r="B28" s="145" t="e">
        <f t="shared" si="0"/>
        <v>#VALUE!</v>
      </c>
      <c r="C28" s="11" t="str">
        <f>IF(ISNA(VLOOKUP(A28,'Cadastro - Espelho (não editar)'!$A$3:$H$3204,8,0)),"",VLOOKUP(A28,'Cadastro - Espelho (não editar)'!$A$3:$H$3204,8,0))</f>
        <v/>
      </c>
      <c r="D28" s="11" t="b">
        <v>0</v>
      </c>
      <c r="F28" s="147" t="str">
        <f>IF(ISNA(VLOOKUP(A28,'Cadastro - Espelho (não editar)'!$A$3:$L$3204,12,0)),"",VLOOKUP(A28,'Cadastro - Espelho (não editar)'!$A$3:$L$3204,12,0))</f>
        <v/>
      </c>
      <c r="G28" s="11" t="s">
        <v>5053</v>
      </c>
      <c r="H28" s="148"/>
      <c r="M28" s="105" t="e">
        <f t="shared" si="1"/>
        <v>#VALUE!</v>
      </c>
    </row>
    <row r="29" customHeight="1" spans="1:13">
      <c r="A29" s="11"/>
      <c r="B29" s="155" t="e">
        <f t="shared" si="0"/>
        <v>#VALUE!</v>
      </c>
      <c r="C29" s="11" t="str">
        <f>IF(ISNA(VLOOKUP(A29,'Cadastro - Espelho (não editar)'!$A$3:$H$3204,8,0)),"",VLOOKUP(A29,'Cadastro - Espelho (não editar)'!$A$3:$H$3204,8,0))</f>
        <v/>
      </c>
      <c r="D29" s="11" t="b">
        <v>0</v>
      </c>
      <c r="F29" s="147" t="str">
        <f>IF(ISNA(VLOOKUP(A29,'Cadastro - Espelho (não editar)'!$A$3:$L$3204,12,0)),"",VLOOKUP(A29,'Cadastro - Espelho (não editar)'!$A$3:$L$3204,12,0))</f>
        <v/>
      </c>
      <c r="G29" s="11" t="s">
        <v>5053</v>
      </c>
      <c r="H29" s="148"/>
      <c r="M29" s="105" t="e">
        <f t="shared" si="1"/>
        <v>#VALUE!</v>
      </c>
    </row>
    <row r="30" customHeight="1" spans="1:13">
      <c r="A30" s="11"/>
      <c r="B30" s="145" t="e">
        <f t="shared" si="0"/>
        <v>#VALUE!</v>
      </c>
      <c r="C30" s="11" t="str">
        <f>IF(ISNA(VLOOKUP(A30,'Cadastro - Espelho (não editar)'!$A$3:$H$3204,8,0)),"",VLOOKUP(A30,'Cadastro - Espelho (não editar)'!$A$3:$H$3204,8,0))</f>
        <v/>
      </c>
      <c r="D30" s="11" t="b">
        <v>0</v>
      </c>
      <c r="F30" s="147" t="str">
        <f>IF(ISNA(VLOOKUP(A30,'Cadastro - Espelho (não editar)'!$A$3:$L$3204,12,0)),"",VLOOKUP(A30,'Cadastro - Espelho (não editar)'!$A$3:$L$3204,12,0))</f>
        <v/>
      </c>
      <c r="G30" s="11" t="s">
        <v>5053</v>
      </c>
      <c r="H30" s="148"/>
      <c r="M30" s="105" t="e">
        <f t="shared" si="1"/>
        <v>#VALUE!</v>
      </c>
    </row>
    <row r="31" customHeight="1" spans="1:13">
      <c r="A31" s="148"/>
      <c r="B31" s="145" t="e">
        <f t="shared" si="0"/>
        <v>#VALUE!</v>
      </c>
      <c r="C31" s="11" t="str">
        <f>IF(ISNA(VLOOKUP(A31,'Cadastro - Espelho (não editar)'!$A$3:$H$3204,8,0)),"",VLOOKUP(A31,'Cadastro - Espelho (não editar)'!$A$3:$H$3204,8,0))</f>
        <v/>
      </c>
      <c r="D31" s="11" t="b">
        <v>0</v>
      </c>
      <c r="F31" s="147" t="str">
        <f>IF(ISNA(VLOOKUP(A31,'Cadastro - Espelho (não editar)'!$A$3:$L$3204,12,0)),"",VLOOKUP(A31,'Cadastro - Espelho (não editar)'!$A$3:$L$3204,12,0))</f>
        <v/>
      </c>
      <c r="G31" s="11" t="s">
        <v>5053</v>
      </c>
      <c r="H31" s="148"/>
      <c r="M31" s="105" t="e">
        <f t="shared" si="1"/>
        <v>#VALUE!</v>
      </c>
    </row>
    <row r="32" customHeight="1" spans="1:13">
      <c r="A32" s="11"/>
      <c r="B32" s="145" t="e">
        <f t="shared" si="0"/>
        <v>#VALUE!</v>
      </c>
      <c r="C32" s="11" t="str">
        <f>IF(ISNA(VLOOKUP(A32,'Cadastro - Espelho (não editar)'!$A$3:$H$3204,8,0)),"",VLOOKUP(A32,'Cadastro - Espelho (não editar)'!$A$3:$H$3204,8,0))</f>
        <v/>
      </c>
      <c r="D32" s="11" t="b">
        <v>0</v>
      </c>
      <c r="F32" s="147" t="str">
        <f>IF(ISNA(VLOOKUP(A32,'Cadastro - Espelho (não editar)'!$A$3:$L$3204,12,0)),"",VLOOKUP(A32,'Cadastro - Espelho (não editar)'!$A$3:$L$3204,12,0))</f>
        <v/>
      </c>
      <c r="G32" s="11" t="s">
        <v>5053</v>
      </c>
      <c r="H32" s="148"/>
      <c r="M32" s="105" t="e">
        <f t="shared" si="1"/>
        <v>#VALUE!</v>
      </c>
    </row>
    <row r="33" customHeight="1" spans="1:13">
      <c r="A33" s="11"/>
      <c r="B33" s="145" t="e">
        <f t="shared" si="0"/>
        <v>#VALUE!</v>
      </c>
      <c r="C33" s="11" t="str">
        <f>IF(ISNA(VLOOKUP(A33,'Cadastro - Espelho (não editar)'!$A$3:$H$3204,8,0)),"",VLOOKUP(A33,'Cadastro - Espelho (não editar)'!$A$3:$H$3204,8,0))</f>
        <v/>
      </c>
      <c r="D33" s="11" t="b">
        <v>0</v>
      </c>
      <c r="F33" s="147" t="str">
        <f>IF(ISNA(VLOOKUP(A33,'Cadastro - Espelho (não editar)'!$A$3:$L$3204,12,0)),"",VLOOKUP(A33,'Cadastro - Espelho (não editar)'!$A$3:$L$3204,12,0))</f>
        <v/>
      </c>
      <c r="G33" s="11" t="s">
        <v>5053</v>
      </c>
      <c r="H33" s="148"/>
      <c r="M33" s="105" t="e">
        <f t="shared" si="1"/>
        <v>#VALUE!</v>
      </c>
    </row>
    <row r="34" customHeight="1" spans="1:13">
      <c r="A34" s="11"/>
      <c r="B34" s="145" t="e">
        <f t="shared" si="0"/>
        <v>#VALUE!</v>
      </c>
      <c r="C34" s="11" t="str">
        <f>IF(ISNA(VLOOKUP(A34,'Cadastro - Espelho (não editar)'!$A$3:$H$3204,8,0)),"",VLOOKUP(A34,'Cadastro - Espelho (não editar)'!$A$3:$H$3204,8,0))</f>
        <v/>
      </c>
      <c r="D34" s="11" t="b">
        <v>0</v>
      </c>
      <c r="F34" s="147" t="str">
        <f>IF(ISNA(VLOOKUP(A34,'Cadastro - Espelho (não editar)'!$A$3:$L$3204,12,0)),"",VLOOKUP(A34,'Cadastro - Espelho (não editar)'!$A$3:$L$3204,12,0))</f>
        <v/>
      </c>
      <c r="G34" s="11" t="s">
        <v>5053</v>
      </c>
      <c r="H34" s="148"/>
      <c r="M34" s="105" t="e">
        <f t="shared" si="1"/>
        <v>#VALUE!</v>
      </c>
    </row>
    <row r="35" customHeight="1" spans="1:13">
      <c r="A35" s="11"/>
      <c r="B35" s="145" t="e">
        <f t="shared" si="0"/>
        <v>#VALUE!</v>
      </c>
      <c r="C35" s="11" t="str">
        <f>IF(ISNA(VLOOKUP(A35,'Cadastro - Espelho (não editar)'!$A$3:$H$3204,8,0)),"",VLOOKUP(A35,'Cadastro - Espelho (não editar)'!$A$3:$H$3204,8,0))</f>
        <v/>
      </c>
      <c r="D35" s="11" t="b">
        <v>0</v>
      </c>
      <c r="F35" s="147" t="str">
        <f>IF(ISNA(VLOOKUP(A35,'Cadastro - Espelho (não editar)'!$A$3:$L$3204,12,0)),"",VLOOKUP(A35,'Cadastro - Espelho (não editar)'!$A$3:$L$3204,12,0))</f>
        <v/>
      </c>
      <c r="G35" s="11" t="s">
        <v>5053</v>
      </c>
      <c r="H35" s="148"/>
      <c r="M35" s="105" t="e">
        <f t="shared" si="1"/>
        <v>#VALUE!</v>
      </c>
    </row>
    <row r="36" customHeight="1" spans="1:13">
      <c r="A36" s="11"/>
      <c r="B36" s="145" t="e">
        <f t="shared" si="0"/>
        <v>#VALUE!</v>
      </c>
      <c r="C36" s="11" t="str">
        <f>IF(ISNA(VLOOKUP(A36,'Cadastro - Espelho (não editar)'!$A$3:$H$3204,8,0)),"",VLOOKUP(A36,'Cadastro - Espelho (não editar)'!$A$3:$H$3204,8,0))</f>
        <v/>
      </c>
      <c r="D36" s="11" t="b">
        <v>0</v>
      </c>
      <c r="F36" s="147" t="str">
        <f>IF(ISNA(VLOOKUP(A36,'Cadastro - Espelho (não editar)'!$A$3:$L$3204,12,0)),"",VLOOKUP(A36,'Cadastro - Espelho (não editar)'!$A$3:$L$3204,12,0))</f>
        <v/>
      </c>
      <c r="G36" s="11" t="s">
        <v>5053</v>
      </c>
      <c r="H36" s="148"/>
      <c r="M36" s="105" t="e">
        <f t="shared" si="1"/>
        <v>#VALUE!</v>
      </c>
    </row>
    <row r="37" customHeight="1" spans="1:13">
      <c r="A37" s="11"/>
      <c r="B37" s="145" t="e">
        <f t="shared" si="0"/>
        <v>#VALUE!</v>
      </c>
      <c r="C37" s="11" t="str">
        <f>IF(ISNA(VLOOKUP(A37,'Cadastro - Espelho (não editar)'!$A$3:$H$3204,8,0)),"",VLOOKUP(A37,'Cadastro - Espelho (não editar)'!$A$3:$H$3204,8,0))</f>
        <v/>
      </c>
      <c r="D37" s="11" t="b">
        <v>0</v>
      </c>
      <c r="F37" s="147" t="str">
        <f>IF(ISNA(VLOOKUP(A37,'Cadastro - Espelho (não editar)'!$A$3:$L$3204,12,0)),"",VLOOKUP(A37,'Cadastro - Espelho (não editar)'!$A$3:$L$3204,12,0))</f>
        <v/>
      </c>
      <c r="G37" s="11" t="s">
        <v>5075</v>
      </c>
      <c r="H37" s="148"/>
      <c r="M37" s="105" t="e">
        <f t="shared" si="1"/>
        <v>#VALUE!</v>
      </c>
    </row>
    <row r="38" customHeight="1" spans="1:13">
      <c r="A38" s="11"/>
      <c r="B38" s="145" t="e">
        <f t="shared" si="0"/>
        <v>#VALUE!</v>
      </c>
      <c r="C38" s="11" t="str">
        <f>IF(ISNA(VLOOKUP(A38,'Cadastro - Espelho (não editar)'!$A$3:$H$3204,8,0)),"",VLOOKUP(A38,'Cadastro - Espelho (não editar)'!$A$3:$H$3204,8,0))</f>
        <v/>
      </c>
      <c r="D38" s="11" t="b">
        <v>0</v>
      </c>
      <c r="F38" s="147" t="str">
        <f>IF(ISNA(VLOOKUP(A38,'Cadastro - Espelho (não editar)'!$A$3:$L$3204,12,0)),"",VLOOKUP(A38,'Cadastro - Espelho (não editar)'!$A$3:$L$3204,12,0))</f>
        <v/>
      </c>
      <c r="G38" s="11" t="s">
        <v>5053</v>
      </c>
      <c r="H38" s="148"/>
      <c r="M38" s="105" t="e">
        <f t="shared" si="1"/>
        <v>#VALUE!</v>
      </c>
    </row>
    <row r="39" customHeight="1" spans="1:13">
      <c r="A39" s="11"/>
      <c r="B39" s="145" t="e">
        <f t="shared" si="0"/>
        <v>#VALUE!</v>
      </c>
      <c r="C39" s="11" t="str">
        <f>IF(ISNA(VLOOKUP(A39,'Cadastro - Espelho (não editar)'!$A$3:$H$3204,8,0)),"",VLOOKUP(A39,'Cadastro - Espelho (não editar)'!$A$3:$H$3204,8,0))</f>
        <v/>
      </c>
      <c r="D39" s="11" t="b">
        <v>0</v>
      </c>
      <c r="F39" s="147" t="str">
        <f>IF(ISNA(VLOOKUP(A39,'Cadastro - Espelho (não editar)'!$A$3:$L$3204,12,0)),"",VLOOKUP(A39,'Cadastro - Espelho (não editar)'!$A$3:$L$3204,12,0))</f>
        <v/>
      </c>
      <c r="G39" s="11" t="s">
        <v>5053</v>
      </c>
      <c r="H39" s="148"/>
      <c r="M39" s="105" t="e">
        <f t="shared" si="1"/>
        <v>#VALUE!</v>
      </c>
    </row>
    <row r="40" customHeight="1" spans="1:13">
      <c r="A40" s="11"/>
      <c r="B40" s="145" t="e">
        <f t="shared" si="0"/>
        <v>#VALUE!</v>
      </c>
      <c r="C40" s="11" t="str">
        <f>IF(ISNA(VLOOKUP(A40,'Cadastro - Espelho (não editar)'!$A$3:$H$3204,8,0)),"",VLOOKUP(A40,'Cadastro - Espelho (não editar)'!$A$3:$H$3204,8,0))</f>
        <v/>
      </c>
      <c r="D40" s="11" t="b">
        <v>0</v>
      </c>
      <c r="F40" s="147" t="str">
        <f>IF(ISNA(VLOOKUP(A40,'Cadastro - Espelho (não editar)'!$A$3:$L$3204,12,0)),"",VLOOKUP(A40,'Cadastro - Espelho (não editar)'!$A$3:$L$3204,12,0))</f>
        <v/>
      </c>
      <c r="G40" s="11" t="s">
        <v>5053</v>
      </c>
      <c r="H40" s="148"/>
      <c r="M40" s="105" t="e">
        <f t="shared" si="1"/>
        <v>#VALUE!</v>
      </c>
    </row>
    <row r="41" customHeight="1" spans="1:13">
      <c r="A41" s="11"/>
      <c r="B41" s="145" t="e">
        <f t="shared" si="0"/>
        <v>#VALUE!</v>
      </c>
      <c r="C41" s="11" t="str">
        <f>IF(ISNA(VLOOKUP(A41,'Cadastro - Espelho (não editar)'!$A$3:$H$3204,8,0)),"",VLOOKUP(A41,'Cadastro - Espelho (não editar)'!$A$3:$H$3204,8,0))</f>
        <v/>
      </c>
      <c r="D41" s="11" t="b">
        <v>0</v>
      </c>
      <c r="F41" s="147" t="str">
        <f>IF(ISNA(VLOOKUP(A41,'Cadastro - Espelho (não editar)'!$A$3:$L$3204,12,0)),"",VLOOKUP(A41,'Cadastro - Espelho (não editar)'!$A$3:$L$3204,12,0))</f>
        <v/>
      </c>
      <c r="G41" s="11" t="s">
        <v>5053</v>
      </c>
      <c r="H41" s="148"/>
      <c r="M41" s="105" t="e">
        <f t="shared" si="1"/>
        <v>#VALUE!</v>
      </c>
    </row>
    <row r="42" customHeight="1" spans="1:13">
      <c r="A42" s="11"/>
      <c r="B42" s="145" t="e">
        <f t="shared" si="0"/>
        <v>#VALUE!</v>
      </c>
      <c r="C42" s="11" t="str">
        <f>IF(ISNA(VLOOKUP(A42,'Cadastro - Espelho (não editar)'!$A$3:$H$3204,8,0)),"",VLOOKUP(A42,'Cadastro - Espelho (não editar)'!$A$3:$H$3204,8,0))</f>
        <v/>
      </c>
      <c r="D42" s="11" t="b">
        <v>0</v>
      </c>
      <c r="F42" s="147" t="str">
        <f>IF(ISNA(VLOOKUP(A42,'Cadastro - Espelho (não editar)'!$A$3:$L$3204,12,0)),"",VLOOKUP(A42,'Cadastro - Espelho (não editar)'!$A$3:$L$3204,12,0))</f>
        <v/>
      </c>
      <c r="G42" s="11" t="s">
        <v>5053</v>
      </c>
      <c r="H42" s="148"/>
      <c r="M42" s="105" t="e">
        <f t="shared" si="1"/>
        <v>#VALUE!</v>
      </c>
    </row>
    <row r="43" customHeight="1" spans="1:13">
      <c r="A43" s="11"/>
      <c r="B43" s="145" t="e">
        <f t="shared" si="0"/>
        <v>#VALUE!</v>
      </c>
      <c r="C43" s="11" t="str">
        <f>IF(ISNA(VLOOKUP(A43,'Cadastro - Espelho (não editar)'!$A$3:$H$3204,8,0)),"",VLOOKUP(A43,'Cadastro - Espelho (não editar)'!$A$3:$H$3204,8,0))</f>
        <v/>
      </c>
      <c r="D43" s="11" t="b">
        <v>0</v>
      </c>
      <c r="F43" s="147" t="str">
        <f>IF(ISNA(VLOOKUP(A43,'Cadastro - Espelho (não editar)'!$A$3:$L$3204,12,0)),"",VLOOKUP(A43,'Cadastro - Espelho (não editar)'!$A$3:$L$3204,12,0))</f>
        <v/>
      </c>
      <c r="G43" s="11" t="s">
        <v>5053</v>
      </c>
      <c r="H43" s="148"/>
      <c r="M43" s="105" t="e">
        <f t="shared" si="1"/>
        <v>#VALUE!</v>
      </c>
    </row>
    <row r="44" customHeight="1" spans="1:13">
      <c r="A44" s="11"/>
      <c r="B44" s="145" t="e">
        <f t="shared" si="0"/>
        <v>#VALUE!</v>
      </c>
      <c r="C44" s="11" t="str">
        <f>IF(ISNA(VLOOKUP(A44,'Cadastro - Espelho (não editar)'!$A$3:$H$3204,8,0)),"",VLOOKUP(A44,'Cadastro - Espelho (não editar)'!$A$3:$H$3204,8,0))</f>
        <v/>
      </c>
      <c r="D44" s="11" t="b">
        <v>0</v>
      </c>
      <c r="F44" s="147" t="str">
        <f>IF(ISNA(VLOOKUP(A44,'Cadastro - Espelho (não editar)'!$A$3:$L$3204,12,0)),"",VLOOKUP(A44,'Cadastro - Espelho (não editar)'!$A$3:$L$3204,12,0))</f>
        <v/>
      </c>
      <c r="G44" s="11" t="s">
        <v>5053</v>
      </c>
      <c r="H44" s="148"/>
      <c r="M44" s="105" t="e">
        <f t="shared" si="1"/>
        <v>#VALUE!</v>
      </c>
    </row>
    <row r="45" customHeight="1" spans="1:13">
      <c r="A45" s="11"/>
      <c r="B45" s="145" t="e">
        <f t="shared" si="0"/>
        <v>#VALUE!</v>
      </c>
      <c r="C45" s="11" t="str">
        <f>IF(ISNA(VLOOKUP(A45,'Cadastro - Espelho (não editar)'!$A$3:$H$3204,8,0)),"",VLOOKUP(A45,'Cadastro - Espelho (não editar)'!$A$3:$H$3204,8,0))</f>
        <v/>
      </c>
      <c r="D45" s="11" t="b">
        <v>0</v>
      </c>
      <c r="F45" s="147" t="str">
        <f>IF(ISNA(VLOOKUP(A45,'Cadastro - Espelho (não editar)'!$A$3:$L$3204,12,0)),"",VLOOKUP(A45,'Cadastro - Espelho (não editar)'!$A$3:$L$3204,12,0))</f>
        <v/>
      </c>
      <c r="G45" s="11" t="s">
        <v>5053</v>
      </c>
      <c r="H45" s="148"/>
      <c r="M45" s="105" t="e">
        <f>IF(ISNA(CONCATENATE("Olá, ",B45,", Espero que você esteja bem! Somos da equipe do ATENDE GESTANTE 🤰🏽👩🏽‍🍼. Realizamos um atendimento de uma ",G45," do seu território. Acompanhe detalhes do nosso atendimento no histórico do prontuário PEC E-SUS APS. 👩🏽‍⚕️💻 Seguem os dados da usuária: Unidade: ",H45,"Nome: ",I42," CNS: ",J42," Caso deseje apoio para discutir ou manejar esse caso ou outro caso com uma de nossas enfermeiras ou médicas obstetras, agende uma teleinterconsulta conosco. Clique aqui 👇🏾")),"",CONCATENATE("Olá, ",B45,", Espero que você esteja bem! Somos da equipe do ATENDE GESTANTE 🤰🏽👩🏽‍🍼. Realizamos um atendimento de uma ",G45," do seu território. Acompanhe detalhes do nosso atendimento no histórico do prontuário PEC E-SUS APS. 👩🏽‍⚕️💻 Seguem os dados da usuária: Unidade: ",H45,"Nome: ",I42," CNS: ",J42," Caso deseje apoio para discutir ou manejar esse caso ou outro caso com uma de nossas enfermeiras ou médicas obstetras, agende uma teleinterconsulta conosco. Clique aqui 👇🏾"))</f>
        <v>#VALUE!</v>
      </c>
    </row>
    <row r="46" customHeight="1" spans="1:13">
      <c r="A46" s="11"/>
      <c r="B46" s="145" t="e">
        <f t="shared" si="0"/>
        <v>#VALUE!</v>
      </c>
      <c r="C46" s="11" t="str">
        <f>IF(ISNA(VLOOKUP(A46,'Cadastro - Espelho (não editar)'!$A$3:$H$3204,8,0)),"",VLOOKUP(A46,'Cadastro - Espelho (não editar)'!$A$3:$H$3204,8,0))</f>
        <v/>
      </c>
      <c r="D46" s="11" t="b">
        <v>0</v>
      </c>
      <c r="F46" s="147" t="str">
        <f>IF(ISNA(VLOOKUP(A46,'Cadastro - Espelho (não editar)'!$A$3:$L$3204,12,0)),"",VLOOKUP(A46,'Cadastro - Espelho (não editar)'!$A$3:$L$3204,12,0))</f>
        <v/>
      </c>
      <c r="G46" s="11" t="s">
        <v>5053</v>
      </c>
      <c r="H46" s="148"/>
      <c r="M46" s="105" t="e">
        <f t="shared" ref="M46:M47" si="2">IF(ISNA(CONCATENATE("Olá, ",B46,", Espero que você esteja bem! Somos da equipe do ATENDE GESTANTE 🤰🏽👩🏽‍🍼. Realizamos um atendimento de uma ",G46," do seu território. Acompanhe detalhes do nosso atendimento no histórico do prontuário PEC E-SUS APS. 👩🏽‍⚕️💻 Seguem os dados da usuária: Unidade: ",H46,"Nome: ",I54," CNS: ",J54," Caso deseje apoio para discutir ou manejar esse caso ou outro caso com uma de nossas enfermeiras ou médicas obstetras, agende uma teleinterconsulta conosco. Clique aqui 👇🏾")),"",CONCATENATE("Olá, ",B46,", Espero que você esteja bem! Somos da equipe do ATENDE GESTANTE 🤰🏽👩🏽‍🍼. Realizamos um atendimento de uma ",G46," do seu território. Acompanhe detalhes do nosso atendimento no histórico do prontuário PEC E-SUS APS. 👩🏽‍⚕️💻 Seguem os dados da usuária: Unidade: ",H46,"Nome: ",I54," CNS: ",J54," Caso deseje apoio para discutir ou manejar esse caso ou outro caso com uma de nossas enfermeiras ou médicas obstetras, agende uma teleinterconsulta conosco. Clique aqui 👇🏾"))</f>
        <v>#VALUE!</v>
      </c>
    </row>
    <row r="47" customHeight="1" spans="1:13">
      <c r="A47" s="11"/>
      <c r="B47" s="145" t="e">
        <f t="shared" si="0"/>
        <v>#VALUE!</v>
      </c>
      <c r="C47" s="11" t="str">
        <f>IF(ISNA(VLOOKUP(A47,'Cadastro - Espelho (não editar)'!$A$3:$H$3204,8,0)),"",VLOOKUP(A47,'Cadastro - Espelho (não editar)'!$A$3:$H$3204,8,0))</f>
        <v/>
      </c>
      <c r="D47" s="11" t="b">
        <v>0</v>
      </c>
      <c r="F47" s="147" t="str">
        <f>IF(ISNA(VLOOKUP(A47,'Cadastro - Espelho (não editar)'!$A$3:$L$3204,12,0)),"",VLOOKUP(A47,'Cadastro - Espelho (não editar)'!$A$3:$L$3204,12,0))</f>
        <v/>
      </c>
      <c r="G47" s="11" t="s">
        <v>5053</v>
      </c>
      <c r="H47" s="148"/>
      <c r="M47" s="105" t="e">
        <f t="shared" si="2"/>
        <v>#VALUE!</v>
      </c>
    </row>
    <row r="48" customHeight="1" spans="1:13">
      <c r="A48" s="11"/>
      <c r="B48" s="145" t="e">
        <f t="shared" si="0"/>
        <v>#VALUE!</v>
      </c>
      <c r="C48" s="11" t="str">
        <f>IF(ISNA(VLOOKUP(A48,'Cadastro - Espelho (não editar)'!$A$3:$H$3204,8,0)),"",VLOOKUP(A48,'Cadastro - Espelho (não editar)'!$A$3:$H$3204,8,0))</f>
        <v/>
      </c>
      <c r="D48" s="11" t="b">
        <v>0</v>
      </c>
      <c r="F48" s="147" t="str">
        <f>IF(ISNA(VLOOKUP(A48,'Cadastro - Espelho (não editar)'!$A$3:$L$3204,12,0)),"",VLOOKUP(A48,'Cadastro - Espelho (não editar)'!$A$3:$L$3204,12,0))</f>
        <v/>
      </c>
      <c r="G48" s="11" t="s">
        <v>5053</v>
      </c>
      <c r="H48" s="148"/>
      <c r="M48" s="105" t="e">
        <f t="shared" ref="M48:M219" si="3">IF(ISNA(CONCATENATE("Olá, ",B48,", Espero que você esteja bem! Somos da equipe do ATENDE GESTANTE 🤰🏽👩🏽‍🍼. Realizamos um atendimento de uma ",G48," do seu território. Acompanhe detalhes do nosso atendimento no histórico do prontuário PEC E-SUS APS. 👩🏽‍⚕️💻 Seguem os dados da usuária: Unidade: ",H48,"Nome: ",I48," CNS: ",J48," Caso deseje apoio para discutir ou manejar esse caso ou outro caso com uma de nossas enfermeiras ou médicas obstetras, agende uma teleinterconsulta conosco. Clique aqui 👇🏾")),"",CONCATENATE("Olá, ",B48,", Espero que você esteja bem! Somos da equipe do ATENDE GESTANTE 🤰🏽👩🏽‍🍼. Realizamos um atendimento de uma ",G48," do seu território. Acompanhe detalhes do nosso atendimento no histórico do prontuário PEC E-SUS APS. 👩🏽‍⚕️💻 Seguem os dados da usuária: Unidade: ",H48,"Nome: ",I48," CNS: ",J48," Caso deseje apoio para discutir ou manejar esse caso ou outro caso com uma de nossas enfermeiras ou médicas obstetras, agende uma teleinterconsulta conosco. Clique aqui 👇🏾"))</f>
        <v>#VALUE!</v>
      </c>
    </row>
    <row r="49" customHeight="1" spans="1:13">
      <c r="A49" s="11"/>
      <c r="B49" s="145" t="e">
        <f t="shared" si="0"/>
        <v>#VALUE!</v>
      </c>
      <c r="C49" s="11" t="str">
        <f>IF(ISNA(VLOOKUP(A49,'Cadastro - Espelho (não editar)'!$A$3:$H$3204,8,0)),"",VLOOKUP(A49,'Cadastro - Espelho (não editar)'!$A$3:$H$3204,8,0))</f>
        <v/>
      </c>
      <c r="D49" s="11" t="b">
        <v>0</v>
      </c>
      <c r="F49" s="147" t="str">
        <f>IF(ISNA(VLOOKUP(A49,'Cadastro - Espelho (não editar)'!$A$3:$L$3204,12,0)),"",VLOOKUP(A49,'Cadastro - Espelho (não editar)'!$A$3:$L$3204,12,0))</f>
        <v/>
      </c>
      <c r="G49" s="11" t="s">
        <v>5053</v>
      </c>
      <c r="H49" s="148"/>
      <c r="M49" s="105" t="e">
        <f t="shared" si="3"/>
        <v>#VALUE!</v>
      </c>
    </row>
    <row r="50" customHeight="1" spans="1:13">
      <c r="A50" s="11"/>
      <c r="B50" s="145" t="e">
        <f t="shared" si="0"/>
        <v>#VALUE!</v>
      </c>
      <c r="C50" s="11" t="str">
        <f>IF(ISNA(VLOOKUP(A50,'Cadastro - Espelho (não editar)'!$A$3:$H$3204,8,0)),"",VLOOKUP(A50,'Cadastro - Espelho (não editar)'!$A$3:$H$3204,8,0))</f>
        <v/>
      </c>
      <c r="D50" s="11" t="b">
        <v>0</v>
      </c>
      <c r="F50" s="147" t="str">
        <f>IF(ISNA(VLOOKUP(A50,'Cadastro - Espelho (não editar)'!$A$3:$L$3204,12,0)),"",VLOOKUP(A50,'Cadastro - Espelho (não editar)'!$A$3:$L$3204,12,0))</f>
        <v/>
      </c>
      <c r="G50" s="11" t="s">
        <v>5053</v>
      </c>
      <c r="H50" s="148"/>
      <c r="M50" s="105" t="e">
        <f t="shared" si="3"/>
        <v>#VALUE!</v>
      </c>
    </row>
    <row r="51" customHeight="1" spans="1:13">
      <c r="A51" s="11"/>
      <c r="B51" s="145" t="e">
        <f t="shared" si="0"/>
        <v>#VALUE!</v>
      </c>
      <c r="C51" s="11" t="str">
        <f>IF(ISNA(VLOOKUP(A51,'Cadastro - Espelho (não editar)'!$A$3:$H$3204,8,0)),"",VLOOKUP(A51,'Cadastro - Espelho (não editar)'!$A$3:$H$3204,8,0))</f>
        <v/>
      </c>
      <c r="D51" s="11" t="b">
        <v>0</v>
      </c>
      <c r="F51" s="147" t="str">
        <f>IF(ISNA(VLOOKUP(A51,'Cadastro - Espelho (não editar)'!$A$3:$L$3204,12,0)),"",VLOOKUP(A51,'Cadastro - Espelho (não editar)'!$A$3:$L$3204,12,0))</f>
        <v/>
      </c>
      <c r="G51" s="11" t="s">
        <v>5053</v>
      </c>
      <c r="H51" s="148"/>
      <c r="M51" s="105" t="e">
        <f t="shared" si="3"/>
        <v>#VALUE!</v>
      </c>
    </row>
    <row r="52" customHeight="1" spans="1:13">
      <c r="A52" s="11"/>
      <c r="B52" s="145" t="e">
        <f t="shared" si="0"/>
        <v>#VALUE!</v>
      </c>
      <c r="C52" s="11" t="str">
        <f>IF(ISNA(VLOOKUP(A52,'Cadastro - Espelho (não editar)'!$A$3:$H$3204,8,0)),"",VLOOKUP(A52,'Cadastro - Espelho (não editar)'!$A$3:$H$3204,8,0))</f>
        <v/>
      </c>
      <c r="D52" s="11" t="b">
        <v>0</v>
      </c>
      <c r="F52" s="147" t="str">
        <f>IF(ISNA(VLOOKUP(A52,'Cadastro - Espelho (não editar)'!$A$3:$L$3204,12,0)),"",VLOOKUP(A52,'Cadastro - Espelho (não editar)'!$A$3:$L$3204,12,0))</f>
        <v/>
      </c>
      <c r="G52" s="11" t="s">
        <v>5053</v>
      </c>
      <c r="H52" s="148"/>
      <c r="M52" s="105" t="e">
        <f t="shared" si="3"/>
        <v>#VALUE!</v>
      </c>
    </row>
    <row r="53" customHeight="1" spans="1:13">
      <c r="A53" s="11"/>
      <c r="B53" s="145" t="e">
        <f t="shared" si="0"/>
        <v>#VALUE!</v>
      </c>
      <c r="C53" s="11" t="str">
        <f>IF(ISNA(VLOOKUP(A53,'Cadastro - Espelho (não editar)'!$A$3:$H$3204,8,0)),"",VLOOKUP(A53,'Cadastro - Espelho (não editar)'!$A$3:$H$3204,8,0))</f>
        <v/>
      </c>
      <c r="D53" s="11" t="b">
        <v>0</v>
      </c>
      <c r="F53" s="147" t="str">
        <f>IF(ISNA(VLOOKUP(A53,'Cadastro - Espelho (não editar)'!$A$3:$L$3204,12,0)),"",VLOOKUP(A53,'Cadastro - Espelho (não editar)'!$A$3:$L$3204,12,0))</f>
        <v/>
      </c>
      <c r="G53" s="11" t="s">
        <v>5053</v>
      </c>
      <c r="H53" s="148"/>
      <c r="M53" s="105" t="e">
        <f t="shared" si="3"/>
        <v>#VALUE!</v>
      </c>
    </row>
    <row r="54" customHeight="1" spans="1:13">
      <c r="A54" s="11"/>
      <c r="B54" s="145" t="e">
        <f t="shared" si="0"/>
        <v>#VALUE!</v>
      </c>
      <c r="C54" s="11" t="str">
        <f>IF(ISNA(VLOOKUP(A54,'Cadastro - Espelho (não editar)'!$A$3:$H$3204,8,0)),"",VLOOKUP(A54,'Cadastro - Espelho (não editar)'!$A$3:$H$3204,8,0))</f>
        <v/>
      </c>
      <c r="D54" s="11" t="b">
        <v>0</v>
      </c>
      <c r="F54" s="147" t="str">
        <f>IF(ISNA(VLOOKUP(A54,'Cadastro - Espelho (não editar)'!$A$3:$L$3204,12,0)),"",VLOOKUP(A54,'Cadastro - Espelho (não editar)'!$A$3:$L$3204,12,0))</f>
        <v/>
      </c>
      <c r="G54" s="11" t="s">
        <v>5053</v>
      </c>
      <c r="H54" s="148"/>
      <c r="M54" s="105" t="e">
        <f t="shared" si="3"/>
        <v>#VALUE!</v>
      </c>
    </row>
    <row r="55" customHeight="1" spans="1:13">
      <c r="A55" s="11"/>
      <c r="B55" s="145" t="e">
        <f t="shared" si="0"/>
        <v>#VALUE!</v>
      </c>
      <c r="C55" s="11" t="str">
        <f>IF(ISNA(VLOOKUP(A55,'Cadastro - Espelho (não editar)'!$A$3:$H$3204,8,0)),"",VLOOKUP(A55,'Cadastro - Espelho (não editar)'!$A$3:$H$3204,8,0))</f>
        <v/>
      </c>
      <c r="D55" s="11" t="b">
        <v>0</v>
      </c>
      <c r="F55" s="147" t="str">
        <f>IF(ISNA(VLOOKUP(A55,'Cadastro - Espelho (não editar)'!$A$3:$L$3204,12,0)),"",VLOOKUP(A55,'Cadastro - Espelho (não editar)'!$A$3:$L$3204,12,0))</f>
        <v/>
      </c>
      <c r="G55" s="11" t="s">
        <v>5053</v>
      </c>
      <c r="H55" s="148"/>
      <c r="M55" s="105" t="e">
        <f t="shared" si="3"/>
        <v>#VALUE!</v>
      </c>
    </row>
    <row r="56" customHeight="1" spans="1:13">
      <c r="A56" s="11"/>
      <c r="B56" s="145" t="e">
        <f t="shared" si="0"/>
        <v>#VALUE!</v>
      </c>
      <c r="C56" s="11" t="str">
        <f>IF(ISNA(VLOOKUP(A56,'Cadastro - Espelho (não editar)'!$A$3:$H$3204,8,0)),"",VLOOKUP(A56,'Cadastro - Espelho (não editar)'!$A$3:$H$3204,8,0))</f>
        <v/>
      </c>
      <c r="D56" s="11" t="b">
        <v>0</v>
      </c>
      <c r="F56" s="147" t="str">
        <f>IF(ISNA(VLOOKUP(A56,'Cadastro - Espelho (não editar)'!$A$3:$L$3204,12,0)),"",VLOOKUP(A56,'Cadastro - Espelho (não editar)'!$A$3:$L$3204,12,0))</f>
        <v/>
      </c>
      <c r="G56" s="11" t="s">
        <v>5053</v>
      </c>
      <c r="H56" s="148"/>
      <c r="M56" s="105" t="e">
        <f t="shared" si="3"/>
        <v>#VALUE!</v>
      </c>
    </row>
    <row r="57" customHeight="1" spans="1:13">
      <c r="A57" s="11"/>
      <c r="B57" s="145" t="e">
        <f t="shared" si="0"/>
        <v>#VALUE!</v>
      </c>
      <c r="C57" s="11" t="str">
        <f>IF(ISNA(VLOOKUP(A57,'Cadastro - Espelho (não editar)'!$A$3:$H$3204,8,0)),"",VLOOKUP(A57,'Cadastro - Espelho (não editar)'!$A$3:$H$3204,8,0))</f>
        <v/>
      </c>
      <c r="D57" s="11" t="b">
        <v>0</v>
      </c>
      <c r="F57" s="147" t="str">
        <f>IF(ISNA(VLOOKUP(A57,'Cadastro - Espelho (não editar)'!$A$3:$L$3204,12,0)),"",VLOOKUP(A57,'Cadastro - Espelho (não editar)'!$A$3:$L$3204,12,0))</f>
        <v/>
      </c>
      <c r="G57" s="11" t="s">
        <v>5053</v>
      </c>
      <c r="H57" s="148"/>
      <c r="M57" s="105" t="e">
        <f t="shared" si="3"/>
        <v>#VALUE!</v>
      </c>
    </row>
    <row r="58" customHeight="1" spans="1:13">
      <c r="A58" s="11"/>
      <c r="B58" s="145" t="e">
        <f t="shared" si="0"/>
        <v>#VALUE!</v>
      </c>
      <c r="C58" s="11" t="str">
        <f>IF(ISNA(VLOOKUP(A58,'Cadastro - Espelho (não editar)'!$A$3:$H$3204,8,0)),"",VLOOKUP(A58,'Cadastro - Espelho (não editar)'!$A$3:$H$3204,8,0))</f>
        <v/>
      </c>
      <c r="D58" s="11" t="b">
        <v>0</v>
      </c>
      <c r="F58" s="147" t="str">
        <f>IF(ISNA(VLOOKUP(A58,'Cadastro - Espelho (não editar)'!$A$3:$L$3204,12,0)),"",VLOOKUP(A58,'Cadastro - Espelho (não editar)'!$A$3:$L$3204,12,0))</f>
        <v/>
      </c>
      <c r="G58" s="11" t="s">
        <v>5053</v>
      </c>
      <c r="H58" s="148"/>
      <c r="M58" s="105" t="e">
        <f t="shared" si="3"/>
        <v>#VALUE!</v>
      </c>
    </row>
    <row r="59" customHeight="1" spans="1:13">
      <c r="A59" s="11"/>
      <c r="B59" s="145" t="e">
        <f t="shared" si="0"/>
        <v>#VALUE!</v>
      </c>
      <c r="C59" s="11" t="str">
        <f>IF(ISNA(VLOOKUP(A59,'Cadastro - Espelho (não editar)'!$A$3:$H$3204,8,0)),"",VLOOKUP(A59,'Cadastro - Espelho (não editar)'!$A$3:$H$3204,8,0))</f>
        <v/>
      </c>
      <c r="D59" s="11" t="b">
        <v>0</v>
      </c>
      <c r="F59" s="147" t="str">
        <f>IF(ISNA(VLOOKUP(A59,'Cadastro - Espelho (não editar)'!$A$3:$L$3204,12,0)),"",VLOOKUP(A59,'Cadastro - Espelho (não editar)'!$A$3:$L$3204,12,0))</f>
        <v/>
      </c>
      <c r="G59" s="11" t="s">
        <v>5053</v>
      </c>
      <c r="H59" s="148"/>
      <c r="M59" s="105" t="e">
        <f t="shared" si="3"/>
        <v>#VALUE!</v>
      </c>
    </row>
    <row r="60" customHeight="1" spans="1:13">
      <c r="A60" s="11"/>
      <c r="B60" s="145" t="e">
        <f t="shared" si="0"/>
        <v>#VALUE!</v>
      </c>
      <c r="C60" s="11" t="str">
        <f>IF(ISNA(VLOOKUP(A60,'Cadastro - Espelho (não editar)'!$A$3:$H$3204,8,0)),"",VLOOKUP(A60,'Cadastro - Espelho (não editar)'!$A$3:$H$3204,8,0))</f>
        <v/>
      </c>
      <c r="D60" s="11" t="b">
        <v>0</v>
      </c>
      <c r="F60" s="147" t="str">
        <f>IF(ISNA(VLOOKUP(A60,'Cadastro - Espelho (não editar)'!$A$3:$L$3204,12,0)),"",VLOOKUP(A60,'Cadastro - Espelho (não editar)'!$A$3:$L$3204,12,0))</f>
        <v/>
      </c>
      <c r="G60" s="11" t="s">
        <v>5053</v>
      </c>
      <c r="H60" s="148"/>
      <c r="M60" s="105" t="e">
        <f t="shared" si="3"/>
        <v>#VALUE!</v>
      </c>
    </row>
    <row r="61" customHeight="1" spans="1:13">
      <c r="A61" s="11"/>
      <c r="B61" s="145" t="e">
        <f t="shared" si="0"/>
        <v>#VALUE!</v>
      </c>
      <c r="C61" s="11" t="str">
        <f>IF(ISNA(VLOOKUP(A61,'Cadastro - Espelho (não editar)'!$A$3:$H$3204,8,0)),"",VLOOKUP(A61,'Cadastro - Espelho (não editar)'!$A$3:$H$3204,8,0))</f>
        <v/>
      </c>
      <c r="D61" s="11" t="b">
        <v>0</v>
      </c>
      <c r="F61" s="147" t="str">
        <f>IF(ISNA(VLOOKUP(A61,'Cadastro - Espelho (não editar)'!$A$3:$L$3204,12,0)),"",VLOOKUP(A61,'Cadastro - Espelho (não editar)'!$A$3:$L$3204,12,0))</f>
        <v/>
      </c>
      <c r="G61" s="11" t="s">
        <v>5053</v>
      </c>
      <c r="H61" s="148"/>
      <c r="M61" s="105" t="e">
        <f t="shared" si="3"/>
        <v>#VALUE!</v>
      </c>
    </row>
    <row r="62" customHeight="1" spans="1:13">
      <c r="A62" s="11"/>
      <c r="B62" s="145" t="e">
        <f t="shared" si="0"/>
        <v>#VALUE!</v>
      </c>
      <c r="C62" s="11" t="str">
        <f>IF(ISNA(VLOOKUP(A62,'Cadastro - Espelho (não editar)'!$A$3:$H$3204,8,0)),"",VLOOKUP(A62,'Cadastro - Espelho (não editar)'!$A$3:$H$3204,8,0))</f>
        <v/>
      </c>
      <c r="D62" s="11" t="b">
        <v>0</v>
      </c>
      <c r="F62" s="147" t="str">
        <f>IF(ISNA(VLOOKUP(A62,'Cadastro - Espelho (não editar)'!$A$3:$L$3204,12,0)),"",VLOOKUP(A62,'Cadastro - Espelho (não editar)'!$A$3:$L$3204,12,0))</f>
        <v/>
      </c>
      <c r="G62" s="11" t="s">
        <v>5053</v>
      </c>
      <c r="H62" s="148"/>
      <c r="M62" s="105" t="e">
        <f t="shared" si="3"/>
        <v>#VALUE!</v>
      </c>
    </row>
    <row r="63" customHeight="1" spans="1:13">
      <c r="A63" s="11"/>
      <c r="B63" s="145" t="e">
        <f t="shared" si="0"/>
        <v>#VALUE!</v>
      </c>
      <c r="C63" s="11" t="str">
        <f>IF(ISNA(VLOOKUP(A63,'Cadastro - Espelho (não editar)'!$A$3:$H$3204,8,0)),"",VLOOKUP(A63,'Cadastro - Espelho (não editar)'!$A$3:$H$3204,8,0))</f>
        <v/>
      </c>
      <c r="D63" s="11" t="b">
        <v>0</v>
      </c>
      <c r="F63" s="147" t="str">
        <f>IF(ISNA(VLOOKUP(A63,'Cadastro - Espelho (não editar)'!$A$3:$L$3204,12,0)),"",VLOOKUP(A63,'Cadastro - Espelho (não editar)'!$A$3:$L$3204,12,0))</f>
        <v/>
      </c>
      <c r="G63" s="11" t="s">
        <v>5053</v>
      </c>
      <c r="H63" s="148"/>
      <c r="M63" s="105" t="e">
        <f t="shared" si="3"/>
        <v>#VALUE!</v>
      </c>
    </row>
    <row r="64" customHeight="1" spans="1:13">
      <c r="A64" s="11"/>
      <c r="B64" s="145" t="e">
        <f t="shared" si="0"/>
        <v>#VALUE!</v>
      </c>
      <c r="C64" s="11" t="str">
        <f>IF(ISNA(VLOOKUP(A64,'Cadastro - Espelho (não editar)'!$A$3:$H$3204,8,0)),"",VLOOKUP(A64,'Cadastro - Espelho (não editar)'!$A$3:$H$3204,8,0))</f>
        <v/>
      </c>
      <c r="D64" s="11" t="b">
        <v>0</v>
      </c>
      <c r="F64" s="147" t="str">
        <f>IF(ISNA(VLOOKUP(A64,'Cadastro - Espelho (não editar)'!$A$3:$L$3204,12,0)),"",VLOOKUP(A64,'Cadastro - Espelho (não editar)'!$A$3:$L$3204,12,0))</f>
        <v/>
      </c>
      <c r="G64" s="11" t="s">
        <v>5053</v>
      </c>
      <c r="H64" s="148"/>
      <c r="M64" s="105" t="e">
        <f t="shared" si="3"/>
        <v>#VALUE!</v>
      </c>
    </row>
    <row r="65" customHeight="1" spans="1:13">
      <c r="A65" s="11"/>
      <c r="B65" s="145" t="e">
        <f t="shared" si="0"/>
        <v>#VALUE!</v>
      </c>
      <c r="C65" s="11" t="str">
        <f>IF(ISNA(VLOOKUP(A65,'Cadastro - Espelho (não editar)'!$A$3:$H$3204,8,0)),"",VLOOKUP(A65,'Cadastro - Espelho (não editar)'!$A$3:$H$3204,8,0))</f>
        <v/>
      </c>
      <c r="D65" s="11" t="b">
        <v>0</v>
      </c>
      <c r="F65" s="147" t="str">
        <f>IF(ISNA(VLOOKUP(A65,'Cadastro - Espelho (não editar)'!$A$3:$L$3204,12,0)),"",VLOOKUP(A65,'Cadastro - Espelho (não editar)'!$A$3:$L$3204,12,0))</f>
        <v/>
      </c>
      <c r="G65" s="11" t="s">
        <v>5053</v>
      </c>
      <c r="H65" s="148"/>
      <c r="M65" s="105" t="e">
        <f t="shared" si="3"/>
        <v>#VALUE!</v>
      </c>
    </row>
    <row r="66" customHeight="1" spans="1:13">
      <c r="A66" s="11"/>
      <c r="B66" s="145" t="e">
        <f t="shared" si="0"/>
        <v>#VALUE!</v>
      </c>
      <c r="C66" s="11" t="str">
        <f>IF(ISNA(VLOOKUP(A66,'Cadastro - Espelho (não editar)'!$A$3:$H$3204,8,0)),"",VLOOKUP(A66,'Cadastro - Espelho (não editar)'!$A$3:$H$3204,8,0))</f>
        <v/>
      </c>
      <c r="D66" s="11" t="b">
        <v>0</v>
      </c>
      <c r="F66" s="147" t="str">
        <f>IF(ISNA(VLOOKUP(A66,'Cadastro - Espelho (não editar)'!$A$3:$L$3204,12,0)),"",VLOOKUP(A66,'Cadastro - Espelho (não editar)'!$A$3:$L$3204,12,0))</f>
        <v/>
      </c>
      <c r="G66" s="11" t="s">
        <v>5053</v>
      </c>
      <c r="H66" s="148"/>
      <c r="M66" s="105" t="e">
        <f t="shared" si="3"/>
        <v>#VALUE!</v>
      </c>
    </row>
    <row r="67" customHeight="1" spans="1:13">
      <c r="A67" s="11"/>
      <c r="B67" s="145" t="e">
        <f t="shared" si="0"/>
        <v>#VALUE!</v>
      </c>
      <c r="C67" s="11" t="str">
        <f>IF(ISNA(VLOOKUP(A67,'Cadastro - Espelho (não editar)'!$A$3:$H$3204,8,0)),"",VLOOKUP(A67,'Cadastro - Espelho (não editar)'!$A$3:$H$3204,8,0))</f>
        <v/>
      </c>
      <c r="D67" s="11" t="b">
        <v>0</v>
      </c>
      <c r="F67" s="147" t="str">
        <f>IF(ISNA(VLOOKUP(A67,'Cadastro - Espelho (não editar)'!$A$3:$L$3204,12,0)),"",VLOOKUP(A67,'Cadastro - Espelho (não editar)'!$A$3:$L$3204,12,0))</f>
        <v/>
      </c>
      <c r="G67" s="11" t="s">
        <v>5053</v>
      </c>
      <c r="H67" s="148"/>
      <c r="M67" s="105" t="e">
        <f t="shared" si="3"/>
        <v>#VALUE!</v>
      </c>
    </row>
    <row r="68" customHeight="1" spans="1:13">
      <c r="A68" s="11"/>
      <c r="B68" s="145" t="e">
        <f t="shared" si="0"/>
        <v>#VALUE!</v>
      </c>
      <c r="C68" s="11" t="str">
        <f>IF(ISNA(VLOOKUP(A68,'Cadastro - Espelho (não editar)'!$A$3:$H$3204,8,0)),"",VLOOKUP(A68,'Cadastro - Espelho (não editar)'!$A$3:$H$3204,8,0))</f>
        <v/>
      </c>
      <c r="D68" s="11" t="b">
        <v>0</v>
      </c>
      <c r="F68" s="147" t="str">
        <f>IF(ISNA(VLOOKUP(A68,'Cadastro - Espelho (não editar)'!$A$3:$L$3204,12,0)),"",VLOOKUP(A68,'Cadastro - Espelho (não editar)'!$A$3:$L$3204,12,0))</f>
        <v/>
      </c>
      <c r="G68" s="11" t="s">
        <v>5053</v>
      </c>
      <c r="H68" s="148"/>
      <c r="M68" s="105" t="e">
        <f t="shared" si="3"/>
        <v>#VALUE!</v>
      </c>
    </row>
    <row r="69" customHeight="1" spans="1:13">
      <c r="A69" s="11"/>
      <c r="B69" s="145" t="e">
        <f t="shared" si="0"/>
        <v>#VALUE!</v>
      </c>
      <c r="C69" s="11" t="str">
        <f>IF(ISNA(VLOOKUP(A69,'Cadastro - Espelho (não editar)'!$A$3:$H$3204,8,0)),"",VLOOKUP(A69,'Cadastro - Espelho (não editar)'!$A$3:$H$3204,8,0))</f>
        <v/>
      </c>
      <c r="D69" s="11" t="b">
        <v>0</v>
      </c>
      <c r="F69" s="147" t="str">
        <f>IF(ISNA(VLOOKUP(A69,'Cadastro - Espelho (não editar)'!$A$3:$L$3204,12,0)),"",VLOOKUP(A69,'Cadastro - Espelho (não editar)'!$A$3:$L$3204,12,0))</f>
        <v/>
      </c>
      <c r="G69" s="11" t="s">
        <v>5053</v>
      </c>
      <c r="H69" s="148"/>
      <c r="M69" s="105" t="e">
        <f t="shared" si="3"/>
        <v>#VALUE!</v>
      </c>
    </row>
    <row r="70" customHeight="1" spans="1:13">
      <c r="A70" s="11"/>
      <c r="B70" s="145" t="e">
        <f t="shared" si="0"/>
        <v>#VALUE!</v>
      </c>
      <c r="C70" s="11" t="str">
        <f>IF(ISNA(VLOOKUP(A70,'Cadastro - Espelho (não editar)'!$A$3:$H$3204,8,0)),"",VLOOKUP(A70,'Cadastro - Espelho (não editar)'!$A$3:$H$3204,8,0))</f>
        <v/>
      </c>
      <c r="D70" s="11" t="b">
        <v>0</v>
      </c>
      <c r="F70" s="147" t="str">
        <f>IF(ISNA(VLOOKUP(A70,'Cadastro - Espelho (não editar)'!$A$3:$L$3204,12,0)),"",VLOOKUP(A70,'Cadastro - Espelho (não editar)'!$A$3:$L$3204,12,0))</f>
        <v/>
      </c>
      <c r="G70" s="11" t="s">
        <v>5053</v>
      </c>
      <c r="H70" s="148"/>
      <c r="M70" s="105" t="e">
        <f t="shared" si="3"/>
        <v>#VALUE!</v>
      </c>
    </row>
    <row r="71" customHeight="1" spans="1:13">
      <c r="A71" s="11"/>
      <c r="B71" s="145" t="e">
        <f t="shared" si="0"/>
        <v>#VALUE!</v>
      </c>
      <c r="C71" s="11" t="str">
        <f>IF(ISNA(VLOOKUP(A71,'Cadastro - Espelho (não editar)'!$A$3:$H$3204,8,0)),"",VLOOKUP(A71,'Cadastro - Espelho (não editar)'!$A$3:$H$3204,8,0))</f>
        <v/>
      </c>
      <c r="D71" s="11" t="b">
        <v>0</v>
      </c>
      <c r="F71" s="147" t="str">
        <f>IF(ISNA(VLOOKUP(A71,'Cadastro - Espelho (não editar)'!$A$3:$L$3204,12,0)),"",VLOOKUP(A71,'Cadastro - Espelho (não editar)'!$A$3:$L$3204,12,0))</f>
        <v/>
      </c>
      <c r="G71" s="11" t="s">
        <v>5053</v>
      </c>
      <c r="H71" s="148"/>
      <c r="M71" s="105" t="e">
        <f t="shared" si="3"/>
        <v>#VALUE!</v>
      </c>
    </row>
    <row r="72" customHeight="1" spans="1:13">
      <c r="A72" s="11"/>
      <c r="B72" s="145" t="e">
        <f t="shared" si="0"/>
        <v>#VALUE!</v>
      </c>
      <c r="C72" s="11" t="str">
        <f>IF(ISNA(VLOOKUP(A72,'Cadastro - Espelho (não editar)'!$A$3:$H$3204,8,0)),"",VLOOKUP(A72,'Cadastro - Espelho (não editar)'!$A$3:$H$3204,8,0))</f>
        <v/>
      </c>
      <c r="D72" s="11" t="b">
        <v>0</v>
      </c>
      <c r="F72" s="147" t="str">
        <f>IF(ISNA(VLOOKUP(A72,'Cadastro - Espelho (não editar)'!$A$3:$L$3204,12,0)),"",VLOOKUP(A72,'Cadastro - Espelho (não editar)'!$A$3:$L$3204,12,0))</f>
        <v/>
      </c>
      <c r="G72" s="11" t="s">
        <v>5053</v>
      </c>
      <c r="H72" s="148"/>
      <c r="M72" s="105" t="e">
        <f t="shared" si="3"/>
        <v>#VALUE!</v>
      </c>
    </row>
    <row r="73" customHeight="1" spans="1:13">
      <c r="A73" s="11"/>
      <c r="B73" s="145" t="e">
        <f t="shared" si="0"/>
        <v>#VALUE!</v>
      </c>
      <c r="C73" s="11" t="str">
        <f>IF(ISNA(VLOOKUP(A73,'Cadastro - Espelho (não editar)'!$A$3:$H$3204,8,0)),"",VLOOKUP(A73,'Cadastro - Espelho (não editar)'!$A$3:$H$3204,8,0))</f>
        <v/>
      </c>
      <c r="D73" s="11" t="b">
        <v>0</v>
      </c>
      <c r="F73" s="147" t="str">
        <f>IF(ISNA(VLOOKUP(A73,'Cadastro - Espelho (não editar)'!$A$3:$L$3204,12,0)),"",VLOOKUP(A73,'Cadastro - Espelho (não editar)'!$A$3:$L$3204,12,0))</f>
        <v/>
      </c>
      <c r="G73" s="11" t="s">
        <v>5053</v>
      </c>
      <c r="H73" s="148"/>
      <c r="M73" s="105" t="e">
        <f t="shared" si="3"/>
        <v>#VALUE!</v>
      </c>
    </row>
    <row r="74" customHeight="1" spans="1:13">
      <c r="A74" s="11"/>
      <c r="B74" s="145" t="e">
        <f t="shared" si="0"/>
        <v>#VALUE!</v>
      </c>
      <c r="C74" s="11" t="str">
        <f>IF(ISNA(VLOOKUP(A74,'Cadastro - Espelho (não editar)'!$A$3:$H$3204,8,0)),"",VLOOKUP(A74,'Cadastro - Espelho (não editar)'!$A$3:$H$3204,8,0))</f>
        <v/>
      </c>
      <c r="D74" s="11" t="b">
        <v>0</v>
      </c>
      <c r="F74" s="147" t="str">
        <f>IF(ISNA(VLOOKUP(A74,'Cadastro - Espelho (não editar)'!$A$3:$L$3204,12,0)),"",VLOOKUP(A74,'Cadastro - Espelho (não editar)'!$A$3:$L$3204,12,0))</f>
        <v/>
      </c>
      <c r="G74" s="11" t="s">
        <v>5053</v>
      </c>
      <c r="H74" s="148"/>
      <c r="M74" s="105" t="e">
        <f t="shared" si="3"/>
        <v>#VALUE!</v>
      </c>
    </row>
    <row r="75" customHeight="1" spans="1:13">
      <c r="A75" s="11"/>
      <c r="B75" s="145" t="e">
        <f t="shared" si="0"/>
        <v>#VALUE!</v>
      </c>
      <c r="C75" s="11" t="str">
        <f>IF(ISNA(VLOOKUP(A75,'Cadastro - Espelho (não editar)'!$A$3:$H$3204,8,0)),"",VLOOKUP(A75,'Cadastro - Espelho (não editar)'!$A$3:$H$3204,8,0))</f>
        <v/>
      </c>
      <c r="D75" s="11" t="b">
        <v>0</v>
      </c>
      <c r="F75" s="147" t="str">
        <f>IF(ISNA(VLOOKUP(A75,'Cadastro - Espelho (não editar)'!$A$3:$L$3204,12,0)),"",VLOOKUP(A75,'Cadastro - Espelho (não editar)'!$A$3:$L$3204,12,0))</f>
        <v/>
      </c>
      <c r="G75" s="11" t="s">
        <v>5053</v>
      </c>
      <c r="H75" s="148"/>
      <c r="M75" s="105" t="e">
        <f t="shared" si="3"/>
        <v>#VALUE!</v>
      </c>
    </row>
    <row r="76" customHeight="1" spans="1:13">
      <c r="A76" s="11"/>
      <c r="B76" s="145" t="e">
        <f t="shared" si="0"/>
        <v>#VALUE!</v>
      </c>
      <c r="C76" s="11" t="str">
        <f>IF(ISNA(VLOOKUP(A76,'Cadastro - Espelho (não editar)'!$A$3:$H$3204,8,0)),"",VLOOKUP(A76,'Cadastro - Espelho (não editar)'!$A$3:$H$3204,8,0))</f>
        <v/>
      </c>
      <c r="D76" s="11" t="b">
        <v>0</v>
      </c>
      <c r="F76" s="147" t="str">
        <f>IF(ISNA(VLOOKUP(A76,'Cadastro - Espelho (não editar)'!$A$3:$L$3204,12,0)),"",VLOOKUP(A76,'Cadastro - Espelho (não editar)'!$A$3:$L$3204,12,0))</f>
        <v/>
      </c>
      <c r="G76" s="11" t="s">
        <v>5053</v>
      </c>
      <c r="H76" s="148"/>
      <c r="M76" s="105" t="e">
        <f t="shared" si="3"/>
        <v>#VALUE!</v>
      </c>
    </row>
    <row r="77" customHeight="1" spans="1:13">
      <c r="A77" s="11"/>
      <c r="B77" s="145" t="e">
        <f t="shared" si="0"/>
        <v>#VALUE!</v>
      </c>
      <c r="C77" s="11" t="str">
        <f>IF(ISNA(VLOOKUP(A77,'Cadastro - Espelho (não editar)'!$A$3:$H$3204,8,0)),"",VLOOKUP(A77,'Cadastro - Espelho (não editar)'!$A$3:$H$3204,8,0))</f>
        <v/>
      </c>
      <c r="D77" s="11" t="b">
        <v>0</v>
      </c>
      <c r="F77" s="147" t="str">
        <f>IF(ISNA(VLOOKUP(A77,'Cadastro - Espelho (não editar)'!$A$3:$L$3204,12,0)),"",VLOOKUP(A77,'Cadastro - Espelho (não editar)'!$A$3:$L$3204,12,0))</f>
        <v/>
      </c>
      <c r="G77" s="11" t="s">
        <v>5053</v>
      </c>
      <c r="H77" s="148"/>
      <c r="M77" s="105" t="e">
        <f t="shared" si="3"/>
        <v>#VALUE!</v>
      </c>
    </row>
    <row r="78" customHeight="1" spans="1:13">
      <c r="A78" s="11"/>
      <c r="B78" s="145" t="e">
        <f t="shared" si="0"/>
        <v>#VALUE!</v>
      </c>
      <c r="C78" s="11" t="str">
        <f>IF(ISNA(VLOOKUP(A78,'Cadastro - Espelho (não editar)'!$A$3:$H$3204,8,0)),"",VLOOKUP(A78,'Cadastro - Espelho (não editar)'!$A$3:$H$3204,8,0))</f>
        <v/>
      </c>
      <c r="D78" s="11" t="b">
        <v>0</v>
      </c>
      <c r="F78" s="147" t="str">
        <f>IF(ISNA(VLOOKUP(A78,'Cadastro - Espelho (não editar)'!$A$3:$L$3204,12,0)),"",VLOOKUP(A78,'Cadastro - Espelho (não editar)'!$A$3:$L$3204,12,0))</f>
        <v/>
      </c>
      <c r="G78" s="11" t="s">
        <v>5053</v>
      </c>
      <c r="H78" s="148"/>
      <c r="M78" s="105" t="e">
        <f t="shared" si="3"/>
        <v>#VALUE!</v>
      </c>
    </row>
    <row r="79" customHeight="1" spans="1:13">
      <c r="A79" s="11"/>
      <c r="B79" s="145" t="e">
        <f t="shared" si="0"/>
        <v>#VALUE!</v>
      </c>
      <c r="C79" s="11" t="str">
        <f>IF(ISNA(VLOOKUP(A79,'Cadastro - Espelho (não editar)'!$A$3:$H$3204,8,0)),"",VLOOKUP(A79,'Cadastro - Espelho (não editar)'!$A$3:$H$3204,8,0))</f>
        <v/>
      </c>
      <c r="D79" s="11" t="b">
        <v>0</v>
      </c>
      <c r="F79" s="147" t="str">
        <f>IF(ISNA(VLOOKUP(A79,'Cadastro - Espelho (não editar)'!$A$3:$L$3204,12,0)),"",VLOOKUP(A79,'Cadastro - Espelho (não editar)'!$A$3:$L$3204,12,0))</f>
        <v/>
      </c>
      <c r="G79" s="11" t="s">
        <v>5053</v>
      </c>
      <c r="H79" s="148"/>
      <c r="M79" s="105" t="e">
        <f t="shared" si="3"/>
        <v>#VALUE!</v>
      </c>
    </row>
    <row r="80" customHeight="1" spans="1:13">
      <c r="A80" s="11"/>
      <c r="B80" s="145" t="e">
        <f t="shared" si="0"/>
        <v>#VALUE!</v>
      </c>
      <c r="C80" s="11" t="str">
        <f>IF(ISNA(VLOOKUP(A80,'Cadastro - Espelho (não editar)'!$A$3:$H$3204,8,0)),"",VLOOKUP(A80,'Cadastro - Espelho (não editar)'!$A$3:$H$3204,8,0))</f>
        <v/>
      </c>
      <c r="D80" s="11" t="b">
        <v>0</v>
      </c>
      <c r="F80" s="147" t="str">
        <f>IF(ISNA(VLOOKUP(A80,'Cadastro - Espelho (não editar)'!$A$3:$L$3204,12,0)),"",VLOOKUP(A80,'Cadastro - Espelho (não editar)'!$A$3:$L$3204,12,0))</f>
        <v/>
      </c>
      <c r="G80" s="11" t="s">
        <v>5053</v>
      </c>
      <c r="H80" s="148"/>
      <c r="M80" s="105" t="e">
        <f t="shared" si="3"/>
        <v>#VALUE!</v>
      </c>
    </row>
    <row r="81" customHeight="1" spans="1:13">
      <c r="A81" s="11"/>
      <c r="B81" s="145" t="e">
        <f t="shared" si="0"/>
        <v>#VALUE!</v>
      </c>
      <c r="C81" s="11" t="str">
        <f>IF(ISNA(VLOOKUP(A81,'Cadastro - Espelho (não editar)'!$A$3:$H$3204,8,0)),"",VLOOKUP(A81,'Cadastro - Espelho (não editar)'!$A$3:$H$3204,8,0))</f>
        <v/>
      </c>
      <c r="D81" s="11" t="b">
        <v>0</v>
      </c>
      <c r="F81" s="147" t="str">
        <f>IF(ISNA(VLOOKUP(A81,'Cadastro - Espelho (não editar)'!$A$3:$L$3204,12,0)),"",VLOOKUP(A81,'Cadastro - Espelho (não editar)'!$A$3:$L$3204,12,0))</f>
        <v/>
      </c>
      <c r="G81" s="11" t="s">
        <v>5053</v>
      </c>
      <c r="H81" s="148"/>
      <c r="M81" s="105" t="e">
        <f t="shared" si="3"/>
        <v>#VALUE!</v>
      </c>
    </row>
    <row r="82" customHeight="1" spans="1:13">
      <c r="A82" s="11"/>
      <c r="B82" s="145" t="e">
        <f t="shared" si="0"/>
        <v>#VALUE!</v>
      </c>
      <c r="C82" s="11" t="str">
        <f>IF(ISNA(VLOOKUP(A82,'Cadastro - Espelho (não editar)'!$A$3:$H$3204,8,0)),"",VLOOKUP(A82,'Cadastro - Espelho (não editar)'!$A$3:$H$3204,8,0))</f>
        <v/>
      </c>
      <c r="D82" s="11" t="b">
        <v>0</v>
      </c>
      <c r="F82" s="147" t="str">
        <f>IF(ISNA(VLOOKUP(A82,'Cadastro - Espelho (não editar)'!$A$3:$L$3204,12,0)),"",VLOOKUP(A82,'Cadastro - Espelho (não editar)'!$A$3:$L$3204,12,0))</f>
        <v/>
      </c>
      <c r="G82" s="11" t="s">
        <v>5053</v>
      </c>
      <c r="H82" s="148"/>
      <c r="M82" s="105" t="e">
        <f t="shared" si="3"/>
        <v>#VALUE!</v>
      </c>
    </row>
    <row r="83" customHeight="1" spans="1:13">
      <c r="A83" s="11"/>
      <c r="B83" s="145" t="e">
        <f t="shared" si="0"/>
        <v>#VALUE!</v>
      </c>
      <c r="C83" s="11" t="str">
        <f>IF(ISNA(VLOOKUP(A83,'Cadastro - Espelho (não editar)'!$A$3:$H$3204,8,0)),"",VLOOKUP(A83,'Cadastro - Espelho (não editar)'!$A$3:$H$3204,8,0))</f>
        <v/>
      </c>
      <c r="D83" s="11" t="b">
        <v>0</v>
      </c>
      <c r="F83" s="147" t="str">
        <f>IF(ISNA(VLOOKUP(A83,'Cadastro - Espelho (não editar)'!$A$3:$L$3204,12,0)),"",VLOOKUP(A83,'Cadastro - Espelho (não editar)'!$A$3:$L$3204,12,0))</f>
        <v/>
      </c>
      <c r="G83" s="11" t="s">
        <v>5053</v>
      </c>
      <c r="H83" s="148"/>
      <c r="M83" s="105" t="e">
        <f t="shared" si="3"/>
        <v>#VALUE!</v>
      </c>
    </row>
    <row r="84" customHeight="1" spans="1:13">
      <c r="A84" s="11"/>
      <c r="B84" s="145" t="e">
        <f t="shared" si="0"/>
        <v>#VALUE!</v>
      </c>
      <c r="C84" s="11" t="str">
        <f>IF(ISNA(VLOOKUP(A84,'Cadastro - Espelho (não editar)'!$A$3:$H$3204,8,0)),"",VLOOKUP(A84,'Cadastro - Espelho (não editar)'!$A$3:$H$3204,8,0))</f>
        <v/>
      </c>
      <c r="D84" s="11" t="b">
        <v>0</v>
      </c>
      <c r="F84" s="147" t="str">
        <f>IF(ISNA(VLOOKUP(A84,'Cadastro - Espelho (não editar)'!$A$3:$L$3204,12,0)),"",VLOOKUP(A84,'Cadastro - Espelho (não editar)'!$A$3:$L$3204,12,0))</f>
        <v/>
      </c>
      <c r="G84" s="11" t="s">
        <v>5053</v>
      </c>
      <c r="H84" s="148"/>
      <c r="M84" s="105" t="e">
        <f t="shared" si="3"/>
        <v>#VALUE!</v>
      </c>
    </row>
    <row r="85" customHeight="1" spans="1:13">
      <c r="A85" s="11"/>
      <c r="B85" s="145" t="e">
        <f t="shared" si="0"/>
        <v>#VALUE!</v>
      </c>
      <c r="C85" s="11" t="str">
        <f>IF(ISNA(VLOOKUP(A85,'Cadastro - Espelho (não editar)'!$A$3:$H$3204,8,0)),"",VLOOKUP(A85,'Cadastro - Espelho (não editar)'!$A$3:$H$3204,8,0))</f>
        <v/>
      </c>
      <c r="D85" s="11" t="b">
        <v>0</v>
      </c>
      <c r="F85" s="147" t="str">
        <f>IF(ISNA(VLOOKUP(A85,'Cadastro - Espelho (não editar)'!$A$3:$L$3204,12,0)),"",VLOOKUP(A85,'Cadastro - Espelho (não editar)'!$A$3:$L$3204,12,0))</f>
        <v/>
      </c>
      <c r="G85" s="11" t="s">
        <v>5053</v>
      </c>
      <c r="H85" s="148"/>
      <c r="M85" s="105" t="e">
        <f t="shared" si="3"/>
        <v>#VALUE!</v>
      </c>
    </row>
    <row r="86" customHeight="1" spans="1:13">
      <c r="A86" s="11"/>
      <c r="B86" s="145" t="e">
        <f t="shared" si="0"/>
        <v>#VALUE!</v>
      </c>
      <c r="C86" s="11" t="str">
        <f>IF(ISNA(VLOOKUP(A86,'Cadastro - Espelho (não editar)'!$A$3:$H$3204,8,0)),"",VLOOKUP(A86,'Cadastro - Espelho (não editar)'!$A$3:$H$3204,8,0))</f>
        <v/>
      </c>
      <c r="D86" s="11" t="b">
        <v>0</v>
      </c>
      <c r="F86" s="147" t="str">
        <f>IF(ISNA(VLOOKUP(A86,'Cadastro - Espelho (não editar)'!$A$3:$L$3204,12,0)),"",VLOOKUP(A86,'Cadastro - Espelho (não editar)'!$A$3:$L$3204,12,0))</f>
        <v/>
      </c>
      <c r="G86" s="11" t="s">
        <v>5053</v>
      </c>
      <c r="H86" s="148"/>
      <c r="M86" s="105" t="e">
        <f t="shared" si="3"/>
        <v>#VALUE!</v>
      </c>
    </row>
    <row r="87" customHeight="1" spans="1:13">
      <c r="A87" s="11"/>
      <c r="B87" s="145" t="e">
        <f t="shared" si="0"/>
        <v>#VALUE!</v>
      </c>
      <c r="C87" s="11" t="str">
        <f>IF(ISNA(VLOOKUP(A87,'Cadastro - Espelho (não editar)'!$A$3:$H$3204,8,0)),"",VLOOKUP(A87,'Cadastro - Espelho (não editar)'!$A$3:$H$3204,8,0))</f>
        <v/>
      </c>
      <c r="D87" s="11" t="b">
        <v>0</v>
      </c>
      <c r="F87" s="147" t="str">
        <f>IF(ISNA(VLOOKUP(A87,'Cadastro - Espelho (não editar)'!$A$3:$L$3204,12,0)),"",VLOOKUP(A87,'Cadastro - Espelho (não editar)'!$A$3:$L$3204,12,0))</f>
        <v/>
      </c>
      <c r="G87" s="11" t="s">
        <v>5053</v>
      </c>
      <c r="H87" s="148"/>
      <c r="M87" s="105" t="e">
        <f t="shared" si="3"/>
        <v>#VALUE!</v>
      </c>
    </row>
    <row r="88" customHeight="1" spans="1:13">
      <c r="A88" s="11"/>
      <c r="B88" s="145" t="e">
        <f t="shared" si="0"/>
        <v>#VALUE!</v>
      </c>
      <c r="C88" s="11" t="str">
        <f>IF(ISNA(VLOOKUP(A88,'Cadastro - Espelho (não editar)'!$A$3:$H$3204,8,0)),"",VLOOKUP(A88,'Cadastro - Espelho (não editar)'!$A$3:$H$3204,8,0))</f>
        <v/>
      </c>
      <c r="D88" s="11" t="b">
        <v>0</v>
      </c>
      <c r="F88" s="147" t="str">
        <f>IF(ISNA(VLOOKUP(A88,'Cadastro - Espelho (não editar)'!$A$3:$L$3204,12,0)),"",VLOOKUP(A88,'Cadastro - Espelho (não editar)'!$A$3:$L$3204,12,0))</f>
        <v/>
      </c>
      <c r="G88" s="11" t="s">
        <v>5053</v>
      </c>
      <c r="H88" s="148"/>
      <c r="M88" s="105" t="e">
        <f t="shared" si="3"/>
        <v>#VALUE!</v>
      </c>
    </row>
    <row r="89" customHeight="1" spans="1:13">
      <c r="A89" s="11"/>
      <c r="B89" s="145" t="e">
        <f t="shared" si="0"/>
        <v>#VALUE!</v>
      </c>
      <c r="C89" s="11" t="str">
        <f>IF(ISNA(VLOOKUP(A89,'Cadastro - Espelho (não editar)'!$A$3:$H$3204,8,0)),"",VLOOKUP(A89,'Cadastro - Espelho (não editar)'!$A$3:$H$3204,8,0))</f>
        <v/>
      </c>
      <c r="D89" s="11" t="b">
        <v>0</v>
      </c>
      <c r="F89" s="147" t="str">
        <f>IF(ISNA(VLOOKUP(A89,'Cadastro - Espelho (não editar)'!$A$3:$L$3204,12,0)),"",VLOOKUP(A89,'Cadastro - Espelho (não editar)'!$A$3:$L$3204,12,0))</f>
        <v/>
      </c>
      <c r="G89" s="11" t="s">
        <v>5053</v>
      </c>
      <c r="H89" s="148"/>
      <c r="M89" s="105" t="e">
        <f t="shared" si="3"/>
        <v>#VALUE!</v>
      </c>
    </row>
    <row r="90" customHeight="1" spans="1:13">
      <c r="A90" s="11"/>
      <c r="B90" s="145" t="e">
        <f t="shared" si="0"/>
        <v>#VALUE!</v>
      </c>
      <c r="C90" s="11" t="str">
        <f>IF(ISNA(VLOOKUP(A90,'Cadastro - Espelho (não editar)'!$A$3:$H$3204,8,0)),"",VLOOKUP(A90,'Cadastro - Espelho (não editar)'!$A$3:$H$3204,8,0))</f>
        <v/>
      </c>
      <c r="D90" s="11" t="b">
        <v>0</v>
      </c>
      <c r="F90" s="147" t="str">
        <f>IF(ISNA(VLOOKUP(A90,'Cadastro - Espelho (não editar)'!$A$3:$L$3204,12,0)),"",VLOOKUP(A90,'Cadastro - Espelho (não editar)'!$A$3:$L$3204,12,0))</f>
        <v/>
      </c>
      <c r="G90" s="11" t="s">
        <v>5053</v>
      </c>
      <c r="H90" s="148"/>
      <c r="L90" s="161"/>
      <c r="M90" s="105" t="e">
        <f t="shared" si="3"/>
        <v>#VALUE!</v>
      </c>
    </row>
    <row r="91" customHeight="1" spans="1:13">
      <c r="A91" s="11"/>
      <c r="B91" s="145" t="e">
        <f t="shared" si="0"/>
        <v>#VALUE!</v>
      </c>
      <c r="C91" s="11" t="str">
        <f>IF(ISNA(VLOOKUP(A91,'Cadastro - Espelho (não editar)'!$A$3:$H$3204,8,0)),"",VLOOKUP(A91,'Cadastro - Espelho (não editar)'!$A$3:$H$3204,8,0))</f>
        <v/>
      </c>
      <c r="D91" s="11" t="b">
        <v>0</v>
      </c>
      <c r="F91" s="147" t="str">
        <f>IF(ISNA(VLOOKUP(A91,'Cadastro - Espelho (não editar)'!$A$3:$L$3204,12,0)),"",VLOOKUP(A91,'Cadastro - Espelho (não editar)'!$A$3:$L$3204,12,0))</f>
        <v/>
      </c>
      <c r="G91" s="11" t="s">
        <v>5053</v>
      </c>
      <c r="H91" s="148"/>
      <c r="M91" s="105" t="e">
        <f t="shared" si="3"/>
        <v>#VALUE!</v>
      </c>
    </row>
    <row r="92" customHeight="1" spans="1:13">
      <c r="A92" s="11"/>
      <c r="B92" s="145" t="e">
        <f t="shared" si="0"/>
        <v>#VALUE!</v>
      </c>
      <c r="C92" s="11" t="str">
        <f>IF(ISNA(VLOOKUP(A92,'Cadastro - Espelho (não editar)'!$A$3:$H$3204,8,0)),"",VLOOKUP(A92,'Cadastro - Espelho (não editar)'!$A$3:$H$3204,8,0))</f>
        <v/>
      </c>
      <c r="D92" s="11" t="b">
        <v>0</v>
      </c>
      <c r="F92" s="147" t="str">
        <f>IF(ISNA(VLOOKUP(A92,'Cadastro - Espelho (não editar)'!$A$3:$L$3204,12,0)),"",VLOOKUP(A92,'Cadastro - Espelho (não editar)'!$A$3:$L$3204,12,0))</f>
        <v/>
      </c>
      <c r="G92" s="11" t="s">
        <v>5053</v>
      </c>
      <c r="H92" s="148"/>
      <c r="M92" s="105" t="e">
        <f t="shared" si="3"/>
        <v>#VALUE!</v>
      </c>
    </row>
    <row r="93" customHeight="1" spans="1:13">
      <c r="A93" s="11"/>
      <c r="B93" s="145" t="e">
        <f t="shared" si="0"/>
        <v>#VALUE!</v>
      </c>
      <c r="C93" s="11" t="str">
        <f>IF(ISNA(VLOOKUP(A93,'Cadastro - Espelho (não editar)'!$A$3:$H$3204,8,0)),"",VLOOKUP(A93,'Cadastro - Espelho (não editar)'!$A$3:$H$3204,8,0))</f>
        <v/>
      </c>
      <c r="D93" s="11" t="b">
        <v>0</v>
      </c>
      <c r="F93" s="147" t="str">
        <f>IF(ISNA(VLOOKUP(A93,'Cadastro - Espelho (não editar)'!$A$3:$L$3204,12,0)),"",VLOOKUP(A93,'Cadastro - Espelho (não editar)'!$A$3:$L$3204,12,0))</f>
        <v/>
      </c>
      <c r="G93" s="11" t="s">
        <v>5053</v>
      </c>
      <c r="H93" s="148"/>
      <c r="M93" s="105" t="e">
        <f t="shared" si="3"/>
        <v>#VALUE!</v>
      </c>
    </row>
    <row r="94" customHeight="1" spans="1:13">
      <c r="A94" s="11"/>
      <c r="B94" s="145" t="e">
        <f t="shared" si="0"/>
        <v>#VALUE!</v>
      </c>
      <c r="C94" s="11" t="str">
        <f>IF(ISNA(VLOOKUP(A94,'Cadastro - Espelho (não editar)'!$A$3:$H$3204,8,0)),"",VLOOKUP(A94,'Cadastro - Espelho (não editar)'!$A$3:$H$3204,8,0))</f>
        <v/>
      </c>
      <c r="D94" s="11" t="b">
        <v>0</v>
      </c>
      <c r="F94" s="147" t="str">
        <f>IF(ISNA(VLOOKUP(A94,'Cadastro - Espelho (não editar)'!$A$3:$L$3204,12,0)),"",VLOOKUP(A94,'Cadastro - Espelho (não editar)'!$A$3:$L$3204,12,0))</f>
        <v/>
      </c>
      <c r="G94" s="11" t="s">
        <v>5053</v>
      </c>
      <c r="H94" s="148"/>
      <c r="M94" s="105" t="e">
        <f t="shared" si="3"/>
        <v>#VALUE!</v>
      </c>
    </row>
    <row r="95" customHeight="1" spans="1:13">
      <c r="A95" s="11"/>
      <c r="B95" s="145" t="e">
        <f t="shared" si="0"/>
        <v>#VALUE!</v>
      </c>
      <c r="C95" s="11" t="str">
        <f>IF(ISNA(VLOOKUP(A95,'Cadastro - Espelho (não editar)'!$A$3:$H$3204,8,0)),"",VLOOKUP(A95,'Cadastro - Espelho (não editar)'!$A$3:$H$3204,8,0))</f>
        <v/>
      </c>
      <c r="D95" s="11" t="b">
        <v>0</v>
      </c>
      <c r="F95" s="147" t="str">
        <f>IF(ISNA(VLOOKUP(A95,'Cadastro - Espelho (não editar)'!$A$3:$L$3204,12,0)),"",VLOOKUP(A95,'Cadastro - Espelho (não editar)'!$A$3:$L$3204,12,0))</f>
        <v/>
      </c>
      <c r="G95" s="11" t="s">
        <v>5053</v>
      </c>
      <c r="H95" s="148"/>
      <c r="M95" s="105" t="e">
        <f t="shared" si="3"/>
        <v>#VALUE!</v>
      </c>
    </row>
    <row r="96" customHeight="1" spans="1:13">
      <c r="A96" s="11"/>
      <c r="B96" s="145" t="e">
        <f t="shared" si="0"/>
        <v>#VALUE!</v>
      </c>
      <c r="C96" s="11" t="str">
        <f>IF(ISNA(VLOOKUP(A96,'Cadastro - Espelho (não editar)'!$A$3:$H$3204,8,0)),"",VLOOKUP(A96,'Cadastro - Espelho (não editar)'!$A$3:$H$3204,8,0))</f>
        <v/>
      </c>
      <c r="D96" s="11" t="b">
        <v>0</v>
      </c>
      <c r="F96" s="147" t="str">
        <f>IF(ISNA(VLOOKUP(A96,'Cadastro - Espelho (não editar)'!$A$3:$L$3204,12,0)),"",VLOOKUP(A96,'Cadastro - Espelho (não editar)'!$A$3:$L$3204,12,0))</f>
        <v/>
      </c>
      <c r="G96" s="11" t="s">
        <v>5053</v>
      </c>
      <c r="H96" s="148"/>
      <c r="M96" s="105" t="e">
        <f t="shared" si="3"/>
        <v>#VALUE!</v>
      </c>
    </row>
    <row r="97" customHeight="1" spans="1:13">
      <c r="A97" s="11"/>
      <c r="B97" s="145" t="e">
        <f t="shared" si="0"/>
        <v>#VALUE!</v>
      </c>
      <c r="C97" s="11" t="str">
        <f>IF(ISNA(VLOOKUP(A97,'Cadastro - Espelho (não editar)'!$A$3:$H$3204,8,0)),"",VLOOKUP(A97,'Cadastro - Espelho (não editar)'!$A$3:$H$3204,8,0))</f>
        <v/>
      </c>
      <c r="D97" s="11" t="b">
        <v>0</v>
      </c>
      <c r="F97" s="147" t="str">
        <f>IF(ISNA(VLOOKUP(A97,'Cadastro - Espelho (não editar)'!$A$3:$L$3204,12,0)),"",VLOOKUP(A97,'Cadastro - Espelho (não editar)'!$A$3:$L$3204,12,0))</f>
        <v/>
      </c>
      <c r="G97" s="11" t="s">
        <v>5075</v>
      </c>
      <c r="H97" s="148"/>
      <c r="M97" s="105" t="e">
        <f t="shared" si="3"/>
        <v>#VALUE!</v>
      </c>
    </row>
    <row r="98" customHeight="1" spans="1:13">
      <c r="A98" s="11"/>
      <c r="B98" s="145" t="e">
        <f t="shared" si="0"/>
        <v>#VALUE!</v>
      </c>
      <c r="C98" s="11" t="str">
        <f>IF(ISNA(VLOOKUP(A98,'Cadastro - Espelho (não editar)'!$A$3:$H$3204,8,0)),"",VLOOKUP(A98,'Cadastro - Espelho (não editar)'!$A$3:$H$3204,8,0))</f>
        <v/>
      </c>
      <c r="D98" s="11" t="b">
        <v>0</v>
      </c>
      <c r="F98" s="147" t="str">
        <f>IF(ISNA(VLOOKUP(A98,'Cadastro - Espelho (não editar)'!$A$3:$L$3204,12,0)),"",VLOOKUP(A98,'Cadastro - Espelho (não editar)'!$A$3:$L$3204,12,0))</f>
        <v/>
      </c>
      <c r="G98" s="11"/>
      <c r="H98" s="148"/>
      <c r="M98" s="105" t="e">
        <f t="shared" si="3"/>
        <v>#VALUE!</v>
      </c>
    </row>
    <row r="99" customHeight="1" spans="1:13">
      <c r="A99" s="11"/>
      <c r="B99" s="145" t="e">
        <f t="shared" si="0"/>
        <v>#VALUE!</v>
      </c>
      <c r="C99" s="11" t="str">
        <f>IF(ISNA(VLOOKUP(A99,'Cadastro - Espelho (não editar)'!$A$3:$H$3204,8,0)),"",VLOOKUP(A99,'Cadastro - Espelho (não editar)'!$A$3:$H$3204,8,0))</f>
        <v/>
      </c>
      <c r="D99" s="11" t="b">
        <v>0</v>
      </c>
      <c r="F99" s="147" t="str">
        <f>IF(ISNA(VLOOKUP(A99,'Cadastro - Espelho (não editar)'!$A$3:$L$3204,12,0)),"",VLOOKUP(A99,'Cadastro - Espelho (não editar)'!$A$3:$L$3204,12,0))</f>
        <v/>
      </c>
      <c r="G99" s="11"/>
      <c r="H99" s="152"/>
      <c r="M99" s="105" t="e">
        <f t="shared" si="3"/>
        <v>#VALUE!</v>
      </c>
    </row>
    <row r="100" customHeight="1" spans="1:13">
      <c r="A100" s="11"/>
      <c r="B100" s="145" t="e">
        <f t="shared" si="0"/>
        <v>#VALUE!</v>
      </c>
      <c r="C100" s="11" t="str">
        <f>IF(ISNA(VLOOKUP(A100,'Cadastro - Espelho (não editar)'!$A$3:$H$3204,8,0)),"",VLOOKUP(A100,'Cadastro - Espelho (não editar)'!$A$3:$H$3204,8,0))</f>
        <v/>
      </c>
      <c r="D100" s="11" t="b">
        <v>0</v>
      </c>
      <c r="F100" s="147" t="str">
        <f>IF(ISNA(VLOOKUP(A100,'Cadastro - Espelho (não editar)'!$A$3:$L$3204,12,0)),"",VLOOKUP(A100,'Cadastro - Espelho (não editar)'!$A$3:$L$3204,12,0))</f>
        <v/>
      </c>
      <c r="G100" s="11"/>
      <c r="M100" s="105" t="e">
        <f t="shared" si="3"/>
        <v>#VALUE!</v>
      </c>
    </row>
    <row r="101" customHeight="1" spans="1:13">
      <c r="A101" s="11"/>
      <c r="B101" s="145" t="e">
        <f t="shared" si="0"/>
        <v>#VALUE!</v>
      </c>
      <c r="C101" s="11" t="str">
        <f>IF(ISNA(VLOOKUP(A101,'Cadastro - Espelho (não editar)'!$A$3:$H$3204,8,0)),"",VLOOKUP(A101,'Cadastro - Espelho (não editar)'!$A$3:$H$3204,8,0))</f>
        <v/>
      </c>
      <c r="D101" s="11" t="b">
        <v>0</v>
      </c>
      <c r="F101" s="147" t="str">
        <f>IF(ISNA(VLOOKUP(A101,'Cadastro - Espelho (não editar)'!$A$3:$L$3204,12,0)),"",VLOOKUP(A101,'Cadastro - Espelho (não editar)'!$A$3:$L$3204,12,0))</f>
        <v/>
      </c>
      <c r="G101" s="11"/>
      <c r="M101" s="105" t="e">
        <f t="shared" si="3"/>
        <v>#VALUE!</v>
      </c>
    </row>
    <row r="102" customHeight="1" spans="1:13">
      <c r="A102" s="11"/>
      <c r="B102" s="145" t="e">
        <f t="shared" si="0"/>
        <v>#VALUE!</v>
      </c>
      <c r="C102" s="11" t="str">
        <f>IF(ISNA(VLOOKUP(A102,'Cadastro - Espelho (não editar)'!$A$3:$H$3204,8,0)),"",VLOOKUP(A102,'Cadastro - Espelho (não editar)'!$A$3:$H$3204,8,0))</f>
        <v/>
      </c>
      <c r="D102" s="11" t="b">
        <v>0</v>
      </c>
      <c r="F102" s="147" t="str">
        <f>IF(ISNA(VLOOKUP(A102,'Cadastro - Espelho (não editar)'!$A$3:$L$3204,12,0)),"",VLOOKUP(A102,'Cadastro - Espelho (não editar)'!$A$3:$L$3204,12,0))</f>
        <v/>
      </c>
      <c r="G102" s="11"/>
      <c r="M102" s="105" t="e">
        <f t="shared" si="3"/>
        <v>#VALUE!</v>
      </c>
    </row>
    <row r="103" customHeight="1" spans="1:13">
      <c r="A103" s="11"/>
      <c r="B103" s="145" t="e">
        <f t="shared" si="0"/>
        <v>#VALUE!</v>
      </c>
      <c r="C103" s="11" t="str">
        <f>IF(ISNA(VLOOKUP(A103,'Cadastro - Espelho (não editar)'!$A$3:$H$3204,8,0)),"",VLOOKUP(A103,'Cadastro - Espelho (não editar)'!$A$3:$H$3204,8,0))</f>
        <v/>
      </c>
      <c r="D103" s="11" t="b">
        <v>0</v>
      </c>
      <c r="F103" s="147" t="str">
        <f>IF(ISNA(VLOOKUP(A103,'Cadastro - Espelho (não editar)'!$A$3:$L$3204,12,0)),"",VLOOKUP(A103,'Cadastro - Espelho (não editar)'!$A$3:$L$3204,12,0))</f>
        <v/>
      </c>
      <c r="G103" s="11"/>
      <c r="M103" s="105" t="e">
        <f t="shared" si="3"/>
        <v>#VALUE!</v>
      </c>
    </row>
    <row r="104" customHeight="1" spans="1:13">
      <c r="A104" s="11"/>
      <c r="B104" s="145" t="e">
        <f t="shared" si="0"/>
        <v>#VALUE!</v>
      </c>
      <c r="C104" s="11" t="str">
        <f>IF(ISNA(VLOOKUP(A104,'Cadastro - Espelho (não editar)'!$A$3:$H$3204,8,0)),"",VLOOKUP(A104,'Cadastro - Espelho (não editar)'!$A$3:$H$3204,8,0))</f>
        <v/>
      </c>
      <c r="D104" s="11" t="b">
        <v>0</v>
      </c>
      <c r="F104" s="147" t="str">
        <f>IF(ISNA(VLOOKUP(A104,'Cadastro - Espelho (não editar)'!$A$3:$L$3204,12,0)),"",VLOOKUP(A104,'Cadastro - Espelho (não editar)'!$A$3:$L$3204,12,0))</f>
        <v/>
      </c>
      <c r="G104" s="11"/>
      <c r="M104" s="105" t="e">
        <f t="shared" si="3"/>
        <v>#VALUE!</v>
      </c>
    </row>
    <row r="105" customHeight="1" spans="1:13">
      <c r="A105" s="11"/>
      <c r="B105" s="145" t="e">
        <f t="shared" si="0"/>
        <v>#VALUE!</v>
      </c>
      <c r="C105" s="11" t="str">
        <f>IF(ISNA(VLOOKUP(A105,'Cadastro - Espelho (não editar)'!$A$3:$H$3204,8,0)),"",VLOOKUP(A105,'Cadastro - Espelho (não editar)'!$A$3:$H$3204,8,0))</f>
        <v/>
      </c>
      <c r="D105" s="11" t="b">
        <v>0</v>
      </c>
      <c r="F105" s="147" t="str">
        <f>IF(ISNA(VLOOKUP(A105,'Cadastro - Espelho (não editar)'!$A$3:$L$3204,12,0)),"",VLOOKUP(A105,'Cadastro - Espelho (não editar)'!$A$3:$L$3204,12,0))</f>
        <v/>
      </c>
      <c r="G105" s="11"/>
      <c r="M105" s="105" t="e">
        <f t="shared" si="3"/>
        <v>#VALUE!</v>
      </c>
    </row>
    <row r="106" customHeight="1" spans="1:13">
      <c r="A106" s="11"/>
      <c r="B106" s="145" t="e">
        <f t="shared" si="0"/>
        <v>#VALUE!</v>
      </c>
      <c r="C106" s="11" t="str">
        <f>IF(ISNA(VLOOKUP(A106,'Cadastro - Espelho (não editar)'!$A$3:$H$3204,8,0)),"",VLOOKUP(A106,'Cadastro - Espelho (não editar)'!$A$3:$H$3204,8,0))</f>
        <v/>
      </c>
      <c r="D106" s="11" t="b">
        <v>0</v>
      </c>
      <c r="F106" s="147" t="str">
        <f>IF(ISNA(VLOOKUP(A106,'Cadastro - Espelho (não editar)'!$A$3:$L$3204,12,0)),"",VLOOKUP(A106,'Cadastro - Espelho (não editar)'!$A$3:$L$3204,12,0))</f>
        <v/>
      </c>
      <c r="G106" s="11"/>
      <c r="M106" s="105" t="e">
        <f t="shared" si="3"/>
        <v>#VALUE!</v>
      </c>
    </row>
    <row r="107" customHeight="1" spans="1:13">
      <c r="A107" s="11"/>
      <c r="B107" s="145" t="e">
        <f t="shared" si="0"/>
        <v>#VALUE!</v>
      </c>
      <c r="C107" s="11" t="str">
        <f>IF(ISNA(VLOOKUP(A107,'Cadastro - Espelho (não editar)'!$A$3:$H$3204,8,0)),"",VLOOKUP(A107,'Cadastro - Espelho (não editar)'!$A$3:$H$3204,8,0))</f>
        <v/>
      </c>
      <c r="D107" s="11" t="b">
        <v>0</v>
      </c>
      <c r="F107" s="147" t="str">
        <f>IF(ISNA(VLOOKUP(A107,'Cadastro - Espelho (não editar)'!$A$3:$L$3204,12,0)),"",VLOOKUP(A107,'Cadastro - Espelho (não editar)'!$A$3:$L$3204,12,0))</f>
        <v/>
      </c>
      <c r="G107" s="11"/>
      <c r="M107" s="105" t="e">
        <f t="shared" si="3"/>
        <v>#VALUE!</v>
      </c>
    </row>
    <row r="108" customHeight="1" spans="1:13">
      <c r="A108" s="11"/>
      <c r="B108" s="145" t="e">
        <f t="shared" si="0"/>
        <v>#VALUE!</v>
      </c>
      <c r="C108" s="11" t="str">
        <f>IF(ISNA(VLOOKUP(A108,'Cadastro - Espelho (não editar)'!$A$3:$H$3204,8,0)),"",VLOOKUP(A108,'Cadastro - Espelho (não editar)'!$A$3:$H$3204,8,0))</f>
        <v/>
      </c>
      <c r="D108" s="11" t="b">
        <v>0</v>
      </c>
      <c r="F108" s="147" t="str">
        <f>IF(ISNA(VLOOKUP(A108,'Cadastro - Espelho (não editar)'!$A$3:$L$3204,12,0)),"",VLOOKUP(A108,'Cadastro - Espelho (não editar)'!$A$3:$L$3204,12,0))</f>
        <v/>
      </c>
      <c r="G108" s="11"/>
      <c r="M108" s="105" t="e">
        <f t="shared" si="3"/>
        <v>#VALUE!</v>
      </c>
    </row>
    <row r="109" customHeight="1" spans="1:13">
      <c r="A109" s="11"/>
      <c r="B109" s="145" t="e">
        <f t="shared" si="0"/>
        <v>#VALUE!</v>
      </c>
      <c r="C109" s="11" t="str">
        <f>IF(ISNA(VLOOKUP(A109,'Cadastro - Espelho (não editar)'!$A$3:$H$3204,8,0)),"",VLOOKUP(A109,'Cadastro - Espelho (não editar)'!$A$3:$H$3204,8,0))</f>
        <v/>
      </c>
      <c r="D109" s="11" t="b">
        <v>0</v>
      </c>
      <c r="F109" s="147" t="str">
        <f>IF(ISNA(VLOOKUP(A109,'Cadastro - Espelho (não editar)'!$A$3:$L$3204,12,0)),"",VLOOKUP(A109,'Cadastro - Espelho (não editar)'!$A$3:$L$3204,12,0))</f>
        <v/>
      </c>
      <c r="G109" s="11"/>
      <c r="M109" s="105" t="e">
        <f t="shared" si="3"/>
        <v>#VALUE!</v>
      </c>
    </row>
    <row r="110" customHeight="1" spans="1:13">
      <c r="A110" s="11"/>
      <c r="B110" s="145" t="e">
        <f t="shared" si="0"/>
        <v>#VALUE!</v>
      </c>
      <c r="C110" s="11" t="str">
        <f>IF(ISNA(VLOOKUP(A110,'Cadastro - Espelho (não editar)'!$A$3:$H$3204,8,0)),"",VLOOKUP(A110,'Cadastro - Espelho (não editar)'!$A$3:$H$3204,8,0))</f>
        <v/>
      </c>
      <c r="D110" s="11" t="b">
        <v>0</v>
      </c>
      <c r="F110" s="147" t="str">
        <f>IF(ISNA(VLOOKUP(A110,'Cadastro - Espelho (não editar)'!$A$3:$L$3204,12,0)),"",VLOOKUP(A110,'Cadastro - Espelho (não editar)'!$A$3:$L$3204,12,0))</f>
        <v/>
      </c>
      <c r="G110" s="11"/>
      <c r="M110" s="105" t="e">
        <f t="shared" si="3"/>
        <v>#VALUE!</v>
      </c>
    </row>
    <row r="111" customHeight="1" spans="1:13">
      <c r="A111" s="11"/>
      <c r="B111" s="145" t="e">
        <f t="shared" si="0"/>
        <v>#VALUE!</v>
      </c>
      <c r="C111" s="11" t="str">
        <f>IF(ISNA(VLOOKUP(A111,'Cadastro - Espelho (não editar)'!$A$3:$H$3204,8,0)),"",VLOOKUP(A111,'Cadastro - Espelho (não editar)'!$A$3:$H$3204,8,0))</f>
        <v/>
      </c>
      <c r="D111" s="11" t="b">
        <v>0</v>
      </c>
      <c r="F111" s="147" t="str">
        <f>IF(ISNA(VLOOKUP(A111,'Cadastro - Espelho (não editar)'!$A$3:$L$3204,12,0)),"",VLOOKUP(A111,'Cadastro - Espelho (não editar)'!$A$3:$L$3204,12,0))</f>
        <v/>
      </c>
      <c r="G111" s="11"/>
      <c r="M111" s="105" t="e">
        <f t="shared" si="3"/>
        <v>#VALUE!</v>
      </c>
    </row>
    <row r="112" customHeight="1" spans="1:13">
      <c r="A112" s="11"/>
      <c r="B112" s="145" t="e">
        <f t="shared" si="0"/>
        <v>#VALUE!</v>
      </c>
      <c r="C112" s="11" t="str">
        <f>IF(ISNA(VLOOKUP(A112,'Cadastro - Espelho (não editar)'!$A$3:$H$3204,8,0)),"",VLOOKUP(A112,'Cadastro - Espelho (não editar)'!$A$3:$H$3204,8,0))</f>
        <v/>
      </c>
      <c r="D112" s="11" t="b">
        <v>0</v>
      </c>
      <c r="F112" s="147" t="str">
        <f>IF(ISNA(VLOOKUP(A112,'Cadastro - Espelho (não editar)'!$A$3:$L$3204,12,0)),"",VLOOKUP(A112,'Cadastro - Espelho (não editar)'!$A$3:$L$3204,12,0))</f>
        <v/>
      </c>
      <c r="G112" s="11"/>
      <c r="M112" s="105" t="e">
        <f t="shared" si="3"/>
        <v>#VALUE!</v>
      </c>
    </row>
    <row r="113" customHeight="1" spans="1:13">
      <c r="A113" s="11"/>
      <c r="B113" s="145" t="e">
        <f t="shared" si="0"/>
        <v>#VALUE!</v>
      </c>
      <c r="C113" s="11" t="str">
        <f>IF(ISNA(VLOOKUP(A113,'Cadastro - Espelho (não editar)'!$A$3:$H$3204,8,0)),"",VLOOKUP(A113,'Cadastro - Espelho (não editar)'!$A$3:$H$3204,8,0))</f>
        <v/>
      </c>
      <c r="D113" s="11" t="b">
        <v>0</v>
      </c>
      <c r="F113" s="147" t="str">
        <f>IF(ISNA(VLOOKUP(A113,'Cadastro - Espelho (não editar)'!$A$3:$L$3204,12,0)),"",VLOOKUP(A113,'Cadastro - Espelho (não editar)'!$A$3:$L$3204,12,0))</f>
        <v/>
      </c>
      <c r="G113" s="11"/>
      <c r="M113" s="105" t="e">
        <f t="shared" si="3"/>
        <v>#VALUE!</v>
      </c>
    </row>
    <row r="114" customHeight="1" spans="1:13">
      <c r="A114" s="11"/>
      <c r="B114" s="145" t="e">
        <f t="shared" si="0"/>
        <v>#VALUE!</v>
      </c>
      <c r="C114" s="11" t="str">
        <f>IF(ISNA(VLOOKUP(A114,'Cadastro - Espelho (não editar)'!$A$3:$H$3204,8,0)),"",VLOOKUP(A114,'Cadastro - Espelho (não editar)'!$A$3:$H$3204,8,0))</f>
        <v/>
      </c>
      <c r="D114" s="11" t="b">
        <v>0</v>
      </c>
      <c r="F114" s="147" t="str">
        <f>IF(ISNA(VLOOKUP(A114,'Cadastro - Espelho (não editar)'!$A$3:$L$3204,12,0)),"",VLOOKUP(A114,'Cadastro - Espelho (não editar)'!$A$3:$L$3204,12,0))</f>
        <v/>
      </c>
      <c r="G114" s="11"/>
      <c r="M114" s="105" t="e">
        <f t="shared" si="3"/>
        <v>#VALUE!</v>
      </c>
    </row>
    <row r="115" customHeight="1" spans="1:13">
      <c r="A115" s="11"/>
      <c r="B115" s="145" t="e">
        <f t="shared" si="0"/>
        <v>#VALUE!</v>
      </c>
      <c r="C115" s="11" t="str">
        <f>IF(ISNA(VLOOKUP(A115,'Cadastro - Espelho (não editar)'!$A$3:$H$3204,8,0)),"",VLOOKUP(A115,'Cadastro - Espelho (não editar)'!$A$3:$H$3204,8,0))</f>
        <v/>
      </c>
      <c r="D115" s="11" t="b">
        <v>0</v>
      </c>
      <c r="F115" s="147" t="str">
        <f>IF(ISNA(VLOOKUP(A115,'Cadastro - Espelho (não editar)'!$A$3:$L$3204,12,0)),"",VLOOKUP(A115,'Cadastro - Espelho (não editar)'!$A$3:$L$3204,12,0))</f>
        <v/>
      </c>
      <c r="G115" s="11"/>
      <c r="M115" s="105" t="e">
        <f t="shared" si="3"/>
        <v>#VALUE!</v>
      </c>
    </row>
    <row r="116" customHeight="1" spans="1:13">
      <c r="A116" s="11"/>
      <c r="B116" s="145" t="e">
        <f t="shared" si="0"/>
        <v>#VALUE!</v>
      </c>
      <c r="C116" s="11" t="str">
        <f>IF(ISNA(VLOOKUP(A116,'Cadastro - Espelho (não editar)'!$A$3:$H$3204,8,0)),"",VLOOKUP(A116,'Cadastro - Espelho (não editar)'!$A$3:$H$3204,8,0))</f>
        <v/>
      </c>
      <c r="D116" s="11" t="b">
        <v>0</v>
      </c>
      <c r="F116" s="147" t="str">
        <f>IF(ISNA(VLOOKUP(A116,'Cadastro - Espelho (não editar)'!$A$3:$L$3204,12,0)),"",VLOOKUP(A116,'Cadastro - Espelho (não editar)'!$A$3:$L$3204,12,0))</f>
        <v/>
      </c>
      <c r="G116" s="11"/>
      <c r="H116" s="148"/>
      <c r="M116" s="105" t="e">
        <f t="shared" si="3"/>
        <v>#VALUE!</v>
      </c>
    </row>
    <row r="117" customHeight="1" spans="1:13">
      <c r="A117" s="11"/>
      <c r="B117" s="145" t="e">
        <f t="shared" si="0"/>
        <v>#VALUE!</v>
      </c>
      <c r="C117" s="11" t="str">
        <f>IF(ISNA(VLOOKUP(A117,'Cadastro - Espelho (não editar)'!$A$3:$H$3204,8,0)),"",VLOOKUP(A117,'Cadastro - Espelho (não editar)'!$A$3:$H$3204,8,0))</f>
        <v/>
      </c>
      <c r="D117" s="11" t="b">
        <v>0</v>
      </c>
      <c r="F117" s="147" t="str">
        <f>IF(ISNA(VLOOKUP(A117,'Cadastro - Espelho (não editar)'!$A$3:$L$3204,12,0)),"",VLOOKUP(A117,'Cadastro - Espelho (não editar)'!$A$3:$L$3204,12,0))</f>
        <v/>
      </c>
      <c r="G117" s="11"/>
      <c r="H117" s="148"/>
      <c r="M117" s="105" t="e">
        <f t="shared" si="3"/>
        <v>#VALUE!</v>
      </c>
    </row>
    <row r="118" customHeight="1" spans="1:13">
      <c r="A118" s="11"/>
      <c r="B118" s="145" t="e">
        <f t="shared" si="0"/>
        <v>#VALUE!</v>
      </c>
      <c r="C118" s="11" t="str">
        <f>IF(ISNA(VLOOKUP(A118,'Cadastro - Espelho (não editar)'!$A$3:$H$3204,8,0)),"",VLOOKUP(A118,'Cadastro - Espelho (não editar)'!$A$3:$H$3204,8,0))</f>
        <v/>
      </c>
      <c r="D118" s="11" t="b">
        <v>0</v>
      </c>
      <c r="F118" s="147" t="str">
        <f>IF(ISNA(VLOOKUP(A118,'Cadastro - Espelho (não editar)'!$A$3:$L$3204,12,0)),"",VLOOKUP(A118,'Cadastro - Espelho (não editar)'!$A$3:$L$3204,12,0))</f>
        <v/>
      </c>
      <c r="G118" s="11"/>
      <c r="H118" s="148"/>
      <c r="I118" s="162"/>
      <c r="J118" s="152"/>
      <c r="M118" s="105" t="e">
        <f t="shared" si="3"/>
        <v>#VALUE!</v>
      </c>
    </row>
    <row r="119" customHeight="1" spans="1:13">
      <c r="A119" s="11"/>
      <c r="B119" s="145" t="e">
        <f t="shared" si="0"/>
        <v>#VALUE!</v>
      </c>
      <c r="C119" s="11" t="str">
        <f>IF(ISNA(VLOOKUP(A119,'Cadastro - Espelho (não editar)'!$A$3:$H$3204,8,0)),"",VLOOKUP(A119,'Cadastro - Espelho (não editar)'!$A$3:$H$3204,8,0))</f>
        <v/>
      </c>
      <c r="D119" s="11" t="b">
        <v>0</v>
      </c>
      <c r="F119" s="147" t="str">
        <f>IF(ISNA(VLOOKUP(A119,'Cadastro - Espelho (não editar)'!$A$3:$L$3204,12,0)),"",VLOOKUP(A119,'Cadastro - Espelho (não editar)'!$A$3:$L$3204,12,0))</f>
        <v/>
      </c>
      <c r="G119" s="11"/>
      <c r="H119" s="148"/>
      <c r="I119" s="162"/>
      <c r="J119" s="152"/>
      <c r="M119" s="105" t="e">
        <f t="shared" si="3"/>
        <v>#VALUE!</v>
      </c>
    </row>
    <row r="120" customHeight="1" spans="1:13">
      <c r="A120" s="11"/>
      <c r="B120" s="145" t="e">
        <f t="shared" si="0"/>
        <v>#VALUE!</v>
      </c>
      <c r="C120" s="11" t="str">
        <f>IF(ISNA(VLOOKUP(A120,'Cadastro - Espelho (não editar)'!$A$3:$H$3204,8,0)),"",VLOOKUP(A120,'Cadastro - Espelho (não editar)'!$A$3:$H$3204,8,0))</f>
        <v/>
      </c>
      <c r="D120" s="11" t="b">
        <v>0</v>
      </c>
      <c r="F120" s="147" t="str">
        <f>IF(ISNA(VLOOKUP(A120,'Cadastro - Espelho (não editar)'!$A$3:$L$3204,12,0)),"",VLOOKUP(A120,'Cadastro - Espelho (não editar)'!$A$3:$L$3204,12,0))</f>
        <v/>
      </c>
      <c r="G120" s="11"/>
      <c r="H120" s="148"/>
      <c r="I120" s="162"/>
      <c r="J120" s="152"/>
      <c r="M120" s="105" t="e">
        <f t="shared" si="3"/>
        <v>#VALUE!</v>
      </c>
    </row>
    <row r="121" customHeight="1" spans="1:13">
      <c r="A121" s="11"/>
      <c r="B121" s="145" t="e">
        <f t="shared" si="0"/>
        <v>#VALUE!</v>
      </c>
      <c r="C121" s="11" t="str">
        <f>IF(ISNA(VLOOKUP(A121,'Cadastro - Espelho (não editar)'!$A$3:$H$3204,8,0)),"",VLOOKUP(A121,'Cadastro - Espelho (não editar)'!$A$3:$H$3204,8,0))</f>
        <v/>
      </c>
      <c r="D121" s="11" t="b">
        <v>0</v>
      </c>
      <c r="F121" s="147" t="str">
        <f>IF(ISNA(VLOOKUP(A121,'Cadastro - Espelho (não editar)'!$A$3:$L$3204,12,0)),"",VLOOKUP(A121,'Cadastro - Espelho (não editar)'!$A$3:$L$3204,12,0))</f>
        <v/>
      </c>
      <c r="G121" s="11"/>
      <c r="H121" s="148"/>
      <c r="I121" s="162"/>
      <c r="J121" s="152"/>
      <c r="M121" s="105" t="e">
        <f t="shared" si="3"/>
        <v>#VALUE!</v>
      </c>
    </row>
    <row r="122" customHeight="1" spans="1:13">
      <c r="A122" s="11"/>
      <c r="B122" s="145" t="e">
        <f t="shared" si="0"/>
        <v>#VALUE!</v>
      </c>
      <c r="C122" s="11" t="str">
        <f>IF(ISNA(VLOOKUP(A122,'Cadastro - Espelho (não editar)'!$A$3:$H$3204,8,0)),"",VLOOKUP(A122,'Cadastro - Espelho (não editar)'!$A$3:$H$3204,8,0))</f>
        <v/>
      </c>
      <c r="D122" s="11" t="b">
        <v>0</v>
      </c>
      <c r="F122" s="147" t="str">
        <f>IF(ISNA(VLOOKUP(A122,'Cadastro - Espelho (não editar)'!$A$3:$L$3204,12,0)),"",VLOOKUP(A122,'Cadastro - Espelho (não editar)'!$A$3:$L$3204,12,0))</f>
        <v/>
      </c>
      <c r="G122" s="11"/>
      <c r="H122" s="148"/>
      <c r="I122" s="162"/>
      <c r="J122" s="152"/>
      <c r="M122" s="105" t="e">
        <f t="shared" si="3"/>
        <v>#VALUE!</v>
      </c>
    </row>
    <row r="123" customHeight="1" spans="1:13">
      <c r="A123" s="11"/>
      <c r="B123" s="145" t="e">
        <f t="shared" si="0"/>
        <v>#VALUE!</v>
      </c>
      <c r="C123" s="11" t="str">
        <f>IF(ISNA(VLOOKUP(A123,'Cadastro - Espelho (não editar)'!$A$3:$H$3204,8,0)),"",VLOOKUP(A123,'Cadastro - Espelho (não editar)'!$A$3:$H$3204,8,0))</f>
        <v/>
      </c>
      <c r="D123" s="11" t="b">
        <v>0</v>
      </c>
      <c r="F123" s="147" t="str">
        <f>IF(ISNA(VLOOKUP(A123,'Cadastro - Espelho (não editar)'!$A$3:$L$3204,12,0)),"",VLOOKUP(A123,'Cadastro - Espelho (não editar)'!$A$3:$L$3204,12,0))</f>
        <v/>
      </c>
      <c r="G123" s="11"/>
      <c r="H123" s="148"/>
      <c r="I123" s="162"/>
      <c r="J123" s="152"/>
      <c r="M123" s="105" t="e">
        <f t="shared" si="3"/>
        <v>#VALUE!</v>
      </c>
    </row>
    <row r="124" customHeight="1" spans="1:13">
      <c r="A124" s="11"/>
      <c r="B124" s="145" t="e">
        <f t="shared" si="0"/>
        <v>#VALUE!</v>
      </c>
      <c r="C124" s="11" t="str">
        <f>IF(ISNA(VLOOKUP(A124,'Cadastro - Espelho (não editar)'!$A$3:$H$3204,8,0)),"",VLOOKUP(A124,'Cadastro - Espelho (não editar)'!$A$3:$H$3204,8,0))</f>
        <v/>
      </c>
      <c r="D124" s="11" t="b">
        <v>0</v>
      </c>
      <c r="F124" s="147" t="str">
        <f>IF(ISNA(VLOOKUP(A124,'Cadastro - Espelho (não editar)'!$A$3:$L$3204,12,0)),"",VLOOKUP(A124,'Cadastro - Espelho (não editar)'!$A$3:$L$3204,12,0))</f>
        <v/>
      </c>
      <c r="G124" s="11"/>
      <c r="H124" s="148"/>
      <c r="I124" s="162"/>
      <c r="J124" s="152"/>
      <c r="M124" s="105" t="e">
        <f t="shared" si="3"/>
        <v>#VALUE!</v>
      </c>
    </row>
    <row r="125" customHeight="1" spans="1:13">
      <c r="A125" s="11"/>
      <c r="B125" s="145" t="e">
        <f t="shared" si="0"/>
        <v>#VALUE!</v>
      </c>
      <c r="C125" s="11" t="str">
        <f>IF(ISNA(VLOOKUP(A125,'Cadastro - Espelho (não editar)'!$A$3:$H$3204,8,0)),"",VLOOKUP(A125,'Cadastro - Espelho (não editar)'!$A$3:$H$3204,8,0))</f>
        <v/>
      </c>
      <c r="D125" s="11" t="b">
        <v>0</v>
      </c>
      <c r="F125" s="147" t="str">
        <f>IF(ISNA(VLOOKUP(A125,'Cadastro - Espelho (não editar)'!$A$3:$L$3204,12,0)),"",VLOOKUP(A125,'Cadastro - Espelho (não editar)'!$A$3:$L$3204,12,0))</f>
        <v/>
      </c>
      <c r="G125" s="11"/>
      <c r="H125" s="148"/>
      <c r="I125" s="162"/>
      <c r="J125" s="152"/>
      <c r="M125" s="105" t="e">
        <f t="shared" si="3"/>
        <v>#VALUE!</v>
      </c>
    </row>
    <row r="126" customHeight="1" spans="1:13">
      <c r="A126" s="11"/>
      <c r="B126" s="145" t="e">
        <f t="shared" si="0"/>
        <v>#VALUE!</v>
      </c>
      <c r="C126" s="11" t="str">
        <f>IF(ISNA(VLOOKUP(A126,'Cadastro - Espelho (não editar)'!$A$3:$H$3204,8,0)),"",VLOOKUP(A126,'Cadastro - Espelho (não editar)'!$A$3:$H$3204,8,0))</f>
        <v/>
      </c>
      <c r="D126" s="11" t="b">
        <v>0</v>
      </c>
      <c r="F126" s="147" t="str">
        <f>IF(ISNA(VLOOKUP(A126,'Cadastro - Espelho (não editar)'!$A$3:$L$3204,12,0)),"",VLOOKUP(A126,'Cadastro - Espelho (não editar)'!$A$3:$L$3204,12,0))</f>
        <v/>
      </c>
      <c r="G126" s="11"/>
      <c r="H126" s="148"/>
      <c r="I126" s="162"/>
      <c r="J126" s="152"/>
      <c r="M126" s="105" t="e">
        <f t="shared" si="3"/>
        <v>#VALUE!</v>
      </c>
    </row>
    <row r="127" customHeight="1" spans="1:13">
      <c r="A127" s="11"/>
      <c r="B127" s="145" t="e">
        <f t="shared" si="0"/>
        <v>#VALUE!</v>
      </c>
      <c r="C127" s="11" t="str">
        <f>IF(ISNA(VLOOKUP(A127,'Cadastro - Espelho (não editar)'!$A$3:$H$3204,8,0)),"",VLOOKUP(A127,'Cadastro - Espelho (não editar)'!$A$3:$H$3204,8,0))</f>
        <v/>
      </c>
      <c r="D127" s="11" t="b">
        <v>0</v>
      </c>
      <c r="F127" s="147" t="str">
        <f>IF(ISNA(VLOOKUP(A127,'Cadastro - Espelho (não editar)'!$A$3:$L$3204,12,0)),"",VLOOKUP(A127,'Cadastro - Espelho (não editar)'!$A$3:$L$3204,12,0))</f>
        <v/>
      </c>
      <c r="G127" s="11"/>
      <c r="H127" s="148"/>
      <c r="I127" s="162"/>
      <c r="J127" s="152"/>
      <c r="M127" s="105" t="e">
        <f t="shared" si="3"/>
        <v>#VALUE!</v>
      </c>
    </row>
    <row r="128" customHeight="1" spans="1:13">
      <c r="A128" s="11"/>
      <c r="B128" s="145" t="e">
        <f t="shared" si="0"/>
        <v>#VALUE!</v>
      </c>
      <c r="C128" s="11" t="str">
        <f>IF(ISNA(VLOOKUP(A128,'Cadastro - Espelho (não editar)'!$A$3:$H$3204,8,0)),"",VLOOKUP(A128,'Cadastro - Espelho (não editar)'!$A$3:$H$3204,8,0))</f>
        <v/>
      </c>
      <c r="D128" s="11" t="b">
        <v>0</v>
      </c>
      <c r="F128" s="147" t="str">
        <f>IF(ISNA(VLOOKUP(A128,'Cadastro - Espelho (não editar)'!$A$3:$L$3204,12,0)),"",VLOOKUP(A128,'Cadastro - Espelho (não editar)'!$A$3:$L$3204,12,0))</f>
        <v/>
      </c>
      <c r="G128" s="11"/>
      <c r="H128" s="148"/>
      <c r="I128" s="162"/>
      <c r="J128" s="152"/>
      <c r="M128" s="105" t="e">
        <f t="shared" si="3"/>
        <v>#VALUE!</v>
      </c>
    </row>
    <row r="129" customHeight="1" spans="1:13">
      <c r="A129" s="11"/>
      <c r="B129" s="145" t="e">
        <f t="shared" si="0"/>
        <v>#VALUE!</v>
      </c>
      <c r="C129" s="11" t="str">
        <f>IF(ISNA(VLOOKUP(A129,'Cadastro - Espelho (não editar)'!$A$3:$H$3204,8,0)),"",VLOOKUP(A129,'Cadastro - Espelho (não editar)'!$A$3:$H$3204,8,0))</f>
        <v/>
      </c>
      <c r="D129" s="11" t="b">
        <v>0</v>
      </c>
      <c r="F129" s="147" t="str">
        <f>IF(ISNA(VLOOKUP(A129,'Cadastro - Espelho (não editar)'!$A$3:$L$3204,12,0)),"",VLOOKUP(A129,'Cadastro - Espelho (não editar)'!$A$3:$L$3204,12,0))</f>
        <v/>
      </c>
      <c r="G129" s="11"/>
      <c r="H129" s="148"/>
      <c r="I129" s="162"/>
      <c r="J129" s="152"/>
      <c r="M129" s="105" t="e">
        <f t="shared" si="3"/>
        <v>#VALUE!</v>
      </c>
    </row>
    <row r="130" customHeight="1" spans="1:13">
      <c r="A130" s="11"/>
      <c r="B130" s="145" t="e">
        <f t="shared" si="0"/>
        <v>#VALUE!</v>
      </c>
      <c r="C130" s="11" t="str">
        <f>IF(ISNA(VLOOKUP(A130,'Cadastro - Espelho (não editar)'!$A$3:$H$3204,8,0)),"",VLOOKUP(A130,'Cadastro - Espelho (não editar)'!$A$3:$H$3204,8,0))</f>
        <v/>
      </c>
      <c r="D130" s="11" t="b">
        <v>0</v>
      </c>
      <c r="F130" s="147" t="str">
        <f>IF(ISNA(VLOOKUP(A130,'Cadastro - Espelho (não editar)'!$A$3:$L$3204,12,0)),"",VLOOKUP(A130,'Cadastro - Espelho (não editar)'!$A$3:$L$3204,12,0))</f>
        <v/>
      </c>
      <c r="G130" s="11"/>
      <c r="H130" s="148"/>
      <c r="I130" s="162"/>
      <c r="J130" s="152"/>
      <c r="M130" s="105" t="e">
        <f t="shared" si="3"/>
        <v>#VALUE!</v>
      </c>
    </row>
    <row r="131" customHeight="1" spans="1:13">
      <c r="A131" s="11"/>
      <c r="B131" s="145" t="e">
        <f t="shared" si="0"/>
        <v>#VALUE!</v>
      </c>
      <c r="C131" s="11" t="str">
        <f>IF(ISNA(VLOOKUP(A131,'Cadastro - Espelho (não editar)'!$A$3:$H$3204,8,0)),"",VLOOKUP(A131,'Cadastro - Espelho (não editar)'!$A$3:$H$3204,8,0))</f>
        <v/>
      </c>
      <c r="D131" s="11" t="b">
        <v>0</v>
      </c>
      <c r="F131" s="147" t="str">
        <f>IF(ISNA(VLOOKUP(A131,'Cadastro - Espelho (não editar)'!$A$3:$L$3204,12,0)),"",VLOOKUP(A131,'Cadastro - Espelho (não editar)'!$A$3:$L$3204,12,0))</f>
        <v/>
      </c>
      <c r="G131" s="11"/>
      <c r="H131" s="148"/>
      <c r="I131" s="162"/>
      <c r="J131" s="152"/>
      <c r="M131" s="105" t="e">
        <f t="shared" si="3"/>
        <v>#VALUE!</v>
      </c>
    </row>
    <row r="132" customHeight="1" spans="1:13">
      <c r="A132" s="11"/>
      <c r="B132" s="145" t="e">
        <f t="shared" si="0"/>
        <v>#VALUE!</v>
      </c>
      <c r="C132" s="11" t="str">
        <f>IF(ISNA(VLOOKUP(A132,'Cadastro - Espelho (não editar)'!$A$3:$H$3204,8,0)),"",VLOOKUP(A132,'Cadastro - Espelho (não editar)'!$A$3:$H$3204,8,0))</f>
        <v/>
      </c>
      <c r="D132" s="11" t="b">
        <v>0</v>
      </c>
      <c r="F132" s="147" t="str">
        <f>IF(ISNA(VLOOKUP(A132,'Cadastro - Espelho (não editar)'!$A$3:$L$3204,12,0)),"",VLOOKUP(A132,'Cadastro - Espelho (não editar)'!$A$3:$L$3204,12,0))</f>
        <v/>
      </c>
      <c r="G132" s="11"/>
      <c r="H132" s="148"/>
      <c r="I132" s="162"/>
      <c r="J132" s="152"/>
      <c r="M132" s="105" t="e">
        <f t="shared" si="3"/>
        <v>#VALUE!</v>
      </c>
    </row>
    <row r="133" customHeight="1" spans="1:13">
      <c r="A133" s="11"/>
      <c r="B133" s="145" t="e">
        <f t="shared" si="0"/>
        <v>#VALUE!</v>
      </c>
      <c r="C133" s="11" t="str">
        <f>IF(ISNA(VLOOKUP(A133,'Cadastro - Espelho (não editar)'!$A$3:$H$3204,8,0)),"",VLOOKUP(A133,'Cadastro - Espelho (não editar)'!$A$3:$H$3204,8,0))</f>
        <v/>
      </c>
      <c r="D133" s="11" t="b">
        <v>0</v>
      </c>
      <c r="F133" s="147" t="str">
        <f>IF(ISNA(VLOOKUP(A133,'Cadastro - Espelho (não editar)'!$A$3:$L$3204,12,0)),"",VLOOKUP(A133,'Cadastro - Espelho (não editar)'!$A$3:$L$3204,12,0))</f>
        <v/>
      </c>
      <c r="G133" s="11"/>
      <c r="H133" s="148"/>
      <c r="I133" s="162"/>
      <c r="J133" s="152"/>
      <c r="M133" s="105" t="e">
        <f t="shared" si="3"/>
        <v>#VALUE!</v>
      </c>
    </row>
    <row r="134" customHeight="1" spans="1:13">
      <c r="A134" s="11"/>
      <c r="B134" s="145" t="e">
        <f t="shared" si="0"/>
        <v>#VALUE!</v>
      </c>
      <c r="C134" s="11" t="str">
        <f>IF(ISNA(VLOOKUP(A134,'Cadastro - Espelho (não editar)'!$A$3:$H$3204,8,0)),"",VLOOKUP(A134,'Cadastro - Espelho (não editar)'!$A$3:$H$3204,8,0))</f>
        <v/>
      </c>
      <c r="D134" s="11" t="b">
        <v>0</v>
      </c>
      <c r="F134" s="147" t="str">
        <f>IF(ISNA(VLOOKUP(A134,'Cadastro - Espelho (não editar)'!$A$3:$L$3204,12,0)),"",VLOOKUP(A134,'Cadastro - Espelho (não editar)'!$A$3:$L$3204,12,0))</f>
        <v/>
      </c>
      <c r="G134" s="11"/>
      <c r="H134" s="148"/>
      <c r="I134" s="162"/>
      <c r="J134" s="152"/>
      <c r="M134" s="105" t="e">
        <f t="shared" si="3"/>
        <v>#VALUE!</v>
      </c>
    </row>
    <row r="135" customHeight="1" spans="1:13">
      <c r="A135" s="11"/>
      <c r="B135" s="145" t="e">
        <f t="shared" si="0"/>
        <v>#VALUE!</v>
      </c>
      <c r="C135" s="11" t="str">
        <f>IF(ISNA(VLOOKUP(A135,'Cadastro - Espelho (não editar)'!$A$3:$H$3204,8,0)),"",VLOOKUP(A135,'Cadastro - Espelho (não editar)'!$A$3:$H$3204,8,0))</f>
        <v/>
      </c>
      <c r="D135" s="11" t="b">
        <v>0</v>
      </c>
      <c r="F135" s="147" t="str">
        <f>IF(ISNA(VLOOKUP(A135,'Cadastro - Espelho (não editar)'!$A$3:$L$3204,12,0)),"",VLOOKUP(A135,'Cadastro - Espelho (não editar)'!$A$3:$L$3204,12,0))</f>
        <v/>
      </c>
      <c r="G135" s="11"/>
      <c r="H135" s="148"/>
      <c r="I135" s="162"/>
      <c r="J135" s="152"/>
      <c r="M135" s="105" t="e">
        <f t="shared" si="3"/>
        <v>#VALUE!</v>
      </c>
    </row>
    <row r="136" customHeight="1" spans="1:13">
      <c r="A136" s="11"/>
      <c r="B136" s="145" t="e">
        <f t="shared" si="0"/>
        <v>#VALUE!</v>
      </c>
      <c r="C136" s="11" t="str">
        <f>IF(ISNA(VLOOKUP(A136,'Cadastro - Espelho (não editar)'!$A$3:$H$3204,8,0)),"",VLOOKUP(A136,'Cadastro - Espelho (não editar)'!$A$3:$H$3204,8,0))</f>
        <v/>
      </c>
      <c r="D136" s="11" t="b">
        <v>0</v>
      </c>
      <c r="F136" s="147" t="str">
        <f>IF(ISNA(VLOOKUP(A136,'Cadastro - Espelho (não editar)'!$A$3:$L$3204,12,0)),"",VLOOKUP(A136,'Cadastro - Espelho (não editar)'!$A$3:$L$3204,12,0))</f>
        <v/>
      </c>
      <c r="G136" s="11"/>
      <c r="H136" s="148"/>
      <c r="I136" s="162"/>
      <c r="J136" s="152"/>
      <c r="M136" s="105" t="e">
        <f t="shared" si="3"/>
        <v>#VALUE!</v>
      </c>
    </row>
    <row r="137" customHeight="1" spans="1:13">
      <c r="A137" s="11"/>
      <c r="B137" s="145" t="e">
        <f t="shared" si="0"/>
        <v>#VALUE!</v>
      </c>
      <c r="D137" s="11" t="b">
        <v>0</v>
      </c>
      <c r="F137" s="147" t="str">
        <f>IF(ISNA(VLOOKUP(A137,'Cadastro - Espelho (não editar)'!$A$3:$L$3204,12,0)),"",VLOOKUP(A137,'Cadastro - Espelho (não editar)'!$A$3:$L$3204,12,0))</f>
        <v/>
      </c>
      <c r="G137" s="11"/>
      <c r="H137" s="148"/>
      <c r="I137" s="162"/>
      <c r="J137" s="152"/>
      <c r="M137" s="105" t="e">
        <f t="shared" si="3"/>
        <v>#VALUE!</v>
      </c>
    </row>
    <row r="138" customHeight="1" spans="1:13">
      <c r="A138" s="11"/>
      <c r="B138" s="145" t="e">
        <f t="shared" si="0"/>
        <v>#VALUE!</v>
      </c>
      <c r="D138" s="11" t="b">
        <v>0</v>
      </c>
      <c r="F138" s="147" t="str">
        <f>IF(ISNA(VLOOKUP(A138,'Cadastro - Espelho (não editar)'!$A$3:$L$3204,12,0)),"",VLOOKUP(A138,'Cadastro - Espelho (não editar)'!$A$3:$L$3204,12,0))</f>
        <v/>
      </c>
      <c r="G138" s="11"/>
      <c r="H138" s="148"/>
      <c r="I138" s="162"/>
      <c r="J138" s="152"/>
      <c r="M138" s="105" t="e">
        <f t="shared" si="3"/>
        <v>#VALUE!</v>
      </c>
    </row>
    <row r="139" customHeight="1" spans="1:13">
      <c r="A139" s="11"/>
      <c r="B139" s="145" t="e">
        <f t="shared" si="0"/>
        <v>#VALUE!</v>
      </c>
      <c r="C139" s="11" t="str">
        <f>IF(ISNA(VLOOKUP(A139,'Cadastro - Espelho (não editar)'!$A$3:$H$3204,8,0)),"",VLOOKUP(A139,'Cadastro - Espelho (não editar)'!$A$3:$H$3204,8,0))</f>
        <v/>
      </c>
      <c r="D139" s="11" t="b">
        <v>0</v>
      </c>
      <c r="F139" s="147" t="str">
        <f>IF(ISNA(VLOOKUP(A139,'Cadastro - Espelho (não editar)'!$A$3:$L$3204,12,0)),"",VLOOKUP(A139,'Cadastro - Espelho (não editar)'!$A$3:$L$3204,12,0))</f>
        <v/>
      </c>
      <c r="G139" s="11"/>
      <c r="H139" s="148"/>
      <c r="I139" s="162"/>
      <c r="J139" s="152"/>
      <c r="M139" s="105" t="e">
        <f t="shared" si="3"/>
        <v>#VALUE!</v>
      </c>
    </row>
    <row r="140" customHeight="1" spans="1:13">
      <c r="A140" s="11"/>
      <c r="B140" s="145" t="e">
        <f t="shared" si="0"/>
        <v>#VALUE!</v>
      </c>
      <c r="C140" s="11" t="str">
        <f>IF(ISNA(VLOOKUP(A140,'Cadastro - Espelho (não editar)'!$A$3:$H$3204,8,0)),"",VLOOKUP(A140,'Cadastro - Espelho (não editar)'!$A$3:$H$3204,8,0))</f>
        <v/>
      </c>
      <c r="D140" s="11" t="b">
        <v>0</v>
      </c>
      <c r="F140" s="147" t="str">
        <f>IF(ISNA(VLOOKUP(A140,'Cadastro - Espelho (não editar)'!$A$3:$L$3204,12,0)),"",VLOOKUP(A140,'Cadastro - Espelho (não editar)'!$A$3:$L$3204,12,0))</f>
        <v/>
      </c>
      <c r="G140" s="11"/>
      <c r="H140" s="148"/>
      <c r="I140" s="162"/>
      <c r="J140" s="152"/>
      <c r="M140" s="105" t="e">
        <f t="shared" si="3"/>
        <v>#VALUE!</v>
      </c>
    </row>
    <row r="141" customHeight="1" spans="1:13">
      <c r="A141" s="11"/>
      <c r="B141" s="145" t="e">
        <f t="shared" si="0"/>
        <v>#VALUE!</v>
      </c>
      <c r="C141" s="11" t="str">
        <f>IF(ISNA(VLOOKUP(A141,'Cadastro - Espelho (não editar)'!$A$3:$H$3204,8,0)),"",VLOOKUP(A141,'Cadastro - Espelho (não editar)'!$A$3:$H$3204,8,0))</f>
        <v/>
      </c>
      <c r="D141" s="11" t="b">
        <v>0</v>
      </c>
      <c r="F141" s="147" t="str">
        <f>IF(ISNA(VLOOKUP(A141,'Cadastro - Espelho (não editar)'!$A$3:$L$3204,12,0)),"",VLOOKUP(A141,'Cadastro - Espelho (não editar)'!$A$3:$L$3204,12,0))</f>
        <v/>
      </c>
      <c r="G141" s="11"/>
      <c r="H141" s="148"/>
      <c r="I141" s="162"/>
      <c r="J141" s="152"/>
      <c r="M141" s="105" t="e">
        <f t="shared" si="3"/>
        <v>#VALUE!</v>
      </c>
    </row>
    <row r="142" customHeight="1" spans="1:13">
      <c r="A142" s="11"/>
      <c r="B142" s="145" t="e">
        <f t="shared" si="0"/>
        <v>#VALUE!</v>
      </c>
      <c r="C142" s="11" t="str">
        <f>IF(ISNA(VLOOKUP(A142,'Cadastro - Espelho (não editar)'!$A$3:$H$3204,8,0)),"",VLOOKUP(A142,'Cadastro - Espelho (não editar)'!$A$3:$H$3204,8,0))</f>
        <v/>
      </c>
      <c r="D142" s="11" t="b">
        <v>0</v>
      </c>
      <c r="F142" s="147" t="str">
        <f>IF(ISNA(VLOOKUP(A142,'Cadastro - Espelho (não editar)'!$A$3:$L$3204,12,0)),"",VLOOKUP(A142,'Cadastro - Espelho (não editar)'!$A$3:$L$3204,12,0))</f>
        <v/>
      </c>
      <c r="G142" s="11"/>
      <c r="H142" s="148"/>
      <c r="I142" s="162"/>
      <c r="J142" s="152"/>
      <c r="M142" s="105" t="e">
        <f t="shared" si="3"/>
        <v>#VALUE!</v>
      </c>
    </row>
    <row r="143" customHeight="1" spans="1:13">
      <c r="A143" s="11"/>
      <c r="B143" s="145" t="e">
        <f t="shared" si="0"/>
        <v>#VALUE!</v>
      </c>
      <c r="C143" s="163"/>
      <c r="D143" s="11" t="b">
        <v>0</v>
      </c>
      <c r="F143" s="147" t="str">
        <f>IF(ISNA(VLOOKUP(A143,'Cadastro - Espelho (não editar)'!$A$3:$L$3204,12,0)),"",VLOOKUP(A143,'Cadastro - Espelho (não editar)'!$A$3:$L$3204,12,0))</f>
        <v/>
      </c>
      <c r="G143" s="11"/>
      <c r="H143" s="148"/>
      <c r="I143" s="162"/>
      <c r="J143" s="152"/>
      <c r="M143" s="105" t="e">
        <f t="shared" si="3"/>
        <v>#VALUE!</v>
      </c>
    </row>
    <row r="144" customHeight="1" spans="1:13">
      <c r="A144" s="11"/>
      <c r="B144" s="145" t="e">
        <f t="shared" si="0"/>
        <v>#VALUE!</v>
      </c>
      <c r="C144" s="11" t="str">
        <f>IF(ISNA(VLOOKUP(A144,'Cadastro - Espelho (não editar)'!$A$3:$H$3204,8,0)),"",VLOOKUP(A144,'Cadastro - Espelho (não editar)'!$A$3:$H$3204,8,0))</f>
        <v/>
      </c>
      <c r="D144" s="11" t="b">
        <v>0</v>
      </c>
      <c r="F144" s="147" t="str">
        <f>IF(ISNA(VLOOKUP(A144,'Cadastro - Espelho (não editar)'!$A$3:$L$3204,12,0)),"",VLOOKUP(A144,'Cadastro - Espelho (não editar)'!$A$3:$L$3204,12,0))</f>
        <v/>
      </c>
      <c r="G144" s="11"/>
      <c r="H144" s="148"/>
      <c r="I144" s="162"/>
      <c r="J144" s="152"/>
      <c r="M144" s="105" t="e">
        <f t="shared" si="3"/>
        <v>#VALUE!</v>
      </c>
    </row>
    <row r="145" customHeight="1" spans="1:13">
      <c r="A145" s="11"/>
      <c r="B145" s="145" t="e">
        <f t="shared" si="0"/>
        <v>#VALUE!</v>
      </c>
      <c r="C145" s="11" t="str">
        <f>IF(ISNA(VLOOKUP(A145,'Cadastro - Espelho (não editar)'!$A$3:$H$3204,8,0)),"",VLOOKUP(A145,'Cadastro - Espelho (não editar)'!$A$3:$H$3204,8,0))</f>
        <v/>
      </c>
      <c r="D145" s="11" t="b">
        <v>0</v>
      </c>
      <c r="F145" s="147" t="str">
        <f>IF(ISNA(VLOOKUP(A145,'Cadastro - Espelho (não editar)'!$A$3:$L$3204,12,0)),"",VLOOKUP(A145,'Cadastro - Espelho (não editar)'!$A$3:$L$3204,12,0))</f>
        <v/>
      </c>
      <c r="G145" s="11"/>
      <c r="H145" s="148"/>
      <c r="I145" s="162"/>
      <c r="J145" s="152"/>
      <c r="M145" s="105" t="e">
        <f t="shared" si="3"/>
        <v>#VALUE!</v>
      </c>
    </row>
    <row r="146" customHeight="1" spans="1:13">
      <c r="A146" s="11"/>
      <c r="B146" s="145" t="e">
        <f t="shared" si="0"/>
        <v>#VALUE!</v>
      </c>
      <c r="C146" s="11" t="str">
        <f>IF(ISNA(VLOOKUP(A146,'Cadastro - Espelho (não editar)'!$A$3:$H$3204,8,0)),"",VLOOKUP(A146,'Cadastro - Espelho (não editar)'!$A$3:$H$3204,8,0))</f>
        <v/>
      </c>
      <c r="D146" s="11" t="b">
        <v>0</v>
      </c>
      <c r="F146" s="147" t="str">
        <f>IF(ISNA(VLOOKUP(A146,'Cadastro - Espelho (não editar)'!$A$3:$L$3204,12,0)),"",VLOOKUP(A146,'Cadastro - Espelho (não editar)'!$A$3:$L$3204,12,0))</f>
        <v/>
      </c>
      <c r="G146" s="11"/>
      <c r="H146" s="148"/>
      <c r="I146" s="162"/>
      <c r="J146" s="152"/>
      <c r="M146" s="105" t="e">
        <f t="shared" si="3"/>
        <v>#VALUE!</v>
      </c>
    </row>
    <row r="147" customHeight="1" spans="1:13">
      <c r="A147" s="11"/>
      <c r="B147" s="145" t="e">
        <f t="shared" si="0"/>
        <v>#VALUE!</v>
      </c>
      <c r="C147" s="11" t="str">
        <f>IF(ISNA(VLOOKUP(A147,'Cadastro - Espelho (não editar)'!$A$3:$H$3204,8,0)),"",VLOOKUP(A147,'Cadastro - Espelho (não editar)'!$A$3:$H$3204,8,0))</f>
        <v/>
      </c>
      <c r="D147" s="11" t="b">
        <v>0</v>
      </c>
      <c r="F147" s="147" t="str">
        <f>IF(ISNA(VLOOKUP(A147,'Cadastro - Espelho (não editar)'!$A$3:$L$3204,12,0)),"",VLOOKUP(A147,'Cadastro - Espelho (não editar)'!$A$3:$L$3204,12,0))</f>
        <v/>
      </c>
      <c r="G147" s="11"/>
      <c r="H147" s="148"/>
      <c r="I147" s="162"/>
      <c r="J147" s="152"/>
      <c r="M147" s="105" t="e">
        <f t="shared" si="3"/>
        <v>#VALUE!</v>
      </c>
    </row>
    <row r="148" customHeight="1" spans="1:13">
      <c r="A148" s="11"/>
      <c r="B148" s="145" t="e">
        <f t="shared" si="0"/>
        <v>#VALUE!</v>
      </c>
      <c r="C148" s="163"/>
      <c r="D148" s="11" t="b">
        <v>0</v>
      </c>
      <c r="F148" s="147" t="str">
        <f>IF(ISNA(VLOOKUP(A148,'Cadastro - Espelho (não editar)'!$A$3:$L$3204,12,0)),"",VLOOKUP(A148,'Cadastro - Espelho (não editar)'!$A$3:$L$3204,12,0))</f>
        <v/>
      </c>
      <c r="G148" s="11"/>
      <c r="H148" s="148"/>
      <c r="I148" s="162"/>
      <c r="J148" s="152"/>
      <c r="M148" s="105" t="e">
        <f t="shared" si="3"/>
        <v>#VALUE!</v>
      </c>
    </row>
    <row r="149" customHeight="1" spans="1:13">
      <c r="A149" s="11"/>
      <c r="B149" s="145" t="e">
        <f t="shared" si="0"/>
        <v>#VALUE!</v>
      </c>
      <c r="C149" s="11" t="str">
        <f>IF(ISNA(VLOOKUP(A149,'Cadastro - Espelho (não editar)'!$A$3:$H$3204,8,0)),"",VLOOKUP(A149,'Cadastro - Espelho (não editar)'!$A$3:$H$3204,8,0))</f>
        <v/>
      </c>
      <c r="D149" s="11" t="b">
        <v>0</v>
      </c>
      <c r="F149" s="147" t="str">
        <f>IF(ISNA(VLOOKUP(A149,'Cadastro - Espelho (não editar)'!$A$3:$L$3204,12,0)),"",VLOOKUP(A149,'Cadastro - Espelho (não editar)'!$A$3:$L$3204,12,0))</f>
        <v/>
      </c>
      <c r="G149" s="11"/>
      <c r="H149" s="148"/>
      <c r="I149" s="162"/>
      <c r="J149" s="152"/>
      <c r="M149" s="105" t="e">
        <f t="shared" si="3"/>
        <v>#VALUE!</v>
      </c>
    </row>
    <row r="150" customHeight="1" spans="1:13">
      <c r="A150" s="11"/>
      <c r="B150" s="145" t="e">
        <f t="shared" si="0"/>
        <v>#VALUE!</v>
      </c>
      <c r="C150" s="11" t="str">
        <f>IF(ISNA(VLOOKUP(A150,'Cadastro - Espelho (não editar)'!$A$3:$H$3204,8,0)),"",VLOOKUP(A150,'Cadastro - Espelho (não editar)'!$A$3:$H$3204,8,0))</f>
        <v/>
      </c>
      <c r="D150" s="11" t="b">
        <v>0</v>
      </c>
      <c r="F150" s="147" t="str">
        <f>IF(ISNA(VLOOKUP(A150,'Cadastro - Espelho (não editar)'!$A$3:$L$3204,12,0)),"",VLOOKUP(A150,'Cadastro - Espelho (não editar)'!$A$3:$L$3204,12,0))</f>
        <v/>
      </c>
      <c r="G150" s="11"/>
      <c r="H150" s="148"/>
      <c r="I150" s="162"/>
      <c r="J150" s="152"/>
      <c r="M150" s="105" t="e">
        <f t="shared" si="3"/>
        <v>#VALUE!</v>
      </c>
    </row>
    <row r="151" customHeight="1" spans="1:13">
      <c r="A151" s="11"/>
      <c r="B151" s="145" t="e">
        <f t="shared" si="0"/>
        <v>#VALUE!</v>
      </c>
      <c r="C151" s="11" t="str">
        <f>IF(ISNA(VLOOKUP(A151,'Cadastro - Espelho (não editar)'!$A$3:$H$3204,8,0)),"",VLOOKUP(A151,'Cadastro - Espelho (não editar)'!$A$3:$H$3204,8,0))</f>
        <v/>
      </c>
      <c r="D151" s="11" t="b">
        <v>0</v>
      </c>
      <c r="F151" s="147" t="str">
        <f>IF(ISNA(VLOOKUP(A151,'Cadastro - Espelho (não editar)'!$A$3:$L$3204,12,0)),"",VLOOKUP(A151,'Cadastro - Espelho (não editar)'!$A$3:$L$3204,12,0))</f>
        <v/>
      </c>
      <c r="G151" s="11"/>
      <c r="H151" s="148"/>
      <c r="I151" s="162"/>
      <c r="J151" s="152"/>
      <c r="M151" s="105" t="e">
        <f t="shared" si="3"/>
        <v>#VALUE!</v>
      </c>
    </row>
    <row r="152" customHeight="1" spans="1:13">
      <c r="A152" s="11"/>
      <c r="B152" s="145" t="e">
        <f t="shared" si="0"/>
        <v>#VALUE!</v>
      </c>
      <c r="C152" s="11" t="str">
        <f>IF(ISNA(VLOOKUP(A152,'Cadastro - Espelho (não editar)'!$A$3:$H$3204,8,0)),"",VLOOKUP(A152,'Cadastro - Espelho (não editar)'!$A$3:$H$3204,8,0))</f>
        <v/>
      </c>
      <c r="D152" s="11" t="b">
        <v>0</v>
      </c>
      <c r="F152" s="147" t="str">
        <f>IF(ISNA(VLOOKUP(A152,'Cadastro - Espelho (não editar)'!$A$3:$L$3204,12,0)),"",VLOOKUP(A152,'Cadastro - Espelho (não editar)'!$A$3:$L$3204,12,0))</f>
        <v/>
      </c>
      <c r="G152" s="11"/>
      <c r="H152" s="148"/>
      <c r="I152" s="162"/>
      <c r="J152" s="152"/>
      <c r="M152" s="105" t="e">
        <f t="shared" si="3"/>
        <v>#VALUE!</v>
      </c>
    </row>
    <row r="153" customHeight="1" spans="1:13">
      <c r="A153" s="11"/>
      <c r="B153" s="145" t="e">
        <f t="shared" si="0"/>
        <v>#VALUE!</v>
      </c>
      <c r="C153" s="11" t="str">
        <f>IF(ISNA(VLOOKUP(A153,'Cadastro - Espelho (não editar)'!$A$3:$H$3204,8,0)),"",VLOOKUP(A153,'Cadastro - Espelho (não editar)'!$A$3:$H$3204,8,0))</f>
        <v/>
      </c>
      <c r="D153" s="11" t="b">
        <v>0</v>
      </c>
      <c r="F153" s="147" t="str">
        <f>IF(ISNA(VLOOKUP(A153,'Cadastro - Espelho (não editar)'!$A$3:$L$3204,12,0)),"",VLOOKUP(A153,'Cadastro - Espelho (não editar)'!$A$3:$L$3204,12,0))</f>
        <v/>
      </c>
      <c r="G153" s="11"/>
      <c r="H153" s="148"/>
      <c r="I153" s="162"/>
      <c r="J153" s="152"/>
      <c r="M153" s="105" t="e">
        <f t="shared" si="3"/>
        <v>#VALUE!</v>
      </c>
    </row>
    <row r="154" customHeight="1" spans="1:13">
      <c r="A154" s="11"/>
      <c r="B154" s="145" t="e">
        <f t="shared" si="0"/>
        <v>#VALUE!</v>
      </c>
      <c r="C154" s="11" t="str">
        <f>IF(ISNA(VLOOKUP(A154,'Cadastro - Espelho (não editar)'!$A$3:$H$3204,8,0)),"",VLOOKUP(A154,'Cadastro - Espelho (não editar)'!$A$3:$H$3204,8,0))</f>
        <v/>
      </c>
      <c r="D154" s="11" t="b">
        <v>0</v>
      </c>
      <c r="F154" s="147" t="str">
        <f>IF(ISNA(VLOOKUP(A154,'Cadastro - Espelho (não editar)'!$A$3:$L$3204,12,0)),"",VLOOKUP(A154,'Cadastro - Espelho (não editar)'!$A$3:$L$3204,12,0))</f>
        <v/>
      </c>
      <c r="G154" s="11"/>
      <c r="H154" s="148"/>
      <c r="I154" s="162"/>
      <c r="J154" s="152"/>
      <c r="M154" s="105" t="e">
        <f t="shared" si="3"/>
        <v>#VALUE!</v>
      </c>
    </row>
    <row r="155" customHeight="1" spans="1:13">
      <c r="A155" s="11"/>
      <c r="B155" s="145" t="e">
        <f t="shared" si="0"/>
        <v>#VALUE!</v>
      </c>
      <c r="D155" s="11" t="b">
        <v>0</v>
      </c>
      <c r="F155" s="147" t="str">
        <f>IF(ISNA(VLOOKUP(A155,'Cadastro - Espelho (não editar)'!$A$3:$L$3204,12,0)),"",VLOOKUP(A155,'Cadastro - Espelho (não editar)'!$A$3:$L$3204,12,0))</f>
        <v/>
      </c>
      <c r="G155" s="11"/>
      <c r="H155" s="148"/>
      <c r="I155" s="162"/>
      <c r="J155" s="152"/>
      <c r="M155" s="105" t="e">
        <f t="shared" si="3"/>
        <v>#VALUE!</v>
      </c>
    </row>
    <row r="156" customHeight="1" spans="1:13">
      <c r="A156" s="11"/>
      <c r="B156" s="145" t="e">
        <f t="shared" si="0"/>
        <v>#VALUE!</v>
      </c>
      <c r="D156" s="11" t="b">
        <v>0</v>
      </c>
      <c r="F156" s="147" t="str">
        <f>IF(ISNA(VLOOKUP(A156,'Cadastro - Espelho (não editar)'!$A$3:$L$3204,12,0)),"",VLOOKUP(A156,'Cadastro - Espelho (não editar)'!$A$3:$L$3204,12,0))</f>
        <v/>
      </c>
      <c r="G156" s="11"/>
      <c r="H156" s="148"/>
      <c r="I156" s="162"/>
      <c r="J156" s="152"/>
      <c r="M156" s="105" t="e">
        <f t="shared" si="3"/>
        <v>#VALUE!</v>
      </c>
    </row>
    <row r="157" customHeight="1" spans="1:13">
      <c r="A157" s="11"/>
      <c r="B157" s="145" t="e">
        <f t="shared" si="0"/>
        <v>#VALUE!</v>
      </c>
      <c r="C157" s="11" t="str">
        <f>IF(ISNA(VLOOKUP(A157,'Cadastro - Espelho (não editar)'!$A$3:$H$3204,8,0)),"",VLOOKUP(A157,'Cadastro - Espelho (não editar)'!$A$3:$H$3204,8,0))</f>
        <v/>
      </c>
      <c r="D157" s="11" t="b">
        <v>0</v>
      </c>
      <c r="F157" s="147" t="str">
        <f>IF(ISNA(VLOOKUP(A157,'Cadastro - Espelho (não editar)'!$A$3:$L$3204,12,0)),"",VLOOKUP(A157,'Cadastro - Espelho (não editar)'!$A$3:$L$3204,12,0))</f>
        <v/>
      </c>
      <c r="G157" s="11"/>
      <c r="H157" s="148"/>
      <c r="I157" s="162"/>
      <c r="J157" s="152"/>
      <c r="M157" s="105" t="e">
        <f t="shared" si="3"/>
        <v>#VALUE!</v>
      </c>
    </row>
    <row r="158" customHeight="1" spans="1:13">
      <c r="A158" s="11"/>
      <c r="B158" s="145" t="e">
        <f t="shared" si="0"/>
        <v>#VALUE!</v>
      </c>
      <c r="C158" s="11" t="str">
        <f>IF(ISNA(VLOOKUP(A158,'Cadastro - Espelho (não editar)'!$A$3:$H$3204,8,0)),"",VLOOKUP(A158,'Cadastro - Espelho (não editar)'!$A$3:$H$3204,8,0))</f>
        <v/>
      </c>
      <c r="D158" s="11" t="b">
        <v>0</v>
      </c>
      <c r="F158" s="147" t="str">
        <f>IF(ISNA(VLOOKUP(A158,'Cadastro - Espelho (não editar)'!$A$3:$L$3204,12,0)),"",VLOOKUP(A158,'Cadastro - Espelho (não editar)'!$A$3:$L$3204,12,0))</f>
        <v/>
      </c>
      <c r="G158" s="11"/>
      <c r="H158" s="148"/>
      <c r="I158" s="162"/>
      <c r="J158" s="152"/>
      <c r="M158" s="105" t="e">
        <f t="shared" si="3"/>
        <v>#VALUE!</v>
      </c>
    </row>
    <row r="159" customHeight="1" spans="1:13">
      <c r="A159" s="11"/>
      <c r="B159" s="145" t="e">
        <f t="shared" si="0"/>
        <v>#VALUE!</v>
      </c>
      <c r="C159" s="11" t="str">
        <f>IF(ISNA(VLOOKUP(A159,'Cadastro - Espelho (não editar)'!$A$3:$H$3204,8,0)),"",VLOOKUP(A159,'Cadastro - Espelho (não editar)'!$A$3:$H$3204,8,0))</f>
        <v/>
      </c>
      <c r="D159" s="11" t="b">
        <v>0</v>
      </c>
      <c r="F159" s="147" t="str">
        <f>IF(ISNA(VLOOKUP(A159,'Cadastro - Espelho (não editar)'!$A$3:$L$3204,12,0)),"",VLOOKUP(A159,'Cadastro - Espelho (não editar)'!$A$3:$L$3204,12,0))</f>
        <v/>
      </c>
      <c r="G159" s="11"/>
      <c r="H159" s="148"/>
      <c r="I159" s="162"/>
      <c r="J159" s="152"/>
      <c r="K159" s="146"/>
      <c r="M159" s="105" t="e">
        <f t="shared" si="3"/>
        <v>#VALUE!</v>
      </c>
    </row>
    <row r="160" customHeight="1" spans="1:13">
      <c r="A160" s="11"/>
      <c r="B160" s="145" t="e">
        <f t="shared" si="0"/>
        <v>#VALUE!</v>
      </c>
      <c r="C160" s="11" t="str">
        <f>IF(ISNA(VLOOKUP(A160,'Cadastro - Espelho (não editar)'!$A$3:$H$3204,8,0)),"",VLOOKUP(A160,'Cadastro - Espelho (não editar)'!$A$3:$H$3204,8,0))</f>
        <v/>
      </c>
      <c r="D160" s="11" t="b">
        <v>0</v>
      </c>
      <c r="F160" s="147" t="str">
        <f>IF(ISNA(VLOOKUP(A160,'Cadastro - Espelho (não editar)'!$A$3:$L$3204,12,0)),"",VLOOKUP(A160,'Cadastro - Espelho (não editar)'!$A$3:$L$3204,12,0))</f>
        <v/>
      </c>
      <c r="G160" s="11"/>
      <c r="H160" s="148"/>
      <c r="I160" s="162"/>
      <c r="J160" s="152"/>
      <c r="M160" s="105" t="e">
        <f t="shared" si="3"/>
        <v>#VALUE!</v>
      </c>
    </row>
    <row r="161" customHeight="1" spans="1:13">
      <c r="A161" s="11"/>
      <c r="B161" s="145" t="e">
        <f t="shared" si="0"/>
        <v>#VALUE!</v>
      </c>
      <c r="D161" s="11" t="b">
        <v>0</v>
      </c>
      <c r="F161" s="147" t="str">
        <f>IF(ISNA(VLOOKUP(A161,'Cadastro - Espelho (não editar)'!$A$3:$L$3204,12,0)),"",VLOOKUP(A161,'Cadastro - Espelho (não editar)'!$A$3:$L$3204,12,0))</f>
        <v/>
      </c>
      <c r="G161" s="11"/>
      <c r="H161" s="148"/>
      <c r="I161" s="162"/>
      <c r="J161" s="152"/>
      <c r="M161" s="105" t="e">
        <f t="shared" si="3"/>
        <v>#VALUE!</v>
      </c>
    </row>
    <row r="162" customHeight="1" spans="1:13">
      <c r="A162" s="11"/>
      <c r="B162" s="145" t="e">
        <f t="shared" si="0"/>
        <v>#VALUE!</v>
      </c>
      <c r="C162" s="11" t="str">
        <f>IF(ISNA(VLOOKUP(A162,'Cadastro - Espelho (não editar)'!$A$3:$H$3204,8,0)),"",VLOOKUP(A162,'Cadastro - Espelho (não editar)'!$A$3:$H$3204,8,0))</f>
        <v/>
      </c>
      <c r="D162" s="11" t="b">
        <v>0</v>
      </c>
      <c r="F162" s="147" t="str">
        <f>IF(ISNA(VLOOKUP(A162,'Cadastro - Espelho (não editar)'!$A$3:$L$3204,12,0)),"",VLOOKUP(A162,'Cadastro - Espelho (não editar)'!$A$3:$L$3204,12,0))</f>
        <v/>
      </c>
      <c r="G162" s="11"/>
      <c r="H162" s="148"/>
      <c r="I162" s="162"/>
      <c r="J162" s="152"/>
      <c r="M162" s="105" t="e">
        <f t="shared" si="3"/>
        <v>#VALUE!</v>
      </c>
    </row>
    <row r="163" customHeight="1" spans="1:13">
      <c r="A163" s="11"/>
      <c r="B163" s="145" t="e">
        <f t="shared" si="0"/>
        <v>#VALUE!</v>
      </c>
      <c r="C163" s="11" t="str">
        <f>IF(ISNA(VLOOKUP(A163,'Cadastro - Espelho (não editar)'!$A$3:$H$3204,8,0)),"",VLOOKUP(A163,'Cadastro - Espelho (não editar)'!$A$3:$H$3204,8,0))</f>
        <v/>
      </c>
      <c r="D163" s="11" t="b">
        <v>0</v>
      </c>
      <c r="F163" s="147" t="str">
        <f>IF(ISNA(VLOOKUP(A163,'Cadastro - Espelho (não editar)'!$A$3:$L$3204,12,0)),"",VLOOKUP(A163,'Cadastro - Espelho (não editar)'!$A$3:$L$3204,12,0))</f>
        <v/>
      </c>
      <c r="G163" s="11"/>
      <c r="H163" s="148"/>
      <c r="I163" s="162"/>
      <c r="J163" s="152"/>
      <c r="M163" s="105" t="e">
        <f t="shared" si="3"/>
        <v>#VALUE!</v>
      </c>
    </row>
    <row r="164" customHeight="1" spans="1:13">
      <c r="A164" s="11"/>
      <c r="B164" s="145" t="e">
        <f t="shared" si="0"/>
        <v>#VALUE!</v>
      </c>
      <c r="C164" s="11" t="str">
        <f>IF(ISNA(VLOOKUP(A164,'Cadastro - Espelho (não editar)'!$A$3:$H$3204,8,0)),"",VLOOKUP(A164,'Cadastro - Espelho (não editar)'!$A$3:$H$3204,8,0))</f>
        <v/>
      </c>
      <c r="D164" s="11" t="b">
        <v>0</v>
      </c>
      <c r="F164" s="147" t="str">
        <f>IF(ISNA(VLOOKUP(A164,'Cadastro - Espelho (não editar)'!$A$3:$L$3204,12,0)),"",VLOOKUP(A164,'Cadastro - Espelho (não editar)'!$A$3:$L$3204,12,0))</f>
        <v/>
      </c>
      <c r="G164" s="11"/>
      <c r="H164" s="148"/>
      <c r="I164" s="162"/>
      <c r="J164" s="152"/>
      <c r="M164" s="105" t="e">
        <f t="shared" si="3"/>
        <v>#VALUE!</v>
      </c>
    </row>
    <row r="165" customHeight="1" spans="1:13">
      <c r="A165" s="148"/>
      <c r="B165" s="145" t="e">
        <f t="shared" si="0"/>
        <v>#VALUE!</v>
      </c>
      <c r="C165" s="11" t="str">
        <f>IF(ISNA(VLOOKUP(A165,'Cadastro - Espelho (não editar)'!$A$3:$H$3204,8,0)),"",VLOOKUP(A165,'Cadastro - Espelho (não editar)'!$A$3:$H$3204,8,0))</f>
        <v/>
      </c>
      <c r="D165" s="11" t="b">
        <v>0</v>
      </c>
      <c r="F165" s="147" t="str">
        <f>IF(ISNA(VLOOKUP(A165,'Cadastro - Espelho (não editar)'!$A$3:$L$3204,12,0)),"",VLOOKUP(A165,'Cadastro - Espelho (não editar)'!$A$3:$L$3204,12,0))</f>
        <v/>
      </c>
      <c r="G165" s="11"/>
      <c r="H165" s="148"/>
      <c r="I165" s="162"/>
      <c r="J165" s="152"/>
      <c r="M165" s="105" t="e">
        <f t="shared" si="3"/>
        <v>#VALUE!</v>
      </c>
    </row>
    <row r="166" customHeight="1" spans="1:13">
      <c r="A166" s="11"/>
      <c r="B166" s="145" t="e">
        <f t="shared" si="0"/>
        <v>#VALUE!</v>
      </c>
      <c r="C166" s="11" t="str">
        <f>IF(ISNA(VLOOKUP(A166,'Cadastro - Espelho (não editar)'!$A$3:$H$3204,8,0)),"",VLOOKUP(A166,'Cadastro - Espelho (não editar)'!$A$3:$H$3204,8,0))</f>
        <v/>
      </c>
      <c r="D166" s="11" t="b">
        <v>0</v>
      </c>
      <c r="F166" s="147" t="str">
        <f>IF(ISNA(VLOOKUP(A166,'Cadastro - Espelho (não editar)'!$A$3:$L$3204,12,0)),"",VLOOKUP(A166,'Cadastro - Espelho (não editar)'!$A$3:$L$3204,12,0))</f>
        <v/>
      </c>
      <c r="G166" s="11"/>
      <c r="H166" s="148"/>
      <c r="I166" s="162"/>
      <c r="J166" s="152"/>
      <c r="M166" s="105" t="e">
        <f t="shared" si="3"/>
        <v>#VALUE!</v>
      </c>
    </row>
    <row r="167" customHeight="1" spans="1:13">
      <c r="A167" s="11"/>
      <c r="B167" s="145" t="e">
        <f t="shared" si="0"/>
        <v>#VALUE!</v>
      </c>
      <c r="C167" s="11" t="str">
        <f>IF(ISNA(VLOOKUP(A167,'Cadastro - Espelho (não editar)'!$A$3:$H$3204,8,0)),"",VLOOKUP(A167,'Cadastro - Espelho (não editar)'!$A$3:$H$3204,8,0))</f>
        <v/>
      </c>
      <c r="D167" s="11" t="b">
        <v>0</v>
      </c>
      <c r="F167" s="147" t="str">
        <f>IF(ISNA(VLOOKUP(A167,'Cadastro - Espelho (não editar)'!$A$3:$L$3204,12,0)),"",VLOOKUP(A167,'Cadastro - Espelho (não editar)'!$A$3:$L$3204,12,0))</f>
        <v/>
      </c>
      <c r="G167" s="11"/>
      <c r="H167" s="148"/>
      <c r="I167" s="162"/>
      <c r="J167" s="152"/>
      <c r="M167" s="105" t="e">
        <f t="shared" si="3"/>
        <v>#VALUE!</v>
      </c>
    </row>
    <row r="168" customHeight="1" spans="1:13">
      <c r="A168" s="11"/>
      <c r="B168" s="145" t="e">
        <f t="shared" si="0"/>
        <v>#VALUE!</v>
      </c>
      <c r="C168" s="11" t="str">
        <f>IF(ISNA(VLOOKUP(A168,'Cadastro - Espelho (não editar)'!$A$3:$H$3204,8,0)),"",VLOOKUP(A168,'Cadastro - Espelho (não editar)'!$A$3:$H$3204,8,0))</f>
        <v/>
      </c>
      <c r="D168" s="11" t="b">
        <v>0</v>
      </c>
      <c r="F168" s="147" t="str">
        <f>IF(ISNA(VLOOKUP(A168,'Cadastro - Espelho (não editar)'!$A$3:$L$3204,12,0)),"",VLOOKUP(A168,'Cadastro - Espelho (não editar)'!$A$3:$L$3204,12,0))</f>
        <v/>
      </c>
      <c r="G168" s="11"/>
      <c r="H168" s="148"/>
      <c r="I168" s="162"/>
      <c r="J168" s="152"/>
      <c r="M168" s="105" t="e">
        <f t="shared" si="3"/>
        <v>#VALUE!</v>
      </c>
    </row>
    <row r="169" customHeight="1" spans="1:13">
      <c r="A169" s="11"/>
      <c r="B169" s="145" t="e">
        <f t="shared" si="0"/>
        <v>#VALUE!</v>
      </c>
      <c r="C169" s="11" t="str">
        <f>IF(ISNA(VLOOKUP(A169,'Cadastro - Espelho (não editar)'!$A$3:$H$3204,8,0)),"",VLOOKUP(A169,'Cadastro - Espelho (não editar)'!$A$3:$H$3204,8,0))</f>
        <v/>
      </c>
      <c r="D169" s="11" t="b">
        <v>0</v>
      </c>
      <c r="F169" s="147" t="str">
        <f>IF(ISNA(VLOOKUP(A169,'Cadastro - Espelho (não editar)'!$A$3:$L$3204,12,0)),"",VLOOKUP(A169,'Cadastro - Espelho (não editar)'!$A$3:$L$3204,12,0))</f>
        <v/>
      </c>
      <c r="G169" s="11"/>
      <c r="H169" s="148"/>
      <c r="I169" s="162"/>
      <c r="J169" s="152"/>
      <c r="M169" s="105" t="e">
        <f t="shared" si="3"/>
        <v>#VALUE!</v>
      </c>
    </row>
    <row r="170" customHeight="1" spans="1:13">
      <c r="A170" s="11"/>
      <c r="B170" s="145" t="e">
        <f t="shared" si="0"/>
        <v>#VALUE!</v>
      </c>
      <c r="C170" s="11" t="str">
        <f>IF(ISNA(VLOOKUP(A170,'Cadastro - Espelho (não editar)'!$A$3:$H$3204,8,0)),"",VLOOKUP(A170,'Cadastro - Espelho (não editar)'!$A$3:$H$3204,8,0))</f>
        <v/>
      </c>
      <c r="D170" s="11" t="b">
        <v>0</v>
      </c>
      <c r="F170" s="147" t="str">
        <f>IF(ISNA(VLOOKUP(A170,'Cadastro - Espelho (não editar)'!$A$3:$L$3204,12,0)),"",VLOOKUP(A170,'Cadastro - Espelho (não editar)'!$A$3:$L$3204,12,0))</f>
        <v/>
      </c>
      <c r="G170" s="11"/>
      <c r="H170" s="148"/>
      <c r="I170" s="162"/>
      <c r="J170" s="152"/>
      <c r="M170" s="105" t="e">
        <f t="shared" si="3"/>
        <v>#VALUE!</v>
      </c>
    </row>
    <row r="171" customHeight="1" spans="1:13">
      <c r="A171" s="11"/>
      <c r="B171" s="145" t="e">
        <f t="shared" si="0"/>
        <v>#VALUE!</v>
      </c>
      <c r="C171" s="11" t="str">
        <f>IF(ISNA(VLOOKUP(A171,'Cadastro - Espelho (não editar)'!$A$3:$H$3204,8,0)),"",VLOOKUP(A171,'Cadastro - Espelho (não editar)'!$A$3:$H$3204,8,0))</f>
        <v/>
      </c>
      <c r="D171" s="11" t="b">
        <v>0</v>
      </c>
      <c r="F171" s="147" t="str">
        <f>IF(ISNA(VLOOKUP(A171,'Cadastro - Espelho (não editar)'!$A$3:$L$3204,12,0)),"",VLOOKUP(A171,'Cadastro - Espelho (não editar)'!$A$3:$L$3204,12,0))</f>
        <v/>
      </c>
      <c r="G171" s="11"/>
      <c r="H171" s="148"/>
      <c r="I171" s="162"/>
      <c r="J171" s="152"/>
      <c r="M171" s="105" t="e">
        <f t="shared" si="3"/>
        <v>#VALUE!</v>
      </c>
    </row>
    <row r="172" customHeight="1" spans="1:13">
      <c r="A172" s="11"/>
      <c r="B172" s="145" t="e">
        <f t="shared" si="0"/>
        <v>#VALUE!</v>
      </c>
      <c r="C172" s="163"/>
      <c r="D172" s="11" t="b">
        <v>0</v>
      </c>
      <c r="F172" s="147" t="str">
        <f>IF(ISNA(VLOOKUP(A172,'Cadastro - Espelho (não editar)'!$A$3:$L$3204,12,0)),"",VLOOKUP(A172,'Cadastro - Espelho (não editar)'!$A$3:$L$3204,12,0))</f>
        <v/>
      </c>
      <c r="G172" s="11"/>
      <c r="H172" s="148"/>
      <c r="I172" s="162"/>
      <c r="J172" s="152"/>
      <c r="M172" s="105" t="e">
        <f t="shared" si="3"/>
        <v>#VALUE!</v>
      </c>
    </row>
    <row r="173" customHeight="1" spans="1:13">
      <c r="A173" s="11"/>
      <c r="B173" s="145" t="e">
        <f t="shared" si="0"/>
        <v>#VALUE!</v>
      </c>
      <c r="C173" s="164"/>
      <c r="D173" s="11" t="b">
        <v>0</v>
      </c>
      <c r="F173" s="147" t="str">
        <f>IF(ISNA(VLOOKUP(A173,'Cadastro - Espelho (não editar)'!$A$3:$L$3204,12,0)),"",VLOOKUP(A173,'Cadastro - Espelho (não editar)'!$A$3:$L$3204,12,0))</f>
        <v/>
      </c>
      <c r="G173" s="11"/>
      <c r="H173" s="148"/>
      <c r="I173" s="162"/>
      <c r="J173" s="152"/>
      <c r="M173" s="105" t="e">
        <f t="shared" si="3"/>
        <v>#VALUE!</v>
      </c>
    </row>
    <row r="174" customHeight="1" spans="1:13">
      <c r="A174" s="11"/>
      <c r="B174" s="145" t="e">
        <f t="shared" si="0"/>
        <v>#VALUE!</v>
      </c>
      <c r="C174" s="11" t="str">
        <f>IF(ISNA(VLOOKUP(A174,'Cadastro - Espelho (não editar)'!$A$3:$H$3204,8,0)),"",VLOOKUP(A174,'Cadastro - Espelho (não editar)'!$A$3:$H$3204,8,0))</f>
        <v/>
      </c>
      <c r="D174" s="11" t="b">
        <v>0</v>
      </c>
      <c r="F174" s="147" t="str">
        <f>IF(ISNA(VLOOKUP(A174,'Cadastro - Espelho (não editar)'!$A$3:$L$3204,12,0)),"",VLOOKUP(A174,'Cadastro - Espelho (não editar)'!$A$3:$L$3204,12,0))</f>
        <v/>
      </c>
      <c r="G174" s="11"/>
      <c r="H174" s="148"/>
      <c r="I174" s="162"/>
      <c r="J174" s="152"/>
      <c r="M174" s="105" t="e">
        <f t="shared" si="3"/>
        <v>#VALUE!</v>
      </c>
    </row>
    <row r="175" customHeight="1" spans="1:13">
      <c r="A175" s="11"/>
      <c r="B175" s="145" t="e">
        <f t="shared" si="0"/>
        <v>#VALUE!</v>
      </c>
      <c r="C175" s="11" t="str">
        <f>IF(ISNA(VLOOKUP(A175,'Cadastro - Espelho (não editar)'!$A$3:$H$3204,8,0)),"",VLOOKUP(A175,'Cadastro - Espelho (não editar)'!$A$3:$H$3204,8,0))</f>
        <v/>
      </c>
      <c r="D175" s="11" t="b">
        <v>0</v>
      </c>
      <c r="F175" s="147" t="str">
        <f>IF(ISNA(VLOOKUP(A175,'Cadastro - Espelho (não editar)'!$A$3:$L$3204,12,0)),"",VLOOKUP(A175,'Cadastro - Espelho (não editar)'!$A$3:$L$3204,12,0))</f>
        <v/>
      </c>
      <c r="G175" s="11"/>
      <c r="H175" s="148"/>
      <c r="I175" s="162"/>
      <c r="J175" s="152"/>
      <c r="M175" s="105" t="e">
        <f t="shared" si="3"/>
        <v>#VALUE!</v>
      </c>
    </row>
    <row r="176" customHeight="1" spans="1:13">
      <c r="A176" s="11"/>
      <c r="B176" s="145" t="e">
        <f t="shared" si="0"/>
        <v>#VALUE!</v>
      </c>
      <c r="C176" s="11" t="str">
        <f>IF(ISNA(VLOOKUP(A176,'Cadastro - Espelho (não editar)'!$A$3:$H$3204,8,0)),"",VLOOKUP(A176,'Cadastro - Espelho (não editar)'!$A$3:$H$3204,8,0))</f>
        <v/>
      </c>
      <c r="F176" s="147" t="str">
        <f>IF(ISNA(VLOOKUP(A176,'Cadastro - Espelho (não editar)'!$A$3:$L$3204,12,0)),"",VLOOKUP(A176,'Cadastro - Espelho (não editar)'!$A$3:$L$3204,12,0))</f>
        <v/>
      </c>
      <c r="G176" s="11"/>
      <c r="H176" s="148"/>
      <c r="I176" s="162"/>
      <c r="J176" s="152"/>
      <c r="M176" s="105" t="e">
        <f t="shared" si="3"/>
        <v>#VALUE!</v>
      </c>
    </row>
    <row r="177" customHeight="1" spans="1:13">
      <c r="A177" s="11"/>
      <c r="B177" s="145" t="e">
        <f t="shared" si="0"/>
        <v>#VALUE!</v>
      </c>
      <c r="D177" s="11" t="b">
        <v>0</v>
      </c>
      <c r="F177" s="147" t="str">
        <f>IF(ISNA(VLOOKUP(A177,'Cadastro - Espelho (não editar)'!$A$3:$L$3204,12,0)),"",VLOOKUP(A177,'Cadastro - Espelho (não editar)'!$A$3:$L$3204,12,0))</f>
        <v/>
      </c>
      <c r="G177" s="11"/>
      <c r="H177" s="148"/>
      <c r="I177" s="162"/>
      <c r="J177" s="152"/>
      <c r="M177" s="105" t="e">
        <f t="shared" si="3"/>
        <v>#VALUE!</v>
      </c>
    </row>
    <row r="178" customHeight="1" spans="1:13">
      <c r="A178" s="11"/>
      <c r="B178" s="145" t="e">
        <f t="shared" si="0"/>
        <v>#VALUE!</v>
      </c>
      <c r="C178" s="11" t="str">
        <f>IF(ISNA(VLOOKUP(A178,'Cadastro - Espelho (não editar)'!$A$3:$H$3204,8,0)),"",VLOOKUP(A178,'Cadastro - Espelho (não editar)'!$A$3:$H$3204,8,0))</f>
        <v/>
      </c>
      <c r="D178" s="11" t="b">
        <v>0</v>
      </c>
      <c r="F178" s="147" t="str">
        <f>IF(ISNA(VLOOKUP(A178,'Cadastro - Espelho (não editar)'!$A$3:$L$3204,12,0)),"",VLOOKUP(A178,'Cadastro - Espelho (não editar)'!$A$3:$L$3204,12,0))</f>
        <v/>
      </c>
      <c r="G178" s="11"/>
      <c r="H178" s="148"/>
      <c r="I178" s="162"/>
      <c r="J178" s="152"/>
      <c r="M178" s="105" t="e">
        <f t="shared" si="3"/>
        <v>#VALUE!</v>
      </c>
    </row>
    <row r="179" customHeight="1" spans="1:13">
      <c r="A179" s="11"/>
      <c r="B179" s="145" t="e">
        <f t="shared" si="0"/>
        <v>#VALUE!</v>
      </c>
      <c r="C179" s="11" t="str">
        <f>IF(ISNA(VLOOKUP(A179,'Cadastro - Espelho (não editar)'!$A$3:$H$3204,8,0)),"",VLOOKUP(A179,'Cadastro - Espelho (não editar)'!$A$3:$H$3204,8,0))</f>
        <v/>
      </c>
      <c r="D179" s="11" t="b">
        <v>0</v>
      </c>
      <c r="F179" s="147" t="str">
        <f>IF(ISNA(VLOOKUP(A179,'Cadastro - Espelho (não editar)'!$A$3:$L$3204,12,0)),"",VLOOKUP(A179,'Cadastro - Espelho (não editar)'!$A$3:$L$3204,12,0))</f>
        <v/>
      </c>
      <c r="G179" s="11"/>
      <c r="H179" s="148"/>
      <c r="I179" s="162"/>
      <c r="J179" s="152"/>
      <c r="M179" s="105" t="e">
        <f t="shared" si="3"/>
        <v>#VALUE!</v>
      </c>
    </row>
    <row r="180" customHeight="1" spans="1:13">
      <c r="A180" s="11"/>
      <c r="B180" s="145" t="e">
        <f t="shared" si="0"/>
        <v>#VALUE!</v>
      </c>
      <c r="C180" s="11" t="str">
        <f>IF(ISNA(VLOOKUP(A180,'Cadastro - Espelho (não editar)'!$A$3:$H$3204,8,0)),"",VLOOKUP(A180,'Cadastro - Espelho (não editar)'!$A$3:$H$3204,8,0))</f>
        <v/>
      </c>
      <c r="D180" s="11" t="b">
        <v>0</v>
      </c>
      <c r="F180" s="147" t="str">
        <f>IF(ISNA(VLOOKUP(A180,'Cadastro - Espelho (não editar)'!$A$3:$L$3204,12,0)),"",VLOOKUP(A180,'Cadastro - Espelho (não editar)'!$A$3:$L$3204,12,0))</f>
        <v/>
      </c>
      <c r="G180" s="11"/>
      <c r="H180" s="148"/>
      <c r="I180" s="162"/>
      <c r="J180" s="152"/>
      <c r="M180" s="105" t="e">
        <f t="shared" si="3"/>
        <v>#VALUE!</v>
      </c>
    </row>
    <row r="181" customHeight="1" spans="1:13">
      <c r="A181" s="11"/>
      <c r="B181" s="145" t="e">
        <f t="shared" si="0"/>
        <v>#VALUE!</v>
      </c>
      <c r="C181" s="11" t="str">
        <f>IF(ISNA(VLOOKUP(A181,'Cadastro - Espelho (não editar)'!$A$3:$H$3204,8,0)),"",VLOOKUP(A181,'Cadastro - Espelho (não editar)'!$A$3:$H$3204,8,0))</f>
        <v/>
      </c>
      <c r="D181" s="11" t="b">
        <v>0</v>
      </c>
      <c r="F181" s="147" t="str">
        <f>IF(ISNA(VLOOKUP(A181,'Cadastro - Espelho (não editar)'!$A$3:$L$3204,12,0)),"",VLOOKUP(A181,'Cadastro - Espelho (não editar)'!$A$3:$L$3204,12,0))</f>
        <v/>
      </c>
      <c r="G181" s="11"/>
      <c r="H181" s="148"/>
      <c r="I181" s="162"/>
      <c r="J181" s="152"/>
      <c r="M181" s="105" t="e">
        <f t="shared" si="3"/>
        <v>#VALUE!</v>
      </c>
    </row>
    <row r="182" customHeight="1" spans="1:13">
      <c r="A182" s="11"/>
      <c r="B182" s="145" t="e">
        <f t="shared" si="0"/>
        <v>#VALUE!</v>
      </c>
      <c r="C182" s="11" t="str">
        <f>IF(ISNA(VLOOKUP(A182,'Cadastro - Espelho (não editar)'!$A$3:$H$3204,8,0)),"",VLOOKUP(A182,'Cadastro - Espelho (não editar)'!$A$3:$H$3204,8,0))</f>
        <v/>
      </c>
      <c r="D182" s="11" t="b">
        <v>0</v>
      </c>
      <c r="F182" s="147" t="str">
        <f>IF(ISNA(VLOOKUP(A182,'Cadastro - Espelho (não editar)'!$A$3:$L$3204,12,0)),"",VLOOKUP(A182,'Cadastro - Espelho (não editar)'!$A$3:$L$3204,12,0))</f>
        <v/>
      </c>
      <c r="G182" s="11"/>
      <c r="H182" s="148"/>
      <c r="I182" s="162"/>
      <c r="J182" s="152"/>
      <c r="M182" s="105" t="e">
        <f t="shared" si="3"/>
        <v>#VALUE!</v>
      </c>
    </row>
    <row r="183" customHeight="1" spans="1:13">
      <c r="A183" s="11"/>
      <c r="B183" s="145" t="e">
        <f t="shared" si="0"/>
        <v>#VALUE!</v>
      </c>
      <c r="C183" s="11" t="str">
        <f>IF(ISNA(VLOOKUP(A183,'Cadastro - Espelho (não editar)'!$A$3:$H$3204,8,0)),"",VLOOKUP(A183,'Cadastro - Espelho (não editar)'!$A$3:$H$3204,8,0))</f>
        <v/>
      </c>
      <c r="D183" s="11" t="b">
        <v>0</v>
      </c>
      <c r="F183" s="147" t="str">
        <f>IF(ISNA(VLOOKUP(A183,'Cadastro - Espelho (não editar)'!$A$3:$L$3204,12,0)),"",VLOOKUP(A183,'Cadastro - Espelho (não editar)'!$A$3:$L$3204,12,0))</f>
        <v/>
      </c>
      <c r="G183" s="11"/>
      <c r="H183" s="148"/>
      <c r="I183" s="162"/>
      <c r="J183" s="152"/>
      <c r="M183" s="105" t="e">
        <f t="shared" si="3"/>
        <v>#VALUE!</v>
      </c>
    </row>
    <row r="184" customHeight="1" spans="1:13">
      <c r="A184" s="11"/>
      <c r="B184" s="145" t="e">
        <f t="shared" si="0"/>
        <v>#VALUE!</v>
      </c>
      <c r="C184" s="11" t="str">
        <f>IF(ISNA(VLOOKUP(A184,'Cadastro - Espelho (não editar)'!$A$3:$H$3204,8,0)),"",VLOOKUP(A184,'Cadastro - Espelho (não editar)'!$A$3:$H$3204,8,0))</f>
        <v/>
      </c>
      <c r="D184" s="11" t="b">
        <v>0</v>
      </c>
      <c r="F184" s="147" t="str">
        <f>IF(ISNA(VLOOKUP(A184,'Cadastro - Espelho (não editar)'!$A$3:$L$3204,12,0)),"",VLOOKUP(A184,'Cadastro - Espelho (não editar)'!$A$3:$L$3204,12,0))</f>
        <v/>
      </c>
      <c r="G184" s="11"/>
      <c r="H184" s="148"/>
      <c r="I184" s="162"/>
      <c r="J184" s="152"/>
      <c r="M184" s="105" t="e">
        <f t="shared" si="3"/>
        <v>#VALUE!</v>
      </c>
    </row>
    <row r="185" customHeight="1" spans="1:13">
      <c r="A185" s="11"/>
      <c r="B185" s="145" t="e">
        <f t="shared" si="0"/>
        <v>#VALUE!</v>
      </c>
      <c r="C185" s="11" t="str">
        <f>IF(ISNA(VLOOKUP(A185,'Cadastro - Espelho (não editar)'!$A$3:$H$3204,8,0)),"",VLOOKUP(A185,'Cadastro - Espelho (não editar)'!$A$3:$H$3204,8,0))</f>
        <v/>
      </c>
      <c r="D185" s="11" t="b">
        <v>0</v>
      </c>
      <c r="F185" s="147" t="str">
        <f>IF(ISNA(VLOOKUP(A185,'Cadastro - Espelho (não editar)'!$A$3:$L$3204,12,0)),"",VLOOKUP(A185,'Cadastro - Espelho (não editar)'!$A$3:$L$3204,12,0))</f>
        <v/>
      </c>
      <c r="G185" s="11"/>
      <c r="H185" s="148"/>
      <c r="I185" s="162"/>
      <c r="J185" s="152"/>
      <c r="M185" s="105" t="e">
        <f t="shared" si="3"/>
        <v>#VALUE!</v>
      </c>
    </row>
    <row r="186" customHeight="1" spans="1:13">
      <c r="A186" s="11"/>
      <c r="B186" s="145" t="e">
        <f t="shared" si="0"/>
        <v>#VALUE!</v>
      </c>
      <c r="C186" s="11" t="str">
        <f>IF(ISNA(VLOOKUP(A186,'Cadastro - Espelho (não editar)'!$A$3:$H$3204,8,0)),"",VLOOKUP(A186,'Cadastro - Espelho (não editar)'!$A$3:$H$3204,8,0))</f>
        <v/>
      </c>
      <c r="D186" s="11" t="b">
        <v>0</v>
      </c>
      <c r="F186" s="147" t="str">
        <f>IF(ISNA(VLOOKUP(A186,'Cadastro - Espelho (não editar)'!$A$3:$L$3204,12,0)),"",VLOOKUP(A186,'Cadastro - Espelho (não editar)'!$A$3:$L$3204,12,0))</f>
        <v/>
      </c>
      <c r="G186" s="11"/>
      <c r="H186" s="148"/>
      <c r="I186" s="162"/>
      <c r="J186" s="152"/>
      <c r="M186" s="105" t="e">
        <f t="shared" si="3"/>
        <v>#VALUE!</v>
      </c>
    </row>
    <row r="187" customHeight="1" spans="1:13">
      <c r="A187" s="11"/>
      <c r="B187" s="145" t="e">
        <f t="shared" si="0"/>
        <v>#VALUE!</v>
      </c>
      <c r="C187" s="11" t="str">
        <f>IF(ISNA(VLOOKUP(A187,'Cadastro - Espelho (não editar)'!$A$3:$H$3204,8,0)),"",VLOOKUP(A187,'Cadastro - Espelho (não editar)'!$A$3:$H$3204,8,0))</f>
        <v/>
      </c>
      <c r="D187" s="11" t="b">
        <v>0</v>
      </c>
      <c r="F187" s="147" t="str">
        <f>IF(ISNA(VLOOKUP(A187,'Cadastro - Espelho (não editar)'!$A$3:$L$3204,12,0)),"",VLOOKUP(A187,'Cadastro - Espelho (não editar)'!$A$3:$L$3204,12,0))</f>
        <v/>
      </c>
      <c r="G187" s="11"/>
      <c r="H187" s="148"/>
      <c r="I187" s="162"/>
      <c r="J187" s="152"/>
      <c r="M187" s="105" t="e">
        <f t="shared" si="3"/>
        <v>#VALUE!</v>
      </c>
    </row>
    <row r="188" customHeight="1" spans="1:13">
      <c r="A188" s="11"/>
      <c r="B188" s="145" t="e">
        <f t="shared" si="0"/>
        <v>#VALUE!</v>
      </c>
      <c r="D188" s="11" t="b">
        <v>0</v>
      </c>
      <c r="F188" s="147" t="str">
        <f>IF(ISNA(VLOOKUP(A188,'Cadastro - Espelho (não editar)'!$A$3:$L$3204,12,0)),"",VLOOKUP(A188,'Cadastro - Espelho (não editar)'!$A$3:$L$3204,12,0))</f>
        <v/>
      </c>
      <c r="G188" s="11"/>
      <c r="H188" s="148"/>
      <c r="I188" s="162"/>
      <c r="J188" s="152"/>
      <c r="M188" s="105" t="e">
        <f t="shared" si="3"/>
        <v>#VALUE!</v>
      </c>
    </row>
    <row r="189" customHeight="1" spans="1:13">
      <c r="A189" s="11"/>
      <c r="B189" s="145" t="e">
        <f t="shared" si="0"/>
        <v>#VALUE!</v>
      </c>
      <c r="C189" s="11" t="str">
        <f>IF(ISNA(VLOOKUP(A189,'Cadastro - Espelho (não editar)'!$A$3:$H$3204,8,0)),"",VLOOKUP(A189,'Cadastro - Espelho (não editar)'!$A$3:$H$3204,8,0))</f>
        <v/>
      </c>
      <c r="D189" s="11" t="b">
        <v>0</v>
      </c>
      <c r="F189" s="147" t="str">
        <f>IF(ISNA(VLOOKUP(A189,'Cadastro - Espelho (não editar)'!$A$3:$L$3204,12,0)),"",VLOOKUP(A189,'Cadastro - Espelho (não editar)'!$A$3:$L$3204,12,0))</f>
        <v/>
      </c>
      <c r="G189" s="11"/>
      <c r="H189" s="148"/>
      <c r="I189" s="162"/>
      <c r="J189" s="152"/>
      <c r="M189" s="105" t="e">
        <f t="shared" si="3"/>
        <v>#VALUE!</v>
      </c>
    </row>
    <row r="190" customHeight="1" spans="1:13">
      <c r="A190" s="11"/>
      <c r="B190" s="145" t="e">
        <f t="shared" si="0"/>
        <v>#VALUE!</v>
      </c>
      <c r="C190" s="11" t="str">
        <f>IF(ISNA(VLOOKUP(A190,'Cadastro - Espelho (não editar)'!$A$3:$H$3204,8,0)),"",VLOOKUP(A190,'Cadastro - Espelho (não editar)'!$A$3:$H$3204,8,0))</f>
        <v/>
      </c>
      <c r="D190" s="11" t="b">
        <v>0</v>
      </c>
      <c r="F190" s="147" t="str">
        <f>IF(ISNA(VLOOKUP(A190,'Cadastro - Espelho (não editar)'!$A$3:$L$3204,12,0)),"",VLOOKUP(A190,'Cadastro - Espelho (não editar)'!$A$3:$L$3204,12,0))</f>
        <v/>
      </c>
      <c r="G190" s="11"/>
      <c r="H190" s="148"/>
      <c r="I190" s="162"/>
      <c r="J190" s="152"/>
      <c r="M190" s="105" t="e">
        <f t="shared" si="3"/>
        <v>#VALUE!</v>
      </c>
    </row>
    <row r="191" customHeight="1" spans="1:13">
      <c r="A191" s="11"/>
      <c r="B191" s="145" t="e">
        <f t="shared" si="0"/>
        <v>#VALUE!</v>
      </c>
      <c r="C191" s="11" t="str">
        <f>IF(ISNA(VLOOKUP(A191,'Cadastro - Espelho (não editar)'!$A$3:$H$3204,8,0)),"",VLOOKUP(A191,'Cadastro - Espelho (não editar)'!$A$3:$H$3204,8,0))</f>
        <v/>
      </c>
      <c r="D191" s="11" t="b">
        <v>0</v>
      </c>
      <c r="F191" s="147" t="str">
        <f>IF(ISNA(VLOOKUP(A191,'Cadastro - Espelho (não editar)'!$A$3:$L$3204,12,0)),"",VLOOKUP(A191,'Cadastro - Espelho (não editar)'!$A$3:$L$3204,12,0))</f>
        <v/>
      </c>
      <c r="G191" s="11"/>
      <c r="H191" s="148"/>
      <c r="I191" s="162"/>
      <c r="J191" s="152"/>
      <c r="M191" s="105" t="e">
        <f t="shared" si="3"/>
        <v>#VALUE!</v>
      </c>
    </row>
    <row r="192" customHeight="1" spans="1:13">
      <c r="A192" s="11"/>
      <c r="B192" s="145" t="e">
        <f t="shared" si="0"/>
        <v>#VALUE!</v>
      </c>
      <c r="C192" s="11" t="str">
        <f>IF(ISNA(VLOOKUP(A192,'Cadastro - Espelho (não editar)'!$A$3:$H$3204,8,0)),"",VLOOKUP(A192,'Cadastro - Espelho (não editar)'!$A$3:$H$3204,8,0))</f>
        <v/>
      </c>
      <c r="D192" s="11" t="b">
        <v>0</v>
      </c>
      <c r="F192" s="147" t="str">
        <f>IF(ISNA(VLOOKUP(A192,'Cadastro - Espelho (não editar)'!$A$3:$L$3204,12,0)),"",VLOOKUP(A192,'Cadastro - Espelho (não editar)'!$A$3:$L$3204,12,0))</f>
        <v/>
      </c>
      <c r="G192" s="11"/>
      <c r="H192" s="148"/>
      <c r="I192" s="162"/>
      <c r="J192" s="152"/>
      <c r="M192" s="105" t="e">
        <f t="shared" si="3"/>
        <v>#VALUE!</v>
      </c>
    </row>
    <row r="193" customHeight="1" spans="1:13">
      <c r="A193" s="11"/>
      <c r="B193" s="145" t="e">
        <f t="shared" si="0"/>
        <v>#VALUE!</v>
      </c>
      <c r="C193" s="11" t="str">
        <f>IF(ISNA(VLOOKUP(A193,'Cadastro - Espelho (não editar)'!$A$3:$H$3204,8,0)),"",VLOOKUP(A193,'Cadastro - Espelho (não editar)'!$A$3:$H$3204,8,0))</f>
        <v/>
      </c>
      <c r="D193" s="11" t="b">
        <v>0</v>
      </c>
      <c r="F193" s="147" t="str">
        <f>IF(ISNA(VLOOKUP(A193,'Cadastro - Espelho (não editar)'!$A$3:$L$3204,12,0)),"",VLOOKUP(A193,'Cadastro - Espelho (não editar)'!$A$3:$L$3204,12,0))</f>
        <v/>
      </c>
      <c r="G193" s="11"/>
      <c r="H193" s="148"/>
      <c r="I193" s="162"/>
      <c r="J193" s="152"/>
      <c r="M193" s="105" t="e">
        <f t="shared" si="3"/>
        <v>#VALUE!</v>
      </c>
    </row>
    <row r="194" customHeight="1" spans="1:13">
      <c r="A194" s="11"/>
      <c r="B194" s="145" t="e">
        <f t="shared" si="0"/>
        <v>#VALUE!</v>
      </c>
      <c r="C194" s="11" t="str">
        <f>IF(ISNA(VLOOKUP(A194,'Cadastro - Espelho (não editar)'!$A$3:$H$3204,8,0)),"",VLOOKUP(A194,'Cadastro - Espelho (não editar)'!$A$3:$H$3204,8,0))</f>
        <v/>
      </c>
      <c r="D194" s="11" t="b">
        <v>0</v>
      </c>
      <c r="F194" s="147" t="str">
        <f>IF(ISNA(VLOOKUP(A194,'Cadastro - Espelho (não editar)'!$A$3:$L$3204,12,0)),"",VLOOKUP(A194,'Cadastro - Espelho (não editar)'!$A$3:$L$3204,12,0))</f>
        <v/>
      </c>
      <c r="G194" s="11"/>
      <c r="H194" s="148"/>
      <c r="I194" s="162"/>
      <c r="J194" s="152"/>
      <c r="M194" s="105" t="e">
        <f t="shared" si="3"/>
        <v>#VALUE!</v>
      </c>
    </row>
    <row r="195" customHeight="1" spans="1:13">
      <c r="A195" s="148"/>
      <c r="B195" s="145" t="e">
        <f t="shared" si="0"/>
        <v>#VALUE!</v>
      </c>
      <c r="C195" s="11" t="str">
        <f>IF(ISNA(VLOOKUP(A195,'Cadastro - Espelho (não editar)'!$A$3:$H$3204,8,0)),"",VLOOKUP(A195,'Cadastro - Espelho (não editar)'!$A$3:$H$3204,8,0))</f>
        <v/>
      </c>
      <c r="D195" s="11" t="b">
        <v>0</v>
      </c>
      <c r="F195" s="147" t="str">
        <f>IF(ISNA(VLOOKUP(A195,'Cadastro - Espelho (não editar)'!$A$3:$L$3204,12,0)),"",VLOOKUP(A195,'Cadastro - Espelho (não editar)'!$A$3:$L$3204,12,0))</f>
        <v/>
      </c>
      <c r="G195" s="11"/>
      <c r="H195" s="148"/>
      <c r="I195" s="162"/>
      <c r="J195" s="152"/>
      <c r="M195" s="105" t="e">
        <f t="shared" si="3"/>
        <v>#VALUE!</v>
      </c>
    </row>
    <row r="196" customHeight="1" spans="1:13">
      <c r="A196" s="11"/>
      <c r="B196" s="145" t="e">
        <f t="shared" si="0"/>
        <v>#VALUE!</v>
      </c>
      <c r="C196" s="11" t="str">
        <f>IF(ISNA(VLOOKUP(A196,'Cadastro - Espelho (não editar)'!$A$3:$H$3204,8,0)),"",VLOOKUP(A196,'Cadastro - Espelho (não editar)'!$A$3:$H$3204,8,0))</f>
        <v/>
      </c>
      <c r="D196" s="11" t="b">
        <v>0</v>
      </c>
      <c r="F196" s="147" t="str">
        <f>IF(ISNA(VLOOKUP(A196,'Cadastro - Espelho (não editar)'!$A$3:$L$3204,12,0)),"",VLOOKUP(A196,'Cadastro - Espelho (não editar)'!$A$3:$L$3204,12,0))</f>
        <v/>
      </c>
      <c r="G196" s="11"/>
      <c r="H196" s="148"/>
      <c r="I196" s="162"/>
      <c r="J196" s="152"/>
      <c r="M196" s="105" t="e">
        <f t="shared" si="3"/>
        <v>#VALUE!</v>
      </c>
    </row>
    <row r="197" customHeight="1" spans="1:13">
      <c r="A197" s="11"/>
      <c r="B197" s="145" t="e">
        <f t="shared" si="0"/>
        <v>#VALUE!</v>
      </c>
      <c r="C197" s="11" t="str">
        <f>IF(ISNA(VLOOKUP(A197,'Cadastro - Espelho (não editar)'!$A$3:$H$3204,8,0)),"",VLOOKUP(A197,'Cadastro - Espelho (não editar)'!$A$3:$H$3204,8,0))</f>
        <v/>
      </c>
      <c r="D197" s="11" t="b">
        <v>0</v>
      </c>
      <c r="F197" s="147" t="str">
        <f>IF(ISNA(VLOOKUP(A197,'Cadastro - Espelho (não editar)'!$A$3:$L$3204,12,0)),"",VLOOKUP(A197,'Cadastro - Espelho (não editar)'!$A$3:$L$3204,12,0))</f>
        <v/>
      </c>
      <c r="G197" s="11"/>
      <c r="H197" s="148"/>
      <c r="I197" s="162"/>
      <c r="J197" s="152"/>
      <c r="M197" s="105" t="e">
        <f t="shared" si="3"/>
        <v>#VALUE!</v>
      </c>
    </row>
    <row r="198" customHeight="1" spans="1:13">
      <c r="A198" s="11"/>
      <c r="B198" s="145" t="e">
        <f t="shared" si="0"/>
        <v>#VALUE!</v>
      </c>
      <c r="C198" s="11" t="str">
        <f>IF(ISNA(VLOOKUP(A198,'Cadastro - Espelho (não editar)'!$A$3:$H$3204,8,0)),"",VLOOKUP(A198,'Cadastro - Espelho (não editar)'!$A$3:$H$3204,8,0))</f>
        <v/>
      </c>
      <c r="D198" s="11" t="b">
        <v>0</v>
      </c>
      <c r="F198" s="147" t="str">
        <f>IF(ISNA(VLOOKUP(A198,'Cadastro - Espelho (não editar)'!$A$3:$L$3204,12,0)),"",VLOOKUP(A198,'Cadastro - Espelho (não editar)'!$A$3:$L$3204,12,0))</f>
        <v/>
      </c>
      <c r="G198" s="11"/>
      <c r="H198" s="148"/>
      <c r="I198" s="162"/>
      <c r="J198" s="152"/>
      <c r="M198" s="105" t="e">
        <f t="shared" si="3"/>
        <v>#VALUE!</v>
      </c>
    </row>
    <row r="199" customHeight="1" spans="1:13">
      <c r="A199" s="11"/>
      <c r="B199" s="145" t="e">
        <f t="shared" si="0"/>
        <v>#VALUE!</v>
      </c>
      <c r="C199" s="11" t="str">
        <f>IF(ISNA(VLOOKUP(A199,'Cadastro - Espelho (não editar)'!$A$3:$H$3204,8,0)),"",VLOOKUP(A199,'Cadastro - Espelho (não editar)'!$A$3:$H$3204,8,0))</f>
        <v/>
      </c>
      <c r="D199" s="11" t="b">
        <v>0</v>
      </c>
      <c r="F199" s="147" t="str">
        <f>IF(ISNA(VLOOKUP(A199,'Cadastro - Espelho (não editar)'!$A$3:$L$3204,12,0)),"",VLOOKUP(A199,'Cadastro - Espelho (não editar)'!$A$3:$L$3204,12,0))</f>
        <v/>
      </c>
      <c r="G199" s="11"/>
      <c r="H199" s="148"/>
      <c r="I199" s="162"/>
      <c r="J199" s="152"/>
      <c r="M199" s="105" t="e">
        <f t="shared" si="3"/>
        <v>#VALUE!</v>
      </c>
    </row>
    <row r="200" customHeight="1" spans="1:13">
      <c r="A200" s="11"/>
      <c r="B200" s="145" t="e">
        <f t="shared" si="0"/>
        <v>#VALUE!</v>
      </c>
      <c r="C200" s="11" t="str">
        <f>IF(ISNA(VLOOKUP(A200,'Cadastro - Espelho (não editar)'!$A$3:$H$3204,8,0)),"",VLOOKUP(A200,'Cadastro - Espelho (não editar)'!$A$3:$H$3204,8,0))</f>
        <v/>
      </c>
      <c r="D200" s="11" t="b">
        <v>0</v>
      </c>
      <c r="F200" s="147" t="str">
        <f>IF(ISNA(VLOOKUP(A200,'Cadastro - Espelho (não editar)'!$A$3:$L$3204,12,0)),"",VLOOKUP(A200,'Cadastro - Espelho (não editar)'!$A$3:$L$3204,12,0))</f>
        <v/>
      </c>
      <c r="G200" s="11"/>
      <c r="H200" s="148"/>
      <c r="I200" s="162"/>
      <c r="J200" s="152"/>
      <c r="M200" s="105" t="e">
        <f t="shared" si="3"/>
        <v>#VALUE!</v>
      </c>
    </row>
    <row r="201" customHeight="1" spans="1:13">
      <c r="A201" s="11"/>
      <c r="B201" s="145" t="e">
        <f t="shared" si="0"/>
        <v>#VALUE!</v>
      </c>
      <c r="C201" s="11" t="str">
        <f>IF(ISNA(VLOOKUP(A201,'Cadastro - Espelho (não editar)'!$A$3:$H$3204,8,0)),"",VLOOKUP(A201,'Cadastro - Espelho (não editar)'!$A$3:$H$3204,8,0))</f>
        <v/>
      </c>
      <c r="D201" s="11" t="b">
        <v>0</v>
      </c>
      <c r="F201" s="147" t="str">
        <f>IF(ISNA(VLOOKUP(A201,'Cadastro - Espelho (não editar)'!$A$3:$L$3204,12,0)),"",VLOOKUP(A201,'Cadastro - Espelho (não editar)'!$A$3:$L$3204,12,0))</f>
        <v/>
      </c>
      <c r="G201" s="11"/>
      <c r="H201" s="148"/>
      <c r="I201" s="162"/>
      <c r="J201" s="152"/>
      <c r="M201" s="105" t="e">
        <f t="shared" si="3"/>
        <v>#VALUE!</v>
      </c>
    </row>
    <row r="202" customHeight="1" spans="1:13">
      <c r="A202" s="11"/>
      <c r="B202" s="145" t="e">
        <f t="shared" si="0"/>
        <v>#VALUE!</v>
      </c>
      <c r="C202" s="11" t="str">
        <f>IF(ISNA(VLOOKUP(A202,'Cadastro - Espelho (não editar)'!$A$3:$H$3204,8,0)),"",VLOOKUP(A202,'Cadastro - Espelho (não editar)'!$A$3:$H$3204,8,0))</f>
        <v/>
      </c>
      <c r="D202" s="11" t="b">
        <v>0</v>
      </c>
      <c r="F202" s="147" t="str">
        <f>IF(ISNA(VLOOKUP(A202,'Cadastro - Espelho (não editar)'!$A$3:$L$3204,12,0)),"",VLOOKUP(A202,'Cadastro - Espelho (não editar)'!$A$3:$L$3204,12,0))</f>
        <v/>
      </c>
      <c r="G202" s="11"/>
      <c r="H202" s="148"/>
      <c r="I202" s="162"/>
      <c r="J202" s="152"/>
      <c r="M202" s="105" t="e">
        <f t="shared" si="3"/>
        <v>#VALUE!</v>
      </c>
    </row>
    <row r="203" customHeight="1" spans="1:13">
      <c r="A203" s="11"/>
      <c r="B203" s="145" t="e">
        <f t="shared" si="0"/>
        <v>#VALUE!</v>
      </c>
      <c r="C203" s="11" t="str">
        <f>IF(ISNA(VLOOKUP(A203,'Cadastro - Espelho (não editar)'!$A$3:$H$3204,8,0)),"",VLOOKUP(A203,'Cadastro - Espelho (não editar)'!$A$3:$H$3204,8,0))</f>
        <v/>
      </c>
      <c r="D203" s="11" t="b">
        <v>0</v>
      </c>
      <c r="F203" s="147" t="str">
        <f>IF(ISNA(VLOOKUP(A203,'Cadastro - Espelho (não editar)'!$A$3:$L$3204,12,0)),"",VLOOKUP(A203,'Cadastro - Espelho (não editar)'!$A$3:$L$3204,12,0))</f>
        <v/>
      </c>
      <c r="G203" s="11"/>
      <c r="H203" s="148"/>
      <c r="I203" s="162"/>
      <c r="J203" s="152"/>
      <c r="M203" s="105" t="e">
        <f t="shared" si="3"/>
        <v>#VALUE!</v>
      </c>
    </row>
    <row r="204" customHeight="1" spans="1:13">
      <c r="A204" s="11"/>
      <c r="B204" s="145" t="e">
        <f t="shared" si="0"/>
        <v>#VALUE!</v>
      </c>
      <c r="C204" s="11" t="str">
        <f>IF(ISNA(VLOOKUP(A204,'Cadastro - Espelho (não editar)'!$A$3:$H$3204,8,0)),"",VLOOKUP(A204,'Cadastro - Espelho (não editar)'!$A$3:$H$3204,8,0))</f>
        <v/>
      </c>
      <c r="D204" s="11" t="b">
        <v>0</v>
      </c>
      <c r="F204" s="147" t="str">
        <f>IF(ISNA(VLOOKUP(A204,'Cadastro - Espelho (não editar)'!$A$3:$L$3204,12,0)),"",VLOOKUP(A204,'Cadastro - Espelho (não editar)'!$A$3:$L$3204,12,0))</f>
        <v/>
      </c>
      <c r="G204" s="11"/>
      <c r="H204" s="148"/>
      <c r="I204" s="162"/>
      <c r="J204" s="152"/>
      <c r="M204" s="105" t="e">
        <f t="shared" si="3"/>
        <v>#VALUE!</v>
      </c>
    </row>
    <row r="205" customHeight="1" spans="1:13">
      <c r="A205" s="11"/>
      <c r="B205" s="145" t="e">
        <f t="shared" si="0"/>
        <v>#VALUE!</v>
      </c>
      <c r="C205" s="11" t="str">
        <f>IF(ISNA(VLOOKUP(A205,'Cadastro - Espelho (não editar)'!$A$3:$H$3204,8,0)),"",VLOOKUP(A205,'Cadastro - Espelho (não editar)'!$A$3:$H$3204,8,0))</f>
        <v/>
      </c>
      <c r="D205" s="11" t="b">
        <v>0</v>
      </c>
      <c r="F205" s="147" t="str">
        <f>IF(ISNA(VLOOKUP(A205,'Cadastro - Espelho (não editar)'!$A$3:$L$3204,12,0)),"",VLOOKUP(A205,'Cadastro - Espelho (não editar)'!$A$3:$L$3204,12,0))</f>
        <v/>
      </c>
      <c r="G205" s="11"/>
      <c r="H205" s="148"/>
      <c r="I205" s="162"/>
      <c r="J205" s="152"/>
      <c r="M205" s="105" t="e">
        <f t="shared" si="3"/>
        <v>#VALUE!</v>
      </c>
    </row>
    <row r="206" customHeight="1" spans="1:13">
      <c r="A206" s="11"/>
      <c r="B206" s="145" t="e">
        <f t="shared" si="0"/>
        <v>#VALUE!</v>
      </c>
      <c r="D206" s="11" t="b">
        <v>0</v>
      </c>
      <c r="F206" s="147" t="str">
        <f>IF(ISNA(VLOOKUP(A206,'Cadastro - Espelho (não editar)'!$A$3:$L$3204,12,0)),"",VLOOKUP(A206,'Cadastro - Espelho (não editar)'!$A$3:$L$3204,12,0))</f>
        <v/>
      </c>
      <c r="G206" s="11"/>
      <c r="H206" s="148"/>
      <c r="I206" s="162"/>
      <c r="J206" s="152"/>
      <c r="M206" s="105" t="e">
        <f t="shared" si="3"/>
        <v>#VALUE!</v>
      </c>
    </row>
    <row r="207" customHeight="1" spans="1:13">
      <c r="A207" s="11"/>
      <c r="B207" s="145" t="e">
        <f t="shared" si="0"/>
        <v>#VALUE!</v>
      </c>
      <c r="C207" s="11" t="str">
        <f>IF(ISNA(VLOOKUP(A207,'Cadastro - Espelho (não editar)'!$A$3:$H$3204,8,0)),"",VLOOKUP(A207,'Cadastro - Espelho (não editar)'!$A$3:$H$3204,8,0))</f>
        <v/>
      </c>
      <c r="D207" s="11" t="b">
        <v>0</v>
      </c>
      <c r="F207" s="147" t="str">
        <f>IF(ISNA(VLOOKUP(A207,'Cadastro - Espelho (não editar)'!$A$3:$L$3204,12,0)),"",VLOOKUP(A207,'Cadastro - Espelho (não editar)'!$A$3:$L$3204,12,0))</f>
        <v/>
      </c>
      <c r="G207" s="11"/>
      <c r="H207" s="148"/>
      <c r="I207" s="162"/>
      <c r="J207" s="152"/>
      <c r="M207" s="105" t="e">
        <f t="shared" si="3"/>
        <v>#VALUE!</v>
      </c>
    </row>
    <row r="208" customHeight="1" spans="1:13">
      <c r="A208" s="11"/>
      <c r="B208" s="145" t="e">
        <f t="shared" si="0"/>
        <v>#VALUE!</v>
      </c>
      <c r="C208" s="11" t="str">
        <f>IF(ISNA(VLOOKUP(A208,'Cadastro - Espelho (não editar)'!$A$3:$H$3204,8,0)),"",VLOOKUP(A208,'Cadastro - Espelho (não editar)'!$A$3:$H$3204,8,0))</f>
        <v/>
      </c>
      <c r="D208" s="11" t="b">
        <v>0</v>
      </c>
      <c r="F208" s="147" t="str">
        <f>IF(ISNA(VLOOKUP(A208,'Cadastro - Espelho (não editar)'!$A$3:$L$3204,12,0)),"",VLOOKUP(A208,'Cadastro - Espelho (não editar)'!$A$3:$L$3204,12,0))</f>
        <v/>
      </c>
      <c r="G208" s="11"/>
      <c r="H208" s="148"/>
      <c r="I208" s="162"/>
      <c r="J208" s="152"/>
      <c r="M208" s="105" t="e">
        <f t="shared" si="3"/>
        <v>#VALUE!</v>
      </c>
    </row>
    <row r="209" customHeight="1" spans="1:13">
      <c r="A209" s="11"/>
      <c r="B209" s="145" t="e">
        <f t="shared" si="0"/>
        <v>#VALUE!</v>
      </c>
      <c r="C209" s="11" t="str">
        <f>IF(ISNA(VLOOKUP(A209,'Cadastro - Espelho (não editar)'!$A$3:$H$3204,8,0)),"",VLOOKUP(A209,'Cadastro - Espelho (não editar)'!$A$3:$H$3204,8,0))</f>
        <v/>
      </c>
      <c r="D209" s="11" t="b">
        <v>0</v>
      </c>
      <c r="F209" s="147" t="str">
        <f>IF(ISNA(VLOOKUP(A209,'Cadastro - Espelho (não editar)'!$A$3:$L$3204,12,0)),"",VLOOKUP(A209,'Cadastro - Espelho (não editar)'!$A$3:$L$3204,12,0))</f>
        <v/>
      </c>
      <c r="G209" s="11"/>
      <c r="H209" s="148"/>
      <c r="I209" s="162"/>
      <c r="J209" s="152"/>
      <c r="M209" s="105" t="e">
        <f t="shared" si="3"/>
        <v>#VALUE!</v>
      </c>
    </row>
    <row r="210" customHeight="1" spans="1:13">
      <c r="A210" s="11"/>
      <c r="B210" s="145" t="e">
        <f t="shared" si="0"/>
        <v>#VALUE!</v>
      </c>
      <c r="C210" s="11" t="str">
        <f>IF(ISNA(VLOOKUP(A210,'Cadastro - Espelho (não editar)'!$A$3:$H$3204,8,0)),"",VLOOKUP(A210,'Cadastro - Espelho (não editar)'!$A$3:$H$3204,8,0))</f>
        <v/>
      </c>
      <c r="D210" s="11" t="b">
        <v>0</v>
      </c>
      <c r="F210" s="147" t="str">
        <f>IF(ISNA(VLOOKUP(A210,'Cadastro - Espelho (não editar)'!$A$3:$L$3204,12,0)),"",VLOOKUP(A210,'Cadastro - Espelho (não editar)'!$A$3:$L$3204,12,0))</f>
        <v/>
      </c>
      <c r="G210" s="11"/>
      <c r="H210" s="148"/>
      <c r="I210" s="162"/>
      <c r="J210" s="152"/>
      <c r="M210" s="105" t="e">
        <f t="shared" si="3"/>
        <v>#VALUE!</v>
      </c>
    </row>
    <row r="211" customHeight="1" spans="1:13">
      <c r="A211" s="11"/>
      <c r="B211" s="145" t="e">
        <f t="shared" si="0"/>
        <v>#VALUE!</v>
      </c>
      <c r="C211" s="11" t="str">
        <f>IF(ISNA(VLOOKUP(A211,'Cadastro - Espelho (não editar)'!$A$3:$H$3204,8,0)),"",VLOOKUP(A211,'Cadastro - Espelho (não editar)'!$A$3:$H$3204,8,0))</f>
        <v/>
      </c>
      <c r="D211" s="11" t="b">
        <v>0</v>
      </c>
      <c r="F211" s="147" t="str">
        <f>IF(ISNA(VLOOKUP(A211,'Cadastro - Espelho (não editar)'!$A$3:$L$3204,12,0)),"",VLOOKUP(A211,'Cadastro - Espelho (não editar)'!$A$3:$L$3204,12,0))</f>
        <v/>
      </c>
      <c r="G211" s="11"/>
      <c r="H211" s="148"/>
      <c r="I211" s="162"/>
      <c r="J211" s="152"/>
      <c r="M211" s="105" t="e">
        <f t="shared" si="3"/>
        <v>#VALUE!</v>
      </c>
    </row>
    <row r="212" customHeight="1" spans="1:13">
      <c r="A212" s="11"/>
      <c r="B212" s="145" t="e">
        <f t="shared" si="0"/>
        <v>#VALUE!</v>
      </c>
      <c r="C212" s="11" t="str">
        <f>IF(ISNA(VLOOKUP(A212,'Cadastro - Espelho (não editar)'!$A$3:$H$3204,8,0)),"",VLOOKUP(A212,'Cadastro - Espelho (não editar)'!$A$3:$H$3204,8,0))</f>
        <v/>
      </c>
      <c r="D212" s="11" t="b">
        <v>0</v>
      </c>
      <c r="F212" s="147" t="str">
        <f>IF(ISNA(VLOOKUP(A212,'Cadastro - Espelho (não editar)'!$A$3:$L$3204,12,0)),"",VLOOKUP(A212,'Cadastro - Espelho (não editar)'!$A$3:$L$3204,12,0))</f>
        <v/>
      </c>
      <c r="G212" s="11"/>
      <c r="H212" s="148"/>
      <c r="I212" s="162"/>
      <c r="J212" s="152"/>
      <c r="M212" s="105" t="e">
        <f t="shared" si="3"/>
        <v>#VALUE!</v>
      </c>
    </row>
    <row r="213" customHeight="1" spans="1:13">
      <c r="A213" s="11"/>
      <c r="B213" s="145" t="e">
        <f t="shared" si="0"/>
        <v>#VALUE!</v>
      </c>
      <c r="C213" s="11" t="str">
        <f>IF(ISNA(VLOOKUP(A213,'Cadastro - Espelho (não editar)'!$A$3:$H$3204,8,0)),"",VLOOKUP(A213,'Cadastro - Espelho (não editar)'!$A$3:$H$3204,8,0))</f>
        <v/>
      </c>
      <c r="D213" s="11" t="b">
        <v>0</v>
      </c>
      <c r="F213" s="147" t="str">
        <f>IF(ISNA(VLOOKUP(A213,'Cadastro - Espelho (não editar)'!$A$3:$L$3204,12,0)),"",VLOOKUP(A213,'Cadastro - Espelho (não editar)'!$A$3:$L$3204,12,0))</f>
        <v/>
      </c>
      <c r="G213" s="11"/>
      <c r="H213" s="148"/>
      <c r="I213" s="162"/>
      <c r="J213" s="152"/>
      <c r="M213" s="105" t="e">
        <f t="shared" si="3"/>
        <v>#VALUE!</v>
      </c>
    </row>
    <row r="214" customHeight="1" spans="1:13">
      <c r="A214" s="11"/>
      <c r="B214" s="145" t="e">
        <f t="shared" si="0"/>
        <v>#VALUE!</v>
      </c>
      <c r="C214" s="11" t="str">
        <f>IF(ISNA(VLOOKUP(A214,'Cadastro - Espelho (não editar)'!$A$3:$H$3204,8,0)),"",VLOOKUP(A214,'Cadastro - Espelho (não editar)'!$A$3:$H$3204,8,0))</f>
        <v/>
      </c>
      <c r="D214" s="11" t="b">
        <v>0</v>
      </c>
      <c r="F214" s="147" t="str">
        <f>IF(ISNA(VLOOKUP(A214,'Cadastro - Espelho (não editar)'!$A$3:$L$3204,12,0)),"",VLOOKUP(A214,'Cadastro - Espelho (não editar)'!$A$3:$L$3204,12,0))</f>
        <v/>
      </c>
      <c r="G214" s="11"/>
      <c r="H214" s="148"/>
      <c r="I214" s="162"/>
      <c r="J214" s="152"/>
      <c r="M214" s="105" t="e">
        <f t="shared" si="3"/>
        <v>#VALUE!</v>
      </c>
    </row>
    <row r="215" customHeight="1" spans="1:13">
      <c r="A215" s="11"/>
      <c r="B215" s="145" t="e">
        <f t="shared" si="0"/>
        <v>#VALUE!</v>
      </c>
      <c r="C215" s="11" t="str">
        <f>IF(ISNA(VLOOKUP(A215,'Cadastro - Espelho (não editar)'!$A$3:$H$3204,8,0)),"",VLOOKUP(A215,'Cadastro - Espelho (não editar)'!$A$3:$H$3204,8,0))</f>
        <v/>
      </c>
      <c r="D215" s="11" t="b">
        <v>0</v>
      </c>
      <c r="F215" s="147" t="str">
        <f>IF(ISNA(VLOOKUP(A215,'Cadastro - Espelho (não editar)'!$A$3:$L$3204,12,0)),"",VLOOKUP(A215,'Cadastro - Espelho (não editar)'!$A$3:$L$3204,12,0))</f>
        <v/>
      </c>
      <c r="G215" s="11"/>
      <c r="H215" s="148"/>
      <c r="I215" s="162"/>
      <c r="J215" s="152"/>
      <c r="M215" s="105" t="e">
        <f t="shared" si="3"/>
        <v>#VALUE!</v>
      </c>
    </row>
    <row r="216" customHeight="1" spans="1:13">
      <c r="A216" s="11"/>
      <c r="B216" s="145" t="e">
        <f t="shared" si="0"/>
        <v>#VALUE!</v>
      </c>
      <c r="D216" s="11" t="b">
        <v>0</v>
      </c>
      <c r="F216" s="147" t="str">
        <f>IF(ISNA(VLOOKUP(A216,'Cadastro - Espelho (não editar)'!$A$3:$L$3204,12,0)),"",VLOOKUP(A216,'Cadastro - Espelho (não editar)'!$A$3:$L$3204,12,0))</f>
        <v/>
      </c>
      <c r="G216" s="11"/>
      <c r="H216" s="148"/>
      <c r="I216" s="162"/>
      <c r="J216" s="152"/>
      <c r="M216" s="105" t="e">
        <f t="shared" si="3"/>
        <v>#VALUE!</v>
      </c>
    </row>
    <row r="217" customHeight="1" spans="1:13">
      <c r="A217" s="11"/>
      <c r="B217" s="145" t="e">
        <f t="shared" si="0"/>
        <v>#VALUE!</v>
      </c>
      <c r="D217" s="11" t="b">
        <v>0</v>
      </c>
      <c r="F217" s="147" t="str">
        <f>IF(ISNA(VLOOKUP(A217,'Cadastro - Espelho (não editar)'!$A$3:$L$3204,12,0)),"",VLOOKUP(A217,'Cadastro - Espelho (não editar)'!$A$3:$L$3204,12,0))</f>
        <v/>
      </c>
      <c r="G217" s="11"/>
      <c r="H217" s="148"/>
      <c r="I217" s="162"/>
      <c r="J217" s="152"/>
      <c r="M217" s="105" t="e">
        <f t="shared" si="3"/>
        <v>#VALUE!</v>
      </c>
    </row>
    <row r="218" customHeight="1" spans="1:13">
      <c r="A218" s="11"/>
      <c r="B218" s="145" t="e">
        <f t="shared" si="0"/>
        <v>#VALUE!</v>
      </c>
      <c r="C218" s="11" t="str">
        <f>IF(ISNA(VLOOKUP(A218,'Cadastro - Espelho (não editar)'!$A$3:$H$3204,8,0)),"",VLOOKUP(A218,'Cadastro - Espelho (não editar)'!$A$3:$H$3204,8,0))</f>
        <v/>
      </c>
      <c r="D218" s="11" t="b">
        <v>0</v>
      </c>
      <c r="F218" s="147" t="str">
        <f>IF(ISNA(VLOOKUP(A218,'Cadastro - Espelho (não editar)'!$A$3:$L$3204,12,0)),"",VLOOKUP(A218,'Cadastro - Espelho (não editar)'!$A$3:$L$3204,12,0))</f>
        <v/>
      </c>
      <c r="G218" s="11"/>
      <c r="H218" s="148"/>
      <c r="I218" s="162"/>
      <c r="J218" s="152"/>
      <c r="M218" s="105" t="e">
        <f t="shared" si="3"/>
        <v>#VALUE!</v>
      </c>
    </row>
    <row r="219" customHeight="1" spans="1:13">
      <c r="A219" s="11"/>
      <c r="B219" s="145" t="e">
        <f t="shared" si="0"/>
        <v>#VALUE!</v>
      </c>
      <c r="C219" s="11" t="str">
        <f>IF(ISNA(VLOOKUP(A219,'Cadastro - Espelho (não editar)'!$A$3:$H$3204,8,0)),"",VLOOKUP(A219,'Cadastro - Espelho (não editar)'!$A$3:$H$3204,8,0))</f>
        <v/>
      </c>
      <c r="D219" s="11" t="b">
        <v>0</v>
      </c>
      <c r="F219" s="147" t="str">
        <f>IF(ISNA(VLOOKUP(A219,'Cadastro - Espelho (não editar)'!$A$3:$L$3204,12,0)),"",VLOOKUP(A219,'Cadastro - Espelho (não editar)'!$A$3:$L$3204,12,0))</f>
        <v/>
      </c>
      <c r="G219" s="11"/>
      <c r="H219" s="148"/>
      <c r="I219" s="162"/>
      <c r="J219" s="152"/>
      <c r="M219" s="105" t="e">
        <f t="shared" si="3"/>
        <v>#VALUE!</v>
      </c>
    </row>
    <row r="220" customHeight="1" spans="1:13">
      <c r="A220" s="11"/>
      <c r="B220" s="145" t="e">
        <f t="shared" si="0"/>
        <v>#VALUE!</v>
      </c>
      <c r="C220" s="11" t="str">
        <f>IF(ISNA(VLOOKUP(A220,'Cadastro - Espelho (não editar)'!$A$3:$H$3204,8,0)),"",VLOOKUP(A220,'Cadastro - Espelho (não editar)'!$A$3:$H$3204,8,0))</f>
        <v/>
      </c>
      <c r="D220" s="11" t="b">
        <v>0</v>
      </c>
      <c r="F220" s="147" t="str">
        <f>IF(ISNA(VLOOKUP(A220,'Cadastro - Espelho (não editar)'!$A$3:$L$3204,12,0)),"",VLOOKUP(A220,'Cadastro - Espelho (não editar)'!$A$3:$L$3204,12,0))</f>
        <v/>
      </c>
      <c r="G220" s="11"/>
      <c r="H220" s="148"/>
      <c r="I220" s="162"/>
      <c r="J220" s="152"/>
      <c r="M220" s="105"/>
    </row>
    <row r="221" customHeight="1" spans="1:13">
      <c r="A221" s="11"/>
      <c r="B221" s="145" t="e">
        <f t="shared" si="0"/>
        <v>#VALUE!</v>
      </c>
      <c r="C221" s="11" t="str">
        <f>IF(ISNA(VLOOKUP(A221,'Cadastro - Espelho (não editar)'!$A$3:$H$3204,8,0)),"",VLOOKUP(A221,'Cadastro - Espelho (não editar)'!$A$3:$H$3204,8,0))</f>
        <v/>
      </c>
      <c r="D221" s="11" t="b">
        <v>0</v>
      </c>
      <c r="F221" s="147" t="str">
        <f>IF(ISNA(VLOOKUP(A221,'Cadastro - Espelho (não editar)'!$A$3:$L$3204,12,0)),"",VLOOKUP(A221,'Cadastro - Espelho (não editar)'!$A$3:$L$3204,12,0))</f>
        <v/>
      </c>
      <c r="G221" s="11"/>
      <c r="H221" s="148"/>
      <c r="I221" s="162"/>
      <c r="J221" s="152"/>
      <c r="M221" s="105" t="e">
        <f t="shared" ref="M221:M290" si="4">IF(ISNA(CONCATENATE("Olá, ",B221,", Espero que você esteja bem! Somos da equipe do ATENDE GESTANTE 🤰🏽👩🏽‍🍼. Realizamos um atendimento de uma ",G221," do seu território. Acompanhe detalhes do nosso atendimento no histórico do prontuário PEC E-SUS APS. 👩🏽‍⚕️💻 Seguem os dados da usuária: Unidade: ",H221,"Nome: ",I221," CNS: ",J221," Caso deseje apoio para discutir ou manejar esse caso ou outro caso com uma de nossas enfermeiras ou médicas obstetras, agende uma teleinterconsulta conosco. Clique aqui 👇🏾")),"",CONCATENATE("Olá, ",B221,", Espero que você esteja bem! Somos da equipe do ATENDE GESTANTE 🤰🏽👩🏽‍🍼. Realizamos um atendimento de uma ",G221," do seu território. Acompanhe detalhes do nosso atendimento no histórico do prontuário PEC E-SUS APS. 👩🏽‍⚕️💻 Seguem os dados da usuária: Unidade: ",H221,"Nome: ",I221," CNS: ",J221," Caso deseje apoio para discutir ou manejar esse caso ou outro caso com uma de nossas enfermeiras ou médicas obstetras, agende uma teleinterconsulta conosco. Clique aqui 👇🏾"))</f>
        <v>#VALUE!</v>
      </c>
    </row>
    <row r="222" customHeight="1" spans="1:13">
      <c r="A222" s="11"/>
      <c r="B222" s="145" t="e">
        <f t="shared" si="0"/>
        <v>#VALUE!</v>
      </c>
      <c r="C222" s="11" t="str">
        <f>IF(ISNA(VLOOKUP(A222,'Cadastro - Espelho (não editar)'!$A$3:$H$3204,8,0)),"",VLOOKUP(A222,'Cadastro - Espelho (não editar)'!$A$3:$H$3204,8,0))</f>
        <v/>
      </c>
      <c r="D222" s="11" t="b">
        <v>0</v>
      </c>
      <c r="F222" s="147" t="str">
        <f>IF(ISNA(VLOOKUP(A222,'Cadastro - Espelho (não editar)'!$A$3:$L$3204,12,0)),"",VLOOKUP(A222,'Cadastro - Espelho (não editar)'!$A$3:$L$3204,12,0))</f>
        <v/>
      </c>
      <c r="G222" s="11"/>
      <c r="H222" s="148"/>
      <c r="I222" s="162"/>
      <c r="J222" s="152"/>
      <c r="M222" s="105" t="e">
        <f t="shared" si="4"/>
        <v>#VALUE!</v>
      </c>
    </row>
    <row r="223" customHeight="1" spans="1:13">
      <c r="A223" s="11"/>
      <c r="B223" s="145" t="e">
        <f t="shared" si="0"/>
        <v>#VALUE!</v>
      </c>
      <c r="C223" s="11" t="str">
        <f>IF(ISNA(VLOOKUP(A223,'Cadastro - Espelho (não editar)'!$A$3:$H$3204,8,0)),"",VLOOKUP(A223,'Cadastro - Espelho (não editar)'!$A$3:$H$3204,8,0))</f>
        <v/>
      </c>
      <c r="D223" s="11" t="b">
        <v>0</v>
      </c>
      <c r="F223" s="147" t="str">
        <f>IF(ISNA(VLOOKUP(A223,'Cadastro - Espelho (não editar)'!$A$3:$L$3204,12,0)),"",VLOOKUP(A223,'Cadastro - Espelho (não editar)'!$A$3:$L$3204,12,0))</f>
        <v/>
      </c>
      <c r="G223" s="11"/>
      <c r="H223" s="148"/>
      <c r="I223" s="162"/>
      <c r="J223" s="152"/>
      <c r="M223" s="105" t="e">
        <f t="shared" si="4"/>
        <v>#VALUE!</v>
      </c>
    </row>
    <row r="224" customHeight="1" spans="1:13">
      <c r="A224" s="11"/>
      <c r="B224" s="145" t="e">
        <f t="shared" si="0"/>
        <v>#VALUE!</v>
      </c>
      <c r="C224" s="11" t="str">
        <f>IF(ISNA(VLOOKUP(A224,'Cadastro - Espelho (não editar)'!$A$3:$H$3204,8,0)),"",VLOOKUP(A224,'Cadastro - Espelho (não editar)'!$A$3:$H$3204,8,0))</f>
        <v/>
      </c>
      <c r="D224" s="11" t="b">
        <v>0</v>
      </c>
      <c r="F224" s="147" t="str">
        <f>IF(ISNA(VLOOKUP(A224,'Cadastro - Espelho (não editar)'!$A$3:$L$3204,12,0)),"",VLOOKUP(A224,'Cadastro - Espelho (não editar)'!$A$3:$L$3204,12,0))</f>
        <v/>
      </c>
      <c r="G224" s="11"/>
      <c r="H224" s="148"/>
      <c r="I224" s="162"/>
      <c r="J224" s="152"/>
      <c r="M224" s="105" t="e">
        <f t="shared" si="4"/>
        <v>#VALUE!</v>
      </c>
    </row>
    <row r="225" customHeight="1" spans="1:13">
      <c r="A225" s="11"/>
      <c r="B225" s="145" t="e">
        <f t="shared" si="0"/>
        <v>#VALUE!</v>
      </c>
      <c r="C225" s="11" t="str">
        <f>IF(ISNA(VLOOKUP(A225,'Cadastro - Espelho (não editar)'!$A$3:$H$3204,8,0)),"",VLOOKUP(A225,'Cadastro - Espelho (não editar)'!$A$3:$H$3204,8,0))</f>
        <v/>
      </c>
      <c r="D225" s="11" t="b">
        <v>0</v>
      </c>
      <c r="F225" s="147" t="str">
        <f>IF(ISNA(VLOOKUP(A225,'Cadastro - Espelho (não editar)'!$A$3:$L$3204,12,0)),"",VLOOKUP(A225,'Cadastro - Espelho (não editar)'!$A$3:$L$3204,12,0))</f>
        <v/>
      </c>
      <c r="G225" s="11"/>
      <c r="H225" s="148"/>
      <c r="I225" s="162"/>
      <c r="J225" s="152"/>
      <c r="M225" s="105" t="e">
        <f t="shared" si="4"/>
        <v>#VALUE!</v>
      </c>
    </row>
    <row r="226" customHeight="1" spans="1:13">
      <c r="A226" s="11"/>
      <c r="B226" s="145" t="e">
        <f t="shared" si="0"/>
        <v>#VALUE!</v>
      </c>
      <c r="C226" s="11" t="str">
        <f>IF(ISNA(VLOOKUP(A226,'Cadastro - Espelho (não editar)'!$A$3:$H$3204,8,0)),"",VLOOKUP(A226,'Cadastro - Espelho (não editar)'!$A$3:$H$3204,8,0))</f>
        <v/>
      </c>
      <c r="D226" s="11" t="b">
        <v>0</v>
      </c>
      <c r="F226" s="147" t="str">
        <f>IF(ISNA(VLOOKUP(A226,'Cadastro - Espelho (não editar)'!$A$3:$L$3204,12,0)),"",VLOOKUP(A226,'Cadastro - Espelho (não editar)'!$A$3:$L$3204,12,0))</f>
        <v/>
      </c>
      <c r="G226" s="11"/>
      <c r="H226" s="148"/>
      <c r="I226" s="162"/>
      <c r="J226" s="152"/>
      <c r="M226" s="105" t="e">
        <f t="shared" si="4"/>
        <v>#VALUE!</v>
      </c>
    </row>
    <row r="227" customHeight="1" spans="1:13">
      <c r="A227" s="11"/>
      <c r="B227" s="145" t="e">
        <f t="shared" si="0"/>
        <v>#VALUE!</v>
      </c>
      <c r="D227" s="11" t="b">
        <v>0</v>
      </c>
      <c r="F227" s="147" t="str">
        <f>IF(ISNA(VLOOKUP(A227,'Cadastro - Espelho (não editar)'!$A$3:$L$3204,12,0)),"",VLOOKUP(A227,'Cadastro - Espelho (não editar)'!$A$3:$L$3204,12,0))</f>
        <v/>
      </c>
      <c r="G227" s="11"/>
      <c r="H227" s="148"/>
      <c r="I227" s="162"/>
      <c r="J227" s="152"/>
      <c r="M227" s="105" t="e">
        <f t="shared" si="4"/>
        <v>#VALUE!</v>
      </c>
    </row>
    <row r="228" customHeight="1" spans="1:13">
      <c r="A228" s="11"/>
      <c r="B228" s="145" t="e">
        <f t="shared" si="0"/>
        <v>#VALUE!</v>
      </c>
      <c r="C228" s="11" t="str">
        <f>IF(ISNA(VLOOKUP(A228,'Cadastro - Espelho (não editar)'!$A$3:$H$3204,8,0)),"",VLOOKUP(A228,'Cadastro - Espelho (não editar)'!$A$3:$H$3204,8,0))</f>
        <v/>
      </c>
      <c r="D228" s="11" t="b">
        <v>0</v>
      </c>
      <c r="F228" s="147" t="str">
        <f>IF(ISNA(VLOOKUP(A228,'Cadastro - Espelho (não editar)'!$A$3:$L$3204,12,0)),"",VLOOKUP(A228,'Cadastro - Espelho (não editar)'!$A$3:$L$3204,12,0))</f>
        <v/>
      </c>
      <c r="G228" s="11"/>
      <c r="H228" s="148"/>
      <c r="I228" s="162"/>
      <c r="J228" s="152"/>
      <c r="M228" s="105" t="e">
        <f t="shared" si="4"/>
        <v>#VALUE!</v>
      </c>
    </row>
    <row r="229" customHeight="1" spans="1:13">
      <c r="A229" s="11"/>
      <c r="B229" s="145" t="e">
        <f t="shared" si="0"/>
        <v>#VALUE!</v>
      </c>
      <c r="C229" s="11" t="str">
        <f>IF(ISNA(VLOOKUP(A229,'Cadastro - Espelho (não editar)'!$A$3:$H$3204,8,0)),"",VLOOKUP(A229,'Cadastro - Espelho (não editar)'!$A$3:$H$3204,8,0))</f>
        <v/>
      </c>
      <c r="D229" s="11" t="b">
        <v>0</v>
      </c>
      <c r="F229" s="147" t="str">
        <f>IF(ISNA(VLOOKUP(A229,'Cadastro - Espelho (não editar)'!$A$3:$L$3204,12,0)),"",VLOOKUP(A229,'Cadastro - Espelho (não editar)'!$A$3:$L$3204,12,0))</f>
        <v/>
      </c>
      <c r="G229" s="11"/>
      <c r="H229" s="148"/>
      <c r="I229" s="162"/>
      <c r="J229" s="152"/>
      <c r="M229" s="105" t="e">
        <f t="shared" si="4"/>
        <v>#VALUE!</v>
      </c>
    </row>
    <row r="230" customHeight="1" spans="1:13">
      <c r="A230" s="11"/>
      <c r="B230" s="145" t="e">
        <f t="shared" si="0"/>
        <v>#VALUE!</v>
      </c>
      <c r="C230" s="11" t="str">
        <f>IF(ISNA(VLOOKUP(A230,'Cadastro - Espelho (não editar)'!$A$3:$H$3204,8,0)),"",VLOOKUP(A230,'Cadastro - Espelho (não editar)'!$A$3:$H$3204,8,0))</f>
        <v/>
      </c>
      <c r="D230" s="11" t="b">
        <v>0</v>
      </c>
      <c r="F230" s="147" t="str">
        <f>IF(ISNA(VLOOKUP(A230,'Cadastro - Espelho (não editar)'!$A$3:$L$3204,12,0)),"",VLOOKUP(A230,'Cadastro - Espelho (não editar)'!$A$3:$L$3204,12,0))</f>
        <v/>
      </c>
      <c r="G230" s="11"/>
      <c r="H230" s="148"/>
      <c r="I230" s="162"/>
      <c r="J230" s="152"/>
      <c r="M230" s="105" t="e">
        <f t="shared" si="4"/>
        <v>#VALUE!</v>
      </c>
    </row>
    <row r="231" customHeight="1" spans="1:13">
      <c r="A231" s="11"/>
      <c r="B231" s="145" t="e">
        <f t="shared" si="0"/>
        <v>#VALUE!</v>
      </c>
      <c r="C231" s="11" t="str">
        <f>IF(ISNA(VLOOKUP(A231,'Cadastro - Espelho (não editar)'!$A$3:$H$3204,8,0)),"",VLOOKUP(A231,'Cadastro - Espelho (não editar)'!$A$3:$H$3204,8,0))</f>
        <v/>
      </c>
      <c r="D231" s="11" t="b">
        <v>0</v>
      </c>
      <c r="F231" s="147" t="str">
        <f>IF(ISNA(VLOOKUP(A231,'Cadastro - Espelho (não editar)'!$A$3:$L$3204,12,0)),"",VLOOKUP(A231,'Cadastro - Espelho (não editar)'!$A$3:$L$3204,12,0))</f>
        <v/>
      </c>
      <c r="G231" s="11"/>
      <c r="H231" s="148"/>
      <c r="I231" s="162"/>
      <c r="J231" s="152"/>
      <c r="M231" s="105" t="e">
        <f t="shared" si="4"/>
        <v>#VALUE!</v>
      </c>
    </row>
    <row r="232" customHeight="1" spans="1:13">
      <c r="A232" s="11"/>
      <c r="B232" s="145" t="e">
        <f t="shared" si="0"/>
        <v>#VALUE!</v>
      </c>
      <c r="D232" s="11" t="b">
        <v>0</v>
      </c>
      <c r="F232" s="147" t="str">
        <f>IF(ISNA(VLOOKUP(A232,'Cadastro - Espelho (não editar)'!$A$3:$L$3204,12,0)),"",VLOOKUP(A232,'Cadastro - Espelho (não editar)'!$A$3:$L$3204,12,0))</f>
        <v/>
      </c>
      <c r="G232" s="11"/>
      <c r="H232" s="148"/>
      <c r="J232" s="152"/>
      <c r="M232" s="105" t="e">
        <f t="shared" si="4"/>
        <v>#VALUE!</v>
      </c>
    </row>
    <row r="233" customHeight="1" spans="1:13">
      <c r="A233" s="148"/>
      <c r="B233" s="145" t="e">
        <f t="shared" si="0"/>
        <v>#VALUE!</v>
      </c>
      <c r="C233" s="11" t="str">
        <f>IF(ISNA(VLOOKUP(A233,'Cadastro - Espelho (não editar)'!$A$3:$H$3204,8,0)),"",VLOOKUP(A233,'Cadastro - Espelho (não editar)'!$A$3:$H$3204,8,0))</f>
        <v/>
      </c>
      <c r="D233" s="11" t="b">
        <v>0</v>
      </c>
      <c r="F233" s="147" t="str">
        <f>IF(ISNA(VLOOKUP(A233,'Cadastro - Espelho (não editar)'!$A$3:$L$3204,12,0)),"",VLOOKUP(A233,'Cadastro - Espelho (não editar)'!$A$3:$L$3204,12,0))</f>
        <v/>
      </c>
      <c r="G233" s="11"/>
      <c r="H233" s="148"/>
      <c r="J233" s="152"/>
      <c r="M233" s="105" t="e">
        <f t="shared" si="4"/>
        <v>#VALUE!</v>
      </c>
    </row>
    <row r="234" customHeight="1" spans="1:13">
      <c r="A234" s="11"/>
      <c r="B234" s="145" t="e">
        <f t="shared" si="0"/>
        <v>#VALUE!</v>
      </c>
      <c r="C234" s="11" t="str">
        <f>IF(ISNA(VLOOKUP(A234,'Cadastro - Espelho (não editar)'!$A$3:$H$3204,8,0)),"",VLOOKUP(A234,'Cadastro - Espelho (não editar)'!$A$3:$H$3204,8,0))</f>
        <v/>
      </c>
      <c r="D234" s="11" t="b">
        <v>0</v>
      </c>
      <c r="F234" s="147" t="str">
        <f>IF(ISNA(VLOOKUP(A234,'Cadastro - Espelho (não editar)'!$A$3:$L$3204,12,0)),"",VLOOKUP(A234,'Cadastro - Espelho (não editar)'!$A$3:$L$3204,12,0))</f>
        <v/>
      </c>
      <c r="G234" s="11"/>
      <c r="H234" s="148"/>
      <c r="J234" s="152"/>
      <c r="M234" s="105" t="e">
        <f t="shared" si="4"/>
        <v>#VALUE!</v>
      </c>
    </row>
    <row r="235" customHeight="1" spans="1:13">
      <c r="A235" s="11"/>
      <c r="B235" s="145" t="e">
        <f t="shared" si="0"/>
        <v>#VALUE!</v>
      </c>
      <c r="C235" s="11" t="str">
        <f>IF(ISNA(VLOOKUP(A235,'Cadastro - Espelho (não editar)'!$A$3:$H$3204,8,0)),"",VLOOKUP(A235,'Cadastro - Espelho (não editar)'!$A$3:$H$3204,8,0))</f>
        <v/>
      </c>
      <c r="D235" s="11" t="b">
        <v>0</v>
      </c>
      <c r="F235" s="147" t="str">
        <f>IF(ISNA(VLOOKUP(A235,'Cadastro - Espelho (não editar)'!$A$3:$L$3204,12,0)),"",VLOOKUP(A235,'Cadastro - Espelho (não editar)'!$A$3:$L$3204,12,0))</f>
        <v/>
      </c>
      <c r="G235" s="11"/>
      <c r="H235" s="148"/>
      <c r="J235" s="152"/>
      <c r="M235" s="105" t="e">
        <f t="shared" si="4"/>
        <v>#VALUE!</v>
      </c>
    </row>
    <row r="236" customHeight="1" spans="1:13">
      <c r="A236" s="11"/>
      <c r="B236" s="145" t="e">
        <f t="shared" si="0"/>
        <v>#VALUE!</v>
      </c>
      <c r="C236" s="11" t="str">
        <f>IF(ISNA(VLOOKUP(A236,'Cadastro - Espelho (não editar)'!$A$3:$H$3204,8,0)),"",VLOOKUP(A236,'Cadastro - Espelho (não editar)'!$A$3:$H$3204,8,0))</f>
        <v/>
      </c>
      <c r="D236" s="11" t="b">
        <v>0</v>
      </c>
      <c r="F236" s="147" t="str">
        <f>IF(ISNA(VLOOKUP(A236,'Cadastro - Espelho (não editar)'!$A$3:$L$3204,12,0)),"",VLOOKUP(A236,'Cadastro - Espelho (não editar)'!$A$3:$L$3204,12,0))</f>
        <v/>
      </c>
      <c r="G236" s="11"/>
      <c r="H236" s="148"/>
      <c r="J236" s="152"/>
      <c r="M236" s="105" t="e">
        <f t="shared" si="4"/>
        <v>#VALUE!</v>
      </c>
    </row>
    <row r="237" customHeight="1" spans="1:13">
      <c r="A237" s="11"/>
      <c r="B237" s="145" t="e">
        <f t="shared" si="0"/>
        <v>#VALUE!</v>
      </c>
      <c r="C237" s="11" t="str">
        <f>IF(ISNA(VLOOKUP(A237,'Cadastro - Espelho (não editar)'!$A$3:$H$3204,8,0)),"",VLOOKUP(A237,'Cadastro - Espelho (não editar)'!$A$3:$H$3204,8,0))</f>
        <v/>
      </c>
      <c r="D237" s="11" t="b">
        <v>0</v>
      </c>
      <c r="F237" s="147" t="str">
        <f>IF(ISNA(VLOOKUP(A237,'Cadastro - Espelho (não editar)'!$A$3:$L$3204,12,0)),"",VLOOKUP(A237,'Cadastro - Espelho (não editar)'!$A$3:$L$3204,12,0))</f>
        <v/>
      </c>
      <c r="G237" s="11"/>
      <c r="H237" s="148"/>
      <c r="J237" s="152"/>
      <c r="M237" s="105" t="e">
        <f t="shared" si="4"/>
        <v>#VALUE!</v>
      </c>
    </row>
    <row r="238" customHeight="1" spans="1:13">
      <c r="A238" s="11"/>
      <c r="B238" s="145" t="e">
        <f t="shared" si="0"/>
        <v>#VALUE!</v>
      </c>
      <c r="C238" s="11" t="str">
        <f>IF(ISNA(VLOOKUP(A238,'Cadastro - Espelho (não editar)'!$A$3:$H$3204,8,0)),"",VLOOKUP(A238,'Cadastro - Espelho (não editar)'!$A$3:$H$3204,8,0))</f>
        <v/>
      </c>
      <c r="D238" s="11" t="b">
        <v>0</v>
      </c>
      <c r="F238" s="147" t="str">
        <f>IF(ISNA(VLOOKUP(A238,'Cadastro - Espelho (não editar)'!$A$3:$L$3204,12,0)),"",VLOOKUP(A238,'Cadastro - Espelho (não editar)'!$A$3:$L$3204,12,0))</f>
        <v/>
      </c>
      <c r="G238" s="11"/>
      <c r="H238" s="148"/>
      <c r="J238" s="152"/>
      <c r="M238" s="105" t="e">
        <f t="shared" si="4"/>
        <v>#VALUE!</v>
      </c>
    </row>
    <row r="239" customHeight="1" spans="1:13">
      <c r="A239" s="11"/>
      <c r="B239" s="145" t="e">
        <f t="shared" si="0"/>
        <v>#VALUE!</v>
      </c>
      <c r="C239" s="11" t="str">
        <f>IF(ISNA(VLOOKUP(A239,'Cadastro - Espelho (não editar)'!$A$3:$H$3204,8,0)),"",VLOOKUP(A239,'Cadastro - Espelho (não editar)'!$A$3:$H$3204,8,0))</f>
        <v/>
      </c>
      <c r="D239" s="11" t="b">
        <v>0</v>
      </c>
      <c r="F239" s="147" t="str">
        <f>IF(ISNA(VLOOKUP(A239,'Cadastro - Espelho (não editar)'!$A$3:$L$3204,12,0)),"",VLOOKUP(A239,'Cadastro - Espelho (não editar)'!$A$3:$L$3204,12,0))</f>
        <v/>
      </c>
      <c r="G239" s="11"/>
      <c r="H239" s="148"/>
      <c r="J239" s="152"/>
      <c r="M239" s="105" t="e">
        <f t="shared" si="4"/>
        <v>#VALUE!</v>
      </c>
    </row>
    <row r="240" customHeight="1" spans="1:13">
      <c r="A240" s="11"/>
      <c r="B240" s="145" t="e">
        <f t="shared" si="0"/>
        <v>#VALUE!</v>
      </c>
      <c r="C240" s="11" t="str">
        <f>IF(ISNA(VLOOKUP(A240,'Cadastro - Espelho (não editar)'!$A$3:$H$3204,8,0)),"",VLOOKUP(A240,'Cadastro - Espelho (não editar)'!$A$3:$H$3204,8,0))</f>
        <v/>
      </c>
      <c r="D240" s="11" t="b">
        <v>0</v>
      </c>
      <c r="F240" s="147" t="str">
        <f>IF(ISNA(VLOOKUP(A240,'Cadastro - Espelho (não editar)'!$A$3:$L$3204,12,0)),"",VLOOKUP(A240,'Cadastro - Espelho (não editar)'!$A$3:$L$3204,12,0))</f>
        <v/>
      </c>
      <c r="G240" s="11"/>
      <c r="H240" s="148"/>
      <c r="J240" s="152"/>
      <c r="M240" s="105" t="e">
        <f t="shared" si="4"/>
        <v>#VALUE!</v>
      </c>
    </row>
    <row r="241" customHeight="1" spans="1:13">
      <c r="A241" s="11"/>
      <c r="B241" s="145" t="e">
        <f t="shared" si="0"/>
        <v>#VALUE!</v>
      </c>
      <c r="C241" s="11" t="str">
        <f>IF(ISNA(VLOOKUP(A241,'Cadastro - Espelho (não editar)'!$A$3:$H$3204,8,0)),"",VLOOKUP(A241,'Cadastro - Espelho (não editar)'!$A$3:$H$3204,8,0))</f>
        <v/>
      </c>
      <c r="D241" s="11" t="b">
        <v>0</v>
      </c>
      <c r="F241" s="147" t="str">
        <f>IF(ISNA(VLOOKUP(A241,'Cadastro - Espelho (não editar)'!$A$3:$L$3204,12,0)),"",VLOOKUP(A241,'Cadastro - Espelho (não editar)'!$A$3:$L$3204,12,0))</f>
        <v/>
      </c>
      <c r="G241" s="11"/>
      <c r="H241" s="148"/>
      <c r="J241" s="152"/>
      <c r="M241" s="105" t="e">
        <f t="shared" si="4"/>
        <v>#VALUE!</v>
      </c>
    </row>
    <row r="242" customHeight="1" spans="1:13">
      <c r="A242" s="11"/>
      <c r="B242" s="145" t="e">
        <f t="shared" si="0"/>
        <v>#VALUE!</v>
      </c>
      <c r="C242" s="11" t="str">
        <f>IF(ISNA(VLOOKUP(A242,'Cadastro - Espelho (não editar)'!$A$3:$H$3204,8,0)),"",VLOOKUP(A242,'Cadastro - Espelho (não editar)'!$A$3:$H$3204,8,0))</f>
        <v/>
      </c>
      <c r="D242" s="11" t="b">
        <v>0</v>
      </c>
      <c r="F242" s="147" t="str">
        <f>IF(ISNA(VLOOKUP(A242,'Cadastro - Espelho (não editar)'!$A$3:$L$3204,12,0)),"",VLOOKUP(A242,'Cadastro - Espelho (não editar)'!$A$3:$L$3204,12,0))</f>
        <v/>
      </c>
      <c r="G242" s="11"/>
      <c r="H242" s="148"/>
      <c r="J242" s="152"/>
      <c r="M242" s="105" t="e">
        <f t="shared" si="4"/>
        <v>#VALUE!</v>
      </c>
    </row>
    <row r="243" customHeight="1" spans="1:13">
      <c r="A243" s="11"/>
      <c r="B243" s="145" t="e">
        <f t="shared" si="0"/>
        <v>#VALUE!</v>
      </c>
      <c r="C243" s="11" t="str">
        <f>IF(ISNA(VLOOKUP(A243,'Cadastro - Espelho (não editar)'!$A$3:$H$3204,8,0)),"",VLOOKUP(A243,'Cadastro - Espelho (não editar)'!$A$3:$H$3204,8,0))</f>
        <v/>
      </c>
      <c r="D243" s="11" t="b">
        <v>0</v>
      </c>
      <c r="F243" s="147" t="str">
        <f>IF(ISNA(VLOOKUP(A243,'Cadastro - Espelho (não editar)'!$A$3:$L$3204,12,0)),"",VLOOKUP(A243,'Cadastro - Espelho (não editar)'!$A$3:$L$3204,12,0))</f>
        <v/>
      </c>
      <c r="G243" s="11"/>
      <c r="H243" s="148"/>
      <c r="J243" s="152"/>
      <c r="M243" s="105" t="e">
        <f t="shared" si="4"/>
        <v>#VALUE!</v>
      </c>
    </row>
    <row r="244" customHeight="1" spans="1:13">
      <c r="A244" s="148"/>
      <c r="B244" s="145" t="e">
        <f t="shared" si="0"/>
        <v>#VALUE!</v>
      </c>
      <c r="C244" s="11" t="str">
        <f>IF(ISNA(VLOOKUP(A244,'Cadastro - Espelho (não editar)'!$A$3:$H$3204,8,0)),"",VLOOKUP(A244,'Cadastro - Espelho (não editar)'!$A$3:$H$3204,8,0))</f>
        <v/>
      </c>
      <c r="D244" s="11" t="b">
        <v>0</v>
      </c>
      <c r="F244" s="147" t="str">
        <f>IF(ISNA(VLOOKUP(A244,'Cadastro - Espelho (não editar)'!$A$3:$L$3204,12,0)),"",VLOOKUP(A244,'Cadastro - Espelho (não editar)'!$A$3:$L$3204,12,0))</f>
        <v/>
      </c>
      <c r="G244" s="11"/>
      <c r="H244" s="148"/>
      <c r="J244" s="152"/>
      <c r="M244" s="105" t="e">
        <f t="shared" si="4"/>
        <v>#VALUE!</v>
      </c>
    </row>
    <row r="245" customHeight="1" spans="1:13">
      <c r="A245" s="11"/>
      <c r="B245" s="145" t="e">
        <f t="shared" si="0"/>
        <v>#VALUE!</v>
      </c>
      <c r="C245" s="11" t="str">
        <f>IF(ISNA(VLOOKUP(A245,'Cadastro - Espelho (não editar)'!$A$3:$H$3204,8,0)),"",VLOOKUP(A245,'Cadastro - Espelho (não editar)'!$A$3:$H$3204,8,0))</f>
        <v/>
      </c>
      <c r="D245" s="11" t="b">
        <v>0</v>
      </c>
      <c r="F245" s="147" t="str">
        <f>IF(ISNA(VLOOKUP(A245,'Cadastro - Espelho (não editar)'!$A$3:$L$3204,12,0)),"",VLOOKUP(A245,'Cadastro - Espelho (não editar)'!$A$3:$L$3204,12,0))</f>
        <v/>
      </c>
      <c r="G245" s="11"/>
      <c r="H245" s="148"/>
      <c r="J245" s="152"/>
      <c r="M245" s="105" t="e">
        <f t="shared" si="4"/>
        <v>#VALUE!</v>
      </c>
    </row>
    <row r="246" customHeight="1" spans="1:13">
      <c r="A246" s="11"/>
      <c r="B246" s="145" t="e">
        <f t="shared" si="0"/>
        <v>#VALUE!</v>
      </c>
      <c r="C246" s="11" t="str">
        <f>IF(ISNA(VLOOKUP(A246,'Cadastro - Espelho (não editar)'!$A$3:$H$3204,8,0)),"",VLOOKUP(A246,'Cadastro - Espelho (não editar)'!$A$3:$H$3204,8,0))</f>
        <v/>
      </c>
      <c r="D246" s="11" t="b">
        <v>0</v>
      </c>
      <c r="F246" s="147" t="str">
        <f>IF(ISNA(VLOOKUP(A246,'Cadastro - Espelho (não editar)'!$A$3:$L$3204,12,0)),"",VLOOKUP(A246,'Cadastro - Espelho (não editar)'!$A$3:$L$3204,12,0))</f>
        <v/>
      </c>
      <c r="G246" s="11"/>
      <c r="H246" s="148"/>
      <c r="M246" s="105" t="e">
        <f t="shared" si="4"/>
        <v>#VALUE!</v>
      </c>
    </row>
    <row r="247" customHeight="1" spans="1:13">
      <c r="A247" s="11"/>
      <c r="B247" s="145" t="e">
        <f t="shared" si="0"/>
        <v>#VALUE!</v>
      </c>
      <c r="C247" s="11" t="str">
        <f>IF(ISNA(VLOOKUP(A247,'Cadastro - Espelho (não editar)'!$A$3:$H$3204,8,0)),"",VLOOKUP(A247,'Cadastro - Espelho (não editar)'!$A$3:$H$3204,8,0))</f>
        <v/>
      </c>
      <c r="D247" s="11" t="b">
        <v>0</v>
      </c>
      <c r="F247" s="147" t="str">
        <f>IF(ISNA(VLOOKUP(A247,'Cadastro - Espelho (não editar)'!$A$3:$L$3204,12,0)),"",VLOOKUP(A247,'Cadastro - Espelho (não editar)'!$A$3:$L$3204,12,0))</f>
        <v/>
      </c>
      <c r="G247" s="11"/>
      <c r="H247" s="148"/>
      <c r="M247" s="105" t="e">
        <f t="shared" si="4"/>
        <v>#VALUE!</v>
      </c>
    </row>
    <row r="248" customHeight="1" spans="1:13">
      <c r="A248" s="11"/>
      <c r="B248" s="145" t="e">
        <f t="shared" si="0"/>
        <v>#VALUE!</v>
      </c>
      <c r="C248" s="11" t="str">
        <f>IF(ISNA(VLOOKUP(A248,'Cadastro - Espelho (não editar)'!$A$3:$H$3204,8,0)),"",VLOOKUP(A248,'Cadastro - Espelho (não editar)'!$A$3:$H$3204,8,0))</f>
        <v/>
      </c>
      <c r="D248" s="11" t="b">
        <v>0</v>
      </c>
      <c r="F248" s="147" t="str">
        <f>IF(ISNA(VLOOKUP(A248,'Cadastro - Espelho (não editar)'!$A$3:$L$3204,12,0)),"",VLOOKUP(A248,'Cadastro - Espelho (não editar)'!$A$3:$L$3204,12,0))</f>
        <v/>
      </c>
      <c r="G248" s="11"/>
      <c r="H248" s="148"/>
      <c r="M248" s="105" t="e">
        <f t="shared" si="4"/>
        <v>#VALUE!</v>
      </c>
    </row>
    <row r="249" customHeight="1" spans="1:13">
      <c r="A249" s="11"/>
      <c r="B249" s="145" t="e">
        <f t="shared" si="0"/>
        <v>#VALUE!</v>
      </c>
      <c r="C249" s="11" t="str">
        <f>IF(ISNA(VLOOKUP(A249,'Cadastro - Espelho (não editar)'!$A$3:$H$3204,8,0)),"",VLOOKUP(A249,'Cadastro - Espelho (não editar)'!$A$3:$H$3204,8,0))</f>
        <v/>
      </c>
      <c r="D249" s="11" t="b">
        <v>0</v>
      </c>
      <c r="F249" s="147" t="str">
        <f>IF(ISNA(VLOOKUP(A249,'Cadastro - Espelho (não editar)'!$A$3:$L$3204,12,0)),"",VLOOKUP(A249,'Cadastro - Espelho (não editar)'!$A$3:$L$3204,12,0))</f>
        <v/>
      </c>
      <c r="G249" s="11"/>
      <c r="H249" s="148"/>
      <c r="M249" s="105" t="e">
        <f t="shared" si="4"/>
        <v>#VALUE!</v>
      </c>
    </row>
    <row r="250" customHeight="1" spans="1:13">
      <c r="A250" s="11"/>
      <c r="B250" s="145" t="e">
        <f t="shared" si="0"/>
        <v>#VALUE!</v>
      </c>
      <c r="D250" s="11" t="b">
        <v>0</v>
      </c>
      <c r="F250" s="147" t="str">
        <f>IF(ISNA(VLOOKUP(A250,'Cadastro - Espelho (não editar)'!$A$3:$L$3204,12,0)),"",VLOOKUP(A250,'Cadastro - Espelho (não editar)'!$A$3:$L$3204,12,0))</f>
        <v/>
      </c>
      <c r="G250" s="11"/>
      <c r="H250" s="148"/>
      <c r="M250" s="105" t="e">
        <f t="shared" si="4"/>
        <v>#VALUE!</v>
      </c>
    </row>
    <row r="251" customHeight="1" spans="1:13">
      <c r="A251" s="11"/>
      <c r="B251" s="145" t="e">
        <f t="shared" si="0"/>
        <v>#VALUE!</v>
      </c>
      <c r="C251" s="11" t="str">
        <f>IF(ISNA(VLOOKUP(A251,'Cadastro - Espelho (não editar)'!$A$3:$H$3204,8,0)),"",VLOOKUP(A251,'Cadastro - Espelho (não editar)'!$A$3:$H$3204,8,0))</f>
        <v/>
      </c>
      <c r="D251" s="11" t="b">
        <v>0</v>
      </c>
      <c r="F251" s="147" t="str">
        <f>IF(ISNA(VLOOKUP(A251,'Cadastro - Espelho (não editar)'!$A$3:$L$3204,12,0)),"",VLOOKUP(A251,'Cadastro - Espelho (não editar)'!$A$3:$L$3204,12,0))</f>
        <v/>
      </c>
      <c r="G251" s="11"/>
      <c r="H251" s="148"/>
      <c r="M251" s="105" t="e">
        <f t="shared" si="4"/>
        <v>#VALUE!</v>
      </c>
    </row>
    <row r="252" customHeight="1" spans="1:13">
      <c r="A252" s="11"/>
      <c r="B252" s="145" t="e">
        <f t="shared" si="0"/>
        <v>#VALUE!</v>
      </c>
      <c r="C252" s="11" t="str">
        <f>IF(ISNA(VLOOKUP(A252,'Cadastro - Espelho (não editar)'!$A$3:$H$3204,8,0)),"",VLOOKUP(A252,'Cadastro - Espelho (não editar)'!$A$3:$H$3204,8,0))</f>
        <v/>
      </c>
      <c r="D252" s="11" t="b">
        <v>0</v>
      </c>
      <c r="F252" s="147" t="str">
        <f>IF(ISNA(VLOOKUP(A252,'Cadastro - Espelho (não editar)'!$A$3:$L$3204,12,0)),"",VLOOKUP(A252,'Cadastro - Espelho (não editar)'!$A$3:$L$3204,12,0))</f>
        <v/>
      </c>
      <c r="G252" s="11"/>
      <c r="H252" s="148"/>
      <c r="M252" s="105" t="e">
        <f t="shared" si="4"/>
        <v>#VALUE!</v>
      </c>
    </row>
    <row r="253" customHeight="1" spans="1:13">
      <c r="A253" s="11"/>
      <c r="B253" s="145" t="e">
        <f t="shared" si="0"/>
        <v>#VALUE!</v>
      </c>
      <c r="C253" s="11" t="str">
        <f>IF(ISNA(VLOOKUP(A253,'Cadastro - Espelho (não editar)'!$A$3:$H$3204,8,0)),"",VLOOKUP(A253,'Cadastro - Espelho (não editar)'!$A$3:$H$3204,8,0))</f>
        <v/>
      </c>
      <c r="D253" s="11" t="b">
        <v>0</v>
      </c>
      <c r="F253" s="147" t="str">
        <f>IF(ISNA(VLOOKUP(A253,'Cadastro - Espelho (não editar)'!$A$3:$L$3204,12,0)),"",VLOOKUP(A253,'Cadastro - Espelho (não editar)'!$A$3:$L$3204,12,0))</f>
        <v/>
      </c>
      <c r="G253" s="11"/>
      <c r="H253" s="148"/>
      <c r="M253" s="105" t="e">
        <f t="shared" si="4"/>
        <v>#VALUE!</v>
      </c>
    </row>
    <row r="254" customHeight="1" spans="1:13">
      <c r="A254" s="11"/>
      <c r="B254" s="145" t="e">
        <f t="shared" si="0"/>
        <v>#VALUE!</v>
      </c>
      <c r="C254" s="11" t="str">
        <f>IF(ISNA(VLOOKUP(A254,'Cadastro - Espelho (não editar)'!$A$3:$H$3204,8,0)),"",VLOOKUP(A254,'Cadastro - Espelho (não editar)'!$A$3:$H$3204,8,0))</f>
        <v/>
      </c>
      <c r="D254" s="11" t="b">
        <v>0</v>
      </c>
      <c r="F254" s="147" t="str">
        <f>IF(ISNA(VLOOKUP(A254,'Cadastro - Espelho (não editar)'!$A$3:$L$3204,12,0)),"",VLOOKUP(A254,'Cadastro - Espelho (não editar)'!$A$3:$L$3204,12,0))</f>
        <v/>
      </c>
      <c r="G254" s="11"/>
      <c r="H254" s="148"/>
      <c r="M254" s="105" t="e">
        <f t="shared" si="4"/>
        <v>#VALUE!</v>
      </c>
    </row>
    <row r="255" customHeight="1" spans="1:13">
      <c r="A255" s="11"/>
      <c r="B255" s="145" t="e">
        <f t="shared" si="0"/>
        <v>#VALUE!</v>
      </c>
      <c r="C255" s="11" t="str">
        <f>IF(ISNA(VLOOKUP(A255,'Cadastro - Espelho (não editar)'!$A$3:$H$3204,8,0)),"",VLOOKUP(A255,'Cadastro - Espelho (não editar)'!$A$3:$H$3204,8,0))</f>
        <v/>
      </c>
      <c r="D255" s="11" t="b">
        <v>0</v>
      </c>
      <c r="F255" s="147" t="str">
        <f>IF(ISNA(VLOOKUP(A255,'Cadastro - Espelho (não editar)'!$A$3:$L$3204,12,0)),"",VLOOKUP(A255,'Cadastro - Espelho (não editar)'!$A$3:$L$3204,12,0))</f>
        <v/>
      </c>
      <c r="G255" s="11"/>
      <c r="H255" s="148"/>
      <c r="M255" s="105" t="e">
        <f t="shared" si="4"/>
        <v>#VALUE!</v>
      </c>
    </row>
    <row r="256" customHeight="1" spans="1:13">
      <c r="A256" s="11"/>
      <c r="B256" s="145" t="e">
        <f t="shared" si="0"/>
        <v>#VALUE!</v>
      </c>
      <c r="D256" s="11" t="b">
        <v>0</v>
      </c>
      <c r="F256" s="147" t="str">
        <f>IF(ISNA(VLOOKUP(A256,'Cadastro - Espelho (não editar)'!$A$3:$L$3204,12,0)),"",VLOOKUP(A256,'Cadastro - Espelho (não editar)'!$A$3:$L$3204,12,0))</f>
        <v/>
      </c>
      <c r="G256" s="11"/>
      <c r="H256" s="148"/>
      <c r="M256" s="105" t="e">
        <f t="shared" si="4"/>
        <v>#VALUE!</v>
      </c>
    </row>
    <row r="257" customHeight="1" spans="1:13">
      <c r="A257" s="11"/>
      <c r="B257" s="145" t="e">
        <f t="shared" ref="B257:B290" si="5">LEFT(A257,SEARCH(" ",A257)-1)</f>
        <v>#VALUE!</v>
      </c>
      <c r="C257" s="11" t="str">
        <f>IF(ISNA(VLOOKUP(A257,'Cadastro - Espelho (não editar)'!$A$3:$H$3204,8,0)),"",VLOOKUP(A257,'Cadastro - Espelho (não editar)'!$A$3:$H$3204,8,0))</f>
        <v/>
      </c>
      <c r="D257" s="11" t="b">
        <v>0</v>
      </c>
      <c r="F257" s="147" t="str">
        <f>IF(ISNA(VLOOKUP(A257,'Cadastro - Espelho (não editar)'!$A$3:$L$3204,12,0)),"",VLOOKUP(A257,'Cadastro - Espelho (não editar)'!$A$3:$L$3204,12,0))</f>
        <v/>
      </c>
      <c r="G257" s="11"/>
      <c r="H257" s="148"/>
      <c r="M257" s="105" t="e">
        <f t="shared" si="4"/>
        <v>#VALUE!</v>
      </c>
    </row>
    <row r="258" customHeight="1" spans="1:13">
      <c r="A258" s="11"/>
      <c r="B258" s="145" t="e">
        <f t="shared" si="5"/>
        <v>#VALUE!</v>
      </c>
      <c r="C258" s="11" t="str">
        <f>IF(ISNA(VLOOKUP(A258,'Cadastro - Espelho (não editar)'!$A$3:$H$3204,8,0)),"",VLOOKUP(A258,'Cadastro - Espelho (não editar)'!$A$3:$H$3204,8,0))</f>
        <v/>
      </c>
      <c r="D258" s="11" t="b">
        <v>0</v>
      </c>
      <c r="F258" s="147" t="str">
        <f>IF(ISNA(VLOOKUP(A258,'Cadastro - Espelho (não editar)'!$A$3:$L$3204,12,0)),"",VLOOKUP(A258,'Cadastro - Espelho (não editar)'!$A$3:$L$3204,12,0))</f>
        <v/>
      </c>
      <c r="G258" s="11"/>
      <c r="H258" s="148"/>
      <c r="M258" s="105" t="e">
        <f t="shared" si="4"/>
        <v>#VALUE!</v>
      </c>
    </row>
    <row r="259" customHeight="1" spans="1:13">
      <c r="A259" s="11"/>
      <c r="B259" s="145" t="e">
        <f t="shared" si="5"/>
        <v>#VALUE!</v>
      </c>
      <c r="C259" s="11" t="str">
        <f>IF(ISNA(VLOOKUP(A259,'Cadastro - Espelho (não editar)'!$A$3:$H$3204,8,0)),"",VLOOKUP(A259,'Cadastro - Espelho (não editar)'!$A$3:$H$3204,8,0))</f>
        <v/>
      </c>
      <c r="D259" s="11" t="b">
        <v>0</v>
      </c>
      <c r="F259" s="147" t="str">
        <f>IF(ISNA(VLOOKUP(A259,'Cadastro - Espelho (não editar)'!$A$3:$L$3204,12,0)),"",VLOOKUP(A259,'Cadastro - Espelho (não editar)'!$A$3:$L$3204,12,0))</f>
        <v/>
      </c>
      <c r="G259" s="11"/>
      <c r="H259" s="148"/>
      <c r="M259" s="105" t="e">
        <f t="shared" si="4"/>
        <v>#VALUE!</v>
      </c>
    </row>
    <row r="260" customHeight="1" spans="1:13">
      <c r="A260" s="11"/>
      <c r="B260" s="145" t="e">
        <f t="shared" si="5"/>
        <v>#VALUE!</v>
      </c>
      <c r="C260" s="11" t="str">
        <f>IF(ISNA(VLOOKUP(A260,'Cadastro - Espelho (não editar)'!$A$3:$H$3204,8,0)),"",VLOOKUP(A260,'Cadastro - Espelho (não editar)'!$A$3:$H$3204,8,0))</f>
        <v/>
      </c>
      <c r="D260" s="11" t="b">
        <v>0</v>
      </c>
      <c r="F260" s="147" t="str">
        <f>IF(ISNA(VLOOKUP(A260,'Cadastro - Espelho (não editar)'!$A$3:$L$3204,12,0)),"",VLOOKUP(A260,'Cadastro - Espelho (não editar)'!$A$3:$L$3204,12,0))</f>
        <v/>
      </c>
      <c r="G260" s="11"/>
      <c r="H260" s="148"/>
      <c r="M260" s="105" t="e">
        <f t="shared" si="4"/>
        <v>#VALUE!</v>
      </c>
    </row>
    <row r="261" customHeight="1" spans="1:13">
      <c r="A261" s="11"/>
      <c r="B261" s="145" t="e">
        <f t="shared" si="5"/>
        <v>#VALUE!</v>
      </c>
      <c r="C261" s="11" t="str">
        <f>IF(ISNA(VLOOKUP(A261,'Cadastro - Espelho (não editar)'!$A$3:$H$3204,8,0)),"",VLOOKUP(A261,'Cadastro - Espelho (não editar)'!$A$3:$H$3204,8,0))</f>
        <v/>
      </c>
      <c r="D261" s="11" t="b">
        <v>0</v>
      </c>
      <c r="F261" s="147" t="str">
        <f>IF(ISNA(VLOOKUP(A261,'Cadastro - Espelho (não editar)'!$A$3:$L$3204,12,0)),"",VLOOKUP(A261,'Cadastro - Espelho (não editar)'!$A$3:$L$3204,12,0))</f>
        <v/>
      </c>
      <c r="G261" s="11"/>
      <c r="H261" s="148"/>
      <c r="M261" s="105" t="e">
        <f t="shared" si="4"/>
        <v>#VALUE!</v>
      </c>
    </row>
    <row r="262" customHeight="1" spans="1:13">
      <c r="A262" s="11"/>
      <c r="B262" s="145" t="e">
        <f t="shared" si="5"/>
        <v>#VALUE!</v>
      </c>
      <c r="C262" s="11" t="str">
        <f>IF(ISNA(VLOOKUP(A262,'Cadastro - Espelho (não editar)'!$A$3:$H$3204,8,0)),"",VLOOKUP(A262,'Cadastro - Espelho (não editar)'!$A$3:$H$3204,8,0))</f>
        <v/>
      </c>
      <c r="D262" s="11" t="b">
        <v>0</v>
      </c>
      <c r="F262" s="147" t="str">
        <f>IF(ISNA(VLOOKUP(A262,'Cadastro - Espelho (não editar)'!$A$3:$L$3204,12,0)),"",VLOOKUP(A262,'Cadastro - Espelho (não editar)'!$A$3:$L$3204,12,0))</f>
        <v/>
      </c>
      <c r="G262" s="11"/>
      <c r="H262" s="148"/>
      <c r="M262" s="105" t="e">
        <f t="shared" si="4"/>
        <v>#VALUE!</v>
      </c>
    </row>
    <row r="263" customHeight="1" spans="1:13">
      <c r="A263" s="11"/>
      <c r="B263" s="145" t="e">
        <f t="shared" si="5"/>
        <v>#VALUE!</v>
      </c>
      <c r="C263" s="11" t="str">
        <f>IF(ISNA(VLOOKUP(A263,'Cadastro - Espelho (não editar)'!$A$3:$H$3204,8,0)),"",VLOOKUP(A263,'Cadastro - Espelho (não editar)'!$A$3:$H$3204,8,0))</f>
        <v/>
      </c>
      <c r="D263" s="11" t="b">
        <v>0</v>
      </c>
      <c r="F263" s="147" t="str">
        <f>IF(ISNA(VLOOKUP(A263,'Cadastro - Espelho (não editar)'!$A$3:$L$3204,12,0)),"",VLOOKUP(A263,'Cadastro - Espelho (não editar)'!$A$3:$L$3204,12,0))</f>
        <v/>
      </c>
      <c r="G263" s="11"/>
      <c r="H263" s="148"/>
      <c r="M263" s="105" t="e">
        <f t="shared" si="4"/>
        <v>#VALUE!</v>
      </c>
    </row>
    <row r="264" customHeight="1" spans="1:13">
      <c r="A264" s="11"/>
      <c r="B264" s="145" t="e">
        <f t="shared" si="5"/>
        <v>#VALUE!</v>
      </c>
      <c r="C264" s="11" t="str">
        <f>IF(ISNA(VLOOKUP(A264,'Cadastro - Espelho (não editar)'!$A$3:$H$3204,8,0)),"",VLOOKUP(A264,'Cadastro - Espelho (não editar)'!$A$3:$H$3204,8,0))</f>
        <v/>
      </c>
      <c r="D264" s="11" t="b">
        <v>0</v>
      </c>
      <c r="F264" s="147" t="str">
        <f>IF(ISNA(VLOOKUP(A264,'Cadastro - Espelho (não editar)'!$A$3:$L$3204,12,0)),"",VLOOKUP(A264,'Cadastro - Espelho (não editar)'!$A$3:$L$3204,12,0))</f>
        <v/>
      </c>
      <c r="G264" s="11"/>
      <c r="M264" s="105" t="e">
        <f t="shared" si="4"/>
        <v>#VALUE!</v>
      </c>
    </row>
    <row r="265" customHeight="1" spans="1:13">
      <c r="A265" s="11"/>
      <c r="B265" s="145" t="e">
        <f t="shared" si="5"/>
        <v>#VALUE!</v>
      </c>
      <c r="C265" s="11" t="str">
        <f>IF(ISNA(VLOOKUP(A265,'Cadastro - Espelho (não editar)'!$A$3:$H$3204,8,0)),"",VLOOKUP(A265,'Cadastro - Espelho (não editar)'!$A$3:$H$3204,8,0))</f>
        <v/>
      </c>
      <c r="D265" s="11" t="b">
        <v>0</v>
      </c>
      <c r="F265" s="147" t="str">
        <f>IF(ISNA(VLOOKUP(A265,'Cadastro - Espelho (não editar)'!$A$3:$L$3204,12,0)),"",VLOOKUP(A265,'Cadastro - Espelho (não editar)'!$A$3:$L$3204,12,0))</f>
        <v/>
      </c>
      <c r="G265" s="11"/>
      <c r="M265" s="105" t="e">
        <f t="shared" si="4"/>
        <v>#VALUE!</v>
      </c>
    </row>
    <row r="266" customHeight="1" spans="1:13">
      <c r="A266" s="11"/>
      <c r="B266" s="145" t="e">
        <f t="shared" si="5"/>
        <v>#VALUE!</v>
      </c>
      <c r="C266" s="11" t="str">
        <f>IF(ISNA(VLOOKUP(A266,'Cadastro - Espelho (não editar)'!$A$3:$H$3204,8,0)),"",VLOOKUP(A266,'Cadastro - Espelho (não editar)'!$A$3:$H$3204,8,0))</f>
        <v/>
      </c>
      <c r="D266" s="11" t="b">
        <v>0</v>
      </c>
      <c r="F266" s="147" t="str">
        <f>IF(ISNA(VLOOKUP(A266,'Cadastro - Espelho (não editar)'!$A$3:$L$3204,12,0)),"",VLOOKUP(A266,'Cadastro - Espelho (não editar)'!$A$3:$L$3204,12,0))</f>
        <v/>
      </c>
      <c r="G266" s="11"/>
      <c r="M266" s="105" t="e">
        <f t="shared" si="4"/>
        <v>#VALUE!</v>
      </c>
    </row>
    <row r="267" customHeight="1" spans="1:13">
      <c r="A267" s="11"/>
      <c r="B267" s="145" t="e">
        <f t="shared" si="5"/>
        <v>#VALUE!</v>
      </c>
      <c r="C267" s="11" t="str">
        <f>IF(ISNA(VLOOKUP(A267,'Cadastro - Espelho (não editar)'!$A$3:$H$3204,8,0)),"",VLOOKUP(A267,'Cadastro - Espelho (não editar)'!$A$3:$H$3204,8,0))</f>
        <v/>
      </c>
      <c r="D267" s="11" t="b">
        <v>0</v>
      </c>
      <c r="F267" s="147" t="str">
        <f>IF(ISNA(VLOOKUP(A267,'Cadastro - Espelho (não editar)'!$A$3:$L$3204,12,0)),"",VLOOKUP(A267,'Cadastro - Espelho (não editar)'!$A$3:$L$3204,12,0))</f>
        <v/>
      </c>
      <c r="G267" s="11"/>
      <c r="M267" s="105" t="e">
        <f t="shared" si="4"/>
        <v>#VALUE!</v>
      </c>
    </row>
    <row r="268" customHeight="1" spans="1:13">
      <c r="A268" s="11"/>
      <c r="B268" s="145" t="e">
        <f t="shared" si="5"/>
        <v>#VALUE!</v>
      </c>
      <c r="C268" s="11" t="str">
        <f>IF(ISNA(VLOOKUP(A268,'Cadastro - Espelho (não editar)'!$A$3:$H$3204,8,0)),"",VLOOKUP(A268,'Cadastro - Espelho (não editar)'!$A$3:$H$3204,8,0))</f>
        <v/>
      </c>
      <c r="D268" s="11" t="b">
        <v>0</v>
      </c>
      <c r="F268" s="147" t="str">
        <f>IF(ISNA(VLOOKUP(A268,'Cadastro - Espelho (não editar)'!$A$3:$L$3204,12,0)),"",VLOOKUP(A268,'Cadastro - Espelho (não editar)'!$A$3:$L$3204,12,0))</f>
        <v/>
      </c>
      <c r="G268" s="11"/>
      <c r="M268" s="105" t="e">
        <f t="shared" si="4"/>
        <v>#VALUE!</v>
      </c>
    </row>
    <row r="269" customHeight="1" spans="1:13">
      <c r="A269" s="11"/>
      <c r="B269" s="145" t="e">
        <f t="shared" si="5"/>
        <v>#VALUE!</v>
      </c>
      <c r="C269" s="11" t="str">
        <f>IF(ISNA(VLOOKUP(A269,'Cadastro - Espelho (não editar)'!$A$3:$H$3204,8,0)),"",VLOOKUP(A269,'Cadastro - Espelho (não editar)'!$A$3:$H$3204,8,0))</f>
        <v/>
      </c>
      <c r="D269" s="11" t="b">
        <v>0</v>
      </c>
      <c r="F269" s="147" t="str">
        <f>IF(ISNA(VLOOKUP(A269,'Cadastro - Espelho (não editar)'!$A$3:$L$3204,12,0)),"",VLOOKUP(A269,'Cadastro - Espelho (não editar)'!$A$3:$L$3204,12,0))</f>
        <v/>
      </c>
      <c r="G269" s="11"/>
      <c r="M269" s="105" t="e">
        <f t="shared" si="4"/>
        <v>#VALUE!</v>
      </c>
    </row>
    <row r="270" customHeight="1" spans="1:13">
      <c r="A270" s="11"/>
      <c r="B270" s="145" t="e">
        <f t="shared" si="5"/>
        <v>#VALUE!</v>
      </c>
      <c r="C270" s="11" t="str">
        <f>IF(ISNA(VLOOKUP(A270,'Cadastro - Espelho (não editar)'!$A$3:$H$3204,8,0)),"",VLOOKUP(A270,'Cadastro - Espelho (não editar)'!$A$3:$H$3204,8,0))</f>
        <v/>
      </c>
      <c r="D270" s="11" t="b">
        <v>0</v>
      </c>
      <c r="F270" s="147" t="str">
        <f>IF(ISNA(VLOOKUP(A270,'Cadastro - Espelho (não editar)'!$A$3:$L$3204,12,0)),"",VLOOKUP(A270,'Cadastro - Espelho (não editar)'!$A$3:$L$3204,12,0))</f>
        <v/>
      </c>
      <c r="G270" s="11"/>
      <c r="M270" s="105" t="e">
        <f t="shared" si="4"/>
        <v>#VALUE!</v>
      </c>
    </row>
    <row r="271" customHeight="1" spans="1:13">
      <c r="A271" s="11"/>
      <c r="B271" s="145" t="e">
        <f t="shared" si="5"/>
        <v>#VALUE!</v>
      </c>
      <c r="C271" s="11" t="str">
        <f>IF(ISNA(VLOOKUP(A271,'Cadastro - Espelho (não editar)'!$A$3:$H$3204,8,0)),"",VLOOKUP(A271,'Cadastro - Espelho (não editar)'!$A$3:$H$3204,8,0))</f>
        <v/>
      </c>
      <c r="D271" s="11" t="b">
        <v>0</v>
      </c>
      <c r="F271" s="147" t="str">
        <f>IF(ISNA(VLOOKUP(A271,'Cadastro - Espelho (não editar)'!$A$3:$L$3204,12,0)),"",VLOOKUP(A271,'Cadastro - Espelho (não editar)'!$A$3:$L$3204,12,0))</f>
        <v/>
      </c>
      <c r="G271" s="11"/>
      <c r="M271" s="105" t="e">
        <f t="shared" si="4"/>
        <v>#VALUE!</v>
      </c>
    </row>
    <row r="272" customHeight="1" spans="1:13">
      <c r="A272" s="11"/>
      <c r="B272" s="145" t="e">
        <f t="shared" si="5"/>
        <v>#VALUE!</v>
      </c>
      <c r="C272" s="11" t="str">
        <f>IF(ISNA(VLOOKUP(A272,'Cadastro - Espelho (não editar)'!$A$3:$H$3204,8,0)),"",VLOOKUP(A272,'Cadastro - Espelho (não editar)'!$A$3:$H$3204,8,0))</f>
        <v/>
      </c>
      <c r="D272" s="11" t="b">
        <v>0</v>
      </c>
      <c r="F272" s="147" t="str">
        <f>IF(ISNA(VLOOKUP(A272,'Cadastro - Espelho (não editar)'!$A$3:$L$3204,12,0)),"",VLOOKUP(A272,'Cadastro - Espelho (não editar)'!$A$3:$L$3204,12,0))</f>
        <v/>
      </c>
      <c r="G272" s="11"/>
      <c r="M272" s="105" t="e">
        <f t="shared" si="4"/>
        <v>#VALUE!</v>
      </c>
    </row>
    <row r="273" customHeight="1" spans="1:13">
      <c r="A273" s="11"/>
      <c r="B273" s="145" t="e">
        <f t="shared" si="5"/>
        <v>#VALUE!</v>
      </c>
      <c r="C273" s="11" t="str">
        <f>IF(ISNA(VLOOKUP(A273,'Cadastro - Espelho (não editar)'!$A$3:$H$3204,8,0)),"",VLOOKUP(A273,'Cadastro - Espelho (não editar)'!$A$3:$H$3204,8,0))</f>
        <v/>
      </c>
      <c r="D273" s="11" t="b">
        <v>0</v>
      </c>
      <c r="F273" s="147" t="str">
        <f>IF(ISNA(VLOOKUP(A273,'Cadastro - Espelho (não editar)'!$A$3:$L$3204,12,0)),"",VLOOKUP(A273,'Cadastro - Espelho (não editar)'!$A$3:$L$3204,12,0))</f>
        <v/>
      </c>
      <c r="G273" s="11"/>
      <c r="M273" s="105" t="e">
        <f t="shared" si="4"/>
        <v>#VALUE!</v>
      </c>
    </row>
    <row r="274" customHeight="1" spans="1:13">
      <c r="A274" s="11"/>
      <c r="B274" s="145" t="e">
        <f t="shared" si="5"/>
        <v>#VALUE!</v>
      </c>
      <c r="C274" s="11" t="str">
        <f>IF(ISNA(VLOOKUP(A274,'Cadastro - Espelho (não editar)'!$A$3:$H$3204,8,0)),"",VLOOKUP(A274,'Cadastro - Espelho (não editar)'!$A$3:$H$3204,8,0))</f>
        <v/>
      </c>
      <c r="D274" s="11" t="b">
        <v>0</v>
      </c>
      <c r="F274" s="147" t="str">
        <f>IF(ISNA(VLOOKUP(A274,'Cadastro - Espelho (não editar)'!$A$3:$L$3204,12,0)),"",VLOOKUP(A274,'Cadastro - Espelho (não editar)'!$A$3:$L$3204,12,0))</f>
        <v/>
      </c>
      <c r="G274" s="11"/>
      <c r="M274" s="105" t="e">
        <f t="shared" si="4"/>
        <v>#VALUE!</v>
      </c>
    </row>
    <row r="275" customHeight="1" spans="1:13">
      <c r="A275" s="11"/>
      <c r="B275" s="145" t="e">
        <f t="shared" si="5"/>
        <v>#VALUE!</v>
      </c>
      <c r="C275" s="11" t="str">
        <f>IF(ISNA(VLOOKUP(A275,'Cadastro - Espelho (não editar)'!$A$3:$H$3204,8,0)),"",VLOOKUP(A275,'Cadastro - Espelho (não editar)'!$A$3:$H$3204,8,0))</f>
        <v/>
      </c>
      <c r="D275" s="11" t="b">
        <v>0</v>
      </c>
      <c r="F275" s="147" t="str">
        <f>IF(ISNA(VLOOKUP(A275,'Cadastro - Espelho (não editar)'!$A$3:$L$3204,12,0)),"",VLOOKUP(A275,'Cadastro - Espelho (não editar)'!$A$3:$L$3204,12,0))</f>
        <v/>
      </c>
      <c r="G275" s="11"/>
      <c r="M275" s="105" t="e">
        <f t="shared" si="4"/>
        <v>#VALUE!</v>
      </c>
    </row>
    <row r="276" customHeight="1" spans="1:13">
      <c r="A276" s="11"/>
      <c r="B276" s="145" t="e">
        <f t="shared" si="5"/>
        <v>#VALUE!</v>
      </c>
      <c r="C276" s="11" t="str">
        <f>IF(ISNA(VLOOKUP(A276,'Cadastro - Espelho (não editar)'!$A$3:$H$3204,8,0)),"",VLOOKUP(A276,'Cadastro - Espelho (não editar)'!$A$3:$H$3204,8,0))</f>
        <v/>
      </c>
      <c r="D276" s="11" t="b">
        <v>0</v>
      </c>
      <c r="F276" s="147" t="str">
        <f>IF(ISNA(VLOOKUP(A276,'Cadastro - Espelho (não editar)'!$A$3:$L$3204,12,0)),"",VLOOKUP(A276,'Cadastro - Espelho (não editar)'!$A$3:$L$3204,12,0))</f>
        <v/>
      </c>
      <c r="G276" s="11"/>
      <c r="M276" s="105" t="e">
        <f t="shared" si="4"/>
        <v>#VALUE!</v>
      </c>
    </row>
    <row r="277" customHeight="1" spans="1:13">
      <c r="A277" s="11"/>
      <c r="B277" s="145" t="e">
        <f t="shared" si="5"/>
        <v>#VALUE!</v>
      </c>
      <c r="C277" s="11" t="str">
        <f>IF(ISNA(VLOOKUP(A277,'Cadastro - Espelho (não editar)'!$A$3:$H$3204,8,0)),"",VLOOKUP(A277,'Cadastro - Espelho (não editar)'!$A$3:$H$3204,8,0))</f>
        <v/>
      </c>
      <c r="D277" s="11" t="b">
        <v>0</v>
      </c>
      <c r="F277" s="147" t="str">
        <f>IF(ISNA(VLOOKUP(A277,'Cadastro - Espelho (não editar)'!$A$3:$L$3204,12,0)),"",VLOOKUP(A277,'Cadastro - Espelho (não editar)'!$A$3:$L$3204,12,0))</f>
        <v/>
      </c>
      <c r="G277" s="11"/>
      <c r="M277" s="105" t="e">
        <f t="shared" si="4"/>
        <v>#VALUE!</v>
      </c>
    </row>
    <row r="278" customHeight="1" spans="1:13">
      <c r="A278" s="11"/>
      <c r="B278" s="145" t="e">
        <f t="shared" si="5"/>
        <v>#VALUE!</v>
      </c>
      <c r="C278" s="11" t="str">
        <f>IF(ISNA(VLOOKUP(A278,'Cadastro - Espelho (não editar)'!$A$3:$H$3204,8,0)),"",VLOOKUP(A278,'Cadastro - Espelho (não editar)'!$A$3:$H$3204,8,0))</f>
        <v/>
      </c>
      <c r="D278" s="11" t="b">
        <v>0</v>
      </c>
      <c r="F278" s="147" t="str">
        <f>IF(ISNA(VLOOKUP(A278,'Cadastro - Espelho (não editar)'!$A$3:$L$3204,12,0)),"",VLOOKUP(A278,'Cadastro - Espelho (não editar)'!$A$3:$L$3204,12,0))</f>
        <v/>
      </c>
      <c r="G278" s="11"/>
      <c r="M278" s="105" t="e">
        <f t="shared" si="4"/>
        <v>#VALUE!</v>
      </c>
    </row>
    <row r="279" customHeight="1" spans="1:13">
      <c r="A279" s="11"/>
      <c r="B279" s="145" t="e">
        <f t="shared" si="5"/>
        <v>#VALUE!</v>
      </c>
      <c r="C279" s="11" t="str">
        <f>IF(ISNA(VLOOKUP(A279,'Cadastro - Espelho (não editar)'!$A$3:$H$3204,8,0)),"",VLOOKUP(A279,'Cadastro - Espelho (não editar)'!$A$3:$H$3204,8,0))</f>
        <v/>
      </c>
      <c r="D279" s="11" t="b">
        <v>0</v>
      </c>
      <c r="F279" s="147" t="str">
        <f>IF(ISNA(VLOOKUP(A279,'Cadastro - Espelho (não editar)'!$A$3:$L$3204,12,0)),"",VLOOKUP(A279,'Cadastro - Espelho (não editar)'!$A$3:$L$3204,12,0))</f>
        <v/>
      </c>
      <c r="G279" s="11"/>
      <c r="M279" s="105" t="e">
        <f t="shared" si="4"/>
        <v>#VALUE!</v>
      </c>
    </row>
    <row r="280" customHeight="1" spans="1:13">
      <c r="A280" s="11"/>
      <c r="B280" s="145" t="e">
        <f t="shared" si="5"/>
        <v>#VALUE!</v>
      </c>
      <c r="C280" s="11" t="str">
        <f>IF(ISNA(VLOOKUP(A280,'Cadastro - Espelho (não editar)'!$A$3:$H$3204,8,0)),"",VLOOKUP(A280,'Cadastro - Espelho (não editar)'!$A$3:$H$3204,8,0))</f>
        <v/>
      </c>
      <c r="D280" s="11" t="b">
        <v>0</v>
      </c>
      <c r="F280" s="147" t="str">
        <f>IF(ISNA(VLOOKUP(A280,'Cadastro - Espelho (não editar)'!$A$3:$L$3204,12,0)),"",VLOOKUP(A280,'Cadastro - Espelho (não editar)'!$A$3:$L$3204,12,0))</f>
        <v/>
      </c>
      <c r="G280" s="11"/>
      <c r="M280" s="105" t="e">
        <f t="shared" si="4"/>
        <v>#VALUE!</v>
      </c>
    </row>
    <row r="281" customHeight="1" spans="1:13">
      <c r="A281" s="11"/>
      <c r="B281" s="145" t="e">
        <f t="shared" si="5"/>
        <v>#VALUE!</v>
      </c>
      <c r="C281" s="11" t="str">
        <f>IF(ISNA(VLOOKUP(A281,'Cadastro - Espelho (não editar)'!$A$3:$H$3204,8,0)),"",VLOOKUP(A281,'Cadastro - Espelho (não editar)'!$A$3:$H$3204,8,0))</f>
        <v/>
      </c>
      <c r="D281" s="11" t="b">
        <v>0</v>
      </c>
      <c r="F281" s="147" t="str">
        <f>IF(ISNA(VLOOKUP(A281,'Cadastro - Espelho (não editar)'!$A$3:$L$3204,12,0)),"",VLOOKUP(A281,'Cadastro - Espelho (não editar)'!$A$3:$L$3204,12,0))</f>
        <v/>
      </c>
      <c r="G281" s="11"/>
      <c r="M281" s="105" t="e">
        <f t="shared" si="4"/>
        <v>#VALUE!</v>
      </c>
    </row>
    <row r="282" customHeight="1" spans="1:13">
      <c r="A282" s="11"/>
      <c r="B282" s="145" t="e">
        <f t="shared" si="5"/>
        <v>#VALUE!</v>
      </c>
      <c r="C282" s="11" t="str">
        <f>IF(ISNA(VLOOKUP(A282,'Cadastro - Espelho (não editar)'!$A$3:$H$3204,8,0)),"",VLOOKUP(A282,'Cadastro - Espelho (não editar)'!$A$3:$H$3204,8,0))</f>
        <v/>
      </c>
      <c r="D282" s="11" t="b">
        <v>0</v>
      </c>
      <c r="F282" s="147" t="str">
        <f>IF(ISNA(VLOOKUP(A282,'Cadastro - Espelho (não editar)'!$A$3:$L$3204,12,0)),"",VLOOKUP(A282,'Cadastro - Espelho (não editar)'!$A$3:$L$3204,12,0))</f>
        <v/>
      </c>
      <c r="G282" s="11"/>
      <c r="M282" s="105" t="e">
        <f t="shared" si="4"/>
        <v>#VALUE!</v>
      </c>
    </row>
    <row r="283" customHeight="1" spans="1:13">
      <c r="A283" s="11"/>
      <c r="B283" s="145" t="e">
        <f t="shared" si="5"/>
        <v>#VALUE!</v>
      </c>
      <c r="C283" s="11" t="str">
        <f>IF(ISNA(VLOOKUP(A283,'Cadastro - Espelho (não editar)'!$A$3:$H$3204,8,0)),"",VLOOKUP(A283,'Cadastro - Espelho (não editar)'!$A$3:$H$3204,8,0))</f>
        <v/>
      </c>
      <c r="D283" s="11" t="b">
        <v>0</v>
      </c>
      <c r="F283" s="147" t="str">
        <f>IF(ISNA(VLOOKUP(A283,'Cadastro - Espelho (não editar)'!$A$3:$L$3204,12,0)),"",VLOOKUP(A283,'Cadastro - Espelho (não editar)'!$A$3:$L$3204,12,0))</f>
        <v/>
      </c>
      <c r="G283" s="11"/>
      <c r="M283" s="105" t="e">
        <f t="shared" si="4"/>
        <v>#VALUE!</v>
      </c>
    </row>
    <row r="284" customHeight="1" spans="1:13">
      <c r="A284" s="11"/>
      <c r="B284" s="145" t="e">
        <f t="shared" si="5"/>
        <v>#VALUE!</v>
      </c>
      <c r="C284" s="11" t="str">
        <f>IF(ISNA(VLOOKUP(A284,'Cadastro - Espelho (não editar)'!$A$3:$H$3204,8,0)),"",VLOOKUP(A284,'Cadastro - Espelho (não editar)'!$A$3:$H$3204,8,0))</f>
        <v/>
      </c>
      <c r="D284" s="11" t="b">
        <v>0</v>
      </c>
      <c r="F284" s="147" t="str">
        <f>IF(ISNA(VLOOKUP(A284,'Cadastro - Espelho (não editar)'!$A$3:$L$3204,12,0)),"",VLOOKUP(A284,'Cadastro - Espelho (não editar)'!$A$3:$L$3204,12,0))</f>
        <v/>
      </c>
      <c r="G284" s="11"/>
      <c r="M284" s="105" t="e">
        <f t="shared" si="4"/>
        <v>#VALUE!</v>
      </c>
    </row>
    <row r="285" customHeight="1" spans="1:13">
      <c r="A285" s="11"/>
      <c r="B285" s="145" t="e">
        <f t="shared" si="5"/>
        <v>#VALUE!</v>
      </c>
      <c r="C285" s="11" t="str">
        <f>IF(ISNA(VLOOKUP(A285,'Cadastro - Espelho (não editar)'!$A$3:$H$3204,8,0)),"",VLOOKUP(A285,'Cadastro - Espelho (não editar)'!$A$3:$H$3204,8,0))</f>
        <v/>
      </c>
      <c r="D285" s="11" t="b">
        <v>0</v>
      </c>
      <c r="F285" s="147" t="str">
        <f>IF(ISNA(VLOOKUP(A285,'Cadastro - Espelho (não editar)'!$A$3:$L$3204,12,0)),"",VLOOKUP(A285,'Cadastro - Espelho (não editar)'!$A$3:$L$3204,12,0))</f>
        <v/>
      </c>
      <c r="G285" s="11"/>
      <c r="M285" s="105" t="e">
        <f t="shared" si="4"/>
        <v>#VALUE!</v>
      </c>
    </row>
    <row r="286" customHeight="1" spans="1:13">
      <c r="A286" s="11"/>
      <c r="B286" s="145" t="e">
        <f t="shared" si="5"/>
        <v>#VALUE!</v>
      </c>
      <c r="C286" s="11" t="str">
        <f>IF(ISNA(VLOOKUP(A286,'Cadastro - Espelho (não editar)'!$A$3:$H$3204,8,0)),"",VLOOKUP(A286,'Cadastro - Espelho (não editar)'!$A$3:$H$3204,8,0))</f>
        <v/>
      </c>
      <c r="D286" s="11" t="b">
        <v>0</v>
      </c>
      <c r="F286" s="147" t="str">
        <f>IF(ISNA(VLOOKUP(A286,'Cadastro - Espelho (não editar)'!$A$3:$L$3204,12,0)),"",VLOOKUP(A286,'Cadastro - Espelho (não editar)'!$A$3:$L$3204,12,0))</f>
        <v/>
      </c>
      <c r="G286" s="11"/>
      <c r="M286" s="105" t="e">
        <f t="shared" si="4"/>
        <v>#VALUE!</v>
      </c>
    </row>
    <row r="287" customHeight="1" spans="1:13">
      <c r="A287" s="11"/>
      <c r="B287" s="145" t="e">
        <f t="shared" si="5"/>
        <v>#VALUE!</v>
      </c>
      <c r="C287" s="11" t="str">
        <f>IF(ISNA(VLOOKUP(A287,'Cadastro - Espelho (não editar)'!$A$3:$H$3204,8,0)),"",VLOOKUP(A287,'Cadastro - Espelho (não editar)'!$A$3:$H$3204,8,0))</f>
        <v/>
      </c>
      <c r="D287" s="11" t="b">
        <v>0</v>
      </c>
      <c r="F287" s="147" t="str">
        <f>IF(ISNA(VLOOKUP(A287,'Cadastro - Espelho (não editar)'!$A$3:$L$3204,12,0)),"",VLOOKUP(A287,'Cadastro - Espelho (não editar)'!$A$3:$L$3204,12,0))</f>
        <v/>
      </c>
      <c r="G287" s="11"/>
      <c r="M287" s="105" t="e">
        <f t="shared" si="4"/>
        <v>#VALUE!</v>
      </c>
    </row>
    <row r="288" customHeight="1" spans="1:13">
      <c r="A288" s="11"/>
      <c r="B288" s="145" t="e">
        <f t="shared" si="5"/>
        <v>#VALUE!</v>
      </c>
      <c r="C288" s="11" t="str">
        <f>IF(ISNA(VLOOKUP(A288,'Cadastro - Espelho (não editar)'!$A$3:$H$3204,8,0)),"",VLOOKUP(A288,'Cadastro - Espelho (não editar)'!$A$3:$H$3204,8,0))</f>
        <v/>
      </c>
      <c r="D288" s="11" t="b">
        <v>0</v>
      </c>
      <c r="F288" s="147" t="str">
        <f>IF(ISNA(VLOOKUP(A288,'Cadastro - Espelho (não editar)'!$A$3:$L$3204,12,0)),"",VLOOKUP(A288,'Cadastro - Espelho (não editar)'!$A$3:$L$3204,12,0))</f>
        <v/>
      </c>
      <c r="G288" s="11"/>
      <c r="M288" s="105" t="e">
        <f t="shared" si="4"/>
        <v>#VALUE!</v>
      </c>
    </row>
    <row r="289" customHeight="1" spans="1:13">
      <c r="A289" s="11"/>
      <c r="B289" s="145" t="e">
        <f t="shared" si="5"/>
        <v>#VALUE!</v>
      </c>
      <c r="C289" s="11" t="str">
        <f>IF(ISNA(VLOOKUP(A289,'Cadastro - Espelho (não editar)'!$A$3:$H$3204,8,0)),"",VLOOKUP(A289,'Cadastro - Espelho (não editar)'!$A$3:$H$3204,8,0))</f>
        <v/>
      </c>
      <c r="D289" s="11" t="b">
        <v>0</v>
      </c>
      <c r="F289" s="147" t="str">
        <f>IF(ISNA(VLOOKUP(A289,'Cadastro - Espelho (não editar)'!$A$3:$L$3204,12,0)),"",VLOOKUP(A289,'Cadastro - Espelho (não editar)'!$A$3:$L$3204,12,0))</f>
        <v/>
      </c>
      <c r="G289" s="11"/>
      <c r="M289" s="105" t="e">
        <f t="shared" si="4"/>
        <v>#VALUE!</v>
      </c>
    </row>
    <row r="290" customHeight="1" spans="1:13">
      <c r="A290" s="11"/>
      <c r="B290" s="145" t="e">
        <f t="shared" si="5"/>
        <v>#VALUE!</v>
      </c>
      <c r="C290" s="11" t="str">
        <f>IF(ISNA(VLOOKUP(A290,'Cadastro - Espelho (não editar)'!$A$3:$H$3204,8,0)),"",VLOOKUP(A290,'Cadastro - Espelho (não editar)'!$A$3:$H$3204,8,0))</f>
        <v/>
      </c>
      <c r="D290" s="11" t="b">
        <v>0</v>
      </c>
      <c r="F290" s="147" t="str">
        <f>IF(ISNA(VLOOKUP(A290,'Cadastro - Espelho (não editar)'!$A$3:$L$3204,12,0)),"",VLOOKUP(A290,'Cadastro - Espelho (não editar)'!$A$3:$L$3204,12,0))</f>
        <v/>
      </c>
      <c r="G290" s="11"/>
      <c r="M290" s="105" t="e">
        <f t="shared" si="4"/>
        <v>#VALUE!</v>
      </c>
    </row>
  </sheetData>
  <dataValidations count="2">
    <dataValidation type="list" allowBlank="1" sqref="A2:A290">
      <formula1>'Cadastro - Espelho (não editar)'!$A:$A</formula1>
    </dataValidation>
    <dataValidation type="list" allowBlank="1" showErrorMessage="1" sqref="G2:G290">
      <formula1>"gestante,puérpera,Usuária"</formula1>
    </dataValidation>
  </dataValidations>
  <pageMargins left="0.511811024" right="0.511811024" top="0.787401575" bottom="0.787401575" header="0.31496062" footer="0.31496062"/>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outlinePr summaryBelow="0" summaryRight="0"/>
  </sheetPr>
  <dimension ref="A1:AD1014"/>
  <sheetViews>
    <sheetView workbookViewId="0">
      <pane ySplit="2" topLeftCell="A4" activePane="bottomLeft" state="frozen"/>
      <selection/>
      <selection pane="bottomLeft" activeCell="B4" sqref="B4"/>
    </sheetView>
  </sheetViews>
  <sheetFormatPr defaultColWidth="12.5727272727273" defaultRowHeight="15.75" customHeight="1"/>
  <cols>
    <col min="3" max="3" width="17" customWidth="1"/>
    <col min="4" max="5" width="17.7090909090909" customWidth="1"/>
    <col min="6" max="6" width="19.4272727272727" customWidth="1"/>
    <col min="7" max="7" width="20.7090909090909" customWidth="1"/>
    <col min="8" max="8" width="16.8545454545455" customWidth="1"/>
    <col min="10" max="10" width="16.8545454545455" customWidth="1"/>
    <col min="11" max="11" width="29.4272727272727" customWidth="1"/>
    <col min="12" max="12" width="17.8545454545455" customWidth="1"/>
  </cols>
  <sheetData>
    <row r="1" ht="46.5" spans="1:30">
      <c r="A1" s="127">
        <v>8</v>
      </c>
      <c r="B1" s="127" t="s">
        <v>5090</v>
      </c>
      <c r="C1" s="127" t="s">
        <v>5091</v>
      </c>
      <c r="D1" s="127" t="s">
        <v>5092</v>
      </c>
      <c r="E1" s="127" t="s">
        <v>5093</v>
      </c>
      <c r="F1" s="127" t="s">
        <v>5094</v>
      </c>
      <c r="G1" s="127" t="s">
        <v>5095</v>
      </c>
      <c r="H1" s="127" t="s">
        <v>5096</v>
      </c>
      <c r="I1" s="127" t="s">
        <v>5097</v>
      </c>
      <c r="J1" s="132" t="s">
        <v>5098</v>
      </c>
      <c r="K1" s="127" t="s">
        <v>5099</v>
      </c>
      <c r="L1" s="127"/>
      <c r="M1" s="127"/>
      <c r="N1" s="127"/>
      <c r="O1" s="127"/>
      <c r="P1" s="127"/>
      <c r="Q1" s="127"/>
      <c r="R1" s="127"/>
      <c r="S1" s="127"/>
      <c r="T1" s="127"/>
      <c r="U1" s="127"/>
      <c r="V1" s="127"/>
      <c r="W1" s="127"/>
      <c r="X1" s="127"/>
      <c r="Y1" s="127"/>
      <c r="Z1" s="127"/>
      <c r="AA1" s="127"/>
      <c r="AB1" s="127"/>
      <c r="AC1" s="127"/>
      <c r="AD1" s="127"/>
    </row>
    <row r="2" ht="14" spans="1:30">
      <c r="A2" s="128" t="s">
        <v>5100</v>
      </c>
      <c r="B2" s="128">
        <f t="shared" ref="B2:I2" si="0">SUM(B3:B1014)</f>
        <v>12802</v>
      </c>
      <c r="C2" s="128">
        <f t="shared" si="0"/>
        <v>3235</v>
      </c>
      <c r="D2" s="128">
        <f t="shared" si="0"/>
        <v>1083</v>
      </c>
      <c r="E2" s="128">
        <f t="shared" si="0"/>
        <v>992</v>
      </c>
      <c r="F2" s="128">
        <f t="shared" si="0"/>
        <v>570</v>
      </c>
      <c r="G2" s="128">
        <f t="shared" si="0"/>
        <v>384</v>
      </c>
      <c r="H2" s="128">
        <f t="shared" si="0"/>
        <v>141</v>
      </c>
      <c r="I2" s="128">
        <f t="shared" si="0"/>
        <v>16</v>
      </c>
      <c r="J2" s="133"/>
      <c r="K2" s="128"/>
      <c r="L2" s="128"/>
      <c r="M2" s="128"/>
      <c r="N2" s="128"/>
      <c r="O2" s="128"/>
      <c r="P2" s="128"/>
      <c r="Q2" s="128"/>
      <c r="R2" s="128"/>
      <c r="S2" s="128"/>
      <c r="T2" s="128"/>
      <c r="U2" s="128"/>
      <c r="V2" s="128"/>
      <c r="W2" s="128"/>
      <c r="X2" s="128"/>
      <c r="Y2" s="128"/>
      <c r="Z2" s="128"/>
      <c r="AA2" s="128"/>
      <c r="AB2" s="128"/>
      <c r="AC2" s="128"/>
      <c r="AD2" s="128"/>
    </row>
    <row r="3" ht="12.5" spans="1:11">
      <c r="A3" s="129">
        <v>45076</v>
      </c>
      <c r="B3" s="11">
        <v>51</v>
      </c>
      <c r="C3" s="11">
        <v>18</v>
      </c>
      <c r="D3" s="11">
        <v>3</v>
      </c>
      <c r="E3" s="11">
        <v>3</v>
      </c>
      <c r="F3" s="11">
        <v>0</v>
      </c>
      <c r="G3" s="11">
        <v>0</v>
      </c>
      <c r="H3" s="11">
        <v>0</v>
      </c>
      <c r="I3" s="11">
        <v>0</v>
      </c>
      <c r="J3" s="108"/>
      <c r="K3" s="11" t="s">
        <v>5101</v>
      </c>
    </row>
    <row r="4" ht="12.5" spans="1:11">
      <c r="A4" s="129">
        <v>45077</v>
      </c>
      <c r="B4" s="11">
        <v>57</v>
      </c>
      <c r="C4" s="11">
        <v>14</v>
      </c>
      <c r="D4" s="11">
        <v>5</v>
      </c>
      <c r="E4" s="11">
        <v>5</v>
      </c>
      <c r="F4" s="11">
        <v>0</v>
      </c>
      <c r="G4" s="11">
        <v>2</v>
      </c>
      <c r="H4" s="11">
        <v>0</v>
      </c>
      <c r="I4" s="11">
        <v>0</v>
      </c>
      <c r="J4" s="108"/>
      <c r="K4" s="11" t="s">
        <v>5101</v>
      </c>
    </row>
    <row r="5" ht="12.5" spans="1:11">
      <c r="A5" s="130">
        <v>45078</v>
      </c>
      <c r="B5" s="11">
        <v>40</v>
      </c>
      <c r="C5" s="11">
        <v>12</v>
      </c>
      <c r="D5" s="11">
        <v>3</v>
      </c>
      <c r="E5" s="11">
        <v>3</v>
      </c>
      <c r="F5" s="11">
        <v>3</v>
      </c>
      <c r="G5" s="11">
        <v>1</v>
      </c>
      <c r="H5" s="11">
        <v>1</v>
      </c>
      <c r="I5" s="11">
        <v>0</v>
      </c>
      <c r="J5" s="108"/>
      <c r="K5" s="11" t="s">
        <v>5101</v>
      </c>
    </row>
    <row r="6" ht="12.5" spans="1:11">
      <c r="A6" s="130">
        <v>45079</v>
      </c>
      <c r="B6" s="11">
        <v>20</v>
      </c>
      <c r="C6" s="11">
        <v>4</v>
      </c>
      <c r="D6" s="11">
        <v>3</v>
      </c>
      <c r="E6" s="11">
        <v>3</v>
      </c>
      <c r="F6" s="11">
        <v>2</v>
      </c>
      <c r="G6" s="11">
        <v>1</v>
      </c>
      <c r="H6" s="11">
        <v>0</v>
      </c>
      <c r="I6" s="11">
        <v>0</v>
      </c>
      <c r="J6" s="134">
        <v>0.708333333333333</v>
      </c>
      <c r="K6" s="11" t="s">
        <v>5101</v>
      </c>
    </row>
    <row r="7" ht="12.5" spans="1:11">
      <c r="A7" s="130">
        <v>45080</v>
      </c>
      <c r="B7" s="11">
        <v>14</v>
      </c>
      <c r="C7" s="11">
        <v>0</v>
      </c>
      <c r="D7" s="11">
        <v>1</v>
      </c>
      <c r="E7" s="11">
        <v>1</v>
      </c>
      <c r="F7" s="11">
        <v>3</v>
      </c>
      <c r="G7" s="11">
        <v>0</v>
      </c>
      <c r="H7" s="11">
        <v>0</v>
      </c>
      <c r="I7" s="11">
        <v>0</v>
      </c>
      <c r="J7" s="134">
        <v>0.78125</v>
      </c>
      <c r="K7" s="11" t="s">
        <v>5102</v>
      </c>
    </row>
    <row r="8" ht="12.5" spans="1:11">
      <c r="A8" s="130">
        <v>45081</v>
      </c>
      <c r="B8" s="11">
        <v>8</v>
      </c>
      <c r="C8" s="11">
        <v>3</v>
      </c>
      <c r="D8" s="11">
        <v>1</v>
      </c>
      <c r="E8" s="11">
        <v>1</v>
      </c>
      <c r="F8" s="11">
        <v>2</v>
      </c>
      <c r="G8" s="11">
        <v>1</v>
      </c>
      <c r="H8" s="11">
        <v>0</v>
      </c>
      <c r="I8" s="11">
        <v>0</v>
      </c>
      <c r="J8" s="134">
        <v>0.791666666666667</v>
      </c>
      <c r="K8" s="11" t="s">
        <v>5101</v>
      </c>
    </row>
    <row r="9" ht="12.5" spans="1:24">
      <c r="A9" s="130">
        <v>45082</v>
      </c>
      <c r="B9" s="11">
        <v>228</v>
      </c>
      <c r="C9" s="11">
        <v>56</v>
      </c>
      <c r="D9" s="11">
        <v>6</v>
      </c>
      <c r="E9" s="11">
        <v>6</v>
      </c>
      <c r="F9" s="11">
        <v>0</v>
      </c>
      <c r="G9" s="11">
        <v>2</v>
      </c>
      <c r="H9" s="11">
        <v>0</v>
      </c>
      <c r="I9" s="11">
        <v>0</v>
      </c>
      <c r="J9" s="108"/>
      <c r="K9" s="11" t="s">
        <v>5101</v>
      </c>
      <c r="X9" s="135"/>
    </row>
    <row r="10" ht="12.5" spans="1:11">
      <c r="A10" s="130">
        <v>45083</v>
      </c>
      <c r="B10" s="11">
        <v>228</v>
      </c>
      <c r="C10" s="11">
        <v>112</v>
      </c>
      <c r="D10" s="11">
        <v>12</v>
      </c>
      <c r="E10" s="11">
        <v>9</v>
      </c>
      <c r="F10" s="11">
        <v>4</v>
      </c>
      <c r="G10" s="11">
        <v>2</v>
      </c>
      <c r="H10" s="11">
        <v>0</v>
      </c>
      <c r="I10" s="11">
        <v>0</v>
      </c>
      <c r="J10" s="108" t="s">
        <v>5103</v>
      </c>
      <c r="K10" s="11" t="s">
        <v>5101</v>
      </c>
    </row>
    <row r="11" ht="12.5" spans="1:23">
      <c r="A11" s="130">
        <v>45084</v>
      </c>
      <c r="B11" s="11">
        <v>76</v>
      </c>
      <c r="C11" s="11">
        <v>14</v>
      </c>
      <c r="D11" s="11">
        <v>7</v>
      </c>
      <c r="E11" s="11">
        <v>7</v>
      </c>
      <c r="F11" s="11">
        <v>6</v>
      </c>
      <c r="G11" s="11">
        <v>4</v>
      </c>
      <c r="H11" s="11">
        <v>1</v>
      </c>
      <c r="I11" s="11">
        <v>0</v>
      </c>
      <c r="J11" s="134">
        <v>0.814583333333333</v>
      </c>
      <c r="K11" s="11" t="s">
        <v>5101</v>
      </c>
      <c r="W11" s="135"/>
    </row>
    <row r="12" ht="12.5" spans="1:11">
      <c r="A12" s="130">
        <v>45085</v>
      </c>
      <c r="B12" s="11">
        <v>114</v>
      </c>
      <c r="C12" s="11">
        <v>32</v>
      </c>
      <c r="D12" s="11">
        <v>8</v>
      </c>
      <c r="E12" s="11">
        <v>8</v>
      </c>
      <c r="F12" s="11">
        <v>3</v>
      </c>
      <c r="G12" s="11">
        <v>1</v>
      </c>
      <c r="H12" s="11">
        <v>0</v>
      </c>
      <c r="I12" s="11">
        <v>0</v>
      </c>
      <c r="J12" s="134">
        <v>0.845833333333333</v>
      </c>
      <c r="K12" s="18" t="s">
        <v>5104</v>
      </c>
    </row>
    <row r="13" ht="12.5" spans="1:11">
      <c r="A13" s="130">
        <v>45086</v>
      </c>
      <c r="B13" s="11">
        <v>81</v>
      </c>
      <c r="C13" s="11">
        <v>23</v>
      </c>
      <c r="D13" s="11">
        <v>10</v>
      </c>
      <c r="E13" s="11">
        <v>10</v>
      </c>
      <c r="F13" s="11">
        <v>3</v>
      </c>
      <c r="G13" s="11">
        <v>6</v>
      </c>
      <c r="H13" s="11">
        <v>0</v>
      </c>
      <c r="I13" s="11">
        <v>0</v>
      </c>
      <c r="J13" s="134">
        <v>0.848611111111111</v>
      </c>
      <c r="K13" s="11" t="s">
        <v>5105</v>
      </c>
    </row>
    <row r="14" ht="12.5" spans="1:25">
      <c r="A14" s="130">
        <v>45087</v>
      </c>
      <c r="B14" s="11">
        <v>39</v>
      </c>
      <c r="C14" s="11">
        <v>10</v>
      </c>
      <c r="D14" s="11">
        <v>11</v>
      </c>
      <c r="E14" s="11">
        <v>11</v>
      </c>
      <c r="F14" s="11">
        <v>8</v>
      </c>
      <c r="G14" s="11">
        <v>4</v>
      </c>
      <c r="H14" s="11">
        <v>0</v>
      </c>
      <c r="I14" s="11">
        <v>1</v>
      </c>
      <c r="J14" s="134">
        <v>0.791666666666667</v>
      </c>
      <c r="K14" s="11" t="s">
        <v>5106</v>
      </c>
      <c r="Y14" s="135"/>
    </row>
    <row r="15" ht="12.5" spans="1:11">
      <c r="A15" s="130">
        <v>45088</v>
      </c>
      <c r="B15" s="11">
        <v>41</v>
      </c>
      <c r="C15" s="11">
        <v>8</v>
      </c>
      <c r="D15" s="11">
        <v>5</v>
      </c>
      <c r="E15" s="11">
        <v>4</v>
      </c>
      <c r="F15" s="11">
        <v>6</v>
      </c>
      <c r="G15" s="11">
        <v>2</v>
      </c>
      <c r="H15" s="11">
        <v>0</v>
      </c>
      <c r="I15" s="11">
        <v>0</v>
      </c>
      <c r="J15" s="134"/>
      <c r="K15" s="11" t="s">
        <v>5107</v>
      </c>
    </row>
    <row r="16" ht="12.5" spans="1:11">
      <c r="A16" s="130">
        <v>45089</v>
      </c>
      <c r="B16" s="11">
        <v>44</v>
      </c>
      <c r="C16" s="11">
        <v>13</v>
      </c>
      <c r="D16" s="11">
        <v>6</v>
      </c>
      <c r="E16" s="11">
        <v>5</v>
      </c>
      <c r="F16" s="11">
        <v>4</v>
      </c>
      <c r="G16" s="11">
        <v>5</v>
      </c>
      <c r="H16" s="11">
        <v>0</v>
      </c>
      <c r="I16" s="11">
        <v>0</v>
      </c>
      <c r="J16" s="134">
        <v>0.708333333333333</v>
      </c>
      <c r="K16" s="11" t="s">
        <v>5108</v>
      </c>
    </row>
    <row r="17" ht="12.5" spans="1:11">
      <c r="A17" s="130">
        <v>45090</v>
      </c>
      <c r="B17" s="11">
        <v>53</v>
      </c>
      <c r="C17" s="11">
        <v>20</v>
      </c>
      <c r="D17" s="11">
        <v>10</v>
      </c>
      <c r="E17" s="11">
        <v>9</v>
      </c>
      <c r="F17" s="11">
        <v>2</v>
      </c>
      <c r="G17" s="11">
        <v>2</v>
      </c>
      <c r="H17" s="11">
        <v>1</v>
      </c>
      <c r="I17" s="11">
        <v>0</v>
      </c>
      <c r="J17" s="134">
        <v>0.336805555555556</v>
      </c>
      <c r="K17" s="11" t="s">
        <v>5101</v>
      </c>
    </row>
    <row r="18" ht="12.5" spans="1:11">
      <c r="A18" s="130">
        <v>45091</v>
      </c>
      <c r="B18" s="11">
        <v>58</v>
      </c>
      <c r="C18" s="11">
        <v>21</v>
      </c>
      <c r="D18" s="11">
        <v>10</v>
      </c>
      <c r="E18" s="11">
        <v>7</v>
      </c>
      <c r="F18" s="11">
        <v>5</v>
      </c>
      <c r="G18" s="11">
        <v>4</v>
      </c>
      <c r="H18" s="11">
        <v>0</v>
      </c>
      <c r="I18" s="11">
        <v>1</v>
      </c>
      <c r="J18" s="134">
        <v>0.3875</v>
      </c>
      <c r="K18" s="11" t="s">
        <v>5101</v>
      </c>
    </row>
    <row r="19" ht="12.5" spans="1:11">
      <c r="A19" s="130">
        <v>45092</v>
      </c>
      <c r="B19" s="11">
        <v>43</v>
      </c>
      <c r="C19" s="11">
        <v>9</v>
      </c>
      <c r="D19" s="11">
        <v>1</v>
      </c>
      <c r="E19" s="11">
        <v>1</v>
      </c>
      <c r="F19" s="11">
        <v>3</v>
      </c>
      <c r="G19" s="11">
        <v>4</v>
      </c>
      <c r="H19" s="11">
        <v>1</v>
      </c>
      <c r="I19" s="11">
        <v>0</v>
      </c>
      <c r="J19" s="134">
        <v>0.363194444444444</v>
      </c>
      <c r="K19" s="11" t="s">
        <v>5101</v>
      </c>
    </row>
    <row r="20" ht="12.5" spans="1:11">
      <c r="A20" s="130">
        <v>45093</v>
      </c>
      <c r="B20" s="11">
        <v>90</v>
      </c>
      <c r="C20" s="11">
        <v>11</v>
      </c>
      <c r="D20" s="11">
        <v>6</v>
      </c>
      <c r="E20" s="11">
        <v>6</v>
      </c>
      <c r="F20" s="11">
        <v>2</v>
      </c>
      <c r="G20" s="11">
        <v>3</v>
      </c>
      <c r="H20" s="11">
        <v>0</v>
      </c>
      <c r="I20" s="11">
        <v>0</v>
      </c>
      <c r="J20" s="134">
        <v>0.314583333333333</v>
      </c>
      <c r="K20" s="11" t="s">
        <v>5101</v>
      </c>
    </row>
    <row r="21" ht="12.5" spans="1:11">
      <c r="A21" s="130">
        <v>45094</v>
      </c>
      <c r="B21" s="11">
        <v>34</v>
      </c>
      <c r="C21" s="11">
        <v>11</v>
      </c>
      <c r="D21" s="11">
        <v>1</v>
      </c>
      <c r="E21" s="11">
        <v>1</v>
      </c>
      <c r="F21" s="11">
        <v>2</v>
      </c>
      <c r="G21" s="11">
        <v>2</v>
      </c>
      <c r="H21" s="11">
        <v>0</v>
      </c>
      <c r="I21" s="11">
        <v>0</v>
      </c>
      <c r="J21" s="134">
        <v>0.314583333333333</v>
      </c>
      <c r="K21" s="11" t="s">
        <v>5109</v>
      </c>
    </row>
    <row r="22" ht="12.5" spans="1:11">
      <c r="A22" s="130">
        <v>45095</v>
      </c>
      <c r="B22" s="11">
        <v>9</v>
      </c>
      <c r="C22" s="11">
        <v>0</v>
      </c>
      <c r="D22" s="11">
        <v>3</v>
      </c>
      <c r="E22" s="11">
        <v>2</v>
      </c>
      <c r="F22" s="11">
        <v>0</v>
      </c>
      <c r="G22" s="11">
        <v>1</v>
      </c>
      <c r="H22" s="11">
        <v>0</v>
      </c>
      <c r="I22" s="11">
        <v>0</v>
      </c>
      <c r="J22" s="134">
        <v>0.75</v>
      </c>
      <c r="K22" s="11" t="s">
        <v>5110</v>
      </c>
    </row>
    <row r="23" ht="12.5" spans="1:11">
      <c r="A23" s="130">
        <v>45096</v>
      </c>
      <c r="B23" s="11">
        <v>64</v>
      </c>
      <c r="C23" s="11">
        <v>12</v>
      </c>
      <c r="D23" s="11">
        <v>11</v>
      </c>
      <c r="E23" s="11">
        <v>9</v>
      </c>
      <c r="F23" s="11">
        <v>4</v>
      </c>
      <c r="G23" s="11">
        <v>0</v>
      </c>
      <c r="H23" s="11">
        <v>3</v>
      </c>
      <c r="I23" s="11">
        <v>0</v>
      </c>
      <c r="J23" s="134">
        <v>0.378472222222222</v>
      </c>
      <c r="K23" s="11" t="s">
        <v>5111</v>
      </c>
    </row>
    <row r="24" ht="12.5" spans="1:11">
      <c r="A24" s="130">
        <v>45097</v>
      </c>
      <c r="B24" s="11">
        <v>40</v>
      </c>
      <c r="C24" s="11">
        <v>10</v>
      </c>
      <c r="D24" s="11">
        <v>4</v>
      </c>
      <c r="E24" s="11">
        <v>4</v>
      </c>
      <c r="F24" s="11">
        <v>2</v>
      </c>
      <c r="G24" s="11">
        <v>1</v>
      </c>
      <c r="H24" s="11">
        <v>3</v>
      </c>
      <c r="I24" s="11">
        <v>0</v>
      </c>
      <c r="J24" s="134">
        <v>0.319444444444444</v>
      </c>
      <c r="K24" s="11" t="s">
        <v>5112</v>
      </c>
    </row>
    <row r="25" ht="12.5" spans="1:11">
      <c r="A25" s="130">
        <v>45098</v>
      </c>
      <c r="B25" s="11">
        <v>42</v>
      </c>
      <c r="C25" s="11">
        <v>16</v>
      </c>
      <c r="D25" s="11">
        <v>3</v>
      </c>
      <c r="E25" s="11">
        <v>3</v>
      </c>
      <c r="F25" s="11">
        <v>2</v>
      </c>
      <c r="G25" s="11">
        <v>2</v>
      </c>
      <c r="H25" s="11">
        <v>0</v>
      </c>
      <c r="I25" s="11">
        <v>0</v>
      </c>
      <c r="J25" s="134">
        <v>0.625</v>
      </c>
      <c r="K25" s="11" t="s">
        <v>5113</v>
      </c>
    </row>
    <row r="26" ht="12.5" spans="1:11">
      <c r="A26" s="130">
        <v>45099</v>
      </c>
      <c r="B26" s="11">
        <v>43</v>
      </c>
      <c r="C26" s="11">
        <v>7</v>
      </c>
      <c r="D26" s="11">
        <v>6</v>
      </c>
      <c r="E26" s="11">
        <v>6</v>
      </c>
      <c r="F26" s="11">
        <v>3</v>
      </c>
      <c r="G26" s="11">
        <v>3</v>
      </c>
      <c r="H26" s="11">
        <v>0</v>
      </c>
      <c r="I26" s="11">
        <v>1</v>
      </c>
      <c r="J26" s="134">
        <v>0.314583333333333</v>
      </c>
      <c r="K26" s="11" t="s">
        <v>5114</v>
      </c>
    </row>
    <row r="27" ht="12.5" spans="1:11">
      <c r="A27" s="130">
        <v>45100</v>
      </c>
      <c r="B27" s="11">
        <v>14</v>
      </c>
      <c r="C27" s="11">
        <v>2</v>
      </c>
      <c r="D27" s="11">
        <v>4</v>
      </c>
      <c r="E27" s="11">
        <v>2</v>
      </c>
      <c r="F27" s="11">
        <v>1</v>
      </c>
      <c r="G27" s="11">
        <v>3</v>
      </c>
      <c r="H27" s="11">
        <v>0</v>
      </c>
      <c r="I27" s="11">
        <v>0</v>
      </c>
      <c r="J27" s="134">
        <v>0.320833333333333</v>
      </c>
      <c r="K27" s="11" t="s">
        <v>5115</v>
      </c>
    </row>
    <row r="28" ht="12.5" spans="1:11">
      <c r="A28" s="130">
        <v>45101</v>
      </c>
      <c r="B28" s="11">
        <v>11</v>
      </c>
      <c r="C28" s="11">
        <v>5</v>
      </c>
      <c r="D28" s="11">
        <v>2</v>
      </c>
      <c r="E28" s="11">
        <v>2</v>
      </c>
      <c r="F28" s="11">
        <v>0</v>
      </c>
      <c r="G28" s="11">
        <v>0</v>
      </c>
      <c r="H28" s="11">
        <v>0</v>
      </c>
      <c r="I28" s="11">
        <v>0</v>
      </c>
      <c r="J28" s="134">
        <v>0.331944444444444</v>
      </c>
      <c r="K28" s="11" t="s">
        <v>5116</v>
      </c>
    </row>
    <row r="29" ht="12.5" spans="1:11">
      <c r="A29" s="130">
        <v>45102</v>
      </c>
      <c r="B29" s="11">
        <v>19</v>
      </c>
      <c r="C29" s="11">
        <v>5</v>
      </c>
      <c r="D29" s="11">
        <v>1</v>
      </c>
      <c r="E29" s="11">
        <v>1</v>
      </c>
      <c r="F29" s="11">
        <v>2</v>
      </c>
      <c r="G29" s="11">
        <v>0</v>
      </c>
      <c r="H29" s="11">
        <v>0</v>
      </c>
      <c r="I29" s="11">
        <v>0</v>
      </c>
      <c r="J29" s="134">
        <v>0.33125</v>
      </c>
      <c r="K29" s="11" t="s">
        <v>5117</v>
      </c>
    </row>
    <row r="30" ht="12.5" spans="1:11">
      <c r="A30" s="130">
        <v>45103</v>
      </c>
      <c r="B30" s="11">
        <v>41</v>
      </c>
      <c r="C30" s="11">
        <v>17</v>
      </c>
      <c r="D30" s="11">
        <v>5</v>
      </c>
      <c r="E30" s="11">
        <v>3</v>
      </c>
      <c r="F30" s="11">
        <v>1</v>
      </c>
      <c r="G30" s="11">
        <v>3</v>
      </c>
      <c r="H30" s="11">
        <v>0</v>
      </c>
      <c r="I30" s="11">
        <v>0</v>
      </c>
      <c r="J30" s="134">
        <v>0.499305555555556</v>
      </c>
      <c r="K30" s="11" t="s">
        <v>5118</v>
      </c>
    </row>
    <row r="31" ht="12.5" spans="1:11">
      <c r="A31" s="130">
        <v>45104</v>
      </c>
      <c r="B31" s="11">
        <v>32</v>
      </c>
      <c r="C31" s="11">
        <v>7</v>
      </c>
      <c r="D31" s="11">
        <v>3</v>
      </c>
      <c r="E31" s="11">
        <v>3</v>
      </c>
      <c r="F31" s="11">
        <v>1</v>
      </c>
      <c r="G31" s="11">
        <v>2</v>
      </c>
      <c r="H31" s="11">
        <v>1</v>
      </c>
      <c r="I31" s="11">
        <v>0</v>
      </c>
      <c r="J31" s="134">
        <v>0.656944444444444</v>
      </c>
      <c r="K31" s="11" t="s">
        <v>5119</v>
      </c>
    </row>
    <row r="32" ht="12.5" spans="1:11">
      <c r="A32" s="130">
        <v>45105</v>
      </c>
      <c r="B32" s="11">
        <v>30</v>
      </c>
      <c r="C32" s="11">
        <v>6</v>
      </c>
      <c r="D32" s="11">
        <v>3</v>
      </c>
      <c r="E32" s="11">
        <v>3</v>
      </c>
      <c r="F32" s="11">
        <v>1</v>
      </c>
      <c r="G32" s="11">
        <v>2</v>
      </c>
      <c r="H32" s="11">
        <v>0</v>
      </c>
      <c r="I32" s="11">
        <v>0</v>
      </c>
      <c r="J32" s="134">
        <v>0.347222222222222</v>
      </c>
      <c r="K32" s="11" t="s">
        <v>5120</v>
      </c>
    </row>
    <row r="33" ht="12.5" spans="1:11">
      <c r="A33" s="130">
        <v>45106</v>
      </c>
      <c r="B33" s="11">
        <v>36</v>
      </c>
      <c r="C33" s="11">
        <v>6</v>
      </c>
      <c r="D33" s="11">
        <v>5</v>
      </c>
      <c r="E33" s="11">
        <v>3</v>
      </c>
      <c r="F33" s="11">
        <v>4</v>
      </c>
      <c r="G33" s="11">
        <v>0</v>
      </c>
      <c r="H33" s="11">
        <v>0</v>
      </c>
      <c r="I33" s="11">
        <v>0</v>
      </c>
      <c r="J33" s="134">
        <v>0.341666666666667</v>
      </c>
      <c r="K33" s="11" t="s">
        <v>5121</v>
      </c>
    </row>
    <row r="34" ht="12.5" spans="1:11">
      <c r="A34" s="130">
        <v>45107</v>
      </c>
      <c r="B34" s="11">
        <v>32</v>
      </c>
      <c r="C34" s="11">
        <v>6</v>
      </c>
      <c r="D34" s="11">
        <v>2</v>
      </c>
      <c r="E34" s="11">
        <v>1</v>
      </c>
      <c r="F34" s="11">
        <v>6</v>
      </c>
      <c r="G34" s="11">
        <v>1</v>
      </c>
      <c r="H34" s="11">
        <v>0</v>
      </c>
      <c r="I34" s="11">
        <v>1</v>
      </c>
      <c r="J34" s="134">
        <v>0.692361111111111</v>
      </c>
      <c r="K34" s="11" t="s">
        <v>5122</v>
      </c>
    </row>
    <row r="35" ht="12.5" spans="1:11">
      <c r="A35" s="129">
        <v>45108</v>
      </c>
      <c r="B35" s="11">
        <v>12</v>
      </c>
      <c r="C35" s="11">
        <v>2</v>
      </c>
      <c r="D35" s="11">
        <v>3</v>
      </c>
      <c r="E35" s="11">
        <v>3</v>
      </c>
      <c r="F35" s="11">
        <v>0</v>
      </c>
      <c r="G35" s="11">
        <v>3</v>
      </c>
      <c r="H35" s="11">
        <v>0</v>
      </c>
      <c r="I35" s="11">
        <v>0</v>
      </c>
      <c r="J35" s="134">
        <v>0.319444444444444</v>
      </c>
      <c r="K35" s="11" t="s">
        <v>5123</v>
      </c>
    </row>
    <row r="36" ht="12.5" spans="1:11">
      <c r="A36" s="129">
        <v>45109</v>
      </c>
      <c r="B36" s="11">
        <v>15</v>
      </c>
      <c r="C36" s="11">
        <v>3</v>
      </c>
      <c r="D36" s="11">
        <v>1</v>
      </c>
      <c r="E36" s="11">
        <v>1</v>
      </c>
      <c r="F36" s="11">
        <v>2</v>
      </c>
      <c r="G36" s="11">
        <v>1</v>
      </c>
      <c r="H36" s="11">
        <v>0</v>
      </c>
      <c r="I36" s="11">
        <v>0</v>
      </c>
      <c r="J36" s="134">
        <v>0.322916666666667</v>
      </c>
      <c r="K36" s="11" t="s">
        <v>5124</v>
      </c>
    </row>
    <row r="37" ht="12.5" spans="1:11">
      <c r="A37" s="129">
        <v>45110</v>
      </c>
      <c r="B37" s="11">
        <v>33</v>
      </c>
      <c r="C37" s="11">
        <v>4</v>
      </c>
      <c r="D37" s="11">
        <v>3</v>
      </c>
      <c r="E37" s="11">
        <v>3</v>
      </c>
      <c r="F37" s="11">
        <v>0</v>
      </c>
      <c r="G37" s="11">
        <v>1</v>
      </c>
      <c r="H37" s="11">
        <v>1</v>
      </c>
      <c r="I37" s="11">
        <v>0</v>
      </c>
      <c r="J37" s="134">
        <v>0.347222222222222</v>
      </c>
      <c r="K37" s="11" t="s">
        <v>5125</v>
      </c>
    </row>
    <row r="38" ht="12.5" spans="1:11">
      <c r="A38" s="129">
        <v>45111</v>
      </c>
      <c r="B38" s="11">
        <v>23</v>
      </c>
      <c r="C38" s="11">
        <v>4</v>
      </c>
      <c r="D38" s="11">
        <v>5</v>
      </c>
      <c r="E38" s="11">
        <v>5</v>
      </c>
      <c r="F38" s="11">
        <v>2</v>
      </c>
      <c r="G38" s="11">
        <v>1</v>
      </c>
      <c r="H38" s="11">
        <v>0</v>
      </c>
      <c r="I38" s="11">
        <v>0</v>
      </c>
      <c r="J38" s="134">
        <v>0.572916666666667</v>
      </c>
      <c r="K38" s="11" t="s">
        <v>5126</v>
      </c>
    </row>
    <row r="39" ht="12.5" spans="1:11">
      <c r="A39" s="129">
        <v>45112</v>
      </c>
      <c r="B39" s="11">
        <v>38</v>
      </c>
      <c r="C39" s="11">
        <v>8</v>
      </c>
      <c r="D39" s="11">
        <v>7</v>
      </c>
      <c r="E39" s="11">
        <v>6</v>
      </c>
      <c r="F39" s="11">
        <v>2</v>
      </c>
      <c r="G39" s="11">
        <v>0</v>
      </c>
      <c r="H39" s="11">
        <v>1</v>
      </c>
      <c r="I39" s="11">
        <v>0</v>
      </c>
      <c r="J39" s="134">
        <v>0.342361111111111</v>
      </c>
      <c r="K39" s="11" t="s">
        <v>5127</v>
      </c>
    </row>
    <row r="40" ht="12.5" spans="1:11">
      <c r="A40" s="129">
        <v>45113</v>
      </c>
      <c r="B40" s="11">
        <v>22</v>
      </c>
      <c r="C40" s="11">
        <v>7</v>
      </c>
      <c r="D40" s="11">
        <v>4</v>
      </c>
      <c r="E40" s="11">
        <v>4</v>
      </c>
      <c r="F40" s="11">
        <v>2</v>
      </c>
      <c r="G40" s="11">
        <v>1</v>
      </c>
      <c r="H40" s="11">
        <v>0</v>
      </c>
      <c r="I40" s="11">
        <v>0</v>
      </c>
      <c r="J40" s="134">
        <v>0.625</v>
      </c>
      <c r="K40" s="11" t="s">
        <v>5128</v>
      </c>
    </row>
    <row r="41" ht="12.5" spans="1:11">
      <c r="A41" s="129">
        <v>45114</v>
      </c>
      <c r="B41" s="11">
        <v>14</v>
      </c>
      <c r="C41" s="11">
        <v>4</v>
      </c>
      <c r="D41" s="11">
        <v>1</v>
      </c>
      <c r="E41" s="11">
        <v>1</v>
      </c>
      <c r="F41" s="11">
        <v>2</v>
      </c>
      <c r="G41" s="11">
        <v>2</v>
      </c>
      <c r="H41" s="11">
        <v>0</v>
      </c>
      <c r="I41" s="11">
        <v>0</v>
      </c>
      <c r="J41" s="134">
        <v>0.411805555555556</v>
      </c>
      <c r="K41" s="11" t="s">
        <v>5129</v>
      </c>
    </row>
    <row r="42" ht="12.5" spans="1:11">
      <c r="A42" s="129">
        <v>45115</v>
      </c>
      <c r="B42" s="11">
        <v>13</v>
      </c>
      <c r="C42" s="11">
        <v>0</v>
      </c>
      <c r="D42" s="11">
        <v>2</v>
      </c>
      <c r="E42" s="11">
        <v>2</v>
      </c>
      <c r="F42" s="11">
        <v>2</v>
      </c>
      <c r="G42" s="11">
        <v>0</v>
      </c>
      <c r="H42" s="11">
        <v>0</v>
      </c>
      <c r="I42" s="11">
        <v>0</v>
      </c>
      <c r="J42" s="134">
        <v>0.430555555555556</v>
      </c>
      <c r="K42" s="11" t="s">
        <v>5130</v>
      </c>
    </row>
    <row r="43" ht="12.5" spans="1:11">
      <c r="A43" s="129">
        <v>45116</v>
      </c>
      <c r="B43" s="11">
        <v>13</v>
      </c>
      <c r="C43" s="11">
        <v>3</v>
      </c>
      <c r="D43" s="11">
        <v>0</v>
      </c>
      <c r="E43" s="11">
        <v>0</v>
      </c>
      <c r="F43" s="11">
        <v>1</v>
      </c>
      <c r="G43" s="11">
        <v>1</v>
      </c>
      <c r="H43" s="11">
        <v>0</v>
      </c>
      <c r="I43" s="11">
        <v>0</v>
      </c>
      <c r="J43" s="134">
        <v>0.443055555555556</v>
      </c>
      <c r="K43" s="11" t="s">
        <v>5130</v>
      </c>
    </row>
    <row r="44" ht="12.5" spans="1:11">
      <c r="A44" s="129">
        <v>45117</v>
      </c>
      <c r="B44" s="11">
        <v>39</v>
      </c>
      <c r="C44" s="11">
        <v>5</v>
      </c>
      <c r="D44" s="11">
        <v>4</v>
      </c>
      <c r="E44" s="11">
        <v>6</v>
      </c>
      <c r="F44" s="11">
        <v>0</v>
      </c>
      <c r="G44" s="11">
        <v>0</v>
      </c>
      <c r="H44" s="11">
        <v>2</v>
      </c>
      <c r="I44" s="11">
        <v>0</v>
      </c>
      <c r="J44" s="134">
        <v>0.349305555555556</v>
      </c>
      <c r="K44" s="11" t="s">
        <v>5131</v>
      </c>
    </row>
    <row r="45" ht="12.5" spans="1:11">
      <c r="A45" s="129">
        <v>45118</v>
      </c>
      <c r="B45" s="11">
        <v>29</v>
      </c>
      <c r="C45" s="11">
        <v>4</v>
      </c>
      <c r="D45" s="11">
        <v>4</v>
      </c>
      <c r="E45" s="11">
        <v>4</v>
      </c>
      <c r="F45" s="11">
        <v>4</v>
      </c>
      <c r="G45" s="11">
        <v>0</v>
      </c>
      <c r="H45" s="11">
        <v>0</v>
      </c>
      <c r="I45" s="11">
        <v>0</v>
      </c>
      <c r="J45" s="134">
        <v>0.595138888888889</v>
      </c>
      <c r="K45" s="11" t="s">
        <v>5132</v>
      </c>
    </row>
    <row r="46" ht="12.5" spans="1:11">
      <c r="A46" s="129">
        <v>45119</v>
      </c>
      <c r="B46" s="11">
        <v>34</v>
      </c>
      <c r="C46" s="11">
        <v>7</v>
      </c>
      <c r="D46" s="11">
        <v>2</v>
      </c>
      <c r="E46" s="11">
        <v>2</v>
      </c>
      <c r="F46" s="11">
        <v>3</v>
      </c>
      <c r="G46" s="11">
        <v>0</v>
      </c>
      <c r="H46" s="11">
        <v>0</v>
      </c>
      <c r="I46" s="11">
        <v>1</v>
      </c>
      <c r="J46" s="134">
        <v>0.414583333333333</v>
      </c>
      <c r="K46" s="11" t="s">
        <v>5133</v>
      </c>
    </row>
    <row r="47" ht="12.5" spans="1:11">
      <c r="A47" s="129">
        <v>45120</v>
      </c>
      <c r="B47" s="11">
        <v>35</v>
      </c>
      <c r="C47" s="11">
        <v>11</v>
      </c>
      <c r="D47" s="11">
        <v>5</v>
      </c>
      <c r="E47" s="11">
        <v>6</v>
      </c>
      <c r="F47" s="11">
        <v>3</v>
      </c>
      <c r="G47" s="11">
        <v>1</v>
      </c>
      <c r="H47" s="11">
        <v>1</v>
      </c>
      <c r="I47" s="11">
        <v>0</v>
      </c>
      <c r="J47" s="134">
        <v>0.44375</v>
      </c>
      <c r="K47" s="11" t="s">
        <v>5134</v>
      </c>
    </row>
    <row r="48" ht="12.5" spans="1:11">
      <c r="A48" s="129">
        <v>45121</v>
      </c>
      <c r="B48" s="11">
        <v>27</v>
      </c>
      <c r="C48" s="11">
        <v>6</v>
      </c>
      <c r="D48" s="11">
        <v>2</v>
      </c>
      <c r="E48" s="11">
        <v>2</v>
      </c>
      <c r="F48" s="11">
        <v>2</v>
      </c>
      <c r="G48" s="11">
        <v>1</v>
      </c>
      <c r="H48" s="11">
        <v>0</v>
      </c>
      <c r="I48" s="11">
        <v>1</v>
      </c>
      <c r="J48" s="134">
        <v>0.380555555555556</v>
      </c>
      <c r="K48" s="11" t="s">
        <v>5135</v>
      </c>
    </row>
    <row r="49" ht="12.5" spans="1:11">
      <c r="A49" s="129">
        <v>45122</v>
      </c>
      <c r="B49" s="11">
        <v>12</v>
      </c>
      <c r="C49" s="11">
        <v>0</v>
      </c>
      <c r="D49" s="11">
        <v>3</v>
      </c>
      <c r="E49" s="11">
        <v>2</v>
      </c>
      <c r="F49" s="11">
        <v>2</v>
      </c>
      <c r="G49" s="11">
        <v>3</v>
      </c>
      <c r="H49" s="11">
        <v>0</v>
      </c>
      <c r="I49" s="11">
        <v>0</v>
      </c>
      <c r="J49" s="134">
        <v>0.386111111111111</v>
      </c>
      <c r="K49" s="11" t="s">
        <v>5136</v>
      </c>
    </row>
    <row r="50" ht="12.5" spans="1:11">
      <c r="A50" s="129">
        <v>45123</v>
      </c>
      <c r="B50" s="11">
        <v>15</v>
      </c>
      <c r="C50" s="11">
        <v>2</v>
      </c>
      <c r="D50" s="11">
        <v>3</v>
      </c>
      <c r="E50" s="11">
        <v>3</v>
      </c>
      <c r="F50" s="11">
        <v>2</v>
      </c>
      <c r="G50" s="11">
        <v>1</v>
      </c>
      <c r="H50" s="11">
        <v>0</v>
      </c>
      <c r="I50" s="11">
        <v>0</v>
      </c>
      <c r="J50" s="134">
        <v>0.45</v>
      </c>
      <c r="K50" s="11" t="s">
        <v>5136</v>
      </c>
    </row>
    <row r="51" ht="12.5" spans="1:11">
      <c r="A51" s="131">
        <v>45124</v>
      </c>
      <c r="B51" s="11">
        <v>34</v>
      </c>
      <c r="C51" s="11">
        <v>13</v>
      </c>
      <c r="D51" s="11">
        <v>2</v>
      </c>
      <c r="E51" s="11">
        <v>2</v>
      </c>
      <c r="F51" s="11">
        <v>1</v>
      </c>
      <c r="G51" s="11">
        <v>2</v>
      </c>
      <c r="H51" s="11">
        <v>0</v>
      </c>
      <c r="I51" s="11">
        <v>0</v>
      </c>
      <c r="J51" s="134">
        <v>0.329166666666667</v>
      </c>
      <c r="K51" s="11" t="s">
        <v>5137</v>
      </c>
    </row>
    <row r="52" ht="12.5" spans="1:11">
      <c r="A52" s="131">
        <v>45125</v>
      </c>
      <c r="B52" s="11">
        <v>33</v>
      </c>
      <c r="C52" s="11">
        <v>7</v>
      </c>
      <c r="D52" s="11">
        <v>4</v>
      </c>
      <c r="E52" s="11">
        <v>3</v>
      </c>
      <c r="F52" s="11">
        <v>1</v>
      </c>
      <c r="G52" s="11">
        <v>1</v>
      </c>
      <c r="H52" s="11">
        <v>0</v>
      </c>
      <c r="I52" s="11">
        <v>1</v>
      </c>
      <c r="J52" s="134">
        <v>0.389583333333333</v>
      </c>
      <c r="K52" s="11" t="s">
        <v>5138</v>
      </c>
    </row>
    <row r="53" ht="12.5" spans="1:11">
      <c r="A53" s="129">
        <v>45126</v>
      </c>
      <c r="B53" s="11">
        <v>35</v>
      </c>
      <c r="C53" s="11">
        <v>5</v>
      </c>
      <c r="D53" s="11">
        <v>4</v>
      </c>
      <c r="E53" s="11">
        <v>4</v>
      </c>
      <c r="F53" s="11">
        <v>1</v>
      </c>
      <c r="G53" s="11">
        <v>1</v>
      </c>
      <c r="H53" s="11">
        <v>0</v>
      </c>
      <c r="I53" s="11">
        <v>0</v>
      </c>
      <c r="J53" s="134">
        <v>0.331944444444444</v>
      </c>
      <c r="K53" s="11" t="s">
        <v>5139</v>
      </c>
    </row>
    <row r="54" ht="12.5" spans="1:11">
      <c r="A54" s="129">
        <v>45127</v>
      </c>
      <c r="B54" s="11">
        <v>21</v>
      </c>
      <c r="C54" s="11">
        <v>10</v>
      </c>
      <c r="D54" s="11">
        <v>1</v>
      </c>
      <c r="E54" s="11">
        <v>1</v>
      </c>
      <c r="F54" s="11">
        <v>1</v>
      </c>
      <c r="G54" s="11">
        <v>1</v>
      </c>
      <c r="H54" s="11">
        <v>0</v>
      </c>
      <c r="I54" s="11">
        <v>0</v>
      </c>
      <c r="J54" s="134">
        <v>0.306944444444444</v>
      </c>
      <c r="K54" s="11" t="s">
        <v>5140</v>
      </c>
    </row>
    <row r="55" ht="12.5" spans="1:11">
      <c r="A55" s="129">
        <v>45128</v>
      </c>
      <c r="B55" s="11">
        <v>16</v>
      </c>
      <c r="C55" s="11">
        <v>6</v>
      </c>
      <c r="D55" s="11">
        <v>1</v>
      </c>
      <c r="E55" s="11">
        <v>1</v>
      </c>
      <c r="F55" s="11">
        <v>1</v>
      </c>
      <c r="G55" s="11">
        <v>1</v>
      </c>
      <c r="H55" s="11">
        <v>1</v>
      </c>
      <c r="I55" s="11">
        <v>0</v>
      </c>
      <c r="J55" s="134">
        <v>0.317361111111111</v>
      </c>
      <c r="K55" s="11" t="s">
        <v>5141</v>
      </c>
    </row>
    <row r="56" ht="12.5" spans="1:11">
      <c r="A56" s="129">
        <v>45129</v>
      </c>
      <c r="B56" s="11">
        <v>9</v>
      </c>
      <c r="C56" s="11">
        <v>3</v>
      </c>
      <c r="D56" s="11">
        <v>3</v>
      </c>
      <c r="E56" s="11">
        <v>3</v>
      </c>
      <c r="F56" s="11">
        <v>2</v>
      </c>
      <c r="G56" s="11">
        <v>0</v>
      </c>
      <c r="H56" s="11">
        <v>0</v>
      </c>
      <c r="I56" s="11">
        <v>0</v>
      </c>
      <c r="J56" s="134">
        <v>0.657638888888889</v>
      </c>
      <c r="K56" s="11" t="s">
        <v>5142</v>
      </c>
    </row>
    <row r="57" ht="12.5" spans="1:11">
      <c r="A57" s="129">
        <v>45130</v>
      </c>
      <c r="B57" s="11">
        <v>10</v>
      </c>
      <c r="C57" s="11">
        <v>6</v>
      </c>
      <c r="D57" s="11">
        <v>0</v>
      </c>
      <c r="E57" s="11">
        <v>0</v>
      </c>
      <c r="F57" s="11">
        <v>2</v>
      </c>
      <c r="G57" s="11">
        <v>1</v>
      </c>
      <c r="H57" s="11">
        <v>0</v>
      </c>
      <c r="I57" s="11">
        <v>0</v>
      </c>
      <c r="J57" s="134">
        <v>0.657638888888889</v>
      </c>
      <c r="K57" s="11" t="s">
        <v>5142</v>
      </c>
    </row>
    <row r="58" ht="12.5" spans="1:11">
      <c r="A58" s="129">
        <v>45131</v>
      </c>
      <c r="B58" s="11">
        <v>26</v>
      </c>
      <c r="C58" s="11">
        <v>6</v>
      </c>
      <c r="D58" s="11">
        <v>1</v>
      </c>
      <c r="E58" s="11">
        <v>1</v>
      </c>
      <c r="F58" s="11">
        <v>0</v>
      </c>
      <c r="G58" s="11">
        <v>0</v>
      </c>
      <c r="H58" s="11">
        <v>0</v>
      </c>
      <c r="I58" s="11">
        <v>0</v>
      </c>
      <c r="J58" s="134">
        <v>0.352083333333333</v>
      </c>
      <c r="K58" s="11" t="s">
        <v>5143</v>
      </c>
    </row>
    <row r="59" ht="12.5" spans="1:11">
      <c r="A59" s="129">
        <v>45132</v>
      </c>
      <c r="B59" s="11">
        <v>45</v>
      </c>
      <c r="C59" s="11">
        <v>13</v>
      </c>
      <c r="D59" s="11">
        <v>2</v>
      </c>
      <c r="E59" s="11">
        <v>3</v>
      </c>
      <c r="F59" s="11">
        <v>0</v>
      </c>
      <c r="G59" s="11">
        <v>0</v>
      </c>
      <c r="H59" s="11">
        <v>1</v>
      </c>
      <c r="I59" s="11">
        <v>0</v>
      </c>
      <c r="J59" s="134">
        <v>0.334722222222222</v>
      </c>
      <c r="K59" s="11" t="s">
        <v>5144</v>
      </c>
    </row>
    <row r="60" ht="12.5" spans="1:11">
      <c r="A60" s="129">
        <v>45133</v>
      </c>
      <c r="B60" s="11">
        <v>34</v>
      </c>
      <c r="C60" s="11">
        <v>9</v>
      </c>
      <c r="D60" s="11">
        <v>4</v>
      </c>
      <c r="E60" s="11">
        <v>4</v>
      </c>
      <c r="F60" s="11">
        <v>2</v>
      </c>
      <c r="G60" s="11">
        <v>0</v>
      </c>
      <c r="H60" s="11">
        <v>1</v>
      </c>
      <c r="I60" s="11">
        <v>0</v>
      </c>
      <c r="J60" s="134">
        <v>0.335416666666667</v>
      </c>
      <c r="K60" s="105" t="s">
        <v>5145</v>
      </c>
    </row>
    <row r="61" ht="12.5" spans="1:11">
      <c r="A61" s="129">
        <v>45134</v>
      </c>
      <c r="B61" s="11">
        <v>34</v>
      </c>
      <c r="C61" s="11">
        <v>10</v>
      </c>
      <c r="D61" s="11">
        <v>2</v>
      </c>
      <c r="E61" s="11">
        <v>1</v>
      </c>
      <c r="F61" s="11">
        <v>3</v>
      </c>
      <c r="G61" s="11">
        <v>0</v>
      </c>
      <c r="H61" s="11">
        <v>0</v>
      </c>
      <c r="I61" s="11">
        <v>0</v>
      </c>
      <c r="J61" s="134">
        <v>0.329166666666667</v>
      </c>
      <c r="K61" s="11" t="s">
        <v>5146</v>
      </c>
    </row>
    <row r="62" ht="12.5" spans="1:11">
      <c r="A62" s="129">
        <v>45135</v>
      </c>
      <c r="B62" s="11">
        <v>25</v>
      </c>
      <c r="C62" s="11">
        <v>5</v>
      </c>
      <c r="D62" s="11">
        <v>2</v>
      </c>
      <c r="E62" s="11">
        <v>2</v>
      </c>
      <c r="F62" s="11">
        <v>0</v>
      </c>
      <c r="G62" s="11">
        <v>0</v>
      </c>
      <c r="H62" s="11">
        <v>0</v>
      </c>
      <c r="I62" s="11">
        <v>0</v>
      </c>
      <c r="J62" s="134">
        <v>0.35</v>
      </c>
      <c r="K62" s="11" t="s">
        <v>5147</v>
      </c>
    </row>
    <row r="63" ht="12.5" spans="1:11">
      <c r="A63" s="129">
        <v>45136</v>
      </c>
      <c r="B63" s="11">
        <v>8</v>
      </c>
      <c r="C63" s="11">
        <v>2</v>
      </c>
      <c r="D63" s="11">
        <v>2</v>
      </c>
      <c r="E63" s="11">
        <v>2</v>
      </c>
      <c r="F63" s="11">
        <v>1</v>
      </c>
      <c r="G63" s="11">
        <v>0</v>
      </c>
      <c r="H63" s="11">
        <v>0</v>
      </c>
      <c r="I63" s="11">
        <v>0</v>
      </c>
      <c r="J63" s="134">
        <v>0.353472222222222</v>
      </c>
      <c r="K63" s="11" t="s">
        <v>5147</v>
      </c>
    </row>
    <row r="64" ht="12.5" spans="1:11">
      <c r="A64" s="129">
        <v>45137</v>
      </c>
      <c r="B64" s="11">
        <v>5</v>
      </c>
      <c r="C64" s="11">
        <v>2</v>
      </c>
      <c r="D64" s="11">
        <v>0</v>
      </c>
      <c r="E64" s="11">
        <v>0</v>
      </c>
      <c r="F64" s="11">
        <v>0</v>
      </c>
      <c r="G64" s="11">
        <v>1</v>
      </c>
      <c r="H64" s="11">
        <v>0</v>
      </c>
      <c r="I64" s="11">
        <v>0</v>
      </c>
      <c r="J64" s="134">
        <v>0.329861111111111</v>
      </c>
      <c r="K64" s="11" t="s">
        <v>5148</v>
      </c>
    </row>
    <row r="65" ht="12.5" spans="1:11">
      <c r="A65" s="129">
        <v>45138</v>
      </c>
      <c r="B65" s="11">
        <v>26</v>
      </c>
      <c r="C65" s="11">
        <v>7</v>
      </c>
      <c r="D65" s="11">
        <v>2</v>
      </c>
      <c r="E65" s="11">
        <v>2</v>
      </c>
      <c r="F65" s="11">
        <v>1</v>
      </c>
      <c r="G65" s="11">
        <v>0</v>
      </c>
      <c r="H65" s="11">
        <v>1</v>
      </c>
      <c r="I65" s="11">
        <v>0</v>
      </c>
      <c r="J65" s="134">
        <v>0.463194444444444</v>
      </c>
      <c r="K65" s="11" t="s">
        <v>5149</v>
      </c>
    </row>
    <row r="66" ht="12.5" spans="1:11">
      <c r="A66" s="130">
        <v>45139</v>
      </c>
      <c r="B66" s="11">
        <v>40</v>
      </c>
      <c r="C66" s="11">
        <v>14</v>
      </c>
      <c r="D66" s="11">
        <v>4</v>
      </c>
      <c r="E66" s="11">
        <v>2</v>
      </c>
      <c r="F66" s="11">
        <v>1</v>
      </c>
      <c r="G66" s="11">
        <v>1</v>
      </c>
      <c r="H66" s="11">
        <v>0</v>
      </c>
      <c r="I66" s="11">
        <v>0</v>
      </c>
      <c r="J66" s="134">
        <v>0.445833333333333</v>
      </c>
      <c r="K66" s="11" t="s">
        <v>5150</v>
      </c>
    </row>
    <row r="67" ht="12.5" spans="1:11">
      <c r="A67" s="130">
        <v>45140</v>
      </c>
      <c r="B67" s="11">
        <v>19</v>
      </c>
      <c r="C67" s="11">
        <v>1</v>
      </c>
      <c r="D67" s="11">
        <v>1</v>
      </c>
      <c r="E67" s="11">
        <v>1</v>
      </c>
      <c r="F67" s="11">
        <v>0</v>
      </c>
      <c r="G67" s="11">
        <v>1</v>
      </c>
      <c r="H67" s="11">
        <v>0</v>
      </c>
      <c r="I67" s="11">
        <v>0</v>
      </c>
      <c r="J67" s="134">
        <v>0.338888888888889</v>
      </c>
      <c r="K67" s="11" t="s">
        <v>5151</v>
      </c>
    </row>
    <row r="68" ht="12.5" spans="1:11">
      <c r="A68" s="130">
        <v>45141</v>
      </c>
      <c r="B68" s="11">
        <v>35</v>
      </c>
      <c r="C68" s="11">
        <v>10</v>
      </c>
      <c r="D68" s="11">
        <v>3</v>
      </c>
      <c r="E68" s="11">
        <v>3</v>
      </c>
      <c r="F68" s="11">
        <v>2</v>
      </c>
      <c r="G68" s="11">
        <v>1</v>
      </c>
      <c r="H68" s="11">
        <v>1</v>
      </c>
      <c r="I68" s="11">
        <v>0</v>
      </c>
      <c r="J68" s="134">
        <v>0.354861111111111</v>
      </c>
      <c r="K68" s="11" t="s">
        <v>5152</v>
      </c>
    </row>
    <row r="69" ht="12.5" spans="1:11">
      <c r="A69" s="130">
        <v>45142</v>
      </c>
      <c r="B69" s="11">
        <v>19</v>
      </c>
      <c r="C69" s="11">
        <v>5</v>
      </c>
      <c r="D69" s="11">
        <v>4</v>
      </c>
      <c r="E69" s="11">
        <v>5</v>
      </c>
      <c r="F69" s="11">
        <v>2</v>
      </c>
      <c r="G69" s="11">
        <v>0</v>
      </c>
      <c r="H69" s="11">
        <v>1</v>
      </c>
      <c r="I69" s="11">
        <v>0</v>
      </c>
      <c r="J69" s="134">
        <v>0.339583333333333</v>
      </c>
      <c r="K69" s="11" t="s">
        <v>5153</v>
      </c>
    </row>
    <row r="70" ht="12.5" spans="1:11">
      <c r="A70" s="130">
        <v>45143</v>
      </c>
      <c r="B70" s="11">
        <v>12</v>
      </c>
      <c r="C70" s="11">
        <v>2</v>
      </c>
      <c r="D70" s="11">
        <v>2</v>
      </c>
      <c r="E70" s="11">
        <v>2</v>
      </c>
      <c r="F70" s="11">
        <v>3</v>
      </c>
      <c r="G70" s="11">
        <v>0</v>
      </c>
      <c r="H70" s="11">
        <v>0</v>
      </c>
      <c r="I70" s="11">
        <v>0</v>
      </c>
      <c r="J70" s="134">
        <v>0.340277777777778</v>
      </c>
      <c r="K70" s="11" t="s">
        <v>5153</v>
      </c>
    </row>
    <row r="71" ht="12.5" spans="1:11">
      <c r="A71" s="130">
        <v>45144</v>
      </c>
      <c r="B71" s="11">
        <v>6</v>
      </c>
      <c r="C71" s="11">
        <v>1</v>
      </c>
      <c r="D71" s="11">
        <v>1</v>
      </c>
      <c r="E71" s="11">
        <v>1</v>
      </c>
      <c r="F71" s="11">
        <v>1</v>
      </c>
      <c r="G71" s="11">
        <v>3</v>
      </c>
      <c r="H71" s="11">
        <v>0</v>
      </c>
      <c r="I71" s="11">
        <v>0</v>
      </c>
      <c r="J71" s="134">
        <v>0.340972222222222</v>
      </c>
      <c r="K71" s="11" t="s">
        <v>5153</v>
      </c>
    </row>
    <row r="72" ht="12.5" spans="1:11">
      <c r="A72" s="130">
        <v>45145</v>
      </c>
      <c r="B72" s="11">
        <v>39</v>
      </c>
      <c r="C72" s="11">
        <v>10</v>
      </c>
      <c r="D72" s="11">
        <v>4</v>
      </c>
      <c r="E72" s="11">
        <v>4</v>
      </c>
      <c r="F72" s="11">
        <v>1</v>
      </c>
      <c r="G72" s="11">
        <v>1</v>
      </c>
      <c r="H72" s="11">
        <v>0</v>
      </c>
      <c r="I72" s="11">
        <v>0</v>
      </c>
      <c r="J72" s="134">
        <v>0.353472222222222</v>
      </c>
      <c r="K72" s="11" t="s">
        <v>5154</v>
      </c>
    </row>
    <row r="73" ht="12.5" spans="1:11">
      <c r="A73" s="130">
        <v>45146</v>
      </c>
      <c r="B73" s="11">
        <v>36</v>
      </c>
      <c r="C73" s="11">
        <v>8</v>
      </c>
      <c r="D73" s="11">
        <v>0</v>
      </c>
      <c r="E73" s="11">
        <v>0</v>
      </c>
      <c r="F73" s="11">
        <v>2</v>
      </c>
      <c r="G73" s="11">
        <v>1</v>
      </c>
      <c r="H73" s="11">
        <v>0</v>
      </c>
      <c r="I73" s="11">
        <v>0</v>
      </c>
      <c r="J73" s="134">
        <v>0.338888888888889</v>
      </c>
      <c r="K73" s="11" t="s">
        <v>5155</v>
      </c>
    </row>
    <row r="74" ht="12.5" spans="1:11">
      <c r="A74" s="130">
        <v>45147</v>
      </c>
      <c r="B74" s="11">
        <v>13</v>
      </c>
      <c r="C74" s="11">
        <v>8</v>
      </c>
      <c r="D74" s="11">
        <v>3</v>
      </c>
      <c r="E74" s="11">
        <v>3</v>
      </c>
      <c r="F74" s="11">
        <v>1</v>
      </c>
      <c r="G74" s="11">
        <v>0</v>
      </c>
      <c r="H74" s="11">
        <v>0</v>
      </c>
      <c r="I74" s="11">
        <v>0</v>
      </c>
      <c r="J74" s="134">
        <v>0.338888888888889</v>
      </c>
      <c r="K74" s="11" t="s">
        <v>5156</v>
      </c>
    </row>
    <row r="75" ht="12.5" spans="1:11">
      <c r="A75" s="130">
        <v>45148</v>
      </c>
      <c r="B75" s="11">
        <v>64</v>
      </c>
      <c r="C75" s="11">
        <v>14</v>
      </c>
      <c r="D75" s="11">
        <v>7</v>
      </c>
      <c r="E75" s="11">
        <v>7</v>
      </c>
      <c r="F75" s="11">
        <v>0</v>
      </c>
      <c r="G75" s="11">
        <v>0</v>
      </c>
      <c r="H75" s="11">
        <v>2</v>
      </c>
      <c r="I75" s="11">
        <v>0</v>
      </c>
      <c r="J75" s="134">
        <v>0.365972222222222</v>
      </c>
      <c r="K75" s="11" t="s">
        <v>5157</v>
      </c>
    </row>
    <row r="76" ht="12.5" spans="1:11">
      <c r="A76" s="130">
        <v>45149</v>
      </c>
      <c r="B76" s="11">
        <v>33</v>
      </c>
      <c r="C76" s="11">
        <v>8</v>
      </c>
      <c r="D76" s="11">
        <v>3</v>
      </c>
      <c r="E76" s="11">
        <v>3</v>
      </c>
      <c r="F76" s="11">
        <v>1</v>
      </c>
      <c r="G76" s="11">
        <v>2</v>
      </c>
      <c r="H76" s="11">
        <v>0</v>
      </c>
      <c r="I76" s="11">
        <v>0</v>
      </c>
      <c r="J76" s="134">
        <v>0.296527777777778</v>
      </c>
      <c r="K76" s="11" t="s">
        <v>5158</v>
      </c>
    </row>
    <row r="77" ht="12.5" spans="1:11">
      <c r="A77" s="130">
        <v>45150</v>
      </c>
      <c r="B77" s="11">
        <v>11</v>
      </c>
      <c r="C77" s="11">
        <v>3</v>
      </c>
      <c r="D77" s="11">
        <v>2</v>
      </c>
      <c r="E77" s="11">
        <v>2</v>
      </c>
      <c r="F77" s="11">
        <v>1</v>
      </c>
      <c r="G77" s="11">
        <v>0</v>
      </c>
      <c r="H77" s="11">
        <v>0</v>
      </c>
      <c r="I77" s="11">
        <v>0</v>
      </c>
      <c r="J77" s="134">
        <v>0.300694444444444</v>
      </c>
      <c r="K77" s="11" t="s">
        <v>5158</v>
      </c>
    </row>
    <row r="78" ht="12.5" spans="1:11">
      <c r="A78" s="130">
        <v>45151</v>
      </c>
      <c r="B78" s="11">
        <v>6</v>
      </c>
      <c r="C78" s="11">
        <v>3</v>
      </c>
      <c r="D78" s="11">
        <v>0</v>
      </c>
      <c r="E78" s="11">
        <v>0</v>
      </c>
      <c r="F78" s="11">
        <v>0</v>
      </c>
      <c r="G78" s="11">
        <v>2</v>
      </c>
      <c r="H78" s="11">
        <v>0</v>
      </c>
      <c r="I78" s="11">
        <v>0</v>
      </c>
      <c r="J78" s="134">
        <v>0.322916666666667</v>
      </c>
      <c r="K78" s="11" t="s">
        <v>5159</v>
      </c>
    </row>
    <row r="79" ht="12.5" spans="1:11">
      <c r="A79" s="130">
        <v>45152</v>
      </c>
      <c r="B79" s="11">
        <v>40</v>
      </c>
      <c r="C79" s="11">
        <v>16</v>
      </c>
      <c r="D79" s="11">
        <v>3</v>
      </c>
      <c r="E79" s="11">
        <v>1</v>
      </c>
      <c r="F79" s="11">
        <v>2</v>
      </c>
      <c r="G79" s="11">
        <v>1</v>
      </c>
      <c r="H79" s="11">
        <v>0</v>
      </c>
      <c r="I79" s="11">
        <v>0</v>
      </c>
      <c r="J79" s="134">
        <v>0.338194444444444</v>
      </c>
      <c r="K79" s="11" t="s">
        <v>5160</v>
      </c>
    </row>
    <row r="80" ht="12.5" spans="1:11">
      <c r="A80" s="130">
        <v>45153</v>
      </c>
      <c r="B80" s="11">
        <v>44</v>
      </c>
      <c r="C80" s="11">
        <v>9</v>
      </c>
      <c r="D80" s="11">
        <v>2</v>
      </c>
      <c r="E80" s="11">
        <v>2</v>
      </c>
      <c r="F80" s="11">
        <v>1</v>
      </c>
      <c r="G80" s="11">
        <v>1</v>
      </c>
      <c r="H80" s="11">
        <v>0</v>
      </c>
      <c r="I80" s="11">
        <v>0</v>
      </c>
      <c r="J80" s="134">
        <v>0.329861111111111</v>
      </c>
      <c r="K80" s="11" t="s">
        <v>5161</v>
      </c>
    </row>
    <row r="81" ht="12.5" spans="1:11">
      <c r="A81" s="130">
        <v>45154</v>
      </c>
      <c r="B81" s="11">
        <v>38</v>
      </c>
      <c r="C81" s="11">
        <v>15</v>
      </c>
      <c r="D81" s="11">
        <v>3</v>
      </c>
      <c r="E81" s="11">
        <v>3</v>
      </c>
      <c r="F81" s="11">
        <v>0</v>
      </c>
      <c r="G81" s="11">
        <v>0</v>
      </c>
      <c r="H81" s="11">
        <v>0</v>
      </c>
      <c r="I81" s="11">
        <v>0</v>
      </c>
      <c r="J81" s="134">
        <v>0.358333333333333</v>
      </c>
      <c r="K81" s="11" t="s">
        <v>5162</v>
      </c>
    </row>
    <row r="82" ht="12.5" spans="1:11">
      <c r="A82" s="130">
        <v>45155</v>
      </c>
      <c r="B82" s="11">
        <v>40</v>
      </c>
      <c r="C82" s="11">
        <v>8</v>
      </c>
      <c r="D82" s="11">
        <v>7</v>
      </c>
      <c r="E82" s="11">
        <v>6</v>
      </c>
      <c r="F82" s="11">
        <v>4</v>
      </c>
      <c r="G82" s="11">
        <v>1</v>
      </c>
      <c r="H82" s="11">
        <v>1</v>
      </c>
      <c r="I82" s="11">
        <v>0</v>
      </c>
      <c r="J82" s="134">
        <v>0.339583333333333</v>
      </c>
      <c r="K82" s="11" t="s">
        <v>5163</v>
      </c>
    </row>
    <row r="83" ht="12.5" spans="1:11">
      <c r="A83" s="130">
        <v>45156</v>
      </c>
      <c r="B83" s="11">
        <v>174</v>
      </c>
      <c r="C83" s="11">
        <v>76</v>
      </c>
      <c r="D83" s="11">
        <v>3</v>
      </c>
      <c r="E83" s="11">
        <v>2</v>
      </c>
      <c r="F83" s="11">
        <v>3</v>
      </c>
      <c r="G83" s="11">
        <v>2</v>
      </c>
      <c r="H83" s="11">
        <v>0</v>
      </c>
      <c r="I83" s="11">
        <v>2</v>
      </c>
      <c r="J83" s="134">
        <v>0.334722222222222</v>
      </c>
      <c r="K83" s="11" t="s">
        <v>5164</v>
      </c>
    </row>
    <row r="84" ht="12.5" spans="1:11">
      <c r="A84" s="130">
        <v>45157</v>
      </c>
      <c r="B84" s="11">
        <v>58</v>
      </c>
      <c r="C84" s="11">
        <v>22</v>
      </c>
      <c r="D84" s="11">
        <v>4</v>
      </c>
      <c r="E84" s="11">
        <v>4</v>
      </c>
      <c r="F84" s="11">
        <v>1</v>
      </c>
      <c r="G84" s="11">
        <v>0</v>
      </c>
      <c r="H84" s="11">
        <v>0</v>
      </c>
      <c r="I84" s="11">
        <v>0</v>
      </c>
      <c r="J84" s="134">
        <v>0.347916666666667</v>
      </c>
      <c r="K84" s="11" t="s">
        <v>5165</v>
      </c>
    </row>
    <row r="85" ht="12.5" spans="1:11">
      <c r="A85" s="130">
        <v>45158</v>
      </c>
      <c r="B85" s="11">
        <v>26</v>
      </c>
      <c r="C85" s="11">
        <v>3</v>
      </c>
      <c r="D85" s="11">
        <v>1</v>
      </c>
      <c r="E85" s="11">
        <v>0</v>
      </c>
      <c r="F85" s="11">
        <v>3</v>
      </c>
      <c r="G85" s="11">
        <v>0</v>
      </c>
      <c r="H85" s="11">
        <v>0</v>
      </c>
      <c r="I85" s="11">
        <v>0</v>
      </c>
      <c r="J85" s="134">
        <v>0.368055555555556</v>
      </c>
      <c r="K85" s="11" t="s">
        <v>5166</v>
      </c>
    </row>
    <row r="86" ht="12.5" spans="1:11">
      <c r="A86" s="130">
        <v>45159</v>
      </c>
      <c r="B86" s="11">
        <v>55</v>
      </c>
      <c r="C86" s="11">
        <v>22</v>
      </c>
      <c r="D86" s="11">
        <v>4</v>
      </c>
      <c r="E86" s="11">
        <v>5</v>
      </c>
      <c r="F86" s="11">
        <v>0</v>
      </c>
      <c r="G86" s="11">
        <v>2</v>
      </c>
      <c r="H86" s="11">
        <v>3</v>
      </c>
      <c r="I86" s="11">
        <v>0</v>
      </c>
      <c r="J86" s="134">
        <v>0.33125</v>
      </c>
      <c r="K86" s="11" t="s">
        <v>5167</v>
      </c>
    </row>
    <row r="87" ht="12.5" spans="1:11">
      <c r="A87" s="130">
        <v>45160</v>
      </c>
      <c r="B87" s="11">
        <v>69</v>
      </c>
      <c r="C87" s="11">
        <v>14</v>
      </c>
      <c r="D87" s="11">
        <v>1</v>
      </c>
      <c r="E87" s="11">
        <v>1</v>
      </c>
      <c r="F87" s="11">
        <v>5</v>
      </c>
      <c r="G87" s="11">
        <v>2</v>
      </c>
      <c r="H87" s="11">
        <v>1</v>
      </c>
      <c r="I87" s="11">
        <v>1</v>
      </c>
      <c r="J87" s="134">
        <v>0.336805555555556</v>
      </c>
      <c r="K87" s="11" t="s">
        <v>5168</v>
      </c>
    </row>
    <row r="88" ht="12.5" spans="1:11">
      <c r="A88" s="130">
        <v>45161</v>
      </c>
      <c r="B88" s="11">
        <v>52</v>
      </c>
      <c r="C88" s="11">
        <v>8</v>
      </c>
      <c r="D88" s="11">
        <v>6</v>
      </c>
      <c r="E88" s="11">
        <v>4</v>
      </c>
      <c r="F88" s="11">
        <v>3</v>
      </c>
      <c r="G88" s="11">
        <v>2</v>
      </c>
      <c r="H88" s="11">
        <v>1</v>
      </c>
      <c r="I88" s="11">
        <v>0</v>
      </c>
      <c r="J88" s="134">
        <v>0.359722222222222</v>
      </c>
      <c r="K88" s="11" t="s">
        <v>5169</v>
      </c>
    </row>
    <row r="89" ht="12.5" spans="1:30">
      <c r="A89" s="130">
        <v>45162</v>
      </c>
      <c r="B89" s="136">
        <v>34</v>
      </c>
      <c r="C89" s="136">
        <v>12</v>
      </c>
      <c r="D89" s="136">
        <v>1</v>
      </c>
      <c r="E89" s="136">
        <v>1</v>
      </c>
      <c r="F89" s="136">
        <v>1</v>
      </c>
      <c r="G89" s="136">
        <v>1</v>
      </c>
      <c r="H89" s="136">
        <v>0</v>
      </c>
      <c r="I89" s="136">
        <v>0</v>
      </c>
      <c r="J89" s="137">
        <v>0.368055555555556</v>
      </c>
      <c r="K89" s="136" t="s">
        <v>5170</v>
      </c>
      <c r="L89" s="136"/>
      <c r="M89" s="136"/>
      <c r="N89" s="136"/>
      <c r="O89" s="136"/>
      <c r="P89" s="136"/>
      <c r="Q89" s="136"/>
      <c r="R89" s="136"/>
      <c r="S89" s="136"/>
      <c r="T89" s="136"/>
      <c r="U89" s="136"/>
      <c r="V89" s="136"/>
      <c r="W89" s="136"/>
      <c r="X89" s="136"/>
      <c r="Y89" s="136"/>
      <c r="Z89" s="136"/>
      <c r="AA89" s="136"/>
      <c r="AB89" s="136"/>
      <c r="AC89" s="136"/>
      <c r="AD89" s="136"/>
    </row>
    <row r="90" ht="12.5" spans="1:11">
      <c r="A90" s="130">
        <v>45163</v>
      </c>
      <c r="B90" s="11">
        <v>33</v>
      </c>
      <c r="C90" s="11">
        <v>8</v>
      </c>
      <c r="D90" s="11">
        <v>4</v>
      </c>
      <c r="E90" s="11">
        <v>3</v>
      </c>
      <c r="F90" s="11">
        <v>0</v>
      </c>
      <c r="G90" s="11">
        <v>2</v>
      </c>
      <c r="H90" s="11">
        <v>0</v>
      </c>
      <c r="I90" s="11">
        <v>1</v>
      </c>
      <c r="J90" s="134">
        <v>0.330555555555556</v>
      </c>
      <c r="K90" s="11" t="s">
        <v>5171</v>
      </c>
    </row>
    <row r="91" ht="12.5" spans="1:11">
      <c r="A91" s="130">
        <v>45164</v>
      </c>
      <c r="B91" s="40"/>
      <c r="C91" s="11">
        <v>5</v>
      </c>
      <c r="D91" s="11">
        <v>1</v>
      </c>
      <c r="E91" s="11">
        <v>1</v>
      </c>
      <c r="F91" s="11">
        <v>2</v>
      </c>
      <c r="G91" s="11">
        <v>0</v>
      </c>
      <c r="H91" s="11">
        <v>0</v>
      </c>
      <c r="I91" s="11">
        <v>0</v>
      </c>
      <c r="J91" s="134">
        <v>0.334027777777778</v>
      </c>
      <c r="K91" s="11" t="s">
        <v>5171</v>
      </c>
    </row>
    <row r="92" ht="12.5" spans="1:11">
      <c r="A92" s="130">
        <v>45165</v>
      </c>
      <c r="B92" s="40"/>
      <c r="C92" s="11">
        <v>5</v>
      </c>
      <c r="D92" s="11">
        <v>0</v>
      </c>
      <c r="E92" s="11">
        <v>0</v>
      </c>
      <c r="F92" s="11">
        <v>0</v>
      </c>
      <c r="G92" s="11">
        <v>0</v>
      </c>
      <c r="H92" s="11">
        <v>0</v>
      </c>
      <c r="I92" s="11">
        <v>0</v>
      </c>
      <c r="J92" s="134">
        <v>0.335416666666667</v>
      </c>
      <c r="K92" s="11" t="s">
        <v>5171</v>
      </c>
    </row>
    <row r="93" ht="12.5" spans="1:11">
      <c r="A93" s="130">
        <v>45166</v>
      </c>
      <c r="B93" s="11">
        <v>36</v>
      </c>
      <c r="C93" s="11">
        <v>11</v>
      </c>
      <c r="D93" s="11">
        <v>3</v>
      </c>
      <c r="E93" s="11">
        <v>3</v>
      </c>
      <c r="F93" s="11">
        <v>0</v>
      </c>
      <c r="G93" s="11">
        <v>0</v>
      </c>
      <c r="H93" s="11">
        <v>0</v>
      </c>
      <c r="I93" s="11">
        <v>0</v>
      </c>
      <c r="J93" s="134">
        <v>0.333333333333333</v>
      </c>
      <c r="K93" s="11" t="s">
        <v>5172</v>
      </c>
    </row>
    <row r="94" ht="12.5" spans="1:12">
      <c r="A94" s="130">
        <v>45167</v>
      </c>
      <c r="B94" s="11">
        <v>37</v>
      </c>
      <c r="C94" s="11">
        <v>14</v>
      </c>
      <c r="D94" s="11">
        <v>4</v>
      </c>
      <c r="E94" s="11">
        <v>3</v>
      </c>
      <c r="F94" s="11">
        <v>0</v>
      </c>
      <c r="G94" s="11">
        <v>2</v>
      </c>
      <c r="H94" s="11">
        <v>0</v>
      </c>
      <c r="I94" s="11">
        <v>0</v>
      </c>
      <c r="J94" s="134">
        <v>0.431944444444444</v>
      </c>
      <c r="K94" s="11" t="s">
        <v>5173</v>
      </c>
      <c r="L94" s="11" t="s">
        <v>5174</v>
      </c>
    </row>
    <row r="95" ht="12.5" spans="1:12">
      <c r="A95" s="130">
        <v>45168</v>
      </c>
      <c r="B95" s="11">
        <v>43</v>
      </c>
      <c r="C95" s="11">
        <v>6</v>
      </c>
      <c r="D95" s="11">
        <v>3</v>
      </c>
      <c r="E95" s="11">
        <v>3</v>
      </c>
      <c r="F95" s="11">
        <v>0</v>
      </c>
      <c r="G95" s="11">
        <v>3</v>
      </c>
      <c r="H95" s="11">
        <v>0</v>
      </c>
      <c r="I95" s="11">
        <v>0</v>
      </c>
      <c r="J95" s="134">
        <v>0.431944444444444</v>
      </c>
      <c r="K95" s="11" t="s">
        <v>5173</v>
      </c>
      <c r="L95" s="11" t="s">
        <v>5174</v>
      </c>
    </row>
    <row r="96" ht="12.5" spans="1:12">
      <c r="A96" s="130">
        <v>45169</v>
      </c>
      <c r="B96" s="11">
        <v>40</v>
      </c>
      <c r="C96" s="11">
        <v>10</v>
      </c>
      <c r="D96" s="11">
        <v>5</v>
      </c>
      <c r="E96" s="11">
        <v>4</v>
      </c>
      <c r="F96" s="11">
        <v>0</v>
      </c>
      <c r="G96" s="11">
        <v>1</v>
      </c>
      <c r="H96" s="11">
        <v>0</v>
      </c>
      <c r="I96" s="11">
        <v>0</v>
      </c>
      <c r="J96" s="134">
        <v>0.431944444444444</v>
      </c>
      <c r="K96" s="11" t="s">
        <v>5173</v>
      </c>
      <c r="L96" s="11" t="s">
        <v>5174</v>
      </c>
    </row>
    <row r="97" ht="12.5" spans="1:12">
      <c r="A97" s="129">
        <v>45170</v>
      </c>
      <c r="B97" s="11">
        <v>88</v>
      </c>
      <c r="C97" s="11">
        <v>33</v>
      </c>
      <c r="D97" s="11">
        <v>3</v>
      </c>
      <c r="E97" s="11">
        <v>3</v>
      </c>
      <c r="F97" s="11">
        <v>2</v>
      </c>
      <c r="G97" s="11">
        <v>1</v>
      </c>
      <c r="H97" s="11">
        <v>0</v>
      </c>
      <c r="I97" s="11">
        <v>0</v>
      </c>
      <c r="J97" s="134">
        <v>0.431944444444444</v>
      </c>
      <c r="K97" s="11" t="s">
        <v>5173</v>
      </c>
      <c r="L97" s="11" t="s">
        <v>5174</v>
      </c>
    </row>
    <row r="98" ht="12.5" spans="1:12">
      <c r="A98" s="129">
        <v>45171</v>
      </c>
      <c r="B98" s="11">
        <v>15</v>
      </c>
      <c r="C98" s="11">
        <v>1</v>
      </c>
      <c r="D98" s="11">
        <v>3</v>
      </c>
      <c r="E98" s="11">
        <v>3</v>
      </c>
      <c r="F98" s="11">
        <v>2</v>
      </c>
      <c r="G98" s="11">
        <v>1</v>
      </c>
      <c r="H98" s="11">
        <v>0</v>
      </c>
      <c r="I98" s="11">
        <v>0</v>
      </c>
      <c r="J98" s="134">
        <v>0.431944444444444</v>
      </c>
      <c r="K98" s="11" t="s">
        <v>5175</v>
      </c>
      <c r="L98" s="11" t="s">
        <v>5174</v>
      </c>
    </row>
    <row r="99" ht="12.5" spans="1:12">
      <c r="A99" s="129">
        <v>45172</v>
      </c>
      <c r="B99" s="11">
        <v>11</v>
      </c>
      <c r="C99" s="11">
        <v>2</v>
      </c>
      <c r="D99" s="11">
        <v>0</v>
      </c>
      <c r="E99" s="11">
        <v>0</v>
      </c>
      <c r="F99" s="11">
        <v>2</v>
      </c>
      <c r="G99" s="11">
        <v>2</v>
      </c>
      <c r="H99" s="11">
        <v>0</v>
      </c>
      <c r="I99" s="11">
        <v>0</v>
      </c>
      <c r="J99" s="134">
        <v>0.431944444444444</v>
      </c>
      <c r="K99" s="11" t="s">
        <v>5175</v>
      </c>
      <c r="L99" s="11" t="s">
        <v>5174</v>
      </c>
    </row>
    <row r="100" ht="12.5" spans="1:11">
      <c r="A100" s="129">
        <v>45173</v>
      </c>
      <c r="B100" s="11">
        <v>46</v>
      </c>
      <c r="C100" s="11">
        <v>12</v>
      </c>
      <c r="D100" s="11">
        <v>2</v>
      </c>
      <c r="E100" s="11">
        <v>2</v>
      </c>
      <c r="F100" s="11">
        <v>1</v>
      </c>
      <c r="G100" s="11">
        <v>0</v>
      </c>
      <c r="H100" s="11">
        <v>1</v>
      </c>
      <c r="I100" s="11">
        <v>0</v>
      </c>
      <c r="J100" s="134">
        <v>0.347916666666667</v>
      </c>
      <c r="K100" s="11" t="s">
        <v>5175</v>
      </c>
    </row>
    <row r="101" ht="12.5" spans="1:30">
      <c r="A101" s="129">
        <v>45174</v>
      </c>
      <c r="B101" s="136">
        <v>43</v>
      </c>
      <c r="C101" s="136">
        <v>16</v>
      </c>
      <c r="D101" s="136">
        <v>0</v>
      </c>
      <c r="E101" s="136">
        <v>0</v>
      </c>
      <c r="F101" s="136">
        <v>1</v>
      </c>
      <c r="G101" s="136">
        <v>0</v>
      </c>
      <c r="H101" s="136">
        <v>3</v>
      </c>
      <c r="I101" s="136">
        <v>0</v>
      </c>
      <c r="J101" s="137">
        <v>0.331944444444444</v>
      </c>
      <c r="K101" s="136" t="s">
        <v>5176</v>
      </c>
      <c r="L101" s="136"/>
      <c r="M101" s="136"/>
      <c r="N101" s="136"/>
      <c r="O101" s="136"/>
      <c r="P101" s="136"/>
      <c r="Q101" s="136"/>
      <c r="R101" s="136"/>
      <c r="S101" s="136"/>
      <c r="T101" s="136"/>
      <c r="U101" s="136"/>
      <c r="V101" s="136"/>
      <c r="W101" s="136"/>
      <c r="X101" s="136"/>
      <c r="Y101" s="136"/>
      <c r="Z101" s="136"/>
      <c r="AA101" s="136"/>
      <c r="AB101" s="136"/>
      <c r="AC101" s="136"/>
      <c r="AD101" s="136"/>
    </row>
    <row r="102" ht="12.5" spans="1:11">
      <c r="A102" s="129">
        <v>45175</v>
      </c>
      <c r="B102" s="11">
        <v>40</v>
      </c>
      <c r="C102" s="11">
        <v>11</v>
      </c>
      <c r="D102" s="11">
        <v>4</v>
      </c>
      <c r="E102" s="11">
        <v>1</v>
      </c>
      <c r="F102" s="11">
        <v>0</v>
      </c>
      <c r="G102" s="11">
        <v>0</v>
      </c>
      <c r="H102" s="11">
        <v>1</v>
      </c>
      <c r="I102" s="11">
        <v>0</v>
      </c>
      <c r="J102" s="134">
        <v>0.354166666666667</v>
      </c>
      <c r="K102" s="11" t="s">
        <v>5175</v>
      </c>
    </row>
    <row r="103" ht="12.5" spans="1:11">
      <c r="A103" s="129">
        <v>45176</v>
      </c>
      <c r="B103" s="11">
        <v>18</v>
      </c>
      <c r="C103" s="11">
        <v>4</v>
      </c>
      <c r="D103" s="11">
        <v>1</v>
      </c>
      <c r="E103" s="11">
        <v>1</v>
      </c>
      <c r="F103" s="11">
        <v>0</v>
      </c>
      <c r="G103" s="11">
        <v>0</v>
      </c>
      <c r="H103" s="11">
        <v>0</v>
      </c>
      <c r="I103" s="11">
        <v>0</v>
      </c>
      <c r="J103" s="134">
        <v>0.354166666666667</v>
      </c>
      <c r="K103" s="11" t="s">
        <v>5177</v>
      </c>
    </row>
    <row r="104" ht="12.5" spans="1:11">
      <c r="A104" s="129">
        <v>45177</v>
      </c>
      <c r="B104" s="11">
        <v>20</v>
      </c>
      <c r="C104" s="11">
        <v>5</v>
      </c>
      <c r="D104" s="11">
        <v>2</v>
      </c>
      <c r="E104" s="11">
        <v>1</v>
      </c>
      <c r="F104" s="11">
        <v>3</v>
      </c>
      <c r="G104" s="11">
        <v>0</v>
      </c>
      <c r="H104" s="11">
        <v>0</v>
      </c>
      <c r="I104" s="11">
        <v>0</v>
      </c>
      <c r="J104" s="134">
        <v>0.354166666666667</v>
      </c>
      <c r="K104" s="11" t="s">
        <v>5178</v>
      </c>
    </row>
    <row r="105" ht="12.5" spans="1:11">
      <c r="A105" s="129">
        <v>45178</v>
      </c>
      <c r="B105" s="11">
        <v>19</v>
      </c>
      <c r="C105" s="11">
        <v>2</v>
      </c>
      <c r="D105" s="11">
        <v>2</v>
      </c>
      <c r="E105" s="11">
        <v>2</v>
      </c>
      <c r="F105" s="11">
        <v>0</v>
      </c>
      <c r="G105" s="11">
        <v>0</v>
      </c>
      <c r="H105" s="11">
        <v>0</v>
      </c>
      <c r="I105" s="11">
        <v>0</v>
      </c>
      <c r="J105" s="134">
        <v>0.354166666666667</v>
      </c>
      <c r="K105" s="11" t="s">
        <v>5179</v>
      </c>
    </row>
    <row r="106" ht="12.5" spans="1:11">
      <c r="A106" s="129">
        <v>45179</v>
      </c>
      <c r="B106" s="11">
        <v>16</v>
      </c>
      <c r="C106" s="11">
        <v>3</v>
      </c>
      <c r="D106" s="11">
        <v>3</v>
      </c>
      <c r="E106" s="11">
        <v>3</v>
      </c>
      <c r="F106" s="11">
        <v>2</v>
      </c>
      <c r="G106" s="11">
        <v>3</v>
      </c>
      <c r="H106" s="11">
        <v>0</v>
      </c>
      <c r="I106" s="11">
        <v>0</v>
      </c>
      <c r="J106" s="134">
        <v>0.354166666666667</v>
      </c>
      <c r="K106" s="11" t="s">
        <v>5180</v>
      </c>
    </row>
    <row r="107" ht="12.5" spans="1:11">
      <c r="A107" s="129">
        <v>45180</v>
      </c>
      <c r="B107" s="11">
        <v>43</v>
      </c>
      <c r="C107" s="11">
        <v>13</v>
      </c>
      <c r="D107" s="11">
        <v>4</v>
      </c>
      <c r="E107" s="11">
        <v>3</v>
      </c>
      <c r="F107" s="11">
        <v>2</v>
      </c>
      <c r="G107" s="11">
        <v>2</v>
      </c>
      <c r="H107" s="11">
        <v>1</v>
      </c>
      <c r="I107" s="11">
        <v>0</v>
      </c>
      <c r="J107" s="134">
        <v>0.322222222222222</v>
      </c>
      <c r="K107" s="11" t="s">
        <v>5181</v>
      </c>
    </row>
    <row r="108" ht="12.5" spans="1:30">
      <c r="A108" s="129">
        <v>45181</v>
      </c>
      <c r="B108" s="136">
        <v>41</v>
      </c>
      <c r="C108" s="136">
        <v>15</v>
      </c>
      <c r="D108" s="136">
        <v>1</v>
      </c>
      <c r="E108" s="136">
        <v>1</v>
      </c>
      <c r="F108" s="136">
        <v>1</v>
      </c>
      <c r="G108" s="136">
        <v>0</v>
      </c>
      <c r="H108" s="136">
        <v>0</v>
      </c>
      <c r="I108" s="136">
        <v>0</v>
      </c>
      <c r="J108" s="137">
        <v>0.347222222222222</v>
      </c>
      <c r="K108" s="136" t="s">
        <v>5182</v>
      </c>
      <c r="L108" s="136"/>
      <c r="M108" s="136"/>
      <c r="N108" s="136"/>
      <c r="O108" s="136"/>
      <c r="P108" s="136"/>
      <c r="Q108" s="136"/>
      <c r="R108" s="136"/>
      <c r="S108" s="136"/>
      <c r="T108" s="136"/>
      <c r="U108" s="136"/>
      <c r="V108" s="136"/>
      <c r="W108" s="136"/>
      <c r="X108" s="136"/>
      <c r="Y108" s="136"/>
      <c r="Z108" s="136"/>
      <c r="AA108" s="136"/>
      <c r="AB108" s="136"/>
      <c r="AC108" s="136"/>
      <c r="AD108" s="136"/>
    </row>
    <row r="109" ht="12.5" spans="1:30">
      <c r="A109" s="129">
        <v>45182</v>
      </c>
      <c r="B109" s="136">
        <v>47</v>
      </c>
      <c r="C109" s="136">
        <v>13</v>
      </c>
      <c r="D109" s="136">
        <v>3</v>
      </c>
      <c r="E109" s="136">
        <v>3</v>
      </c>
      <c r="F109" s="136">
        <v>2</v>
      </c>
      <c r="G109" s="136">
        <v>1</v>
      </c>
      <c r="H109" s="136">
        <v>0</v>
      </c>
      <c r="I109" s="136">
        <v>0</v>
      </c>
      <c r="J109" s="137">
        <v>0.355555555555556</v>
      </c>
      <c r="K109" s="136" t="s">
        <v>5183</v>
      </c>
      <c r="L109" s="136"/>
      <c r="M109" s="136"/>
      <c r="N109" s="136"/>
      <c r="O109" s="136"/>
      <c r="P109" s="136"/>
      <c r="Q109" s="136"/>
      <c r="R109" s="136"/>
      <c r="S109" s="136"/>
      <c r="T109" s="136"/>
      <c r="U109" s="136"/>
      <c r="V109" s="136"/>
      <c r="W109" s="136"/>
      <c r="X109" s="136"/>
      <c r="Y109" s="136"/>
      <c r="Z109" s="136"/>
      <c r="AA109" s="136"/>
      <c r="AB109" s="136"/>
      <c r="AC109" s="136"/>
      <c r="AD109" s="136"/>
    </row>
    <row r="110" ht="12.5" spans="1:30">
      <c r="A110" s="129">
        <v>45183</v>
      </c>
      <c r="B110" s="136">
        <v>30</v>
      </c>
      <c r="C110" s="136">
        <v>7</v>
      </c>
      <c r="D110" s="136">
        <v>3</v>
      </c>
      <c r="E110" s="136">
        <v>2</v>
      </c>
      <c r="F110" s="136">
        <v>3</v>
      </c>
      <c r="G110" s="136">
        <v>0</v>
      </c>
      <c r="H110" s="136">
        <v>0</v>
      </c>
      <c r="I110" s="136">
        <v>0</v>
      </c>
      <c r="J110" s="137">
        <v>0.35</v>
      </c>
      <c r="K110" s="136" t="s">
        <v>5184</v>
      </c>
      <c r="L110" s="136"/>
      <c r="M110" s="136"/>
      <c r="N110" s="136"/>
      <c r="O110" s="136"/>
      <c r="P110" s="136"/>
      <c r="Q110" s="136"/>
      <c r="R110" s="136"/>
      <c r="S110" s="136"/>
      <c r="T110" s="136"/>
      <c r="U110" s="136"/>
      <c r="V110" s="136"/>
      <c r="W110" s="136"/>
      <c r="X110" s="136"/>
      <c r="Y110" s="136"/>
      <c r="Z110" s="136"/>
      <c r="AA110" s="136"/>
      <c r="AB110" s="136"/>
      <c r="AC110" s="136"/>
      <c r="AD110" s="136"/>
    </row>
    <row r="111" ht="12.5" spans="1:30">
      <c r="A111" s="129">
        <v>45184</v>
      </c>
      <c r="B111" s="40"/>
      <c r="C111" s="11">
        <v>0</v>
      </c>
      <c r="D111" s="136">
        <v>0</v>
      </c>
      <c r="E111" s="136">
        <v>0</v>
      </c>
      <c r="F111" s="136">
        <v>0</v>
      </c>
      <c r="G111" s="136">
        <v>1</v>
      </c>
      <c r="H111" s="136">
        <v>0</v>
      </c>
      <c r="I111" s="136">
        <v>0</v>
      </c>
      <c r="J111" s="137">
        <v>0.364583333333333</v>
      </c>
      <c r="K111" s="136" t="s">
        <v>5185</v>
      </c>
      <c r="L111" s="136"/>
      <c r="M111" s="136"/>
      <c r="N111" s="136"/>
      <c r="O111" s="136"/>
      <c r="P111" s="136"/>
      <c r="Q111" s="136"/>
      <c r="R111" s="136"/>
      <c r="S111" s="136"/>
      <c r="T111" s="136"/>
      <c r="U111" s="136"/>
      <c r="V111" s="136"/>
      <c r="W111" s="136"/>
      <c r="X111" s="136"/>
      <c r="Y111" s="136"/>
      <c r="Z111" s="136"/>
      <c r="AA111" s="136"/>
      <c r="AB111" s="136"/>
      <c r="AC111" s="136"/>
      <c r="AD111" s="136"/>
    </row>
    <row r="112" ht="12.5" spans="1:11">
      <c r="A112" s="129">
        <v>45185</v>
      </c>
      <c r="B112" s="11">
        <v>12</v>
      </c>
      <c r="C112" s="11">
        <v>4</v>
      </c>
      <c r="D112" s="11">
        <v>3</v>
      </c>
      <c r="E112" s="11">
        <v>3</v>
      </c>
      <c r="F112" s="11">
        <v>1</v>
      </c>
      <c r="G112" s="11">
        <v>0</v>
      </c>
      <c r="H112" s="11">
        <v>0</v>
      </c>
      <c r="I112" s="11">
        <v>0</v>
      </c>
      <c r="J112" s="134">
        <v>0.365972222222222</v>
      </c>
      <c r="K112" s="136" t="s">
        <v>5185</v>
      </c>
    </row>
    <row r="113" ht="12.5" spans="1:11">
      <c r="A113" s="129">
        <v>45186</v>
      </c>
      <c r="B113" s="11">
        <v>11</v>
      </c>
      <c r="C113" s="11">
        <v>1</v>
      </c>
      <c r="D113" s="11">
        <v>0</v>
      </c>
      <c r="E113" s="11">
        <v>0</v>
      </c>
      <c r="F113" s="11">
        <v>1</v>
      </c>
      <c r="G113" s="11">
        <v>0</v>
      </c>
      <c r="H113" s="11">
        <v>0</v>
      </c>
      <c r="I113" s="11">
        <v>0</v>
      </c>
      <c r="J113" s="134">
        <v>0.367361111111111</v>
      </c>
      <c r="K113" s="136" t="s">
        <v>5185</v>
      </c>
    </row>
    <row r="114" ht="12.5" spans="1:30">
      <c r="A114" s="129">
        <v>45187</v>
      </c>
      <c r="B114" s="136">
        <v>78</v>
      </c>
      <c r="C114" s="136">
        <v>20</v>
      </c>
      <c r="D114" s="136">
        <v>4</v>
      </c>
      <c r="E114" s="136">
        <v>4</v>
      </c>
      <c r="F114" s="136">
        <v>3</v>
      </c>
      <c r="G114" s="136">
        <v>1</v>
      </c>
      <c r="H114" s="136">
        <v>0</v>
      </c>
      <c r="I114" s="136">
        <v>0</v>
      </c>
      <c r="J114" s="137">
        <v>0.335416666666667</v>
      </c>
      <c r="K114" s="136" t="s">
        <v>5186</v>
      </c>
      <c r="L114" s="136"/>
      <c r="M114" s="136"/>
      <c r="N114" s="136"/>
      <c r="O114" s="136"/>
      <c r="P114" s="136"/>
      <c r="Q114" s="136"/>
      <c r="R114" s="136"/>
      <c r="S114" s="136"/>
      <c r="T114" s="136"/>
      <c r="U114" s="136"/>
      <c r="V114" s="136"/>
      <c r="W114" s="136"/>
      <c r="X114" s="136"/>
      <c r="Y114" s="136"/>
      <c r="Z114" s="136"/>
      <c r="AA114" s="136"/>
      <c r="AB114" s="136"/>
      <c r="AC114" s="136"/>
      <c r="AD114" s="136"/>
    </row>
    <row r="115" ht="12.5" spans="1:30">
      <c r="A115" s="129">
        <v>45188</v>
      </c>
      <c r="B115" s="136">
        <v>58</v>
      </c>
      <c r="C115" s="136">
        <v>16</v>
      </c>
      <c r="D115" s="136">
        <v>0</v>
      </c>
      <c r="E115" s="136">
        <v>0</v>
      </c>
      <c r="F115" s="136">
        <v>1</v>
      </c>
      <c r="G115" s="136">
        <v>0</v>
      </c>
      <c r="H115" s="136">
        <v>0</v>
      </c>
      <c r="I115" s="136">
        <v>1</v>
      </c>
      <c r="J115" s="137">
        <v>0.3375</v>
      </c>
      <c r="K115" s="136" t="s">
        <v>5187</v>
      </c>
      <c r="L115" s="136"/>
      <c r="M115" s="136"/>
      <c r="N115" s="136"/>
      <c r="O115" s="136"/>
      <c r="P115" s="136"/>
      <c r="Q115" s="136"/>
      <c r="R115" s="136"/>
      <c r="S115" s="136"/>
      <c r="T115" s="136"/>
      <c r="U115" s="136"/>
      <c r="V115" s="136"/>
      <c r="W115" s="136"/>
      <c r="X115" s="136"/>
      <c r="Y115" s="136"/>
      <c r="Z115" s="136"/>
      <c r="AA115" s="136"/>
      <c r="AB115" s="136"/>
      <c r="AC115" s="136"/>
      <c r="AD115" s="136"/>
    </row>
    <row r="116" ht="12.5" spans="1:30">
      <c r="A116" s="129">
        <v>45189</v>
      </c>
      <c r="B116" s="136">
        <v>28</v>
      </c>
      <c r="C116" s="136">
        <v>6</v>
      </c>
      <c r="D116" s="136">
        <v>0</v>
      </c>
      <c r="E116" s="136">
        <v>0</v>
      </c>
      <c r="F116" s="136">
        <v>0</v>
      </c>
      <c r="G116" s="136">
        <v>0</v>
      </c>
      <c r="H116" s="136">
        <v>0</v>
      </c>
      <c r="I116" s="136">
        <v>0</v>
      </c>
      <c r="J116" s="137">
        <v>0.352083333333333</v>
      </c>
      <c r="K116" s="136" t="s">
        <v>5165</v>
      </c>
      <c r="L116" s="136"/>
      <c r="M116" s="136"/>
      <c r="N116" s="136"/>
      <c r="O116" s="136"/>
      <c r="P116" s="136"/>
      <c r="Q116" s="136"/>
      <c r="R116" s="136"/>
      <c r="S116" s="136"/>
      <c r="T116" s="136"/>
      <c r="U116" s="136"/>
      <c r="V116" s="136"/>
      <c r="W116" s="136"/>
      <c r="X116" s="136"/>
      <c r="Y116" s="136"/>
      <c r="Z116" s="136"/>
      <c r="AA116" s="136"/>
      <c r="AB116" s="136"/>
      <c r="AC116" s="136"/>
      <c r="AD116" s="136"/>
    </row>
    <row r="117" ht="12.5" spans="1:11">
      <c r="A117" s="129">
        <v>45190</v>
      </c>
      <c r="B117" s="11">
        <v>55</v>
      </c>
      <c r="C117" s="11">
        <v>13</v>
      </c>
      <c r="D117" s="11">
        <v>5</v>
      </c>
      <c r="E117" s="11">
        <v>5</v>
      </c>
      <c r="F117" s="11">
        <v>3</v>
      </c>
      <c r="G117" s="11">
        <v>0</v>
      </c>
      <c r="H117" s="11">
        <v>0</v>
      </c>
      <c r="I117" s="11">
        <v>0</v>
      </c>
      <c r="J117" s="134">
        <v>0.358333333333333</v>
      </c>
      <c r="K117" s="11" t="s">
        <v>5188</v>
      </c>
    </row>
    <row r="118" ht="15" customHeight="1" spans="1:11">
      <c r="A118" s="129">
        <v>45191</v>
      </c>
      <c r="B118" s="11">
        <v>36</v>
      </c>
      <c r="C118" s="11">
        <v>8</v>
      </c>
      <c r="D118" s="11">
        <v>2</v>
      </c>
      <c r="E118" s="11">
        <v>2</v>
      </c>
      <c r="F118" s="11">
        <v>3</v>
      </c>
      <c r="G118" s="11">
        <v>0</v>
      </c>
      <c r="H118" s="11">
        <v>2</v>
      </c>
      <c r="I118" s="11">
        <v>0</v>
      </c>
      <c r="J118" s="134">
        <v>0.441666666666667</v>
      </c>
      <c r="K118" s="11" t="s">
        <v>5189</v>
      </c>
    </row>
    <row r="119" ht="12.5" spans="1:11">
      <c r="A119" s="129">
        <v>45192</v>
      </c>
      <c r="B119" s="11">
        <v>14</v>
      </c>
      <c r="C119" s="11">
        <v>5</v>
      </c>
      <c r="D119" s="11">
        <v>2</v>
      </c>
      <c r="E119" s="11">
        <v>2</v>
      </c>
      <c r="F119" s="11">
        <v>0</v>
      </c>
      <c r="G119" s="11">
        <v>1</v>
      </c>
      <c r="H119" s="11">
        <v>0</v>
      </c>
      <c r="I119" s="11">
        <v>0</v>
      </c>
      <c r="J119" s="134">
        <v>0.356944444444444</v>
      </c>
      <c r="K119" s="11" t="s">
        <v>5190</v>
      </c>
    </row>
    <row r="120" ht="12.5" spans="1:11">
      <c r="A120" s="129">
        <v>45193</v>
      </c>
      <c r="B120" s="11">
        <v>6</v>
      </c>
      <c r="C120" s="11">
        <v>2</v>
      </c>
      <c r="D120" s="11">
        <v>2</v>
      </c>
      <c r="E120" s="11">
        <v>2</v>
      </c>
      <c r="F120" s="11">
        <v>0</v>
      </c>
      <c r="G120" s="11">
        <v>1</v>
      </c>
      <c r="H120" s="11">
        <v>0</v>
      </c>
      <c r="I120" s="11">
        <v>0</v>
      </c>
      <c r="J120" s="134">
        <v>0.356944444444444</v>
      </c>
      <c r="K120" s="11" t="s">
        <v>5190</v>
      </c>
    </row>
    <row r="121" ht="12.5" spans="1:30">
      <c r="A121" s="129">
        <v>45194</v>
      </c>
      <c r="B121" s="136">
        <v>46</v>
      </c>
      <c r="C121" s="136">
        <v>14</v>
      </c>
      <c r="D121" s="136">
        <v>4</v>
      </c>
      <c r="E121" s="136">
        <v>4</v>
      </c>
      <c r="F121" s="136">
        <v>1</v>
      </c>
      <c r="G121" s="136">
        <v>1</v>
      </c>
      <c r="H121" s="136">
        <v>0</v>
      </c>
      <c r="I121" s="136">
        <v>0</v>
      </c>
      <c r="J121" s="137">
        <v>0.344444444444444</v>
      </c>
      <c r="K121" s="136" t="s">
        <v>5191</v>
      </c>
      <c r="L121" s="136"/>
      <c r="M121" s="136"/>
      <c r="N121" s="136"/>
      <c r="O121" s="136"/>
      <c r="P121" s="136"/>
      <c r="Q121" s="136"/>
      <c r="R121" s="136"/>
      <c r="S121" s="136"/>
      <c r="T121" s="136"/>
      <c r="U121" s="136"/>
      <c r="V121" s="136"/>
      <c r="W121" s="136"/>
      <c r="X121" s="136"/>
      <c r="Y121" s="136"/>
      <c r="Z121" s="136"/>
      <c r="AA121" s="136"/>
      <c r="AB121" s="136"/>
      <c r="AC121" s="136"/>
      <c r="AD121" s="136"/>
    </row>
    <row r="122" ht="12.5" spans="1:11">
      <c r="A122" s="129">
        <v>45195</v>
      </c>
      <c r="B122" s="11">
        <v>43</v>
      </c>
      <c r="C122" s="11">
        <v>9</v>
      </c>
      <c r="D122" s="11">
        <v>1</v>
      </c>
      <c r="E122" s="11">
        <v>1</v>
      </c>
      <c r="F122" s="11">
        <v>1</v>
      </c>
      <c r="G122" s="11">
        <v>2</v>
      </c>
      <c r="H122" s="11">
        <v>1</v>
      </c>
      <c r="I122" s="11">
        <v>0</v>
      </c>
      <c r="J122" s="134">
        <v>0.328472222222222</v>
      </c>
      <c r="K122" s="11" t="s">
        <v>5192</v>
      </c>
    </row>
    <row r="123" ht="12.5" spans="1:11">
      <c r="A123" s="129">
        <v>45196</v>
      </c>
      <c r="B123" s="11">
        <v>40</v>
      </c>
      <c r="C123" s="11">
        <v>10</v>
      </c>
      <c r="D123" s="11">
        <v>1</v>
      </c>
      <c r="E123" s="11">
        <v>1</v>
      </c>
      <c r="F123" s="11">
        <v>0</v>
      </c>
      <c r="G123" s="11">
        <v>0</v>
      </c>
      <c r="H123" s="11">
        <v>0</v>
      </c>
      <c r="I123" s="11">
        <v>0</v>
      </c>
      <c r="J123" s="134">
        <v>0.335416666666667</v>
      </c>
      <c r="K123" s="11" t="s">
        <v>5193</v>
      </c>
    </row>
    <row r="124" ht="12.5" spans="1:11">
      <c r="A124" s="129">
        <v>45197</v>
      </c>
      <c r="B124" s="11">
        <v>36</v>
      </c>
      <c r="C124" s="11">
        <v>13</v>
      </c>
      <c r="D124" s="11">
        <v>0</v>
      </c>
      <c r="E124" s="11">
        <v>0</v>
      </c>
      <c r="F124" s="11">
        <v>1</v>
      </c>
      <c r="G124" s="11">
        <v>1</v>
      </c>
      <c r="H124" s="11">
        <v>2</v>
      </c>
      <c r="I124" s="11">
        <v>0</v>
      </c>
      <c r="J124" s="134">
        <v>0.345833333333333</v>
      </c>
      <c r="K124" s="11" t="s">
        <v>5194</v>
      </c>
    </row>
    <row r="125" ht="12.5" spans="1:11">
      <c r="A125" s="129">
        <v>45198</v>
      </c>
      <c r="B125" s="11">
        <v>23</v>
      </c>
      <c r="C125" s="11">
        <v>10</v>
      </c>
      <c r="D125" s="11">
        <v>0</v>
      </c>
      <c r="E125" s="11">
        <v>1</v>
      </c>
      <c r="F125" s="11">
        <v>2</v>
      </c>
      <c r="G125" s="11">
        <v>1</v>
      </c>
      <c r="H125" s="11">
        <v>1</v>
      </c>
      <c r="I125" s="11">
        <v>0</v>
      </c>
      <c r="J125" s="134">
        <v>0.338194444444444</v>
      </c>
      <c r="K125" s="11" t="s">
        <v>5195</v>
      </c>
    </row>
    <row r="126" ht="12.5" spans="1:11">
      <c r="A126" s="129">
        <v>45199</v>
      </c>
      <c r="B126" s="11">
        <v>13</v>
      </c>
      <c r="C126" s="11">
        <v>6</v>
      </c>
      <c r="D126" s="11">
        <v>1</v>
      </c>
      <c r="E126" s="11">
        <v>1</v>
      </c>
      <c r="F126" s="11">
        <v>0</v>
      </c>
      <c r="G126" s="11">
        <v>0</v>
      </c>
      <c r="H126" s="11">
        <v>0</v>
      </c>
      <c r="I126" s="11">
        <v>0</v>
      </c>
      <c r="J126" s="134">
        <v>0.343055555555556</v>
      </c>
      <c r="K126" s="11" t="s">
        <v>5195</v>
      </c>
    </row>
    <row r="127" ht="12.5" spans="1:30">
      <c r="A127" s="130">
        <v>45200</v>
      </c>
      <c r="B127" s="136">
        <v>10</v>
      </c>
      <c r="C127" s="136">
        <v>4</v>
      </c>
      <c r="D127" s="136">
        <v>1</v>
      </c>
      <c r="E127" s="136">
        <v>1</v>
      </c>
      <c r="F127" s="136">
        <v>0</v>
      </c>
      <c r="G127" s="136">
        <v>1</v>
      </c>
      <c r="H127" s="136">
        <v>0</v>
      </c>
      <c r="I127" s="136">
        <v>0</v>
      </c>
      <c r="J127" s="137">
        <v>0.359027777777778</v>
      </c>
      <c r="K127" s="136" t="s">
        <v>5195</v>
      </c>
      <c r="L127" s="136"/>
      <c r="M127" s="136"/>
      <c r="N127" s="136"/>
      <c r="O127" s="136"/>
      <c r="P127" s="136"/>
      <c r="Q127" s="136"/>
      <c r="R127" s="136"/>
      <c r="S127" s="136"/>
      <c r="T127" s="136"/>
      <c r="U127" s="136"/>
      <c r="V127" s="136"/>
      <c r="W127" s="136"/>
      <c r="X127" s="136"/>
      <c r="Y127" s="136"/>
      <c r="Z127" s="136"/>
      <c r="AA127" s="136"/>
      <c r="AB127" s="136"/>
      <c r="AC127" s="136"/>
      <c r="AD127" s="136"/>
    </row>
    <row r="128" ht="12.5" spans="1:30">
      <c r="A128" s="130">
        <v>45201</v>
      </c>
      <c r="B128" s="136">
        <v>33</v>
      </c>
      <c r="C128" s="136">
        <v>10</v>
      </c>
      <c r="D128" s="136">
        <v>1</v>
      </c>
      <c r="E128" s="136">
        <v>1</v>
      </c>
      <c r="F128" s="136">
        <v>0</v>
      </c>
      <c r="G128" s="136">
        <v>0</v>
      </c>
      <c r="H128" s="136">
        <v>0</v>
      </c>
      <c r="I128" s="136">
        <v>0</v>
      </c>
      <c r="J128" s="137">
        <v>0.395833333333333</v>
      </c>
      <c r="K128" s="136" t="s">
        <v>5196</v>
      </c>
      <c r="L128" s="136"/>
      <c r="M128" s="136"/>
      <c r="N128" s="136"/>
      <c r="O128" s="136"/>
      <c r="P128" s="136"/>
      <c r="Q128" s="136"/>
      <c r="R128" s="136"/>
      <c r="S128" s="136"/>
      <c r="T128" s="136"/>
      <c r="U128" s="136"/>
      <c r="V128" s="136"/>
      <c r="W128" s="136"/>
      <c r="X128" s="136"/>
      <c r="Y128" s="136"/>
      <c r="Z128" s="136"/>
      <c r="AA128" s="136"/>
      <c r="AB128" s="136"/>
      <c r="AC128" s="136"/>
      <c r="AD128" s="136"/>
    </row>
    <row r="129" ht="12.5" spans="1:11">
      <c r="A129" s="130">
        <v>45202</v>
      </c>
      <c r="B129" s="11">
        <v>42</v>
      </c>
      <c r="C129" s="11">
        <v>9</v>
      </c>
      <c r="D129" s="11">
        <v>2</v>
      </c>
      <c r="E129" s="11">
        <v>2</v>
      </c>
      <c r="F129" s="11">
        <v>2</v>
      </c>
      <c r="G129" s="11">
        <v>1</v>
      </c>
      <c r="H129" s="11">
        <v>0</v>
      </c>
      <c r="I129" s="11">
        <v>0</v>
      </c>
      <c r="J129" s="134">
        <v>0.338888888888889</v>
      </c>
      <c r="K129" s="11" t="s">
        <v>5197</v>
      </c>
    </row>
    <row r="130" ht="12.5" spans="1:11">
      <c r="A130" s="130">
        <v>45203</v>
      </c>
      <c r="B130" s="11">
        <v>56</v>
      </c>
      <c r="C130" s="11">
        <v>18</v>
      </c>
      <c r="D130" s="11">
        <v>6</v>
      </c>
      <c r="E130" s="11">
        <v>6</v>
      </c>
      <c r="F130" s="11">
        <v>3</v>
      </c>
      <c r="G130" s="11">
        <v>0</v>
      </c>
      <c r="H130" s="11">
        <v>0</v>
      </c>
      <c r="I130" s="11">
        <v>0</v>
      </c>
      <c r="J130" s="134">
        <v>0.342361111111111</v>
      </c>
      <c r="K130" s="11" t="s">
        <v>5198</v>
      </c>
    </row>
    <row r="131" ht="12.5" spans="1:30">
      <c r="A131" s="130">
        <v>45204</v>
      </c>
      <c r="B131" s="136">
        <v>45</v>
      </c>
      <c r="C131" s="136">
        <v>6</v>
      </c>
      <c r="D131" s="136">
        <v>3</v>
      </c>
      <c r="E131" s="136">
        <v>3</v>
      </c>
      <c r="F131" s="136">
        <v>3</v>
      </c>
      <c r="G131" s="136">
        <v>1</v>
      </c>
      <c r="H131" s="136">
        <v>0</v>
      </c>
      <c r="I131" s="136">
        <v>0</v>
      </c>
      <c r="J131" s="137">
        <v>0.306944444444444</v>
      </c>
      <c r="K131" s="136" t="s">
        <v>5199</v>
      </c>
      <c r="L131" s="136"/>
      <c r="M131" s="136"/>
      <c r="N131" s="136"/>
      <c r="O131" s="136"/>
      <c r="P131" s="136"/>
      <c r="Q131" s="136"/>
      <c r="R131" s="136"/>
      <c r="S131" s="136"/>
      <c r="T131" s="136"/>
      <c r="U131" s="136"/>
      <c r="V131" s="136"/>
      <c r="W131" s="136"/>
      <c r="X131" s="136"/>
      <c r="Y131" s="136"/>
      <c r="Z131" s="136"/>
      <c r="AA131" s="136"/>
      <c r="AB131" s="136"/>
      <c r="AC131" s="136"/>
      <c r="AD131" s="136"/>
    </row>
    <row r="132" ht="12.5" spans="1:11">
      <c r="A132" s="130">
        <v>45205</v>
      </c>
      <c r="B132" s="11">
        <v>31</v>
      </c>
      <c r="C132" s="11">
        <v>7</v>
      </c>
      <c r="D132" s="11">
        <v>3</v>
      </c>
      <c r="E132" s="11">
        <v>3</v>
      </c>
      <c r="F132" s="11">
        <v>1</v>
      </c>
      <c r="G132" s="11">
        <v>1</v>
      </c>
      <c r="H132" s="11">
        <v>0</v>
      </c>
      <c r="I132" s="11">
        <v>0</v>
      </c>
      <c r="J132" s="134">
        <v>0.334722222222222</v>
      </c>
      <c r="K132" s="11" t="s">
        <v>5200</v>
      </c>
    </row>
    <row r="133" ht="12.5" spans="1:11">
      <c r="A133" s="130">
        <v>45206</v>
      </c>
      <c r="B133" s="11">
        <v>13</v>
      </c>
      <c r="C133" s="11">
        <v>2</v>
      </c>
      <c r="D133" s="11">
        <v>0</v>
      </c>
      <c r="E133" s="11">
        <v>0</v>
      </c>
      <c r="F133" s="11">
        <v>3</v>
      </c>
      <c r="G133" s="11">
        <v>0</v>
      </c>
      <c r="H133" s="11">
        <v>0</v>
      </c>
      <c r="I133" s="11">
        <v>0</v>
      </c>
      <c r="J133" s="134">
        <v>0.334722222222222</v>
      </c>
      <c r="K133" s="11" t="s">
        <v>5200</v>
      </c>
    </row>
    <row r="134" ht="12.5" spans="1:11">
      <c r="A134" s="130">
        <v>45207</v>
      </c>
      <c r="B134" s="11">
        <v>12</v>
      </c>
      <c r="C134" s="11">
        <v>3</v>
      </c>
      <c r="D134" s="11">
        <v>1</v>
      </c>
      <c r="E134" s="11">
        <v>1</v>
      </c>
      <c r="F134" s="11">
        <v>0</v>
      </c>
      <c r="G134" s="11">
        <v>0</v>
      </c>
      <c r="H134" s="11">
        <v>0</v>
      </c>
      <c r="I134" s="11">
        <v>0</v>
      </c>
      <c r="J134" s="134">
        <v>0.334722222222222</v>
      </c>
      <c r="K134" s="11" t="s">
        <v>5200</v>
      </c>
    </row>
    <row r="135" ht="12.5" spans="1:30">
      <c r="A135" s="130">
        <v>45208</v>
      </c>
      <c r="B135" s="136">
        <v>49</v>
      </c>
      <c r="C135" s="136">
        <v>7</v>
      </c>
      <c r="D135" s="136">
        <v>2</v>
      </c>
      <c r="E135" s="136">
        <v>2</v>
      </c>
      <c r="F135" s="136">
        <v>3</v>
      </c>
      <c r="G135" s="136">
        <v>0</v>
      </c>
      <c r="H135" s="136">
        <v>0</v>
      </c>
      <c r="I135" s="136">
        <v>1</v>
      </c>
      <c r="J135" s="137">
        <v>0.355555555555556</v>
      </c>
      <c r="K135" s="136" t="s">
        <v>5201</v>
      </c>
      <c r="L135" s="136"/>
      <c r="M135" s="136"/>
      <c r="N135" s="136"/>
      <c r="O135" s="136"/>
      <c r="P135" s="136"/>
      <c r="Q135" s="136"/>
      <c r="R135" s="136"/>
      <c r="S135" s="136"/>
      <c r="T135" s="136"/>
      <c r="U135" s="136"/>
      <c r="V135" s="136"/>
      <c r="W135" s="136"/>
      <c r="X135" s="136"/>
      <c r="Y135" s="136"/>
      <c r="Z135" s="136"/>
      <c r="AA135" s="136"/>
      <c r="AB135" s="136"/>
      <c r="AC135" s="136"/>
      <c r="AD135" s="136"/>
    </row>
    <row r="136" ht="12.5" spans="1:30">
      <c r="A136" s="138">
        <v>33887</v>
      </c>
      <c r="B136" s="136">
        <v>54</v>
      </c>
      <c r="C136" s="136">
        <v>10</v>
      </c>
      <c r="D136" s="136">
        <v>3</v>
      </c>
      <c r="E136" s="136">
        <v>2</v>
      </c>
      <c r="F136" s="136">
        <v>3</v>
      </c>
      <c r="G136" s="136">
        <v>2</v>
      </c>
      <c r="H136" s="136">
        <v>1</v>
      </c>
      <c r="I136" s="136">
        <v>0</v>
      </c>
      <c r="J136" s="137">
        <v>0.375</v>
      </c>
      <c r="K136" s="136" t="s">
        <v>5177</v>
      </c>
      <c r="L136" s="136"/>
      <c r="M136" s="136"/>
      <c r="N136" s="136"/>
      <c r="O136" s="136"/>
      <c r="P136" s="136"/>
      <c r="Q136" s="136"/>
      <c r="R136" s="136"/>
      <c r="S136" s="136"/>
      <c r="T136" s="136"/>
      <c r="U136" s="136"/>
      <c r="V136" s="136"/>
      <c r="W136" s="136"/>
      <c r="X136" s="136"/>
      <c r="Y136" s="136"/>
      <c r="Z136" s="136"/>
      <c r="AA136" s="136"/>
      <c r="AB136" s="136"/>
      <c r="AC136" s="136"/>
      <c r="AD136" s="136"/>
    </row>
    <row r="137" ht="12.5" spans="1:11">
      <c r="A137" s="138">
        <v>33888</v>
      </c>
      <c r="B137" s="136">
        <v>33</v>
      </c>
      <c r="C137" s="11">
        <v>9</v>
      </c>
      <c r="D137" s="11">
        <v>0</v>
      </c>
      <c r="E137" s="11">
        <v>0</v>
      </c>
      <c r="F137" s="11">
        <v>1</v>
      </c>
      <c r="G137" s="11">
        <v>0</v>
      </c>
      <c r="H137" s="11">
        <v>0</v>
      </c>
      <c r="I137" s="11">
        <v>0</v>
      </c>
      <c r="J137" s="134">
        <v>0.344444444444444</v>
      </c>
      <c r="K137" s="11" t="s">
        <v>5202</v>
      </c>
    </row>
    <row r="138" ht="12.5" spans="1:11">
      <c r="A138" s="138">
        <v>45211</v>
      </c>
      <c r="B138" s="136">
        <v>7</v>
      </c>
      <c r="C138" s="11">
        <v>2</v>
      </c>
      <c r="D138" s="11">
        <v>1</v>
      </c>
      <c r="E138" s="11">
        <v>1</v>
      </c>
      <c r="F138" s="11">
        <v>1</v>
      </c>
      <c r="G138" s="11">
        <v>2</v>
      </c>
      <c r="H138" s="11">
        <v>0</v>
      </c>
      <c r="I138" s="11">
        <v>0</v>
      </c>
      <c r="J138" s="134">
        <v>0.344444444444444</v>
      </c>
      <c r="K138" s="11" t="s">
        <v>5202</v>
      </c>
    </row>
    <row r="139" ht="12.5" spans="1:11">
      <c r="A139" s="138">
        <v>45212</v>
      </c>
      <c r="B139" s="136">
        <v>21</v>
      </c>
      <c r="C139" s="11">
        <v>3</v>
      </c>
      <c r="D139" s="11">
        <v>2</v>
      </c>
      <c r="E139" s="11">
        <v>2</v>
      </c>
      <c r="F139" s="11">
        <v>1</v>
      </c>
      <c r="G139" s="11">
        <v>0</v>
      </c>
      <c r="H139" s="11">
        <v>0</v>
      </c>
      <c r="I139" s="11">
        <v>0</v>
      </c>
      <c r="J139" s="134">
        <v>0.344444444444444</v>
      </c>
      <c r="K139" s="11" t="s">
        <v>5202</v>
      </c>
    </row>
    <row r="140" ht="12.5" spans="1:11">
      <c r="A140" s="138">
        <v>45213</v>
      </c>
      <c r="B140" s="136">
        <v>12</v>
      </c>
      <c r="C140" s="11">
        <v>5</v>
      </c>
      <c r="D140" s="11">
        <v>2</v>
      </c>
      <c r="E140" s="11">
        <v>1</v>
      </c>
      <c r="F140" s="11">
        <v>1</v>
      </c>
      <c r="G140" s="11">
        <v>0</v>
      </c>
      <c r="H140" s="11">
        <v>1</v>
      </c>
      <c r="I140" s="11">
        <v>0</v>
      </c>
      <c r="J140" s="134">
        <v>0.344444444444444</v>
      </c>
      <c r="K140" s="11" t="s">
        <v>5202</v>
      </c>
    </row>
    <row r="141" ht="12.5" spans="1:11">
      <c r="A141" s="138">
        <v>45214</v>
      </c>
      <c r="B141" s="136">
        <v>18</v>
      </c>
      <c r="C141" s="11">
        <v>3</v>
      </c>
      <c r="D141" s="11">
        <v>3</v>
      </c>
      <c r="E141" s="11">
        <v>2</v>
      </c>
      <c r="F141" s="11">
        <v>0</v>
      </c>
      <c r="G141" s="11">
        <v>1</v>
      </c>
      <c r="H141" s="11">
        <v>0</v>
      </c>
      <c r="I141" s="11">
        <v>0</v>
      </c>
      <c r="J141" s="134">
        <v>0.344444444444444</v>
      </c>
      <c r="K141" s="11" t="s">
        <v>5202</v>
      </c>
    </row>
    <row r="142" ht="12.5" spans="1:11">
      <c r="A142" s="138">
        <v>45215</v>
      </c>
      <c r="B142" s="11">
        <v>43</v>
      </c>
      <c r="C142" s="11">
        <v>19</v>
      </c>
      <c r="D142" s="11">
        <v>3</v>
      </c>
      <c r="E142" s="11">
        <v>2</v>
      </c>
      <c r="F142" s="11">
        <v>2</v>
      </c>
      <c r="G142" s="11">
        <v>0</v>
      </c>
      <c r="H142" s="11">
        <v>0</v>
      </c>
      <c r="I142" s="11">
        <v>0</v>
      </c>
      <c r="J142" s="134">
        <v>0.326388888888889</v>
      </c>
      <c r="K142" s="11" t="s">
        <v>5203</v>
      </c>
    </row>
    <row r="143" ht="12.5" spans="1:11">
      <c r="A143" s="138">
        <v>45216</v>
      </c>
      <c r="B143" s="11">
        <v>42</v>
      </c>
      <c r="C143" s="11">
        <v>8</v>
      </c>
      <c r="D143" s="11">
        <v>7</v>
      </c>
      <c r="E143" s="11">
        <v>6</v>
      </c>
      <c r="F143" s="11">
        <v>3</v>
      </c>
      <c r="G143" s="11">
        <v>0</v>
      </c>
      <c r="H143" s="11">
        <v>0</v>
      </c>
      <c r="I143" s="11">
        <v>0</v>
      </c>
      <c r="J143" s="134">
        <v>0.341666666666667</v>
      </c>
      <c r="K143" s="11" t="s">
        <v>5204</v>
      </c>
    </row>
    <row r="144" ht="12.5" spans="1:11">
      <c r="A144" s="138">
        <v>45217</v>
      </c>
      <c r="B144" s="11">
        <v>47</v>
      </c>
      <c r="C144" s="11">
        <v>15</v>
      </c>
      <c r="D144" s="11">
        <v>2</v>
      </c>
      <c r="E144" s="11">
        <v>2</v>
      </c>
      <c r="F144" s="11">
        <v>2</v>
      </c>
      <c r="G144" s="11">
        <v>2</v>
      </c>
      <c r="H144" s="11">
        <v>1</v>
      </c>
      <c r="I144" s="11">
        <v>1</v>
      </c>
      <c r="J144" s="134">
        <v>0.357638888888889</v>
      </c>
      <c r="K144" s="11" t="s">
        <v>5205</v>
      </c>
    </row>
    <row r="145" ht="12.5" spans="1:11">
      <c r="A145" s="138">
        <v>45218</v>
      </c>
      <c r="B145" s="11">
        <v>41</v>
      </c>
      <c r="C145" s="11">
        <v>16</v>
      </c>
      <c r="D145" s="11">
        <v>2</v>
      </c>
      <c r="E145" s="11">
        <v>2</v>
      </c>
      <c r="F145" s="11">
        <v>0</v>
      </c>
      <c r="G145" s="11">
        <v>1</v>
      </c>
      <c r="H145" s="11">
        <v>0</v>
      </c>
      <c r="I145" s="11">
        <v>0</v>
      </c>
      <c r="J145" s="134">
        <v>0.358333333333333</v>
      </c>
      <c r="K145" s="11" t="s">
        <v>5206</v>
      </c>
    </row>
    <row r="146" ht="12.5" spans="1:11">
      <c r="A146" s="138">
        <v>45219</v>
      </c>
      <c r="B146" s="11">
        <v>43</v>
      </c>
      <c r="C146" s="11">
        <v>9</v>
      </c>
      <c r="D146" s="11">
        <v>5</v>
      </c>
      <c r="E146" s="11">
        <v>4</v>
      </c>
      <c r="F146" s="11">
        <v>1</v>
      </c>
      <c r="G146" s="11">
        <v>0</v>
      </c>
      <c r="H146" s="11">
        <v>0</v>
      </c>
      <c r="I146" s="11">
        <v>0</v>
      </c>
      <c r="J146" s="134">
        <v>0.311111111111111</v>
      </c>
      <c r="K146" s="11" t="s">
        <v>5207</v>
      </c>
    </row>
    <row r="147" ht="12.5" spans="1:11">
      <c r="A147" s="138">
        <v>45220</v>
      </c>
      <c r="B147" s="11">
        <v>17</v>
      </c>
      <c r="C147" s="11">
        <v>3</v>
      </c>
      <c r="D147" s="11">
        <v>3</v>
      </c>
      <c r="E147" s="11">
        <v>3</v>
      </c>
      <c r="F147" s="11">
        <v>2</v>
      </c>
      <c r="G147" s="11">
        <v>0</v>
      </c>
      <c r="H147" s="11">
        <v>0</v>
      </c>
      <c r="I147" s="11">
        <v>0</v>
      </c>
      <c r="J147" s="134">
        <v>0.311111111111111</v>
      </c>
      <c r="K147" s="11" t="s">
        <v>5207</v>
      </c>
    </row>
    <row r="148" ht="12.5" spans="1:11">
      <c r="A148" s="138">
        <v>45221</v>
      </c>
      <c r="B148" s="11">
        <v>14</v>
      </c>
      <c r="C148" s="11">
        <v>3</v>
      </c>
      <c r="D148" s="11">
        <v>3</v>
      </c>
      <c r="E148" s="11">
        <v>3</v>
      </c>
      <c r="F148" s="11">
        <v>1</v>
      </c>
      <c r="G148" s="11">
        <v>1</v>
      </c>
      <c r="H148" s="11">
        <v>0</v>
      </c>
      <c r="I148" s="11">
        <v>0</v>
      </c>
      <c r="J148" s="134">
        <v>0.311111111111111</v>
      </c>
      <c r="K148" s="11" t="s">
        <v>5207</v>
      </c>
    </row>
    <row r="149" ht="12.5" spans="1:11">
      <c r="A149" s="138">
        <v>45222</v>
      </c>
      <c r="B149" s="11">
        <v>47</v>
      </c>
      <c r="C149" s="11">
        <v>4</v>
      </c>
      <c r="D149" s="11">
        <v>4</v>
      </c>
      <c r="E149" s="11">
        <v>3</v>
      </c>
      <c r="F149" s="11">
        <v>0</v>
      </c>
      <c r="G149" s="11">
        <v>3</v>
      </c>
      <c r="H149" s="11">
        <v>1</v>
      </c>
      <c r="I149" s="11">
        <v>0</v>
      </c>
      <c r="J149" s="134">
        <v>0.324305555555556</v>
      </c>
      <c r="K149" s="11" t="s">
        <v>5208</v>
      </c>
    </row>
    <row r="150" ht="12.5" spans="1:11">
      <c r="A150" s="138">
        <v>45223</v>
      </c>
      <c r="B150" s="11">
        <v>58</v>
      </c>
      <c r="C150" s="11">
        <v>15</v>
      </c>
      <c r="D150" s="11">
        <v>3</v>
      </c>
      <c r="E150" s="11">
        <v>3</v>
      </c>
      <c r="F150" s="11">
        <v>2</v>
      </c>
      <c r="G150" s="11">
        <v>0</v>
      </c>
      <c r="H150" s="11">
        <v>3</v>
      </c>
      <c r="I150" s="11">
        <v>0</v>
      </c>
      <c r="J150" s="134">
        <v>0.345833333333333</v>
      </c>
      <c r="K150" s="11" t="s">
        <v>5209</v>
      </c>
    </row>
    <row r="151" ht="12.5" spans="1:11">
      <c r="A151" s="138">
        <v>45224</v>
      </c>
      <c r="B151" s="11">
        <v>59</v>
      </c>
      <c r="C151" s="11">
        <v>22</v>
      </c>
      <c r="D151" s="11">
        <v>2</v>
      </c>
      <c r="E151" s="11">
        <v>2</v>
      </c>
      <c r="F151" s="11">
        <v>2</v>
      </c>
      <c r="G151" s="11">
        <v>0</v>
      </c>
      <c r="H151" s="11">
        <v>0</v>
      </c>
      <c r="I151" s="11">
        <v>0</v>
      </c>
      <c r="J151" s="134">
        <v>0.402083333333333</v>
      </c>
      <c r="K151" s="11" t="s">
        <v>5210</v>
      </c>
    </row>
    <row r="152" ht="12.5" spans="1:11">
      <c r="A152" s="138">
        <v>45225</v>
      </c>
      <c r="B152" s="11">
        <v>53</v>
      </c>
      <c r="C152" s="11">
        <v>10</v>
      </c>
      <c r="D152" s="11">
        <v>4</v>
      </c>
      <c r="E152" s="11">
        <v>2</v>
      </c>
      <c r="F152" s="11">
        <v>1</v>
      </c>
      <c r="G152" s="11">
        <v>2</v>
      </c>
      <c r="H152" s="11">
        <v>0</v>
      </c>
      <c r="I152" s="11">
        <v>0</v>
      </c>
      <c r="J152" s="134">
        <v>0.342361111111111</v>
      </c>
      <c r="K152" s="11" t="s">
        <v>5211</v>
      </c>
    </row>
    <row r="153" ht="12.5" spans="1:11">
      <c r="A153" s="138">
        <v>45226</v>
      </c>
      <c r="B153" s="11">
        <v>43</v>
      </c>
      <c r="C153" s="11">
        <v>12</v>
      </c>
      <c r="D153" s="11">
        <v>5</v>
      </c>
      <c r="E153" s="11">
        <v>4</v>
      </c>
      <c r="F153" s="11">
        <v>0</v>
      </c>
      <c r="G153" s="11">
        <v>2</v>
      </c>
      <c r="H153" s="11">
        <v>2</v>
      </c>
      <c r="I153" s="11">
        <v>0</v>
      </c>
      <c r="J153" s="134">
        <v>0.323611111111111</v>
      </c>
      <c r="K153" s="11" t="s">
        <v>5212</v>
      </c>
    </row>
    <row r="154" ht="12.5" spans="1:11">
      <c r="A154" s="138">
        <v>45227</v>
      </c>
      <c r="B154" s="11">
        <v>13</v>
      </c>
      <c r="C154" s="11">
        <v>2</v>
      </c>
      <c r="D154" s="11">
        <v>1</v>
      </c>
      <c r="E154" s="11">
        <v>1</v>
      </c>
      <c r="F154" s="11">
        <v>1</v>
      </c>
      <c r="G154" s="11">
        <v>4</v>
      </c>
      <c r="H154" s="11">
        <v>0</v>
      </c>
      <c r="I154" s="11">
        <v>0</v>
      </c>
      <c r="J154" s="134">
        <v>0.323611111111111</v>
      </c>
      <c r="K154" s="11" t="s">
        <v>5212</v>
      </c>
    </row>
    <row r="155" ht="12.5" spans="1:11">
      <c r="A155" s="138">
        <v>45228</v>
      </c>
      <c r="B155" s="11">
        <v>12</v>
      </c>
      <c r="C155" s="11">
        <v>3</v>
      </c>
      <c r="D155" s="11">
        <v>2</v>
      </c>
      <c r="E155" s="11">
        <v>2</v>
      </c>
      <c r="F155" s="11">
        <v>0</v>
      </c>
      <c r="G155" s="11">
        <v>0</v>
      </c>
      <c r="H155" s="11">
        <v>0</v>
      </c>
      <c r="I155" s="11">
        <v>0</v>
      </c>
      <c r="J155" s="134">
        <v>0.323611111111111</v>
      </c>
      <c r="K155" s="11" t="s">
        <v>5212</v>
      </c>
    </row>
    <row r="156" ht="12.5" spans="1:11">
      <c r="A156" s="138">
        <v>45229</v>
      </c>
      <c r="B156" s="11">
        <v>46</v>
      </c>
      <c r="C156" s="11">
        <v>4</v>
      </c>
      <c r="D156" s="11">
        <v>3</v>
      </c>
      <c r="E156" s="11">
        <v>4</v>
      </c>
      <c r="F156" s="11">
        <v>2</v>
      </c>
      <c r="G156" s="11">
        <v>0</v>
      </c>
      <c r="H156" s="11">
        <v>2</v>
      </c>
      <c r="I156" s="11">
        <v>0</v>
      </c>
      <c r="J156" s="134">
        <v>0.372222222222222</v>
      </c>
      <c r="K156" s="11" t="s">
        <v>5213</v>
      </c>
    </row>
    <row r="157" ht="12.5" spans="1:11">
      <c r="A157" s="138">
        <v>45230</v>
      </c>
      <c r="B157" s="11">
        <v>34</v>
      </c>
      <c r="C157" s="11">
        <v>12</v>
      </c>
      <c r="D157" s="11">
        <v>1</v>
      </c>
      <c r="E157" s="11">
        <v>1</v>
      </c>
      <c r="F157" s="11">
        <v>0</v>
      </c>
      <c r="G157" s="11">
        <v>3</v>
      </c>
      <c r="H157" s="11">
        <v>0</v>
      </c>
      <c r="I157" s="11">
        <v>0</v>
      </c>
      <c r="J157" s="134">
        <v>0.339583333333333</v>
      </c>
      <c r="K157" s="11" t="s">
        <v>5214</v>
      </c>
    </row>
    <row r="158" ht="12.5" spans="1:11">
      <c r="A158" s="129">
        <v>45231</v>
      </c>
      <c r="B158" s="11">
        <v>39</v>
      </c>
      <c r="C158" s="11">
        <v>12</v>
      </c>
      <c r="D158" s="11">
        <v>0</v>
      </c>
      <c r="E158" s="11">
        <v>0</v>
      </c>
      <c r="F158" s="11">
        <v>1</v>
      </c>
      <c r="G158" s="11">
        <v>1</v>
      </c>
      <c r="H158" s="11">
        <v>0</v>
      </c>
      <c r="I158" s="11">
        <v>0</v>
      </c>
      <c r="J158" s="134">
        <v>0.347916666666667</v>
      </c>
      <c r="K158" s="11" t="s">
        <v>5215</v>
      </c>
    </row>
    <row r="159" ht="12.5" spans="1:11">
      <c r="A159" s="129">
        <v>45232</v>
      </c>
      <c r="B159" s="11">
        <v>20</v>
      </c>
      <c r="C159" s="11">
        <v>8</v>
      </c>
      <c r="D159" s="11">
        <v>4</v>
      </c>
      <c r="E159" s="11">
        <v>3</v>
      </c>
      <c r="F159" s="11">
        <v>0</v>
      </c>
      <c r="G159" s="11">
        <v>2</v>
      </c>
      <c r="H159" s="11">
        <v>0</v>
      </c>
      <c r="I159" s="11">
        <v>0</v>
      </c>
      <c r="J159" s="134">
        <v>0.347916666666667</v>
      </c>
      <c r="K159" s="11" t="s">
        <v>5215</v>
      </c>
    </row>
    <row r="160" ht="12.5" spans="1:11">
      <c r="A160" s="129">
        <v>45233</v>
      </c>
      <c r="B160" s="11">
        <v>19</v>
      </c>
      <c r="C160" s="11">
        <v>5</v>
      </c>
      <c r="D160" s="11">
        <v>1</v>
      </c>
      <c r="E160" s="11">
        <v>1</v>
      </c>
      <c r="F160" s="11">
        <v>3</v>
      </c>
      <c r="G160" s="11">
        <v>0</v>
      </c>
      <c r="H160" s="11">
        <v>0</v>
      </c>
      <c r="I160" s="11">
        <v>0</v>
      </c>
      <c r="J160" s="134">
        <v>0.347916666666667</v>
      </c>
      <c r="K160" s="11" t="s">
        <v>5215</v>
      </c>
    </row>
    <row r="161" ht="12.5" spans="1:11">
      <c r="A161" s="129">
        <v>45234</v>
      </c>
      <c r="B161" s="11">
        <v>14</v>
      </c>
      <c r="C161" s="11">
        <v>3</v>
      </c>
      <c r="D161" s="11">
        <v>1</v>
      </c>
      <c r="E161" s="11">
        <v>1</v>
      </c>
      <c r="F161" s="11">
        <v>1</v>
      </c>
      <c r="G161" s="11">
        <v>0</v>
      </c>
      <c r="H161" s="11">
        <v>0</v>
      </c>
      <c r="I161" s="11">
        <v>0</v>
      </c>
      <c r="J161" s="134">
        <v>0.347916666666667</v>
      </c>
      <c r="K161" s="11" t="s">
        <v>5215</v>
      </c>
    </row>
    <row r="162" ht="12.5" spans="1:11">
      <c r="A162" s="129">
        <v>45235</v>
      </c>
      <c r="B162" s="11">
        <v>8</v>
      </c>
      <c r="C162" s="11">
        <v>2</v>
      </c>
      <c r="D162" s="11">
        <v>1</v>
      </c>
      <c r="E162" s="11">
        <v>1</v>
      </c>
      <c r="F162" s="11">
        <v>0</v>
      </c>
      <c r="G162" s="11">
        <v>1</v>
      </c>
      <c r="H162" s="11">
        <v>0</v>
      </c>
      <c r="I162" s="11">
        <v>0</v>
      </c>
      <c r="J162" s="134">
        <v>0.347916666666667</v>
      </c>
      <c r="K162" s="11" t="s">
        <v>5215</v>
      </c>
    </row>
    <row r="163" ht="12.5" spans="1:30">
      <c r="A163" s="129">
        <v>45236</v>
      </c>
      <c r="B163" s="136">
        <v>46</v>
      </c>
      <c r="C163" s="136">
        <v>14</v>
      </c>
      <c r="D163" s="11">
        <v>4</v>
      </c>
      <c r="E163" s="136">
        <v>3</v>
      </c>
      <c r="F163" s="136">
        <v>1</v>
      </c>
      <c r="G163" s="136">
        <v>0</v>
      </c>
      <c r="H163" s="136">
        <v>0</v>
      </c>
      <c r="I163" s="136">
        <v>0</v>
      </c>
      <c r="J163" s="137">
        <v>0.319444444444444</v>
      </c>
      <c r="K163" s="136" t="s">
        <v>5216</v>
      </c>
      <c r="L163" s="136"/>
      <c r="M163" s="136"/>
      <c r="N163" s="136"/>
      <c r="O163" s="136"/>
      <c r="P163" s="136"/>
      <c r="Q163" s="136"/>
      <c r="R163" s="136"/>
      <c r="S163" s="136"/>
      <c r="T163" s="136"/>
      <c r="U163" s="136"/>
      <c r="V163" s="136"/>
      <c r="W163" s="136"/>
      <c r="X163" s="136"/>
      <c r="Y163" s="136"/>
      <c r="Z163" s="136"/>
      <c r="AA163" s="136"/>
      <c r="AB163" s="136"/>
      <c r="AC163" s="136"/>
      <c r="AD163" s="136"/>
    </row>
    <row r="164" ht="12.5" spans="1:30">
      <c r="A164" s="129">
        <v>45237</v>
      </c>
      <c r="B164" s="136">
        <v>54</v>
      </c>
      <c r="C164" s="136">
        <v>17</v>
      </c>
      <c r="D164" s="136">
        <v>2</v>
      </c>
      <c r="E164" s="136">
        <v>2</v>
      </c>
      <c r="F164" s="136">
        <v>0</v>
      </c>
      <c r="G164" s="11">
        <v>3</v>
      </c>
      <c r="H164" s="136">
        <v>3</v>
      </c>
      <c r="I164" s="136">
        <v>0</v>
      </c>
      <c r="J164" s="137">
        <v>0.316666666666667</v>
      </c>
      <c r="K164" s="136" t="s">
        <v>5217</v>
      </c>
      <c r="L164" s="136"/>
      <c r="M164" s="136"/>
      <c r="N164" s="136"/>
      <c r="O164" s="136"/>
      <c r="P164" s="136"/>
      <c r="Q164" s="136"/>
      <c r="R164" s="136"/>
      <c r="S164" s="136"/>
      <c r="T164" s="136"/>
      <c r="U164" s="136"/>
      <c r="V164" s="136"/>
      <c r="W164" s="136"/>
      <c r="X164" s="136"/>
      <c r="Y164" s="136"/>
      <c r="Z164" s="136"/>
      <c r="AA164" s="136"/>
      <c r="AB164" s="136"/>
      <c r="AC164" s="136"/>
      <c r="AD164" s="136"/>
    </row>
    <row r="165" ht="12.5" spans="1:11">
      <c r="A165" s="129">
        <v>45238</v>
      </c>
      <c r="B165" s="11">
        <v>48</v>
      </c>
      <c r="C165" s="11">
        <v>13</v>
      </c>
      <c r="D165" s="11">
        <v>1</v>
      </c>
      <c r="E165" s="11">
        <v>1</v>
      </c>
      <c r="F165" s="11">
        <v>0</v>
      </c>
      <c r="G165" s="11">
        <v>1</v>
      </c>
      <c r="H165" s="11">
        <v>0</v>
      </c>
      <c r="I165" s="11">
        <v>0</v>
      </c>
      <c r="J165" s="134">
        <v>0.330555555555556</v>
      </c>
      <c r="K165" s="11" t="s">
        <v>5218</v>
      </c>
    </row>
    <row r="166" ht="12.5" spans="1:11">
      <c r="A166" s="129">
        <v>45239</v>
      </c>
      <c r="B166" s="11">
        <v>45</v>
      </c>
      <c r="C166" s="11">
        <v>11</v>
      </c>
      <c r="D166" s="11">
        <v>1</v>
      </c>
      <c r="E166" s="11">
        <v>1</v>
      </c>
      <c r="F166" s="11">
        <v>1</v>
      </c>
      <c r="G166" s="11">
        <v>0</v>
      </c>
      <c r="H166" s="11">
        <v>0</v>
      </c>
      <c r="I166" s="11">
        <v>0</v>
      </c>
      <c r="J166" s="134">
        <v>0.310416666666667</v>
      </c>
      <c r="K166" s="11" t="s">
        <v>5219</v>
      </c>
    </row>
    <row r="167" ht="12.5" spans="1:11">
      <c r="A167" s="139">
        <v>45240</v>
      </c>
      <c r="B167" s="11">
        <v>56</v>
      </c>
      <c r="C167" s="11">
        <v>16</v>
      </c>
      <c r="D167" s="11">
        <v>0</v>
      </c>
      <c r="E167" s="11">
        <v>0</v>
      </c>
      <c r="F167" s="11">
        <v>0</v>
      </c>
      <c r="G167" s="11">
        <v>2</v>
      </c>
      <c r="H167" s="11">
        <v>0</v>
      </c>
      <c r="I167" s="11">
        <v>0</v>
      </c>
      <c r="J167" s="134">
        <v>0.352083333333333</v>
      </c>
      <c r="K167" s="11" t="s">
        <v>5220</v>
      </c>
    </row>
    <row r="168" ht="12.5" spans="1:11">
      <c r="A168" s="139">
        <v>45241</v>
      </c>
      <c r="B168" s="11">
        <v>23</v>
      </c>
      <c r="C168" s="11">
        <v>2</v>
      </c>
      <c r="D168" s="11">
        <v>1</v>
      </c>
      <c r="E168" s="11">
        <v>1</v>
      </c>
      <c r="F168" s="11">
        <v>0</v>
      </c>
      <c r="G168" s="11">
        <v>1</v>
      </c>
      <c r="H168" s="11">
        <v>0</v>
      </c>
      <c r="I168" s="11">
        <v>0</v>
      </c>
      <c r="J168" s="134">
        <v>0.352083333333333</v>
      </c>
      <c r="K168" s="11" t="s">
        <v>5220</v>
      </c>
    </row>
    <row r="169" ht="12.5" spans="1:11">
      <c r="A169" s="139">
        <v>45242</v>
      </c>
      <c r="B169" s="11">
        <v>17</v>
      </c>
      <c r="C169" s="11">
        <v>4</v>
      </c>
      <c r="D169" s="11">
        <v>1</v>
      </c>
      <c r="E169" s="11">
        <v>1</v>
      </c>
      <c r="F169" s="11">
        <v>0</v>
      </c>
      <c r="G169" s="11">
        <v>0</v>
      </c>
      <c r="H169" s="11">
        <v>0</v>
      </c>
      <c r="I169" s="11">
        <v>0</v>
      </c>
      <c r="J169" s="134">
        <v>0.352083333333333</v>
      </c>
      <c r="K169" s="11" t="s">
        <v>5220</v>
      </c>
    </row>
    <row r="170" ht="12.5" spans="1:30">
      <c r="A170" s="139">
        <v>45243</v>
      </c>
      <c r="B170" s="136">
        <v>68</v>
      </c>
      <c r="C170" s="136">
        <v>13</v>
      </c>
      <c r="D170" s="136">
        <v>3</v>
      </c>
      <c r="E170" s="136">
        <v>3</v>
      </c>
      <c r="F170" s="136">
        <v>0</v>
      </c>
      <c r="G170" s="136">
        <v>0</v>
      </c>
      <c r="H170" s="136">
        <v>0</v>
      </c>
      <c r="I170" s="136">
        <v>0</v>
      </c>
      <c r="J170" s="137">
        <v>0.335416666666667</v>
      </c>
      <c r="K170" s="11" t="s">
        <v>5221</v>
      </c>
      <c r="L170" s="136"/>
      <c r="M170" s="136"/>
      <c r="N170" s="136"/>
      <c r="O170" s="136"/>
      <c r="P170" s="136"/>
      <c r="Q170" s="136"/>
      <c r="R170" s="136"/>
      <c r="S170" s="136"/>
      <c r="T170" s="136"/>
      <c r="U170" s="136"/>
      <c r="V170" s="136"/>
      <c r="W170" s="136"/>
      <c r="X170" s="136"/>
      <c r="Y170" s="136"/>
      <c r="Z170" s="136"/>
      <c r="AA170" s="136"/>
      <c r="AB170" s="136"/>
      <c r="AC170" s="136"/>
      <c r="AD170" s="136"/>
    </row>
    <row r="171" ht="12.5" spans="1:11">
      <c r="A171" s="139">
        <v>45244</v>
      </c>
      <c r="B171" s="11">
        <v>48</v>
      </c>
      <c r="C171" s="11">
        <v>13</v>
      </c>
      <c r="D171" s="11">
        <v>3</v>
      </c>
      <c r="E171" s="11">
        <v>3</v>
      </c>
      <c r="F171" s="11">
        <v>3</v>
      </c>
      <c r="G171" s="11">
        <v>0</v>
      </c>
      <c r="H171" s="11">
        <v>1</v>
      </c>
      <c r="I171" s="11">
        <v>0</v>
      </c>
      <c r="J171" s="134">
        <v>0.314583333333333</v>
      </c>
      <c r="K171" s="11" t="s">
        <v>5222</v>
      </c>
    </row>
    <row r="172" ht="12.5" spans="1:11">
      <c r="A172" s="139">
        <v>45245</v>
      </c>
      <c r="B172" s="11">
        <v>21</v>
      </c>
      <c r="C172" s="11">
        <v>4</v>
      </c>
      <c r="D172" s="11">
        <v>3</v>
      </c>
      <c r="E172" s="11">
        <v>1</v>
      </c>
      <c r="F172" s="11">
        <v>2</v>
      </c>
      <c r="G172" s="11">
        <v>1</v>
      </c>
      <c r="H172" s="11">
        <v>0</v>
      </c>
      <c r="I172" s="11">
        <v>0</v>
      </c>
      <c r="J172" s="134">
        <v>0.314583333333333</v>
      </c>
      <c r="K172" s="11" t="s">
        <v>5222</v>
      </c>
    </row>
    <row r="173" ht="12.5" spans="1:11">
      <c r="A173" s="139">
        <v>45246</v>
      </c>
      <c r="B173" s="11">
        <v>48</v>
      </c>
      <c r="C173" s="11">
        <v>7</v>
      </c>
      <c r="D173" s="11">
        <v>1</v>
      </c>
      <c r="E173" s="11">
        <v>1</v>
      </c>
      <c r="F173" s="11">
        <v>0</v>
      </c>
      <c r="G173" s="11">
        <v>1</v>
      </c>
      <c r="H173" s="11">
        <v>1</v>
      </c>
      <c r="I173" s="11">
        <v>0</v>
      </c>
      <c r="J173" s="134">
        <v>0.659722222222222</v>
      </c>
      <c r="K173" s="11" t="s">
        <v>5223</v>
      </c>
    </row>
    <row r="174" ht="12.5" spans="1:11">
      <c r="A174" s="139">
        <v>45247</v>
      </c>
      <c r="B174" s="11">
        <v>24</v>
      </c>
      <c r="C174" s="11">
        <v>1</v>
      </c>
      <c r="D174" s="11">
        <v>1</v>
      </c>
      <c r="E174" s="11">
        <v>1</v>
      </c>
      <c r="F174" s="11">
        <v>0</v>
      </c>
      <c r="G174" s="11">
        <v>2</v>
      </c>
      <c r="H174" s="11">
        <v>0</v>
      </c>
      <c r="I174" s="11">
        <v>0</v>
      </c>
      <c r="J174" s="134">
        <v>0.324305555555556</v>
      </c>
      <c r="K174" s="11" t="s">
        <v>5224</v>
      </c>
    </row>
    <row r="175" ht="12.5" spans="1:11">
      <c r="A175" s="139">
        <v>45248</v>
      </c>
      <c r="B175" s="11">
        <v>22</v>
      </c>
      <c r="C175" s="11">
        <v>5</v>
      </c>
      <c r="D175" s="11">
        <v>2</v>
      </c>
      <c r="E175" s="11">
        <v>2</v>
      </c>
      <c r="F175" s="11">
        <v>1</v>
      </c>
      <c r="G175" s="11">
        <v>0</v>
      </c>
      <c r="H175" s="11">
        <v>0</v>
      </c>
      <c r="I175" s="11">
        <v>0</v>
      </c>
      <c r="J175" s="134">
        <v>0.329861111111111</v>
      </c>
      <c r="K175" s="11" t="s">
        <v>5224</v>
      </c>
    </row>
    <row r="176" ht="12.5" spans="1:11">
      <c r="A176" s="139">
        <v>45249</v>
      </c>
      <c r="B176" s="11">
        <v>20</v>
      </c>
      <c r="C176" s="11">
        <v>4</v>
      </c>
      <c r="D176" s="11">
        <v>4</v>
      </c>
      <c r="E176" s="11">
        <v>4</v>
      </c>
      <c r="F176" s="11">
        <v>0</v>
      </c>
      <c r="G176" s="11">
        <v>1</v>
      </c>
      <c r="H176" s="11">
        <v>0</v>
      </c>
      <c r="I176" s="11">
        <v>0</v>
      </c>
      <c r="J176" s="134">
        <v>0.329861111111111</v>
      </c>
      <c r="K176" s="11" t="s">
        <v>5224</v>
      </c>
    </row>
    <row r="177" ht="12.5" spans="1:11">
      <c r="A177" s="139">
        <v>45250</v>
      </c>
      <c r="B177" s="11">
        <v>76</v>
      </c>
      <c r="C177" s="11">
        <v>13</v>
      </c>
      <c r="D177" s="11">
        <v>4</v>
      </c>
      <c r="E177" s="11">
        <v>4</v>
      </c>
      <c r="F177" s="11">
        <v>0</v>
      </c>
      <c r="G177" s="11">
        <v>0</v>
      </c>
      <c r="H177" s="11">
        <v>0</v>
      </c>
      <c r="I177" s="11">
        <v>0</v>
      </c>
      <c r="J177" s="134">
        <v>0.340277777777778</v>
      </c>
      <c r="K177" s="11" t="s">
        <v>5225</v>
      </c>
    </row>
    <row r="178" ht="12.5" spans="1:11">
      <c r="A178" s="139">
        <v>45251</v>
      </c>
      <c r="B178" s="11">
        <v>54</v>
      </c>
      <c r="C178" s="11">
        <v>13</v>
      </c>
      <c r="D178" s="11">
        <v>5</v>
      </c>
      <c r="E178" s="11">
        <v>5</v>
      </c>
      <c r="F178" s="11">
        <v>4</v>
      </c>
      <c r="G178" s="11">
        <v>0</v>
      </c>
      <c r="H178" s="11">
        <v>1</v>
      </c>
      <c r="I178" s="11">
        <v>0</v>
      </c>
      <c r="J178" s="134">
        <v>0.372222222222222</v>
      </c>
      <c r="K178" s="11" t="s">
        <v>5226</v>
      </c>
    </row>
    <row r="179" ht="12.5" spans="1:30">
      <c r="A179" s="139">
        <v>45252</v>
      </c>
      <c r="B179" s="136">
        <v>40</v>
      </c>
      <c r="C179" s="136">
        <v>7</v>
      </c>
      <c r="D179" s="136">
        <v>3</v>
      </c>
      <c r="E179" s="136">
        <v>3</v>
      </c>
      <c r="F179" s="136">
        <v>2</v>
      </c>
      <c r="G179" s="136">
        <v>1</v>
      </c>
      <c r="H179" s="136">
        <v>2</v>
      </c>
      <c r="I179" s="136">
        <v>0</v>
      </c>
      <c r="J179" s="137">
        <v>0.345138888888889</v>
      </c>
      <c r="K179" s="136" t="s">
        <v>5227</v>
      </c>
      <c r="L179" s="136"/>
      <c r="M179" s="136"/>
      <c r="N179" s="136"/>
      <c r="O179" s="136"/>
      <c r="P179" s="136"/>
      <c r="Q179" s="136"/>
      <c r="R179" s="136"/>
      <c r="S179" s="136"/>
      <c r="T179" s="136"/>
      <c r="U179" s="136"/>
      <c r="V179" s="136"/>
      <c r="W179" s="136"/>
      <c r="X179" s="136"/>
      <c r="Y179" s="136"/>
      <c r="Z179" s="136"/>
      <c r="AA179" s="136"/>
      <c r="AB179" s="136"/>
      <c r="AC179" s="136"/>
      <c r="AD179" s="136"/>
    </row>
    <row r="180" ht="12.5" spans="1:30">
      <c r="A180" s="139">
        <v>45253</v>
      </c>
      <c r="B180" s="136">
        <v>34</v>
      </c>
      <c r="C180" s="136">
        <v>9</v>
      </c>
      <c r="D180" s="136">
        <v>4</v>
      </c>
      <c r="E180" s="136">
        <v>3</v>
      </c>
      <c r="F180" s="136">
        <v>3</v>
      </c>
      <c r="G180" s="136">
        <v>3</v>
      </c>
      <c r="H180" s="136">
        <v>0</v>
      </c>
      <c r="I180" s="136">
        <v>0</v>
      </c>
      <c r="J180" s="137">
        <v>0.353472222222222</v>
      </c>
      <c r="K180" s="136" t="s">
        <v>5228</v>
      </c>
      <c r="L180" s="136"/>
      <c r="M180" s="136"/>
      <c r="N180" s="136"/>
      <c r="O180" s="136"/>
      <c r="P180" s="136"/>
      <c r="Q180" s="136"/>
      <c r="R180" s="136"/>
      <c r="S180" s="136"/>
      <c r="T180" s="136"/>
      <c r="U180" s="136"/>
      <c r="V180" s="136"/>
      <c r="W180" s="136"/>
      <c r="X180" s="136"/>
      <c r="Y180" s="136"/>
      <c r="Z180" s="136"/>
      <c r="AA180" s="136"/>
      <c r="AB180" s="136"/>
      <c r="AC180" s="136"/>
      <c r="AD180" s="136"/>
    </row>
    <row r="181" ht="12.5" spans="1:11">
      <c r="A181" s="139">
        <v>45254</v>
      </c>
      <c r="B181" s="11">
        <v>34</v>
      </c>
      <c r="C181" s="11">
        <v>7</v>
      </c>
      <c r="D181" s="11">
        <v>2</v>
      </c>
      <c r="E181" s="11">
        <v>2</v>
      </c>
      <c r="F181" s="11">
        <v>1</v>
      </c>
      <c r="G181" s="11">
        <v>2</v>
      </c>
      <c r="H181" s="11">
        <v>0</v>
      </c>
      <c r="I181" s="11">
        <v>0</v>
      </c>
      <c r="J181" s="134">
        <v>0.35</v>
      </c>
      <c r="K181" s="11" t="s">
        <v>5229</v>
      </c>
    </row>
    <row r="182" ht="12.5" spans="1:11">
      <c r="A182" s="139">
        <v>45255</v>
      </c>
      <c r="B182" s="11">
        <v>14</v>
      </c>
      <c r="C182" s="11">
        <v>5</v>
      </c>
      <c r="D182" s="11">
        <v>3</v>
      </c>
      <c r="E182" s="11">
        <v>3</v>
      </c>
      <c r="F182" s="11">
        <v>1</v>
      </c>
      <c r="G182" s="11">
        <v>0</v>
      </c>
      <c r="H182" s="11">
        <v>0</v>
      </c>
      <c r="I182" s="11">
        <v>0</v>
      </c>
      <c r="J182" s="134">
        <v>0.35</v>
      </c>
      <c r="K182" s="11" t="s">
        <v>5229</v>
      </c>
    </row>
    <row r="183" ht="12.5" spans="1:11">
      <c r="A183" s="139">
        <v>45256</v>
      </c>
      <c r="B183" s="11">
        <v>16</v>
      </c>
      <c r="C183" s="11">
        <v>4</v>
      </c>
      <c r="D183" s="11">
        <v>4</v>
      </c>
      <c r="E183" s="11">
        <v>4</v>
      </c>
      <c r="F183" s="11">
        <v>0</v>
      </c>
      <c r="G183" s="11">
        <v>1</v>
      </c>
      <c r="H183" s="11">
        <v>0</v>
      </c>
      <c r="I183" s="11">
        <v>0</v>
      </c>
      <c r="J183" s="134">
        <v>0.35</v>
      </c>
      <c r="K183" s="11" t="s">
        <v>5229</v>
      </c>
    </row>
    <row r="184" ht="12.5" spans="1:11">
      <c r="A184" s="139">
        <v>45257</v>
      </c>
      <c r="B184" s="11">
        <v>55</v>
      </c>
      <c r="C184" s="11">
        <v>10</v>
      </c>
      <c r="D184" s="11">
        <v>0</v>
      </c>
      <c r="E184" s="11">
        <v>0</v>
      </c>
      <c r="F184" s="11">
        <v>1</v>
      </c>
      <c r="G184" s="11">
        <v>1</v>
      </c>
      <c r="H184" s="11">
        <v>0</v>
      </c>
      <c r="I184" s="11">
        <v>0</v>
      </c>
      <c r="J184" s="134">
        <v>0.328472222222222</v>
      </c>
      <c r="K184" s="11" t="s">
        <v>5230</v>
      </c>
    </row>
    <row r="185" ht="12.5" spans="1:30">
      <c r="A185" s="139">
        <v>45258</v>
      </c>
      <c r="B185" s="136">
        <v>52</v>
      </c>
      <c r="C185" s="136">
        <v>12</v>
      </c>
      <c r="D185" s="136">
        <v>5</v>
      </c>
      <c r="E185" s="136">
        <v>5</v>
      </c>
      <c r="F185" s="11">
        <v>2</v>
      </c>
      <c r="G185" s="11">
        <v>1</v>
      </c>
      <c r="H185" s="136">
        <v>0</v>
      </c>
      <c r="I185" s="136">
        <v>0</v>
      </c>
      <c r="J185" s="137">
        <v>0.359722222222222</v>
      </c>
      <c r="K185" s="11" t="s">
        <v>5231</v>
      </c>
      <c r="L185" s="136"/>
      <c r="M185" s="136"/>
      <c r="N185" s="136"/>
      <c r="O185" s="136"/>
      <c r="P185" s="136"/>
      <c r="Q185" s="136"/>
      <c r="R185" s="136"/>
      <c r="S185" s="136"/>
      <c r="T185" s="136"/>
      <c r="U185" s="136"/>
      <c r="V185" s="136"/>
      <c r="W185" s="136"/>
      <c r="X185" s="136"/>
      <c r="Y185" s="136"/>
      <c r="Z185" s="136"/>
      <c r="AA185" s="136"/>
      <c r="AB185" s="136"/>
      <c r="AC185" s="136"/>
      <c r="AD185" s="136"/>
    </row>
    <row r="186" ht="12.5" spans="1:30">
      <c r="A186" s="139">
        <v>45259</v>
      </c>
      <c r="B186" s="136">
        <v>29</v>
      </c>
      <c r="C186" s="136">
        <v>5</v>
      </c>
      <c r="D186" s="136">
        <v>2</v>
      </c>
      <c r="E186" s="136">
        <v>3</v>
      </c>
      <c r="F186" s="136">
        <v>1</v>
      </c>
      <c r="G186" s="136">
        <v>3</v>
      </c>
      <c r="H186" s="136">
        <v>1</v>
      </c>
      <c r="I186" s="136">
        <v>0</v>
      </c>
      <c r="J186" s="137">
        <v>0.390277777777778</v>
      </c>
      <c r="K186" s="136" t="s">
        <v>5232</v>
      </c>
      <c r="L186" s="136"/>
      <c r="M186" s="136"/>
      <c r="N186" s="136"/>
      <c r="O186" s="136"/>
      <c r="P186" s="136"/>
      <c r="Q186" s="136"/>
      <c r="R186" s="136"/>
      <c r="S186" s="136"/>
      <c r="T186" s="136"/>
      <c r="U186" s="136"/>
      <c r="V186" s="136"/>
      <c r="W186" s="136"/>
      <c r="X186" s="136"/>
      <c r="Y186" s="136"/>
      <c r="Z186" s="136"/>
      <c r="AA186" s="136"/>
      <c r="AB186" s="136"/>
      <c r="AC186" s="136"/>
      <c r="AD186" s="136"/>
    </row>
    <row r="187" ht="12.5" spans="1:30">
      <c r="A187" s="139">
        <v>45260</v>
      </c>
      <c r="B187" s="136">
        <v>41</v>
      </c>
      <c r="C187" s="136">
        <v>13</v>
      </c>
      <c r="D187" s="136">
        <v>2</v>
      </c>
      <c r="E187" s="136">
        <v>2</v>
      </c>
      <c r="F187" s="136">
        <v>1</v>
      </c>
      <c r="G187" s="136">
        <v>3</v>
      </c>
      <c r="H187" s="11">
        <v>2</v>
      </c>
      <c r="I187" s="136">
        <v>0</v>
      </c>
      <c r="J187" s="137">
        <v>0.341666666666667</v>
      </c>
      <c r="K187" s="136" t="s">
        <v>5233</v>
      </c>
      <c r="L187" s="136"/>
      <c r="M187" s="136"/>
      <c r="N187" s="136"/>
      <c r="O187" s="136"/>
      <c r="P187" s="136"/>
      <c r="Q187" s="136"/>
      <c r="R187" s="136"/>
      <c r="S187" s="136"/>
      <c r="T187" s="136"/>
      <c r="U187" s="136"/>
      <c r="V187" s="136"/>
      <c r="W187" s="136"/>
      <c r="X187" s="136"/>
      <c r="Y187" s="136"/>
      <c r="Z187" s="136"/>
      <c r="AA187" s="136"/>
      <c r="AB187" s="136"/>
      <c r="AC187" s="136"/>
      <c r="AD187" s="136"/>
    </row>
    <row r="188" ht="12.5" spans="1:30">
      <c r="A188" s="130">
        <v>45627</v>
      </c>
      <c r="B188" s="136">
        <v>25</v>
      </c>
      <c r="C188" s="136">
        <v>9</v>
      </c>
      <c r="D188" s="136">
        <v>2</v>
      </c>
      <c r="E188" s="136">
        <v>1</v>
      </c>
      <c r="F188" s="136">
        <v>1</v>
      </c>
      <c r="G188" s="136">
        <v>2</v>
      </c>
      <c r="H188" s="136">
        <v>0</v>
      </c>
      <c r="I188" s="136">
        <v>0</v>
      </c>
      <c r="J188" s="137">
        <v>0.378472222222222</v>
      </c>
      <c r="K188" s="136" t="s">
        <v>5234</v>
      </c>
      <c r="L188" s="136"/>
      <c r="M188" s="136"/>
      <c r="N188" s="136"/>
      <c r="O188" s="136"/>
      <c r="P188" s="136"/>
      <c r="Q188" s="136"/>
      <c r="R188" s="136"/>
      <c r="S188" s="136"/>
      <c r="T188" s="136"/>
      <c r="U188" s="136"/>
      <c r="V188" s="136"/>
      <c r="W188" s="136"/>
      <c r="X188" s="136"/>
      <c r="Y188" s="136"/>
      <c r="Z188" s="136"/>
      <c r="AA188" s="136"/>
      <c r="AB188" s="136"/>
      <c r="AC188" s="136"/>
      <c r="AD188" s="136"/>
    </row>
    <row r="189" ht="12.5" spans="1:30">
      <c r="A189" s="130">
        <v>45262</v>
      </c>
      <c r="B189" s="136">
        <v>24</v>
      </c>
      <c r="C189" s="136">
        <v>4</v>
      </c>
      <c r="D189" s="136">
        <v>2</v>
      </c>
      <c r="E189" s="136">
        <v>2</v>
      </c>
      <c r="F189" s="136">
        <v>0</v>
      </c>
      <c r="G189" s="136">
        <v>1</v>
      </c>
      <c r="H189" s="136">
        <v>0</v>
      </c>
      <c r="I189" s="136">
        <v>0</v>
      </c>
      <c r="J189" s="137">
        <v>0.386805555555556</v>
      </c>
      <c r="K189" s="136" t="s">
        <v>5234</v>
      </c>
      <c r="L189" s="136"/>
      <c r="M189" s="136"/>
      <c r="N189" s="136"/>
      <c r="O189" s="136"/>
      <c r="P189" s="136"/>
      <c r="Q189" s="136"/>
      <c r="R189" s="136"/>
      <c r="S189" s="136"/>
      <c r="T189" s="136"/>
      <c r="U189" s="136"/>
      <c r="V189" s="136"/>
      <c r="W189" s="136"/>
      <c r="X189" s="136"/>
      <c r="Y189" s="136"/>
      <c r="Z189" s="136"/>
      <c r="AA189" s="136"/>
      <c r="AB189" s="136"/>
      <c r="AC189" s="136"/>
      <c r="AD189" s="136"/>
    </row>
    <row r="190" ht="12.5" spans="1:30">
      <c r="A190" s="130">
        <v>45263</v>
      </c>
      <c r="B190" s="136">
        <v>17</v>
      </c>
      <c r="C190" s="136">
        <v>6</v>
      </c>
      <c r="D190" s="136">
        <v>3</v>
      </c>
      <c r="E190" s="136">
        <v>2</v>
      </c>
      <c r="F190" s="136">
        <v>0</v>
      </c>
      <c r="G190" s="136">
        <v>1</v>
      </c>
      <c r="H190" s="136">
        <v>0</v>
      </c>
      <c r="I190" s="136">
        <v>0</v>
      </c>
      <c r="J190" s="137">
        <v>0.391666666666667</v>
      </c>
      <c r="K190" s="136" t="s">
        <v>5234</v>
      </c>
      <c r="L190" s="136"/>
      <c r="M190" s="136"/>
      <c r="N190" s="136"/>
      <c r="O190" s="136"/>
      <c r="P190" s="136"/>
      <c r="Q190" s="136"/>
      <c r="R190" s="136"/>
      <c r="S190" s="136"/>
      <c r="T190" s="136"/>
      <c r="U190" s="136"/>
      <c r="V190" s="136"/>
      <c r="W190" s="136"/>
      <c r="X190" s="136"/>
      <c r="Y190" s="136"/>
      <c r="Z190" s="136"/>
      <c r="AA190" s="136"/>
      <c r="AB190" s="136"/>
      <c r="AC190" s="136"/>
      <c r="AD190" s="136"/>
    </row>
    <row r="191" ht="12.5" spans="1:30">
      <c r="A191" s="130">
        <v>45264</v>
      </c>
      <c r="B191" s="136">
        <v>45</v>
      </c>
      <c r="C191" s="136">
        <v>8</v>
      </c>
      <c r="D191" s="136">
        <v>7</v>
      </c>
      <c r="E191" s="136">
        <v>7</v>
      </c>
      <c r="F191" s="136">
        <v>0</v>
      </c>
      <c r="G191" s="136">
        <v>2</v>
      </c>
      <c r="H191" s="136">
        <v>0</v>
      </c>
      <c r="I191" s="136">
        <v>0</v>
      </c>
      <c r="J191" s="137">
        <v>0.556944444444444</v>
      </c>
      <c r="K191" s="136" t="s">
        <v>5235</v>
      </c>
      <c r="L191" s="136"/>
      <c r="M191" s="136"/>
      <c r="N191" s="136"/>
      <c r="O191" s="136"/>
      <c r="P191" s="136"/>
      <c r="Q191" s="136"/>
      <c r="R191" s="136"/>
      <c r="S191" s="136"/>
      <c r="T191" s="136"/>
      <c r="U191" s="136"/>
      <c r="V191" s="136"/>
      <c r="W191" s="136"/>
      <c r="X191" s="136"/>
      <c r="Y191" s="136"/>
      <c r="Z191" s="136"/>
      <c r="AA191" s="136"/>
      <c r="AB191" s="136"/>
      <c r="AC191" s="136"/>
      <c r="AD191" s="136"/>
    </row>
    <row r="192" ht="12.5" spans="1:30">
      <c r="A192" s="130">
        <v>45265</v>
      </c>
      <c r="B192" s="136">
        <v>35</v>
      </c>
      <c r="C192" s="136">
        <v>11</v>
      </c>
      <c r="D192" s="136">
        <v>1</v>
      </c>
      <c r="E192" s="136">
        <v>1</v>
      </c>
      <c r="F192" s="136">
        <v>4</v>
      </c>
      <c r="G192" s="136">
        <v>0</v>
      </c>
      <c r="H192" s="136">
        <v>0</v>
      </c>
      <c r="I192" s="136">
        <v>0</v>
      </c>
      <c r="J192" s="137">
        <v>0.365972222222222</v>
      </c>
      <c r="K192" s="136" t="s">
        <v>5236</v>
      </c>
      <c r="L192" s="136"/>
      <c r="M192" s="136"/>
      <c r="N192" s="136"/>
      <c r="O192" s="136"/>
      <c r="P192" s="136"/>
      <c r="Q192" s="136"/>
      <c r="R192" s="136"/>
      <c r="S192" s="136"/>
      <c r="T192" s="136"/>
      <c r="U192" s="136"/>
      <c r="V192" s="136"/>
      <c r="W192" s="136"/>
      <c r="X192" s="136"/>
      <c r="Y192" s="136"/>
      <c r="Z192" s="136"/>
      <c r="AA192" s="136"/>
      <c r="AB192" s="136"/>
      <c r="AC192" s="136"/>
      <c r="AD192" s="136"/>
    </row>
    <row r="193" ht="12.5" spans="1:30">
      <c r="A193" s="130">
        <v>45266</v>
      </c>
      <c r="B193" s="136">
        <v>48</v>
      </c>
      <c r="C193" s="136">
        <v>9</v>
      </c>
      <c r="D193" s="136">
        <v>5</v>
      </c>
      <c r="E193" s="136">
        <v>5</v>
      </c>
      <c r="F193" s="136">
        <v>1</v>
      </c>
      <c r="G193" s="136">
        <v>0</v>
      </c>
      <c r="H193" s="11">
        <v>1</v>
      </c>
      <c r="I193" s="136">
        <v>0</v>
      </c>
      <c r="J193" s="137">
        <v>0.338194444444444</v>
      </c>
      <c r="K193" s="136" t="s">
        <v>5237</v>
      </c>
      <c r="L193" s="136"/>
      <c r="M193" s="136"/>
      <c r="N193" s="136"/>
      <c r="O193" s="136"/>
      <c r="P193" s="136"/>
      <c r="Q193" s="136"/>
      <c r="R193" s="136"/>
      <c r="S193" s="136"/>
      <c r="T193" s="136"/>
      <c r="U193" s="136"/>
      <c r="V193" s="136"/>
      <c r="W193" s="136"/>
      <c r="X193" s="136"/>
      <c r="Y193" s="136"/>
      <c r="Z193" s="136"/>
      <c r="AA193" s="136"/>
      <c r="AB193" s="136"/>
      <c r="AC193" s="136"/>
      <c r="AD193" s="136"/>
    </row>
    <row r="194" ht="12.5" spans="1:30">
      <c r="A194" s="130">
        <v>45267</v>
      </c>
      <c r="B194" s="136">
        <v>38</v>
      </c>
      <c r="C194" s="136">
        <v>11</v>
      </c>
      <c r="D194" s="136">
        <v>4</v>
      </c>
      <c r="E194" s="136">
        <v>5</v>
      </c>
      <c r="F194" s="136">
        <v>1</v>
      </c>
      <c r="G194" s="136">
        <v>2</v>
      </c>
      <c r="H194" s="11">
        <v>1</v>
      </c>
      <c r="I194" s="136">
        <v>0</v>
      </c>
      <c r="J194" s="137">
        <v>0.371527777777778</v>
      </c>
      <c r="K194" s="136" t="s">
        <v>5179</v>
      </c>
      <c r="L194" s="136"/>
      <c r="M194" s="136"/>
      <c r="N194" s="136"/>
      <c r="O194" s="136"/>
      <c r="P194" s="136"/>
      <c r="Q194" s="136"/>
      <c r="R194" s="136"/>
      <c r="S194" s="136"/>
      <c r="T194" s="136"/>
      <c r="U194" s="136"/>
      <c r="V194" s="136"/>
      <c r="W194" s="136"/>
      <c r="X194" s="136"/>
      <c r="Y194" s="136"/>
      <c r="Z194" s="136"/>
      <c r="AA194" s="136"/>
      <c r="AB194" s="136"/>
      <c r="AC194" s="136"/>
      <c r="AD194" s="136"/>
    </row>
    <row r="195" ht="12.5" spans="1:11">
      <c r="A195" s="130">
        <v>45268</v>
      </c>
      <c r="B195" s="136">
        <v>19</v>
      </c>
      <c r="C195" s="136">
        <v>9</v>
      </c>
      <c r="D195" s="136">
        <v>4</v>
      </c>
      <c r="E195" s="136">
        <v>4</v>
      </c>
      <c r="F195" s="136">
        <v>2</v>
      </c>
      <c r="G195" s="136">
        <v>1</v>
      </c>
      <c r="H195" s="136">
        <v>0</v>
      </c>
      <c r="I195" s="136">
        <v>0</v>
      </c>
      <c r="J195" s="137">
        <v>0.375</v>
      </c>
      <c r="K195" s="136" t="s">
        <v>5179</v>
      </c>
    </row>
    <row r="196" ht="12.5" spans="1:11">
      <c r="A196" s="130">
        <v>45269</v>
      </c>
      <c r="B196" s="136">
        <v>16</v>
      </c>
      <c r="C196" s="136">
        <v>8</v>
      </c>
      <c r="D196" s="136">
        <v>1</v>
      </c>
      <c r="E196" s="136">
        <v>1</v>
      </c>
      <c r="F196" s="136">
        <v>1</v>
      </c>
      <c r="G196" s="136">
        <v>1</v>
      </c>
      <c r="H196" s="136">
        <v>0</v>
      </c>
      <c r="I196" s="136">
        <v>0</v>
      </c>
      <c r="J196" s="137">
        <v>0.376388888888889</v>
      </c>
      <c r="K196" s="136" t="s">
        <v>5179</v>
      </c>
    </row>
    <row r="197" ht="12.5" spans="1:11">
      <c r="A197" s="130">
        <v>45270</v>
      </c>
      <c r="B197" s="136">
        <v>9</v>
      </c>
      <c r="C197" s="136">
        <v>2</v>
      </c>
      <c r="D197" s="136">
        <v>1</v>
      </c>
      <c r="E197" s="136">
        <v>1</v>
      </c>
      <c r="F197" s="136">
        <v>2</v>
      </c>
      <c r="G197" s="136">
        <v>0</v>
      </c>
      <c r="H197" s="136">
        <v>0</v>
      </c>
      <c r="I197" s="136">
        <v>0</v>
      </c>
      <c r="J197" s="137">
        <v>0.384722222222222</v>
      </c>
      <c r="K197" s="136" t="s">
        <v>5179</v>
      </c>
    </row>
    <row r="198" ht="12.5" spans="1:30">
      <c r="A198" s="130">
        <v>45271</v>
      </c>
      <c r="B198" s="136">
        <v>66</v>
      </c>
      <c r="C198" s="136">
        <v>19</v>
      </c>
      <c r="D198" s="136">
        <v>10</v>
      </c>
      <c r="E198" s="136">
        <v>8</v>
      </c>
      <c r="F198" s="136">
        <v>1</v>
      </c>
      <c r="G198" s="136">
        <v>0</v>
      </c>
      <c r="H198" s="136">
        <v>0</v>
      </c>
      <c r="I198" s="136">
        <v>0</v>
      </c>
      <c r="J198" s="137">
        <v>0.977083333333333</v>
      </c>
      <c r="K198" s="136" t="s">
        <v>5238</v>
      </c>
      <c r="L198" s="136" t="s">
        <v>5239</v>
      </c>
      <c r="M198" s="136"/>
      <c r="N198" s="136"/>
      <c r="O198" s="136"/>
      <c r="P198" s="136"/>
      <c r="Q198" s="136"/>
      <c r="R198" s="136"/>
      <c r="S198" s="136"/>
      <c r="T198" s="136"/>
      <c r="U198" s="136"/>
      <c r="V198" s="136"/>
      <c r="W198" s="136"/>
      <c r="X198" s="136"/>
      <c r="Y198" s="136"/>
      <c r="Z198" s="136"/>
      <c r="AA198" s="136"/>
      <c r="AB198" s="136"/>
      <c r="AC198" s="136"/>
      <c r="AD198" s="136"/>
    </row>
    <row r="199" ht="12.5" spans="1:30">
      <c r="A199" s="130">
        <v>45272</v>
      </c>
      <c r="B199" s="136">
        <v>52</v>
      </c>
      <c r="C199" s="136">
        <v>14</v>
      </c>
      <c r="D199" s="136">
        <v>3</v>
      </c>
      <c r="E199" s="136">
        <v>2</v>
      </c>
      <c r="F199" s="136">
        <v>1</v>
      </c>
      <c r="G199" s="136">
        <v>0</v>
      </c>
      <c r="H199" s="136">
        <v>0</v>
      </c>
      <c r="I199" s="136">
        <v>0</v>
      </c>
      <c r="J199" s="137">
        <v>0.98125</v>
      </c>
      <c r="K199" s="136" t="s">
        <v>5238</v>
      </c>
      <c r="L199" s="136" t="s">
        <v>5239</v>
      </c>
      <c r="M199" s="136"/>
      <c r="N199" s="136"/>
      <c r="O199" s="136"/>
      <c r="P199" s="136"/>
      <c r="Q199" s="136"/>
      <c r="R199" s="136"/>
      <c r="S199" s="136"/>
      <c r="T199" s="136"/>
      <c r="U199" s="136"/>
      <c r="V199" s="136"/>
      <c r="W199" s="136"/>
      <c r="X199" s="136"/>
      <c r="Y199" s="136"/>
      <c r="Z199" s="136"/>
      <c r="AA199" s="136"/>
      <c r="AB199" s="136"/>
      <c r="AC199" s="136"/>
      <c r="AD199" s="136"/>
    </row>
    <row r="200" ht="12.5" spans="1:30">
      <c r="A200" s="130">
        <v>45273</v>
      </c>
      <c r="B200" s="136">
        <v>57</v>
      </c>
      <c r="C200" s="136">
        <v>8</v>
      </c>
      <c r="D200" s="136">
        <v>3</v>
      </c>
      <c r="E200" s="136">
        <v>4</v>
      </c>
      <c r="F200" s="136">
        <v>2</v>
      </c>
      <c r="G200" s="136">
        <v>0</v>
      </c>
      <c r="H200" s="11">
        <v>1</v>
      </c>
      <c r="I200" s="136">
        <v>0</v>
      </c>
      <c r="J200" s="137">
        <v>0.342361111111111</v>
      </c>
      <c r="K200" s="136" t="s">
        <v>5240</v>
      </c>
      <c r="L200" s="136" t="s">
        <v>5239</v>
      </c>
      <c r="M200" s="136"/>
      <c r="N200" s="136"/>
      <c r="O200" s="136"/>
      <c r="P200" s="136"/>
      <c r="Q200" s="136"/>
      <c r="R200" s="136"/>
      <c r="S200" s="136"/>
      <c r="T200" s="136"/>
      <c r="U200" s="136"/>
      <c r="V200" s="136"/>
      <c r="W200" s="136"/>
      <c r="X200" s="136"/>
      <c r="Y200" s="136"/>
      <c r="Z200" s="136"/>
      <c r="AA200" s="136"/>
      <c r="AB200" s="136"/>
      <c r="AC200" s="136"/>
      <c r="AD200" s="136"/>
    </row>
    <row r="201" ht="12.5" spans="1:30">
      <c r="A201" s="130">
        <v>45274</v>
      </c>
      <c r="B201" s="136">
        <v>52</v>
      </c>
      <c r="C201" s="136">
        <v>13</v>
      </c>
      <c r="D201" s="136">
        <v>4</v>
      </c>
      <c r="E201" s="136">
        <v>4</v>
      </c>
      <c r="F201" s="136">
        <v>3</v>
      </c>
      <c r="G201" s="136">
        <v>0</v>
      </c>
      <c r="H201" s="11">
        <v>4</v>
      </c>
      <c r="I201" s="136">
        <v>0</v>
      </c>
      <c r="J201" s="137">
        <v>0.359722222222222</v>
      </c>
      <c r="K201" s="136" t="s">
        <v>5241</v>
      </c>
      <c r="L201" s="136" t="s">
        <v>5239</v>
      </c>
      <c r="M201" s="136"/>
      <c r="N201" s="136"/>
      <c r="O201" s="136"/>
      <c r="P201" s="136"/>
      <c r="Q201" s="136"/>
      <c r="R201" s="136"/>
      <c r="S201" s="136"/>
      <c r="T201" s="136"/>
      <c r="U201" s="136"/>
      <c r="V201" s="136"/>
      <c r="W201" s="136"/>
      <c r="X201" s="136"/>
      <c r="Y201" s="136"/>
      <c r="Z201" s="136"/>
      <c r="AA201" s="136"/>
      <c r="AB201" s="136"/>
      <c r="AC201" s="136"/>
      <c r="AD201" s="136"/>
    </row>
    <row r="202" ht="12.5" spans="1:30">
      <c r="A202" s="138">
        <v>45275</v>
      </c>
      <c r="B202" s="136">
        <v>28</v>
      </c>
      <c r="C202" s="136">
        <v>10</v>
      </c>
      <c r="D202" s="136">
        <v>3</v>
      </c>
      <c r="E202" s="136">
        <v>2</v>
      </c>
      <c r="F202" s="136">
        <v>5</v>
      </c>
      <c r="G202" s="136">
        <v>0</v>
      </c>
      <c r="H202" s="136">
        <v>0</v>
      </c>
      <c r="I202" s="136">
        <v>0</v>
      </c>
      <c r="J202" s="137">
        <v>0.372916666666667</v>
      </c>
      <c r="K202" s="136" t="s">
        <v>5241</v>
      </c>
      <c r="L202" s="136"/>
      <c r="M202" s="136"/>
      <c r="N202" s="136"/>
      <c r="O202" s="136"/>
      <c r="P202" s="136"/>
      <c r="Q202" s="136"/>
      <c r="R202" s="136"/>
      <c r="S202" s="136"/>
      <c r="T202" s="136"/>
      <c r="U202" s="136"/>
      <c r="V202" s="136"/>
      <c r="W202" s="136"/>
      <c r="X202" s="136"/>
      <c r="Y202" s="136"/>
      <c r="Z202" s="136"/>
      <c r="AA202" s="136"/>
      <c r="AB202" s="136"/>
      <c r="AC202" s="136"/>
      <c r="AD202" s="136"/>
    </row>
    <row r="203" ht="12.5" spans="1:30">
      <c r="A203" s="138">
        <v>45276</v>
      </c>
      <c r="B203" s="136">
        <v>18</v>
      </c>
      <c r="C203" s="136">
        <v>5</v>
      </c>
      <c r="D203" s="136">
        <v>1</v>
      </c>
      <c r="E203" s="136">
        <v>1</v>
      </c>
      <c r="F203" s="136">
        <v>1</v>
      </c>
      <c r="G203" s="136">
        <v>0</v>
      </c>
      <c r="H203" s="136">
        <v>0</v>
      </c>
      <c r="I203" s="136">
        <v>0</v>
      </c>
      <c r="J203" s="137">
        <v>0.376388888888889</v>
      </c>
      <c r="K203" s="136" t="s">
        <v>5241</v>
      </c>
      <c r="L203" s="136"/>
      <c r="M203" s="136"/>
      <c r="N203" s="136"/>
      <c r="O203" s="136"/>
      <c r="P203" s="136"/>
      <c r="Q203" s="136"/>
      <c r="R203" s="136"/>
      <c r="S203" s="136"/>
      <c r="T203" s="136"/>
      <c r="U203" s="136"/>
      <c r="V203" s="136"/>
      <c r="W203" s="136"/>
      <c r="X203" s="136"/>
      <c r="Y203" s="136"/>
      <c r="Z203" s="136"/>
      <c r="AA203" s="136"/>
      <c r="AB203" s="136"/>
      <c r="AC203" s="136"/>
      <c r="AD203" s="136"/>
    </row>
    <row r="204" ht="12.5" spans="1:30">
      <c r="A204" s="138">
        <v>45277</v>
      </c>
      <c r="B204" s="136">
        <v>24</v>
      </c>
      <c r="C204" s="136">
        <v>3</v>
      </c>
      <c r="D204" s="136">
        <v>2</v>
      </c>
      <c r="E204" s="136">
        <v>2</v>
      </c>
      <c r="F204" s="136">
        <v>2</v>
      </c>
      <c r="G204" s="136">
        <v>1</v>
      </c>
      <c r="H204" s="136">
        <v>0</v>
      </c>
      <c r="I204" s="136">
        <v>0</v>
      </c>
      <c r="J204" s="137">
        <v>0.390277777777778</v>
      </c>
      <c r="K204" s="136" t="s">
        <v>5241</v>
      </c>
      <c r="L204" s="136"/>
      <c r="M204" s="136"/>
      <c r="N204" s="136"/>
      <c r="O204" s="136"/>
      <c r="P204" s="136"/>
      <c r="Q204" s="136"/>
      <c r="R204" s="136"/>
      <c r="S204" s="136"/>
      <c r="T204" s="136"/>
      <c r="U204" s="136"/>
      <c r="V204" s="136"/>
      <c r="W204" s="136"/>
      <c r="X204" s="136"/>
      <c r="Y204" s="136"/>
      <c r="Z204" s="136"/>
      <c r="AA204" s="136"/>
      <c r="AB204" s="136"/>
      <c r="AC204" s="136"/>
      <c r="AD204" s="136"/>
    </row>
    <row r="205" ht="12.5" spans="1:30">
      <c r="A205" s="138">
        <v>45278</v>
      </c>
      <c r="B205" s="136">
        <v>49</v>
      </c>
      <c r="C205" s="136">
        <v>12</v>
      </c>
      <c r="D205" s="136">
        <v>7</v>
      </c>
      <c r="E205" s="136">
        <v>6</v>
      </c>
      <c r="F205" s="136">
        <v>3</v>
      </c>
      <c r="G205" s="136">
        <v>1</v>
      </c>
      <c r="H205" s="136">
        <v>0</v>
      </c>
      <c r="I205" s="136">
        <v>0</v>
      </c>
      <c r="J205" s="137">
        <v>0.329861111111111</v>
      </c>
      <c r="K205" s="136" t="s">
        <v>5242</v>
      </c>
      <c r="L205" s="136"/>
      <c r="M205" s="136"/>
      <c r="N205" s="136"/>
      <c r="O205" s="136"/>
      <c r="P205" s="136"/>
      <c r="Q205" s="136"/>
      <c r="R205" s="136"/>
      <c r="S205" s="136"/>
      <c r="T205" s="136"/>
      <c r="U205" s="136"/>
      <c r="V205" s="136"/>
      <c r="W205" s="136"/>
      <c r="X205" s="136"/>
      <c r="Y205" s="136"/>
      <c r="Z205" s="136"/>
      <c r="AA205" s="136"/>
      <c r="AB205" s="136"/>
      <c r="AC205" s="136"/>
      <c r="AD205" s="136"/>
    </row>
    <row r="206" ht="12.5" spans="1:30">
      <c r="A206" s="138">
        <v>45279</v>
      </c>
      <c r="B206" s="136">
        <v>32</v>
      </c>
      <c r="C206" s="136">
        <v>9</v>
      </c>
      <c r="D206" s="136">
        <v>6</v>
      </c>
      <c r="E206" s="136">
        <v>6</v>
      </c>
      <c r="F206" s="136">
        <v>2</v>
      </c>
      <c r="G206" s="136">
        <v>1</v>
      </c>
      <c r="H206" s="136">
        <v>2</v>
      </c>
      <c r="I206" s="136">
        <v>0</v>
      </c>
      <c r="J206" s="137">
        <v>0.370138888888889</v>
      </c>
      <c r="K206" s="136" t="s">
        <v>5243</v>
      </c>
      <c r="L206" s="136"/>
      <c r="M206" s="136"/>
      <c r="N206" s="136"/>
      <c r="O206" s="136"/>
      <c r="P206" s="136"/>
      <c r="Q206" s="136"/>
      <c r="R206" s="136"/>
      <c r="S206" s="136"/>
      <c r="T206" s="136"/>
      <c r="U206" s="136"/>
      <c r="V206" s="136"/>
      <c r="W206" s="136"/>
      <c r="X206" s="136"/>
      <c r="Y206" s="136"/>
      <c r="Z206" s="136"/>
      <c r="AA206" s="136"/>
      <c r="AB206" s="136"/>
      <c r="AC206" s="136"/>
      <c r="AD206" s="136"/>
    </row>
    <row r="207" ht="12.5" spans="1:30">
      <c r="A207" s="138">
        <v>45280</v>
      </c>
      <c r="B207" s="136">
        <v>41</v>
      </c>
      <c r="C207" s="136">
        <v>13</v>
      </c>
      <c r="D207" s="136">
        <v>3</v>
      </c>
      <c r="E207" s="136">
        <v>3</v>
      </c>
      <c r="F207" s="136">
        <v>3</v>
      </c>
      <c r="G207" s="136">
        <v>5</v>
      </c>
      <c r="H207" s="11">
        <v>1</v>
      </c>
      <c r="I207" s="136">
        <v>0</v>
      </c>
      <c r="J207" s="137">
        <v>0.369444444444444</v>
      </c>
      <c r="K207" s="136" t="s">
        <v>5244</v>
      </c>
      <c r="L207" s="136"/>
      <c r="M207" s="136"/>
      <c r="N207" s="136"/>
      <c r="O207" s="136"/>
      <c r="P207" s="136"/>
      <c r="Q207" s="136"/>
      <c r="R207" s="136"/>
      <c r="S207" s="136"/>
      <c r="T207" s="136"/>
      <c r="U207" s="136"/>
      <c r="V207" s="136"/>
      <c r="W207" s="136"/>
      <c r="X207" s="136"/>
      <c r="Y207" s="136"/>
      <c r="Z207" s="136"/>
      <c r="AA207" s="136"/>
      <c r="AB207" s="136"/>
      <c r="AC207" s="136"/>
      <c r="AD207" s="136"/>
    </row>
    <row r="208" ht="12.5" spans="1:30">
      <c r="A208" s="138">
        <v>45281</v>
      </c>
      <c r="B208" s="136">
        <v>39</v>
      </c>
      <c r="C208" s="136">
        <v>10</v>
      </c>
      <c r="D208" s="136">
        <v>5</v>
      </c>
      <c r="E208" s="136">
        <v>5</v>
      </c>
      <c r="F208" s="136">
        <v>1</v>
      </c>
      <c r="G208" s="136">
        <v>2</v>
      </c>
      <c r="H208" s="136">
        <v>0</v>
      </c>
      <c r="I208" s="136">
        <v>0</v>
      </c>
      <c r="J208" s="137">
        <v>0.370138888888889</v>
      </c>
      <c r="K208" s="136" t="s">
        <v>5245</v>
      </c>
      <c r="L208" s="136"/>
      <c r="M208" s="136"/>
      <c r="N208" s="136"/>
      <c r="O208" s="136"/>
      <c r="P208" s="136"/>
      <c r="Q208" s="136"/>
      <c r="R208" s="136"/>
      <c r="S208" s="136"/>
      <c r="T208" s="136"/>
      <c r="U208" s="136"/>
      <c r="V208" s="136"/>
      <c r="W208" s="136"/>
      <c r="X208" s="136"/>
      <c r="Y208" s="136"/>
      <c r="Z208" s="136"/>
      <c r="AA208" s="136"/>
      <c r="AB208" s="136"/>
      <c r="AC208" s="136"/>
      <c r="AD208" s="136"/>
    </row>
    <row r="209" ht="12.5" spans="1:30">
      <c r="A209" s="138">
        <v>45282</v>
      </c>
      <c r="B209" s="136">
        <v>28</v>
      </c>
      <c r="C209" s="136">
        <v>5</v>
      </c>
      <c r="D209" s="136">
        <v>3</v>
      </c>
      <c r="E209" s="136">
        <v>2</v>
      </c>
      <c r="F209" s="136">
        <v>4</v>
      </c>
      <c r="G209" s="136">
        <v>2</v>
      </c>
      <c r="H209" s="136">
        <v>0</v>
      </c>
      <c r="I209" s="136">
        <v>0</v>
      </c>
      <c r="J209" s="137">
        <v>0.361111111111111</v>
      </c>
      <c r="K209" s="136" t="s">
        <v>5246</v>
      </c>
      <c r="L209" s="136"/>
      <c r="M209" s="136"/>
      <c r="N209" s="136"/>
      <c r="O209" s="136"/>
      <c r="P209" s="136"/>
      <c r="Q209" s="136"/>
      <c r="R209" s="136"/>
      <c r="S209" s="136"/>
      <c r="T209" s="136"/>
      <c r="U209" s="136"/>
      <c r="V209" s="136"/>
      <c r="W209" s="136"/>
      <c r="X209" s="136"/>
      <c r="Y209" s="136"/>
      <c r="Z209" s="136"/>
      <c r="AA209" s="136"/>
      <c r="AB209" s="136"/>
      <c r="AC209" s="136"/>
      <c r="AD209" s="136"/>
    </row>
    <row r="210" ht="12.5" spans="1:30">
      <c r="A210" s="138">
        <v>45283</v>
      </c>
      <c r="B210" s="136">
        <v>18</v>
      </c>
      <c r="C210" s="136">
        <v>4</v>
      </c>
      <c r="D210" s="136">
        <v>1</v>
      </c>
      <c r="E210" s="136">
        <v>1</v>
      </c>
      <c r="F210" s="136">
        <v>1</v>
      </c>
      <c r="G210" s="136">
        <v>3</v>
      </c>
      <c r="H210" s="136">
        <v>0</v>
      </c>
      <c r="I210" s="136">
        <v>0</v>
      </c>
      <c r="J210" s="137">
        <v>0.363888888888889</v>
      </c>
      <c r="K210" s="136" t="s">
        <v>5246</v>
      </c>
      <c r="L210" s="136"/>
      <c r="M210" s="136"/>
      <c r="N210" s="136"/>
      <c r="O210" s="136"/>
      <c r="P210" s="136"/>
      <c r="Q210" s="136"/>
      <c r="R210" s="136"/>
      <c r="S210" s="136"/>
      <c r="T210" s="136"/>
      <c r="U210" s="136"/>
      <c r="V210" s="136"/>
      <c r="W210" s="136"/>
      <c r="X210" s="136"/>
      <c r="Y210" s="136"/>
      <c r="Z210" s="136"/>
      <c r="AA210" s="136"/>
      <c r="AB210" s="136"/>
      <c r="AC210" s="136"/>
      <c r="AD210" s="136"/>
    </row>
    <row r="211" ht="12.5" spans="1:30">
      <c r="A211" s="138">
        <v>45284</v>
      </c>
      <c r="B211" s="136">
        <v>3</v>
      </c>
      <c r="C211" s="136">
        <v>0</v>
      </c>
      <c r="D211" s="136">
        <v>0</v>
      </c>
      <c r="E211" s="136">
        <v>0</v>
      </c>
      <c r="F211" s="136">
        <v>0</v>
      </c>
      <c r="G211" s="136">
        <v>0</v>
      </c>
      <c r="H211" s="136">
        <v>0</v>
      </c>
      <c r="I211" s="136">
        <v>0</v>
      </c>
      <c r="J211" s="137">
        <v>0.365972222222222</v>
      </c>
      <c r="K211" s="136" t="s">
        <v>5246</v>
      </c>
      <c r="L211" s="136"/>
      <c r="M211" s="136"/>
      <c r="N211" s="136"/>
      <c r="O211" s="136"/>
      <c r="P211" s="136"/>
      <c r="Q211" s="136"/>
      <c r="R211" s="136"/>
      <c r="S211" s="136"/>
      <c r="T211" s="136"/>
      <c r="U211" s="136"/>
      <c r="V211" s="136"/>
      <c r="W211" s="136"/>
      <c r="X211" s="136"/>
      <c r="Y211" s="136"/>
      <c r="Z211" s="136"/>
      <c r="AA211" s="136"/>
      <c r="AB211" s="136"/>
      <c r="AC211" s="136"/>
      <c r="AD211" s="136"/>
    </row>
    <row r="212" ht="12.5" spans="1:30">
      <c r="A212" s="138">
        <v>45285</v>
      </c>
      <c r="B212" s="136">
        <v>7</v>
      </c>
      <c r="C212" s="136">
        <v>1</v>
      </c>
      <c r="D212" s="136">
        <v>2</v>
      </c>
      <c r="E212" s="136">
        <v>2</v>
      </c>
      <c r="F212" s="136">
        <v>0</v>
      </c>
      <c r="G212" s="136">
        <v>0</v>
      </c>
      <c r="H212" s="136">
        <v>0</v>
      </c>
      <c r="I212" s="136">
        <v>0</v>
      </c>
      <c r="J212" s="137">
        <v>0.368055555555556</v>
      </c>
      <c r="K212" s="136" t="s">
        <v>5246</v>
      </c>
      <c r="L212" s="136"/>
      <c r="M212" s="136"/>
      <c r="N212" s="136"/>
      <c r="O212" s="136"/>
      <c r="P212" s="136"/>
      <c r="Q212" s="136"/>
      <c r="R212" s="136"/>
      <c r="S212" s="136"/>
      <c r="T212" s="136"/>
      <c r="U212" s="136"/>
      <c r="V212" s="136"/>
      <c r="W212" s="136"/>
      <c r="X212" s="136"/>
      <c r="Y212" s="136"/>
      <c r="Z212" s="136"/>
      <c r="AA212" s="136"/>
      <c r="AB212" s="136"/>
      <c r="AC212" s="136"/>
      <c r="AD212" s="136"/>
    </row>
    <row r="213" ht="12.5" spans="1:30">
      <c r="A213" s="138">
        <v>45286</v>
      </c>
      <c r="B213" s="136">
        <v>41</v>
      </c>
      <c r="C213" s="136">
        <v>13</v>
      </c>
      <c r="D213" s="136">
        <v>3</v>
      </c>
      <c r="E213" s="136">
        <v>2</v>
      </c>
      <c r="F213" s="136">
        <v>1</v>
      </c>
      <c r="G213" s="136">
        <v>0</v>
      </c>
      <c r="H213" s="11">
        <v>1</v>
      </c>
      <c r="I213" s="136">
        <v>0</v>
      </c>
      <c r="J213" s="137">
        <v>0.369444444444444</v>
      </c>
      <c r="K213" s="136" t="s">
        <v>5247</v>
      </c>
      <c r="L213" s="136"/>
      <c r="M213" s="136"/>
      <c r="N213" s="136"/>
      <c r="O213" s="136"/>
      <c r="P213" s="136"/>
      <c r="Q213" s="136"/>
      <c r="R213" s="136"/>
      <c r="S213" s="136"/>
      <c r="T213" s="136"/>
      <c r="U213" s="136"/>
      <c r="V213" s="136"/>
      <c r="W213" s="136"/>
      <c r="X213" s="136"/>
      <c r="Y213" s="136"/>
      <c r="Z213" s="136"/>
      <c r="AA213" s="136"/>
      <c r="AB213" s="136"/>
      <c r="AC213" s="136"/>
      <c r="AD213" s="136"/>
    </row>
    <row r="214" ht="12.5" spans="1:30">
      <c r="A214" s="138">
        <v>45287</v>
      </c>
      <c r="B214" s="136">
        <v>42</v>
      </c>
      <c r="C214" s="136">
        <v>9</v>
      </c>
      <c r="D214" s="136">
        <v>5</v>
      </c>
      <c r="E214" s="136">
        <v>4</v>
      </c>
      <c r="F214" s="136">
        <v>0</v>
      </c>
      <c r="G214" s="136">
        <v>1</v>
      </c>
      <c r="H214" s="11">
        <v>1</v>
      </c>
      <c r="I214" s="136">
        <v>0</v>
      </c>
      <c r="J214" s="137">
        <v>0.382638888888889</v>
      </c>
      <c r="K214" s="136" t="s">
        <v>5248</v>
      </c>
      <c r="L214" s="136"/>
      <c r="M214" s="136"/>
      <c r="N214" s="136"/>
      <c r="O214" s="136"/>
      <c r="P214" s="136"/>
      <c r="Q214" s="136"/>
      <c r="R214" s="136"/>
      <c r="S214" s="136"/>
      <c r="T214" s="136"/>
      <c r="U214" s="136"/>
      <c r="V214" s="136"/>
      <c r="W214" s="136"/>
      <c r="X214" s="136"/>
      <c r="Y214" s="136"/>
      <c r="Z214" s="136"/>
      <c r="AA214" s="136"/>
      <c r="AB214" s="136"/>
      <c r="AC214" s="136"/>
      <c r="AD214" s="136"/>
    </row>
    <row r="215" ht="17.25" customHeight="1" spans="1:30">
      <c r="A215" s="138">
        <v>45288</v>
      </c>
      <c r="B215" s="136">
        <v>48</v>
      </c>
      <c r="C215" s="136">
        <v>6</v>
      </c>
      <c r="D215" s="136">
        <v>7</v>
      </c>
      <c r="E215" s="136">
        <v>5</v>
      </c>
      <c r="F215" s="136">
        <v>0</v>
      </c>
      <c r="G215" s="136">
        <v>2</v>
      </c>
      <c r="H215" s="136">
        <v>0</v>
      </c>
      <c r="I215" s="136">
        <v>0</v>
      </c>
      <c r="J215" s="137">
        <v>0.372222222222222</v>
      </c>
      <c r="K215" s="136" t="s">
        <v>5249</v>
      </c>
      <c r="L215" s="136"/>
      <c r="M215" s="136"/>
      <c r="N215" s="136"/>
      <c r="O215" s="136"/>
      <c r="P215" s="136"/>
      <c r="Q215" s="136"/>
      <c r="R215" s="136"/>
      <c r="S215" s="136"/>
      <c r="T215" s="136"/>
      <c r="U215" s="136"/>
      <c r="V215" s="136"/>
      <c r="W215" s="136"/>
      <c r="X215" s="136"/>
      <c r="Y215" s="136"/>
      <c r="Z215" s="136"/>
      <c r="AA215" s="136"/>
      <c r="AB215" s="136"/>
      <c r="AC215" s="136"/>
      <c r="AD215" s="136"/>
    </row>
    <row r="216" ht="12.5" spans="1:30">
      <c r="A216" s="138">
        <v>45289</v>
      </c>
      <c r="B216" s="136">
        <v>23</v>
      </c>
      <c r="C216" s="136">
        <v>6</v>
      </c>
      <c r="D216" s="136">
        <v>2</v>
      </c>
      <c r="E216" s="136">
        <v>2</v>
      </c>
      <c r="F216" s="136">
        <v>2</v>
      </c>
      <c r="G216" s="136">
        <v>1</v>
      </c>
      <c r="H216" s="136">
        <v>0</v>
      </c>
      <c r="I216" s="136">
        <v>0</v>
      </c>
      <c r="J216" s="137">
        <v>0.379861111111111</v>
      </c>
      <c r="K216" s="136" t="s">
        <v>5250</v>
      </c>
      <c r="L216" s="136"/>
      <c r="M216" s="136"/>
      <c r="N216" s="136"/>
      <c r="O216" s="136"/>
      <c r="P216" s="136"/>
      <c r="Q216" s="136"/>
      <c r="R216" s="136"/>
      <c r="S216" s="136"/>
      <c r="T216" s="136"/>
      <c r="U216" s="136"/>
      <c r="V216" s="136"/>
      <c r="W216" s="136"/>
      <c r="X216" s="136"/>
      <c r="Y216" s="136"/>
      <c r="Z216" s="136"/>
      <c r="AA216" s="136"/>
      <c r="AB216" s="136"/>
      <c r="AC216" s="136"/>
      <c r="AD216" s="136"/>
    </row>
    <row r="217" ht="12.5" spans="1:30">
      <c r="A217" s="138">
        <v>45290</v>
      </c>
      <c r="B217" s="136">
        <v>11</v>
      </c>
      <c r="C217" s="136">
        <v>3</v>
      </c>
      <c r="D217" s="136">
        <v>3</v>
      </c>
      <c r="E217" s="136">
        <v>3</v>
      </c>
      <c r="F217" s="136">
        <v>1</v>
      </c>
      <c r="G217" s="136">
        <v>1</v>
      </c>
      <c r="H217" s="136">
        <v>0</v>
      </c>
      <c r="I217" s="136">
        <v>0</v>
      </c>
      <c r="J217" s="137">
        <v>0.385416666666667</v>
      </c>
      <c r="K217" s="136" t="s">
        <v>5250</v>
      </c>
      <c r="L217" s="136"/>
      <c r="M217" s="136"/>
      <c r="N217" s="136"/>
      <c r="O217" s="136"/>
      <c r="P217" s="136"/>
      <c r="Q217" s="136"/>
      <c r="R217" s="136"/>
      <c r="S217" s="136"/>
      <c r="T217" s="136"/>
      <c r="U217" s="136"/>
      <c r="V217" s="136"/>
      <c r="W217" s="136"/>
      <c r="X217" s="136"/>
      <c r="Y217" s="136"/>
      <c r="Z217" s="136"/>
      <c r="AA217" s="136"/>
      <c r="AB217" s="136"/>
      <c r="AC217" s="136"/>
      <c r="AD217" s="136"/>
    </row>
    <row r="218" ht="12.5" spans="1:30">
      <c r="A218" s="138">
        <v>45291</v>
      </c>
      <c r="B218" s="136">
        <v>14</v>
      </c>
      <c r="C218" s="136">
        <v>4</v>
      </c>
      <c r="D218" s="136">
        <v>0</v>
      </c>
      <c r="E218" s="136">
        <v>0</v>
      </c>
      <c r="F218" s="136">
        <v>1</v>
      </c>
      <c r="G218" s="136">
        <v>0</v>
      </c>
      <c r="H218" s="136">
        <v>1</v>
      </c>
      <c r="I218" s="136">
        <v>0</v>
      </c>
      <c r="J218" s="137">
        <v>0.388888888888889</v>
      </c>
      <c r="K218" s="136" t="s">
        <v>5250</v>
      </c>
      <c r="L218" s="136" t="s">
        <v>5251</v>
      </c>
      <c r="M218" s="136"/>
      <c r="N218" s="136"/>
      <c r="O218" s="136"/>
      <c r="P218" s="136"/>
      <c r="Q218" s="136"/>
      <c r="R218" s="136"/>
      <c r="S218" s="136"/>
      <c r="T218" s="136"/>
      <c r="U218" s="136"/>
      <c r="V218" s="136"/>
      <c r="W218" s="136"/>
      <c r="X218" s="136"/>
      <c r="Y218" s="136"/>
      <c r="Z218" s="136"/>
      <c r="AA218" s="136"/>
      <c r="AB218" s="136"/>
      <c r="AC218" s="136"/>
      <c r="AD218" s="136"/>
    </row>
    <row r="219" ht="12.5" spans="1:30">
      <c r="A219" s="140">
        <v>45292</v>
      </c>
      <c r="B219" s="136">
        <v>12</v>
      </c>
      <c r="C219" s="136">
        <v>3</v>
      </c>
      <c r="D219" s="136">
        <v>1</v>
      </c>
      <c r="E219" s="136">
        <v>1</v>
      </c>
      <c r="F219" s="136">
        <v>1</v>
      </c>
      <c r="G219" s="136">
        <v>1</v>
      </c>
      <c r="H219" s="136">
        <v>0</v>
      </c>
      <c r="I219" s="136">
        <v>0</v>
      </c>
      <c r="J219" s="137">
        <v>0.39375</v>
      </c>
      <c r="K219" s="136" t="s">
        <v>5250</v>
      </c>
      <c r="L219" s="136"/>
      <c r="M219" s="136"/>
      <c r="N219" s="136"/>
      <c r="O219" s="136"/>
      <c r="P219" s="136"/>
      <c r="Q219" s="136"/>
      <c r="R219" s="136"/>
      <c r="S219" s="136"/>
      <c r="T219" s="136"/>
      <c r="U219" s="136"/>
      <c r="V219" s="136"/>
      <c r="W219" s="136"/>
      <c r="X219" s="136"/>
      <c r="Y219" s="136"/>
      <c r="Z219" s="136"/>
      <c r="AA219" s="136"/>
      <c r="AB219" s="136"/>
      <c r="AC219" s="136"/>
      <c r="AD219" s="136"/>
    </row>
    <row r="220" ht="12.5" spans="1:30">
      <c r="A220" s="140">
        <v>45293</v>
      </c>
      <c r="B220" s="136">
        <v>62</v>
      </c>
      <c r="C220" s="136">
        <v>11</v>
      </c>
      <c r="D220" s="136">
        <v>4</v>
      </c>
      <c r="E220" s="136">
        <v>4</v>
      </c>
      <c r="F220" s="136">
        <v>1</v>
      </c>
      <c r="G220" s="136">
        <v>2</v>
      </c>
      <c r="H220" s="11">
        <v>2</v>
      </c>
      <c r="I220" s="136">
        <v>0</v>
      </c>
      <c r="J220" s="137">
        <v>0.349305555555556</v>
      </c>
      <c r="K220" s="136" t="s">
        <v>5252</v>
      </c>
      <c r="L220" s="136"/>
      <c r="M220" s="136"/>
      <c r="N220" s="136"/>
      <c r="O220" s="136"/>
      <c r="P220" s="136"/>
      <c r="Q220" s="136"/>
      <c r="R220" s="136"/>
      <c r="S220" s="136"/>
      <c r="T220" s="136"/>
      <c r="U220" s="136"/>
      <c r="V220" s="136"/>
      <c r="W220" s="136"/>
      <c r="X220" s="136"/>
      <c r="Y220" s="136"/>
      <c r="Z220" s="136"/>
      <c r="AA220" s="136"/>
      <c r="AB220" s="136"/>
      <c r="AC220" s="136"/>
      <c r="AD220" s="136"/>
    </row>
    <row r="221" ht="12.5" spans="1:11">
      <c r="A221" s="140">
        <v>45294</v>
      </c>
      <c r="B221" s="11">
        <v>53</v>
      </c>
      <c r="C221" s="11">
        <v>17</v>
      </c>
      <c r="D221" s="11">
        <v>7</v>
      </c>
      <c r="E221" s="11">
        <v>7</v>
      </c>
      <c r="F221" s="11">
        <v>5</v>
      </c>
      <c r="G221" s="11">
        <v>1</v>
      </c>
      <c r="H221" s="11">
        <v>0</v>
      </c>
      <c r="I221" s="11">
        <v>0</v>
      </c>
      <c r="J221" s="134">
        <v>0.375</v>
      </c>
      <c r="K221" s="11" t="s">
        <v>5253</v>
      </c>
    </row>
    <row r="222" ht="12.5" spans="1:11">
      <c r="A222" s="140">
        <v>45295</v>
      </c>
      <c r="B222" s="11">
        <v>61</v>
      </c>
      <c r="C222" s="11">
        <v>19</v>
      </c>
      <c r="D222" s="11">
        <v>6</v>
      </c>
      <c r="E222" s="11">
        <v>5</v>
      </c>
      <c r="F222" s="11">
        <v>6</v>
      </c>
      <c r="G222" s="11">
        <v>3</v>
      </c>
      <c r="H222" s="11">
        <v>0</v>
      </c>
      <c r="I222" s="11">
        <v>0</v>
      </c>
      <c r="J222" s="134">
        <v>0.342361111111111</v>
      </c>
      <c r="K222" s="11" t="s">
        <v>5254</v>
      </c>
    </row>
    <row r="223" ht="12.5" spans="1:11">
      <c r="A223" s="140">
        <v>44931</v>
      </c>
      <c r="B223" s="11">
        <v>29</v>
      </c>
      <c r="C223" s="11">
        <v>4</v>
      </c>
      <c r="D223" s="11">
        <v>3</v>
      </c>
      <c r="E223" s="11">
        <v>3</v>
      </c>
      <c r="F223" s="11">
        <v>3</v>
      </c>
      <c r="G223" s="11">
        <v>1</v>
      </c>
      <c r="H223" s="11">
        <v>1</v>
      </c>
      <c r="I223" s="11">
        <v>0</v>
      </c>
      <c r="J223" s="134">
        <v>0.354166666666667</v>
      </c>
      <c r="K223" s="11" t="s">
        <v>5255</v>
      </c>
    </row>
    <row r="224" ht="12.5" spans="1:11">
      <c r="A224" s="140">
        <v>45297</v>
      </c>
      <c r="B224" s="11">
        <v>28</v>
      </c>
      <c r="C224" s="11">
        <v>9</v>
      </c>
      <c r="D224" s="11">
        <v>5</v>
      </c>
      <c r="E224" s="11">
        <v>4</v>
      </c>
      <c r="F224" s="11">
        <v>1</v>
      </c>
      <c r="G224" s="11">
        <v>1</v>
      </c>
      <c r="H224" s="11">
        <v>0</v>
      </c>
      <c r="I224" s="11">
        <v>0</v>
      </c>
      <c r="J224" s="134">
        <v>0.354166666666667</v>
      </c>
      <c r="K224" s="11" t="s">
        <v>5255</v>
      </c>
    </row>
    <row r="225" ht="12.5" spans="1:11">
      <c r="A225" s="140">
        <v>45298</v>
      </c>
      <c r="B225" s="11">
        <v>12</v>
      </c>
      <c r="C225" s="11">
        <v>1</v>
      </c>
      <c r="D225" s="11">
        <v>0</v>
      </c>
      <c r="E225" s="11">
        <v>0</v>
      </c>
      <c r="F225" s="11">
        <v>1</v>
      </c>
      <c r="G225" s="11">
        <v>0</v>
      </c>
      <c r="H225" s="11">
        <v>0</v>
      </c>
      <c r="I225" s="11">
        <v>0</v>
      </c>
      <c r="J225" s="134">
        <v>0.354166666666667</v>
      </c>
      <c r="K225" s="11" t="s">
        <v>5256</v>
      </c>
    </row>
    <row r="226" ht="12.5" spans="1:11">
      <c r="A226" s="140">
        <v>45299</v>
      </c>
      <c r="B226" s="11">
        <v>65</v>
      </c>
      <c r="C226" s="11">
        <v>16</v>
      </c>
      <c r="D226" s="11">
        <v>1</v>
      </c>
      <c r="E226" s="11">
        <v>1</v>
      </c>
      <c r="F226" s="11">
        <v>0</v>
      </c>
      <c r="G226" s="11">
        <v>0</v>
      </c>
      <c r="H226" s="11">
        <v>1</v>
      </c>
      <c r="I226" s="11">
        <v>0</v>
      </c>
      <c r="J226" s="134">
        <v>0.456944444444444</v>
      </c>
      <c r="K226" s="11" t="s">
        <v>5257</v>
      </c>
    </row>
    <row r="227" ht="12.5" spans="1:30">
      <c r="A227" s="140">
        <v>45300</v>
      </c>
      <c r="B227" s="136">
        <v>50</v>
      </c>
      <c r="C227" s="136">
        <v>7</v>
      </c>
      <c r="D227" s="136">
        <v>5</v>
      </c>
      <c r="E227" s="136">
        <v>5</v>
      </c>
      <c r="F227" s="136">
        <v>1</v>
      </c>
      <c r="G227" s="136">
        <v>1</v>
      </c>
      <c r="H227" s="136">
        <v>0</v>
      </c>
      <c r="I227" s="136">
        <v>0</v>
      </c>
      <c r="J227" s="137">
        <v>0.604166666666667</v>
      </c>
      <c r="K227" s="136" t="s">
        <v>5258</v>
      </c>
      <c r="L227" s="136"/>
      <c r="M227" s="136"/>
      <c r="N227" s="136"/>
      <c r="O227" s="136"/>
      <c r="P227" s="136"/>
      <c r="Q227" s="136"/>
      <c r="R227" s="136"/>
      <c r="S227" s="136"/>
      <c r="T227" s="136"/>
      <c r="U227" s="136"/>
      <c r="V227" s="136"/>
      <c r="W227" s="136"/>
      <c r="X227" s="136"/>
      <c r="Y227" s="136"/>
      <c r="Z227" s="136"/>
      <c r="AA227" s="136"/>
      <c r="AB227" s="136"/>
      <c r="AC227" s="136"/>
      <c r="AD227" s="136"/>
    </row>
    <row r="228" ht="12.5" spans="1:30">
      <c r="A228" s="140">
        <v>45301</v>
      </c>
      <c r="B228" s="136">
        <v>69</v>
      </c>
      <c r="C228" s="136">
        <v>12</v>
      </c>
      <c r="D228" s="136">
        <v>5</v>
      </c>
      <c r="E228" s="136">
        <v>5</v>
      </c>
      <c r="F228" s="136">
        <v>4</v>
      </c>
      <c r="G228" s="136">
        <v>2</v>
      </c>
      <c r="H228" s="136">
        <v>0</v>
      </c>
      <c r="I228" s="136">
        <v>0</v>
      </c>
      <c r="J228" s="137">
        <v>0.348611111111111</v>
      </c>
      <c r="K228" s="136" t="s">
        <v>5259</v>
      </c>
      <c r="L228" s="136"/>
      <c r="M228" s="136"/>
      <c r="N228" s="136"/>
      <c r="O228" s="136"/>
      <c r="P228" s="136"/>
      <c r="Q228" s="136"/>
      <c r="R228" s="136"/>
      <c r="S228" s="136"/>
      <c r="T228" s="136"/>
      <c r="U228" s="136"/>
      <c r="V228" s="136"/>
      <c r="W228" s="136"/>
      <c r="X228" s="136"/>
      <c r="Y228" s="136"/>
      <c r="Z228" s="136"/>
      <c r="AA228" s="136"/>
      <c r="AB228" s="136"/>
      <c r="AC228" s="136"/>
      <c r="AD228" s="136"/>
    </row>
    <row r="229" ht="12.5" spans="1:30">
      <c r="A229" s="140">
        <v>45302</v>
      </c>
      <c r="B229" s="136">
        <v>53</v>
      </c>
      <c r="C229" s="136">
        <v>15</v>
      </c>
      <c r="D229" s="136">
        <v>5</v>
      </c>
      <c r="E229" s="136">
        <v>5</v>
      </c>
      <c r="F229" s="136">
        <v>3</v>
      </c>
      <c r="G229" s="136">
        <v>3</v>
      </c>
      <c r="H229" s="136">
        <v>2</v>
      </c>
      <c r="I229" s="136">
        <v>0</v>
      </c>
      <c r="J229" s="137">
        <v>0.327083333333333</v>
      </c>
      <c r="K229" s="136" t="s">
        <v>5260</v>
      </c>
      <c r="L229" s="136"/>
      <c r="M229" s="136"/>
      <c r="N229" s="136"/>
      <c r="O229" s="136"/>
      <c r="P229" s="136"/>
      <c r="Q229" s="136"/>
      <c r="R229" s="136"/>
      <c r="S229" s="136"/>
      <c r="T229" s="136"/>
      <c r="U229" s="136"/>
      <c r="V229" s="136"/>
      <c r="W229" s="136"/>
      <c r="X229" s="136"/>
      <c r="Y229" s="136"/>
      <c r="Z229" s="136"/>
      <c r="AA229" s="136"/>
      <c r="AB229" s="136"/>
      <c r="AC229" s="136"/>
      <c r="AD229" s="136"/>
    </row>
    <row r="230" ht="12.5" spans="1:11">
      <c r="A230" s="140">
        <v>45303</v>
      </c>
      <c r="B230" s="11">
        <v>37</v>
      </c>
      <c r="C230" s="11">
        <v>7</v>
      </c>
      <c r="D230" s="11">
        <v>4</v>
      </c>
      <c r="E230" s="11">
        <v>4</v>
      </c>
      <c r="F230" s="11">
        <v>0</v>
      </c>
      <c r="G230" s="11">
        <v>1</v>
      </c>
      <c r="H230" s="11">
        <v>0</v>
      </c>
      <c r="I230" s="11">
        <v>0</v>
      </c>
      <c r="J230" s="134">
        <v>0.403472222222222</v>
      </c>
      <c r="K230" s="11" t="s">
        <v>5257</v>
      </c>
    </row>
    <row r="231" ht="12.5" spans="1:11">
      <c r="A231" s="140">
        <v>45304</v>
      </c>
      <c r="B231" s="11">
        <v>11</v>
      </c>
      <c r="C231" s="11">
        <v>4</v>
      </c>
      <c r="D231" s="11">
        <v>0</v>
      </c>
      <c r="E231" s="11">
        <v>0</v>
      </c>
      <c r="F231" s="11">
        <v>1</v>
      </c>
      <c r="G231" s="11">
        <v>1</v>
      </c>
      <c r="H231" s="11">
        <v>0</v>
      </c>
      <c r="I231" s="11">
        <v>0</v>
      </c>
      <c r="J231" s="134">
        <v>0.449305555555556</v>
      </c>
      <c r="K231" s="11" t="s">
        <v>5257</v>
      </c>
    </row>
    <row r="232" ht="12.5" spans="1:11">
      <c r="A232" s="140">
        <v>45305</v>
      </c>
      <c r="B232" s="11">
        <v>21</v>
      </c>
      <c r="C232" s="11">
        <v>5</v>
      </c>
      <c r="D232" s="11">
        <v>4</v>
      </c>
      <c r="E232" s="11">
        <v>3</v>
      </c>
      <c r="F232" s="11">
        <v>0</v>
      </c>
      <c r="G232" s="11">
        <v>1</v>
      </c>
      <c r="H232" s="11">
        <v>0</v>
      </c>
      <c r="I232" s="11">
        <v>0</v>
      </c>
      <c r="J232" s="134">
        <v>0.456944444444444</v>
      </c>
      <c r="K232" s="11" t="s">
        <v>5257</v>
      </c>
    </row>
    <row r="233" ht="12.5" spans="1:30">
      <c r="A233" s="140">
        <v>45306</v>
      </c>
      <c r="B233" s="136">
        <v>59</v>
      </c>
      <c r="C233" s="136">
        <v>18</v>
      </c>
      <c r="D233" s="136">
        <v>3</v>
      </c>
      <c r="E233" s="136">
        <v>3</v>
      </c>
      <c r="F233" s="136">
        <v>2</v>
      </c>
      <c r="G233" s="136">
        <v>2</v>
      </c>
      <c r="H233" s="136">
        <v>0</v>
      </c>
      <c r="I233" s="136">
        <v>0</v>
      </c>
      <c r="J233" s="137">
        <v>0.348611111111111</v>
      </c>
      <c r="K233" s="136" t="s">
        <v>5261</v>
      </c>
      <c r="L233" s="136"/>
      <c r="M233" s="136"/>
      <c r="N233" s="136"/>
      <c r="O233" s="136"/>
      <c r="P233" s="136"/>
      <c r="Q233" s="136"/>
      <c r="R233" s="136"/>
      <c r="S233" s="136"/>
      <c r="T233" s="136"/>
      <c r="U233" s="136"/>
      <c r="V233" s="136"/>
      <c r="W233" s="136"/>
      <c r="X233" s="136"/>
      <c r="Y233" s="136"/>
      <c r="Z233" s="136"/>
      <c r="AA233" s="136"/>
      <c r="AB233" s="136"/>
      <c r="AC233" s="136"/>
      <c r="AD233" s="136"/>
    </row>
    <row r="234" ht="12.5" spans="1:30">
      <c r="A234" s="140">
        <v>45307</v>
      </c>
      <c r="B234" s="136">
        <v>46</v>
      </c>
      <c r="C234" s="136">
        <v>11</v>
      </c>
      <c r="D234" s="136">
        <v>2</v>
      </c>
      <c r="E234" s="136">
        <v>2</v>
      </c>
      <c r="F234" s="136">
        <v>0</v>
      </c>
      <c r="G234" s="136">
        <v>0</v>
      </c>
      <c r="H234" s="136">
        <v>0</v>
      </c>
      <c r="I234" s="136">
        <v>0</v>
      </c>
      <c r="J234" s="137">
        <v>0.34375</v>
      </c>
      <c r="K234" s="136" t="s">
        <v>5262</v>
      </c>
      <c r="L234" s="136"/>
      <c r="M234" s="136"/>
      <c r="N234" s="136"/>
      <c r="O234" s="136"/>
      <c r="P234" s="136"/>
      <c r="Q234" s="136"/>
      <c r="R234" s="136"/>
      <c r="S234" s="136"/>
      <c r="T234" s="136"/>
      <c r="U234" s="136"/>
      <c r="V234" s="136"/>
      <c r="W234" s="136"/>
      <c r="X234" s="136"/>
      <c r="Y234" s="136"/>
      <c r="Z234" s="136"/>
      <c r="AA234" s="136"/>
      <c r="AB234" s="136"/>
      <c r="AC234" s="136"/>
      <c r="AD234" s="136"/>
    </row>
    <row r="235" ht="12.5" spans="1:30">
      <c r="A235" s="140">
        <v>45308</v>
      </c>
      <c r="B235" s="136">
        <v>50</v>
      </c>
      <c r="C235" s="136">
        <v>8</v>
      </c>
      <c r="D235" s="136">
        <v>2</v>
      </c>
      <c r="E235" s="136">
        <v>2</v>
      </c>
      <c r="F235" s="136">
        <v>4</v>
      </c>
      <c r="G235" s="136">
        <v>0</v>
      </c>
      <c r="H235" s="136">
        <v>0</v>
      </c>
      <c r="I235" s="136">
        <v>0</v>
      </c>
      <c r="J235" s="137">
        <v>0.342361111111111</v>
      </c>
      <c r="K235" s="11" t="s">
        <v>5263</v>
      </c>
      <c r="L235" s="136"/>
      <c r="M235" s="136"/>
      <c r="N235" s="136"/>
      <c r="O235" s="136"/>
      <c r="P235" s="136"/>
      <c r="Q235" s="136"/>
      <c r="R235" s="136"/>
      <c r="S235" s="136"/>
      <c r="T235" s="136"/>
      <c r="U235" s="136"/>
      <c r="V235" s="136"/>
      <c r="W235" s="136"/>
      <c r="X235" s="136"/>
      <c r="Y235" s="136"/>
      <c r="Z235" s="136"/>
      <c r="AA235" s="136"/>
      <c r="AB235" s="136"/>
      <c r="AC235" s="136"/>
      <c r="AD235" s="136"/>
    </row>
    <row r="236" ht="12.5" spans="1:11">
      <c r="A236" s="140">
        <v>45309</v>
      </c>
      <c r="B236" s="11">
        <v>50</v>
      </c>
      <c r="C236" s="11">
        <v>12</v>
      </c>
      <c r="D236" s="11">
        <v>3</v>
      </c>
      <c r="E236" s="11">
        <v>3</v>
      </c>
      <c r="F236" s="11">
        <v>1</v>
      </c>
      <c r="G236" s="11">
        <v>0</v>
      </c>
      <c r="H236" s="11">
        <v>3</v>
      </c>
      <c r="I236" s="11">
        <v>0</v>
      </c>
      <c r="J236" s="134">
        <v>0.347916666666667</v>
      </c>
      <c r="K236" s="11" t="s">
        <v>5264</v>
      </c>
    </row>
    <row r="237" ht="12.5" spans="1:11">
      <c r="A237" s="140">
        <v>45310</v>
      </c>
      <c r="B237" s="11">
        <v>42</v>
      </c>
      <c r="C237" s="11">
        <v>15</v>
      </c>
      <c r="D237" s="11">
        <v>4</v>
      </c>
      <c r="E237" s="11">
        <v>3</v>
      </c>
      <c r="F237" s="11">
        <v>2</v>
      </c>
      <c r="G237" s="11">
        <v>1</v>
      </c>
      <c r="H237" s="11">
        <v>0</v>
      </c>
      <c r="I237" s="11">
        <v>0</v>
      </c>
      <c r="J237" s="134">
        <v>0.342361111111111</v>
      </c>
      <c r="K237" s="11" t="s">
        <v>5265</v>
      </c>
    </row>
    <row r="238" ht="12.5" spans="1:30">
      <c r="A238" s="140">
        <v>45311</v>
      </c>
      <c r="B238" s="136">
        <v>15</v>
      </c>
      <c r="C238" s="136">
        <v>3</v>
      </c>
      <c r="D238" s="136">
        <v>1</v>
      </c>
      <c r="E238" s="136">
        <v>1</v>
      </c>
      <c r="F238" s="136">
        <v>3</v>
      </c>
      <c r="G238" s="136">
        <v>2</v>
      </c>
      <c r="H238" s="136">
        <v>0</v>
      </c>
      <c r="I238" s="136">
        <v>0</v>
      </c>
      <c r="J238" s="137">
        <v>0.34375</v>
      </c>
      <c r="K238" s="11" t="s">
        <v>5265</v>
      </c>
      <c r="L238" s="136"/>
      <c r="M238" s="136"/>
      <c r="N238" s="136"/>
      <c r="O238" s="136"/>
      <c r="P238" s="136"/>
      <c r="Q238" s="136"/>
      <c r="R238" s="136"/>
      <c r="S238" s="136"/>
      <c r="T238" s="136"/>
      <c r="U238" s="136"/>
      <c r="V238" s="136"/>
      <c r="W238" s="136"/>
      <c r="X238" s="136"/>
      <c r="Y238" s="136"/>
      <c r="Z238" s="136"/>
      <c r="AA238" s="136"/>
      <c r="AB238" s="136"/>
      <c r="AC238" s="136"/>
      <c r="AD238" s="136"/>
    </row>
    <row r="239" ht="12.5" spans="1:30">
      <c r="A239" s="140">
        <v>45312</v>
      </c>
      <c r="B239" s="136">
        <v>8</v>
      </c>
      <c r="C239" s="136">
        <v>2</v>
      </c>
      <c r="D239" s="136">
        <v>2</v>
      </c>
      <c r="E239" s="136">
        <v>2</v>
      </c>
      <c r="F239" s="136">
        <v>0</v>
      </c>
      <c r="G239" s="136">
        <v>0</v>
      </c>
      <c r="H239" s="136">
        <v>0</v>
      </c>
      <c r="I239" s="136">
        <v>0</v>
      </c>
      <c r="J239" s="137">
        <v>0.345138888888889</v>
      </c>
      <c r="K239" s="136" t="s">
        <v>5265</v>
      </c>
      <c r="L239" s="136"/>
      <c r="M239" s="136"/>
      <c r="N239" s="136"/>
      <c r="O239" s="136"/>
      <c r="P239" s="136"/>
      <c r="Q239" s="136"/>
      <c r="R239" s="136"/>
      <c r="S239" s="136"/>
      <c r="T239" s="136"/>
      <c r="U239" s="136"/>
      <c r="V239" s="136"/>
      <c r="W239" s="136"/>
      <c r="X239" s="136"/>
      <c r="Y239" s="136"/>
      <c r="Z239" s="136"/>
      <c r="AA239" s="136"/>
      <c r="AB239" s="136"/>
      <c r="AC239" s="136"/>
      <c r="AD239" s="136"/>
    </row>
    <row r="240" ht="12.5" spans="1:30">
      <c r="A240" s="140">
        <v>45313</v>
      </c>
      <c r="B240" s="136">
        <v>41</v>
      </c>
      <c r="C240" s="136">
        <v>11</v>
      </c>
      <c r="D240" s="136">
        <v>1</v>
      </c>
      <c r="E240" s="136">
        <v>0</v>
      </c>
      <c r="F240" s="136">
        <v>2</v>
      </c>
      <c r="G240" s="136">
        <v>1</v>
      </c>
      <c r="H240" s="136">
        <v>3</v>
      </c>
      <c r="I240" s="136">
        <v>0</v>
      </c>
      <c r="J240" s="137">
        <v>0.363194444444444</v>
      </c>
      <c r="K240" s="136" t="s">
        <v>5266</v>
      </c>
      <c r="L240" s="136"/>
      <c r="M240" s="136"/>
      <c r="N240" s="136"/>
      <c r="O240" s="136"/>
      <c r="P240" s="136"/>
      <c r="Q240" s="136"/>
      <c r="R240" s="136"/>
      <c r="S240" s="136"/>
      <c r="T240" s="136"/>
      <c r="U240" s="136"/>
      <c r="V240" s="136"/>
      <c r="W240" s="136"/>
      <c r="X240" s="136"/>
      <c r="Y240" s="136"/>
      <c r="Z240" s="136"/>
      <c r="AA240" s="136"/>
      <c r="AB240" s="136"/>
      <c r="AC240" s="136"/>
      <c r="AD240" s="136"/>
    </row>
    <row r="241" ht="12.5" spans="1:11">
      <c r="A241" s="140">
        <v>45314</v>
      </c>
      <c r="B241" s="11">
        <v>46</v>
      </c>
      <c r="C241" s="11">
        <v>17</v>
      </c>
      <c r="D241" s="11">
        <v>4</v>
      </c>
      <c r="E241" s="11">
        <v>4</v>
      </c>
      <c r="F241" s="11">
        <v>2</v>
      </c>
      <c r="G241" s="11">
        <v>0</v>
      </c>
      <c r="H241" s="11">
        <v>0</v>
      </c>
      <c r="I241" s="11">
        <v>0</v>
      </c>
      <c r="J241" s="134">
        <v>0.334027777777778</v>
      </c>
      <c r="K241" s="11" t="s">
        <v>5267</v>
      </c>
    </row>
    <row r="242" ht="12.5" spans="1:30">
      <c r="A242" s="140">
        <v>45315</v>
      </c>
      <c r="B242" s="136">
        <v>34</v>
      </c>
      <c r="C242" s="136">
        <v>6</v>
      </c>
      <c r="D242" s="136">
        <v>2</v>
      </c>
      <c r="E242" s="136">
        <v>2</v>
      </c>
      <c r="F242" s="136">
        <v>1</v>
      </c>
      <c r="G242" s="136">
        <v>2</v>
      </c>
      <c r="H242" s="136">
        <v>0</v>
      </c>
      <c r="I242" s="136">
        <v>0</v>
      </c>
      <c r="J242" s="137">
        <v>0.340972222222222</v>
      </c>
      <c r="K242" s="136" t="s">
        <v>5268</v>
      </c>
      <c r="L242" s="136"/>
      <c r="M242" s="136"/>
      <c r="N242" s="136"/>
      <c r="O242" s="136"/>
      <c r="P242" s="136"/>
      <c r="Q242" s="136"/>
      <c r="R242" s="136"/>
      <c r="S242" s="136"/>
      <c r="T242" s="136"/>
      <c r="U242" s="136"/>
      <c r="V242" s="136"/>
      <c r="W242" s="136"/>
      <c r="X242" s="136"/>
      <c r="Y242" s="136"/>
      <c r="Z242" s="136"/>
      <c r="AA242" s="136"/>
      <c r="AB242" s="136"/>
      <c r="AC242" s="136"/>
      <c r="AD242" s="136"/>
    </row>
    <row r="243" ht="12.5" spans="1:11">
      <c r="A243" s="140">
        <v>45316</v>
      </c>
      <c r="B243" s="11">
        <v>47</v>
      </c>
      <c r="C243" s="11">
        <v>9</v>
      </c>
      <c r="D243" s="11">
        <v>0</v>
      </c>
      <c r="E243" s="11">
        <v>0</v>
      </c>
      <c r="F243" s="11">
        <v>1</v>
      </c>
      <c r="G243" s="11">
        <v>1</v>
      </c>
      <c r="H243" s="11">
        <v>0</v>
      </c>
      <c r="I243" s="11">
        <v>0</v>
      </c>
      <c r="J243" s="134">
        <v>0.34375</v>
      </c>
      <c r="K243" s="11" t="s">
        <v>5269</v>
      </c>
    </row>
    <row r="244" ht="12.5" spans="1:11">
      <c r="A244" s="140">
        <v>45317</v>
      </c>
      <c r="B244" s="11">
        <v>33</v>
      </c>
      <c r="C244" s="11">
        <v>8</v>
      </c>
      <c r="D244" s="11">
        <v>6</v>
      </c>
      <c r="E244" s="11">
        <v>6</v>
      </c>
      <c r="F244" s="11">
        <v>0</v>
      </c>
      <c r="G244" s="11">
        <v>0</v>
      </c>
      <c r="H244" s="11">
        <v>1</v>
      </c>
      <c r="I244" s="11">
        <v>0</v>
      </c>
      <c r="J244" s="134">
        <v>0.345833333333333</v>
      </c>
      <c r="K244" s="11" t="s">
        <v>5270</v>
      </c>
    </row>
    <row r="245" ht="12.5" spans="1:11">
      <c r="A245" s="140">
        <v>45318</v>
      </c>
      <c r="B245" s="11">
        <v>29</v>
      </c>
      <c r="C245" s="11">
        <v>5</v>
      </c>
      <c r="D245" s="11">
        <v>1</v>
      </c>
      <c r="E245" s="11">
        <v>1</v>
      </c>
      <c r="F245" s="11">
        <v>1</v>
      </c>
      <c r="G245" s="11">
        <v>0</v>
      </c>
      <c r="H245" s="11">
        <v>0</v>
      </c>
      <c r="I245" s="11">
        <v>0</v>
      </c>
      <c r="J245" s="134">
        <v>0.3875</v>
      </c>
      <c r="K245" s="11" t="s">
        <v>5270</v>
      </c>
    </row>
    <row r="246" ht="12.5" spans="1:12">
      <c r="A246" s="140">
        <v>45319</v>
      </c>
      <c r="B246" s="11">
        <v>13</v>
      </c>
      <c r="C246" s="11">
        <v>0</v>
      </c>
      <c r="D246" s="11">
        <v>1</v>
      </c>
      <c r="E246" s="11">
        <v>0</v>
      </c>
      <c r="F246" s="11">
        <v>1</v>
      </c>
      <c r="G246" s="11">
        <v>0</v>
      </c>
      <c r="H246" s="11">
        <v>0</v>
      </c>
      <c r="I246" s="11">
        <v>0</v>
      </c>
      <c r="J246" s="134">
        <v>0.429166666666667</v>
      </c>
      <c r="K246" s="11" t="s">
        <v>5270</v>
      </c>
      <c r="L246" s="11" t="s">
        <v>5271</v>
      </c>
    </row>
    <row r="247" ht="12.5" spans="1:11">
      <c r="A247" s="140">
        <v>45320</v>
      </c>
      <c r="B247" s="11">
        <v>50</v>
      </c>
      <c r="C247" s="11">
        <v>14</v>
      </c>
      <c r="D247" s="11">
        <v>2</v>
      </c>
      <c r="E247" s="11">
        <v>2</v>
      </c>
      <c r="F247" s="11">
        <v>0</v>
      </c>
      <c r="G247" s="11">
        <v>0</v>
      </c>
      <c r="H247" s="11">
        <v>0</v>
      </c>
      <c r="I247" s="11">
        <v>0</v>
      </c>
      <c r="J247" s="134">
        <v>0.34375</v>
      </c>
      <c r="K247" s="11" t="s">
        <v>5272</v>
      </c>
    </row>
    <row r="248" ht="12.5" spans="1:30">
      <c r="A248" s="140">
        <v>45321</v>
      </c>
      <c r="B248" s="136">
        <v>60</v>
      </c>
      <c r="C248" s="136">
        <v>19</v>
      </c>
      <c r="D248" s="136">
        <v>4</v>
      </c>
      <c r="E248" s="136">
        <v>4</v>
      </c>
      <c r="F248" s="136">
        <v>1</v>
      </c>
      <c r="G248" s="136">
        <v>0</v>
      </c>
      <c r="H248" s="136">
        <v>1</v>
      </c>
      <c r="I248" s="136">
        <v>0</v>
      </c>
      <c r="J248" s="137">
        <v>0.371527777777778</v>
      </c>
      <c r="K248" s="136" t="s">
        <v>5273</v>
      </c>
      <c r="L248" s="136"/>
      <c r="M248" s="136"/>
      <c r="N248" s="136"/>
      <c r="O248" s="136"/>
      <c r="P248" s="136"/>
      <c r="Q248" s="136"/>
      <c r="R248" s="136"/>
      <c r="S248" s="136"/>
      <c r="T248" s="136"/>
      <c r="U248" s="136"/>
      <c r="V248" s="136"/>
      <c r="W248" s="136"/>
      <c r="X248" s="136"/>
      <c r="Y248" s="136"/>
      <c r="Z248" s="136"/>
      <c r="AA248" s="136"/>
      <c r="AB248" s="136"/>
      <c r="AC248" s="136"/>
      <c r="AD248" s="136"/>
    </row>
    <row r="249" ht="12.5" spans="1:11">
      <c r="A249" s="140">
        <v>45322</v>
      </c>
      <c r="B249" s="11">
        <v>48</v>
      </c>
      <c r="C249" s="11">
        <v>8</v>
      </c>
      <c r="D249" s="11">
        <v>3</v>
      </c>
      <c r="E249" s="11">
        <v>3</v>
      </c>
      <c r="F249" s="11">
        <v>4</v>
      </c>
      <c r="G249" s="11">
        <v>0</v>
      </c>
      <c r="H249" s="11">
        <v>1</v>
      </c>
      <c r="I249" s="11">
        <v>0</v>
      </c>
      <c r="J249" s="134">
        <v>0.344444444444444</v>
      </c>
      <c r="K249" s="11" t="s">
        <v>5274</v>
      </c>
    </row>
    <row r="250" ht="12.5" spans="1:11">
      <c r="A250" s="130">
        <v>45323</v>
      </c>
      <c r="B250" s="11">
        <v>46</v>
      </c>
      <c r="C250" s="11">
        <v>9</v>
      </c>
      <c r="D250" s="11">
        <v>2</v>
      </c>
      <c r="E250" s="11">
        <v>2</v>
      </c>
      <c r="F250" s="11">
        <v>3</v>
      </c>
      <c r="G250" s="11">
        <v>3</v>
      </c>
      <c r="H250" s="11">
        <v>1</v>
      </c>
      <c r="I250" s="11">
        <v>0</v>
      </c>
      <c r="J250" s="134">
        <v>0.345833333333333</v>
      </c>
      <c r="K250" s="11" t="s">
        <v>5275</v>
      </c>
    </row>
    <row r="251" ht="12.5" spans="1:11">
      <c r="A251" s="130">
        <v>45324</v>
      </c>
      <c r="B251" s="11">
        <v>26</v>
      </c>
      <c r="C251" s="11">
        <v>4</v>
      </c>
      <c r="D251" s="11">
        <v>2</v>
      </c>
      <c r="E251" s="11">
        <v>1</v>
      </c>
      <c r="F251" s="11">
        <v>2</v>
      </c>
      <c r="G251" s="11">
        <v>1</v>
      </c>
      <c r="H251" s="11">
        <v>0</v>
      </c>
      <c r="I251" s="11">
        <v>0</v>
      </c>
      <c r="J251" s="134">
        <v>0.338194444444444</v>
      </c>
      <c r="K251" s="11" t="s">
        <v>5276</v>
      </c>
    </row>
    <row r="252" ht="12.5" spans="1:11">
      <c r="A252" s="130">
        <v>45325</v>
      </c>
      <c r="B252" s="11">
        <v>13</v>
      </c>
      <c r="C252" s="11">
        <v>5</v>
      </c>
      <c r="D252" s="11">
        <v>3</v>
      </c>
      <c r="E252" s="11">
        <v>3</v>
      </c>
      <c r="F252" s="11">
        <v>1</v>
      </c>
      <c r="G252" s="11">
        <v>0</v>
      </c>
      <c r="H252" s="11">
        <v>0</v>
      </c>
      <c r="I252" s="11">
        <v>0</v>
      </c>
      <c r="J252" s="134">
        <v>0.338194444444444</v>
      </c>
      <c r="K252" s="11" t="s">
        <v>5276</v>
      </c>
    </row>
    <row r="253" ht="12.5" spans="1:25">
      <c r="A253" s="130">
        <v>45326</v>
      </c>
      <c r="B253" s="11">
        <v>5</v>
      </c>
      <c r="C253" s="11">
        <v>1</v>
      </c>
      <c r="D253" s="11">
        <v>1</v>
      </c>
      <c r="E253" s="11">
        <v>1</v>
      </c>
      <c r="F253" s="11">
        <v>0</v>
      </c>
      <c r="G253" s="11">
        <v>0</v>
      </c>
      <c r="H253" s="11">
        <v>0</v>
      </c>
      <c r="I253" s="11">
        <v>0</v>
      </c>
      <c r="J253" s="134">
        <v>0.338194444444444</v>
      </c>
      <c r="K253" s="11" t="s">
        <v>5276</v>
      </c>
      <c r="Y253" s="11" t="s">
        <v>5277</v>
      </c>
    </row>
    <row r="254" ht="12.5" spans="1:11">
      <c r="A254" s="130">
        <v>45327</v>
      </c>
      <c r="B254" s="11">
        <v>42</v>
      </c>
      <c r="C254" s="11">
        <v>12</v>
      </c>
      <c r="D254" s="11">
        <v>3</v>
      </c>
      <c r="E254" s="11">
        <v>3</v>
      </c>
      <c r="F254" s="11">
        <v>4</v>
      </c>
      <c r="G254" s="11">
        <v>0</v>
      </c>
      <c r="H254" s="11">
        <v>0</v>
      </c>
      <c r="I254" s="11">
        <v>0</v>
      </c>
      <c r="J254" s="134">
        <v>0.348611111111111</v>
      </c>
      <c r="K254" s="11" t="s">
        <v>5278</v>
      </c>
    </row>
    <row r="255" ht="12.5" spans="1:11">
      <c r="A255" s="130">
        <v>45328</v>
      </c>
      <c r="B255" s="11">
        <v>39</v>
      </c>
      <c r="C255" s="11">
        <v>11</v>
      </c>
      <c r="D255" s="11">
        <v>2</v>
      </c>
      <c r="E255" s="11">
        <v>2</v>
      </c>
      <c r="F255" s="11">
        <v>0</v>
      </c>
      <c r="G255" s="11">
        <v>0</v>
      </c>
      <c r="H255" s="11">
        <v>1</v>
      </c>
      <c r="I255" s="11">
        <v>1</v>
      </c>
      <c r="J255" s="134">
        <v>0.322916666666667</v>
      </c>
      <c r="K255" s="11" t="s">
        <v>5279</v>
      </c>
    </row>
    <row r="256" ht="12.5" spans="1:11">
      <c r="A256" s="130">
        <v>45329</v>
      </c>
      <c r="B256" s="11">
        <v>37</v>
      </c>
      <c r="C256" s="11">
        <v>10</v>
      </c>
      <c r="D256" s="11">
        <v>4</v>
      </c>
      <c r="E256" s="11">
        <v>4</v>
      </c>
      <c r="F256" s="11">
        <v>1</v>
      </c>
      <c r="G256" s="11">
        <v>0</v>
      </c>
      <c r="H256" s="11">
        <v>0</v>
      </c>
      <c r="I256" s="11">
        <v>0</v>
      </c>
      <c r="J256" s="134">
        <v>0.338888888888889</v>
      </c>
      <c r="K256" s="11" t="s">
        <v>5280</v>
      </c>
    </row>
    <row r="257" ht="12.5" spans="1:11">
      <c r="A257" s="130">
        <v>45330</v>
      </c>
      <c r="B257" s="11">
        <v>26</v>
      </c>
      <c r="C257" s="11">
        <v>7</v>
      </c>
      <c r="D257" s="11">
        <v>1</v>
      </c>
      <c r="E257" s="11">
        <v>1</v>
      </c>
      <c r="F257" s="11">
        <v>2</v>
      </c>
      <c r="G257" s="11">
        <v>0</v>
      </c>
      <c r="H257" s="11">
        <v>0</v>
      </c>
      <c r="I257" s="11">
        <v>0</v>
      </c>
      <c r="J257" s="134">
        <v>0.334027777777778</v>
      </c>
      <c r="K257" s="11" t="s">
        <v>5281</v>
      </c>
    </row>
    <row r="258" ht="12.5" spans="1:11">
      <c r="A258" s="130">
        <v>45331</v>
      </c>
      <c r="B258" s="11">
        <v>15</v>
      </c>
      <c r="C258" s="11">
        <v>4</v>
      </c>
      <c r="D258" s="11">
        <v>2</v>
      </c>
      <c r="E258" s="11">
        <v>2</v>
      </c>
      <c r="F258" s="11">
        <v>1</v>
      </c>
      <c r="G258" s="11">
        <v>0</v>
      </c>
      <c r="H258" s="11">
        <v>0</v>
      </c>
      <c r="I258" s="11">
        <v>0</v>
      </c>
      <c r="J258" s="134">
        <v>0.334027777777778</v>
      </c>
      <c r="K258" s="11" t="s">
        <v>5281</v>
      </c>
    </row>
    <row r="259" ht="12.5" spans="1:11">
      <c r="A259" s="130">
        <v>45332</v>
      </c>
      <c r="B259" s="11">
        <v>10</v>
      </c>
      <c r="C259" s="11">
        <v>3</v>
      </c>
      <c r="D259" s="11">
        <v>4</v>
      </c>
      <c r="E259" s="11">
        <v>4</v>
      </c>
      <c r="F259" s="11">
        <v>1</v>
      </c>
      <c r="G259" s="11">
        <v>1</v>
      </c>
      <c r="H259" s="11">
        <v>0</v>
      </c>
      <c r="I259" s="11">
        <v>0</v>
      </c>
      <c r="J259" s="134">
        <v>0.334027777777778</v>
      </c>
      <c r="K259" s="11" t="s">
        <v>5281</v>
      </c>
    </row>
    <row r="260" ht="12.5" spans="1:11">
      <c r="A260" s="130">
        <v>45333</v>
      </c>
      <c r="B260" s="11">
        <v>8</v>
      </c>
      <c r="C260" s="11">
        <v>1</v>
      </c>
      <c r="D260" s="11">
        <v>4</v>
      </c>
      <c r="E260" s="11">
        <v>4</v>
      </c>
      <c r="F260" s="11">
        <v>3</v>
      </c>
      <c r="G260" s="11">
        <v>1</v>
      </c>
      <c r="H260" s="11">
        <v>0</v>
      </c>
      <c r="I260" s="11">
        <v>0</v>
      </c>
      <c r="J260" s="134">
        <v>0.334027777777778</v>
      </c>
      <c r="K260" s="11" t="s">
        <v>5281</v>
      </c>
    </row>
    <row r="261" ht="12.5" spans="1:11">
      <c r="A261" s="130">
        <v>45334</v>
      </c>
      <c r="B261" s="11">
        <v>7</v>
      </c>
      <c r="C261" s="11">
        <v>3</v>
      </c>
      <c r="D261" s="11">
        <v>1</v>
      </c>
      <c r="E261" s="11">
        <v>1</v>
      </c>
      <c r="F261" s="11">
        <v>1</v>
      </c>
      <c r="G261" s="11">
        <v>2</v>
      </c>
      <c r="H261" s="11">
        <v>0</v>
      </c>
      <c r="I261" s="11">
        <v>0</v>
      </c>
      <c r="J261" s="134">
        <v>0.334027777777778</v>
      </c>
      <c r="K261" s="11" t="s">
        <v>5281</v>
      </c>
    </row>
    <row r="262" ht="12.5" spans="1:11">
      <c r="A262" s="130">
        <v>45335</v>
      </c>
      <c r="B262" s="11">
        <v>10</v>
      </c>
      <c r="C262" s="11">
        <v>3</v>
      </c>
      <c r="D262" s="11">
        <v>2</v>
      </c>
      <c r="E262" s="11">
        <v>2</v>
      </c>
      <c r="F262" s="11">
        <v>2</v>
      </c>
      <c r="G262" s="11">
        <v>0</v>
      </c>
      <c r="H262" s="11">
        <v>0</v>
      </c>
      <c r="I262" s="11">
        <v>0</v>
      </c>
      <c r="J262" s="134">
        <v>0.334027777777778</v>
      </c>
      <c r="K262" s="11" t="s">
        <v>5281</v>
      </c>
    </row>
    <row r="263" ht="12.5" spans="1:11">
      <c r="A263" s="130">
        <v>45336</v>
      </c>
      <c r="B263" s="11">
        <v>11</v>
      </c>
      <c r="C263" s="11">
        <v>1</v>
      </c>
      <c r="D263" s="11">
        <v>1</v>
      </c>
      <c r="E263" s="11">
        <v>1</v>
      </c>
      <c r="F263" s="11">
        <v>0</v>
      </c>
      <c r="G263" s="11">
        <v>1</v>
      </c>
      <c r="H263" s="11">
        <v>0</v>
      </c>
      <c r="I263" s="11">
        <v>0</v>
      </c>
      <c r="J263" s="134">
        <v>0.334027777777778</v>
      </c>
      <c r="K263" s="11" t="s">
        <v>5281</v>
      </c>
    </row>
    <row r="264" ht="12.5" spans="1:11">
      <c r="A264" s="130">
        <v>45337</v>
      </c>
      <c r="B264" s="11">
        <v>40</v>
      </c>
      <c r="C264" s="11">
        <v>5</v>
      </c>
      <c r="D264" s="11">
        <v>2</v>
      </c>
      <c r="E264" s="11">
        <v>2</v>
      </c>
      <c r="F264" s="11">
        <v>1</v>
      </c>
      <c r="G264" s="11">
        <v>0</v>
      </c>
      <c r="H264" s="11">
        <v>1</v>
      </c>
      <c r="I264" s="11">
        <v>0</v>
      </c>
      <c r="J264" s="134">
        <v>0.334027777777778</v>
      </c>
      <c r="K264" s="11" t="s">
        <v>5282</v>
      </c>
    </row>
    <row r="265" ht="12.5" spans="1:30">
      <c r="A265" s="130">
        <v>45338</v>
      </c>
      <c r="B265" s="11">
        <v>25</v>
      </c>
      <c r="C265" s="136">
        <v>7</v>
      </c>
      <c r="D265" s="136">
        <v>4</v>
      </c>
      <c r="E265" s="136">
        <v>4</v>
      </c>
      <c r="F265" s="136">
        <v>0</v>
      </c>
      <c r="G265" s="136">
        <v>2</v>
      </c>
      <c r="H265" s="136">
        <v>1</v>
      </c>
      <c r="I265" s="136">
        <v>0</v>
      </c>
      <c r="J265" s="137">
        <v>0.348611111111111</v>
      </c>
      <c r="K265" s="136" t="s">
        <v>5283</v>
      </c>
      <c r="L265" s="136"/>
      <c r="M265" s="136"/>
      <c r="N265" s="136"/>
      <c r="O265" s="136"/>
      <c r="P265" s="136"/>
      <c r="Q265" s="136"/>
      <c r="R265" s="136"/>
      <c r="S265" s="136"/>
      <c r="T265" s="136"/>
      <c r="U265" s="136"/>
      <c r="V265" s="136"/>
      <c r="W265" s="136"/>
      <c r="X265" s="136"/>
      <c r="Y265" s="136"/>
      <c r="Z265" s="136"/>
      <c r="AA265" s="136"/>
      <c r="AB265" s="136"/>
      <c r="AC265" s="136"/>
      <c r="AD265" s="136"/>
    </row>
    <row r="266" ht="12.5" spans="1:11">
      <c r="A266" s="130">
        <v>45339</v>
      </c>
      <c r="B266" s="11">
        <v>13</v>
      </c>
      <c r="C266" s="11">
        <v>4</v>
      </c>
      <c r="D266" s="11">
        <v>2</v>
      </c>
      <c r="E266" s="11">
        <v>2</v>
      </c>
      <c r="F266" s="11">
        <v>0</v>
      </c>
      <c r="G266" s="11">
        <v>1</v>
      </c>
      <c r="H266" s="11">
        <v>0</v>
      </c>
      <c r="I266" s="11">
        <v>0</v>
      </c>
      <c r="J266" s="134">
        <v>0.379861111111111</v>
      </c>
      <c r="K266" s="11" t="s">
        <v>5284</v>
      </c>
    </row>
    <row r="267" ht="12.5" spans="1:11">
      <c r="A267" s="130">
        <v>45340</v>
      </c>
      <c r="B267" s="11">
        <v>15</v>
      </c>
      <c r="C267" s="11">
        <v>1</v>
      </c>
      <c r="D267" s="11">
        <v>1</v>
      </c>
      <c r="E267" s="11">
        <v>1</v>
      </c>
      <c r="F267" s="11">
        <v>1</v>
      </c>
      <c r="G267" s="11">
        <v>1</v>
      </c>
      <c r="H267" s="11">
        <v>0</v>
      </c>
      <c r="I267" s="11">
        <v>0</v>
      </c>
      <c r="J267" s="134">
        <v>0.379861111111111</v>
      </c>
      <c r="K267" s="11" t="s">
        <v>5284</v>
      </c>
    </row>
    <row r="268" ht="12.5" spans="1:11">
      <c r="A268" s="130">
        <v>45341</v>
      </c>
      <c r="B268" s="11">
        <v>27</v>
      </c>
      <c r="C268" s="11">
        <v>10</v>
      </c>
      <c r="D268" s="11">
        <v>3</v>
      </c>
      <c r="E268" s="11">
        <v>3</v>
      </c>
      <c r="F268" s="11">
        <v>2</v>
      </c>
      <c r="G268" s="11">
        <v>0</v>
      </c>
      <c r="H268" s="11">
        <v>1</v>
      </c>
      <c r="I268" s="11">
        <v>0</v>
      </c>
      <c r="J268" s="134">
        <v>0.346527777777778</v>
      </c>
      <c r="K268" s="11" t="s">
        <v>5285</v>
      </c>
    </row>
    <row r="269" ht="12.5" spans="1:11">
      <c r="A269" s="130">
        <v>45342</v>
      </c>
      <c r="B269" s="11">
        <v>31</v>
      </c>
      <c r="C269" s="11">
        <v>6</v>
      </c>
      <c r="D269" s="11">
        <v>2</v>
      </c>
      <c r="E269" s="11">
        <v>2</v>
      </c>
      <c r="F269" s="11">
        <v>3</v>
      </c>
      <c r="G269" s="11">
        <v>1</v>
      </c>
      <c r="H269" s="11">
        <v>0</v>
      </c>
      <c r="I269" s="11">
        <v>0</v>
      </c>
      <c r="J269" s="134">
        <v>0.29375</v>
      </c>
      <c r="K269" s="11" t="s">
        <v>5286</v>
      </c>
    </row>
    <row r="270" ht="12.5" spans="1:11">
      <c r="A270" s="130">
        <v>45343</v>
      </c>
      <c r="B270" s="11">
        <v>35</v>
      </c>
      <c r="C270" s="11">
        <v>8</v>
      </c>
      <c r="D270" s="11">
        <v>3</v>
      </c>
      <c r="E270" s="11">
        <v>2</v>
      </c>
      <c r="F270" s="11">
        <v>2</v>
      </c>
      <c r="G270" s="11">
        <v>0</v>
      </c>
      <c r="H270" s="11">
        <v>0</v>
      </c>
      <c r="I270" s="11">
        <v>0</v>
      </c>
      <c r="J270" s="134">
        <v>0.389583333333333</v>
      </c>
      <c r="K270" s="11" t="s">
        <v>5287</v>
      </c>
    </row>
    <row r="271" ht="12.5" spans="1:11">
      <c r="A271" s="130">
        <v>45344</v>
      </c>
      <c r="B271" s="11">
        <v>31</v>
      </c>
      <c r="C271" s="11">
        <v>7</v>
      </c>
      <c r="D271" s="11">
        <v>2</v>
      </c>
      <c r="E271" s="11">
        <v>2</v>
      </c>
      <c r="F271" s="11">
        <v>1</v>
      </c>
      <c r="G271" s="11">
        <v>0</v>
      </c>
      <c r="H271" s="11">
        <v>0</v>
      </c>
      <c r="I271" s="11">
        <v>0</v>
      </c>
      <c r="J271" s="134">
        <v>0.338888888888889</v>
      </c>
      <c r="K271" s="11" t="s">
        <v>5288</v>
      </c>
    </row>
    <row r="272" ht="12.5" spans="1:30">
      <c r="A272" s="130">
        <v>45345</v>
      </c>
      <c r="B272" s="136">
        <v>22</v>
      </c>
      <c r="C272" s="136">
        <v>6</v>
      </c>
      <c r="D272" s="136">
        <v>2</v>
      </c>
      <c r="E272" s="136">
        <v>2</v>
      </c>
      <c r="F272" s="136">
        <v>2</v>
      </c>
      <c r="G272" s="136">
        <v>1</v>
      </c>
      <c r="H272" s="136">
        <v>0</v>
      </c>
      <c r="I272" s="136">
        <v>0</v>
      </c>
      <c r="J272" s="137">
        <v>0.352777777777778</v>
      </c>
      <c r="K272" s="11" t="s">
        <v>5289</v>
      </c>
      <c r="L272" s="136"/>
      <c r="M272" s="136"/>
      <c r="N272" s="136"/>
      <c r="O272" s="136"/>
      <c r="P272" s="136"/>
      <c r="Q272" s="136"/>
      <c r="R272" s="136"/>
      <c r="S272" s="136"/>
      <c r="T272" s="136"/>
      <c r="U272" s="136"/>
      <c r="V272" s="136"/>
      <c r="W272" s="136"/>
      <c r="X272" s="136"/>
      <c r="Y272" s="136"/>
      <c r="Z272" s="136"/>
      <c r="AA272" s="136"/>
      <c r="AB272" s="136"/>
      <c r="AC272" s="136"/>
      <c r="AD272" s="136"/>
    </row>
    <row r="273" ht="12.5" spans="1:30">
      <c r="A273" s="130">
        <v>45346</v>
      </c>
      <c r="B273" s="136">
        <v>11</v>
      </c>
      <c r="C273" s="136">
        <v>3</v>
      </c>
      <c r="D273" s="136">
        <v>2</v>
      </c>
      <c r="E273" s="136">
        <v>2</v>
      </c>
      <c r="F273" s="136">
        <v>0</v>
      </c>
      <c r="G273" s="136">
        <v>1</v>
      </c>
      <c r="H273" s="136">
        <v>1</v>
      </c>
      <c r="I273" s="136">
        <v>0</v>
      </c>
      <c r="J273" s="137">
        <v>0.358333333333333</v>
      </c>
      <c r="K273" s="11" t="s">
        <v>5289</v>
      </c>
      <c r="L273" s="136"/>
      <c r="M273" s="136"/>
      <c r="N273" s="136"/>
      <c r="O273" s="136"/>
      <c r="P273" s="136"/>
      <c r="Q273" s="136"/>
      <c r="R273" s="136"/>
      <c r="S273" s="136"/>
      <c r="T273" s="136"/>
      <c r="U273" s="136"/>
      <c r="V273" s="136"/>
      <c r="W273" s="136"/>
      <c r="X273" s="136"/>
      <c r="Y273" s="136"/>
      <c r="Z273" s="136"/>
      <c r="AA273" s="136"/>
      <c r="AB273" s="136"/>
      <c r="AC273" s="136"/>
      <c r="AD273" s="136"/>
    </row>
    <row r="274" ht="12.5" spans="1:30">
      <c r="A274" s="130">
        <v>45347</v>
      </c>
      <c r="B274" s="136">
        <v>12</v>
      </c>
      <c r="C274" s="136">
        <v>1</v>
      </c>
      <c r="D274" s="136">
        <v>2</v>
      </c>
      <c r="E274" s="136">
        <v>2</v>
      </c>
      <c r="F274" s="136">
        <v>2</v>
      </c>
      <c r="G274" s="136">
        <v>0</v>
      </c>
      <c r="H274" s="136">
        <v>0</v>
      </c>
      <c r="I274" s="136">
        <v>0</v>
      </c>
      <c r="J274" s="137">
        <v>0.360416666666667</v>
      </c>
      <c r="K274" s="11" t="s">
        <v>5289</v>
      </c>
      <c r="L274" s="136"/>
      <c r="M274" s="136"/>
      <c r="N274" s="136"/>
      <c r="O274" s="136"/>
      <c r="P274" s="136"/>
      <c r="Q274" s="136"/>
      <c r="R274" s="136"/>
      <c r="S274" s="136"/>
      <c r="T274" s="136"/>
      <c r="U274" s="136"/>
      <c r="V274" s="136"/>
      <c r="W274" s="136"/>
      <c r="X274" s="136"/>
      <c r="Y274" s="136"/>
      <c r="Z274" s="136"/>
      <c r="AA274" s="136"/>
      <c r="AB274" s="136"/>
      <c r="AC274" s="136"/>
      <c r="AD274" s="136"/>
    </row>
    <row r="275" ht="12.5" spans="1:30">
      <c r="A275" s="130">
        <v>45348</v>
      </c>
      <c r="B275" s="136">
        <v>42</v>
      </c>
      <c r="C275" s="136">
        <v>13</v>
      </c>
      <c r="D275" s="136">
        <v>5</v>
      </c>
      <c r="E275" s="136">
        <v>4</v>
      </c>
      <c r="F275" s="136">
        <v>1</v>
      </c>
      <c r="G275" s="136">
        <v>1</v>
      </c>
      <c r="H275" s="136">
        <v>1</v>
      </c>
      <c r="I275" s="136">
        <v>0</v>
      </c>
      <c r="J275" s="137">
        <v>0.388194444444444</v>
      </c>
      <c r="K275" s="136" t="s">
        <v>5290</v>
      </c>
      <c r="L275" s="136"/>
      <c r="M275" s="136"/>
      <c r="N275" s="136"/>
      <c r="O275" s="136"/>
      <c r="P275" s="136"/>
      <c r="Q275" s="136"/>
      <c r="R275" s="136"/>
      <c r="S275" s="136"/>
      <c r="T275" s="136"/>
      <c r="U275" s="136"/>
      <c r="V275" s="136"/>
      <c r="W275" s="136"/>
      <c r="X275" s="136"/>
      <c r="Y275" s="136"/>
      <c r="Z275" s="136"/>
      <c r="AA275" s="136"/>
      <c r="AB275" s="136"/>
      <c r="AC275" s="136"/>
      <c r="AD275" s="136"/>
    </row>
    <row r="276" ht="12.5" spans="1:11">
      <c r="A276" s="130">
        <v>45349</v>
      </c>
      <c r="B276" s="11">
        <v>34</v>
      </c>
      <c r="C276" s="11">
        <v>9</v>
      </c>
      <c r="D276" s="11">
        <v>3</v>
      </c>
      <c r="E276" s="11">
        <v>2</v>
      </c>
      <c r="F276" s="11">
        <v>2</v>
      </c>
      <c r="G276" s="11">
        <v>1</v>
      </c>
      <c r="H276" s="11">
        <v>1</v>
      </c>
      <c r="I276" s="11">
        <v>0</v>
      </c>
      <c r="J276" s="134">
        <v>0.389583333333333</v>
      </c>
      <c r="K276" s="11" t="s">
        <v>5291</v>
      </c>
    </row>
    <row r="277" ht="12.5" spans="1:11">
      <c r="A277" s="130">
        <v>45350</v>
      </c>
      <c r="B277" s="11">
        <v>28</v>
      </c>
      <c r="C277" s="11">
        <v>11</v>
      </c>
      <c r="D277" s="11">
        <v>3</v>
      </c>
      <c r="E277" s="11">
        <v>2</v>
      </c>
      <c r="F277" s="11">
        <v>0</v>
      </c>
      <c r="G277" s="11">
        <v>0</v>
      </c>
      <c r="H277" s="11">
        <v>3</v>
      </c>
      <c r="I277" s="11">
        <v>0</v>
      </c>
      <c r="J277" s="134">
        <v>0.349305555555556</v>
      </c>
      <c r="K277" s="11" t="s">
        <v>5292</v>
      </c>
    </row>
    <row r="278" ht="12.5" spans="1:11">
      <c r="A278" s="130">
        <v>45351</v>
      </c>
      <c r="B278" s="11">
        <v>32</v>
      </c>
      <c r="C278" s="11">
        <v>9</v>
      </c>
      <c r="D278" s="11">
        <v>5</v>
      </c>
      <c r="E278" s="11">
        <v>4</v>
      </c>
      <c r="F278" s="11">
        <v>1</v>
      </c>
      <c r="G278" s="11">
        <v>0</v>
      </c>
      <c r="H278" s="11">
        <v>0</v>
      </c>
      <c r="I278" s="11">
        <v>0</v>
      </c>
      <c r="J278" s="134">
        <v>0.354166666666667</v>
      </c>
      <c r="K278" s="11" t="s">
        <v>5293</v>
      </c>
    </row>
    <row r="279" ht="12.5" spans="1:11">
      <c r="A279" s="140">
        <v>45352</v>
      </c>
      <c r="B279" s="11">
        <v>28</v>
      </c>
      <c r="C279" s="11">
        <v>5</v>
      </c>
      <c r="D279" s="11">
        <v>4</v>
      </c>
      <c r="E279" s="11">
        <v>4</v>
      </c>
      <c r="F279" s="11">
        <v>3</v>
      </c>
      <c r="G279" s="11">
        <v>1</v>
      </c>
      <c r="H279" s="11">
        <v>0</v>
      </c>
      <c r="I279" s="11">
        <v>0</v>
      </c>
      <c r="J279" s="134">
        <v>0.354166666666667</v>
      </c>
      <c r="K279" s="11" t="s">
        <v>5294</v>
      </c>
    </row>
    <row r="280" ht="12.5" spans="1:11">
      <c r="A280" s="140">
        <v>45353</v>
      </c>
      <c r="B280" s="11">
        <v>13</v>
      </c>
      <c r="C280" s="11">
        <v>1</v>
      </c>
      <c r="D280" s="11">
        <v>4</v>
      </c>
      <c r="E280" s="11">
        <v>4</v>
      </c>
      <c r="F280" s="11">
        <v>2</v>
      </c>
      <c r="G280" s="11">
        <v>1</v>
      </c>
      <c r="H280" s="11">
        <v>0</v>
      </c>
      <c r="I280" s="11">
        <v>0</v>
      </c>
      <c r="J280" s="134">
        <v>0.389583333333333</v>
      </c>
      <c r="K280" s="11" t="s">
        <v>5294</v>
      </c>
    </row>
    <row r="281" ht="12.5" spans="1:11">
      <c r="A281" s="140">
        <v>45354</v>
      </c>
      <c r="B281" s="11">
        <v>11</v>
      </c>
      <c r="C281" s="11">
        <v>1</v>
      </c>
      <c r="D281" s="11">
        <v>1</v>
      </c>
      <c r="E281" s="11">
        <v>1</v>
      </c>
      <c r="F281" s="11">
        <v>1</v>
      </c>
      <c r="G281" s="11">
        <v>1</v>
      </c>
      <c r="H281" s="11">
        <v>0</v>
      </c>
      <c r="I281" s="11">
        <v>0</v>
      </c>
      <c r="J281" s="134">
        <v>0.389583333333333</v>
      </c>
      <c r="K281" s="11" t="s">
        <v>5294</v>
      </c>
    </row>
    <row r="282" ht="12.5" spans="1:11">
      <c r="A282" s="140">
        <v>45355</v>
      </c>
      <c r="B282" s="11">
        <v>36</v>
      </c>
      <c r="C282" s="11">
        <v>10</v>
      </c>
      <c r="D282" s="11">
        <v>4</v>
      </c>
      <c r="E282" s="11">
        <v>4</v>
      </c>
      <c r="F282" s="11">
        <v>2</v>
      </c>
      <c r="G282" s="11">
        <v>2</v>
      </c>
      <c r="H282" s="11">
        <v>0</v>
      </c>
      <c r="I282" s="11">
        <v>0</v>
      </c>
      <c r="J282" s="134">
        <v>0.346527777777778</v>
      </c>
      <c r="K282" s="11" t="s">
        <v>5295</v>
      </c>
    </row>
    <row r="283" ht="12.5" spans="1:11">
      <c r="A283" s="140">
        <v>45356</v>
      </c>
      <c r="B283" s="11">
        <v>40</v>
      </c>
      <c r="C283" s="11">
        <v>7</v>
      </c>
      <c r="D283" s="11">
        <v>4</v>
      </c>
      <c r="E283" s="11">
        <v>3</v>
      </c>
      <c r="F283" s="11">
        <v>3</v>
      </c>
      <c r="G283" s="11">
        <v>1</v>
      </c>
      <c r="H283" s="11">
        <v>2</v>
      </c>
      <c r="I283" s="11">
        <v>0</v>
      </c>
      <c r="J283" s="134">
        <v>0.520138888888889</v>
      </c>
      <c r="K283" s="11" t="s">
        <v>5296</v>
      </c>
    </row>
    <row r="284" ht="12.5" spans="1:11">
      <c r="A284" s="140">
        <v>45357</v>
      </c>
      <c r="B284" s="11">
        <v>32</v>
      </c>
      <c r="C284" s="11">
        <v>10</v>
      </c>
      <c r="D284" s="11">
        <v>3</v>
      </c>
      <c r="E284" s="11">
        <v>3</v>
      </c>
      <c r="F284" s="11">
        <v>1</v>
      </c>
      <c r="G284" s="11">
        <v>4</v>
      </c>
      <c r="H284" s="11">
        <v>0</v>
      </c>
      <c r="I284" s="11">
        <v>0</v>
      </c>
      <c r="J284" s="134">
        <v>0.523611111111111</v>
      </c>
      <c r="K284" s="11" t="s">
        <v>5296</v>
      </c>
    </row>
    <row r="285" ht="12.5" spans="1:11">
      <c r="A285" s="140">
        <v>45358</v>
      </c>
      <c r="B285" s="11">
        <v>42</v>
      </c>
      <c r="C285" s="11">
        <v>12</v>
      </c>
      <c r="D285" s="11">
        <v>2</v>
      </c>
      <c r="E285" s="11">
        <v>2</v>
      </c>
      <c r="F285" s="11">
        <v>3</v>
      </c>
      <c r="G285" s="11">
        <v>1</v>
      </c>
      <c r="H285" s="11">
        <v>2</v>
      </c>
      <c r="I285" s="11">
        <v>0</v>
      </c>
      <c r="J285" s="134">
        <v>0.354166666666667</v>
      </c>
      <c r="K285" s="11" t="s">
        <v>5297</v>
      </c>
    </row>
    <row r="286" ht="12.5" spans="1:11">
      <c r="A286" s="140">
        <v>45359</v>
      </c>
      <c r="B286" s="11">
        <v>26</v>
      </c>
      <c r="C286" s="11">
        <v>3</v>
      </c>
      <c r="D286" s="11">
        <v>2</v>
      </c>
      <c r="E286" s="11">
        <v>2</v>
      </c>
      <c r="F286" s="11">
        <v>2</v>
      </c>
      <c r="G286" s="11">
        <v>0</v>
      </c>
      <c r="H286" s="11">
        <v>4</v>
      </c>
      <c r="I286" s="11">
        <v>0</v>
      </c>
      <c r="J286" s="134">
        <v>0.35</v>
      </c>
      <c r="K286" s="11" t="s">
        <v>5298</v>
      </c>
    </row>
    <row r="287" ht="12.5" spans="1:11">
      <c r="A287" s="140">
        <v>45360</v>
      </c>
      <c r="B287" s="11">
        <v>13</v>
      </c>
      <c r="C287" s="11">
        <v>5</v>
      </c>
      <c r="D287" s="11">
        <v>2</v>
      </c>
      <c r="E287" s="11">
        <v>2</v>
      </c>
      <c r="F287" s="11">
        <v>2</v>
      </c>
      <c r="G287" s="11">
        <v>0</v>
      </c>
      <c r="H287" s="11">
        <v>0</v>
      </c>
      <c r="I287" s="11">
        <v>0</v>
      </c>
      <c r="J287" s="134">
        <v>0.35</v>
      </c>
      <c r="K287" s="11" t="s">
        <v>5298</v>
      </c>
    </row>
    <row r="288" ht="12.5" spans="1:11">
      <c r="A288" s="140">
        <v>45361</v>
      </c>
      <c r="B288" s="11">
        <v>11</v>
      </c>
      <c r="C288" s="11">
        <v>5</v>
      </c>
      <c r="D288" s="11">
        <v>0</v>
      </c>
      <c r="E288" s="11">
        <v>0</v>
      </c>
      <c r="F288" s="11">
        <v>1</v>
      </c>
      <c r="G288" s="11">
        <v>2</v>
      </c>
      <c r="H288" s="11">
        <v>0</v>
      </c>
      <c r="I288" s="11">
        <v>0</v>
      </c>
      <c r="J288" s="134">
        <v>0.35</v>
      </c>
      <c r="K288" s="11" t="s">
        <v>5298</v>
      </c>
    </row>
    <row r="289" ht="12.5" spans="1:11">
      <c r="A289" s="140">
        <v>45362</v>
      </c>
      <c r="B289" s="11">
        <v>21</v>
      </c>
      <c r="C289" s="11">
        <v>5</v>
      </c>
      <c r="D289" s="11">
        <v>1</v>
      </c>
      <c r="E289" s="11">
        <v>1</v>
      </c>
      <c r="F289" s="11">
        <v>2</v>
      </c>
      <c r="G289" s="11">
        <v>0</v>
      </c>
      <c r="H289" s="11">
        <v>1</v>
      </c>
      <c r="I289" s="11">
        <v>0</v>
      </c>
      <c r="J289" s="134">
        <v>0.359722222222222</v>
      </c>
      <c r="K289" s="11" t="s">
        <v>5299</v>
      </c>
    </row>
    <row r="290" ht="12.5" spans="1:11">
      <c r="A290" s="140">
        <v>45363</v>
      </c>
      <c r="B290" s="11">
        <v>33</v>
      </c>
      <c r="C290" s="11">
        <v>4</v>
      </c>
      <c r="D290" s="11">
        <v>2</v>
      </c>
      <c r="E290" s="11">
        <v>2</v>
      </c>
      <c r="F290" s="11">
        <v>0</v>
      </c>
      <c r="G290" s="11">
        <v>1</v>
      </c>
      <c r="H290" s="11">
        <v>0</v>
      </c>
      <c r="I290" s="11">
        <v>0</v>
      </c>
      <c r="J290" s="134">
        <v>0.330555555555556</v>
      </c>
      <c r="K290" s="11" t="s">
        <v>5300</v>
      </c>
    </row>
    <row r="291" ht="12.5" spans="1:30">
      <c r="A291" s="140">
        <v>45364</v>
      </c>
      <c r="B291" s="136">
        <v>34</v>
      </c>
      <c r="C291" s="136">
        <v>7</v>
      </c>
      <c r="D291" s="136">
        <v>3</v>
      </c>
      <c r="E291" s="136">
        <v>3</v>
      </c>
      <c r="F291" s="136">
        <v>2</v>
      </c>
      <c r="G291" s="136">
        <v>1</v>
      </c>
      <c r="H291" s="136">
        <v>0</v>
      </c>
      <c r="I291" s="136">
        <v>0</v>
      </c>
      <c r="J291" s="137">
        <v>0.363194444444444</v>
      </c>
      <c r="K291" s="136" t="s">
        <v>5301</v>
      </c>
      <c r="L291" s="136"/>
      <c r="M291" s="136"/>
      <c r="N291" s="136"/>
      <c r="O291" s="136"/>
      <c r="P291" s="136"/>
      <c r="Q291" s="136"/>
      <c r="R291" s="136"/>
      <c r="S291" s="136"/>
      <c r="T291" s="136"/>
      <c r="U291" s="136"/>
      <c r="V291" s="136"/>
      <c r="W291" s="136"/>
      <c r="X291" s="136"/>
      <c r="Y291" s="136"/>
      <c r="Z291" s="136"/>
      <c r="AA291" s="136"/>
      <c r="AB291" s="136"/>
      <c r="AC291" s="136"/>
      <c r="AD291" s="136"/>
    </row>
    <row r="292" ht="12.5" spans="1:30">
      <c r="A292" s="140">
        <v>45365</v>
      </c>
      <c r="B292" s="136">
        <v>42</v>
      </c>
      <c r="C292" s="136">
        <v>10</v>
      </c>
      <c r="D292" s="136">
        <v>5</v>
      </c>
      <c r="E292" s="136">
        <v>5</v>
      </c>
      <c r="F292" s="136">
        <v>1</v>
      </c>
      <c r="G292" s="136">
        <v>0</v>
      </c>
      <c r="H292" s="136">
        <v>0</v>
      </c>
      <c r="I292" s="136">
        <v>0</v>
      </c>
      <c r="J292" s="137">
        <v>0.372222222222222</v>
      </c>
      <c r="K292" s="136" t="s">
        <v>5302</v>
      </c>
      <c r="L292" s="136"/>
      <c r="M292" s="136"/>
      <c r="N292" s="136"/>
      <c r="O292" s="136"/>
      <c r="P292" s="136"/>
      <c r="Q292" s="136"/>
      <c r="R292" s="136"/>
      <c r="S292" s="136"/>
      <c r="T292" s="136"/>
      <c r="U292" s="136"/>
      <c r="V292" s="136"/>
      <c r="W292" s="136"/>
      <c r="X292" s="136"/>
      <c r="Y292" s="136"/>
      <c r="Z292" s="136"/>
      <c r="AA292" s="136"/>
      <c r="AB292" s="136"/>
      <c r="AC292" s="136"/>
      <c r="AD292" s="136"/>
    </row>
    <row r="293" ht="12.5" spans="1:11">
      <c r="A293" s="140">
        <v>45366</v>
      </c>
      <c r="B293" s="11">
        <v>37</v>
      </c>
      <c r="C293" s="11">
        <v>12</v>
      </c>
      <c r="D293" s="11">
        <v>3</v>
      </c>
      <c r="E293" s="11">
        <v>1</v>
      </c>
      <c r="F293" s="11">
        <v>4</v>
      </c>
      <c r="G293" s="11">
        <v>1</v>
      </c>
      <c r="H293" s="11">
        <v>1</v>
      </c>
      <c r="I293" s="11">
        <v>0</v>
      </c>
      <c r="J293" s="134">
        <v>0.318055555555556</v>
      </c>
      <c r="K293" s="11" t="s">
        <v>5303</v>
      </c>
    </row>
    <row r="294" ht="12.5" spans="1:11">
      <c r="A294" s="140">
        <v>45367</v>
      </c>
      <c r="B294" s="11">
        <v>17</v>
      </c>
      <c r="C294" s="11">
        <v>3</v>
      </c>
      <c r="D294" s="11">
        <v>3</v>
      </c>
      <c r="E294" s="11">
        <v>2</v>
      </c>
      <c r="F294" s="11">
        <v>2</v>
      </c>
      <c r="G294" s="11">
        <v>0</v>
      </c>
      <c r="H294" s="11">
        <v>0</v>
      </c>
      <c r="I294" s="11">
        <v>0</v>
      </c>
      <c r="J294" s="134">
        <v>0.323611111111111</v>
      </c>
      <c r="K294" s="11" t="s">
        <v>5303</v>
      </c>
    </row>
    <row r="295" ht="12.5" spans="1:11">
      <c r="A295" s="140">
        <v>45368</v>
      </c>
      <c r="B295" s="11">
        <v>11</v>
      </c>
      <c r="C295" s="11">
        <v>1</v>
      </c>
      <c r="D295" s="11">
        <v>0</v>
      </c>
      <c r="E295" s="11">
        <v>0</v>
      </c>
      <c r="F295" s="11">
        <v>0</v>
      </c>
      <c r="G295" s="11">
        <v>3</v>
      </c>
      <c r="H295" s="11">
        <v>0</v>
      </c>
      <c r="I295" s="11">
        <v>0</v>
      </c>
      <c r="J295" s="134">
        <v>0.323611111111111</v>
      </c>
      <c r="K295" s="11" t="s">
        <v>5303</v>
      </c>
    </row>
    <row r="296" ht="12.5" spans="1:11">
      <c r="A296" s="140">
        <v>45369</v>
      </c>
      <c r="B296" s="11">
        <v>27</v>
      </c>
      <c r="C296" s="11">
        <v>8</v>
      </c>
      <c r="D296" s="11">
        <v>2</v>
      </c>
      <c r="E296" s="11">
        <v>2</v>
      </c>
      <c r="F296" s="11">
        <v>0</v>
      </c>
      <c r="G296" s="11">
        <v>0</v>
      </c>
      <c r="H296" s="11">
        <v>0</v>
      </c>
      <c r="I296" s="11">
        <v>0</v>
      </c>
      <c r="J296" s="134">
        <v>0.336111111111111</v>
      </c>
      <c r="K296" s="11" t="s">
        <v>5304</v>
      </c>
    </row>
    <row r="297" ht="12.5" spans="1:11">
      <c r="A297" s="140">
        <v>45370</v>
      </c>
      <c r="B297" s="11">
        <v>55</v>
      </c>
      <c r="C297" s="11">
        <v>16</v>
      </c>
      <c r="D297" s="11">
        <v>1</v>
      </c>
      <c r="E297" s="11">
        <v>1</v>
      </c>
      <c r="F297" s="11">
        <v>1</v>
      </c>
      <c r="G297" s="11">
        <v>1</v>
      </c>
      <c r="H297" s="11">
        <v>4</v>
      </c>
      <c r="I297" s="11">
        <v>0</v>
      </c>
      <c r="J297" s="134">
        <v>0.538888888888889</v>
      </c>
      <c r="K297" s="11" t="s">
        <v>5305</v>
      </c>
    </row>
    <row r="298" ht="12.5" spans="1:11">
      <c r="A298" s="140">
        <v>45371</v>
      </c>
      <c r="B298" s="11">
        <v>64</v>
      </c>
      <c r="C298" s="11">
        <v>12</v>
      </c>
      <c r="D298" s="11">
        <v>3</v>
      </c>
      <c r="E298" s="11">
        <v>3</v>
      </c>
      <c r="F298" s="11">
        <v>1</v>
      </c>
      <c r="G298" s="11">
        <v>1</v>
      </c>
      <c r="H298" s="11">
        <v>0</v>
      </c>
      <c r="I298" s="11">
        <v>0</v>
      </c>
      <c r="J298" s="134">
        <v>0.413888888888889</v>
      </c>
      <c r="K298" s="11" t="s">
        <v>5306</v>
      </c>
    </row>
    <row r="299" ht="12.5" spans="1:11">
      <c r="A299" s="140">
        <v>45372</v>
      </c>
      <c r="B299" s="11">
        <v>51</v>
      </c>
      <c r="C299" s="11">
        <v>14</v>
      </c>
      <c r="D299" s="11">
        <v>5</v>
      </c>
      <c r="E299" s="11">
        <v>4</v>
      </c>
      <c r="F299" s="11">
        <v>3</v>
      </c>
      <c r="G299" s="11">
        <v>1</v>
      </c>
      <c r="H299" s="11">
        <v>0</v>
      </c>
      <c r="I299" s="11">
        <v>0</v>
      </c>
      <c r="J299" s="134">
        <v>0.338888888888889</v>
      </c>
      <c r="K299" s="11" t="s">
        <v>5307</v>
      </c>
    </row>
    <row r="300" ht="12.5" spans="1:11">
      <c r="A300" s="140">
        <v>45373</v>
      </c>
      <c r="B300" s="11">
        <v>47</v>
      </c>
      <c r="C300" s="11">
        <v>11</v>
      </c>
      <c r="D300" s="11">
        <v>3</v>
      </c>
      <c r="E300" s="11">
        <v>3</v>
      </c>
      <c r="F300" s="11">
        <v>1</v>
      </c>
      <c r="G300" s="11">
        <v>1</v>
      </c>
      <c r="H300" s="11">
        <v>1</v>
      </c>
      <c r="I300" s="11">
        <v>0</v>
      </c>
      <c r="J300" s="134">
        <v>0.363888888888889</v>
      </c>
      <c r="K300" s="11" t="s">
        <v>5308</v>
      </c>
    </row>
    <row r="301" ht="12.5" spans="1:11">
      <c r="A301" s="140">
        <v>45374</v>
      </c>
      <c r="B301" s="11">
        <v>11</v>
      </c>
      <c r="C301" s="11">
        <v>4</v>
      </c>
      <c r="D301" s="11">
        <v>2</v>
      </c>
      <c r="E301" s="11">
        <v>2</v>
      </c>
      <c r="F301" s="11">
        <v>1</v>
      </c>
      <c r="G301" s="11">
        <v>0</v>
      </c>
      <c r="H301" s="11">
        <v>0</v>
      </c>
      <c r="I301" s="11">
        <v>0</v>
      </c>
      <c r="J301" s="134">
        <v>0.363888888888889</v>
      </c>
      <c r="K301" s="11" t="s">
        <v>5308</v>
      </c>
    </row>
    <row r="302" ht="12.5" spans="1:11">
      <c r="A302" s="140">
        <v>45375</v>
      </c>
      <c r="B302" s="11">
        <v>9</v>
      </c>
      <c r="C302" s="11">
        <v>2</v>
      </c>
      <c r="D302" s="11">
        <v>1</v>
      </c>
      <c r="E302" s="11">
        <v>1</v>
      </c>
      <c r="F302" s="11">
        <v>1</v>
      </c>
      <c r="G302" s="11">
        <v>3</v>
      </c>
      <c r="H302" s="11">
        <v>0</v>
      </c>
      <c r="I302" s="11">
        <v>0</v>
      </c>
      <c r="J302" s="134">
        <v>0.363888888888889</v>
      </c>
      <c r="K302" s="11" t="s">
        <v>5308</v>
      </c>
    </row>
    <row r="303" ht="12.5" spans="1:11">
      <c r="A303" s="140">
        <v>45376</v>
      </c>
      <c r="B303" s="11">
        <v>35</v>
      </c>
      <c r="C303" s="11">
        <v>7</v>
      </c>
      <c r="D303" s="11">
        <v>2</v>
      </c>
      <c r="E303" s="11">
        <v>2</v>
      </c>
      <c r="F303" s="11">
        <v>2</v>
      </c>
      <c r="G303" s="11">
        <v>0</v>
      </c>
      <c r="H303" s="11">
        <v>0</v>
      </c>
      <c r="I303" s="11">
        <v>0</v>
      </c>
      <c r="J303" s="134">
        <v>0.35</v>
      </c>
      <c r="K303" s="11" t="s">
        <v>5309</v>
      </c>
    </row>
    <row r="304" ht="12.5" spans="1:11">
      <c r="A304" s="140">
        <v>45377</v>
      </c>
      <c r="B304" s="11">
        <v>40</v>
      </c>
      <c r="C304" s="11">
        <v>7</v>
      </c>
      <c r="D304" s="11">
        <v>4</v>
      </c>
      <c r="E304" s="11">
        <v>3</v>
      </c>
      <c r="F304" s="11">
        <v>3</v>
      </c>
      <c r="G304" s="11">
        <v>0</v>
      </c>
      <c r="H304" s="11">
        <v>1</v>
      </c>
      <c r="I304" s="11">
        <v>0</v>
      </c>
      <c r="J304" s="134">
        <v>0.385416666666667</v>
      </c>
      <c r="K304" s="11" t="s">
        <v>5310</v>
      </c>
    </row>
    <row r="305" ht="12.5" spans="1:11">
      <c r="A305" s="140">
        <v>45378</v>
      </c>
      <c r="B305" s="11">
        <v>46</v>
      </c>
      <c r="C305" s="11">
        <v>12</v>
      </c>
      <c r="D305" s="11">
        <v>8</v>
      </c>
      <c r="E305" s="11">
        <v>8</v>
      </c>
      <c r="F305" s="11">
        <v>7</v>
      </c>
      <c r="G305" s="11">
        <v>1</v>
      </c>
      <c r="H305" s="11">
        <v>0</v>
      </c>
      <c r="I305" s="11">
        <v>0</v>
      </c>
      <c r="J305" s="134">
        <v>0.375</v>
      </c>
      <c r="K305" s="11" t="s">
        <v>5311</v>
      </c>
    </row>
    <row r="306" ht="12.5" spans="1:11">
      <c r="A306" s="140">
        <v>45379</v>
      </c>
      <c r="B306" s="11">
        <v>17</v>
      </c>
      <c r="C306" s="11">
        <v>6</v>
      </c>
      <c r="D306" s="11">
        <v>3</v>
      </c>
      <c r="E306" s="11">
        <v>3</v>
      </c>
      <c r="F306" s="11">
        <v>1</v>
      </c>
      <c r="G306" s="11">
        <v>2</v>
      </c>
      <c r="H306" s="11">
        <v>0</v>
      </c>
      <c r="I306" s="11">
        <v>0</v>
      </c>
      <c r="J306" s="134">
        <v>0.375</v>
      </c>
      <c r="K306" s="11" t="s">
        <v>5311</v>
      </c>
    </row>
    <row r="307" ht="12.5" spans="1:11">
      <c r="A307" s="140">
        <v>45380</v>
      </c>
      <c r="B307" s="11">
        <v>15</v>
      </c>
      <c r="C307" s="11">
        <v>2</v>
      </c>
      <c r="D307" s="11">
        <v>2</v>
      </c>
      <c r="E307" s="11">
        <v>2</v>
      </c>
      <c r="F307" s="11">
        <v>4</v>
      </c>
      <c r="G307" s="11">
        <v>2</v>
      </c>
      <c r="H307" s="11">
        <v>0</v>
      </c>
      <c r="I307" s="11">
        <v>0</v>
      </c>
      <c r="J307" s="134">
        <v>0.375</v>
      </c>
      <c r="K307" s="11" t="s">
        <v>5311</v>
      </c>
    </row>
    <row r="308" ht="12.5" spans="1:11">
      <c r="A308" s="140">
        <v>45381</v>
      </c>
      <c r="B308" s="11">
        <v>10</v>
      </c>
      <c r="C308" s="11">
        <v>3</v>
      </c>
      <c r="D308" s="11">
        <v>2</v>
      </c>
      <c r="E308" s="11">
        <v>2</v>
      </c>
      <c r="F308" s="11">
        <v>1</v>
      </c>
      <c r="G308" s="11">
        <v>1</v>
      </c>
      <c r="H308" s="11">
        <v>0</v>
      </c>
      <c r="I308" s="11">
        <v>0</v>
      </c>
      <c r="J308" s="134">
        <v>0.375</v>
      </c>
      <c r="K308" s="11" t="s">
        <v>5311</v>
      </c>
    </row>
    <row r="309" ht="12.5" spans="1:11">
      <c r="A309" s="140">
        <v>45382</v>
      </c>
      <c r="B309" s="11">
        <v>6</v>
      </c>
      <c r="C309" s="11">
        <v>0</v>
      </c>
      <c r="D309" s="11">
        <v>1</v>
      </c>
      <c r="E309" s="11">
        <v>1</v>
      </c>
      <c r="F309" s="11">
        <v>1</v>
      </c>
      <c r="G309" s="11">
        <v>0</v>
      </c>
      <c r="H309" s="11">
        <v>0</v>
      </c>
      <c r="I309" s="11">
        <v>0</v>
      </c>
      <c r="J309" s="134">
        <v>0.375</v>
      </c>
      <c r="K309" s="11" t="s">
        <v>5311</v>
      </c>
    </row>
    <row r="310" ht="12.5" spans="1:11">
      <c r="A310" s="130">
        <v>45383</v>
      </c>
      <c r="B310" s="11">
        <v>36</v>
      </c>
      <c r="C310" s="11">
        <v>4</v>
      </c>
      <c r="D310" s="11">
        <v>7</v>
      </c>
      <c r="E310" s="11">
        <v>7</v>
      </c>
      <c r="F310" s="11">
        <v>2</v>
      </c>
      <c r="G310" s="11">
        <v>5</v>
      </c>
      <c r="H310" s="11">
        <v>0</v>
      </c>
      <c r="I310" s="11">
        <v>0</v>
      </c>
      <c r="J310" s="134">
        <v>0.375</v>
      </c>
      <c r="K310" s="11" t="s">
        <v>5311</v>
      </c>
    </row>
    <row r="311" ht="12.5" spans="1:11">
      <c r="A311" s="130">
        <v>45384</v>
      </c>
      <c r="B311" s="11">
        <v>61</v>
      </c>
      <c r="C311" s="11">
        <v>15</v>
      </c>
      <c r="D311" s="11">
        <v>1</v>
      </c>
      <c r="E311" s="11">
        <v>1</v>
      </c>
      <c r="F311" s="11">
        <v>2</v>
      </c>
      <c r="G311" s="11">
        <v>1</v>
      </c>
      <c r="H311" s="11">
        <v>1</v>
      </c>
      <c r="I311" s="11">
        <v>0</v>
      </c>
      <c r="J311" s="134">
        <v>0.375</v>
      </c>
      <c r="K311" s="11" t="s">
        <v>5311</v>
      </c>
    </row>
    <row r="312" ht="12.5" spans="1:11">
      <c r="A312" s="130">
        <v>45385</v>
      </c>
      <c r="B312" s="11">
        <v>31</v>
      </c>
      <c r="C312" s="11">
        <v>9</v>
      </c>
      <c r="D312" s="11">
        <v>3</v>
      </c>
      <c r="E312" s="11">
        <v>3</v>
      </c>
      <c r="F312" s="11">
        <v>0</v>
      </c>
      <c r="G312" s="11">
        <v>0</v>
      </c>
      <c r="H312" s="11">
        <v>0</v>
      </c>
      <c r="I312" s="11">
        <v>0</v>
      </c>
      <c r="J312" s="134">
        <v>0.43125</v>
      </c>
      <c r="K312" s="11" t="s">
        <v>5312</v>
      </c>
    </row>
    <row r="313" ht="12.5" spans="1:11">
      <c r="A313" s="130">
        <v>45386</v>
      </c>
      <c r="B313" s="11">
        <v>37</v>
      </c>
      <c r="C313" s="11">
        <v>3</v>
      </c>
      <c r="D313" s="11">
        <v>4</v>
      </c>
      <c r="E313" s="11">
        <v>3</v>
      </c>
      <c r="F313" s="11">
        <v>3</v>
      </c>
      <c r="G313" s="11">
        <v>0</v>
      </c>
      <c r="H313" s="11">
        <v>1</v>
      </c>
      <c r="I313" s="11">
        <v>0</v>
      </c>
      <c r="J313" s="134">
        <v>0.343055555555556</v>
      </c>
      <c r="K313" s="11" t="s">
        <v>5313</v>
      </c>
    </row>
    <row r="314" ht="12.5" spans="1:11">
      <c r="A314" s="130">
        <v>45387</v>
      </c>
      <c r="B314" s="11">
        <v>27</v>
      </c>
      <c r="C314" s="11">
        <v>9</v>
      </c>
      <c r="D314" s="11">
        <v>1</v>
      </c>
      <c r="E314" s="11">
        <v>0</v>
      </c>
      <c r="F314" s="11">
        <v>2</v>
      </c>
      <c r="G314" s="11">
        <v>2</v>
      </c>
      <c r="H314" s="11">
        <v>0</v>
      </c>
      <c r="I314" s="11">
        <v>0</v>
      </c>
      <c r="J314" s="134">
        <v>0.386805555555556</v>
      </c>
      <c r="K314" s="11" t="s">
        <v>5314</v>
      </c>
    </row>
    <row r="315" ht="12.5" spans="1:11">
      <c r="A315" s="130">
        <v>45388</v>
      </c>
      <c r="B315" s="11">
        <v>8</v>
      </c>
      <c r="C315" s="11">
        <v>2</v>
      </c>
      <c r="D315" s="11">
        <v>0</v>
      </c>
      <c r="E315" s="11">
        <v>0</v>
      </c>
      <c r="F315" s="11">
        <v>1</v>
      </c>
      <c r="G315" s="11">
        <v>1</v>
      </c>
      <c r="H315" s="11">
        <v>0</v>
      </c>
      <c r="I315" s="11">
        <v>0</v>
      </c>
      <c r="J315" s="134">
        <v>0.386805555555556</v>
      </c>
      <c r="K315" s="11" t="s">
        <v>5314</v>
      </c>
    </row>
    <row r="316" ht="12.5" spans="1:11">
      <c r="A316" s="130">
        <v>45389</v>
      </c>
      <c r="B316" s="11">
        <v>8</v>
      </c>
      <c r="C316" s="11">
        <v>2</v>
      </c>
      <c r="D316" s="11">
        <v>4</v>
      </c>
      <c r="E316" s="11">
        <v>4</v>
      </c>
      <c r="F316" s="11">
        <v>0</v>
      </c>
      <c r="G316" s="11">
        <v>0</v>
      </c>
      <c r="H316" s="11">
        <v>0</v>
      </c>
      <c r="I316" s="11">
        <v>0</v>
      </c>
      <c r="J316" s="134">
        <v>0.386805555555556</v>
      </c>
      <c r="K316" s="11" t="s">
        <v>5314</v>
      </c>
    </row>
    <row r="317" ht="12.5" spans="1:11">
      <c r="A317" s="130">
        <v>45390</v>
      </c>
      <c r="B317" s="11">
        <v>23</v>
      </c>
      <c r="C317" s="11">
        <v>5</v>
      </c>
      <c r="D317" s="11">
        <v>3</v>
      </c>
      <c r="E317" s="11">
        <v>3</v>
      </c>
      <c r="F317" s="11">
        <v>2</v>
      </c>
      <c r="G317" s="11">
        <v>3</v>
      </c>
      <c r="H317" s="11">
        <v>0</v>
      </c>
      <c r="I317" s="11">
        <v>0</v>
      </c>
      <c r="J317" s="134">
        <v>0.386805555555556</v>
      </c>
      <c r="K317" s="11" t="s">
        <v>5315</v>
      </c>
    </row>
    <row r="318" ht="12.5" spans="1:11">
      <c r="A318" s="130">
        <v>45391</v>
      </c>
      <c r="B318" s="11">
        <v>35</v>
      </c>
      <c r="C318" s="11">
        <v>8</v>
      </c>
      <c r="D318" s="11">
        <v>3</v>
      </c>
      <c r="E318" s="11">
        <v>3</v>
      </c>
      <c r="F318" s="11">
        <v>1</v>
      </c>
      <c r="G318" s="11">
        <v>0</v>
      </c>
      <c r="H318" s="11">
        <v>0</v>
      </c>
      <c r="I318" s="11">
        <v>0</v>
      </c>
      <c r="J318" s="134">
        <v>0.358333333333333</v>
      </c>
      <c r="K318" s="11" t="s">
        <v>5316</v>
      </c>
    </row>
    <row r="319" ht="12.5" spans="1:11">
      <c r="A319" s="130">
        <v>45392</v>
      </c>
      <c r="B319" s="11">
        <v>26</v>
      </c>
      <c r="C319" s="11">
        <v>7</v>
      </c>
      <c r="D319" s="11">
        <v>1</v>
      </c>
      <c r="E319" s="11">
        <v>1</v>
      </c>
      <c r="F319" s="11">
        <v>2</v>
      </c>
      <c r="G319" s="11">
        <v>1</v>
      </c>
      <c r="H319" s="11">
        <v>1</v>
      </c>
      <c r="I319" s="11">
        <v>0</v>
      </c>
      <c r="J319" s="134">
        <v>0.336111111111111</v>
      </c>
      <c r="K319" s="11" t="s">
        <v>5317</v>
      </c>
    </row>
    <row r="320" ht="12.5" spans="1:11">
      <c r="A320" s="130">
        <v>45393</v>
      </c>
      <c r="B320" s="11">
        <v>31</v>
      </c>
      <c r="C320" s="11">
        <v>9</v>
      </c>
      <c r="D320" s="11">
        <v>2</v>
      </c>
      <c r="E320" s="11">
        <v>1</v>
      </c>
      <c r="F320" s="11">
        <v>1</v>
      </c>
      <c r="G320" s="11">
        <v>1</v>
      </c>
      <c r="H320" s="11">
        <v>1</v>
      </c>
      <c r="I320" s="11">
        <v>0</v>
      </c>
      <c r="J320" s="134">
        <v>0.334722222222222</v>
      </c>
      <c r="K320" s="11" t="s">
        <v>5318</v>
      </c>
    </row>
    <row r="321" ht="12.5" spans="1:11">
      <c r="A321" s="130">
        <v>45394</v>
      </c>
      <c r="B321" s="11">
        <v>28</v>
      </c>
      <c r="C321" s="11">
        <v>7</v>
      </c>
      <c r="D321" s="11">
        <v>3</v>
      </c>
      <c r="E321" s="11">
        <v>2</v>
      </c>
      <c r="F321" s="11">
        <v>2</v>
      </c>
      <c r="G321" s="11">
        <v>3</v>
      </c>
      <c r="H321" s="11">
        <v>0</v>
      </c>
      <c r="I321" s="11">
        <v>0</v>
      </c>
      <c r="J321" s="134">
        <v>0.602777777777778</v>
      </c>
      <c r="K321" s="11" t="s">
        <v>5319</v>
      </c>
    </row>
    <row r="322" ht="12.5" spans="1:11">
      <c r="A322" s="130">
        <v>45395</v>
      </c>
      <c r="B322" s="11">
        <v>15</v>
      </c>
      <c r="C322" s="11">
        <v>2</v>
      </c>
      <c r="D322" s="11">
        <v>4</v>
      </c>
      <c r="E322" s="11">
        <v>2</v>
      </c>
      <c r="F322" s="11">
        <v>2</v>
      </c>
      <c r="G322" s="11">
        <v>1</v>
      </c>
      <c r="H322" s="11">
        <v>0</v>
      </c>
      <c r="I322" s="11">
        <v>0</v>
      </c>
      <c r="J322" s="134">
        <v>0.602777777777778</v>
      </c>
      <c r="K322" s="11" t="s">
        <v>5319</v>
      </c>
    </row>
    <row r="323" ht="12.5" spans="1:11">
      <c r="A323" s="130">
        <v>45396</v>
      </c>
      <c r="B323" s="11">
        <v>11</v>
      </c>
      <c r="C323" s="11">
        <v>0</v>
      </c>
      <c r="D323" s="11">
        <v>0</v>
      </c>
      <c r="E323" s="11">
        <v>0</v>
      </c>
      <c r="F323" s="11">
        <v>1</v>
      </c>
      <c r="G323" s="11">
        <v>0</v>
      </c>
      <c r="H323" s="11">
        <v>0</v>
      </c>
      <c r="I323" s="11">
        <v>0</v>
      </c>
      <c r="J323" s="134">
        <v>0.602777777777778</v>
      </c>
      <c r="K323" s="11" t="s">
        <v>5319</v>
      </c>
    </row>
    <row r="324" ht="12.5" spans="1:11">
      <c r="A324" s="130">
        <v>45397</v>
      </c>
      <c r="B324" s="11">
        <v>35</v>
      </c>
      <c r="C324" s="11">
        <v>6</v>
      </c>
      <c r="D324" s="11">
        <v>3</v>
      </c>
      <c r="E324" s="11">
        <v>3</v>
      </c>
      <c r="F324" s="11">
        <v>1</v>
      </c>
      <c r="G324" s="11">
        <v>0</v>
      </c>
      <c r="H324" s="11">
        <v>1</v>
      </c>
      <c r="I324" s="11">
        <v>0</v>
      </c>
      <c r="J324" s="134">
        <v>0.346527777777778</v>
      </c>
      <c r="K324" s="11" t="s">
        <v>5320</v>
      </c>
    </row>
    <row r="325" ht="12.5" spans="1:11">
      <c r="A325" s="130">
        <v>45398</v>
      </c>
      <c r="B325" s="11">
        <v>27</v>
      </c>
      <c r="C325" s="11">
        <v>6</v>
      </c>
      <c r="D325" s="11">
        <v>0</v>
      </c>
      <c r="E325" s="11">
        <v>0</v>
      </c>
      <c r="F325" s="11">
        <v>1</v>
      </c>
      <c r="G325" s="11">
        <v>1</v>
      </c>
      <c r="H325" s="11">
        <v>1</v>
      </c>
      <c r="I325" s="11">
        <v>0</v>
      </c>
      <c r="J325" s="134">
        <v>0.346527777777778</v>
      </c>
      <c r="K325" s="11" t="s">
        <v>5320</v>
      </c>
    </row>
    <row r="326" ht="12.5" spans="1:11">
      <c r="A326" s="130">
        <v>45399</v>
      </c>
      <c r="B326" s="11">
        <v>31</v>
      </c>
      <c r="C326" s="11">
        <v>7</v>
      </c>
      <c r="D326" s="11">
        <v>3</v>
      </c>
      <c r="E326" s="11">
        <v>3</v>
      </c>
      <c r="F326" s="11">
        <v>2</v>
      </c>
      <c r="G326" s="11">
        <v>1</v>
      </c>
      <c r="H326" s="11">
        <v>1</v>
      </c>
      <c r="I326" s="11">
        <v>0</v>
      </c>
      <c r="J326" s="134">
        <v>0.391666666666667</v>
      </c>
      <c r="K326" s="11" t="s">
        <v>5321</v>
      </c>
    </row>
    <row r="327" ht="12.5" spans="1:11">
      <c r="A327" s="130">
        <v>45400</v>
      </c>
      <c r="B327" s="11">
        <v>31</v>
      </c>
      <c r="C327" s="11">
        <v>2</v>
      </c>
      <c r="D327" s="11">
        <v>2</v>
      </c>
      <c r="E327" s="11">
        <v>3</v>
      </c>
      <c r="F327" s="11">
        <v>1</v>
      </c>
      <c r="G327" s="11">
        <v>2</v>
      </c>
      <c r="H327" s="11">
        <v>0</v>
      </c>
      <c r="I327" s="11">
        <v>0</v>
      </c>
      <c r="J327" s="134">
        <v>0.4625</v>
      </c>
      <c r="K327" s="11" t="s">
        <v>5322</v>
      </c>
    </row>
    <row r="328" ht="12.5" spans="1:11">
      <c r="A328" s="130">
        <v>45401</v>
      </c>
      <c r="B328" s="11">
        <v>30</v>
      </c>
      <c r="C328" s="11">
        <v>4</v>
      </c>
      <c r="D328" s="11">
        <v>2</v>
      </c>
      <c r="E328" s="11">
        <v>2</v>
      </c>
      <c r="F328" s="11">
        <v>2</v>
      </c>
      <c r="G328" s="11">
        <v>2</v>
      </c>
      <c r="H328" s="11">
        <v>0</v>
      </c>
      <c r="I328" s="11">
        <v>0</v>
      </c>
      <c r="J328" s="134">
        <v>0.346527777777778</v>
      </c>
      <c r="K328" s="11" t="s">
        <v>5323</v>
      </c>
    </row>
    <row r="329" ht="12.5" spans="1:11">
      <c r="A329" s="130">
        <v>45402</v>
      </c>
      <c r="B329" s="11">
        <v>15</v>
      </c>
      <c r="C329" s="11">
        <v>4</v>
      </c>
      <c r="D329" s="11">
        <v>3</v>
      </c>
      <c r="E329" s="11">
        <v>2</v>
      </c>
      <c r="F329" s="11">
        <v>2</v>
      </c>
      <c r="G329" s="11">
        <v>0</v>
      </c>
      <c r="H329" s="11">
        <v>0</v>
      </c>
      <c r="I329" s="11">
        <v>0</v>
      </c>
      <c r="J329" s="134">
        <v>0.346527777777778</v>
      </c>
      <c r="K329" s="11" t="s">
        <v>5323</v>
      </c>
    </row>
    <row r="330" ht="12.5" spans="1:11">
      <c r="A330" s="130">
        <v>45403</v>
      </c>
      <c r="B330" s="11">
        <v>16</v>
      </c>
      <c r="C330" s="11">
        <v>2</v>
      </c>
      <c r="D330" s="11">
        <v>1</v>
      </c>
      <c r="E330" s="11">
        <v>1</v>
      </c>
      <c r="F330" s="11">
        <v>1</v>
      </c>
      <c r="G330" s="11">
        <v>0</v>
      </c>
      <c r="H330" s="11">
        <v>0</v>
      </c>
      <c r="I330" s="11">
        <v>0</v>
      </c>
      <c r="J330" s="134">
        <v>0.346527777777778</v>
      </c>
      <c r="K330" s="11" t="s">
        <v>5323</v>
      </c>
    </row>
    <row r="331" ht="12.5" spans="1:11">
      <c r="A331" s="130">
        <v>45404</v>
      </c>
      <c r="B331" s="11">
        <v>55</v>
      </c>
      <c r="C331" s="11">
        <v>11</v>
      </c>
      <c r="D331" s="11">
        <v>4</v>
      </c>
      <c r="E331" s="11">
        <v>5</v>
      </c>
      <c r="F331" s="11">
        <v>3</v>
      </c>
      <c r="G331" s="11">
        <v>2</v>
      </c>
      <c r="H331" s="11">
        <v>1</v>
      </c>
      <c r="I331" s="11">
        <v>0</v>
      </c>
      <c r="J331" s="134">
        <v>0.344444444444444</v>
      </c>
      <c r="K331" s="11" t="s">
        <v>5324</v>
      </c>
    </row>
    <row r="332" ht="12.5" spans="1:11">
      <c r="A332" s="130">
        <v>45405</v>
      </c>
      <c r="B332" s="11">
        <v>37</v>
      </c>
      <c r="C332" s="11">
        <v>6</v>
      </c>
      <c r="D332" s="11">
        <v>4</v>
      </c>
      <c r="E332" s="11">
        <v>4</v>
      </c>
      <c r="F332" s="11">
        <v>0</v>
      </c>
      <c r="G332" s="11">
        <v>1</v>
      </c>
      <c r="H332" s="11">
        <v>0</v>
      </c>
      <c r="I332" s="11">
        <v>0</v>
      </c>
      <c r="J332" s="134">
        <v>0.359722222222222</v>
      </c>
      <c r="K332" s="11" t="s">
        <v>5325</v>
      </c>
    </row>
    <row r="333" ht="12.5" spans="1:11">
      <c r="A333" s="130">
        <v>45406</v>
      </c>
      <c r="B333" s="11">
        <v>43</v>
      </c>
      <c r="C333" s="11">
        <v>9</v>
      </c>
      <c r="D333" s="11">
        <v>2</v>
      </c>
      <c r="E333" s="11">
        <v>2</v>
      </c>
      <c r="F333" s="11">
        <v>2</v>
      </c>
      <c r="G333" s="11">
        <v>1</v>
      </c>
      <c r="H333" s="11">
        <v>1</v>
      </c>
      <c r="I333" s="11">
        <v>0</v>
      </c>
      <c r="J333" s="134">
        <v>0.359027777777778</v>
      </c>
      <c r="K333" s="11" t="s">
        <v>5326</v>
      </c>
    </row>
    <row r="334" ht="12.5" spans="1:11">
      <c r="A334" s="130">
        <v>45407</v>
      </c>
      <c r="B334" s="11">
        <v>53</v>
      </c>
      <c r="C334" s="11">
        <v>12</v>
      </c>
      <c r="D334" s="11">
        <v>4</v>
      </c>
      <c r="E334" s="11">
        <v>4</v>
      </c>
      <c r="F334" s="11">
        <v>1</v>
      </c>
      <c r="G334" s="11">
        <v>1</v>
      </c>
      <c r="H334" s="11">
        <v>0</v>
      </c>
      <c r="I334" s="11">
        <v>0</v>
      </c>
      <c r="J334" s="134">
        <v>0.34375</v>
      </c>
      <c r="K334" s="11" t="s">
        <v>5327</v>
      </c>
    </row>
    <row r="335" ht="12.5" spans="1:11">
      <c r="A335" s="130">
        <v>45408</v>
      </c>
      <c r="B335" s="11">
        <v>21</v>
      </c>
      <c r="C335" s="11">
        <v>1</v>
      </c>
      <c r="D335" s="11">
        <v>3</v>
      </c>
      <c r="E335" s="11">
        <v>3</v>
      </c>
      <c r="F335" s="11">
        <v>1</v>
      </c>
      <c r="G335" s="11">
        <v>2</v>
      </c>
      <c r="H335" s="11">
        <v>0</v>
      </c>
      <c r="I335" s="11">
        <v>0</v>
      </c>
      <c r="J335" s="134">
        <v>0.350694444444444</v>
      </c>
      <c r="K335" s="11" t="s">
        <v>5328</v>
      </c>
    </row>
    <row r="336" ht="12.5" spans="1:11">
      <c r="A336" s="130">
        <v>45409</v>
      </c>
      <c r="B336" s="11">
        <v>15</v>
      </c>
      <c r="C336" s="11">
        <v>2</v>
      </c>
      <c r="D336" s="11">
        <v>2</v>
      </c>
      <c r="E336" s="11">
        <v>2</v>
      </c>
      <c r="F336" s="11">
        <v>1</v>
      </c>
      <c r="G336" s="11">
        <v>3</v>
      </c>
      <c r="H336" s="11">
        <v>0</v>
      </c>
      <c r="I336" s="11">
        <v>0</v>
      </c>
      <c r="J336" s="134">
        <v>0.350694444444444</v>
      </c>
      <c r="K336" s="11" t="s">
        <v>5328</v>
      </c>
    </row>
    <row r="337" ht="12.5" spans="1:11">
      <c r="A337" s="130">
        <v>45410</v>
      </c>
      <c r="B337" s="11">
        <v>15</v>
      </c>
      <c r="C337" s="11">
        <v>4</v>
      </c>
      <c r="D337" s="11">
        <v>2</v>
      </c>
      <c r="E337" s="11">
        <v>2</v>
      </c>
      <c r="F337" s="11">
        <v>1</v>
      </c>
      <c r="G337" s="11">
        <v>0</v>
      </c>
      <c r="H337" s="11">
        <v>0</v>
      </c>
      <c r="I337" s="11">
        <v>0</v>
      </c>
      <c r="J337" s="134">
        <v>0.353472222222222</v>
      </c>
      <c r="K337" s="11" t="s">
        <v>5328</v>
      </c>
    </row>
    <row r="338" ht="12.5" spans="1:11">
      <c r="A338" s="130">
        <v>45411</v>
      </c>
      <c r="B338" s="11">
        <v>36</v>
      </c>
      <c r="C338" s="11">
        <v>8</v>
      </c>
      <c r="D338" s="11">
        <v>0</v>
      </c>
      <c r="E338" s="11">
        <v>0</v>
      </c>
      <c r="F338" s="11">
        <v>2</v>
      </c>
      <c r="G338" s="11">
        <v>0</v>
      </c>
      <c r="H338" s="11">
        <v>1</v>
      </c>
      <c r="I338" s="11">
        <v>0</v>
      </c>
      <c r="J338" s="134">
        <v>0.339583333333333</v>
      </c>
      <c r="K338" s="11" t="s">
        <v>5329</v>
      </c>
    </row>
    <row r="339" ht="12.5" spans="1:11">
      <c r="A339" s="130">
        <v>45412</v>
      </c>
      <c r="B339" s="11">
        <v>40</v>
      </c>
      <c r="C339" s="11">
        <v>10</v>
      </c>
      <c r="D339" s="11">
        <v>2</v>
      </c>
      <c r="E339" s="11">
        <v>1</v>
      </c>
      <c r="F339" s="11">
        <v>0</v>
      </c>
      <c r="G339" s="11">
        <v>0</v>
      </c>
      <c r="H339" s="11">
        <v>0</v>
      </c>
      <c r="I339" s="11">
        <v>0</v>
      </c>
      <c r="J339" s="134">
        <v>0.354861111111111</v>
      </c>
      <c r="K339" s="11" t="s">
        <v>5330</v>
      </c>
    </row>
    <row r="340" ht="12.5" spans="1:11">
      <c r="A340" s="24">
        <v>45413</v>
      </c>
      <c r="B340" s="11">
        <v>15</v>
      </c>
      <c r="C340" s="11">
        <v>4</v>
      </c>
      <c r="D340" s="11">
        <v>1</v>
      </c>
      <c r="E340" s="11">
        <v>1</v>
      </c>
      <c r="F340" s="11">
        <v>0</v>
      </c>
      <c r="G340" s="11">
        <v>0</v>
      </c>
      <c r="H340" s="11">
        <v>0</v>
      </c>
      <c r="I340" s="11">
        <v>0</v>
      </c>
      <c r="J340" s="134">
        <v>0.354861111111111</v>
      </c>
      <c r="K340" s="11" t="s">
        <v>5330</v>
      </c>
    </row>
    <row r="341" ht="12.5" spans="1:11">
      <c r="A341" s="24">
        <v>45414</v>
      </c>
      <c r="B341" s="11">
        <v>35</v>
      </c>
      <c r="C341" s="11">
        <v>6</v>
      </c>
      <c r="D341" s="11">
        <v>4</v>
      </c>
      <c r="E341" s="11">
        <v>4</v>
      </c>
      <c r="F341" s="11">
        <v>3</v>
      </c>
      <c r="G341" s="11">
        <v>1</v>
      </c>
      <c r="H341" s="11">
        <v>0</v>
      </c>
      <c r="I341" s="11">
        <v>0</v>
      </c>
      <c r="J341" s="134">
        <v>0.344444444444444</v>
      </c>
      <c r="K341" s="11" t="s">
        <v>5331</v>
      </c>
    </row>
    <row r="342" ht="12.5" spans="1:11">
      <c r="A342" s="24">
        <v>45415</v>
      </c>
      <c r="B342" s="11">
        <v>26</v>
      </c>
      <c r="C342" s="11">
        <v>6</v>
      </c>
      <c r="D342" s="11">
        <v>4</v>
      </c>
      <c r="E342" s="11">
        <v>4</v>
      </c>
      <c r="F342" s="11">
        <v>2</v>
      </c>
      <c r="G342" s="11">
        <v>3</v>
      </c>
      <c r="H342" s="11">
        <v>0</v>
      </c>
      <c r="I342" s="11">
        <v>0</v>
      </c>
      <c r="J342" s="134">
        <v>0.320138888888889</v>
      </c>
      <c r="K342" s="11" t="s">
        <v>5332</v>
      </c>
    </row>
    <row r="343" ht="12.5" spans="1:11">
      <c r="A343" s="24">
        <v>45416</v>
      </c>
      <c r="B343" s="11">
        <v>9</v>
      </c>
      <c r="C343" s="11">
        <v>4</v>
      </c>
      <c r="D343" s="11">
        <v>1</v>
      </c>
      <c r="E343" s="11">
        <v>0</v>
      </c>
      <c r="F343" s="11">
        <v>2</v>
      </c>
      <c r="G343" s="11">
        <v>1</v>
      </c>
      <c r="H343" s="11">
        <v>0</v>
      </c>
      <c r="I343" s="11">
        <v>0</v>
      </c>
      <c r="J343" s="134">
        <v>0.328472222222222</v>
      </c>
      <c r="K343" s="11" t="s">
        <v>5332</v>
      </c>
    </row>
    <row r="344" ht="12.5" spans="1:11">
      <c r="A344" s="24">
        <v>45417</v>
      </c>
      <c r="B344" s="11">
        <v>13</v>
      </c>
      <c r="C344" s="11">
        <v>5</v>
      </c>
      <c r="D344" s="11">
        <v>1</v>
      </c>
      <c r="E344" s="11">
        <v>1</v>
      </c>
      <c r="F344" s="11">
        <v>1</v>
      </c>
      <c r="G344" s="11">
        <v>1</v>
      </c>
      <c r="H344" s="11">
        <v>0</v>
      </c>
      <c r="I344" s="11">
        <v>0</v>
      </c>
      <c r="J344" s="134">
        <v>0.328472222222222</v>
      </c>
      <c r="K344" s="11" t="s">
        <v>5332</v>
      </c>
    </row>
    <row r="345" ht="12.5" spans="1:11">
      <c r="A345" s="24">
        <v>45418</v>
      </c>
      <c r="B345" s="11">
        <v>39</v>
      </c>
      <c r="C345" s="11">
        <v>13</v>
      </c>
      <c r="D345" s="11">
        <v>2</v>
      </c>
      <c r="E345" s="11">
        <v>1</v>
      </c>
      <c r="F345" s="11">
        <v>1</v>
      </c>
      <c r="G345" s="11">
        <v>0</v>
      </c>
      <c r="H345" s="11">
        <v>4</v>
      </c>
      <c r="I345" s="11">
        <v>0</v>
      </c>
      <c r="J345" s="134">
        <v>0.315277777777778</v>
      </c>
      <c r="K345" s="11" t="s">
        <v>5333</v>
      </c>
    </row>
    <row r="346" ht="12.5" spans="1:11">
      <c r="A346" s="24">
        <v>45419</v>
      </c>
      <c r="B346" s="11">
        <v>29</v>
      </c>
      <c r="C346" s="11">
        <v>5</v>
      </c>
      <c r="D346" s="11">
        <v>2</v>
      </c>
      <c r="E346" s="11">
        <v>3</v>
      </c>
      <c r="F346" s="11">
        <v>1</v>
      </c>
      <c r="G346" s="11">
        <v>0</v>
      </c>
      <c r="H346" s="11">
        <v>0</v>
      </c>
      <c r="I346" s="11">
        <v>0</v>
      </c>
      <c r="J346" s="134">
        <v>0.40625</v>
      </c>
      <c r="K346" s="11" t="s">
        <v>5334</v>
      </c>
    </row>
    <row r="347" ht="12.5" spans="1:11">
      <c r="A347" s="24">
        <v>45420</v>
      </c>
      <c r="B347" s="11">
        <v>399</v>
      </c>
      <c r="C347" s="11">
        <v>93</v>
      </c>
      <c r="D347" s="11">
        <v>7</v>
      </c>
      <c r="E347" s="11">
        <v>7</v>
      </c>
      <c r="F347" s="11">
        <v>1</v>
      </c>
      <c r="G347" s="11">
        <v>0</v>
      </c>
      <c r="H347" s="11">
        <v>0</v>
      </c>
      <c r="I347" s="11">
        <v>1</v>
      </c>
      <c r="J347" s="134">
        <v>0.429166666666667</v>
      </c>
      <c r="K347" s="11" t="s">
        <v>5335</v>
      </c>
    </row>
    <row r="348" ht="12.5" spans="1:11">
      <c r="A348" s="24">
        <v>45421</v>
      </c>
      <c r="B348" s="11">
        <v>104</v>
      </c>
      <c r="C348" s="11">
        <v>41</v>
      </c>
      <c r="D348" s="11">
        <v>6</v>
      </c>
      <c r="E348" s="11">
        <v>4</v>
      </c>
      <c r="F348" s="11">
        <v>4</v>
      </c>
      <c r="G348" s="11">
        <v>2</v>
      </c>
      <c r="H348" s="11">
        <v>0</v>
      </c>
      <c r="I348" s="11">
        <v>0</v>
      </c>
      <c r="J348" s="134">
        <v>0.393055555555556</v>
      </c>
      <c r="K348" s="11" t="s">
        <v>5336</v>
      </c>
    </row>
    <row r="349" ht="12.5" spans="1:11">
      <c r="A349" s="24">
        <v>45422</v>
      </c>
      <c r="B349" s="11">
        <v>52</v>
      </c>
      <c r="C349" s="11">
        <v>14</v>
      </c>
      <c r="D349" s="11">
        <v>4</v>
      </c>
      <c r="E349" s="11">
        <v>4</v>
      </c>
      <c r="F349" s="11">
        <v>1</v>
      </c>
      <c r="G349" s="11">
        <v>1</v>
      </c>
      <c r="H349" s="11">
        <v>3</v>
      </c>
      <c r="I349" s="11">
        <v>0</v>
      </c>
      <c r="J349" s="134">
        <v>0.357638888888889</v>
      </c>
      <c r="K349" s="11" t="s">
        <v>5337</v>
      </c>
    </row>
    <row r="350" ht="12.5" spans="1:11">
      <c r="A350" s="24">
        <v>45423</v>
      </c>
      <c r="B350" s="11">
        <v>11</v>
      </c>
      <c r="C350" s="11">
        <v>1</v>
      </c>
      <c r="D350" s="11">
        <v>4</v>
      </c>
      <c r="E350" s="11">
        <v>3</v>
      </c>
      <c r="F350" s="11">
        <v>0</v>
      </c>
      <c r="G350" s="11">
        <v>0</v>
      </c>
      <c r="H350" s="11">
        <v>0</v>
      </c>
      <c r="I350" s="11">
        <v>0</v>
      </c>
      <c r="J350" s="134">
        <v>0.357638888888889</v>
      </c>
      <c r="K350" s="11" t="s">
        <v>5337</v>
      </c>
    </row>
    <row r="351" ht="12.5" spans="1:11">
      <c r="A351" s="24">
        <v>45424</v>
      </c>
      <c r="B351" s="11">
        <v>12</v>
      </c>
      <c r="C351" s="11">
        <v>3</v>
      </c>
      <c r="D351" s="11">
        <v>0</v>
      </c>
      <c r="E351" s="11">
        <v>0</v>
      </c>
      <c r="F351" s="11">
        <v>2</v>
      </c>
      <c r="G351" s="11">
        <v>0</v>
      </c>
      <c r="H351" s="11">
        <v>0</v>
      </c>
      <c r="I351" s="11">
        <v>0</v>
      </c>
      <c r="J351" s="134">
        <v>0.357638888888889</v>
      </c>
      <c r="K351" s="11" t="s">
        <v>5337</v>
      </c>
    </row>
    <row r="352" ht="12.5" spans="1:11">
      <c r="A352" s="24">
        <v>45425</v>
      </c>
      <c r="B352" s="11">
        <v>33</v>
      </c>
      <c r="C352" s="11">
        <v>5</v>
      </c>
      <c r="D352" s="11">
        <v>5</v>
      </c>
      <c r="E352" s="11">
        <v>5</v>
      </c>
      <c r="F352" s="11">
        <v>2</v>
      </c>
      <c r="G352" s="11">
        <v>1</v>
      </c>
      <c r="H352" s="11">
        <v>0</v>
      </c>
      <c r="I352" s="11">
        <v>0</v>
      </c>
      <c r="J352" s="134">
        <v>0.338888888888889</v>
      </c>
      <c r="K352" s="11" t="s">
        <v>5338</v>
      </c>
    </row>
    <row r="353" ht="12.5" spans="1:11">
      <c r="A353" s="24">
        <v>45426</v>
      </c>
      <c r="B353" s="11">
        <v>52</v>
      </c>
      <c r="C353" s="11">
        <v>7</v>
      </c>
      <c r="D353" s="11">
        <v>13</v>
      </c>
      <c r="E353" s="11">
        <v>12</v>
      </c>
      <c r="F353" s="11">
        <v>3</v>
      </c>
      <c r="G353" s="11">
        <v>1</v>
      </c>
      <c r="H353" s="11">
        <v>1</v>
      </c>
      <c r="I353" s="11">
        <v>0</v>
      </c>
      <c r="J353" s="134">
        <v>0.433333333333333</v>
      </c>
      <c r="K353" s="11" t="s">
        <v>5339</v>
      </c>
    </row>
    <row r="354" ht="12.5" spans="1:11">
      <c r="A354" s="24">
        <v>45427</v>
      </c>
      <c r="B354" s="11">
        <v>38</v>
      </c>
      <c r="C354" s="11">
        <v>13</v>
      </c>
      <c r="D354" s="11">
        <v>2</v>
      </c>
      <c r="E354" s="11">
        <v>2</v>
      </c>
      <c r="F354" s="11">
        <v>5</v>
      </c>
      <c r="G354" s="11">
        <v>1</v>
      </c>
      <c r="H354" s="11">
        <v>0</v>
      </c>
      <c r="I354" s="11">
        <v>0</v>
      </c>
      <c r="J354" s="134">
        <v>0.352777777777778</v>
      </c>
      <c r="K354" s="11" t="s">
        <v>5340</v>
      </c>
    </row>
    <row r="355" ht="12.5" spans="1:11">
      <c r="A355" s="24">
        <v>45428</v>
      </c>
      <c r="B355" s="11">
        <v>40</v>
      </c>
      <c r="C355" s="11">
        <v>9</v>
      </c>
      <c r="D355" s="11">
        <v>3</v>
      </c>
      <c r="E355" s="11">
        <v>4</v>
      </c>
      <c r="F355" s="11">
        <v>2</v>
      </c>
      <c r="G355" s="11">
        <v>3</v>
      </c>
      <c r="H355" s="11">
        <v>0</v>
      </c>
      <c r="I355" s="11">
        <v>0</v>
      </c>
      <c r="J355" s="134">
        <v>0.43125</v>
      </c>
      <c r="K355" s="11" t="s">
        <v>5341</v>
      </c>
    </row>
    <row r="356" ht="12.5" spans="1:11">
      <c r="A356" s="24">
        <v>45429</v>
      </c>
      <c r="B356" s="11">
        <v>28</v>
      </c>
      <c r="C356" s="11">
        <v>2</v>
      </c>
      <c r="D356" s="11">
        <v>6</v>
      </c>
      <c r="E356" s="11">
        <v>6</v>
      </c>
      <c r="F356" s="11">
        <v>2</v>
      </c>
      <c r="G356" s="11">
        <v>0</v>
      </c>
      <c r="H356" s="11">
        <v>1</v>
      </c>
      <c r="I356" s="11">
        <v>0</v>
      </c>
      <c r="J356" s="134">
        <v>0.368055555555556</v>
      </c>
      <c r="K356" s="11" t="s">
        <v>5342</v>
      </c>
    </row>
    <row r="357" ht="12.5" spans="1:11">
      <c r="A357" s="24">
        <v>45430</v>
      </c>
      <c r="B357" s="11">
        <v>9</v>
      </c>
      <c r="C357" s="11">
        <v>0</v>
      </c>
      <c r="D357" s="11">
        <v>3</v>
      </c>
      <c r="E357" s="11">
        <v>2</v>
      </c>
      <c r="F357" s="11">
        <v>3</v>
      </c>
      <c r="G357" s="11">
        <v>1</v>
      </c>
      <c r="H357" s="11">
        <v>0</v>
      </c>
      <c r="I357" s="11">
        <v>0</v>
      </c>
      <c r="J357" s="134">
        <v>0.368055555555556</v>
      </c>
      <c r="K357" s="11" t="s">
        <v>5342</v>
      </c>
    </row>
    <row r="358" ht="12.5" spans="1:11">
      <c r="A358" s="24">
        <v>45431</v>
      </c>
      <c r="B358" s="11">
        <v>8</v>
      </c>
      <c r="C358" s="11">
        <v>2</v>
      </c>
      <c r="D358" s="11">
        <v>0</v>
      </c>
      <c r="E358" s="11">
        <v>0</v>
      </c>
      <c r="F358" s="11">
        <v>0</v>
      </c>
      <c r="G358" s="11">
        <v>2</v>
      </c>
      <c r="H358" s="11">
        <v>0</v>
      </c>
      <c r="I358" s="11">
        <v>0</v>
      </c>
      <c r="J358" s="134">
        <v>0.368055555555556</v>
      </c>
      <c r="K358" s="11" t="s">
        <v>5342</v>
      </c>
    </row>
    <row r="359" ht="12.5" spans="1:11">
      <c r="A359" s="24">
        <v>45432</v>
      </c>
      <c r="B359" s="11">
        <v>32</v>
      </c>
      <c r="C359" s="11">
        <v>10</v>
      </c>
      <c r="D359" s="11">
        <v>3</v>
      </c>
      <c r="E359" s="11">
        <v>3</v>
      </c>
      <c r="F359" s="11">
        <v>2</v>
      </c>
      <c r="G359" s="11">
        <v>1</v>
      </c>
      <c r="H359" s="11">
        <v>0</v>
      </c>
      <c r="I359" s="11">
        <v>0</v>
      </c>
      <c r="J359" s="134">
        <v>0.345833333333333</v>
      </c>
      <c r="K359" s="11" t="s">
        <v>5343</v>
      </c>
    </row>
    <row r="360" ht="12.5" spans="1:11">
      <c r="A360" s="24">
        <v>45433</v>
      </c>
      <c r="B360" s="11">
        <v>47</v>
      </c>
      <c r="C360" s="11">
        <v>6</v>
      </c>
      <c r="D360" s="11">
        <v>3</v>
      </c>
      <c r="E360" s="11">
        <v>3</v>
      </c>
      <c r="F360" s="11">
        <v>1</v>
      </c>
      <c r="G360" s="11">
        <v>1</v>
      </c>
      <c r="H360" s="11">
        <v>0</v>
      </c>
      <c r="I360" s="11">
        <v>0</v>
      </c>
      <c r="J360" s="134">
        <v>0.309027777777778</v>
      </c>
      <c r="K360" s="11" t="s">
        <v>5344</v>
      </c>
    </row>
    <row r="361" ht="12.5" spans="1:11">
      <c r="A361" s="24">
        <v>45434</v>
      </c>
      <c r="B361" s="11">
        <v>42</v>
      </c>
      <c r="C361" s="11">
        <v>9</v>
      </c>
      <c r="D361" s="11">
        <v>3</v>
      </c>
      <c r="E361" s="11">
        <v>3</v>
      </c>
      <c r="F361" s="11">
        <v>1</v>
      </c>
      <c r="G361" s="11">
        <v>1</v>
      </c>
      <c r="H361" s="11">
        <v>0</v>
      </c>
      <c r="I361" s="11">
        <v>0</v>
      </c>
      <c r="J361" s="134">
        <v>0.344444444444444</v>
      </c>
      <c r="K361" s="11" t="s">
        <v>5345</v>
      </c>
    </row>
    <row r="362" ht="12.5" spans="1:11">
      <c r="A362" s="24">
        <v>45435</v>
      </c>
      <c r="B362" s="11">
        <v>18</v>
      </c>
      <c r="C362" s="11">
        <v>3</v>
      </c>
      <c r="D362" s="11">
        <v>6</v>
      </c>
      <c r="E362" s="11">
        <v>6</v>
      </c>
      <c r="F362" s="11">
        <v>1</v>
      </c>
      <c r="G362" s="11">
        <v>2</v>
      </c>
      <c r="H362" s="11">
        <v>0</v>
      </c>
      <c r="I362" s="11">
        <v>0</v>
      </c>
      <c r="J362" s="134">
        <v>0.398611111111111</v>
      </c>
      <c r="K362" s="11" t="s">
        <v>5346</v>
      </c>
    </row>
    <row r="363" ht="12.5" spans="1:11">
      <c r="A363" s="24">
        <v>45436</v>
      </c>
      <c r="B363" s="11">
        <v>43</v>
      </c>
      <c r="C363" s="11">
        <v>9</v>
      </c>
      <c r="D363" s="11">
        <v>5</v>
      </c>
      <c r="E363" s="11">
        <v>5</v>
      </c>
      <c r="F363" s="11">
        <v>2</v>
      </c>
      <c r="G363" s="11">
        <v>1</v>
      </c>
      <c r="H363" s="11">
        <v>1</v>
      </c>
      <c r="I363" s="11">
        <v>0</v>
      </c>
      <c r="J363" s="134">
        <v>0.415277777777778</v>
      </c>
      <c r="K363" s="11" t="s">
        <v>5347</v>
      </c>
    </row>
    <row r="364" ht="12.5" spans="1:11">
      <c r="A364" s="24">
        <v>45437</v>
      </c>
      <c r="B364" s="11">
        <v>17</v>
      </c>
      <c r="C364" s="11">
        <v>4</v>
      </c>
      <c r="D364" s="11">
        <v>5</v>
      </c>
      <c r="E364" s="11">
        <v>4</v>
      </c>
      <c r="F364" s="11">
        <v>3</v>
      </c>
      <c r="G364" s="11">
        <v>2</v>
      </c>
      <c r="H364" s="11">
        <v>1</v>
      </c>
      <c r="I364" s="11">
        <v>0</v>
      </c>
      <c r="J364" s="134">
        <v>0.424305555555556</v>
      </c>
      <c r="K364" s="11" t="s">
        <v>5347</v>
      </c>
    </row>
    <row r="365" ht="12.5" spans="1:11">
      <c r="A365" s="24">
        <v>45438</v>
      </c>
      <c r="B365" s="11">
        <v>6</v>
      </c>
      <c r="C365" s="11">
        <v>1</v>
      </c>
      <c r="D365" s="11">
        <v>4</v>
      </c>
      <c r="E365" s="11">
        <v>4</v>
      </c>
      <c r="F365" s="11">
        <v>0</v>
      </c>
      <c r="G365" s="11">
        <v>5</v>
      </c>
      <c r="H365" s="11">
        <v>0</v>
      </c>
      <c r="I365" s="11">
        <v>0</v>
      </c>
      <c r="J365" s="134">
        <v>0.428472222222222</v>
      </c>
      <c r="K365" s="11" t="s">
        <v>5347</v>
      </c>
    </row>
    <row r="366" ht="12.5" spans="1:11">
      <c r="A366" s="24">
        <v>45439</v>
      </c>
      <c r="B366" s="141">
        <v>46</v>
      </c>
      <c r="C366" s="11">
        <v>7</v>
      </c>
      <c r="D366" s="11">
        <v>4</v>
      </c>
      <c r="E366" s="11">
        <v>4</v>
      </c>
      <c r="F366" s="11">
        <v>1</v>
      </c>
      <c r="G366" s="11">
        <v>4</v>
      </c>
      <c r="H366" s="11">
        <v>0</v>
      </c>
      <c r="I366" s="11">
        <v>0</v>
      </c>
      <c r="J366" s="134">
        <v>0.3375</v>
      </c>
      <c r="K366" s="11" t="s">
        <v>5348</v>
      </c>
    </row>
    <row r="367" ht="12.5" spans="1:11">
      <c r="A367" s="24">
        <v>45440</v>
      </c>
      <c r="B367" s="141">
        <v>40</v>
      </c>
      <c r="C367" s="11">
        <v>8</v>
      </c>
      <c r="D367" s="11">
        <v>5</v>
      </c>
      <c r="E367" s="11">
        <v>4</v>
      </c>
      <c r="F367" s="11">
        <v>2</v>
      </c>
      <c r="G367" s="11">
        <v>1</v>
      </c>
      <c r="H367" s="11">
        <v>1</v>
      </c>
      <c r="I367" s="11">
        <v>0</v>
      </c>
      <c r="J367" s="134">
        <v>0.41875</v>
      </c>
      <c r="K367" s="11" t="s">
        <v>5349</v>
      </c>
    </row>
    <row r="368" ht="12.5" spans="1:11">
      <c r="A368" s="24">
        <v>45441</v>
      </c>
      <c r="B368" s="141">
        <v>28</v>
      </c>
      <c r="C368" s="11">
        <v>5</v>
      </c>
      <c r="D368" s="11">
        <v>5</v>
      </c>
      <c r="E368" s="11">
        <v>4</v>
      </c>
      <c r="F368" s="11">
        <v>1</v>
      </c>
      <c r="G368" s="11">
        <v>2</v>
      </c>
      <c r="H368" s="11">
        <v>0</v>
      </c>
      <c r="I368" s="11">
        <v>0</v>
      </c>
      <c r="J368" s="134">
        <v>0.360416666666667</v>
      </c>
      <c r="K368" s="11" t="s">
        <v>5350</v>
      </c>
    </row>
    <row r="369" ht="12.5" spans="1:11">
      <c r="A369" s="24">
        <v>45442</v>
      </c>
      <c r="B369" s="11">
        <v>36</v>
      </c>
      <c r="C369" s="11">
        <v>7</v>
      </c>
      <c r="D369" s="11">
        <v>5</v>
      </c>
      <c r="E369" s="11">
        <v>4</v>
      </c>
      <c r="F369" s="11">
        <v>2</v>
      </c>
      <c r="G369" s="11">
        <v>1</v>
      </c>
      <c r="H369" s="11">
        <v>0</v>
      </c>
      <c r="I369" s="11">
        <v>0</v>
      </c>
      <c r="J369" s="134">
        <v>0.3125</v>
      </c>
      <c r="K369" s="11" t="s">
        <v>5351</v>
      </c>
    </row>
    <row r="370" ht="12.5" spans="1:11">
      <c r="A370" s="24">
        <v>45443</v>
      </c>
      <c r="B370" s="11">
        <v>23</v>
      </c>
      <c r="C370" s="11">
        <v>9</v>
      </c>
      <c r="D370" s="11">
        <v>1</v>
      </c>
      <c r="E370" s="11">
        <v>1</v>
      </c>
      <c r="F370" s="11">
        <v>1</v>
      </c>
      <c r="G370" s="11">
        <v>3</v>
      </c>
      <c r="H370" s="11">
        <v>0</v>
      </c>
      <c r="I370" s="11">
        <v>0</v>
      </c>
      <c r="J370" s="134">
        <v>0.319444444444444</v>
      </c>
      <c r="K370" s="11" t="s">
        <v>5351</v>
      </c>
    </row>
    <row r="371" ht="12.5" spans="1:11">
      <c r="A371" s="24">
        <v>45444</v>
      </c>
      <c r="B371" s="11">
        <v>10</v>
      </c>
      <c r="C371" s="11">
        <v>5</v>
      </c>
      <c r="D371" s="11">
        <v>2</v>
      </c>
      <c r="E371" s="11">
        <v>2</v>
      </c>
      <c r="F371" s="11">
        <v>0</v>
      </c>
      <c r="G371" s="11">
        <v>0</v>
      </c>
      <c r="H371" s="11">
        <v>0</v>
      </c>
      <c r="I371" s="11">
        <v>0</v>
      </c>
      <c r="J371" s="134">
        <v>0.319444444444444</v>
      </c>
      <c r="K371" s="11" t="s">
        <v>5351</v>
      </c>
    </row>
    <row r="372" ht="12.5" spans="1:11">
      <c r="A372" s="24">
        <v>45445</v>
      </c>
      <c r="B372" s="11">
        <v>12</v>
      </c>
      <c r="C372" s="11">
        <v>6</v>
      </c>
      <c r="D372" s="11">
        <v>3</v>
      </c>
      <c r="E372" s="11">
        <v>2</v>
      </c>
      <c r="F372" s="11">
        <v>0</v>
      </c>
      <c r="G372" s="11">
        <v>1</v>
      </c>
      <c r="H372" s="11">
        <v>0</v>
      </c>
      <c r="I372" s="11">
        <v>0</v>
      </c>
      <c r="J372" s="134">
        <v>0.319444444444444</v>
      </c>
      <c r="K372" s="11" t="s">
        <v>5351</v>
      </c>
    </row>
    <row r="373" ht="12.5" spans="1:11">
      <c r="A373" s="24">
        <v>45446</v>
      </c>
      <c r="B373" s="11">
        <v>35</v>
      </c>
      <c r="C373" s="11">
        <v>12</v>
      </c>
      <c r="D373" s="11">
        <v>4</v>
      </c>
      <c r="E373" s="11">
        <v>4</v>
      </c>
      <c r="F373" s="11">
        <v>1</v>
      </c>
      <c r="G373" s="11">
        <v>1</v>
      </c>
      <c r="H373" s="11">
        <v>0</v>
      </c>
      <c r="I373" s="11">
        <v>0</v>
      </c>
      <c r="J373" s="134">
        <v>0.345833333333333</v>
      </c>
      <c r="K373" s="11" t="s">
        <v>5352</v>
      </c>
    </row>
    <row r="374" ht="12.5" spans="1:11">
      <c r="A374" s="24">
        <v>45447</v>
      </c>
      <c r="B374" s="11">
        <v>34</v>
      </c>
      <c r="C374" s="11">
        <v>10</v>
      </c>
      <c r="D374" s="11">
        <v>2</v>
      </c>
      <c r="E374" s="11">
        <v>2</v>
      </c>
      <c r="F374" s="11">
        <v>0</v>
      </c>
      <c r="G374" s="11">
        <v>2</v>
      </c>
      <c r="H374" s="11">
        <v>0</v>
      </c>
      <c r="I374" s="11">
        <v>0</v>
      </c>
      <c r="J374" s="134">
        <v>0.389583333333333</v>
      </c>
      <c r="K374" s="11" t="s">
        <v>5353</v>
      </c>
    </row>
    <row r="375" ht="12.5" spans="1:30">
      <c r="A375" s="130">
        <v>45448</v>
      </c>
      <c r="B375" s="64"/>
      <c r="C375" s="64"/>
      <c r="D375" s="64"/>
      <c r="E375" s="64"/>
      <c r="F375" s="64">
        <v>2</v>
      </c>
      <c r="G375" s="64">
        <v>0</v>
      </c>
      <c r="H375" s="64"/>
      <c r="I375" s="64"/>
      <c r="J375" s="142"/>
      <c r="K375" s="64"/>
      <c r="L375" s="64"/>
      <c r="M375" s="64"/>
      <c r="N375" s="64"/>
      <c r="O375" s="64"/>
      <c r="P375" s="64"/>
      <c r="Q375" s="64"/>
      <c r="R375" s="64"/>
      <c r="S375" s="64"/>
      <c r="T375" s="64"/>
      <c r="U375" s="64"/>
      <c r="V375" s="64"/>
      <c r="W375" s="64"/>
      <c r="X375" s="64"/>
      <c r="Y375" s="64"/>
      <c r="Z375" s="64"/>
      <c r="AA375" s="64"/>
      <c r="AB375" s="64"/>
      <c r="AC375" s="64"/>
      <c r="AD375" s="64"/>
    </row>
    <row r="376" ht="12.5" spans="1:10">
      <c r="A376" s="24">
        <v>45449</v>
      </c>
      <c r="J376" s="108"/>
    </row>
    <row r="377" ht="12.5" spans="10:10">
      <c r="J377" s="108"/>
    </row>
    <row r="378" ht="12.5" spans="10:10">
      <c r="J378" s="108"/>
    </row>
    <row r="379" ht="12.5" spans="10:10">
      <c r="J379" s="108"/>
    </row>
    <row r="380" ht="12.5" spans="10:10">
      <c r="J380" s="108"/>
    </row>
    <row r="381" ht="12.5" spans="10:10">
      <c r="J381" s="108"/>
    </row>
    <row r="382" ht="12.5" spans="10:10">
      <c r="J382" s="108"/>
    </row>
    <row r="383" ht="12.5" spans="10:10">
      <c r="J383" s="108"/>
    </row>
    <row r="384" ht="12.5" spans="10:10">
      <c r="J384" s="108"/>
    </row>
    <row r="385" ht="12.5" spans="10:10">
      <c r="J385" s="108"/>
    </row>
    <row r="386" ht="12.5" spans="10:10">
      <c r="J386" s="108"/>
    </row>
    <row r="387" ht="12.5" spans="10:10">
      <c r="J387" s="108"/>
    </row>
    <row r="388" ht="12.5" spans="10:10">
      <c r="J388" s="108"/>
    </row>
    <row r="389" ht="12.5" spans="10:10">
      <c r="J389" s="108"/>
    </row>
    <row r="390" ht="12.5" spans="10:10">
      <c r="J390" s="108"/>
    </row>
    <row r="391" ht="12.5" spans="10:10">
      <c r="J391" s="108"/>
    </row>
    <row r="392" ht="12.5" spans="10:10">
      <c r="J392" s="108"/>
    </row>
    <row r="393" ht="12.5" spans="10:10">
      <c r="J393" s="108"/>
    </row>
    <row r="394" ht="12.5" spans="10:10">
      <c r="J394" s="108"/>
    </row>
    <row r="395" ht="12.5" spans="10:10">
      <c r="J395" s="108"/>
    </row>
    <row r="396" ht="12.5" spans="10:10">
      <c r="J396" s="108"/>
    </row>
    <row r="397" ht="12.5" spans="10:10">
      <c r="J397" s="108"/>
    </row>
    <row r="398" ht="12.5" spans="10:10">
      <c r="J398" s="108"/>
    </row>
    <row r="399" ht="12.5" spans="10:10">
      <c r="J399" s="108"/>
    </row>
    <row r="400" ht="12.5" spans="10:10">
      <c r="J400" s="108"/>
    </row>
    <row r="401" ht="12.5" spans="10:10">
      <c r="J401" s="108"/>
    </row>
    <row r="402" ht="12.5" spans="10:10">
      <c r="J402" s="108"/>
    </row>
    <row r="403" ht="12.5" spans="10:10">
      <c r="J403" s="108"/>
    </row>
    <row r="404" ht="12.5" spans="10:10">
      <c r="J404" s="108"/>
    </row>
    <row r="405" ht="12.5" spans="10:10">
      <c r="J405" s="108"/>
    </row>
    <row r="406" ht="12.5" spans="10:10">
      <c r="J406" s="108"/>
    </row>
    <row r="407" ht="12.5" spans="10:10">
      <c r="J407" s="108"/>
    </row>
    <row r="408" ht="12.5" spans="10:10">
      <c r="J408" s="108"/>
    </row>
    <row r="409" ht="12.5" spans="10:10">
      <c r="J409" s="108"/>
    </row>
    <row r="410" ht="12.5" spans="10:10">
      <c r="J410" s="108"/>
    </row>
    <row r="411" ht="12.5" spans="10:10">
      <c r="J411" s="108"/>
    </row>
    <row r="412" ht="12.5" spans="10:10">
      <c r="J412" s="108"/>
    </row>
    <row r="413" ht="12.5" spans="10:10">
      <c r="J413" s="108"/>
    </row>
    <row r="414" ht="12.5" spans="10:10">
      <c r="J414" s="108"/>
    </row>
    <row r="415" ht="12.5" spans="10:10">
      <c r="J415" s="108"/>
    </row>
    <row r="416" ht="12.5" spans="10:10">
      <c r="J416" s="108"/>
    </row>
    <row r="417" ht="12.5" spans="10:10">
      <c r="J417" s="108"/>
    </row>
    <row r="418" ht="12.5" spans="10:10">
      <c r="J418" s="108"/>
    </row>
    <row r="419" ht="12.5" spans="10:10">
      <c r="J419" s="108"/>
    </row>
    <row r="420" ht="12.5" spans="10:10">
      <c r="J420" s="108"/>
    </row>
    <row r="421" ht="12.5" spans="10:10">
      <c r="J421" s="108"/>
    </row>
    <row r="422" ht="12.5" spans="10:10">
      <c r="J422" s="108"/>
    </row>
    <row r="423" ht="12.5" spans="10:10">
      <c r="J423" s="108"/>
    </row>
    <row r="424" ht="12.5" spans="10:10">
      <c r="J424" s="108"/>
    </row>
    <row r="425" ht="12.5" spans="10:10">
      <c r="J425" s="108"/>
    </row>
    <row r="426" ht="12.5" spans="10:10">
      <c r="J426" s="108"/>
    </row>
    <row r="427" ht="12.5" spans="10:10">
      <c r="J427" s="108"/>
    </row>
    <row r="428" ht="12.5" spans="10:10">
      <c r="J428" s="108"/>
    </row>
    <row r="429" ht="12.5" spans="10:10">
      <c r="J429" s="108"/>
    </row>
    <row r="430" ht="12.5" spans="10:10">
      <c r="J430" s="108"/>
    </row>
    <row r="431" ht="12.5" spans="10:10">
      <c r="J431" s="108"/>
    </row>
    <row r="432" ht="12.5" spans="10:10">
      <c r="J432" s="108"/>
    </row>
    <row r="433" ht="12.5" spans="10:10">
      <c r="J433" s="108"/>
    </row>
    <row r="434" ht="12.5" spans="10:10">
      <c r="J434" s="108"/>
    </row>
    <row r="435" ht="12.5" spans="10:10">
      <c r="J435" s="108"/>
    </row>
    <row r="436" ht="12.5" spans="10:10">
      <c r="J436" s="108"/>
    </row>
    <row r="437" ht="12.5" spans="10:10">
      <c r="J437" s="108"/>
    </row>
    <row r="438" ht="12.5" spans="10:10">
      <c r="J438" s="108"/>
    </row>
    <row r="439" ht="12.5" spans="10:10">
      <c r="J439" s="108"/>
    </row>
    <row r="440" ht="12.5" spans="10:10">
      <c r="J440" s="108"/>
    </row>
    <row r="441" ht="12.5" spans="10:10">
      <c r="J441" s="108"/>
    </row>
    <row r="442" ht="12.5" spans="10:10">
      <c r="J442" s="108"/>
    </row>
    <row r="443" ht="12.5" spans="10:10">
      <c r="J443" s="108"/>
    </row>
    <row r="444" ht="12.5" spans="10:10">
      <c r="J444" s="108"/>
    </row>
    <row r="445" ht="12.5" spans="10:10">
      <c r="J445" s="108"/>
    </row>
    <row r="446" ht="12.5" spans="10:10">
      <c r="J446" s="108"/>
    </row>
    <row r="447" ht="12.5" spans="10:10">
      <c r="J447" s="108"/>
    </row>
    <row r="448" ht="12.5" spans="10:10">
      <c r="J448" s="108"/>
    </row>
    <row r="449" ht="12.5" spans="10:10">
      <c r="J449" s="108"/>
    </row>
    <row r="450" ht="12.5" spans="10:10">
      <c r="J450" s="108"/>
    </row>
    <row r="451" ht="12.5" spans="10:10">
      <c r="J451" s="108"/>
    </row>
    <row r="452" ht="12.5" spans="10:10">
      <c r="J452" s="108"/>
    </row>
    <row r="453" ht="12.5" spans="10:10">
      <c r="J453" s="108"/>
    </row>
    <row r="454" ht="12.5" spans="10:10">
      <c r="J454" s="108"/>
    </row>
    <row r="455" ht="12.5" spans="10:10">
      <c r="J455" s="108"/>
    </row>
    <row r="456" ht="12.5" spans="10:10">
      <c r="J456" s="108"/>
    </row>
    <row r="457" ht="12.5" spans="10:10">
      <c r="J457" s="108"/>
    </row>
    <row r="458" ht="12.5" spans="10:10">
      <c r="J458" s="108"/>
    </row>
    <row r="459" ht="12.5" spans="10:10">
      <c r="J459" s="108"/>
    </row>
    <row r="460" ht="12.5" spans="10:10">
      <c r="J460" s="108"/>
    </row>
    <row r="461" ht="12.5" spans="10:10">
      <c r="J461" s="108"/>
    </row>
    <row r="462" ht="12.5" spans="10:10">
      <c r="J462" s="108"/>
    </row>
    <row r="463" ht="12.5" spans="10:10">
      <c r="J463" s="108"/>
    </row>
    <row r="464" ht="12.5" spans="10:10">
      <c r="J464" s="108"/>
    </row>
    <row r="465" ht="12.5" spans="10:10">
      <c r="J465" s="108"/>
    </row>
    <row r="466" ht="12.5" spans="10:10">
      <c r="J466" s="108"/>
    </row>
    <row r="467" ht="12.5" spans="10:10">
      <c r="J467" s="108"/>
    </row>
    <row r="468" ht="12.5" spans="10:10">
      <c r="J468" s="108"/>
    </row>
    <row r="469" ht="12.5" spans="10:10">
      <c r="J469" s="108"/>
    </row>
    <row r="470" ht="12.5" spans="10:10">
      <c r="J470" s="108"/>
    </row>
    <row r="471" ht="12.5" spans="10:10">
      <c r="J471" s="108"/>
    </row>
    <row r="472" ht="12.5" spans="10:10">
      <c r="J472" s="108"/>
    </row>
    <row r="473" ht="12.5" spans="10:10">
      <c r="J473" s="108"/>
    </row>
    <row r="474" ht="12.5" spans="10:10">
      <c r="J474" s="108"/>
    </row>
    <row r="475" ht="12.5" spans="10:10">
      <c r="J475" s="108"/>
    </row>
    <row r="476" ht="12.5" spans="10:10">
      <c r="J476" s="108"/>
    </row>
    <row r="477" ht="12.5" spans="10:10">
      <c r="J477" s="108"/>
    </row>
    <row r="478" ht="12.5" spans="10:10">
      <c r="J478" s="108"/>
    </row>
    <row r="479" ht="12.5" spans="10:10">
      <c r="J479" s="108"/>
    </row>
    <row r="480" ht="12.5" spans="10:10">
      <c r="J480" s="108"/>
    </row>
    <row r="481" ht="12.5" spans="10:10">
      <c r="J481" s="108"/>
    </row>
    <row r="482" ht="12.5" spans="10:10">
      <c r="J482" s="108"/>
    </row>
    <row r="483" ht="12.5" spans="10:10">
      <c r="J483" s="108"/>
    </row>
    <row r="484" ht="12.5" spans="10:10">
      <c r="J484" s="108"/>
    </row>
    <row r="485" ht="12.5" spans="10:10">
      <c r="J485" s="108"/>
    </row>
    <row r="486" ht="12.5" spans="10:10">
      <c r="J486" s="108"/>
    </row>
    <row r="487" ht="12.5" spans="10:10">
      <c r="J487" s="108"/>
    </row>
    <row r="488" ht="12.5" spans="10:10">
      <c r="J488" s="108"/>
    </row>
    <row r="489" ht="12.5" spans="10:10">
      <c r="J489" s="108"/>
    </row>
    <row r="490" ht="12.5" spans="10:10">
      <c r="J490" s="108"/>
    </row>
    <row r="491" ht="12.5" spans="10:10">
      <c r="J491" s="108"/>
    </row>
    <row r="492" ht="12.5" spans="10:10">
      <c r="J492" s="108"/>
    </row>
    <row r="493" ht="12.5" spans="10:10">
      <c r="J493" s="108"/>
    </row>
    <row r="494" ht="12.5" spans="10:10">
      <c r="J494" s="108"/>
    </row>
    <row r="495" ht="12.5" spans="10:10">
      <c r="J495" s="108"/>
    </row>
    <row r="496" ht="12.5" spans="10:10">
      <c r="J496" s="108"/>
    </row>
    <row r="497" ht="12.5" spans="10:10">
      <c r="J497" s="108"/>
    </row>
    <row r="498" ht="12.5" spans="10:10">
      <c r="J498" s="108"/>
    </row>
    <row r="499" ht="12.5" spans="10:10">
      <c r="J499" s="108"/>
    </row>
    <row r="500" ht="12.5" spans="10:10">
      <c r="J500" s="108"/>
    </row>
    <row r="501" ht="12.5" spans="10:10">
      <c r="J501" s="108"/>
    </row>
    <row r="502" ht="12.5" spans="10:10">
      <c r="J502" s="108"/>
    </row>
    <row r="503" ht="12.5" spans="10:10">
      <c r="J503" s="108"/>
    </row>
    <row r="504" ht="12.5" spans="10:10">
      <c r="J504" s="108"/>
    </row>
    <row r="505" ht="12.5" spans="10:10">
      <c r="J505" s="108"/>
    </row>
    <row r="506" ht="12.5" spans="10:10">
      <c r="J506" s="108"/>
    </row>
    <row r="507" ht="12.5" spans="10:10">
      <c r="J507" s="108"/>
    </row>
    <row r="508" ht="12.5" spans="10:10">
      <c r="J508" s="108"/>
    </row>
    <row r="509" ht="12.5" spans="10:10">
      <c r="J509" s="108"/>
    </row>
    <row r="510" ht="12.5" spans="10:10">
      <c r="J510" s="108"/>
    </row>
    <row r="511" ht="12.5" spans="10:10">
      <c r="J511" s="108"/>
    </row>
    <row r="512" ht="12.5" spans="10:10">
      <c r="J512" s="108"/>
    </row>
    <row r="513" ht="12.5" spans="10:10">
      <c r="J513" s="108"/>
    </row>
    <row r="514" ht="12.5" spans="10:10">
      <c r="J514" s="108"/>
    </row>
    <row r="515" ht="12.5" spans="10:10">
      <c r="J515" s="108"/>
    </row>
    <row r="516" ht="12.5" spans="10:10">
      <c r="J516" s="108"/>
    </row>
    <row r="517" ht="12.5" spans="10:10">
      <c r="J517" s="108"/>
    </row>
    <row r="518" ht="12.5" spans="10:10">
      <c r="J518" s="108"/>
    </row>
    <row r="519" ht="12.5" spans="10:10">
      <c r="J519" s="108"/>
    </row>
    <row r="520" ht="12.5" spans="10:10">
      <c r="J520" s="108"/>
    </row>
    <row r="521" ht="12.5" spans="10:10">
      <c r="J521" s="108"/>
    </row>
    <row r="522" ht="12.5" spans="10:10">
      <c r="J522" s="108"/>
    </row>
    <row r="523" ht="12.5" spans="10:10">
      <c r="J523" s="108"/>
    </row>
    <row r="524" ht="12.5" spans="10:10">
      <c r="J524" s="108"/>
    </row>
    <row r="525" ht="12.5" spans="10:10">
      <c r="J525" s="108"/>
    </row>
    <row r="526" ht="12.5" spans="10:10">
      <c r="J526" s="108"/>
    </row>
    <row r="527" ht="12.5" spans="10:10">
      <c r="J527" s="108"/>
    </row>
    <row r="528" ht="12.5" spans="10:10">
      <c r="J528" s="108"/>
    </row>
    <row r="529" ht="12.5" spans="10:10">
      <c r="J529" s="108"/>
    </row>
    <row r="530" ht="12.5" spans="10:10">
      <c r="J530" s="108"/>
    </row>
    <row r="531" ht="12.5" spans="10:10">
      <c r="J531" s="108"/>
    </row>
    <row r="532" ht="12.5" spans="10:10">
      <c r="J532" s="108"/>
    </row>
    <row r="533" ht="12.5" spans="10:10">
      <c r="J533" s="108"/>
    </row>
    <row r="534" ht="12.5" spans="10:10">
      <c r="J534" s="108"/>
    </row>
    <row r="535" ht="12.5" spans="10:10">
      <c r="J535" s="108"/>
    </row>
    <row r="536" ht="12.5" spans="10:10">
      <c r="J536" s="108"/>
    </row>
    <row r="537" ht="12.5" spans="10:10">
      <c r="J537" s="108"/>
    </row>
    <row r="538" ht="12.5" spans="10:10">
      <c r="J538" s="108"/>
    </row>
    <row r="539" ht="12.5" spans="10:10">
      <c r="J539" s="108"/>
    </row>
    <row r="540" ht="12.5" spans="10:10">
      <c r="J540" s="108"/>
    </row>
    <row r="541" ht="12.5" spans="10:10">
      <c r="J541" s="108"/>
    </row>
    <row r="542" ht="12.5" spans="10:10">
      <c r="J542" s="108"/>
    </row>
    <row r="543" ht="12.5" spans="10:10">
      <c r="J543" s="108"/>
    </row>
    <row r="544" ht="12.5" spans="10:10">
      <c r="J544" s="108"/>
    </row>
    <row r="545" ht="12.5" spans="10:10">
      <c r="J545" s="108"/>
    </row>
    <row r="546" ht="12.5" spans="10:10">
      <c r="J546" s="108"/>
    </row>
    <row r="547" ht="12.5" spans="10:10">
      <c r="J547" s="108"/>
    </row>
    <row r="548" ht="12.5" spans="10:10">
      <c r="J548" s="108"/>
    </row>
    <row r="549" ht="12.5" spans="10:10">
      <c r="J549" s="108"/>
    </row>
    <row r="550" ht="12.5" spans="10:10">
      <c r="J550" s="108"/>
    </row>
    <row r="551" ht="12.5" spans="10:10">
      <c r="J551" s="108"/>
    </row>
    <row r="552" ht="12.5" spans="10:10">
      <c r="J552" s="108"/>
    </row>
    <row r="553" ht="12.5" spans="10:10">
      <c r="J553" s="108"/>
    </row>
    <row r="554" ht="12.5" spans="10:10">
      <c r="J554" s="108"/>
    </row>
    <row r="555" ht="12.5" spans="10:10">
      <c r="J555" s="108"/>
    </row>
    <row r="556" ht="12.5" spans="10:10">
      <c r="J556" s="108"/>
    </row>
    <row r="557" ht="12.5" spans="10:10">
      <c r="J557" s="108"/>
    </row>
    <row r="558" ht="12.5" spans="10:10">
      <c r="J558" s="108"/>
    </row>
    <row r="559" ht="12.5" spans="10:10">
      <c r="J559" s="108"/>
    </row>
    <row r="560" ht="12.5" spans="10:10">
      <c r="J560" s="108"/>
    </row>
    <row r="561" ht="12.5" spans="10:10">
      <c r="J561" s="108"/>
    </row>
    <row r="562" ht="12.5" spans="10:10">
      <c r="J562" s="108"/>
    </row>
    <row r="563" ht="12.5" spans="10:10">
      <c r="J563" s="108"/>
    </row>
    <row r="564" ht="12.5" spans="10:10">
      <c r="J564" s="108"/>
    </row>
    <row r="565" ht="12.5" spans="10:10">
      <c r="J565" s="108"/>
    </row>
    <row r="566" ht="12.5" spans="10:10">
      <c r="J566" s="108"/>
    </row>
    <row r="567" ht="12.5" spans="10:10">
      <c r="J567" s="108"/>
    </row>
    <row r="568" ht="12.5" spans="10:10">
      <c r="J568" s="108"/>
    </row>
    <row r="569" ht="12.5" spans="10:10">
      <c r="J569" s="108"/>
    </row>
    <row r="570" ht="12.5" spans="10:10">
      <c r="J570" s="108"/>
    </row>
    <row r="571" ht="12.5" spans="10:10">
      <c r="J571" s="108"/>
    </row>
    <row r="572" ht="12.5" spans="10:10">
      <c r="J572" s="108"/>
    </row>
    <row r="573" ht="12.5" spans="10:10">
      <c r="J573" s="108"/>
    </row>
    <row r="574" ht="12.5" spans="10:10">
      <c r="J574" s="108"/>
    </row>
    <row r="575" ht="12.5" spans="10:10">
      <c r="J575" s="108"/>
    </row>
    <row r="576" ht="12.5" spans="10:10">
      <c r="J576" s="108"/>
    </row>
    <row r="577" ht="12.5" spans="10:10">
      <c r="J577" s="108"/>
    </row>
    <row r="578" ht="12.5" spans="10:10">
      <c r="J578" s="108"/>
    </row>
    <row r="579" ht="12.5" spans="10:10">
      <c r="J579" s="108"/>
    </row>
    <row r="580" ht="12.5" spans="10:10">
      <c r="J580" s="108"/>
    </row>
    <row r="581" ht="12.5" spans="10:10">
      <c r="J581" s="108"/>
    </row>
    <row r="582" ht="12.5" spans="10:10">
      <c r="J582" s="108"/>
    </row>
    <row r="583" ht="12.5" spans="10:10">
      <c r="J583" s="108"/>
    </row>
    <row r="584" ht="12.5" spans="10:10">
      <c r="J584" s="108"/>
    </row>
    <row r="585" ht="12.5" spans="10:10">
      <c r="J585" s="108"/>
    </row>
    <row r="586" ht="12.5" spans="10:10">
      <c r="J586" s="108"/>
    </row>
    <row r="587" ht="12.5" spans="10:10">
      <c r="J587" s="108"/>
    </row>
    <row r="588" ht="12.5" spans="10:10">
      <c r="J588" s="108"/>
    </row>
    <row r="589" ht="12.5" spans="10:10">
      <c r="J589" s="108"/>
    </row>
    <row r="590" ht="12.5" spans="10:10">
      <c r="J590" s="108"/>
    </row>
    <row r="591" ht="12.5" spans="10:10">
      <c r="J591" s="108"/>
    </row>
    <row r="592" ht="12.5" spans="10:10">
      <c r="J592" s="108"/>
    </row>
    <row r="593" ht="12.5" spans="10:10">
      <c r="J593" s="108"/>
    </row>
    <row r="594" ht="12.5" spans="10:10">
      <c r="J594" s="108"/>
    </row>
    <row r="595" ht="12.5" spans="10:10">
      <c r="J595" s="108"/>
    </row>
    <row r="596" ht="12.5" spans="10:10">
      <c r="J596" s="108"/>
    </row>
    <row r="597" ht="12.5" spans="10:10">
      <c r="J597" s="108"/>
    </row>
    <row r="598" ht="12.5" spans="10:10">
      <c r="J598" s="108"/>
    </row>
    <row r="599" ht="12.5" spans="10:10">
      <c r="J599" s="108"/>
    </row>
    <row r="600" ht="12.5" spans="10:10">
      <c r="J600" s="108"/>
    </row>
    <row r="601" ht="12.5" spans="10:10">
      <c r="J601" s="108"/>
    </row>
    <row r="602" ht="12.5" spans="10:10">
      <c r="J602" s="108"/>
    </row>
    <row r="603" ht="12.5" spans="10:10">
      <c r="J603" s="108"/>
    </row>
    <row r="604" ht="12.5" spans="10:10">
      <c r="J604" s="108"/>
    </row>
    <row r="605" ht="12.5" spans="10:10">
      <c r="J605" s="108"/>
    </row>
    <row r="606" ht="12.5" spans="10:10">
      <c r="J606" s="108"/>
    </row>
    <row r="607" ht="12.5" spans="10:10">
      <c r="J607" s="108"/>
    </row>
    <row r="608" ht="12.5" spans="10:10">
      <c r="J608" s="108"/>
    </row>
    <row r="609" ht="12.5" spans="10:10">
      <c r="J609" s="108"/>
    </row>
    <row r="610" ht="12.5" spans="10:10">
      <c r="J610" s="108"/>
    </row>
    <row r="611" ht="12.5" spans="10:10">
      <c r="J611" s="108"/>
    </row>
    <row r="612" ht="12.5" spans="10:10">
      <c r="J612" s="108"/>
    </row>
    <row r="613" ht="12.5" spans="10:10">
      <c r="J613" s="108"/>
    </row>
    <row r="614" ht="12.5" spans="10:10">
      <c r="J614" s="108"/>
    </row>
    <row r="615" ht="12.5" spans="10:10">
      <c r="J615" s="108"/>
    </row>
    <row r="616" ht="12.5" spans="10:10">
      <c r="J616" s="108"/>
    </row>
    <row r="617" ht="12.5" spans="10:10">
      <c r="J617" s="108"/>
    </row>
    <row r="618" ht="12.5" spans="10:10">
      <c r="J618" s="108"/>
    </row>
    <row r="619" ht="12.5" spans="10:10">
      <c r="J619" s="108"/>
    </row>
    <row r="620" ht="12.5" spans="10:10">
      <c r="J620" s="108"/>
    </row>
    <row r="621" ht="12.5" spans="10:10">
      <c r="J621" s="108"/>
    </row>
    <row r="622" ht="12.5" spans="10:10">
      <c r="J622" s="108"/>
    </row>
    <row r="623" ht="12.5" spans="10:10">
      <c r="J623" s="108"/>
    </row>
    <row r="624" ht="12.5" spans="10:10">
      <c r="J624" s="108"/>
    </row>
    <row r="625" ht="12.5" spans="10:10">
      <c r="J625" s="108"/>
    </row>
    <row r="626" ht="12.5" spans="10:10">
      <c r="J626" s="108"/>
    </row>
    <row r="627" ht="12.5" spans="10:10">
      <c r="J627" s="108"/>
    </row>
    <row r="628" ht="12.5" spans="10:10">
      <c r="J628" s="108"/>
    </row>
    <row r="629" ht="12.5" spans="10:10">
      <c r="J629" s="108"/>
    </row>
    <row r="630" ht="12.5" spans="10:10">
      <c r="J630" s="108"/>
    </row>
    <row r="631" ht="12.5" spans="10:10">
      <c r="J631" s="108"/>
    </row>
    <row r="632" ht="12.5" spans="10:10">
      <c r="J632" s="108"/>
    </row>
    <row r="633" ht="12.5" spans="10:10">
      <c r="J633" s="108"/>
    </row>
    <row r="634" ht="12.5" spans="10:10">
      <c r="J634" s="108"/>
    </row>
    <row r="635" ht="12.5" spans="10:10">
      <c r="J635" s="108"/>
    </row>
    <row r="636" ht="12.5" spans="10:10">
      <c r="J636" s="108"/>
    </row>
    <row r="637" ht="12.5" spans="10:10">
      <c r="J637" s="108"/>
    </row>
    <row r="638" ht="12.5" spans="10:10">
      <c r="J638" s="108"/>
    </row>
    <row r="639" ht="12.5" spans="10:10">
      <c r="J639" s="108"/>
    </row>
    <row r="640" ht="12.5" spans="10:10">
      <c r="J640" s="108"/>
    </row>
    <row r="641" ht="12.5" spans="10:10">
      <c r="J641" s="108"/>
    </row>
    <row r="642" ht="12.5" spans="10:10">
      <c r="J642" s="108"/>
    </row>
    <row r="643" ht="12.5" spans="10:10">
      <c r="J643" s="108"/>
    </row>
    <row r="644" ht="12.5" spans="10:10">
      <c r="J644" s="108"/>
    </row>
    <row r="645" ht="12.5" spans="10:10">
      <c r="J645" s="108"/>
    </row>
    <row r="646" ht="12.5" spans="10:10">
      <c r="J646" s="108"/>
    </row>
    <row r="647" ht="12.5" spans="10:10">
      <c r="J647" s="108"/>
    </row>
    <row r="648" ht="12.5" spans="10:10">
      <c r="J648" s="108"/>
    </row>
    <row r="649" ht="12.5" spans="10:10">
      <c r="J649" s="108"/>
    </row>
    <row r="650" ht="12.5" spans="10:10">
      <c r="J650" s="108"/>
    </row>
    <row r="651" ht="12.5" spans="10:10">
      <c r="J651" s="108"/>
    </row>
    <row r="652" ht="12.5" spans="10:10">
      <c r="J652" s="108"/>
    </row>
    <row r="653" ht="12.5" spans="10:10">
      <c r="J653" s="108"/>
    </row>
    <row r="654" ht="12.5" spans="10:10">
      <c r="J654" s="108"/>
    </row>
    <row r="655" ht="12.5" spans="10:10">
      <c r="J655" s="108"/>
    </row>
    <row r="656" ht="12.5" spans="10:10">
      <c r="J656" s="108"/>
    </row>
    <row r="657" ht="12.5" spans="10:10">
      <c r="J657" s="108"/>
    </row>
    <row r="658" ht="12.5" spans="10:10">
      <c r="J658" s="108"/>
    </row>
    <row r="659" ht="12.5" spans="10:10">
      <c r="J659" s="108"/>
    </row>
    <row r="660" ht="12.5" spans="10:10">
      <c r="J660" s="108"/>
    </row>
    <row r="661" ht="12.5" spans="10:10">
      <c r="J661" s="108"/>
    </row>
    <row r="662" ht="12.5" spans="10:10">
      <c r="J662" s="108"/>
    </row>
    <row r="663" ht="12.5" spans="10:10">
      <c r="J663" s="108"/>
    </row>
    <row r="664" ht="12.5" spans="10:10">
      <c r="J664" s="108"/>
    </row>
    <row r="665" ht="12.5" spans="10:10">
      <c r="J665" s="108"/>
    </row>
    <row r="666" ht="12.5" spans="10:10">
      <c r="J666" s="108"/>
    </row>
    <row r="667" ht="12.5" spans="10:10">
      <c r="J667" s="108"/>
    </row>
    <row r="668" ht="12.5" spans="10:10">
      <c r="J668" s="108"/>
    </row>
    <row r="669" ht="12.5" spans="10:10">
      <c r="J669" s="108"/>
    </row>
    <row r="670" ht="12.5" spans="10:10">
      <c r="J670" s="108"/>
    </row>
    <row r="671" ht="12.5" spans="10:10">
      <c r="J671" s="108"/>
    </row>
    <row r="672" ht="12.5" spans="10:10">
      <c r="J672" s="108"/>
    </row>
    <row r="673" ht="12.5" spans="10:10">
      <c r="J673" s="108"/>
    </row>
    <row r="674" ht="12.5" spans="10:10">
      <c r="J674" s="108"/>
    </row>
    <row r="675" ht="12.5" spans="10:10">
      <c r="J675" s="108"/>
    </row>
    <row r="676" ht="12.5" spans="10:10">
      <c r="J676" s="108"/>
    </row>
    <row r="677" ht="12.5" spans="10:10">
      <c r="J677" s="108"/>
    </row>
    <row r="678" ht="12.5" spans="10:10">
      <c r="J678" s="108"/>
    </row>
    <row r="679" ht="12.5" spans="10:10">
      <c r="J679" s="108"/>
    </row>
    <row r="680" ht="12.5" spans="10:10">
      <c r="J680" s="108"/>
    </row>
    <row r="681" ht="12.5" spans="10:10">
      <c r="J681" s="108"/>
    </row>
    <row r="682" ht="12.5" spans="10:10">
      <c r="J682" s="108"/>
    </row>
    <row r="683" ht="12.5" spans="10:10">
      <c r="J683" s="108"/>
    </row>
    <row r="684" ht="12.5" spans="10:10">
      <c r="J684" s="108"/>
    </row>
    <row r="685" ht="12.5" spans="10:10">
      <c r="J685" s="108"/>
    </row>
    <row r="686" ht="12.5" spans="10:10">
      <c r="J686" s="108"/>
    </row>
    <row r="687" ht="12.5" spans="10:10">
      <c r="J687" s="108"/>
    </row>
    <row r="688" ht="12.5" spans="10:10">
      <c r="J688" s="108"/>
    </row>
    <row r="689" ht="12.5" spans="10:10">
      <c r="J689" s="108"/>
    </row>
    <row r="690" ht="12.5" spans="10:10">
      <c r="J690" s="108"/>
    </row>
    <row r="691" ht="12.5" spans="10:10">
      <c r="J691" s="108"/>
    </row>
    <row r="692" ht="12.5" spans="10:10">
      <c r="J692" s="108"/>
    </row>
    <row r="693" ht="12.5" spans="10:10">
      <c r="J693" s="108"/>
    </row>
    <row r="694" ht="12.5" spans="10:10">
      <c r="J694" s="108"/>
    </row>
    <row r="695" ht="12.5" spans="10:10">
      <c r="J695" s="108"/>
    </row>
    <row r="696" ht="12.5" spans="10:10">
      <c r="J696" s="108"/>
    </row>
    <row r="697" ht="12.5" spans="10:10">
      <c r="J697" s="108"/>
    </row>
    <row r="698" ht="12.5" spans="10:10">
      <c r="J698" s="108"/>
    </row>
    <row r="699" ht="12.5" spans="10:10">
      <c r="J699" s="108"/>
    </row>
    <row r="700" ht="12.5" spans="10:10">
      <c r="J700" s="108"/>
    </row>
    <row r="701" ht="12.5" spans="10:10">
      <c r="J701" s="108"/>
    </row>
    <row r="702" ht="12.5" spans="10:10">
      <c r="J702" s="108"/>
    </row>
    <row r="703" ht="12.5" spans="10:10">
      <c r="J703" s="108"/>
    </row>
    <row r="704" ht="12.5" spans="10:10">
      <c r="J704" s="108"/>
    </row>
    <row r="705" ht="12.5" spans="10:10">
      <c r="J705" s="108"/>
    </row>
    <row r="706" ht="12.5" spans="10:10">
      <c r="J706" s="108"/>
    </row>
    <row r="707" ht="12.5" spans="10:10">
      <c r="J707" s="108"/>
    </row>
    <row r="708" ht="12.5" spans="10:10">
      <c r="J708" s="108"/>
    </row>
    <row r="709" ht="12.5" spans="10:10">
      <c r="J709" s="108"/>
    </row>
    <row r="710" ht="12.5" spans="10:10">
      <c r="J710" s="108"/>
    </row>
    <row r="711" ht="12.5" spans="10:10">
      <c r="J711" s="108"/>
    </row>
    <row r="712" ht="12.5" spans="10:10">
      <c r="J712" s="108"/>
    </row>
    <row r="713" ht="12.5" spans="10:10">
      <c r="J713" s="108"/>
    </row>
    <row r="714" ht="12.5" spans="10:10">
      <c r="J714" s="108"/>
    </row>
    <row r="715" ht="12.5" spans="10:10">
      <c r="J715" s="108"/>
    </row>
    <row r="716" ht="12.5" spans="10:10">
      <c r="J716" s="108"/>
    </row>
    <row r="717" ht="12.5" spans="10:10">
      <c r="J717" s="108"/>
    </row>
    <row r="718" ht="12.5" spans="10:10">
      <c r="J718" s="108"/>
    </row>
    <row r="719" ht="12.5" spans="10:10">
      <c r="J719" s="108"/>
    </row>
    <row r="720" ht="12.5" spans="10:10">
      <c r="J720" s="108"/>
    </row>
    <row r="721" ht="12.5" spans="10:10">
      <c r="J721" s="108"/>
    </row>
    <row r="722" ht="12.5" spans="10:10">
      <c r="J722" s="108"/>
    </row>
    <row r="723" ht="12.5" spans="10:10">
      <c r="J723" s="108"/>
    </row>
    <row r="724" ht="12.5" spans="10:10">
      <c r="J724" s="108"/>
    </row>
    <row r="725" ht="12.5" spans="10:10">
      <c r="J725" s="108"/>
    </row>
    <row r="726" ht="12.5" spans="10:10">
      <c r="J726" s="108"/>
    </row>
    <row r="727" ht="12.5" spans="10:10">
      <c r="J727" s="108"/>
    </row>
    <row r="728" ht="12.5" spans="10:10">
      <c r="J728" s="108"/>
    </row>
    <row r="729" ht="12.5" spans="10:10">
      <c r="J729" s="108"/>
    </row>
    <row r="730" ht="12.5" spans="10:10">
      <c r="J730" s="108"/>
    </row>
    <row r="731" ht="12.5" spans="10:10">
      <c r="J731" s="108"/>
    </row>
    <row r="732" ht="12.5" spans="10:10">
      <c r="J732" s="108"/>
    </row>
    <row r="733" ht="12.5" spans="10:10">
      <c r="J733" s="108"/>
    </row>
    <row r="734" ht="12.5" spans="10:10">
      <c r="J734" s="108"/>
    </row>
    <row r="735" ht="12.5" spans="10:10">
      <c r="J735" s="108"/>
    </row>
    <row r="736" ht="12.5" spans="10:10">
      <c r="J736" s="108"/>
    </row>
    <row r="737" ht="12.5" spans="10:10">
      <c r="J737" s="108"/>
    </row>
    <row r="738" ht="12.5" spans="10:10">
      <c r="J738" s="108"/>
    </row>
    <row r="739" ht="12.5" spans="10:10">
      <c r="J739" s="108"/>
    </row>
    <row r="740" ht="12.5" spans="10:10">
      <c r="J740" s="108"/>
    </row>
    <row r="741" ht="12.5" spans="10:10">
      <c r="J741" s="108"/>
    </row>
    <row r="742" ht="12.5" spans="10:10">
      <c r="J742" s="108"/>
    </row>
    <row r="743" ht="12.5" spans="10:10">
      <c r="J743" s="108"/>
    </row>
    <row r="744" ht="12.5" spans="10:10">
      <c r="J744" s="108"/>
    </row>
    <row r="745" ht="12.5" spans="10:10">
      <c r="J745" s="108"/>
    </row>
    <row r="746" ht="12.5" spans="10:10">
      <c r="J746" s="108"/>
    </row>
    <row r="747" ht="12.5" spans="10:10">
      <c r="J747" s="108"/>
    </row>
    <row r="748" ht="12.5" spans="10:10">
      <c r="J748" s="108"/>
    </row>
    <row r="749" ht="12.5" spans="10:10">
      <c r="J749" s="108"/>
    </row>
    <row r="750" ht="12.5" spans="10:10">
      <c r="J750" s="108"/>
    </row>
    <row r="751" ht="12.5" spans="10:10">
      <c r="J751" s="108"/>
    </row>
    <row r="752" ht="12.5" spans="10:10">
      <c r="J752" s="108"/>
    </row>
    <row r="753" ht="12.5" spans="10:10">
      <c r="J753" s="108"/>
    </row>
    <row r="754" ht="12.5" spans="10:10">
      <c r="J754" s="108"/>
    </row>
    <row r="755" ht="12.5" spans="10:10">
      <c r="J755" s="108"/>
    </row>
    <row r="756" ht="12.5" spans="10:10">
      <c r="J756" s="108"/>
    </row>
    <row r="757" ht="12.5" spans="10:10">
      <c r="J757" s="108"/>
    </row>
    <row r="758" ht="12.5" spans="10:10">
      <c r="J758" s="108"/>
    </row>
    <row r="759" ht="12.5" spans="10:10">
      <c r="J759" s="108"/>
    </row>
    <row r="760" ht="12.5" spans="10:10">
      <c r="J760" s="108"/>
    </row>
    <row r="761" ht="12.5" spans="10:10">
      <c r="J761" s="108"/>
    </row>
    <row r="762" ht="12.5" spans="10:10">
      <c r="J762" s="108"/>
    </row>
    <row r="763" ht="12.5" spans="10:10">
      <c r="J763" s="108"/>
    </row>
    <row r="764" ht="12.5" spans="10:10">
      <c r="J764" s="108"/>
    </row>
    <row r="765" ht="12.5" spans="10:10">
      <c r="J765" s="108"/>
    </row>
    <row r="766" ht="12.5" spans="10:10">
      <c r="J766" s="108"/>
    </row>
    <row r="767" ht="12.5" spans="10:10">
      <c r="J767" s="108"/>
    </row>
    <row r="768" ht="12.5" spans="10:10">
      <c r="J768" s="108"/>
    </row>
    <row r="769" ht="12.5" spans="10:10">
      <c r="J769" s="108"/>
    </row>
    <row r="770" ht="12.5" spans="10:10">
      <c r="J770" s="108"/>
    </row>
    <row r="771" ht="12.5" spans="10:10">
      <c r="J771" s="108"/>
    </row>
    <row r="772" ht="12.5" spans="10:10">
      <c r="J772" s="108"/>
    </row>
    <row r="773" ht="12.5" spans="10:10">
      <c r="J773" s="108"/>
    </row>
    <row r="774" ht="12.5" spans="10:10">
      <c r="J774" s="108"/>
    </row>
    <row r="775" ht="12.5" spans="10:10">
      <c r="J775" s="108"/>
    </row>
    <row r="776" ht="12.5" spans="10:10">
      <c r="J776" s="108"/>
    </row>
    <row r="777" ht="12.5" spans="10:10">
      <c r="J777" s="108"/>
    </row>
    <row r="778" ht="12.5" spans="10:10">
      <c r="J778" s="108"/>
    </row>
    <row r="779" ht="12.5" spans="10:10">
      <c r="J779" s="108"/>
    </row>
    <row r="780" ht="12.5" spans="10:10">
      <c r="J780" s="108"/>
    </row>
    <row r="781" ht="12.5" spans="10:10">
      <c r="J781" s="108"/>
    </row>
    <row r="782" ht="12.5" spans="10:10">
      <c r="J782" s="108"/>
    </row>
    <row r="783" ht="12.5" spans="10:10">
      <c r="J783" s="108"/>
    </row>
    <row r="784" ht="12.5" spans="10:10">
      <c r="J784" s="108"/>
    </row>
    <row r="785" ht="12.5" spans="10:10">
      <c r="J785" s="108"/>
    </row>
    <row r="786" ht="12.5" spans="10:10">
      <c r="J786" s="108"/>
    </row>
    <row r="787" ht="12.5" spans="10:10">
      <c r="J787" s="108"/>
    </row>
    <row r="788" ht="12.5" spans="10:10">
      <c r="J788" s="108"/>
    </row>
    <row r="789" ht="12.5" spans="10:10">
      <c r="J789" s="108"/>
    </row>
    <row r="790" ht="12.5" spans="10:10">
      <c r="J790" s="108"/>
    </row>
    <row r="791" ht="12.5" spans="10:10">
      <c r="J791" s="108"/>
    </row>
    <row r="792" ht="12.5" spans="10:10">
      <c r="J792" s="108"/>
    </row>
    <row r="793" ht="12.5" spans="10:10">
      <c r="J793" s="108"/>
    </row>
    <row r="794" ht="12.5" spans="10:10">
      <c r="J794" s="108"/>
    </row>
    <row r="795" ht="12.5" spans="10:10">
      <c r="J795" s="108"/>
    </row>
    <row r="796" ht="12.5" spans="10:10">
      <c r="J796" s="108"/>
    </row>
    <row r="797" ht="12.5" spans="10:10">
      <c r="J797" s="108"/>
    </row>
    <row r="798" ht="12.5" spans="10:10">
      <c r="J798" s="108"/>
    </row>
    <row r="799" ht="12.5" spans="10:10">
      <c r="J799" s="108"/>
    </row>
    <row r="800" ht="12.5" spans="10:10">
      <c r="J800" s="108"/>
    </row>
    <row r="801" ht="12.5" spans="10:10">
      <c r="J801" s="108"/>
    </row>
    <row r="802" ht="12.5" spans="10:10">
      <c r="J802" s="108"/>
    </row>
    <row r="803" ht="12.5" spans="10:10">
      <c r="J803" s="108"/>
    </row>
    <row r="804" ht="12.5" spans="10:10">
      <c r="J804" s="108"/>
    </row>
    <row r="805" ht="12.5" spans="10:10">
      <c r="J805" s="108"/>
    </row>
    <row r="806" ht="12.5" spans="10:10">
      <c r="J806" s="108"/>
    </row>
    <row r="807" ht="12.5" spans="10:10">
      <c r="J807" s="108"/>
    </row>
    <row r="808" ht="12.5" spans="10:10">
      <c r="J808" s="108"/>
    </row>
    <row r="809" ht="12.5" spans="10:10">
      <c r="J809" s="108"/>
    </row>
    <row r="810" ht="12.5" spans="10:10">
      <c r="J810" s="108"/>
    </row>
    <row r="811" ht="12.5" spans="10:10">
      <c r="J811" s="108"/>
    </row>
    <row r="812" ht="12.5" spans="10:10">
      <c r="J812" s="108"/>
    </row>
    <row r="813" ht="12.5" spans="10:10">
      <c r="J813" s="108"/>
    </row>
    <row r="814" ht="12.5" spans="10:10">
      <c r="J814" s="108"/>
    </row>
    <row r="815" ht="12.5" spans="10:10">
      <c r="J815" s="108"/>
    </row>
    <row r="816" ht="12.5" spans="10:10">
      <c r="J816" s="108"/>
    </row>
    <row r="817" ht="12.5" spans="10:10">
      <c r="J817" s="108"/>
    </row>
    <row r="818" ht="12.5" spans="10:10">
      <c r="J818" s="108"/>
    </row>
    <row r="819" ht="12.5" spans="10:10">
      <c r="J819" s="108"/>
    </row>
    <row r="820" ht="12.5" spans="10:10">
      <c r="J820" s="108"/>
    </row>
    <row r="821" ht="12.5" spans="10:10">
      <c r="J821" s="108"/>
    </row>
    <row r="822" ht="12.5" spans="10:10">
      <c r="J822" s="108"/>
    </row>
    <row r="823" ht="12.5" spans="10:10">
      <c r="J823" s="108"/>
    </row>
    <row r="824" ht="12.5" spans="10:10">
      <c r="J824" s="108"/>
    </row>
    <row r="825" ht="12.5" spans="10:10">
      <c r="J825" s="108"/>
    </row>
    <row r="826" ht="12.5" spans="10:10">
      <c r="J826" s="108"/>
    </row>
    <row r="827" ht="12.5" spans="10:10">
      <c r="J827" s="108"/>
    </row>
    <row r="828" ht="12.5" spans="10:10">
      <c r="J828" s="108"/>
    </row>
    <row r="829" ht="12.5" spans="10:10">
      <c r="J829" s="108"/>
    </row>
    <row r="830" ht="12.5" spans="10:10">
      <c r="J830" s="108"/>
    </row>
    <row r="831" ht="12.5" spans="10:10">
      <c r="J831" s="108"/>
    </row>
    <row r="832" ht="12.5" spans="10:10">
      <c r="J832" s="108"/>
    </row>
    <row r="833" ht="12.5" spans="10:10">
      <c r="J833" s="108"/>
    </row>
    <row r="834" ht="12.5" spans="10:10">
      <c r="J834" s="108"/>
    </row>
    <row r="835" ht="12.5" spans="10:10">
      <c r="J835" s="108"/>
    </row>
    <row r="836" ht="12.5" spans="10:10">
      <c r="J836" s="108"/>
    </row>
    <row r="837" ht="12.5" spans="10:10">
      <c r="J837" s="108"/>
    </row>
    <row r="838" ht="12.5" spans="10:10">
      <c r="J838" s="108"/>
    </row>
    <row r="839" ht="12.5" spans="10:10">
      <c r="J839" s="108"/>
    </row>
    <row r="840" ht="12.5" spans="10:10">
      <c r="J840" s="108"/>
    </row>
    <row r="841" ht="12.5" spans="10:10">
      <c r="J841" s="108"/>
    </row>
    <row r="842" ht="12.5" spans="10:10">
      <c r="J842" s="108"/>
    </row>
    <row r="843" ht="12.5" spans="10:10">
      <c r="J843" s="108"/>
    </row>
    <row r="844" ht="12.5" spans="10:10">
      <c r="J844" s="108"/>
    </row>
    <row r="845" ht="12.5" spans="10:10">
      <c r="J845" s="108"/>
    </row>
    <row r="846" ht="12.5" spans="10:10">
      <c r="J846" s="108"/>
    </row>
    <row r="847" ht="12.5" spans="10:10">
      <c r="J847" s="108"/>
    </row>
    <row r="848" ht="12.5" spans="10:10">
      <c r="J848" s="108"/>
    </row>
    <row r="849" ht="12.5" spans="10:10">
      <c r="J849" s="108"/>
    </row>
    <row r="850" ht="12.5" spans="10:10">
      <c r="J850" s="108"/>
    </row>
    <row r="851" ht="12.5" spans="10:10">
      <c r="J851" s="108"/>
    </row>
    <row r="852" ht="12.5" spans="10:10">
      <c r="J852" s="108"/>
    </row>
    <row r="853" ht="12.5" spans="10:10">
      <c r="J853" s="108"/>
    </row>
    <row r="854" ht="12.5" spans="10:10">
      <c r="J854" s="108"/>
    </row>
    <row r="855" ht="12.5" spans="10:10">
      <c r="J855" s="108"/>
    </row>
    <row r="856" ht="12.5" spans="10:10">
      <c r="J856" s="108"/>
    </row>
    <row r="857" ht="12.5" spans="10:10">
      <c r="J857" s="108"/>
    </row>
    <row r="858" ht="12.5" spans="10:10">
      <c r="J858" s="108"/>
    </row>
    <row r="859" ht="12.5" spans="10:10">
      <c r="J859" s="108"/>
    </row>
    <row r="860" ht="12.5" spans="10:10">
      <c r="J860" s="108"/>
    </row>
    <row r="861" ht="12.5" spans="10:10">
      <c r="J861" s="108"/>
    </row>
    <row r="862" ht="12.5" spans="10:10">
      <c r="J862" s="108"/>
    </row>
    <row r="863" ht="12.5" spans="10:10">
      <c r="J863" s="108"/>
    </row>
    <row r="864" ht="12.5" spans="10:10">
      <c r="J864" s="108"/>
    </row>
    <row r="865" ht="12.5" spans="10:10">
      <c r="J865" s="108"/>
    </row>
    <row r="866" ht="12.5" spans="10:10">
      <c r="J866" s="108"/>
    </row>
    <row r="867" ht="12.5" spans="10:10">
      <c r="J867" s="108"/>
    </row>
    <row r="868" ht="12.5" spans="10:10">
      <c r="J868" s="108"/>
    </row>
    <row r="869" ht="12.5" spans="10:10">
      <c r="J869" s="108"/>
    </row>
    <row r="870" ht="12.5" spans="10:10">
      <c r="J870" s="108"/>
    </row>
    <row r="871" ht="12.5" spans="10:10">
      <c r="J871" s="108"/>
    </row>
    <row r="872" ht="12.5" spans="10:10">
      <c r="J872" s="108"/>
    </row>
    <row r="873" ht="12.5" spans="10:10">
      <c r="J873" s="108"/>
    </row>
    <row r="874" ht="12.5" spans="10:10">
      <c r="J874" s="108"/>
    </row>
    <row r="875" ht="12.5" spans="10:10">
      <c r="J875" s="108"/>
    </row>
    <row r="876" ht="12.5" spans="10:10">
      <c r="J876" s="108"/>
    </row>
    <row r="877" ht="12.5" spans="10:10">
      <c r="J877" s="108"/>
    </row>
    <row r="878" ht="12.5" spans="10:10">
      <c r="J878" s="108"/>
    </row>
    <row r="879" ht="12.5" spans="10:10">
      <c r="J879" s="108"/>
    </row>
    <row r="880" ht="12.5" spans="10:10">
      <c r="J880" s="108"/>
    </row>
    <row r="881" ht="12.5" spans="10:10">
      <c r="J881" s="108"/>
    </row>
    <row r="882" ht="12.5" spans="10:10">
      <c r="J882" s="108"/>
    </row>
    <row r="883" ht="12.5" spans="10:10">
      <c r="J883" s="108"/>
    </row>
    <row r="884" ht="12.5" spans="10:10">
      <c r="J884" s="108"/>
    </row>
    <row r="885" ht="12.5" spans="10:10">
      <c r="J885" s="108"/>
    </row>
    <row r="886" ht="12.5" spans="10:10">
      <c r="J886" s="108"/>
    </row>
    <row r="887" ht="12.5" spans="10:10">
      <c r="J887" s="108"/>
    </row>
    <row r="888" ht="12.5" spans="10:10">
      <c r="J888" s="108"/>
    </row>
    <row r="889" ht="12.5" spans="10:10">
      <c r="J889" s="108"/>
    </row>
    <row r="890" ht="12.5" spans="10:10">
      <c r="J890" s="108"/>
    </row>
    <row r="891" ht="12.5" spans="10:10">
      <c r="J891" s="108"/>
    </row>
    <row r="892" ht="12.5" spans="10:10">
      <c r="J892" s="108"/>
    </row>
    <row r="893" ht="12.5" spans="10:10">
      <c r="J893" s="108"/>
    </row>
    <row r="894" ht="12.5" spans="10:10">
      <c r="J894" s="108"/>
    </row>
    <row r="895" ht="12.5" spans="10:10">
      <c r="J895" s="108"/>
    </row>
    <row r="896" ht="12.5" spans="10:10">
      <c r="J896" s="108"/>
    </row>
    <row r="897" ht="12.5" spans="10:10">
      <c r="J897" s="108"/>
    </row>
    <row r="898" ht="12.5" spans="10:10">
      <c r="J898" s="108"/>
    </row>
    <row r="899" ht="12.5" spans="10:10">
      <c r="J899" s="108"/>
    </row>
    <row r="900" ht="12.5" spans="10:10">
      <c r="J900" s="108"/>
    </row>
    <row r="901" ht="12.5" spans="10:10">
      <c r="J901" s="108"/>
    </row>
    <row r="902" ht="12.5" spans="10:10">
      <c r="J902" s="108"/>
    </row>
    <row r="903" ht="12.5" spans="10:10">
      <c r="J903" s="108"/>
    </row>
    <row r="904" ht="12.5" spans="10:10">
      <c r="J904" s="108"/>
    </row>
    <row r="905" ht="12.5" spans="10:10">
      <c r="J905" s="108"/>
    </row>
    <row r="906" ht="12.5" spans="10:10">
      <c r="J906" s="108"/>
    </row>
    <row r="907" ht="12.5" spans="10:10">
      <c r="J907" s="108"/>
    </row>
    <row r="908" ht="12.5" spans="10:10">
      <c r="J908" s="108"/>
    </row>
    <row r="909" ht="12.5" spans="10:10">
      <c r="J909" s="108"/>
    </row>
    <row r="910" ht="12.5" spans="10:10">
      <c r="J910" s="108"/>
    </row>
    <row r="911" ht="12.5" spans="10:10">
      <c r="J911" s="108"/>
    </row>
    <row r="912" ht="12.5" spans="10:10">
      <c r="J912" s="108"/>
    </row>
    <row r="913" ht="12.5" spans="10:10">
      <c r="J913" s="108"/>
    </row>
    <row r="914" ht="12.5" spans="10:10">
      <c r="J914" s="108"/>
    </row>
    <row r="915" ht="12.5" spans="10:10">
      <c r="J915" s="108"/>
    </row>
    <row r="916" ht="12.5" spans="10:10">
      <c r="J916" s="108"/>
    </row>
    <row r="917" ht="12.5" spans="10:10">
      <c r="J917" s="108"/>
    </row>
    <row r="918" ht="12.5" spans="10:10">
      <c r="J918" s="108"/>
    </row>
    <row r="919" ht="12.5" spans="10:10">
      <c r="J919" s="108"/>
    </row>
    <row r="920" ht="12.5" spans="10:10">
      <c r="J920" s="108"/>
    </row>
    <row r="921" ht="12.5" spans="10:10">
      <c r="J921" s="108"/>
    </row>
    <row r="922" ht="12.5" spans="10:10">
      <c r="J922" s="108"/>
    </row>
    <row r="923" ht="12.5" spans="10:10">
      <c r="J923" s="108"/>
    </row>
    <row r="924" ht="12.5" spans="10:10">
      <c r="J924" s="108"/>
    </row>
    <row r="925" ht="12.5" spans="10:10">
      <c r="J925" s="108"/>
    </row>
    <row r="926" ht="12.5" spans="10:10">
      <c r="J926" s="108"/>
    </row>
    <row r="927" ht="12.5" spans="10:10">
      <c r="J927" s="108"/>
    </row>
    <row r="928" ht="12.5" spans="10:10">
      <c r="J928" s="108"/>
    </row>
    <row r="929" ht="12.5" spans="10:10">
      <c r="J929" s="108"/>
    </row>
    <row r="930" ht="12.5" spans="10:10">
      <c r="J930" s="108"/>
    </row>
    <row r="931" ht="12.5" spans="10:10">
      <c r="J931" s="108"/>
    </row>
    <row r="932" ht="12.5" spans="10:10">
      <c r="J932" s="108"/>
    </row>
    <row r="933" ht="12.5" spans="10:10">
      <c r="J933" s="108"/>
    </row>
    <row r="934" ht="12.5" spans="10:10">
      <c r="J934" s="108"/>
    </row>
    <row r="935" ht="12.5" spans="10:10">
      <c r="J935" s="108"/>
    </row>
    <row r="936" ht="12.5" spans="10:10">
      <c r="J936" s="108"/>
    </row>
    <row r="937" ht="12.5" spans="10:10">
      <c r="J937" s="108"/>
    </row>
    <row r="938" ht="12.5" spans="10:10">
      <c r="J938" s="108"/>
    </row>
    <row r="939" ht="12.5" spans="10:10">
      <c r="J939" s="108"/>
    </row>
    <row r="940" ht="12.5" spans="10:10">
      <c r="J940" s="108"/>
    </row>
    <row r="941" ht="12.5" spans="10:10">
      <c r="J941" s="108"/>
    </row>
    <row r="942" ht="12.5" spans="10:10">
      <c r="J942" s="108"/>
    </row>
    <row r="943" ht="12.5" spans="10:10">
      <c r="J943" s="108"/>
    </row>
    <row r="944" ht="12.5" spans="10:10">
      <c r="J944" s="108"/>
    </row>
    <row r="945" ht="12.5" spans="10:10">
      <c r="J945" s="108"/>
    </row>
    <row r="946" ht="12.5" spans="10:10">
      <c r="J946" s="108"/>
    </row>
    <row r="947" ht="12.5" spans="10:10">
      <c r="J947" s="108"/>
    </row>
    <row r="948" ht="12.5" spans="10:10">
      <c r="J948" s="108"/>
    </row>
    <row r="949" ht="12.5" spans="10:10">
      <c r="J949" s="108"/>
    </row>
    <row r="950" ht="12.5" spans="10:10">
      <c r="J950" s="108"/>
    </row>
    <row r="951" ht="12.5" spans="10:10">
      <c r="J951" s="108"/>
    </row>
    <row r="952" ht="12.5" spans="10:10">
      <c r="J952" s="108"/>
    </row>
    <row r="953" ht="12.5" spans="10:10">
      <c r="J953" s="108"/>
    </row>
    <row r="954" ht="12.5" spans="10:10">
      <c r="J954" s="108"/>
    </row>
    <row r="955" ht="12.5" spans="10:10">
      <c r="J955" s="108"/>
    </row>
    <row r="956" ht="12.5" spans="10:10">
      <c r="J956" s="108"/>
    </row>
    <row r="957" ht="12.5" spans="10:10">
      <c r="J957" s="108"/>
    </row>
    <row r="958" ht="12.5" spans="10:10">
      <c r="J958" s="108"/>
    </row>
    <row r="959" ht="12.5" spans="10:10">
      <c r="J959" s="108"/>
    </row>
    <row r="960" ht="12.5" spans="10:10">
      <c r="J960" s="108"/>
    </row>
    <row r="961" ht="12.5" spans="10:10">
      <c r="J961" s="108"/>
    </row>
    <row r="962" ht="12.5" spans="10:10">
      <c r="J962" s="108"/>
    </row>
    <row r="963" ht="12.5" spans="10:10">
      <c r="J963" s="108"/>
    </row>
    <row r="964" ht="12.5" spans="10:10">
      <c r="J964" s="108"/>
    </row>
    <row r="965" ht="12.5" spans="10:10">
      <c r="J965" s="108"/>
    </row>
    <row r="966" ht="12.5" spans="10:10">
      <c r="J966" s="108"/>
    </row>
    <row r="967" ht="12.5" spans="10:10">
      <c r="J967" s="108"/>
    </row>
    <row r="968" ht="12.5" spans="10:10">
      <c r="J968" s="108"/>
    </row>
    <row r="969" ht="12.5" spans="10:10">
      <c r="J969" s="108"/>
    </row>
    <row r="970" ht="12.5" spans="10:10">
      <c r="J970" s="108"/>
    </row>
    <row r="971" ht="12.5" spans="10:10">
      <c r="J971" s="108"/>
    </row>
    <row r="972" ht="12.5" spans="10:10">
      <c r="J972" s="108"/>
    </row>
    <row r="973" ht="12.5" spans="10:10">
      <c r="J973" s="108"/>
    </row>
    <row r="974" ht="12.5" spans="10:10">
      <c r="J974" s="108"/>
    </row>
    <row r="975" ht="12.5" spans="10:10">
      <c r="J975" s="108"/>
    </row>
    <row r="976" ht="12.5" spans="10:10">
      <c r="J976" s="108"/>
    </row>
    <row r="977" ht="12.5" spans="10:10">
      <c r="J977" s="108"/>
    </row>
    <row r="978" ht="12.5" spans="10:10">
      <c r="J978" s="108"/>
    </row>
    <row r="979" ht="12.5" spans="10:10">
      <c r="J979" s="108"/>
    </row>
    <row r="980" ht="12.5" spans="10:10">
      <c r="J980" s="108"/>
    </row>
    <row r="981" ht="12.5" spans="10:10">
      <c r="J981" s="108"/>
    </row>
    <row r="982" ht="12.5" spans="10:10">
      <c r="J982" s="108"/>
    </row>
    <row r="983" ht="12.5" spans="10:10">
      <c r="J983" s="108"/>
    </row>
    <row r="984" ht="12.5" spans="10:10">
      <c r="J984" s="108"/>
    </row>
    <row r="985" ht="12.5" spans="10:10">
      <c r="J985" s="108"/>
    </row>
    <row r="986" ht="12.5" spans="10:10">
      <c r="J986" s="108"/>
    </row>
    <row r="987" ht="12.5" spans="10:10">
      <c r="J987" s="108"/>
    </row>
    <row r="988" ht="12.5" spans="10:10">
      <c r="J988" s="108"/>
    </row>
    <row r="989" ht="12.5" spans="10:10">
      <c r="J989" s="108"/>
    </row>
    <row r="990" ht="12.5" spans="10:10">
      <c r="J990" s="108"/>
    </row>
    <row r="991" ht="12.5" spans="10:10">
      <c r="J991" s="108"/>
    </row>
    <row r="992" ht="12.5" spans="10:10">
      <c r="J992" s="108"/>
    </row>
    <row r="993" ht="12.5" spans="10:10">
      <c r="J993" s="108"/>
    </row>
    <row r="994" ht="12.5" spans="10:10">
      <c r="J994" s="108"/>
    </row>
    <row r="995" ht="12.5" spans="10:10">
      <c r="J995" s="108"/>
    </row>
    <row r="996" ht="12.5" spans="10:10">
      <c r="J996" s="108"/>
    </row>
    <row r="997" ht="12.5" spans="10:10">
      <c r="J997" s="108"/>
    </row>
    <row r="998" ht="12.5" spans="10:10">
      <c r="J998" s="108"/>
    </row>
    <row r="999" ht="12.5" spans="10:10">
      <c r="J999" s="108"/>
    </row>
    <row r="1000" ht="12.5" spans="10:10">
      <c r="J1000" s="108"/>
    </row>
    <row r="1001" ht="12.5" spans="10:10">
      <c r="J1001" s="108"/>
    </row>
    <row r="1002" ht="12.5" spans="10:10">
      <c r="J1002" s="108"/>
    </row>
    <row r="1003" ht="12.5" spans="10:10">
      <c r="J1003" s="108"/>
    </row>
    <row r="1004" ht="12.5" spans="10:10">
      <c r="J1004" s="108"/>
    </row>
    <row r="1005" ht="12.5" spans="10:10">
      <c r="J1005" s="108"/>
    </row>
    <row r="1006" ht="12.5" spans="10:10">
      <c r="J1006" s="108"/>
    </row>
    <row r="1007" ht="12.5" spans="10:10">
      <c r="J1007" s="108"/>
    </row>
    <row r="1008" ht="12.5" spans="10:10">
      <c r="J1008" s="108"/>
    </row>
    <row r="1009" ht="12.5" spans="10:10">
      <c r="J1009" s="108"/>
    </row>
    <row r="1010" ht="12.5" spans="10:10">
      <c r="J1010" s="108"/>
    </row>
    <row r="1011" ht="12.5" spans="10:10">
      <c r="J1011" s="108"/>
    </row>
    <row r="1012" ht="12.5" spans="10:10">
      <c r="J1012" s="108"/>
    </row>
    <row r="1013" ht="12.5" spans="10:10">
      <c r="J1013" s="108"/>
    </row>
    <row r="1014" ht="12.5" spans="10:10">
      <c r="J1014" s="108"/>
    </row>
  </sheetData>
  <hyperlinks>
    <hyperlink ref="K12" r:id="rId2" display="Atualizada  18/06 -Gestante de Carpina - https://chatconecta.recife.pe.gov.br/live/aqp96nuK877HDFxbX/room-info              Gestante de Jaboatão - https://chat-conecta.recife.pe.gov.br/live/zt6GAgMALLX4z52k4/room-info                            "/>
  </hyperlinks>
  <pageMargins left="0.511811024" right="0.511811024" top="0.787401575" bottom="0.787401575" header="0.31496062" footer="0.31496062"/>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A64D79"/>
    <outlinePr summaryBelow="0" summaryRight="0"/>
  </sheetPr>
  <dimension ref="A1:AX1609"/>
  <sheetViews>
    <sheetView showGridLines="0" workbookViewId="0">
      <pane ySplit="2" topLeftCell="A3" activePane="bottomLeft" state="frozen"/>
      <selection/>
      <selection pane="bottomLeft" activeCell="B4" sqref="B4"/>
    </sheetView>
  </sheetViews>
  <sheetFormatPr defaultColWidth="12.5727272727273" defaultRowHeight="15.75" customHeight="1"/>
  <cols>
    <col min="1" max="1" width="40" customWidth="1"/>
    <col min="2" max="2" width="7.42727272727273" customWidth="1"/>
    <col min="5" max="5" width="26.7090909090909" customWidth="1"/>
    <col min="8" max="8" width="24.5727272727273" customWidth="1"/>
    <col min="11" max="11" width="22.4272727272727" customWidth="1"/>
    <col min="12" max="12" width="14.8545454545455" customWidth="1"/>
    <col min="14" max="14" width="20.2818181818182" customWidth="1"/>
    <col min="17" max="17" width="41.1363636363636" customWidth="1"/>
    <col min="20" max="20" width="21.4272727272727" customWidth="1"/>
    <col min="23" max="23" width="32" customWidth="1"/>
    <col min="26" max="26" width="14.4272727272727" customWidth="1"/>
    <col min="29" max="29" width="25.1363636363636" customWidth="1"/>
    <col min="32" max="32" width="36.1363636363636" customWidth="1"/>
    <col min="35" max="35" width="33.7090909090909" customWidth="1"/>
    <col min="38" max="38" width="37" customWidth="1"/>
    <col min="41" max="41" width="19.5727272727273" customWidth="1"/>
    <col min="42" max="42" width="33.1363636363636" customWidth="1"/>
    <col min="45" max="45" width="23.2818181818182" customWidth="1"/>
  </cols>
  <sheetData>
    <row r="1" ht="13" spans="1:35">
      <c r="A1" s="8"/>
      <c r="E1" s="8"/>
      <c r="H1" s="99"/>
      <c r="K1" s="99"/>
      <c r="AI1" s="11"/>
    </row>
    <row r="2" ht="24" customHeight="1" spans="1:35">
      <c r="A2" s="100" t="s">
        <v>5354</v>
      </c>
      <c r="E2" s="8"/>
      <c r="H2" s="99"/>
      <c r="K2" s="99"/>
      <c r="AI2" s="11"/>
    </row>
    <row r="3" ht="13" spans="1:50">
      <c r="A3" s="101" t="s">
        <v>1</v>
      </c>
      <c r="B3" s="102" t="s">
        <v>5355</v>
      </c>
      <c r="E3" s="103" t="e">
        <v>#REF!</v>
      </c>
      <c r="F3" s="104"/>
      <c r="H3" s="101" t="s">
        <v>9</v>
      </c>
      <c r="I3" s="102" t="s">
        <v>5356</v>
      </c>
      <c r="K3" s="101" t="s">
        <v>5</v>
      </c>
      <c r="L3" s="102" t="s">
        <v>5357</v>
      </c>
      <c r="N3" s="101" t="s">
        <v>6</v>
      </c>
      <c r="O3" s="102" t="s">
        <v>5358</v>
      </c>
      <c r="Q3" s="101" t="s">
        <v>10</v>
      </c>
      <c r="R3" s="102" t="s">
        <v>5359</v>
      </c>
      <c r="T3" s="101" t="s">
        <v>13</v>
      </c>
      <c r="U3" s="102" t="s">
        <v>5359</v>
      </c>
      <c r="W3" s="101" t="s">
        <v>14</v>
      </c>
      <c r="X3" s="102" t="s">
        <v>5360</v>
      </c>
      <c r="Z3" s="101" t="s">
        <v>20</v>
      </c>
      <c r="AA3" s="102" t="s">
        <v>5359</v>
      </c>
      <c r="AC3" s="101" t="s">
        <v>22</v>
      </c>
      <c r="AD3" s="102" t="s">
        <v>5361</v>
      </c>
      <c r="AF3" s="101" t="s">
        <v>23</v>
      </c>
      <c r="AG3" s="102" t="s">
        <v>5362</v>
      </c>
      <c r="AI3" s="101" t="s">
        <v>24</v>
      </c>
      <c r="AJ3" s="102" t="s">
        <v>5363</v>
      </c>
      <c r="AL3" s="101" t="s">
        <v>0</v>
      </c>
      <c r="AM3" s="102" t="s">
        <v>5364</v>
      </c>
      <c r="AO3" s="101" t="s">
        <v>13</v>
      </c>
      <c r="AP3" s="101" t="s">
        <v>23</v>
      </c>
      <c r="AQ3" s="102" t="s">
        <v>5359</v>
      </c>
      <c r="AS3" s="101" t="s">
        <v>13</v>
      </c>
      <c r="AT3" s="101" t="s">
        <v>0</v>
      </c>
      <c r="AU3" s="102" t="s">
        <v>5359</v>
      </c>
      <c r="AW3" s="101" t="s">
        <v>28</v>
      </c>
      <c r="AX3" s="102" t="s">
        <v>5359</v>
      </c>
    </row>
    <row r="4" spans="1:50">
      <c r="A4" s="101" t="s">
        <v>5365</v>
      </c>
      <c r="B4" s="102"/>
      <c r="E4" s="105"/>
      <c r="H4" s="101" t="s">
        <v>2507</v>
      </c>
      <c r="I4" s="102">
        <v>6</v>
      </c>
      <c r="K4" s="101" t="s">
        <v>217</v>
      </c>
      <c r="L4" s="102">
        <v>27</v>
      </c>
      <c r="N4" s="101" t="s">
        <v>135</v>
      </c>
      <c r="O4" s="102">
        <v>32</v>
      </c>
      <c r="Q4" s="101" t="s">
        <v>1168</v>
      </c>
      <c r="R4" s="102">
        <v>1</v>
      </c>
      <c r="T4" s="101" t="s">
        <v>43</v>
      </c>
      <c r="U4" s="102">
        <v>1008</v>
      </c>
      <c r="W4" s="101" t="s">
        <v>44</v>
      </c>
      <c r="X4" s="102">
        <v>957</v>
      </c>
      <c r="Z4" s="101" t="s">
        <v>44</v>
      </c>
      <c r="AA4" s="102">
        <v>618</v>
      </c>
      <c r="AC4" s="101" t="s">
        <v>192</v>
      </c>
      <c r="AD4" s="102">
        <v>5</v>
      </c>
      <c r="AF4" s="101" t="s">
        <v>2332</v>
      </c>
      <c r="AG4" s="102">
        <v>3</v>
      </c>
      <c r="AI4" s="101" t="s">
        <v>784</v>
      </c>
      <c r="AJ4" s="102">
        <v>1</v>
      </c>
      <c r="AL4" s="101" t="s">
        <v>854</v>
      </c>
      <c r="AM4" s="102">
        <v>1</v>
      </c>
      <c r="AO4" s="101" t="s">
        <v>43</v>
      </c>
      <c r="AP4" s="123"/>
      <c r="AQ4" s="102">
        <v>1008</v>
      </c>
      <c r="AS4" s="101" t="s">
        <v>43</v>
      </c>
      <c r="AT4" s="123"/>
      <c r="AU4" s="102">
        <v>1008</v>
      </c>
      <c r="AW4" s="101" t="s">
        <v>854</v>
      </c>
      <c r="AX4" s="102">
        <v>1</v>
      </c>
    </row>
    <row r="5" spans="1:50">
      <c r="A5" s="106" t="s">
        <v>3987</v>
      </c>
      <c r="B5" s="107">
        <v>1</v>
      </c>
      <c r="E5" s="105"/>
      <c r="H5" s="106" t="s">
        <v>2573</v>
      </c>
      <c r="I5" s="107">
        <v>2</v>
      </c>
      <c r="K5" s="106" t="s">
        <v>40</v>
      </c>
      <c r="L5" s="107">
        <v>1268</v>
      </c>
      <c r="N5" s="106" t="s">
        <v>41</v>
      </c>
      <c r="O5" s="107">
        <v>248</v>
      </c>
      <c r="Q5" s="106" t="s">
        <v>719</v>
      </c>
      <c r="R5" s="107">
        <v>1</v>
      </c>
      <c r="T5" s="106" t="s">
        <v>95</v>
      </c>
      <c r="U5" s="107">
        <v>585</v>
      </c>
      <c r="W5" s="106" t="s">
        <v>127</v>
      </c>
      <c r="X5" s="107">
        <v>73</v>
      </c>
      <c r="Z5" s="106" t="s">
        <v>45</v>
      </c>
      <c r="AA5" s="107">
        <v>982</v>
      </c>
      <c r="AC5" s="106" t="s">
        <v>57</v>
      </c>
      <c r="AD5" s="107">
        <v>435</v>
      </c>
      <c r="AF5" s="106" t="s">
        <v>67</v>
      </c>
      <c r="AG5" s="107">
        <v>55</v>
      </c>
      <c r="AI5" s="106" t="s">
        <v>701</v>
      </c>
      <c r="AJ5" s="107">
        <v>1</v>
      </c>
      <c r="AL5" s="106" t="s">
        <v>35</v>
      </c>
      <c r="AM5" s="107">
        <v>1</v>
      </c>
      <c r="AO5" s="101" t="s">
        <v>95</v>
      </c>
      <c r="AP5" s="123"/>
      <c r="AQ5" s="102">
        <v>585</v>
      </c>
      <c r="AS5" s="101" t="s">
        <v>95</v>
      </c>
      <c r="AT5" s="123"/>
      <c r="AU5" s="102">
        <v>585</v>
      </c>
      <c r="AW5" s="106" t="s">
        <v>561</v>
      </c>
      <c r="AX5" s="107">
        <v>3</v>
      </c>
    </row>
    <row r="6" spans="1:50">
      <c r="A6" s="106" t="s">
        <v>2541</v>
      </c>
      <c r="B6" s="107">
        <v>1</v>
      </c>
      <c r="E6" s="11"/>
      <c r="H6" s="106" t="s">
        <v>262</v>
      </c>
      <c r="I6" s="107">
        <v>1</v>
      </c>
      <c r="K6" s="106" t="s">
        <v>225</v>
      </c>
      <c r="L6" s="107">
        <v>304</v>
      </c>
      <c r="N6" s="106" t="s">
        <v>189</v>
      </c>
      <c r="O6" s="107">
        <v>6</v>
      </c>
      <c r="Q6" s="106" t="s">
        <v>253</v>
      </c>
      <c r="R6" s="107">
        <v>1</v>
      </c>
      <c r="T6" s="106" t="s">
        <v>64</v>
      </c>
      <c r="U6" s="107">
        <v>7</v>
      </c>
      <c r="W6" s="106" t="s">
        <v>658</v>
      </c>
      <c r="X6" s="107">
        <v>21</v>
      </c>
      <c r="Z6" s="106" t="s">
        <v>5366</v>
      </c>
      <c r="AA6" s="107">
        <v>1</v>
      </c>
      <c r="AC6" s="106" t="s">
        <v>46</v>
      </c>
      <c r="AD6" s="107">
        <v>1160</v>
      </c>
      <c r="AF6" s="106" t="s">
        <v>156</v>
      </c>
      <c r="AG6" s="107">
        <v>31</v>
      </c>
      <c r="AI6" s="106" t="s">
        <v>48</v>
      </c>
      <c r="AJ6" s="107">
        <v>21</v>
      </c>
      <c r="AL6" s="106" t="s">
        <v>36</v>
      </c>
      <c r="AM6" s="107">
        <v>1</v>
      </c>
      <c r="AO6" s="101" t="s">
        <v>64</v>
      </c>
      <c r="AP6" s="123"/>
      <c r="AQ6" s="102">
        <v>7</v>
      </c>
      <c r="AS6" s="101" t="s">
        <v>64</v>
      </c>
      <c r="AT6" s="123"/>
      <c r="AU6" s="102">
        <v>7</v>
      </c>
      <c r="AW6" s="106" t="s">
        <v>84</v>
      </c>
      <c r="AX6" s="107">
        <v>51</v>
      </c>
    </row>
    <row r="7" ht="14.25" customHeight="1" spans="1:50">
      <c r="A7" s="106" t="s">
        <v>2089</v>
      </c>
      <c r="B7" s="107">
        <v>2</v>
      </c>
      <c r="E7" s="105"/>
      <c r="H7" s="106" t="s">
        <v>145</v>
      </c>
      <c r="I7" s="107">
        <v>1</v>
      </c>
      <c r="K7" s="106" t="s">
        <v>5366</v>
      </c>
      <c r="L7" s="107"/>
      <c r="N7" s="106" t="s">
        <v>83</v>
      </c>
      <c r="O7" s="107">
        <v>21</v>
      </c>
      <c r="Q7" s="106" t="s">
        <v>3560</v>
      </c>
      <c r="R7" s="107">
        <v>1</v>
      </c>
      <c r="T7" s="106" t="s">
        <v>5366</v>
      </c>
      <c r="U7" s="107">
        <v>1</v>
      </c>
      <c r="W7" s="106" t="s">
        <v>3274</v>
      </c>
      <c r="X7" s="107">
        <v>2</v>
      </c>
      <c r="Z7" s="109" t="s">
        <v>5367</v>
      </c>
      <c r="AA7" s="121">
        <v>1601</v>
      </c>
      <c r="AC7" s="106" t="s">
        <v>5366</v>
      </c>
      <c r="AD7" s="107"/>
      <c r="AF7" s="106" t="s">
        <v>47</v>
      </c>
      <c r="AG7" s="107">
        <v>591</v>
      </c>
      <c r="AI7" s="106" t="s">
        <v>68</v>
      </c>
      <c r="AJ7" s="107">
        <v>95</v>
      </c>
      <c r="AL7" s="106" t="s">
        <v>37</v>
      </c>
      <c r="AM7" s="107">
        <v>1</v>
      </c>
      <c r="AO7" s="101" t="s">
        <v>5366</v>
      </c>
      <c r="AP7" s="123"/>
      <c r="AQ7" s="102">
        <v>1</v>
      </c>
      <c r="AS7" s="101" t="s">
        <v>5366</v>
      </c>
      <c r="AT7" s="123"/>
      <c r="AU7" s="102">
        <v>1</v>
      </c>
      <c r="AW7" s="106" t="s">
        <v>4142</v>
      </c>
      <c r="AX7" s="107">
        <v>2</v>
      </c>
    </row>
    <row r="8" spans="1:50">
      <c r="A8" s="106" t="s">
        <v>4401</v>
      </c>
      <c r="B8" s="107">
        <v>2</v>
      </c>
      <c r="E8" s="105"/>
      <c r="H8" s="106" t="s">
        <v>4928</v>
      </c>
      <c r="I8" s="107">
        <v>1</v>
      </c>
      <c r="K8" s="109" t="s">
        <v>5367</v>
      </c>
      <c r="L8" s="121">
        <v>1599</v>
      </c>
      <c r="N8" s="106" t="s">
        <v>54</v>
      </c>
      <c r="O8" s="107">
        <v>1171</v>
      </c>
      <c r="Q8" s="106" t="s">
        <v>4607</v>
      </c>
      <c r="R8" s="107">
        <v>1</v>
      </c>
      <c r="T8" s="109" t="s">
        <v>5367</v>
      </c>
      <c r="U8" s="121">
        <v>1601</v>
      </c>
      <c r="W8" s="106" t="s">
        <v>96</v>
      </c>
      <c r="X8" s="107">
        <v>340</v>
      </c>
      <c r="AC8" s="109" t="s">
        <v>5367</v>
      </c>
      <c r="AD8" s="121">
        <v>1600</v>
      </c>
      <c r="AF8" s="106" t="s">
        <v>303</v>
      </c>
      <c r="AG8" s="107">
        <v>216</v>
      </c>
      <c r="AI8" s="106" t="s">
        <v>885</v>
      </c>
      <c r="AJ8" s="107">
        <v>1</v>
      </c>
      <c r="AL8" s="122">
        <v>44875.5798611111</v>
      </c>
      <c r="AM8" s="107">
        <v>1</v>
      </c>
      <c r="AO8" s="109" t="s">
        <v>5367</v>
      </c>
      <c r="AP8" s="124"/>
      <c r="AQ8" s="121">
        <v>1601</v>
      </c>
      <c r="AS8" s="109" t="s">
        <v>5367</v>
      </c>
      <c r="AT8" s="124"/>
      <c r="AU8" s="121">
        <v>1601</v>
      </c>
      <c r="AW8" s="106" t="s">
        <v>274</v>
      </c>
      <c r="AX8" s="107">
        <v>8</v>
      </c>
    </row>
    <row r="9" spans="1:50">
      <c r="A9" s="106" t="s">
        <v>3809</v>
      </c>
      <c r="B9" s="107">
        <v>2</v>
      </c>
      <c r="E9" s="108"/>
      <c r="H9" s="106" t="s">
        <v>42</v>
      </c>
      <c r="I9" s="107">
        <v>1384</v>
      </c>
      <c r="K9" s="105"/>
      <c r="N9" s="106" t="s">
        <v>88</v>
      </c>
      <c r="O9" s="107">
        <v>122</v>
      </c>
      <c r="Q9" s="106" t="s">
        <v>2407</v>
      </c>
      <c r="R9" s="107">
        <v>1</v>
      </c>
      <c r="W9" s="106" t="s">
        <v>2003</v>
      </c>
      <c r="X9" s="107">
        <v>2</v>
      </c>
      <c r="AF9" s="106" t="s">
        <v>203</v>
      </c>
      <c r="AG9" s="107">
        <v>131</v>
      </c>
      <c r="AI9" s="106" t="s">
        <v>689</v>
      </c>
      <c r="AJ9" s="107">
        <v>1</v>
      </c>
      <c r="AL9" s="122">
        <v>44895.4674537037</v>
      </c>
      <c r="AM9" s="107">
        <v>1</v>
      </c>
      <c r="AW9" s="106" t="s">
        <v>1319</v>
      </c>
      <c r="AX9" s="107">
        <v>13</v>
      </c>
    </row>
    <row r="10" ht="13" spans="1:50">
      <c r="A10" s="106" t="s">
        <v>1644</v>
      </c>
      <c r="B10" s="107">
        <v>3</v>
      </c>
      <c r="E10" s="103" t="s">
        <v>44</v>
      </c>
      <c r="F10" s="104" t="s">
        <v>5368</v>
      </c>
      <c r="H10" s="106" t="s">
        <v>438</v>
      </c>
      <c r="I10" s="107">
        <v>68</v>
      </c>
      <c r="K10" s="108"/>
      <c r="L10" s="105"/>
      <c r="N10" s="106" t="s">
        <v>5366</v>
      </c>
      <c r="O10" s="107"/>
      <c r="Q10" s="106" t="s">
        <v>3673</v>
      </c>
      <c r="R10" s="107">
        <v>1</v>
      </c>
      <c r="W10" s="106" t="s">
        <v>65</v>
      </c>
      <c r="X10" s="107">
        <v>205</v>
      </c>
      <c r="AF10" s="106" t="s">
        <v>97</v>
      </c>
      <c r="AG10" s="107">
        <v>573</v>
      </c>
      <c r="AI10" s="106" t="s">
        <v>933</v>
      </c>
      <c r="AJ10" s="107">
        <v>1</v>
      </c>
      <c r="AL10" s="122">
        <v>44896.6085300926</v>
      </c>
      <c r="AM10" s="107">
        <v>1</v>
      </c>
      <c r="AW10" s="106" t="s">
        <v>75</v>
      </c>
      <c r="AX10" s="107">
        <v>31</v>
      </c>
    </row>
    <row r="11" spans="1:50">
      <c r="A11" s="106" t="s">
        <v>4260</v>
      </c>
      <c r="B11" s="107">
        <v>1</v>
      </c>
      <c r="E11" s="105" t="s">
        <v>44</v>
      </c>
      <c r="F11" s="11">
        <v>106</v>
      </c>
      <c r="H11" s="106" t="s">
        <v>3515</v>
      </c>
      <c r="I11" s="107">
        <v>1</v>
      </c>
      <c r="K11" s="108"/>
      <c r="L11" s="105"/>
      <c r="N11" s="109" t="s">
        <v>5367</v>
      </c>
      <c r="O11" s="121">
        <v>1600</v>
      </c>
      <c r="Q11" s="106" t="s">
        <v>2106</v>
      </c>
      <c r="R11" s="107">
        <v>1</v>
      </c>
      <c r="W11" s="106" t="s">
        <v>5366</v>
      </c>
      <c r="X11" s="107"/>
      <c r="AF11" s="106" t="s">
        <v>5366</v>
      </c>
      <c r="AG11" s="107"/>
      <c r="AI11" s="106" t="s">
        <v>185</v>
      </c>
      <c r="AJ11" s="107">
        <v>17</v>
      </c>
      <c r="AL11" s="122">
        <v>44910.3802083333</v>
      </c>
      <c r="AM11" s="107">
        <v>1</v>
      </c>
      <c r="AW11" s="106" t="s">
        <v>4382</v>
      </c>
      <c r="AX11" s="107">
        <v>2</v>
      </c>
    </row>
    <row r="12" ht="13.5" customHeight="1" spans="1:50">
      <c r="A12" s="106" t="s">
        <v>3939</v>
      </c>
      <c r="B12" s="107">
        <v>4</v>
      </c>
      <c r="E12" s="105" t="s">
        <v>56</v>
      </c>
      <c r="F12" s="11">
        <v>31</v>
      </c>
      <c r="H12" s="106" t="s">
        <v>1861</v>
      </c>
      <c r="I12" s="107">
        <v>1</v>
      </c>
      <c r="K12" s="108"/>
      <c r="L12" s="105"/>
      <c r="Q12" s="106" t="s">
        <v>90</v>
      </c>
      <c r="R12" s="107">
        <v>51</v>
      </c>
      <c r="W12" s="109" t="s">
        <v>5367</v>
      </c>
      <c r="X12" s="121">
        <v>1600</v>
      </c>
      <c r="AF12" s="109" t="s">
        <v>5367</v>
      </c>
      <c r="AG12" s="121">
        <v>1600</v>
      </c>
      <c r="AI12" s="106" t="s">
        <v>97</v>
      </c>
      <c r="AJ12" s="107">
        <v>577</v>
      </c>
      <c r="AL12" s="122">
        <v>44928.3703356481</v>
      </c>
      <c r="AM12" s="107">
        <v>1</v>
      </c>
      <c r="AW12" s="106" t="s">
        <v>50</v>
      </c>
      <c r="AX12" s="107">
        <v>174</v>
      </c>
    </row>
    <row r="13" spans="1:50">
      <c r="A13" s="106" t="s">
        <v>4992</v>
      </c>
      <c r="B13" s="107">
        <v>2</v>
      </c>
      <c r="E13" s="105" t="s">
        <v>66</v>
      </c>
      <c r="F13" s="11">
        <v>61</v>
      </c>
      <c r="H13" s="106" t="s">
        <v>3386</v>
      </c>
      <c r="I13" s="107">
        <v>5</v>
      </c>
      <c r="K13" s="108"/>
      <c r="L13" s="105"/>
      <c r="Q13" s="106" t="s">
        <v>1651</v>
      </c>
      <c r="R13" s="107">
        <v>1</v>
      </c>
      <c r="AI13" s="106" t="s">
        <v>871</v>
      </c>
      <c r="AJ13" s="107">
        <v>1</v>
      </c>
      <c r="AL13" s="122">
        <v>44928.6538657407</v>
      </c>
      <c r="AM13" s="107">
        <v>1</v>
      </c>
      <c r="AW13" s="106" t="s">
        <v>106</v>
      </c>
      <c r="AX13" s="107">
        <v>34</v>
      </c>
    </row>
    <row r="14" spans="1:50">
      <c r="A14" s="106" t="s">
        <v>4331</v>
      </c>
      <c r="B14" s="107">
        <v>1</v>
      </c>
      <c r="E14" s="105" t="s">
        <v>5367</v>
      </c>
      <c r="F14" s="11">
        <v>198</v>
      </c>
      <c r="H14" s="106" t="s">
        <v>81</v>
      </c>
      <c r="I14" s="107">
        <v>129</v>
      </c>
      <c r="K14" s="108"/>
      <c r="L14" s="105"/>
      <c r="Q14" s="106" t="s">
        <v>3302</v>
      </c>
      <c r="R14" s="107">
        <v>1</v>
      </c>
      <c r="AI14" s="106" t="s">
        <v>58</v>
      </c>
      <c r="AJ14" s="107">
        <v>868</v>
      </c>
      <c r="AL14" s="122">
        <v>44929.6335069444</v>
      </c>
      <c r="AM14" s="107">
        <v>1</v>
      </c>
      <c r="AW14" s="106" t="s">
        <v>4117</v>
      </c>
      <c r="AX14" s="107">
        <v>14</v>
      </c>
    </row>
    <row r="15" spans="1:50">
      <c r="A15" s="106" t="s">
        <v>4684</v>
      </c>
      <c r="B15" s="107">
        <v>3</v>
      </c>
      <c r="E15" s="105"/>
      <c r="H15" s="106" t="s">
        <v>102</v>
      </c>
      <c r="I15" s="107">
        <v>1</v>
      </c>
      <c r="K15" s="108"/>
      <c r="L15" s="105"/>
      <c r="Q15" s="106" t="s">
        <v>1121</v>
      </c>
      <c r="R15" s="107">
        <v>1</v>
      </c>
      <c r="AI15" s="106" t="s">
        <v>659</v>
      </c>
      <c r="AJ15" s="107">
        <v>1</v>
      </c>
      <c r="AL15" s="122">
        <v>44929.636400463</v>
      </c>
      <c r="AM15" s="107">
        <v>1</v>
      </c>
      <c r="AW15" s="106" t="s">
        <v>450</v>
      </c>
      <c r="AX15" s="107">
        <v>3</v>
      </c>
    </row>
    <row r="16" spans="1:50">
      <c r="A16" s="106" t="s">
        <v>4384</v>
      </c>
      <c r="B16" s="107">
        <v>2</v>
      </c>
      <c r="E16" s="108"/>
      <c r="H16" s="106" t="s">
        <v>5366</v>
      </c>
      <c r="I16" s="107"/>
      <c r="K16" s="108"/>
      <c r="L16" s="105"/>
      <c r="Q16" s="106" t="s">
        <v>4811</v>
      </c>
      <c r="R16" s="107">
        <v>1</v>
      </c>
      <c r="AI16" s="106" t="s">
        <v>1169</v>
      </c>
      <c r="AJ16" s="107">
        <v>15</v>
      </c>
      <c r="AL16" s="122">
        <v>44937.4859143519</v>
      </c>
      <c r="AM16" s="107">
        <v>1</v>
      </c>
      <c r="AW16" s="106" t="s">
        <v>220</v>
      </c>
      <c r="AX16" s="107">
        <v>1</v>
      </c>
    </row>
    <row r="17" spans="1:50">
      <c r="A17" s="106" t="s">
        <v>817</v>
      </c>
      <c r="B17" s="107">
        <v>4</v>
      </c>
      <c r="E17" s="108"/>
      <c r="H17" s="109" t="s">
        <v>5367</v>
      </c>
      <c r="I17" s="121">
        <v>1600</v>
      </c>
      <c r="K17" s="108"/>
      <c r="L17" s="105"/>
      <c r="Q17" s="106" t="s">
        <v>207</v>
      </c>
      <c r="R17" s="107">
        <v>1</v>
      </c>
      <c r="AI17" s="106" t="s">
        <v>5366</v>
      </c>
      <c r="AJ17" s="107"/>
      <c r="AL17" s="122">
        <v>44937.6171990741</v>
      </c>
      <c r="AM17" s="107">
        <v>1</v>
      </c>
      <c r="AW17" s="106" t="s">
        <v>4129</v>
      </c>
      <c r="AX17" s="107">
        <v>2</v>
      </c>
    </row>
    <row r="18" spans="1:50">
      <c r="A18" s="106" t="s">
        <v>3202</v>
      </c>
      <c r="B18" s="107">
        <v>1</v>
      </c>
      <c r="E18" s="108"/>
      <c r="H18" s="105"/>
      <c r="K18" s="108"/>
      <c r="L18" s="105"/>
      <c r="Q18" s="106" t="s">
        <v>3995</v>
      </c>
      <c r="R18" s="107">
        <v>1</v>
      </c>
      <c r="AI18" s="109" t="s">
        <v>5367</v>
      </c>
      <c r="AJ18" s="121">
        <v>1600</v>
      </c>
      <c r="AL18" s="122">
        <v>44944.4677546296</v>
      </c>
      <c r="AM18" s="107">
        <v>1</v>
      </c>
      <c r="AW18" s="106" t="s">
        <v>3892</v>
      </c>
      <c r="AX18" s="107">
        <v>25</v>
      </c>
    </row>
    <row r="19" spans="1:50">
      <c r="A19" s="106" t="s">
        <v>4378</v>
      </c>
      <c r="B19" s="107">
        <v>3</v>
      </c>
      <c r="E19" s="108"/>
      <c r="H19" s="105"/>
      <c r="K19" s="108"/>
      <c r="L19" s="105"/>
      <c r="Q19" s="106" t="s">
        <v>3950</v>
      </c>
      <c r="R19" s="107">
        <v>1</v>
      </c>
      <c r="AI19" s="11"/>
      <c r="AL19" s="122">
        <v>44950.6535069444</v>
      </c>
      <c r="AM19" s="107">
        <v>1</v>
      </c>
      <c r="AW19" s="106" t="s">
        <v>92</v>
      </c>
      <c r="AX19" s="107">
        <v>143</v>
      </c>
    </row>
    <row r="20" spans="1:50">
      <c r="A20" s="106" t="s">
        <v>4523</v>
      </c>
      <c r="B20" s="107">
        <v>3</v>
      </c>
      <c r="E20" s="108"/>
      <c r="H20" s="105"/>
      <c r="K20" s="108"/>
      <c r="L20" s="105"/>
      <c r="Q20" s="106" t="s">
        <v>3942</v>
      </c>
      <c r="R20" s="107">
        <v>1</v>
      </c>
      <c r="AI20" s="11"/>
      <c r="AL20" s="122">
        <v>44951.6425578704</v>
      </c>
      <c r="AM20" s="107">
        <v>1</v>
      </c>
      <c r="AW20" s="106" t="s">
        <v>256</v>
      </c>
      <c r="AX20" s="107">
        <v>88</v>
      </c>
    </row>
    <row r="21" ht="15.5" spans="1:50">
      <c r="A21" s="106" t="s">
        <v>2205</v>
      </c>
      <c r="B21" s="107">
        <v>4</v>
      </c>
      <c r="E21" s="110" t="s">
        <v>5369</v>
      </c>
      <c r="F21" s="111">
        <v>289</v>
      </c>
      <c r="H21" s="112" t="s">
        <v>5370</v>
      </c>
      <c r="K21" s="108"/>
      <c r="L21" s="105"/>
      <c r="Q21" s="106" t="s">
        <v>3726</v>
      </c>
      <c r="R21" s="107">
        <v>1</v>
      </c>
      <c r="AI21" s="11"/>
      <c r="AL21" s="122">
        <v>44952.6298726852</v>
      </c>
      <c r="AM21" s="107">
        <v>1</v>
      </c>
      <c r="AW21" s="106" t="s">
        <v>5366</v>
      </c>
      <c r="AX21" s="107">
        <v>1006</v>
      </c>
    </row>
    <row r="22" ht="15.5" spans="1:50">
      <c r="A22" s="106" t="s">
        <v>4666</v>
      </c>
      <c r="B22" s="107">
        <v>5</v>
      </c>
      <c r="E22" s="113" t="s">
        <v>5371</v>
      </c>
      <c r="F22" s="114">
        <v>592</v>
      </c>
      <c r="H22" s="105"/>
      <c r="K22" s="108"/>
      <c r="L22" s="105"/>
      <c r="Q22" s="106" t="s">
        <v>2641</v>
      </c>
      <c r="R22" s="107">
        <v>1</v>
      </c>
      <c r="AI22" s="11"/>
      <c r="AL22" s="122">
        <v>44953.3730787037</v>
      </c>
      <c r="AM22" s="107">
        <v>1</v>
      </c>
      <c r="AW22" s="109" t="s">
        <v>5367</v>
      </c>
      <c r="AX22" s="121">
        <v>1601</v>
      </c>
    </row>
    <row r="23" spans="1:39">
      <c r="A23" s="106" t="s">
        <v>1199</v>
      </c>
      <c r="B23" s="107">
        <v>2</v>
      </c>
      <c r="E23" s="105"/>
      <c r="H23" s="105"/>
      <c r="K23" s="108"/>
      <c r="L23" s="105"/>
      <c r="Q23" s="106" t="s">
        <v>2658</v>
      </c>
      <c r="R23" s="107">
        <v>1</v>
      </c>
      <c r="AI23" s="11"/>
      <c r="AL23" s="122">
        <v>44987.5755671296</v>
      </c>
      <c r="AM23" s="107">
        <v>1</v>
      </c>
    </row>
    <row r="24" ht="13" spans="1:39">
      <c r="A24" s="106" t="s">
        <v>3723</v>
      </c>
      <c r="B24" s="107">
        <v>1</v>
      </c>
      <c r="E24" s="115">
        <v>45258</v>
      </c>
      <c r="F24" s="116"/>
      <c r="H24" s="105"/>
      <c r="L24" s="105"/>
      <c r="Q24" s="106" t="s">
        <v>3703</v>
      </c>
      <c r="R24" s="107">
        <v>1</v>
      </c>
      <c r="AI24" s="11"/>
      <c r="AL24" s="122">
        <v>45002.504375</v>
      </c>
      <c r="AM24" s="107">
        <v>1</v>
      </c>
    </row>
    <row r="25" ht="15.5" spans="1:39">
      <c r="A25" s="106" t="s">
        <v>2752</v>
      </c>
      <c r="B25" s="107">
        <v>1</v>
      </c>
      <c r="E25" s="117" t="s">
        <v>5369</v>
      </c>
      <c r="F25" s="114">
        <v>394</v>
      </c>
      <c r="H25" s="105"/>
      <c r="L25" s="105"/>
      <c r="Q25" s="106" t="s">
        <v>1887</v>
      </c>
      <c r="R25" s="107">
        <v>1</v>
      </c>
      <c r="AI25" s="11"/>
      <c r="AL25" s="122">
        <v>45002.7280671296</v>
      </c>
      <c r="AM25" s="107">
        <v>1</v>
      </c>
    </row>
    <row r="26" ht="15.5" spans="1:39">
      <c r="A26" s="106" t="s">
        <v>896</v>
      </c>
      <c r="B26" s="107">
        <v>3</v>
      </c>
      <c r="E26" s="117" t="s">
        <v>5371</v>
      </c>
      <c r="F26" s="114">
        <v>789</v>
      </c>
      <c r="H26" s="105"/>
      <c r="L26" s="105"/>
      <c r="Q26" s="106" t="s">
        <v>3153</v>
      </c>
      <c r="R26" s="107">
        <v>1</v>
      </c>
      <c r="AI26" s="11"/>
      <c r="AL26" s="122">
        <v>45005.4259606482</v>
      </c>
      <c r="AM26" s="107">
        <v>1</v>
      </c>
    </row>
    <row r="27" ht="15.5" spans="1:39">
      <c r="A27" s="106" t="s">
        <v>1972</v>
      </c>
      <c r="B27" s="107">
        <v>4</v>
      </c>
      <c r="E27" s="99"/>
      <c r="F27" s="118"/>
      <c r="H27" s="105"/>
      <c r="L27" s="105"/>
      <c r="Q27" s="106" t="s">
        <v>2232</v>
      </c>
      <c r="R27" s="107">
        <v>3</v>
      </c>
      <c r="AI27" s="11"/>
      <c r="AL27" s="122">
        <v>45006.6615972222</v>
      </c>
      <c r="AM27" s="107">
        <v>1</v>
      </c>
    </row>
    <row r="28" ht="15.5" spans="1:39">
      <c r="A28" s="106" t="s">
        <v>964</v>
      </c>
      <c r="B28" s="107">
        <v>7</v>
      </c>
      <c r="E28" s="119"/>
      <c r="F28" s="118"/>
      <c r="H28" s="105"/>
      <c r="L28" s="105"/>
      <c r="Q28" s="106" t="s">
        <v>237</v>
      </c>
      <c r="R28" s="107">
        <v>1</v>
      </c>
      <c r="AI28" s="11"/>
      <c r="AL28" s="122">
        <v>45021.5075925926</v>
      </c>
      <c r="AM28" s="107">
        <v>1</v>
      </c>
    </row>
    <row r="29" ht="13" spans="1:39">
      <c r="A29" s="106" t="s">
        <v>3317</v>
      </c>
      <c r="B29" s="107">
        <v>1</v>
      </c>
      <c r="E29" s="120"/>
      <c r="H29" s="105"/>
      <c r="L29" s="105"/>
      <c r="Q29" s="106" t="s">
        <v>278</v>
      </c>
      <c r="R29" s="107">
        <v>1</v>
      </c>
      <c r="AI29" s="11"/>
      <c r="AL29" s="122">
        <v>45023.4291435185</v>
      </c>
      <c r="AM29" s="107">
        <v>1</v>
      </c>
    </row>
    <row r="30" spans="1:39">
      <c r="A30" s="106" t="s">
        <v>2798</v>
      </c>
      <c r="B30" s="107">
        <v>1</v>
      </c>
      <c r="E30" s="105"/>
      <c r="H30" s="105"/>
      <c r="L30" s="105"/>
      <c r="Q30" s="106" t="s">
        <v>3537</v>
      </c>
      <c r="R30" s="107">
        <v>1</v>
      </c>
      <c r="AI30" s="11"/>
      <c r="AL30" s="122">
        <v>45034.7101967593</v>
      </c>
      <c r="AM30" s="107">
        <v>1</v>
      </c>
    </row>
    <row r="31" ht="26" spans="1:39">
      <c r="A31" s="106" t="s">
        <v>2836</v>
      </c>
      <c r="B31" s="107">
        <v>1</v>
      </c>
      <c r="E31" s="112" t="s">
        <v>5372</v>
      </c>
      <c r="F31" s="111"/>
      <c r="H31" s="105"/>
      <c r="L31" s="105"/>
      <c r="Q31" s="106" t="s">
        <v>2353</v>
      </c>
      <c r="R31" s="107">
        <v>1</v>
      </c>
      <c r="AI31" s="11"/>
      <c r="AL31" s="122">
        <v>45035.613125</v>
      </c>
      <c r="AM31" s="107">
        <v>1</v>
      </c>
    </row>
    <row r="32" ht="15.5" spans="1:39">
      <c r="A32" s="106" t="s">
        <v>363</v>
      </c>
      <c r="B32" s="107">
        <v>5</v>
      </c>
      <c r="E32" s="110" t="s">
        <v>5373</v>
      </c>
      <c r="F32" s="114">
        <v>459</v>
      </c>
      <c r="H32" s="105"/>
      <c r="L32" s="105"/>
      <c r="Q32" s="106" t="s">
        <v>1734</v>
      </c>
      <c r="R32" s="107">
        <v>1</v>
      </c>
      <c r="AI32" s="11"/>
      <c r="AL32" s="122">
        <v>45036.3914583333</v>
      </c>
      <c r="AM32" s="107">
        <v>1</v>
      </c>
    </row>
    <row r="33" ht="15.5" spans="1:39">
      <c r="A33" s="106" t="s">
        <v>3344</v>
      </c>
      <c r="B33" s="107">
        <v>2</v>
      </c>
      <c r="E33" s="113" t="s">
        <v>5371</v>
      </c>
      <c r="F33" s="114">
        <v>933</v>
      </c>
      <c r="H33" s="105"/>
      <c r="L33" s="105"/>
      <c r="Q33" s="106" t="s">
        <v>63</v>
      </c>
      <c r="R33" s="107">
        <v>102</v>
      </c>
      <c r="AI33" s="11"/>
      <c r="AL33" s="122">
        <v>45037.3759259259</v>
      </c>
      <c r="AM33" s="107">
        <v>1</v>
      </c>
    </row>
    <row r="34" spans="1:39">
      <c r="A34" s="106" t="s">
        <v>4681</v>
      </c>
      <c r="B34" s="107">
        <v>2</v>
      </c>
      <c r="E34" s="108"/>
      <c r="H34" s="105"/>
      <c r="L34" s="105"/>
      <c r="Q34" s="106" t="s">
        <v>1077</v>
      </c>
      <c r="R34" s="107">
        <v>1</v>
      </c>
      <c r="AI34" s="11"/>
      <c r="AL34" s="122">
        <v>45040.677974537</v>
      </c>
      <c r="AM34" s="107">
        <v>1</v>
      </c>
    </row>
    <row r="35" ht="39" spans="1:39">
      <c r="A35" s="106" t="s">
        <v>418</v>
      </c>
      <c r="B35" s="107">
        <v>1</v>
      </c>
      <c r="E35" s="112" t="s">
        <v>5374</v>
      </c>
      <c r="F35" s="111"/>
      <c r="H35" s="105"/>
      <c r="L35" s="105"/>
      <c r="Q35" s="106" t="s">
        <v>1750</v>
      </c>
      <c r="R35" s="107">
        <v>1</v>
      </c>
      <c r="AI35" s="11"/>
      <c r="AL35" s="122">
        <v>45048.6319212963</v>
      </c>
      <c r="AM35" s="107">
        <v>1</v>
      </c>
    </row>
    <row r="36" ht="15.5" spans="1:39">
      <c r="A36" s="106" t="s">
        <v>3791</v>
      </c>
      <c r="B36" s="107">
        <v>1</v>
      </c>
      <c r="E36" s="110" t="s">
        <v>5369</v>
      </c>
      <c r="F36" s="114">
        <v>84</v>
      </c>
      <c r="H36" s="105"/>
      <c r="L36" s="105"/>
      <c r="Q36" s="106" t="s">
        <v>1741</v>
      </c>
      <c r="R36" s="107">
        <v>1</v>
      </c>
      <c r="AI36" s="11"/>
      <c r="AL36" s="122">
        <v>45049.4925810185</v>
      </c>
      <c r="AM36" s="107">
        <v>1</v>
      </c>
    </row>
    <row r="37" ht="15.5" spans="1:39">
      <c r="A37" s="106" t="s">
        <v>2147</v>
      </c>
      <c r="B37" s="107">
        <v>3</v>
      </c>
      <c r="E37" s="113" t="s">
        <v>5371</v>
      </c>
      <c r="F37" s="114">
        <v>159</v>
      </c>
      <c r="H37" s="105"/>
      <c r="L37" s="105"/>
      <c r="Q37" s="106" t="s">
        <v>2245</v>
      </c>
      <c r="R37" s="107">
        <v>1</v>
      </c>
      <c r="AI37" s="11"/>
      <c r="AL37" s="122">
        <v>45050.6588888889</v>
      </c>
      <c r="AM37" s="107">
        <v>1</v>
      </c>
    </row>
    <row r="38" spans="1:39">
      <c r="A38" s="106" t="s">
        <v>3753</v>
      </c>
      <c r="B38" s="107">
        <v>3</v>
      </c>
      <c r="E38" s="108"/>
      <c r="H38" s="105"/>
      <c r="L38" s="105"/>
      <c r="Q38" s="106" t="s">
        <v>3622</v>
      </c>
      <c r="R38" s="107">
        <v>1</v>
      </c>
      <c r="AI38" s="11"/>
      <c r="AL38" s="122">
        <v>45051.6918171296</v>
      </c>
      <c r="AM38" s="107">
        <v>1</v>
      </c>
    </row>
    <row r="39" ht="13" spans="1:39">
      <c r="A39" s="106" t="s">
        <v>2688</v>
      </c>
      <c r="B39" s="107">
        <v>2</v>
      </c>
      <c r="E39" s="75" t="s">
        <v>5375</v>
      </c>
      <c r="H39" s="99"/>
      <c r="K39" s="99"/>
      <c r="Q39" s="106" t="s">
        <v>3849</v>
      </c>
      <c r="R39" s="107">
        <v>1</v>
      </c>
      <c r="AI39" s="11"/>
      <c r="AL39" s="122">
        <v>45054.4539467593</v>
      </c>
      <c r="AM39" s="107">
        <v>1</v>
      </c>
    </row>
    <row r="40" spans="1:39">
      <c r="A40" s="106" t="s">
        <v>4408</v>
      </c>
      <c r="B40" s="107">
        <v>1</v>
      </c>
      <c r="E40" s="105"/>
      <c r="H40" s="105"/>
      <c r="K40" s="105"/>
      <c r="Q40" s="106" t="s">
        <v>2902</v>
      </c>
      <c r="R40" s="107">
        <v>1</v>
      </c>
      <c r="AI40" s="11"/>
      <c r="AL40" s="122">
        <v>45054.6239930556</v>
      </c>
      <c r="AM40" s="107">
        <v>1</v>
      </c>
    </row>
    <row r="41" spans="1:39">
      <c r="A41" s="106" t="s">
        <v>383</v>
      </c>
      <c r="B41" s="107">
        <v>3</v>
      </c>
      <c r="E41" s="105"/>
      <c r="H41" s="105"/>
      <c r="K41" s="105"/>
      <c r="Q41" s="106" t="s">
        <v>2709</v>
      </c>
      <c r="R41" s="107">
        <v>1</v>
      </c>
      <c r="AI41" s="11"/>
      <c r="AL41" s="122">
        <v>45054.7408912037</v>
      </c>
      <c r="AM41" s="107">
        <v>1</v>
      </c>
    </row>
    <row r="42" spans="1:39">
      <c r="A42" s="106" t="s">
        <v>332</v>
      </c>
      <c r="B42" s="107">
        <v>1</v>
      </c>
      <c r="E42" s="105"/>
      <c r="H42" s="105"/>
      <c r="K42" s="105"/>
      <c r="Q42" s="106" t="s">
        <v>385</v>
      </c>
      <c r="R42" s="107">
        <v>2</v>
      </c>
      <c r="AI42" s="11"/>
      <c r="AL42" s="122">
        <v>45056.5269097222</v>
      </c>
      <c r="AM42" s="107">
        <v>1</v>
      </c>
    </row>
    <row r="43" spans="1:39">
      <c r="A43" s="106" t="s">
        <v>2333</v>
      </c>
      <c r="B43" s="107">
        <v>1</v>
      </c>
      <c r="E43" s="105"/>
      <c r="H43" s="105"/>
      <c r="K43" s="105"/>
      <c r="Q43" s="106" t="s">
        <v>174</v>
      </c>
      <c r="R43" s="107">
        <v>2</v>
      </c>
      <c r="AI43" s="11"/>
      <c r="AL43" s="122">
        <v>45062.7519328704</v>
      </c>
      <c r="AM43" s="107">
        <v>1</v>
      </c>
    </row>
    <row r="44" spans="1:39">
      <c r="A44" s="106" t="s">
        <v>2175</v>
      </c>
      <c r="B44" s="107">
        <v>2</v>
      </c>
      <c r="E44" s="105"/>
      <c r="H44" s="105"/>
      <c r="K44" s="105"/>
      <c r="Q44" s="106" t="s">
        <v>2340</v>
      </c>
      <c r="R44" s="107">
        <v>3</v>
      </c>
      <c r="AI44" s="11"/>
      <c r="AL44" s="122">
        <v>45076.4904166667</v>
      </c>
      <c r="AM44" s="107">
        <v>1</v>
      </c>
    </row>
    <row r="45" spans="1:39">
      <c r="A45" s="106" t="s">
        <v>3047</v>
      </c>
      <c r="B45" s="107">
        <v>2</v>
      </c>
      <c r="E45" s="105"/>
      <c r="H45" s="105"/>
      <c r="K45" s="105"/>
      <c r="Q45" s="106" t="s">
        <v>3667</v>
      </c>
      <c r="R45" s="107">
        <v>1</v>
      </c>
      <c r="AI45" s="11"/>
      <c r="AL45" s="122">
        <v>45076.7719791667</v>
      </c>
      <c r="AM45" s="107">
        <v>1</v>
      </c>
    </row>
    <row r="46" spans="1:39">
      <c r="A46" s="106" t="s">
        <v>1483</v>
      </c>
      <c r="B46" s="107">
        <v>1</v>
      </c>
      <c r="E46" s="108"/>
      <c r="H46" s="105"/>
      <c r="L46" s="105"/>
      <c r="Q46" s="106" t="s">
        <v>3682</v>
      </c>
      <c r="R46" s="107">
        <v>1</v>
      </c>
      <c r="AI46" s="11"/>
      <c r="AL46" s="122">
        <v>45076.8088888889</v>
      </c>
      <c r="AM46" s="107">
        <v>1</v>
      </c>
    </row>
    <row r="47" spans="1:39">
      <c r="A47" s="101" t="s">
        <v>187</v>
      </c>
      <c r="B47" s="102">
        <v>2</v>
      </c>
      <c r="E47" s="108"/>
      <c r="H47" s="105"/>
      <c r="L47" s="105"/>
      <c r="Q47" s="106" t="s">
        <v>4677</v>
      </c>
      <c r="R47" s="107">
        <v>1</v>
      </c>
      <c r="AI47" s="11"/>
      <c r="AL47" s="122">
        <v>45077.4296759259</v>
      </c>
      <c r="AM47" s="107">
        <v>1</v>
      </c>
    </row>
    <row r="48" spans="1:39">
      <c r="A48" s="101" t="s">
        <v>171</v>
      </c>
      <c r="B48" s="102">
        <v>4</v>
      </c>
      <c r="E48" s="108"/>
      <c r="H48" s="105"/>
      <c r="L48" s="105"/>
      <c r="Q48" s="106" t="s">
        <v>3379</v>
      </c>
      <c r="R48" s="107">
        <v>1</v>
      </c>
      <c r="AI48" s="11"/>
      <c r="AL48" s="122">
        <v>45077.6298842593</v>
      </c>
      <c r="AM48" s="107">
        <v>1</v>
      </c>
    </row>
    <row r="49" spans="1:39">
      <c r="A49" s="101" t="s">
        <v>4530</v>
      </c>
      <c r="B49" s="102">
        <v>2</v>
      </c>
      <c r="E49" s="108"/>
      <c r="H49" s="105"/>
      <c r="L49" s="105"/>
      <c r="Q49" s="106" t="s">
        <v>2712</v>
      </c>
      <c r="R49" s="107">
        <v>1</v>
      </c>
      <c r="AI49" s="11"/>
      <c r="AL49" s="122">
        <v>45077.6681365741</v>
      </c>
      <c r="AM49" s="107">
        <v>1</v>
      </c>
    </row>
    <row r="50" spans="1:39">
      <c r="A50" s="106" t="s">
        <v>2565</v>
      </c>
      <c r="B50" s="107">
        <v>1</v>
      </c>
      <c r="E50" s="108"/>
      <c r="H50" s="105"/>
      <c r="L50" s="105"/>
      <c r="Q50" s="106" t="s">
        <v>3698</v>
      </c>
      <c r="R50" s="107">
        <v>1</v>
      </c>
      <c r="AI50" s="11"/>
      <c r="AL50" s="122">
        <v>45077.6906134259</v>
      </c>
      <c r="AM50" s="107">
        <v>1</v>
      </c>
    </row>
    <row r="51" spans="1:39">
      <c r="A51" s="106" t="s">
        <v>3463</v>
      </c>
      <c r="B51" s="107">
        <v>4</v>
      </c>
      <c r="E51" s="108"/>
      <c r="H51" s="105"/>
      <c r="L51" s="105"/>
      <c r="Q51" s="106" t="s">
        <v>1469</v>
      </c>
      <c r="R51" s="107">
        <v>2</v>
      </c>
      <c r="AI51" s="11"/>
      <c r="AL51" s="122">
        <v>45077.6916898148</v>
      </c>
      <c r="AM51" s="107">
        <v>1</v>
      </c>
    </row>
    <row r="52" spans="1:39">
      <c r="A52" s="106" t="s">
        <v>4037</v>
      </c>
      <c r="B52" s="107">
        <v>1</v>
      </c>
      <c r="E52" s="108"/>
      <c r="H52" s="105"/>
      <c r="L52" s="105"/>
      <c r="Q52" s="106" t="s">
        <v>4724</v>
      </c>
      <c r="R52" s="107">
        <v>1</v>
      </c>
      <c r="AI52" s="11"/>
      <c r="AL52" s="122">
        <v>45078.349849537</v>
      </c>
      <c r="AM52" s="107">
        <v>1</v>
      </c>
    </row>
    <row r="53" spans="1:39">
      <c r="A53" s="106" t="s">
        <v>3110</v>
      </c>
      <c r="B53" s="107">
        <v>4</v>
      </c>
      <c r="E53" s="108"/>
      <c r="H53" s="105"/>
      <c r="L53" s="105"/>
      <c r="Q53" s="106" t="s">
        <v>2552</v>
      </c>
      <c r="R53" s="107">
        <v>2</v>
      </c>
      <c r="AI53" s="11"/>
      <c r="AL53" s="122">
        <v>45078.3685648148</v>
      </c>
      <c r="AM53" s="107">
        <v>1</v>
      </c>
    </row>
    <row r="54" spans="1:39">
      <c r="A54" s="106" t="s">
        <v>3383</v>
      </c>
      <c r="B54" s="107">
        <v>1</v>
      </c>
      <c r="E54" s="108"/>
      <c r="H54" s="105"/>
      <c r="L54" s="105"/>
      <c r="Q54" s="106" t="s">
        <v>2044</v>
      </c>
      <c r="R54" s="107">
        <v>1</v>
      </c>
      <c r="AI54" s="11"/>
      <c r="AL54" s="122">
        <v>45078.4567708333</v>
      </c>
      <c r="AM54" s="107">
        <v>1</v>
      </c>
    </row>
    <row r="55" spans="1:39">
      <c r="A55" s="106" t="s">
        <v>811</v>
      </c>
      <c r="B55" s="107">
        <v>3</v>
      </c>
      <c r="E55" s="108"/>
      <c r="H55" s="105"/>
      <c r="L55" s="105"/>
      <c r="Q55" s="106" t="s">
        <v>889</v>
      </c>
      <c r="R55" s="107">
        <v>1</v>
      </c>
      <c r="AI55" s="11"/>
      <c r="AL55" s="122">
        <v>45078.5031365741</v>
      </c>
      <c r="AM55" s="107">
        <v>1</v>
      </c>
    </row>
    <row r="56" spans="1:39">
      <c r="A56" s="101" t="s">
        <v>52</v>
      </c>
      <c r="B56" s="102">
        <v>2</v>
      </c>
      <c r="E56" s="108"/>
      <c r="H56" s="105"/>
      <c r="L56" s="105"/>
      <c r="Q56" s="106" t="s">
        <v>564</v>
      </c>
      <c r="R56" s="107">
        <v>9</v>
      </c>
      <c r="AI56" s="11"/>
      <c r="AL56" s="122">
        <v>45078.5290162037</v>
      </c>
      <c r="AM56" s="107">
        <v>1</v>
      </c>
    </row>
    <row r="57" spans="1:39">
      <c r="A57" s="101" t="s">
        <v>1823</v>
      </c>
      <c r="B57" s="102">
        <v>4</v>
      </c>
      <c r="E57" s="108"/>
      <c r="H57" s="105"/>
      <c r="L57" s="105"/>
      <c r="Q57" s="106" t="s">
        <v>1356</v>
      </c>
      <c r="R57" s="107">
        <v>1</v>
      </c>
      <c r="AI57" s="11"/>
      <c r="AL57" s="122">
        <v>45078.7708796296</v>
      </c>
      <c r="AM57" s="107">
        <v>1</v>
      </c>
    </row>
    <row r="58" spans="1:39">
      <c r="A58" s="106" t="s">
        <v>4468</v>
      </c>
      <c r="B58" s="107">
        <v>2</v>
      </c>
      <c r="E58" s="108"/>
      <c r="H58" s="105"/>
      <c r="L58" s="105"/>
      <c r="Q58" s="106" t="s">
        <v>4304</v>
      </c>
      <c r="R58" s="107">
        <v>1</v>
      </c>
      <c r="AI58" s="11"/>
      <c r="AL58" s="122">
        <v>45079.4291666667</v>
      </c>
      <c r="AM58" s="107">
        <v>1</v>
      </c>
    </row>
    <row r="59" spans="1:39">
      <c r="A59" s="106" t="s">
        <v>3797</v>
      </c>
      <c r="B59" s="107">
        <v>3</v>
      </c>
      <c r="E59" s="108"/>
      <c r="H59" s="105"/>
      <c r="L59" s="105"/>
      <c r="Q59" s="106" t="s">
        <v>3310</v>
      </c>
      <c r="R59" s="107">
        <v>2</v>
      </c>
      <c r="AI59" s="11"/>
      <c r="AL59" s="122">
        <v>45079.4796412037</v>
      </c>
      <c r="AM59" s="107">
        <v>1</v>
      </c>
    </row>
    <row r="60" spans="1:39">
      <c r="A60" s="106" t="s">
        <v>343</v>
      </c>
      <c r="B60" s="107">
        <v>5</v>
      </c>
      <c r="E60" s="108"/>
      <c r="H60" s="105"/>
      <c r="L60" s="105"/>
      <c r="Q60" s="106" t="s">
        <v>2180</v>
      </c>
      <c r="R60" s="107">
        <v>1</v>
      </c>
      <c r="AI60" s="11"/>
      <c r="AL60" s="122">
        <v>45079.4797453704</v>
      </c>
      <c r="AM60" s="107">
        <v>1</v>
      </c>
    </row>
    <row r="61" spans="1:39">
      <c r="A61" s="106" t="s">
        <v>3890</v>
      </c>
      <c r="B61" s="107">
        <v>3</v>
      </c>
      <c r="E61" s="108"/>
      <c r="H61" s="105"/>
      <c r="L61" s="105"/>
      <c r="Q61" s="106" t="s">
        <v>710</v>
      </c>
      <c r="R61" s="107">
        <v>1</v>
      </c>
      <c r="AI61" s="11"/>
      <c r="AL61" s="122">
        <v>45079.5322453704</v>
      </c>
      <c r="AM61" s="107">
        <v>1</v>
      </c>
    </row>
    <row r="62" spans="1:39">
      <c r="A62" s="106" t="s">
        <v>3870</v>
      </c>
      <c r="B62" s="107">
        <v>1</v>
      </c>
      <c r="E62" s="108"/>
      <c r="H62" s="105"/>
      <c r="L62" s="105"/>
      <c r="Q62" s="106" t="s">
        <v>4195</v>
      </c>
      <c r="R62" s="107">
        <v>2</v>
      </c>
      <c r="AI62" s="11"/>
      <c r="AL62" s="122">
        <v>45079.744224537</v>
      </c>
      <c r="AM62" s="107">
        <v>1</v>
      </c>
    </row>
    <row r="63" spans="1:39">
      <c r="A63" s="106" t="s">
        <v>442</v>
      </c>
      <c r="B63" s="107">
        <v>7</v>
      </c>
      <c r="E63" s="108"/>
      <c r="H63" s="105"/>
      <c r="L63" s="105"/>
      <c r="Q63" s="106" t="s">
        <v>529</v>
      </c>
      <c r="R63" s="107">
        <v>2</v>
      </c>
      <c r="AI63" s="11"/>
      <c r="AL63" s="122">
        <v>45080.3731597222</v>
      </c>
      <c r="AM63" s="107">
        <v>1</v>
      </c>
    </row>
    <row r="64" spans="1:39">
      <c r="A64" s="106" t="s">
        <v>1253</v>
      </c>
      <c r="B64" s="107">
        <v>1</v>
      </c>
      <c r="E64" s="108"/>
      <c r="H64" s="105"/>
      <c r="L64" s="105"/>
      <c r="Q64" s="106" t="s">
        <v>2276</v>
      </c>
      <c r="R64" s="107">
        <v>2</v>
      </c>
      <c r="AI64" s="11"/>
      <c r="AL64" s="122">
        <v>45080.4289583333</v>
      </c>
      <c r="AM64" s="107">
        <v>1</v>
      </c>
    </row>
    <row r="65" ht="13" spans="1:39">
      <c r="A65" s="106" t="s">
        <v>1988</v>
      </c>
      <c r="B65" s="107">
        <v>1</v>
      </c>
      <c r="E65" s="99"/>
      <c r="H65" s="99"/>
      <c r="K65" s="99"/>
      <c r="Q65" s="106" t="s">
        <v>421</v>
      </c>
      <c r="R65" s="107">
        <v>1</v>
      </c>
      <c r="AI65" s="11"/>
      <c r="AL65" s="122">
        <v>45080.6852199074</v>
      </c>
      <c r="AM65" s="107">
        <v>1</v>
      </c>
    </row>
    <row r="66" spans="1:39">
      <c r="A66" s="106" t="s">
        <v>2887</v>
      </c>
      <c r="B66" s="107">
        <v>1</v>
      </c>
      <c r="E66" s="105"/>
      <c r="H66" s="105"/>
      <c r="K66" s="105"/>
      <c r="Q66" s="106" t="s">
        <v>4425</v>
      </c>
      <c r="R66" s="107">
        <v>1</v>
      </c>
      <c r="AI66" s="11"/>
      <c r="AL66" s="122">
        <v>45080.7844560185</v>
      </c>
      <c r="AM66" s="107">
        <v>1</v>
      </c>
    </row>
    <row r="67" spans="1:39">
      <c r="A67" s="106" t="s">
        <v>1928</v>
      </c>
      <c r="B67" s="107">
        <v>4</v>
      </c>
      <c r="E67" s="105"/>
      <c r="H67" s="105"/>
      <c r="K67" s="105"/>
      <c r="Q67" s="106" t="s">
        <v>74</v>
      </c>
      <c r="R67" s="107">
        <v>115</v>
      </c>
      <c r="AI67" s="11"/>
      <c r="AL67" s="122">
        <v>45081.4172106481</v>
      </c>
      <c r="AM67" s="107">
        <v>1</v>
      </c>
    </row>
    <row r="68" spans="1:39">
      <c r="A68" s="106" t="s">
        <v>1541</v>
      </c>
      <c r="B68" s="107">
        <v>1</v>
      </c>
      <c r="E68" s="105"/>
      <c r="H68" s="105"/>
      <c r="K68" s="105"/>
      <c r="Q68" s="106" t="s">
        <v>4149</v>
      </c>
      <c r="R68" s="107">
        <v>1</v>
      </c>
      <c r="AI68" s="11"/>
      <c r="AL68" s="122">
        <v>45081.5053125</v>
      </c>
      <c r="AM68" s="107">
        <v>1</v>
      </c>
    </row>
    <row r="69" spans="1:39">
      <c r="A69" s="106" t="s">
        <v>1098</v>
      </c>
      <c r="B69" s="107">
        <v>8</v>
      </c>
      <c r="E69" s="105"/>
      <c r="H69" s="105"/>
      <c r="K69" s="105"/>
      <c r="Q69" s="106" t="s">
        <v>2985</v>
      </c>
      <c r="R69" s="107">
        <v>1</v>
      </c>
      <c r="AI69" s="11"/>
      <c r="AL69" s="122">
        <v>45081.6741898148</v>
      </c>
      <c r="AM69" s="107">
        <v>1</v>
      </c>
    </row>
    <row r="70" spans="1:39">
      <c r="A70" s="106" t="s">
        <v>1305</v>
      </c>
      <c r="B70" s="107">
        <v>2</v>
      </c>
      <c r="E70" s="105"/>
      <c r="H70" s="105"/>
      <c r="K70" s="105"/>
      <c r="Q70" s="106" t="s">
        <v>2948</v>
      </c>
      <c r="R70" s="107">
        <v>2</v>
      </c>
      <c r="AI70" s="11"/>
      <c r="AL70" s="122">
        <v>45082.4391782407</v>
      </c>
      <c r="AM70" s="107">
        <v>1</v>
      </c>
    </row>
    <row r="71" spans="1:39">
      <c r="A71" s="106" t="s">
        <v>3970</v>
      </c>
      <c r="B71" s="107">
        <v>3</v>
      </c>
      <c r="E71" s="105"/>
      <c r="H71" s="105"/>
      <c r="K71" s="105"/>
      <c r="Q71" s="106" t="s">
        <v>1222</v>
      </c>
      <c r="R71" s="107">
        <v>2</v>
      </c>
      <c r="AI71" s="11"/>
      <c r="AL71" s="122">
        <v>45082.4752430556</v>
      </c>
      <c r="AM71" s="107">
        <v>1</v>
      </c>
    </row>
    <row r="72" spans="1:39">
      <c r="A72" s="106" t="s">
        <v>3076</v>
      </c>
      <c r="B72" s="107">
        <v>1</v>
      </c>
      <c r="E72" s="105"/>
      <c r="H72" s="105"/>
      <c r="K72" s="105"/>
      <c r="Q72" s="106" t="s">
        <v>3957</v>
      </c>
      <c r="R72" s="107">
        <v>2</v>
      </c>
      <c r="AI72" s="11"/>
      <c r="AL72" s="122">
        <v>45082.7547453704</v>
      </c>
      <c r="AM72" s="107">
        <v>1</v>
      </c>
    </row>
    <row r="73" spans="1:39">
      <c r="A73" s="106" t="s">
        <v>4514</v>
      </c>
      <c r="B73" s="107">
        <v>2</v>
      </c>
      <c r="E73" s="105"/>
      <c r="H73" s="105"/>
      <c r="K73" s="105"/>
      <c r="Q73" s="106" t="s">
        <v>625</v>
      </c>
      <c r="R73" s="107">
        <v>1</v>
      </c>
      <c r="AI73" s="11"/>
      <c r="AL73" s="122">
        <v>45082.7667361111</v>
      </c>
      <c r="AM73" s="107">
        <v>1</v>
      </c>
    </row>
    <row r="74" spans="1:39">
      <c r="A74" s="106" t="s">
        <v>552</v>
      </c>
      <c r="B74" s="107">
        <v>1</v>
      </c>
      <c r="E74" s="105"/>
      <c r="H74" s="105"/>
      <c r="K74" s="105"/>
      <c r="Q74" s="106" t="s">
        <v>3497</v>
      </c>
      <c r="R74" s="107">
        <v>1</v>
      </c>
      <c r="AI74" s="11"/>
      <c r="AL74" s="122">
        <v>45082.7958564815</v>
      </c>
      <c r="AM74" s="107">
        <v>1</v>
      </c>
    </row>
    <row r="75" spans="1:39">
      <c r="A75" s="106" t="s">
        <v>3683</v>
      </c>
      <c r="B75" s="107">
        <v>2</v>
      </c>
      <c r="E75" s="105"/>
      <c r="H75" s="105"/>
      <c r="K75" s="105"/>
      <c r="Q75" s="106" t="s">
        <v>4437</v>
      </c>
      <c r="R75" s="107">
        <v>1</v>
      </c>
      <c r="AI75" s="11"/>
      <c r="AL75" s="122">
        <v>45082.7961574074</v>
      </c>
      <c r="AM75" s="107">
        <v>1</v>
      </c>
    </row>
    <row r="76" spans="1:39">
      <c r="A76" s="106" t="s">
        <v>1127</v>
      </c>
      <c r="B76" s="107">
        <v>1</v>
      </c>
      <c r="E76" s="105"/>
      <c r="H76" s="105"/>
      <c r="K76" s="105"/>
      <c r="Q76" s="106" t="s">
        <v>2511</v>
      </c>
      <c r="R76" s="107">
        <v>1</v>
      </c>
      <c r="AI76" s="11"/>
      <c r="AL76" s="122">
        <v>45083.3878935185</v>
      </c>
      <c r="AM76" s="107">
        <v>1</v>
      </c>
    </row>
    <row r="77" spans="1:39">
      <c r="A77" s="106" t="s">
        <v>4369</v>
      </c>
      <c r="B77" s="107">
        <v>4</v>
      </c>
      <c r="E77" s="105"/>
      <c r="H77" s="105"/>
      <c r="K77" s="105"/>
      <c r="Q77" s="106" t="s">
        <v>4910</v>
      </c>
      <c r="R77" s="107">
        <v>1</v>
      </c>
      <c r="AI77" s="11"/>
      <c r="AL77" s="122">
        <v>45083.3942824074</v>
      </c>
      <c r="AM77" s="107">
        <v>1</v>
      </c>
    </row>
    <row r="78" spans="1:39">
      <c r="A78" s="106" t="s">
        <v>4441</v>
      </c>
      <c r="B78" s="107">
        <v>4</v>
      </c>
      <c r="E78" s="105"/>
      <c r="H78" s="105"/>
      <c r="K78" s="105"/>
      <c r="Q78" s="106" t="s">
        <v>3353</v>
      </c>
      <c r="R78" s="107">
        <v>1</v>
      </c>
      <c r="AI78" s="11"/>
      <c r="AL78" s="122">
        <v>45083.4254513889</v>
      </c>
      <c r="AM78" s="107">
        <v>1</v>
      </c>
    </row>
    <row r="79" spans="1:39">
      <c r="A79" s="106" t="s">
        <v>2111</v>
      </c>
      <c r="B79" s="107">
        <v>1</v>
      </c>
      <c r="E79" s="105"/>
      <c r="H79" s="105"/>
      <c r="K79" s="105"/>
      <c r="Q79" s="106" t="s">
        <v>1971</v>
      </c>
      <c r="R79" s="107">
        <v>1</v>
      </c>
      <c r="AI79" s="11"/>
      <c r="AL79" s="122">
        <v>45083.4546643519</v>
      </c>
      <c r="AM79" s="107">
        <v>1</v>
      </c>
    </row>
    <row r="80" ht="13" spans="1:39">
      <c r="A80" s="106" t="s">
        <v>4192</v>
      </c>
      <c r="B80" s="107">
        <v>1</v>
      </c>
      <c r="E80" s="99"/>
      <c r="F80" s="105"/>
      <c r="G80" s="105"/>
      <c r="H80" s="99"/>
      <c r="I80" s="99"/>
      <c r="J80" s="105"/>
      <c r="K80" s="126"/>
      <c r="L80" s="99"/>
      <c r="M80" s="105"/>
      <c r="N80" s="126"/>
      <c r="Q80" s="106" t="s">
        <v>1816</v>
      </c>
      <c r="R80" s="107">
        <v>1</v>
      </c>
      <c r="AI80" s="11"/>
      <c r="AL80" s="122">
        <v>45083.5000578704</v>
      </c>
      <c r="AM80" s="107">
        <v>1</v>
      </c>
    </row>
    <row r="81" spans="1:39">
      <c r="A81" s="106" t="s">
        <v>3516</v>
      </c>
      <c r="B81" s="107">
        <v>2</v>
      </c>
      <c r="E81" s="105"/>
      <c r="F81" s="105"/>
      <c r="G81" s="105"/>
      <c r="H81" s="105"/>
      <c r="I81" s="105"/>
      <c r="J81" s="105"/>
      <c r="K81" s="126"/>
      <c r="L81" s="105"/>
      <c r="M81" s="105"/>
      <c r="N81" s="126"/>
      <c r="Q81" s="106" t="s">
        <v>4256</v>
      </c>
      <c r="R81" s="107">
        <v>1</v>
      </c>
      <c r="AI81" s="11"/>
      <c r="AL81" s="122">
        <v>45083.5051967593</v>
      </c>
      <c r="AM81" s="107">
        <v>1</v>
      </c>
    </row>
    <row r="82" spans="1:39">
      <c r="A82" s="106" t="s">
        <v>4986</v>
      </c>
      <c r="B82" s="107">
        <v>1</v>
      </c>
      <c r="E82" s="105"/>
      <c r="F82" s="105"/>
      <c r="G82" s="105"/>
      <c r="H82" s="105"/>
      <c r="I82" s="105"/>
      <c r="J82" s="105"/>
      <c r="K82" s="126"/>
      <c r="L82" s="105"/>
      <c r="M82" s="105"/>
      <c r="N82" s="126"/>
      <c r="Q82" s="106" t="s">
        <v>149</v>
      </c>
      <c r="R82" s="107">
        <v>18</v>
      </c>
      <c r="AI82" s="11"/>
      <c r="AL82" s="122">
        <v>45083.5382175926</v>
      </c>
      <c r="AM82" s="107">
        <v>1</v>
      </c>
    </row>
    <row r="83" spans="1:39">
      <c r="A83" s="106" t="s">
        <v>337</v>
      </c>
      <c r="B83" s="107">
        <v>1</v>
      </c>
      <c r="E83" s="105"/>
      <c r="F83" s="105"/>
      <c r="G83" s="105"/>
      <c r="H83" s="105"/>
      <c r="I83" s="105"/>
      <c r="J83" s="105"/>
      <c r="K83" s="126"/>
      <c r="L83" s="105"/>
      <c r="M83" s="105"/>
      <c r="N83" s="126"/>
      <c r="Q83" s="106" t="s">
        <v>4954</v>
      </c>
      <c r="R83" s="107">
        <v>1</v>
      </c>
      <c r="AI83" s="11"/>
      <c r="AL83" s="122">
        <v>45083.5421875</v>
      </c>
      <c r="AM83" s="107">
        <v>1</v>
      </c>
    </row>
    <row r="84" spans="1:39">
      <c r="A84" s="106" t="s">
        <v>3113</v>
      </c>
      <c r="B84" s="107">
        <v>2</v>
      </c>
      <c r="E84" s="105"/>
      <c r="F84" s="105"/>
      <c r="G84" s="105"/>
      <c r="H84" s="105"/>
      <c r="I84" s="105"/>
      <c r="J84" s="105"/>
      <c r="K84" s="126"/>
      <c r="L84" s="105"/>
      <c r="M84" s="105"/>
      <c r="N84" s="126"/>
      <c r="Q84" s="106" t="s">
        <v>3191</v>
      </c>
      <c r="R84" s="107">
        <v>1</v>
      </c>
      <c r="AI84" s="11"/>
      <c r="AL84" s="122">
        <v>45083.6402662037</v>
      </c>
      <c r="AM84" s="107">
        <v>1</v>
      </c>
    </row>
    <row r="85" spans="1:39">
      <c r="A85" s="106" t="s">
        <v>2193</v>
      </c>
      <c r="B85" s="107">
        <v>2</v>
      </c>
      <c r="E85" s="105"/>
      <c r="F85" s="105"/>
      <c r="G85" s="105"/>
      <c r="H85" s="105"/>
      <c r="I85" s="105"/>
      <c r="J85" s="105"/>
      <c r="K85" s="126"/>
      <c r="L85" s="105"/>
      <c r="M85" s="105"/>
      <c r="N85" s="126"/>
      <c r="Q85" s="106" t="s">
        <v>2402</v>
      </c>
      <c r="R85" s="107">
        <v>2</v>
      </c>
      <c r="AI85" s="11"/>
      <c r="AL85" s="122">
        <v>45083.65</v>
      </c>
      <c r="AM85" s="107">
        <v>1</v>
      </c>
    </row>
    <row r="86" spans="1:39">
      <c r="A86" s="106" t="s">
        <v>4055</v>
      </c>
      <c r="B86" s="107">
        <v>2</v>
      </c>
      <c r="E86" s="105"/>
      <c r="H86" s="105"/>
      <c r="I86" s="105"/>
      <c r="J86" s="105"/>
      <c r="L86" s="105"/>
      <c r="M86" s="105"/>
      <c r="N86" s="125"/>
      <c r="Q86" s="106" t="s">
        <v>4461</v>
      </c>
      <c r="R86" s="107">
        <v>1</v>
      </c>
      <c r="AI86" s="11"/>
      <c r="AL86" s="122">
        <v>45083.7319675926</v>
      </c>
      <c r="AM86" s="107">
        <v>1</v>
      </c>
    </row>
    <row r="87" spans="1:39">
      <c r="A87" s="106" t="s">
        <v>2502</v>
      </c>
      <c r="B87" s="107">
        <v>1</v>
      </c>
      <c r="E87" s="105"/>
      <c r="H87" s="105"/>
      <c r="I87" s="105"/>
      <c r="J87" s="105"/>
      <c r="L87" s="105"/>
      <c r="M87" s="105"/>
      <c r="N87" s="125"/>
      <c r="Q87" s="106" t="s">
        <v>2736</v>
      </c>
      <c r="R87" s="107">
        <v>1</v>
      </c>
      <c r="AI87" s="11"/>
      <c r="AL87" s="122">
        <v>45083.782025463</v>
      </c>
      <c r="AM87" s="107">
        <v>1</v>
      </c>
    </row>
    <row r="88" spans="1:39">
      <c r="A88" s="106" t="s">
        <v>2323</v>
      </c>
      <c r="B88" s="107">
        <v>1</v>
      </c>
      <c r="E88" s="108"/>
      <c r="H88" s="105"/>
      <c r="I88" s="105"/>
      <c r="J88" s="105"/>
      <c r="L88" s="105"/>
      <c r="M88" s="105"/>
      <c r="N88" s="125"/>
      <c r="Q88" s="106" t="s">
        <v>2647</v>
      </c>
      <c r="R88" s="107">
        <v>1</v>
      </c>
      <c r="AI88" s="11"/>
      <c r="AL88" s="122">
        <v>45084.3951273148</v>
      </c>
      <c r="AM88" s="107">
        <v>1</v>
      </c>
    </row>
    <row r="89" spans="1:39">
      <c r="A89" s="106" t="s">
        <v>4798</v>
      </c>
      <c r="B89" s="107">
        <v>1</v>
      </c>
      <c r="E89" s="108"/>
      <c r="H89" s="105"/>
      <c r="I89" s="105"/>
      <c r="J89" s="105"/>
      <c r="L89" s="105"/>
      <c r="Q89" s="106" t="s">
        <v>4561</v>
      </c>
      <c r="R89" s="107">
        <v>1</v>
      </c>
      <c r="AI89" s="11"/>
      <c r="AL89" s="122">
        <v>45084.3964351852</v>
      </c>
      <c r="AM89" s="107">
        <v>1</v>
      </c>
    </row>
    <row r="90" spans="1:39">
      <c r="A90" s="106" t="s">
        <v>2979</v>
      </c>
      <c r="B90" s="107">
        <v>1</v>
      </c>
      <c r="E90" s="108"/>
      <c r="H90" s="105"/>
      <c r="I90" s="105"/>
      <c r="J90" s="105"/>
      <c r="L90" s="105"/>
      <c r="Q90" s="106" t="s">
        <v>1909</v>
      </c>
      <c r="R90" s="107">
        <v>3</v>
      </c>
      <c r="AI90" s="11"/>
      <c r="AL90" s="122">
        <v>45084.4199074074</v>
      </c>
      <c r="AM90" s="107">
        <v>1</v>
      </c>
    </row>
    <row r="91" spans="1:39">
      <c r="A91" s="106" t="s">
        <v>2828</v>
      </c>
      <c r="B91" s="107">
        <v>2</v>
      </c>
      <c r="E91" s="108"/>
      <c r="H91" s="105"/>
      <c r="I91" s="105"/>
      <c r="J91" s="105"/>
      <c r="L91" s="105"/>
      <c r="Q91" s="106" t="s">
        <v>3043</v>
      </c>
      <c r="R91" s="107">
        <v>1</v>
      </c>
      <c r="AI91" s="11"/>
      <c r="AL91" s="122">
        <v>45084.4243055556</v>
      </c>
      <c r="AM91" s="107">
        <v>1</v>
      </c>
    </row>
    <row r="92" spans="1:39">
      <c r="A92" s="106" t="s">
        <v>4428</v>
      </c>
      <c r="B92" s="107">
        <v>8</v>
      </c>
      <c r="E92" s="108"/>
      <c r="H92" s="105"/>
      <c r="I92" s="105"/>
      <c r="J92" s="105"/>
      <c r="L92" s="105"/>
      <c r="Q92" s="106" t="s">
        <v>1486</v>
      </c>
      <c r="R92" s="107">
        <v>1</v>
      </c>
      <c r="AI92" s="11"/>
      <c r="AL92" s="122">
        <v>45084.5222222222</v>
      </c>
      <c r="AM92" s="107">
        <v>1</v>
      </c>
    </row>
    <row r="93" spans="1:39">
      <c r="A93" s="106" t="s">
        <v>4510</v>
      </c>
      <c r="B93" s="107">
        <v>1</v>
      </c>
      <c r="E93" s="108"/>
      <c r="H93" s="105"/>
      <c r="I93" s="105"/>
      <c r="J93" s="105"/>
      <c r="L93" s="105"/>
      <c r="Q93" s="106" t="s">
        <v>980</v>
      </c>
      <c r="R93" s="107">
        <v>1</v>
      </c>
      <c r="AI93" s="11"/>
      <c r="AL93" s="122">
        <v>45084.5262037037</v>
      </c>
      <c r="AM93" s="107">
        <v>1</v>
      </c>
    </row>
    <row r="94" ht="13" spans="1:39">
      <c r="A94" s="106" t="s">
        <v>3015</v>
      </c>
      <c r="B94" s="107">
        <v>2</v>
      </c>
      <c r="E94" s="99"/>
      <c r="H94" s="105"/>
      <c r="L94" s="105"/>
      <c r="Q94" s="106" t="s">
        <v>2879</v>
      </c>
      <c r="R94" s="107">
        <v>2</v>
      </c>
      <c r="AI94" s="11"/>
      <c r="AL94" s="122">
        <v>45084.5961921296</v>
      </c>
      <c r="AM94" s="107">
        <v>1</v>
      </c>
    </row>
    <row r="95" spans="1:39">
      <c r="A95" s="106" t="s">
        <v>3150</v>
      </c>
      <c r="B95" s="107">
        <v>1</v>
      </c>
      <c r="E95" s="105"/>
      <c r="H95" s="105"/>
      <c r="L95" s="105"/>
      <c r="Q95" s="106" t="s">
        <v>4550</v>
      </c>
      <c r="R95" s="107">
        <v>1</v>
      </c>
      <c r="AI95" s="11"/>
      <c r="AL95" s="122">
        <v>45084.6176041667</v>
      </c>
      <c r="AM95" s="107">
        <v>1</v>
      </c>
    </row>
    <row r="96" spans="1:39">
      <c r="A96" s="106" t="s">
        <v>698</v>
      </c>
      <c r="B96" s="107">
        <v>1</v>
      </c>
      <c r="E96" s="105"/>
      <c r="H96" s="105"/>
      <c r="L96" s="105"/>
      <c r="Q96" s="106" t="s">
        <v>2558</v>
      </c>
      <c r="R96" s="107">
        <v>1</v>
      </c>
      <c r="AI96" s="11"/>
      <c r="AL96" s="122">
        <v>45084.6322222222</v>
      </c>
      <c r="AM96" s="107">
        <v>1</v>
      </c>
    </row>
    <row r="97" spans="1:39">
      <c r="A97" s="106" t="s">
        <v>1914</v>
      </c>
      <c r="B97" s="107">
        <v>2</v>
      </c>
      <c r="E97" s="105"/>
      <c r="H97" s="105"/>
      <c r="L97" s="105"/>
      <c r="Q97" s="106" t="s">
        <v>1627</v>
      </c>
      <c r="R97" s="107">
        <v>1</v>
      </c>
      <c r="AI97" s="11"/>
      <c r="AL97" s="122">
        <v>45084.6580902778</v>
      </c>
      <c r="AM97" s="107">
        <v>1</v>
      </c>
    </row>
    <row r="98" spans="1:39">
      <c r="A98" s="106" t="s">
        <v>4633</v>
      </c>
      <c r="B98" s="107">
        <v>1</v>
      </c>
      <c r="C98" s="105"/>
      <c r="D98" s="105"/>
      <c r="E98" s="105"/>
      <c r="H98" s="105"/>
      <c r="L98" s="105"/>
      <c r="Q98" s="106" t="s">
        <v>2049</v>
      </c>
      <c r="R98" s="107">
        <v>3</v>
      </c>
      <c r="AI98" s="11"/>
      <c r="AL98" s="122">
        <v>45084.7059143518</v>
      </c>
      <c r="AM98" s="107">
        <v>1</v>
      </c>
    </row>
    <row r="99" spans="1:39">
      <c r="A99" s="106" t="s">
        <v>647</v>
      </c>
      <c r="B99" s="107">
        <v>2</v>
      </c>
      <c r="C99" s="105"/>
      <c r="D99" s="105"/>
      <c r="E99" s="105"/>
      <c r="H99" s="105"/>
      <c r="L99" s="105"/>
      <c r="Q99" s="106" t="s">
        <v>391</v>
      </c>
      <c r="R99" s="107">
        <v>1</v>
      </c>
      <c r="AI99" s="11"/>
      <c r="AL99" s="122">
        <v>45084.7858217593</v>
      </c>
      <c r="AM99" s="107">
        <v>1</v>
      </c>
    </row>
    <row r="100" spans="1:39">
      <c r="A100" s="106" t="s">
        <v>970</v>
      </c>
      <c r="B100" s="107">
        <v>3</v>
      </c>
      <c r="C100" s="105"/>
      <c r="D100" s="105"/>
      <c r="E100" s="105"/>
      <c r="H100" s="105"/>
      <c r="L100" s="105"/>
      <c r="Q100" s="106" t="s">
        <v>1533</v>
      </c>
      <c r="R100" s="107">
        <v>1</v>
      </c>
      <c r="AI100" s="11"/>
      <c r="AL100" s="122">
        <v>45084.8151851852</v>
      </c>
      <c r="AM100" s="107">
        <v>1</v>
      </c>
    </row>
    <row r="101" spans="1:39">
      <c r="A101" s="106" t="s">
        <v>3959</v>
      </c>
      <c r="B101" s="107">
        <v>1</v>
      </c>
      <c r="C101" s="105"/>
      <c r="D101" s="105"/>
      <c r="E101" s="105"/>
      <c r="H101" s="105"/>
      <c r="L101" s="105"/>
      <c r="Q101" s="106" t="s">
        <v>1789</v>
      </c>
      <c r="R101" s="107">
        <v>1</v>
      </c>
      <c r="AI101" s="11"/>
      <c r="AL101" s="122">
        <v>45085.3166319444</v>
      </c>
      <c r="AM101" s="107">
        <v>1</v>
      </c>
    </row>
    <row r="102" spans="1:39">
      <c r="A102" s="106" t="s">
        <v>2304</v>
      </c>
      <c r="B102" s="107">
        <v>1</v>
      </c>
      <c r="C102" s="105"/>
      <c r="D102" s="105"/>
      <c r="E102" s="125"/>
      <c r="H102" s="105"/>
      <c r="L102" s="105"/>
      <c r="Q102" s="106" t="s">
        <v>1467</v>
      </c>
      <c r="R102" s="107">
        <v>1</v>
      </c>
      <c r="AI102" s="11"/>
      <c r="AL102" s="122">
        <v>45085.3490393519</v>
      </c>
      <c r="AM102" s="107">
        <v>1</v>
      </c>
    </row>
    <row r="103" spans="1:39">
      <c r="A103" s="106" t="s">
        <v>1162</v>
      </c>
      <c r="B103" s="107">
        <v>1</v>
      </c>
      <c r="C103" s="105"/>
      <c r="D103" s="105"/>
      <c r="E103" s="125"/>
      <c r="H103" s="105"/>
      <c r="L103" s="105"/>
      <c r="Q103" s="106" t="s">
        <v>4017</v>
      </c>
      <c r="R103" s="107">
        <v>1</v>
      </c>
      <c r="AI103" s="11"/>
      <c r="AL103" s="122">
        <v>45085.3876388889</v>
      </c>
      <c r="AM103" s="107">
        <v>1</v>
      </c>
    </row>
    <row r="104" spans="1:39">
      <c r="A104" s="106" t="s">
        <v>1241</v>
      </c>
      <c r="B104" s="107">
        <v>3</v>
      </c>
      <c r="C104" s="105"/>
      <c r="D104" s="105"/>
      <c r="E104" s="125"/>
      <c r="H104" s="105"/>
      <c r="L104" s="105"/>
      <c r="Q104" s="106" t="s">
        <v>4733</v>
      </c>
      <c r="R104" s="107">
        <v>1</v>
      </c>
      <c r="AI104" s="11"/>
      <c r="AL104" s="122">
        <v>45085.4327662037</v>
      </c>
      <c r="AM104" s="107">
        <v>1</v>
      </c>
    </row>
    <row r="105" spans="1:39">
      <c r="A105" s="106" t="s">
        <v>4638</v>
      </c>
      <c r="B105" s="107">
        <v>1</v>
      </c>
      <c r="C105" s="105"/>
      <c r="D105" s="105"/>
      <c r="E105" s="125"/>
      <c r="H105" s="105"/>
      <c r="L105" s="105"/>
      <c r="Q105" s="106" t="s">
        <v>4697</v>
      </c>
      <c r="R105" s="107">
        <v>1</v>
      </c>
      <c r="AI105" s="11"/>
      <c r="AL105" s="122">
        <v>45085.5182407407</v>
      </c>
      <c r="AM105" s="107">
        <v>1</v>
      </c>
    </row>
    <row r="106" spans="1:39">
      <c r="A106" s="106" t="s">
        <v>306</v>
      </c>
      <c r="B106" s="107">
        <v>1</v>
      </c>
      <c r="C106" s="105"/>
      <c r="D106" s="105"/>
      <c r="E106" s="125"/>
      <c r="H106" s="105"/>
      <c r="L106" s="105"/>
      <c r="Q106" s="106" t="s">
        <v>884</v>
      </c>
      <c r="R106" s="107">
        <v>1</v>
      </c>
      <c r="AI106" s="11"/>
      <c r="AL106" s="122">
        <v>45085.5887268518</v>
      </c>
      <c r="AM106" s="107">
        <v>1</v>
      </c>
    </row>
    <row r="107" spans="1:39">
      <c r="A107" s="106" t="s">
        <v>2954</v>
      </c>
      <c r="B107" s="107">
        <v>2</v>
      </c>
      <c r="C107" s="105"/>
      <c r="D107" s="105"/>
      <c r="E107" s="125"/>
      <c r="H107" s="105"/>
      <c r="L107" s="105"/>
      <c r="Q107" s="106" t="s">
        <v>3213</v>
      </c>
      <c r="R107" s="107">
        <v>1</v>
      </c>
      <c r="AI107" s="11"/>
      <c r="AL107" s="122">
        <v>45085.6075231481</v>
      </c>
      <c r="AM107" s="107">
        <v>1</v>
      </c>
    </row>
    <row r="108" spans="1:39">
      <c r="A108" s="106" t="s">
        <v>1493</v>
      </c>
      <c r="B108" s="107">
        <v>2</v>
      </c>
      <c r="C108" s="105"/>
      <c r="D108" s="105"/>
      <c r="E108" s="125"/>
      <c r="H108" s="105"/>
      <c r="L108" s="105"/>
      <c r="Q108" s="106" t="s">
        <v>4219</v>
      </c>
      <c r="R108" s="107">
        <v>1</v>
      </c>
      <c r="AI108" s="11"/>
      <c r="AL108" s="122">
        <v>45085.6346296296</v>
      </c>
      <c r="AM108" s="107">
        <v>1</v>
      </c>
    </row>
    <row r="109" spans="1:39">
      <c r="A109" s="106" t="s">
        <v>1188</v>
      </c>
      <c r="B109" s="107">
        <v>2</v>
      </c>
      <c r="C109" s="105"/>
      <c r="D109" s="105"/>
      <c r="E109" s="125"/>
      <c r="H109" s="105"/>
      <c r="L109" s="105"/>
      <c r="Q109" s="106" t="s">
        <v>3195</v>
      </c>
      <c r="R109" s="107">
        <v>1</v>
      </c>
      <c r="AI109" s="11"/>
      <c r="AL109" s="122">
        <v>45085.7152430556</v>
      </c>
      <c r="AM109" s="107">
        <v>1</v>
      </c>
    </row>
    <row r="110" spans="1:39">
      <c r="A110" s="106" t="s">
        <v>2876</v>
      </c>
      <c r="B110" s="107">
        <v>2</v>
      </c>
      <c r="C110" s="105"/>
      <c r="D110" s="105"/>
      <c r="E110" s="125"/>
      <c r="H110" s="105"/>
      <c r="L110" s="105"/>
      <c r="Q110" s="106" t="s">
        <v>2294</v>
      </c>
      <c r="R110" s="107">
        <v>2</v>
      </c>
      <c r="AI110" s="11"/>
      <c r="AL110" s="122">
        <v>45085.7465740741</v>
      </c>
      <c r="AM110" s="107">
        <v>1</v>
      </c>
    </row>
    <row r="111" spans="1:39">
      <c r="A111" s="106" t="s">
        <v>3629</v>
      </c>
      <c r="B111" s="107">
        <v>9</v>
      </c>
      <c r="C111" s="105"/>
      <c r="D111" s="105"/>
      <c r="E111" s="125"/>
      <c r="H111" s="105"/>
      <c r="L111" s="105"/>
      <c r="Q111" s="106" t="s">
        <v>1190</v>
      </c>
      <c r="R111" s="107">
        <v>6</v>
      </c>
      <c r="AI111" s="11"/>
      <c r="AL111" s="122">
        <v>45085.7842013889</v>
      </c>
      <c r="AM111" s="107">
        <v>1</v>
      </c>
    </row>
    <row r="112" spans="1:39">
      <c r="A112" s="106" t="s">
        <v>5003</v>
      </c>
      <c r="B112" s="107">
        <v>1</v>
      </c>
      <c r="C112" s="105"/>
      <c r="D112" s="105"/>
      <c r="E112" s="125"/>
      <c r="H112" s="105"/>
      <c r="L112" s="105"/>
      <c r="Q112" s="106" t="s">
        <v>4075</v>
      </c>
      <c r="R112" s="107">
        <v>1</v>
      </c>
      <c r="AI112" s="11"/>
      <c r="AL112" s="122">
        <v>45086.367337963</v>
      </c>
      <c r="AM112" s="107">
        <v>1</v>
      </c>
    </row>
    <row r="113" spans="1:39">
      <c r="A113" s="106" t="s">
        <v>473</v>
      </c>
      <c r="B113" s="107">
        <v>1</v>
      </c>
      <c r="C113" s="105"/>
      <c r="D113" s="105"/>
      <c r="E113" s="125"/>
      <c r="H113" s="105"/>
      <c r="L113" s="105"/>
      <c r="Q113" s="106" t="s">
        <v>3133</v>
      </c>
      <c r="R113" s="107">
        <v>1</v>
      </c>
      <c r="AI113" s="11"/>
      <c r="AL113" s="122">
        <v>45086.3797685185</v>
      </c>
      <c r="AM113" s="107">
        <v>1</v>
      </c>
    </row>
    <row r="114" spans="1:39">
      <c r="A114" s="106" t="s">
        <v>2627</v>
      </c>
      <c r="B114" s="107">
        <v>1</v>
      </c>
      <c r="E114" s="108"/>
      <c r="H114" s="105"/>
      <c r="L114" s="105"/>
      <c r="Q114" s="106" t="s">
        <v>3903</v>
      </c>
      <c r="R114" s="107">
        <v>1</v>
      </c>
      <c r="AI114" s="11"/>
      <c r="AL114" s="122">
        <v>45086.4057523148</v>
      </c>
      <c r="AM114" s="107">
        <v>1</v>
      </c>
    </row>
    <row r="115" spans="1:39">
      <c r="A115" s="106" t="s">
        <v>1516</v>
      </c>
      <c r="B115" s="107">
        <v>4</v>
      </c>
      <c r="E115" s="108"/>
      <c r="H115" s="105"/>
      <c r="L115" s="105"/>
      <c r="Q115" s="106" t="s">
        <v>4648</v>
      </c>
      <c r="R115" s="107">
        <v>1</v>
      </c>
      <c r="AI115" s="11"/>
      <c r="AL115" s="122">
        <v>45086.4746990741</v>
      </c>
      <c r="AM115" s="107">
        <v>1</v>
      </c>
    </row>
    <row r="116" spans="1:39">
      <c r="A116" s="106" t="s">
        <v>4163</v>
      </c>
      <c r="B116" s="107">
        <v>2</v>
      </c>
      <c r="E116" s="108"/>
      <c r="H116" s="105"/>
      <c r="L116" s="105"/>
      <c r="Q116" s="106" t="s">
        <v>4181</v>
      </c>
      <c r="R116" s="107">
        <v>2</v>
      </c>
      <c r="AI116" s="11"/>
      <c r="AL116" s="122">
        <v>45086.5009490741</v>
      </c>
      <c r="AM116" s="107">
        <v>1</v>
      </c>
    </row>
    <row r="117" spans="1:39">
      <c r="A117" s="106" t="s">
        <v>732</v>
      </c>
      <c r="B117" s="107">
        <v>4</v>
      </c>
      <c r="E117" s="108"/>
      <c r="H117" s="105"/>
      <c r="L117" s="105"/>
      <c r="Q117" s="106" t="s">
        <v>4600</v>
      </c>
      <c r="R117" s="107">
        <v>1</v>
      </c>
      <c r="AI117" s="11"/>
      <c r="AL117" s="122">
        <v>45086.5103125</v>
      </c>
      <c r="AM117" s="107">
        <v>1</v>
      </c>
    </row>
    <row r="118" spans="1:39">
      <c r="A118" s="106" t="s">
        <v>4930</v>
      </c>
      <c r="B118" s="107">
        <v>1</v>
      </c>
      <c r="E118" s="108"/>
      <c r="H118" s="105"/>
      <c r="L118" s="105"/>
      <c r="Q118" s="106" t="s">
        <v>3611</v>
      </c>
      <c r="R118" s="107">
        <v>1</v>
      </c>
      <c r="AI118" s="11"/>
      <c r="AL118" s="122">
        <v>45086.5218055556</v>
      </c>
      <c r="AM118" s="107">
        <v>1</v>
      </c>
    </row>
    <row r="119" spans="1:39">
      <c r="A119" s="106" t="s">
        <v>4883</v>
      </c>
      <c r="B119" s="107">
        <v>2</v>
      </c>
      <c r="E119" s="108"/>
      <c r="H119" s="105"/>
      <c r="L119" s="105"/>
      <c r="Q119" s="106" t="s">
        <v>202</v>
      </c>
      <c r="R119" s="107">
        <v>207</v>
      </c>
      <c r="AI119" s="11"/>
      <c r="AL119" s="122">
        <v>45086.5682523148</v>
      </c>
      <c r="AM119" s="107">
        <v>1</v>
      </c>
    </row>
    <row r="120" spans="1:39">
      <c r="A120" s="106" t="s">
        <v>3845</v>
      </c>
      <c r="B120" s="107">
        <v>1</v>
      </c>
      <c r="E120" s="108"/>
      <c r="H120" s="105"/>
      <c r="L120" s="105"/>
      <c r="Q120" s="106" t="s">
        <v>1164</v>
      </c>
      <c r="R120" s="107">
        <v>1</v>
      </c>
      <c r="AI120" s="11"/>
      <c r="AL120" s="122">
        <v>45086.5753240741</v>
      </c>
      <c r="AM120" s="107">
        <v>1</v>
      </c>
    </row>
    <row r="121" spans="1:39">
      <c r="A121" s="106" t="s">
        <v>4186</v>
      </c>
      <c r="B121" s="107">
        <v>3</v>
      </c>
      <c r="E121" s="108"/>
      <c r="H121" s="105"/>
      <c r="L121" s="105"/>
      <c r="Q121" s="106" t="s">
        <v>4673</v>
      </c>
      <c r="R121" s="107">
        <v>1</v>
      </c>
      <c r="AI121" s="11"/>
      <c r="AL121" s="122">
        <v>45086.58</v>
      </c>
      <c r="AM121" s="107">
        <v>1</v>
      </c>
    </row>
    <row r="122" spans="1:39">
      <c r="A122" s="106" t="s">
        <v>2268</v>
      </c>
      <c r="B122" s="107">
        <v>4</v>
      </c>
      <c r="E122" s="108"/>
      <c r="H122" s="105"/>
      <c r="L122" s="105"/>
      <c r="Q122" s="106" t="s">
        <v>4663</v>
      </c>
      <c r="R122" s="107">
        <v>1</v>
      </c>
      <c r="AI122" s="11"/>
      <c r="AL122" s="122">
        <v>45086.6149537037</v>
      </c>
      <c r="AM122" s="107">
        <v>1</v>
      </c>
    </row>
    <row r="123" spans="1:39">
      <c r="A123" s="106" t="s">
        <v>2279</v>
      </c>
      <c r="B123" s="107">
        <v>1</v>
      </c>
      <c r="E123" s="108"/>
      <c r="H123" s="105"/>
      <c r="L123" s="105"/>
      <c r="Q123" s="106" t="s">
        <v>4206</v>
      </c>
      <c r="R123" s="107">
        <v>1</v>
      </c>
      <c r="AI123" s="11"/>
      <c r="AL123" s="122">
        <v>45086.6918171296</v>
      </c>
      <c r="AM123" s="107">
        <v>1</v>
      </c>
    </row>
    <row r="124" spans="1:39">
      <c r="A124" s="106" t="s">
        <v>1224</v>
      </c>
      <c r="B124" s="107">
        <v>2</v>
      </c>
      <c r="E124" s="108"/>
      <c r="H124" s="105"/>
      <c r="L124" s="105"/>
      <c r="Q124" s="106" t="s">
        <v>1044</v>
      </c>
      <c r="R124" s="107">
        <v>1</v>
      </c>
      <c r="AI124" s="11"/>
      <c r="AL124" s="122">
        <v>45086.8080324074</v>
      </c>
      <c r="AM124" s="107">
        <v>1</v>
      </c>
    </row>
    <row r="125" spans="1:39">
      <c r="A125" s="106" t="s">
        <v>487</v>
      </c>
      <c r="B125" s="107">
        <v>2</v>
      </c>
      <c r="E125" s="108"/>
      <c r="H125" s="105"/>
      <c r="L125" s="105"/>
      <c r="Q125" s="106" t="s">
        <v>485</v>
      </c>
      <c r="R125" s="107">
        <v>1</v>
      </c>
      <c r="AI125" s="11"/>
      <c r="AL125" s="122">
        <v>45087.3378125</v>
      </c>
      <c r="AM125" s="107">
        <v>1</v>
      </c>
    </row>
    <row r="126" spans="1:39">
      <c r="A126" s="106" t="s">
        <v>322</v>
      </c>
      <c r="B126" s="107">
        <v>2</v>
      </c>
      <c r="E126" s="108"/>
      <c r="H126" s="105"/>
      <c r="L126" s="105"/>
      <c r="Q126" s="106" t="s">
        <v>428</v>
      </c>
      <c r="R126" s="107">
        <v>2</v>
      </c>
      <c r="AI126" s="11"/>
      <c r="AL126" s="122">
        <v>45087.3701736111</v>
      </c>
      <c r="AM126" s="107">
        <v>1</v>
      </c>
    </row>
    <row r="127" spans="1:39">
      <c r="A127" s="106" t="s">
        <v>3275</v>
      </c>
      <c r="B127" s="107">
        <v>1</v>
      </c>
      <c r="E127" s="108"/>
      <c r="H127" s="105"/>
      <c r="L127" s="105"/>
      <c r="Q127" s="106" t="s">
        <v>3658</v>
      </c>
      <c r="R127" s="107">
        <v>1</v>
      </c>
      <c r="AI127" s="11"/>
      <c r="AL127" s="122">
        <v>45087.3878125</v>
      </c>
      <c r="AM127" s="107">
        <v>1</v>
      </c>
    </row>
    <row r="128" spans="1:39">
      <c r="A128" s="106" t="s">
        <v>1374</v>
      </c>
      <c r="B128" s="107">
        <v>2</v>
      </c>
      <c r="E128" s="108"/>
      <c r="H128" s="105"/>
      <c r="L128" s="105"/>
      <c r="Q128" s="106" t="s">
        <v>821</v>
      </c>
      <c r="R128" s="107">
        <v>1</v>
      </c>
      <c r="AI128" s="11"/>
      <c r="AL128" s="122">
        <v>45087.3933449074</v>
      </c>
      <c r="AM128" s="107">
        <v>1</v>
      </c>
    </row>
    <row r="129" spans="1:39">
      <c r="A129" s="106" t="s">
        <v>908</v>
      </c>
      <c r="B129" s="107">
        <v>1</v>
      </c>
      <c r="E129" s="108"/>
      <c r="H129" s="105"/>
      <c r="L129" s="105"/>
      <c r="Q129" s="106" t="s">
        <v>741</v>
      </c>
      <c r="R129" s="107">
        <v>1</v>
      </c>
      <c r="AI129" s="11"/>
      <c r="AL129" s="122">
        <v>45087.4015046296</v>
      </c>
      <c r="AM129" s="107">
        <v>1</v>
      </c>
    </row>
    <row r="130" spans="1:39">
      <c r="A130" s="106" t="s">
        <v>493</v>
      </c>
      <c r="B130" s="107">
        <v>2</v>
      </c>
      <c r="E130" s="108"/>
      <c r="H130" s="105"/>
      <c r="L130" s="105"/>
      <c r="Q130" s="106" t="s">
        <v>330</v>
      </c>
      <c r="R130" s="107">
        <v>2</v>
      </c>
      <c r="AI130" s="11"/>
      <c r="AL130" s="122">
        <v>45087.427650463</v>
      </c>
      <c r="AM130" s="107">
        <v>1</v>
      </c>
    </row>
    <row r="131" spans="1:39">
      <c r="A131" s="106" t="s">
        <v>1448</v>
      </c>
      <c r="B131" s="107">
        <v>1</v>
      </c>
      <c r="E131" s="108"/>
      <c r="H131" s="105"/>
      <c r="L131" s="105"/>
      <c r="Q131" s="106" t="s">
        <v>449</v>
      </c>
      <c r="R131" s="107">
        <v>1</v>
      </c>
      <c r="AI131" s="11"/>
      <c r="AL131" s="122">
        <v>45087.4327314815</v>
      </c>
      <c r="AM131" s="107">
        <v>1</v>
      </c>
    </row>
    <row r="132" spans="1:39">
      <c r="A132" s="106" t="s">
        <v>3670</v>
      </c>
      <c r="B132" s="107">
        <v>1</v>
      </c>
      <c r="E132" s="108"/>
      <c r="H132" s="105"/>
      <c r="L132" s="105"/>
      <c r="Q132" s="106" t="s">
        <v>5025</v>
      </c>
      <c r="R132" s="107">
        <v>1</v>
      </c>
      <c r="AI132" s="11"/>
      <c r="AL132" s="122">
        <v>45087.4615856481</v>
      </c>
      <c r="AM132" s="107">
        <v>1</v>
      </c>
    </row>
    <row r="133" spans="1:39">
      <c r="A133" s="106" t="s">
        <v>5030</v>
      </c>
      <c r="B133" s="107">
        <v>1</v>
      </c>
      <c r="E133" s="108"/>
      <c r="H133" s="105"/>
      <c r="L133" s="105"/>
      <c r="Q133" s="106" t="s">
        <v>1991</v>
      </c>
      <c r="R133" s="107">
        <v>1</v>
      </c>
      <c r="AI133" s="11"/>
      <c r="AL133" s="122">
        <v>45087.4966319444</v>
      </c>
      <c r="AM133" s="107">
        <v>1</v>
      </c>
    </row>
    <row r="134" spans="1:39">
      <c r="A134" s="106" t="s">
        <v>2919</v>
      </c>
      <c r="B134" s="107">
        <v>1</v>
      </c>
      <c r="E134" s="108"/>
      <c r="H134" s="105"/>
      <c r="L134" s="105"/>
      <c r="Q134" s="106" t="s">
        <v>1806</v>
      </c>
      <c r="R134" s="107">
        <v>1</v>
      </c>
      <c r="AI134" s="11"/>
      <c r="AL134" s="122">
        <v>45087.4971990741</v>
      </c>
      <c r="AM134" s="107">
        <v>1</v>
      </c>
    </row>
    <row r="135" spans="1:39">
      <c r="A135" s="106" t="s">
        <v>2534</v>
      </c>
      <c r="B135" s="107">
        <v>1</v>
      </c>
      <c r="E135" s="108"/>
      <c r="H135" s="105"/>
      <c r="L135" s="105"/>
      <c r="Q135" s="106" t="s">
        <v>1544</v>
      </c>
      <c r="R135" s="107">
        <v>1</v>
      </c>
      <c r="AI135" s="11"/>
      <c r="AL135" s="122">
        <v>45087.5399884259</v>
      </c>
      <c r="AM135" s="107">
        <v>1</v>
      </c>
    </row>
    <row r="136" spans="1:39">
      <c r="A136" s="106" t="s">
        <v>4844</v>
      </c>
      <c r="B136" s="107">
        <v>1</v>
      </c>
      <c r="E136" s="108"/>
      <c r="H136" s="105"/>
      <c r="L136" s="105"/>
      <c r="Q136" s="106" t="s">
        <v>1344</v>
      </c>
      <c r="R136" s="107">
        <v>1</v>
      </c>
      <c r="AI136" s="11"/>
      <c r="AL136" s="122">
        <v>45087.5622337963</v>
      </c>
      <c r="AM136" s="107">
        <v>1</v>
      </c>
    </row>
    <row r="137" spans="1:39">
      <c r="A137" s="106" t="s">
        <v>2281</v>
      </c>
      <c r="B137" s="107">
        <v>2</v>
      </c>
      <c r="E137" s="108"/>
      <c r="H137" s="105"/>
      <c r="L137" s="105"/>
      <c r="Q137" s="106" t="s">
        <v>1255</v>
      </c>
      <c r="R137" s="107">
        <v>1</v>
      </c>
      <c r="AI137" s="11"/>
      <c r="AL137" s="122">
        <v>45087.5911458333</v>
      </c>
      <c r="AM137" s="107">
        <v>1</v>
      </c>
    </row>
    <row r="138" spans="1:39">
      <c r="A138" s="106" t="s">
        <v>1315</v>
      </c>
      <c r="B138" s="107">
        <v>1</v>
      </c>
      <c r="E138" s="108"/>
      <c r="H138" s="105"/>
      <c r="L138" s="105"/>
      <c r="Q138" s="106" t="s">
        <v>2727</v>
      </c>
      <c r="R138" s="107">
        <v>1</v>
      </c>
      <c r="AI138" s="11"/>
      <c r="AL138" s="122">
        <v>45087.7084837963</v>
      </c>
      <c r="AM138" s="107">
        <v>1</v>
      </c>
    </row>
    <row r="139" spans="1:39">
      <c r="A139" s="101" t="s">
        <v>258</v>
      </c>
      <c r="B139" s="102">
        <v>1</v>
      </c>
      <c r="E139" s="108"/>
      <c r="H139" s="105"/>
      <c r="L139" s="105"/>
      <c r="Q139" s="106" t="s">
        <v>4262</v>
      </c>
      <c r="R139" s="107">
        <v>1</v>
      </c>
      <c r="AI139" s="11"/>
      <c r="AL139" s="122">
        <v>45087.7210532407</v>
      </c>
      <c r="AM139" s="107">
        <v>1</v>
      </c>
    </row>
    <row r="140" spans="1:39">
      <c r="A140" s="101" t="s">
        <v>133</v>
      </c>
      <c r="B140" s="102">
        <v>2</v>
      </c>
      <c r="E140" s="108"/>
      <c r="H140" s="105"/>
      <c r="L140" s="105"/>
      <c r="Q140" s="106" t="s">
        <v>2714</v>
      </c>
      <c r="R140" s="107">
        <v>1</v>
      </c>
      <c r="AI140" s="11"/>
      <c r="AL140" s="122">
        <v>45087.7266435185</v>
      </c>
      <c r="AM140" s="107">
        <v>1</v>
      </c>
    </row>
    <row r="141" spans="1:39">
      <c r="A141" s="101" t="s">
        <v>1040</v>
      </c>
      <c r="B141" s="102">
        <v>1</v>
      </c>
      <c r="E141" s="108"/>
      <c r="H141" s="105"/>
      <c r="L141" s="105"/>
      <c r="Q141" s="106" t="s">
        <v>4224</v>
      </c>
      <c r="R141" s="107">
        <v>1</v>
      </c>
      <c r="AI141" s="11"/>
      <c r="AL141" s="122">
        <v>45087.7366898148</v>
      </c>
      <c r="AM141" s="107">
        <v>1</v>
      </c>
    </row>
    <row r="142" spans="1:39">
      <c r="A142" s="106" t="s">
        <v>851</v>
      </c>
      <c r="B142" s="107">
        <v>1</v>
      </c>
      <c r="E142" s="108"/>
      <c r="H142" s="105"/>
      <c r="L142" s="105"/>
      <c r="Q142" s="106" t="s">
        <v>3780</v>
      </c>
      <c r="R142" s="107">
        <v>1</v>
      </c>
      <c r="AI142" s="11"/>
      <c r="AL142" s="122">
        <v>45087.751412037</v>
      </c>
      <c r="AM142" s="107">
        <v>1</v>
      </c>
    </row>
    <row r="143" spans="1:39">
      <c r="A143" s="106" t="s">
        <v>746</v>
      </c>
      <c r="B143" s="107">
        <v>1</v>
      </c>
      <c r="E143" s="108"/>
      <c r="H143" s="105"/>
      <c r="L143" s="105"/>
      <c r="Q143" s="106" t="s">
        <v>4231</v>
      </c>
      <c r="R143" s="107">
        <v>1</v>
      </c>
      <c r="AI143" s="11"/>
      <c r="AL143" s="122">
        <v>45087.7928935185</v>
      </c>
      <c r="AM143" s="107">
        <v>1</v>
      </c>
    </row>
    <row r="144" spans="1:39">
      <c r="A144" s="106" t="s">
        <v>2336</v>
      </c>
      <c r="B144" s="107">
        <v>4</v>
      </c>
      <c r="E144" s="108"/>
      <c r="H144" s="105"/>
      <c r="L144" s="105"/>
      <c r="Q144" s="106" t="s">
        <v>191</v>
      </c>
      <c r="R144" s="107">
        <v>1</v>
      </c>
      <c r="AI144" s="11"/>
      <c r="AL144" s="122">
        <v>45088.3581134259</v>
      </c>
      <c r="AM144" s="107">
        <v>1</v>
      </c>
    </row>
    <row r="145" spans="1:39">
      <c r="A145" s="106" t="s">
        <v>496</v>
      </c>
      <c r="B145" s="107">
        <v>1</v>
      </c>
      <c r="E145" s="108"/>
      <c r="H145" s="105"/>
      <c r="L145" s="105"/>
      <c r="Q145" s="106" t="s">
        <v>2100</v>
      </c>
      <c r="R145" s="107">
        <v>1</v>
      </c>
      <c r="AI145" s="11"/>
      <c r="AL145" s="122">
        <v>45088.4053472222</v>
      </c>
      <c r="AM145" s="107">
        <v>1</v>
      </c>
    </row>
    <row r="146" spans="1:39">
      <c r="A146" s="106" t="s">
        <v>1361</v>
      </c>
      <c r="B146" s="107">
        <v>1</v>
      </c>
      <c r="E146" s="108"/>
      <c r="H146" s="105"/>
      <c r="L146" s="105"/>
      <c r="Q146" s="106" t="s">
        <v>3206</v>
      </c>
      <c r="R146" s="107">
        <v>1</v>
      </c>
      <c r="AI146" s="11"/>
      <c r="AL146" s="122">
        <v>45088.4201157407</v>
      </c>
      <c r="AM146" s="107">
        <v>1</v>
      </c>
    </row>
    <row r="147" spans="1:39">
      <c r="A147" s="106" t="s">
        <v>2824</v>
      </c>
      <c r="B147" s="107">
        <v>4</v>
      </c>
      <c r="E147" s="108"/>
      <c r="H147" s="105"/>
      <c r="L147" s="105"/>
      <c r="Q147" s="106" t="s">
        <v>4582</v>
      </c>
      <c r="R147" s="107">
        <v>1</v>
      </c>
      <c r="AI147" s="11"/>
      <c r="AL147" s="122">
        <v>45088.4902430556</v>
      </c>
      <c r="AM147" s="107">
        <v>1</v>
      </c>
    </row>
    <row r="148" spans="1:39">
      <c r="A148" s="106" t="s">
        <v>1436</v>
      </c>
      <c r="B148" s="107">
        <v>1</v>
      </c>
      <c r="E148" s="108"/>
      <c r="H148" s="105"/>
      <c r="L148" s="105"/>
      <c r="Q148" s="106" t="s">
        <v>3875</v>
      </c>
      <c r="R148" s="107">
        <v>1</v>
      </c>
      <c r="AI148" s="11"/>
      <c r="AL148" s="122">
        <v>45088.5236111111</v>
      </c>
      <c r="AM148" s="107">
        <v>1</v>
      </c>
    </row>
    <row r="149" spans="1:39">
      <c r="A149" s="106" t="s">
        <v>4769</v>
      </c>
      <c r="B149" s="107">
        <v>1</v>
      </c>
      <c r="E149" s="108"/>
      <c r="H149" s="105"/>
      <c r="L149" s="105"/>
      <c r="Q149" s="106" t="s">
        <v>2052</v>
      </c>
      <c r="R149" s="107">
        <v>1</v>
      </c>
      <c r="AI149" s="11"/>
      <c r="AL149" s="122">
        <v>45088.534837963</v>
      </c>
      <c r="AM149" s="107">
        <v>1</v>
      </c>
    </row>
    <row r="150" spans="1:39">
      <c r="A150" s="106" t="s">
        <v>1802</v>
      </c>
      <c r="B150" s="107">
        <v>1</v>
      </c>
      <c r="E150" s="108"/>
      <c r="H150" s="105"/>
      <c r="L150" s="105"/>
      <c r="Q150" s="106" t="s">
        <v>3618</v>
      </c>
      <c r="R150" s="107">
        <v>1</v>
      </c>
      <c r="AI150" s="11"/>
      <c r="AL150" s="122">
        <v>45088.6041550926</v>
      </c>
      <c r="AM150" s="107">
        <v>1</v>
      </c>
    </row>
    <row r="151" spans="1:39">
      <c r="A151" s="106" t="s">
        <v>4475</v>
      </c>
      <c r="B151" s="107">
        <v>1</v>
      </c>
      <c r="E151" s="108"/>
      <c r="H151" s="105"/>
      <c r="L151" s="105"/>
      <c r="Q151" s="106" t="s">
        <v>2886</v>
      </c>
      <c r="R151" s="107">
        <v>1</v>
      </c>
      <c r="AI151" s="11"/>
      <c r="AL151" s="122">
        <v>45088.7285416667</v>
      </c>
      <c r="AM151" s="107">
        <v>1</v>
      </c>
    </row>
    <row r="152" spans="1:39">
      <c r="A152" s="106" t="s">
        <v>2995</v>
      </c>
      <c r="B152" s="107">
        <v>3</v>
      </c>
      <c r="E152" s="108"/>
      <c r="H152" s="105"/>
      <c r="L152" s="105"/>
      <c r="Q152" s="106" t="s">
        <v>2143</v>
      </c>
      <c r="R152" s="107">
        <v>1</v>
      </c>
      <c r="AI152" s="11"/>
      <c r="AL152" s="122">
        <v>45088.7906712963</v>
      </c>
      <c r="AM152" s="107">
        <v>1</v>
      </c>
    </row>
    <row r="153" spans="1:39">
      <c r="A153" s="106" t="s">
        <v>1874</v>
      </c>
      <c r="B153" s="107">
        <v>3</v>
      </c>
      <c r="E153" s="108"/>
      <c r="H153" s="105"/>
      <c r="L153" s="105"/>
      <c r="Q153" s="106" t="s">
        <v>2653</v>
      </c>
      <c r="R153" s="107">
        <v>1</v>
      </c>
      <c r="AI153" s="11"/>
      <c r="AL153" s="122">
        <v>45089.3917476852</v>
      </c>
      <c r="AM153" s="107">
        <v>1</v>
      </c>
    </row>
    <row r="154" spans="1:39">
      <c r="A154" s="106" t="s">
        <v>4417</v>
      </c>
      <c r="B154" s="107">
        <v>4</v>
      </c>
      <c r="E154" s="108"/>
      <c r="H154" s="105"/>
      <c r="L154" s="105"/>
      <c r="Q154" s="106" t="s">
        <v>4636</v>
      </c>
      <c r="R154" s="107">
        <v>1</v>
      </c>
      <c r="AI154" s="11"/>
      <c r="AL154" s="122">
        <v>45089.4222916667</v>
      </c>
      <c r="AM154" s="107">
        <v>1</v>
      </c>
    </row>
    <row r="155" spans="1:39">
      <c r="A155" s="106" t="s">
        <v>556</v>
      </c>
      <c r="B155" s="107">
        <v>3</v>
      </c>
      <c r="E155" s="108"/>
      <c r="H155" s="105"/>
      <c r="L155" s="105"/>
      <c r="Q155" s="106" t="s">
        <v>219</v>
      </c>
      <c r="R155" s="107">
        <v>1</v>
      </c>
      <c r="AI155" s="11"/>
      <c r="AL155" s="122">
        <v>45089.4407291667</v>
      </c>
      <c r="AM155" s="107">
        <v>1</v>
      </c>
    </row>
    <row r="156" spans="1:39">
      <c r="A156" s="106" t="s">
        <v>869</v>
      </c>
      <c r="B156" s="107">
        <v>1</v>
      </c>
      <c r="E156" s="108"/>
      <c r="H156" s="105"/>
      <c r="L156" s="105"/>
      <c r="Q156" s="106" t="s">
        <v>2311</v>
      </c>
      <c r="R156" s="107">
        <v>1</v>
      </c>
      <c r="AI156" s="11"/>
      <c r="AL156" s="122">
        <v>45089.4471064815</v>
      </c>
      <c r="AM156" s="107">
        <v>1</v>
      </c>
    </row>
    <row r="157" spans="1:39">
      <c r="A157" s="106" t="s">
        <v>2118</v>
      </c>
      <c r="B157" s="107">
        <v>2</v>
      </c>
      <c r="E157" s="108"/>
      <c r="H157" s="105"/>
      <c r="L157" s="105"/>
      <c r="Q157" s="106" t="s">
        <v>1632</v>
      </c>
      <c r="R157" s="107">
        <v>1</v>
      </c>
      <c r="AI157" s="11"/>
      <c r="AL157" s="122">
        <v>45089.4854513889</v>
      </c>
      <c r="AM157" s="107">
        <v>1</v>
      </c>
    </row>
    <row r="158" spans="1:39">
      <c r="A158" s="106" t="s">
        <v>2643</v>
      </c>
      <c r="B158" s="107">
        <v>2</v>
      </c>
      <c r="E158" s="108"/>
      <c r="H158" s="105"/>
      <c r="L158" s="105"/>
      <c r="Q158" s="106" t="s">
        <v>3719</v>
      </c>
      <c r="R158" s="107">
        <v>1</v>
      </c>
      <c r="AI158" s="11"/>
      <c r="AL158" s="122">
        <v>45089.4982523148</v>
      </c>
      <c r="AM158" s="107">
        <v>1</v>
      </c>
    </row>
    <row r="159" spans="1:39">
      <c r="A159" s="106" t="s">
        <v>3173</v>
      </c>
      <c r="B159" s="107">
        <v>7</v>
      </c>
      <c r="E159" s="108"/>
      <c r="H159" s="105"/>
      <c r="L159" s="105"/>
      <c r="Q159" s="106" t="s">
        <v>2997</v>
      </c>
      <c r="R159" s="107">
        <v>1</v>
      </c>
      <c r="AI159" s="11"/>
      <c r="AL159" s="122">
        <v>45089.5708564815</v>
      </c>
      <c r="AM159" s="107">
        <v>1</v>
      </c>
    </row>
    <row r="160" spans="1:39">
      <c r="A160" s="106" t="s">
        <v>396</v>
      </c>
      <c r="B160" s="107">
        <v>3</v>
      </c>
      <c r="E160" s="108"/>
      <c r="H160" s="105"/>
      <c r="L160" s="105"/>
      <c r="Q160" s="106" t="s">
        <v>755</v>
      </c>
      <c r="R160" s="107">
        <v>1</v>
      </c>
      <c r="AI160" s="11"/>
      <c r="AL160" s="122">
        <v>45089.5777199074</v>
      </c>
      <c r="AM160" s="107">
        <v>1</v>
      </c>
    </row>
    <row r="161" spans="1:39">
      <c r="A161" s="106" t="s">
        <v>1807</v>
      </c>
      <c r="B161" s="107">
        <v>1</v>
      </c>
      <c r="E161" s="108"/>
      <c r="H161" s="105"/>
      <c r="L161" s="105"/>
      <c r="Q161" s="106" t="s">
        <v>1774</v>
      </c>
      <c r="R161" s="107">
        <v>1</v>
      </c>
      <c r="AI161" s="11"/>
      <c r="AL161" s="122">
        <v>45089.6448842593</v>
      </c>
      <c r="AM161" s="107">
        <v>1</v>
      </c>
    </row>
    <row r="162" spans="1:39">
      <c r="A162" s="106" t="s">
        <v>4314</v>
      </c>
      <c r="B162" s="107">
        <v>1</v>
      </c>
      <c r="E162" s="108"/>
      <c r="H162" s="105"/>
      <c r="L162" s="105"/>
      <c r="Q162" s="106" t="s">
        <v>2634</v>
      </c>
      <c r="R162" s="107">
        <v>1</v>
      </c>
      <c r="AI162" s="11"/>
      <c r="AL162" s="122">
        <v>45090.4028472222</v>
      </c>
      <c r="AM162" s="107">
        <v>1</v>
      </c>
    </row>
    <row r="163" spans="1:39">
      <c r="A163" s="106" t="s">
        <v>4241</v>
      </c>
      <c r="B163" s="107">
        <v>2</v>
      </c>
      <c r="E163" s="108"/>
      <c r="H163" s="105"/>
      <c r="L163" s="105"/>
      <c r="Q163" s="106" t="s">
        <v>3869</v>
      </c>
      <c r="R163" s="107">
        <v>1</v>
      </c>
      <c r="AI163" s="11"/>
      <c r="AL163" s="122">
        <v>45090.4154398148</v>
      </c>
      <c r="AM163" s="107">
        <v>1</v>
      </c>
    </row>
    <row r="164" spans="1:39">
      <c r="A164" s="106" t="s">
        <v>565</v>
      </c>
      <c r="B164" s="107">
        <v>1</v>
      </c>
      <c r="E164" s="108"/>
      <c r="H164" s="105"/>
      <c r="L164" s="105"/>
      <c r="Q164" s="106" t="s">
        <v>4754</v>
      </c>
      <c r="R164" s="107">
        <v>1</v>
      </c>
      <c r="AI164" s="11"/>
      <c r="AL164" s="122">
        <v>45090.4515393519</v>
      </c>
      <c r="AM164" s="107">
        <v>1</v>
      </c>
    </row>
    <row r="165" spans="1:39">
      <c r="A165" s="106" t="s">
        <v>3952</v>
      </c>
      <c r="B165" s="107">
        <v>1</v>
      </c>
      <c r="E165" s="108"/>
      <c r="H165" s="105"/>
      <c r="L165" s="105"/>
      <c r="Q165" s="106" t="s">
        <v>2638</v>
      </c>
      <c r="R165" s="107">
        <v>1</v>
      </c>
      <c r="AI165" s="11"/>
      <c r="AL165" s="122">
        <v>45090.4977430556</v>
      </c>
      <c r="AM165" s="107">
        <v>1</v>
      </c>
    </row>
    <row r="166" spans="1:39">
      <c r="A166" s="106" t="s">
        <v>4782</v>
      </c>
      <c r="B166" s="107">
        <v>2</v>
      </c>
      <c r="E166" s="108"/>
      <c r="H166" s="105"/>
      <c r="L166" s="105"/>
      <c r="Q166" s="106" t="s">
        <v>2315</v>
      </c>
      <c r="R166" s="107">
        <v>1</v>
      </c>
      <c r="AI166" s="11"/>
      <c r="AL166" s="122">
        <v>45090.5589467593</v>
      </c>
      <c r="AM166" s="107">
        <v>1</v>
      </c>
    </row>
    <row r="167" spans="1:39">
      <c r="A167" s="101" t="s">
        <v>234</v>
      </c>
      <c r="B167" s="102">
        <v>4</v>
      </c>
      <c r="E167" s="108"/>
      <c r="H167" s="105"/>
      <c r="L167" s="105"/>
      <c r="Q167" s="106" t="s">
        <v>2616</v>
      </c>
      <c r="R167" s="107">
        <v>1</v>
      </c>
      <c r="AI167" s="11"/>
      <c r="AL167" s="122">
        <v>45090.5757986111</v>
      </c>
      <c r="AM167" s="107">
        <v>1</v>
      </c>
    </row>
    <row r="168" spans="1:39">
      <c r="A168" s="101" t="s">
        <v>3277</v>
      </c>
      <c r="B168" s="102">
        <v>2</v>
      </c>
      <c r="E168" s="108"/>
      <c r="H168" s="105"/>
      <c r="L168" s="105"/>
      <c r="Q168" s="106" t="s">
        <v>3495</v>
      </c>
      <c r="R168" s="107">
        <v>1</v>
      </c>
      <c r="AI168" s="11"/>
      <c r="AL168" s="122">
        <v>45090.5887268518</v>
      </c>
      <c r="AM168" s="107">
        <v>1</v>
      </c>
    </row>
    <row r="169" spans="1:39">
      <c r="A169" s="106" t="s">
        <v>3498</v>
      </c>
      <c r="B169" s="107">
        <v>4</v>
      </c>
      <c r="E169" s="108"/>
      <c r="H169" s="105"/>
      <c r="L169" s="105"/>
      <c r="Q169" s="106" t="s">
        <v>637</v>
      </c>
      <c r="R169" s="107">
        <v>1</v>
      </c>
      <c r="AI169" s="11"/>
      <c r="AL169" s="122">
        <v>45090.6720949074</v>
      </c>
      <c r="AM169" s="107">
        <v>1</v>
      </c>
    </row>
    <row r="170" spans="1:39">
      <c r="A170" s="106" t="s">
        <v>1277</v>
      </c>
      <c r="B170" s="107">
        <v>2</v>
      </c>
      <c r="E170" s="108"/>
      <c r="H170" s="105"/>
      <c r="L170" s="105"/>
      <c r="Q170" s="106" t="s">
        <v>4173</v>
      </c>
      <c r="R170" s="107">
        <v>1</v>
      </c>
      <c r="AI170" s="11"/>
      <c r="AL170" s="122">
        <v>45090.6964930556</v>
      </c>
      <c r="AM170" s="107">
        <v>1</v>
      </c>
    </row>
    <row r="171" spans="1:39">
      <c r="A171" s="106" t="s">
        <v>1519</v>
      </c>
      <c r="B171" s="107">
        <v>2</v>
      </c>
      <c r="E171" s="108"/>
      <c r="H171" s="105"/>
      <c r="L171" s="105"/>
      <c r="Q171" s="106" t="s">
        <v>3847</v>
      </c>
      <c r="R171" s="107">
        <v>1</v>
      </c>
      <c r="AI171" s="11"/>
      <c r="AL171" s="122">
        <v>45090.7208101852</v>
      </c>
      <c r="AM171" s="107">
        <v>1</v>
      </c>
    </row>
    <row r="172" spans="1:39">
      <c r="A172" s="106" t="s">
        <v>3437</v>
      </c>
      <c r="B172" s="107">
        <v>1</v>
      </c>
      <c r="E172" s="108"/>
      <c r="H172" s="105"/>
      <c r="L172" s="105"/>
      <c r="Q172" s="106" t="s">
        <v>3478</v>
      </c>
      <c r="R172" s="107">
        <v>1</v>
      </c>
      <c r="AI172" s="11"/>
      <c r="AL172" s="122">
        <v>45090.773125</v>
      </c>
      <c r="AM172" s="107">
        <v>1</v>
      </c>
    </row>
    <row r="173" spans="1:39">
      <c r="A173" s="106" t="s">
        <v>1370</v>
      </c>
      <c r="B173" s="107">
        <v>2</v>
      </c>
      <c r="E173" s="108"/>
      <c r="H173" s="105"/>
      <c r="L173" s="105"/>
      <c r="Q173" s="106" t="s">
        <v>1554</v>
      </c>
      <c r="R173" s="107">
        <v>1</v>
      </c>
      <c r="AI173" s="11"/>
      <c r="AL173" s="122">
        <v>45091.3689583333</v>
      </c>
      <c r="AM173" s="107">
        <v>1</v>
      </c>
    </row>
    <row r="174" spans="1:39">
      <c r="A174" s="106" t="s">
        <v>1499</v>
      </c>
      <c r="B174" s="107">
        <v>2</v>
      </c>
      <c r="E174" s="108"/>
      <c r="H174" s="105"/>
      <c r="L174" s="105"/>
      <c r="Q174" s="106" t="s">
        <v>4213</v>
      </c>
      <c r="R174" s="107">
        <v>2</v>
      </c>
      <c r="AI174" s="11"/>
      <c r="AL174" s="122">
        <v>45091.4160300926</v>
      </c>
      <c r="AM174" s="107">
        <v>1</v>
      </c>
    </row>
    <row r="175" spans="1:39">
      <c r="A175" s="101" t="s">
        <v>210</v>
      </c>
      <c r="B175" s="102">
        <v>2</v>
      </c>
      <c r="E175" s="108"/>
      <c r="H175" s="105"/>
      <c r="L175" s="105"/>
      <c r="Q175" s="106" t="s">
        <v>2918</v>
      </c>
      <c r="R175" s="107">
        <v>1</v>
      </c>
      <c r="AI175" s="11"/>
      <c r="AL175" s="122">
        <v>45091.4612615741</v>
      </c>
      <c r="AM175" s="107">
        <v>1</v>
      </c>
    </row>
    <row r="176" spans="1:39">
      <c r="A176" s="101" t="s">
        <v>4179</v>
      </c>
      <c r="B176" s="102">
        <v>2</v>
      </c>
      <c r="E176" s="108"/>
      <c r="H176" s="105"/>
      <c r="L176" s="105"/>
      <c r="Q176" s="106" t="s">
        <v>665</v>
      </c>
      <c r="R176" s="107">
        <v>1</v>
      </c>
      <c r="AI176" s="11"/>
      <c r="AL176" s="122">
        <v>45091.4764814815</v>
      </c>
      <c r="AM176" s="107">
        <v>1</v>
      </c>
    </row>
    <row r="177" spans="1:39">
      <c r="A177" s="106" t="s">
        <v>3993</v>
      </c>
      <c r="B177" s="107">
        <v>1</v>
      </c>
      <c r="E177" s="108"/>
      <c r="H177" s="105"/>
      <c r="L177" s="105"/>
      <c r="Q177" s="106" t="s">
        <v>365</v>
      </c>
      <c r="R177" s="107">
        <v>1</v>
      </c>
      <c r="AI177" s="11"/>
      <c r="AL177" s="122">
        <v>45091.480625</v>
      </c>
      <c r="AM177" s="107">
        <v>1</v>
      </c>
    </row>
    <row r="178" spans="1:39">
      <c r="A178" s="106" t="s">
        <v>2216</v>
      </c>
      <c r="B178" s="107">
        <v>3</v>
      </c>
      <c r="E178" s="108"/>
      <c r="H178" s="105"/>
      <c r="L178" s="105"/>
      <c r="Q178" s="106" t="s">
        <v>4617</v>
      </c>
      <c r="R178" s="107">
        <v>1</v>
      </c>
      <c r="AI178" s="11"/>
      <c r="AL178" s="122">
        <v>45091.5467824074</v>
      </c>
      <c r="AM178" s="107">
        <v>1</v>
      </c>
    </row>
    <row r="179" spans="1:39">
      <c r="A179" s="106" t="s">
        <v>584</v>
      </c>
      <c r="B179" s="107">
        <v>1</v>
      </c>
      <c r="E179" s="108"/>
      <c r="H179" s="105"/>
      <c r="L179" s="105"/>
      <c r="Q179" s="106" t="s">
        <v>4096</v>
      </c>
      <c r="R179" s="107">
        <v>1</v>
      </c>
      <c r="AI179" s="11"/>
      <c r="AL179" s="122">
        <v>45091.6210648148</v>
      </c>
      <c r="AM179" s="107">
        <v>1</v>
      </c>
    </row>
    <row r="180" spans="1:39">
      <c r="A180" s="106" t="s">
        <v>4504</v>
      </c>
      <c r="B180" s="107">
        <v>1</v>
      </c>
      <c r="E180" s="108"/>
      <c r="H180" s="105"/>
      <c r="L180" s="105"/>
      <c r="Q180" s="106" t="s">
        <v>1801</v>
      </c>
      <c r="R180" s="107">
        <v>1</v>
      </c>
      <c r="AI180" s="11"/>
      <c r="AL180" s="122">
        <v>45091.6353009259</v>
      </c>
      <c r="AM180" s="107">
        <v>1</v>
      </c>
    </row>
    <row r="181" spans="1:39">
      <c r="A181" s="106" t="s">
        <v>4518</v>
      </c>
      <c r="B181" s="107">
        <v>2</v>
      </c>
      <c r="E181" s="108"/>
      <c r="H181" s="105"/>
      <c r="L181" s="105"/>
      <c r="Q181" s="106" t="s">
        <v>4772</v>
      </c>
      <c r="R181" s="107">
        <v>1</v>
      </c>
      <c r="AI181" s="11"/>
      <c r="AL181" s="122">
        <v>45091.6505324074</v>
      </c>
      <c r="AM181" s="107">
        <v>1</v>
      </c>
    </row>
    <row r="182" spans="1:39">
      <c r="A182" s="106" t="s">
        <v>3475</v>
      </c>
      <c r="B182" s="107">
        <v>1</v>
      </c>
      <c r="E182" s="108"/>
      <c r="H182" s="105"/>
      <c r="L182" s="105"/>
      <c r="Q182" s="106" t="s">
        <v>4323</v>
      </c>
      <c r="R182" s="107">
        <v>2</v>
      </c>
      <c r="AI182" s="11"/>
      <c r="AL182" s="122">
        <v>45091.7349074074</v>
      </c>
      <c r="AM182" s="107">
        <v>1</v>
      </c>
    </row>
    <row r="183" spans="1:39">
      <c r="A183" s="106" t="s">
        <v>3570</v>
      </c>
      <c r="B183" s="107">
        <v>1</v>
      </c>
      <c r="E183" s="108"/>
      <c r="H183" s="105"/>
      <c r="L183" s="105"/>
      <c r="Q183" s="106" t="s">
        <v>272</v>
      </c>
      <c r="R183" s="107">
        <v>1</v>
      </c>
      <c r="AI183" s="11"/>
      <c r="AL183" s="122">
        <v>45091.7853472222</v>
      </c>
      <c r="AM183" s="107">
        <v>1</v>
      </c>
    </row>
    <row r="184" spans="1:39">
      <c r="A184" s="106" t="s">
        <v>4611</v>
      </c>
      <c r="B184" s="107">
        <v>2</v>
      </c>
      <c r="E184" s="108"/>
      <c r="H184" s="105"/>
      <c r="L184" s="105"/>
      <c r="Q184" s="106" t="s">
        <v>2068</v>
      </c>
      <c r="R184" s="107">
        <v>1</v>
      </c>
      <c r="AI184" s="11"/>
      <c r="AL184" s="122">
        <v>45092.3961574074</v>
      </c>
      <c r="AM184" s="107">
        <v>1</v>
      </c>
    </row>
    <row r="185" spans="1:39">
      <c r="A185" s="106" t="s">
        <v>1009</v>
      </c>
      <c r="B185" s="107">
        <v>2</v>
      </c>
      <c r="E185" s="108"/>
      <c r="H185" s="105"/>
      <c r="L185" s="105"/>
      <c r="Q185" s="106" t="s">
        <v>1087</v>
      </c>
      <c r="R185" s="107">
        <v>2</v>
      </c>
      <c r="AI185" s="11"/>
      <c r="AL185" s="122">
        <v>45092.5803240741</v>
      </c>
      <c r="AM185" s="107">
        <v>1</v>
      </c>
    </row>
    <row r="186" spans="1:39">
      <c r="A186" s="106" t="s">
        <v>2592</v>
      </c>
      <c r="B186" s="107">
        <v>2</v>
      </c>
      <c r="E186" s="108"/>
      <c r="H186" s="105"/>
      <c r="L186" s="105"/>
      <c r="Q186" s="106" t="s">
        <v>893</v>
      </c>
      <c r="R186" s="107">
        <v>1</v>
      </c>
      <c r="AI186" s="11"/>
      <c r="AL186" s="122">
        <v>45092.6433912037</v>
      </c>
      <c r="AM186" s="107">
        <v>1</v>
      </c>
    </row>
    <row r="187" spans="1:39">
      <c r="A187" s="106" t="s">
        <v>2555</v>
      </c>
      <c r="B187" s="107">
        <v>1</v>
      </c>
      <c r="E187" s="108"/>
      <c r="H187" s="105"/>
      <c r="L187" s="105"/>
      <c r="Q187" s="106" t="s">
        <v>2007</v>
      </c>
      <c r="R187" s="107">
        <v>1</v>
      </c>
      <c r="AI187" s="11"/>
      <c r="AL187" s="122">
        <v>45092.7275694444</v>
      </c>
      <c r="AM187" s="107">
        <v>1</v>
      </c>
    </row>
    <row r="188" spans="1:39">
      <c r="A188" s="106" t="s">
        <v>2015</v>
      </c>
      <c r="B188" s="107">
        <v>1</v>
      </c>
      <c r="E188" s="108"/>
      <c r="H188" s="105"/>
      <c r="L188" s="105"/>
      <c r="Q188" s="106" t="s">
        <v>4486</v>
      </c>
      <c r="R188" s="107">
        <v>1</v>
      </c>
      <c r="AI188" s="11"/>
      <c r="AL188" s="122">
        <v>45092.8325694444</v>
      </c>
      <c r="AM188" s="107">
        <v>1</v>
      </c>
    </row>
    <row r="189" spans="1:39">
      <c r="A189" s="106" t="s">
        <v>1229</v>
      </c>
      <c r="B189" s="107">
        <v>13</v>
      </c>
      <c r="E189" s="108"/>
      <c r="H189" s="105"/>
      <c r="L189" s="105"/>
      <c r="Q189" s="106" t="s">
        <v>455</v>
      </c>
      <c r="R189" s="107">
        <v>28</v>
      </c>
      <c r="AI189" s="11"/>
      <c r="AL189" s="122">
        <v>45093.3637615741</v>
      </c>
      <c r="AM189" s="107">
        <v>1</v>
      </c>
    </row>
    <row r="190" spans="1:39">
      <c r="A190" s="106" t="s">
        <v>3350</v>
      </c>
      <c r="B190" s="107">
        <v>1</v>
      </c>
      <c r="E190" s="108"/>
      <c r="H190" s="105"/>
      <c r="L190" s="105"/>
      <c r="Q190" s="106" t="s">
        <v>302</v>
      </c>
      <c r="R190" s="107">
        <v>33</v>
      </c>
      <c r="AI190" s="11"/>
      <c r="AL190" s="122">
        <v>45093.4169907407</v>
      </c>
      <c r="AM190" s="107">
        <v>1</v>
      </c>
    </row>
    <row r="191" spans="1:39">
      <c r="A191" s="106" t="s">
        <v>3558</v>
      </c>
      <c r="B191" s="107">
        <v>2</v>
      </c>
      <c r="E191" s="108"/>
      <c r="H191" s="105"/>
      <c r="L191" s="105"/>
      <c r="Q191" s="106" t="s">
        <v>2394</v>
      </c>
      <c r="R191" s="107">
        <v>9</v>
      </c>
      <c r="AI191" s="11"/>
      <c r="AL191" s="122">
        <v>45093.5166203704</v>
      </c>
      <c r="AM191" s="107">
        <v>1</v>
      </c>
    </row>
    <row r="192" spans="1:39">
      <c r="A192" s="106" t="s">
        <v>4221</v>
      </c>
      <c r="B192" s="107">
        <v>1</v>
      </c>
      <c r="E192" s="108"/>
      <c r="H192" s="105"/>
      <c r="L192" s="105"/>
      <c r="Q192" s="106" t="s">
        <v>646</v>
      </c>
      <c r="R192" s="107">
        <v>1</v>
      </c>
      <c r="AI192" s="11"/>
      <c r="AL192" s="122">
        <v>45093.5534490741</v>
      </c>
      <c r="AM192" s="107">
        <v>1</v>
      </c>
    </row>
    <row r="193" spans="1:39">
      <c r="A193" s="106" t="s">
        <v>4687</v>
      </c>
      <c r="B193" s="107">
        <v>2</v>
      </c>
      <c r="E193" s="108"/>
      <c r="H193" s="105"/>
      <c r="L193" s="105"/>
      <c r="Q193" s="106" t="s">
        <v>4875</v>
      </c>
      <c r="R193" s="107">
        <v>1</v>
      </c>
      <c r="AI193" s="11"/>
      <c r="AL193" s="122">
        <v>45093.6209953704</v>
      </c>
      <c r="AM193" s="107">
        <v>1</v>
      </c>
    </row>
    <row r="194" spans="1:39">
      <c r="A194" s="106" t="s">
        <v>4276</v>
      </c>
      <c r="B194" s="107">
        <v>1</v>
      </c>
      <c r="E194" s="108"/>
      <c r="H194" s="105"/>
      <c r="L194" s="105"/>
      <c r="Q194" s="106" t="s">
        <v>4886</v>
      </c>
      <c r="R194" s="107">
        <v>1</v>
      </c>
      <c r="AI194" s="11"/>
      <c r="AL194" s="122">
        <v>45093.7096527778</v>
      </c>
      <c r="AM194" s="107">
        <v>1</v>
      </c>
    </row>
    <row r="195" spans="1:39">
      <c r="A195" s="106" t="s">
        <v>4967</v>
      </c>
      <c r="B195" s="107">
        <v>1</v>
      </c>
      <c r="E195" s="108"/>
      <c r="H195" s="105"/>
      <c r="L195" s="105"/>
      <c r="Q195" s="106" t="s">
        <v>3794</v>
      </c>
      <c r="R195" s="107">
        <v>2</v>
      </c>
      <c r="AI195" s="11"/>
      <c r="AL195" s="122">
        <v>45093.7342939815</v>
      </c>
      <c r="AM195" s="107">
        <v>1</v>
      </c>
    </row>
    <row r="196" spans="1:39">
      <c r="A196" s="106" t="s">
        <v>2737</v>
      </c>
      <c r="B196" s="107">
        <v>1</v>
      </c>
      <c r="E196" s="108"/>
      <c r="H196" s="105"/>
      <c r="L196" s="105"/>
      <c r="Q196" s="106" t="s">
        <v>3775</v>
      </c>
      <c r="R196" s="107">
        <v>2</v>
      </c>
      <c r="AI196" s="11"/>
      <c r="AL196" s="122">
        <v>45093.7682638889</v>
      </c>
      <c r="AM196" s="107">
        <v>1</v>
      </c>
    </row>
    <row r="197" spans="1:39">
      <c r="A197" s="106" t="s">
        <v>1151</v>
      </c>
      <c r="B197" s="107">
        <v>2</v>
      </c>
      <c r="E197" s="108"/>
      <c r="H197" s="105"/>
      <c r="L197" s="105"/>
      <c r="Q197" s="106" t="s">
        <v>2590</v>
      </c>
      <c r="R197" s="107">
        <v>1</v>
      </c>
      <c r="AI197" s="11"/>
      <c r="AL197" s="122">
        <v>45094.3997685185</v>
      </c>
      <c r="AM197" s="107">
        <v>1</v>
      </c>
    </row>
    <row r="198" spans="1:39">
      <c r="A198" s="106" t="s">
        <v>1590</v>
      </c>
      <c r="B198" s="107">
        <v>1</v>
      </c>
      <c r="E198" s="108"/>
      <c r="H198" s="105"/>
      <c r="L198" s="105"/>
      <c r="Q198" s="106" t="s">
        <v>508</v>
      </c>
      <c r="R198" s="107">
        <v>1</v>
      </c>
      <c r="AI198" s="11"/>
      <c r="AL198" s="122">
        <v>45094.4282523148</v>
      </c>
      <c r="AM198" s="107">
        <v>1</v>
      </c>
    </row>
    <row r="199" spans="1:39">
      <c r="A199" s="106" t="s">
        <v>1146</v>
      </c>
      <c r="B199" s="107">
        <v>6</v>
      </c>
      <c r="E199" s="108"/>
      <c r="H199" s="105"/>
      <c r="L199" s="105"/>
      <c r="Q199" s="106" t="s">
        <v>4595</v>
      </c>
      <c r="R199" s="107">
        <v>1</v>
      </c>
      <c r="AI199" s="11"/>
      <c r="AL199" s="122">
        <v>45094.7204166667</v>
      </c>
      <c r="AM199" s="107">
        <v>1</v>
      </c>
    </row>
    <row r="200" spans="1:39">
      <c r="A200" s="106" t="s">
        <v>4893</v>
      </c>
      <c r="B200" s="107">
        <v>1</v>
      </c>
      <c r="E200" s="108"/>
      <c r="H200" s="105"/>
      <c r="L200" s="105"/>
      <c r="Q200" s="106" t="s">
        <v>4404</v>
      </c>
      <c r="R200" s="107">
        <v>2</v>
      </c>
      <c r="AI200" s="11"/>
      <c r="AL200" s="122">
        <v>45095.5360648148</v>
      </c>
      <c r="AM200" s="107">
        <v>1</v>
      </c>
    </row>
    <row r="201" spans="1:39">
      <c r="A201" s="106" t="s">
        <v>1570</v>
      </c>
      <c r="B201" s="107">
        <v>1</v>
      </c>
      <c r="E201" s="108"/>
      <c r="H201" s="105"/>
      <c r="L201" s="105"/>
      <c r="Q201" s="106" t="s">
        <v>4621</v>
      </c>
      <c r="R201" s="107">
        <v>1</v>
      </c>
      <c r="AI201" s="11"/>
      <c r="AL201" s="122">
        <v>45095.6222569444</v>
      </c>
      <c r="AM201" s="107">
        <v>1</v>
      </c>
    </row>
    <row r="202" spans="1:39">
      <c r="A202" s="106" t="s">
        <v>3471</v>
      </c>
      <c r="B202" s="107">
        <v>2</v>
      </c>
      <c r="E202" s="108"/>
      <c r="H202" s="105"/>
      <c r="L202" s="105"/>
      <c r="Q202" s="106" t="s">
        <v>470</v>
      </c>
      <c r="R202" s="107">
        <v>1</v>
      </c>
      <c r="AI202" s="11"/>
      <c r="AL202" s="122">
        <v>45096.3449421296</v>
      </c>
      <c r="AM202" s="107">
        <v>1</v>
      </c>
    </row>
    <row r="203" spans="1:39">
      <c r="A203" s="106" t="s">
        <v>2505</v>
      </c>
      <c r="B203" s="107">
        <v>2</v>
      </c>
      <c r="E203" s="108"/>
      <c r="H203" s="105"/>
      <c r="L203" s="105"/>
      <c r="Q203" s="106" t="s">
        <v>2110</v>
      </c>
      <c r="R203" s="107">
        <v>2</v>
      </c>
      <c r="AI203" s="11"/>
      <c r="AL203" s="122">
        <v>45096.4982175926</v>
      </c>
      <c r="AM203" s="107">
        <v>1</v>
      </c>
    </row>
    <row r="204" spans="1:39">
      <c r="A204" s="106" t="s">
        <v>4146</v>
      </c>
      <c r="B204" s="107">
        <v>1</v>
      </c>
      <c r="E204" s="108"/>
      <c r="H204" s="105"/>
      <c r="L204" s="105"/>
      <c r="Q204" s="106" t="s">
        <v>1317</v>
      </c>
      <c r="R204" s="107">
        <v>1</v>
      </c>
      <c r="AI204" s="11"/>
      <c r="AL204" s="122">
        <v>45096.5492013889</v>
      </c>
      <c r="AM204" s="107">
        <v>1</v>
      </c>
    </row>
    <row r="205" spans="1:39">
      <c r="A205" s="106" t="s">
        <v>1406</v>
      </c>
      <c r="B205" s="107">
        <v>3</v>
      </c>
      <c r="E205" s="108"/>
      <c r="H205" s="105"/>
      <c r="L205" s="105"/>
      <c r="Q205" s="106" t="s">
        <v>3813</v>
      </c>
      <c r="R205" s="107">
        <v>1</v>
      </c>
      <c r="AI205" s="11"/>
      <c r="AL205" s="122">
        <v>45096.5534027778</v>
      </c>
      <c r="AM205" s="107">
        <v>1</v>
      </c>
    </row>
    <row r="206" spans="1:39">
      <c r="A206" s="106" t="s">
        <v>3717</v>
      </c>
      <c r="B206" s="107">
        <v>3</v>
      </c>
      <c r="E206" s="108"/>
      <c r="H206" s="105"/>
      <c r="L206" s="105"/>
      <c r="Q206" s="106" t="s">
        <v>831</v>
      </c>
      <c r="R206" s="107">
        <v>1</v>
      </c>
      <c r="AI206" s="11"/>
      <c r="AL206" s="122">
        <v>45096.5965509259</v>
      </c>
      <c r="AM206" s="107">
        <v>1</v>
      </c>
    </row>
    <row r="207" spans="1:39">
      <c r="A207" s="106" t="s">
        <v>1333</v>
      </c>
      <c r="B207" s="107">
        <v>5</v>
      </c>
      <c r="E207" s="108"/>
      <c r="H207" s="105"/>
      <c r="L207" s="105"/>
      <c r="Q207" s="106" t="s">
        <v>3541</v>
      </c>
      <c r="R207" s="107">
        <v>1</v>
      </c>
      <c r="AI207" s="11"/>
      <c r="AL207" s="122">
        <v>45096.6359143518</v>
      </c>
      <c r="AM207" s="107">
        <v>1</v>
      </c>
    </row>
    <row r="208" spans="1:39">
      <c r="A208" s="106" t="s">
        <v>3528</v>
      </c>
      <c r="B208" s="107">
        <v>3</v>
      </c>
      <c r="E208" s="108"/>
      <c r="H208" s="105"/>
      <c r="L208" s="105"/>
      <c r="Q208" s="106" t="s">
        <v>4396</v>
      </c>
      <c r="R208" s="107">
        <v>1</v>
      </c>
      <c r="AI208" s="11"/>
      <c r="AL208" s="122">
        <v>45096.6900925926</v>
      </c>
      <c r="AM208" s="107">
        <v>1</v>
      </c>
    </row>
    <row r="209" spans="1:39">
      <c r="A209" s="106" t="s">
        <v>904</v>
      </c>
      <c r="B209" s="107">
        <v>3</v>
      </c>
      <c r="E209" s="108"/>
      <c r="H209" s="105"/>
      <c r="L209" s="105"/>
      <c r="Q209" s="106" t="s">
        <v>4360</v>
      </c>
      <c r="R209" s="107">
        <v>1</v>
      </c>
      <c r="AI209" s="11"/>
      <c r="AL209" s="122">
        <v>45096.6927314815</v>
      </c>
      <c r="AM209" s="107">
        <v>1</v>
      </c>
    </row>
    <row r="210" spans="1:39">
      <c r="A210" s="106" t="s">
        <v>3155</v>
      </c>
      <c r="B210" s="107">
        <v>1</v>
      </c>
      <c r="E210" s="108"/>
      <c r="H210" s="105"/>
      <c r="L210" s="105"/>
      <c r="Q210" s="106" t="s">
        <v>2921</v>
      </c>
      <c r="R210" s="107">
        <v>1</v>
      </c>
      <c r="AI210" s="11"/>
      <c r="AL210" s="122">
        <v>45096.7023148148</v>
      </c>
      <c r="AM210" s="107">
        <v>1</v>
      </c>
    </row>
    <row r="211" spans="1:39">
      <c r="A211" s="106" t="s">
        <v>2923</v>
      </c>
      <c r="B211" s="107">
        <v>1</v>
      </c>
      <c r="E211" s="108"/>
      <c r="H211" s="105"/>
      <c r="L211" s="105"/>
      <c r="Q211" s="106" t="s">
        <v>3140</v>
      </c>
      <c r="R211" s="107">
        <v>1</v>
      </c>
      <c r="AI211" s="11"/>
      <c r="AL211" s="122">
        <v>45096.7046990741</v>
      </c>
      <c r="AM211" s="107">
        <v>1</v>
      </c>
    </row>
    <row r="212" spans="1:39">
      <c r="A212" s="106" t="s">
        <v>705</v>
      </c>
      <c r="B212" s="107">
        <v>2</v>
      </c>
      <c r="E212" s="108"/>
      <c r="H212" s="105"/>
      <c r="L212" s="105"/>
      <c r="Q212" s="106" t="s">
        <v>4578</v>
      </c>
      <c r="R212" s="107">
        <v>1</v>
      </c>
      <c r="AI212" s="11"/>
      <c r="AL212" s="122">
        <v>45096.7118518519</v>
      </c>
      <c r="AM212" s="107">
        <v>1</v>
      </c>
    </row>
    <row r="213" spans="1:39">
      <c r="A213" s="106" t="s">
        <v>340</v>
      </c>
      <c r="B213" s="107">
        <v>1</v>
      </c>
      <c r="E213" s="108"/>
      <c r="H213" s="105"/>
      <c r="L213" s="105"/>
      <c r="Q213" s="106" t="s">
        <v>2865</v>
      </c>
      <c r="R213" s="107">
        <v>1</v>
      </c>
      <c r="AI213" s="11"/>
      <c r="AL213" s="122">
        <v>45096.7294791667</v>
      </c>
      <c r="AM213" s="107">
        <v>1</v>
      </c>
    </row>
    <row r="214" spans="1:39">
      <c r="A214" s="106" t="s">
        <v>4625</v>
      </c>
      <c r="B214" s="107">
        <v>1</v>
      </c>
      <c r="E214" s="108"/>
      <c r="H214" s="105"/>
      <c r="L214" s="105"/>
      <c r="Q214" s="106" t="s">
        <v>3287</v>
      </c>
      <c r="R214" s="107">
        <v>1</v>
      </c>
      <c r="AI214" s="11"/>
      <c r="AL214" s="122">
        <v>45096.7832638889</v>
      </c>
      <c r="AM214" s="107">
        <v>1</v>
      </c>
    </row>
    <row r="215" spans="1:39">
      <c r="A215" s="106" t="s">
        <v>3340</v>
      </c>
      <c r="B215" s="107">
        <v>1</v>
      </c>
      <c r="E215" s="108"/>
      <c r="H215" s="105"/>
      <c r="L215" s="105"/>
      <c r="Q215" s="106" t="s">
        <v>4152</v>
      </c>
      <c r="R215" s="107">
        <v>1</v>
      </c>
      <c r="AI215" s="11"/>
      <c r="AL215" s="122">
        <v>45097.4913194444</v>
      </c>
      <c r="AM215" s="107">
        <v>1</v>
      </c>
    </row>
    <row r="216" spans="1:39">
      <c r="A216" s="106" t="s">
        <v>1599</v>
      </c>
      <c r="B216" s="107">
        <v>3</v>
      </c>
      <c r="E216" s="108"/>
      <c r="H216" s="105"/>
      <c r="L216" s="105"/>
      <c r="Q216" s="106" t="s">
        <v>3306</v>
      </c>
      <c r="R216" s="107">
        <v>1</v>
      </c>
      <c r="AI216" s="11"/>
      <c r="AL216" s="122">
        <v>45097.5945717593</v>
      </c>
      <c r="AM216" s="107">
        <v>1</v>
      </c>
    </row>
    <row r="217" spans="1:39">
      <c r="A217" s="106" t="s">
        <v>1624</v>
      </c>
      <c r="B217" s="107">
        <v>1</v>
      </c>
      <c r="E217" s="108"/>
      <c r="H217" s="105"/>
      <c r="L217" s="105"/>
      <c r="Q217" s="106" t="s">
        <v>490</v>
      </c>
      <c r="R217" s="107">
        <v>1</v>
      </c>
      <c r="AI217" s="11"/>
      <c r="AL217" s="122">
        <v>45097.6049884259</v>
      </c>
      <c r="AM217" s="107">
        <v>1</v>
      </c>
    </row>
    <row r="218" spans="1:39">
      <c r="A218" s="106" t="s">
        <v>794</v>
      </c>
      <c r="B218" s="107">
        <v>2</v>
      </c>
      <c r="E218" s="108"/>
      <c r="H218" s="105"/>
      <c r="L218" s="105"/>
      <c r="Q218" s="106" t="s">
        <v>1417</v>
      </c>
      <c r="R218" s="107">
        <v>1</v>
      </c>
      <c r="AI218" s="11"/>
      <c r="AL218" s="122">
        <v>45097.6841203704</v>
      </c>
      <c r="AM218" s="107">
        <v>1</v>
      </c>
    </row>
    <row r="219" spans="1:39">
      <c r="A219" s="106" t="s">
        <v>4566</v>
      </c>
      <c r="B219" s="107">
        <v>1</v>
      </c>
      <c r="E219" s="108"/>
      <c r="H219" s="105"/>
      <c r="L219" s="105"/>
      <c r="Q219" s="106" t="s">
        <v>777</v>
      </c>
      <c r="R219" s="107">
        <v>5</v>
      </c>
      <c r="AI219" s="11"/>
      <c r="AL219" s="122">
        <v>45097.6877314815</v>
      </c>
      <c r="AM219" s="107">
        <v>1</v>
      </c>
    </row>
    <row r="220" spans="1:39">
      <c r="A220" s="106" t="s">
        <v>4555</v>
      </c>
      <c r="B220" s="107">
        <v>1</v>
      </c>
      <c r="E220" s="108"/>
      <c r="H220" s="105"/>
      <c r="L220" s="105"/>
      <c r="Q220" s="106" t="s">
        <v>3504</v>
      </c>
      <c r="R220" s="107">
        <v>1</v>
      </c>
      <c r="AI220" s="11"/>
      <c r="AL220" s="122">
        <v>45097.8170717593</v>
      </c>
      <c r="AM220" s="107">
        <v>1</v>
      </c>
    </row>
    <row r="221" spans="1:39">
      <c r="A221" s="106" t="s">
        <v>3597</v>
      </c>
      <c r="B221" s="107">
        <v>2</v>
      </c>
      <c r="E221" s="108"/>
      <c r="H221" s="105"/>
      <c r="L221" s="105"/>
      <c r="Q221" s="106" t="s">
        <v>2612</v>
      </c>
      <c r="R221" s="107">
        <v>1</v>
      </c>
      <c r="AI221" s="11"/>
      <c r="AL221" s="122">
        <v>45098.3476736111</v>
      </c>
      <c r="AM221" s="107">
        <v>1</v>
      </c>
    </row>
    <row r="222" spans="1:39">
      <c r="A222" s="106" t="s">
        <v>3505</v>
      </c>
      <c r="B222" s="107">
        <v>2</v>
      </c>
      <c r="E222" s="108"/>
      <c r="H222" s="105"/>
      <c r="L222" s="105"/>
      <c r="Q222" s="106" t="s">
        <v>919</v>
      </c>
      <c r="R222" s="107">
        <v>3</v>
      </c>
      <c r="AI222" s="11"/>
      <c r="AL222" s="122">
        <v>45098.3651967593</v>
      </c>
      <c r="AM222" s="107">
        <v>1</v>
      </c>
    </row>
    <row r="223" spans="1:39">
      <c r="A223" s="106" t="s">
        <v>2618</v>
      </c>
      <c r="B223" s="107">
        <v>1</v>
      </c>
      <c r="E223" s="108"/>
      <c r="H223" s="105"/>
      <c r="L223" s="105"/>
      <c r="Q223" s="106" t="s">
        <v>1248</v>
      </c>
      <c r="R223" s="107">
        <v>1</v>
      </c>
      <c r="AI223" s="11"/>
      <c r="AL223" s="122">
        <v>45098.4408333333</v>
      </c>
      <c r="AM223" s="107">
        <v>1</v>
      </c>
    </row>
    <row r="224" spans="1:39">
      <c r="A224" s="106" t="s">
        <v>4999</v>
      </c>
      <c r="B224" s="107">
        <v>1</v>
      </c>
      <c r="E224" s="108"/>
      <c r="H224" s="105"/>
      <c r="L224" s="105"/>
      <c r="Q224" s="106" t="s">
        <v>3636</v>
      </c>
      <c r="R224" s="107">
        <v>1</v>
      </c>
      <c r="AI224" s="11"/>
      <c r="AL224" s="122">
        <v>45098.5029166667</v>
      </c>
      <c r="AM224" s="107">
        <v>1</v>
      </c>
    </row>
    <row r="225" spans="1:39">
      <c r="A225" s="106" t="s">
        <v>2846</v>
      </c>
      <c r="B225" s="107">
        <v>2</v>
      </c>
      <c r="E225" s="108"/>
      <c r="H225" s="105"/>
      <c r="L225" s="105"/>
      <c r="Q225" s="106" t="s">
        <v>1046</v>
      </c>
      <c r="R225" s="107">
        <v>1</v>
      </c>
      <c r="AI225" s="11"/>
      <c r="AL225" s="122">
        <v>45098.6832523148</v>
      </c>
      <c r="AM225" s="107">
        <v>1</v>
      </c>
    </row>
    <row r="226" spans="1:39">
      <c r="A226" s="106" t="s">
        <v>1353</v>
      </c>
      <c r="B226" s="107">
        <v>2</v>
      </c>
      <c r="E226" s="108"/>
      <c r="H226" s="105"/>
      <c r="L226" s="105"/>
      <c r="Q226" s="106" t="s">
        <v>1443</v>
      </c>
      <c r="R226" s="107">
        <v>1</v>
      </c>
      <c r="AI226" s="11"/>
      <c r="AL226" s="122">
        <v>45099.347662037</v>
      </c>
      <c r="AM226" s="107">
        <v>1</v>
      </c>
    </row>
    <row r="227" spans="1:39">
      <c r="A227" s="106" t="s">
        <v>4758</v>
      </c>
      <c r="B227" s="107">
        <v>2</v>
      </c>
      <c r="E227" s="108"/>
      <c r="H227" s="105"/>
      <c r="L227" s="105"/>
      <c r="Q227" s="106" t="s">
        <v>2536</v>
      </c>
      <c r="R227" s="107">
        <v>1</v>
      </c>
      <c r="AI227" s="11"/>
      <c r="AL227" s="122">
        <v>45099.3698842593</v>
      </c>
      <c r="AM227" s="107">
        <v>1</v>
      </c>
    </row>
    <row r="228" spans="1:39">
      <c r="A228" s="101" t="s">
        <v>269</v>
      </c>
      <c r="B228" s="102">
        <v>2</v>
      </c>
      <c r="E228" s="108"/>
      <c r="H228" s="105"/>
      <c r="L228" s="105"/>
      <c r="Q228" s="106" t="s">
        <v>1422</v>
      </c>
      <c r="R228" s="107">
        <v>1</v>
      </c>
      <c r="AI228" s="11"/>
      <c r="AL228" s="122">
        <v>45099.3756481481</v>
      </c>
      <c r="AM228" s="107">
        <v>1</v>
      </c>
    </row>
    <row r="229" spans="1:39">
      <c r="A229" s="101" t="s">
        <v>1919</v>
      </c>
      <c r="B229" s="102">
        <v>1</v>
      </c>
      <c r="E229" s="108"/>
      <c r="H229" s="105"/>
      <c r="L229" s="105"/>
      <c r="Q229" s="106" t="s">
        <v>399</v>
      </c>
      <c r="R229" s="107">
        <v>60</v>
      </c>
      <c r="AI229" s="11"/>
      <c r="AL229" s="122">
        <v>45099.5181134259</v>
      </c>
      <c r="AM229" s="107">
        <v>1</v>
      </c>
    </row>
    <row r="230" spans="1:39">
      <c r="A230" s="106" t="s">
        <v>4293</v>
      </c>
      <c r="B230" s="107">
        <v>5</v>
      </c>
      <c r="E230" s="108"/>
      <c r="H230" s="105"/>
      <c r="L230" s="105"/>
      <c r="Q230" s="106" t="s">
        <v>3639</v>
      </c>
      <c r="R230" s="107">
        <v>1</v>
      </c>
      <c r="AI230" s="11"/>
      <c r="AL230" s="122">
        <v>45099.5388541667</v>
      </c>
      <c r="AM230" s="107">
        <v>1</v>
      </c>
    </row>
    <row r="231" spans="1:39">
      <c r="A231" s="106" t="s">
        <v>1004</v>
      </c>
      <c r="B231" s="107">
        <v>21</v>
      </c>
      <c r="E231" s="108"/>
      <c r="H231" s="105"/>
      <c r="L231" s="105"/>
      <c r="Q231" s="106" t="s">
        <v>4106</v>
      </c>
      <c r="R231" s="107">
        <v>1</v>
      </c>
      <c r="AI231" s="11"/>
      <c r="AL231" s="122">
        <v>45099.5582175926</v>
      </c>
      <c r="AM231" s="107">
        <v>1</v>
      </c>
    </row>
    <row r="232" spans="1:39">
      <c r="A232" s="106" t="s">
        <v>3066</v>
      </c>
      <c r="B232" s="107">
        <v>5</v>
      </c>
      <c r="E232" s="108"/>
      <c r="H232" s="105"/>
      <c r="L232" s="105"/>
      <c r="Q232" s="106" t="s">
        <v>4440</v>
      </c>
      <c r="R232" s="107">
        <v>1</v>
      </c>
      <c r="AI232" s="11"/>
      <c r="AL232" s="122">
        <v>45099.6046180556</v>
      </c>
      <c r="AM232" s="107">
        <v>1</v>
      </c>
    </row>
    <row r="233" spans="1:39">
      <c r="A233" s="106" t="s">
        <v>834</v>
      </c>
      <c r="B233" s="107">
        <v>2</v>
      </c>
      <c r="E233" s="108"/>
      <c r="H233" s="105"/>
      <c r="L233" s="105"/>
      <c r="Q233" s="106" t="s">
        <v>2760</v>
      </c>
      <c r="R233" s="107">
        <v>9</v>
      </c>
      <c r="AI233" s="11"/>
      <c r="AL233" s="122">
        <v>45099.6213773148</v>
      </c>
      <c r="AM233" s="107">
        <v>1</v>
      </c>
    </row>
    <row r="234" spans="1:39">
      <c r="A234" s="106" t="s">
        <v>3088</v>
      </c>
      <c r="B234" s="107">
        <v>2</v>
      </c>
      <c r="E234" s="108"/>
      <c r="H234" s="105"/>
      <c r="L234" s="105"/>
      <c r="Q234" s="106" t="s">
        <v>4501</v>
      </c>
      <c r="R234" s="107">
        <v>1</v>
      </c>
      <c r="AI234" s="11"/>
      <c r="AL234" s="122">
        <v>45099.6782175926</v>
      </c>
      <c r="AM234" s="107">
        <v>1</v>
      </c>
    </row>
    <row r="235" spans="1:39">
      <c r="A235" s="106" t="s">
        <v>1250</v>
      </c>
      <c r="B235" s="107">
        <v>5</v>
      </c>
      <c r="E235" s="108"/>
      <c r="H235" s="105"/>
      <c r="L235" s="105"/>
      <c r="Q235" s="106" t="s">
        <v>3784</v>
      </c>
      <c r="R235" s="107">
        <v>1</v>
      </c>
      <c r="AI235" s="11"/>
      <c r="AL235" s="122">
        <v>45100.3654976852</v>
      </c>
      <c r="AM235" s="107">
        <v>1</v>
      </c>
    </row>
    <row r="236" spans="1:39">
      <c r="A236" s="106" t="s">
        <v>2050</v>
      </c>
      <c r="B236" s="107">
        <v>1</v>
      </c>
      <c r="E236" s="108"/>
      <c r="H236" s="105"/>
      <c r="L236" s="105"/>
      <c r="Q236" s="106" t="s">
        <v>3169</v>
      </c>
      <c r="R236" s="107">
        <v>1</v>
      </c>
      <c r="AI236" s="11"/>
      <c r="AL236" s="122">
        <v>45100.3663194444</v>
      </c>
      <c r="AM236" s="107">
        <v>1</v>
      </c>
    </row>
    <row r="237" spans="1:39">
      <c r="A237" s="106" t="s">
        <v>3554</v>
      </c>
      <c r="B237" s="107">
        <v>1</v>
      </c>
      <c r="E237" s="108"/>
      <c r="H237" s="105"/>
      <c r="L237" s="105"/>
      <c r="Q237" s="106" t="s">
        <v>2265</v>
      </c>
      <c r="R237" s="107">
        <v>1</v>
      </c>
      <c r="AI237" s="11"/>
      <c r="AL237" s="122">
        <v>45100.44625</v>
      </c>
      <c r="AM237" s="107">
        <v>1</v>
      </c>
    </row>
    <row r="238" spans="1:39">
      <c r="A238" s="101" t="s">
        <v>120</v>
      </c>
      <c r="B238" s="102">
        <v>4</v>
      </c>
      <c r="E238" s="108"/>
      <c r="H238" s="105"/>
      <c r="L238" s="105"/>
      <c r="Q238" s="106" t="s">
        <v>1704</v>
      </c>
      <c r="R238" s="107">
        <v>1</v>
      </c>
      <c r="AI238" s="11"/>
      <c r="AL238" s="122">
        <v>45101.6123958333</v>
      </c>
      <c r="AM238" s="107">
        <v>1</v>
      </c>
    </row>
    <row r="239" spans="1:39">
      <c r="A239" s="101" t="s">
        <v>1206</v>
      </c>
      <c r="B239" s="102">
        <v>1</v>
      </c>
      <c r="E239" s="108"/>
      <c r="H239" s="105"/>
      <c r="L239" s="105"/>
      <c r="Q239" s="106" t="s">
        <v>1106</v>
      </c>
      <c r="R239" s="107">
        <v>2</v>
      </c>
      <c r="AI239" s="11"/>
      <c r="AL239" s="122">
        <v>45101.7820601852</v>
      </c>
      <c r="AM239" s="107">
        <v>1</v>
      </c>
    </row>
    <row r="240" spans="1:39">
      <c r="A240" s="106" t="s">
        <v>4710</v>
      </c>
      <c r="B240" s="107">
        <v>2</v>
      </c>
      <c r="E240" s="108"/>
      <c r="H240" s="105"/>
      <c r="L240" s="105"/>
      <c r="Q240" s="106" t="s">
        <v>790</v>
      </c>
      <c r="R240" s="107">
        <v>1</v>
      </c>
      <c r="AI240" s="11"/>
      <c r="AL240" s="122">
        <v>45102.3550925926</v>
      </c>
      <c r="AM240" s="107">
        <v>1</v>
      </c>
    </row>
    <row r="241" spans="1:39">
      <c r="A241" s="106" t="s">
        <v>2030</v>
      </c>
      <c r="B241" s="107">
        <v>2</v>
      </c>
      <c r="E241" s="108"/>
      <c r="H241" s="105"/>
      <c r="L241" s="105"/>
      <c r="Q241" s="106" t="s">
        <v>1372</v>
      </c>
      <c r="R241" s="107">
        <v>2</v>
      </c>
      <c r="AI241" s="11"/>
      <c r="AL241" s="122">
        <v>45102.3740740741</v>
      </c>
      <c r="AM241" s="107">
        <v>1</v>
      </c>
    </row>
    <row r="242" spans="1:39">
      <c r="A242" s="101" t="s">
        <v>243</v>
      </c>
      <c r="B242" s="102">
        <v>2</v>
      </c>
      <c r="E242" s="108"/>
      <c r="H242" s="105"/>
      <c r="L242" s="105"/>
      <c r="Q242" s="106" t="s">
        <v>708</v>
      </c>
      <c r="R242" s="107">
        <v>1</v>
      </c>
      <c r="AI242" s="11"/>
      <c r="AL242" s="122">
        <v>45102.6785185185</v>
      </c>
      <c r="AM242" s="107">
        <v>1</v>
      </c>
    </row>
    <row r="243" spans="1:39">
      <c r="A243" s="101" t="s">
        <v>1107</v>
      </c>
      <c r="B243" s="102">
        <v>1</v>
      </c>
      <c r="E243" s="108"/>
      <c r="H243" s="105"/>
      <c r="L243" s="105"/>
      <c r="Q243" s="106" t="s">
        <v>2768</v>
      </c>
      <c r="R243" s="107">
        <v>1</v>
      </c>
      <c r="AI243" s="11"/>
      <c r="AL243" s="122">
        <v>45103.3891435185</v>
      </c>
      <c r="AM243" s="107">
        <v>1</v>
      </c>
    </row>
    <row r="244" spans="1:39">
      <c r="A244" s="106" t="s">
        <v>1301</v>
      </c>
      <c r="B244" s="107">
        <v>1</v>
      </c>
      <c r="E244" s="108"/>
      <c r="H244" s="105"/>
      <c r="L244" s="105"/>
      <c r="Q244" s="106" t="s">
        <v>356</v>
      </c>
      <c r="R244" s="107">
        <v>23</v>
      </c>
      <c r="AI244" s="11"/>
      <c r="AL244" s="122">
        <v>45103.6424074074</v>
      </c>
      <c r="AM244" s="107">
        <v>1</v>
      </c>
    </row>
    <row r="245" spans="1:39">
      <c r="A245" s="106" t="s">
        <v>3691</v>
      </c>
      <c r="B245" s="107">
        <v>2</v>
      </c>
      <c r="E245" s="108"/>
      <c r="H245" s="105"/>
      <c r="L245" s="105"/>
      <c r="Q245" s="106" t="s">
        <v>4342</v>
      </c>
      <c r="R245" s="107">
        <v>1</v>
      </c>
      <c r="AI245" s="11"/>
      <c r="AL245" s="122">
        <v>45103.6518402778</v>
      </c>
      <c r="AM245" s="107">
        <v>1</v>
      </c>
    </row>
    <row r="246" spans="1:39">
      <c r="A246" s="106" t="s">
        <v>4669</v>
      </c>
      <c r="B246" s="107">
        <v>1</v>
      </c>
      <c r="E246" s="108"/>
      <c r="H246" s="105"/>
      <c r="L246" s="105"/>
      <c r="Q246" s="106" t="s">
        <v>4337</v>
      </c>
      <c r="R246" s="107">
        <v>2</v>
      </c>
      <c r="AI246" s="11"/>
      <c r="AL246" s="122">
        <v>45103.7231597222</v>
      </c>
      <c r="AM246" s="107">
        <v>1</v>
      </c>
    </row>
    <row r="247" spans="1:39">
      <c r="A247" s="106" t="s">
        <v>4622</v>
      </c>
      <c r="B247" s="107">
        <v>3</v>
      </c>
      <c r="E247" s="108"/>
      <c r="H247" s="105"/>
      <c r="L247" s="105"/>
      <c r="Q247" s="106" t="s">
        <v>3422</v>
      </c>
      <c r="R247" s="107">
        <v>4</v>
      </c>
      <c r="AI247" s="11"/>
      <c r="AL247" s="122">
        <v>45104.3475694444</v>
      </c>
      <c r="AM247" s="107">
        <v>1</v>
      </c>
    </row>
    <row r="248" spans="1:39">
      <c r="A248" s="106" t="s">
        <v>2189</v>
      </c>
      <c r="B248" s="107">
        <v>3</v>
      </c>
      <c r="E248" s="108"/>
      <c r="H248" s="105"/>
      <c r="L248" s="105"/>
      <c r="Q248" s="106" t="s">
        <v>1304</v>
      </c>
      <c r="R248" s="107">
        <v>1</v>
      </c>
      <c r="AI248" s="11"/>
      <c r="AL248" s="122">
        <v>45104.5508217593</v>
      </c>
      <c r="AM248" s="107">
        <v>1</v>
      </c>
    </row>
    <row r="249" spans="1:39">
      <c r="A249" s="106" t="s">
        <v>3255</v>
      </c>
      <c r="B249" s="107">
        <v>3</v>
      </c>
      <c r="E249" s="108"/>
      <c r="H249" s="105"/>
      <c r="L249" s="105"/>
      <c r="Q249" s="106" t="s">
        <v>3447</v>
      </c>
      <c r="R249" s="107">
        <v>1</v>
      </c>
      <c r="AI249" s="11"/>
      <c r="AL249" s="122">
        <v>45104.6322222222</v>
      </c>
      <c r="AM249" s="107">
        <v>1</v>
      </c>
    </row>
    <row r="250" spans="1:39">
      <c r="A250" s="106" t="s">
        <v>1053</v>
      </c>
      <c r="B250" s="107">
        <v>1</v>
      </c>
      <c r="E250" s="108"/>
      <c r="H250" s="105"/>
      <c r="L250" s="105"/>
      <c r="Q250" s="106" t="s">
        <v>4701</v>
      </c>
      <c r="R250" s="107">
        <v>2</v>
      </c>
      <c r="AI250" s="11"/>
      <c r="AL250" s="122">
        <v>45104.747037037</v>
      </c>
      <c r="AM250" s="107">
        <v>1</v>
      </c>
    </row>
    <row r="251" spans="1:39">
      <c r="A251" s="106" t="s">
        <v>1813</v>
      </c>
      <c r="B251" s="107">
        <v>1</v>
      </c>
      <c r="E251" s="108"/>
      <c r="H251" s="105"/>
      <c r="L251" s="105"/>
      <c r="Q251" s="106" t="s">
        <v>2223</v>
      </c>
      <c r="R251" s="107">
        <v>1</v>
      </c>
      <c r="AI251" s="11"/>
      <c r="AL251" s="122">
        <v>45104.8174421296</v>
      </c>
      <c r="AM251" s="107">
        <v>1</v>
      </c>
    </row>
    <row r="252" spans="1:39">
      <c r="A252" s="106" t="s">
        <v>693</v>
      </c>
      <c r="B252" s="107">
        <v>5</v>
      </c>
      <c r="E252" s="108"/>
      <c r="H252" s="105"/>
      <c r="L252" s="105"/>
      <c r="Q252" s="106" t="s">
        <v>3166</v>
      </c>
      <c r="R252" s="107">
        <v>1</v>
      </c>
      <c r="AI252" s="11"/>
      <c r="AL252" s="122">
        <v>45105.5164583333</v>
      </c>
      <c r="AM252" s="107">
        <v>1</v>
      </c>
    </row>
    <row r="253" spans="1:39">
      <c r="A253" s="106" t="s">
        <v>4908</v>
      </c>
      <c r="B253" s="107">
        <v>1</v>
      </c>
      <c r="E253" s="108"/>
      <c r="H253" s="105"/>
      <c r="L253" s="105"/>
      <c r="Q253" s="106" t="s">
        <v>3006</v>
      </c>
      <c r="R253" s="107">
        <v>1</v>
      </c>
      <c r="AI253" s="11"/>
      <c r="AL253" s="122">
        <v>45105.6850231482</v>
      </c>
      <c r="AM253" s="107">
        <v>1</v>
      </c>
    </row>
    <row r="254" spans="1:39">
      <c r="A254" s="106" t="s">
        <v>3729</v>
      </c>
      <c r="B254" s="107">
        <v>2</v>
      </c>
      <c r="E254" s="108"/>
      <c r="H254" s="105"/>
      <c r="L254" s="105"/>
      <c r="Q254" s="106" t="s">
        <v>4084</v>
      </c>
      <c r="R254" s="107">
        <v>1</v>
      </c>
      <c r="AI254" s="11"/>
      <c r="AL254" s="122">
        <v>45105.700462963</v>
      </c>
      <c r="AM254" s="107">
        <v>1</v>
      </c>
    </row>
    <row r="255" spans="1:39">
      <c r="A255" s="106" t="s">
        <v>5033</v>
      </c>
      <c r="B255" s="107">
        <v>1</v>
      </c>
      <c r="E255" s="108"/>
      <c r="H255" s="105"/>
      <c r="L255" s="105"/>
      <c r="Q255" s="106" t="s">
        <v>3368</v>
      </c>
      <c r="R255" s="107">
        <v>1</v>
      </c>
      <c r="AI255" s="11"/>
      <c r="AL255" s="122">
        <v>45105.759212963</v>
      </c>
      <c r="AM255" s="107">
        <v>1</v>
      </c>
    </row>
    <row r="256" spans="1:39">
      <c r="A256" s="106" t="s">
        <v>674</v>
      </c>
      <c r="B256" s="107">
        <v>2</v>
      </c>
      <c r="E256" s="108"/>
      <c r="H256" s="105"/>
      <c r="L256" s="105"/>
      <c r="Q256" s="106" t="s">
        <v>55</v>
      </c>
      <c r="R256" s="107">
        <v>43</v>
      </c>
      <c r="AI256" s="11"/>
      <c r="AL256" s="122">
        <v>45106.3919212963</v>
      </c>
      <c r="AM256" s="107">
        <v>1</v>
      </c>
    </row>
    <row r="257" spans="1:39">
      <c r="A257" s="106" t="s">
        <v>1165</v>
      </c>
      <c r="B257" s="107">
        <v>4</v>
      </c>
      <c r="E257" s="108"/>
      <c r="H257" s="105"/>
      <c r="L257" s="105"/>
      <c r="Q257" s="106" t="s">
        <v>4671</v>
      </c>
      <c r="R257" s="107">
        <v>1</v>
      </c>
      <c r="AI257" s="11"/>
      <c r="AL257" s="122">
        <v>45106.4904398148</v>
      </c>
      <c r="AM257" s="107">
        <v>1</v>
      </c>
    </row>
    <row r="258" spans="1:39">
      <c r="A258" s="106" t="s">
        <v>1285</v>
      </c>
      <c r="B258" s="107">
        <v>1</v>
      </c>
      <c r="E258" s="108"/>
      <c r="H258" s="105"/>
      <c r="L258" s="105"/>
      <c r="Q258" s="106" t="s">
        <v>4983</v>
      </c>
      <c r="R258" s="107">
        <v>2</v>
      </c>
      <c r="AI258" s="11"/>
      <c r="AL258" s="122">
        <v>45106.6178125</v>
      </c>
      <c r="AM258" s="107">
        <v>1</v>
      </c>
    </row>
    <row r="259" spans="1:39">
      <c r="A259" s="106" t="s">
        <v>4703</v>
      </c>
      <c r="B259" s="107">
        <v>5</v>
      </c>
      <c r="E259" s="108"/>
      <c r="H259" s="105"/>
      <c r="L259" s="105"/>
      <c r="Q259" s="106" t="s">
        <v>3526</v>
      </c>
      <c r="R259" s="107">
        <v>1</v>
      </c>
      <c r="AI259" s="11"/>
      <c r="AL259" s="122">
        <v>45106.6209259259</v>
      </c>
      <c r="AM259" s="107">
        <v>1</v>
      </c>
    </row>
    <row r="260" spans="1:39">
      <c r="A260" s="106" t="s">
        <v>4836</v>
      </c>
      <c r="B260" s="107">
        <v>1</v>
      </c>
      <c r="E260" s="108"/>
      <c r="H260" s="105"/>
      <c r="L260" s="105"/>
      <c r="Q260" s="106" t="s">
        <v>295</v>
      </c>
      <c r="R260" s="107">
        <v>1</v>
      </c>
      <c r="AI260" s="11"/>
      <c r="AL260" s="122">
        <v>45106.7348148148</v>
      </c>
      <c r="AM260" s="107">
        <v>1</v>
      </c>
    </row>
    <row r="261" spans="1:39">
      <c r="A261" s="106" t="s">
        <v>2779</v>
      </c>
      <c r="B261" s="107">
        <v>1</v>
      </c>
      <c r="E261" s="108"/>
      <c r="H261" s="105"/>
      <c r="L261" s="105"/>
      <c r="Q261" s="106" t="s">
        <v>3990</v>
      </c>
      <c r="R261" s="107">
        <v>2</v>
      </c>
      <c r="AI261" s="11"/>
      <c r="AL261" s="122">
        <v>45106.7720601852</v>
      </c>
      <c r="AM261" s="107">
        <v>1</v>
      </c>
    </row>
    <row r="262" spans="1:39">
      <c r="A262" s="106" t="s">
        <v>2545</v>
      </c>
      <c r="B262" s="107">
        <v>1</v>
      </c>
      <c r="E262" s="108"/>
      <c r="H262" s="105"/>
      <c r="L262" s="105"/>
      <c r="Q262" s="106" t="s">
        <v>4026</v>
      </c>
      <c r="R262" s="107">
        <v>1</v>
      </c>
      <c r="AI262" s="11"/>
      <c r="AL262" s="122">
        <v>45106.7966087963</v>
      </c>
      <c r="AM262" s="107">
        <v>1</v>
      </c>
    </row>
    <row r="263" spans="1:39">
      <c r="A263" s="106" t="s">
        <v>911</v>
      </c>
      <c r="B263" s="107">
        <v>1</v>
      </c>
      <c r="E263" s="108"/>
      <c r="H263" s="105"/>
      <c r="L263" s="105"/>
      <c r="Q263" s="106" t="s">
        <v>3905</v>
      </c>
      <c r="R263" s="107">
        <v>1</v>
      </c>
      <c r="AI263" s="11"/>
      <c r="AL263" s="122">
        <v>45107.4507175926</v>
      </c>
      <c r="AM263" s="107">
        <v>1</v>
      </c>
    </row>
    <row r="264" spans="1:39">
      <c r="A264" s="106" t="s">
        <v>1401</v>
      </c>
      <c r="B264" s="107">
        <v>7</v>
      </c>
      <c r="E264" s="108"/>
      <c r="H264" s="105"/>
      <c r="L264" s="105"/>
      <c r="Q264" s="106" t="s">
        <v>1673</v>
      </c>
      <c r="R264" s="107">
        <v>1</v>
      </c>
      <c r="AI264" s="11"/>
      <c r="AL264" s="122">
        <v>45107.4864236111</v>
      </c>
      <c r="AM264" s="107">
        <v>1</v>
      </c>
    </row>
    <row r="265" spans="1:39">
      <c r="A265" s="106" t="s">
        <v>5012</v>
      </c>
      <c r="B265" s="107">
        <v>1</v>
      </c>
      <c r="E265" s="108"/>
      <c r="H265" s="105"/>
      <c r="L265" s="105"/>
      <c r="Q265" s="106" t="s">
        <v>1335</v>
      </c>
      <c r="R265" s="107">
        <v>2</v>
      </c>
      <c r="AI265" s="11"/>
      <c r="AL265" s="122">
        <v>45107.5838773148</v>
      </c>
      <c r="AM265" s="107">
        <v>1</v>
      </c>
    </row>
    <row r="266" spans="1:39">
      <c r="A266" s="106" t="s">
        <v>4030</v>
      </c>
      <c r="B266" s="107">
        <v>1</v>
      </c>
      <c r="E266" s="108"/>
      <c r="H266" s="105"/>
      <c r="L266" s="105"/>
      <c r="Q266" s="106" t="s">
        <v>5019</v>
      </c>
      <c r="R266" s="107">
        <v>1</v>
      </c>
      <c r="AI266" s="11"/>
      <c r="AL266" s="122">
        <v>45107.6528009259</v>
      </c>
      <c r="AM266" s="107">
        <v>1</v>
      </c>
    </row>
    <row r="267" spans="1:39">
      <c r="A267" s="106" t="s">
        <v>4891</v>
      </c>
      <c r="B267" s="107">
        <v>1</v>
      </c>
      <c r="E267" s="108"/>
      <c r="H267" s="105"/>
      <c r="L267" s="105"/>
      <c r="Q267" s="106" t="s">
        <v>1403</v>
      </c>
      <c r="R267" s="107">
        <v>3</v>
      </c>
      <c r="AI267" s="11"/>
      <c r="AL267" s="122">
        <v>45107.7396643519</v>
      </c>
      <c r="AM267" s="107">
        <v>1</v>
      </c>
    </row>
    <row r="268" spans="1:39">
      <c r="A268" s="106" t="s">
        <v>2866</v>
      </c>
      <c r="B268" s="107">
        <v>5</v>
      </c>
      <c r="E268" s="108"/>
      <c r="H268" s="105"/>
      <c r="L268" s="105"/>
      <c r="Q268" s="106" t="s">
        <v>1405</v>
      </c>
      <c r="R268" s="107">
        <v>1</v>
      </c>
      <c r="AI268" s="11"/>
      <c r="AL268" s="122">
        <v>45108.3728935185</v>
      </c>
      <c r="AM268" s="107">
        <v>1</v>
      </c>
    </row>
    <row r="269" spans="1:39">
      <c r="A269" s="106" t="s">
        <v>4734</v>
      </c>
      <c r="B269" s="107">
        <v>1</v>
      </c>
      <c r="E269" s="108"/>
      <c r="H269" s="105"/>
      <c r="L269" s="105"/>
      <c r="Q269" s="106" t="s">
        <v>2540</v>
      </c>
      <c r="R269" s="107">
        <v>2</v>
      </c>
      <c r="AI269" s="11"/>
      <c r="AL269" s="122">
        <v>45108.4478703704</v>
      </c>
      <c r="AM269" s="107">
        <v>1</v>
      </c>
    </row>
    <row r="270" spans="1:39">
      <c r="A270" s="106" t="s">
        <v>2812</v>
      </c>
      <c r="B270" s="107">
        <v>1</v>
      </c>
      <c r="E270" s="108"/>
      <c r="H270" s="105"/>
      <c r="L270" s="105"/>
      <c r="Q270" s="106" t="s">
        <v>282</v>
      </c>
      <c r="R270" s="107">
        <v>62</v>
      </c>
      <c r="AI270" s="11"/>
      <c r="AL270" s="122">
        <v>45108.4989236111</v>
      </c>
      <c r="AM270" s="107">
        <v>1</v>
      </c>
    </row>
    <row r="271" spans="1:39">
      <c r="A271" s="106" t="s">
        <v>3659</v>
      </c>
      <c r="B271" s="107">
        <v>1</v>
      </c>
      <c r="E271" s="108"/>
      <c r="H271" s="105"/>
      <c r="L271" s="105"/>
      <c r="Q271" s="106" t="s">
        <v>3838</v>
      </c>
      <c r="R271" s="107">
        <v>1</v>
      </c>
      <c r="AI271" s="11"/>
      <c r="AL271" s="122">
        <v>45108.6901388889</v>
      </c>
      <c r="AM271" s="107">
        <v>1</v>
      </c>
    </row>
    <row r="272" spans="1:39">
      <c r="A272" s="106" t="s">
        <v>3423</v>
      </c>
      <c r="B272" s="107">
        <v>12</v>
      </c>
      <c r="E272" s="108"/>
      <c r="H272" s="105"/>
      <c r="L272" s="105"/>
      <c r="Q272" s="106" t="s">
        <v>568</v>
      </c>
      <c r="R272" s="107">
        <v>1</v>
      </c>
      <c r="AI272" s="11"/>
      <c r="AL272" s="122">
        <v>45108.7082407407</v>
      </c>
      <c r="AM272" s="107">
        <v>1</v>
      </c>
    </row>
    <row r="273" spans="1:39">
      <c r="A273" s="106" t="s">
        <v>1713</v>
      </c>
      <c r="B273" s="107">
        <v>2</v>
      </c>
      <c r="E273" s="108"/>
      <c r="H273" s="105"/>
      <c r="L273" s="105"/>
      <c r="Q273" s="106" t="s">
        <v>1029</v>
      </c>
      <c r="R273" s="107">
        <v>2</v>
      </c>
      <c r="AI273" s="11"/>
      <c r="AL273" s="122">
        <v>45109.4011458333</v>
      </c>
      <c r="AM273" s="107">
        <v>1</v>
      </c>
    </row>
    <row r="274" spans="1:39">
      <c r="A274" s="101" t="s">
        <v>204</v>
      </c>
      <c r="B274" s="102">
        <v>1</v>
      </c>
      <c r="E274" s="108"/>
      <c r="H274" s="105"/>
      <c r="L274" s="105"/>
      <c r="Q274" s="106" t="s">
        <v>3820</v>
      </c>
      <c r="R274" s="107">
        <v>1</v>
      </c>
      <c r="AI274" s="11"/>
      <c r="AL274" s="122">
        <v>45109.4035069444</v>
      </c>
      <c r="AM274" s="107">
        <v>1</v>
      </c>
    </row>
    <row r="275" spans="1:39">
      <c r="A275" s="101" t="s">
        <v>3248</v>
      </c>
      <c r="B275" s="102">
        <v>2</v>
      </c>
      <c r="E275" s="108"/>
      <c r="H275" s="105"/>
      <c r="L275" s="105"/>
      <c r="Q275" s="106" t="s">
        <v>1451</v>
      </c>
      <c r="R275" s="107">
        <v>1</v>
      </c>
      <c r="AI275" s="11"/>
      <c r="AL275" s="122">
        <v>45109.5991782407</v>
      </c>
      <c r="AM275" s="107">
        <v>1</v>
      </c>
    </row>
    <row r="276" spans="1:39">
      <c r="A276" s="106" t="s">
        <v>1080</v>
      </c>
      <c r="B276" s="107">
        <v>5</v>
      </c>
      <c r="E276" s="108"/>
      <c r="H276" s="105"/>
      <c r="L276" s="105"/>
      <c r="Q276" s="106" t="s">
        <v>155</v>
      </c>
      <c r="R276" s="107">
        <v>116</v>
      </c>
      <c r="AI276" s="11"/>
      <c r="AL276" s="122">
        <v>45110.4190393519</v>
      </c>
      <c r="AM276" s="107">
        <v>1</v>
      </c>
    </row>
    <row r="277" spans="1:39">
      <c r="A277" s="106" t="s">
        <v>3245</v>
      </c>
      <c r="B277" s="107">
        <v>2</v>
      </c>
      <c r="E277" s="108"/>
      <c r="H277" s="105"/>
      <c r="L277" s="105"/>
      <c r="Q277" s="106" t="s">
        <v>2815</v>
      </c>
      <c r="R277" s="107">
        <v>1</v>
      </c>
      <c r="AI277" s="11"/>
      <c r="AL277" s="122">
        <v>45110.4594328704</v>
      </c>
      <c r="AM277" s="107">
        <v>1</v>
      </c>
    </row>
    <row r="278" spans="1:39">
      <c r="A278" s="106" t="s">
        <v>2585</v>
      </c>
      <c r="B278" s="107">
        <v>2</v>
      </c>
      <c r="E278" s="108"/>
      <c r="H278" s="105"/>
      <c r="L278" s="105"/>
      <c r="Q278" s="106" t="s">
        <v>4730</v>
      </c>
      <c r="R278" s="107">
        <v>1</v>
      </c>
      <c r="AI278" s="11"/>
      <c r="AL278" s="122">
        <v>45110.8221527778</v>
      </c>
      <c r="AM278" s="107">
        <v>1</v>
      </c>
    </row>
    <row r="279" spans="1:39">
      <c r="A279" s="106" t="s">
        <v>2674</v>
      </c>
      <c r="B279" s="107">
        <v>2</v>
      </c>
      <c r="E279" s="108"/>
      <c r="H279" s="105"/>
      <c r="L279" s="105"/>
      <c r="Q279" s="106" t="s">
        <v>4718</v>
      </c>
      <c r="R279" s="107">
        <v>1</v>
      </c>
      <c r="AI279" s="11"/>
      <c r="AL279" s="122">
        <v>45111.3737384259</v>
      </c>
      <c r="AM279" s="107">
        <v>1</v>
      </c>
    </row>
    <row r="280" spans="1:39">
      <c r="A280" s="106" t="s">
        <v>1536</v>
      </c>
      <c r="B280" s="107">
        <v>2</v>
      </c>
      <c r="E280" s="108"/>
      <c r="H280" s="105"/>
      <c r="L280" s="105"/>
      <c r="Q280" s="106" t="s">
        <v>1110</v>
      </c>
      <c r="R280" s="107">
        <v>1</v>
      </c>
      <c r="AI280" s="11"/>
      <c r="AL280" s="122">
        <v>45111.4069791667</v>
      </c>
      <c r="AM280" s="107">
        <v>1</v>
      </c>
    </row>
    <row r="281" spans="1:39">
      <c r="A281" s="106" t="s">
        <v>4805</v>
      </c>
      <c r="B281" s="107">
        <v>1</v>
      </c>
      <c r="E281" s="108"/>
      <c r="H281" s="105"/>
      <c r="L281" s="105"/>
      <c r="Q281" s="106" t="s">
        <v>427</v>
      </c>
      <c r="R281" s="107">
        <v>102</v>
      </c>
      <c r="AI281" s="11"/>
      <c r="AL281" s="122">
        <v>45111.4441203704</v>
      </c>
      <c r="AM281" s="107">
        <v>1</v>
      </c>
    </row>
    <row r="282" spans="1:39">
      <c r="A282" s="106" t="s">
        <v>2476</v>
      </c>
      <c r="B282" s="107">
        <v>1</v>
      </c>
      <c r="E282" s="108"/>
      <c r="H282" s="105"/>
      <c r="L282" s="105"/>
      <c r="Q282" s="106" t="s">
        <v>311</v>
      </c>
      <c r="R282" s="107">
        <v>2</v>
      </c>
      <c r="AI282" s="11"/>
      <c r="AL282" s="122">
        <v>45111.6491898148</v>
      </c>
      <c r="AM282" s="107">
        <v>1</v>
      </c>
    </row>
    <row r="283" spans="1:39">
      <c r="A283" s="106" t="s">
        <v>3531</v>
      </c>
      <c r="B283" s="107">
        <v>1</v>
      </c>
      <c r="E283" s="108"/>
      <c r="H283" s="105"/>
      <c r="L283" s="105"/>
      <c r="Q283" s="106" t="s">
        <v>130</v>
      </c>
      <c r="R283" s="107">
        <v>1</v>
      </c>
      <c r="AI283" s="11"/>
      <c r="AL283" s="122">
        <v>45111.7004050926</v>
      </c>
      <c r="AM283" s="107">
        <v>1</v>
      </c>
    </row>
    <row r="284" spans="1:39">
      <c r="A284" s="106" t="s">
        <v>4479</v>
      </c>
      <c r="B284" s="107">
        <v>1</v>
      </c>
      <c r="E284" s="108"/>
      <c r="H284" s="105"/>
      <c r="L284" s="105"/>
      <c r="Q284" s="106" t="s">
        <v>132</v>
      </c>
      <c r="R284" s="107">
        <v>1</v>
      </c>
      <c r="AI284" s="11"/>
      <c r="AL284" s="122">
        <v>45112.3505671296</v>
      </c>
      <c r="AM284" s="107">
        <v>1</v>
      </c>
    </row>
    <row r="285" spans="1:39">
      <c r="A285" s="106" t="s">
        <v>4527</v>
      </c>
      <c r="B285" s="107">
        <v>1</v>
      </c>
      <c r="E285" s="108"/>
      <c r="H285" s="105"/>
      <c r="L285" s="105"/>
      <c r="Q285" s="106" t="s">
        <v>167</v>
      </c>
      <c r="R285" s="107">
        <v>13</v>
      </c>
      <c r="AI285" s="11"/>
      <c r="AL285" s="122">
        <v>45112.3619907407</v>
      </c>
      <c r="AM285" s="107">
        <v>1</v>
      </c>
    </row>
    <row r="286" spans="1:39">
      <c r="A286" s="106" t="s">
        <v>3619</v>
      </c>
      <c r="B286" s="107">
        <v>1</v>
      </c>
      <c r="E286" s="108"/>
      <c r="H286" s="105"/>
      <c r="L286" s="105"/>
      <c r="Q286" s="106" t="s">
        <v>164</v>
      </c>
      <c r="R286" s="107">
        <v>2</v>
      </c>
      <c r="AI286" s="11"/>
      <c r="AL286" s="122">
        <v>45112.3627430556</v>
      </c>
      <c r="AM286" s="107">
        <v>1</v>
      </c>
    </row>
    <row r="287" spans="1:39">
      <c r="A287" s="106" t="s">
        <v>358</v>
      </c>
      <c r="B287" s="107">
        <v>2</v>
      </c>
      <c r="E287" s="108"/>
      <c r="H287" s="105"/>
      <c r="L287" s="105"/>
      <c r="Q287" s="106" t="s">
        <v>160</v>
      </c>
      <c r="R287" s="107">
        <v>1</v>
      </c>
      <c r="AI287" s="11"/>
      <c r="AL287" s="122">
        <v>45112.3820717593</v>
      </c>
      <c r="AM287" s="107">
        <v>1</v>
      </c>
    </row>
    <row r="288" spans="1:39">
      <c r="A288" s="106" t="s">
        <v>2622</v>
      </c>
      <c r="B288" s="107">
        <v>1</v>
      </c>
      <c r="E288" s="108"/>
      <c r="H288" s="105"/>
      <c r="L288" s="105"/>
      <c r="Q288" s="106" t="s">
        <v>124</v>
      </c>
      <c r="R288" s="107">
        <v>2</v>
      </c>
      <c r="AI288" s="11"/>
      <c r="AL288" s="122">
        <v>45112.4228125</v>
      </c>
      <c r="AM288" s="107">
        <v>1</v>
      </c>
    </row>
    <row r="289" spans="1:39">
      <c r="A289" s="106" t="s">
        <v>3910</v>
      </c>
      <c r="B289" s="107">
        <v>2</v>
      </c>
      <c r="E289" s="108"/>
      <c r="H289" s="105"/>
      <c r="L289" s="105"/>
      <c r="Q289" s="106" t="s">
        <v>4905</v>
      </c>
      <c r="R289" s="107">
        <v>1</v>
      </c>
      <c r="AI289" s="11"/>
      <c r="AL289" s="122">
        <v>45112.5527314815</v>
      </c>
      <c r="AM289" s="107">
        <v>1</v>
      </c>
    </row>
    <row r="290" spans="1:39">
      <c r="A290" s="106" t="s">
        <v>4435</v>
      </c>
      <c r="B290" s="107">
        <v>1</v>
      </c>
      <c r="E290" s="108"/>
      <c r="H290" s="105"/>
      <c r="L290" s="105"/>
      <c r="Q290" s="106" t="s">
        <v>4706</v>
      </c>
      <c r="R290" s="107">
        <v>2</v>
      </c>
      <c r="AI290" s="11"/>
      <c r="AL290" s="122">
        <v>45112.5766898148</v>
      </c>
      <c r="AM290" s="107">
        <v>1</v>
      </c>
    </row>
    <row r="291" spans="1:39">
      <c r="A291" s="106" t="s">
        <v>4656</v>
      </c>
      <c r="B291" s="107">
        <v>1</v>
      </c>
      <c r="E291" s="108"/>
      <c r="H291" s="105"/>
      <c r="L291" s="105"/>
      <c r="Q291" s="106" t="s">
        <v>4813</v>
      </c>
      <c r="R291" s="107">
        <v>1</v>
      </c>
      <c r="AI291" s="11"/>
      <c r="AL291" s="122">
        <v>45112.6477314815</v>
      </c>
      <c r="AM291" s="107">
        <v>1</v>
      </c>
    </row>
    <row r="292" spans="1:39">
      <c r="A292" s="106" t="s">
        <v>3677</v>
      </c>
      <c r="B292" s="107">
        <v>2</v>
      </c>
      <c r="E292" s="108"/>
      <c r="H292" s="105"/>
      <c r="L292" s="105"/>
      <c r="Q292" s="106" t="s">
        <v>4162</v>
      </c>
      <c r="R292" s="107">
        <v>1</v>
      </c>
      <c r="AI292" s="11"/>
      <c r="AL292" s="122">
        <v>45112.7055324074</v>
      </c>
      <c r="AM292" s="107">
        <v>1</v>
      </c>
    </row>
    <row r="293" spans="1:39">
      <c r="A293" s="106" t="s">
        <v>2107</v>
      </c>
      <c r="B293" s="107">
        <v>1</v>
      </c>
      <c r="E293" s="108"/>
      <c r="H293" s="105"/>
      <c r="L293" s="105"/>
      <c r="Q293" s="106" t="s">
        <v>4644</v>
      </c>
      <c r="R293" s="107">
        <v>2</v>
      </c>
      <c r="AI293" s="11"/>
      <c r="AL293" s="122">
        <v>45112.8064930556</v>
      </c>
      <c r="AM293" s="107">
        <v>1</v>
      </c>
    </row>
    <row r="294" spans="1:39">
      <c r="A294" s="106" t="s">
        <v>3036</v>
      </c>
      <c r="B294" s="107">
        <v>2</v>
      </c>
      <c r="E294" s="108"/>
      <c r="H294" s="105"/>
      <c r="L294" s="105"/>
      <c r="Q294" s="106" t="s">
        <v>2074</v>
      </c>
      <c r="R294" s="107">
        <v>2</v>
      </c>
      <c r="AI294" s="11"/>
      <c r="AL294" s="122">
        <v>45113.3780671296</v>
      </c>
      <c r="AM294" s="107">
        <v>1</v>
      </c>
    </row>
    <row r="295" spans="1:39">
      <c r="A295" s="106" t="s">
        <v>2127</v>
      </c>
      <c r="B295" s="107">
        <v>1</v>
      </c>
      <c r="E295" s="108"/>
      <c r="H295" s="105"/>
      <c r="L295" s="105"/>
      <c r="Q295" s="106" t="s">
        <v>499</v>
      </c>
      <c r="R295" s="107">
        <v>1</v>
      </c>
      <c r="AI295" s="11"/>
      <c r="AL295" s="122">
        <v>45113.4574305556</v>
      </c>
      <c r="AM295" s="107">
        <v>1</v>
      </c>
    </row>
    <row r="296" spans="1:39">
      <c r="A296" s="106" t="s">
        <v>1880</v>
      </c>
      <c r="B296" s="107">
        <v>1</v>
      </c>
      <c r="E296" s="108"/>
      <c r="H296" s="105"/>
      <c r="L296" s="105"/>
      <c r="Q296" s="106" t="s">
        <v>4457</v>
      </c>
      <c r="R296" s="107">
        <v>1</v>
      </c>
      <c r="AI296" s="11"/>
      <c r="AL296" s="122">
        <v>45113.5086111111</v>
      </c>
      <c r="AM296" s="107">
        <v>1</v>
      </c>
    </row>
    <row r="297" spans="1:39">
      <c r="A297" s="106" t="s">
        <v>483</v>
      </c>
      <c r="B297" s="107">
        <v>3</v>
      </c>
      <c r="E297" s="108"/>
      <c r="H297" s="105"/>
      <c r="L297" s="105"/>
      <c r="Q297" s="106" t="s">
        <v>3392</v>
      </c>
      <c r="R297" s="107">
        <v>1</v>
      </c>
      <c r="AI297" s="11"/>
      <c r="AL297" s="122">
        <v>45113.5868055556</v>
      </c>
      <c r="AM297" s="107">
        <v>1</v>
      </c>
    </row>
    <row r="298" spans="1:39">
      <c r="A298" s="106" t="s">
        <v>2045</v>
      </c>
      <c r="B298" s="107">
        <v>1</v>
      </c>
      <c r="E298" s="108"/>
      <c r="H298" s="105"/>
      <c r="L298" s="105"/>
      <c r="Q298" s="106" t="s">
        <v>3807</v>
      </c>
      <c r="R298" s="107">
        <v>2</v>
      </c>
      <c r="AI298" s="11"/>
      <c r="AL298" s="122">
        <v>45113.6199537037</v>
      </c>
      <c r="AM298" s="107">
        <v>1</v>
      </c>
    </row>
    <row r="299" spans="1:39">
      <c r="A299" s="106" t="s">
        <v>1732</v>
      </c>
      <c r="B299" s="107">
        <v>2</v>
      </c>
      <c r="E299" s="108"/>
      <c r="H299" s="105"/>
      <c r="L299" s="105"/>
      <c r="Q299" s="106" t="s">
        <v>4763</v>
      </c>
      <c r="R299" s="107">
        <v>2</v>
      </c>
      <c r="AI299" s="11"/>
      <c r="AL299" s="122">
        <v>45113.7568865741</v>
      </c>
      <c r="AM299" s="107">
        <v>1</v>
      </c>
    </row>
    <row r="300" spans="1:39">
      <c r="A300" s="106" t="s">
        <v>4808</v>
      </c>
      <c r="B300" s="107">
        <v>1</v>
      </c>
      <c r="E300" s="108"/>
      <c r="H300" s="105"/>
      <c r="L300" s="105"/>
      <c r="Q300" s="106" t="s">
        <v>504</v>
      </c>
      <c r="R300" s="107">
        <v>1</v>
      </c>
      <c r="AI300" s="11"/>
      <c r="AL300" s="122">
        <v>45114.6382175926</v>
      </c>
      <c r="AM300" s="107">
        <v>1</v>
      </c>
    </row>
    <row r="301" spans="1:39">
      <c r="A301" s="106" t="s">
        <v>459</v>
      </c>
      <c r="B301" s="107">
        <v>1</v>
      </c>
      <c r="E301" s="108"/>
      <c r="H301" s="105"/>
      <c r="L301" s="105"/>
      <c r="Q301" s="106" t="s">
        <v>1083</v>
      </c>
      <c r="R301" s="107">
        <v>14</v>
      </c>
      <c r="AI301" s="11"/>
      <c r="AL301" s="122">
        <v>45114.7134375</v>
      </c>
      <c r="AM301" s="107">
        <v>1</v>
      </c>
    </row>
    <row r="302" spans="1:39">
      <c r="A302" s="106" t="s">
        <v>3932</v>
      </c>
      <c r="B302" s="107">
        <v>1</v>
      </c>
      <c r="E302" s="108"/>
      <c r="H302" s="105"/>
      <c r="L302" s="105"/>
      <c r="Q302" s="106" t="s">
        <v>1996</v>
      </c>
      <c r="R302" s="107">
        <v>5</v>
      </c>
      <c r="AI302" s="11"/>
      <c r="AL302" s="122">
        <v>45114.7400810185</v>
      </c>
      <c r="AM302" s="107">
        <v>1</v>
      </c>
    </row>
    <row r="303" spans="1:39">
      <c r="A303" s="106" t="s">
        <v>2141</v>
      </c>
      <c r="B303" s="107">
        <v>1</v>
      </c>
      <c r="E303" s="108"/>
      <c r="H303" s="105"/>
      <c r="L303" s="105"/>
      <c r="Q303" s="106" t="s">
        <v>759</v>
      </c>
      <c r="R303" s="107">
        <v>1</v>
      </c>
      <c r="AI303" s="11"/>
      <c r="AL303" s="122">
        <v>45115.4158564815</v>
      </c>
      <c r="AM303" s="107">
        <v>1</v>
      </c>
    </row>
    <row r="304" spans="1:39">
      <c r="A304" s="106" t="s">
        <v>2964</v>
      </c>
      <c r="B304" s="107">
        <v>2</v>
      </c>
      <c r="E304" s="108"/>
      <c r="H304" s="105"/>
      <c r="L304" s="105"/>
      <c r="Q304" s="106" t="s">
        <v>4512</v>
      </c>
      <c r="R304" s="107">
        <v>2</v>
      </c>
      <c r="AI304" s="11"/>
      <c r="AL304" s="122">
        <v>45115.5690972222</v>
      </c>
      <c r="AM304" s="107">
        <v>1</v>
      </c>
    </row>
    <row r="305" spans="1:39">
      <c r="A305" s="106" t="s">
        <v>2273</v>
      </c>
      <c r="B305" s="107">
        <v>2</v>
      </c>
      <c r="E305" s="108"/>
      <c r="H305" s="105"/>
      <c r="L305" s="105"/>
      <c r="Q305" s="106" t="s">
        <v>81</v>
      </c>
      <c r="R305" s="107">
        <v>3</v>
      </c>
      <c r="AI305" s="11"/>
      <c r="AL305" s="122">
        <v>45115.7050810185</v>
      </c>
      <c r="AM305" s="107">
        <v>1</v>
      </c>
    </row>
    <row r="306" spans="1:39">
      <c r="A306" s="106" t="s">
        <v>4604</v>
      </c>
      <c r="B306" s="107">
        <v>1</v>
      </c>
      <c r="E306" s="108"/>
      <c r="H306" s="105"/>
      <c r="L306" s="105"/>
      <c r="Q306" s="106" t="s">
        <v>1140</v>
      </c>
      <c r="R306" s="107">
        <v>1</v>
      </c>
      <c r="AI306" s="11"/>
      <c r="AL306" s="122">
        <v>45115.7998842593</v>
      </c>
      <c r="AM306" s="107">
        <v>1</v>
      </c>
    </row>
    <row r="307" spans="1:39">
      <c r="A307" s="106" t="s">
        <v>4232</v>
      </c>
      <c r="B307" s="107">
        <v>1</v>
      </c>
      <c r="E307" s="108"/>
      <c r="H307" s="105"/>
      <c r="L307" s="105"/>
      <c r="Q307" s="106" t="s">
        <v>673</v>
      </c>
      <c r="R307" s="107">
        <v>2</v>
      </c>
      <c r="AI307" s="11"/>
      <c r="AL307" s="122">
        <v>45116.5906597222</v>
      </c>
      <c r="AM307" s="107">
        <v>1</v>
      </c>
    </row>
    <row r="308" spans="1:39">
      <c r="A308" s="106" t="s">
        <v>1953</v>
      </c>
      <c r="B308" s="107">
        <v>3</v>
      </c>
      <c r="E308" s="108"/>
      <c r="H308" s="105"/>
      <c r="L308" s="105"/>
      <c r="Q308" s="106" t="s">
        <v>4959</v>
      </c>
      <c r="R308" s="107">
        <v>1</v>
      </c>
      <c r="AI308" s="11"/>
      <c r="AL308" s="122">
        <v>45117.3991203704</v>
      </c>
      <c r="AM308" s="107">
        <v>1</v>
      </c>
    </row>
    <row r="309" spans="1:39">
      <c r="A309" s="106" t="s">
        <v>346</v>
      </c>
      <c r="B309" s="107">
        <v>2</v>
      </c>
      <c r="E309" s="108"/>
      <c r="H309" s="105"/>
      <c r="L309" s="105"/>
      <c r="Q309" s="106" t="s">
        <v>4453</v>
      </c>
      <c r="R309" s="107">
        <v>1</v>
      </c>
      <c r="AI309" s="11"/>
      <c r="AL309" s="122">
        <v>45117.4489699074</v>
      </c>
      <c r="AM309" s="107">
        <v>1</v>
      </c>
    </row>
    <row r="310" spans="1:39">
      <c r="A310" s="106" t="s">
        <v>3663</v>
      </c>
      <c r="B310" s="107">
        <v>4</v>
      </c>
      <c r="E310" s="108"/>
      <c r="H310" s="105"/>
      <c r="L310" s="105"/>
      <c r="Q310" s="106" t="s">
        <v>1131</v>
      </c>
      <c r="R310" s="107">
        <v>1</v>
      </c>
      <c r="AI310" s="11"/>
      <c r="AL310" s="122">
        <v>45117.5015972222</v>
      </c>
      <c r="AM310" s="107">
        <v>1</v>
      </c>
    </row>
    <row r="311" spans="1:39">
      <c r="A311" s="106" t="s">
        <v>805</v>
      </c>
      <c r="B311" s="107">
        <v>1</v>
      </c>
      <c r="E311" s="108"/>
      <c r="H311" s="105"/>
      <c r="L311" s="105"/>
      <c r="Q311" s="106" t="s">
        <v>3955</v>
      </c>
      <c r="R311" s="107">
        <v>1</v>
      </c>
      <c r="AI311" s="11"/>
      <c r="AL311" s="122">
        <v>45117.5104513889</v>
      </c>
      <c r="AM311" s="107">
        <v>1</v>
      </c>
    </row>
    <row r="312" spans="1:39">
      <c r="A312" s="106" t="s">
        <v>3715</v>
      </c>
      <c r="B312" s="107">
        <v>1</v>
      </c>
      <c r="E312" s="108"/>
      <c r="H312" s="105"/>
      <c r="L312" s="105"/>
      <c r="Q312" s="106" t="s">
        <v>2823</v>
      </c>
      <c r="R312" s="107">
        <v>1</v>
      </c>
      <c r="AI312" s="11"/>
      <c r="AL312" s="122">
        <v>45117.5235532407</v>
      </c>
      <c r="AM312" s="107">
        <v>1</v>
      </c>
    </row>
    <row r="313" spans="1:39">
      <c r="A313" s="106" t="s">
        <v>2096</v>
      </c>
      <c r="B313" s="107">
        <v>2</v>
      </c>
      <c r="E313" s="108"/>
      <c r="H313" s="105"/>
      <c r="L313" s="105"/>
      <c r="Q313" s="106" t="s">
        <v>4493</v>
      </c>
      <c r="R313" s="107">
        <v>1</v>
      </c>
      <c r="AI313" s="11"/>
      <c r="AL313" s="122">
        <v>45117.5413425926</v>
      </c>
      <c r="AM313" s="107">
        <v>1</v>
      </c>
    </row>
    <row r="314" spans="1:39">
      <c r="A314" s="106" t="s">
        <v>993</v>
      </c>
      <c r="B314" s="107">
        <v>9</v>
      </c>
      <c r="E314" s="108"/>
      <c r="H314" s="105"/>
      <c r="L314" s="105"/>
      <c r="Q314" s="106" t="s">
        <v>5366</v>
      </c>
      <c r="R314" s="107">
        <v>222</v>
      </c>
      <c r="AI314" s="11"/>
      <c r="AL314" s="122">
        <v>45118.4141319444</v>
      </c>
      <c r="AM314" s="107">
        <v>1</v>
      </c>
    </row>
    <row r="315" spans="1:39">
      <c r="A315" s="106" t="s">
        <v>1791</v>
      </c>
      <c r="B315" s="107">
        <v>1</v>
      </c>
      <c r="E315" s="108"/>
      <c r="H315" s="105"/>
      <c r="L315" s="105"/>
      <c r="Q315" s="109" t="s">
        <v>5367</v>
      </c>
      <c r="R315" s="121">
        <v>1601</v>
      </c>
      <c r="AI315" s="11"/>
      <c r="AL315" s="122">
        <v>45118.546087963</v>
      </c>
      <c r="AM315" s="107">
        <v>1</v>
      </c>
    </row>
    <row r="316" spans="1:39">
      <c r="A316" s="106" t="s">
        <v>4175</v>
      </c>
      <c r="B316" s="107">
        <v>1</v>
      </c>
      <c r="E316" s="108"/>
      <c r="H316" s="105"/>
      <c r="L316" s="105"/>
      <c r="AI316" s="11"/>
      <c r="AL316" s="122">
        <v>45118.5703819444</v>
      </c>
      <c r="AM316" s="107">
        <v>1</v>
      </c>
    </row>
    <row r="317" spans="1:39">
      <c r="A317" s="106" t="s">
        <v>4899</v>
      </c>
      <c r="B317" s="107">
        <v>4</v>
      </c>
      <c r="E317" s="108"/>
      <c r="H317" s="105"/>
      <c r="L317" s="105"/>
      <c r="AI317" s="11"/>
      <c r="AL317" s="122">
        <v>45118.6325925926</v>
      </c>
      <c r="AM317" s="107">
        <v>1</v>
      </c>
    </row>
    <row r="318" spans="1:39">
      <c r="A318" s="106" t="s">
        <v>4916</v>
      </c>
      <c r="B318" s="107">
        <v>2</v>
      </c>
      <c r="E318" s="108"/>
      <c r="H318" s="105"/>
      <c r="L318" s="105"/>
      <c r="AI318" s="11"/>
      <c r="AL318" s="122">
        <v>45118.6628472222</v>
      </c>
      <c r="AM318" s="107">
        <v>1</v>
      </c>
    </row>
    <row r="319" spans="1:39">
      <c r="A319" s="106" t="s">
        <v>2624</v>
      </c>
      <c r="B319" s="107">
        <v>1</v>
      </c>
      <c r="E319" s="108"/>
      <c r="H319" s="105"/>
      <c r="L319" s="105"/>
      <c r="AI319" s="11"/>
      <c r="AL319" s="122">
        <v>45118.6652199074</v>
      </c>
      <c r="AM319" s="107">
        <v>1</v>
      </c>
    </row>
    <row r="320" spans="1:39">
      <c r="A320" s="106" t="s">
        <v>5022</v>
      </c>
      <c r="B320" s="107">
        <v>1</v>
      </c>
      <c r="E320" s="108"/>
      <c r="H320" s="105"/>
      <c r="L320" s="105"/>
      <c r="AI320" s="11"/>
      <c r="AL320" s="122">
        <v>45118.7333912037</v>
      </c>
      <c r="AM320" s="107">
        <v>1</v>
      </c>
    </row>
    <row r="321" spans="1:39">
      <c r="A321" s="106" t="s">
        <v>3487</v>
      </c>
      <c r="B321" s="107">
        <v>1</v>
      </c>
      <c r="E321" s="108"/>
      <c r="H321" s="105"/>
      <c r="L321" s="105"/>
      <c r="AI321" s="11"/>
      <c r="AL321" s="122">
        <v>45118.7411342593</v>
      </c>
      <c r="AM321" s="107">
        <v>1</v>
      </c>
    </row>
    <row r="322" spans="1:39">
      <c r="A322" s="106" t="s">
        <v>2569</v>
      </c>
      <c r="B322" s="107">
        <v>5</v>
      </c>
      <c r="E322" s="108"/>
      <c r="H322" s="105"/>
      <c r="L322" s="105"/>
      <c r="AI322" s="11"/>
      <c r="AL322" s="122">
        <v>45119.4724074074</v>
      </c>
      <c r="AM322" s="107">
        <v>1</v>
      </c>
    </row>
    <row r="323" spans="1:39">
      <c r="A323" s="106" t="s">
        <v>3538</v>
      </c>
      <c r="B323" s="107">
        <v>2</v>
      </c>
      <c r="E323" s="108"/>
      <c r="H323" s="105"/>
      <c r="L323" s="105"/>
      <c r="AI323" s="11"/>
      <c r="AL323" s="122">
        <v>45119.5169791667</v>
      </c>
      <c r="AM323" s="107">
        <v>1</v>
      </c>
    </row>
    <row r="324" spans="1:39">
      <c r="A324" s="106" t="s">
        <v>2666</v>
      </c>
      <c r="B324" s="107">
        <v>1</v>
      </c>
      <c r="E324" s="108"/>
      <c r="H324" s="105"/>
      <c r="L324" s="105"/>
      <c r="AI324" s="11"/>
      <c r="AL324" s="122">
        <v>45119.6173263889</v>
      </c>
      <c r="AM324" s="107">
        <v>1</v>
      </c>
    </row>
    <row r="325" spans="1:39">
      <c r="A325" s="106" t="s">
        <v>4229</v>
      </c>
      <c r="B325" s="107">
        <v>3</v>
      </c>
      <c r="E325" s="108"/>
      <c r="H325" s="105"/>
      <c r="L325" s="105"/>
      <c r="AI325" s="11"/>
      <c r="AL325" s="122">
        <v>45119.6373842593</v>
      </c>
      <c r="AM325" s="107">
        <v>1</v>
      </c>
    </row>
    <row r="326" spans="1:39">
      <c r="A326" s="106" t="s">
        <v>2259</v>
      </c>
      <c r="B326" s="107">
        <v>2</v>
      </c>
      <c r="E326" s="108"/>
      <c r="H326" s="105"/>
      <c r="L326" s="105"/>
      <c r="AI326" s="11"/>
      <c r="AL326" s="122">
        <v>45119.7500347222</v>
      </c>
      <c r="AM326" s="107">
        <v>1</v>
      </c>
    </row>
    <row r="327" spans="1:39">
      <c r="A327" s="106" t="s">
        <v>4326</v>
      </c>
      <c r="B327" s="107">
        <v>2</v>
      </c>
      <c r="E327" s="108"/>
      <c r="H327" s="105"/>
      <c r="L327" s="105"/>
      <c r="AI327" s="11"/>
      <c r="AL327" s="122">
        <v>45120.3399537037</v>
      </c>
      <c r="AM327" s="107">
        <v>1</v>
      </c>
    </row>
    <row r="328" spans="1:39">
      <c r="A328" s="106" t="s">
        <v>4069</v>
      </c>
      <c r="B328" s="107">
        <v>2</v>
      </c>
      <c r="E328" s="108"/>
      <c r="H328" s="105"/>
      <c r="L328" s="105"/>
      <c r="AI328" s="11"/>
      <c r="AL328" s="122">
        <v>45120.3729398148</v>
      </c>
      <c r="AM328" s="107">
        <v>1</v>
      </c>
    </row>
    <row r="329" spans="1:39">
      <c r="A329" s="106" t="s">
        <v>1829</v>
      </c>
      <c r="B329" s="107">
        <v>2</v>
      </c>
      <c r="E329" s="108"/>
      <c r="H329" s="105"/>
      <c r="L329" s="105"/>
      <c r="AI329" s="11"/>
      <c r="AL329" s="122">
        <v>45120.4555671296</v>
      </c>
      <c r="AM329" s="107">
        <v>1</v>
      </c>
    </row>
    <row r="330" spans="1:39">
      <c r="A330" s="106" t="s">
        <v>2816</v>
      </c>
      <c r="B330" s="107">
        <v>1</v>
      </c>
      <c r="E330" s="108"/>
      <c r="H330" s="105"/>
      <c r="L330" s="105"/>
      <c r="AI330" s="11"/>
      <c r="AL330" s="122">
        <v>45120.510787037</v>
      </c>
      <c r="AM330" s="107">
        <v>1</v>
      </c>
    </row>
    <row r="331" spans="1:39">
      <c r="A331" s="106" t="s">
        <v>603</v>
      </c>
      <c r="B331" s="107">
        <v>1</v>
      </c>
      <c r="E331" s="108"/>
      <c r="H331" s="105"/>
      <c r="L331" s="105"/>
      <c r="AI331" s="11"/>
      <c r="AL331" s="122">
        <v>45120.5312615741</v>
      </c>
      <c r="AM331" s="107">
        <v>1</v>
      </c>
    </row>
    <row r="332" spans="1:39">
      <c r="A332" s="106" t="s">
        <v>1968</v>
      </c>
      <c r="B332" s="107">
        <v>1</v>
      </c>
      <c r="E332" s="108"/>
      <c r="H332" s="105"/>
      <c r="L332" s="105"/>
      <c r="AI332" s="11"/>
      <c r="AL332" s="122">
        <v>45120.6114236111</v>
      </c>
      <c r="AM332" s="107">
        <v>1</v>
      </c>
    </row>
    <row r="333" spans="1:39">
      <c r="A333" s="106" t="s">
        <v>786</v>
      </c>
      <c r="B333" s="107">
        <v>2</v>
      </c>
      <c r="E333" s="108"/>
      <c r="H333" s="105"/>
      <c r="L333" s="105"/>
      <c r="AI333" s="11"/>
      <c r="AL333" s="122">
        <v>45120.6740509259</v>
      </c>
      <c r="AM333" s="107">
        <v>1</v>
      </c>
    </row>
    <row r="334" spans="1:39">
      <c r="A334" s="106" t="s">
        <v>2391</v>
      </c>
      <c r="B334" s="107">
        <v>2</v>
      </c>
      <c r="E334" s="108"/>
      <c r="H334" s="105"/>
      <c r="L334" s="105"/>
      <c r="AI334" s="11"/>
      <c r="AL334" s="122">
        <v>45120.746724537</v>
      </c>
      <c r="AM334" s="107">
        <v>1</v>
      </c>
    </row>
    <row r="335" spans="1:39">
      <c r="A335" s="106" t="s">
        <v>3587</v>
      </c>
      <c r="B335" s="107">
        <v>1</v>
      </c>
      <c r="E335" s="108"/>
      <c r="H335" s="105"/>
      <c r="L335" s="105"/>
      <c r="AI335" s="11"/>
      <c r="AL335" s="122">
        <v>45120.7863078704</v>
      </c>
      <c r="AM335" s="107">
        <v>1</v>
      </c>
    </row>
    <row r="336" spans="1:39">
      <c r="A336" s="106" t="s">
        <v>5006</v>
      </c>
      <c r="B336" s="107">
        <v>1</v>
      </c>
      <c r="E336" s="108"/>
      <c r="H336" s="105"/>
      <c r="L336" s="105"/>
      <c r="AI336" s="11"/>
      <c r="AL336" s="122">
        <v>45121.3867708333</v>
      </c>
      <c r="AM336" s="107">
        <v>1</v>
      </c>
    </row>
    <row r="337" spans="1:39">
      <c r="A337" s="106" t="s">
        <v>2609</v>
      </c>
      <c r="B337" s="107">
        <v>1</v>
      </c>
      <c r="E337" s="108"/>
      <c r="H337" s="105"/>
      <c r="L337" s="105"/>
      <c r="AI337" s="11"/>
      <c r="AL337" s="122">
        <v>45121.4361574074</v>
      </c>
      <c r="AM337" s="107">
        <v>1</v>
      </c>
    </row>
    <row r="338" spans="1:39">
      <c r="A338" s="106" t="s">
        <v>3433</v>
      </c>
      <c r="B338" s="107">
        <v>2</v>
      </c>
      <c r="E338" s="108"/>
      <c r="H338" s="105"/>
      <c r="L338" s="105"/>
      <c r="AI338" s="11"/>
      <c r="AL338" s="122">
        <v>45121.520625</v>
      </c>
      <c r="AM338" s="107">
        <v>1</v>
      </c>
    </row>
    <row r="339" spans="1:39">
      <c r="A339" s="106" t="s">
        <v>1365</v>
      </c>
      <c r="B339" s="107">
        <v>3</v>
      </c>
      <c r="E339" s="108"/>
      <c r="H339" s="105"/>
      <c r="L339" s="105"/>
      <c r="AI339" s="11"/>
      <c r="AL339" s="122">
        <v>45121.7351736111</v>
      </c>
      <c r="AM339" s="107">
        <v>1</v>
      </c>
    </row>
    <row r="340" spans="1:39">
      <c r="A340" s="106" t="s">
        <v>4950</v>
      </c>
      <c r="B340" s="107">
        <v>1</v>
      </c>
      <c r="E340" s="108"/>
      <c r="H340" s="105"/>
      <c r="L340" s="105"/>
      <c r="AI340" s="11"/>
      <c r="AL340" s="122">
        <v>45122.3941435185</v>
      </c>
      <c r="AM340" s="107">
        <v>1</v>
      </c>
    </row>
    <row r="341" spans="1:39">
      <c r="A341" s="106" t="s">
        <v>4150</v>
      </c>
      <c r="B341" s="107">
        <v>1</v>
      </c>
      <c r="E341" s="108"/>
      <c r="H341" s="105"/>
      <c r="L341" s="105"/>
      <c r="AI341" s="11"/>
      <c r="AL341" s="122">
        <v>45122.5860416667</v>
      </c>
      <c r="AM341" s="107">
        <v>1</v>
      </c>
    </row>
    <row r="342" spans="1:39">
      <c r="A342" s="106" t="s">
        <v>951</v>
      </c>
      <c r="B342" s="107">
        <v>2</v>
      </c>
      <c r="E342" s="108"/>
      <c r="H342" s="105"/>
      <c r="L342" s="105"/>
      <c r="AI342" s="11"/>
      <c r="AL342" s="122">
        <v>45122.5902546296</v>
      </c>
      <c r="AM342" s="107">
        <v>1</v>
      </c>
    </row>
    <row r="343" spans="1:39">
      <c r="A343" s="106" t="s">
        <v>2137</v>
      </c>
      <c r="B343" s="107">
        <v>3</v>
      </c>
      <c r="E343" s="108"/>
      <c r="H343" s="105"/>
      <c r="L343" s="105"/>
      <c r="AI343" s="11"/>
      <c r="AL343" s="122">
        <v>45122.7828240741</v>
      </c>
      <c r="AM343" s="107">
        <v>1</v>
      </c>
    </row>
    <row r="344" spans="1:39">
      <c r="A344" s="106" t="s">
        <v>3395</v>
      </c>
      <c r="B344" s="107">
        <v>3</v>
      </c>
      <c r="E344" s="108"/>
      <c r="H344" s="105"/>
      <c r="L344" s="105"/>
      <c r="AI344" s="11"/>
      <c r="AL344" s="122">
        <v>45123.4345486111</v>
      </c>
      <c r="AM344" s="107">
        <v>1</v>
      </c>
    </row>
    <row r="345" spans="1:39">
      <c r="A345" s="101" t="s">
        <v>116</v>
      </c>
      <c r="B345" s="102">
        <v>1</v>
      </c>
      <c r="E345" s="108"/>
      <c r="H345" s="105"/>
      <c r="L345" s="105"/>
      <c r="AI345" s="11"/>
      <c r="AL345" s="122">
        <v>45123.5533101852</v>
      </c>
      <c r="AM345" s="107">
        <v>1</v>
      </c>
    </row>
    <row r="346" spans="1:39">
      <c r="A346" s="101" t="s">
        <v>2942</v>
      </c>
      <c r="B346" s="102">
        <v>3</v>
      </c>
      <c r="E346" s="108"/>
      <c r="H346" s="105"/>
      <c r="L346" s="105"/>
      <c r="AI346" s="11"/>
      <c r="AL346" s="122">
        <v>45123.6319675926</v>
      </c>
      <c r="AM346" s="107">
        <v>1</v>
      </c>
    </row>
    <row r="347" spans="1:39">
      <c r="A347" s="106" t="s">
        <v>2495</v>
      </c>
      <c r="B347" s="107">
        <v>1</v>
      </c>
      <c r="E347" s="108"/>
      <c r="H347" s="105"/>
      <c r="L347" s="105"/>
      <c r="AI347" s="11"/>
      <c r="AL347" s="122">
        <v>45123.7154976852</v>
      </c>
      <c r="AM347" s="107">
        <v>1</v>
      </c>
    </row>
    <row r="348" spans="1:39">
      <c r="A348" s="106" t="s">
        <v>4848</v>
      </c>
      <c r="B348" s="107">
        <v>1</v>
      </c>
      <c r="E348" s="108"/>
      <c r="H348" s="105"/>
      <c r="L348" s="105"/>
      <c r="AI348" s="11"/>
      <c r="AL348" s="122">
        <v>45124.408599537</v>
      </c>
      <c r="AM348" s="107">
        <v>1</v>
      </c>
    </row>
    <row r="349" spans="1:39">
      <c r="A349" s="106" t="s">
        <v>2349</v>
      </c>
      <c r="B349" s="107">
        <v>1</v>
      </c>
      <c r="E349" s="108"/>
      <c r="H349" s="105"/>
      <c r="L349" s="105"/>
      <c r="AI349" s="11"/>
      <c r="AL349" s="122">
        <v>45124.4403935185</v>
      </c>
      <c r="AM349" s="107">
        <v>1</v>
      </c>
    </row>
    <row r="350" spans="1:39">
      <c r="A350" s="106" t="s">
        <v>3640</v>
      </c>
      <c r="B350" s="107">
        <v>2</v>
      </c>
      <c r="E350" s="108"/>
      <c r="H350" s="105"/>
      <c r="L350" s="105"/>
      <c r="AI350" s="11"/>
      <c r="AL350" s="122">
        <v>45124.470150463</v>
      </c>
      <c r="AM350" s="107">
        <v>1</v>
      </c>
    </row>
    <row r="351" spans="1:39">
      <c r="A351" s="106" t="s">
        <v>1245</v>
      </c>
      <c r="B351" s="107">
        <v>2</v>
      </c>
      <c r="E351" s="108"/>
      <c r="H351" s="105"/>
      <c r="L351" s="105"/>
      <c r="AI351" s="11"/>
      <c r="AL351" s="122">
        <v>45124.6019560185</v>
      </c>
      <c r="AM351" s="107">
        <v>1</v>
      </c>
    </row>
    <row r="352" spans="1:39">
      <c r="A352" s="106" t="s">
        <v>4499</v>
      </c>
      <c r="B352" s="107">
        <v>1</v>
      </c>
      <c r="E352" s="108"/>
      <c r="H352" s="105"/>
      <c r="L352" s="105"/>
      <c r="AI352" s="11"/>
      <c r="AL352" s="122">
        <v>45125.4668287037</v>
      </c>
      <c r="AM352" s="107">
        <v>1</v>
      </c>
    </row>
    <row r="353" spans="1:39">
      <c r="A353" s="106" t="s">
        <v>505</v>
      </c>
      <c r="B353" s="107">
        <v>1</v>
      </c>
      <c r="E353" s="108"/>
      <c r="H353" s="105"/>
      <c r="L353" s="105"/>
      <c r="AI353" s="11"/>
      <c r="AL353" s="122">
        <v>45125.4872106481</v>
      </c>
      <c r="AM353" s="107">
        <v>1</v>
      </c>
    </row>
    <row r="354" spans="1:39">
      <c r="A354" s="106" t="s">
        <v>2242</v>
      </c>
      <c r="B354" s="107">
        <v>2</v>
      </c>
      <c r="E354" s="108"/>
      <c r="H354" s="105"/>
      <c r="L354" s="105"/>
      <c r="AI354" s="11"/>
      <c r="AL354" s="122">
        <v>45125.701724537</v>
      </c>
      <c r="AM354" s="107">
        <v>1</v>
      </c>
    </row>
    <row r="355" spans="1:39">
      <c r="A355" s="106" t="s">
        <v>1090</v>
      </c>
      <c r="B355" s="107">
        <v>6</v>
      </c>
      <c r="E355" s="108"/>
      <c r="H355" s="105"/>
      <c r="L355" s="105"/>
      <c r="AI355" s="11"/>
      <c r="AL355" s="122">
        <v>45125.7478703704</v>
      </c>
      <c r="AM355" s="107">
        <v>1</v>
      </c>
    </row>
    <row r="356" spans="1:39">
      <c r="A356" s="106" t="s">
        <v>661</v>
      </c>
      <c r="B356" s="107">
        <v>1</v>
      </c>
      <c r="E356" s="108"/>
      <c r="H356" s="105"/>
      <c r="L356" s="105"/>
      <c r="AI356" s="11"/>
      <c r="AL356" s="122">
        <v>45126.3408333333</v>
      </c>
      <c r="AM356" s="107">
        <v>1</v>
      </c>
    </row>
    <row r="357" spans="1:39">
      <c r="A357" s="101" t="s">
        <v>153</v>
      </c>
      <c r="B357" s="102">
        <v>2</v>
      </c>
      <c r="E357" s="108"/>
      <c r="H357" s="105"/>
      <c r="L357" s="105"/>
      <c r="AI357" s="11"/>
      <c r="AL357" s="122">
        <v>45126.4020601852</v>
      </c>
      <c r="AM357" s="107">
        <v>1</v>
      </c>
    </row>
    <row r="358" spans="1:39">
      <c r="A358" s="101" t="s">
        <v>1523</v>
      </c>
      <c r="B358" s="102">
        <v>1</v>
      </c>
      <c r="E358" s="108"/>
      <c r="H358" s="105"/>
      <c r="L358" s="105"/>
      <c r="AI358" s="11"/>
      <c r="AL358" s="122">
        <v>45126.5129398148</v>
      </c>
      <c r="AM358" s="107">
        <v>1</v>
      </c>
    </row>
    <row r="359" spans="1:39">
      <c r="A359" s="106" t="s">
        <v>1769</v>
      </c>
      <c r="B359" s="107">
        <v>1</v>
      </c>
      <c r="E359" s="108"/>
      <c r="H359" s="105"/>
      <c r="L359" s="105"/>
      <c r="AI359" s="11"/>
      <c r="AL359" s="122">
        <v>45126.601400463</v>
      </c>
      <c r="AM359" s="107">
        <v>1</v>
      </c>
    </row>
    <row r="360" spans="1:39">
      <c r="A360" s="106" t="s">
        <v>4920</v>
      </c>
      <c r="B360" s="107">
        <v>1</v>
      </c>
      <c r="E360" s="108"/>
      <c r="H360" s="105"/>
      <c r="L360" s="105"/>
      <c r="AI360" s="11"/>
      <c r="AL360" s="122">
        <v>45126.6475115741</v>
      </c>
      <c r="AM360" s="107">
        <v>1</v>
      </c>
    </row>
    <row r="361" spans="1:39">
      <c r="A361" s="106" t="s">
        <v>4136</v>
      </c>
      <c r="B361" s="107">
        <v>2</v>
      </c>
      <c r="E361" s="108"/>
      <c r="H361" s="105"/>
      <c r="L361" s="105"/>
      <c r="AI361" s="11"/>
      <c r="AL361" s="122">
        <v>45126.6909259259</v>
      </c>
      <c r="AM361" s="107">
        <v>1</v>
      </c>
    </row>
    <row r="362" spans="1:39">
      <c r="A362" s="106" t="s">
        <v>920</v>
      </c>
      <c r="B362" s="107">
        <v>2</v>
      </c>
      <c r="E362" s="108"/>
      <c r="H362" s="105"/>
      <c r="L362" s="105"/>
      <c r="AI362" s="11"/>
      <c r="AL362" s="122">
        <v>45127.7249189815</v>
      </c>
      <c r="AM362" s="107">
        <v>1</v>
      </c>
    </row>
    <row r="363" spans="1:39">
      <c r="A363" s="106" t="s">
        <v>2398</v>
      </c>
      <c r="B363" s="107">
        <v>2</v>
      </c>
      <c r="E363" s="108"/>
      <c r="H363" s="105"/>
      <c r="L363" s="105"/>
      <c r="AI363" s="11"/>
      <c r="AL363" s="122">
        <v>45127.7747453704</v>
      </c>
      <c r="AM363" s="107">
        <v>1</v>
      </c>
    </row>
    <row r="364" spans="1:39">
      <c r="A364" s="106" t="s">
        <v>2781</v>
      </c>
      <c r="B364" s="107">
        <v>2</v>
      </c>
      <c r="E364" s="108"/>
      <c r="H364" s="105"/>
      <c r="L364" s="105"/>
      <c r="AI364" s="11"/>
      <c r="AL364" s="122">
        <v>45128.4516203704</v>
      </c>
      <c r="AM364" s="107">
        <v>1</v>
      </c>
    </row>
    <row r="365" spans="1:39">
      <c r="A365" s="106" t="s">
        <v>756</v>
      </c>
      <c r="B365" s="107">
        <v>1</v>
      </c>
      <c r="E365" s="108"/>
      <c r="H365" s="105"/>
      <c r="L365" s="105"/>
      <c r="AI365" s="11"/>
      <c r="AL365" s="122">
        <v>45128.5616666667</v>
      </c>
      <c r="AM365" s="107">
        <v>1</v>
      </c>
    </row>
    <row r="366" spans="1:39">
      <c r="A366" s="106" t="s">
        <v>2464</v>
      </c>
      <c r="B366" s="107">
        <v>2</v>
      </c>
      <c r="E366" s="108"/>
      <c r="H366" s="105"/>
      <c r="L366" s="105"/>
      <c r="AI366" s="11"/>
      <c r="AL366" s="122">
        <v>45129.3816898148</v>
      </c>
      <c r="AM366" s="107">
        <v>1</v>
      </c>
    </row>
    <row r="367" spans="1:39">
      <c r="A367" s="106" t="s">
        <v>3563</v>
      </c>
      <c r="B367" s="107">
        <v>10</v>
      </c>
      <c r="E367" s="108"/>
      <c r="H367" s="105"/>
      <c r="L367" s="105"/>
      <c r="AI367" s="11"/>
      <c r="AL367" s="122">
        <v>45129.4233449074</v>
      </c>
      <c r="AM367" s="107">
        <v>1</v>
      </c>
    </row>
    <row r="368" spans="1:39">
      <c r="A368" s="106" t="s">
        <v>837</v>
      </c>
      <c r="B368" s="107">
        <v>1</v>
      </c>
      <c r="E368" s="108"/>
      <c r="H368" s="105"/>
      <c r="L368" s="105"/>
      <c r="AI368" s="11"/>
      <c r="AL368" s="122">
        <v>45129.4316666667</v>
      </c>
      <c r="AM368" s="107">
        <v>1</v>
      </c>
    </row>
    <row r="369" spans="1:39">
      <c r="A369" s="106" t="s">
        <v>3579</v>
      </c>
      <c r="B369" s="107">
        <v>1</v>
      </c>
      <c r="E369" s="108"/>
      <c r="H369" s="105"/>
      <c r="L369" s="105"/>
      <c r="AI369" s="11"/>
      <c r="AL369" s="122">
        <v>45129.7174189815</v>
      </c>
      <c r="AM369" s="107">
        <v>1</v>
      </c>
    </row>
    <row r="370" spans="1:39">
      <c r="A370" s="106" t="s">
        <v>3696</v>
      </c>
      <c r="B370" s="107">
        <v>1</v>
      </c>
      <c r="E370" s="108"/>
      <c r="H370" s="105"/>
      <c r="L370" s="105"/>
      <c r="AI370" s="11"/>
      <c r="AL370" s="122">
        <v>45129.7722685185</v>
      </c>
      <c r="AM370" s="107">
        <v>1</v>
      </c>
    </row>
    <row r="371" spans="1:39">
      <c r="A371" s="106" t="s">
        <v>1855</v>
      </c>
      <c r="B371" s="107">
        <v>2</v>
      </c>
      <c r="E371" s="108"/>
      <c r="H371" s="105"/>
      <c r="L371" s="105"/>
      <c r="AI371" s="11"/>
      <c r="AL371" s="122">
        <v>45130.4040625</v>
      </c>
      <c r="AM371" s="107">
        <v>1</v>
      </c>
    </row>
    <row r="372" spans="1:39">
      <c r="A372" s="106" t="s">
        <v>3608</v>
      </c>
      <c r="B372" s="107">
        <v>1</v>
      </c>
      <c r="E372" s="108"/>
      <c r="H372" s="105"/>
      <c r="L372" s="105"/>
      <c r="AI372" s="11"/>
      <c r="AL372" s="122">
        <v>45130.494525463</v>
      </c>
      <c r="AM372" s="107">
        <v>1</v>
      </c>
    </row>
    <row r="373" spans="1:39">
      <c r="A373" s="106" t="s">
        <v>4661</v>
      </c>
      <c r="B373" s="107">
        <v>2</v>
      </c>
      <c r="E373" s="108"/>
      <c r="H373" s="105"/>
      <c r="L373" s="105"/>
      <c r="AI373" s="11"/>
      <c r="AL373" s="122">
        <v>45131.5659606481</v>
      </c>
      <c r="AM373" s="107">
        <v>1</v>
      </c>
    </row>
    <row r="374" spans="1:39">
      <c r="A374" s="106" t="s">
        <v>1264</v>
      </c>
      <c r="B374" s="107">
        <v>2</v>
      </c>
      <c r="E374" s="108"/>
      <c r="H374" s="105"/>
      <c r="L374" s="105"/>
      <c r="AI374" s="11"/>
      <c r="AL374" s="122">
        <v>45132.389224537</v>
      </c>
      <c r="AM374" s="107">
        <v>1</v>
      </c>
    </row>
    <row r="375" spans="1:39">
      <c r="A375" s="106" t="s">
        <v>3458</v>
      </c>
      <c r="B375" s="107">
        <v>1</v>
      </c>
      <c r="E375" s="108"/>
      <c r="H375" s="105"/>
      <c r="L375" s="105"/>
      <c r="AI375" s="11"/>
      <c r="AL375" s="122">
        <v>45132.4651273148</v>
      </c>
      <c r="AM375" s="107">
        <v>1</v>
      </c>
    </row>
    <row r="376" spans="1:39">
      <c r="A376" s="106" t="s">
        <v>4562</v>
      </c>
      <c r="B376" s="107">
        <v>2</v>
      </c>
      <c r="E376" s="108"/>
      <c r="H376" s="105"/>
      <c r="L376" s="105"/>
      <c r="AI376" s="11"/>
      <c r="AL376" s="122">
        <v>45132.700162037</v>
      </c>
      <c r="AM376" s="107">
        <v>1</v>
      </c>
    </row>
    <row r="377" spans="1:39">
      <c r="A377" s="106" t="s">
        <v>2776</v>
      </c>
      <c r="B377" s="107">
        <v>1</v>
      </c>
      <c r="E377" s="108"/>
      <c r="H377" s="105"/>
      <c r="L377" s="105"/>
      <c r="AI377" s="11"/>
      <c r="AL377" s="122">
        <v>45133.4167592593</v>
      </c>
      <c r="AM377" s="107">
        <v>1</v>
      </c>
    </row>
    <row r="378" spans="1:39">
      <c r="A378" s="106" t="s">
        <v>1786</v>
      </c>
      <c r="B378" s="107">
        <v>2</v>
      </c>
      <c r="E378" s="108"/>
      <c r="H378" s="105"/>
      <c r="L378" s="105"/>
      <c r="AI378" s="11"/>
      <c r="AL378" s="122">
        <v>45133.4364814815</v>
      </c>
      <c r="AM378" s="107">
        <v>1</v>
      </c>
    </row>
    <row r="379" spans="1:39">
      <c r="A379" s="106" t="s">
        <v>4085</v>
      </c>
      <c r="B379" s="107">
        <v>1</v>
      </c>
      <c r="E379" s="108"/>
      <c r="H379" s="105"/>
      <c r="L379" s="105"/>
      <c r="AI379" s="11"/>
      <c r="AL379" s="122">
        <v>45133.4657638889</v>
      </c>
      <c r="AM379" s="107">
        <v>1</v>
      </c>
    </row>
    <row r="380" spans="1:39">
      <c r="A380" s="106" t="s">
        <v>3167</v>
      </c>
      <c r="B380" s="107">
        <v>1</v>
      </c>
      <c r="E380" s="108"/>
      <c r="H380" s="105"/>
      <c r="L380" s="105"/>
      <c r="AI380" s="11"/>
      <c r="AL380" s="122">
        <v>45133.7549074074</v>
      </c>
      <c r="AM380" s="107">
        <v>1</v>
      </c>
    </row>
    <row r="381" spans="1:39">
      <c r="A381" s="106" t="s">
        <v>2509</v>
      </c>
      <c r="B381" s="107">
        <v>1</v>
      </c>
      <c r="E381" s="108"/>
      <c r="H381" s="105"/>
      <c r="L381" s="105"/>
      <c r="AI381" s="11"/>
      <c r="AL381" s="122">
        <v>45134.3686689815</v>
      </c>
      <c r="AM381" s="107">
        <v>1</v>
      </c>
    </row>
    <row r="382" spans="1:39">
      <c r="A382" s="106" t="s">
        <v>1182</v>
      </c>
      <c r="B382" s="107">
        <v>2</v>
      </c>
      <c r="E382" s="108"/>
      <c r="H382" s="105"/>
      <c r="L382" s="105"/>
      <c r="AI382" s="11"/>
      <c r="AL382" s="122">
        <v>45134.3802314815</v>
      </c>
      <c r="AM382" s="107">
        <v>1</v>
      </c>
    </row>
    <row r="383" spans="1:39">
      <c r="A383" s="106" t="s">
        <v>4548</v>
      </c>
      <c r="B383" s="107">
        <v>1</v>
      </c>
      <c r="E383" s="108"/>
      <c r="H383" s="105"/>
      <c r="L383" s="105"/>
      <c r="AI383" s="11"/>
      <c r="AL383" s="122">
        <v>45134.6150810185</v>
      </c>
      <c r="AM383" s="107">
        <v>1</v>
      </c>
    </row>
    <row r="384" spans="1:39">
      <c r="A384" s="106" t="s">
        <v>3866</v>
      </c>
      <c r="B384" s="107">
        <v>1</v>
      </c>
      <c r="E384" s="108"/>
      <c r="H384" s="105"/>
      <c r="L384" s="105"/>
      <c r="AI384" s="11"/>
      <c r="AL384" s="122">
        <v>45134.6265046296</v>
      </c>
      <c r="AM384" s="107">
        <v>1</v>
      </c>
    </row>
    <row r="385" spans="1:39">
      <c r="A385" s="106" t="s">
        <v>1420</v>
      </c>
      <c r="B385" s="107">
        <v>2</v>
      </c>
      <c r="E385" s="108"/>
      <c r="H385" s="105"/>
      <c r="L385" s="105"/>
      <c r="AI385" s="11"/>
      <c r="AL385" s="122">
        <v>45135.4321064815</v>
      </c>
      <c r="AM385" s="107">
        <v>1</v>
      </c>
    </row>
    <row r="386" spans="1:39">
      <c r="A386" s="106" t="s">
        <v>4000</v>
      </c>
      <c r="B386" s="107">
        <v>3</v>
      </c>
      <c r="E386" s="108"/>
      <c r="H386" s="105"/>
      <c r="L386" s="105"/>
      <c r="AI386" s="11"/>
      <c r="AL386" s="122">
        <v>45135.8087384259</v>
      </c>
      <c r="AM386" s="107">
        <v>1</v>
      </c>
    </row>
    <row r="387" spans="1:39">
      <c r="A387" s="106" t="s">
        <v>2408</v>
      </c>
      <c r="B387" s="107">
        <v>2</v>
      </c>
      <c r="E387" s="108"/>
      <c r="H387" s="105"/>
      <c r="L387" s="105"/>
      <c r="AI387" s="11"/>
      <c r="AL387" s="122">
        <v>45136.4069097222</v>
      </c>
      <c r="AM387" s="107">
        <v>1</v>
      </c>
    </row>
    <row r="388" spans="1:39">
      <c r="A388" s="106" t="s">
        <v>2483</v>
      </c>
      <c r="B388" s="107">
        <v>1</v>
      </c>
      <c r="E388" s="108"/>
      <c r="H388" s="105"/>
      <c r="L388" s="105"/>
      <c r="AI388" s="11"/>
      <c r="AL388" s="122">
        <v>45136.4798842593</v>
      </c>
      <c r="AM388" s="107">
        <v>1</v>
      </c>
    </row>
    <row r="389" spans="1:39">
      <c r="A389" s="106" t="s">
        <v>3002</v>
      </c>
      <c r="B389" s="107">
        <v>6</v>
      </c>
      <c r="E389" s="108"/>
      <c r="H389" s="105"/>
      <c r="L389" s="105"/>
      <c r="AI389" s="11"/>
      <c r="AL389" s="122">
        <v>45136.5136689815</v>
      </c>
      <c r="AM389" s="107">
        <v>1</v>
      </c>
    </row>
    <row r="390" spans="1:39">
      <c r="A390" s="106" t="s">
        <v>4777</v>
      </c>
      <c r="B390" s="107">
        <v>2</v>
      </c>
      <c r="E390" s="108"/>
      <c r="H390" s="105"/>
      <c r="L390" s="105"/>
      <c r="AI390" s="11"/>
      <c r="AL390" s="122">
        <v>45136.6454513889</v>
      </c>
      <c r="AM390" s="107">
        <v>1</v>
      </c>
    </row>
    <row r="391" spans="1:39">
      <c r="A391" s="106" t="s">
        <v>4005</v>
      </c>
      <c r="B391" s="107">
        <v>1</v>
      </c>
      <c r="E391" s="108"/>
      <c r="H391" s="105"/>
      <c r="L391" s="105"/>
      <c r="AI391" s="11"/>
      <c r="AL391" s="122">
        <v>45136.7892592593</v>
      </c>
      <c r="AM391" s="107">
        <v>1</v>
      </c>
    </row>
    <row r="392" spans="1:39">
      <c r="A392" s="106" t="s">
        <v>4960</v>
      </c>
      <c r="B392" s="107">
        <v>2</v>
      </c>
      <c r="E392" s="108"/>
      <c r="H392" s="105"/>
      <c r="L392" s="105"/>
      <c r="AI392" s="11"/>
      <c r="AL392" s="122">
        <v>45138.6837962963</v>
      </c>
      <c r="AM392" s="107">
        <v>1</v>
      </c>
    </row>
    <row r="393" spans="1:39">
      <c r="A393" s="106" t="s">
        <v>446</v>
      </c>
      <c r="B393" s="107">
        <v>2</v>
      </c>
      <c r="E393" s="108"/>
      <c r="H393" s="105"/>
      <c r="L393" s="105"/>
      <c r="AI393" s="11"/>
      <c r="AL393" s="122">
        <v>45138.7141435185</v>
      </c>
      <c r="AM393" s="107">
        <v>1</v>
      </c>
    </row>
    <row r="394" spans="1:39">
      <c r="A394" s="106" t="s">
        <v>544</v>
      </c>
      <c r="B394" s="107">
        <v>1</v>
      </c>
      <c r="E394" s="108"/>
      <c r="H394" s="105"/>
      <c r="L394" s="105"/>
      <c r="AI394" s="11"/>
      <c r="AL394" s="122">
        <v>45138.7387731482</v>
      </c>
      <c r="AM394" s="107">
        <v>1</v>
      </c>
    </row>
    <row r="395" spans="1:39">
      <c r="A395" s="106" t="s">
        <v>1132</v>
      </c>
      <c r="B395" s="107">
        <v>2</v>
      </c>
      <c r="E395" s="108"/>
      <c r="H395" s="105"/>
      <c r="L395" s="105"/>
      <c r="AI395" s="11"/>
      <c r="AL395" s="122">
        <v>45139.6317939815</v>
      </c>
      <c r="AM395" s="107">
        <v>1</v>
      </c>
    </row>
    <row r="396" spans="1:39">
      <c r="A396" s="106" t="s">
        <v>4250</v>
      </c>
      <c r="B396" s="107">
        <v>1</v>
      </c>
      <c r="E396" s="108"/>
      <c r="H396" s="105"/>
      <c r="L396" s="105"/>
      <c r="AI396" s="11"/>
      <c r="AL396" s="122">
        <v>45139.6855555556</v>
      </c>
      <c r="AM396" s="107">
        <v>1</v>
      </c>
    </row>
    <row r="397" spans="1:39">
      <c r="A397" s="101" t="s">
        <v>79</v>
      </c>
      <c r="B397" s="102">
        <v>2</v>
      </c>
      <c r="E397" s="108"/>
      <c r="H397" s="105"/>
      <c r="L397" s="105"/>
      <c r="AI397" s="11"/>
      <c r="AL397" s="122">
        <v>45140.6871064815</v>
      </c>
      <c r="AM397" s="107">
        <v>1</v>
      </c>
    </row>
    <row r="398" spans="1:39">
      <c r="A398" s="101" t="s">
        <v>3207</v>
      </c>
      <c r="B398" s="102">
        <v>2</v>
      </c>
      <c r="E398" s="108"/>
      <c r="H398" s="105"/>
      <c r="L398" s="105"/>
      <c r="AI398" s="11"/>
      <c r="AL398" s="122">
        <v>45141.3808796296</v>
      </c>
      <c r="AM398" s="107">
        <v>1</v>
      </c>
    </row>
    <row r="399" spans="1:39">
      <c r="A399" s="106" t="s">
        <v>3163</v>
      </c>
      <c r="B399" s="107">
        <v>1</v>
      </c>
      <c r="E399" s="108"/>
      <c r="H399" s="105"/>
      <c r="L399" s="105"/>
      <c r="AI399" s="11"/>
      <c r="AL399" s="122">
        <v>45141.388125</v>
      </c>
      <c r="AM399" s="107">
        <v>1</v>
      </c>
    </row>
    <row r="400" spans="1:39">
      <c r="A400" s="106" t="s">
        <v>4823</v>
      </c>
      <c r="B400" s="107">
        <v>1</v>
      </c>
      <c r="E400" s="108"/>
      <c r="H400" s="105"/>
      <c r="L400" s="105"/>
      <c r="AI400" s="11"/>
      <c r="AL400" s="122">
        <v>45141.5746180556</v>
      </c>
      <c r="AM400" s="107">
        <v>1</v>
      </c>
    </row>
    <row r="401" spans="1:39">
      <c r="A401" s="106" t="s">
        <v>2229</v>
      </c>
      <c r="B401" s="107">
        <v>3</v>
      </c>
      <c r="E401" s="108"/>
      <c r="H401" s="105"/>
      <c r="L401" s="105"/>
      <c r="AI401" s="11"/>
      <c r="AL401" s="122">
        <v>45141.6609027778</v>
      </c>
      <c r="AM401" s="107">
        <v>1</v>
      </c>
    </row>
    <row r="402" spans="1:39">
      <c r="A402" s="106" t="s">
        <v>4995</v>
      </c>
      <c r="B402" s="107">
        <v>2</v>
      </c>
      <c r="E402" s="108"/>
      <c r="H402" s="105"/>
      <c r="L402" s="105"/>
      <c r="AI402" s="11"/>
      <c r="AL402" s="122">
        <v>45141.7406365741</v>
      </c>
      <c r="AM402" s="107">
        <v>1</v>
      </c>
    </row>
    <row r="403" spans="1:39">
      <c r="A403" s="106" t="s">
        <v>4787</v>
      </c>
      <c r="B403" s="107">
        <v>1</v>
      </c>
      <c r="E403" s="108"/>
      <c r="H403" s="105"/>
      <c r="L403" s="105"/>
      <c r="AI403" s="11"/>
      <c r="AL403" s="122">
        <v>45142.3866319444</v>
      </c>
      <c r="AM403" s="107">
        <v>1</v>
      </c>
    </row>
    <row r="404" spans="1:39">
      <c r="A404" s="106" t="s">
        <v>4751</v>
      </c>
      <c r="B404" s="107">
        <v>4</v>
      </c>
      <c r="E404" s="108"/>
      <c r="H404" s="105"/>
      <c r="L404" s="105"/>
      <c r="AI404" s="11"/>
      <c r="AL404" s="122">
        <v>45142.4981712963</v>
      </c>
      <c r="AM404" s="107">
        <v>1</v>
      </c>
    </row>
    <row r="405" spans="1:39">
      <c r="A405" s="106" t="s">
        <v>4630</v>
      </c>
      <c r="B405" s="107">
        <v>4</v>
      </c>
      <c r="E405" s="108"/>
      <c r="H405" s="105"/>
      <c r="L405" s="105"/>
      <c r="AI405" s="11"/>
      <c r="AL405" s="122">
        <v>45142.612037037</v>
      </c>
      <c r="AM405" s="107">
        <v>1</v>
      </c>
    </row>
    <row r="406" spans="1:39">
      <c r="A406" s="106" t="s">
        <v>2124</v>
      </c>
      <c r="B406" s="107">
        <v>1</v>
      </c>
      <c r="E406" s="108"/>
      <c r="H406" s="105"/>
      <c r="L406" s="105"/>
      <c r="AI406" s="11"/>
      <c r="AL406" s="122">
        <v>45142.640150463</v>
      </c>
      <c r="AM406" s="107">
        <v>1</v>
      </c>
    </row>
    <row r="407" spans="1:39">
      <c r="A407" s="106" t="s">
        <v>3214</v>
      </c>
      <c r="B407" s="107">
        <v>3</v>
      </c>
      <c r="E407" s="108"/>
      <c r="H407" s="105"/>
      <c r="L407" s="105"/>
      <c r="AI407" s="11"/>
      <c r="AL407" s="122">
        <v>45142.6815856481</v>
      </c>
      <c r="AM407" s="107">
        <v>1</v>
      </c>
    </row>
    <row r="408" spans="1:39">
      <c r="A408" s="101" t="s">
        <v>215</v>
      </c>
      <c r="B408" s="102">
        <v>2</v>
      </c>
      <c r="E408" s="108"/>
      <c r="H408" s="105"/>
      <c r="L408" s="105"/>
      <c r="AI408" s="11"/>
      <c r="AL408" s="122">
        <v>45142.8355555556</v>
      </c>
      <c r="AM408" s="107">
        <v>1</v>
      </c>
    </row>
    <row r="409" spans="1:39">
      <c r="A409" s="101" t="s">
        <v>3452</v>
      </c>
      <c r="B409" s="102">
        <v>2</v>
      </c>
      <c r="E409" s="108"/>
      <c r="H409" s="105"/>
      <c r="L409" s="105"/>
      <c r="AI409" s="11"/>
      <c r="AL409" s="122">
        <v>45143.4068171296</v>
      </c>
      <c r="AM409" s="107">
        <v>1</v>
      </c>
    </row>
    <row r="410" spans="1:39">
      <c r="A410" s="106" t="s">
        <v>408</v>
      </c>
      <c r="B410" s="107">
        <v>5</v>
      </c>
      <c r="E410" s="108"/>
      <c r="H410" s="105"/>
      <c r="L410" s="105"/>
      <c r="AI410" s="11"/>
      <c r="AL410" s="122">
        <v>45143.511412037</v>
      </c>
      <c r="AM410" s="107">
        <v>1</v>
      </c>
    </row>
    <row r="411" spans="1:39">
      <c r="A411" s="106" t="s">
        <v>773</v>
      </c>
      <c r="B411" s="107">
        <v>1</v>
      </c>
      <c r="E411" s="108"/>
      <c r="H411" s="105"/>
      <c r="L411" s="105"/>
      <c r="AI411" s="11"/>
      <c r="AL411" s="122">
        <v>45143.5187847222</v>
      </c>
      <c r="AM411" s="107">
        <v>1</v>
      </c>
    </row>
    <row r="412" spans="1:39">
      <c r="A412" s="106" t="s">
        <v>1849</v>
      </c>
      <c r="B412" s="107">
        <v>1</v>
      </c>
      <c r="E412" s="108"/>
      <c r="H412" s="105"/>
      <c r="L412" s="105"/>
      <c r="AI412" s="11"/>
      <c r="AL412" s="122">
        <v>45143.5472800926</v>
      </c>
      <c r="AM412" s="107">
        <v>1</v>
      </c>
    </row>
    <row r="413" spans="1:39">
      <c r="A413" s="106" t="s">
        <v>2513</v>
      </c>
      <c r="B413" s="107">
        <v>3</v>
      </c>
      <c r="E413" s="108"/>
      <c r="H413" s="105"/>
      <c r="L413" s="105"/>
      <c r="AI413" s="11"/>
      <c r="AL413" s="122">
        <v>45143.5771527778</v>
      </c>
      <c r="AM413" s="107">
        <v>1</v>
      </c>
    </row>
    <row r="414" spans="1:39">
      <c r="A414" s="106" t="s">
        <v>2374</v>
      </c>
      <c r="B414" s="107">
        <v>1</v>
      </c>
      <c r="E414" s="108"/>
      <c r="H414" s="105"/>
      <c r="L414" s="105"/>
      <c r="AI414" s="11"/>
      <c r="AL414" s="122">
        <v>45143.6001041667</v>
      </c>
      <c r="AM414" s="107">
        <v>1</v>
      </c>
    </row>
    <row r="415" spans="1:39">
      <c r="A415" s="106" t="s">
        <v>315</v>
      </c>
      <c r="B415" s="107">
        <v>2</v>
      </c>
      <c r="E415" s="108"/>
      <c r="H415" s="105"/>
      <c r="L415" s="105"/>
      <c r="AI415" s="11"/>
      <c r="AL415" s="122">
        <v>45143.780474537</v>
      </c>
      <c r="AM415" s="107">
        <v>1</v>
      </c>
    </row>
    <row r="416" spans="1:39">
      <c r="A416" s="106" t="s">
        <v>2739</v>
      </c>
      <c r="B416" s="107">
        <v>7</v>
      </c>
      <c r="E416" s="108"/>
      <c r="H416" s="105"/>
      <c r="L416" s="105"/>
      <c r="AI416" s="11"/>
      <c r="AL416" s="122">
        <v>45144.4081365741</v>
      </c>
      <c r="AM416" s="107">
        <v>1</v>
      </c>
    </row>
    <row r="417" spans="1:39">
      <c r="A417" s="106" t="s">
        <v>1660</v>
      </c>
      <c r="B417" s="107">
        <v>4</v>
      </c>
      <c r="E417" s="108"/>
      <c r="H417" s="105"/>
      <c r="L417" s="105"/>
      <c r="AI417" s="11"/>
      <c r="AL417" s="122">
        <v>45145.4327546296</v>
      </c>
      <c r="AM417" s="107">
        <v>1</v>
      </c>
    </row>
    <row r="418" spans="1:39">
      <c r="A418" s="106" t="s">
        <v>3093</v>
      </c>
      <c r="B418" s="107">
        <v>1</v>
      </c>
      <c r="E418" s="108"/>
      <c r="H418" s="105"/>
      <c r="L418" s="105"/>
      <c r="AI418" s="11"/>
      <c r="AL418" s="122">
        <v>45145.4655324074</v>
      </c>
      <c r="AM418" s="107">
        <v>1</v>
      </c>
    </row>
    <row r="419" spans="1:39">
      <c r="A419" s="106" t="s">
        <v>4449</v>
      </c>
      <c r="B419" s="107">
        <v>1</v>
      </c>
      <c r="E419" s="108"/>
      <c r="H419" s="105"/>
      <c r="L419" s="105"/>
      <c r="AI419" s="11"/>
      <c r="AL419" s="122">
        <v>45145.5362384259</v>
      </c>
      <c r="AM419" s="107">
        <v>1</v>
      </c>
    </row>
    <row r="420" spans="1:39">
      <c r="A420" s="106" t="s">
        <v>3080</v>
      </c>
      <c r="B420" s="107">
        <v>1</v>
      </c>
      <c r="E420" s="108"/>
      <c r="H420" s="105"/>
      <c r="L420" s="105"/>
      <c r="AI420" s="11"/>
      <c r="AL420" s="122">
        <v>45145.7510185185</v>
      </c>
      <c r="AM420" s="107">
        <v>1</v>
      </c>
    </row>
    <row r="421" spans="1:39">
      <c r="A421" s="106" t="s">
        <v>3103</v>
      </c>
      <c r="B421" s="107">
        <v>1</v>
      </c>
      <c r="E421" s="108"/>
      <c r="H421" s="105"/>
      <c r="L421" s="105"/>
      <c r="AI421" s="11"/>
      <c r="AL421" s="122">
        <v>45145.7889351852</v>
      </c>
      <c r="AM421" s="107">
        <v>1</v>
      </c>
    </row>
    <row r="422" spans="1:39">
      <c r="A422" s="106" t="s">
        <v>3996</v>
      </c>
      <c r="B422" s="107">
        <v>2</v>
      </c>
      <c r="E422" s="108"/>
      <c r="H422" s="105"/>
      <c r="L422" s="105"/>
      <c r="AI422" s="11"/>
      <c r="AL422" s="122">
        <v>45146.3812384259</v>
      </c>
      <c r="AM422" s="107">
        <v>1</v>
      </c>
    </row>
    <row r="423" spans="1:39">
      <c r="A423" s="106" t="s">
        <v>1754</v>
      </c>
      <c r="B423" s="107">
        <v>2</v>
      </c>
      <c r="E423" s="108"/>
      <c r="H423" s="105"/>
      <c r="L423" s="105"/>
      <c r="AI423" s="11"/>
      <c r="AL423" s="122">
        <v>45146.389525463</v>
      </c>
      <c r="AM423" s="107">
        <v>1</v>
      </c>
    </row>
    <row r="424" spans="1:39">
      <c r="A424" s="101" t="s">
        <v>264</v>
      </c>
      <c r="B424" s="102">
        <v>3</v>
      </c>
      <c r="E424" s="108"/>
      <c r="H424" s="105"/>
      <c r="L424" s="105"/>
      <c r="AI424" s="11"/>
      <c r="AL424" s="122">
        <v>45147.3617708333</v>
      </c>
      <c r="AM424" s="107">
        <v>1</v>
      </c>
    </row>
    <row r="425" spans="1:39">
      <c r="A425" s="101" t="s">
        <v>3020</v>
      </c>
      <c r="B425" s="102">
        <v>17</v>
      </c>
      <c r="E425" s="108"/>
      <c r="H425" s="105"/>
      <c r="L425" s="105"/>
      <c r="AI425" s="11"/>
      <c r="AL425" s="122">
        <v>45147.3680555556</v>
      </c>
      <c r="AM425" s="107">
        <v>1</v>
      </c>
    </row>
    <row r="426" spans="1:39">
      <c r="A426" s="106" t="s">
        <v>752</v>
      </c>
      <c r="B426" s="107">
        <v>1</v>
      </c>
      <c r="E426" s="108"/>
      <c r="H426" s="105"/>
      <c r="L426" s="105"/>
      <c r="AI426" s="11"/>
      <c r="AL426" s="122">
        <v>45147.3896643519</v>
      </c>
      <c r="AM426" s="107">
        <v>1</v>
      </c>
    </row>
    <row r="427" spans="1:39">
      <c r="A427" s="106" t="s">
        <v>4248</v>
      </c>
      <c r="B427" s="107">
        <v>1</v>
      </c>
      <c r="E427" s="108"/>
      <c r="H427" s="105"/>
      <c r="L427" s="105"/>
      <c r="AI427" s="11"/>
      <c r="AL427" s="122">
        <v>45147.4985300926</v>
      </c>
      <c r="AM427" s="107">
        <v>1</v>
      </c>
    </row>
    <row r="428" spans="1:39">
      <c r="A428" s="106" t="s">
        <v>4858</v>
      </c>
      <c r="B428" s="107">
        <v>1</v>
      </c>
      <c r="E428" s="108"/>
      <c r="H428" s="105"/>
      <c r="L428" s="105"/>
      <c r="AI428" s="11"/>
      <c r="AL428" s="122">
        <v>45147.7615046296</v>
      </c>
      <c r="AM428" s="107">
        <v>1</v>
      </c>
    </row>
    <row r="429" spans="1:39">
      <c r="A429" s="106" t="s">
        <v>2990</v>
      </c>
      <c r="B429" s="107">
        <v>10</v>
      </c>
      <c r="E429" s="108"/>
      <c r="H429" s="105"/>
      <c r="L429" s="105"/>
      <c r="AI429" s="11"/>
      <c r="AL429" s="122">
        <v>45148.3413773148</v>
      </c>
      <c r="AM429" s="107">
        <v>1</v>
      </c>
    </row>
    <row r="430" spans="1:39">
      <c r="A430" s="106" t="s">
        <v>1607</v>
      </c>
      <c r="B430" s="107">
        <v>2</v>
      </c>
      <c r="E430" s="108"/>
      <c r="H430" s="105"/>
      <c r="L430" s="105"/>
      <c r="AI430" s="11"/>
      <c r="AL430" s="122">
        <v>45148.4487731481</v>
      </c>
      <c r="AM430" s="107">
        <v>1</v>
      </c>
    </row>
    <row r="431" spans="1:39">
      <c r="A431" s="106" t="s">
        <v>2053</v>
      </c>
      <c r="B431" s="107">
        <v>1</v>
      </c>
      <c r="E431" s="108"/>
      <c r="H431" s="105"/>
      <c r="L431" s="105"/>
      <c r="AI431" s="11"/>
      <c r="AL431" s="122">
        <v>45148.4717361111</v>
      </c>
      <c r="AM431" s="107">
        <v>1</v>
      </c>
    </row>
    <row r="432" spans="1:39">
      <c r="A432" s="106" t="s">
        <v>3262</v>
      </c>
      <c r="B432" s="107">
        <v>1</v>
      </c>
      <c r="E432" s="108"/>
      <c r="H432" s="105"/>
      <c r="L432" s="105"/>
      <c r="AI432" s="11"/>
      <c r="AL432" s="122">
        <v>45148.590625</v>
      </c>
      <c r="AM432" s="107">
        <v>1</v>
      </c>
    </row>
    <row r="433" spans="1:39">
      <c r="A433" s="106" t="s">
        <v>2958</v>
      </c>
      <c r="B433" s="107">
        <v>4</v>
      </c>
      <c r="E433" s="108"/>
      <c r="H433" s="105"/>
      <c r="L433" s="105"/>
      <c r="AI433" s="11"/>
      <c r="AL433" s="122">
        <v>45148.6653472222</v>
      </c>
      <c r="AM433" s="107">
        <v>1</v>
      </c>
    </row>
    <row r="434" spans="1:39">
      <c r="A434" s="106" t="s">
        <v>1864</v>
      </c>
      <c r="B434" s="107">
        <v>3</v>
      </c>
      <c r="E434" s="108"/>
      <c r="H434" s="105"/>
      <c r="L434" s="105"/>
      <c r="AI434" s="11"/>
      <c r="AL434" s="122">
        <v>45148.6840162037</v>
      </c>
      <c r="AM434" s="107">
        <v>1</v>
      </c>
    </row>
    <row r="435" spans="1:39">
      <c r="A435" s="106" t="s">
        <v>1693</v>
      </c>
      <c r="B435" s="107">
        <v>2</v>
      </c>
      <c r="E435" s="108"/>
      <c r="H435" s="105"/>
      <c r="L435" s="105"/>
      <c r="AI435" s="11"/>
      <c r="AL435" s="122">
        <v>45148.8182407407</v>
      </c>
      <c r="AM435" s="107">
        <v>1</v>
      </c>
    </row>
    <row r="436" spans="1:39">
      <c r="A436" s="106" t="s">
        <v>1462</v>
      </c>
      <c r="B436" s="107">
        <v>2</v>
      </c>
      <c r="E436" s="108"/>
      <c r="H436" s="105"/>
      <c r="L436" s="105"/>
      <c r="AI436" s="11"/>
      <c r="AL436" s="122">
        <v>45149.3724189815</v>
      </c>
      <c r="AM436" s="107">
        <v>1</v>
      </c>
    </row>
    <row r="437" spans="1:39">
      <c r="A437" s="106" t="s">
        <v>2654</v>
      </c>
      <c r="B437" s="107">
        <v>4</v>
      </c>
      <c r="E437" s="108"/>
      <c r="H437" s="105"/>
      <c r="L437" s="105"/>
      <c r="AI437" s="11"/>
      <c r="AL437" s="122">
        <v>45149.3837962963</v>
      </c>
      <c r="AM437" s="107">
        <v>1</v>
      </c>
    </row>
    <row r="438" spans="1:39">
      <c r="A438" s="106" t="s">
        <v>387</v>
      </c>
      <c r="B438" s="107">
        <v>3</v>
      </c>
      <c r="E438" s="108"/>
      <c r="H438" s="105"/>
      <c r="L438" s="105"/>
      <c r="AI438" s="11"/>
      <c r="AL438" s="122">
        <v>45149.5552083333</v>
      </c>
      <c r="AM438" s="107">
        <v>1</v>
      </c>
    </row>
    <row r="439" spans="1:39">
      <c r="A439" s="106" t="s">
        <v>2930</v>
      </c>
      <c r="B439" s="107">
        <v>1</v>
      </c>
      <c r="E439" s="108"/>
      <c r="H439" s="105"/>
      <c r="L439" s="105"/>
      <c r="AI439" s="11"/>
      <c r="AL439" s="122">
        <v>45149.7463888889</v>
      </c>
      <c r="AM439" s="107">
        <v>1</v>
      </c>
    </row>
    <row r="440" spans="1:39">
      <c r="A440" s="106" t="s">
        <v>1024</v>
      </c>
      <c r="B440" s="107">
        <v>4</v>
      </c>
      <c r="E440" s="108"/>
      <c r="H440" s="105"/>
      <c r="L440" s="105"/>
      <c r="AI440" s="11"/>
      <c r="AL440" s="122">
        <v>45150.5976967593</v>
      </c>
      <c r="AM440" s="107">
        <v>1</v>
      </c>
    </row>
    <row r="441" spans="1:39">
      <c r="A441" s="101" t="s">
        <v>38</v>
      </c>
      <c r="B441" s="102">
        <v>1</v>
      </c>
      <c r="E441" s="108"/>
      <c r="H441" s="105"/>
      <c r="L441" s="105"/>
      <c r="AI441" s="11"/>
      <c r="AL441" s="122">
        <v>45150.6662615741</v>
      </c>
      <c r="AM441" s="107">
        <v>1</v>
      </c>
    </row>
    <row r="442" spans="1:39">
      <c r="A442" s="101" t="s">
        <v>986</v>
      </c>
      <c r="B442" s="102">
        <v>2</v>
      </c>
      <c r="E442" s="108"/>
      <c r="H442" s="105"/>
      <c r="L442" s="105"/>
      <c r="AI442" s="11"/>
      <c r="AL442" s="122">
        <v>45150.769212963</v>
      </c>
      <c r="AM442" s="107">
        <v>1</v>
      </c>
    </row>
    <row r="443" spans="1:39">
      <c r="A443" s="101" t="s">
        <v>146</v>
      </c>
      <c r="B443" s="102">
        <v>5</v>
      </c>
      <c r="E443" s="108"/>
      <c r="H443" s="105"/>
      <c r="L443" s="105"/>
      <c r="AI443" s="11"/>
      <c r="AL443" s="122">
        <v>45152.3945138889</v>
      </c>
      <c r="AM443" s="107">
        <v>1</v>
      </c>
    </row>
    <row r="444" spans="1:39">
      <c r="A444" s="101" t="s">
        <v>3177</v>
      </c>
      <c r="B444" s="102">
        <v>3</v>
      </c>
      <c r="E444" s="108"/>
      <c r="H444" s="105"/>
      <c r="L444" s="105"/>
      <c r="AI444" s="11"/>
      <c r="AL444" s="122">
        <v>45152.4686921296</v>
      </c>
      <c r="AM444" s="107">
        <v>1</v>
      </c>
    </row>
    <row r="445" spans="1:39">
      <c r="A445" s="106" t="s">
        <v>572</v>
      </c>
      <c r="B445" s="107">
        <v>1</v>
      </c>
      <c r="E445" s="108"/>
      <c r="H445" s="105"/>
      <c r="L445" s="105"/>
      <c r="AI445" s="11"/>
      <c r="AL445" s="122">
        <v>45152.6686574074</v>
      </c>
      <c r="AM445" s="107">
        <v>1</v>
      </c>
    </row>
    <row r="446" spans="1:39">
      <c r="A446" s="106" t="s">
        <v>4271</v>
      </c>
      <c r="B446" s="107">
        <v>2</v>
      </c>
      <c r="E446" s="108"/>
      <c r="H446" s="105"/>
      <c r="L446" s="105"/>
      <c r="AI446" s="11"/>
      <c r="AL446" s="122">
        <v>45153.3097569444</v>
      </c>
      <c r="AM446" s="107">
        <v>1</v>
      </c>
    </row>
    <row r="447" spans="1:39">
      <c r="A447" s="106" t="s">
        <v>2060</v>
      </c>
      <c r="B447" s="107">
        <v>2</v>
      </c>
      <c r="E447" s="108"/>
      <c r="H447" s="105"/>
      <c r="L447" s="105"/>
      <c r="AI447" s="11"/>
      <c r="AL447" s="122">
        <v>45153.7765162037</v>
      </c>
      <c r="AM447" s="107">
        <v>1</v>
      </c>
    </row>
    <row r="448" spans="1:39">
      <c r="A448" s="106" t="s">
        <v>412</v>
      </c>
      <c r="B448" s="107">
        <v>1</v>
      </c>
      <c r="E448" s="108"/>
      <c r="H448" s="105"/>
      <c r="L448" s="105"/>
      <c r="AI448" s="11"/>
      <c r="AL448" s="122">
        <v>45153.807337963</v>
      </c>
      <c r="AM448" s="107">
        <v>1</v>
      </c>
    </row>
    <row r="449" spans="1:39">
      <c r="A449" s="106" t="s">
        <v>4943</v>
      </c>
      <c r="B449" s="107">
        <v>1</v>
      </c>
      <c r="E449" s="108"/>
      <c r="H449" s="105"/>
      <c r="L449" s="105"/>
      <c r="AI449" s="11"/>
      <c r="AL449" s="122">
        <v>45154.5198842593</v>
      </c>
      <c r="AM449" s="107">
        <v>1</v>
      </c>
    </row>
    <row r="450" spans="1:39">
      <c r="A450" s="106" t="s">
        <v>738</v>
      </c>
      <c r="B450" s="107">
        <v>1</v>
      </c>
      <c r="E450" s="108"/>
      <c r="H450" s="105"/>
      <c r="L450" s="105"/>
      <c r="AI450" s="11"/>
      <c r="AL450" s="122">
        <v>45154.5756597222</v>
      </c>
      <c r="AM450" s="107">
        <v>1</v>
      </c>
    </row>
    <row r="451" spans="1:39">
      <c r="A451" s="106" t="s">
        <v>2934</v>
      </c>
      <c r="B451" s="107">
        <v>2</v>
      </c>
      <c r="E451" s="108"/>
      <c r="H451" s="105"/>
      <c r="L451" s="105"/>
      <c r="AI451" s="11"/>
      <c r="AL451" s="122">
        <v>45154.7013194444</v>
      </c>
      <c r="AM451" s="107">
        <v>1</v>
      </c>
    </row>
    <row r="452" spans="1:39">
      <c r="A452" s="106" t="s">
        <v>2851</v>
      </c>
      <c r="B452" s="107">
        <v>4</v>
      </c>
      <c r="E452" s="108"/>
      <c r="H452" s="105"/>
      <c r="L452" s="105"/>
      <c r="AI452" s="11"/>
      <c r="AL452" s="122">
        <v>45155.3837268519</v>
      </c>
      <c r="AM452" s="107">
        <v>1</v>
      </c>
    </row>
    <row r="453" spans="1:39">
      <c r="A453" s="106" t="s">
        <v>2962</v>
      </c>
      <c r="B453" s="107">
        <v>1</v>
      </c>
      <c r="E453" s="108"/>
      <c r="H453" s="105"/>
      <c r="L453" s="105"/>
      <c r="AI453" s="11"/>
      <c r="AL453" s="122">
        <v>45155.4963078704</v>
      </c>
      <c r="AM453" s="107">
        <v>1</v>
      </c>
    </row>
    <row r="454" spans="1:39">
      <c r="A454" s="106" t="s">
        <v>3581</v>
      </c>
      <c r="B454" s="107">
        <v>5</v>
      </c>
      <c r="E454" s="108"/>
      <c r="H454" s="105"/>
      <c r="L454" s="105"/>
      <c r="AI454" s="11"/>
      <c r="AL454" s="122">
        <v>45155.64</v>
      </c>
      <c r="AM454" s="107">
        <v>1</v>
      </c>
    </row>
    <row r="455" spans="1:39">
      <c r="A455" s="106" t="s">
        <v>3404</v>
      </c>
      <c r="B455" s="107">
        <v>2</v>
      </c>
      <c r="E455" s="108"/>
      <c r="H455" s="105"/>
      <c r="L455" s="105"/>
      <c r="AI455" s="11"/>
      <c r="AL455" s="122">
        <v>45155.6641782407</v>
      </c>
      <c r="AM455" s="107">
        <v>1</v>
      </c>
    </row>
    <row r="456" spans="1:39">
      <c r="A456" s="106" t="s">
        <v>1116</v>
      </c>
      <c r="B456" s="107">
        <v>4</v>
      </c>
      <c r="E456" s="108"/>
      <c r="H456" s="105"/>
      <c r="L456" s="105"/>
      <c r="AI456" s="11"/>
      <c r="AL456" s="122">
        <v>45155.6642361111</v>
      </c>
      <c r="AM456" s="107">
        <v>1</v>
      </c>
    </row>
    <row r="457" spans="1:39">
      <c r="A457" s="106" t="s">
        <v>1949</v>
      </c>
      <c r="B457" s="107">
        <v>3</v>
      </c>
      <c r="E457" s="108"/>
      <c r="H457" s="105"/>
      <c r="L457" s="105"/>
      <c r="AI457" s="11"/>
      <c r="AL457" s="122">
        <v>45155.7192939815</v>
      </c>
      <c r="AM457" s="107">
        <v>1</v>
      </c>
    </row>
    <row r="458" spans="1:39">
      <c r="A458" s="106" t="s">
        <v>352</v>
      </c>
      <c r="B458" s="107">
        <v>4</v>
      </c>
      <c r="E458" s="108"/>
      <c r="H458" s="105"/>
      <c r="L458" s="105"/>
      <c r="AI458" s="11"/>
      <c r="AL458" s="122">
        <v>45155.719375</v>
      </c>
      <c r="AM458" s="107">
        <v>1</v>
      </c>
    </row>
    <row r="459" spans="1:39">
      <c r="A459" s="106" t="s">
        <v>2890</v>
      </c>
      <c r="B459" s="107">
        <v>2</v>
      </c>
      <c r="E459" s="108"/>
      <c r="H459" s="105"/>
      <c r="L459" s="105"/>
      <c r="AI459" s="11"/>
      <c r="AL459" s="122">
        <v>45155.7584722222</v>
      </c>
      <c r="AM459" s="107">
        <v>1</v>
      </c>
    </row>
    <row r="460" spans="1:39">
      <c r="A460" s="106" t="s">
        <v>2355</v>
      </c>
      <c r="B460" s="107">
        <v>1</v>
      </c>
      <c r="E460" s="108"/>
      <c r="H460" s="105"/>
      <c r="L460" s="105"/>
      <c r="AI460" s="11"/>
      <c r="AL460" s="122">
        <v>45155.8339236111</v>
      </c>
      <c r="AM460" s="107">
        <v>1</v>
      </c>
    </row>
    <row r="461" spans="1:39">
      <c r="A461" s="106" t="s">
        <v>3300</v>
      </c>
      <c r="B461" s="107">
        <v>1</v>
      </c>
      <c r="E461" s="108"/>
      <c r="H461" s="105"/>
      <c r="L461" s="105"/>
      <c r="AI461" s="11"/>
      <c r="AL461" s="122">
        <v>45156.4078125</v>
      </c>
      <c r="AM461" s="107">
        <v>1</v>
      </c>
    </row>
    <row r="462" spans="1:39">
      <c r="A462" s="106" t="s">
        <v>575</v>
      </c>
      <c r="B462" s="107">
        <v>6</v>
      </c>
      <c r="E462" s="108"/>
      <c r="H462" s="105"/>
      <c r="L462" s="105"/>
      <c r="AI462" s="11"/>
      <c r="AL462" s="122">
        <v>45156.4177083333</v>
      </c>
      <c r="AM462" s="107">
        <v>1</v>
      </c>
    </row>
    <row r="463" spans="1:39">
      <c r="A463" s="101" t="s">
        <v>195</v>
      </c>
      <c r="B463" s="102">
        <v>2</v>
      </c>
      <c r="E463" s="108"/>
      <c r="H463" s="105"/>
      <c r="L463" s="105"/>
      <c r="AI463" s="11"/>
      <c r="AL463" s="122">
        <v>45156.4792824074</v>
      </c>
      <c r="AM463" s="107">
        <v>1</v>
      </c>
    </row>
    <row r="464" spans="1:39">
      <c r="A464" s="101" t="s">
        <v>4120</v>
      </c>
      <c r="B464" s="102">
        <v>2</v>
      </c>
      <c r="E464" s="108"/>
      <c r="H464" s="105"/>
      <c r="L464" s="105"/>
      <c r="AI464" s="11"/>
      <c r="AL464" s="122">
        <v>45156.5202199074</v>
      </c>
      <c r="AM464" s="107">
        <v>1</v>
      </c>
    </row>
    <row r="465" spans="1:39">
      <c r="A465" s="106" t="s">
        <v>2884</v>
      </c>
      <c r="B465" s="107">
        <v>1</v>
      </c>
      <c r="E465" s="108"/>
      <c r="H465" s="105"/>
      <c r="L465" s="105"/>
      <c r="AI465" s="11"/>
      <c r="AL465" s="122">
        <v>45156.6340162037</v>
      </c>
      <c r="AM465" s="107">
        <v>1</v>
      </c>
    </row>
    <row r="466" spans="1:39">
      <c r="A466" s="106" t="s">
        <v>2898</v>
      </c>
      <c r="B466" s="107">
        <v>1</v>
      </c>
      <c r="E466" s="108"/>
      <c r="H466" s="105"/>
      <c r="L466" s="105"/>
      <c r="AI466" s="11"/>
      <c r="AL466" s="122">
        <v>45156.6449189815</v>
      </c>
      <c r="AM466" s="107">
        <v>1</v>
      </c>
    </row>
    <row r="467" spans="1:39">
      <c r="A467" s="106" t="s">
        <v>2071</v>
      </c>
      <c r="B467" s="107">
        <v>1</v>
      </c>
      <c r="E467" s="108"/>
      <c r="H467" s="105"/>
      <c r="L467" s="105"/>
      <c r="AI467" s="11"/>
      <c r="AL467" s="122">
        <v>45157.4796296296</v>
      </c>
      <c r="AM467" s="107">
        <v>1</v>
      </c>
    </row>
    <row r="468" spans="1:39">
      <c r="A468" s="106" t="s">
        <v>4618</v>
      </c>
      <c r="B468" s="107">
        <v>2</v>
      </c>
      <c r="E468" s="108"/>
      <c r="H468" s="105"/>
      <c r="L468" s="105"/>
      <c r="AI468" s="11"/>
      <c r="AL468" s="122">
        <v>45157.4843518519</v>
      </c>
      <c r="AM468" s="107">
        <v>1</v>
      </c>
    </row>
    <row r="469" spans="1:39">
      <c r="A469" s="106" t="s">
        <v>1619</v>
      </c>
      <c r="B469" s="107">
        <v>3</v>
      </c>
      <c r="E469" s="108"/>
      <c r="H469" s="105"/>
      <c r="L469" s="105"/>
      <c r="AI469" s="11"/>
      <c r="AL469" s="122">
        <v>45157.6232523148</v>
      </c>
      <c r="AM469" s="107">
        <v>1</v>
      </c>
    </row>
    <row r="470" spans="1:39">
      <c r="A470" s="106" t="s">
        <v>3895</v>
      </c>
      <c r="B470" s="107">
        <v>3</v>
      </c>
      <c r="E470" s="108"/>
      <c r="H470" s="105"/>
      <c r="L470" s="105"/>
      <c r="AI470" s="11"/>
      <c r="AL470" s="122">
        <v>45157.6299768519</v>
      </c>
      <c r="AM470" s="107">
        <v>1</v>
      </c>
    </row>
    <row r="471" spans="1:39">
      <c r="A471" s="106" t="s">
        <v>2211</v>
      </c>
      <c r="B471" s="107">
        <v>5</v>
      </c>
      <c r="E471" s="108"/>
      <c r="H471" s="105"/>
      <c r="L471" s="105"/>
      <c r="AI471" s="11"/>
      <c r="AL471" s="122">
        <v>45157.6874421296</v>
      </c>
      <c r="AM471" s="107">
        <v>1</v>
      </c>
    </row>
    <row r="472" spans="1:39">
      <c r="A472" s="106" t="s">
        <v>1384</v>
      </c>
      <c r="B472" s="107">
        <v>2</v>
      </c>
      <c r="E472" s="108"/>
      <c r="H472" s="105"/>
      <c r="L472" s="105"/>
      <c r="AI472" s="11"/>
      <c r="AL472" s="122">
        <v>45158.3762384259</v>
      </c>
      <c r="AM472" s="107">
        <v>1</v>
      </c>
    </row>
    <row r="473" spans="1:39">
      <c r="A473" s="106" t="s">
        <v>2790</v>
      </c>
      <c r="B473" s="107">
        <v>1</v>
      </c>
      <c r="E473" s="108"/>
      <c r="H473" s="105"/>
      <c r="L473" s="105"/>
      <c r="AI473" s="11"/>
      <c r="AL473" s="122">
        <v>45158.4097222222</v>
      </c>
      <c r="AM473" s="107">
        <v>1</v>
      </c>
    </row>
    <row r="474" spans="1:39">
      <c r="A474" s="106" t="s">
        <v>2639</v>
      </c>
      <c r="B474" s="107">
        <v>3</v>
      </c>
      <c r="E474" s="108"/>
      <c r="H474" s="105"/>
      <c r="L474" s="105"/>
      <c r="AI474" s="11"/>
      <c r="AL474" s="122">
        <v>45158.6855439815</v>
      </c>
      <c r="AM474" s="107">
        <v>1</v>
      </c>
    </row>
    <row r="475" spans="1:39">
      <c r="A475" s="106" t="s">
        <v>2343</v>
      </c>
      <c r="B475" s="107">
        <v>1</v>
      </c>
      <c r="E475" s="108"/>
      <c r="H475" s="105"/>
      <c r="L475" s="105"/>
      <c r="AI475" s="11"/>
      <c r="AL475" s="122">
        <v>45159.4020949074</v>
      </c>
      <c r="AM475" s="107">
        <v>1</v>
      </c>
    </row>
    <row r="476" spans="1:39">
      <c r="A476" s="106" t="s">
        <v>4392</v>
      </c>
      <c r="B476" s="107">
        <v>1</v>
      </c>
      <c r="E476" s="108"/>
      <c r="H476" s="105"/>
      <c r="L476" s="105"/>
      <c r="AI476" s="11"/>
      <c r="AL476" s="122">
        <v>45159.5281018519</v>
      </c>
      <c r="AM476" s="107">
        <v>1</v>
      </c>
    </row>
    <row r="477" spans="1:39">
      <c r="A477" s="106" t="s">
        <v>1452</v>
      </c>
      <c r="B477" s="107">
        <v>10</v>
      </c>
      <c r="E477" s="108"/>
      <c r="H477" s="105"/>
      <c r="L477" s="105"/>
      <c r="AI477" s="11"/>
      <c r="AL477" s="122">
        <v>45159.5739699074</v>
      </c>
      <c r="AM477" s="107">
        <v>1</v>
      </c>
    </row>
    <row r="478" spans="1:39">
      <c r="A478" s="106" t="s">
        <v>3240</v>
      </c>
      <c r="B478" s="107">
        <v>1</v>
      </c>
      <c r="E478" s="108"/>
      <c r="H478" s="105"/>
      <c r="L478" s="105"/>
      <c r="AI478" s="11"/>
      <c r="AL478" s="122">
        <v>45159.6070601852</v>
      </c>
      <c r="AM478" s="107">
        <v>1</v>
      </c>
    </row>
    <row r="479" spans="1:39">
      <c r="A479" s="106" t="s">
        <v>4157</v>
      </c>
      <c r="B479" s="107">
        <v>1</v>
      </c>
      <c r="E479" s="108"/>
      <c r="H479" s="105"/>
      <c r="L479" s="105"/>
      <c r="AI479" s="11"/>
      <c r="AL479" s="122">
        <v>45159.6760648148</v>
      </c>
      <c r="AM479" s="107">
        <v>1</v>
      </c>
    </row>
    <row r="480" spans="1:39">
      <c r="A480" s="106" t="s">
        <v>655</v>
      </c>
      <c r="B480" s="107">
        <v>2</v>
      </c>
      <c r="E480" s="108"/>
      <c r="H480" s="105"/>
      <c r="L480" s="105"/>
      <c r="AI480" s="11"/>
      <c r="AL480" s="122">
        <v>45160.3881828704</v>
      </c>
      <c r="AM480" s="107">
        <v>1</v>
      </c>
    </row>
    <row r="481" spans="1:39">
      <c r="A481" s="106" t="s">
        <v>981</v>
      </c>
      <c r="B481" s="107">
        <v>1</v>
      </c>
      <c r="E481" s="108"/>
      <c r="H481" s="105"/>
      <c r="L481" s="105"/>
      <c r="AI481" s="11"/>
      <c r="AL481" s="122">
        <v>45160.5243865741</v>
      </c>
      <c r="AM481" s="107">
        <v>1</v>
      </c>
    </row>
    <row r="482" spans="1:39">
      <c r="A482" s="106" t="s">
        <v>4238</v>
      </c>
      <c r="B482" s="107">
        <v>2</v>
      </c>
      <c r="E482" s="108"/>
      <c r="H482" s="105"/>
      <c r="L482" s="105"/>
      <c r="AI482" s="11"/>
      <c r="AL482" s="122">
        <v>45160.5699768519</v>
      </c>
      <c r="AM482" s="107">
        <v>1</v>
      </c>
    </row>
    <row r="483" spans="1:39">
      <c r="A483" s="106" t="s">
        <v>633</v>
      </c>
      <c r="B483" s="107">
        <v>6</v>
      </c>
      <c r="E483" s="108"/>
      <c r="H483" s="105"/>
      <c r="L483" s="105"/>
      <c r="AI483" s="11"/>
      <c r="AL483" s="122">
        <v>45160.6266666667</v>
      </c>
      <c r="AM483" s="107">
        <v>1</v>
      </c>
    </row>
    <row r="484" spans="1:39">
      <c r="A484" s="106" t="s">
        <v>3348</v>
      </c>
      <c r="B484" s="107">
        <v>2</v>
      </c>
      <c r="E484" s="108"/>
      <c r="H484" s="105"/>
      <c r="L484" s="105"/>
      <c r="AI484" s="11"/>
      <c r="AL484" s="122">
        <v>45160.686875</v>
      </c>
      <c r="AM484" s="107">
        <v>1</v>
      </c>
    </row>
    <row r="485" spans="1:39">
      <c r="A485" s="106" t="s">
        <v>3330</v>
      </c>
      <c r="B485" s="107">
        <v>1</v>
      </c>
      <c r="E485" s="108"/>
      <c r="H485" s="105"/>
      <c r="L485" s="105"/>
      <c r="AI485" s="11"/>
      <c r="AL485" s="122">
        <v>45160.6987962963</v>
      </c>
      <c r="AM485" s="107">
        <v>1</v>
      </c>
    </row>
    <row r="486" spans="1:39">
      <c r="A486" s="106" t="s">
        <v>2692</v>
      </c>
      <c r="B486" s="107">
        <v>3</v>
      </c>
      <c r="E486" s="108"/>
      <c r="H486" s="105"/>
      <c r="L486" s="105"/>
      <c r="AI486" s="11"/>
      <c r="AL486" s="122">
        <v>45161.3949421296</v>
      </c>
      <c r="AM486" s="107">
        <v>1</v>
      </c>
    </row>
    <row r="487" spans="1:39">
      <c r="A487" s="106" t="s">
        <v>4872</v>
      </c>
      <c r="B487" s="107">
        <v>2</v>
      </c>
      <c r="E487" s="108"/>
      <c r="H487" s="105"/>
      <c r="L487" s="105"/>
      <c r="AI487" s="11"/>
      <c r="AL487" s="122">
        <v>45161.4003703704</v>
      </c>
      <c r="AM487" s="107">
        <v>1</v>
      </c>
    </row>
    <row r="488" spans="1:39">
      <c r="A488" s="106" t="s">
        <v>2367</v>
      </c>
      <c r="B488" s="107">
        <v>1</v>
      </c>
      <c r="E488" s="108"/>
      <c r="H488" s="105"/>
      <c r="L488" s="105"/>
      <c r="AI488" s="11"/>
      <c r="AL488" s="122">
        <v>45161.4119907407</v>
      </c>
      <c r="AM488" s="107">
        <v>1</v>
      </c>
    </row>
    <row r="489" spans="1:39">
      <c r="A489" s="106" t="s">
        <v>1891</v>
      </c>
      <c r="B489" s="107">
        <v>2</v>
      </c>
      <c r="E489" s="108"/>
      <c r="H489" s="105"/>
      <c r="L489" s="105"/>
      <c r="AI489" s="11"/>
      <c r="AL489" s="122">
        <v>45161.4756481481</v>
      </c>
      <c r="AM489" s="107">
        <v>1</v>
      </c>
    </row>
    <row r="490" spans="1:39">
      <c r="A490" s="106" t="s">
        <v>4727</v>
      </c>
      <c r="B490" s="107">
        <v>2</v>
      </c>
      <c r="E490" s="108"/>
      <c r="H490" s="105"/>
      <c r="L490" s="105"/>
      <c r="AI490" s="11"/>
      <c r="AL490" s="122">
        <v>45161.6340046296</v>
      </c>
      <c r="AM490" s="107">
        <v>1</v>
      </c>
    </row>
    <row r="491" spans="1:39">
      <c r="A491" s="106" t="s">
        <v>3805</v>
      </c>
      <c r="B491" s="107">
        <v>1</v>
      </c>
      <c r="E491" s="108"/>
      <c r="H491" s="105"/>
      <c r="L491" s="105"/>
      <c r="AI491" s="11"/>
      <c r="AL491" s="122">
        <v>45161.6681365741</v>
      </c>
      <c r="AM491" s="107">
        <v>1</v>
      </c>
    </row>
    <row r="492" spans="1:39">
      <c r="A492" s="106" t="s">
        <v>522</v>
      </c>
      <c r="B492" s="107">
        <v>1</v>
      </c>
      <c r="E492" s="108"/>
      <c r="H492" s="105"/>
      <c r="L492" s="105"/>
      <c r="AI492" s="11"/>
      <c r="AL492" s="122">
        <v>45161.6883449074</v>
      </c>
      <c r="AM492" s="107">
        <v>1</v>
      </c>
    </row>
    <row r="493" spans="1:39">
      <c r="A493" s="106" t="s">
        <v>3238</v>
      </c>
      <c r="B493" s="107">
        <v>1</v>
      </c>
      <c r="E493" s="108"/>
      <c r="H493" s="105"/>
      <c r="L493" s="105"/>
      <c r="AI493" s="11"/>
      <c r="AL493" s="122">
        <v>45162.3662615741</v>
      </c>
      <c r="AM493" s="107">
        <v>1</v>
      </c>
    </row>
    <row r="494" spans="1:39">
      <c r="A494" s="106" t="s">
        <v>4015</v>
      </c>
      <c r="B494" s="107">
        <v>1</v>
      </c>
      <c r="E494" s="108"/>
      <c r="H494" s="105"/>
      <c r="L494" s="105"/>
      <c r="AI494" s="11"/>
      <c r="AL494" s="122">
        <v>45162.3724189815</v>
      </c>
      <c r="AM494" s="107">
        <v>1</v>
      </c>
    </row>
    <row r="495" spans="1:39">
      <c r="A495" s="106" t="s">
        <v>2167</v>
      </c>
      <c r="B495" s="107">
        <v>5</v>
      </c>
      <c r="E495" s="108"/>
      <c r="H495" s="105"/>
      <c r="L495" s="105"/>
      <c r="AI495" s="11"/>
      <c r="AL495" s="122">
        <v>45163.5325462963</v>
      </c>
      <c r="AM495" s="107">
        <v>1</v>
      </c>
    </row>
    <row r="496" spans="1:39">
      <c r="A496" s="106" t="s">
        <v>3711</v>
      </c>
      <c r="B496" s="107">
        <v>5</v>
      </c>
      <c r="E496" s="108"/>
      <c r="H496" s="105"/>
      <c r="L496" s="105"/>
      <c r="AI496" s="11"/>
      <c r="AL496" s="122">
        <v>45163.6746180556</v>
      </c>
      <c r="AM496" s="107">
        <v>1</v>
      </c>
    </row>
    <row r="497" spans="1:39">
      <c r="A497" s="106" t="s">
        <v>1177</v>
      </c>
      <c r="B497" s="107">
        <v>4</v>
      </c>
      <c r="E497" s="108"/>
      <c r="H497" s="105"/>
      <c r="L497" s="105"/>
      <c r="AI497" s="11"/>
      <c r="AL497" s="122">
        <v>45163.6786226852</v>
      </c>
      <c r="AM497" s="107">
        <v>1</v>
      </c>
    </row>
    <row r="498" spans="1:39">
      <c r="A498" s="106" t="s">
        <v>2428</v>
      </c>
      <c r="B498" s="107">
        <v>1</v>
      </c>
      <c r="E498" s="108"/>
      <c r="H498" s="105"/>
      <c r="L498" s="105"/>
      <c r="AI498" s="11"/>
      <c r="AL498" s="122">
        <v>45164.482962963</v>
      </c>
      <c r="AM498" s="107">
        <v>1</v>
      </c>
    </row>
    <row r="499" spans="1:39">
      <c r="A499" s="106" t="s">
        <v>2704</v>
      </c>
      <c r="B499" s="107">
        <v>5</v>
      </c>
      <c r="E499" s="108"/>
      <c r="H499" s="105"/>
      <c r="L499" s="105"/>
      <c r="AI499" s="11"/>
      <c r="AL499" s="122">
        <v>45164.5912037037</v>
      </c>
      <c r="AM499" s="107">
        <v>1</v>
      </c>
    </row>
    <row r="500" spans="1:39">
      <c r="A500" s="106" t="s">
        <v>844</v>
      </c>
      <c r="B500" s="107">
        <v>4</v>
      </c>
      <c r="E500" s="108"/>
      <c r="H500" s="105"/>
      <c r="L500" s="105"/>
      <c r="AI500" s="11"/>
      <c r="AL500" s="122">
        <v>45164.6254166667</v>
      </c>
      <c r="AM500" s="107">
        <v>1</v>
      </c>
    </row>
    <row r="501" spans="1:39">
      <c r="A501" s="106" t="s">
        <v>2292</v>
      </c>
      <c r="B501" s="107">
        <v>2</v>
      </c>
      <c r="E501" s="108"/>
      <c r="H501" s="105"/>
      <c r="L501" s="105"/>
      <c r="AI501" s="11"/>
      <c r="AL501" s="122">
        <v>45166.5464351852</v>
      </c>
      <c r="AM501" s="107">
        <v>1</v>
      </c>
    </row>
    <row r="502" spans="1:39">
      <c r="A502" s="106" t="s">
        <v>3880</v>
      </c>
      <c r="B502" s="107">
        <v>1</v>
      </c>
      <c r="E502" s="108"/>
      <c r="H502" s="105"/>
      <c r="L502" s="105"/>
      <c r="AI502" s="11"/>
      <c r="AL502" s="122">
        <v>45166.626087963</v>
      </c>
      <c r="AM502" s="107">
        <v>1</v>
      </c>
    </row>
    <row r="503" spans="1:39">
      <c r="A503" s="106" t="s">
        <v>2162</v>
      </c>
      <c r="B503" s="107">
        <v>1</v>
      </c>
      <c r="E503" s="108"/>
      <c r="H503" s="105"/>
      <c r="L503" s="105"/>
      <c r="AI503" s="11"/>
      <c r="AL503" s="122">
        <v>45166.7916435185</v>
      </c>
      <c r="AM503" s="107">
        <v>1</v>
      </c>
    </row>
    <row r="504" spans="1:39">
      <c r="A504" s="106" t="s">
        <v>3007</v>
      </c>
      <c r="B504" s="107">
        <v>2</v>
      </c>
      <c r="E504" s="108"/>
      <c r="H504" s="105"/>
      <c r="L504" s="105"/>
      <c r="AI504" s="11"/>
      <c r="AL504" s="122">
        <v>45167.5012962963</v>
      </c>
      <c r="AM504" s="107">
        <v>1</v>
      </c>
    </row>
    <row r="505" spans="1:39">
      <c r="A505" s="106" t="s">
        <v>1531</v>
      </c>
      <c r="B505" s="107">
        <v>1</v>
      </c>
      <c r="E505" s="108"/>
      <c r="H505" s="105"/>
      <c r="L505" s="105"/>
      <c r="AI505" s="11"/>
      <c r="AL505" s="122">
        <v>45167.6215972222</v>
      </c>
      <c r="AM505" s="107">
        <v>1</v>
      </c>
    </row>
    <row r="506" spans="1:39">
      <c r="A506" s="106" t="s">
        <v>500</v>
      </c>
      <c r="B506" s="107">
        <v>1</v>
      </c>
      <c r="E506" s="108"/>
      <c r="H506" s="105"/>
      <c r="L506" s="105"/>
      <c r="AI506" s="11"/>
      <c r="AL506" s="122">
        <v>45167.7112847222</v>
      </c>
      <c r="AM506" s="107">
        <v>1</v>
      </c>
    </row>
    <row r="507" spans="1:39">
      <c r="A507" s="106" t="s">
        <v>1095</v>
      </c>
      <c r="B507" s="107">
        <v>2</v>
      </c>
      <c r="E507" s="108"/>
      <c r="H507" s="105"/>
      <c r="L507" s="105"/>
      <c r="AI507" s="11"/>
      <c r="AL507" s="122">
        <v>45168.3724074074</v>
      </c>
      <c r="AM507" s="107">
        <v>1</v>
      </c>
    </row>
    <row r="508" spans="1:39">
      <c r="A508" s="106" t="s">
        <v>517</v>
      </c>
      <c r="B508" s="107">
        <v>4</v>
      </c>
      <c r="E508" s="108"/>
      <c r="H508" s="105"/>
      <c r="L508" s="105"/>
      <c r="AI508" s="11"/>
      <c r="AL508" s="122">
        <v>45168.3818981481</v>
      </c>
      <c r="AM508" s="107">
        <v>1</v>
      </c>
    </row>
    <row r="509" spans="1:39">
      <c r="A509" s="106" t="s">
        <v>1937</v>
      </c>
      <c r="B509" s="107">
        <v>1</v>
      </c>
      <c r="E509" s="108"/>
      <c r="H509" s="105"/>
      <c r="L509" s="105"/>
      <c r="AI509" s="11"/>
      <c r="AL509" s="122">
        <v>45168.5939351852</v>
      </c>
      <c r="AM509" s="107">
        <v>1</v>
      </c>
    </row>
    <row r="510" spans="1:39">
      <c r="A510" s="106" t="s">
        <v>1655</v>
      </c>
      <c r="B510" s="107">
        <v>1</v>
      </c>
      <c r="E510" s="108"/>
      <c r="H510" s="105"/>
      <c r="L510" s="105"/>
      <c r="AI510" s="11"/>
      <c r="AL510" s="122">
        <v>45169.3605439815</v>
      </c>
      <c r="AM510" s="107">
        <v>1</v>
      </c>
    </row>
    <row r="511" spans="1:39">
      <c r="A511" s="106" t="s">
        <v>1983</v>
      </c>
      <c r="B511" s="107">
        <v>3</v>
      </c>
      <c r="E511" s="108"/>
      <c r="H511" s="105"/>
      <c r="L511" s="105"/>
      <c r="AI511" s="11"/>
      <c r="AL511" s="122">
        <v>45169.4322685185</v>
      </c>
      <c r="AM511" s="107">
        <v>1</v>
      </c>
    </row>
    <row r="512" spans="1:39">
      <c r="A512" s="106" t="s">
        <v>1594</v>
      </c>
      <c r="B512" s="107">
        <v>1</v>
      </c>
      <c r="E512" s="108"/>
      <c r="H512" s="105"/>
      <c r="L512" s="105"/>
      <c r="AI512" s="11"/>
      <c r="AL512" s="122">
        <v>45169.4505439815</v>
      </c>
      <c r="AM512" s="107">
        <v>1</v>
      </c>
    </row>
    <row r="513" spans="1:39">
      <c r="A513" s="106" t="s">
        <v>1295</v>
      </c>
      <c r="B513" s="107">
        <v>1</v>
      </c>
      <c r="E513" s="108"/>
      <c r="H513" s="105"/>
      <c r="L513" s="105"/>
      <c r="AI513" s="11"/>
      <c r="AL513" s="122">
        <v>45169.7764699074</v>
      </c>
      <c r="AM513" s="107">
        <v>1</v>
      </c>
    </row>
    <row r="514" spans="1:39">
      <c r="A514" s="106" t="s">
        <v>2312</v>
      </c>
      <c r="B514" s="107">
        <v>1</v>
      </c>
      <c r="E514" s="108"/>
      <c r="H514" s="105"/>
      <c r="L514" s="105"/>
      <c r="AI514" s="11"/>
      <c r="AL514" s="122">
        <v>45170.3944444444</v>
      </c>
      <c r="AM514" s="107">
        <v>1</v>
      </c>
    </row>
    <row r="515" spans="1:39">
      <c r="A515" s="106" t="s">
        <v>1839</v>
      </c>
      <c r="B515" s="107">
        <v>1</v>
      </c>
      <c r="E515" s="108"/>
      <c r="H515" s="105"/>
      <c r="L515" s="105"/>
      <c r="AI515" s="11"/>
      <c r="AL515" s="122">
        <v>45170.3969791667</v>
      </c>
      <c r="AM515" s="107">
        <v>1</v>
      </c>
    </row>
    <row r="516" spans="1:39">
      <c r="A516" s="106" t="s">
        <v>2451</v>
      </c>
      <c r="B516" s="107">
        <v>3</v>
      </c>
      <c r="E516" s="108"/>
      <c r="H516" s="105"/>
      <c r="L516" s="105"/>
      <c r="AI516" s="11"/>
      <c r="AL516" s="122">
        <v>45170.6296527778</v>
      </c>
      <c r="AM516" s="107">
        <v>1</v>
      </c>
    </row>
    <row r="517" spans="1:39">
      <c r="A517" s="106" t="s">
        <v>3701</v>
      </c>
      <c r="B517" s="107">
        <v>1</v>
      </c>
      <c r="E517" s="108"/>
      <c r="H517" s="105"/>
      <c r="L517" s="105"/>
      <c r="AI517" s="11"/>
      <c r="AL517" s="122">
        <v>45170.7532986111</v>
      </c>
      <c r="AM517" s="107">
        <v>1</v>
      </c>
    </row>
    <row r="518" spans="1:39">
      <c r="A518" s="106" t="s">
        <v>4593</v>
      </c>
      <c r="B518" s="107">
        <v>2</v>
      </c>
      <c r="E518" s="108"/>
      <c r="H518" s="105"/>
      <c r="L518" s="105"/>
      <c r="AI518" s="11"/>
      <c r="AL518" s="122">
        <v>45170.7645023148</v>
      </c>
      <c r="AM518" s="107">
        <v>1</v>
      </c>
    </row>
    <row r="519" spans="1:39">
      <c r="A519" s="106" t="s">
        <v>681</v>
      </c>
      <c r="B519" s="107">
        <v>1</v>
      </c>
      <c r="E519" s="108"/>
      <c r="H519" s="105"/>
      <c r="L519" s="105"/>
      <c r="AI519" s="11"/>
      <c r="AL519" s="122">
        <v>45171.3560532407</v>
      </c>
      <c r="AM519" s="107">
        <v>1</v>
      </c>
    </row>
    <row r="520" spans="1:39">
      <c r="A520" s="106" t="s">
        <v>1796</v>
      </c>
      <c r="B520" s="107">
        <v>1</v>
      </c>
      <c r="E520" s="108"/>
      <c r="H520" s="105"/>
      <c r="L520" s="105"/>
      <c r="AI520" s="11"/>
      <c r="AL520" s="122">
        <v>45171.5556134259</v>
      </c>
      <c r="AM520" s="107">
        <v>1</v>
      </c>
    </row>
    <row r="521" spans="1:39">
      <c r="A521" s="106" t="s">
        <v>3252</v>
      </c>
      <c r="B521" s="107">
        <v>2</v>
      </c>
      <c r="E521" s="108"/>
      <c r="H521" s="105"/>
      <c r="L521" s="105"/>
      <c r="AI521" s="11"/>
      <c r="AL521" s="122">
        <v>45171.7311342593</v>
      </c>
      <c r="AM521" s="107">
        <v>1</v>
      </c>
    </row>
    <row r="522" spans="1:39">
      <c r="A522" s="106" t="s">
        <v>960</v>
      </c>
      <c r="B522" s="107">
        <v>3</v>
      </c>
      <c r="E522" s="108"/>
      <c r="H522" s="105"/>
      <c r="L522" s="105"/>
      <c r="AI522" s="11"/>
      <c r="AL522" s="122">
        <v>45171.7388194444</v>
      </c>
      <c r="AM522" s="107">
        <v>1</v>
      </c>
    </row>
    <row r="523" spans="1:39">
      <c r="A523" s="106" t="s">
        <v>4296</v>
      </c>
      <c r="B523" s="107">
        <v>1</v>
      </c>
      <c r="E523" s="108"/>
      <c r="H523" s="105"/>
      <c r="L523" s="105"/>
      <c r="AI523" s="11"/>
      <c r="AL523" s="122">
        <v>45172.679375</v>
      </c>
      <c r="AM523" s="107">
        <v>1</v>
      </c>
    </row>
    <row r="524" spans="1:39">
      <c r="A524" s="106" t="s">
        <v>3420</v>
      </c>
      <c r="B524" s="107">
        <v>1</v>
      </c>
      <c r="E524" s="108"/>
      <c r="H524" s="105"/>
      <c r="L524" s="105"/>
      <c r="AI524" s="11"/>
      <c r="AL524" s="122">
        <v>45173.4450694444</v>
      </c>
      <c r="AM524" s="107">
        <v>1</v>
      </c>
    </row>
    <row r="525" spans="1:39">
      <c r="A525" s="106" t="s">
        <v>866</v>
      </c>
      <c r="B525" s="107">
        <v>3</v>
      </c>
      <c r="E525" s="108"/>
      <c r="H525" s="105"/>
      <c r="L525" s="105"/>
      <c r="AI525" s="11"/>
      <c r="AL525" s="122">
        <v>45173.7175462963</v>
      </c>
      <c r="AM525" s="107">
        <v>1</v>
      </c>
    </row>
    <row r="526" spans="1:39">
      <c r="A526" s="106" t="s">
        <v>4366</v>
      </c>
      <c r="B526" s="107">
        <v>2</v>
      </c>
      <c r="E526" s="108"/>
      <c r="H526" s="105"/>
      <c r="L526" s="105"/>
      <c r="AI526" s="11"/>
      <c r="AL526" s="122">
        <v>45175.3694675926</v>
      </c>
      <c r="AM526" s="107">
        <v>1</v>
      </c>
    </row>
    <row r="527" spans="1:39">
      <c r="A527" s="101" t="s">
        <v>178</v>
      </c>
      <c r="B527" s="102">
        <v>3</v>
      </c>
      <c r="E527" s="108"/>
      <c r="H527" s="105"/>
      <c r="L527" s="105"/>
      <c r="AI527" s="11"/>
      <c r="AL527" s="122">
        <v>45175.4911921296</v>
      </c>
      <c r="AM527" s="107">
        <v>1</v>
      </c>
    </row>
    <row r="528" spans="1:39">
      <c r="A528" s="101" t="s">
        <v>2728</v>
      </c>
      <c r="B528" s="102">
        <v>1</v>
      </c>
      <c r="E528" s="108"/>
      <c r="H528" s="105"/>
      <c r="L528" s="105"/>
      <c r="AI528" s="11"/>
      <c r="AL528" s="122">
        <v>45176.8098611111</v>
      </c>
      <c r="AM528" s="107">
        <v>1</v>
      </c>
    </row>
    <row r="529" spans="1:39">
      <c r="A529" s="106" t="s">
        <v>2297</v>
      </c>
      <c r="B529" s="107">
        <v>1</v>
      </c>
      <c r="E529" s="108"/>
      <c r="H529" s="105"/>
      <c r="L529" s="105"/>
      <c r="AI529" s="11"/>
      <c r="AL529" s="122">
        <v>45177.4111689815</v>
      </c>
      <c r="AM529" s="107">
        <v>1</v>
      </c>
    </row>
    <row r="530" spans="1:39">
      <c r="A530" s="106" t="s">
        <v>511</v>
      </c>
      <c r="B530" s="107">
        <v>5</v>
      </c>
      <c r="E530" s="108"/>
      <c r="H530" s="105"/>
      <c r="L530" s="105"/>
      <c r="AI530" s="11"/>
      <c r="AL530" s="122">
        <v>45177.4679861111</v>
      </c>
      <c r="AM530" s="107">
        <v>1</v>
      </c>
    </row>
    <row r="531" spans="1:39">
      <c r="A531" s="106" t="s">
        <v>857</v>
      </c>
      <c r="B531" s="107">
        <v>3</v>
      </c>
      <c r="E531" s="108"/>
      <c r="H531" s="105"/>
      <c r="L531" s="105"/>
      <c r="AI531" s="11"/>
      <c r="AL531" s="122">
        <v>45177.5027199074</v>
      </c>
      <c r="AM531" s="107">
        <v>1</v>
      </c>
    </row>
    <row r="532" spans="1:39">
      <c r="A532" s="106" t="s">
        <v>4183</v>
      </c>
      <c r="B532" s="107">
        <v>2</v>
      </c>
      <c r="E532" s="108"/>
      <c r="H532" s="105"/>
      <c r="L532" s="105"/>
      <c r="AI532" s="11"/>
      <c r="AL532" s="122">
        <v>45177.6574537037</v>
      </c>
      <c r="AM532" s="107">
        <v>1</v>
      </c>
    </row>
    <row r="533" spans="1:39">
      <c r="A533" s="106" t="s">
        <v>4484</v>
      </c>
      <c r="B533" s="107">
        <v>1</v>
      </c>
      <c r="E533" s="108"/>
      <c r="H533" s="105"/>
      <c r="L533" s="105"/>
      <c r="AI533" s="11"/>
      <c r="AL533" s="122">
        <v>45178.403275463</v>
      </c>
      <c r="AM533" s="107">
        <v>1</v>
      </c>
    </row>
    <row r="534" spans="1:39">
      <c r="A534" s="106" t="s">
        <v>2715</v>
      </c>
      <c r="B534" s="107">
        <v>2</v>
      </c>
      <c r="E534" s="108"/>
      <c r="H534" s="105"/>
      <c r="L534" s="105"/>
      <c r="AI534" s="11"/>
      <c r="AL534" s="122">
        <v>45178.6116319444</v>
      </c>
      <c r="AM534" s="107">
        <v>1</v>
      </c>
    </row>
    <row r="535" spans="1:39">
      <c r="A535" s="106" t="s">
        <v>1559</v>
      </c>
      <c r="B535" s="107">
        <v>1</v>
      </c>
      <c r="E535" s="108"/>
      <c r="H535" s="105"/>
      <c r="L535" s="105"/>
      <c r="AI535" s="11"/>
      <c r="AL535" s="122">
        <v>45178.7171875</v>
      </c>
      <c r="AM535" s="107">
        <v>1</v>
      </c>
    </row>
    <row r="536" spans="1:39">
      <c r="A536" s="106" t="s">
        <v>2635</v>
      </c>
      <c r="B536" s="107">
        <v>1</v>
      </c>
      <c r="E536" s="108"/>
      <c r="H536" s="105"/>
      <c r="L536" s="105"/>
      <c r="AI536" s="11"/>
      <c r="AL536" s="122">
        <v>45178.7583333333</v>
      </c>
      <c r="AM536" s="107">
        <v>1</v>
      </c>
    </row>
    <row r="537" spans="1:39">
      <c r="A537" s="106" t="s">
        <v>2910</v>
      </c>
      <c r="B537" s="107">
        <v>2</v>
      </c>
      <c r="E537" s="108"/>
      <c r="H537" s="105"/>
      <c r="L537" s="105"/>
      <c r="AI537" s="11"/>
      <c r="AL537" s="122">
        <v>45178.7951388889</v>
      </c>
      <c r="AM537" s="107">
        <v>1</v>
      </c>
    </row>
    <row r="538" spans="1:39">
      <c r="A538" s="106" t="s">
        <v>2601</v>
      </c>
      <c r="B538" s="107">
        <v>1</v>
      </c>
      <c r="E538" s="108"/>
      <c r="H538" s="105"/>
      <c r="L538" s="105"/>
      <c r="AI538" s="11"/>
      <c r="AL538" s="122">
        <v>45179.4302546296</v>
      </c>
      <c r="AM538" s="107">
        <v>1</v>
      </c>
    </row>
    <row r="539" spans="1:39">
      <c r="A539" s="106" t="s">
        <v>2417</v>
      </c>
      <c r="B539" s="107">
        <v>1</v>
      </c>
      <c r="E539" s="108"/>
      <c r="H539" s="105"/>
      <c r="L539" s="105"/>
      <c r="AI539" s="11"/>
      <c r="AL539" s="122">
        <v>45179.5109953704</v>
      </c>
      <c r="AM539" s="107">
        <v>1</v>
      </c>
    </row>
    <row r="540" spans="1:39">
      <c r="A540" s="106" t="s">
        <v>727</v>
      </c>
      <c r="B540" s="107">
        <v>2</v>
      </c>
      <c r="E540" s="108"/>
      <c r="H540" s="105"/>
      <c r="L540" s="105"/>
      <c r="AI540" s="11"/>
      <c r="AL540" s="122">
        <v>45179.5963310185</v>
      </c>
      <c r="AM540" s="107">
        <v>1</v>
      </c>
    </row>
    <row r="541" spans="1:39">
      <c r="A541" s="106" t="s">
        <v>1286</v>
      </c>
      <c r="B541" s="107">
        <v>6</v>
      </c>
      <c r="E541" s="108"/>
      <c r="H541" s="105"/>
      <c r="L541" s="105"/>
      <c r="AI541" s="11"/>
      <c r="AL541" s="122">
        <v>45179.7204976852</v>
      </c>
      <c r="AM541" s="107">
        <v>1</v>
      </c>
    </row>
    <row r="542" spans="1:39">
      <c r="A542" s="106" t="s">
        <v>3272</v>
      </c>
      <c r="B542" s="107">
        <v>1</v>
      </c>
      <c r="E542" s="108"/>
      <c r="H542" s="105"/>
      <c r="L542" s="105"/>
      <c r="AI542" s="11"/>
      <c r="AL542" s="122">
        <v>45179.7487847222</v>
      </c>
      <c r="AM542" s="107">
        <v>1</v>
      </c>
    </row>
    <row r="543" spans="1:39">
      <c r="A543" s="106" t="s">
        <v>1630</v>
      </c>
      <c r="B543" s="107">
        <v>1</v>
      </c>
      <c r="E543" s="108"/>
      <c r="H543" s="105"/>
      <c r="L543" s="105"/>
      <c r="AI543" s="11"/>
      <c r="AL543" s="122">
        <v>45180.3322337963</v>
      </c>
      <c r="AM543" s="107">
        <v>1</v>
      </c>
    </row>
    <row r="544" spans="1:39">
      <c r="A544" s="106" t="s">
        <v>4652</v>
      </c>
      <c r="B544" s="107">
        <v>2</v>
      </c>
      <c r="E544" s="108"/>
      <c r="H544" s="105"/>
      <c r="L544" s="105"/>
      <c r="AI544" s="11"/>
      <c r="AL544" s="122">
        <v>45180.3727199074</v>
      </c>
      <c r="AM544" s="107">
        <v>1</v>
      </c>
    </row>
    <row r="545" spans="1:39">
      <c r="A545" s="106" t="s">
        <v>1027</v>
      </c>
      <c r="B545" s="107">
        <v>2</v>
      </c>
      <c r="E545" s="108"/>
      <c r="H545" s="105"/>
      <c r="L545" s="105"/>
      <c r="AI545" s="11"/>
      <c r="AL545" s="122">
        <v>45180.5184490741</v>
      </c>
      <c r="AM545" s="107">
        <v>1</v>
      </c>
    </row>
    <row r="546" spans="1:39">
      <c r="A546" s="106" t="s">
        <v>1345</v>
      </c>
      <c r="B546" s="107">
        <v>2</v>
      </c>
      <c r="E546" s="108"/>
      <c r="H546" s="105"/>
      <c r="L546" s="105"/>
      <c r="AI546" s="11"/>
      <c r="AL546" s="122">
        <v>45180.5265625</v>
      </c>
      <c r="AM546" s="107">
        <v>1</v>
      </c>
    </row>
    <row r="547" spans="1:39">
      <c r="A547" s="106" t="s">
        <v>880</v>
      </c>
      <c r="B547" s="107">
        <v>1</v>
      </c>
      <c r="E547" s="108"/>
      <c r="H547" s="105"/>
      <c r="L547" s="105"/>
      <c r="AI547" s="11"/>
      <c r="AL547" s="122">
        <v>45180.6233564815</v>
      </c>
      <c r="AM547" s="107">
        <v>1</v>
      </c>
    </row>
    <row r="548" spans="1:39">
      <c r="A548" s="106" t="s">
        <v>615</v>
      </c>
      <c r="B548" s="107">
        <v>1</v>
      </c>
      <c r="E548" s="108"/>
      <c r="H548" s="105"/>
      <c r="L548" s="105"/>
      <c r="AI548" s="11"/>
      <c r="AL548" s="122">
        <v>45181.6213773148</v>
      </c>
      <c r="AM548" s="107">
        <v>1</v>
      </c>
    </row>
    <row r="549" spans="1:39">
      <c r="A549" s="101" t="s">
        <v>71</v>
      </c>
      <c r="B549" s="102">
        <v>2</v>
      </c>
      <c r="E549" s="108"/>
      <c r="H549" s="105"/>
      <c r="L549" s="105"/>
      <c r="AI549" s="11"/>
      <c r="AL549" s="122">
        <v>45181.6505324074</v>
      </c>
      <c r="AM549" s="107">
        <v>1</v>
      </c>
    </row>
    <row r="550" spans="1:39">
      <c r="A550" s="101" t="s">
        <v>976</v>
      </c>
      <c r="B550" s="102">
        <v>1</v>
      </c>
      <c r="E550" s="108"/>
      <c r="H550" s="105"/>
      <c r="L550" s="105"/>
      <c r="AI550" s="11"/>
      <c r="AL550" s="122">
        <v>45182.4557175926</v>
      </c>
      <c r="AM550" s="107">
        <v>1</v>
      </c>
    </row>
    <row r="551" spans="1:39">
      <c r="A551" s="106" t="s">
        <v>367</v>
      </c>
      <c r="B551" s="107">
        <v>6</v>
      </c>
      <c r="E551" s="108"/>
      <c r="H551" s="105"/>
      <c r="L551" s="105"/>
      <c r="AI551" s="11"/>
      <c r="AL551" s="122">
        <v>45182.4763541667</v>
      </c>
      <c r="AM551" s="107">
        <v>1</v>
      </c>
    </row>
    <row r="552" spans="1:39">
      <c r="A552" s="106" t="s">
        <v>4411</v>
      </c>
      <c r="B552" s="107">
        <v>2</v>
      </c>
      <c r="E552" s="108"/>
      <c r="H552" s="105"/>
      <c r="L552" s="105"/>
      <c r="AI552" s="11"/>
      <c r="AL552" s="122">
        <v>45182.5480439815</v>
      </c>
      <c r="AM552" s="107">
        <v>1</v>
      </c>
    </row>
    <row r="553" spans="1:39">
      <c r="A553" s="106" t="s">
        <v>3835</v>
      </c>
      <c r="B553" s="107">
        <v>1</v>
      </c>
      <c r="E553" s="108"/>
      <c r="H553" s="105"/>
      <c r="L553" s="105"/>
      <c r="AI553" s="11"/>
      <c r="AL553" s="122">
        <v>45182.6038425926</v>
      </c>
      <c r="AM553" s="107">
        <v>1</v>
      </c>
    </row>
    <row r="554" spans="1:39">
      <c r="A554" s="101" t="s">
        <v>142</v>
      </c>
      <c r="B554" s="102">
        <v>1</v>
      </c>
      <c r="E554" s="108"/>
      <c r="H554" s="105"/>
      <c r="L554" s="105"/>
      <c r="AI554" s="11"/>
      <c r="AL554" s="122">
        <v>45182.7084953704</v>
      </c>
      <c r="AM554" s="107">
        <v>1</v>
      </c>
    </row>
    <row r="555" spans="1:39">
      <c r="A555" s="101" t="s">
        <v>622</v>
      </c>
      <c r="B555" s="102">
        <v>1</v>
      </c>
      <c r="E555" s="108"/>
      <c r="H555" s="105"/>
      <c r="L555" s="105"/>
      <c r="AI555" s="11"/>
      <c r="AL555" s="122">
        <v>45183.3646643519</v>
      </c>
      <c r="AM555" s="107">
        <v>1</v>
      </c>
    </row>
    <row r="556" spans="1:39">
      <c r="A556" s="106" t="s">
        <v>422</v>
      </c>
      <c r="B556" s="107">
        <v>1</v>
      </c>
      <c r="E556" s="108"/>
      <c r="H556" s="105"/>
      <c r="L556" s="105"/>
      <c r="AI556" s="11"/>
      <c r="AL556" s="122">
        <v>45183.3779050926</v>
      </c>
      <c r="AM556" s="107">
        <v>1</v>
      </c>
    </row>
    <row r="557" spans="1:39">
      <c r="A557" s="106" t="s">
        <v>3764</v>
      </c>
      <c r="B557" s="107">
        <v>2</v>
      </c>
      <c r="E557" s="108"/>
      <c r="H557" s="105"/>
      <c r="L557" s="105"/>
      <c r="AI557" s="11"/>
      <c r="AL557" s="122">
        <v>45183.4703356481</v>
      </c>
      <c r="AM557" s="107">
        <v>1</v>
      </c>
    </row>
    <row r="558" spans="1:39">
      <c r="A558" s="106" t="s">
        <v>1258</v>
      </c>
      <c r="B558" s="107">
        <v>2</v>
      </c>
      <c r="E558" s="108"/>
      <c r="H558" s="105"/>
      <c r="L558" s="105"/>
      <c r="AI558" s="11"/>
      <c r="AL558" s="122">
        <v>45183.697037037</v>
      </c>
      <c r="AM558" s="107">
        <v>1</v>
      </c>
    </row>
    <row r="559" spans="1:39">
      <c r="A559" s="106" t="s">
        <v>2744</v>
      </c>
      <c r="B559" s="107">
        <v>2</v>
      </c>
      <c r="E559" s="108"/>
      <c r="H559" s="105"/>
      <c r="L559" s="105"/>
      <c r="AI559" s="11"/>
      <c r="AL559" s="122">
        <v>45183.7261458333</v>
      </c>
      <c r="AM559" s="107">
        <v>1</v>
      </c>
    </row>
    <row r="560" spans="1:39">
      <c r="A560" s="106" t="s">
        <v>1545</v>
      </c>
      <c r="B560" s="107">
        <v>1</v>
      </c>
      <c r="E560" s="108"/>
      <c r="H560" s="105"/>
      <c r="L560" s="105"/>
      <c r="AI560" s="11"/>
      <c r="AL560" s="122">
        <v>45185.6180902778</v>
      </c>
      <c r="AM560" s="107">
        <v>1</v>
      </c>
    </row>
    <row r="561" spans="1:39">
      <c r="A561" s="106" t="s">
        <v>2583</v>
      </c>
      <c r="B561" s="107">
        <v>1</v>
      </c>
      <c r="E561" s="108"/>
      <c r="H561" s="105"/>
      <c r="L561" s="105"/>
      <c r="AI561" s="11"/>
      <c r="AL561" s="122">
        <v>45185.6517361111</v>
      </c>
      <c r="AM561" s="107">
        <v>1</v>
      </c>
    </row>
    <row r="562" spans="1:39">
      <c r="A562" s="106" t="s">
        <v>2318</v>
      </c>
      <c r="B562" s="107">
        <v>1</v>
      </c>
      <c r="E562" s="108"/>
      <c r="H562" s="105"/>
      <c r="L562" s="105"/>
      <c r="AI562" s="11"/>
      <c r="AL562" s="122">
        <v>45185.7428703704</v>
      </c>
      <c r="AM562" s="107">
        <v>1</v>
      </c>
    </row>
    <row r="563" spans="1:39">
      <c r="A563" s="106" t="s">
        <v>1602</v>
      </c>
      <c r="B563" s="107">
        <v>4</v>
      </c>
      <c r="E563" s="108"/>
      <c r="H563" s="105"/>
      <c r="L563" s="105"/>
      <c r="AI563" s="11"/>
      <c r="AL563" s="122">
        <v>45185.7758449074</v>
      </c>
      <c r="AM563" s="107">
        <v>1</v>
      </c>
    </row>
    <row r="564" spans="1:39">
      <c r="A564" s="106" t="s">
        <v>4454</v>
      </c>
      <c r="B564" s="107">
        <v>1</v>
      </c>
      <c r="E564" s="108"/>
      <c r="H564" s="105"/>
      <c r="L564" s="105"/>
      <c r="AI564" s="11"/>
      <c r="AL564" s="122">
        <v>45187.3853703704</v>
      </c>
      <c r="AM564" s="107">
        <v>1</v>
      </c>
    </row>
    <row r="565" spans="1:39">
      <c r="A565" s="106" t="s">
        <v>1992</v>
      </c>
      <c r="B565" s="107">
        <v>1</v>
      </c>
      <c r="E565" s="108"/>
      <c r="H565" s="105"/>
      <c r="L565" s="105"/>
      <c r="AI565" s="11"/>
      <c r="AL565" s="122">
        <v>45187.4063078704</v>
      </c>
      <c r="AM565" s="107">
        <v>1</v>
      </c>
    </row>
    <row r="566" spans="1:39">
      <c r="A566" s="106" t="s">
        <v>4019</v>
      </c>
      <c r="B566" s="107">
        <v>2</v>
      </c>
      <c r="E566" s="108"/>
      <c r="H566" s="105"/>
      <c r="L566" s="105"/>
      <c r="AI566" s="11"/>
      <c r="AL566" s="122">
        <v>45187.4365277778</v>
      </c>
      <c r="AM566" s="107">
        <v>1</v>
      </c>
    </row>
    <row r="567" spans="1:39">
      <c r="A567" s="106" t="s">
        <v>3981</v>
      </c>
      <c r="B567" s="107">
        <v>1</v>
      </c>
      <c r="E567" s="108"/>
      <c r="H567" s="105"/>
      <c r="L567" s="105"/>
      <c r="AI567" s="11"/>
      <c r="AL567" s="122">
        <v>45187.5955671296</v>
      </c>
      <c r="AM567" s="107">
        <v>1</v>
      </c>
    </row>
    <row r="568" spans="1:39">
      <c r="A568" s="106" t="s">
        <v>3130</v>
      </c>
      <c r="B568" s="107">
        <v>2</v>
      </c>
      <c r="E568" s="108"/>
      <c r="H568" s="105"/>
      <c r="L568" s="105"/>
      <c r="AI568" s="11"/>
      <c r="AL568" s="122">
        <v>45187.7962268519</v>
      </c>
      <c r="AM568" s="107">
        <v>1</v>
      </c>
    </row>
    <row r="569" spans="1:39">
      <c r="A569" s="106" t="s">
        <v>1327</v>
      </c>
      <c r="B569" s="107">
        <v>2</v>
      </c>
      <c r="E569" s="108"/>
      <c r="H569" s="105"/>
      <c r="L569" s="105"/>
      <c r="AI569" s="11"/>
      <c r="AL569" s="122">
        <v>45188.4456134259</v>
      </c>
      <c r="AM569" s="107">
        <v>1</v>
      </c>
    </row>
    <row r="570" spans="1:39">
      <c r="A570" s="106" t="s">
        <v>4171</v>
      </c>
      <c r="B570" s="107">
        <v>1</v>
      </c>
      <c r="E570" s="108"/>
      <c r="H570" s="105"/>
      <c r="L570" s="105"/>
      <c r="AI570" s="11"/>
      <c r="AL570" s="122">
        <v>45188.4815740741</v>
      </c>
      <c r="AM570" s="107">
        <v>1</v>
      </c>
    </row>
    <row r="571" spans="1:39">
      <c r="A571" s="106" t="s">
        <v>4234</v>
      </c>
      <c r="B571" s="107">
        <v>3</v>
      </c>
      <c r="E571" s="108"/>
      <c r="H571" s="105"/>
      <c r="L571" s="105"/>
      <c r="AI571" s="11"/>
      <c r="AL571" s="122">
        <v>45188.597025463</v>
      </c>
      <c r="AM571" s="107">
        <v>1</v>
      </c>
    </row>
    <row r="572" spans="1:39">
      <c r="A572" s="106" t="s">
        <v>3375</v>
      </c>
      <c r="B572" s="107">
        <v>2</v>
      </c>
      <c r="E572" s="108"/>
      <c r="H572" s="105"/>
      <c r="L572" s="105"/>
      <c r="AI572" s="11"/>
      <c r="AL572" s="122">
        <v>45189.6324189815</v>
      </c>
      <c r="AM572" s="107">
        <v>1</v>
      </c>
    </row>
    <row r="573" spans="1:39">
      <c r="A573" s="106" t="s">
        <v>5027</v>
      </c>
      <c r="B573" s="107">
        <v>1</v>
      </c>
      <c r="E573" s="108"/>
      <c r="H573" s="105"/>
      <c r="L573" s="105"/>
      <c r="AI573" s="11"/>
      <c r="AL573" s="122">
        <v>45190.4434375</v>
      </c>
      <c r="AM573" s="107">
        <v>1</v>
      </c>
    </row>
    <row r="574" spans="1:39">
      <c r="A574" s="106" t="s">
        <v>2872</v>
      </c>
      <c r="B574" s="107">
        <v>2</v>
      </c>
      <c r="E574" s="108"/>
      <c r="H574" s="105"/>
      <c r="L574" s="105"/>
      <c r="AI574" s="11"/>
      <c r="AL574" s="122">
        <v>45190.4999421296</v>
      </c>
      <c r="AM574" s="107">
        <v>1</v>
      </c>
    </row>
    <row r="575" spans="1:39">
      <c r="A575" s="106" t="s">
        <v>3052</v>
      </c>
      <c r="B575" s="107">
        <v>2</v>
      </c>
      <c r="E575" s="108"/>
      <c r="H575" s="105"/>
      <c r="L575" s="105"/>
      <c r="AI575" s="11"/>
      <c r="AL575" s="122">
        <v>45190.5176736111</v>
      </c>
      <c r="AM575" s="107">
        <v>1</v>
      </c>
    </row>
    <row r="576" spans="1:39">
      <c r="A576" s="106" t="s">
        <v>3855</v>
      </c>
      <c r="B576" s="107">
        <v>1</v>
      </c>
      <c r="E576" s="108"/>
      <c r="H576" s="105"/>
      <c r="L576" s="105"/>
      <c r="AI576" s="11"/>
      <c r="AL576" s="122">
        <v>45190.6931944444</v>
      </c>
      <c r="AM576" s="107">
        <v>1</v>
      </c>
    </row>
    <row r="577" spans="1:39">
      <c r="A577" s="106" t="s">
        <v>4831</v>
      </c>
      <c r="B577" s="107">
        <v>2</v>
      </c>
      <c r="E577" s="108"/>
      <c r="H577" s="105"/>
      <c r="L577" s="105"/>
      <c r="AI577" s="11"/>
      <c r="AL577" s="122">
        <v>45190.6968055556</v>
      </c>
      <c r="AM577" s="107">
        <v>1</v>
      </c>
    </row>
    <row r="578" spans="1:39">
      <c r="A578" s="106" t="s">
        <v>686</v>
      </c>
      <c r="B578" s="107">
        <v>1</v>
      </c>
      <c r="E578" s="108"/>
      <c r="H578" s="105"/>
      <c r="L578" s="105"/>
      <c r="AI578" s="11"/>
      <c r="AL578" s="122">
        <v>45190.7427546296</v>
      </c>
      <c r="AM578" s="107">
        <v>1</v>
      </c>
    </row>
    <row r="579" spans="1:39">
      <c r="A579" s="106" t="s">
        <v>2576</v>
      </c>
      <c r="B579" s="107">
        <v>3</v>
      </c>
      <c r="E579" s="108"/>
      <c r="H579" s="105"/>
      <c r="L579" s="105"/>
      <c r="AI579" s="11"/>
      <c r="AL579" s="122">
        <v>45190.781724537</v>
      </c>
      <c r="AM579" s="107">
        <v>1</v>
      </c>
    </row>
    <row r="580" spans="1:39">
      <c r="A580" s="106" t="s">
        <v>3387</v>
      </c>
      <c r="B580" s="107">
        <v>1</v>
      </c>
      <c r="E580" s="108"/>
      <c r="H580" s="105"/>
      <c r="L580" s="105"/>
      <c r="AI580" s="11"/>
      <c r="AL580" s="122">
        <v>45191.3545138889</v>
      </c>
      <c r="AM580" s="107">
        <v>1</v>
      </c>
    </row>
    <row r="581" spans="1:39">
      <c r="A581" s="106" t="s">
        <v>3612</v>
      </c>
      <c r="B581" s="107">
        <v>3</v>
      </c>
      <c r="E581" s="108"/>
      <c r="H581" s="105"/>
      <c r="L581" s="105"/>
      <c r="AI581" s="11"/>
      <c r="AL581" s="122">
        <v>45191.4383680556</v>
      </c>
      <c r="AM581" s="107">
        <v>1</v>
      </c>
    </row>
    <row r="582" spans="1:39">
      <c r="A582" s="106" t="s">
        <v>2527</v>
      </c>
      <c r="B582" s="107">
        <v>1</v>
      </c>
      <c r="E582" s="108"/>
      <c r="H582" s="105"/>
      <c r="L582" s="105"/>
      <c r="AI582" s="11"/>
      <c r="AL582" s="122">
        <v>45191.6498726852</v>
      </c>
      <c r="AM582" s="107">
        <v>1</v>
      </c>
    </row>
    <row r="583" spans="1:39">
      <c r="A583" s="106" t="s">
        <v>2938</v>
      </c>
      <c r="B583" s="107">
        <v>2</v>
      </c>
      <c r="E583" s="108"/>
      <c r="H583" s="105"/>
      <c r="L583" s="105"/>
      <c r="AI583" s="11"/>
      <c r="AL583" s="122">
        <v>45191.6669791667</v>
      </c>
      <c r="AM583" s="107">
        <v>1</v>
      </c>
    </row>
    <row r="584" spans="1:39">
      <c r="A584" s="106" t="s">
        <v>2669</v>
      </c>
      <c r="B584" s="107">
        <v>5</v>
      </c>
      <c r="E584" s="108"/>
      <c r="H584" s="105"/>
      <c r="L584" s="105"/>
      <c r="AI584" s="11"/>
      <c r="AL584" s="122">
        <v>45191.7222337963</v>
      </c>
      <c r="AM584" s="107">
        <v>1</v>
      </c>
    </row>
    <row r="585" spans="1:39">
      <c r="A585" s="106" t="s">
        <v>2908</v>
      </c>
      <c r="B585" s="107">
        <v>1</v>
      </c>
      <c r="E585" s="108"/>
      <c r="H585" s="105"/>
      <c r="L585" s="105"/>
      <c r="AI585" s="11"/>
      <c r="AL585" s="122">
        <v>45192.4973958333</v>
      </c>
      <c r="AM585" s="107">
        <v>1</v>
      </c>
    </row>
    <row r="586" spans="1:39">
      <c r="A586" s="106" t="s">
        <v>4072</v>
      </c>
      <c r="B586" s="107">
        <v>1</v>
      </c>
      <c r="E586" s="108"/>
      <c r="H586" s="105"/>
      <c r="L586" s="105"/>
      <c r="AI586" s="11"/>
      <c r="AL586" s="122">
        <v>45192.5291087963</v>
      </c>
      <c r="AM586" s="107">
        <v>1</v>
      </c>
    </row>
    <row r="587" spans="1:39">
      <c r="A587" s="106" t="s">
        <v>2946</v>
      </c>
      <c r="B587" s="107">
        <v>4</v>
      </c>
      <c r="E587" s="108"/>
      <c r="H587" s="105"/>
      <c r="L587" s="105"/>
      <c r="AI587" s="11"/>
      <c r="AL587" s="122">
        <v>45193.4787268518</v>
      </c>
      <c r="AM587" s="107">
        <v>1</v>
      </c>
    </row>
    <row r="588" spans="1:39">
      <c r="A588" s="106" t="s">
        <v>4743</v>
      </c>
      <c r="B588" s="107">
        <v>1</v>
      </c>
      <c r="E588" s="108"/>
      <c r="H588" s="105"/>
      <c r="L588" s="105"/>
      <c r="AI588" s="11"/>
      <c r="AL588" s="122">
        <v>45193.7270601852</v>
      </c>
      <c r="AM588" s="107">
        <v>1</v>
      </c>
    </row>
    <row r="589" spans="1:39">
      <c r="A589" s="106" t="s">
        <v>925</v>
      </c>
      <c r="B589" s="107">
        <v>1</v>
      </c>
      <c r="E589" s="108"/>
      <c r="H589" s="105"/>
      <c r="L589" s="105"/>
      <c r="AI589" s="11"/>
      <c r="AL589" s="122">
        <v>45193.816875</v>
      </c>
      <c r="AM589" s="107">
        <v>1</v>
      </c>
    </row>
    <row r="590" spans="1:39">
      <c r="A590" s="106" t="s">
        <v>2388</v>
      </c>
      <c r="B590" s="107">
        <v>2</v>
      </c>
      <c r="E590" s="108"/>
      <c r="H590" s="105"/>
      <c r="L590" s="105"/>
      <c r="AI590" s="11"/>
      <c r="AL590" s="122">
        <v>45194.405474537</v>
      </c>
      <c r="AM590" s="107">
        <v>1</v>
      </c>
    </row>
    <row r="591" spans="1:39">
      <c r="A591" s="106" t="s">
        <v>4640</v>
      </c>
      <c r="B591" s="107">
        <v>3</v>
      </c>
      <c r="E591" s="108"/>
      <c r="H591" s="105"/>
      <c r="L591" s="105"/>
      <c r="AI591" s="11"/>
      <c r="AL591" s="122">
        <v>45194.4971296296</v>
      </c>
      <c r="AM591" s="107">
        <v>1</v>
      </c>
    </row>
    <row r="592" spans="1:39">
      <c r="A592" s="106" t="s">
        <v>890</v>
      </c>
      <c r="B592" s="107">
        <v>1</v>
      </c>
      <c r="E592" s="108"/>
      <c r="H592" s="105"/>
      <c r="L592" s="105"/>
      <c r="AI592" s="11"/>
      <c r="AL592" s="122">
        <v>45194.5394675926</v>
      </c>
      <c r="AM592" s="107">
        <v>1</v>
      </c>
    </row>
    <row r="593" spans="1:39">
      <c r="A593" s="106" t="s">
        <v>4082</v>
      </c>
      <c r="B593" s="107">
        <v>4</v>
      </c>
      <c r="E593" s="108"/>
      <c r="H593" s="105"/>
      <c r="L593" s="105"/>
      <c r="AI593" s="11"/>
      <c r="AL593" s="122">
        <v>45194.8035532407</v>
      </c>
      <c r="AM593" s="107">
        <v>1</v>
      </c>
    </row>
    <row r="594" spans="1:39">
      <c r="A594" s="106" t="s">
        <v>4694</v>
      </c>
      <c r="B594" s="107">
        <v>2</v>
      </c>
      <c r="E594" s="108"/>
      <c r="H594" s="105"/>
      <c r="L594" s="105"/>
      <c r="AI594" s="11"/>
      <c r="AL594" s="122">
        <v>45195.6271412037</v>
      </c>
      <c r="AM594" s="107">
        <v>1</v>
      </c>
    </row>
    <row r="595" spans="1:39">
      <c r="A595" s="106" t="s">
        <v>1676</v>
      </c>
      <c r="B595" s="107">
        <v>3</v>
      </c>
      <c r="E595" s="108"/>
      <c r="H595" s="105"/>
      <c r="L595" s="105"/>
      <c r="AI595" s="11"/>
      <c r="AL595" s="122">
        <v>45195.6781944444</v>
      </c>
      <c r="AM595" s="107">
        <v>1</v>
      </c>
    </row>
    <row r="596" spans="1:39">
      <c r="A596" s="106" t="s">
        <v>1576</v>
      </c>
      <c r="B596" s="107">
        <v>1</v>
      </c>
      <c r="E596" s="108"/>
      <c r="H596" s="105"/>
      <c r="L596" s="105"/>
      <c r="AI596" s="11"/>
      <c r="AL596" s="122">
        <v>45196.6578587963</v>
      </c>
      <c r="AM596" s="107">
        <v>1</v>
      </c>
    </row>
    <row r="597" spans="1:39">
      <c r="A597" s="106" t="s">
        <v>2927</v>
      </c>
      <c r="B597" s="107">
        <v>4</v>
      </c>
      <c r="E597" s="108"/>
      <c r="H597" s="105"/>
      <c r="L597" s="105"/>
      <c r="AI597" s="11"/>
      <c r="AL597" s="122">
        <v>45196.7446180556</v>
      </c>
      <c r="AM597" s="107">
        <v>1</v>
      </c>
    </row>
    <row r="598" spans="1:39">
      <c r="A598" s="106" t="s">
        <v>3468</v>
      </c>
      <c r="B598" s="107">
        <v>2</v>
      </c>
      <c r="E598" s="108"/>
      <c r="H598" s="105"/>
      <c r="L598" s="105"/>
      <c r="AI598" s="11"/>
      <c r="AL598" s="122">
        <v>45197.3898726852</v>
      </c>
      <c r="AM598" s="107">
        <v>1</v>
      </c>
    </row>
    <row r="599" spans="1:39">
      <c r="A599" s="101" t="s">
        <v>86</v>
      </c>
      <c r="B599" s="102">
        <v>2</v>
      </c>
      <c r="E599" s="108"/>
      <c r="H599" s="105"/>
      <c r="L599" s="105"/>
      <c r="AI599" s="11"/>
      <c r="AL599" s="122">
        <v>45198.3562152778</v>
      </c>
      <c r="AM599" s="107">
        <v>1</v>
      </c>
    </row>
    <row r="600" spans="1:39">
      <c r="A600" s="101" t="s">
        <v>3687</v>
      </c>
      <c r="B600" s="102">
        <v>1</v>
      </c>
      <c r="E600" s="108"/>
      <c r="H600" s="105"/>
      <c r="L600" s="105"/>
      <c r="AI600" s="11"/>
      <c r="AL600" s="122">
        <v>45198.5012962963</v>
      </c>
      <c r="AM600" s="107">
        <v>1</v>
      </c>
    </row>
    <row r="601" spans="1:39">
      <c r="A601" s="101" t="s">
        <v>99</v>
      </c>
      <c r="B601" s="102">
        <v>5</v>
      </c>
      <c r="E601" s="108"/>
      <c r="H601" s="105"/>
      <c r="L601" s="105"/>
      <c r="AI601" s="11"/>
      <c r="AL601" s="122">
        <v>45198.6478009259</v>
      </c>
      <c r="AM601" s="107">
        <v>1</v>
      </c>
    </row>
    <row r="602" spans="1:39">
      <c r="A602" s="101" t="s">
        <v>770</v>
      </c>
      <c r="B602" s="102">
        <v>1</v>
      </c>
      <c r="E602" s="108"/>
      <c r="H602" s="105"/>
      <c r="L602" s="105"/>
      <c r="AI602" s="11"/>
      <c r="AL602" s="122">
        <v>45199.3628472222</v>
      </c>
      <c r="AM602" s="107">
        <v>1</v>
      </c>
    </row>
    <row r="603" spans="1:39">
      <c r="A603" s="106" t="s">
        <v>3443</v>
      </c>
      <c r="B603" s="107">
        <v>2</v>
      </c>
      <c r="E603" s="108"/>
      <c r="H603" s="105"/>
      <c r="L603" s="105"/>
      <c r="AI603" s="11"/>
      <c r="AL603" s="122">
        <v>45200.7316435185</v>
      </c>
      <c r="AM603" s="107">
        <v>1</v>
      </c>
    </row>
    <row r="604" spans="1:39">
      <c r="A604" s="106" t="s">
        <v>798</v>
      </c>
      <c r="B604" s="107">
        <v>1</v>
      </c>
      <c r="E604" s="108"/>
      <c r="H604" s="105"/>
      <c r="L604" s="105"/>
      <c r="AI604" s="11"/>
      <c r="AL604" s="122">
        <v>45201.3674074074</v>
      </c>
      <c r="AM604" s="107">
        <v>1</v>
      </c>
    </row>
    <row r="605" spans="1:39">
      <c r="A605" s="106" t="s">
        <v>2185</v>
      </c>
      <c r="B605" s="107">
        <v>3</v>
      </c>
      <c r="E605" s="108"/>
      <c r="H605" s="105"/>
      <c r="L605" s="105"/>
      <c r="AI605" s="11"/>
      <c r="AL605" s="122">
        <v>45202.3797569444</v>
      </c>
      <c r="AM605" s="107">
        <v>1</v>
      </c>
    </row>
    <row r="606" spans="1:39">
      <c r="A606" s="106" t="s">
        <v>2859</v>
      </c>
      <c r="B606" s="107">
        <v>2</v>
      </c>
      <c r="E606" s="108"/>
      <c r="H606" s="105"/>
      <c r="L606" s="105"/>
      <c r="AI606" s="11"/>
      <c r="AL606" s="122">
        <v>45202.4679050926</v>
      </c>
      <c r="AM606" s="107">
        <v>1</v>
      </c>
    </row>
    <row r="607" spans="1:39">
      <c r="A607" s="106" t="s">
        <v>1897</v>
      </c>
      <c r="B607" s="107">
        <v>3</v>
      </c>
      <c r="E607" s="108"/>
      <c r="H607" s="105"/>
      <c r="L607" s="105"/>
      <c r="AI607" s="11"/>
      <c r="AL607" s="122">
        <v>45202.5014699074</v>
      </c>
      <c r="AM607" s="107">
        <v>1</v>
      </c>
    </row>
    <row r="608" spans="1:39">
      <c r="A608" s="106" t="s">
        <v>2038</v>
      </c>
      <c r="B608" s="107">
        <v>2</v>
      </c>
      <c r="E608" s="108"/>
      <c r="H608" s="105"/>
      <c r="L608" s="105"/>
      <c r="AI608" s="11"/>
      <c r="AL608" s="122">
        <v>45202.6991203704</v>
      </c>
      <c r="AM608" s="107">
        <v>1</v>
      </c>
    </row>
    <row r="609" spans="1:39">
      <c r="A609" s="106" t="s">
        <v>4925</v>
      </c>
      <c r="B609" s="107">
        <v>1</v>
      </c>
      <c r="E609" s="108"/>
      <c r="H609" s="105"/>
      <c r="L609" s="105"/>
      <c r="AI609" s="11"/>
      <c r="AL609" s="122">
        <v>45203.3992013889</v>
      </c>
      <c r="AM609" s="107">
        <v>1</v>
      </c>
    </row>
    <row r="610" spans="1:39">
      <c r="A610" s="106" t="s">
        <v>3633</v>
      </c>
      <c r="B610" s="107">
        <v>1</v>
      </c>
      <c r="E610" s="108"/>
      <c r="H610" s="105"/>
      <c r="L610" s="105"/>
      <c r="AI610" s="11"/>
      <c r="AL610" s="122">
        <v>45203.4441782407</v>
      </c>
      <c r="AM610" s="107">
        <v>1</v>
      </c>
    </row>
    <row r="611" spans="1:39">
      <c r="A611" s="106" t="s">
        <v>2158</v>
      </c>
      <c r="B611" s="107">
        <v>5</v>
      </c>
      <c r="E611" s="108"/>
      <c r="H611" s="105"/>
      <c r="L611" s="105"/>
      <c r="AI611" s="11"/>
      <c r="AL611" s="122">
        <v>45203.4704513889</v>
      </c>
      <c r="AM611" s="107">
        <v>1</v>
      </c>
    </row>
    <row r="612" spans="1:39">
      <c r="A612" s="106" t="s">
        <v>1772</v>
      </c>
      <c r="B612" s="107">
        <v>1</v>
      </c>
      <c r="E612" s="108"/>
      <c r="H612" s="105"/>
      <c r="L612" s="105"/>
      <c r="AI612" s="11"/>
      <c r="AL612" s="122">
        <v>45203.5147800926</v>
      </c>
      <c r="AM612" s="107">
        <v>1</v>
      </c>
    </row>
    <row r="613" spans="1:39">
      <c r="A613" s="106" t="s">
        <v>4263</v>
      </c>
      <c r="B613" s="107">
        <v>7</v>
      </c>
      <c r="E613" s="108"/>
      <c r="H613" s="105"/>
      <c r="L613" s="105"/>
      <c r="AI613" s="11"/>
      <c r="AL613" s="122">
        <v>45203.5847685185</v>
      </c>
      <c r="AM613" s="107">
        <v>1</v>
      </c>
    </row>
    <row r="614" spans="1:39">
      <c r="A614" s="106" t="s">
        <v>3290</v>
      </c>
      <c r="B614" s="107">
        <v>1</v>
      </c>
      <c r="E614" s="108"/>
      <c r="H614" s="105"/>
      <c r="L614" s="105"/>
      <c r="AI614" s="11"/>
      <c r="AL614" s="122">
        <v>45203.6190972222</v>
      </c>
      <c r="AM614" s="107">
        <v>1</v>
      </c>
    </row>
    <row r="615" spans="1:39">
      <c r="A615" s="106" t="s">
        <v>1322</v>
      </c>
      <c r="B615" s="107">
        <v>1</v>
      </c>
      <c r="E615" s="108"/>
      <c r="H615" s="105"/>
      <c r="L615" s="105"/>
      <c r="AI615" s="11"/>
      <c r="AL615" s="122">
        <v>45203.6833912037</v>
      </c>
      <c r="AM615" s="107">
        <v>1</v>
      </c>
    </row>
    <row r="616" spans="1:39">
      <c r="A616" s="106" t="s">
        <v>3361</v>
      </c>
      <c r="B616" s="107">
        <v>3</v>
      </c>
      <c r="E616" s="108"/>
      <c r="H616" s="105"/>
      <c r="L616" s="105"/>
      <c r="AI616" s="11"/>
      <c r="AL616" s="122">
        <v>45203.6858333333</v>
      </c>
      <c r="AM616" s="107">
        <v>1</v>
      </c>
    </row>
    <row r="617" spans="1:39">
      <c r="A617" s="106" t="s">
        <v>3777</v>
      </c>
      <c r="B617" s="107">
        <v>4</v>
      </c>
      <c r="E617" s="108"/>
      <c r="H617" s="105"/>
      <c r="L617" s="105"/>
      <c r="AI617" s="11"/>
      <c r="AL617" s="122">
        <v>45204.3703009259</v>
      </c>
      <c r="AM617" s="107">
        <v>1</v>
      </c>
    </row>
    <row r="618" spans="1:39">
      <c r="A618" s="101" t="s">
        <v>279</v>
      </c>
      <c r="B618" s="102">
        <v>1</v>
      </c>
      <c r="E618" s="108"/>
      <c r="H618" s="105"/>
      <c r="L618" s="105"/>
      <c r="AI618" s="11"/>
      <c r="AL618" s="122">
        <v>45204.3999652778</v>
      </c>
      <c r="AM618" s="107">
        <v>1</v>
      </c>
    </row>
    <row r="619" spans="1:39">
      <c r="A619" s="101" t="s">
        <v>1762</v>
      </c>
      <c r="B619" s="102">
        <v>4</v>
      </c>
      <c r="E619" s="108"/>
      <c r="H619" s="105"/>
      <c r="L619" s="105"/>
      <c r="AI619" s="11"/>
      <c r="AL619" s="122">
        <v>45204.4919097222</v>
      </c>
      <c r="AM619" s="107">
        <v>1</v>
      </c>
    </row>
    <row r="620" spans="1:39">
      <c r="A620" s="106" t="s">
        <v>3707</v>
      </c>
      <c r="B620" s="107">
        <v>2</v>
      </c>
      <c r="E620" s="108"/>
      <c r="H620" s="105"/>
      <c r="L620" s="105"/>
      <c r="AI620" s="11"/>
      <c r="AL620" s="122">
        <v>45204.5676851852</v>
      </c>
      <c r="AM620" s="107">
        <v>1</v>
      </c>
    </row>
    <row r="621" spans="1:39">
      <c r="A621" s="106" t="s">
        <v>1564</v>
      </c>
      <c r="B621" s="107">
        <v>1</v>
      </c>
      <c r="E621" s="108"/>
      <c r="H621" s="105"/>
      <c r="L621" s="105"/>
      <c r="AI621" s="11"/>
      <c r="AL621" s="122">
        <v>45204.5887731481</v>
      </c>
      <c r="AM621" s="107">
        <v>1</v>
      </c>
    </row>
    <row r="622" spans="1:39">
      <c r="A622" s="106" t="s">
        <v>531</v>
      </c>
      <c r="B622" s="107">
        <v>2</v>
      </c>
      <c r="E622" s="108"/>
      <c r="H622" s="105"/>
      <c r="L622" s="105"/>
      <c r="AI622" s="11"/>
      <c r="AL622" s="122">
        <v>45204.7227777778</v>
      </c>
      <c r="AM622" s="107">
        <v>1</v>
      </c>
    </row>
    <row r="623" spans="1:39">
      <c r="A623" s="106" t="s">
        <v>1172</v>
      </c>
      <c r="B623" s="107">
        <v>2</v>
      </c>
      <c r="E623" s="108"/>
      <c r="H623" s="105"/>
      <c r="L623" s="105"/>
      <c r="AI623" s="11"/>
      <c r="AL623" s="122">
        <v>45204.7723726852</v>
      </c>
      <c r="AM623" s="107">
        <v>1</v>
      </c>
    </row>
    <row r="624" spans="1:39">
      <c r="A624" s="106" t="s">
        <v>1065</v>
      </c>
      <c r="B624" s="107">
        <v>1</v>
      </c>
      <c r="E624" s="108"/>
      <c r="H624" s="105"/>
      <c r="L624" s="105"/>
      <c r="AI624" s="11"/>
      <c r="AL624" s="122">
        <v>45205.3699768518</v>
      </c>
      <c r="AM624" s="107">
        <v>1</v>
      </c>
    </row>
    <row r="625" spans="1:39">
      <c r="A625" s="106" t="s">
        <v>842</v>
      </c>
      <c r="B625" s="107">
        <v>1</v>
      </c>
      <c r="E625" s="108"/>
      <c r="H625" s="105"/>
      <c r="L625" s="105"/>
      <c r="AI625" s="11"/>
      <c r="AL625" s="122">
        <v>45205.4412037037</v>
      </c>
      <c r="AM625" s="107">
        <v>1</v>
      </c>
    </row>
    <row r="626" spans="1:39">
      <c r="A626" s="106" t="s">
        <v>1411</v>
      </c>
      <c r="B626" s="107">
        <v>1</v>
      </c>
      <c r="E626" s="108"/>
      <c r="H626" s="105"/>
      <c r="L626" s="105"/>
      <c r="AI626" s="11"/>
      <c r="AL626" s="122">
        <v>45205.577662037</v>
      </c>
      <c r="AM626" s="107">
        <v>1</v>
      </c>
    </row>
    <row r="627" spans="1:39">
      <c r="A627" s="106" t="s">
        <v>2843</v>
      </c>
      <c r="B627" s="107">
        <v>1</v>
      </c>
      <c r="E627" s="108"/>
      <c r="H627" s="105"/>
      <c r="L627" s="105"/>
      <c r="AI627" s="11"/>
      <c r="AL627" s="122">
        <v>45205.5888078704</v>
      </c>
      <c r="AM627" s="107">
        <v>1</v>
      </c>
    </row>
    <row r="628" spans="1:39">
      <c r="A628" s="106" t="s">
        <v>4589</v>
      </c>
      <c r="B628" s="107">
        <v>3</v>
      </c>
      <c r="E628" s="108"/>
      <c r="H628" s="105"/>
      <c r="L628" s="105"/>
      <c r="AI628" s="11"/>
      <c r="AL628" s="122">
        <v>45206.3444097222</v>
      </c>
      <c r="AM628" s="107">
        <v>1</v>
      </c>
    </row>
    <row r="629" spans="1:39">
      <c r="A629" s="106" t="s">
        <v>430</v>
      </c>
      <c r="B629" s="107">
        <v>3</v>
      </c>
      <c r="E629" s="108"/>
      <c r="H629" s="105"/>
      <c r="L629" s="105"/>
      <c r="AI629" s="11"/>
      <c r="AL629" s="122">
        <v>45206.6169444444</v>
      </c>
      <c r="AM629" s="107">
        <v>1</v>
      </c>
    </row>
    <row r="630" spans="1:39">
      <c r="A630" s="106" t="s">
        <v>1685</v>
      </c>
      <c r="B630" s="107">
        <v>2</v>
      </c>
      <c r="E630" s="108"/>
      <c r="H630" s="105"/>
      <c r="L630" s="105"/>
      <c r="AI630" s="11"/>
      <c r="AL630" s="122">
        <v>45206.6872569444</v>
      </c>
      <c r="AM630" s="107">
        <v>1</v>
      </c>
    </row>
    <row r="631" spans="1:39">
      <c r="A631" s="106" t="s">
        <v>1721</v>
      </c>
      <c r="B631" s="107">
        <v>3</v>
      </c>
      <c r="E631" s="108"/>
      <c r="H631" s="105"/>
      <c r="L631" s="105"/>
      <c r="AI631" s="11"/>
      <c r="AL631" s="122">
        <v>45207.383900463</v>
      </c>
      <c r="AM631" s="107">
        <v>1</v>
      </c>
    </row>
    <row r="632" spans="1:39">
      <c r="A632" s="106" t="s">
        <v>3400</v>
      </c>
      <c r="B632" s="107">
        <v>2</v>
      </c>
      <c r="E632" s="108"/>
      <c r="H632" s="105"/>
      <c r="L632" s="105"/>
      <c r="AI632" s="11"/>
      <c r="AL632" s="122">
        <v>45208.4814351852</v>
      </c>
      <c r="AM632" s="107">
        <v>1</v>
      </c>
    </row>
    <row r="633" spans="1:39">
      <c r="A633" s="106" t="s">
        <v>2756</v>
      </c>
      <c r="B633" s="107">
        <v>1</v>
      </c>
      <c r="E633" s="108"/>
      <c r="H633" s="105"/>
      <c r="L633" s="105"/>
      <c r="AI633" s="11"/>
      <c r="AL633" s="122">
        <v>45208.5027430556</v>
      </c>
      <c r="AM633" s="107">
        <v>1</v>
      </c>
    </row>
    <row r="634" spans="1:39">
      <c r="A634" s="106" t="s">
        <v>1726</v>
      </c>
      <c r="B634" s="107">
        <v>1</v>
      </c>
      <c r="E634" s="108"/>
      <c r="H634" s="105"/>
      <c r="L634" s="105"/>
      <c r="AI634" s="11"/>
      <c r="AL634" s="122">
        <v>45208.6455555556</v>
      </c>
      <c r="AM634" s="107">
        <v>1</v>
      </c>
    </row>
    <row r="635" spans="1:39">
      <c r="A635" s="106" t="s">
        <v>373</v>
      </c>
      <c r="B635" s="107">
        <v>1</v>
      </c>
      <c r="E635" s="108"/>
      <c r="H635" s="105"/>
      <c r="L635" s="105"/>
      <c r="AI635" s="11"/>
      <c r="AL635" s="122">
        <v>45208.6498842593</v>
      </c>
      <c r="AM635" s="107">
        <v>1</v>
      </c>
    </row>
    <row r="636" spans="1:39">
      <c r="A636" s="106" t="s">
        <v>670</v>
      </c>
      <c r="B636" s="107">
        <v>1</v>
      </c>
      <c r="E636" s="108"/>
      <c r="H636" s="105"/>
      <c r="L636" s="105"/>
      <c r="AI636" s="11"/>
      <c r="AL636" s="122">
        <v>45209.4015625</v>
      </c>
      <c r="AM636" s="107">
        <v>1</v>
      </c>
    </row>
    <row r="637" spans="1:39">
      <c r="A637" s="106" t="s">
        <v>3365</v>
      </c>
      <c r="B637" s="107">
        <v>4</v>
      </c>
      <c r="E637" s="108"/>
      <c r="H637" s="105"/>
      <c r="L637" s="105"/>
      <c r="AI637" s="11"/>
      <c r="AL637" s="122">
        <v>45209.4039467593</v>
      </c>
      <c r="AM637" s="107">
        <v>1</v>
      </c>
    </row>
    <row r="638" spans="1:39">
      <c r="A638" s="106" t="s">
        <v>2765</v>
      </c>
      <c r="B638" s="107">
        <v>1</v>
      </c>
      <c r="E638" s="108"/>
      <c r="H638" s="105"/>
      <c r="L638" s="105"/>
      <c r="AI638" s="11"/>
      <c r="AL638" s="122">
        <v>45209.439537037</v>
      </c>
      <c r="AM638" s="107">
        <v>1</v>
      </c>
    </row>
    <row r="639" spans="1:39">
      <c r="A639" s="106" t="s">
        <v>639</v>
      </c>
      <c r="B639" s="107">
        <v>2</v>
      </c>
      <c r="E639" s="108"/>
      <c r="H639" s="105"/>
      <c r="L639" s="105"/>
      <c r="AI639" s="11"/>
      <c r="AL639" s="122">
        <v>45209.4457060185</v>
      </c>
      <c r="AM639" s="107">
        <v>1</v>
      </c>
    </row>
    <row r="640" spans="1:39">
      <c r="A640" s="106" t="s">
        <v>3070</v>
      </c>
      <c r="B640" s="107">
        <v>2</v>
      </c>
      <c r="E640" s="108"/>
      <c r="H640" s="105"/>
      <c r="L640" s="105"/>
      <c r="AI640" s="11"/>
      <c r="AL640" s="122">
        <v>45209.571412037</v>
      </c>
      <c r="AM640" s="107">
        <v>1</v>
      </c>
    </row>
    <row r="641" spans="1:39">
      <c r="A641" s="106" t="s">
        <v>4045</v>
      </c>
      <c r="B641" s="107">
        <v>4</v>
      </c>
      <c r="E641" s="108"/>
      <c r="H641" s="105"/>
      <c r="L641" s="105"/>
      <c r="AI641" s="11"/>
      <c r="AL641" s="122">
        <v>45209.6771643519</v>
      </c>
      <c r="AM641" s="107">
        <v>1</v>
      </c>
    </row>
    <row r="642" spans="1:39">
      <c r="A642" s="106" t="s">
        <v>4615</v>
      </c>
      <c r="B642" s="107">
        <v>1</v>
      </c>
      <c r="E642" s="108"/>
      <c r="H642" s="105"/>
      <c r="L642" s="105"/>
      <c r="AI642" s="11"/>
      <c r="AL642" s="122">
        <v>45210.4213773148</v>
      </c>
      <c r="AM642" s="107">
        <v>1</v>
      </c>
    </row>
    <row r="643" spans="1:39">
      <c r="A643" s="106" t="s">
        <v>2770</v>
      </c>
      <c r="B643" s="107">
        <v>1</v>
      </c>
      <c r="E643" s="108"/>
      <c r="H643" s="105"/>
      <c r="L643" s="105"/>
      <c r="AI643" s="11"/>
      <c r="AL643" s="122">
        <v>45211.6726967593</v>
      </c>
      <c r="AM643" s="107">
        <v>1</v>
      </c>
    </row>
    <row r="644" spans="1:39">
      <c r="A644" s="106" t="s">
        <v>3371</v>
      </c>
      <c r="B644" s="107">
        <v>2</v>
      </c>
      <c r="E644" s="108"/>
      <c r="H644" s="105"/>
      <c r="L644" s="105"/>
      <c r="AI644" s="11"/>
      <c r="AL644" s="122">
        <v>45211.8093981482</v>
      </c>
      <c r="AM644" s="107">
        <v>1</v>
      </c>
    </row>
    <row r="645" spans="1:39">
      <c r="A645" s="106" t="s">
        <v>2458</v>
      </c>
      <c r="B645" s="107">
        <v>1</v>
      </c>
      <c r="E645" s="108"/>
      <c r="H645" s="105"/>
      <c r="L645" s="105"/>
      <c r="AI645" s="11"/>
      <c r="AL645" s="122">
        <v>45212.4757407407</v>
      </c>
      <c r="AM645" s="107">
        <v>1</v>
      </c>
    </row>
    <row r="646" spans="1:39">
      <c r="A646" s="106" t="s">
        <v>4310</v>
      </c>
      <c r="B646" s="107">
        <v>6</v>
      </c>
      <c r="E646" s="108"/>
      <c r="H646" s="105"/>
      <c r="L646" s="105"/>
      <c r="AI646" s="11"/>
      <c r="AL646" s="122">
        <v>45212.7688888889</v>
      </c>
      <c r="AM646" s="107">
        <v>1</v>
      </c>
    </row>
    <row r="647" spans="1:39">
      <c r="A647" s="106" t="s">
        <v>3521</v>
      </c>
      <c r="B647" s="107">
        <v>2</v>
      </c>
      <c r="E647" s="108"/>
      <c r="H647" s="105"/>
      <c r="L647" s="105"/>
      <c r="AI647" s="11"/>
      <c r="AL647" s="122">
        <v>45213.4617939815</v>
      </c>
      <c r="AM647" s="107">
        <v>1</v>
      </c>
    </row>
    <row r="648" spans="1:39">
      <c r="A648" s="106" t="s">
        <v>4124</v>
      </c>
      <c r="B648" s="107">
        <v>5</v>
      </c>
      <c r="E648" s="108"/>
      <c r="H648" s="105"/>
      <c r="L648" s="105"/>
      <c r="AI648" s="11"/>
      <c r="AL648" s="122">
        <v>45213.5240856481</v>
      </c>
      <c r="AM648" s="107">
        <v>1</v>
      </c>
    </row>
    <row r="649" spans="1:39">
      <c r="A649" s="106" t="s">
        <v>4438</v>
      </c>
      <c r="B649" s="107">
        <v>3</v>
      </c>
      <c r="E649" s="108"/>
      <c r="H649" s="105"/>
      <c r="L649" s="105"/>
      <c r="AI649" s="11"/>
      <c r="AL649" s="122">
        <v>45213.5792592593</v>
      </c>
      <c r="AM649" s="107">
        <v>1</v>
      </c>
    </row>
    <row r="650" spans="1:39">
      <c r="A650" s="106" t="s">
        <v>3653</v>
      </c>
      <c r="B650" s="107">
        <v>3</v>
      </c>
      <c r="E650" s="108"/>
      <c r="H650" s="105"/>
      <c r="L650" s="105"/>
      <c r="AI650" s="11"/>
      <c r="AL650" s="122">
        <v>45214.3501273148</v>
      </c>
      <c r="AM650" s="107">
        <v>1</v>
      </c>
    </row>
    <row r="651" spans="1:39">
      <c r="A651" s="106" t="s">
        <v>940</v>
      </c>
      <c r="B651" s="107">
        <v>1</v>
      </c>
      <c r="E651" s="108"/>
      <c r="H651" s="105"/>
      <c r="L651" s="105"/>
      <c r="AI651" s="11"/>
      <c r="AL651" s="122">
        <v>45214.4575</v>
      </c>
      <c r="AM651" s="107">
        <v>1</v>
      </c>
    </row>
    <row r="652" spans="1:39">
      <c r="A652" s="101" t="s">
        <v>299</v>
      </c>
      <c r="B652" s="102">
        <v>2</v>
      </c>
      <c r="E652" s="108"/>
      <c r="H652" s="105"/>
      <c r="L652" s="105"/>
      <c r="AI652" s="11"/>
      <c r="AL652" s="122">
        <v>45215.3619212963</v>
      </c>
      <c r="AM652" s="107">
        <v>1</v>
      </c>
    </row>
    <row r="653" spans="1:39">
      <c r="A653" s="101" t="s">
        <v>1213</v>
      </c>
      <c r="B653" s="102">
        <v>1</v>
      </c>
      <c r="E653" s="108"/>
      <c r="H653" s="105"/>
      <c r="L653" s="105"/>
      <c r="AI653" s="11"/>
      <c r="AL653" s="122">
        <v>45215.5520949074</v>
      </c>
      <c r="AM653" s="107">
        <v>1</v>
      </c>
    </row>
    <row r="654" spans="1:39">
      <c r="A654" s="106" t="s">
        <v>2469</v>
      </c>
      <c r="B654" s="107">
        <v>1</v>
      </c>
      <c r="E654" s="108"/>
      <c r="H654" s="105"/>
      <c r="L654" s="105"/>
      <c r="AI654" s="11"/>
      <c r="AL654" s="122">
        <v>45215.7244560185</v>
      </c>
      <c r="AM654" s="107">
        <v>1</v>
      </c>
    </row>
    <row r="655" spans="1:39">
      <c r="A655" s="106" t="s">
        <v>2380</v>
      </c>
      <c r="B655" s="107">
        <v>1</v>
      </c>
      <c r="E655" s="108"/>
      <c r="H655" s="105"/>
      <c r="L655" s="105"/>
      <c r="AI655" s="11"/>
      <c r="AL655" s="122">
        <v>45215.7425810185</v>
      </c>
      <c r="AM655" s="107">
        <v>1</v>
      </c>
    </row>
    <row r="656" spans="1:39">
      <c r="A656" s="106" t="s">
        <v>3510</v>
      </c>
      <c r="B656" s="107">
        <v>1</v>
      </c>
      <c r="E656" s="108"/>
      <c r="H656" s="105"/>
      <c r="L656" s="105"/>
      <c r="AI656" s="11"/>
      <c r="AL656" s="122">
        <v>45216.3978356481</v>
      </c>
      <c r="AM656" s="107">
        <v>1</v>
      </c>
    </row>
    <row r="657" spans="1:39">
      <c r="A657" s="106" t="s">
        <v>4470</v>
      </c>
      <c r="B657" s="107">
        <v>1</v>
      </c>
      <c r="E657" s="108"/>
      <c r="H657" s="105"/>
      <c r="L657" s="105"/>
      <c r="AI657" s="11"/>
      <c r="AL657" s="122">
        <v>45216.5295833333</v>
      </c>
      <c r="AM657" s="107">
        <v>1</v>
      </c>
    </row>
    <row r="658" spans="1:39">
      <c r="A658" s="106" t="s">
        <v>3303</v>
      </c>
      <c r="B658" s="107">
        <v>4</v>
      </c>
      <c r="E658" s="108"/>
      <c r="H658" s="105"/>
      <c r="L658" s="105"/>
      <c r="AI658" s="11"/>
      <c r="AL658" s="122">
        <v>45216.5325347222</v>
      </c>
      <c r="AM658" s="107">
        <v>1</v>
      </c>
    </row>
    <row r="659" spans="1:39">
      <c r="A659" s="106" t="s">
        <v>2650</v>
      </c>
      <c r="B659" s="107">
        <v>2</v>
      </c>
      <c r="E659" s="108"/>
      <c r="H659" s="105"/>
      <c r="L659" s="105"/>
      <c r="AI659" s="11"/>
      <c r="AL659" s="122">
        <v>45216.5788541667</v>
      </c>
      <c r="AM659" s="107">
        <v>1</v>
      </c>
    </row>
    <row r="660" spans="1:39">
      <c r="A660" s="106" t="s">
        <v>2248</v>
      </c>
      <c r="B660" s="107">
        <v>1</v>
      </c>
      <c r="E660" s="108"/>
      <c r="H660" s="105"/>
      <c r="L660" s="105"/>
      <c r="AI660" s="11"/>
      <c r="AL660" s="122">
        <v>45216.6001041667</v>
      </c>
      <c r="AM660" s="107">
        <v>1</v>
      </c>
    </row>
    <row r="661" spans="1:39">
      <c r="A661" s="106" t="s">
        <v>1550</v>
      </c>
      <c r="B661" s="107">
        <v>1</v>
      </c>
      <c r="E661" s="108"/>
      <c r="H661" s="105"/>
      <c r="L661" s="105"/>
      <c r="AI661" s="11"/>
      <c r="AL661" s="122">
        <v>45216.662349537</v>
      </c>
      <c r="AM661" s="107">
        <v>1</v>
      </c>
    </row>
    <row r="662" spans="1:39">
      <c r="A662" s="106" t="s">
        <v>2262</v>
      </c>
      <c r="B662" s="107">
        <v>2</v>
      </c>
      <c r="E662" s="108"/>
      <c r="H662" s="105"/>
      <c r="L662" s="105"/>
      <c r="AI662" s="11"/>
      <c r="AL662" s="122">
        <v>45216.6981365741</v>
      </c>
      <c r="AM662" s="107">
        <v>1</v>
      </c>
    </row>
    <row r="663" spans="1:39">
      <c r="A663" s="106" t="s">
        <v>393</v>
      </c>
      <c r="B663" s="107">
        <v>1</v>
      </c>
      <c r="E663" s="108"/>
      <c r="H663" s="105"/>
      <c r="L663" s="105"/>
      <c r="AI663" s="11"/>
      <c r="AL663" s="122">
        <v>45216.7240740741</v>
      </c>
      <c r="AM663" s="107">
        <v>1</v>
      </c>
    </row>
    <row r="664" spans="1:39">
      <c r="A664" s="106" t="s">
        <v>2971</v>
      </c>
      <c r="B664" s="107">
        <v>9</v>
      </c>
      <c r="E664" s="108"/>
      <c r="H664" s="105"/>
      <c r="L664" s="105"/>
      <c r="AI664" s="11"/>
      <c r="AL664" s="122">
        <v>45216.7443287037</v>
      </c>
      <c r="AM664" s="107">
        <v>1</v>
      </c>
    </row>
    <row r="665" spans="1:39">
      <c r="A665" s="106" t="s">
        <v>1085</v>
      </c>
      <c r="B665" s="107">
        <v>2</v>
      </c>
      <c r="E665" s="108"/>
      <c r="H665" s="105"/>
      <c r="L665" s="105"/>
      <c r="AI665" s="11"/>
      <c r="AL665" s="122">
        <v>45217.4954050926</v>
      </c>
      <c r="AM665" s="107">
        <v>1</v>
      </c>
    </row>
    <row r="666" spans="1:39">
      <c r="A666" s="106" t="s">
        <v>2361</v>
      </c>
      <c r="B666" s="107">
        <v>4</v>
      </c>
      <c r="E666" s="108"/>
      <c r="H666" s="105"/>
      <c r="L666" s="105"/>
      <c r="AI666" s="11"/>
      <c r="AL666" s="122">
        <v>45217.6488657407</v>
      </c>
      <c r="AM666" s="107">
        <v>1</v>
      </c>
    </row>
    <row r="667" spans="1:39">
      <c r="A667" s="106" t="s">
        <v>1666</v>
      </c>
      <c r="B667" s="107">
        <v>1</v>
      </c>
      <c r="E667" s="108"/>
      <c r="H667" s="105"/>
      <c r="L667" s="105"/>
      <c r="AI667" s="11"/>
      <c r="AL667" s="122">
        <v>45217.7629398148</v>
      </c>
      <c r="AM667" s="107">
        <v>1</v>
      </c>
    </row>
    <row r="668" spans="1:39">
      <c r="A668" s="106" t="s">
        <v>848</v>
      </c>
      <c r="B668" s="107">
        <v>1</v>
      </c>
      <c r="E668" s="108"/>
      <c r="H668" s="105"/>
      <c r="L668" s="105"/>
      <c r="AI668" s="11"/>
      <c r="AL668" s="122">
        <v>45217.7902893519</v>
      </c>
      <c r="AM668" s="107">
        <v>1</v>
      </c>
    </row>
    <row r="669" spans="1:39">
      <c r="A669" s="106" t="s">
        <v>4878</v>
      </c>
      <c r="B669" s="107">
        <v>1</v>
      </c>
      <c r="E669" s="108"/>
      <c r="H669" s="105"/>
      <c r="L669" s="105"/>
      <c r="AI669" s="11"/>
      <c r="AL669" s="122">
        <v>45218.4200231481</v>
      </c>
      <c r="AM669" s="107">
        <v>1</v>
      </c>
    </row>
    <row r="670" spans="1:39">
      <c r="A670" s="106" t="s">
        <v>4062</v>
      </c>
      <c r="B670" s="107">
        <v>1</v>
      </c>
      <c r="E670" s="108"/>
      <c r="H670" s="105"/>
      <c r="L670" s="105"/>
      <c r="AI670" s="11"/>
      <c r="AL670" s="122">
        <v>45218.6522685185</v>
      </c>
      <c r="AM670" s="107">
        <v>1</v>
      </c>
    </row>
    <row r="671" spans="1:39">
      <c r="A671" s="106" t="s">
        <v>3011</v>
      </c>
      <c r="B671" s="107">
        <v>2</v>
      </c>
      <c r="E671" s="108"/>
      <c r="H671" s="105"/>
      <c r="L671" s="105"/>
      <c r="AI671" s="11"/>
      <c r="AL671" s="122">
        <v>45219.3358449074</v>
      </c>
      <c r="AM671" s="107">
        <v>1</v>
      </c>
    </row>
    <row r="672" spans="1:39">
      <c r="A672" s="106" t="s">
        <v>2549</v>
      </c>
      <c r="B672" s="107">
        <v>2</v>
      </c>
      <c r="E672" s="108"/>
      <c r="H672" s="105"/>
      <c r="L672" s="105"/>
      <c r="AI672" s="11"/>
      <c r="AL672" s="122">
        <v>45219.3725115741</v>
      </c>
      <c r="AM672" s="107">
        <v>1</v>
      </c>
    </row>
    <row r="673" spans="1:39">
      <c r="A673" s="106" t="s">
        <v>1614</v>
      </c>
      <c r="B673" s="107">
        <v>1</v>
      </c>
      <c r="E673" s="108"/>
      <c r="H673" s="105"/>
      <c r="L673" s="105"/>
      <c r="AI673" s="11"/>
      <c r="AL673" s="122">
        <v>45219.3837847222</v>
      </c>
      <c r="AM673" s="107">
        <v>1</v>
      </c>
    </row>
    <row r="674" spans="1:39">
      <c r="A674" s="106" t="s">
        <v>2630</v>
      </c>
      <c r="B674" s="107">
        <v>1</v>
      </c>
      <c r="E674" s="108"/>
      <c r="H674" s="105"/>
      <c r="L674" s="105"/>
      <c r="AI674" s="11"/>
      <c r="AL674" s="122">
        <v>45219.3986921296</v>
      </c>
      <c r="AM674" s="107">
        <v>1</v>
      </c>
    </row>
    <row r="675" spans="1:39">
      <c r="A675" s="106" t="s">
        <v>4981</v>
      </c>
      <c r="B675" s="107">
        <v>2</v>
      </c>
      <c r="E675" s="108"/>
      <c r="H675" s="105"/>
      <c r="L675" s="105"/>
      <c r="AI675" s="11"/>
      <c r="AL675" s="122">
        <v>45220.4099537037</v>
      </c>
      <c r="AM675" s="107">
        <v>1</v>
      </c>
    </row>
    <row r="676" spans="1:39">
      <c r="A676" s="106" t="s">
        <v>2894</v>
      </c>
      <c r="B676" s="107">
        <v>2</v>
      </c>
      <c r="E676" s="108"/>
      <c r="H676" s="105"/>
      <c r="L676" s="105"/>
      <c r="AI676" s="11"/>
      <c r="AL676" s="122">
        <v>45220.5516203704</v>
      </c>
      <c r="AM676" s="107">
        <v>1</v>
      </c>
    </row>
    <row r="677" spans="1:39">
      <c r="A677" s="106" t="s">
        <v>3044</v>
      </c>
      <c r="B677" s="107">
        <v>2</v>
      </c>
      <c r="E677" s="108"/>
      <c r="H677" s="105"/>
      <c r="L677" s="105"/>
      <c r="AI677" s="11"/>
      <c r="AL677" s="122">
        <v>45220.5724074074</v>
      </c>
      <c r="AM677" s="107">
        <v>1</v>
      </c>
    </row>
    <row r="678" spans="1:39">
      <c r="A678" s="106" t="s">
        <v>779</v>
      </c>
      <c r="B678" s="107">
        <v>2</v>
      </c>
      <c r="E678" s="108"/>
      <c r="H678" s="105"/>
      <c r="L678" s="105"/>
      <c r="AI678" s="11"/>
      <c r="AL678" s="122">
        <v>45220.6747800926</v>
      </c>
      <c r="AM678" s="107">
        <v>1</v>
      </c>
    </row>
    <row r="679" spans="1:39">
      <c r="A679" s="106" t="s">
        <v>2761</v>
      </c>
      <c r="B679" s="107">
        <v>1</v>
      </c>
      <c r="E679" s="108"/>
      <c r="H679" s="105"/>
      <c r="L679" s="105"/>
      <c r="AI679" s="11"/>
      <c r="AL679" s="122">
        <v>45220.6860532407</v>
      </c>
      <c r="AM679" s="107">
        <v>1</v>
      </c>
    </row>
    <row r="680" spans="1:39">
      <c r="A680" s="106" t="s">
        <v>4104</v>
      </c>
      <c r="B680" s="107">
        <v>1</v>
      </c>
      <c r="E680" s="108"/>
      <c r="H680" s="105"/>
      <c r="L680" s="105"/>
      <c r="AI680" s="11"/>
      <c r="AL680" s="122">
        <v>45220.8011342593</v>
      </c>
      <c r="AM680" s="107">
        <v>1</v>
      </c>
    </row>
    <row r="681" spans="1:39">
      <c r="A681" s="106" t="s">
        <v>3645</v>
      </c>
      <c r="B681" s="107">
        <v>2</v>
      </c>
      <c r="E681" s="108"/>
      <c r="H681" s="105"/>
      <c r="L681" s="105"/>
      <c r="AI681" s="11"/>
      <c r="AL681" s="122">
        <v>45221.3846643519</v>
      </c>
      <c r="AM681" s="107">
        <v>1</v>
      </c>
    </row>
    <row r="682" spans="1:39">
      <c r="A682" s="106" t="s">
        <v>1444</v>
      </c>
      <c r="B682" s="107">
        <v>2</v>
      </c>
      <c r="E682" s="108"/>
      <c r="H682" s="105"/>
      <c r="L682" s="105"/>
      <c r="AI682" s="11"/>
      <c r="AL682" s="122">
        <v>45221.3862384259</v>
      </c>
      <c r="AM682" s="107">
        <v>1</v>
      </c>
    </row>
    <row r="683" spans="1:39">
      <c r="A683" s="106" t="s">
        <v>4487</v>
      </c>
      <c r="B683" s="107">
        <v>2</v>
      </c>
      <c r="E683" s="108"/>
      <c r="H683" s="105"/>
      <c r="L683" s="105"/>
      <c r="AI683" s="11"/>
      <c r="AL683" s="122">
        <v>45221.5791319444</v>
      </c>
      <c r="AM683" s="107">
        <v>1</v>
      </c>
    </row>
    <row r="684" spans="1:39">
      <c r="A684" s="106" t="s">
        <v>1884</v>
      </c>
      <c r="B684" s="107">
        <v>1</v>
      </c>
      <c r="E684" s="108"/>
      <c r="H684" s="105"/>
      <c r="L684" s="105"/>
      <c r="AI684" s="11"/>
      <c r="AL684" s="122">
        <v>45221.8040162037</v>
      </c>
      <c r="AM684" s="107">
        <v>1</v>
      </c>
    </row>
    <row r="685" spans="1:39">
      <c r="A685" s="106" t="s">
        <v>4867</v>
      </c>
      <c r="B685" s="107">
        <v>1</v>
      </c>
      <c r="E685" s="108"/>
      <c r="H685" s="105"/>
      <c r="L685" s="105"/>
      <c r="AI685" s="11"/>
      <c r="AL685" s="122">
        <v>45222.3536226852</v>
      </c>
      <c r="AM685" s="107">
        <v>1</v>
      </c>
    </row>
    <row r="686" spans="1:39">
      <c r="A686" s="106" t="s">
        <v>1508</v>
      </c>
      <c r="B686" s="107">
        <v>1</v>
      </c>
      <c r="E686" s="108"/>
      <c r="H686" s="105"/>
      <c r="L686" s="105"/>
      <c r="AI686" s="11"/>
      <c r="AL686" s="122">
        <v>45222.657974537</v>
      </c>
      <c r="AM686" s="107">
        <v>1</v>
      </c>
    </row>
    <row r="687" spans="1:39">
      <c r="A687" s="106" t="s">
        <v>2075</v>
      </c>
      <c r="B687" s="107">
        <v>1</v>
      </c>
      <c r="E687" s="108"/>
      <c r="H687" s="105"/>
      <c r="L687" s="105"/>
      <c r="AI687" s="11"/>
      <c r="AL687" s="122">
        <v>45222.7404166667</v>
      </c>
      <c r="AM687" s="107">
        <v>1</v>
      </c>
    </row>
    <row r="688" spans="1:39">
      <c r="A688" s="106" t="s">
        <v>1458</v>
      </c>
      <c r="B688" s="107">
        <v>1</v>
      </c>
      <c r="E688" s="108"/>
      <c r="H688" s="105"/>
      <c r="L688" s="105"/>
      <c r="AI688" s="11"/>
      <c r="AL688" s="122">
        <v>45223.4015393518</v>
      </c>
      <c r="AM688" s="107">
        <v>1</v>
      </c>
    </row>
    <row r="689" spans="1:39">
      <c r="A689" s="106" t="s">
        <v>1778</v>
      </c>
      <c r="B689" s="107">
        <v>1</v>
      </c>
      <c r="E689" s="108"/>
      <c r="H689" s="105"/>
      <c r="L689" s="105"/>
      <c r="AI689" s="11"/>
      <c r="AL689" s="122">
        <v>45223.4177777778</v>
      </c>
      <c r="AM689" s="107">
        <v>1</v>
      </c>
    </row>
    <row r="690" spans="1:39">
      <c r="A690" s="106" t="s">
        <v>1637</v>
      </c>
      <c r="B690" s="107">
        <v>2</v>
      </c>
      <c r="E690" s="108"/>
      <c r="H690" s="105"/>
      <c r="L690" s="105"/>
      <c r="AI690" s="11"/>
      <c r="AL690" s="122">
        <v>45223.4588773148</v>
      </c>
      <c r="AM690" s="107">
        <v>1</v>
      </c>
    </row>
    <row r="691" spans="1:39">
      <c r="A691" s="106" t="s">
        <v>3284</v>
      </c>
      <c r="B691" s="107">
        <v>1</v>
      </c>
      <c r="E691" s="108"/>
      <c r="H691" s="105"/>
      <c r="L691" s="105"/>
      <c r="AI691" s="11"/>
      <c r="AL691" s="122">
        <v>45223.4695138889</v>
      </c>
      <c r="AM691" s="107">
        <v>1</v>
      </c>
    </row>
    <row r="692" spans="1:39">
      <c r="A692" s="106" t="s">
        <v>1702</v>
      </c>
      <c r="B692" s="107">
        <v>2</v>
      </c>
      <c r="E692" s="108"/>
      <c r="H692" s="105"/>
      <c r="L692" s="105"/>
      <c r="AI692" s="11"/>
      <c r="AL692" s="122">
        <v>45223.5627199074</v>
      </c>
      <c r="AM692" s="107">
        <v>1</v>
      </c>
    </row>
    <row r="693" spans="1:39">
      <c r="A693" s="106" t="s">
        <v>61</v>
      </c>
      <c r="B693" s="107">
        <v>1</v>
      </c>
      <c r="E693" s="108"/>
      <c r="H693" s="105"/>
      <c r="L693" s="105"/>
      <c r="AI693" s="11"/>
      <c r="AL693" s="122">
        <v>45224.3553009259</v>
      </c>
      <c r="AM693" s="107">
        <v>1</v>
      </c>
    </row>
    <row r="694" spans="1:39">
      <c r="A694" s="106" t="s">
        <v>3294</v>
      </c>
      <c r="B694" s="107">
        <v>2</v>
      </c>
      <c r="E694" s="108"/>
      <c r="H694" s="105"/>
      <c r="L694" s="105"/>
      <c r="AI694" s="11"/>
      <c r="AL694" s="122">
        <v>45224.3759259259</v>
      </c>
      <c r="AM694" s="107">
        <v>1</v>
      </c>
    </row>
    <row r="695" spans="1:39">
      <c r="A695" s="106" t="s">
        <v>1487</v>
      </c>
      <c r="B695" s="107">
        <v>1</v>
      </c>
      <c r="E695" s="108"/>
      <c r="H695" s="105"/>
      <c r="L695" s="105"/>
      <c r="AI695" s="11"/>
      <c r="AL695" s="122">
        <v>45224.376400463</v>
      </c>
      <c r="AM695" s="107">
        <v>1</v>
      </c>
    </row>
    <row r="696" spans="1:39">
      <c r="A696" s="106" t="s">
        <v>3125</v>
      </c>
      <c r="B696" s="107">
        <v>2</v>
      </c>
      <c r="E696" s="108"/>
      <c r="H696" s="105"/>
      <c r="L696" s="105"/>
      <c r="AI696" s="11"/>
      <c r="AL696" s="122">
        <v>45224.6653356481</v>
      </c>
      <c r="AM696" s="107">
        <v>1</v>
      </c>
    </row>
    <row r="697" spans="1:39">
      <c r="A697" s="106" t="s">
        <v>599</v>
      </c>
      <c r="B697" s="107">
        <v>2</v>
      </c>
      <c r="E697" s="108"/>
      <c r="H697" s="105"/>
      <c r="L697" s="105"/>
      <c r="AI697" s="11"/>
      <c r="AL697" s="122">
        <v>45225.3525578704</v>
      </c>
      <c r="AM697" s="107">
        <v>1</v>
      </c>
    </row>
    <row r="698" spans="1:39">
      <c r="A698" s="106" t="s">
        <v>3357</v>
      </c>
      <c r="B698" s="107">
        <v>1</v>
      </c>
      <c r="E698" s="108"/>
      <c r="H698" s="105"/>
      <c r="L698" s="105"/>
      <c r="AI698" s="11"/>
      <c r="AL698" s="122">
        <v>45225.441400463</v>
      </c>
      <c r="AM698" s="107">
        <v>1</v>
      </c>
    </row>
    <row r="699" spans="1:39">
      <c r="A699" s="106" t="s">
        <v>2786</v>
      </c>
      <c r="B699" s="107">
        <v>1</v>
      </c>
      <c r="E699" s="108"/>
      <c r="H699" s="105"/>
      <c r="L699" s="105"/>
      <c r="AI699" s="11"/>
      <c r="AL699" s="122">
        <v>45225.5907523148</v>
      </c>
      <c r="AM699" s="107">
        <v>1</v>
      </c>
    </row>
    <row r="700" spans="1:39">
      <c r="A700" s="106" t="s">
        <v>4576</v>
      </c>
      <c r="B700" s="107">
        <v>2</v>
      </c>
      <c r="E700" s="108"/>
      <c r="H700" s="105"/>
      <c r="L700" s="105"/>
      <c r="AI700" s="11"/>
      <c r="AL700" s="122">
        <v>45226.3649884259</v>
      </c>
      <c r="AM700" s="107">
        <v>1</v>
      </c>
    </row>
    <row r="701" spans="1:39">
      <c r="A701" s="106" t="s">
        <v>2725</v>
      </c>
      <c r="B701" s="107">
        <v>5</v>
      </c>
      <c r="E701" s="108"/>
      <c r="H701" s="105"/>
      <c r="L701" s="105"/>
      <c r="AI701" s="11"/>
      <c r="AL701" s="122">
        <v>45226.4925810185</v>
      </c>
      <c r="AM701" s="107">
        <v>1</v>
      </c>
    </row>
    <row r="702" spans="1:39">
      <c r="A702" s="106" t="s">
        <v>2487</v>
      </c>
      <c r="B702" s="107">
        <v>1</v>
      </c>
      <c r="E702" s="108"/>
      <c r="H702" s="105"/>
      <c r="L702" s="105"/>
      <c r="AI702" s="11"/>
      <c r="AL702" s="122">
        <v>45226.7099652778</v>
      </c>
      <c r="AM702" s="107">
        <v>1</v>
      </c>
    </row>
    <row r="703" spans="1:39">
      <c r="A703" s="106" t="s">
        <v>4113</v>
      </c>
      <c r="B703" s="107">
        <v>2</v>
      </c>
      <c r="E703" s="108"/>
      <c r="H703" s="105"/>
      <c r="L703" s="105"/>
      <c r="AI703" s="11"/>
      <c r="AL703" s="122">
        <v>45226.8179861111</v>
      </c>
      <c r="AM703" s="107">
        <v>1</v>
      </c>
    </row>
    <row r="704" spans="1:39">
      <c r="A704" s="106" t="s">
        <v>4287</v>
      </c>
      <c r="B704" s="107">
        <v>1</v>
      </c>
      <c r="E704" s="108"/>
      <c r="H704" s="105"/>
      <c r="L704" s="105"/>
      <c r="AI704" s="11"/>
      <c r="AL704" s="122">
        <v>45227.3614236111</v>
      </c>
      <c r="AM704" s="107">
        <v>1</v>
      </c>
    </row>
    <row r="705" spans="1:39">
      <c r="A705" s="106" t="s">
        <v>2404</v>
      </c>
      <c r="B705" s="107">
        <v>3</v>
      </c>
      <c r="E705" s="108"/>
      <c r="H705" s="105"/>
      <c r="L705" s="105"/>
      <c r="AI705" s="11"/>
      <c r="AL705" s="122">
        <v>45228.767650463</v>
      </c>
      <c r="AM705" s="107">
        <v>1</v>
      </c>
    </row>
    <row r="706" spans="1:39">
      <c r="A706" s="106" t="s">
        <v>2839</v>
      </c>
      <c r="B706" s="107">
        <v>1</v>
      </c>
      <c r="E706" s="108"/>
      <c r="H706" s="105"/>
      <c r="L706" s="105"/>
      <c r="AI706" s="11"/>
      <c r="AL706" s="122">
        <v>45228.8212268519</v>
      </c>
      <c r="AM706" s="107">
        <v>1</v>
      </c>
    </row>
    <row r="707" spans="1:39">
      <c r="A707" s="106" t="s">
        <v>825</v>
      </c>
      <c r="B707" s="107">
        <v>5</v>
      </c>
      <c r="E707" s="108"/>
      <c r="H707" s="105"/>
      <c r="L707" s="105"/>
      <c r="AI707" s="11"/>
      <c r="AL707" s="122">
        <v>45229.4949305556</v>
      </c>
      <c r="AM707" s="107">
        <v>1</v>
      </c>
    </row>
    <row r="708" spans="1:39">
      <c r="A708" s="106" t="s">
        <v>3141</v>
      </c>
      <c r="B708" s="107">
        <v>10</v>
      </c>
      <c r="E708" s="108"/>
      <c r="H708" s="105"/>
      <c r="L708" s="105"/>
      <c r="AI708" s="11"/>
      <c r="AL708" s="122">
        <v>45229.6440856481</v>
      </c>
      <c r="AM708" s="107">
        <v>1</v>
      </c>
    </row>
    <row r="709" spans="1:39">
      <c r="A709" s="106" t="s">
        <v>915</v>
      </c>
      <c r="B709" s="107">
        <v>2</v>
      </c>
      <c r="E709" s="108"/>
      <c r="H709" s="105"/>
      <c r="L709" s="105"/>
      <c r="AI709" s="11"/>
      <c r="AL709" s="122">
        <v>45229.6798263889</v>
      </c>
      <c r="AM709" s="107">
        <v>1</v>
      </c>
    </row>
    <row r="710" spans="1:39">
      <c r="A710" s="106" t="s">
        <v>452</v>
      </c>
      <c r="B710" s="107">
        <v>1</v>
      </c>
      <c r="E710" s="108"/>
      <c r="H710" s="105"/>
      <c r="L710" s="105"/>
      <c r="AI710" s="11"/>
      <c r="AL710" s="122">
        <v>45229.692962963</v>
      </c>
      <c r="AM710" s="107">
        <v>1</v>
      </c>
    </row>
    <row r="711" spans="1:39">
      <c r="A711" s="106" t="s">
        <v>4216</v>
      </c>
      <c r="B711" s="107">
        <v>1</v>
      </c>
      <c r="E711" s="108"/>
      <c r="H711" s="105"/>
      <c r="L711" s="105"/>
      <c r="AI711" s="11"/>
      <c r="AL711" s="122">
        <v>45229.7774768519</v>
      </c>
      <c r="AM711" s="107">
        <v>1</v>
      </c>
    </row>
    <row r="712" spans="1:39">
      <c r="A712" s="106" t="s">
        <v>4093</v>
      </c>
      <c r="B712" s="107">
        <v>1</v>
      </c>
      <c r="E712" s="108"/>
      <c r="H712" s="105"/>
      <c r="L712" s="105"/>
      <c r="AI712" s="11"/>
      <c r="AL712" s="122">
        <v>45230.4291898148</v>
      </c>
      <c r="AM712" s="107">
        <v>1</v>
      </c>
    </row>
    <row r="713" spans="1:39">
      <c r="A713" s="106" t="s">
        <v>4935</v>
      </c>
      <c r="B713" s="107">
        <v>2</v>
      </c>
      <c r="E713" s="108"/>
      <c r="H713" s="105"/>
      <c r="L713" s="105"/>
      <c r="AI713" s="11"/>
      <c r="AL713" s="122">
        <v>45230.5353703704</v>
      </c>
      <c r="AM713" s="107">
        <v>1</v>
      </c>
    </row>
    <row r="714" spans="1:39">
      <c r="A714" s="106" t="s">
        <v>2385</v>
      </c>
      <c r="B714" s="107">
        <v>12</v>
      </c>
      <c r="E714" s="108"/>
      <c r="H714" s="105"/>
      <c r="L714" s="105"/>
      <c r="AI714" s="11"/>
      <c r="AL714" s="122">
        <v>45231.4275347222</v>
      </c>
      <c r="AM714" s="107">
        <v>1</v>
      </c>
    </row>
    <row r="715" spans="1:39">
      <c r="A715" s="106" t="s">
        <v>1503</v>
      </c>
      <c r="B715" s="107">
        <v>2</v>
      </c>
      <c r="E715" s="108"/>
      <c r="H715" s="105"/>
      <c r="L715" s="105"/>
      <c r="AI715" s="11"/>
      <c r="AL715" s="122">
        <v>45231.6122569444</v>
      </c>
      <c r="AM715" s="107">
        <v>1</v>
      </c>
    </row>
    <row r="716" spans="1:39">
      <c r="A716" s="106" t="s">
        <v>4597</v>
      </c>
      <c r="B716" s="107">
        <v>1</v>
      </c>
      <c r="E716" s="108"/>
      <c r="H716" s="105"/>
      <c r="L716" s="105"/>
      <c r="AI716" s="11"/>
      <c r="AL716" s="122">
        <v>45232.4781712963</v>
      </c>
      <c r="AM716" s="107">
        <v>1</v>
      </c>
    </row>
    <row r="717" spans="1:39">
      <c r="A717" s="106" t="s">
        <v>1962</v>
      </c>
      <c r="B717" s="107">
        <v>3</v>
      </c>
      <c r="E717" s="108"/>
      <c r="H717" s="105"/>
      <c r="L717" s="105"/>
      <c r="AI717" s="11"/>
      <c r="AL717" s="122">
        <v>45232.49375</v>
      </c>
      <c r="AM717" s="107">
        <v>1</v>
      </c>
    </row>
    <row r="718" spans="1:39">
      <c r="A718" s="106" t="s">
        <v>4539</v>
      </c>
      <c r="B718" s="107">
        <v>1</v>
      </c>
      <c r="E718" s="108"/>
      <c r="H718" s="105"/>
      <c r="L718" s="105"/>
      <c r="AI718" s="11"/>
      <c r="AL718" s="122">
        <v>45232.5850231481</v>
      </c>
      <c r="AM718" s="107">
        <v>1</v>
      </c>
    </row>
    <row r="719" spans="1:39">
      <c r="A719" s="106" t="s">
        <v>3839</v>
      </c>
      <c r="B719" s="107">
        <v>2</v>
      </c>
      <c r="E719" s="108"/>
      <c r="H719" s="105"/>
      <c r="L719" s="105"/>
      <c r="AI719" s="11"/>
      <c r="AL719" s="122">
        <v>45233.3759027778</v>
      </c>
      <c r="AM719" s="107">
        <v>1</v>
      </c>
    </row>
    <row r="720" spans="1:39">
      <c r="A720" s="106" t="s">
        <v>2253</v>
      </c>
      <c r="B720" s="107">
        <v>5</v>
      </c>
      <c r="E720" s="108"/>
      <c r="H720" s="105"/>
      <c r="L720" s="105"/>
      <c r="AI720" s="11"/>
      <c r="AL720" s="122">
        <v>45233.4470138889</v>
      </c>
      <c r="AM720" s="107">
        <v>1</v>
      </c>
    </row>
    <row r="721" spans="1:39">
      <c r="A721" s="106" t="s">
        <v>1737</v>
      </c>
      <c r="B721" s="107">
        <v>2</v>
      </c>
      <c r="E721" s="108"/>
      <c r="H721" s="105"/>
      <c r="L721" s="105"/>
      <c r="AI721" s="11"/>
      <c r="AL721" s="122">
        <v>45233.7497222222</v>
      </c>
      <c r="AM721" s="107">
        <v>1</v>
      </c>
    </row>
    <row r="722" spans="1:39">
      <c r="A722" s="106" t="s">
        <v>3145</v>
      </c>
      <c r="B722" s="107">
        <v>1</v>
      </c>
      <c r="E722" s="108"/>
      <c r="H722" s="105"/>
      <c r="L722" s="105"/>
      <c r="AI722" s="11"/>
      <c r="AL722" s="122">
        <v>45233.7900578704</v>
      </c>
      <c r="AM722" s="107">
        <v>1</v>
      </c>
    </row>
    <row r="723" spans="1:39">
      <c r="A723" s="106" t="s">
        <v>3158</v>
      </c>
      <c r="B723" s="107">
        <v>2</v>
      </c>
      <c r="E723" s="108"/>
      <c r="H723" s="105"/>
      <c r="L723" s="105"/>
      <c r="AI723" s="11"/>
      <c r="AL723" s="122">
        <v>45234.4092939815</v>
      </c>
      <c r="AM723" s="107">
        <v>1</v>
      </c>
    </row>
    <row r="724" spans="1:39">
      <c r="A724" s="106" t="s">
        <v>1781</v>
      </c>
      <c r="B724" s="107">
        <v>1</v>
      </c>
      <c r="E724" s="108"/>
      <c r="H724" s="105"/>
      <c r="L724" s="105"/>
      <c r="AI724" s="11"/>
      <c r="AL724" s="122">
        <v>45234.5633564815</v>
      </c>
      <c r="AM724" s="107">
        <v>1</v>
      </c>
    </row>
    <row r="725" spans="1:39">
      <c r="A725" s="106" t="s">
        <v>4570</v>
      </c>
      <c r="B725" s="107">
        <v>3</v>
      </c>
      <c r="E725" s="108"/>
      <c r="H725" s="105"/>
      <c r="L725" s="105"/>
      <c r="AI725" s="11"/>
      <c r="AL725" s="122">
        <v>45235.5921412037</v>
      </c>
      <c r="AM725" s="107">
        <v>1</v>
      </c>
    </row>
    <row r="726" spans="1:39">
      <c r="A726" s="106" t="s">
        <v>2597</v>
      </c>
      <c r="B726" s="107">
        <v>2</v>
      </c>
      <c r="E726" s="108"/>
      <c r="H726" s="105"/>
      <c r="L726" s="105"/>
      <c r="AI726" s="11"/>
      <c r="AL726" s="122">
        <v>45236.3757407407</v>
      </c>
      <c r="AM726" s="107">
        <v>1</v>
      </c>
    </row>
    <row r="727" spans="1:39">
      <c r="A727" s="106" t="s">
        <v>900</v>
      </c>
      <c r="B727" s="107">
        <v>3</v>
      </c>
      <c r="E727" s="108"/>
      <c r="H727" s="105"/>
      <c r="L727" s="105"/>
      <c r="AI727" s="11"/>
      <c r="AL727" s="122">
        <v>45236.4559143518</v>
      </c>
      <c r="AM727" s="107">
        <v>1</v>
      </c>
    </row>
    <row r="728" spans="1:39">
      <c r="A728" s="106" t="s">
        <v>3923</v>
      </c>
      <c r="B728" s="107">
        <v>2</v>
      </c>
      <c r="E728" s="108"/>
      <c r="H728" s="105"/>
      <c r="L728" s="105"/>
      <c r="AI728" s="11"/>
      <c r="AL728" s="122">
        <v>45236.5568634259</v>
      </c>
      <c r="AM728" s="107">
        <v>1</v>
      </c>
    </row>
    <row r="729" spans="1:39">
      <c r="A729" s="101" t="s">
        <v>182</v>
      </c>
      <c r="B729" s="102">
        <v>1</v>
      </c>
      <c r="E729" s="108"/>
      <c r="H729" s="105"/>
      <c r="L729" s="105"/>
      <c r="AI729" s="11"/>
      <c r="AL729" s="122">
        <v>45236.8068865741</v>
      </c>
      <c r="AM729" s="107">
        <v>1</v>
      </c>
    </row>
    <row r="730" spans="1:39">
      <c r="A730" s="101" t="s">
        <v>2806</v>
      </c>
      <c r="B730" s="102">
        <v>2</v>
      </c>
      <c r="E730" s="108"/>
      <c r="H730" s="105"/>
      <c r="L730" s="105"/>
      <c r="AI730" s="11"/>
      <c r="AL730" s="122">
        <v>45237.4020023148</v>
      </c>
      <c r="AM730" s="107">
        <v>1</v>
      </c>
    </row>
    <row r="731" spans="1:39">
      <c r="A731" s="106" t="s">
        <v>4301</v>
      </c>
      <c r="B731" s="107">
        <v>1</v>
      </c>
      <c r="E731" s="108"/>
      <c r="H731" s="105"/>
      <c r="L731" s="105"/>
      <c r="AI731" s="11"/>
      <c r="AL731" s="122">
        <v>45237.4031944444</v>
      </c>
      <c r="AM731" s="107">
        <v>1</v>
      </c>
    </row>
    <row r="732" spans="1:39">
      <c r="A732" s="106" t="s">
        <v>4552</v>
      </c>
      <c r="B732" s="107">
        <v>6</v>
      </c>
      <c r="E732" s="108"/>
      <c r="H732" s="105"/>
      <c r="L732" s="105"/>
      <c r="AI732" s="11"/>
      <c r="AL732" s="122">
        <v>45238.5209375</v>
      </c>
      <c r="AM732" s="107">
        <v>1</v>
      </c>
    </row>
    <row r="733" spans="1:39">
      <c r="A733" s="106" t="s">
        <v>327</v>
      </c>
      <c r="B733" s="107">
        <v>5</v>
      </c>
      <c r="E733" s="108"/>
      <c r="H733" s="105"/>
      <c r="L733" s="105"/>
      <c r="AI733" s="11"/>
      <c r="AL733" s="122">
        <v>45239.3802083333</v>
      </c>
      <c r="AM733" s="107">
        <v>1</v>
      </c>
    </row>
    <row r="734" spans="1:39">
      <c r="A734" s="106" t="s">
        <v>3929</v>
      </c>
      <c r="B734" s="107">
        <v>1</v>
      </c>
      <c r="E734" s="108"/>
      <c r="H734" s="105"/>
      <c r="L734" s="105"/>
      <c r="AI734" s="11"/>
      <c r="AL734" s="122">
        <v>45239.4153819444</v>
      </c>
      <c r="AM734" s="107">
        <v>1</v>
      </c>
    </row>
    <row r="735" spans="1:39">
      <c r="A735" s="106" t="s">
        <v>2021</v>
      </c>
      <c r="B735" s="107">
        <v>2</v>
      </c>
      <c r="E735" s="108"/>
      <c r="H735" s="105"/>
      <c r="L735" s="105"/>
      <c r="AI735" s="11"/>
      <c r="AL735" s="122">
        <v>45241.5516203704</v>
      </c>
      <c r="AM735" s="107">
        <v>1</v>
      </c>
    </row>
    <row r="736" spans="1:39">
      <c r="A736" s="106" t="s">
        <v>467</v>
      </c>
      <c r="B736" s="107">
        <v>2</v>
      </c>
      <c r="E736" s="108"/>
      <c r="H736" s="105"/>
      <c r="L736" s="105"/>
      <c r="AI736" s="11"/>
      <c r="AL736" s="122">
        <v>45242.4346064815</v>
      </c>
      <c r="AM736" s="107">
        <v>1</v>
      </c>
    </row>
    <row r="737" spans="1:39">
      <c r="A737" s="101" t="s">
        <v>168</v>
      </c>
      <c r="B737" s="102">
        <v>1</v>
      </c>
      <c r="E737" s="108"/>
      <c r="H737" s="105"/>
      <c r="L737" s="105"/>
      <c r="AI737" s="11"/>
      <c r="AL737" s="122">
        <v>45243.551099537</v>
      </c>
      <c r="AM737" s="107">
        <v>1</v>
      </c>
    </row>
    <row r="738" spans="1:39">
      <c r="A738" s="101" t="s">
        <v>4211</v>
      </c>
      <c r="B738" s="102">
        <v>2</v>
      </c>
      <c r="E738" s="108"/>
      <c r="H738" s="105"/>
      <c r="L738" s="105"/>
      <c r="AI738" s="11"/>
      <c r="AL738" s="122">
        <v>45243.8306828704</v>
      </c>
      <c r="AM738" s="107">
        <v>1</v>
      </c>
    </row>
    <row r="739" spans="1:39">
      <c r="A739" s="106" t="s">
        <v>2720</v>
      </c>
      <c r="B739" s="107">
        <v>2</v>
      </c>
      <c r="E739" s="108"/>
      <c r="H739" s="105"/>
      <c r="L739" s="105"/>
      <c r="AI739" s="11"/>
      <c r="AL739" s="122">
        <v>45243.8426157407</v>
      </c>
      <c r="AM739" s="107">
        <v>1</v>
      </c>
    </row>
    <row r="740" spans="1:39">
      <c r="A740" s="106" t="s">
        <v>3829</v>
      </c>
      <c r="B740" s="107">
        <v>1</v>
      </c>
      <c r="E740" s="108"/>
      <c r="H740" s="105"/>
      <c r="L740" s="105"/>
      <c r="AI740" s="11"/>
      <c r="AL740" s="122">
        <v>45244.4210532407</v>
      </c>
      <c r="AM740" s="107">
        <v>1</v>
      </c>
    </row>
    <row r="741" spans="1:39">
      <c r="A741" s="106" t="s">
        <v>946</v>
      </c>
      <c r="B741" s="107">
        <v>1</v>
      </c>
      <c r="E741" s="108"/>
      <c r="H741" s="105"/>
      <c r="L741" s="105"/>
      <c r="AI741" s="11"/>
      <c r="AL741" s="122">
        <v>45244.4417013889</v>
      </c>
      <c r="AM741" s="107">
        <v>1</v>
      </c>
    </row>
    <row r="742" spans="1:39">
      <c r="A742" s="101" t="s">
        <v>222</v>
      </c>
      <c r="B742" s="102">
        <v>4</v>
      </c>
      <c r="E742" s="108"/>
      <c r="H742" s="105"/>
      <c r="L742" s="105"/>
      <c r="AI742" s="11"/>
      <c r="AL742" s="122">
        <v>45244.5603009259</v>
      </c>
      <c r="AM742" s="107">
        <v>1</v>
      </c>
    </row>
    <row r="743" spans="1:39">
      <c r="A743" s="101" t="s">
        <v>4032</v>
      </c>
      <c r="B743" s="102">
        <v>2</v>
      </c>
      <c r="E743" s="108"/>
      <c r="H743" s="105"/>
      <c r="L743" s="105"/>
      <c r="AI743" s="11"/>
      <c r="AL743" s="122">
        <v>45244.610625</v>
      </c>
      <c r="AM743" s="107">
        <v>1</v>
      </c>
    </row>
    <row r="744" spans="1:39">
      <c r="A744" s="106" t="s">
        <v>4022</v>
      </c>
      <c r="B744" s="107">
        <v>1</v>
      </c>
      <c r="E744" s="108"/>
      <c r="H744" s="105"/>
      <c r="L744" s="105"/>
      <c r="AI744" s="11"/>
      <c r="AL744" s="122">
        <v>45244.7098032407</v>
      </c>
      <c r="AM744" s="107">
        <v>1</v>
      </c>
    </row>
    <row r="745" spans="1:39">
      <c r="A745" s="101" t="s">
        <v>250</v>
      </c>
      <c r="B745" s="102">
        <v>1</v>
      </c>
      <c r="E745" s="108"/>
      <c r="H745" s="105"/>
      <c r="L745" s="105"/>
      <c r="AI745" s="11"/>
      <c r="AL745" s="122">
        <v>45245.3946527778</v>
      </c>
      <c r="AM745" s="107">
        <v>1</v>
      </c>
    </row>
    <row r="746" spans="1:39">
      <c r="A746" s="101" t="s">
        <v>230</v>
      </c>
      <c r="B746" s="102">
        <v>1</v>
      </c>
      <c r="E746" s="108"/>
      <c r="H746" s="105"/>
      <c r="L746" s="105"/>
      <c r="AI746" s="11"/>
      <c r="AL746" s="122">
        <v>45245.5661458333</v>
      </c>
      <c r="AM746" s="107">
        <v>1</v>
      </c>
    </row>
    <row r="747" spans="1:39">
      <c r="A747" s="101" t="s">
        <v>4957</v>
      </c>
      <c r="B747" s="102">
        <v>1</v>
      </c>
      <c r="E747" s="108"/>
      <c r="H747" s="105"/>
      <c r="L747" s="105"/>
      <c r="AI747" s="11"/>
      <c r="AL747" s="122">
        <v>45245.7600925926</v>
      </c>
      <c r="AM747" s="107">
        <v>1</v>
      </c>
    </row>
    <row r="748" spans="1:39">
      <c r="A748" s="106" t="s">
        <v>4721</v>
      </c>
      <c r="B748" s="107">
        <v>1</v>
      </c>
      <c r="E748" s="108"/>
      <c r="H748" s="105"/>
      <c r="L748" s="105"/>
      <c r="AI748" s="11"/>
      <c r="AL748" s="122">
        <v>45246.4481018518</v>
      </c>
      <c r="AM748" s="107">
        <v>1</v>
      </c>
    </row>
    <row r="749" spans="1:39">
      <c r="A749" s="106" t="s">
        <v>3945</v>
      </c>
      <c r="B749" s="107">
        <v>2</v>
      </c>
      <c r="E749" s="108"/>
      <c r="H749" s="105"/>
      <c r="L749" s="105"/>
      <c r="AI749" s="11"/>
      <c r="AL749" s="122">
        <v>45246.7731828704</v>
      </c>
      <c r="AM749" s="107">
        <v>1</v>
      </c>
    </row>
    <row r="750" spans="1:39">
      <c r="A750" s="106" t="s">
        <v>2308</v>
      </c>
      <c r="B750" s="107">
        <v>1</v>
      </c>
      <c r="E750" s="108"/>
      <c r="H750" s="105"/>
      <c r="L750" s="105"/>
      <c r="AI750" s="11"/>
      <c r="AL750" s="122">
        <v>45247.5141898148</v>
      </c>
      <c r="AM750" s="107">
        <v>1</v>
      </c>
    </row>
    <row r="751" spans="1:39">
      <c r="A751" s="106" t="s">
        <v>2915</v>
      </c>
      <c r="B751" s="107">
        <v>1</v>
      </c>
      <c r="E751" s="108"/>
      <c r="H751" s="105"/>
      <c r="L751" s="105"/>
      <c r="AI751" s="11"/>
      <c r="AL751" s="122">
        <v>45248.3800578704</v>
      </c>
      <c r="AM751" s="107">
        <v>1</v>
      </c>
    </row>
    <row r="752" spans="1:39">
      <c r="A752" s="101" t="s">
        <v>199</v>
      </c>
      <c r="B752" s="102">
        <v>4</v>
      </c>
      <c r="E752" s="108"/>
      <c r="H752" s="105"/>
      <c r="L752" s="105"/>
      <c r="AI752" s="11"/>
      <c r="AL752" s="122">
        <v>45248.7176736111</v>
      </c>
      <c r="AM752" s="107">
        <v>1</v>
      </c>
    </row>
    <row r="753" spans="1:39">
      <c r="A753" s="101" t="s">
        <v>3134</v>
      </c>
      <c r="B753" s="102">
        <v>1</v>
      </c>
      <c r="E753" s="108"/>
      <c r="H753" s="105"/>
      <c r="L753" s="105"/>
      <c r="AI753" s="11"/>
      <c r="AL753" s="122">
        <v>45248.7708680556</v>
      </c>
      <c r="AM753" s="107">
        <v>1</v>
      </c>
    </row>
    <row r="754" spans="1:39">
      <c r="A754" s="106" t="s">
        <v>3138</v>
      </c>
      <c r="B754" s="107">
        <v>1</v>
      </c>
      <c r="E754" s="108"/>
      <c r="H754" s="105"/>
      <c r="L754" s="105"/>
      <c r="AI754" s="11"/>
      <c r="AL754" s="122">
        <v>45249.3574884259</v>
      </c>
      <c r="AM754" s="107">
        <v>1</v>
      </c>
    </row>
    <row r="755" spans="1:39">
      <c r="A755" s="106" t="s">
        <v>3268</v>
      </c>
      <c r="B755" s="107">
        <v>3</v>
      </c>
      <c r="E755" s="108"/>
      <c r="H755" s="105"/>
      <c r="L755" s="105"/>
      <c r="AI755" s="11"/>
      <c r="AL755" s="122">
        <v>45249.429525463</v>
      </c>
      <c r="AM755" s="107">
        <v>1</v>
      </c>
    </row>
    <row r="756" spans="1:39">
      <c r="A756" s="106" t="s">
        <v>3601</v>
      </c>
      <c r="B756" s="107">
        <v>2</v>
      </c>
      <c r="E756" s="108"/>
      <c r="H756" s="105"/>
      <c r="L756" s="105"/>
      <c r="AI756" s="11"/>
      <c r="AL756" s="122">
        <v>45249.5597685185</v>
      </c>
      <c r="AM756" s="107">
        <v>1</v>
      </c>
    </row>
    <row r="757" spans="1:39">
      <c r="A757" s="101" t="s">
        <v>5366</v>
      </c>
      <c r="B757" s="102"/>
      <c r="E757" s="108"/>
      <c r="H757" s="105"/>
      <c r="L757" s="105"/>
      <c r="AI757" s="11"/>
      <c r="AL757" s="122">
        <v>45249.6453240741</v>
      </c>
      <c r="AM757" s="107">
        <v>1</v>
      </c>
    </row>
    <row r="758" spans="1:39">
      <c r="A758" s="109" t="s">
        <v>5367</v>
      </c>
      <c r="B758" s="121">
        <v>1600</v>
      </c>
      <c r="E758" s="108"/>
      <c r="H758" s="105"/>
      <c r="L758" s="105"/>
      <c r="AI758" s="11"/>
      <c r="AL758" s="122">
        <v>45250.4313888889</v>
      </c>
      <c r="AM758" s="107">
        <v>1</v>
      </c>
    </row>
    <row r="759" spans="1:39">
      <c r="A759" s="105"/>
      <c r="E759" s="108"/>
      <c r="H759" s="105"/>
      <c r="L759" s="105"/>
      <c r="AI759" s="11"/>
      <c r="AL759" s="122">
        <v>45250.6353356481</v>
      </c>
      <c r="AM759" s="107">
        <v>1</v>
      </c>
    </row>
    <row r="760" spans="1:39">
      <c r="A760" s="105"/>
      <c r="E760" s="108"/>
      <c r="H760" s="105"/>
      <c r="L760" s="105"/>
      <c r="AI760" s="11"/>
      <c r="AL760" s="122">
        <v>45250.6574074074</v>
      </c>
      <c r="AM760" s="107">
        <v>1</v>
      </c>
    </row>
    <row r="761" spans="1:39">
      <c r="A761" s="105"/>
      <c r="E761" s="108"/>
      <c r="H761" s="105"/>
      <c r="L761" s="105"/>
      <c r="AI761" s="11"/>
      <c r="AL761" s="122">
        <v>45250.6793865741</v>
      </c>
      <c r="AM761" s="107">
        <v>1</v>
      </c>
    </row>
    <row r="762" spans="1:39">
      <c r="A762" s="105"/>
      <c r="E762" s="108"/>
      <c r="H762" s="105"/>
      <c r="L762" s="105"/>
      <c r="AI762" s="11"/>
      <c r="AL762" s="122">
        <v>45251.3704398148</v>
      </c>
      <c r="AM762" s="107">
        <v>1</v>
      </c>
    </row>
    <row r="763" spans="1:39">
      <c r="A763" s="105"/>
      <c r="E763" s="108"/>
      <c r="H763" s="105"/>
      <c r="L763" s="105"/>
      <c r="AI763" s="11"/>
      <c r="AL763" s="122">
        <v>45251.3765625</v>
      </c>
      <c r="AM763" s="107">
        <v>1</v>
      </c>
    </row>
    <row r="764" spans="1:39">
      <c r="A764" s="105"/>
      <c r="E764" s="108"/>
      <c r="H764" s="105"/>
      <c r="L764" s="105"/>
      <c r="AI764" s="11"/>
      <c r="AL764" s="122">
        <v>45251.3916319444</v>
      </c>
      <c r="AM764" s="107">
        <v>1</v>
      </c>
    </row>
    <row r="765" spans="1:39">
      <c r="A765" s="105"/>
      <c r="E765" s="108"/>
      <c r="H765" s="105"/>
      <c r="L765" s="105"/>
      <c r="AI765" s="11"/>
      <c r="AL765" s="122">
        <v>45251.4670601852</v>
      </c>
      <c r="AM765" s="107">
        <v>1</v>
      </c>
    </row>
    <row r="766" spans="1:39">
      <c r="A766" s="105"/>
      <c r="E766" s="108"/>
      <c r="H766" s="105"/>
      <c r="L766" s="105"/>
      <c r="AI766" s="11"/>
      <c r="AL766" s="122">
        <v>45251.5006597222</v>
      </c>
      <c r="AM766" s="107">
        <v>1</v>
      </c>
    </row>
    <row r="767" spans="1:39">
      <c r="A767" s="105"/>
      <c r="E767" s="108"/>
      <c r="H767" s="105"/>
      <c r="L767" s="105"/>
      <c r="AI767" s="11"/>
      <c r="AL767" s="122">
        <v>45251.5217939815</v>
      </c>
      <c r="AM767" s="107">
        <v>1</v>
      </c>
    </row>
    <row r="768" spans="1:39">
      <c r="A768" s="105"/>
      <c r="E768" s="108"/>
      <c r="H768" s="105"/>
      <c r="L768" s="105"/>
      <c r="AI768" s="11"/>
      <c r="AL768" s="122">
        <v>45251.6414236111</v>
      </c>
      <c r="AM768" s="107">
        <v>1</v>
      </c>
    </row>
    <row r="769" spans="1:39">
      <c r="A769" s="105"/>
      <c r="E769" s="108"/>
      <c r="H769" s="105"/>
      <c r="L769" s="105"/>
      <c r="AI769" s="11"/>
      <c r="AL769" s="122">
        <v>45251.6421643519</v>
      </c>
      <c r="AM769" s="107">
        <v>1</v>
      </c>
    </row>
    <row r="770" spans="1:39">
      <c r="A770" s="105"/>
      <c r="E770" s="108"/>
      <c r="H770" s="105"/>
      <c r="L770" s="105"/>
      <c r="AI770" s="11"/>
      <c r="AL770" s="122">
        <v>45251.7134837963</v>
      </c>
      <c r="AM770" s="107">
        <v>1</v>
      </c>
    </row>
    <row r="771" spans="1:39">
      <c r="A771" s="105"/>
      <c r="E771" s="108"/>
      <c r="H771" s="105"/>
      <c r="L771" s="105"/>
      <c r="AI771" s="11"/>
      <c r="AL771" s="122">
        <v>45252.3576157407</v>
      </c>
      <c r="AM771" s="107">
        <v>1</v>
      </c>
    </row>
    <row r="772" spans="1:39">
      <c r="A772" s="105"/>
      <c r="E772" s="108"/>
      <c r="H772" s="105"/>
      <c r="L772" s="105"/>
      <c r="AI772" s="11"/>
      <c r="AL772" s="122">
        <v>45252.4477083333</v>
      </c>
      <c r="AM772" s="107">
        <v>1</v>
      </c>
    </row>
    <row r="773" spans="1:39">
      <c r="A773" s="105"/>
      <c r="E773" s="108"/>
      <c r="H773" s="105"/>
      <c r="L773" s="105"/>
      <c r="AI773" s="11"/>
      <c r="AL773" s="122">
        <v>45252.4861921296</v>
      </c>
      <c r="AM773" s="107">
        <v>1</v>
      </c>
    </row>
    <row r="774" spans="1:39">
      <c r="A774" s="105"/>
      <c r="E774" s="108"/>
      <c r="H774" s="105"/>
      <c r="L774" s="105"/>
      <c r="AI774" s="11"/>
      <c r="AL774" s="122">
        <v>45252.5072106481</v>
      </c>
      <c r="AM774" s="107">
        <v>1</v>
      </c>
    </row>
    <row r="775" spans="1:39">
      <c r="A775" s="105"/>
      <c r="E775" s="108"/>
      <c r="H775" s="105"/>
      <c r="L775" s="105"/>
      <c r="AI775" s="11"/>
      <c r="AL775" s="122">
        <v>45252.5597222222</v>
      </c>
      <c r="AM775" s="107">
        <v>1</v>
      </c>
    </row>
    <row r="776" spans="1:39">
      <c r="A776" s="105"/>
      <c r="E776" s="108"/>
      <c r="H776" s="105"/>
      <c r="L776" s="105"/>
      <c r="AI776" s="11"/>
      <c r="AL776" s="122">
        <v>45253.3725694444</v>
      </c>
      <c r="AM776" s="107">
        <v>1</v>
      </c>
    </row>
    <row r="777" spans="1:39">
      <c r="A777" s="105"/>
      <c r="E777" s="108"/>
      <c r="H777" s="105"/>
      <c r="L777" s="105"/>
      <c r="AI777" s="11"/>
      <c r="AL777" s="122">
        <v>45253.3989699074</v>
      </c>
      <c r="AM777" s="107">
        <v>1</v>
      </c>
    </row>
    <row r="778" spans="1:39">
      <c r="A778" s="105"/>
      <c r="E778" s="108"/>
      <c r="H778" s="105"/>
      <c r="L778" s="105"/>
      <c r="AI778" s="11"/>
      <c r="AL778" s="122">
        <v>45253.4723958333</v>
      </c>
      <c r="AM778" s="107">
        <v>1</v>
      </c>
    </row>
    <row r="779" spans="1:39">
      <c r="A779" s="105"/>
      <c r="E779" s="108"/>
      <c r="H779" s="105"/>
      <c r="L779" s="105"/>
      <c r="AI779" s="11"/>
      <c r="AL779" s="122">
        <v>45253.7557175926</v>
      </c>
      <c r="AM779" s="107">
        <v>1</v>
      </c>
    </row>
    <row r="780" spans="1:39">
      <c r="A780" s="105"/>
      <c r="E780" s="108"/>
      <c r="H780" s="105"/>
      <c r="L780" s="105"/>
      <c r="AI780" s="11"/>
      <c r="AL780" s="122">
        <v>45253.7701041667</v>
      </c>
      <c r="AM780" s="107">
        <v>1</v>
      </c>
    </row>
    <row r="781" spans="1:39">
      <c r="A781" s="105"/>
      <c r="E781" s="108"/>
      <c r="H781" s="105"/>
      <c r="L781" s="105"/>
      <c r="AI781" s="11"/>
      <c r="AL781" s="122">
        <v>45253.7755324074</v>
      </c>
      <c r="AM781" s="107">
        <v>1</v>
      </c>
    </row>
    <row r="782" spans="1:39">
      <c r="A782" s="105"/>
      <c r="E782" s="108"/>
      <c r="H782" s="105"/>
      <c r="L782" s="105"/>
      <c r="AI782" s="11"/>
      <c r="AL782" s="122">
        <v>45254.3521527778</v>
      </c>
      <c r="AM782" s="107">
        <v>1</v>
      </c>
    </row>
    <row r="783" spans="1:39">
      <c r="A783" s="105"/>
      <c r="E783" s="108"/>
      <c r="H783" s="105"/>
      <c r="L783" s="105"/>
      <c r="AI783" s="11"/>
      <c r="AL783" s="122">
        <v>45254.4780555556</v>
      </c>
      <c r="AM783" s="107">
        <v>1</v>
      </c>
    </row>
    <row r="784" spans="1:39">
      <c r="A784" s="105"/>
      <c r="E784" s="108"/>
      <c r="H784" s="105"/>
      <c r="L784" s="105"/>
      <c r="AI784" s="11"/>
      <c r="AL784" s="122">
        <v>45254.8003819444</v>
      </c>
      <c r="AM784" s="107">
        <v>1</v>
      </c>
    </row>
    <row r="785" spans="1:39">
      <c r="A785" s="105"/>
      <c r="E785" s="108"/>
      <c r="H785" s="105"/>
      <c r="L785" s="105"/>
      <c r="AI785" s="11"/>
      <c r="AL785" s="122">
        <v>45255.5276041667</v>
      </c>
      <c r="AM785" s="107">
        <v>1</v>
      </c>
    </row>
    <row r="786" spans="1:39">
      <c r="A786" s="105"/>
      <c r="E786" s="108"/>
      <c r="H786" s="105"/>
      <c r="L786" s="105"/>
      <c r="AI786" s="11"/>
      <c r="AL786" s="122">
        <v>45255.5892592593</v>
      </c>
      <c r="AM786" s="107">
        <v>1</v>
      </c>
    </row>
    <row r="787" spans="1:39">
      <c r="A787" s="105"/>
      <c r="E787" s="108"/>
      <c r="H787" s="105"/>
      <c r="L787" s="105"/>
      <c r="AI787" s="11"/>
      <c r="AL787" s="122">
        <v>45255.6178240741</v>
      </c>
      <c r="AM787" s="107">
        <v>1</v>
      </c>
    </row>
    <row r="788" spans="1:39">
      <c r="A788" s="105"/>
      <c r="E788" s="108"/>
      <c r="H788" s="105"/>
      <c r="L788" s="105"/>
      <c r="AI788" s="11"/>
      <c r="AL788" s="122">
        <v>45255.6518402778</v>
      </c>
      <c r="AM788" s="107">
        <v>1</v>
      </c>
    </row>
    <row r="789" spans="1:39">
      <c r="A789" s="105"/>
      <c r="E789" s="108"/>
      <c r="H789" s="105"/>
      <c r="L789" s="105"/>
      <c r="AI789" s="11"/>
      <c r="AL789" s="122">
        <v>45256.4635069444</v>
      </c>
      <c r="AM789" s="107">
        <v>1</v>
      </c>
    </row>
    <row r="790" spans="1:39">
      <c r="A790" s="105"/>
      <c r="E790" s="108"/>
      <c r="H790" s="105"/>
      <c r="L790" s="105"/>
      <c r="AI790" s="11"/>
      <c r="AL790" s="122">
        <v>45256.4894675926</v>
      </c>
      <c r="AM790" s="107">
        <v>1</v>
      </c>
    </row>
    <row r="791" spans="1:39">
      <c r="A791" s="105"/>
      <c r="E791" s="108"/>
      <c r="H791" s="105"/>
      <c r="L791" s="105"/>
      <c r="AI791" s="11"/>
      <c r="AL791" s="122">
        <v>45256.525474537</v>
      </c>
      <c r="AM791" s="107">
        <v>1</v>
      </c>
    </row>
    <row r="792" spans="1:39">
      <c r="A792" s="105"/>
      <c r="E792" s="108"/>
      <c r="H792" s="105"/>
      <c r="L792" s="105"/>
      <c r="AI792" s="11"/>
      <c r="AL792" s="122">
        <v>45256.5806134259</v>
      </c>
      <c r="AM792" s="107">
        <v>1</v>
      </c>
    </row>
    <row r="793" spans="1:39">
      <c r="A793" s="105"/>
      <c r="E793" s="108"/>
      <c r="H793" s="105"/>
      <c r="L793" s="105"/>
      <c r="AI793" s="11"/>
      <c r="AL793" s="122">
        <v>45258.3236574074</v>
      </c>
      <c r="AM793" s="107">
        <v>1</v>
      </c>
    </row>
    <row r="794" spans="1:39">
      <c r="A794" s="105"/>
      <c r="E794" s="108"/>
      <c r="H794" s="105"/>
      <c r="L794" s="105"/>
      <c r="AI794" s="11"/>
      <c r="AL794" s="122">
        <v>45258.3738888889</v>
      </c>
      <c r="AM794" s="107">
        <v>1</v>
      </c>
    </row>
    <row r="795" spans="1:39">
      <c r="A795" s="105"/>
      <c r="E795" s="108"/>
      <c r="H795" s="105"/>
      <c r="L795" s="105"/>
      <c r="AI795" s="11"/>
      <c r="AL795" s="122">
        <v>45258.4318634259</v>
      </c>
      <c r="AM795" s="107">
        <v>1</v>
      </c>
    </row>
    <row r="796" spans="1:39">
      <c r="A796" s="105"/>
      <c r="E796" s="108"/>
      <c r="H796" s="105"/>
      <c r="L796" s="105"/>
      <c r="AI796" s="11"/>
      <c r="AL796" s="122">
        <v>45258.4372685185</v>
      </c>
      <c r="AM796" s="107">
        <v>1</v>
      </c>
    </row>
    <row r="797" spans="1:39">
      <c r="A797" s="105"/>
      <c r="E797" s="108"/>
      <c r="H797" s="105"/>
      <c r="L797" s="105"/>
      <c r="AI797" s="11"/>
      <c r="AL797" s="122">
        <v>45258.700474537</v>
      </c>
      <c r="AM797" s="107">
        <v>1</v>
      </c>
    </row>
    <row r="798" spans="1:39">
      <c r="A798" s="105"/>
      <c r="E798" s="108"/>
      <c r="H798" s="105"/>
      <c r="L798" s="105"/>
      <c r="AI798" s="11"/>
      <c r="AL798" s="122">
        <v>45258.7187615741</v>
      </c>
      <c r="AM798" s="107">
        <v>1</v>
      </c>
    </row>
    <row r="799" spans="1:39">
      <c r="A799" s="105"/>
      <c r="E799" s="108"/>
      <c r="H799" s="105"/>
      <c r="L799" s="105"/>
      <c r="AI799" s="11"/>
      <c r="AL799" s="122">
        <v>45258.7311805556</v>
      </c>
      <c r="AM799" s="107">
        <v>1</v>
      </c>
    </row>
    <row r="800" spans="1:39">
      <c r="A800" s="105"/>
      <c r="E800" s="108"/>
      <c r="H800" s="105"/>
      <c r="L800" s="105"/>
      <c r="AI800" s="11"/>
      <c r="AL800" s="122">
        <v>45258.78125</v>
      </c>
      <c r="AM800" s="107">
        <v>1</v>
      </c>
    </row>
    <row r="801" spans="1:39">
      <c r="A801" s="105"/>
      <c r="E801" s="108"/>
      <c r="H801" s="105"/>
      <c r="L801" s="105"/>
      <c r="AI801" s="11"/>
      <c r="AL801" s="122">
        <v>45259.366087963</v>
      </c>
      <c r="AM801" s="107">
        <v>1</v>
      </c>
    </row>
    <row r="802" spans="1:39">
      <c r="A802" s="105"/>
      <c r="E802" s="108"/>
      <c r="H802" s="105"/>
      <c r="L802" s="105"/>
      <c r="AI802" s="11"/>
      <c r="AL802" s="122">
        <v>45259.5470833333</v>
      </c>
      <c r="AM802" s="107">
        <v>1</v>
      </c>
    </row>
    <row r="803" spans="1:39">
      <c r="A803" s="105"/>
      <c r="E803" s="108"/>
      <c r="H803" s="105"/>
      <c r="L803" s="105"/>
      <c r="AI803" s="11"/>
      <c r="AL803" s="122">
        <v>45259.7271064815</v>
      </c>
      <c r="AM803" s="107">
        <v>1</v>
      </c>
    </row>
    <row r="804" spans="1:39">
      <c r="A804" s="105"/>
      <c r="E804" s="108"/>
      <c r="H804" s="105"/>
      <c r="L804" s="105"/>
      <c r="AI804" s="11"/>
      <c r="AL804" s="122">
        <v>45259.7488194444</v>
      </c>
      <c r="AM804" s="107">
        <v>1</v>
      </c>
    </row>
    <row r="805" spans="1:39">
      <c r="A805" s="105"/>
      <c r="E805" s="108"/>
      <c r="H805" s="105"/>
      <c r="L805" s="105"/>
      <c r="AI805" s="11"/>
      <c r="AL805" s="122">
        <v>45260.5588541667</v>
      </c>
      <c r="AM805" s="107">
        <v>1</v>
      </c>
    </row>
    <row r="806" spans="1:39">
      <c r="A806" s="105"/>
      <c r="E806" s="108"/>
      <c r="H806" s="105"/>
      <c r="L806" s="105"/>
      <c r="AI806" s="11"/>
      <c r="AL806" s="122">
        <v>45260.6406481481</v>
      </c>
      <c r="AM806" s="107">
        <v>1</v>
      </c>
    </row>
    <row r="807" spans="1:39">
      <c r="A807" s="105"/>
      <c r="E807" s="108"/>
      <c r="H807" s="105"/>
      <c r="L807" s="105"/>
      <c r="AI807" s="11"/>
      <c r="AL807" s="122">
        <v>45261.3859722222</v>
      </c>
      <c r="AM807" s="107">
        <v>1</v>
      </c>
    </row>
    <row r="808" spans="1:39">
      <c r="A808" s="105"/>
      <c r="E808" s="108"/>
      <c r="H808" s="105"/>
      <c r="L808" s="105"/>
      <c r="AI808" s="11"/>
      <c r="AL808" s="122">
        <v>45261.7274189815</v>
      </c>
      <c r="AM808" s="107">
        <v>1</v>
      </c>
    </row>
    <row r="809" spans="1:39">
      <c r="A809" s="105"/>
      <c r="E809" s="108"/>
      <c r="H809" s="105"/>
      <c r="L809" s="105"/>
      <c r="AI809" s="11"/>
      <c r="AL809" s="122">
        <v>45262.3388657407</v>
      </c>
      <c r="AM809" s="107">
        <v>1</v>
      </c>
    </row>
    <row r="810" spans="1:39">
      <c r="A810" s="105"/>
      <c r="E810" s="108"/>
      <c r="H810" s="105"/>
      <c r="L810" s="105"/>
      <c r="AI810" s="11"/>
      <c r="AL810" s="122">
        <v>45262.5387847222</v>
      </c>
      <c r="AM810" s="107">
        <v>1</v>
      </c>
    </row>
    <row r="811" spans="1:39">
      <c r="A811" s="105"/>
      <c r="E811" s="108"/>
      <c r="H811" s="105"/>
      <c r="L811" s="105"/>
      <c r="AI811" s="11"/>
      <c r="AL811" s="122">
        <v>45263.3739583333</v>
      </c>
      <c r="AM811" s="107">
        <v>1</v>
      </c>
    </row>
    <row r="812" spans="1:39">
      <c r="A812" s="105"/>
      <c r="E812" s="108"/>
      <c r="H812" s="105"/>
      <c r="L812" s="105"/>
      <c r="AI812" s="11"/>
      <c r="AL812" s="122">
        <v>45263.7178240741</v>
      </c>
      <c r="AM812" s="107">
        <v>1</v>
      </c>
    </row>
    <row r="813" spans="1:39">
      <c r="A813" s="105"/>
      <c r="E813" s="108"/>
      <c r="H813" s="105"/>
      <c r="L813" s="105"/>
      <c r="AI813" s="11"/>
      <c r="AL813" s="122">
        <v>45264.3636921296</v>
      </c>
      <c r="AM813" s="107">
        <v>1</v>
      </c>
    </row>
    <row r="814" spans="1:39">
      <c r="A814" s="105"/>
      <c r="E814" s="108"/>
      <c r="H814" s="105"/>
      <c r="L814" s="105"/>
      <c r="AI814" s="11"/>
      <c r="AL814" s="122">
        <v>45264.3915393519</v>
      </c>
      <c r="AM814" s="107">
        <v>1</v>
      </c>
    </row>
    <row r="815" spans="1:39">
      <c r="A815" s="105"/>
      <c r="E815" s="108"/>
      <c r="H815" s="105"/>
      <c r="L815" s="105"/>
      <c r="AI815" s="11"/>
      <c r="AL815" s="122">
        <v>45264.4413310185</v>
      </c>
      <c r="AM815" s="107">
        <v>1</v>
      </c>
    </row>
    <row r="816" spans="1:39">
      <c r="A816" s="105"/>
      <c r="E816" s="108"/>
      <c r="H816" s="105"/>
      <c r="L816" s="105"/>
      <c r="AI816" s="11"/>
      <c r="AL816" s="122">
        <v>45264.4440856481</v>
      </c>
      <c r="AM816" s="107">
        <v>1</v>
      </c>
    </row>
    <row r="817" spans="1:39">
      <c r="A817" s="105"/>
      <c r="E817" s="108"/>
      <c r="H817" s="105"/>
      <c r="L817" s="105"/>
      <c r="AI817" s="11"/>
      <c r="AL817" s="122">
        <v>45264.4822916667</v>
      </c>
      <c r="AM817" s="107">
        <v>1</v>
      </c>
    </row>
    <row r="818" spans="1:39">
      <c r="A818" s="105"/>
      <c r="E818" s="108"/>
      <c r="H818" s="105"/>
      <c r="L818" s="105"/>
      <c r="AI818" s="11"/>
      <c r="AL818" s="122">
        <v>45264.5360763889</v>
      </c>
      <c r="AM818" s="107">
        <v>1</v>
      </c>
    </row>
    <row r="819" spans="1:39">
      <c r="A819" s="105"/>
      <c r="E819" s="108"/>
      <c r="H819" s="105"/>
      <c r="L819" s="105"/>
      <c r="AI819" s="11"/>
      <c r="AL819" s="122">
        <v>45264.6452662037</v>
      </c>
      <c r="AM819" s="107">
        <v>1</v>
      </c>
    </row>
    <row r="820" spans="1:39">
      <c r="A820" s="105"/>
      <c r="E820" s="108"/>
      <c r="H820" s="105"/>
      <c r="L820" s="105"/>
      <c r="AI820" s="11"/>
      <c r="AL820" s="122">
        <v>45265.3518518519</v>
      </c>
      <c r="AM820" s="107">
        <v>1</v>
      </c>
    </row>
    <row r="821" spans="1:39">
      <c r="A821" s="105"/>
      <c r="E821" s="108"/>
      <c r="H821" s="105"/>
      <c r="L821" s="105"/>
      <c r="AI821" s="11"/>
      <c r="AL821" s="122">
        <v>45265.3609722222</v>
      </c>
      <c r="AM821" s="107">
        <v>1</v>
      </c>
    </row>
    <row r="822" spans="1:39">
      <c r="A822" s="105"/>
      <c r="E822" s="108"/>
      <c r="H822" s="105"/>
      <c r="L822" s="105"/>
      <c r="AI822" s="11"/>
      <c r="AL822" s="122">
        <v>45265.3734606481</v>
      </c>
      <c r="AM822" s="107">
        <v>1</v>
      </c>
    </row>
    <row r="823" spans="1:39">
      <c r="A823" s="105"/>
      <c r="E823" s="108"/>
      <c r="H823" s="105"/>
      <c r="L823" s="105"/>
      <c r="AI823" s="11"/>
      <c r="AL823" s="122">
        <v>45265.5655208333</v>
      </c>
      <c r="AM823" s="107">
        <v>1</v>
      </c>
    </row>
    <row r="824" spans="1:39">
      <c r="A824" s="105"/>
      <c r="E824" s="108"/>
      <c r="H824" s="105"/>
      <c r="L824" s="105"/>
      <c r="AI824" s="11"/>
      <c r="AL824" s="122">
        <v>45265.6918055556</v>
      </c>
      <c r="AM824" s="107">
        <v>1</v>
      </c>
    </row>
    <row r="825" spans="1:39">
      <c r="A825" s="105"/>
      <c r="E825" s="108"/>
      <c r="H825" s="105"/>
      <c r="L825" s="105"/>
      <c r="AI825" s="11"/>
      <c r="AL825" s="122">
        <v>45266.3673958333</v>
      </c>
      <c r="AM825" s="107">
        <v>1</v>
      </c>
    </row>
    <row r="826" spans="1:39">
      <c r="A826" s="105"/>
      <c r="E826" s="108"/>
      <c r="H826" s="105"/>
      <c r="L826" s="105"/>
      <c r="AI826" s="11"/>
      <c r="AL826" s="122">
        <v>45266.4630787037</v>
      </c>
      <c r="AM826" s="107">
        <v>1</v>
      </c>
    </row>
    <row r="827" spans="1:39">
      <c r="A827" s="105"/>
      <c r="E827" s="108"/>
      <c r="H827" s="105"/>
      <c r="L827" s="105"/>
      <c r="AI827" s="11"/>
      <c r="AL827" s="122">
        <v>45266.497037037</v>
      </c>
      <c r="AM827" s="107">
        <v>1</v>
      </c>
    </row>
    <row r="828" spans="1:39">
      <c r="A828" s="105"/>
      <c r="E828" s="108"/>
      <c r="H828" s="105"/>
      <c r="L828" s="105"/>
      <c r="AI828" s="11"/>
      <c r="AL828" s="122">
        <v>45266.6175810185</v>
      </c>
      <c r="AM828" s="107">
        <v>1</v>
      </c>
    </row>
    <row r="829" spans="1:39">
      <c r="A829" s="105"/>
      <c r="E829" s="108"/>
      <c r="H829" s="105"/>
      <c r="L829" s="105"/>
      <c r="AI829" s="11"/>
      <c r="AL829" s="122">
        <v>45266.6536111111</v>
      </c>
      <c r="AM829" s="107">
        <v>1</v>
      </c>
    </row>
    <row r="830" spans="1:39">
      <c r="A830" s="105"/>
      <c r="E830" s="108"/>
      <c r="H830" s="105"/>
      <c r="L830" s="105"/>
      <c r="AI830" s="11"/>
      <c r="AL830" s="122">
        <v>45266.8041898148</v>
      </c>
      <c r="AM830" s="107">
        <v>1</v>
      </c>
    </row>
    <row r="831" spans="1:39">
      <c r="A831" s="105"/>
      <c r="E831" s="108"/>
      <c r="H831" s="105"/>
      <c r="L831" s="105"/>
      <c r="AI831" s="11"/>
      <c r="AL831" s="122">
        <v>45267.4621180556</v>
      </c>
      <c r="AM831" s="107">
        <v>1</v>
      </c>
    </row>
    <row r="832" spans="1:39">
      <c r="A832" s="105"/>
      <c r="E832" s="108"/>
      <c r="H832" s="105"/>
      <c r="L832" s="105"/>
      <c r="AI832" s="11"/>
      <c r="AL832" s="122">
        <v>45267.4922453704</v>
      </c>
      <c r="AM832" s="107">
        <v>1</v>
      </c>
    </row>
    <row r="833" spans="1:39">
      <c r="A833" s="105"/>
      <c r="E833" s="108"/>
      <c r="H833" s="105"/>
      <c r="L833" s="105"/>
      <c r="AI833" s="11"/>
      <c r="AL833" s="122">
        <v>45267.6404398148</v>
      </c>
      <c r="AM833" s="107">
        <v>1</v>
      </c>
    </row>
    <row r="834" spans="1:39">
      <c r="A834" s="105"/>
      <c r="E834" s="108"/>
      <c r="H834" s="105"/>
      <c r="L834" s="105"/>
      <c r="AI834" s="11"/>
      <c r="AL834" s="122">
        <v>45267.7219560185</v>
      </c>
      <c r="AM834" s="107">
        <v>1</v>
      </c>
    </row>
    <row r="835" spans="1:39">
      <c r="A835" s="105"/>
      <c r="E835" s="108"/>
      <c r="H835" s="105"/>
      <c r="L835" s="105"/>
      <c r="AI835" s="11"/>
      <c r="AL835" s="122">
        <v>45267.7353125</v>
      </c>
      <c r="AM835" s="107">
        <v>1</v>
      </c>
    </row>
    <row r="836" spans="1:39">
      <c r="A836" s="105"/>
      <c r="E836" s="108"/>
      <c r="H836" s="105"/>
      <c r="L836" s="105"/>
      <c r="AI836" s="11"/>
      <c r="AL836" s="122">
        <v>45267.7676041667</v>
      </c>
      <c r="AM836" s="107">
        <v>1</v>
      </c>
    </row>
    <row r="837" spans="1:39">
      <c r="A837" s="105"/>
      <c r="E837" s="108"/>
      <c r="H837" s="105"/>
      <c r="L837" s="105"/>
      <c r="AI837" s="11"/>
      <c r="AL837" s="122">
        <v>45268.4090740741</v>
      </c>
      <c r="AM837" s="107">
        <v>1</v>
      </c>
    </row>
    <row r="838" spans="1:39">
      <c r="A838" s="105"/>
      <c r="E838" s="108"/>
      <c r="H838" s="105"/>
      <c r="L838" s="105"/>
      <c r="AI838" s="11"/>
      <c r="AL838" s="122">
        <v>45268.5574884259</v>
      </c>
      <c r="AM838" s="107">
        <v>1</v>
      </c>
    </row>
    <row r="839" spans="1:39">
      <c r="A839" s="105"/>
      <c r="E839" s="108"/>
      <c r="H839" s="105"/>
      <c r="L839" s="105"/>
      <c r="AI839" s="11"/>
      <c r="AL839" s="122">
        <v>45268.5728125</v>
      </c>
      <c r="AM839" s="107">
        <v>1</v>
      </c>
    </row>
    <row r="840" spans="1:39">
      <c r="A840" s="105"/>
      <c r="E840" s="108"/>
      <c r="H840" s="105"/>
      <c r="L840" s="105"/>
      <c r="AI840" s="11"/>
      <c r="AL840" s="122">
        <v>45268.5849189815</v>
      </c>
      <c r="AM840" s="107">
        <v>1</v>
      </c>
    </row>
    <row r="841" spans="1:39">
      <c r="A841" s="105"/>
      <c r="E841" s="108"/>
      <c r="H841" s="105"/>
      <c r="L841" s="105"/>
      <c r="AI841" s="11"/>
      <c r="AL841" s="122">
        <v>45268.6879398148</v>
      </c>
      <c r="AM841" s="107">
        <v>1</v>
      </c>
    </row>
    <row r="842" spans="1:39">
      <c r="A842" s="105"/>
      <c r="E842" s="108"/>
      <c r="H842" s="105"/>
      <c r="L842" s="105"/>
      <c r="AI842" s="11"/>
      <c r="AL842" s="122">
        <v>45269.4660300926</v>
      </c>
      <c r="AM842" s="107">
        <v>1</v>
      </c>
    </row>
    <row r="843" spans="1:39">
      <c r="A843" s="105"/>
      <c r="E843" s="108"/>
      <c r="H843" s="105"/>
      <c r="L843" s="105"/>
      <c r="AI843" s="11"/>
      <c r="AL843" s="122">
        <v>45269.7428009259</v>
      </c>
      <c r="AM843" s="107">
        <v>1</v>
      </c>
    </row>
    <row r="844" spans="1:39">
      <c r="A844" s="105"/>
      <c r="E844" s="108"/>
      <c r="H844" s="105"/>
      <c r="L844" s="105"/>
      <c r="AI844" s="11"/>
      <c r="AL844" s="122">
        <v>45270.4488078704</v>
      </c>
      <c r="AM844" s="107">
        <v>1</v>
      </c>
    </row>
    <row r="845" spans="1:39">
      <c r="A845" s="105"/>
      <c r="E845" s="108"/>
      <c r="H845" s="105"/>
      <c r="L845" s="105"/>
      <c r="AI845" s="11"/>
      <c r="AL845" s="122">
        <v>45270.6251041667</v>
      </c>
      <c r="AM845" s="107">
        <v>1</v>
      </c>
    </row>
    <row r="846" spans="1:39">
      <c r="A846" s="105"/>
      <c r="E846" s="108"/>
      <c r="H846" s="105"/>
      <c r="L846" s="105"/>
      <c r="AI846" s="11"/>
      <c r="AL846" s="122">
        <v>45270.6777893519</v>
      </c>
      <c r="AM846" s="107">
        <v>1</v>
      </c>
    </row>
    <row r="847" spans="1:39">
      <c r="A847" s="105"/>
      <c r="E847" s="108"/>
      <c r="H847" s="105"/>
      <c r="L847" s="105"/>
      <c r="AI847" s="11"/>
      <c r="AL847" s="122">
        <v>45271.4714236111</v>
      </c>
      <c r="AM847" s="107">
        <v>1</v>
      </c>
    </row>
    <row r="848" spans="1:39">
      <c r="A848" s="105"/>
      <c r="E848" s="108"/>
      <c r="H848" s="105"/>
      <c r="L848" s="105"/>
      <c r="AI848" s="11"/>
      <c r="AL848" s="122">
        <v>45271.4726273148</v>
      </c>
      <c r="AM848" s="107">
        <v>1</v>
      </c>
    </row>
    <row r="849" spans="1:39">
      <c r="A849" s="105"/>
      <c r="E849" s="108"/>
      <c r="H849" s="105"/>
      <c r="L849" s="105"/>
      <c r="AI849" s="11"/>
      <c r="AL849" s="122">
        <v>45271.5065162037</v>
      </c>
      <c r="AM849" s="107">
        <v>1</v>
      </c>
    </row>
    <row r="850" spans="1:39">
      <c r="A850" s="105"/>
      <c r="E850" s="108"/>
      <c r="H850" s="105"/>
      <c r="L850" s="105"/>
      <c r="AI850" s="11"/>
      <c r="AL850" s="122">
        <v>45271.5648958333</v>
      </c>
      <c r="AM850" s="107">
        <v>1</v>
      </c>
    </row>
    <row r="851" spans="1:39">
      <c r="A851" s="105"/>
      <c r="E851" s="108"/>
      <c r="H851" s="105"/>
      <c r="L851" s="105"/>
      <c r="AI851" s="11"/>
      <c r="AL851" s="122">
        <v>45271.5979861111</v>
      </c>
      <c r="AM851" s="107">
        <v>1</v>
      </c>
    </row>
    <row r="852" spans="1:39">
      <c r="A852" s="105"/>
      <c r="E852" s="108"/>
      <c r="H852" s="105"/>
      <c r="L852" s="105"/>
      <c r="AI852" s="11"/>
      <c r="AL852" s="122">
        <v>45271.6321643519</v>
      </c>
      <c r="AM852" s="107">
        <v>1</v>
      </c>
    </row>
    <row r="853" spans="1:39">
      <c r="A853" s="105"/>
      <c r="E853" s="108"/>
      <c r="H853" s="105"/>
      <c r="L853" s="105"/>
      <c r="AI853" s="11"/>
      <c r="AL853" s="122">
        <v>45271.654849537</v>
      </c>
      <c r="AM853" s="107">
        <v>1</v>
      </c>
    </row>
    <row r="854" spans="1:39">
      <c r="A854" s="105"/>
      <c r="E854" s="108"/>
      <c r="H854" s="105"/>
      <c r="L854" s="105"/>
      <c r="AI854" s="11"/>
      <c r="AL854" s="122">
        <v>45271.6556828704</v>
      </c>
      <c r="AM854" s="107">
        <v>1</v>
      </c>
    </row>
    <row r="855" spans="1:39">
      <c r="A855" s="105"/>
      <c r="E855" s="108"/>
      <c r="H855" s="105"/>
      <c r="L855" s="105"/>
      <c r="AI855" s="11"/>
      <c r="AL855" s="122">
        <v>45271.9045833333</v>
      </c>
      <c r="AM855" s="107">
        <v>1</v>
      </c>
    </row>
    <row r="856" spans="1:39">
      <c r="A856" s="105"/>
      <c r="E856" s="108"/>
      <c r="H856" s="105"/>
      <c r="L856" s="105"/>
      <c r="AI856" s="11"/>
      <c r="AL856" s="122">
        <v>45272.5258564815</v>
      </c>
      <c r="AM856" s="107">
        <v>1</v>
      </c>
    </row>
    <row r="857" spans="1:39">
      <c r="A857" s="105"/>
      <c r="E857" s="108"/>
      <c r="H857" s="105"/>
      <c r="L857" s="105"/>
      <c r="AI857" s="11"/>
      <c r="AL857" s="122">
        <v>45272.5720486111</v>
      </c>
      <c r="AM857" s="107">
        <v>1</v>
      </c>
    </row>
    <row r="858" spans="1:39">
      <c r="A858" s="105"/>
      <c r="E858" s="108"/>
      <c r="H858" s="105"/>
      <c r="L858" s="105"/>
      <c r="AI858" s="11"/>
      <c r="AL858" s="122">
        <v>45272.7474074074</v>
      </c>
      <c r="AM858" s="107">
        <v>1</v>
      </c>
    </row>
    <row r="859" spans="1:39">
      <c r="A859" s="105"/>
      <c r="E859" s="108"/>
      <c r="H859" s="105"/>
      <c r="L859" s="105"/>
      <c r="AI859" s="11"/>
      <c r="AL859" s="122">
        <v>45273.3637384259</v>
      </c>
      <c r="AM859" s="107">
        <v>1</v>
      </c>
    </row>
    <row r="860" spans="1:39">
      <c r="A860" s="105"/>
      <c r="E860" s="108"/>
      <c r="H860" s="105"/>
      <c r="L860" s="105"/>
      <c r="AI860" s="11"/>
      <c r="AL860" s="122">
        <v>45273.4357638889</v>
      </c>
      <c r="AM860" s="107">
        <v>1</v>
      </c>
    </row>
    <row r="861" spans="1:39">
      <c r="A861" s="105"/>
      <c r="E861" s="108"/>
      <c r="H861" s="105"/>
      <c r="L861" s="105"/>
      <c r="AI861" s="11"/>
      <c r="AL861" s="122">
        <v>45273.4725231481</v>
      </c>
      <c r="AM861" s="107">
        <v>1</v>
      </c>
    </row>
    <row r="862" spans="1:39">
      <c r="A862" s="105"/>
      <c r="E862" s="108"/>
      <c r="H862" s="105"/>
      <c r="L862" s="105"/>
      <c r="AI862" s="11"/>
      <c r="AL862" s="122">
        <v>45273.4792592593</v>
      </c>
      <c r="AM862" s="107">
        <v>1</v>
      </c>
    </row>
    <row r="863" spans="1:39">
      <c r="A863" s="105"/>
      <c r="E863" s="108"/>
      <c r="H863" s="105"/>
      <c r="L863" s="105"/>
      <c r="AI863" s="11"/>
      <c r="AL863" s="122">
        <v>45273.6317939815</v>
      </c>
      <c r="AM863" s="107">
        <v>1</v>
      </c>
    </row>
    <row r="864" spans="1:39">
      <c r="A864" s="105"/>
      <c r="E864" s="108"/>
      <c r="H864" s="105"/>
      <c r="L864" s="105"/>
      <c r="AI864" s="11"/>
      <c r="AL864" s="122">
        <v>45273.6463888889</v>
      </c>
      <c r="AM864" s="107">
        <v>1</v>
      </c>
    </row>
    <row r="865" spans="1:39">
      <c r="A865" s="105"/>
      <c r="E865" s="108"/>
      <c r="H865" s="105"/>
      <c r="L865" s="105"/>
      <c r="AI865" s="11"/>
      <c r="AL865" s="122">
        <v>45274.3872453704</v>
      </c>
      <c r="AM865" s="107">
        <v>1</v>
      </c>
    </row>
    <row r="866" spans="1:39">
      <c r="A866" s="105"/>
      <c r="E866" s="108"/>
      <c r="H866" s="105"/>
      <c r="L866" s="105"/>
      <c r="AI866" s="11"/>
      <c r="AL866" s="122">
        <v>45274.486412037</v>
      </c>
      <c r="AM866" s="107">
        <v>1</v>
      </c>
    </row>
    <row r="867" spans="1:39">
      <c r="A867" s="105"/>
      <c r="E867" s="108"/>
      <c r="H867" s="105"/>
      <c r="L867" s="105"/>
      <c r="AI867" s="11"/>
      <c r="AL867" s="122">
        <v>45274.5570486111</v>
      </c>
      <c r="AM867" s="107">
        <v>1</v>
      </c>
    </row>
    <row r="868" spans="1:39">
      <c r="A868" s="105"/>
      <c r="E868" s="108"/>
      <c r="H868" s="105"/>
      <c r="L868" s="105"/>
      <c r="AI868" s="11"/>
      <c r="AL868" s="122">
        <v>45274.5879282407</v>
      </c>
      <c r="AM868" s="107">
        <v>1</v>
      </c>
    </row>
    <row r="869" spans="1:39">
      <c r="A869" s="105"/>
      <c r="E869" s="108"/>
      <c r="H869" s="105"/>
      <c r="L869" s="105"/>
      <c r="AI869" s="11"/>
      <c r="AL869" s="122">
        <v>45274.6738773148</v>
      </c>
      <c r="AM869" s="107">
        <v>1</v>
      </c>
    </row>
    <row r="870" spans="1:39">
      <c r="A870" s="105"/>
      <c r="E870" s="108"/>
      <c r="H870" s="105"/>
      <c r="L870" s="105"/>
      <c r="AI870" s="11"/>
      <c r="AL870" s="122">
        <v>45274.6799768519</v>
      </c>
      <c r="AM870" s="107">
        <v>1</v>
      </c>
    </row>
    <row r="871" spans="1:39">
      <c r="A871" s="105"/>
      <c r="E871" s="108"/>
      <c r="H871" s="105"/>
      <c r="L871" s="105"/>
      <c r="AI871" s="11"/>
      <c r="AL871" s="122">
        <v>45274.7417013889</v>
      </c>
      <c r="AM871" s="107">
        <v>1</v>
      </c>
    </row>
    <row r="872" spans="1:39">
      <c r="A872" s="105"/>
      <c r="E872" s="108"/>
      <c r="H872" s="105"/>
      <c r="L872" s="105"/>
      <c r="AI872" s="11"/>
      <c r="AL872" s="122">
        <v>45275.3913541667</v>
      </c>
      <c r="AM872" s="107">
        <v>1</v>
      </c>
    </row>
    <row r="873" spans="1:39">
      <c r="A873" s="105"/>
      <c r="E873" s="108"/>
      <c r="H873" s="105"/>
      <c r="L873" s="105"/>
      <c r="AI873" s="11"/>
      <c r="AL873" s="122">
        <v>45275.429375</v>
      </c>
      <c r="AM873" s="107">
        <v>1</v>
      </c>
    </row>
    <row r="874" spans="1:39">
      <c r="A874" s="105"/>
      <c r="E874" s="108"/>
      <c r="H874" s="105"/>
      <c r="L874" s="105"/>
      <c r="AI874" s="11"/>
      <c r="AL874" s="122">
        <v>45275.6900694444</v>
      </c>
      <c r="AM874" s="107">
        <v>1</v>
      </c>
    </row>
    <row r="875" spans="1:39">
      <c r="A875" s="105"/>
      <c r="E875" s="108"/>
      <c r="H875" s="105"/>
      <c r="L875" s="105"/>
      <c r="AI875" s="11"/>
      <c r="AL875" s="122">
        <v>45275.8125</v>
      </c>
      <c r="AM875" s="107">
        <v>1</v>
      </c>
    </row>
    <row r="876" spans="1:39">
      <c r="A876" s="105"/>
      <c r="E876" s="108"/>
      <c r="H876" s="105"/>
      <c r="L876" s="105"/>
      <c r="AI876" s="11"/>
      <c r="AL876" s="122">
        <v>45276.4383217593</v>
      </c>
      <c r="AM876" s="107">
        <v>1</v>
      </c>
    </row>
    <row r="877" spans="1:39">
      <c r="A877" s="105"/>
      <c r="E877" s="108"/>
      <c r="H877" s="105"/>
      <c r="L877" s="105"/>
      <c r="AI877" s="11"/>
      <c r="AL877" s="122">
        <v>45276.4677662037</v>
      </c>
      <c r="AM877" s="107">
        <v>1</v>
      </c>
    </row>
    <row r="878" spans="1:39">
      <c r="A878" s="105"/>
      <c r="E878" s="108"/>
      <c r="H878" s="105"/>
      <c r="L878" s="105"/>
      <c r="AI878" s="11"/>
      <c r="AL878" s="122">
        <v>45276.4744097222</v>
      </c>
      <c r="AM878" s="107">
        <v>1</v>
      </c>
    </row>
    <row r="879" spans="1:39">
      <c r="A879" s="105"/>
      <c r="E879" s="108"/>
      <c r="H879" s="105"/>
      <c r="L879" s="105"/>
      <c r="AI879" s="11"/>
      <c r="AL879" s="122">
        <v>45276.4832291667</v>
      </c>
      <c r="AM879" s="107">
        <v>1</v>
      </c>
    </row>
    <row r="880" spans="1:39">
      <c r="A880" s="105"/>
      <c r="E880" s="108"/>
      <c r="H880" s="105"/>
      <c r="L880" s="105"/>
      <c r="AI880" s="11"/>
      <c r="AL880" s="122">
        <v>45276.5270601852</v>
      </c>
      <c r="AM880" s="107">
        <v>1</v>
      </c>
    </row>
    <row r="881" spans="1:39">
      <c r="A881" s="105"/>
      <c r="E881" s="108"/>
      <c r="H881" s="105"/>
      <c r="L881" s="105"/>
      <c r="AI881" s="11"/>
      <c r="AL881" s="122">
        <v>45277.3631134259</v>
      </c>
      <c r="AM881" s="107">
        <v>1</v>
      </c>
    </row>
    <row r="882" spans="1:39">
      <c r="A882" s="105"/>
      <c r="E882" s="108"/>
      <c r="H882" s="105"/>
      <c r="L882" s="105"/>
      <c r="AI882" s="11"/>
      <c r="AL882" s="122">
        <v>45277.4909143519</v>
      </c>
      <c r="AM882" s="107">
        <v>1</v>
      </c>
    </row>
    <row r="883" spans="1:39">
      <c r="A883" s="105"/>
      <c r="E883" s="108"/>
      <c r="H883" s="105"/>
      <c r="L883" s="105"/>
      <c r="AI883" s="11"/>
      <c r="AL883" s="122">
        <v>45277.5218518519</v>
      </c>
      <c r="AM883" s="107">
        <v>1</v>
      </c>
    </row>
    <row r="884" spans="1:39">
      <c r="A884" s="105"/>
      <c r="E884" s="108"/>
      <c r="H884" s="105"/>
      <c r="L884" s="105"/>
      <c r="AI884" s="11"/>
      <c r="AL884" s="122">
        <v>45277.661724537</v>
      </c>
      <c r="AM884" s="107">
        <v>1</v>
      </c>
    </row>
    <row r="885" spans="1:39">
      <c r="A885" s="105"/>
      <c r="E885" s="108"/>
      <c r="H885" s="105"/>
      <c r="L885" s="105"/>
      <c r="AI885" s="11"/>
      <c r="AL885" s="122">
        <v>45278.3877083333</v>
      </c>
      <c r="AM885" s="107">
        <v>1</v>
      </c>
    </row>
    <row r="886" spans="1:39">
      <c r="A886" s="105"/>
      <c r="E886" s="108"/>
      <c r="H886" s="105"/>
      <c r="L886" s="105"/>
      <c r="AI886" s="11"/>
      <c r="AL886" s="122">
        <v>45278.4994328704</v>
      </c>
      <c r="AM886" s="107">
        <v>1</v>
      </c>
    </row>
    <row r="887" spans="1:39">
      <c r="A887" s="105"/>
      <c r="E887" s="108"/>
      <c r="H887" s="105"/>
      <c r="L887" s="105"/>
      <c r="AI887" s="11"/>
      <c r="AL887" s="122">
        <v>45278.5300347222</v>
      </c>
      <c r="AM887" s="107">
        <v>1</v>
      </c>
    </row>
    <row r="888" spans="1:39">
      <c r="A888" s="105"/>
      <c r="E888" s="108"/>
      <c r="H888" s="105"/>
      <c r="L888" s="105"/>
      <c r="AI888" s="11"/>
      <c r="AL888" s="122">
        <v>45278.6206365741</v>
      </c>
      <c r="AM888" s="107">
        <v>1</v>
      </c>
    </row>
    <row r="889" spans="1:39">
      <c r="A889" s="105"/>
      <c r="E889" s="108"/>
      <c r="H889" s="105"/>
      <c r="L889" s="105"/>
      <c r="AI889" s="11"/>
      <c r="AL889" s="122">
        <v>45278.6218055556</v>
      </c>
      <c r="AM889" s="107">
        <v>1</v>
      </c>
    </row>
    <row r="890" spans="1:39">
      <c r="A890" s="105"/>
      <c r="E890" s="108"/>
      <c r="H890" s="105"/>
      <c r="L890" s="105"/>
      <c r="AI890" s="11"/>
      <c r="AL890" s="122">
        <v>45278.6550462963</v>
      </c>
      <c r="AM890" s="107">
        <v>1</v>
      </c>
    </row>
    <row r="891" spans="1:39">
      <c r="A891" s="105"/>
      <c r="E891" s="108"/>
      <c r="H891" s="105"/>
      <c r="L891" s="105"/>
      <c r="AI891" s="11"/>
      <c r="AL891" s="122">
        <v>45278.7216898148</v>
      </c>
      <c r="AM891" s="107">
        <v>1</v>
      </c>
    </row>
    <row r="892" spans="1:39">
      <c r="A892" s="105"/>
      <c r="E892" s="108"/>
      <c r="H892" s="105"/>
      <c r="L892" s="105"/>
      <c r="AI892" s="11"/>
      <c r="AL892" s="122">
        <v>45278.7489814815</v>
      </c>
      <c r="AM892" s="107">
        <v>1</v>
      </c>
    </row>
    <row r="893" spans="1:39">
      <c r="A893" s="105"/>
      <c r="E893" s="108"/>
      <c r="H893" s="105"/>
      <c r="L893" s="105"/>
      <c r="AI893" s="11"/>
      <c r="AL893" s="122">
        <v>45278.7755324074</v>
      </c>
      <c r="AM893" s="107">
        <v>1</v>
      </c>
    </row>
    <row r="894" spans="1:39">
      <c r="A894" s="105"/>
      <c r="E894" s="108"/>
      <c r="H894" s="105"/>
      <c r="L894" s="105"/>
      <c r="AI894" s="11"/>
      <c r="AL894" s="122">
        <v>45279.4803125</v>
      </c>
      <c r="AM894" s="107">
        <v>1</v>
      </c>
    </row>
    <row r="895" spans="1:39">
      <c r="A895" s="105"/>
      <c r="E895" s="108"/>
      <c r="H895" s="105"/>
      <c r="L895" s="105"/>
      <c r="AI895" s="11"/>
      <c r="AL895" s="122">
        <v>45279.4857638889</v>
      </c>
      <c r="AM895" s="107">
        <v>1</v>
      </c>
    </row>
    <row r="896" spans="1:39">
      <c r="A896" s="105"/>
      <c r="E896" s="108"/>
      <c r="H896" s="105"/>
      <c r="L896" s="105"/>
      <c r="AI896" s="11"/>
      <c r="AL896" s="122">
        <v>45279.5674537037</v>
      </c>
      <c r="AM896" s="107">
        <v>1</v>
      </c>
    </row>
    <row r="897" spans="1:39">
      <c r="A897" s="105"/>
      <c r="E897" s="108"/>
      <c r="H897" s="105"/>
      <c r="L897" s="105"/>
      <c r="AI897" s="11"/>
      <c r="AL897" s="122">
        <v>45279.6279166667</v>
      </c>
      <c r="AM897" s="107">
        <v>1</v>
      </c>
    </row>
    <row r="898" spans="1:39">
      <c r="A898" s="105"/>
      <c r="E898" s="108"/>
      <c r="H898" s="105"/>
      <c r="L898" s="105"/>
      <c r="AI898" s="11"/>
      <c r="AL898" s="122">
        <v>45279.6489351852</v>
      </c>
      <c r="AM898" s="107">
        <v>1</v>
      </c>
    </row>
    <row r="899" spans="1:39">
      <c r="A899" s="105"/>
      <c r="E899" s="108"/>
      <c r="H899" s="105"/>
      <c r="L899" s="105"/>
      <c r="AI899" s="11"/>
      <c r="AL899" s="122">
        <v>45279.7253125</v>
      </c>
      <c r="AM899" s="107">
        <v>1</v>
      </c>
    </row>
    <row r="900" spans="1:39">
      <c r="A900" s="105"/>
      <c r="E900" s="108"/>
      <c r="H900" s="105"/>
      <c r="L900" s="105"/>
      <c r="AI900" s="11"/>
      <c r="AL900" s="122">
        <v>45279.7742592593</v>
      </c>
      <c r="AM900" s="107">
        <v>1</v>
      </c>
    </row>
    <row r="901" spans="1:39">
      <c r="A901" s="105"/>
      <c r="E901" s="108"/>
      <c r="H901" s="105"/>
      <c r="L901" s="105"/>
      <c r="AI901" s="11"/>
      <c r="AL901" s="122">
        <v>45279.8043055556</v>
      </c>
      <c r="AM901" s="107">
        <v>1</v>
      </c>
    </row>
    <row r="902" spans="1:39">
      <c r="A902" s="105"/>
      <c r="E902" s="108"/>
      <c r="H902" s="105"/>
      <c r="L902" s="105"/>
      <c r="AI902" s="11"/>
      <c r="AL902" s="122">
        <v>45280.3791203704</v>
      </c>
      <c r="AM902" s="107">
        <v>1</v>
      </c>
    </row>
    <row r="903" spans="1:39">
      <c r="A903" s="105"/>
      <c r="E903" s="108"/>
      <c r="H903" s="105"/>
      <c r="L903" s="105"/>
      <c r="AI903" s="11"/>
      <c r="AL903" s="122">
        <v>45280.3929282407</v>
      </c>
      <c r="AM903" s="107">
        <v>1</v>
      </c>
    </row>
    <row r="904" spans="1:39">
      <c r="A904" s="105"/>
      <c r="E904" s="108"/>
      <c r="H904" s="105"/>
      <c r="L904" s="105"/>
      <c r="AI904" s="11"/>
      <c r="AL904" s="122">
        <v>45280.4433217593</v>
      </c>
      <c r="AM904" s="107">
        <v>1</v>
      </c>
    </row>
    <row r="905" spans="1:39">
      <c r="A905" s="105"/>
      <c r="E905" s="108"/>
      <c r="H905" s="105"/>
      <c r="L905" s="105"/>
      <c r="AI905" s="11"/>
      <c r="AL905" s="122">
        <v>45280.5241666667</v>
      </c>
      <c r="AM905" s="107">
        <v>1</v>
      </c>
    </row>
    <row r="906" spans="1:39">
      <c r="A906" s="105"/>
      <c r="E906" s="108"/>
      <c r="H906" s="105"/>
      <c r="L906" s="105"/>
      <c r="AI906" s="11"/>
      <c r="AL906" s="122">
        <v>45280.5942824074</v>
      </c>
      <c r="AM906" s="107">
        <v>1</v>
      </c>
    </row>
    <row r="907" spans="1:39">
      <c r="A907" s="105"/>
      <c r="E907" s="108"/>
      <c r="H907" s="105"/>
      <c r="L907" s="105"/>
      <c r="AI907" s="11"/>
      <c r="AL907" s="122">
        <v>45280.6135300926</v>
      </c>
      <c r="AM907" s="107">
        <v>1</v>
      </c>
    </row>
    <row r="908" spans="1:39">
      <c r="A908" s="105"/>
      <c r="E908" s="108"/>
      <c r="H908" s="105"/>
      <c r="L908" s="105"/>
      <c r="AI908" s="11"/>
      <c r="AL908" s="122">
        <v>45280.8428125</v>
      </c>
      <c r="AM908" s="107">
        <v>1</v>
      </c>
    </row>
    <row r="909" spans="1:39">
      <c r="A909" s="105"/>
      <c r="E909" s="108"/>
      <c r="H909" s="105"/>
      <c r="L909" s="105"/>
      <c r="AI909" s="11"/>
      <c r="AL909" s="122">
        <v>45281.3937962963</v>
      </c>
      <c r="AM909" s="107">
        <v>1</v>
      </c>
    </row>
    <row r="910" spans="1:39">
      <c r="A910" s="105"/>
      <c r="E910" s="108"/>
      <c r="H910" s="105"/>
      <c r="L910" s="105"/>
      <c r="AI910" s="11"/>
      <c r="AL910" s="122">
        <v>45281.4203587963</v>
      </c>
      <c r="AM910" s="107">
        <v>1</v>
      </c>
    </row>
    <row r="911" spans="1:39">
      <c r="A911" s="105"/>
      <c r="E911" s="108"/>
      <c r="H911" s="105"/>
      <c r="L911" s="105"/>
      <c r="AI911" s="11"/>
      <c r="AL911" s="122">
        <v>45281.4946527778</v>
      </c>
      <c r="AM911" s="107">
        <v>1</v>
      </c>
    </row>
    <row r="912" spans="1:39">
      <c r="A912" s="105"/>
      <c r="E912" s="108"/>
      <c r="H912" s="105"/>
      <c r="L912" s="105"/>
      <c r="AI912" s="11"/>
      <c r="AL912" s="122">
        <v>45281.606724537</v>
      </c>
      <c r="AM912" s="107">
        <v>1</v>
      </c>
    </row>
    <row r="913" spans="1:39">
      <c r="A913" s="105"/>
      <c r="E913" s="108"/>
      <c r="H913" s="105"/>
      <c r="L913" s="105"/>
      <c r="AI913" s="11"/>
      <c r="AL913" s="122">
        <v>45281.6928587963</v>
      </c>
      <c r="AM913" s="107">
        <v>1</v>
      </c>
    </row>
    <row r="914" spans="1:39">
      <c r="A914" s="105"/>
      <c r="E914" s="108"/>
      <c r="H914" s="105"/>
      <c r="L914" s="105"/>
      <c r="AI914" s="11"/>
      <c r="AL914" s="122">
        <v>45281.7401967593</v>
      </c>
      <c r="AM914" s="107">
        <v>1</v>
      </c>
    </row>
    <row r="915" spans="1:39">
      <c r="A915" s="105"/>
      <c r="E915" s="108"/>
      <c r="H915" s="105"/>
      <c r="L915" s="105"/>
      <c r="AI915" s="11"/>
      <c r="AL915" s="122">
        <v>45282.4371412037</v>
      </c>
      <c r="AM915" s="107">
        <v>1</v>
      </c>
    </row>
    <row r="916" spans="1:39">
      <c r="A916" s="105"/>
      <c r="E916" s="108"/>
      <c r="H916" s="105"/>
      <c r="L916" s="105"/>
      <c r="AI916" s="11"/>
      <c r="AL916" s="122">
        <v>45282.4553819444</v>
      </c>
      <c r="AM916" s="107">
        <v>1</v>
      </c>
    </row>
    <row r="917" spans="1:39">
      <c r="A917" s="105"/>
      <c r="E917" s="108"/>
      <c r="H917" s="105"/>
      <c r="L917" s="105"/>
      <c r="AI917" s="11"/>
      <c r="AL917" s="122">
        <v>45282.4566782407</v>
      </c>
      <c r="AM917" s="107">
        <v>1</v>
      </c>
    </row>
    <row r="918" spans="1:39">
      <c r="A918" s="105"/>
      <c r="E918" s="108"/>
      <c r="H918" s="105"/>
      <c r="L918" s="105"/>
      <c r="AI918" s="11"/>
      <c r="AL918" s="122">
        <v>45282.6272222222</v>
      </c>
      <c r="AM918" s="107">
        <v>1</v>
      </c>
    </row>
    <row r="919" spans="1:39">
      <c r="A919" s="105"/>
      <c r="E919" s="108"/>
      <c r="H919" s="105"/>
      <c r="L919" s="105"/>
      <c r="AI919" s="11"/>
      <c r="AL919" s="122">
        <v>45282.6541666667</v>
      </c>
      <c r="AM919" s="107">
        <v>1</v>
      </c>
    </row>
    <row r="920" spans="1:39">
      <c r="A920" s="105"/>
      <c r="E920" s="108"/>
      <c r="H920" s="105"/>
      <c r="L920" s="105"/>
      <c r="AI920" s="11"/>
      <c r="AL920" s="122">
        <v>45282.6888888889</v>
      </c>
      <c r="AM920" s="107">
        <v>1</v>
      </c>
    </row>
    <row r="921" spans="1:39">
      <c r="A921" s="105"/>
      <c r="E921" s="108"/>
      <c r="H921" s="105"/>
      <c r="L921" s="105"/>
      <c r="AI921" s="11"/>
      <c r="AL921" s="122">
        <v>45283.4396296296</v>
      </c>
      <c r="AM921" s="107">
        <v>1</v>
      </c>
    </row>
    <row r="922" spans="1:39">
      <c r="A922" s="105"/>
      <c r="E922" s="108"/>
      <c r="H922" s="105"/>
      <c r="L922" s="105"/>
      <c r="AI922" s="11"/>
      <c r="AL922" s="122">
        <v>45283.6097337963</v>
      </c>
      <c r="AM922" s="107">
        <v>1</v>
      </c>
    </row>
    <row r="923" spans="1:39">
      <c r="A923" s="105"/>
      <c r="E923" s="108"/>
      <c r="H923" s="105"/>
      <c r="L923" s="105"/>
      <c r="AI923" s="11"/>
      <c r="AL923" s="122">
        <v>45285.6671412037</v>
      </c>
      <c r="AM923" s="107">
        <v>1</v>
      </c>
    </row>
    <row r="924" spans="1:39">
      <c r="A924" s="105"/>
      <c r="E924" s="108"/>
      <c r="H924" s="105"/>
      <c r="L924" s="105"/>
      <c r="AI924" s="11"/>
      <c r="AL924" s="122">
        <v>45285.7698842593</v>
      </c>
      <c r="AM924" s="107">
        <v>1</v>
      </c>
    </row>
    <row r="925" spans="1:39">
      <c r="A925" s="105"/>
      <c r="E925" s="108"/>
      <c r="H925" s="105"/>
      <c r="L925" s="105"/>
      <c r="AI925" s="11"/>
      <c r="AL925" s="122">
        <v>45286.3910532407</v>
      </c>
      <c r="AM925" s="107">
        <v>1</v>
      </c>
    </row>
    <row r="926" spans="1:39">
      <c r="A926" s="105"/>
      <c r="E926" s="108"/>
      <c r="H926" s="105"/>
      <c r="L926" s="105"/>
      <c r="AI926" s="11"/>
      <c r="AL926" s="122">
        <v>45286.3951736111</v>
      </c>
      <c r="AM926" s="107">
        <v>1</v>
      </c>
    </row>
    <row r="927" spans="1:39">
      <c r="A927" s="105"/>
      <c r="E927" s="108"/>
      <c r="H927" s="105"/>
      <c r="L927" s="105"/>
      <c r="AI927" s="11"/>
      <c r="AL927" s="122">
        <v>45286.7116203704</v>
      </c>
      <c r="AM927" s="107">
        <v>1</v>
      </c>
    </row>
    <row r="928" spans="1:39">
      <c r="A928" s="105"/>
      <c r="E928" s="108"/>
      <c r="H928" s="105"/>
      <c r="L928" s="105"/>
      <c r="AI928" s="11"/>
      <c r="AL928" s="122">
        <v>45287.4133912037</v>
      </c>
      <c r="AM928" s="107">
        <v>1</v>
      </c>
    </row>
    <row r="929" spans="1:39">
      <c r="A929" s="105"/>
      <c r="E929" s="108"/>
      <c r="H929" s="105"/>
      <c r="L929" s="105"/>
      <c r="AI929" s="11"/>
      <c r="AL929" s="122">
        <v>45287.4325462963</v>
      </c>
      <c r="AM929" s="107">
        <v>1</v>
      </c>
    </row>
    <row r="930" spans="1:39">
      <c r="A930" s="105"/>
      <c r="E930" s="108"/>
      <c r="H930" s="105"/>
      <c r="L930" s="105"/>
      <c r="AI930" s="11"/>
      <c r="AL930" s="122">
        <v>45287.6761921296</v>
      </c>
      <c r="AM930" s="107">
        <v>1</v>
      </c>
    </row>
    <row r="931" spans="1:39">
      <c r="A931" s="105"/>
      <c r="E931" s="108"/>
      <c r="H931" s="105"/>
      <c r="L931" s="105"/>
      <c r="AI931" s="11"/>
      <c r="AL931" s="122">
        <v>45287.7060532407</v>
      </c>
      <c r="AM931" s="107">
        <v>1</v>
      </c>
    </row>
    <row r="932" spans="1:39">
      <c r="A932" s="105"/>
      <c r="E932" s="108"/>
      <c r="H932" s="105"/>
      <c r="L932" s="105"/>
      <c r="AI932" s="11"/>
      <c r="AL932" s="122">
        <v>45288.533587963</v>
      </c>
      <c r="AM932" s="107">
        <v>1</v>
      </c>
    </row>
    <row r="933" spans="1:39">
      <c r="A933" s="105"/>
      <c r="E933" s="108"/>
      <c r="H933" s="105"/>
      <c r="L933" s="105"/>
      <c r="AI933" s="11"/>
      <c r="AL933" s="122">
        <v>45288.5502083333</v>
      </c>
      <c r="AM933" s="107">
        <v>1</v>
      </c>
    </row>
    <row r="934" spans="1:39">
      <c r="A934" s="105"/>
      <c r="E934" s="108"/>
      <c r="H934" s="105"/>
      <c r="L934" s="105"/>
      <c r="AI934" s="11"/>
      <c r="AL934" s="122">
        <v>45288.6993865741</v>
      </c>
      <c r="AM934" s="107">
        <v>1</v>
      </c>
    </row>
    <row r="935" spans="1:39">
      <c r="A935" s="105"/>
      <c r="E935" s="108"/>
      <c r="H935" s="105"/>
      <c r="L935" s="105"/>
      <c r="AI935" s="11"/>
      <c r="AL935" s="122">
        <v>45288.7460069444</v>
      </c>
      <c r="AM935" s="107">
        <v>1</v>
      </c>
    </row>
    <row r="936" spans="1:39">
      <c r="A936" s="105"/>
      <c r="E936" s="108"/>
      <c r="H936" s="105"/>
      <c r="L936" s="105"/>
      <c r="AI936" s="11"/>
      <c r="AL936" s="122">
        <v>45288.7587037037</v>
      </c>
      <c r="AM936" s="107">
        <v>1</v>
      </c>
    </row>
    <row r="937" spans="1:39">
      <c r="A937" s="105"/>
      <c r="E937" s="108"/>
      <c r="H937" s="105"/>
      <c r="L937" s="105"/>
      <c r="AI937" s="11"/>
      <c r="AL937" s="122">
        <v>45289.4574074074</v>
      </c>
      <c r="AM937" s="107">
        <v>1</v>
      </c>
    </row>
    <row r="938" spans="1:39">
      <c r="A938" s="105"/>
      <c r="E938" s="108"/>
      <c r="H938" s="105"/>
      <c r="L938" s="105"/>
      <c r="AI938" s="11"/>
      <c r="AL938" s="122">
        <v>45289.4924768519</v>
      </c>
      <c r="AM938" s="107">
        <v>1</v>
      </c>
    </row>
    <row r="939" spans="1:39">
      <c r="A939" s="105"/>
      <c r="E939" s="108"/>
      <c r="H939" s="105"/>
      <c r="L939" s="105"/>
      <c r="AI939" s="11"/>
      <c r="AL939" s="122">
        <v>45289.8062037037</v>
      </c>
      <c r="AM939" s="107">
        <v>1</v>
      </c>
    </row>
    <row r="940" spans="1:39">
      <c r="A940" s="105"/>
      <c r="E940" s="108"/>
      <c r="H940" s="105"/>
      <c r="L940" s="105"/>
      <c r="AI940" s="11"/>
      <c r="AL940" s="122">
        <v>45290.340787037</v>
      </c>
      <c r="AM940" s="107">
        <v>1</v>
      </c>
    </row>
    <row r="941" spans="1:39">
      <c r="A941" s="105"/>
      <c r="E941" s="108"/>
      <c r="H941" s="105"/>
      <c r="L941" s="105"/>
      <c r="AI941" s="11"/>
      <c r="AL941" s="122">
        <v>45290.3676157407</v>
      </c>
      <c r="AM941" s="107">
        <v>1</v>
      </c>
    </row>
    <row r="942" spans="1:39">
      <c r="A942" s="105"/>
      <c r="E942" s="108"/>
      <c r="H942" s="105"/>
      <c r="L942" s="105"/>
      <c r="AI942" s="11"/>
      <c r="AL942" s="122">
        <v>45290.7295833333</v>
      </c>
      <c r="AM942" s="107">
        <v>1</v>
      </c>
    </row>
    <row r="943" spans="1:39">
      <c r="A943" s="105"/>
      <c r="E943" s="108"/>
      <c r="H943" s="105"/>
      <c r="L943" s="105"/>
      <c r="AI943" s="11"/>
      <c r="AL943" s="122">
        <v>45290.8199884259</v>
      </c>
      <c r="AM943" s="107">
        <v>1</v>
      </c>
    </row>
    <row r="944" spans="1:39">
      <c r="A944" s="105"/>
      <c r="E944" s="108"/>
      <c r="H944" s="105"/>
      <c r="L944" s="105"/>
      <c r="AI944" s="11"/>
      <c r="AL944" s="122">
        <v>45292.4475578704</v>
      </c>
      <c r="AM944" s="107">
        <v>1</v>
      </c>
    </row>
    <row r="945" spans="1:39">
      <c r="A945" s="105"/>
      <c r="E945" s="108"/>
      <c r="H945" s="105"/>
      <c r="L945" s="105"/>
      <c r="AI945" s="11"/>
      <c r="AL945" s="122">
        <v>45292.4905439815</v>
      </c>
      <c r="AM945" s="107">
        <v>1</v>
      </c>
    </row>
    <row r="946" spans="1:39">
      <c r="A946" s="105"/>
      <c r="E946" s="108"/>
      <c r="H946" s="105"/>
      <c r="L946" s="105"/>
      <c r="AI946" s="11"/>
      <c r="AL946" s="122">
        <v>45293.3680092593</v>
      </c>
      <c r="AM946" s="107">
        <v>1</v>
      </c>
    </row>
    <row r="947" spans="1:39">
      <c r="A947" s="105"/>
      <c r="E947" s="108"/>
      <c r="H947" s="105"/>
      <c r="L947" s="105"/>
      <c r="AI947" s="11"/>
      <c r="AL947" s="122">
        <v>45293.4378472222</v>
      </c>
      <c r="AM947" s="107">
        <v>1</v>
      </c>
    </row>
    <row r="948" spans="1:39">
      <c r="A948" s="105"/>
      <c r="E948" s="108"/>
      <c r="H948" s="105"/>
      <c r="L948" s="105"/>
      <c r="AI948" s="11"/>
      <c r="AL948" s="122">
        <v>45293.5803356481</v>
      </c>
      <c r="AM948" s="107">
        <v>1</v>
      </c>
    </row>
    <row r="949" spans="1:39">
      <c r="A949" s="105"/>
      <c r="E949" s="108"/>
      <c r="H949" s="105"/>
      <c r="L949" s="105"/>
      <c r="AI949" s="11"/>
      <c r="AL949" s="122">
        <v>45293.6120717593</v>
      </c>
      <c r="AM949" s="107">
        <v>1</v>
      </c>
    </row>
    <row r="950" spans="1:39">
      <c r="A950" s="105"/>
      <c r="E950" s="108"/>
      <c r="H950" s="105"/>
      <c r="L950" s="105"/>
      <c r="AI950" s="11"/>
      <c r="AL950" s="122">
        <v>45293.6224652778</v>
      </c>
      <c r="AM950" s="107">
        <v>1</v>
      </c>
    </row>
    <row r="951" spans="1:39">
      <c r="A951" s="105"/>
      <c r="E951" s="108"/>
      <c r="H951" s="105"/>
      <c r="L951" s="105"/>
      <c r="AI951" s="11"/>
      <c r="AL951" s="122">
        <v>45293.6765740741</v>
      </c>
      <c r="AM951" s="107">
        <v>1</v>
      </c>
    </row>
    <row r="952" spans="1:39">
      <c r="A952" s="105"/>
      <c r="E952" s="108"/>
      <c r="H952" s="105"/>
      <c r="L952" s="105"/>
      <c r="AI952" s="11"/>
      <c r="AL952" s="122">
        <v>45293.7976851852</v>
      </c>
      <c r="AM952" s="107">
        <v>1</v>
      </c>
    </row>
    <row r="953" spans="1:39">
      <c r="A953" s="105"/>
      <c r="E953" s="108"/>
      <c r="H953" s="105"/>
      <c r="L953" s="105"/>
      <c r="AI953" s="11"/>
      <c r="AL953" s="122">
        <v>45294.3567824074</v>
      </c>
      <c r="AM953" s="107">
        <v>1</v>
      </c>
    </row>
    <row r="954" spans="1:39">
      <c r="A954" s="105"/>
      <c r="E954" s="108"/>
      <c r="H954" s="105"/>
      <c r="L954" s="105"/>
      <c r="AI954" s="11"/>
      <c r="AL954" s="122">
        <v>45294.4276967593</v>
      </c>
      <c r="AM954" s="107">
        <v>1</v>
      </c>
    </row>
    <row r="955" spans="1:39">
      <c r="A955" s="105"/>
      <c r="E955" s="108"/>
      <c r="H955" s="105"/>
      <c r="L955" s="105"/>
      <c r="AI955" s="11"/>
      <c r="AL955" s="122">
        <v>45294.4590393519</v>
      </c>
      <c r="AM955" s="107">
        <v>1</v>
      </c>
    </row>
    <row r="956" spans="1:39">
      <c r="A956" s="105"/>
      <c r="E956" s="108"/>
      <c r="H956" s="105"/>
      <c r="L956" s="105"/>
      <c r="AI956" s="11"/>
      <c r="AL956" s="122">
        <v>45294.4744212963</v>
      </c>
      <c r="AM956" s="107">
        <v>1</v>
      </c>
    </row>
    <row r="957" spans="1:39">
      <c r="A957" s="105"/>
      <c r="E957" s="108"/>
      <c r="H957" s="105"/>
      <c r="L957" s="105"/>
      <c r="AI957" s="11"/>
      <c r="AL957" s="122">
        <v>45294.5067013889</v>
      </c>
      <c r="AM957" s="107">
        <v>1</v>
      </c>
    </row>
    <row r="958" spans="1:39">
      <c r="A958" s="105"/>
      <c r="E958" s="108"/>
      <c r="H958" s="105"/>
      <c r="L958" s="105"/>
      <c r="AI958" s="11"/>
      <c r="AL958" s="122">
        <v>45294.5865972222</v>
      </c>
      <c r="AM958" s="107">
        <v>1</v>
      </c>
    </row>
    <row r="959" spans="1:39">
      <c r="A959" s="105"/>
      <c r="E959" s="108"/>
      <c r="H959" s="105"/>
      <c r="L959" s="105"/>
      <c r="AI959" s="11"/>
      <c r="AL959" s="122">
        <v>45294.5887847222</v>
      </c>
      <c r="AM959" s="107">
        <v>1</v>
      </c>
    </row>
    <row r="960" spans="1:39">
      <c r="A960" s="105"/>
      <c r="E960" s="108"/>
      <c r="H960" s="105"/>
      <c r="L960" s="105"/>
      <c r="AI960" s="11"/>
      <c r="AL960" s="122">
        <v>45294.6312268519</v>
      </c>
      <c r="AM960" s="107">
        <v>1</v>
      </c>
    </row>
    <row r="961" spans="1:39">
      <c r="A961" s="105"/>
      <c r="E961" s="108"/>
      <c r="H961" s="105"/>
      <c r="L961" s="105"/>
      <c r="AI961" s="11"/>
      <c r="AL961" s="122">
        <v>45294.6526736111</v>
      </c>
      <c r="AM961" s="107">
        <v>1</v>
      </c>
    </row>
    <row r="962" spans="1:39">
      <c r="A962" s="105"/>
      <c r="E962" s="108"/>
      <c r="H962" s="105"/>
      <c r="L962" s="105"/>
      <c r="AI962" s="11"/>
      <c r="AL962" s="122">
        <v>45294.7129976852</v>
      </c>
      <c r="AM962" s="107">
        <v>1</v>
      </c>
    </row>
    <row r="963" spans="1:39">
      <c r="A963" s="105"/>
      <c r="E963" s="108"/>
      <c r="H963" s="105"/>
      <c r="L963" s="105"/>
      <c r="AI963" s="11"/>
      <c r="AL963" s="122">
        <v>45294.7414236111</v>
      </c>
      <c r="AM963" s="107">
        <v>1</v>
      </c>
    </row>
    <row r="964" spans="1:39">
      <c r="A964" s="105"/>
      <c r="E964" s="108"/>
      <c r="H964" s="105"/>
      <c r="L964" s="105"/>
      <c r="AI964" s="11"/>
      <c r="AL964" s="122">
        <v>45294.7783449074</v>
      </c>
      <c r="AM964" s="107">
        <v>1</v>
      </c>
    </row>
    <row r="965" spans="1:39">
      <c r="A965" s="105"/>
      <c r="E965" s="108"/>
      <c r="H965" s="105"/>
      <c r="L965" s="105"/>
      <c r="AI965" s="11"/>
      <c r="AL965" s="122">
        <v>45295.3545601852</v>
      </c>
      <c r="AM965" s="107">
        <v>1</v>
      </c>
    </row>
    <row r="966" spans="1:39">
      <c r="A966" s="105"/>
      <c r="E966" s="108"/>
      <c r="H966" s="105"/>
      <c r="L966" s="105"/>
      <c r="AI966" s="11"/>
      <c r="AL966" s="122">
        <v>45295.4449768519</v>
      </c>
      <c r="AM966" s="107">
        <v>1</v>
      </c>
    </row>
    <row r="967" spans="1:39">
      <c r="A967" s="105"/>
      <c r="E967" s="108"/>
      <c r="H967" s="105"/>
      <c r="L967" s="105"/>
      <c r="AI967" s="11"/>
      <c r="AL967" s="122">
        <v>45295.4555787037</v>
      </c>
      <c r="AM967" s="107">
        <v>1</v>
      </c>
    </row>
    <row r="968" spans="1:39">
      <c r="A968" s="105"/>
      <c r="E968" s="108"/>
      <c r="H968" s="105"/>
      <c r="L968" s="105"/>
      <c r="AI968" s="11"/>
      <c r="AL968" s="122">
        <v>45295.4806597222</v>
      </c>
      <c r="AM968" s="107">
        <v>1</v>
      </c>
    </row>
    <row r="969" spans="1:39">
      <c r="A969" s="105"/>
      <c r="E969" s="108"/>
      <c r="H969" s="105"/>
      <c r="L969" s="105"/>
      <c r="AI969" s="11"/>
      <c r="AL969" s="122">
        <v>45295.489537037</v>
      </c>
      <c r="AM969" s="107">
        <v>1</v>
      </c>
    </row>
    <row r="970" spans="1:39">
      <c r="A970" s="105"/>
      <c r="E970" s="108"/>
      <c r="H970" s="105"/>
      <c r="L970" s="105"/>
      <c r="AI970" s="11"/>
      <c r="AL970" s="122">
        <v>45295.5911689815</v>
      </c>
      <c r="AM970" s="107">
        <v>1</v>
      </c>
    </row>
    <row r="971" spans="1:39">
      <c r="A971" s="105"/>
      <c r="E971" s="108"/>
      <c r="H971" s="105"/>
      <c r="L971" s="105"/>
      <c r="AI971" s="11"/>
      <c r="AL971" s="122">
        <v>45295.606087963</v>
      </c>
      <c r="AM971" s="107">
        <v>1</v>
      </c>
    </row>
    <row r="972" spans="1:39">
      <c r="A972" s="105"/>
      <c r="E972" s="108"/>
      <c r="H972" s="105"/>
      <c r="L972" s="105"/>
      <c r="AI972" s="11"/>
      <c r="AL972" s="122">
        <v>45295.6085532407</v>
      </c>
      <c r="AM972" s="107">
        <v>1</v>
      </c>
    </row>
    <row r="973" spans="1:39">
      <c r="A973" s="105"/>
      <c r="E973" s="108"/>
      <c r="H973" s="105"/>
      <c r="L973" s="105"/>
      <c r="AI973" s="11"/>
      <c r="AL973" s="122">
        <v>45295.6838310185</v>
      </c>
      <c r="AM973" s="107">
        <v>1</v>
      </c>
    </row>
    <row r="974" spans="1:39">
      <c r="A974" s="105"/>
      <c r="E974" s="108"/>
      <c r="H974" s="105"/>
      <c r="L974" s="105"/>
      <c r="AI974" s="11"/>
      <c r="AL974" s="122">
        <v>45295.6967824074</v>
      </c>
      <c r="AM974" s="107">
        <v>1</v>
      </c>
    </row>
    <row r="975" spans="1:39">
      <c r="A975" s="105"/>
      <c r="E975" s="108"/>
      <c r="H975" s="105"/>
      <c r="L975" s="105"/>
      <c r="AI975" s="11"/>
      <c r="AL975" s="122">
        <v>45295.7140740741</v>
      </c>
      <c r="AM975" s="107">
        <v>1</v>
      </c>
    </row>
    <row r="976" spans="1:39">
      <c r="A976" s="105"/>
      <c r="E976" s="108"/>
      <c r="H976" s="105"/>
      <c r="L976" s="105"/>
      <c r="AI976" s="11"/>
      <c r="AL976" s="122">
        <v>45296.3642361111</v>
      </c>
      <c r="AM976" s="107">
        <v>1</v>
      </c>
    </row>
    <row r="977" spans="1:39">
      <c r="A977" s="105"/>
      <c r="E977" s="108"/>
      <c r="H977" s="105"/>
      <c r="L977" s="105"/>
      <c r="AI977" s="11"/>
      <c r="AL977" s="122">
        <v>45296.3828356481</v>
      </c>
      <c r="AM977" s="107">
        <v>1</v>
      </c>
    </row>
    <row r="978" spans="1:39">
      <c r="A978" s="105"/>
      <c r="E978" s="108"/>
      <c r="H978" s="105"/>
      <c r="L978" s="105"/>
      <c r="AI978" s="11"/>
      <c r="AL978" s="122">
        <v>45296.4109606482</v>
      </c>
      <c r="AM978" s="107">
        <v>1</v>
      </c>
    </row>
    <row r="979" spans="1:39">
      <c r="A979" s="105"/>
      <c r="E979" s="108"/>
      <c r="H979" s="105"/>
      <c r="L979" s="105"/>
      <c r="AI979" s="11"/>
      <c r="AL979" s="122">
        <v>45296.4805671296</v>
      </c>
      <c r="AM979" s="107">
        <v>1</v>
      </c>
    </row>
    <row r="980" spans="1:39">
      <c r="A980" s="105"/>
      <c r="E980" s="108"/>
      <c r="H980" s="105"/>
      <c r="L980" s="105"/>
      <c r="AI980" s="11"/>
      <c r="AL980" s="122">
        <v>45296.5711342593</v>
      </c>
      <c r="AM980" s="107">
        <v>1</v>
      </c>
    </row>
    <row r="981" spans="1:39">
      <c r="A981" s="105"/>
      <c r="E981" s="108"/>
      <c r="H981" s="105"/>
      <c r="L981" s="105"/>
      <c r="AI981" s="11"/>
      <c r="AL981" s="122">
        <v>45296.7068634259</v>
      </c>
      <c r="AM981" s="107">
        <v>1</v>
      </c>
    </row>
    <row r="982" spans="1:39">
      <c r="A982" s="105"/>
      <c r="E982" s="108"/>
      <c r="H982" s="105"/>
      <c r="L982" s="105"/>
      <c r="AI982" s="11"/>
      <c r="AL982" s="122">
        <v>45297.5243981481</v>
      </c>
      <c r="AM982" s="107">
        <v>1</v>
      </c>
    </row>
    <row r="983" spans="1:39">
      <c r="A983" s="105"/>
      <c r="E983" s="108"/>
      <c r="H983" s="105"/>
      <c r="L983" s="105"/>
      <c r="AI983" s="11"/>
      <c r="AL983" s="122">
        <v>45297.6608449074</v>
      </c>
      <c r="AM983" s="107">
        <v>1</v>
      </c>
    </row>
    <row r="984" spans="1:39">
      <c r="A984" s="105"/>
      <c r="E984" s="108"/>
      <c r="H984" s="105"/>
      <c r="L984" s="105"/>
      <c r="AI984" s="11"/>
      <c r="AL984" s="122">
        <v>45297.6984375</v>
      </c>
      <c r="AM984" s="107">
        <v>1</v>
      </c>
    </row>
    <row r="985" spans="1:39">
      <c r="A985" s="105"/>
      <c r="E985" s="108"/>
      <c r="H985" s="105"/>
      <c r="L985" s="105"/>
      <c r="AI985" s="11"/>
      <c r="AL985" s="122">
        <v>45297.7289467593</v>
      </c>
      <c r="AM985" s="107">
        <v>1</v>
      </c>
    </row>
    <row r="986" spans="1:39">
      <c r="A986" s="105"/>
      <c r="E986" s="108"/>
      <c r="H986" s="105"/>
      <c r="L986" s="105"/>
      <c r="AI986" s="11"/>
      <c r="AL986" s="122">
        <v>45297.7651736111</v>
      </c>
      <c r="AM986" s="107">
        <v>1</v>
      </c>
    </row>
    <row r="987" spans="1:39">
      <c r="A987" s="105"/>
      <c r="E987" s="108"/>
      <c r="H987" s="105"/>
      <c r="L987" s="105"/>
      <c r="AI987" s="11"/>
      <c r="AL987" s="122">
        <v>45299.3918518519</v>
      </c>
      <c r="AM987" s="107">
        <v>1</v>
      </c>
    </row>
    <row r="988" spans="1:39">
      <c r="A988" s="105"/>
      <c r="E988" s="108"/>
      <c r="H988" s="105"/>
      <c r="L988" s="105"/>
      <c r="AI988" s="11"/>
      <c r="AL988" s="122">
        <v>45299.4575462963</v>
      </c>
      <c r="AM988" s="107">
        <v>1</v>
      </c>
    </row>
    <row r="989" spans="1:39">
      <c r="A989" s="105"/>
      <c r="E989" s="108"/>
      <c r="H989" s="105"/>
      <c r="L989" s="105"/>
      <c r="AI989" s="11"/>
      <c r="AL989" s="122">
        <v>45300.4592824074</v>
      </c>
      <c r="AM989" s="107">
        <v>1</v>
      </c>
    </row>
    <row r="990" spans="1:39">
      <c r="A990" s="105"/>
      <c r="E990" s="108"/>
      <c r="H990" s="105"/>
      <c r="L990" s="105"/>
      <c r="AI990" s="11"/>
      <c r="AL990" s="122">
        <v>45300.5107407407</v>
      </c>
      <c r="AM990" s="107">
        <v>1</v>
      </c>
    </row>
    <row r="991" spans="1:39">
      <c r="A991" s="105"/>
      <c r="E991" s="108"/>
      <c r="H991" s="105"/>
      <c r="L991" s="105"/>
      <c r="AI991" s="11"/>
      <c r="AL991" s="122">
        <v>45300.5150925926</v>
      </c>
      <c r="AM991" s="107">
        <v>1</v>
      </c>
    </row>
    <row r="992" spans="1:39">
      <c r="A992" s="105"/>
      <c r="E992" s="108"/>
      <c r="H992" s="105"/>
      <c r="L992" s="105"/>
      <c r="AI992" s="11"/>
      <c r="AL992" s="122">
        <v>45300.5369328704</v>
      </c>
      <c r="AM992" s="107">
        <v>1</v>
      </c>
    </row>
    <row r="993" spans="1:39">
      <c r="A993" s="105"/>
      <c r="E993" s="108"/>
      <c r="H993" s="105"/>
      <c r="L993" s="105"/>
      <c r="AI993" s="11"/>
      <c r="AL993" s="122">
        <v>45300.6156134259</v>
      </c>
      <c r="AM993" s="107">
        <v>1</v>
      </c>
    </row>
    <row r="994" spans="1:39">
      <c r="A994" s="105"/>
      <c r="E994" s="108"/>
      <c r="H994" s="105"/>
      <c r="L994" s="105"/>
      <c r="AI994" s="11"/>
      <c r="AL994" s="122">
        <v>45300.6977199074</v>
      </c>
      <c r="AM994" s="107">
        <v>1</v>
      </c>
    </row>
    <row r="995" spans="1:39">
      <c r="A995" s="105"/>
      <c r="E995" s="108"/>
      <c r="H995" s="105"/>
      <c r="L995" s="105"/>
      <c r="AI995" s="11"/>
      <c r="AL995" s="122">
        <v>45301.4112037037</v>
      </c>
      <c r="AM995" s="107">
        <v>1</v>
      </c>
    </row>
    <row r="996" spans="1:39">
      <c r="A996" s="105"/>
      <c r="E996" s="108"/>
      <c r="H996" s="105"/>
      <c r="L996" s="105"/>
      <c r="AI996" s="11"/>
      <c r="AL996" s="122">
        <v>45301.4490856481</v>
      </c>
      <c r="AM996" s="107">
        <v>1</v>
      </c>
    </row>
    <row r="997" spans="1:39">
      <c r="A997" s="105"/>
      <c r="E997" s="108"/>
      <c r="H997" s="105"/>
      <c r="L997" s="105"/>
      <c r="AI997" s="11"/>
      <c r="AL997" s="122">
        <v>45301.4649305556</v>
      </c>
      <c r="AM997" s="107">
        <v>1</v>
      </c>
    </row>
    <row r="998" spans="1:39">
      <c r="A998" s="105"/>
      <c r="E998" s="108"/>
      <c r="H998" s="105"/>
      <c r="L998" s="105"/>
      <c r="AI998" s="11"/>
      <c r="AL998" s="122">
        <v>45301.5100578704</v>
      </c>
      <c r="AM998" s="107">
        <v>1</v>
      </c>
    </row>
    <row r="999" spans="1:39">
      <c r="A999" s="105"/>
      <c r="E999" s="108"/>
      <c r="H999" s="105"/>
      <c r="L999" s="105"/>
      <c r="AI999" s="11"/>
      <c r="AL999" s="122">
        <v>45301.594837963</v>
      </c>
      <c r="AM999" s="107">
        <v>1</v>
      </c>
    </row>
    <row r="1000" spans="1:39">
      <c r="A1000" s="105"/>
      <c r="E1000" s="108"/>
      <c r="H1000" s="105"/>
      <c r="L1000" s="105"/>
      <c r="AI1000" s="11"/>
      <c r="AL1000" s="122">
        <v>45301.6625694444</v>
      </c>
      <c r="AM1000" s="107">
        <v>1</v>
      </c>
    </row>
    <row r="1001" spans="1:39">
      <c r="A1001" s="105"/>
      <c r="E1001" s="108"/>
      <c r="H1001" s="105"/>
      <c r="L1001" s="105"/>
      <c r="AI1001" s="11"/>
      <c r="AL1001" s="122">
        <v>45301.7121643519</v>
      </c>
      <c r="AM1001" s="107">
        <v>1</v>
      </c>
    </row>
    <row r="1002" spans="1:39">
      <c r="A1002" s="105"/>
      <c r="E1002" s="108"/>
      <c r="H1002" s="105"/>
      <c r="L1002" s="105"/>
      <c r="AI1002" s="11"/>
      <c r="AL1002" s="122">
        <v>45301.7628472222</v>
      </c>
      <c r="AM1002" s="107">
        <v>1</v>
      </c>
    </row>
    <row r="1003" spans="1:39">
      <c r="A1003" s="105"/>
      <c r="E1003" s="108"/>
      <c r="H1003" s="105"/>
      <c r="L1003" s="105"/>
      <c r="AI1003" s="11"/>
      <c r="AL1003" s="122">
        <v>45301.7916666667</v>
      </c>
      <c r="AM1003" s="107">
        <v>1</v>
      </c>
    </row>
    <row r="1004" spans="1:39">
      <c r="A1004" s="105"/>
      <c r="E1004" s="108"/>
      <c r="H1004" s="105"/>
      <c r="L1004" s="105"/>
      <c r="AI1004" s="11"/>
      <c r="AL1004" s="122">
        <v>45302.4163773148</v>
      </c>
      <c r="AM1004" s="107">
        <v>1</v>
      </c>
    </row>
    <row r="1005" spans="1:39">
      <c r="A1005" s="105"/>
      <c r="E1005" s="108"/>
      <c r="H1005" s="105"/>
      <c r="L1005" s="105"/>
      <c r="AI1005" s="11"/>
      <c r="AL1005" s="122">
        <v>45302.450462963</v>
      </c>
      <c r="AM1005" s="107">
        <v>1</v>
      </c>
    </row>
    <row r="1006" spans="1:39">
      <c r="A1006" s="105"/>
      <c r="E1006" s="108"/>
      <c r="H1006" s="105"/>
      <c r="L1006" s="105"/>
      <c r="AI1006" s="11"/>
      <c r="AL1006" s="122">
        <v>45302.4977893519</v>
      </c>
      <c r="AM1006" s="107">
        <v>1</v>
      </c>
    </row>
    <row r="1007" spans="1:39">
      <c r="A1007" s="105"/>
      <c r="E1007" s="108"/>
      <c r="H1007" s="105"/>
      <c r="L1007" s="105"/>
      <c r="AI1007" s="11"/>
      <c r="AL1007" s="122">
        <v>45302.5352546296</v>
      </c>
      <c r="AM1007" s="107">
        <v>1</v>
      </c>
    </row>
    <row r="1008" spans="1:39">
      <c r="A1008" s="105"/>
      <c r="E1008" s="108"/>
      <c r="H1008" s="105"/>
      <c r="L1008" s="105"/>
      <c r="AI1008" s="11"/>
      <c r="AL1008" s="122">
        <v>45302.5495138889</v>
      </c>
      <c r="AM1008" s="107">
        <v>1</v>
      </c>
    </row>
    <row r="1009" spans="1:39">
      <c r="A1009" s="105"/>
      <c r="E1009" s="108"/>
      <c r="H1009" s="105"/>
      <c r="L1009" s="105"/>
      <c r="AI1009" s="11"/>
      <c r="AL1009" s="122">
        <v>45302.5614930556</v>
      </c>
      <c r="AM1009" s="107">
        <v>1</v>
      </c>
    </row>
    <row r="1010" spans="1:39">
      <c r="A1010" s="105"/>
      <c r="E1010" s="108"/>
      <c r="H1010" s="105"/>
      <c r="L1010" s="105"/>
      <c r="AI1010" s="11"/>
      <c r="AL1010" s="122">
        <v>45302.6233449074</v>
      </c>
      <c r="AM1010" s="107">
        <v>1</v>
      </c>
    </row>
    <row r="1011" spans="1:39">
      <c r="A1011" s="105"/>
      <c r="E1011" s="108"/>
      <c r="H1011" s="105"/>
      <c r="L1011" s="105"/>
      <c r="AI1011" s="11"/>
      <c r="AL1011" s="122">
        <v>45303.4831597222</v>
      </c>
      <c r="AM1011" s="107">
        <v>1</v>
      </c>
    </row>
    <row r="1012" spans="1:39">
      <c r="A1012" s="105"/>
      <c r="E1012" s="108"/>
      <c r="H1012" s="105"/>
      <c r="L1012" s="105"/>
      <c r="AI1012" s="11"/>
      <c r="AL1012" s="122">
        <v>45303.5615740741</v>
      </c>
      <c r="AM1012" s="107">
        <v>1</v>
      </c>
    </row>
    <row r="1013" spans="1:39">
      <c r="A1013" s="105"/>
      <c r="E1013" s="108"/>
      <c r="H1013" s="105"/>
      <c r="L1013" s="105"/>
      <c r="AI1013" s="11"/>
      <c r="AL1013" s="122">
        <v>45303.5761458333</v>
      </c>
      <c r="AM1013" s="107">
        <v>1</v>
      </c>
    </row>
    <row r="1014" spans="1:39">
      <c r="A1014" s="105"/>
      <c r="E1014" s="108"/>
      <c r="H1014" s="105"/>
      <c r="L1014" s="105"/>
      <c r="AI1014" s="11"/>
      <c r="AL1014" s="122">
        <v>45303.6436689815</v>
      </c>
      <c r="AM1014" s="107">
        <v>1</v>
      </c>
    </row>
    <row r="1015" spans="1:39">
      <c r="A1015" s="105"/>
      <c r="E1015" s="108"/>
      <c r="H1015" s="105"/>
      <c r="L1015" s="105"/>
      <c r="AI1015" s="11"/>
      <c r="AL1015" s="122">
        <v>45304.3868518519</v>
      </c>
      <c r="AM1015" s="107">
        <v>1</v>
      </c>
    </row>
    <row r="1016" spans="1:39">
      <c r="A1016" s="105"/>
      <c r="E1016" s="108"/>
      <c r="H1016" s="105"/>
      <c r="L1016" s="105"/>
      <c r="AI1016" s="11"/>
      <c r="AL1016" s="122">
        <v>45304.3967013889</v>
      </c>
      <c r="AM1016" s="107">
        <v>1</v>
      </c>
    </row>
    <row r="1017" spans="1:39">
      <c r="A1017" s="105"/>
      <c r="E1017" s="108"/>
      <c r="H1017" s="105"/>
      <c r="L1017" s="105"/>
      <c r="AI1017" s="11"/>
      <c r="AL1017" s="122">
        <v>45305.5563310185</v>
      </c>
      <c r="AM1017" s="107">
        <v>1</v>
      </c>
    </row>
    <row r="1018" spans="1:39">
      <c r="A1018" s="105"/>
      <c r="E1018" s="108"/>
      <c r="H1018" s="105"/>
      <c r="L1018" s="105"/>
      <c r="AI1018" s="11"/>
      <c r="AL1018" s="122">
        <v>45305.6042013889</v>
      </c>
      <c r="AM1018" s="107">
        <v>1</v>
      </c>
    </row>
    <row r="1019" spans="1:39">
      <c r="A1019" s="105"/>
      <c r="E1019" s="108"/>
      <c r="H1019" s="105"/>
      <c r="L1019" s="105"/>
      <c r="AI1019" s="11"/>
      <c r="AL1019" s="122">
        <v>45305.7768171296</v>
      </c>
      <c r="AM1019" s="107">
        <v>1</v>
      </c>
    </row>
    <row r="1020" spans="1:39">
      <c r="A1020" s="105"/>
      <c r="E1020" s="108"/>
      <c r="H1020" s="105"/>
      <c r="L1020" s="105"/>
      <c r="AI1020" s="11"/>
      <c r="AL1020" s="122">
        <v>45306.4099884259</v>
      </c>
      <c r="AM1020" s="107">
        <v>1</v>
      </c>
    </row>
    <row r="1021" spans="1:39">
      <c r="A1021" s="105"/>
      <c r="E1021" s="108"/>
      <c r="H1021" s="105"/>
      <c r="L1021" s="105"/>
      <c r="AI1021" s="11"/>
      <c r="AL1021" s="122">
        <v>45306.4167708333</v>
      </c>
      <c r="AM1021" s="107">
        <v>1</v>
      </c>
    </row>
    <row r="1022" spans="1:39">
      <c r="A1022" s="105"/>
      <c r="E1022" s="108"/>
      <c r="H1022" s="105"/>
      <c r="L1022" s="105"/>
      <c r="AI1022" s="11"/>
      <c r="AL1022" s="122">
        <v>45306.6765277778</v>
      </c>
      <c r="AM1022" s="107">
        <v>1</v>
      </c>
    </row>
    <row r="1023" spans="1:39">
      <c r="A1023" s="105"/>
      <c r="E1023" s="108"/>
      <c r="H1023" s="105"/>
      <c r="L1023" s="105"/>
      <c r="AI1023" s="11"/>
      <c r="AL1023" s="122">
        <v>45306.6949074074</v>
      </c>
      <c r="AM1023" s="107">
        <v>1</v>
      </c>
    </row>
    <row r="1024" spans="1:39">
      <c r="A1024" s="105"/>
      <c r="E1024" s="108"/>
      <c r="H1024" s="105"/>
      <c r="L1024" s="105"/>
      <c r="AI1024" s="11"/>
      <c r="AL1024" s="122">
        <v>45306.8376157407</v>
      </c>
      <c r="AM1024" s="107">
        <v>1</v>
      </c>
    </row>
    <row r="1025" spans="1:39">
      <c r="A1025" s="105"/>
      <c r="E1025" s="108"/>
      <c r="H1025" s="105"/>
      <c r="L1025" s="105"/>
      <c r="AI1025" s="11"/>
      <c r="AL1025" s="122">
        <v>45307.4080092593</v>
      </c>
      <c r="AM1025" s="107">
        <v>1</v>
      </c>
    </row>
    <row r="1026" spans="1:39">
      <c r="A1026" s="105"/>
      <c r="E1026" s="108"/>
      <c r="H1026" s="105"/>
      <c r="L1026" s="105"/>
      <c r="AI1026" s="11"/>
      <c r="AL1026" s="122">
        <v>45307.6520949074</v>
      </c>
      <c r="AM1026" s="107">
        <v>1</v>
      </c>
    </row>
    <row r="1027" spans="1:39">
      <c r="A1027" s="105"/>
      <c r="E1027" s="108"/>
      <c r="H1027" s="105"/>
      <c r="L1027" s="105"/>
      <c r="AI1027" s="11"/>
      <c r="AL1027" s="122">
        <v>45308.3519560185</v>
      </c>
      <c r="AM1027" s="107">
        <v>1</v>
      </c>
    </row>
    <row r="1028" spans="1:39">
      <c r="A1028" s="105"/>
      <c r="E1028" s="108"/>
      <c r="H1028" s="105"/>
      <c r="L1028" s="105"/>
      <c r="AI1028" s="11"/>
      <c r="AL1028" s="122">
        <v>45308.3921412037</v>
      </c>
      <c r="AM1028" s="107">
        <v>1</v>
      </c>
    </row>
    <row r="1029" spans="1:39">
      <c r="A1029" s="105"/>
      <c r="E1029" s="108"/>
      <c r="H1029" s="105"/>
      <c r="L1029" s="105"/>
      <c r="AI1029" s="11"/>
      <c r="AL1029" s="122">
        <v>45308.4003819444</v>
      </c>
      <c r="AM1029" s="107">
        <v>1</v>
      </c>
    </row>
    <row r="1030" spans="1:39">
      <c r="A1030" s="105"/>
      <c r="E1030" s="108"/>
      <c r="H1030" s="105"/>
      <c r="L1030" s="105"/>
      <c r="AI1030" s="11"/>
      <c r="AL1030" s="122">
        <v>45308.5120833333</v>
      </c>
      <c r="AM1030" s="107">
        <v>1</v>
      </c>
    </row>
    <row r="1031" spans="1:39">
      <c r="A1031" s="105"/>
      <c r="E1031" s="108"/>
      <c r="H1031" s="105"/>
      <c r="L1031" s="105"/>
      <c r="AI1031" s="11"/>
      <c r="AL1031" s="122">
        <v>45308.6082986111</v>
      </c>
      <c r="AM1031" s="107">
        <v>1</v>
      </c>
    </row>
    <row r="1032" spans="1:39">
      <c r="A1032" s="105"/>
      <c r="E1032" s="108"/>
      <c r="H1032" s="105"/>
      <c r="L1032" s="105"/>
      <c r="AI1032" s="11"/>
      <c r="AL1032" s="122">
        <v>45308.694375</v>
      </c>
      <c r="AM1032" s="107">
        <v>1</v>
      </c>
    </row>
    <row r="1033" spans="1:39">
      <c r="A1033" s="105"/>
      <c r="E1033" s="108"/>
      <c r="H1033" s="105"/>
      <c r="L1033" s="105"/>
      <c r="AI1033" s="11"/>
      <c r="AL1033" s="122">
        <v>45309.4469328704</v>
      </c>
      <c r="AM1033" s="107">
        <v>1</v>
      </c>
    </row>
    <row r="1034" spans="1:39">
      <c r="A1034" s="105"/>
      <c r="E1034" s="108"/>
      <c r="H1034" s="105"/>
      <c r="L1034" s="105"/>
      <c r="AI1034" s="11"/>
      <c r="AL1034" s="122">
        <v>45309.5146875</v>
      </c>
      <c r="AM1034" s="107">
        <v>1</v>
      </c>
    </row>
    <row r="1035" spans="1:39">
      <c r="A1035" s="105"/>
      <c r="E1035" s="108"/>
      <c r="H1035" s="105"/>
      <c r="L1035" s="105"/>
      <c r="AI1035" s="11"/>
      <c r="AL1035" s="122">
        <v>45309.5256828704</v>
      </c>
      <c r="AM1035" s="107">
        <v>1</v>
      </c>
    </row>
    <row r="1036" spans="1:39">
      <c r="A1036" s="105"/>
      <c r="E1036" s="108"/>
      <c r="H1036" s="105"/>
      <c r="L1036" s="105"/>
      <c r="AI1036" s="11"/>
      <c r="AL1036" s="122">
        <v>45309.5943055556</v>
      </c>
      <c r="AM1036" s="107">
        <v>1</v>
      </c>
    </row>
    <row r="1037" spans="1:39">
      <c r="A1037" s="105"/>
      <c r="E1037" s="108"/>
      <c r="H1037" s="105"/>
      <c r="L1037" s="105"/>
      <c r="AI1037" s="11"/>
      <c r="AL1037" s="122">
        <v>45310.5158796296</v>
      </c>
      <c r="AM1037" s="107">
        <v>1</v>
      </c>
    </row>
    <row r="1038" spans="1:39">
      <c r="A1038" s="105"/>
      <c r="E1038" s="108"/>
      <c r="H1038" s="105"/>
      <c r="L1038" s="105"/>
      <c r="AI1038" s="11"/>
      <c r="AL1038" s="122">
        <v>45310.5297106481</v>
      </c>
      <c r="AM1038" s="107">
        <v>1</v>
      </c>
    </row>
    <row r="1039" spans="1:39">
      <c r="A1039" s="105"/>
      <c r="E1039" s="108"/>
      <c r="H1039" s="105"/>
      <c r="L1039" s="105"/>
      <c r="AI1039" s="11"/>
      <c r="AL1039" s="122">
        <v>45310.5405555556</v>
      </c>
      <c r="AM1039" s="107">
        <v>1</v>
      </c>
    </row>
    <row r="1040" spans="1:39">
      <c r="A1040" s="105"/>
      <c r="E1040" s="108"/>
      <c r="H1040" s="105"/>
      <c r="L1040" s="105"/>
      <c r="AI1040" s="11"/>
      <c r="AL1040" s="122">
        <v>45310.6958333333</v>
      </c>
      <c r="AM1040" s="107">
        <v>1</v>
      </c>
    </row>
    <row r="1041" spans="1:39">
      <c r="A1041" s="105"/>
      <c r="E1041" s="108"/>
      <c r="H1041" s="105"/>
      <c r="L1041" s="105"/>
      <c r="AI1041" s="11"/>
      <c r="AL1041" s="122">
        <v>45310.7359375</v>
      </c>
      <c r="AM1041" s="107">
        <v>1</v>
      </c>
    </row>
    <row r="1042" spans="1:39">
      <c r="A1042" s="105"/>
      <c r="E1042" s="108"/>
      <c r="H1042" s="105"/>
      <c r="L1042" s="105"/>
      <c r="AI1042" s="11"/>
      <c r="AL1042" s="122">
        <v>45311.4058564815</v>
      </c>
      <c r="AM1042" s="107">
        <v>1</v>
      </c>
    </row>
    <row r="1043" spans="1:39">
      <c r="A1043" s="105"/>
      <c r="E1043" s="108"/>
      <c r="H1043" s="105"/>
      <c r="L1043" s="105"/>
      <c r="AI1043" s="11"/>
      <c r="AL1043" s="122">
        <v>45311.4568402778</v>
      </c>
      <c r="AM1043" s="107">
        <v>1</v>
      </c>
    </row>
    <row r="1044" spans="1:39">
      <c r="A1044" s="105"/>
      <c r="E1044" s="108"/>
      <c r="H1044" s="105"/>
      <c r="L1044" s="105"/>
      <c r="AI1044" s="11"/>
      <c r="AL1044" s="122">
        <v>45311.6700347222</v>
      </c>
      <c r="AM1044" s="107">
        <v>1</v>
      </c>
    </row>
    <row r="1045" spans="1:39">
      <c r="A1045" s="105"/>
      <c r="E1045" s="108"/>
      <c r="H1045" s="105"/>
      <c r="L1045" s="105"/>
      <c r="AI1045" s="11"/>
      <c r="AL1045" s="122">
        <v>45311.6772685185</v>
      </c>
      <c r="AM1045" s="107">
        <v>1</v>
      </c>
    </row>
    <row r="1046" spans="1:39">
      <c r="A1046" s="105"/>
      <c r="E1046" s="108"/>
      <c r="H1046" s="105"/>
      <c r="L1046" s="105"/>
      <c r="AI1046" s="11"/>
      <c r="AL1046" s="122">
        <v>45312.5559259259</v>
      </c>
      <c r="AM1046" s="107">
        <v>1</v>
      </c>
    </row>
    <row r="1047" spans="1:39">
      <c r="A1047" s="105"/>
      <c r="E1047" s="108"/>
      <c r="H1047" s="105"/>
      <c r="L1047" s="105"/>
      <c r="AI1047" s="11"/>
      <c r="AL1047" s="122">
        <v>45312.6344791667</v>
      </c>
      <c r="AM1047" s="107">
        <v>1</v>
      </c>
    </row>
    <row r="1048" spans="1:39">
      <c r="A1048" s="105"/>
      <c r="E1048" s="108"/>
      <c r="H1048" s="105"/>
      <c r="L1048" s="105"/>
      <c r="AI1048" s="11"/>
      <c r="AL1048" s="122">
        <v>45313.4763425926</v>
      </c>
      <c r="AM1048" s="107">
        <v>1</v>
      </c>
    </row>
    <row r="1049" customHeight="1" spans="38:39">
      <c r="AL1049" s="122">
        <v>45313.5997106481</v>
      </c>
      <c r="AM1049" s="107">
        <v>1</v>
      </c>
    </row>
    <row r="1050" customHeight="1" spans="38:39">
      <c r="AL1050" s="122">
        <v>45314.4621296296</v>
      </c>
      <c r="AM1050" s="107">
        <v>1</v>
      </c>
    </row>
    <row r="1051" customHeight="1" spans="38:39">
      <c r="AL1051" s="122">
        <v>45314.4975694444</v>
      </c>
      <c r="AM1051" s="107">
        <v>1</v>
      </c>
    </row>
    <row r="1052" customHeight="1" spans="38:39">
      <c r="AL1052" s="122">
        <v>45314.6226851852</v>
      </c>
      <c r="AM1052" s="107">
        <v>1</v>
      </c>
    </row>
    <row r="1053" customHeight="1" spans="38:39">
      <c r="AL1053" s="122">
        <v>45314.6861805556</v>
      </c>
      <c r="AM1053" s="107">
        <v>1</v>
      </c>
    </row>
    <row r="1054" customHeight="1" spans="38:39">
      <c r="AL1054" s="122">
        <v>45314.7427199074</v>
      </c>
      <c r="AM1054" s="107">
        <v>1</v>
      </c>
    </row>
    <row r="1055" customHeight="1" spans="38:39">
      <c r="AL1055" s="122">
        <v>45314.7752893519</v>
      </c>
      <c r="AM1055" s="107">
        <v>1</v>
      </c>
    </row>
    <row r="1056" customHeight="1" spans="38:39">
      <c r="AL1056" s="122">
        <v>45315.3418981481</v>
      </c>
      <c r="AM1056" s="107">
        <v>1</v>
      </c>
    </row>
    <row r="1057" customHeight="1" spans="38:39">
      <c r="AL1057" s="122">
        <v>45315.4326967593</v>
      </c>
      <c r="AM1057" s="107">
        <v>1</v>
      </c>
    </row>
    <row r="1058" customHeight="1" spans="38:39">
      <c r="AL1058" s="122">
        <v>45315.4421643519</v>
      </c>
      <c r="AM1058" s="107">
        <v>1</v>
      </c>
    </row>
    <row r="1059" customHeight="1" spans="38:39">
      <c r="AL1059" s="122">
        <v>45316.4249305556</v>
      </c>
      <c r="AM1059" s="107">
        <v>1</v>
      </c>
    </row>
    <row r="1060" customHeight="1" spans="38:39">
      <c r="AL1060" s="122">
        <v>45317.3625347222</v>
      </c>
      <c r="AM1060" s="107">
        <v>1</v>
      </c>
    </row>
    <row r="1061" customHeight="1" spans="38:39">
      <c r="AL1061" s="122">
        <v>45317.4348148148</v>
      </c>
      <c r="AM1061" s="107">
        <v>1</v>
      </c>
    </row>
    <row r="1062" customHeight="1" spans="38:39">
      <c r="AL1062" s="122">
        <v>45317.602650463</v>
      </c>
      <c r="AM1062" s="107">
        <v>1</v>
      </c>
    </row>
    <row r="1063" customHeight="1" spans="38:39">
      <c r="AL1063" s="122">
        <v>45317.6571759259</v>
      </c>
      <c r="AM1063" s="107">
        <v>1</v>
      </c>
    </row>
    <row r="1064" customHeight="1" spans="38:39">
      <c r="AL1064" s="122">
        <v>45317.7490046296</v>
      </c>
      <c r="AM1064" s="107">
        <v>1</v>
      </c>
    </row>
    <row r="1065" customHeight="1" spans="38:39">
      <c r="AL1065" s="122">
        <v>45317.7874652778</v>
      </c>
      <c r="AM1065" s="107">
        <v>1</v>
      </c>
    </row>
    <row r="1066" customHeight="1" spans="38:39">
      <c r="AL1066" s="122">
        <v>45318.5896990741</v>
      </c>
      <c r="AM1066" s="107">
        <v>1</v>
      </c>
    </row>
    <row r="1067" customHeight="1" spans="38:39">
      <c r="AL1067" s="122">
        <v>45318.6780555556</v>
      </c>
      <c r="AM1067" s="107">
        <v>1</v>
      </c>
    </row>
    <row r="1068" customHeight="1" spans="38:39">
      <c r="AL1068" s="122">
        <v>45320.4056944444</v>
      </c>
      <c r="AM1068" s="107">
        <v>1</v>
      </c>
    </row>
    <row r="1069" customHeight="1" spans="38:39">
      <c r="AL1069" s="122">
        <v>45320.6145023148</v>
      </c>
      <c r="AM1069" s="107">
        <v>1</v>
      </c>
    </row>
    <row r="1070" customHeight="1" spans="38:39">
      <c r="AL1070" s="122">
        <v>45320.6486921296</v>
      </c>
      <c r="AM1070" s="107">
        <v>1</v>
      </c>
    </row>
    <row r="1071" customHeight="1" spans="38:39">
      <c r="AL1071" s="122">
        <v>45321.4044560185</v>
      </c>
      <c r="AM1071" s="107">
        <v>1</v>
      </c>
    </row>
    <row r="1072" customHeight="1" spans="38:39">
      <c r="AL1072" s="122">
        <v>45321.4101967593</v>
      </c>
      <c r="AM1072" s="107">
        <v>1</v>
      </c>
    </row>
    <row r="1073" customHeight="1" spans="38:39">
      <c r="AL1073" s="122">
        <v>45321.4717361111</v>
      </c>
      <c r="AM1073" s="107">
        <v>1</v>
      </c>
    </row>
    <row r="1074" customHeight="1" spans="38:39">
      <c r="AL1074" s="122">
        <v>45321.6765162037</v>
      </c>
      <c r="AM1074" s="107">
        <v>1</v>
      </c>
    </row>
    <row r="1075" customHeight="1" spans="38:39">
      <c r="AL1075" s="122">
        <v>45321.7627199074</v>
      </c>
      <c r="AM1075" s="107">
        <v>1</v>
      </c>
    </row>
    <row r="1076" customHeight="1" spans="38:39">
      <c r="AL1076" s="122">
        <v>45322.3725810185</v>
      </c>
      <c r="AM1076" s="107">
        <v>1</v>
      </c>
    </row>
    <row r="1077" customHeight="1" spans="38:39">
      <c r="AL1077" s="122">
        <v>45322.4738773148</v>
      </c>
      <c r="AM1077" s="107">
        <v>1</v>
      </c>
    </row>
    <row r="1078" customHeight="1" spans="38:39">
      <c r="AL1078" s="122">
        <v>45322.4984027778</v>
      </c>
      <c r="AM1078" s="107">
        <v>1</v>
      </c>
    </row>
    <row r="1079" customHeight="1" spans="38:39">
      <c r="AL1079" s="122">
        <v>45322.5394791667</v>
      </c>
      <c r="AM1079" s="107">
        <v>1</v>
      </c>
    </row>
    <row r="1080" customHeight="1" spans="38:39">
      <c r="AL1080" s="122">
        <v>45322.6434259259</v>
      </c>
      <c r="AM1080" s="107">
        <v>1</v>
      </c>
    </row>
    <row r="1081" customHeight="1" spans="38:39">
      <c r="AL1081" s="122">
        <v>45322.6961111111</v>
      </c>
      <c r="AM1081" s="107">
        <v>1</v>
      </c>
    </row>
    <row r="1082" customHeight="1" spans="38:39">
      <c r="AL1082" s="122">
        <v>45322.7261226852</v>
      </c>
      <c r="AM1082" s="107">
        <v>1</v>
      </c>
    </row>
    <row r="1083" customHeight="1" spans="38:39">
      <c r="AL1083" s="122">
        <v>45323.3273611111</v>
      </c>
      <c r="AM1083" s="107">
        <v>1</v>
      </c>
    </row>
    <row r="1084" customHeight="1" spans="38:39">
      <c r="AL1084" s="122">
        <v>45323.4836111111</v>
      </c>
      <c r="AM1084" s="107">
        <v>1</v>
      </c>
    </row>
    <row r="1085" customHeight="1" spans="38:39">
      <c r="AL1085" s="122">
        <v>45323.5721527778</v>
      </c>
      <c r="AM1085" s="107">
        <v>1</v>
      </c>
    </row>
    <row r="1086" customHeight="1" spans="38:39">
      <c r="AL1086" s="122">
        <v>45323.6033796296</v>
      </c>
      <c r="AM1086" s="107">
        <v>1</v>
      </c>
    </row>
    <row r="1087" customHeight="1" spans="38:39">
      <c r="AL1087" s="122">
        <v>45323.627337963</v>
      </c>
      <c r="AM1087" s="107">
        <v>1</v>
      </c>
    </row>
    <row r="1088" customHeight="1" spans="38:39">
      <c r="AL1088" s="122">
        <v>45324.386087963</v>
      </c>
      <c r="AM1088" s="107">
        <v>1</v>
      </c>
    </row>
    <row r="1089" customHeight="1" spans="38:39">
      <c r="AL1089" s="122">
        <v>45324.5961226852</v>
      </c>
      <c r="AM1089" s="107">
        <v>1</v>
      </c>
    </row>
    <row r="1090" customHeight="1" spans="38:39">
      <c r="AL1090" s="122">
        <v>45324.602974537</v>
      </c>
      <c r="AM1090" s="107">
        <v>1</v>
      </c>
    </row>
    <row r="1091" customHeight="1" spans="38:39">
      <c r="AL1091" s="122">
        <v>45325.3559606482</v>
      </c>
      <c r="AM1091" s="107">
        <v>1</v>
      </c>
    </row>
    <row r="1092" customHeight="1" spans="38:39">
      <c r="AL1092" s="122">
        <v>45325.4180439815</v>
      </c>
      <c r="AM1092" s="107">
        <v>1</v>
      </c>
    </row>
    <row r="1093" customHeight="1" spans="38:39">
      <c r="AL1093" s="122">
        <v>45325.5197453704</v>
      </c>
      <c r="AM1093" s="107">
        <v>1</v>
      </c>
    </row>
    <row r="1094" customHeight="1" spans="38:39">
      <c r="AL1094" s="122">
        <v>45325.5971296296</v>
      </c>
      <c r="AM1094" s="107">
        <v>1</v>
      </c>
    </row>
    <row r="1095" customHeight="1" spans="38:39">
      <c r="AL1095" s="122">
        <v>45326.6821990741</v>
      </c>
      <c r="AM1095" s="107">
        <v>1</v>
      </c>
    </row>
    <row r="1096" customHeight="1" spans="38:39">
      <c r="AL1096" s="122">
        <v>45327.3806712963</v>
      </c>
      <c r="AM1096" s="107">
        <v>1</v>
      </c>
    </row>
    <row r="1097" customHeight="1" spans="38:39">
      <c r="AL1097" s="122">
        <v>45327.5228703704</v>
      </c>
      <c r="AM1097" s="107">
        <v>1</v>
      </c>
    </row>
    <row r="1098" customHeight="1" spans="38:39">
      <c r="AL1098" s="122">
        <v>45327.5265509259</v>
      </c>
      <c r="AM1098" s="107">
        <v>1</v>
      </c>
    </row>
    <row r="1099" customHeight="1" spans="38:39">
      <c r="AL1099" s="122">
        <v>45327.6650578704</v>
      </c>
      <c r="AM1099" s="107">
        <v>1</v>
      </c>
    </row>
    <row r="1100" customHeight="1" spans="38:39">
      <c r="AL1100" s="122">
        <v>45327.7043518519</v>
      </c>
      <c r="AM1100" s="107">
        <v>1</v>
      </c>
    </row>
    <row r="1101" customHeight="1" spans="38:39">
      <c r="AL1101" s="122">
        <v>45327.7062268518</v>
      </c>
      <c r="AM1101" s="107">
        <v>1</v>
      </c>
    </row>
    <row r="1102" customHeight="1" spans="38:39">
      <c r="AL1102" s="122">
        <v>45327.7228587963</v>
      </c>
      <c r="AM1102" s="107">
        <v>1</v>
      </c>
    </row>
    <row r="1103" customHeight="1" spans="38:39">
      <c r="AL1103" s="122">
        <v>45328.7836574074</v>
      </c>
      <c r="AM1103" s="107">
        <v>1</v>
      </c>
    </row>
    <row r="1104" customHeight="1" spans="38:39">
      <c r="AL1104" s="122">
        <v>45328.8072222222</v>
      </c>
      <c r="AM1104" s="107">
        <v>1</v>
      </c>
    </row>
    <row r="1105" customHeight="1" spans="38:39">
      <c r="AL1105" s="122">
        <v>45329.3744328704</v>
      </c>
      <c r="AM1105" s="107">
        <v>1</v>
      </c>
    </row>
    <row r="1106" customHeight="1" spans="38:39">
      <c r="AL1106" s="122">
        <v>45329.4119212963</v>
      </c>
      <c r="AM1106" s="107">
        <v>1</v>
      </c>
    </row>
    <row r="1107" customHeight="1" spans="38:39">
      <c r="AL1107" s="122">
        <v>45329.4618402778</v>
      </c>
      <c r="AM1107" s="107">
        <v>1</v>
      </c>
    </row>
    <row r="1108" customHeight="1" spans="38:39">
      <c r="AL1108" s="122">
        <v>45329.4644907407</v>
      </c>
      <c r="AM1108" s="107">
        <v>1</v>
      </c>
    </row>
    <row r="1109" customHeight="1" spans="38:39">
      <c r="AL1109" s="122">
        <v>45329.7542824074</v>
      </c>
      <c r="AM1109" s="107">
        <v>1</v>
      </c>
    </row>
    <row r="1110" customHeight="1" spans="38:39">
      <c r="AL1110" s="122">
        <v>45330.4722569444</v>
      </c>
      <c r="AM1110" s="107">
        <v>1</v>
      </c>
    </row>
    <row r="1111" customHeight="1" spans="38:39">
      <c r="AL1111" s="122">
        <v>45330.6938773148</v>
      </c>
      <c r="AM1111" s="107">
        <v>1</v>
      </c>
    </row>
    <row r="1112" customHeight="1" spans="38:39">
      <c r="AL1112" s="122">
        <v>45330.7590509259</v>
      </c>
      <c r="AM1112" s="107">
        <v>1</v>
      </c>
    </row>
    <row r="1113" customHeight="1" spans="38:39">
      <c r="AL1113" s="122">
        <v>45331.4527199074</v>
      </c>
      <c r="AM1113" s="107">
        <v>1</v>
      </c>
    </row>
    <row r="1114" customHeight="1" spans="38:39">
      <c r="AL1114" s="122">
        <v>45331.6678935185</v>
      </c>
      <c r="AM1114" s="107">
        <v>1</v>
      </c>
    </row>
    <row r="1115" customHeight="1" spans="38:39">
      <c r="AL1115" s="122">
        <v>45331.6925694444</v>
      </c>
      <c r="AM1115" s="107">
        <v>1</v>
      </c>
    </row>
    <row r="1116" customHeight="1" spans="38:39">
      <c r="AL1116" s="122">
        <v>45332.392974537</v>
      </c>
      <c r="AM1116" s="107">
        <v>1</v>
      </c>
    </row>
    <row r="1117" customHeight="1" spans="38:39">
      <c r="AL1117" s="122">
        <v>45332.48</v>
      </c>
      <c r="AM1117" s="107">
        <v>1</v>
      </c>
    </row>
    <row r="1118" customHeight="1" spans="38:39">
      <c r="AL1118" s="122">
        <v>45332.5155439815</v>
      </c>
      <c r="AM1118" s="107">
        <v>1</v>
      </c>
    </row>
    <row r="1119" customHeight="1" spans="38:39">
      <c r="AL1119" s="122">
        <v>45332.8136226852</v>
      </c>
      <c r="AM1119" s="107">
        <v>1</v>
      </c>
    </row>
    <row r="1120" customHeight="1" spans="38:39">
      <c r="AL1120" s="122">
        <v>45332.8334606482</v>
      </c>
      <c r="AM1120" s="107">
        <v>1</v>
      </c>
    </row>
    <row r="1121" customHeight="1" spans="38:39">
      <c r="AL1121" s="122">
        <v>45333.4817708333</v>
      </c>
      <c r="AM1121" s="107">
        <v>1</v>
      </c>
    </row>
    <row r="1122" customHeight="1" spans="38:39">
      <c r="AL1122" s="122">
        <v>45333.5036342593</v>
      </c>
      <c r="AM1122" s="107">
        <v>1</v>
      </c>
    </row>
    <row r="1123" customHeight="1" spans="38:39">
      <c r="AL1123" s="122">
        <v>45333.563287037</v>
      </c>
      <c r="AM1123" s="107">
        <v>1</v>
      </c>
    </row>
    <row r="1124" customHeight="1" spans="38:39">
      <c r="AL1124" s="122">
        <v>45333.6005787037</v>
      </c>
      <c r="AM1124" s="107">
        <v>1</v>
      </c>
    </row>
    <row r="1125" customHeight="1" spans="38:39">
      <c r="AL1125" s="122">
        <v>45333.6360069444</v>
      </c>
      <c r="AM1125" s="107">
        <v>1</v>
      </c>
    </row>
    <row r="1126" customHeight="1" spans="38:39">
      <c r="AL1126" s="122">
        <v>45333.7314930556</v>
      </c>
      <c r="AM1126" s="107">
        <v>1</v>
      </c>
    </row>
    <row r="1127" customHeight="1" spans="38:39">
      <c r="AL1127" s="122">
        <v>45333.7518865741</v>
      </c>
      <c r="AM1127" s="107">
        <v>1</v>
      </c>
    </row>
    <row r="1128" customHeight="1" spans="38:39">
      <c r="AL1128" s="122">
        <v>45334.4860416667</v>
      </c>
      <c r="AM1128" s="107">
        <v>1</v>
      </c>
    </row>
    <row r="1129" customHeight="1" spans="38:39">
      <c r="AL1129" s="122">
        <v>45334.5692592593</v>
      </c>
      <c r="AM1129" s="107">
        <v>1</v>
      </c>
    </row>
    <row r="1130" customHeight="1" spans="38:39">
      <c r="AL1130" s="122">
        <v>45335.3982986111</v>
      </c>
      <c r="AM1130" s="107">
        <v>1</v>
      </c>
    </row>
    <row r="1131" customHeight="1" spans="38:39">
      <c r="AL1131" s="122">
        <v>45335.4793865741</v>
      </c>
      <c r="AM1131" s="107">
        <v>1</v>
      </c>
    </row>
    <row r="1132" customHeight="1" spans="38:39">
      <c r="AL1132" s="122">
        <v>45335.5857175926</v>
      </c>
      <c r="AM1132" s="107">
        <v>1</v>
      </c>
    </row>
    <row r="1133" customHeight="1" spans="38:39">
      <c r="AL1133" s="122">
        <v>45335.6876851852</v>
      </c>
      <c r="AM1133" s="107">
        <v>1</v>
      </c>
    </row>
    <row r="1134" customHeight="1" spans="38:39">
      <c r="AL1134" s="122">
        <v>45336.6836342593</v>
      </c>
      <c r="AM1134" s="107">
        <v>1</v>
      </c>
    </row>
    <row r="1135" customHeight="1" spans="38:39">
      <c r="AL1135" s="122">
        <v>45337.3756712963</v>
      </c>
      <c r="AM1135" s="107">
        <v>1</v>
      </c>
    </row>
    <row r="1136" customHeight="1" spans="38:39">
      <c r="AL1136" s="122">
        <v>45337.389212963</v>
      </c>
      <c r="AM1136" s="107">
        <v>1</v>
      </c>
    </row>
    <row r="1137" customHeight="1" spans="38:39">
      <c r="AL1137" s="122">
        <v>45337.8149652778</v>
      </c>
      <c r="AM1137" s="107">
        <v>1</v>
      </c>
    </row>
    <row r="1138" customHeight="1" spans="38:39">
      <c r="AL1138" s="122">
        <v>45338.3893055556</v>
      </c>
      <c r="AM1138" s="107">
        <v>1</v>
      </c>
    </row>
    <row r="1139" customHeight="1" spans="38:39">
      <c r="AL1139" s="122">
        <v>45338.3978240741</v>
      </c>
      <c r="AM1139" s="107">
        <v>1</v>
      </c>
    </row>
    <row r="1140" customHeight="1" spans="38:39">
      <c r="AL1140" s="122">
        <v>45338.5612847222</v>
      </c>
      <c r="AM1140" s="107">
        <v>1</v>
      </c>
    </row>
    <row r="1141" customHeight="1" spans="38:39">
      <c r="AL1141" s="122">
        <v>45338.5639930556</v>
      </c>
      <c r="AM1141" s="107">
        <v>1</v>
      </c>
    </row>
    <row r="1142" customHeight="1" spans="38:39">
      <c r="AL1142" s="122">
        <v>45339.6756134259</v>
      </c>
      <c r="AM1142" s="107">
        <v>1</v>
      </c>
    </row>
    <row r="1143" customHeight="1" spans="38:39">
      <c r="AL1143" s="122">
        <v>45339.730787037</v>
      </c>
      <c r="AM1143" s="107">
        <v>1</v>
      </c>
    </row>
    <row r="1144" customHeight="1" spans="38:39">
      <c r="AL1144" s="122">
        <v>45340.5385416667</v>
      </c>
      <c r="AM1144" s="107">
        <v>1</v>
      </c>
    </row>
    <row r="1145" customHeight="1" spans="38:39">
      <c r="AL1145" s="122">
        <v>45340.7468634259</v>
      </c>
      <c r="AM1145" s="107">
        <v>1</v>
      </c>
    </row>
    <row r="1146" customHeight="1" spans="38:39">
      <c r="AL1146" s="122">
        <v>45341.477037037</v>
      </c>
      <c r="AM1146" s="107">
        <v>1</v>
      </c>
    </row>
    <row r="1147" customHeight="1" spans="38:39">
      <c r="AL1147" s="122">
        <v>45341.489525463</v>
      </c>
      <c r="AM1147" s="107">
        <v>1</v>
      </c>
    </row>
    <row r="1148" customHeight="1" spans="38:39">
      <c r="AL1148" s="122">
        <v>45341.5970601852</v>
      </c>
      <c r="AM1148" s="107">
        <v>1</v>
      </c>
    </row>
    <row r="1149" customHeight="1" spans="38:39">
      <c r="AL1149" s="122">
        <v>45341.6187037037</v>
      </c>
      <c r="AM1149" s="107">
        <v>1</v>
      </c>
    </row>
    <row r="1150" customHeight="1" spans="38:39">
      <c r="AL1150" s="122">
        <v>45341.7898032407</v>
      </c>
      <c r="AM1150" s="107">
        <v>1</v>
      </c>
    </row>
    <row r="1151" customHeight="1" spans="38:39">
      <c r="AL1151" s="122">
        <v>45342.46875</v>
      </c>
      <c r="AM1151" s="107">
        <v>1</v>
      </c>
    </row>
    <row r="1152" customHeight="1" spans="38:39">
      <c r="AL1152" s="122">
        <v>45342.4841203704</v>
      </c>
      <c r="AM1152" s="107">
        <v>1</v>
      </c>
    </row>
    <row r="1153" customHeight="1" spans="38:39">
      <c r="AL1153" s="122">
        <v>45342.5625694444</v>
      </c>
      <c r="AM1153" s="107">
        <v>1</v>
      </c>
    </row>
    <row r="1154" customHeight="1" spans="38:39">
      <c r="AL1154" s="122">
        <v>45342.7050462963</v>
      </c>
      <c r="AM1154" s="107">
        <v>1</v>
      </c>
    </row>
    <row r="1155" customHeight="1" spans="38:39">
      <c r="AL1155" s="122">
        <v>45343.42125</v>
      </c>
      <c r="AM1155" s="107">
        <v>1</v>
      </c>
    </row>
    <row r="1156" customHeight="1" spans="38:39">
      <c r="AL1156" s="122">
        <v>45343.4824421296</v>
      </c>
      <c r="AM1156" s="107">
        <v>1</v>
      </c>
    </row>
    <row r="1157" customHeight="1" spans="38:39">
      <c r="AL1157" s="122">
        <v>45343.5961921296</v>
      </c>
      <c r="AM1157" s="107">
        <v>1</v>
      </c>
    </row>
    <row r="1158" customHeight="1" spans="38:39">
      <c r="AL1158" s="122">
        <v>45343.6793518519</v>
      </c>
      <c r="AM1158" s="107">
        <v>1</v>
      </c>
    </row>
    <row r="1159" customHeight="1" spans="38:39">
      <c r="AL1159" s="122">
        <v>45344.3750231481</v>
      </c>
      <c r="AM1159" s="107">
        <v>1</v>
      </c>
    </row>
    <row r="1160" customHeight="1" spans="38:39">
      <c r="AL1160" s="122">
        <v>45344.4126967593</v>
      </c>
      <c r="AM1160" s="107">
        <v>1</v>
      </c>
    </row>
    <row r="1161" customHeight="1" spans="38:39">
      <c r="AL1161" s="122">
        <v>45344.4309953704</v>
      </c>
      <c r="AM1161" s="107">
        <v>1</v>
      </c>
    </row>
    <row r="1162" customHeight="1" spans="38:39">
      <c r="AL1162" s="122">
        <v>45344.7371180556</v>
      </c>
      <c r="AM1162" s="107">
        <v>1</v>
      </c>
    </row>
    <row r="1163" customHeight="1" spans="38:39">
      <c r="AL1163" s="122">
        <v>45345.3906481481</v>
      </c>
      <c r="AM1163" s="107">
        <v>1</v>
      </c>
    </row>
    <row r="1164" customHeight="1" spans="38:39">
      <c r="AL1164" s="122">
        <v>45345.4368171296</v>
      </c>
      <c r="AM1164" s="107">
        <v>1</v>
      </c>
    </row>
    <row r="1165" customHeight="1" spans="38:39">
      <c r="AL1165" s="122">
        <v>45345.4403703704</v>
      </c>
      <c r="AM1165" s="107">
        <v>1</v>
      </c>
    </row>
    <row r="1166" customHeight="1" spans="38:39">
      <c r="AL1166" s="122">
        <v>45345.6296412037</v>
      </c>
      <c r="AM1166" s="107">
        <v>1</v>
      </c>
    </row>
    <row r="1167" customHeight="1" spans="38:39">
      <c r="AL1167" s="122">
        <v>45346.6737962963</v>
      </c>
      <c r="AM1167" s="107">
        <v>1</v>
      </c>
    </row>
    <row r="1168" customHeight="1" spans="38:39">
      <c r="AL1168" s="122">
        <v>45346.7429976852</v>
      </c>
      <c r="AM1168" s="107">
        <v>1</v>
      </c>
    </row>
    <row r="1169" customHeight="1" spans="38:39">
      <c r="AL1169" s="122">
        <v>45347.3621643518</v>
      </c>
      <c r="AM1169" s="107">
        <v>1</v>
      </c>
    </row>
    <row r="1170" customHeight="1" spans="38:39">
      <c r="AL1170" s="122">
        <v>45347.3821643519</v>
      </c>
      <c r="AM1170" s="107">
        <v>1</v>
      </c>
    </row>
    <row r="1171" customHeight="1" spans="38:39">
      <c r="AL1171" s="122">
        <v>45347.4893055556</v>
      </c>
      <c r="AM1171" s="107">
        <v>1</v>
      </c>
    </row>
    <row r="1172" customHeight="1" spans="38:39">
      <c r="AL1172" s="122">
        <v>45347.5277199074</v>
      </c>
      <c r="AM1172" s="107">
        <v>1</v>
      </c>
    </row>
    <row r="1173" customHeight="1" spans="38:39">
      <c r="AL1173" s="122">
        <v>45348.4777546296</v>
      </c>
      <c r="AM1173" s="107">
        <v>1</v>
      </c>
    </row>
    <row r="1174" customHeight="1" spans="38:39">
      <c r="AL1174" s="122">
        <v>45348.5227662037</v>
      </c>
      <c r="AM1174" s="107">
        <v>1</v>
      </c>
    </row>
    <row r="1175" customHeight="1" spans="38:39">
      <c r="AL1175" s="122">
        <v>45348.6764814815</v>
      </c>
      <c r="AM1175" s="107">
        <v>1</v>
      </c>
    </row>
    <row r="1176" customHeight="1" spans="38:39">
      <c r="AL1176" s="122">
        <v>45348.6891203704</v>
      </c>
      <c r="AM1176" s="107">
        <v>1</v>
      </c>
    </row>
    <row r="1177" customHeight="1" spans="38:39">
      <c r="AL1177" s="122">
        <v>45348.7128935185</v>
      </c>
      <c r="AM1177" s="107">
        <v>1</v>
      </c>
    </row>
    <row r="1178" customHeight="1" spans="38:39">
      <c r="AL1178" s="122">
        <v>45349.3559953704</v>
      </c>
      <c r="AM1178" s="107">
        <v>1</v>
      </c>
    </row>
    <row r="1179" customHeight="1" spans="38:39">
      <c r="AL1179" s="122">
        <v>45349.4196643519</v>
      </c>
      <c r="AM1179" s="107">
        <v>1</v>
      </c>
    </row>
    <row r="1180" customHeight="1" spans="38:39">
      <c r="AL1180" s="122">
        <v>45349.4362615741</v>
      </c>
      <c r="AM1180" s="107">
        <v>1</v>
      </c>
    </row>
    <row r="1181" customHeight="1" spans="38:39">
      <c r="AL1181" s="122">
        <v>45349.5837384259</v>
      </c>
      <c r="AM1181" s="107">
        <v>1</v>
      </c>
    </row>
    <row r="1182" customHeight="1" spans="38:39">
      <c r="AL1182" s="122">
        <v>45350.5088310185</v>
      </c>
      <c r="AM1182" s="107">
        <v>1</v>
      </c>
    </row>
    <row r="1183" customHeight="1" spans="38:39">
      <c r="AL1183" s="122">
        <v>45350.564375</v>
      </c>
      <c r="AM1183" s="107">
        <v>1</v>
      </c>
    </row>
    <row r="1184" customHeight="1" spans="38:39">
      <c r="AL1184" s="122">
        <v>45351.4912847222</v>
      </c>
      <c r="AM1184" s="107">
        <v>1</v>
      </c>
    </row>
    <row r="1185" customHeight="1" spans="38:39">
      <c r="AL1185" s="122">
        <v>45351.4943865741</v>
      </c>
      <c r="AM1185" s="107">
        <v>1</v>
      </c>
    </row>
    <row r="1186" customHeight="1" spans="38:39">
      <c r="AL1186" s="122">
        <v>45351.5097222222</v>
      </c>
      <c r="AM1186" s="107">
        <v>1</v>
      </c>
    </row>
    <row r="1187" customHeight="1" spans="38:39">
      <c r="AL1187" s="122">
        <v>45351.5496990741</v>
      </c>
      <c r="AM1187" s="107">
        <v>1</v>
      </c>
    </row>
    <row r="1188" customHeight="1" spans="38:39">
      <c r="AL1188" s="122">
        <v>45351.7000115741</v>
      </c>
      <c r="AM1188" s="107">
        <v>1</v>
      </c>
    </row>
    <row r="1189" customHeight="1" spans="38:39">
      <c r="AL1189" s="122">
        <v>45352.3633333333</v>
      </c>
      <c r="AM1189" s="107">
        <v>1</v>
      </c>
    </row>
    <row r="1190" customHeight="1" spans="38:39">
      <c r="AL1190" s="122">
        <v>45352.3633912037</v>
      </c>
      <c r="AM1190" s="107">
        <v>1</v>
      </c>
    </row>
    <row r="1191" customHeight="1" spans="38:39">
      <c r="AL1191" s="122">
        <v>45352.3741203704</v>
      </c>
      <c r="AM1191" s="107">
        <v>1</v>
      </c>
    </row>
    <row r="1192" customHeight="1" spans="38:39">
      <c r="AL1192" s="122">
        <v>45352.4379976852</v>
      </c>
      <c r="AM1192" s="107">
        <v>1</v>
      </c>
    </row>
    <row r="1193" customHeight="1" spans="38:39">
      <c r="AL1193" s="122">
        <v>45352.6813888889</v>
      </c>
      <c r="AM1193" s="107">
        <v>1</v>
      </c>
    </row>
    <row r="1194" customHeight="1" spans="38:39">
      <c r="AL1194" s="122">
        <v>45352.697974537</v>
      </c>
      <c r="AM1194" s="107">
        <v>1</v>
      </c>
    </row>
    <row r="1195" customHeight="1" spans="38:39">
      <c r="AL1195" s="122">
        <v>45352.7593518519</v>
      </c>
      <c r="AM1195" s="107">
        <v>1</v>
      </c>
    </row>
    <row r="1196" customHeight="1" spans="38:39">
      <c r="AL1196" s="122">
        <v>45353.3719444444</v>
      </c>
      <c r="AM1196" s="107">
        <v>1</v>
      </c>
    </row>
    <row r="1197" customHeight="1" spans="38:39">
      <c r="AL1197" s="122">
        <v>45353.3986921296</v>
      </c>
      <c r="AM1197" s="107">
        <v>1</v>
      </c>
    </row>
    <row r="1198" customHeight="1" spans="38:39">
      <c r="AL1198" s="122">
        <v>45353.4977546296</v>
      </c>
      <c r="AM1198" s="107">
        <v>1</v>
      </c>
    </row>
    <row r="1199" customHeight="1" spans="38:39">
      <c r="AL1199" s="122">
        <v>45353.6025</v>
      </c>
      <c r="AM1199" s="107">
        <v>1</v>
      </c>
    </row>
    <row r="1200" customHeight="1" spans="38:39">
      <c r="AL1200" s="122">
        <v>45353.632337963</v>
      </c>
      <c r="AM1200" s="107">
        <v>1</v>
      </c>
    </row>
    <row r="1201" customHeight="1" spans="38:39">
      <c r="AL1201" s="122">
        <v>45353.7607175926</v>
      </c>
      <c r="AM1201" s="107">
        <v>1</v>
      </c>
    </row>
    <row r="1202" customHeight="1" spans="38:39">
      <c r="AL1202" s="122">
        <v>45354.3932986111</v>
      </c>
      <c r="AM1202" s="107">
        <v>1</v>
      </c>
    </row>
    <row r="1203" customHeight="1" spans="38:39">
      <c r="AL1203" s="122">
        <v>45354.6487268519</v>
      </c>
      <c r="AM1203" s="107">
        <v>1</v>
      </c>
    </row>
    <row r="1204" customHeight="1" spans="38:39">
      <c r="AL1204" s="122">
        <v>45355.3625115741</v>
      </c>
      <c r="AM1204" s="107">
        <v>1</v>
      </c>
    </row>
    <row r="1205" customHeight="1" spans="38:39">
      <c r="AL1205" s="122">
        <v>45355.3800462963</v>
      </c>
      <c r="AM1205" s="107">
        <v>1</v>
      </c>
    </row>
    <row r="1206" customHeight="1" spans="38:39">
      <c r="AL1206" s="122">
        <v>45355.4108333333</v>
      </c>
      <c r="AM1206" s="107">
        <v>1</v>
      </c>
    </row>
    <row r="1207" customHeight="1" spans="38:39">
      <c r="AL1207" s="122">
        <v>45355.450787037</v>
      </c>
      <c r="AM1207" s="107">
        <v>1</v>
      </c>
    </row>
    <row r="1208" customHeight="1" spans="38:39">
      <c r="AL1208" s="122">
        <v>45355.4877083333</v>
      </c>
      <c r="AM1208" s="107">
        <v>1</v>
      </c>
    </row>
    <row r="1209" customHeight="1" spans="38:39">
      <c r="AL1209" s="122">
        <v>45355.6134722222</v>
      </c>
      <c r="AM1209" s="107">
        <v>1</v>
      </c>
    </row>
    <row r="1210" customHeight="1" spans="38:39">
      <c r="AL1210" s="122">
        <v>45356.3481365741</v>
      </c>
      <c r="AM1210" s="107">
        <v>1</v>
      </c>
    </row>
    <row r="1211" customHeight="1" spans="38:39">
      <c r="AL1211" s="122">
        <v>45356.3980324074</v>
      </c>
      <c r="AM1211" s="107">
        <v>1</v>
      </c>
    </row>
    <row r="1212" customHeight="1" spans="38:39">
      <c r="AL1212" s="122">
        <v>45356.4213425926</v>
      </c>
      <c r="AM1212" s="107">
        <v>1</v>
      </c>
    </row>
    <row r="1213" customHeight="1" spans="38:39">
      <c r="AL1213" s="122">
        <v>45356.445162037</v>
      </c>
      <c r="AM1213" s="107">
        <v>1</v>
      </c>
    </row>
    <row r="1214" customHeight="1" spans="38:39">
      <c r="AL1214" s="122">
        <v>45356.5135416667</v>
      </c>
      <c r="AM1214" s="107">
        <v>1</v>
      </c>
    </row>
    <row r="1215" customHeight="1" spans="38:39">
      <c r="AL1215" s="122">
        <v>45356.5993865741</v>
      </c>
      <c r="AM1215" s="107">
        <v>1</v>
      </c>
    </row>
    <row r="1216" customHeight="1" spans="38:39">
      <c r="AL1216" s="122">
        <v>45357.3539814815</v>
      </c>
      <c r="AM1216" s="107">
        <v>1</v>
      </c>
    </row>
    <row r="1217" customHeight="1" spans="38:39">
      <c r="AL1217" s="122">
        <v>45357.4733217593</v>
      </c>
      <c r="AM1217" s="107">
        <v>1</v>
      </c>
    </row>
    <row r="1218" customHeight="1" spans="38:39">
      <c r="AL1218" s="122">
        <v>45357.5163425926</v>
      </c>
      <c r="AM1218" s="107">
        <v>1</v>
      </c>
    </row>
    <row r="1219" customHeight="1" spans="38:39">
      <c r="AL1219" s="122">
        <v>45357.6100347222</v>
      </c>
      <c r="AM1219" s="107">
        <v>1</v>
      </c>
    </row>
    <row r="1220" customHeight="1" spans="38:39">
      <c r="AL1220" s="122">
        <v>45358.386087963</v>
      </c>
      <c r="AM1220" s="107">
        <v>1</v>
      </c>
    </row>
    <row r="1221" customHeight="1" spans="38:39">
      <c r="AL1221" s="122">
        <v>45358.4074305556</v>
      </c>
      <c r="AM1221" s="107">
        <v>1</v>
      </c>
    </row>
    <row r="1222" customHeight="1" spans="38:39">
      <c r="AL1222" s="122">
        <v>45358.5764814815</v>
      </c>
      <c r="AM1222" s="107">
        <v>1</v>
      </c>
    </row>
    <row r="1223" customHeight="1" spans="38:39">
      <c r="AL1223" s="122">
        <v>45358.7334953704</v>
      </c>
      <c r="AM1223" s="107">
        <v>1</v>
      </c>
    </row>
    <row r="1224" customHeight="1" spans="38:39">
      <c r="AL1224" s="122">
        <v>45358.7410069444</v>
      </c>
      <c r="AM1224" s="107">
        <v>1</v>
      </c>
    </row>
    <row r="1225" customHeight="1" spans="38:39">
      <c r="AL1225" s="122">
        <v>45359.457962963</v>
      </c>
      <c r="AM1225" s="107">
        <v>1</v>
      </c>
    </row>
    <row r="1226" customHeight="1" spans="38:39">
      <c r="AL1226" s="122">
        <v>45359.5172685185</v>
      </c>
      <c r="AM1226" s="107">
        <v>1</v>
      </c>
    </row>
    <row r="1227" customHeight="1" spans="38:39">
      <c r="AL1227" s="122">
        <v>45359.650787037</v>
      </c>
      <c r="AM1227" s="107">
        <v>1</v>
      </c>
    </row>
    <row r="1228" customHeight="1" spans="38:39">
      <c r="AL1228" s="122">
        <v>45359.761087963</v>
      </c>
      <c r="AM1228" s="107">
        <v>1</v>
      </c>
    </row>
    <row r="1229" customHeight="1" spans="38:39">
      <c r="AL1229" s="122">
        <v>45360.4492013889</v>
      </c>
      <c r="AM1229" s="107">
        <v>1</v>
      </c>
    </row>
    <row r="1230" customHeight="1" spans="38:39">
      <c r="AL1230" s="122">
        <v>45360.4752083333</v>
      </c>
      <c r="AM1230" s="107">
        <v>1</v>
      </c>
    </row>
    <row r="1231" customHeight="1" spans="38:39">
      <c r="AL1231" s="122">
        <v>45360.4808912037</v>
      </c>
      <c r="AM1231" s="107">
        <v>1</v>
      </c>
    </row>
    <row r="1232" customHeight="1" spans="38:39">
      <c r="AL1232" s="122">
        <v>45360.6729513889</v>
      </c>
      <c r="AM1232" s="107">
        <v>1</v>
      </c>
    </row>
    <row r="1233" customHeight="1" spans="38:39">
      <c r="AL1233" s="122">
        <v>45361.7456712963</v>
      </c>
      <c r="AM1233" s="107">
        <v>1</v>
      </c>
    </row>
    <row r="1234" customHeight="1" spans="38:39">
      <c r="AL1234" s="122">
        <v>45362.5742592593</v>
      </c>
      <c r="AM1234" s="107">
        <v>1</v>
      </c>
    </row>
    <row r="1235" customHeight="1" spans="38:39">
      <c r="AL1235" s="122">
        <v>45362.6006365741</v>
      </c>
      <c r="AM1235" s="107">
        <v>1</v>
      </c>
    </row>
    <row r="1236" customHeight="1" spans="38:39">
      <c r="AL1236" s="122">
        <v>45362.6523842593</v>
      </c>
      <c r="AM1236" s="107">
        <v>1</v>
      </c>
    </row>
    <row r="1237" customHeight="1" spans="38:39">
      <c r="AL1237" s="122">
        <v>45363.3563425926</v>
      </c>
      <c r="AM1237" s="107">
        <v>1</v>
      </c>
    </row>
    <row r="1238" customHeight="1" spans="38:39">
      <c r="AL1238" s="122">
        <v>45363.5932523148</v>
      </c>
      <c r="AM1238" s="107">
        <v>1</v>
      </c>
    </row>
    <row r="1239" customHeight="1" spans="38:39">
      <c r="AL1239" s="122">
        <v>45364.4432523148</v>
      </c>
      <c r="AM1239" s="107">
        <v>1</v>
      </c>
    </row>
    <row r="1240" customHeight="1" spans="38:39">
      <c r="AL1240" s="122">
        <v>45364.5766435185</v>
      </c>
      <c r="AM1240" s="107">
        <v>1</v>
      </c>
    </row>
    <row r="1241" customHeight="1" spans="38:39">
      <c r="AL1241" s="122">
        <v>45364.6274884259</v>
      </c>
      <c r="AM1241" s="107">
        <v>1</v>
      </c>
    </row>
    <row r="1242" customHeight="1" spans="38:39">
      <c r="AL1242" s="122">
        <v>45364.646724537</v>
      </c>
      <c r="AM1242" s="107">
        <v>1</v>
      </c>
    </row>
    <row r="1243" customHeight="1" spans="38:39">
      <c r="AL1243" s="122">
        <v>45364.6989930556</v>
      </c>
      <c r="AM1243" s="107">
        <v>1</v>
      </c>
    </row>
    <row r="1244" customHeight="1" spans="38:39">
      <c r="AL1244" s="122">
        <v>45365.3593055556</v>
      </c>
      <c r="AM1244" s="107">
        <v>1</v>
      </c>
    </row>
    <row r="1245" customHeight="1" spans="38:39">
      <c r="AL1245" s="122">
        <v>45365.4112384259</v>
      </c>
      <c r="AM1245" s="107">
        <v>1</v>
      </c>
    </row>
    <row r="1246" customHeight="1" spans="38:39">
      <c r="AL1246" s="122">
        <v>45365.446099537</v>
      </c>
      <c r="AM1246" s="107">
        <v>1</v>
      </c>
    </row>
    <row r="1247" customHeight="1" spans="38:39">
      <c r="AL1247" s="122">
        <v>45365.4560069444</v>
      </c>
      <c r="AM1247" s="107">
        <v>1</v>
      </c>
    </row>
    <row r="1248" customHeight="1" spans="38:39">
      <c r="AL1248" s="122">
        <v>45365.6771990741</v>
      </c>
      <c r="AM1248" s="107">
        <v>1</v>
      </c>
    </row>
    <row r="1249" customHeight="1" spans="38:39">
      <c r="AL1249" s="122">
        <v>45365.8001273148</v>
      </c>
      <c r="AM1249" s="107">
        <v>1</v>
      </c>
    </row>
    <row r="1250" customHeight="1" spans="38:39">
      <c r="AL1250" s="122">
        <v>45366.3670486111</v>
      </c>
      <c r="AM1250" s="107">
        <v>1</v>
      </c>
    </row>
    <row r="1251" customHeight="1" spans="38:39">
      <c r="AL1251" s="122">
        <v>45366.5893518518</v>
      </c>
      <c r="AM1251" s="107">
        <v>1</v>
      </c>
    </row>
    <row r="1252" customHeight="1" spans="38:39">
      <c r="AL1252" s="122">
        <v>45366.603287037</v>
      </c>
      <c r="AM1252" s="107">
        <v>1</v>
      </c>
    </row>
    <row r="1253" customHeight="1" spans="38:39">
      <c r="AL1253" s="122">
        <v>45366.6434722222</v>
      </c>
      <c r="AM1253" s="107">
        <v>1</v>
      </c>
    </row>
    <row r="1254" customHeight="1" spans="38:39">
      <c r="AL1254" s="122">
        <v>45366.6644560185</v>
      </c>
      <c r="AM1254" s="107">
        <v>1</v>
      </c>
    </row>
    <row r="1255" customHeight="1" spans="38:39">
      <c r="AL1255" s="122">
        <v>45367.6178587963</v>
      </c>
      <c r="AM1255" s="107">
        <v>1</v>
      </c>
    </row>
    <row r="1256" customHeight="1" spans="38:39">
      <c r="AL1256" s="122">
        <v>45367.6995833333</v>
      </c>
      <c r="AM1256" s="107">
        <v>1</v>
      </c>
    </row>
    <row r="1257" customHeight="1" spans="38:39">
      <c r="AL1257" s="122">
        <v>45367.7059837963</v>
      </c>
      <c r="AM1257" s="107">
        <v>1</v>
      </c>
    </row>
    <row r="1258" customHeight="1" spans="38:39">
      <c r="AL1258" s="122">
        <v>45367.8067592593</v>
      </c>
      <c r="AM1258" s="107">
        <v>1</v>
      </c>
    </row>
    <row r="1259" customHeight="1" spans="38:39">
      <c r="AL1259" s="122">
        <v>45369.3680439815</v>
      </c>
      <c r="AM1259" s="107">
        <v>1</v>
      </c>
    </row>
    <row r="1260" customHeight="1" spans="38:39">
      <c r="AL1260" s="122">
        <v>45369.7724537037</v>
      </c>
      <c r="AM1260" s="107">
        <v>1</v>
      </c>
    </row>
    <row r="1261" customHeight="1" spans="38:39">
      <c r="AL1261" s="122">
        <v>45370.3623842593</v>
      </c>
      <c r="AM1261" s="107">
        <v>1</v>
      </c>
    </row>
    <row r="1262" customHeight="1" spans="38:39">
      <c r="AL1262" s="122">
        <v>45370.3804861111</v>
      </c>
      <c r="AM1262" s="107">
        <v>1</v>
      </c>
    </row>
    <row r="1263" customHeight="1" spans="38:39">
      <c r="AL1263" s="122">
        <v>45371.3981365741</v>
      </c>
      <c r="AM1263" s="107">
        <v>1</v>
      </c>
    </row>
    <row r="1264" customHeight="1" spans="38:39">
      <c r="AL1264" s="122">
        <v>45371.438599537</v>
      </c>
      <c r="AM1264" s="107">
        <v>1</v>
      </c>
    </row>
    <row r="1265" customHeight="1" spans="38:39">
      <c r="AL1265" s="122">
        <v>45371.6725462963</v>
      </c>
      <c r="AM1265" s="107">
        <v>1</v>
      </c>
    </row>
    <row r="1266" customHeight="1" spans="38:39">
      <c r="AL1266" s="122">
        <v>45371.7538888889</v>
      </c>
      <c r="AM1266" s="107">
        <v>1</v>
      </c>
    </row>
    <row r="1267" customHeight="1" spans="38:39">
      <c r="AL1267" s="122">
        <v>45372.3491898148</v>
      </c>
      <c r="AM1267" s="107">
        <v>1</v>
      </c>
    </row>
    <row r="1268" customHeight="1" spans="38:39">
      <c r="AL1268" s="122">
        <v>45372.4103935185</v>
      </c>
      <c r="AM1268" s="107">
        <v>1</v>
      </c>
    </row>
    <row r="1269" customHeight="1" spans="38:39">
      <c r="AL1269" s="122">
        <v>45372.4944907407</v>
      </c>
      <c r="AM1269" s="107">
        <v>1</v>
      </c>
    </row>
    <row r="1270" customHeight="1" spans="38:39">
      <c r="AL1270" s="122">
        <v>45372.667662037</v>
      </c>
      <c r="AM1270" s="107">
        <v>1</v>
      </c>
    </row>
    <row r="1271" customHeight="1" spans="38:39">
      <c r="AL1271" s="122">
        <v>45372.6693981482</v>
      </c>
      <c r="AM1271" s="107">
        <v>1</v>
      </c>
    </row>
    <row r="1272" customHeight="1" spans="38:39">
      <c r="AL1272" s="122">
        <v>45372.7179861111</v>
      </c>
      <c r="AM1272" s="107">
        <v>1</v>
      </c>
    </row>
    <row r="1273" customHeight="1" spans="38:39">
      <c r="AL1273" s="122">
        <v>45372.8559375</v>
      </c>
      <c r="AM1273" s="107">
        <v>1</v>
      </c>
    </row>
    <row r="1274" customHeight="1" spans="38:39">
      <c r="AL1274" s="122">
        <v>45373.4477430556</v>
      </c>
      <c r="AM1274" s="107">
        <v>1</v>
      </c>
    </row>
    <row r="1275" customHeight="1" spans="38:39">
      <c r="AL1275" s="122">
        <v>45373.6785648148</v>
      </c>
      <c r="AM1275" s="107">
        <v>1</v>
      </c>
    </row>
    <row r="1276" customHeight="1" spans="38:39">
      <c r="AL1276" s="122">
        <v>45373.7503009259</v>
      </c>
      <c r="AM1276" s="107">
        <v>1</v>
      </c>
    </row>
    <row r="1277" customHeight="1" spans="38:39">
      <c r="AL1277" s="122">
        <v>45373.7813310185</v>
      </c>
      <c r="AM1277" s="107">
        <v>1</v>
      </c>
    </row>
    <row r="1278" customHeight="1" spans="38:39">
      <c r="AL1278" s="122">
        <v>45374.5604166667</v>
      </c>
      <c r="AM1278" s="107">
        <v>1</v>
      </c>
    </row>
    <row r="1279" customHeight="1" spans="38:39">
      <c r="AL1279" s="122">
        <v>45374.5672569444</v>
      </c>
      <c r="AM1279" s="107">
        <v>1</v>
      </c>
    </row>
    <row r="1280" customHeight="1" spans="38:39">
      <c r="AL1280" s="122">
        <v>45374.7034953704</v>
      </c>
      <c r="AM1280" s="107">
        <v>1</v>
      </c>
    </row>
    <row r="1281" customHeight="1" spans="38:39">
      <c r="AL1281" s="122">
        <v>45375.5022800926</v>
      </c>
      <c r="AM1281" s="107">
        <v>1</v>
      </c>
    </row>
    <row r="1282" customHeight="1" spans="38:39">
      <c r="AL1282" s="122">
        <v>45375.7323611111</v>
      </c>
      <c r="AM1282" s="107">
        <v>1</v>
      </c>
    </row>
    <row r="1283" customHeight="1" spans="38:39">
      <c r="AL1283" s="122">
        <v>45376.3624305556</v>
      </c>
      <c r="AM1283" s="107">
        <v>1</v>
      </c>
    </row>
    <row r="1284" customHeight="1" spans="38:39">
      <c r="AL1284" s="122">
        <v>45376.503587963</v>
      </c>
      <c r="AM1284" s="107">
        <v>1</v>
      </c>
    </row>
    <row r="1285" customHeight="1" spans="38:39">
      <c r="AL1285" s="122">
        <v>45376.6392824074</v>
      </c>
      <c r="AM1285" s="107">
        <v>1</v>
      </c>
    </row>
    <row r="1286" customHeight="1" spans="38:39">
      <c r="AL1286" s="122">
        <v>45376.6572569444</v>
      </c>
      <c r="AM1286" s="107">
        <v>1</v>
      </c>
    </row>
    <row r="1287" customHeight="1" spans="38:39">
      <c r="AL1287" s="122">
        <v>45377.4681018519</v>
      </c>
      <c r="AM1287" s="107">
        <v>1</v>
      </c>
    </row>
    <row r="1288" customHeight="1" spans="38:39">
      <c r="AL1288" s="122">
        <v>45377.4706944444</v>
      </c>
      <c r="AM1288" s="107">
        <v>1</v>
      </c>
    </row>
    <row r="1289" customHeight="1" spans="38:39">
      <c r="AL1289" s="122">
        <v>45377.4739814815</v>
      </c>
      <c r="AM1289" s="107">
        <v>1</v>
      </c>
    </row>
    <row r="1290" customHeight="1" spans="38:39">
      <c r="AL1290" s="122">
        <v>45377.6934722222</v>
      </c>
      <c r="AM1290" s="107">
        <v>1</v>
      </c>
    </row>
    <row r="1291" customHeight="1" spans="38:39">
      <c r="AL1291" s="122">
        <v>45377.7034375</v>
      </c>
      <c r="AM1291" s="107">
        <v>1</v>
      </c>
    </row>
    <row r="1292" customHeight="1" spans="38:39">
      <c r="AL1292" s="122">
        <v>45377.7641087963</v>
      </c>
      <c r="AM1292" s="107">
        <v>1</v>
      </c>
    </row>
    <row r="1293" customHeight="1" spans="38:39">
      <c r="AL1293" s="122">
        <v>45378.4601967593</v>
      </c>
      <c r="AM1293" s="107">
        <v>1</v>
      </c>
    </row>
    <row r="1294" customHeight="1" spans="38:39">
      <c r="AL1294" s="122">
        <v>45378.4981134259</v>
      </c>
      <c r="AM1294" s="107">
        <v>1</v>
      </c>
    </row>
    <row r="1295" customHeight="1" spans="38:39">
      <c r="AL1295" s="122">
        <v>45378.5098032407</v>
      </c>
      <c r="AM1295" s="107">
        <v>1</v>
      </c>
    </row>
    <row r="1296" customHeight="1" spans="38:39">
      <c r="AL1296" s="122">
        <v>45378.5574884259</v>
      </c>
      <c r="AM1296" s="107">
        <v>1</v>
      </c>
    </row>
    <row r="1297" customHeight="1" spans="38:39">
      <c r="AL1297" s="122">
        <v>45378.6009837963</v>
      </c>
      <c r="AM1297" s="107">
        <v>1</v>
      </c>
    </row>
    <row r="1298" customHeight="1" spans="38:39">
      <c r="AL1298" s="122">
        <v>45378.6416898148</v>
      </c>
      <c r="AM1298" s="107">
        <v>1</v>
      </c>
    </row>
    <row r="1299" customHeight="1" spans="38:39">
      <c r="AL1299" s="122">
        <v>45378.6628935185</v>
      </c>
      <c r="AM1299" s="107">
        <v>1</v>
      </c>
    </row>
    <row r="1300" customHeight="1" spans="38:39">
      <c r="AL1300" s="122">
        <v>45378.6739467593</v>
      </c>
      <c r="AM1300" s="107">
        <v>1</v>
      </c>
    </row>
    <row r="1301" customHeight="1" spans="38:39">
      <c r="AL1301" s="122">
        <v>45378.6957060185</v>
      </c>
      <c r="AM1301" s="107">
        <v>1</v>
      </c>
    </row>
    <row r="1302" customHeight="1" spans="38:39">
      <c r="AL1302" s="122">
        <v>45378.6961458333</v>
      </c>
      <c r="AM1302" s="107">
        <v>1</v>
      </c>
    </row>
    <row r="1303" customHeight="1" spans="38:39">
      <c r="AL1303" s="122">
        <v>45378.7132407407</v>
      </c>
      <c r="AM1303" s="107">
        <v>1</v>
      </c>
    </row>
    <row r="1304" customHeight="1" spans="38:39">
      <c r="AL1304" s="122">
        <v>45378.7399768519</v>
      </c>
      <c r="AM1304" s="107">
        <v>1</v>
      </c>
    </row>
    <row r="1305" customHeight="1" spans="38:39">
      <c r="AL1305" s="122">
        <v>45378.7731944444</v>
      </c>
      <c r="AM1305" s="107">
        <v>1</v>
      </c>
    </row>
    <row r="1306" customHeight="1" spans="38:39">
      <c r="AL1306" s="122">
        <v>45378.8106597222</v>
      </c>
      <c r="AM1306" s="107">
        <v>1</v>
      </c>
    </row>
    <row r="1307" customHeight="1" spans="38:39">
      <c r="AL1307" s="122">
        <v>45378.8115509259</v>
      </c>
      <c r="AM1307" s="107">
        <v>1</v>
      </c>
    </row>
    <row r="1308" customHeight="1" spans="38:39">
      <c r="AL1308" s="122">
        <v>45379.3773148148</v>
      </c>
      <c r="AM1308" s="107">
        <v>1</v>
      </c>
    </row>
    <row r="1309" customHeight="1" spans="38:39">
      <c r="AL1309" s="122">
        <v>45379.4947453704</v>
      </c>
      <c r="AM1309" s="107">
        <v>1</v>
      </c>
    </row>
    <row r="1310" customHeight="1" spans="38:39">
      <c r="AL1310" s="122">
        <v>45379.6947569444</v>
      </c>
      <c r="AM1310" s="107">
        <v>1</v>
      </c>
    </row>
    <row r="1311" customHeight="1" spans="38:39">
      <c r="AL1311" s="122">
        <v>45379.704212963</v>
      </c>
      <c r="AM1311" s="107">
        <v>1</v>
      </c>
    </row>
    <row r="1312" customHeight="1" spans="38:39">
      <c r="AL1312" s="122">
        <v>45380.3748958333</v>
      </c>
      <c r="AM1312" s="107">
        <v>1</v>
      </c>
    </row>
    <row r="1313" customHeight="1" spans="38:39">
      <c r="AL1313" s="122">
        <v>45380.3788773148</v>
      </c>
      <c r="AM1313" s="107">
        <v>1</v>
      </c>
    </row>
    <row r="1314" customHeight="1" spans="38:39">
      <c r="AL1314" s="122">
        <v>45380.3943634259</v>
      </c>
      <c r="AM1314" s="107">
        <v>1</v>
      </c>
    </row>
    <row r="1315" customHeight="1" spans="38:39">
      <c r="AL1315" s="122">
        <v>45380.4136805556</v>
      </c>
      <c r="AM1315" s="107">
        <v>1</v>
      </c>
    </row>
    <row r="1316" customHeight="1" spans="38:39">
      <c r="AL1316" s="122">
        <v>45380.6803472222</v>
      </c>
      <c r="AM1316" s="107">
        <v>1</v>
      </c>
    </row>
    <row r="1317" customHeight="1" spans="38:39">
      <c r="AL1317" s="122">
        <v>45380.7847337963</v>
      </c>
      <c r="AM1317" s="107">
        <v>1</v>
      </c>
    </row>
    <row r="1318" customHeight="1" spans="38:39">
      <c r="AL1318" s="122">
        <v>45381.3397685185</v>
      </c>
      <c r="AM1318" s="107">
        <v>1</v>
      </c>
    </row>
    <row r="1319" customHeight="1" spans="38:39">
      <c r="AL1319" s="122">
        <v>45381.4397106481</v>
      </c>
      <c r="AM1319" s="107">
        <v>1</v>
      </c>
    </row>
    <row r="1320" customHeight="1" spans="38:39">
      <c r="AL1320" s="122">
        <v>45381.7465393519</v>
      </c>
      <c r="AM1320" s="107">
        <v>1</v>
      </c>
    </row>
    <row r="1321" customHeight="1" spans="38:39">
      <c r="AL1321" s="122">
        <v>45382.4835648148</v>
      </c>
      <c r="AM1321" s="107">
        <v>1</v>
      </c>
    </row>
    <row r="1322" customHeight="1" spans="38:39">
      <c r="AL1322" s="122">
        <v>45382.5156365741</v>
      </c>
      <c r="AM1322" s="107">
        <v>1</v>
      </c>
    </row>
    <row r="1323" customHeight="1" spans="38:39">
      <c r="AL1323" s="122">
        <v>45383.4370601852</v>
      </c>
      <c r="AM1323" s="107">
        <v>1</v>
      </c>
    </row>
    <row r="1324" customHeight="1" spans="38:39">
      <c r="AL1324" s="122">
        <v>45383.5230439815</v>
      </c>
      <c r="AM1324" s="107">
        <v>1</v>
      </c>
    </row>
    <row r="1325" customHeight="1" spans="38:39">
      <c r="AL1325" s="122">
        <v>45383.547025463</v>
      </c>
      <c r="AM1325" s="107">
        <v>1</v>
      </c>
    </row>
    <row r="1326" customHeight="1" spans="38:39">
      <c r="AL1326" s="122">
        <v>45383.6044675926</v>
      </c>
      <c r="AM1326" s="107">
        <v>1</v>
      </c>
    </row>
    <row r="1327" customHeight="1" spans="38:39">
      <c r="AL1327" s="122">
        <v>45383.6061689815</v>
      </c>
      <c r="AM1327" s="107">
        <v>1</v>
      </c>
    </row>
    <row r="1328" customHeight="1" spans="38:39">
      <c r="AL1328" s="122">
        <v>45383.6373842593</v>
      </c>
      <c r="AM1328" s="107">
        <v>1</v>
      </c>
    </row>
    <row r="1329" customHeight="1" spans="38:39">
      <c r="AL1329" s="122">
        <v>45383.6530787037</v>
      </c>
      <c r="AM1329" s="107">
        <v>1</v>
      </c>
    </row>
    <row r="1330" customHeight="1" spans="38:39">
      <c r="AL1330" s="122">
        <v>45383.7178009259</v>
      </c>
      <c r="AM1330" s="107">
        <v>1</v>
      </c>
    </row>
    <row r="1331" customHeight="1" spans="38:39">
      <c r="AL1331" s="122">
        <v>45383.7459375</v>
      </c>
      <c r="AM1331" s="107">
        <v>1</v>
      </c>
    </row>
    <row r="1332" customHeight="1" spans="38:39">
      <c r="AL1332" s="122">
        <v>45384.3933796296</v>
      </c>
      <c r="AM1332" s="107">
        <v>1</v>
      </c>
    </row>
    <row r="1333" customHeight="1" spans="38:39">
      <c r="AL1333" s="122">
        <v>45384.4658564815</v>
      </c>
      <c r="AM1333" s="107">
        <v>1</v>
      </c>
    </row>
    <row r="1334" customHeight="1" spans="38:39">
      <c r="AL1334" s="122">
        <v>45384.71125</v>
      </c>
      <c r="AM1334" s="107">
        <v>1</v>
      </c>
    </row>
    <row r="1335" customHeight="1" spans="38:39">
      <c r="AL1335" s="122">
        <v>45385.321875</v>
      </c>
      <c r="AM1335" s="107">
        <v>1</v>
      </c>
    </row>
    <row r="1336" customHeight="1" spans="38:39">
      <c r="AL1336" s="122">
        <v>45385.347025463</v>
      </c>
      <c r="AM1336" s="107">
        <v>1</v>
      </c>
    </row>
    <row r="1337" customHeight="1" spans="38:39">
      <c r="AL1337" s="122">
        <v>45385.3700115741</v>
      </c>
      <c r="AM1337" s="107">
        <v>1</v>
      </c>
    </row>
    <row r="1338" customHeight="1" spans="38:39">
      <c r="AL1338" s="122">
        <v>45386.4249189815</v>
      </c>
      <c r="AM1338" s="107">
        <v>1</v>
      </c>
    </row>
    <row r="1339" customHeight="1" spans="38:39">
      <c r="AL1339" s="122">
        <v>45386.4428587963</v>
      </c>
      <c r="AM1339" s="107">
        <v>1</v>
      </c>
    </row>
    <row r="1340" customHeight="1" spans="38:39">
      <c r="AL1340" s="122">
        <v>45386.5242824074</v>
      </c>
      <c r="AM1340" s="107">
        <v>1</v>
      </c>
    </row>
    <row r="1341" customHeight="1" spans="38:39">
      <c r="AL1341" s="122">
        <v>45386.5479166667</v>
      </c>
      <c r="AM1341" s="107">
        <v>1</v>
      </c>
    </row>
    <row r="1342" customHeight="1" spans="38:39">
      <c r="AL1342" s="122">
        <v>45386.7302199074</v>
      </c>
      <c r="AM1342" s="107">
        <v>1</v>
      </c>
    </row>
    <row r="1343" customHeight="1" spans="38:39">
      <c r="AL1343" s="122">
        <v>45386.8201388889</v>
      </c>
      <c r="AM1343" s="107">
        <v>1</v>
      </c>
    </row>
    <row r="1344" customHeight="1" spans="38:39">
      <c r="AL1344" s="122">
        <v>45387.3538310185</v>
      </c>
      <c r="AM1344" s="107">
        <v>1</v>
      </c>
    </row>
    <row r="1345" customHeight="1" spans="38:39">
      <c r="AL1345" s="122">
        <v>45387.3743981481</v>
      </c>
      <c r="AM1345" s="107">
        <v>1</v>
      </c>
    </row>
    <row r="1346" customHeight="1" spans="38:39">
      <c r="AL1346" s="122">
        <v>45388.6721527778</v>
      </c>
      <c r="AM1346" s="107">
        <v>1</v>
      </c>
    </row>
    <row r="1347" customHeight="1" spans="38:39">
      <c r="AL1347" s="122">
        <v>45389.3703356481</v>
      </c>
      <c r="AM1347" s="107">
        <v>1</v>
      </c>
    </row>
    <row r="1348" customHeight="1" spans="38:39">
      <c r="AL1348" s="122">
        <v>45389.4290277778</v>
      </c>
      <c r="AM1348" s="107">
        <v>1</v>
      </c>
    </row>
    <row r="1349" customHeight="1" spans="38:39">
      <c r="AL1349" s="122">
        <v>45389.4544212963</v>
      </c>
      <c r="AM1349" s="107">
        <v>1</v>
      </c>
    </row>
    <row r="1350" customHeight="1" spans="38:39">
      <c r="AL1350" s="122">
        <v>45389.5184953704</v>
      </c>
      <c r="AM1350" s="107">
        <v>1</v>
      </c>
    </row>
    <row r="1351" customHeight="1" spans="38:39">
      <c r="AL1351" s="122">
        <v>45390.4134027778</v>
      </c>
      <c r="AM1351" s="107">
        <v>1</v>
      </c>
    </row>
    <row r="1352" customHeight="1" spans="38:39">
      <c r="AL1352" s="122">
        <v>45390.4529861111</v>
      </c>
      <c r="AM1352" s="107">
        <v>1</v>
      </c>
    </row>
    <row r="1353" customHeight="1" spans="38:39">
      <c r="AL1353" s="122">
        <v>45390.6497453704</v>
      </c>
      <c r="AM1353" s="107">
        <v>1</v>
      </c>
    </row>
    <row r="1354" customHeight="1" spans="38:39">
      <c r="AL1354" s="122">
        <v>45390.6780092593</v>
      </c>
      <c r="AM1354" s="107">
        <v>1</v>
      </c>
    </row>
    <row r="1355" customHeight="1" spans="38:39">
      <c r="AL1355" s="122">
        <v>45390.8662847222</v>
      </c>
      <c r="AM1355" s="107">
        <v>1</v>
      </c>
    </row>
    <row r="1356" customHeight="1" spans="38:39">
      <c r="AL1356" s="122">
        <v>45391.3367708333</v>
      </c>
      <c r="AM1356" s="107">
        <v>1</v>
      </c>
    </row>
    <row r="1357" customHeight="1" spans="38:39">
      <c r="AL1357" s="122">
        <v>45391.4080324074</v>
      </c>
      <c r="AM1357" s="107">
        <v>1</v>
      </c>
    </row>
    <row r="1358" customHeight="1" spans="38:39">
      <c r="AL1358" s="122">
        <v>45391.8195601852</v>
      </c>
      <c r="AM1358" s="107">
        <v>1</v>
      </c>
    </row>
    <row r="1359" customHeight="1" spans="38:39">
      <c r="AL1359" s="122">
        <v>45391.8340740741</v>
      </c>
      <c r="AM1359" s="107">
        <v>1</v>
      </c>
    </row>
    <row r="1360" customHeight="1" spans="38:39">
      <c r="AL1360" s="122">
        <v>45392.453587963</v>
      </c>
      <c r="AM1360" s="107">
        <v>1</v>
      </c>
    </row>
    <row r="1361" customHeight="1" spans="38:39">
      <c r="AL1361" s="122">
        <v>45392.6365856481</v>
      </c>
      <c r="AM1361" s="107">
        <v>1</v>
      </c>
    </row>
    <row r="1362" customHeight="1" spans="38:39">
      <c r="AL1362" s="122">
        <v>45392.6536111111</v>
      </c>
      <c r="AM1362" s="107">
        <v>1</v>
      </c>
    </row>
    <row r="1363" customHeight="1" spans="38:39">
      <c r="AL1363" s="122">
        <v>45393.4309722222</v>
      </c>
      <c r="AM1363" s="107">
        <v>1</v>
      </c>
    </row>
    <row r="1364" customHeight="1" spans="38:39">
      <c r="AL1364" s="122">
        <v>45393.5334490741</v>
      </c>
      <c r="AM1364" s="107">
        <v>1</v>
      </c>
    </row>
    <row r="1365" customHeight="1" spans="38:39">
      <c r="AL1365" s="122">
        <v>45394.3339467593</v>
      </c>
      <c r="AM1365" s="107">
        <v>1</v>
      </c>
    </row>
    <row r="1366" customHeight="1" spans="38:39">
      <c r="AL1366" s="122">
        <v>45394.359224537</v>
      </c>
      <c r="AM1366" s="107">
        <v>1</v>
      </c>
    </row>
    <row r="1367" customHeight="1" spans="38:39">
      <c r="AL1367" s="122">
        <v>45394.6655092593</v>
      </c>
      <c r="AM1367" s="107">
        <v>1</v>
      </c>
    </row>
    <row r="1368" customHeight="1" spans="38:39">
      <c r="AL1368" s="122">
        <v>45394.7547222222</v>
      </c>
      <c r="AM1368" s="107">
        <v>1</v>
      </c>
    </row>
    <row r="1369" customHeight="1" spans="38:39">
      <c r="AL1369" s="122">
        <v>45395.4726851852</v>
      </c>
      <c r="AM1369" s="107">
        <v>1</v>
      </c>
    </row>
    <row r="1370" customHeight="1" spans="38:39">
      <c r="AL1370" s="122">
        <v>45395.5030208333</v>
      </c>
      <c r="AM1370" s="107">
        <v>1</v>
      </c>
    </row>
    <row r="1371" customHeight="1" spans="38:39">
      <c r="AL1371" s="122">
        <v>45395.6625347222</v>
      </c>
      <c r="AM1371" s="107">
        <v>1</v>
      </c>
    </row>
    <row r="1372" customHeight="1" spans="38:39">
      <c r="AL1372" s="122">
        <v>45397.3446296296</v>
      </c>
      <c r="AM1372" s="107">
        <v>1</v>
      </c>
    </row>
    <row r="1373" customHeight="1" spans="38:39">
      <c r="AL1373" s="122">
        <v>45397.4372800926</v>
      </c>
      <c r="AM1373" s="107">
        <v>1</v>
      </c>
    </row>
    <row r="1374" customHeight="1" spans="38:39">
      <c r="AL1374" s="122">
        <v>45397.4410069444</v>
      </c>
      <c r="AM1374" s="107">
        <v>1</v>
      </c>
    </row>
    <row r="1375" customHeight="1" spans="38:39">
      <c r="AL1375" s="122">
        <v>45397.4897800926</v>
      </c>
      <c r="AM1375" s="107">
        <v>1</v>
      </c>
    </row>
    <row r="1376" customHeight="1" spans="38:39">
      <c r="AL1376" s="122">
        <v>45397.6557407407</v>
      </c>
      <c r="AM1376" s="107">
        <v>1</v>
      </c>
    </row>
    <row r="1377" customHeight="1" spans="38:39">
      <c r="AL1377" s="122">
        <v>45398.5905787037</v>
      </c>
      <c r="AM1377" s="107">
        <v>1</v>
      </c>
    </row>
    <row r="1378" customHeight="1" spans="38:39">
      <c r="AL1378" s="122">
        <v>45399.3825578704</v>
      </c>
      <c r="AM1378" s="107">
        <v>1</v>
      </c>
    </row>
    <row r="1379" customHeight="1" spans="38:39">
      <c r="AL1379" s="122">
        <v>45399.3888425926</v>
      </c>
      <c r="AM1379" s="107">
        <v>1</v>
      </c>
    </row>
    <row r="1380" customHeight="1" spans="38:39">
      <c r="AL1380" s="122">
        <v>45399.5595486111</v>
      </c>
      <c r="AM1380" s="107">
        <v>1</v>
      </c>
    </row>
    <row r="1381" customHeight="1" spans="38:39">
      <c r="AL1381" s="122">
        <v>45399.595775463</v>
      </c>
      <c r="AM1381" s="107">
        <v>1</v>
      </c>
    </row>
    <row r="1382" customHeight="1" spans="38:39">
      <c r="AL1382" s="122">
        <v>45399.6018402778</v>
      </c>
      <c r="AM1382" s="107">
        <v>1</v>
      </c>
    </row>
    <row r="1383" customHeight="1" spans="38:39">
      <c r="AL1383" s="122">
        <v>45400.3474421296</v>
      </c>
      <c r="AM1383" s="107">
        <v>1</v>
      </c>
    </row>
    <row r="1384" customHeight="1" spans="38:39">
      <c r="AL1384" s="122">
        <v>45400.4980208333</v>
      </c>
      <c r="AM1384" s="107">
        <v>1</v>
      </c>
    </row>
    <row r="1385" customHeight="1" spans="38:39">
      <c r="AL1385" s="122">
        <v>45400.7736226852</v>
      </c>
      <c r="AM1385" s="107">
        <v>1</v>
      </c>
    </row>
    <row r="1386" customHeight="1" spans="38:39">
      <c r="AL1386" s="122">
        <v>45400.8092361111</v>
      </c>
      <c r="AM1386" s="107">
        <v>1</v>
      </c>
    </row>
    <row r="1387" customHeight="1" spans="38:39">
      <c r="AL1387" s="122">
        <v>45401.4317361111</v>
      </c>
      <c r="AM1387" s="107">
        <v>1</v>
      </c>
    </row>
    <row r="1388" customHeight="1" spans="38:39">
      <c r="AL1388" s="122">
        <v>45401.4733449074</v>
      </c>
      <c r="AM1388" s="107">
        <v>1</v>
      </c>
    </row>
    <row r="1389" customHeight="1" spans="38:39">
      <c r="AL1389" s="122">
        <v>45401.4761921296</v>
      </c>
      <c r="AM1389" s="107">
        <v>1</v>
      </c>
    </row>
    <row r="1390" customHeight="1" spans="38:39">
      <c r="AL1390" s="122">
        <v>45401.798125</v>
      </c>
      <c r="AM1390" s="107">
        <v>1</v>
      </c>
    </row>
    <row r="1391" customHeight="1" spans="38:39">
      <c r="AL1391" s="122">
        <v>45402.3836226852</v>
      </c>
      <c r="AM1391" s="107">
        <v>1</v>
      </c>
    </row>
    <row r="1392" customHeight="1" spans="38:39">
      <c r="AL1392" s="122">
        <v>45402.4111342593</v>
      </c>
      <c r="AM1392" s="107">
        <v>1</v>
      </c>
    </row>
    <row r="1393" customHeight="1" spans="38:39">
      <c r="AL1393" s="122">
        <v>45402.7271759259</v>
      </c>
      <c r="AM1393" s="107">
        <v>1</v>
      </c>
    </row>
    <row r="1394" customHeight="1" spans="38:39">
      <c r="AL1394" s="122">
        <v>45402.7345949074</v>
      </c>
      <c r="AM1394" s="107">
        <v>1</v>
      </c>
    </row>
    <row r="1395" customHeight="1" spans="38:39">
      <c r="AL1395" s="122">
        <v>45403.4670486111</v>
      </c>
      <c r="AM1395" s="107">
        <v>1</v>
      </c>
    </row>
    <row r="1396" customHeight="1" spans="38:39">
      <c r="AL1396" s="122">
        <v>45403.5139583333</v>
      </c>
      <c r="AM1396" s="107">
        <v>1</v>
      </c>
    </row>
    <row r="1397" customHeight="1" spans="38:39">
      <c r="AL1397" s="122">
        <v>45404.3538773148</v>
      </c>
      <c r="AM1397" s="107">
        <v>1</v>
      </c>
    </row>
    <row r="1398" customHeight="1" spans="38:39">
      <c r="AL1398" s="122">
        <v>45404.3808564815</v>
      </c>
      <c r="AM1398" s="107">
        <v>1</v>
      </c>
    </row>
    <row r="1399" customHeight="1" spans="38:39">
      <c r="AL1399" s="122">
        <v>45404.4104861111</v>
      </c>
      <c r="AM1399" s="107">
        <v>1</v>
      </c>
    </row>
    <row r="1400" customHeight="1" spans="38:39">
      <c r="AL1400" s="122">
        <v>45404.4283680556</v>
      </c>
      <c r="AM1400" s="107">
        <v>1</v>
      </c>
    </row>
    <row r="1401" customHeight="1" spans="38:39">
      <c r="AL1401" s="122">
        <v>45404.4675694444</v>
      </c>
      <c r="AM1401" s="107">
        <v>1</v>
      </c>
    </row>
    <row r="1402" customHeight="1" spans="38:39">
      <c r="AL1402" s="122">
        <v>45404.4871412037</v>
      </c>
      <c r="AM1402" s="107">
        <v>1</v>
      </c>
    </row>
    <row r="1403" customHeight="1" spans="38:39">
      <c r="AL1403" s="122">
        <v>45404.6949768519</v>
      </c>
      <c r="AM1403" s="107">
        <v>1</v>
      </c>
    </row>
    <row r="1404" customHeight="1" spans="38:39">
      <c r="AL1404" s="122">
        <v>45404.7104282407</v>
      </c>
      <c r="AM1404" s="107">
        <v>1</v>
      </c>
    </row>
    <row r="1405" customHeight="1" spans="38:39">
      <c r="AL1405" s="122">
        <v>45404.7500810185</v>
      </c>
      <c r="AM1405" s="107">
        <v>1</v>
      </c>
    </row>
    <row r="1406" customHeight="1" spans="38:39">
      <c r="AL1406" s="122">
        <v>45405.3740277778</v>
      </c>
      <c r="AM1406" s="107">
        <v>1</v>
      </c>
    </row>
    <row r="1407" customHeight="1" spans="38:39">
      <c r="AL1407" s="122">
        <v>45405.4151273148</v>
      </c>
      <c r="AM1407" s="107">
        <v>1</v>
      </c>
    </row>
    <row r="1408" customHeight="1" spans="38:39">
      <c r="AL1408" s="122">
        <v>45405.472037037</v>
      </c>
      <c r="AM1408" s="107">
        <v>1</v>
      </c>
    </row>
    <row r="1409" customHeight="1" spans="38:39">
      <c r="AL1409" s="122">
        <v>45405.5184722222</v>
      </c>
      <c r="AM1409" s="107">
        <v>1</v>
      </c>
    </row>
    <row r="1410" customHeight="1" spans="38:39">
      <c r="AL1410" s="122">
        <v>45406.4066319444</v>
      </c>
      <c r="AM1410" s="107">
        <v>1</v>
      </c>
    </row>
    <row r="1411" customHeight="1" spans="38:39">
      <c r="AL1411" s="122">
        <v>45406.4521759259</v>
      </c>
      <c r="AM1411" s="107">
        <v>1</v>
      </c>
    </row>
    <row r="1412" customHeight="1" spans="38:39">
      <c r="AL1412" s="122">
        <v>45406.5330092593</v>
      </c>
      <c r="AM1412" s="107">
        <v>1</v>
      </c>
    </row>
    <row r="1413" customHeight="1" spans="38:39">
      <c r="AL1413" s="122">
        <v>45406.5980439815</v>
      </c>
      <c r="AM1413" s="107">
        <v>1</v>
      </c>
    </row>
    <row r="1414" customHeight="1" spans="38:39">
      <c r="AL1414" s="122">
        <v>45407.3753703704</v>
      </c>
      <c r="AM1414" s="107">
        <v>1</v>
      </c>
    </row>
    <row r="1415" customHeight="1" spans="38:39">
      <c r="AL1415" s="122">
        <v>45407.4129513889</v>
      </c>
      <c r="AM1415" s="107">
        <v>1</v>
      </c>
    </row>
    <row r="1416" customHeight="1" spans="38:39">
      <c r="AL1416" s="122">
        <v>45407.6630555556</v>
      </c>
      <c r="AM1416" s="107">
        <v>1</v>
      </c>
    </row>
    <row r="1417" customHeight="1" spans="38:39">
      <c r="AL1417" s="122">
        <v>45407.6817476852</v>
      </c>
      <c r="AM1417" s="107">
        <v>1</v>
      </c>
    </row>
    <row r="1418" customHeight="1" spans="38:39">
      <c r="AL1418" s="122">
        <v>45407.7945138889</v>
      </c>
      <c r="AM1418" s="107">
        <v>1</v>
      </c>
    </row>
    <row r="1419" customHeight="1" spans="38:39">
      <c r="AL1419" s="122">
        <v>45408.4088657407</v>
      </c>
      <c r="AM1419" s="107">
        <v>1</v>
      </c>
    </row>
    <row r="1420" customHeight="1" spans="38:39">
      <c r="AL1420" s="122">
        <v>45408.4167476852</v>
      </c>
      <c r="AM1420" s="107">
        <v>1</v>
      </c>
    </row>
    <row r="1421" customHeight="1" spans="38:39">
      <c r="AL1421" s="122">
        <v>45408.5781828704</v>
      </c>
      <c r="AM1421" s="107">
        <v>1</v>
      </c>
    </row>
    <row r="1422" customHeight="1" spans="38:39">
      <c r="AL1422" s="122">
        <v>45408.7084490741</v>
      </c>
      <c r="AM1422" s="107">
        <v>1</v>
      </c>
    </row>
    <row r="1423" customHeight="1" spans="38:39">
      <c r="AL1423" s="122">
        <v>45409.3909259259</v>
      </c>
      <c r="AM1423" s="107">
        <v>1</v>
      </c>
    </row>
    <row r="1424" customHeight="1" spans="38:39">
      <c r="AL1424" s="122">
        <v>45409.4047106481</v>
      </c>
      <c r="AM1424" s="107">
        <v>1</v>
      </c>
    </row>
    <row r="1425" customHeight="1" spans="38:39">
      <c r="AL1425" s="122">
        <v>45409.8014236111</v>
      </c>
      <c r="AM1425" s="107">
        <v>1</v>
      </c>
    </row>
    <row r="1426" customHeight="1" spans="38:39">
      <c r="AL1426" s="122">
        <v>45410.6680092593</v>
      </c>
      <c r="AM1426" s="107">
        <v>1</v>
      </c>
    </row>
    <row r="1427" customHeight="1" spans="38:39">
      <c r="AL1427" s="122">
        <v>45410.6820486111</v>
      </c>
      <c r="AM1427" s="107">
        <v>1</v>
      </c>
    </row>
    <row r="1428" customHeight="1" spans="38:39">
      <c r="AL1428" s="122">
        <v>45410.7355324074</v>
      </c>
      <c r="AM1428" s="107">
        <v>1</v>
      </c>
    </row>
    <row r="1429" customHeight="1" spans="38:39">
      <c r="AL1429" s="122">
        <v>45411.3673263889</v>
      </c>
      <c r="AM1429" s="107">
        <v>1</v>
      </c>
    </row>
    <row r="1430" customHeight="1" spans="38:39">
      <c r="AL1430" s="122">
        <v>45411.4592939815</v>
      </c>
      <c r="AM1430" s="107">
        <v>1</v>
      </c>
    </row>
    <row r="1431" customHeight="1" spans="38:39">
      <c r="AL1431" s="122">
        <v>45412.7415162037</v>
      </c>
      <c r="AM1431" s="107">
        <v>1</v>
      </c>
    </row>
    <row r="1432" customHeight="1" spans="38:39">
      <c r="AL1432" s="122">
        <v>45413.3840740741</v>
      </c>
      <c r="AM1432" s="107">
        <v>1</v>
      </c>
    </row>
    <row r="1433" customHeight="1" spans="38:39">
      <c r="AL1433" s="122">
        <v>45414.4075</v>
      </c>
      <c r="AM1433" s="107">
        <v>1</v>
      </c>
    </row>
    <row r="1434" customHeight="1" spans="38:39">
      <c r="AL1434" s="122">
        <v>45414.4352546296</v>
      </c>
      <c r="AM1434" s="107">
        <v>1</v>
      </c>
    </row>
    <row r="1435" customHeight="1" spans="38:39">
      <c r="AL1435" s="122">
        <v>45414.4939699074</v>
      </c>
      <c r="AM1435" s="107">
        <v>1</v>
      </c>
    </row>
    <row r="1436" customHeight="1" spans="38:39">
      <c r="AL1436" s="122">
        <v>45414.6853935185</v>
      </c>
      <c r="AM1436" s="107">
        <v>1</v>
      </c>
    </row>
    <row r="1437" customHeight="1" spans="38:39">
      <c r="AL1437" s="122">
        <v>45414.7185069444</v>
      </c>
      <c r="AM1437" s="107">
        <v>1</v>
      </c>
    </row>
    <row r="1438" customHeight="1" spans="38:39">
      <c r="AL1438" s="122">
        <v>45414.7259606481</v>
      </c>
      <c r="AM1438" s="107">
        <v>1</v>
      </c>
    </row>
    <row r="1439" customHeight="1" spans="38:39">
      <c r="AL1439" s="122">
        <v>45414.7596759259</v>
      </c>
      <c r="AM1439" s="107">
        <v>1</v>
      </c>
    </row>
    <row r="1440" customHeight="1" spans="38:39">
      <c r="AL1440" s="122">
        <v>45415.4410300926</v>
      </c>
      <c r="AM1440" s="107">
        <v>1</v>
      </c>
    </row>
    <row r="1441" customHeight="1" spans="38:39">
      <c r="AL1441" s="122">
        <v>45415.49375</v>
      </c>
      <c r="AM1441" s="107">
        <v>1</v>
      </c>
    </row>
    <row r="1442" customHeight="1" spans="38:39">
      <c r="AL1442" s="122">
        <v>45415.5497222222</v>
      </c>
      <c r="AM1442" s="107">
        <v>1</v>
      </c>
    </row>
    <row r="1443" customHeight="1" spans="38:39">
      <c r="AL1443" s="122">
        <v>45415.6065625</v>
      </c>
      <c r="AM1443" s="107">
        <v>1</v>
      </c>
    </row>
    <row r="1444" customHeight="1" spans="38:39">
      <c r="AL1444" s="122">
        <v>45415.6853819444</v>
      </c>
      <c r="AM1444" s="107">
        <v>1</v>
      </c>
    </row>
    <row r="1445" customHeight="1" spans="38:39">
      <c r="AL1445" s="122">
        <v>45415.6942476852</v>
      </c>
      <c r="AM1445" s="107">
        <v>1</v>
      </c>
    </row>
    <row r="1446" customHeight="1" spans="38:39">
      <c r="AL1446" s="122">
        <v>45416.4048148148</v>
      </c>
      <c r="AM1446" s="107">
        <v>1</v>
      </c>
    </row>
    <row r="1447" customHeight="1" spans="38:39">
      <c r="AL1447" s="122">
        <v>45416.4402083333</v>
      </c>
      <c r="AM1447" s="107">
        <v>1</v>
      </c>
    </row>
    <row r="1448" customHeight="1" spans="38:39">
      <c r="AL1448" s="122">
        <v>45417.4307407407</v>
      </c>
      <c r="AM1448" s="107">
        <v>1</v>
      </c>
    </row>
    <row r="1449" customHeight="1" spans="38:39">
      <c r="AL1449" s="122">
        <v>45417.4940856481</v>
      </c>
      <c r="AM1449" s="107">
        <v>1</v>
      </c>
    </row>
    <row r="1450" customHeight="1" spans="38:39">
      <c r="AL1450" s="122">
        <v>45418.6762615741</v>
      </c>
      <c r="AM1450" s="107">
        <v>1</v>
      </c>
    </row>
    <row r="1451" customHeight="1" spans="38:39">
      <c r="AL1451" s="122">
        <v>45418.6881944444</v>
      </c>
      <c r="AM1451" s="107">
        <v>1</v>
      </c>
    </row>
    <row r="1452" customHeight="1" spans="38:39">
      <c r="AL1452" s="122">
        <v>45419.4163194444</v>
      </c>
      <c r="AM1452" s="107">
        <v>1</v>
      </c>
    </row>
    <row r="1453" customHeight="1" spans="38:39">
      <c r="AL1453" s="122">
        <v>45419.4687615741</v>
      </c>
      <c r="AM1453" s="107">
        <v>1</v>
      </c>
    </row>
    <row r="1454" customHeight="1" spans="38:39">
      <c r="AL1454" s="122">
        <v>45419.6789930556</v>
      </c>
      <c r="AM1454" s="107">
        <v>1</v>
      </c>
    </row>
    <row r="1455" customHeight="1" spans="38:39">
      <c r="AL1455" s="122">
        <v>45419.7087962963</v>
      </c>
      <c r="AM1455" s="107">
        <v>1</v>
      </c>
    </row>
    <row r="1456" customHeight="1" spans="38:39">
      <c r="AL1456" s="122">
        <v>45420.3983796296</v>
      </c>
      <c r="AM1456" s="107">
        <v>1</v>
      </c>
    </row>
    <row r="1457" customHeight="1" spans="38:39">
      <c r="AL1457" s="122">
        <v>45420.4474305556</v>
      </c>
      <c r="AM1457" s="107">
        <v>1</v>
      </c>
    </row>
    <row r="1458" customHeight="1" spans="38:39">
      <c r="AL1458" s="122">
        <v>45420.6039814815</v>
      </c>
      <c r="AM1458" s="107">
        <v>1</v>
      </c>
    </row>
    <row r="1459" customHeight="1" spans="38:39">
      <c r="AL1459" s="122">
        <v>45420.7115393519</v>
      </c>
      <c r="AM1459" s="107">
        <v>1</v>
      </c>
    </row>
    <row r="1460" customHeight="1" spans="38:39">
      <c r="AL1460" s="122">
        <v>45420.7737152778</v>
      </c>
      <c r="AM1460" s="107">
        <v>1</v>
      </c>
    </row>
    <row r="1461" customHeight="1" spans="38:39">
      <c r="AL1461" s="122">
        <v>45420.7884143519</v>
      </c>
      <c r="AM1461" s="107">
        <v>1</v>
      </c>
    </row>
    <row r="1462" customHeight="1" spans="38:39">
      <c r="AL1462" s="122">
        <v>45420.8047685185</v>
      </c>
      <c r="AM1462" s="107">
        <v>1</v>
      </c>
    </row>
    <row r="1463" customHeight="1" spans="38:39">
      <c r="AL1463" s="122">
        <v>45420.9394097222</v>
      </c>
      <c r="AM1463" s="107">
        <v>1</v>
      </c>
    </row>
    <row r="1464" customHeight="1" spans="38:39">
      <c r="AL1464" s="122">
        <v>45421.3468981481</v>
      </c>
      <c r="AM1464" s="107">
        <v>1</v>
      </c>
    </row>
    <row r="1465" customHeight="1" spans="38:39">
      <c r="AL1465" s="122">
        <v>45421.365775463</v>
      </c>
      <c r="AM1465" s="107">
        <v>1</v>
      </c>
    </row>
    <row r="1466" customHeight="1" spans="38:39">
      <c r="AL1466" s="122">
        <v>45421.4426851852</v>
      </c>
      <c r="AM1466" s="107">
        <v>1</v>
      </c>
    </row>
    <row r="1467" customHeight="1" spans="38:39">
      <c r="AL1467" s="122">
        <v>45421.4663541667</v>
      </c>
      <c r="AM1467" s="107">
        <v>1</v>
      </c>
    </row>
    <row r="1468" customHeight="1" spans="38:39">
      <c r="AL1468" s="122">
        <v>45421.4726736111</v>
      </c>
      <c r="AM1468" s="107">
        <v>1</v>
      </c>
    </row>
    <row r="1469" customHeight="1" spans="38:39">
      <c r="AL1469" s="122">
        <v>45421.6124768518</v>
      </c>
      <c r="AM1469" s="107">
        <v>1</v>
      </c>
    </row>
    <row r="1470" customHeight="1" spans="38:39">
      <c r="AL1470" s="122">
        <v>45421.7029861111</v>
      </c>
      <c r="AM1470" s="107">
        <v>1</v>
      </c>
    </row>
    <row r="1471" customHeight="1" spans="38:39">
      <c r="AL1471" s="122">
        <v>45421.7090277778</v>
      </c>
      <c r="AM1471" s="107">
        <v>1</v>
      </c>
    </row>
    <row r="1472" customHeight="1" spans="38:39">
      <c r="AL1472" s="122">
        <v>45422.3908912037</v>
      </c>
      <c r="AM1472" s="107">
        <v>1</v>
      </c>
    </row>
    <row r="1473" customHeight="1" spans="38:39">
      <c r="AL1473" s="122">
        <v>45422.5185300926</v>
      </c>
      <c r="AM1473" s="107">
        <v>1</v>
      </c>
    </row>
    <row r="1474" customHeight="1" spans="38:39">
      <c r="AL1474" s="122">
        <v>45422.5731944444</v>
      </c>
      <c r="AM1474" s="107">
        <v>1</v>
      </c>
    </row>
    <row r="1475" customHeight="1" spans="38:39">
      <c r="AL1475" s="122">
        <v>45422.7789930556</v>
      </c>
      <c r="AM1475" s="107">
        <v>1</v>
      </c>
    </row>
    <row r="1476" customHeight="1" spans="38:39">
      <c r="AL1476" s="122">
        <v>45422.7916666667</v>
      </c>
      <c r="AM1476" s="107">
        <v>1</v>
      </c>
    </row>
    <row r="1477" customHeight="1" spans="38:39">
      <c r="AL1477" s="122">
        <v>45423.5290046296</v>
      </c>
      <c r="AM1477" s="107">
        <v>1</v>
      </c>
    </row>
    <row r="1478" customHeight="1" spans="38:39">
      <c r="AL1478" s="122">
        <v>45423.5356481482</v>
      </c>
      <c r="AM1478" s="107">
        <v>1</v>
      </c>
    </row>
    <row r="1479" customHeight="1" spans="38:39">
      <c r="AL1479" s="122">
        <v>45423.6090625</v>
      </c>
      <c r="AM1479" s="107">
        <v>1</v>
      </c>
    </row>
    <row r="1480" customHeight="1" spans="38:39">
      <c r="AL1480" s="122">
        <v>45424.3985185185</v>
      </c>
      <c r="AM1480" s="107">
        <v>1</v>
      </c>
    </row>
    <row r="1481" customHeight="1" spans="38:39">
      <c r="AL1481" s="122">
        <v>45425.3928125</v>
      </c>
      <c r="AM1481" s="107">
        <v>1</v>
      </c>
    </row>
    <row r="1482" customHeight="1" spans="38:39">
      <c r="AL1482" s="122">
        <v>45425.407337963</v>
      </c>
      <c r="AM1482" s="107">
        <v>1</v>
      </c>
    </row>
    <row r="1483" customHeight="1" spans="38:39">
      <c r="AL1483" s="122">
        <v>45425.488912037</v>
      </c>
      <c r="AM1483" s="107">
        <v>1</v>
      </c>
    </row>
    <row r="1484" customHeight="1" spans="38:39">
      <c r="AL1484" s="122">
        <v>45425.5244791667</v>
      </c>
      <c r="AM1484" s="107">
        <v>1</v>
      </c>
    </row>
    <row r="1485" customHeight="1" spans="38:39">
      <c r="AL1485" s="122">
        <v>45425.6635416667</v>
      </c>
      <c r="AM1485" s="107">
        <v>1</v>
      </c>
    </row>
    <row r="1486" customHeight="1" spans="38:39">
      <c r="AL1486" s="122">
        <v>45425.6704166667</v>
      </c>
      <c r="AM1486" s="107">
        <v>1</v>
      </c>
    </row>
    <row r="1487" customHeight="1" spans="38:39">
      <c r="AL1487" s="122">
        <v>45425.7379050926</v>
      </c>
      <c r="AM1487" s="107">
        <v>1</v>
      </c>
    </row>
    <row r="1488" customHeight="1" spans="38:39">
      <c r="AL1488" s="122">
        <v>45425.7683796296</v>
      </c>
      <c r="AM1488" s="107">
        <v>1</v>
      </c>
    </row>
    <row r="1489" customHeight="1" spans="38:39">
      <c r="AL1489" s="122">
        <v>45426.3542013889</v>
      </c>
      <c r="AM1489" s="107">
        <v>1</v>
      </c>
    </row>
    <row r="1490" customHeight="1" spans="38:39">
      <c r="AL1490" s="122">
        <v>45426.3663194444</v>
      </c>
      <c r="AM1490" s="107">
        <v>1</v>
      </c>
    </row>
    <row r="1491" customHeight="1" spans="38:39">
      <c r="AL1491" s="122">
        <v>45426.3674537037</v>
      </c>
      <c r="AM1491" s="107">
        <v>1</v>
      </c>
    </row>
    <row r="1492" customHeight="1" spans="38:39">
      <c r="AL1492" s="122">
        <v>45426.4231365741</v>
      </c>
      <c r="AM1492" s="107">
        <v>1</v>
      </c>
    </row>
    <row r="1493" customHeight="1" spans="38:39">
      <c r="AL1493" s="122">
        <v>45426.4713541667</v>
      </c>
      <c r="AM1493" s="107">
        <v>1</v>
      </c>
    </row>
    <row r="1494" customHeight="1" spans="38:39">
      <c r="AL1494" s="122">
        <v>45426.5129861111</v>
      </c>
      <c r="AM1494" s="107">
        <v>1</v>
      </c>
    </row>
    <row r="1495" customHeight="1" spans="38:39">
      <c r="AL1495" s="122">
        <v>45426.5211689815</v>
      </c>
      <c r="AM1495" s="107">
        <v>1</v>
      </c>
    </row>
    <row r="1496" customHeight="1" spans="38:39">
      <c r="AL1496" s="122">
        <v>45426.5274074074</v>
      </c>
      <c r="AM1496" s="107">
        <v>1</v>
      </c>
    </row>
    <row r="1497" customHeight="1" spans="38:39">
      <c r="AL1497" s="122">
        <v>45426.6015625</v>
      </c>
      <c r="AM1497" s="107">
        <v>1</v>
      </c>
    </row>
    <row r="1498" customHeight="1" spans="38:39">
      <c r="AL1498" s="122">
        <v>45426.632025463</v>
      </c>
      <c r="AM1498" s="107">
        <v>1</v>
      </c>
    </row>
    <row r="1499" customHeight="1" spans="38:39">
      <c r="AL1499" s="122">
        <v>45426.659212963</v>
      </c>
      <c r="AM1499" s="107">
        <v>1</v>
      </c>
    </row>
    <row r="1500" customHeight="1" spans="38:39">
      <c r="AL1500" s="122">
        <v>45426.6792592593</v>
      </c>
      <c r="AM1500" s="107">
        <v>1</v>
      </c>
    </row>
    <row r="1501" customHeight="1" spans="38:39">
      <c r="AL1501" s="122">
        <v>45426.7384259259</v>
      </c>
      <c r="AM1501" s="107">
        <v>1</v>
      </c>
    </row>
    <row r="1502" customHeight="1" spans="38:39">
      <c r="AL1502" s="122">
        <v>45426.7726967593</v>
      </c>
      <c r="AM1502" s="107">
        <v>1</v>
      </c>
    </row>
    <row r="1503" customHeight="1" spans="38:39">
      <c r="AL1503" s="122">
        <v>45426.7732638889</v>
      </c>
      <c r="AM1503" s="107">
        <v>1</v>
      </c>
    </row>
    <row r="1504" customHeight="1" spans="38:39">
      <c r="AL1504" s="122">
        <v>45427.3780324074</v>
      </c>
      <c r="AM1504" s="107">
        <v>1</v>
      </c>
    </row>
    <row r="1505" customHeight="1" spans="38:39">
      <c r="AL1505" s="122">
        <v>45427.4020023148</v>
      </c>
      <c r="AM1505" s="107">
        <v>1</v>
      </c>
    </row>
    <row r="1506" customHeight="1" spans="38:39">
      <c r="AL1506" s="122">
        <v>45427.4106597222</v>
      </c>
      <c r="AM1506" s="107">
        <v>1</v>
      </c>
    </row>
    <row r="1507" customHeight="1" spans="38:39">
      <c r="AL1507" s="122">
        <v>45427.432337963</v>
      </c>
      <c r="AM1507" s="107">
        <v>1</v>
      </c>
    </row>
    <row r="1508" customHeight="1" spans="38:39">
      <c r="AL1508" s="122">
        <v>45427.4340393519</v>
      </c>
      <c r="AM1508" s="107">
        <v>1</v>
      </c>
    </row>
    <row r="1509" customHeight="1" spans="38:39">
      <c r="AL1509" s="122">
        <v>45427.4577893519</v>
      </c>
      <c r="AM1509" s="107">
        <v>1</v>
      </c>
    </row>
    <row r="1510" customHeight="1" spans="38:39">
      <c r="AL1510" s="122">
        <v>45427.466099537</v>
      </c>
      <c r="AM1510" s="107">
        <v>1</v>
      </c>
    </row>
    <row r="1511" customHeight="1" spans="38:39">
      <c r="AL1511" s="122">
        <v>45428.3638310185</v>
      </c>
      <c r="AM1511" s="107">
        <v>1</v>
      </c>
    </row>
    <row r="1512" customHeight="1" spans="38:39">
      <c r="AL1512" s="122">
        <v>45428.3758912037</v>
      </c>
      <c r="AM1512" s="107">
        <v>1</v>
      </c>
    </row>
    <row r="1513" customHeight="1" spans="38:39">
      <c r="AL1513" s="122">
        <v>45428.4098726852</v>
      </c>
      <c r="AM1513" s="107">
        <v>1</v>
      </c>
    </row>
    <row r="1514" customHeight="1" spans="38:39">
      <c r="AL1514" s="122">
        <v>45428.4716319444</v>
      </c>
      <c r="AM1514" s="107">
        <v>1</v>
      </c>
    </row>
    <row r="1515" customHeight="1" spans="38:39">
      <c r="AL1515" s="122">
        <v>45428.7123032407</v>
      </c>
      <c r="AM1515" s="107">
        <v>1</v>
      </c>
    </row>
    <row r="1516" customHeight="1" spans="38:39">
      <c r="AL1516" s="122">
        <v>45428.7852777778</v>
      </c>
      <c r="AM1516" s="107">
        <v>1</v>
      </c>
    </row>
    <row r="1517" customHeight="1" spans="38:39">
      <c r="AL1517" s="122">
        <v>45429.3855208333</v>
      </c>
      <c r="AM1517" s="107">
        <v>1</v>
      </c>
    </row>
    <row r="1518" customHeight="1" spans="38:39">
      <c r="AL1518" s="122">
        <v>45429.3973842593</v>
      </c>
      <c r="AM1518" s="107">
        <v>1</v>
      </c>
    </row>
    <row r="1519" customHeight="1" spans="38:39">
      <c r="AL1519" s="122">
        <v>45429.4160416667</v>
      </c>
      <c r="AM1519" s="107">
        <v>1</v>
      </c>
    </row>
    <row r="1520" customHeight="1" spans="38:39">
      <c r="AL1520" s="122">
        <v>45429.4930555556</v>
      </c>
      <c r="AM1520" s="107">
        <v>1</v>
      </c>
    </row>
    <row r="1521" customHeight="1" spans="38:39">
      <c r="AL1521" s="122">
        <v>45429.5705208333</v>
      </c>
      <c r="AM1521" s="107">
        <v>1</v>
      </c>
    </row>
    <row r="1522" customHeight="1" spans="38:39">
      <c r="AL1522" s="122">
        <v>45429.6624189815</v>
      </c>
      <c r="AM1522" s="107">
        <v>1</v>
      </c>
    </row>
    <row r="1523" customHeight="1" spans="38:39">
      <c r="AL1523" s="122">
        <v>45429.6906597222</v>
      </c>
      <c r="AM1523" s="107">
        <v>1</v>
      </c>
    </row>
    <row r="1524" customHeight="1" spans="38:39">
      <c r="AL1524" s="122">
        <v>45429.7563194444</v>
      </c>
      <c r="AM1524" s="107">
        <v>1</v>
      </c>
    </row>
    <row r="1525" customHeight="1" spans="38:39">
      <c r="AL1525" s="122">
        <v>45430.471875</v>
      </c>
      <c r="AM1525" s="107">
        <v>1</v>
      </c>
    </row>
    <row r="1526" customHeight="1" spans="38:39">
      <c r="AL1526" s="122">
        <v>45430.5030324074</v>
      </c>
      <c r="AM1526" s="107">
        <v>1</v>
      </c>
    </row>
    <row r="1527" customHeight="1" spans="38:39">
      <c r="AL1527" s="122">
        <v>45430.5367824074</v>
      </c>
      <c r="AM1527" s="107">
        <v>1</v>
      </c>
    </row>
    <row r="1528" customHeight="1" spans="38:39">
      <c r="AL1528" s="122">
        <v>45430.5570833333</v>
      </c>
      <c r="AM1528" s="107">
        <v>1</v>
      </c>
    </row>
    <row r="1529" customHeight="1" spans="38:39">
      <c r="AL1529" s="122">
        <v>45430.5786574074</v>
      </c>
      <c r="AM1529" s="107">
        <v>1</v>
      </c>
    </row>
    <row r="1530" customHeight="1" spans="38:39">
      <c r="AL1530" s="122">
        <v>45432.3974074074</v>
      </c>
      <c r="AM1530" s="107">
        <v>1</v>
      </c>
    </row>
    <row r="1531" customHeight="1" spans="38:39">
      <c r="AL1531" s="122">
        <v>45432.4144212963</v>
      </c>
      <c r="AM1531" s="107">
        <v>1</v>
      </c>
    </row>
    <row r="1532" customHeight="1" spans="38:39">
      <c r="AL1532" s="122">
        <v>45432.4573263889</v>
      </c>
      <c r="AM1532" s="107">
        <v>1</v>
      </c>
    </row>
    <row r="1533" customHeight="1" spans="38:39">
      <c r="AL1533" s="122">
        <v>45432.5381018519</v>
      </c>
      <c r="AM1533" s="107">
        <v>1</v>
      </c>
    </row>
    <row r="1534" customHeight="1" spans="38:39">
      <c r="AL1534" s="122">
        <v>45432.7233449074</v>
      </c>
      <c r="AM1534" s="107">
        <v>1</v>
      </c>
    </row>
    <row r="1535" customHeight="1" spans="38:39">
      <c r="AL1535" s="122">
        <v>45433.3814814815</v>
      </c>
      <c r="AM1535" s="107">
        <v>1</v>
      </c>
    </row>
    <row r="1536" customHeight="1" spans="38:39">
      <c r="AL1536" s="122">
        <v>45433.5271296296</v>
      </c>
      <c r="AM1536" s="107">
        <v>1</v>
      </c>
    </row>
    <row r="1537" customHeight="1" spans="38:39">
      <c r="AL1537" s="122">
        <v>45433.5349189815</v>
      </c>
      <c r="AM1537" s="107">
        <v>1</v>
      </c>
    </row>
    <row r="1538" customHeight="1" spans="38:39">
      <c r="AL1538" s="122">
        <v>45433.8136921296</v>
      </c>
      <c r="AM1538" s="107">
        <v>1</v>
      </c>
    </row>
    <row r="1539" customHeight="1" spans="38:39">
      <c r="AL1539" s="122">
        <v>45434.3648148148</v>
      </c>
      <c r="AM1539" s="107">
        <v>1</v>
      </c>
    </row>
    <row r="1540" customHeight="1" spans="38:39">
      <c r="AL1540" s="122">
        <v>45434.3898148148</v>
      </c>
      <c r="AM1540" s="107">
        <v>1</v>
      </c>
    </row>
    <row r="1541" customHeight="1" spans="38:39">
      <c r="AL1541" s="122">
        <v>45434.4078356481</v>
      </c>
      <c r="AM1541" s="107">
        <v>1</v>
      </c>
    </row>
    <row r="1542" customHeight="1" spans="38:39">
      <c r="AL1542" s="122">
        <v>45434.6379513889</v>
      </c>
      <c r="AM1542" s="107">
        <v>1</v>
      </c>
    </row>
    <row r="1543" customHeight="1" spans="38:39">
      <c r="AL1543" s="122">
        <v>45435.3201273148</v>
      </c>
      <c r="AM1543" s="107">
        <v>1</v>
      </c>
    </row>
    <row r="1544" customHeight="1" spans="38:39">
      <c r="AL1544" s="122">
        <v>45435.4511921296</v>
      </c>
      <c r="AM1544" s="107">
        <v>1</v>
      </c>
    </row>
    <row r="1545" customHeight="1" spans="38:39">
      <c r="AL1545" s="122">
        <v>45435.4884259259</v>
      </c>
      <c r="AM1545" s="107">
        <v>1</v>
      </c>
    </row>
    <row r="1546" customHeight="1" spans="38:39">
      <c r="AL1546" s="122">
        <v>45435.5781828704</v>
      </c>
      <c r="AM1546" s="107">
        <v>1</v>
      </c>
    </row>
    <row r="1547" customHeight="1" spans="38:39">
      <c r="AL1547" s="122">
        <v>45435.5786689815</v>
      </c>
      <c r="AM1547" s="107">
        <v>1</v>
      </c>
    </row>
    <row r="1548" customHeight="1" spans="38:39">
      <c r="AL1548" s="122">
        <v>45435.6089930556</v>
      </c>
      <c r="AM1548" s="107">
        <v>1</v>
      </c>
    </row>
    <row r="1549" customHeight="1" spans="38:39">
      <c r="AL1549" s="122">
        <v>45435.6557407407</v>
      </c>
      <c r="AM1549" s="107">
        <v>1</v>
      </c>
    </row>
    <row r="1550" customHeight="1" spans="38:39">
      <c r="AL1550" s="122">
        <v>45436.3705324074</v>
      </c>
      <c r="AM1550" s="107">
        <v>1</v>
      </c>
    </row>
    <row r="1551" customHeight="1" spans="38:39">
      <c r="AL1551" s="122">
        <v>45436.4426157407</v>
      </c>
      <c r="AM1551" s="107">
        <v>1</v>
      </c>
    </row>
    <row r="1552" customHeight="1" spans="38:39">
      <c r="AL1552" s="122">
        <v>45436.4551851852</v>
      </c>
      <c r="AM1552" s="107">
        <v>1</v>
      </c>
    </row>
    <row r="1553" customHeight="1" spans="38:39">
      <c r="AL1553" s="122">
        <v>45436.4681712963</v>
      </c>
      <c r="AM1553" s="107">
        <v>1</v>
      </c>
    </row>
    <row r="1554" customHeight="1" spans="38:39">
      <c r="AL1554" s="122">
        <v>45436.4795833333</v>
      </c>
      <c r="AM1554" s="107">
        <v>1</v>
      </c>
    </row>
    <row r="1555" customHeight="1" spans="38:39">
      <c r="AL1555" s="122">
        <v>45436.4887037037</v>
      </c>
      <c r="AM1555" s="107">
        <v>1</v>
      </c>
    </row>
    <row r="1556" customHeight="1" spans="38:39">
      <c r="AL1556" s="122">
        <v>45436.8850810185</v>
      </c>
      <c r="AM1556" s="107">
        <v>1</v>
      </c>
    </row>
    <row r="1557" customHeight="1" spans="38:39">
      <c r="AL1557" s="122">
        <v>45437.3778819444</v>
      </c>
      <c r="AM1557" s="107">
        <v>1</v>
      </c>
    </row>
    <row r="1558" customHeight="1" spans="38:39">
      <c r="AL1558" s="122">
        <v>45437.3949421296</v>
      </c>
      <c r="AM1558" s="107">
        <v>1</v>
      </c>
    </row>
    <row r="1559" customHeight="1" spans="38:39">
      <c r="AL1559" s="122">
        <v>45437.4127314815</v>
      </c>
      <c r="AM1559" s="107">
        <v>1</v>
      </c>
    </row>
    <row r="1560" customHeight="1" spans="38:39">
      <c r="AL1560" s="122">
        <v>45437.4201851852</v>
      </c>
      <c r="AM1560" s="107">
        <v>1</v>
      </c>
    </row>
    <row r="1561" customHeight="1" spans="38:39">
      <c r="AL1561" s="122">
        <v>45437.5195023148</v>
      </c>
      <c r="AM1561" s="107">
        <v>1</v>
      </c>
    </row>
    <row r="1562" customHeight="1" spans="38:39">
      <c r="AL1562" s="122">
        <v>45437.5416666667</v>
      </c>
      <c r="AM1562" s="107">
        <v>1</v>
      </c>
    </row>
    <row r="1563" customHeight="1" spans="38:39">
      <c r="AL1563" s="122">
        <v>45437.7816898148</v>
      </c>
      <c r="AM1563" s="107">
        <v>1</v>
      </c>
    </row>
    <row r="1564" customHeight="1" spans="38:39">
      <c r="AL1564" s="122">
        <v>45438.4794907407</v>
      </c>
      <c r="AM1564" s="107">
        <v>1</v>
      </c>
    </row>
    <row r="1565" customHeight="1" spans="38:39">
      <c r="AL1565" s="122">
        <v>45438.5874537037</v>
      </c>
      <c r="AM1565" s="107">
        <v>1</v>
      </c>
    </row>
    <row r="1566" customHeight="1" spans="38:39">
      <c r="AL1566" s="122">
        <v>45438.6996180556</v>
      </c>
      <c r="AM1566" s="107">
        <v>1</v>
      </c>
    </row>
    <row r="1567" customHeight="1" spans="38:39">
      <c r="AL1567" s="122">
        <v>45438.7099074074</v>
      </c>
      <c r="AM1567" s="107">
        <v>1</v>
      </c>
    </row>
    <row r="1568" customHeight="1" spans="38:39">
      <c r="AL1568" s="122">
        <v>45439.5036689815</v>
      </c>
      <c r="AM1568" s="107">
        <v>1</v>
      </c>
    </row>
    <row r="1569" customHeight="1" spans="38:39">
      <c r="AL1569" s="122">
        <v>45439.6381944444</v>
      </c>
      <c r="AM1569" s="107">
        <v>1</v>
      </c>
    </row>
    <row r="1570" customHeight="1" spans="38:39">
      <c r="AL1570" s="122">
        <v>45439.6763888889</v>
      </c>
      <c r="AM1570" s="107">
        <v>1</v>
      </c>
    </row>
    <row r="1571" customHeight="1" spans="38:39">
      <c r="AL1571" s="122">
        <v>45439.7438310185</v>
      </c>
      <c r="AM1571" s="107">
        <v>1</v>
      </c>
    </row>
    <row r="1572" customHeight="1" spans="38:39">
      <c r="AL1572" s="122">
        <v>45439.7563425926</v>
      </c>
      <c r="AM1572" s="107">
        <v>1</v>
      </c>
    </row>
    <row r="1573" customHeight="1" spans="38:39">
      <c r="AL1573" s="122">
        <v>45440.4136574074</v>
      </c>
      <c r="AM1573" s="107">
        <v>1</v>
      </c>
    </row>
    <row r="1574" customHeight="1" spans="38:39">
      <c r="AL1574" s="122">
        <v>45440.4895023148</v>
      </c>
      <c r="AM1574" s="107">
        <v>1</v>
      </c>
    </row>
    <row r="1575" customHeight="1" spans="38:39">
      <c r="AL1575" s="122">
        <v>45440.5790509259</v>
      </c>
      <c r="AM1575" s="107">
        <v>1</v>
      </c>
    </row>
    <row r="1576" customHeight="1" spans="38:39">
      <c r="AL1576" s="122">
        <v>45440.7090972222</v>
      </c>
      <c r="AM1576" s="107">
        <v>1</v>
      </c>
    </row>
    <row r="1577" customHeight="1" spans="38:39">
      <c r="AL1577" s="122">
        <v>45440.759525463</v>
      </c>
      <c r="AM1577" s="107">
        <v>1</v>
      </c>
    </row>
    <row r="1578" customHeight="1" spans="38:39">
      <c r="AL1578" s="122">
        <v>45440.7609143518</v>
      </c>
      <c r="AM1578" s="107">
        <v>1</v>
      </c>
    </row>
    <row r="1579" customHeight="1" spans="38:39">
      <c r="AL1579" s="122">
        <v>45441.4116782407</v>
      </c>
      <c r="AM1579" s="107">
        <v>1</v>
      </c>
    </row>
    <row r="1580" customHeight="1" spans="38:39">
      <c r="AL1580" s="122">
        <v>45441.4654282407</v>
      </c>
      <c r="AM1580" s="107">
        <v>1</v>
      </c>
    </row>
    <row r="1581" customHeight="1" spans="38:39">
      <c r="AL1581" s="122">
        <v>45441.5487847222</v>
      </c>
      <c r="AM1581" s="107">
        <v>1</v>
      </c>
    </row>
    <row r="1582" customHeight="1" spans="38:39">
      <c r="AL1582" s="122">
        <v>45441.6074189815</v>
      </c>
      <c r="AM1582" s="107">
        <v>1</v>
      </c>
    </row>
    <row r="1583" customHeight="1" spans="38:39">
      <c r="AL1583" s="122">
        <v>45442.3870023148</v>
      </c>
      <c r="AM1583" s="107">
        <v>1</v>
      </c>
    </row>
    <row r="1584" customHeight="1" spans="38:39">
      <c r="AL1584" s="122">
        <v>45442.5745138889</v>
      </c>
      <c r="AM1584" s="107">
        <v>1</v>
      </c>
    </row>
    <row r="1585" customHeight="1" spans="38:39">
      <c r="AL1585" s="122">
        <v>45442.5768865741</v>
      </c>
      <c r="AM1585" s="107">
        <v>1</v>
      </c>
    </row>
    <row r="1586" customHeight="1" spans="38:39">
      <c r="AL1586" s="122">
        <v>45442.6869675926</v>
      </c>
      <c r="AM1586" s="107">
        <v>1</v>
      </c>
    </row>
    <row r="1587" customHeight="1" spans="38:39">
      <c r="AL1587" s="122">
        <v>45442.7457407407</v>
      </c>
      <c r="AM1587" s="107">
        <v>1</v>
      </c>
    </row>
    <row r="1588" customHeight="1" spans="38:39">
      <c r="AL1588" s="122">
        <v>45442.7529861111</v>
      </c>
      <c r="AM1588" s="107">
        <v>1</v>
      </c>
    </row>
    <row r="1589" customHeight="1" spans="38:39">
      <c r="AL1589" s="122">
        <v>45442.8024537037</v>
      </c>
      <c r="AM1589" s="107">
        <v>1</v>
      </c>
    </row>
    <row r="1590" customHeight="1" spans="38:39">
      <c r="AL1590" s="122">
        <v>45443.4374768519</v>
      </c>
      <c r="AM1590" s="107">
        <v>1</v>
      </c>
    </row>
    <row r="1591" customHeight="1" spans="38:39">
      <c r="AL1591" s="122">
        <v>45444.4949189815</v>
      </c>
      <c r="AM1591" s="107">
        <v>1</v>
      </c>
    </row>
    <row r="1592" customHeight="1" spans="38:39">
      <c r="AL1592" s="122">
        <v>45444.6175462963</v>
      </c>
      <c r="AM1592" s="107">
        <v>1</v>
      </c>
    </row>
    <row r="1593" customHeight="1" spans="38:39">
      <c r="AL1593" s="122">
        <v>45445.4243518518</v>
      </c>
      <c r="AM1593" s="107">
        <v>1</v>
      </c>
    </row>
    <row r="1594" customHeight="1" spans="38:39">
      <c r="AL1594" s="122">
        <v>45445.7096296296</v>
      </c>
      <c r="AM1594" s="107">
        <v>1</v>
      </c>
    </row>
    <row r="1595" customHeight="1" spans="38:39">
      <c r="AL1595" s="122">
        <v>45446.3539351852</v>
      </c>
      <c r="AM1595" s="107">
        <v>1</v>
      </c>
    </row>
    <row r="1596" customHeight="1" spans="38:39">
      <c r="AL1596" s="122">
        <v>45446.3915509259</v>
      </c>
      <c r="AM1596" s="107">
        <v>1</v>
      </c>
    </row>
    <row r="1597" customHeight="1" spans="38:39">
      <c r="AL1597" s="122">
        <v>45446.5734722222</v>
      </c>
      <c r="AM1597" s="107">
        <v>1</v>
      </c>
    </row>
    <row r="1598" customHeight="1" spans="38:39">
      <c r="AL1598" s="122">
        <v>45446.6185416667</v>
      </c>
      <c r="AM1598" s="107">
        <v>1</v>
      </c>
    </row>
    <row r="1599" customHeight="1" spans="38:39">
      <c r="AL1599" s="122">
        <v>45446.7311574074</v>
      </c>
      <c r="AM1599" s="107">
        <v>1</v>
      </c>
    </row>
    <row r="1600" customHeight="1" spans="38:39">
      <c r="AL1600" s="122">
        <v>45447.320775463</v>
      </c>
      <c r="AM1600" s="107">
        <v>1</v>
      </c>
    </row>
    <row r="1601" customHeight="1" spans="38:39">
      <c r="AL1601" s="122">
        <v>45447.409224537</v>
      </c>
      <c r="AM1601" s="107">
        <v>1</v>
      </c>
    </row>
    <row r="1602" customHeight="1" spans="38:39">
      <c r="AL1602" s="122">
        <v>45447.7240972222</v>
      </c>
      <c r="AM1602" s="107">
        <v>1</v>
      </c>
    </row>
    <row r="1603" customHeight="1" spans="38:39">
      <c r="AL1603" s="122">
        <v>45448.3586342593</v>
      </c>
      <c r="AM1603" s="107">
        <v>1</v>
      </c>
    </row>
    <row r="1604" customHeight="1" spans="38:39">
      <c r="AL1604" s="122">
        <v>45448.3694444444</v>
      </c>
      <c r="AM1604" s="107">
        <v>1</v>
      </c>
    </row>
    <row r="1605" customHeight="1" spans="38:39">
      <c r="AL1605" s="122">
        <v>45448.441099537</v>
      </c>
      <c r="AM1605" s="107">
        <v>1</v>
      </c>
    </row>
    <row r="1606" customHeight="1" spans="38:39">
      <c r="AL1606" s="122">
        <v>45448.496724537</v>
      </c>
      <c r="AM1606" s="107">
        <v>1</v>
      </c>
    </row>
    <row r="1607" customHeight="1" spans="38:39">
      <c r="AL1607" s="122">
        <v>45448.5957638889</v>
      </c>
      <c r="AM1607" s="107">
        <v>1</v>
      </c>
    </row>
    <row r="1608" customHeight="1" spans="38:39">
      <c r="AL1608" s="106" t="s">
        <v>5366</v>
      </c>
      <c r="AM1608" s="107"/>
    </row>
    <row r="1609" customHeight="1" spans="38:39">
      <c r="AL1609" s="109" t="s">
        <v>5367</v>
      </c>
      <c r="AM1609" s="121">
        <v>1604</v>
      </c>
    </row>
  </sheetData>
  <pageMargins left="0.511811024" right="0.511811024" top="0.787401575" bottom="0.787401575" header="0.31496062" footer="0.31496062"/>
  <headerFooter/>
  <drawing r:id="rId16"/>
  <extLst>
    <ext xmlns:x14="http://schemas.microsoft.com/office/spreadsheetml/2009/9/main" uri="{A8765BA9-456A-4dab-B4F3-ACF838C121DE}">
      <x14:slicerList>
        <x14:slicer r:id="rId17"/>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0000"/>
    <outlinePr summaryBelow="0" summaryRight="0"/>
  </sheetPr>
  <dimension ref="A1:AA1010"/>
  <sheetViews>
    <sheetView workbookViewId="0">
      <pane ySplit="2" topLeftCell="A3" activePane="bottomLeft" state="frozen"/>
      <selection/>
      <selection pane="bottomLeft" activeCell="B4" sqref="B4"/>
    </sheetView>
  </sheetViews>
  <sheetFormatPr defaultColWidth="12.5727272727273" defaultRowHeight="15.75" customHeight="1"/>
  <cols>
    <col min="1" max="1" width="16" customWidth="1"/>
    <col min="2" max="2" width="20.4272727272727" customWidth="1"/>
    <col min="3" max="3" width="21.7090909090909" customWidth="1"/>
    <col min="4" max="4" width="17.1363636363636" customWidth="1"/>
    <col min="5" max="5" width="18.8545454545455" customWidth="1"/>
    <col min="6" max="6" width="43.1363636363636" customWidth="1"/>
    <col min="7" max="7" width="32.5727272727273" customWidth="1"/>
    <col min="8" max="8" width="5.42727272727273" customWidth="1"/>
  </cols>
  <sheetData>
    <row r="1" ht="42" spans="1:27">
      <c r="A1" s="43" t="s">
        <v>5376</v>
      </c>
      <c r="B1" s="43" t="s">
        <v>5377</v>
      </c>
      <c r="C1" s="44" t="s">
        <v>5378</v>
      </c>
      <c r="D1" s="45" t="s">
        <v>5379</v>
      </c>
      <c r="E1" s="44" t="s">
        <v>5380</v>
      </c>
      <c r="F1" s="44" t="s">
        <v>33</v>
      </c>
      <c r="G1" s="44"/>
      <c r="H1" s="44"/>
      <c r="I1" s="44"/>
      <c r="J1" s="44"/>
      <c r="K1" s="44"/>
      <c r="L1" s="44"/>
      <c r="M1" s="44"/>
      <c r="N1" s="44"/>
      <c r="O1" s="44"/>
      <c r="P1" s="44"/>
      <c r="Q1" s="44"/>
      <c r="R1" s="44"/>
      <c r="S1" s="44"/>
      <c r="T1" s="44"/>
      <c r="U1" s="44"/>
      <c r="V1" s="44"/>
      <c r="W1" s="44"/>
      <c r="X1" s="44"/>
      <c r="Y1" s="44"/>
      <c r="Z1" s="44"/>
      <c r="AA1" s="44"/>
    </row>
    <row r="2" ht="31" spans="1:27">
      <c r="A2" s="46" t="s">
        <v>5381</v>
      </c>
      <c r="B2" s="47">
        <f>COUNTA(B34:B1010)</f>
        <v>712</v>
      </c>
      <c r="C2" s="48"/>
      <c r="D2" s="48"/>
      <c r="E2" s="49">
        <f>COUNTIF(E34:E1010,"SIM")</f>
        <v>86</v>
      </c>
      <c r="F2" s="48"/>
      <c r="G2" s="48"/>
      <c r="H2" s="48"/>
      <c r="I2" s="48"/>
      <c r="J2" s="48"/>
      <c r="K2" s="48"/>
      <c r="L2" s="48"/>
      <c r="M2" s="48"/>
      <c r="N2" s="48"/>
      <c r="O2" s="48"/>
      <c r="P2" s="48"/>
      <c r="Q2" s="48"/>
      <c r="R2" s="48"/>
      <c r="S2" s="48"/>
      <c r="T2" s="48"/>
      <c r="U2" s="48"/>
      <c r="V2" s="48"/>
      <c r="W2" s="48"/>
      <c r="X2" s="48"/>
      <c r="Y2" s="48"/>
      <c r="Z2" s="48"/>
      <c r="AA2" s="48"/>
    </row>
    <row r="3" ht="12.5" spans="1:7">
      <c r="A3" s="50"/>
      <c r="B3" s="50" t="s">
        <v>153</v>
      </c>
      <c r="C3" s="11" t="s">
        <v>156</v>
      </c>
      <c r="D3" s="18" t="s">
        <v>154</v>
      </c>
      <c r="E3" s="11" t="s">
        <v>45</v>
      </c>
      <c r="G3" s="11"/>
    </row>
    <row r="4" ht="12.5" spans="1:5">
      <c r="A4" s="50"/>
      <c r="B4" s="50" t="s">
        <v>171</v>
      </c>
      <c r="C4" s="11" t="s">
        <v>156</v>
      </c>
      <c r="D4" s="18" t="s">
        <v>172</v>
      </c>
      <c r="E4" s="11" t="s">
        <v>45</v>
      </c>
    </row>
    <row r="5" ht="12.5" spans="1:5">
      <c r="A5" s="51"/>
      <c r="B5" s="51" t="s">
        <v>5382</v>
      </c>
      <c r="C5" s="11" t="s">
        <v>67</v>
      </c>
      <c r="D5" s="18" t="s">
        <v>5383</v>
      </c>
      <c r="E5" s="11" t="s">
        <v>44</v>
      </c>
    </row>
    <row r="6" ht="12.5" spans="1:5">
      <c r="A6" s="51"/>
      <c r="B6" s="51" t="s">
        <v>5384</v>
      </c>
      <c r="C6" s="11" t="s">
        <v>156</v>
      </c>
      <c r="D6" s="18" t="s">
        <v>5385</v>
      </c>
      <c r="E6" s="11" t="s">
        <v>44</v>
      </c>
    </row>
    <row r="7" ht="12.5" spans="1:5">
      <c r="A7" s="51"/>
      <c r="B7" s="51" t="s">
        <v>5386</v>
      </c>
      <c r="C7" s="11" t="s">
        <v>67</v>
      </c>
      <c r="D7" s="18" t="s">
        <v>62</v>
      </c>
      <c r="E7" s="11" t="s">
        <v>44</v>
      </c>
    </row>
    <row r="8" ht="12.5" spans="1:5">
      <c r="A8" s="51"/>
      <c r="B8" s="51" t="s">
        <v>5387</v>
      </c>
      <c r="C8" s="11" t="s">
        <v>67</v>
      </c>
      <c r="D8" s="18" t="s">
        <v>5388</v>
      </c>
      <c r="E8" s="11" t="s">
        <v>44</v>
      </c>
    </row>
    <row r="9" ht="12.5" spans="1:5">
      <c r="A9" s="50"/>
      <c r="B9" s="50" t="s">
        <v>71</v>
      </c>
      <c r="C9" s="11" t="s">
        <v>67</v>
      </c>
      <c r="D9" s="18" t="s">
        <v>73</v>
      </c>
      <c r="E9" s="11" t="s">
        <v>45</v>
      </c>
    </row>
    <row r="10" ht="12.5" spans="1:5">
      <c r="A10" s="51"/>
      <c r="B10" s="51" t="s">
        <v>5389</v>
      </c>
      <c r="C10" s="11" t="s">
        <v>156</v>
      </c>
      <c r="D10" s="18" t="s">
        <v>5390</v>
      </c>
      <c r="E10" s="11" t="s">
        <v>44</v>
      </c>
    </row>
    <row r="11" ht="12.5" spans="1:5">
      <c r="A11" s="50"/>
      <c r="B11" s="50" t="s">
        <v>5391</v>
      </c>
      <c r="C11" s="11" t="s">
        <v>67</v>
      </c>
      <c r="D11" s="18" t="s">
        <v>5392</v>
      </c>
      <c r="E11" s="11" t="s">
        <v>44</v>
      </c>
    </row>
    <row r="12" ht="12.5" spans="1:5">
      <c r="A12" s="51"/>
      <c r="B12" s="51" t="s">
        <v>5393</v>
      </c>
      <c r="C12" s="11" t="s">
        <v>156</v>
      </c>
      <c r="D12" s="18" t="s">
        <v>5394</v>
      </c>
      <c r="E12" s="11" t="s">
        <v>44</v>
      </c>
    </row>
    <row r="13" ht="12.5" spans="1:5">
      <c r="A13" s="51"/>
      <c r="B13" s="51" t="s">
        <v>5395</v>
      </c>
      <c r="C13" s="11" t="s">
        <v>156</v>
      </c>
      <c r="D13" s="18" t="s">
        <v>5396</v>
      </c>
      <c r="E13" s="11" t="s">
        <v>44</v>
      </c>
    </row>
    <row r="14" ht="12.5" spans="1:5">
      <c r="A14" s="51"/>
      <c r="B14" s="51" t="s">
        <v>5397</v>
      </c>
      <c r="C14" s="11" t="s">
        <v>156</v>
      </c>
      <c r="D14" s="18" t="s">
        <v>5398</v>
      </c>
      <c r="E14" s="11" t="s">
        <v>44</v>
      </c>
    </row>
    <row r="15" ht="12.5" spans="1:5">
      <c r="A15" s="51"/>
      <c r="B15" s="51" t="s">
        <v>5399</v>
      </c>
      <c r="C15" s="11" t="s">
        <v>67</v>
      </c>
      <c r="D15" s="18" t="s">
        <v>5400</v>
      </c>
      <c r="E15" s="11" t="s">
        <v>44</v>
      </c>
    </row>
    <row r="16" ht="12.5" spans="1:5">
      <c r="A16" s="51"/>
      <c r="B16" s="51" t="s">
        <v>5401</v>
      </c>
      <c r="C16" s="11" t="s">
        <v>203</v>
      </c>
      <c r="D16" s="18" t="s">
        <v>5402</v>
      </c>
      <c r="E16" s="11" t="s">
        <v>44</v>
      </c>
    </row>
    <row r="17" ht="12.5" spans="1:5">
      <c r="A17" s="51"/>
      <c r="B17" s="51" t="s">
        <v>5403</v>
      </c>
      <c r="C17" s="11" t="s">
        <v>203</v>
      </c>
      <c r="D17" s="18" t="s">
        <v>5404</v>
      </c>
      <c r="E17" s="11" t="s">
        <v>44</v>
      </c>
    </row>
    <row r="18" ht="12.5" spans="1:5">
      <c r="A18" s="51"/>
      <c r="B18" s="51" t="s">
        <v>5405</v>
      </c>
      <c r="C18" s="11" t="s">
        <v>203</v>
      </c>
      <c r="D18" s="18" t="s">
        <v>5406</v>
      </c>
      <c r="E18" s="11" t="s">
        <v>44</v>
      </c>
    </row>
    <row r="19" ht="12.5" spans="1:5">
      <c r="A19" s="51"/>
      <c r="B19" s="51" t="s">
        <v>5407</v>
      </c>
      <c r="C19" s="11" t="s">
        <v>203</v>
      </c>
      <c r="D19" s="18" t="s">
        <v>5408</v>
      </c>
      <c r="E19" s="11" t="s">
        <v>44</v>
      </c>
    </row>
    <row r="20" ht="12.5" spans="1:27">
      <c r="A20" s="52"/>
      <c r="B20" s="52" t="s">
        <v>5391</v>
      </c>
      <c r="C20" s="4"/>
      <c r="D20" s="53" t="s">
        <v>5409</v>
      </c>
      <c r="E20" s="4"/>
      <c r="F20" s="4" t="s">
        <v>5410</v>
      </c>
      <c r="G20" s="4"/>
      <c r="H20" s="4"/>
      <c r="I20" s="4"/>
      <c r="J20" s="4"/>
      <c r="K20" s="4"/>
      <c r="L20" s="4"/>
      <c r="M20" s="4"/>
      <c r="N20" s="4"/>
      <c r="O20" s="4"/>
      <c r="P20" s="4"/>
      <c r="Q20" s="4"/>
      <c r="R20" s="4"/>
      <c r="S20" s="4"/>
      <c r="T20" s="4"/>
      <c r="U20" s="4"/>
      <c r="V20" s="4"/>
      <c r="W20" s="4"/>
      <c r="X20" s="4"/>
      <c r="Y20" s="4"/>
      <c r="Z20" s="4"/>
      <c r="AA20" s="4"/>
    </row>
    <row r="21" ht="12.5" spans="1:5">
      <c r="A21" s="50"/>
      <c r="B21" s="50" t="s">
        <v>5391</v>
      </c>
      <c r="C21" s="11" t="s">
        <v>67</v>
      </c>
      <c r="D21" s="18" t="s">
        <v>5411</v>
      </c>
      <c r="E21" s="11" t="s">
        <v>44</v>
      </c>
    </row>
    <row r="22" ht="12.5" spans="1:5">
      <c r="A22" s="50"/>
      <c r="B22" s="50" t="s">
        <v>5412</v>
      </c>
      <c r="C22" s="11" t="s">
        <v>156</v>
      </c>
      <c r="D22" s="18" t="s">
        <v>5413</v>
      </c>
      <c r="E22" s="11" t="s">
        <v>44</v>
      </c>
    </row>
    <row r="23" ht="12.5" spans="1:27">
      <c r="A23" s="52"/>
      <c r="B23" s="52" t="s">
        <v>5414</v>
      </c>
      <c r="C23" s="4"/>
      <c r="D23" s="53" t="s">
        <v>5415</v>
      </c>
      <c r="E23" s="4"/>
      <c r="F23" s="4" t="s">
        <v>5416</v>
      </c>
      <c r="G23" s="4"/>
      <c r="H23" s="4"/>
      <c r="I23" s="4"/>
      <c r="J23" s="4"/>
      <c r="K23" s="4"/>
      <c r="L23" s="4"/>
      <c r="M23" s="4"/>
      <c r="N23" s="4"/>
      <c r="O23" s="4"/>
      <c r="P23" s="4"/>
      <c r="Q23" s="4"/>
      <c r="R23" s="4"/>
      <c r="S23" s="4"/>
      <c r="T23" s="4"/>
      <c r="U23" s="4"/>
      <c r="V23" s="4"/>
      <c r="W23" s="4"/>
      <c r="X23" s="4"/>
      <c r="Y23" s="4"/>
      <c r="Z23" s="4"/>
      <c r="AA23" s="4"/>
    </row>
    <row r="24" ht="12.5" spans="1:6">
      <c r="A24" s="50"/>
      <c r="B24" s="50" t="s">
        <v>5417</v>
      </c>
      <c r="C24" s="11" t="s">
        <v>156</v>
      </c>
      <c r="D24" s="18" t="s">
        <v>5418</v>
      </c>
      <c r="E24" s="11" t="s">
        <v>44</v>
      </c>
      <c r="F24" s="11" t="s">
        <v>5419</v>
      </c>
    </row>
    <row r="25" ht="12.5" spans="1:6">
      <c r="A25" s="50"/>
      <c r="B25" s="50" t="s">
        <v>5420</v>
      </c>
      <c r="C25" s="11" t="s">
        <v>156</v>
      </c>
      <c r="D25" s="18" t="s">
        <v>5421</v>
      </c>
      <c r="E25" s="11" t="s">
        <v>44</v>
      </c>
      <c r="F25" s="11" t="s">
        <v>5422</v>
      </c>
    </row>
    <row r="26" ht="12.5" spans="1:5">
      <c r="A26" s="50"/>
      <c r="B26" s="50" t="s">
        <v>5423</v>
      </c>
      <c r="C26" s="11" t="s">
        <v>156</v>
      </c>
      <c r="D26" s="18" t="s">
        <v>5424</v>
      </c>
      <c r="E26" s="11" t="s">
        <v>44</v>
      </c>
    </row>
    <row r="27" ht="12.5" spans="1:6">
      <c r="A27" s="50"/>
      <c r="B27" s="50" t="s">
        <v>5425</v>
      </c>
      <c r="C27" s="11" t="s">
        <v>156</v>
      </c>
      <c r="D27" s="18" t="s">
        <v>5426</v>
      </c>
      <c r="E27" s="11" t="s">
        <v>45</v>
      </c>
      <c r="F27" s="11" t="s">
        <v>5422</v>
      </c>
    </row>
    <row r="28" ht="12.5" spans="1:5">
      <c r="A28" s="54"/>
      <c r="B28" s="50" t="s">
        <v>5427</v>
      </c>
      <c r="C28" s="11" t="s">
        <v>67</v>
      </c>
      <c r="D28" s="18" t="s">
        <v>5428</v>
      </c>
      <c r="E28" s="11" t="s">
        <v>44</v>
      </c>
    </row>
    <row r="29" ht="12.5" spans="1:6">
      <c r="A29" s="54"/>
      <c r="B29" s="50" t="s">
        <v>5429</v>
      </c>
      <c r="C29" s="11" t="s">
        <v>67</v>
      </c>
      <c r="D29" s="18" t="s">
        <v>5430</v>
      </c>
      <c r="E29" s="11" t="s">
        <v>44</v>
      </c>
      <c r="F29" s="11" t="s">
        <v>5431</v>
      </c>
    </row>
    <row r="30" ht="12.5" spans="1:6">
      <c r="A30" s="54"/>
      <c r="B30" s="50" t="s">
        <v>5432</v>
      </c>
      <c r="C30" s="11" t="s">
        <v>67</v>
      </c>
      <c r="D30" s="18" t="s">
        <v>5433</v>
      </c>
      <c r="E30" s="11" t="s">
        <v>44</v>
      </c>
      <c r="F30" s="11" t="s">
        <v>5422</v>
      </c>
    </row>
    <row r="31" ht="12.5" spans="1:6">
      <c r="A31" s="54"/>
      <c r="B31" s="50" t="s">
        <v>5434</v>
      </c>
      <c r="C31" s="11" t="s">
        <v>67</v>
      </c>
      <c r="D31" s="18" t="s">
        <v>5435</v>
      </c>
      <c r="E31" s="11" t="s">
        <v>44</v>
      </c>
      <c r="F31" s="11" t="s">
        <v>5422</v>
      </c>
    </row>
    <row r="32" ht="12.5" spans="1:6">
      <c r="A32" s="54"/>
      <c r="B32" s="50" t="s">
        <v>5436</v>
      </c>
      <c r="C32" s="11" t="s">
        <v>67</v>
      </c>
      <c r="D32" s="18" t="s">
        <v>5437</v>
      </c>
      <c r="E32" s="11" t="s">
        <v>44</v>
      </c>
      <c r="F32" s="11" t="s">
        <v>5422</v>
      </c>
    </row>
    <row r="33" ht="12.5" spans="1:5">
      <c r="A33" s="54"/>
      <c r="B33" s="50" t="s">
        <v>5438</v>
      </c>
      <c r="C33" s="11" t="s">
        <v>67</v>
      </c>
      <c r="D33" s="18" t="s">
        <v>5439</v>
      </c>
      <c r="E33" s="11" t="s">
        <v>44</v>
      </c>
    </row>
    <row r="34" ht="12.5" spans="1:27">
      <c r="A34" s="55">
        <v>45076</v>
      </c>
      <c r="B34" s="56" t="s">
        <v>5417</v>
      </c>
      <c r="C34" s="5" t="s">
        <v>67</v>
      </c>
      <c r="D34" s="57" t="s">
        <v>5440</v>
      </c>
      <c r="E34" s="5" t="s">
        <v>44</v>
      </c>
      <c r="F34" s="5"/>
      <c r="G34" s="5"/>
      <c r="H34" s="5"/>
      <c r="I34" s="5"/>
      <c r="J34" s="5"/>
      <c r="K34" s="5"/>
      <c r="L34" s="5"/>
      <c r="M34" s="5"/>
      <c r="N34" s="5"/>
      <c r="O34" s="5"/>
      <c r="P34" s="5"/>
      <c r="Q34" s="5"/>
      <c r="R34" s="5"/>
      <c r="S34" s="5"/>
      <c r="T34" s="5"/>
      <c r="U34" s="5"/>
      <c r="V34" s="5"/>
      <c r="W34" s="5"/>
      <c r="X34" s="5"/>
      <c r="Y34" s="5"/>
      <c r="Z34" s="5"/>
      <c r="AA34" s="5"/>
    </row>
    <row r="35" ht="13" spans="1:9">
      <c r="A35" s="58">
        <v>45076</v>
      </c>
      <c r="B35" s="56" t="s">
        <v>5441</v>
      </c>
      <c r="C35" s="11" t="s">
        <v>67</v>
      </c>
      <c r="D35" s="59" t="s">
        <v>5442</v>
      </c>
      <c r="E35" s="11" t="s">
        <v>44</v>
      </c>
      <c r="H35" s="60">
        <v>9</v>
      </c>
      <c r="I35" s="11" t="s">
        <v>5443</v>
      </c>
    </row>
    <row r="36" ht="13" spans="1:9">
      <c r="A36" s="58">
        <v>45076</v>
      </c>
      <c r="B36" s="56" t="s">
        <v>5444</v>
      </c>
      <c r="C36" s="11" t="s">
        <v>67</v>
      </c>
      <c r="D36" s="59" t="s">
        <v>5445</v>
      </c>
      <c r="E36" s="11" t="s">
        <v>44</v>
      </c>
      <c r="H36" s="61">
        <v>39</v>
      </c>
      <c r="I36" s="11" t="s">
        <v>5446</v>
      </c>
    </row>
    <row r="37" ht="12.5" spans="1:9">
      <c r="A37" s="58">
        <v>45076</v>
      </c>
      <c r="B37" s="62" t="s">
        <v>5447</v>
      </c>
      <c r="C37" s="11" t="s">
        <v>67</v>
      </c>
      <c r="D37" s="59" t="s">
        <v>5448</v>
      </c>
      <c r="E37" s="11" t="s">
        <v>44</v>
      </c>
      <c r="H37" s="63">
        <v>3</v>
      </c>
      <c r="I37" s="11" t="s">
        <v>5449</v>
      </c>
    </row>
    <row r="38" ht="13" spans="1:9">
      <c r="A38" s="58">
        <v>45077</v>
      </c>
      <c r="B38" s="56" t="s">
        <v>5450</v>
      </c>
      <c r="C38" s="11" t="s">
        <v>67</v>
      </c>
      <c r="D38" s="18" t="s">
        <v>5451</v>
      </c>
      <c r="E38" s="11" t="s">
        <v>44</v>
      </c>
      <c r="H38" s="5">
        <v>1</v>
      </c>
      <c r="I38" s="11" t="s">
        <v>5452</v>
      </c>
    </row>
    <row r="39" ht="13" spans="1:9">
      <c r="A39" s="58">
        <v>45077</v>
      </c>
      <c r="B39" s="56" t="s">
        <v>5453</v>
      </c>
      <c r="C39" s="11" t="s">
        <v>67</v>
      </c>
      <c r="D39" s="18" t="s">
        <v>5454</v>
      </c>
      <c r="E39" s="11" t="s">
        <v>44</v>
      </c>
      <c r="H39" s="64">
        <v>1</v>
      </c>
      <c r="I39" s="11" t="s">
        <v>5455</v>
      </c>
    </row>
    <row r="40" ht="12.5" spans="1:5">
      <c r="A40" s="58">
        <v>45077</v>
      </c>
      <c r="B40" s="56" t="s">
        <v>5456</v>
      </c>
      <c r="C40" s="11" t="s">
        <v>67</v>
      </c>
      <c r="D40" s="18" t="s">
        <v>5457</v>
      </c>
      <c r="E40" s="11" t="s">
        <v>44</v>
      </c>
    </row>
    <row r="41" ht="12.5" spans="1:9">
      <c r="A41" s="58">
        <v>45077</v>
      </c>
      <c r="B41" s="56" t="s">
        <v>5458</v>
      </c>
      <c r="C41" s="11" t="s">
        <v>67</v>
      </c>
      <c r="D41" s="18" t="s">
        <v>5459</v>
      </c>
      <c r="E41" s="11" t="s">
        <v>44</v>
      </c>
      <c r="H41" s="11">
        <v>-4</v>
      </c>
      <c r="I41" s="11" t="s">
        <v>5460</v>
      </c>
    </row>
    <row r="42" ht="12.5" spans="1:9">
      <c r="A42" s="65">
        <v>45078</v>
      </c>
      <c r="B42" s="56" t="s">
        <v>5461</v>
      </c>
      <c r="C42" s="11" t="s">
        <v>67</v>
      </c>
      <c r="D42" s="18" t="s">
        <v>5462</v>
      </c>
      <c r="E42" s="11" t="s">
        <v>44</v>
      </c>
      <c r="H42" s="11">
        <v>-1</v>
      </c>
      <c r="I42" s="11" t="s">
        <v>5463</v>
      </c>
    </row>
    <row r="43" ht="12.5" spans="1:5">
      <c r="A43" s="65">
        <v>45078</v>
      </c>
      <c r="B43" s="50" t="s">
        <v>5464</v>
      </c>
      <c r="C43" s="11" t="s">
        <v>67</v>
      </c>
      <c r="D43" s="18" t="s">
        <v>5465</v>
      </c>
      <c r="E43" s="11" t="s">
        <v>44</v>
      </c>
    </row>
    <row r="44" ht="12.5" spans="1:6">
      <c r="A44" s="65">
        <v>45079</v>
      </c>
      <c r="B44" s="66" t="s">
        <v>5466</v>
      </c>
      <c r="C44" s="11" t="s">
        <v>67</v>
      </c>
      <c r="D44" s="18" t="s">
        <v>5467</v>
      </c>
      <c r="E44" s="11" t="s">
        <v>44</v>
      </c>
      <c r="F44" s="11" t="s">
        <v>5468</v>
      </c>
    </row>
    <row r="45" ht="12.5" spans="1:5">
      <c r="A45" s="65">
        <v>45079</v>
      </c>
      <c r="B45" s="50" t="s">
        <v>5469</v>
      </c>
      <c r="C45" s="11" t="s">
        <v>67</v>
      </c>
      <c r="D45" s="18" t="s">
        <v>5470</v>
      </c>
      <c r="E45" s="11" t="s">
        <v>44</v>
      </c>
    </row>
    <row r="46" ht="12.5" spans="1:6">
      <c r="A46" s="65">
        <v>45081</v>
      </c>
      <c r="B46" s="67" t="s">
        <v>5471</v>
      </c>
      <c r="C46" s="11" t="s">
        <v>156</v>
      </c>
      <c r="D46" s="18" t="s">
        <v>5472</v>
      </c>
      <c r="E46" s="11" t="s">
        <v>45</v>
      </c>
      <c r="F46" s="11" t="s">
        <v>5473</v>
      </c>
    </row>
    <row r="47" ht="12.5" spans="1:5">
      <c r="A47" s="54">
        <v>45082</v>
      </c>
      <c r="B47" s="68" t="s">
        <v>5474</v>
      </c>
      <c r="C47" s="11" t="s">
        <v>67</v>
      </c>
      <c r="D47" s="18" t="s">
        <v>5475</v>
      </c>
      <c r="E47" s="11" t="s">
        <v>44</v>
      </c>
    </row>
    <row r="48" ht="12.5" spans="1:5">
      <c r="A48" s="54">
        <v>45082</v>
      </c>
      <c r="B48" s="68" t="s">
        <v>5476</v>
      </c>
      <c r="C48" s="11" t="s">
        <v>67</v>
      </c>
      <c r="D48" s="18" t="s">
        <v>5477</v>
      </c>
      <c r="E48" s="11" t="s">
        <v>44</v>
      </c>
    </row>
    <row r="49" ht="12.5" spans="1:5">
      <c r="A49" s="54">
        <v>45082</v>
      </c>
      <c r="B49" s="50" t="s">
        <v>5478</v>
      </c>
      <c r="C49" s="11" t="s">
        <v>67</v>
      </c>
      <c r="D49" s="18" t="s">
        <v>5479</v>
      </c>
      <c r="E49" s="11" t="s">
        <v>44</v>
      </c>
    </row>
    <row r="50" ht="12.5" spans="1:5">
      <c r="A50" s="54">
        <v>45082</v>
      </c>
      <c r="B50" s="50" t="s">
        <v>5480</v>
      </c>
      <c r="C50" s="11" t="s">
        <v>67</v>
      </c>
      <c r="D50" s="18" t="s">
        <v>5481</v>
      </c>
      <c r="E50" s="11" t="s">
        <v>44</v>
      </c>
    </row>
    <row r="51" ht="12.5" spans="1:6">
      <c r="A51" s="54">
        <v>45082</v>
      </c>
      <c r="B51" s="50" t="s">
        <v>5482</v>
      </c>
      <c r="C51" s="11" t="s">
        <v>67</v>
      </c>
      <c r="D51" s="18" t="s">
        <v>5483</v>
      </c>
      <c r="E51" s="11" t="s">
        <v>44</v>
      </c>
      <c r="F51" s="11" t="s">
        <v>5484</v>
      </c>
    </row>
    <row r="52" ht="12.5" spans="1:6">
      <c r="A52" s="54">
        <v>45082</v>
      </c>
      <c r="B52" s="50" t="s">
        <v>5485</v>
      </c>
      <c r="C52" s="11" t="s">
        <v>67</v>
      </c>
      <c r="D52" s="18" t="s">
        <v>5486</v>
      </c>
      <c r="E52" s="11" t="s">
        <v>44</v>
      </c>
      <c r="F52" s="11" t="s">
        <v>5487</v>
      </c>
    </row>
    <row r="53" ht="12.5" spans="1:5">
      <c r="A53" s="54">
        <v>45082</v>
      </c>
      <c r="B53" s="68" t="s">
        <v>5488</v>
      </c>
      <c r="C53" s="11" t="s">
        <v>67</v>
      </c>
      <c r="D53" s="18" t="s">
        <v>5489</v>
      </c>
      <c r="E53" s="11" t="s">
        <v>44</v>
      </c>
    </row>
    <row r="54" ht="12.5" spans="1:6">
      <c r="A54" s="54">
        <v>45082</v>
      </c>
      <c r="B54" s="69" t="s">
        <v>5490</v>
      </c>
      <c r="C54" s="11" t="s">
        <v>67</v>
      </c>
      <c r="D54" s="18" t="s">
        <v>5491</v>
      </c>
      <c r="E54" s="11" t="s">
        <v>44</v>
      </c>
      <c r="F54" s="11" t="s">
        <v>5492</v>
      </c>
    </row>
    <row r="55" ht="12.5" spans="1:5">
      <c r="A55" s="54">
        <v>45082</v>
      </c>
      <c r="B55" s="68" t="s">
        <v>5493</v>
      </c>
      <c r="C55" s="11" t="s">
        <v>67</v>
      </c>
      <c r="D55" s="18" t="s">
        <v>5494</v>
      </c>
      <c r="E55" s="11" t="s">
        <v>44</v>
      </c>
    </row>
    <row r="56" ht="12.5" spans="1:5">
      <c r="A56" s="54">
        <v>45082</v>
      </c>
      <c r="B56" s="50" t="s">
        <v>5495</v>
      </c>
      <c r="C56" s="11" t="s">
        <v>67</v>
      </c>
      <c r="D56" s="18" t="s">
        <v>5496</v>
      </c>
      <c r="E56" s="11" t="s">
        <v>44</v>
      </c>
    </row>
    <row r="57" ht="12.5" spans="1:6">
      <c r="A57" s="54">
        <v>45082</v>
      </c>
      <c r="B57" s="50" t="s">
        <v>5497</v>
      </c>
      <c r="C57" s="11" t="s">
        <v>67</v>
      </c>
      <c r="D57" s="18" t="s">
        <v>5498</v>
      </c>
      <c r="E57" s="11" t="s">
        <v>44</v>
      </c>
      <c r="F57" s="11" t="s">
        <v>5499</v>
      </c>
    </row>
    <row r="58" ht="12.5" spans="1:5">
      <c r="A58" s="54">
        <v>45082</v>
      </c>
      <c r="B58" s="50" t="s">
        <v>5434</v>
      </c>
      <c r="C58" s="11" t="s">
        <v>67</v>
      </c>
      <c r="D58" s="18" t="s">
        <v>5500</v>
      </c>
      <c r="E58" s="11" t="s">
        <v>44</v>
      </c>
    </row>
    <row r="59" ht="12.5" spans="1:5">
      <c r="A59" s="54">
        <v>45082</v>
      </c>
      <c r="B59" s="50" t="s">
        <v>5501</v>
      </c>
      <c r="C59" s="11" t="s">
        <v>67</v>
      </c>
      <c r="D59" s="18" t="s">
        <v>5502</v>
      </c>
      <c r="E59" s="11" t="s">
        <v>44</v>
      </c>
    </row>
    <row r="60" ht="12.5" spans="1:5">
      <c r="A60" s="54">
        <v>45082</v>
      </c>
      <c r="B60" s="50" t="s">
        <v>5503</v>
      </c>
      <c r="C60" s="11" t="s">
        <v>67</v>
      </c>
      <c r="D60" s="18" t="s">
        <v>5504</v>
      </c>
      <c r="E60" s="11" t="s">
        <v>44</v>
      </c>
    </row>
    <row r="61" ht="12.5" spans="1:5">
      <c r="A61" s="54">
        <v>45083</v>
      </c>
      <c r="B61" s="68" t="s">
        <v>5505</v>
      </c>
      <c r="C61" s="11" t="s">
        <v>67</v>
      </c>
      <c r="D61" s="18" t="s">
        <v>5506</v>
      </c>
      <c r="E61" s="11" t="s">
        <v>44</v>
      </c>
    </row>
    <row r="62" ht="12.5" spans="1:5">
      <c r="A62" s="54">
        <v>45083</v>
      </c>
      <c r="B62" s="50" t="s">
        <v>5438</v>
      </c>
      <c r="C62" s="11" t="s">
        <v>67</v>
      </c>
      <c r="D62" s="18" t="s">
        <v>5507</v>
      </c>
      <c r="E62" s="11" t="s">
        <v>44</v>
      </c>
    </row>
    <row r="63" ht="12.5" spans="1:5">
      <c r="A63" s="54">
        <v>45083</v>
      </c>
      <c r="B63" s="68" t="s">
        <v>5508</v>
      </c>
      <c r="C63" s="11" t="s">
        <v>67</v>
      </c>
      <c r="D63" s="18" t="s">
        <v>5509</v>
      </c>
      <c r="E63" s="11" t="s">
        <v>44</v>
      </c>
    </row>
    <row r="64" ht="12.5" spans="1:5">
      <c r="A64" s="54">
        <v>45083</v>
      </c>
      <c r="B64" s="50" t="s">
        <v>5510</v>
      </c>
      <c r="C64" s="11" t="s">
        <v>67</v>
      </c>
      <c r="D64" s="18" t="s">
        <v>5511</v>
      </c>
      <c r="E64" s="11" t="s">
        <v>44</v>
      </c>
    </row>
    <row r="65" ht="12.5" spans="1:5">
      <c r="A65" s="54">
        <v>45083</v>
      </c>
      <c r="B65" s="68" t="s">
        <v>5512</v>
      </c>
      <c r="C65" s="11" t="s">
        <v>67</v>
      </c>
      <c r="D65" s="18" t="s">
        <v>5513</v>
      </c>
      <c r="E65" s="11" t="s">
        <v>45</v>
      </c>
    </row>
    <row r="66" ht="12.5" spans="1:6">
      <c r="A66" s="54">
        <v>45083</v>
      </c>
      <c r="B66" s="50" t="s">
        <v>5514</v>
      </c>
      <c r="C66" s="11" t="s">
        <v>67</v>
      </c>
      <c r="D66" s="18" t="s">
        <v>5515</v>
      </c>
      <c r="E66" s="11" t="s">
        <v>44</v>
      </c>
      <c r="F66" s="11" t="s">
        <v>5516</v>
      </c>
    </row>
    <row r="67" ht="12.5" spans="1:5">
      <c r="A67" s="54">
        <v>45084</v>
      </c>
      <c r="B67" s="50" t="s">
        <v>5517</v>
      </c>
      <c r="C67" s="11" t="s">
        <v>67</v>
      </c>
      <c r="D67" s="18" t="s">
        <v>5518</v>
      </c>
      <c r="E67" s="11" t="s">
        <v>44</v>
      </c>
    </row>
    <row r="68" ht="12.5" spans="1:7">
      <c r="A68" s="54">
        <v>45085</v>
      </c>
      <c r="B68" s="50" t="s">
        <v>5519</v>
      </c>
      <c r="C68" s="11" t="s">
        <v>156</v>
      </c>
      <c r="D68" s="18" t="s">
        <v>5520</v>
      </c>
      <c r="E68" s="11" t="s">
        <v>44</v>
      </c>
      <c r="G68" s="11"/>
    </row>
    <row r="69" ht="12.5" spans="1:5">
      <c r="A69" s="54">
        <v>45085</v>
      </c>
      <c r="B69" s="50" t="s">
        <v>5521</v>
      </c>
      <c r="C69" s="11" t="s">
        <v>156</v>
      </c>
      <c r="D69" s="18" t="s">
        <v>5522</v>
      </c>
      <c r="E69" s="11" t="s">
        <v>44</v>
      </c>
    </row>
    <row r="70" ht="12.5" spans="1:5">
      <c r="A70" s="54">
        <v>45085</v>
      </c>
      <c r="B70" s="50" t="s">
        <v>5523</v>
      </c>
      <c r="C70" s="11" t="s">
        <v>156</v>
      </c>
      <c r="D70" s="18" t="s">
        <v>5524</v>
      </c>
      <c r="E70" s="11" t="s">
        <v>44</v>
      </c>
    </row>
    <row r="71" ht="12.5" spans="1:5">
      <c r="A71" s="54">
        <v>45085</v>
      </c>
      <c r="B71" s="68" t="s">
        <v>5525</v>
      </c>
      <c r="C71" s="11" t="s">
        <v>156</v>
      </c>
      <c r="D71" s="18" t="s">
        <v>5526</v>
      </c>
      <c r="E71" s="11" t="s">
        <v>44</v>
      </c>
    </row>
    <row r="72" ht="12.5" spans="1:5">
      <c r="A72" s="54">
        <v>45085</v>
      </c>
      <c r="B72" s="68" t="s">
        <v>5527</v>
      </c>
      <c r="C72" s="11" t="s">
        <v>156</v>
      </c>
      <c r="D72" s="18" t="s">
        <v>5528</v>
      </c>
      <c r="E72" s="11" t="s">
        <v>45</v>
      </c>
    </row>
    <row r="73" ht="12.5" spans="1:6">
      <c r="A73" s="54">
        <v>45085</v>
      </c>
      <c r="B73" s="50" t="s">
        <v>5529</v>
      </c>
      <c r="C73" s="11" t="s">
        <v>156</v>
      </c>
      <c r="D73" s="18" t="s">
        <v>5530</v>
      </c>
      <c r="E73" s="11" t="s">
        <v>44</v>
      </c>
      <c r="F73" s="11" t="s">
        <v>5531</v>
      </c>
    </row>
    <row r="74" ht="12.5" spans="1:5">
      <c r="A74" s="54">
        <v>45085</v>
      </c>
      <c r="B74" s="50" t="s">
        <v>5532</v>
      </c>
      <c r="C74" s="11" t="s">
        <v>156</v>
      </c>
      <c r="D74" s="18" t="s">
        <v>5533</v>
      </c>
      <c r="E74" s="11" t="s">
        <v>44</v>
      </c>
    </row>
    <row r="75" ht="12.5" spans="1:5">
      <c r="A75" s="54">
        <v>45085</v>
      </c>
      <c r="B75" s="68" t="s">
        <v>5534</v>
      </c>
      <c r="C75" s="11" t="s">
        <v>156</v>
      </c>
      <c r="D75" s="18" t="s">
        <v>5535</v>
      </c>
      <c r="E75" s="11" t="s">
        <v>44</v>
      </c>
    </row>
    <row r="76" ht="12.5" spans="1:5">
      <c r="A76" s="54">
        <v>45085</v>
      </c>
      <c r="B76" s="68" t="s">
        <v>5536</v>
      </c>
      <c r="C76" s="11" t="s">
        <v>156</v>
      </c>
      <c r="D76" s="18" t="s">
        <v>5537</v>
      </c>
      <c r="E76" s="11" t="s">
        <v>44</v>
      </c>
    </row>
    <row r="77" ht="12.5" spans="1:5">
      <c r="A77" s="54">
        <v>45085</v>
      </c>
      <c r="B77" s="68" t="s">
        <v>5538</v>
      </c>
      <c r="C77" s="11" t="s">
        <v>156</v>
      </c>
      <c r="D77" s="18" t="s">
        <v>5539</v>
      </c>
      <c r="E77" s="11" t="s">
        <v>44</v>
      </c>
    </row>
    <row r="78" ht="12.5" spans="1:5">
      <c r="A78" s="54">
        <v>45085</v>
      </c>
      <c r="B78" s="50" t="s">
        <v>5540</v>
      </c>
      <c r="C78" s="11" t="s">
        <v>156</v>
      </c>
      <c r="D78" s="18" t="s">
        <v>5541</v>
      </c>
      <c r="E78" s="11" t="s">
        <v>44</v>
      </c>
    </row>
    <row r="79" ht="12.5" spans="1:5">
      <c r="A79" s="54">
        <v>45085</v>
      </c>
      <c r="B79" s="50" t="s">
        <v>5542</v>
      </c>
      <c r="C79" s="11" t="s">
        <v>156</v>
      </c>
      <c r="D79" s="18" t="s">
        <v>5543</v>
      </c>
      <c r="E79" s="11" t="s">
        <v>44</v>
      </c>
    </row>
    <row r="80" ht="12.5" spans="1:5">
      <c r="A80" s="54">
        <v>45085</v>
      </c>
      <c r="B80" s="50" t="s">
        <v>5544</v>
      </c>
      <c r="C80" s="11" t="s">
        <v>156</v>
      </c>
      <c r="D80" s="18" t="s">
        <v>5545</v>
      </c>
      <c r="E80" s="11" t="s">
        <v>44</v>
      </c>
    </row>
    <row r="81" ht="12.5" spans="1:5">
      <c r="A81" s="54">
        <v>45085</v>
      </c>
      <c r="B81" s="50" t="s">
        <v>5546</v>
      </c>
      <c r="C81" s="11" t="s">
        <v>156</v>
      </c>
      <c r="D81" s="18" t="s">
        <v>5547</v>
      </c>
      <c r="E81" s="11" t="s">
        <v>44</v>
      </c>
    </row>
    <row r="82" ht="12.5" spans="1:5">
      <c r="A82" s="54">
        <v>45085</v>
      </c>
      <c r="B82" s="50" t="s">
        <v>5548</v>
      </c>
      <c r="C82" s="11" t="s">
        <v>156</v>
      </c>
      <c r="D82" s="18" t="s">
        <v>5549</v>
      </c>
      <c r="E82" s="11" t="s">
        <v>44</v>
      </c>
    </row>
    <row r="83" ht="12.5" spans="1:5">
      <c r="A83" s="54">
        <v>45085</v>
      </c>
      <c r="B83" s="50" t="s">
        <v>5550</v>
      </c>
      <c r="C83" s="11" t="s">
        <v>156</v>
      </c>
      <c r="D83" s="18" t="s">
        <v>5551</v>
      </c>
      <c r="E83" s="11" t="s">
        <v>45</v>
      </c>
    </row>
    <row r="84" ht="12.5" spans="1:5">
      <c r="A84" s="54">
        <v>45085</v>
      </c>
      <c r="B84" s="50" t="s">
        <v>5552</v>
      </c>
      <c r="C84" s="11" t="s">
        <v>156</v>
      </c>
      <c r="D84" s="18" t="s">
        <v>5553</v>
      </c>
      <c r="E84" s="11" t="s">
        <v>44</v>
      </c>
    </row>
    <row r="85" ht="12.5" spans="1:6">
      <c r="A85" s="54">
        <v>45085</v>
      </c>
      <c r="B85" s="50" t="s">
        <v>5554</v>
      </c>
      <c r="C85" s="11" t="s">
        <v>156</v>
      </c>
      <c r="D85" s="18" t="s">
        <v>5555</v>
      </c>
      <c r="E85" s="11" t="s">
        <v>44</v>
      </c>
      <c r="F85" s="11" t="s">
        <v>5556</v>
      </c>
    </row>
    <row r="86" ht="12.5" spans="1:5">
      <c r="A86" s="54">
        <v>45085</v>
      </c>
      <c r="B86" s="50" t="s">
        <v>5557</v>
      </c>
      <c r="C86" s="11" t="s">
        <v>156</v>
      </c>
      <c r="D86" s="18" t="s">
        <v>5558</v>
      </c>
      <c r="E86" s="11" t="s">
        <v>44</v>
      </c>
    </row>
    <row r="87" ht="12.5" spans="1:5">
      <c r="A87" s="54">
        <v>45085</v>
      </c>
      <c r="B87" s="50" t="s">
        <v>5559</v>
      </c>
      <c r="C87" s="11" t="s">
        <v>156</v>
      </c>
      <c r="D87" s="18" t="s">
        <v>5560</v>
      </c>
      <c r="E87" s="11" t="s">
        <v>44</v>
      </c>
    </row>
    <row r="88" ht="12.5" spans="1:5">
      <c r="A88" s="54">
        <v>45086</v>
      </c>
      <c r="B88" s="68" t="s">
        <v>5561</v>
      </c>
      <c r="C88" s="11" t="s">
        <v>67</v>
      </c>
      <c r="D88" s="18" t="s">
        <v>5562</v>
      </c>
      <c r="E88" s="11" t="s">
        <v>44</v>
      </c>
    </row>
    <row r="89" ht="12.5" spans="1:5">
      <c r="A89" s="54">
        <v>45086</v>
      </c>
      <c r="B89" s="50" t="s">
        <v>5563</v>
      </c>
      <c r="C89" s="11" t="s">
        <v>67</v>
      </c>
      <c r="D89" s="18" t="s">
        <v>5562</v>
      </c>
      <c r="E89" s="11" t="s">
        <v>44</v>
      </c>
    </row>
    <row r="90" ht="12.5" spans="1:5">
      <c r="A90" s="54">
        <v>45086</v>
      </c>
      <c r="B90" s="50" t="s">
        <v>5564</v>
      </c>
      <c r="C90" s="11" t="s">
        <v>67</v>
      </c>
      <c r="D90" s="70" t="s">
        <v>5565</v>
      </c>
      <c r="E90" s="11" t="s">
        <v>44</v>
      </c>
    </row>
    <row r="91" ht="12.5" spans="1:5">
      <c r="A91" s="54">
        <v>45086</v>
      </c>
      <c r="B91" s="50" t="s">
        <v>5566</v>
      </c>
      <c r="C91" s="11" t="s">
        <v>67</v>
      </c>
      <c r="D91" s="70" t="s">
        <v>5567</v>
      </c>
      <c r="E91" s="11" t="s">
        <v>44</v>
      </c>
    </row>
    <row r="92" ht="12.5" spans="1:5">
      <c r="A92" s="54">
        <v>45086</v>
      </c>
      <c r="B92" s="50" t="s">
        <v>5441</v>
      </c>
      <c r="C92" s="11" t="s">
        <v>67</v>
      </c>
      <c r="D92" s="71" t="s">
        <v>5568</v>
      </c>
      <c r="E92" s="11" t="s">
        <v>44</v>
      </c>
    </row>
    <row r="93" ht="12.5" spans="1:5">
      <c r="A93" s="54">
        <v>45086</v>
      </c>
      <c r="B93" s="68" t="s">
        <v>5569</v>
      </c>
      <c r="C93" s="11" t="s">
        <v>67</v>
      </c>
      <c r="D93" s="70" t="s">
        <v>5570</v>
      </c>
      <c r="E93" s="11" t="s">
        <v>45</v>
      </c>
    </row>
    <row r="94" ht="12.5" spans="1:5">
      <c r="A94" s="54">
        <v>45086</v>
      </c>
      <c r="B94" s="50" t="s">
        <v>5571</v>
      </c>
      <c r="C94" s="11" t="s">
        <v>67</v>
      </c>
      <c r="D94" s="70" t="s">
        <v>5572</v>
      </c>
      <c r="E94" s="11" t="s">
        <v>44</v>
      </c>
    </row>
    <row r="95" ht="12.5" spans="1:5">
      <c r="A95" s="54">
        <v>45086</v>
      </c>
      <c r="B95" s="50" t="s">
        <v>5573</v>
      </c>
      <c r="C95" s="11" t="s">
        <v>67</v>
      </c>
      <c r="D95" s="70" t="s">
        <v>5574</v>
      </c>
      <c r="E95" s="11" t="s">
        <v>44</v>
      </c>
    </row>
    <row r="96" ht="12.5" spans="1:5">
      <c r="A96" s="54">
        <v>45087</v>
      </c>
      <c r="B96" s="50" t="s">
        <v>5571</v>
      </c>
      <c r="C96" s="11" t="s">
        <v>156</v>
      </c>
      <c r="D96" s="18" t="s">
        <v>5575</v>
      </c>
      <c r="E96" s="11" t="s">
        <v>44</v>
      </c>
    </row>
    <row r="97" ht="12.5" spans="1:5">
      <c r="A97" s="54">
        <v>45087</v>
      </c>
      <c r="B97" s="50" t="s">
        <v>5576</v>
      </c>
      <c r="C97" s="11" t="s">
        <v>156</v>
      </c>
      <c r="D97" s="18" t="s">
        <v>5577</v>
      </c>
      <c r="E97" s="11" t="s">
        <v>44</v>
      </c>
    </row>
    <row r="98" ht="12.5" spans="1:5">
      <c r="A98" s="54">
        <v>45087</v>
      </c>
      <c r="B98" s="50" t="s">
        <v>5578</v>
      </c>
      <c r="C98" s="11" t="s">
        <v>156</v>
      </c>
      <c r="D98" s="18" t="s">
        <v>5579</v>
      </c>
      <c r="E98" s="11" t="s">
        <v>44</v>
      </c>
    </row>
    <row r="99" ht="12.5" spans="1:5">
      <c r="A99" s="54">
        <v>45087</v>
      </c>
      <c r="B99" s="50" t="s">
        <v>5580</v>
      </c>
      <c r="C99" s="11" t="s">
        <v>156</v>
      </c>
      <c r="D99" s="18" t="s">
        <v>5581</v>
      </c>
      <c r="E99" s="11" t="s">
        <v>44</v>
      </c>
    </row>
    <row r="100" ht="12.5" spans="1:5">
      <c r="A100" s="54">
        <v>45087</v>
      </c>
      <c r="B100" s="50" t="s">
        <v>5582</v>
      </c>
      <c r="C100" s="11" t="s">
        <v>156</v>
      </c>
      <c r="D100" s="18" t="s">
        <v>5583</v>
      </c>
      <c r="E100" s="11" t="s">
        <v>44</v>
      </c>
    </row>
    <row r="101" ht="12.5" spans="1:5">
      <c r="A101" s="54">
        <v>45087</v>
      </c>
      <c r="B101" s="50" t="s">
        <v>5584</v>
      </c>
      <c r="C101" s="11" t="s">
        <v>156</v>
      </c>
      <c r="D101" s="18" t="s">
        <v>5585</v>
      </c>
      <c r="E101" s="11" t="s">
        <v>45</v>
      </c>
    </row>
    <row r="102" ht="14" spans="1:5">
      <c r="A102" s="54">
        <v>45088</v>
      </c>
      <c r="B102" s="50" t="s">
        <v>5586</v>
      </c>
      <c r="C102" s="11" t="s">
        <v>156</v>
      </c>
      <c r="D102" s="72" t="s">
        <v>5587</v>
      </c>
      <c r="E102" s="11" t="s">
        <v>44</v>
      </c>
    </row>
    <row r="103" ht="12.5" spans="1:5">
      <c r="A103" s="54">
        <v>45089</v>
      </c>
      <c r="B103" s="50" t="s">
        <v>5588</v>
      </c>
      <c r="C103" s="11" t="s">
        <v>67</v>
      </c>
      <c r="D103" s="18" t="s">
        <v>5589</v>
      </c>
      <c r="E103" s="11" t="s">
        <v>44</v>
      </c>
    </row>
    <row r="104" ht="12.5" spans="1:5">
      <c r="A104" s="54">
        <v>45089</v>
      </c>
      <c r="B104" s="50" t="s">
        <v>5590</v>
      </c>
      <c r="C104" s="11" t="s">
        <v>67</v>
      </c>
      <c r="D104" s="18" t="s">
        <v>671</v>
      </c>
      <c r="E104" s="11" t="s">
        <v>45</v>
      </c>
    </row>
    <row r="105" ht="12.5" spans="1:6">
      <c r="A105" s="54">
        <v>45089</v>
      </c>
      <c r="B105" s="68" t="s">
        <v>5591</v>
      </c>
      <c r="C105" s="11" t="s">
        <v>67</v>
      </c>
      <c r="D105" s="11"/>
      <c r="E105" s="11" t="s">
        <v>44</v>
      </c>
      <c r="F105" s="11" t="s">
        <v>5592</v>
      </c>
    </row>
    <row r="106" ht="12.5" spans="1:5">
      <c r="A106" s="54">
        <v>45089</v>
      </c>
      <c r="B106" s="73" t="s">
        <v>5593</v>
      </c>
      <c r="C106" s="11" t="s">
        <v>67</v>
      </c>
      <c r="D106" s="18" t="s">
        <v>5594</v>
      </c>
      <c r="E106" s="11" t="s">
        <v>44</v>
      </c>
    </row>
    <row r="107" ht="12.5" spans="1:6">
      <c r="A107" s="54">
        <v>45089</v>
      </c>
      <c r="B107" s="50" t="s">
        <v>5595</v>
      </c>
      <c r="C107" s="11" t="s">
        <v>67</v>
      </c>
      <c r="D107" s="18" t="s">
        <v>5596</v>
      </c>
      <c r="E107" s="11" t="s">
        <v>44</v>
      </c>
      <c r="F107" s="11" t="s">
        <v>5597</v>
      </c>
    </row>
    <row r="108" ht="12.5" spans="1:5">
      <c r="A108" s="54">
        <v>45089</v>
      </c>
      <c r="B108" s="50" t="s">
        <v>5582</v>
      </c>
      <c r="C108" s="11" t="s">
        <v>67</v>
      </c>
      <c r="D108" s="18" t="s">
        <v>5598</v>
      </c>
      <c r="E108" s="11" t="s">
        <v>44</v>
      </c>
    </row>
    <row r="109" ht="14" spans="1:5">
      <c r="A109" s="54">
        <v>45090</v>
      </c>
      <c r="B109" s="50" t="s">
        <v>5599</v>
      </c>
      <c r="C109" s="11" t="s">
        <v>67</v>
      </c>
      <c r="D109" s="72" t="s">
        <v>5600</v>
      </c>
      <c r="E109" s="11" t="s">
        <v>44</v>
      </c>
    </row>
    <row r="110" ht="12.5" spans="1:5">
      <c r="A110" s="54">
        <v>45090</v>
      </c>
      <c r="B110" s="50" t="s">
        <v>5601</v>
      </c>
      <c r="C110" s="11" t="s">
        <v>67</v>
      </c>
      <c r="D110" s="18" t="s">
        <v>5602</v>
      </c>
      <c r="E110" s="11" t="s">
        <v>44</v>
      </c>
    </row>
    <row r="111" ht="14" spans="1:5">
      <c r="A111" s="54">
        <v>45091</v>
      </c>
      <c r="B111" s="50" t="s">
        <v>5603</v>
      </c>
      <c r="C111" s="11" t="s">
        <v>67</v>
      </c>
      <c r="D111" s="74" t="s">
        <v>5604</v>
      </c>
      <c r="E111" s="11" t="s">
        <v>44</v>
      </c>
    </row>
    <row r="112" ht="14" spans="1:6">
      <c r="A112" s="54">
        <v>45091</v>
      </c>
      <c r="B112" s="50" t="s">
        <v>5605</v>
      </c>
      <c r="C112" s="11" t="s">
        <v>67</v>
      </c>
      <c r="D112" s="74" t="s">
        <v>5606</v>
      </c>
      <c r="E112" s="11" t="s">
        <v>44</v>
      </c>
      <c r="F112" s="11" t="s">
        <v>5607</v>
      </c>
    </row>
    <row r="113" ht="14" spans="1:5">
      <c r="A113" s="54">
        <v>45091</v>
      </c>
      <c r="B113" s="50" t="s">
        <v>5608</v>
      </c>
      <c r="C113" s="11" t="s">
        <v>67</v>
      </c>
      <c r="D113" s="74" t="s">
        <v>5609</v>
      </c>
      <c r="E113" s="11" t="s">
        <v>44</v>
      </c>
    </row>
    <row r="114" ht="12.5" spans="1:6">
      <c r="A114" s="54">
        <v>45092</v>
      </c>
      <c r="B114" s="50" t="s">
        <v>5582</v>
      </c>
      <c r="C114" s="11" t="s">
        <v>67</v>
      </c>
      <c r="D114" s="18" t="s">
        <v>5610</v>
      </c>
      <c r="E114" s="11" t="s">
        <v>44</v>
      </c>
      <c r="F114" s="11"/>
    </row>
    <row r="115" ht="12.5" spans="1:5">
      <c r="A115" s="54">
        <v>45092</v>
      </c>
      <c r="B115" s="68" t="s">
        <v>5611</v>
      </c>
      <c r="C115" s="11" t="s">
        <v>67</v>
      </c>
      <c r="D115" s="18" t="s">
        <v>5612</v>
      </c>
      <c r="E115" s="11" t="s">
        <v>44</v>
      </c>
    </row>
    <row r="116" ht="14" spans="1:5">
      <c r="A116" s="54">
        <v>45092</v>
      </c>
      <c r="B116" s="50" t="s">
        <v>5613</v>
      </c>
      <c r="C116" s="11" t="s">
        <v>67</v>
      </c>
      <c r="D116" s="72" t="s">
        <v>5614</v>
      </c>
      <c r="E116" s="11" t="s">
        <v>45</v>
      </c>
    </row>
    <row r="117" ht="14" spans="1:5">
      <c r="A117" s="54">
        <v>45092</v>
      </c>
      <c r="B117" s="50" t="s">
        <v>5615</v>
      </c>
      <c r="C117" s="11" t="s">
        <v>67</v>
      </c>
      <c r="D117" s="74" t="s">
        <v>5616</v>
      </c>
      <c r="E117" s="11" t="s">
        <v>44</v>
      </c>
    </row>
    <row r="118" ht="14" spans="1:5">
      <c r="A118" s="54">
        <v>45092</v>
      </c>
      <c r="B118" s="50" t="s">
        <v>5548</v>
      </c>
      <c r="C118" s="11" t="s">
        <v>67</v>
      </c>
      <c r="D118" s="72" t="s">
        <v>5617</v>
      </c>
      <c r="E118" s="11" t="s">
        <v>44</v>
      </c>
    </row>
    <row r="119" ht="12.5" spans="1:5">
      <c r="A119" s="54">
        <v>45093</v>
      </c>
      <c r="B119" s="50" t="s">
        <v>5403</v>
      </c>
      <c r="C119" s="11" t="s">
        <v>67</v>
      </c>
      <c r="D119" s="18" t="s">
        <v>5618</v>
      </c>
      <c r="E119" s="11" t="s">
        <v>44</v>
      </c>
    </row>
    <row r="120" ht="12.5" spans="1:5">
      <c r="A120" s="54">
        <v>45093</v>
      </c>
      <c r="B120" s="50" t="s">
        <v>5619</v>
      </c>
      <c r="C120" s="11" t="s">
        <v>67</v>
      </c>
      <c r="D120" s="18" t="s">
        <v>5620</v>
      </c>
      <c r="E120" s="11" t="s">
        <v>44</v>
      </c>
    </row>
    <row r="121" ht="12.5" spans="1:6">
      <c r="A121" s="54">
        <v>45093</v>
      </c>
      <c r="B121" s="50" t="s">
        <v>5621</v>
      </c>
      <c r="C121" s="11" t="s">
        <v>67</v>
      </c>
      <c r="D121" s="18" t="s">
        <v>5622</v>
      </c>
      <c r="E121" s="11" t="s">
        <v>44</v>
      </c>
      <c r="F121" s="11" t="s">
        <v>5623</v>
      </c>
    </row>
    <row r="122" ht="12.5" spans="1:5">
      <c r="A122" s="54">
        <v>45094</v>
      </c>
      <c r="B122" s="50" t="s">
        <v>5624</v>
      </c>
      <c r="C122" s="11" t="s">
        <v>156</v>
      </c>
      <c r="D122" s="18" t="s">
        <v>5625</v>
      </c>
      <c r="E122" s="11" t="s">
        <v>44</v>
      </c>
    </row>
    <row r="123" ht="12.5" spans="1:5">
      <c r="A123" s="54">
        <v>45094</v>
      </c>
      <c r="B123" s="50" t="s">
        <v>5429</v>
      </c>
      <c r="C123" s="11" t="s">
        <v>156</v>
      </c>
      <c r="D123" s="18" t="s">
        <v>5626</v>
      </c>
      <c r="E123" s="11" t="s">
        <v>44</v>
      </c>
    </row>
    <row r="124" ht="12.5" spans="1:5">
      <c r="A124" s="54">
        <v>45094</v>
      </c>
      <c r="B124" s="50" t="s">
        <v>5582</v>
      </c>
      <c r="C124" s="11" t="s">
        <v>156</v>
      </c>
      <c r="D124" s="18" t="s">
        <v>5627</v>
      </c>
      <c r="E124" s="11" t="s">
        <v>44</v>
      </c>
    </row>
    <row r="125" ht="12.5" spans="1:5">
      <c r="A125" s="54">
        <v>45094</v>
      </c>
      <c r="B125" s="50" t="s">
        <v>5628</v>
      </c>
      <c r="C125" s="11" t="s">
        <v>156</v>
      </c>
      <c r="D125" s="18" t="s">
        <v>5629</v>
      </c>
      <c r="E125" s="11" t="s">
        <v>44</v>
      </c>
    </row>
    <row r="126" ht="12.5" spans="1:5">
      <c r="A126" s="54">
        <v>45094</v>
      </c>
      <c r="B126" s="68" t="s">
        <v>5630</v>
      </c>
      <c r="C126" s="11" t="s">
        <v>156</v>
      </c>
      <c r="D126" s="18" t="s">
        <v>5631</v>
      </c>
      <c r="E126" s="11" t="s">
        <v>44</v>
      </c>
    </row>
    <row r="127" ht="12.5" spans="1:5">
      <c r="A127" s="54">
        <v>45095</v>
      </c>
      <c r="B127" s="50" t="s">
        <v>5632</v>
      </c>
      <c r="C127" s="11" t="s">
        <v>156</v>
      </c>
      <c r="D127" s="18" t="s">
        <v>5633</v>
      </c>
      <c r="E127" s="11" t="s">
        <v>44</v>
      </c>
    </row>
    <row r="128" ht="12.5" spans="1:5">
      <c r="A128" s="54">
        <v>45096</v>
      </c>
      <c r="B128" s="50" t="s">
        <v>5634</v>
      </c>
      <c r="C128" s="11" t="s">
        <v>67</v>
      </c>
      <c r="D128" s="18" t="s">
        <v>5635</v>
      </c>
      <c r="E128" s="11" t="s">
        <v>45</v>
      </c>
    </row>
    <row r="129" ht="12.5" spans="1:5">
      <c r="A129" s="54">
        <v>45097</v>
      </c>
      <c r="B129" s="50" t="s">
        <v>5636</v>
      </c>
      <c r="C129" s="11" t="s">
        <v>67</v>
      </c>
      <c r="D129" s="18" t="s">
        <v>5637</v>
      </c>
      <c r="E129" s="11" t="s">
        <v>44</v>
      </c>
    </row>
    <row r="130" ht="12.5" spans="1:6">
      <c r="A130" s="54">
        <v>45097</v>
      </c>
      <c r="B130" s="50" t="s">
        <v>5638</v>
      </c>
      <c r="C130" s="11" t="s">
        <v>67</v>
      </c>
      <c r="D130" s="18" t="s">
        <v>5639</v>
      </c>
      <c r="E130" s="11" t="s">
        <v>44</v>
      </c>
      <c r="F130" s="11" t="s">
        <v>5640</v>
      </c>
    </row>
    <row r="131" ht="12.5" spans="1:5">
      <c r="A131" s="54">
        <v>45097</v>
      </c>
      <c r="B131" s="68" t="s">
        <v>5641</v>
      </c>
      <c r="C131" s="11" t="s">
        <v>67</v>
      </c>
      <c r="D131" s="18" t="s">
        <v>5642</v>
      </c>
      <c r="E131" s="11" t="s">
        <v>44</v>
      </c>
    </row>
    <row r="132" ht="12.5" spans="1:5">
      <c r="A132" s="54">
        <v>45097</v>
      </c>
      <c r="B132" s="50" t="s">
        <v>5632</v>
      </c>
      <c r="C132" s="11" t="s">
        <v>67</v>
      </c>
      <c r="D132" s="18" t="s">
        <v>5643</v>
      </c>
      <c r="E132" s="11" t="s">
        <v>44</v>
      </c>
    </row>
    <row r="133" ht="12.5" spans="1:5">
      <c r="A133" s="54">
        <v>45097</v>
      </c>
      <c r="B133" s="50" t="s">
        <v>5582</v>
      </c>
      <c r="C133" s="11" t="s">
        <v>67</v>
      </c>
      <c r="D133" s="18" t="s">
        <v>5644</v>
      </c>
      <c r="E133" s="11" t="s">
        <v>44</v>
      </c>
    </row>
    <row r="134" ht="12.5" spans="1:5">
      <c r="A134" s="54">
        <v>45098</v>
      </c>
      <c r="B134" s="50" t="s">
        <v>5645</v>
      </c>
      <c r="C134" s="11" t="s">
        <v>67</v>
      </c>
      <c r="D134" s="18" t="s">
        <v>5646</v>
      </c>
      <c r="E134" s="11" t="s">
        <v>44</v>
      </c>
    </row>
    <row r="135" ht="12.5" spans="1:5">
      <c r="A135" s="54">
        <v>45098</v>
      </c>
      <c r="B135" s="50" t="s">
        <v>5647</v>
      </c>
      <c r="C135" s="11" t="s">
        <v>67</v>
      </c>
      <c r="D135" s="18" t="s">
        <v>5648</v>
      </c>
      <c r="E135" s="11" t="s">
        <v>44</v>
      </c>
    </row>
    <row r="136" ht="12.5" spans="1:5">
      <c r="A136" s="54">
        <v>45098</v>
      </c>
      <c r="B136" s="50" t="s">
        <v>5649</v>
      </c>
      <c r="C136" s="11" t="s">
        <v>67</v>
      </c>
      <c r="D136" s="18" t="s">
        <v>5650</v>
      </c>
      <c r="E136" s="11" t="s">
        <v>44</v>
      </c>
    </row>
    <row r="137" ht="12.5" spans="1:5">
      <c r="A137" s="54">
        <v>45098</v>
      </c>
      <c r="B137" s="50" t="s">
        <v>5582</v>
      </c>
      <c r="C137" s="11" t="s">
        <v>67</v>
      </c>
      <c r="D137" s="18" t="s">
        <v>5651</v>
      </c>
      <c r="E137" s="11" t="s">
        <v>44</v>
      </c>
    </row>
    <row r="138" ht="12.5" spans="1:5">
      <c r="A138" s="54">
        <v>45098</v>
      </c>
      <c r="B138" s="50" t="s">
        <v>5652</v>
      </c>
      <c r="C138" s="11" t="s">
        <v>67</v>
      </c>
      <c r="D138" s="18" t="s">
        <v>5653</v>
      </c>
      <c r="E138" s="11" t="s">
        <v>44</v>
      </c>
    </row>
    <row r="139" ht="12.5" spans="1:5">
      <c r="A139" s="54">
        <v>45099</v>
      </c>
      <c r="B139" s="68" t="s">
        <v>5654</v>
      </c>
      <c r="C139" s="11" t="s">
        <v>67</v>
      </c>
      <c r="D139" s="18" t="s">
        <v>5655</v>
      </c>
      <c r="E139" s="11" t="s">
        <v>44</v>
      </c>
    </row>
    <row r="140" ht="12.5" spans="1:5">
      <c r="A140" s="54">
        <v>45099</v>
      </c>
      <c r="B140" s="50" t="s">
        <v>5656</v>
      </c>
      <c r="C140" s="11" t="s">
        <v>67</v>
      </c>
      <c r="D140" s="18" t="s">
        <v>5657</v>
      </c>
      <c r="E140" s="11" t="s">
        <v>45</v>
      </c>
    </row>
    <row r="141" ht="12.5" spans="1:5">
      <c r="A141" s="54">
        <v>45100</v>
      </c>
      <c r="B141" s="50" t="s">
        <v>5658</v>
      </c>
      <c r="C141" s="11" t="s">
        <v>156</v>
      </c>
      <c r="D141" s="18" t="s">
        <v>5659</v>
      </c>
      <c r="E141" s="11" t="s">
        <v>44</v>
      </c>
    </row>
    <row r="142" ht="12.5" spans="1:5">
      <c r="A142" s="54">
        <v>45100</v>
      </c>
      <c r="B142" s="50" t="s">
        <v>5417</v>
      </c>
      <c r="C142" s="11" t="s">
        <v>156</v>
      </c>
      <c r="D142" s="18" t="s">
        <v>5660</v>
      </c>
      <c r="E142" s="11" t="s">
        <v>45</v>
      </c>
    </row>
    <row r="143" ht="12.5" spans="1:5">
      <c r="A143" s="54">
        <v>45101</v>
      </c>
      <c r="B143" s="68" t="s">
        <v>5661</v>
      </c>
      <c r="C143" s="11" t="s">
        <v>156</v>
      </c>
      <c r="D143" s="18" t="s">
        <v>5662</v>
      </c>
      <c r="E143" s="11" t="s">
        <v>44</v>
      </c>
    </row>
    <row r="144" ht="12.5" spans="1:5">
      <c r="A144" s="54">
        <v>45101</v>
      </c>
      <c r="B144" s="50" t="s">
        <v>5663</v>
      </c>
      <c r="C144" s="11" t="s">
        <v>156</v>
      </c>
      <c r="D144" s="18" t="s">
        <v>5664</v>
      </c>
      <c r="E144" s="11" t="s">
        <v>44</v>
      </c>
    </row>
    <row r="145" ht="12.5" spans="1:5">
      <c r="A145" s="54">
        <v>45102</v>
      </c>
      <c r="B145" s="50" t="s">
        <v>5582</v>
      </c>
      <c r="C145" s="11" t="s">
        <v>156</v>
      </c>
      <c r="D145" s="18" t="s">
        <v>5665</v>
      </c>
      <c r="E145" s="11" t="s">
        <v>44</v>
      </c>
    </row>
    <row r="146" ht="12.5" spans="1:5">
      <c r="A146" s="54">
        <v>45102</v>
      </c>
      <c r="B146" s="50" t="s">
        <v>5508</v>
      </c>
      <c r="C146" s="11" t="s">
        <v>156</v>
      </c>
      <c r="D146" s="18" t="s">
        <v>5666</v>
      </c>
      <c r="E146" s="11" t="s">
        <v>44</v>
      </c>
    </row>
    <row r="147" ht="12.5" spans="1:5">
      <c r="A147" s="54">
        <v>45102</v>
      </c>
      <c r="B147" s="50" t="s">
        <v>5582</v>
      </c>
      <c r="C147" s="11" t="s">
        <v>156</v>
      </c>
      <c r="D147" s="18" t="s">
        <v>5667</v>
      </c>
      <c r="E147" s="11" t="s">
        <v>44</v>
      </c>
    </row>
    <row r="148" ht="12.5" spans="1:5">
      <c r="A148" s="54">
        <v>45103</v>
      </c>
      <c r="B148" s="68" t="s">
        <v>5668</v>
      </c>
      <c r="C148" s="11" t="s">
        <v>67</v>
      </c>
      <c r="D148" s="18" t="s">
        <v>5669</v>
      </c>
      <c r="E148" s="11" t="s">
        <v>44</v>
      </c>
    </row>
    <row r="149" ht="14" spans="1:5">
      <c r="A149" s="54">
        <v>45103</v>
      </c>
      <c r="B149" s="68" t="s">
        <v>5670</v>
      </c>
      <c r="C149" s="11" t="s">
        <v>67</v>
      </c>
      <c r="D149" s="72" t="s">
        <v>5671</v>
      </c>
      <c r="E149" s="11" t="s">
        <v>44</v>
      </c>
    </row>
    <row r="150" ht="12.5" spans="1:5">
      <c r="A150" s="54">
        <v>45103</v>
      </c>
      <c r="B150" s="50" t="s">
        <v>5672</v>
      </c>
      <c r="C150" s="11" t="s">
        <v>67</v>
      </c>
      <c r="D150" s="18" t="s">
        <v>5673</v>
      </c>
      <c r="E150" s="11" t="s">
        <v>44</v>
      </c>
    </row>
    <row r="151" ht="12.5" spans="1:5">
      <c r="A151" s="54">
        <v>45104</v>
      </c>
      <c r="B151" s="50" t="s">
        <v>5586</v>
      </c>
      <c r="C151" s="11" t="s">
        <v>67</v>
      </c>
      <c r="D151" s="18" t="s">
        <v>5674</v>
      </c>
      <c r="E151" s="11" t="s">
        <v>44</v>
      </c>
    </row>
    <row r="152" ht="12.5" spans="1:5">
      <c r="A152" s="54">
        <v>45104</v>
      </c>
      <c r="B152" s="50" t="s">
        <v>5675</v>
      </c>
      <c r="C152" s="11" t="s">
        <v>67</v>
      </c>
      <c r="D152" s="18" t="s">
        <v>5676</v>
      </c>
      <c r="E152" s="11" t="s">
        <v>44</v>
      </c>
    </row>
    <row r="153" ht="12.5" spans="1:6">
      <c r="A153" s="54">
        <v>45104</v>
      </c>
      <c r="B153" s="50" t="s">
        <v>5677</v>
      </c>
      <c r="C153" s="11" t="s">
        <v>67</v>
      </c>
      <c r="D153" s="18" t="s">
        <v>5678</v>
      </c>
      <c r="E153" s="11" t="s">
        <v>44</v>
      </c>
      <c r="F153" s="11" t="s">
        <v>5640</v>
      </c>
    </row>
    <row r="154" ht="12.5" spans="1:6">
      <c r="A154" s="54">
        <v>45104</v>
      </c>
      <c r="B154" s="68" t="s">
        <v>5458</v>
      </c>
      <c r="C154" s="11" t="s">
        <v>67</v>
      </c>
      <c r="D154" s="18" t="s">
        <v>5679</v>
      </c>
      <c r="E154" s="11" t="s">
        <v>44</v>
      </c>
      <c r="F154" s="11" t="s">
        <v>5607</v>
      </c>
    </row>
    <row r="155" ht="12.5" spans="1:5">
      <c r="A155" s="54">
        <v>45105</v>
      </c>
      <c r="B155" s="50" t="s">
        <v>5582</v>
      </c>
      <c r="C155" s="11" t="s">
        <v>67</v>
      </c>
      <c r="D155" s="18" t="s">
        <v>5680</v>
      </c>
      <c r="E155" s="11" t="s">
        <v>44</v>
      </c>
    </row>
    <row r="156" ht="12.5" spans="1:5">
      <c r="A156" s="54">
        <v>45105</v>
      </c>
      <c r="B156" s="50" t="s">
        <v>5681</v>
      </c>
      <c r="C156" s="11" t="s">
        <v>67</v>
      </c>
      <c r="D156" s="18" t="s">
        <v>5682</v>
      </c>
      <c r="E156" s="11" t="s">
        <v>44</v>
      </c>
    </row>
    <row r="157" ht="12.5" spans="1:5">
      <c r="A157" s="54">
        <v>45106</v>
      </c>
      <c r="B157" s="50" t="s">
        <v>5582</v>
      </c>
      <c r="C157" s="11" t="s">
        <v>67</v>
      </c>
      <c r="D157" s="18" t="s">
        <v>5683</v>
      </c>
      <c r="E157" s="11" t="s">
        <v>44</v>
      </c>
    </row>
    <row r="158" ht="12.5" spans="1:5">
      <c r="A158" s="54">
        <v>45106</v>
      </c>
      <c r="B158" s="50" t="s">
        <v>5684</v>
      </c>
      <c r="C158" s="11" t="s">
        <v>67</v>
      </c>
      <c r="D158" s="18" t="s">
        <v>5685</v>
      </c>
      <c r="E158" s="11" t="s">
        <v>44</v>
      </c>
    </row>
    <row r="159" ht="12.5" spans="1:5">
      <c r="A159" s="54">
        <v>45106</v>
      </c>
      <c r="B159" s="50" t="s">
        <v>5686</v>
      </c>
      <c r="C159" s="11" t="s">
        <v>67</v>
      </c>
      <c r="D159" s="18" t="s">
        <v>5687</v>
      </c>
      <c r="E159" s="11" t="s">
        <v>44</v>
      </c>
    </row>
    <row r="160" ht="12.5" spans="1:5">
      <c r="A160" s="54">
        <v>45106</v>
      </c>
      <c r="B160" s="68" t="s">
        <v>5688</v>
      </c>
      <c r="C160" s="11" t="s">
        <v>67</v>
      </c>
      <c r="D160" s="18" t="s">
        <v>5689</v>
      </c>
      <c r="E160" s="11" t="s">
        <v>44</v>
      </c>
    </row>
    <row r="161" ht="12.5" spans="1:5">
      <c r="A161" s="54">
        <v>45106</v>
      </c>
      <c r="B161" s="68" t="s">
        <v>5690</v>
      </c>
      <c r="C161" s="11" t="s">
        <v>67</v>
      </c>
      <c r="D161" s="18" t="s">
        <v>5691</v>
      </c>
      <c r="E161" s="11" t="s">
        <v>44</v>
      </c>
    </row>
    <row r="162" ht="12.5" spans="1:5">
      <c r="A162" s="54">
        <v>45106</v>
      </c>
      <c r="B162" s="50" t="s">
        <v>5692</v>
      </c>
      <c r="C162" s="11" t="s">
        <v>67</v>
      </c>
      <c r="D162" s="18" t="s">
        <v>5691</v>
      </c>
      <c r="E162" s="11" t="s">
        <v>44</v>
      </c>
    </row>
    <row r="163" ht="12.5" spans="1:6">
      <c r="A163" s="54">
        <v>45107</v>
      </c>
      <c r="B163" s="50" t="s">
        <v>5693</v>
      </c>
      <c r="C163" s="11" t="s">
        <v>67</v>
      </c>
      <c r="D163" s="18" t="s">
        <v>5694</v>
      </c>
      <c r="E163" s="11" t="s">
        <v>44</v>
      </c>
      <c r="F163" s="11" t="s">
        <v>5592</v>
      </c>
    </row>
    <row r="164" ht="12.5" spans="1:5">
      <c r="A164" s="54">
        <v>45107</v>
      </c>
      <c r="B164" s="68" t="s">
        <v>5695</v>
      </c>
      <c r="C164" s="11" t="s">
        <v>67</v>
      </c>
      <c r="D164" s="18" t="s">
        <v>5696</v>
      </c>
      <c r="E164" s="11" t="s">
        <v>45</v>
      </c>
    </row>
    <row r="165" ht="12.5" spans="1:5">
      <c r="A165" s="54">
        <v>45107</v>
      </c>
      <c r="B165" s="50" t="s">
        <v>5697</v>
      </c>
      <c r="C165" s="11" t="s">
        <v>67</v>
      </c>
      <c r="D165" s="18" t="s">
        <v>5698</v>
      </c>
      <c r="E165" s="11" t="s">
        <v>44</v>
      </c>
    </row>
    <row r="166" ht="12.5" spans="1:6">
      <c r="A166" s="54">
        <v>45109</v>
      </c>
      <c r="B166" s="50" t="s">
        <v>5699</v>
      </c>
      <c r="C166" s="11" t="s">
        <v>156</v>
      </c>
      <c r="D166" s="18" t="s">
        <v>5700</v>
      </c>
      <c r="E166" s="11" t="s">
        <v>44</v>
      </c>
      <c r="F166" s="11" t="s">
        <v>5701</v>
      </c>
    </row>
    <row r="167" ht="12.5" spans="1:5">
      <c r="A167" s="54">
        <v>45109</v>
      </c>
      <c r="B167" s="50" t="s">
        <v>5702</v>
      </c>
      <c r="C167" s="11" t="s">
        <v>156</v>
      </c>
      <c r="D167" s="18" t="s">
        <v>5703</v>
      </c>
      <c r="E167" s="11" t="s">
        <v>45</v>
      </c>
    </row>
    <row r="168" ht="12.5" spans="1:6">
      <c r="A168" s="54">
        <v>45110</v>
      </c>
      <c r="B168" s="68" t="s">
        <v>5704</v>
      </c>
      <c r="C168" s="11" t="s">
        <v>67</v>
      </c>
      <c r="D168" s="18" t="s">
        <v>5705</v>
      </c>
      <c r="E168" s="11" t="s">
        <v>44</v>
      </c>
      <c r="F168" s="11" t="s">
        <v>5706</v>
      </c>
    </row>
    <row r="169" ht="12.5" spans="1:5">
      <c r="A169" s="54">
        <v>45111</v>
      </c>
      <c r="B169" s="50" t="s">
        <v>5707</v>
      </c>
      <c r="C169" s="11" t="s">
        <v>67</v>
      </c>
      <c r="D169" s="18" t="s">
        <v>1102</v>
      </c>
      <c r="E169" s="11" t="s">
        <v>45</v>
      </c>
    </row>
    <row r="170" ht="12.5" spans="1:6">
      <c r="A170" s="54">
        <v>45112</v>
      </c>
      <c r="B170" s="50" t="s">
        <v>5613</v>
      </c>
      <c r="C170" s="11" t="s">
        <v>67</v>
      </c>
      <c r="D170" s="18" t="s">
        <v>5708</v>
      </c>
      <c r="E170" s="11" t="s">
        <v>44</v>
      </c>
      <c r="F170" s="11" t="s">
        <v>5709</v>
      </c>
    </row>
    <row r="171" ht="12.5" spans="1:5">
      <c r="A171" s="54">
        <v>45114</v>
      </c>
      <c r="B171" s="50" t="s">
        <v>5710</v>
      </c>
      <c r="C171" s="11" t="s">
        <v>67</v>
      </c>
      <c r="D171" s="18" t="s">
        <v>1153</v>
      </c>
      <c r="E171" s="11" t="s">
        <v>45</v>
      </c>
    </row>
    <row r="172" ht="12.5" spans="1:5">
      <c r="A172" s="54">
        <v>45115</v>
      </c>
      <c r="B172" s="50" t="s">
        <v>5711</v>
      </c>
      <c r="C172" s="11" t="s">
        <v>156</v>
      </c>
      <c r="D172" s="18" t="s">
        <v>5712</v>
      </c>
      <c r="E172" s="11" t="s">
        <v>44</v>
      </c>
    </row>
    <row r="173" ht="12.5" spans="1:5">
      <c r="A173" s="54">
        <v>45116</v>
      </c>
      <c r="B173" s="50" t="s">
        <v>5713</v>
      </c>
      <c r="C173" s="11" t="s">
        <v>156</v>
      </c>
      <c r="D173" s="18" t="s">
        <v>5714</v>
      </c>
      <c r="E173" s="11" t="s">
        <v>44</v>
      </c>
    </row>
    <row r="174" ht="12.5" spans="1:5">
      <c r="A174" s="54">
        <v>45116</v>
      </c>
      <c r="B174" s="50" t="s">
        <v>5715</v>
      </c>
      <c r="C174" s="11" t="s">
        <v>156</v>
      </c>
      <c r="D174" s="18" t="s">
        <v>5716</v>
      </c>
      <c r="E174" s="11" t="s">
        <v>44</v>
      </c>
    </row>
    <row r="175" ht="12.5" spans="1:5">
      <c r="A175" s="54">
        <v>45116</v>
      </c>
      <c r="B175" s="50" t="s">
        <v>5717</v>
      </c>
      <c r="C175" s="11" t="s">
        <v>156</v>
      </c>
      <c r="D175" s="18" t="s">
        <v>5718</v>
      </c>
      <c r="E175" s="11" t="s">
        <v>44</v>
      </c>
    </row>
    <row r="176" ht="12.5" spans="1:5">
      <c r="A176" s="54">
        <v>45116</v>
      </c>
      <c r="B176" s="50" t="s">
        <v>5719</v>
      </c>
      <c r="C176" s="11" t="s">
        <v>156</v>
      </c>
      <c r="D176" s="18" t="s">
        <v>5720</v>
      </c>
      <c r="E176" s="11" t="s">
        <v>44</v>
      </c>
    </row>
    <row r="177" ht="12.5" spans="1:5">
      <c r="A177" s="54">
        <v>45116</v>
      </c>
      <c r="B177" s="50" t="s">
        <v>5721</v>
      </c>
      <c r="C177" s="11" t="s">
        <v>156</v>
      </c>
      <c r="D177" s="18" t="s">
        <v>5722</v>
      </c>
      <c r="E177" s="11" t="s">
        <v>45</v>
      </c>
    </row>
    <row r="178" ht="12.5" spans="1:6">
      <c r="A178" s="54">
        <v>45117</v>
      </c>
      <c r="B178" s="50" t="s">
        <v>5661</v>
      </c>
      <c r="C178" s="11" t="s">
        <v>67</v>
      </c>
      <c r="D178" s="18" t="s">
        <v>5723</v>
      </c>
      <c r="E178" s="11" t="s">
        <v>44</v>
      </c>
      <c r="F178" s="11" t="s">
        <v>5724</v>
      </c>
    </row>
    <row r="179" ht="12.5" spans="1:5">
      <c r="A179" s="54">
        <v>45119</v>
      </c>
      <c r="B179" s="50" t="s">
        <v>5725</v>
      </c>
      <c r="C179" s="11" t="s">
        <v>67</v>
      </c>
      <c r="D179" s="18" t="s">
        <v>5726</v>
      </c>
      <c r="E179" s="11" t="s">
        <v>45</v>
      </c>
    </row>
    <row r="180" ht="12.5" spans="1:5">
      <c r="A180" s="54">
        <v>45119</v>
      </c>
      <c r="B180" s="50" t="s">
        <v>5727</v>
      </c>
      <c r="C180" s="11" t="s">
        <v>67</v>
      </c>
      <c r="D180" s="18" t="s">
        <v>5728</v>
      </c>
      <c r="E180" s="11" t="s">
        <v>44</v>
      </c>
    </row>
    <row r="181" ht="12.5" spans="1:5">
      <c r="A181" s="54">
        <v>45119</v>
      </c>
      <c r="B181" s="68" t="s">
        <v>5729</v>
      </c>
      <c r="C181" s="11" t="s">
        <v>67</v>
      </c>
      <c r="D181" s="18" t="s">
        <v>5730</v>
      </c>
      <c r="E181" s="11" t="s">
        <v>45</v>
      </c>
    </row>
    <row r="182" ht="12.5" spans="1:5">
      <c r="A182" s="54">
        <v>45120</v>
      </c>
      <c r="B182" s="50" t="s">
        <v>5458</v>
      </c>
      <c r="C182" s="11" t="s">
        <v>67</v>
      </c>
      <c r="D182" s="18" t="s">
        <v>5731</v>
      </c>
      <c r="E182" s="11" t="s">
        <v>44</v>
      </c>
    </row>
    <row r="183" ht="12.5" spans="1:5">
      <c r="A183" s="54">
        <v>45120</v>
      </c>
      <c r="B183" s="50" t="s">
        <v>5732</v>
      </c>
      <c r="C183" s="11" t="s">
        <v>67</v>
      </c>
      <c r="D183" s="18" t="s">
        <v>5733</v>
      </c>
      <c r="E183" s="11" t="s">
        <v>44</v>
      </c>
    </row>
    <row r="184" ht="12.5" spans="1:5">
      <c r="A184" s="54">
        <v>45120</v>
      </c>
      <c r="B184" s="68" t="s">
        <v>5734</v>
      </c>
      <c r="C184" s="11" t="s">
        <v>67</v>
      </c>
      <c r="D184" s="18" t="s">
        <v>5735</v>
      </c>
      <c r="E184" s="11" t="s">
        <v>44</v>
      </c>
    </row>
    <row r="185" ht="12.5" spans="1:5">
      <c r="A185" s="54">
        <v>45121</v>
      </c>
      <c r="B185" s="75" t="s">
        <v>5736</v>
      </c>
      <c r="C185" s="11" t="s">
        <v>67</v>
      </c>
      <c r="D185" s="18" t="s">
        <v>5737</v>
      </c>
      <c r="E185" s="11" t="s">
        <v>44</v>
      </c>
    </row>
    <row r="186" ht="12.5" spans="1:5">
      <c r="A186" s="54">
        <v>45121</v>
      </c>
      <c r="B186" s="67" t="s">
        <v>5738</v>
      </c>
      <c r="C186" s="11" t="s">
        <v>67</v>
      </c>
      <c r="D186" s="18" t="s">
        <v>5739</v>
      </c>
      <c r="E186" s="11" t="s">
        <v>44</v>
      </c>
    </row>
    <row r="187" ht="12.5" spans="1:5">
      <c r="A187" s="54">
        <v>45121</v>
      </c>
      <c r="B187" s="50" t="s">
        <v>5740</v>
      </c>
      <c r="C187" s="11" t="s">
        <v>67</v>
      </c>
      <c r="D187" s="18" t="s">
        <v>5741</v>
      </c>
      <c r="E187" s="11" t="s">
        <v>44</v>
      </c>
    </row>
    <row r="188" ht="12.5" spans="1:5">
      <c r="A188" s="54">
        <v>45122</v>
      </c>
      <c r="B188" s="50" t="s">
        <v>5742</v>
      </c>
      <c r="C188" s="11" t="s">
        <v>156</v>
      </c>
      <c r="D188" s="18" t="s">
        <v>5743</v>
      </c>
      <c r="E188" s="11" t="s">
        <v>44</v>
      </c>
    </row>
    <row r="189" ht="12.5" spans="1:5">
      <c r="A189" s="54">
        <v>45122</v>
      </c>
      <c r="B189" s="50" t="s">
        <v>5546</v>
      </c>
      <c r="C189" s="11" t="s">
        <v>156</v>
      </c>
      <c r="D189" s="18" t="s">
        <v>5744</v>
      </c>
      <c r="E189" s="11" t="s">
        <v>44</v>
      </c>
    </row>
    <row r="190" ht="12.5" spans="1:5">
      <c r="A190" s="54">
        <v>45123</v>
      </c>
      <c r="B190" s="50" t="s">
        <v>5645</v>
      </c>
      <c r="C190" s="11" t="s">
        <v>156</v>
      </c>
      <c r="D190" s="18" t="s">
        <v>5745</v>
      </c>
      <c r="E190" s="11" t="s">
        <v>44</v>
      </c>
    </row>
    <row r="191" ht="12.5" spans="1:5">
      <c r="A191" s="54">
        <v>45123</v>
      </c>
      <c r="B191" s="50" t="s">
        <v>5746</v>
      </c>
      <c r="C191" s="11" t="s">
        <v>156</v>
      </c>
      <c r="D191" s="18" t="s">
        <v>5747</v>
      </c>
      <c r="E191" s="11" t="s">
        <v>44</v>
      </c>
    </row>
    <row r="192" ht="12.5" spans="1:5">
      <c r="A192" s="54">
        <v>45123</v>
      </c>
      <c r="B192" s="50" t="s">
        <v>5748</v>
      </c>
      <c r="C192" s="11" t="s">
        <v>156</v>
      </c>
      <c r="D192" s="18" t="s">
        <v>5749</v>
      </c>
      <c r="E192" s="11" t="s">
        <v>44</v>
      </c>
    </row>
    <row r="193" ht="12.5" spans="1:5">
      <c r="A193" s="54">
        <v>45124</v>
      </c>
      <c r="B193" s="50" t="s">
        <v>5582</v>
      </c>
      <c r="C193" s="11" t="s">
        <v>67</v>
      </c>
      <c r="D193" s="18" t="s">
        <v>5750</v>
      </c>
      <c r="E193" s="11" t="s">
        <v>44</v>
      </c>
    </row>
    <row r="194" ht="12.5" spans="1:5">
      <c r="A194" s="54">
        <v>45124</v>
      </c>
      <c r="B194" s="68" t="s">
        <v>5751</v>
      </c>
      <c r="C194" s="11" t="s">
        <v>67</v>
      </c>
      <c r="D194" s="76" t="s">
        <v>5752</v>
      </c>
      <c r="E194" s="11" t="s">
        <v>44</v>
      </c>
    </row>
    <row r="195" ht="12.5" spans="1:5">
      <c r="A195" s="54">
        <v>45124</v>
      </c>
      <c r="B195" s="68" t="s">
        <v>5753</v>
      </c>
      <c r="C195" s="11" t="s">
        <v>67</v>
      </c>
      <c r="D195" s="76" t="s">
        <v>5754</v>
      </c>
      <c r="E195" s="11" t="s">
        <v>44</v>
      </c>
    </row>
    <row r="196" ht="12.5" spans="1:5">
      <c r="A196" s="54">
        <v>45125</v>
      </c>
      <c r="B196" s="50" t="s">
        <v>5755</v>
      </c>
      <c r="C196" s="11" t="s">
        <v>67</v>
      </c>
      <c r="D196" s="77" t="s">
        <v>1316</v>
      </c>
      <c r="E196" s="11" t="s">
        <v>45</v>
      </c>
    </row>
    <row r="197" ht="12.5" spans="1:5">
      <c r="A197" s="54">
        <v>45125</v>
      </c>
      <c r="B197" s="67" t="s">
        <v>5756</v>
      </c>
      <c r="C197" s="11" t="s">
        <v>67</v>
      </c>
      <c r="D197" s="77" t="s">
        <v>5757</v>
      </c>
      <c r="E197" s="11" t="s">
        <v>44</v>
      </c>
    </row>
    <row r="198" ht="12.5" spans="1:5">
      <c r="A198" s="54">
        <v>45126</v>
      </c>
      <c r="B198" s="50" t="s">
        <v>5758</v>
      </c>
      <c r="C198" s="11" t="s">
        <v>67</v>
      </c>
      <c r="D198" s="77" t="s">
        <v>5759</v>
      </c>
      <c r="E198" s="11" t="s">
        <v>44</v>
      </c>
    </row>
    <row r="199" ht="12.5" spans="1:5">
      <c r="A199" s="54">
        <v>45126</v>
      </c>
      <c r="B199" s="50" t="s">
        <v>5586</v>
      </c>
      <c r="C199" s="11" t="s">
        <v>67</v>
      </c>
      <c r="D199" s="18" t="s">
        <v>5760</v>
      </c>
      <c r="E199" s="11" t="s">
        <v>44</v>
      </c>
    </row>
    <row r="200" ht="12.5" spans="1:5">
      <c r="A200" s="54">
        <v>45127</v>
      </c>
      <c r="B200" s="68" t="s">
        <v>5619</v>
      </c>
      <c r="C200" s="11" t="s">
        <v>67</v>
      </c>
      <c r="D200" s="70" t="s">
        <v>5761</v>
      </c>
      <c r="E200" s="11" t="s">
        <v>44</v>
      </c>
    </row>
    <row r="201" ht="12.5" spans="1:6">
      <c r="A201" s="54">
        <v>45127</v>
      </c>
      <c r="B201" s="50" t="s">
        <v>5417</v>
      </c>
      <c r="C201" s="11" t="s">
        <v>67</v>
      </c>
      <c r="D201" s="70" t="s">
        <v>5762</v>
      </c>
      <c r="E201" s="11" t="s">
        <v>44</v>
      </c>
      <c r="F201" s="11" t="s">
        <v>5640</v>
      </c>
    </row>
    <row r="202" ht="12.5" spans="1:6">
      <c r="A202" s="54">
        <v>45129</v>
      </c>
      <c r="B202" s="50" t="s">
        <v>5763</v>
      </c>
      <c r="C202" s="11" t="s">
        <v>156</v>
      </c>
      <c r="D202" s="18" t="s">
        <v>5764</v>
      </c>
      <c r="E202" s="11" t="s">
        <v>44</v>
      </c>
      <c r="F202" s="11" t="s">
        <v>5765</v>
      </c>
    </row>
    <row r="203" ht="12.5" spans="1:5">
      <c r="A203" s="54">
        <v>45130</v>
      </c>
      <c r="B203" s="68" t="s">
        <v>5766</v>
      </c>
      <c r="C203" s="11" t="s">
        <v>156</v>
      </c>
      <c r="D203" s="18" t="s">
        <v>5767</v>
      </c>
      <c r="E203" s="11" t="s">
        <v>44</v>
      </c>
    </row>
    <row r="204" ht="12.5" spans="1:5">
      <c r="A204" s="78">
        <v>45131</v>
      </c>
      <c r="B204" s="50" t="s">
        <v>5582</v>
      </c>
      <c r="C204" s="11" t="s">
        <v>67</v>
      </c>
      <c r="D204" s="18" t="s">
        <v>5768</v>
      </c>
      <c r="E204" s="11" t="s">
        <v>44</v>
      </c>
    </row>
    <row r="205" ht="12.5" spans="1:5">
      <c r="A205" s="54">
        <v>45131</v>
      </c>
      <c r="B205" s="68" t="s">
        <v>5769</v>
      </c>
      <c r="C205" s="11" t="s">
        <v>67</v>
      </c>
      <c r="D205" s="79" t="s">
        <v>5770</v>
      </c>
      <c r="E205" s="11" t="s">
        <v>44</v>
      </c>
    </row>
    <row r="206" ht="12.5" spans="1:5">
      <c r="A206" s="54">
        <v>45132</v>
      </c>
      <c r="B206" s="50" t="s">
        <v>5734</v>
      </c>
      <c r="C206" s="11" t="s">
        <v>67</v>
      </c>
      <c r="D206" s="18" t="s">
        <v>5771</v>
      </c>
      <c r="E206" s="11" t="s">
        <v>44</v>
      </c>
    </row>
    <row r="207" ht="12.5" spans="1:5">
      <c r="A207" s="54">
        <v>45133</v>
      </c>
      <c r="B207" s="50" t="s">
        <v>5772</v>
      </c>
      <c r="C207" s="11" t="s">
        <v>67</v>
      </c>
      <c r="D207" s="70" t="s">
        <v>5773</v>
      </c>
      <c r="E207" s="11" t="s">
        <v>44</v>
      </c>
    </row>
    <row r="208" ht="12.5" spans="1:5">
      <c r="A208" s="54">
        <v>45134</v>
      </c>
      <c r="B208" s="50" t="s">
        <v>5774</v>
      </c>
      <c r="C208" s="11" t="s">
        <v>67</v>
      </c>
      <c r="D208" s="80" t="s">
        <v>5775</v>
      </c>
      <c r="E208" s="11" t="s">
        <v>44</v>
      </c>
    </row>
    <row r="209" ht="12.5" spans="1:5">
      <c r="A209" s="54">
        <v>45134</v>
      </c>
      <c r="B209" s="50" t="s">
        <v>5776</v>
      </c>
      <c r="C209" s="11" t="s">
        <v>67</v>
      </c>
      <c r="D209" s="76" t="s">
        <v>5777</v>
      </c>
      <c r="E209" s="11" t="s">
        <v>44</v>
      </c>
    </row>
    <row r="210" ht="12.5" spans="1:5">
      <c r="A210" s="54">
        <v>45134</v>
      </c>
      <c r="B210" s="68" t="s">
        <v>5778</v>
      </c>
      <c r="C210" s="11" t="s">
        <v>67</v>
      </c>
      <c r="D210" s="76" t="s">
        <v>5779</v>
      </c>
      <c r="E210" s="11" t="s">
        <v>44</v>
      </c>
    </row>
    <row r="211" ht="12.5" spans="1:5">
      <c r="A211" s="54">
        <v>45135</v>
      </c>
      <c r="B211" s="50" t="s">
        <v>5780</v>
      </c>
      <c r="C211" s="11" t="s">
        <v>67</v>
      </c>
      <c r="D211" s="76" t="s">
        <v>5781</v>
      </c>
      <c r="E211" s="11" t="s">
        <v>44</v>
      </c>
    </row>
    <row r="212" ht="12.5" spans="1:5">
      <c r="A212" s="54">
        <v>45135</v>
      </c>
      <c r="B212" s="50" t="s">
        <v>5782</v>
      </c>
      <c r="C212" s="11" t="s">
        <v>67</v>
      </c>
      <c r="D212" s="18" t="s">
        <v>5783</v>
      </c>
      <c r="E212" s="11" t="s">
        <v>44</v>
      </c>
    </row>
    <row r="213" ht="12.5" spans="1:5">
      <c r="A213" s="78">
        <v>45136</v>
      </c>
      <c r="B213" s="50" t="s">
        <v>5784</v>
      </c>
      <c r="C213" s="11" t="s">
        <v>156</v>
      </c>
      <c r="D213" s="18" t="s">
        <v>5785</v>
      </c>
      <c r="E213" s="11" t="s">
        <v>44</v>
      </c>
    </row>
    <row r="214" ht="12.5" spans="1:6">
      <c r="A214" s="54">
        <v>45138</v>
      </c>
      <c r="B214" s="68" t="s">
        <v>5675</v>
      </c>
      <c r="C214" s="11" t="s">
        <v>67</v>
      </c>
      <c r="D214" s="18" t="s">
        <v>5786</v>
      </c>
      <c r="E214" s="11" t="s">
        <v>44</v>
      </c>
      <c r="F214" s="11" t="s">
        <v>5787</v>
      </c>
    </row>
    <row r="215" ht="12.5" spans="1:5">
      <c r="A215" s="54">
        <v>45139</v>
      </c>
      <c r="B215" s="50" t="s">
        <v>5788</v>
      </c>
      <c r="C215" s="11" t="s">
        <v>67</v>
      </c>
      <c r="D215" s="18" t="s">
        <v>5789</v>
      </c>
      <c r="E215" s="11" t="s">
        <v>44</v>
      </c>
    </row>
    <row r="216" ht="12.5" spans="1:5">
      <c r="A216" s="54">
        <v>45140</v>
      </c>
      <c r="B216" s="50" t="s">
        <v>5790</v>
      </c>
      <c r="C216" s="11" t="s">
        <v>67</v>
      </c>
      <c r="D216" s="18" t="s">
        <v>5791</v>
      </c>
      <c r="E216" s="11" t="s">
        <v>44</v>
      </c>
    </row>
    <row r="217" ht="12.5" spans="1:5">
      <c r="A217" s="54">
        <v>45140</v>
      </c>
      <c r="B217" s="68" t="s">
        <v>5792</v>
      </c>
      <c r="C217" s="11" t="s">
        <v>67</v>
      </c>
      <c r="D217" s="18" t="s">
        <v>5793</v>
      </c>
      <c r="E217" s="11" t="s">
        <v>45</v>
      </c>
    </row>
    <row r="218" ht="12.5" spans="1:6">
      <c r="A218" s="54">
        <v>45141</v>
      </c>
      <c r="B218" s="50" t="s">
        <v>5794</v>
      </c>
      <c r="C218" s="11" t="s">
        <v>67</v>
      </c>
      <c r="D218" s="18" t="s">
        <v>5795</v>
      </c>
      <c r="E218" s="11" t="s">
        <v>45</v>
      </c>
      <c r="F218" s="11" t="s">
        <v>5796</v>
      </c>
    </row>
    <row r="219" ht="12.5" spans="1:5">
      <c r="A219" s="54">
        <v>45145</v>
      </c>
      <c r="B219" s="50" t="s">
        <v>5399</v>
      </c>
      <c r="C219" s="11" t="s">
        <v>67</v>
      </c>
      <c r="D219" s="18" t="s">
        <v>5797</v>
      </c>
      <c r="E219" s="11" t="s">
        <v>44</v>
      </c>
    </row>
    <row r="220" ht="12.5" spans="1:6">
      <c r="A220" s="54">
        <v>45145</v>
      </c>
      <c r="B220" s="50" t="s">
        <v>5798</v>
      </c>
      <c r="C220" s="11" t="s">
        <v>67</v>
      </c>
      <c r="D220" s="18" t="s">
        <v>5799</v>
      </c>
      <c r="E220" s="11" t="s">
        <v>44</v>
      </c>
      <c r="F220" s="11" t="s">
        <v>5800</v>
      </c>
    </row>
    <row r="221" ht="12.5" spans="1:5">
      <c r="A221" s="54">
        <v>45147</v>
      </c>
      <c r="B221" s="50" t="s">
        <v>5801</v>
      </c>
      <c r="C221" s="11" t="s">
        <v>67</v>
      </c>
      <c r="D221" s="18" t="s">
        <v>1527</v>
      </c>
      <c r="E221" s="11" t="s">
        <v>45</v>
      </c>
    </row>
    <row r="222" ht="12.5" spans="1:5">
      <c r="A222" s="54">
        <v>45147</v>
      </c>
      <c r="B222" s="50" t="s">
        <v>5802</v>
      </c>
      <c r="C222" s="11" t="s">
        <v>67</v>
      </c>
      <c r="D222" s="18" t="s">
        <v>5803</v>
      </c>
      <c r="E222" s="11" t="s">
        <v>44</v>
      </c>
    </row>
    <row r="223" ht="12.5" spans="1:5">
      <c r="A223" s="54">
        <v>45147</v>
      </c>
      <c r="B223" s="50" t="s">
        <v>5399</v>
      </c>
      <c r="C223" s="11" t="s">
        <v>67</v>
      </c>
      <c r="D223" s="18" t="s">
        <v>5804</v>
      </c>
      <c r="E223" s="11" t="s">
        <v>44</v>
      </c>
    </row>
    <row r="224" ht="12.5" spans="1:5">
      <c r="A224" s="54">
        <v>45148</v>
      </c>
      <c r="B224" s="50" t="s">
        <v>5805</v>
      </c>
      <c r="C224" s="11" t="s">
        <v>67</v>
      </c>
      <c r="D224" s="18" t="s">
        <v>5806</v>
      </c>
      <c r="E224" s="11" t="s">
        <v>45</v>
      </c>
    </row>
    <row r="225" ht="12.5" spans="1:5">
      <c r="A225" s="54">
        <v>45148</v>
      </c>
      <c r="B225" s="50" t="s">
        <v>5807</v>
      </c>
      <c r="C225" s="11" t="s">
        <v>67</v>
      </c>
      <c r="D225" s="18" t="s">
        <v>5808</v>
      </c>
      <c r="E225" s="11" t="s">
        <v>44</v>
      </c>
    </row>
    <row r="226" ht="12.5" spans="1:5">
      <c r="A226" s="54">
        <v>45149</v>
      </c>
      <c r="B226" s="50" t="s">
        <v>5809</v>
      </c>
      <c r="C226" s="11" t="s">
        <v>67</v>
      </c>
      <c r="D226" s="18" t="s">
        <v>5810</v>
      </c>
      <c r="E226" s="11" t="s">
        <v>44</v>
      </c>
    </row>
    <row r="227" ht="12.5" spans="1:5">
      <c r="A227" s="54">
        <v>45150</v>
      </c>
      <c r="B227" s="50" t="s">
        <v>5811</v>
      </c>
      <c r="C227" s="11" t="s">
        <v>156</v>
      </c>
      <c r="D227" s="18" t="s">
        <v>5812</v>
      </c>
      <c r="E227" s="11" t="s">
        <v>44</v>
      </c>
    </row>
    <row r="228" ht="12.5" spans="1:5">
      <c r="A228" s="54">
        <v>45151</v>
      </c>
      <c r="B228" s="50" t="s">
        <v>5813</v>
      </c>
      <c r="C228" s="11" t="s">
        <v>156</v>
      </c>
      <c r="D228" s="18" t="s">
        <v>5814</v>
      </c>
      <c r="E228" s="11" t="s">
        <v>44</v>
      </c>
    </row>
    <row r="229" ht="12.5" spans="1:5">
      <c r="A229" s="54">
        <v>45153</v>
      </c>
      <c r="B229" s="50" t="s">
        <v>5815</v>
      </c>
      <c r="C229" s="11" t="s">
        <v>67</v>
      </c>
      <c r="D229" s="18" t="s">
        <v>1591</v>
      </c>
      <c r="E229" s="11" t="s">
        <v>45</v>
      </c>
    </row>
    <row r="230" ht="12.5" spans="1:5">
      <c r="A230" s="54">
        <v>45155</v>
      </c>
      <c r="B230" s="50" t="s">
        <v>5816</v>
      </c>
      <c r="C230" s="11" t="s">
        <v>67</v>
      </c>
      <c r="D230" s="18" t="s">
        <v>5817</v>
      </c>
      <c r="E230" s="11" t="s">
        <v>44</v>
      </c>
    </row>
    <row r="231" ht="12.5" spans="1:5">
      <c r="A231" s="54">
        <v>45155</v>
      </c>
      <c r="B231" s="50" t="s">
        <v>5818</v>
      </c>
      <c r="C231" s="11" t="s">
        <v>67</v>
      </c>
      <c r="D231" s="18" t="s">
        <v>5819</v>
      </c>
      <c r="E231" s="11" t="s">
        <v>44</v>
      </c>
    </row>
    <row r="232" ht="12.5" spans="1:5">
      <c r="A232" s="78">
        <v>45156</v>
      </c>
      <c r="B232" s="50" t="s">
        <v>5820</v>
      </c>
      <c r="C232" s="11" t="s">
        <v>67</v>
      </c>
      <c r="D232" s="18" t="s">
        <v>5821</v>
      </c>
      <c r="E232" s="11" t="s">
        <v>44</v>
      </c>
    </row>
    <row r="233" ht="12.5" spans="1:5">
      <c r="A233" s="78">
        <v>45156</v>
      </c>
      <c r="B233" s="50" t="s">
        <v>5822</v>
      </c>
      <c r="C233" s="11" t="s">
        <v>67</v>
      </c>
      <c r="D233" s="18" t="s">
        <v>5823</v>
      </c>
      <c r="E233" s="11" t="s">
        <v>44</v>
      </c>
    </row>
    <row r="234" ht="12.5" spans="1:5">
      <c r="A234" s="78">
        <v>45156</v>
      </c>
      <c r="B234" s="50" t="s">
        <v>5824</v>
      </c>
      <c r="C234" s="11" t="s">
        <v>67</v>
      </c>
      <c r="D234" s="18" t="s">
        <v>5825</v>
      </c>
      <c r="E234" s="11" t="s">
        <v>44</v>
      </c>
    </row>
    <row r="235" ht="12.5" spans="1:5">
      <c r="A235" s="54">
        <v>45157</v>
      </c>
      <c r="B235" s="50" t="s">
        <v>5826</v>
      </c>
      <c r="C235" s="11" t="s">
        <v>156</v>
      </c>
      <c r="D235" s="18" t="s">
        <v>5827</v>
      </c>
      <c r="E235" s="11" t="s">
        <v>44</v>
      </c>
    </row>
    <row r="236" ht="12.5" spans="1:5">
      <c r="A236" s="54">
        <v>45158</v>
      </c>
      <c r="B236" s="50" t="s">
        <v>5828</v>
      </c>
      <c r="C236" s="11" t="s">
        <v>156</v>
      </c>
      <c r="D236" s="18" t="s">
        <v>5829</v>
      </c>
      <c r="E236" s="11" t="s">
        <v>44</v>
      </c>
    </row>
    <row r="237" ht="12.5" spans="1:5">
      <c r="A237" s="54">
        <v>45158</v>
      </c>
      <c r="B237" s="50" t="s">
        <v>5830</v>
      </c>
      <c r="C237" s="11" t="s">
        <v>156</v>
      </c>
      <c r="D237" s="18" t="s">
        <v>5831</v>
      </c>
      <c r="E237" s="11" t="s">
        <v>44</v>
      </c>
    </row>
    <row r="238" ht="12.5" spans="1:5">
      <c r="A238" s="54">
        <v>45158</v>
      </c>
      <c r="B238" s="50" t="s">
        <v>5832</v>
      </c>
      <c r="C238" s="11" t="s">
        <v>156</v>
      </c>
      <c r="D238" s="18" t="s">
        <v>5833</v>
      </c>
      <c r="E238" s="11" t="s">
        <v>44</v>
      </c>
    </row>
    <row r="239" ht="12.5" spans="1:5">
      <c r="A239" s="54">
        <v>45160</v>
      </c>
      <c r="B239" s="50" t="s">
        <v>5834</v>
      </c>
      <c r="C239" s="11" t="s">
        <v>67</v>
      </c>
      <c r="D239" s="18" t="s">
        <v>5835</v>
      </c>
      <c r="E239" s="11" t="s">
        <v>44</v>
      </c>
    </row>
    <row r="240" ht="12.5" spans="1:5">
      <c r="A240" s="54">
        <v>45160</v>
      </c>
      <c r="B240" s="50" t="s">
        <v>5836</v>
      </c>
      <c r="C240" s="11" t="s">
        <v>67</v>
      </c>
      <c r="D240" s="18" t="s">
        <v>5837</v>
      </c>
      <c r="E240" s="11" t="s">
        <v>44</v>
      </c>
    </row>
    <row r="241" ht="12.5" spans="1:5">
      <c r="A241" s="54">
        <v>45160</v>
      </c>
      <c r="B241" s="50" t="s">
        <v>5838</v>
      </c>
      <c r="C241" s="11" t="s">
        <v>67</v>
      </c>
      <c r="D241" s="18" t="s">
        <v>5839</v>
      </c>
      <c r="E241" s="11" t="s">
        <v>45</v>
      </c>
    </row>
    <row r="242" ht="12.5" spans="1:5">
      <c r="A242" s="54">
        <v>45160</v>
      </c>
      <c r="B242" s="50" t="s">
        <v>5840</v>
      </c>
      <c r="C242" s="11" t="s">
        <v>67</v>
      </c>
      <c r="D242" s="18" t="s">
        <v>5841</v>
      </c>
      <c r="E242" s="11" t="s">
        <v>44</v>
      </c>
    </row>
    <row r="243" ht="12.5" spans="1:5">
      <c r="A243" s="54">
        <v>45160</v>
      </c>
      <c r="B243" s="50" t="s">
        <v>5842</v>
      </c>
      <c r="C243" s="11" t="s">
        <v>67</v>
      </c>
      <c r="D243" s="18" t="s">
        <v>5843</v>
      </c>
      <c r="E243" s="11" t="s">
        <v>44</v>
      </c>
    </row>
    <row r="244" ht="12.5" spans="1:5">
      <c r="A244" s="54">
        <v>45160</v>
      </c>
      <c r="B244" s="50" t="s">
        <v>5844</v>
      </c>
      <c r="C244" s="11" t="s">
        <v>67</v>
      </c>
      <c r="D244" s="18" t="s">
        <v>5845</v>
      </c>
      <c r="E244" s="11" t="s">
        <v>44</v>
      </c>
    </row>
    <row r="245" ht="12.5" spans="1:6">
      <c r="A245" s="54">
        <v>45161</v>
      </c>
      <c r="B245" s="50" t="s">
        <v>5401</v>
      </c>
      <c r="C245" s="11" t="s">
        <v>67</v>
      </c>
      <c r="D245" s="18" t="s">
        <v>5846</v>
      </c>
      <c r="E245" s="11" t="s">
        <v>44</v>
      </c>
      <c r="F245" s="11" t="s">
        <v>5847</v>
      </c>
    </row>
    <row r="246" ht="12.5" spans="1:6">
      <c r="A246" s="78">
        <v>45163</v>
      </c>
      <c r="B246" s="50" t="s">
        <v>5848</v>
      </c>
      <c r="C246" s="11" t="s">
        <v>67</v>
      </c>
      <c r="D246" s="18" t="s">
        <v>5849</v>
      </c>
      <c r="E246" s="11" t="s">
        <v>44</v>
      </c>
      <c r="F246" s="11" t="s">
        <v>5850</v>
      </c>
    </row>
    <row r="247" ht="12.5" spans="1:5">
      <c r="A247" s="54">
        <v>45165</v>
      </c>
      <c r="B247" s="50" t="s">
        <v>5851</v>
      </c>
      <c r="C247" s="11" t="s">
        <v>156</v>
      </c>
      <c r="D247" s="18" t="s">
        <v>5852</v>
      </c>
      <c r="E247" s="11" t="s">
        <v>44</v>
      </c>
    </row>
    <row r="248" ht="12.5" spans="1:5">
      <c r="A248" s="54">
        <v>45166</v>
      </c>
      <c r="B248" s="50" t="s">
        <v>5830</v>
      </c>
      <c r="C248" s="11" t="s">
        <v>67</v>
      </c>
      <c r="D248" s="18" t="s">
        <v>5853</v>
      </c>
      <c r="E248" s="11" t="s">
        <v>44</v>
      </c>
    </row>
    <row r="249" ht="12.5" spans="1:5">
      <c r="A249" s="54">
        <v>45167</v>
      </c>
      <c r="B249" s="50" t="s">
        <v>5582</v>
      </c>
      <c r="C249" s="11" t="s">
        <v>67</v>
      </c>
      <c r="D249" s="18" t="s">
        <v>5854</v>
      </c>
      <c r="E249" s="11" t="s">
        <v>44</v>
      </c>
    </row>
    <row r="250" ht="12.5" spans="1:5">
      <c r="A250" s="54">
        <v>45168</v>
      </c>
      <c r="B250" s="50"/>
      <c r="C250" s="11" t="s">
        <v>67</v>
      </c>
      <c r="D250" s="70" t="s">
        <v>5855</v>
      </c>
      <c r="E250" s="11" t="s">
        <v>44</v>
      </c>
    </row>
    <row r="251" ht="12.5" spans="1:5">
      <c r="A251" s="54">
        <v>45168</v>
      </c>
      <c r="B251" s="50" t="s">
        <v>5856</v>
      </c>
      <c r="C251" s="11" t="s">
        <v>67</v>
      </c>
      <c r="D251" s="70" t="s">
        <v>5857</v>
      </c>
      <c r="E251" s="11" t="s">
        <v>44</v>
      </c>
    </row>
    <row r="252" ht="12.5" spans="1:5">
      <c r="A252" s="54">
        <v>45168</v>
      </c>
      <c r="B252" s="50" t="s">
        <v>5858</v>
      </c>
      <c r="C252" s="11" t="s">
        <v>67</v>
      </c>
      <c r="D252" s="70" t="s">
        <v>5859</v>
      </c>
      <c r="E252" s="11" t="s">
        <v>44</v>
      </c>
    </row>
    <row r="253" ht="12.5" spans="1:5">
      <c r="A253" s="54">
        <v>45170</v>
      </c>
      <c r="B253" s="50" t="s">
        <v>5860</v>
      </c>
      <c r="C253" s="11" t="s">
        <v>67</v>
      </c>
      <c r="D253" s="70" t="s">
        <v>5861</v>
      </c>
      <c r="E253" s="11" t="s">
        <v>44</v>
      </c>
    </row>
    <row r="254" ht="12.5" spans="1:5">
      <c r="A254" s="81">
        <v>45171</v>
      </c>
      <c r="B254" s="82" t="s">
        <v>5862</v>
      </c>
      <c r="C254" s="40" t="s">
        <v>156</v>
      </c>
      <c r="D254" s="83"/>
      <c r="E254" s="11" t="s">
        <v>44</v>
      </c>
    </row>
    <row r="255" ht="12.5" spans="1:5">
      <c r="A255" s="54">
        <v>45172</v>
      </c>
      <c r="B255" s="50" t="s">
        <v>5863</v>
      </c>
      <c r="C255" s="11" t="s">
        <v>156</v>
      </c>
      <c r="D255" s="70" t="s">
        <v>5864</v>
      </c>
      <c r="E255" s="11" t="s">
        <v>44</v>
      </c>
    </row>
    <row r="256" ht="12.5" spans="1:5">
      <c r="A256" s="54">
        <v>45173</v>
      </c>
      <c r="B256" s="50" t="s">
        <v>5538</v>
      </c>
      <c r="C256" s="11" t="s">
        <v>67</v>
      </c>
      <c r="D256" s="70" t="s">
        <v>5865</v>
      </c>
      <c r="E256" s="11" t="s">
        <v>44</v>
      </c>
    </row>
    <row r="257" ht="12.5" spans="1:5">
      <c r="A257" s="54">
        <v>45173</v>
      </c>
      <c r="B257" s="50" t="s">
        <v>5866</v>
      </c>
      <c r="C257" s="11" t="s">
        <v>67</v>
      </c>
      <c r="D257" s="70" t="s">
        <v>5867</v>
      </c>
      <c r="E257" s="11" t="s">
        <v>44</v>
      </c>
    </row>
    <row r="258" ht="12.5" spans="1:5">
      <c r="A258" s="54">
        <v>45173</v>
      </c>
      <c r="B258" s="50" t="s">
        <v>5734</v>
      </c>
      <c r="C258" s="11" t="s">
        <v>67</v>
      </c>
      <c r="D258" s="70" t="s">
        <v>5868</v>
      </c>
      <c r="E258" s="11" t="s">
        <v>44</v>
      </c>
    </row>
    <row r="259" ht="12.5" spans="1:5">
      <c r="A259" s="54">
        <v>45174</v>
      </c>
      <c r="B259" s="50" t="s">
        <v>5582</v>
      </c>
      <c r="C259" s="11" t="s">
        <v>67</v>
      </c>
      <c r="D259" s="70" t="s">
        <v>5869</v>
      </c>
      <c r="E259" s="11" t="s">
        <v>44</v>
      </c>
    </row>
    <row r="260" ht="12.5" spans="1:5">
      <c r="A260" s="54">
        <v>45174</v>
      </c>
      <c r="B260" s="50" t="s">
        <v>5458</v>
      </c>
      <c r="C260" s="11" t="s">
        <v>67</v>
      </c>
      <c r="D260" s="18" t="s">
        <v>5870</v>
      </c>
      <c r="E260" s="11" t="s">
        <v>44</v>
      </c>
    </row>
    <row r="261" ht="12.5" spans="1:5">
      <c r="A261" s="54">
        <v>45175</v>
      </c>
      <c r="B261" s="50" t="s">
        <v>5871</v>
      </c>
      <c r="C261" s="11" t="s">
        <v>67</v>
      </c>
      <c r="D261" s="18" t="s">
        <v>5872</v>
      </c>
      <c r="E261" s="11" t="s">
        <v>44</v>
      </c>
    </row>
    <row r="262" ht="12.5" spans="1:5">
      <c r="A262" s="54">
        <v>45175</v>
      </c>
      <c r="B262" s="50" t="s">
        <v>5624</v>
      </c>
      <c r="C262" s="11" t="s">
        <v>67</v>
      </c>
      <c r="D262" s="18" t="s">
        <v>5873</v>
      </c>
      <c r="E262" s="11" t="s">
        <v>44</v>
      </c>
    </row>
    <row r="263" ht="12.5" spans="1:5">
      <c r="A263" s="54">
        <v>45177</v>
      </c>
      <c r="B263" s="50" t="s">
        <v>5874</v>
      </c>
      <c r="C263" s="11" t="s">
        <v>156</v>
      </c>
      <c r="D263" s="18" t="s">
        <v>5875</v>
      </c>
      <c r="E263" s="11" t="s">
        <v>44</v>
      </c>
    </row>
    <row r="264" ht="12.5" spans="1:5">
      <c r="A264" s="54">
        <v>45178</v>
      </c>
      <c r="B264" s="50" t="s">
        <v>5582</v>
      </c>
      <c r="C264" s="11" t="s">
        <v>156</v>
      </c>
      <c r="D264" s="18" t="s">
        <v>5876</v>
      </c>
      <c r="E264" s="11" t="s">
        <v>44</v>
      </c>
    </row>
    <row r="265" ht="12.5" spans="1:5">
      <c r="A265" s="54">
        <v>45178</v>
      </c>
      <c r="B265" s="50" t="s">
        <v>5877</v>
      </c>
      <c r="C265" s="11" t="s">
        <v>156</v>
      </c>
      <c r="D265" s="18" t="s">
        <v>5878</v>
      </c>
      <c r="E265" s="11" t="s">
        <v>44</v>
      </c>
    </row>
    <row r="266" ht="12.5" spans="1:5">
      <c r="A266" s="54">
        <v>45178</v>
      </c>
      <c r="B266" s="50" t="s">
        <v>5879</v>
      </c>
      <c r="C266" s="11" t="s">
        <v>156</v>
      </c>
      <c r="D266" s="18" t="s">
        <v>5880</v>
      </c>
      <c r="E266" s="11" t="s">
        <v>44</v>
      </c>
    </row>
    <row r="267" ht="12.5" spans="1:5">
      <c r="A267" s="54">
        <v>45178</v>
      </c>
      <c r="B267" s="50" t="s">
        <v>5881</v>
      </c>
      <c r="C267" s="11" t="s">
        <v>156</v>
      </c>
      <c r="D267" s="18" t="s">
        <v>5882</v>
      </c>
      <c r="E267" s="11" t="s">
        <v>44</v>
      </c>
    </row>
    <row r="268" ht="12.5" spans="1:5">
      <c r="A268" s="54">
        <v>45179</v>
      </c>
      <c r="B268" s="50" t="s">
        <v>5822</v>
      </c>
      <c r="C268" s="11" t="s">
        <v>156</v>
      </c>
      <c r="D268" s="18" t="s">
        <v>5883</v>
      </c>
      <c r="E268" s="11" t="s">
        <v>44</v>
      </c>
    </row>
    <row r="269" ht="12.5" spans="1:5">
      <c r="A269" s="54">
        <v>45179</v>
      </c>
      <c r="B269" s="50" t="s">
        <v>5884</v>
      </c>
      <c r="C269" s="11" t="s">
        <v>156</v>
      </c>
      <c r="D269" s="18" t="s">
        <v>1933</v>
      </c>
      <c r="E269" s="11" t="s">
        <v>45</v>
      </c>
    </row>
    <row r="270" ht="12.5" spans="1:5">
      <c r="A270" s="54">
        <v>45180</v>
      </c>
      <c r="B270" s="50" t="s">
        <v>5885</v>
      </c>
      <c r="C270" s="11" t="s">
        <v>67</v>
      </c>
      <c r="D270" s="18" t="s">
        <v>1930</v>
      </c>
      <c r="E270" s="11" t="s">
        <v>45</v>
      </c>
    </row>
    <row r="271" ht="12.5" spans="1:5">
      <c r="A271" s="54">
        <v>45182</v>
      </c>
      <c r="B271" s="50" t="s">
        <v>5563</v>
      </c>
      <c r="C271" s="11" t="s">
        <v>67</v>
      </c>
      <c r="D271" s="18" t="s">
        <v>5886</v>
      </c>
      <c r="E271" s="11" t="s">
        <v>44</v>
      </c>
    </row>
    <row r="272" ht="12.5" spans="1:5">
      <c r="A272" s="54">
        <v>45182</v>
      </c>
      <c r="B272" s="50" t="s">
        <v>5688</v>
      </c>
      <c r="C272" s="11" t="s">
        <v>67</v>
      </c>
      <c r="D272" s="18" t="s">
        <v>5887</v>
      </c>
      <c r="E272" s="11" t="s">
        <v>45</v>
      </c>
    </row>
    <row r="273" ht="12.5" spans="1:5">
      <c r="A273" s="54">
        <v>45183</v>
      </c>
      <c r="B273" s="50" t="s">
        <v>5582</v>
      </c>
      <c r="C273" s="11" t="s">
        <v>67</v>
      </c>
      <c r="D273" s="18" t="s">
        <v>5888</v>
      </c>
      <c r="E273" s="11" t="s">
        <v>44</v>
      </c>
    </row>
    <row r="274" ht="12.5" spans="1:5">
      <c r="A274" s="54">
        <v>45183</v>
      </c>
      <c r="B274" s="50" t="s">
        <v>5889</v>
      </c>
      <c r="C274" s="11" t="s">
        <v>67</v>
      </c>
      <c r="D274" s="18" t="s">
        <v>5890</v>
      </c>
      <c r="E274" s="11" t="s">
        <v>44</v>
      </c>
    </row>
    <row r="275" ht="12.5" spans="1:5">
      <c r="A275" s="54">
        <v>45183</v>
      </c>
      <c r="B275" s="50" t="s">
        <v>5582</v>
      </c>
      <c r="C275" s="11" t="s">
        <v>67</v>
      </c>
      <c r="D275" s="18" t="s">
        <v>5891</v>
      </c>
      <c r="E275" s="11" t="s">
        <v>44</v>
      </c>
    </row>
    <row r="276" ht="12.5" spans="1:5">
      <c r="A276" s="54">
        <v>45186</v>
      </c>
      <c r="B276" s="50" t="s">
        <v>5892</v>
      </c>
      <c r="C276" s="11" t="s">
        <v>156</v>
      </c>
      <c r="D276" s="18" t="s">
        <v>5893</v>
      </c>
      <c r="E276" s="11" t="s">
        <v>44</v>
      </c>
    </row>
    <row r="277" ht="12.5" spans="1:5">
      <c r="A277" s="54">
        <v>45187</v>
      </c>
      <c r="B277" s="50" t="s">
        <v>5894</v>
      </c>
      <c r="C277" s="11" t="s">
        <v>67</v>
      </c>
      <c r="D277" s="18" t="s">
        <v>5895</v>
      </c>
      <c r="E277" s="11" t="s">
        <v>44</v>
      </c>
    </row>
    <row r="278" ht="12.5" spans="1:5">
      <c r="A278" s="54">
        <v>45187</v>
      </c>
      <c r="B278" s="50" t="s">
        <v>5896</v>
      </c>
      <c r="C278" s="11" t="s">
        <v>67</v>
      </c>
      <c r="D278" s="18" t="s">
        <v>5897</v>
      </c>
      <c r="E278" s="11" t="s">
        <v>44</v>
      </c>
    </row>
    <row r="279" ht="12.5" spans="1:5">
      <c r="A279" s="54">
        <v>45189</v>
      </c>
      <c r="B279" s="50" t="s">
        <v>5898</v>
      </c>
      <c r="C279" s="11" t="s">
        <v>67</v>
      </c>
      <c r="D279" s="18" t="s">
        <v>5899</v>
      </c>
      <c r="E279" s="11" t="s">
        <v>44</v>
      </c>
    </row>
    <row r="280" ht="12.5" spans="1:5">
      <c r="A280" s="54">
        <v>45189</v>
      </c>
      <c r="B280" s="50" t="s">
        <v>5748</v>
      </c>
      <c r="C280" s="11" t="s">
        <v>67</v>
      </c>
      <c r="D280" s="18" t="s">
        <v>5900</v>
      </c>
      <c r="E280" s="11" t="s">
        <v>44</v>
      </c>
    </row>
    <row r="281" ht="12.5" spans="1:5">
      <c r="A281" s="54">
        <v>45189</v>
      </c>
      <c r="B281" s="50" t="s">
        <v>5901</v>
      </c>
      <c r="C281" s="11" t="s">
        <v>67</v>
      </c>
      <c r="D281" s="18" t="s">
        <v>5902</v>
      </c>
      <c r="E281" s="11" t="s">
        <v>44</v>
      </c>
    </row>
    <row r="282" ht="12.5" spans="1:5">
      <c r="A282" s="54">
        <v>45189</v>
      </c>
      <c r="B282" s="50" t="s">
        <v>5903</v>
      </c>
      <c r="C282" s="11" t="s">
        <v>67</v>
      </c>
      <c r="D282" s="18" t="s">
        <v>5904</v>
      </c>
      <c r="E282" s="11" t="s">
        <v>44</v>
      </c>
    </row>
    <row r="283" ht="12.5" spans="1:5">
      <c r="A283" s="54">
        <v>45190</v>
      </c>
      <c r="B283" s="50" t="s">
        <v>5905</v>
      </c>
      <c r="C283" s="11" t="s">
        <v>67</v>
      </c>
      <c r="D283" s="18" t="s">
        <v>5906</v>
      </c>
      <c r="E283" s="11" t="s">
        <v>44</v>
      </c>
    </row>
    <row r="284" ht="12.5" spans="1:5">
      <c r="A284" s="54">
        <v>45191</v>
      </c>
      <c r="B284" s="50" t="s">
        <v>5907</v>
      </c>
      <c r="C284" s="11" t="s">
        <v>67</v>
      </c>
      <c r="D284" s="18" t="s">
        <v>5908</v>
      </c>
      <c r="E284" s="11" t="s">
        <v>44</v>
      </c>
    </row>
    <row r="285" ht="12.5" spans="1:5">
      <c r="A285" s="54">
        <v>45192</v>
      </c>
      <c r="B285" s="50" t="s">
        <v>5909</v>
      </c>
      <c r="C285" s="11" t="s">
        <v>156</v>
      </c>
      <c r="D285" s="18" t="s">
        <v>5910</v>
      </c>
      <c r="E285" s="11" t="s">
        <v>44</v>
      </c>
    </row>
    <row r="286" ht="12.5" spans="1:5">
      <c r="A286" s="54">
        <v>45196</v>
      </c>
      <c r="B286" s="50" t="s">
        <v>5911</v>
      </c>
      <c r="C286" s="11" t="s">
        <v>67</v>
      </c>
      <c r="D286" s="18" t="s">
        <v>5912</v>
      </c>
      <c r="E286" s="11" t="s">
        <v>44</v>
      </c>
    </row>
    <row r="287" ht="12.5" spans="1:5">
      <c r="A287" s="54">
        <v>45196</v>
      </c>
      <c r="B287" s="50" t="s">
        <v>5913</v>
      </c>
      <c r="C287" s="11" t="s">
        <v>67</v>
      </c>
      <c r="D287" s="18" t="s">
        <v>5914</v>
      </c>
      <c r="E287" s="11" t="s">
        <v>44</v>
      </c>
    </row>
    <row r="288" ht="12.5" spans="1:5">
      <c r="A288" s="54">
        <v>45197</v>
      </c>
      <c r="B288" s="50" t="s">
        <v>5915</v>
      </c>
      <c r="C288" s="11" t="s">
        <v>67</v>
      </c>
      <c r="D288" s="18" t="s">
        <v>5916</v>
      </c>
      <c r="E288" s="11" t="s">
        <v>44</v>
      </c>
    </row>
    <row r="289" ht="12.5" spans="1:5">
      <c r="A289" s="54">
        <v>45198</v>
      </c>
      <c r="B289" s="50" t="s">
        <v>5917</v>
      </c>
      <c r="C289" s="11" t="s">
        <v>67</v>
      </c>
      <c r="D289" s="18" t="s">
        <v>5918</v>
      </c>
      <c r="E289" s="11" t="s">
        <v>44</v>
      </c>
    </row>
    <row r="290" ht="12.5" spans="1:5">
      <c r="A290" s="54">
        <v>45198</v>
      </c>
      <c r="B290" s="50" t="s">
        <v>5919</v>
      </c>
      <c r="C290" s="11" t="s">
        <v>67</v>
      </c>
      <c r="D290" s="18" t="s">
        <v>5920</v>
      </c>
      <c r="E290" s="11" t="s">
        <v>44</v>
      </c>
    </row>
    <row r="291" ht="12.5" spans="1:6">
      <c r="A291" s="54">
        <v>45199</v>
      </c>
      <c r="B291" s="50" t="s">
        <v>5921</v>
      </c>
      <c r="C291" s="11" t="s">
        <v>156</v>
      </c>
      <c r="D291" s="18" t="s">
        <v>5922</v>
      </c>
      <c r="E291" s="11" t="s">
        <v>44</v>
      </c>
      <c r="F291" s="11" t="s">
        <v>5923</v>
      </c>
    </row>
    <row r="292" ht="12.5" spans="1:5">
      <c r="A292" s="54">
        <v>45200</v>
      </c>
      <c r="B292" s="50" t="s">
        <v>5924</v>
      </c>
      <c r="C292" s="11" t="s">
        <v>156</v>
      </c>
      <c r="D292" s="18" t="s">
        <v>5925</v>
      </c>
      <c r="E292" s="11" t="s">
        <v>44</v>
      </c>
    </row>
    <row r="293" ht="12.5" spans="1:5">
      <c r="A293" s="54">
        <v>45202</v>
      </c>
      <c r="B293" s="50" t="s">
        <v>5582</v>
      </c>
      <c r="C293" s="11" t="s">
        <v>67</v>
      </c>
      <c r="D293" s="18" t="s">
        <v>5926</v>
      </c>
      <c r="E293" s="11" t="s">
        <v>44</v>
      </c>
    </row>
    <row r="294" ht="12.5" spans="1:5">
      <c r="A294" s="54">
        <v>45202</v>
      </c>
      <c r="B294" s="50" t="s">
        <v>5927</v>
      </c>
      <c r="C294" s="11" t="s">
        <v>67</v>
      </c>
      <c r="D294" s="18" t="s">
        <v>5928</v>
      </c>
      <c r="E294" s="11" t="s">
        <v>44</v>
      </c>
    </row>
    <row r="295" ht="12.5" spans="1:5">
      <c r="A295" s="54">
        <v>45203</v>
      </c>
      <c r="B295" s="50" t="s">
        <v>5929</v>
      </c>
      <c r="C295" s="11" t="s">
        <v>67</v>
      </c>
      <c r="D295" s="18" t="s">
        <v>5928</v>
      </c>
      <c r="E295" s="11" t="s">
        <v>44</v>
      </c>
    </row>
    <row r="296" ht="12.5" spans="1:5">
      <c r="A296" s="54">
        <v>45203</v>
      </c>
      <c r="B296" s="50" t="s">
        <v>5930</v>
      </c>
      <c r="C296" s="11" t="s">
        <v>67</v>
      </c>
      <c r="D296" s="18" t="s">
        <v>5931</v>
      </c>
      <c r="E296" s="11" t="s">
        <v>45</v>
      </c>
    </row>
    <row r="297" ht="12.5" spans="1:5">
      <c r="A297" s="54">
        <v>45204</v>
      </c>
      <c r="B297" s="50" t="s">
        <v>5932</v>
      </c>
      <c r="C297" s="11" t="s">
        <v>67</v>
      </c>
      <c r="D297" s="18" t="s">
        <v>5933</v>
      </c>
      <c r="E297" s="11" t="s">
        <v>44</v>
      </c>
    </row>
    <row r="298" ht="12.5" spans="1:5">
      <c r="A298" s="54">
        <v>45204</v>
      </c>
      <c r="B298" s="50" t="s">
        <v>5934</v>
      </c>
      <c r="C298" s="11" t="s">
        <v>67</v>
      </c>
      <c r="D298" s="18" t="s">
        <v>5935</v>
      </c>
      <c r="E298" s="11" t="s">
        <v>44</v>
      </c>
    </row>
    <row r="299" ht="12.5" spans="1:5">
      <c r="A299" s="54">
        <v>45206</v>
      </c>
      <c r="B299" s="50" t="s">
        <v>5936</v>
      </c>
      <c r="C299" s="11" t="s">
        <v>156</v>
      </c>
      <c r="D299" s="18" t="s">
        <v>5937</v>
      </c>
      <c r="E299" s="11" t="s">
        <v>44</v>
      </c>
    </row>
    <row r="300" ht="12.5" spans="1:5">
      <c r="A300" s="54">
        <v>45207</v>
      </c>
      <c r="B300" s="50" t="s">
        <v>5938</v>
      </c>
      <c r="C300" s="11" t="s">
        <v>156</v>
      </c>
      <c r="D300" s="18" t="s">
        <v>5939</v>
      </c>
      <c r="E300" s="11" t="s">
        <v>44</v>
      </c>
    </row>
    <row r="301" ht="12.5" spans="1:5">
      <c r="A301" s="84">
        <v>45210</v>
      </c>
      <c r="B301" s="50" t="s">
        <v>5801</v>
      </c>
      <c r="C301" s="11" t="s">
        <v>67</v>
      </c>
      <c r="D301" s="18" t="s">
        <v>5940</v>
      </c>
      <c r="E301" s="11" t="s">
        <v>44</v>
      </c>
    </row>
    <row r="302" ht="12.5" spans="1:5">
      <c r="A302" s="84">
        <v>45210</v>
      </c>
      <c r="B302" s="50" t="s">
        <v>5932</v>
      </c>
      <c r="C302" s="11" t="s">
        <v>67</v>
      </c>
      <c r="D302" s="18" t="s">
        <v>5941</v>
      </c>
      <c r="E302" s="11" t="s">
        <v>44</v>
      </c>
    </row>
    <row r="303" ht="12.5" spans="1:5">
      <c r="A303" s="84">
        <v>45210</v>
      </c>
      <c r="B303" s="50" t="s">
        <v>5942</v>
      </c>
      <c r="C303" s="11" t="s">
        <v>67</v>
      </c>
      <c r="D303" s="18" t="s">
        <v>5943</v>
      </c>
      <c r="E303" s="11" t="s">
        <v>44</v>
      </c>
    </row>
    <row r="304" ht="12.5" spans="1:5">
      <c r="A304" s="84">
        <v>45211</v>
      </c>
      <c r="B304" s="50" t="s">
        <v>5548</v>
      </c>
      <c r="C304" s="11" t="s">
        <v>156</v>
      </c>
      <c r="D304" s="18" t="s">
        <v>5944</v>
      </c>
      <c r="E304" s="11" t="s">
        <v>44</v>
      </c>
    </row>
    <row r="305" ht="12.5" spans="1:5">
      <c r="A305" s="84">
        <v>45212</v>
      </c>
      <c r="B305" s="50" t="s">
        <v>5945</v>
      </c>
      <c r="C305" s="11" t="s">
        <v>156</v>
      </c>
      <c r="D305" s="18" t="s">
        <v>5946</v>
      </c>
      <c r="E305" s="11" t="s">
        <v>44</v>
      </c>
    </row>
    <row r="306" ht="12.5" spans="1:5">
      <c r="A306" s="84">
        <v>45214</v>
      </c>
      <c r="B306" s="50" t="s">
        <v>5947</v>
      </c>
      <c r="C306" s="11" t="s">
        <v>156</v>
      </c>
      <c r="D306" s="18" t="s">
        <v>5948</v>
      </c>
      <c r="E306" s="11" t="s">
        <v>44</v>
      </c>
    </row>
    <row r="307" ht="12.5" spans="1:5">
      <c r="A307" s="84">
        <v>45214</v>
      </c>
      <c r="B307" s="50" t="s">
        <v>5942</v>
      </c>
      <c r="C307" s="11" t="s">
        <v>156</v>
      </c>
      <c r="D307" s="18" t="s">
        <v>5949</v>
      </c>
      <c r="E307" s="11" t="s">
        <v>44</v>
      </c>
    </row>
    <row r="308" ht="12.5" spans="1:5">
      <c r="A308" s="84">
        <v>45214</v>
      </c>
      <c r="B308" s="50" t="s">
        <v>5950</v>
      </c>
      <c r="C308" s="11" t="s">
        <v>156</v>
      </c>
      <c r="D308" s="18" t="s">
        <v>5951</v>
      </c>
      <c r="E308" s="11" t="s">
        <v>44</v>
      </c>
    </row>
    <row r="309" ht="12.5" spans="1:5">
      <c r="A309" s="84">
        <v>45215</v>
      </c>
      <c r="B309" s="50" t="s">
        <v>5952</v>
      </c>
      <c r="C309" s="11" t="s">
        <v>67</v>
      </c>
      <c r="D309" s="18" t="s">
        <v>5953</v>
      </c>
      <c r="E309" s="11" t="s">
        <v>44</v>
      </c>
    </row>
    <row r="310" ht="12.5" spans="1:5">
      <c r="A310" s="84">
        <v>45215</v>
      </c>
      <c r="B310" s="50" t="s">
        <v>5954</v>
      </c>
      <c r="C310" s="11" t="s">
        <v>67</v>
      </c>
      <c r="D310" s="18" t="s">
        <v>5955</v>
      </c>
      <c r="E310" s="11" t="s">
        <v>44</v>
      </c>
    </row>
    <row r="311" ht="12.5" spans="1:5">
      <c r="A311" s="84">
        <v>45215</v>
      </c>
      <c r="B311" s="50" t="s">
        <v>5956</v>
      </c>
      <c r="C311" s="11" t="s">
        <v>67</v>
      </c>
      <c r="D311" s="18" t="s">
        <v>5957</v>
      </c>
      <c r="E311" s="11" t="s">
        <v>44</v>
      </c>
    </row>
    <row r="312" ht="12.5" spans="1:5">
      <c r="A312" s="84">
        <v>45215</v>
      </c>
      <c r="B312" s="50" t="s">
        <v>5582</v>
      </c>
      <c r="C312" s="11" t="s">
        <v>67</v>
      </c>
      <c r="D312" s="18" t="s">
        <v>5953</v>
      </c>
      <c r="E312" s="11" t="s">
        <v>44</v>
      </c>
    </row>
    <row r="313" ht="12.5" spans="1:5">
      <c r="A313" s="84">
        <v>45216</v>
      </c>
      <c r="B313" s="50" t="s">
        <v>5958</v>
      </c>
      <c r="C313" s="11" t="s">
        <v>67</v>
      </c>
      <c r="D313" s="18" t="s">
        <v>5959</v>
      </c>
      <c r="E313" s="11" t="s">
        <v>44</v>
      </c>
    </row>
    <row r="314" ht="12.5" spans="1:5">
      <c r="A314" s="84">
        <v>45216</v>
      </c>
      <c r="B314" s="50" t="s">
        <v>5960</v>
      </c>
      <c r="C314" s="11" t="s">
        <v>67</v>
      </c>
      <c r="D314" s="18" t="s">
        <v>5961</v>
      </c>
      <c r="E314" s="11" t="s">
        <v>44</v>
      </c>
    </row>
    <row r="315" ht="12.5" spans="1:5">
      <c r="A315" s="84">
        <v>45216</v>
      </c>
      <c r="B315" s="50" t="s">
        <v>5962</v>
      </c>
      <c r="C315" s="11" t="s">
        <v>67</v>
      </c>
      <c r="D315" s="18" t="s">
        <v>5963</v>
      </c>
      <c r="E315" s="11" t="s">
        <v>44</v>
      </c>
    </row>
    <row r="316" ht="12.5" spans="1:5">
      <c r="A316" s="84">
        <v>45217</v>
      </c>
      <c r="B316" s="50" t="s">
        <v>5964</v>
      </c>
      <c r="C316" s="11" t="s">
        <v>67</v>
      </c>
      <c r="D316" s="18" t="s">
        <v>5965</v>
      </c>
      <c r="E316" s="11" t="s">
        <v>44</v>
      </c>
    </row>
    <row r="317" ht="12.5" spans="1:5">
      <c r="A317" s="84">
        <v>45217</v>
      </c>
      <c r="B317" s="50" t="s">
        <v>5966</v>
      </c>
      <c r="C317" s="11" t="s">
        <v>67</v>
      </c>
      <c r="D317" s="18" t="s">
        <v>5967</v>
      </c>
      <c r="E317" s="11" t="s">
        <v>44</v>
      </c>
    </row>
    <row r="318" ht="12.5" spans="1:5">
      <c r="A318" s="84">
        <v>45218</v>
      </c>
      <c r="B318" s="50" t="s">
        <v>5968</v>
      </c>
      <c r="C318" s="11" t="s">
        <v>67</v>
      </c>
      <c r="D318" s="18" t="s">
        <v>5969</v>
      </c>
      <c r="E318" s="11" t="s">
        <v>44</v>
      </c>
    </row>
    <row r="319" ht="12.5" spans="1:5">
      <c r="A319" s="84">
        <v>45218</v>
      </c>
      <c r="B319" s="50" t="s">
        <v>5970</v>
      </c>
      <c r="C319" s="11" t="s">
        <v>67</v>
      </c>
      <c r="D319" s="18" t="s">
        <v>5971</v>
      </c>
      <c r="E319" s="11" t="s">
        <v>44</v>
      </c>
    </row>
    <row r="320" ht="12.5" spans="1:5">
      <c r="A320" s="84">
        <v>45218</v>
      </c>
      <c r="B320" s="50" t="s">
        <v>5972</v>
      </c>
      <c r="C320" s="11" t="s">
        <v>67</v>
      </c>
      <c r="D320" s="18" t="s">
        <v>5973</v>
      </c>
      <c r="E320" s="11" t="s">
        <v>45</v>
      </c>
    </row>
    <row r="321" ht="12.5" spans="1:5">
      <c r="A321" s="84">
        <v>45218</v>
      </c>
      <c r="B321" s="50" t="s">
        <v>5778</v>
      </c>
      <c r="C321" s="11" t="s">
        <v>67</v>
      </c>
      <c r="D321" s="18" t="s">
        <v>5974</v>
      </c>
      <c r="E321" s="11" t="s">
        <v>44</v>
      </c>
    </row>
    <row r="322" ht="12.5" spans="1:5">
      <c r="A322" s="84">
        <v>45218</v>
      </c>
      <c r="B322" s="50" t="s">
        <v>5975</v>
      </c>
      <c r="C322" s="11" t="s">
        <v>67</v>
      </c>
      <c r="D322" s="18" t="s">
        <v>5976</v>
      </c>
      <c r="E322" s="11" t="s">
        <v>44</v>
      </c>
    </row>
    <row r="323" ht="12.5" spans="1:5">
      <c r="A323" s="84">
        <v>45218</v>
      </c>
      <c r="B323" s="50" t="s">
        <v>5915</v>
      </c>
      <c r="C323" s="11" t="s">
        <v>67</v>
      </c>
      <c r="D323" s="18" t="s">
        <v>5974</v>
      </c>
      <c r="E323" s="11" t="s">
        <v>45</v>
      </c>
    </row>
    <row r="324" ht="12.5" spans="1:5">
      <c r="A324" s="84">
        <v>45219</v>
      </c>
      <c r="B324" s="50" t="s">
        <v>5977</v>
      </c>
      <c r="C324" s="11" t="s">
        <v>67</v>
      </c>
      <c r="D324" s="18" t="s">
        <v>5978</v>
      </c>
      <c r="E324" s="11" t="s">
        <v>45</v>
      </c>
    </row>
    <row r="325" ht="12.5" spans="1:5">
      <c r="A325" s="84">
        <v>45219</v>
      </c>
      <c r="B325" s="50" t="s">
        <v>5582</v>
      </c>
      <c r="C325" s="11" t="s">
        <v>67</v>
      </c>
      <c r="D325" s="18" t="s">
        <v>5979</v>
      </c>
      <c r="E325" s="11" t="s">
        <v>44</v>
      </c>
    </row>
    <row r="326" ht="12.5" spans="1:5">
      <c r="A326" s="84">
        <v>45219</v>
      </c>
      <c r="B326" s="50" t="s">
        <v>5980</v>
      </c>
      <c r="C326" s="11" t="s">
        <v>67</v>
      </c>
      <c r="D326" s="85" t="s">
        <v>5981</v>
      </c>
      <c r="E326" s="11" t="s">
        <v>44</v>
      </c>
    </row>
    <row r="327" ht="12.5" spans="1:5">
      <c r="A327" s="84">
        <v>45220</v>
      </c>
      <c r="B327" s="50" t="s">
        <v>5982</v>
      </c>
      <c r="C327" s="11" t="s">
        <v>156</v>
      </c>
      <c r="D327" s="18" t="s">
        <v>5983</v>
      </c>
      <c r="E327" s="11" t="s">
        <v>44</v>
      </c>
    </row>
    <row r="328" ht="12.5" spans="1:5">
      <c r="A328" s="84">
        <v>45220</v>
      </c>
      <c r="B328" s="50" t="s">
        <v>5984</v>
      </c>
      <c r="C328" s="11" t="s">
        <v>156</v>
      </c>
      <c r="D328" s="18" t="s">
        <v>5985</v>
      </c>
      <c r="E328" s="11" t="s">
        <v>44</v>
      </c>
    </row>
    <row r="329" ht="12.5" spans="1:5">
      <c r="A329" s="84">
        <v>45221</v>
      </c>
      <c r="B329" s="50" t="s">
        <v>5582</v>
      </c>
      <c r="C329" s="11" t="s">
        <v>156</v>
      </c>
      <c r="D329" s="18" t="s">
        <v>5986</v>
      </c>
      <c r="E329" s="11" t="s">
        <v>44</v>
      </c>
    </row>
    <row r="330" ht="12.5" spans="1:5">
      <c r="A330" s="84">
        <v>45221</v>
      </c>
      <c r="B330" s="50" t="s">
        <v>5848</v>
      </c>
      <c r="C330" s="11" t="s">
        <v>156</v>
      </c>
      <c r="D330" s="18" t="s">
        <v>5987</v>
      </c>
      <c r="E330" s="11" t="s">
        <v>44</v>
      </c>
    </row>
    <row r="331" ht="12.5" spans="1:5">
      <c r="A331" s="84">
        <v>45222</v>
      </c>
      <c r="B331" s="50" t="s">
        <v>5917</v>
      </c>
      <c r="C331" s="11" t="s">
        <v>67</v>
      </c>
      <c r="D331" s="18" t="s">
        <v>5988</v>
      </c>
      <c r="E331" s="11" t="s">
        <v>45</v>
      </c>
    </row>
    <row r="332" ht="12.5" spans="1:5">
      <c r="A332" s="84">
        <v>45223</v>
      </c>
      <c r="B332" s="50" t="s">
        <v>5989</v>
      </c>
      <c r="C332" s="11" t="s">
        <v>67</v>
      </c>
      <c r="D332" s="18" t="s">
        <v>2392</v>
      </c>
      <c r="E332" s="11" t="s">
        <v>45</v>
      </c>
    </row>
    <row r="333" ht="12.5" spans="1:5">
      <c r="A333" s="84">
        <v>45222</v>
      </c>
      <c r="B333" s="50" t="s">
        <v>5990</v>
      </c>
      <c r="C333" s="11" t="s">
        <v>67</v>
      </c>
      <c r="D333" s="18" t="s">
        <v>5991</v>
      </c>
      <c r="E333" s="11" t="s">
        <v>44</v>
      </c>
    </row>
    <row r="334" ht="12.5" spans="1:5">
      <c r="A334" s="84">
        <v>45223</v>
      </c>
      <c r="B334" s="50" t="s">
        <v>5582</v>
      </c>
      <c r="C334" s="11" t="s">
        <v>67</v>
      </c>
      <c r="D334" s="18" t="s">
        <v>5992</v>
      </c>
      <c r="E334" s="11" t="s">
        <v>44</v>
      </c>
    </row>
    <row r="335" ht="12.5" spans="1:5">
      <c r="A335" s="84">
        <v>45224</v>
      </c>
      <c r="B335" s="50" t="s">
        <v>5993</v>
      </c>
      <c r="C335" s="11" t="s">
        <v>67</v>
      </c>
      <c r="D335" s="18" t="s">
        <v>5994</v>
      </c>
      <c r="E335" s="11" t="s">
        <v>44</v>
      </c>
    </row>
    <row r="336" ht="12.5" spans="1:5">
      <c r="A336" s="84">
        <v>45225</v>
      </c>
      <c r="B336" s="50" t="s">
        <v>5995</v>
      </c>
      <c r="C336" s="11" t="s">
        <v>67</v>
      </c>
      <c r="D336" s="18" t="s">
        <v>5996</v>
      </c>
      <c r="E336" s="11" t="s">
        <v>44</v>
      </c>
    </row>
    <row r="337" ht="12.5" spans="1:5">
      <c r="A337" s="84">
        <v>45225</v>
      </c>
      <c r="B337" s="50" t="s">
        <v>5997</v>
      </c>
      <c r="C337" s="11" t="s">
        <v>67</v>
      </c>
      <c r="D337" s="18" t="s">
        <v>5998</v>
      </c>
      <c r="E337" s="11" t="s">
        <v>44</v>
      </c>
    </row>
    <row r="338" ht="12.5" spans="1:5">
      <c r="A338" s="84">
        <v>45225</v>
      </c>
      <c r="B338" s="50" t="s">
        <v>5582</v>
      </c>
      <c r="C338" s="11" t="s">
        <v>67</v>
      </c>
      <c r="D338" s="18" t="s">
        <v>5999</v>
      </c>
      <c r="E338" s="11" t="s">
        <v>44</v>
      </c>
    </row>
    <row r="339" ht="12.5" spans="1:5">
      <c r="A339" s="84">
        <v>45226</v>
      </c>
      <c r="B339" s="50" t="s">
        <v>6000</v>
      </c>
      <c r="C339" s="11" t="s">
        <v>67</v>
      </c>
      <c r="D339" s="18" t="s">
        <v>6001</v>
      </c>
      <c r="E339" s="11" t="s">
        <v>44</v>
      </c>
    </row>
    <row r="340" ht="12.5" spans="1:5">
      <c r="A340" s="84">
        <v>45226</v>
      </c>
      <c r="B340" s="50" t="s">
        <v>5942</v>
      </c>
      <c r="C340" s="11" t="s">
        <v>67</v>
      </c>
      <c r="D340" s="18" t="s">
        <v>6002</v>
      </c>
      <c r="E340" s="11" t="s">
        <v>44</v>
      </c>
    </row>
    <row r="341" ht="12.5" spans="1:5">
      <c r="A341" s="84">
        <v>45226</v>
      </c>
      <c r="B341" s="50" t="s">
        <v>6003</v>
      </c>
      <c r="C341" s="11" t="s">
        <v>67</v>
      </c>
      <c r="D341" s="18" t="s">
        <v>6004</v>
      </c>
      <c r="E341" s="11" t="s">
        <v>44</v>
      </c>
    </row>
    <row r="342" ht="12.5" spans="1:5">
      <c r="A342" s="84">
        <v>45227</v>
      </c>
      <c r="B342" s="50" t="s">
        <v>5632</v>
      </c>
      <c r="C342" s="11" t="s">
        <v>156</v>
      </c>
      <c r="D342" s="18" t="s">
        <v>6005</v>
      </c>
      <c r="E342" s="11" t="s">
        <v>44</v>
      </c>
    </row>
    <row r="343" ht="12.5" spans="1:5">
      <c r="A343" s="84">
        <v>45228</v>
      </c>
      <c r="B343" s="50" t="s">
        <v>5576</v>
      </c>
      <c r="C343" s="11" t="s">
        <v>156</v>
      </c>
      <c r="D343" s="18" t="s">
        <v>6006</v>
      </c>
      <c r="E343" s="11" t="s">
        <v>44</v>
      </c>
    </row>
    <row r="344" ht="12.5" spans="1:5">
      <c r="A344" s="84">
        <v>45229</v>
      </c>
      <c r="B344" s="50" t="s">
        <v>5401</v>
      </c>
      <c r="C344" s="11" t="s">
        <v>67</v>
      </c>
      <c r="D344" s="18" t="s">
        <v>6007</v>
      </c>
      <c r="E344" s="11" t="s">
        <v>44</v>
      </c>
    </row>
    <row r="345" ht="12.5" spans="1:5">
      <c r="A345" s="84">
        <v>45230</v>
      </c>
      <c r="B345" s="50" t="s">
        <v>5527</v>
      </c>
      <c r="C345" s="11" t="s">
        <v>67</v>
      </c>
      <c r="D345" s="18" t="s">
        <v>6008</v>
      </c>
      <c r="E345" s="11" t="s">
        <v>44</v>
      </c>
    </row>
    <row r="346" ht="12.5" spans="1:5">
      <c r="A346" s="84">
        <v>45230</v>
      </c>
      <c r="B346" s="50" t="s">
        <v>6009</v>
      </c>
      <c r="C346" s="11" t="s">
        <v>67</v>
      </c>
      <c r="D346" s="18" t="s">
        <v>6010</v>
      </c>
      <c r="E346" s="11" t="s">
        <v>44</v>
      </c>
    </row>
    <row r="347" ht="12.5" spans="1:5">
      <c r="A347" s="54">
        <v>45231</v>
      </c>
      <c r="B347" s="50" t="s">
        <v>6011</v>
      </c>
      <c r="C347" s="11" t="s">
        <v>67</v>
      </c>
      <c r="D347" s="18" t="s">
        <v>6012</v>
      </c>
      <c r="E347" s="11" t="s">
        <v>44</v>
      </c>
    </row>
    <row r="348" ht="12.5" spans="1:5">
      <c r="A348" s="54">
        <v>45233</v>
      </c>
      <c r="B348" s="50" t="s">
        <v>6013</v>
      </c>
      <c r="C348" s="11" t="s">
        <v>156</v>
      </c>
      <c r="D348" s="18" t="s">
        <v>6014</v>
      </c>
      <c r="E348" s="11" t="s">
        <v>44</v>
      </c>
    </row>
    <row r="349" ht="12.5" spans="1:5">
      <c r="A349" s="54">
        <v>45233</v>
      </c>
      <c r="B349" s="50" t="s">
        <v>6015</v>
      </c>
      <c r="C349" s="11" t="s">
        <v>156</v>
      </c>
      <c r="D349" s="18" t="s">
        <v>6016</v>
      </c>
      <c r="E349" s="11" t="s">
        <v>44</v>
      </c>
    </row>
    <row r="350" ht="12.5" spans="1:5">
      <c r="A350" s="54">
        <v>45234</v>
      </c>
      <c r="B350" s="50" t="s">
        <v>5582</v>
      </c>
      <c r="C350" s="11" t="s">
        <v>156</v>
      </c>
      <c r="D350" s="18" t="s">
        <v>6017</v>
      </c>
      <c r="E350" s="11" t="s">
        <v>44</v>
      </c>
    </row>
    <row r="351" ht="12.5" spans="1:5">
      <c r="A351" s="54">
        <v>45234</v>
      </c>
      <c r="B351" s="50" t="s">
        <v>5582</v>
      </c>
      <c r="C351" s="11" t="s">
        <v>156</v>
      </c>
      <c r="D351" s="18" t="s">
        <v>6018</v>
      </c>
      <c r="E351" s="11" t="s">
        <v>44</v>
      </c>
    </row>
    <row r="352" ht="12.5" spans="1:5">
      <c r="A352" s="54">
        <v>45236</v>
      </c>
      <c r="B352" s="50" t="s">
        <v>6019</v>
      </c>
      <c r="C352" s="11" t="s">
        <v>67</v>
      </c>
      <c r="D352" s="18" t="s">
        <v>6020</v>
      </c>
      <c r="E352" s="11" t="s">
        <v>44</v>
      </c>
    </row>
    <row r="353" ht="12.5" spans="1:5">
      <c r="A353" s="54">
        <v>45237</v>
      </c>
      <c r="B353" s="50" t="s">
        <v>6021</v>
      </c>
      <c r="C353" s="11" t="s">
        <v>67</v>
      </c>
      <c r="D353" s="18" t="s">
        <v>6022</v>
      </c>
      <c r="E353" s="11" t="s">
        <v>44</v>
      </c>
    </row>
    <row r="354" ht="12.5" spans="1:5">
      <c r="A354" s="54">
        <v>45238</v>
      </c>
      <c r="B354" s="50" t="s">
        <v>6023</v>
      </c>
      <c r="C354" s="11" t="s">
        <v>67</v>
      </c>
      <c r="D354" s="18" t="s">
        <v>6024</v>
      </c>
      <c r="E354" s="11" t="s">
        <v>44</v>
      </c>
    </row>
    <row r="355" ht="12.5" spans="1:5">
      <c r="A355" s="54">
        <v>45238</v>
      </c>
      <c r="B355" s="50" t="s">
        <v>6025</v>
      </c>
      <c r="C355" s="11" t="s">
        <v>67</v>
      </c>
      <c r="D355" s="18" t="s">
        <v>6026</v>
      </c>
      <c r="E355" s="11" t="s">
        <v>44</v>
      </c>
    </row>
    <row r="356" ht="12.5" spans="1:5">
      <c r="A356" s="54">
        <v>45238</v>
      </c>
      <c r="B356" s="50" t="s">
        <v>6027</v>
      </c>
      <c r="C356" s="11" t="s">
        <v>67</v>
      </c>
      <c r="D356" s="18" t="s">
        <v>6028</v>
      </c>
      <c r="E356" s="11" t="s">
        <v>44</v>
      </c>
    </row>
    <row r="357" ht="12.5" spans="1:5">
      <c r="A357" s="54">
        <v>45238</v>
      </c>
      <c r="B357" s="50" t="s">
        <v>6029</v>
      </c>
      <c r="C357" s="11" t="s">
        <v>67</v>
      </c>
      <c r="D357" s="18" t="s">
        <v>6030</v>
      </c>
      <c r="E357" s="11" t="s">
        <v>44</v>
      </c>
    </row>
    <row r="358" ht="12.5" spans="1:5">
      <c r="A358" s="54">
        <v>45238</v>
      </c>
      <c r="B358" s="50" t="s">
        <v>6031</v>
      </c>
      <c r="C358" s="11" t="s">
        <v>67</v>
      </c>
      <c r="D358" s="18" t="s">
        <v>6032</v>
      </c>
      <c r="E358" s="11" t="s">
        <v>44</v>
      </c>
    </row>
    <row r="359" ht="12.5" spans="1:5">
      <c r="A359" s="54">
        <v>45239</v>
      </c>
      <c r="B359" s="50" t="s">
        <v>6033</v>
      </c>
      <c r="C359" s="11" t="s">
        <v>67</v>
      </c>
      <c r="D359" s="18" t="s">
        <v>6034</v>
      </c>
      <c r="E359" s="11" t="s">
        <v>45</v>
      </c>
    </row>
    <row r="360" ht="12.5" spans="1:5">
      <c r="A360" s="84">
        <v>45240</v>
      </c>
      <c r="B360" s="50" t="s">
        <v>6035</v>
      </c>
      <c r="C360" s="11" t="s">
        <v>67</v>
      </c>
      <c r="D360" s="18" t="s">
        <v>6036</v>
      </c>
      <c r="E360" s="11" t="s">
        <v>44</v>
      </c>
    </row>
    <row r="361" ht="12.5" spans="1:5">
      <c r="A361" s="54">
        <v>45241</v>
      </c>
      <c r="B361" s="50" t="s">
        <v>5546</v>
      </c>
      <c r="C361" s="11" t="s">
        <v>156</v>
      </c>
      <c r="D361" s="18" t="s">
        <v>6037</v>
      </c>
      <c r="E361" s="11" t="s">
        <v>44</v>
      </c>
    </row>
    <row r="362" ht="12.5" spans="1:5">
      <c r="A362" s="54">
        <v>45241</v>
      </c>
      <c r="B362" s="50" t="s">
        <v>6038</v>
      </c>
      <c r="C362" s="11" t="s">
        <v>156</v>
      </c>
      <c r="D362" s="18" t="s">
        <v>6039</v>
      </c>
      <c r="E362" s="11" t="s">
        <v>44</v>
      </c>
    </row>
    <row r="363" ht="12.5" spans="1:5">
      <c r="A363" s="84">
        <v>45242</v>
      </c>
      <c r="B363" s="50" t="s">
        <v>6040</v>
      </c>
      <c r="C363" s="11" t="s">
        <v>156</v>
      </c>
      <c r="D363" s="18" t="s">
        <v>6041</v>
      </c>
      <c r="E363" s="11" t="s">
        <v>44</v>
      </c>
    </row>
    <row r="364" ht="12.5" spans="1:27">
      <c r="A364" s="84">
        <v>45243</v>
      </c>
      <c r="B364" s="86" t="s">
        <v>6042</v>
      </c>
      <c r="C364" s="11" t="s">
        <v>67</v>
      </c>
      <c r="D364" s="18" t="s">
        <v>6043</v>
      </c>
      <c r="E364" s="11" t="s">
        <v>44</v>
      </c>
      <c r="AA364" s="11" t="s">
        <v>6044</v>
      </c>
    </row>
    <row r="365" ht="12.5" spans="1:5">
      <c r="A365" s="84">
        <v>45243</v>
      </c>
      <c r="B365" s="50" t="s">
        <v>6045</v>
      </c>
      <c r="C365" s="11" t="s">
        <v>67</v>
      </c>
      <c r="D365" s="18" t="s">
        <v>6043</v>
      </c>
      <c r="E365" s="11" t="s">
        <v>44</v>
      </c>
    </row>
    <row r="366" ht="12.5" spans="1:5">
      <c r="A366" s="84">
        <v>45244</v>
      </c>
      <c r="B366" s="50" t="s">
        <v>5563</v>
      </c>
      <c r="C366" s="11" t="s">
        <v>67</v>
      </c>
      <c r="D366" s="18" t="s">
        <v>6046</v>
      </c>
      <c r="E366" s="11" t="s">
        <v>44</v>
      </c>
    </row>
    <row r="367" ht="12.5" spans="1:5">
      <c r="A367" s="84">
        <v>45244</v>
      </c>
      <c r="B367" s="50" t="s">
        <v>5697</v>
      </c>
      <c r="C367" s="11" t="s">
        <v>67</v>
      </c>
      <c r="D367" s="18" t="s">
        <v>6047</v>
      </c>
      <c r="E367" s="11" t="s">
        <v>44</v>
      </c>
    </row>
    <row r="368" ht="12.5" spans="1:5">
      <c r="A368" s="84">
        <v>45245</v>
      </c>
      <c r="B368" s="50" t="s">
        <v>5968</v>
      </c>
      <c r="C368" s="11" t="s">
        <v>156</v>
      </c>
      <c r="D368" s="18" t="s">
        <v>6048</v>
      </c>
      <c r="E368" s="11" t="s">
        <v>44</v>
      </c>
    </row>
    <row r="369" ht="12.5" spans="1:5">
      <c r="A369" s="84">
        <v>45245</v>
      </c>
      <c r="B369" s="50" t="s">
        <v>5582</v>
      </c>
      <c r="C369" s="11" t="s">
        <v>156</v>
      </c>
      <c r="D369" s="18" t="s">
        <v>6049</v>
      </c>
      <c r="E369" s="11" t="s">
        <v>44</v>
      </c>
    </row>
    <row r="370" ht="12.5" spans="1:5">
      <c r="A370" s="84">
        <v>45246</v>
      </c>
      <c r="B370" s="50" t="s">
        <v>6050</v>
      </c>
      <c r="C370" s="11" t="s">
        <v>67</v>
      </c>
      <c r="D370" s="18" t="s">
        <v>6051</v>
      </c>
      <c r="E370" s="11" t="s">
        <v>44</v>
      </c>
    </row>
    <row r="371" ht="12.5" spans="1:5">
      <c r="A371" s="84">
        <v>45246</v>
      </c>
      <c r="B371" s="50" t="s">
        <v>5615</v>
      </c>
      <c r="C371" s="11" t="s">
        <v>67</v>
      </c>
      <c r="D371" s="18" t="s">
        <v>6052</v>
      </c>
      <c r="E371" s="11" t="s">
        <v>44</v>
      </c>
    </row>
    <row r="372" ht="12.5" spans="1:5">
      <c r="A372" s="84">
        <v>45247</v>
      </c>
      <c r="B372" s="50" t="s">
        <v>6053</v>
      </c>
      <c r="C372" s="11" t="s">
        <v>67</v>
      </c>
      <c r="D372" s="18" t="s">
        <v>6054</v>
      </c>
      <c r="E372" s="11" t="s">
        <v>44</v>
      </c>
    </row>
    <row r="373" ht="12.5" spans="1:5">
      <c r="A373" s="84">
        <v>45247</v>
      </c>
      <c r="B373" s="50" t="s">
        <v>6055</v>
      </c>
      <c r="C373" s="11" t="s">
        <v>67</v>
      </c>
      <c r="D373" s="18" t="s">
        <v>6056</v>
      </c>
      <c r="E373" s="11" t="s">
        <v>44</v>
      </c>
    </row>
    <row r="374" ht="12.5" spans="1:5">
      <c r="A374" s="84">
        <v>45248</v>
      </c>
      <c r="B374" s="50" t="s">
        <v>6057</v>
      </c>
      <c r="C374" s="11" t="s">
        <v>156</v>
      </c>
      <c r="D374" s="18" t="s">
        <v>6058</v>
      </c>
      <c r="E374" s="11" t="s">
        <v>45</v>
      </c>
    </row>
    <row r="375" ht="12.5" spans="1:5">
      <c r="A375" s="84">
        <v>45249</v>
      </c>
      <c r="B375" s="50" t="s">
        <v>6059</v>
      </c>
      <c r="C375" s="11" t="s">
        <v>156</v>
      </c>
      <c r="D375" s="18" t="s">
        <v>6060</v>
      </c>
      <c r="E375" s="11" t="s">
        <v>44</v>
      </c>
    </row>
    <row r="376" ht="12.5" spans="1:5">
      <c r="A376" s="84">
        <v>45250</v>
      </c>
      <c r="B376" s="50" t="s">
        <v>6061</v>
      </c>
      <c r="C376" s="11" t="s">
        <v>67</v>
      </c>
      <c r="D376" s="18" t="s">
        <v>6062</v>
      </c>
      <c r="E376" s="11" t="s">
        <v>44</v>
      </c>
    </row>
    <row r="377" ht="12.5" spans="1:5">
      <c r="A377" s="84">
        <v>45250</v>
      </c>
      <c r="B377" s="50" t="s">
        <v>6063</v>
      </c>
      <c r="C377" s="11" t="s">
        <v>67</v>
      </c>
      <c r="D377" s="87" t="s">
        <v>6064</v>
      </c>
      <c r="E377" s="11" t="s">
        <v>45</v>
      </c>
    </row>
    <row r="378" ht="12.5" spans="1:5">
      <c r="A378" s="84">
        <v>45251</v>
      </c>
      <c r="B378" s="50" t="s">
        <v>5397</v>
      </c>
      <c r="C378" s="11" t="s">
        <v>67</v>
      </c>
      <c r="D378" s="87" t="s">
        <v>6065</v>
      </c>
      <c r="E378" s="11" t="s">
        <v>44</v>
      </c>
    </row>
    <row r="379" ht="12.5" spans="1:5">
      <c r="A379" s="84">
        <v>45251</v>
      </c>
      <c r="B379" s="50" t="s">
        <v>6066</v>
      </c>
      <c r="C379" s="11" t="s">
        <v>67</v>
      </c>
      <c r="D379" s="18" t="s">
        <v>6067</v>
      </c>
      <c r="E379" s="11" t="s">
        <v>44</v>
      </c>
    </row>
    <row r="380" ht="12.5" spans="1:5">
      <c r="A380" s="84">
        <v>45251</v>
      </c>
      <c r="B380" s="50" t="s">
        <v>5997</v>
      </c>
      <c r="C380" s="11" t="s">
        <v>67</v>
      </c>
      <c r="D380" s="18" t="s">
        <v>6068</v>
      </c>
      <c r="E380" s="11" t="s">
        <v>44</v>
      </c>
    </row>
    <row r="381" ht="12.5" spans="1:5">
      <c r="A381" s="84">
        <v>45251</v>
      </c>
      <c r="B381" s="50" t="s">
        <v>6069</v>
      </c>
      <c r="C381" s="11" t="s">
        <v>67</v>
      </c>
      <c r="D381" s="18" t="s">
        <v>6070</v>
      </c>
      <c r="E381" s="11" t="s">
        <v>44</v>
      </c>
    </row>
    <row r="382" ht="12.5" spans="1:5">
      <c r="A382" s="84">
        <v>45252</v>
      </c>
      <c r="B382" s="50" t="s">
        <v>6071</v>
      </c>
      <c r="C382" s="11" t="s">
        <v>67</v>
      </c>
      <c r="D382" s="18" t="s">
        <v>6072</v>
      </c>
      <c r="E382" s="11" t="s">
        <v>45</v>
      </c>
    </row>
    <row r="383" ht="12.5" spans="1:5">
      <c r="A383" s="84">
        <v>45252</v>
      </c>
      <c r="B383" s="50" t="s">
        <v>6073</v>
      </c>
      <c r="C383" s="11" t="s">
        <v>67</v>
      </c>
      <c r="D383" s="18" t="s">
        <v>6074</v>
      </c>
      <c r="E383" s="11" t="s">
        <v>44</v>
      </c>
    </row>
    <row r="384" ht="12.5" spans="1:5">
      <c r="A384" s="84">
        <v>45253</v>
      </c>
      <c r="B384" s="50" t="s">
        <v>6075</v>
      </c>
      <c r="C384" s="11" t="s">
        <v>67</v>
      </c>
      <c r="D384" s="18" t="s">
        <v>6076</v>
      </c>
      <c r="E384" s="11" t="s">
        <v>44</v>
      </c>
    </row>
    <row r="385" ht="12.5" spans="1:5">
      <c r="A385" s="84">
        <v>45254</v>
      </c>
      <c r="B385" s="50" t="s">
        <v>6077</v>
      </c>
      <c r="C385" s="11" t="s">
        <v>156</v>
      </c>
      <c r="D385" s="18" t="s">
        <v>6078</v>
      </c>
      <c r="E385" s="11" t="s">
        <v>44</v>
      </c>
    </row>
    <row r="386" ht="12.5" spans="1:5">
      <c r="A386" s="84">
        <v>45256</v>
      </c>
      <c r="B386" s="50" t="s">
        <v>6079</v>
      </c>
      <c r="C386" s="11" t="s">
        <v>156</v>
      </c>
      <c r="D386" s="18" t="s">
        <v>6080</v>
      </c>
      <c r="E386" s="11" t="s">
        <v>44</v>
      </c>
    </row>
    <row r="387" ht="12.5" spans="1:5">
      <c r="A387" s="84">
        <v>45256</v>
      </c>
      <c r="B387" s="50" t="s">
        <v>6081</v>
      </c>
      <c r="C387" s="11" t="s">
        <v>156</v>
      </c>
      <c r="D387" s="18" t="s">
        <v>6082</v>
      </c>
      <c r="E387" s="11" t="s">
        <v>44</v>
      </c>
    </row>
    <row r="388" ht="12.5" spans="1:5">
      <c r="A388" s="84">
        <v>45258</v>
      </c>
      <c r="B388" s="50" t="s">
        <v>5692</v>
      </c>
      <c r="C388" s="11" t="s">
        <v>67</v>
      </c>
      <c r="D388" s="18" t="s">
        <v>6083</v>
      </c>
      <c r="E388" s="11" t="s">
        <v>45</v>
      </c>
    </row>
    <row r="389" ht="12.5" spans="1:5">
      <c r="A389" s="84">
        <v>45259</v>
      </c>
      <c r="B389" s="50" t="s">
        <v>6084</v>
      </c>
      <c r="C389" s="11" t="s">
        <v>67</v>
      </c>
      <c r="D389" s="18" t="s">
        <v>6085</v>
      </c>
      <c r="E389" s="11" t="s">
        <v>44</v>
      </c>
    </row>
    <row r="390" ht="12.5" spans="1:5">
      <c r="A390" s="84">
        <v>45258</v>
      </c>
      <c r="B390" s="11" t="s">
        <v>1004</v>
      </c>
      <c r="C390" s="11" t="s">
        <v>67</v>
      </c>
      <c r="D390" s="18" t="s">
        <v>2763</v>
      </c>
      <c r="E390" s="11" t="s">
        <v>45</v>
      </c>
    </row>
    <row r="391" ht="12.5" spans="1:5">
      <c r="A391" s="54">
        <v>45262</v>
      </c>
      <c r="B391" s="50" t="s">
        <v>6086</v>
      </c>
      <c r="C391" s="11" t="s">
        <v>156</v>
      </c>
      <c r="D391" s="18" t="s">
        <v>6087</v>
      </c>
      <c r="E391" s="11" t="s">
        <v>44</v>
      </c>
    </row>
    <row r="392" ht="12.5" spans="1:5">
      <c r="A392" s="54">
        <v>45262</v>
      </c>
      <c r="B392" s="88" t="s">
        <v>6088</v>
      </c>
      <c r="C392" s="11" t="s">
        <v>156</v>
      </c>
      <c r="D392" s="18" t="s">
        <v>6089</v>
      </c>
      <c r="E392" s="11" t="s">
        <v>44</v>
      </c>
    </row>
    <row r="393" ht="12.5" spans="1:5">
      <c r="A393" s="54">
        <v>45262</v>
      </c>
      <c r="B393" s="50" t="s">
        <v>6090</v>
      </c>
      <c r="C393" s="11" t="s">
        <v>156</v>
      </c>
      <c r="D393" s="18" t="s">
        <v>6091</v>
      </c>
      <c r="E393" s="11" t="s">
        <v>45</v>
      </c>
    </row>
    <row r="394" ht="12.5" spans="1:5">
      <c r="A394" s="54">
        <v>45263</v>
      </c>
      <c r="B394" s="50" t="s">
        <v>5652</v>
      </c>
      <c r="C394" s="11" t="s">
        <v>156</v>
      </c>
      <c r="D394" s="18" t="s">
        <v>6092</v>
      </c>
      <c r="E394" s="11" t="s">
        <v>45</v>
      </c>
    </row>
    <row r="395" ht="12.5" spans="1:5">
      <c r="A395" s="54">
        <v>45264</v>
      </c>
      <c r="B395" s="50" t="s">
        <v>6093</v>
      </c>
      <c r="C395" s="11" t="s">
        <v>67</v>
      </c>
      <c r="D395" s="18" t="s">
        <v>6094</v>
      </c>
      <c r="E395" s="11" t="s">
        <v>44</v>
      </c>
    </row>
    <row r="396" ht="12.5" spans="1:5">
      <c r="A396" s="54">
        <v>45264</v>
      </c>
      <c r="B396" s="50" t="s">
        <v>5782</v>
      </c>
      <c r="C396" s="11" t="s">
        <v>67</v>
      </c>
      <c r="D396" s="18" t="s">
        <v>6095</v>
      </c>
      <c r="E396" s="11" t="s">
        <v>44</v>
      </c>
    </row>
    <row r="397" ht="12.5" spans="1:5">
      <c r="A397" s="54">
        <v>45264</v>
      </c>
      <c r="B397" s="50" t="s">
        <v>6096</v>
      </c>
      <c r="C397" s="11" t="s">
        <v>67</v>
      </c>
      <c r="D397" s="18" t="s">
        <v>6097</v>
      </c>
      <c r="E397" s="11" t="s">
        <v>44</v>
      </c>
    </row>
    <row r="398" ht="12.5" spans="1:5">
      <c r="A398" s="54">
        <v>45264</v>
      </c>
      <c r="B398" s="50" t="s">
        <v>2739</v>
      </c>
      <c r="C398" s="11" t="s">
        <v>67</v>
      </c>
      <c r="D398" s="18" t="s">
        <v>2831</v>
      </c>
      <c r="E398" s="11" t="s">
        <v>45</v>
      </c>
    </row>
    <row r="399" ht="12.5" spans="1:5">
      <c r="A399" s="54">
        <v>45265</v>
      </c>
      <c r="B399" s="50" t="s">
        <v>6098</v>
      </c>
      <c r="C399" s="11" t="s">
        <v>67</v>
      </c>
      <c r="D399" s="18" t="s">
        <v>6099</v>
      </c>
      <c r="E399" s="11" t="s">
        <v>44</v>
      </c>
    </row>
    <row r="400" ht="12.5" spans="1:5">
      <c r="A400" s="54">
        <v>45265</v>
      </c>
      <c r="B400" s="50" t="s">
        <v>6100</v>
      </c>
      <c r="C400" s="11" t="s">
        <v>67</v>
      </c>
      <c r="D400" s="18" t="s">
        <v>6101</v>
      </c>
      <c r="E400" s="11" t="s">
        <v>44</v>
      </c>
    </row>
    <row r="401" ht="12.5" spans="1:5">
      <c r="A401" s="54">
        <v>45265</v>
      </c>
      <c r="B401" s="50" t="s">
        <v>6102</v>
      </c>
      <c r="C401" s="11" t="s">
        <v>67</v>
      </c>
      <c r="D401" s="18" t="s">
        <v>6103</v>
      </c>
      <c r="E401" s="11" t="s">
        <v>44</v>
      </c>
    </row>
    <row r="402" ht="12.5" spans="1:5">
      <c r="A402" s="54">
        <v>45265</v>
      </c>
      <c r="B402" s="50" t="s">
        <v>6104</v>
      </c>
      <c r="C402" s="11" t="s">
        <v>67</v>
      </c>
      <c r="D402" s="18" t="s">
        <v>6105</v>
      </c>
      <c r="E402" s="11" t="s">
        <v>44</v>
      </c>
    </row>
    <row r="403" ht="12.5" spans="1:5">
      <c r="A403" s="54">
        <v>45266</v>
      </c>
      <c r="B403" s="75" t="s">
        <v>6106</v>
      </c>
      <c r="C403" s="11" t="s">
        <v>67</v>
      </c>
      <c r="D403" s="18" t="s">
        <v>6107</v>
      </c>
      <c r="E403" s="11" t="s">
        <v>44</v>
      </c>
    </row>
    <row r="404" ht="12.5" spans="1:5">
      <c r="A404" s="54">
        <v>45267</v>
      </c>
      <c r="B404" s="50" t="s">
        <v>6108</v>
      </c>
      <c r="C404" s="11" t="s">
        <v>67</v>
      </c>
      <c r="D404" s="18" t="s">
        <v>6109</v>
      </c>
      <c r="E404" s="11" t="s">
        <v>6110</v>
      </c>
    </row>
    <row r="405" ht="12.5" spans="1:5">
      <c r="A405" s="54">
        <v>45267</v>
      </c>
      <c r="B405" s="50" t="s">
        <v>6104</v>
      </c>
      <c r="C405" s="11" t="s">
        <v>67</v>
      </c>
      <c r="D405" s="18" t="s">
        <v>6111</v>
      </c>
      <c r="E405" s="11" t="s">
        <v>6110</v>
      </c>
    </row>
    <row r="406" ht="12.5" spans="1:5">
      <c r="A406" s="54">
        <v>45268</v>
      </c>
      <c r="B406" s="50" t="s">
        <v>6112</v>
      </c>
      <c r="C406" s="11" t="s">
        <v>156</v>
      </c>
      <c r="D406" s="18" t="s">
        <v>6113</v>
      </c>
      <c r="E406" s="11" t="s">
        <v>6110</v>
      </c>
    </row>
    <row r="407" ht="12.5" spans="1:6">
      <c r="A407" s="54">
        <v>45269</v>
      </c>
      <c r="B407" s="50" t="s">
        <v>6114</v>
      </c>
      <c r="C407" s="11" t="s">
        <v>156</v>
      </c>
      <c r="D407" s="18" t="s">
        <v>6115</v>
      </c>
      <c r="E407" s="11" t="s">
        <v>44</v>
      </c>
      <c r="F407" s="11" t="s">
        <v>6116</v>
      </c>
    </row>
    <row r="408" ht="12.5" spans="1:5">
      <c r="A408" s="84">
        <v>45270</v>
      </c>
      <c r="B408" s="50" t="s">
        <v>6117</v>
      </c>
      <c r="C408" s="11" t="s">
        <v>156</v>
      </c>
      <c r="D408" s="18" t="s">
        <v>6118</v>
      </c>
      <c r="E408" s="11" t="s">
        <v>6110</v>
      </c>
    </row>
    <row r="409" ht="12.5" spans="1:5">
      <c r="A409" s="84">
        <v>45271</v>
      </c>
      <c r="B409" s="50" t="s">
        <v>6119</v>
      </c>
      <c r="C409" s="11" t="s">
        <v>67</v>
      </c>
      <c r="D409" s="18" t="s">
        <v>6120</v>
      </c>
      <c r="E409" s="11" t="s">
        <v>6110</v>
      </c>
    </row>
    <row r="410" ht="12.5" spans="1:5">
      <c r="A410" s="84">
        <v>45271</v>
      </c>
      <c r="B410" s="50" t="s">
        <v>6121</v>
      </c>
      <c r="C410" s="11" t="s">
        <v>67</v>
      </c>
      <c r="D410" s="18" t="s">
        <v>6122</v>
      </c>
      <c r="E410" s="11" t="s">
        <v>6110</v>
      </c>
    </row>
    <row r="411" ht="12.5" spans="1:5">
      <c r="A411" s="84">
        <v>45272</v>
      </c>
      <c r="B411" s="50" t="s">
        <v>6123</v>
      </c>
      <c r="C411" s="11" t="s">
        <v>67</v>
      </c>
      <c r="D411" s="18" t="s">
        <v>6124</v>
      </c>
      <c r="E411" s="11" t="s">
        <v>6110</v>
      </c>
    </row>
    <row r="412" ht="12.5" spans="1:5">
      <c r="A412" s="84">
        <v>45273</v>
      </c>
      <c r="B412" s="50" t="s">
        <v>6125</v>
      </c>
      <c r="C412" s="11" t="s">
        <v>67</v>
      </c>
      <c r="D412" s="18" t="s">
        <v>6126</v>
      </c>
      <c r="E412" s="11" t="s">
        <v>6110</v>
      </c>
    </row>
    <row r="413" ht="12.5" spans="1:6">
      <c r="A413" s="84">
        <v>45273</v>
      </c>
      <c r="B413" s="75" t="s">
        <v>6127</v>
      </c>
      <c r="C413" s="11" t="s">
        <v>67</v>
      </c>
      <c r="D413" s="18" t="s">
        <v>6128</v>
      </c>
      <c r="E413" s="11" t="s">
        <v>45</v>
      </c>
      <c r="F413" s="11" t="s">
        <v>6129</v>
      </c>
    </row>
    <row r="414" ht="12.5" spans="1:5">
      <c r="A414" s="84">
        <v>45273</v>
      </c>
      <c r="B414" s="50" t="s">
        <v>6130</v>
      </c>
      <c r="C414" s="11" t="s">
        <v>67</v>
      </c>
      <c r="D414" s="18" t="s">
        <v>6131</v>
      </c>
      <c r="E414" s="11" t="s">
        <v>45</v>
      </c>
    </row>
    <row r="415" ht="12.5" spans="1:5">
      <c r="A415" s="84">
        <v>45273</v>
      </c>
      <c r="B415" s="50" t="s">
        <v>5942</v>
      </c>
      <c r="C415" s="11" t="s">
        <v>67</v>
      </c>
      <c r="D415" s="18" t="s">
        <v>6132</v>
      </c>
      <c r="E415" s="11" t="s">
        <v>44</v>
      </c>
    </row>
    <row r="416" ht="12.5" spans="1:6">
      <c r="A416" s="84">
        <v>45273</v>
      </c>
      <c r="B416" s="50" t="s">
        <v>6133</v>
      </c>
      <c r="C416" s="11" t="s">
        <v>67</v>
      </c>
      <c r="D416" s="18" t="s">
        <v>6134</v>
      </c>
      <c r="E416" s="11" t="s">
        <v>44</v>
      </c>
      <c r="F416" s="11" t="s">
        <v>6135</v>
      </c>
    </row>
    <row r="417" ht="12.5" spans="1:5">
      <c r="A417" s="84">
        <v>45274</v>
      </c>
      <c r="B417" s="50" t="s">
        <v>6136</v>
      </c>
      <c r="C417" s="11" t="s">
        <v>67</v>
      </c>
      <c r="D417" s="18" t="s">
        <v>6137</v>
      </c>
      <c r="E417" s="11" t="s">
        <v>44</v>
      </c>
    </row>
    <row r="418" ht="12.5" spans="1:5">
      <c r="A418" s="84">
        <v>45275</v>
      </c>
      <c r="B418" s="89" t="s">
        <v>6138</v>
      </c>
      <c r="C418" s="11" t="s">
        <v>67</v>
      </c>
      <c r="D418" s="18" t="s">
        <v>6139</v>
      </c>
      <c r="E418" s="11" t="s">
        <v>44</v>
      </c>
    </row>
    <row r="419" ht="17.25" customHeight="1" spans="1:5">
      <c r="A419" s="84">
        <v>45275</v>
      </c>
      <c r="B419" s="50" t="s">
        <v>6140</v>
      </c>
      <c r="C419" s="11" t="s">
        <v>67</v>
      </c>
      <c r="D419" s="18" t="s">
        <v>6141</v>
      </c>
      <c r="E419" s="11" t="s">
        <v>44</v>
      </c>
    </row>
    <row r="420" ht="12.5" spans="1:5">
      <c r="A420" s="84">
        <v>45276</v>
      </c>
      <c r="B420" s="50" t="s">
        <v>6142</v>
      </c>
      <c r="C420" s="11" t="s">
        <v>156</v>
      </c>
      <c r="D420" s="18" t="s">
        <v>6143</v>
      </c>
      <c r="E420" s="11" t="s">
        <v>44</v>
      </c>
    </row>
    <row r="421" ht="12.5" spans="1:5">
      <c r="A421" s="84">
        <v>45276</v>
      </c>
      <c r="B421" s="50" t="s">
        <v>6144</v>
      </c>
      <c r="C421" s="11" t="s">
        <v>156</v>
      </c>
      <c r="D421" s="18" t="s">
        <v>6145</v>
      </c>
      <c r="E421" s="11" t="s">
        <v>44</v>
      </c>
    </row>
    <row r="422" ht="12.5" spans="1:5">
      <c r="A422" s="84">
        <v>45277</v>
      </c>
      <c r="B422" s="50" t="s">
        <v>6146</v>
      </c>
      <c r="C422" s="11" t="s">
        <v>156</v>
      </c>
      <c r="D422" s="18" t="s">
        <v>6147</v>
      </c>
      <c r="E422" s="11" t="s">
        <v>45</v>
      </c>
    </row>
    <row r="423" ht="12.5" spans="1:5">
      <c r="A423" s="84">
        <v>45278</v>
      </c>
      <c r="B423" s="51" t="s">
        <v>6148</v>
      </c>
      <c r="C423" s="11" t="s">
        <v>67</v>
      </c>
      <c r="D423" s="18" t="s">
        <v>6149</v>
      </c>
      <c r="E423" s="11" t="s">
        <v>44</v>
      </c>
    </row>
    <row r="424" ht="12.5" spans="1:5">
      <c r="A424" s="84">
        <v>45279</v>
      </c>
      <c r="B424" s="50" t="s">
        <v>6150</v>
      </c>
      <c r="C424" s="11" t="s">
        <v>67</v>
      </c>
      <c r="D424" s="18" t="s">
        <v>6151</v>
      </c>
      <c r="E424" s="11" t="s">
        <v>44</v>
      </c>
    </row>
    <row r="425" ht="12.5" spans="1:5">
      <c r="A425" s="84">
        <v>45280</v>
      </c>
      <c r="B425" s="50" t="s">
        <v>6152</v>
      </c>
      <c r="C425" s="11" t="s">
        <v>67</v>
      </c>
      <c r="D425" s="18" t="s">
        <v>6153</v>
      </c>
      <c r="E425" s="11" t="s">
        <v>44</v>
      </c>
    </row>
    <row r="426" ht="12.5" spans="1:5">
      <c r="A426" s="84">
        <v>45280</v>
      </c>
      <c r="B426" s="50" t="s">
        <v>6150</v>
      </c>
      <c r="C426" s="11" t="s">
        <v>67</v>
      </c>
      <c r="D426" s="18" t="s">
        <v>6154</v>
      </c>
      <c r="E426" s="11" t="s">
        <v>44</v>
      </c>
    </row>
    <row r="427" ht="12.5" spans="1:5">
      <c r="A427" s="84">
        <v>45281</v>
      </c>
      <c r="B427" s="51" t="s">
        <v>6155</v>
      </c>
      <c r="C427" s="11" t="s">
        <v>67</v>
      </c>
      <c r="D427" s="18" t="s">
        <v>6156</v>
      </c>
      <c r="E427" s="11" t="s">
        <v>44</v>
      </c>
    </row>
    <row r="428" ht="12.5" spans="1:5">
      <c r="A428" s="84">
        <v>45282</v>
      </c>
      <c r="B428" s="50" t="s">
        <v>6157</v>
      </c>
      <c r="C428" s="11" t="s">
        <v>67</v>
      </c>
      <c r="D428" s="18" t="s">
        <v>6158</v>
      </c>
      <c r="E428" s="11" t="s">
        <v>44</v>
      </c>
    </row>
    <row r="429" ht="12.5" spans="1:5">
      <c r="A429" s="84">
        <v>45282</v>
      </c>
      <c r="B429" s="50" t="s">
        <v>6159</v>
      </c>
      <c r="C429" s="11" t="s">
        <v>67</v>
      </c>
      <c r="D429" s="18" t="s">
        <v>6160</v>
      </c>
      <c r="E429" s="11" t="s">
        <v>44</v>
      </c>
    </row>
    <row r="430" ht="12.5" spans="1:6">
      <c r="A430" s="84">
        <v>45282</v>
      </c>
      <c r="B430" s="90">
        <v>719165</v>
      </c>
      <c r="C430" s="11" t="s">
        <v>67</v>
      </c>
      <c r="D430" s="18" t="s">
        <v>6161</v>
      </c>
      <c r="E430" s="11" t="s">
        <v>44</v>
      </c>
      <c r="F430" s="11" t="s">
        <v>6162</v>
      </c>
    </row>
    <row r="431" ht="12.5" spans="1:5">
      <c r="A431" s="84">
        <v>45283</v>
      </c>
      <c r="B431" s="50" t="s">
        <v>6163</v>
      </c>
      <c r="C431" s="11" t="s">
        <v>156</v>
      </c>
      <c r="D431" s="18" t="s">
        <v>6164</v>
      </c>
      <c r="E431" s="11" t="s">
        <v>44</v>
      </c>
    </row>
    <row r="432" ht="12.5" spans="1:5">
      <c r="A432" s="84">
        <v>45283</v>
      </c>
      <c r="B432" s="50" t="s">
        <v>5548</v>
      </c>
      <c r="C432" s="11" t="s">
        <v>156</v>
      </c>
      <c r="D432" s="18" t="s">
        <v>6165</v>
      </c>
      <c r="E432" s="11" t="s">
        <v>44</v>
      </c>
    </row>
    <row r="433" ht="21.75" customHeight="1" spans="1:5">
      <c r="A433" s="91">
        <v>45284</v>
      </c>
      <c r="B433" s="92" t="s">
        <v>6166</v>
      </c>
      <c r="C433" s="93" t="s">
        <v>156</v>
      </c>
      <c r="D433" s="94" t="s">
        <v>6167</v>
      </c>
      <c r="E433" s="93" t="s">
        <v>44</v>
      </c>
    </row>
    <row r="434" ht="12.5" spans="1:5">
      <c r="A434" s="84">
        <v>45286</v>
      </c>
      <c r="B434" s="50" t="s">
        <v>6168</v>
      </c>
      <c r="C434" s="11" t="s">
        <v>67</v>
      </c>
      <c r="D434" s="18" t="s">
        <v>6169</v>
      </c>
      <c r="E434" s="93" t="s">
        <v>44</v>
      </c>
    </row>
    <row r="435" ht="12.5" spans="1:5">
      <c r="A435" s="84">
        <v>45286</v>
      </c>
      <c r="B435" s="50" t="s">
        <v>6170</v>
      </c>
      <c r="C435" s="11" t="s">
        <v>67</v>
      </c>
      <c r="D435" s="18" t="s">
        <v>6171</v>
      </c>
      <c r="E435" s="93" t="s">
        <v>44</v>
      </c>
    </row>
    <row r="436" ht="12.5" spans="1:5">
      <c r="A436" s="84">
        <v>45286</v>
      </c>
      <c r="B436" s="50" t="s">
        <v>6172</v>
      </c>
      <c r="C436" s="11" t="s">
        <v>67</v>
      </c>
      <c r="D436" s="18" t="s">
        <v>6173</v>
      </c>
      <c r="E436" s="93" t="s">
        <v>44</v>
      </c>
    </row>
    <row r="437" ht="12.5" spans="1:5">
      <c r="A437" s="84">
        <v>45286</v>
      </c>
      <c r="B437" s="50" t="s">
        <v>6174</v>
      </c>
      <c r="C437" s="11" t="s">
        <v>67</v>
      </c>
      <c r="D437" s="18" t="s">
        <v>6175</v>
      </c>
      <c r="E437" s="11" t="s">
        <v>45</v>
      </c>
    </row>
    <row r="438" ht="12.5" spans="1:5">
      <c r="A438" s="84">
        <v>45288</v>
      </c>
      <c r="B438" s="50" t="s">
        <v>6176</v>
      </c>
      <c r="C438" s="11" t="s">
        <v>67</v>
      </c>
      <c r="D438" s="18" t="s">
        <v>6177</v>
      </c>
      <c r="E438" s="11" t="s">
        <v>44</v>
      </c>
    </row>
    <row r="439" ht="12.5" spans="1:5">
      <c r="A439" s="84">
        <v>45289</v>
      </c>
      <c r="B439" s="50" t="s">
        <v>6178</v>
      </c>
      <c r="C439" s="11" t="s">
        <v>67</v>
      </c>
      <c r="D439" s="18" t="s">
        <v>6179</v>
      </c>
      <c r="E439" s="11" t="s">
        <v>44</v>
      </c>
    </row>
    <row r="440" ht="12.5" spans="1:5">
      <c r="A440" s="84">
        <v>45289</v>
      </c>
      <c r="B440" s="50" t="s">
        <v>6170</v>
      </c>
      <c r="C440" s="11" t="s">
        <v>67</v>
      </c>
      <c r="D440" s="18" t="s">
        <v>6180</v>
      </c>
      <c r="E440" s="11" t="s">
        <v>44</v>
      </c>
    </row>
    <row r="441" ht="12.5" spans="1:5">
      <c r="A441" s="84">
        <v>45289</v>
      </c>
      <c r="B441" s="50" t="s">
        <v>6181</v>
      </c>
      <c r="C441" s="11" t="s">
        <v>67</v>
      </c>
      <c r="D441" s="18" t="s">
        <v>6182</v>
      </c>
      <c r="E441" s="11" t="s">
        <v>44</v>
      </c>
    </row>
    <row r="442" ht="12.5" spans="1:5">
      <c r="A442" s="84">
        <v>45291</v>
      </c>
      <c r="B442" s="50" t="s">
        <v>6075</v>
      </c>
      <c r="C442" s="93" t="s">
        <v>156</v>
      </c>
      <c r="D442" s="18" t="s">
        <v>6183</v>
      </c>
      <c r="E442" s="11" t="s">
        <v>44</v>
      </c>
    </row>
    <row r="443" ht="12.5" spans="1:5">
      <c r="A443" s="84">
        <v>45291</v>
      </c>
      <c r="B443" s="50" t="s">
        <v>6184</v>
      </c>
      <c r="C443" s="93" t="s">
        <v>156</v>
      </c>
      <c r="D443" s="18" t="s">
        <v>6185</v>
      </c>
      <c r="E443" s="11" t="s">
        <v>44</v>
      </c>
    </row>
    <row r="444" ht="12.5" spans="1:5">
      <c r="A444" s="84">
        <v>45291</v>
      </c>
      <c r="B444" s="50" t="s">
        <v>6186</v>
      </c>
      <c r="C444" s="93" t="s">
        <v>156</v>
      </c>
      <c r="D444" s="18" t="s">
        <v>6187</v>
      </c>
      <c r="E444" s="11" t="s">
        <v>44</v>
      </c>
    </row>
    <row r="445" ht="12.5" spans="1:5">
      <c r="A445" s="84">
        <v>45291</v>
      </c>
      <c r="B445" s="50" t="s">
        <v>6188</v>
      </c>
      <c r="C445" s="93" t="s">
        <v>156</v>
      </c>
      <c r="D445" s="18" t="s">
        <v>6189</v>
      </c>
      <c r="E445" s="11" t="s">
        <v>44</v>
      </c>
    </row>
    <row r="446" ht="12.5" spans="1:5">
      <c r="A446" s="84">
        <v>45291</v>
      </c>
      <c r="B446" s="50" t="s">
        <v>6190</v>
      </c>
      <c r="C446" s="93" t="s">
        <v>156</v>
      </c>
      <c r="D446" s="18" t="s">
        <v>6191</v>
      </c>
      <c r="E446" s="11" t="s">
        <v>44</v>
      </c>
    </row>
    <row r="447" ht="12.5" spans="1:5">
      <c r="A447" s="54">
        <v>45292</v>
      </c>
      <c r="B447" s="50" t="s">
        <v>5582</v>
      </c>
      <c r="C447" s="93" t="s">
        <v>156</v>
      </c>
      <c r="D447" s="18" t="s">
        <v>6192</v>
      </c>
      <c r="E447" s="11" t="s">
        <v>44</v>
      </c>
    </row>
    <row r="448" ht="12.5" spans="1:5">
      <c r="A448" s="54">
        <v>45293</v>
      </c>
      <c r="B448" s="50" t="s">
        <v>6193</v>
      </c>
      <c r="C448" s="11" t="s">
        <v>67</v>
      </c>
      <c r="D448" s="18" t="s">
        <v>6194</v>
      </c>
      <c r="E448" s="11" t="s">
        <v>44</v>
      </c>
    </row>
    <row r="449" ht="12.5" spans="1:6">
      <c r="A449" s="54">
        <v>45293</v>
      </c>
      <c r="B449" s="50" t="s">
        <v>6195</v>
      </c>
      <c r="C449" s="11" t="s">
        <v>67</v>
      </c>
      <c r="D449" s="18" t="s">
        <v>6196</v>
      </c>
      <c r="E449" s="11" t="s">
        <v>45</v>
      </c>
      <c r="F449" s="11" t="s">
        <v>6197</v>
      </c>
    </row>
    <row r="450" ht="12.5" spans="1:5">
      <c r="A450" s="54">
        <v>45294</v>
      </c>
      <c r="B450" s="89" t="s">
        <v>6198</v>
      </c>
      <c r="C450" s="11" t="s">
        <v>67</v>
      </c>
      <c r="D450" s="18" t="s">
        <v>6199</v>
      </c>
      <c r="E450" s="11" t="s">
        <v>44</v>
      </c>
    </row>
    <row r="451" ht="12.5" spans="1:5">
      <c r="A451" s="54">
        <v>45294</v>
      </c>
      <c r="B451" s="50" t="s">
        <v>6176</v>
      </c>
      <c r="C451" s="11" t="s">
        <v>67</v>
      </c>
      <c r="D451" s="18" t="s">
        <v>6200</v>
      </c>
      <c r="E451" s="11" t="s">
        <v>44</v>
      </c>
    </row>
    <row r="452" ht="12.5" spans="1:5">
      <c r="A452" s="54">
        <v>45294</v>
      </c>
      <c r="B452" s="50" t="s">
        <v>6201</v>
      </c>
      <c r="C452" s="11" t="s">
        <v>67</v>
      </c>
      <c r="D452" s="18" t="s">
        <v>6202</v>
      </c>
      <c r="E452" s="11" t="s">
        <v>44</v>
      </c>
    </row>
    <row r="453" ht="12.5" spans="1:5">
      <c r="A453" s="54">
        <v>45295</v>
      </c>
      <c r="B453" s="50" t="s">
        <v>6203</v>
      </c>
      <c r="C453" s="11" t="s">
        <v>67</v>
      </c>
      <c r="D453" s="18" t="s">
        <v>6204</v>
      </c>
      <c r="E453" s="11" t="s">
        <v>44</v>
      </c>
    </row>
    <row r="454" ht="12.5" spans="1:5">
      <c r="A454" s="54">
        <v>45295</v>
      </c>
      <c r="B454" s="89" t="s">
        <v>6205</v>
      </c>
      <c r="C454" s="11" t="s">
        <v>67</v>
      </c>
      <c r="D454" s="18" t="s">
        <v>6206</v>
      </c>
      <c r="E454" s="11" t="s">
        <v>44</v>
      </c>
    </row>
    <row r="455" ht="12.5" spans="1:5">
      <c r="A455" s="54">
        <v>45295</v>
      </c>
      <c r="B455" s="50" t="s">
        <v>6207</v>
      </c>
      <c r="C455" s="11" t="s">
        <v>67</v>
      </c>
      <c r="D455" s="18" t="s">
        <v>6208</v>
      </c>
      <c r="E455" s="11" t="s">
        <v>44</v>
      </c>
    </row>
    <row r="456" ht="12.5" spans="1:5">
      <c r="A456" s="54">
        <v>45295</v>
      </c>
      <c r="B456" s="50" t="s">
        <v>6209</v>
      </c>
      <c r="C456" s="11" t="s">
        <v>67</v>
      </c>
      <c r="D456" s="18" t="s">
        <v>6210</v>
      </c>
      <c r="E456" s="11" t="s">
        <v>44</v>
      </c>
    </row>
    <row r="457" ht="12.5" spans="1:5">
      <c r="A457" s="54">
        <v>45296</v>
      </c>
      <c r="B457" s="50" t="s">
        <v>5458</v>
      </c>
      <c r="C457" s="11" t="s">
        <v>67</v>
      </c>
      <c r="D457" s="18" t="s">
        <v>6211</v>
      </c>
      <c r="E457" s="11" t="s">
        <v>44</v>
      </c>
    </row>
    <row r="458" ht="12.5" spans="1:5">
      <c r="A458" s="54">
        <v>45296</v>
      </c>
      <c r="B458" s="50" t="s">
        <v>6212</v>
      </c>
      <c r="C458" s="11" t="s">
        <v>67</v>
      </c>
      <c r="D458" s="18" t="s">
        <v>6213</v>
      </c>
      <c r="E458" s="11" t="s">
        <v>44</v>
      </c>
    </row>
    <row r="459" ht="12.5" spans="1:5">
      <c r="A459" s="54">
        <v>45297</v>
      </c>
      <c r="B459" s="50" t="s">
        <v>6214</v>
      </c>
      <c r="C459" s="93" t="s">
        <v>156</v>
      </c>
      <c r="D459" s="18" t="s">
        <v>6215</v>
      </c>
      <c r="E459" s="11" t="s">
        <v>44</v>
      </c>
    </row>
    <row r="460" ht="12.5" spans="1:5">
      <c r="A460" s="54">
        <v>45297</v>
      </c>
      <c r="B460" s="50" t="s">
        <v>5652</v>
      </c>
      <c r="C460" s="93" t="s">
        <v>156</v>
      </c>
      <c r="D460" s="18" t="s">
        <v>6216</v>
      </c>
      <c r="E460" s="11" t="s">
        <v>44</v>
      </c>
    </row>
    <row r="461" ht="12.5" spans="1:5">
      <c r="A461" s="54">
        <v>45298</v>
      </c>
      <c r="B461" s="50" t="s">
        <v>5582</v>
      </c>
      <c r="C461" s="93" t="s">
        <v>156</v>
      </c>
      <c r="D461" s="18" t="s">
        <v>6217</v>
      </c>
      <c r="E461" s="11" t="s">
        <v>44</v>
      </c>
    </row>
    <row r="462" ht="12.5" spans="1:6">
      <c r="A462" s="54">
        <v>45298</v>
      </c>
      <c r="B462" s="50" t="s">
        <v>6218</v>
      </c>
      <c r="C462" s="93" t="s">
        <v>156</v>
      </c>
      <c r="D462" s="18" t="s">
        <v>6219</v>
      </c>
      <c r="E462" s="11" t="s">
        <v>44</v>
      </c>
      <c r="F462" s="11" t="s">
        <v>6220</v>
      </c>
    </row>
    <row r="463" ht="12.5" spans="1:5">
      <c r="A463" s="54">
        <v>45298</v>
      </c>
      <c r="B463" s="50" t="s">
        <v>6221</v>
      </c>
      <c r="C463" s="93" t="s">
        <v>156</v>
      </c>
      <c r="D463" s="18" t="s">
        <v>6222</v>
      </c>
      <c r="E463" s="11" t="s">
        <v>44</v>
      </c>
    </row>
    <row r="464" ht="12.5" spans="1:5">
      <c r="A464" s="54">
        <v>45299</v>
      </c>
      <c r="B464" s="50" t="s">
        <v>5582</v>
      </c>
      <c r="C464" s="11" t="s">
        <v>67</v>
      </c>
      <c r="D464" s="18" t="s">
        <v>6223</v>
      </c>
      <c r="E464" s="11" t="s">
        <v>44</v>
      </c>
    </row>
    <row r="465" ht="12.5" spans="1:5">
      <c r="A465" s="54">
        <v>45299</v>
      </c>
      <c r="B465" s="50" t="s">
        <v>6224</v>
      </c>
      <c r="C465" s="11" t="s">
        <v>67</v>
      </c>
      <c r="D465" s="18" t="s">
        <v>6225</v>
      </c>
      <c r="E465" s="11" t="s">
        <v>44</v>
      </c>
    </row>
    <row r="466" ht="18.75" customHeight="1" spans="1:5">
      <c r="A466" s="54">
        <v>45300</v>
      </c>
      <c r="B466" s="50" t="s">
        <v>6226</v>
      </c>
      <c r="C466" s="11" t="s">
        <v>67</v>
      </c>
      <c r="D466" s="18" t="s">
        <v>6227</v>
      </c>
      <c r="E466" s="11" t="s">
        <v>44</v>
      </c>
    </row>
    <row r="467" ht="12.5" spans="1:6">
      <c r="A467" s="54">
        <v>45301</v>
      </c>
      <c r="B467" s="50" t="s">
        <v>6228</v>
      </c>
      <c r="C467" s="11" t="s">
        <v>67</v>
      </c>
      <c r="D467" s="18" t="s">
        <v>6229</v>
      </c>
      <c r="E467" s="11" t="s">
        <v>45</v>
      </c>
      <c r="F467" s="11" t="s">
        <v>6230</v>
      </c>
    </row>
    <row r="468" ht="12.5" spans="1:5">
      <c r="A468" s="54">
        <v>45301</v>
      </c>
      <c r="B468" s="50" t="s">
        <v>6231</v>
      </c>
      <c r="C468" s="11" t="s">
        <v>67</v>
      </c>
      <c r="D468" s="18" t="s">
        <v>6232</v>
      </c>
      <c r="E468" s="11" t="s">
        <v>44</v>
      </c>
    </row>
    <row r="469" ht="21" customHeight="1" spans="1:6">
      <c r="A469" s="54">
        <v>45301</v>
      </c>
      <c r="B469" s="50" t="s">
        <v>6233</v>
      </c>
      <c r="C469" s="11" t="s">
        <v>67</v>
      </c>
      <c r="D469" s="18" t="s">
        <v>6234</v>
      </c>
      <c r="E469" s="11" t="s">
        <v>44</v>
      </c>
      <c r="F469" s="11" t="s">
        <v>6235</v>
      </c>
    </row>
    <row r="470" ht="12.5" spans="1:5">
      <c r="A470" s="54">
        <v>45302</v>
      </c>
      <c r="B470" s="50" t="s">
        <v>6236</v>
      </c>
      <c r="C470" s="11" t="s">
        <v>67</v>
      </c>
      <c r="D470" s="18" t="s">
        <v>6237</v>
      </c>
      <c r="E470" s="11" t="s">
        <v>44</v>
      </c>
    </row>
    <row r="471" ht="12.5" spans="1:5">
      <c r="A471" s="54">
        <v>45302</v>
      </c>
      <c r="B471" s="50" t="s">
        <v>6238</v>
      </c>
      <c r="C471" s="11" t="s">
        <v>67</v>
      </c>
      <c r="D471" s="18" t="s">
        <v>6239</v>
      </c>
      <c r="E471" s="11" t="s">
        <v>44</v>
      </c>
    </row>
    <row r="472" ht="12.5" spans="1:5">
      <c r="A472" s="54">
        <v>45303</v>
      </c>
      <c r="B472" s="50" t="s">
        <v>6240</v>
      </c>
      <c r="C472" s="11" t="s">
        <v>67</v>
      </c>
      <c r="D472" s="18" t="s">
        <v>6241</v>
      </c>
      <c r="E472" s="11" t="s">
        <v>44</v>
      </c>
    </row>
    <row r="473" ht="12.5" spans="1:5">
      <c r="A473" s="54">
        <v>45303</v>
      </c>
      <c r="B473" s="50" t="s">
        <v>6242</v>
      </c>
      <c r="C473" s="11" t="s">
        <v>67</v>
      </c>
      <c r="D473" s="18" t="s">
        <v>6243</v>
      </c>
      <c r="E473" s="11" t="s">
        <v>44</v>
      </c>
    </row>
    <row r="474" ht="12.5" spans="1:5">
      <c r="A474" s="54">
        <v>45304</v>
      </c>
      <c r="B474" s="50" t="s">
        <v>5582</v>
      </c>
      <c r="C474" s="93" t="s">
        <v>156</v>
      </c>
      <c r="D474" s="18" t="s">
        <v>6244</v>
      </c>
      <c r="E474" s="11" t="s">
        <v>44</v>
      </c>
    </row>
    <row r="475" ht="12.5" spans="1:5">
      <c r="A475" s="54">
        <v>45305</v>
      </c>
      <c r="B475" s="50" t="s">
        <v>6245</v>
      </c>
      <c r="C475" s="93" t="s">
        <v>156</v>
      </c>
      <c r="D475" s="18" t="s">
        <v>6246</v>
      </c>
      <c r="E475" s="11" t="s">
        <v>45</v>
      </c>
    </row>
    <row r="476" ht="12.5" spans="1:5">
      <c r="A476" s="54">
        <v>45305</v>
      </c>
      <c r="B476" s="50" t="s">
        <v>6247</v>
      </c>
      <c r="C476" s="93" t="s">
        <v>156</v>
      </c>
      <c r="D476" s="18" t="s">
        <v>6248</v>
      </c>
      <c r="E476" s="11" t="s">
        <v>44</v>
      </c>
    </row>
    <row r="477" ht="12.5" spans="1:5">
      <c r="A477" s="54">
        <v>45307</v>
      </c>
      <c r="B477" s="50" t="s">
        <v>5915</v>
      </c>
      <c r="C477" s="11" t="s">
        <v>67</v>
      </c>
      <c r="D477" s="18" t="s">
        <v>6249</v>
      </c>
      <c r="E477" s="11" t="s">
        <v>44</v>
      </c>
    </row>
    <row r="478" ht="12.5" spans="1:5">
      <c r="A478" s="54">
        <v>45308</v>
      </c>
      <c r="B478" s="50" t="s">
        <v>6250</v>
      </c>
      <c r="C478" s="11" t="s">
        <v>67</v>
      </c>
      <c r="D478" s="18" t="s">
        <v>6251</v>
      </c>
      <c r="E478" s="11" t="s">
        <v>44</v>
      </c>
    </row>
    <row r="479" ht="12.5" spans="1:5">
      <c r="A479" s="54">
        <v>45309</v>
      </c>
      <c r="B479" s="50" t="s">
        <v>6252</v>
      </c>
      <c r="C479" s="11" t="s">
        <v>67</v>
      </c>
      <c r="D479" s="18" t="s">
        <v>6253</v>
      </c>
      <c r="E479" s="11" t="s">
        <v>44</v>
      </c>
    </row>
    <row r="480" ht="12.5" spans="1:5">
      <c r="A480" s="54">
        <v>45309</v>
      </c>
      <c r="B480" s="50" t="s">
        <v>6254</v>
      </c>
      <c r="C480" s="11" t="s">
        <v>67</v>
      </c>
      <c r="D480" s="18" t="s">
        <v>6255</v>
      </c>
      <c r="E480" s="11" t="s">
        <v>44</v>
      </c>
    </row>
    <row r="481" ht="12.5" spans="1:6">
      <c r="A481" s="54">
        <v>45310</v>
      </c>
      <c r="B481" s="50" t="s">
        <v>6256</v>
      </c>
      <c r="C481" s="11" t="s">
        <v>67</v>
      </c>
      <c r="D481" s="18" t="s">
        <v>6257</v>
      </c>
      <c r="E481" s="11" t="s">
        <v>45</v>
      </c>
      <c r="F481" s="11" t="s">
        <v>6258</v>
      </c>
    </row>
    <row r="482" ht="12.5" spans="1:5">
      <c r="A482" s="54">
        <v>45310</v>
      </c>
      <c r="B482" s="50" t="s">
        <v>6073</v>
      </c>
      <c r="C482" s="11" t="s">
        <v>67</v>
      </c>
      <c r="D482" s="18" t="s">
        <v>6259</v>
      </c>
      <c r="E482" s="11" t="s">
        <v>44</v>
      </c>
    </row>
    <row r="483" ht="12.5" spans="1:5">
      <c r="A483" s="54">
        <v>45310</v>
      </c>
      <c r="B483" s="50" t="s">
        <v>5582</v>
      </c>
      <c r="C483" s="11" t="s">
        <v>67</v>
      </c>
      <c r="D483" s="18" t="s">
        <v>6260</v>
      </c>
      <c r="E483" s="11" t="s">
        <v>44</v>
      </c>
    </row>
    <row r="484" ht="12.5" spans="1:6">
      <c r="A484" s="54">
        <v>45310</v>
      </c>
      <c r="B484" s="50" t="s">
        <v>6261</v>
      </c>
      <c r="C484" s="11" t="s">
        <v>67</v>
      </c>
      <c r="D484" s="18" t="s">
        <v>6262</v>
      </c>
      <c r="E484" s="11" t="s">
        <v>45</v>
      </c>
      <c r="F484" s="11" t="s">
        <v>6263</v>
      </c>
    </row>
    <row r="485" ht="12.5" spans="1:5">
      <c r="A485" s="54">
        <v>45310</v>
      </c>
      <c r="B485" s="50" t="s">
        <v>6264</v>
      </c>
      <c r="C485" s="11" t="s">
        <v>67</v>
      </c>
      <c r="D485" s="18" t="s">
        <v>6265</v>
      </c>
      <c r="E485" s="11" t="s">
        <v>44</v>
      </c>
    </row>
    <row r="486" ht="12.5" spans="1:5">
      <c r="A486" s="54">
        <v>45311</v>
      </c>
      <c r="B486" s="50" t="s">
        <v>5582</v>
      </c>
      <c r="C486" s="11" t="s">
        <v>156</v>
      </c>
      <c r="D486" s="18" t="s">
        <v>6266</v>
      </c>
      <c r="E486" s="11" t="s">
        <v>44</v>
      </c>
    </row>
    <row r="487" ht="12.5" spans="1:5">
      <c r="A487" s="54" t="s">
        <v>6267</v>
      </c>
      <c r="B487" s="50" t="s">
        <v>5582</v>
      </c>
      <c r="C487" s="11" t="s">
        <v>67</v>
      </c>
      <c r="D487" s="18" t="s">
        <v>6268</v>
      </c>
      <c r="E487" s="11" t="s">
        <v>44</v>
      </c>
    </row>
    <row r="488" ht="12.5" spans="1:5">
      <c r="A488" s="54">
        <v>45313</v>
      </c>
      <c r="B488" s="50" t="s">
        <v>5801</v>
      </c>
      <c r="C488" s="11" t="s">
        <v>67</v>
      </c>
      <c r="D488" s="18" t="s">
        <v>6269</v>
      </c>
      <c r="E488" s="11" t="s">
        <v>44</v>
      </c>
    </row>
    <row r="489" ht="12.5" spans="1:5">
      <c r="A489" s="95">
        <v>45305</v>
      </c>
      <c r="B489" s="50" t="s">
        <v>6270</v>
      </c>
      <c r="C489" s="11" t="s">
        <v>156</v>
      </c>
      <c r="D489" s="18" t="s">
        <v>6271</v>
      </c>
      <c r="E489" s="11" t="s">
        <v>45</v>
      </c>
    </row>
    <row r="490" ht="12.5" spans="1:5">
      <c r="A490" s="54">
        <v>45314</v>
      </c>
      <c r="B490" s="50" t="s">
        <v>6272</v>
      </c>
      <c r="C490" s="11" t="s">
        <v>67</v>
      </c>
      <c r="D490" s="18" t="s">
        <v>6273</v>
      </c>
      <c r="E490" s="11" t="s">
        <v>44</v>
      </c>
    </row>
    <row r="491" ht="12.5" spans="1:5">
      <c r="A491" s="54">
        <v>45314</v>
      </c>
      <c r="B491" s="50" t="s">
        <v>5582</v>
      </c>
      <c r="C491" s="11" t="s">
        <v>67</v>
      </c>
      <c r="D491" s="18" t="s">
        <v>6274</v>
      </c>
      <c r="E491" s="11" t="s">
        <v>44</v>
      </c>
    </row>
    <row r="492" ht="12.5" spans="1:5">
      <c r="A492" s="96">
        <v>45278</v>
      </c>
      <c r="B492" s="50" t="s">
        <v>6275</v>
      </c>
      <c r="C492" s="11" t="s">
        <v>67</v>
      </c>
      <c r="D492" s="18" t="s">
        <v>6276</v>
      </c>
      <c r="E492" s="11" t="s">
        <v>45</v>
      </c>
    </row>
    <row r="493" ht="12.5" spans="1:5">
      <c r="A493" s="96">
        <v>45279</v>
      </c>
      <c r="B493" s="50" t="s">
        <v>6277</v>
      </c>
      <c r="C493" s="11" t="s">
        <v>156</v>
      </c>
      <c r="D493" s="18" t="s">
        <v>6278</v>
      </c>
      <c r="E493" s="11" t="s">
        <v>45</v>
      </c>
    </row>
    <row r="494" ht="12.5" spans="1:5">
      <c r="A494" s="54">
        <v>45315</v>
      </c>
      <c r="B494" s="50" t="s">
        <v>6279</v>
      </c>
      <c r="C494" s="11" t="s">
        <v>67</v>
      </c>
      <c r="D494" s="18" t="s">
        <v>6280</v>
      </c>
      <c r="E494" s="11" t="s">
        <v>44</v>
      </c>
    </row>
    <row r="495" ht="12.5" spans="1:5">
      <c r="A495" s="54">
        <v>45316</v>
      </c>
      <c r="B495" s="97" t="s">
        <v>6281</v>
      </c>
      <c r="C495" s="11" t="s">
        <v>67</v>
      </c>
      <c r="D495" s="18" t="s">
        <v>6282</v>
      </c>
      <c r="E495" s="11" t="s">
        <v>45</v>
      </c>
    </row>
    <row r="496" ht="12.5" spans="1:5">
      <c r="A496" s="54">
        <v>45316</v>
      </c>
      <c r="B496" s="50" t="s">
        <v>6283</v>
      </c>
      <c r="C496" s="11" t="s">
        <v>67</v>
      </c>
      <c r="D496" s="18" t="s">
        <v>6284</v>
      </c>
      <c r="E496" s="11" t="s">
        <v>44</v>
      </c>
    </row>
    <row r="497" ht="12.5" spans="1:5">
      <c r="A497" s="54">
        <v>45317</v>
      </c>
      <c r="B497" s="50" t="s">
        <v>6285</v>
      </c>
      <c r="C497" s="11" t="s">
        <v>67</v>
      </c>
      <c r="D497" s="18" t="s">
        <v>6286</v>
      </c>
      <c r="E497" s="11" t="s">
        <v>44</v>
      </c>
    </row>
    <row r="498" ht="12.5" spans="1:5">
      <c r="A498" s="54">
        <v>45317</v>
      </c>
      <c r="B498" s="50" t="s">
        <v>6283</v>
      </c>
      <c r="C498" s="11" t="s">
        <v>67</v>
      </c>
      <c r="D498" s="18" t="s">
        <v>6287</v>
      </c>
      <c r="E498" s="11" t="s">
        <v>44</v>
      </c>
    </row>
    <row r="499" ht="12.5" spans="1:5">
      <c r="A499" s="54">
        <v>45318</v>
      </c>
      <c r="B499" s="50" t="s">
        <v>6288</v>
      </c>
      <c r="C499" s="11" t="s">
        <v>156</v>
      </c>
      <c r="D499" s="18" t="s">
        <v>6289</v>
      </c>
      <c r="E499" s="11" t="s">
        <v>44</v>
      </c>
    </row>
    <row r="500" ht="12.5" spans="1:5">
      <c r="A500" s="54">
        <v>45318</v>
      </c>
      <c r="B500" s="50" t="s">
        <v>6290</v>
      </c>
      <c r="C500" s="11" t="s">
        <v>156</v>
      </c>
      <c r="D500" s="18" t="s">
        <v>6291</v>
      </c>
      <c r="E500" s="11" t="s">
        <v>44</v>
      </c>
    </row>
    <row r="501" ht="12.5" spans="1:5">
      <c r="A501" s="54">
        <v>45318</v>
      </c>
      <c r="B501" s="50" t="s">
        <v>6292</v>
      </c>
      <c r="C501" s="11" t="s">
        <v>156</v>
      </c>
      <c r="D501" s="18" t="s">
        <v>6293</v>
      </c>
      <c r="E501" s="11" t="s">
        <v>44</v>
      </c>
    </row>
    <row r="502" ht="12.5" spans="1:5">
      <c r="A502" s="54">
        <v>45318</v>
      </c>
      <c r="B502" s="50" t="s">
        <v>6294</v>
      </c>
      <c r="C502" s="11" t="s">
        <v>156</v>
      </c>
      <c r="D502" s="18" t="s">
        <v>6295</v>
      </c>
      <c r="E502" s="11" t="s">
        <v>44</v>
      </c>
    </row>
    <row r="503" ht="12.5" spans="1:5">
      <c r="A503" s="54">
        <v>45319</v>
      </c>
      <c r="B503" s="50" t="s">
        <v>5458</v>
      </c>
      <c r="C503" s="11" t="s">
        <v>156</v>
      </c>
      <c r="D503" s="18" t="s">
        <v>6296</v>
      </c>
      <c r="E503" s="11" t="s">
        <v>44</v>
      </c>
    </row>
    <row r="504" ht="12.5" spans="1:5">
      <c r="A504" s="54">
        <v>45319</v>
      </c>
      <c r="B504" s="50" t="s">
        <v>5582</v>
      </c>
      <c r="C504" s="11" t="s">
        <v>156</v>
      </c>
      <c r="D504" s="18" t="s">
        <v>6297</v>
      </c>
      <c r="E504" s="11" t="s">
        <v>44</v>
      </c>
    </row>
    <row r="505" ht="12.5" spans="1:5">
      <c r="A505" s="54">
        <v>45319</v>
      </c>
      <c r="B505" s="50" t="s">
        <v>5582</v>
      </c>
      <c r="C505" s="11" t="s">
        <v>156</v>
      </c>
      <c r="D505" s="18" t="s">
        <v>6298</v>
      </c>
      <c r="E505" s="11" t="s">
        <v>44</v>
      </c>
    </row>
    <row r="506" ht="12.5" spans="1:5">
      <c r="A506" s="54">
        <v>45319</v>
      </c>
      <c r="B506" s="50" t="s">
        <v>6299</v>
      </c>
      <c r="C506" s="11" t="s">
        <v>156</v>
      </c>
      <c r="D506" s="18" t="s">
        <v>6300</v>
      </c>
      <c r="E506" s="11" t="s">
        <v>44</v>
      </c>
    </row>
    <row r="507" ht="12.5" spans="1:5">
      <c r="A507" s="54">
        <v>45320</v>
      </c>
      <c r="B507" s="50" t="s">
        <v>6301</v>
      </c>
      <c r="C507" s="11" t="s">
        <v>67</v>
      </c>
      <c r="D507" s="18" t="s">
        <v>6302</v>
      </c>
      <c r="E507" s="11" t="s">
        <v>44</v>
      </c>
    </row>
    <row r="508" ht="12.5" spans="1:5">
      <c r="A508" s="54">
        <v>45320</v>
      </c>
      <c r="B508" s="50" t="s">
        <v>5582</v>
      </c>
      <c r="C508" s="11" t="s">
        <v>67</v>
      </c>
      <c r="D508" s="18" t="s">
        <v>6303</v>
      </c>
      <c r="E508" s="11" t="s">
        <v>44</v>
      </c>
    </row>
    <row r="509" ht="12.5" spans="1:5">
      <c r="A509" s="54">
        <v>45320</v>
      </c>
      <c r="B509" s="50" t="s">
        <v>6304</v>
      </c>
      <c r="C509" s="11" t="s">
        <v>67</v>
      </c>
      <c r="D509" s="18" t="s">
        <v>6305</v>
      </c>
      <c r="E509" s="11" t="s">
        <v>44</v>
      </c>
    </row>
    <row r="510" ht="12.5" spans="1:5">
      <c r="A510" s="54">
        <v>45321</v>
      </c>
      <c r="B510" s="50" t="s">
        <v>6306</v>
      </c>
      <c r="C510" s="11" t="s">
        <v>67</v>
      </c>
      <c r="D510" s="18" t="s">
        <v>6307</v>
      </c>
      <c r="E510" s="11" t="s">
        <v>44</v>
      </c>
    </row>
    <row r="511" ht="12.5" spans="1:5">
      <c r="A511" s="54">
        <v>45322</v>
      </c>
      <c r="B511" s="50" t="s">
        <v>5582</v>
      </c>
      <c r="C511" s="11" t="s">
        <v>67</v>
      </c>
      <c r="D511" s="18" t="s">
        <v>6308</v>
      </c>
      <c r="E511" s="11" t="s">
        <v>44</v>
      </c>
    </row>
    <row r="512" ht="12.5" spans="1:5">
      <c r="A512" s="54">
        <v>45322</v>
      </c>
      <c r="B512" s="50" t="s">
        <v>5401</v>
      </c>
      <c r="C512" s="11" t="s">
        <v>67</v>
      </c>
      <c r="D512" s="18" t="s">
        <v>6309</v>
      </c>
      <c r="E512" s="11" t="s">
        <v>45</v>
      </c>
    </row>
    <row r="513" ht="14" spans="1:5">
      <c r="A513" s="54">
        <v>45322</v>
      </c>
      <c r="B513" s="98" t="s">
        <v>6310</v>
      </c>
      <c r="C513" s="11" t="s">
        <v>67</v>
      </c>
      <c r="D513" s="18" t="s">
        <v>3564</v>
      </c>
      <c r="E513" s="11" t="s">
        <v>45</v>
      </c>
    </row>
    <row r="514" ht="12.5" spans="1:5">
      <c r="A514" s="54">
        <v>45323</v>
      </c>
      <c r="B514" s="50" t="s">
        <v>6311</v>
      </c>
      <c r="C514" s="11" t="s">
        <v>67</v>
      </c>
      <c r="D514" s="18" t="s">
        <v>6312</v>
      </c>
      <c r="E514" s="11" t="s">
        <v>44</v>
      </c>
    </row>
    <row r="515" ht="12.5" spans="1:5">
      <c r="A515" s="54">
        <v>45323</v>
      </c>
      <c r="B515" s="50" t="s">
        <v>6313</v>
      </c>
      <c r="C515" s="11" t="s">
        <v>67</v>
      </c>
      <c r="D515" s="18" t="s">
        <v>6314</v>
      </c>
      <c r="E515" s="11" t="s">
        <v>44</v>
      </c>
    </row>
    <row r="516" ht="12.5" spans="1:5">
      <c r="A516" s="54">
        <v>45323</v>
      </c>
      <c r="B516" s="50" t="s">
        <v>6315</v>
      </c>
      <c r="C516" s="11" t="s">
        <v>67</v>
      </c>
      <c r="D516" s="18" t="s">
        <v>6316</v>
      </c>
      <c r="E516" s="11" t="s">
        <v>44</v>
      </c>
    </row>
    <row r="517" ht="12.5" spans="1:5">
      <c r="A517" s="54">
        <v>45324</v>
      </c>
      <c r="B517" s="50" t="s">
        <v>6317</v>
      </c>
      <c r="C517" s="11" t="s">
        <v>67</v>
      </c>
      <c r="D517" s="18" t="s">
        <v>6318</v>
      </c>
      <c r="E517" s="11" t="s">
        <v>44</v>
      </c>
    </row>
    <row r="518" ht="12.5" spans="1:5">
      <c r="A518" s="54">
        <v>45324</v>
      </c>
      <c r="B518" s="50" t="s">
        <v>6304</v>
      </c>
      <c r="C518" s="11" t="s">
        <v>156</v>
      </c>
      <c r="D518" s="18" t="s">
        <v>3584</v>
      </c>
      <c r="E518" s="11" t="s">
        <v>45</v>
      </c>
    </row>
    <row r="519" ht="12.5" spans="1:5">
      <c r="A519" s="54">
        <v>45325</v>
      </c>
      <c r="B519" s="50" t="s">
        <v>6319</v>
      </c>
      <c r="C519" s="11" t="s">
        <v>156</v>
      </c>
      <c r="D519" s="18" t="s">
        <v>6320</v>
      </c>
      <c r="E519" s="11" t="s">
        <v>44</v>
      </c>
    </row>
    <row r="520" ht="12.5" spans="1:5">
      <c r="A520" s="54">
        <v>45327</v>
      </c>
      <c r="B520" s="50" t="s">
        <v>6321</v>
      </c>
      <c r="C520" s="11" t="s">
        <v>67</v>
      </c>
      <c r="D520" s="18" t="s">
        <v>6322</v>
      </c>
      <c r="E520" s="11" t="s">
        <v>44</v>
      </c>
    </row>
    <row r="521" ht="12.5" spans="1:5">
      <c r="A521" s="54">
        <v>45327</v>
      </c>
      <c r="B521" s="50" t="s">
        <v>6323</v>
      </c>
      <c r="C521" s="11" t="s">
        <v>67</v>
      </c>
      <c r="D521" s="18" t="s">
        <v>6324</v>
      </c>
      <c r="E521" s="11" t="s">
        <v>44</v>
      </c>
    </row>
    <row r="522" ht="12.5" spans="1:5">
      <c r="A522" s="54">
        <v>45328</v>
      </c>
      <c r="B522" s="50" t="s">
        <v>6325</v>
      </c>
      <c r="C522" s="11" t="s">
        <v>67</v>
      </c>
      <c r="D522" s="18" t="s">
        <v>6326</v>
      </c>
      <c r="E522" s="11" t="s">
        <v>44</v>
      </c>
    </row>
    <row r="523" ht="12.5" spans="1:5">
      <c r="A523" s="54">
        <v>45328</v>
      </c>
      <c r="B523" s="50" t="s">
        <v>6261</v>
      </c>
      <c r="C523" s="11" t="s">
        <v>67</v>
      </c>
      <c r="D523" s="18" t="s">
        <v>6327</v>
      </c>
      <c r="E523" s="11" t="s">
        <v>44</v>
      </c>
    </row>
    <row r="524" ht="12.5" spans="1:5">
      <c r="A524" s="54">
        <v>45330</v>
      </c>
      <c r="B524" s="50" t="s">
        <v>5548</v>
      </c>
      <c r="C524" s="11" t="s">
        <v>67</v>
      </c>
      <c r="D524" s="18" t="s">
        <v>6328</v>
      </c>
      <c r="E524" s="11" t="s">
        <v>44</v>
      </c>
    </row>
    <row r="525" ht="12.5" spans="1:5">
      <c r="A525" s="54">
        <v>45331</v>
      </c>
      <c r="B525" s="50" t="s">
        <v>6329</v>
      </c>
      <c r="C525" s="11" t="s">
        <v>156</v>
      </c>
      <c r="D525" s="18" t="s">
        <v>6330</v>
      </c>
      <c r="E525" s="11" t="s">
        <v>44</v>
      </c>
    </row>
    <row r="526" ht="12.5" spans="1:5">
      <c r="A526" s="54">
        <v>45331</v>
      </c>
      <c r="B526" s="50" t="s">
        <v>6331</v>
      </c>
      <c r="C526" s="11" t="s">
        <v>156</v>
      </c>
      <c r="D526" s="18" t="s">
        <v>6332</v>
      </c>
      <c r="E526" s="11" t="s">
        <v>44</v>
      </c>
    </row>
    <row r="527" ht="12.5" spans="1:5">
      <c r="A527" s="54">
        <v>45331</v>
      </c>
      <c r="B527" s="50" t="s">
        <v>6333</v>
      </c>
      <c r="C527" s="11" t="s">
        <v>156</v>
      </c>
      <c r="D527" s="18" t="s">
        <v>6334</v>
      </c>
      <c r="E527" s="11" t="s">
        <v>44</v>
      </c>
    </row>
    <row r="528" ht="12.5" spans="1:5">
      <c r="A528" s="54">
        <v>45332</v>
      </c>
      <c r="B528" s="50" t="s">
        <v>6335</v>
      </c>
      <c r="C528" s="11" t="s">
        <v>156</v>
      </c>
      <c r="D528" s="18" t="s">
        <v>6336</v>
      </c>
      <c r="E528" s="11" t="s">
        <v>44</v>
      </c>
    </row>
    <row r="529" ht="12.5" spans="1:5">
      <c r="A529" s="54">
        <v>45332</v>
      </c>
      <c r="B529" s="50" t="s">
        <v>6299</v>
      </c>
      <c r="C529" s="11" t="s">
        <v>156</v>
      </c>
      <c r="D529" s="18" t="s">
        <v>6337</v>
      </c>
      <c r="E529" s="11" t="s">
        <v>44</v>
      </c>
    </row>
    <row r="530" ht="12.5" spans="1:5">
      <c r="A530" s="54">
        <v>45334</v>
      </c>
      <c r="B530" s="50" t="s">
        <v>6338</v>
      </c>
      <c r="C530" s="11" t="s">
        <v>156</v>
      </c>
      <c r="D530" s="18" t="s">
        <v>6339</v>
      </c>
      <c r="E530" s="11" t="s">
        <v>44</v>
      </c>
    </row>
    <row r="531" ht="12.5" spans="1:5">
      <c r="A531" s="54">
        <v>45335</v>
      </c>
      <c r="B531" s="50" t="s">
        <v>5582</v>
      </c>
      <c r="C531" s="11" t="s">
        <v>156</v>
      </c>
      <c r="D531" s="18" t="s">
        <v>6340</v>
      </c>
      <c r="E531" s="11" t="s">
        <v>44</v>
      </c>
    </row>
    <row r="532" ht="12.5" spans="1:5">
      <c r="A532" s="54">
        <v>45335</v>
      </c>
      <c r="B532" s="50" t="s">
        <v>5582</v>
      </c>
      <c r="C532" s="11" t="s">
        <v>156</v>
      </c>
      <c r="D532" s="18" t="s">
        <v>6341</v>
      </c>
      <c r="E532" s="11" t="s">
        <v>44</v>
      </c>
    </row>
    <row r="533" ht="12.5" spans="1:5">
      <c r="A533" s="54">
        <v>45337</v>
      </c>
      <c r="B533" s="50" t="s">
        <v>5582</v>
      </c>
      <c r="C533" s="11" t="s">
        <v>67</v>
      </c>
      <c r="D533" s="18" t="s">
        <v>6342</v>
      </c>
      <c r="E533" s="11" t="s">
        <v>44</v>
      </c>
    </row>
    <row r="534" ht="12.5" spans="1:5">
      <c r="A534" s="54">
        <v>45337</v>
      </c>
      <c r="B534" s="50" t="s">
        <v>6343</v>
      </c>
      <c r="C534" s="11" t="s">
        <v>67</v>
      </c>
      <c r="D534" s="18" t="s">
        <v>6344</v>
      </c>
      <c r="E534" s="11" t="s">
        <v>44</v>
      </c>
    </row>
    <row r="535" ht="12.5" spans="1:5">
      <c r="A535" s="54" t="s">
        <v>6345</v>
      </c>
      <c r="B535" s="50" t="s">
        <v>6346</v>
      </c>
      <c r="C535" s="11" t="s">
        <v>67</v>
      </c>
      <c r="D535" s="18" t="s">
        <v>6347</v>
      </c>
      <c r="E535" s="11" t="s">
        <v>44</v>
      </c>
    </row>
    <row r="536" ht="12.5" spans="1:5">
      <c r="A536" s="54" t="s">
        <v>6345</v>
      </c>
      <c r="B536" s="50" t="s">
        <v>5582</v>
      </c>
      <c r="C536" s="11" t="s">
        <v>67</v>
      </c>
      <c r="D536" s="18" t="s">
        <v>6348</v>
      </c>
      <c r="E536" s="11" t="s">
        <v>45</v>
      </c>
    </row>
    <row r="537" ht="12.5" spans="1:5">
      <c r="A537" s="54">
        <v>45338</v>
      </c>
      <c r="B537" s="50" t="s">
        <v>5548</v>
      </c>
      <c r="C537" s="11" t="s">
        <v>67</v>
      </c>
      <c r="D537" s="18" t="s">
        <v>6349</v>
      </c>
      <c r="E537" s="11" t="s">
        <v>45</v>
      </c>
    </row>
    <row r="538" ht="12.5" spans="1:5">
      <c r="A538" s="54">
        <v>45338</v>
      </c>
      <c r="B538" s="50" t="s">
        <v>5866</v>
      </c>
      <c r="C538" s="11" t="s">
        <v>67</v>
      </c>
      <c r="D538" s="18" t="s">
        <v>6350</v>
      </c>
      <c r="E538" s="11" t="s">
        <v>44</v>
      </c>
    </row>
    <row r="539" ht="12.5" spans="1:5">
      <c r="A539" s="54">
        <v>45339</v>
      </c>
      <c r="B539" s="50" t="s">
        <v>6351</v>
      </c>
      <c r="C539" s="11" t="s">
        <v>156</v>
      </c>
      <c r="D539" s="18" t="s">
        <v>6352</v>
      </c>
      <c r="E539" s="11" t="s">
        <v>44</v>
      </c>
    </row>
    <row r="540" ht="12.5" spans="1:5">
      <c r="A540" s="54">
        <v>45340</v>
      </c>
      <c r="B540" s="50" t="s">
        <v>6353</v>
      </c>
      <c r="C540" s="11" t="s">
        <v>156</v>
      </c>
      <c r="D540" s="18" t="s">
        <v>6354</v>
      </c>
      <c r="E540" s="11" t="s">
        <v>44</v>
      </c>
    </row>
    <row r="541" ht="12.5" spans="1:5">
      <c r="A541" s="54">
        <v>45340</v>
      </c>
      <c r="B541" s="50" t="s">
        <v>6355</v>
      </c>
      <c r="C541" s="11" t="s">
        <v>156</v>
      </c>
      <c r="D541" s="18" t="s">
        <v>6356</v>
      </c>
      <c r="E541" s="11" t="s">
        <v>44</v>
      </c>
    </row>
    <row r="542" ht="12.5" spans="1:5">
      <c r="A542" s="54">
        <v>45340</v>
      </c>
      <c r="B542" s="50" t="s">
        <v>6357</v>
      </c>
      <c r="C542" s="11" t="s">
        <v>156</v>
      </c>
      <c r="D542" s="18" t="s">
        <v>6358</v>
      </c>
      <c r="E542" s="11" t="s">
        <v>44</v>
      </c>
    </row>
    <row r="543" ht="12.5" spans="1:5">
      <c r="A543" s="54">
        <v>45341</v>
      </c>
      <c r="B543" s="50" t="s">
        <v>6359</v>
      </c>
      <c r="C543" s="11" t="s">
        <v>67</v>
      </c>
      <c r="D543" s="18" t="s">
        <v>6360</v>
      </c>
      <c r="E543" s="11" t="s">
        <v>44</v>
      </c>
    </row>
    <row r="544" ht="12.5" spans="1:5">
      <c r="A544" s="54">
        <v>45342</v>
      </c>
      <c r="B544" s="50" t="s">
        <v>6361</v>
      </c>
      <c r="C544" s="11" t="s">
        <v>67</v>
      </c>
      <c r="D544" s="18" t="s">
        <v>6362</v>
      </c>
      <c r="E544" s="11" t="s">
        <v>44</v>
      </c>
    </row>
    <row r="545" ht="12.5" spans="1:5">
      <c r="A545" s="54">
        <v>45343</v>
      </c>
      <c r="B545" s="50" t="s">
        <v>6075</v>
      </c>
      <c r="C545" s="11" t="s">
        <v>67</v>
      </c>
      <c r="D545" s="18" t="s">
        <v>6363</v>
      </c>
      <c r="E545" s="11" t="s">
        <v>44</v>
      </c>
    </row>
    <row r="546" ht="12.5" spans="1:5">
      <c r="A546" s="54">
        <v>45344</v>
      </c>
      <c r="B546" s="50" t="s">
        <v>6364</v>
      </c>
      <c r="C546" s="11" t="s">
        <v>67</v>
      </c>
      <c r="D546" s="18" t="s">
        <v>6365</v>
      </c>
      <c r="E546" s="11" t="s">
        <v>44</v>
      </c>
    </row>
    <row r="547" ht="18.75" customHeight="1" spans="1:5">
      <c r="A547" s="54">
        <v>45346</v>
      </c>
      <c r="B547" s="50" t="s">
        <v>6366</v>
      </c>
      <c r="C547" s="11" t="s">
        <v>156</v>
      </c>
      <c r="D547" s="18" t="s">
        <v>6367</v>
      </c>
      <c r="E547" s="11" t="s">
        <v>44</v>
      </c>
    </row>
    <row r="548" ht="12.5" spans="1:5">
      <c r="A548" s="54">
        <v>45348</v>
      </c>
      <c r="B548" s="50" t="s">
        <v>5707</v>
      </c>
      <c r="C548" s="11" t="s">
        <v>67</v>
      </c>
      <c r="D548" s="18" t="s">
        <v>6368</v>
      </c>
      <c r="E548" s="11" t="s">
        <v>44</v>
      </c>
    </row>
    <row r="549" ht="12.5" spans="1:5">
      <c r="A549" s="54">
        <v>45348</v>
      </c>
      <c r="B549" s="50" t="s">
        <v>6369</v>
      </c>
      <c r="C549" s="11" t="s">
        <v>67</v>
      </c>
      <c r="D549" s="18" t="s">
        <v>6370</v>
      </c>
      <c r="E549" s="11" t="s">
        <v>44</v>
      </c>
    </row>
    <row r="550" ht="12.5" spans="1:5">
      <c r="A550" s="54">
        <v>45349</v>
      </c>
      <c r="B550" s="50" t="s">
        <v>6371</v>
      </c>
      <c r="C550" s="11" t="s">
        <v>67</v>
      </c>
      <c r="D550" s="18" t="s">
        <v>6372</v>
      </c>
      <c r="E550" s="11" t="s">
        <v>44</v>
      </c>
    </row>
    <row r="551" ht="12.5" spans="1:5">
      <c r="A551" s="95">
        <v>45347</v>
      </c>
      <c r="B551" s="50" t="s">
        <v>6373</v>
      </c>
      <c r="C551" s="11" t="s">
        <v>156</v>
      </c>
      <c r="D551" s="18" t="s">
        <v>6374</v>
      </c>
      <c r="E551" s="11" t="s">
        <v>45</v>
      </c>
    </row>
    <row r="552" ht="12.5" spans="1:5">
      <c r="A552" s="54">
        <v>45349</v>
      </c>
      <c r="B552" s="50" t="s">
        <v>5742</v>
      </c>
      <c r="C552" s="11" t="s">
        <v>67</v>
      </c>
      <c r="D552" s="18" t="s">
        <v>6375</v>
      </c>
      <c r="E552" s="11" t="s">
        <v>45</v>
      </c>
    </row>
    <row r="553" ht="12.5" spans="1:5">
      <c r="A553" s="78">
        <v>45351</v>
      </c>
      <c r="B553" s="50" t="s">
        <v>6376</v>
      </c>
      <c r="C553" s="11" t="s">
        <v>67</v>
      </c>
      <c r="D553" s="18" t="s">
        <v>3859</v>
      </c>
      <c r="E553" s="11" t="s">
        <v>45</v>
      </c>
    </row>
    <row r="554" ht="12.5" spans="1:5">
      <c r="A554" s="78">
        <v>45351</v>
      </c>
      <c r="B554" s="50" t="s">
        <v>5395</v>
      </c>
      <c r="C554" s="11" t="s">
        <v>67</v>
      </c>
      <c r="D554" s="18" t="s">
        <v>6377</v>
      </c>
      <c r="E554" s="11" t="s">
        <v>44</v>
      </c>
    </row>
    <row r="555" ht="12.5" spans="1:5">
      <c r="A555" s="78">
        <v>45351</v>
      </c>
      <c r="B555" s="50" t="s">
        <v>6378</v>
      </c>
      <c r="C555" s="11" t="s">
        <v>67</v>
      </c>
      <c r="D555" s="18" t="s">
        <v>6379</v>
      </c>
      <c r="E555" s="11" t="s">
        <v>44</v>
      </c>
    </row>
    <row r="556" ht="12.5" spans="1:5">
      <c r="A556" s="78">
        <v>45351</v>
      </c>
      <c r="B556" s="50" t="s">
        <v>6380</v>
      </c>
      <c r="C556" s="11" t="s">
        <v>67</v>
      </c>
      <c r="D556" s="18" t="s">
        <v>6381</v>
      </c>
      <c r="E556" s="11" t="s">
        <v>44</v>
      </c>
    </row>
    <row r="557" ht="12.5" spans="1:5">
      <c r="A557" s="54">
        <v>45352</v>
      </c>
      <c r="B557" s="50" t="s">
        <v>5563</v>
      </c>
      <c r="C557" s="11" t="s">
        <v>67</v>
      </c>
      <c r="D557" s="18" t="s">
        <v>6382</v>
      </c>
      <c r="E557" s="11" t="s">
        <v>45</v>
      </c>
    </row>
    <row r="558" ht="12.5" spans="1:5">
      <c r="A558" s="54">
        <v>45353</v>
      </c>
      <c r="B558" s="50" t="s">
        <v>5548</v>
      </c>
      <c r="C558" s="11" t="s">
        <v>156</v>
      </c>
      <c r="D558" s="18" t="s">
        <v>6383</v>
      </c>
      <c r="E558" s="11" t="s">
        <v>45</v>
      </c>
    </row>
    <row r="559" ht="12.5" spans="1:5">
      <c r="A559" s="54">
        <v>45352</v>
      </c>
      <c r="B559" s="50" t="s">
        <v>6384</v>
      </c>
      <c r="C559" s="11" t="s">
        <v>67</v>
      </c>
      <c r="D559" s="18" t="s">
        <v>6385</v>
      </c>
      <c r="E559" s="11" t="s">
        <v>44</v>
      </c>
    </row>
    <row r="560" ht="12.5" spans="1:5">
      <c r="A560" s="54">
        <v>45352</v>
      </c>
      <c r="B560" s="50" t="s">
        <v>6242</v>
      </c>
      <c r="C560" s="11" t="s">
        <v>67</v>
      </c>
      <c r="D560" s="18" t="s">
        <v>6386</v>
      </c>
      <c r="E560" s="11" t="s">
        <v>44</v>
      </c>
    </row>
    <row r="561" ht="12.5" spans="1:5">
      <c r="A561" s="54">
        <v>45354</v>
      </c>
      <c r="B561" s="50" t="s">
        <v>5907</v>
      </c>
      <c r="C561" s="11" t="s">
        <v>156</v>
      </c>
      <c r="D561" s="18" t="s">
        <v>6387</v>
      </c>
      <c r="E561" s="11" t="s">
        <v>44</v>
      </c>
    </row>
    <row r="562" ht="12.5" spans="1:5">
      <c r="A562" s="54">
        <v>45354</v>
      </c>
      <c r="B562" s="50" t="s">
        <v>5901</v>
      </c>
      <c r="C562" s="11" t="s">
        <v>156</v>
      </c>
      <c r="D562" s="18" t="s">
        <v>6388</v>
      </c>
      <c r="E562" s="11" t="s">
        <v>44</v>
      </c>
    </row>
    <row r="563" ht="12.5" spans="1:5">
      <c r="A563" s="54">
        <v>45386</v>
      </c>
      <c r="B563" s="50" t="s">
        <v>6389</v>
      </c>
      <c r="C563" s="11" t="s">
        <v>67</v>
      </c>
      <c r="D563" s="18" t="s">
        <v>6390</v>
      </c>
      <c r="E563" s="11" t="s">
        <v>44</v>
      </c>
    </row>
    <row r="564" ht="12.5" spans="1:5">
      <c r="A564" s="54">
        <v>45354</v>
      </c>
      <c r="B564" s="50" t="s">
        <v>6391</v>
      </c>
      <c r="C564" s="11" t="s">
        <v>156</v>
      </c>
      <c r="D564" s="18" t="s">
        <v>3896</v>
      </c>
      <c r="E564" s="11" t="s">
        <v>45</v>
      </c>
    </row>
    <row r="565" ht="12.5" spans="1:5">
      <c r="A565" s="54">
        <v>45355</v>
      </c>
      <c r="B565" s="50" t="s">
        <v>6392</v>
      </c>
      <c r="C565" s="11" t="s">
        <v>67</v>
      </c>
      <c r="D565" s="18" t="s">
        <v>6393</v>
      </c>
      <c r="E565" s="11" t="s">
        <v>44</v>
      </c>
    </row>
    <row r="566" ht="12.5" spans="1:5">
      <c r="A566" s="54">
        <v>45356</v>
      </c>
      <c r="B566" s="50" t="s">
        <v>6394</v>
      </c>
      <c r="C566" s="11" t="s">
        <v>67</v>
      </c>
      <c r="D566" s="18" t="s">
        <v>6395</v>
      </c>
      <c r="E566" s="11" t="s">
        <v>44</v>
      </c>
    </row>
    <row r="567" ht="12.5" spans="1:5">
      <c r="A567" s="54">
        <v>45357</v>
      </c>
      <c r="B567" s="50" t="s">
        <v>5582</v>
      </c>
      <c r="C567" s="11" t="s">
        <v>156</v>
      </c>
      <c r="D567" s="18" t="s">
        <v>6396</v>
      </c>
      <c r="E567" s="11" t="s">
        <v>44</v>
      </c>
    </row>
    <row r="568" ht="12.5" spans="1:5">
      <c r="A568" s="54">
        <v>45357</v>
      </c>
      <c r="B568" s="50" t="s">
        <v>5582</v>
      </c>
      <c r="C568" s="11" t="s">
        <v>156</v>
      </c>
      <c r="D568" s="18" t="s">
        <v>6397</v>
      </c>
      <c r="E568" s="11" t="s">
        <v>44</v>
      </c>
    </row>
    <row r="569" ht="12.5" spans="1:5">
      <c r="A569" s="54">
        <v>45357</v>
      </c>
      <c r="B569" s="50" t="s">
        <v>6398</v>
      </c>
      <c r="C569" s="11" t="s">
        <v>156</v>
      </c>
      <c r="D569" s="18" t="s">
        <v>6399</v>
      </c>
      <c r="E569" s="11" t="s">
        <v>44</v>
      </c>
    </row>
    <row r="570" ht="12.5" spans="1:5">
      <c r="A570" s="54">
        <v>45358</v>
      </c>
      <c r="B570" s="50" t="s">
        <v>5740</v>
      </c>
      <c r="C570" s="11" t="s">
        <v>67</v>
      </c>
      <c r="D570" s="18" t="s">
        <v>6400</v>
      </c>
      <c r="E570" s="11" t="s">
        <v>44</v>
      </c>
    </row>
    <row r="571" ht="12.5" spans="1:5">
      <c r="A571" s="54">
        <v>45358</v>
      </c>
      <c r="B571" s="50" t="s">
        <v>6401</v>
      </c>
      <c r="C571" s="11" t="s">
        <v>67</v>
      </c>
      <c r="D571" s="18" t="s">
        <v>6402</v>
      </c>
      <c r="E571" s="11" t="s">
        <v>44</v>
      </c>
    </row>
    <row r="572" ht="12.5" spans="1:5">
      <c r="A572" s="54">
        <v>45358</v>
      </c>
      <c r="B572" s="50" t="s">
        <v>6403</v>
      </c>
      <c r="C572" s="11" t="s">
        <v>67</v>
      </c>
      <c r="D572" s="18" t="s">
        <v>6404</v>
      </c>
      <c r="E572" s="11" t="s">
        <v>44</v>
      </c>
    </row>
    <row r="573" ht="12.5" spans="1:5">
      <c r="A573" s="54">
        <v>45360</v>
      </c>
      <c r="B573" s="50" t="s">
        <v>6299</v>
      </c>
      <c r="C573" s="11" t="s">
        <v>156</v>
      </c>
      <c r="D573" s="18" t="s">
        <v>6405</v>
      </c>
      <c r="E573" s="11" t="s">
        <v>44</v>
      </c>
    </row>
    <row r="574" ht="12.5" spans="1:5">
      <c r="A574" s="54">
        <v>45362</v>
      </c>
      <c r="B574" s="50" t="s">
        <v>6406</v>
      </c>
      <c r="C574" s="11" t="s">
        <v>67</v>
      </c>
      <c r="D574" s="18" t="s">
        <v>6407</v>
      </c>
      <c r="E574" s="11" t="s">
        <v>44</v>
      </c>
    </row>
    <row r="575" ht="12.5" spans="1:5">
      <c r="A575" s="54">
        <v>45363</v>
      </c>
      <c r="B575" s="50" t="s">
        <v>6408</v>
      </c>
      <c r="C575" s="11" t="s">
        <v>67</v>
      </c>
      <c r="D575" s="18" t="s">
        <v>6409</v>
      </c>
      <c r="E575" s="11" t="s">
        <v>44</v>
      </c>
    </row>
    <row r="576" ht="12.5" spans="1:5">
      <c r="A576" s="54">
        <v>45363</v>
      </c>
      <c r="B576" s="50" t="s">
        <v>5582</v>
      </c>
      <c r="C576" s="11" t="s">
        <v>67</v>
      </c>
      <c r="D576" s="18" t="s">
        <v>6410</v>
      </c>
      <c r="E576" s="11" t="s">
        <v>44</v>
      </c>
    </row>
    <row r="577" ht="12.5" spans="1:5">
      <c r="A577" s="54">
        <v>45363</v>
      </c>
      <c r="B577" s="50" t="s">
        <v>6411</v>
      </c>
      <c r="C577" s="11" t="s">
        <v>67</v>
      </c>
      <c r="D577" s="18" t="s">
        <v>6412</v>
      </c>
      <c r="E577" s="11" t="s">
        <v>44</v>
      </c>
    </row>
    <row r="578" ht="12.5" spans="1:5">
      <c r="A578" s="54">
        <v>45363</v>
      </c>
      <c r="B578" s="50" t="s">
        <v>6413</v>
      </c>
      <c r="C578" s="11" t="s">
        <v>67</v>
      </c>
      <c r="D578" s="18" t="s">
        <v>6414</v>
      </c>
      <c r="E578" s="11" t="s">
        <v>45</v>
      </c>
    </row>
    <row r="579" ht="12.5" spans="1:5">
      <c r="A579" s="54">
        <v>45364</v>
      </c>
      <c r="B579" s="50" t="s">
        <v>6415</v>
      </c>
      <c r="C579" s="11" t="s">
        <v>67</v>
      </c>
      <c r="D579" s="18" t="s">
        <v>6416</v>
      </c>
      <c r="E579" s="11" t="s">
        <v>44</v>
      </c>
    </row>
    <row r="580" ht="12.5" spans="1:5">
      <c r="A580" s="54">
        <v>45364</v>
      </c>
      <c r="B580" s="50" t="s">
        <v>6417</v>
      </c>
      <c r="C580" s="11" t="s">
        <v>67</v>
      </c>
      <c r="D580" s="18" t="s">
        <v>6418</v>
      </c>
      <c r="E580" s="11" t="s">
        <v>44</v>
      </c>
    </row>
    <row r="581" ht="12.5" spans="1:5">
      <c r="A581" s="54">
        <v>45364</v>
      </c>
      <c r="B581" s="50" t="s">
        <v>5582</v>
      </c>
      <c r="C581" s="11" t="s">
        <v>67</v>
      </c>
      <c r="D581" s="18" t="s">
        <v>6419</v>
      </c>
      <c r="E581" s="11" t="s">
        <v>44</v>
      </c>
    </row>
    <row r="582" ht="12.5" spans="1:5">
      <c r="A582" s="54">
        <v>45364</v>
      </c>
      <c r="B582" s="50" t="s">
        <v>6420</v>
      </c>
      <c r="C582" s="11" t="s">
        <v>67</v>
      </c>
      <c r="D582" s="18" t="s">
        <v>6421</v>
      </c>
      <c r="E582" s="11" t="s">
        <v>44</v>
      </c>
    </row>
    <row r="583" ht="12.5" spans="1:5">
      <c r="A583" s="54">
        <v>45365</v>
      </c>
      <c r="B583" s="50" t="s">
        <v>6422</v>
      </c>
      <c r="C583" s="11" t="s">
        <v>67</v>
      </c>
      <c r="D583" s="18" t="s">
        <v>6423</v>
      </c>
      <c r="E583" s="11" t="s">
        <v>44</v>
      </c>
    </row>
    <row r="584" ht="12.5" spans="1:5">
      <c r="A584" s="54">
        <v>45365</v>
      </c>
      <c r="B584" s="50" t="s">
        <v>6424</v>
      </c>
      <c r="C584" s="11" t="s">
        <v>67</v>
      </c>
      <c r="D584" s="18" t="s">
        <v>6425</v>
      </c>
      <c r="E584" s="11" t="s">
        <v>44</v>
      </c>
    </row>
    <row r="585" ht="12.5" spans="1:5">
      <c r="A585" s="54">
        <v>45365</v>
      </c>
      <c r="B585" s="50" t="s">
        <v>6426</v>
      </c>
      <c r="C585" s="11" t="s">
        <v>67</v>
      </c>
      <c r="D585" s="18" t="s">
        <v>6427</v>
      </c>
      <c r="E585" s="11" t="s">
        <v>44</v>
      </c>
    </row>
    <row r="586" ht="12.5" spans="1:5">
      <c r="A586" s="54">
        <v>45365</v>
      </c>
      <c r="B586" s="50" t="s">
        <v>5582</v>
      </c>
      <c r="C586" s="11" t="s">
        <v>67</v>
      </c>
      <c r="D586" s="18" t="s">
        <v>6428</v>
      </c>
      <c r="E586" s="11" t="s">
        <v>44</v>
      </c>
    </row>
    <row r="587" ht="12.5" spans="1:5">
      <c r="A587" s="54">
        <v>45366</v>
      </c>
      <c r="B587" s="50" t="s">
        <v>6429</v>
      </c>
      <c r="C587" s="11" t="s">
        <v>67</v>
      </c>
      <c r="D587" s="18" t="s">
        <v>6430</v>
      </c>
      <c r="E587" s="11" t="s">
        <v>44</v>
      </c>
    </row>
    <row r="588" ht="12.5" spans="1:5">
      <c r="A588" s="54">
        <v>45366</v>
      </c>
      <c r="B588" s="50" t="s">
        <v>6431</v>
      </c>
      <c r="C588" s="11" t="s">
        <v>67</v>
      </c>
      <c r="D588" s="18" t="s">
        <v>6432</v>
      </c>
      <c r="E588" s="11" t="s">
        <v>44</v>
      </c>
    </row>
    <row r="589" ht="12.5" spans="1:5">
      <c r="A589" s="54">
        <v>45366</v>
      </c>
      <c r="B589" s="50" t="s">
        <v>6433</v>
      </c>
      <c r="C589" s="11" t="s">
        <v>67</v>
      </c>
      <c r="D589" s="18" t="s">
        <v>6434</v>
      </c>
      <c r="E589" s="11" t="s">
        <v>44</v>
      </c>
    </row>
    <row r="590" ht="12.5" spans="1:5">
      <c r="A590" s="54">
        <v>45367</v>
      </c>
      <c r="B590" s="50" t="s">
        <v>6435</v>
      </c>
      <c r="C590" s="11" t="s">
        <v>156</v>
      </c>
      <c r="D590" s="18" t="s">
        <v>6436</v>
      </c>
      <c r="E590" s="11" t="s">
        <v>44</v>
      </c>
    </row>
    <row r="591" ht="12.5" spans="1:5">
      <c r="A591" s="54">
        <v>45367</v>
      </c>
      <c r="B591" s="50" t="s">
        <v>6437</v>
      </c>
      <c r="C591" s="11" t="s">
        <v>156</v>
      </c>
      <c r="D591" s="18" t="s">
        <v>6438</v>
      </c>
      <c r="E591" s="11" t="s">
        <v>44</v>
      </c>
    </row>
    <row r="592" ht="12.5" spans="1:5">
      <c r="A592" s="54">
        <v>45368</v>
      </c>
      <c r="B592" s="50" t="s">
        <v>5615</v>
      </c>
      <c r="C592" s="11" t="s">
        <v>156</v>
      </c>
      <c r="D592" s="18" t="s">
        <v>6439</v>
      </c>
      <c r="E592" s="11" t="s">
        <v>44</v>
      </c>
    </row>
    <row r="593" ht="12.5" spans="1:5">
      <c r="A593" s="54">
        <v>45368</v>
      </c>
      <c r="B593" s="50" t="s">
        <v>6440</v>
      </c>
      <c r="C593" s="11" t="s">
        <v>156</v>
      </c>
      <c r="D593" s="18" t="s">
        <v>6441</v>
      </c>
      <c r="E593" s="11" t="s">
        <v>44</v>
      </c>
    </row>
    <row r="594" ht="12.5" spans="1:5">
      <c r="A594" s="54">
        <v>45368</v>
      </c>
      <c r="B594" s="50" t="s">
        <v>5950</v>
      </c>
      <c r="C594" s="11" t="s">
        <v>156</v>
      </c>
      <c r="D594" s="18" t="s">
        <v>6442</v>
      </c>
      <c r="E594" s="11" t="s">
        <v>44</v>
      </c>
    </row>
    <row r="595" ht="12.5" spans="1:5">
      <c r="A595" s="54">
        <v>45368</v>
      </c>
      <c r="B595" s="50" t="s">
        <v>6443</v>
      </c>
      <c r="C595" s="11" t="s">
        <v>156</v>
      </c>
      <c r="D595" s="18" t="s">
        <v>6444</v>
      </c>
      <c r="E595" s="11" t="s">
        <v>44</v>
      </c>
    </row>
    <row r="596" ht="12.5" spans="1:5">
      <c r="A596" s="54">
        <v>45368</v>
      </c>
      <c r="B596" s="50" t="s">
        <v>6445</v>
      </c>
      <c r="C596" s="11" t="s">
        <v>156</v>
      </c>
      <c r="D596" s="18" t="s">
        <v>6446</v>
      </c>
      <c r="E596" s="11" t="s">
        <v>45</v>
      </c>
    </row>
    <row r="597" ht="12.5" spans="1:5">
      <c r="A597" s="54">
        <v>45370</v>
      </c>
      <c r="B597" s="50" t="s">
        <v>6447</v>
      </c>
      <c r="C597" s="11" t="s">
        <v>67</v>
      </c>
      <c r="D597" s="18" t="s">
        <v>6448</v>
      </c>
      <c r="E597" s="11" t="s">
        <v>44</v>
      </c>
    </row>
    <row r="598" ht="12.5" spans="1:5">
      <c r="A598" s="54">
        <v>45370</v>
      </c>
      <c r="B598" s="50" t="s">
        <v>6449</v>
      </c>
      <c r="C598" s="11" t="s">
        <v>67</v>
      </c>
      <c r="D598" s="18" t="s">
        <v>6450</v>
      </c>
      <c r="E598" s="11" t="s">
        <v>44</v>
      </c>
    </row>
    <row r="599" ht="12.5" spans="1:5">
      <c r="A599" s="54">
        <v>45371</v>
      </c>
      <c r="B599" s="50" t="s">
        <v>5582</v>
      </c>
      <c r="C599" s="11" t="s">
        <v>67</v>
      </c>
      <c r="D599" s="18" t="s">
        <v>6451</v>
      </c>
      <c r="E599" s="11" t="s">
        <v>44</v>
      </c>
    </row>
    <row r="600" ht="12.5" spans="1:5">
      <c r="A600" s="54">
        <v>45372</v>
      </c>
      <c r="B600" s="11" t="s">
        <v>3173</v>
      </c>
      <c r="C600" s="11" t="s">
        <v>67</v>
      </c>
      <c r="D600" s="18" t="s">
        <v>4067</v>
      </c>
      <c r="E600" s="11" t="s">
        <v>45</v>
      </c>
    </row>
    <row r="601" ht="12.5" spans="1:5">
      <c r="A601" s="54">
        <v>45371</v>
      </c>
      <c r="B601" s="50" t="s">
        <v>5582</v>
      </c>
      <c r="C601" s="11" t="s">
        <v>67</v>
      </c>
      <c r="D601" s="18" t="s">
        <v>6451</v>
      </c>
      <c r="E601" s="11" t="s">
        <v>44</v>
      </c>
    </row>
    <row r="602" ht="12.5" spans="1:5">
      <c r="A602" s="54">
        <v>45371</v>
      </c>
      <c r="B602" s="50" t="s">
        <v>5534</v>
      </c>
      <c r="C602" s="11" t="s">
        <v>67</v>
      </c>
      <c r="D602" s="18" t="s">
        <v>6452</v>
      </c>
      <c r="E602" s="11" t="s">
        <v>44</v>
      </c>
    </row>
    <row r="603" ht="12.5" spans="1:5">
      <c r="A603" s="54">
        <v>45372</v>
      </c>
      <c r="B603" s="50" t="s">
        <v>6453</v>
      </c>
      <c r="C603" s="11" t="s">
        <v>67</v>
      </c>
      <c r="D603" s="18" t="s">
        <v>6454</v>
      </c>
      <c r="E603" s="11" t="s">
        <v>44</v>
      </c>
    </row>
    <row r="604" ht="12.5" spans="1:5">
      <c r="A604" s="54">
        <v>45372</v>
      </c>
      <c r="B604" s="50" t="s">
        <v>5748</v>
      </c>
      <c r="C604" s="11" t="s">
        <v>67</v>
      </c>
      <c r="D604" s="18" t="s">
        <v>6455</v>
      </c>
      <c r="E604" s="11" t="s">
        <v>44</v>
      </c>
    </row>
    <row r="605" ht="12.5" spans="1:5">
      <c r="A605" s="54">
        <v>45373</v>
      </c>
      <c r="B605" s="50" t="s">
        <v>5661</v>
      </c>
      <c r="C605" s="11" t="s">
        <v>67</v>
      </c>
      <c r="D605" s="18" t="s">
        <v>6456</v>
      </c>
      <c r="E605" s="11" t="s">
        <v>44</v>
      </c>
    </row>
    <row r="606" ht="12.5" spans="1:5">
      <c r="A606" s="54">
        <v>45373</v>
      </c>
      <c r="B606" s="50" t="s">
        <v>5801</v>
      </c>
      <c r="C606" s="11" t="s">
        <v>67</v>
      </c>
      <c r="D606" s="18" t="s">
        <v>6457</v>
      </c>
      <c r="E606" s="11" t="s">
        <v>44</v>
      </c>
    </row>
    <row r="607" ht="12.5" spans="1:5">
      <c r="A607" s="54">
        <v>45375</v>
      </c>
      <c r="B607" s="50" t="s">
        <v>5578</v>
      </c>
      <c r="C607" s="11" t="s">
        <v>156</v>
      </c>
      <c r="D607" s="18" t="s">
        <v>6458</v>
      </c>
      <c r="E607" s="11" t="s">
        <v>45</v>
      </c>
    </row>
    <row r="608" ht="12.5" spans="1:5">
      <c r="A608" s="54" t="s">
        <v>6459</v>
      </c>
      <c r="B608" s="50" t="s">
        <v>6460</v>
      </c>
      <c r="C608" s="11" t="s">
        <v>67</v>
      </c>
      <c r="D608" s="18" t="s">
        <v>6461</v>
      </c>
      <c r="E608" s="11" t="s">
        <v>44</v>
      </c>
    </row>
    <row r="609" ht="12.5" spans="1:5">
      <c r="A609" s="54" t="s">
        <v>6459</v>
      </c>
      <c r="B609" s="50" t="s">
        <v>5582</v>
      </c>
      <c r="C609" s="11" t="s">
        <v>67</v>
      </c>
      <c r="D609" s="18" t="s">
        <v>6462</v>
      </c>
      <c r="E609" s="11" t="s">
        <v>44</v>
      </c>
    </row>
    <row r="610" ht="12.5" spans="1:5">
      <c r="A610" s="54">
        <v>45377</v>
      </c>
      <c r="B610" s="50" t="s">
        <v>5582</v>
      </c>
      <c r="C610" s="11" t="s">
        <v>67</v>
      </c>
      <c r="D610" s="18" t="s">
        <v>6463</v>
      </c>
      <c r="E610" s="11" t="s">
        <v>44</v>
      </c>
    </row>
    <row r="611" ht="12.5" spans="1:5">
      <c r="A611" s="54">
        <v>45377</v>
      </c>
      <c r="B611" s="50" t="s">
        <v>6464</v>
      </c>
      <c r="C611" s="11" t="s">
        <v>67</v>
      </c>
      <c r="D611" s="18" t="s">
        <v>6465</v>
      </c>
      <c r="E611" s="11" t="s">
        <v>44</v>
      </c>
    </row>
    <row r="612" ht="12.5" spans="1:5">
      <c r="A612" s="54">
        <v>45378</v>
      </c>
      <c r="B612" s="50" t="s">
        <v>6466</v>
      </c>
      <c r="C612" s="11" t="s">
        <v>67</v>
      </c>
      <c r="D612" s="18" t="s">
        <v>6467</v>
      </c>
      <c r="E612" s="11" t="s">
        <v>44</v>
      </c>
    </row>
    <row r="613" ht="12.5" spans="1:5">
      <c r="A613" s="54">
        <v>45378</v>
      </c>
      <c r="B613" s="50" t="s">
        <v>6468</v>
      </c>
      <c r="C613" s="11" t="s">
        <v>67</v>
      </c>
      <c r="D613" s="18" t="s">
        <v>6469</v>
      </c>
      <c r="E613" s="11" t="s">
        <v>45</v>
      </c>
    </row>
    <row r="614" ht="12.5" spans="1:5">
      <c r="A614" s="54">
        <v>45379</v>
      </c>
      <c r="B614" s="50" t="s">
        <v>6470</v>
      </c>
      <c r="C614" s="11" t="s">
        <v>156</v>
      </c>
      <c r="D614" s="18" t="s">
        <v>6471</v>
      </c>
      <c r="E614" s="11" t="s">
        <v>44</v>
      </c>
    </row>
    <row r="615" ht="12.5" spans="1:5">
      <c r="A615" s="54">
        <v>45379</v>
      </c>
      <c r="B615" s="50" t="s">
        <v>6472</v>
      </c>
      <c r="C615" s="11" t="s">
        <v>156</v>
      </c>
      <c r="D615" s="18" t="s">
        <v>6473</v>
      </c>
      <c r="E615" s="11" t="s">
        <v>44</v>
      </c>
    </row>
    <row r="616" ht="12.5" spans="1:5">
      <c r="A616" s="54">
        <v>45380</v>
      </c>
      <c r="B616" s="50" t="s">
        <v>5654</v>
      </c>
      <c r="C616" s="11" t="s">
        <v>156</v>
      </c>
      <c r="D616" s="18" t="s">
        <v>6474</v>
      </c>
      <c r="E616" s="11" t="s">
        <v>45</v>
      </c>
    </row>
    <row r="617" ht="12.5" spans="1:5">
      <c r="A617" s="54">
        <v>45383</v>
      </c>
      <c r="B617" s="50" t="s">
        <v>6475</v>
      </c>
      <c r="C617" s="11" t="s">
        <v>67</v>
      </c>
      <c r="D617" s="18" t="s">
        <v>6476</v>
      </c>
      <c r="E617" s="11" t="s">
        <v>44</v>
      </c>
    </row>
    <row r="618" ht="12.5" spans="1:5">
      <c r="A618" s="54">
        <v>45384</v>
      </c>
      <c r="B618" s="50" t="s">
        <v>5554</v>
      </c>
      <c r="C618" s="11" t="s">
        <v>67</v>
      </c>
      <c r="D618" s="18" t="s">
        <v>6477</v>
      </c>
      <c r="E618" s="11" t="s">
        <v>44</v>
      </c>
    </row>
    <row r="619" ht="12.5" spans="1:5">
      <c r="A619" s="54">
        <v>45384</v>
      </c>
      <c r="B619" s="50" t="s">
        <v>6319</v>
      </c>
      <c r="C619" s="11" t="s">
        <v>67</v>
      </c>
      <c r="D619" s="18" t="s">
        <v>6478</v>
      </c>
      <c r="E619" s="11" t="s">
        <v>45</v>
      </c>
    </row>
    <row r="620" ht="12.5" spans="1:5">
      <c r="A620" s="54">
        <v>45384</v>
      </c>
      <c r="B620" s="50" t="s">
        <v>6440</v>
      </c>
      <c r="C620" s="11" t="s">
        <v>67</v>
      </c>
      <c r="D620" s="18" t="s">
        <v>6479</v>
      </c>
      <c r="E620" s="11" t="s">
        <v>45</v>
      </c>
    </row>
    <row r="621" ht="12.5" spans="1:5">
      <c r="A621" s="54">
        <v>45385</v>
      </c>
      <c r="B621" s="50" t="s">
        <v>6480</v>
      </c>
      <c r="C621" s="11" t="s">
        <v>67</v>
      </c>
      <c r="D621" s="18" t="s">
        <v>6481</v>
      </c>
      <c r="E621" s="11" t="s">
        <v>44</v>
      </c>
    </row>
    <row r="622" ht="12.5" spans="1:5">
      <c r="A622" s="54">
        <v>45385</v>
      </c>
      <c r="B622" s="50" t="s">
        <v>6482</v>
      </c>
      <c r="C622" s="11" t="s">
        <v>67</v>
      </c>
      <c r="D622" s="18" t="s">
        <v>6483</v>
      </c>
      <c r="E622" s="11" t="s">
        <v>44</v>
      </c>
    </row>
    <row r="623" ht="12.5" spans="1:5">
      <c r="A623" s="54">
        <v>45385</v>
      </c>
      <c r="B623" s="11" t="s">
        <v>4229</v>
      </c>
      <c r="C623" s="11" t="s">
        <v>67</v>
      </c>
      <c r="D623" s="18" t="s">
        <v>4267</v>
      </c>
      <c r="E623" s="11" t="s">
        <v>45</v>
      </c>
    </row>
    <row r="624" ht="12.5" spans="1:5">
      <c r="A624" s="54">
        <v>45386</v>
      </c>
      <c r="B624" s="50" t="s">
        <v>5582</v>
      </c>
      <c r="C624" s="11" t="s">
        <v>67</v>
      </c>
      <c r="D624" s="18" t="s">
        <v>6484</v>
      </c>
      <c r="E624" s="11" t="s">
        <v>44</v>
      </c>
    </row>
    <row r="625" ht="12.5" spans="1:5">
      <c r="A625" s="54">
        <v>45386</v>
      </c>
      <c r="B625" s="50" t="s">
        <v>6485</v>
      </c>
      <c r="C625" s="11" t="s">
        <v>67</v>
      </c>
      <c r="D625" s="18" t="s">
        <v>6486</v>
      </c>
      <c r="E625" s="11" t="s">
        <v>44</v>
      </c>
    </row>
    <row r="626" ht="12.5" spans="1:5">
      <c r="A626" s="54">
        <v>45387</v>
      </c>
      <c r="B626" s="50" t="s">
        <v>6487</v>
      </c>
      <c r="C626" s="11" t="s">
        <v>67</v>
      </c>
      <c r="D626" s="18" t="s">
        <v>6488</v>
      </c>
      <c r="E626" s="11" t="s">
        <v>44</v>
      </c>
    </row>
    <row r="627" ht="12.5" spans="1:5">
      <c r="A627" s="54">
        <v>45388</v>
      </c>
      <c r="B627" s="50" t="s">
        <v>6489</v>
      </c>
      <c r="C627" s="11" t="s">
        <v>67</v>
      </c>
      <c r="D627" s="18" t="s">
        <v>4289</v>
      </c>
      <c r="E627" s="11" t="s">
        <v>45</v>
      </c>
    </row>
    <row r="628" ht="12.5" spans="1:5">
      <c r="A628" s="54">
        <v>45390</v>
      </c>
      <c r="B628" s="50" t="s">
        <v>6490</v>
      </c>
      <c r="C628" s="11" t="s">
        <v>67</v>
      </c>
      <c r="D628" s="18" t="s">
        <v>4327</v>
      </c>
      <c r="E628" s="11" t="s">
        <v>45</v>
      </c>
    </row>
    <row r="629" ht="12.5" spans="1:5">
      <c r="A629" s="54">
        <v>45390</v>
      </c>
      <c r="B629" s="50" t="s">
        <v>6491</v>
      </c>
      <c r="C629" s="11" t="s">
        <v>67</v>
      </c>
      <c r="D629" s="18" t="s">
        <v>6492</v>
      </c>
      <c r="E629" s="11" t="s">
        <v>44</v>
      </c>
    </row>
    <row r="630" ht="12.5" spans="1:5">
      <c r="A630" s="54">
        <v>45391</v>
      </c>
      <c r="B630" s="50" t="s">
        <v>6493</v>
      </c>
      <c r="C630" s="11" t="s">
        <v>67</v>
      </c>
      <c r="D630" s="18" t="s">
        <v>6494</v>
      </c>
      <c r="E630" s="11" t="s">
        <v>44</v>
      </c>
    </row>
    <row r="631" ht="12.5" spans="1:5">
      <c r="A631" s="54">
        <v>45391</v>
      </c>
      <c r="B631" s="50" t="s">
        <v>6495</v>
      </c>
      <c r="C631" s="11" t="s">
        <v>67</v>
      </c>
      <c r="D631" s="18" t="s">
        <v>6496</v>
      </c>
      <c r="E631" s="11" t="s">
        <v>44</v>
      </c>
    </row>
    <row r="632" ht="12.5" spans="1:5">
      <c r="A632" s="54">
        <v>45392</v>
      </c>
      <c r="B632" s="50" t="s">
        <v>5548</v>
      </c>
      <c r="C632" s="11" t="s">
        <v>67</v>
      </c>
      <c r="D632" s="18" t="s">
        <v>6497</v>
      </c>
      <c r="E632" s="11" t="s">
        <v>44</v>
      </c>
    </row>
    <row r="633" ht="12.5" spans="1:5">
      <c r="A633" s="54">
        <v>45392</v>
      </c>
      <c r="B633" s="50" t="s">
        <v>5582</v>
      </c>
      <c r="C633" s="11" t="s">
        <v>67</v>
      </c>
      <c r="D633" s="18" t="s">
        <v>6498</v>
      </c>
      <c r="E633" s="11" t="s">
        <v>44</v>
      </c>
    </row>
    <row r="634" ht="12.5" spans="1:5">
      <c r="A634" s="54">
        <v>45392</v>
      </c>
      <c r="B634" s="50" t="s">
        <v>6288</v>
      </c>
      <c r="C634" s="11" t="s">
        <v>67</v>
      </c>
      <c r="D634" s="18" t="s">
        <v>6499</v>
      </c>
      <c r="E634" s="11" t="s">
        <v>44</v>
      </c>
    </row>
    <row r="635" ht="12.5" spans="1:5">
      <c r="A635" s="54">
        <v>45393</v>
      </c>
      <c r="B635" s="50" t="s">
        <v>6500</v>
      </c>
      <c r="C635" s="11" t="s">
        <v>67</v>
      </c>
      <c r="D635" s="18" t="s">
        <v>6501</v>
      </c>
      <c r="E635" s="11" t="s">
        <v>44</v>
      </c>
    </row>
    <row r="636" ht="12.5" spans="1:5">
      <c r="A636" s="54">
        <v>45393</v>
      </c>
      <c r="B636" s="50" t="s">
        <v>5907</v>
      </c>
      <c r="C636" s="11" t="s">
        <v>67</v>
      </c>
      <c r="D636" s="18" t="s">
        <v>6502</v>
      </c>
      <c r="E636" s="11" t="s">
        <v>44</v>
      </c>
    </row>
    <row r="637" ht="12.5" spans="1:5">
      <c r="A637" s="54">
        <v>45393</v>
      </c>
      <c r="B637" s="50" t="s">
        <v>5615</v>
      </c>
      <c r="C637" s="11" t="s">
        <v>67</v>
      </c>
      <c r="D637" s="18" t="s">
        <v>4351</v>
      </c>
      <c r="E637" s="11" t="s">
        <v>45</v>
      </c>
    </row>
    <row r="638" ht="12.5" spans="1:5">
      <c r="A638" s="54">
        <v>45394</v>
      </c>
      <c r="B638" s="50" t="s">
        <v>6503</v>
      </c>
      <c r="C638" s="11" t="s">
        <v>67</v>
      </c>
      <c r="D638" s="18" t="s">
        <v>6504</v>
      </c>
      <c r="E638" s="11" t="s">
        <v>44</v>
      </c>
    </row>
    <row r="639" ht="12.5" spans="1:5">
      <c r="A639" s="54">
        <v>45394</v>
      </c>
      <c r="B639" s="50" t="s">
        <v>6505</v>
      </c>
      <c r="C639" s="11" t="s">
        <v>67</v>
      </c>
      <c r="D639" s="18" t="s">
        <v>6506</v>
      </c>
      <c r="E639" s="11" t="s">
        <v>44</v>
      </c>
    </row>
    <row r="640" ht="12.5" spans="1:5">
      <c r="A640" s="54">
        <v>45394</v>
      </c>
      <c r="B640" s="50" t="s">
        <v>5582</v>
      </c>
      <c r="C640" s="11" t="s">
        <v>67</v>
      </c>
      <c r="D640" s="18" t="s">
        <v>6507</v>
      </c>
      <c r="E640" s="11" t="s">
        <v>44</v>
      </c>
    </row>
    <row r="641" ht="12.5" spans="1:5">
      <c r="A641" s="54">
        <v>45396</v>
      </c>
      <c r="B641" s="50" t="s">
        <v>6508</v>
      </c>
      <c r="C641" s="11" t="s">
        <v>156</v>
      </c>
      <c r="D641" s="18" t="s">
        <v>6509</v>
      </c>
      <c r="E641" s="11" t="s">
        <v>44</v>
      </c>
    </row>
    <row r="642" ht="12.5" spans="1:5">
      <c r="A642" s="54">
        <v>45396</v>
      </c>
      <c r="B642" s="50" t="s">
        <v>5582</v>
      </c>
      <c r="C642" s="11" t="s">
        <v>156</v>
      </c>
      <c r="D642" s="18" t="s">
        <v>6510</v>
      </c>
      <c r="E642" s="11" t="s">
        <v>44</v>
      </c>
    </row>
    <row r="643" ht="12.5" spans="1:5">
      <c r="A643" s="54">
        <v>45396</v>
      </c>
      <c r="B643" s="50" t="s">
        <v>6511</v>
      </c>
      <c r="C643" s="11" t="s">
        <v>156</v>
      </c>
      <c r="D643" s="18" t="s">
        <v>6512</v>
      </c>
      <c r="E643" s="11" t="s">
        <v>44</v>
      </c>
    </row>
    <row r="644" ht="12.5" spans="1:5">
      <c r="A644" s="54">
        <v>45397</v>
      </c>
      <c r="B644" s="50" t="s">
        <v>6513</v>
      </c>
      <c r="C644" s="11" t="s">
        <v>67</v>
      </c>
      <c r="D644" s="18" t="s">
        <v>6514</v>
      </c>
      <c r="E644" s="11" t="s">
        <v>44</v>
      </c>
    </row>
    <row r="645" ht="12.5" spans="1:5">
      <c r="A645" s="54">
        <v>45397</v>
      </c>
      <c r="B645" s="11" t="s">
        <v>4366</v>
      </c>
      <c r="C645" s="11" t="s">
        <v>67</v>
      </c>
      <c r="D645" s="18" t="s">
        <v>4367</v>
      </c>
      <c r="E645" s="11" t="s">
        <v>45</v>
      </c>
    </row>
    <row r="646" ht="12.5" spans="1:5">
      <c r="A646" s="54">
        <v>45398</v>
      </c>
      <c r="B646" s="50" t="s">
        <v>6515</v>
      </c>
      <c r="C646" s="11" t="s">
        <v>67</v>
      </c>
      <c r="D646" s="18" t="s">
        <v>6516</v>
      </c>
      <c r="E646" s="11" t="s">
        <v>44</v>
      </c>
    </row>
    <row r="647" ht="12.5" spans="1:5">
      <c r="A647" s="54">
        <v>45397</v>
      </c>
      <c r="B647" s="50" t="s">
        <v>6517</v>
      </c>
      <c r="C647" s="11" t="s">
        <v>67</v>
      </c>
      <c r="D647" s="18" t="s">
        <v>6518</v>
      </c>
      <c r="E647" s="11" t="s">
        <v>44</v>
      </c>
    </row>
    <row r="648" ht="12.5" spans="1:5">
      <c r="A648" s="54">
        <v>45397</v>
      </c>
      <c r="B648" s="50" t="s">
        <v>6519</v>
      </c>
      <c r="C648" s="11" t="s">
        <v>67</v>
      </c>
      <c r="D648" s="18" t="s">
        <v>6520</v>
      </c>
      <c r="E648" s="11" t="s">
        <v>44</v>
      </c>
    </row>
    <row r="649" ht="12.5" spans="1:5">
      <c r="A649" s="54">
        <v>45397</v>
      </c>
      <c r="B649" s="50" t="s">
        <v>6521</v>
      </c>
      <c r="C649" s="11" t="s">
        <v>67</v>
      </c>
      <c r="D649" s="18" t="s">
        <v>6522</v>
      </c>
      <c r="E649" s="11" t="s">
        <v>44</v>
      </c>
    </row>
    <row r="650" ht="12.5" spans="1:5">
      <c r="A650" s="54">
        <v>45399</v>
      </c>
      <c r="B650" s="50" t="s">
        <v>6523</v>
      </c>
      <c r="C650" s="11" t="s">
        <v>67</v>
      </c>
      <c r="D650" s="18" t="s">
        <v>4379</v>
      </c>
      <c r="E650" s="11" t="s">
        <v>45</v>
      </c>
    </row>
    <row r="651" ht="12.5" spans="1:5">
      <c r="A651" s="54">
        <v>45400</v>
      </c>
      <c r="B651" s="50" t="s">
        <v>5740</v>
      </c>
      <c r="C651" s="11" t="s">
        <v>67</v>
      </c>
      <c r="D651" s="18" t="s">
        <v>6524</v>
      </c>
      <c r="E651" s="11" t="s">
        <v>44</v>
      </c>
    </row>
    <row r="652" ht="12.5" spans="1:5">
      <c r="A652" s="54">
        <v>45401</v>
      </c>
      <c r="B652" s="50" t="s">
        <v>5582</v>
      </c>
      <c r="C652" s="11" t="s">
        <v>67</v>
      </c>
      <c r="D652" s="18" t="s">
        <v>6525</v>
      </c>
      <c r="E652" s="11" t="s">
        <v>44</v>
      </c>
    </row>
    <row r="653" ht="12.5" spans="1:5">
      <c r="A653" s="54">
        <v>45401</v>
      </c>
      <c r="B653" s="50" t="s">
        <v>5582</v>
      </c>
      <c r="C653" s="11" t="s">
        <v>67</v>
      </c>
      <c r="D653" s="18" t="s">
        <v>6526</v>
      </c>
      <c r="E653" s="11" t="s">
        <v>44</v>
      </c>
    </row>
    <row r="654" ht="12.5" spans="1:5">
      <c r="A654" s="54">
        <v>45401</v>
      </c>
      <c r="B654" s="50" t="s">
        <v>6527</v>
      </c>
      <c r="C654" s="11" t="s">
        <v>67</v>
      </c>
      <c r="D654" s="18" t="s">
        <v>6528</v>
      </c>
      <c r="E654" s="11" t="s">
        <v>44</v>
      </c>
    </row>
    <row r="655" ht="12.5" spans="1:5">
      <c r="A655" s="54">
        <v>45402</v>
      </c>
      <c r="B655" s="50" t="s">
        <v>6529</v>
      </c>
      <c r="C655" s="11" t="s">
        <v>156</v>
      </c>
      <c r="D655" s="18" t="s">
        <v>6530</v>
      </c>
      <c r="E655" s="11" t="s">
        <v>44</v>
      </c>
    </row>
    <row r="656" ht="12.5" spans="1:5">
      <c r="A656" s="54">
        <v>45402</v>
      </c>
      <c r="B656" s="50" t="s">
        <v>6531</v>
      </c>
      <c r="C656" s="11" t="s">
        <v>156</v>
      </c>
      <c r="D656" s="18" t="s">
        <v>6532</v>
      </c>
      <c r="E656" s="11" t="s">
        <v>44</v>
      </c>
    </row>
    <row r="657" ht="12.5" spans="1:5">
      <c r="A657" s="54">
        <v>45403</v>
      </c>
      <c r="B657" s="50" t="s">
        <v>5856</v>
      </c>
      <c r="C657" s="11" t="s">
        <v>156</v>
      </c>
      <c r="D657" s="18" t="s">
        <v>6533</v>
      </c>
      <c r="E657" s="11" t="s">
        <v>44</v>
      </c>
    </row>
    <row r="658" ht="12.5" spans="1:5">
      <c r="A658" s="54">
        <v>45403</v>
      </c>
      <c r="B658" s="50" t="s">
        <v>6534</v>
      </c>
      <c r="C658" s="11" t="s">
        <v>156</v>
      </c>
      <c r="D658" s="18" t="s">
        <v>6535</v>
      </c>
      <c r="E658" s="11" t="s">
        <v>44</v>
      </c>
    </row>
    <row r="659" ht="12.5" spans="1:5">
      <c r="A659" s="54">
        <v>45403</v>
      </c>
      <c r="B659" s="50" t="s">
        <v>5619</v>
      </c>
      <c r="C659" s="11" t="s">
        <v>156</v>
      </c>
      <c r="D659" s="18" t="s">
        <v>6536</v>
      </c>
      <c r="E659" s="11" t="s">
        <v>44</v>
      </c>
    </row>
    <row r="660" ht="12.5" spans="1:5">
      <c r="A660" s="54">
        <v>45403</v>
      </c>
      <c r="B660" s="50" t="s">
        <v>6537</v>
      </c>
      <c r="C660" s="11" t="s">
        <v>156</v>
      </c>
      <c r="D660" s="18" t="s">
        <v>6538</v>
      </c>
      <c r="E660" s="11" t="s">
        <v>45</v>
      </c>
    </row>
    <row r="661" ht="12.5" spans="1:5">
      <c r="A661" s="54">
        <v>45404</v>
      </c>
      <c r="B661" s="50" t="s">
        <v>5582</v>
      </c>
      <c r="C661" s="11" t="s">
        <v>67</v>
      </c>
      <c r="D661" s="18" t="s">
        <v>6539</v>
      </c>
      <c r="E661" s="11" t="s">
        <v>44</v>
      </c>
    </row>
    <row r="662" ht="12.5" spans="1:5">
      <c r="A662" s="54">
        <v>45405</v>
      </c>
      <c r="B662" s="50" t="s">
        <v>5582</v>
      </c>
      <c r="C662" s="11" t="s">
        <v>67</v>
      </c>
      <c r="D662" s="18" t="s">
        <v>6540</v>
      </c>
      <c r="E662" s="11" t="s">
        <v>44</v>
      </c>
    </row>
    <row r="663" ht="12.5" spans="1:5">
      <c r="A663" s="54">
        <v>45405</v>
      </c>
      <c r="B663" s="50" t="s">
        <v>5582</v>
      </c>
      <c r="C663" s="11" t="s">
        <v>67</v>
      </c>
      <c r="D663" s="18" t="s">
        <v>6541</v>
      </c>
      <c r="E663" s="11" t="s">
        <v>44</v>
      </c>
    </row>
    <row r="664" ht="12.5" spans="1:5">
      <c r="A664" s="54">
        <v>45405</v>
      </c>
      <c r="B664" s="50" t="s">
        <v>5582</v>
      </c>
      <c r="C664" s="11" t="s">
        <v>67</v>
      </c>
      <c r="D664" s="18" t="s">
        <v>4469</v>
      </c>
      <c r="E664" s="11" t="s">
        <v>45</v>
      </c>
    </row>
    <row r="665" ht="12.5" spans="1:5">
      <c r="A665" s="54">
        <v>45406</v>
      </c>
      <c r="B665" s="50" t="s">
        <v>5582</v>
      </c>
      <c r="C665" s="11" t="s">
        <v>67</v>
      </c>
      <c r="D665" s="18" t="s">
        <v>6542</v>
      </c>
      <c r="E665" s="11" t="s">
        <v>44</v>
      </c>
    </row>
    <row r="666" ht="12.5" spans="1:5">
      <c r="A666" s="54">
        <v>45406</v>
      </c>
      <c r="B666" s="50" t="s">
        <v>5582</v>
      </c>
      <c r="C666" s="11" t="s">
        <v>67</v>
      </c>
      <c r="D666" s="18" t="s">
        <v>6543</v>
      </c>
      <c r="E666" s="11" t="s">
        <v>44</v>
      </c>
    </row>
    <row r="667" ht="12.5" spans="1:5">
      <c r="A667" s="54">
        <v>45438</v>
      </c>
      <c r="B667" s="50" t="s">
        <v>5423</v>
      </c>
      <c r="C667" s="11" t="s">
        <v>67</v>
      </c>
      <c r="D667" s="18" t="s">
        <v>6544</v>
      </c>
      <c r="E667" s="11" t="s">
        <v>44</v>
      </c>
    </row>
    <row r="668" ht="12.5" spans="1:5">
      <c r="A668" s="54">
        <v>45411</v>
      </c>
      <c r="B668" s="50" t="s">
        <v>6545</v>
      </c>
      <c r="C668" s="11" t="s">
        <v>67</v>
      </c>
      <c r="D668" s="18" t="s">
        <v>6546</v>
      </c>
      <c r="E668" s="11" t="s">
        <v>44</v>
      </c>
    </row>
    <row r="669" ht="12.5" spans="1:5">
      <c r="A669" s="54">
        <v>45412</v>
      </c>
      <c r="B669" s="50" t="s">
        <v>6547</v>
      </c>
      <c r="C669" s="11" t="s">
        <v>67</v>
      </c>
      <c r="D669" s="18" t="s">
        <v>6548</v>
      </c>
      <c r="E669" s="11" t="s">
        <v>44</v>
      </c>
    </row>
    <row r="670" ht="12.5" spans="1:5">
      <c r="A670" s="54">
        <v>45412</v>
      </c>
      <c r="B670" s="50" t="s">
        <v>5582</v>
      </c>
      <c r="C670" s="11" t="s">
        <v>67</v>
      </c>
      <c r="D670" s="18" t="s">
        <v>6549</v>
      </c>
      <c r="E670" s="11" t="s">
        <v>44</v>
      </c>
    </row>
    <row r="671" ht="12.5" spans="1:5">
      <c r="A671" s="54">
        <v>45412</v>
      </c>
      <c r="B671" s="50" t="s">
        <v>6550</v>
      </c>
      <c r="C671" s="11" t="s">
        <v>67</v>
      </c>
      <c r="D671" s="18" t="s">
        <v>6551</v>
      </c>
      <c r="E671" s="11" t="s">
        <v>44</v>
      </c>
    </row>
    <row r="672" ht="12.5" spans="1:5">
      <c r="A672" s="54">
        <v>45412</v>
      </c>
      <c r="B672" s="50" t="s">
        <v>6552</v>
      </c>
      <c r="C672" s="11" t="s">
        <v>67</v>
      </c>
      <c r="D672" s="18" t="s">
        <v>6553</v>
      </c>
      <c r="E672" s="11" t="s">
        <v>44</v>
      </c>
    </row>
    <row r="673" ht="12.5" spans="1:5">
      <c r="A673" s="54">
        <v>45413</v>
      </c>
      <c r="B673" s="50" t="s">
        <v>5582</v>
      </c>
      <c r="C673" s="11" t="s">
        <v>156</v>
      </c>
      <c r="D673" s="18" t="s">
        <v>6554</v>
      </c>
      <c r="E673" s="11" t="s">
        <v>44</v>
      </c>
    </row>
    <row r="674" ht="12.5" spans="1:5">
      <c r="A674" s="54">
        <v>45414</v>
      </c>
      <c r="B674" s="50" t="s">
        <v>6555</v>
      </c>
      <c r="C674" s="11" t="s">
        <v>67</v>
      </c>
      <c r="D674" s="18" t="s">
        <v>6556</v>
      </c>
      <c r="E674" s="11" t="s">
        <v>44</v>
      </c>
    </row>
    <row r="675" ht="12.5" spans="1:5">
      <c r="A675" s="54">
        <v>45414</v>
      </c>
      <c r="B675" s="50" t="s">
        <v>6557</v>
      </c>
      <c r="C675" s="11" t="s">
        <v>67</v>
      </c>
      <c r="D675" s="18" t="s">
        <v>6558</v>
      </c>
      <c r="E675" s="11" t="s">
        <v>44</v>
      </c>
    </row>
    <row r="676" ht="12.5" spans="1:5">
      <c r="A676" s="54">
        <v>45415</v>
      </c>
      <c r="B676" s="50" t="s">
        <v>6559</v>
      </c>
      <c r="C676" s="11" t="s">
        <v>67</v>
      </c>
      <c r="D676" s="18" t="s">
        <v>6560</v>
      </c>
      <c r="E676" s="11" t="s">
        <v>44</v>
      </c>
    </row>
    <row r="677" ht="12.5" spans="1:5">
      <c r="A677" s="54">
        <v>45416</v>
      </c>
      <c r="B677" s="50" t="s">
        <v>5917</v>
      </c>
      <c r="C677" s="11" t="s">
        <v>156</v>
      </c>
      <c r="D677" s="18" t="s">
        <v>6561</v>
      </c>
      <c r="E677" s="11" t="s">
        <v>44</v>
      </c>
    </row>
    <row r="678" ht="12.5" spans="1:5">
      <c r="A678" s="54">
        <v>45416</v>
      </c>
      <c r="B678" s="50" t="s">
        <v>6562</v>
      </c>
      <c r="C678" s="11" t="s">
        <v>156</v>
      </c>
      <c r="D678" s="18" t="s">
        <v>6563</v>
      </c>
      <c r="E678" s="11" t="s">
        <v>44</v>
      </c>
    </row>
    <row r="679" ht="12.5" spans="1:5">
      <c r="A679" s="54">
        <v>45417</v>
      </c>
      <c r="B679" s="50" t="s">
        <v>5582</v>
      </c>
      <c r="C679" s="11" t="s">
        <v>156</v>
      </c>
      <c r="D679" s="18" t="s">
        <v>6564</v>
      </c>
      <c r="E679" s="11" t="s">
        <v>44</v>
      </c>
    </row>
    <row r="680" ht="12.5" spans="1:5">
      <c r="A680" s="54">
        <v>45417</v>
      </c>
      <c r="B680" s="50" t="s">
        <v>5582</v>
      </c>
      <c r="C680" s="11" t="s">
        <v>156</v>
      </c>
      <c r="D680" s="18" t="s">
        <v>6565</v>
      </c>
      <c r="E680" s="11" t="s">
        <v>44</v>
      </c>
    </row>
    <row r="681" ht="12.5" spans="1:5">
      <c r="A681" s="54">
        <v>45417</v>
      </c>
      <c r="B681" s="50" t="s">
        <v>6566</v>
      </c>
      <c r="C681" s="11" t="s">
        <v>156</v>
      </c>
      <c r="D681" s="18" t="s">
        <v>6567</v>
      </c>
      <c r="E681" s="11" t="s">
        <v>44</v>
      </c>
    </row>
    <row r="682" ht="12.5" spans="1:5">
      <c r="A682" s="54">
        <v>45418</v>
      </c>
      <c r="B682" s="50" t="s">
        <v>6568</v>
      </c>
      <c r="C682" s="11" t="s">
        <v>67</v>
      </c>
      <c r="D682" s="18" t="s">
        <v>6569</v>
      </c>
      <c r="E682" s="11" t="s">
        <v>44</v>
      </c>
    </row>
    <row r="683" ht="12.5" spans="1:5">
      <c r="A683" s="54">
        <v>45418</v>
      </c>
      <c r="B683" s="50" t="s">
        <v>6570</v>
      </c>
      <c r="C683" s="11" t="s">
        <v>67</v>
      </c>
      <c r="D683" s="18" t="s">
        <v>6571</v>
      </c>
      <c r="E683" s="11" t="s">
        <v>44</v>
      </c>
    </row>
    <row r="684" ht="12.5" spans="1:5">
      <c r="A684" s="54">
        <v>45419</v>
      </c>
      <c r="B684" s="50" t="s">
        <v>6572</v>
      </c>
      <c r="C684" s="11" t="s">
        <v>67</v>
      </c>
      <c r="D684" s="18" t="s">
        <v>6573</v>
      </c>
      <c r="E684" s="11" t="s">
        <v>44</v>
      </c>
    </row>
    <row r="685" ht="12.5" spans="1:5">
      <c r="A685" s="54">
        <v>45419</v>
      </c>
      <c r="B685" s="50" t="s">
        <v>5450</v>
      </c>
      <c r="C685" s="11" t="s">
        <v>67</v>
      </c>
      <c r="D685" s="18" t="s">
        <v>6574</v>
      </c>
      <c r="E685" s="11" t="s">
        <v>44</v>
      </c>
    </row>
    <row r="686" ht="12.5" spans="1:5">
      <c r="A686" s="54">
        <v>45419</v>
      </c>
      <c r="B686" s="50" t="s">
        <v>5582</v>
      </c>
      <c r="C686" s="11" t="s">
        <v>67</v>
      </c>
      <c r="D686" s="18" t="s">
        <v>6575</v>
      </c>
      <c r="E686" s="11" t="s">
        <v>44</v>
      </c>
    </row>
    <row r="687" ht="12.5" spans="1:5">
      <c r="A687" s="54">
        <v>45419</v>
      </c>
      <c r="B687" s="50" t="s">
        <v>6576</v>
      </c>
      <c r="C687" s="11" t="s">
        <v>67</v>
      </c>
      <c r="D687" s="18" t="s">
        <v>6577</v>
      </c>
      <c r="E687" s="11" t="s">
        <v>44</v>
      </c>
    </row>
    <row r="688" ht="12.5" spans="1:5">
      <c r="A688" s="54">
        <v>45420</v>
      </c>
      <c r="B688" s="50" t="s">
        <v>6578</v>
      </c>
      <c r="C688" s="11" t="s">
        <v>67</v>
      </c>
      <c r="D688" s="18" t="s">
        <v>6579</v>
      </c>
      <c r="E688" s="11" t="s">
        <v>44</v>
      </c>
    </row>
    <row r="689" ht="12.5" spans="1:5">
      <c r="A689" s="54">
        <v>45420</v>
      </c>
      <c r="B689" s="50" t="s">
        <v>5582</v>
      </c>
      <c r="C689" s="11" t="s">
        <v>67</v>
      </c>
      <c r="D689" s="18" t="s">
        <v>6580</v>
      </c>
      <c r="E689" s="11" t="s">
        <v>44</v>
      </c>
    </row>
    <row r="690" ht="12.5" spans="1:5">
      <c r="A690" s="54">
        <v>45420</v>
      </c>
      <c r="B690" s="50" t="s">
        <v>6581</v>
      </c>
      <c r="C690" s="11" t="s">
        <v>67</v>
      </c>
      <c r="D690" s="18" t="s">
        <v>6582</v>
      </c>
      <c r="E690" s="11" t="s">
        <v>44</v>
      </c>
    </row>
    <row r="691" ht="12.5" spans="1:5">
      <c r="A691" s="54">
        <v>45420</v>
      </c>
      <c r="B691" s="50" t="s">
        <v>6583</v>
      </c>
      <c r="C691" s="11" t="s">
        <v>67</v>
      </c>
      <c r="D691" s="18" t="s">
        <v>6584</v>
      </c>
      <c r="E691" s="11" t="s">
        <v>44</v>
      </c>
    </row>
    <row r="692" ht="12.5" spans="1:5">
      <c r="A692" s="54">
        <v>45420</v>
      </c>
      <c r="B692" s="50" t="s">
        <v>6585</v>
      </c>
      <c r="C692" s="11" t="s">
        <v>67</v>
      </c>
      <c r="D692" s="18" t="s">
        <v>6586</v>
      </c>
      <c r="E692" s="11" t="s">
        <v>44</v>
      </c>
    </row>
    <row r="693" ht="12.5" spans="1:5">
      <c r="A693" s="54">
        <v>45420</v>
      </c>
      <c r="B693" s="50" t="s">
        <v>6587</v>
      </c>
      <c r="C693" s="11" t="s">
        <v>67</v>
      </c>
      <c r="D693" s="18" t="s">
        <v>6588</v>
      </c>
      <c r="E693" s="11" t="s">
        <v>44</v>
      </c>
    </row>
    <row r="694" ht="12.5" spans="1:5">
      <c r="A694" s="54">
        <v>45420</v>
      </c>
      <c r="B694" s="50" t="s">
        <v>6589</v>
      </c>
      <c r="C694" s="11" t="s">
        <v>67</v>
      </c>
      <c r="D694" s="18" t="s">
        <v>6590</v>
      </c>
      <c r="E694" s="11" t="s">
        <v>44</v>
      </c>
    </row>
    <row r="695" ht="12.5" spans="1:5">
      <c r="A695" s="54">
        <v>45420</v>
      </c>
      <c r="B695" s="50" t="s">
        <v>6591</v>
      </c>
      <c r="C695" s="11" t="s">
        <v>67</v>
      </c>
      <c r="D695" s="18" t="s">
        <v>6592</v>
      </c>
      <c r="E695" s="11" t="s">
        <v>44</v>
      </c>
    </row>
    <row r="696" ht="12.5" spans="1:5">
      <c r="A696" s="54">
        <v>45420</v>
      </c>
      <c r="B696" s="50" t="s">
        <v>6593</v>
      </c>
      <c r="C696" s="11" t="s">
        <v>67</v>
      </c>
      <c r="D696" s="18" t="s">
        <v>6594</v>
      </c>
      <c r="E696" s="11" t="s">
        <v>44</v>
      </c>
    </row>
    <row r="697" ht="12.5" spans="1:5">
      <c r="A697" s="54">
        <v>45420</v>
      </c>
      <c r="B697" s="50" t="s">
        <v>6595</v>
      </c>
      <c r="C697" s="11" t="s">
        <v>67</v>
      </c>
      <c r="D697" s="18" t="s">
        <v>6596</v>
      </c>
      <c r="E697" s="11" t="s">
        <v>44</v>
      </c>
    </row>
    <row r="698" ht="12.5" spans="1:5">
      <c r="A698" s="54">
        <v>45420</v>
      </c>
      <c r="B698" s="50" t="s">
        <v>6597</v>
      </c>
      <c r="C698" s="11" t="s">
        <v>67</v>
      </c>
      <c r="D698" s="18" t="s">
        <v>6598</v>
      </c>
      <c r="E698" s="11" t="s">
        <v>44</v>
      </c>
    </row>
    <row r="699" ht="12.5" spans="1:5">
      <c r="A699" s="54">
        <v>45420</v>
      </c>
      <c r="B699" s="50" t="s">
        <v>6599</v>
      </c>
      <c r="C699" s="11" t="s">
        <v>67</v>
      </c>
      <c r="D699" s="18" t="s">
        <v>6600</v>
      </c>
      <c r="E699" s="11" t="s">
        <v>44</v>
      </c>
    </row>
    <row r="700" ht="12.5" spans="1:5">
      <c r="A700" s="54">
        <v>45420</v>
      </c>
      <c r="B700" s="50" t="s">
        <v>6601</v>
      </c>
      <c r="C700" s="11" t="s">
        <v>67</v>
      </c>
      <c r="D700" s="18" t="s">
        <v>6602</v>
      </c>
      <c r="E700" s="11" t="s">
        <v>44</v>
      </c>
    </row>
    <row r="701" ht="12.5" spans="1:5">
      <c r="A701" s="54">
        <v>45421</v>
      </c>
      <c r="B701" s="50" t="s">
        <v>6073</v>
      </c>
      <c r="C701" s="11" t="s">
        <v>67</v>
      </c>
      <c r="D701" s="18" t="s">
        <v>6603</v>
      </c>
      <c r="E701" s="11" t="s">
        <v>45</v>
      </c>
    </row>
    <row r="702" ht="12.5" spans="1:5">
      <c r="A702" s="54">
        <v>45421</v>
      </c>
      <c r="B702" s="50" t="s">
        <v>6604</v>
      </c>
      <c r="C702" s="11" t="s">
        <v>67</v>
      </c>
      <c r="D702" s="18" t="s">
        <v>6605</v>
      </c>
      <c r="E702" s="11" t="s">
        <v>44</v>
      </c>
    </row>
    <row r="703" ht="12.5" spans="1:5">
      <c r="A703" s="54">
        <v>45421</v>
      </c>
      <c r="B703" s="50" t="s">
        <v>5582</v>
      </c>
      <c r="C703" s="11" t="s">
        <v>67</v>
      </c>
      <c r="D703" s="18" t="s">
        <v>6606</v>
      </c>
      <c r="E703" s="11" t="s">
        <v>44</v>
      </c>
    </row>
    <row r="704" ht="12.5" spans="1:5">
      <c r="A704" s="54">
        <v>45421</v>
      </c>
      <c r="B704" s="50" t="s">
        <v>5395</v>
      </c>
      <c r="C704" s="11" t="s">
        <v>67</v>
      </c>
      <c r="D704" s="18" t="s">
        <v>6607</v>
      </c>
      <c r="E704" s="11" t="s">
        <v>44</v>
      </c>
    </row>
    <row r="705" ht="12.5" spans="1:5">
      <c r="A705" s="54">
        <v>45422</v>
      </c>
      <c r="B705" s="50" t="s">
        <v>6608</v>
      </c>
      <c r="C705" s="11" t="s">
        <v>67</v>
      </c>
      <c r="D705" s="18" t="s">
        <v>6609</v>
      </c>
      <c r="E705" s="11" t="s">
        <v>44</v>
      </c>
    </row>
    <row r="706" ht="12.5" spans="1:5">
      <c r="A706" s="54">
        <v>45423</v>
      </c>
      <c r="B706" s="50" t="s">
        <v>6610</v>
      </c>
      <c r="C706" s="11" t="s">
        <v>156</v>
      </c>
      <c r="D706" s="18" t="s">
        <v>6611</v>
      </c>
      <c r="E706" s="11" t="s">
        <v>44</v>
      </c>
    </row>
    <row r="707" ht="12.5" spans="1:5">
      <c r="A707" s="54">
        <v>45424</v>
      </c>
      <c r="B707" s="50" t="s">
        <v>6612</v>
      </c>
      <c r="C707" s="11" t="s">
        <v>156</v>
      </c>
      <c r="D707" s="18" t="s">
        <v>6613</v>
      </c>
      <c r="E707" s="11" t="s">
        <v>44</v>
      </c>
    </row>
    <row r="708" ht="12.5" spans="1:5">
      <c r="A708" s="54">
        <v>45424</v>
      </c>
      <c r="B708" s="50" t="s">
        <v>5582</v>
      </c>
      <c r="C708" s="11" t="s">
        <v>156</v>
      </c>
      <c r="D708" s="18" t="s">
        <v>6614</v>
      </c>
      <c r="E708" s="11" t="s">
        <v>44</v>
      </c>
    </row>
    <row r="709" ht="12.5" spans="1:5">
      <c r="A709" s="54">
        <v>45424</v>
      </c>
      <c r="B709" s="50" t="s">
        <v>6615</v>
      </c>
      <c r="C709" s="11" t="s">
        <v>156</v>
      </c>
      <c r="D709" s="18" t="s">
        <v>6616</v>
      </c>
      <c r="E709" s="11" t="s">
        <v>44</v>
      </c>
    </row>
    <row r="710" ht="12.5" spans="1:5">
      <c r="A710" s="54">
        <v>45425</v>
      </c>
      <c r="B710" s="50" t="s">
        <v>6617</v>
      </c>
      <c r="C710" s="11" t="s">
        <v>67</v>
      </c>
      <c r="D710" s="18" t="s">
        <v>6618</v>
      </c>
      <c r="E710" s="11" t="s">
        <v>44</v>
      </c>
    </row>
    <row r="711" ht="12.5" spans="1:5">
      <c r="A711" s="54">
        <v>45425</v>
      </c>
      <c r="B711" s="50" t="s">
        <v>5863</v>
      </c>
      <c r="C711" s="11" t="s">
        <v>67</v>
      </c>
      <c r="D711" s="18" t="s">
        <v>6619</v>
      </c>
      <c r="E711" s="11" t="s">
        <v>44</v>
      </c>
    </row>
    <row r="712" ht="12.5" spans="1:5">
      <c r="A712" s="54">
        <v>45425</v>
      </c>
      <c r="B712" s="50" t="s">
        <v>6620</v>
      </c>
      <c r="C712" s="11" t="s">
        <v>67</v>
      </c>
      <c r="D712" s="18" t="s">
        <v>6621</v>
      </c>
      <c r="E712" s="11" t="s">
        <v>44</v>
      </c>
    </row>
    <row r="713" ht="12.5" spans="1:5">
      <c r="A713" s="54">
        <v>45426</v>
      </c>
      <c r="B713" s="50" t="s">
        <v>6531</v>
      </c>
      <c r="C713" s="11" t="s">
        <v>67</v>
      </c>
      <c r="D713" s="18" t="s">
        <v>6622</v>
      </c>
      <c r="E713" s="11" t="s">
        <v>44</v>
      </c>
    </row>
    <row r="714" ht="12.5" spans="1:5">
      <c r="A714" s="54">
        <v>45427</v>
      </c>
      <c r="B714" s="50" t="s">
        <v>6623</v>
      </c>
      <c r="C714" s="11" t="s">
        <v>67</v>
      </c>
      <c r="D714" s="18" t="s">
        <v>6624</v>
      </c>
      <c r="E714" s="11" t="s">
        <v>44</v>
      </c>
    </row>
    <row r="715" ht="12.5" spans="1:5">
      <c r="A715" s="54">
        <v>45428</v>
      </c>
      <c r="B715" s="50" t="s">
        <v>6625</v>
      </c>
      <c r="C715" s="11" t="s">
        <v>67</v>
      </c>
      <c r="D715" s="18" t="s">
        <v>6626</v>
      </c>
      <c r="E715" s="11" t="s">
        <v>44</v>
      </c>
    </row>
    <row r="716" ht="12.5" spans="1:5">
      <c r="A716" s="54">
        <v>45428</v>
      </c>
      <c r="B716" s="50" t="s">
        <v>5532</v>
      </c>
      <c r="C716" s="11" t="s">
        <v>67</v>
      </c>
      <c r="D716" s="18" t="s">
        <v>4749</v>
      </c>
      <c r="E716" s="11" t="s">
        <v>45</v>
      </c>
    </row>
    <row r="717" ht="12.5" spans="1:5">
      <c r="A717" s="54">
        <v>45428</v>
      </c>
      <c r="B717" s="50" t="s">
        <v>6627</v>
      </c>
      <c r="C717" s="11" t="s">
        <v>67</v>
      </c>
      <c r="D717" s="18" t="s">
        <v>6628</v>
      </c>
      <c r="E717" s="11" t="s">
        <v>44</v>
      </c>
    </row>
    <row r="718" ht="12.5" spans="1:5">
      <c r="A718" s="54">
        <v>45428</v>
      </c>
      <c r="B718" s="50" t="s">
        <v>5582</v>
      </c>
      <c r="C718" s="11" t="s">
        <v>67</v>
      </c>
      <c r="D718" s="18" t="s">
        <v>6629</v>
      </c>
      <c r="E718" s="11" t="s">
        <v>44</v>
      </c>
    </row>
    <row r="719" ht="12.5" spans="1:5">
      <c r="A719" s="54">
        <v>45428</v>
      </c>
      <c r="B719" s="50" t="s">
        <v>6029</v>
      </c>
      <c r="C719" s="11" t="s">
        <v>67</v>
      </c>
      <c r="D719" s="18" t="s">
        <v>6630</v>
      </c>
      <c r="E719" s="11" t="s">
        <v>44</v>
      </c>
    </row>
    <row r="720" ht="12.5" spans="1:5">
      <c r="A720" s="54">
        <v>45429</v>
      </c>
      <c r="B720" s="50" t="s">
        <v>6631</v>
      </c>
      <c r="C720" s="11" t="s">
        <v>67</v>
      </c>
      <c r="D720" s="18" t="s">
        <v>6632</v>
      </c>
      <c r="E720" s="11" t="s">
        <v>44</v>
      </c>
    </row>
    <row r="721" ht="12.5" spans="1:5">
      <c r="A721" s="54">
        <v>45429</v>
      </c>
      <c r="B721" s="50" t="s">
        <v>6633</v>
      </c>
      <c r="C721" s="11" t="s">
        <v>67</v>
      </c>
      <c r="D721" s="18" t="s">
        <v>6634</v>
      </c>
      <c r="E721" s="11" t="s">
        <v>44</v>
      </c>
    </row>
    <row r="722" ht="12.5" spans="1:5">
      <c r="A722" s="54">
        <v>45429</v>
      </c>
      <c r="B722" s="50" t="s">
        <v>6635</v>
      </c>
      <c r="C722" s="11" t="s">
        <v>67</v>
      </c>
      <c r="D722" s="18" t="s">
        <v>6636</v>
      </c>
      <c r="E722" s="11" t="s">
        <v>44</v>
      </c>
    </row>
    <row r="723" ht="12.5" spans="1:5">
      <c r="A723" s="54">
        <v>45430</v>
      </c>
      <c r="B723" s="50" t="s">
        <v>6637</v>
      </c>
      <c r="C723" s="11" t="s">
        <v>156</v>
      </c>
      <c r="D723" s="18" t="s">
        <v>6638</v>
      </c>
      <c r="E723" s="11" t="s">
        <v>44</v>
      </c>
    </row>
    <row r="724" ht="12.5" spans="1:5">
      <c r="A724" s="54">
        <v>45433</v>
      </c>
      <c r="B724" s="50" t="s">
        <v>5929</v>
      </c>
      <c r="C724" s="11" t="s">
        <v>67</v>
      </c>
      <c r="D724" s="18" t="s">
        <v>6639</v>
      </c>
      <c r="E724" s="11" t="s">
        <v>44</v>
      </c>
    </row>
    <row r="725" ht="12.5" spans="1:5">
      <c r="A725" s="54">
        <v>45433</v>
      </c>
      <c r="B725" s="50" t="s">
        <v>6640</v>
      </c>
      <c r="C725" s="11" t="s">
        <v>67</v>
      </c>
      <c r="D725" s="18" t="s">
        <v>6641</v>
      </c>
      <c r="E725" s="11" t="s">
        <v>44</v>
      </c>
    </row>
    <row r="726" ht="12.5" spans="1:5">
      <c r="A726" s="54">
        <v>45434</v>
      </c>
      <c r="B726" s="50" t="s">
        <v>6642</v>
      </c>
      <c r="C726" s="11" t="s">
        <v>67</v>
      </c>
      <c r="D726" s="18" t="s">
        <v>6643</v>
      </c>
      <c r="E726" s="11" t="s">
        <v>44</v>
      </c>
    </row>
    <row r="727" ht="12.5" spans="1:5">
      <c r="A727" s="54">
        <v>45434</v>
      </c>
      <c r="B727" s="50" t="s">
        <v>5417</v>
      </c>
      <c r="C727" s="11" t="s">
        <v>67</v>
      </c>
      <c r="D727" s="18" t="s">
        <v>6644</v>
      </c>
      <c r="E727" s="11" t="s">
        <v>44</v>
      </c>
    </row>
    <row r="728" ht="12.5" spans="1:5">
      <c r="A728" s="54">
        <v>45434</v>
      </c>
      <c r="B728" s="50" t="s">
        <v>6645</v>
      </c>
      <c r="C728" s="11" t="s">
        <v>67</v>
      </c>
      <c r="D728" s="18" t="s">
        <v>6646</v>
      </c>
      <c r="E728" s="11" t="s">
        <v>44</v>
      </c>
    </row>
    <row r="729" ht="12.5" spans="1:5">
      <c r="A729" s="54">
        <v>45435</v>
      </c>
      <c r="B729" s="50" t="s">
        <v>6647</v>
      </c>
      <c r="C729" s="11" t="s">
        <v>67</v>
      </c>
      <c r="D729" s="18" t="s">
        <v>6648</v>
      </c>
      <c r="E729" s="11" t="s">
        <v>44</v>
      </c>
    </row>
    <row r="730" ht="12.5" spans="1:5">
      <c r="A730" s="54">
        <v>45436</v>
      </c>
      <c r="B730" s="50" t="s">
        <v>6343</v>
      </c>
      <c r="C730" s="11" t="s">
        <v>67</v>
      </c>
      <c r="D730" s="18" t="s">
        <v>6649</v>
      </c>
      <c r="E730" s="11" t="s">
        <v>44</v>
      </c>
    </row>
    <row r="731" ht="12.5" spans="1:5">
      <c r="A731" s="54">
        <v>45436</v>
      </c>
      <c r="B731" s="50" t="s">
        <v>5907</v>
      </c>
      <c r="C731" s="11" t="s">
        <v>67</v>
      </c>
      <c r="D731" s="18" t="s">
        <v>6650</v>
      </c>
      <c r="E731" s="11" t="s">
        <v>44</v>
      </c>
    </row>
    <row r="732" ht="12.5" spans="1:5">
      <c r="A732" s="54">
        <v>45436</v>
      </c>
      <c r="B732" s="50" t="s">
        <v>5632</v>
      </c>
      <c r="C732" s="11" t="s">
        <v>67</v>
      </c>
      <c r="D732" s="18" t="s">
        <v>6651</v>
      </c>
      <c r="E732" s="11" t="s">
        <v>44</v>
      </c>
    </row>
    <row r="733" ht="12.5" spans="1:5">
      <c r="A733" s="54">
        <v>45436</v>
      </c>
      <c r="B733" s="50" t="s">
        <v>6623</v>
      </c>
      <c r="C733" s="11" t="s">
        <v>67</v>
      </c>
      <c r="D733" s="18" t="s">
        <v>6652</v>
      </c>
      <c r="E733" s="11" t="s">
        <v>44</v>
      </c>
    </row>
    <row r="734" ht="12.5" spans="1:5">
      <c r="A734" s="54">
        <v>45437</v>
      </c>
      <c r="B734" s="50" t="s">
        <v>5582</v>
      </c>
      <c r="C734" s="11" t="s">
        <v>156</v>
      </c>
      <c r="D734" s="18" t="s">
        <v>6653</v>
      </c>
      <c r="E734" s="11" t="s">
        <v>44</v>
      </c>
    </row>
    <row r="735" ht="12.5" spans="1:5">
      <c r="A735" s="54">
        <v>45437</v>
      </c>
      <c r="B735" s="50" t="s">
        <v>5632</v>
      </c>
      <c r="C735" s="11" t="s">
        <v>156</v>
      </c>
      <c r="D735" s="18" t="s">
        <v>6654</v>
      </c>
      <c r="E735" s="11" t="s">
        <v>44</v>
      </c>
    </row>
    <row r="736" ht="12.5" spans="1:5">
      <c r="A736" s="54">
        <v>45437</v>
      </c>
      <c r="B736" s="50" t="s">
        <v>5756</v>
      </c>
      <c r="C736" s="11" t="s">
        <v>156</v>
      </c>
      <c r="D736" s="18" t="s">
        <v>4885</v>
      </c>
      <c r="E736" s="11" t="s">
        <v>45</v>
      </c>
    </row>
    <row r="737" ht="12.5" spans="1:5">
      <c r="A737" s="54">
        <v>45439</v>
      </c>
      <c r="B737" s="50" t="s">
        <v>5896</v>
      </c>
      <c r="C737" s="11" t="s">
        <v>67</v>
      </c>
      <c r="D737" s="18" t="s">
        <v>6655</v>
      </c>
      <c r="E737" s="11" t="s">
        <v>44</v>
      </c>
    </row>
    <row r="738" ht="12.5" spans="1:5">
      <c r="A738" s="54">
        <v>45439</v>
      </c>
      <c r="B738" s="50" t="s">
        <v>6656</v>
      </c>
      <c r="C738" s="11" t="s">
        <v>67</v>
      </c>
      <c r="D738" s="18" t="s">
        <v>6657</v>
      </c>
      <c r="E738" s="11" t="s">
        <v>44</v>
      </c>
    </row>
    <row r="739" ht="12.5" spans="1:5">
      <c r="A739" s="54">
        <v>45440</v>
      </c>
      <c r="B739" s="50" t="s">
        <v>5582</v>
      </c>
      <c r="C739" s="11" t="s">
        <v>67</v>
      </c>
      <c r="D739" s="18" t="s">
        <v>6658</v>
      </c>
      <c r="E739" s="11" t="s">
        <v>44</v>
      </c>
    </row>
    <row r="740" ht="12.5" spans="1:5">
      <c r="A740" s="54">
        <v>45440</v>
      </c>
      <c r="B740" s="50" t="s">
        <v>6659</v>
      </c>
      <c r="C740" s="11" t="s">
        <v>67</v>
      </c>
      <c r="D740" s="18" t="s">
        <v>6660</v>
      </c>
      <c r="E740" s="11" t="s">
        <v>44</v>
      </c>
    </row>
    <row r="741" ht="12.5" spans="1:5">
      <c r="A741" s="54">
        <v>45440</v>
      </c>
      <c r="B741" s="50" t="s">
        <v>6661</v>
      </c>
      <c r="C741" s="11" t="s">
        <v>67</v>
      </c>
      <c r="D741" s="18" t="s">
        <v>6662</v>
      </c>
      <c r="E741" s="11" t="s">
        <v>44</v>
      </c>
    </row>
    <row r="742" ht="12.5" spans="1:5">
      <c r="A742" s="54">
        <v>45443</v>
      </c>
      <c r="B742" s="50" t="s">
        <v>5942</v>
      </c>
      <c r="C742" s="11" t="s">
        <v>156</v>
      </c>
      <c r="D742" s="18" t="s">
        <v>6663</v>
      </c>
      <c r="E742" s="11" t="s">
        <v>44</v>
      </c>
    </row>
    <row r="743" ht="12.5" spans="1:5">
      <c r="A743" s="54">
        <v>45444</v>
      </c>
      <c r="B743" s="50" t="s">
        <v>6664</v>
      </c>
      <c r="C743" s="11" t="s">
        <v>156</v>
      </c>
      <c r="D743" s="18" t="s">
        <v>6665</v>
      </c>
      <c r="E743" s="11" t="s">
        <v>44</v>
      </c>
    </row>
    <row r="744" ht="12.5" spans="1:5">
      <c r="A744" s="54">
        <v>45446</v>
      </c>
      <c r="B744" s="50" t="s">
        <v>6466</v>
      </c>
      <c r="C744" s="11" t="s">
        <v>67</v>
      </c>
      <c r="D744" s="18" t="s">
        <v>6666</v>
      </c>
      <c r="E744" s="11" t="s">
        <v>44</v>
      </c>
    </row>
    <row r="745" ht="12.5" spans="1:5">
      <c r="A745" s="54">
        <v>45446</v>
      </c>
      <c r="B745" s="50" t="s">
        <v>6517</v>
      </c>
      <c r="C745" s="11" t="s">
        <v>67</v>
      </c>
      <c r="D745" s="18" t="s">
        <v>6667</v>
      </c>
      <c r="E745" s="11" t="s">
        <v>44</v>
      </c>
    </row>
    <row r="746" ht="12.5" spans="1:5">
      <c r="A746" s="54">
        <v>45447</v>
      </c>
      <c r="B746" s="50" t="s">
        <v>6570</v>
      </c>
      <c r="C746" s="11" t="s">
        <v>67</v>
      </c>
      <c r="D746" s="18" t="s">
        <v>6668</v>
      </c>
      <c r="E746" s="11" t="s">
        <v>44</v>
      </c>
    </row>
    <row r="747" ht="12.5" spans="1:4">
      <c r="A747" s="50"/>
      <c r="B747" s="50"/>
      <c r="D747" s="11"/>
    </row>
    <row r="748" ht="12.5" spans="1:4">
      <c r="A748" s="50"/>
      <c r="B748" s="50"/>
      <c r="D748" s="11"/>
    </row>
    <row r="749" ht="12.5" spans="1:4">
      <c r="A749" s="50"/>
      <c r="B749" s="50"/>
      <c r="D749" s="11"/>
    </row>
    <row r="750" ht="12.5" spans="1:4">
      <c r="A750" s="50"/>
      <c r="B750" s="50"/>
      <c r="D750" s="11"/>
    </row>
    <row r="751" ht="12.5" spans="1:4">
      <c r="A751" s="50"/>
      <c r="B751" s="50"/>
      <c r="D751" s="11"/>
    </row>
    <row r="752" ht="12.5" spans="1:4">
      <c r="A752" s="50"/>
      <c r="B752" s="50"/>
      <c r="D752" s="11"/>
    </row>
    <row r="753" ht="12.5" spans="1:4">
      <c r="A753" s="50"/>
      <c r="B753" s="50"/>
      <c r="D753" s="11"/>
    </row>
    <row r="754" ht="12.5" spans="1:4">
      <c r="A754" s="50"/>
      <c r="B754" s="50"/>
      <c r="D754" s="11"/>
    </row>
    <row r="755" ht="12.5" spans="1:4">
      <c r="A755" s="50"/>
      <c r="B755" s="50"/>
      <c r="D755" s="11"/>
    </row>
    <row r="756" ht="12.5" spans="1:4">
      <c r="A756" s="50"/>
      <c r="B756" s="50"/>
      <c r="D756" s="11"/>
    </row>
    <row r="757" ht="12.5" spans="1:4">
      <c r="A757" s="50"/>
      <c r="B757" s="50"/>
      <c r="D757" s="11"/>
    </row>
    <row r="758" ht="12.5" spans="1:4">
      <c r="A758" s="50"/>
      <c r="B758" s="50"/>
      <c r="D758" s="11"/>
    </row>
    <row r="759" ht="12.5" spans="1:4">
      <c r="A759" s="50"/>
      <c r="B759" s="50"/>
      <c r="D759" s="11"/>
    </row>
    <row r="760" ht="12.5" spans="1:4">
      <c r="A760" s="50"/>
      <c r="B760" s="50"/>
      <c r="D760" s="11"/>
    </row>
    <row r="761" ht="12.5" spans="1:4">
      <c r="A761" s="50"/>
      <c r="B761" s="50"/>
      <c r="D761" s="11"/>
    </row>
    <row r="762" ht="12.5" spans="1:4">
      <c r="A762" s="50"/>
      <c r="B762" s="50"/>
      <c r="D762" s="11"/>
    </row>
    <row r="763" ht="12.5" spans="1:4">
      <c r="A763" s="50"/>
      <c r="B763" s="50"/>
      <c r="D763" s="11"/>
    </row>
    <row r="764" ht="12.5" spans="1:4">
      <c r="A764" s="50"/>
      <c r="B764" s="50"/>
      <c r="D764" s="11"/>
    </row>
    <row r="765" ht="12.5" spans="1:4">
      <c r="A765" s="50"/>
      <c r="B765" s="50"/>
      <c r="D765" s="11"/>
    </row>
    <row r="766" ht="12.5" spans="1:4">
      <c r="A766" s="50"/>
      <c r="B766" s="50"/>
      <c r="D766" s="11"/>
    </row>
    <row r="767" ht="12.5" spans="1:4">
      <c r="A767" s="50"/>
      <c r="B767" s="50"/>
      <c r="D767" s="11"/>
    </row>
    <row r="768" ht="12.5" spans="1:4">
      <c r="A768" s="50"/>
      <c r="B768" s="50"/>
      <c r="D768" s="11"/>
    </row>
    <row r="769" ht="12.5" spans="1:4">
      <c r="A769" s="50"/>
      <c r="B769" s="50"/>
      <c r="D769" s="11"/>
    </row>
    <row r="770" ht="12.5" spans="1:4">
      <c r="A770" s="50"/>
      <c r="B770" s="50"/>
      <c r="D770" s="11"/>
    </row>
    <row r="771" ht="12.5" spans="1:4">
      <c r="A771" s="50"/>
      <c r="B771" s="50"/>
      <c r="D771" s="11"/>
    </row>
    <row r="772" ht="12.5" spans="1:4">
      <c r="A772" s="50"/>
      <c r="B772" s="50"/>
      <c r="D772" s="11"/>
    </row>
    <row r="773" ht="12.5" spans="1:4">
      <c r="A773" s="50"/>
      <c r="B773" s="50"/>
      <c r="D773" s="11"/>
    </row>
    <row r="774" ht="12.5" spans="1:4">
      <c r="A774" s="50"/>
      <c r="B774" s="50"/>
      <c r="D774" s="11"/>
    </row>
    <row r="775" ht="12.5" spans="1:4">
      <c r="A775" s="50"/>
      <c r="B775" s="50"/>
      <c r="D775" s="11"/>
    </row>
    <row r="776" ht="12.5" spans="1:4">
      <c r="A776" s="50"/>
      <c r="B776" s="50"/>
      <c r="D776" s="11"/>
    </row>
    <row r="777" ht="12.5" spans="1:4">
      <c r="A777" s="50"/>
      <c r="B777" s="50"/>
      <c r="D777" s="11"/>
    </row>
    <row r="778" ht="12.5" spans="1:4">
      <c r="A778" s="50"/>
      <c r="B778" s="50"/>
      <c r="D778" s="11"/>
    </row>
    <row r="779" ht="12.5" spans="1:4">
      <c r="A779" s="50"/>
      <c r="B779" s="50"/>
      <c r="D779" s="11"/>
    </row>
    <row r="780" ht="12.5" spans="1:4">
      <c r="A780" s="50"/>
      <c r="B780" s="50"/>
      <c r="D780" s="11"/>
    </row>
    <row r="781" ht="12.5" spans="1:4">
      <c r="A781" s="50"/>
      <c r="B781" s="50"/>
      <c r="D781" s="11"/>
    </row>
    <row r="782" ht="12.5" spans="1:4">
      <c r="A782" s="50"/>
      <c r="B782" s="50"/>
      <c r="D782" s="11"/>
    </row>
    <row r="783" ht="12.5" spans="1:4">
      <c r="A783" s="50"/>
      <c r="B783" s="50"/>
      <c r="D783" s="11"/>
    </row>
    <row r="784" ht="12.5" spans="1:4">
      <c r="A784" s="50"/>
      <c r="B784" s="50"/>
      <c r="D784" s="11"/>
    </row>
    <row r="785" ht="12.5" spans="1:4">
      <c r="A785" s="50"/>
      <c r="B785" s="50"/>
      <c r="D785" s="11"/>
    </row>
    <row r="786" ht="12.5" spans="1:4">
      <c r="A786" s="50"/>
      <c r="B786" s="50"/>
      <c r="D786" s="11"/>
    </row>
    <row r="787" ht="12.5" spans="1:4">
      <c r="A787" s="50"/>
      <c r="B787" s="50"/>
      <c r="D787" s="11"/>
    </row>
    <row r="788" ht="12.5" spans="1:4">
      <c r="A788" s="50"/>
      <c r="B788" s="50"/>
      <c r="D788" s="11"/>
    </row>
    <row r="789" ht="12.5" spans="1:4">
      <c r="A789" s="50"/>
      <c r="B789" s="50"/>
      <c r="D789" s="11"/>
    </row>
    <row r="790" ht="12.5" spans="1:4">
      <c r="A790" s="50"/>
      <c r="B790" s="50"/>
      <c r="D790" s="11"/>
    </row>
    <row r="791" ht="12.5" spans="1:4">
      <c r="A791" s="50"/>
      <c r="B791" s="50"/>
      <c r="D791" s="11"/>
    </row>
    <row r="792" ht="12.5" spans="1:4">
      <c r="A792" s="50"/>
      <c r="B792" s="50"/>
      <c r="D792" s="11"/>
    </row>
    <row r="793" ht="12.5" spans="1:4">
      <c r="A793" s="50"/>
      <c r="B793" s="50"/>
      <c r="D793" s="11"/>
    </row>
    <row r="794" ht="12.5" spans="1:4">
      <c r="A794" s="50"/>
      <c r="B794" s="50"/>
      <c r="D794" s="11"/>
    </row>
    <row r="795" ht="12.5" spans="1:4">
      <c r="A795" s="50"/>
      <c r="B795" s="50"/>
      <c r="D795" s="11"/>
    </row>
    <row r="796" ht="12.5" spans="1:4">
      <c r="A796" s="50"/>
      <c r="B796" s="50"/>
      <c r="D796" s="11"/>
    </row>
    <row r="797" ht="12.5" spans="1:4">
      <c r="A797" s="50"/>
      <c r="B797" s="50"/>
      <c r="D797" s="11"/>
    </row>
    <row r="798" ht="12.5" spans="1:4">
      <c r="A798" s="50"/>
      <c r="B798" s="50"/>
      <c r="D798" s="11"/>
    </row>
    <row r="799" ht="12.5" spans="1:4">
      <c r="A799" s="50"/>
      <c r="B799" s="50"/>
      <c r="D799" s="11"/>
    </row>
    <row r="800" ht="12.5" spans="1:4">
      <c r="A800" s="50"/>
      <c r="B800" s="50"/>
      <c r="D800" s="11"/>
    </row>
    <row r="801" ht="12.5" spans="1:4">
      <c r="A801" s="50"/>
      <c r="B801" s="50"/>
      <c r="D801" s="11"/>
    </row>
    <row r="802" ht="12.5" spans="1:4">
      <c r="A802" s="50"/>
      <c r="B802" s="50"/>
      <c r="D802" s="11"/>
    </row>
    <row r="803" ht="12.5" spans="1:4">
      <c r="A803" s="50"/>
      <c r="B803" s="50"/>
      <c r="D803" s="11"/>
    </row>
    <row r="804" ht="12.5" spans="1:4">
      <c r="A804" s="50"/>
      <c r="B804" s="50"/>
      <c r="D804" s="11"/>
    </row>
    <row r="805" ht="12.5" spans="1:4">
      <c r="A805" s="50"/>
      <c r="B805" s="50"/>
      <c r="D805" s="11"/>
    </row>
    <row r="806" ht="12.5" spans="1:4">
      <c r="A806" s="50"/>
      <c r="B806" s="50"/>
      <c r="D806" s="11"/>
    </row>
    <row r="807" ht="12.5" spans="1:4">
      <c r="A807" s="50"/>
      <c r="B807" s="50"/>
      <c r="D807" s="11"/>
    </row>
    <row r="808" ht="12.5" spans="1:4">
      <c r="A808" s="50"/>
      <c r="B808" s="50"/>
      <c r="D808" s="11"/>
    </row>
    <row r="809" ht="12.5" spans="1:4">
      <c r="A809" s="50"/>
      <c r="B809" s="50"/>
      <c r="D809" s="11"/>
    </row>
    <row r="810" ht="12.5" spans="1:4">
      <c r="A810" s="50"/>
      <c r="B810" s="50"/>
      <c r="D810" s="11"/>
    </row>
    <row r="811" ht="12.5" spans="1:4">
      <c r="A811" s="50"/>
      <c r="B811" s="50"/>
      <c r="D811" s="11"/>
    </row>
    <row r="812" ht="12.5" spans="1:4">
      <c r="A812" s="50"/>
      <c r="B812" s="50"/>
      <c r="D812" s="11"/>
    </row>
    <row r="813" ht="12.5" spans="1:4">
      <c r="A813" s="50"/>
      <c r="B813" s="50"/>
      <c r="D813" s="11"/>
    </row>
    <row r="814" ht="12.5" spans="1:4">
      <c r="A814" s="50"/>
      <c r="B814" s="50"/>
      <c r="D814" s="11"/>
    </row>
    <row r="815" ht="12.5" spans="1:4">
      <c r="A815" s="50"/>
      <c r="B815" s="50"/>
      <c r="D815" s="11"/>
    </row>
    <row r="816" ht="12.5" spans="1:4">
      <c r="A816" s="50"/>
      <c r="B816" s="50"/>
      <c r="D816" s="11"/>
    </row>
    <row r="817" ht="12.5" spans="1:4">
      <c r="A817" s="50"/>
      <c r="B817" s="50"/>
      <c r="D817" s="11"/>
    </row>
    <row r="818" ht="12.5" spans="1:4">
      <c r="A818" s="50"/>
      <c r="B818" s="50"/>
      <c r="D818" s="11"/>
    </row>
    <row r="819" ht="12.5" spans="1:4">
      <c r="A819" s="50"/>
      <c r="B819" s="50"/>
      <c r="D819" s="11"/>
    </row>
    <row r="820" ht="12.5" spans="1:4">
      <c r="A820" s="50"/>
      <c r="B820" s="50"/>
      <c r="D820" s="11"/>
    </row>
    <row r="821" ht="12.5" spans="1:4">
      <c r="A821" s="50"/>
      <c r="B821" s="50"/>
      <c r="D821" s="11"/>
    </row>
    <row r="822" ht="12.5" spans="1:4">
      <c r="A822" s="50"/>
      <c r="B822" s="50"/>
      <c r="D822" s="11"/>
    </row>
    <row r="823" ht="12.5" spans="1:4">
      <c r="A823" s="50"/>
      <c r="B823" s="50"/>
      <c r="D823" s="11"/>
    </row>
    <row r="824" ht="12.5" spans="1:4">
      <c r="A824" s="50"/>
      <c r="B824" s="50"/>
      <c r="D824" s="11"/>
    </row>
    <row r="825" ht="12.5" spans="1:4">
      <c r="A825" s="50"/>
      <c r="B825" s="50"/>
      <c r="D825" s="11"/>
    </row>
    <row r="826" ht="12.5" spans="1:4">
      <c r="A826" s="50"/>
      <c r="B826" s="50"/>
      <c r="D826" s="11"/>
    </row>
    <row r="827" ht="12.5" spans="1:4">
      <c r="A827" s="50"/>
      <c r="B827" s="50"/>
      <c r="D827" s="11"/>
    </row>
    <row r="828" ht="12.5" spans="1:4">
      <c r="A828" s="50"/>
      <c r="B828" s="50"/>
      <c r="D828" s="11"/>
    </row>
    <row r="829" ht="12.5" spans="1:4">
      <c r="A829" s="50"/>
      <c r="B829" s="50"/>
      <c r="D829" s="11"/>
    </row>
    <row r="830" ht="12.5" spans="1:4">
      <c r="A830" s="50"/>
      <c r="B830" s="50"/>
      <c r="D830" s="11"/>
    </row>
    <row r="831" ht="12.5" spans="1:4">
      <c r="A831" s="50"/>
      <c r="B831" s="50"/>
      <c r="D831" s="11"/>
    </row>
    <row r="832" ht="12.5" spans="1:4">
      <c r="A832" s="50"/>
      <c r="B832" s="50"/>
      <c r="D832" s="11"/>
    </row>
    <row r="833" ht="12.5" spans="1:4">
      <c r="A833" s="50"/>
      <c r="B833" s="50"/>
      <c r="D833" s="11"/>
    </row>
    <row r="834" ht="12.5" spans="1:4">
      <c r="A834" s="50"/>
      <c r="B834" s="50"/>
      <c r="D834" s="11"/>
    </row>
    <row r="835" ht="12.5" spans="1:4">
      <c r="A835" s="50"/>
      <c r="B835" s="50"/>
      <c r="D835" s="11"/>
    </row>
    <row r="836" ht="12.5" spans="1:4">
      <c r="A836" s="50"/>
      <c r="B836" s="50"/>
      <c r="D836" s="11"/>
    </row>
    <row r="837" ht="12.5" spans="1:4">
      <c r="A837" s="50"/>
      <c r="B837" s="50"/>
      <c r="D837" s="11"/>
    </row>
    <row r="838" ht="12.5" spans="1:4">
      <c r="A838" s="50"/>
      <c r="B838" s="50"/>
      <c r="D838" s="11"/>
    </row>
    <row r="839" ht="12.5" spans="1:4">
      <c r="A839" s="50"/>
      <c r="B839" s="50"/>
      <c r="D839" s="11"/>
    </row>
    <row r="840" ht="12.5" spans="1:4">
      <c r="A840" s="50"/>
      <c r="B840" s="50"/>
      <c r="D840" s="11"/>
    </row>
    <row r="841" ht="12.5" spans="1:4">
      <c r="A841" s="50"/>
      <c r="B841" s="50"/>
      <c r="D841" s="11"/>
    </row>
    <row r="842" ht="12.5" spans="1:4">
      <c r="A842" s="50"/>
      <c r="B842" s="50"/>
      <c r="D842" s="11"/>
    </row>
    <row r="843" ht="12.5" spans="1:4">
      <c r="A843" s="50"/>
      <c r="B843" s="50"/>
      <c r="D843" s="11"/>
    </row>
    <row r="844" ht="12.5" spans="1:4">
      <c r="A844" s="50"/>
      <c r="B844" s="50"/>
      <c r="D844" s="11"/>
    </row>
    <row r="845" ht="12.5" spans="1:4">
      <c r="A845" s="50"/>
      <c r="B845" s="50"/>
      <c r="D845" s="11"/>
    </row>
    <row r="846" ht="12.5" spans="1:4">
      <c r="A846" s="50"/>
      <c r="B846" s="50"/>
      <c r="D846" s="11"/>
    </row>
    <row r="847" ht="12.5" spans="1:4">
      <c r="A847" s="50"/>
      <c r="B847" s="50"/>
      <c r="D847" s="11"/>
    </row>
    <row r="848" ht="12.5" spans="1:4">
      <c r="A848" s="50"/>
      <c r="B848" s="50"/>
      <c r="D848" s="11"/>
    </row>
    <row r="849" ht="12.5" spans="1:4">
      <c r="A849" s="50"/>
      <c r="B849" s="50"/>
      <c r="D849" s="11"/>
    </row>
    <row r="850" ht="12.5" spans="1:4">
      <c r="A850" s="50"/>
      <c r="B850" s="50"/>
      <c r="D850" s="11"/>
    </row>
    <row r="851" ht="12.5" spans="1:4">
      <c r="A851" s="50"/>
      <c r="B851" s="50"/>
      <c r="D851" s="11"/>
    </row>
    <row r="852" ht="12.5" spans="1:4">
      <c r="A852" s="50"/>
      <c r="B852" s="50"/>
      <c r="D852" s="11"/>
    </row>
    <row r="853" ht="12.5" spans="1:4">
      <c r="A853" s="50"/>
      <c r="B853" s="50"/>
      <c r="D853" s="11"/>
    </row>
    <row r="854" ht="12.5" spans="1:4">
      <c r="A854" s="50"/>
      <c r="B854" s="50"/>
      <c r="D854" s="11"/>
    </row>
    <row r="855" ht="12.5" spans="1:4">
      <c r="A855" s="50"/>
      <c r="B855" s="50"/>
      <c r="D855" s="11"/>
    </row>
    <row r="856" ht="12.5" spans="1:4">
      <c r="A856" s="50"/>
      <c r="B856" s="50"/>
      <c r="D856" s="11"/>
    </row>
    <row r="857" ht="12.5" spans="1:4">
      <c r="A857" s="50"/>
      <c r="B857" s="50"/>
      <c r="D857" s="11"/>
    </row>
    <row r="858" ht="12.5" spans="1:4">
      <c r="A858" s="50"/>
      <c r="B858" s="50"/>
      <c r="D858" s="11"/>
    </row>
    <row r="859" ht="12.5" spans="1:4">
      <c r="A859" s="50"/>
      <c r="B859" s="50"/>
      <c r="D859" s="11"/>
    </row>
    <row r="860" ht="12.5" spans="1:4">
      <c r="A860" s="50"/>
      <c r="B860" s="50"/>
      <c r="D860" s="11"/>
    </row>
    <row r="861" ht="12.5" spans="1:4">
      <c r="A861" s="50"/>
      <c r="B861" s="50"/>
      <c r="D861" s="11"/>
    </row>
    <row r="862" ht="12.5" spans="1:4">
      <c r="A862" s="50"/>
      <c r="B862" s="50"/>
      <c r="D862" s="11"/>
    </row>
    <row r="863" ht="12.5" spans="1:4">
      <c r="A863" s="50"/>
      <c r="B863" s="50"/>
      <c r="D863" s="11"/>
    </row>
    <row r="864" ht="12.5" spans="1:4">
      <c r="A864" s="50"/>
      <c r="B864" s="50"/>
      <c r="D864" s="11"/>
    </row>
    <row r="865" ht="12.5" spans="1:4">
      <c r="A865" s="50"/>
      <c r="B865" s="50"/>
      <c r="D865" s="11"/>
    </row>
    <row r="866" ht="12.5" spans="1:4">
      <c r="A866" s="50"/>
      <c r="B866" s="50"/>
      <c r="D866" s="11"/>
    </row>
    <row r="867" ht="12.5" spans="1:4">
      <c r="A867" s="50"/>
      <c r="B867" s="50"/>
      <c r="D867" s="11"/>
    </row>
    <row r="868" ht="12.5" spans="1:4">
      <c r="A868" s="50"/>
      <c r="B868" s="50"/>
      <c r="D868" s="11"/>
    </row>
    <row r="869" ht="12.5" spans="1:4">
      <c r="A869" s="50"/>
      <c r="B869" s="50"/>
      <c r="D869" s="11"/>
    </row>
    <row r="870" ht="12.5" spans="1:4">
      <c r="A870" s="50"/>
      <c r="B870" s="50"/>
      <c r="D870" s="11"/>
    </row>
    <row r="871" ht="12.5" spans="1:4">
      <c r="A871" s="50"/>
      <c r="B871" s="50"/>
      <c r="D871" s="11"/>
    </row>
    <row r="872" ht="12.5" spans="1:4">
      <c r="A872" s="50"/>
      <c r="B872" s="50"/>
      <c r="D872" s="11"/>
    </row>
    <row r="873" ht="12.5" spans="1:4">
      <c r="A873" s="50"/>
      <c r="B873" s="50"/>
      <c r="D873" s="11"/>
    </row>
    <row r="874" ht="12.5" spans="1:4">
      <c r="A874" s="50"/>
      <c r="B874" s="50"/>
      <c r="D874" s="11"/>
    </row>
    <row r="875" ht="12.5" spans="1:4">
      <c r="A875" s="50"/>
      <c r="B875" s="50"/>
      <c r="D875" s="11"/>
    </row>
    <row r="876" ht="12.5" spans="1:4">
      <c r="A876" s="50"/>
      <c r="B876" s="50"/>
      <c r="D876" s="11"/>
    </row>
    <row r="877" ht="12.5" spans="1:4">
      <c r="A877" s="50"/>
      <c r="B877" s="50"/>
      <c r="D877" s="11"/>
    </row>
    <row r="878" ht="12.5" spans="1:4">
      <c r="A878" s="50"/>
      <c r="B878" s="50"/>
      <c r="D878" s="11"/>
    </row>
    <row r="879" ht="12.5" spans="1:4">
      <c r="A879" s="50"/>
      <c r="B879" s="50"/>
      <c r="D879" s="11"/>
    </row>
    <row r="880" ht="12.5" spans="1:4">
      <c r="A880" s="50"/>
      <c r="B880" s="50"/>
      <c r="D880" s="11"/>
    </row>
    <row r="881" ht="12.5" spans="1:4">
      <c r="A881" s="50"/>
      <c r="B881" s="50"/>
      <c r="D881" s="11"/>
    </row>
    <row r="882" ht="12.5" spans="1:4">
      <c r="A882" s="50"/>
      <c r="B882" s="50"/>
      <c r="D882" s="11"/>
    </row>
    <row r="883" ht="12.5" spans="1:4">
      <c r="A883" s="50"/>
      <c r="B883" s="50"/>
      <c r="D883" s="11"/>
    </row>
    <row r="884" ht="12.5" spans="1:4">
      <c r="A884" s="50"/>
      <c r="B884" s="50"/>
      <c r="D884" s="11"/>
    </row>
    <row r="885" ht="12.5" spans="1:4">
      <c r="A885" s="50"/>
      <c r="B885" s="50"/>
      <c r="D885" s="11"/>
    </row>
    <row r="886" ht="12.5" spans="1:4">
      <c r="A886" s="50"/>
      <c r="B886" s="50"/>
      <c r="D886" s="11"/>
    </row>
    <row r="887" ht="12.5" spans="1:4">
      <c r="A887" s="50"/>
      <c r="B887" s="50"/>
      <c r="D887" s="11"/>
    </row>
    <row r="888" ht="12.5" spans="1:4">
      <c r="A888" s="50"/>
      <c r="B888" s="50"/>
      <c r="D888" s="11"/>
    </row>
    <row r="889" ht="12.5" spans="1:4">
      <c r="A889" s="50"/>
      <c r="B889" s="50"/>
      <c r="D889" s="11"/>
    </row>
    <row r="890" ht="12.5" spans="1:4">
      <c r="A890" s="50"/>
      <c r="B890" s="50"/>
      <c r="D890" s="11"/>
    </row>
    <row r="891" ht="12.5" spans="1:4">
      <c r="A891" s="50"/>
      <c r="B891" s="50"/>
      <c r="D891" s="11"/>
    </row>
    <row r="892" ht="12.5" spans="1:4">
      <c r="A892" s="50"/>
      <c r="B892" s="50"/>
      <c r="D892" s="11"/>
    </row>
    <row r="893" ht="12.5" spans="1:4">
      <c r="A893" s="50"/>
      <c r="B893" s="50"/>
      <c r="D893" s="11"/>
    </row>
    <row r="894" ht="12.5" spans="1:4">
      <c r="A894" s="50"/>
      <c r="B894" s="50"/>
      <c r="D894" s="11"/>
    </row>
    <row r="895" ht="12.5" spans="1:4">
      <c r="A895" s="50"/>
      <c r="B895" s="50"/>
      <c r="D895" s="11"/>
    </row>
    <row r="896" ht="12.5" spans="1:4">
      <c r="A896" s="50"/>
      <c r="B896" s="50"/>
      <c r="D896" s="11"/>
    </row>
    <row r="897" ht="12.5" spans="1:4">
      <c r="A897" s="50"/>
      <c r="B897" s="50"/>
      <c r="D897" s="11"/>
    </row>
    <row r="898" ht="12.5" spans="1:4">
      <c r="A898" s="50"/>
      <c r="B898" s="50"/>
      <c r="D898" s="11"/>
    </row>
    <row r="899" ht="12.5" spans="1:4">
      <c r="A899" s="50"/>
      <c r="B899" s="50"/>
      <c r="D899" s="11"/>
    </row>
    <row r="900" ht="12.5" spans="1:4">
      <c r="A900" s="50"/>
      <c r="B900" s="50"/>
      <c r="D900" s="11"/>
    </row>
    <row r="901" ht="12.5" spans="1:4">
      <c r="A901" s="50"/>
      <c r="B901" s="50"/>
      <c r="D901" s="11"/>
    </row>
    <row r="902" ht="12.5" spans="1:4">
      <c r="A902" s="50"/>
      <c r="B902" s="50"/>
      <c r="D902" s="11"/>
    </row>
    <row r="903" ht="12.5" spans="1:4">
      <c r="A903" s="50"/>
      <c r="B903" s="50"/>
      <c r="D903" s="11"/>
    </row>
    <row r="904" ht="12.5" spans="1:4">
      <c r="A904" s="50"/>
      <c r="B904" s="50"/>
      <c r="D904" s="11"/>
    </row>
    <row r="905" ht="12.5" spans="1:4">
      <c r="A905" s="50"/>
      <c r="B905" s="50"/>
      <c r="D905" s="11"/>
    </row>
    <row r="906" ht="12.5" spans="1:4">
      <c r="A906" s="50"/>
      <c r="B906" s="50"/>
      <c r="D906" s="11"/>
    </row>
    <row r="907" ht="12.5" spans="1:4">
      <c r="A907" s="50"/>
      <c r="B907" s="50"/>
      <c r="D907" s="11"/>
    </row>
    <row r="908" ht="12.5" spans="1:4">
      <c r="A908" s="50"/>
      <c r="B908" s="50"/>
      <c r="D908" s="11"/>
    </row>
    <row r="909" ht="12.5" spans="1:4">
      <c r="A909" s="50"/>
      <c r="B909" s="50"/>
      <c r="D909" s="11"/>
    </row>
    <row r="910" ht="12.5" spans="1:4">
      <c r="A910" s="50"/>
      <c r="B910" s="50"/>
      <c r="D910" s="11"/>
    </row>
    <row r="911" ht="12.5" spans="1:4">
      <c r="A911" s="50"/>
      <c r="B911" s="50"/>
      <c r="D911" s="11"/>
    </row>
    <row r="912" ht="12.5" spans="1:4">
      <c r="A912" s="50"/>
      <c r="B912" s="50"/>
      <c r="D912" s="11"/>
    </row>
    <row r="913" ht="12.5" spans="1:4">
      <c r="A913" s="50"/>
      <c r="B913" s="50"/>
      <c r="D913" s="11"/>
    </row>
    <row r="914" ht="12.5" spans="1:4">
      <c r="A914" s="50"/>
      <c r="B914" s="50"/>
      <c r="D914" s="11"/>
    </row>
    <row r="915" ht="12.5" spans="1:4">
      <c r="A915" s="50"/>
      <c r="B915" s="50"/>
      <c r="D915" s="11"/>
    </row>
    <row r="916" ht="12.5" spans="1:4">
      <c r="A916" s="50"/>
      <c r="B916" s="50"/>
      <c r="D916" s="11"/>
    </row>
    <row r="917" ht="12.5" spans="1:4">
      <c r="A917" s="50"/>
      <c r="B917" s="50"/>
      <c r="D917" s="11"/>
    </row>
    <row r="918" ht="12.5" spans="1:4">
      <c r="A918" s="50"/>
      <c r="B918" s="50"/>
      <c r="D918" s="11"/>
    </row>
    <row r="919" ht="12.5" spans="1:4">
      <c r="A919" s="50"/>
      <c r="B919" s="50"/>
      <c r="D919" s="11"/>
    </row>
    <row r="920" ht="12.5" spans="1:4">
      <c r="A920" s="50"/>
      <c r="B920" s="50"/>
      <c r="D920" s="11"/>
    </row>
    <row r="921" ht="12.5" spans="1:4">
      <c r="A921" s="50"/>
      <c r="B921" s="50"/>
      <c r="D921" s="11"/>
    </row>
    <row r="922" ht="12.5" spans="1:4">
      <c r="A922" s="50"/>
      <c r="B922" s="50"/>
      <c r="D922" s="11"/>
    </row>
    <row r="923" ht="12.5" spans="1:4">
      <c r="A923" s="50"/>
      <c r="B923" s="50"/>
      <c r="D923" s="11"/>
    </row>
    <row r="924" ht="12.5" spans="1:4">
      <c r="A924" s="50"/>
      <c r="B924" s="50"/>
      <c r="D924" s="11"/>
    </row>
    <row r="925" ht="12.5" spans="1:4">
      <c r="A925" s="50"/>
      <c r="B925" s="50"/>
      <c r="D925" s="11"/>
    </row>
    <row r="926" ht="12.5" spans="1:4">
      <c r="A926" s="50"/>
      <c r="B926" s="50"/>
      <c r="D926" s="11"/>
    </row>
    <row r="927" ht="12.5" spans="1:4">
      <c r="A927" s="50"/>
      <c r="B927" s="50"/>
      <c r="D927" s="11"/>
    </row>
    <row r="928" ht="12.5" spans="1:4">
      <c r="A928" s="50"/>
      <c r="B928" s="50"/>
      <c r="D928" s="11"/>
    </row>
    <row r="929" ht="12.5" spans="1:4">
      <c r="A929" s="50"/>
      <c r="B929" s="50"/>
      <c r="D929" s="11"/>
    </row>
    <row r="930" ht="12.5" spans="1:4">
      <c r="A930" s="50"/>
      <c r="B930" s="50"/>
      <c r="D930" s="11"/>
    </row>
    <row r="931" ht="12.5" spans="1:4">
      <c r="A931" s="50"/>
      <c r="B931" s="50"/>
      <c r="D931" s="11"/>
    </row>
    <row r="932" ht="12.5" spans="1:4">
      <c r="A932" s="50"/>
      <c r="B932" s="50"/>
      <c r="D932" s="11"/>
    </row>
    <row r="933" ht="12.5" spans="1:4">
      <c r="A933" s="50"/>
      <c r="B933" s="50"/>
      <c r="D933" s="11"/>
    </row>
    <row r="934" ht="12.5" spans="1:4">
      <c r="A934" s="50"/>
      <c r="B934" s="50"/>
      <c r="D934" s="11"/>
    </row>
    <row r="935" ht="12.5" spans="1:4">
      <c r="A935" s="50"/>
      <c r="B935" s="50"/>
      <c r="D935" s="11"/>
    </row>
    <row r="936" ht="12.5" spans="1:4">
      <c r="A936" s="50"/>
      <c r="B936" s="50"/>
      <c r="D936" s="11"/>
    </row>
    <row r="937" ht="12.5" spans="1:4">
      <c r="A937" s="50"/>
      <c r="B937" s="50"/>
      <c r="D937" s="11"/>
    </row>
    <row r="938" ht="12.5" spans="1:4">
      <c r="A938" s="50"/>
      <c r="B938" s="50"/>
      <c r="D938" s="11"/>
    </row>
    <row r="939" ht="12.5" spans="1:4">
      <c r="A939" s="50"/>
      <c r="B939" s="50"/>
      <c r="D939" s="11"/>
    </row>
    <row r="940" ht="12.5" spans="1:4">
      <c r="A940" s="50"/>
      <c r="B940" s="50"/>
      <c r="D940" s="11"/>
    </row>
    <row r="941" ht="12.5" spans="1:4">
      <c r="A941" s="50"/>
      <c r="B941" s="50"/>
      <c r="D941" s="11"/>
    </row>
    <row r="942" ht="12.5" spans="1:4">
      <c r="A942" s="50"/>
      <c r="B942" s="50"/>
      <c r="D942" s="11"/>
    </row>
    <row r="943" ht="12.5" spans="1:4">
      <c r="A943" s="50"/>
      <c r="B943" s="50"/>
      <c r="D943" s="11"/>
    </row>
    <row r="944" ht="12.5" spans="1:4">
      <c r="A944" s="50"/>
      <c r="B944" s="50"/>
      <c r="D944" s="11"/>
    </row>
    <row r="945" ht="12.5" spans="1:4">
      <c r="A945" s="50"/>
      <c r="B945" s="50"/>
      <c r="D945" s="11"/>
    </row>
    <row r="946" ht="12.5" spans="1:4">
      <c r="A946" s="50"/>
      <c r="B946" s="50"/>
      <c r="D946" s="11"/>
    </row>
    <row r="947" ht="12.5" spans="1:4">
      <c r="A947" s="50"/>
      <c r="B947" s="50"/>
      <c r="D947" s="11"/>
    </row>
    <row r="948" ht="12.5" spans="1:4">
      <c r="A948" s="50"/>
      <c r="B948" s="50"/>
      <c r="D948" s="11"/>
    </row>
    <row r="949" ht="12.5" spans="1:4">
      <c r="A949" s="50"/>
      <c r="B949" s="50"/>
      <c r="D949" s="11"/>
    </row>
    <row r="950" ht="12.5" spans="1:4">
      <c r="A950" s="50"/>
      <c r="B950" s="50"/>
      <c r="D950" s="11"/>
    </row>
    <row r="951" ht="12.5" spans="1:4">
      <c r="A951" s="50"/>
      <c r="B951" s="50"/>
      <c r="D951" s="11"/>
    </row>
    <row r="952" ht="12.5" spans="1:4">
      <c r="A952" s="50"/>
      <c r="B952" s="50"/>
      <c r="D952" s="11"/>
    </row>
    <row r="953" ht="12.5" spans="1:4">
      <c r="A953" s="50"/>
      <c r="B953" s="50"/>
      <c r="D953" s="11"/>
    </row>
    <row r="954" ht="12.5" spans="1:4">
      <c r="A954" s="50"/>
      <c r="B954" s="50"/>
      <c r="D954" s="11"/>
    </row>
    <row r="955" ht="12.5" spans="1:4">
      <c r="A955" s="50"/>
      <c r="B955" s="50"/>
      <c r="D955" s="11"/>
    </row>
    <row r="956" ht="12.5" spans="1:4">
      <c r="A956" s="50"/>
      <c r="B956" s="50"/>
      <c r="D956" s="11"/>
    </row>
    <row r="957" ht="12.5" spans="1:4">
      <c r="A957" s="50"/>
      <c r="B957" s="50"/>
      <c r="D957" s="11"/>
    </row>
    <row r="958" ht="12.5" spans="1:4">
      <c r="A958" s="50"/>
      <c r="B958" s="50"/>
      <c r="D958" s="11"/>
    </row>
    <row r="959" ht="12.5" spans="1:4">
      <c r="A959" s="50"/>
      <c r="B959" s="50"/>
      <c r="D959" s="11"/>
    </row>
    <row r="960" ht="12.5" spans="1:4">
      <c r="A960" s="50"/>
      <c r="B960" s="50"/>
      <c r="D960" s="11"/>
    </row>
    <row r="961" ht="12.5" spans="1:4">
      <c r="A961" s="50"/>
      <c r="B961" s="50"/>
      <c r="D961" s="11"/>
    </row>
    <row r="962" ht="12.5" spans="1:4">
      <c r="A962" s="50"/>
      <c r="B962" s="50"/>
      <c r="D962" s="11"/>
    </row>
    <row r="963" ht="12.5" spans="1:4">
      <c r="A963" s="50"/>
      <c r="B963" s="50"/>
      <c r="D963" s="11"/>
    </row>
    <row r="964" ht="12.5" spans="1:4">
      <c r="A964" s="50"/>
      <c r="B964" s="50"/>
      <c r="D964" s="11"/>
    </row>
    <row r="965" ht="12.5" spans="1:4">
      <c r="A965" s="50"/>
      <c r="B965" s="50"/>
      <c r="D965" s="11"/>
    </row>
    <row r="966" ht="12.5" spans="1:4">
      <c r="A966" s="50"/>
      <c r="B966" s="50"/>
      <c r="D966" s="11"/>
    </row>
    <row r="967" ht="12.5" spans="1:4">
      <c r="A967" s="50"/>
      <c r="B967" s="50"/>
      <c r="D967" s="11"/>
    </row>
    <row r="968" ht="12.5" spans="1:4">
      <c r="A968" s="50"/>
      <c r="B968" s="50"/>
      <c r="D968" s="11"/>
    </row>
    <row r="969" ht="12.5" spans="1:4">
      <c r="A969" s="50"/>
      <c r="B969" s="50"/>
      <c r="D969" s="11"/>
    </row>
    <row r="970" ht="12.5" spans="1:4">
      <c r="A970" s="50"/>
      <c r="B970" s="50"/>
      <c r="D970" s="11"/>
    </row>
    <row r="971" ht="12.5" spans="1:4">
      <c r="A971" s="50"/>
      <c r="B971" s="50"/>
      <c r="D971" s="11"/>
    </row>
    <row r="972" ht="12.5" spans="1:4">
      <c r="A972" s="50"/>
      <c r="B972" s="50"/>
      <c r="D972" s="11"/>
    </row>
    <row r="973" ht="12.5" spans="1:4">
      <c r="A973" s="50"/>
      <c r="B973" s="50"/>
      <c r="D973" s="11"/>
    </row>
    <row r="974" ht="12.5" spans="1:4">
      <c r="A974" s="50"/>
      <c r="B974" s="50"/>
      <c r="D974" s="11"/>
    </row>
    <row r="975" ht="12.5" spans="1:4">
      <c r="A975" s="50"/>
      <c r="B975" s="50"/>
      <c r="D975" s="11"/>
    </row>
    <row r="976" ht="12.5" spans="1:4">
      <c r="A976" s="50"/>
      <c r="B976" s="50"/>
      <c r="D976" s="11"/>
    </row>
    <row r="977" ht="12.5" spans="1:4">
      <c r="A977" s="50"/>
      <c r="B977" s="50"/>
      <c r="D977" s="11"/>
    </row>
    <row r="978" ht="12.5" spans="1:4">
      <c r="A978" s="50"/>
      <c r="B978" s="50"/>
      <c r="D978" s="11"/>
    </row>
    <row r="979" ht="12.5" spans="1:4">
      <c r="A979" s="50"/>
      <c r="B979" s="50"/>
      <c r="D979" s="11"/>
    </row>
    <row r="980" ht="12.5" spans="1:4">
      <c r="A980" s="50"/>
      <c r="B980" s="50"/>
      <c r="D980" s="11"/>
    </row>
    <row r="981" ht="12.5" spans="1:4">
      <c r="A981" s="50"/>
      <c r="B981" s="50"/>
      <c r="D981" s="11"/>
    </row>
    <row r="982" ht="12.5" spans="1:4">
      <c r="A982" s="50"/>
      <c r="B982" s="50"/>
      <c r="D982" s="11"/>
    </row>
    <row r="983" ht="12.5" spans="1:4">
      <c r="A983" s="50"/>
      <c r="B983" s="50"/>
      <c r="D983" s="11"/>
    </row>
    <row r="984" ht="12.5" spans="1:4">
      <c r="A984" s="50"/>
      <c r="B984" s="50"/>
      <c r="D984" s="11"/>
    </row>
    <row r="985" ht="12.5" spans="1:4">
      <c r="A985" s="50"/>
      <c r="B985" s="50"/>
      <c r="D985" s="11"/>
    </row>
    <row r="986" ht="12.5" spans="1:4">
      <c r="A986" s="50"/>
      <c r="B986" s="50"/>
      <c r="D986" s="11"/>
    </row>
    <row r="987" ht="12.5" spans="1:4">
      <c r="A987" s="50"/>
      <c r="B987" s="50"/>
      <c r="D987" s="11"/>
    </row>
    <row r="988" ht="12.5" spans="1:4">
      <c r="A988" s="50"/>
      <c r="B988" s="50"/>
      <c r="D988" s="11"/>
    </row>
    <row r="989" ht="12.5" spans="1:4">
      <c r="A989" s="50"/>
      <c r="B989" s="50"/>
      <c r="D989" s="11"/>
    </row>
    <row r="990" ht="12.5" spans="1:4">
      <c r="A990" s="50"/>
      <c r="B990" s="50"/>
      <c r="D990" s="11"/>
    </row>
    <row r="991" ht="12.5" spans="1:4">
      <c r="A991" s="50"/>
      <c r="B991" s="50"/>
      <c r="D991" s="11"/>
    </row>
    <row r="992" ht="12.5" spans="1:4">
      <c r="A992" s="50"/>
      <c r="B992" s="50"/>
      <c r="D992" s="11"/>
    </row>
    <row r="993" ht="12.5" spans="1:4">
      <c r="A993" s="50"/>
      <c r="B993" s="50"/>
      <c r="D993" s="11"/>
    </row>
    <row r="994" ht="12.5" spans="1:4">
      <c r="A994" s="50"/>
      <c r="B994" s="50"/>
      <c r="D994" s="11"/>
    </row>
    <row r="995" ht="12.5" spans="1:4">
      <c r="A995" s="50"/>
      <c r="B995" s="50"/>
      <c r="D995" s="11"/>
    </row>
    <row r="996" ht="12.5" spans="1:4">
      <c r="A996" s="50"/>
      <c r="B996" s="50"/>
      <c r="D996" s="11"/>
    </row>
    <row r="997" ht="12.5" spans="1:4">
      <c r="A997" s="50"/>
      <c r="B997" s="50"/>
      <c r="D997" s="11"/>
    </row>
    <row r="998" ht="12.5" spans="1:4">
      <c r="A998" s="50"/>
      <c r="B998" s="50"/>
      <c r="D998" s="11"/>
    </row>
    <row r="999" ht="12.5" spans="1:4">
      <c r="A999" s="50"/>
      <c r="B999" s="50"/>
      <c r="D999" s="11"/>
    </row>
    <row r="1000" ht="12.5" spans="1:4">
      <c r="A1000" s="50"/>
      <c r="B1000" s="50"/>
      <c r="D1000" s="11"/>
    </row>
    <row r="1001" ht="12.5" spans="1:4">
      <c r="A1001" s="50"/>
      <c r="B1001" s="50"/>
      <c r="D1001" s="11"/>
    </row>
    <row r="1002" ht="12.5" spans="1:4">
      <c r="A1002" s="50"/>
      <c r="B1002" s="50"/>
      <c r="D1002" s="11"/>
    </row>
    <row r="1003" ht="12.5" spans="1:4">
      <c r="A1003" s="50"/>
      <c r="B1003" s="50"/>
      <c r="D1003" s="11"/>
    </row>
    <row r="1004" ht="12.5" spans="1:4">
      <c r="A1004" s="50"/>
      <c r="B1004" s="50"/>
      <c r="D1004" s="11"/>
    </row>
    <row r="1005" ht="12.5" spans="1:4">
      <c r="A1005" s="50"/>
      <c r="B1005" s="50"/>
      <c r="D1005" s="11"/>
    </row>
    <row r="1006" ht="12.5" spans="1:4">
      <c r="A1006" s="50"/>
      <c r="B1006" s="50"/>
      <c r="D1006" s="11"/>
    </row>
    <row r="1007" ht="12.5" spans="1:4">
      <c r="A1007" s="50"/>
      <c r="B1007" s="50"/>
      <c r="D1007" s="11"/>
    </row>
    <row r="1008" ht="12.5" spans="1:4">
      <c r="A1008" s="50"/>
      <c r="B1008" s="50"/>
      <c r="D1008" s="11"/>
    </row>
    <row r="1009" ht="12.5" spans="1:4">
      <c r="A1009" s="50"/>
      <c r="B1009" s="50"/>
      <c r="D1009" s="11"/>
    </row>
    <row r="1010" ht="12.5" spans="1:4">
      <c r="A1010" s="50"/>
      <c r="B1010" s="50"/>
      <c r="D1010" s="11"/>
    </row>
  </sheetData>
  <hyperlinks>
    <hyperlink ref="D3" r:id="rId1" display="https://chat.brainyresolution.com/omnichannel-directory/chats/view/toynxpAG5WS8kcDLn/room-info"/>
    <hyperlink ref="D4" r:id="rId2" display="https://chat.brainyresolution.com/live/WZRRFcD538k9WGKko/room-info"/>
    <hyperlink ref="D5" r:id="rId3" display="https://chat.brainyresolution.com/live/kZFKJdw4SmmP8oTmr/room-info"/>
    <hyperlink ref="D6" r:id="rId4" display="https://chat.brainyresolution.com/live/E7F6R83o7cASDJsop/room-info"/>
    <hyperlink ref="D7" r:id="rId5" display="https://chat.brainyresolution.com/live/eMevErRXvJJBeEN7H/room-info"/>
    <hyperlink ref="D8" r:id="rId6" display="https://chat.brainyresolution.com/live/pGyM8mcQKSBW73fZF/room-info"/>
    <hyperlink ref="D9" r:id="rId7" display="https://chat.brainyresolution.com/live/RHHQobYjnMYfZsnSh"/>
    <hyperlink ref="D10" r:id="rId8" display="https://chat.brainyresolution.com/live/YnB3zDmokbY4Lbsb2/room-info"/>
    <hyperlink ref="D11" r:id="rId9" display="https://chat.brainyresolution.com/live/nJYjukDmZSG3D9d4t/room-info"/>
    <hyperlink ref="D12" r:id="rId10" display="https://chat.brainyresolution.com/live/RwKRDJps6i8YPhAWi/room-info"/>
    <hyperlink ref="D13" r:id="rId11" display="https://chat.brainyresolution.com/live/ZTu6Fg9rfLcKRCQvJ/room-info"/>
    <hyperlink ref="D14" r:id="rId12" display="https://chat.brainyresolution.com/live/rumXfxjqK4qTEXcWq/room-info"/>
    <hyperlink ref="D15" r:id="rId13" display="https://chat.brainyresolution.com/live/cL6kKATTuKbobJ9JM/room-info"/>
    <hyperlink ref="D16" r:id="rId14" display="https://chat.brainyresolution.com/live/tR6sMipgEbwHTwW9j/room-info"/>
    <hyperlink ref="D17" r:id="rId15" display="https://chat.brainyresolution.com/live/WomyPimenE2KBmHGM/room-info"/>
    <hyperlink ref="D18" r:id="rId16" display="https://chat.brainyresolution.com/live/TRz4AwTf6M4rhwXqB/room-info"/>
    <hyperlink ref="D19" r:id="rId17" display="https://chat.brainyresolution.com/live/qwHn8Fvg7oX4ioMCT/room-info"/>
    <hyperlink ref="D20" r:id="rId18" display="https://chat.brainyresolution.com/live/gu2MZpqS44taorwfd"/>
    <hyperlink ref="D21" r:id="rId19" display="https://chat.brainyresolution.com/live/B6cqNNJD9utSg2Wgx/room-info"/>
    <hyperlink ref="D22" r:id="rId20" display="https://chat.brainyresolution.com/live/eK7bjjPrRZFZ5v594/room-info"/>
    <hyperlink ref="D23" r:id="rId21" display="https://chat.brainyresolution.com/live/f34n3bnpeADoyov42/room-info"/>
    <hyperlink ref="D24" r:id="rId22" display="https://chat.brainyresolution.com/live/rzEoHTmDKHNwNzJYC/room-info"/>
    <hyperlink ref="D25" r:id="rId23" display="https://chat.brainyresolution.com/live/4Mtur4GaozxbYMySX/room-info"/>
    <hyperlink ref="D26" r:id="rId24" display="https://chat.brainyresolution.com/live/jkcXobMHjvixkw4dc/room-info"/>
    <hyperlink ref="D27" r:id="rId25" display="https://chat.brainyresolution.com/live/rCRT8RLaMYcDY2rfe/room-info"/>
    <hyperlink ref="D28" r:id="rId26" display="https://chat.brainyresolution.com/live/dxAAHScfueACCCwrt/room-info"/>
    <hyperlink ref="D29" r:id="rId27" display="https://chat.brainyresolution.com/live/7YPv962zxs2ZQRxML/user-info"/>
    <hyperlink ref="D30" r:id="rId28" display="https://chat.brainyresolution.com/live/c79c3FAuNpJMcTgcP/user-info"/>
    <hyperlink ref="D31" r:id="rId29" display="https://chat.brainyresolution.com/live/Xv2Jxnkxv8hs2GxbX/room-info"/>
    <hyperlink ref="D32" r:id="rId30" display="https://chat.brainyresolution.com/live/LmYEKZwGL5XFkX4hB/user-info"/>
    <hyperlink ref="D33" r:id="rId31" display="https://chat.brainyresolution.com/live/AaRikgn3SFBXynFr2/room-info"/>
    <hyperlink ref="D34" r:id="rId32" display="https://hopchat.susi.crowde.dev/live/vCEYJp8xLFteSYjes/room-info"/>
    <hyperlink ref="D35" r:id="rId33" display="https://hopchat.susi.crowde.dev/live/jKcF8wT24sgKgW8w7/room-info"/>
    <hyperlink ref="D36" r:id="rId34" display="https://hopchat.susi.crowde.dev/live/9fTeG2SA2crn83roi/room-info"/>
    <hyperlink ref="D37" r:id="rId35" display="https://hopchat.susi.crowde.dev/live/YT8FyLtvuhoEJ3yfX/room-info"/>
    <hyperlink ref="D38" r:id="rId36" display="https://chat-conecta.recife.pe.gov.br/live/SAKrXchayJR2adsn3/room-info"/>
    <hyperlink ref="D39" r:id="rId37" display="https://chat-conecta.recife.pe.gov.br/live/6iDgsBccCP4dYeTAh/room-info"/>
    <hyperlink ref="D40" r:id="rId38" display="https://chat-conecta.recife.pe.gov.br/live/TpnTP66YdBZ8qhmQM"/>
    <hyperlink ref="D41" r:id="rId39" display="https://chat-conecta.recife.pe.gov.br/live/tSf4yGLXMoagiQ7Xn/room-info"/>
    <hyperlink ref="D42" r:id="rId40" display="https://chat-conecta.recife.pe.gov.br/live/ZRRiTmaP8GzpTQJDs/room-info"/>
    <hyperlink ref="D43" r:id="rId41" display="https://chat-conecta.recife.pe.gov.br/live/hQnzx4bYF92wWnKNS/room-info"/>
    <hyperlink ref="D44" r:id="rId42" display="https://chat-conecta.recife.pe.gov.br/live/betCShJnu3v9nKYz7"/>
    <hyperlink ref="D45" r:id="rId43" display="https://chat-conecta.recife.pe.gov.br/live/C2bx85rQ3RqoSuA3j/room-info"/>
    <hyperlink ref="D46" r:id="rId44" display="https://chat-conecta.recife.pe.gov.br/live/CsjDjX9HzaXgxEpKB/room-info"/>
    <hyperlink ref="D47" r:id="rId45" display="https://chat-conecta.recife.pe.gov.br/live/2hkd5aNNNysy3gx4G/room-info"/>
    <hyperlink ref="D48" r:id="rId46" display="https://chat-conecta.recife.pe.gov.br/live/z24DAPMsdKHbaaY2v"/>
    <hyperlink ref="D49" r:id="rId47" display="https://chat-conecta.recife.pe.gov.br/live/z86ZXXR8CLiSSfjiK"/>
    <hyperlink ref="D50" r:id="rId48" display="https://chat-conecta.recife.pe.gov.br/live/LqLG97wpBLcpScXPc"/>
    <hyperlink ref="D51" r:id="rId49" display="https://chat-conecta.recife.pe.gov.br/live/aSZyoz9QaNmAmMnjH/room-info"/>
    <hyperlink ref="D52" r:id="rId50" display="https://chat-conecta.recife.pe.gov.br/live/Zrzdez42whK4Ef5tf"/>
    <hyperlink ref="D53" r:id="rId51" display="https://chat-conecta.recife.pe.gov.br/live/pr8K6JuELaXSH5aAY"/>
    <hyperlink ref="D54" r:id="rId52" display="https://chat-conecta.recife.pe.gov.br/live/zwskXk63SDB7bimFY/room-info"/>
    <hyperlink ref="D55" r:id="rId53" display="https://chat-conecta.recife.pe.gov.br/live/56RQu5vgXDC9t7k4e"/>
    <hyperlink ref="D56" r:id="rId54" display="https://chat-conecta.recife.pe.gov.br/live/YYa8m9eJMEnPykQPQ"/>
    <hyperlink ref="D57" r:id="rId55" display="https://chat-conecta.recife.pe.gov.br/live/CYyr6DoSdaxyAkuGQ"/>
    <hyperlink ref="D58" r:id="rId56" display="https://chat-conecta.recife.pe.gov.br/live/cbr8pkXx2Dtkmy9Yi/room-info"/>
    <hyperlink ref="D59" r:id="rId57" display="https://chat-conecta.recife.pe.gov.br/live/fM58Gb9gePKqBpFTe/room-info"/>
    <hyperlink ref="D60" r:id="rId58" display="https://chat-conecta.recife.pe.gov.br/live/2HEJC79NMYLKxu7Ek/room-info"/>
    <hyperlink ref="D61" r:id="rId59" display="https://chat-conecta.recife.pe.gov.br/live/FYE4QGnNXcC5bDhkE/user-info"/>
    <hyperlink ref="D62" r:id="rId60" display="https://chat-conecta.recife.pe.gov.br/live/Rmjrk2AkuCJMvSKcL/room-info"/>
    <hyperlink ref="D63" r:id="rId61" display="https://chat-conecta.recife.pe.gov.br/live/K469273HaLhEw38kn/room-info"/>
    <hyperlink ref="D64" r:id="rId62" display="https://chat-conecta.recife.pe.gov.br/live/6Y9yhsjMFLKRtvmd3/room-info"/>
    <hyperlink ref="D65" r:id="rId63" display="https://chat-conecta.recife.pe.gov.br/live/uQARBG4WKpjsLCPtj/room-info"/>
    <hyperlink ref="D66" r:id="rId64" display="https://chat-conecta.recife.pe.gov.br/live/RzkAv4S3AagZmhc55/room-info"/>
    <hyperlink ref="D67" r:id="rId65" display="https://chat-conecta.recife.pe.gov.br/live/KNbLCGbuGLQYBxiG4/room-info"/>
    <hyperlink ref="D68" r:id="rId66" display="https://chat-conecta.recife.pe.gov.br/live/9w8gui8yLiw3DLF8H/room-info"/>
    <hyperlink ref="D69" r:id="rId67" display="https://chat-conecta.recife.pe.gov.br/live/pYEy6yPqkGX9QWYSH/room-info"/>
    <hyperlink ref="D70" r:id="rId68" display="https://chat-conecta.recife.pe.gov.br/live/pnzMGRk7fLv4hceJN/room-info"/>
    <hyperlink ref="D71" r:id="rId69" display="https://chat-conecta.recife.pe.gov.br/live/X88pamn5BQzStukAr"/>
    <hyperlink ref="D72" r:id="rId70" display="https://chat-conecta.recife.pe.gov.br/live/gYTpAANLe3R39vSuY/room-info"/>
    <hyperlink ref="D73" r:id="rId71" display="https://chat-conecta.recife.pe.gov.br/live/TSLQCpLSSpBNekwrp"/>
    <hyperlink ref="D74" r:id="rId72" display="https://chat-conecta.recife.pe.gov.br/live/NbSF6qenquYzmrESn/room-info"/>
    <hyperlink ref="D75" r:id="rId73" display="https://chat-conecta.recife.pe.gov.br/live/NL3Bga5ytxH6ZSTPd"/>
    <hyperlink ref="D76" r:id="rId74" display="https://chat-conecta.recife.pe.gov.br/live/oh7Yfpxy5WTm7qdzL"/>
    <hyperlink ref="D77" r:id="rId75" display="https://chat-conecta.recife.pe.gov.br/live/4LHm8D8KYeFc8Eqdz"/>
    <hyperlink ref="D78" r:id="rId76" display="https://chat-conecta.recife.pe.gov.br/live/GcGXrQho62Wq2yLoa"/>
    <hyperlink ref="D79" r:id="rId77" display="https://chat-conecta.recife.pe.gov.br/live/xecpFG2iomkPomACF"/>
    <hyperlink ref="D80" r:id="rId78" display="https://chat-conecta.recife.pe.gov.br/live/nbQAi8kpeoMFr9DeM/room-info"/>
    <hyperlink ref="D81" r:id="rId79" display="https://chat-conecta.recife.pe.gov.br/live/tvL54nQm5hc3mWZBG/room-info"/>
    <hyperlink ref="D82" r:id="rId80" display="https://chat-conecta.recife.pe.gov.br/live/PnsYy67d25DG9yGju/room-info"/>
    <hyperlink ref="D83" r:id="rId81" display="https://chat-conecta.recife.pe.gov.br/live/7t65QQsjAL72NjHSa/room-info"/>
    <hyperlink ref="D84" r:id="rId82" display="https://chat-conecta.recife.pe.gov.br/live/3o2EyWhpe9TicPG8e/room-info"/>
    <hyperlink ref="D85" r:id="rId83" display="https://chat-conecta.recife.pe.gov.br/live/Qo4zkEHsBYKNkG65z/room-info"/>
    <hyperlink ref="D86" r:id="rId84" display="https://chat-conecta.recife.pe.gov.br/live/KFB7vP73G5S3KRddD/room-info"/>
    <hyperlink ref="D87" r:id="rId85" display="https://chat-conecta.recife.pe.gov.br/live/AC5P3aNLPu36w8YSd/room-info"/>
    <hyperlink ref="D88" r:id="rId86" display="https://chat-conecta.recife.pe.gov.br/live/9Xkp45EJWcBHD8JwY/room-info"/>
    <hyperlink ref="D89" r:id="rId86" display="https://chat-conecta.recife.pe.gov.br/live/9Xkp45EJWcBHD8JwY/room-info"/>
    <hyperlink ref="D90" r:id="rId87" display="https://chat-conecta.recife.pe.gov.br/live/pH573JfkeWkKutjDG/room-info"/>
    <hyperlink ref="D91" r:id="rId88" display="https://chat-conecta.recife.pe.gov.br/live/QyNStuvGiMvkFM7ph/room-info"/>
    <hyperlink ref="D92" r:id="rId89" display="https://chat-conecta.recife.pe.gov.br/live/xHN4cC3wYoJRyGR7j"/>
    <hyperlink ref="D93" r:id="rId90" display="https://chat-conecta.recife.pe.gov.br/live/2ABTu5i6nRFPimCFW/user-info"/>
    <hyperlink ref="D94" r:id="rId91" display="https://chat-conecta.recife.pe.gov.br/live/FQP9rogfYjSn3hZ3q/user-info"/>
    <hyperlink ref="D95" r:id="rId92" display="https://chat-conecta.recife.pe.gov.br/live/Zs8Nz3WjtHYfY2HL5/user-info"/>
    <hyperlink ref="D96" r:id="rId93" display="https://chat-conecta.recife.pe.gov.br/live/3GWNRrQYRgKFa5HGv/room-info"/>
    <hyperlink ref="D97" r:id="rId94" display="https://chat-conecta.recife.pe.gov.br/live/6QWCsiopuYtZTQKSB/room-info"/>
    <hyperlink ref="D98" r:id="rId95" display="https://chat-conecta.recife.pe.gov.br/live/Lw27a7BMDdj4qA5q7"/>
    <hyperlink ref="D99" r:id="rId96" display="https://chat-conecta.recife.pe.gov.br/live/A9GEgydH5soB7q7yt"/>
    <hyperlink ref="D100" r:id="rId97" display="https://chat-conecta.recife.pe.gov.br/live/tsTwkjaqggYs5QTia"/>
    <hyperlink ref="D101" r:id="rId98" display="https://chat-conecta.recife.pe.gov.br/live/jFeyWCaHCNj9FEcL5/contact-chat-history"/>
    <hyperlink ref="D102" r:id="rId99" display="https://chat-conecta.recife.pe.gov.br/live/Qabrca8Y4jR9uYKWF/user-info"/>
    <hyperlink ref="D103" r:id="rId100" display="https://chat-conecta.recife.pe.gov.br/live/mw7KLPg3vm7WhWdbR/members-list"/>
    <hyperlink ref="D104" r:id="rId101" display="https://chat-conecta.recife.pe.gov.br/live/yHrCkk86mDojNK4oK/room-info"/>
    <hyperlink ref="D106" r:id="rId102" display="https://chat-conecta.recife.pe.gov.br/live/cE7z9wy9rW39tFoEx/room-info"/>
    <hyperlink ref="D107" r:id="rId103" display="https://chat-conecta.recife.pe.gov.br/live/ax2HDudWeBDRWcKyL/room-info"/>
    <hyperlink ref="D108" r:id="rId104" display="https://chat-conecta.recife.pe.gov.br/live/SLmMoPMJ5FGdC9T4H/room-info"/>
    <hyperlink ref="D109" r:id="rId105" display="https://chat-conecta.recife.pe.gov.br/live/cPeWt8pRobzkA2nfo/members-list"/>
    <hyperlink ref="D110" r:id="rId106" display="https://chat-conecta.recife.pe.gov.br/live/jgWwzRDwbZzAeiXNJ/room-info"/>
    <hyperlink ref="D111" r:id="rId107" display="-https://chat-conecta.recife.pe.gov.br/live/ihrqFTnW58hTCmsWg/room-info"/>
    <hyperlink ref="D112" r:id="rId108" display="https://chat-conecta.recife.pe.gov.br/live/mCZDcnrfdZYGSJLav/room-info"/>
    <hyperlink ref="D113" r:id="rId109" display="https://chat-conecta.recife.pe.gov.br/live/tq3hpAjr8cjsdcbS5/room-info"/>
    <hyperlink ref="D114" r:id="rId110" display="https://chat-conecta.recife.pe.gov.br/omnichannel-directory/chats/view/FtQuauTnHorYBngRq/room-info"/>
    <hyperlink ref="D115" r:id="rId111" display="https://chat-conecta.recife.pe.gov.br/omnichannel-directory/chats/view/3wbZYGox6GjRmopPA/room-info"/>
    <hyperlink ref="D116" r:id="rId112" display="https://chat-conecta.recife.pe.gov.br/live/jQ7FLCcjqRWpYYQNM/room-info"/>
    <hyperlink ref="D117" r:id="rId113" display="https://chat-conecta.recife.pe.gov.br/live/EWnN8MLEnNGCwXqis/room-info"/>
    <hyperlink ref="D118" r:id="rId114" display="https://chat-conecta.recife.pe.gov.br/live/G4ywA2gndr3dFcW4j/room-info"/>
    <hyperlink ref="D119" r:id="rId115" display="https://chat-conecta.recife.pe.gov.br/live/fNAHnGRi9nmZBAsRb/room-info"/>
    <hyperlink ref="D120" r:id="rId116" display="https://chat-conecta.recife.pe.gov.br/live/zGSNR4pSErcDAYTnY/room-info"/>
    <hyperlink ref="D121" r:id="rId117" display="https://chat-conecta.recife.pe.gov.br/live/5M8Rian6waTQshzA6/room-info"/>
    <hyperlink ref="D122" r:id="rId118" display="https://chat-conecta.recife.pe.gov.br/live/RiRsRg3PpanipWNQH/room-info"/>
    <hyperlink ref="D123" r:id="rId119" display="https://chat-conecta.recife.pe.gov.br/live/zCDGDgwyrkBkumxtx/room-info"/>
    <hyperlink ref="D124" r:id="rId120" display="https://chat-conecta.recife.pe.gov.br/live/jtCvQhp4NaZGpW5R2/room-info"/>
    <hyperlink ref="D125" r:id="rId121" display="https://chat-conecta.recife.pe.gov.br/live/X3CCvSC3ARjdRZ8Pi/room-info"/>
    <hyperlink ref="D126" r:id="rId122" display="https://chat-conecta.recife.pe.gov.br/live/fmRMjumBR39MJpbit/room-info"/>
    <hyperlink ref="D127" r:id="rId123" display="https://chat-conecta.recife.pe.gov.br/live/m5e3WYq99hZAZoFr5/room-info"/>
    <hyperlink ref="D128" r:id="rId124" display="https://chat-conecta.recife.pe.gov.br/live/mKErvR6p2CdyNNP4z/room-info"/>
    <hyperlink ref="D129" r:id="rId125" display="https://chat-conecta.recife.pe.gov.br/live/9BYWYmRPvHeeaeSoq/room-info"/>
    <hyperlink ref="D130" r:id="rId126" display="https://chat-conecta.recife.pe.gov.br/live/mbTEYefE6FKBgoveY/room-info"/>
    <hyperlink ref="D131" r:id="rId127" display="https://chat-conecta.recife.pe.gov.br/live/m2hgxtRX2aMqwciYp/room-info"/>
    <hyperlink ref="D132" r:id="rId128" display="https://chat-conecta.recife.pe.gov.br/live/93DsTTJ7QDh7ejvdR/room-info"/>
    <hyperlink ref="D133" r:id="rId129" display="https://chat-conecta.recife.pe.gov.br/live/R6Esd85vtCSSzNYa2/room-info"/>
    <hyperlink ref="D134" r:id="rId130" display="https://chat-conecta.recife.pe.gov.br/live/wNDi3i55bPvXHGkAr/room-info"/>
    <hyperlink ref="D135" r:id="rId131" display="https://chat-conecta.recife.pe.gov.br/live/8HYYxt3rkCduCh4SE/room-info"/>
    <hyperlink ref="D136" r:id="rId132" display="https://chat-conecta.recife.pe.gov.br/live/Wg36iSyWF6N6ZJSY6/room-info"/>
    <hyperlink ref="D137" r:id="rId133" display="https://chat-conecta.recife.pe.gov.br/live/eym9ENWJYrhrWTmgS/room-info"/>
    <hyperlink ref="D138" r:id="rId134" display="https://chat-conecta.recife.pe.gov.br/live/f9LYdF3BiyMp9HviK/room-info"/>
    <hyperlink ref="D139" r:id="rId135" display="https://chat-conecta.recife.pe.gov.br/live/FgEHuqCm29cHm3hrq/room-info"/>
    <hyperlink ref="D140" r:id="rId136" display="https://chat-conecta.recife.pe.gov.br/live/tRXLLw35arhbfy6f8/room-info"/>
    <hyperlink ref="D141" r:id="rId137" display="https://chat-conecta.recife.pe.gov.br/live/x3FJbWcXRtQ8ax2KT/user-info"/>
    <hyperlink ref="D142" r:id="rId138" display="https://chat-conecta.recife.pe.gov.br/live/3FyCo8kFLnLuuvLo9/room-info"/>
    <hyperlink ref="D143" r:id="rId139" display="https://chat-conecta.recife.pe.gov.br/live/P5HfiupyGbd8cGPX9/room-info"/>
    <hyperlink ref="D144" r:id="rId140" display="https://chat-conecta.recife.pe.gov.br/live/vH359k3JERvRsbJQc/room-info"/>
    <hyperlink ref="D145" r:id="rId141" display="https://chat-conecta.recife.pe.gov.br/live/Snmnr8goaFWKdTcgj/room-info"/>
    <hyperlink ref="D146" r:id="rId142" display="https://chat-conecta.recife.pe.gov.br/live/zg2JkPW8Lz2cykmh7/room-info"/>
    <hyperlink ref="D147" r:id="rId143" display="https://chat-conecta.recife.pe.gov.br/live/8ddH4LNxRS39NabZg/room-info"/>
    <hyperlink ref="D148" r:id="rId144" display="https://chat-conecta.recife.pe.gov.br/live/oHb4uxDS2qBNbpjMc/room-info"/>
    <hyperlink ref="D149" r:id="rId145" display="https://chat-conecta.recife.pe.gov.br/live/hQNPk9Qw3xHsgQ73W/user-info"/>
    <hyperlink ref="D150" r:id="rId146" display="https://chat-conecta.recife.pe.gov.br/live/Cd3oLs5byQLot8gq4/user-info"/>
    <hyperlink ref="D151" r:id="rId147" display="https://chat-conecta.recife.pe.gov.br/live/ZY9pTh8xvYv8HDHGx/room-info"/>
    <hyperlink ref="D152" r:id="rId148" display="https://chat-conecta.recife.pe.gov.br/live/rivwDgcuD4NgKtwx6/room-info"/>
    <hyperlink ref="D153" r:id="rId149" display="https://chat-conecta.recife.pe.gov.br/live/3esQwu9Bi98ZStk7B/room-info"/>
    <hyperlink ref="D154" r:id="rId150" display="https://chat-conecta.recife.pe.gov.br/live/YNWQ2yYGtWTeeW97Z/room-info"/>
    <hyperlink ref="D155" r:id="rId151" display="https://chat-conecta.recife.pe.gov.br/live/x2WYEaSn642yQv2qx/room-info"/>
    <hyperlink ref="D156" r:id="rId152" display="https://chat-conecta.recife.pe.gov.br/live/dp4kLAumgW4aLn2pn/room-info"/>
    <hyperlink ref="D157" r:id="rId153" display="https://chat-conecta.recife.pe.gov.br/live/4QzhWtzvySrb2Qyrw/room-info"/>
    <hyperlink ref="D158" r:id="rId154" display="https://chat-conecta.recife.pe.gov.br/live/fshKtjtWmgQYwngtq/room-info"/>
    <hyperlink ref="D159" r:id="rId155" display="https://chat-conecta.recife.pe.gov.br/live/tR8ZXSpAwfn3L2TeY/room-info"/>
    <hyperlink ref="D160" r:id="rId156" display="https://chat-conecta.recife.pe.gov.br/live/eYkLHy4mfku8bCcms/room-info"/>
    <hyperlink ref="D161" r:id="rId157" display="https://chat-conecta.recife.pe.gov.br/live/kuaDRFt8YNDJHtR4E/room-info"/>
    <hyperlink ref="D162" r:id="rId157" display="https://chat-conecta.recife.pe.gov.br/live/kuaDRFt8YNDJHtR4E/room-info"/>
    <hyperlink ref="D163" r:id="rId158" display="https://chat-conecta.recife.pe.gov.br/live/5TbmGyR7AucHP2L3G/room-info"/>
    <hyperlink ref="D164" r:id="rId159" display="https://chat-conecta.recife.pe.gov.br/live/jiALQqAWX2ut6Kf87/room-info"/>
    <hyperlink ref="D165" r:id="rId160" display="https://chat-conecta.recife.pe.gov.br/live/cRftuAaHct4cv8tTe/room-info"/>
    <hyperlink ref="D166" r:id="rId161" display="https://chat-conecta.recife.pe.gov.br/live/Lv6iTajJCbqNWuu5p/room-info"/>
    <hyperlink ref="D167" r:id="rId162" display="https://chat-conecta.recife.pe.gov.br/live/MDMX4sBnk4BuytErv/room-info"/>
    <hyperlink ref="D168" r:id="rId163" display="https://chat-conecta.recife.pe.gov.br/live/JQaiPD5gaCfmmB2vB/room-info"/>
    <hyperlink ref="D169" r:id="rId164" display="https://chat-conecta.recife.pe.gov.br/live/WZZJ47igGCEqbmrMx"/>
    <hyperlink ref="D170" r:id="rId165" display="https://chat-conecta.recife.pe.gov.br/live/RvKfGja7Na67KXzGc"/>
    <hyperlink ref="D171" r:id="rId166" display="https://chat-conecta.recife.pe.gov.br/omnichannel-directory/chats/view/8SNs3dsnLs8wrRHQn"/>
    <hyperlink ref="D172" r:id="rId167" display="https://chat-conecta.recife.pe.gov.br/live/apiPCSWYbBFHGMbuX"/>
    <hyperlink ref="D173" r:id="rId168" display="https://chat-conecta.recife.pe.gov.br/live/XSjcZjXximK4K4dnL/user-info"/>
    <hyperlink ref="D174" r:id="rId169" display="https://chat-conecta.recife.pe.gov.br/live/yjGXgqJQHMbaHNNiS/user-info"/>
    <hyperlink ref="D175" r:id="rId170" display="https://chat-conecta.recife.pe.gov.br/live/GBEKjXb5qB7ci4mJT/user-info"/>
    <hyperlink ref="D176" r:id="rId171" display="https://chat-conecta.recife.pe.gov.br/live/RgjsNABSKKJRhEkoD"/>
    <hyperlink ref="D177" r:id="rId172" display="https://chat-conecta.recife.pe.gov.br/live/q9Bm9QzPFraHXDxkZ"/>
    <hyperlink ref="D178" r:id="rId173" display="https://chat-conecta.recife.pe.gov.br/live/Xzg5buA5kRzdrHyDN"/>
    <hyperlink ref="D179" r:id="rId174" display="https://chat-conecta.recife.pe.gov.br/live/XdetrSSMRryzADLzP/user-info"/>
    <hyperlink ref="D180" r:id="rId175" display="https://chat-conecta.recife.pe.gov.br/live/9RnP3Pw8wtLMxgAGe/room-info"/>
    <hyperlink ref="D181" r:id="rId176" display="https://chat-conecta.recife.pe.gov.br/live/pvvshwnvAfuj2gsMe/room-info"/>
    <hyperlink ref="D182" r:id="rId177" display="https://chat-conecta.recife.pe.gov.br/live/uSnxcbST9vduYjKzc/room-info"/>
    <hyperlink ref="D183" r:id="rId178" display="https://chat-conecta.recife.pe.gov.br/live/vm9n8ocbYoL43ta5a"/>
    <hyperlink ref="D184" r:id="rId179" display="https://chat-conecta.recife.pe.gov.br/live/P4cpEBAPBTff26piZ"/>
    <hyperlink ref="D185" r:id="rId180" display="https://chat-conecta.recife.pe.gov.br/live/rAKb3joCBFo2kGi8s"/>
    <hyperlink ref="D186" r:id="rId181" display="https://chat-conecta.recife.pe.gov.br/live/jKgocvXZKjmtikQoc/room-info"/>
    <hyperlink ref="D187" r:id="rId182" display="https://chat-conecta.recife.pe.gov.br/live/nWn2Ret9bbsHvh2qe/room-info"/>
    <hyperlink ref="D188" r:id="rId183" display="https://chat-conecta.recife.pe.gov.br/live/dLAt6kozzP8q7YPwm/room-info"/>
    <hyperlink ref="D189" r:id="rId184" display="https://chat-conecta.recife.pe.gov.br/live/ZxkQ52GxtHsq6QaWS/room-info"/>
    <hyperlink ref="D190" r:id="rId185" display="https://chat-conecta.recife.pe.gov.br/live/XnkZf7HMf5g2qADNX/room-info"/>
    <hyperlink ref="D191" r:id="rId186" display="https://chat-conecta.recife.pe.gov.br/live/sihnqDLmYbNPm6Qkt/room-info"/>
    <hyperlink ref="D192" r:id="rId187" display="https://chat-conecta.recife.pe.gov.br/live/zSerzZd2fXNsj48ci/room-info"/>
    <hyperlink ref="D193" r:id="rId188" display="https://chat-conecta.recife.pe.gov.br/live/RuwqxuepfRD44wzvg/room-info"/>
    <hyperlink ref="D194" r:id="rId189" display="https://chat-conecta.recife.pe.gov.br/live/sYQXAd8GFgfcNwEKK/room-info"/>
    <hyperlink ref="D195" r:id="rId190" display="https://chat-conecta.recife.pe.gov.br/live/bJ3FCqwHmkuLju4Wu/user-info"/>
    <hyperlink ref="D196" r:id="rId191" display="https://chat-conecta.recife.pe.gov.br/live/eQbtZZhzkLJELB5mC"/>
    <hyperlink ref="D197" r:id="rId192" display="https://chat-conecta.recife.pe.gov.br/live/X7vgMtFgLdMvSXxdK/user-info"/>
    <hyperlink ref="D198" r:id="rId193" display="https://chat-conecta.recife.pe.gov.br/live/xP2FQCHRHKBeos9HY"/>
    <hyperlink ref="D199" r:id="rId194" display="https://chat-conecta.recife.pe.gov.br/live/kvnzsEg6bgdt3fzmo/room-info"/>
    <hyperlink ref="D200" r:id="rId195" display="https://chat-conecta.recife.pe.gov.br/live/86CvmkXzA8zwRzzWt"/>
    <hyperlink ref="D201" r:id="rId196" display="https://chat-conecta.recife.pe.gov.br/live/icoiWhELwKb4eX7S6"/>
    <hyperlink ref="D202" r:id="rId197" display="https://chat-conecta.recife.pe.gov.br/live/bzJSihH6GgfrEtpub/room-info"/>
    <hyperlink ref="D203" r:id="rId198" display="https://chat-conecta.recife.pe.gov.br/live/TMNzv5Qb6NwC5zwjP/room-info"/>
    <hyperlink ref="D204" r:id="rId199" display="https://chat-conecta.recife.pe.gov.br/live/rHhNuQcq5n7dvw7q2/room-info"/>
    <hyperlink ref="D205" r:id="rId200" display="https://chat-conecta.recife.pe.gov.br/live/mD6aKRKru4uTd2cij/room-info"/>
    <hyperlink ref="D206" r:id="rId201" display="https://chat-conecta.recife.pe.gov.br/live/khyiQeX5qctQSzsbg/room-info"/>
    <hyperlink ref="D207" r:id="rId202" display="https://chat-conecta.recife.pe.gov.br/live/wfRgKGa2mJAggoFWj"/>
    <hyperlink ref="D209" r:id="rId203" display="https://chat-conecta.recife.pe.gov.br/live/pBEm8NN2qwNLjY8hk/user-info"/>
    <hyperlink ref="D210" r:id="rId204" display="https://chat-conecta.recife.pe.gov.br/live/aRfJeQHYA8RwCajND/user-info"/>
    <hyperlink ref="D211" r:id="rId205" display="https://chat-conecta.recife.pe.gov.br/live/8pjfE8v5wbQYdtw62"/>
    <hyperlink ref="D212" r:id="rId206" display="https://chat-conecta.recife.pe.gov.br/live/iBA7S6DgAbjQ7gPks/room-info"/>
    <hyperlink ref="D213" r:id="rId207" display="https://chat-conecta.recife.pe.gov.br/live/TDFpcpJs8z2bak4kZ/room-info"/>
    <hyperlink ref="D214" r:id="rId208" display="https://chat-conecta.recife.pe.gov.br/live/Zw3gf7gJxXcf4CzRj/room-info"/>
    <hyperlink ref="D215" r:id="rId209" display="https://chat-conecta.recife.pe.gov.br/live/XkpapkD7xbjG4fMNo/room-info"/>
    <hyperlink ref="D216" r:id="rId210" display="https://chat-conecta.recife.pe.gov.br/live/cwojfC4xEMsjpLdcT/room-info"/>
    <hyperlink ref="D217" r:id="rId211" display="https://chat-conecta.recife.pe.gov.br/live/jgSGX9bpP7RpC8GBR/room-info"/>
    <hyperlink ref="D218" r:id="rId212" display="https://chat-conecta.recife.pe.gov.br/live/SaQ9gY92RWAhxRd7n/room-info"/>
    <hyperlink ref="D219" r:id="rId213" display="https://chat-conecta.recife.pe.gov.br/live/gJEMyghr8fxPpZaYk/room-info"/>
    <hyperlink ref="D220" r:id="rId214" display="https://chat-conecta.recife.pe.gov.br/live/WEByGvLtkcevr879g/room-info"/>
    <hyperlink ref="D221" r:id="rId215" display="https://chat-conecta.recife.pe.gov.br/live/2XeuA4jDKvc2NSikT/room-info"/>
    <hyperlink ref="D222" r:id="rId216" display="https://chat-conecta.recife.pe.gov.br/live/kWBQuHPJ7TR7wkfDN/room-info"/>
    <hyperlink ref="D223" r:id="rId217" display="https://chat-conecta.recife.pe.gov.br/live/NECNoyTfRgzGYbmAG/room-info"/>
    <hyperlink ref="D224" r:id="rId218" display="https://chat-conecta.recife.pe.gov.br/live/EaKQZtuifFYMa8QDg/room-info"/>
    <hyperlink ref="D225" r:id="rId219" display="https://chat-conecta.recife.pe.gov.br/live/dpvcPaQhtBmzPvTF4/room-info"/>
    <hyperlink ref="D226" r:id="rId220" display="https://chat-conecta.recife.pe.gov.br/live/B2vWiziDTSFapqnDq/room-info"/>
    <hyperlink ref="D227" r:id="rId221" display="https://chat-conecta.recife.pe.gov.br/live/5bXNt88DYLyujEfBh/room-info"/>
    <hyperlink ref="D228" r:id="rId222" display="https://chat-conecta.recife.pe.gov.br/live/kQnTdFMQk94z9ncou/room-info"/>
    <hyperlink ref="D229" r:id="rId223" display="https://chat-conecta.recife.pe.gov.br/live/DuaSxpoc2PTCTf95k/room-info"/>
    <hyperlink ref="D230" r:id="rId224" display="https://chat-conecta.recife.pe.gov.br/live/atjd38tCYZGC3BQ2c/room-info"/>
    <hyperlink ref="D231" r:id="rId225" display="https://chat-conecta.recife.pe.gov.br/live/4ZiNFLRswKesdMyK9/room-info"/>
    <hyperlink ref="D232" r:id="rId226" display="https://chat-conecta.recife.pe.gov.br/live/ZfGg7cLhQjHcFxts4/room-info"/>
    <hyperlink ref="D233" r:id="rId227" display="https://chat-conecta.recife.pe.gov.br/live/8Tobb6DhQw6CMEJoC/room-info"/>
    <hyperlink ref="D234" r:id="rId228" display="https://chat-conecta.recife.pe.gov.br/live/GcTN58Sgt2h8BQmsu/room-info"/>
    <hyperlink ref="D235" r:id="rId229" display="https://chat-conecta.recife.pe.gov.br/live/5aNNrfnwAjAjqvdin/room-info"/>
    <hyperlink ref="D236" r:id="rId230" display="https://chat-conecta.recife.pe.gov.br/live/5LtZLBm4BB5CydXsv/room-info"/>
    <hyperlink ref="D237" r:id="rId231" display="https://chat-conecta.recife.pe.gov.br/live/z5AFLveZahn5LB335/room-info"/>
    <hyperlink ref="D238" r:id="rId232" display="https://chat-conecta.recife.pe.gov.br/live/cmHwaWBLtngautWwb/room-info"/>
    <hyperlink ref="D239" r:id="rId233" display="https://chat-conecta.recife.pe.gov.br/live/GQuBWPyrtirt3myLb/room-info"/>
    <hyperlink ref="D240" r:id="rId234" display="https://chat-conecta.recife.pe.gov.br/live/w8xYeuGjv9cH2HsQy/room-info"/>
    <hyperlink ref="D241" r:id="rId235" display="https://chat-conecta.recife.pe.gov.br/live/KWRrFujNCZRsLaCFC/room-info"/>
    <hyperlink ref="D242" r:id="rId236" display="https://chat-conecta.recife.pe.gov.br/live/L6PK6tHPJG764ibck/room-info"/>
    <hyperlink ref="D243" r:id="rId237" display="https://chat-conecta.recife.pe.gov.br/live/5e7tMDSBGQDRkc29z/room-info"/>
    <hyperlink ref="D244" r:id="rId238" display="https://chat-conecta.recife.pe.gov.br/live/gzEttFBYRMnv5d8Yd/room-info"/>
    <hyperlink ref="D245" r:id="rId239" display="https://chat-conecta.recife.pe.gov.br/live/3xwE3ptvyFg7YmDtT/room-info"/>
    <hyperlink ref="D246" r:id="rId240" display="https://chat-conecta.recife.pe.gov.br/live/jrY2NJ46AQiT5Wpyd/room-info"/>
    <hyperlink ref="D247" r:id="rId241" display="https://chat-conecta.recife.pe.gov.br/live/xMBvEmYSZd2j362XZ/room-info"/>
    <hyperlink ref="D248" r:id="rId242" display="https://chat-conecta.recife.pe.gov.br/live/tvjp6pDo2uhRmuCjE/room-info"/>
    <hyperlink ref="D249" r:id="rId243" display="https://chat-conecta.recife.pe.gov.br/live/De8vsKptXwiSWqLxD/room-info"/>
    <hyperlink ref="D250" r:id="rId244" display="https://chat-conecta.recife.pe.gov.br/live/HeNbNXRRQAsjeYdNu/user-info"/>
    <hyperlink ref="D251" r:id="rId245" display="https://chat-conecta.recife.pe.gov.br/live/HPEYEb9v4H5SKn2Wu/user-info"/>
    <hyperlink ref="D252" r:id="rId246" display="https://chat-conecta.recife.pe.gov.br/live/8jGKJhrnWRGqhEPBT/user-info"/>
    <hyperlink ref="D253" r:id="rId247" display="https://chat-conecta.recife.pe.gov.br/live/isgXLanviyL3G59Ty/user-info"/>
    <hyperlink ref="D255" r:id="rId248" display="https://chat-conecta.recife.pe.gov.br/live/rx3vegabSnS5iZodZ/user-info"/>
    <hyperlink ref="D256" r:id="rId249" display="https://chat-conecta.recife.pe.gov.br/live/8Ynim4hHGfvXN6EGZ/user-info"/>
    <hyperlink ref="D257" r:id="rId250" display="https://chat-conecta.recife.pe.gov.br/live/2HRvs4qjch5K8kN64/user-info"/>
    <hyperlink ref="D258" r:id="rId251" display="https://chat-conecta.recife.pe.gov.br/live/rapXxPfrzoobNLhGK/user-info"/>
    <hyperlink ref="D259" r:id="rId252" display="https://chat-conecta.recife.pe.gov.br/live/NqJeEze4pEbwzf2Yn/user-info"/>
    <hyperlink ref="D260" r:id="rId253" display="https://chat-conecta.recife.pe.gov.br/live/Zbs96JhYHsca9teQs/room-info"/>
    <hyperlink ref="D261" r:id="rId254" display="https://chat-conecta.recife.pe.gov.br/live/rzLnXfNdugWLikBRZ/room-info"/>
    <hyperlink ref="D262" r:id="rId255" display="https://chat-conecta.recife.pe.gov.br/live/PkXBNzxzZcGmMQXSs"/>
    <hyperlink ref="D263" r:id="rId256" display="https://chat-conecta.recife.pe.gov.br/live/SZNc73qgbooY85svD"/>
    <hyperlink ref="D264" r:id="rId257" display="https://chat-conecta.recife.pe.gov.br/live/bjfQqbxdPAD6v6rtj"/>
    <hyperlink ref="D265" r:id="rId258" display="https://chat-conecta.recife.pe.gov.br/live/bAY9NTt8kywbYQ5dv"/>
    <hyperlink ref="D266" r:id="rId259" display="https://chat-conecta.recife.pe.gov.br/live/ZqEwu5isu6gDk2n4c"/>
    <hyperlink ref="D267" r:id="rId260" display="https://chat-conecta.recife.pe.gov.br/live/tevz39eMcPWpxxsyR"/>
    <hyperlink ref="D268" r:id="rId261" display="https://chat-conecta.recife.pe.gov.br/live/hineX9fQrPYgPo9bs/room-info"/>
    <hyperlink ref="D269" r:id="rId262" display="https://chat-conecta.recife.pe.gov.br/live/dwRWD6srjTzWsD9Cz"/>
    <hyperlink ref="D270" r:id="rId263" display="https://chat-conecta.recife.pe.gov.br/live/B3mNBycZyHFa9r6py"/>
    <hyperlink ref="D271" r:id="rId264" display="https://chat-conecta.recife.pe.gov.br/live/dm3vBLhWwfzP4Q5en/room-info"/>
    <hyperlink ref="D272" r:id="rId265" display="https://chat-conecta.recife.pe.gov.br/live/9AeaRH9NC6zTGwnxs/room-info"/>
    <hyperlink ref="D273" r:id="rId266" display="https://chat-conecta.recife.pe.gov.br/live/TQtBCgLkrd4PFzM28/room-info"/>
    <hyperlink ref="D274" r:id="rId267" display="https://chat-conecta.recife.pe.gov.br/live/n6FYiyaHifHEuTn8W/room-info"/>
    <hyperlink ref="D275" r:id="rId268" display="https://chat-conecta.recife.pe.gov.br/live/ndCe2RnbsjbYq6EYK/room-info"/>
    <hyperlink ref="D276" r:id="rId269" display="https://chat-conecta.recife.pe.gov.br/live/RfaFeGArBJtum2A4Y/room-info"/>
    <hyperlink ref="D277" r:id="rId270" display="https://chat-conecta.recife.pe.gov.br/live/vjHnnKNpMEyyNes4j/room-info"/>
    <hyperlink ref="D278" r:id="rId271" display="https://chat-conecta.recife.pe.gov.br/live/5cZw3C9xs2B5efvzE/room-info"/>
    <hyperlink ref="D279" r:id="rId272" display="https://chat-conecta.recife.pe.gov.br/live/aZWM9Ck73gpfS4HRg/room-info"/>
    <hyperlink ref="D280" r:id="rId273" display="https://chat-conecta.recife.pe.gov.br/live/TLa2HyAnQjNuAE9qf/room-info"/>
    <hyperlink ref="D281" r:id="rId274" display="https://chat-conecta.recife.pe.gov.br/live/23SajvLJCWRgWKkhe/room-info"/>
    <hyperlink ref="D282" r:id="rId275" display="https://chat-conecta.recife.pe.gov.br/live/qkCDXjSDZcZvnqE87/room-info"/>
    <hyperlink ref="D283" r:id="rId276" display="https://chat-conecta.recife.pe.gov.br/live/FPjb2X6nEg5B3ivim/room-info"/>
    <hyperlink ref="D284" r:id="rId277" display="https://chat-conecta.recife.pe.gov.br/live/swjY6LS9GXMyxMggD/room-info"/>
    <hyperlink ref="D285" r:id="rId278" display="https://chat-conecta.recife.pe.gov.br/live/CNNG4FYoy7rTxGfNS"/>
    <hyperlink ref="D286" r:id="rId279" display="https://chat-conecta.recife.pe.gov.br/live/a76hkBTHEoyQSf3WQ/room-info"/>
    <hyperlink ref="D287" r:id="rId280" display="https://chat-conecta.recife.pe.gov.br/live/kMkXfsmpd4QAXeeX8/room-info"/>
    <hyperlink ref="D288" r:id="rId281" display="https://chat-conecta.recife.pe.gov.br/live/jngDdGmoLDP6hJvWm"/>
    <hyperlink ref="D289" r:id="rId282" display="https://chat-conecta.recife.pe.gov.br/live/3ySpMCufvcGYxggDs/room-info"/>
    <hyperlink ref="D290" r:id="rId283" display="https://chat-conecta.recife.pe.gov.br/live/j3YXM3ShMxAXMYDzt/room-info"/>
    <hyperlink ref="D291" r:id="rId284" display="https://chat-conecta.recife.pe.gov.br/live/vyqcASbaKNy5pCdvA/room-info"/>
    <hyperlink ref="D292" r:id="rId285" display="https://chat-conecta.recife.pe.gov.br/live/EwPTP2AaAWMm4KSCp/room-info"/>
    <hyperlink ref="D293" r:id="rId286" display="https://chat-conecta.recife.pe.gov.br/live/pKSQmqqrmLMac4uBv/room-info"/>
    <hyperlink ref="D294" r:id="rId287" display="https://chat-conecta.recife.pe.gov.br/live/DbE3MjfgcW4KBqvN8/room-info"/>
    <hyperlink ref="D295" r:id="rId287" display="https://chat-conecta.recife.pe.gov.br/live/DbE3MjfgcW4KBqvN8/room-info"/>
    <hyperlink ref="D296" r:id="rId288" display="https://chat-conecta.recife.pe.gov.br/live/NNKR3geYk5siGhvE6/room-info"/>
    <hyperlink ref="D297" r:id="rId289" display="https://chat-conecta.recife.pe.gov.br/live/7FoJGNnQAtub8Pbeu/room-info"/>
    <hyperlink ref="D298" r:id="rId290" display="https://chat-conecta.recife.pe.gov.br/live/55tmgSH4BhovqPNbs/room-info"/>
    <hyperlink ref="D299" r:id="rId291" display="https://chat-conecta.recife.pe.gov.br/live/8tKSh2EoFxFghcTf6/room-info"/>
    <hyperlink ref="D300" r:id="rId292" display="https://chat-conecta.recife.pe.gov.br/live/o7anGEizDANG4Tz9g/room-info"/>
    <hyperlink ref="D301" r:id="rId293" display="https://chat-conecta.recife.pe.gov.br/live/7wQxrKnF4ZXWQtHJc/room-info"/>
    <hyperlink ref="D302" r:id="rId294" display="https://chat-conecta.recife.pe.gov.br/live/7H5TzgPCwjcroMExJ/room-info"/>
    <hyperlink ref="D303" r:id="rId295" display="https://chat-conecta.recife.pe.gov.br/live/kx654zdpddCyxS4TB/room-info"/>
    <hyperlink ref="D304" r:id="rId296" display="https://chat-conecta.recife.pe.gov.br/live/2DBGWFuYYz2ymZ5ES/room-info"/>
    <hyperlink ref="D305" r:id="rId297" display="https://chat-conecta.recife.pe.gov.br/live/78YnaFQcRbCBfHCtc/room-info"/>
    <hyperlink ref="D306" r:id="rId298" display="https://chat-conecta.recife.pe.gov.br/live/RRx5Pbp4NujcknTAi/room-info"/>
    <hyperlink ref="D307" r:id="rId299" display="https://chat-conecta.recife.pe.gov.br/live/rcikRKnCpkrFbE3C2/room-info"/>
    <hyperlink ref="D308" r:id="rId300" display="https://chat-conecta.recife.pe.gov.br/live/fRHqyqFRfAT4aiYqR/room-info"/>
    <hyperlink ref="D309" r:id="rId301" display="https://chat-conecta.recife.pe.gov.br/live/cypqiKKAtQgQMmhE6/room-info"/>
    <hyperlink ref="D310" r:id="rId302" display="https://chat-conecta.recife.pe.gov.br/live/JCQ28z4wYMD35H4jB/room-info"/>
    <hyperlink ref="D311" r:id="rId303" display="https://chat-conecta.recife.pe.gov.br/live/MeyJazrk6jviTybNu/room-info"/>
    <hyperlink ref="D312" r:id="rId301" display="https://chat-conecta.recife.pe.gov.br/live/cypqiKKAtQgQMmhE6/room-info"/>
    <hyperlink ref="D313" r:id="rId304" display="https://chat-conecta.recife.pe.gov.br/live/BRNu54oBfuy8i2JbB/room-info"/>
    <hyperlink ref="D314" r:id="rId305" display="https://chat-conecta.recife.pe.gov.br/live/FaWuuad7DHZJdzvTZ/room-info"/>
    <hyperlink ref="D315" r:id="rId306" display="https://chat-conecta.recife.pe.gov.br/live/4jGR34HwGjZLBDHhJ/room-info"/>
    <hyperlink ref="D316" r:id="rId307" display="https://chat-conecta.recife.pe.gov.br/live/zjaJmoeKHqmLrdbXQ/room-info"/>
    <hyperlink ref="D317" r:id="rId308" display="https://chat-conecta.recife.pe.gov.br/live/CqqhrAkTraJsziQLB/room-info"/>
    <hyperlink ref="D318" r:id="rId309" display="https://chat-conecta.recife.pe.gov.br/live/MBHK9sacp5YshTco3/room-info"/>
    <hyperlink ref="D319" r:id="rId310" display="https://chat-conecta.recife.pe.gov.br/live/pZPj5MoAq8fMgw7mr/room-info"/>
    <hyperlink ref="D320" r:id="rId311" display="https://chat-conecta.recife.pe.gov.br/live/XF9qmAuTB9Gek27EH/room-info"/>
    <hyperlink ref="D321" r:id="rId312" display="https://chat-conecta.recife.pe.gov.br/live/vBMwu3ssfvsrrMPzQ/room-info"/>
    <hyperlink ref="D322" r:id="rId313" display="https://chat-conecta.recife.pe.gov.br/live/zk9NnbhtfBrQ7SBgu"/>
    <hyperlink ref="D323" r:id="rId312" display="https://chat-conecta.recife.pe.gov.br/live/vBMwu3ssfvsrrMPzQ/room-info"/>
    <hyperlink ref="D324" r:id="rId314" display="https://chat-conecta.recife.pe.gov.br/live/RfFjHHssLjvexk2fp/room-info"/>
    <hyperlink ref="D325" r:id="rId315" display="https://chat-conecta.recife.pe.gov.br/live/mDq8SX9ySjwpCFJyk"/>
    <hyperlink ref="D326" r:id="rId316" display="https://chat-conecta.recife.pe.gov.br/live/uDqD2k8CZndhFmgni/room-info"/>
    <hyperlink ref="D327" r:id="rId317" display="https://chat-conecta.recife.pe.gov.br/live/zsX6xGxtDjdMbnoCG/room-info"/>
    <hyperlink ref="D328" r:id="rId318" display="https://chat-conecta.recife.pe.gov.br/live/ZiE3fQRPZphYWRBwP/room-info"/>
    <hyperlink ref="D329" r:id="rId319" display="https://chat-conecta.recife.pe.gov.br/live/Spijqfgib2aYm3pg6/room-info"/>
    <hyperlink ref="D330" r:id="rId320" display="https://chat-conecta.recife.pe.gov.br/live/dcd55dDsGgHRCeGzQ/room-info"/>
    <hyperlink ref="D331" r:id="rId321" display="https://chat-conecta.recife.pe.gov.br/live/rxsnhicykwTNSMuP9/room-info"/>
    <hyperlink ref="D332" r:id="rId322" display="https://chat-conecta.recife.pe.gov.br/live/n7oX7FgRtPjXMp4ub/room-info"/>
    <hyperlink ref="D333" r:id="rId323" display="https://chat-conecta.recife.pe.gov.br/live/C72aX2dcqjFhyA9Go/room-info"/>
    <hyperlink ref="D334" r:id="rId324" display="https://chat-conecta.recife.pe.gov.br/live/iGE4DKSuaLEy3ri2d/room-info"/>
    <hyperlink ref="D335" r:id="rId325" display="https://chat-conecta.recife.pe.gov.br/live/AFGrTpCrrTBDNB3xv/room-info"/>
    <hyperlink ref="D336" r:id="rId326" display="https://chat-conecta.recife.pe.gov.br/live/BDNWvqX4wD2rjW7SH/room-info"/>
    <hyperlink ref="D337" r:id="rId327" display="https://chat-conecta.recife.pe.gov.br/live/YqEtsef8GL38Hfqgj/room-info"/>
    <hyperlink ref="D338" r:id="rId328" display="https://chat-conecta.recife.pe.gov.br/live/FW4ExGqp85e4SYzp4/room-info"/>
    <hyperlink ref="D339" r:id="rId329" display="https://chat-conecta.recife.pe.gov.br/live/7kBGLduZWHMkBJus2/room-info"/>
    <hyperlink ref="D340" r:id="rId330" display="https://chat-conecta.recife.pe.gov.br/live/JfAxyH2xHxCmXc7aL/room-info"/>
    <hyperlink ref="D341" r:id="rId331" display="https://chat-conecta.recife.pe.gov.br/live/7edbgt6kx8eSsE3e3/room-info"/>
    <hyperlink ref="D342" r:id="rId332" display="https://chat-conecta.recife.pe.gov.br/live/hn7qjTy43jfxeACHb/room-info"/>
    <hyperlink ref="D343" r:id="rId333" display="https://chat-conecta.recife.pe.gov.br/live/HvqNmpH2dWZF2sGG3/room-info"/>
    <hyperlink ref="D344" r:id="rId334" display="https://chat-conecta.recife.pe.gov.br/live/fH3xSeHGSjDF5cwFy/room-info"/>
    <hyperlink ref="D345" r:id="rId335" display="https://chat-conecta.recife.pe.gov.br/live/dBTsvLXFiCXBvo3i2/room-info"/>
    <hyperlink ref="D346" r:id="rId336" display="https://chat-conecta.recife.pe.gov.br/live/ujvxGgnHBi6CaHowQ/room-info"/>
    <hyperlink ref="D347" r:id="rId337" display="https://chat-conecta.recife.pe.gov.br/live/puhWKNakYd8RRQDpv/room-info"/>
    <hyperlink ref="D348" r:id="rId338" display="https://chat-conecta.recife.pe.gov.br/live/cRnFdBmTQTzNJML72/room-info"/>
    <hyperlink ref="D349" r:id="rId339" display="https://chat-conecta.recife.pe.gov.br/live/KZRoAoxzbQhotGBwE/room-info"/>
    <hyperlink ref="D350" r:id="rId340" display="https://chat-conecta.recife.pe.gov.br/live/ArfTGhTapRRh8aNgx/room-info"/>
    <hyperlink ref="D351" r:id="rId341" display="https://chat-conecta.recife.pe.gov.br/live/PAQLWTmb3LcDrAsAg/room-info"/>
    <hyperlink ref="D352" r:id="rId342" display="https://chat-conecta.recife.pe.gov.br/live/NYZeSvpu9peMtidu5/room-info"/>
    <hyperlink ref="D353" r:id="rId343" display="https://chat-conecta.recife.pe.gov.br/live/pdyqXzjYhFfySCy3N/room-info"/>
    <hyperlink ref="D354" r:id="rId344" display="https://chat-conecta.recife.pe.gov.br/live/2QJKNed4QF7wY3eqh/room-info"/>
    <hyperlink ref="D355" r:id="rId345" display="https://chat-conecta.recife.pe.gov.br/live/dYCtG6Q26P4fMRj8y/room-info"/>
    <hyperlink ref="D356" r:id="rId346" display="https://chat-conecta.recife.pe.gov.br/live/fqji29rXMYuX8g6m5/room-info"/>
    <hyperlink ref="D357" r:id="rId347" display="https://chat-conecta.recife.pe.gov.br/live/mGgpYPJ3qbmff9uWj/room-info"/>
    <hyperlink ref="D358" r:id="rId348" display="https://chat-conecta.recife.pe.gov.br/live/ZvGj4kQp5Swiaeo5p/room-info"/>
    <hyperlink ref="D359" r:id="rId349" display="https://chat-conecta.recife.pe.gov.br/live/CJCWWq4JbYsdotwXY/room-info"/>
    <hyperlink ref="D360" r:id="rId350" display="https://chat-conecta.recife.pe.gov.br/live/qpWou5dafYFwYEqkN/room-info"/>
    <hyperlink ref="D361" r:id="rId351" display="https://chat-conecta.recife.pe.gov.br/live/MXfjMomGS3SnFcF4p/room-info"/>
    <hyperlink ref="D362" r:id="rId352" display="https://chat-conecta.recife.pe.gov.br/live/qxt8g6EhykZ5PCRMs/room-info"/>
    <hyperlink ref="D363" r:id="rId353" display="https://chat-conecta.recife.pe.gov.br/live/yQ7rM3jCmcTJCEcd8/room-info"/>
    <hyperlink ref="D364" r:id="rId354" display="HopChat PMR (recife.pe.gov.br)"/>
    <hyperlink ref="D365" r:id="rId355" display="HopChat PMR (recife.pe.gov.br)"/>
    <hyperlink ref="D366" r:id="rId356" display="https://chat-conecta.recife.pe.gov.br/live/uh9gkmy9mhM2N3D48/room-info"/>
    <hyperlink ref="D367" r:id="rId357" display="https://chat-conecta.recife.pe.gov.br/live/yLRexBnz8xuYYmLL5/room-info"/>
    <hyperlink ref="D368" r:id="rId358" display="https://chat-conecta.recife.pe.gov.br/live/pp92cf3CPaAqNww5d/room-info"/>
    <hyperlink ref="D369" r:id="rId359" display="https://chat-conecta.recife.pe.gov.br/live/kmR6MRRPXD8N9RjR3/room-info"/>
    <hyperlink ref="D370" r:id="rId360" display="https://chat-conecta.recife.pe.gov.br/live/DrjDnLKDHJP9Ct3Y9/room-info"/>
    <hyperlink ref="D371" r:id="rId361" display="https://chat-conecta.recife.pe.gov.br/live/8ZWx5u5Rfra9mRusE/room-info"/>
    <hyperlink ref="D372" r:id="rId362" display="https://chat-conecta.recife.pe.gov.br/live/ZmKwj5AA5D98KhPKg/room-info"/>
    <hyperlink ref="D373" r:id="rId363" display="https://chat-conecta.recife.pe.gov.br/live/gTgekjMvpQSpsLXCC/room-info"/>
    <hyperlink ref="D374" r:id="rId364" display="https://chat-conecta.recife.pe.gov.br/live/f3FZGXoFyKfZLHJdL/room-info"/>
    <hyperlink ref="D375" r:id="rId365" display="https://chat-conecta.recife.pe.gov.br/live/jAtkJKQf9LQozjcPs/room-info"/>
    <hyperlink ref="D376" r:id="rId366" display="https://chat-conecta.recife.pe.gov.br/live/ha38z4BjpD8CWE3D3/room-info"/>
    <hyperlink ref="D377" r:id="rId367" display="https://chat-conecta.recife.pe.gov.br/live/ToeTmfK4QHYwHpYba/user-info"/>
    <hyperlink ref="D378" r:id="rId368" display="https://chat-conecta.recife.pe.gov.br/live/aNSfxTnRZs7o5zsGr/room-info"/>
    <hyperlink ref="D379" r:id="rId369" display="https://chat-conecta.recife.pe.gov.br/live/TGBfXDRTuJTCD63NK/room-info"/>
    <hyperlink ref="D380" r:id="rId370" display="https://chat-conecta.recife.pe.gov.br/live/A7cSH5wpz7chD24rL/room-info"/>
    <hyperlink ref="D381" r:id="rId371" display="https://chat-conecta.recife.pe.gov.br/live/rGPhKvbf4XXCHvhLb/room-info"/>
    <hyperlink ref="D382" r:id="rId372" display="https://chat-conecta.recife.pe.gov.br/live/MCMvXyDPKmPBNy27S/room-info"/>
    <hyperlink ref="D383" r:id="rId373" display="https://chat-conecta.recife.pe.gov.br/live/Whn5KDJnxRTyBHC5C/room-info"/>
    <hyperlink ref="D384" r:id="rId374" display="chat-conecta.recife.pe.gov.br/live/mHivMePBmHmqNga6H/room-info"/>
    <hyperlink ref="D385" r:id="rId375" display="https://chat-conecta.recife.pe.gov.br/live/CnxBKQH8KymnojqCP/room-info"/>
    <hyperlink ref="D386" r:id="rId376" display="https://chat-conecta.recife.pe.gov.br/live/qztMGMbSBquJzTQMk/room-info"/>
    <hyperlink ref="D387" r:id="rId377" display="https://chat-conecta.recife.pe.gov.br/live/77wRGJBi3bMGye53k/room-info"/>
    <hyperlink ref="D388" r:id="rId378" display="https://chat-conecta.recife.pe.gov.br/live/9F4uSSvb2RYbHXo3b/room-info"/>
    <hyperlink ref="D389" r:id="rId379" display="https://chat-conecta.recife.pe.gov.br/live/gXuEtQ7z54pPKKb5a/room-info"/>
    <hyperlink ref="D390" r:id="rId380" display="https://chat-conecta.recife.pe.gov.br/live/84kZepyKnNT9kBcqy"/>
    <hyperlink ref="D391" r:id="rId381" display="https://chat-conecta.recife.pe.gov.br/live/oB7Cr9Tv3FQQ4wBBF/room-info"/>
    <hyperlink ref="D392" r:id="rId382" display="https://chat-conecta.recife.pe.gov.br/live/nRaRXn8KLuGdA4gRs/room-info"/>
    <hyperlink ref="D393" r:id="rId383" display="https://chat-conecta.recife.pe.gov.br/live/pxcQX6mLaeSdWrv3F/room-info"/>
    <hyperlink ref="D394" r:id="rId384" display="https://chat-conecta.recife.pe.gov.br/live/GGZhQ75mX6jHpiHYD/room-info"/>
    <hyperlink ref="D395" r:id="rId385" display="https://chat-conecta.recife.pe.gov.br/live/PHH8uM8mJgbCKaQba"/>
    <hyperlink ref="D396" r:id="rId386" display="https://chat-conecta.recife.pe.gov.br/live/yKk43jpMkFa7T2rB4"/>
    <hyperlink ref="D397" r:id="rId387" display="https://chat-conecta.recife.pe.gov.br/live/8n4TiCLjpMkSQcAfz/room-info"/>
    <hyperlink ref="D398" r:id="rId388" display="https://chat-conecta.recife.pe.gov.br/live/cDXhcWZkS5dpB4DPC"/>
    <hyperlink ref="D399" r:id="rId389" display="https://chat-conecta.recife.pe.gov.br/live/diGYeJpXsnNbSTwC6/room-info"/>
    <hyperlink ref="D400" r:id="rId390" display="https://chat-conecta.recife.pe.gov.br/live/tRyEyyf6wc2ZLhgbw/room-info"/>
    <hyperlink ref="D401" r:id="rId391" display="https://chat-conecta.recife.pe.gov.br/live/Ydm6MF4XeXHHmvhyL/room-info"/>
    <hyperlink ref="D402" r:id="rId392" display="https://chat-conecta.recife.pe.gov.br/live/q7qLw5rEdtbMk9xAS/room-info"/>
    <hyperlink ref="D403" r:id="rId393" display="https://chat-conecta.recife.pe.gov.br/live/JPEZ44uZ76bRL44i5/room-info"/>
    <hyperlink ref="D404" r:id="rId394" display="https://chat-conecta.recife.pe.gov.br/live/R8QPbDaxidkfvtGfN/room-info"/>
    <hyperlink ref="D405" r:id="rId395" display="https://chat-conecta.recife.pe.gov.br/live/viQ3ax49sv8Rx99So/room-info"/>
    <hyperlink ref="D406" r:id="rId396" display="https://chat-conecta.recife.pe.gov.br/live/geFmg2EKyJRxaC6qR/room-info"/>
    <hyperlink ref="D407" r:id="rId397" display="https://chat-conecta.recife.pe.gov.br/live/PgAwrh6cAHYDEfxme/room-info"/>
    <hyperlink ref="D408" r:id="rId398" display="https://chat-conecta.recife.pe.gov.br/live/FQteeGosTc8Ckf42B/room-info"/>
    <hyperlink ref="D409" r:id="rId399" display="https://chat-conecta.recife.pe.gov.br/live/RdTN4zDkBG4iybRda/room-infoo"/>
    <hyperlink ref="D410" r:id="rId400" display="https://chat-conecta.recife.pe.gov.br/live/9ko25QzKYj9sqnbdq/room-info"/>
    <hyperlink ref="D411" r:id="rId401" display="https://chat-conecta.recife.pe.gov.br/live/6QHsRSMt2Kwk8hgQK/room-info"/>
    <hyperlink ref="D412" r:id="rId402" display="https://chat-conecta.recife.pe.gov.br/live/2fcb8DknRBsWAyF4v/room-info"/>
    <hyperlink ref="D413" r:id="rId403" display="https://chat-conecta.recife.pe.gov.br/live/PNYFSKJybRmpcmcG6/room-info"/>
    <hyperlink ref="D414" r:id="rId404" display="https://chat-conecta.recife.pe.gov.br/live/AZFwYwBBuBi7bWnrQ/room-info"/>
    <hyperlink ref="D415" r:id="rId405" display="https://chat-conecta.recife.pe.gov.br/live/Fgt24zsWyhwxiRTYf/room-info"/>
    <hyperlink ref="D416" r:id="rId406" display="https://chat-conecta.recife.pe.gov.br/live/uhTazBxJyZcDBC8Ng/room-info"/>
    <hyperlink ref="D417" r:id="rId407" display="https://chat-conecta.recife.pe.gov.br/live/sXJAwZ4MxbPkTPKzN/room-info"/>
    <hyperlink ref="D418" r:id="rId408" display="https://chat-conecta.recife.pe.gov.br/live/A4gpe25soqNdbxRFZ/room-info"/>
    <hyperlink ref="D419" r:id="rId409" display="https://chat-conecta.recife.pe.gov.br/live/JFbzZMcFPrWLShvTj/room-info"/>
    <hyperlink ref="D420" r:id="rId410" display="https://chat-conecta.recife.pe.gov.br/live/zoLmb4NgyC4S42qky/room-info"/>
    <hyperlink ref="D421" r:id="rId411" display="https://chat-conecta.recife.pe.gov.br/live/ZzxcdyxoKBXWqEx8L/room-info"/>
    <hyperlink ref="D422" r:id="rId412" display="https://chat-conecta.recife.pe.gov.br/live/955u4rx7HG9Mpy2nM/room-info"/>
    <hyperlink ref="D423" r:id="rId413" display="https://chat-conecta.recife.pe.gov.br/live/icrnbX8bsRWgcaHrz/room-info"/>
    <hyperlink ref="D424" r:id="rId414" display="https://chat-conecta.recife.pe.gov.br/live/jAk48jTZE3mCiocgd/room-info"/>
    <hyperlink ref="D425" r:id="rId415" display="https://chat-conecta.recife.pe.gov.br/live/JQctaFSw8guuCeD8f/room-info"/>
    <hyperlink ref="D426" r:id="rId416" display="https://chat-conecta.recife.pe.gov.br/live/YB26ag5Nxu96Pjmop/room-info"/>
    <hyperlink ref="D427" r:id="rId417" display="https://chat-conecta.recife.pe.gov.br/live/yH5D3qc3uSeBMDzmK/room-info"/>
    <hyperlink ref="D428" r:id="rId418" display="https://chat-conecta.recife.pe.gov.br/live/b7ZZbys3M82mDsQXB/room-info"/>
    <hyperlink ref="D429" r:id="rId419" display="https://chat-conecta.recife.pe.gov.br/live/TmaiHmXJxu9ivNAhn/room-info"/>
    <hyperlink ref="D430" r:id="rId420" display="https://chat-conecta.recife.pe.gov.br/live/MqnvoHGizXHioZwMF/room-info"/>
    <hyperlink ref="D431" r:id="rId421" display="https://chat-conecta.recife.pe.gov.br/live/c6cy265MoCAKXPZ2Q/room-info"/>
    <hyperlink ref="D432" r:id="rId422" display="https://chat-conecta.recife.pe.gov.br/live/rA49Gi9pLtvJqYFcD/room-info"/>
    <hyperlink ref="D433" r:id="rId423" display="https://chat-conecta.recife.pe.gov.br/live/KrJQGQpAJdRyNn9hm/room-info"/>
    <hyperlink ref="D434" r:id="rId424" display="https://chat-conecta.recife.pe.gov.br/live/4SckSy8FZPyPDnXGC/room-info"/>
    <hyperlink ref="D435" r:id="rId425" display="https://chat-conecta.recife.pe.gov.br/live/AJ5fgWecJgPzmgZ3c/room-info"/>
    <hyperlink ref="D436" r:id="rId426" display="https://chat-conecta.recife.pe.gov.br/live/r2vCba92xFfjXGubQ/room-info"/>
    <hyperlink ref="D437" r:id="rId427" display="https://chat-conecta.recife.pe.gov.br/live/eEqz97ddknidsNAk5/room-info"/>
    <hyperlink ref="D438" r:id="rId428" display="https://chat-conecta.recife.pe.gov.br/live/v74dpquyLqLkGEkGB/room-info"/>
    <hyperlink ref="D439" r:id="rId429" display="https://chat-conecta.recife.pe.gov.br/live/BjKjf5h6Ya4iE4tH7/room-info"/>
    <hyperlink ref="D440" r:id="rId430" display="https://chat-conecta.recife.pe.gov.br/live/eZ7yqcQmFGsFmnHqa/room-info"/>
    <hyperlink ref="D441" r:id="rId431" display="https://chat-conecta.recife.pe.gov.br/live/qCzpNz8jExyYcSmvB/room-info"/>
    <hyperlink ref="D442" r:id="rId432" display="https://chat-conecta.recife.pe.gov.br/live/taQwWtCx3RhwPBm4u/room-info"/>
    <hyperlink ref="D443" r:id="rId433" display="https://chat-conecta.recife.pe.gov.br/live/Mxqt6hpp5mrjjfoq6/room-info"/>
    <hyperlink ref="D444" r:id="rId434" display="https://chat-conecta.recife.pe.gov.br/live/Smo9rxurdnfGrdPpB/room-info"/>
    <hyperlink ref="D445" r:id="rId435" display="https://chat-conecta.recife.pe.gov.br/live/azaWKjbsSxSZr69o9/room-info"/>
    <hyperlink ref="D446" r:id="rId436" display="https://chat-conecta.recife.pe.gov.br/live/GAvPSFPH9i8vNkYqb/room-info"/>
    <hyperlink ref="D447" r:id="rId437" display="https://chat-conecta.recife.pe.gov.br/live/89b5s9wQAaWpPEuaX/room-info"/>
    <hyperlink ref="D448" r:id="rId438" display="https://chat-conecta.recife.pe.gov.br/live/WjjRMwoQFnkHn7Tdj/room-info"/>
    <hyperlink ref="D449" r:id="rId439" display="https://chat-conecta.recife.pe.gov.br/live/adG3qc9SLfoFxijYw/room-info"/>
    <hyperlink ref="D450" r:id="rId440" display="https://chat-conecta.recife.pe.gov.br/live/qEJSrwaL6Tgq38is2/room-info"/>
    <hyperlink ref="D451" r:id="rId441" display="https://chat-conecta.recife.pe.gov.br/live/5gZv7as8kwDw2Hz93/room-info"/>
    <hyperlink ref="D452" r:id="rId442" display="https://chat-conecta.recife.pe.gov.br/live/Qg8kj5FCy59eT6smt/room-info"/>
    <hyperlink ref="D453" r:id="rId443" display="https://chat-conecta.recife.pe.gov.br/live/vzfHN68TvKPzQR2ge/room-info"/>
    <hyperlink ref="D454" r:id="rId444" display="https://chat-conecta.recife.pe.gov.br/live/qQfgAWkmGe5ai8Kfq/room-info"/>
    <hyperlink ref="D455" r:id="rId445" display="https://chat-conecta.recife.pe.gov.br/live/XJJE2AewA3eKcfBHG/room-info"/>
    <hyperlink ref="D456" r:id="rId446" display="https://chat-conecta.recife.pe.gov.br/live/KjmJRtAmGhjGJuD5q/room-info"/>
    <hyperlink ref="D457" r:id="rId447" display="https://chat-conecta.recife.pe.gov.br/live/cTYXQiLffNEjYj6ns/room-info"/>
    <hyperlink ref="D458" r:id="rId448" display="https://chat-conecta.recife.pe.gov.br/live/F68ghf4L44gJPaMMe"/>
    <hyperlink ref="D459" r:id="rId449" display="https://chat-conecta.recife.pe.gov.br/live/swDDisvdfKzSfBd4W/room-info"/>
    <hyperlink ref="D460" r:id="rId450" display="https://chat-conecta.recife.pe.gov.br/live/tdLmsHJ8SDvK3AecL"/>
    <hyperlink ref="D461" r:id="rId451" display="https://chat-conecta.recife.pe.gov.br/live/seZCm8pF5eH9RshW9/room-info"/>
    <hyperlink ref="D462" r:id="rId452" display="https://chat-conecta.recife.pe.gov.br/live/6eB2dMyTnRxLCYesc/room-info"/>
    <hyperlink ref="D463" r:id="rId453" display="https://chat-conecta.recife.pe.gov.br/live/TNgH8HfF6ogsMr22o/room-info"/>
    <hyperlink ref="D464" r:id="rId454" display="https://chat-conecta.recife.pe.gov.br/live/ggZhDwe4qy6unHLqN"/>
    <hyperlink ref="D465" r:id="rId455" display="https://chat-conecta.recife.pe.gov.br/live/wvATB2mwtXp5xza7k/room-info"/>
    <hyperlink ref="D466" r:id="rId456" display="https://chat-conecta.recife.pe.gov.br/live/K3Y9GLFzEW5rdGYg3/room-info"/>
    <hyperlink ref="D467" r:id="rId457" display="https://chat-conecta.recife.pe.gov.br/live/xeowPsaA5QR7iWFCH/room-info"/>
    <hyperlink ref="D468" r:id="rId458" display="https://chat-conecta.recife.pe.gov.br/live/azXL63v4ndPaoRzLn/room-info"/>
    <hyperlink ref="D469" r:id="rId459" display="https://chat-conecta.recife.pe.gov.br/live/DENsZWLLNHP4ELJ6x/room-info"/>
    <hyperlink ref="D470" r:id="rId460" display="https://chat-conecta.recife.pe.gov.br/live/daan5dorJFXScbNi7/room-info"/>
    <hyperlink ref="D471" r:id="rId461" display="https://chat-conecta.recife.pe.gov.br/live/iZ2c9nx9mPARxxtkP/room-info"/>
    <hyperlink ref="D472" r:id="rId462" display="https://chat-conecta.recife.pe.gov.br/live/qNNsT3k3bDBEYNJ2u/room-info"/>
    <hyperlink ref="D473" r:id="rId463" display="https://chat-conecta.recife.pe.gov.br/live/6hEAZryCpfprR7uLx/room-info"/>
    <hyperlink ref="D474" r:id="rId464" display="https://chat-conecta.recife.pe.gov.br/live/zLaWsSFyqEsRGgXpB/room-info"/>
    <hyperlink ref="D475" r:id="rId465" display="https://chat-conecta.recife.pe.gov.br/live/HAMEsiuZtqaNo2GKR/room-info"/>
    <hyperlink ref="D476" r:id="rId466" display="https://chat-conecta.recife.pe.gov.br/live/wshFso8wKbmnpobk6/room-info"/>
    <hyperlink ref="D477" r:id="rId467" display="https://chat-conecta.recife.pe.gov.br/live/B2J9vi6EA97xSvXbm/room-info"/>
    <hyperlink ref="D478" r:id="rId468" display="https://chat-conecta.recife.pe.gov.br/live/B7MNHCYjcWFsBP42D/room-info"/>
    <hyperlink ref="D479" r:id="rId469" display="https://chat-conecta.recife.pe.gov.br/live/jQzzKT6d4pJuKpwsT/room-info"/>
    <hyperlink ref="D480" r:id="rId470" display="https://chat-conecta.recife.pe.gov.br/live/JFYuM2AihS2gMm2Rs/room-info"/>
    <hyperlink ref="D481" r:id="rId471" display="https://chat-conecta.recife.pe.gov.br/live/cKwWmiW5jRfgcz5Ap/room-info"/>
    <hyperlink ref="D482" r:id="rId472" display="https://chat-conecta.recife.pe.gov.br/live/YM6PbTkXG92kFvPqw/room-info"/>
    <hyperlink ref="D483" r:id="rId473" display="https://chat-conecta.recife.pe.gov.br/live/jTQvid9WmvcSvgs5Y/room-info"/>
    <hyperlink ref="D484" r:id="rId474" display="https://chat-conecta.recife.pe.gov.br/live/bXMWJGHYtnFRnusuC/room-info"/>
    <hyperlink ref="D485" r:id="rId475" display="https://chat-conecta.recife.pe.gov.br/live/mYMBDWR6iTM2WJK9r/room-info"/>
    <hyperlink ref="D486" r:id="rId476" display="https://chat-conecta.recife.pe.gov.br/live/dbEyzA5eewepMT73J/room-info"/>
    <hyperlink ref="D487" r:id="rId477" display="https://chat-conecta.recife.pe.gov.br/live/gY3WamkfJ93qiRqcz/room-info"/>
    <hyperlink ref="D488" r:id="rId478" display="https://chat-conecta.recife.pe.gov.br/live/yZgYqzC3j2iW9Xzri"/>
    <hyperlink ref="D489" r:id="rId465" display="https://chat-conecta.recife.pe.gov.br/live/HAMEsiuZtqaNo2GKR/room-infoo"/>
    <hyperlink ref="D490" r:id="rId479" display="https://chat-conecta.recife.pe.gov.br/live/Xh22qxheM6jSLwcro/room-info"/>
    <hyperlink ref="D491" r:id="rId480" display="https://chat-conecta.recife.pe.gov.br/live/xxvrSL2rRZCTZfuKr/room-info"/>
    <hyperlink ref="D492" r:id="rId481" display="https://chat-conecta.recife.pe.gov.br/live/j9DNDTRrq9ySBDLy4/room-info"/>
    <hyperlink ref="D493" r:id="rId482" display="https://chat-conecta.recife.pe.gov.br/live/fowZKxsWwHwttQkKC/room-info"/>
    <hyperlink ref="D494" r:id="rId483" display="https://chat-conecta.recife.pe.gov.br/live/kEj435bmgoaLzAfq2/room-info"/>
    <hyperlink ref="D495" r:id="rId484" display="https://chat-conecta.recife.pe.gov.br/live/4svW7AAi2SvHBj9cv/room-info"/>
    <hyperlink ref="D496" r:id="rId485" display="https://chat-conecta.recife.pe.gov.br/live/ffZmqHZBiANLCNzvE/room-info"/>
    <hyperlink ref="D497" r:id="rId486" display="https://chat-conecta.recife.pe.gov.br/live/DhwvQgJr7ZQD5imPn/room-info"/>
    <hyperlink ref="D498" r:id="rId487" display="https://chat-conecta.recife.pe.gov.br/live/YyW9Pfrda8v2DbEGj/room-info"/>
    <hyperlink ref="D499" r:id="rId488" display="https://chat-conecta.recife.pe.gov.br/live/JPqXobYPHNBTjP7X2/room-info"/>
    <hyperlink ref="D500" r:id="rId489" display="https://chat-conecta.recife.pe.gov.br/live/FHDZEbjqFiCcDm4cp/room-info"/>
    <hyperlink ref="D501" r:id="rId490" display="https://chat-conecta.recife.pe.gov.br/live/mCxqssEcJiawXShrw/room-info"/>
    <hyperlink ref="D502" r:id="rId491" display="https://chat-conecta.recife.pe.gov.br/live/gYzuuxsdkPLt6xdsG/room-info"/>
    <hyperlink ref="D503" r:id="rId492" display="https://chat-conecta.recife.pe.gov.br/live/CeSGLWQpBcX2iNY9G/room-info"/>
    <hyperlink ref="D504" r:id="rId493" display="https://chat-conecta.recife.pe.gov.br/live/277Wo2zoXGHSZsp6P/room-info"/>
    <hyperlink ref="D505" r:id="rId494" display="https://chat-conecta.recife.pe.gov.br/live/dfYrAnyL54p34evRh/room-info"/>
    <hyperlink ref="D506" r:id="rId495" display="https://chat-conecta.recife.pe.gov.br/live/QvB5ZebkNmzsQEf37/room-info"/>
    <hyperlink ref="D507" r:id="rId496" display="https://chat-conecta.recife.pe.gov.br/live/QWwDkAn54bez3oTQa/room-info"/>
    <hyperlink ref="D508" r:id="rId497" display="https://chat-conecta.recife.pe.gov.br/live/uLkYM72zkdfZDujZe/room-info"/>
    <hyperlink ref="D509" r:id="rId498" display="https://chat-conecta.recife.pe.gov.br/live/Z4L5WFypbA4WQJahx/room-info"/>
    <hyperlink ref="D510" r:id="rId499" display="https://chat-conecta.recife.pe.gov.br/live/ausBHBEhmNqESqfbM/room-info"/>
    <hyperlink ref="D511" r:id="rId500" display="https://chat-conecta.recife.pe.gov.br/live/rwYG39N57XM95C3eT/room-info"/>
    <hyperlink ref="D512" r:id="rId501" display="https://chat-conecta.recife.pe.gov.br/live/mnm2CSQjZkAaKgowq/room-info"/>
    <hyperlink ref="D513" r:id="rId502" display="https://chat-conecta.recife.pe.gov.br/live/erEbmKvMHiuJRuinA/room-info"/>
    <hyperlink ref="D514" r:id="rId503" display="https://chat-conecta.recife.pe.gov.br/live/29LXGucKd72XxfiBt/room-info"/>
    <hyperlink ref="D515" r:id="rId504" display="https://chat-conecta.recife.pe.gov.br/live/a33LkcsdgNDH5E3C9/room-info"/>
    <hyperlink ref="D516" r:id="rId505" display="https://chat-conecta.recife.pe.gov.br/live/iTxSZZnqygL3HwKit/room-info"/>
    <hyperlink ref="D517" r:id="rId506" display="https://chat-conecta.recife.pe.gov.br/live/ymsJD5LA3QmKk2MJP/room-info"/>
    <hyperlink ref="D518" r:id="rId507" display="https://chat-conecta.recife.pe.gov.br/live/SkRxmBDAhsNrp2P6w/room-info"/>
    <hyperlink ref="D519" r:id="rId508" display="https://chat-conecta.recife.pe.gov.br/live/4mLX8mSaqsay8pYt5/room-info"/>
    <hyperlink ref="D520" r:id="rId509" display="https://chat-conecta.recife.pe.gov.br/live/5czgdxuwiqaJKdxx7/room-info"/>
    <hyperlink ref="D521" r:id="rId510" display="https://chat-conecta.recife.pe.gov.br/live/AsgLoYWotwTzNFfJy/room-info"/>
    <hyperlink ref="D522" r:id="rId511" display="https://chat-conecta.recife.pe.gov.br/live/p2eMqiMubzTaZHhBL/room-info"/>
    <hyperlink ref="D523" r:id="rId512" display="https://chat-conecta.recife.pe.gov.br/live/Bone4wH9EHdxiHMXJ/room-info"/>
    <hyperlink ref="D524" r:id="rId513" display="https://chat-conecta.recife.pe.gov.br/live/YhoAhiKBpwT3jgPZa/room-info"/>
    <hyperlink ref="D525" r:id="rId514" display="https://chat-conecta.recife.pe.gov.br/live/buu9gwCMsNMnWPwQS/room-info"/>
    <hyperlink ref="D526" r:id="rId515" display="https://chat-conecta.recife.pe.gov.br/live/tWykJ68TPB2SxvK6H/room-info"/>
    <hyperlink ref="D527" r:id="rId516" display="https://chat-conecta.recife.pe.gov.br/live/W2C327mScjYGr4Gtu/room-info"/>
    <hyperlink ref="D528" r:id="rId517" display="https://chat-conecta.recife.pe.gov.br/live/SzwnJ4x7AMDQZyut5/room-info"/>
    <hyperlink ref="D529" r:id="rId518" display="https://chat-conecta.recife.pe.gov.br/live/NyHR9xDs4AWpGP9Jj/room-info"/>
    <hyperlink ref="D530" r:id="rId519" display="https://chat-conecta.recife.pe.gov.br/live/iZ8aageutK2WfEJYz/room-info"/>
    <hyperlink ref="D531" r:id="rId520" display="https://chat-conecta.recife.pe.gov.br/live/cP9g8mR9txTsy2Smc/room-info"/>
    <hyperlink ref="D532" r:id="rId521" display="https://chat-conecta.recife.pe.gov.br/live/9baPpXT57ghzHRYCs/room-info"/>
    <hyperlink ref="D533" r:id="rId522" display="https://chat-conecta.recife.pe.gov.br/live/GbH3Fb9NXRLjCAwhr/room-info"/>
    <hyperlink ref="D534" r:id="rId523" display="https://chat-conecta.recife.pe.gov.br/live/acJZXy49QgpnjzGT3/room-info"/>
    <hyperlink ref="D535" r:id="rId524" display="https://chat-conecta.recife.pe.gov.br/live/EPj8HbiJ9uJw6YBcA/room-info"/>
    <hyperlink ref="D536" r:id="rId525" display="https://chat-conecta.recife.pe.gov.br/live/XYBYaNsDvPth5EqjF/room-info"/>
    <hyperlink ref="D537" r:id="rId526" display="https://chat-conecta.recife.pe.gov.br/live/dHQF27r4Sw3ogbpP4/room-info"/>
    <hyperlink ref="D538" r:id="rId527" display="https://chat-conecta.recife.pe.gov.br/live/FhbzBddLf6nyYiBoE/room-info"/>
    <hyperlink ref="D539" r:id="rId528" display="https://chat-conecta.recife.pe.gov.br/live/cAgtxjKPvFvLHHLSe/room-info"/>
    <hyperlink ref="D540" r:id="rId529" display="https://chat-conecta.recife.pe.gov.br/live/M9Md82rWSA9KqW5Fb/room-info"/>
    <hyperlink ref="D541" r:id="rId530" display="https://chat-conecta.recife.pe.gov.br/live/rgyPqDhW2Yz6p2ciG/room-info"/>
    <hyperlink ref="D542" r:id="rId531" display="https://chat-conecta.recife.pe.gov.br/live/2X4Gp9qwRgrD9X3mj/room-info"/>
    <hyperlink ref="D543" r:id="rId532" display="https://chat-conecta.recife.pe.gov.br/live/M53zhLAGY86yfkGHg/room-info"/>
    <hyperlink ref="D544" r:id="rId533" display="https://chat-conecta.recife.pe.gov.br/live/Hp6osTZGvQfPfktnz/room-info"/>
    <hyperlink ref="D545" r:id="rId534" display="https://chat-conecta.recife.pe.gov.br/live/eHE3qgzyEBP6W9KMn/room-info"/>
    <hyperlink ref="D546" r:id="rId535" display="https://chat-conecta.recife.pe.gov.br/live/kY94sHgQTvKR43f2L/room-info"/>
    <hyperlink ref="D547" r:id="rId536" display="https://chat-conecta.recife.pe.gov.br/live/LxQAuokgsakXvFpK4/room-info"/>
    <hyperlink ref="D548" r:id="rId537" display="https://chat-conecta.recife.pe.gov.br/live/MEuEGrbqSJMucc2Yn/room-info"/>
    <hyperlink ref="D549" r:id="rId538" display="https://chat-conecta.recife.pe.gov.br/live/qTcDD52C6QLeAQzhA/room-info"/>
    <hyperlink ref="D550" r:id="rId539" display="https://chat-conecta.recife.pe.gov.br/live/LeeXwH9YX3deY95xp/room-info"/>
    <hyperlink ref="D551" r:id="rId540" display="https://chat-conecta.recife.pe.gov.br/live/SahDMccdbbaFYPnkP/room-info"/>
    <hyperlink ref="D552" r:id="rId541" display="https://chat-conecta.recife.pe.gov.br/live/gFfnbRgNNBehpn8Ay"/>
    <hyperlink ref="D553" r:id="rId542" display="https://chat-conecta.recife.pe.gov.br/live/RHdf6zARviW3RTZs7/room-info"/>
    <hyperlink ref="D554" r:id="rId543" display="https://chat-conecta.recife.pe.gov.br/live/Tksic7WBPXE4ccitG/room-info"/>
    <hyperlink ref="D555" r:id="rId544" display="https://chat-conecta.recife.pe.gov.br/live/no79roPrnj9v3wBhR/room-info"/>
    <hyperlink ref="D556" r:id="rId545" display="https://chat-conecta.recife.pe.gov.br/live/Ktgh9Ahpf9bHEwdZA/room-info"/>
    <hyperlink ref="D557" r:id="rId546" display="https://chat-conecta.recife.pe.gov.br/live/SYQSsPFz88DojgDkr/room-info"/>
    <hyperlink ref="D558" r:id="rId547" display="https://chat-conecta.recife.pe.gov.br/live/px9DHTxRrRPFJmp7S"/>
    <hyperlink ref="D559" r:id="rId548" display="https://chat-conecta.recife.pe.gov.br/live/Ch6BAmai3hjte9rPp/room-info"/>
    <hyperlink ref="D560" r:id="rId549" display="https://chat-conecta.recife.pe.gov.br/live/izn65RhSFNixyPwJe/room-info"/>
    <hyperlink ref="D561" r:id="rId550" display="https://chat-conecta.recife.pe.gov.br/live/xzC3wsn8mQiHhPui3/room-info"/>
    <hyperlink ref="D562" r:id="rId551" display="https://chat-conecta.recife.pe.gov.br/live/HYMCFXZ66kKM75MTT/room-info"/>
    <hyperlink ref="D563" r:id="rId552" display="https://chat-conecta.recife.pe.gov.br/live/zKcXBBaB4KEL8dZMd/room-info"/>
    <hyperlink ref="D564" r:id="rId553" display="https://chat-conecta.recife.pe.gov.br/live/Sy46W4jsemsCMYgtx"/>
    <hyperlink ref="D565" r:id="rId554" display="https://chat-conecta.recife.pe.gov.br/live/ZGZ23mpMPqRGPet45/room-info"/>
    <hyperlink ref="D566" r:id="rId555" display="https://chat-conecta.recife.pe.gov.br/live/4qu23WubKSeMtuG2j/room-info"/>
    <hyperlink ref="D567" r:id="rId556" display="https://chat-conecta.recife.pe.gov.br/live/ivvHy77REr7QbhYz2/room-info"/>
    <hyperlink ref="D568" r:id="rId557" display="https://chat-conecta.recife.pe.gov.br/live/sb2Aod6XDBvqw97HG/room-info"/>
    <hyperlink ref="D569" r:id="rId558" display="https://chat-conecta.recife.pe.gov.br/live/boGyHP3rzhtiBYvJK/room-info"/>
    <hyperlink ref="D570" r:id="rId559" display="https://chat-conecta.recife.pe.gov.br/live/RPoY5Yak4N4H4aGJc/room-info"/>
    <hyperlink ref="D571" r:id="rId560" display="https://chat-conecta.recife.pe.gov.br/live/yCtAo5Q2ERdm4SXfP/room-info"/>
    <hyperlink ref="D572" r:id="rId561" display="https://chat-conecta.recife.pe.gov.br/live/hQAYTuFRFEHM9CsRS/room-info"/>
    <hyperlink ref="D573" r:id="rId562" display="https://chat-conecta.recife.pe.gov.br/live/b56g6Ni9aqg8ptpBX/room-info"/>
    <hyperlink ref="D574" r:id="rId563" display="https://chat-conecta.recife.pe.gov.br/live/27Sf8vQs53HAEuWp8/room-info"/>
    <hyperlink ref="D575" r:id="rId564" display="https://chat-conecta.recife.pe.gov.br/live/RnR6oY48T2FPnx8ve/room-info"/>
    <hyperlink ref="D576" r:id="rId565" display="https://chat-conecta.recife.pe.gov.br/live/7QvWm2eqmcjN6LT5G/room-info"/>
    <hyperlink ref="D577" r:id="rId566" display="https://chat-conecta.recife.pe.gov.br/live/nY2cCdcvZHHDQfAoK/room-info"/>
    <hyperlink ref="D578" r:id="rId567" display="https://chat-conecta.recife.pe.gov.br/live/mGgiXxJAyqQtgm4uK"/>
    <hyperlink ref="D579" r:id="rId568" display="https://chat-conecta.recife.pe.gov.br/live/YT3hEqkDK5gQsd8zH/room-info"/>
    <hyperlink ref="D580" r:id="rId569" display="https://chat-conecta.recife.pe.gov.br/live/a5kn7XctY5rcXsnFL/room-info"/>
    <hyperlink ref="D581" r:id="rId570" display="https://chat-conecta.recife.pe.gov.br/live/r7Bo6ojiFBxw8b57v/room-info"/>
    <hyperlink ref="D582" r:id="rId571" display="https://chat-conecta.recife.pe.gov.br/live/pZYN2yts7NSu2Scij/room-info"/>
    <hyperlink ref="D583" r:id="rId572" display="https://chat-conecta.recife.pe.gov.br/live/u7rHGkjqruaL6vL6c/room-info"/>
    <hyperlink ref="D584" r:id="rId573" display="https://chat-conecta.recife.pe.gov.br/live/3fiYY7e27iErCauRg/room-info"/>
    <hyperlink ref="D585" r:id="rId574" display="https://chat-conecta.recife.pe.gov.br/live/5GiPPm9FJNe4Mj2vC/room-info"/>
    <hyperlink ref="D586" r:id="rId575" display="https://chat-conecta.recife.pe.gov.br/live/dmMnvr4fpjgWhEyam/room-info"/>
    <hyperlink ref="D587" r:id="rId576" display="https://chat-conecta.recife.pe.gov.br/live/NXdKHLtiNKoZAPJPJ/room-info"/>
    <hyperlink ref="D588" r:id="rId577" display="https://chat-conecta.recife.pe.gov.br/live/R3oT6Jx8n963MHGxK/room-info"/>
    <hyperlink ref="D589" r:id="rId578" display="https://chat-conecta.recife.pe.gov.br/live/4sd6H8pHeoqkgAWuh/room-info"/>
    <hyperlink ref="D590" r:id="rId579" display="https://chat-conecta.recife.pe.gov.br/live/n664y5ALTwyu6Nhwr/room-info"/>
    <hyperlink ref="D591" r:id="rId580" display="https://chat-conecta.recife.pe.gov.br/live/33LpDuogFzN43rMpz/room-info"/>
    <hyperlink ref="D592" r:id="rId581" display="https://chat-conecta.recife.pe.gov.br/live/ZKq4sxBmbNDQpLTLm/room-info"/>
    <hyperlink ref="D593" r:id="rId582" display="https://chat-conecta.recife.pe.gov.br/live/RYPhh6wbqPBipdj6c/room-info"/>
    <hyperlink ref="D594" r:id="rId583" display="https://chat-conecta.recife.pe.gov.br/live/47vp8duREctHPmpjX/room-info"/>
    <hyperlink ref="D595" r:id="rId584" display="https://chat-conecta.recife.pe.gov.br/live/EmcweuCJAQ4rFqY8e/room-info"/>
    <hyperlink ref="D596" r:id="rId585" display="https://chat-conecta.recife.pe.gov.br/live/s9iwo5z9PmJG9m8aP/room-info"/>
    <hyperlink ref="D597" r:id="rId586" display="https://chat-conecta.recife.pe.gov.br/live/qw6NNFhuDrC43bSoG/room-info"/>
    <hyperlink ref="D598" r:id="rId587" display="https://chat-conecta.recife.pe.gov.br/live/DkoX5oNghftnHCCoy/room-info"/>
    <hyperlink ref="D599" r:id="rId588" display="https://chat-conecta.recife.pe.gov.br/live/L5qQxrMT5gMLLr5Em/room-info"/>
    <hyperlink ref="D600" r:id="rId589" display="https://chat-conecta.recife.pe.gov.br/live/j4im6HCvysDEtbkmD/user-info"/>
    <hyperlink ref="D601" r:id="rId588" display="https://chat-conecta.recife.pe.gov.br/live/L5qQxrMT5gMLLr5Em/room-info"/>
    <hyperlink ref="D602" r:id="rId590" display="https://chat-conecta.recife.pe.gov.br/live/RHLcARLisnxThbjzX/room-info"/>
    <hyperlink ref="D603" r:id="rId591" display="https://chat-conecta.recife.pe.gov.br/live/sShkNnmWj9upYD8Ag/room-info"/>
    <hyperlink ref="D604" r:id="rId592" display="https://chat-conecta.recife.pe.gov.br/live/um38ockuuAZi6voMn/room-info"/>
    <hyperlink ref="D605" r:id="rId593" display="https://chat-conecta.recife.pe.gov.br/live/qwmYTe3TGv3dEb9Sr/room-info"/>
    <hyperlink ref="D606" r:id="rId594" display="https://chat-conecta.recife.pe.gov.br/live/TccGa53ngxDjxdseL/room-info"/>
    <hyperlink ref="D607" r:id="rId595" display="https://chat-conecta.recife.pe.gov.br/live/9auyC4igp6ranYjno/room-info"/>
    <hyperlink ref="D608" r:id="rId596" display="https://chat-conecta.recife.pe.gov.br/live/MuXYqhPWBk3Cz8Nht/room-info"/>
    <hyperlink ref="D609" r:id="rId597" display="https://chat-conecta.recife.pe.gov.br/live/w8xyAqzE7J27F622z/room-info"/>
    <hyperlink ref="D610" r:id="rId598" display="https://chat-conecta.recife.pe.gov.br/live/XkExGeWhazoJmkfyQ/room-info"/>
    <hyperlink ref="D611" r:id="rId599" display="https://chat-conecta.recife.pe.gov.br/live/8RLTWWwTCrXMzu2g9/room-info"/>
    <hyperlink ref="D612" r:id="rId600" display="https://chat-conecta.recife.pe.gov.br/live/g2GtzL7BTZ5ewz4Ak/room-info"/>
    <hyperlink ref="D613" r:id="rId601" display="https://chat-conecta.recife.pe.gov.br/live/YDoPoFdKGedhJXJPi/room-info"/>
    <hyperlink ref="D614" r:id="rId602" display="https://chat-conecta.recife.pe.gov.br/live/oPokpp2t2oPM87kdr/room-info"/>
    <hyperlink ref="D615" r:id="rId603" display="https://chat-conecta.recife.pe.gov.br/live/ivKXXLiLA8f345FRG/room-info"/>
    <hyperlink ref="D616" r:id="rId604" display="https://chat-conecta.recife.pe.gov.br/live/R5njmNWXy5JEp8tJN/room-info"/>
    <hyperlink ref="D617" r:id="rId605" display="https://chat-conecta.recife.pe.gov.br/live/5xWywJsCNmwCBu5iZ/room-info"/>
    <hyperlink ref="D618" r:id="rId606" display="https://chat-conecta.recife.pe.gov.br/live/kmzYZ5rgxrY6Jh9PM/room-info"/>
    <hyperlink ref="D619" r:id="rId607" display="https://chat-conecta.recife.pe.gov.br/live/9GxprWMrsBbcmjRhC/room-info"/>
    <hyperlink ref="D620" r:id="rId608" display="https://chat-conecta.recife.pe.gov.br/live/ae7etZMMJ6XtuTYcP/room-info"/>
    <hyperlink ref="D621" r:id="rId609" display="https://chat-conecta.recife.pe.gov.br/live/Kc94bSbhimgzpAv26/room-info"/>
    <hyperlink ref="D622" r:id="rId610" display="https://chat-conecta.recife.pe.gov.br/live/rqL2CjiNKqy5atbb7/room-info"/>
    <hyperlink ref="D623" r:id="rId611" display="https://chat-conecta.recife.pe.gov.br/omnichannel-directory/chats/view/f45aSh8RtYx7FxwXw"/>
    <hyperlink ref="D624" r:id="rId612" display="https://chat-conecta.recife.pe.gov.br/live/FiabFLqGQGgJpzMoP/room-info"/>
    <hyperlink ref="D625" r:id="rId613" display="https://chat-conecta.recife.pe.gov.br/live/8Kg9NMNCZwCuEJrHp/room-info"/>
    <hyperlink ref="D626" r:id="rId614" display="https://chat-conecta.recife.pe.gov.br/live/tabbYdq5mRworNRwc/room-info"/>
    <hyperlink ref="D627" r:id="rId615" display="https://chat-conecta.recife.pe.gov.br/live/MTGFFfBuwQMXCJPaE"/>
    <hyperlink ref="D628" r:id="rId616" display="https://chat-conecta.recife.pe.gov.br/live/tvTDmobXyKjnGFwd5"/>
    <hyperlink ref="D629" r:id="rId617" display="https://chat-conecta.recife.pe.gov.br/live/kn87gZxy22HSBXerb/room-info"/>
    <hyperlink ref="D630" r:id="rId618" display="https://chat-conecta.recife.pe.gov.br/live/t55e2dYNtRvisDep2/room-info"/>
    <hyperlink ref="D631" r:id="rId619" display="https://chat-conecta.recife.pe.gov.br/live/pCtaS6gFSBwWz23mN/room-info"/>
    <hyperlink ref="D632" r:id="rId620" display="https://chat-conecta.recife.pe.gov.br/live/SHkQ8x3j2vicWr29e/room-info"/>
    <hyperlink ref="D633" r:id="rId621" display="https://chat-conecta.recife.pe.gov.br/live/kCp3QAe3KZwoP7AEn/room-info"/>
    <hyperlink ref="D634" r:id="rId622" display="https://chat-conecta.recife.pe.gov.br/live/KAWj9T4wLgtnCciR5/room-info"/>
    <hyperlink ref="D635" r:id="rId623" display="https://chat-conecta.recife.pe.gov.br/live/XnD2jEwFm6ymQsGPo/room-info"/>
    <hyperlink ref="D636" r:id="rId624" display="https://chat-conecta.recife.pe.gov.br/live/BrJs7PDyeGu24EuuK/room-info"/>
    <hyperlink ref="D637" r:id="rId625" display="https://chat-conecta.recife.pe.gov.br/live/uzFZx8uLgRQzEA2QM/user-info"/>
    <hyperlink ref="D638" r:id="rId626" display="https://chat-conecta.recife.pe.gov.br/live/7AD3X48iLGrgdrHf3/room-info"/>
    <hyperlink ref="D639" r:id="rId627" display="https://chat-conecta.recife.pe.gov.br/live/n6Qx3nLfWi2AoYJJu"/>
    <hyperlink ref="D640" r:id="rId628" display="https://chat-conecta.recife.pe.gov.br/live/oeJnh6QaJzaACwc6z/room-info"/>
    <hyperlink ref="D641" r:id="rId629" display="https://chat-conecta.recife.pe.gov.br/live/HYWiPTDdLQCQrPdos/room-info"/>
    <hyperlink ref="D642" r:id="rId630" display="https://chat-conecta.recife.pe.gov.br/live/giJRcFN326u3E7vPw"/>
    <hyperlink ref="D643" r:id="rId631" display="https://chat-conecta.recife.pe.gov.br/live/NeXPCk8gyya3CDPLQ/room-info"/>
    <hyperlink ref="D644" r:id="rId632" display="https://chat-conecta.recife.pe.gov.br/live/t2YG2MFbNQB2cvFSz"/>
    <hyperlink ref="D645" r:id="rId633" display="https://chat-conecta.recife.pe.gov.br/live/swyw2a96qRenApvdF"/>
    <hyperlink ref="D646" r:id="rId634" display="https://chat-conecta.recife.pe.gov.br/live/fRDw8EjLSB92HuYyo/room-info"/>
    <hyperlink ref="D647" r:id="rId635" display="https://chat-conecta.recife.pe.gov.br/live/yLt4jFqFBse2943Yb/room-info"/>
    <hyperlink ref="D648" r:id="rId636" display="https://chat-conecta.recife.pe.gov.br/live/Ee7v3bukYf8B57bAq/room-info"/>
    <hyperlink ref="D649" r:id="rId637" display="https://chat-conecta.recife.pe.gov.br/live/rSDBv2dPs3degD3dd/room-info"/>
    <hyperlink ref="D650" r:id="rId638" display="https://chat-conecta.recife.pe.gov.br/live/XXCeBddGZWt5RzRNr"/>
    <hyperlink ref="D651" r:id="rId639" display="https://chat-conecta.recife.pe.gov.br/live/8KzSrRQ8AcLBdKhDP/room-info"/>
    <hyperlink ref="D652" r:id="rId640" display="https://chat-conecta.recife.pe.gov.br/live/ibBBp4jyzHaR7ubFF/room-info"/>
    <hyperlink ref="D653" r:id="rId641" display="https://chat-conecta.recife.pe.gov.br/live/tSzt6sFXq9YpyG8qg/room-info"/>
    <hyperlink ref="D654" r:id="rId642" display="https://chat-conecta.recife.pe.gov.br/live/mz2J63d89Lipj3qXa/room-info"/>
    <hyperlink ref="D655" r:id="rId643" display="https://chat-conecta.recife.pe.gov.br/live/8B2PrjtWrPwjkBNY6/room-info"/>
    <hyperlink ref="D656" r:id="rId644" display="https://chat-conecta.recife.pe.gov.br/live/8Rom3zbD2xP2LnpaX/room-info"/>
    <hyperlink ref="D657" r:id="rId645" display="https://chat-conecta.recife.pe.gov.br/live/Ku2okhT3bGq73JJer/room-info"/>
    <hyperlink ref="D658" r:id="rId646" display="https://chat-conecta.recife.pe.gov.br/live/HGmfGCi2zZdTtMB5D/room-info"/>
    <hyperlink ref="D659" r:id="rId647" display="https://chat-conecta.recife.pe.gov.br/live/gy9LQuNNcmWDoXiDC/room-info"/>
    <hyperlink ref="D660" r:id="rId648" display="https://chat-conecta.recife.pe.gov.br/live/aB6Bc2BuRbP385Hrj"/>
    <hyperlink ref="D661" r:id="rId649" display="https://chat-conecta.recife.pe.gov.br/live/MzJhR2LznDH4zy5yF/room-info"/>
    <hyperlink ref="D662" r:id="rId650" display="https://chat-conecta.recife.pe.gov.br/live/Bd8Rc35EQBRAWZ8cz/room-info"/>
    <hyperlink ref="D663" r:id="rId651" display="https://chat-conecta.recife.pe.gov.br/live/kXAXEaHRAqDEXJDRh"/>
    <hyperlink ref="D664" r:id="rId652" display="https://chat-conecta.recife.pe.gov.br/live/G7TdNyTgvuvPYupGv/room-info"/>
    <hyperlink ref="D665" r:id="rId653" display="https://chat-conecta.recife.pe.gov.br/live/QuGS6zvL3aJb5F7CT/room-info"/>
    <hyperlink ref="D666" r:id="rId654" display="https://chat-conecta.recife.pe.gov.br/live/Z4XSj9Gj5zYTZmmmF/room-info"/>
    <hyperlink ref="D667" r:id="rId655" display="https://chat-conecta.recife.pe.gov.br/live/jJe2Xn53AM9dmH5im/room-info"/>
    <hyperlink ref="D668" r:id="rId656" display="https://chat-conecta.recife.pe.gov.br/live/fLBtYJ9BKtuursnTD/room-info"/>
    <hyperlink ref="D669" r:id="rId657" display="https://chat-conecta.recife.pe.gov.br/live/yWXhdxTWh4pD5jmnB/room-info"/>
    <hyperlink ref="D670" r:id="rId658" display="https://chat-conecta.recife.pe.gov.br/live/sr8J8vbn9X9GAjXFa/room-info"/>
    <hyperlink ref="D671" r:id="rId659" display="https://chat-conecta.recife.pe.gov.br/live/t9hsKseYK5XQNtjgC/room-info"/>
    <hyperlink ref="D672" r:id="rId660" display="https://chat-conecta.recife.pe.gov.br/live/buQRtRgvm3tofR8yF/room-info"/>
    <hyperlink ref="D673" r:id="rId661" display="https://chat-conecta.recife.pe.gov.br/live/aL7rAnqWFbChSrYhN/room-info"/>
    <hyperlink ref="D674" r:id="rId662" display="https://chat-conecta.recife.pe.gov.br/live/oLjZSeycba75tcp6a/room-info"/>
    <hyperlink ref="D675" r:id="rId663" display="https://chat-conecta.recife.pe.gov.br/live/PYdj8KaYoGsd9zwkr/room-info"/>
    <hyperlink ref="D676" r:id="rId664" display="https://chat-conecta.recife.pe.gov.br/live/Z8ebAKcGM7LmfPBxK/room-info"/>
    <hyperlink ref="D677" r:id="rId665" display="https://chat-conecta.recife.pe.gov.br/live/orfouHJ7i4ad9skJz/room-info"/>
    <hyperlink ref="D678" r:id="rId666" display="https://chat-conecta.recife.pe.gov.br/live/ASQCpr8rpbwFSr2J6/room-info"/>
    <hyperlink ref="D679" r:id="rId667" display="https://chat-conecta.recife.pe.gov.br/live/YXRn5NZoxBYHNnQXZ/room-info"/>
    <hyperlink ref="D680" r:id="rId668" display="https://chat-conecta.recife.pe.gov.br/live/9qTXw5jFTykTsyMcp/room-info"/>
    <hyperlink ref="D681" r:id="rId669" display="https://chat-conecta.recife.pe.gov.br/live/GP4FJRyDTDje7am9x/room-info"/>
    <hyperlink ref="D682" r:id="rId670" display="https://chat-conecta.recife.pe.gov.br/live/H6Bsjw6K6wuMew53Z"/>
    <hyperlink ref="D683" r:id="rId671" display="https://chat-conecta.recife.pe.gov.br/live/TtxBgmmXkTkdpc7Yj"/>
    <hyperlink ref="D684" r:id="rId672" display="https://chat-conecta.recife.pe.gov.br/live/S8zz72BreEwmLe6Qb/room-info"/>
    <hyperlink ref="D685" r:id="rId673" display="https://chat-conecta.recife.pe.gov.br/live/tcuW59jXPKqT4Wc4G/room-info"/>
    <hyperlink ref="D686" r:id="rId674" display="https://chat-conecta.recife.pe.gov.br/live/ieE2yi7xyphxCWGSE/room-info"/>
    <hyperlink ref="D687" r:id="rId675" display="https://chat-conecta.recife.pe.gov.br/live/q4hJCcnMHgybC7Jcy/room-info"/>
    <hyperlink ref="D688" r:id="rId676" display="https://chat-conecta.recife.pe.gov.br/live/RALcoknc8zC7nehLZ/room-info"/>
    <hyperlink ref="D689" r:id="rId677" display="https://chat-conecta.recife.pe.gov.br/live/hxQMuCWZkRKFjWkxZ/room-info"/>
    <hyperlink ref="D690" r:id="rId678" display="https://chat-conecta.recife.pe.gov.br/live/9AbzwoeANSeaPd7Fg/room-info"/>
    <hyperlink ref="D691" r:id="rId679" display="https://chat-conecta.recife.pe.gov.br/live/Jp5Q3Lomgtb86ezr2/room-info"/>
    <hyperlink ref="D692" r:id="rId680" display="https://chat-conecta.recife.pe.gov.br/live/jbSqe5NpgBDZ7nHxK/room-info"/>
    <hyperlink ref="D693" r:id="rId681" display="https://chat-conecta.recife.pe.gov.br/live/vStnmXYs56KwCqPTX/room-info"/>
    <hyperlink ref="D694" r:id="rId682" display="https://chat-conecta.recife.pe.gov.br/live/AzuZXw9BguKiH4bkX/room-info"/>
    <hyperlink ref="D695" r:id="rId683" display="https://chat-conecta.recife.pe.gov.br/live/2xBcJDcTjq6C7CFeA/room-info"/>
    <hyperlink ref="D696" r:id="rId684" display="https://chat-conecta.recife.pe.gov.br/live/Y4njjb5ZLWTigmtg6/room-info"/>
    <hyperlink ref="D697" r:id="rId685" display="https://chat-conecta.recife.pe.gov.br/live/gkX52h8ucKdAWYetg/room-info"/>
    <hyperlink ref="D698" r:id="rId686" display="https://chat-conecta.recife.pe.gov.br/live/eLvamdupE8Z6N8hzA/room-info"/>
    <hyperlink ref="D699" r:id="rId687" display="https://chat-conecta.recife.pe.gov.br/live/mxxgn9dDJZZ36zKNR/room-info"/>
    <hyperlink ref="D700" r:id="rId688" display="https://chat-conecta.recife.pe.gov.br/live/ohPNLeTesJvpSbbST/room-info"/>
    <hyperlink ref="D701" r:id="rId689" display="https://chat-conecta.recife.pe.gov.br/live/N8ohjRZ5iHoMF9qgF"/>
    <hyperlink ref="D702" r:id="rId690" display="https://chat-conecta.recife.pe.gov.br/live/RYjG6GjaT9J2Xh2yx/room-info"/>
    <hyperlink ref="D703" r:id="rId691" display="https://chat-conecta.recife.pe.gov.br/live/E3dCtJTmgjhTiJfer/room-info"/>
    <hyperlink ref="D704" r:id="rId692" display="https://chat-conecta.recife.pe.gov.br/live/BJZyWLC5Db7oAmgKe"/>
    <hyperlink ref="D705" r:id="rId693" display="https://chat-conecta.recife.pe.gov.br/live/WogPpR2sYZP4oFmTg/room-info"/>
    <hyperlink ref="D706" r:id="rId694" display="https://chat-conecta.recife.pe.gov.br/live/L5AH2KL8DfJzuqkLu/room-info"/>
    <hyperlink ref="D707" r:id="rId695" display="https://chat-conecta.recife.pe.gov.br/live/b2ZsbnuB9FkvLFDCx/room-info"/>
    <hyperlink ref="D708" r:id="rId696" display="https://chat-conecta.recife.pe.gov.br/live/Y3crzL2jjZ7BGgY9X/room-info"/>
    <hyperlink ref="D709" r:id="rId697" display="https://chat-conecta.recife.pe.gov.br/live/maP8eMETXgFxyyQnv/room-info"/>
    <hyperlink ref="D710" r:id="rId698" display="https://chat-conecta.recife.pe.gov.br/live/QL8dAPJakukaLZnbh"/>
    <hyperlink ref="D711" r:id="rId699" display="https://chat-conecta.recife.pe.gov.br/live/mGpMMy6F2R27JcSgs/room-info"/>
    <hyperlink ref="D712" r:id="rId700" display="https://chat-conecta.recife.pe.gov.br/live/LG3ZXvJGCuNY2Stjv/room-info"/>
    <hyperlink ref="D713" r:id="rId701" display="https://chat-conecta.recife.pe.gov.br/live/z3gtQi7ebHZo6cvWF/room-info"/>
    <hyperlink ref="D714" r:id="rId702" display="https://chat-conecta.recife.pe.gov.br/live/ZqpdfwD9KNYovsN4Y/room-info"/>
    <hyperlink ref="D715" r:id="rId703" display="https://chat-conecta.recife.pe.gov.br/live/JKF4SkS2R9sRyihmz/room-info"/>
    <hyperlink ref="D716" r:id="rId704" display="https://chat-conecta.recife.pe.gov.br/live/RdasYAmKuFQQnL7cu/room-info"/>
    <hyperlink ref="D717" r:id="rId705" display="https://chat-conecta.recife.pe.gov.br/live/nvDp3He5amMGcawWQ/room-info"/>
    <hyperlink ref="D718" r:id="rId706" display="https://chat-conecta.recife.pe.gov.br/live/ZmXB8vqMpxbN8duSJ/room-info"/>
    <hyperlink ref="D719" r:id="rId707" display="https://chat-conecta.recife.pe.gov.br/live/jWF4Xc9XbGpQvCz2i/room-info"/>
    <hyperlink ref="D720" r:id="rId708" display="https://chat-conecta.recife.pe.gov.br/live/KMfnYDgsLJ32WTaAS/room-info"/>
    <hyperlink ref="D721" r:id="rId709" display="https://chat-conecta.recife.pe.gov.br/live/AbgbdZyM6sHMHoayk/room-info"/>
    <hyperlink ref="D722" r:id="rId710" display="https://chat-conecta.recife.pe.gov.br/live/eM9H7PTzMPSMwnDoF/room-info"/>
    <hyperlink ref="D723" r:id="rId711" display="https://chat-conecta.recife.pe.gov.br/live/2YmqdDfaLqsmFJxNm/room-info"/>
    <hyperlink ref="D724" r:id="rId712" display="https://chat-conecta.recife.pe.gov.br/live/F2byvnosptrkvWvmh/room-info"/>
    <hyperlink ref="D725" r:id="rId713" display="https://chat-conecta.recife.pe.gov.br/live/PZ72HmQCSsiphSPMT/room-info"/>
    <hyperlink ref="D726" r:id="rId714" display="https://chat-conecta.recife.pe.gov.br/live/XnpLR47GgFgmzRXGu/room-info"/>
    <hyperlink ref="D727" r:id="rId715" display="https://chat-conecta.recife.pe.gov.br/live/otT7fgK4cpxTnjrWH/room-info"/>
    <hyperlink ref="D728" r:id="rId716" display="https://chat-conecta.recife.pe.gov.br/live/juamHNpdpuGxMcsib/room-info"/>
    <hyperlink ref="D729" r:id="rId717" display="https://chat-conecta.recife.pe.gov.br/live/gumb4dNHiDAyXtaEQ/room-info"/>
    <hyperlink ref="D730" r:id="rId718" display="https://chat-conecta.recife.pe.gov.br/live/i7jns7GLhS7ivzYQa/room-info"/>
    <hyperlink ref="D731" r:id="rId719" display="https://chat-conecta.recife.pe.gov.br/live/7RTkqpWZzby8XWj5X/room-info"/>
    <hyperlink ref="D732" r:id="rId720" display="https://chat-conecta.recife.pe.gov.br/live/KW7treM6sjoaYepvy/room-info"/>
    <hyperlink ref="D733" r:id="rId721" display="https://chat-conecta.recife.pe.gov.br/live/gZn35CWCujcuiPdGx/room-info"/>
    <hyperlink ref="D734" r:id="rId722" display="https://chat-conecta.recife.pe.gov.br/live/Zmj9LpGLK86yKHNnP/room-info"/>
    <hyperlink ref="D735" r:id="rId723" display="https://chat-conecta.recife.pe.gov.br/live/sgqH4EZDtHbmjhWks/room-info"/>
    <hyperlink ref="D736" r:id="rId724" display="https://chat-conecta.recife.pe.gov.br/live/Wv4wZsCDqMyrkzAHt/room-info"/>
    <hyperlink ref="D737" r:id="rId725" display="https://chat-conecta.recife.pe.gov.br/live/FC297Qzh8Lq4JYGvQ/room-info"/>
    <hyperlink ref="D738" r:id="rId726" display="https://chat-conecta.recife.pe.gov.br/live/Q6uexPWXBFiz7QjMb/room-info"/>
    <hyperlink ref="D739" r:id="rId727" display="https://chat-conecta.recife.pe.gov.br/live/HR8gxXKNyXsxdkdwX/room-info"/>
    <hyperlink ref="D740" r:id="rId728" display="https://chat-conecta.recife.pe.gov.br/live/teM9LoNzmpL8jS8YP/room-info"/>
    <hyperlink ref="D741" r:id="rId729" display="https://chat-conecta.recife.pe.gov.br/live/bPMdPE3WXhQL8p9mx/room-info"/>
    <hyperlink ref="D742" r:id="rId730" display="https://chat-conecta.recife.pe.gov.br/live/7WjPFsBbbxXsD92rg/room-info"/>
    <hyperlink ref="D743" r:id="rId731" display="https://chat-conecta.recife.pe.gov.br/live/NdaTMqqpb8PLq89mq/room-info"/>
    <hyperlink ref="D744" r:id="rId732" display="https://chat-conecta.recife.pe.gov.br/live/6vSeBGaovpqt8XRZJ/room-info"/>
    <hyperlink ref="D745" r:id="rId733" display="https://chat-conecta.recife.pe.gov.br/live/Xj9RD5Dm7GKDQy7DQ/room-info"/>
    <hyperlink ref="D746" r:id="rId734" display="https://chat-conecta.recife.pe.gov.br/live/cqJ2XbdFLtaSZJhhu/room-info"/>
  </hyperlinks>
  <pageMargins left="0.511811024" right="0.511811024" top="0.787401575" bottom="0.787401575" header="0.31496062" footer="0.31496062"/>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B9"/>
  <sheetViews>
    <sheetView workbookViewId="0">
      <selection activeCell="A1" sqref="A1"/>
    </sheetView>
  </sheetViews>
  <sheetFormatPr defaultColWidth="12.5727272727273" defaultRowHeight="15.75" customHeight="1" outlineLevelCol="1"/>
  <cols>
    <col min="1" max="1" width="13.5727272727273" customWidth="1"/>
    <col min="2" max="2" width="71.5727272727273" customWidth="1"/>
  </cols>
  <sheetData>
    <row r="1" customHeight="1" spans="1:1">
      <c r="A1" s="35" t="s">
        <v>6669</v>
      </c>
    </row>
    <row r="2" customHeight="1" spans="1:2">
      <c r="A2" s="36"/>
      <c r="B2" s="36"/>
    </row>
    <row r="3" customHeight="1" spans="1:2">
      <c r="A3" s="37" t="s">
        <v>5838</v>
      </c>
      <c r="B3" s="37" t="s">
        <v>6670</v>
      </c>
    </row>
    <row r="4" customHeight="1" spans="1:2">
      <c r="A4" s="38" t="s">
        <v>6671</v>
      </c>
      <c r="B4" s="38" t="s">
        <v>6672</v>
      </c>
    </row>
    <row r="5" customHeight="1" spans="1:2">
      <c r="A5" s="39" t="s">
        <v>6673</v>
      </c>
      <c r="B5" s="39" t="s">
        <v>6674</v>
      </c>
    </row>
    <row r="6" customHeight="1" spans="1:2">
      <c r="A6" s="40" t="s">
        <v>6675</v>
      </c>
      <c r="B6" s="40" t="s">
        <v>6676</v>
      </c>
    </row>
    <row r="7" customHeight="1" spans="1:2">
      <c r="A7" s="41" t="s">
        <v>5838</v>
      </c>
      <c r="B7" s="41" t="s">
        <v>6677</v>
      </c>
    </row>
    <row r="8" customHeight="1" spans="1:2">
      <c r="A8" s="42" t="s">
        <v>6678</v>
      </c>
      <c r="B8" s="42" t="s">
        <v>6679</v>
      </c>
    </row>
    <row r="9" customHeight="1" spans="1:2">
      <c r="A9" s="11" t="s">
        <v>6680</v>
      </c>
      <c r="B9" s="11" t="s">
        <v>6681</v>
      </c>
    </row>
  </sheetData>
  <pageMargins left="0.511811024" right="0.511811024" top="0.787401575" bottom="0.787401575" header="0.31496062" footer="0.31496062"/>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
  <sheetViews>
    <sheetView workbookViewId="0">
      <selection activeCell="A1" sqref="A1"/>
    </sheetView>
  </sheetViews>
  <sheetFormatPr defaultColWidth="12.5727272727273" defaultRowHeight="15.75" customHeight="1"/>
  <sheetData/>
  <pageMargins left="0.511811024" right="0.511811024" top="0.787401575" bottom="0.787401575" header="0.31496062" footer="0.31496062"/>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
  <sheetViews>
    <sheetView workbookViewId="0">
      <selection activeCell="A1" sqref="A1"/>
    </sheetView>
  </sheetViews>
  <sheetFormatPr defaultColWidth="12.5727272727273" defaultRowHeight="15.75" customHeight="1"/>
  <sheetData/>
  <pageMargins left="0.511811024" right="0.511811024" top="0.787401575" bottom="0.787401575" header="0.31496062" footer="0.31496062"/>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3204"/>
  <sheetViews>
    <sheetView workbookViewId="0">
      <selection activeCell="A1" sqref="A1"/>
    </sheetView>
  </sheetViews>
  <sheetFormatPr defaultColWidth="12.5727272727273" defaultRowHeight="15.75" customHeight="1"/>
  <sheetData>
    <row r="1" customHeight="1" spans="1:26">
      <c r="A1" s="11" t="str">
        <f>IFERROR(__xludf.DUMMYFUNCTION("IMPORTRANGE(""https://docs.google.com/spreadsheets/d/1jteXTdbwkTeQWzQgH_-oDPrnCfj8fK_WR-J1oN-mSbA/edit#gid=0"",""Cadastro!A1:Z3204"")"),"NOME")</f>
        <v>NOME</v>
      </c>
      <c r="B1" s="11" t="str">
        <f>IFERROR(__xludf.DUMMYFUNCTION("""COMPUTED_VALUE"""),"SITUAÇÃO PROFISSIONAL")</f>
        <v>SITUAÇÃO PROFISSIONAL</v>
      </c>
      <c r="C1" s="11" t="str">
        <f>IFERROR(__xludf.DUMMYFUNCTION("""COMPUTED_VALUE"""),"PREFERENCIA DE CONTATO")</f>
        <v>PREFERENCIA DE CONTATO</v>
      </c>
      <c r="D1" s="11" t="str">
        <f>IFERROR(__xludf.DUMMYFUNCTION("""COMPUTED_VALUE"""),"PROFISSÃO")</f>
        <v>PROFISSÃO</v>
      </c>
      <c r="E1" s="11" t="str">
        <f>IFERROR(__xludf.DUMMYFUNCTION("""COMPUTED_VALUE"""),"DS")</f>
        <v>DS</v>
      </c>
      <c r="F1" s="11" t="str">
        <f>IFERROR(__xludf.DUMMYFUNCTION("""COMPUTED_VALUE"""),"UNIDADE DE SAÚDE ATUAL")</f>
        <v>UNIDADE DE SAÚDE ATUAL</v>
      </c>
      <c r="G1" s="11" t="str">
        <f>IFERROR(__xludf.DUMMYFUNCTION("""COMPUTED_VALUE"""),"UNIDADE DE SAÚDE")</f>
        <v>UNIDADE DE SAÚDE</v>
      </c>
      <c r="H1" s="27" t="str">
        <f>IFERROR(__xludf.DUMMYFUNCTION("""COMPUTED_VALUE"""),"CONTATO PROFISSIONAL 01")</f>
        <v>CONTATO PROFISSIONAL 01</v>
      </c>
      <c r="I1" s="27" t="str">
        <f>IFERROR(__xludf.DUMMYFUNCTION("""COMPUTED_VALUE"""),"CONTATO PROFISSIONAL 02")</f>
        <v>CONTATO PROFISSIONAL 02</v>
      </c>
      <c r="J1" s="27" t="str">
        <f>IFERROR(__xludf.DUMMYFUNCTION("""COMPUTED_VALUE"""),"CONTATO PROFISSIONAL 03")</f>
        <v>CONTATO PROFISSIONAL 03</v>
      </c>
      <c r="K1" s="27" t="str">
        <f>IFERROR(__xludf.DUMMYFUNCTION("""COMPUTED_VALUE"""),"DATA ÚLTIMA ATUALIZAÇÃO")</f>
        <v>DATA ÚLTIMA ATUALIZAÇÃO</v>
      </c>
      <c r="L1" s="28" t="str">
        <f>IFERROR(__xludf.DUMMYFUNCTION("""COMPUTED_VALUE"""),"PROFISSIONAIS QUE RECUSAM")</f>
        <v>PROFISSIONAIS QUE RECUSAM</v>
      </c>
      <c r="M1" s="28" t="str">
        <f>IFERROR(__xludf.DUMMYFUNCTION("""COMPUTED_VALUE"""),"CONTATO  UNIDADE")</f>
        <v>CONTATO  UNIDADE</v>
      </c>
      <c r="N1" s="11" t="str">
        <f>IFERROR(__xludf.DUMMYFUNCTION("""COMPUTED_VALUE"""),"EMAIL")</f>
        <v>EMAIL</v>
      </c>
      <c r="O1" s="29" t="str">
        <f>IFERROR(__xludf.DUMMYFUNCTION("""COMPUTED_VALUE"""),"CPF")</f>
        <v>CPF</v>
      </c>
      <c r="P1" s="30" t="str">
        <f>IFERROR(__xludf.DUMMYFUNCTION("""COMPUTED_VALUE"""),"CNS")</f>
        <v>CNS</v>
      </c>
      <c r="Q1" s="30" t="str">
        <f>IFERROR(__xludf.DUMMYFUNCTION("""COMPUTED_VALUE"""),"CNES")</f>
        <v>CNES</v>
      </c>
      <c r="R1" s="30" t="str">
        <f>IFERROR(__xludf.DUMMYFUNCTION("""COMPUTED_VALUE"""),"INE")</f>
        <v>INE</v>
      </c>
      <c r="S1" s="30" t="str">
        <f>IFERROR(__xludf.DUMMYFUNCTION("""COMPUTED_VALUE"""),"TIPO")</f>
        <v>TIPO</v>
      </c>
      <c r="T1" s="30" t="str">
        <f>IFERROR(__xludf.DUMMYFUNCTION("""COMPUTED_VALUE"""),"CBO")</f>
        <v>CBO</v>
      </c>
      <c r="U1" s="11" t="str">
        <f>IFERROR(__xludf.DUMMYFUNCTION("""COMPUTED_VALUE"""),"CBO Família")</f>
        <v>CBO Família</v>
      </c>
      <c r="V1" s="30" t="str">
        <f>IFERROR(__xludf.DUMMYFUNCTION("""COMPUTED_VALUE"""),"GRUPO WHATSAPP")</f>
        <v>GRUPO WHATSAPP</v>
      </c>
      <c r="W1" s="30" t="str">
        <f>IFERROR(__xludf.DUMMYFUNCTION("""COMPUTED_VALUE"""),"Data Nasc")</f>
        <v>Data Nasc</v>
      </c>
      <c r="X1" s="11" t="str">
        <f>IFERROR(__xludf.DUMMYFUNCTION("""COMPUTED_VALUE"""),"Contato 2")</f>
        <v>Contato 2</v>
      </c>
      <c r="Y1" s="11" t="str">
        <f>IFERROR(__xludf.DUMMYFUNCTION("""COMPUTED_VALUE"""),"Contato 3")</f>
        <v>Contato 3</v>
      </c>
      <c r="Z1" s="11" t="str">
        <f>IFERROR(__xludf.DUMMYFUNCTION("""COMPUTED_VALUE"""),"CPF")</f>
        <v>CPF</v>
      </c>
    </row>
    <row r="2" customHeight="1" spans="1:26">
      <c r="A2" s="11" t="str">
        <f>IFERROR(__xludf.DUMMYFUNCTION("""COMPUTED_VALUE"""),"DULCEA MARIA DANTAS DE LUCENA")</f>
        <v>DULCEA MARIA DANTAS DE LUCENA</v>
      </c>
      <c r="B2" s="11"/>
      <c r="C2" s="11"/>
      <c r="D2" s="11" t="str">
        <f>IFERROR(__xludf.DUMMYFUNCTION("""COMPUTED_VALUE"""),"Enfermeira eSF")</f>
        <v>Enfermeira eSF</v>
      </c>
      <c r="E2" s="11" t="str">
        <f>IFERROR(__xludf.DUMMYFUNCTION("""COMPUTED_VALUE"""),"V")</f>
        <v>V</v>
      </c>
      <c r="F2" s="11" t="str">
        <f>IFERROR(__xludf.DUMMYFUNCTION("""COMPUTED_VALUE"""),"US_344 USF JIQUIA I E II")</f>
        <v>US_344 USF JIQUIA I E II</v>
      </c>
      <c r="G2" s="11" t="str">
        <f>IFERROR(__xludf.DUMMYFUNCTION("""COMPUTED_VALUE"""),"US 344 USF JIQUIA I E II")</f>
        <v>US 344 USF JIQUIA I E II</v>
      </c>
      <c r="H2" s="27">
        <f>IFERROR(__xludf.DUMMYFUNCTION("""COMPUTED_VALUE"""),81988992770)</f>
        <v>81988992770</v>
      </c>
      <c r="I2" s="11"/>
      <c r="J2" s="11"/>
      <c r="K2" s="11"/>
      <c r="L2" s="11"/>
      <c r="M2" s="28" t="str">
        <f>IFERROR(__xludf.DUMMYFUNCTION("""COMPUTED_VALUE"""),"3355-4676")</f>
        <v>3355-4676</v>
      </c>
      <c r="N2" s="11" t="str">
        <f>IFERROR(__xludf.DUMMYFUNCTION("""COMPUTED_VALUE"""),"ducineadl@gmail.com")</f>
        <v>ducineadl@gmail.com</v>
      </c>
      <c r="O2" s="29">
        <f>IFERROR(__xludf.DUMMYFUNCTION("""COMPUTED_VALUE"""),88729389453)</f>
        <v>88729389453</v>
      </c>
      <c r="P2" s="30" t="str">
        <f>IFERROR(__xludf.DUMMYFUNCTION("""COMPUTED_VALUE"""),"204324481650004")</f>
        <v>204324481650004</v>
      </c>
      <c r="Q2" s="30" t="str">
        <f>IFERROR(__xludf.DUMMYFUNCTION("""COMPUTED_VALUE"""),"5601037")</f>
        <v>5601037</v>
      </c>
      <c r="R2" s="30" t="str">
        <f>IFERROR(__xludf.DUMMYFUNCTION("""COMPUTED_VALUE"""),"0000155926")</f>
        <v>0000155926</v>
      </c>
      <c r="S2" s="30" t="str">
        <f>IFERROR(__xludf.DUMMYFUNCTION("""COMPUTED_VALUE"""),"1")</f>
        <v>1</v>
      </c>
      <c r="T2" s="30" t="str">
        <f>IFERROR(__xludf.DUMMYFUNCTION("""COMPUTED_VALUE"""),"223565")</f>
        <v>223565</v>
      </c>
      <c r="U2" s="31" t="str">
        <f>IFERROR(__xludf.DUMMYFUNCTION("""COMPUTED_VALUE"""),"2235")</f>
        <v>2235</v>
      </c>
      <c r="V2" s="11"/>
      <c r="W2" s="11">
        <f>IFERROR(__xludf.DUMMYFUNCTION("""COMPUTED_VALUE"""),88992770)</f>
        <v>88992770</v>
      </c>
      <c r="X2" s="11"/>
      <c r="Y2" s="11">
        <f>IFERROR(__xludf.DUMMYFUNCTION("""COMPUTED_VALUE"""),88729389453)</f>
        <v>88729389453</v>
      </c>
      <c r="Z2" s="11"/>
    </row>
    <row r="3" customHeight="1" spans="1:26">
      <c r="A3" s="11" t="str">
        <f>IFERROR(__xludf.DUMMYFUNCTION("""COMPUTED_VALUE"""),"MARLENE BRITO BONIFACIO ALVES")</f>
        <v>MARLENE BRITO BONIFACIO ALVES</v>
      </c>
      <c r="B3" s="11"/>
      <c r="C3" s="11"/>
      <c r="D3" s="11" t="str">
        <f>IFERROR(__xludf.DUMMYFUNCTION("""COMPUTED_VALUE"""),"Enfermeira eSF")</f>
        <v>Enfermeira eSF</v>
      </c>
      <c r="E3" s="11" t="str">
        <f>IFERROR(__xludf.DUMMYFUNCTION("""COMPUTED_VALUE"""),"V")</f>
        <v>V</v>
      </c>
      <c r="F3" s="11" t="str">
        <f>IFERROR(__xludf.DUMMYFUNCTION("""COMPUTED_VALUE"""),"US_344 USF JIQUIA I E II")</f>
        <v>US_344 USF JIQUIA I E II</v>
      </c>
      <c r="G3" s="11" t="str">
        <f>IFERROR(__xludf.DUMMYFUNCTION("""COMPUTED_VALUE"""),"US 344 USF JIQUIA I E II")</f>
        <v>US 344 USF JIQUIA I E II</v>
      </c>
      <c r="H3" s="27">
        <f>IFERROR(__xludf.DUMMYFUNCTION("""COMPUTED_VALUE"""),81998585818)</f>
        <v>81998585818</v>
      </c>
      <c r="I3" s="27">
        <f>IFERROR(__xludf.DUMMYFUNCTION("""COMPUTED_VALUE"""),81996585818)</f>
        <v>81996585818</v>
      </c>
      <c r="J3" s="11"/>
      <c r="K3" s="11"/>
      <c r="L3" s="11"/>
      <c r="M3" s="28" t="str">
        <f>IFERROR(__xludf.DUMMYFUNCTION("""COMPUTED_VALUE"""),"3355-4676")</f>
        <v>3355-4676</v>
      </c>
      <c r="N3" s="11" t="str">
        <f>IFERROR(__xludf.DUMMYFUNCTION("""COMPUTED_VALUE"""),"marlene_bonifacio@yahoo.com.br")</f>
        <v>marlene_bonifacio@yahoo.com.br</v>
      </c>
      <c r="O3" s="29">
        <f>IFERROR(__xludf.DUMMYFUNCTION("""COMPUTED_VALUE"""),84677660425)</f>
        <v>84677660425</v>
      </c>
      <c r="P3" s="30" t="str">
        <f>IFERROR(__xludf.DUMMYFUNCTION("""COMPUTED_VALUE"""),"204322659580009")</f>
        <v>204322659580009</v>
      </c>
      <c r="Q3" s="30" t="str">
        <f>IFERROR(__xludf.DUMMYFUNCTION("""COMPUTED_VALUE"""),"5601037")</f>
        <v>5601037</v>
      </c>
      <c r="R3" s="30" t="str">
        <f>IFERROR(__xludf.DUMMYFUNCTION("""COMPUTED_VALUE"""),"0000155934")</f>
        <v>0000155934</v>
      </c>
      <c r="S3" s="30" t="str">
        <f>IFERROR(__xludf.DUMMYFUNCTION("""COMPUTED_VALUE"""),"1")</f>
        <v>1</v>
      </c>
      <c r="T3" s="30" t="str">
        <f>IFERROR(__xludf.DUMMYFUNCTION("""COMPUTED_VALUE"""),"223565")</f>
        <v>223565</v>
      </c>
      <c r="U3" s="31" t="str">
        <f>IFERROR(__xludf.DUMMYFUNCTION("""COMPUTED_VALUE"""),"2235")</f>
        <v>2235</v>
      </c>
      <c r="V3" s="11"/>
      <c r="W3" s="11">
        <f>IFERROR(__xludf.DUMMYFUNCTION("""COMPUTED_VALUE"""),30311272)</f>
        <v>30311272</v>
      </c>
      <c r="X3" s="11">
        <f>IFERROR(__xludf.DUMMYFUNCTION("""COMPUTED_VALUE"""),96585818)</f>
        <v>96585818</v>
      </c>
      <c r="Y3" s="11">
        <f>IFERROR(__xludf.DUMMYFUNCTION("""COMPUTED_VALUE"""),84677660425)</f>
        <v>84677660425</v>
      </c>
      <c r="Z3" s="11"/>
    </row>
    <row r="4" customHeight="1" spans="1:26">
      <c r="A4" s="11" t="str">
        <f>IFERROR(__xludf.DUMMYFUNCTION("""COMPUTED_VALUE"""),"LUCIANO NATANAEL DOS SANTOS")</f>
        <v>LUCIANO NATANAEL DOS SANTOS</v>
      </c>
      <c r="B4" s="11"/>
      <c r="C4" s="11"/>
      <c r="D4" s="11" t="str">
        <f>IFERROR(__xludf.DUMMYFUNCTION("""COMPUTED_VALUE"""),"Enfermeiro eSF")</f>
        <v>Enfermeiro eSF</v>
      </c>
      <c r="E4" s="11" t="str">
        <f>IFERROR(__xludf.DUMMYFUNCTION("""COMPUTED_VALUE"""),"V")</f>
        <v>V</v>
      </c>
      <c r="F4" s="11" t="str">
        <f>IFERROR(__xludf.DUMMYFUNCTION("""COMPUTED_VALUE"""),"US_345 USF PLANETA DOS MACACOS I")</f>
        <v>US_345 USF PLANETA DOS MACACOS I</v>
      </c>
      <c r="G4" s="11" t="str">
        <f>IFERROR(__xludf.DUMMYFUNCTION("""COMPUTED_VALUE"""),"US 345 USF PLANETA DOS MACACOS I")</f>
        <v>US 345 USF PLANETA DOS MACACOS I</v>
      </c>
      <c r="H4" s="27">
        <f>IFERROR(__xludf.DUMMYFUNCTION("""COMPUTED_VALUE"""),81996094879)</f>
        <v>81996094879</v>
      </c>
      <c r="I4" s="11"/>
      <c r="J4" s="11"/>
      <c r="K4" s="11"/>
      <c r="L4" s="11"/>
      <c r="M4" s="28" t="str">
        <f>IFERROR(__xludf.DUMMYFUNCTION("""COMPUTED_VALUE"""),"3355-0157/0035")</f>
        <v>3355-0157/0035</v>
      </c>
      <c r="N4" s="11" t="str">
        <f>IFERROR(__xludf.DUMMYFUNCTION("""COMPUTED_VALUE"""),"lucianonatanael@hotmail.com")</f>
        <v>lucianonatanael@hotmail.com</v>
      </c>
      <c r="O4" s="29">
        <f>IFERROR(__xludf.DUMMYFUNCTION("""COMPUTED_VALUE"""),97581518434)</f>
        <v>97581518434</v>
      </c>
      <c r="P4" s="30" t="str">
        <f>IFERROR(__xludf.DUMMYFUNCTION("""COMPUTED_VALUE"""),"980016276570937")</f>
        <v>980016276570937</v>
      </c>
      <c r="Q4" s="30" t="str">
        <f>IFERROR(__xludf.DUMMYFUNCTION("""COMPUTED_VALUE"""),"5601053")</f>
        <v>5601053</v>
      </c>
      <c r="R4" s="30" t="str">
        <f>IFERROR(__xludf.DUMMYFUNCTION("""COMPUTED_VALUE"""),"0000155942")</f>
        <v>0000155942</v>
      </c>
      <c r="S4" s="30" t="str">
        <f>IFERROR(__xludf.DUMMYFUNCTION("""COMPUTED_VALUE"""),"1")</f>
        <v>1</v>
      </c>
      <c r="T4" s="30" t="str">
        <f>IFERROR(__xludf.DUMMYFUNCTION("""COMPUTED_VALUE"""),"223565")</f>
        <v>223565</v>
      </c>
      <c r="U4" s="31" t="str">
        <f>IFERROR(__xludf.DUMMYFUNCTION("""COMPUTED_VALUE"""),"2235")</f>
        <v>2235</v>
      </c>
      <c r="V4" s="11"/>
      <c r="W4" s="11">
        <f>IFERROR(__xludf.DUMMYFUNCTION("""COMPUTED_VALUE"""),32545201)</f>
        <v>32545201</v>
      </c>
      <c r="X4" s="11">
        <f>IFERROR(__xludf.DUMMYFUNCTION("""COMPUTED_VALUE"""),96094879)</f>
        <v>96094879</v>
      </c>
      <c r="Y4" s="11">
        <f>IFERROR(__xludf.DUMMYFUNCTION("""COMPUTED_VALUE"""),97581518434)</f>
        <v>97581518434</v>
      </c>
      <c r="Z4" s="11"/>
    </row>
    <row r="5" customHeight="1" spans="1:26">
      <c r="A5" s="11" t="str">
        <f>IFERROR(__xludf.DUMMYFUNCTION("""COMPUTED_VALUE"""),"REGIANE PEREIRA DAS NEVES")</f>
        <v>REGIANE PEREIRA DAS NEVES</v>
      </c>
      <c r="B5" s="11"/>
      <c r="C5" s="11"/>
      <c r="D5" s="11" t="str">
        <f>IFERROR(__xludf.DUMMYFUNCTION("""COMPUTED_VALUE"""),"Enfermeira eSF")</f>
        <v>Enfermeira eSF</v>
      </c>
      <c r="E5" s="11" t="str">
        <f>IFERROR(__xludf.DUMMYFUNCTION("""COMPUTED_VALUE"""),"V")</f>
        <v>V</v>
      </c>
      <c r="F5" s="11" t="str">
        <f>IFERROR(__xludf.DUMMYFUNCTION("""COMPUTED_VALUE"""),"US_393 USF UPINHA DIA BONGI NOVO PRADO")</f>
        <v>US_393 USF UPINHA DIA BONGI NOVO PRADO</v>
      </c>
      <c r="G5" s="11" t="str">
        <f>IFERROR(__xludf.DUMMYFUNCTION("""COMPUTED_VALUE"""),"US 393 USF UPINHA DIA BONGI NOVO PRADO")</f>
        <v>US 393 USF UPINHA DIA BONGI NOVO PRADO</v>
      </c>
      <c r="H5" s="27">
        <f>IFERROR(__xludf.DUMMYFUNCTION("""COMPUTED_VALUE"""),81988377205)</f>
        <v>81988377205</v>
      </c>
      <c r="I5" s="11"/>
      <c r="J5" s="11"/>
      <c r="K5" s="11"/>
      <c r="L5" s="11"/>
      <c r="M5" s="28" t="str">
        <f>IFERROR(__xludf.DUMMYFUNCTION("""COMPUTED_VALUE"""),"3355-9567")</f>
        <v>3355-9567</v>
      </c>
      <c r="N5" s="30" t="str">
        <f>IFERROR(__xludf.DUMMYFUNCTION("""COMPUTED_VALUE"""),"regianenevesle@gmail.com")</f>
        <v>regianenevesle@gmail.com</v>
      </c>
      <c r="O5" s="29">
        <f>IFERROR(__xludf.DUMMYFUNCTION("""COMPUTED_VALUE"""),97624799472)</f>
        <v>97624799472</v>
      </c>
      <c r="P5" s="30" t="str">
        <f>IFERROR(__xludf.DUMMYFUNCTION("""COMPUTED_VALUE"""),"201533394670018")</f>
        <v>201533394670018</v>
      </c>
      <c r="Q5" s="30" t="str">
        <f>IFERROR(__xludf.DUMMYFUNCTION("""COMPUTED_VALUE"""),"7404379")</f>
        <v>7404379</v>
      </c>
      <c r="R5" s="30" t="str">
        <f>IFERROR(__xludf.DUMMYFUNCTION("""COMPUTED_VALUE"""),"0001501011")</f>
        <v>0001501011</v>
      </c>
      <c r="S5" s="30" t="str">
        <f>IFERROR(__xludf.DUMMYFUNCTION("""COMPUTED_VALUE"""),"1")</f>
        <v>1</v>
      </c>
      <c r="T5" s="30" t="str">
        <f>IFERROR(__xludf.DUMMYFUNCTION("""COMPUTED_VALUE"""),"223565")</f>
        <v>223565</v>
      </c>
      <c r="U5" s="31" t="str">
        <f>IFERROR(__xludf.DUMMYFUNCTION("""COMPUTED_VALUE"""),"2235")</f>
        <v>2235</v>
      </c>
      <c r="V5" s="11"/>
      <c r="W5" s="11"/>
      <c r="X5" s="11"/>
      <c r="Y5" s="11"/>
      <c r="Z5" s="11"/>
    </row>
    <row r="6" customHeight="1" spans="1:26">
      <c r="A6" s="11" t="str">
        <f>IFERROR(__xludf.DUMMYFUNCTION("""COMPUTED_VALUE"""),"ANNA CHRISTINA OLIVEIRA DA SILVA")</f>
        <v>ANNA CHRISTINA OLIVEIRA DA SILVA</v>
      </c>
      <c r="B6" s="11"/>
      <c r="C6" s="11"/>
      <c r="D6" s="11" t="str">
        <f>IFERROR(__xludf.DUMMYFUNCTION("""COMPUTED_VALUE"""),"Médica Pediatra")</f>
        <v>Médica Pediatra</v>
      </c>
      <c r="E6" s="11" t="str">
        <f>IFERROR(__xludf.DUMMYFUNCTION("""COMPUTED_VALUE"""),"VI")</f>
        <v>VI</v>
      </c>
      <c r="F6" s="11" t="str">
        <f>IFERROR(__xludf.DUMMYFUNCTION("""COMPUTED_VALUE"""),"US_119 CS PROF JOSE CARNEIRO LEAO")</f>
        <v>US_119 CS PROF JOSE CARNEIRO LEAO</v>
      </c>
      <c r="G6" s="11" t="str">
        <f>IFERROR(__xludf.DUMMYFUNCTION("""COMPUTED_VALUE"""),"US 119 CS PROF JOSE CARNEIRO LEAO")</f>
        <v>US 119 CS PROF JOSE CARNEIRO LEAO</v>
      </c>
      <c r="H6" s="27">
        <f>IFERROR(__xludf.DUMMYFUNCTION("""COMPUTED_VALUE"""),81991662102)</f>
        <v>81991662102</v>
      </c>
      <c r="I6" s="27">
        <f>IFERROR(__xludf.DUMMYFUNCTION("""COMPUTED_VALUE"""),81991662103)</f>
        <v>81991662103</v>
      </c>
      <c r="J6" s="11"/>
      <c r="K6" s="11"/>
      <c r="L6" s="11"/>
      <c r="M6" s="28" t="str">
        <f>IFERROR(__xludf.DUMMYFUNCTION("""COMPUTED_VALUE"""),"3355-4428")</f>
        <v>3355-4428</v>
      </c>
      <c r="N6" s="11" t="str">
        <f>IFERROR(__xludf.DUMMYFUNCTION("""COMPUTED_VALUE"""),"annapediatra@yahoo.com.br")</f>
        <v>annapediatra@yahoo.com.br</v>
      </c>
      <c r="O6" s="11">
        <f>IFERROR(__xludf.DUMMYFUNCTION("""COMPUTED_VALUE"""),57967504453)</f>
        <v>57967504453</v>
      </c>
      <c r="P6" s="30" t="str">
        <f>IFERROR(__xludf.DUMMYFUNCTION("""COMPUTED_VALUE"""),"126253644500000")</f>
        <v>126253644500000</v>
      </c>
      <c r="Q6" s="30" t="str">
        <f>IFERROR(__xludf.DUMMYFUNCTION("""COMPUTED_VALUE"""),"0000752")</f>
        <v>0000752</v>
      </c>
      <c r="R6" s="11"/>
      <c r="S6" s="30" t="str">
        <f>IFERROR(__xludf.DUMMYFUNCTION("""COMPUTED_VALUE"""),"1")</f>
        <v>1</v>
      </c>
      <c r="T6" s="30" t="str">
        <f>IFERROR(__xludf.DUMMYFUNCTION("""COMPUTED_VALUE"""),"225124")</f>
        <v>225124</v>
      </c>
      <c r="U6" s="31">
        <f>IFERROR(__xludf.DUMMYFUNCTION("""COMPUTED_VALUE"""),2251)</f>
        <v>2251</v>
      </c>
      <c r="V6" s="11"/>
      <c r="W6" s="30" t="str">
        <f>IFERROR(__xludf.DUMMYFUNCTION("""COMPUTED_VALUE"""),"31/03/1971")</f>
        <v>31/03/1971</v>
      </c>
      <c r="X6" s="11">
        <f>IFERROR(__xludf.DUMMYFUNCTION("""COMPUTED_VALUE"""),33277247)</f>
        <v>33277247</v>
      </c>
      <c r="Y6" s="11">
        <f>IFERROR(__xludf.DUMMYFUNCTION("""COMPUTED_VALUE"""),91662102)</f>
        <v>91662102</v>
      </c>
      <c r="Z6" s="11">
        <f>IFERROR(__xludf.DUMMYFUNCTION("""COMPUTED_VALUE"""),57967504453)</f>
        <v>57967504453</v>
      </c>
    </row>
    <row r="7" customHeight="1" spans="1:26">
      <c r="A7" s="11" t="str">
        <f>IFERROR(__xludf.DUMMYFUNCTION("""COMPUTED_VALUE"""),"LIDINALVA BARBOSA DA SILVA")</f>
        <v>LIDINALVA BARBOSA DA SILVA</v>
      </c>
      <c r="B7" s="11"/>
      <c r="C7" s="11"/>
      <c r="D7" s="11" t="str">
        <f>IFERROR(__xludf.DUMMYFUNCTION("""COMPUTED_VALUE"""),"Enfermeira eSF")</f>
        <v>Enfermeira eSF</v>
      </c>
      <c r="E7" s="11" t="str">
        <f>IFERROR(__xludf.DUMMYFUNCTION("""COMPUTED_VALUE"""),"VI")</f>
        <v>VI</v>
      </c>
      <c r="F7" s="11" t="str">
        <f>IFERROR(__xludf.DUMMYFUNCTION("""COMPUTED_VALUE"""),"PACS PINA I")</f>
        <v>PACS PINA I</v>
      </c>
      <c r="G7" s="11" t="str">
        <f>IFERROR(__xludf.DUMMYFUNCTION("""COMPUTED_VALUE"""),"US 119 CS PROF JOSE CARNEIRO LEAO")</f>
        <v>US 119 CS PROF JOSE CARNEIRO LEAO</v>
      </c>
      <c r="H7" s="27">
        <f>IFERROR(__xludf.DUMMYFUNCTION("""COMPUTED_VALUE"""),81991262541)</f>
        <v>81991262541</v>
      </c>
      <c r="I7" s="27">
        <f>IFERROR(__xludf.DUMMYFUNCTION("""COMPUTED_VALUE"""),81986835313)</f>
        <v>81986835313</v>
      </c>
      <c r="J7" s="11"/>
      <c r="K7" s="11"/>
      <c r="L7" s="11"/>
      <c r="M7" s="28" t="str">
        <f>IFERROR(__xludf.DUMMYFUNCTION("""COMPUTED_VALUE"""),"3355-4428")</f>
        <v>3355-4428</v>
      </c>
      <c r="N7" s="11" t="str">
        <f>IFERROR(__xludf.DUMMYFUNCTION("""COMPUTED_VALUE"""),"lidiabarbosasilva@hotmail.com")</f>
        <v>lidiabarbosasilva@hotmail.com</v>
      </c>
      <c r="O7" s="29">
        <f>IFERROR(__xludf.DUMMYFUNCTION("""COMPUTED_VALUE"""),1608724808)</f>
        <v>1608724808</v>
      </c>
      <c r="P7" s="30" t="str">
        <f>IFERROR(__xludf.DUMMYFUNCTION("""COMPUTED_VALUE"""),"108413059240009")</f>
        <v>108413059240009</v>
      </c>
      <c r="Q7" s="30" t="str">
        <f>IFERROR(__xludf.DUMMYFUNCTION("""COMPUTED_VALUE"""),"0000752")</f>
        <v>0000752</v>
      </c>
      <c r="R7" s="30" t="str">
        <f>IFERROR(__xludf.DUMMYFUNCTION("""COMPUTED_VALUE"""),"0000152439")</f>
        <v>0000152439</v>
      </c>
      <c r="S7" s="30" t="str">
        <f>IFERROR(__xludf.DUMMYFUNCTION("""COMPUTED_VALUE"""),"1")</f>
        <v>1</v>
      </c>
      <c r="T7" s="30" t="str">
        <f>IFERROR(__xludf.DUMMYFUNCTION("""COMPUTED_VALUE"""),"223565")</f>
        <v>223565</v>
      </c>
      <c r="U7" s="31" t="str">
        <f>IFERROR(__xludf.DUMMYFUNCTION("""COMPUTED_VALUE"""),"2235")</f>
        <v>2235</v>
      </c>
      <c r="V7" s="11"/>
      <c r="W7" s="11" t="str">
        <f>IFERROR(__xludf.DUMMYFUNCTION("""COMPUTED_VALUE"""),"81-86835313")</f>
        <v>81-86835313</v>
      </c>
      <c r="X7" s="11" t="str">
        <f>IFERROR(__xludf.DUMMYFUNCTION("""COMPUTED_VALUE"""),"81-91262541")</f>
        <v>81-91262541</v>
      </c>
      <c r="Y7" s="11">
        <f>IFERROR(__xludf.DUMMYFUNCTION("""COMPUTED_VALUE"""),1608724808)</f>
        <v>1608724808</v>
      </c>
      <c r="Z7" s="11"/>
    </row>
    <row r="8" customHeight="1" spans="1:26">
      <c r="A8" s="11" t="str">
        <f>IFERROR(__xludf.DUMMYFUNCTION("""COMPUTED_VALUE"""),"MIRIAN KARLA ARAUJO BENTO 119")</f>
        <v>MIRIAN KARLA ARAUJO BENTO 119</v>
      </c>
      <c r="B8" s="11"/>
      <c r="C8" s="11"/>
      <c r="D8" s="11" t="str">
        <f>IFERROR(__xludf.DUMMYFUNCTION("""COMPUTED_VALUE"""),"Enfermeira")</f>
        <v>Enfermeira</v>
      </c>
      <c r="E8" s="11" t="str">
        <f>IFERROR(__xludf.DUMMYFUNCTION("""COMPUTED_VALUE"""),"VI")</f>
        <v>VI</v>
      </c>
      <c r="F8" s="11" t="str">
        <f>IFERROR(__xludf.DUMMYFUNCTION("""COMPUTED_VALUE"""),"US_330 CAPS ESPACO LIVREMENTE")</f>
        <v>US_330 CAPS ESPACO LIVREMENTE</v>
      </c>
      <c r="G8" s="11" t="str">
        <f>IFERROR(__xludf.DUMMYFUNCTION("""COMPUTED_VALUE"""),"US 119 CS PROF JOSE CARNEIRO LEAO")</f>
        <v>US 119 CS PROF JOSE CARNEIRO LEAO</v>
      </c>
      <c r="H8" s="27">
        <f>IFERROR(__xludf.DUMMYFUNCTION("""COMPUTED_VALUE"""),81996719254)</f>
        <v>81996719254</v>
      </c>
      <c r="I8" s="11"/>
      <c r="J8" s="11"/>
      <c r="K8" s="11"/>
      <c r="L8" s="11"/>
      <c r="M8" s="28" t="str">
        <f>IFERROR(__xludf.DUMMYFUNCTION("""COMPUTED_VALUE"""),"3355-4428")</f>
        <v>3355-4428</v>
      </c>
      <c r="N8" s="11" t="str">
        <f>IFERROR(__xludf.DUMMYFUNCTION("""COMPUTED_VALUE"""),"mirinhakarla90@gmail.com")</f>
        <v>mirinhakarla90@gmail.com</v>
      </c>
      <c r="O8" s="29">
        <f>IFERROR(__xludf.DUMMYFUNCTION("""COMPUTED_VALUE"""),8511156402)</f>
        <v>8511156402</v>
      </c>
      <c r="P8" s="30" t="str">
        <f>IFERROR(__xludf.DUMMYFUNCTION("""COMPUTED_VALUE"""),"709609614212171")</f>
        <v>709609614212171</v>
      </c>
      <c r="Q8" s="30" t="str">
        <f>IFERROR(__xludf.DUMMYFUNCTION("""COMPUTED_VALUE"""),"0000752")</f>
        <v>0000752</v>
      </c>
      <c r="R8" s="11"/>
      <c r="S8" s="30" t="str">
        <f>IFERROR(__xludf.DUMMYFUNCTION("""COMPUTED_VALUE"""),"1")</f>
        <v>1</v>
      </c>
      <c r="T8" s="30" t="str">
        <f>IFERROR(__xludf.DUMMYFUNCTION("""COMPUTED_VALUE"""),"223565")</f>
        <v>223565</v>
      </c>
      <c r="U8" s="31" t="str">
        <f>IFERROR(__xludf.DUMMYFUNCTION("""COMPUTED_VALUE"""),"2235")</f>
        <v>2235</v>
      </c>
      <c r="V8" s="11"/>
      <c r="W8" s="11"/>
      <c r="X8" s="11"/>
      <c r="Y8" s="11"/>
      <c r="Z8" s="11"/>
    </row>
    <row r="9" customHeight="1" spans="1:26">
      <c r="A9" s="11" t="str">
        <f>IFERROR(__xludf.DUMMYFUNCTION("""COMPUTED_VALUE"""),"NELIDA CAVALCANTI DE ANDRADE LIMA")</f>
        <v>NELIDA CAVALCANTI DE ANDRADE LIMA</v>
      </c>
      <c r="B9" s="11"/>
      <c r="C9" s="11"/>
      <c r="D9" s="11" t="str">
        <f>IFERROR(__xludf.DUMMYFUNCTION("""COMPUTED_VALUE"""),"Médica Ginecologista")</f>
        <v>Médica Ginecologista</v>
      </c>
      <c r="E9" s="11" t="str">
        <f>IFERROR(__xludf.DUMMYFUNCTION("""COMPUTED_VALUE"""),"VI")</f>
        <v>VI</v>
      </c>
      <c r="F9" s="11" t="str">
        <f>IFERROR(__xludf.DUMMYFUNCTION("""COMPUTED_VALUE"""),"US_293 POLICLINICA DO PINA -  PROFESSORA NAIDE REGUEIRA TEODOSIO")</f>
        <v>US_293 POLICLINICA DO PINA -  PROFESSORA NAIDE REGUEIRA TEODOSIO</v>
      </c>
      <c r="G9" s="11" t="str">
        <f>IFERROR(__xludf.DUMMYFUNCTION("""COMPUTED_VALUE"""),"US 119 CS PROF JOSE CARNEIRO LEAO")</f>
        <v>US 119 CS PROF JOSE CARNEIRO LEAO</v>
      </c>
      <c r="H9" s="27">
        <f>IFERROR(__xludf.DUMMYFUNCTION("""COMPUTED_VALUE"""),81999727547)</f>
        <v>81999727547</v>
      </c>
      <c r="I9" s="11"/>
      <c r="J9" s="11"/>
      <c r="K9" s="11"/>
      <c r="L9" s="11"/>
      <c r="M9" s="28" t="str">
        <f>IFERROR(__xludf.DUMMYFUNCTION("""COMPUTED_VALUE"""),"3355-4428")</f>
        <v>3355-4428</v>
      </c>
      <c r="N9" s="11" t="str">
        <f>IFERROR(__xludf.DUMMYFUNCTION("""COMPUTED_VALUE"""),"NELIDACAVALCANTI@HOTMAIL.COM")</f>
        <v>NELIDACAVALCANTI@HOTMAIL.COM</v>
      </c>
      <c r="O9" s="11">
        <f>IFERROR(__xludf.DUMMYFUNCTION("""COMPUTED_VALUE"""),68819862468)</f>
        <v>68819862468</v>
      </c>
      <c r="P9" s="30" t="str">
        <f>IFERROR(__xludf.DUMMYFUNCTION("""COMPUTED_VALUE"""),"980016000897974")</f>
        <v>980016000897974</v>
      </c>
      <c r="Q9" s="30" t="str">
        <f>IFERROR(__xludf.DUMMYFUNCTION("""COMPUTED_VALUE"""),"0000752")</f>
        <v>0000752</v>
      </c>
      <c r="R9" s="11"/>
      <c r="S9" s="30" t="str">
        <f>IFERROR(__xludf.DUMMYFUNCTION("""COMPUTED_VALUE"""),"1")</f>
        <v>1</v>
      </c>
      <c r="T9" s="30" t="str">
        <f>IFERROR(__xludf.DUMMYFUNCTION("""COMPUTED_VALUE"""),"225250")</f>
        <v>225250</v>
      </c>
      <c r="U9" s="31">
        <f>IFERROR(__xludf.DUMMYFUNCTION("""COMPUTED_VALUE"""),2251)</f>
        <v>2251</v>
      </c>
      <c r="V9" s="11"/>
      <c r="W9" s="11"/>
      <c r="X9" s="11"/>
      <c r="Y9" s="11"/>
      <c r="Z9" s="11"/>
    </row>
    <row r="10" customHeight="1" spans="1:26">
      <c r="A10" s="11" t="str">
        <f>IFERROR(__xludf.DUMMYFUNCTION("""COMPUTED_VALUE"""),"MAIANA MACIEL GUIMARAES")</f>
        <v>MAIANA MACIEL GUIMARAES</v>
      </c>
      <c r="B10" s="11"/>
      <c r="C10" s="11"/>
      <c r="D10" s="11" t="str">
        <f>IFERROR(__xludf.DUMMYFUNCTION("""COMPUTED_VALUE"""),"Enfermeira")</f>
        <v>Enfermeira</v>
      </c>
      <c r="E10" s="11" t="str">
        <f>IFERROR(__xludf.DUMMYFUNCTION("""COMPUTED_VALUE"""),"VI")</f>
        <v>VI</v>
      </c>
      <c r="F10" s="11" t="str">
        <f>IFERROR(__xludf.DUMMYFUNCTION("""COMPUTED_VALUE"""),"US_126 CS VER ROMILDO GOMES")</f>
        <v>US_126 CS VER ROMILDO GOMES</v>
      </c>
      <c r="G10" s="11" t="str">
        <f>IFERROR(__xludf.DUMMYFUNCTION("""COMPUTED_VALUE"""),"US 126 CS VER ROMILDO GOMES")</f>
        <v>US 126 CS VER ROMILDO GOMES</v>
      </c>
      <c r="H10" s="27">
        <f>IFERROR(__xludf.DUMMYFUNCTION("""COMPUTED_VALUE"""),81987989296)</f>
        <v>81987989296</v>
      </c>
      <c r="I10" s="11"/>
      <c r="J10" s="11"/>
      <c r="K10" s="11"/>
      <c r="L10" s="11"/>
      <c r="M10" s="28" t="str">
        <f>IFERROR(__xludf.DUMMYFUNCTION("""COMPUTED_VALUE"""),"3355-4448")</f>
        <v>3355-4448</v>
      </c>
      <c r="N10" s="11" t="str">
        <f>IFERROR(__xludf.DUMMYFUNCTION("""COMPUTED_VALUE"""),"maianamg82@hotmail.com")</f>
        <v>maianamg82@hotmail.com</v>
      </c>
      <c r="O10" s="29">
        <f>IFERROR(__xludf.DUMMYFUNCTION("""COMPUTED_VALUE"""),4391686430)</f>
        <v>4391686430</v>
      </c>
      <c r="P10" s="30" t="str">
        <f>IFERROR(__xludf.DUMMYFUNCTION("""COMPUTED_VALUE"""),"980016280234466")</f>
        <v>980016280234466</v>
      </c>
      <c r="Q10" s="30" t="str">
        <f>IFERROR(__xludf.DUMMYFUNCTION("""COMPUTED_VALUE"""),"0001090")</f>
        <v>0001090</v>
      </c>
      <c r="R10" s="30" t="str">
        <f>IFERROR(__xludf.DUMMYFUNCTION("""COMPUTED_VALUE"""),"9000109004")</f>
        <v>9000109004</v>
      </c>
      <c r="S10" s="30" t="str">
        <f>IFERROR(__xludf.DUMMYFUNCTION("""COMPUTED_VALUE"""),"1")</f>
        <v>1</v>
      </c>
      <c r="T10" s="30" t="str">
        <f>IFERROR(__xludf.DUMMYFUNCTION("""COMPUTED_VALUE"""),"223565")</f>
        <v>223565</v>
      </c>
      <c r="U10" s="31" t="str">
        <f>IFERROR(__xludf.DUMMYFUNCTION("""COMPUTED_VALUE"""),"2235")</f>
        <v>2235</v>
      </c>
      <c r="V10" s="11"/>
      <c r="W10" s="11"/>
      <c r="X10" s="11"/>
      <c r="Y10" s="11"/>
      <c r="Z10" s="11"/>
    </row>
    <row r="11" customHeight="1" spans="1:26">
      <c r="A11" s="11" t="str">
        <f>IFERROR(__xludf.DUMMYFUNCTION("""COMPUTED_VALUE"""),"MIRIAN KARLA ARAUJO BENTO 126")</f>
        <v>MIRIAN KARLA ARAUJO BENTO 126</v>
      </c>
      <c r="B11" s="11"/>
      <c r="C11" s="11"/>
      <c r="D11" s="11" t="str">
        <f>IFERROR(__xludf.DUMMYFUNCTION("""COMPUTED_VALUE"""),"Enfermeira")</f>
        <v>Enfermeira</v>
      </c>
      <c r="E11" s="11" t="str">
        <f>IFERROR(__xludf.DUMMYFUNCTION("""COMPUTED_VALUE"""),"VI")</f>
        <v>VI</v>
      </c>
      <c r="F11" s="11" t="str">
        <f>IFERROR(__xludf.DUMMYFUNCTION("""COMPUTED_VALUE"""),"US_330 CAPS ESPACO LIVREMENTE")</f>
        <v>US_330 CAPS ESPACO LIVREMENTE</v>
      </c>
      <c r="G11" s="11" t="str">
        <f>IFERROR(__xludf.DUMMYFUNCTION("""COMPUTED_VALUE"""),"US 126 CS VER ROMILDO GOMES")</f>
        <v>US 126 CS VER ROMILDO GOMES</v>
      </c>
      <c r="H11" s="27">
        <f>IFERROR(__xludf.DUMMYFUNCTION("""COMPUTED_VALUE"""),81996719254)</f>
        <v>81996719254</v>
      </c>
      <c r="I11" s="11"/>
      <c r="J11" s="11"/>
      <c r="K11" s="11"/>
      <c r="L11" s="11"/>
      <c r="M11" s="28" t="str">
        <f>IFERROR(__xludf.DUMMYFUNCTION("""COMPUTED_VALUE"""),"3355-4448")</f>
        <v>3355-4448</v>
      </c>
      <c r="N11" s="11" t="str">
        <f>IFERROR(__xludf.DUMMYFUNCTION("""COMPUTED_VALUE"""),"mirinhakarla90@gmail.com")</f>
        <v>mirinhakarla90@gmail.com</v>
      </c>
      <c r="O11" s="29">
        <f>IFERROR(__xludf.DUMMYFUNCTION("""COMPUTED_VALUE"""),8511156402)</f>
        <v>8511156402</v>
      </c>
      <c r="P11" s="30" t="str">
        <f>IFERROR(__xludf.DUMMYFUNCTION("""COMPUTED_VALUE"""),"709609614212171")</f>
        <v>709609614212171</v>
      </c>
      <c r="Q11" s="30" t="str">
        <f>IFERROR(__xludf.DUMMYFUNCTION("""COMPUTED_VALUE"""),"0001090")</f>
        <v>0001090</v>
      </c>
      <c r="R11" s="11"/>
      <c r="S11" s="30" t="str">
        <f>IFERROR(__xludf.DUMMYFUNCTION("""COMPUTED_VALUE"""),"1")</f>
        <v>1</v>
      </c>
      <c r="T11" s="30" t="str">
        <f>IFERROR(__xludf.DUMMYFUNCTION("""COMPUTED_VALUE"""),"223565")</f>
        <v>223565</v>
      </c>
      <c r="U11" s="31" t="str">
        <f>IFERROR(__xludf.DUMMYFUNCTION("""COMPUTED_VALUE"""),"2235")</f>
        <v>2235</v>
      </c>
      <c r="V11" s="11"/>
      <c r="W11" s="11"/>
      <c r="X11" s="11"/>
      <c r="Y11" s="11"/>
      <c r="Z11" s="11"/>
    </row>
    <row r="12" customHeight="1" spans="1:26">
      <c r="A12" s="11" t="str">
        <f>IFERROR(__xludf.DUMMYFUNCTION("""COMPUTED_VALUE"""),"RICARDO GOMES DA COSTA")</f>
        <v>RICARDO GOMES DA COSTA</v>
      </c>
      <c r="B12" s="11" t="str">
        <f>IFERROR(__xludf.DUMMYFUNCTION("""COMPUTED_VALUE"""),"RICARDO GOMES DA COSTA")</f>
        <v>RICARDO GOMES DA COSTA</v>
      </c>
      <c r="C12" s="11"/>
      <c r="D12" s="11" t="str">
        <f>IFERROR(__xludf.DUMMYFUNCTION("""COMPUTED_VALUE"""),"Médico Clínico")</f>
        <v>Médico Clínico</v>
      </c>
      <c r="E12" s="11" t="str">
        <f>IFERROR(__xludf.DUMMYFUNCTION("""COMPUTED_VALUE"""),"VI")</f>
        <v>VI</v>
      </c>
      <c r="F12" s="11" t="str">
        <f>IFERROR(__xludf.DUMMYFUNCTION("""COMPUTED_VALUE"""),"US_148 CS DOM MIGUEL DE LIMA VALVERDE")</f>
        <v>US_148 CS DOM MIGUEL DE LIMA VALVERDE</v>
      </c>
      <c r="G12" s="11" t="str">
        <f>IFERROR(__xludf.DUMMYFUNCTION("""COMPUTED_VALUE"""),"US 126 CS VER ROMILDO GOMES")</f>
        <v>US 126 CS VER ROMILDO GOMES</v>
      </c>
      <c r="H12" s="27">
        <f>IFERROR(__xludf.DUMMYFUNCTION("""COMPUTED_VALUE"""),81999130444)</f>
        <v>81999130444</v>
      </c>
      <c r="I12" s="11"/>
      <c r="J12" s="11"/>
      <c r="K12" s="11"/>
      <c r="L12" s="28" t="str">
        <f>IFERROR(__xludf.DUMMYFUNCTION("""COMPUTED_VALUE"""),"X")</f>
        <v>X</v>
      </c>
      <c r="M12" s="28" t="str">
        <f>IFERROR(__xludf.DUMMYFUNCTION("""COMPUTED_VALUE"""),"3355-4448")</f>
        <v>3355-4448</v>
      </c>
      <c r="N12" s="11" t="str">
        <f>IFERROR(__xludf.DUMMYFUNCTION("""COMPUTED_VALUE"""),"clinicaricardocosta@hotmail.com")</f>
        <v>clinicaricardocosta@hotmail.com</v>
      </c>
      <c r="O12" s="29">
        <f>IFERROR(__xludf.DUMMYFUNCTION("""COMPUTED_VALUE"""),47284374420)</f>
        <v>47284374420</v>
      </c>
      <c r="P12" s="30" t="str">
        <f>IFERROR(__xludf.DUMMYFUNCTION("""COMPUTED_VALUE"""),"123621994620005")</f>
        <v>123621994620005</v>
      </c>
      <c r="Q12" s="30" t="str">
        <f>IFERROR(__xludf.DUMMYFUNCTION("""COMPUTED_VALUE"""),"0001090")</f>
        <v>0001090</v>
      </c>
      <c r="R12" s="11"/>
      <c r="S12" s="30" t="str">
        <f>IFERROR(__xludf.DUMMYFUNCTION("""COMPUTED_VALUE"""),"1")</f>
        <v>1</v>
      </c>
      <c r="T12" s="30" t="str">
        <f>IFERROR(__xludf.DUMMYFUNCTION("""COMPUTED_VALUE"""),"225125")</f>
        <v>225125</v>
      </c>
      <c r="U12" s="31">
        <f>IFERROR(__xludf.DUMMYFUNCTION("""COMPUTED_VALUE"""),2251)</f>
        <v>2251</v>
      </c>
      <c r="V12" s="11"/>
      <c r="W12" s="11"/>
      <c r="X12" s="11"/>
      <c r="Y12" s="11"/>
      <c r="Z12" s="11"/>
    </row>
    <row r="13" customHeight="1" spans="1:26">
      <c r="A13" s="11" t="str">
        <f>IFERROR(__xludf.DUMMYFUNCTION("""COMPUTED_VALUE"""),"TELMA MARIZA DE SOUZA FERREIRA")</f>
        <v>TELMA MARIZA DE SOUZA FERREIRA</v>
      </c>
      <c r="B13" s="11"/>
      <c r="C13" s="11"/>
      <c r="D13" s="11" t="str">
        <f>IFERROR(__xludf.DUMMYFUNCTION("""COMPUTED_VALUE"""),"Enfermeira eSF")</f>
        <v>Enfermeira eSF</v>
      </c>
      <c r="E13" s="11" t="str">
        <f>IFERROR(__xludf.DUMMYFUNCTION("""COMPUTED_VALUE"""),"VI")</f>
        <v>VI</v>
      </c>
      <c r="F13" s="11" t="str">
        <f>IFERROR(__xludf.DUMMYFUNCTION("""COMPUTED_VALUE"""),"PACS COMUNIDADE DO JOCA – TIJOLOS")</f>
        <v>PACS COMUNIDADE DO JOCA – TIJOLOS</v>
      </c>
      <c r="G13" s="11" t="str">
        <f>IFERROR(__xludf.DUMMYFUNCTION("""COMPUTED_VALUE"""),"US 126 CS VER ROMILDO GOMES")</f>
        <v>US 126 CS VER ROMILDO GOMES</v>
      </c>
      <c r="H13" s="27">
        <f>IFERROR(__xludf.DUMMYFUNCTION("""COMPUTED_VALUE"""),81996329221)</f>
        <v>81996329221</v>
      </c>
      <c r="I13" s="11"/>
      <c r="J13" s="11"/>
      <c r="K13" s="11"/>
      <c r="L13" s="11"/>
      <c r="M13" s="28" t="str">
        <f>IFERROR(__xludf.DUMMYFUNCTION("""COMPUTED_VALUE"""),"3355-4448")</f>
        <v>3355-4448</v>
      </c>
      <c r="N13" s="11" t="str">
        <f>IFERROR(__xludf.DUMMYFUNCTION("""COMPUTED_VALUE"""),"telmamariza@bol.com.br")</f>
        <v>telmamariza@bol.com.br</v>
      </c>
      <c r="O13" s="29">
        <f>IFERROR(__xludf.DUMMYFUNCTION("""COMPUTED_VALUE"""),82197407449)</f>
        <v>82197407449</v>
      </c>
      <c r="P13" s="30" t="str">
        <f>IFERROR(__xludf.DUMMYFUNCTION("""COMPUTED_VALUE"""),"203799888300009")</f>
        <v>203799888300009</v>
      </c>
      <c r="Q13" s="30" t="str">
        <f>IFERROR(__xludf.DUMMYFUNCTION("""COMPUTED_VALUE"""),"0001090")</f>
        <v>0001090</v>
      </c>
      <c r="R13" s="30" t="str">
        <f>IFERROR(__xludf.DUMMYFUNCTION("""COMPUTED_VALUE"""),"0000153001")</f>
        <v>0000153001</v>
      </c>
      <c r="S13" s="30" t="str">
        <f>IFERROR(__xludf.DUMMYFUNCTION("""COMPUTED_VALUE"""),"1")</f>
        <v>1</v>
      </c>
      <c r="T13" s="30" t="str">
        <f>IFERROR(__xludf.DUMMYFUNCTION("""COMPUTED_VALUE"""),"223565")</f>
        <v>223565</v>
      </c>
      <c r="U13" s="31" t="str">
        <f>IFERROR(__xludf.DUMMYFUNCTION("""COMPUTED_VALUE"""),"2235")</f>
        <v>2235</v>
      </c>
      <c r="V13" s="11"/>
      <c r="W13" s="11">
        <f>IFERROR(__xludf.DUMMYFUNCTION("""COMPUTED_VALUE"""),88468401)</f>
        <v>88468401</v>
      </c>
      <c r="X13" s="11">
        <f>IFERROR(__xludf.DUMMYFUNCTION("""COMPUTED_VALUE"""),96329221)</f>
        <v>96329221</v>
      </c>
      <c r="Y13" s="11">
        <f>IFERROR(__xludf.DUMMYFUNCTION("""COMPUTED_VALUE"""),82197407449)</f>
        <v>82197407449</v>
      </c>
      <c r="Z13" s="11"/>
    </row>
    <row r="14" customHeight="1" spans="1:26">
      <c r="A14" s="11" t="str">
        <f>IFERROR(__xludf.DUMMYFUNCTION("""COMPUTED_VALUE"""),"SANDRA MARIA SANTOS FARIAS TAVARES")</f>
        <v>SANDRA MARIA SANTOS FARIAS TAVARES</v>
      </c>
      <c r="B14" s="11"/>
      <c r="C14" s="11"/>
      <c r="D14" s="11" t="str">
        <f>IFERROR(__xludf.DUMMYFUNCTION("""COMPUTED_VALUE"""),"Médica eSF")</f>
        <v>Médica eSF</v>
      </c>
      <c r="E14" s="11" t="str">
        <f>IFERROR(__xludf.DUMMYFUNCTION("""COMPUTED_VALUE"""),"VI")</f>
        <v>VI</v>
      </c>
      <c r="F14" s="11" t="str">
        <f>IFERROR(__xludf.DUMMYFUNCTION("""COMPUTED_VALUE"""),"US_137 CS PROF DJAIR BRINDEIRO / COMAR")</f>
        <v>US_137 CS PROF DJAIR BRINDEIRO / COMAR</v>
      </c>
      <c r="G14" s="11" t="str">
        <f>IFERROR(__xludf.DUMMYFUNCTION("""COMPUTED_VALUE"""),"US 137 CS PROF DJAIR BRINDEIRO")</f>
        <v>US 137 CS PROF DJAIR BRINDEIRO</v>
      </c>
      <c r="H14" s="27">
        <f>IFERROR(__xludf.DUMMYFUNCTION("""COMPUTED_VALUE"""),81991015152)</f>
        <v>81991015152</v>
      </c>
      <c r="I14" s="11"/>
      <c r="J14" s="11"/>
      <c r="K14" s="11"/>
      <c r="L14" s="11"/>
      <c r="M14" s="28" t="str">
        <f>IFERROR(__xludf.DUMMYFUNCTION("""COMPUTED_VALUE"""),"3355-0119")</f>
        <v>3355-0119</v>
      </c>
      <c r="N14" s="11" t="str">
        <f>IFERROR(__xludf.DUMMYFUNCTION("""COMPUTED_VALUE"""),"sandratavaresgastro@uol.com.br")</f>
        <v>sandratavaresgastro@uol.com.br</v>
      </c>
      <c r="O14" s="29">
        <f>IFERROR(__xludf.DUMMYFUNCTION("""COMPUTED_VALUE"""),32659288453)</f>
        <v>32659288453</v>
      </c>
      <c r="P14" s="30" t="str">
        <f>IFERROR(__xludf.DUMMYFUNCTION("""COMPUTED_VALUE"""),"980016002552745")</f>
        <v>980016002552745</v>
      </c>
      <c r="Q14" s="30" t="str">
        <f>IFERROR(__xludf.DUMMYFUNCTION("""COMPUTED_VALUE"""),"0000833")</f>
        <v>0000833</v>
      </c>
      <c r="R14" s="30" t="str">
        <f>IFERROR(__xludf.DUMMYFUNCTION("""COMPUTED_VALUE"""),"0000152633")</f>
        <v>0000152633</v>
      </c>
      <c r="S14" s="30" t="str">
        <f>IFERROR(__xludf.DUMMYFUNCTION("""COMPUTED_VALUE"""),"1")</f>
        <v>1</v>
      </c>
      <c r="T14" s="30" t="str">
        <f>IFERROR(__xludf.DUMMYFUNCTION("""COMPUTED_VALUE"""),"225142")</f>
        <v>225142</v>
      </c>
      <c r="U14" s="31" t="str">
        <f>IFERROR(__xludf.DUMMYFUNCTION("""COMPUTED_VALUE"""),"2251")</f>
        <v>2251</v>
      </c>
      <c r="V14" s="11" t="str">
        <f>IFERROR(__xludf.DUMMYFUNCTION("""COMPUTED_VALUE"""),"SIM")</f>
        <v>SIM</v>
      </c>
      <c r="W14" s="11"/>
      <c r="X14" s="11">
        <f>IFERROR(__xludf.DUMMYFUNCTION("""COMPUTED_VALUE"""),30383790)</f>
        <v>30383790</v>
      </c>
      <c r="Y14" s="11">
        <f>IFERROR(__xludf.DUMMYFUNCTION("""COMPUTED_VALUE"""),91015152)</f>
        <v>91015152</v>
      </c>
      <c r="Z14" s="11">
        <f>IFERROR(__xludf.DUMMYFUNCTION("""COMPUTED_VALUE"""),32659288453)</f>
        <v>32659288453</v>
      </c>
    </row>
    <row r="15" customHeight="1" spans="1:26">
      <c r="A15" s="11" t="str">
        <f>IFERROR(__xludf.DUMMYFUNCTION("""COMPUTED_VALUE"""),"YONNA TABOSA WANDERLEY DE BARROS E SILVA")</f>
        <v>YONNA TABOSA WANDERLEY DE BARROS E SILVA</v>
      </c>
      <c r="B15" s="11"/>
      <c r="C15" s="11"/>
      <c r="D15" s="11" t="str">
        <f>IFERROR(__xludf.DUMMYFUNCTION("""COMPUTED_VALUE"""),"Enfermeira eSF")</f>
        <v>Enfermeira eSF</v>
      </c>
      <c r="E15" s="11" t="str">
        <f>IFERROR(__xludf.DUMMYFUNCTION("""COMPUTED_VALUE"""),"VI")</f>
        <v>VI</v>
      </c>
      <c r="F15" s="11" t="str">
        <f>IFERROR(__xludf.DUMMYFUNCTION("""COMPUTED_VALUE"""),"US_137 CS PROF DJAIR BRINDEIRO / COMAR")</f>
        <v>US_137 CS PROF DJAIR BRINDEIRO / COMAR</v>
      </c>
      <c r="G15" s="11" t="str">
        <f>IFERROR(__xludf.DUMMYFUNCTION("""COMPUTED_VALUE"""),"US 137 CS PROF DJAIR BRINDEIRO")</f>
        <v>US 137 CS PROF DJAIR BRINDEIRO</v>
      </c>
      <c r="H15" s="27">
        <f>IFERROR(__xludf.DUMMYFUNCTION("""COMPUTED_VALUE"""),81999710563)</f>
        <v>81999710563</v>
      </c>
      <c r="I15" s="11"/>
      <c r="J15" s="11"/>
      <c r="K15" s="11"/>
      <c r="L15" s="11"/>
      <c r="M15" s="28" t="str">
        <f>IFERROR(__xludf.DUMMYFUNCTION("""COMPUTED_VALUE"""),"3355-0119")</f>
        <v>3355-0119</v>
      </c>
      <c r="N15" s="11" t="str">
        <f>IFERROR(__xludf.DUMMYFUNCTION("""COMPUTED_VALUE"""),"yonnatabosa@hotmail.com")</f>
        <v>yonnatabosa@hotmail.com</v>
      </c>
      <c r="O15" s="29">
        <f>IFERROR(__xludf.DUMMYFUNCTION("""COMPUTED_VALUE"""),50742280420)</f>
        <v>50742280420</v>
      </c>
      <c r="P15" s="30" t="str">
        <f>IFERROR(__xludf.DUMMYFUNCTION("""COMPUTED_VALUE"""),"170386777460009")</f>
        <v>170386777460009</v>
      </c>
      <c r="Q15" s="30" t="str">
        <f>IFERROR(__xludf.DUMMYFUNCTION("""COMPUTED_VALUE"""),"0000833")</f>
        <v>0000833</v>
      </c>
      <c r="R15" s="30" t="str">
        <f>IFERROR(__xludf.DUMMYFUNCTION("""COMPUTED_VALUE"""),"0000152633")</f>
        <v>0000152633</v>
      </c>
      <c r="S15" s="30" t="str">
        <f>IFERROR(__xludf.DUMMYFUNCTION("""COMPUTED_VALUE"""),"1")</f>
        <v>1</v>
      </c>
      <c r="T15" s="30" t="str">
        <f>IFERROR(__xludf.DUMMYFUNCTION("""COMPUTED_VALUE"""),"223565")</f>
        <v>223565</v>
      </c>
      <c r="U15" s="31" t="str">
        <f>IFERROR(__xludf.DUMMYFUNCTION("""COMPUTED_VALUE"""),"2235")</f>
        <v>2235</v>
      </c>
      <c r="V15" s="11"/>
      <c r="W15" s="11">
        <f>IFERROR(__xludf.DUMMYFUNCTION("""COMPUTED_VALUE"""),99710563)</f>
        <v>99710563</v>
      </c>
      <c r="X15" s="11">
        <f>IFERROR(__xludf.DUMMYFUNCTION("""COMPUTED_VALUE"""),33550118)</f>
        <v>33550118</v>
      </c>
      <c r="Y15" s="11">
        <f>IFERROR(__xludf.DUMMYFUNCTION("""COMPUTED_VALUE"""),50742280420)</f>
        <v>50742280420</v>
      </c>
      <c r="Z15" s="11"/>
    </row>
    <row r="16" customHeight="1" spans="1:26">
      <c r="A16" s="11" t="str">
        <f>IFERROR(__xludf.DUMMYFUNCTION("""COMPUTED_VALUE"""),"PAULO ROBERTO SILVESTRE RIBEIRO")</f>
        <v>PAULO ROBERTO SILVESTRE RIBEIRO</v>
      </c>
      <c r="B16" s="11"/>
      <c r="C16" s="11"/>
      <c r="D16" s="11" t="str">
        <f>IFERROR(__xludf.DUMMYFUNCTION("""COMPUTED_VALUE"""),"Médico Clínico")</f>
        <v>Médico Clínico</v>
      </c>
      <c r="E16" s="11" t="str">
        <f>IFERROR(__xludf.DUMMYFUNCTION("""COMPUTED_VALUE"""),"VI")</f>
        <v>VI</v>
      </c>
      <c r="F16" s="11" t="str">
        <f>IFERROR(__xludf.DUMMYFUNCTION("""COMPUTED_VALUE"""),"US_148 CS DOM MIGUEL DE LIMA VALVERDE")</f>
        <v>US_148 CS DOM MIGUEL DE LIMA VALVERDE</v>
      </c>
      <c r="G16" s="11" t="str">
        <f>IFERROR(__xludf.DUMMYFUNCTION("""COMPUTED_VALUE"""),"US 148 CS DOM MIGUEL DE LIMA VALVERDE")</f>
        <v>US 148 CS DOM MIGUEL DE LIMA VALVERDE</v>
      </c>
      <c r="H16" s="27">
        <f>IFERROR(__xludf.DUMMYFUNCTION("""COMPUTED_VALUE"""),81999139562)</f>
        <v>81999139562</v>
      </c>
      <c r="I16" s="11"/>
      <c r="J16" s="11"/>
      <c r="K16" s="11"/>
      <c r="L16" s="11"/>
      <c r="M16" s="28" t="str">
        <f>IFERROR(__xludf.DUMMYFUNCTION("""COMPUTED_VALUE"""),"3355-0061")</f>
        <v>3355-0061</v>
      </c>
      <c r="N16" s="11" t="str">
        <f>IFERROR(__xludf.DUMMYFUNCTION("""COMPUTED_VALUE"""),"paulorobertto1962@gmail.com")</f>
        <v>paulorobertto1962@gmail.com</v>
      </c>
      <c r="O16" s="29">
        <f>IFERROR(__xludf.DUMMYFUNCTION("""COMPUTED_VALUE"""),46084452434)</f>
        <v>46084452434</v>
      </c>
      <c r="P16" s="30" t="str">
        <f>IFERROR(__xludf.DUMMYFUNCTION("""COMPUTED_VALUE"""),"180073799620006")</f>
        <v>180073799620006</v>
      </c>
      <c r="Q16" s="30" t="str">
        <f>IFERROR(__xludf.DUMMYFUNCTION("""COMPUTED_VALUE"""),"0001392")</f>
        <v>0001392</v>
      </c>
      <c r="R16" s="11"/>
      <c r="S16" s="30" t="str">
        <f>IFERROR(__xludf.DUMMYFUNCTION("""COMPUTED_VALUE"""),"1")</f>
        <v>1</v>
      </c>
      <c r="T16" s="30" t="str">
        <f>IFERROR(__xludf.DUMMYFUNCTION("""COMPUTED_VALUE"""),"225125")</f>
        <v>225125</v>
      </c>
      <c r="U16" s="11" t="str">
        <f>IFERROR(__xludf.DUMMYFUNCTION("""COMPUTED_VALUE"""),"2251")</f>
        <v>2251</v>
      </c>
      <c r="V16" s="11"/>
      <c r="W16" s="30" t="str">
        <f>IFERROR(__xludf.DUMMYFUNCTION("""COMPUTED_VALUE"""),"27/01/1962")</f>
        <v>27/01/1962</v>
      </c>
      <c r="X16" s="11" t="str">
        <f>IFERROR(__xludf.DUMMYFUNCTION("""COMPUTED_VALUE"""),"#N/A")</f>
        <v>#N/A</v>
      </c>
      <c r="Y16" s="11" t="str">
        <f>IFERROR(__xludf.DUMMYFUNCTION("""COMPUTED_VALUE"""),"#N/A")</f>
        <v>#N/A</v>
      </c>
      <c r="Z16" s="11" t="str">
        <f>IFERROR(__xludf.DUMMYFUNCTION("""COMPUTED_VALUE"""),"#N/A")</f>
        <v>#N/A</v>
      </c>
    </row>
    <row r="17" customHeight="1" spans="1:26">
      <c r="A17" s="11" t="str">
        <f>IFERROR(__xludf.DUMMYFUNCTION("""COMPUTED_VALUE"""),"VIRGINIA SCALONE DE MELO")</f>
        <v>VIRGINIA SCALONE DE MELO</v>
      </c>
      <c r="B17" s="11"/>
      <c r="C17" s="11"/>
      <c r="D17" s="11" t="str">
        <f>IFERROR(__xludf.DUMMYFUNCTION("""COMPUTED_VALUE"""),"Médica Clínica")</f>
        <v>Médica Clínica</v>
      </c>
      <c r="E17" s="11" t="str">
        <f>IFERROR(__xludf.DUMMYFUNCTION("""COMPUTED_VALUE"""),"VI")</f>
        <v>VI</v>
      </c>
      <c r="F17" s="11" t="str">
        <f>IFERROR(__xludf.DUMMYFUNCTION("""COMPUTED_VALUE"""),"US_148 CS DOM MIGUEL DE LIMA VALVERDE")</f>
        <v>US_148 CS DOM MIGUEL DE LIMA VALVERDE</v>
      </c>
      <c r="G17" s="11" t="str">
        <f>IFERROR(__xludf.DUMMYFUNCTION("""COMPUTED_VALUE"""),"US 148 CS DOM MIGUEL DE LIMA VALVERDE")</f>
        <v>US 148 CS DOM MIGUEL DE LIMA VALVERDE</v>
      </c>
      <c r="H17" s="27">
        <f>IFERROR(__xludf.DUMMYFUNCTION("""COMPUTED_VALUE"""),81988933656)</f>
        <v>81988933656</v>
      </c>
      <c r="I17" s="11"/>
      <c r="J17" s="11"/>
      <c r="K17" s="11"/>
      <c r="L17" s="11"/>
      <c r="M17" s="28" t="str">
        <f>IFERROR(__xludf.DUMMYFUNCTION("""COMPUTED_VALUE"""),"3355-0061")</f>
        <v>3355-0061</v>
      </c>
      <c r="N17" s="11" t="str">
        <f>IFERROR(__xludf.DUMMYFUNCTION("""COMPUTED_VALUE"""),"virginia.scalone@gmail.com")</f>
        <v>virginia.scalone@gmail.com</v>
      </c>
      <c r="O17" s="29">
        <f>IFERROR(__xludf.DUMMYFUNCTION("""COMPUTED_VALUE"""),50996746404)</f>
        <v>50996746404</v>
      </c>
      <c r="P17" s="30" t="str">
        <f>IFERROR(__xludf.DUMMYFUNCTION("""COMPUTED_VALUE"""),"122212385420002")</f>
        <v>122212385420002</v>
      </c>
      <c r="Q17" s="30" t="str">
        <f>IFERROR(__xludf.DUMMYFUNCTION("""COMPUTED_VALUE"""),"0001392")</f>
        <v>0001392</v>
      </c>
      <c r="R17" s="30" t="str">
        <f>IFERROR(__xludf.DUMMYFUNCTION("""COMPUTED_VALUE"""),"9000139201")</f>
        <v>9000139201</v>
      </c>
      <c r="S17" s="30" t="str">
        <f>IFERROR(__xludf.DUMMYFUNCTION("""COMPUTED_VALUE"""),"1")</f>
        <v>1</v>
      </c>
      <c r="T17" s="30" t="str">
        <f>IFERROR(__xludf.DUMMYFUNCTION("""COMPUTED_VALUE"""),"225125")</f>
        <v>225125</v>
      </c>
      <c r="U17" s="11">
        <f>IFERROR(__xludf.DUMMYFUNCTION("""COMPUTED_VALUE"""),2251)</f>
        <v>2251</v>
      </c>
      <c r="V17" s="11"/>
      <c r="W17" s="30" t="str">
        <f>IFERROR(__xludf.DUMMYFUNCTION("""COMPUTED_VALUE"""),"22/07/1967")</f>
        <v>22/07/1967</v>
      </c>
      <c r="X17" s="11">
        <f>IFERROR(__xludf.DUMMYFUNCTION("""COMPUTED_VALUE"""),33411324)</f>
        <v>33411324</v>
      </c>
      <c r="Y17" s="11">
        <f>IFERROR(__xludf.DUMMYFUNCTION("""COMPUTED_VALUE"""),88933656)</f>
        <v>88933656</v>
      </c>
      <c r="Z17" s="11">
        <f>IFERROR(__xludf.DUMMYFUNCTION("""COMPUTED_VALUE"""),50996746404)</f>
        <v>50996746404</v>
      </c>
    </row>
    <row r="18" customHeight="1" spans="1:26">
      <c r="A18" s="11" t="str">
        <f>IFERROR(__xludf.DUMMYFUNCTION("""COMPUTED_VALUE"""),"GILDAZIO RODRIGUES MOURA")</f>
        <v>GILDAZIO RODRIGUES MOURA</v>
      </c>
      <c r="B18" s="11"/>
      <c r="C18" s="11"/>
      <c r="D18" s="11" t="str">
        <f>IFERROR(__xludf.DUMMYFUNCTION("""COMPUTED_VALUE"""),"Enfermeiro eSF")</f>
        <v>Enfermeiro eSF</v>
      </c>
      <c r="E18" s="11" t="str">
        <f>IFERROR(__xludf.DUMMYFUNCTION("""COMPUTED_VALUE"""),"VI")</f>
        <v>VI</v>
      </c>
      <c r="F18" s="11" t="str">
        <f>IFERROR(__xludf.DUMMYFUNCTION("""COMPUTED_VALUE"""),"US_272 USF SANTA TEREZA")</f>
        <v>US_272 USF SANTA TEREZA</v>
      </c>
      <c r="G18" s="11" t="str">
        <f>IFERROR(__xludf.DUMMYFUNCTION("""COMPUTED_VALUE"""),"US 174 USF SITIO GRANDE")</f>
        <v>US 174 USF SITIO GRANDE</v>
      </c>
      <c r="H18" s="27">
        <f>IFERROR(__xludf.DUMMYFUNCTION("""COMPUTED_VALUE"""),81998544067)</f>
        <v>81998544067</v>
      </c>
      <c r="I18" s="27">
        <f>IFERROR(__xludf.DUMMYFUNCTION("""COMPUTED_VALUE"""),81986564652)</f>
        <v>81986564652</v>
      </c>
      <c r="J18" s="11"/>
      <c r="K18" s="24">
        <f>IFERROR(__xludf.DUMMYFUNCTION("""COMPUTED_VALUE"""),45152)</f>
        <v>45152</v>
      </c>
      <c r="L18" s="11"/>
      <c r="M18" s="28" t="str">
        <f>IFERROR(__xludf.DUMMYFUNCTION("""COMPUTED_VALUE"""),"3355-6685")</f>
        <v>3355-6685</v>
      </c>
      <c r="N18" s="11" t="str">
        <f>IFERROR(__xludf.DUMMYFUNCTION("""COMPUTED_VALUE"""),"gildaziorodriguesmoura@hotmail.com")</f>
        <v>gildaziorodriguesmoura@hotmail.com</v>
      </c>
      <c r="O18" s="29">
        <f>IFERROR(__xludf.DUMMYFUNCTION("""COMPUTED_VALUE"""),80618006320)</f>
        <v>80618006320</v>
      </c>
      <c r="P18" s="30" t="str">
        <f>IFERROR(__xludf.DUMMYFUNCTION("""COMPUTED_VALUE"""),"980016280891718")</f>
        <v>980016280891718</v>
      </c>
      <c r="Q18" s="30" t="str">
        <f>IFERROR(__xludf.DUMMYFUNCTION("""COMPUTED_VALUE"""),"0000957")</f>
        <v>0000957</v>
      </c>
      <c r="R18" s="30" t="str">
        <f>IFERROR(__xludf.DUMMYFUNCTION("""COMPUTED_VALUE"""),"0000152862")</f>
        <v>0000152862</v>
      </c>
      <c r="S18" s="30" t="str">
        <f>IFERROR(__xludf.DUMMYFUNCTION("""COMPUTED_VALUE"""),"1")</f>
        <v>1</v>
      </c>
      <c r="T18" s="30" t="str">
        <f>IFERROR(__xludf.DUMMYFUNCTION("""COMPUTED_VALUE"""),"223565")</f>
        <v>223565</v>
      </c>
      <c r="U18" s="31" t="str">
        <f>IFERROR(__xludf.DUMMYFUNCTION("""COMPUTED_VALUE"""),"2235")</f>
        <v>2235</v>
      </c>
      <c r="V18" s="11"/>
      <c r="W18" s="11">
        <f>IFERROR(__xludf.DUMMYFUNCTION("""COMPUTED_VALUE"""),86564652)</f>
        <v>86564652</v>
      </c>
      <c r="X18" s="11">
        <f>IFERROR(__xludf.DUMMYFUNCTION("""COMPUTED_VALUE"""),98544067)</f>
        <v>98544067</v>
      </c>
      <c r="Y18" s="11">
        <f>IFERROR(__xludf.DUMMYFUNCTION("""COMPUTED_VALUE"""),80618006320)</f>
        <v>80618006320</v>
      </c>
      <c r="Z18" s="11"/>
    </row>
    <row r="19" customHeight="1" spans="1:26">
      <c r="A19" s="11" t="str">
        <f>IFERROR(__xludf.DUMMYFUNCTION("""COMPUTED_VALUE"""),"KARLA KAROLLINE CANDIDA ALVES")</f>
        <v>KARLA KAROLLINE CANDIDA ALVES</v>
      </c>
      <c r="B19" s="11"/>
      <c r="C19" s="11"/>
      <c r="D19" s="11" t="str">
        <f>IFERROR(__xludf.DUMMYFUNCTION("""COMPUTED_VALUE"""),"Enfermeira eSF")</f>
        <v>Enfermeira eSF</v>
      </c>
      <c r="E19" s="11" t="str">
        <f>IFERROR(__xludf.DUMMYFUNCTION("""COMPUTED_VALUE"""),"VI")</f>
        <v>VI</v>
      </c>
      <c r="F19" s="11" t="str">
        <f>IFERROR(__xludf.DUMMYFUNCTION("""COMPUTED_VALUE"""),"US_174 USF SITIO GRANDE")</f>
        <v>US_174 USF SITIO GRANDE</v>
      </c>
      <c r="G19" s="11" t="str">
        <f>IFERROR(__xludf.DUMMYFUNCTION("""COMPUTED_VALUE"""),"US 174 USF SITIO GRANDE")</f>
        <v>US 174 USF SITIO GRANDE</v>
      </c>
      <c r="H19" s="27">
        <f>IFERROR(__xludf.DUMMYFUNCTION("""COMPUTED_VALUE"""),81999686275)</f>
        <v>81999686275</v>
      </c>
      <c r="I19" s="11"/>
      <c r="J19" s="11"/>
      <c r="K19" s="11"/>
      <c r="L19" s="11"/>
      <c r="M19" s="28" t="str">
        <f>IFERROR(__xludf.DUMMYFUNCTION("""COMPUTED_VALUE"""),"3355-6685")</f>
        <v>3355-6685</v>
      </c>
      <c r="N19" s="11" t="str">
        <f>IFERROR(__xludf.DUMMYFUNCTION("""COMPUTED_VALUE"""),"karlakarollinde@yahoo.com.br")</f>
        <v>karlakarollinde@yahoo.com.br</v>
      </c>
      <c r="O19" s="29">
        <f>IFERROR(__xludf.DUMMYFUNCTION("""COMPUTED_VALUE"""),90925505404)</f>
        <v>90925505404</v>
      </c>
      <c r="P19" s="30" t="str">
        <f>IFERROR(__xludf.DUMMYFUNCTION("""COMPUTED_VALUE"""),"204322435710006")</f>
        <v>204322435710006</v>
      </c>
      <c r="Q19" s="30" t="str">
        <f>IFERROR(__xludf.DUMMYFUNCTION("""COMPUTED_VALUE"""),"0000957")</f>
        <v>0000957</v>
      </c>
      <c r="R19" s="30" t="str">
        <f>IFERROR(__xludf.DUMMYFUNCTION("""COMPUTED_VALUE"""),"0000152846")</f>
        <v>0000152846</v>
      </c>
      <c r="S19" s="30" t="str">
        <f>IFERROR(__xludf.DUMMYFUNCTION("""COMPUTED_VALUE"""),"1")</f>
        <v>1</v>
      </c>
      <c r="T19" s="30" t="str">
        <f>IFERROR(__xludf.DUMMYFUNCTION("""COMPUTED_VALUE"""),"223565")</f>
        <v>223565</v>
      </c>
      <c r="U19" s="31" t="str">
        <f>IFERROR(__xludf.DUMMYFUNCTION("""COMPUTED_VALUE"""),"2235")</f>
        <v>2235</v>
      </c>
      <c r="V19" s="11"/>
      <c r="W19" s="11">
        <f>IFERROR(__xludf.DUMMYFUNCTION("""COMPUTED_VALUE"""),8199686275)</f>
        <v>8199686275</v>
      </c>
      <c r="X19" s="11">
        <f>IFERROR(__xludf.DUMMYFUNCTION("""COMPUTED_VALUE"""),8199686275)</f>
        <v>8199686275</v>
      </c>
      <c r="Y19" s="11">
        <f>IFERROR(__xludf.DUMMYFUNCTION("""COMPUTED_VALUE"""),90925505404)</f>
        <v>90925505404</v>
      </c>
      <c r="Z19" s="11"/>
    </row>
    <row r="20" customHeight="1" spans="1:26">
      <c r="A20" s="11" t="str">
        <f>IFERROR(__xludf.DUMMYFUNCTION("""COMPUTED_VALUE"""),"MARISTELA OLIVEIRA DE ALBUQUERQUE")</f>
        <v>MARISTELA OLIVEIRA DE ALBUQUERQUE</v>
      </c>
      <c r="B20" s="11"/>
      <c r="C20" s="11"/>
      <c r="D20" s="11" t="str">
        <f>IFERROR(__xludf.DUMMYFUNCTION("""COMPUTED_VALUE"""),"Enfermeira eSF")</f>
        <v>Enfermeira eSF</v>
      </c>
      <c r="E20" s="11" t="str">
        <f>IFERROR(__xludf.DUMMYFUNCTION("""COMPUTED_VALUE"""),"VI")</f>
        <v>VI</v>
      </c>
      <c r="F20" s="11" t="str">
        <f>IFERROR(__xludf.DUMMYFUNCTION("""COMPUTED_VALUE"""),"US_174 USF SITIO GRANDE")</f>
        <v>US_174 USF SITIO GRANDE</v>
      </c>
      <c r="G20" s="11" t="str">
        <f>IFERROR(__xludf.DUMMYFUNCTION("""COMPUTED_VALUE"""),"US 174 USF SITIO GRANDE")</f>
        <v>US 174 USF SITIO GRANDE</v>
      </c>
      <c r="H20" s="27">
        <f>IFERROR(__xludf.DUMMYFUNCTION("""COMPUTED_VALUE"""),81998724002)</f>
        <v>81998724002</v>
      </c>
      <c r="I20" s="11"/>
      <c r="J20" s="11"/>
      <c r="K20" s="11"/>
      <c r="L20" s="11"/>
      <c r="M20" s="28" t="str">
        <f>IFERROR(__xludf.DUMMYFUNCTION("""COMPUTED_VALUE"""),"3355-6685")</f>
        <v>3355-6685</v>
      </c>
      <c r="N20" s="11" t="str">
        <f>IFERROR(__xludf.DUMMYFUNCTION("""COMPUTED_VALUE"""),"maristela.albuquerque@yahoo.com.br")</f>
        <v>maristela.albuquerque@yahoo.com.br</v>
      </c>
      <c r="O20" s="29">
        <f>IFERROR(__xludf.DUMMYFUNCTION("""COMPUTED_VALUE"""),32098413491)</f>
        <v>32098413491</v>
      </c>
      <c r="P20" s="30" t="str">
        <f>IFERROR(__xludf.DUMMYFUNCTION("""COMPUTED_VALUE"""),"122964300330009")</f>
        <v>122964300330009</v>
      </c>
      <c r="Q20" s="30" t="str">
        <f>IFERROR(__xludf.DUMMYFUNCTION("""COMPUTED_VALUE"""),"0000957")</f>
        <v>0000957</v>
      </c>
      <c r="R20" s="30" t="str">
        <f>IFERROR(__xludf.DUMMYFUNCTION("""COMPUTED_VALUE"""),"0000152854")</f>
        <v>0000152854</v>
      </c>
      <c r="S20" s="30" t="str">
        <f>IFERROR(__xludf.DUMMYFUNCTION("""COMPUTED_VALUE"""),"1")</f>
        <v>1</v>
      </c>
      <c r="T20" s="30" t="str">
        <f>IFERROR(__xludf.DUMMYFUNCTION("""COMPUTED_VALUE"""),"223565")</f>
        <v>223565</v>
      </c>
      <c r="U20" s="31" t="str">
        <f>IFERROR(__xludf.DUMMYFUNCTION("""COMPUTED_VALUE"""),"2235")</f>
        <v>2235</v>
      </c>
      <c r="V20" s="11"/>
      <c r="W20" s="11"/>
      <c r="X20" s="11"/>
      <c r="Y20" s="11"/>
      <c r="Z20" s="11"/>
    </row>
    <row r="21" customHeight="1" spans="1:26">
      <c r="A21" s="11" t="str">
        <f>IFERROR(__xludf.DUMMYFUNCTION("""COMPUTED_VALUE"""),"EDUINA COUTO SANTOS")</f>
        <v>EDUINA COUTO SANTOS</v>
      </c>
      <c r="B21" s="11"/>
      <c r="C21" s="11"/>
      <c r="D21" s="11" t="str">
        <f>IFERROR(__xludf.DUMMYFUNCTION("""COMPUTED_VALUE"""),"Enfermeira eSF")</f>
        <v>Enfermeira eSF</v>
      </c>
      <c r="E21" s="11" t="str">
        <f>IFERROR(__xludf.DUMMYFUNCTION("""COMPUTED_VALUE"""),"VI")</f>
        <v>VI</v>
      </c>
      <c r="F21" s="11" t="str">
        <f>IFERROR(__xludf.DUMMYFUNCTION("""COMPUTED_VALUE"""),"US_187 USF ILHA DE DEUS")</f>
        <v>US_187 USF ILHA DE DEUS</v>
      </c>
      <c r="G21" s="11" t="str">
        <f>IFERROR(__xludf.DUMMYFUNCTION("""COMPUTED_VALUE"""),"US 187 USF ILHA DE DEUS")</f>
        <v>US 187 USF ILHA DE DEUS</v>
      </c>
      <c r="H21" s="27">
        <f>IFERROR(__xludf.DUMMYFUNCTION("""COMPUTED_VALUE"""),81998208882)</f>
        <v>81998208882</v>
      </c>
      <c r="I21" s="11"/>
      <c r="J21" s="11"/>
      <c r="K21" s="11"/>
      <c r="L21" s="11"/>
      <c r="M21" s="28" t="str">
        <f>IFERROR(__xludf.DUMMYFUNCTION("""COMPUTED_VALUE"""),"3355-6936")</f>
        <v>3355-6936</v>
      </c>
      <c r="N21" s="11" t="str">
        <f>IFERROR(__xludf.DUMMYFUNCTION("""COMPUTED_VALUE"""),"eduina@ig.com.br / eduinacouto@hotmail.com")</f>
        <v>eduina@ig.com.br / eduinacouto@hotmail.com</v>
      </c>
      <c r="O21" s="29">
        <f>IFERROR(__xludf.DUMMYFUNCTION("""COMPUTED_VALUE"""),2089737450)</f>
        <v>2089737450</v>
      </c>
      <c r="P21" s="30" t="str">
        <f>IFERROR(__xludf.DUMMYFUNCTION("""COMPUTED_VALUE"""),"204322782430001")</f>
        <v>204322782430001</v>
      </c>
      <c r="Q21" s="30" t="str">
        <f>IFERROR(__xludf.DUMMYFUNCTION("""COMPUTED_VALUE"""),"0002100")</f>
        <v>0002100</v>
      </c>
      <c r="R21" s="30" t="str">
        <f>IFERROR(__xludf.DUMMYFUNCTION("""COMPUTED_VALUE"""),"0000153443")</f>
        <v>0000153443</v>
      </c>
      <c r="S21" s="30" t="str">
        <f>IFERROR(__xludf.DUMMYFUNCTION("""COMPUTED_VALUE"""),"1")</f>
        <v>1</v>
      </c>
      <c r="T21" s="30" t="str">
        <f>IFERROR(__xludf.DUMMYFUNCTION("""COMPUTED_VALUE"""),"223565")</f>
        <v>223565</v>
      </c>
      <c r="U21" s="31" t="str">
        <f>IFERROR(__xludf.DUMMYFUNCTION("""COMPUTED_VALUE"""),"2235")</f>
        <v>2235</v>
      </c>
      <c r="V21" s="11"/>
      <c r="W21" s="11">
        <f>IFERROR(__xludf.DUMMYFUNCTION("""COMPUTED_VALUE"""),98208882)</f>
        <v>98208882</v>
      </c>
      <c r="X21" s="11"/>
      <c r="Y21" s="11">
        <f>IFERROR(__xludf.DUMMYFUNCTION("""COMPUTED_VALUE"""),2089737450)</f>
        <v>2089737450</v>
      </c>
      <c r="Z21" s="11"/>
    </row>
    <row r="22" customHeight="1" spans="1:26">
      <c r="A22" s="11" t="str">
        <f>IFERROR(__xludf.DUMMYFUNCTION("""COMPUTED_VALUE"""),"ANGELA TORRES DE MORAES VASCONCELOS")</f>
        <v>ANGELA TORRES DE MORAES VASCONCELOS</v>
      </c>
      <c r="B22" s="11" t="str">
        <f>IFERROR(__xludf.DUMMYFUNCTION("""COMPUTED_VALUE"""),"(RECUSA TELE)TELE PELO ZAP CASO NÃO CONSIGA CONTATO")</f>
        <v>(RECUSA TELE)TELE PELO ZAP CASO NÃO CONSIGA CONTATO</v>
      </c>
      <c r="C22" s="11"/>
      <c r="D22" s="11" t="str">
        <f>IFERROR(__xludf.DUMMYFUNCTION("""COMPUTED_VALUE"""),"Médica eSF")</f>
        <v>Médica eSF</v>
      </c>
      <c r="E22" s="11" t="str">
        <f>IFERROR(__xludf.DUMMYFUNCTION("""COMPUTED_VALUE"""),"VI")</f>
        <v>VI</v>
      </c>
      <c r="F22" s="11" t="str">
        <f>IFERROR(__xludf.DUMMYFUNCTION("""COMPUTED_VALUE"""),"US_269 USF BEIRA DO RIO COMUNIDADE BOA VIAGEM")</f>
        <v>US_269 USF BEIRA DO RIO COMUNIDADE BOA VIAGEM</v>
      </c>
      <c r="G22" s="11" t="str">
        <f>IFERROR(__xludf.DUMMYFUNCTION("""COMPUTED_VALUE"""),"US 269 USF BEIRA DO RIO COMUNIDADE BOA VIAGEM")</f>
        <v>US 269 USF BEIRA DO RIO COMUNIDADE BOA VIAGEM</v>
      </c>
      <c r="H22" s="27">
        <f>IFERROR(__xludf.DUMMYFUNCTION("""COMPUTED_VALUE"""),81998865112)</f>
        <v>81998865112</v>
      </c>
      <c r="I22" s="27">
        <f>IFERROR(__xludf.DUMMYFUNCTION("""COMPUTED_VALUE"""),81981965112)</f>
        <v>81981965112</v>
      </c>
      <c r="J22" s="11"/>
      <c r="K22" s="11"/>
      <c r="L22" s="11"/>
      <c r="M22" s="28" t="str">
        <f>IFERROR(__xludf.DUMMYFUNCTION("""COMPUTED_VALUE"""),"3355-6090")</f>
        <v>3355-6090</v>
      </c>
      <c r="N22" s="11" t="str">
        <f>IFERROR(__xludf.DUMMYFUNCTION("""COMPUTED_VALUE"""),"angelatmv@msn.com")</f>
        <v>angelatmv@msn.com</v>
      </c>
      <c r="O22" s="29">
        <f>IFERROR(__xludf.DUMMYFUNCTION("""COMPUTED_VALUE"""),7509480434)</f>
        <v>7509480434</v>
      </c>
      <c r="P22" s="30" t="str">
        <f>IFERROR(__xludf.DUMMYFUNCTION("""COMPUTED_VALUE"""),"106094972910009")</f>
        <v>106094972910009</v>
      </c>
      <c r="Q22" s="30" t="str">
        <f>IFERROR(__xludf.DUMMYFUNCTION("""COMPUTED_VALUE"""),"0026379")</f>
        <v>0026379</v>
      </c>
      <c r="R22" s="30" t="str">
        <f>IFERROR(__xludf.DUMMYFUNCTION("""COMPUTED_VALUE"""),"0000154369")</f>
        <v>0000154369</v>
      </c>
      <c r="S22" s="30" t="str">
        <f>IFERROR(__xludf.DUMMYFUNCTION("""COMPUTED_VALUE"""),"1")</f>
        <v>1</v>
      </c>
      <c r="T22" s="30" t="str">
        <f>IFERROR(__xludf.DUMMYFUNCTION("""COMPUTED_VALUE"""),"225142")</f>
        <v>225142</v>
      </c>
      <c r="U22" s="31" t="str">
        <f>IFERROR(__xludf.DUMMYFUNCTION("""COMPUTED_VALUE"""),"2251")</f>
        <v>2251</v>
      </c>
      <c r="V22" s="11" t="str">
        <f>IFERROR(__xludf.DUMMYFUNCTION("""COMPUTED_VALUE"""),"SIM")</f>
        <v>SIM</v>
      </c>
      <c r="W22" s="11"/>
      <c r="X22" s="11">
        <f>IFERROR(__xludf.DUMMYFUNCTION("""COMPUTED_VALUE"""),91477818)</f>
        <v>91477818</v>
      </c>
      <c r="Y22" s="11">
        <f>IFERROR(__xludf.DUMMYFUNCTION("""COMPUTED_VALUE"""),81965112)</f>
        <v>81965112</v>
      </c>
      <c r="Z22" s="11">
        <f>IFERROR(__xludf.DUMMYFUNCTION("""COMPUTED_VALUE"""),7509480434)</f>
        <v>7509480434</v>
      </c>
    </row>
    <row r="23" customHeight="1" spans="1:26">
      <c r="A23" s="11" t="str">
        <f>IFERROR(__xludf.DUMMYFUNCTION("""COMPUTED_VALUE"""),"CLARICE FREITAS TIMOTEO DE LIMA SANTANA")</f>
        <v>CLARICE FREITAS TIMOTEO DE LIMA SANTANA</v>
      </c>
      <c r="B23" s="11"/>
      <c r="C23" s="11"/>
      <c r="D23" s="11" t="str">
        <f>IFERROR(__xludf.DUMMYFUNCTION("""COMPUTED_VALUE"""),"Médica eSF")</f>
        <v>Médica eSF</v>
      </c>
      <c r="E23" s="11" t="str">
        <f>IFERROR(__xludf.DUMMYFUNCTION("""COMPUTED_VALUE"""),"VI")</f>
        <v>VI</v>
      </c>
      <c r="F23" s="11" t="str">
        <f>IFERROR(__xludf.DUMMYFUNCTION("""COMPUTED_VALUE"""),"US_316 USF BERNARD VAN LEER")</f>
        <v>US_316 USF BERNARD VAN LEER</v>
      </c>
      <c r="G23" s="11" t="str">
        <f>IFERROR(__xludf.DUMMYFUNCTION("""COMPUTED_VALUE"""),"US 373 USF CIDADE OPERARIA")</f>
        <v>US 373 USF CIDADE OPERARIA</v>
      </c>
      <c r="H23" s="27">
        <f>IFERROR(__xludf.DUMMYFUNCTION("""COMPUTED_VALUE"""),81988140772)</f>
        <v>81988140772</v>
      </c>
      <c r="I23" s="11"/>
      <c r="J23" s="11"/>
      <c r="K23" s="11"/>
      <c r="L23" s="11"/>
      <c r="M23" s="28" t="str">
        <f>IFERROR(__xludf.DUMMYFUNCTION("""COMPUTED_VALUE"""),"3355-6090")</f>
        <v>3355-6090</v>
      </c>
      <c r="N23" s="11" t="str">
        <f>IFERROR(__xludf.DUMMYFUNCTION("""COMPUTED_VALUE"""),"clariceftl@hotmail.com")</f>
        <v>clariceftl@hotmail.com</v>
      </c>
      <c r="O23" s="29">
        <f>IFERROR(__xludf.DUMMYFUNCTION("""COMPUTED_VALUE"""),7183179478)</f>
        <v>7183179478</v>
      </c>
      <c r="P23" s="30" t="str">
        <f>IFERROR(__xludf.DUMMYFUNCTION("""COMPUTED_VALUE"""),"709603634811873")</f>
        <v>709603634811873</v>
      </c>
      <c r="Q23" s="30" t="str">
        <f>IFERROR(__xludf.DUMMYFUNCTION("""COMPUTED_VALUE"""),"0026379")</f>
        <v>0026379</v>
      </c>
      <c r="R23" s="30" t="str">
        <f>IFERROR(__xludf.DUMMYFUNCTION("""COMPUTED_VALUE"""),"0000154377")</f>
        <v>0000154377</v>
      </c>
      <c r="S23" s="30" t="str">
        <f>IFERROR(__xludf.DUMMYFUNCTION("""COMPUTED_VALUE"""),"3")</f>
        <v>3</v>
      </c>
      <c r="T23" s="30" t="str">
        <f>IFERROR(__xludf.DUMMYFUNCTION("""COMPUTED_VALUE"""),"225142")</f>
        <v>225142</v>
      </c>
      <c r="U23" s="31" t="str">
        <f>IFERROR(__xludf.DUMMYFUNCTION("""COMPUTED_VALUE"""),"2251")</f>
        <v>2251</v>
      </c>
      <c r="V23" s="11"/>
      <c r="W23" s="11"/>
      <c r="X23" s="11"/>
      <c r="Y23" s="11"/>
      <c r="Z23" s="11"/>
    </row>
    <row r="24" customHeight="1" spans="1:26">
      <c r="A24" s="11" t="str">
        <f>IFERROR(__xludf.DUMMYFUNCTION("""COMPUTED_VALUE"""),"JANINE CHRISTINA NUNES DE OLIVEIRA")</f>
        <v>JANINE CHRISTINA NUNES DE OLIVEIRA</v>
      </c>
      <c r="B24" s="11"/>
      <c r="C24" s="11"/>
      <c r="D24" s="11" t="str">
        <f>IFERROR(__xludf.DUMMYFUNCTION("""COMPUTED_VALUE"""),"Enfermeira eSF")</f>
        <v>Enfermeira eSF</v>
      </c>
      <c r="E24" s="11" t="str">
        <f>IFERROR(__xludf.DUMMYFUNCTION("""COMPUTED_VALUE"""),"VI")</f>
        <v>VI</v>
      </c>
      <c r="F24" s="11" t="str">
        <f>IFERROR(__xludf.DUMMYFUNCTION("""COMPUTED_VALUE"""),"US_269 USF BEIRA DO RIO COMUNIDADE BOA VIAGEM")</f>
        <v>US_269 USF BEIRA DO RIO COMUNIDADE BOA VIAGEM</v>
      </c>
      <c r="G24" s="11" t="str">
        <f>IFERROR(__xludf.DUMMYFUNCTION("""COMPUTED_VALUE"""),"US 269 USF BEIRA DO RIO COMUNIDADE BOA VIAGEM")</f>
        <v>US 269 USF BEIRA DO RIO COMUNIDADE BOA VIAGEM</v>
      </c>
      <c r="H24" s="27">
        <f>IFERROR(__xludf.DUMMYFUNCTION("""COMPUTED_VALUE"""),81998995608)</f>
        <v>81998995608</v>
      </c>
      <c r="I24" s="27">
        <f>IFERROR(__xludf.DUMMYFUNCTION("""COMPUTED_VALUE"""),81986397928)</f>
        <v>81986397928</v>
      </c>
      <c r="J24" s="11"/>
      <c r="K24" s="11"/>
      <c r="L24" s="11"/>
      <c r="M24" s="28" t="str">
        <f>IFERROR(__xludf.DUMMYFUNCTION("""COMPUTED_VALUE"""),"3355-6090")</f>
        <v>3355-6090</v>
      </c>
      <c r="N24" s="11" t="str">
        <f>IFERROR(__xludf.DUMMYFUNCTION("""COMPUTED_VALUE"""),"jan-enf@yahoo.com.br")</f>
        <v>jan-enf@yahoo.com.br</v>
      </c>
      <c r="O24" s="29">
        <f>IFERROR(__xludf.DUMMYFUNCTION("""COMPUTED_VALUE"""),2920058495)</f>
        <v>2920058495</v>
      </c>
      <c r="P24" s="30" t="str">
        <f>IFERROR(__xludf.DUMMYFUNCTION("""COMPUTED_VALUE"""),"980016001207424")</f>
        <v>980016001207424</v>
      </c>
      <c r="Q24" s="30" t="str">
        <f>IFERROR(__xludf.DUMMYFUNCTION("""COMPUTED_VALUE"""),"0026379")</f>
        <v>0026379</v>
      </c>
      <c r="R24" s="30" t="str">
        <f>IFERROR(__xludf.DUMMYFUNCTION("""COMPUTED_VALUE"""),"0000154377")</f>
        <v>0000154377</v>
      </c>
      <c r="S24" s="30" t="str">
        <f>IFERROR(__xludf.DUMMYFUNCTION("""COMPUTED_VALUE"""),"1")</f>
        <v>1</v>
      </c>
      <c r="T24" s="30" t="str">
        <f>IFERROR(__xludf.DUMMYFUNCTION("""COMPUTED_VALUE"""),"223565")</f>
        <v>223565</v>
      </c>
      <c r="U24" s="31" t="str">
        <f>IFERROR(__xludf.DUMMYFUNCTION("""COMPUTED_VALUE"""),"2235")</f>
        <v>2235</v>
      </c>
      <c r="V24" s="11"/>
      <c r="W24" s="11">
        <f>IFERROR(__xludf.DUMMYFUNCTION("""COMPUTED_VALUE"""),86397928)</f>
        <v>86397928</v>
      </c>
      <c r="X24" s="11">
        <f>IFERROR(__xludf.DUMMYFUNCTION("""COMPUTED_VALUE"""),98995608)</f>
        <v>98995608</v>
      </c>
      <c r="Y24" s="11">
        <f>IFERROR(__xludf.DUMMYFUNCTION("""COMPUTED_VALUE"""),2920058495)</f>
        <v>2920058495</v>
      </c>
      <c r="Z24" s="11"/>
    </row>
    <row r="25" customHeight="1" spans="1:26">
      <c r="A25" s="11" t="str">
        <f>IFERROR(__xludf.DUMMYFUNCTION("""COMPUTED_VALUE"""),"NEREIDE BOAVENTURA ROCHA")</f>
        <v>NEREIDE BOAVENTURA ROCHA</v>
      </c>
      <c r="B25" s="11"/>
      <c r="C25" s="11"/>
      <c r="D25" s="11" t="str">
        <f>IFERROR(__xludf.DUMMYFUNCTION("""COMPUTED_VALUE"""),"Dentista")</f>
        <v>Dentista</v>
      </c>
      <c r="E25" s="11" t="str">
        <f>IFERROR(__xludf.DUMMYFUNCTION("""COMPUTED_VALUE"""),"VI")</f>
        <v>VI</v>
      </c>
      <c r="F25" s="11" t="str">
        <f>IFERROR(__xludf.DUMMYFUNCTION("""COMPUTED_VALUE"""),"US_292 USF VILA DO IPSEP")</f>
        <v>US_292 USF VILA DO IPSEP</v>
      </c>
      <c r="G25" s="11" t="str">
        <f>IFERROR(__xludf.DUMMYFUNCTION("""COMPUTED_VALUE"""),"US 292 USF VILA DO IPSEP")</f>
        <v>US 292 USF VILA DO IPSEP</v>
      </c>
      <c r="H25" s="27">
        <f>IFERROR(__xludf.DUMMYFUNCTION("""COMPUTED_VALUE"""),81999813435)</f>
        <v>81999813435</v>
      </c>
      <c r="I25" s="11"/>
      <c r="J25" s="11"/>
      <c r="K25" s="11"/>
      <c r="L25" s="11"/>
      <c r="M25" s="28" t="str">
        <f>IFERROR(__xludf.DUMMYFUNCTION("""COMPUTED_VALUE"""),"3355-6687")</f>
        <v>3355-6687</v>
      </c>
      <c r="N25" s="11" t="str">
        <f>IFERROR(__xludf.DUMMYFUNCTION("""COMPUTED_VALUE"""),"nboaventura01@yahoo.com.br")</f>
        <v>nboaventura01@yahoo.com.br</v>
      </c>
      <c r="O25" s="29">
        <f>IFERROR(__xludf.DUMMYFUNCTION("""COMPUTED_VALUE"""),36848620459)</f>
        <v>36848620459</v>
      </c>
      <c r="P25" s="30" t="str">
        <f>IFERROR(__xludf.DUMMYFUNCTION("""COMPUTED_VALUE"""),"980016000926842")</f>
        <v>980016000926842</v>
      </c>
      <c r="Q25" s="30" t="str">
        <f>IFERROR(__xludf.DUMMYFUNCTION("""COMPUTED_VALUE"""),"3007995")</f>
        <v>3007995</v>
      </c>
      <c r="R25" s="30" t="str">
        <f>IFERROR(__xludf.DUMMYFUNCTION("""COMPUTED_VALUE"""),"0001846264	")</f>
        <v>0001846264	</v>
      </c>
      <c r="S25" s="30" t="str">
        <f>IFERROR(__xludf.DUMMYFUNCTION("""COMPUTED_VALUE"""),"1")</f>
        <v>1</v>
      </c>
      <c r="T25" s="30" t="str">
        <f>IFERROR(__xludf.DUMMYFUNCTION("""COMPUTED_VALUE"""),"223293")</f>
        <v>223293</v>
      </c>
      <c r="U25" s="31">
        <f>IFERROR(__xludf.DUMMYFUNCTION("""COMPUTED_VALUE"""),2232)</f>
        <v>2232</v>
      </c>
      <c r="V25" s="11"/>
      <c r="W25" s="11"/>
      <c r="X25" s="11"/>
      <c r="Y25" s="11"/>
      <c r="Z25" s="11"/>
    </row>
    <row r="26" customHeight="1" spans="1:26">
      <c r="A26" s="11" t="str">
        <f>IFERROR(__xludf.DUMMYFUNCTION("""COMPUTED_VALUE"""),"IVANELLE KAROLINE SANTANA VILACA")</f>
        <v>IVANELLE KAROLINE SANTANA VILACA</v>
      </c>
      <c r="B26" s="11"/>
      <c r="C26" s="11"/>
      <c r="D26" s="11" t="str">
        <f>IFERROR(__xludf.DUMMYFUNCTION("""COMPUTED_VALUE"""),"Enfermeira eSF")</f>
        <v>Enfermeira eSF</v>
      </c>
      <c r="E26" s="11" t="str">
        <f>IFERROR(__xludf.DUMMYFUNCTION("""COMPUTED_VALUE"""),"VI")</f>
        <v>VI</v>
      </c>
      <c r="F26" s="11" t="str">
        <f>IFERROR(__xludf.DUMMYFUNCTION("""COMPUTED_VALUE"""),"US_296 USF COQUEIRAL IMBIRIBEIRA")</f>
        <v>US_296 USF COQUEIRAL IMBIRIBEIRA</v>
      </c>
      <c r="G26" s="11" t="str">
        <f>IFERROR(__xludf.DUMMYFUNCTION("""COMPUTED_VALUE"""),"US 296 USF COQUEIRAL IMBIRIBEIRA")</f>
        <v>US 296 USF COQUEIRAL IMBIRIBEIRA</v>
      </c>
      <c r="H26" s="27">
        <f>IFERROR(__xludf.DUMMYFUNCTION("""COMPUTED_VALUE"""),81985075128)</f>
        <v>81985075128</v>
      </c>
      <c r="I26" s="11"/>
      <c r="J26" s="11"/>
      <c r="K26" s="11"/>
      <c r="L26" s="11"/>
      <c r="M26" s="28" t="str">
        <f>IFERROR(__xludf.DUMMYFUNCTION("""COMPUTED_VALUE"""),"3355-6103")</f>
        <v>3355-6103</v>
      </c>
      <c r="N26" s="11" t="str">
        <f>IFERROR(__xludf.DUMMYFUNCTION("""COMPUTED_VALUE"""),"ivanelle@hotmail.com")</f>
        <v>ivanelle@hotmail.com</v>
      </c>
      <c r="O26" s="29">
        <f>IFERROR(__xludf.DUMMYFUNCTION("""COMPUTED_VALUE"""),766016412)</f>
        <v>766016412</v>
      </c>
      <c r="P26" s="30" t="str">
        <f>IFERROR(__xludf.DUMMYFUNCTION("""COMPUTED_VALUE"""),"980016000517101")</f>
        <v>980016000517101</v>
      </c>
      <c r="Q26" s="30" t="str">
        <f>IFERROR(__xludf.DUMMYFUNCTION("""COMPUTED_VALUE"""),"3153584")</f>
        <v>3153584</v>
      </c>
      <c r="R26" s="30" t="str">
        <f>IFERROR(__xludf.DUMMYFUNCTION("""COMPUTED_VALUE"""),"0000155195")</f>
        <v>0000155195</v>
      </c>
      <c r="S26" s="30" t="str">
        <f>IFERROR(__xludf.DUMMYFUNCTION("""COMPUTED_VALUE"""),"1")</f>
        <v>1</v>
      </c>
      <c r="T26" s="30" t="str">
        <f>IFERROR(__xludf.DUMMYFUNCTION("""COMPUTED_VALUE"""),"223565")</f>
        <v>223565</v>
      </c>
      <c r="U26" s="31" t="str">
        <f>IFERROR(__xludf.DUMMYFUNCTION("""COMPUTED_VALUE"""),"2235")</f>
        <v>2235</v>
      </c>
      <c r="V26" s="11"/>
      <c r="W26" s="11">
        <f>IFERROR(__xludf.DUMMYFUNCTION("""COMPUTED_VALUE"""),85075128)</f>
        <v>85075128</v>
      </c>
      <c r="X26" s="11"/>
      <c r="Y26" s="11">
        <f>IFERROR(__xludf.DUMMYFUNCTION("""COMPUTED_VALUE"""),766016412)</f>
        <v>766016412</v>
      </c>
      <c r="Z26" s="11"/>
    </row>
    <row r="27" customHeight="1" spans="1:26">
      <c r="A27" s="11" t="str">
        <f>IFERROR(__xludf.DUMMYFUNCTION("""COMPUTED_VALUE"""),"LIVIA CARINA XAVIER DE ALMEIDA")</f>
        <v>LIVIA CARINA XAVIER DE ALMEIDA</v>
      </c>
      <c r="B27" s="11"/>
      <c r="C27" s="11"/>
      <c r="D27" s="11" t="str">
        <f>IFERROR(__xludf.DUMMYFUNCTION("""COMPUTED_VALUE"""),"Médica eSF")</f>
        <v>Médica eSF</v>
      </c>
      <c r="E27" s="11" t="str">
        <f>IFERROR(__xludf.DUMMYFUNCTION("""COMPUTED_VALUE"""),"VI")</f>
        <v>VI</v>
      </c>
      <c r="F27" s="11" t="str">
        <f>IFERROR(__xludf.DUMMYFUNCTION("""COMPUTED_VALUE"""),"US_296 USF COQUEIRAL IMBIRIBEIRA")</f>
        <v>US_296 USF COQUEIRAL IMBIRIBEIRA</v>
      </c>
      <c r="G27" s="11" t="str">
        <f>IFERROR(__xludf.DUMMYFUNCTION("""COMPUTED_VALUE"""),"US 296 USF COQUEIRAL IMBIRIBEIRA")</f>
        <v>US 296 USF COQUEIRAL IMBIRIBEIRA</v>
      </c>
      <c r="H27" s="27">
        <f>IFERROR(__xludf.DUMMYFUNCTION("""COMPUTED_VALUE"""),81991383482)</f>
        <v>81991383482</v>
      </c>
      <c r="I27" s="27">
        <f>IFERROR(__xludf.DUMMYFUNCTION("""COMPUTED_VALUE"""),81986789145)</f>
        <v>81986789145</v>
      </c>
      <c r="J27" s="11"/>
      <c r="K27" s="24">
        <f>IFERROR(__xludf.DUMMYFUNCTION("""COMPUTED_VALUE"""),45152)</f>
        <v>45152</v>
      </c>
      <c r="L27" s="11"/>
      <c r="M27" s="28" t="str">
        <f>IFERROR(__xludf.DUMMYFUNCTION("""COMPUTED_VALUE"""),"3355-6103")</f>
        <v>3355-6103</v>
      </c>
      <c r="N27" s="11" t="str">
        <f>IFERROR(__xludf.DUMMYFUNCTION("""COMPUTED_VALUE"""),"lcarinaxavier@yahoo.com.br")</f>
        <v>lcarinaxavier@yahoo.com.br</v>
      </c>
      <c r="O27" s="29">
        <f>IFERROR(__xludf.DUMMYFUNCTION("""COMPUTED_VALUE"""),79572049453)</f>
        <v>79572049453</v>
      </c>
      <c r="P27" s="30" t="str">
        <f>IFERROR(__xludf.DUMMYFUNCTION("""COMPUTED_VALUE"""),"190021528600004")</f>
        <v>190021528600004</v>
      </c>
      <c r="Q27" s="30" t="str">
        <f>IFERROR(__xludf.DUMMYFUNCTION("""COMPUTED_VALUE"""),"3153584")</f>
        <v>3153584</v>
      </c>
      <c r="R27" s="30" t="str">
        <f>IFERROR(__xludf.DUMMYFUNCTION("""COMPUTED_VALUE"""),"0000155195")</f>
        <v>0000155195</v>
      </c>
      <c r="S27" s="30" t="str">
        <f>IFERROR(__xludf.DUMMYFUNCTION("""COMPUTED_VALUE"""),"1")</f>
        <v>1</v>
      </c>
      <c r="T27" s="30" t="str">
        <f>IFERROR(__xludf.DUMMYFUNCTION("""COMPUTED_VALUE"""),"225142")</f>
        <v>225142</v>
      </c>
      <c r="U27" s="31" t="str">
        <f>IFERROR(__xludf.DUMMYFUNCTION("""COMPUTED_VALUE"""),"2251")</f>
        <v>2251</v>
      </c>
      <c r="V27" s="11"/>
      <c r="W27" s="11"/>
      <c r="X27" s="11">
        <f>IFERROR(__xludf.DUMMYFUNCTION("""COMPUTED_VALUE"""),91383482)</f>
        <v>91383482</v>
      </c>
      <c r="Y27" s="11">
        <f>IFERROR(__xludf.DUMMYFUNCTION("""COMPUTED_VALUE"""),86789145)</f>
        <v>86789145</v>
      </c>
      <c r="Z27" s="11">
        <f>IFERROR(__xludf.DUMMYFUNCTION("""COMPUTED_VALUE"""),79572049453)</f>
        <v>79572049453</v>
      </c>
    </row>
    <row r="28" customHeight="1" spans="1:26">
      <c r="A28" s="11" t="str">
        <f>IFERROR(__xludf.DUMMYFUNCTION("""COMPUTED_VALUE"""),"ADELMO DIAS DE AMORIM")</f>
        <v>ADELMO DIAS DE AMORIM</v>
      </c>
      <c r="B28" s="11"/>
      <c r="C28" s="11"/>
      <c r="D28" s="11" t="str">
        <f>IFERROR(__xludf.DUMMYFUNCTION("""COMPUTED_VALUE"""),"Dentista")</f>
        <v>Dentista</v>
      </c>
      <c r="E28" s="11" t="str">
        <f>IFERROR(__xludf.DUMMYFUNCTION("""COMPUTED_VALUE"""),"VI")</f>
        <v>VI</v>
      </c>
      <c r="F28" s="11" t="str">
        <f>IFERROR(__xludf.DUMMYFUNCTION("""COMPUTED_VALUE"""),"US_297 USF DO PINA -  JOAO RODRIGUES")</f>
        <v>US_297 USF DO PINA -  JOAO RODRIGUES</v>
      </c>
      <c r="G28" s="11" t="str">
        <f>IFERROR(__xludf.DUMMYFUNCTION("""COMPUTED_VALUE"""),"US 297 USF DO PINA")</f>
        <v>US 297 USF DO PINA</v>
      </c>
      <c r="H28" s="27">
        <f>IFERROR(__xludf.DUMMYFUNCTION("""COMPUTED_VALUE"""),81987504072)</f>
        <v>81987504072</v>
      </c>
      <c r="I28" s="11"/>
      <c r="J28" s="11"/>
      <c r="K28" s="11"/>
      <c r="L28" s="11"/>
      <c r="M28" s="28" t="str">
        <f>IFERROR(__xludf.DUMMYFUNCTION("""COMPUTED_VALUE"""),"3355-4686")</f>
        <v>3355-4686</v>
      </c>
      <c r="N28" s="11" t="str">
        <f>IFERROR(__xludf.DUMMYFUNCTION("""COMPUTED_VALUE"""),"amorim.adelmo@gmail.com")</f>
        <v>amorim.adelmo@gmail.com</v>
      </c>
      <c r="O28" s="29">
        <f>IFERROR(__xludf.DUMMYFUNCTION("""COMPUTED_VALUE"""),10205543472)</f>
        <v>10205543472</v>
      </c>
      <c r="P28" s="30" t="str">
        <f>IFERROR(__xludf.DUMMYFUNCTION("""COMPUTED_VALUE"""),"708600583973382	")</f>
        <v>708600583973382	</v>
      </c>
      <c r="Q28" s="30" t="str">
        <f>IFERROR(__xludf.DUMMYFUNCTION("""COMPUTED_VALUE"""),"3153568")</f>
        <v>3153568</v>
      </c>
      <c r="R28" s="30" t="str">
        <f>IFERROR(__xludf.DUMMYFUNCTION("""COMPUTED_VALUE"""),"0001889389")</f>
        <v>0001889389</v>
      </c>
      <c r="S28" s="30" t="str">
        <f>IFERROR(__xludf.DUMMYFUNCTION("""COMPUTED_VALUE"""),"1")</f>
        <v>1</v>
      </c>
      <c r="T28" s="30" t="str">
        <f>IFERROR(__xludf.DUMMYFUNCTION("""COMPUTED_VALUE"""),"223293")</f>
        <v>223293</v>
      </c>
      <c r="U28" s="31">
        <f>IFERROR(__xludf.DUMMYFUNCTION("""COMPUTED_VALUE"""),2232)</f>
        <v>2232</v>
      </c>
      <c r="V28" s="11"/>
      <c r="W28" s="11"/>
      <c r="X28" s="11"/>
      <c r="Y28" s="11"/>
      <c r="Z28" s="11"/>
    </row>
    <row r="29" customHeight="1" spans="1:26">
      <c r="A29" s="11" t="str">
        <f>IFERROR(__xludf.DUMMYFUNCTION("""COMPUTED_VALUE"""),"ISABELLE MARIA VIEIRA DE ALMEIDA")</f>
        <v>ISABELLE MARIA VIEIRA DE ALMEIDA</v>
      </c>
      <c r="B29" s="11"/>
      <c r="C29" s="11"/>
      <c r="D29" s="11" t="str">
        <f>IFERROR(__xludf.DUMMYFUNCTION("""COMPUTED_VALUE"""),"Enfermeira eSF")</f>
        <v>Enfermeira eSF</v>
      </c>
      <c r="E29" s="11" t="str">
        <f>IFERROR(__xludf.DUMMYFUNCTION("""COMPUTED_VALUE"""),"VI")</f>
        <v>VI</v>
      </c>
      <c r="F29" s="11" t="str">
        <f>IFERROR(__xludf.DUMMYFUNCTION("""COMPUTED_VALUE"""),"US_297 USF DO PINA -  JOAO RODRIGUES")</f>
        <v>US_297 USF DO PINA -  JOAO RODRIGUES</v>
      </c>
      <c r="G29" s="11" t="str">
        <f>IFERROR(__xludf.DUMMYFUNCTION("""COMPUTED_VALUE"""),"US 297 USF DO PINA")</f>
        <v>US 297 USF DO PINA</v>
      </c>
      <c r="H29" s="27">
        <f>IFERROR(__xludf.DUMMYFUNCTION("""COMPUTED_VALUE"""),81988371491)</f>
        <v>81988371491</v>
      </c>
      <c r="I29" s="11"/>
      <c r="J29" s="11"/>
      <c r="K29" s="11"/>
      <c r="L29" s="11"/>
      <c r="M29" s="28" t="str">
        <f>IFERROR(__xludf.DUMMYFUNCTION("""COMPUTED_VALUE"""),"3355-4686")</f>
        <v>3355-4686</v>
      </c>
      <c r="N29" s="11" t="str">
        <f>IFERROR(__xludf.DUMMYFUNCTION("""COMPUTED_VALUE"""),"belle.almeida@bol.com.br")</f>
        <v>belle.almeida@bol.com.br</v>
      </c>
      <c r="O29" s="29">
        <f>IFERROR(__xludf.DUMMYFUNCTION("""COMPUTED_VALUE"""),4822526429)</f>
        <v>4822526429</v>
      </c>
      <c r="P29" s="30" t="str">
        <f>IFERROR(__xludf.DUMMYFUNCTION("""COMPUTED_VALUE"""),"980016283727978")</f>
        <v>980016283727978</v>
      </c>
      <c r="Q29" s="30" t="str">
        <f>IFERROR(__xludf.DUMMYFUNCTION("""COMPUTED_VALUE"""),"3153568")</f>
        <v>3153568</v>
      </c>
      <c r="R29" s="30" t="str">
        <f>IFERROR(__xludf.DUMMYFUNCTION("""COMPUTED_VALUE"""),"0000155179")</f>
        <v>0000155179</v>
      </c>
      <c r="S29" s="30" t="str">
        <f>IFERROR(__xludf.DUMMYFUNCTION("""COMPUTED_VALUE"""),"1")</f>
        <v>1</v>
      </c>
      <c r="T29" s="30" t="str">
        <f>IFERROR(__xludf.DUMMYFUNCTION("""COMPUTED_VALUE"""),"223565")</f>
        <v>223565</v>
      </c>
      <c r="U29" s="31" t="str">
        <f>IFERROR(__xludf.DUMMYFUNCTION("""COMPUTED_VALUE"""),"2235")</f>
        <v>2235</v>
      </c>
      <c r="V29" s="11"/>
      <c r="W29" s="11">
        <f>IFERROR(__xludf.DUMMYFUNCTION("""COMPUTED_VALUE"""),8188371491)</f>
        <v>8188371491</v>
      </c>
      <c r="X29" s="11"/>
      <c r="Y29" s="11">
        <f>IFERROR(__xludf.DUMMYFUNCTION("""COMPUTED_VALUE"""),4822526429)</f>
        <v>4822526429</v>
      </c>
      <c r="Z29" s="11"/>
    </row>
    <row r="30" customHeight="1" spans="1:26">
      <c r="A30" s="11" t="str">
        <f>IFERROR(__xludf.DUMMYFUNCTION("""COMPUTED_VALUE"""),"MARGARIDA MARIA BIANCHI PARAHYBA")</f>
        <v>MARGARIDA MARIA BIANCHI PARAHYBA</v>
      </c>
      <c r="B30" s="11" t="str">
        <f>IFERROR(__xludf.DUMMYFUNCTION("""COMPUTED_VALUE"""),"AFASTADA SEM PREVISÃO DE RETORNO")</f>
        <v>AFASTADA SEM PREVISÃO DE RETORNO</v>
      </c>
      <c r="C30" s="11"/>
      <c r="D30" s="11" t="str">
        <f>IFERROR(__xludf.DUMMYFUNCTION("""COMPUTED_VALUE"""),"Médica eSF")</f>
        <v>Médica eSF</v>
      </c>
      <c r="E30" s="11" t="str">
        <f>IFERROR(__xludf.DUMMYFUNCTION("""COMPUTED_VALUE"""),"VI")</f>
        <v>VI</v>
      </c>
      <c r="F30" s="11" t="str">
        <f>IFERROR(__xludf.DUMMYFUNCTION("""COMPUTED_VALUE"""),"US_297 USF DO PINA -  JOAO RODRIGUES")</f>
        <v>US_297 USF DO PINA -  JOAO RODRIGUES</v>
      </c>
      <c r="G30" s="11" t="str">
        <f>IFERROR(__xludf.DUMMYFUNCTION("""COMPUTED_VALUE"""),"US 297 USF DO PINA")</f>
        <v>US 297 USF DO PINA</v>
      </c>
      <c r="H30" s="27">
        <f>IFERROR(__xludf.DUMMYFUNCTION("""COMPUTED_VALUE"""),81991135359)</f>
        <v>81991135359</v>
      </c>
      <c r="I30" s="11"/>
      <c r="J30" s="11"/>
      <c r="K30" s="11"/>
      <c r="L30" s="11"/>
      <c r="M30" s="28" t="str">
        <f>IFERROR(__xludf.DUMMYFUNCTION("""COMPUTED_VALUE"""),"3355-4686")</f>
        <v>3355-4686</v>
      </c>
      <c r="N30" s="11" t="str">
        <f>IFERROR(__xludf.DUMMYFUNCTION("""COMPUTED_VALUE"""),"margotbianchi15@hotmail.com")</f>
        <v>margotbianchi15@hotmail.com</v>
      </c>
      <c r="O30" s="29">
        <f>IFERROR(__xludf.DUMMYFUNCTION("""COMPUTED_VALUE"""),16938437491)</f>
        <v>16938437491</v>
      </c>
      <c r="P30" s="30" t="str">
        <f>IFERROR(__xludf.DUMMYFUNCTION("""COMPUTED_VALUE"""),"980016000637719")</f>
        <v>980016000637719</v>
      </c>
      <c r="Q30" s="30" t="str">
        <f>IFERROR(__xludf.DUMMYFUNCTION("""COMPUTED_VALUE"""),"3153568")</f>
        <v>3153568</v>
      </c>
      <c r="R30" s="30" t="str">
        <f>IFERROR(__xludf.DUMMYFUNCTION("""COMPUTED_VALUE"""),"0000155160")</f>
        <v>0000155160</v>
      </c>
      <c r="S30" s="30" t="str">
        <f>IFERROR(__xludf.DUMMYFUNCTION("""COMPUTED_VALUE"""),"1")</f>
        <v>1</v>
      </c>
      <c r="T30" s="30" t="str">
        <f>IFERROR(__xludf.DUMMYFUNCTION("""COMPUTED_VALUE"""),"225142")</f>
        <v>225142</v>
      </c>
      <c r="U30" s="31" t="str">
        <f>IFERROR(__xludf.DUMMYFUNCTION("""COMPUTED_VALUE"""),"2251")</f>
        <v>2251</v>
      </c>
      <c r="V30" s="11"/>
      <c r="W30" s="11"/>
      <c r="X30" s="11" t="str">
        <f>IFERROR(__xludf.DUMMYFUNCTION("""COMPUTED_VALUE"""),"#N/A")</f>
        <v>#N/A</v>
      </c>
      <c r="Y30" s="11" t="str">
        <f>IFERROR(__xludf.DUMMYFUNCTION("""COMPUTED_VALUE"""),"#N/A")</f>
        <v>#N/A</v>
      </c>
      <c r="Z30" s="11" t="str">
        <f>IFERROR(__xludf.DUMMYFUNCTION("""COMPUTED_VALUE"""),"#N/A")</f>
        <v>#N/A</v>
      </c>
    </row>
    <row r="31" customHeight="1" spans="1:26">
      <c r="A31" s="11" t="str">
        <f>IFERROR(__xludf.DUMMYFUNCTION("""COMPUTED_VALUE"""),"MARIA APARECIDA RIBEIRO DE FREITAS")</f>
        <v>MARIA APARECIDA RIBEIRO DE FREITAS</v>
      </c>
      <c r="B31" s="11"/>
      <c r="C31" s="11"/>
      <c r="D31" s="11" t="str">
        <f>IFERROR(__xludf.DUMMYFUNCTION("""COMPUTED_VALUE"""),"Enfermeira eSF")</f>
        <v>Enfermeira eSF</v>
      </c>
      <c r="E31" s="11" t="str">
        <f>IFERROR(__xludf.DUMMYFUNCTION("""COMPUTED_VALUE"""),"VI")</f>
        <v>VI</v>
      </c>
      <c r="F31" s="11" t="str">
        <f>IFERROR(__xludf.DUMMYFUNCTION("""COMPUTED_VALUE"""),"US_297 USF DO PINA -  JOAO RODRIGUES")</f>
        <v>US_297 USF DO PINA -  JOAO RODRIGUES</v>
      </c>
      <c r="G31" s="11" t="str">
        <f>IFERROR(__xludf.DUMMYFUNCTION("""COMPUTED_VALUE"""),"US 297 USF DO PINA")</f>
        <v>US 297 USF DO PINA</v>
      </c>
      <c r="H31" s="27">
        <f>IFERROR(__xludf.DUMMYFUNCTION("""COMPUTED_VALUE"""),81999480248)</f>
        <v>81999480248</v>
      </c>
      <c r="I31" s="11"/>
      <c r="J31" s="11"/>
      <c r="K31" s="11"/>
      <c r="L31" s="11"/>
      <c r="M31" s="28" t="str">
        <f>IFERROR(__xludf.DUMMYFUNCTION("""COMPUTED_VALUE"""),"3355-4686")</f>
        <v>3355-4686</v>
      </c>
      <c r="N31" s="11" t="str">
        <f>IFERROR(__xludf.DUMMYFUNCTION("""COMPUTED_VALUE"""),"cidafreitas500@hotmail.com")</f>
        <v>cidafreitas500@hotmail.com</v>
      </c>
      <c r="O31" s="29">
        <f>IFERROR(__xludf.DUMMYFUNCTION("""COMPUTED_VALUE"""),12908045400)</f>
        <v>12908045400</v>
      </c>
      <c r="P31" s="30" t="str">
        <f>IFERROR(__xludf.DUMMYFUNCTION("""COMPUTED_VALUE"""),"980016000896714")</f>
        <v>980016000896714</v>
      </c>
      <c r="Q31" s="30" t="str">
        <f>IFERROR(__xludf.DUMMYFUNCTION("""COMPUTED_VALUE"""),"3153568")</f>
        <v>3153568</v>
      </c>
      <c r="R31" s="30" t="str">
        <f>IFERROR(__xludf.DUMMYFUNCTION("""COMPUTED_VALUE"""),"0000155152")</f>
        <v>0000155152</v>
      </c>
      <c r="S31" s="30" t="str">
        <f>IFERROR(__xludf.DUMMYFUNCTION("""COMPUTED_VALUE"""),"1")</f>
        <v>1</v>
      </c>
      <c r="T31" s="30" t="str">
        <f>IFERROR(__xludf.DUMMYFUNCTION("""COMPUTED_VALUE"""),"223565")</f>
        <v>223565</v>
      </c>
      <c r="U31" s="31" t="str">
        <f>IFERROR(__xludf.DUMMYFUNCTION("""COMPUTED_VALUE"""),"2235")</f>
        <v>2235</v>
      </c>
      <c r="V31" s="11"/>
      <c r="W31" s="32">
        <f>IFERROR(__xludf.DUMMYFUNCTION("""COMPUTED_VALUE"""),8199480248)</f>
        <v>8199480248</v>
      </c>
      <c r="X31" s="11"/>
      <c r="Y31" s="11">
        <f>IFERROR(__xludf.DUMMYFUNCTION("""COMPUTED_VALUE"""),12908045400)</f>
        <v>12908045400</v>
      </c>
      <c r="Z31" s="11"/>
    </row>
    <row r="32" customHeight="1" spans="1:26">
      <c r="A32" s="11" t="str">
        <f>IFERROR(__xludf.DUMMYFUNCTION("""COMPUTED_VALUE"""),"ANA FABRICIA MORAIS")</f>
        <v>ANA FABRICIA MORAIS</v>
      </c>
      <c r="B32" s="11"/>
      <c r="C32" s="11"/>
      <c r="D32" s="11" t="str">
        <f>IFERROR(__xludf.DUMMYFUNCTION("""COMPUTED_VALUE"""),"Enfermeira eSF")</f>
        <v>Enfermeira eSF</v>
      </c>
      <c r="E32" s="11" t="str">
        <f>IFERROR(__xludf.DUMMYFUNCTION("""COMPUTED_VALUE"""),"VI")</f>
        <v>VI</v>
      </c>
      <c r="F32" s="11" t="str">
        <f>IFERROR(__xludf.DUMMYFUNCTION("""COMPUTED_VALUE"""),"US_316 USF BERNARD VAN LEER")</f>
        <v>US_316 USF BERNARD VAN LEER</v>
      </c>
      <c r="G32" s="11" t="str">
        <f>IFERROR(__xludf.DUMMYFUNCTION("""COMPUTED_VALUE"""),"US 316 USF BERNARD VAN LEER")</f>
        <v>US 316 USF BERNARD VAN LEER</v>
      </c>
      <c r="H32" s="27">
        <f>IFERROR(__xludf.DUMMYFUNCTION("""COMPUTED_VALUE"""),81986899061)</f>
        <v>81986899061</v>
      </c>
      <c r="I32" s="27">
        <f>IFERROR(__xludf.DUMMYFUNCTION("""COMPUTED_VALUE"""),81997205323)</f>
        <v>81997205323</v>
      </c>
      <c r="J32" s="11"/>
      <c r="K32" s="11"/>
      <c r="L32" s="11"/>
      <c r="M32" s="28" t="str">
        <f>IFERROR(__xludf.DUMMYFUNCTION("""COMPUTED_VALUE"""),"3355-6406")</f>
        <v>3355-6406</v>
      </c>
      <c r="N32" s="11" t="str">
        <f>IFERROR(__xludf.DUMMYFUNCTION("""COMPUTED_VALUE"""),"anafabriciamorais@live.com")</f>
        <v>anafabriciamorais@live.com</v>
      </c>
      <c r="O32" s="29">
        <f>IFERROR(__xludf.DUMMYFUNCTION("""COMPUTED_VALUE"""),2587302420)</f>
        <v>2587302420</v>
      </c>
      <c r="P32" s="30" t="str">
        <f>IFERROR(__xludf.DUMMYFUNCTION("""COMPUTED_VALUE"""),"980016283036533")</f>
        <v>980016283036533</v>
      </c>
      <c r="Q32" s="30" t="str">
        <f>IFERROR(__xludf.DUMMYFUNCTION("""COMPUTED_VALUE"""),"3562581")</f>
        <v>3562581</v>
      </c>
      <c r="R32" s="30" t="str">
        <f>IFERROR(__xludf.DUMMYFUNCTION("""COMPUTED_VALUE"""),"0000155500")</f>
        <v>0000155500</v>
      </c>
      <c r="S32" s="30" t="str">
        <f>IFERROR(__xludf.DUMMYFUNCTION("""COMPUTED_VALUE"""),"1")</f>
        <v>1</v>
      </c>
      <c r="T32" s="30" t="str">
        <f>IFERROR(__xludf.DUMMYFUNCTION("""COMPUTED_VALUE"""),"223565")</f>
        <v>223565</v>
      </c>
      <c r="U32" s="31" t="str">
        <f>IFERROR(__xludf.DUMMYFUNCTION("""COMPUTED_VALUE"""),"2235")</f>
        <v>2235</v>
      </c>
      <c r="V32" s="11"/>
      <c r="W32" s="11">
        <f>IFERROR(__xludf.DUMMYFUNCTION("""COMPUTED_VALUE"""),8186899061)</f>
        <v>8186899061</v>
      </c>
      <c r="X32" s="11">
        <f>IFERROR(__xludf.DUMMYFUNCTION("""COMPUTED_VALUE"""),8197205323)</f>
        <v>8197205323</v>
      </c>
      <c r="Y32" s="11">
        <f>IFERROR(__xludf.DUMMYFUNCTION("""COMPUTED_VALUE"""),2587302420)</f>
        <v>2587302420</v>
      </c>
      <c r="Z32" s="11"/>
    </row>
    <row r="33" customHeight="1" spans="1:26">
      <c r="A33" s="11" t="str">
        <f>IFERROR(__xludf.DUMMYFUNCTION("""COMPUTED_VALUE"""),"BRUNO MATIAS DE SIQUEIRA")</f>
        <v>BRUNO MATIAS DE SIQUEIRA</v>
      </c>
      <c r="B33" s="11"/>
      <c r="C33" s="11"/>
      <c r="D33" s="11" t="str">
        <f>IFERROR(__xludf.DUMMYFUNCTION("""COMPUTED_VALUE"""),"Enfermeira eSF")</f>
        <v>Enfermeira eSF</v>
      </c>
      <c r="E33" s="11" t="str">
        <f>IFERROR(__xludf.DUMMYFUNCTION("""COMPUTED_VALUE"""),"VI")</f>
        <v>VI</v>
      </c>
      <c r="F33" s="11" t="str">
        <f>IFERROR(__xludf.DUMMYFUNCTION("""COMPUTED_VALUE"""),"US_316 USF BERNARD VAN LEER")</f>
        <v>US_316 USF BERNARD VAN LEER</v>
      </c>
      <c r="G33" s="11" t="str">
        <f>IFERROR(__xludf.DUMMYFUNCTION("""COMPUTED_VALUE"""),"US 316 USF BERNARD VAN LEER")</f>
        <v>US 316 USF BERNARD VAN LEER</v>
      </c>
      <c r="H33" s="27">
        <f>IFERROR(__xludf.DUMMYFUNCTION("""COMPUTED_VALUE"""),81999988812)</f>
        <v>81999988812</v>
      </c>
      <c r="I33" s="27">
        <f>IFERROR(__xludf.DUMMYFUNCTION("""COMPUTED_VALUE"""),81999922278)</f>
        <v>81999922278</v>
      </c>
      <c r="J33" s="11"/>
      <c r="K33" s="11"/>
      <c r="L33" s="11"/>
      <c r="M33" s="28" t="str">
        <f>IFERROR(__xludf.DUMMYFUNCTION("""COMPUTED_VALUE"""),"3355-6406")</f>
        <v>3355-6406</v>
      </c>
      <c r="N33" s="11" t="str">
        <f>IFERROR(__xludf.DUMMYFUNCTION("""COMPUTED_VALUE"""),"bruno0578@hotmail.com")</f>
        <v>bruno0578@hotmail.com</v>
      </c>
      <c r="O33" s="29">
        <f>IFERROR(__xludf.DUMMYFUNCTION("""COMPUTED_VALUE"""),2437247483)</f>
        <v>2437247483</v>
      </c>
      <c r="P33" s="30" t="str">
        <f>IFERROR(__xludf.DUMMYFUNCTION("""COMPUTED_VALUE"""),"980016283035251")</f>
        <v>980016283035251</v>
      </c>
      <c r="Q33" s="30" t="str">
        <f>IFERROR(__xludf.DUMMYFUNCTION("""COMPUTED_VALUE"""),"3562581")</f>
        <v>3562581</v>
      </c>
      <c r="R33" s="30" t="str">
        <f>IFERROR(__xludf.DUMMYFUNCTION("""COMPUTED_VALUE"""),"0000155543")</f>
        <v>0000155543</v>
      </c>
      <c r="S33" s="30" t="str">
        <f>IFERROR(__xludf.DUMMYFUNCTION("""COMPUTED_VALUE"""),"1")</f>
        <v>1</v>
      </c>
      <c r="T33" s="30" t="str">
        <f>IFERROR(__xludf.DUMMYFUNCTION("""COMPUTED_VALUE"""),"223565")</f>
        <v>223565</v>
      </c>
      <c r="U33" s="31" t="str">
        <f>IFERROR(__xludf.DUMMYFUNCTION("""COMPUTED_VALUE"""),"2235")</f>
        <v>2235</v>
      </c>
      <c r="V33" s="11"/>
      <c r="W33" s="11">
        <f>IFERROR(__xludf.DUMMYFUNCTION("""COMPUTED_VALUE"""),8199988812)</f>
        <v>8199988812</v>
      </c>
      <c r="X33" s="11"/>
      <c r="Y33" s="11">
        <f>IFERROR(__xludf.DUMMYFUNCTION("""COMPUTED_VALUE"""),2437247483)</f>
        <v>2437247483</v>
      </c>
      <c r="Z33" s="11"/>
    </row>
    <row r="34" customHeight="1" spans="1:26">
      <c r="A34" s="11" t="str">
        <f>IFERROR(__xludf.DUMMYFUNCTION("""COMPUTED_VALUE"""),"EMILIA MARIA CARVALHO FEITOSA")</f>
        <v>EMILIA MARIA CARVALHO FEITOSA</v>
      </c>
      <c r="B34" s="11"/>
      <c r="C34" s="11"/>
      <c r="D34" s="11" t="str">
        <f>IFERROR(__xludf.DUMMYFUNCTION("""COMPUTED_VALUE"""),"Médica eSF")</f>
        <v>Médica eSF</v>
      </c>
      <c r="E34" s="11" t="str">
        <f>IFERROR(__xludf.DUMMYFUNCTION("""COMPUTED_VALUE"""),"VI")</f>
        <v>VI</v>
      </c>
      <c r="F34" s="11" t="str">
        <f>IFERROR(__xludf.DUMMYFUNCTION("""COMPUTED_VALUE"""),"US_316 USF BERNARD VAN LEER")</f>
        <v>US_316 USF BERNARD VAN LEER</v>
      </c>
      <c r="G34" s="11" t="str">
        <f>IFERROR(__xludf.DUMMYFUNCTION("""COMPUTED_VALUE"""),"US 316 USF BERNARD VAN LEER")</f>
        <v>US 316 USF BERNARD VAN LEER</v>
      </c>
      <c r="H34" s="27">
        <f>IFERROR(__xludf.DUMMYFUNCTION("""COMPUTED_VALUE"""),81985707969)</f>
        <v>81985707969</v>
      </c>
      <c r="I34" s="11"/>
      <c r="J34" s="11"/>
      <c r="K34" s="11"/>
      <c r="L34" s="11"/>
      <c r="M34" s="28" t="str">
        <f>IFERROR(__xludf.DUMMYFUNCTION("""COMPUTED_VALUE"""),"3355-6406")</f>
        <v>3355-6406</v>
      </c>
      <c r="N34" s="11" t="str">
        <f>IFERROR(__xludf.DUMMYFUNCTION("""COMPUTED_VALUE"""),"emiliamcfeitosa@hotmail.com")</f>
        <v>emiliamcfeitosa@hotmail.com</v>
      </c>
      <c r="O34" s="29">
        <f>IFERROR(__xludf.DUMMYFUNCTION("""COMPUTED_VALUE"""),81952112400)</f>
        <v>81952112400</v>
      </c>
      <c r="P34" s="30" t="str">
        <f>IFERROR(__xludf.DUMMYFUNCTION("""COMPUTED_VALUE"""),"206633716640006")</f>
        <v>206633716640006</v>
      </c>
      <c r="Q34" s="30" t="str">
        <f>IFERROR(__xludf.DUMMYFUNCTION("""COMPUTED_VALUE"""),"3562581")</f>
        <v>3562581</v>
      </c>
      <c r="R34" s="30" t="str">
        <f>IFERROR(__xludf.DUMMYFUNCTION("""COMPUTED_VALUE"""),"0000155500")</f>
        <v>0000155500</v>
      </c>
      <c r="S34" s="30" t="str">
        <f>IFERROR(__xludf.DUMMYFUNCTION("""COMPUTED_VALUE"""),"1")</f>
        <v>1</v>
      </c>
      <c r="T34" s="30" t="str">
        <f>IFERROR(__xludf.DUMMYFUNCTION("""COMPUTED_VALUE"""),"225142")</f>
        <v>225142</v>
      </c>
      <c r="U34" s="31" t="str">
        <f>IFERROR(__xludf.DUMMYFUNCTION("""COMPUTED_VALUE"""),"2251")</f>
        <v>2251</v>
      </c>
      <c r="V34" s="11" t="str">
        <f>IFERROR(__xludf.DUMMYFUNCTION("""COMPUTED_VALUE"""),"SIM")</f>
        <v>SIM</v>
      </c>
      <c r="W34" s="11"/>
      <c r="X34" s="11">
        <f>IFERROR(__xludf.DUMMYFUNCTION("""COMPUTED_VALUE"""),85707969)</f>
        <v>85707969</v>
      </c>
      <c r="Y34" s="11">
        <f>IFERROR(__xludf.DUMMYFUNCTION("""COMPUTED_VALUE"""),99450463)</f>
        <v>99450463</v>
      </c>
      <c r="Z34" s="11">
        <f>IFERROR(__xludf.DUMMYFUNCTION("""COMPUTED_VALUE"""),81952112400)</f>
        <v>81952112400</v>
      </c>
    </row>
    <row r="35" customHeight="1" spans="1:26">
      <c r="A35" s="11" t="str">
        <f>IFERROR(__xludf.DUMMYFUNCTION("""COMPUTED_VALUE"""),"RAMILSON ALVES RODRIGUES")</f>
        <v>RAMILSON ALVES RODRIGUES</v>
      </c>
      <c r="B35" s="11" t="str">
        <f>IFERROR(__xludf.DUMMYFUNCTION("""COMPUTED_VALUE"""),"REFERE NÃO TER TEMPO - DISSE QUE LIGA QUANDO TIVER CASOS")</f>
        <v>REFERE NÃO TER TEMPO - DISSE QUE LIGA QUANDO TIVER CASOS</v>
      </c>
      <c r="C35" s="11"/>
      <c r="D35" s="11" t="str">
        <f>IFERROR(__xludf.DUMMYFUNCTION("""COMPUTED_VALUE"""),"Médico eSF")</f>
        <v>Médico eSF</v>
      </c>
      <c r="E35" s="11" t="str">
        <f>IFERROR(__xludf.DUMMYFUNCTION("""COMPUTED_VALUE"""),"VI")</f>
        <v>VI</v>
      </c>
      <c r="F35" s="11" t="str">
        <f>IFERROR(__xludf.DUMMYFUNCTION("""COMPUTED_VALUE"""),"US_316 USF BERNARD VAN LEER")</f>
        <v>US_316 USF BERNARD VAN LEER</v>
      </c>
      <c r="G35" s="11" t="str">
        <f>IFERROR(__xludf.DUMMYFUNCTION("""COMPUTED_VALUE"""),"US 316 USF BERNARD VAN LEER")</f>
        <v>US 316 USF BERNARD VAN LEER</v>
      </c>
      <c r="H35" s="27">
        <f>IFERROR(__xludf.DUMMYFUNCTION("""COMPUTED_VALUE"""),81992180095)</f>
        <v>81992180095</v>
      </c>
      <c r="I35" s="11"/>
      <c r="J35" s="11"/>
      <c r="K35" s="11"/>
      <c r="L35" s="11"/>
      <c r="M35" s="28" t="str">
        <f>IFERROR(__xludf.DUMMYFUNCTION("""COMPUTED_VALUE"""),"3355-6406")</f>
        <v>3355-6406</v>
      </c>
      <c r="N35" s="11" t="str">
        <f>IFERROR(__xludf.DUMMYFUNCTION("""COMPUTED_VALUE"""),"ramilson1939@yahoo.com.br")</f>
        <v>ramilson1939@yahoo.com.br</v>
      </c>
      <c r="O35" s="29">
        <f>IFERROR(__xludf.DUMMYFUNCTION("""COMPUTED_VALUE"""),496227491)</f>
        <v>496227491</v>
      </c>
      <c r="P35" s="30" t="str">
        <f>IFERROR(__xludf.DUMMYFUNCTION("""COMPUTED_VALUE"""),"100184091370018")</f>
        <v>100184091370018</v>
      </c>
      <c r="Q35" s="30" t="str">
        <f>IFERROR(__xludf.DUMMYFUNCTION("""COMPUTED_VALUE"""),"3562581")</f>
        <v>3562581</v>
      </c>
      <c r="R35" s="30" t="str">
        <f>IFERROR(__xludf.DUMMYFUNCTION("""COMPUTED_VALUE"""),"0000155527")</f>
        <v>0000155527</v>
      </c>
      <c r="S35" s="30" t="str">
        <f>IFERROR(__xludf.DUMMYFUNCTION("""COMPUTED_VALUE"""),"1")</f>
        <v>1</v>
      </c>
      <c r="T35" s="30" t="str">
        <f>IFERROR(__xludf.DUMMYFUNCTION("""COMPUTED_VALUE"""),"225142")</f>
        <v>225142</v>
      </c>
      <c r="U35" s="31" t="str">
        <f>IFERROR(__xludf.DUMMYFUNCTION("""COMPUTED_VALUE"""),"2251")</f>
        <v>2251</v>
      </c>
      <c r="V35" s="11"/>
      <c r="W35" s="11"/>
      <c r="X35" s="11" t="str">
        <f>IFERROR(__xludf.DUMMYFUNCTION("""COMPUTED_VALUE"""),"#N/A")</f>
        <v>#N/A</v>
      </c>
      <c r="Y35" s="11" t="str">
        <f>IFERROR(__xludf.DUMMYFUNCTION("""COMPUTED_VALUE"""),"#N/A")</f>
        <v>#N/A</v>
      </c>
      <c r="Z35" s="11" t="str">
        <f>IFERROR(__xludf.DUMMYFUNCTION("""COMPUTED_VALUE"""),"#N/A")</f>
        <v>#N/A</v>
      </c>
    </row>
    <row r="36" customHeight="1" spans="1:26">
      <c r="A36" s="11" t="str">
        <f>IFERROR(__xludf.DUMMYFUNCTION("""COMPUTED_VALUE"""),"MARIA DULCE MONTEIRO CAVALCANTI DE ARRUDA")</f>
        <v>MARIA DULCE MONTEIRO CAVALCANTI DE ARRUDA</v>
      </c>
      <c r="B36" s="11"/>
      <c r="C36" s="11"/>
      <c r="D36" s="11" t="str">
        <f>IFERROR(__xludf.DUMMYFUNCTION("""COMPUTED_VALUE"""),"Enfermeira eSF")</f>
        <v>Enfermeira eSF</v>
      </c>
      <c r="E36" s="11" t="str">
        <f>IFERROR(__xludf.DUMMYFUNCTION("""COMPUTED_VALUE"""),"VI")</f>
        <v>VI</v>
      </c>
      <c r="F36" s="11" t="str">
        <f>IFERROR(__xludf.DUMMYFUNCTION("""COMPUTED_VALUE"""),"US_326 USF JADER DE ANDRADE COMUNIDADE ENTRA APULSO")</f>
        <v>US_326 USF JADER DE ANDRADE COMUNIDADE ENTRA APULSO</v>
      </c>
      <c r="G36" s="11" t="str">
        <f>IFERROR(__xludf.DUMMYFUNCTION("""COMPUTED_VALUE"""),"US 326 USF JADER DE ANDRADE COMUNIDADE ENTRA APULSO")</f>
        <v>US 326 USF JADER DE ANDRADE COMUNIDADE ENTRA APULSO</v>
      </c>
      <c r="H36" s="27">
        <f>IFERROR(__xludf.DUMMYFUNCTION("""COMPUTED_VALUE"""),81999960606)</f>
        <v>81999960606</v>
      </c>
      <c r="I36" s="11"/>
      <c r="J36" s="11"/>
      <c r="K36" s="11"/>
      <c r="L36" s="11"/>
      <c r="M36" s="28" t="str">
        <f>IFERROR(__xludf.DUMMYFUNCTION("""COMPUTED_VALUE"""),"3355-4672")</f>
        <v>3355-4672</v>
      </c>
      <c r="N36" s="11" t="str">
        <f>IFERROR(__xludf.DUMMYFUNCTION("""COMPUTED_VALUE"""),"mdulcearruda@hotmail.com")</f>
        <v>mdulcearruda@hotmail.com</v>
      </c>
      <c r="O36" s="29">
        <f>IFERROR(__xludf.DUMMYFUNCTION("""COMPUTED_VALUE"""),2273422407)</f>
        <v>2273422407</v>
      </c>
      <c r="P36" s="30" t="str">
        <f>IFERROR(__xludf.DUMMYFUNCTION("""COMPUTED_VALUE"""),"128721164530003")</f>
        <v>128721164530003</v>
      </c>
      <c r="Q36" s="30" t="str">
        <f>IFERROR(__xludf.DUMMYFUNCTION("""COMPUTED_VALUE"""),"3470261")</f>
        <v>3470261</v>
      </c>
      <c r="R36" s="30" t="str">
        <f>IFERROR(__xludf.DUMMYFUNCTION("""COMPUTED_VALUE"""),"0000155497")</f>
        <v>0000155497</v>
      </c>
      <c r="S36" s="30" t="str">
        <f>IFERROR(__xludf.DUMMYFUNCTION("""COMPUTED_VALUE"""),"1")</f>
        <v>1</v>
      </c>
      <c r="T36" s="30" t="str">
        <f>IFERROR(__xludf.DUMMYFUNCTION("""COMPUTED_VALUE"""),"223565")</f>
        <v>223565</v>
      </c>
      <c r="U36" s="31" t="str">
        <f>IFERROR(__xludf.DUMMYFUNCTION("""COMPUTED_VALUE"""),"2235")</f>
        <v>2235</v>
      </c>
      <c r="V36" s="11"/>
      <c r="W36" s="11">
        <f>IFERROR(__xludf.DUMMYFUNCTION("""COMPUTED_VALUE"""),99960606)</f>
        <v>99960606</v>
      </c>
      <c r="X36" s="11">
        <f>IFERROR(__xludf.DUMMYFUNCTION("""COMPUTED_VALUE"""),33277698)</f>
        <v>33277698</v>
      </c>
      <c r="Y36" s="11">
        <f>IFERROR(__xludf.DUMMYFUNCTION("""COMPUTED_VALUE"""),2273422407)</f>
        <v>2273422407</v>
      </c>
      <c r="Z36" s="11"/>
    </row>
    <row r="37" customHeight="1" spans="1:26">
      <c r="A37" s="11" t="str">
        <f>IFERROR(__xludf.DUMMYFUNCTION("""COMPUTED_VALUE"""),"PAULA RODRIGUES DE SOUZA BARRADAS")</f>
        <v>PAULA RODRIGUES DE SOUZA BARRADAS</v>
      </c>
      <c r="B37" s="11"/>
      <c r="C37" s="11"/>
      <c r="D37" s="11" t="str">
        <f>IFERROR(__xludf.DUMMYFUNCTION("""COMPUTED_VALUE"""),"Médica eSF")</f>
        <v>Médica eSF</v>
      </c>
      <c r="E37" s="11" t="str">
        <f>IFERROR(__xludf.DUMMYFUNCTION("""COMPUTED_VALUE"""),"VI")</f>
        <v>VI</v>
      </c>
      <c r="F37" s="11" t="str">
        <f>IFERROR(__xludf.DUMMYFUNCTION("""COMPUTED_VALUE"""),"US_326 USF JADER DE ANDRADE COMUNIDADE ENTRA APULSO")</f>
        <v>US_326 USF JADER DE ANDRADE COMUNIDADE ENTRA APULSO</v>
      </c>
      <c r="G37" s="11" t="str">
        <f>IFERROR(__xludf.DUMMYFUNCTION("""COMPUTED_VALUE"""),"US 326 USF JADER DE ANDRADE COMUNIDADE ENTRA APULSO")</f>
        <v>US 326 USF JADER DE ANDRADE COMUNIDADE ENTRA APULSO</v>
      </c>
      <c r="H37" s="27">
        <f>IFERROR(__xludf.DUMMYFUNCTION("""COMPUTED_VALUE"""),81999795499)</f>
        <v>81999795499</v>
      </c>
      <c r="I37" s="11"/>
      <c r="J37" s="11"/>
      <c r="K37" s="11"/>
      <c r="L37" s="11"/>
      <c r="M37" s="28" t="str">
        <f>IFERROR(__xludf.DUMMYFUNCTION("""COMPUTED_VALUE"""),"3355-4672")</f>
        <v>3355-4672</v>
      </c>
      <c r="N37" s="11" t="str">
        <f>IFERROR(__xludf.DUMMYFUNCTION("""COMPUTED_VALUE"""),"paulabarradas2010@hotmail.com")</f>
        <v>paulabarradas2010@hotmail.com</v>
      </c>
      <c r="O37" s="29">
        <f>IFERROR(__xludf.DUMMYFUNCTION("""COMPUTED_VALUE"""),51666189120)</f>
        <v>51666189120</v>
      </c>
      <c r="P37" s="30" t="str">
        <f>IFERROR(__xludf.DUMMYFUNCTION("""COMPUTED_VALUE"""),"206633677800001")</f>
        <v>206633677800001</v>
      </c>
      <c r="Q37" s="30" t="str">
        <f>IFERROR(__xludf.DUMMYFUNCTION("""COMPUTED_VALUE"""),"3470261")</f>
        <v>3470261</v>
      </c>
      <c r="R37" s="30" t="str">
        <f>IFERROR(__xludf.DUMMYFUNCTION("""COMPUTED_VALUE"""),"0000155489")</f>
        <v>0000155489</v>
      </c>
      <c r="S37" s="30" t="str">
        <f>IFERROR(__xludf.DUMMYFUNCTION("""COMPUTED_VALUE"""),"1")</f>
        <v>1</v>
      </c>
      <c r="T37" s="30" t="str">
        <f>IFERROR(__xludf.DUMMYFUNCTION("""COMPUTED_VALUE"""),"225142")</f>
        <v>225142</v>
      </c>
      <c r="U37" s="31" t="str">
        <f>IFERROR(__xludf.DUMMYFUNCTION("""COMPUTED_VALUE"""),"2251")</f>
        <v>2251</v>
      </c>
      <c r="V37" s="11" t="str">
        <f>IFERROR(__xludf.DUMMYFUNCTION("""COMPUTED_VALUE"""),"SIM")</f>
        <v>SIM</v>
      </c>
      <c r="W37" s="11"/>
      <c r="X37" s="11">
        <f>IFERROR(__xludf.DUMMYFUNCTION("""COMPUTED_VALUE"""),8133262243)</f>
        <v>8133262243</v>
      </c>
      <c r="Y37" s="11">
        <f>IFERROR(__xludf.DUMMYFUNCTION("""COMPUTED_VALUE"""),8199795499)</f>
        <v>8199795499</v>
      </c>
      <c r="Z37" s="11">
        <f>IFERROR(__xludf.DUMMYFUNCTION("""COMPUTED_VALUE"""),51666189120)</f>
        <v>51666189120</v>
      </c>
    </row>
    <row r="38" customHeight="1" spans="1:26">
      <c r="A38" s="11" t="str">
        <f>IFERROR(__xludf.DUMMYFUNCTION("""COMPUTED_VALUE"""),"ANNA CLAUDIA LUNA LIMA")</f>
        <v>ANNA CLAUDIA LUNA LIMA</v>
      </c>
      <c r="B38" s="11"/>
      <c r="C38" s="11"/>
      <c r="D38" s="11" t="str">
        <f>IFERROR(__xludf.DUMMYFUNCTION("""COMPUTED_VALUE"""),"Enfermeira eSF")</f>
        <v>Enfermeira eSF</v>
      </c>
      <c r="E38" s="11" t="str">
        <f>IFERROR(__xludf.DUMMYFUNCTION("""COMPUTED_VALUE"""),"VI")</f>
        <v>VI</v>
      </c>
      <c r="F38" s="11" t="str">
        <f>IFERROR(__xludf.DUMMYFUNCTION("""COMPUTED_VALUE"""),"US_342 USF DJALMA HOLANDA CAVALCANTE")</f>
        <v>US_342 USF DJALMA HOLANDA CAVALCANTE</v>
      </c>
      <c r="G38" s="11" t="str">
        <f>IFERROR(__xludf.DUMMYFUNCTION("""COMPUTED_VALUE"""),"US 342 USF DJALMA HOLANDA CAVALCANTE")</f>
        <v>US 342 USF DJALMA HOLANDA CAVALCANTE</v>
      </c>
      <c r="H38" s="27">
        <f>IFERROR(__xludf.DUMMYFUNCTION("""COMPUTED_VALUE"""),81992451110)</f>
        <v>81992451110</v>
      </c>
      <c r="I38" s="11"/>
      <c r="J38" s="11"/>
      <c r="K38" s="11"/>
      <c r="L38" s="11"/>
      <c r="M38" s="28" t="str">
        <f>IFERROR(__xludf.DUMMYFUNCTION("""COMPUTED_VALUE"""),"3355-6122")</f>
        <v>3355-6122</v>
      </c>
      <c r="N38" s="11" t="str">
        <f>IFERROR(__xludf.DUMMYFUNCTION("""COMPUTED_VALUE"""),"annalunalima@yahoo.com.br")</f>
        <v>annalunalima@yahoo.com.br</v>
      </c>
      <c r="O38" s="29">
        <f>IFERROR(__xludf.DUMMYFUNCTION("""COMPUTED_VALUE"""),59313129434)</f>
        <v>59313129434</v>
      </c>
      <c r="P38" s="30" t="str">
        <f>IFERROR(__xludf.DUMMYFUNCTION("""COMPUTED_VALUE"""),"170616524950005")</f>
        <v>170616524950005</v>
      </c>
      <c r="Q38" s="30" t="str">
        <f>IFERROR(__xludf.DUMMYFUNCTION("""COMPUTED_VALUE"""),"5392136")</f>
        <v>5392136</v>
      </c>
      <c r="R38" s="30" t="str">
        <f>IFERROR(__xludf.DUMMYFUNCTION("""COMPUTED_VALUE"""),"0000155888")</f>
        <v>0000155888</v>
      </c>
      <c r="S38" s="30" t="str">
        <f>IFERROR(__xludf.DUMMYFUNCTION("""COMPUTED_VALUE"""),"1")</f>
        <v>1</v>
      </c>
      <c r="T38" s="30" t="str">
        <f>IFERROR(__xludf.DUMMYFUNCTION("""COMPUTED_VALUE"""),"223565")</f>
        <v>223565</v>
      </c>
      <c r="U38" s="31" t="str">
        <f>IFERROR(__xludf.DUMMYFUNCTION("""COMPUTED_VALUE"""),"2235")</f>
        <v>2235</v>
      </c>
      <c r="V38" s="11"/>
      <c r="W38" s="11" t="str">
        <f>IFERROR(__xludf.DUMMYFUNCTION("""COMPUTED_VALUE"""),"#N/A")</f>
        <v>#N/A</v>
      </c>
      <c r="X38" s="11" t="str">
        <f>IFERROR(__xludf.DUMMYFUNCTION("""COMPUTED_VALUE"""),"#N/A")</f>
        <v>#N/A</v>
      </c>
      <c r="Y38" s="11" t="str">
        <f>IFERROR(__xludf.DUMMYFUNCTION("""COMPUTED_VALUE"""),"#N/A")</f>
        <v>#N/A</v>
      </c>
      <c r="Z38" s="11"/>
    </row>
    <row r="39" customHeight="1" spans="1:26">
      <c r="A39" s="11" t="str">
        <f>IFERROR(__xludf.DUMMYFUNCTION("""COMPUTED_VALUE"""),"Bernardo Gomes")</f>
        <v>Bernardo Gomes</v>
      </c>
      <c r="B39" s="11"/>
      <c r="C39" s="11"/>
      <c r="D39" s="11" t="str">
        <f>IFERROR(__xludf.DUMMYFUNCTION("""COMPUTED_VALUE"""),"Médica eSF")</f>
        <v>Médica eSF</v>
      </c>
      <c r="E39" s="11"/>
      <c r="F39" s="11" t="str">
        <f>IFERROR(__xludf.DUMMYFUNCTION("""COMPUTED_VALUE"""),"USF Coque")</f>
        <v>USF Coque</v>
      </c>
      <c r="G39" s="11" t="str">
        <f>IFERROR(__xludf.DUMMYFUNCTION("""COMPUTED_VALUE"""),"USF Coque")</f>
        <v>USF Coque</v>
      </c>
      <c r="H39" s="27">
        <f>IFERROR(__xludf.DUMMYFUNCTION("""COMPUTED_VALUE"""),81988751078)</f>
        <v>81988751078</v>
      </c>
      <c r="I39" s="11"/>
      <c r="J39" s="11"/>
      <c r="K39" s="11"/>
      <c r="L39" s="11"/>
      <c r="M39" s="11"/>
      <c r="N39" s="11"/>
      <c r="O39" s="11"/>
      <c r="P39" s="11"/>
      <c r="Q39" s="11"/>
      <c r="R39" s="11"/>
      <c r="S39" s="11"/>
      <c r="T39" s="11"/>
      <c r="U39" s="11"/>
      <c r="V39" s="11"/>
      <c r="W39" s="11"/>
      <c r="X39" s="11"/>
      <c r="Y39" s="11"/>
      <c r="Z39" s="11"/>
    </row>
    <row r="40" customHeight="1" spans="1:26">
      <c r="A40" s="11" t="str">
        <f>IFERROR(__xludf.DUMMYFUNCTION("""COMPUTED_VALUE"""),"Pedro Henrique ")</f>
        <v>Pedro Henrique </v>
      </c>
      <c r="B40" s="11"/>
      <c r="C40" s="11"/>
      <c r="D40" s="11" t="str">
        <f>IFERROR(__xludf.DUMMYFUNCTION("""COMPUTED_VALUE"""),"Médica eSF")</f>
        <v>Médica eSF</v>
      </c>
      <c r="E40" s="11"/>
      <c r="F40" s="11" t="str">
        <f>IFERROR(__xludf.DUMMYFUNCTION("""COMPUTED_VALUE"""),"USF USF da Macaxeira")</f>
        <v>USF USF da Macaxeira</v>
      </c>
      <c r="G40" s="11" t="str">
        <f>IFERROR(__xludf.DUMMYFUNCTION("""COMPUTED_VALUE"""),"USF USF da Macaxeira")</f>
        <v>USF USF da Macaxeira</v>
      </c>
      <c r="H40" s="27">
        <f>IFERROR(__xludf.DUMMYFUNCTION("""COMPUTED_VALUE"""),81998993715)</f>
        <v>81998993715</v>
      </c>
      <c r="I40" s="11"/>
      <c r="J40" s="11"/>
      <c r="K40" s="11"/>
      <c r="L40" s="11"/>
      <c r="M40" s="11"/>
      <c r="N40" s="11"/>
      <c r="O40" s="11"/>
      <c r="P40" s="11"/>
      <c r="Q40" s="11"/>
      <c r="R40" s="11"/>
      <c r="S40" s="11"/>
      <c r="T40" s="11"/>
      <c r="U40" s="11"/>
      <c r="V40" s="11"/>
      <c r="W40" s="11"/>
      <c r="X40" s="11"/>
      <c r="Y40" s="11"/>
      <c r="Z40" s="11"/>
    </row>
    <row r="41" customHeight="1" spans="1:26">
      <c r="A41" s="11" t="str">
        <f>IFERROR(__xludf.DUMMYFUNCTION("""COMPUTED_VALUE"""),"AMANDA CAROLYNE GOMES PATRIOTA DORNELAS	")</f>
        <v>AMANDA CAROLYNE GOMES PATRIOTA DORNELAS	</v>
      </c>
      <c r="B41" s="11"/>
      <c r="C41" s="11"/>
      <c r="D41" s="11" t="str">
        <f>IFERROR(__xludf.DUMMYFUNCTION("""COMPUTED_VALUE"""),"Médica eSF")</f>
        <v>Médica eSF</v>
      </c>
      <c r="E41" s="11"/>
      <c r="F41" s="11" t="str">
        <f>IFERROR(__xludf.DUMMYFUNCTION("""COMPUTED_VALUE"""),"US 297 USF DO PINA	")</f>
        <v>US 297 USF DO PINA	</v>
      </c>
      <c r="G41" s="11" t="str">
        <f>IFERROR(__xludf.DUMMYFUNCTION("""COMPUTED_VALUE"""),"US 297 USF DO PINA	")</f>
        <v>US 297 USF DO PINA	</v>
      </c>
      <c r="H41" s="27">
        <f>IFERROR(__xludf.DUMMYFUNCTION("""COMPUTED_VALUE"""),81998812801)</f>
        <v>81998812801</v>
      </c>
      <c r="I41" s="11"/>
      <c r="J41" s="11"/>
      <c r="K41" s="11"/>
      <c r="L41" s="11"/>
      <c r="M41" s="11"/>
      <c r="N41" s="11"/>
      <c r="O41" s="11"/>
      <c r="P41" s="11"/>
      <c r="Q41" s="11"/>
      <c r="R41" s="11"/>
      <c r="S41" s="11"/>
      <c r="T41" s="11"/>
      <c r="U41" s="11"/>
      <c r="V41" s="11"/>
      <c r="W41" s="11"/>
      <c r="X41" s="11"/>
      <c r="Y41" s="11"/>
      <c r="Z41" s="11"/>
    </row>
    <row r="42" customHeight="1" spans="1:26">
      <c r="A42" s="11" t="str">
        <f>IFERROR(__xludf.DUMMYFUNCTION("""COMPUTED_VALUE"""),"Suellen Dayse")</f>
        <v>Suellen Dayse</v>
      </c>
      <c r="B42" s="11"/>
      <c r="C42" s="11"/>
      <c r="D42" s="11" t="str">
        <f>IFERROR(__xludf.DUMMYFUNCTION("""COMPUTED_VALUE"""),"Enfermeira eSF")</f>
        <v>Enfermeira eSF</v>
      </c>
      <c r="E42" s="11"/>
      <c r="F42" s="11" t="str">
        <f>IFERROR(__xludf.DUMMYFUNCTION("""COMPUTED_VALUE"""),"US_231 USF CORREGO DA BICA / MARIA EDUARDA CESSE")</f>
        <v>US_231 USF CORREGO DA BICA / MARIA EDUARDA CESSE</v>
      </c>
      <c r="G42" s="11" t="str">
        <f>IFERROR(__xludf.DUMMYFUNCTION("""COMPUTED_VALUE"""),"US_231 USF CORREGO DA BICA / MARIA EDUARDA CESSE")</f>
        <v>US_231 USF CORREGO DA BICA / MARIA EDUARDA CESSE</v>
      </c>
      <c r="H42" s="27">
        <f>IFERROR(__xludf.DUMMYFUNCTION("""COMPUTED_VALUE"""),81982803703)</f>
        <v>81982803703</v>
      </c>
      <c r="I42" s="11"/>
      <c r="J42" s="11"/>
      <c r="K42" s="11"/>
      <c r="L42" s="11"/>
      <c r="M42" s="11"/>
      <c r="N42" s="11"/>
      <c r="O42" s="11"/>
      <c r="P42" s="11"/>
      <c r="Q42" s="11"/>
      <c r="R42" s="11"/>
      <c r="S42" s="11"/>
      <c r="T42" s="11"/>
      <c r="U42" s="11"/>
      <c r="V42" s="11"/>
      <c r="W42" s="11"/>
      <c r="X42" s="11"/>
      <c r="Y42" s="11"/>
      <c r="Z42" s="11"/>
    </row>
    <row r="43" customHeight="1" spans="1:26">
      <c r="A43" s="11" t="str">
        <f>IFERROR(__xludf.DUMMYFUNCTION("""COMPUTED_VALUE"""),"VICTOR BRANDAO FONSECA LIMA	")</f>
        <v>VICTOR BRANDAO FONSECA LIMA	</v>
      </c>
      <c r="B43" s="11"/>
      <c r="C43" s="11"/>
      <c r="D43" s="11" t="str">
        <f>IFERROR(__xludf.DUMMYFUNCTION("""COMPUTED_VALUE"""),"Médico eSF")</f>
        <v>Médico eSF</v>
      </c>
      <c r="E43" s="11"/>
      <c r="F43" s="11" t="str">
        <f>IFERROR(__xludf.DUMMYFUNCTION("""COMPUTED_VALUE"""),"US 237 USF SITIO DAS PALMEIRAS")</f>
        <v>US 237 USF SITIO DAS PALMEIRAS</v>
      </c>
      <c r="G43" s="11" t="str">
        <f>IFERROR(__xludf.DUMMYFUNCTION("""COMPUTED_VALUE"""),"US 237 USF SITIO DAS PALMEIRAS")</f>
        <v>US 237 USF SITIO DAS PALMEIRAS</v>
      </c>
      <c r="H43" s="11"/>
      <c r="I43" s="11"/>
      <c r="J43" s="11"/>
      <c r="K43" s="11"/>
      <c r="L43" s="11"/>
      <c r="M43" s="11"/>
      <c r="N43" s="11"/>
      <c r="O43" s="11"/>
      <c r="P43" s="11"/>
      <c r="Q43" s="11"/>
      <c r="R43" s="11"/>
      <c r="S43" s="11"/>
      <c r="T43" s="11"/>
      <c r="U43" s="11"/>
      <c r="V43" s="11"/>
      <c r="W43" s="11"/>
      <c r="X43" s="11"/>
      <c r="Y43" s="11"/>
      <c r="Z43" s="11"/>
    </row>
    <row r="44" customHeight="1" spans="1:26">
      <c r="A44" s="11" t="str">
        <f>IFERROR(__xludf.DUMMYFUNCTION("""COMPUTED_VALUE"""),"Yamil Rafael Perez")</f>
        <v>Yamil Rafael Perez</v>
      </c>
      <c r="B44" s="11"/>
      <c r="C44" s="11"/>
      <c r="D44" s="11" t="str">
        <f>IFERROR(__xludf.DUMMYFUNCTION("""COMPUTED_VALUE"""),"Médica eSF")</f>
        <v>Médica eSF</v>
      </c>
      <c r="E44" s="11"/>
      <c r="F44" s="11" t="str">
        <f>IFERROR(__xludf.DUMMYFUNCTION("""COMPUTED_VALUE"""),"US 345 USF PLANETA DOS MACACOS I")</f>
        <v>US 345 USF PLANETA DOS MACACOS I</v>
      </c>
      <c r="G44" s="11" t="str">
        <f>IFERROR(__xludf.DUMMYFUNCTION("""COMPUTED_VALUE"""),"US 345 USF PLANETA DOS MACACOS I")</f>
        <v>US 345 USF PLANETA DOS MACACOS I</v>
      </c>
      <c r="H44" s="27">
        <f>IFERROR(__xludf.DUMMYFUNCTION("""COMPUTED_VALUE"""),81979128046)</f>
        <v>81979128046</v>
      </c>
      <c r="I44" s="11"/>
      <c r="J44" s="11"/>
      <c r="K44" s="24">
        <f>IFERROR(__xludf.DUMMYFUNCTION("""COMPUTED_VALUE"""),45300)</f>
        <v>45300</v>
      </c>
      <c r="L44" s="11"/>
      <c r="M44" s="11"/>
      <c r="N44" s="11"/>
      <c r="O44" s="11"/>
      <c r="P44" s="11"/>
      <c r="Q44" s="11"/>
      <c r="R44" s="11"/>
      <c r="S44" s="11"/>
      <c r="T44" s="11"/>
      <c r="U44" s="11"/>
      <c r="V44" s="11"/>
      <c r="W44" s="11"/>
      <c r="X44" s="11"/>
      <c r="Y44" s="11"/>
      <c r="Z44" s="11"/>
    </row>
    <row r="45" customHeight="1" spans="1:26">
      <c r="A45" s="11" t="str">
        <f>IFERROR(__xludf.DUMMYFUNCTION("""COMPUTED_VALUE"""),"Hevelyn Eliza")</f>
        <v>Hevelyn Eliza</v>
      </c>
      <c r="B45" s="11"/>
      <c r="C45" s="11"/>
      <c r="D45" s="11" t="str">
        <f>IFERROR(__xludf.DUMMYFUNCTION("""COMPUTED_VALUE"""),"Médica eSF")</f>
        <v>Médica eSF</v>
      </c>
      <c r="E45" s="11"/>
      <c r="F45" s="11" t="str">
        <f>IFERROR(__xludf.DUMMYFUNCTION("""COMPUTED_VALUE"""),"US 345 USF PLANETA DOS MACACOS I")</f>
        <v>US 345 USF PLANETA DOS MACACOS I</v>
      </c>
      <c r="G45" s="11" t="str">
        <f>IFERROR(__xludf.DUMMYFUNCTION("""COMPUTED_VALUE"""),"US 345 USF PLANETA DOS MACACOS I")</f>
        <v>US 345 USF PLANETA DOS MACACOS I</v>
      </c>
      <c r="H45" s="27">
        <f>IFERROR(__xludf.DUMMYFUNCTION("""COMPUTED_VALUE"""),68984280141)</f>
        <v>68984280141</v>
      </c>
      <c r="I45" s="11"/>
      <c r="J45" s="11"/>
      <c r="K45" s="11"/>
      <c r="L45" s="11"/>
      <c r="M45" s="11"/>
      <c r="N45" s="11" t="str">
        <f>IFERROR(__xludf.DUMMYFUNCTION("""COMPUTED_VALUE"""),"hevelynelizatorres@gmail.com")</f>
        <v>hevelynelizatorres@gmail.com</v>
      </c>
      <c r="O45" s="11"/>
      <c r="P45" s="11"/>
      <c r="Q45" s="11"/>
      <c r="R45" s="11"/>
      <c r="S45" s="11"/>
      <c r="T45" s="11"/>
      <c r="U45" s="11"/>
      <c r="V45" s="11"/>
      <c r="W45" s="11"/>
      <c r="X45" s="11"/>
      <c r="Y45" s="11"/>
      <c r="Z45" s="11"/>
    </row>
    <row r="46" customHeight="1" spans="1:26">
      <c r="A46" s="11" t="str">
        <f>IFERROR(__xludf.DUMMYFUNCTION("""COMPUTED_VALUE"""),"GRACA FERNANDA DOS SANTOS SILVA")</f>
        <v>GRACA FERNANDA DOS SANTOS SILVA</v>
      </c>
      <c r="B46" s="11"/>
      <c r="C46" s="11"/>
      <c r="D46" s="11" t="str">
        <f>IFERROR(__xludf.DUMMYFUNCTION("""COMPUTED_VALUE"""),"Médica eSF")</f>
        <v>Médica eSF</v>
      </c>
      <c r="E46" s="11"/>
      <c r="F46" s="11" t="str">
        <f>IFERROR(__xludf.DUMMYFUNCTION("""COMPUTED_VALUE"""),"US 218 USF COQUE")</f>
        <v>US 218 USF COQUE</v>
      </c>
      <c r="G46" s="11" t="str">
        <f>IFERROR(__xludf.DUMMYFUNCTION("""COMPUTED_VALUE"""),"US 218 USF COQUE")</f>
        <v>US 218 USF COQUE</v>
      </c>
      <c r="H46" s="11"/>
      <c r="I46" s="11"/>
      <c r="J46" s="11"/>
      <c r="K46" s="11"/>
      <c r="L46" s="11"/>
      <c r="M46" s="11"/>
      <c r="N46" s="11"/>
      <c r="O46" s="11"/>
      <c r="P46" s="11"/>
      <c r="Q46" s="11"/>
      <c r="R46" s="11"/>
      <c r="S46" s="11"/>
      <c r="T46" s="11"/>
      <c r="U46" s="11"/>
      <c r="V46" s="11"/>
      <c r="W46" s="11"/>
      <c r="X46" s="11"/>
      <c r="Y46" s="11"/>
      <c r="Z46" s="11"/>
    </row>
    <row r="47" customHeight="1" spans="1:26">
      <c r="A47" s="11" t="str">
        <f>IFERROR(__xludf.DUMMYFUNCTION("""COMPUTED_VALUE"""),"GISELE RAMOS DE ARAUJO GUIMARAES	")</f>
        <v>GISELE RAMOS DE ARAUJO GUIMARAES	</v>
      </c>
      <c r="B47" s="11"/>
      <c r="C47" s="11"/>
      <c r="D47" s="11" t="str">
        <f>IFERROR(__xludf.DUMMYFUNCTION("""COMPUTED_VALUE"""),"Médica eSF")</f>
        <v>Médica eSF</v>
      </c>
      <c r="E47" s="11"/>
      <c r="F47" s="11" t="str">
        <f>IFERROR(__xludf.DUMMYFUNCTION("""COMPUTED_VALUE"""),"US 327 USF CLUBE DOS DELEGADOS")</f>
        <v>US 327 USF CLUBE DOS DELEGADOS</v>
      </c>
      <c r="G47" s="11" t="str">
        <f>IFERROR(__xludf.DUMMYFUNCTION("""COMPUTED_VALUE"""),"US 327 USF CLUBE DOS DELEGADOS")</f>
        <v>US 327 USF CLUBE DOS DELEGADOS</v>
      </c>
      <c r="H47" s="27">
        <f>IFERROR(__xludf.DUMMYFUNCTION("""COMPUTED_VALUE"""),81987871367)</f>
        <v>81987871367</v>
      </c>
      <c r="I47" s="11"/>
      <c r="J47" s="11"/>
      <c r="K47" s="11"/>
      <c r="L47" s="11"/>
      <c r="M47" s="11"/>
      <c r="N47" s="11"/>
      <c r="O47" s="11"/>
      <c r="P47" s="11"/>
      <c r="Q47" s="11"/>
      <c r="R47" s="11"/>
      <c r="S47" s="11"/>
      <c r="T47" s="11"/>
      <c r="U47" s="11"/>
      <c r="V47" s="11"/>
      <c r="W47" s="11"/>
      <c r="X47" s="11"/>
      <c r="Y47" s="11"/>
      <c r="Z47" s="11"/>
    </row>
    <row r="48" customHeight="1" spans="1:26">
      <c r="A48" s="11" t="str">
        <f>IFERROR(__xludf.DUMMYFUNCTION("""COMPUTED_VALUE"""),"RENATA CAMELO DE SOUZA MELO")</f>
        <v>RENATA CAMELO DE SOUZA MELO</v>
      </c>
      <c r="B48" s="11"/>
      <c r="C48" s="11"/>
      <c r="D48" s="11" t="str">
        <f>IFERROR(__xludf.DUMMYFUNCTION("""COMPUTED_VALUE"""),"Médico eSF")</f>
        <v>Médico eSF</v>
      </c>
      <c r="E48" s="11"/>
      <c r="F48" s="11" t="str">
        <f>IFERROR(__xludf.DUMMYFUNCTION("""COMPUTED_VALUE"""),"US 225 USF SKYLAB II")</f>
        <v>US 225 USF SKYLAB II</v>
      </c>
      <c r="G48" s="11" t="str">
        <f>IFERROR(__xludf.DUMMYFUNCTION("""COMPUTED_VALUE"""),"US 225 USF SKYLAB II")</f>
        <v>US 225 USF SKYLAB II</v>
      </c>
      <c r="H48" s="27">
        <f>IFERROR(__xludf.DUMMYFUNCTION("""COMPUTED_VALUE"""),81991807001)</f>
        <v>81991807001</v>
      </c>
      <c r="I48" s="11"/>
      <c r="J48" s="11"/>
      <c r="K48" s="24">
        <f>IFERROR(__xludf.DUMMYFUNCTION("""COMPUTED_VALUE"""),45296)</f>
        <v>45296</v>
      </c>
      <c r="L48" s="11"/>
      <c r="M48" s="11"/>
      <c r="N48" s="11"/>
      <c r="O48" s="11"/>
      <c r="P48" s="11"/>
      <c r="Q48" s="11"/>
      <c r="R48" s="11"/>
      <c r="S48" s="11"/>
      <c r="T48" s="11"/>
      <c r="U48" s="11"/>
      <c r="V48" s="11"/>
      <c r="W48" s="11"/>
      <c r="X48" s="11"/>
      <c r="Y48" s="11"/>
      <c r="Z48" s="11"/>
    </row>
    <row r="49" customHeight="1" spans="1:26">
      <c r="A49" s="11" t="str">
        <f>IFERROR(__xludf.DUMMYFUNCTION("""COMPUTED_VALUE"""),"DOMINIK GOIS DE OLIVEIRA	")</f>
        <v>DOMINIK GOIS DE OLIVEIRA	</v>
      </c>
      <c r="B49" s="11"/>
      <c r="C49" s="11"/>
      <c r="D49" s="11" t="str">
        <f>IFERROR(__xludf.DUMMYFUNCTION("""COMPUTED_VALUE"""),"Médico eSF")</f>
        <v>Médico eSF</v>
      </c>
      <c r="E49" s="11"/>
      <c r="F49" s="11" t="str">
        <f>IFERROR(__xludf.DUMMYFUNCTION("""COMPUTED_VALUE"""),"US 225 USF SKYLAB II")</f>
        <v>US 225 USF SKYLAB II</v>
      </c>
      <c r="G49" s="11" t="str">
        <f>IFERROR(__xludf.DUMMYFUNCTION("""COMPUTED_VALUE"""),"US 225 USF SKYLAB II")</f>
        <v>US 225 USF SKYLAB II</v>
      </c>
      <c r="H49" s="27" t="str">
        <f>IFERROR(__xludf.DUMMYFUNCTION("""COMPUTED_VALUE"""),"84999884612 / 84996411242")</f>
        <v>84999884612 / 84996411242</v>
      </c>
      <c r="I49" s="11"/>
      <c r="J49" s="11"/>
      <c r="K49" s="11"/>
      <c r="L49" s="11"/>
      <c r="M49" s="11"/>
      <c r="N49" s="11"/>
      <c r="O49" s="11"/>
      <c r="P49" s="11"/>
      <c r="Q49" s="11"/>
      <c r="R49" s="11"/>
      <c r="S49" s="11"/>
      <c r="T49" s="11"/>
      <c r="U49" s="11"/>
      <c r="V49" s="11"/>
      <c r="W49" s="11"/>
      <c r="X49" s="11"/>
      <c r="Y49" s="11"/>
      <c r="Z49" s="11"/>
    </row>
    <row r="50" customHeight="1" spans="1:26">
      <c r="A50" s="11" t="str">
        <f>IFERROR(__xludf.DUMMYFUNCTION("""COMPUTED_VALUE"""),"YOSIEL FERNANDEZ CRUZ")</f>
        <v>YOSIEL FERNANDEZ CRUZ</v>
      </c>
      <c r="B50" s="11"/>
      <c r="C50" s="11"/>
      <c r="D50" s="11" t="str">
        <f>IFERROR(__xludf.DUMMYFUNCTION("""COMPUTED_VALUE"""),"Médico eSF")</f>
        <v>Médico eSF</v>
      </c>
      <c r="E50" s="11"/>
      <c r="F50" s="11" t="str">
        <f>IFERROR(__xludf.DUMMYFUNCTION("""COMPUTED_VALUE"""),"US 315 USF UR 3	")</f>
        <v>US 315 USF UR 3	</v>
      </c>
      <c r="G50" s="11" t="str">
        <f>IFERROR(__xludf.DUMMYFUNCTION("""COMPUTED_VALUE"""),"US 315 USF UR 3	")</f>
        <v>US 315 USF UR 3	</v>
      </c>
      <c r="H50" s="27">
        <f>IFERROR(__xludf.DUMMYFUNCTION("""COMPUTED_VALUE"""),81996566556)</f>
        <v>81996566556</v>
      </c>
      <c r="I50" s="11"/>
      <c r="J50" s="11"/>
      <c r="K50" s="11"/>
      <c r="L50" s="11"/>
      <c r="M50" s="11"/>
      <c r="N50" s="11"/>
      <c r="O50" s="11"/>
      <c r="P50" s="11"/>
      <c r="Q50" s="11"/>
      <c r="R50" s="11"/>
      <c r="S50" s="11"/>
      <c r="T50" s="11"/>
      <c r="U50" s="11"/>
      <c r="V50" s="11"/>
      <c r="W50" s="11"/>
      <c r="X50" s="11"/>
      <c r="Y50" s="11"/>
      <c r="Z50" s="11"/>
    </row>
    <row r="51" customHeight="1" spans="1:26">
      <c r="A51" s="11" t="str">
        <f>IFERROR(__xludf.DUMMYFUNCTION("""COMPUTED_VALUE"""),"THIAGO MOURA DE SOUZA SILVA")</f>
        <v>THIAGO MOURA DE SOUZA SILVA</v>
      </c>
      <c r="B51" s="11"/>
      <c r="C51" s="11"/>
      <c r="D51" s="11" t="str">
        <f>IFERROR(__xludf.DUMMYFUNCTION("""COMPUTED_VALUE"""),"Médico eSF")</f>
        <v>Médico eSF</v>
      </c>
      <c r="E51" s="11"/>
      <c r="F51" s="11" t="str">
        <f>IFERROR(__xludf.DUMMYFUNCTION("""COMPUTED_VALUE"""),"US 154 USF RIO PAJEU")</f>
        <v>US 154 USF RIO PAJEU</v>
      </c>
      <c r="G51" s="11" t="str">
        <f>IFERROR(__xludf.DUMMYFUNCTION("""COMPUTED_VALUE"""),"US 154 USF RIO PAJEU")</f>
        <v>US 154 USF RIO PAJEU</v>
      </c>
      <c r="H51" s="27">
        <f>IFERROR(__xludf.DUMMYFUNCTION("""COMPUTED_VALUE"""),998334165)</f>
        <v>998334165</v>
      </c>
      <c r="I51" s="11"/>
      <c r="J51" s="11"/>
      <c r="K51" s="24">
        <f>IFERROR(__xludf.DUMMYFUNCTION("""COMPUTED_VALUE"""),45264)</f>
        <v>45264</v>
      </c>
      <c r="L51" s="11"/>
      <c r="M51" s="11"/>
      <c r="N51" s="11"/>
      <c r="O51" s="11"/>
      <c r="P51" s="11"/>
      <c r="Q51" s="11"/>
      <c r="R51" s="11"/>
      <c r="S51" s="11"/>
      <c r="T51" s="11"/>
      <c r="U51" s="11"/>
      <c r="V51" s="11"/>
      <c r="W51" s="11"/>
      <c r="X51" s="11"/>
      <c r="Y51" s="11"/>
      <c r="Z51" s="11"/>
    </row>
    <row r="52" customHeight="1" spans="1:26">
      <c r="A52" s="11" t="str">
        <f>IFERROR(__xludf.DUMMYFUNCTION("""COMPUTED_VALUE"""),"LARISSA DA SILVA	")</f>
        <v>LARISSA DA SILVA	</v>
      </c>
      <c r="B52" s="11"/>
      <c r="C52" s="11"/>
      <c r="D52" s="11" t="str">
        <f>IFERROR(__xludf.DUMMYFUNCTION("""COMPUTED_VALUE"""),"Médica eSF")</f>
        <v>Médica eSF</v>
      </c>
      <c r="E52" s="11"/>
      <c r="F52" s="11" t="str">
        <f>IFERROR(__xludf.DUMMYFUNCTION("""COMPUTED_VALUE"""),"US 154 USF RIO PAJEU")</f>
        <v>US 154 USF RIO PAJEU</v>
      </c>
      <c r="G52" s="11" t="str">
        <f>IFERROR(__xludf.DUMMYFUNCTION("""COMPUTED_VALUE"""),"US 154 USF RIO PAJEU")</f>
        <v>US 154 USF RIO PAJEU</v>
      </c>
      <c r="H52" s="27">
        <f>IFERROR(__xludf.DUMMYFUNCTION("""COMPUTED_VALUE"""),81983701453)</f>
        <v>81983701453</v>
      </c>
      <c r="I52" s="11"/>
      <c r="J52" s="11"/>
      <c r="K52" s="11"/>
      <c r="L52" s="11"/>
      <c r="M52" s="11"/>
      <c r="N52" s="11"/>
      <c r="O52" s="11"/>
      <c r="P52" s="11"/>
      <c r="Q52" s="11"/>
      <c r="R52" s="11"/>
      <c r="S52" s="11"/>
      <c r="T52" s="11"/>
      <c r="U52" s="11"/>
      <c r="V52" s="11"/>
      <c r="W52" s="11"/>
      <c r="X52" s="11"/>
      <c r="Y52" s="11"/>
      <c r="Z52" s="11"/>
    </row>
    <row r="53" customHeight="1" spans="1:26">
      <c r="A53" s="11" t="str">
        <f>IFERROR(__xludf.DUMMYFUNCTION("""COMPUTED_VALUE"""),"JAIRO VERISSIMO DO NASCIMENTO JUNIOR	")</f>
        <v>JAIRO VERISSIMO DO NASCIMENTO JUNIOR	</v>
      </c>
      <c r="B53" s="11"/>
      <c r="C53" s="11"/>
      <c r="D53" s="11" t="str">
        <f>IFERROR(__xludf.DUMMYFUNCTION("""COMPUTED_VALUE"""),"Médico eSF")</f>
        <v>Médico eSF</v>
      </c>
      <c r="E53" s="11"/>
      <c r="F53" s="11" t="str">
        <f>IFERROR(__xludf.DUMMYFUNCTION("""COMPUTED_VALUE"""),"US 230 USF LAGOA ENCANTADA")</f>
        <v>US 230 USF LAGOA ENCANTADA</v>
      </c>
      <c r="G53" s="11" t="str">
        <f>IFERROR(__xludf.DUMMYFUNCTION("""COMPUTED_VALUE"""),"US 230 USF LAGOA ENCANTADA")</f>
        <v>US 230 USF LAGOA ENCANTADA</v>
      </c>
      <c r="H53" s="11"/>
      <c r="I53" s="11"/>
      <c r="J53" s="11"/>
      <c r="K53" s="11"/>
      <c r="L53" s="11"/>
      <c r="M53" s="11"/>
      <c r="N53" s="11"/>
      <c r="O53" s="11"/>
      <c r="P53" s="11"/>
      <c r="Q53" s="11"/>
      <c r="R53" s="11"/>
      <c r="S53" s="11"/>
      <c r="T53" s="11"/>
      <c r="U53" s="11"/>
      <c r="V53" s="11"/>
      <c r="W53" s="11"/>
      <c r="X53" s="11"/>
      <c r="Y53" s="11"/>
      <c r="Z53" s="11"/>
    </row>
    <row r="54" customHeight="1" spans="1:26">
      <c r="A54" s="11" t="str">
        <f>IFERROR(__xludf.DUMMYFUNCTION("""COMPUTED_VALUE"""),"MARIANA DE ALBUQUERQUE MARANHAO MAGALHAES	")</f>
        <v>MARIANA DE ALBUQUERQUE MARANHAO MAGALHAES	</v>
      </c>
      <c r="B54" s="11"/>
      <c r="C54" s="11"/>
      <c r="D54" s="11" t="str">
        <f>IFERROR(__xludf.DUMMYFUNCTION("""COMPUTED_VALUE"""),"Médica eSF")</f>
        <v>Médica eSF</v>
      </c>
      <c r="E54" s="11"/>
      <c r="F54" s="11" t="str">
        <f>IFERROR(__xludf.DUMMYFUNCTION("""COMPUTED_VALUE"""),"US 226 USF CHAO DE ESTRELAS")</f>
        <v>US 226 USF CHAO DE ESTRELAS</v>
      </c>
      <c r="G54" s="11" t="str">
        <f>IFERROR(__xludf.DUMMYFUNCTION("""COMPUTED_VALUE"""),"US 226 USF CHAO DE ESTRELAS")</f>
        <v>US 226 USF CHAO DE ESTRELAS</v>
      </c>
      <c r="H54" s="27">
        <f>IFERROR(__xludf.DUMMYFUNCTION("""COMPUTED_VALUE"""),81999454535)</f>
        <v>81999454535</v>
      </c>
      <c r="I54" s="11"/>
      <c r="J54" s="11"/>
      <c r="K54" s="11"/>
      <c r="L54" s="11"/>
      <c r="M54" s="11"/>
      <c r="N54" s="11"/>
      <c r="O54" s="11"/>
      <c r="P54" s="11"/>
      <c r="Q54" s="11"/>
      <c r="R54" s="11"/>
      <c r="S54" s="11"/>
      <c r="T54" s="11"/>
      <c r="U54" s="11"/>
      <c r="V54" s="11"/>
      <c r="W54" s="11"/>
      <c r="X54" s="11"/>
      <c r="Y54" s="11"/>
      <c r="Z54" s="11"/>
    </row>
    <row r="55" customHeight="1" spans="1:26">
      <c r="A55" s="11" t="str">
        <f>IFERROR(__xludf.DUMMYFUNCTION("""COMPUTED_VALUE"""),"PAULO TOJAL DANTAS MATOS")</f>
        <v>PAULO TOJAL DANTAS MATOS</v>
      </c>
      <c r="B55" s="11"/>
      <c r="C55" s="11"/>
      <c r="D55" s="11" t="str">
        <f>IFERROR(__xludf.DUMMYFUNCTION("""COMPUTED_VALUE"""),"Médico Residente")</f>
        <v>Médico Residente</v>
      </c>
      <c r="E55" s="11"/>
      <c r="F55" s="11"/>
      <c r="G55" s="11" t="str">
        <f>IFERROR(__xludf.DUMMYFUNCTION("""COMPUTED_VALUE"""),"US 269 USF BEIRA DO RIO COMUNIDADE BOA VIAGEM")</f>
        <v>US 269 USF BEIRA DO RIO COMUNIDADE BOA VIAGEM</v>
      </c>
      <c r="H55" s="27">
        <f>IFERROR(__xludf.DUMMYFUNCTION("""COMPUTED_VALUE"""),79999089071)</f>
        <v>79999089071</v>
      </c>
      <c r="I55" s="11"/>
      <c r="J55" s="11"/>
      <c r="K55" s="11"/>
      <c r="L55" s="11"/>
      <c r="M55" s="11"/>
      <c r="N55" s="11"/>
      <c r="O55" s="11"/>
      <c r="P55" s="11"/>
      <c r="Q55" s="11"/>
      <c r="R55" s="11"/>
      <c r="S55" s="11"/>
      <c r="T55" s="11"/>
      <c r="U55" s="11"/>
      <c r="V55" s="11"/>
      <c r="W55" s="11"/>
      <c r="X55" s="11"/>
      <c r="Y55" s="11"/>
      <c r="Z55" s="11"/>
    </row>
    <row r="56" customHeight="1" spans="1:26">
      <c r="A56" s="11" t="str">
        <f>IFERROR(__xludf.DUMMYFUNCTION("""COMPUTED_VALUE"""),"Mirtys Maria Homem de Mattos")</f>
        <v>Mirtys Maria Homem de Mattos</v>
      </c>
      <c r="B56" s="11"/>
      <c r="C56" s="11"/>
      <c r="D56" s="11" t="str">
        <f>IFERROR(__xludf.DUMMYFUNCTION("""COMPUTED_VALUE"""),"Enfermeira eSF")</f>
        <v>Enfermeira eSF</v>
      </c>
      <c r="E56" s="11"/>
      <c r="F56" s="11" t="str">
        <f>IFERROR(__xludf.DUMMYFUNCTION("""COMPUTED_VALUE"""),"USF DR GERALDO BARRETO")</f>
        <v>USF DR GERALDO BARRETO</v>
      </c>
      <c r="G56" s="11" t="str">
        <f>IFERROR(__xludf.DUMMYFUNCTION("""COMPUTED_VALUE"""),"USF DR GERALDO BARRETO")</f>
        <v>USF DR GERALDO BARRETO</v>
      </c>
      <c r="H56" s="27">
        <f>IFERROR(__xludf.DUMMYFUNCTION("""COMPUTED_VALUE"""),81982221818)</f>
        <v>81982221818</v>
      </c>
      <c r="I56" s="11"/>
      <c r="J56" s="11"/>
      <c r="K56" s="11"/>
      <c r="L56" s="11"/>
      <c r="M56" s="11"/>
      <c r="N56" s="11"/>
      <c r="O56" s="11"/>
      <c r="P56" s="11"/>
      <c r="Q56" s="11"/>
      <c r="R56" s="11"/>
      <c r="S56" s="11"/>
      <c r="T56" s="11"/>
      <c r="U56" s="11"/>
      <c r="V56" s="11"/>
      <c r="W56" s="11"/>
      <c r="X56" s="11"/>
      <c r="Y56" s="11"/>
      <c r="Z56" s="11"/>
    </row>
    <row r="57" customHeight="1" spans="1:26">
      <c r="A57" s="11" t="str">
        <f>IFERROR(__xludf.DUMMYFUNCTION("""COMPUTED_VALUE"""),"FERNANDA ENEAS")</f>
        <v>FERNANDA ENEAS</v>
      </c>
      <c r="B57" s="11"/>
      <c r="C57" s="11"/>
      <c r="D57" s="11" t="str">
        <f>IFERROR(__xludf.DUMMYFUNCTION("""COMPUTED_VALUE"""),"Médica eSF")</f>
        <v>Médica eSF</v>
      </c>
      <c r="E57" s="11"/>
      <c r="F57" s="11" t="str">
        <f>IFERROR(__xludf.DUMMYFUNCTION("""COMPUTED_VALUE"""),"US 121 CS PROF BRUNO MAIA")</f>
        <v>US 121 CS PROF BRUNO MAIA</v>
      </c>
      <c r="G57" s="11" t="str">
        <f>IFERROR(__xludf.DUMMYFUNCTION("""COMPUTED_VALUE"""),"US 121 CS PROF BRUNO MAIA")</f>
        <v>US 121 CS PROF BRUNO MAIA</v>
      </c>
      <c r="H57" s="27">
        <f>IFERROR(__xludf.DUMMYFUNCTION("""COMPUTED_VALUE"""),81991567679)</f>
        <v>81991567679</v>
      </c>
      <c r="I57" s="11"/>
      <c r="J57" s="11"/>
      <c r="K57" s="24">
        <f>IFERROR(__xludf.DUMMYFUNCTION("""COMPUTED_VALUE"""),45300)</f>
        <v>45300</v>
      </c>
      <c r="L57" s="11"/>
      <c r="M57" s="11"/>
      <c r="N57" s="11"/>
      <c r="O57" s="11"/>
      <c r="P57" s="11"/>
      <c r="Q57" s="11"/>
      <c r="R57" s="11"/>
      <c r="S57" s="11"/>
      <c r="T57" s="11"/>
      <c r="U57" s="11"/>
      <c r="V57" s="11"/>
      <c r="W57" s="11"/>
      <c r="X57" s="11"/>
      <c r="Y57" s="11"/>
      <c r="Z57" s="11"/>
    </row>
    <row r="58" customHeight="1" spans="1:26">
      <c r="A58" s="11" t="str">
        <f>IFERROR(__xludf.DUMMYFUNCTION("""COMPUTED_VALUE"""),"REBECA LAIS DE ALBUQUERQUE CARVALHO	")</f>
        <v>REBECA LAIS DE ALBUQUERQUE CARVALHO	</v>
      </c>
      <c r="B58" s="11"/>
      <c r="C58" s="11"/>
      <c r="D58" s="11" t="str">
        <f>IFERROR(__xludf.DUMMYFUNCTION("""COMPUTED_VALUE"""),"Médica eSF")</f>
        <v>Médica eSF</v>
      </c>
      <c r="E58" s="11"/>
      <c r="F58" s="11" t="str">
        <f>IFERROR(__xludf.DUMMYFUNCTION("""COMPUTED_VALUE"""),"US 121 CS PROF BRUNO MAIA")</f>
        <v>US 121 CS PROF BRUNO MAIA</v>
      </c>
      <c r="G58" s="11" t="str">
        <f>IFERROR(__xludf.DUMMYFUNCTION("""COMPUTED_VALUE"""),"US 121 CS PROF BRUNO MAIA")</f>
        <v>US 121 CS PROF BRUNO MAIA</v>
      </c>
      <c r="H58" s="11"/>
      <c r="I58" s="11"/>
      <c r="J58" s="11"/>
      <c r="K58" s="11"/>
      <c r="L58" s="11"/>
      <c r="M58" s="11"/>
      <c r="N58" s="11"/>
      <c r="O58" s="11"/>
      <c r="P58" s="11"/>
      <c r="Q58" s="11"/>
      <c r="R58" s="11"/>
      <c r="S58" s="11"/>
      <c r="T58" s="11"/>
      <c r="U58" s="11"/>
      <c r="V58" s="11"/>
      <c r="W58" s="11"/>
      <c r="X58" s="11"/>
      <c r="Y58" s="11"/>
      <c r="Z58" s="11"/>
    </row>
    <row r="59" customHeight="1" spans="1:26">
      <c r="A59" s="11" t="str">
        <f>IFERROR(__xludf.DUMMYFUNCTION("""COMPUTED_VALUE"""),"JORGE RICARDO DE SOUZA JUNIOR        ")</f>
        <v>JORGE RICARDO DE SOUZA JUNIOR        </v>
      </c>
      <c r="B59" s="11"/>
      <c r="C59" s="11"/>
      <c r="D59" s="11" t="str">
        <f>IFERROR(__xludf.DUMMYFUNCTION("""COMPUTED_VALUE"""),"Médico eSF")</f>
        <v>Médico eSF</v>
      </c>
      <c r="E59" s="11"/>
      <c r="F59" s="11" t="str">
        <f>IFERROR(__xludf.DUMMYFUNCTION("""COMPUTED_VALUE"""),"US 283 USF VILA BOA VISTA")</f>
        <v>US 283 USF VILA BOA VISTA</v>
      </c>
      <c r="G59" s="11" t="str">
        <f>IFERROR(__xludf.DUMMYFUNCTION("""COMPUTED_VALUE"""),"US 283 USF VILA BOA VISTA")</f>
        <v>US 283 USF VILA BOA VISTA</v>
      </c>
      <c r="H59" s="11"/>
      <c r="I59" s="11"/>
      <c r="J59" s="11"/>
      <c r="K59" s="11"/>
      <c r="L59" s="11"/>
      <c r="M59" s="11"/>
      <c r="N59" s="11"/>
      <c r="O59" s="11"/>
      <c r="P59" s="11"/>
      <c r="Q59" s="11"/>
      <c r="R59" s="11"/>
      <c r="S59" s="11"/>
      <c r="T59" s="11"/>
      <c r="U59" s="11"/>
      <c r="V59" s="11"/>
      <c r="W59" s="11"/>
      <c r="X59" s="11"/>
      <c r="Y59" s="11"/>
      <c r="Z59" s="11"/>
    </row>
    <row r="60" customHeight="1" spans="1:26">
      <c r="A60" s="11" t="str">
        <f>IFERROR(__xludf.DUMMYFUNCTION("""COMPUTED_VALUE"""),"Thayna Almeida")</f>
        <v>Thayna Almeida</v>
      </c>
      <c r="B60" s="11"/>
      <c r="C60" s="11"/>
      <c r="D60" s="11" t="str">
        <f>IFERROR(__xludf.DUMMYFUNCTION("""COMPUTED_VALUE"""),"Enfermeira residente")</f>
        <v>Enfermeira residente</v>
      </c>
      <c r="E60" s="11"/>
      <c r="F60" s="11" t="str">
        <f>IFERROR(__xludf.DUMMYFUNCTION("""COMPUTED_VALUE"""),"Usf Coelhos 1")</f>
        <v>Usf Coelhos 1</v>
      </c>
      <c r="G60" s="11" t="str">
        <f>IFERROR(__xludf.DUMMYFUNCTION("""COMPUTED_VALUE"""),"Usf Coelhos 1")</f>
        <v>Usf Coelhos 1</v>
      </c>
      <c r="H60" s="27">
        <f>IFERROR(__xludf.DUMMYFUNCTION("""COMPUTED_VALUE"""),83982085217)</f>
        <v>83982085217</v>
      </c>
      <c r="I60" s="11"/>
      <c r="J60" s="11"/>
      <c r="K60" s="11"/>
      <c r="L60" s="11"/>
      <c r="M60" s="11"/>
      <c r="N60" s="11"/>
      <c r="O60" s="11"/>
      <c r="P60" s="11"/>
      <c r="Q60" s="11"/>
      <c r="R60" s="11"/>
      <c r="S60" s="11"/>
      <c r="T60" s="11"/>
      <c r="U60" s="11"/>
      <c r="V60" s="11"/>
      <c r="W60" s="11"/>
      <c r="X60" s="11"/>
      <c r="Y60" s="11"/>
      <c r="Z60" s="11"/>
    </row>
    <row r="61" customHeight="1" spans="1:26">
      <c r="A61" s="11" t="str">
        <f>IFERROR(__xludf.DUMMYFUNCTION("""COMPUTED_VALUE"""),"Filipe Guido de Vasconcellos GOES")</f>
        <v>Filipe Guido de Vasconcellos GOES</v>
      </c>
      <c r="B61" s="11"/>
      <c r="C61" s="11"/>
      <c r="D61" s="11" t="str">
        <f>IFERROR(__xludf.DUMMYFUNCTION("""COMPUTED_VALUE"""),"Médica eSF")</f>
        <v>Médica eSF</v>
      </c>
      <c r="E61" s="11"/>
      <c r="F61" s="11" t="str">
        <f>IFERROR(__xludf.DUMMYFUNCTION("""COMPUTED_VALUE"""),"US  USF SAN MARTIM POVO DE DEUS")</f>
        <v>US  USF SAN MARTIM POVO DE DEUS</v>
      </c>
      <c r="G61" s="11" t="str">
        <f>IFERROR(__xludf.DUMMYFUNCTION("""COMPUTED_VALUE"""),"US  USF SAN MARTIM POVO DE DEUS")</f>
        <v>US  USF SAN MARTIM POVO DE DEUS</v>
      </c>
      <c r="H61" s="27">
        <f>IFERROR(__xludf.DUMMYFUNCTION("""COMPUTED_VALUE"""),81995239968)</f>
        <v>81995239968</v>
      </c>
      <c r="I61" s="11"/>
      <c r="J61" s="11"/>
      <c r="K61" s="11"/>
      <c r="L61" s="11"/>
      <c r="M61" s="11"/>
      <c r="N61" s="11"/>
      <c r="O61" s="11"/>
      <c r="P61" s="11"/>
      <c r="Q61" s="11"/>
      <c r="R61" s="11"/>
      <c r="S61" s="11"/>
      <c r="T61" s="11"/>
      <c r="U61" s="11"/>
      <c r="V61" s="11"/>
      <c r="W61" s="11"/>
      <c r="X61" s="11"/>
      <c r="Y61" s="11"/>
      <c r="Z61" s="11"/>
    </row>
    <row r="62" customHeight="1" spans="1:26">
      <c r="A62" s="11" t="str">
        <f>IFERROR(__xludf.DUMMYFUNCTION("""COMPUTED_VALUE"""),"NATHALIA CRISTIANE DA COSTA SOUZA PATRIOTA")</f>
        <v>NATHALIA CRISTIANE DA COSTA SOUZA PATRIOTA</v>
      </c>
      <c r="B62" s="11"/>
      <c r="C62" s="11"/>
      <c r="D62" s="11" t="str">
        <f>IFERROR(__xludf.DUMMYFUNCTION("""COMPUTED_VALUE"""),"Enfermeira eSF")</f>
        <v>Enfermeira eSF</v>
      </c>
      <c r="E62" s="11"/>
      <c r="F62" s="11" t="str">
        <f>IFERROR(__xludf.DUMMYFUNCTION("""COMPUTED_VALUE"""),"USF VILA SÃO MIGUEL DSV")</f>
        <v>USF VILA SÃO MIGUEL DSV</v>
      </c>
      <c r="G62" s="11" t="str">
        <f>IFERROR(__xludf.DUMMYFUNCTION("""COMPUTED_VALUE"""),"USF VILA SÃO MIGUEL DSV")</f>
        <v>USF VILA SÃO MIGUEL DSV</v>
      </c>
      <c r="H62" s="27">
        <f>IFERROR(__xludf.DUMMYFUNCTION("""COMPUTED_VALUE"""),81988383858)</f>
        <v>81988383858</v>
      </c>
      <c r="I62" s="11"/>
      <c r="J62" s="11"/>
      <c r="K62" s="24">
        <f>IFERROR(__xludf.DUMMYFUNCTION("""COMPUTED_VALUE"""),45267)</f>
        <v>45267</v>
      </c>
      <c r="L62" s="11"/>
      <c r="M62" s="11"/>
      <c r="N62" s="11"/>
      <c r="O62" s="11"/>
      <c r="P62" s="11"/>
      <c r="Q62" s="11"/>
      <c r="R62" s="11"/>
      <c r="S62" s="11"/>
      <c r="T62" s="11"/>
      <c r="U62" s="11"/>
      <c r="V62" s="11"/>
      <c r="W62" s="11"/>
      <c r="X62" s="11"/>
      <c r="Y62" s="11"/>
      <c r="Z62" s="11"/>
    </row>
    <row r="63" customHeight="1" spans="1:26">
      <c r="A63" s="11" t="str">
        <f>IFERROR(__xludf.DUMMYFUNCTION("""COMPUTED_VALUE"""),"ALINE BRANDAO DE ARAUJO ANDRADE LIMA        ")</f>
        <v>ALINE BRANDAO DE ARAUJO ANDRADE LIMA        </v>
      </c>
      <c r="B63" s="11"/>
      <c r="C63" s="11"/>
      <c r="D63" s="11" t="str">
        <f>IFERROR(__xludf.DUMMYFUNCTION("""COMPUTED_VALUE"""),"Médico Clinico ")</f>
        <v>Médico Clinico </v>
      </c>
      <c r="E63" s="11"/>
      <c r="F63" s="11" t="str">
        <f>IFERROR(__xludf.DUMMYFUNCTION("""COMPUTED_VALUE"""),"US 152 CS INA ROSA BORGES")</f>
        <v>US 152 CS INA ROSA BORGES</v>
      </c>
      <c r="G63" s="11" t="str">
        <f>IFERROR(__xludf.DUMMYFUNCTION("""COMPUTED_VALUE"""),"US 152 CS INA ROSA BORGES")</f>
        <v>US 152 CS INA ROSA BORGES</v>
      </c>
      <c r="H63" s="11"/>
      <c r="I63" s="11"/>
      <c r="J63" s="11"/>
      <c r="K63" s="11"/>
      <c r="L63" s="11"/>
      <c r="M63" s="11"/>
      <c r="N63" s="11"/>
      <c r="O63" s="11"/>
      <c r="P63" s="11"/>
      <c r="Q63" s="11"/>
      <c r="R63" s="11"/>
      <c r="S63" s="11"/>
      <c r="T63" s="11"/>
      <c r="U63" s="11"/>
      <c r="V63" s="11"/>
      <c r="W63" s="11"/>
      <c r="X63" s="11"/>
      <c r="Y63" s="11"/>
      <c r="Z63" s="11"/>
    </row>
    <row r="64" customHeight="1" spans="1:26">
      <c r="A64" s="11" t="str">
        <f>IFERROR(__xludf.DUMMYFUNCTION("""COMPUTED_VALUE"""),"HERIKA SOPHIA COSTA FERNANDES CORTEZ	")</f>
        <v>HERIKA SOPHIA COSTA FERNANDES CORTEZ	</v>
      </c>
      <c r="B64" s="11"/>
      <c r="C64" s="11"/>
      <c r="D64" s="11" t="str">
        <f>IFERROR(__xludf.DUMMYFUNCTION("""COMPUTED_VALUE"""),"Médica eSF")</f>
        <v>Médica eSF</v>
      </c>
      <c r="E64" s="11"/>
      <c r="F64" s="11" t="str">
        <f>IFERROR(__xludf.DUMMYFUNCTION("""COMPUTED_VALUE"""),"US 324 USF ALTO JOSE BONIFACIO")</f>
        <v>US 324 USF ALTO JOSE BONIFACIO</v>
      </c>
      <c r="G64" s="11" t="str">
        <f>IFERROR(__xludf.DUMMYFUNCTION("""COMPUTED_VALUE"""),"US 324 USF ALTO JOSE BONIFACIO")</f>
        <v>US 324 USF ALTO JOSE BONIFACIO</v>
      </c>
      <c r="H64" s="27">
        <f>IFERROR(__xludf.DUMMYFUNCTION("""COMPUTED_VALUE"""),81991282544)</f>
        <v>81991282544</v>
      </c>
      <c r="I64" s="11"/>
      <c r="J64" s="11"/>
      <c r="K64" s="24">
        <f>IFERROR(__xludf.DUMMYFUNCTION("""COMPUTED_VALUE"""),45279)</f>
        <v>45279</v>
      </c>
      <c r="L64" s="11"/>
      <c r="M64" s="11"/>
      <c r="N64" s="11"/>
      <c r="O64" s="11"/>
      <c r="P64" s="11"/>
      <c r="Q64" s="11"/>
      <c r="R64" s="11"/>
      <c r="S64" s="11"/>
      <c r="T64" s="11"/>
      <c r="U64" s="11"/>
      <c r="V64" s="11"/>
      <c r="W64" s="11"/>
      <c r="X64" s="11"/>
      <c r="Y64" s="11"/>
      <c r="Z64" s="11"/>
    </row>
    <row r="65" customHeight="1" spans="1:26">
      <c r="A65" s="11" t="str">
        <f>IFERROR(__xludf.DUMMYFUNCTION("""COMPUTED_VALUE"""),"Debora Barros de Lucena")</f>
        <v>Debora Barros de Lucena</v>
      </c>
      <c r="B65" s="11"/>
      <c r="C65" s="11"/>
      <c r="D65" s="11" t="str">
        <f>IFERROR(__xludf.DUMMYFUNCTION("""COMPUTED_VALUE"""),"Médica eSF")</f>
        <v>Médica eSF</v>
      </c>
      <c r="E65" s="11"/>
      <c r="F65" s="11" t="str">
        <f>IFERROR(__xludf.DUMMYFUNCTION("""COMPUTED_VALUE"""),"US 106 CS PROF JOAQUIM CAVALCANTE")</f>
        <v>US 106 CS PROF JOAQUIM CAVALCANTE</v>
      </c>
      <c r="G65" s="11" t="str">
        <f>IFERROR(__xludf.DUMMYFUNCTION("""COMPUTED_VALUE"""),"US 106 CS PROF JOAQUIM CAVALCANTE")</f>
        <v>US 106 CS PROF JOAQUIM CAVALCANTE</v>
      </c>
      <c r="H65" s="27">
        <f>IFERROR(__xludf.DUMMYFUNCTION("""COMPUTED_VALUE"""),81985712615)</f>
        <v>81985712615</v>
      </c>
      <c r="I65" s="11"/>
      <c r="J65" s="11"/>
      <c r="K65" s="24">
        <f>IFERROR(__xludf.DUMMYFUNCTION("""COMPUTED_VALUE"""),45257)</f>
        <v>45257</v>
      </c>
      <c r="L65" s="11"/>
      <c r="M65" s="11"/>
      <c r="N65" s="11"/>
      <c r="O65" s="11"/>
      <c r="P65" s="11"/>
      <c r="Q65" s="11"/>
      <c r="R65" s="11"/>
      <c r="S65" s="11"/>
      <c r="T65" s="11"/>
      <c r="U65" s="11"/>
      <c r="V65" s="11"/>
      <c r="W65" s="11"/>
      <c r="X65" s="11"/>
      <c r="Y65" s="11"/>
      <c r="Z65" s="11"/>
    </row>
    <row r="66" customHeight="1" spans="1:26">
      <c r="A66" s="11" t="str">
        <f>IFERROR(__xludf.DUMMYFUNCTION("""COMPUTED_VALUE"""),"MARCIO ARAUJO DE NOVAES FERREIRA        ")</f>
        <v>MARCIO ARAUJO DE NOVAES FERREIRA        </v>
      </c>
      <c r="B66" s="11"/>
      <c r="C66" s="11"/>
      <c r="D66" s="11" t="str">
        <f>IFERROR(__xludf.DUMMYFUNCTION("""COMPUTED_VALUE"""),"Médico Clinico ")</f>
        <v>Médico Clinico </v>
      </c>
      <c r="E66" s="11"/>
      <c r="F66" s="11" t="str">
        <f>IFERROR(__xludf.DUMMYFUNCTION("""COMPUTED_VALUE"""),"US 106 CS PROF JOAQUIM CAVALCANTE")</f>
        <v>US 106 CS PROF JOAQUIM CAVALCANTE</v>
      </c>
      <c r="G66" s="11" t="str">
        <f>IFERROR(__xludf.DUMMYFUNCTION("""COMPUTED_VALUE"""),"US 106 CS PROF JOAQUIM CAVALCANTE")</f>
        <v>US 106 CS PROF JOAQUIM CAVALCANTE</v>
      </c>
      <c r="H66" s="11"/>
      <c r="I66" s="11"/>
      <c r="J66" s="11"/>
      <c r="K66" s="11"/>
      <c r="L66" s="11"/>
      <c r="M66" s="11"/>
      <c r="N66" s="11"/>
      <c r="O66" s="11"/>
      <c r="P66" s="11"/>
      <c r="Q66" s="11"/>
      <c r="R66" s="11"/>
      <c r="S66" s="11"/>
      <c r="T66" s="11"/>
      <c r="U66" s="11"/>
      <c r="V66" s="11"/>
      <c r="W66" s="11"/>
      <c r="X66" s="11"/>
      <c r="Y66" s="11"/>
      <c r="Z66" s="11"/>
    </row>
    <row r="67" customHeight="1" spans="1:26">
      <c r="A67" s="11" t="str">
        <f>IFERROR(__xludf.DUMMYFUNCTION("""COMPUTED_VALUE"""),"MARISA DE FATIMA PERI AZEVEDO	")</f>
        <v>MARISA DE FATIMA PERI AZEVEDO	</v>
      </c>
      <c r="B67" s="11"/>
      <c r="C67" s="11"/>
      <c r="D67" s="11" t="str">
        <f>IFERROR(__xludf.DUMMYFUNCTION("""COMPUTED_VALUE"""),"Médica eSF")</f>
        <v>Médica eSF</v>
      </c>
      <c r="E67" s="11"/>
      <c r="F67" s="11" t="str">
        <f>IFERROR(__xludf.DUMMYFUNCTION("""COMPUTED_VALUE"""),"US 373 USF CIDADE OPERARIA")</f>
        <v>US 373 USF CIDADE OPERARIA</v>
      </c>
      <c r="G67" s="11" t="str">
        <f>IFERROR(__xludf.DUMMYFUNCTION("""COMPUTED_VALUE"""),"US 373 USF CIDADE OPERARIA")</f>
        <v>US 373 USF CIDADE OPERARIA</v>
      </c>
      <c r="H67" s="11"/>
      <c r="I67" s="11"/>
      <c r="J67" s="11"/>
      <c r="K67" s="11"/>
      <c r="L67" s="11"/>
      <c r="M67" s="11"/>
      <c r="N67" s="11"/>
      <c r="O67" s="11"/>
      <c r="P67" s="11"/>
      <c r="Q67" s="11"/>
      <c r="R67" s="11"/>
      <c r="S67" s="11"/>
      <c r="T67" s="11"/>
      <c r="U67" s="11"/>
      <c r="V67" s="11"/>
      <c r="W67" s="11"/>
      <c r="X67" s="11"/>
      <c r="Y67" s="11"/>
      <c r="Z67" s="11"/>
    </row>
    <row r="68" customHeight="1" spans="1:26">
      <c r="A68" s="11" t="str">
        <f>IFERROR(__xludf.DUMMYFUNCTION("""COMPUTED_VALUE"""),"WILSON FREDY DE SOUSA XAVIER	")</f>
        <v>WILSON FREDY DE SOUSA XAVIER	</v>
      </c>
      <c r="B68" s="11"/>
      <c r="C68" s="11"/>
      <c r="D68" s="11" t="str">
        <f>IFERROR(__xludf.DUMMYFUNCTION("""COMPUTED_VALUE"""),"Médico Residente")</f>
        <v>Médico Residente</v>
      </c>
      <c r="E68" s="11"/>
      <c r="F68" s="11" t="str">
        <f>IFERROR(__xludf.DUMMYFUNCTION("""COMPUTED_VALUE"""),"US 224 USF CARANGUEIJO")</f>
        <v>US 224 USF CARANGUEIJO</v>
      </c>
      <c r="G68" s="11" t="str">
        <f>IFERROR(__xludf.DUMMYFUNCTION("""COMPUTED_VALUE"""),"US 224 USF CARANGUEIJO")</f>
        <v>US 224 USF CARANGUEIJO</v>
      </c>
      <c r="H68" s="27">
        <f>IFERROR(__xludf.DUMMYFUNCTION("""COMPUTED_VALUE"""),81994071278)</f>
        <v>81994071278</v>
      </c>
      <c r="I68" s="11"/>
      <c r="J68" s="11"/>
      <c r="K68" s="11"/>
      <c r="L68" s="11"/>
      <c r="M68" s="11"/>
      <c r="N68" s="11"/>
      <c r="O68" s="11"/>
      <c r="P68" s="11"/>
      <c r="Q68" s="11"/>
      <c r="R68" s="11"/>
      <c r="S68" s="11"/>
      <c r="T68" s="11"/>
      <c r="U68" s="11"/>
      <c r="V68" s="11"/>
      <c r="W68" s="11"/>
      <c r="X68" s="11"/>
      <c r="Y68" s="11"/>
      <c r="Z68" s="11"/>
    </row>
    <row r="69" customHeight="1" spans="1:26">
      <c r="A69" s="11" t="str">
        <f>IFERROR(__xludf.DUMMYFUNCTION("""COMPUTED_VALUE"""),"CRISTIANE DE AZEVEDO RESENDE DE ALBUQUERQUE")</f>
        <v>CRISTIANE DE AZEVEDO RESENDE DE ALBUQUERQUE</v>
      </c>
      <c r="B69" s="11"/>
      <c r="C69" s="11"/>
      <c r="D69" s="11" t="str">
        <f>IFERROR(__xludf.DUMMYFUNCTION("""COMPUTED_VALUE"""),"Enfermeira eSF")</f>
        <v>Enfermeira eSF</v>
      </c>
      <c r="E69" s="11"/>
      <c r="F69" s="11" t="str">
        <f>IFERROR(__xludf.DUMMYFUNCTION("""COMPUTED_VALUE"""),"US 109 CS FRANCISCO PIGNATARI")</f>
        <v>US 109 CS FRANCISCO PIGNATARI</v>
      </c>
      <c r="G69" s="11" t="str">
        <f>IFERROR(__xludf.DUMMYFUNCTION("""COMPUTED_VALUE"""),"US 109 CS FRANCISCO PIGNATARI")</f>
        <v>US 109 CS FRANCISCO PIGNATARI</v>
      </c>
      <c r="H69" s="27">
        <f>IFERROR(__xludf.DUMMYFUNCTION("""COMPUTED_VALUE"""),81999090404)</f>
        <v>81999090404</v>
      </c>
      <c r="I69" s="11"/>
      <c r="J69" s="11"/>
      <c r="K69" s="24">
        <f>IFERROR(__xludf.DUMMYFUNCTION("""COMPUTED_VALUE"""),45149)</f>
        <v>45149</v>
      </c>
      <c r="L69" s="11"/>
      <c r="M69" s="11"/>
      <c r="N69" s="11"/>
      <c r="O69" s="11"/>
      <c r="P69" s="11"/>
      <c r="Q69" s="11"/>
      <c r="R69" s="11"/>
      <c r="S69" s="11"/>
      <c r="T69" s="11"/>
      <c r="U69" s="11"/>
      <c r="V69" s="11"/>
      <c r="W69" s="11"/>
      <c r="X69" s="11"/>
      <c r="Y69" s="11"/>
      <c r="Z69" s="11"/>
    </row>
    <row r="70" customHeight="1" spans="1:26">
      <c r="A70" s="11" t="str">
        <f>IFERROR(__xludf.DUMMYFUNCTION("""COMPUTED_VALUE"""),"Alisse Maria Chaves de Lima Peixoto")</f>
        <v>Alisse Maria Chaves de Lima Peixoto</v>
      </c>
      <c r="B70" s="11"/>
      <c r="C70" s="11"/>
      <c r="D70" s="11" t="str">
        <f>IFERROR(__xludf.DUMMYFUNCTION("""COMPUTED_VALUE"""),"Enfermeira eSF")</f>
        <v>Enfermeira eSF</v>
      </c>
      <c r="E70" s="11"/>
      <c r="F70" s="11"/>
      <c r="G70" s="11" t="str">
        <f>IFERROR(__xludf.DUMMYFUNCTION("""COMPUTED_VALUE"""),"US_274 USF TIA REGINA/CORREGO DO DEODATO")</f>
        <v>US_274 USF TIA REGINA/CORREGO DO DEODATO</v>
      </c>
      <c r="H70" s="27">
        <f>IFERROR(__xludf.DUMMYFUNCTION("""COMPUTED_VALUE"""),81995028998)</f>
        <v>81995028998</v>
      </c>
      <c r="I70" s="11"/>
      <c r="J70" s="11"/>
      <c r="K70" s="33">
        <f>IFERROR(__xludf.DUMMYFUNCTION("""COMPUTED_VALUE"""),45252)</f>
        <v>45252</v>
      </c>
      <c r="L70" s="11"/>
      <c r="M70" s="11"/>
      <c r="N70" s="11"/>
      <c r="O70" s="11"/>
      <c r="P70" s="11"/>
      <c r="Q70" s="11"/>
      <c r="R70" s="11"/>
      <c r="S70" s="11"/>
      <c r="T70" s="11"/>
      <c r="U70" s="11"/>
      <c r="V70" s="11"/>
      <c r="W70" s="11"/>
      <c r="X70" s="11"/>
      <c r="Y70" s="11"/>
      <c r="Z70" s="11"/>
    </row>
    <row r="71" customHeight="1" spans="1:26">
      <c r="A71" s="11" t="str">
        <f>IFERROR(__xludf.DUMMYFUNCTION("""COMPUTED_VALUE"""),"CAROLINE CAVALCANTI")</f>
        <v>CAROLINE CAVALCANTI</v>
      </c>
      <c r="B71" s="11"/>
      <c r="C71" s="11"/>
      <c r="D71" s="11" t="str">
        <f>IFERROR(__xludf.DUMMYFUNCTION("""COMPUTED_VALUE"""),"Enfermeira eSF")</f>
        <v>Enfermeira eSF</v>
      </c>
      <c r="E71" s="11"/>
      <c r="F71" s="11" t="str">
        <f>IFERROR(__xludf.DUMMYFUNCTION("""COMPUTED_VALUE"""),"US_274 USF TIA REGINA/CORREGO DO DEODATO")</f>
        <v>US_274 USF TIA REGINA/CORREGO DO DEODATO</v>
      </c>
      <c r="G71" s="11" t="str">
        <f>IFERROR(__xludf.DUMMYFUNCTION("""COMPUTED_VALUE"""),"US_274 USF TIA REGINA/CORREGO DO DEODATO")</f>
        <v>US_274 USF TIA REGINA/CORREGO DO DEODATO</v>
      </c>
      <c r="H71" s="27">
        <f>IFERROR(__xludf.DUMMYFUNCTION("""COMPUTED_VALUE"""),81999980455)</f>
        <v>81999980455</v>
      </c>
      <c r="I71" s="11"/>
      <c r="J71" s="11"/>
      <c r="K71" s="11"/>
      <c r="L71" s="11"/>
      <c r="M71" s="11"/>
      <c r="N71" s="11"/>
      <c r="O71" s="11"/>
      <c r="P71" s="11"/>
      <c r="Q71" s="11"/>
      <c r="R71" s="11"/>
      <c r="S71" s="11"/>
      <c r="T71" s="11"/>
      <c r="U71" s="11"/>
      <c r="V71" s="11"/>
      <c r="W71" s="11"/>
      <c r="X71" s="11"/>
      <c r="Y71" s="11"/>
      <c r="Z71" s="11"/>
    </row>
    <row r="72" customHeight="1" spans="1:26">
      <c r="A72" s="11" t="str">
        <f>IFERROR(__xludf.DUMMYFUNCTION("""COMPUTED_VALUE"""),"RENATO ATAIDE MARINHO	")</f>
        <v>RENATO ATAIDE MARINHO	</v>
      </c>
      <c r="B72" s="11"/>
      <c r="C72" s="11"/>
      <c r="D72" s="11" t="str">
        <f>IFERROR(__xludf.DUMMYFUNCTION("""COMPUTED_VALUE"""),"Médico eSF")</f>
        <v>Médico eSF</v>
      </c>
      <c r="E72" s="11"/>
      <c r="F72" s="11" t="str">
        <f>IFERROR(__xludf.DUMMYFUNCTION("""COMPUTED_VALUE"""),"US 251 USF DA GUABIRABA")</f>
        <v>US 251 USF DA GUABIRABA</v>
      </c>
      <c r="G72" s="11" t="str">
        <f>IFERROR(__xludf.DUMMYFUNCTION("""COMPUTED_VALUE"""),"US 251 USF DA GUABIRABA")</f>
        <v>US 251 USF DA GUABIRABA</v>
      </c>
      <c r="H72" s="27">
        <f>IFERROR(__xludf.DUMMYFUNCTION("""COMPUTED_VALUE"""),81998225909)</f>
        <v>81998225909</v>
      </c>
      <c r="I72" s="11"/>
      <c r="J72" s="11"/>
      <c r="K72" s="24">
        <f>IFERROR(__xludf.DUMMYFUNCTION("""COMPUTED_VALUE"""),45257)</f>
        <v>45257</v>
      </c>
      <c r="L72" s="11"/>
      <c r="M72" s="11"/>
      <c r="N72" s="11"/>
      <c r="O72" s="11"/>
      <c r="P72" s="11"/>
      <c r="Q72" s="11"/>
      <c r="R72" s="11"/>
      <c r="S72" s="11"/>
      <c r="T72" s="11"/>
      <c r="U72" s="11"/>
      <c r="V72" s="11"/>
      <c r="W72" s="11"/>
      <c r="X72" s="11"/>
      <c r="Y72" s="11"/>
      <c r="Z72" s="11"/>
    </row>
    <row r="73" customHeight="1" spans="1:26">
      <c r="A73" s="11" t="str">
        <f>IFERROR(__xludf.DUMMYFUNCTION("""COMPUTED_VALUE"""),"ALINE LUNA")</f>
        <v>ALINE LUNA</v>
      </c>
      <c r="B73" s="11"/>
      <c r="C73" s="11"/>
      <c r="D73" s="11" t="str">
        <f>IFERROR(__xludf.DUMMYFUNCTION("""COMPUTED_VALUE"""),"Enfermeira eSF")</f>
        <v>Enfermeira eSF</v>
      </c>
      <c r="E73" s="11"/>
      <c r="F73" s="11" t="str">
        <f>IFERROR(__xludf.DUMMYFUNCTION("""COMPUTED_VALUE"""),"US 106 CS PROF JOAQUIM CAVALCANTE")</f>
        <v>US 106 CS PROF JOAQUIM CAVALCANTE</v>
      </c>
      <c r="G73" s="11" t="str">
        <f>IFERROR(__xludf.DUMMYFUNCTION("""COMPUTED_VALUE"""),"US 106 CS PROF JOAQUIM CAVALCANTE")</f>
        <v>US 106 CS PROF JOAQUIM CAVALCANTE</v>
      </c>
      <c r="H73" s="27">
        <f>IFERROR(__xludf.DUMMYFUNCTION("""COMPUTED_VALUE"""),81994496381)</f>
        <v>81994496381</v>
      </c>
      <c r="I73" s="11"/>
      <c r="J73" s="11"/>
      <c r="K73" s="24">
        <f>IFERROR(__xludf.DUMMYFUNCTION("""COMPUTED_VALUE"""),45149)</f>
        <v>45149</v>
      </c>
      <c r="L73" s="11"/>
      <c r="M73" s="11"/>
      <c r="N73" s="11"/>
      <c r="O73" s="11"/>
      <c r="P73" s="11"/>
      <c r="Q73" s="11"/>
      <c r="R73" s="11"/>
      <c r="S73" s="11"/>
      <c r="T73" s="11"/>
      <c r="U73" s="11"/>
      <c r="V73" s="11"/>
      <c r="W73" s="11"/>
      <c r="X73" s="11"/>
      <c r="Y73" s="11"/>
      <c r="Z73" s="11"/>
    </row>
    <row r="74" customHeight="1" spans="1:26">
      <c r="A74" s="11" t="str">
        <f>IFERROR(__xludf.DUMMYFUNCTION("""COMPUTED_VALUE"""),"ANNE EVELYN GOMES SERRA")</f>
        <v>ANNE EVELYN GOMES SERRA</v>
      </c>
      <c r="B74" s="11"/>
      <c r="C74" s="11"/>
      <c r="D74" s="11" t="str">
        <f>IFERROR(__xludf.DUMMYFUNCTION("""COMPUTED_VALUE"""),"Enfermeira eSF")</f>
        <v>Enfermeira eSF</v>
      </c>
      <c r="E74" s="11"/>
      <c r="F74" s="11" t="str">
        <f>IFERROR(__xludf.DUMMYFUNCTION("""COMPUTED_VALUE"""),"US 119 CS PROF JOSE CARNEIRO LEAO")</f>
        <v>US 119 CS PROF JOSE CARNEIRO LEAO</v>
      </c>
      <c r="G74" s="11" t="str">
        <f>IFERROR(__xludf.DUMMYFUNCTION("""COMPUTED_VALUE"""),"US 119 CS PROF JOSE CARNEIRO LEAO")</f>
        <v>US 119 CS PROF JOSE CARNEIRO LEAO</v>
      </c>
      <c r="H74" s="27">
        <f>IFERROR(__xludf.DUMMYFUNCTION("""COMPUTED_VALUE"""),88996364956)</f>
        <v>88996364956</v>
      </c>
      <c r="I74" s="11"/>
      <c r="J74" s="11"/>
      <c r="K74" s="11"/>
      <c r="L74" s="11"/>
      <c r="M74" s="11"/>
      <c r="N74" s="11"/>
      <c r="O74" s="11"/>
      <c r="P74" s="11"/>
      <c r="Q74" s="11"/>
      <c r="R74" s="11"/>
      <c r="S74" s="11"/>
      <c r="T74" s="11"/>
      <c r="U74" s="11"/>
      <c r="V74" s="11"/>
      <c r="W74" s="11"/>
      <c r="X74" s="11"/>
      <c r="Y74" s="11"/>
      <c r="Z74" s="11"/>
    </row>
    <row r="75" customHeight="1" spans="1:26">
      <c r="A75" s="11" t="str">
        <f>IFERROR(__xludf.DUMMYFUNCTION("""COMPUTED_VALUE"""),"ANA BEATRIZ TENORIO ")</f>
        <v>ANA BEATRIZ TENORIO </v>
      </c>
      <c r="B75" s="11"/>
      <c r="C75" s="11"/>
      <c r="D75" s="11" t="str">
        <f>IFERROR(__xludf.DUMMYFUNCTION("""COMPUTED_VALUE"""),"MÉDICA RESIDENTE")</f>
        <v>MÉDICA RESIDENTE</v>
      </c>
      <c r="E75" s="11"/>
      <c r="F75" s="11"/>
      <c r="G75" s="11" t="str">
        <f>IFERROR(__xludf.DUMMYFUNCTION("""COMPUTED_VALUE"""),"US 249 USF SANTANA")</f>
        <v>US 249 USF SANTANA</v>
      </c>
      <c r="H75" s="27">
        <f>IFERROR(__xludf.DUMMYFUNCTION("""COMPUTED_VALUE"""),83991532639)</f>
        <v>83991532639</v>
      </c>
      <c r="I75" s="11"/>
      <c r="J75" s="11"/>
      <c r="K75" s="24">
        <f>IFERROR(__xludf.DUMMYFUNCTION("""COMPUTED_VALUE"""),45369)</f>
        <v>45369</v>
      </c>
      <c r="L75" s="11"/>
      <c r="M75" s="11"/>
      <c r="N75" s="11"/>
      <c r="O75" s="11"/>
      <c r="P75" s="11"/>
      <c r="Q75" s="11"/>
      <c r="R75" s="11"/>
      <c r="S75" s="11"/>
      <c r="T75" s="11"/>
      <c r="U75" s="11"/>
      <c r="V75" s="11"/>
      <c r="W75" s="11"/>
      <c r="X75" s="11"/>
      <c r="Y75" s="11"/>
      <c r="Z75" s="11"/>
    </row>
    <row r="76" customHeight="1" spans="1:26">
      <c r="A76" s="11" t="str">
        <f>IFERROR(__xludf.DUMMYFUNCTION("""COMPUTED_VALUE"""),"MILENA RODRIGUES VILA REAL")</f>
        <v>MILENA RODRIGUES VILA REAL</v>
      </c>
      <c r="B76" s="11"/>
      <c r="C76" s="11"/>
      <c r="D76" s="11" t="str">
        <f>IFERROR(__xludf.DUMMYFUNCTION("""COMPUTED_VALUE"""),"MÉDICA RESIDENTE")</f>
        <v>MÉDICA RESIDENTE</v>
      </c>
      <c r="E76" s="11"/>
      <c r="F76" s="11"/>
      <c r="G76" s="11" t="str">
        <f>IFERROR(__xludf.DUMMYFUNCTION("""COMPUTED_VALUE"""),"US 249 USF SANTANA")</f>
        <v>US 249 USF SANTANA</v>
      </c>
      <c r="H76" s="27">
        <f>IFERROR(__xludf.DUMMYFUNCTION("""COMPUTED_VALUE"""),81998988811)</f>
        <v>81998988811</v>
      </c>
      <c r="I76" s="11"/>
      <c r="J76" s="11"/>
      <c r="K76" s="24">
        <f>IFERROR(__xludf.DUMMYFUNCTION("""COMPUTED_VALUE"""),45369)</f>
        <v>45369</v>
      </c>
      <c r="L76" s="11"/>
      <c r="M76" s="11"/>
      <c r="N76" s="11"/>
      <c r="O76" s="11"/>
      <c r="P76" s="11"/>
      <c r="Q76" s="11"/>
      <c r="R76" s="11"/>
      <c r="S76" s="11"/>
      <c r="T76" s="11"/>
      <c r="U76" s="11"/>
      <c r="V76" s="11"/>
      <c r="W76" s="11"/>
      <c r="X76" s="11"/>
      <c r="Y76" s="11"/>
      <c r="Z76" s="11"/>
    </row>
    <row r="77" customHeight="1" spans="1:26">
      <c r="A77" s="11" t="str">
        <f>IFERROR(__xludf.DUMMYFUNCTION("""COMPUTED_VALUE"""),"CLARA SANDRES")</f>
        <v>CLARA SANDRES</v>
      </c>
      <c r="B77" s="11"/>
      <c r="C77" s="11"/>
      <c r="D77" s="11" t="str">
        <f>IFERROR(__xludf.DUMMYFUNCTION("""COMPUTED_VALUE"""),"Médica eSF")</f>
        <v>Médica eSF</v>
      </c>
      <c r="E77" s="11"/>
      <c r="F77" s="11" t="str">
        <f>IFERROR(__xludf.DUMMYFUNCTION("""COMPUTED_VALUE"""),"US 395 USF UPINHA DIA DRA FERNANDA WANDERLEY")</f>
        <v>US 395 USF UPINHA DIA DRA FERNANDA WANDERLEY</v>
      </c>
      <c r="G77" s="11" t="str">
        <f>IFERROR(__xludf.DUMMYFUNCTION("""COMPUTED_VALUE"""),"US 395 USF UPINHA DIA DRA FERNANDA WANDERLEY")</f>
        <v>US 395 USF UPINHA DIA DRA FERNANDA WANDERLEY</v>
      </c>
      <c r="H77" s="27">
        <f>IFERROR(__xludf.DUMMYFUNCTION("""COMPUTED_VALUE"""),81994269289)</f>
        <v>81994269289</v>
      </c>
      <c r="I77" s="11"/>
      <c r="J77" s="11"/>
      <c r="K77" s="11"/>
      <c r="L77" s="11"/>
      <c r="M77" s="11"/>
      <c r="N77" s="11"/>
      <c r="O77" s="11"/>
      <c r="P77" s="11"/>
      <c r="Q77" s="11"/>
      <c r="R77" s="11"/>
      <c r="S77" s="11"/>
      <c r="T77" s="11"/>
      <c r="U77" s="11"/>
      <c r="V77" s="11"/>
      <c r="W77" s="11"/>
      <c r="X77" s="11"/>
      <c r="Y77" s="11"/>
      <c r="Z77" s="11"/>
    </row>
    <row r="78" customHeight="1" spans="1:26">
      <c r="A78" s="11" t="str">
        <f>IFERROR(__xludf.DUMMYFUNCTION("""COMPUTED_VALUE"""),"ISABELA CARLA LINS DA NOBREGA FARIAS	")</f>
        <v>ISABELA CARLA LINS DA NOBREGA FARIAS	</v>
      </c>
      <c r="B78" s="11"/>
      <c r="C78" s="11"/>
      <c r="D78" s="11" t="str">
        <f>IFERROR(__xludf.DUMMYFUNCTION("""COMPUTED_VALUE"""),"Médica eSF")</f>
        <v>Médica eSF</v>
      </c>
      <c r="E78" s="11"/>
      <c r="F78" s="11" t="str">
        <f>IFERROR(__xludf.DUMMYFUNCTION("""COMPUTED_VALUE"""),"US 237 USF SITIO DAS PALMEIRAS")</f>
        <v>US 237 USF SITIO DAS PALMEIRAS</v>
      </c>
      <c r="G78" s="11" t="str">
        <f>IFERROR(__xludf.DUMMYFUNCTION("""COMPUTED_VALUE"""),"US 237 USF SITIO DAS PALMEIRAS")</f>
        <v>US 237 USF SITIO DAS PALMEIRAS</v>
      </c>
      <c r="H78" s="11"/>
      <c r="I78" s="11"/>
      <c r="J78" s="11"/>
      <c r="K78" s="11"/>
      <c r="L78" s="11"/>
      <c r="M78" s="11"/>
      <c r="N78" s="11"/>
      <c r="O78" s="11"/>
      <c r="P78" s="11"/>
      <c r="Q78" s="11"/>
      <c r="R78" s="11"/>
      <c r="S78" s="11"/>
      <c r="T78" s="11"/>
      <c r="U78" s="11"/>
      <c r="V78" s="11"/>
      <c r="W78" s="11"/>
      <c r="X78" s="11"/>
      <c r="Y78" s="11"/>
      <c r="Z78" s="11"/>
    </row>
    <row r="79" customHeight="1" spans="1:26">
      <c r="A79" s="11" t="str">
        <f>IFERROR(__xludf.DUMMYFUNCTION("""COMPUTED_VALUE"""),"MILTON MARTINS DE ALMEIDA JUNIOR")</f>
        <v>MILTON MARTINS DE ALMEIDA JUNIOR</v>
      </c>
      <c r="B79" s="11"/>
      <c r="C79" s="11"/>
      <c r="D79" s="11" t="str">
        <f>IFERROR(__xludf.DUMMYFUNCTION("""COMPUTED_VALUE"""),"Médico eSF")</f>
        <v>Médico eSF</v>
      </c>
      <c r="E79" s="11"/>
      <c r="F79" s="11" t="str">
        <f>IFERROR(__xludf.DUMMYFUNCTION("""COMPUTED_VALUE"""),"US 255 USF UPINHA 24H VILA ARRAES")</f>
        <v>US 255 USF UPINHA 24H VILA ARRAES</v>
      </c>
      <c r="G79" s="11" t="str">
        <f>IFERROR(__xludf.DUMMYFUNCTION("""COMPUTED_VALUE"""),"US 255 USF UPINHA 24H VILA ARRAES")</f>
        <v>US 255 USF UPINHA 24H VILA ARRAES</v>
      </c>
      <c r="H79" s="27">
        <f>IFERROR(__xludf.DUMMYFUNCTION("""COMPUTED_VALUE"""),65984585373)</f>
        <v>65984585373</v>
      </c>
      <c r="I79" s="11"/>
      <c r="J79" s="11"/>
      <c r="K79" s="24">
        <f>IFERROR(__xludf.DUMMYFUNCTION("""COMPUTED_VALUE"""),45313)</f>
        <v>45313</v>
      </c>
      <c r="L79" s="11"/>
      <c r="M79" s="11"/>
      <c r="N79" s="11"/>
      <c r="O79" s="11"/>
      <c r="P79" s="11"/>
      <c r="Q79" s="11"/>
      <c r="R79" s="11"/>
      <c r="S79" s="11"/>
      <c r="T79" s="11"/>
      <c r="U79" s="11"/>
      <c r="V79" s="11"/>
      <c r="W79" s="11"/>
      <c r="X79" s="11"/>
      <c r="Y79" s="11"/>
      <c r="Z79" s="11"/>
    </row>
    <row r="80" customHeight="1" spans="1:26">
      <c r="A80" s="11" t="str">
        <f>IFERROR(__xludf.DUMMYFUNCTION("""COMPUTED_VALUE"""),"JULIA CARVALHO TRINDADE DE SA BARRETO	")</f>
        <v>JULIA CARVALHO TRINDADE DE SA BARRETO	</v>
      </c>
      <c r="B80" s="11"/>
      <c r="C80" s="11"/>
      <c r="D80" s="11" t="str">
        <f>IFERROR(__xludf.DUMMYFUNCTION("""COMPUTED_VALUE"""),"Médica eSF")</f>
        <v>Médica eSF</v>
      </c>
      <c r="E80" s="11"/>
      <c r="F80" s="11" t="str">
        <f>IFERROR(__xludf.DUMMYFUNCTION("""COMPUTED_VALUE"""),"US 338 USF UPINHA DIA JARDIM SAO PAULO")</f>
        <v>US 338 USF UPINHA DIA JARDIM SAO PAULO</v>
      </c>
      <c r="G80" s="11" t="str">
        <f>IFERROR(__xludf.DUMMYFUNCTION("""COMPUTED_VALUE"""),"US 338 USF UPINHA DIA JARDIM SAO PAULO")</f>
        <v>US 338 USF UPINHA DIA JARDIM SAO PAULO</v>
      </c>
      <c r="H80" s="27">
        <f>IFERROR(__xludf.DUMMYFUNCTION("""COMPUTED_VALUE"""),81996516966)</f>
        <v>81996516966</v>
      </c>
      <c r="I80" s="11"/>
      <c r="J80" s="11"/>
      <c r="K80" s="33">
        <f>IFERROR(__xludf.DUMMYFUNCTION("""COMPUTED_VALUE"""),45279)</f>
        <v>45279</v>
      </c>
      <c r="L80" s="11"/>
      <c r="M80" s="11"/>
      <c r="N80" s="11"/>
      <c r="O80" s="11"/>
      <c r="P80" s="11"/>
      <c r="Q80" s="11"/>
      <c r="R80" s="11"/>
      <c r="S80" s="11"/>
      <c r="T80" s="11"/>
      <c r="U80" s="11"/>
      <c r="V80" s="11"/>
      <c r="W80" s="11"/>
      <c r="X80" s="11"/>
      <c r="Y80" s="11"/>
      <c r="Z80" s="11"/>
    </row>
    <row r="81" customHeight="1" spans="1:26">
      <c r="A81" s="11" t="str">
        <f>IFERROR(__xludf.DUMMYFUNCTION("""COMPUTED_VALUE"""),"ANDREIA CRISTINA CAMPIGOTTO	")</f>
        <v>ANDREIA CRISTINA CAMPIGOTTO	</v>
      </c>
      <c r="B81" s="11"/>
      <c r="C81" s="11"/>
      <c r="D81" s="11" t="str">
        <f>IFERROR(__xludf.DUMMYFUNCTION("""COMPUTED_VALUE"""),"Médica eSF")</f>
        <v>Médica eSF</v>
      </c>
      <c r="E81" s="11"/>
      <c r="F81" s="11" t="str">
        <f>IFERROR(__xludf.DUMMYFUNCTION("""COMPUTED_VALUE"""),"US 225 USF SKYLAB II")</f>
        <v>US 225 USF SKYLAB II</v>
      </c>
      <c r="G81" s="11" t="str">
        <f>IFERROR(__xludf.DUMMYFUNCTION("""COMPUTED_VALUE"""),"US 225 USF SKYLAB II")</f>
        <v>US 225 USF SKYLAB II</v>
      </c>
      <c r="H81" s="11"/>
      <c r="I81" s="11"/>
      <c r="J81" s="11"/>
      <c r="K81" s="11"/>
      <c r="L81" s="11"/>
      <c r="M81" s="11"/>
      <c r="N81" s="11"/>
      <c r="O81" s="11"/>
      <c r="P81" s="11"/>
      <c r="Q81" s="11"/>
      <c r="R81" s="11"/>
      <c r="S81" s="11"/>
      <c r="T81" s="11"/>
      <c r="U81" s="11"/>
      <c r="V81" s="11"/>
      <c r="W81" s="11"/>
      <c r="X81" s="11"/>
      <c r="Y81" s="11"/>
      <c r="Z81" s="11"/>
    </row>
    <row r="82" customHeight="1" spans="1:26">
      <c r="A82" s="11" t="str">
        <f>IFERROR(__xludf.DUMMYFUNCTION("""COMPUTED_VALUE"""),"DEBORAH DE LIMA COSTA FERREIRA        ")</f>
        <v>DEBORAH DE LIMA COSTA FERREIRA        </v>
      </c>
      <c r="B82" s="11"/>
      <c r="C82" s="11"/>
      <c r="D82" s="11" t="str">
        <f>IFERROR(__xludf.DUMMYFUNCTION("""COMPUTED_VALUE"""),"Médica eSF")</f>
        <v>Médica eSF</v>
      </c>
      <c r="E82" s="11"/>
      <c r="F82" s="11" t="str">
        <f>IFERROR(__xludf.DUMMYFUNCTION("""COMPUTED_VALUE"""),"US 300 USF DR GERALDO BARRETO CAMPELO SAN MARTIN")</f>
        <v>US 300 USF DR GERALDO BARRETO CAMPELO SAN MARTIN</v>
      </c>
      <c r="G82" s="11" t="str">
        <f>IFERROR(__xludf.DUMMYFUNCTION("""COMPUTED_VALUE"""),"US 300 USF DR GERALDO BARRETO CAMPELO SAN MARTIN")</f>
        <v>US 300 USF DR GERALDO BARRETO CAMPELO SAN MARTIN</v>
      </c>
      <c r="H82" s="27">
        <f>IFERROR(__xludf.DUMMYFUNCTION("""COMPUTED_VALUE"""),81998937598)</f>
        <v>81998937598</v>
      </c>
      <c r="I82" s="11"/>
      <c r="J82" s="11"/>
      <c r="K82" s="11"/>
      <c r="L82" s="11"/>
      <c r="M82" s="11"/>
      <c r="N82" s="11"/>
      <c r="O82" s="11"/>
      <c r="P82" s="11"/>
      <c r="Q82" s="11"/>
      <c r="R82" s="11"/>
      <c r="S82" s="11"/>
      <c r="T82" s="11"/>
      <c r="U82" s="11"/>
      <c r="V82" s="11"/>
      <c r="W82" s="11"/>
      <c r="X82" s="11"/>
      <c r="Y82" s="11"/>
      <c r="Z82" s="11"/>
    </row>
    <row r="83" customHeight="1" spans="1:26">
      <c r="A83" s="11" t="str">
        <f>IFERROR(__xludf.DUMMYFUNCTION("""COMPUTED_VALUE"""),"Vânia de Oliveira Santos")</f>
        <v>Vânia de Oliveira Santos</v>
      </c>
      <c r="B83" s="11"/>
      <c r="C83" s="11"/>
      <c r="D83" s="11" t="str">
        <f>IFERROR(__xludf.DUMMYFUNCTION("""COMPUTED_VALUE"""),"Médico eSF")</f>
        <v>Médico eSF</v>
      </c>
      <c r="E83" s="11"/>
      <c r="F83" s="11"/>
      <c r="G83" s="11" t="str">
        <f>IFERROR(__xludf.DUMMYFUNCTION("""COMPUTED_VALUE"""),"US 252 USF ENGENHO DO MEIO")</f>
        <v>US 252 USF ENGENHO DO MEIO</v>
      </c>
      <c r="H83" s="11"/>
      <c r="I83" s="11"/>
      <c r="J83" s="11"/>
      <c r="K83" s="11"/>
      <c r="L83" s="11"/>
      <c r="M83" s="11"/>
      <c r="N83" s="11"/>
      <c r="O83" s="11"/>
      <c r="P83" s="11"/>
      <c r="Q83" s="11"/>
      <c r="R83" s="11"/>
      <c r="S83" s="11"/>
      <c r="T83" s="11"/>
      <c r="U83" s="11"/>
      <c r="V83" s="11"/>
      <c r="W83" s="11"/>
      <c r="X83" s="11"/>
      <c r="Y83" s="11"/>
      <c r="Z83" s="11"/>
    </row>
    <row r="84" customHeight="1" spans="1:26">
      <c r="A84" s="11" t="str">
        <f>IFERROR(__xludf.DUMMYFUNCTION("""COMPUTED_VALUE"""),"SHEILA MAIA")</f>
        <v>SHEILA MAIA</v>
      </c>
      <c r="B84" s="11"/>
      <c r="C84" s="11"/>
      <c r="D84" s="11" t="str">
        <f>IFERROR(__xludf.DUMMYFUNCTION("""COMPUTED_VALUE"""),"Enfermeira eSF")</f>
        <v>Enfermeira eSF</v>
      </c>
      <c r="E84" s="11"/>
      <c r="F84" s="11"/>
      <c r="G84" s="11" t="str">
        <f>IFERROR(__xludf.DUMMYFUNCTION("""COMPUTED_VALUE"""),"US 252 USF ENGENHO DO MEIO")</f>
        <v>US 252 USF ENGENHO DO MEIO</v>
      </c>
      <c r="H84" s="27">
        <f>IFERROR(__xludf.DUMMYFUNCTION("""COMPUTED_VALUE"""),81991971174)</f>
        <v>81991971174</v>
      </c>
      <c r="I84" s="11"/>
      <c r="J84" s="11"/>
      <c r="K84" s="11"/>
      <c r="L84" s="11"/>
      <c r="M84" s="11"/>
      <c r="N84" s="11"/>
      <c r="O84" s="11"/>
      <c r="P84" s="11"/>
      <c r="Q84" s="11"/>
      <c r="R84" s="11"/>
      <c r="S84" s="11"/>
      <c r="T84" s="11"/>
      <c r="U84" s="11"/>
      <c r="V84" s="11"/>
      <c r="W84" s="11"/>
      <c r="X84" s="11"/>
      <c r="Y84" s="11"/>
      <c r="Z84" s="11"/>
    </row>
    <row r="85" customHeight="1" spans="1:26">
      <c r="A85" s="11" t="str">
        <f>IFERROR(__xludf.DUMMYFUNCTION("""COMPUTED_VALUE"""),"LUCAS MONTEIRO")</f>
        <v>LUCAS MONTEIRO</v>
      </c>
      <c r="B85" s="11"/>
      <c r="C85" s="11"/>
      <c r="D85" s="11" t="str">
        <f>IFERROR(__xludf.DUMMYFUNCTION("""COMPUTED_VALUE"""),"Médico eSF")</f>
        <v>Médico eSF</v>
      </c>
      <c r="E85" s="11"/>
      <c r="F85" s="11"/>
      <c r="G85" s="11" t="str">
        <f>IFERROR(__xludf.DUMMYFUNCTION("""COMPUTED_VALUE"""),"US 252 USF ENGENHO DO MEIO")</f>
        <v>US 252 USF ENGENHO DO MEIO</v>
      </c>
      <c r="H85" s="27">
        <f>IFERROR(__xludf.DUMMYFUNCTION("""COMPUTED_VALUE"""),81995879283)</f>
        <v>81995879283</v>
      </c>
      <c r="I85" s="11"/>
      <c r="J85" s="11"/>
      <c r="K85" s="11"/>
      <c r="L85" s="11"/>
      <c r="M85" s="11"/>
      <c r="N85" s="11"/>
      <c r="O85" s="11"/>
      <c r="P85" s="11"/>
      <c r="Q85" s="11"/>
      <c r="R85" s="11"/>
      <c r="S85" s="11"/>
      <c r="T85" s="11"/>
      <c r="U85" s="11"/>
      <c r="V85" s="11"/>
      <c r="W85" s="11"/>
      <c r="X85" s="11"/>
      <c r="Y85" s="11"/>
      <c r="Z85" s="11"/>
    </row>
    <row r="86" customHeight="1" spans="1:26">
      <c r="A86" s="11" t="str">
        <f>IFERROR(__xludf.DUMMYFUNCTION("""COMPUTED_VALUE"""),"Luis Ernesto Clementino Roldão")</f>
        <v>Luis Ernesto Clementino Roldão</v>
      </c>
      <c r="B86" s="11"/>
      <c r="C86" s="11"/>
      <c r="D86" s="11" t="str">
        <f>IFERROR(__xludf.DUMMYFUNCTION("""COMPUTED_VALUE"""),"Médico eSF")</f>
        <v>Médico eSF</v>
      </c>
      <c r="E86" s="11"/>
      <c r="F86" s="11"/>
      <c r="G86" s="11" t="str">
        <f>IFERROR(__xludf.DUMMYFUNCTION("""COMPUTED_VALUE"""),"US 255 USF UPINHA 24H VILA ARRAES        ")</f>
        <v>US 255 USF UPINHA 24H VILA ARRAES        </v>
      </c>
      <c r="H86" s="27">
        <f>IFERROR(__xludf.DUMMYFUNCTION("""COMPUTED_VALUE"""),81987757053)</f>
        <v>81987757053</v>
      </c>
      <c r="I86" s="11"/>
      <c r="J86" s="11"/>
      <c r="K86" s="24">
        <f>IFERROR(__xludf.DUMMYFUNCTION("""COMPUTED_VALUE"""),45303)</f>
        <v>45303</v>
      </c>
      <c r="L86" s="11"/>
      <c r="M86" s="11"/>
      <c r="N86" s="11"/>
      <c r="O86" s="11"/>
      <c r="P86" s="11"/>
      <c r="Q86" s="11"/>
      <c r="R86" s="11"/>
      <c r="S86" s="11"/>
      <c r="T86" s="11"/>
      <c r="U86" s="11"/>
      <c r="V86" s="11"/>
      <c r="W86" s="11"/>
      <c r="X86" s="11"/>
      <c r="Y86" s="11"/>
      <c r="Z86" s="11"/>
    </row>
    <row r="87" customHeight="1" spans="1:26">
      <c r="A87" s="11" t="str">
        <f>IFERROR(__xludf.DUMMYFUNCTION("""COMPUTED_VALUE"""),"Scarlet Santos")</f>
        <v>Scarlet Santos</v>
      </c>
      <c r="B87" s="11"/>
      <c r="C87" s="11"/>
      <c r="D87" s="11" t="str">
        <f>IFERROR(__xludf.DUMMYFUNCTION("""COMPUTED_VALUE"""),"Enfermeira eSF")</f>
        <v>Enfermeira eSF</v>
      </c>
      <c r="E87" s="11"/>
      <c r="F87" s="11" t="str">
        <f>IFERROR(__xludf.DUMMYFUNCTION("""COMPUTED_VALUE"""),"UBT Mário Ramos")</f>
        <v>UBT Mário Ramos</v>
      </c>
      <c r="G87" s="11" t="str">
        <f>IFERROR(__xludf.DUMMYFUNCTION("""COMPUTED_VALUE"""),"UBT Mário Ramos")</f>
        <v>UBT Mário Ramos</v>
      </c>
      <c r="H87" s="27">
        <f>IFERROR(__xludf.DUMMYFUNCTION("""COMPUTED_VALUE"""),81996263439)</f>
        <v>81996263439</v>
      </c>
      <c r="I87" s="11"/>
      <c r="J87" s="11"/>
      <c r="K87" s="11"/>
      <c r="L87" s="11"/>
      <c r="M87" s="11"/>
      <c r="N87" s="11" t="str">
        <f>IFERROR(__xludf.DUMMYFUNCTION("""COMPUTED_VALUE"""),"scarlet_bianca@hotmail.com")</f>
        <v>scarlet_bianca@hotmail.com</v>
      </c>
      <c r="O87" s="11"/>
      <c r="P87" s="11"/>
      <c r="Q87" s="11"/>
      <c r="R87" s="11"/>
      <c r="S87" s="11"/>
      <c r="T87" s="11"/>
      <c r="U87" s="11"/>
      <c r="V87" s="11"/>
      <c r="W87" s="11"/>
      <c r="X87" s="11"/>
      <c r="Y87" s="11"/>
      <c r="Z87" s="11"/>
    </row>
    <row r="88" customHeight="1" spans="1:26">
      <c r="A88" s="11" t="str">
        <f>IFERROR(__xludf.DUMMYFUNCTION("""COMPUTED_VALUE"""),"JULIANA BENEVIDES AMORIM")</f>
        <v>JULIANA BENEVIDES AMORIM</v>
      </c>
      <c r="B88" s="11"/>
      <c r="C88" s="11"/>
      <c r="D88" s="11" t="str">
        <f>IFERROR(__xludf.DUMMYFUNCTION("""COMPUTED_VALUE"""),"Médico eSF")</f>
        <v>Médico eSF</v>
      </c>
      <c r="E88" s="11"/>
      <c r="F88" s="11"/>
      <c r="G88" s="11" t="str">
        <f>IFERROR(__xludf.DUMMYFUNCTION("""COMPUTED_VALUE"""),"US 291 USF ALTO DOS COQUEIROS CORREGO DA JAQUEIRA	")</f>
        <v>US 291 USF ALTO DOS COQUEIROS CORREGO DA JAQUEIRA	</v>
      </c>
      <c r="H88" s="27">
        <f>IFERROR(__xludf.DUMMYFUNCTION("""COMPUTED_VALUE"""),81988086098)</f>
        <v>81988086098</v>
      </c>
      <c r="I88" s="11"/>
      <c r="J88" s="11"/>
      <c r="K88" s="11"/>
      <c r="L88" s="11"/>
      <c r="M88" s="11"/>
      <c r="N88" s="11"/>
      <c r="O88" s="11"/>
      <c r="P88" s="11"/>
      <c r="Q88" s="11"/>
      <c r="R88" s="11"/>
      <c r="S88" s="11"/>
      <c r="T88" s="11"/>
      <c r="U88" s="11"/>
      <c r="V88" s="11"/>
      <c r="W88" s="11"/>
      <c r="X88" s="11"/>
      <c r="Y88" s="11"/>
      <c r="Z88" s="11"/>
    </row>
    <row r="89" customHeight="1" spans="1:26">
      <c r="A89" s="11" t="str">
        <f>IFERROR(__xludf.DUMMYFUNCTION("""COMPUTED_VALUE"""),"Vitor de Assis Farias ")</f>
        <v>Vitor de Assis Farias </v>
      </c>
      <c r="B89" s="11"/>
      <c r="C89" s="11"/>
      <c r="D89" s="11" t="str">
        <f>IFERROR(__xludf.DUMMYFUNCTION("""COMPUTED_VALUE"""),"Médico eSF")</f>
        <v>Médico eSF</v>
      </c>
      <c r="E89" s="11"/>
      <c r="F89" s="11"/>
      <c r="G89" s="11"/>
      <c r="H89" s="27">
        <f>IFERROR(__xludf.DUMMYFUNCTION("""COMPUTED_VALUE"""),81991035065)</f>
        <v>81991035065</v>
      </c>
      <c r="I89" s="11"/>
      <c r="J89" s="11"/>
      <c r="K89" s="11"/>
      <c r="L89" s="11"/>
      <c r="M89" s="11"/>
      <c r="N89" s="11"/>
      <c r="O89" s="11"/>
      <c r="P89" s="11"/>
      <c r="Q89" s="11"/>
      <c r="R89" s="11"/>
      <c r="S89" s="11"/>
      <c r="T89" s="11"/>
      <c r="U89" s="11"/>
      <c r="V89" s="11"/>
      <c r="W89" s="11"/>
      <c r="X89" s="11"/>
      <c r="Y89" s="11"/>
      <c r="Z89" s="11"/>
    </row>
    <row r="90" customHeight="1" spans="1:26">
      <c r="A90" s="11" t="str">
        <f>IFERROR(__xludf.DUMMYFUNCTION("""COMPUTED_VALUE"""),"DAISY")</f>
        <v>DAISY</v>
      </c>
      <c r="B90" s="11"/>
      <c r="C90" s="11"/>
      <c r="D90" s="11" t="str">
        <f>IFERROR(__xludf.DUMMYFUNCTION("""COMPUTED_VALUE"""),"Médico eSF")</f>
        <v>Médico eSF</v>
      </c>
      <c r="E90" s="11"/>
      <c r="F90" s="11"/>
      <c r="G90" s="11"/>
      <c r="H90" s="27">
        <f>IFERROR(__xludf.DUMMYFUNCTION("""COMPUTED_VALUE"""),81985485538)</f>
        <v>81985485538</v>
      </c>
      <c r="I90" s="11"/>
      <c r="J90" s="11"/>
      <c r="K90" s="11"/>
      <c r="L90" s="11"/>
      <c r="M90" s="11"/>
      <c r="N90" s="11"/>
      <c r="O90" s="11"/>
      <c r="P90" s="11"/>
      <c r="Q90" s="11"/>
      <c r="R90" s="11"/>
      <c r="S90" s="11"/>
      <c r="T90" s="11"/>
      <c r="U90" s="11"/>
      <c r="V90" s="11"/>
      <c r="W90" s="11"/>
      <c r="X90" s="11"/>
      <c r="Y90" s="11"/>
      <c r="Z90" s="11"/>
    </row>
    <row r="91" customHeight="1" spans="1:26">
      <c r="A91" s="11" t="str">
        <f>IFERROR(__xludf.DUMMYFUNCTION("""COMPUTED_VALUE"""),"Darlla Regina Da Veiga Pessoa Rodrigues")</f>
        <v>Darlla Regina Da Veiga Pessoa Rodrigues</v>
      </c>
      <c r="B91" s="11"/>
      <c r="C91" s="11"/>
      <c r="D91" s="11" t="str">
        <f>IFERROR(__xludf.DUMMYFUNCTION("""COMPUTED_VALUE"""),"Médico eSF")</f>
        <v>Médico eSF</v>
      </c>
      <c r="E91" s="11"/>
      <c r="F91" s="11"/>
      <c r="G91" s="11" t="str">
        <f>IFERROR(__xludf.DUMMYFUNCTION("""COMPUTED_VALUE"""),"US 331 USF PROF AMAURY DE MEDEIROS")</f>
        <v>US 331 USF PROF AMAURY DE MEDEIROS</v>
      </c>
      <c r="H91" s="27">
        <f>IFERROR(__xludf.DUMMYFUNCTION("""COMPUTED_VALUE"""),81995773582)</f>
        <v>81995773582</v>
      </c>
      <c r="I91" s="11"/>
      <c r="J91" s="11"/>
      <c r="K91" s="24">
        <f>IFERROR(__xludf.DUMMYFUNCTION("""COMPUTED_VALUE"""),45295)</f>
        <v>45295</v>
      </c>
      <c r="L91" s="11"/>
      <c r="M91" s="11"/>
      <c r="N91" s="11" t="str">
        <f>IFERROR(__xludf.DUMMYFUNCTION("""COMPUTED_VALUE"""),"darllarodrigues50@gmail.com")</f>
        <v>darllarodrigues50@gmail.com</v>
      </c>
      <c r="O91" s="11"/>
      <c r="P91" s="11"/>
      <c r="Q91" s="11"/>
      <c r="R91" s="11"/>
      <c r="S91" s="11"/>
      <c r="T91" s="11"/>
      <c r="U91" s="11"/>
      <c r="V91" s="11"/>
      <c r="W91" s="11"/>
      <c r="X91" s="11"/>
      <c r="Y91" s="11"/>
      <c r="Z91" s="11"/>
    </row>
    <row r="92" customHeight="1" spans="1:26">
      <c r="A92" s="11" t="str">
        <f>IFERROR(__xludf.DUMMYFUNCTION("""COMPUTED_VALUE"""),"ANDRE FILIPE FERREIRA LOPES DOS SANTOS")</f>
        <v>ANDRE FILIPE FERREIRA LOPES DOS SANTOS</v>
      </c>
      <c r="B92" s="11"/>
      <c r="C92" s="11"/>
      <c r="D92" s="11" t="str">
        <f>IFERROR(__xludf.DUMMYFUNCTION("""COMPUTED_VALUE"""),"Médico eSF")</f>
        <v>Médico eSF</v>
      </c>
      <c r="E92" s="11"/>
      <c r="F92" s="11"/>
      <c r="G92" s="11"/>
      <c r="H92" s="27">
        <f>IFERROR(__xludf.DUMMYFUNCTION("""COMPUTED_VALUE"""),81979156194)</f>
        <v>81979156194</v>
      </c>
      <c r="I92" s="11"/>
      <c r="J92" s="11"/>
      <c r="K92" s="11"/>
      <c r="L92" s="11"/>
      <c r="M92" s="11"/>
      <c r="N92" s="11"/>
      <c r="O92" s="11"/>
      <c r="P92" s="11"/>
      <c r="Q92" s="11"/>
      <c r="R92" s="11"/>
      <c r="S92" s="11"/>
      <c r="T92" s="11"/>
      <c r="U92" s="11"/>
      <c r="V92" s="11"/>
      <c r="W92" s="11"/>
      <c r="X92" s="11"/>
      <c r="Y92" s="11"/>
      <c r="Z92" s="11"/>
    </row>
    <row r="93" customHeight="1" spans="1:26">
      <c r="A93" s="11" t="str">
        <f>IFERROR(__xludf.DUMMYFUNCTION("""COMPUTED_VALUE"""),"Lucas Campos Studart")</f>
        <v>Lucas Campos Studart</v>
      </c>
      <c r="B93" s="11"/>
      <c r="C93" s="11"/>
      <c r="D93" s="11" t="str">
        <f>IFERROR(__xludf.DUMMYFUNCTION("""COMPUTED_VALUE"""),"Médico eSF")</f>
        <v>Médico eSF</v>
      </c>
      <c r="E93" s="11"/>
      <c r="F93" s="11"/>
      <c r="G93" s="11"/>
      <c r="H93" s="27">
        <f>IFERROR(__xludf.DUMMYFUNCTION("""COMPUTED_VALUE"""),81994213552)</f>
        <v>81994213552</v>
      </c>
      <c r="I93" s="11"/>
      <c r="J93" s="11"/>
      <c r="K93" s="11"/>
      <c r="L93" s="11"/>
      <c r="M93" s="11"/>
      <c r="N93" s="11"/>
      <c r="O93" s="11"/>
      <c r="P93" s="11"/>
      <c r="Q93" s="11"/>
      <c r="R93" s="11"/>
      <c r="S93" s="11"/>
      <c r="T93" s="11"/>
      <c r="U93" s="11"/>
      <c r="V93" s="11"/>
      <c r="W93" s="11"/>
      <c r="X93" s="11"/>
      <c r="Y93" s="11"/>
      <c r="Z93" s="11"/>
    </row>
    <row r="94" customHeight="1" spans="1:26">
      <c r="A94" s="11" t="str">
        <f>IFERROR(__xludf.DUMMYFUNCTION("""COMPUTED_VALUE"""),"EDUARDO KOITI DE MEDEIROS SATO")</f>
        <v>EDUARDO KOITI DE MEDEIROS SATO</v>
      </c>
      <c r="B94" s="11"/>
      <c r="C94" s="11"/>
      <c r="D94" s="11" t="str">
        <f>IFERROR(__xludf.DUMMYFUNCTION("""COMPUTED_VALUE"""),"Médico eSF")</f>
        <v>Médico eSF</v>
      </c>
      <c r="E94" s="11"/>
      <c r="F94" s="11"/>
      <c r="G94" s="11"/>
      <c r="H94" s="27">
        <f>IFERROR(__xludf.DUMMYFUNCTION("""COMPUTED_VALUE"""),81985096993)</f>
        <v>81985096993</v>
      </c>
      <c r="I94" s="11"/>
      <c r="J94" s="11"/>
      <c r="K94" s="11"/>
      <c r="L94" s="11"/>
      <c r="M94" s="11"/>
      <c r="N94" s="11" t="str">
        <f>IFERROR(__xludf.DUMMYFUNCTION("""COMPUTED_VALUE"""),"eduksato@gmail.com")</f>
        <v>eduksato@gmail.com</v>
      </c>
      <c r="O94" s="11"/>
      <c r="P94" s="11"/>
      <c r="Q94" s="11"/>
      <c r="R94" s="11"/>
      <c r="S94" s="11"/>
      <c r="T94" s="11"/>
      <c r="U94" s="11"/>
      <c r="V94" s="11"/>
      <c r="W94" s="11"/>
      <c r="X94" s="11"/>
      <c r="Y94" s="11"/>
      <c r="Z94" s="11"/>
    </row>
    <row r="95" customHeight="1" spans="1:26">
      <c r="A95" s="11" t="str">
        <f>IFERROR(__xludf.DUMMYFUNCTION("""COMPUTED_VALUE"""),"Camila de Andrade")</f>
        <v>Camila de Andrade</v>
      </c>
      <c r="B95" s="11"/>
      <c r="C95" s="11"/>
      <c r="D95" s="11" t="str">
        <f>IFERROR(__xludf.DUMMYFUNCTION("""COMPUTED_VALUE"""),"Médico eSF")</f>
        <v>Médico eSF</v>
      </c>
      <c r="E95" s="11"/>
      <c r="F95" s="11"/>
      <c r="G95" s="11"/>
      <c r="H95" s="27">
        <f>IFERROR(__xludf.DUMMYFUNCTION("""COMPUTED_VALUE"""),81996496134)</f>
        <v>81996496134</v>
      </c>
      <c r="I95" s="11"/>
      <c r="J95" s="11"/>
      <c r="K95" s="11"/>
      <c r="L95" s="11"/>
      <c r="M95" s="11"/>
      <c r="N95" s="11" t="str">
        <f>IFERROR(__xludf.DUMMYFUNCTION("""COMPUTED_VALUE"""),"mila_andrade_7@hotmail.com")</f>
        <v>mila_andrade_7@hotmail.com</v>
      </c>
      <c r="O95" s="11"/>
      <c r="P95" s="11"/>
      <c r="Q95" s="11"/>
      <c r="R95" s="11"/>
      <c r="S95" s="11"/>
      <c r="T95" s="11"/>
      <c r="U95" s="11"/>
      <c r="V95" s="11"/>
      <c r="W95" s="11"/>
      <c r="X95" s="11"/>
      <c r="Y95" s="11"/>
      <c r="Z95" s="11"/>
    </row>
    <row r="96" customHeight="1" spans="1:26">
      <c r="A96" s="11" t="str">
        <f>IFERROR(__xludf.DUMMYFUNCTION("""COMPUTED_VALUE"""),"Monique Plauto")</f>
        <v>Monique Plauto</v>
      </c>
      <c r="B96" s="11"/>
      <c r="C96" s="11"/>
      <c r="D96" s="11" t="str">
        <f>IFERROR(__xludf.DUMMYFUNCTION("""COMPUTED_VALUE"""),"Médico eSF")</f>
        <v>Médico eSF</v>
      </c>
      <c r="E96" s="11"/>
      <c r="F96" s="11"/>
      <c r="G96" s="11"/>
      <c r="H96" s="27">
        <f>IFERROR(__xludf.DUMMYFUNCTION("""COMPUTED_VALUE"""),81992991162)</f>
        <v>81992991162</v>
      </c>
      <c r="I96" s="11"/>
      <c r="J96" s="11"/>
      <c r="K96" s="11"/>
      <c r="L96" s="11"/>
      <c r="M96" s="11"/>
      <c r="N96" s="11" t="str">
        <f>IFERROR(__xludf.DUMMYFUNCTION("""COMPUTED_VALUE"""),"monique_plauto@hotmail.com")</f>
        <v>monique_plauto@hotmail.com</v>
      </c>
      <c r="O96" s="11"/>
      <c r="P96" s="11"/>
      <c r="Q96" s="11"/>
      <c r="R96" s="11"/>
      <c r="S96" s="11"/>
      <c r="T96" s="11"/>
      <c r="U96" s="11"/>
      <c r="V96" s="11"/>
      <c r="W96" s="11"/>
      <c r="X96" s="11"/>
      <c r="Y96" s="11"/>
      <c r="Z96" s="11"/>
    </row>
    <row r="97" customHeight="1" spans="1:26">
      <c r="A97" s="11" t="str">
        <f>IFERROR(__xludf.DUMMYFUNCTION("""COMPUTED_VALUE"""),"Flávia Viana Henriques Lôbo Costa ")</f>
        <v>Flávia Viana Henriques Lôbo Costa </v>
      </c>
      <c r="B97" s="11"/>
      <c r="C97" s="11"/>
      <c r="D97" s="11" t="str">
        <f>IFERROR(__xludf.DUMMYFUNCTION("""COMPUTED_VALUE"""),"Médico eSF")</f>
        <v>Médico eSF</v>
      </c>
      <c r="E97" s="11"/>
      <c r="F97" s="11"/>
      <c r="G97" s="11"/>
      <c r="H97" s="27">
        <f>IFERROR(__xludf.DUMMYFUNCTION("""COMPUTED_VALUE"""),81992282125)</f>
        <v>81992282125</v>
      </c>
      <c r="I97" s="11"/>
      <c r="J97" s="11"/>
      <c r="K97" s="11"/>
      <c r="L97" s="11"/>
      <c r="M97" s="11"/>
      <c r="N97" s="11" t="str">
        <f>IFERROR(__xludf.DUMMYFUNCTION("""COMPUTED_VALUE"""),"flaviavh@gmail.com")</f>
        <v>flaviavh@gmail.com</v>
      </c>
      <c r="O97" s="11"/>
      <c r="P97" s="11"/>
      <c r="Q97" s="11"/>
      <c r="R97" s="11"/>
      <c r="S97" s="11"/>
      <c r="T97" s="11"/>
      <c r="U97" s="11"/>
      <c r="V97" s="11"/>
      <c r="W97" s="11"/>
      <c r="X97" s="11"/>
      <c r="Y97" s="11"/>
      <c r="Z97" s="11"/>
    </row>
    <row r="98" customHeight="1" spans="1:26">
      <c r="A98" s="11" t="str">
        <f>IFERROR(__xludf.DUMMYFUNCTION("""COMPUTED_VALUE"""),"Alana Rebeca")</f>
        <v>Alana Rebeca</v>
      </c>
      <c r="B98" s="11"/>
      <c r="C98" s="11"/>
      <c r="D98" s="11" t="str">
        <f>IFERROR(__xludf.DUMMYFUNCTION("""COMPUTED_VALUE"""),"Médico Residente")</f>
        <v>Médico Residente</v>
      </c>
      <c r="E98" s="11"/>
      <c r="F98" s="11"/>
      <c r="G98" s="11"/>
      <c r="H98" s="27">
        <f>IFERROR(__xludf.DUMMYFUNCTION("""COMPUTED_VALUE"""),81999139837)</f>
        <v>81999139837</v>
      </c>
      <c r="I98" s="11"/>
      <c r="J98" s="11"/>
      <c r="K98" s="11"/>
      <c r="L98" s="11"/>
      <c r="M98" s="11"/>
      <c r="N98" s="11"/>
      <c r="O98" s="11"/>
      <c r="P98" s="11"/>
      <c r="Q98" s="11"/>
      <c r="R98" s="11"/>
      <c r="S98" s="11"/>
      <c r="T98" s="11"/>
      <c r="U98" s="11"/>
      <c r="V98" s="11"/>
      <c r="W98" s="11"/>
      <c r="X98" s="11"/>
      <c r="Y98" s="11"/>
      <c r="Z98" s="11"/>
    </row>
    <row r="99" customHeight="1" spans="1:26">
      <c r="A99" s="11" t="str">
        <f>IFERROR(__xludf.DUMMYFUNCTION("""COMPUTED_VALUE"""),"Arthur Mendonça Severino")</f>
        <v>Arthur Mendonça Severino</v>
      </c>
      <c r="B99" s="11"/>
      <c r="C99" s="11"/>
      <c r="D99" s="11" t="str">
        <f>IFERROR(__xludf.DUMMYFUNCTION("""COMPUTED_VALUE"""),"Médico eSF")</f>
        <v>Médico eSF</v>
      </c>
      <c r="E99" s="11"/>
      <c r="F99" s="11" t="str">
        <f>IFERROR(__xludf.DUMMYFUNCTION("""COMPUTED_VALUE"""),"ALTO DO CAPITÃO")</f>
        <v>ALTO DO CAPITÃO</v>
      </c>
      <c r="G99" s="11"/>
      <c r="H99" s="27">
        <f>IFERROR(__xludf.DUMMYFUNCTION("""COMPUTED_VALUE"""),81996226144)</f>
        <v>81996226144</v>
      </c>
      <c r="I99" s="11"/>
      <c r="J99" s="11"/>
      <c r="K99" s="11"/>
      <c r="L99" s="11"/>
      <c r="M99" s="11"/>
      <c r="N99" s="11"/>
      <c r="O99" s="11"/>
      <c r="P99" s="11"/>
      <c r="Q99" s="11"/>
      <c r="R99" s="11"/>
      <c r="S99" s="11"/>
      <c r="T99" s="11"/>
      <c r="U99" s="11"/>
      <c r="V99" s="11"/>
      <c r="W99" s="11"/>
      <c r="X99" s="11"/>
      <c r="Y99" s="11"/>
      <c r="Z99" s="11"/>
    </row>
    <row r="100" customHeight="1" spans="1:26">
      <c r="A100" s="11" t="str">
        <f>IFERROR(__xludf.DUMMYFUNCTION("""COMPUTED_VALUE"""),"Beatriz Feitosa")</f>
        <v>Beatriz Feitosa</v>
      </c>
      <c r="B100" s="11"/>
      <c r="C100" s="11"/>
      <c r="D100" s="11" t="str">
        <f>IFERROR(__xludf.DUMMYFUNCTION("""COMPUTED_VALUE"""),"Médica eSF")</f>
        <v>Médica eSF</v>
      </c>
      <c r="E100" s="11"/>
      <c r="F100" s="11" t="str">
        <f>IFERROR(__xludf.DUMMYFUNCTION("""COMPUTED_VALUE"""),"USF Irmã Denise no Alto José do Pinho")</f>
        <v>USF Irmã Denise no Alto José do Pinho</v>
      </c>
      <c r="G100" s="11" t="str">
        <f>IFERROR(__xludf.DUMMYFUNCTION("""COMPUTED_VALUE"""),"USF Irmã Denise no Alto José do Pinho")</f>
        <v>USF Irmã Denise no Alto José do Pinho</v>
      </c>
      <c r="H100" s="27">
        <f>IFERROR(__xludf.DUMMYFUNCTION("""COMPUTED_VALUE"""),81999102881)</f>
        <v>81999102881</v>
      </c>
      <c r="I100" s="11"/>
      <c r="J100" s="11"/>
      <c r="K100" s="11"/>
      <c r="L100" s="11"/>
      <c r="M100" s="11"/>
      <c r="N100" s="11"/>
      <c r="O100" s="11"/>
      <c r="P100" s="11"/>
      <c r="Q100" s="11"/>
      <c r="R100" s="11"/>
      <c r="S100" s="11"/>
      <c r="T100" s="11"/>
      <c r="U100" s="11"/>
      <c r="V100" s="11"/>
      <c r="W100" s="11"/>
      <c r="X100" s="11"/>
      <c r="Y100" s="11"/>
      <c r="Z100" s="11"/>
    </row>
    <row r="101" customHeight="1" spans="1:26">
      <c r="A101" s="11" t="str">
        <f>IFERROR(__xludf.DUMMYFUNCTION("""COMPUTED_VALUE"""),"ANA PAULA FERREIRA")</f>
        <v>ANA PAULA FERREIRA</v>
      </c>
      <c r="B101" s="11"/>
      <c r="C101" s="11"/>
      <c r="D101" s="11" t="str">
        <f>IFERROR(__xludf.DUMMYFUNCTION("""COMPUTED_VALUE"""),"Enfermeira eSF")</f>
        <v>Enfermeira eSF</v>
      </c>
      <c r="E101" s="11"/>
      <c r="F101" s="11"/>
      <c r="G101" s="11"/>
      <c r="H101" s="27">
        <f>IFERROR(__xludf.DUMMYFUNCTION("""COMPUTED_VALUE"""),81998101915)</f>
        <v>81998101915</v>
      </c>
      <c r="I101" s="11"/>
      <c r="J101" s="11"/>
      <c r="K101" s="11"/>
      <c r="L101" s="11"/>
      <c r="M101" s="11"/>
      <c r="N101" s="11"/>
      <c r="O101" s="11"/>
      <c r="P101" s="11"/>
      <c r="Q101" s="11"/>
      <c r="R101" s="11"/>
      <c r="S101" s="11"/>
      <c r="T101" s="11"/>
      <c r="U101" s="11"/>
      <c r="V101" s="11"/>
      <c r="W101" s="11"/>
      <c r="X101" s="11"/>
      <c r="Y101" s="11"/>
      <c r="Z101" s="11"/>
    </row>
    <row r="102" customHeight="1" spans="1:26">
      <c r="A102" s="11" t="str">
        <f>IFERROR(__xludf.DUMMYFUNCTION("""COMPUTED_VALUE"""),"Marilia Lins E SILVA")</f>
        <v>Marilia Lins E SILVA</v>
      </c>
      <c r="B102" s="11"/>
      <c r="C102" s="11"/>
      <c r="D102" s="11" t="str">
        <f>IFERROR(__xludf.DUMMYFUNCTION("""COMPUTED_VALUE"""),"DENTISTA")</f>
        <v>DENTISTA</v>
      </c>
      <c r="E102" s="11"/>
      <c r="F102" s="11"/>
      <c r="G102" s="11"/>
      <c r="H102" s="27">
        <f>IFERROR(__xludf.DUMMYFUNCTION("""COMPUTED_VALUE"""),81997831115)</f>
        <v>81997831115</v>
      </c>
      <c r="I102" s="11"/>
      <c r="J102" s="11"/>
      <c r="K102" s="11"/>
      <c r="L102" s="11"/>
      <c r="M102" s="11"/>
      <c r="N102" s="11" t="str">
        <f>IFERROR(__xludf.DUMMYFUNCTION("""COMPUTED_VALUE"""),"marilialinsesilva@gmail.com")</f>
        <v>marilialinsesilva@gmail.com</v>
      </c>
      <c r="O102" s="11"/>
      <c r="P102" s="11"/>
      <c r="Q102" s="11"/>
      <c r="R102" s="11"/>
      <c r="S102" s="11"/>
      <c r="T102" s="11"/>
      <c r="U102" s="11"/>
      <c r="V102" s="11"/>
      <c r="W102" s="11"/>
      <c r="X102" s="11"/>
      <c r="Y102" s="11"/>
      <c r="Z102" s="11"/>
    </row>
    <row r="103" customHeight="1" spans="1:26">
      <c r="A103" s="11" t="str">
        <f>IFERROR(__xludf.DUMMYFUNCTION("""COMPUTED_VALUE"""),"ANA KARLA MACEDO DE ALBUQUERQUE	")</f>
        <v>ANA KARLA MACEDO DE ALBUQUERQUE	</v>
      </c>
      <c r="B103" s="11"/>
      <c r="C103" s="11"/>
      <c r="D103" s="11" t="str">
        <f>IFERROR(__xludf.DUMMYFUNCTION("""COMPUTED_VALUE"""),"Enfermeira eSF")</f>
        <v>Enfermeira eSF</v>
      </c>
      <c r="E103" s="11"/>
      <c r="F103" s="11" t="str">
        <f>IFERROR(__xludf.DUMMYFUNCTION("""COMPUTED_VALUE"""),"US 298 USF JORDAO ALTO")</f>
        <v>US 298 USF JORDAO ALTO</v>
      </c>
      <c r="G103" s="11" t="str">
        <f>IFERROR(__xludf.DUMMYFUNCTION("""COMPUTED_VALUE"""),"US 298 USF JORDAO ALTO")</f>
        <v>US 298 USF JORDAO ALTO</v>
      </c>
      <c r="H103" s="27">
        <f>IFERROR(__xludf.DUMMYFUNCTION("""COMPUTED_VALUE"""),81991116282)</f>
        <v>81991116282</v>
      </c>
      <c r="I103" s="11"/>
      <c r="J103" s="11"/>
      <c r="K103" s="33">
        <f>IFERROR(__xludf.DUMMYFUNCTION("""COMPUTED_VALUE"""),45082)</f>
        <v>45082</v>
      </c>
      <c r="L103" s="11"/>
      <c r="M103" s="11"/>
      <c r="N103" s="11"/>
      <c r="O103" s="11"/>
      <c r="P103" s="11"/>
      <c r="Q103" s="11"/>
      <c r="R103" s="11"/>
      <c r="S103" s="11"/>
      <c r="T103" s="11"/>
      <c r="U103" s="11"/>
      <c r="V103" s="11"/>
      <c r="W103" s="11"/>
      <c r="X103" s="11"/>
      <c r="Y103" s="11"/>
      <c r="Z103" s="11"/>
    </row>
    <row r="104" customHeight="1" spans="1:26">
      <c r="A104" s="11" t="str">
        <f>IFERROR(__xludf.DUMMYFUNCTION("""COMPUTED_VALUE"""),"GIULIA PRATES GAMES")</f>
        <v>GIULIA PRATES GAMES</v>
      </c>
      <c r="B104" s="11"/>
      <c r="C104" s="11"/>
      <c r="D104" s="11" t="str">
        <f>IFERROR(__xludf.DUMMYFUNCTION("""COMPUTED_VALUE"""),"Médica Residente")</f>
        <v>Médica Residente</v>
      </c>
      <c r="E104" s="11"/>
      <c r="F104" s="11" t="str">
        <f>IFERROR(__xludf.DUMMYFUNCTION("""COMPUTED_VALUE"""),"UPINHA EMOCY KRAUSE")</f>
        <v>UPINHA EMOCY KRAUSE</v>
      </c>
      <c r="G104" s="11" t="str">
        <f>IFERROR(__xludf.DUMMYFUNCTION("""COMPUTED_VALUE"""),"UPINHA EMOCY KRAUSE")</f>
        <v>UPINHA EMOCY KRAUSE</v>
      </c>
      <c r="H104" s="27">
        <f>IFERROR(__xludf.DUMMYFUNCTION("""COMPUTED_VALUE"""),11992208610)</f>
        <v>11992208610</v>
      </c>
      <c r="I104" s="11"/>
      <c r="J104" s="11"/>
      <c r="K104" s="33">
        <f>IFERROR(__xludf.DUMMYFUNCTION("""COMPUTED_VALUE"""),45280)</f>
        <v>45280</v>
      </c>
      <c r="L104" s="11"/>
      <c r="M104" s="11"/>
      <c r="N104" s="11"/>
      <c r="O104" s="11"/>
      <c r="P104" s="11"/>
      <c r="Q104" s="11"/>
      <c r="R104" s="11"/>
      <c r="S104" s="11"/>
      <c r="T104" s="11"/>
      <c r="U104" s="11"/>
      <c r="V104" s="11"/>
      <c r="W104" s="11"/>
      <c r="X104" s="11"/>
      <c r="Y104" s="11"/>
      <c r="Z104" s="11"/>
    </row>
    <row r="105" customHeight="1" spans="1:26">
      <c r="A105" s="11" t="str">
        <f>IFERROR(__xludf.DUMMYFUNCTION("""COMPUTED_VALUE"""),"ANA CAROLINE LOPES SOUZA")</f>
        <v>ANA CAROLINE LOPES SOUZA</v>
      </c>
      <c r="B105" s="11"/>
      <c r="C105" s="11"/>
      <c r="D105" s="11" t="str">
        <f>IFERROR(__xludf.DUMMYFUNCTION("""COMPUTED_VALUE"""),"Médica eSF")</f>
        <v>Médica eSF</v>
      </c>
      <c r="E105" s="11"/>
      <c r="F105" s="11" t="str">
        <f>IFERROR(__xludf.DUMMYFUNCTION("""COMPUTED_VALUE"""),"UPINHA EMOCY KRAUSE")</f>
        <v>UPINHA EMOCY KRAUSE</v>
      </c>
      <c r="G105" s="11" t="str">
        <f>IFERROR(__xludf.DUMMYFUNCTION("""COMPUTED_VALUE"""),"US 283 USF VILA BOA VISTA")</f>
        <v>US 283 USF VILA BOA VISTA</v>
      </c>
      <c r="H105" s="27">
        <f>IFERROR(__xludf.DUMMYFUNCTION("""COMPUTED_VALUE"""),81987962707)</f>
        <v>81987962707</v>
      </c>
      <c r="I105" s="11"/>
      <c r="J105" s="11"/>
      <c r="K105" s="11"/>
      <c r="L105" s="11"/>
      <c r="M105" s="11"/>
      <c r="N105" s="11"/>
      <c r="O105" s="11"/>
      <c r="P105" s="11"/>
      <c r="Q105" s="11"/>
      <c r="R105" s="11"/>
      <c r="S105" s="11"/>
      <c r="T105" s="11"/>
      <c r="U105" s="11"/>
      <c r="V105" s="11"/>
      <c r="W105" s="11"/>
      <c r="X105" s="11"/>
      <c r="Y105" s="11"/>
      <c r="Z105" s="11"/>
    </row>
    <row r="106" customHeight="1" spans="1:26">
      <c r="A106" s="11" t="str">
        <f>IFERROR(__xludf.DUMMYFUNCTION("""COMPUTED_VALUE"""),"LUANA LIRA")</f>
        <v>LUANA LIRA</v>
      </c>
      <c r="B106" s="11"/>
      <c r="C106" s="11"/>
      <c r="D106" s="11" t="str">
        <f>IFERROR(__xludf.DUMMYFUNCTION("""COMPUTED_VALUE"""),"MÉDICA RESIDENTE")</f>
        <v>MÉDICA RESIDENTE</v>
      </c>
      <c r="E106" s="11"/>
      <c r="F106" s="11"/>
      <c r="G106" s="11" t="str">
        <f>IFERROR(__xludf.DUMMYFUNCTION("""COMPUTED_VALUE"""),"US 283 USF VILA BOA VISTA")</f>
        <v>US 283 USF VILA BOA VISTA</v>
      </c>
      <c r="H106" s="27">
        <f>IFERROR(__xludf.DUMMYFUNCTION("""COMPUTED_VALUE"""),81993472275)</f>
        <v>81993472275</v>
      </c>
      <c r="I106" s="11"/>
      <c r="J106" s="11"/>
      <c r="K106" s="24">
        <f>IFERROR(__xludf.DUMMYFUNCTION("""COMPUTED_VALUE"""),45370)</f>
        <v>45370</v>
      </c>
      <c r="L106" s="11"/>
      <c r="M106" s="11"/>
      <c r="N106" s="11"/>
      <c r="O106" s="11"/>
      <c r="P106" s="11"/>
      <c r="Q106" s="11"/>
      <c r="R106" s="11"/>
      <c r="S106" s="11"/>
      <c r="T106" s="11"/>
      <c r="U106" s="11"/>
      <c r="V106" s="11"/>
      <c r="W106" s="11"/>
      <c r="X106" s="11"/>
      <c r="Y106" s="11"/>
      <c r="Z106" s="11"/>
    </row>
    <row r="107" customHeight="1" spans="1:26">
      <c r="A107" s="11" t="str">
        <f>IFERROR(__xludf.DUMMYFUNCTION("""COMPUTED_VALUE"""),"DANIELLY TELES DE MELO")</f>
        <v>DANIELLY TELES DE MELO</v>
      </c>
      <c r="B107" s="11"/>
      <c r="C107" s="11"/>
      <c r="D107" s="11" t="str">
        <f>IFERROR(__xludf.DUMMYFUNCTION("""COMPUTED_VALUE"""),"Médica eSF")</f>
        <v>Médica eSF</v>
      </c>
      <c r="E107" s="11" t="str">
        <f>IFERROR(__xludf.DUMMYFUNCTION("""COMPUTED_VALUE"""),"VIII")</f>
        <v>VIII</v>
      </c>
      <c r="F107" s="11" t="str">
        <f>IFERROR(__xludf.DUMMYFUNCTION("""COMPUTED_VALUE"""),"US_341 USF PROF FERNANDES FIGUEIRA PANTANAL")</f>
        <v>US_341 USF PROF FERNANDES FIGUEIRA PANTANAL</v>
      </c>
      <c r="G107" s="11" t="str">
        <f>IFERROR(__xludf.DUMMYFUNCTION("""COMPUTED_VALUE"""),"US 341 USF PROF FERNANDO FIGUEIRA")</f>
        <v>US 341 USF PROF FERNANDO FIGUEIRA</v>
      </c>
      <c r="H107" s="27">
        <f>IFERROR(__xludf.DUMMYFUNCTION("""COMPUTED_VALUE"""),81998907569)</f>
        <v>81998907569</v>
      </c>
      <c r="I107" s="11"/>
      <c r="J107" s="11"/>
      <c r="K107" s="11"/>
      <c r="L107" s="11"/>
      <c r="M107" s="28" t="str">
        <f>IFERROR(__xludf.DUMMYFUNCTION("""COMPUTED_VALUE"""),"3355-4684")</f>
        <v>3355-4684</v>
      </c>
      <c r="N107" s="11" t="str">
        <f>IFERROR(__xludf.DUMMYFUNCTION("""COMPUTED_VALUE"""),"DANIELLYT@GMAIL.COM")</f>
        <v>DANIELLYT@GMAIL.COM</v>
      </c>
      <c r="O107" s="29">
        <f>IFERROR(__xludf.DUMMYFUNCTION("""COMPUTED_VALUE"""),3615950429)</f>
        <v>3615950429</v>
      </c>
      <c r="P107" s="30" t="str">
        <f>IFERROR(__xludf.DUMMYFUNCTION("""COMPUTED_VALUE"""),"708605019977386")</f>
        <v>708605019977386</v>
      </c>
      <c r="Q107" s="30" t="str">
        <f>IFERROR(__xludf.DUMMYFUNCTION("""COMPUTED_VALUE"""),"5392039")</f>
        <v>5392039</v>
      </c>
      <c r="R107" s="30" t="str">
        <f>IFERROR(__xludf.DUMMYFUNCTION("""COMPUTED_VALUE"""),"0000155853")</f>
        <v>0000155853</v>
      </c>
      <c r="S107" s="30" t="str">
        <f>IFERROR(__xludf.DUMMYFUNCTION("""COMPUTED_VALUE"""),"1")</f>
        <v>1</v>
      </c>
      <c r="T107" s="30" t="str">
        <f>IFERROR(__xludf.DUMMYFUNCTION("""COMPUTED_VALUE"""),"225142")</f>
        <v>225142</v>
      </c>
      <c r="U107" s="31" t="str">
        <f>IFERROR(__xludf.DUMMYFUNCTION("""COMPUTED_VALUE"""),"2251")</f>
        <v>2251</v>
      </c>
      <c r="V107" s="11"/>
      <c r="W107" s="30" t="str">
        <f>IFERROR(__xludf.DUMMYFUNCTION("""COMPUTED_VALUE"""),"25/06/1980")</f>
        <v>25/06/1980</v>
      </c>
      <c r="X107" s="11"/>
      <c r="Y107" s="11"/>
      <c r="Z107" s="11"/>
    </row>
    <row r="108" customHeight="1" spans="1:26">
      <c r="A108" s="11" t="str">
        <f>IFERROR(__xludf.DUMMYFUNCTION("""COMPUTED_VALUE"""),"Pamella Thayrynne")</f>
        <v>Pamella Thayrynne</v>
      </c>
      <c r="B108" s="11"/>
      <c r="C108" s="11"/>
      <c r="D108" s="11" t="str">
        <f>IFERROR(__xludf.DUMMYFUNCTION("""COMPUTED_VALUE"""),"Enfermeira eSF")</f>
        <v>Enfermeira eSF</v>
      </c>
      <c r="E108" s="11"/>
      <c r="F108" s="11" t="str">
        <f>IFERROR(__xludf.DUMMYFUNCTION("""COMPUTED_VALUE"""),"PACS UR 01")</f>
        <v>PACS UR 01</v>
      </c>
      <c r="G108" s="11" t="str">
        <f>IFERROR(__xludf.DUMMYFUNCTION("""COMPUTED_VALUE"""),"PACS UR 01")</f>
        <v>PACS UR 01</v>
      </c>
      <c r="H108" s="27">
        <f>IFERROR(__xludf.DUMMYFUNCTION("""COMPUTED_VALUE"""),81998030937)</f>
        <v>81998030937</v>
      </c>
      <c r="I108" s="11"/>
      <c r="J108" s="11"/>
      <c r="K108" s="11"/>
      <c r="L108" s="11"/>
      <c r="M108" s="11"/>
      <c r="N108" s="11"/>
      <c r="O108" s="11"/>
      <c r="P108" s="11"/>
      <c r="Q108" s="11"/>
      <c r="R108" s="11"/>
      <c r="S108" s="11"/>
      <c r="T108" s="11"/>
      <c r="U108" s="11"/>
      <c r="V108" s="11"/>
      <c r="W108" s="11"/>
      <c r="X108" s="11"/>
      <c r="Y108" s="11"/>
      <c r="Z108" s="11"/>
    </row>
    <row r="109" customHeight="1" spans="1:26">
      <c r="A109" s="11" t="str">
        <f>IFERROR(__xludf.DUMMYFUNCTION("""COMPUTED_VALUE"""),"PLINIO AUGUSTO BARROS VERCOSA")</f>
        <v>PLINIO AUGUSTO BARROS VERCOSA</v>
      </c>
      <c r="B109" s="11"/>
      <c r="C109" s="11"/>
      <c r="D109" s="11" t="str">
        <f>IFERROR(__xludf.DUMMYFUNCTION("""COMPUTED_VALUE"""),"Médico eSF")</f>
        <v>Médico eSF</v>
      </c>
      <c r="E109" s="11" t="str">
        <f>IFERROR(__xludf.DUMMYFUNCTION("""COMPUTED_VALUE"""),"IV")</f>
        <v>IV</v>
      </c>
      <c r="F109" s="11" t="str">
        <f>IFERROR(__xludf.DUMMYFUNCTION("""COMPUTED_VALUE"""),"US_337 USF SITIO WANDERLEY")</f>
        <v>US_337 USF SITIO WANDERLEY</v>
      </c>
      <c r="G109" s="11" t="str">
        <f>IFERROR(__xludf.DUMMYFUNCTION("""COMPUTED_VALUE"""),"US 337 USF SITIO WANDERLEY")</f>
        <v>US 337 USF SITIO WANDERLEY</v>
      </c>
      <c r="H109" s="27">
        <f>IFERROR(__xludf.DUMMYFUNCTION("""COMPUTED_VALUE"""),81999689298)</f>
        <v>81999689298</v>
      </c>
      <c r="I109" s="27">
        <f>IFERROR(__xludf.DUMMYFUNCTION("""COMPUTED_VALUE"""),81996099748)</f>
        <v>81996099748</v>
      </c>
      <c r="J109" s="11"/>
      <c r="K109" s="11"/>
      <c r="L109" s="11"/>
      <c r="M109" s="28" t="str">
        <f>IFERROR(__xludf.DUMMYFUNCTION("""COMPUTED_VALUE"""),"3355-6874")</f>
        <v>3355-6874</v>
      </c>
      <c r="N109" s="11" t="str">
        <f>IFERROR(__xludf.DUMMYFUNCTION("""COMPUTED_VALUE"""),"primoplinio@gmail.com")</f>
        <v>primoplinio@gmail.com</v>
      </c>
      <c r="O109" s="29">
        <f>IFERROR(__xludf.DUMMYFUNCTION("""COMPUTED_VALUE"""),5766209479)</f>
        <v>5766209479</v>
      </c>
      <c r="P109" s="30" t="str">
        <f>IFERROR(__xludf.DUMMYFUNCTION("""COMPUTED_VALUE"""),"700005798280009")</f>
        <v>700005798280009</v>
      </c>
      <c r="Q109" s="30" t="str">
        <f>IFERROR(__xludf.DUMMYFUNCTION("""COMPUTED_VALUE"""),"5320380")</f>
        <v>5320380</v>
      </c>
      <c r="R109" s="30" t="str">
        <f>IFERROR(__xludf.DUMMYFUNCTION("""COMPUTED_VALUE"""),"0000155772")</f>
        <v>0000155772</v>
      </c>
      <c r="S109" s="30" t="str">
        <f>IFERROR(__xludf.DUMMYFUNCTION("""COMPUTED_VALUE"""),"1")</f>
        <v>1</v>
      </c>
      <c r="T109" s="30" t="str">
        <f>IFERROR(__xludf.DUMMYFUNCTION("""COMPUTED_VALUE"""),"225142")</f>
        <v>225142</v>
      </c>
      <c r="U109" s="31" t="str">
        <f>IFERROR(__xludf.DUMMYFUNCTION("""COMPUTED_VALUE"""),"2251")</f>
        <v>2251</v>
      </c>
      <c r="V109" s="11"/>
      <c r="W109" s="11"/>
      <c r="X109" s="11">
        <f>IFERROR(__xludf.DUMMYFUNCTION("""COMPUTED_VALUE"""),99689298)</f>
        <v>99689298</v>
      </c>
      <c r="Y109" s="11"/>
      <c r="Z109" s="11">
        <f>IFERROR(__xludf.DUMMYFUNCTION("""COMPUTED_VALUE"""),5766209479)</f>
        <v>5766209479</v>
      </c>
    </row>
    <row r="110" customHeight="1" spans="1:26">
      <c r="A110" s="11" t="str">
        <f>IFERROR(__xludf.DUMMYFUNCTION("""COMPUTED_VALUE"""),"RAFAEL PAZ MENDES	")</f>
        <v>RAFAEL PAZ MENDES	</v>
      </c>
      <c r="B110" s="11"/>
      <c r="C110" s="11"/>
      <c r="D110" s="11" t="str">
        <f>IFERROR(__xludf.DUMMYFUNCTION("""COMPUTED_VALUE"""),"Médico Residente")</f>
        <v>Médico Residente</v>
      </c>
      <c r="E110" s="11" t="str">
        <f>IFERROR(__xludf.DUMMYFUNCTION("""COMPUTED_VALUE"""),"IV")</f>
        <v>IV</v>
      </c>
      <c r="F110" s="11" t="str">
        <f>IFERROR(__xludf.DUMMYFUNCTION("""COMPUTED_VALUE"""),"US 255 USF UPINHA 24H VILA ARRAES")</f>
        <v>US 255 USF UPINHA 24H VILA ARRAES</v>
      </c>
      <c r="G110" s="11" t="str">
        <f>IFERROR(__xludf.DUMMYFUNCTION("""COMPUTED_VALUE"""),"US 255 USF UPINHA 24H VILA ARRAES")</f>
        <v>US 255 USF UPINHA 24H VILA ARRAES</v>
      </c>
      <c r="H110" s="11"/>
      <c r="I110" s="11"/>
      <c r="J110" s="11"/>
      <c r="K110" s="11"/>
      <c r="L110" s="11"/>
      <c r="M110" s="11"/>
      <c r="N110" s="11"/>
      <c r="O110" s="11"/>
      <c r="P110" s="11"/>
      <c r="Q110" s="11"/>
      <c r="R110" s="11"/>
      <c r="S110" s="11"/>
      <c r="T110" s="11"/>
      <c r="U110" s="11"/>
      <c r="V110" s="11"/>
      <c r="W110" s="11"/>
      <c r="X110" s="11"/>
      <c r="Y110" s="11"/>
      <c r="Z110" s="11"/>
    </row>
    <row r="111" customHeight="1" spans="1:26">
      <c r="A111" s="11" t="str">
        <f>IFERROR(__xludf.DUMMYFUNCTION("""COMPUTED_VALUE"""),"Ledna Belo Vilaça")</f>
        <v>Ledna Belo Vilaça</v>
      </c>
      <c r="B111" s="11"/>
      <c r="C111" s="11"/>
      <c r="D111" s="11" t="str">
        <f>IFERROR(__xludf.DUMMYFUNCTION("""COMPUTED_VALUE"""),"Médico eSF")</f>
        <v>Médico eSF</v>
      </c>
      <c r="E111" s="11"/>
      <c r="F111" s="11" t="str">
        <f>IFERROR(__xludf.DUMMYFUNCTION("""COMPUTED_VALUE"""),"US 174 USF SITIO GRANDE")</f>
        <v>US 174 USF SITIO GRANDE</v>
      </c>
      <c r="G111" s="11" t="str">
        <f>IFERROR(__xludf.DUMMYFUNCTION("""COMPUTED_VALUE"""),"US 174 USF SITIO GRANDE")</f>
        <v>US 174 USF SITIO GRANDE</v>
      </c>
      <c r="H111" s="27">
        <f>IFERROR(__xludf.DUMMYFUNCTION("""COMPUTED_VALUE"""),81996661431)</f>
        <v>81996661431</v>
      </c>
      <c r="I111" s="11"/>
      <c r="J111" s="11"/>
      <c r="K111" s="11"/>
      <c r="L111" s="11"/>
      <c r="M111" s="11"/>
      <c r="N111" s="11"/>
      <c r="O111" s="11"/>
      <c r="P111" s="11"/>
      <c r="Q111" s="11"/>
      <c r="R111" s="11"/>
      <c r="S111" s="11"/>
      <c r="T111" s="11"/>
      <c r="U111" s="11"/>
      <c r="V111" s="11"/>
      <c r="W111" s="11"/>
      <c r="X111" s="11"/>
      <c r="Y111" s="11"/>
      <c r="Z111" s="11"/>
    </row>
    <row r="112" customHeight="1" spans="1:26">
      <c r="A112" s="11" t="str">
        <f>IFERROR(__xludf.DUMMYFUNCTION("""COMPUTED_VALUE"""),"PATRICIA SIMON DA SILVA")</f>
        <v>PATRICIA SIMON DA SILVA</v>
      </c>
      <c r="B112" s="11"/>
      <c r="C112" s="11"/>
      <c r="D112" s="11" t="str">
        <f>IFERROR(__xludf.DUMMYFUNCTION("""COMPUTED_VALUE"""),"Enfermeira eSF")</f>
        <v>Enfermeira eSF</v>
      </c>
      <c r="E112" s="11"/>
      <c r="F112" s="11" t="str">
        <f>IFERROR(__xludf.DUMMYFUNCTION("""COMPUTED_VALUE"""),"US 174 USF SITIO GRANDE")</f>
        <v>US 174 USF SITIO GRANDE</v>
      </c>
      <c r="G112" s="11" t="str">
        <f>IFERROR(__xludf.DUMMYFUNCTION("""COMPUTED_VALUE"""),"US 174 USF SITIO GRANDE")</f>
        <v>US 174 USF SITIO GRANDE</v>
      </c>
      <c r="H112" s="11"/>
      <c r="I112" s="11"/>
      <c r="J112" s="11"/>
      <c r="K112" s="11"/>
      <c r="L112" s="11"/>
      <c r="M112" s="11"/>
      <c r="N112" s="11"/>
      <c r="O112" s="11"/>
      <c r="P112" s="11"/>
      <c r="Q112" s="11"/>
      <c r="R112" s="11"/>
      <c r="S112" s="11"/>
      <c r="T112" s="11"/>
      <c r="U112" s="11"/>
      <c r="V112" s="11"/>
      <c r="W112" s="11"/>
      <c r="X112" s="11"/>
      <c r="Y112" s="11"/>
      <c r="Z112" s="11"/>
    </row>
    <row r="113" customHeight="1" spans="1:26">
      <c r="A113" s="11" t="str">
        <f>IFERROR(__xludf.DUMMYFUNCTION("""COMPUTED_VALUE"""),"RAFAEL RENART PEREIRA DA SILVA")</f>
        <v>RAFAEL RENART PEREIRA DA SILVA</v>
      </c>
      <c r="B113" s="11"/>
      <c r="C113" s="11"/>
      <c r="D113" s="11" t="str">
        <f>IFERROR(__xludf.DUMMYFUNCTION("""COMPUTED_VALUE"""),"Médico eSF")</f>
        <v>Médico eSF</v>
      </c>
      <c r="E113" s="11" t="str">
        <f>IFERROR(__xludf.DUMMYFUNCTION("""COMPUTED_VALUE"""),"IV")</f>
        <v>IV</v>
      </c>
      <c r="F113" s="11" t="str">
        <f>IFERROR(__xludf.DUMMYFUNCTION("""COMPUTED_VALUE"""),"US 112 CS DR JOSE DUSTAN CARVALHO SOARES	")</f>
        <v>US 112 CS DR JOSE DUSTAN CARVALHO SOARES	</v>
      </c>
      <c r="G113" s="11" t="str">
        <f>IFERROR(__xludf.DUMMYFUNCTION("""COMPUTED_VALUE"""),"US 112 CS DR JOSE DUSTAN CARVALHO SOARES	")</f>
        <v>US 112 CS DR JOSE DUSTAN CARVALHO SOARES	</v>
      </c>
      <c r="H113" s="27">
        <f>IFERROR(__xludf.DUMMYFUNCTION("""COMPUTED_VALUE"""),81998994156)</f>
        <v>81998994156</v>
      </c>
      <c r="I113" s="11"/>
      <c r="J113" s="11"/>
      <c r="K113" s="33">
        <f>IFERROR(__xludf.DUMMYFUNCTION("""COMPUTED_VALUE"""),45257)</f>
        <v>45257</v>
      </c>
      <c r="L113" s="11"/>
      <c r="M113" s="11"/>
      <c r="N113" s="11"/>
      <c r="O113" s="11"/>
      <c r="P113" s="11"/>
      <c r="Q113" s="11"/>
      <c r="R113" s="11"/>
      <c r="S113" s="11"/>
      <c r="T113" s="11"/>
      <c r="U113" s="11"/>
      <c r="V113" s="11"/>
      <c r="W113" s="11"/>
      <c r="X113" s="11"/>
      <c r="Y113" s="11"/>
      <c r="Z113" s="11"/>
    </row>
    <row r="114" customHeight="1" spans="1:26">
      <c r="A114" s="11" t="str">
        <f>IFERROR(__xludf.DUMMYFUNCTION("""COMPUTED_VALUE"""),"NATHALIA SANTIAGO")</f>
        <v>NATHALIA SANTIAGO</v>
      </c>
      <c r="B114" s="11"/>
      <c r="C114" s="11"/>
      <c r="D114" s="11" t="str">
        <f>IFERROR(__xludf.DUMMYFUNCTION("""COMPUTED_VALUE"""),"Enfermeira eSF")</f>
        <v>Enfermeira eSF</v>
      </c>
      <c r="E114" s="11" t="str">
        <f>IFERROR(__xludf.DUMMYFUNCTION("""COMPUTED_VALUE"""),"II")</f>
        <v>II</v>
      </c>
      <c r="F114" s="11" t="str">
        <f>IFERROR(__xludf.DUMMYFUNCTION("""COMPUTED_VALUE"""),"US 276 USF UPINHA DIA ALTO DO PASCOAL")</f>
        <v>US 276 USF UPINHA DIA ALTO DO PASCOAL</v>
      </c>
      <c r="G114" s="11" t="str">
        <f>IFERROR(__xludf.DUMMYFUNCTION("""COMPUTED_VALUE"""),"US 276 USF UPINHA DIA ALTO DO PASCOAL")</f>
        <v>US 276 USF UPINHA DIA ALTO DO PASCOAL</v>
      </c>
      <c r="H114" s="27">
        <f>IFERROR(__xludf.DUMMYFUNCTION("""COMPUTED_VALUE"""),21993356714)</f>
        <v>21993356714</v>
      </c>
      <c r="I114" s="11"/>
      <c r="J114" s="11"/>
      <c r="K114" s="11"/>
      <c r="L114" s="11"/>
      <c r="M114" s="11"/>
      <c r="N114" s="11"/>
      <c r="O114" s="11"/>
      <c r="P114" s="11"/>
      <c r="Q114" s="11"/>
      <c r="R114" s="11"/>
      <c r="S114" s="11"/>
      <c r="T114" s="11"/>
      <c r="U114" s="11"/>
      <c r="V114" s="11"/>
      <c r="W114" s="11"/>
      <c r="X114" s="11"/>
      <c r="Y114" s="11"/>
      <c r="Z114" s="11"/>
    </row>
    <row r="115" customHeight="1" spans="1:26">
      <c r="A115" s="11" t="str">
        <f>IFERROR(__xludf.DUMMYFUNCTION("""COMPUTED_VALUE"""),"KILDERS MITSHEL LUCAS DE OLIVEIRA	")</f>
        <v>KILDERS MITSHEL LUCAS DE OLIVEIRA	</v>
      </c>
      <c r="B115" s="11"/>
      <c r="C115" s="11"/>
      <c r="D115" s="11" t="str">
        <f>IFERROR(__xludf.DUMMYFUNCTION("""COMPUTED_VALUE"""),"Enfermeiro")</f>
        <v>Enfermeiro</v>
      </c>
      <c r="E115" s="11" t="str">
        <f>IFERROR(__xludf.DUMMYFUNCTION("""COMPUTED_VALUE"""),"IV")</f>
        <v>IV</v>
      </c>
      <c r="F115" s="11" t="str">
        <f>IFERROR(__xludf.DUMMYFUNCTION("""COMPUTED_VALUE"""),"US 112 CS DR JOSE DUSTAN CARVALHO SOARES")</f>
        <v>US 112 CS DR JOSE DUSTAN CARVALHO SOARES</v>
      </c>
      <c r="G115" s="11" t="str">
        <f>IFERROR(__xludf.DUMMYFUNCTION("""COMPUTED_VALUE"""),"US 112 CS DR JOSE DUSTAN CARVALHO SOARES")</f>
        <v>US 112 CS DR JOSE DUSTAN CARVALHO SOARES</v>
      </c>
      <c r="H115" s="11"/>
      <c r="I115" s="11"/>
      <c r="J115" s="11"/>
      <c r="K115" s="11"/>
      <c r="L115" s="11"/>
      <c r="M115" s="11"/>
      <c r="N115" s="11"/>
      <c r="O115" s="11"/>
      <c r="P115" s="11"/>
      <c r="Q115" s="11"/>
      <c r="R115" s="11"/>
      <c r="S115" s="11"/>
      <c r="T115" s="11"/>
      <c r="U115" s="11"/>
      <c r="V115" s="11"/>
      <c r="W115" s="11"/>
      <c r="X115" s="11"/>
      <c r="Y115" s="11"/>
      <c r="Z115" s="11"/>
    </row>
    <row r="116" customHeight="1" spans="1:26">
      <c r="A116" s="11" t="str">
        <f>IFERROR(__xludf.DUMMYFUNCTION("""COMPUTED_VALUE"""),"KARLA KAROLLINE CANDIDA ALVES")</f>
        <v>KARLA KAROLLINE CANDIDA ALVES</v>
      </c>
      <c r="B116" s="11"/>
      <c r="C116" s="11"/>
      <c r="D116" s="11" t="str">
        <f>IFERROR(__xludf.DUMMYFUNCTION("""COMPUTED_VALUE"""),"Enfermeira eSF")</f>
        <v>Enfermeira eSF</v>
      </c>
      <c r="E116" s="11"/>
      <c r="F116" s="11" t="str">
        <f>IFERROR(__xludf.DUMMYFUNCTION("""COMPUTED_VALUE"""),"US 174 USF SITIO GRANDE")</f>
        <v>US 174 USF SITIO GRANDE</v>
      </c>
      <c r="G116" s="11" t="str">
        <f>IFERROR(__xludf.DUMMYFUNCTION("""COMPUTED_VALUE"""),"US 174 USF SITIO GRANDE")</f>
        <v>US 174 USF SITIO GRANDE</v>
      </c>
      <c r="H116" s="27">
        <f>IFERROR(__xludf.DUMMYFUNCTION("""COMPUTED_VALUE"""),81987160014)</f>
        <v>81987160014</v>
      </c>
      <c r="I116" s="11"/>
      <c r="J116" s="11"/>
      <c r="K116" s="11"/>
      <c r="L116" s="11"/>
      <c r="M116" s="11"/>
      <c r="N116" s="11"/>
      <c r="O116" s="11"/>
      <c r="P116" s="11"/>
      <c r="Q116" s="11"/>
      <c r="R116" s="11"/>
      <c r="S116" s="11"/>
      <c r="T116" s="11"/>
      <c r="U116" s="11"/>
      <c r="V116" s="11"/>
      <c r="W116" s="11"/>
      <c r="X116" s="11"/>
      <c r="Y116" s="11"/>
      <c r="Z116" s="11"/>
    </row>
    <row r="117" customHeight="1" spans="1:26">
      <c r="A117" s="11" t="str">
        <f>IFERROR(__xludf.DUMMYFUNCTION("""COMPUTED_VALUE"""),"ROSIMARY DA SILVA SANTOS	")</f>
        <v>ROSIMARY DA SILVA SANTOS	</v>
      </c>
      <c r="B117" s="11"/>
      <c r="C117" s="11"/>
      <c r="D117" s="11" t="str">
        <f>IFERROR(__xludf.DUMMYFUNCTION("""COMPUTED_VALUE"""),"Enfermeira eSF")</f>
        <v>Enfermeira eSF</v>
      </c>
      <c r="E117" s="11" t="str">
        <f>IFERROR(__xludf.DUMMYFUNCTION("""COMPUTED_VALUE"""),"II")</f>
        <v>II</v>
      </c>
      <c r="F117" s="11" t="str">
        <f>IFERROR(__xludf.DUMMYFUNCTION("""COMPUTED_VALUE"""),"US 179 USF ALTO DO CEU")</f>
        <v>US 179 USF ALTO DO CEU</v>
      </c>
      <c r="G117" s="11" t="str">
        <f>IFERROR(__xludf.DUMMYFUNCTION("""COMPUTED_VALUE"""),"US 179 USF ALTO DO CEU")</f>
        <v>US 179 USF ALTO DO CEU</v>
      </c>
      <c r="H117" s="11"/>
      <c r="I117" s="11"/>
      <c r="J117" s="11"/>
      <c r="K117" s="11"/>
      <c r="L117" s="11"/>
      <c r="M117" s="11"/>
      <c r="N117" s="11"/>
      <c r="O117" s="11"/>
      <c r="P117" s="11"/>
      <c r="Q117" s="11"/>
      <c r="R117" s="11"/>
      <c r="S117" s="11"/>
      <c r="T117" s="11"/>
      <c r="U117" s="11"/>
      <c r="V117" s="11"/>
      <c r="W117" s="11"/>
      <c r="X117" s="11"/>
      <c r="Y117" s="11"/>
      <c r="Z117" s="11"/>
    </row>
    <row r="118" customHeight="1" spans="1:26">
      <c r="A118" s="11" t="str">
        <f>IFERROR(__xludf.DUMMYFUNCTION("""COMPUTED_VALUE"""),"Bernardo Gomes")</f>
        <v>Bernardo Gomes</v>
      </c>
      <c r="B118" s="11"/>
      <c r="C118" s="11"/>
      <c r="D118" s="11" t="str">
        <f>IFERROR(__xludf.DUMMYFUNCTION("""COMPUTED_VALUE"""),"Médica eSF")</f>
        <v>Médica eSF</v>
      </c>
      <c r="E118" s="11"/>
      <c r="F118" s="11" t="str">
        <f>IFERROR(__xludf.DUMMYFUNCTION("""COMPUTED_VALUE"""),"USF Coque")</f>
        <v>USF Coque</v>
      </c>
      <c r="G118" s="11" t="str">
        <f>IFERROR(__xludf.DUMMYFUNCTION("""COMPUTED_VALUE"""),"US 218 USF COQUE")</f>
        <v>US 218 USF COQUE</v>
      </c>
      <c r="H118" s="27">
        <f>IFERROR(__xludf.DUMMYFUNCTION("""COMPUTED_VALUE"""),81988751078)</f>
        <v>81988751078</v>
      </c>
      <c r="I118" s="11"/>
      <c r="J118" s="11"/>
      <c r="K118" s="11"/>
      <c r="L118" s="11"/>
      <c r="M118" s="11"/>
      <c r="N118" s="11"/>
      <c r="O118" s="11"/>
      <c r="P118" s="11"/>
      <c r="Q118" s="11"/>
      <c r="R118" s="11"/>
      <c r="S118" s="11"/>
      <c r="T118" s="11"/>
      <c r="U118" s="11"/>
      <c r="V118" s="11"/>
      <c r="W118" s="11"/>
      <c r="X118" s="11"/>
      <c r="Y118" s="11"/>
      <c r="Z118" s="11"/>
    </row>
    <row r="119" customHeight="1" spans="1:26">
      <c r="A119" s="11" t="str">
        <f>IFERROR(__xludf.DUMMYFUNCTION("""COMPUTED_VALUE"""),"MARIA VALERIA RODRIGUES DE MORAIS SEIXAS")</f>
        <v>MARIA VALERIA RODRIGUES DE MORAIS SEIXAS</v>
      </c>
      <c r="B119" s="11"/>
      <c r="C119" s="11"/>
      <c r="D119" s="11" t="str">
        <f>IFERROR(__xludf.DUMMYFUNCTION("""COMPUTED_VALUE"""),"Enfermeira eSF")</f>
        <v>Enfermeira eSF</v>
      </c>
      <c r="E119" s="11" t="str">
        <f>IFERROR(__xludf.DUMMYFUNCTION("""COMPUTED_VALUE"""),"I")</f>
        <v>I</v>
      </c>
      <c r="F119" s="11" t="str">
        <f>IFERROR(__xludf.DUMMYFUNCTION("""COMPUTED_VALUE"""),"US_218 USF COQUE")</f>
        <v>US_218 USF COQUE</v>
      </c>
      <c r="G119" s="11" t="str">
        <f>IFERROR(__xludf.DUMMYFUNCTION("""COMPUTED_VALUE"""),"US 218 USF COQUE")</f>
        <v>US 218 USF COQUE</v>
      </c>
      <c r="H119" s="27">
        <f>IFERROR(__xludf.DUMMYFUNCTION("""COMPUTED_VALUE"""),81986439352)</f>
        <v>81986439352</v>
      </c>
      <c r="I119" s="11"/>
      <c r="J119" s="11"/>
      <c r="K119" s="11"/>
      <c r="L119" s="11"/>
      <c r="M119" s="28" t="str">
        <f>IFERROR(__xludf.DUMMYFUNCTION("""COMPUTED_VALUE"""),"3355-4656")</f>
        <v>3355-4656</v>
      </c>
      <c r="N119" s="11" t="str">
        <f>IFERROR(__xludf.DUMMYFUNCTION("""COMPUTED_VALUE"""),"valmorais65@hotmail.com")</f>
        <v>valmorais65@hotmail.com</v>
      </c>
      <c r="O119" s="29">
        <f>IFERROR(__xludf.DUMMYFUNCTION("""COMPUTED_VALUE"""),36228338404)</f>
        <v>36228338404</v>
      </c>
      <c r="P119" s="30" t="str">
        <f>IFERROR(__xludf.DUMMYFUNCTION("""COMPUTED_VALUE"""),"206066744910002")</f>
        <v>206066744910002</v>
      </c>
      <c r="Q119" s="30" t="str">
        <f>IFERROR(__xludf.DUMMYFUNCTION("""COMPUTED_VALUE"""),"0001252")</f>
        <v>0001252</v>
      </c>
      <c r="R119" s="30" t="str">
        <f>IFERROR(__xludf.DUMMYFUNCTION("""COMPUTED_VALUE"""),"0000153168")</f>
        <v>0000153168</v>
      </c>
      <c r="S119" s="30" t="str">
        <f>IFERROR(__xludf.DUMMYFUNCTION("""COMPUTED_VALUE"""),"1")</f>
        <v>1</v>
      </c>
      <c r="T119" s="30" t="str">
        <f>IFERROR(__xludf.DUMMYFUNCTION("""COMPUTED_VALUE"""),"223565")</f>
        <v>223565</v>
      </c>
      <c r="U119" s="31" t="str">
        <f>IFERROR(__xludf.DUMMYFUNCTION("""COMPUTED_VALUE"""),"2235")</f>
        <v>2235</v>
      </c>
      <c r="V119" s="11"/>
      <c r="W119" s="11"/>
      <c r="X119" s="11"/>
      <c r="Y119" s="11"/>
      <c r="Z119" s="11"/>
    </row>
    <row r="120" customHeight="1" spans="1:26">
      <c r="A120" s="11" t="str">
        <f>IFERROR(__xludf.DUMMYFUNCTION("""COMPUTED_VALUE"""),"LUCAS MACHADO FARIAS")</f>
        <v>LUCAS MACHADO FARIAS</v>
      </c>
      <c r="B120" s="11"/>
      <c r="C120" s="11"/>
      <c r="D120" s="11" t="str">
        <f>IFERROR(__xludf.DUMMYFUNCTION("""COMPUTED_VALUE"""),"MÉDICO")</f>
        <v>MÉDICO</v>
      </c>
      <c r="E120" s="11"/>
      <c r="F120" s="11"/>
      <c r="G120" s="11" t="str">
        <f>IFERROR(__xludf.DUMMYFUNCTION("""COMPUTED_VALUE"""),"USF JARDIM SÃO PAULO")</f>
        <v>USF JARDIM SÃO PAULO</v>
      </c>
      <c r="H120" s="27">
        <f>IFERROR(__xludf.DUMMYFUNCTION("""COMPUTED_VALUE"""),81981603060)</f>
        <v>81981603060</v>
      </c>
      <c r="I120" s="11"/>
      <c r="J120" s="11"/>
      <c r="K120" s="24">
        <f>IFERROR(__xludf.DUMMYFUNCTION("""COMPUTED_VALUE"""),45419)</f>
        <v>45419</v>
      </c>
      <c r="L120" s="11"/>
      <c r="M120" s="11"/>
      <c r="N120" s="11"/>
      <c r="O120" s="11"/>
      <c r="P120" s="11"/>
      <c r="Q120" s="11"/>
      <c r="R120" s="11"/>
      <c r="S120" s="11"/>
      <c r="T120" s="11"/>
      <c r="U120" s="11"/>
      <c r="V120" s="11"/>
      <c r="W120" s="11"/>
      <c r="X120" s="11"/>
      <c r="Y120" s="11"/>
      <c r="Z120" s="11"/>
    </row>
    <row r="121" customHeight="1" spans="1:26">
      <c r="A121" s="11" t="str">
        <f>IFERROR(__xludf.DUMMYFUNCTION("""COMPUTED_VALUE"""),"MARIA LOUIZE MARQUES CALIXTO	")</f>
        <v>MARIA LOUIZE MARQUES CALIXTO	</v>
      </c>
      <c r="B121" s="11"/>
      <c r="C121" s="11"/>
      <c r="D121" s="11" t="str">
        <f>IFERROR(__xludf.DUMMYFUNCTION("""COMPUTED_VALUE"""),"Enfermeira ")</f>
        <v>Enfermeira </v>
      </c>
      <c r="E121" s="11" t="str">
        <f>IFERROR(__xludf.DUMMYFUNCTION("""COMPUTED_VALUE"""),"IV")</f>
        <v>IV</v>
      </c>
      <c r="F121" s="11" t="str">
        <f>IFERROR(__xludf.DUMMYFUNCTION("""COMPUTED_VALUE"""),"US 234 USF RODA DE FOGO COSIROF")</f>
        <v>US 234 USF RODA DE FOGO COSIROF</v>
      </c>
      <c r="G121" s="11" t="str">
        <f>IFERROR(__xludf.DUMMYFUNCTION("""COMPUTED_VALUE"""),"US 234 USF RODA DE FOGO COSIROF")</f>
        <v>US 234 USF RODA DE FOGO COSIROF</v>
      </c>
      <c r="H121" s="11"/>
      <c r="I121" s="11"/>
      <c r="J121" s="11"/>
      <c r="K121" s="11"/>
      <c r="L121" s="11"/>
      <c r="M121" s="11"/>
      <c r="N121" s="11"/>
      <c r="O121" s="11"/>
      <c r="P121" s="11"/>
      <c r="Q121" s="11"/>
      <c r="R121" s="11"/>
      <c r="S121" s="11"/>
      <c r="T121" s="11"/>
      <c r="U121" s="11"/>
      <c r="V121" s="11"/>
      <c r="W121" s="11"/>
      <c r="X121" s="11"/>
      <c r="Y121" s="11"/>
      <c r="Z121" s="11"/>
    </row>
    <row r="122" customHeight="1" spans="1:26">
      <c r="A122" s="11" t="str">
        <f>IFERROR(__xludf.DUMMYFUNCTION("""COMPUTED_VALUE"""),"POLIANA VILAR TORRES FERREIRA")</f>
        <v>POLIANA VILAR TORRES FERREIRA</v>
      </c>
      <c r="B122" s="11"/>
      <c r="C122" s="11"/>
      <c r="D122" s="11" t="str">
        <f>IFERROR(__xludf.DUMMYFUNCTION("""COMPUTED_VALUE"""),"Médica eSF")</f>
        <v>Médica eSF</v>
      </c>
      <c r="E122" s="11" t="str">
        <f>IFERROR(__xludf.DUMMYFUNCTION("""COMPUTED_VALUE"""),"V")</f>
        <v>V</v>
      </c>
      <c r="F122" s="11" t="str">
        <f>IFERROR(__xludf.DUMMYFUNCTION("""COMPUTED_VALUE"""),"US_338 USF UPINHA DIA JARDIM SAO PAULO")</f>
        <v>US_338 USF UPINHA DIA JARDIM SAO PAULO</v>
      </c>
      <c r="G122" s="11" t="str">
        <f>IFERROR(__xludf.DUMMYFUNCTION("""COMPUTED_VALUE"""),"US 338 USF UPINHA DIA JARDIM SAO PAULO")</f>
        <v>US 338 USF UPINHA DIA JARDIM SAO PAULO</v>
      </c>
      <c r="H122" s="27">
        <f>IFERROR(__xludf.DUMMYFUNCTION("""COMPUTED_VALUE"""),81986376148)</f>
        <v>81986376148</v>
      </c>
      <c r="I122" s="27">
        <f>IFERROR(__xludf.DUMMYFUNCTION("""COMPUTED_VALUE"""),81987757832)</f>
        <v>81987757832</v>
      </c>
      <c r="J122" s="11"/>
      <c r="K122" s="11"/>
      <c r="L122" s="11"/>
      <c r="M122" s="28" t="str">
        <f>IFERROR(__xludf.DUMMYFUNCTION("""COMPUTED_VALUE"""),"3355-6138")</f>
        <v>3355-6138</v>
      </c>
      <c r="N122" s="11" t="str">
        <f>IFERROR(__xludf.DUMMYFUNCTION("""COMPUTED_VALUE"""),"polianavilar23@hotmail.com")</f>
        <v>polianavilar23@hotmail.com</v>
      </c>
      <c r="O122" s="29">
        <f>IFERROR(__xludf.DUMMYFUNCTION("""COMPUTED_VALUE"""),95553673534)</f>
        <v>95553673534</v>
      </c>
      <c r="P122" s="30" t="str">
        <f>IFERROR(__xludf.DUMMYFUNCTION("""COMPUTED_VALUE"""),"980016278468587")</f>
        <v>980016278468587</v>
      </c>
      <c r="Q122" s="30" t="str">
        <f>IFERROR(__xludf.DUMMYFUNCTION("""COMPUTED_VALUE"""),"5342074")</f>
        <v>5342074</v>
      </c>
      <c r="R122" s="30" t="str">
        <f>IFERROR(__xludf.DUMMYFUNCTION("""COMPUTED_VALUE"""),"0001676865")</f>
        <v>0001676865</v>
      </c>
      <c r="S122" s="30" t="str">
        <f>IFERROR(__xludf.DUMMYFUNCTION("""COMPUTED_VALUE"""),"1")</f>
        <v>1</v>
      </c>
      <c r="T122" s="30" t="str">
        <f>IFERROR(__xludf.DUMMYFUNCTION("""COMPUTED_VALUE"""),"225142")</f>
        <v>225142</v>
      </c>
      <c r="U122" s="31" t="str">
        <f>IFERROR(__xludf.DUMMYFUNCTION("""COMPUTED_VALUE"""),"2251")</f>
        <v>2251</v>
      </c>
      <c r="V122" s="11" t="str">
        <f>IFERROR(__xludf.DUMMYFUNCTION("""COMPUTED_VALUE"""),"SIM")</f>
        <v>SIM</v>
      </c>
      <c r="W122" s="30" t="str">
        <f>IFERROR(__xludf.DUMMYFUNCTION("""COMPUTED_VALUE"""),"15/08/1979")</f>
        <v>15/08/1979</v>
      </c>
      <c r="X122" s="11" t="str">
        <f>IFERROR(__xludf.DUMMYFUNCTION("""COMPUTED_VALUE"""),"#N/A")</f>
        <v>#N/A</v>
      </c>
      <c r="Y122" s="11" t="str">
        <f>IFERROR(__xludf.DUMMYFUNCTION("""COMPUTED_VALUE"""),"#N/A")</f>
        <v>#N/A</v>
      </c>
      <c r="Z122" s="11" t="str">
        <f>IFERROR(__xludf.DUMMYFUNCTION("""COMPUTED_VALUE"""),"#N/A")</f>
        <v>#N/A</v>
      </c>
    </row>
    <row r="123" customHeight="1" spans="1:26">
      <c r="A123" s="11" t="str">
        <f>IFERROR(__xludf.DUMMYFUNCTION("""COMPUTED_VALUE"""),"KATARINA LIGIA VASCONCELOS SOUTO MAIOR")</f>
        <v>KATARINA LIGIA VASCONCELOS SOUTO MAIOR</v>
      </c>
      <c r="B123" s="11"/>
      <c r="C123" s="11"/>
      <c r="D123" s="11" t="str">
        <f>IFERROR(__xludf.DUMMYFUNCTION("""COMPUTED_VALUE"""),"Médica eSF")</f>
        <v>Médica eSF</v>
      </c>
      <c r="E123" s="11" t="str">
        <f>IFERROR(__xludf.DUMMYFUNCTION("""COMPUTED_VALUE"""),"II")</f>
        <v>II</v>
      </c>
      <c r="F123" s="11" t="str">
        <f>IFERROR(__xludf.DUMMYFUNCTION("""COMPUTED_VALUE"""),"US_244 USF PROFESSOR ANTONIO FRANCISCO AREIA/ PEIXINHOS/SARAMANDAIA")</f>
        <v>US_244 USF PROFESSOR ANTONIO FRANCISCO AREIA/ PEIXINHOS/SARAMANDAIA</v>
      </c>
      <c r="G123" s="11" t="str">
        <f>IFERROR(__xludf.DUMMYFUNCTION("""COMPUTED_VALUE"""),"US 244 USF PROF ANTONIO FRANCISCO AREIAS")</f>
        <v>US 244 USF PROF ANTONIO FRANCISCO AREIAS</v>
      </c>
      <c r="H123" s="27">
        <f>IFERROR(__xludf.DUMMYFUNCTION("""COMPUTED_VALUE"""),81996021424)</f>
        <v>81996021424</v>
      </c>
      <c r="I123" s="11"/>
      <c r="J123" s="11"/>
      <c r="K123" s="11"/>
      <c r="L123" s="11"/>
      <c r="M123" s="28" t="str">
        <f>IFERROR(__xludf.DUMMYFUNCTION("""COMPUTED_VALUE"""),"3355-6212")</f>
        <v>3355-6212</v>
      </c>
      <c r="N123" s="11" t="str">
        <f>IFERROR(__xludf.DUMMYFUNCTION("""COMPUTED_VALUE"""),"katarinalcv@gmail.com")</f>
        <v>katarinalcv@gmail.com</v>
      </c>
      <c r="O123" s="29">
        <f>IFERROR(__xludf.DUMMYFUNCTION("""COMPUTED_VALUE"""),7390071494)</f>
        <v>7390071494</v>
      </c>
      <c r="P123" s="30" t="str">
        <f>IFERROR(__xludf.DUMMYFUNCTION("""COMPUTED_VALUE"""),"980016295750279")</f>
        <v>980016295750279</v>
      </c>
      <c r="Q123" s="30" t="str">
        <f>IFERROR(__xludf.DUMMYFUNCTION("""COMPUTED_VALUE"""),"0022268")</f>
        <v>0022268</v>
      </c>
      <c r="R123" s="30" t="str">
        <f>IFERROR(__xludf.DUMMYFUNCTION("""COMPUTED_VALUE"""),"0000153672")</f>
        <v>0000153672</v>
      </c>
      <c r="S123" s="30" t="str">
        <f>IFERROR(__xludf.DUMMYFUNCTION("""COMPUTED_VALUE"""),"1")</f>
        <v>1</v>
      </c>
      <c r="T123" s="30" t="str">
        <f>IFERROR(__xludf.DUMMYFUNCTION("""COMPUTED_VALUE"""),"225142")</f>
        <v>225142</v>
      </c>
      <c r="U123" s="11">
        <f>IFERROR(__xludf.DUMMYFUNCTION("""COMPUTED_VALUE"""),2251)</f>
        <v>2251</v>
      </c>
      <c r="V123" s="11"/>
      <c r="W123" s="11"/>
      <c r="X123" s="11" t="str">
        <f>IFERROR(__xludf.DUMMYFUNCTION("""COMPUTED_VALUE"""),"#N/A")</f>
        <v>#N/A</v>
      </c>
      <c r="Y123" s="11" t="str">
        <f>IFERROR(__xludf.DUMMYFUNCTION("""COMPUTED_VALUE"""),"#N/A")</f>
        <v>#N/A</v>
      </c>
      <c r="Z123" s="11" t="str">
        <f>IFERROR(__xludf.DUMMYFUNCTION("""COMPUTED_VALUE"""),"#N/A")</f>
        <v>#N/A</v>
      </c>
    </row>
    <row r="124" customHeight="1" spans="1:26">
      <c r="A124" s="11" t="str">
        <f>IFERROR(__xludf.DUMMYFUNCTION("""COMPUTED_VALUE"""),"EMANUEL FONSECA DE MORAIS")</f>
        <v>EMANUEL FONSECA DE MORAIS</v>
      </c>
      <c r="B124" s="11"/>
      <c r="C124" s="11"/>
      <c r="D124" s="11" t="str">
        <f>IFERROR(__xludf.DUMMYFUNCTION("""COMPUTED_VALUE"""),"Médico eSF")</f>
        <v>Médico eSF</v>
      </c>
      <c r="E124" s="11" t="str">
        <f>IFERROR(__xludf.DUMMYFUNCTION("""COMPUTED_VALUE"""),"II")</f>
        <v>II</v>
      </c>
      <c r="F124" s="11" t="str">
        <f>IFERROR(__xludf.DUMMYFUNCTION("""COMPUTED_VALUE"""),"US_244 USF PROFESSOR ANTONIO FRANCISCO AREIA/ PEIXINHOS/SARAMANDAIA")</f>
        <v>US_244 USF PROFESSOR ANTONIO FRANCISCO AREIA/ PEIXINHOS/SARAMANDAIA</v>
      </c>
      <c r="G124" s="11" t="str">
        <f>IFERROR(__xludf.DUMMYFUNCTION("""COMPUTED_VALUE"""),"US 244 USF PROF ANTONIO FRANCISCO AREIAS")</f>
        <v>US 244 USF PROF ANTONIO FRANCISCO AREIAS</v>
      </c>
      <c r="H124" s="27">
        <f>IFERROR(__xludf.DUMMYFUNCTION("""COMPUTED_VALUE"""),81999606393)</f>
        <v>81999606393</v>
      </c>
      <c r="I124" s="11"/>
      <c r="J124" s="11"/>
      <c r="K124" s="11"/>
      <c r="L124" s="11"/>
      <c r="M124" s="28" t="str">
        <f>IFERROR(__xludf.DUMMYFUNCTION("""COMPUTED_VALUE"""),"3355-6212")</f>
        <v>3355-6212</v>
      </c>
      <c r="N124" s="11" t="str">
        <f>IFERROR(__xludf.DUMMYFUNCTION("""COMPUTED_VALUE"""),"manufonseca79@gmail.com")</f>
        <v>manufonseca79@gmail.com</v>
      </c>
      <c r="O124" s="29">
        <f>IFERROR(__xludf.DUMMYFUNCTION("""COMPUTED_VALUE"""),3370359464)</f>
        <v>3370359464</v>
      </c>
      <c r="P124" s="30" t="str">
        <f>IFERROR(__xludf.DUMMYFUNCTION("""COMPUTED_VALUE"""),"980016284594831")</f>
        <v>980016284594831</v>
      </c>
      <c r="Q124" s="30" t="str">
        <f>IFERROR(__xludf.DUMMYFUNCTION("""COMPUTED_VALUE"""),"0022268")</f>
        <v>0022268</v>
      </c>
      <c r="R124" s="30" t="str">
        <f>IFERROR(__xludf.DUMMYFUNCTION("""COMPUTED_VALUE"""),"0000153664")</f>
        <v>0000153664</v>
      </c>
      <c r="S124" s="30" t="str">
        <f>IFERROR(__xludf.DUMMYFUNCTION("""COMPUTED_VALUE"""),"1")</f>
        <v>1</v>
      </c>
      <c r="T124" s="30" t="str">
        <f>IFERROR(__xludf.DUMMYFUNCTION("""COMPUTED_VALUE"""),"225142")</f>
        <v>225142</v>
      </c>
      <c r="U124" s="11">
        <f>IFERROR(__xludf.DUMMYFUNCTION("""COMPUTED_VALUE"""),2251)</f>
        <v>2251</v>
      </c>
      <c r="V124" s="11"/>
      <c r="W124" s="30" t="str">
        <f>IFERROR(__xludf.DUMMYFUNCTION("""COMPUTED_VALUE"""),"26/12/1979")</f>
        <v>26/12/1979</v>
      </c>
      <c r="X124" s="11"/>
      <c r="Y124" s="11"/>
      <c r="Z124" s="11"/>
    </row>
    <row r="125" customHeight="1" spans="1:26">
      <c r="A125" s="11" t="str">
        <f>IFERROR(__xludf.DUMMYFUNCTION("""COMPUTED_VALUE"""),"VIVIANE FERREIRA DE VASCONCELOS")</f>
        <v>VIVIANE FERREIRA DE VASCONCELOS</v>
      </c>
      <c r="B125" s="11"/>
      <c r="C125" s="11"/>
      <c r="D125" s="11" t="str">
        <f>IFERROR(__xludf.DUMMYFUNCTION("""COMPUTED_VALUE"""),"Médico eSF")</f>
        <v>Médico eSF</v>
      </c>
      <c r="E125" s="11" t="str">
        <f>IFERROR(__xludf.DUMMYFUNCTION("""COMPUTED_VALUE"""),"VII")</f>
        <v>VII</v>
      </c>
      <c r="F125" s="11" t="str">
        <f>IFERROR(__xludf.DUMMYFUNCTION("""COMPUTED_VALUE"""),"US_305 USF DA MACAXEIRA")</f>
        <v>US_305 USF DA MACAXEIRA</v>
      </c>
      <c r="G125" s="11" t="str">
        <f>IFERROR(__xludf.DUMMYFUNCTION("""COMPUTED_VALUE"""),"US 305 USF DA MACAXEIRA")</f>
        <v>US 305 USF DA MACAXEIRA</v>
      </c>
      <c r="H125" s="27">
        <f>IFERROR(__xludf.DUMMYFUNCTION("""COMPUTED_VALUE"""),81996794069)</f>
        <v>81996794069</v>
      </c>
      <c r="I125" s="11"/>
      <c r="J125" s="11"/>
      <c r="K125" s="11"/>
      <c r="L125" s="11"/>
      <c r="M125" s="28" t="str">
        <f>IFERROR(__xludf.DUMMYFUNCTION("""COMPUTED_VALUE"""),"3355-6839")</f>
        <v>3355-6839</v>
      </c>
      <c r="N125" s="11" t="str">
        <f>IFERROR(__xludf.DUMMYFUNCTION("""COMPUTED_VALUE"""),"VIFVASCONCELOS2@GMAIL.COM")</f>
        <v>VIFVASCONCELOS2@GMAIL.COM</v>
      </c>
      <c r="O125" s="29">
        <f>IFERROR(__xludf.DUMMYFUNCTION("""COMPUTED_VALUE"""),74642669272)</f>
        <v>74642669272</v>
      </c>
      <c r="P125" s="30" t="str">
        <f>IFERROR(__xludf.DUMMYFUNCTION("""COMPUTED_VALUE"""),"980016289526532")</f>
        <v>980016289526532</v>
      </c>
      <c r="Q125" s="30" t="str">
        <f>IFERROR(__xludf.DUMMYFUNCTION("""COMPUTED_VALUE"""),"3302008")</f>
        <v>3302008</v>
      </c>
      <c r="R125" s="30" t="str">
        <f>IFERROR(__xludf.DUMMYFUNCTION("""COMPUTED_VALUE"""),"0000155276")</f>
        <v>0000155276</v>
      </c>
      <c r="S125" s="30" t="str">
        <f>IFERROR(__xludf.DUMMYFUNCTION("""COMPUTED_VALUE"""),"1")</f>
        <v>1</v>
      </c>
      <c r="T125" s="30" t="str">
        <f>IFERROR(__xludf.DUMMYFUNCTION("""COMPUTED_VALUE"""),"225142")</f>
        <v>225142</v>
      </c>
      <c r="U125" s="31" t="str">
        <f>IFERROR(__xludf.DUMMYFUNCTION("""COMPUTED_VALUE"""),"2251")</f>
        <v>2251</v>
      </c>
      <c r="V125" s="11"/>
      <c r="W125" s="11"/>
      <c r="X125" s="11"/>
      <c r="Y125" s="11"/>
      <c r="Z125" s="11"/>
    </row>
    <row r="126" customHeight="1" spans="1:26">
      <c r="A126" s="11" t="str">
        <f>IFERROR(__xludf.DUMMYFUNCTION("""COMPUTED_VALUE"""),"DANIELLE DI CAVALCANTI SOUSA")</f>
        <v>DANIELLE DI CAVALCANTI SOUSA</v>
      </c>
      <c r="B126" s="11"/>
      <c r="C126" s="11"/>
      <c r="D126" s="11" t="str">
        <f>IFERROR(__xludf.DUMMYFUNCTION("""COMPUTED_VALUE"""),"Médica eSF")</f>
        <v>Médica eSF</v>
      </c>
      <c r="E126" s="11" t="str">
        <f>IFERROR(__xludf.DUMMYFUNCTION("""COMPUTED_VALUE"""),"V")</f>
        <v>V</v>
      </c>
      <c r="F126" s="11" t="str">
        <f>IFERROR(__xludf.DUMMYFUNCTION("""COMPUTED_VALUE"""),"US_163 HOSPITAL DE PEDIATRIA HELENA MOURA")</f>
        <v>US_163 HOSPITAL DE PEDIATRIA HELENA MOURA</v>
      </c>
      <c r="G126" s="11" t="str">
        <f>IFERROR(__xludf.DUMMYFUNCTION("""COMPUTED_VALUE"""),"US 284 USF VILA SAO MIGUEL MARROM GLACE")</f>
        <v>US 284 USF VILA SAO MIGUEL MARROM GLACE</v>
      </c>
      <c r="H126" s="27">
        <f>IFERROR(__xludf.DUMMYFUNCTION("""COMPUTED_VALUE"""),81996275544)</f>
        <v>81996275544</v>
      </c>
      <c r="I126" s="27">
        <f>IFERROR(__xludf.DUMMYFUNCTION("""COMPUTED_VALUE"""),81997475166)</f>
        <v>81997475166</v>
      </c>
      <c r="J126" s="11"/>
      <c r="K126" s="11"/>
      <c r="L126" s="11"/>
      <c r="M126" s="28" t="str">
        <f>IFERROR(__xludf.DUMMYFUNCTION("""COMPUTED_VALUE"""),"3355-6932")</f>
        <v>3355-6932</v>
      </c>
      <c r="N126" s="11" t="str">
        <f>IFERROR(__xludf.DUMMYFUNCTION("""COMPUTED_VALUE"""),"danidicavalcanti@hotmail.com")</f>
        <v>danidicavalcanti@hotmail.com</v>
      </c>
      <c r="O126" s="29">
        <f>IFERROR(__xludf.DUMMYFUNCTION("""COMPUTED_VALUE"""),3579882481)</f>
        <v>3579882481</v>
      </c>
      <c r="P126" s="30" t="str">
        <f>IFERROR(__xludf.DUMMYFUNCTION("""COMPUTED_VALUE"""),"980016294452088")</f>
        <v>980016294452088</v>
      </c>
      <c r="Q126" s="30" t="str">
        <f>IFERROR(__xludf.DUMMYFUNCTION("""COMPUTED_VALUE"""),"0029114")</f>
        <v>0029114</v>
      </c>
      <c r="R126" s="30" t="str">
        <f>IFERROR(__xludf.DUMMYFUNCTION("""COMPUTED_VALUE"""),"0000154687")</f>
        <v>0000154687</v>
      </c>
      <c r="S126" s="30" t="str">
        <f>IFERROR(__xludf.DUMMYFUNCTION("""COMPUTED_VALUE"""),"1")</f>
        <v>1</v>
      </c>
      <c r="T126" s="30" t="str">
        <f>IFERROR(__xludf.DUMMYFUNCTION("""COMPUTED_VALUE"""),"225142")</f>
        <v>225142</v>
      </c>
      <c r="U126" s="31" t="str">
        <f>IFERROR(__xludf.DUMMYFUNCTION("""COMPUTED_VALUE"""),"2251")</f>
        <v>2251</v>
      </c>
      <c r="V126" s="11"/>
      <c r="W126" s="24">
        <f>IFERROR(__xludf.DUMMYFUNCTION("""COMPUTED_VALUE"""),29446)</f>
        <v>29446</v>
      </c>
      <c r="X126" s="11"/>
      <c r="Y126" s="11"/>
      <c r="Z126" s="11"/>
    </row>
    <row r="127" customHeight="1" spans="1:26">
      <c r="A127" s="11" t="str">
        <f>IFERROR(__xludf.DUMMYFUNCTION("""COMPUTED_VALUE"""),"NEIDJANE GOMES DA SILVA")</f>
        <v>NEIDJANE GOMES DA SILVA</v>
      </c>
      <c r="B127" s="11"/>
      <c r="C127" s="11"/>
      <c r="D127" s="11" t="str">
        <f>IFERROR(__xludf.DUMMYFUNCTION("""COMPUTED_VALUE"""),"Médica eSF")</f>
        <v>Médica eSF</v>
      </c>
      <c r="E127" s="11" t="str">
        <f>IFERROR(__xludf.DUMMYFUNCTION("""COMPUTED_VALUE"""),"V")</f>
        <v>V</v>
      </c>
      <c r="F127" s="11" t="str">
        <f>IFERROR(__xludf.DUMMYFUNCTION("""COMPUTED_VALUE"""),"US_284 USF VILA SAO MIGUEL MARROM GLACE")</f>
        <v>US_284 USF VILA SAO MIGUEL MARROM GLACE</v>
      </c>
      <c r="G127" s="11" t="str">
        <f>IFERROR(__xludf.DUMMYFUNCTION("""COMPUTED_VALUE"""),"US 284 USF VILA SAO MIGUEL MARROM GLACE")</f>
        <v>US 284 USF VILA SAO MIGUEL MARROM GLACE</v>
      </c>
      <c r="H127" s="27">
        <f>IFERROR(__xludf.DUMMYFUNCTION("""COMPUTED_VALUE"""),81998653131)</f>
        <v>81998653131</v>
      </c>
      <c r="I127" s="11"/>
      <c r="J127" s="11"/>
      <c r="K127" s="11"/>
      <c r="L127" s="11"/>
      <c r="M127" s="28" t="str">
        <f>IFERROR(__xludf.DUMMYFUNCTION("""COMPUTED_VALUE"""),"3355-6932")</f>
        <v>3355-6932</v>
      </c>
      <c r="N127" s="11" t="str">
        <f>IFERROR(__xludf.DUMMYFUNCTION("""COMPUTED_VALUE"""),"janeg-sttar@hormail.com")</f>
        <v>janeg-sttar@hormail.com</v>
      </c>
      <c r="O127" s="29">
        <f>IFERROR(__xludf.DUMMYFUNCTION("""COMPUTED_VALUE"""),4150545405)</f>
        <v>4150545405</v>
      </c>
      <c r="P127" s="30" t="str">
        <f>IFERROR(__xludf.DUMMYFUNCTION("""COMPUTED_VALUE"""),"980016294861417")</f>
        <v>980016294861417</v>
      </c>
      <c r="Q127" s="30" t="str">
        <f>IFERROR(__xludf.DUMMYFUNCTION("""COMPUTED_VALUE"""),"0029114")</f>
        <v>0029114</v>
      </c>
      <c r="R127" s="30" t="str">
        <f>IFERROR(__xludf.DUMMYFUNCTION("""COMPUTED_VALUE"""),"0000154687")</f>
        <v>0000154687</v>
      </c>
      <c r="S127" s="30" t="str">
        <f>IFERROR(__xludf.DUMMYFUNCTION("""COMPUTED_VALUE"""),"1")</f>
        <v>1</v>
      </c>
      <c r="T127" s="30" t="str">
        <f>IFERROR(__xludf.DUMMYFUNCTION("""COMPUTED_VALUE"""),"225142")</f>
        <v>225142</v>
      </c>
      <c r="U127" s="31" t="str">
        <f>IFERROR(__xludf.DUMMYFUNCTION("""COMPUTED_VALUE"""),"2251")</f>
        <v>2251</v>
      </c>
      <c r="V127" s="11"/>
      <c r="W127" s="11"/>
      <c r="X127" s="11"/>
      <c r="Y127" s="11"/>
      <c r="Z127" s="11"/>
    </row>
    <row r="128" customHeight="1" spans="1:26">
      <c r="A128" s="11" t="str">
        <f>IFERROR(__xludf.DUMMYFUNCTION("""COMPUTED_VALUE"""),"DANDARA BITU DO NASCIMENTO")</f>
        <v>DANDARA BITU DO NASCIMENTO</v>
      </c>
      <c r="B128" s="11"/>
      <c r="C128" s="11"/>
      <c r="D128" s="11" t="str">
        <f>IFERROR(__xludf.DUMMYFUNCTION("""COMPUTED_VALUE"""),"Médica eSF")</f>
        <v>Médica eSF</v>
      </c>
      <c r="E128" s="11" t="str">
        <f>IFERROR(__xludf.DUMMYFUNCTION("""COMPUTED_VALUE"""),"IV")</f>
        <v>IV</v>
      </c>
      <c r="F128" s="11" t="str">
        <f>IFERROR(__xludf.DUMMYFUNCTION("""COMPUTED_VALUE"""),"US_224 USF CARANGUEJO")</f>
        <v>US_224 USF CARANGUEJO</v>
      </c>
      <c r="G128" s="11" t="str">
        <f>IFERROR(__xludf.DUMMYFUNCTION("""COMPUTED_VALUE"""),"US 224 USF CARANGUEJO")</f>
        <v>US 224 USF CARANGUEJO</v>
      </c>
      <c r="H128" s="27">
        <f>IFERROR(__xludf.DUMMYFUNCTION("""COMPUTED_VALUE"""),81996337709)</f>
        <v>81996337709</v>
      </c>
      <c r="I128" s="11"/>
      <c r="J128" s="11"/>
      <c r="K128" s="11"/>
      <c r="L128" s="11"/>
      <c r="M128" s="28" t="str">
        <f>IFERROR(__xludf.DUMMYFUNCTION("""COMPUTED_VALUE"""),"3355-4644")</f>
        <v>3355-4644</v>
      </c>
      <c r="N128" s="11" t="str">
        <f>IFERROR(__xludf.DUMMYFUNCTION("""COMPUTED_VALUE"""),"danbitu@hotmail.com")</f>
        <v>danbitu@hotmail.com</v>
      </c>
      <c r="O128" s="29">
        <f>IFERROR(__xludf.DUMMYFUNCTION("""COMPUTED_VALUE"""),5403432426)</f>
        <v>5403432426</v>
      </c>
      <c r="P128" s="30" t="str">
        <f>IFERROR(__xludf.DUMMYFUNCTION("""COMPUTED_VALUE"""),"980016296617963")</f>
        <v>980016296617963</v>
      </c>
      <c r="Q128" s="30" t="str">
        <f>IFERROR(__xludf.DUMMYFUNCTION("""COMPUTED_VALUE"""),"0022373")</f>
        <v>0022373</v>
      </c>
      <c r="R128" s="30" t="str">
        <f>IFERROR(__xludf.DUMMYFUNCTION("""COMPUTED_VALUE"""),"0000153915")</f>
        <v>0000153915</v>
      </c>
      <c r="S128" s="30" t="str">
        <f>IFERROR(__xludf.DUMMYFUNCTION("""COMPUTED_VALUE"""),"1")</f>
        <v>1</v>
      </c>
      <c r="T128" s="30" t="str">
        <f>IFERROR(__xludf.DUMMYFUNCTION("""COMPUTED_VALUE"""),"225142")</f>
        <v>225142</v>
      </c>
      <c r="U128" s="31">
        <f>IFERROR(__xludf.DUMMYFUNCTION("""COMPUTED_VALUE"""),2251)</f>
        <v>2251</v>
      </c>
      <c r="V128" s="11"/>
      <c r="W128" s="11"/>
      <c r="X128" s="11" t="str">
        <f>IFERROR(__xludf.DUMMYFUNCTION("""COMPUTED_VALUE"""),"#N/A")</f>
        <v>#N/A</v>
      </c>
      <c r="Y128" s="11" t="str">
        <f>IFERROR(__xludf.DUMMYFUNCTION("""COMPUTED_VALUE"""),"#N/A")</f>
        <v>#N/A</v>
      </c>
      <c r="Z128" s="11" t="str">
        <f>IFERROR(__xludf.DUMMYFUNCTION("""COMPUTED_VALUE"""),"#N/A")</f>
        <v>#N/A</v>
      </c>
    </row>
    <row r="129" customHeight="1" spans="1:26">
      <c r="A129" s="11" t="str">
        <f>IFERROR(__xludf.DUMMYFUNCTION("""COMPUTED_VALUE"""),"Luana Alves Mendonça ")</f>
        <v>Luana Alves Mendonça </v>
      </c>
      <c r="B129" s="11"/>
      <c r="C129" s="11"/>
      <c r="D129" s="11" t="str">
        <f>IFERROR(__xludf.DUMMYFUNCTION("""COMPUTED_VALUE"""),"Médica eSF")</f>
        <v>Médica eSF</v>
      </c>
      <c r="E129" s="11" t="str">
        <f>IFERROR(__xludf.DUMMYFUNCTION("""COMPUTED_VALUE"""),"V")</f>
        <v>V</v>
      </c>
      <c r="F129" s="11" t="str">
        <f>IFERROR(__xludf.DUMMYFUNCTION("""COMPUTED_VALUE"""),"")</f>
        <v/>
      </c>
      <c r="G129" s="11" t="str">
        <f>IFERROR(__xludf.DUMMYFUNCTION("""COMPUTED_VALUE"""),"US 117 CS GASPAR REGUEIRA COSTA")</f>
        <v>US 117 CS GASPAR REGUEIRA COSTA</v>
      </c>
      <c r="H129" s="27">
        <f>IFERROR(__xludf.DUMMYFUNCTION("""COMPUTED_VALUE"""),86999194738)</f>
        <v>86999194738</v>
      </c>
      <c r="I129" s="11"/>
      <c r="J129" s="11"/>
      <c r="K129" s="33">
        <f>IFERROR(__xludf.DUMMYFUNCTION("""COMPUTED_VALUE"""),45244)</f>
        <v>45244</v>
      </c>
      <c r="L129" s="11"/>
      <c r="M129" s="11"/>
      <c r="N129" s="11"/>
      <c r="O129" s="11"/>
      <c r="P129" s="11"/>
      <c r="Q129" s="11"/>
      <c r="R129" s="11"/>
      <c r="S129" s="11"/>
      <c r="T129" s="11"/>
      <c r="U129" s="11"/>
      <c r="V129" s="11"/>
      <c r="W129" s="11"/>
      <c r="X129" s="11"/>
      <c r="Y129" s="11"/>
      <c r="Z129" s="11"/>
    </row>
    <row r="130" customHeight="1" spans="1:26">
      <c r="A130" s="11" t="str">
        <f>IFERROR(__xludf.DUMMYFUNCTION("""COMPUTED_VALUE"""),"ADRIENE COELHO ALCANTARA LINS")</f>
        <v>ADRIENE COELHO ALCANTARA LINS</v>
      </c>
      <c r="B130" s="11"/>
      <c r="C130" s="11"/>
      <c r="D130" s="11" t="str">
        <f>IFERROR(__xludf.DUMMYFUNCTION("""COMPUTED_VALUE"""),"Médico Pediatra")</f>
        <v>Médico Pediatra</v>
      </c>
      <c r="E130" s="11" t="str">
        <f>IFERROR(__xludf.DUMMYFUNCTION("""COMPUTED_VALUE"""),"V")</f>
        <v>V</v>
      </c>
      <c r="F130" s="11" t="str">
        <f>IFERROR(__xludf.DUMMYFUNCTION("""COMPUTED_VALUE"""),"US_117 CS GASPAR REGUEIRA COSTA")</f>
        <v>US_117 CS GASPAR REGUEIRA COSTA</v>
      </c>
      <c r="G130" s="11" t="str">
        <f>IFERROR(__xludf.DUMMYFUNCTION("""COMPUTED_VALUE"""),"US 117 CS GASPAR REGUEIRA COSTA")</f>
        <v>US 117 CS GASPAR REGUEIRA COSTA</v>
      </c>
      <c r="H130" s="27">
        <f>IFERROR(__xludf.DUMMYFUNCTION("""COMPUTED_VALUE"""),81999673680)</f>
        <v>81999673680</v>
      </c>
      <c r="I130" s="11"/>
      <c r="J130" s="11"/>
      <c r="K130" s="11"/>
      <c r="L130" s="11"/>
      <c r="M130" s="28" t="str">
        <f>IFERROR(__xludf.DUMMYFUNCTION("""COMPUTED_VALUE"""),"3355-4404")</f>
        <v>3355-4404</v>
      </c>
      <c r="N130" s="11" t="str">
        <f>IFERROR(__xludf.DUMMYFUNCTION("""COMPUTED_VALUE"""),"adrialc@uol.com.br")</f>
        <v>adrialc@uol.com.br</v>
      </c>
      <c r="O130" s="29">
        <f>IFERROR(__xludf.DUMMYFUNCTION("""COMPUTED_VALUE"""),89155033415)</f>
        <v>89155033415</v>
      </c>
      <c r="P130" s="30" t="str">
        <f>IFERROR(__xludf.DUMMYFUNCTION("""COMPUTED_VALUE"""),"200353703800003")</f>
        <v>200353703800003</v>
      </c>
      <c r="Q130" s="30" t="str">
        <f>IFERROR(__xludf.DUMMYFUNCTION("""COMPUTED_VALUE"""),"0001414")</f>
        <v>0001414</v>
      </c>
      <c r="R130" s="30" t="str">
        <f>IFERROR(__xludf.DUMMYFUNCTION("""COMPUTED_VALUE"""),"9000141402")</f>
        <v>9000141402</v>
      </c>
      <c r="S130" s="30" t="str">
        <f>IFERROR(__xludf.DUMMYFUNCTION("""COMPUTED_VALUE"""),"1")</f>
        <v>1</v>
      </c>
      <c r="T130" s="30" t="str">
        <f>IFERROR(__xludf.DUMMYFUNCTION("""COMPUTED_VALUE"""),"225124")</f>
        <v>225124</v>
      </c>
      <c r="U130" s="31" t="str">
        <f>IFERROR(__xludf.DUMMYFUNCTION("""COMPUTED_VALUE"""),"2251")</f>
        <v>2251</v>
      </c>
      <c r="V130" s="11"/>
      <c r="W130" s="11"/>
      <c r="X130" s="11" t="str">
        <f>IFERROR(__xludf.DUMMYFUNCTION("""COMPUTED_VALUE"""),"#N/A")</f>
        <v>#N/A</v>
      </c>
      <c r="Y130" s="11" t="str">
        <f>IFERROR(__xludf.DUMMYFUNCTION("""COMPUTED_VALUE"""),"#N/A")</f>
        <v>#N/A</v>
      </c>
      <c r="Z130" s="11" t="str">
        <f>IFERROR(__xludf.DUMMYFUNCTION("""COMPUTED_VALUE"""),"#N/A")</f>
        <v>#N/A</v>
      </c>
    </row>
    <row r="131" customHeight="1" spans="1:26">
      <c r="A131" s="11" t="str">
        <f>IFERROR(__xludf.DUMMYFUNCTION("""COMPUTED_VALUE"""),"IZIDRO DE ALENCAR BEZERRA FILHO")</f>
        <v>IZIDRO DE ALENCAR BEZERRA FILHO</v>
      </c>
      <c r="B131" s="11"/>
      <c r="C131" s="11"/>
      <c r="D131" s="11" t="str">
        <f>IFERROR(__xludf.DUMMYFUNCTION("""COMPUTED_VALUE"""),"Médico eSF")</f>
        <v>Médico eSF</v>
      </c>
      <c r="E131" s="11" t="str">
        <f>IFERROR(__xludf.DUMMYFUNCTION("""COMPUTED_VALUE"""),"I")</f>
        <v>I</v>
      </c>
      <c r="F131" s="11" t="str">
        <f>IFERROR(__xludf.DUMMYFUNCTION("""COMPUTED_VALUE"""),"US_232 USF ILHA SANTA TEREZINHA	")</f>
        <v>US_232 USF ILHA SANTA TEREZINHA	</v>
      </c>
      <c r="G131" s="11" t="str">
        <f>IFERROR(__xludf.DUMMYFUNCTION("""COMPUTED_VALUE"""),"US 232 USF ILHA SANTA TEREZINHA")</f>
        <v>US 232 USF ILHA SANTA TEREZINHA</v>
      </c>
      <c r="H131" s="27">
        <f>IFERROR(__xludf.DUMMYFUNCTION("""COMPUTED_VALUE"""),81999704242)</f>
        <v>81999704242</v>
      </c>
      <c r="I131" s="11"/>
      <c r="J131" s="11"/>
      <c r="K131" s="11"/>
      <c r="L131" s="11"/>
      <c r="M131" s="28" t="str">
        <f>IFERROR(__xludf.DUMMYFUNCTION("""COMPUTED_VALUE"""),"3355-4668")</f>
        <v>3355-4668</v>
      </c>
      <c r="N131" s="11" t="str">
        <f>IFERROR(__xludf.DUMMYFUNCTION("""COMPUTED_VALUE"""),"laisa.mab@gmail.com")</f>
        <v>laisa.mab@gmail.com</v>
      </c>
      <c r="O131" s="29">
        <f>IFERROR(__xludf.DUMMYFUNCTION("""COMPUTED_VALUE"""),62328913415)</f>
        <v>62328913415</v>
      </c>
      <c r="P131" s="30" t="str">
        <f>IFERROR(__xludf.DUMMYFUNCTION("""COMPUTED_VALUE"""),"170468844370003")</f>
        <v>170468844370003</v>
      </c>
      <c r="Q131" s="30" t="str">
        <f>IFERROR(__xludf.DUMMYFUNCTION("""COMPUTED_VALUE"""),"0022187")</f>
        <v>0022187</v>
      </c>
      <c r="R131" s="30" t="str">
        <f>IFERROR(__xludf.DUMMYFUNCTION("""COMPUTED_VALUE"""),"0000153540")</f>
        <v>0000153540</v>
      </c>
      <c r="S131" s="30" t="str">
        <f>IFERROR(__xludf.DUMMYFUNCTION("""COMPUTED_VALUE"""),"1")</f>
        <v>1</v>
      </c>
      <c r="T131" s="30" t="str">
        <f>IFERROR(__xludf.DUMMYFUNCTION("""COMPUTED_VALUE"""),"225142")</f>
        <v>225142</v>
      </c>
      <c r="U131" s="11">
        <f>IFERROR(__xludf.DUMMYFUNCTION("""COMPUTED_VALUE"""),2251)</f>
        <v>2251</v>
      </c>
      <c r="V131" s="11"/>
      <c r="W131" s="11"/>
      <c r="X131" s="11"/>
      <c r="Y131" s="11"/>
      <c r="Z131" s="11"/>
    </row>
    <row r="132" customHeight="1" spans="1:26">
      <c r="A132" s="11" t="str">
        <f>IFERROR(__xludf.DUMMYFUNCTION("""COMPUTED_VALUE"""),"AMANDA RODRIGUES JORDAO")</f>
        <v>AMANDA RODRIGUES JORDAO</v>
      </c>
      <c r="B132" s="11"/>
      <c r="C132" s="11"/>
      <c r="D132" s="11" t="str">
        <f>IFERROR(__xludf.DUMMYFUNCTION("""COMPUTED_VALUE"""),"Médica eSF")</f>
        <v>Médica eSF</v>
      </c>
      <c r="E132" s="11" t="str">
        <f>IFERROR(__xludf.DUMMYFUNCTION("""COMPUTED_VALUE"""),"II")</f>
        <v>II</v>
      </c>
      <c r="F132" s="11" t="str">
        <f>IFERROR(__xludf.DUMMYFUNCTION("""COMPUTED_VALUE"""),"US_138 USF DR LUIZ WILSOM")</f>
        <v>US_138 USF DR LUIZ WILSOM</v>
      </c>
      <c r="G132" s="11" t="str">
        <f>IFERROR(__xludf.DUMMYFUNCTION("""COMPUTED_VALUE"""),"US 138 USF DR LUIZ WILSOM")</f>
        <v>US 138 USF DR LUIZ WILSOM</v>
      </c>
      <c r="H132" s="27">
        <f>IFERROR(__xludf.DUMMYFUNCTION("""COMPUTED_VALUE"""),81997598440)</f>
        <v>81997598440</v>
      </c>
      <c r="I132" s="27">
        <f>IFERROR(__xludf.DUMMYFUNCTION("""COMPUTED_VALUE"""),81997569840)</f>
        <v>81997569840</v>
      </c>
      <c r="J132" s="11"/>
      <c r="K132" s="11"/>
      <c r="L132" s="11"/>
      <c r="M132" s="28" t="str">
        <f>IFERROR(__xludf.DUMMYFUNCTION("""COMPUTED_VALUE"""),"3355-3165")</f>
        <v>3355-3165</v>
      </c>
      <c r="N132" s="11" t="str">
        <f>IFERROR(__xludf.DUMMYFUNCTION("""COMPUTED_VALUE"""),"amandajordao@bol.com")</f>
        <v>amandajordao@bol.com</v>
      </c>
      <c r="O132" s="29">
        <f>IFERROR(__xludf.DUMMYFUNCTION("""COMPUTED_VALUE"""),7662440400)</f>
        <v>7662440400</v>
      </c>
      <c r="P132" s="30" t="str">
        <f>IFERROR(__xludf.DUMMYFUNCTION("""COMPUTED_VALUE"""),"100716086530009")</f>
        <v>100716086530009</v>
      </c>
      <c r="Q132" s="30" t="str">
        <f>IFERROR(__xludf.DUMMYFUNCTION("""COMPUTED_VALUE"""),"0000876")</f>
        <v>0000876</v>
      </c>
      <c r="R132" s="30" t="str">
        <f>IFERROR(__xludf.DUMMYFUNCTION("""COMPUTED_VALUE"""),"0000152765")</f>
        <v>0000152765</v>
      </c>
      <c r="S132" s="30" t="str">
        <f>IFERROR(__xludf.DUMMYFUNCTION("""COMPUTED_VALUE"""),"1")</f>
        <v>1</v>
      </c>
      <c r="T132" s="30" t="str">
        <f>IFERROR(__xludf.DUMMYFUNCTION("""COMPUTED_VALUE"""),"225142")</f>
        <v>225142</v>
      </c>
      <c r="U132" s="11">
        <f>IFERROR(__xludf.DUMMYFUNCTION("""COMPUTED_VALUE"""),2251)</f>
        <v>2251</v>
      </c>
      <c r="V132" s="11"/>
      <c r="W132" s="11"/>
      <c r="X132" s="11">
        <f>IFERROR(__xludf.DUMMYFUNCTION("""COMPUTED_VALUE"""),96683377)</f>
        <v>96683377</v>
      </c>
      <c r="Y132" s="11">
        <f>IFERROR(__xludf.DUMMYFUNCTION("""COMPUTED_VALUE"""),30712202)</f>
        <v>30712202</v>
      </c>
      <c r="Z132" s="11">
        <f>IFERROR(__xludf.DUMMYFUNCTION("""COMPUTED_VALUE"""),7662440400)</f>
        <v>7662440400</v>
      </c>
    </row>
    <row r="133" customHeight="1" spans="1:26">
      <c r="A133" s="11" t="str">
        <f>IFERROR(__xludf.DUMMYFUNCTION("""COMPUTED_VALUE"""),"ANNELISY CABRAL DE SANTANA")</f>
        <v>ANNELISY CABRAL DE SANTANA</v>
      </c>
      <c r="B133" s="11"/>
      <c r="C133" s="11"/>
      <c r="D133" s="11" t="str">
        <f>IFERROR(__xludf.DUMMYFUNCTION("""COMPUTED_VALUE"""),"Enfermeira eSF")</f>
        <v>Enfermeira eSF</v>
      </c>
      <c r="E133" s="11" t="str">
        <f>IFERROR(__xludf.DUMMYFUNCTION("""COMPUTED_VALUE"""),"V")</f>
        <v>V</v>
      </c>
      <c r="F133" s="11" t="str">
        <f>IFERROR(__xludf.DUMMYFUNCTION("""COMPUTED_VALUE"""),"PACS AFOGADOS II")</f>
        <v>PACS AFOGADOS II</v>
      </c>
      <c r="G133" s="11" t="str">
        <f>IFERROR(__xludf.DUMMYFUNCTION("""COMPUTED_VALUE"""),"US 161 CS PROF ROMERO MARQUES")</f>
        <v>US 161 CS PROF ROMERO MARQUES</v>
      </c>
      <c r="H133" s="27">
        <f>IFERROR(__xludf.DUMMYFUNCTION("""COMPUTED_VALUE"""),81986817310)</f>
        <v>81986817310</v>
      </c>
      <c r="I133" s="11"/>
      <c r="J133" s="11"/>
      <c r="K133" s="11"/>
      <c r="L133" s="11"/>
      <c r="M133" s="28" t="str">
        <f>IFERROR(__xludf.DUMMYFUNCTION("""COMPUTED_VALUE"""),"3355-4440")</f>
        <v>3355-4440</v>
      </c>
      <c r="N133" s="11" t="str">
        <f>IFERROR(__xludf.DUMMYFUNCTION("""COMPUTED_VALUE"""),"annelisyc@outlook.com")</f>
        <v>annelisyc@outlook.com</v>
      </c>
      <c r="O133" s="29">
        <f>IFERROR(__xludf.DUMMYFUNCTION("""COMPUTED_VALUE"""),79278337404)</f>
        <v>79278337404</v>
      </c>
      <c r="P133" s="30" t="str">
        <f>IFERROR(__xludf.DUMMYFUNCTION("""COMPUTED_VALUE"""),"204323091300008")</f>
        <v>204323091300008</v>
      </c>
      <c r="Q133" s="30" t="str">
        <f>IFERROR(__xludf.DUMMYFUNCTION("""COMPUTED_VALUE"""),"0000760")</f>
        <v>0000760</v>
      </c>
      <c r="R133" s="30" t="str">
        <f>IFERROR(__xludf.DUMMYFUNCTION("""COMPUTED_VALUE"""),"0000152471")</f>
        <v>0000152471</v>
      </c>
      <c r="S133" s="30" t="str">
        <f>IFERROR(__xludf.DUMMYFUNCTION("""COMPUTED_VALUE"""),"1")</f>
        <v>1</v>
      </c>
      <c r="T133" s="30" t="str">
        <f>IFERROR(__xludf.DUMMYFUNCTION("""COMPUTED_VALUE"""),"223565")</f>
        <v>223565</v>
      </c>
      <c r="U133" s="31" t="str">
        <f>IFERROR(__xludf.DUMMYFUNCTION("""COMPUTED_VALUE"""),"2235")</f>
        <v>2235</v>
      </c>
      <c r="V133" s="11"/>
      <c r="W133" s="11"/>
      <c r="X133" s="11"/>
      <c r="Y133" s="11"/>
      <c r="Z133" s="11"/>
    </row>
    <row r="134" customHeight="1" spans="1:26">
      <c r="A134" s="11" t="str">
        <f>IFERROR(__xludf.DUMMYFUNCTION("""COMPUTED_VALUE"""),"ALESSANDRA BRANDAO ESTEVAO DE SOUZA AZEVEDO")</f>
        <v>ALESSANDRA BRANDAO ESTEVAO DE SOUZA AZEVEDO</v>
      </c>
      <c r="B134" s="11"/>
      <c r="C134" s="11"/>
      <c r="D134" s="11" t="str">
        <f>IFERROR(__xludf.DUMMYFUNCTION("""COMPUTED_VALUE"""),"Médica eSF")</f>
        <v>Médica eSF</v>
      </c>
      <c r="E134" s="11" t="str">
        <f>IFERROR(__xludf.DUMMYFUNCTION("""COMPUTED_VALUE"""),"VIII")</f>
        <v>VIII</v>
      </c>
      <c r="F134" s="11" t="str">
        <f>IFERROR(__xludf.DUMMYFUNCTION("""COMPUTED_VALUE"""),"US_229 USF UR 10 / ARNALDO DE FRANCA CALDAS")</f>
        <v>US_229 USF UR 10 / ARNALDO DE FRANCA CALDAS</v>
      </c>
      <c r="G134" s="11" t="str">
        <f>IFERROR(__xludf.DUMMYFUNCTION("""COMPUTED_VALUE"""),"US 229 USF UR 10")</f>
        <v>US 229 USF UR 10</v>
      </c>
      <c r="H134" s="27">
        <f>IFERROR(__xludf.DUMMYFUNCTION("""COMPUTED_VALUE"""),81999616410)</f>
        <v>81999616410</v>
      </c>
      <c r="I134" s="11"/>
      <c r="J134" s="11"/>
      <c r="K134" s="11"/>
      <c r="L134" s="11"/>
      <c r="M134" s="28" t="str">
        <f>IFERROR(__xludf.DUMMYFUNCTION("""COMPUTED_VALUE"""),"3355-6909")</f>
        <v>3355-6909</v>
      </c>
      <c r="N134" s="11" t="str">
        <f>IFERROR(__xludf.DUMMYFUNCTION("""COMPUTED_VALUE"""),"aleestevao@hotmail.com")</f>
        <v>aleestevao@hotmail.com</v>
      </c>
      <c r="O134" s="29">
        <f>IFERROR(__xludf.DUMMYFUNCTION("""COMPUTED_VALUE"""),3077344475)</f>
        <v>3077344475</v>
      </c>
      <c r="P134" s="30" t="str">
        <f>IFERROR(__xludf.DUMMYFUNCTION("""COMPUTED_VALUE"""),"201533382070002")</f>
        <v>201533382070002</v>
      </c>
      <c r="Q134" s="30" t="str">
        <f>IFERROR(__xludf.DUMMYFUNCTION("""COMPUTED_VALUE"""),"0022462")</f>
        <v>0022462</v>
      </c>
      <c r="R134" s="30" t="str">
        <f>IFERROR(__xludf.DUMMYFUNCTION("""COMPUTED_VALUE"""),"0000154067")</f>
        <v>0000154067</v>
      </c>
      <c r="S134" s="30" t="str">
        <f>IFERROR(__xludf.DUMMYFUNCTION("""COMPUTED_VALUE"""),"1")</f>
        <v>1</v>
      </c>
      <c r="T134" s="30" t="str">
        <f>IFERROR(__xludf.DUMMYFUNCTION("""COMPUTED_VALUE"""),"225142")</f>
        <v>225142</v>
      </c>
      <c r="U134" s="31" t="str">
        <f>IFERROR(__xludf.DUMMYFUNCTION("""COMPUTED_VALUE"""),"2251")</f>
        <v>2251</v>
      </c>
      <c r="V134" s="11"/>
      <c r="W134" s="11"/>
      <c r="X134" s="11">
        <f>IFERROR(__xludf.DUMMYFUNCTION("""COMPUTED_VALUE"""),32291676)</f>
        <v>32291676</v>
      </c>
      <c r="Y134" s="11">
        <f>IFERROR(__xludf.DUMMYFUNCTION("""COMPUTED_VALUE"""),99616410)</f>
        <v>99616410</v>
      </c>
      <c r="Z134" s="11">
        <f>IFERROR(__xludf.DUMMYFUNCTION("""COMPUTED_VALUE"""),3077344475)</f>
        <v>3077344475</v>
      </c>
    </row>
    <row r="135" customHeight="1" spans="1:26">
      <c r="A135" s="11" t="str">
        <f>IFERROR(__xludf.DUMMYFUNCTION("""COMPUTED_VALUE"""),"DAVID RAMOS DE CARVALHO")</f>
        <v>DAVID RAMOS DE CARVALHO</v>
      </c>
      <c r="B135" s="11"/>
      <c r="C135" s="11"/>
      <c r="D135" s="11" t="str">
        <f>IFERROR(__xludf.DUMMYFUNCTION("""COMPUTED_VALUE"""),"Médico eSF")</f>
        <v>Médico eSF</v>
      </c>
      <c r="E135" s="11" t="str">
        <f>IFERROR(__xludf.DUMMYFUNCTION("""COMPUTED_VALUE"""),"I")</f>
        <v>I</v>
      </c>
      <c r="F135" s="11" t="str">
        <f>IFERROR(__xludf.DUMMYFUNCTION("""COMPUTED_VALUE"""),"US_278 USF NOSSA SRA DO PILAR BAIRRO DO RECIFE")</f>
        <v>US_278 USF NOSSA SRA DO PILAR BAIRRO DO RECIFE</v>
      </c>
      <c r="G135" s="11" t="str">
        <f>IFERROR(__xludf.DUMMYFUNCTION("""COMPUTED_VALUE"""),"US 278 USF NOSSA SRA DO PILAR BAIRRO DO RECIFE")</f>
        <v>US 278 USF NOSSA SRA DO PILAR BAIRRO DO RECIFE</v>
      </c>
      <c r="H135" s="27">
        <f>IFERROR(__xludf.DUMMYFUNCTION("""COMPUTED_VALUE"""),81998515905)</f>
        <v>81998515905</v>
      </c>
      <c r="I135" s="27">
        <f>IFERROR(__xludf.DUMMYFUNCTION("""COMPUTED_VALUE"""),81991143804)</f>
        <v>81991143804</v>
      </c>
      <c r="J135" s="11"/>
      <c r="K135" s="11"/>
      <c r="L135" s="11"/>
      <c r="M135" s="28" t="str">
        <f>IFERROR(__xludf.DUMMYFUNCTION("""COMPUTED_VALUE"""),"3355-6691")</f>
        <v>3355-6691</v>
      </c>
      <c r="N135" s="11" t="str">
        <f>IFERROR(__xludf.DUMMYFUNCTION("""COMPUTED_VALUE"""),"david.ramos.carvalho@gmail.com")</f>
        <v>david.ramos.carvalho@gmail.com</v>
      </c>
      <c r="O135" s="29">
        <f>IFERROR(__xludf.DUMMYFUNCTION("""COMPUTED_VALUE"""),5266267470)</f>
        <v>5266267470</v>
      </c>
      <c r="P135" s="30" t="str">
        <f>IFERROR(__xludf.DUMMYFUNCTION("""COMPUTED_VALUE"""),"980016283060159")</f>
        <v>980016283060159</v>
      </c>
      <c r="Q135" s="30" t="str">
        <f>IFERROR(__xludf.DUMMYFUNCTION("""COMPUTED_VALUE"""),"0028665")</f>
        <v>0028665</v>
      </c>
      <c r="R135" s="30" t="str">
        <f>IFERROR(__xludf.DUMMYFUNCTION("""COMPUTED_VALUE"""),"0000154563")</f>
        <v>0000154563</v>
      </c>
      <c r="S135" s="30" t="str">
        <f>IFERROR(__xludf.DUMMYFUNCTION("""COMPUTED_VALUE"""),"1")</f>
        <v>1</v>
      </c>
      <c r="T135" s="30" t="str">
        <f>IFERROR(__xludf.DUMMYFUNCTION("""COMPUTED_VALUE"""),"225142")</f>
        <v>225142</v>
      </c>
      <c r="U135" s="31" t="str">
        <f>IFERROR(__xludf.DUMMYFUNCTION("""COMPUTED_VALUE"""),"2251")</f>
        <v>2251</v>
      </c>
      <c r="V135" s="11" t="str">
        <f>IFERROR(__xludf.DUMMYFUNCTION("""COMPUTED_VALUE"""),"SIM")</f>
        <v>SIM</v>
      </c>
      <c r="W135" s="11"/>
      <c r="X135" s="11">
        <f>IFERROR(__xludf.DUMMYFUNCTION("""COMPUTED_VALUE"""),91143804)</f>
        <v>91143804</v>
      </c>
      <c r="Y135" s="11">
        <f>IFERROR(__xludf.DUMMYFUNCTION("""COMPUTED_VALUE"""),32274768)</f>
        <v>32274768</v>
      </c>
      <c r="Z135" s="11">
        <f>IFERROR(__xludf.DUMMYFUNCTION("""COMPUTED_VALUE"""),5266267470)</f>
        <v>5266267470</v>
      </c>
    </row>
    <row r="136" customHeight="1" spans="1:26">
      <c r="A136" s="11" t="str">
        <f>IFERROR(__xludf.DUMMYFUNCTION("""COMPUTED_VALUE"""),"FLAVYANA SILVA DOS SANTOS")</f>
        <v>FLAVYANA SILVA DOS SANTOS</v>
      </c>
      <c r="B136" s="11"/>
      <c r="C136" s="11"/>
      <c r="D136" s="11" t="str">
        <f>IFERROR(__xludf.DUMMYFUNCTION("""COMPUTED_VALUE"""),"Enfermeira eSF")</f>
        <v>Enfermeira eSF</v>
      </c>
      <c r="E136" s="11" t="str">
        <f>IFERROR(__xludf.DUMMYFUNCTION("""COMPUTED_VALUE"""),"IV")</f>
        <v>IV</v>
      </c>
      <c r="F136" s="11" t="str">
        <f>IFERROR(__xludf.DUMMYFUNCTION("""COMPUTED_VALUE"""),"US_252 USF ENGENHO DO MEIO	")</f>
        <v>US_252 USF ENGENHO DO MEIO	</v>
      </c>
      <c r="G136" s="11" t="str">
        <f>IFERROR(__xludf.DUMMYFUNCTION("""COMPUTED_VALUE"""),"US 252 USF ENGENHO DO MEIO")</f>
        <v>US 252 USF ENGENHO DO MEIO</v>
      </c>
      <c r="H136" s="27">
        <f>IFERROR(__xludf.DUMMYFUNCTION("""COMPUTED_VALUE"""),81994563197)</f>
        <v>81994563197</v>
      </c>
      <c r="I136" s="11"/>
      <c r="J136" s="11"/>
      <c r="K136" s="24">
        <f>IFERROR(__xludf.DUMMYFUNCTION("""COMPUTED_VALUE"""),45280)</f>
        <v>45280</v>
      </c>
      <c r="L136" s="11"/>
      <c r="M136" s="11"/>
      <c r="N136" s="11"/>
      <c r="O136" s="11"/>
      <c r="P136" s="11"/>
      <c r="Q136" s="11"/>
      <c r="R136" s="11"/>
      <c r="S136" s="11"/>
      <c r="T136" s="11"/>
      <c r="U136" s="11"/>
      <c r="V136" s="11"/>
      <c r="W136" s="11"/>
      <c r="X136" s="11"/>
      <c r="Y136" s="11"/>
      <c r="Z136" s="11"/>
    </row>
    <row r="137" customHeight="1" spans="1:26">
      <c r="A137" s="11" t="str">
        <f>IFERROR(__xludf.DUMMYFUNCTION("""COMPUTED_VALUE"""),"GABRIEL LANDIM	")</f>
        <v>GABRIEL LANDIM	</v>
      </c>
      <c r="B137" s="11"/>
      <c r="C137" s="11"/>
      <c r="D137" s="11" t="str">
        <f>IFERROR(__xludf.DUMMYFUNCTION("""COMPUTED_VALUE"""),"Médico eSF")</f>
        <v>Médico eSF</v>
      </c>
      <c r="E137" s="11" t="str">
        <f>IFERROR(__xludf.DUMMYFUNCTION("""COMPUTED_VALUE"""),"IV")</f>
        <v>IV</v>
      </c>
      <c r="F137" s="11" t="str">
        <f>IFERROR(__xludf.DUMMYFUNCTION("""COMPUTED_VALUE"""),"US_252 USF ENGENHO DO MEIO	")</f>
        <v>US_252 USF ENGENHO DO MEIO	</v>
      </c>
      <c r="G137" s="11" t="str">
        <f>IFERROR(__xludf.DUMMYFUNCTION("""COMPUTED_VALUE"""),"US 252 USF ENGENHO DO MEIO")</f>
        <v>US 252 USF ENGENHO DO MEIO</v>
      </c>
      <c r="H137" s="27">
        <f>IFERROR(__xludf.DUMMYFUNCTION("""COMPUTED_VALUE"""),81991272202)</f>
        <v>81991272202</v>
      </c>
      <c r="I137" s="11"/>
      <c r="J137" s="11"/>
      <c r="K137" s="24">
        <f>IFERROR(__xludf.DUMMYFUNCTION("""COMPUTED_VALUE"""),45266)</f>
        <v>45266</v>
      </c>
      <c r="L137" s="11"/>
      <c r="M137" s="11"/>
      <c r="N137" s="11"/>
      <c r="O137" s="11"/>
      <c r="P137" s="11"/>
      <c r="Q137" s="11"/>
      <c r="R137" s="11"/>
      <c r="S137" s="11"/>
      <c r="T137" s="11"/>
      <c r="U137" s="11"/>
      <c r="V137" s="11"/>
      <c r="W137" s="11"/>
      <c r="X137" s="11"/>
      <c r="Y137" s="11"/>
      <c r="Z137" s="11"/>
    </row>
    <row r="138" customHeight="1" spans="1:26">
      <c r="A138" s="11" t="str">
        <f>IFERROR(__xludf.DUMMYFUNCTION("""COMPUTED_VALUE"""),"Andreza Neves Remígio")</f>
        <v>Andreza Neves Remígio</v>
      </c>
      <c r="B138" s="11"/>
      <c r="C138" s="11"/>
      <c r="D138" s="11" t="str">
        <f>IFERROR(__xludf.DUMMYFUNCTION("""COMPUTED_VALUE"""),"Médico eSF")</f>
        <v>Médico eSF</v>
      </c>
      <c r="E138" s="11" t="str">
        <f>IFERROR(__xludf.DUMMYFUNCTION("""COMPUTED_VALUE"""),"IV")</f>
        <v>IV</v>
      </c>
      <c r="F138" s="11" t="str">
        <f>IFERROR(__xludf.DUMMYFUNCTION("""COMPUTED_VALUE"""),"US_252 USF ENGENHO DO MEIO	")</f>
        <v>US_252 USF ENGENHO DO MEIO	</v>
      </c>
      <c r="G138" s="11" t="str">
        <f>IFERROR(__xludf.DUMMYFUNCTION("""COMPUTED_VALUE"""),"US 252 USF ENGENHO DO MEIO")</f>
        <v>US 252 USF ENGENHO DO MEIO</v>
      </c>
      <c r="H138" s="27">
        <f>IFERROR(__xludf.DUMMYFUNCTION("""COMPUTED_VALUE"""),81988140106)</f>
        <v>81988140106</v>
      </c>
      <c r="I138" s="11"/>
      <c r="J138" s="11"/>
      <c r="K138" s="11"/>
      <c r="L138" s="11"/>
      <c r="M138" s="11"/>
      <c r="N138" s="11"/>
      <c r="O138" s="11"/>
      <c r="P138" s="11"/>
      <c r="Q138" s="11"/>
      <c r="R138" s="11"/>
      <c r="S138" s="11"/>
      <c r="T138" s="11"/>
      <c r="U138" s="11"/>
      <c r="V138" s="11"/>
      <c r="W138" s="11"/>
      <c r="X138" s="11"/>
      <c r="Y138" s="11"/>
      <c r="Z138" s="11"/>
    </row>
    <row r="139" customHeight="1" spans="1:26">
      <c r="A139" s="11" t="str">
        <f>IFERROR(__xludf.DUMMYFUNCTION("""COMPUTED_VALUE"""),"DIMAS LUIZ DIOGO DE MELO")</f>
        <v>DIMAS LUIZ DIOGO DE MELO</v>
      </c>
      <c r="B139" s="11"/>
      <c r="C139" s="11"/>
      <c r="D139" s="11" t="str">
        <f>IFERROR(__xludf.DUMMYFUNCTION("""COMPUTED_VALUE"""),"Médico eSF")</f>
        <v>Médico eSF</v>
      </c>
      <c r="E139" s="11" t="str">
        <f>IFERROR(__xludf.DUMMYFUNCTION("""COMPUTED_VALUE"""),"IV")</f>
        <v>IV</v>
      </c>
      <c r="F139" s="11" t="str">
        <f>IFERROR(__xludf.DUMMYFUNCTION("""COMPUTED_VALUE"""),"US_252 USF ENGENHO DO MEIO	")</f>
        <v>US_252 USF ENGENHO DO MEIO	</v>
      </c>
      <c r="G139" s="11" t="str">
        <f>IFERROR(__xludf.DUMMYFUNCTION("""COMPUTED_VALUE"""),"US 252 USF ENGENHO DO MEIO")</f>
        <v>US 252 USF ENGENHO DO MEIO</v>
      </c>
      <c r="H139" s="27">
        <f>IFERROR(__xludf.DUMMYFUNCTION("""COMPUTED_VALUE"""),81996671707)</f>
        <v>81996671707</v>
      </c>
      <c r="I139" s="11"/>
      <c r="J139" s="11"/>
      <c r="K139" s="11"/>
      <c r="L139" s="11"/>
      <c r="M139" s="28" t="str">
        <f>IFERROR(__xludf.DUMMYFUNCTION("""COMPUTED_VALUE"""),"3355-6130")</f>
        <v>3355-6130</v>
      </c>
      <c r="N139" s="11" t="str">
        <f>IFERROR(__xludf.DUMMYFUNCTION("""COMPUTED_VALUE"""),"dmelopsi@hotmail.com")</f>
        <v>dmelopsi@hotmail.com</v>
      </c>
      <c r="O139" s="29">
        <f>IFERROR(__xludf.DUMMYFUNCTION("""COMPUTED_VALUE"""),14948990434)</f>
        <v>14948990434</v>
      </c>
      <c r="P139" s="30" t="str">
        <f>IFERROR(__xludf.DUMMYFUNCTION("""COMPUTED_VALUE"""),"122773413300009")</f>
        <v>122773413300009</v>
      </c>
      <c r="Q139" s="30" t="str">
        <f>IFERROR(__xludf.DUMMYFUNCTION("""COMPUTED_VALUE"""),"0024503")</f>
        <v>0024503</v>
      </c>
      <c r="R139" s="30" t="str">
        <f>IFERROR(__xludf.DUMMYFUNCTION("""COMPUTED_VALUE"""),"0000154148")</f>
        <v>0000154148</v>
      </c>
      <c r="S139" s="30" t="str">
        <f>IFERROR(__xludf.DUMMYFUNCTION("""COMPUTED_VALUE"""),"1")</f>
        <v>1</v>
      </c>
      <c r="T139" s="30" t="str">
        <f>IFERROR(__xludf.DUMMYFUNCTION("""COMPUTED_VALUE"""),"225142")</f>
        <v>225142</v>
      </c>
      <c r="U139" s="31" t="str">
        <f>IFERROR(__xludf.DUMMYFUNCTION("""COMPUTED_VALUE"""),"2251")</f>
        <v>2251</v>
      </c>
      <c r="V139" s="11"/>
      <c r="W139" s="11"/>
      <c r="X139" s="11">
        <f>IFERROR(__xludf.DUMMYFUNCTION("""COMPUTED_VALUE"""),81996671707)</f>
        <v>81996671707</v>
      </c>
      <c r="Y139" s="11"/>
      <c r="Z139" s="11">
        <f>IFERROR(__xludf.DUMMYFUNCTION("""COMPUTED_VALUE"""),14948990434)</f>
        <v>14948990434</v>
      </c>
    </row>
    <row r="140" customHeight="1" spans="1:26">
      <c r="A140" s="11" t="str">
        <f>IFERROR(__xludf.DUMMYFUNCTION("""COMPUTED_VALUE"""),"EMÍLIA MARQUES")</f>
        <v>EMÍLIA MARQUES</v>
      </c>
      <c r="B140" s="11"/>
      <c r="C140" s="11"/>
      <c r="D140" s="11" t="str">
        <f>IFERROR(__xludf.DUMMYFUNCTION("""COMPUTED_VALUE"""),"ENFERMEIRA ESF")</f>
        <v>ENFERMEIRA ESF</v>
      </c>
      <c r="E140" s="11" t="str">
        <f>IFERROR(__xludf.DUMMYFUNCTION("""COMPUTED_VALUE"""),"IV")</f>
        <v>IV</v>
      </c>
      <c r="F140" s="11"/>
      <c r="G140" s="11" t="str">
        <f>IFERROR(__xludf.DUMMYFUNCTION("""COMPUTED_VALUE"""),"US 106 CS PROF JOAQUIM CAVALCANTE")</f>
        <v>US 106 CS PROF JOAQUIM CAVALCANTE</v>
      </c>
      <c r="H140" s="27">
        <f>IFERROR(__xludf.DUMMYFUNCTION("""COMPUTED_VALUE"""),11983167970)</f>
        <v>11983167970</v>
      </c>
      <c r="I140" s="11"/>
      <c r="J140" s="11"/>
      <c r="K140" s="24">
        <f>IFERROR(__xludf.DUMMYFUNCTION("""COMPUTED_VALUE"""),45350)</f>
        <v>45350</v>
      </c>
      <c r="L140" s="11"/>
      <c r="M140" s="11"/>
      <c r="N140" s="11"/>
      <c r="O140" s="11"/>
      <c r="P140" s="11"/>
      <c r="Q140" s="11"/>
      <c r="R140" s="11"/>
      <c r="S140" s="11"/>
      <c r="T140" s="11"/>
      <c r="U140" s="11"/>
      <c r="V140" s="11"/>
      <c r="W140" s="11"/>
      <c r="X140" s="11"/>
      <c r="Y140" s="11"/>
      <c r="Z140" s="11"/>
    </row>
    <row r="141" customHeight="1" spans="1:26">
      <c r="A141" s="11" t="str">
        <f>IFERROR(__xludf.DUMMYFUNCTION("""COMPUTED_VALUE"""),"DENIA WALQUIRIA SIQUEIRA DO NASCIMENTO 106")</f>
        <v>DENIA WALQUIRIA SIQUEIRA DO NASCIMENTO 106</v>
      </c>
      <c r="B141" s="11"/>
      <c r="C141" s="11"/>
      <c r="D141" s="11" t="str">
        <f>IFERROR(__xludf.DUMMYFUNCTION("""COMPUTED_VALUE"""),"Médico Pediatra")</f>
        <v>Médico Pediatra</v>
      </c>
      <c r="E141" s="11" t="str">
        <f>IFERROR(__xludf.DUMMYFUNCTION("""COMPUTED_VALUE"""),"IV")</f>
        <v>IV</v>
      </c>
      <c r="F141" s="11" t="str">
        <f>IFERROR(__xludf.DUMMYFUNCTION("""COMPUTED_VALUE"""),"US_106 CS PROF JOAQUIM CAVALCANTE	")</f>
        <v>US_106 CS PROF JOAQUIM CAVALCANTE	</v>
      </c>
      <c r="G141" s="11" t="str">
        <f>IFERROR(__xludf.DUMMYFUNCTION("""COMPUTED_VALUE"""),"US 106 CS PROF JOAQUIM CAVALCANTE")</f>
        <v>US 106 CS PROF JOAQUIM CAVALCANTE</v>
      </c>
      <c r="H141" s="27">
        <f>IFERROR(__xludf.DUMMYFUNCTION("""COMPUTED_VALUE"""),81986424235)</f>
        <v>81986424235</v>
      </c>
      <c r="I141" s="11"/>
      <c r="J141" s="11"/>
      <c r="K141" s="11"/>
      <c r="L141" s="11"/>
      <c r="M141" s="28" t="str">
        <f>IFERROR(__xludf.DUMMYFUNCTION("""COMPUTED_VALUE"""),"3355-4425")</f>
        <v>3355-4425</v>
      </c>
      <c r="N141" s="11" t="str">
        <f>IFERROR(__xludf.DUMMYFUNCTION("""COMPUTED_VALUE"""),"deniasiqueira2011@hotmail.com")</f>
        <v>deniasiqueira2011@hotmail.com</v>
      </c>
      <c r="O141" s="29">
        <f>IFERROR(__xludf.DUMMYFUNCTION("""COMPUTED_VALUE"""),65836812420)</f>
        <v>65836812420</v>
      </c>
      <c r="P141" s="30" t="str">
        <f>IFERROR(__xludf.DUMMYFUNCTION("""COMPUTED_VALUE"""),"124536007470007")</f>
        <v>124536007470007</v>
      </c>
      <c r="Q141" s="30" t="str">
        <f>IFERROR(__xludf.DUMMYFUNCTION("""COMPUTED_VALUE"""),"0000639")</f>
        <v>0000639</v>
      </c>
      <c r="R141" s="11"/>
      <c r="S141" s="30" t="str">
        <f>IFERROR(__xludf.DUMMYFUNCTION("""COMPUTED_VALUE"""),"1")</f>
        <v>1</v>
      </c>
      <c r="T141" s="30" t="str">
        <f>IFERROR(__xludf.DUMMYFUNCTION("""COMPUTED_VALUE"""),"225124")</f>
        <v>225124</v>
      </c>
      <c r="U141" s="31" t="str">
        <f>IFERROR(__xludf.DUMMYFUNCTION("""COMPUTED_VALUE"""),"2251")</f>
        <v>2251</v>
      </c>
      <c r="V141" s="11"/>
      <c r="W141" s="11"/>
      <c r="X141" s="11"/>
      <c r="Y141" s="11"/>
      <c r="Z141" s="11"/>
    </row>
    <row r="142" customHeight="1" spans="1:26">
      <c r="A142" s="11" t="str">
        <f>IFERROR(__xludf.DUMMYFUNCTION("""COMPUTED_VALUE"""),"NANCY GOMES DE LIMA")</f>
        <v>NANCY GOMES DE LIMA</v>
      </c>
      <c r="B142" s="11" t="str">
        <f>IFERROR(__xludf.DUMMYFUNCTION("""COMPUTED_VALUE"""),"RECUSA TELECONSULTORIA")</f>
        <v>RECUSA TELECONSULTORIA</v>
      </c>
      <c r="C142" s="11"/>
      <c r="D142" s="11" t="str">
        <f>IFERROR(__xludf.DUMMYFUNCTION("""COMPUTED_VALUE"""),"Médica Clínica")</f>
        <v>Médica Clínica</v>
      </c>
      <c r="E142" s="11" t="str">
        <f>IFERROR(__xludf.DUMMYFUNCTION("""COMPUTED_VALUE"""),"VII")</f>
        <v>VII</v>
      </c>
      <c r="F142" s="11" t="str">
        <f>IFERROR(__xludf.DUMMYFUNCTION("""COMPUTED_VALUE"""),"US_152 CS INA ROSA BORGES")</f>
        <v>US_152 CS INA ROSA BORGES</v>
      </c>
      <c r="G142" s="11" t="str">
        <f>IFERROR(__xludf.DUMMYFUNCTION("""COMPUTED_VALUE"""),"US 152 CS INA ROSA BORGES")</f>
        <v>US 152 CS INA ROSA BORGES</v>
      </c>
      <c r="H142" s="27">
        <f>IFERROR(__xludf.DUMMYFUNCTION("""COMPUTED_VALUE"""),81998296177)</f>
        <v>81998296177</v>
      </c>
      <c r="I142" s="11"/>
      <c r="J142" s="11"/>
      <c r="K142" s="11"/>
      <c r="L142" s="28" t="str">
        <f>IFERROR(__xludf.DUMMYFUNCTION("""COMPUTED_VALUE"""),"X")</f>
        <v>X</v>
      </c>
      <c r="M142" s="28" t="str">
        <f>IFERROR(__xludf.DUMMYFUNCTION("""COMPUTED_VALUE"""),"3355-4408")</f>
        <v>3355-4408</v>
      </c>
      <c r="N142" s="11" t="str">
        <f>IFERROR(__xludf.DUMMYFUNCTION("""COMPUTED_VALUE"""),"nancygdelima@gmail.com")</f>
        <v>nancygdelima@gmail.com</v>
      </c>
      <c r="O142" s="29">
        <f>IFERROR(__xludf.DUMMYFUNCTION("""COMPUTED_VALUE"""),58865608404)</f>
        <v>58865608404</v>
      </c>
      <c r="P142" s="30" t="str">
        <f>IFERROR(__xludf.DUMMYFUNCTION("""COMPUTED_VALUE"""),"124193048710003")</f>
        <v>124193048710003</v>
      </c>
      <c r="Q142" s="30" t="str">
        <f>IFERROR(__xludf.DUMMYFUNCTION("""COMPUTED_VALUE"""),"0001236")</f>
        <v>0001236</v>
      </c>
      <c r="R142" s="30" t="str">
        <f>IFERROR(__xludf.DUMMYFUNCTION("""COMPUTED_VALUE"""),"9000123602")</f>
        <v>9000123602</v>
      </c>
      <c r="S142" s="30" t="str">
        <f>IFERROR(__xludf.DUMMYFUNCTION("""COMPUTED_VALUE"""),"1")</f>
        <v>1</v>
      </c>
      <c r="T142" s="30" t="str">
        <f>IFERROR(__xludf.DUMMYFUNCTION("""COMPUTED_VALUE"""),"225125")</f>
        <v>225125</v>
      </c>
      <c r="U142" s="31">
        <f>IFERROR(__xludf.DUMMYFUNCTION("""COMPUTED_VALUE"""),2251)</f>
        <v>2251</v>
      </c>
      <c r="V142" s="11"/>
      <c r="W142" s="30" t="str">
        <f>IFERROR(__xludf.DUMMYFUNCTION("""COMPUTED_VALUE"""),"22/01/1967")</f>
        <v>22/01/1967</v>
      </c>
      <c r="X142" s="11">
        <f>IFERROR(__xludf.DUMMYFUNCTION("""COMPUTED_VALUE"""),998296177)</f>
        <v>998296177</v>
      </c>
      <c r="Y142" s="11"/>
      <c r="Z142" s="11">
        <f>IFERROR(__xludf.DUMMYFUNCTION("""COMPUTED_VALUE"""),58865608404)</f>
        <v>58865608404</v>
      </c>
    </row>
    <row r="143" customHeight="1" spans="1:26">
      <c r="A143" s="11" t="str">
        <f>IFERROR(__xludf.DUMMYFUNCTION("""COMPUTED_VALUE"""),"JOSE LOPES CALADO")</f>
        <v>JOSE LOPES CALADO</v>
      </c>
      <c r="B143" s="11" t="str">
        <f>IFERROR(__xludf.DUMMYFUNCTION("""COMPUTED_VALUE"""),"PROFISSIONAL NÃO TRABALHA MAIS COM PRÉ NATAL DE ALTO RISCO")</f>
        <v>PROFISSIONAL NÃO TRABALHA MAIS COM PRÉ NATAL DE ALTO RISCO</v>
      </c>
      <c r="C143" s="11"/>
      <c r="D143" s="11" t="str">
        <f>IFERROR(__xludf.DUMMYFUNCTION("""COMPUTED_VALUE"""),"Médico Ginecologista")</f>
        <v>Médico Ginecologista</v>
      </c>
      <c r="E143" s="11" t="str">
        <f>IFERROR(__xludf.DUMMYFUNCTION("""COMPUTED_VALUE"""),"II")</f>
        <v>II</v>
      </c>
      <c r="F143" s="11" t="str">
        <f>IFERROR(__xludf.DUMMYFUNCTION("""COMPUTED_VALUE"""),"US_155 CS PROF MONTEIRO DE MORAIS")</f>
        <v>US_155 CS PROF MONTEIRO DE MORAIS</v>
      </c>
      <c r="G143" s="11" t="str">
        <f>IFERROR(__xludf.DUMMYFUNCTION("""COMPUTED_VALUE"""),"US 155 CS PROF MONTEIRO DE MORAIS")</f>
        <v>US 155 CS PROF MONTEIRO DE MORAIS</v>
      </c>
      <c r="H143" s="27">
        <f>IFERROR(__xludf.DUMMYFUNCTION("""COMPUTED_VALUE"""),81999454978)</f>
        <v>81999454978</v>
      </c>
      <c r="I143" s="11"/>
      <c r="J143" s="11"/>
      <c r="K143" s="11"/>
      <c r="L143" s="11"/>
      <c r="M143" s="28" t="str">
        <f>IFERROR(__xludf.DUMMYFUNCTION("""COMPUTED_VALUE"""),"3355-6848")</f>
        <v>3355-6848</v>
      </c>
      <c r="N143" s="11"/>
      <c r="O143" s="11">
        <f>IFERROR(__xludf.DUMMYFUNCTION("""COMPUTED_VALUE"""),17980976487)</f>
        <v>17980976487</v>
      </c>
      <c r="P143" s="30" t="str">
        <f>IFERROR(__xludf.DUMMYFUNCTION("""COMPUTED_VALUE"""),"170118737650005")</f>
        <v>170118737650005</v>
      </c>
      <c r="Q143" s="30" t="str">
        <f>IFERROR(__xludf.DUMMYFUNCTION("""COMPUTED_VALUE"""),"0000825")</f>
        <v>0000825</v>
      </c>
      <c r="R143" s="11"/>
      <c r="S143" s="30" t="str">
        <f>IFERROR(__xludf.DUMMYFUNCTION("""COMPUTED_VALUE"""),"1")</f>
        <v>1</v>
      </c>
      <c r="T143" s="30" t="str">
        <f>IFERROR(__xludf.DUMMYFUNCTION("""COMPUTED_VALUE"""),"225250")</f>
        <v>225250</v>
      </c>
      <c r="U143" s="11">
        <f>IFERROR(__xludf.DUMMYFUNCTION("""COMPUTED_VALUE"""),2251)</f>
        <v>2251</v>
      </c>
      <c r="V143" s="11"/>
      <c r="W143" s="11"/>
      <c r="X143" s="11">
        <f>IFERROR(__xludf.DUMMYFUNCTION("""COMPUTED_VALUE"""),8132698171)</f>
        <v>8132698171</v>
      </c>
      <c r="Y143" s="11">
        <f>IFERROR(__xludf.DUMMYFUNCTION("""COMPUTED_VALUE"""),8199454978)</f>
        <v>8199454978</v>
      </c>
      <c r="Z143" s="11">
        <f>IFERROR(__xludf.DUMMYFUNCTION("""COMPUTED_VALUE"""),17980976487)</f>
        <v>17980976487</v>
      </c>
    </row>
    <row r="144" customHeight="1" spans="1:26">
      <c r="A144" s="11" t="str">
        <f>IFERROR(__xludf.DUMMYFUNCTION("""COMPUTED_VALUE"""),"Luzicléia Carolina de Moura e Silva")</f>
        <v>Luzicléia Carolina de Moura e Silva</v>
      </c>
      <c r="B144" s="11"/>
      <c r="C144" s="11"/>
      <c r="D144" s="11" t="str">
        <f>IFERROR(__xludf.DUMMYFUNCTION("""COMPUTED_VALUE"""),"Enfermeira eSF")</f>
        <v>Enfermeira eSF</v>
      </c>
      <c r="E144" s="11" t="str">
        <f>IFERROR(__xludf.DUMMYFUNCTION("""COMPUTED_VALUE"""),"IV")</f>
        <v>IV</v>
      </c>
      <c r="F144" s="11" t="str">
        <f>IFERROR(__xludf.DUMMYFUNCTION("""COMPUTED_VALUE"""),"")</f>
        <v/>
      </c>
      <c r="G144" s="11" t="str">
        <f>IFERROR(__xludf.DUMMYFUNCTION("""COMPUTED_VALUE"""),"US 442 USF UPINHA DIA SANTA LUZIA EMOCY KRAUSE")</f>
        <v>US 442 USF UPINHA DIA SANTA LUZIA EMOCY KRAUSE</v>
      </c>
      <c r="H144" s="27">
        <f>IFERROR(__xludf.DUMMYFUNCTION("""COMPUTED_VALUE"""),81989288997)</f>
        <v>81989288997</v>
      </c>
      <c r="I144" s="11"/>
      <c r="J144" s="11"/>
      <c r="K144" s="24">
        <f>IFERROR(__xludf.DUMMYFUNCTION("""COMPUTED_VALUE"""),45302)</f>
        <v>45302</v>
      </c>
      <c r="L144" s="11"/>
      <c r="M144" s="11"/>
      <c r="N144" s="11"/>
      <c r="O144" s="11"/>
      <c r="P144" s="11"/>
      <c r="Q144" s="11"/>
      <c r="R144" s="11"/>
      <c r="S144" s="11"/>
      <c r="T144" s="11"/>
      <c r="U144" s="11"/>
      <c r="V144" s="11"/>
      <c r="W144" s="11"/>
      <c r="X144" s="11"/>
      <c r="Y144" s="11"/>
      <c r="Z144" s="11"/>
    </row>
    <row r="145" customHeight="1" spans="1:26">
      <c r="A145" s="11" t="str">
        <f>IFERROR(__xludf.DUMMYFUNCTION("""COMPUTED_VALUE"""),"VITOR HUGO LIMA BARRETO")</f>
        <v>VITOR HUGO LIMA BARRETO</v>
      </c>
      <c r="B145" s="11"/>
      <c r="C145" s="11"/>
      <c r="D145" s="11" t="str">
        <f>IFERROR(__xludf.DUMMYFUNCTION("""COMPUTED_VALUE"""),"Médico eSF")</f>
        <v>Médico eSF</v>
      </c>
      <c r="E145" s="11" t="str">
        <f>IFERROR(__xludf.DUMMYFUNCTION("""COMPUTED_VALUE"""),"IV")</f>
        <v>IV</v>
      </c>
      <c r="F145" s="11" t="str">
        <f>IFERROR(__xludf.DUMMYFUNCTION("""COMPUTED_VALUE"""),"US_442 USF UPINHA DIA SANTA LUZIA EMOCY KRAUSE")</f>
        <v>US_442 USF UPINHA DIA SANTA LUZIA EMOCY KRAUSE</v>
      </c>
      <c r="G145" s="11" t="str">
        <f>IFERROR(__xludf.DUMMYFUNCTION("""COMPUTED_VALUE"""),"US 442 USF UPINHA DIA SANTA LUZIA EMOCY KRAUSE")</f>
        <v>US 442 USF UPINHA DIA SANTA LUZIA EMOCY KRAUSE</v>
      </c>
      <c r="H145" s="27">
        <f>IFERROR(__xludf.DUMMYFUNCTION("""COMPUTED_VALUE"""),81989410769)</f>
        <v>81989410769</v>
      </c>
      <c r="I145" s="11"/>
      <c r="J145" s="11"/>
      <c r="K145" s="11"/>
      <c r="L145" s="11"/>
      <c r="M145" s="28" t="str">
        <f>IFERROR(__xludf.DUMMYFUNCTION("""COMPUTED_VALUE"""),"3355-1816/1850/1834")</f>
        <v>3355-1816/1850/1834</v>
      </c>
      <c r="N145" s="11" t="str">
        <f>IFERROR(__xludf.DUMMYFUNCTION("""COMPUTED_VALUE"""),"teixeira3gabriel@gmail.com")</f>
        <v>teixeira3gabriel@gmail.com</v>
      </c>
      <c r="O145" s="29">
        <f>IFERROR(__xludf.DUMMYFUNCTION("""COMPUTED_VALUE"""),82199132404)</f>
        <v>82199132404</v>
      </c>
      <c r="P145" s="30" t="str">
        <f>IFERROR(__xludf.DUMMYFUNCTION("""COMPUTED_VALUE"""),"980016277394555")</f>
        <v>980016277394555</v>
      </c>
      <c r="Q145" s="30" t="str">
        <f>IFERROR(__xludf.DUMMYFUNCTION("""COMPUTED_VALUE"""),"9069569")</f>
        <v>9069569</v>
      </c>
      <c r="R145" s="30" t="str">
        <f>IFERROR(__xludf.DUMMYFUNCTION("""COMPUTED_VALUE"""),"0000155411")</f>
        <v>0000155411</v>
      </c>
      <c r="S145" s="30" t="str">
        <f>IFERROR(__xludf.DUMMYFUNCTION("""COMPUTED_VALUE"""),"1")</f>
        <v>1</v>
      </c>
      <c r="T145" s="30" t="str">
        <f>IFERROR(__xludf.DUMMYFUNCTION("""COMPUTED_VALUE"""),"225142")</f>
        <v>225142</v>
      </c>
      <c r="U145" s="11">
        <f>IFERROR(__xludf.DUMMYFUNCTION("""COMPUTED_VALUE"""),2231)</f>
        <v>2231</v>
      </c>
      <c r="V145" s="11" t="str">
        <f>IFERROR(__xludf.DUMMYFUNCTION("""COMPUTED_VALUE"""),"SIM")</f>
        <v>SIM</v>
      </c>
      <c r="W145" s="11"/>
      <c r="X145" s="11"/>
      <c r="Y145" s="11"/>
      <c r="Z145" s="11"/>
    </row>
    <row r="146" customHeight="1" spans="1:26">
      <c r="A146" s="11" t="str">
        <f>IFERROR(__xludf.DUMMYFUNCTION("""COMPUTED_VALUE"""),"JOAS DE ARAUJO TEIXEIRA")</f>
        <v>JOAS DE ARAUJO TEIXEIRA</v>
      </c>
      <c r="B146" s="11"/>
      <c r="C146" s="11"/>
      <c r="D146" s="11" t="str">
        <f>IFERROR(__xludf.DUMMYFUNCTION("""COMPUTED_VALUE"""),"Dentista")</f>
        <v>Dentista</v>
      </c>
      <c r="E146" s="11" t="str">
        <f>IFERROR(__xludf.DUMMYFUNCTION("""COMPUTED_VALUE"""),"IV")</f>
        <v>IV</v>
      </c>
      <c r="F146" s="11" t="str">
        <f>IFERROR(__xludf.DUMMYFUNCTION("""COMPUTED_VALUE"""),"US_442 USF UPINHA DIA SANTA LUZIA EMOCY KRAUSE")</f>
        <v>US_442 USF UPINHA DIA SANTA LUZIA EMOCY KRAUSE</v>
      </c>
      <c r="G146" s="11" t="str">
        <f>IFERROR(__xludf.DUMMYFUNCTION("""COMPUTED_VALUE"""),"US_442 USF UPINHA DIA SANTA LUZIA EMOCY KRAUSE")</f>
        <v>US_442 USF UPINHA DIA SANTA LUZIA EMOCY KRAUSE</v>
      </c>
      <c r="H146" s="27">
        <f>IFERROR(__xludf.DUMMYFUNCTION("""COMPUTED_VALUE"""),81998111195)</f>
        <v>81998111195</v>
      </c>
      <c r="I146" s="11"/>
      <c r="J146" s="11"/>
      <c r="K146" s="11"/>
      <c r="L146" s="11"/>
      <c r="M146" s="11"/>
      <c r="N146" s="11"/>
      <c r="O146" s="11"/>
      <c r="P146" s="11"/>
      <c r="Q146" s="11"/>
      <c r="R146" s="11"/>
      <c r="S146" s="11"/>
      <c r="T146" s="11"/>
      <c r="U146" s="11"/>
      <c r="V146" s="11"/>
      <c r="W146" s="11"/>
      <c r="X146" s="11"/>
      <c r="Y146" s="11"/>
      <c r="Z146" s="11"/>
    </row>
    <row r="147" customHeight="1" spans="1:26">
      <c r="A147" s="11" t="str">
        <f>IFERROR(__xludf.DUMMYFUNCTION("""COMPUTED_VALUE"""),"TACIANA DRECHSLER RIO")</f>
        <v>TACIANA DRECHSLER RIO</v>
      </c>
      <c r="B147" s="11"/>
      <c r="C147" s="11"/>
      <c r="D147" s="11" t="str">
        <f>IFERROR(__xludf.DUMMYFUNCTION("""COMPUTED_VALUE"""),"Enfermeira eSF")</f>
        <v>Enfermeira eSF</v>
      </c>
      <c r="E147" s="11" t="str">
        <f>IFERROR(__xludf.DUMMYFUNCTION("""COMPUTED_VALUE"""),"VII")</f>
        <v>VII</v>
      </c>
      <c r="F147" s="11" t="str">
        <f>IFERROR(__xludf.DUMMYFUNCTION("""COMPUTED_VALUE"""),"US_251 USF DA GUABIRABA	")</f>
        <v>US_251 USF DA GUABIRABA	</v>
      </c>
      <c r="G147" s="11" t="str">
        <f>IFERROR(__xludf.DUMMYFUNCTION("""COMPUTED_VALUE"""),"US 251 USF DA GUABIRABA")</f>
        <v>US 251 USF DA GUABIRABA</v>
      </c>
      <c r="H147" s="27">
        <f>IFERROR(__xludf.DUMMYFUNCTION("""COMPUTED_VALUE"""),81994697081)</f>
        <v>81994697081</v>
      </c>
      <c r="I147" s="27">
        <f>IFERROR(__xludf.DUMMYFUNCTION("""COMPUTED_VALUE"""),81981039182)</f>
        <v>81981039182</v>
      </c>
      <c r="J147" s="11"/>
      <c r="K147" s="11"/>
      <c r="L147" s="11"/>
      <c r="M147" s="28" t="str">
        <f>IFERROR(__xludf.DUMMYFUNCTION("""COMPUTED_VALUE"""),"3355-6522")</f>
        <v>3355-6522</v>
      </c>
      <c r="N147" s="11" t="str">
        <f>IFERROR(__xludf.DUMMYFUNCTION("""COMPUTED_VALUE"""),"tacianadrechslerrio@terra.com.br")</f>
        <v>tacianadrechslerrio@terra.com.br</v>
      </c>
      <c r="O147" s="29">
        <f>IFERROR(__xludf.DUMMYFUNCTION("""COMPUTED_VALUE"""),96226366400)</f>
        <v>96226366400</v>
      </c>
      <c r="P147" s="30" t="str">
        <f>IFERROR(__xludf.DUMMYFUNCTION("""COMPUTED_VALUE"""),"206790341900007")</f>
        <v>206790341900007</v>
      </c>
      <c r="Q147" s="30" t="str">
        <f>IFERROR(__xludf.DUMMYFUNCTION("""COMPUTED_VALUE"""),"0022292")</f>
        <v>0022292</v>
      </c>
      <c r="R147" s="30" t="str">
        <f>IFERROR(__xludf.DUMMYFUNCTION("""COMPUTED_VALUE"""),"0000153761")</f>
        <v>0000153761</v>
      </c>
      <c r="S147" s="30" t="str">
        <f>IFERROR(__xludf.DUMMYFUNCTION("""COMPUTED_VALUE"""),"1")</f>
        <v>1</v>
      </c>
      <c r="T147" s="30" t="str">
        <f>IFERROR(__xludf.DUMMYFUNCTION("""COMPUTED_VALUE"""),"223565")</f>
        <v>223565</v>
      </c>
      <c r="U147" s="31" t="str">
        <f>IFERROR(__xludf.DUMMYFUNCTION("""COMPUTED_VALUE"""),"2235")</f>
        <v>2235</v>
      </c>
      <c r="V147" s="11"/>
      <c r="W147" s="11">
        <f>IFERROR(__xludf.DUMMYFUNCTION("""COMPUTED_VALUE"""),32299466)</f>
        <v>32299466</v>
      </c>
      <c r="X147" s="11">
        <f>IFERROR(__xludf.DUMMYFUNCTION("""COMPUTED_VALUE"""),981039182)</f>
        <v>981039182</v>
      </c>
      <c r="Y147" s="11">
        <f>IFERROR(__xludf.DUMMYFUNCTION("""COMPUTED_VALUE"""),96226366400)</f>
        <v>96226366400</v>
      </c>
      <c r="Z147" s="11"/>
    </row>
    <row r="148" customHeight="1" spans="1:26">
      <c r="A148" s="11" t="str">
        <f>IFERROR(__xludf.DUMMYFUNCTION("""COMPUTED_VALUE"""),"RENATA SOARES ANDRADE")</f>
        <v>RENATA SOARES ANDRADE</v>
      </c>
      <c r="B148" s="11"/>
      <c r="C148" s="11"/>
      <c r="D148" s="11" t="str">
        <f>IFERROR(__xludf.DUMMYFUNCTION("""COMPUTED_VALUE"""),"Enfermeira eSF")</f>
        <v>Enfermeira eSF</v>
      </c>
      <c r="E148" s="11" t="str">
        <f>IFERROR(__xludf.DUMMYFUNCTION("""COMPUTED_VALUE"""),"VII")</f>
        <v>VII</v>
      </c>
      <c r="F148" s="11" t="str">
        <f>IFERROR(__xludf.DUMMYFUNCTION("""COMPUTED_VALUE"""),"US_175 USF ALTO DA BRASILEIRA / DIOGENES CAVALCANTI / RESERVATORIO")</f>
        <v>US_175 USF ALTO DA BRASILEIRA / DIOGENES CAVALCANTI / RESERVATORIO</v>
      </c>
      <c r="G148" s="11" t="str">
        <f>IFERROR(__xludf.DUMMYFUNCTION("""COMPUTED_VALUE"""),"US 175 USF DR DIOGENES CAVALCANTI")</f>
        <v>US 175 USF DR DIOGENES CAVALCANTI</v>
      </c>
      <c r="H148" s="27">
        <f>IFERROR(__xludf.DUMMYFUNCTION("""COMPUTED_VALUE"""),81991420869)</f>
        <v>81991420869</v>
      </c>
      <c r="I148" s="11"/>
      <c r="J148" s="11"/>
      <c r="K148" s="11"/>
      <c r="L148" s="11"/>
      <c r="M148" s="28" t="str">
        <f>IFERROR(__xludf.DUMMYFUNCTION("""COMPUTED_VALUE"""),"3355-6402")</f>
        <v>3355-6402</v>
      </c>
      <c r="N148" s="11" t="str">
        <f>IFERROR(__xludf.DUMMYFUNCTION("""COMPUTED_VALUE"""),"cariocape@hotmail.com")</f>
        <v>cariocape@hotmail.com</v>
      </c>
      <c r="O148" s="29">
        <f>IFERROR(__xludf.DUMMYFUNCTION("""COMPUTED_VALUE"""),3437303759)</f>
        <v>3437303759</v>
      </c>
      <c r="P148" s="30" t="str">
        <f>IFERROR(__xludf.DUMMYFUNCTION("""COMPUTED_VALUE"""),"127169675490001")</f>
        <v>127169675490001</v>
      </c>
      <c r="Q148" s="30" t="str">
        <f>IFERROR(__xludf.DUMMYFUNCTION("""COMPUTED_VALUE"""),"0001244")</f>
        <v>0001244</v>
      </c>
      <c r="R148" s="30" t="str">
        <f>IFERROR(__xludf.DUMMYFUNCTION("""COMPUTED_VALUE"""),"0000153133")</f>
        <v>0000153133</v>
      </c>
      <c r="S148" s="30" t="str">
        <f>IFERROR(__xludf.DUMMYFUNCTION("""COMPUTED_VALUE"""),"1")</f>
        <v>1</v>
      </c>
      <c r="T148" s="30" t="str">
        <f>IFERROR(__xludf.DUMMYFUNCTION("""COMPUTED_VALUE"""),"223565")</f>
        <v>223565</v>
      </c>
      <c r="U148" s="31" t="str">
        <f>IFERROR(__xludf.DUMMYFUNCTION("""COMPUTED_VALUE"""),"2235")</f>
        <v>2235</v>
      </c>
      <c r="V148" s="11"/>
      <c r="W148" s="11">
        <f>IFERROR(__xludf.DUMMYFUNCTION("""COMPUTED_VALUE"""),32672965)</f>
        <v>32672965</v>
      </c>
      <c r="X148" s="11">
        <f>IFERROR(__xludf.DUMMYFUNCTION("""COMPUTED_VALUE"""),91420869)</f>
        <v>91420869</v>
      </c>
      <c r="Y148" s="11">
        <f>IFERROR(__xludf.DUMMYFUNCTION("""COMPUTED_VALUE"""),3437303759)</f>
        <v>3437303759</v>
      </c>
      <c r="Z148" s="11"/>
    </row>
    <row r="149" customHeight="1" spans="1:26">
      <c r="A149" s="11" t="str">
        <f>IFERROR(__xludf.DUMMYFUNCTION("""COMPUTED_VALUE"""),"CLAUDIA CRISTINA OLIVEIRA DE ALMEIDA")</f>
        <v>CLAUDIA CRISTINA OLIVEIRA DE ALMEIDA</v>
      </c>
      <c r="B149" s="11"/>
      <c r="C149" s="11"/>
      <c r="D149" s="11" t="str">
        <f>IFERROR(__xludf.DUMMYFUNCTION("""COMPUTED_VALUE"""),"Enfermeira eSF")</f>
        <v>Enfermeira eSF</v>
      </c>
      <c r="E149" s="11" t="str">
        <f>IFERROR(__xludf.DUMMYFUNCTION("""COMPUTED_VALUE"""),"VII")</f>
        <v>VII</v>
      </c>
      <c r="F149" s="11" t="str">
        <f>IFERROR(__xludf.DUMMYFUNCTION("""COMPUTED_VALUE"""),"")</f>
        <v/>
      </c>
      <c r="G149" s="11" t="str">
        <f>IFERROR(__xludf.DUMMYFUNCTION("""COMPUTED_VALUE"""),"US 121 CS PROF BRUNO MAIA")</f>
        <v>US 121 CS PROF BRUNO MAIA</v>
      </c>
      <c r="H149" s="27">
        <f>IFERROR(__xludf.DUMMYFUNCTION("""COMPUTED_VALUE"""),81988341402)</f>
        <v>81988341402</v>
      </c>
      <c r="I149" s="11"/>
      <c r="J149" s="11"/>
      <c r="K149" s="24">
        <f>IFERROR(__xludf.DUMMYFUNCTION("""COMPUTED_VALUE"""),45182)</f>
        <v>45182</v>
      </c>
      <c r="L149" s="11"/>
      <c r="M149" s="11"/>
      <c r="N149" s="11"/>
      <c r="O149" s="11"/>
      <c r="P149" s="11"/>
      <c r="Q149" s="11"/>
      <c r="R149" s="11"/>
      <c r="S149" s="11"/>
      <c r="T149" s="11"/>
      <c r="U149" s="11"/>
      <c r="V149" s="11"/>
      <c r="W149" s="11"/>
      <c r="X149" s="11"/>
      <c r="Y149" s="11"/>
      <c r="Z149" s="11"/>
    </row>
    <row r="150" customHeight="1" spans="1:26">
      <c r="A150" s="11" t="str">
        <f>IFERROR(__xludf.DUMMYFUNCTION("""COMPUTED_VALUE"""),"ANA MERYS DA SILVA")</f>
        <v>ANA MERYS DA SILVA</v>
      </c>
      <c r="B150" s="11"/>
      <c r="C150" s="11"/>
      <c r="D150" s="11" t="str">
        <f>IFERROR(__xludf.DUMMYFUNCTION("""COMPUTED_VALUE"""),"Enfermeira eSF")</f>
        <v>Enfermeira eSF</v>
      </c>
      <c r="E150" s="11" t="str">
        <f>IFERROR(__xludf.DUMMYFUNCTION("""COMPUTED_VALUE"""),"VII")</f>
        <v>VII</v>
      </c>
      <c r="F150" s="11" t="str">
        <f>IFERROR(__xludf.DUMMYFUNCTION("""COMPUTED_VALUE"""),"US_121 CS PROF BRUNO MAIA")</f>
        <v>US_121 CS PROF BRUNO MAIA</v>
      </c>
      <c r="G150" s="11" t="str">
        <f>IFERROR(__xludf.DUMMYFUNCTION("""COMPUTED_VALUE"""),"US 121 CS PROF BRUNO MAIA")</f>
        <v>US 121 CS PROF BRUNO MAIA</v>
      </c>
      <c r="H150" s="27">
        <f>IFERROR(__xludf.DUMMYFUNCTION("""COMPUTED_VALUE"""),81986970351)</f>
        <v>81986970351</v>
      </c>
      <c r="I150" s="11"/>
      <c r="J150" s="11"/>
      <c r="K150" s="11"/>
      <c r="L150" s="11"/>
      <c r="M150" s="28" t="str">
        <f>IFERROR(__xludf.DUMMYFUNCTION("""COMPUTED_VALUE"""),"3355-4416")</f>
        <v>3355-4416</v>
      </c>
      <c r="N150" s="11" t="str">
        <f>IFERROR(__xludf.DUMMYFUNCTION("""COMPUTED_VALUE"""),"anamerys40@gmail.com")</f>
        <v>anamerys40@gmail.com</v>
      </c>
      <c r="O150" s="29">
        <f>IFERROR(__xludf.DUMMYFUNCTION("""COMPUTED_VALUE"""),77115619468)</f>
        <v>77115619468</v>
      </c>
      <c r="P150" s="30" t="str">
        <f>IFERROR(__xludf.DUMMYFUNCTION("""COMPUTED_VALUE"""),"204322411450004")</f>
        <v>204322411450004</v>
      </c>
      <c r="Q150" s="30" t="str">
        <f>IFERROR(__xludf.DUMMYFUNCTION("""COMPUTED_VALUE"""),"0001058")</f>
        <v>0001058</v>
      </c>
      <c r="R150" s="30" t="str">
        <f>IFERROR(__xludf.DUMMYFUNCTION("""COMPUTED_VALUE"""),"0000152927")</f>
        <v>0000152927</v>
      </c>
      <c r="S150" s="30" t="str">
        <f>IFERROR(__xludf.DUMMYFUNCTION("""COMPUTED_VALUE"""),"1")</f>
        <v>1</v>
      </c>
      <c r="T150" s="30" t="str">
        <f>IFERROR(__xludf.DUMMYFUNCTION("""COMPUTED_VALUE"""),"223565")</f>
        <v>223565</v>
      </c>
      <c r="U150" s="31" t="str">
        <f>IFERROR(__xludf.DUMMYFUNCTION("""COMPUTED_VALUE"""),"2235")</f>
        <v>2235</v>
      </c>
      <c r="V150" s="11"/>
      <c r="W150" s="11">
        <f>IFERROR(__xludf.DUMMYFUNCTION("""COMPUTED_VALUE"""),8132676729)</f>
        <v>8132676729</v>
      </c>
      <c r="X150" s="11">
        <f>IFERROR(__xludf.DUMMYFUNCTION("""COMPUTED_VALUE"""),8186970351)</f>
        <v>8186970351</v>
      </c>
      <c r="Y150" s="11">
        <f>IFERROR(__xludf.DUMMYFUNCTION("""COMPUTED_VALUE"""),77115619468)</f>
        <v>77115619468</v>
      </c>
      <c r="Z150" s="11"/>
    </row>
    <row r="151" customHeight="1" spans="1:26">
      <c r="A151" s="11" t="str">
        <f>IFERROR(__xludf.DUMMYFUNCTION("""COMPUTED_VALUE"""),"ZELIA VIEGAS BRILHANTE DA NOBREGA")</f>
        <v>ZELIA VIEGAS BRILHANTE DA NOBREGA</v>
      </c>
      <c r="B151" s="11"/>
      <c r="C151" s="11"/>
      <c r="D151" s="11" t="str">
        <f>IFERROR(__xludf.DUMMYFUNCTION("""COMPUTED_VALUE"""),"Enfermeira eSF")</f>
        <v>Enfermeira eSF</v>
      </c>
      <c r="E151" s="11" t="str">
        <f>IFERROR(__xludf.DUMMYFUNCTION("""COMPUTED_VALUE"""),"VII")</f>
        <v>VII</v>
      </c>
      <c r="F151" s="11" t="str">
        <f>IFERROR(__xludf.DUMMYFUNCTION("""COMPUTED_VALUE"""),"PACS PROF. BRUNO MAIA")</f>
        <v>PACS PROF. BRUNO MAIA</v>
      </c>
      <c r="G151" s="11" t="str">
        <f>IFERROR(__xludf.DUMMYFUNCTION("""COMPUTED_VALUE"""),"US 121 CS PROF BRUNO MAIA")</f>
        <v>US 121 CS PROF BRUNO MAIA</v>
      </c>
      <c r="H151" s="27">
        <f>IFERROR(__xludf.DUMMYFUNCTION("""COMPUTED_VALUE"""),81991984910)</f>
        <v>81991984910</v>
      </c>
      <c r="I151" s="27">
        <f>IFERROR(__xludf.DUMMYFUNCTION("""COMPUTED_VALUE"""),81999459351)</f>
        <v>81999459351</v>
      </c>
      <c r="J151" s="11"/>
      <c r="K151" s="11"/>
      <c r="L151" s="11"/>
      <c r="M151" s="28" t="str">
        <f>IFERROR(__xludf.DUMMYFUNCTION("""COMPUTED_VALUE"""),"3355-4416")</f>
        <v>3355-4416</v>
      </c>
      <c r="N151" s="11" t="str">
        <f>IFERROR(__xludf.DUMMYFUNCTION("""COMPUTED_VALUE"""),"zbrilhante@bol.com.br")</f>
        <v>zbrilhante@bol.com.br</v>
      </c>
      <c r="O151" s="29">
        <f>IFERROR(__xludf.DUMMYFUNCTION("""COMPUTED_VALUE"""),36016527491)</f>
        <v>36016527491</v>
      </c>
      <c r="P151" s="30" t="str">
        <f>IFERROR(__xludf.DUMMYFUNCTION("""COMPUTED_VALUE"""),"120955143100006")</f>
        <v>120955143100006</v>
      </c>
      <c r="Q151" s="30" t="str">
        <f>IFERROR(__xludf.DUMMYFUNCTION("""COMPUTED_VALUE"""),"0001058")</f>
        <v>0001058</v>
      </c>
      <c r="R151" s="30" t="str">
        <f>IFERROR(__xludf.DUMMYFUNCTION("""COMPUTED_VALUE"""),"0001557858")</f>
        <v>0001557858</v>
      </c>
      <c r="S151" s="30" t="str">
        <f>IFERROR(__xludf.DUMMYFUNCTION("""COMPUTED_VALUE"""),"1")</f>
        <v>1</v>
      </c>
      <c r="T151" s="30" t="str">
        <f>IFERROR(__xludf.DUMMYFUNCTION("""COMPUTED_VALUE"""),"223565")</f>
        <v>223565</v>
      </c>
      <c r="U151" s="31" t="str">
        <f>IFERROR(__xludf.DUMMYFUNCTION("""COMPUTED_VALUE"""),"2235")</f>
        <v>2235</v>
      </c>
      <c r="V151" s="11"/>
      <c r="W151" s="11">
        <f>IFERROR(__xludf.DUMMYFUNCTION("""COMPUTED_VALUE"""),32423970)</f>
        <v>32423970</v>
      </c>
      <c r="X151" s="11">
        <f>IFERROR(__xludf.DUMMYFUNCTION("""COMPUTED_VALUE"""),91984910)</f>
        <v>91984910</v>
      </c>
      <c r="Y151" s="11">
        <f>IFERROR(__xludf.DUMMYFUNCTION("""COMPUTED_VALUE"""),36016527491)</f>
        <v>36016527491</v>
      </c>
      <c r="Z151" s="11"/>
    </row>
    <row r="152" customHeight="1" spans="1:26">
      <c r="A152" s="11" t="str">
        <f>IFERROR(__xludf.DUMMYFUNCTION("""COMPUTED_VALUE"""),"CLAUDIA DE AGUIAR MAIA GOMES")</f>
        <v>CLAUDIA DE AGUIAR MAIA GOMES</v>
      </c>
      <c r="B152" s="11"/>
      <c r="C152" s="11"/>
      <c r="D152" s="11" t="str">
        <f>IFERROR(__xludf.DUMMYFUNCTION("""COMPUTED_VALUE"""),"Médica eSF")</f>
        <v>Médica eSF</v>
      </c>
      <c r="E152" s="11" t="str">
        <f>IFERROR(__xludf.DUMMYFUNCTION("""COMPUTED_VALUE"""),"VIII")</f>
        <v>VIII</v>
      </c>
      <c r="F152" s="11" t="str">
        <f>IFERROR(__xludf.DUMMYFUNCTION("""COMPUTED_VALUE"""),"US_315 USF UR 3")</f>
        <v>US_315 USF UR 3</v>
      </c>
      <c r="G152" s="11" t="str">
        <f>IFERROR(__xludf.DUMMYFUNCTION("""COMPUTED_VALUE"""),"US 315 USF UR 3")</f>
        <v>US 315 USF UR 3</v>
      </c>
      <c r="H152" s="27">
        <f>IFERROR(__xludf.DUMMYFUNCTION("""COMPUTED_VALUE"""),81981278181)</f>
        <v>81981278181</v>
      </c>
      <c r="I152" s="11"/>
      <c r="J152" s="11"/>
      <c r="K152" s="11"/>
      <c r="L152" s="11"/>
      <c r="M152" s="28" t="str">
        <f>IFERROR(__xludf.DUMMYFUNCTION("""COMPUTED_VALUE"""),"3355-6452")</f>
        <v>3355-6452</v>
      </c>
      <c r="N152" s="11" t="str">
        <f>IFERROR(__xludf.DUMMYFUNCTION("""COMPUTED_VALUE"""),"claudiaaguiarmg@hotmail.com")</f>
        <v>claudiaaguiarmg@hotmail.com</v>
      </c>
      <c r="O152" s="11">
        <f>IFERROR(__xludf.DUMMYFUNCTION("""COMPUTED_VALUE"""),3117659471)</f>
        <v>3117659471</v>
      </c>
      <c r="P152" s="11" t="str">
        <f>IFERROR(__xludf.DUMMYFUNCTION("""COMPUTED_VALUE"""),"980016280325399")</f>
        <v>980016280325399</v>
      </c>
      <c r="Q152" s="30" t="str">
        <f>IFERROR(__xludf.DUMMYFUNCTION("""COMPUTED_VALUE"""),"3562638")</f>
        <v>3562638</v>
      </c>
      <c r="R152" s="30" t="str">
        <f>IFERROR(__xludf.DUMMYFUNCTION("""COMPUTED_VALUE"""),"0000155586")</f>
        <v>0000155586</v>
      </c>
      <c r="S152" s="30" t="str">
        <f>IFERROR(__xludf.DUMMYFUNCTION("""COMPUTED_VALUE"""),"1")</f>
        <v>1</v>
      </c>
      <c r="T152" s="30" t="str">
        <f>IFERROR(__xludf.DUMMYFUNCTION("""COMPUTED_VALUE"""),"225142")</f>
        <v>225142</v>
      </c>
      <c r="U152" s="31" t="str">
        <f>IFERROR(__xludf.DUMMYFUNCTION("""COMPUTED_VALUE"""),"2251")</f>
        <v>2251</v>
      </c>
      <c r="V152" s="11"/>
      <c r="W152" s="30" t="str">
        <f>IFERROR(__xludf.DUMMYFUNCTION("""COMPUTED_VALUE"""),"30/09/1978")</f>
        <v>30/09/1978</v>
      </c>
      <c r="X152" s="11"/>
      <c r="Y152" s="11"/>
      <c r="Z152" s="11"/>
    </row>
    <row r="153" customHeight="1" spans="1:26">
      <c r="A153" s="11" t="str">
        <f>IFERROR(__xludf.DUMMYFUNCTION("""COMPUTED_VALUE"""),"LARISSA RODRIGUES FERREIRA DE FREITAS")</f>
        <v>LARISSA RODRIGUES FERREIRA DE FREITAS</v>
      </c>
      <c r="B153" s="11"/>
      <c r="C153" s="11"/>
      <c r="D153" s="11" t="str">
        <f>IFERROR(__xludf.DUMMYFUNCTION("""COMPUTED_VALUE"""),"Médico Residente")</f>
        <v>Médico Residente</v>
      </c>
      <c r="E153" s="11" t="str">
        <f>IFERROR(__xludf.DUMMYFUNCTION("""COMPUTED_VALUE"""),"VIII")</f>
        <v>VIII</v>
      </c>
      <c r="F153" s="11" t="str">
        <f>IFERROR(__xludf.DUMMYFUNCTION("""COMPUTED_VALUE"""),"")</f>
        <v/>
      </c>
      <c r="G153" s="11" t="str">
        <f>IFERROR(__xludf.DUMMYFUNCTION("""COMPUTED_VALUE"""),"US 315 USF UR 3")</f>
        <v>US 315 USF UR 3</v>
      </c>
      <c r="H153" s="27">
        <f>IFERROR(__xludf.DUMMYFUNCTION("""COMPUTED_VALUE"""),81981442789)</f>
        <v>81981442789</v>
      </c>
      <c r="I153" s="11"/>
      <c r="J153" s="11"/>
      <c r="K153" s="11"/>
      <c r="L153" s="11"/>
      <c r="M153" s="11"/>
      <c r="N153" s="11" t="str">
        <f>IFERROR(__xludf.DUMMYFUNCTION("""COMPUTED_VALUE"""),"larirfreitas@gmail.com")</f>
        <v>larirfreitas@gmail.com</v>
      </c>
      <c r="O153" s="11"/>
      <c r="P153" s="11"/>
      <c r="Q153" s="11"/>
      <c r="R153" s="11"/>
      <c r="S153" s="11"/>
      <c r="T153" s="11"/>
      <c r="U153" s="11"/>
      <c r="V153" s="11"/>
      <c r="W153" s="11"/>
      <c r="X153" s="11"/>
      <c r="Y153" s="11"/>
      <c r="Z153" s="11"/>
    </row>
    <row r="154" customHeight="1" spans="1:26">
      <c r="A154" s="11" t="str">
        <f>IFERROR(__xludf.DUMMYFUNCTION("""COMPUTED_VALUE"""),"AMELIA CAROLINA V. VASCO")</f>
        <v>AMELIA CAROLINA V. VASCO</v>
      </c>
      <c r="B154" s="11"/>
      <c r="C154" s="11"/>
      <c r="D154" s="11" t="str">
        <f>IFERROR(__xludf.DUMMYFUNCTION("""COMPUTED_VALUE"""),"Dentista")</f>
        <v>Dentista</v>
      </c>
      <c r="E154" s="11" t="str">
        <f>IFERROR(__xludf.DUMMYFUNCTION("""COMPUTED_VALUE"""),"VII")</f>
        <v>VII</v>
      </c>
      <c r="F154" s="11" t="str">
        <f>IFERROR(__xludf.DUMMYFUNCTION("""COMPUTED_VALUE"""),"US_152 CS INA ROSA BORGES")</f>
        <v>US_152 CS INA ROSA BORGES</v>
      </c>
      <c r="G154" s="11" t="str">
        <f>IFERROR(__xludf.DUMMYFUNCTION("""COMPUTED_VALUE"""),"US 152 CS INA ROSA BORGES")</f>
        <v>US 152 CS INA ROSA BORGES</v>
      </c>
      <c r="H154" s="27">
        <f>IFERROR(__xludf.DUMMYFUNCTION("""COMPUTED_VALUE"""),81988481652)</f>
        <v>81988481652</v>
      </c>
      <c r="I154" s="11"/>
      <c r="J154" s="11"/>
      <c r="K154" s="11"/>
      <c r="L154" s="11"/>
      <c r="M154" s="28" t="str">
        <f>IFERROR(__xludf.DUMMYFUNCTION("""COMPUTED_VALUE"""),"3355-4408")</f>
        <v>3355-4408</v>
      </c>
      <c r="N154" s="11" t="str">
        <f>IFERROR(__xludf.DUMMYFUNCTION("""COMPUTED_VALUE"""),"ameliacarolinavv@hotmail.com")</f>
        <v>ameliacarolinavv@hotmail.com</v>
      </c>
      <c r="O154" s="29">
        <f>IFERROR(__xludf.DUMMYFUNCTION("""COMPUTED_VALUE"""),52977552472)</f>
        <v>52977552472</v>
      </c>
      <c r="P154" s="30" t="str">
        <f>IFERROR(__xludf.DUMMYFUNCTION("""COMPUTED_VALUE"""),"170519053230001	")</f>
        <v>170519053230001	</v>
      </c>
      <c r="Q154" s="30" t="str">
        <f>IFERROR(__xludf.DUMMYFUNCTION("""COMPUTED_VALUE"""),"0001236")</f>
        <v>0001236</v>
      </c>
      <c r="R154" s="30" t="str">
        <f>IFERROR(__xludf.DUMMYFUNCTION("""COMPUTED_VALUE"""),"9000123601")</f>
        <v>9000123601</v>
      </c>
      <c r="S154" s="30" t="str">
        <f>IFERROR(__xludf.DUMMYFUNCTION("""COMPUTED_VALUE"""),"1")</f>
        <v>1</v>
      </c>
      <c r="T154" s="30" t="str">
        <f>IFERROR(__xludf.DUMMYFUNCTION("""COMPUTED_VALUE"""),"223208 ")</f>
        <v>223208 </v>
      </c>
      <c r="U154" s="31">
        <f>IFERROR(__xludf.DUMMYFUNCTION("""COMPUTED_VALUE"""),2232)</f>
        <v>2232</v>
      </c>
      <c r="V154" s="11"/>
      <c r="W154" s="11"/>
      <c r="X154" s="11"/>
      <c r="Y154" s="11"/>
      <c r="Z154" s="11"/>
    </row>
    <row r="155" customHeight="1" spans="1:26">
      <c r="A155" s="11" t="str">
        <f>IFERROR(__xludf.DUMMYFUNCTION("""COMPUTED_VALUE"""),"DIANA MARIA TAVARES DE SOUZA")</f>
        <v>DIANA MARIA TAVARES DE SOUZA</v>
      </c>
      <c r="B155" s="11" t="str">
        <f>IFERROR(__xludf.DUMMYFUNCTION("""COMPUTED_VALUE"""),"LICENÇA OUT/23 - RETORNA EM NOVEMBRO")</f>
        <v>LICENÇA OUT/23 - RETORNA EM NOVEMBRO</v>
      </c>
      <c r="C155" s="11"/>
      <c r="D155" s="11" t="str">
        <f>IFERROR(__xludf.DUMMYFUNCTION("""COMPUTED_VALUE"""),"Médica eSF")</f>
        <v>Médica eSF</v>
      </c>
      <c r="E155" s="11" t="str">
        <f>IFERROR(__xludf.DUMMYFUNCTION("""COMPUTED_VALUE"""),"II")</f>
        <v>II</v>
      </c>
      <c r="F155" s="11" t="str">
        <f>IFERROR(__xludf.DUMMYFUNCTION("""COMPUTED_VALUE"""),"US_226 USF CHAO DE ESTRELAS")</f>
        <v>US_226 USF CHAO DE ESTRELAS</v>
      </c>
      <c r="G155" s="11" t="str">
        <f>IFERROR(__xludf.DUMMYFUNCTION("""COMPUTED_VALUE"""),"US 226 USF CHAO DE ESTRELAS")</f>
        <v>US 226 USF CHAO DE ESTRELAS</v>
      </c>
      <c r="H155" s="27">
        <f>IFERROR(__xludf.DUMMYFUNCTION("""COMPUTED_VALUE"""),81986461162)</f>
        <v>81986461162</v>
      </c>
      <c r="I155" s="11"/>
      <c r="J155" s="11"/>
      <c r="K155" s="11"/>
      <c r="L155" s="11"/>
      <c r="M155" s="28" t="str">
        <f>IFERROR(__xludf.DUMMYFUNCTION("""COMPUTED_VALUE"""),"3355-6694")</f>
        <v>3355-6694</v>
      </c>
      <c r="N155" s="11" t="str">
        <f>IFERROR(__xludf.DUMMYFUNCTION("""COMPUTED_VALUE"""),"dianatsouza@gmail.com")</f>
        <v>dianatsouza@gmail.com</v>
      </c>
      <c r="O155" s="29">
        <f>IFERROR(__xludf.DUMMYFUNCTION("""COMPUTED_VALUE"""),89462335400)</f>
        <v>89462335400</v>
      </c>
      <c r="P155" s="30" t="str">
        <f>IFERROR(__xludf.DUMMYFUNCTION("""COMPUTED_VALUE"""),"200353726690018")</f>
        <v>200353726690018</v>
      </c>
      <c r="Q155" s="30" t="str">
        <f>IFERROR(__xludf.DUMMYFUNCTION("""COMPUTED_VALUE"""),"0022233")</f>
        <v>0022233</v>
      </c>
      <c r="R155" s="30" t="str">
        <f>IFERROR(__xludf.DUMMYFUNCTION("""COMPUTED_VALUE"""),"0000153621")</f>
        <v>0000153621</v>
      </c>
      <c r="S155" s="30" t="str">
        <f>IFERROR(__xludf.DUMMYFUNCTION("""COMPUTED_VALUE"""),"1")</f>
        <v>1</v>
      </c>
      <c r="T155" s="30" t="str">
        <f>IFERROR(__xludf.DUMMYFUNCTION("""COMPUTED_VALUE"""),"225142")</f>
        <v>225142</v>
      </c>
      <c r="U155" s="11">
        <f>IFERROR(__xludf.DUMMYFUNCTION("""COMPUTED_VALUE"""),2251)</f>
        <v>2251</v>
      </c>
      <c r="V155" s="11"/>
      <c r="W155" s="11"/>
      <c r="X155" s="11">
        <f>IFERROR(__xludf.DUMMYFUNCTION("""COMPUTED_VALUE"""),8186461162)</f>
        <v>8186461162</v>
      </c>
      <c r="Y155" s="11"/>
      <c r="Z155" s="11">
        <f>IFERROR(__xludf.DUMMYFUNCTION("""COMPUTED_VALUE"""),89462335400)</f>
        <v>89462335400</v>
      </c>
    </row>
    <row r="156" customHeight="1" spans="1:26">
      <c r="A156" s="11" t="str">
        <f>IFERROR(__xludf.DUMMYFUNCTION("""COMPUTED_VALUE"""),"Eduardo Henrique Pereira Araújo")</f>
        <v>Eduardo Henrique Pereira Araújo</v>
      </c>
      <c r="B156" s="11"/>
      <c r="C156" s="11"/>
      <c r="D156" s="11" t="str">
        <f>IFERROR(__xludf.DUMMYFUNCTION("""COMPUTED_VALUE"""),"Psicólogo")</f>
        <v>Psicólogo</v>
      </c>
      <c r="E156" s="11" t="str">
        <f>IFERROR(__xludf.DUMMYFUNCTION("""COMPUTED_VALUE"""),"II")</f>
        <v>II</v>
      </c>
      <c r="F156" s="11" t="str">
        <f>IFERROR(__xludf.DUMMYFUNCTION("""COMPUTED_VALUE"""),"")</f>
        <v/>
      </c>
      <c r="G156" s="11" t="str">
        <f>IFERROR(__xludf.DUMMYFUNCTION("""COMPUTED_VALUE"""),"US 226 USF CHAO DE ESTRELAS")</f>
        <v>US 226 USF CHAO DE ESTRELAS</v>
      </c>
      <c r="H156" s="27">
        <f>IFERROR(__xludf.DUMMYFUNCTION("""COMPUTED_VALUE"""),81997785088)</f>
        <v>81997785088</v>
      </c>
      <c r="I156" s="11"/>
      <c r="J156" s="11"/>
      <c r="K156" s="24">
        <f>IFERROR(__xludf.DUMMYFUNCTION("""COMPUTED_VALUE"""),45077)</f>
        <v>45077</v>
      </c>
      <c r="L156" s="11"/>
      <c r="M156" s="11"/>
      <c r="N156" s="11"/>
      <c r="O156" s="11"/>
      <c r="P156" s="11"/>
      <c r="Q156" s="11"/>
      <c r="R156" s="11"/>
      <c r="S156" s="11"/>
      <c r="T156" s="11"/>
      <c r="U156" s="11"/>
      <c r="V156" s="11"/>
      <c r="W156" s="11"/>
      <c r="X156" s="11"/>
      <c r="Y156" s="11"/>
      <c r="Z156" s="11"/>
    </row>
    <row r="157" customHeight="1" spans="1:26">
      <c r="A157" s="11" t="str">
        <f>IFERROR(__xludf.DUMMYFUNCTION("""COMPUTED_VALUE"""),"JACI MARIA SANTANA")</f>
        <v>JACI MARIA SANTANA</v>
      </c>
      <c r="B157" s="11" t="str">
        <f>IFERROR(__xludf.DUMMYFUNCTION("""COMPUTED_VALUE"""),"RECUSA TELECONSULTORIA")</f>
        <v>RECUSA TELECONSULTORIA</v>
      </c>
      <c r="C157" s="11"/>
      <c r="D157" s="11" t="str">
        <f>IFERROR(__xludf.DUMMYFUNCTION("""COMPUTED_VALUE"""),"Médica eSF")</f>
        <v>Médica eSF</v>
      </c>
      <c r="E157" s="11" t="str">
        <f>IFERROR(__xludf.DUMMYFUNCTION("""COMPUTED_VALUE"""),"VI")</f>
        <v>VI</v>
      </c>
      <c r="F157" s="11" t="str">
        <f>IFERROR(__xludf.DUMMYFUNCTION("""COMPUTED_VALUE"""),"US_297 USF DO PINA -  JOAO RODRIGUES")</f>
        <v>US_297 USF DO PINA -  JOAO RODRIGUES</v>
      </c>
      <c r="G157" s="11" t="str">
        <f>IFERROR(__xludf.DUMMYFUNCTION("""COMPUTED_VALUE"""),"US 297 USF DO PINA")</f>
        <v>US 297 USF DO PINA</v>
      </c>
      <c r="H157" s="27">
        <f>IFERROR(__xludf.DUMMYFUNCTION("""COMPUTED_VALUE"""),81999742165)</f>
        <v>81999742165</v>
      </c>
      <c r="I157" s="11"/>
      <c r="J157" s="11"/>
      <c r="K157" s="11"/>
      <c r="L157" s="28" t="str">
        <f>IFERROR(__xludf.DUMMYFUNCTION("""COMPUTED_VALUE"""),"X")</f>
        <v>X</v>
      </c>
      <c r="M157" s="28" t="str">
        <f>IFERROR(__xludf.DUMMYFUNCTION("""COMPUTED_VALUE"""),"3355-4686")</f>
        <v>3355-4686</v>
      </c>
      <c r="N157" s="11" t="str">
        <f>IFERROR(__xludf.DUMMYFUNCTION("""COMPUTED_VALUE"""),"drajacidermato10061@hotmail.com")</f>
        <v>drajacidermato10061@hotmail.com</v>
      </c>
      <c r="O157" s="29">
        <f>IFERROR(__xludf.DUMMYFUNCTION("""COMPUTED_VALUE"""),83419799420)</f>
        <v>83419799420</v>
      </c>
      <c r="P157" s="30" t="str">
        <f>IFERROR(__xludf.DUMMYFUNCTION("""COMPUTED_VALUE"""),"170518939610000")</f>
        <v>170518939610000</v>
      </c>
      <c r="Q157" s="30" t="str">
        <f>IFERROR(__xludf.DUMMYFUNCTION("""COMPUTED_VALUE"""),"3153568")</f>
        <v>3153568</v>
      </c>
      <c r="R157" s="30" t="str">
        <f>IFERROR(__xludf.DUMMYFUNCTION("""COMPUTED_VALUE"""),"0000155179")</f>
        <v>0000155179</v>
      </c>
      <c r="S157" s="30" t="str">
        <f>IFERROR(__xludf.DUMMYFUNCTION("""COMPUTED_VALUE"""),"1")</f>
        <v>1</v>
      </c>
      <c r="T157" s="30" t="str">
        <f>IFERROR(__xludf.DUMMYFUNCTION("""COMPUTED_VALUE"""),"225142")</f>
        <v>225142</v>
      </c>
      <c r="U157" s="31" t="str">
        <f>IFERROR(__xludf.DUMMYFUNCTION("""COMPUTED_VALUE"""),"2251")</f>
        <v>2251</v>
      </c>
      <c r="V157" s="11"/>
      <c r="W157" s="11"/>
      <c r="X157" s="11">
        <f>IFERROR(__xludf.DUMMYFUNCTION("""COMPUTED_VALUE"""),99742165)</f>
        <v>99742165</v>
      </c>
      <c r="Y157" s="11">
        <f>IFERROR(__xludf.DUMMYFUNCTION("""COMPUTED_VALUE"""),33259289)</f>
        <v>33259289</v>
      </c>
      <c r="Z157" s="11">
        <f>IFERROR(__xludf.DUMMYFUNCTION("""COMPUTED_VALUE"""),83419799420)</f>
        <v>83419799420</v>
      </c>
    </row>
    <row r="158" customHeight="1" spans="1:26">
      <c r="A158" s="11" t="str">
        <f>IFERROR(__xludf.DUMMYFUNCTION("""COMPUTED_VALUE"""),"ERICA LUIZA CARVALHO FEITOSA")</f>
        <v>ERICA LUIZA CARVALHO FEITOSA</v>
      </c>
      <c r="B158" s="11"/>
      <c r="C158" s="11"/>
      <c r="D158" s="11" t="str">
        <f>IFERROR(__xludf.DUMMYFUNCTION("""COMPUTED_VALUE"""),"Enfermeira eSF")</f>
        <v>Enfermeira eSF</v>
      </c>
      <c r="E158" s="11" t="str">
        <f>IFERROR(__xludf.DUMMYFUNCTION("""COMPUTED_VALUE"""),"VI")</f>
        <v>VI</v>
      </c>
      <c r="F158" s="11" t="str">
        <f>IFERROR(__xludf.DUMMYFUNCTION("""COMPUTED_VALUE"""),"US_316 USF BERNARD VAN LEER")</f>
        <v>US_316 USF BERNARD VAN LEER</v>
      </c>
      <c r="G158" s="11" t="str">
        <f>IFERROR(__xludf.DUMMYFUNCTION("""COMPUTED_VALUE"""),"US 316 USF BERNARD VAN LEER")</f>
        <v>US 316 USF BERNARD VAN LEER</v>
      </c>
      <c r="H158" s="27">
        <f>IFERROR(__xludf.DUMMYFUNCTION("""COMPUTED_VALUE"""),81999996639)</f>
        <v>81999996639</v>
      </c>
      <c r="I158" s="27">
        <f>IFERROR(__xludf.DUMMYFUNCTION("""COMPUTED_VALUE"""),81999711787)</f>
        <v>81999711787</v>
      </c>
      <c r="J158" s="11"/>
      <c r="K158" s="11"/>
      <c r="L158" s="11"/>
      <c r="M158" s="28" t="str">
        <f>IFERROR(__xludf.DUMMYFUNCTION("""COMPUTED_VALUE"""),"3355-6406")</f>
        <v>3355-6406</v>
      </c>
      <c r="N158" s="11" t="str">
        <f>IFERROR(__xludf.DUMMYFUNCTION("""COMPUTED_VALUE"""),"kikafeitosa@gmail.com")</f>
        <v>kikafeitosa@gmail.com</v>
      </c>
      <c r="O158" s="29">
        <f>IFERROR(__xludf.DUMMYFUNCTION("""COMPUTED_VALUE"""),88097897415)</f>
        <v>88097897415</v>
      </c>
      <c r="P158" s="30" t="str">
        <f>IFERROR(__xludf.DUMMYFUNCTION("""COMPUTED_VALUE"""),"206790235470002")</f>
        <v>206790235470002</v>
      </c>
      <c r="Q158" s="30" t="str">
        <f>IFERROR(__xludf.DUMMYFUNCTION("""COMPUTED_VALUE"""),"3562581")</f>
        <v>3562581</v>
      </c>
      <c r="R158" s="30" t="str">
        <f>IFERROR(__xludf.DUMMYFUNCTION("""COMPUTED_VALUE"""),"0000155519")</f>
        <v>0000155519</v>
      </c>
      <c r="S158" s="30" t="str">
        <f>IFERROR(__xludf.DUMMYFUNCTION("""COMPUTED_VALUE"""),"1")</f>
        <v>1</v>
      </c>
      <c r="T158" s="30" t="str">
        <f>IFERROR(__xludf.DUMMYFUNCTION("""COMPUTED_VALUE"""),"223565")</f>
        <v>223565</v>
      </c>
      <c r="U158" s="31" t="str">
        <f>IFERROR(__xludf.DUMMYFUNCTION("""COMPUTED_VALUE"""),"2235")</f>
        <v>2235</v>
      </c>
      <c r="V158" s="11"/>
      <c r="W158" s="11">
        <f>IFERROR(__xludf.DUMMYFUNCTION("""COMPUTED_VALUE"""),8199996639)</f>
        <v>8199996639</v>
      </c>
      <c r="X158" s="11">
        <f>IFERROR(__xludf.DUMMYFUNCTION("""COMPUTED_VALUE"""),8133261520)</f>
        <v>8133261520</v>
      </c>
      <c r="Y158" s="11">
        <f>IFERROR(__xludf.DUMMYFUNCTION("""COMPUTED_VALUE"""),88097897415)</f>
        <v>88097897415</v>
      </c>
      <c r="Z158" s="11"/>
    </row>
    <row r="159" customHeight="1" spans="1:26">
      <c r="A159" s="11" t="str">
        <f>IFERROR(__xludf.DUMMYFUNCTION("""COMPUTED_VALUE"""),"GILBERSON MOURA DE BRITO")</f>
        <v>GILBERSON MOURA DE BRITO</v>
      </c>
      <c r="B159" s="11"/>
      <c r="C159" s="11"/>
      <c r="D159" s="11" t="str">
        <f>IFERROR(__xludf.DUMMYFUNCTION("""COMPUTED_VALUE"""),"Médico eSF")</f>
        <v>Médico eSF</v>
      </c>
      <c r="E159" s="11" t="str">
        <f>IFERROR(__xludf.DUMMYFUNCTION("""COMPUTED_VALUE"""),"I")</f>
        <v>I</v>
      </c>
      <c r="F159" s="11" t="str">
        <f>IFERROR(__xludf.DUMMYFUNCTION("""COMPUTED_VALUE"""),"US_334 USF CABANGA")</f>
        <v>US_334 USF CABANGA</v>
      </c>
      <c r="G159" s="11" t="str">
        <f>IFERROR(__xludf.DUMMYFUNCTION("""COMPUTED_VALUE"""),"US 334 USF CABANGA")</f>
        <v>US 334 USF CABANGA</v>
      </c>
      <c r="H159" s="27">
        <f>IFERROR(__xludf.DUMMYFUNCTION("""COMPUTED_VALUE"""),81996699494)</f>
        <v>81996699494</v>
      </c>
      <c r="I159" s="11"/>
      <c r="J159" s="11"/>
      <c r="K159" s="11"/>
      <c r="L159" s="11"/>
      <c r="M159" s="28" t="str">
        <f>IFERROR(__xludf.DUMMYFUNCTION("""COMPUTED_VALUE"""),"3355-6418")</f>
        <v>3355-6418</v>
      </c>
      <c r="N159" s="11" t="str">
        <f>IFERROR(__xludf.DUMMYFUNCTION("""COMPUTED_VALUE"""),"gilberson@yahoo.com.br")</f>
        <v>gilberson@yahoo.com.br</v>
      </c>
      <c r="O159" s="29">
        <f>IFERROR(__xludf.DUMMYFUNCTION("""COMPUTED_VALUE"""),1462529429)</f>
        <v>1462529429</v>
      </c>
      <c r="P159" s="30" t="str">
        <f>IFERROR(__xludf.DUMMYFUNCTION("""COMPUTED_VALUE"""),"702403527831123")</f>
        <v>702403527831123</v>
      </c>
      <c r="Q159" s="30" t="str">
        <f>IFERROR(__xludf.DUMMYFUNCTION("""COMPUTED_VALUE"""),"3862836")</f>
        <v>3862836</v>
      </c>
      <c r="R159" s="30" t="str">
        <f>IFERROR(__xludf.DUMMYFUNCTION("""COMPUTED_VALUE"""),"0000155713")</f>
        <v>0000155713</v>
      </c>
      <c r="S159" s="30" t="str">
        <f>IFERROR(__xludf.DUMMYFUNCTION("""COMPUTED_VALUE"""),"1")</f>
        <v>1</v>
      </c>
      <c r="T159" s="30" t="str">
        <f>IFERROR(__xludf.DUMMYFUNCTION("""COMPUTED_VALUE"""),"225142")</f>
        <v>225142</v>
      </c>
      <c r="U159" s="31" t="str">
        <f>IFERROR(__xludf.DUMMYFUNCTION("""COMPUTED_VALUE"""),"2251")</f>
        <v>2251</v>
      </c>
      <c r="V159" s="11"/>
      <c r="W159" s="11"/>
      <c r="X159" s="11"/>
      <c r="Y159" s="11"/>
      <c r="Z159" s="11"/>
    </row>
    <row r="160" customHeight="1" spans="1:26">
      <c r="A160" s="11" t="str">
        <f>IFERROR(__xludf.DUMMYFUNCTION("""COMPUTED_VALUE"""),"Keyla Pereira GuimarAes Rocha")</f>
        <v>Keyla Pereira GuimarAes Rocha</v>
      </c>
      <c r="B160" s="11"/>
      <c r="C160" s="11"/>
      <c r="D160" s="11" t="str">
        <f>IFERROR(__xludf.DUMMYFUNCTION("""COMPUTED_VALUE"""),"MÉDICA")</f>
        <v>MÉDICA</v>
      </c>
      <c r="E160" s="11"/>
      <c r="F160" s="11"/>
      <c r="G160" s="11" t="str">
        <f>IFERROR(__xludf.DUMMYFUNCTION("""COMPUTED_VALUE"""),"US 313 USF TRES CARNEIROS DE BAIXO ZUMBI DO PACHECO")</f>
        <v>US 313 USF TRES CARNEIROS DE BAIXO ZUMBI DO PACHECO</v>
      </c>
      <c r="H160" s="11"/>
      <c r="I160" s="11"/>
      <c r="J160" s="11"/>
      <c r="K160" s="11"/>
      <c r="L160" s="11"/>
      <c r="M160" s="11"/>
      <c r="N160" s="11"/>
      <c r="O160" s="11"/>
      <c r="P160" s="11"/>
      <c r="Q160" s="11"/>
      <c r="R160" s="11"/>
      <c r="S160" s="11"/>
      <c r="T160" s="11"/>
      <c r="U160" s="11"/>
      <c r="V160" s="11"/>
      <c r="W160" s="11"/>
      <c r="X160" s="11"/>
      <c r="Y160" s="11"/>
      <c r="Z160" s="11"/>
    </row>
    <row r="161" customHeight="1" spans="1:26">
      <c r="A161" s="11" t="str">
        <f>IFERROR(__xludf.DUMMYFUNCTION("""COMPUTED_VALUE"""),"Leandro Diaz Elias")</f>
        <v>Leandro Diaz Elias</v>
      </c>
      <c r="B161" s="11"/>
      <c r="C161" s="11"/>
      <c r="D161" s="11" t="str">
        <f>IFERROR(__xludf.DUMMYFUNCTION("""COMPUTED_VALUE"""),"Médico eSF")</f>
        <v>Médico eSF</v>
      </c>
      <c r="E161" s="11" t="str">
        <f>IFERROR(__xludf.DUMMYFUNCTION("""COMPUTED_VALUE"""),"VIII")</f>
        <v>VIII</v>
      </c>
      <c r="F161" s="11" t="str">
        <f>IFERROR(__xludf.DUMMYFUNCTION("""COMPUTED_VALUE"""),"")</f>
        <v/>
      </c>
      <c r="G161" s="11" t="str">
        <f>IFERROR(__xludf.DUMMYFUNCTION("""COMPUTED_VALUE"""),"US 313 USF TRES CARNEIROS DE BAIXO ZUMBI DO PACHECO")</f>
        <v>US 313 USF TRES CARNEIROS DE BAIXO ZUMBI DO PACHECO</v>
      </c>
      <c r="H161" s="27">
        <f>IFERROR(__xludf.DUMMYFUNCTION("""COMPUTED_VALUE"""),53999658619)</f>
        <v>53999658619</v>
      </c>
      <c r="I161" s="11"/>
      <c r="J161" s="11"/>
      <c r="K161" s="24">
        <f>IFERROR(__xludf.DUMMYFUNCTION("""COMPUTED_VALUE"""),45295)</f>
        <v>45295</v>
      </c>
      <c r="L161" s="11"/>
      <c r="M161" s="11"/>
      <c r="N161" s="11"/>
      <c r="O161" s="11"/>
      <c r="P161" s="11"/>
      <c r="Q161" s="11"/>
      <c r="R161" s="11"/>
      <c r="S161" s="11"/>
      <c r="T161" s="11"/>
      <c r="U161" s="11"/>
      <c r="V161" s="11"/>
      <c r="W161" s="11"/>
      <c r="X161" s="11"/>
      <c r="Y161" s="11"/>
      <c r="Z161" s="11"/>
    </row>
    <row r="162" customHeight="1" spans="1:26">
      <c r="A162" s="11" t="str">
        <f>IFERROR(__xludf.DUMMYFUNCTION("""COMPUTED_VALUE"""),"VIRGINIA LIMA PINTO")</f>
        <v>VIRGINIA LIMA PINTO</v>
      </c>
      <c r="B162" s="11"/>
      <c r="C162" s="11"/>
      <c r="D162" s="11" t="str">
        <f>IFERROR(__xludf.DUMMYFUNCTION("""COMPUTED_VALUE"""),"Enfermeira eSF")</f>
        <v>Enfermeira eSF</v>
      </c>
      <c r="E162" s="11" t="str">
        <f>IFERROR(__xludf.DUMMYFUNCTION("""COMPUTED_VALUE"""),"VIII")</f>
        <v>VIII</v>
      </c>
      <c r="F162" s="11" t="str">
        <f>IFERROR(__xludf.DUMMYFUNCTION("""COMPUTED_VALUE"""),"US_313 USF TRES CARNEIROS DE BAIXO ZUMBI DO PACHECO")</f>
        <v>US_313 USF TRES CARNEIROS DE BAIXO ZUMBI DO PACHECO</v>
      </c>
      <c r="G162" s="11" t="str">
        <f>IFERROR(__xludf.DUMMYFUNCTION("""COMPUTED_VALUE"""),"US 313 USF TRES CARNEIROS DE BAIXO ZUMBI DO PACHECO")</f>
        <v>US 313 USF TRES CARNEIROS DE BAIXO ZUMBI DO PACHECO</v>
      </c>
      <c r="H162" s="27">
        <f>IFERROR(__xludf.DUMMYFUNCTION("""COMPUTED_VALUE"""),81996176498)</f>
        <v>81996176498</v>
      </c>
      <c r="I162" s="11"/>
      <c r="J162" s="11"/>
      <c r="K162" s="11"/>
      <c r="L162" s="11"/>
      <c r="M162" s="28" t="str">
        <f>IFERROR(__xludf.DUMMYFUNCTION("""COMPUTED_VALUE"""),"3355-4712")</f>
        <v>3355-4712</v>
      </c>
      <c r="N162" s="11" t="str">
        <f>IFERROR(__xludf.DUMMYFUNCTION("""COMPUTED_VALUE"""),"GINALPINTO@HOTMAIL.COM")</f>
        <v>GINALPINTO@HOTMAIL.COM</v>
      </c>
      <c r="O162" s="29">
        <f>IFERROR(__xludf.DUMMYFUNCTION("""COMPUTED_VALUE"""),85664952415)</f>
        <v>85664952415</v>
      </c>
      <c r="P162" s="30" t="str">
        <f>IFERROR(__xludf.DUMMYFUNCTION("""COMPUTED_VALUE"""),"128783284520007")</f>
        <v>128783284520007</v>
      </c>
      <c r="Q162" s="30" t="str">
        <f>IFERROR(__xludf.DUMMYFUNCTION("""COMPUTED_VALUE"""),"3569322")</f>
        <v>3569322</v>
      </c>
      <c r="R162" s="30" t="str">
        <f>IFERROR(__xludf.DUMMYFUNCTION("""COMPUTED_VALUE"""),"0000155624")</f>
        <v>0000155624</v>
      </c>
      <c r="S162" s="30" t="str">
        <f>IFERROR(__xludf.DUMMYFUNCTION("""COMPUTED_VALUE"""),"1")</f>
        <v>1</v>
      </c>
      <c r="T162" s="30" t="str">
        <f>IFERROR(__xludf.DUMMYFUNCTION("""COMPUTED_VALUE"""),"223565")</f>
        <v>223565</v>
      </c>
      <c r="U162" s="31" t="str">
        <f>IFERROR(__xludf.DUMMYFUNCTION("""COMPUTED_VALUE"""),"2235")</f>
        <v>2235</v>
      </c>
      <c r="V162" s="11"/>
      <c r="W162" s="11"/>
      <c r="X162" s="11"/>
      <c r="Y162" s="11"/>
      <c r="Z162" s="11"/>
    </row>
    <row r="163" customHeight="1" spans="1:26">
      <c r="A163" s="11" t="str">
        <f>IFERROR(__xludf.DUMMYFUNCTION("""COMPUTED_VALUE"""),"FILIPE JANUARIO VICENTE DA SILVA")</f>
        <v>FILIPE JANUARIO VICENTE DA SILVA</v>
      </c>
      <c r="B163" s="11"/>
      <c r="C163" s="11"/>
      <c r="D163" s="11" t="str">
        <f>IFERROR(__xludf.DUMMYFUNCTION("""COMPUTED_VALUE"""),"Médico eSF")</f>
        <v>Médico eSF</v>
      </c>
      <c r="E163" s="11" t="str">
        <f>IFERROR(__xludf.DUMMYFUNCTION("""COMPUTED_VALUE"""),"VIII")</f>
        <v>VIII</v>
      </c>
      <c r="F163" s="11" t="str">
        <f>IFERROR(__xludf.DUMMYFUNCTION("""COMPUTED_VALUE"""),"US_250 USF UR12 UR5 3 ETAPA")</f>
        <v>US_250 USF UR12 UR5 3 ETAPA</v>
      </c>
      <c r="G163" s="11" t="str">
        <f>IFERROR(__xludf.DUMMYFUNCTION("""COMPUTED_VALUE"""),"US 250 USF UR12 UR5 3 ETAPA")</f>
        <v>US 250 USF UR12 UR5 3 ETAPA</v>
      </c>
      <c r="H163" s="27">
        <f>IFERROR(__xludf.DUMMYFUNCTION("""COMPUTED_VALUE"""),81989863838)</f>
        <v>81989863838</v>
      </c>
      <c r="I163" s="11"/>
      <c r="J163" s="11"/>
      <c r="K163" s="11"/>
      <c r="L163" s="11"/>
      <c r="M163" s="28" t="str">
        <f>IFERROR(__xludf.DUMMYFUNCTION("""COMPUTED_VALUE"""),"3355-6690")</f>
        <v>3355-6690</v>
      </c>
      <c r="N163" s="11" t="str">
        <f>IFERROR(__xludf.DUMMYFUNCTION("""COMPUTED_VALUE"""),"filipejanu@gmail.com")</f>
        <v>filipejanu@gmail.com</v>
      </c>
      <c r="O163" s="11">
        <f>IFERROR(__xludf.DUMMYFUNCTION("""COMPUTED_VALUE"""),6449570423)</f>
        <v>6449570423</v>
      </c>
      <c r="P163" s="30" t="str">
        <f>IFERROR(__xludf.DUMMYFUNCTION("""COMPUTED_VALUE"""),"705008070651259")</f>
        <v>705008070651259</v>
      </c>
      <c r="Q163" s="30" t="str">
        <f>IFERROR(__xludf.DUMMYFUNCTION("""COMPUTED_VALUE"""),"0022489")</f>
        <v>0022489</v>
      </c>
      <c r="R163" s="30" t="str">
        <f>IFERROR(__xludf.DUMMYFUNCTION("""COMPUTED_VALUE"""),"0000154113")</f>
        <v>0000154113</v>
      </c>
      <c r="S163" s="30" t="str">
        <f>IFERROR(__xludf.DUMMYFUNCTION("""COMPUTED_VALUE"""),"1")</f>
        <v>1</v>
      </c>
      <c r="T163" s="30" t="str">
        <f>IFERROR(__xludf.DUMMYFUNCTION("""COMPUTED_VALUE"""),"225142")</f>
        <v>225142</v>
      </c>
      <c r="U163" s="31" t="str">
        <f>IFERROR(__xludf.DUMMYFUNCTION("""COMPUTED_VALUE"""),"2251")</f>
        <v>2251</v>
      </c>
      <c r="V163" s="11"/>
      <c r="W163" s="11"/>
      <c r="X163" s="11"/>
      <c r="Y163" s="11"/>
      <c r="Z163" s="11"/>
    </row>
    <row r="164" customHeight="1" spans="1:26">
      <c r="A164" s="11" t="str">
        <f>IFERROR(__xludf.DUMMYFUNCTION("""COMPUTED_VALUE"""),"FILIPE DE FIGUEIREDO LIMA")</f>
        <v>FILIPE DE FIGUEIREDO LIMA</v>
      </c>
      <c r="B164" s="11"/>
      <c r="C164" s="11"/>
      <c r="D164" s="11" t="str">
        <f>IFERROR(__xludf.DUMMYFUNCTION("""COMPUTED_VALUE"""),"Médico eSF")</f>
        <v>Médico eSF</v>
      </c>
      <c r="E164" s="11" t="str">
        <f>IFERROR(__xludf.DUMMYFUNCTION("""COMPUTED_VALUE"""),"II")</f>
        <v>II</v>
      </c>
      <c r="F164" s="11" t="str">
        <f>IFERROR(__xludf.DUMMYFUNCTION("""COMPUTED_VALUE"""),"US_231 USF CORREGO DA BICA / MARIA EDUARDA CESSE")</f>
        <v>US_231 USF CORREGO DA BICA / MARIA EDUARDA CESSE</v>
      </c>
      <c r="G164" s="11" t="str">
        <f>IFERROR(__xludf.DUMMYFUNCTION("""COMPUTED_VALUE"""),"US_231 USF CORREGO DA BICA / MARIA EDUARDA CESSE")</f>
        <v>US_231 USF CORREGO DA BICA / MARIA EDUARDA CESSE</v>
      </c>
      <c r="H164" s="27">
        <f>IFERROR(__xludf.DUMMYFUNCTION("""COMPUTED_VALUE"""),81998501332)</f>
        <v>81998501332</v>
      </c>
      <c r="I164" s="11"/>
      <c r="J164" s="11"/>
      <c r="K164" s="11"/>
      <c r="L164" s="11"/>
      <c r="M164" s="28" t="str">
        <f>IFERROR(__xludf.DUMMYFUNCTION("""COMPUTED_VALUE"""),"3355-6150")</f>
        <v>3355-6150</v>
      </c>
      <c r="N164" s="11" t="str">
        <f>IFERROR(__xludf.DUMMYFUNCTION("""COMPUTED_VALUE"""),"filipelima80@gmail.com")</f>
        <v>filipelima80@gmail.com</v>
      </c>
      <c r="O164" s="29">
        <f>IFERROR(__xludf.DUMMYFUNCTION("""COMPUTED_VALUE"""),4543464419)</f>
        <v>4543464419</v>
      </c>
      <c r="P164" s="30" t="str">
        <f>IFERROR(__xludf.DUMMYFUNCTION("""COMPUTED_VALUE"""),"704606639614229")</f>
        <v>704606639614229</v>
      </c>
      <c r="Q164" s="30" t="str">
        <f>IFERROR(__xludf.DUMMYFUNCTION("""COMPUTED_VALUE"""),"0002135")</f>
        <v>0002135</v>
      </c>
      <c r="R164" s="30" t="str">
        <f>IFERROR(__xludf.DUMMYFUNCTION("""COMPUTED_VALUE"""),"0000153478")</f>
        <v>0000153478</v>
      </c>
      <c r="S164" s="30" t="str">
        <f>IFERROR(__xludf.DUMMYFUNCTION("""COMPUTED_VALUE"""),"1")</f>
        <v>1</v>
      </c>
      <c r="T164" s="30" t="str">
        <f>IFERROR(__xludf.DUMMYFUNCTION("""COMPUTED_VALUE"""),"225142")</f>
        <v>225142</v>
      </c>
      <c r="U164" s="11">
        <f>IFERROR(__xludf.DUMMYFUNCTION("""COMPUTED_VALUE"""),2251)</f>
        <v>2251</v>
      </c>
      <c r="V164" s="11"/>
      <c r="W164" s="11"/>
      <c r="X164" s="11"/>
      <c r="Y164" s="11"/>
      <c r="Z164" s="11"/>
    </row>
    <row r="165" customHeight="1" spans="1:26">
      <c r="A165" s="11" t="str">
        <f>IFERROR(__xludf.DUMMYFUNCTION("""COMPUTED_VALUE"""),"VERONICA CORREIA DINIZ ARRAIS")</f>
        <v>VERONICA CORREIA DINIZ ARRAIS</v>
      </c>
      <c r="B165" s="11"/>
      <c r="C165" s="11"/>
      <c r="D165" s="11" t="str">
        <f>IFERROR(__xludf.DUMMYFUNCTION("""COMPUTED_VALUE"""),"Médico Clínico")</f>
        <v>Médico Clínico</v>
      </c>
      <c r="E165" s="11" t="str">
        <f>IFERROR(__xludf.DUMMYFUNCTION("""COMPUTED_VALUE"""),"IV")</f>
        <v>IV</v>
      </c>
      <c r="F165" s="11" t="str">
        <f>IFERROR(__xludf.DUMMYFUNCTION("""COMPUTED_VALUE"""),"US_149 CS OLINTO OLIVEIRA")</f>
        <v>US_149 CS OLINTO OLIVEIRA</v>
      </c>
      <c r="G165" s="11" t="str">
        <f>IFERROR(__xludf.DUMMYFUNCTION("""COMPUTED_VALUE"""),"US 149 CS OLINTO OLIVEIRA")</f>
        <v>US 149 CS OLINTO OLIVEIRA</v>
      </c>
      <c r="H165" s="27">
        <f>IFERROR(__xludf.DUMMYFUNCTION("""COMPUTED_VALUE"""),81983554454)</f>
        <v>81983554454</v>
      </c>
      <c r="I165" s="11"/>
      <c r="J165" s="11"/>
      <c r="K165" s="11"/>
      <c r="L165" s="11"/>
      <c r="M165" s="28" t="str">
        <f>IFERROR(__xludf.DUMMYFUNCTION("""COMPUTED_VALUE"""),"3355-6442/6443")</f>
        <v>3355-6442/6443</v>
      </c>
      <c r="N165" s="11" t="str">
        <f>IFERROR(__xludf.DUMMYFUNCTION("""COMPUTED_VALUE"""),"veronicacdiniz.arrais@gmail.com")</f>
        <v>veronicacdiniz.arrais@gmail.com</v>
      </c>
      <c r="O165" s="29">
        <f>IFERROR(__xludf.DUMMYFUNCTION("""COMPUTED_VALUE"""),38171490425)</f>
        <v>38171490425</v>
      </c>
      <c r="P165" s="30" t="str">
        <f>IFERROR(__xludf.DUMMYFUNCTION("""COMPUTED_VALUE"""),"170482064790008")</f>
        <v>170482064790008</v>
      </c>
      <c r="Q165" s="30" t="str">
        <f>IFERROR(__xludf.DUMMYFUNCTION("""COMPUTED_VALUE"""),"0000817")</f>
        <v>0000817</v>
      </c>
      <c r="R165" s="30" t="str">
        <f>IFERROR(__xludf.DUMMYFUNCTION("""COMPUTED_VALUE"""),"9000081701")</f>
        <v>9000081701</v>
      </c>
      <c r="S165" s="30" t="str">
        <f>IFERROR(__xludf.DUMMYFUNCTION("""COMPUTED_VALUE"""),"1")</f>
        <v>1</v>
      </c>
      <c r="T165" s="30" t="str">
        <f>IFERROR(__xludf.DUMMYFUNCTION("""COMPUTED_VALUE"""),"225125")</f>
        <v>225125</v>
      </c>
      <c r="U165" s="31" t="str">
        <f>IFERROR(__xludf.DUMMYFUNCTION("""COMPUTED_VALUE"""),"2251")</f>
        <v>2251</v>
      </c>
      <c r="V165" s="11"/>
      <c r="W165" s="11"/>
      <c r="X165" s="11">
        <f>IFERROR(__xludf.DUMMYFUNCTION("""COMPUTED_VALUE"""),81986436624)</f>
        <v>81986436624</v>
      </c>
      <c r="Y165" s="11">
        <f>IFERROR(__xludf.DUMMYFUNCTION("""COMPUTED_VALUE"""),8134262092)</f>
        <v>8134262092</v>
      </c>
      <c r="Z165" s="11">
        <f>IFERROR(__xludf.DUMMYFUNCTION("""COMPUTED_VALUE"""),38171490425)</f>
        <v>38171490425</v>
      </c>
    </row>
    <row r="166" customHeight="1" spans="1:26">
      <c r="A166" s="11" t="str">
        <f>IFERROR(__xludf.DUMMYFUNCTION("""COMPUTED_VALUE"""),"ROBERTA CORREIA RIBEIRO FERREIRA DE MIRANDA")</f>
        <v>ROBERTA CORREIA RIBEIRO FERREIRA DE MIRANDA</v>
      </c>
      <c r="B166" s="11"/>
      <c r="C166" s="11"/>
      <c r="D166" s="11" t="str">
        <f>IFERROR(__xludf.DUMMYFUNCTION("""COMPUTED_VALUE"""),"Médica eSF")</f>
        <v>Médica eSF</v>
      </c>
      <c r="E166" s="11" t="str">
        <f>IFERROR(__xludf.DUMMYFUNCTION("""COMPUTED_VALUE"""),"I")</f>
        <v>I</v>
      </c>
      <c r="F166" s="11" t="str">
        <f>IFERROR(__xludf.DUMMYFUNCTION("""COMPUTED_VALUE"""),"US_241 USF COELHOS II")</f>
        <v>US_241 USF COELHOS II</v>
      </c>
      <c r="G166" s="11" t="str">
        <f>IFERROR(__xludf.DUMMYFUNCTION("""COMPUTED_VALUE"""),"US 241 USF COELHOS II")</f>
        <v>US 241 USF COELHOS II</v>
      </c>
      <c r="H166" s="27">
        <f>IFERROR(__xludf.DUMMYFUNCTION("""COMPUTED_VALUE"""),81982485519)</f>
        <v>81982485519</v>
      </c>
      <c r="I166" s="11"/>
      <c r="J166" s="11"/>
      <c r="K166" s="11"/>
      <c r="L166" s="11"/>
      <c r="M166" s="28" t="str">
        <f>IFERROR(__xludf.DUMMYFUNCTION("""COMPUTED_VALUE"""),"3355-4653")</f>
        <v>3355-4653</v>
      </c>
      <c r="N166" s="11" t="str">
        <f>IFERROR(__xludf.DUMMYFUNCTION("""COMPUTED_VALUE"""),"ROBERTACRFM@GMAIL.COM")</f>
        <v>ROBERTACRFM@GMAIL.COM</v>
      </c>
      <c r="O166" s="29">
        <f>IFERROR(__xludf.DUMMYFUNCTION("""COMPUTED_VALUE"""),2604198428)</f>
        <v>2604198428</v>
      </c>
      <c r="P166" s="30" t="str">
        <f>IFERROR(__xludf.DUMMYFUNCTION("""COMPUTED_VALUE"""),"980016280420405")</f>
        <v>980016280420405</v>
      </c>
      <c r="Q166" s="30" t="str">
        <f>IFERROR(__xludf.DUMMYFUNCTION("""COMPUTED_VALUE"""),"0022209")</f>
        <v>0022209</v>
      </c>
      <c r="R166" s="30" t="str">
        <f>IFERROR(__xludf.DUMMYFUNCTION("""COMPUTED_VALUE"""),"0000153575")</f>
        <v>0000153575</v>
      </c>
      <c r="S166" s="30" t="str">
        <f>IFERROR(__xludf.DUMMYFUNCTION("""COMPUTED_VALUE"""),"1")</f>
        <v>1</v>
      </c>
      <c r="T166" s="30" t="str">
        <f>IFERROR(__xludf.DUMMYFUNCTION("""COMPUTED_VALUE"""),"225142")</f>
        <v>225142</v>
      </c>
      <c r="U166" s="11">
        <f>IFERROR(__xludf.DUMMYFUNCTION("""COMPUTED_VALUE"""),2251)</f>
        <v>2251</v>
      </c>
      <c r="V166" s="11"/>
      <c r="W166" s="30" t="str">
        <f>IFERROR(__xludf.DUMMYFUNCTION("""COMPUTED_VALUE"""),"24/10/1980")</f>
        <v>24/10/1980</v>
      </c>
      <c r="X166" s="11"/>
      <c r="Y166" s="11"/>
      <c r="Z166" s="11"/>
    </row>
    <row r="167" customHeight="1" spans="1:26">
      <c r="A167" s="11" t="str">
        <f>IFERROR(__xludf.DUMMYFUNCTION("""COMPUTED_VALUE"""),"LUIZ CLAUDIO TAVARES MIRANDA")</f>
        <v>LUIZ CLAUDIO TAVARES MIRANDA</v>
      </c>
      <c r="B167" s="11" t="str">
        <f>IFERROR(__xludf.DUMMYFUNCTION("""COMPUTED_VALUE"""),"RECUSA TELECONSULTORIA")</f>
        <v>RECUSA TELECONSULTORIA</v>
      </c>
      <c r="C167" s="11"/>
      <c r="D167" s="11" t="str">
        <f>IFERROR(__xludf.DUMMYFUNCTION("""COMPUTED_VALUE"""),"Médico eSF")</f>
        <v>Médico eSF</v>
      </c>
      <c r="E167" s="11" t="str">
        <f>IFERROR(__xludf.DUMMYFUNCTION("""COMPUTED_VALUE"""),"II")</f>
        <v>II</v>
      </c>
      <c r="F167" s="11" t="str">
        <f>IFERROR(__xludf.DUMMYFUNCTION("""COMPUTED_VALUE"""),"US_138 USF DR LUIZ WILSOM")</f>
        <v>US_138 USF DR LUIZ WILSOM</v>
      </c>
      <c r="G167" s="11" t="str">
        <f>IFERROR(__xludf.DUMMYFUNCTION("""COMPUTED_VALUE"""),"US 138 USF DR LUIZ WILSOM")</f>
        <v>US 138 USF DR LUIZ WILSOM</v>
      </c>
      <c r="H167" s="27">
        <f>IFERROR(__xludf.DUMMYFUNCTION("""COMPUTED_VALUE"""),81987950975)</f>
        <v>81987950975</v>
      </c>
      <c r="I167" s="11"/>
      <c r="J167" s="11"/>
      <c r="K167" s="11"/>
      <c r="L167" s="28" t="str">
        <f>IFERROR(__xludf.DUMMYFUNCTION("""COMPUTED_VALUE"""),"X")</f>
        <v>X</v>
      </c>
      <c r="M167" s="28" t="str">
        <f>IFERROR(__xludf.DUMMYFUNCTION("""COMPUTED_VALUE"""),"3355-3165")</f>
        <v>3355-3165</v>
      </c>
      <c r="N167" s="11" t="str">
        <f>IFERROR(__xludf.DUMMYFUNCTION("""COMPUTED_VALUE"""),"luizclaudiotm@hotmail.com")</f>
        <v>luizclaudiotm@hotmail.com</v>
      </c>
      <c r="O167" s="29">
        <f>IFERROR(__xludf.DUMMYFUNCTION("""COMPUTED_VALUE"""),7380077732)</f>
        <v>7380077732</v>
      </c>
      <c r="P167" s="30" t="str">
        <f>IFERROR(__xludf.DUMMYFUNCTION("""COMPUTED_VALUE"""),"706807287304925")</f>
        <v>706807287304925</v>
      </c>
      <c r="Q167" s="30" t="str">
        <f>IFERROR(__xludf.DUMMYFUNCTION("""COMPUTED_VALUE"""),"0000876")</f>
        <v>0000876</v>
      </c>
      <c r="R167" s="30" t="str">
        <f>IFERROR(__xludf.DUMMYFUNCTION("""COMPUTED_VALUE"""),"0000152730")</f>
        <v>0000152730</v>
      </c>
      <c r="S167" s="30" t="str">
        <f>IFERROR(__xludf.DUMMYFUNCTION("""COMPUTED_VALUE"""),"1")</f>
        <v>1</v>
      </c>
      <c r="T167" s="30" t="str">
        <f>IFERROR(__xludf.DUMMYFUNCTION("""COMPUTED_VALUE"""),"225142")</f>
        <v>225142</v>
      </c>
      <c r="U167" s="11">
        <f>IFERROR(__xludf.DUMMYFUNCTION("""COMPUTED_VALUE"""),2251)</f>
        <v>2251</v>
      </c>
      <c r="V167" s="11"/>
      <c r="W167" s="11"/>
      <c r="X167" s="11"/>
      <c r="Y167" s="11"/>
      <c r="Z167" s="11"/>
    </row>
    <row r="168" customHeight="1" spans="1:26">
      <c r="A168" s="11" t="str">
        <f>IFERROR(__xludf.DUMMYFUNCTION("""COMPUTED_VALUE"""),"LUCIANA CANUTO GICO")</f>
        <v>LUCIANA CANUTO GICO</v>
      </c>
      <c r="B168" s="11"/>
      <c r="C168" s="11"/>
      <c r="D168" s="11" t="str">
        <f>IFERROR(__xludf.DUMMYFUNCTION("""COMPUTED_VALUE"""),"Enfermeira eSF")</f>
        <v>Enfermeira eSF</v>
      </c>
      <c r="E168" s="11" t="str">
        <f>IFERROR(__xludf.DUMMYFUNCTION("""COMPUTED_VALUE"""),"II")</f>
        <v>II</v>
      </c>
      <c r="F168" s="11" t="str">
        <f>IFERROR(__xludf.DUMMYFUNCTION("""COMPUTED_VALUE"""),"US_274 USF TIA REGINA/CORREGO DO DEODATO")</f>
        <v>US_274 USF TIA REGINA/CORREGO DO DEODATO</v>
      </c>
      <c r="G168" s="11" t="str">
        <f>IFERROR(__xludf.DUMMYFUNCTION("""COMPUTED_VALUE"""),"US 274 USF TIA REGINA")</f>
        <v>US 274 USF TIA REGINA</v>
      </c>
      <c r="H168" s="27">
        <f>IFERROR(__xludf.DUMMYFUNCTION("""COMPUTED_VALUE"""),81988204576)</f>
        <v>81988204576</v>
      </c>
      <c r="I168" s="27">
        <f>IFERROR(__xludf.DUMMYFUNCTION("""COMPUTED_VALUE"""),81996769732)</f>
        <v>81996769732</v>
      </c>
      <c r="J168" s="11"/>
      <c r="K168" s="11"/>
      <c r="L168" s="11"/>
      <c r="M168" s="28" t="str">
        <f>IFERROR(__xludf.DUMMYFUNCTION("""COMPUTED_VALUE"""),"3355-4708")</f>
        <v>3355-4708</v>
      </c>
      <c r="N168" s="11" t="str">
        <f>IFERROR(__xludf.DUMMYFUNCTION("""COMPUTED_VALUE"""),"luciana.canuto@yahoo.com.br")</f>
        <v>luciana.canuto@yahoo.com.br</v>
      </c>
      <c r="O168" s="29">
        <f>IFERROR(__xludf.DUMMYFUNCTION("""COMPUTED_VALUE"""),3250522473)</f>
        <v>3250522473</v>
      </c>
      <c r="P168" s="30" t="str">
        <f>IFERROR(__xludf.DUMMYFUNCTION("""COMPUTED_VALUE"""),"980016278123849")</f>
        <v>980016278123849</v>
      </c>
      <c r="Q168" s="30" t="str">
        <f>IFERROR(__xludf.DUMMYFUNCTION("""COMPUTED_VALUE"""),"0028096")</f>
        <v>0028096</v>
      </c>
      <c r="R168" s="30" t="str">
        <f>IFERROR(__xludf.DUMMYFUNCTION("""COMPUTED_VALUE"""),"9002809601")</f>
        <v>9002809601</v>
      </c>
      <c r="S168" s="30" t="str">
        <f>IFERROR(__xludf.DUMMYFUNCTION("""COMPUTED_VALUE"""),"1")</f>
        <v>1</v>
      </c>
      <c r="T168" s="30" t="str">
        <f>IFERROR(__xludf.DUMMYFUNCTION("""COMPUTED_VALUE"""),"223565")</f>
        <v>223565</v>
      </c>
      <c r="U168" s="31" t="str">
        <f>IFERROR(__xludf.DUMMYFUNCTION("""COMPUTED_VALUE"""),"2235")</f>
        <v>2235</v>
      </c>
      <c r="V168" s="11"/>
      <c r="W168" s="11">
        <f>IFERROR(__xludf.DUMMYFUNCTION("""COMPUTED_VALUE"""),88204576)</f>
        <v>88204576</v>
      </c>
      <c r="X168" s="11"/>
      <c r="Y168" s="11">
        <f>IFERROR(__xludf.DUMMYFUNCTION("""COMPUTED_VALUE"""),3250522473)</f>
        <v>3250522473</v>
      </c>
      <c r="Z168" s="11"/>
    </row>
    <row r="169" customHeight="1" spans="1:26">
      <c r="A169" s="11" t="str">
        <f>IFERROR(__xludf.DUMMYFUNCTION("""COMPUTED_VALUE"""),"RICARDO AUGUSTO MELLO DE ALMEIDA")</f>
        <v>RICARDO AUGUSTO MELLO DE ALMEIDA</v>
      </c>
      <c r="B169" s="11"/>
      <c r="C169" s="11"/>
      <c r="D169" s="11" t="str">
        <f>IFERROR(__xludf.DUMMYFUNCTION("""COMPUTED_VALUE"""),"Médico eSF")</f>
        <v>Médico eSF</v>
      </c>
      <c r="E169" s="11" t="str">
        <f>IFERROR(__xludf.DUMMYFUNCTION("""COMPUTED_VALUE"""),"VII")</f>
        <v>VII</v>
      </c>
      <c r="F169" s="11" t="str">
        <f>IFERROR(__xludf.DUMMYFUNCTION("""COMPUTED_VALUE"""),"US_257 PSF GILBERTO FREIRE / BOLA NA REDE")</f>
        <v>US_257 PSF GILBERTO FREIRE / BOLA NA REDE</v>
      </c>
      <c r="G169" s="11" t="str">
        <f>IFERROR(__xludf.DUMMYFUNCTION("""COMPUTED_VALUE"""),"US 257 USF GILBERTO FREIRE")</f>
        <v>US 257 USF GILBERTO FREIRE</v>
      </c>
      <c r="H169" s="27">
        <f>IFERROR(__xludf.DUMMYFUNCTION("""COMPUTED_VALUE"""),81988617337)</f>
        <v>81988617337</v>
      </c>
      <c r="I169" s="11"/>
      <c r="J169" s="11"/>
      <c r="K169" s="11"/>
      <c r="L169" s="11"/>
      <c r="M169" s="28" t="str">
        <f>IFERROR(__xludf.DUMMYFUNCTION("""COMPUTED_VALUE"""),"3355-0110")</f>
        <v>3355-0110</v>
      </c>
      <c r="N169" s="11" t="str">
        <f>IFERROR(__xludf.DUMMYFUNCTION("""COMPUTED_VALUE"""),"ricardo_almeida@hotmail.com")</f>
        <v>ricardo_almeida@hotmail.com</v>
      </c>
      <c r="O169" s="29">
        <f>IFERROR(__xludf.DUMMYFUNCTION("""COMPUTED_VALUE"""),36425109491)</f>
        <v>36425109491</v>
      </c>
      <c r="P169" s="30" t="str">
        <f>IFERROR(__xludf.DUMMYFUNCTION("""COMPUTED_VALUE"""),"980016279930292")</f>
        <v>980016279930292</v>
      </c>
      <c r="Q169" s="30" t="str">
        <f>IFERROR(__xludf.DUMMYFUNCTION("""COMPUTED_VALUE"""),"0028045")</f>
        <v>0028045</v>
      </c>
      <c r="R169" s="30" t="str">
        <f>IFERROR(__xludf.DUMMYFUNCTION("""COMPUTED_VALUE"""),"0000154415")</f>
        <v>0000154415</v>
      </c>
      <c r="S169" s="30" t="str">
        <f>IFERROR(__xludf.DUMMYFUNCTION("""COMPUTED_VALUE"""),"1")</f>
        <v>1</v>
      </c>
      <c r="T169" s="30" t="str">
        <f>IFERROR(__xludf.DUMMYFUNCTION("""COMPUTED_VALUE"""),"225142")</f>
        <v>225142</v>
      </c>
      <c r="U169" s="31" t="str">
        <f>IFERROR(__xludf.DUMMYFUNCTION("""COMPUTED_VALUE"""),"2251")</f>
        <v>2251</v>
      </c>
      <c r="V169" s="11" t="str">
        <f>IFERROR(__xludf.DUMMYFUNCTION("""COMPUTED_VALUE"""),"SIM")</f>
        <v>SIM</v>
      </c>
      <c r="W169" s="11"/>
      <c r="X169" s="11">
        <f>IFERROR(__xludf.DUMMYFUNCTION("""COMPUTED_VALUE"""),88617337)</f>
        <v>88617337</v>
      </c>
      <c r="Y169" s="11"/>
      <c r="Z169" s="11">
        <f>IFERROR(__xludf.DUMMYFUNCTION("""COMPUTED_VALUE"""),36425109491)</f>
        <v>36425109491</v>
      </c>
    </row>
    <row r="170" customHeight="1" spans="1:26">
      <c r="A170" s="11" t="str">
        <f>IFERROR(__xludf.DUMMYFUNCTION("""COMPUTED_VALUE"""),"CLAUDIA RAQUEL ALCANTARA MANZI")</f>
        <v>CLAUDIA RAQUEL ALCANTARA MANZI</v>
      </c>
      <c r="B170" s="11"/>
      <c r="C170" s="11"/>
      <c r="D170" s="11" t="str">
        <f>IFERROR(__xludf.DUMMYFUNCTION("""COMPUTED_VALUE"""),"Médica Clínica")</f>
        <v>Médica Clínica</v>
      </c>
      <c r="E170" s="11" t="str">
        <f>IFERROR(__xludf.DUMMYFUNCTION("""COMPUTED_VALUE"""),"III")</f>
        <v>III</v>
      </c>
      <c r="F170" s="11" t="str">
        <f>IFERROR(__xludf.DUMMYFUNCTION("""COMPUTED_VALUE"""),"US_103 CS PROF MARIO RAMOS")</f>
        <v>US_103 CS PROF MARIO RAMOS</v>
      </c>
      <c r="G170" s="11" t="str">
        <f>IFERROR(__xludf.DUMMYFUNCTION("""COMPUTED_VALUE"""),"US 103 CS PROF MARIO RAMOS")</f>
        <v>US 103 CS PROF MARIO RAMOS</v>
      </c>
      <c r="H170" s="27">
        <f>IFERROR(__xludf.DUMMYFUNCTION("""COMPUTED_VALUE"""),81994862132)</f>
        <v>81994862132</v>
      </c>
      <c r="I170" s="27">
        <f>IFERROR(__xludf.DUMMYFUNCTION("""COMPUTED_VALUE"""),81999674915)</f>
        <v>81999674915</v>
      </c>
      <c r="J170" s="11"/>
      <c r="K170" s="11"/>
      <c r="L170" s="11"/>
      <c r="M170" s="28" t="str">
        <f>IFERROR(__xludf.DUMMYFUNCTION("""COMPUTED_VALUE"""),"3355-4434")</f>
        <v>3355-4434</v>
      </c>
      <c r="N170" s="11" t="str">
        <f>IFERROR(__xludf.DUMMYFUNCTION("""COMPUTED_VALUE"""),"caumanzi@hotmail.com /CAUMANZI@HOTMAIL.COM.BR")</f>
        <v>caumanzi@hotmail.com /CAUMANZI@HOTMAIL.COM.BR</v>
      </c>
      <c r="O170" s="29">
        <f>IFERROR(__xludf.DUMMYFUNCTION("""COMPUTED_VALUE"""),42765978468)</f>
        <v>42765978468</v>
      </c>
      <c r="P170" s="30" t="str">
        <f>IFERROR(__xludf.DUMMYFUNCTION("""COMPUTED_VALUE"""),"204324642090005")</f>
        <v>204324642090005</v>
      </c>
      <c r="Q170" s="30" t="str">
        <f>IFERROR(__xludf.DUMMYFUNCTION("""COMPUTED_VALUE"""),"0001759")</f>
        <v>0001759</v>
      </c>
      <c r="R170" s="11"/>
      <c r="S170" s="30" t="str">
        <f>IFERROR(__xludf.DUMMYFUNCTION("""COMPUTED_VALUE"""),"1")</f>
        <v>1</v>
      </c>
      <c r="T170" s="30" t="str">
        <f>IFERROR(__xludf.DUMMYFUNCTION("""COMPUTED_VALUE"""),"225125")</f>
        <v>225125</v>
      </c>
      <c r="U170" s="11">
        <f>IFERROR(__xludf.DUMMYFUNCTION("""COMPUTED_VALUE"""),2251)</f>
        <v>2251</v>
      </c>
      <c r="V170" s="11"/>
      <c r="W170" s="30" t="str">
        <f>IFERROR(__xludf.DUMMYFUNCTION("""COMPUTED_VALUE"""),"25/02/1967")</f>
        <v>25/02/1967</v>
      </c>
      <c r="X170" s="11">
        <f>IFERROR(__xludf.DUMMYFUNCTION("""COMPUTED_VALUE"""),81999674915)</f>
        <v>81999674915</v>
      </c>
      <c r="Y170" s="11">
        <f>IFERROR(__xludf.DUMMYFUNCTION("""COMPUTED_VALUE"""),81999732639)</f>
        <v>81999732639</v>
      </c>
      <c r="Z170" s="11">
        <f>IFERROR(__xludf.DUMMYFUNCTION("""COMPUTED_VALUE"""),42765978468)</f>
        <v>42765978468</v>
      </c>
    </row>
    <row r="171" customHeight="1" spans="1:26">
      <c r="A171" s="11" t="str">
        <f>IFERROR(__xludf.DUMMYFUNCTION("""COMPUTED_VALUE"""),"RODRIGO DE FREITAS SILVA")</f>
        <v>RODRIGO DE FREITAS SILVA</v>
      </c>
      <c r="B171" s="11"/>
      <c r="C171" s="11"/>
      <c r="D171" s="11" t="str">
        <f>IFERROR(__xludf.DUMMYFUNCTION("""COMPUTED_VALUE"""),"Médico eSF")</f>
        <v>Médico eSF</v>
      </c>
      <c r="E171" s="11" t="str">
        <f>IFERROR(__xludf.DUMMYFUNCTION("""COMPUTED_VALUE"""),"V")</f>
        <v>V</v>
      </c>
      <c r="F171" s="11" t="str">
        <f>IFERROR(__xludf.DUMMYFUNCTION("""COMPUTED_VALUE"""),"US_117 CS GASPAR REGUEIRA COSTA")</f>
        <v>US_117 CS GASPAR REGUEIRA COSTA</v>
      </c>
      <c r="G171" s="11" t="str">
        <f>IFERROR(__xludf.DUMMYFUNCTION("""COMPUTED_VALUE"""),"US 117 CS GASPAR REGUEIRA COSTA")</f>
        <v>US 117 CS GASPAR REGUEIRA COSTA</v>
      </c>
      <c r="H171" s="27">
        <f>IFERROR(__xludf.DUMMYFUNCTION("""COMPUTED_VALUE"""),81992784564)</f>
        <v>81992784564</v>
      </c>
      <c r="I171" s="11"/>
      <c r="J171" s="11"/>
      <c r="K171" s="11"/>
      <c r="L171" s="11"/>
      <c r="M171" s="28" t="str">
        <f>IFERROR(__xludf.DUMMYFUNCTION("""COMPUTED_VALUE"""),"3355-4404")</f>
        <v>3355-4404</v>
      </c>
      <c r="N171" s="11" t="str">
        <f>IFERROR(__xludf.DUMMYFUNCTION("""COMPUTED_VALUE"""),"RODRIGODEFREITAS3381@HOTMAIL.COM")</f>
        <v>RODRIGODEFREITAS3381@HOTMAIL.COM</v>
      </c>
      <c r="O171" s="29">
        <f>IFERROR(__xludf.DUMMYFUNCTION("""COMPUTED_VALUE"""),4132788407)</f>
        <v>4132788407</v>
      </c>
      <c r="P171" s="30" t="str">
        <f>IFERROR(__xludf.DUMMYFUNCTION("""COMPUTED_VALUE"""),"980016294174819")</f>
        <v>980016294174819</v>
      </c>
      <c r="Q171" s="30" t="str">
        <f>IFERROR(__xludf.DUMMYFUNCTION("""COMPUTED_VALUE"""),"0001414")</f>
        <v>0001414</v>
      </c>
      <c r="R171" s="11"/>
      <c r="S171" s="30" t="str">
        <f>IFERROR(__xludf.DUMMYFUNCTION("""COMPUTED_VALUE"""),"1")</f>
        <v>1</v>
      </c>
      <c r="T171" s="30" t="str">
        <f>IFERROR(__xludf.DUMMYFUNCTION("""COMPUTED_VALUE"""),"225142")</f>
        <v>225142</v>
      </c>
      <c r="U171" s="31" t="str">
        <f>IFERROR(__xludf.DUMMYFUNCTION("""COMPUTED_VALUE"""),"2251")</f>
        <v>2251</v>
      </c>
      <c r="V171" s="11"/>
      <c r="W171" s="11"/>
      <c r="X171" s="11">
        <f>IFERROR(__xludf.DUMMYFUNCTION("""COMPUTED_VALUE"""),97846158)</f>
        <v>97846158</v>
      </c>
      <c r="Y171" s="11"/>
      <c r="Z171" s="11">
        <f>IFERROR(__xludf.DUMMYFUNCTION("""COMPUTED_VALUE"""),4132788407)</f>
        <v>4132788407</v>
      </c>
    </row>
    <row r="172" customHeight="1" spans="1:26">
      <c r="A172" s="11" t="str">
        <f>IFERROR(__xludf.DUMMYFUNCTION("""COMPUTED_VALUE"""),"CARMEN CRISTIANE DE SIQUEIRA")</f>
        <v>CARMEN CRISTIANE DE SIQUEIRA</v>
      </c>
      <c r="B172" s="11"/>
      <c r="C172" s="11"/>
      <c r="D172" s="11" t="str">
        <f>IFERROR(__xludf.DUMMYFUNCTION("""COMPUTED_VALUE"""),"Dentista")</f>
        <v>Dentista</v>
      </c>
      <c r="E172" s="11" t="str">
        <f>IFERROR(__xludf.DUMMYFUNCTION("""COMPUTED_VALUE"""),"VI")</f>
        <v>VI</v>
      </c>
      <c r="F172" s="11" t="str">
        <f>IFERROR(__xludf.DUMMYFUNCTION("""COMPUTED_VALUE"""),"US_326 USF JADER DE ANDRADE COMUNIDADE ENTRA APULSO")</f>
        <v>US_326 USF JADER DE ANDRADE COMUNIDADE ENTRA APULSO</v>
      </c>
      <c r="G172" s="11" t="str">
        <f>IFERROR(__xludf.DUMMYFUNCTION("""COMPUTED_VALUE"""),"US 326 USF JADER DE ANDRADE COMUNIDADE ENTRA APULSO")</f>
        <v>US 326 USF JADER DE ANDRADE COMUNIDADE ENTRA APULSO</v>
      </c>
      <c r="H172" s="27">
        <f>IFERROR(__xludf.DUMMYFUNCTION("""COMPUTED_VALUE"""),81999654994)</f>
        <v>81999654994</v>
      </c>
      <c r="I172" s="11"/>
      <c r="J172" s="11"/>
      <c r="K172" s="11"/>
      <c r="L172" s="11"/>
      <c r="M172" s="28" t="str">
        <f>IFERROR(__xludf.DUMMYFUNCTION("""COMPUTED_VALUE"""),"3355-4672")</f>
        <v>3355-4672</v>
      </c>
      <c r="N172" s="11" t="str">
        <f>IFERROR(__xludf.DUMMYFUNCTION("""COMPUTED_VALUE"""),"carmen_cristiane1969@hotmail.com")</f>
        <v>carmen_cristiane1969@hotmail.com</v>
      </c>
      <c r="O172" s="29">
        <f>IFERROR(__xludf.DUMMYFUNCTION("""COMPUTED_VALUE"""),65948661415)</f>
        <v>65948661415</v>
      </c>
      <c r="P172" s="30" t="str">
        <f>IFERROR(__xludf.DUMMYFUNCTION("""COMPUTED_VALUE"""),"170445951360009")</f>
        <v>170445951360009</v>
      </c>
      <c r="Q172" s="30" t="str">
        <f>IFERROR(__xludf.DUMMYFUNCTION("""COMPUTED_VALUE"""),"3470261")</f>
        <v>3470261</v>
      </c>
      <c r="R172" s="30" t="str">
        <f>IFERROR(__xludf.DUMMYFUNCTION("""COMPUTED_VALUE"""),"0001773747")</f>
        <v>0001773747</v>
      </c>
      <c r="S172" s="30" t="str">
        <f>IFERROR(__xludf.DUMMYFUNCTION("""COMPUTED_VALUE"""),"1")</f>
        <v>1</v>
      </c>
      <c r="T172" s="30" t="str">
        <f>IFERROR(__xludf.DUMMYFUNCTION("""COMPUTED_VALUE"""),"223293")</f>
        <v>223293</v>
      </c>
      <c r="U172" s="31">
        <f>IFERROR(__xludf.DUMMYFUNCTION("""COMPUTED_VALUE"""),2232)</f>
        <v>2232</v>
      </c>
      <c r="V172" s="11"/>
      <c r="W172" s="11"/>
      <c r="X172" s="11"/>
      <c r="Y172" s="11"/>
      <c r="Z172" s="11"/>
    </row>
    <row r="173" customHeight="1" spans="1:26">
      <c r="A173" s="11" t="str">
        <f>IFERROR(__xludf.DUMMYFUNCTION("""COMPUTED_VALUE"""),"SUZANA COUTINHO DE ALMEIDA RAMPCHE")</f>
        <v>SUZANA COUTINHO DE ALMEIDA RAMPCHE</v>
      </c>
      <c r="B173" s="11"/>
      <c r="C173" s="11"/>
      <c r="D173" s="11" t="str">
        <f>IFERROR(__xludf.DUMMYFUNCTION("""COMPUTED_VALUE"""),"Médica Ginecologista")</f>
        <v>Médica Ginecologista</v>
      </c>
      <c r="E173" s="11" t="str">
        <f>IFERROR(__xludf.DUMMYFUNCTION("""COMPUTED_VALUE"""),"V")</f>
        <v>V</v>
      </c>
      <c r="F173" s="11" t="str">
        <f>IFERROR(__xludf.DUMMYFUNCTION("""COMPUTED_VALUE"""),"US_142 CS BIDU KRAUSE")</f>
        <v>US_142 CS BIDU KRAUSE</v>
      </c>
      <c r="G173" s="11" t="str">
        <f>IFERROR(__xludf.DUMMYFUNCTION("""COMPUTED_VALUE"""),"US 150 CS PROFESSOR FERNANDES FIGUEIRAS")</f>
        <v>US 150 CS PROFESSOR FERNANDES FIGUEIRAS</v>
      </c>
      <c r="H173" s="27">
        <f>IFERROR(__xludf.DUMMYFUNCTION("""COMPUTED_VALUE"""),81999627944)</f>
        <v>81999627944</v>
      </c>
      <c r="I173" s="11"/>
      <c r="J173" s="11"/>
      <c r="K173" s="11"/>
      <c r="L173" s="11"/>
      <c r="M173" s="28" t="str">
        <f>IFERROR(__xludf.DUMMYFUNCTION("""COMPUTED_VALUE"""),"3355-4396")</f>
        <v>3355-4396</v>
      </c>
      <c r="N173" s="11" t="str">
        <f>IFERROR(__xludf.DUMMYFUNCTION("""COMPUTED_VALUE"""),"suzanarampche@oi.com.br")</f>
        <v>suzanarampche@oi.com.br</v>
      </c>
      <c r="O173" s="29">
        <f>IFERROR(__xludf.DUMMYFUNCTION("""COMPUTED_VALUE"""),47673303434)</f>
        <v>47673303434</v>
      </c>
      <c r="P173" s="30" t="str">
        <f>IFERROR(__xludf.DUMMYFUNCTION("""COMPUTED_VALUE"""),"701100019026910")</f>
        <v>701100019026910</v>
      </c>
      <c r="Q173" s="30" t="str">
        <f>IFERROR(__xludf.DUMMYFUNCTION("""COMPUTED_VALUE"""),"0000841")</f>
        <v>0000841</v>
      </c>
      <c r="R173" s="11"/>
      <c r="S173" s="30" t="str">
        <f>IFERROR(__xludf.DUMMYFUNCTION("""COMPUTED_VALUE"""),"1")</f>
        <v>1</v>
      </c>
      <c r="T173" s="30" t="str">
        <f>IFERROR(__xludf.DUMMYFUNCTION("""COMPUTED_VALUE"""),"225250")</f>
        <v>225250</v>
      </c>
      <c r="U173" s="31" t="str">
        <f>IFERROR(__xludf.DUMMYFUNCTION("""COMPUTED_VALUE"""),"2251")</f>
        <v>2251</v>
      </c>
      <c r="V173" s="11"/>
      <c r="W173" s="30" t="str">
        <f>IFERROR(__xludf.DUMMYFUNCTION("""COMPUTED_VALUE"""),"18/05/1968")</f>
        <v>18/05/1968</v>
      </c>
      <c r="X173" s="11">
        <f>IFERROR(__xludf.DUMMYFUNCTION("""COMPUTED_VALUE"""),8134621923)</f>
        <v>8134621923</v>
      </c>
      <c r="Y173" s="11">
        <f>IFERROR(__xludf.DUMMYFUNCTION("""COMPUTED_VALUE"""),8199627944)</f>
        <v>8199627944</v>
      </c>
      <c r="Z173" s="11">
        <f>IFERROR(__xludf.DUMMYFUNCTION("""COMPUTED_VALUE"""),47673303434)</f>
        <v>47673303434</v>
      </c>
    </row>
    <row r="174" customHeight="1" spans="1:26">
      <c r="A174" s="11" t="str">
        <f>IFERROR(__xludf.DUMMYFUNCTION("""COMPUTED_VALUE"""),"JAELLYA RODRIGUES DE SOUZA")</f>
        <v>JAELLYA RODRIGUES DE SOUZA</v>
      </c>
      <c r="B174" s="11"/>
      <c r="C174" s="11"/>
      <c r="D174" s="11" t="str">
        <f>IFERROR(__xludf.DUMMYFUNCTION("""COMPUTED_VALUE"""),"Médica Clínica")</f>
        <v>Médica Clínica</v>
      </c>
      <c r="E174" s="11" t="str">
        <f>IFERROR(__xludf.DUMMYFUNCTION("""COMPUTED_VALUE"""),"V")</f>
        <v>V</v>
      </c>
      <c r="F174" s="11" t="str">
        <f>IFERROR(__xludf.DUMMYFUNCTION("""COMPUTED_VALUE"""),"US_161 CS PROF ROMERO MARQUES / IPIRANGA")</f>
        <v>US_161 CS PROF ROMERO MARQUES / IPIRANGA</v>
      </c>
      <c r="G174" s="11" t="str">
        <f>IFERROR(__xludf.DUMMYFUNCTION("""COMPUTED_VALUE"""),"US 161 CS PROF ROMERO MARQUES")</f>
        <v>US 161 CS PROF ROMERO MARQUES</v>
      </c>
      <c r="H174" s="27">
        <f>IFERROR(__xludf.DUMMYFUNCTION("""COMPUTED_VALUE"""),81999985404)</f>
        <v>81999985404</v>
      </c>
      <c r="I174" s="11"/>
      <c r="J174" s="11"/>
      <c r="K174" s="11"/>
      <c r="L174" s="11"/>
      <c r="M174" s="28" t="str">
        <f>IFERROR(__xludf.DUMMYFUNCTION("""COMPUTED_VALUE"""),"3355-4440")</f>
        <v>3355-4440</v>
      </c>
      <c r="N174" s="11" t="str">
        <f>IFERROR(__xludf.DUMMYFUNCTION("""COMPUTED_VALUE"""),"j_r_souza@hotmail.com")</f>
        <v>j_r_souza@hotmail.com</v>
      </c>
      <c r="O174" s="29">
        <f>IFERROR(__xludf.DUMMYFUNCTION("""COMPUTED_VALUE"""),86439103415)</f>
        <v>86439103415</v>
      </c>
      <c r="P174" s="30" t="str">
        <f>IFERROR(__xludf.DUMMYFUNCTION("""COMPUTED_VALUE"""),"190091355380008")</f>
        <v>190091355380008</v>
      </c>
      <c r="Q174" s="30" t="str">
        <f>IFERROR(__xludf.DUMMYFUNCTION("""COMPUTED_VALUE"""),"0000760")</f>
        <v>0000760</v>
      </c>
      <c r="R174" s="11"/>
      <c r="S174" s="30" t="str">
        <f>IFERROR(__xludf.DUMMYFUNCTION("""COMPUTED_VALUE"""),"1")</f>
        <v>1</v>
      </c>
      <c r="T174" s="30" t="str">
        <f>IFERROR(__xludf.DUMMYFUNCTION("""COMPUTED_VALUE"""),"225125")</f>
        <v>225125</v>
      </c>
      <c r="U174" s="31" t="str">
        <f>IFERROR(__xludf.DUMMYFUNCTION("""COMPUTED_VALUE"""),"2251")</f>
        <v>2251</v>
      </c>
      <c r="V174" s="11"/>
      <c r="W174" s="11"/>
      <c r="X174" s="11"/>
      <c r="Y174" s="11"/>
      <c r="Z174" s="11"/>
    </row>
    <row r="175" customHeight="1" spans="1:26">
      <c r="A175" s="11" t="str">
        <f>IFERROR(__xludf.DUMMYFUNCTION("""COMPUTED_VALUE"""),"LUCIANA LIMA DE FARIAS")</f>
        <v>LUCIANA LIMA DE FARIAS</v>
      </c>
      <c r="B175" s="11"/>
      <c r="C175" s="11"/>
      <c r="D175" s="11" t="str">
        <f>IFERROR(__xludf.DUMMYFUNCTION("""COMPUTED_VALUE"""),"Médica Clínica")</f>
        <v>Médica Clínica</v>
      </c>
      <c r="E175" s="11" t="str">
        <f>IFERROR(__xludf.DUMMYFUNCTION("""COMPUTED_VALUE"""),"III")</f>
        <v>III</v>
      </c>
      <c r="F175" s="11" t="str">
        <f>IFERROR(__xludf.DUMMYFUNCTION("""COMPUTED_VALUE"""),"US_148 CS DOM MIGUEL DE LIMA VALVERDE")</f>
        <v>US_148 CS DOM MIGUEL DE LIMA VALVERDE</v>
      </c>
      <c r="G175" s="11" t="str">
        <f>IFERROR(__xludf.DUMMYFUNCTION("""COMPUTED_VALUE"""),"US 103 CS PROF MARIO RAMOS")</f>
        <v>US 103 CS PROF MARIO RAMOS</v>
      </c>
      <c r="H175" s="27">
        <f>IFERROR(__xludf.DUMMYFUNCTION("""COMPUTED_VALUE"""),81999948488)</f>
        <v>81999948488</v>
      </c>
      <c r="I175" s="11"/>
      <c r="J175" s="11"/>
      <c r="K175" s="11"/>
      <c r="L175" s="11"/>
      <c r="M175" s="28" t="str">
        <f>IFERROR(__xludf.DUMMYFUNCTION("""COMPUTED_VALUE"""),"3355-4434")</f>
        <v>3355-4434</v>
      </c>
      <c r="N175" s="11" t="str">
        <f>IFERROR(__xludf.DUMMYFUNCTION("""COMPUTED_VALUE"""),"lulu_farias@hotmail.com")</f>
        <v>lulu_farias@hotmail.com</v>
      </c>
      <c r="O175" s="29">
        <f>IFERROR(__xludf.DUMMYFUNCTION("""COMPUTED_VALUE"""),6226562447)</f>
        <v>6226562447</v>
      </c>
      <c r="P175" s="30" t="str">
        <f>IFERROR(__xludf.DUMMYFUNCTION("""COMPUTED_VALUE"""),"700505159477152")</f>
        <v>700505159477152</v>
      </c>
      <c r="Q175" s="30" t="str">
        <f>IFERROR(__xludf.DUMMYFUNCTION("""COMPUTED_VALUE"""),"0001759")</f>
        <v>0001759</v>
      </c>
      <c r="R175" s="11"/>
      <c r="S175" s="30" t="str">
        <f>IFERROR(__xludf.DUMMYFUNCTION("""COMPUTED_VALUE"""),"1")</f>
        <v>1</v>
      </c>
      <c r="T175" s="30" t="str">
        <f>IFERROR(__xludf.DUMMYFUNCTION("""COMPUTED_VALUE"""),"225125")</f>
        <v>225125</v>
      </c>
      <c r="U175" s="11">
        <f>IFERROR(__xludf.DUMMYFUNCTION("""COMPUTED_VALUE"""),2251)</f>
        <v>2251</v>
      </c>
      <c r="V175" s="11"/>
      <c r="W175" s="30" t="str">
        <f>IFERROR(__xludf.DUMMYFUNCTION("""COMPUTED_VALUE"""),"25/02/1967")</f>
        <v>25/02/1967</v>
      </c>
      <c r="X175" s="11" t="str">
        <f>IFERROR(__xludf.DUMMYFUNCTION("""COMPUTED_VALUE"""),"#N/A")</f>
        <v>#N/A</v>
      </c>
      <c r="Y175" s="11" t="str">
        <f>IFERROR(__xludf.DUMMYFUNCTION("""COMPUTED_VALUE"""),"#N/A")</f>
        <v>#N/A</v>
      </c>
      <c r="Z175" s="11" t="str">
        <f>IFERROR(__xludf.DUMMYFUNCTION("""COMPUTED_VALUE"""),"#N/A")</f>
        <v>#N/A</v>
      </c>
    </row>
    <row r="176" customHeight="1" spans="1:26">
      <c r="A176" s="11" t="str">
        <f>IFERROR(__xludf.DUMMYFUNCTION("""COMPUTED_VALUE"""),"ARIANNY SOARES")</f>
        <v>ARIANNY SOARES</v>
      </c>
      <c r="B176" s="11"/>
      <c r="C176" s="11"/>
      <c r="D176" s="11"/>
      <c r="E176" s="11"/>
      <c r="F176" s="11"/>
      <c r="G176" s="11" t="str">
        <f>IFERROR(__xludf.DUMMYFUNCTION("""COMPUTED_VALUE"""),"US 154 USF UPINHA DIA RIO DA PRATA")</f>
        <v>US 154 USF UPINHA DIA RIO DA PRATA</v>
      </c>
      <c r="H176" s="27">
        <f>IFERROR(__xludf.DUMMYFUNCTION("""COMPUTED_VALUE"""),81996366479)</f>
        <v>81996366479</v>
      </c>
      <c r="I176" s="11"/>
      <c r="J176" s="11"/>
      <c r="K176" s="11"/>
      <c r="L176" s="11"/>
      <c r="M176" s="11"/>
      <c r="N176" s="11"/>
      <c r="O176" s="11"/>
      <c r="P176" s="11"/>
      <c r="Q176" s="11"/>
      <c r="R176" s="11"/>
      <c r="S176" s="11"/>
      <c r="T176" s="11"/>
      <c r="U176" s="11"/>
      <c r="V176" s="11"/>
      <c r="W176" s="11"/>
      <c r="X176" s="11"/>
      <c r="Y176" s="11"/>
      <c r="Z176" s="11"/>
    </row>
    <row r="177" customHeight="1" spans="1:26">
      <c r="A177" s="11" t="str">
        <f>IFERROR(__xludf.DUMMYFUNCTION("""COMPUTED_VALUE"""),"ALINE MAGALHAES BESSA ANDRADE")</f>
        <v>ALINE MAGALHAES BESSA ANDRADE</v>
      </c>
      <c r="B177" s="11"/>
      <c r="C177" s="11"/>
      <c r="D177" s="11" t="str">
        <f>IFERROR(__xludf.DUMMYFUNCTION("""COMPUTED_VALUE"""),"Enfermeira")</f>
        <v>Enfermeira</v>
      </c>
      <c r="E177" s="11" t="str">
        <f>IFERROR(__xludf.DUMMYFUNCTION("""COMPUTED_VALUE"""),"VIII")</f>
        <v>VIII</v>
      </c>
      <c r="F177" s="11" t="str">
        <f>IFERROR(__xludf.DUMMYFUNCTION("""COMPUTED_VALUE"""),"ATENDE EM CASA")</f>
        <v>ATENDE EM CASA</v>
      </c>
      <c r="G177" s="11" t="str">
        <f>IFERROR(__xludf.DUMMYFUNCTION("""COMPUTED_VALUE"""),"US 154 USF UPINHA DIA RIO DA PRATA")</f>
        <v>US 154 USF UPINHA DIA RIO DA PRATA</v>
      </c>
      <c r="H177" s="27">
        <f>IFERROR(__xludf.DUMMYFUNCTION("""COMPUTED_VALUE"""),71988768296)</f>
        <v>71988768296</v>
      </c>
      <c r="I177" s="11"/>
      <c r="J177" s="11"/>
      <c r="K177" s="11"/>
      <c r="L177" s="11"/>
      <c r="M177" s="28" t="str">
        <f>IFERROR(__xludf.DUMMYFUNCTION("""COMPUTED_VALUE"""),"3355-6215 / 3338-7768")</f>
        <v>3355-6215 / 3338-7768</v>
      </c>
      <c r="N177" s="11" t="str">
        <f>IFERROR(__xludf.DUMMYFUNCTION("""COMPUTED_VALUE"""),"linebmagalhaes@hotmail.com")</f>
        <v>linebmagalhaes@hotmail.com</v>
      </c>
      <c r="O177" s="29">
        <f>IFERROR(__xludf.DUMMYFUNCTION("""COMPUTED_VALUE"""),2453559524)</f>
        <v>2453559524</v>
      </c>
      <c r="P177" s="29">
        <f>IFERROR(__xludf.DUMMYFUNCTION("""COMPUTED_VALUE"""),700507471528060)</f>
        <v>700507471528060</v>
      </c>
      <c r="Q177" s="30" t="str">
        <f>IFERROR(__xludf.DUMMYFUNCTION("""COMPUTED_VALUE"""),"3639827")</f>
        <v>3639827</v>
      </c>
      <c r="R177" s="11"/>
      <c r="S177" s="30" t="str">
        <f>IFERROR(__xludf.DUMMYFUNCTION("""COMPUTED_VALUE"""),"1")</f>
        <v>1</v>
      </c>
      <c r="T177" s="30" t="str">
        <f>IFERROR(__xludf.DUMMYFUNCTION("""COMPUTED_VALUE"""),"223505")</f>
        <v>223505</v>
      </c>
      <c r="U177" s="31">
        <f>IFERROR(__xludf.DUMMYFUNCTION("""COMPUTED_VALUE"""),2235)</f>
        <v>2235</v>
      </c>
      <c r="V177" s="11"/>
      <c r="W177" s="11"/>
      <c r="X177" s="11"/>
      <c r="Y177" s="11"/>
      <c r="Z177" s="11"/>
    </row>
    <row r="178" customHeight="1" spans="1:26">
      <c r="A178" s="11" t="str">
        <f>IFERROR(__xludf.DUMMYFUNCTION("""COMPUTED_VALUE"""),"KELLY REGINA MACHADO DE LIMA")</f>
        <v>KELLY REGINA MACHADO DE LIMA</v>
      </c>
      <c r="B178" s="11"/>
      <c r="C178" s="11"/>
      <c r="D178" s="11" t="str">
        <f>IFERROR(__xludf.DUMMYFUNCTION("""COMPUTED_VALUE"""),"enfermeira")</f>
        <v>enfermeira</v>
      </c>
      <c r="E178" s="11" t="str">
        <f>IFERROR(__xludf.DUMMYFUNCTION("""COMPUTED_VALUE"""),"V")</f>
        <v>V</v>
      </c>
      <c r="F178" s="11"/>
      <c r="G178" s="11" t="str">
        <f>IFERROR(__xludf.DUMMYFUNCTION("""COMPUTED_VALUE"""),"US 158 CS PAM CEASA")</f>
        <v>US 158 CS PAM CEASA</v>
      </c>
      <c r="H178" s="27">
        <f>IFERROR(__xludf.DUMMYFUNCTION("""COMPUTED_VALUE"""),81999644121)</f>
        <v>81999644121</v>
      </c>
      <c r="I178" s="11"/>
      <c r="J178" s="11"/>
      <c r="K178" s="24">
        <f>IFERROR(__xludf.DUMMYFUNCTION("""COMPUTED_VALUE"""),45356)</f>
        <v>45356</v>
      </c>
      <c r="L178" s="11"/>
      <c r="M178" s="11"/>
      <c r="N178" s="11" t="str">
        <f>IFERROR(__xludf.DUMMYFUNCTION("""COMPUTED_VALUE"""),"kellyrmlima@gmail.com")</f>
        <v>kellyrmlima@gmail.com</v>
      </c>
      <c r="O178" s="11"/>
      <c r="P178" s="11"/>
      <c r="Q178" s="11"/>
      <c r="R178" s="11"/>
      <c r="S178" s="11"/>
      <c r="T178" s="11"/>
      <c r="U178" s="11"/>
      <c r="V178" s="11"/>
      <c r="W178" s="11"/>
      <c r="X178" s="11"/>
      <c r="Y178" s="11"/>
      <c r="Z178" s="11"/>
    </row>
    <row r="179" customHeight="1" spans="1:26">
      <c r="A179" s="11" t="str">
        <f>IFERROR(__xludf.DUMMYFUNCTION("""COMPUTED_VALUE"""),"CAROLINA DE ANDRADE JORDAO DE VASCONCELOS")</f>
        <v>CAROLINA DE ANDRADE JORDAO DE VASCONCELOS</v>
      </c>
      <c r="B179" s="11" t="str">
        <f>IFERROR(__xludf.DUMMYFUNCTION("""COMPUTED_VALUE"""),"DISPONÍVEL NOS DIAS: Quarta manhã, quinta manhã ou tarde (13:00) ou sexta manhã")</f>
        <v>DISPONÍVEL NOS DIAS: Quarta manhã, quinta manhã ou tarde (13:00) ou sexta manhã</v>
      </c>
      <c r="C179" s="11"/>
      <c r="D179" s="11" t="str">
        <f>IFERROR(__xludf.DUMMYFUNCTION("""COMPUTED_VALUE"""),"Médica Clínica")</f>
        <v>Médica Clínica</v>
      </c>
      <c r="E179" s="11" t="str">
        <f>IFERROR(__xludf.DUMMYFUNCTION("""COMPUTED_VALUE"""),"V")</f>
        <v>V</v>
      </c>
      <c r="F179" s="11" t="str">
        <f>IFERROR(__xludf.DUMMYFUNCTION("""COMPUTED_VALUE"""),"US_161 CS PROF ROMERO MARQUES / IPIRANGA")</f>
        <v>US_161 CS PROF ROMERO MARQUES / IPIRANGA</v>
      </c>
      <c r="G179" s="11" t="str">
        <f>IFERROR(__xludf.DUMMYFUNCTION("""COMPUTED_VALUE"""),"US 158 CS PAM CEASA")</f>
        <v>US 158 CS PAM CEASA</v>
      </c>
      <c r="H179" s="27">
        <f>IFERROR(__xludf.DUMMYFUNCTION("""COMPUTED_VALUE"""),81988597805)</f>
        <v>81988597805</v>
      </c>
      <c r="I179" s="11"/>
      <c r="J179" s="11"/>
      <c r="K179" s="11"/>
      <c r="L179" s="11"/>
      <c r="M179" s="28" t="str">
        <f>IFERROR(__xludf.DUMMYFUNCTION("""COMPUTED_VALUE"""),"3355-0090")</f>
        <v>3355-0090</v>
      </c>
      <c r="N179" s="11" t="str">
        <f>IFERROR(__xludf.DUMMYFUNCTION("""COMPUTED_VALUE"""),"carolinaajv@hotmail.com")</f>
        <v>carolinaajv@hotmail.com</v>
      </c>
      <c r="O179" s="29">
        <f>IFERROR(__xludf.DUMMYFUNCTION("""COMPUTED_VALUE"""),59114088487)</f>
        <v>59114088487</v>
      </c>
      <c r="P179" s="30" t="str">
        <f>IFERROR(__xludf.DUMMYFUNCTION("""COMPUTED_VALUE"""),"980016288852924")</f>
        <v>980016288852924</v>
      </c>
      <c r="Q179" s="30" t="str">
        <f>IFERROR(__xludf.DUMMYFUNCTION("""COMPUTED_VALUE"""),"0000760")</f>
        <v>0000760</v>
      </c>
      <c r="R179" s="11"/>
      <c r="S179" s="30" t="str">
        <f>IFERROR(__xludf.DUMMYFUNCTION("""COMPUTED_VALUE"""),"1")</f>
        <v>1</v>
      </c>
      <c r="T179" s="30" t="str">
        <f>IFERROR(__xludf.DUMMYFUNCTION("""COMPUTED_VALUE"""),"225125")</f>
        <v>225125</v>
      </c>
      <c r="U179" s="31" t="str">
        <f>IFERROR(__xludf.DUMMYFUNCTION("""COMPUTED_VALUE"""),"2251")</f>
        <v>2251</v>
      </c>
      <c r="V179" s="11"/>
      <c r="W179" s="11"/>
      <c r="X179" s="11"/>
      <c r="Y179" s="11"/>
      <c r="Z179" s="11"/>
    </row>
    <row r="180" customHeight="1" spans="1:26">
      <c r="A180" s="11" t="str">
        <f>IFERROR(__xludf.DUMMYFUNCTION("""COMPUTED_VALUE"""),"ERICKA AZEVEDO DOS SANTOS")</f>
        <v>ERICKA AZEVEDO DOS SANTOS</v>
      </c>
      <c r="B180" s="11"/>
      <c r="C180" s="11"/>
      <c r="D180" s="11" t="str">
        <f>IFERROR(__xludf.DUMMYFUNCTION("""COMPUTED_VALUE"""),"Enfermeira")</f>
        <v>Enfermeira</v>
      </c>
      <c r="E180" s="11" t="str">
        <f>IFERROR(__xludf.DUMMYFUNCTION("""COMPUTED_VALUE"""),"IV")</f>
        <v>IV</v>
      </c>
      <c r="F180" s="11" t="str">
        <f>IFERROR(__xludf.DUMMYFUNCTION("""COMPUTED_VALUE"""),"US_352 USF UPINHA 24H DR HELIO MENDONCA COR DO JENIPAPO")</f>
        <v>US_352 USF UPINHA 24H DR HELIO MENDONCA COR DO JENIPAPO</v>
      </c>
      <c r="G180" s="11" t="str">
        <f>IFERROR(__xludf.DUMMYFUNCTION("""COMPUTED_VALUE"""),"US 234 USF RODA DE FOGO COSIROF")</f>
        <v>US 234 USF RODA DE FOGO COSIROF</v>
      </c>
      <c r="H180" s="27">
        <f>IFERROR(__xludf.DUMMYFUNCTION("""COMPUTED_VALUE"""),81986315389)</f>
        <v>81986315389</v>
      </c>
      <c r="I180" s="11"/>
      <c r="J180" s="11"/>
      <c r="K180" s="11"/>
      <c r="L180" s="11"/>
      <c r="M180" s="28" t="str">
        <f>IFERROR(__xludf.DUMMYFUNCTION("""COMPUTED_VALUE"""),"3355-6423")</f>
        <v>3355-6423</v>
      </c>
      <c r="N180" s="11"/>
      <c r="O180" s="29">
        <f>IFERROR(__xludf.DUMMYFUNCTION("""COMPUTED_VALUE"""),9699951486)</f>
        <v>9699951486</v>
      </c>
      <c r="P180" s="30" t="str">
        <f>IFERROR(__xludf.DUMMYFUNCTION("""COMPUTED_VALUE"""),"702303119168619")</f>
        <v>702303119168619</v>
      </c>
      <c r="Q180" s="30" t="str">
        <f>IFERROR(__xludf.DUMMYFUNCTION("""COMPUTED_VALUE"""),"0022330")</f>
        <v>0022330</v>
      </c>
      <c r="R180" s="30" t="str">
        <f>IFERROR(__xludf.DUMMYFUNCTION("""COMPUTED_VALUE"""),"0000153869")</f>
        <v>0000153869</v>
      </c>
      <c r="S180" s="30" t="str">
        <f>IFERROR(__xludf.DUMMYFUNCTION("""COMPUTED_VALUE"""),"1")</f>
        <v>1</v>
      </c>
      <c r="T180" s="30" t="str">
        <f>IFERROR(__xludf.DUMMYFUNCTION("""COMPUTED_VALUE"""),"223565")</f>
        <v>223565</v>
      </c>
      <c r="U180" s="31" t="str">
        <f>IFERROR(__xludf.DUMMYFUNCTION("""COMPUTED_VALUE"""),"2235")</f>
        <v>2235</v>
      </c>
      <c r="V180" s="11"/>
      <c r="W180" s="11"/>
      <c r="X180" s="11"/>
      <c r="Y180" s="11"/>
      <c r="Z180" s="11"/>
    </row>
    <row r="181" customHeight="1" spans="1:26">
      <c r="A181" s="11" t="str">
        <f>IFERROR(__xludf.DUMMYFUNCTION("""COMPUTED_VALUE"""),"LUIZ HENRIQUE CAMPELO DE LIRA")</f>
        <v>LUIZ HENRIQUE CAMPELO DE LIRA</v>
      </c>
      <c r="B181" s="11"/>
      <c r="C181" s="11"/>
      <c r="D181" s="11" t="str">
        <f>IFERROR(__xludf.DUMMYFUNCTION("""COMPUTED_VALUE"""),"Médico Clínico")</f>
        <v>Médico Clínico</v>
      </c>
      <c r="E181" s="11" t="str">
        <f>IFERROR(__xludf.DUMMYFUNCTION("""COMPUTED_VALUE"""),"VII")</f>
        <v>VII</v>
      </c>
      <c r="F181" s="11" t="str">
        <f>IFERROR(__xludf.DUMMYFUNCTION("""COMPUTED_VALUE"""),"US_394 USF UPINHA 24H DR MOACYR ANDRE GOMES")</f>
        <v>US_394 USF UPINHA 24H DR MOACYR ANDRE GOMES</v>
      </c>
      <c r="G181" s="11" t="str">
        <f>IFERROR(__xludf.DUMMYFUNCTION("""COMPUTED_VALUE"""),"US 152 CS INA ROSA BORGES")</f>
        <v>US 152 CS INA ROSA BORGES</v>
      </c>
      <c r="H181" s="11"/>
      <c r="I181" s="11"/>
      <c r="J181" s="11"/>
      <c r="K181" s="11"/>
      <c r="L181" s="11"/>
      <c r="M181" s="28" t="str">
        <f>IFERROR(__xludf.DUMMYFUNCTION("""COMPUTED_VALUE"""),"3355-4408")</f>
        <v>3355-4408</v>
      </c>
      <c r="N181" s="11"/>
      <c r="O181" s="29">
        <f>IFERROR(__xludf.DUMMYFUNCTION("""COMPUTED_VALUE"""),86434551487)</f>
        <v>86434551487</v>
      </c>
      <c r="P181" s="30" t="str">
        <f>IFERROR(__xludf.DUMMYFUNCTION("""COMPUTED_VALUE"""),"980016001308441")</f>
        <v>980016001308441</v>
      </c>
      <c r="Q181" s="30" t="str">
        <f>IFERROR(__xludf.DUMMYFUNCTION("""COMPUTED_VALUE"""),"0001236")</f>
        <v>0001236</v>
      </c>
      <c r="R181" s="11"/>
      <c r="S181" s="30" t="str">
        <f>IFERROR(__xludf.DUMMYFUNCTION("""COMPUTED_VALUE"""),"1")</f>
        <v>1</v>
      </c>
      <c r="T181" s="30" t="str">
        <f>IFERROR(__xludf.DUMMYFUNCTION("""COMPUTED_VALUE"""),"225125")</f>
        <v>225125</v>
      </c>
      <c r="U181" s="31">
        <f>IFERROR(__xludf.DUMMYFUNCTION("""COMPUTED_VALUE"""),2251)</f>
        <v>2251</v>
      </c>
      <c r="V181" s="11"/>
      <c r="W181" s="30" t="str">
        <f>IFERROR(__xludf.DUMMYFUNCTION("""COMPUTED_VALUE"""),"22/01/1967")</f>
        <v>22/01/1967</v>
      </c>
      <c r="X181" s="11" t="str">
        <f>IFERROR(__xludf.DUMMYFUNCTION("""COMPUTED_VALUE"""),"#N/A")</f>
        <v>#N/A</v>
      </c>
      <c r="Y181" s="11" t="str">
        <f>IFERROR(__xludf.DUMMYFUNCTION("""COMPUTED_VALUE"""),"#N/A")</f>
        <v>#N/A</v>
      </c>
      <c r="Z181" s="11" t="str">
        <f>IFERROR(__xludf.DUMMYFUNCTION("""COMPUTED_VALUE"""),"#N/A")</f>
        <v>#N/A</v>
      </c>
    </row>
    <row r="182" customHeight="1" spans="1:26">
      <c r="A182" s="11" t="str">
        <f>IFERROR(__xludf.DUMMYFUNCTION("""COMPUTED_VALUE"""),"ALMERY SISNANDO JUSTO NETA DE ALBUQUERQUE MELO")</f>
        <v>ALMERY SISNANDO JUSTO NETA DE ALBUQUERQUE MELO</v>
      </c>
      <c r="B182" s="11"/>
      <c r="C182" s="11"/>
      <c r="D182" s="11" t="str">
        <f>IFERROR(__xludf.DUMMYFUNCTION("""COMPUTED_VALUE"""),"Enfermeira")</f>
        <v>Enfermeira</v>
      </c>
      <c r="E182" s="11" t="str">
        <f>IFERROR(__xludf.DUMMYFUNCTION("""COMPUTED_VALUE"""),"IV")</f>
        <v>IV</v>
      </c>
      <c r="F182" s="11" t="str">
        <f>IFERROR(__xludf.DUMMYFUNCTION("""COMPUTED_VALUE"""),"US_255 USF UPINHA 24H VILA ARRAES	")</f>
        <v>US_255 USF UPINHA 24H VILA ARRAES	</v>
      </c>
      <c r="G182" s="11" t="str">
        <f>IFERROR(__xludf.DUMMYFUNCTION("""COMPUTED_VALUE"""),"US 255 USF UPINHA 24H VILA ARRAES	")</f>
        <v>US 255 USF UPINHA 24H VILA ARRAES	</v>
      </c>
      <c r="H182" s="27">
        <f>IFERROR(__xludf.DUMMYFUNCTION("""COMPUTED_VALUE"""),81995379585)</f>
        <v>81995379585</v>
      </c>
      <c r="I182" s="11"/>
      <c r="J182" s="11"/>
      <c r="K182" s="11"/>
      <c r="L182" s="11"/>
      <c r="M182" s="28" t="str">
        <f>IFERROR(__xludf.DUMMYFUNCTION("""COMPUTED_VALUE"""),"3355-4640")</f>
        <v>3355-4640</v>
      </c>
      <c r="N182" s="11" t="str">
        <f>IFERROR(__xludf.DUMMYFUNCTION("""COMPUTED_VALUE"""),"almery_justo@hotmail.com")</f>
        <v>almery_justo@hotmail.com</v>
      </c>
      <c r="O182" s="29">
        <f>IFERROR(__xludf.DUMMYFUNCTION("""COMPUTED_VALUE"""),2979327301)</f>
        <v>2979327301</v>
      </c>
      <c r="P182" s="30" t="str">
        <f>IFERROR(__xludf.DUMMYFUNCTION("""COMPUTED_VALUE"""),"705004605012856")</f>
        <v>705004605012856</v>
      </c>
      <c r="Q182" s="30" t="str">
        <f>IFERROR(__xludf.DUMMYFUNCTION("""COMPUTED_VALUE"""),"0024538")</f>
        <v>0024538</v>
      </c>
      <c r="R182" s="11"/>
      <c r="S182" s="30" t="str">
        <f>IFERROR(__xludf.DUMMYFUNCTION("""COMPUTED_VALUE"""),"1")</f>
        <v>1</v>
      </c>
      <c r="T182" s="30" t="str">
        <f>IFERROR(__xludf.DUMMYFUNCTION("""COMPUTED_VALUE"""),"223505")</f>
        <v>223505</v>
      </c>
      <c r="U182" s="31">
        <f>IFERROR(__xludf.DUMMYFUNCTION("""COMPUTED_VALUE"""),2235)</f>
        <v>2235</v>
      </c>
      <c r="V182" s="11"/>
      <c r="W182" s="11"/>
      <c r="X182" s="11"/>
      <c r="Y182" s="11"/>
      <c r="Z182" s="11"/>
    </row>
    <row r="183" customHeight="1" spans="1:26">
      <c r="A183" s="11" t="str">
        <f>IFERROR(__xludf.DUMMYFUNCTION("""COMPUTED_VALUE"""),"CAROLINA JANUARIO DA SILVA")</f>
        <v>CAROLINA JANUARIO DA SILVA</v>
      </c>
      <c r="B183" s="11" t="str">
        <f>IFERROR(__xludf.DUMMYFUNCTION("""COMPUTED_VALUE"""),"NÃO TEM HORÁRIO COMPATÍVEL")</f>
        <v>NÃO TEM HORÁRIO COMPATÍVEL</v>
      </c>
      <c r="C183" s="11"/>
      <c r="D183" s="11" t="str">
        <f>IFERROR(__xludf.DUMMYFUNCTION("""COMPUTED_VALUE"""),"Médica Clínica")</f>
        <v>Médica Clínica</v>
      </c>
      <c r="E183" s="11" t="str">
        <f>IFERROR(__xludf.DUMMYFUNCTION("""COMPUTED_VALUE"""),"V")</f>
        <v>V</v>
      </c>
      <c r="F183" s="11" t="str">
        <f>IFERROR(__xludf.DUMMYFUNCTION("""COMPUTED_VALUE"""),"US_150 CS PROFESSOR FERNANDES FIGUEIRAS")</f>
        <v>US_150 CS PROFESSOR FERNANDES FIGUEIRAS</v>
      </c>
      <c r="G183" s="11" t="str">
        <f>IFERROR(__xludf.DUMMYFUNCTION("""COMPUTED_VALUE"""),"US 150 CS PROFESSOR FERNANDES FIGUEIRAS")</f>
        <v>US 150 CS PROFESSOR FERNANDES FIGUEIRAS</v>
      </c>
      <c r="H183" s="27">
        <f>IFERROR(__xludf.DUMMYFUNCTION("""COMPUTED_VALUE"""),81999121689)</f>
        <v>81999121689</v>
      </c>
      <c r="I183" s="11"/>
      <c r="J183" s="11"/>
      <c r="K183" s="11"/>
      <c r="L183" s="11"/>
      <c r="M183" s="28" t="str">
        <f>IFERROR(__xludf.DUMMYFUNCTION("""COMPUTED_VALUE"""),"3355-4396")</f>
        <v>3355-4396</v>
      </c>
      <c r="N183" s="11" t="str">
        <f>IFERROR(__xludf.DUMMYFUNCTION("""COMPUTED_VALUE"""),"dcaroljsc@gmail.com")</f>
        <v>dcaroljsc@gmail.com</v>
      </c>
      <c r="O183" s="29">
        <f>IFERROR(__xludf.DUMMYFUNCTION("""COMPUTED_VALUE"""),6898120433)</f>
        <v>6898120433</v>
      </c>
      <c r="P183" s="30" t="str">
        <f>IFERROR(__xludf.DUMMYFUNCTION("""COMPUTED_VALUE"""),"700009083453507")</f>
        <v>700009083453507</v>
      </c>
      <c r="Q183" s="30" t="str">
        <f>IFERROR(__xludf.DUMMYFUNCTION("""COMPUTED_VALUE"""),"0000841")</f>
        <v>0000841</v>
      </c>
      <c r="R183" s="30" t="str">
        <f>IFERROR(__xludf.DUMMYFUNCTION("""COMPUTED_VALUE"""),"9000084103")</f>
        <v>9000084103</v>
      </c>
      <c r="S183" s="30" t="str">
        <f>IFERROR(__xludf.DUMMYFUNCTION("""COMPUTED_VALUE"""),"1")</f>
        <v>1</v>
      </c>
      <c r="T183" s="30" t="str">
        <f>IFERROR(__xludf.DUMMYFUNCTION("""COMPUTED_VALUE"""),"225125")</f>
        <v>225125</v>
      </c>
      <c r="U183" s="31" t="str">
        <f>IFERROR(__xludf.DUMMYFUNCTION("""COMPUTED_VALUE"""),"2251")</f>
        <v>2251</v>
      </c>
      <c r="V183" s="11"/>
      <c r="W183" s="11"/>
      <c r="X183" s="11"/>
      <c r="Y183" s="11"/>
      <c r="Z183" s="11"/>
    </row>
    <row r="184" customHeight="1" spans="1:26">
      <c r="A184" s="11" t="str">
        <f>IFERROR(__xludf.DUMMYFUNCTION("""COMPUTED_VALUE"""),"CAROLINA NOVAES")</f>
        <v>CAROLINA NOVAES</v>
      </c>
      <c r="B184" s="11" t="str">
        <f>IFERROR(__xludf.DUMMYFUNCTION("""COMPUTED_VALUE"""),"SOFREU BURNOUT -  PEDIU TRANSFERENCIA DA UNIDADE( AGUARDAR ELA SER LOCADA)")</f>
        <v>SOFREU BURNOUT -  PEDIU TRANSFERENCIA DA UNIDADE( AGUARDAR ELA SER LOCADA)</v>
      </c>
      <c r="C184" s="11"/>
      <c r="D184" s="11" t="str">
        <f>IFERROR(__xludf.DUMMYFUNCTION("""COMPUTED_VALUE"""),"Médica eSF")</f>
        <v>Médica eSF</v>
      </c>
      <c r="E184" s="11" t="str">
        <f>IFERROR(__xludf.DUMMYFUNCTION("""COMPUTED_VALUE"""),"VII")</f>
        <v>VII</v>
      </c>
      <c r="F184" s="11" t="str">
        <f>IFERROR(__xludf.DUMMYFUNCTION("""COMPUTED_VALUE"""),"US_269 USF BEIRA DO RIO COMUNIDADE BOA VIAGEM")</f>
        <v>US_269 USF BEIRA DO RIO COMUNIDADE BOA VIAGEM</v>
      </c>
      <c r="G184" s="11" t="str">
        <f>IFERROR(__xludf.DUMMYFUNCTION("""COMPUTED_VALUE"""),"US 283 USF VILA BOA VISTA")</f>
        <v>US 283 USF VILA BOA VISTA</v>
      </c>
      <c r="H184" s="27">
        <f>IFERROR(__xludf.DUMMYFUNCTION("""COMPUTED_VALUE"""),81997479552)</f>
        <v>81997479552</v>
      </c>
      <c r="I184" s="11"/>
      <c r="J184" s="11"/>
      <c r="K184" s="11"/>
      <c r="L184" s="11"/>
      <c r="M184" s="28" t="str">
        <f>IFERROR(__xludf.DUMMYFUNCTION("""COMPUTED_VALUE"""),"3355-6242")</f>
        <v>3355-6242</v>
      </c>
      <c r="N184" s="11" t="str">
        <f>IFERROR(__xludf.DUMMYFUNCTION("""COMPUTED_VALUE"""),"NOVAESCARO@GMAIL.COM")</f>
        <v>NOVAESCARO@GMAIL.COM</v>
      </c>
      <c r="O184" s="29">
        <f>IFERROR(__xludf.DUMMYFUNCTION("""COMPUTED_VALUE"""),6375521998)</f>
        <v>6375521998</v>
      </c>
      <c r="P184" s="30" t="str">
        <f>IFERROR(__xludf.DUMMYFUNCTION("""COMPUTED_VALUE"""),"980016294852868")</f>
        <v>980016294852868</v>
      </c>
      <c r="Q184" s="30" t="str">
        <f>IFERROR(__xludf.DUMMYFUNCTION("""COMPUTED_VALUE"""),"0029106")</f>
        <v>0029106</v>
      </c>
      <c r="R184" s="30" t="str">
        <f>IFERROR(__xludf.DUMMYFUNCTION("""COMPUTED_VALUE"""),"0000154660")</f>
        <v>0000154660</v>
      </c>
      <c r="S184" s="30" t="str">
        <f>IFERROR(__xludf.DUMMYFUNCTION("""COMPUTED_VALUE"""),"1")</f>
        <v>1</v>
      </c>
      <c r="T184" s="30" t="str">
        <f>IFERROR(__xludf.DUMMYFUNCTION("""COMPUTED_VALUE"""),"225142")</f>
        <v>225142</v>
      </c>
      <c r="U184" s="31" t="str">
        <f>IFERROR(__xludf.DUMMYFUNCTION("""COMPUTED_VALUE"""),"2251")</f>
        <v>2251</v>
      </c>
      <c r="V184" s="11"/>
      <c r="W184" s="11"/>
      <c r="X184" s="11"/>
      <c r="Y184" s="11"/>
      <c r="Z184" s="11"/>
    </row>
    <row r="185" customHeight="1" spans="1:26">
      <c r="A185" s="11" t="str">
        <f>IFERROR(__xludf.DUMMYFUNCTION("""COMPUTED_VALUE"""),"MATHEUS VOTA DE MENDONCA")</f>
        <v>MATHEUS VOTA DE MENDONCA</v>
      </c>
      <c r="B185" s="11"/>
      <c r="C185" s="11"/>
      <c r="D185" s="11" t="str">
        <f>IFERROR(__xludf.DUMMYFUNCTION("""COMPUTED_VALUE"""),"Médico eSF")</f>
        <v>Médico eSF</v>
      </c>
      <c r="E185" s="11" t="str">
        <f>IFERROR(__xludf.DUMMYFUNCTION("""COMPUTED_VALUE"""),"IV")</f>
        <v>IV</v>
      </c>
      <c r="F185" s="11" t="str">
        <f>IFERROR(__xludf.DUMMYFUNCTION("""COMPUTED_VALUE"""),"US_394 USF UPINHA 24H DR MOACYR ANDRE GOMES")</f>
        <v>US_394 USF UPINHA 24H DR MOACYR ANDRE GOMES</v>
      </c>
      <c r="G185" s="11" t="str">
        <f>IFERROR(__xludf.DUMMYFUNCTION("""COMPUTED_VALUE"""),"US 255 USF UPINHA 24H VILA ARRAES	")</f>
        <v>US 255 USF UPINHA 24H VILA ARRAES	</v>
      </c>
      <c r="H185" s="27">
        <f>IFERROR(__xludf.DUMMYFUNCTION("""COMPUTED_VALUE"""),81979134783)</f>
        <v>81979134783</v>
      </c>
      <c r="I185" s="11"/>
      <c r="J185" s="11"/>
      <c r="K185" s="11"/>
      <c r="L185" s="28" t="str">
        <f>IFERROR(__xludf.DUMMYFUNCTION("""COMPUTED_VALUE"""),"X")</f>
        <v>X</v>
      </c>
      <c r="M185" s="28" t="str">
        <f>IFERROR(__xludf.DUMMYFUNCTION("""COMPUTED_VALUE"""),"3355-4640")</f>
        <v>3355-4640</v>
      </c>
      <c r="N185" s="11"/>
      <c r="O185" s="29">
        <f>IFERROR(__xludf.DUMMYFUNCTION("""COMPUTED_VALUE"""),9030812451)</f>
        <v>9030812451</v>
      </c>
      <c r="P185" s="30" t="str">
        <f>IFERROR(__xludf.DUMMYFUNCTION("""COMPUTED_VALUE"""),"708407798002762")</f>
        <v>708407798002762</v>
      </c>
      <c r="Q185" s="30" t="str">
        <f>IFERROR(__xludf.DUMMYFUNCTION("""COMPUTED_VALUE"""),"0024538")</f>
        <v>0024538</v>
      </c>
      <c r="R185" s="30" t="str">
        <f>IFERROR(__xludf.DUMMYFUNCTION("""COMPUTED_VALUE"""),"9002453802")</f>
        <v>9002453802</v>
      </c>
      <c r="S185" s="30" t="str">
        <f>IFERROR(__xludf.DUMMYFUNCTION("""COMPUTED_VALUE"""),"1")</f>
        <v>1</v>
      </c>
      <c r="T185" s="30" t="str">
        <f>IFERROR(__xludf.DUMMYFUNCTION("""COMPUTED_VALUE"""),"225142")</f>
        <v>225142</v>
      </c>
      <c r="U185" s="31" t="str">
        <f>IFERROR(__xludf.DUMMYFUNCTION("""COMPUTED_VALUE"""),"2251")</f>
        <v>2251</v>
      </c>
      <c r="V185" s="11"/>
      <c r="W185" s="11"/>
      <c r="X185" s="11"/>
      <c r="Y185" s="11"/>
      <c r="Z185" s="11"/>
    </row>
    <row r="186" customHeight="1" spans="1:26">
      <c r="A186" s="11" t="str">
        <f>IFERROR(__xludf.DUMMYFUNCTION("""COMPUTED_VALUE"""),"JOAO VICTOR MOREIRA")</f>
        <v>JOAO VICTOR MOREIRA</v>
      </c>
      <c r="B186" s="11"/>
      <c r="C186" s="11"/>
      <c r="D186" s="11" t="str">
        <f>IFERROR(__xludf.DUMMYFUNCTION("""COMPUTED_VALUE"""),"Médico eSF")</f>
        <v>Médico eSF</v>
      </c>
      <c r="E186" s="11" t="str">
        <f>IFERROR(__xludf.DUMMYFUNCTION("""COMPUTED_VALUE"""),"III")</f>
        <v>III</v>
      </c>
      <c r="F186" s="11" t="str">
        <f>IFERROR(__xludf.DUMMYFUNCTION("""COMPUTED_VALUE"""),"US_397 USF UPINHA DIA ACS MARIA RITA DA SILVA /CORREGO DO EUCLIDES")</f>
        <v>US_397 USF UPINHA DIA ACS MARIA RITA DA SILVA /CORREGO DO EUCLIDES</v>
      </c>
      <c r="G186" s="11" t="str">
        <f>IFERROR(__xludf.DUMMYFUNCTION("""COMPUTED_VALUE"""),"US 171 CS JOAQUIM COSTA CARVALHO")</f>
        <v>US 171 CS JOAQUIM COSTA CARVALHO</v>
      </c>
      <c r="H186" s="27">
        <f>IFERROR(__xludf.DUMMYFUNCTION("""COMPUTED_VALUE"""),81982063316)</f>
        <v>81982063316</v>
      </c>
      <c r="I186" s="11"/>
      <c r="J186" s="11"/>
      <c r="K186" s="11"/>
      <c r="L186" s="11"/>
      <c r="M186" s="28" t="str">
        <f>IFERROR(__xludf.DUMMYFUNCTION("""COMPUTED_VALUE"""),"3355-4412")</f>
        <v>3355-4412</v>
      </c>
      <c r="N186" s="11"/>
      <c r="O186" s="29">
        <f>IFERROR(__xludf.DUMMYFUNCTION("""COMPUTED_VALUE"""),7391395412)</f>
        <v>7391395412</v>
      </c>
      <c r="P186" s="30" t="str">
        <f>IFERROR(__xludf.DUMMYFUNCTION("""COMPUTED_VALUE"""),"700408426135049")</f>
        <v>700408426135049</v>
      </c>
      <c r="Q186" s="30" t="str">
        <f>IFERROR(__xludf.DUMMYFUNCTION("""COMPUTED_VALUE"""),"0002011")</f>
        <v>0002011</v>
      </c>
      <c r="R186" s="30" t="str">
        <f>IFERROR(__xludf.DUMMYFUNCTION("""COMPUTED_VALUE"""),"0002172313")</f>
        <v>0002172313</v>
      </c>
      <c r="S186" s="30" t="str">
        <f>IFERROR(__xludf.DUMMYFUNCTION("""COMPUTED_VALUE"""),"1")</f>
        <v>1</v>
      </c>
      <c r="T186" s="30" t="str">
        <f>IFERROR(__xludf.DUMMYFUNCTION("""COMPUTED_VALUE"""),"225142")</f>
        <v>225142</v>
      </c>
      <c r="U186" s="31">
        <f>IFERROR(__xludf.DUMMYFUNCTION("""COMPUTED_VALUE"""),2251)</f>
        <v>2251</v>
      </c>
      <c r="V186" s="11"/>
      <c r="W186" s="11"/>
      <c r="X186" s="11"/>
      <c r="Y186" s="11"/>
      <c r="Z186" s="11"/>
    </row>
    <row r="187" customHeight="1" spans="1:26">
      <c r="A187" s="11" t="str">
        <f>IFERROR(__xludf.DUMMYFUNCTION("""COMPUTED_VALUE"""),"NATHALIA SANCHES")</f>
        <v>NATHALIA SANCHES</v>
      </c>
      <c r="B187" s="11"/>
      <c r="C187" s="11"/>
      <c r="D187" s="11" t="str">
        <f>IFERROR(__xludf.DUMMYFUNCTION("""COMPUTED_VALUE"""),"MÉDICA RESIDENTE ")</f>
        <v>MÉDICA RESIDENTE </v>
      </c>
      <c r="E187" s="11"/>
      <c r="F187" s="11"/>
      <c r="G187" s="11" t="str">
        <f>IFERROR(__xludf.DUMMYFUNCTION("""COMPUTED_VALUE"""),"US 397 USF UPINHA DIA ACS MARIA RITA DA SILVA /CORREGO DO EUCLIDES")</f>
        <v>US 397 USF UPINHA DIA ACS MARIA RITA DA SILVA /CORREGO DO EUCLIDES</v>
      </c>
      <c r="H187" s="27">
        <f>IFERROR(__xludf.DUMMYFUNCTION("""COMPUTED_VALUE"""),81997894816)</f>
        <v>81997894816</v>
      </c>
      <c r="I187" s="11"/>
      <c r="J187" s="11"/>
      <c r="K187" s="24">
        <f>IFERROR(__xludf.DUMMYFUNCTION("""COMPUTED_VALUE"""),45370)</f>
        <v>45370</v>
      </c>
      <c r="L187" s="11"/>
      <c r="M187" s="11"/>
      <c r="N187" s="11"/>
      <c r="O187" s="11"/>
      <c r="P187" s="11"/>
      <c r="Q187" s="11"/>
      <c r="R187" s="11"/>
      <c r="S187" s="11"/>
      <c r="T187" s="11"/>
      <c r="U187" s="11"/>
      <c r="V187" s="11"/>
      <c r="W187" s="11"/>
      <c r="X187" s="11"/>
      <c r="Y187" s="11"/>
      <c r="Z187" s="11"/>
    </row>
    <row r="188" customHeight="1" spans="1:26">
      <c r="A188" s="11" t="str">
        <f>IFERROR(__xludf.DUMMYFUNCTION("""COMPUTED_VALUE"""),"ISABELA PIMENTEL")</f>
        <v>ISABELA PIMENTEL</v>
      </c>
      <c r="B188" s="11"/>
      <c r="C188" s="11"/>
      <c r="D188" s="11" t="str">
        <f>IFERROR(__xludf.DUMMYFUNCTION("""COMPUTED_VALUE"""),"MÉDICA RESIDENTE ")</f>
        <v>MÉDICA RESIDENTE </v>
      </c>
      <c r="E188" s="11"/>
      <c r="F188" s="11"/>
      <c r="G188" s="11" t="str">
        <f>IFERROR(__xludf.DUMMYFUNCTION("""COMPUTED_VALUE"""),"US 397 USF UPINHA DIA ACS MARIA RITA DA SILVA /CORREGO DO EUCLIDES")</f>
        <v>US 397 USF UPINHA DIA ACS MARIA RITA DA SILVA /CORREGO DO EUCLIDES</v>
      </c>
      <c r="H188" s="27">
        <f>IFERROR(__xludf.DUMMYFUNCTION("""COMPUTED_VALUE"""),81991662424)</f>
        <v>81991662424</v>
      </c>
      <c r="I188" s="11"/>
      <c r="J188" s="11"/>
      <c r="K188" s="24">
        <f>IFERROR(__xludf.DUMMYFUNCTION("""COMPUTED_VALUE"""),45370)</f>
        <v>45370</v>
      </c>
      <c r="L188" s="11"/>
      <c r="M188" s="11"/>
      <c r="N188" s="11"/>
      <c r="O188" s="11"/>
      <c r="P188" s="11"/>
      <c r="Q188" s="11"/>
      <c r="R188" s="11"/>
      <c r="S188" s="11"/>
      <c r="T188" s="11"/>
      <c r="U188" s="11"/>
      <c r="V188" s="11"/>
      <c r="W188" s="11"/>
      <c r="X188" s="11"/>
      <c r="Y188" s="11"/>
      <c r="Z188" s="11"/>
    </row>
    <row r="189" customHeight="1" spans="1:26">
      <c r="A189" s="11" t="str">
        <f>IFERROR(__xludf.DUMMYFUNCTION("""COMPUTED_VALUE"""),"MAGNO JOSE OLIVEIRA LIMA CABRAL")</f>
        <v>MAGNO JOSE OLIVEIRA LIMA CABRAL</v>
      </c>
      <c r="B189" s="11"/>
      <c r="C189" s="11"/>
      <c r="D189" s="11" t="str">
        <f>IFERROR(__xludf.DUMMYFUNCTION("""COMPUTED_VALUE"""),"Médico")</f>
        <v>Médico</v>
      </c>
      <c r="E189" s="11" t="str">
        <f>IFERROR(__xludf.DUMMYFUNCTION("""COMPUTED_VALUE"""),"III")</f>
        <v>III</v>
      </c>
      <c r="F189" s="11" t="str">
        <f>IFERROR(__xludf.DUMMYFUNCTION("""COMPUTED_VALUE"""),"US_397 USF UPINHA DIA ACS MARIA RITA DA SILVA /CORREGO DO EUCLIDES")</f>
        <v>US_397 USF UPINHA DIA ACS MARIA RITA DA SILVA /CORREGO DO EUCLIDES</v>
      </c>
      <c r="G189" s="11" t="str">
        <f>IFERROR(__xludf.DUMMYFUNCTION("""COMPUTED_VALUE"""),"US 397 USF UPINHA DIA ACS MARIA RITA DA SILVA /CORREGO DO EUCLIDES")</f>
        <v>US 397 USF UPINHA DIA ACS MARIA RITA DA SILVA /CORREGO DO EUCLIDES</v>
      </c>
      <c r="H189" s="27">
        <f>IFERROR(__xludf.DUMMYFUNCTION("""COMPUTED_VALUE"""),81985112201)</f>
        <v>81985112201</v>
      </c>
      <c r="I189" s="11"/>
      <c r="J189" s="11"/>
      <c r="K189" s="11"/>
      <c r="L189" s="11"/>
      <c r="M189" s="28" t="str">
        <f>IFERROR(__xludf.DUMMYFUNCTION("""COMPUTED_VALUE"""),"3355-6222")</f>
        <v>3355-6222</v>
      </c>
      <c r="N189" s="11" t="str">
        <f>IFERROR(__xludf.DUMMYFUNCTION("""COMPUTED_VALUE"""),"magno_cabral@hotmail.com")</f>
        <v>magno_cabral@hotmail.com</v>
      </c>
      <c r="O189" s="29">
        <f>IFERROR(__xludf.DUMMYFUNCTION("""COMPUTED_VALUE"""),8958361492)</f>
        <v>8958361492</v>
      </c>
      <c r="P189" s="30" t="str">
        <f>IFERROR(__xludf.DUMMYFUNCTION("""COMPUTED_VALUE"""),"702504318642034")</f>
        <v>702504318642034</v>
      </c>
      <c r="Q189" s="30" t="str">
        <f>IFERROR(__xludf.DUMMYFUNCTION("""COMPUTED_VALUE"""),"0022284")</f>
        <v>0022284</v>
      </c>
      <c r="R189" s="30" t="str">
        <f>IFERROR(__xludf.DUMMYFUNCTION("""COMPUTED_VALUE"""),"9002228401")</f>
        <v>9002228401</v>
      </c>
      <c r="S189" s="30" t="str">
        <f>IFERROR(__xludf.DUMMYFUNCTION("""COMPUTED_VALUE"""),"1")</f>
        <v>1</v>
      </c>
      <c r="T189" s="30" t="str">
        <f>IFERROR(__xludf.DUMMYFUNCTION("""COMPUTED_VALUE"""),"225142")</f>
        <v>225142</v>
      </c>
      <c r="U189" s="31" t="str">
        <f>IFERROR(__xludf.DUMMYFUNCTION("""COMPUTED_VALUE"""),"2251")</f>
        <v>2251</v>
      </c>
      <c r="V189" s="11" t="str">
        <f>IFERROR(__xludf.DUMMYFUNCTION("""COMPUTED_VALUE"""),"SIM")</f>
        <v>SIM</v>
      </c>
      <c r="W189" s="11"/>
      <c r="X189" s="11"/>
      <c r="Y189" s="11"/>
      <c r="Z189" s="11"/>
    </row>
    <row r="190" customHeight="1" spans="1:26">
      <c r="A190" s="11" t="str">
        <f>IFERROR(__xludf.DUMMYFUNCTION("""COMPUTED_VALUE"""),"Brena Ludimila Sá De Souza")</f>
        <v>Brena Ludimila Sá De Souza</v>
      </c>
      <c r="B190" s="11"/>
      <c r="C190" s="11"/>
      <c r="D190" s="11" t="str">
        <f>IFERROR(__xludf.DUMMYFUNCTION("""COMPUTED_VALUE"""),"MÉDICA")</f>
        <v>MÉDICA</v>
      </c>
      <c r="E190" s="11"/>
      <c r="F190" s="11"/>
      <c r="G190" s="11" t="str">
        <f>IFERROR(__xludf.DUMMYFUNCTION("""COMPUTED_VALUE"""),"US_397 USF UPINHA DIA ACS MARIA RITA DA SILVA /CORREGO DO EUCLIDES")</f>
        <v>US_397 USF UPINHA DIA ACS MARIA RITA DA SILVA /CORREGO DO EUCLIDES</v>
      </c>
      <c r="H190" s="27">
        <f>IFERROR(__xludf.DUMMYFUNCTION("""COMPUTED_VALUE"""),81994721467)</f>
        <v>81994721467</v>
      </c>
      <c r="I190" s="11"/>
      <c r="J190" s="11"/>
      <c r="K190" s="24">
        <f>IFERROR(__xludf.DUMMYFUNCTION("""COMPUTED_VALUE"""),45366)</f>
        <v>45366</v>
      </c>
      <c r="L190" s="11"/>
      <c r="M190" s="11"/>
      <c r="N190" s="11" t="str">
        <f>IFERROR(__xludf.DUMMYFUNCTION("""COMPUTED_VALUE"""),"bludimila24@gmail.com")</f>
        <v>bludimila24@gmail.com</v>
      </c>
      <c r="O190" s="11"/>
      <c r="P190" s="11"/>
      <c r="Q190" s="11"/>
      <c r="R190" s="11"/>
      <c r="S190" s="11"/>
      <c r="T190" s="11"/>
      <c r="U190" s="11"/>
      <c r="V190" s="11"/>
      <c r="W190" s="11"/>
      <c r="X190" s="11"/>
      <c r="Y190" s="11"/>
      <c r="Z190" s="11"/>
    </row>
    <row r="191" customHeight="1" spans="1:26">
      <c r="A191" s="11" t="str">
        <f>IFERROR(__xludf.DUMMYFUNCTION("""COMPUTED_VALUE"""),"Giovanna de Brito Silva")</f>
        <v>Giovanna de Brito Silva</v>
      </c>
      <c r="B191" s="11"/>
      <c r="C191" s="11"/>
      <c r="D191" s="11" t="str">
        <f>IFERROR(__xludf.DUMMYFUNCTION("""COMPUTED_VALUE"""),"MÉDICA")</f>
        <v>MÉDICA</v>
      </c>
      <c r="E191" s="11" t="str">
        <f>IFERROR(__xludf.DUMMYFUNCTION("""COMPUTED_VALUE"""),"III")</f>
        <v>III</v>
      </c>
      <c r="F191" s="11" t="str">
        <f>IFERROR(__xludf.DUMMYFUNCTION("""COMPUTED_VALUE"""),"US_397 USF UPINHA DIA ACS MARIA RITA DA SILVA /CORREGO DO EUCLIDES")</f>
        <v>US_397 USF UPINHA DIA ACS MARIA RITA DA SILVA /CORREGO DO EUCLIDES</v>
      </c>
      <c r="G191" s="11" t="str">
        <f>IFERROR(__xludf.DUMMYFUNCTION("""COMPUTED_VALUE"""),"US_397 USF UPINHA DIA ACS MARIA RITA DA SILVA /CORREGO DO EUCLIDES")</f>
        <v>US_397 USF UPINHA DIA ACS MARIA RITA DA SILVA /CORREGO DO EUCLIDES</v>
      </c>
      <c r="H191" s="27">
        <f>IFERROR(__xludf.DUMMYFUNCTION("""COMPUTED_VALUE"""),81999940524)</f>
        <v>81999940524</v>
      </c>
      <c r="I191" s="11"/>
      <c r="J191" s="11"/>
      <c r="K191" s="24">
        <f>IFERROR(__xludf.DUMMYFUNCTION("""COMPUTED_VALUE"""),45358)</f>
        <v>45358</v>
      </c>
      <c r="L191" s="11"/>
      <c r="M191" s="11"/>
      <c r="N191" s="11"/>
      <c r="O191" s="11"/>
      <c r="P191" s="11"/>
      <c r="Q191" s="11"/>
      <c r="R191" s="11"/>
      <c r="S191" s="11"/>
      <c r="T191" s="11"/>
      <c r="U191" s="11"/>
      <c r="V191" s="11"/>
      <c r="W191" s="11"/>
      <c r="X191" s="11"/>
      <c r="Y191" s="11"/>
      <c r="Z191" s="11"/>
    </row>
    <row r="192" customHeight="1" spans="1:26">
      <c r="A192" s="11" t="str">
        <f>IFERROR(__xludf.DUMMYFUNCTION("""COMPUTED_VALUE"""),"ADRIANO ALBUQUERQUE GOMES DE SÁ")</f>
        <v>ADRIANO ALBUQUERQUE GOMES DE SÁ</v>
      </c>
      <c r="B192" s="11"/>
      <c r="C192" s="11"/>
      <c r="D192" s="11" t="str">
        <f>IFERROR(__xludf.DUMMYFUNCTION("""COMPUTED_VALUE"""),"Médico Residente")</f>
        <v>Médico Residente</v>
      </c>
      <c r="E192" s="11" t="str">
        <f>IFERROR(__xludf.DUMMYFUNCTION("""COMPUTED_VALUE"""),"III")</f>
        <v>III</v>
      </c>
      <c r="F192" s="11" t="str">
        <f>IFERROR(__xludf.DUMMYFUNCTION("""COMPUTED_VALUE"""),"US_397 USF UPINHA DIA ACS MARIA RITA DA SILVA /CORREGO DO EUCLIDES")</f>
        <v>US_397 USF UPINHA DIA ACS MARIA RITA DA SILVA /CORREGO DO EUCLIDES</v>
      </c>
      <c r="G192" s="11" t="str">
        <f>IFERROR(__xludf.DUMMYFUNCTION("""COMPUTED_VALUE"""),"US_397 USF UPINHA DIA ACS MARIA RITA DA SILVA /CORREGO DO EUCLIDES")</f>
        <v>US_397 USF UPINHA DIA ACS MARIA RITA DA SILVA /CORREGO DO EUCLIDES</v>
      </c>
      <c r="H192" s="27">
        <f>IFERROR(__xludf.DUMMYFUNCTION("""COMPUTED_VALUE"""),81997882400)</f>
        <v>81997882400</v>
      </c>
      <c r="I192" s="11"/>
      <c r="J192" s="11"/>
      <c r="K192" s="11"/>
      <c r="L192" s="11"/>
      <c r="M192" s="11"/>
      <c r="N192" s="11"/>
      <c r="O192" s="11"/>
      <c r="P192" s="11"/>
      <c r="Q192" s="11"/>
      <c r="R192" s="11"/>
      <c r="S192" s="11"/>
      <c r="T192" s="11"/>
      <c r="U192" s="11"/>
      <c r="V192" s="11"/>
      <c r="W192" s="11"/>
      <c r="X192" s="11"/>
      <c r="Y192" s="11"/>
      <c r="Z192" s="11"/>
    </row>
    <row r="193" customHeight="1" spans="1:26">
      <c r="A193" s="11" t="str">
        <f>IFERROR(__xludf.DUMMYFUNCTION("""COMPUTED_VALUE"""),"LUIZA GURGEL")</f>
        <v>LUIZA GURGEL</v>
      </c>
      <c r="B193" s="11"/>
      <c r="C193" s="11"/>
      <c r="D193" s="11" t="str">
        <f>IFERROR(__xludf.DUMMYFUNCTION("""COMPUTED_VALUE"""),"Médico Residente")</f>
        <v>Médico Residente</v>
      </c>
      <c r="E193" s="11" t="str">
        <f>IFERROR(__xludf.DUMMYFUNCTION("""COMPUTED_VALUE"""),"VII")</f>
        <v>VII</v>
      </c>
      <c r="F193" s="11" t="str">
        <f>IFERROR(__xludf.DUMMYFUNCTION("""COMPUTED_VALUE"""),"US 397 USF UPINHA DIA CORREGO DO EUCLIDES")</f>
        <v>US 397 USF UPINHA DIA CORREGO DO EUCLIDES</v>
      </c>
      <c r="G193" s="11" t="str">
        <f>IFERROR(__xludf.DUMMYFUNCTION("""COMPUTED_VALUE"""),"US 397 USF UPINHA DIA CORREGO DO EUCLIDES")</f>
        <v>US 397 USF UPINHA DIA CORREGO DO EUCLIDES</v>
      </c>
      <c r="H193" s="27">
        <f>IFERROR(__xludf.DUMMYFUNCTION("""COMPUTED_VALUE"""),81999690324)</f>
        <v>81999690324</v>
      </c>
      <c r="I193" s="11"/>
      <c r="J193" s="11"/>
      <c r="K193" s="11"/>
      <c r="L193" s="11"/>
      <c r="M193" s="11"/>
      <c r="N193" s="11"/>
      <c r="O193" s="11"/>
      <c r="P193" s="11"/>
      <c r="Q193" s="11"/>
      <c r="R193" s="11"/>
      <c r="S193" s="11"/>
      <c r="T193" s="11"/>
      <c r="U193" s="11"/>
      <c r="V193" s="11"/>
      <c r="W193" s="11"/>
      <c r="X193" s="11"/>
      <c r="Y193" s="11"/>
      <c r="Z193" s="11"/>
    </row>
    <row r="194" customHeight="1" spans="1:26">
      <c r="A194" s="11" t="str">
        <f>IFERROR(__xludf.DUMMYFUNCTION("""COMPUTED_VALUE"""),"AYRON PERICLES LIMA LEAL NETO")</f>
        <v>AYRON PERICLES LIMA LEAL NETO</v>
      </c>
      <c r="B194" s="11"/>
      <c r="C194" s="11"/>
      <c r="D194" s="11" t="str">
        <f>IFERROR(__xludf.DUMMYFUNCTION("""COMPUTED_VALUE"""),"Médico eSF")</f>
        <v>Médico eSF</v>
      </c>
      <c r="E194" s="11" t="str">
        <f>IFERROR(__xludf.DUMMYFUNCTION("""COMPUTED_VALUE"""),"VII")</f>
        <v>VII</v>
      </c>
      <c r="F194" s="11" t="str">
        <f>IFERROR(__xludf.DUMMYFUNCTION("""COMPUTED_VALUE"""),"US_153 POLICLINICA E MATERNIDADE ARNALDO MARQUES")</f>
        <v>US_153 POLICLINICA E MATERNIDADE ARNALDO MARQUES</v>
      </c>
      <c r="G194" s="11" t="str">
        <f>IFERROR(__xludf.DUMMYFUNCTION("""COMPUTED_VALUE"""),"US 397 USF UPINHA DIA CORREGO DO EUCLIDES")</f>
        <v>US 397 USF UPINHA DIA CORREGO DO EUCLIDES</v>
      </c>
      <c r="H194" s="27">
        <f>IFERROR(__xludf.DUMMYFUNCTION("""COMPUTED_VALUE"""),81988010809)</f>
        <v>81988010809</v>
      </c>
      <c r="I194" s="11"/>
      <c r="J194" s="11"/>
      <c r="K194" s="11"/>
      <c r="L194" s="11"/>
      <c r="M194" s="28" t="str">
        <f>IFERROR(__xludf.DUMMYFUNCTION("""COMPUTED_VALUE"""),"3355-6037")</f>
        <v>3355-6037</v>
      </c>
      <c r="N194" s="11" t="str">
        <f>IFERROR(__xludf.DUMMYFUNCTION("""COMPUTED_VALUE"""),"ayronleal@hotmail.com")</f>
        <v>ayronleal@hotmail.com</v>
      </c>
      <c r="O194" s="29">
        <f>IFERROR(__xludf.DUMMYFUNCTION("""COMPUTED_VALUE"""),6823317400)</f>
        <v>6823317400</v>
      </c>
      <c r="P194" s="30" t="str">
        <f>IFERROR(__xludf.DUMMYFUNCTION("""COMPUTED_VALUE"""),"702606278397043")</f>
        <v>702606278397043</v>
      </c>
      <c r="Q194" s="30" t="str">
        <f>IFERROR(__xludf.DUMMYFUNCTION("""COMPUTED_VALUE"""),"7563736")</f>
        <v>7563736</v>
      </c>
      <c r="R194" s="30" t="str">
        <f>IFERROR(__xludf.DUMMYFUNCTION("""COMPUTED_VALUE"""),"0001556150")</f>
        <v>0001556150</v>
      </c>
      <c r="S194" s="30" t="str">
        <f>IFERROR(__xludf.DUMMYFUNCTION("""COMPUTED_VALUE"""),"1")</f>
        <v>1</v>
      </c>
      <c r="T194" s="30" t="str">
        <f>IFERROR(__xludf.DUMMYFUNCTION("""COMPUTED_VALUE"""),"225142")</f>
        <v>225142</v>
      </c>
      <c r="U194" s="31" t="str">
        <f>IFERROR(__xludf.DUMMYFUNCTION("""COMPUTED_VALUE"""),"2251")</f>
        <v>2251</v>
      </c>
      <c r="V194" s="11"/>
      <c r="W194" s="11"/>
      <c r="X194" s="11"/>
      <c r="Y194" s="11"/>
      <c r="Z194" s="11"/>
    </row>
    <row r="195" customHeight="1" spans="1:26">
      <c r="A195" s="11" t="str">
        <f>IFERROR(__xludf.DUMMYFUNCTION("""COMPUTED_VALUE"""),"JOANA CARLA GOMES DA SILVA")</f>
        <v>JOANA CARLA GOMES DA SILVA</v>
      </c>
      <c r="B195" s="11"/>
      <c r="C195" s="11"/>
      <c r="D195" s="11" t="str">
        <f>IFERROR(__xludf.DUMMYFUNCTION("""COMPUTED_VALUE"""),"Enfermeira")</f>
        <v>Enfermeira</v>
      </c>
      <c r="E195" s="11" t="str">
        <f>IFERROR(__xludf.DUMMYFUNCTION("""COMPUTED_VALUE"""),"V")</f>
        <v>V</v>
      </c>
      <c r="F195" s="11" t="str">
        <f>IFERROR(__xludf.DUMMYFUNCTION("""COMPUTED_VALUE"""),"US_230 USF LAGOA ENCANTADA")</f>
        <v>US_230 USF LAGOA ENCANTADA</v>
      </c>
      <c r="G195" s="11" t="str">
        <f>IFERROR(__xludf.DUMMYFUNCTION("""COMPUTED_VALUE"""),"US 300 USF DR GERALDO BARRETO CAMPELO SAN MARTIN")</f>
        <v>US 300 USF DR GERALDO BARRETO CAMPELO SAN MARTIN</v>
      </c>
      <c r="H195" s="27">
        <f>IFERROR(__xludf.DUMMYFUNCTION("""COMPUTED_VALUE"""),81988615337)</f>
        <v>81988615337</v>
      </c>
      <c r="I195" s="11"/>
      <c r="J195" s="11"/>
      <c r="K195" s="11"/>
      <c r="L195" s="11"/>
      <c r="M195" s="28" t="str">
        <f>IFERROR(__xludf.DUMMYFUNCTION("""COMPUTED_VALUE"""),"3355-6126")</f>
        <v>3355-6126</v>
      </c>
      <c r="N195" s="11" t="str">
        <f>IFERROR(__xludf.DUMMYFUNCTION("""COMPUTED_VALUE"""),"jojocgs!hotmail.com")</f>
        <v>jojocgs!hotmail.com</v>
      </c>
      <c r="O195" s="29">
        <f>IFERROR(__xludf.DUMMYFUNCTION("""COMPUTED_VALUE"""),10169461475)</f>
        <v>10169461475</v>
      </c>
      <c r="P195" s="30" t="str">
        <f>IFERROR(__xludf.DUMMYFUNCTION("""COMPUTED_VALUE"""),"704602194502221")</f>
        <v>704602194502221</v>
      </c>
      <c r="Q195" s="30" t="str">
        <f>IFERROR(__xludf.DUMMYFUNCTION("""COMPUTED_VALUE"""),"3131521")</f>
        <v>3131521</v>
      </c>
      <c r="R195" s="11"/>
      <c r="S195" s="30" t="str">
        <f>IFERROR(__xludf.DUMMYFUNCTION("""COMPUTED_VALUE"""),"1")</f>
        <v>1</v>
      </c>
      <c r="T195" s="30" t="str">
        <f>IFERROR(__xludf.DUMMYFUNCTION("""COMPUTED_VALUE"""),"223565")</f>
        <v>223565</v>
      </c>
      <c r="U195" s="31" t="str">
        <f>IFERROR(__xludf.DUMMYFUNCTION("""COMPUTED_VALUE"""),"2235")</f>
        <v>2235</v>
      </c>
      <c r="V195" s="11"/>
      <c r="W195" s="11"/>
      <c r="X195" s="11"/>
      <c r="Y195" s="11"/>
      <c r="Z195" s="11"/>
    </row>
    <row r="196" customHeight="1" spans="1:26">
      <c r="A196" s="11" t="str">
        <f>IFERROR(__xludf.DUMMYFUNCTION("""COMPUTED_VALUE"""),"LUISA DE CASTRO CORREIA")</f>
        <v>LUISA DE CASTRO CORREIA</v>
      </c>
      <c r="B196" s="11"/>
      <c r="C196" s="11"/>
      <c r="D196" s="11" t="str">
        <f>IFERROR(__xludf.DUMMYFUNCTION("""COMPUTED_VALUE"""),"Médica Residente")</f>
        <v>Médica Residente</v>
      </c>
      <c r="E196" s="11" t="str">
        <f>IFERROR(__xludf.DUMMYFUNCTION("""COMPUTED_VALUE"""),"IV")</f>
        <v>IV</v>
      </c>
      <c r="F196" s="11" t="str">
        <f>IFERROR(__xludf.DUMMYFUNCTION("""COMPUTED_VALUE"""),"US_442 USF UPINHA DIA SANTA LUZIA EMOCY KRAUSE")</f>
        <v>US_442 USF UPINHA DIA SANTA LUZIA EMOCY KRAUSE</v>
      </c>
      <c r="G196" s="11" t="str">
        <f>IFERROR(__xludf.DUMMYFUNCTION("""COMPUTED_VALUE"""),"US 331 USF PROF AMAURY DE MEDEIROS")</f>
        <v>US 331 USF PROF AMAURY DE MEDEIROS</v>
      </c>
      <c r="H196" s="27">
        <f>IFERROR(__xludf.DUMMYFUNCTION("""COMPUTED_VALUE"""),81996097774)</f>
        <v>81996097774</v>
      </c>
      <c r="I196" s="11"/>
      <c r="J196" s="11"/>
      <c r="K196" s="11"/>
      <c r="L196" s="11"/>
      <c r="M196" s="28" t="str">
        <f>IFERROR(__xludf.DUMMYFUNCTION("""COMPUTED_VALUE"""),"3355-0308/0309")</f>
        <v>3355-0308/0309</v>
      </c>
      <c r="N196" s="11" t="str">
        <f>IFERROR(__xludf.DUMMYFUNCTION("""COMPUTED_VALUE"""),"luisaccoreia@yahoo.com.br")</f>
        <v>luisaccoreia@yahoo.com.br</v>
      </c>
      <c r="O196" s="29">
        <f>IFERROR(__xludf.DUMMYFUNCTION("""COMPUTED_VALUE"""),8956186480)</f>
        <v>8956186480</v>
      </c>
      <c r="P196" s="30" t="str">
        <f>IFERROR(__xludf.DUMMYFUNCTION("""COMPUTED_VALUE"""),"704501377391615")</f>
        <v>704501377391615</v>
      </c>
      <c r="Q196" s="30" t="str">
        <f>IFERROR(__xludf.DUMMYFUNCTION("""COMPUTED_VALUE"""),"3703223")</f>
        <v>3703223</v>
      </c>
      <c r="R196" s="30" t="str">
        <f>IFERROR(__xludf.DUMMYFUNCTION("""COMPUTED_VALUE"""),"0000155705")</f>
        <v>0000155705</v>
      </c>
      <c r="S196" s="30" t="str">
        <f>IFERROR(__xludf.DUMMYFUNCTION("""COMPUTED_VALUE"""),"1")</f>
        <v>1</v>
      </c>
      <c r="T196" s="30" t="str">
        <f>IFERROR(__xludf.DUMMYFUNCTION("""COMPUTED_VALUE"""),"225142")</f>
        <v>225142</v>
      </c>
      <c r="U196" s="11">
        <f>IFERROR(__xludf.DUMMYFUNCTION("""COMPUTED_VALUE"""),2251)</f>
        <v>2251</v>
      </c>
      <c r="V196" s="11"/>
      <c r="W196" s="11"/>
      <c r="X196" s="11"/>
      <c r="Y196" s="11"/>
      <c r="Z196" s="11"/>
    </row>
    <row r="197" customHeight="1" spans="1:26">
      <c r="A197" s="11" t="str">
        <f>IFERROR(__xludf.DUMMYFUNCTION("""COMPUTED_VALUE"""),"SIMONE RODRIGUES PEREIRA DA SILVA")</f>
        <v>SIMONE RODRIGUES PEREIRA DA SILVA</v>
      </c>
      <c r="B197" s="11"/>
      <c r="C197" s="11"/>
      <c r="D197" s="11" t="str">
        <f>IFERROR(__xludf.DUMMYFUNCTION("""COMPUTED_VALUE"""),"Enfermeira")</f>
        <v>Enfermeira</v>
      </c>
      <c r="E197" s="11" t="str">
        <f>IFERROR(__xludf.DUMMYFUNCTION("""COMPUTED_VALUE"""),"V")</f>
        <v>V</v>
      </c>
      <c r="F197" s="11" t="str">
        <f>IFERROR(__xludf.DUMMYFUNCTION("""COMPUTED_VALUE"""),"US_128 POLICLINICA LESSA DE ANDRADE")</f>
        <v>US_128 POLICLINICA LESSA DE ANDRADE</v>
      </c>
      <c r="G197" s="11" t="str">
        <f>IFERROR(__xludf.DUMMYFUNCTION("""COMPUTED_VALUE"""),"US 158 CS PAM CEASA")</f>
        <v>US 158 CS PAM CEASA</v>
      </c>
      <c r="H197" s="27">
        <f>IFERROR(__xludf.DUMMYFUNCTION("""COMPUTED_VALUE"""),81996218602)</f>
        <v>81996218602</v>
      </c>
      <c r="I197" s="11"/>
      <c r="J197" s="11"/>
      <c r="K197" s="11"/>
      <c r="L197" s="11"/>
      <c r="M197" s="28" t="str">
        <f>IFERROR(__xludf.DUMMYFUNCTION("""COMPUTED_VALUE"""),"3355-0090")</f>
        <v>3355-0090</v>
      </c>
      <c r="N197" s="11" t="str">
        <f>IFERROR(__xludf.DUMMYFUNCTION("""COMPUTED_VALUE"""),"simonerps@hotmail.com")</f>
        <v>simonerps@hotmail.com</v>
      </c>
      <c r="O197" s="29">
        <f>IFERROR(__xludf.DUMMYFUNCTION("""COMPUTED_VALUE"""),5622160499)</f>
        <v>5622160499</v>
      </c>
      <c r="P197" s="30" t="str">
        <f>IFERROR(__xludf.DUMMYFUNCTION("""COMPUTED_VALUE"""),"980016288498292")</f>
        <v>980016288498292</v>
      </c>
      <c r="Q197" s="30" t="str">
        <f>IFERROR(__xludf.DUMMYFUNCTION("""COMPUTED_VALUE"""),"0001368")</f>
        <v>0001368</v>
      </c>
      <c r="R197" s="30" t="str">
        <f>IFERROR(__xludf.DUMMYFUNCTION("""COMPUTED_VALUE"""),"9000136804")</f>
        <v>9000136804</v>
      </c>
      <c r="S197" s="30" t="str">
        <f>IFERROR(__xludf.DUMMYFUNCTION("""COMPUTED_VALUE"""),"1")</f>
        <v>1</v>
      </c>
      <c r="T197" s="30" t="str">
        <f>IFERROR(__xludf.DUMMYFUNCTION("""COMPUTED_VALUE"""),"223565")</f>
        <v>223565</v>
      </c>
      <c r="U197" s="31" t="str">
        <f>IFERROR(__xludf.DUMMYFUNCTION("""COMPUTED_VALUE"""),"2235")</f>
        <v>2235</v>
      </c>
      <c r="V197" s="11"/>
      <c r="W197" s="11"/>
      <c r="X197" s="11"/>
      <c r="Y197" s="11"/>
      <c r="Z197" s="11"/>
    </row>
    <row r="198" customHeight="1" spans="1:26">
      <c r="A198" s="11" t="str">
        <f>IFERROR(__xludf.DUMMYFUNCTION("""COMPUTED_VALUE"""),"RAQUELL ALVES DE ARAUJO")</f>
        <v>RAQUELL ALVES DE ARAUJO</v>
      </c>
      <c r="B198" s="11"/>
      <c r="C198" s="11"/>
      <c r="D198" s="11" t="str">
        <f>IFERROR(__xludf.DUMMYFUNCTION("""COMPUTED_VALUE"""),"Médica eSF")</f>
        <v>Médica eSF</v>
      </c>
      <c r="E198" s="11" t="str">
        <f>IFERROR(__xludf.DUMMYFUNCTION("""COMPUTED_VALUE"""),"IV")</f>
        <v>IV</v>
      </c>
      <c r="F198" s="11" t="str">
        <f>IFERROR(__xludf.DUMMYFUNCTION("""COMPUTED_VALUE"""),"US_233 USF VIETNA")</f>
        <v>US_233 USF VIETNA</v>
      </c>
      <c r="G198" s="11" t="str">
        <f>IFERROR(__xludf.DUMMYFUNCTION("""COMPUTED_VALUE"""),"US 233 USF VIETNA")</f>
        <v>US 233 USF VIETNA</v>
      </c>
      <c r="H198" s="27">
        <f>IFERROR(__xludf.DUMMYFUNCTION("""COMPUTED_VALUE"""),81996549156)</f>
        <v>81996549156</v>
      </c>
      <c r="I198" s="11"/>
      <c r="J198" s="11"/>
      <c r="K198" s="11"/>
      <c r="L198" s="11"/>
      <c r="M198" s="28" t="str">
        <f>IFERROR(__xludf.DUMMYFUNCTION("""COMPUTED_VALUE"""),"3355-6806")</f>
        <v>3355-6806</v>
      </c>
      <c r="N198" s="11" t="str">
        <f>IFERROR(__xludf.DUMMYFUNCTION("""COMPUTED_VALUE"""),"raquellcatunda@gmail.com")</f>
        <v>raquellcatunda@gmail.com</v>
      </c>
      <c r="O198" s="29">
        <f>IFERROR(__xludf.DUMMYFUNCTION("""COMPUTED_VALUE"""),99753081391)</f>
        <v>99753081391</v>
      </c>
      <c r="P198" s="30" t="str">
        <f>IFERROR(__xludf.DUMMYFUNCTION("""COMPUTED_VALUE"""),"980016283187981")</f>
        <v>980016283187981</v>
      </c>
      <c r="Q198" s="30" t="str">
        <f>IFERROR(__xludf.DUMMYFUNCTION("""COMPUTED_VALUE"""),"0022322")</f>
        <v>0022322</v>
      </c>
      <c r="R198" s="30" t="str">
        <f>IFERROR(__xludf.DUMMYFUNCTION("""COMPUTED_VALUE"""),"0000153834")</f>
        <v>0000153834</v>
      </c>
      <c r="S198" s="30" t="str">
        <f>IFERROR(__xludf.DUMMYFUNCTION("""COMPUTED_VALUE"""),"3")</f>
        <v>3</v>
      </c>
      <c r="T198" s="30" t="str">
        <f>IFERROR(__xludf.DUMMYFUNCTION("""COMPUTED_VALUE"""),"225142")</f>
        <v>225142</v>
      </c>
      <c r="U198" s="31" t="str">
        <f>IFERROR(__xludf.DUMMYFUNCTION("""COMPUTED_VALUE"""),"2251")</f>
        <v>2251</v>
      </c>
      <c r="V198" s="11" t="str">
        <f>IFERROR(__xludf.DUMMYFUNCTION("""COMPUTED_VALUE"""),"SIM")</f>
        <v>SIM</v>
      </c>
      <c r="W198" s="11"/>
      <c r="X198" s="11">
        <f>IFERROR(__xludf.DUMMYFUNCTION("""COMPUTED_VALUE"""),8196549156)</f>
        <v>8196549156</v>
      </c>
      <c r="Y198" s="11"/>
      <c r="Z198" s="11">
        <f>IFERROR(__xludf.DUMMYFUNCTION("""COMPUTED_VALUE"""),99753081391)</f>
        <v>99753081391</v>
      </c>
    </row>
    <row r="199" customHeight="1" spans="1:26">
      <c r="A199" s="11" t="str">
        <f>IFERROR(__xludf.DUMMYFUNCTION("""COMPUTED_VALUE"""),"RAFAEL BEZERRA TORRES")</f>
        <v>RAFAEL BEZERRA TORRES</v>
      </c>
      <c r="B199" s="11"/>
      <c r="C199" s="11"/>
      <c r="D199" s="11" t="str">
        <f>IFERROR(__xludf.DUMMYFUNCTION("""COMPUTED_VALUE"""),"Médico Clínico")</f>
        <v>Médico Clínico</v>
      </c>
      <c r="E199" s="11" t="str">
        <f>IFERROR(__xludf.DUMMYFUNCTION("""COMPUTED_VALUE"""),"VII")</f>
        <v>VII</v>
      </c>
      <c r="F199" s="11" t="str">
        <f>IFERROR(__xludf.DUMMYFUNCTION("""COMPUTED_VALUE"""),"US_120 CS MARIO MONTEIRO MELO")</f>
        <v>US_120 CS MARIO MONTEIRO MELO</v>
      </c>
      <c r="G199" s="11" t="str">
        <f>IFERROR(__xludf.DUMMYFUNCTION("""COMPUTED_VALUE"""),"US 120 CS MARIO MONTEIRO MELO")</f>
        <v>US 120 CS MARIO MONTEIRO MELO</v>
      </c>
      <c r="H199" s="27">
        <f>IFERROR(__xludf.DUMMYFUNCTION("""COMPUTED_VALUE"""),81996730796)</f>
        <v>81996730796</v>
      </c>
      <c r="I199" s="11"/>
      <c r="J199" s="11"/>
      <c r="K199" s="11"/>
      <c r="L199" s="11"/>
      <c r="M199" s="28" t="str">
        <f>IFERROR(__xludf.DUMMYFUNCTION("""COMPUTED_VALUE"""),"3355-4385")</f>
        <v>3355-4385</v>
      </c>
      <c r="N199" s="11" t="str">
        <f>IFERROR(__xludf.DUMMYFUNCTION("""COMPUTED_VALUE"""),"rafael_kane@hotmail.com")</f>
        <v>rafael_kane@hotmail.com</v>
      </c>
      <c r="O199" s="29">
        <f>IFERROR(__xludf.DUMMYFUNCTION("""COMPUTED_VALUE"""),4151187430)</f>
        <v>4151187430</v>
      </c>
      <c r="P199" s="30" t="str">
        <f>IFERROR(__xludf.DUMMYFUNCTION("""COMPUTED_VALUE"""),"980016293863726")</f>
        <v>980016293863726</v>
      </c>
      <c r="Q199" s="30" t="str">
        <f>IFERROR(__xludf.DUMMYFUNCTION("""COMPUTED_VALUE"""),"0001317")</f>
        <v>0001317</v>
      </c>
      <c r="R199" s="11"/>
      <c r="S199" s="30" t="str">
        <f>IFERROR(__xludf.DUMMYFUNCTION("""COMPUTED_VALUE"""),"1")</f>
        <v>1</v>
      </c>
      <c r="T199" s="30" t="str">
        <f>IFERROR(__xludf.DUMMYFUNCTION("""COMPUTED_VALUE"""),"225125")</f>
        <v>225125</v>
      </c>
      <c r="U199" s="31">
        <f>IFERROR(__xludf.DUMMYFUNCTION("""COMPUTED_VALUE"""),2251)</f>
        <v>2251</v>
      </c>
      <c r="V199" s="11"/>
      <c r="W199" s="30" t="str">
        <f>IFERROR(__xludf.DUMMYFUNCTION("""COMPUTED_VALUE"""),"07/05/1951")</f>
        <v>07/05/1951</v>
      </c>
      <c r="X199" s="11" t="str">
        <f>IFERROR(__xludf.DUMMYFUNCTION("""COMPUTED_VALUE"""),"#N/A")</f>
        <v>#N/A</v>
      </c>
      <c r="Y199" s="11" t="str">
        <f>IFERROR(__xludf.DUMMYFUNCTION("""COMPUTED_VALUE"""),"#N/A")</f>
        <v>#N/A</v>
      </c>
      <c r="Z199" s="11" t="str">
        <f>IFERROR(__xludf.DUMMYFUNCTION("""COMPUTED_VALUE"""),"#N/A")</f>
        <v>#N/A</v>
      </c>
    </row>
    <row r="200" customHeight="1" spans="1:26">
      <c r="A200" s="11" t="str">
        <f>IFERROR(__xludf.DUMMYFUNCTION("""COMPUTED_VALUE"""),"GESERREE RIBEIRO DO NASCIMENTO")</f>
        <v>GESERREE RIBEIRO DO NASCIMENTO</v>
      </c>
      <c r="B200" s="11"/>
      <c r="C200" s="11"/>
      <c r="D200" s="11" t="str">
        <f>IFERROR(__xludf.DUMMYFUNCTION("""COMPUTED_VALUE"""),"Enfermeira")</f>
        <v>Enfermeira</v>
      </c>
      <c r="E200" s="11" t="str">
        <f>IFERROR(__xludf.DUMMYFUNCTION("""COMPUTED_VALUE"""),"VII")</f>
        <v>VII</v>
      </c>
      <c r="F200" s="11" t="str">
        <f>IFERROR(__xludf.DUMMYFUNCTION("""COMPUTED_VALUE"""),"US_401 USF UPINHA 24H GOVERNADOR EDUARDO CAMPOS")</f>
        <v>US_401 USF UPINHA 24H GOVERNADOR EDUARDO CAMPOS</v>
      </c>
      <c r="G200" s="11" t="str">
        <f>IFERROR(__xludf.DUMMYFUNCTION("""COMPUTED_VALUE"""),"US 120 CS MARIO MONTEIRO MELO")</f>
        <v>US 120 CS MARIO MONTEIRO MELO</v>
      </c>
      <c r="H200" s="27">
        <f>IFERROR(__xludf.DUMMYFUNCTION("""COMPUTED_VALUE"""),81996757345)</f>
        <v>81996757345</v>
      </c>
      <c r="I200" s="27">
        <f>IFERROR(__xludf.DUMMYFUNCTION("""COMPUTED_VALUE"""),81987257494)</f>
        <v>81987257494</v>
      </c>
      <c r="J200" s="11"/>
      <c r="K200" s="11"/>
      <c r="L200" s="11"/>
      <c r="M200" s="28" t="str">
        <f>IFERROR(__xludf.DUMMYFUNCTION("""COMPUTED_VALUE"""),"3355-4385")</f>
        <v>3355-4385</v>
      </c>
      <c r="N200" s="11" t="str">
        <f>IFERROR(__xludf.DUMMYFUNCTION("""COMPUTED_VALUE"""),"gabisalubanDEira@yahoo.com.br")</f>
        <v>gabisalubanDEira@yahoo.com.br</v>
      </c>
      <c r="O200" s="29">
        <f>IFERROR(__xludf.DUMMYFUNCTION("""COMPUTED_VALUE"""),9064679428)</f>
        <v>9064679428</v>
      </c>
      <c r="P200" s="30" t="str">
        <f>IFERROR(__xludf.DUMMYFUNCTION("""COMPUTED_VALUE"""),"704808525113948")</f>
        <v>704808525113948</v>
      </c>
      <c r="Q200" s="30" t="str">
        <f>IFERROR(__xludf.DUMMYFUNCTION("""COMPUTED_VALUE"""),"0001317")</f>
        <v>0001317</v>
      </c>
      <c r="R200" s="11"/>
      <c r="S200" s="30" t="str">
        <f>IFERROR(__xludf.DUMMYFUNCTION("""COMPUTED_VALUE"""),"1")</f>
        <v>1</v>
      </c>
      <c r="T200" s="30" t="str">
        <f>IFERROR(__xludf.DUMMYFUNCTION("""COMPUTED_VALUE"""),"223565")</f>
        <v>223565</v>
      </c>
      <c r="U200" s="31" t="str">
        <f>IFERROR(__xludf.DUMMYFUNCTION("""COMPUTED_VALUE"""),"2235")</f>
        <v>2235</v>
      </c>
      <c r="V200" s="11"/>
      <c r="W200" s="11"/>
      <c r="X200" s="11"/>
      <c r="Y200" s="11"/>
      <c r="Z200" s="11"/>
    </row>
    <row r="201" customHeight="1" spans="1:26">
      <c r="A201" s="11" t="str">
        <f>IFERROR(__xludf.DUMMYFUNCTION("""COMPUTED_VALUE"""),"GESERREE RIBEIRO DO NASCIMENTO")</f>
        <v>GESERREE RIBEIRO DO NASCIMENTO</v>
      </c>
      <c r="B201" s="11"/>
      <c r="C201" s="11"/>
      <c r="D201" s="11" t="str">
        <f>IFERROR(__xludf.DUMMYFUNCTION("""COMPUTED_VALUE"""),"Enfermeira")</f>
        <v>Enfermeira</v>
      </c>
      <c r="E201" s="11" t="str">
        <f>IFERROR(__xludf.DUMMYFUNCTION("""COMPUTED_VALUE"""),"VII")</f>
        <v>VII</v>
      </c>
      <c r="F201" s="11" t="str">
        <f>IFERROR(__xludf.DUMMYFUNCTION("""COMPUTED_VALUE"""),"US_401 USF UPINHA 24H GOVERNADOR EDUARDO CAMPOS")</f>
        <v>US_401 USF UPINHA 24H GOVERNADOR EDUARDO CAMPOS</v>
      </c>
      <c r="G201" s="11" t="str">
        <f>IFERROR(__xludf.DUMMYFUNCTION("""COMPUTED_VALUE"""),"US 183 USF SITIO DOS MACACOS")</f>
        <v>US 183 USF SITIO DOS MACACOS</v>
      </c>
      <c r="H201" s="27">
        <f>IFERROR(__xludf.DUMMYFUNCTION("""COMPUTED_VALUE"""),81996757345)</f>
        <v>81996757345</v>
      </c>
      <c r="I201" s="27">
        <f>IFERROR(__xludf.DUMMYFUNCTION("""COMPUTED_VALUE"""),81987257494)</f>
        <v>81987257494</v>
      </c>
      <c r="J201" s="11"/>
      <c r="K201" s="11"/>
      <c r="L201" s="11"/>
      <c r="M201" s="28" t="str">
        <f>IFERROR(__xludf.DUMMYFUNCTION("""COMPUTED_VALUE"""),"3355-0021")</f>
        <v>3355-0021</v>
      </c>
      <c r="N201" s="11" t="str">
        <f>IFERROR(__xludf.DUMMYFUNCTION("""COMPUTED_VALUE"""),"geserreeribeiro@gmail.com")</f>
        <v>geserreeribeiro@gmail.com</v>
      </c>
      <c r="O201" s="29">
        <f>IFERROR(__xludf.DUMMYFUNCTION("""COMPUTED_VALUE"""),9064679428)</f>
        <v>9064679428</v>
      </c>
      <c r="P201" s="30" t="str">
        <f>IFERROR(__xludf.DUMMYFUNCTION("""COMPUTED_VALUE"""),"704808525113948")</f>
        <v>704808525113948</v>
      </c>
      <c r="Q201" s="30" t="str">
        <f>IFERROR(__xludf.DUMMYFUNCTION("""COMPUTED_VALUE"""),"0002097")</f>
        <v>0002097</v>
      </c>
      <c r="R201" s="11"/>
      <c r="S201" s="30" t="str">
        <f>IFERROR(__xludf.DUMMYFUNCTION("""COMPUTED_VALUE"""),"1")</f>
        <v>1</v>
      </c>
      <c r="T201" s="30" t="str">
        <f>IFERROR(__xludf.DUMMYFUNCTION("""COMPUTED_VALUE"""),"223565")</f>
        <v>223565</v>
      </c>
      <c r="U201" s="31" t="str">
        <f>IFERROR(__xludf.DUMMYFUNCTION("""COMPUTED_VALUE"""),"2235")</f>
        <v>2235</v>
      </c>
      <c r="V201" s="11"/>
      <c r="W201" s="11"/>
      <c r="X201" s="11"/>
      <c r="Y201" s="11"/>
      <c r="Z201" s="11"/>
    </row>
    <row r="202" customHeight="1" spans="1:26">
      <c r="A202" s="11" t="str">
        <f>IFERROR(__xludf.DUMMYFUNCTION("""COMPUTED_VALUE"""),"ALANIA TALITA LEITE BARROS")</f>
        <v>ALANIA TALITA LEITE BARROS</v>
      </c>
      <c r="B202" s="11"/>
      <c r="C202" s="11"/>
      <c r="D202" s="11" t="str">
        <f>IFERROR(__xludf.DUMMYFUNCTION("""COMPUTED_VALUE"""),"Médica Clínica")</f>
        <v>Médica Clínica</v>
      </c>
      <c r="E202" s="11" t="str">
        <f>IFERROR(__xludf.DUMMYFUNCTION("""COMPUTED_VALUE"""),"VII")</f>
        <v>VII</v>
      </c>
      <c r="F202" s="11" t="str">
        <f>IFERROR(__xludf.DUMMYFUNCTION("""COMPUTED_VALUE"""),"US_152 CS INA ROSA BORGES")</f>
        <v>US_152 CS INA ROSA BORGES</v>
      </c>
      <c r="G202" s="11" t="str">
        <f>IFERROR(__xludf.DUMMYFUNCTION("""COMPUTED_VALUE"""),"US 152 CS INA ROSA BORGES")</f>
        <v>US 152 CS INA ROSA BORGES</v>
      </c>
      <c r="H202" s="11"/>
      <c r="I202" s="11"/>
      <c r="J202" s="11"/>
      <c r="K202" s="11"/>
      <c r="L202" s="11"/>
      <c r="M202" s="28" t="str">
        <f>IFERROR(__xludf.DUMMYFUNCTION("""COMPUTED_VALUE"""),"3355-4408")</f>
        <v>3355-4408</v>
      </c>
      <c r="N202" s="11"/>
      <c r="O202" s="29">
        <f>IFERROR(__xludf.DUMMYFUNCTION("""COMPUTED_VALUE"""),6471195443)</f>
        <v>6471195443</v>
      </c>
      <c r="P202" s="30" t="str">
        <f>IFERROR(__xludf.DUMMYFUNCTION("""COMPUTED_VALUE"""),"704009366588562")</f>
        <v>704009366588562</v>
      </c>
      <c r="Q202" s="30" t="str">
        <f>IFERROR(__xludf.DUMMYFUNCTION("""COMPUTED_VALUE"""),"0001236")</f>
        <v>0001236</v>
      </c>
      <c r="R202" s="11"/>
      <c r="S202" s="30" t="str">
        <f>IFERROR(__xludf.DUMMYFUNCTION("""COMPUTED_VALUE"""),"1")</f>
        <v>1</v>
      </c>
      <c r="T202" s="30" t="str">
        <f>IFERROR(__xludf.DUMMYFUNCTION("""COMPUTED_VALUE"""),"225125")</f>
        <v>225125</v>
      </c>
      <c r="U202" s="31">
        <f>IFERROR(__xludf.DUMMYFUNCTION("""COMPUTED_VALUE"""),2251)</f>
        <v>2251</v>
      </c>
      <c r="V202" s="11"/>
      <c r="W202" s="11"/>
      <c r="X202" s="11"/>
      <c r="Y202" s="11"/>
      <c r="Z202" s="11"/>
    </row>
    <row r="203" customHeight="1" spans="1:26">
      <c r="A203" s="11" t="str">
        <f>IFERROR(__xludf.DUMMYFUNCTION("""COMPUTED_VALUE"""),"BEATRIZ FERRARES PESSOA")</f>
        <v>BEATRIZ FERRARES PESSOA</v>
      </c>
      <c r="B203" s="11"/>
      <c r="C203" s="11"/>
      <c r="D203" s="11" t="str">
        <f>IFERROR(__xludf.DUMMYFUNCTION("""COMPUTED_VALUE"""),"Médica eSF")</f>
        <v>Médica eSF</v>
      </c>
      <c r="E203" s="11" t="str">
        <f>IFERROR(__xludf.DUMMYFUNCTION("""COMPUTED_VALUE"""),"IV")</f>
        <v>IV</v>
      </c>
      <c r="F203" s="11" t="str">
        <f>IFERROR(__xludf.DUMMYFUNCTION("""COMPUTED_VALUE"""),"UPINHA VILA ARRAES ")</f>
        <v>UPINHA VILA ARRAES </v>
      </c>
      <c r="G203" s="11" t="str">
        <f>IFERROR(__xludf.DUMMYFUNCTION("""COMPUTED_VALUE"""),"UPINHA VILA ARRAES ")</f>
        <v>UPINHA VILA ARRAES </v>
      </c>
      <c r="H203" s="27">
        <f>IFERROR(__xludf.DUMMYFUNCTION("""COMPUTED_VALUE"""),81996332633)</f>
        <v>81996332633</v>
      </c>
      <c r="I203" s="11"/>
      <c r="J203" s="11"/>
      <c r="K203" s="11"/>
      <c r="L203" s="11"/>
      <c r="M203" s="11"/>
      <c r="N203" s="11" t="str">
        <f>IFERROR(__xludf.DUMMYFUNCTION("""COMPUTED_VALUE"""),"biaferraresp@gmail.com")</f>
        <v>biaferraresp@gmail.com</v>
      </c>
      <c r="O203" s="11"/>
      <c r="P203" s="11"/>
      <c r="Q203" s="11"/>
      <c r="R203" s="11"/>
      <c r="S203" s="11"/>
      <c r="T203" s="11"/>
      <c r="U203" s="11"/>
      <c r="V203" s="11"/>
      <c r="W203" s="11"/>
      <c r="X203" s="11"/>
      <c r="Y203" s="11"/>
      <c r="Z203" s="11"/>
    </row>
    <row r="204" customHeight="1" spans="1:26">
      <c r="A204" s="11" t="str">
        <f>IFERROR(__xludf.DUMMYFUNCTION("""COMPUTED_VALUE"""),"Ângela Catarina Inácio Costa de Andrade")</f>
        <v>Ângela Catarina Inácio Costa de Andrade</v>
      </c>
      <c r="B204" s="11"/>
      <c r="C204" s="11"/>
      <c r="D204" s="11" t="str">
        <f>IFERROR(__xludf.DUMMYFUNCTION("""COMPUTED_VALUE"""),"Enfermeira")</f>
        <v>Enfermeira</v>
      </c>
      <c r="E204" s="11"/>
      <c r="F204" s="11" t="str">
        <f>IFERROR(__xludf.DUMMYFUNCTION("""COMPUTED_VALUE"""),"US 274 USF TIA REGINA")</f>
        <v>US 274 USF TIA REGINA</v>
      </c>
      <c r="G204" s="11" t="str">
        <f>IFERROR(__xludf.DUMMYFUNCTION("""COMPUTED_VALUE"""),"US 274 USF TIA REGINA")</f>
        <v>US 274 USF TIA REGINA</v>
      </c>
      <c r="H204" s="27">
        <f>IFERROR(__xludf.DUMMYFUNCTION("""COMPUTED_VALUE"""),81987869983)</f>
        <v>81987869983</v>
      </c>
      <c r="I204" s="11"/>
      <c r="J204" s="11"/>
      <c r="K204" s="24">
        <f>IFERROR(__xludf.DUMMYFUNCTION("""COMPUTED_VALUE"""),45364)</f>
        <v>45364</v>
      </c>
      <c r="L204" s="11"/>
      <c r="M204" s="11"/>
      <c r="N204" s="11"/>
      <c r="O204" s="11"/>
      <c r="P204" s="11"/>
      <c r="Q204" s="11"/>
      <c r="R204" s="11"/>
      <c r="S204" s="11"/>
      <c r="T204" s="11"/>
      <c r="U204" s="11"/>
      <c r="V204" s="11"/>
      <c r="W204" s="11"/>
      <c r="X204" s="11"/>
      <c r="Y204" s="11"/>
      <c r="Z204" s="11"/>
    </row>
    <row r="205" customHeight="1" spans="1:26">
      <c r="A205" s="11" t="str">
        <f>IFERROR(__xludf.DUMMYFUNCTION("""COMPUTED_VALUE"""),"AMANA SCHWEIGERT BEZERRA")</f>
        <v>AMANA SCHWEIGERT BEZERRA</v>
      </c>
      <c r="B205" s="11"/>
      <c r="C205" s="11"/>
      <c r="D205" s="11" t="str">
        <f>IFERROR(__xludf.DUMMYFUNCTION("""COMPUTED_VALUE"""),"Médica eSF")</f>
        <v>Médica eSF</v>
      </c>
      <c r="E205" s="11" t="str">
        <f>IFERROR(__xludf.DUMMYFUNCTION("""COMPUTED_VALUE"""),"II")</f>
        <v>II</v>
      </c>
      <c r="F205" s="11" t="str">
        <f>IFERROR(__xludf.DUMMYFUNCTION("""COMPUTED_VALUE"""),"US 274 USF TIA REGINA")</f>
        <v>US 274 USF TIA REGINA</v>
      </c>
      <c r="G205" s="11" t="str">
        <f>IFERROR(__xludf.DUMMYFUNCTION("""COMPUTED_VALUE"""),"US 274 USF TIA REGINA")</f>
        <v>US 274 USF TIA REGINA</v>
      </c>
      <c r="H205" s="27">
        <f>IFERROR(__xludf.DUMMYFUNCTION("""COMPUTED_VALUE"""),81997110233)</f>
        <v>81997110233</v>
      </c>
      <c r="I205" s="11"/>
      <c r="J205" s="11"/>
      <c r="K205" s="11"/>
      <c r="L205" s="11"/>
      <c r="M205" s="11"/>
      <c r="N205" s="11"/>
      <c r="O205" s="29">
        <f>IFERROR(__xludf.DUMMYFUNCTION("""COMPUTED_VALUE"""),8081129456)</f>
        <v>8081129456</v>
      </c>
      <c r="P205" s="11"/>
      <c r="Q205" s="11"/>
      <c r="R205" s="11"/>
      <c r="S205" s="11"/>
      <c r="T205" s="11"/>
      <c r="U205" s="11"/>
      <c r="V205" s="11"/>
      <c r="W205" s="11"/>
      <c r="X205" s="11"/>
      <c r="Y205" s="11"/>
      <c r="Z205" s="11"/>
    </row>
    <row r="206" customHeight="1" spans="1:26">
      <c r="A206" s="11" t="str">
        <f>IFERROR(__xludf.DUMMYFUNCTION("""COMPUTED_VALUE"""),"IASMIM GOMES PEIXOTO	")</f>
        <v>IASMIM GOMES PEIXOTO	</v>
      </c>
      <c r="B206" s="11"/>
      <c r="C206" s="11"/>
      <c r="D206" s="11" t="str">
        <f>IFERROR(__xludf.DUMMYFUNCTION("""COMPUTED_VALUE"""),"Médica eSF")</f>
        <v>Médica eSF</v>
      </c>
      <c r="E206" s="11" t="str">
        <f>IFERROR(__xludf.DUMMYFUNCTION("""COMPUTED_VALUE"""),"V")</f>
        <v>V</v>
      </c>
      <c r="F206" s="11" t="str">
        <f>IFERROR(__xludf.DUMMYFUNCTION("""COMPUTED_VALUE"""),"US_300 USF DR GERALDO BARRETO CAMPELO SAN MARTIN")</f>
        <v>US_300 USF DR GERALDO BARRETO CAMPELO SAN MARTIN</v>
      </c>
      <c r="G206" s="11" t="str">
        <f>IFERROR(__xludf.DUMMYFUNCTION("""COMPUTED_VALUE"""),"US 300 USF DR GERALDO BARRETO CAMPELO SAN MARTIN")</f>
        <v>US 300 USF DR GERALDO BARRETO CAMPELO SAN MARTIN</v>
      </c>
      <c r="H206" s="27">
        <f>IFERROR(__xludf.DUMMYFUNCTION("""COMPUTED_VALUE"""),81999911803)</f>
        <v>81999911803</v>
      </c>
      <c r="I206" s="11"/>
      <c r="J206" s="11"/>
      <c r="K206" s="11"/>
      <c r="L206" s="11"/>
      <c r="M206" s="28" t="str">
        <f>IFERROR(__xludf.DUMMYFUNCTION("""COMPUTED_VALUE"""),"3355-6126")</f>
        <v>3355-6126</v>
      </c>
      <c r="N206" s="11" t="str">
        <f>IFERROR(__xludf.DUMMYFUNCTION("""COMPUTED_VALUE"""),"iasmimgp@hotmail.com")</f>
        <v>iasmimgp@hotmail.com</v>
      </c>
      <c r="O206" s="29">
        <f>IFERROR(__xludf.DUMMYFUNCTION("""COMPUTED_VALUE"""),491717202)</f>
        <v>491717202</v>
      </c>
      <c r="P206" s="30" t="str">
        <f>IFERROR(__xludf.DUMMYFUNCTION("""COMPUTED_VALUE"""),"700008691721507")</f>
        <v>700008691721507</v>
      </c>
      <c r="Q206" s="30" t="str">
        <f>IFERROR(__xludf.DUMMYFUNCTION("""COMPUTED_VALUE"""),"3131521")</f>
        <v>3131521</v>
      </c>
      <c r="R206" s="30" t="str">
        <f>IFERROR(__xludf.DUMMYFUNCTION("""COMPUTED_VALUE"""),"0000155020")</f>
        <v>0000155020</v>
      </c>
      <c r="S206" s="30" t="str">
        <f>IFERROR(__xludf.DUMMYFUNCTION("""COMPUTED_VALUE"""),"1")</f>
        <v>1</v>
      </c>
      <c r="T206" s="30" t="str">
        <f>IFERROR(__xludf.DUMMYFUNCTION("""COMPUTED_VALUE"""),"225142")</f>
        <v>225142</v>
      </c>
      <c r="U206" s="31" t="str">
        <f>IFERROR(__xludf.DUMMYFUNCTION("""COMPUTED_VALUE"""),"2251")</f>
        <v>2251</v>
      </c>
      <c r="V206" s="11"/>
      <c r="W206" s="11"/>
      <c r="X206" s="11"/>
      <c r="Y206" s="11"/>
      <c r="Z206" s="11"/>
    </row>
    <row r="207" customHeight="1" spans="1:26">
      <c r="A207" s="11" t="str">
        <f>IFERROR(__xludf.DUMMYFUNCTION("""COMPUTED_VALUE"""),"Samantha Stephanie de azevedo campos")</f>
        <v>Samantha Stephanie de azevedo campos</v>
      </c>
      <c r="B207" s="11"/>
      <c r="C207" s="11"/>
      <c r="D207" s="11" t="str">
        <f>IFERROR(__xludf.DUMMYFUNCTION("""COMPUTED_VALUE"""),"Médica")</f>
        <v>Médica</v>
      </c>
      <c r="E207" s="11"/>
      <c r="F207" s="11"/>
      <c r="G207" s="11" t="str">
        <f>IFERROR(__xludf.DUMMYFUNCTION("""COMPUTED_VALUE"""),"US 315 USF UR 3")</f>
        <v>US 315 USF UR 3</v>
      </c>
      <c r="H207" s="27">
        <f>IFERROR(__xludf.DUMMYFUNCTION("""COMPUTED_VALUE"""),81992581799)</f>
        <v>81992581799</v>
      </c>
      <c r="I207" s="11"/>
      <c r="J207" s="11"/>
      <c r="K207" s="24">
        <f>IFERROR(__xludf.DUMMYFUNCTION("""COMPUTED_VALUE"""),45440)</f>
        <v>45440</v>
      </c>
      <c r="L207" s="11"/>
      <c r="M207" s="11"/>
      <c r="N207" s="11"/>
      <c r="O207" s="11"/>
      <c r="P207" s="11"/>
      <c r="Q207" s="11"/>
      <c r="R207" s="11"/>
      <c r="S207" s="11"/>
      <c r="T207" s="11"/>
      <c r="U207" s="11"/>
      <c r="V207" s="11"/>
      <c r="W207" s="11"/>
      <c r="X207" s="11"/>
      <c r="Y207" s="11"/>
      <c r="Z207" s="11"/>
    </row>
    <row r="208" customHeight="1" spans="1:26">
      <c r="A208" s="11" t="str">
        <f>IFERROR(__xludf.DUMMYFUNCTION("""COMPUTED_VALUE"""),"DAMARTINE NAIANE MARTINS FEITOSA")</f>
        <v>DAMARTINE NAIANE MARTINS FEITOSA</v>
      </c>
      <c r="B208" s="11"/>
      <c r="C208" s="11"/>
      <c r="D208" s="11" t="str">
        <f>IFERROR(__xludf.DUMMYFUNCTION("""COMPUTED_VALUE"""),"Médica eSF")</f>
        <v>Médica eSF</v>
      </c>
      <c r="E208" s="11" t="str">
        <f>IFERROR(__xludf.DUMMYFUNCTION("""COMPUTED_VALUE"""),"VIII")</f>
        <v>VIII</v>
      </c>
      <c r="F208" s="11" t="str">
        <f>IFERROR(__xludf.DUMMYFUNCTION("""COMPUTED_VALUE"""),"US_315 USF UR 3")</f>
        <v>US_315 USF UR 3</v>
      </c>
      <c r="G208" s="11" t="str">
        <f>IFERROR(__xludf.DUMMYFUNCTION("""COMPUTED_VALUE"""),"US 315 USF UR 3")</f>
        <v>US 315 USF UR 3</v>
      </c>
      <c r="H208" s="27">
        <f>IFERROR(__xludf.DUMMYFUNCTION("""COMPUTED_VALUE"""),81999529778)</f>
        <v>81999529778</v>
      </c>
      <c r="I208" s="11"/>
      <c r="J208" s="11"/>
      <c r="K208" s="11"/>
      <c r="L208" s="11"/>
      <c r="M208" s="28" t="str">
        <f>IFERROR(__xludf.DUMMYFUNCTION("""COMPUTED_VALUE"""),"3355-6452")</f>
        <v>3355-6452</v>
      </c>
      <c r="N208" s="11" t="str">
        <f>IFERROR(__xludf.DUMMYFUNCTION("""COMPUTED_VALUE"""),"tininhafeitosa@gmail.com")</f>
        <v>tininhafeitosa@gmail.com</v>
      </c>
      <c r="O208" s="29">
        <f>IFERROR(__xludf.DUMMYFUNCTION("""COMPUTED_VALUE"""),6133822422)</f>
        <v>6133822422</v>
      </c>
      <c r="P208" s="30" t="str">
        <f>IFERROR(__xludf.DUMMYFUNCTION("""COMPUTED_VALUE"""),"700807971724788")</f>
        <v>700807971724788</v>
      </c>
      <c r="Q208" s="30" t="str">
        <f>IFERROR(__xludf.DUMMYFUNCTION("""COMPUTED_VALUE"""),"3562638")</f>
        <v>3562638</v>
      </c>
      <c r="R208" s="30" t="str">
        <f>IFERROR(__xludf.DUMMYFUNCTION("""COMPUTED_VALUE"""),"9356263802")</f>
        <v>9356263802</v>
      </c>
      <c r="S208" s="30" t="str">
        <f>IFERROR(__xludf.DUMMYFUNCTION("""COMPUTED_VALUE"""),"1")</f>
        <v>1</v>
      </c>
      <c r="T208" s="30" t="str">
        <f>IFERROR(__xludf.DUMMYFUNCTION("""COMPUTED_VALUE"""),"225142")</f>
        <v>225142</v>
      </c>
      <c r="U208" s="31" t="str">
        <f>IFERROR(__xludf.DUMMYFUNCTION("""COMPUTED_VALUE"""),"2251")</f>
        <v>2251</v>
      </c>
      <c r="V208" s="11"/>
      <c r="W208" s="11" t="str">
        <f>IFERROR(__xludf.DUMMYFUNCTION("""COMPUTED_VALUE"""),"#N/A")</f>
        <v>#N/A</v>
      </c>
      <c r="X208" s="11" t="str">
        <f>IFERROR(__xludf.DUMMYFUNCTION("""COMPUTED_VALUE"""),"#N/A")</f>
        <v>#N/A</v>
      </c>
      <c r="Y208" s="11"/>
      <c r="Z208" s="11" t="str">
        <f>IFERROR(__xludf.DUMMYFUNCTION("""COMPUTED_VALUE"""),"NÃO ENCONTRADO NA BASE ATUALIZADA")</f>
        <v>NÃO ENCONTRADO NA BASE ATUALIZADA</v>
      </c>
    </row>
    <row r="209" customHeight="1" spans="1:26">
      <c r="A209" s="11" t="str">
        <f>IFERROR(__xludf.DUMMYFUNCTION("""COMPUTED_VALUE"""),"MATEUS CESAR")</f>
        <v>MATEUS CESAR</v>
      </c>
      <c r="B209" s="11"/>
      <c r="C209" s="11"/>
      <c r="D209" s="11" t="str">
        <f>IFERROR(__xludf.DUMMYFUNCTION("""COMPUTED_VALUE"""),"Médico Residente")</f>
        <v>Médico Residente</v>
      </c>
      <c r="E209" s="11"/>
      <c r="F209" s="11"/>
      <c r="G209" s="11" t="str">
        <f>IFERROR(__xludf.DUMMYFUNCTION("""COMPUTED_VALUE"""),"US 397 USF UPINHA DIA ACS MARIA RITA DA SILVA /CORREGO DO EUCLIDES")</f>
        <v>US 397 USF UPINHA DIA ACS MARIA RITA DA SILVA /CORREGO DO EUCLIDES</v>
      </c>
      <c r="H209" s="27">
        <f>IFERROR(__xludf.DUMMYFUNCTION("""COMPUTED_VALUE"""),81985637375)</f>
        <v>81985637375</v>
      </c>
      <c r="I209" s="11"/>
      <c r="J209" s="11"/>
      <c r="K209" s="24">
        <f>IFERROR(__xludf.DUMMYFUNCTION("""COMPUTED_VALUE"""),45370)</f>
        <v>45370</v>
      </c>
      <c r="L209" s="11"/>
      <c r="M209" s="11"/>
      <c r="N209" s="11"/>
      <c r="O209" s="11"/>
      <c r="P209" s="11"/>
      <c r="Q209" s="11"/>
      <c r="R209" s="11"/>
      <c r="S209" s="11"/>
      <c r="T209" s="11"/>
      <c r="U209" s="11"/>
      <c r="V209" s="11"/>
      <c r="W209" s="11"/>
      <c r="X209" s="11"/>
      <c r="Y209" s="11"/>
      <c r="Z209" s="11"/>
    </row>
    <row r="210" customHeight="1" spans="1:26">
      <c r="A210" s="11" t="str">
        <f>IFERROR(__xludf.DUMMYFUNCTION("""COMPUTED_VALUE"""),"LUCAS DE CARVALHO FREIRES")</f>
        <v>LUCAS DE CARVALHO FREIRES</v>
      </c>
      <c r="B210" s="11"/>
      <c r="C210" s="11"/>
      <c r="D210" s="11" t="str">
        <f>IFERROR(__xludf.DUMMYFUNCTION("""COMPUTED_VALUE"""),"Médica Residente")</f>
        <v>Médica Residente</v>
      </c>
      <c r="E210" s="11"/>
      <c r="F210" s="11"/>
      <c r="G210" s="11" t="str">
        <f>IFERROR(__xludf.DUMMYFUNCTION("""COMPUTED_VALUE"""),"US 397 USF UPINHA DIA ACS MARIA RITA DA SILVA /CORREGO DO EUCLIDES")</f>
        <v>US 397 USF UPINHA DIA ACS MARIA RITA DA SILVA /CORREGO DO EUCLIDES</v>
      </c>
      <c r="H210" s="27">
        <f>IFERROR(__xludf.DUMMYFUNCTION("""COMPUTED_VALUE"""),74991000911)</f>
        <v>74991000911</v>
      </c>
      <c r="I210" s="11"/>
      <c r="J210" s="11"/>
      <c r="K210" s="24">
        <f>IFERROR(__xludf.DUMMYFUNCTION("""COMPUTED_VALUE"""),45372)</f>
        <v>45372</v>
      </c>
      <c r="L210" s="11"/>
      <c r="M210" s="11"/>
      <c r="N210" s="11"/>
      <c r="O210" s="11"/>
      <c r="P210" s="11"/>
      <c r="Q210" s="11"/>
      <c r="R210" s="11"/>
      <c r="S210" s="11"/>
      <c r="T210" s="11"/>
      <c r="U210" s="11"/>
      <c r="V210" s="11"/>
      <c r="W210" s="11"/>
      <c r="X210" s="11"/>
      <c r="Y210" s="11"/>
      <c r="Z210" s="11"/>
    </row>
    <row r="211" customHeight="1" spans="1:26">
      <c r="A211" s="11" t="str">
        <f>IFERROR(__xludf.DUMMYFUNCTION("""COMPUTED_VALUE"""),"LUCAS FEU NEVES")</f>
        <v>LUCAS FEU NEVES</v>
      </c>
      <c r="B211" s="11"/>
      <c r="C211" s="11"/>
      <c r="D211" s="11" t="str">
        <f>IFERROR(__xludf.DUMMYFUNCTION("""COMPUTED_VALUE"""),"Médica Residente")</f>
        <v>Médica Residente</v>
      </c>
      <c r="E211" s="11"/>
      <c r="F211" s="11"/>
      <c r="G211" s="11" t="str">
        <f>IFERROR(__xludf.DUMMYFUNCTION("""COMPUTED_VALUE"""),"US 397 USF UPINHA DIA ACS MARIA RITA DA SILVA /CORREGO DO EUCLIDES")</f>
        <v>US 397 USF UPINHA DIA ACS MARIA RITA DA SILVA /CORREGO DO EUCLIDES</v>
      </c>
      <c r="H211" s="27">
        <f>IFERROR(__xludf.DUMMYFUNCTION("""COMPUTED_VALUE"""),11941985207)</f>
        <v>11941985207</v>
      </c>
      <c r="I211" s="11"/>
      <c r="J211" s="11"/>
      <c r="K211" s="24">
        <f>IFERROR(__xludf.DUMMYFUNCTION("""COMPUTED_VALUE"""),45370)</f>
        <v>45370</v>
      </c>
      <c r="L211" s="11"/>
      <c r="M211" s="11"/>
      <c r="N211" s="11"/>
      <c r="O211" s="11"/>
      <c r="P211" s="11"/>
      <c r="Q211" s="11"/>
      <c r="R211" s="11"/>
      <c r="S211" s="11"/>
      <c r="T211" s="11"/>
      <c r="U211" s="11"/>
      <c r="V211" s="11"/>
      <c r="W211" s="11"/>
      <c r="X211" s="11"/>
      <c r="Y211" s="11"/>
      <c r="Z211" s="11"/>
    </row>
    <row r="212" customHeight="1" spans="1:26">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customHeight="1" spans="1:26">
      <c r="A213" s="11" t="str">
        <f>IFERROR(__xludf.DUMMYFUNCTION("""COMPUTED_VALUE"""),"GABRIEL BRITO DE MOURA MONTEIRO 138")</f>
        <v>GABRIEL BRITO DE MOURA MONTEIRO 138</v>
      </c>
      <c r="B213" s="11"/>
      <c r="C213" s="11"/>
      <c r="D213" s="11" t="str">
        <f>IFERROR(__xludf.DUMMYFUNCTION("""COMPUTED_VALUE"""),"Médico eSF")</f>
        <v>Médico eSF</v>
      </c>
      <c r="E213" s="11" t="str">
        <f>IFERROR(__xludf.DUMMYFUNCTION("""COMPUTED_VALUE"""),"II")</f>
        <v>II</v>
      </c>
      <c r="F213" s="11" t="str">
        <f>IFERROR(__xludf.DUMMYFUNCTION("""COMPUTED_VALUE"""),"US_337 USF SITIO WANDERLEY")</f>
        <v>US_337 USF SITIO WANDERLEY</v>
      </c>
      <c r="G213" s="11" t="str">
        <f>IFERROR(__xludf.DUMMYFUNCTION("""COMPUTED_VALUE"""),"US 138 USF DR LUIZ WILSOM")</f>
        <v>US 138 USF DR LUIZ WILSOM</v>
      </c>
      <c r="H213" s="27">
        <f>IFERROR(__xludf.DUMMYFUNCTION("""COMPUTED_VALUE"""),81999851198)</f>
        <v>81999851198</v>
      </c>
      <c r="I213" s="11"/>
      <c r="J213" s="11"/>
      <c r="K213" s="11"/>
      <c r="L213" s="11"/>
      <c r="M213" s="28" t="str">
        <f>IFERROR(__xludf.DUMMYFUNCTION("""COMPUTED_VALUE"""),"3355-3165")</f>
        <v>3355-3165</v>
      </c>
      <c r="N213" s="11" t="str">
        <f>IFERROR(__xludf.DUMMYFUNCTION("""COMPUTED_VALUE"""),"gbmm02@gmail.com")</f>
        <v>gbmm02@gmail.com</v>
      </c>
      <c r="O213" s="29">
        <f>IFERROR(__xludf.DUMMYFUNCTION("""COMPUTED_VALUE"""),9649777458)</f>
        <v>9649777458</v>
      </c>
      <c r="P213" s="30" t="str">
        <f>IFERROR(__xludf.DUMMYFUNCTION("""COMPUTED_VALUE"""),"709006875920814")</f>
        <v>709006875920814</v>
      </c>
      <c r="Q213" s="30" t="str">
        <f>IFERROR(__xludf.DUMMYFUNCTION("""COMPUTED_VALUE"""),"0000876")</f>
        <v>0000876</v>
      </c>
      <c r="R213" s="30" t="str">
        <f>IFERROR(__xludf.DUMMYFUNCTION("""COMPUTED_VALUE"""),"9000087601")</f>
        <v>9000087601</v>
      </c>
      <c r="S213" s="30" t="str">
        <f>IFERROR(__xludf.DUMMYFUNCTION("""COMPUTED_VALUE"""),"3")</f>
        <v>3</v>
      </c>
      <c r="T213" s="30" t="str">
        <f>IFERROR(__xludf.DUMMYFUNCTION("""COMPUTED_VALUE"""),"225142")</f>
        <v>225142</v>
      </c>
      <c r="U213" s="31" t="str">
        <f>IFERROR(__xludf.DUMMYFUNCTION("""COMPUTED_VALUE"""),"2251")</f>
        <v>2251</v>
      </c>
      <c r="V213" s="11"/>
      <c r="W213" s="11" t="str">
        <f>IFERROR(__xludf.DUMMYFUNCTION("""COMPUTED_VALUE"""),"ALTERAR ESTABELECIMENTO E OCUPAÇÃO ")</f>
        <v>ALTERAR ESTABELECIMENTO E OCUPAÇÃO </v>
      </c>
      <c r="X213" s="11"/>
      <c r="Y213" s="11"/>
      <c r="Z213" s="11"/>
    </row>
    <row r="214" customHeight="1" spans="1:26">
      <c r="A214" s="11" t="str">
        <f>IFERROR(__xludf.DUMMYFUNCTION("""COMPUTED_VALUE"""),"GABRIEL BRITO DE MOURA MONTEIRO 331")</f>
        <v>GABRIEL BRITO DE MOURA MONTEIRO 331</v>
      </c>
      <c r="B214" s="11" t="str">
        <f>IFERROR(__xludf.DUMMYFUNCTION("""COMPUTED_VALUE"""),"Inativo")</f>
        <v>Inativo</v>
      </c>
      <c r="C214" s="11"/>
      <c r="D214" s="11" t="str">
        <f>IFERROR(__xludf.DUMMYFUNCTION("""COMPUTED_VALUE"""),"Médico Residente")</f>
        <v>Médico Residente</v>
      </c>
      <c r="E214" s="11" t="str">
        <f>IFERROR(__xludf.DUMMYFUNCTION("""COMPUTED_VALUE"""),"IV")</f>
        <v>IV</v>
      </c>
      <c r="F214" s="11" t="str">
        <f>IFERROR(__xludf.DUMMYFUNCTION("""COMPUTED_VALUE"""),"US_337 USF SITIO WANDERLEY")</f>
        <v>US_337 USF SITIO WANDERLEY</v>
      </c>
      <c r="G214" s="11" t="str">
        <f>IFERROR(__xludf.DUMMYFUNCTION("""COMPUTED_VALUE"""),"US 331 USF PROF AMAURY DE MEDEIROS")</f>
        <v>US 331 USF PROF AMAURY DE MEDEIROS</v>
      </c>
      <c r="H214" s="27">
        <f>IFERROR(__xludf.DUMMYFUNCTION("""COMPUTED_VALUE"""),81999851198)</f>
        <v>81999851198</v>
      </c>
      <c r="I214" s="11"/>
      <c r="J214" s="11"/>
      <c r="K214" s="11"/>
      <c r="L214" s="11"/>
      <c r="M214" s="28" t="str">
        <f>IFERROR(__xludf.DUMMYFUNCTION("""COMPUTED_VALUE"""),"3355-0308/0309")</f>
        <v>3355-0308/0309</v>
      </c>
      <c r="N214" s="11" t="str">
        <f>IFERROR(__xludf.DUMMYFUNCTION("""COMPUTED_VALUE"""),"gbmm02@gmail.com")</f>
        <v>gbmm02@gmail.com</v>
      </c>
      <c r="O214" s="29">
        <f>IFERROR(__xludf.DUMMYFUNCTION("""COMPUTED_VALUE"""),9649777458)</f>
        <v>9649777458</v>
      </c>
      <c r="P214" s="30" t="str">
        <f>IFERROR(__xludf.DUMMYFUNCTION("""COMPUTED_VALUE"""),"709006875920814")</f>
        <v>709006875920814</v>
      </c>
      <c r="Q214" s="30" t="str">
        <f>IFERROR(__xludf.DUMMYFUNCTION("""COMPUTED_VALUE"""),"3703223")</f>
        <v>3703223</v>
      </c>
      <c r="R214" s="30" t="str">
        <f>IFERROR(__xludf.DUMMYFUNCTION("""COMPUTED_VALUE"""),"0000155691")</f>
        <v>0000155691</v>
      </c>
      <c r="S214" s="30" t="str">
        <f>IFERROR(__xludf.DUMMYFUNCTION("""COMPUTED_VALUE"""),"1")</f>
        <v>1</v>
      </c>
      <c r="T214" s="30" t="str">
        <f>IFERROR(__xludf.DUMMYFUNCTION("""COMPUTED_VALUE"""),"225142")</f>
        <v>225142</v>
      </c>
      <c r="U214" s="31">
        <f>IFERROR(__xludf.DUMMYFUNCTION("""COMPUTED_VALUE"""),2231)</f>
        <v>2231</v>
      </c>
      <c r="V214" s="11"/>
      <c r="W214" s="11"/>
      <c r="X214" s="11"/>
      <c r="Y214" s="11"/>
      <c r="Z214" s="11"/>
    </row>
    <row r="215" customHeight="1" spans="1:26">
      <c r="A215" s="11" t="str">
        <f>IFERROR(__xludf.DUMMYFUNCTION("""COMPUTED_VALUE"""),"GABRIEL BRITO DE MOURA MONTEIRO 337")</f>
        <v>GABRIEL BRITO DE MOURA MONTEIRO 337</v>
      </c>
      <c r="B215" s="11"/>
      <c r="C215" s="11"/>
      <c r="D215" s="11" t="str">
        <f>IFERROR(__xludf.DUMMYFUNCTION("""COMPUTED_VALUE"""),"Médico eSF")</f>
        <v>Médico eSF</v>
      </c>
      <c r="E215" s="11" t="str">
        <f>IFERROR(__xludf.DUMMYFUNCTION("""COMPUTED_VALUE"""),"IV")</f>
        <v>IV</v>
      </c>
      <c r="F215" s="11" t="str">
        <f>IFERROR(__xludf.DUMMYFUNCTION("""COMPUTED_VALUE"""),"US_337 USF SITIO WANDERLEY")</f>
        <v>US_337 USF SITIO WANDERLEY</v>
      </c>
      <c r="G215" s="11" t="str">
        <f>IFERROR(__xludf.DUMMYFUNCTION("""COMPUTED_VALUE"""),"US 337 USF SITIO WANDERLEY")</f>
        <v>US 337 USF SITIO WANDERLEY</v>
      </c>
      <c r="H215" s="27">
        <f>IFERROR(__xludf.DUMMYFUNCTION("""COMPUTED_VALUE"""),81999851198)</f>
        <v>81999851198</v>
      </c>
      <c r="I215" s="11"/>
      <c r="J215" s="11"/>
      <c r="K215" s="11"/>
      <c r="L215" s="11"/>
      <c r="M215" s="28" t="str">
        <f>IFERROR(__xludf.DUMMYFUNCTION("""COMPUTED_VALUE"""),"3355-6874")</f>
        <v>3355-6874</v>
      </c>
      <c r="N215" s="11" t="str">
        <f>IFERROR(__xludf.DUMMYFUNCTION("""COMPUTED_VALUE"""),"gbmm02@gmail.com")</f>
        <v>gbmm02@gmail.com</v>
      </c>
      <c r="O215" s="29">
        <f>IFERROR(__xludf.DUMMYFUNCTION("""COMPUTED_VALUE"""),9649777458)</f>
        <v>9649777458</v>
      </c>
      <c r="P215" s="30" t="str">
        <f>IFERROR(__xludf.DUMMYFUNCTION("""COMPUTED_VALUE"""),"709006875920814")</f>
        <v>709006875920814</v>
      </c>
      <c r="Q215" s="30" t="str">
        <f>IFERROR(__xludf.DUMMYFUNCTION("""COMPUTED_VALUE"""),"5320380")</f>
        <v>5320380</v>
      </c>
      <c r="R215" s="11"/>
      <c r="S215" s="30" t="str">
        <f>IFERROR(__xludf.DUMMYFUNCTION("""COMPUTED_VALUE"""),"1")</f>
        <v>1</v>
      </c>
      <c r="T215" s="30" t="str">
        <f>IFERROR(__xludf.DUMMYFUNCTION("""COMPUTED_VALUE"""),"225142")</f>
        <v>225142</v>
      </c>
      <c r="U215" s="31" t="str">
        <f>IFERROR(__xludf.DUMMYFUNCTION("""COMPUTED_VALUE"""),"2251")</f>
        <v>2251</v>
      </c>
      <c r="V215" s="11"/>
      <c r="W215" s="11"/>
      <c r="X215" s="11"/>
      <c r="Y215" s="11"/>
      <c r="Z215" s="11"/>
    </row>
    <row r="216" customHeight="1" spans="1:26">
      <c r="A216" s="11" t="str">
        <f>IFERROR(__xludf.DUMMYFUNCTION("""COMPUTED_VALUE"""),"GABRIEL BRITO DE MOURA MONTEIRO 352")</f>
        <v>GABRIEL BRITO DE MOURA MONTEIRO 352</v>
      </c>
      <c r="B216" s="11" t="str">
        <f>IFERROR(__xludf.DUMMYFUNCTION("""COMPUTED_VALUE"""),"Inativo, US 352 USF UPINHA 24H DR HELIO MENDONCA COR DO JENIPAPO ou USF LUIZ WILSON (MM)")</f>
        <v>Inativo, US 352 USF UPINHA 24H DR HELIO MENDONCA COR DO JENIPAPO ou USF LUIZ WILSON (MM)</v>
      </c>
      <c r="C216" s="11"/>
      <c r="D216" s="11" t="str">
        <f>IFERROR(__xludf.DUMMYFUNCTION("""COMPUTED_VALUE"""),"Médico eSF")</f>
        <v>Médico eSF</v>
      </c>
      <c r="E216" s="11" t="str">
        <f>IFERROR(__xludf.DUMMYFUNCTION("""COMPUTED_VALUE"""),"VII")</f>
        <v>VII</v>
      </c>
      <c r="F216" s="11" t="str">
        <f>IFERROR(__xludf.DUMMYFUNCTION("""COMPUTED_VALUE"""),"US_337 USF SITIO WANDERLEY")</f>
        <v>US_337 USF SITIO WANDERLEY</v>
      </c>
      <c r="G216" s="11" t="str">
        <f>IFERROR(__xludf.DUMMYFUNCTION("""COMPUTED_VALUE"""),"US 352 USF UPINHA 24H DR HELIO MENDONCA COR DO JENIPAPO")</f>
        <v>US 352 USF UPINHA 24H DR HELIO MENDONCA COR DO JENIPAPO</v>
      </c>
      <c r="H216" s="27">
        <f>IFERROR(__xludf.DUMMYFUNCTION("""COMPUTED_VALUE"""),81999851198)</f>
        <v>81999851198</v>
      </c>
      <c r="I216" s="11"/>
      <c r="J216" s="11"/>
      <c r="K216" s="11"/>
      <c r="L216" s="11"/>
      <c r="M216" s="28" t="str">
        <f>IFERROR(__xludf.DUMMYFUNCTION("""COMPUTED_VALUE"""),"3355-3554-3553")</f>
        <v>3355-3554-3553</v>
      </c>
      <c r="N216" s="11" t="str">
        <f>IFERROR(__xludf.DUMMYFUNCTION("""COMPUTED_VALUE"""),"gbmm02@gmail.com")</f>
        <v>gbmm02@gmail.com</v>
      </c>
      <c r="O216" s="29">
        <f>IFERROR(__xludf.DUMMYFUNCTION("""COMPUTED_VALUE"""),9649777458)</f>
        <v>9649777458</v>
      </c>
      <c r="P216" s="30" t="str">
        <f>IFERROR(__xludf.DUMMYFUNCTION("""COMPUTED_VALUE"""),"709006875920814")</f>
        <v>709006875920814</v>
      </c>
      <c r="Q216" s="30" t="str">
        <f>IFERROR(__xludf.DUMMYFUNCTION("""COMPUTED_VALUE"""),"6362508")</f>
        <v>6362508</v>
      </c>
      <c r="R216" s="30" t="str">
        <f>IFERROR(__xludf.DUMMYFUNCTION("""COMPUTED_VALUE"""),"0000156043")</f>
        <v>0000156043</v>
      </c>
      <c r="S216" s="30" t="str">
        <f>IFERROR(__xludf.DUMMYFUNCTION("""COMPUTED_VALUE"""),"3")</f>
        <v>3</v>
      </c>
      <c r="T216" s="30" t="str">
        <f>IFERROR(__xludf.DUMMYFUNCTION("""COMPUTED_VALUE"""),"225142")</f>
        <v>225142</v>
      </c>
      <c r="U216" s="31" t="str">
        <f>IFERROR(__xludf.DUMMYFUNCTION("""COMPUTED_VALUE"""),"2251")</f>
        <v>2251</v>
      </c>
      <c r="V216" s="11"/>
      <c r="W216" s="11" t="str">
        <f>IFERROR(__xludf.DUMMYFUNCTION("""COMPUTED_VALUE"""),"ALTERAR ESTABELECIMENTO E OCUPAÇÃO ")</f>
        <v>ALTERAR ESTABELECIMENTO E OCUPAÇÃO </v>
      </c>
      <c r="X216" s="11"/>
      <c r="Y216" s="11"/>
      <c r="Z216" s="11"/>
    </row>
    <row r="217" customHeight="1" spans="1:26">
      <c r="A217" s="11" t="str">
        <f>IFERROR(__xludf.DUMMYFUNCTION("""COMPUTED_VALUE"""),"FELIPE JACOBOVITZ")</f>
        <v>FELIPE JACOBOVITZ</v>
      </c>
      <c r="B217" s="11"/>
      <c r="C217" s="11"/>
      <c r="D217" s="11" t="str">
        <f>IFERROR(__xludf.DUMMYFUNCTION("""COMPUTED_VALUE"""),"MÉDICO RESIDENTE")</f>
        <v>MÉDICO RESIDENTE</v>
      </c>
      <c r="E217" s="11"/>
      <c r="F217" s="11"/>
      <c r="G217" s="11" t="str">
        <f>IFERROR(__xludf.DUMMYFUNCTION("""COMPUTED_VALUE"""),"US 269 USF BEIRA DO RIO COMUNIDADE BOA VIAGEM")</f>
        <v>US 269 USF BEIRA DO RIO COMUNIDADE BOA VIAGEM</v>
      </c>
      <c r="H217" s="27">
        <f>IFERROR(__xludf.DUMMYFUNCTION("""COMPUTED_VALUE"""),81998682233)</f>
        <v>81998682233</v>
      </c>
      <c r="I217" s="11"/>
      <c r="J217" s="11"/>
      <c r="K217" s="24">
        <f>IFERROR(__xludf.DUMMYFUNCTION("""COMPUTED_VALUE"""),45370)</f>
        <v>45370</v>
      </c>
      <c r="L217" s="11"/>
      <c r="M217" s="11"/>
      <c r="N217" s="11"/>
      <c r="O217" s="11"/>
      <c r="P217" s="11"/>
      <c r="Q217" s="11"/>
      <c r="R217" s="11"/>
      <c r="S217" s="11"/>
      <c r="T217" s="11"/>
      <c r="U217" s="11"/>
      <c r="V217" s="11"/>
      <c r="W217" s="11"/>
      <c r="X217" s="11"/>
      <c r="Y217" s="11"/>
      <c r="Z217" s="11"/>
    </row>
    <row r="218" customHeight="1" spans="1:26">
      <c r="A218" s="11" t="str">
        <f>IFERROR(__xludf.DUMMYFUNCTION("""COMPUTED_VALUE"""),"LARISSA FREIRE")</f>
        <v>LARISSA FREIRE</v>
      </c>
      <c r="B218" s="11"/>
      <c r="C218" s="11"/>
      <c r="D218" s="11" t="str">
        <f>IFERROR(__xludf.DUMMYFUNCTION("""COMPUTED_VALUE"""),"MÉDICA RESIDENTE")</f>
        <v>MÉDICA RESIDENTE</v>
      </c>
      <c r="E218" s="11"/>
      <c r="F218" s="11"/>
      <c r="G218" s="11" t="str">
        <f>IFERROR(__xludf.DUMMYFUNCTION("""COMPUTED_VALUE"""),"US 269 USF BEIRA DO RIO COMUNIDADE BOA VIAGEM")</f>
        <v>US 269 USF BEIRA DO RIO COMUNIDADE BOA VIAGEM</v>
      </c>
      <c r="H218" s="27">
        <f>IFERROR(__xludf.DUMMYFUNCTION("""COMPUTED_VALUE"""),81999211101)</f>
        <v>81999211101</v>
      </c>
      <c r="I218" s="11" t="str">
        <f>IFERROR(__xludf.DUMMYFUNCTION("""COMPUTED_VALUE"""),"")</f>
        <v/>
      </c>
      <c r="J218" s="11"/>
      <c r="K218" s="24">
        <f>IFERROR(__xludf.DUMMYFUNCTION("""COMPUTED_VALUE"""),45370)</f>
        <v>45370</v>
      </c>
      <c r="L218" s="11"/>
      <c r="M218" s="11"/>
      <c r="N218" s="11"/>
      <c r="O218" s="11"/>
      <c r="P218" s="11"/>
      <c r="Q218" s="11"/>
      <c r="R218" s="11"/>
      <c r="S218" s="11"/>
      <c r="T218" s="11"/>
      <c r="U218" s="11"/>
      <c r="V218" s="11"/>
      <c r="W218" s="11"/>
      <c r="X218" s="11"/>
      <c r="Y218" s="11"/>
      <c r="Z218" s="11"/>
    </row>
    <row r="219" customHeight="1" spans="1:26">
      <c r="A219" s="11" t="str">
        <f>IFERROR(__xludf.DUMMYFUNCTION("""COMPUTED_VALUE"""),"JULIA MARIAH MELO LYRA")</f>
        <v>JULIA MARIAH MELO LYRA</v>
      </c>
      <c r="B219" s="11"/>
      <c r="C219" s="11"/>
      <c r="D219" s="11" t="str">
        <f>IFERROR(__xludf.DUMMYFUNCTION("""COMPUTED_VALUE"""),"Médica eSF")</f>
        <v>Médica eSF</v>
      </c>
      <c r="E219" s="11"/>
      <c r="F219" s="11"/>
      <c r="G219" s="11" t="str">
        <f>IFERROR(__xludf.DUMMYFUNCTION("""COMPUTED_VALUE"""),"US 269 USF BEIRA DO RIO COMUNIDADE BOA VIAGEM")</f>
        <v>US 269 USF BEIRA DO RIO COMUNIDADE BOA VIAGEM</v>
      </c>
      <c r="H219" s="27">
        <f>IFERROR(__xludf.DUMMYFUNCTION("""COMPUTED_VALUE"""),81999956766)</f>
        <v>81999956766</v>
      </c>
      <c r="I219" s="11"/>
      <c r="J219" s="11"/>
      <c r="K219" s="11"/>
      <c r="L219" s="11"/>
      <c r="M219" s="28" t="str">
        <f>IFERROR(__xludf.DUMMYFUNCTION("""COMPUTED_VALUE"""),"3355-6242")</f>
        <v>3355-6242</v>
      </c>
      <c r="N219" s="11"/>
      <c r="O219" s="29">
        <f>IFERROR(__xludf.DUMMYFUNCTION("""COMPUTED_VALUE"""),13624661744)</f>
        <v>13624661744</v>
      </c>
      <c r="P219" s="30" t="str">
        <f>IFERROR(__xludf.DUMMYFUNCTION("""COMPUTED_VALUE"""),"705007414372052")</f>
        <v>705007414372052</v>
      </c>
      <c r="Q219" s="30" t="str">
        <f>IFERROR(__xludf.DUMMYFUNCTION("""COMPUTED_VALUE"""),"0029106")</f>
        <v>0029106</v>
      </c>
      <c r="R219" s="30" t="str">
        <f>IFERROR(__xludf.DUMMYFUNCTION("""COMPUTED_VALUE"""),"0000154679")</f>
        <v>0000154679</v>
      </c>
      <c r="S219" s="30" t="str">
        <f>IFERROR(__xludf.DUMMYFUNCTION("""COMPUTED_VALUE"""),"1")</f>
        <v>1</v>
      </c>
      <c r="T219" s="30" t="str">
        <f>IFERROR(__xludf.DUMMYFUNCTION("""COMPUTED_VALUE"""),"225142")</f>
        <v>225142</v>
      </c>
      <c r="U219" s="31" t="str">
        <f>IFERROR(__xludf.DUMMYFUNCTION("""COMPUTED_VALUE"""),"2251")</f>
        <v>2251</v>
      </c>
      <c r="V219" s="11" t="str">
        <f>IFERROR(__xludf.DUMMYFUNCTION("""COMPUTED_VALUE"""),"SIM")</f>
        <v>SIM</v>
      </c>
      <c r="W219" s="11"/>
      <c r="X219" s="11"/>
      <c r="Y219" s="11"/>
      <c r="Z219" s="11"/>
    </row>
    <row r="220" customHeight="1" spans="1:26">
      <c r="A220" s="11" t="str">
        <f>IFERROR(__xludf.DUMMYFUNCTION("""COMPUTED_VALUE"""),"DIOGO CAVALCANTI DE OLIVEIRA")</f>
        <v>DIOGO CAVALCANTI DE OLIVEIRA</v>
      </c>
      <c r="B220" s="11"/>
      <c r="C220" s="11"/>
      <c r="D220" s="11" t="str">
        <f>IFERROR(__xludf.DUMMYFUNCTION("""COMPUTED_VALUE"""),"Médico Clínico")</f>
        <v>Médico Clínico</v>
      </c>
      <c r="E220" s="11" t="str">
        <f>IFERROR(__xludf.DUMMYFUNCTION("""COMPUTED_VALUE"""),"VIII")</f>
        <v>VIII</v>
      </c>
      <c r="F220" s="11" t="str">
        <f>IFERROR(__xludf.DUMMYFUNCTION("""COMPUTED_VALUE"""),"US_153 POLICLINICA E MATERNIDADE ARNALDO MARQUES")</f>
        <v>US_153 POLICLINICA E MATERNIDADE ARNALDO MARQUES</v>
      </c>
      <c r="G220" s="11" t="str">
        <f>IFERROR(__xludf.DUMMYFUNCTION("""COMPUTED_VALUE"""),"US 104 CS SEBASTIAO IVO RABELO")</f>
        <v>US 104 CS SEBASTIAO IVO RABELO</v>
      </c>
      <c r="H220" s="27">
        <f>IFERROR(__xludf.DUMMYFUNCTION("""COMPUTED_VALUE"""),81984596671)</f>
        <v>81984596671</v>
      </c>
      <c r="I220" s="27">
        <f>IFERROR(__xludf.DUMMYFUNCTION("""COMPUTED_VALUE"""),81986984872)</f>
        <v>81986984872</v>
      </c>
      <c r="J220" s="11"/>
      <c r="K220" s="11"/>
      <c r="L220" s="11"/>
      <c r="M220" s="28" t="str">
        <f>IFERROR(__xludf.DUMMYFUNCTION("""COMPUTED_VALUE"""),"3355-5445")</f>
        <v>3355-5445</v>
      </c>
      <c r="N220" s="11" t="str">
        <f>IFERROR(__xludf.DUMMYFUNCTION("""COMPUTED_VALUE"""),"diogohot2@hotmail.com")</f>
        <v>diogohot2@hotmail.com</v>
      </c>
      <c r="O220" s="29">
        <f>IFERROR(__xludf.DUMMYFUNCTION("""COMPUTED_VALUE"""),6423077410)</f>
        <v>6423077410</v>
      </c>
      <c r="P220" s="30" t="str">
        <f>IFERROR(__xludf.DUMMYFUNCTION("""COMPUTED_VALUE"""),"700606427663266")</f>
        <v>700606427663266</v>
      </c>
      <c r="Q220" s="30" t="str">
        <f>IFERROR(__xludf.DUMMYFUNCTION("""COMPUTED_VALUE"""),"0001082")</f>
        <v>0001082</v>
      </c>
      <c r="R220" s="11"/>
      <c r="S220" s="30" t="str">
        <f>IFERROR(__xludf.DUMMYFUNCTION("""COMPUTED_VALUE"""),"1")</f>
        <v>1</v>
      </c>
      <c r="T220" s="30" t="str">
        <f>IFERROR(__xludf.DUMMYFUNCTION("""COMPUTED_VALUE"""),"225125")</f>
        <v>225125</v>
      </c>
      <c r="U220" s="31" t="str">
        <f>IFERROR(__xludf.DUMMYFUNCTION("""COMPUTED_VALUE"""),"2251")</f>
        <v>2251</v>
      </c>
      <c r="V220" s="11"/>
      <c r="W220" s="11"/>
      <c r="X220" s="11"/>
      <c r="Y220" s="11"/>
      <c r="Z220" s="11"/>
    </row>
    <row r="221" customHeight="1" spans="1:26">
      <c r="A221" s="11" t="str">
        <f>IFERROR(__xludf.DUMMYFUNCTION("""COMPUTED_VALUE"""),"DANIELLY KARLA LEAL DE LIMA")</f>
        <v>DANIELLY KARLA LEAL DE LIMA</v>
      </c>
      <c r="B221" s="11"/>
      <c r="C221" s="11"/>
      <c r="D221" s="11" t="str">
        <f>IFERROR(__xludf.DUMMYFUNCTION("""COMPUTED_VALUE"""),"Médica Clínica")</f>
        <v>Médica Clínica</v>
      </c>
      <c r="E221" s="11" t="str">
        <f>IFERROR(__xludf.DUMMYFUNCTION("""COMPUTED_VALUE"""),"IV")</f>
        <v>IV</v>
      </c>
      <c r="F221" s="11" t="str">
        <f>IFERROR(__xludf.DUMMYFUNCTION("""COMPUTED_VALUE"""),"US_153 POLICLINICA E MATERNIDADE ARNALDO MARQUES")</f>
        <v>US_153 POLICLINICA E MATERNIDADE ARNALDO MARQUES</v>
      </c>
      <c r="G221" s="11" t="str">
        <f>IFERROR(__xludf.DUMMYFUNCTION("""COMPUTED_VALUE"""),"US 255 USF UPINHA 24H VILA ARRAES	")</f>
        <v>US 255 USF UPINHA 24H VILA ARRAES	</v>
      </c>
      <c r="H221" s="27">
        <f>IFERROR(__xludf.DUMMYFUNCTION("""COMPUTED_VALUE"""),81997567334)</f>
        <v>81997567334</v>
      </c>
      <c r="I221" s="11"/>
      <c r="J221" s="11"/>
      <c r="K221" s="11"/>
      <c r="L221" s="11"/>
      <c r="M221" s="28" t="str">
        <f>IFERROR(__xludf.DUMMYFUNCTION("""COMPUTED_VALUE"""),"3355-4640")</f>
        <v>3355-4640</v>
      </c>
      <c r="N221" s="11" t="str">
        <f>IFERROR(__xludf.DUMMYFUNCTION("""COMPUTED_VALUE"""),"dany_karla_nap@hotmail.com")</f>
        <v>dany_karla_nap@hotmail.com</v>
      </c>
      <c r="O221" s="29">
        <f>IFERROR(__xludf.DUMMYFUNCTION("""COMPUTED_VALUE"""),7321618439)</f>
        <v>7321618439</v>
      </c>
      <c r="P221" s="30" t="str">
        <f>IFERROR(__xludf.DUMMYFUNCTION("""COMPUTED_VALUE"""),"708005868697227")</f>
        <v>708005868697227</v>
      </c>
      <c r="Q221" s="30" t="str">
        <f>IFERROR(__xludf.DUMMYFUNCTION("""COMPUTED_VALUE"""),"0024538")</f>
        <v>0024538</v>
      </c>
      <c r="R221" s="11"/>
      <c r="S221" s="30" t="str">
        <f>IFERROR(__xludf.DUMMYFUNCTION("""COMPUTED_VALUE"""),"1")</f>
        <v>1</v>
      </c>
      <c r="T221" s="30" t="str">
        <f>IFERROR(__xludf.DUMMYFUNCTION("""COMPUTED_VALUE"""),"225125")</f>
        <v>225125</v>
      </c>
      <c r="U221" s="31" t="str">
        <f>IFERROR(__xludf.DUMMYFUNCTION("""COMPUTED_VALUE"""),"2251")</f>
        <v>2251</v>
      </c>
      <c r="V221" s="11"/>
      <c r="W221" s="11"/>
      <c r="X221" s="11"/>
      <c r="Y221" s="11"/>
      <c r="Z221" s="11"/>
    </row>
    <row r="222" customHeight="1" spans="1:26">
      <c r="A222" s="11" t="str">
        <f>IFERROR(__xludf.DUMMYFUNCTION("""COMPUTED_VALUE"""),"VANESSA DE CARVALHO TEIXEIRA")</f>
        <v>VANESSA DE CARVALHO TEIXEIRA</v>
      </c>
      <c r="B222" s="11"/>
      <c r="C222" s="11"/>
      <c r="D222" s="11" t="str">
        <f>IFERROR(__xludf.DUMMYFUNCTION("""COMPUTED_VALUE"""),"Médica Clínica")</f>
        <v>Médica Clínica</v>
      </c>
      <c r="E222" s="11" t="str">
        <f>IFERROR(__xludf.DUMMYFUNCTION("""COMPUTED_VALUE"""),"IV")</f>
        <v>IV</v>
      </c>
      <c r="F222" s="11" t="str">
        <f>IFERROR(__xludf.DUMMYFUNCTION("""COMPUTED_VALUE"""),"US_255 USF UPINHA 24H VILA ARRAES	")</f>
        <v>US_255 USF UPINHA 24H VILA ARRAES	</v>
      </c>
      <c r="G222" s="11" t="str">
        <f>IFERROR(__xludf.DUMMYFUNCTION("""COMPUTED_VALUE"""),"US 255 USF UPINHA 24H VILA ARRAES	")</f>
        <v>US 255 USF UPINHA 24H VILA ARRAES	</v>
      </c>
      <c r="H222" s="27">
        <f>IFERROR(__xludf.DUMMYFUNCTION("""COMPUTED_VALUE"""),81997104791)</f>
        <v>81997104791</v>
      </c>
      <c r="I222" s="11"/>
      <c r="J222" s="11"/>
      <c r="K222" s="11"/>
      <c r="L222" s="11"/>
      <c r="M222" s="28" t="str">
        <f>IFERROR(__xludf.DUMMYFUNCTION("""COMPUTED_VALUE"""),"3355-4640")</f>
        <v>3355-4640</v>
      </c>
      <c r="N222" s="11" t="str">
        <f>IFERROR(__xludf.DUMMYFUNCTION("""COMPUTED_VALUE"""),"vanessa.carvalho@hotmail.com.br")</f>
        <v>vanessa.carvalho@hotmail.com.br</v>
      </c>
      <c r="O222" s="29">
        <f>IFERROR(__xludf.DUMMYFUNCTION("""COMPUTED_VALUE"""),8423855414)</f>
        <v>8423855414</v>
      </c>
      <c r="P222" s="30" t="str">
        <f>IFERROR(__xludf.DUMMYFUNCTION("""COMPUTED_VALUE"""),"706504334590992")</f>
        <v>706504334590992</v>
      </c>
      <c r="Q222" s="30" t="str">
        <f>IFERROR(__xludf.DUMMYFUNCTION("""COMPUTED_VALUE"""),"0024538")</f>
        <v>0024538</v>
      </c>
      <c r="R222" s="11"/>
      <c r="S222" s="30" t="str">
        <f>IFERROR(__xludf.DUMMYFUNCTION("""COMPUTED_VALUE"""),"1")</f>
        <v>1</v>
      </c>
      <c r="T222" s="30" t="str">
        <f>IFERROR(__xludf.DUMMYFUNCTION("""COMPUTED_VALUE"""),"225125")</f>
        <v>225125</v>
      </c>
      <c r="U222" s="31" t="str">
        <f>IFERROR(__xludf.DUMMYFUNCTION("""COMPUTED_VALUE"""),"2251")</f>
        <v>2251</v>
      </c>
      <c r="V222" s="11"/>
      <c r="W222" s="11"/>
      <c r="X222" s="11"/>
      <c r="Y222" s="11"/>
      <c r="Z222" s="11"/>
    </row>
    <row r="223" customHeight="1" spans="1:26">
      <c r="A223" s="11" t="str">
        <f>IFERROR(__xludf.DUMMYFUNCTION("""COMPUTED_VALUE"""),"MARCIO CAMPOS DE MELO")</f>
        <v>MARCIO CAMPOS DE MELO</v>
      </c>
      <c r="B223" s="11" t="str">
        <f>IFERROR(__xludf.DUMMYFUNCTION("""COMPUTED_VALUE"""),"RECUSA TELECONSULTORIA")</f>
        <v>RECUSA TELECONSULTORIA</v>
      </c>
      <c r="C223" s="11"/>
      <c r="D223" s="11" t="str">
        <f>IFERROR(__xludf.DUMMYFUNCTION("""COMPUTED_VALUE"""),"Médico eSF")</f>
        <v>Médico eSF</v>
      </c>
      <c r="E223" s="11" t="str">
        <f>IFERROR(__xludf.DUMMYFUNCTION("""COMPUTED_VALUE"""),"V")</f>
        <v>V</v>
      </c>
      <c r="F223" s="11" t="str">
        <f>IFERROR(__xludf.DUMMYFUNCTION("""COMPUTED_VALUE"""),"US_167 POLICLINICA E MATERNIDADE PROFESSOR BARROS LIMA")</f>
        <v>US_167 POLICLINICA E MATERNIDADE PROFESSOR BARROS LIMA</v>
      </c>
      <c r="G223" s="11" t="str">
        <f>IFERROR(__xludf.DUMMYFUNCTION("""COMPUTED_VALUE"""),"US 294 USF VILA TAMANDARE BEIRINHA")</f>
        <v>US 294 USF VILA TAMANDARE BEIRINHA</v>
      </c>
      <c r="H223" s="27">
        <f>IFERROR(__xludf.DUMMYFUNCTION("""COMPUTED_VALUE"""),81999454440)</f>
        <v>81999454440</v>
      </c>
      <c r="I223" s="11"/>
      <c r="J223" s="11"/>
      <c r="K223" s="11"/>
      <c r="L223" s="28" t="str">
        <f>IFERROR(__xludf.DUMMYFUNCTION("""COMPUTED_VALUE"""),"X")</f>
        <v>X</v>
      </c>
      <c r="M223" s="28" t="str">
        <f>IFERROR(__xludf.DUMMYFUNCTION("""COMPUTED_VALUE"""),"3355-6254")</f>
        <v>3355-6254</v>
      </c>
      <c r="N223" s="11" t="str">
        <f>IFERROR(__xludf.DUMMYFUNCTION("""COMPUTED_VALUE"""),"drmarciocampos@oi.com.br")</f>
        <v>drmarciocampos@oi.com.br</v>
      </c>
      <c r="O223" s="29">
        <f>IFERROR(__xludf.DUMMYFUNCTION("""COMPUTED_VALUE"""),3267108411)</f>
        <v>3267108411</v>
      </c>
      <c r="P223" s="30" t="str">
        <f>IFERROR(__xludf.DUMMYFUNCTION("""COMPUTED_VALUE"""),"980016279486856")</f>
        <v>980016279486856</v>
      </c>
      <c r="Q223" s="30" t="str">
        <f>IFERROR(__xludf.DUMMYFUNCTION("""COMPUTED_VALUE"""),"3037908")</f>
        <v>3037908</v>
      </c>
      <c r="R223" s="30" t="str">
        <f>IFERROR(__xludf.DUMMYFUNCTION("""COMPUTED_VALUE"""),"0000154970")</f>
        <v>0000154970</v>
      </c>
      <c r="S223" s="30" t="str">
        <f>IFERROR(__xludf.DUMMYFUNCTION("""COMPUTED_VALUE"""),"1")</f>
        <v>1</v>
      </c>
      <c r="T223" s="30" t="str">
        <f>IFERROR(__xludf.DUMMYFUNCTION("""COMPUTED_VALUE"""),"225142")</f>
        <v>225142</v>
      </c>
      <c r="U223" s="31" t="str">
        <f>IFERROR(__xludf.DUMMYFUNCTION("""COMPUTED_VALUE"""),"2251")</f>
        <v>2251</v>
      </c>
      <c r="V223" s="11"/>
      <c r="W223" s="11"/>
      <c r="X223" s="11">
        <f>IFERROR(__xludf.DUMMYFUNCTION("""COMPUTED_VALUE"""),86152790)</f>
        <v>86152790</v>
      </c>
      <c r="Y223" s="11"/>
      <c r="Z223" s="11">
        <f>IFERROR(__xludf.DUMMYFUNCTION("""COMPUTED_VALUE"""),3267108411)</f>
        <v>3267108411</v>
      </c>
    </row>
    <row r="224" customHeight="1" spans="1:26">
      <c r="A224" s="11" t="str">
        <f>IFERROR(__xludf.DUMMYFUNCTION("""COMPUTED_VALUE"""),"ALESSANDRA MARCELINO")</f>
        <v>ALESSANDRA MARCELINO</v>
      </c>
      <c r="B224" s="11"/>
      <c r="C224" s="11"/>
      <c r="D224" s="11"/>
      <c r="E224" s="11" t="str">
        <f>IFERROR(__xludf.DUMMYFUNCTION("""COMPUTED_VALUE"""),"VI")</f>
        <v>VI</v>
      </c>
      <c r="F224" s="11" t="str">
        <f>IFERROR(__xludf.DUMMYFUNCTION("""COMPUTED_VALUE"""),"US 342 USF DJALMA HOLANDA CAVALCANTE")</f>
        <v>US 342 USF DJALMA HOLANDA CAVALCANTE</v>
      </c>
      <c r="G224" s="11" t="str">
        <f>IFERROR(__xludf.DUMMYFUNCTION("""COMPUTED_VALUE"""),"US 342 USF DJALMA HOLANDA CAVALCANTE")</f>
        <v>US 342 USF DJALMA HOLANDA CAVALCANTE</v>
      </c>
      <c r="H224" s="27">
        <f>IFERROR(__xludf.DUMMYFUNCTION("""COMPUTED_VALUE"""),81992757552)</f>
        <v>81992757552</v>
      </c>
      <c r="I224" s="11"/>
      <c r="J224" s="11"/>
      <c r="K224" s="33">
        <f>IFERROR(__xludf.DUMMYFUNCTION("""COMPUTED_VALUE"""),45286)</f>
        <v>45286</v>
      </c>
      <c r="L224" s="11"/>
      <c r="M224" s="11"/>
      <c r="N224" s="11"/>
      <c r="O224" s="11"/>
      <c r="P224" s="11"/>
      <c r="Q224" s="11"/>
      <c r="R224" s="11"/>
      <c r="S224" s="11"/>
      <c r="T224" s="11"/>
      <c r="U224" s="11"/>
      <c r="V224" s="11"/>
      <c r="W224" s="11"/>
      <c r="X224" s="11"/>
      <c r="Y224" s="11"/>
      <c r="Z224" s="11"/>
    </row>
    <row r="225" customHeight="1" spans="1:26">
      <c r="A225" s="11" t="str">
        <f>IFERROR(__xludf.DUMMYFUNCTION("""COMPUTED_VALUE"""),"ANA CAROLINA MORAIS DE HOLANDA BELTRAO")</f>
        <v>ANA CAROLINA MORAIS DE HOLANDA BELTRAO</v>
      </c>
      <c r="B225" s="11"/>
      <c r="C225" s="11"/>
      <c r="D225" s="11" t="str">
        <f>IFERROR(__xludf.DUMMYFUNCTION("""COMPUTED_VALUE"""),"Enfermeira eSF")</f>
        <v>Enfermeira eSF</v>
      </c>
      <c r="E225" s="11" t="str">
        <f>IFERROR(__xludf.DUMMYFUNCTION("""COMPUTED_VALUE"""),"VI")</f>
        <v>VI</v>
      </c>
      <c r="F225" s="11" t="str">
        <f>IFERROR(__xludf.DUMMYFUNCTION("""COMPUTED_VALUE"""),"US_153 POLICLINICA E MATERNIDADE ARNALDO MARQUES")</f>
        <v>US_153 POLICLINICA E MATERNIDADE ARNALDO MARQUES</v>
      </c>
      <c r="G225" s="11" t="str">
        <f>IFERROR(__xludf.DUMMYFUNCTION("""COMPUTED_VALUE"""),"US 342 USF DJALMA HOLANDA CAVALCANTE")</f>
        <v>US 342 USF DJALMA HOLANDA CAVALCANTE</v>
      </c>
      <c r="H225" s="27">
        <f>IFERROR(__xludf.DUMMYFUNCTION("""COMPUTED_VALUE"""),81988621408)</f>
        <v>81988621408</v>
      </c>
      <c r="I225" s="11"/>
      <c r="J225" s="11"/>
      <c r="K225" s="11"/>
      <c r="L225" s="11"/>
      <c r="M225" s="28" t="str">
        <f>IFERROR(__xludf.DUMMYFUNCTION("""COMPUTED_VALUE"""),"3355-6122")</f>
        <v>3355-6122</v>
      </c>
      <c r="N225" s="11" t="str">
        <f>IFERROR(__xludf.DUMMYFUNCTION("""COMPUTED_VALUE"""),"anacarolbeltrao@hotmail.com")</f>
        <v>anacarolbeltrao@hotmail.com</v>
      </c>
      <c r="O225" s="29">
        <f>IFERROR(__xludf.DUMMYFUNCTION("""COMPUTED_VALUE"""),3623115444)</f>
        <v>3623115444</v>
      </c>
      <c r="P225" s="30" t="str">
        <f>IFERROR(__xludf.DUMMYFUNCTION("""COMPUTED_VALUE"""),"980016276692579")</f>
        <v>980016276692579</v>
      </c>
      <c r="Q225" s="30" t="str">
        <f>IFERROR(__xludf.DUMMYFUNCTION("""COMPUTED_VALUE"""),"5392136")</f>
        <v>5392136</v>
      </c>
      <c r="R225" s="30" t="str">
        <f>IFERROR(__xludf.DUMMYFUNCTION("""COMPUTED_VALUE"""),"0000155918")</f>
        <v>0000155918</v>
      </c>
      <c r="S225" s="30" t="str">
        <f>IFERROR(__xludf.DUMMYFUNCTION("""COMPUTED_VALUE"""),"1")</f>
        <v>1</v>
      </c>
      <c r="T225" s="30" t="str">
        <f>IFERROR(__xludf.DUMMYFUNCTION("""COMPUTED_VALUE"""),"223565")</f>
        <v>223565</v>
      </c>
      <c r="U225" s="31" t="str">
        <f>IFERROR(__xludf.DUMMYFUNCTION("""COMPUTED_VALUE"""),"2235")</f>
        <v>2235</v>
      </c>
      <c r="V225" s="11"/>
      <c r="W225" s="11">
        <f>IFERROR(__xludf.DUMMYFUNCTION("""COMPUTED_VALUE"""),8188621408)</f>
        <v>8188621408</v>
      </c>
      <c r="X225" s="11"/>
      <c r="Y225" s="11">
        <f>IFERROR(__xludf.DUMMYFUNCTION("""COMPUTED_VALUE"""),3623115444)</f>
        <v>3623115444</v>
      </c>
      <c r="Z225" s="11"/>
    </row>
    <row r="226" customHeight="1" spans="1:26">
      <c r="A226" s="11" t="str">
        <f>IFERROR(__xludf.DUMMYFUNCTION("""COMPUTED_VALUE"""),"TATIANA CORREA DA CRUZ")</f>
        <v>TATIANA CORREA DA CRUZ</v>
      </c>
      <c r="B226" s="11"/>
      <c r="C226" s="11"/>
      <c r="D226" s="11" t="str">
        <f>IFERROR(__xludf.DUMMYFUNCTION("""COMPUTED_VALUE"""),"Enfermeira")</f>
        <v>Enfermeira</v>
      </c>
      <c r="E226" s="11" t="str">
        <f>IFERROR(__xludf.DUMMYFUNCTION("""COMPUTED_VALUE"""),"I")</f>
        <v>I</v>
      </c>
      <c r="F226" s="11" t="str">
        <f>IFERROR(__xludf.DUMMYFUNCTION("""COMPUTED_VALUE"""),"US_278 USF NOSSA SRA DO PILAR BAIRRO DO RECIFE")</f>
        <v>US_278 USF NOSSA SRA DO PILAR BAIRRO DO RECIFE</v>
      </c>
      <c r="G226" s="11" t="str">
        <f>IFERROR(__xludf.DUMMYFUNCTION("""COMPUTED_VALUE"""),"US 278 USF NOSSA SRA DO PILAR BAIRRO DO RECIFE")</f>
        <v>US 278 USF NOSSA SRA DO PILAR BAIRRO DO RECIFE</v>
      </c>
      <c r="H226" s="27">
        <f>IFERROR(__xludf.DUMMYFUNCTION("""COMPUTED_VALUE"""),81991922662)</f>
        <v>81991922662</v>
      </c>
      <c r="I226" s="11"/>
      <c r="J226" s="11"/>
      <c r="K226" s="11"/>
      <c r="L226" s="11"/>
      <c r="M226" s="28" t="str">
        <f>IFERROR(__xludf.DUMMYFUNCTION("""COMPUTED_VALUE"""),"3355-6691")</f>
        <v>3355-6691</v>
      </c>
      <c r="N226" s="11" t="str">
        <f>IFERROR(__xludf.DUMMYFUNCTION("""COMPUTED_VALUE"""),"cruzpe@gmail.com")</f>
        <v>cruzpe@gmail.com</v>
      </c>
      <c r="O226" s="29">
        <f>IFERROR(__xludf.DUMMYFUNCTION("""COMPUTED_VALUE"""),5016999457)</f>
        <v>5016999457</v>
      </c>
      <c r="P226" s="30" t="str">
        <f>IFERROR(__xludf.DUMMYFUNCTION("""COMPUTED_VALUE"""),"708506355300673")</f>
        <v>708506355300673</v>
      </c>
      <c r="Q226" s="30" t="str">
        <f>IFERROR(__xludf.DUMMYFUNCTION("""COMPUTED_VALUE"""),"0028665")</f>
        <v>0028665</v>
      </c>
      <c r="R226" s="30" t="str">
        <f>IFERROR(__xludf.DUMMYFUNCTION("""COMPUTED_VALUE"""),"0001560204")</f>
        <v>0001560204</v>
      </c>
      <c r="S226" s="30" t="str">
        <f>IFERROR(__xludf.DUMMYFUNCTION("""COMPUTED_VALUE"""),"1")</f>
        <v>1</v>
      </c>
      <c r="T226" s="30" t="str">
        <f>IFERROR(__xludf.DUMMYFUNCTION("""COMPUTED_VALUE"""),"223565")</f>
        <v>223565</v>
      </c>
      <c r="U226" s="31" t="str">
        <f>IFERROR(__xludf.DUMMYFUNCTION("""COMPUTED_VALUE"""),"2235")</f>
        <v>2235</v>
      </c>
      <c r="V226" s="11"/>
      <c r="W226" s="11"/>
      <c r="X226" s="11"/>
      <c r="Y226" s="11"/>
      <c r="Z226" s="11"/>
    </row>
    <row r="227" customHeight="1" spans="1:26">
      <c r="A227" s="11" t="str">
        <f>IFERROR(__xludf.DUMMYFUNCTION("""COMPUTED_VALUE"""),"CARLOS ANTONIO DE SOUZA FILHO")</f>
        <v>CARLOS ANTONIO DE SOUZA FILHO</v>
      </c>
      <c r="B227" s="11"/>
      <c r="C227" s="11"/>
      <c r="D227" s="11" t="str">
        <f>IFERROR(__xludf.DUMMYFUNCTION("""COMPUTED_VALUE"""),"Médico Clínico")</f>
        <v>Médico Clínico</v>
      </c>
      <c r="E227" s="11" t="str">
        <f>IFERROR(__xludf.DUMMYFUNCTION("""COMPUTED_VALUE"""),"VI")</f>
        <v>VI</v>
      </c>
      <c r="F227" s="11" t="str">
        <f>IFERROR(__xludf.DUMMYFUNCTION("""COMPUTED_VALUE"""),"US_119 CS PROF JOSE CARNEIRO LEAO")</f>
        <v>US_119 CS PROF JOSE CARNEIRO LEAO</v>
      </c>
      <c r="G227" s="11" t="str">
        <f>IFERROR(__xludf.DUMMYFUNCTION("""COMPUTED_VALUE"""),"US 119 CS PROF JOSE CARNEIRO LEAO")</f>
        <v>US 119 CS PROF JOSE CARNEIRO LEAO</v>
      </c>
      <c r="H227" s="11"/>
      <c r="I227" s="11"/>
      <c r="J227" s="11"/>
      <c r="K227" s="11"/>
      <c r="L227" s="11"/>
      <c r="M227" s="28" t="str">
        <f>IFERROR(__xludf.DUMMYFUNCTION("""COMPUTED_VALUE"""),"3355-4428")</f>
        <v>3355-4428</v>
      </c>
      <c r="N227" s="11" t="str">
        <f>IFERROR(__xludf.DUMMYFUNCTION("""COMPUTED_VALUE"""),"carlitocsf@yahoo.com.br")</f>
        <v>carlitocsf@yahoo.com.br</v>
      </c>
      <c r="O227" s="29">
        <f>IFERROR(__xludf.DUMMYFUNCTION("""COMPUTED_VALUE"""),9169188408)</f>
        <v>9169188408</v>
      </c>
      <c r="P227" s="29">
        <f>IFERROR(__xludf.DUMMYFUNCTION("""COMPUTED_VALUE"""),700105872384290)</f>
        <v>700105872384290</v>
      </c>
      <c r="Q227" s="30" t="str">
        <f>IFERROR(__xludf.DUMMYFUNCTION("""COMPUTED_VALUE"""),"0000752")</f>
        <v>0000752</v>
      </c>
      <c r="R227" s="11"/>
      <c r="S227" s="30" t="str">
        <f>IFERROR(__xludf.DUMMYFUNCTION("""COMPUTED_VALUE"""),"1")</f>
        <v>1</v>
      </c>
      <c r="T227" s="30" t="str">
        <f>IFERROR(__xludf.DUMMYFUNCTION("""COMPUTED_VALUE"""),"225125")</f>
        <v>225125</v>
      </c>
      <c r="U227" s="31">
        <f>IFERROR(__xludf.DUMMYFUNCTION("""COMPUTED_VALUE"""),2251)</f>
        <v>2251</v>
      </c>
      <c r="V227" s="11"/>
      <c r="W227" s="11"/>
      <c r="X227" s="11"/>
      <c r="Y227" s="11"/>
      <c r="Z227" s="11"/>
    </row>
    <row r="228" customHeight="1" spans="1:26">
      <c r="A228" s="11" t="str">
        <f>IFERROR(__xludf.DUMMYFUNCTION("""COMPUTED_VALUE"""),"PAULA VIRGINIA SILVA")</f>
        <v>PAULA VIRGINIA SILVA</v>
      </c>
      <c r="B228" s="11"/>
      <c r="C228" s="11"/>
      <c r="D228" s="11" t="str">
        <f>IFERROR(__xludf.DUMMYFUNCTION("""COMPUTED_VALUE"""),"Enfermeira eSF")</f>
        <v>Enfermeira eSF</v>
      </c>
      <c r="E228" s="11" t="str">
        <f>IFERROR(__xludf.DUMMYFUNCTION("""COMPUTED_VALUE"""),"VII")</f>
        <v>VII</v>
      </c>
      <c r="F228" s="11" t="str">
        <f>IFERROR(__xludf.DUMMYFUNCTION("""COMPUTED_VALUE"""),"US_288 USF MORRO DA CONCEICAO")</f>
        <v>US_288 USF MORRO DA CONCEICAO</v>
      </c>
      <c r="G228" s="11" t="str">
        <f>IFERROR(__xludf.DUMMYFUNCTION("""COMPUTED_VALUE"""),"US 288 USF MORRO DA CONCEICAO")</f>
        <v>US 288 USF MORRO DA CONCEICAO</v>
      </c>
      <c r="H228" s="27">
        <f>IFERROR(__xludf.DUMMYFUNCTION("""COMPUTED_VALUE"""),81998665619)</f>
        <v>81998665619</v>
      </c>
      <c r="I228" s="11"/>
      <c r="J228" s="11"/>
      <c r="K228" s="11"/>
      <c r="L228" s="11"/>
      <c r="M228" s="28" t="str">
        <f>IFERROR(__xludf.DUMMYFUNCTION("""COMPUTED_VALUE"""),"3355-6526")</f>
        <v>3355-6526</v>
      </c>
      <c r="N228" s="11" t="str">
        <f>IFERROR(__xludf.DUMMYFUNCTION("""COMPUTED_VALUE"""),"paula-v-s@hotmail.com")</f>
        <v>paula-v-s@hotmail.com</v>
      </c>
      <c r="O228" s="29">
        <f>IFERROR(__xludf.DUMMYFUNCTION("""COMPUTED_VALUE"""),89939271468)</f>
        <v>89939271468</v>
      </c>
      <c r="P228" s="30" t="str">
        <f>IFERROR(__xludf.DUMMYFUNCTION("""COMPUTED_VALUE"""),"125177232160004")</f>
        <v>125177232160004</v>
      </c>
      <c r="Q228" s="30" t="str">
        <f>IFERROR(__xludf.DUMMYFUNCTION("""COMPUTED_VALUE"""),"2679787")</f>
        <v>2679787</v>
      </c>
      <c r="R228" s="30" t="str">
        <f>IFERROR(__xludf.DUMMYFUNCTION("""COMPUTED_VALUE"""),"0000154849")</f>
        <v>0000154849</v>
      </c>
      <c r="S228" s="30" t="str">
        <f>IFERROR(__xludf.DUMMYFUNCTION("""COMPUTED_VALUE"""),"1")</f>
        <v>1</v>
      </c>
      <c r="T228" s="30" t="str">
        <f>IFERROR(__xludf.DUMMYFUNCTION("""COMPUTED_VALUE"""),"223565")</f>
        <v>223565</v>
      </c>
      <c r="U228" s="31" t="str">
        <f>IFERROR(__xludf.DUMMYFUNCTION("""COMPUTED_VALUE"""),"2235")</f>
        <v>2235</v>
      </c>
      <c r="V228" s="11"/>
      <c r="W228" s="11"/>
      <c r="X228" s="11"/>
      <c r="Y228" s="11"/>
      <c r="Z228" s="11"/>
    </row>
    <row r="229" customHeight="1" spans="1:26">
      <c r="A229" s="11" t="str">
        <f>IFERROR(__xludf.DUMMYFUNCTION("""COMPUTED_VALUE"""),"RAPHAELA SILVA L SANTOS")</f>
        <v>RAPHAELA SILVA L SANTOS</v>
      </c>
      <c r="B229" s="11"/>
      <c r="C229" s="11"/>
      <c r="D229" s="11" t="str">
        <f>IFERROR(__xludf.DUMMYFUNCTION("""COMPUTED_VALUE"""),"Dentista")</f>
        <v>Dentista</v>
      </c>
      <c r="E229" s="11" t="str">
        <f>IFERROR(__xludf.DUMMYFUNCTION("""COMPUTED_VALUE"""),"II")</f>
        <v>II</v>
      </c>
      <c r="F229" s="11" t="str">
        <f>IFERROR(__xludf.DUMMYFUNCTION("""COMPUTED_VALUE"""),"US_339 USF ALTO DO CAPITAO	")</f>
        <v>US_339 USF ALTO DO CAPITAO	</v>
      </c>
      <c r="G229" s="11" t="str">
        <f>IFERROR(__xludf.DUMMYFUNCTION("""COMPUTED_VALUE"""),"US 339 USF ALTO DO CAPITAO")</f>
        <v>US 339 USF ALTO DO CAPITAO</v>
      </c>
      <c r="H229" s="27">
        <f>IFERROR(__xludf.DUMMYFUNCTION("""COMPUTED_VALUE"""),81988127742)</f>
        <v>81988127742</v>
      </c>
      <c r="I229" s="11"/>
      <c r="J229" s="11"/>
      <c r="K229" s="11"/>
      <c r="L229" s="11"/>
      <c r="M229" s="28" t="str">
        <f>IFERROR(__xludf.DUMMYFUNCTION("""COMPUTED_VALUE"""),"3355-6922")</f>
        <v>3355-6922</v>
      </c>
      <c r="N229" s="11" t="str">
        <f>IFERROR(__xludf.DUMMYFUNCTION("""COMPUTED_VALUE"""),"raphaela_els@hotmail.com")</f>
        <v>raphaela_els@hotmail.com</v>
      </c>
      <c r="O229" s="29">
        <f>IFERROR(__xludf.DUMMYFUNCTION("""COMPUTED_VALUE"""),5175329480)</f>
        <v>5175329480</v>
      </c>
      <c r="P229" s="30" t="str">
        <f>IFERROR(__xludf.DUMMYFUNCTION("""COMPUTED_VALUE"""),"980016287717322")</f>
        <v>980016287717322</v>
      </c>
      <c r="Q229" s="30" t="str">
        <f>IFERROR(__xludf.DUMMYFUNCTION("""COMPUTED_VALUE"""),"5356881")</f>
        <v>5356881</v>
      </c>
      <c r="R229" s="30" t="str">
        <f>IFERROR(__xludf.DUMMYFUNCTION("""COMPUTED_VALUE"""),"0001727540")</f>
        <v>0001727540</v>
      </c>
      <c r="S229" s="30" t="str">
        <f>IFERROR(__xludf.DUMMYFUNCTION("""COMPUTED_VALUE"""),"1")</f>
        <v>1</v>
      </c>
      <c r="T229" s="30" t="str">
        <f>IFERROR(__xludf.DUMMYFUNCTION("""COMPUTED_VALUE"""),"223293")</f>
        <v>223293</v>
      </c>
      <c r="U229" s="31">
        <f>IFERROR(__xludf.DUMMYFUNCTION("""COMPUTED_VALUE"""),2232)</f>
        <v>2232</v>
      </c>
      <c r="V229" s="11"/>
      <c r="W229" s="11"/>
      <c r="X229" s="11"/>
      <c r="Y229" s="11"/>
      <c r="Z229" s="11"/>
    </row>
    <row r="230" customHeight="1" spans="1:26">
      <c r="A230" s="11" t="str">
        <f>IFERROR(__xludf.DUMMYFUNCTION("""COMPUTED_VALUE"""),"MANOELLA DANTAS COSTA MENDES")</f>
        <v>MANOELLA DANTAS COSTA MENDES</v>
      </c>
      <c r="B230" s="11"/>
      <c r="C230" s="11"/>
      <c r="D230" s="11" t="str">
        <f>IFERROR(__xludf.DUMMYFUNCTION("""COMPUTED_VALUE"""),"Médica eSF")</f>
        <v>Médica eSF</v>
      </c>
      <c r="E230" s="11" t="str">
        <f>IFERROR(__xludf.DUMMYFUNCTION("""COMPUTED_VALUE"""),"II")</f>
        <v>II</v>
      </c>
      <c r="F230" s="11" t="str">
        <f>IFERROR(__xludf.DUMMYFUNCTION("""COMPUTED_VALUE"""),"US_179 USF PORTO DA MADEIRA / ALTO DO CEU")</f>
        <v>US_179 USF PORTO DA MADEIRA / ALTO DO CEU</v>
      </c>
      <c r="G230" s="11" t="str">
        <f>IFERROR(__xludf.DUMMYFUNCTION("""COMPUTED_VALUE"""),"US 179 USF ALTO DO CEU")</f>
        <v>US 179 USF ALTO DO CEU</v>
      </c>
      <c r="H230" s="27">
        <f>IFERROR(__xludf.DUMMYFUNCTION("""COMPUTED_VALUE"""),81992991051)</f>
        <v>81992991051</v>
      </c>
      <c r="I230" s="11"/>
      <c r="J230" s="11"/>
      <c r="K230" s="11"/>
      <c r="L230" s="11"/>
      <c r="M230" s="28" t="str">
        <f>IFERROR(__xludf.DUMMYFUNCTION("""COMPUTED_VALUE"""),"3355-6206")</f>
        <v>3355-6206</v>
      </c>
      <c r="N230" s="11" t="str">
        <f>IFERROR(__xludf.DUMMYFUNCTION("""COMPUTED_VALUE"""),"manoelladcmendes@yahoo.com.br")</f>
        <v>manoelladcmendes@yahoo.com.br</v>
      </c>
      <c r="O230" s="29">
        <f>IFERROR(__xludf.DUMMYFUNCTION("""COMPUTED_VALUE"""),3913246401)</f>
        <v>3913246401</v>
      </c>
      <c r="P230" s="30" t="str">
        <f>IFERROR(__xludf.DUMMYFUNCTION("""COMPUTED_VALUE"""),"980016277748624")</f>
        <v>980016277748624</v>
      </c>
      <c r="Q230" s="30" t="str">
        <f>IFERROR(__xludf.DUMMYFUNCTION("""COMPUTED_VALUE"""),"0001503")</f>
        <v>0001503</v>
      </c>
      <c r="R230" s="30" t="str">
        <f>IFERROR(__xludf.DUMMYFUNCTION("""COMPUTED_VALUE"""),"0000153273")</f>
        <v>0000153273</v>
      </c>
      <c r="S230" s="30" t="str">
        <f>IFERROR(__xludf.DUMMYFUNCTION("""COMPUTED_VALUE"""),"1")</f>
        <v>1</v>
      </c>
      <c r="T230" s="30" t="str">
        <f>IFERROR(__xludf.DUMMYFUNCTION("""COMPUTED_VALUE"""),"225142")</f>
        <v>225142</v>
      </c>
      <c r="U230" s="11">
        <f>IFERROR(__xludf.DUMMYFUNCTION("""COMPUTED_VALUE"""),2251)</f>
        <v>2251</v>
      </c>
      <c r="V230" s="11" t="str">
        <f>IFERROR(__xludf.DUMMYFUNCTION("""COMPUTED_VALUE"""),"SIM")</f>
        <v>SIM</v>
      </c>
      <c r="W230" s="11"/>
      <c r="X230" s="11">
        <f>IFERROR(__xludf.DUMMYFUNCTION("""COMPUTED_VALUE"""),8192991051)</f>
        <v>8192991051</v>
      </c>
      <c r="Y230" s="11">
        <f>IFERROR(__xludf.DUMMYFUNCTION("""COMPUTED_VALUE"""),8130126718)</f>
        <v>8130126718</v>
      </c>
      <c r="Z230" s="11">
        <f>IFERROR(__xludf.DUMMYFUNCTION("""COMPUTED_VALUE"""),3913246401)</f>
        <v>3913246401</v>
      </c>
    </row>
    <row r="231" customHeight="1" spans="1:26">
      <c r="A231" s="11" t="str">
        <f>IFERROR(__xludf.DUMMYFUNCTION("""COMPUTED_VALUE"""),"RAFAEL MENDES DE ALMEIDA")</f>
        <v>RAFAEL MENDES DE ALMEIDA</v>
      </c>
      <c r="B231" s="11"/>
      <c r="C231" s="11"/>
      <c r="D231" s="11" t="str">
        <f>IFERROR(__xludf.DUMMYFUNCTION("""COMPUTED_VALUE"""),"Médico Clínico")</f>
        <v>Médico Clínico</v>
      </c>
      <c r="E231" s="11" t="str">
        <f>IFERROR(__xludf.DUMMYFUNCTION("""COMPUTED_VALUE"""),"I")</f>
        <v>I</v>
      </c>
      <c r="F231" s="11" t="str">
        <f>IFERROR(__xludf.DUMMYFUNCTION("""COMPUTED_VALUE"""),"")</f>
        <v/>
      </c>
      <c r="G231" s="11" t="str">
        <f>IFERROR(__xludf.DUMMYFUNCTION("""COMPUTED_VALUE"""),"US 218 USF COQUE II")</f>
        <v>US 218 USF COQUE II</v>
      </c>
      <c r="H231" s="27">
        <f>IFERROR(__xludf.DUMMYFUNCTION("""COMPUTED_VALUE"""),81998670387)</f>
        <v>81998670387</v>
      </c>
      <c r="I231" s="11"/>
      <c r="J231" s="11"/>
      <c r="K231" s="24">
        <f>IFERROR(__xludf.DUMMYFUNCTION("""COMPUTED_VALUE"""),45190)</f>
        <v>45190</v>
      </c>
      <c r="L231" s="11"/>
      <c r="M231" s="11"/>
      <c r="N231" s="11"/>
      <c r="O231" s="11"/>
      <c r="P231" s="11"/>
      <c r="Q231" s="11"/>
      <c r="R231" s="11"/>
      <c r="S231" s="11"/>
      <c r="T231" s="11"/>
      <c r="U231" s="11"/>
      <c r="V231" s="11"/>
      <c r="W231" s="11"/>
      <c r="X231" s="11"/>
      <c r="Y231" s="11"/>
      <c r="Z231" s="11"/>
    </row>
    <row r="232" customHeight="1" spans="1:26">
      <c r="A232" s="11" t="str">
        <f>IFERROR(__xludf.DUMMYFUNCTION("""COMPUTED_VALUE"""),"ERIKA VERICIA DE ALENCAR TENORIO DE SOUZA")</f>
        <v>ERIKA VERICIA DE ALENCAR TENORIO DE SOUZA</v>
      </c>
      <c r="B232" s="11"/>
      <c r="C232" s="11"/>
      <c r="D232" s="11" t="str">
        <f>IFERROR(__xludf.DUMMYFUNCTION("""COMPUTED_VALUE"""),"Enfermeira eSF")</f>
        <v>Enfermeira eSF</v>
      </c>
      <c r="E232" s="11" t="str">
        <f>IFERROR(__xludf.DUMMYFUNCTION("""COMPUTED_VALUE"""),"I")</f>
        <v>I</v>
      </c>
      <c r="F232" s="11" t="str">
        <f>IFERROR(__xludf.DUMMYFUNCTION("""COMPUTED_VALUE"""),"US_218 USF COQUE")</f>
        <v>US_218 USF COQUE</v>
      </c>
      <c r="G232" s="11" t="str">
        <f>IFERROR(__xludf.DUMMYFUNCTION("""COMPUTED_VALUE"""),"US 218 USF COQUE")</f>
        <v>US 218 USF COQUE</v>
      </c>
      <c r="H232" s="27">
        <f>IFERROR(__xludf.DUMMYFUNCTION("""COMPUTED_VALUE"""),81986931751)</f>
        <v>81986931751</v>
      </c>
      <c r="I232" s="27">
        <f>IFERROR(__xludf.DUMMYFUNCTION("""COMPUTED_VALUE"""),81998879809)</f>
        <v>81998879809</v>
      </c>
      <c r="J232" s="11"/>
      <c r="K232" s="11"/>
      <c r="L232" s="11"/>
      <c r="M232" s="28" t="str">
        <f>IFERROR(__xludf.DUMMYFUNCTION("""COMPUTED_VALUE"""),"3355-4656")</f>
        <v>3355-4656</v>
      </c>
      <c r="N232" s="11" t="str">
        <f>IFERROR(__xludf.DUMMYFUNCTION("""COMPUTED_VALUE"""),"erikavericia@yahoo.com.br")</f>
        <v>erikavericia@yahoo.com.br</v>
      </c>
      <c r="O232" s="29">
        <f>IFERROR(__xludf.DUMMYFUNCTION("""COMPUTED_VALUE"""),2112402498)</f>
        <v>2112402498</v>
      </c>
      <c r="P232" s="30" t="str">
        <f>IFERROR(__xludf.DUMMYFUNCTION("""COMPUTED_VALUE"""),"980016283032864")</f>
        <v>980016283032864</v>
      </c>
      <c r="Q232" s="30" t="str">
        <f>IFERROR(__xludf.DUMMYFUNCTION("""COMPUTED_VALUE"""),"0001252")</f>
        <v>0001252</v>
      </c>
      <c r="R232" s="30" t="str">
        <f>IFERROR(__xludf.DUMMYFUNCTION("""COMPUTED_VALUE"""),"0000153176")</f>
        <v>0000153176</v>
      </c>
      <c r="S232" s="30" t="str">
        <f>IFERROR(__xludf.DUMMYFUNCTION("""COMPUTED_VALUE"""),"1")</f>
        <v>1</v>
      </c>
      <c r="T232" s="30" t="str">
        <f>IFERROR(__xludf.DUMMYFUNCTION("""COMPUTED_VALUE"""),"223565")</f>
        <v>223565</v>
      </c>
      <c r="U232" s="31" t="str">
        <f>IFERROR(__xludf.DUMMYFUNCTION("""COMPUTED_VALUE"""),"2235")</f>
        <v>2235</v>
      </c>
      <c r="V232" s="11"/>
      <c r="W232" s="11">
        <f>IFERROR(__xludf.DUMMYFUNCTION("""COMPUTED_VALUE"""),30140915)</f>
        <v>30140915</v>
      </c>
      <c r="X232" s="11">
        <f>IFERROR(__xludf.DUMMYFUNCTION("""COMPUTED_VALUE"""),86931751)</f>
        <v>86931751</v>
      </c>
      <c r="Y232" s="11">
        <f>IFERROR(__xludf.DUMMYFUNCTION("""COMPUTED_VALUE"""),2112402498)</f>
        <v>2112402498</v>
      </c>
      <c r="Z232" s="11"/>
    </row>
    <row r="233" customHeight="1" spans="1:26">
      <c r="A233" s="11" t="str">
        <f>IFERROR(__xludf.DUMMYFUNCTION("""COMPUTED_VALUE"""),"SUMAIA CUNHA E SILVA AMORIM")</f>
        <v>SUMAIA CUNHA E SILVA AMORIM</v>
      </c>
      <c r="B233" s="11"/>
      <c r="C233" s="11"/>
      <c r="D233" s="11" t="str">
        <f>IFERROR(__xludf.DUMMYFUNCTION("""COMPUTED_VALUE"""),"Dentista")</f>
        <v>Dentista</v>
      </c>
      <c r="E233" s="11" t="str">
        <f>IFERROR(__xludf.DUMMYFUNCTION("""COMPUTED_VALUE"""),"I")</f>
        <v>I</v>
      </c>
      <c r="F233" s="11" t="str">
        <f>IFERROR(__xludf.DUMMYFUNCTION("""COMPUTED_VALUE"""),"US_334 USF CABANGA")</f>
        <v>US_334 USF CABANGA</v>
      </c>
      <c r="G233" s="11" t="str">
        <f>IFERROR(__xludf.DUMMYFUNCTION("""COMPUTED_VALUE"""),"US 218 USF COQUE")</f>
        <v>US 218 USF COQUE</v>
      </c>
      <c r="H233" s="27">
        <f>IFERROR(__xludf.DUMMYFUNCTION("""COMPUTED_VALUE"""),81987950347)</f>
        <v>81987950347</v>
      </c>
      <c r="I233" s="11"/>
      <c r="J233" s="11"/>
      <c r="K233" s="11"/>
      <c r="L233" s="11"/>
      <c r="M233" s="28" t="str">
        <f>IFERROR(__xludf.DUMMYFUNCTION("""COMPUTED_VALUE"""),"3355-4656")</f>
        <v>3355-4656</v>
      </c>
      <c r="N233" s="11" t="str">
        <f>IFERROR(__xludf.DUMMYFUNCTION("""COMPUTED_VALUE"""),"sumaia_amorim@hotmail.com")</f>
        <v>sumaia_amorim@hotmail.com</v>
      </c>
      <c r="O233" s="29">
        <f>IFERROR(__xludf.DUMMYFUNCTION("""COMPUTED_VALUE"""),44944985487)</f>
        <v>44944985487</v>
      </c>
      <c r="P233" s="30" t="str">
        <f>IFERROR(__xludf.DUMMYFUNCTION("""COMPUTED_VALUE"""),"980016284482227")</f>
        <v>980016284482227</v>
      </c>
      <c r="Q233" s="30" t="str">
        <f>IFERROR(__xludf.DUMMYFUNCTION("""COMPUTED_VALUE"""),"0001252")</f>
        <v>0001252</v>
      </c>
      <c r="R233" s="30" t="str">
        <f>IFERROR(__xludf.DUMMYFUNCTION("""COMPUTED_VALUE"""),"0000153184	")</f>
        <v>0000153184	</v>
      </c>
      <c r="S233" s="30" t="str">
        <f>IFERROR(__xludf.DUMMYFUNCTION("""COMPUTED_VALUE"""),"1")</f>
        <v>1</v>
      </c>
      <c r="T233" s="30" t="str">
        <f>IFERROR(__xludf.DUMMYFUNCTION("""COMPUTED_VALUE"""),"223288")</f>
        <v>223288</v>
      </c>
      <c r="U233" s="31">
        <f>IFERROR(__xludf.DUMMYFUNCTION("""COMPUTED_VALUE"""),2232)</f>
        <v>2232</v>
      </c>
      <c r="V233" s="11"/>
      <c r="W233" s="11"/>
      <c r="X233" s="11"/>
      <c r="Y233" s="11"/>
      <c r="Z233" s="11"/>
    </row>
    <row r="234" customHeight="1" spans="1:26">
      <c r="A234" s="11" t="str">
        <f>IFERROR(__xludf.DUMMYFUNCTION("""COMPUTED_VALUE"""),"MARIA DAS GRACAS CARLOS DE ARAUJO ALVES")</f>
        <v>MARIA DAS GRACAS CARLOS DE ARAUJO ALVES</v>
      </c>
      <c r="B234" s="11"/>
      <c r="C234" s="11"/>
      <c r="D234" s="11" t="str">
        <f>IFERROR(__xludf.DUMMYFUNCTION("""COMPUTED_VALUE"""),"Médico Clínico")</f>
        <v>Médico Clínico</v>
      </c>
      <c r="E234" s="11" t="str">
        <f>IFERROR(__xludf.DUMMYFUNCTION("""COMPUTED_VALUE"""),"IV")</f>
        <v>IV</v>
      </c>
      <c r="F234" s="11" t="str">
        <f>IFERROR(__xludf.DUMMYFUNCTION("""COMPUTED_VALUE"""),"US_106 CS PROF JOAQUIM CAVALCANTE	")</f>
        <v>US_106 CS PROF JOAQUIM CAVALCANTE	</v>
      </c>
      <c r="G234" s="11" t="str">
        <f>IFERROR(__xludf.DUMMYFUNCTION("""COMPUTED_VALUE"""),"US 106 CS PROF JOAQUIM CAVALCANTE")</f>
        <v>US 106 CS PROF JOAQUIM CAVALCANTE</v>
      </c>
      <c r="H234" s="27">
        <f>IFERROR(__xludf.DUMMYFUNCTION("""COMPUTED_VALUE"""),81983523192)</f>
        <v>81983523192</v>
      </c>
      <c r="I234" s="11"/>
      <c r="J234" s="11"/>
      <c r="K234" s="11"/>
      <c r="L234" s="11"/>
      <c r="M234" s="28" t="str">
        <f>IFERROR(__xludf.DUMMYFUNCTION("""COMPUTED_VALUE"""),"3355-4425")</f>
        <v>3355-4425</v>
      </c>
      <c r="N234" s="11" t="str">
        <f>IFERROR(__xludf.DUMMYFUNCTION("""COMPUTED_VALUE"""),"gracacarlos2008@hotmail.com")</f>
        <v>gracacarlos2008@hotmail.com</v>
      </c>
      <c r="O234" s="29">
        <f>IFERROR(__xludf.DUMMYFUNCTION("""COMPUTED_VALUE"""),17936373420)</f>
        <v>17936373420</v>
      </c>
      <c r="P234" s="30" t="str">
        <f>IFERROR(__xludf.DUMMYFUNCTION("""COMPUTED_VALUE"""),"106132682180005")</f>
        <v>106132682180005</v>
      </c>
      <c r="Q234" s="30" t="str">
        <f>IFERROR(__xludf.DUMMYFUNCTION("""COMPUTED_VALUE"""),"0000639")</f>
        <v>0000639</v>
      </c>
      <c r="R234" s="30" t="str">
        <f>IFERROR(__xludf.DUMMYFUNCTION("""COMPUTED_VALUE"""),"9000063905")</f>
        <v>9000063905</v>
      </c>
      <c r="S234" s="30" t="str">
        <f>IFERROR(__xludf.DUMMYFUNCTION("""COMPUTED_VALUE"""),"1")</f>
        <v>1</v>
      </c>
      <c r="T234" s="30" t="str">
        <f>IFERROR(__xludf.DUMMYFUNCTION("""COMPUTED_VALUE"""),"225125")</f>
        <v>225125</v>
      </c>
      <c r="U234" s="31" t="str">
        <f>IFERROR(__xludf.DUMMYFUNCTION("""COMPUTED_VALUE"""),"2251")</f>
        <v>2251</v>
      </c>
      <c r="V234" s="11"/>
      <c r="W234" s="11"/>
      <c r="X234" s="11">
        <f>IFERROR(__xludf.DUMMYFUNCTION("""COMPUTED_VALUE"""),8130192638)</f>
        <v>8130192638</v>
      </c>
      <c r="Y234" s="11">
        <f>IFERROR(__xludf.DUMMYFUNCTION("""COMPUTED_VALUE"""),8132288932)</f>
        <v>8132288932</v>
      </c>
      <c r="Z234" s="11">
        <f>IFERROR(__xludf.DUMMYFUNCTION("""COMPUTED_VALUE"""),17936373420)</f>
        <v>17936373420</v>
      </c>
    </row>
    <row r="235" customHeight="1" spans="1:26">
      <c r="A235" s="11" t="str">
        <f>IFERROR(__xludf.DUMMYFUNCTION("""COMPUTED_VALUE"""),"SARITA DOS SANTOS")</f>
        <v>SARITA DOS SANTOS</v>
      </c>
      <c r="B235" s="11"/>
      <c r="C235" s="11"/>
      <c r="D235" s="11" t="str">
        <f>IFERROR(__xludf.DUMMYFUNCTION("""COMPUTED_VALUE"""),"Médica eSF")</f>
        <v>Médica eSF</v>
      </c>
      <c r="E235" s="11"/>
      <c r="F235" s="11" t="str">
        <f>IFERROR(__xludf.DUMMYFUNCTION("""COMPUTED_VALUE"""),"")</f>
        <v/>
      </c>
      <c r="G235" s="11" t="str">
        <f>IFERROR(__xludf.DUMMYFUNCTION("""COMPUTED_VALUE"""),"US 331 USF PROF AMAURY DE MEDEIROS")</f>
        <v>US 331 USF PROF AMAURY DE MEDEIROS</v>
      </c>
      <c r="H235" s="27">
        <f>IFERROR(__xludf.DUMMYFUNCTION("""COMPUTED_VALUE"""),68999032997)</f>
        <v>68999032997</v>
      </c>
      <c r="I235" s="11"/>
      <c r="J235" s="11"/>
      <c r="K235" s="24">
        <f>IFERROR(__xludf.DUMMYFUNCTION("""COMPUTED_VALUE"""),45418)</f>
        <v>45418</v>
      </c>
      <c r="L235" s="11"/>
      <c r="M235" s="11"/>
      <c r="N235" s="11"/>
      <c r="O235" s="11"/>
      <c r="P235" s="11"/>
      <c r="Q235" s="11"/>
      <c r="R235" s="11"/>
      <c r="S235" s="11"/>
      <c r="T235" s="11"/>
      <c r="U235" s="11"/>
      <c r="V235" s="11"/>
      <c r="W235" s="11"/>
      <c r="X235" s="11"/>
      <c r="Y235" s="11"/>
      <c r="Z235" s="11"/>
    </row>
    <row r="236" customHeight="1" spans="1:26">
      <c r="A236" s="11" t="str">
        <f>IFERROR(__xludf.DUMMYFUNCTION("""COMPUTED_VALUE"""),"MARIA DO CEU DA SILVA GONCALVES")</f>
        <v>MARIA DO CEU DA SILVA GONCALVES</v>
      </c>
      <c r="B236" s="11"/>
      <c r="C236" s="11"/>
      <c r="D236" s="11" t="str">
        <f>IFERROR(__xludf.DUMMYFUNCTION("""COMPUTED_VALUE"""),"Enfermeira eSF")</f>
        <v>Enfermeira eSF</v>
      </c>
      <c r="E236" s="11" t="str">
        <f>IFERROR(__xludf.DUMMYFUNCTION("""COMPUTED_VALUE"""),"IV")</f>
        <v>IV</v>
      </c>
      <c r="F236" s="11" t="str">
        <f>IFERROR(__xludf.DUMMYFUNCTION("""COMPUTED_VALUE"""),"US_331 USF PROF AMAURY DE MEDEIROS")</f>
        <v>US_331 USF PROF AMAURY DE MEDEIROS</v>
      </c>
      <c r="G236" s="11" t="str">
        <f>IFERROR(__xludf.DUMMYFUNCTION("""COMPUTED_VALUE"""),"US 331 USF PROF AMAURY DE MEDEIROS")</f>
        <v>US 331 USF PROF AMAURY DE MEDEIROS</v>
      </c>
      <c r="H236" s="27">
        <f>IFERROR(__xludf.DUMMYFUNCTION("""COMPUTED_VALUE"""),81996290136)</f>
        <v>81996290136</v>
      </c>
      <c r="I236" s="11"/>
      <c r="J236" s="11"/>
      <c r="K236" s="11"/>
      <c r="L236" s="11"/>
      <c r="M236" s="28" t="str">
        <f>IFERROR(__xludf.DUMMYFUNCTION("""COMPUTED_VALUE"""),"3355-0308/0309")</f>
        <v>3355-0308/0309</v>
      </c>
      <c r="N236" s="11" t="str">
        <f>IFERROR(__xludf.DUMMYFUNCTION("""COMPUTED_VALUE"""),"maryceu78@gmail.com")</f>
        <v>maryceu78@gmail.com</v>
      </c>
      <c r="O236" s="29">
        <f>IFERROR(__xludf.DUMMYFUNCTION("""COMPUTED_VALUE"""),2298850470)</f>
        <v>2298850470</v>
      </c>
      <c r="P236" s="30" t="str">
        <f>IFERROR(__xludf.DUMMYFUNCTION("""COMPUTED_VALUE"""),"190015541320005")</f>
        <v>190015541320005</v>
      </c>
      <c r="Q236" s="30" t="str">
        <f>IFERROR(__xludf.DUMMYFUNCTION("""COMPUTED_VALUE"""),"3703223")</f>
        <v>3703223</v>
      </c>
      <c r="R236" s="30" t="str">
        <f>IFERROR(__xludf.DUMMYFUNCTION("""COMPUTED_VALUE"""),"0000155691")</f>
        <v>0000155691</v>
      </c>
      <c r="S236" s="30" t="str">
        <f>IFERROR(__xludf.DUMMYFUNCTION("""COMPUTED_VALUE"""),"1")</f>
        <v>1</v>
      </c>
      <c r="T236" s="30" t="str">
        <f>IFERROR(__xludf.DUMMYFUNCTION("""COMPUTED_VALUE"""),"223565")</f>
        <v>223565</v>
      </c>
      <c r="U236" s="31" t="str">
        <f>IFERROR(__xludf.DUMMYFUNCTION("""COMPUTED_VALUE"""),"2235")</f>
        <v>2235</v>
      </c>
      <c r="V236" s="11"/>
      <c r="W236" s="11">
        <f>IFERROR(__xludf.DUMMYFUNCTION("""COMPUTED_VALUE"""),30193593)</f>
        <v>30193593</v>
      </c>
      <c r="X236" s="11">
        <f>IFERROR(__xludf.DUMMYFUNCTION("""COMPUTED_VALUE"""),96290136)</f>
        <v>96290136</v>
      </c>
      <c r="Y236" s="11">
        <f>IFERROR(__xludf.DUMMYFUNCTION("""COMPUTED_VALUE"""),2298850470)</f>
        <v>2298850470</v>
      </c>
      <c r="Z236" s="11"/>
    </row>
    <row r="237" customHeight="1" spans="1:26">
      <c r="A237" s="11" t="str">
        <f>IFERROR(__xludf.DUMMYFUNCTION("""COMPUTED_VALUE"""),"MANUELA MARIZ ")</f>
        <v>MANUELA MARIZ </v>
      </c>
      <c r="B237" s="11"/>
      <c r="C237" s="11"/>
      <c r="D237" s="11" t="str">
        <f>IFERROR(__xludf.DUMMYFUNCTION("""COMPUTED_VALUE"""),"Médica Residente")</f>
        <v>Médica Residente</v>
      </c>
      <c r="E237" s="11"/>
      <c r="F237" s="11" t="str">
        <f>IFERROR(__xludf.DUMMYFUNCTION("""COMPUTED_VALUE"""),"US_259 USF SITIO SAO BRAZ	")</f>
        <v>US_259 USF SITIO SAO BRAZ	</v>
      </c>
      <c r="G237" s="11" t="str">
        <f>IFERROR(__xludf.DUMMYFUNCTION("""COMPUTED_VALUE"""),"US_259 USF SITIO SAO BRAZ	")</f>
        <v>US_259 USF SITIO SAO BRAZ	</v>
      </c>
      <c r="H237" s="27">
        <f>IFERROR(__xludf.DUMMYFUNCTION("""COMPUTED_VALUE"""),81992256161)</f>
        <v>81992256161</v>
      </c>
      <c r="I237" s="11"/>
      <c r="J237" s="11"/>
      <c r="K237" s="33">
        <f>IFERROR(__xludf.DUMMYFUNCTION("""COMPUTED_VALUE"""),45273)</f>
        <v>45273</v>
      </c>
      <c r="L237" s="11"/>
      <c r="M237" s="11"/>
      <c r="N237" s="11"/>
      <c r="O237" s="11"/>
      <c r="P237" s="11"/>
      <c r="Q237" s="11"/>
      <c r="R237" s="11"/>
      <c r="S237" s="11"/>
      <c r="T237" s="11"/>
      <c r="U237" s="11"/>
      <c r="V237" s="11"/>
      <c r="W237" s="11"/>
      <c r="X237" s="11"/>
      <c r="Y237" s="11"/>
      <c r="Z237" s="11"/>
    </row>
    <row r="238" customHeight="1" spans="1:26">
      <c r="A238" s="11" t="str">
        <f>IFERROR(__xludf.DUMMYFUNCTION("""COMPUTED_VALUE"""),"AMANDA MARQUES MERCES DO NASCIMENTO LIMA")</f>
        <v>AMANDA MARQUES MERCES DO NASCIMENTO LIMA</v>
      </c>
      <c r="B238" s="11"/>
      <c r="C238" s="11"/>
      <c r="D238" s="11" t="str">
        <f>IFERROR(__xludf.DUMMYFUNCTION("""COMPUTED_VALUE"""),"Médica eSF")</f>
        <v>Médica eSF</v>
      </c>
      <c r="E238" s="11" t="str">
        <f>IFERROR(__xludf.DUMMYFUNCTION("""COMPUTED_VALUE"""),"III")</f>
        <v>III</v>
      </c>
      <c r="F238" s="11" t="str">
        <f>IFERROR(__xludf.DUMMYFUNCTION("""COMPUTED_VALUE"""),"US_259 USF SITIO SAO BRAZ	")</f>
        <v>US_259 USF SITIO SAO BRAZ	</v>
      </c>
      <c r="G238" s="11" t="str">
        <f>IFERROR(__xludf.DUMMYFUNCTION("""COMPUTED_VALUE"""),"US 259 USF SITIO SAO BRAZ")</f>
        <v>US 259 USF SITIO SAO BRAZ</v>
      </c>
      <c r="H238" s="27">
        <f>IFERROR(__xludf.DUMMYFUNCTION("""COMPUTED_VALUE"""),81985388966)</f>
        <v>81985388966</v>
      </c>
      <c r="I238" s="11"/>
      <c r="J238" s="11"/>
      <c r="K238" s="11"/>
      <c r="L238" s="11"/>
      <c r="M238" s="28" t="str">
        <f>IFERROR(__xludf.DUMMYFUNCTION("""COMPUTED_VALUE"""),"3355-0325")</f>
        <v>3355-0325</v>
      </c>
      <c r="N238" s="11" t="str">
        <f>IFERROR(__xludf.DUMMYFUNCTION("""COMPUTED_VALUE"""),"dramandamar@gmail.com")</f>
        <v>dramandamar@gmail.com</v>
      </c>
      <c r="O238" s="29">
        <f>IFERROR(__xludf.DUMMYFUNCTION("""COMPUTED_VALUE"""),2924306477)</f>
        <v>2924306477</v>
      </c>
      <c r="P238" s="30" t="str">
        <f>IFERROR(__xludf.DUMMYFUNCTION("""COMPUTED_VALUE"""),"980016279897805")</f>
        <v>980016279897805</v>
      </c>
      <c r="Q238" s="30" t="str">
        <f>IFERROR(__xludf.DUMMYFUNCTION("""COMPUTED_VALUE"""),"0026212")</f>
        <v>0026212</v>
      </c>
      <c r="R238" s="30" t="str">
        <f>IFERROR(__xludf.DUMMYFUNCTION("""COMPUTED_VALUE"""),"0000154202")</f>
        <v>0000154202</v>
      </c>
      <c r="S238" s="30" t="str">
        <f>IFERROR(__xludf.DUMMYFUNCTION("""COMPUTED_VALUE"""),"1")</f>
        <v>1</v>
      </c>
      <c r="T238" s="30" t="str">
        <f>IFERROR(__xludf.DUMMYFUNCTION("""COMPUTED_VALUE"""),"225142")</f>
        <v>225142</v>
      </c>
      <c r="U238" s="31" t="str">
        <f>IFERROR(__xludf.DUMMYFUNCTION("""COMPUTED_VALUE"""),"2251")</f>
        <v>2251</v>
      </c>
      <c r="V238" s="11" t="str">
        <f>IFERROR(__xludf.DUMMYFUNCTION("""COMPUTED_VALUE"""),"SIM")</f>
        <v>SIM</v>
      </c>
      <c r="W238" s="11"/>
      <c r="X238" s="11">
        <f>IFERROR(__xludf.DUMMYFUNCTION("""COMPUTED_VALUE"""),8185388966)</f>
        <v>8185388966</v>
      </c>
      <c r="Y238" s="11">
        <f>IFERROR(__xludf.DUMMYFUNCTION("""COMPUTED_VALUE"""),8132269119)</f>
        <v>8132269119</v>
      </c>
      <c r="Z238" s="11">
        <f>IFERROR(__xludf.DUMMYFUNCTION("""COMPUTED_VALUE"""),2924306477)</f>
        <v>2924306477</v>
      </c>
    </row>
    <row r="239" customHeight="1" spans="1:26">
      <c r="A239" s="11" t="str">
        <f>IFERROR(__xludf.DUMMYFUNCTION("""COMPUTED_VALUE"""),"Raquel Godoi do Amaral Ferraz")</f>
        <v>Raquel Godoi do Amaral Ferraz</v>
      </c>
      <c r="B239" s="11"/>
      <c r="C239" s="11"/>
      <c r="D239" s="11" t="str">
        <f>IFERROR(__xludf.DUMMYFUNCTION("""COMPUTED_VALUE"""),"Médica eSF")</f>
        <v>Médica eSF</v>
      </c>
      <c r="E239" s="11"/>
      <c r="F239" s="11" t="str">
        <f>IFERROR(__xludf.DUMMYFUNCTION("""COMPUTED_VALUE"""),"US 401 USF UPINHA 24H GOVERNADOR EDUARDO CAMPOS")</f>
        <v>US 401 USF UPINHA 24H GOVERNADOR EDUARDO CAMPOS</v>
      </c>
      <c r="G239" s="11" t="str">
        <f>IFERROR(__xludf.DUMMYFUNCTION("""COMPUTED_VALUE"""),"US 401 USF UPINHA 24H GOVERNADOR EDUARDO CAMPOS")</f>
        <v>US 401 USF UPINHA 24H GOVERNADOR EDUARDO CAMPOS</v>
      </c>
      <c r="H239" s="27">
        <f>IFERROR(__xludf.DUMMYFUNCTION("""COMPUTED_VALUE"""),81998749063)</f>
        <v>81998749063</v>
      </c>
      <c r="I239" s="11"/>
      <c r="J239" s="11"/>
      <c r="K239" s="24">
        <f>IFERROR(__xludf.DUMMYFUNCTION("""COMPUTED_VALUE"""),45358)</f>
        <v>45358</v>
      </c>
      <c r="L239" s="11"/>
      <c r="M239" s="11"/>
      <c r="N239" s="11"/>
      <c r="O239" s="11"/>
      <c r="P239" s="11"/>
      <c r="Q239" s="11"/>
      <c r="R239" s="11"/>
      <c r="S239" s="11"/>
      <c r="T239" s="11"/>
      <c r="U239" s="11"/>
      <c r="V239" s="11"/>
      <c r="W239" s="11"/>
      <c r="X239" s="11"/>
      <c r="Y239" s="11"/>
      <c r="Z239" s="11"/>
    </row>
    <row r="240" customHeight="1" spans="1:26">
      <c r="A240" s="11" t="str">
        <f>IFERROR(__xludf.DUMMYFUNCTION("""COMPUTED_VALUE"""),"MONICA MICHELE DOS SANTOS ARAUJO")</f>
        <v>MONICA MICHELE DOS SANTOS ARAUJO</v>
      </c>
      <c r="B240" s="11"/>
      <c r="C240" s="11"/>
      <c r="D240" s="11" t="str">
        <f>IFERROR(__xludf.DUMMYFUNCTION("""COMPUTED_VALUE"""),"Enfermeira eSF")</f>
        <v>Enfermeira eSF</v>
      </c>
      <c r="E240" s="11" t="str">
        <f>IFERROR(__xludf.DUMMYFUNCTION("""COMPUTED_VALUE"""),"II")</f>
        <v>II</v>
      </c>
      <c r="F240" s="11" t="str">
        <f>IFERROR(__xludf.DUMMYFUNCTION("""COMPUTED_VALUE"""),"US_276 USF UPINHA DIA ALTO DO PASCOAL	")</f>
        <v>US_276 USF UPINHA DIA ALTO DO PASCOAL	</v>
      </c>
      <c r="G240" s="11" t="str">
        <f>IFERROR(__xludf.DUMMYFUNCTION("""COMPUTED_VALUE"""),"US 401 USF UPINHA 24H GOVERNADOR EDUARDO CAMPOS")</f>
        <v>US 401 USF UPINHA 24H GOVERNADOR EDUARDO CAMPOS</v>
      </c>
      <c r="H240" s="27">
        <f>IFERROR(__xludf.DUMMYFUNCTION("""COMPUTED_VALUE"""),81996682424)</f>
        <v>81996682424</v>
      </c>
      <c r="I240" s="11"/>
      <c r="J240" s="11"/>
      <c r="K240" s="11"/>
      <c r="L240" s="11"/>
      <c r="M240" s="11"/>
      <c r="N240" s="11" t="str">
        <f>IFERROR(__xludf.DUMMYFUNCTION("""COMPUTED_VALUE"""),"monica_m_araujo@hotmail.com")</f>
        <v>monica_m_araujo@hotmail.com</v>
      </c>
      <c r="O240" s="29">
        <f>IFERROR(__xludf.DUMMYFUNCTION("""COMPUTED_VALUE"""),86679368472)</f>
        <v>86679368472</v>
      </c>
      <c r="P240" s="30" t="str">
        <f>IFERROR(__xludf.DUMMYFUNCTION("""COMPUTED_VALUE"""),"204323106430004")</f>
        <v>204323106430004</v>
      </c>
      <c r="Q240" s="30" t="str">
        <f>IFERROR(__xludf.DUMMYFUNCTION("""COMPUTED_VALUE"""),"7946651")</f>
        <v>7946651</v>
      </c>
      <c r="R240" s="30" t="str">
        <f>IFERROR(__xludf.DUMMYFUNCTION("""COMPUTED_VALUE"""),"0001601873")</f>
        <v>0001601873</v>
      </c>
      <c r="S240" s="30" t="str">
        <f>IFERROR(__xludf.DUMMYFUNCTION("""COMPUTED_VALUE"""),"1")</f>
        <v>1</v>
      </c>
      <c r="T240" s="30" t="str">
        <f>IFERROR(__xludf.DUMMYFUNCTION("""COMPUTED_VALUE"""),"223565")</f>
        <v>223565</v>
      </c>
      <c r="U240" s="31" t="str">
        <f>IFERROR(__xludf.DUMMYFUNCTION("""COMPUTED_VALUE"""),"2235")</f>
        <v>2235</v>
      </c>
      <c r="V240" s="11"/>
      <c r="W240" s="11"/>
      <c r="X240" s="11"/>
      <c r="Y240" s="11"/>
      <c r="Z240" s="11"/>
    </row>
    <row r="241" customHeight="1" spans="1:26">
      <c r="A241" s="11" t="str">
        <f>IFERROR(__xludf.DUMMYFUNCTION("""COMPUTED_VALUE"""),"FRANCISCA NORMA LAURIA FREIRE")</f>
        <v>FRANCISCA NORMA LAURIA FREIRE</v>
      </c>
      <c r="B241" s="11"/>
      <c r="C241" s="11"/>
      <c r="D241" s="11" t="str">
        <f>IFERROR(__xludf.DUMMYFUNCTION("""COMPUTED_VALUE"""),"Enfermeira eSF")</f>
        <v>Enfermeira eSF</v>
      </c>
      <c r="E241" s="11" t="str">
        <f>IFERROR(__xludf.DUMMYFUNCTION("""COMPUTED_VALUE"""),"IV")</f>
        <v>IV</v>
      </c>
      <c r="F241" s="11" t="str">
        <f>IFERROR(__xludf.DUMMYFUNCTION("""COMPUTED_VALUE"""),"US_442 USF UPINHA DIA SANTA LUZIA EMOCY KRAUSE")</f>
        <v>US_442 USF UPINHA DIA SANTA LUZIA EMOCY KRAUSE</v>
      </c>
      <c r="G241" s="11" t="str">
        <f>IFERROR(__xludf.DUMMYFUNCTION("""COMPUTED_VALUE"""),"US 442 USF UPINHA DIA SANTA LUZIA EMOCY KRAUSE")</f>
        <v>US 442 USF UPINHA DIA SANTA LUZIA EMOCY KRAUSE</v>
      </c>
      <c r="H241" s="27">
        <f>IFERROR(__xludf.DUMMYFUNCTION("""COMPUTED_VALUE"""),81999247518)</f>
        <v>81999247518</v>
      </c>
      <c r="I241" s="11"/>
      <c r="J241" s="11"/>
      <c r="K241" s="11"/>
      <c r="L241" s="11"/>
      <c r="M241" s="28" t="str">
        <f>IFERROR(__xludf.DUMMYFUNCTION("""COMPUTED_VALUE"""),"3355-1816/1850/1834")</f>
        <v>3355-1816/1850/1834</v>
      </c>
      <c r="N241" s="11" t="str">
        <f>IFERROR(__xludf.DUMMYFUNCTION("""COMPUTED_VALUE"""),"normalauria2@hotmail.com")</f>
        <v>normalauria2@hotmail.com</v>
      </c>
      <c r="O241" s="29">
        <f>IFERROR(__xludf.DUMMYFUNCTION("""COMPUTED_VALUE"""),14313910344)</f>
        <v>14313910344</v>
      </c>
      <c r="P241" s="30" t="str">
        <f>IFERROR(__xludf.DUMMYFUNCTION("""COMPUTED_VALUE"""),"204323019460002")</f>
        <v>204323019460002</v>
      </c>
      <c r="Q241" s="30" t="str">
        <f>IFERROR(__xludf.DUMMYFUNCTION("""COMPUTED_VALUE"""),"9069569")</f>
        <v>9069569</v>
      </c>
      <c r="R241" s="30" t="str">
        <f>IFERROR(__xludf.DUMMYFUNCTION("""COMPUTED_VALUE"""),"0000155411")</f>
        <v>0000155411</v>
      </c>
      <c r="S241" s="30" t="str">
        <f>IFERROR(__xludf.DUMMYFUNCTION("""COMPUTED_VALUE"""),"1")</f>
        <v>1</v>
      </c>
      <c r="T241" s="30" t="str">
        <f>IFERROR(__xludf.DUMMYFUNCTION("""COMPUTED_VALUE"""),"223565")</f>
        <v>223565</v>
      </c>
      <c r="U241" s="31" t="str">
        <f>IFERROR(__xludf.DUMMYFUNCTION("""COMPUTED_VALUE"""),"2235")</f>
        <v>2235</v>
      </c>
      <c r="V241" s="11"/>
      <c r="W241" s="11">
        <f>IFERROR(__xludf.DUMMYFUNCTION("""COMPUTED_VALUE"""),99247518)</f>
        <v>99247518</v>
      </c>
      <c r="X241" s="11"/>
      <c r="Y241" s="11">
        <f>IFERROR(__xludf.DUMMYFUNCTION("""COMPUTED_VALUE"""),14313910344)</f>
        <v>14313910344</v>
      </c>
      <c r="Z241" s="11"/>
    </row>
    <row r="242" customHeight="1" spans="1:26">
      <c r="A242" s="11" t="str">
        <f>IFERROR(__xludf.DUMMYFUNCTION("""COMPUTED_VALUE"""),"MARIA APARECIDA SENA DA SILVA BEZERRA")</f>
        <v>MARIA APARECIDA SENA DA SILVA BEZERRA</v>
      </c>
      <c r="B242" s="11"/>
      <c r="C242" s="11"/>
      <c r="D242" s="11" t="str">
        <f>IFERROR(__xludf.DUMMYFUNCTION("""COMPUTED_VALUE"""),"Enfermeira eSF")</f>
        <v>Enfermeira eSF</v>
      </c>
      <c r="E242" s="11" t="str">
        <f>IFERROR(__xludf.DUMMYFUNCTION("""COMPUTED_VALUE"""),"V")</f>
        <v>V</v>
      </c>
      <c r="F242" s="11" t="str">
        <f>IFERROR(__xludf.DUMMYFUNCTION("""COMPUTED_VALUE"""),"US_338 USF UPINHA DIA JARDIM SAO PAULO")</f>
        <v>US_338 USF UPINHA DIA JARDIM SAO PAULO</v>
      </c>
      <c r="G242" s="11" t="str">
        <f>IFERROR(__xludf.DUMMYFUNCTION("""COMPUTED_VALUE"""),"US 338 USF UPINHA DIA JARDIM SAO PAULO")</f>
        <v>US 338 USF UPINHA DIA JARDIM SAO PAULO</v>
      </c>
      <c r="H242" s="27">
        <f>IFERROR(__xludf.DUMMYFUNCTION("""COMPUTED_VALUE"""),81999992699)</f>
        <v>81999992699</v>
      </c>
      <c r="I242" s="11"/>
      <c r="J242" s="11"/>
      <c r="K242" s="11"/>
      <c r="L242" s="11"/>
      <c r="M242" s="28" t="str">
        <f>IFERROR(__xludf.DUMMYFUNCTION("""COMPUTED_VALUE"""),"3355-6138")</f>
        <v>3355-6138</v>
      </c>
      <c r="N242" s="11" t="str">
        <f>IFERROR(__xludf.DUMMYFUNCTION("""COMPUTED_VALUE"""),"cidasenabezerra@hotmail.com ")</f>
        <v>cidasenabezerra@hotmail.com </v>
      </c>
      <c r="O242" s="29">
        <f>IFERROR(__xludf.DUMMYFUNCTION("""COMPUTED_VALUE"""),56823916400)</f>
        <v>56823916400</v>
      </c>
      <c r="P242" s="30" t="str">
        <f>IFERROR(__xludf.DUMMYFUNCTION("""COMPUTED_VALUE"""),"125088473230002")</f>
        <v>125088473230002</v>
      </c>
      <c r="Q242" s="30" t="str">
        <f>IFERROR(__xludf.DUMMYFUNCTION("""COMPUTED_VALUE"""),"5342074")</f>
        <v>5342074</v>
      </c>
      <c r="R242" s="30" t="str">
        <f>IFERROR(__xludf.DUMMYFUNCTION("""COMPUTED_VALUE"""),"0001676865")</f>
        <v>0001676865</v>
      </c>
      <c r="S242" s="30" t="str">
        <f>IFERROR(__xludf.DUMMYFUNCTION("""COMPUTED_VALUE"""),"1")</f>
        <v>1</v>
      </c>
      <c r="T242" s="30" t="str">
        <f>IFERROR(__xludf.DUMMYFUNCTION("""COMPUTED_VALUE"""),"223565")</f>
        <v>223565</v>
      </c>
      <c r="U242" s="31" t="str">
        <f>IFERROR(__xludf.DUMMYFUNCTION("""COMPUTED_VALUE"""),"2235")</f>
        <v>2235</v>
      </c>
      <c r="V242" s="11"/>
      <c r="W242" s="11"/>
      <c r="X242" s="11"/>
      <c r="Y242" s="11"/>
      <c r="Z242" s="11"/>
    </row>
    <row r="243" customHeight="1" spans="1:26">
      <c r="A243" s="11" t="str">
        <f>IFERROR(__xludf.DUMMYFUNCTION("""COMPUTED_VALUE"""),"ANA EMILIA RAMOS ROMAO DE MENEZES")</f>
        <v>ANA EMILIA RAMOS ROMAO DE MENEZES</v>
      </c>
      <c r="B243" s="11"/>
      <c r="C243" s="11"/>
      <c r="D243" s="11" t="str">
        <f>IFERROR(__xludf.DUMMYFUNCTION("""COMPUTED_VALUE"""),"Enfermeira eSF")</f>
        <v>Enfermeira eSF</v>
      </c>
      <c r="E243" s="11" t="str">
        <f>IFERROR(__xludf.DUMMYFUNCTION("""COMPUTED_VALUE"""),"V")</f>
        <v>V</v>
      </c>
      <c r="F243" s="11" t="str">
        <f>IFERROR(__xludf.DUMMYFUNCTION("""COMPUTED_VALUE"""),"US_239 USF COQUEIRAL I E II")</f>
        <v>US_239 USF COQUEIRAL I E II</v>
      </c>
      <c r="G243" s="11" t="str">
        <f>IFERROR(__xludf.DUMMYFUNCTION("""COMPUTED_VALUE"""),"US 239 USF COQUEIRAL I E II")</f>
        <v>US 239 USF COQUEIRAL I E II</v>
      </c>
      <c r="H243" s="27">
        <f>IFERROR(__xludf.DUMMYFUNCTION("""COMPUTED_VALUE"""),81996715583)</f>
        <v>81996715583</v>
      </c>
      <c r="I243" s="27">
        <f>IFERROR(__xludf.DUMMYFUNCTION("""COMPUTED_VALUE"""),81981668911)</f>
        <v>81981668911</v>
      </c>
      <c r="J243" s="11"/>
      <c r="K243" s="24">
        <f>IFERROR(__xludf.DUMMYFUNCTION("""COMPUTED_VALUE"""),45152)</f>
        <v>45152</v>
      </c>
      <c r="L243" s="11"/>
      <c r="M243" s="28" t="str">
        <f>IFERROR(__xludf.DUMMYFUNCTION("""COMPUTED_VALUE"""),"3355-0216/0217")</f>
        <v>3355-0216/0217</v>
      </c>
      <c r="N243" s="11" t="str">
        <f>IFERROR(__xludf.DUMMYFUNCTION("""COMPUTED_VALUE"""),"anaemiliamenezes@hotmail.com")</f>
        <v>anaemiliamenezes@hotmail.com</v>
      </c>
      <c r="O243" s="29">
        <f>IFERROR(__xludf.DUMMYFUNCTION("""COMPUTED_VALUE"""),3510080475)</f>
        <v>3510080475</v>
      </c>
      <c r="P243" s="30" t="str">
        <f>IFERROR(__xludf.DUMMYFUNCTION("""COMPUTED_VALUE"""),"201561474100003")</f>
        <v>201561474100003</v>
      </c>
      <c r="Q243" s="30" t="str">
        <f>IFERROR(__xludf.DUMMYFUNCTION("""COMPUTED_VALUE"""),"0022411")</f>
        <v>0022411</v>
      </c>
      <c r="R243" s="30" t="str">
        <f>IFERROR(__xludf.DUMMYFUNCTION("""COMPUTED_VALUE"""),"0000153990")</f>
        <v>0000153990</v>
      </c>
      <c r="S243" s="30" t="str">
        <f>IFERROR(__xludf.DUMMYFUNCTION("""COMPUTED_VALUE"""),"1")</f>
        <v>1</v>
      </c>
      <c r="T243" s="30" t="str">
        <f>IFERROR(__xludf.DUMMYFUNCTION("""COMPUTED_VALUE"""),"223565")</f>
        <v>223565</v>
      </c>
      <c r="U243" s="31" t="str">
        <f>IFERROR(__xludf.DUMMYFUNCTION("""COMPUTED_VALUE"""),"2235")</f>
        <v>2235</v>
      </c>
      <c r="V243" s="11"/>
      <c r="W243" s="11" t="str">
        <f>IFERROR(__xludf.DUMMYFUNCTION("""COMPUTED_VALUE"""),"9671-5583")</f>
        <v>9671-5583</v>
      </c>
      <c r="X243" s="11" t="str">
        <f>IFERROR(__xludf.DUMMYFUNCTION("""COMPUTED_VALUE"""),"8166-8911")</f>
        <v>8166-8911</v>
      </c>
      <c r="Y243" s="11">
        <f>IFERROR(__xludf.DUMMYFUNCTION("""COMPUTED_VALUE"""),3510080475)</f>
        <v>3510080475</v>
      </c>
      <c r="Z243" s="11"/>
    </row>
    <row r="244" customHeight="1" spans="1:26">
      <c r="A244" s="11" t="str">
        <f>IFERROR(__xludf.DUMMYFUNCTION("""COMPUTED_VALUE"""),"SHIRLEY F DA SILVA FIGUEIREDO")</f>
        <v>SHIRLEY F DA SILVA FIGUEIREDO</v>
      </c>
      <c r="B244" s="11"/>
      <c r="C244" s="11"/>
      <c r="D244" s="11" t="str">
        <f>IFERROR(__xludf.DUMMYFUNCTION("""COMPUTED_VALUE"""),"Dentista")</f>
        <v>Dentista</v>
      </c>
      <c r="E244" s="11" t="str">
        <f>IFERROR(__xludf.DUMMYFUNCTION("""COMPUTED_VALUE"""),"II")</f>
        <v>II</v>
      </c>
      <c r="F244" s="11" t="str">
        <f>IFERROR(__xludf.DUMMYFUNCTION("""COMPUTED_VALUE"""),"US_182 UPINHA UNIDADE DE SAUDE DA FAMILIA PADRE JOSE EDWALDO GOMES")</f>
        <v>US_182 UPINHA UNIDADE DE SAUDE DA FAMILIA PADRE JOSE EDWALDO GOMES</v>
      </c>
      <c r="G244" s="11" t="str">
        <f>IFERROR(__xludf.DUMMYFUNCTION("""COMPUTED_VALUE"""),"US 395 USF UPINHA 24H DR FERNANDA WANDERLEY")</f>
        <v>US 395 USF UPINHA 24H DR FERNANDA WANDERLEY</v>
      </c>
      <c r="H244" s="27">
        <f>IFERROR(__xludf.DUMMYFUNCTION("""COMPUTED_VALUE"""),81997148756)</f>
        <v>81997148756</v>
      </c>
      <c r="I244" s="11"/>
      <c r="J244" s="11"/>
      <c r="K244" s="11"/>
      <c r="L244" s="11"/>
      <c r="M244" s="11"/>
      <c r="N244" s="11" t="str">
        <f>IFERROR(__xludf.DUMMYFUNCTION("""COMPUTED_VALUE"""),"shirley_florencio@hotmail.com")</f>
        <v>shirley_florencio@hotmail.com</v>
      </c>
      <c r="O244" s="29">
        <f>IFERROR(__xludf.DUMMYFUNCTION("""COMPUTED_VALUE"""),3039588478)</f>
        <v>3039588478</v>
      </c>
      <c r="P244" s="30" t="str">
        <f>IFERROR(__xludf.DUMMYFUNCTION("""COMPUTED_VALUE"""),"980016280941618")</f>
        <v>980016280941618</v>
      </c>
      <c r="Q244" s="30" t="str">
        <f>IFERROR(__xludf.DUMMYFUNCTION("""COMPUTED_VALUE"""),"7524501")</f>
        <v>7524501</v>
      </c>
      <c r="R244" s="30" t="str">
        <f>IFERROR(__xludf.DUMMYFUNCTION("""COMPUTED_VALUE"""),"0001539663")</f>
        <v>0001539663</v>
      </c>
      <c r="S244" s="30" t="str">
        <f>IFERROR(__xludf.DUMMYFUNCTION("""COMPUTED_VALUE"""),"1")</f>
        <v>1</v>
      </c>
      <c r="T244" s="30" t="str">
        <f>IFERROR(__xludf.DUMMYFUNCTION("""COMPUTED_VALUE"""),"223293")</f>
        <v>223293</v>
      </c>
      <c r="U244" s="31">
        <f>IFERROR(__xludf.DUMMYFUNCTION("""COMPUTED_VALUE"""),2232)</f>
        <v>2232</v>
      </c>
      <c r="V244" s="11"/>
      <c r="W244" s="11"/>
      <c r="X244" s="11"/>
      <c r="Y244" s="11"/>
      <c r="Z244" s="11"/>
    </row>
    <row r="245" customHeight="1" spans="1:26">
      <c r="A245" s="11" t="str">
        <f>IFERROR(__xludf.DUMMYFUNCTION("""COMPUTED_VALUE"""),"ELIANEIDE RAMOS DA SILVA")</f>
        <v>ELIANEIDE RAMOS DA SILVA</v>
      </c>
      <c r="B245" s="11"/>
      <c r="C245" s="11"/>
      <c r="D245" s="11" t="str">
        <f>IFERROR(__xludf.DUMMYFUNCTION("""COMPUTED_VALUE"""),"Enfermeira eSF")</f>
        <v>Enfermeira eSF</v>
      </c>
      <c r="E245" s="11" t="str">
        <f>IFERROR(__xludf.DUMMYFUNCTION("""COMPUTED_VALUE"""),"VI")</f>
        <v>VI</v>
      </c>
      <c r="F245" s="11" t="str">
        <f>IFERROR(__xludf.DUMMYFUNCTION("""COMPUTED_VALUE"""),"US_316 USF BERNARD VAN LEER")</f>
        <v>US_316 USF BERNARD VAN LEER</v>
      </c>
      <c r="G245" s="11" t="str">
        <f>IFERROR(__xludf.DUMMYFUNCTION("""COMPUTED_VALUE"""),"US 316 USF BERNARD VAN LEER")</f>
        <v>US 316 USF BERNARD VAN LEER</v>
      </c>
      <c r="H245" s="27">
        <f>IFERROR(__xludf.DUMMYFUNCTION("""COMPUTED_VALUE"""),81985414041)</f>
        <v>81985414041</v>
      </c>
      <c r="I245" s="11"/>
      <c r="J245" s="11"/>
      <c r="K245" s="11"/>
      <c r="L245" s="11"/>
      <c r="M245" s="28" t="str">
        <f>IFERROR(__xludf.DUMMYFUNCTION("""COMPUTED_VALUE"""),"3355-6406")</f>
        <v>3355-6406</v>
      </c>
      <c r="N245" s="11" t="str">
        <f>IFERROR(__xludf.DUMMYFUNCTION("""COMPUTED_VALUE"""),"elianeide@terra.com.br")</f>
        <v>elianeide@terra.com.br</v>
      </c>
      <c r="O245" s="29">
        <f>IFERROR(__xludf.DUMMYFUNCTION("""COMPUTED_VALUE"""),12312800420)</f>
        <v>12312800420</v>
      </c>
      <c r="P245" s="30" t="str">
        <f>IFERROR(__xludf.DUMMYFUNCTION("""COMPUTED_VALUE"""),"122737305450007")</f>
        <v>122737305450007</v>
      </c>
      <c r="Q245" s="30" t="str">
        <f>IFERROR(__xludf.DUMMYFUNCTION("""COMPUTED_VALUE"""),"3562581")</f>
        <v>3562581</v>
      </c>
      <c r="R245" s="30" t="str">
        <f>IFERROR(__xludf.DUMMYFUNCTION("""COMPUTED_VALUE"""),"0000155527")</f>
        <v>0000155527</v>
      </c>
      <c r="S245" s="30" t="str">
        <f>IFERROR(__xludf.DUMMYFUNCTION("""COMPUTED_VALUE"""),"1")</f>
        <v>1</v>
      </c>
      <c r="T245" s="30" t="str">
        <f>IFERROR(__xludf.DUMMYFUNCTION("""COMPUTED_VALUE"""),"223565")</f>
        <v>223565</v>
      </c>
      <c r="U245" s="31" t="str">
        <f>IFERROR(__xludf.DUMMYFUNCTION("""COMPUTED_VALUE"""),"2235")</f>
        <v>2235</v>
      </c>
      <c r="V245" s="11"/>
      <c r="W245" s="11">
        <f>IFERROR(__xludf.DUMMYFUNCTION("""COMPUTED_VALUE"""),8185414041)</f>
        <v>8185414041</v>
      </c>
      <c r="X245" s="11">
        <f>IFERROR(__xludf.DUMMYFUNCTION("""COMPUTED_VALUE"""),8130322578)</f>
        <v>8130322578</v>
      </c>
      <c r="Y245" s="11">
        <f>IFERROR(__xludf.DUMMYFUNCTION("""COMPUTED_VALUE"""),12312800420)</f>
        <v>12312800420</v>
      </c>
      <c r="Z245" s="11"/>
    </row>
    <row r="246" customHeight="1" spans="1:26">
      <c r="A246" s="11" t="str">
        <f>IFERROR(__xludf.DUMMYFUNCTION("""COMPUTED_VALUE"""),"RUTH MARIA ANGELIM DE MAGALHAES CAMPOS LIMA")</f>
        <v>RUTH MARIA ANGELIM DE MAGALHAES CAMPOS LIMA</v>
      </c>
      <c r="B246" s="11"/>
      <c r="C246" s="11"/>
      <c r="D246" s="11" t="str">
        <f>IFERROR(__xludf.DUMMYFUNCTION("""COMPUTED_VALUE"""),"Dentista")</f>
        <v>Dentista</v>
      </c>
      <c r="E246" s="11" t="str">
        <f>IFERROR(__xludf.DUMMYFUNCTION("""COMPUTED_VALUE"""),"IV")</f>
        <v>IV</v>
      </c>
      <c r="F246" s="11" t="str">
        <f>IFERROR(__xludf.DUMMYFUNCTION("""COMPUTED_VALUE"""),"US_169 POLICLINICA AMAURY COUTINHO")</f>
        <v>US_169 POLICLINICA AMAURY COUTINHO</v>
      </c>
      <c r="G246" s="11" t="str">
        <f>IFERROR(__xludf.DUMMYFUNCTION("""COMPUTED_VALUE"""),"US 252 USF ENGENHO DO MEIO")</f>
        <v>US 252 USF ENGENHO DO MEIO</v>
      </c>
      <c r="H246" s="27">
        <f>IFERROR(__xludf.DUMMYFUNCTION("""COMPUTED_VALUE"""),81997351331)</f>
        <v>81997351331</v>
      </c>
      <c r="I246" s="11"/>
      <c r="J246" s="11"/>
      <c r="K246" s="11"/>
      <c r="L246" s="11"/>
      <c r="M246" s="28" t="str">
        <f>IFERROR(__xludf.DUMMYFUNCTION("""COMPUTED_VALUE"""),"3355-6130")</f>
        <v>3355-6130</v>
      </c>
      <c r="N246" s="11" t="str">
        <f>IFERROR(__xludf.DUMMYFUNCTION("""COMPUTED_VALUE"""),"ruthangelim@gmail.com")</f>
        <v>ruthangelim@gmail.com</v>
      </c>
      <c r="O246" s="29">
        <f>IFERROR(__xludf.DUMMYFUNCTION("""COMPUTED_VALUE"""),41590619404)</f>
        <v>41590619404</v>
      </c>
      <c r="P246" s="30" t="str">
        <f>IFERROR(__xludf.DUMMYFUNCTION("""COMPUTED_VALUE"""),"180072675010000")</f>
        <v>180072675010000</v>
      </c>
      <c r="Q246" s="30" t="str">
        <f>IFERROR(__xludf.DUMMYFUNCTION("""COMPUTED_VALUE"""),"0024503")</f>
        <v>0024503</v>
      </c>
      <c r="R246" s="30" t="str">
        <f>IFERROR(__xludf.DUMMYFUNCTION("""COMPUTED_VALUE"""),"0001975560")</f>
        <v>0001975560</v>
      </c>
      <c r="S246" s="30" t="str">
        <f>IFERROR(__xludf.DUMMYFUNCTION("""COMPUTED_VALUE"""),"1")</f>
        <v>1</v>
      </c>
      <c r="T246" s="30" t="str">
        <f>IFERROR(__xludf.DUMMYFUNCTION("""COMPUTED_VALUE"""),"223293")</f>
        <v>223293</v>
      </c>
      <c r="U246" s="31">
        <f>IFERROR(__xludf.DUMMYFUNCTION("""COMPUTED_VALUE"""),2232)</f>
        <v>2232</v>
      </c>
      <c r="V246" s="11"/>
      <c r="W246" s="11"/>
      <c r="X246" s="11"/>
      <c r="Y246" s="11"/>
      <c r="Z246" s="11"/>
    </row>
    <row r="247" customHeight="1" spans="1:26">
      <c r="A247" s="11" t="str">
        <f>IFERROR(__xludf.DUMMYFUNCTION("""COMPUTED_VALUE"""),"DOUGLAS MIGUEL DO PRADO")</f>
        <v>DOUGLAS MIGUEL DO PRADO</v>
      </c>
      <c r="B247" s="11"/>
      <c r="C247" s="11"/>
      <c r="D247" s="11" t="str">
        <f>IFERROR(__xludf.DUMMYFUNCTION("""COMPUTED_VALUE"""),"Enfermeiro eSF")</f>
        <v>Enfermeiro eSF</v>
      </c>
      <c r="E247" s="11" t="str">
        <f>IFERROR(__xludf.DUMMYFUNCTION("""COMPUTED_VALUE"""),"VIII")</f>
        <v>VIII</v>
      </c>
      <c r="F247" s="11" t="str">
        <f>IFERROR(__xludf.DUMMYFUNCTION("""COMPUTED_VALUE"""),"US_312 USF VILA DO SESI")</f>
        <v>US_312 USF VILA DO SESI</v>
      </c>
      <c r="G247" s="11" t="str">
        <f>IFERROR(__xludf.DUMMYFUNCTION("""COMPUTED_VALUE"""),"US 312 USF VILA DO SESI")</f>
        <v>US 312 USF VILA DO SESI</v>
      </c>
      <c r="H247" s="27">
        <f>IFERROR(__xludf.DUMMYFUNCTION("""COMPUTED_VALUE"""),81998906052)</f>
        <v>81998906052</v>
      </c>
      <c r="I247" s="11"/>
      <c r="J247" s="11"/>
      <c r="K247" s="11"/>
      <c r="L247" s="11"/>
      <c r="M247" s="11"/>
      <c r="N247" s="11"/>
      <c r="O247" s="11"/>
      <c r="P247" s="11"/>
      <c r="Q247" s="11"/>
      <c r="R247" s="11"/>
      <c r="S247" s="11"/>
      <c r="T247" s="11"/>
      <c r="U247" s="11"/>
      <c r="V247" s="11"/>
      <c r="W247" s="11"/>
      <c r="X247" s="11"/>
      <c r="Y247" s="11"/>
      <c r="Z247" s="11"/>
    </row>
    <row r="248" customHeight="1" spans="1:26">
      <c r="A248" s="11" t="str">
        <f>IFERROR(__xludf.DUMMYFUNCTION("""COMPUTED_VALUE"""),"EDIVANIA BARBOSA DO VALE")</f>
        <v>EDIVANIA BARBOSA DO VALE</v>
      </c>
      <c r="B248" s="11"/>
      <c r="C248" s="11"/>
      <c r="D248" s="11" t="str">
        <f>IFERROR(__xludf.DUMMYFUNCTION("""COMPUTED_VALUE"""),"Dentista")</f>
        <v>Dentista</v>
      </c>
      <c r="E248" s="11" t="str">
        <f>IFERROR(__xludf.DUMMYFUNCTION("""COMPUTED_VALUE"""),"VIII")</f>
        <v>VIII</v>
      </c>
      <c r="F248" s="11" t="str">
        <f>IFERROR(__xludf.DUMMYFUNCTION("""COMPUTED_VALUE"""),"US_316 USF BERNARD VAN LEER")</f>
        <v>US_316 USF BERNARD VAN LEER</v>
      </c>
      <c r="G248" s="11" t="str">
        <f>IFERROR(__xludf.DUMMYFUNCTION("""COMPUTED_VALUE"""),"US 312 USF VILA DO SESI")</f>
        <v>US 312 USF VILA DO SESI</v>
      </c>
      <c r="H248" s="27">
        <f>IFERROR(__xludf.DUMMYFUNCTION("""COMPUTED_VALUE"""),81997856175)</f>
        <v>81997856175</v>
      </c>
      <c r="I248" s="11"/>
      <c r="J248" s="11"/>
      <c r="K248" s="11"/>
      <c r="L248" s="11"/>
      <c r="M248" s="28" t="str">
        <f>IFERROR(__xludf.DUMMYFUNCTION("""COMPUTED_VALUE"""),"3355-6246")</f>
        <v>3355-6246</v>
      </c>
      <c r="N248" s="11" t="str">
        <f>IFERROR(__xludf.DUMMYFUNCTION("""COMPUTED_VALUE"""),"edivaniavale@yahoo.com.br")</f>
        <v>edivaniavale@yahoo.com.br</v>
      </c>
      <c r="O248" s="29">
        <f>IFERROR(__xludf.DUMMYFUNCTION("""COMPUTED_VALUE"""),4423551497)</f>
        <v>4423551497</v>
      </c>
      <c r="P248" s="30" t="str">
        <f>IFERROR(__xludf.DUMMYFUNCTION("""COMPUTED_VALUE"""),"980016283407221")</f>
        <v>980016283407221</v>
      </c>
      <c r="Q248" s="30" t="str">
        <f>IFERROR(__xludf.DUMMYFUNCTION("""COMPUTED_VALUE"""),"3470253")</f>
        <v>3470253</v>
      </c>
      <c r="R248" s="30" t="str">
        <f>IFERROR(__xludf.DUMMYFUNCTION("""COMPUTED_VALUE"""),"0001847988")</f>
        <v>0001847988</v>
      </c>
      <c r="S248" s="30" t="str">
        <f>IFERROR(__xludf.DUMMYFUNCTION("""COMPUTED_VALUE"""),"1")</f>
        <v>1</v>
      </c>
      <c r="T248" s="30" t="str">
        <f>IFERROR(__xludf.DUMMYFUNCTION("""COMPUTED_VALUE"""),"223293")</f>
        <v>223293</v>
      </c>
      <c r="U248" s="31">
        <f>IFERROR(__xludf.DUMMYFUNCTION("""COMPUTED_VALUE"""),2232)</f>
        <v>2232</v>
      </c>
      <c r="V248" s="11"/>
      <c r="W248" s="11"/>
      <c r="X248" s="11"/>
      <c r="Y248" s="11"/>
      <c r="Z248" s="11"/>
    </row>
    <row r="249" customHeight="1" spans="1:26">
      <c r="A249" s="11" t="str">
        <f>IFERROR(__xludf.DUMMYFUNCTION("""COMPUTED_VALUE"""),"MARILIA LINS E SILVA")</f>
        <v>MARILIA LINS E SILVA</v>
      </c>
      <c r="B249" s="11"/>
      <c r="C249" s="11"/>
      <c r="D249" s="11" t="str">
        <f>IFERROR(__xludf.DUMMYFUNCTION("""COMPUTED_VALUE"""),"Dentista")</f>
        <v>Dentista</v>
      </c>
      <c r="E249" s="11" t="str">
        <f>IFERROR(__xludf.DUMMYFUNCTION("""COMPUTED_VALUE"""),"IV")</f>
        <v>IV</v>
      </c>
      <c r="F249" s="11" t="str">
        <f>IFERROR(__xludf.DUMMYFUNCTION("""COMPUTED_VALUE"""),"")</f>
        <v/>
      </c>
      <c r="G249" s="11" t="str">
        <f>IFERROR(__xludf.DUMMYFUNCTION("""COMPUTED_VALUE"""),"US 184 USF VILA UNIAO")</f>
        <v>US 184 USF VILA UNIAO</v>
      </c>
      <c r="H249" s="27">
        <f>IFERROR(__xludf.DUMMYFUNCTION("""COMPUTED_VALUE"""),81997831115)</f>
        <v>81997831115</v>
      </c>
      <c r="I249" s="11"/>
      <c r="J249" s="11"/>
      <c r="K249" s="33">
        <f>IFERROR(__xludf.DUMMYFUNCTION("""COMPUTED_VALUE"""),45253)</f>
        <v>45253</v>
      </c>
      <c r="L249" s="11"/>
      <c r="M249" s="11"/>
      <c r="N249" s="11"/>
      <c r="O249" s="11"/>
      <c r="P249" s="11"/>
      <c r="Q249" s="11"/>
      <c r="R249" s="11"/>
      <c r="S249" s="11"/>
      <c r="T249" s="11"/>
      <c r="U249" s="11"/>
      <c r="V249" s="11"/>
      <c r="W249" s="11"/>
      <c r="X249" s="11"/>
      <c r="Y249" s="11"/>
      <c r="Z249" s="11"/>
    </row>
    <row r="250" customHeight="1" spans="1:26">
      <c r="A250" s="11" t="str">
        <f>IFERROR(__xludf.DUMMYFUNCTION("""COMPUTED_VALUE"""),"JOANA DARC MARANHÃO")</f>
        <v>JOANA DARC MARANHÃO</v>
      </c>
      <c r="B250" s="11"/>
      <c r="C250" s="11"/>
      <c r="D250" s="11" t="str">
        <f>IFERROR(__xludf.DUMMYFUNCTION("""COMPUTED_VALUE"""),"Enfermeiro eSF")</f>
        <v>Enfermeiro eSF</v>
      </c>
      <c r="E250" s="11" t="str">
        <f>IFERROR(__xludf.DUMMYFUNCTION("""COMPUTED_VALUE"""),"IV")</f>
        <v>IV</v>
      </c>
      <c r="F250" s="11" t="str">
        <f>IFERROR(__xludf.DUMMYFUNCTION("""COMPUTED_VALUE"""),"")</f>
        <v/>
      </c>
      <c r="G250" s="11" t="str">
        <f>IFERROR(__xludf.DUMMYFUNCTION("""COMPUTED_VALUE"""),"US 184 USF VILA UNIAO")</f>
        <v>US 184 USF VILA UNIAO</v>
      </c>
      <c r="H250" s="27">
        <f>IFERROR(__xludf.DUMMYFUNCTION("""COMPUTED_VALUE"""),81991332391)</f>
        <v>81991332391</v>
      </c>
      <c r="I250" s="11"/>
      <c r="J250" s="11"/>
      <c r="K250" s="33">
        <f>IFERROR(__xludf.DUMMYFUNCTION("""COMPUTED_VALUE"""),45251)</f>
        <v>45251</v>
      </c>
      <c r="L250" s="11"/>
      <c r="M250" s="11"/>
      <c r="N250" s="11"/>
      <c r="O250" s="11"/>
      <c r="P250" s="11"/>
      <c r="Q250" s="11"/>
      <c r="R250" s="11"/>
      <c r="S250" s="11"/>
      <c r="T250" s="11"/>
      <c r="U250" s="11"/>
      <c r="V250" s="11"/>
      <c r="W250" s="11"/>
      <c r="X250" s="11"/>
      <c r="Y250" s="11"/>
      <c r="Z250" s="11"/>
    </row>
    <row r="251" customHeight="1" spans="1:26">
      <c r="A251" s="11" t="str">
        <f>IFERROR(__xludf.DUMMYFUNCTION("""COMPUTED_VALUE"""),"MANUELA WANDERLEY FERREIRA LOPES")</f>
        <v>MANUELA WANDERLEY FERREIRA LOPES</v>
      </c>
      <c r="B251" s="11"/>
      <c r="C251" s="11"/>
      <c r="D251" s="11" t="str">
        <f>IFERROR(__xludf.DUMMYFUNCTION("""COMPUTED_VALUE"""),"Dentista")</f>
        <v>Dentista</v>
      </c>
      <c r="E251" s="11" t="str">
        <f>IFERROR(__xludf.DUMMYFUNCTION("""COMPUTED_VALUE"""),"IV")</f>
        <v>IV</v>
      </c>
      <c r="F251" s="11" t="str">
        <f>IFERROR(__xludf.DUMMYFUNCTION("""COMPUTED_VALUE"""),"US_184 USF VILA UNIAO / AIRTON SENA")</f>
        <v>US_184 USF VILA UNIAO / AIRTON SENA</v>
      </c>
      <c r="G251" s="11" t="str">
        <f>IFERROR(__xludf.DUMMYFUNCTION("""COMPUTED_VALUE"""),"US 184 USF VILA UNIAO")</f>
        <v>US 184 USF VILA UNIAO</v>
      </c>
      <c r="H251" s="27">
        <f>IFERROR(__xludf.DUMMYFUNCTION("""COMPUTED_VALUE"""),81999276446)</f>
        <v>81999276446</v>
      </c>
      <c r="I251" s="11"/>
      <c r="J251" s="11"/>
      <c r="K251" s="11"/>
      <c r="L251" s="11"/>
      <c r="M251" s="28" t="str">
        <f>IFERROR(__xludf.DUMMYFUNCTION("""COMPUTED_VALUE"""),"3355-4716")</f>
        <v>3355-4716</v>
      </c>
      <c r="N251" s="11" t="str">
        <f>IFERROR(__xludf.DUMMYFUNCTION("""COMPUTED_VALUE"""),"nucalopes@hotmail.com")</f>
        <v>nucalopes@hotmail.com</v>
      </c>
      <c r="O251" s="29">
        <f>IFERROR(__xludf.DUMMYFUNCTION("""COMPUTED_VALUE"""),229497470)</f>
        <v>229497470</v>
      </c>
      <c r="P251" s="30" t="str">
        <f>IFERROR(__xludf.DUMMYFUNCTION("""COMPUTED_VALUE"""),"980016281856398")</f>
        <v>980016281856398</v>
      </c>
      <c r="Q251" s="30" t="str">
        <f>IFERROR(__xludf.DUMMYFUNCTION("""COMPUTED_VALUE"""),"0001511")</f>
        <v>0001511</v>
      </c>
      <c r="R251" s="30" t="str">
        <f>IFERROR(__xludf.DUMMYFUNCTION("""COMPUTED_VALUE"""),"0000153303")</f>
        <v>0000153303</v>
      </c>
      <c r="S251" s="30" t="str">
        <f>IFERROR(__xludf.DUMMYFUNCTION("""COMPUTED_VALUE"""),"1")</f>
        <v>1</v>
      </c>
      <c r="T251" s="30" t="str">
        <f>IFERROR(__xludf.DUMMYFUNCTION("""COMPUTED_VALUE"""),"223293")</f>
        <v>223293</v>
      </c>
      <c r="U251" s="31">
        <f>IFERROR(__xludf.DUMMYFUNCTION("""COMPUTED_VALUE"""),2232)</f>
        <v>2232</v>
      </c>
      <c r="V251" s="11"/>
      <c r="W251" s="11"/>
      <c r="X251" s="11"/>
      <c r="Y251" s="11"/>
      <c r="Z251" s="11"/>
    </row>
    <row r="252" customHeight="1" spans="1:26">
      <c r="A252" s="11" t="str">
        <f>IFERROR(__xludf.DUMMYFUNCTION("""COMPUTED_VALUE"""),"RENATA ALVES DE VASCONCELOS SANTOS CINTRA")</f>
        <v>RENATA ALVES DE VASCONCELOS SANTOS CINTRA</v>
      </c>
      <c r="B252" s="11"/>
      <c r="C252" s="11"/>
      <c r="D252" s="11" t="str">
        <f>IFERROR(__xludf.DUMMYFUNCTION("""COMPUTED_VALUE"""),"Médica eSF")</f>
        <v>Médica eSF</v>
      </c>
      <c r="E252" s="11" t="str">
        <f>IFERROR(__xludf.DUMMYFUNCTION("""COMPUTED_VALUE"""),"V")</f>
        <v>V</v>
      </c>
      <c r="F252" s="11" t="str">
        <f>IFERROR(__xludf.DUMMYFUNCTION("""COMPUTED_VALUE"""),"US_338 USF UPINHA DIA JARDIM SAO PAULO")</f>
        <v>US_338 USF UPINHA DIA JARDIM SAO PAULO</v>
      </c>
      <c r="G252" s="11" t="str">
        <f>IFERROR(__xludf.DUMMYFUNCTION("""COMPUTED_VALUE"""),"US 338 USF UPINHA DIA JARDIM SAO PAULO")</f>
        <v>US 338 USF UPINHA DIA JARDIM SAO PAULO</v>
      </c>
      <c r="H252" s="27">
        <f>IFERROR(__xludf.DUMMYFUNCTION("""COMPUTED_VALUE"""),81999364685)</f>
        <v>81999364685</v>
      </c>
      <c r="I252" s="11"/>
      <c r="J252" s="11"/>
      <c r="K252" s="11"/>
      <c r="L252" s="11"/>
      <c r="M252" s="28" t="str">
        <f>IFERROR(__xludf.DUMMYFUNCTION("""COMPUTED_VALUE"""),"3355-6138")</f>
        <v>3355-6138</v>
      </c>
      <c r="N252" s="11" t="str">
        <f>IFERROR(__xludf.DUMMYFUNCTION("""COMPUTED_VALUE"""),"renata_avs@hotmail.com")</f>
        <v>renata_avs@hotmail.com</v>
      </c>
      <c r="O252" s="29">
        <f>IFERROR(__xludf.DUMMYFUNCTION("""COMPUTED_VALUE"""),4151403400)</f>
        <v>4151403400</v>
      </c>
      <c r="P252" s="30" t="str">
        <f>IFERROR(__xludf.DUMMYFUNCTION("""COMPUTED_VALUE"""),"980016280563176")</f>
        <v>980016280563176</v>
      </c>
      <c r="Q252" s="30" t="str">
        <f>IFERROR(__xludf.DUMMYFUNCTION("""COMPUTED_VALUE"""),"5342074")</f>
        <v>5342074</v>
      </c>
      <c r="R252" s="30" t="str">
        <f>IFERROR(__xludf.DUMMYFUNCTION("""COMPUTED_VALUE"""),"0000155802")</f>
        <v>0000155802</v>
      </c>
      <c r="S252" s="30" t="str">
        <f>IFERROR(__xludf.DUMMYFUNCTION("""COMPUTED_VALUE"""),"1")</f>
        <v>1</v>
      </c>
      <c r="T252" s="30" t="str">
        <f>IFERROR(__xludf.DUMMYFUNCTION("""COMPUTED_VALUE"""),"225142")</f>
        <v>225142</v>
      </c>
      <c r="U252" s="31" t="str">
        <f>IFERROR(__xludf.DUMMYFUNCTION("""COMPUTED_VALUE"""),"2251")</f>
        <v>2251</v>
      </c>
      <c r="V252" s="11"/>
      <c r="W252" s="11"/>
      <c r="X252" s="11" t="str">
        <f>IFERROR(__xludf.DUMMYFUNCTION("""COMPUTED_VALUE"""),"#N/A")</f>
        <v>#N/A</v>
      </c>
      <c r="Y252" s="11" t="str">
        <f>IFERROR(__xludf.DUMMYFUNCTION("""COMPUTED_VALUE"""),"#N/A")</f>
        <v>#N/A</v>
      </c>
      <c r="Z252" s="11" t="str">
        <f>IFERROR(__xludf.DUMMYFUNCTION("""COMPUTED_VALUE"""),"#N/A")</f>
        <v>#N/A</v>
      </c>
    </row>
    <row r="253" customHeight="1" spans="1:26">
      <c r="A253" s="11" t="str">
        <f>IFERROR(__xludf.DUMMYFUNCTION("""COMPUTED_VALUE"""),"Priscilla Martins Araujo Menezes")</f>
        <v>Priscilla Martins Araujo Menezes</v>
      </c>
      <c r="B253" s="11"/>
      <c r="C253" s="11"/>
      <c r="D253" s="11" t="str">
        <f>IFERROR(__xludf.DUMMYFUNCTION("""COMPUTED_VALUE"""),"Enfermeira eSF")</f>
        <v>Enfermeira eSF</v>
      </c>
      <c r="E253" s="11" t="str">
        <f>IFERROR(__xludf.DUMMYFUNCTION("""COMPUTED_VALUE"""),"V")</f>
        <v>V</v>
      </c>
      <c r="F253" s="11" t="str">
        <f>IFERROR(__xludf.DUMMYFUNCTION("""COMPUTED_VALUE"""),"US_238 USF IRAQUE")</f>
        <v>US_238 USF IRAQUE</v>
      </c>
      <c r="G253" s="11" t="str">
        <f>IFERROR(__xludf.DUMMYFUNCTION("""COMPUTED_VALUE"""),"US 238 USF IRAQUE")</f>
        <v>US 238 USF IRAQUE</v>
      </c>
      <c r="H253" s="27">
        <f>IFERROR(__xludf.DUMMYFUNCTION("""COMPUTED_VALUE"""),81986515861)</f>
        <v>81986515861</v>
      </c>
      <c r="I253" s="27">
        <f>IFERROR(__xludf.DUMMYFUNCTION("""COMPUTED_VALUE"""),81986515861)</f>
        <v>81986515861</v>
      </c>
      <c r="J253" s="11"/>
      <c r="K253" s="33">
        <f>IFERROR(__xludf.DUMMYFUNCTION("""COMPUTED_VALUE"""),45260)</f>
        <v>45260</v>
      </c>
      <c r="L253" s="11"/>
      <c r="M253" s="11"/>
      <c r="N253" s="11"/>
      <c r="O253" s="11"/>
      <c r="P253" s="11"/>
      <c r="Q253" s="11"/>
      <c r="R253" s="11"/>
      <c r="S253" s="11"/>
      <c r="T253" s="11"/>
      <c r="U253" s="11"/>
      <c r="V253" s="11"/>
      <c r="W253" s="11"/>
      <c r="X253" s="11"/>
      <c r="Y253" s="11"/>
      <c r="Z253" s="11"/>
    </row>
    <row r="254" customHeight="1" spans="1:26">
      <c r="A254" s="11" t="str">
        <f>IFERROR(__xludf.DUMMYFUNCTION("""COMPUTED_VALUE"""),"CARLA AGUIAR CABRAL FERNANDES")</f>
        <v>CARLA AGUIAR CABRAL FERNANDES</v>
      </c>
      <c r="B254" s="11"/>
      <c r="C254" s="11"/>
      <c r="D254" s="11" t="str">
        <f>IFERROR(__xludf.DUMMYFUNCTION("""COMPUTED_VALUE"""),"Médica eSF")</f>
        <v>Médica eSF</v>
      </c>
      <c r="E254" s="11" t="str">
        <f>IFERROR(__xludf.DUMMYFUNCTION("""COMPUTED_VALUE"""),"V")</f>
        <v>V</v>
      </c>
      <c r="F254" s="11" t="str">
        <f>IFERROR(__xludf.DUMMYFUNCTION("""COMPUTED_VALUE"""),"US_238 USF IRAQUE")</f>
        <v>US_238 USF IRAQUE</v>
      </c>
      <c r="G254" s="11" t="str">
        <f>IFERROR(__xludf.DUMMYFUNCTION("""COMPUTED_VALUE"""),"US 238 USF IRAQUE")</f>
        <v>US 238 USF IRAQUE</v>
      </c>
      <c r="H254" s="27">
        <f>IFERROR(__xludf.DUMMYFUNCTION("""COMPUTED_VALUE"""),81996926058)</f>
        <v>81996926058</v>
      </c>
      <c r="I254" s="27">
        <f>IFERROR(__xludf.DUMMYFUNCTION("""COMPUTED_VALUE"""),81999692605)</f>
        <v>81999692605</v>
      </c>
      <c r="J254" s="11"/>
      <c r="K254" s="11"/>
      <c r="L254" s="11"/>
      <c r="M254" s="28" t="str">
        <f>IFERROR(__xludf.DUMMYFUNCTION("""COMPUTED_VALUE"""),"3355-6869")</f>
        <v>3355-6869</v>
      </c>
      <c r="N254" s="11" t="str">
        <f>IFERROR(__xludf.DUMMYFUNCTION("""COMPUTED_VALUE"""),"carlinhaaguiar@yahoo.com.br")</f>
        <v>carlinhaaguiar@yahoo.com.br</v>
      </c>
      <c r="O254" s="29">
        <f>IFERROR(__xludf.DUMMYFUNCTION("""COMPUTED_VALUE"""),768560462)</f>
        <v>768560462</v>
      </c>
      <c r="P254" s="30" t="str">
        <f>IFERROR(__xludf.DUMMYFUNCTION("""COMPUTED_VALUE"""),"980016285212762")</f>
        <v>980016285212762</v>
      </c>
      <c r="Q254" s="30" t="str">
        <f>IFERROR(__xludf.DUMMYFUNCTION("""COMPUTED_VALUE"""),"0022403")</f>
        <v>0022403</v>
      </c>
      <c r="R254" s="30" t="str">
        <f>IFERROR(__xludf.DUMMYFUNCTION("""COMPUTED_VALUE"""),"0000153974")</f>
        <v>0000153974</v>
      </c>
      <c r="S254" s="30" t="str">
        <f>IFERROR(__xludf.DUMMYFUNCTION("""COMPUTED_VALUE"""),"1")</f>
        <v>1</v>
      </c>
      <c r="T254" s="30" t="str">
        <f>IFERROR(__xludf.DUMMYFUNCTION("""COMPUTED_VALUE"""),"225142")</f>
        <v>225142</v>
      </c>
      <c r="U254" s="31" t="str">
        <f>IFERROR(__xludf.DUMMYFUNCTION("""COMPUTED_VALUE"""),"2251")</f>
        <v>2251</v>
      </c>
      <c r="V254" s="11" t="str">
        <f>IFERROR(__xludf.DUMMYFUNCTION("""COMPUTED_VALUE"""),"SIM")</f>
        <v>SIM</v>
      </c>
      <c r="W254" s="11"/>
      <c r="X254" s="11" t="str">
        <f>IFERROR(__xludf.DUMMYFUNCTION("""COMPUTED_VALUE"""),"81 99692605")</f>
        <v>81 99692605</v>
      </c>
      <c r="Y254" s="11" t="str">
        <f>IFERROR(__xludf.DUMMYFUNCTION("""COMPUTED_VALUE"""),"81 30332260")</f>
        <v>81 30332260</v>
      </c>
      <c r="Z254" s="11">
        <f>IFERROR(__xludf.DUMMYFUNCTION("""COMPUTED_VALUE"""),768560462)</f>
        <v>768560462</v>
      </c>
    </row>
    <row r="255" customHeight="1" spans="1:26">
      <c r="A255" s="11" t="str">
        <f>IFERROR(__xludf.DUMMYFUNCTION("""COMPUTED_VALUE"""),"MARIA CRISTINA REIS TAVARES")</f>
        <v>MARIA CRISTINA REIS TAVARES</v>
      </c>
      <c r="B255" s="11"/>
      <c r="C255" s="11"/>
      <c r="D255" s="11" t="str">
        <f>IFERROR(__xludf.DUMMYFUNCTION("""COMPUTED_VALUE"""),"Dentista")</f>
        <v>Dentista</v>
      </c>
      <c r="E255" s="11" t="str">
        <f>IFERROR(__xludf.DUMMYFUNCTION("""COMPUTED_VALUE"""),"VI")</f>
        <v>VI</v>
      </c>
      <c r="F255" s="11" t="str">
        <f>IFERROR(__xludf.DUMMYFUNCTION("""COMPUTED_VALUE"""),"US_269 USF BEIRA DO RIO COMUNIDADE BOA VIAGEM")</f>
        <v>US_269 USF BEIRA DO RIO COMUNIDADE BOA VIAGEM</v>
      </c>
      <c r="G255" s="11" t="str">
        <f>IFERROR(__xludf.DUMMYFUNCTION("""COMPUTED_VALUE"""),"US 269 USF BEIRA DO RIO COMUNIDADE BOA VIAGEM")</f>
        <v>US 269 USF BEIRA DO RIO COMUNIDADE BOA VIAGEM</v>
      </c>
      <c r="H255" s="27">
        <f>IFERROR(__xludf.DUMMYFUNCTION("""COMPUTED_VALUE"""),81996906321)</f>
        <v>81996906321</v>
      </c>
      <c r="I255" s="11"/>
      <c r="J255" s="11"/>
      <c r="K255" s="11"/>
      <c r="L255" s="11"/>
      <c r="M255" s="28" t="str">
        <f>IFERROR(__xludf.DUMMYFUNCTION("""COMPUTED_VALUE"""),"3355-6090")</f>
        <v>3355-6090</v>
      </c>
      <c r="N255" s="11" t="str">
        <f>IFERROR(__xludf.DUMMYFUNCTION("""COMPUTED_VALUE"""),"mariacristinareistavares@hotmail.com")</f>
        <v>mariacristinareistavares@hotmail.com</v>
      </c>
      <c r="O255" s="29">
        <f>IFERROR(__xludf.DUMMYFUNCTION("""COMPUTED_VALUE"""),32857039620)</f>
        <v>32857039620</v>
      </c>
      <c r="P255" s="30" t="str">
        <f>IFERROR(__xludf.DUMMYFUNCTION("""COMPUTED_VALUE"""),"170160183830004")</f>
        <v>170160183830004</v>
      </c>
      <c r="Q255" s="30" t="str">
        <f>IFERROR(__xludf.DUMMYFUNCTION("""COMPUTED_VALUE"""),"0026379")</f>
        <v>0026379</v>
      </c>
      <c r="R255" s="30" t="str">
        <f>IFERROR(__xludf.DUMMYFUNCTION("""COMPUTED_VALUE"""),"0001791419")</f>
        <v>0001791419</v>
      </c>
      <c r="S255" s="30" t="str">
        <f>IFERROR(__xludf.DUMMYFUNCTION("""COMPUTED_VALUE"""),"1")</f>
        <v>1</v>
      </c>
      <c r="T255" s="30" t="str">
        <f>IFERROR(__xludf.DUMMYFUNCTION("""COMPUTED_VALUE"""),"223293")</f>
        <v>223293</v>
      </c>
      <c r="U255" s="31">
        <f>IFERROR(__xludf.DUMMYFUNCTION("""COMPUTED_VALUE"""),2232)</f>
        <v>2232</v>
      </c>
      <c r="V255" s="11"/>
      <c r="W255" s="11"/>
      <c r="X255" s="11"/>
      <c r="Y255" s="11"/>
      <c r="Z255" s="11"/>
    </row>
    <row r="256" customHeight="1" spans="1:26">
      <c r="A256" s="11" t="str">
        <f>IFERROR(__xludf.DUMMYFUNCTION("""COMPUTED_VALUE"""),"MARIA BETANIA ALVES DE BRITO")</f>
        <v>MARIA BETANIA ALVES DE BRITO</v>
      </c>
      <c r="B256" s="11"/>
      <c r="C256" s="11"/>
      <c r="D256" s="11" t="str">
        <f>IFERROR(__xludf.DUMMYFUNCTION("""COMPUTED_VALUE"""),"Médica eSF")</f>
        <v>Médica eSF</v>
      </c>
      <c r="E256" s="11" t="str">
        <f>IFERROR(__xludf.DUMMYFUNCTION("""COMPUTED_VALUE"""),"II")</f>
        <v>II</v>
      </c>
      <c r="F256" s="11" t="str">
        <f>IFERROR(__xludf.DUMMYFUNCTION("""COMPUTED_VALUE"""),"US_180 CENTRAL DE REGULACAO MEDICA SAMU METROPOLITANO RECIFE")</f>
        <v>US_180 CENTRAL DE REGULACAO MEDICA SAMU METROPOLITANO RECIFE</v>
      </c>
      <c r="G256" s="11" t="str">
        <f>IFERROR(__xludf.DUMMYFUNCTION("""COMPUTED_VALUE"""),"US 309 USF PONTO DE PARADA")</f>
        <v>US 309 USF PONTO DE PARADA</v>
      </c>
      <c r="H256" s="27">
        <f>IFERROR(__xludf.DUMMYFUNCTION("""COMPUTED_VALUE"""),81999774479)</f>
        <v>81999774479</v>
      </c>
      <c r="I256" s="27">
        <f>IFERROR(__xludf.DUMMYFUNCTION("""COMPUTED_VALUE"""),81999774479)</f>
        <v>81999774479</v>
      </c>
      <c r="J256" s="11"/>
      <c r="K256" s="24">
        <f>IFERROR(__xludf.DUMMYFUNCTION("""COMPUTED_VALUE"""),45152)</f>
        <v>45152</v>
      </c>
      <c r="L256" s="11"/>
      <c r="M256" s="28" t="str">
        <f>IFERROR(__xludf.DUMMYFUNCTION("""COMPUTED_VALUE"""),"3355-6095")</f>
        <v>3355-6095</v>
      </c>
      <c r="N256" s="11" t="str">
        <f>IFERROR(__xludf.DUMMYFUNCTION("""COMPUTED_VALUE"""),"betaniabritto@hotmail.com")</f>
        <v>betaniabritto@hotmail.com</v>
      </c>
      <c r="O256" s="29">
        <f>IFERROR(__xludf.DUMMYFUNCTION("""COMPUTED_VALUE"""),73333336472)</f>
        <v>73333336472</v>
      </c>
      <c r="P256" s="30" t="str">
        <f>IFERROR(__xludf.DUMMYFUNCTION("""COMPUTED_VALUE"""),"170612977680006")</f>
        <v>170612977680006</v>
      </c>
      <c r="Q256" s="30" t="str">
        <f>IFERROR(__xludf.DUMMYFUNCTION("""COMPUTED_VALUE"""),"3302032")</f>
        <v>3302032</v>
      </c>
      <c r="R256" s="30" t="str">
        <f>IFERROR(__xludf.DUMMYFUNCTION("""COMPUTED_VALUE"""),"0000155292")</f>
        <v>0000155292</v>
      </c>
      <c r="S256" s="30" t="str">
        <f>IFERROR(__xludf.DUMMYFUNCTION("""COMPUTED_VALUE"""),"1")</f>
        <v>1</v>
      </c>
      <c r="T256" s="30" t="str">
        <f>IFERROR(__xludf.DUMMYFUNCTION("""COMPUTED_VALUE"""),"225142")</f>
        <v>225142</v>
      </c>
      <c r="U256" s="11">
        <f>IFERROR(__xludf.DUMMYFUNCTION("""COMPUTED_VALUE"""),2251)</f>
        <v>2251</v>
      </c>
      <c r="V256" s="11" t="str">
        <f>IFERROR(__xludf.DUMMYFUNCTION("""COMPUTED_VALUE"""),"SIM")</f>
        <v>SIM</v>
      </c>
      <c r="W256" s="11"/>
      <c r="X256" s="11">
        <f>IFERROR(__xludf.DUMMYFUNCTION("""COMPUTED_VALUE"""),88273638)</f>
        <v>88273638</v>
      </c>
      <c r="Y256" s="11">
        <f>IFERROR(__xludf.DUMMYFUNCTION("""COMPUTED_VALUE"""),99774479)</f>
        <v>99774479</v>
      </c>
      <c r="Z256" s="11">
        <f>IFERROR(__xludf.DUMMYFUNCTION("""COMPUTED_VALUE"""),73333336472)</f>
        <v>73333336472</v>
      </c>
    </row>
    <row r="257" customHeight="1" spans="1:26">
      <c r="A257" s="11" t="str">
        <f>IFERROR(__xludf.DUMMYFUNCTION("""COMPUTED_VALUE"""),"SANIA BUONORA ALMEIDA VALENCA")</f>
        <v>SANIA BUONORA ALMEIDA VALENCA</v>
      </c>
      <c r="B257" s="11"/>
      <c r="C257" s="11"/>
      <c r="D257" s="11" t="str">
        <f>IFERROR(__xludf.DUMMYFUNCTION("""COMPUTED_VALUE"""),"Dentista")</f>
        <v>Dentista</v>
      </c>
      <c r="E257" s="11" t="str">
        <f>IFERROR(__xludf.DUMMYFUNCTION("""COMPUTED_VALUE"""),"III")</f>
        <v>III</v>
      </c>
      <c r="F257" s="11" t="str">
        <f>IFERROR(__xludf.DUMMYFUNCTION("""COMPUTED_VALUE"""),"US_216 USF APIPUCOS")</f>
        <v>US_216 USF APIPUCOS</v>
      </c>
      <c r="G257" s="11" t="str">
        <f>IFERROR(__xludf.DUMMYFUNCTION("""COMPUTED_VALUE"""),"US 216 USF APIPUCOS")</f>
        <v>US 216 USF APIPUCOS</v>
      </c>
      <c r="H257" s="27">
        <f>IFERROR(__xludf.DUMMYFUNCTION("""COMPUTED_VALUE"""),89991158800)</f>
        <v>89991158800</v>
      </c>
      <c r="I257" s="11"/>
      <c r="J257" s="11"/>
      <c r="K257" s="11"/>
      <c r="L257" s="11"/>
      <c r="M257" s="28" t="str">
        <f>IFERROR(__xludf.DUMMYFUNCTION("""COMPUTED_VALUE"""),"3355-4632")</f>
        <v>3355-4632</v>
      </c>
      <c r="N257" s="11" t="str">
        <f>IFERROR(__xludf.DUMMYFUNCTION("""COMPUTED_VALUE"""),"saniabav@hotmail.com")</f>
        <v>saniabav@hotmail.com</v>
      </c>
      <c r="O257" s="29">
        <f>IFERROR(__xludf.DUMMYFUNCTION("""COMPUTED_VALUE"""),3081368456)</f>
        <v>3081368456</v>
      </c>
      <c r="P257" s="30" t="str">
        <f>IFERROR(__xludf.DUMMYFUNCTION("""COMPUTED_VALUE"""),"201533373670000")</f>
        <v>201533373670000</v>
      </c>
      <c r="Q257" s="30" t="str">
        <f>IFERROR(__xludf.DUMMYFUNCTION("""COMPUTED_VALUE"""),"0002127")</f>
        <v>0002127</v>
      </c>
      <c r="R257" s="30" t="str">
        <f>IFERROR(__xludf.DUMMYFUNCTION("""COMPUTED_VALUE"""),"0001755013")</f>
        <v>0001755013</v>
      </c>
      <c r="S257" s="11"/>
      <c r="T257" s="30" t="str">
        <f>IFERROR(__xludf.DUMMYFUNCTION("""COMPUTED_VALUE"""),"223293")</f>
        <v>223293</v>
      </c>
      <c r="U257" s="31">
        <f>IFERROR(__xludf.DUMMYFUNCTION("""COMPUTED_VALUE"""),2232)</f>
        <v>2232</v>
      </c>
      <c r="V257" s="11"/>
      <c r="W257" s="11"/>
      <c r="X257" s="11"/>
      <c r="Y257" s="11"/>
      <c r="Z257" s="11"/>
    </row>
    <row r="258" customHeight="1" spans="1:26">
      <c r="A258" s="11" t="str">
        <f>IFERROR(__xludf.DUMMYFUNCTION("""COMPUTED_VALUE"""),"AMELIA CRISTINA SOARES DE SOUZA RODRIGUES")</f>
        <v>AMELIA CRISTINA SOARES DE SOUZA RODRIGUES</v>
      </c>
      <c r="B258" s="11"/>
      <c r="C258" s="11"/>
      <c r="D258" s="11" t="str">
        <f>IFERROR(__xludf.DUMMYFUNCTION("""COMPUTED_VALUE"""),"Médica eSF")</f>
        <v>Médica eSF</v>
      </c>
      <c r="E258" s="11" t="str">
        <f>IFERROR(__xludf.DUMMYFUNCTION("""COMPUTED_VALUE"""),"V")</f>
        <v>V</v>
      </c>
      <c r="F258" s="11" t="str">
        <f>IFERROR(__xludf.DUMMYFUNCTION("""COMPUTED_VALUE"""),"US_338 USF UPINHA DIA JARDIM SAO PAULO")</f>
        <v>US_338 USF UPINHA DIA JARDIM SAO PAULO</v>
      </c>
      <c r="G258" s="11" t="str">
        <f>IFERROR(__xludf.DUMMYFUNCTION("""COMPUTED_VALUE"""),"US 338 USF UPINHA DIA JARDIM SAO PAULO")</f>
        <v>US 338 USF UPINHA DIA JARDIM SAO PAULO</v>
      </c>
      <c r="H258" s="27">
        <f>IFERROR(__xludf.DUMMYFUNCTION("""COMPUTED_VALUE"""),81991590998)</f>
        <v>81991590998</v>
      </c>
      <c r="I258" s="11"/>
      <c r="J258" s="11"/>
      <c r="K258" s="11"/>
      <c r="L258" s="11"/>
      <c r="M258" s="28" t="str">
        <f>IFERROR(__xludf.DUMMYFUNCTION("""COMPUTED_VALUE"""),"3355-6138")</f>
        <v>3355-6138</v>
      </c>
      <c r="N258" s="11" t="str">
        <f>IFERROR(__xludf.DUMMYFUNCTION("""COMPUTED_VALUE"""),"ameliacris58@gmail.com")</f>
        <v>ameliacris58@gmail.com</v>
      </c>
      <c r="O258" s="29">
        <f>IFERROR(__xludf.DUMMYFUNCTION("""COMPUTED_VALUE"""),16980212400)</f>
        <v>16980212400</v>
      </c>
      <c r="P258" s="30" t="str">
        <f>IFERROR(__xludf.DUMMYFUNCTION("""COMPUTED_VALUE"""),"203323138020008")</f>
        <v>203323138020008</v>
      </c>
      <c r="Q258" s="30" t="str">
        <f>IFERROR(__xludf.DUMMYFUNCTION("""COMPUTED_VALUE"""),"5342074")</f>
        <v>5342074</v>
      </c>
      <c r="R258" s="30" t="str">
        <f>IFERROR(__xludf.DUMMYFUNCTION("""COMPUTED_VALUE"""),"0000155810")</f>
        <v>0000155810</v>
      </c>
      <c r="S258" s="30" t="str">
        <f>IFERROR(__xludf.DUMMYFUNCTION("""COMPUTED_VALUE"""),"1")</f>
        <v>1</v>
      </c>
      <c r="T258" s="30" t="str">
        <f>IFERROR(__xludf.DUMMYFUNCTION("""COMPUTED_VALUE"""),"225142")</f>
        <v>225142</v>
      </c>
      <c r="U258" s="31" t="str">
        <f>IFERROR(__xludf.DUMMYFUNCTION("""COMPUTED_VALUE"""),"2251")</f>
        <v>2251</v>
      </c>
      <c r="V258" s="11"/>
      <c r="W258" s="11"/>
      <c r="X258" s="11" t="str">
        <f>IFERROR(__xludf.DUMMYFUNCTION("""COMPUTED_VALUE"""),"#N/A")</f>
        <v>#N/A</v>
      </c>
      <c r="Y258" s="11" t="str">
        <f>IFERROR(__xludf.DUMMYFUNCTION("""COMPUTED_VALUE"""),"#N/A")</f>
        <v>#N/A</v>
      </c>
      <c r="Z258" s="11" t="str">
        <f>IFERROR(__xludf.DUMMYFUNCTION("""COMPUTED_VALUE"""),"#N/A")</f>
        <v>#N/A</v>
      </c>
    </row>
    <row r="259" customHeight="1" spans="1:26">
      <c r="A259" s="11" t="str">
        <f>IFERROR(__xludf.DUMMYFUNCTION("""COMPUTED_VALUE"""),"EDJANEIDE MARIA DA SILVA")</f>
        <v>EDJANEIDE MARIA DA SILVA</v>
      </c>
      <c r="B259" s="11"/>
      <c r="C259" s="11"/>
      <c r="D259" s="11" t="str">
        <f>IFERROR(__xludf.DUMMYFUNCTION("""COMPUTED_VALUE"""),"Enfermeira eSF")</f>
        <v>Enfermeira eSF</v>
      </c>
      <c r="E259" s="11" t="str">
        <f>IFERROR(__xludf.DUMMYFUNCTION("""COMPUTED_VALUE"""),"VII")</f>
        <v>VII</v>
      </c>
      <c r="F259" s="11" t="str">
        <f>IFERROR(__xludf.DUMMYFUNCTION("""COMPUTED_VALUE"""),"US_288 USF MORRO DA CONCEICAO")</f>
        <v>US_288 USF MORRO DA CONCEICAO</v>
      </c>
      <c r="G259" s="11" t="str">
        <f>IFERROR(__xludf.DUMMYFUNCTION("""COMPUTED_VALUE"""),"US 288 USF MORRO DA CONCEICAO")</f>
        <v>US 288 USF MORRO DA CONCEICAO</v>
      </c>
      <c r="H259" s="27">
        <f>IFERROR(__xludf.DUMMYFUNCTION("""COMPUTED_VALUE"""),81996305454)</f>
        <v>81996305454</v>
      </c>
      <c r="I259" s="27">
        <f>IFERROR(__xludf.DUMMYFUNCTION("""COMPUTED_VALUE"""),81988065524)</f>
        <v>81988065524</v>
      </c>
      <c r="J259" s="11"/>
      <c r="K259" s="11"/>
      <c r="L259" s="11"/>
      <c r="M259" s="28" t="str">
        <f>IFERROR(__xludf.DUMMYFUNCTION("""COMPUTED_VALUE"""),"3355-6526")</f>
        <v>3355-6526</v>
      </c>
      <c r="N259" s="11" t="str">
        <f>IFERROR(__xludf.DUMMYFUNCTION("""COMPUTED_VALUE"""),"edjaneidemaria@yahoo.com.br")</f>
        <v>edjaneidemaria@yahoo.com.br</v>
      </c>
      <c r="O259" s="29">
        <f>IFERROR(__xludf.DUMMYFUNCTION("""COMPUTED_VALUE"""),3412863467)</f>
        <v>3412863467</v>
      </c>
      <c r="P259" s="30" t="str">
        <f>IFERROR(__xludf.DUMMYFUNCTION("""COMPUTED_VALUE"""),"980016283192616")</f>
        <v>980016283192616</v>
      </c>
      <c r="Q259" s="30" t="str">
        <f>IFERROR(__xludf.DUMMYFUNCTION("""COMPUTED_VALUE"""),"2679787")</f>
        <v>2679787</v>
      </c>
      <c r="R259" s="30" t="str">
        <f>IFERROR(__xludf.DUMMYFUNCTION("""COMPUTED_VALUE"""),"0000154830")</f>
        <v>0000154830</v>
      </c>
      <c r="S259" s="30" t="str">
        <f>IFERROR(__xludf.DUMMYFUNCTION("""COMPUTED_VALUE"""),"1")</f>
        <v>1</v>
      </c>
      <c r="T259" s="30" t="str">
        <f>IFERROR(__xludf.DUMMYFUNCTION("""COMPUTED_VALUE"""),"223565")</f>
        <v>223565</v>
      </c>
      <c r="U259" s="31" t="str">
        <f>IFERROR(__xludf.DUMMYFUNCTION("""COMPUTED_VALUE"""),"2235")</f>
        <v>2235</v>
      </c>
      <c r="V259" s="11"/>
      <c r="W259" s="11" t="str">
        <f>IFERROR(__xludf.DUMMYFUNCTION("""COMPUTED_VALUE"""),"9630-5454")</f>
        <v>9630-5454</v>
      </c>
      <c r="X259" s="11" t="str">
        <f>IFERROR(__xludf.DUMMYFUNCTION("""COMPUTED_VALUE"""),"8806-5524")</f>
        <v>8806-5524</v>
      </c>
      <c r="Y259" s="11">
        <f>IFERROR(__xludf.DUMMYFUNCTION("""COMPUTED_VALUE"""),3412863467)</f>
        <v>3412863467</v>
      </c>
      <c r="Z259" s="11"/>
    </row>
    <row r="260" customHeight="1" spans="1:26">
      <c r="A260" s="11" t="str">
        <f>IFERROR(__xludf.DUMMYFUNCTION("""COMPUTED_VALUE"""),"Alisse Maria Chaves de Lima Peixoto")</f>
        <v>Alisse Maria Chaves de Lima Peixoto</v>
      </c>
      <c r="B260" s="11"/>
      <c r="C260" s="11"/>
      <c r="D260" s="11" t="str">
        <f>IFERROR(__xludf.DUMMYFUNCTION("""COMPUTED_VALUE"""),"Enfermeira eSF")</f>
        <v>Enfermeira eSF</v>
      </c>
      <c r="E260" s="11"/>
      <c r="F260" s="11"/>
      <c r="G260" s="11" t="str">
        <f>IFERROR(__xludf.DUMMYFUNCTION("""COMPUTED_VALUE"""),"US 274 USF TIA REGINA")</f>
        <v>US 274 USF TIA REGINA</v>
      </c>
      <c r="H260" s="27">
        <f>IFERROR(__xludf.DUMMYFUNCTION("""COMPUTED_VALUE"""),81995028998)</f>
        <v>81995028998</v>
      </c>
      <c r="I260" s="11"/>
      <c r="J260" s="11"/>
      <c r="K260" s="33">
        <f>IFERROR(__xludf.DUMMYFUNCTION("""COMPUTED_VALUE"""),45251)</f>
        <v>45251</v>
      </c>
      <c r="L260" s="11"/>
      <c r="M260" s="11"/>
      <c r="N260" s="11"/>
      <c r="O260" s="11"/>
      <c r="P260" s="11"/>
      <c r="Q260" s="11"/>
      <c r="R260" s="11"/>
      <c r="S260" s="11"/>
      <c r="T260" s="11"/>
      <c r="U260" s="11"/>
      <c r="V260" s="11"/>
      <c r="W260" s="11"/>
      <c r="X260" s="11"/>
      <c r="Y260" s="11"/>
      <c r="Z260" s="11"/>
    </row>
    <row r="261" customHeight="1" spans="1:26">
      <c r="A261" s="11" t="str">
        <f>IFERROR(__xludf.DUMMYFUNCTION("""COMPUTED_VALUE"""),"FLAVIA FREIRE DA SILVA")</f>
        <v>FLAVIA FREIRE DA SILVA</v>
      </c>
      <c r="B261" s="11"/>
      <c r="C261" s="11"/>
      <c r="D261" s="11" t="str">
        <f>IFERROR(__xludf.DUMMYFUNCTION("""COMPUTED_VALUE"""),"Enfermeira eSF")</f>
        <v>Enfermeira eSF</v>
      </c>
      <c r="E261" s="11" t="str">
        <f>IFERROR(__xludf.DUMMYFUNCTION("""COMPUTED_VALUE"""),"II")</f>
        <v>II</v>
      </c>
      <c r="F261" s="11" t="str">
        <f>IFERROR(__xludf.DUMMYFUNCTION("""COMPUTED_VALUE"""),"US_167 POLICLINICA E MATERNIDADE PROFESSOR BARROS LIMA")</f>
        <v>US_167 POLICLINICA E MATERNIDADE PROFESSOR BARROS LIMA</v>
      </c>
      <c r="G261" s="11" t="str">
        <f>IFERROR(__xludf.DUMMYFUNCTION("""COMPUTED_VALUE"""),"US 274 USF TIA REGINA")</f>
        <v>US 274 USF TIA REGINA</v>
      </c>
      <c r="H261" s="27">
        <f>IFERROR(__xludf.DUMMYFUNCTION("""COMPUTED_VALUE"""),81999748010)</f>
        <v>81999748010</v>
      </c>
      <c r="I261" s="11"/>
      <c r="J261" s="11"/>
      <c r="K261" s="11"/>
      <c r="L261" s="11"/>
      <c r="M261" s="28" t="str">
        <f>IFERROR(__xludf.DUMMYFUNCTION("""COMPUTED_VALUE"""),"3355-4708")</f>
        <v>3355-4708</v>
      </c>
      <c r="N261" s="11" t="str">
        <f>IFERROR(__xludf.DUMMYFUNCTION("""COMPUTED_VALUE"""),"flaviafreiresilva@oi.com.br")</f>
        <v>flaviafreiresilva@oi.com.br</v>
      </c>
      <c r="O261" s="29">
        <f>IFERROR(__xludf.DUMMYFUNCTION("""COMPUTED_VALUE"""),2826967410)</f>
        <v>2826967410</v>
      </c>
      <c r="P261" s="30" t="str">
        <f>IFERROR(__xludf.DUMMYFUNCTION("""COMPUTED_VALUE"""),"130645754560004")</f>
        <v>130645754560004</v>
      </c>
      <c r="Q261" s="30" t="str">
        <f>IFERROR(__xludf.DUMMYFUNCTION("""COMPUTED_VALUE"""),"0028096")</f>
        <v>0028096</v>
      </c>
      <c r="R261" s="30" t="str">
        <f>IFERROR(__xludf.DUMMYFUNCTION("""COMPUTED_VALUE"""),"0000154490")</f>
        <v>0000154490</v>
      </c>
      <c r="S261" s="30" t="str">
        <f>IFERROR(__xludf.DUMMYFUNCTION("""COMPUTED_VALUE"""),"1")</f>
        <v>1</v>
      </c>
      <c r="T261" s="30" t="str">
        <f>IFERROR(__xludf.DUMMYFUNCTION("""COMPUTED_VALUE"""),"223565")</f>
        <v>223565</v>
      </c>
      <c r="U261" s="31" t="str">
        <f>IFERROR(__xludf.DUMMYFUNCTION("""COMPUTED_VALUE"""),"2235")</f>
        <v>2235</v>
      </c>
      <c r="V261" s="11"/>
      <c r="W261" s="11" t="str">
        <f>IFERROR(__xludf.DUMMYFUNCTION("""COMPUTED_VALUE"""),"#N/A")</f>
        <v>#N/A</v>
      </c>
      <c r="X261" s="11" t="str">
        <f>IFERROR(__xludf.DUMMYFUNCTION("""COMPUTED_VALUE"""),"#N/A")</f>
        <v>#N/A</v>
      </c>
      <c r="Y261" s="11" t="str">
        <f>IFERROR(__xludf.DUMMYFUNCTION("""COMPUTED_VALUE"""),"#N/A")</f>
        <v>#N/A</v>
      </c>
      <c r="Z261" s="11"/>
    </row>
    <row r="262" customHeight="1" spans="1:26">
      <c r="A262" s="11" t="str">
        <f>IFERROR(__xludf.DUMMYFUNCTION("""COMPUTED_VALUE"""),"LUCAS DE AZEVEDO FONSECA")</f>
        <v>LUCAS DE AZEVEDO FONSECA</v>
      </c>
      <c r="B262" s="11"/>
      <c r="C262" s="11"/>
      <c r="D262" s="11" t="str">
        <f>IFERROR(__xludf.DUMMYFUNCTION("""COMPUTED_VALUE"""),"MÉDICO ESF")</f>
        <v>MÉDICO ESF</v>
      </c>
      <c r="E262" s="11"/>
      <c r="F262" s="11"/>
      <c r="G262" s="11" t="str">
        <f>IFERROR(__xludf.DUMMYFUNCTION("""COMPUTED_VALUE"""),"US 323 USF MUSTARDINHA")</f>
        <v>US 323 USF MUSTARDINHA</v>
      </c>
      <c r="H262" s="27">
        <f>IFERROR(__xludf.DUMMYFUNCTION("""COMPUTED_VALUE"""),81992911340)</f>
        <v>81992911340</v>
      </c>
      <c r="I262" s="11"/>
      <c r="J262" s="11"/>
      <c r="K262" s="24">
        <f>IFERROR(__xludf.DUMMYFUNCTION("""COMPUTED_VALUE"""),45352)</f>
        <v>45352</v>
      </c>
      <c r="L262" s="11"/>
      <c r="M262" s="11"/>
      <c r="N262" s="11"/>
      <c r="O262" s="11"/>
      <c r="P262" s="11"/>
      <c r="Q262" s="11"/>
      <c r="R262" s="11"/>
      <c r="S262" s="11"/>
      <c r="T262" s="11"/>
      <c r="U262" s="11"/>
      <c r="V262" s="11"/>
      <c r="W262" s="11"/>
      <c r="X262" s="11"/>
      <c r="Y262" s="11"/>
      <c r="Z262" s="11"/>
    </row>
    <row r="263" customHeight="1" spans="1:26">
      <c r="A263" s="11" t="str">
        <f>IFERROR(__xludf.DUMMYFUNCTION("""COMPUTED_VALUE"""),"RAQUEL DA ROCHA VALENCA")</f>
        <v>RAQUEL DA ROCHA VALENCA</v>
      </c>
      <c r="B263" s="11"/>
      <c r="C263" s="11"/>
      <c r="D263" s="11" t="str">
        <f>IFERROR(__xludf.DUMMYFUNCTION("""COMPUTED_VALUE"""),"Enfermeira eSF")</f>
        <v>Enfermeira eSF</v>
      </c>
      <c r="E263" s="11" t="str">
        <f>IFERROR(__xludf.DUMMYFUNCTION("""COMPUTED_VALUE"""),"V")</f>
        <v>V</v>
      </c>
      <c r="F263" s="11" t="str">
        <f>IFERROR(__xludf.DUMMYFUNCTION("""COMPUTED_VALUE"""),"US_323 USF MUSTARDINHA")</f>
        <v>US_323 USF MUSTARDINHA</v>
      </c>
      <c r="G263" s="11" t="str">
        <f>IFERROR(__xludf.DUMMYFUNCTION("""COMPUTED_VALUE"""),"US 323 USF MUSTARDINHA")</f>
        <v>US 323 USF MUSTARDINHA</v>
      </c>
      <c r="H263" s="27">
        <f>IFERROR(__xludf.DUMMYFUNCTION("""COMPUTED_VALUE"""),81986377775)</f>
        <v>81986377775</v>
      </c>
      <c r="I263" s="27">
        <f>IFERROR(__xludf.DUMMYFUNCTION("""COMPUTED_VALUE"""),81996090108)</f>
        <v>81996090108</v>
      </c>
      <c r="J263" s="11"/>
      <c r="K263" s="11"/>
      <c r="L263" s="11"/>
      <c r="M263" s="28" t="str">
        <f>IFERROR(__xludf.DUMMYFUNCTION("""COMPUTED_VALUE"""),"3355-6710")</f>
        <v>3355-6710</v>
      </c>
      <c r="N263" s="11" t="str">
        <f>IFERROR(__xludf.DUMMYFUNCTION("""COMPUTED_VALUE"""),"raquelenca31@hotmail.com")</f>
        <v>raquelenca31@hotmail.com</v>
      </c>
      <c r="O263" s="29">
        <f>IFERROR(__xludf.DUMMYFUNCTION("""COMPUTED_VALUE"""),3736196423)</f>
        <v>3736196423</v>
      </c>
      <c r="P263" s="30" t="str">
        <f>IFERROR(__xludf.DUMMYFUNCTION("""COMPUTED_VALUE"""),"204324393520001")</f>
        <v>204324393520001</v>
      </c>
      <c r="Q263" s="30" t="str">
        <f>IFERROR(__xludf.DUMMYFUNCTION("""COMPUTED_VALUE"""),"3371328")</f>
        <v>3371328</v>
      </c>
      <c r="R263" s="30" t="str">
        <f>IFERROR(__xludf.DUMMYFUNCTION("""COMPUTED_VALUE"""),"0000155322")</f>
        <v>0000155322</v>
      </c>
      <c r="S263" s="30" t="str">
        <f>IFERROR(__xludf.DUMMYFUNCTION("""COMPUTED_VALUE"""),"1")</f>
        <v>1</v>
      </c>
      <c r="T263" s="30" t="str">
        <f>IFERROR(__xludf.DUMMYFUNCTION("""COMPUTED_VALUE"""),"223565")</f>
        <v>223565</v>
      </c>
      <c r="U263" s="31" t="str">
        <f>IFERROR(__xludf.DUMMYFUNCTION("""COMPUTED_VALUE"""),"2235")</f>
        <v>2235</v>
      </c>
      <c r="V263" s="11"/>
      <c r="W263" s="11">
        <f>IFERROR(__xludf.DUMMYFUNCTION("""COMPUTED_VALUE"""),96090108)</f>
        <v>96090108</v>
      </c>
      <c r="X263" s="11">
        <f>IFERROR(__xludf.DUMMYFUNCTION("""COMPUTED_VALUE"""),86377775)</f>
        <v>86377775</v>
      </c>
      <c r="Y263" s="11">
        <f>IFERROR(__xludf.DUMMYFUNCTION("""COMPUTED_VALUE"""),3736196423)</f>
        <v>3736196423</v>
      </c>
      <c r="Z263" s="11"/>
    </row>
    <row r="264" customHeight="1" spans="1:26">
      <c r="A264" s="11" t="str">
        <f>IFERROR(__xludf.DUMMYFUNCTION("""COMPUTED_VALUE"""),"CARLOS ALBERTO DE LARANJEIRAS PINTO FILHO")</f>
        <v>CARLOS ALBERTO DE LARANJEIRAS PINTO FILHO</v>
      </c>
      <c r="B264" s="11"/>
      <c r="C264" s="11"/>
      <c r="D264" s="11" t="str">
        <f>IFERROR(__xludf.DUMMYFUNCTION("""COMPUTED_VALUE"""),"Enfermeiro eSF")</f>
        <v>Enfermeiro eSF</v>
      </c>
      <c r="E264" s="11" t="str">
        <f>IFERROR(__xludf.DUMMYFUNCTION("""COMPUTED_VALUE"""),"V")</f>
        <v>V</v>
      </c>
      <c r="F264" s="11" t="str">
        <f>IFERROR(__xludf.DUMMYFUNCTION("""COMPUTED_VALUE"""),"US_294 USF VILA TAMANDARE BEIRINHA")</f>
        <v>US_294 USF VILA TAMANDARE BEIRINHA</v>
      </c>
      <c r="G264" s="11" t="str">
        <f>IFERROR(__xludf.DUMMYFUNCTION("""COMPUTED_VALUE"""),"US 294 USF VILA TAMANDARE BEIRINHA")</f>
        <v>US 294 USF VILA TAMANDARE BEIRINHA</v>
      </c>
      <c r="H264" s="27">
        <f>IFERROR(__xludf.DUMMYFUNCTION("""COMPUTED_VALUE"""),81988122449)</f>
        <v>81988122449</v>
      </c>
      <c r="I264" s="27">
        <f>IFERROR(__xludf.DUMMYFUNCTION("""COMPUTED_VALUE"""),81988122442)</f>
        <v>81988122442</v>
      </c>
      <c r="J264" s="11"/>
      <c r="K264" s="11"/>
      <c r="L264" s="11"/>
      <c r="M264" s="28" t="str">
        <f>IFERROR(__xludf.DUMMYFUNCTION("""COMPUTED_VALUE"""),"3355-6254")</f>
        <v>3355-6254</v>
      </c>
      <c r="N264" s="11" t="str">
        <f>IFERROR(__xludf.DUMMYFUNCTION("""COMPUTED_VALUE"""),"carlosbeto01@hotmail.com")</f>
        <v>carlosbeto01@hotmail.com</v>
      </c>
      <c r="O264" s="29">
        <f>IFERROR(__xludf.DUMMYFUNCTION("""COMPUTED_VALUE"""),3623501409)</f>
        <v>3623501409</v>
      </c>
      <c r="P264" s="30" t="str">
        <f>IFERROR(__xludf.DUMMYFUNCTION("""COMPUTED_VALUE"""),"980016004535236")</f>
        <v>980016004535236</v>
      </c>
      <c r="Q264" s="30" t="str">
        <f>IFERROR(__xludf.DUMMYFUNCTION("""COMPUTED_VALUE"""),"3037908")</f>
        <v>3037908</v>
      </c>
      <c r="R264" s="30" t="str">
        <f>IFERROR(__xludf.DUMMYFUNCTION("""COMPUTED_VALUE"""),"0000154989")</f>
        <v>0000154989</v>
      </c>
      <c r="S264" s="30" t="str">
        <f>IFERROR(__xludf.DUMMYFUNCTION("""COMPUTED_VALUE"""),"1")</f>
        <v>1</v>
      </c>
      <c r="T264" s="30" t="str">
        <f>IFERROR(__xludf.DUMMYFUNCTION("""COMPUTED_VALUE"""),"223565")</f>
        <v>223565</v>
      </c>
      <c r="U264" s="31" t="str">
        <f>IFERROR(__xludf.DUMMYFUNCTION("""COMPUTED_VALUE"""),"2235")</f>
        <v>2235</v>
      </c>
      <c r="V264" s="11"/>
      <c r="W264" s="11">
        <f>IFERROR(__xludf.DUMMYFUNCTION("""COMPUTED_VALUE"""),30350584)</f>
        <v>30350584</v>
      </c>
      <c r="X264" s="11">
        <f>IFERROR(__xludf.DUMMYFUNCTION("""COMPUTED_VALUE"""),88122442)</f>
        <v>88122442</v>
      </c>
      <c r="Y264" s="11">
        <f>IFERROR(__xludf.DUMMYFUNCTION("""COMPUTED_VALUE"""),3623501409)</f>
        <v>3623501409</v>
      </c>
      <c r="Z264" s="11"/>
    </row>
    <row r="265" customHeight="1" spans="1:26">
      <c r="A265" s="11" t="str">
        <f>IFERROR(__xludf.DUMMYFUNCTION("""COMPUTED_VALUE"""),"DAVI ESMERALDO")</f>
        <v>DAVI ESMERALDO</v>
      </c>
      <c r="B265" s="11"/>
      <c r="C265" s="11"/>
      <c r="D265" s="11" t="str">
        <f>IFERROR(__xludf.DUMMYFUNCTION("""COMPUTED_VALUE"""),"Enfermeira eSF")</f>
        <v>Enfermeira eSF</v>
      </c>
      <c r="E265" s="11" t="str">
        <f>IFERROR(__xludf.DUMMYFUNCTION("""COMPUTED_VALUE"""),"V")</f>
        <v>V</v>
      </c>
      <c r="F265" s="11" t="str">
        <f>IFERROR(__xludf.DUMMYFUNCTION("""COMPUTED_VALUE"""),"US 399 USF UPINHA DIA NOVO JIQUIA")</f>
        <v>US 399 USF UPINHA DIA NOVO JIQUIA</v>
      </c>
      <c r="G265" s="11" t="str">
        <f>IFERROR(__xludf.DUMMYFUNCTION("""COMPUTED_VALUE"""),"US 399 USF UPINHA DIA NOVO JIQUIA")</f>
        <v>US 399 USF UPINHA DIA NOVO JIQUIA</v>
      </c>
      <c r="H265" s="27">
        <f>IFERROR(__xludf.DUMMYFUNCTION("""COMPUTED_VALUE"""),81995191083)</f>
        <v>81995191083</v>
      </c>
      <c r="I265" s="11"/>
      <c r="J265" s="11"/>
      <c r="K265" s="24">
        <f>IFERROR(__xludf.DUMMYFUNCTION("""COMPUTED_VALUE"""),45152)</f>
        <v>45152</v>
      </c>
      <c r="L265" s="11"/>
      <c r="M265" s="11"/>
      <c r="N265" s="11"/>
      <c r="O265" s="11"/>
      <c r="P265" s="11"/>
      <c r="Q265" s="11"/>
      <c r="R265" s="11"/>
      <c r="S265" s="11"/>
      <c r="T265" s="11"/>
      <c r="U265" s="11"/>
      <c r="V265" s="11"/>
      <c r="W265" s="11"/>
      <c r="X265" s="11"/>
      <c r="Y265" s="11"/>
      <c r="Z265" s="11"/>
    </row>
    <row r="266" customHeight="1" spans="1:26">
      <c r="A266" s="11" t="str">
        <f>IFERROR(__xludf.DUMMYFUNCTION("""COMPUTED_VALUE"""),"PATRICIA LISANDRA PRADO MOREIRA DE FARIAS")</f>
        <v>PATRICIA LISANDRA PRADO MOREIRA DE FARIAS</v>
      </c>
      <c r="B266" s="11"/>
      <c r="C266" s="11"/>
      <c r="D266" s="11" t="str">
        <f>IFERROR(__xludf.DUMMYFUNCTION("""COMPUTED_VALUE"""),"Enfermeira eSF")</f>
        <v>Enfermeira eSF</v>
      </c>
      <c r="E266" s="11" t="str">
        <f>IFERROR(__xludf.DUMMYFUNCTION("""COMPUTED_VALUE"""),"V")</f>
        <v>V</v>
      </c>
      <c r="F266" s="11" t="str">
        <f>IFERROR(__xludf.DUMMYFUNCTION("""COMPUTED_VALUE"""),"US_399 USF UPINHA DIA NOVO JIQUIA")</f>
        <v>US_399 USF UPINHA DIA NOVO JIQUIA</v>
      </c>
      <c r="G266" s="11" t="str">
        <f>IFERROR(__xludf.DUMMYFUNCTION("""COMPUTED_VALUE"""),"US 399 USF UPINHA DIA NOVO JIQUIA")</f>
        <v>US 399 USF UPINHA DIA NOVO JIQUIA</v>
      </c>
      <c r="H266" s="27">
        <f>IFERROR(__xludf.DUMMYFUNCTION("""COMPUTED_VALUE"""),81984350292)</f>
        <v>81984350292</v>
      </c>
      <c r="I266" s="27">
        <f>IFERROR(__xludf.DUMMYFUNCTION("""COMPUTED_VALUE"""),81998435022)</f>
        <v>81998435022</v>
      </c>
      <c r="J266" s="11"/>
      <c r="K266" s="11"/>
      <c r="L266" s="11"/>
      <c r="M266" s="28" t="str">
        <f>IFERROR(__xludf.DUMMYFUNCTION("""COMPUTED_VALUE"""),"3355-3806")</f>
        <v>3355-3806</v>
      </c>
      <c r="N266" s="30" t="str">
        <f>IFERROR(__xludf.DUMMYFUNCTION("""COMPUTED_VALUE"""),"padilisandra@hotmal.com")</f>
        <v>padilisandra@hotmal.com</v>
      </c>
      <c r="O266" s="29">
        <f>IFERROR(__xludf.DUMMYFUNCTION("""COMPUTED_VALUE"""),4401187431)</f>
        <v>4401187431</v>
      </c>
      <c r="P266" s="30" t="str">
        <f>IFERROR(__xludf.DUMMYFUNCTION("""COMPUTED_VALUE"""),"980016294690736")</f>
        <v>980016294690736</v>
      </c>
      <c r="Q266" s="30" t="str">
        <f>IFERROR(__xludf.DUMMYFUNCTION("""COMPUTED_VALUE"""),"7648480")</f>
        <v>7648480</v>
      </c>
      <c r="R266" s="30" t="str">
        <f>IFERROR(__xludf.DUMMYFUNCTION("""COMPUTED_VALUE"""),"0001562827")</f>
        <v>0001562827</v>
      </c>
      <c r="S266" s="30" t="str">
        <f>IFERROR(__xludf.DUMMYFUNCTION("""COMPUTED_VALUE"""),"1")</f>
        <v>1</v>
      </c>
      <c r="T266" s="30" t="str">
        <f>IFERROR(__xludf.DUMMYFUNCTION("""COMPUTED_VALUE"""),"223565")</f>
        <v>223565</v>
      </c>
      <c r="U266" s="31" t="str">
        <f>IFERROR(__xludf.DUMMYFUNCTION("""COMPUTED_VALUE"""),"2235")</f>
        <v>2235</v>
      </c>
      <c r="V266" s="11"/>
      <c r="W266" s="11">
        <f>IFERROR(__xludf.DUMMYFUNCTION("""COMPUTED_VALUE"""),30366716)</f>
        <v>30366716</v>
      </c>
      <c r="X266" s="11">
        <f>IFERROR(__xludf.DUMMYFUNCTION("""COMPUTED_VALUE"""),84350292)</f>
        <v>84350292</v>
      </c>
      <c r="Y266" s="11">
        <f>IFERROR(__xludf.DUMMYFUNCTION("""COMPUTED_VALUE"""),4401187431)</f>
        <v>4401187431</v>
      </c>
      <c r="Z266" s="11"/>
    </row>
    <row r="267" customHeight="1" spans="1:26">
      <c r="A267" s="11" t="str">
        <f>IFERROR(__xludf.DUMMYFUNCTION("""COMPUTED_VALUE"""),"AMANDA CRISTINA C DE ANDRADE")</f>
        <v>AMANDA CRISTINA C DE ANDRADE</v>
      </c>
      <c r="B267" s="11"/>
      <c r="C267" s="11"/>
      <c r="D267" s="11" t="str">
        <f>IFERROR(__xludf.DUMMYFUNCTION("""COMPUTED_VALUE"""),"Dentista")</f>
        <v>Dentista</v>
      </c>
      <c r="E267" s="11" t="str">
        <f>IFERROR(__xludf.DUMMYFUNCTION("""COMPUTED_VALUE"""),"VII")</f>
        <v>VII</v>
      </c>
      <c r="F267" s="11" t="str">
        <f>IFERROR(__xludf.DUMMYFUNCTION("""COMPUTED_VALUE"""),"SEDE DISTRITO SANITARIO VII")</f>
        <v>SEDE DISTRITO SANITARIO VII</v>
      </c>
      <c r="G267" s="11" t="str">
        <f>IFERROR(__xludf.DUMMYFUNCTION("""COMPUTED_VALUE"""),"US 400 USF UPINHA DIA DOM HELDER")</f>
        <v>US 400 USF UPINHA DIA DOM HELDER</v>
      </c>
      <c r="H267" s="27">
        <f>IFERROR(__xludf.DUMMYFUNCTION("""COMPUTED_VALUE"""),81982862403)</f>
        <v>81982862403</v>
      </c>
      <c r="I267" s="11"/>
      <c r="J267" s="11"/>
      <c r="K267" s="11"/>
      <c r="L267" s="11"/>
      <c r="M267" s="28" t="str">
        <f>IFERROR(__xludf.DUMMYFUNCTION("""COMPUTED_VALUE"""),"3355-5401")</f>
        <v>3355-5401</v>
      </c>
      <c r="N267" s="11" t="str">
        <f>IFERROR(__xludf.DUMMYFUNCTION("""COMPUTED_VALUE"""),"amadrade@hotmail.com")</f>
        <v>amadrade@hotmail.com</v>
      </c>
      <c r="O267" s="29">
        <f>IFERROR(__xludf.DUMMYFUNCTION("""COMPUTED_VALUE"""),86963015449)</f>
        <v>86963015449</v>
      </c>
      <c r="P267" s="30" t="str">
        <f>IFERROR(__xludf.DUMMYFUNCTION("""COMPUTED_VALUE"""),"980016279528079")</f>
        <v>980016279528079</v>
      </c>
      <c r="Q267" s="30" t="str">
        <f>IFERROR(__xludf.DUMMYFUNCTION("""COMPUTED_VALUE"""),"7845367")</f>
        <v>7845367</v>
      </c>
      <c r="R267" s="30" t="str">
        <f>IFERROR(__xludf.DUMMYFUNCTION("""COMPUTED_VALUE"""),"9784536701")</f>
        <v>9784536701</v>
      </c>
      <c r="S267" s="30" t="str">
        <f>IFERROR(__xludf.DUMMYFUNCTION("""COMPUTED_VALUE"""),"1")</f>
        <v>1</v>
      </c>
      <c r="T267" s="30" t="str">
        <f>IFERROR(__xludf.DUMMYFUNCTION("""COMPUTED_VALUE"""),"223208 ")</f>
        <v>223208 </v>
      </c>
      <c r="U267" s="31">
        <f>IFERROR(__xludf.DUMMYFUNCTION("""COMPUTED_VALUE"""),2232)</f>
        <v>2232</v>
      </c>
      <c r="V267" s="11"/>
      <c r="W267" s="11"/>
      <c r="X267" s="11"/>
      <c r="Y267" s="11"/>
      <c r="Z267" s="11"/>
    </row>
    <row r="268" customHeight="1" spans="1:26">
      <c r="A268" s="11" t="str">
        <f>IFERROR(__xludf.DUMMYFUNCTION("""COMPUTED_VALUE"""),"DENISE LOPES TIMOTEO BURGER")</f>
        <v>DENISE LOPES TIMOTEO BURGER</v>
      </c>
      <c r="B268" s="11"/>
      <c r="C268" s="11"/>
      <c r="D268" s="11" t="str">
        <f>IFERROR(__xludf.DUMMYFUNCTION("""COMPUTED_VALUE"""),"Dentista")</f>
        <v>Dentista</v>
      </c>
      <c r="E268" s="11" t="str">
        <f>IFERROR(__xludf.DUMMYFUNCTION("""COMPUTED_VALUE"""),"VIII")</f>
        <v>VIII</v>
      </c>
      <c r="F268" s="11" t="str">
        <f>IFERROR(__xludf.DUMMYFUNCTION("""COMPUTED_VALUE"""),"US_317 USF ALTO DA BELA VISTA")</f>
        <v>US_317 USF ALTO DA BELA VISTA</v>
      </c>
      <c r="G268" s="11" t="str">
        <f>IFERROR(__xludf.DUMMYFUNCTION("""COMPUTED_VALUE"""),"US 317 USF ALTO DA BELA VISTA")</f>
        <v>US 317 USF ALTO DA BELA VISTA</v>
      </c>
      <c r="H268" s="27">
        <f>IFERROR(__xludf.DUMMYFUNCTION("""COMPUTED_VALUE"""),81999429190)</f>
        <v>81999429190</v>
      </c>
      <c r="I268" s="11"/>
      <c r="J268" s="11"/>
      <c r="K268" s="11"/>
      <c r="L268" s="11"/>
      <c r="M268" s="28" t="str">
        <f>IFERROR(__xludf.DUMMYFUNCTION("""COMPUTED_VALUE"""),"3355-6078")</f>
        <v>3355-6078</v>
      </c>
      <c r="N268" s="11" t="str">
        <f>IFERROR(__xludf.DUMMYFUNCTION("""COMPUTED_VALUE"""),"deniseltb@gmail.com")</f>
        <v>deniseltb@gmail.com</v>
      </c>
      <c r="O268" s="29">
        <f>IFERROR(__xludf.DUMMYFUNCTION("""COMPUTED_VALUE"""),74730673468)</f>
        <v>74730673468</v>
      </c>
      <c r="P268" s="30" t="str">
        <f>IFERROR(__xludf.DUMMYFUNCTION("""COMPUTED_VALUE"""),"980016000474003")</f>
        <v>980016000474003</v>
      </c>
      <c r="Q268" s="30" t="str">
        <f>IFERROR(__xludf.DUMMYFUNCTION("""COMPUTED_VALUE"""),"3380300")</f>
        <v>3380300</v>
      </c>
      <c r="R268" s="30" t="str">
        <f>IFERROR(__xludf.DUMMYFUNCTION("""COMPUTED_VALUE"""),"0000155373")</f>
        <v>0000155373</v>
      </c>
      <c r="S268" s="30" t="str">
        <f>IFERROR(__xludf.DUMMYFUNCTION("""COMPUTED_VALUE"""),"1")</f>
        <v>1</v>
      </c>
      <c r="T268" s="30" t="str">
        <f>IFERROR(__xludf.DUMMYFUNCTION("""COMPUTED_VALUE"""),"223293")</f>
        <v>223293</v>
      </c>
      <c r="U268" s="31">
        <f>IFERROR(__xludf.DUMMYFUNCTION("""COMPUTED_VALUE"""),2232)</f>
        <v>2232</v>
      </c>
      <c r="V268" s="11"/>
      <c r="W268" s="11"/>
      <c r="X268" s="11"/>
      <c r="Y268" s="11"/>
      <c r="Z268" s="11"/>
    </row>
    <row r="269" customHeight="1" spans="1:26">
      <c r="A269" s="11" t="str">
        <f>IFERROR(__xludf.DUMMYFUNCTION("""COMPUTED_VALUE"""),"Thaila Maria Assalin dos Santos")</f>
        <v>Thaila Maria Assalin dos Santos</v>
      </c>
      <c r="B269" s="11"/>
      <c r="C269" s="11"/>
      <c r="D269" s="11" t="str">
        <f>IFERROR(__xludf.DUMMYFUNCTION("""COMPUTED_VALUE"""),"Médica eSF")</f>
        <v>Médica eSF</v>
      </c>
      <c r="E269" s="11" t="str">
        <f>IFERROR(__xludf.DUMMYFUNCTION("""COMPUTED_VALUE"""),"II")</f>
        <v>II</v>
      </c>
      <c r="F269" s="11"/>
      <c r="G269" s="11" t="str">
        <f>IFERROR(__xludf.DUMMYFUNCTION("""COMPUTED_VALUE"""),"US 403 USF UPINHA DIA CHIE")</f>
        <v>US 403 USF UPINHA DIA CHIE</v>
      </c>
      <c r="H269" s="27">
        <f>IFERROR(__xludf.DUMMYFUNCTION("""COMPUTED_VALUE"""),66997177135)</f>
        <v>66997177135</v>
      </c>
      <c r="I269" s="11"/>
      <c r="J269" s="11"/>
      <c r="K269" s="11"/>
      <c r="L269" s="11"/>
      <c r="M269" s="11"/>
      <c r="N269" s="11"/>
      <c r="O269" s="11"/>
      <c r="P269" s="11"/>
      <c r="Q269" s="11"/>
      <c r="R269" s="11"/>
      <c r="S269" s="11"/>
      <c r="T269" s="11"/>
      <c r="U269" s="11"/>
      <c r="V269" s="11"/>
      <c r="W269" s="11"/>
      <c r="X269" s="11"/>
      <c r="Y269" s="11"/>
      <c r="Z269" s="11"/>
    </row>
    <row r="270" customHeight="1" spans="1:26">
      <c r="A270" s="11" t="str">
        <f>IFERROR(__xludf.DUMMYFUNCTION("""COMPUTED_VALUE"""),"ANDREA PATRICIA PEREIRA DE SOUZA")</f>
        <v>ANDREA PATRICIA PEREIRA DE SOUZA</v>
      </c>
      <c r="B270" s="11"/>
      <c r="C270" s="11"/>
      <c r="D270" s="11" t="str">
        <f>IFERROR(__xludf.DUMMYFUNCTION("""COMPUTED_VALUE"""),"Enfermeira eSF")</f>
        <v>Enfermeira eSF</v>
      </c>
      <c r="E270" s="11" t="str">
        <f>IFERROR(__xludf.DUMMYFUNCTION("""COMPUTED_VALUE"""),"II")</f>
        <v>II</v>
      </c>
      <c r="F270" s="11" t="str">
        <f>IFERROR(__xludf.DUMMYFUNCTION("""COMPUTED_VALUE"""),"US_167 POLICLINICA E MATERNIDADE PROFESSOR BARROS LIMA")</f>
        <v>US_167 POLICLINICA E MATERNIDADE PROFESSOR BARROS LIMA</v>
      </c>
      <c r="G270" s="11" t="str">
        <f>IFERROR(__xludf.DUMMYFUNCTION("""COMPUTED_VALUE"""),"US 403 USF UPINHA DIA CHIE")</f>
        <v>US 403 USF UPINHA DIA CHIE</v>
      </c>
      <c r="H270" s="27">
        <f>IFERROR(__xludf.DUMMYFUNCTION("""COMPUTED_VALUE"""),81987104021)</f>
        <v>81987104021</v>
      </c>
      <c r="I270" s="27">
        <f>IFERROR(__xludf.DUMMYFUNCTION("""COMPUTED_VALUE"""),81997233902)</f>
        <v>81997233902</v>
      </c>
      <c r="J270" s="11"/>
      <c r="K270" s="11"/>
      <c r="L270" s="11"/>
      <c r="M270" s="28" t="str">
        <f>IFERROR(__xludf.DUMMYFUNCTION("""COMPUTED_VALUE"""),"3355-6695")</f>
        <v>3355-6695</v>
      </c>
      <c r="N270" s="11" t="str">
        <f>IFERROR(__xludf.DUMMYFUNCTION("""COMPUTED_VALUE"""),"andpatri69@gmail.com")</f>
        <v>andpatri69@gmail.com</v>
      </c>
      <c r="O270" s="29">
        <f>IFERROR(__xludf.DUMMYFUNCTION("""COMPUTED_VALUE"""),68908580425)</f>
        <v>68908580425</v>
      </c>
      <c r="P270" s="30" t="str">
        <f>IFERROR(__xludf.DUMMYFUNCTION("""COMPUTED_VALUE"""),"123937594270018")</f>
        <v>123937594270018</v>
      </c>
      <c r="Q270" s="30" t="str">
        <f>IFERROR(__xludf.DUMMYFUNCTION("""COMPUTED_VALUE"""),"7992955")</f>
        <v>7992955</v>
      </c>
      <c r="R270" s="30" t="str">
        <f>IFERROR(__xludf.DUMMYFUNCTION("""COMPUTED_VALUE"""),"0000153656")</f>
        <v>0000153656</v>
      </c>
      <c r="S270" s="30" t="str">
        <f>IFERROR(__xludf.DUMMYFUNCTION("""COMPUTED_VALUE"""),"1")</f>
        <v>1</v>
      </c>
      <c r="T270" s="30" t="str">
        <f>IFERROR(__xludf.DUMMYFUNCTION("""COMPUTED_VALUE"""),"223565")</f>
        <v>223565</v>
      </c>
      <c r="U270" s="31" t="str">
        <f>IFERROR(__xludf.DUMMYFUNCTION("""COMPUTED_VALUE"""),"2235")</f>
        <v>2235</v>
      </c>
      <c r="V270" s="11"/>
      <c r="W270" s="11">
        <f>IFERROR(__xludf.DUMMYFUNCTION("""COMPUTED_VALUE"""),8132414021)</f>
        <v>8132414021</v>
      </c>
      <c r="X270" s="11">
        <f>IFERROR(__xludf.DUMMYFUNCTION("""COMPUTED_VALUE"""),8187104021)</f>
        <v>8187104021</v>
      </c>
      <c r="Y270" s="11">
        <f>IFERROR(__xludf.DUMMYFUNCTION("""COMPUTED_VALUE"""),68908580425)</f>
        <v>68908580425</v>
      </c>
      <c r="Z270" s="11"/>
    </row>
    <row r="271" customHeight="1" spans="1:26">
      <c r="A271" s="11" t="str">
        <f>IFERROR(__xludf.DUMMYFUNCTION("""COMPUTED_VALUE"""),"KILMA HELENA GUIMARAES ALVES")</f>
        <v>KILMA HELENA GUIMARAES ALVES</v>
      </c>
      <c r="B271" s="11"/>
      <c r="C271" s="11"/>
      <c r="D271" s="11" t="str">
        <f>IFERROR(__xludf.DUMMYFUNCTION("""COMPUTED_VALUE"""),"Dentista")</f>
        <v>Dentista</v>
      </c>
      <c r="E271" s="11" t="str">
        <f>IFERROR(__xludf.DUMMYFUNCTION("""COMPUTED_VALUE"""),"II")</f>
        <v>II</v>
      </c>
      <c r="F271" s="11" t="str">
        <f>IFERROR(__xludf.DUMMYFUNCTION("""COMPUTED_VALUE"""),"US_403 USF UPINHA DIA CHIE")</f>
        <v>US_403 USF UPINHA DIA CHIE</v>
      </c>
      <c r="G271" s="11" t="str">
        <f>IFERROR(__xludf.DUMMYFUNCTION("""COMPUTED_VALUE"""),"US 403 USF UPINHA DIA CHIE")</f>
        <v>US 403 USF UPINHA DIA CHIE</v>
      </c>
      <c r="H271" s="27">
        <f>IFERROR(__xludf.DUMMYFUNCTION("""COMPUTED_VALUE"""),81996678598)</f>
        <v>81996678598</v>
      </c>
      <c r="I271" s="11"/>
      <c r="J271" s="11"/>
      <c r="K271" s="11"/>
      <c r="L271" s="11"/>
      <c r="M271" s="28" t="str">
        <f>IFERROR(__xludf.DUMMYFUNCTION("""COMPUTED_VALUE"""),"3355-6695")</f>
        <v>3355-6695</v>
      </c>
      <c r="N271" s="11" t="str">
        <f>IFERROR(__xludf.DUMMYFUNCTION("""COMPUTED_VALUE"""),"kilmahelena19@hotmail.com")</f>
        <v>kilmahelena19@hotmail.com</v>
      </c>
      <c r="O271" s="29">
        <f>IFERROR(__xludf.DUMMYFUNCTION("""COMPUTED_VALUE"""),44695969491)</f>
        <v>44695969491</v>
      </c>
      <c r="P271" s="30" t="str">
        <f>IFERROR(__xludf.DUMMYFUNCTION("""COMPUTED_VALUE"""),"206790237920005")</f>
        <v>206790237920005</v>
      </c>
      <c r="Q271" s="30" t="str">
        <f>IFERROR(__xludf.DUMMYFUNCTION("""COMPUTED_VALUE"""),"7992955")</f>
        <v>7992955</v>
      </c>
      <c r="R271" s="30" t="str">
        <f>IFERROR(__xludf.DUMMYFUNCTION("""COMPUTED_VALUE"""),"0001727796")</f>
        <v>0001727796</v>
      </c>
      <c r="S271" s="30" t="str">
        <f>IFERROR(__xludf.DUMMYFUNCTION("""COMPUTED_VALUE"""),"1")</f>
        <v>1</v>
      </c>
      <c r="T271" s="30" t="str">
        <f>IFERROR(__xludf.DUMMYFUNCTION("""COMPUTED_VALUE"""),"223293")</f>
        <v>223293</v>
      </c>
      <c r="U271" s="31">
        <f>IFERROR(__xludf.DUMMYFUNCTION("""COMPUTED_VALUE"""),2232)</f>
        <v>2232</v>
      </c>
      <c r="V271" s="11"/>
      <c r="W271" s="11"/>
      <c r="X271" s="11"/>
      <c r="Y271" s="11"/>
      <c r="Z271" s="11"/>
    </row>
    <row r="272" customHeight="1" spans="1:26">
      <c r="A272" s="11" t="str">
        <f>IFERROR(__xludf.DUMMYFUNCTION("""COMPUTED_VALUE"""),"SARA VIRNA ALVES BARROS")</f>
        <v>SARA VIRNA ALVES BARROS</v>
      </c>
      <c r="B272" s="11"/>
      <c r="C272" s="11"/>
      <c r="D272" s="11" t="str">
        <f>IFERROR(__xludf.DUMMYFUNCTION("""COMPUTED_VALUE"""),"Enfermeira eSF")</f>
        <v>Enfermeira eSF</v>
      </c>
      <c r="E272" s="11" t="str">
        <f>IFERROR(__xludf.DUMMYFUNCTION("""COMPUTED_VALUE"""),"VII")</f>
        <v>VII</v>
      </c>
      <c r="F272" s="11" t="str">
        <f>IFERROR(__xludf.DUMMYFUNCTION("""COMPUTED_VALUE"""),"US_352 USF UPINHA 24H DR HELIO MENDONCA COR DO JENIPAPO")</f>
        <v>US_352 USF UPINHA 24H DR HELIO MENDONCA COR DO JENIPAPO</v>
      </c>
      <c r="G272" s="11" t="str">
        <f>IFERROR(__xludf.DUMMYFUNCTION("""COMPUTED_VALUE"""),"US 352 USF UPINHA 24H DR HELIO MENDONCA COR DO JENIPAPO")</f>
        <v>US 352 USF UPINHA 24H DR HELIO MENDONCA COR DO JENIPAPO</v>
      </c>
      <c r="H272" s="27">
        <f>IFERROR(__xludf.DUMMYFUNCTION("""COMPUTED_VALUE"""),81996639172)</f>
        <v>81996639172</v>
      </c>
      <c r="I272" s="27">
        <f>IFERROR(__xludf.DUMMYFUNCTION("""COMPUTED_VALUE"""),81994063667)</f>
        <v>81994063667</v>
      </c>
      <c r="J272" s="11"/>
      <c r="K272" s="11"/>
      <c r="L272" s="11"/>
      <c r="M272" s="28" t="str">
        <f>IFERROR(__xludf.DUMMYFUNCTION("""COMPUTED_VALUE"""),"3355-3554-3553")</f>
        <v>3355-3554-3553</v>
      </c>
      <c r="N272" s="11" t="str">
        <f>IFERROR(__xludf.DUMMYFUNCTION("""COMPUTED_VALUE"""),"saravirna@hotmail.com")</f>
        <v>saravirna@hotmail.com</v>
      </c>
      <c r="O272" s="29">
        <f>IFERROR(__xludf.DUMMYFUNCTION("""COMPUTED_VALUE"""),2773693477)</f>
        <v>2773693477</v>
      </c>
      <c r="P272" s="30" t="str">
        <f>IFERROR(__xludf.DUMMYFUNCTION("""COMPUTED_VALUE"""),"980016281020656")</f>
        <v>980016281020656</v>
      </c>
      <c r="Q272" s="30" t="str">
        <f>IFERROR(__xludf.DUMMYFUNCTION("""COMPUTED_VALUE"""),"6362508")</f>
        <v>6362508</v>
      </c>
      <c r="R272" s="30" t="str">
        <f>IFERROR(__xludf.DUMMYFUNCTION("""COMPUTED_VALUE"""),"0000156043")</f>
        <v>0000156043</v>
      </c>
      <c r="S272" s="30" t="str">
        <f>IFERROR(__xludf.DUMMYFUNCTION("""COMPUTED_VALUE"""),"1")</f>
        <v>1</v>
      </c>
      <c r="T272" s="30" t="str">
        <f>IFERROR(__xludf.DUMMYFUNCTION("""COMPUTED_VALUE"""),"223565")</f>
        <v>223565</v>
      </c>
      <c r="U272" s="31" t="str">
        <f>IFERROR(__xludf.DUMMYFUNCTION("""COMPUTED_VALUE"""),"2235")</f>
        <v>2235</v>
      </c>
      <c r="V272" s="11"/>
      <c r="W272" s="11">
        <f>IFERROR(__xludf.DUMMYFUNCTION("""COMPUTED_VALUE"""),94063667)</f>
        <v>94063667</v>
      </c>
      <c r="X272" s="11">
        <f>IFERROR(__xludf.DUMMYFUNCTION("""COMPUTED_VALUE"""),96639172)</f>
        <v>96639172</v>
      </c>
      <c r="Y272" s="11">
        <f>IFERROR(__xludf.DUMMYFUNCTION("""COMPUTED_VALUE"""),2773693477)</f>
        <v>2773693477</v>
      </c>
      <c r="Z272" s="11"/>
    </row>
    <row r="273" customHeight="1" spans="1:26">
      <c r="A273" s="11" t="str">
        <f>IFERROR(__xludf.DUMMYFUNCTION("""COMPUTED_VALUE"""),"VANIA GONCALVES DE OLIVEIRA LIMA")</f>
        <v>VANIA GONCALVES DE OLIVEIRA LIMA</v>
      </c>
      <c r="B273" s="11"/>
      <c r="C273" s="11"/>
      <c r="D273" s="11" t="str">
        <f>IFERROR(__xludf.DUMMYFUNCTION("""COMPUTED_VALUE"""),"Enfermeira eSF")</f>
        <v>Enfermeira eSF</v>
      </c>
      <c r="E273" s="11" t="str">
        <f>IFERROR(__xludf.DUMMYFUNCTION("""COMPUTED_VALUE"""),"III")</f>
        <v>III</v>
      </c>
      <c r="F273" s="11" t="str">
        <f>IFERROR(__xludf.DUMMYFUNCTION("""COMPUTED_VALUE"""),"US_318 CAPS CPTRA CENTRO DE PREV TRAT E REAB DE ALCOOLISMO")</f>
        <v>US_318 CAPS CPTRA CENTRO DE PREV TRAT E REAB DE ALCOOLISMO</v>
      </c>
      <c r="G273" s="11" t="str">
        <f>IFERROR(__xludf.DUMMYFUNCTION("""COMPUTED_VALUE"""),"US 171 CS JOAQUIM COSTA CARVALHO")</f>
        <v>US 171 CS JOAQUIM COSTA CARVALHO</v>
      </c>
      <c r="H273" s="27">
        <f>IFERROR(__xludf.DUMMYFUNCTION("""COMPUTED_VALUE"""),81987405988)</f>
        <v>81987405988</v>
      </c>
      <c r="I273" s="11"/>
      <c r="J273" s="11"/>
      <c r="K273" s="11"/>
      <c r="L273" s="11"/>
      <c r="M273" s="28" t="str">
        <f>IFERROR(__xludf.DUMMYFUNCTION("""COMPUTED_VALUE"""),"3355-4412")</f>
        <v>3355-4412</v>
      </c>
      <c r="N273" s="11" t="str">
        <f>IFERROR(__xludf.DUMMYFUNCTION("""COMPUTED_VALUE"""),"vangol2014@gmail.com")</f>
        <v>vangol2014@gmail.com</v>
      </c>
      <c r="O273" s="29">
        <f>IFERROR(__xludf.DUMMYFUNCTION("""COMPUTED_VALUE"""),80097480487)</f>
        <v>80097480487</v>
      </c>
      <c r="P273" s="30" t="str">
        <f>IFERROR(__xludf.DUMMYFUNCTION("""COMPUTED_VALUE"""),"124192800340005")</f>
        <v>124192800340005</v>
      </c>
      <c r="Q273" s="30" t="str">
        <f>IFERROR(__xludf.DUMMYFUNCTION("""COMPUTED_VALUE"""),"0002011")</f>
        <v>0002011</v>
      </c>
      <c r="R273" s="30" t="str">
        <f>IFERROR(__xludf.DUMMYFUNCTION("""COMPUTED_VALUE"""),"0001603264")</f>
        <v>0001603264</v>
      </c>
      <c r="S273" s="30" t="str">
        <f>IFERROR(__xludf.DUMMYFUNCTION("""COMPUTED_VALUE"""),"1")</f>
        <v>1</v>
      </c>
      <c r="T273" s="30" t="str">
        <f>IFERROR(__xludf.DUMMYFUNCTION("""COMPUTED_VALUE"""),"223565")</f>
        <v>223565</v>
      </c>
      <c r="U273" s="31" t="str">
        <f>IFERROR(__xludf.DUMMYFUNCTION("""COMPUTED_VALUE"""),"2235")</f>
        <v>2235</v>
      </c>
      <c r="V273" s="11"/>
      <c r="W273" s="11">
        <f>IFERROR(__xludf.DUMMYFUNCTION("""COMPUTED_VALUE"""),87405988)</f>
        <v>87405988</v>
      </c>
      <c r="X273" s="11">
        <f>IFERROR(__xludf.DUMMYFUNCTION("""COMPUTED_VALUE"""),99694532)</f>
        <v>99694532</v>
      </c>
      <c r="Y273" s="11">
        <f>IFERROR(__xludf.DUMMYFUNCTION("""COMPUTED_VALUE"""),80097480487)</f>
        <v>80097480487</v>
      </c>
      <c r="Z273" s="11"/>
    </row>
    <row r="274" customHeight="1" spans="1:26">
      <c r="A274" s="11" t="str">
        <f>IFERROR(__xludf.DUMMYFUNCTION("""COMPUTED_VALUE"""),"THALES WILLYS DO N GOMES")</f>
        <v>THALES WILLYS DO N GOMES</v>
      </c>
      <c r="B274" s="11"/>
      <c r="C274" s="11"/>
      <c r="D274" s="11" t="str">
        <f>IFERROR(__xludf.DUMMYFUNCTION("""COMPUTED_VALUE"""),"MÉDICO")</f>
        <v>MÉDICO</v>
      </c>
      <c r="E274" s="11"/>
      <c r="F274" s="11"/>
      <c r="G274" s="11" t="str">
        <f>IFERROR(__xludf.DUMMYFUNCTION("""COMPUTED_VALUE"""),"US 276 USF UPINHA DIA ALTO DO PASCOAL")</f>
        <v>US 276 USF UPINHA DIA ALTO DO PASCOAL</v>
      </c>
      <c r="H274" s="27">
        <f>IFERROR(__xludf.DUMMYFUNCTION("""COMPUTED_VALUE"""),81987930583)</f>
        <v>81987930583</v>
      </c>
      <c r="I274" s="11"/>
      <c r="J274" s="11"/>
      <c r="K274" s="24">
        <f>IFERROR(__xludf.DUMMYFUNCTION("""COMPUTED_VALUE"""),45363)</f>
        <v>45363</v>
      </c>
      <c r="L274" s="11"/>
      <c r="M274" s="11"/>
      <c r="N274" s="11"/>
      <c r="O274" s="11"/>
      <c r="P274" s="11"/>
      <c r="Q274" s="11"/>
      <c r="R274" s="11"/>
      <c r="S274" s="11"/>
      <c r="T274" s="11"/>
      <c r="U274" s="11"/>
      <c r="V274" s="11"/>
      <c r="W274" s="11"/>
      <c r="X274" s="11"/>
      <c r="Y274" s="11"/>
      <c r="Z274" s="11"/>
    </row>
    <row r="275" customHeight="1" spans="1:26">
      <c r="A275" s="11" t="str">
        <f>IFERROR(__xludf.DUMMYFUNCTION("""COMPUTED_VALUE"""),"CRISTIANE RIBEIRO DE REZENDE")</f>
        <v>CRISTIANE RIBEIRO DE REZENDE</v>
      </c>
      <c r="B275" s="11"/>
      <c r="C275" s="11"/>
      <c r="D275" s="11" t="str">
        <f>IFERROR(__xludf.DUMMYFUNCTION("""COMPUTED_VALUE"""),"Médica eSF")</f>
        <v>Médica eSF</v>
      </c>
      <c r="E275" s="11" t="str">
        <f>IFERROR(__xludf.DUMMYFUNCTION("""COMPUTED_VALUE"""),"II")</f>
        <v>II</v>
      </c>
      <c r="F275" s="11" t="str">
        <f>IFERROR(__xludf.DUMMYFUNCTION("""COMPUTED_VALUE"""),"US_276 USF UPINHA DIA ALTO DO PASCOAL	")</f>
        <v>US_276 USF UPINHA DIA ALTO DO PASCOAL	</v>
      </c>
      <c r="G275" s="11" t="str">
        <f>IFERROR(__xludf.DUMMYFUNCTION("""COMPUTED_VALUE"""),"US 276 USF UPINHA DIA ALTO DO PASCOAL")</f>
        <v>US 276 USF UPINHA DIA ALTO DO PASCOAL</v>
      </c>
      <c r="H275" s="27">
        <f>IFERROR(__xludf.DUMMYFUNCTION("""COMPUTED_VALUE"""),81996210092)</f>
        <v>81996210092</v>
      </c>
      <c r="I275" s="11"/>
      <c r="J275" s="11"/>
      <c r="K275" s="11"/>
      <c r="L275" s="11"/>
      <c r="M275" s="28" t="str">
        <f>IFERROR(__xludf.DUMMYFUNCTION("""COMPUTED_VALUE"""),"3355-3493")</f>
        <v>3355-3493</v>
      </c>
      <c r="N275" s="11" t="str">
        <f>IFERROR(__xludf.DUMMYFUNCTION("""COMPUTED_VALUE"""),"crissrezende@hotmail.com")</f>
        <v>crissrezende@hotmail.com</v>
      </c>
      <c r="O275" s="29">
        <f>IFERROR(__xludf.DUMMYFUNCTION("""COMPUTED_VALUE"""),4065327458)</f>
        <v>4065327458</v>
      </c>
      <c r="P275" s="30" t="str">
        <f>IFERROR(__xludf.DUMMYFUNCTION("""COMPUTED_VALUE"""),"980016277712409")</f>
        <v>980016277712409</v>
      </c>
      <c r="Q275" s="30" t="str">
        <f>IFERROR(__xludf.DUMMYFUNCTION("""COMPUTED_VALUE"""),"0028649")</f>
        <v>0028649</v>
      </c>
      <c r="R275" s="30" t="str">
        <f>IFERROR(__xludf.DUMMYFUNCTION("""COMPUTED_VALUE"""),"0000154520")</f>
        <v>0000154520</v>
      </c>
      <c r="S275" s="30" t="str">
        <f>IFERROR(__xludf.DUMMYFUNCTION("""COMPUTED_VALUE"""),"1")</f>
        <v>1</v>
      </c>
      <c r="T275" s="30" t="str">
        <f>IFERROR(__xludf.DUMMYFUNCTION("""COMPUTED_VALUE"""),"225142")</f>
        <v>225142</v>
      </c>
      <c r="U275" s="11">
        <f>IFERROR(__xludf.DUMMYFUNCTION("""COMPUTED_VALUE"""),2251)</f>
        <v>2251</v>
      </c>
      <c r="V275" s="11" t="str">
        <f>IFERROR(__xludf.DUMMYFUNCTION("""COMPUTED_VALUE"""),"SIM")</f>
        <v>SIM</v>
      </c>
      <c r="W275" s="11"/>
      <c r="X275" s="11">
        <f>IFERROR(__xludf.DUMMYFUNCTION("""COMPUTED_VALUE"""),8196210092)</f>
        <v>8196210092</v>
      </c>
      <c r="Y275" s="11"/>
      <c r="Z275" s="11">
        <f>IFERROR(__xludf.DUMMYFUNCTION("""COMPUTED_VALUE"""),4065327458)</f>
        <v>4065327458</v>
      </c>
    </row>
    <row r="276" customHeight="1" spans="1:26">
      <c r="A276" s="11" t="str">
        <f>IFERROR(__xludf.DUMMYFUNCTION("""COMPUTED_VALUE"""),"SILVANA CRISTINA DA SILVA ALBUQUERQUE")</f>
        <v>SILVANA CRISTINA DA SILVA ALBUQUERQUE</v>
      </c>
      <c r="B276" s="11"/>
      <c r="C276" s="11"/>
      <c r="D276" s="11" t="str">
        <f>IFERROR(__xludf.DUMMYFUNCTION("""COMPUTED_VALUE"""),"Enfermeira eSF")</f>
        <v>Enfermeira eSF</v>
      </c>
      <c r="E276" s="11" t="str">
        <f>IFERROR(__xludf.DUMMYFUNCTION("""COMPUTED_VALUE"""),"VIII")</f>
        <v>VIII</v>
      </c>
      <c r="F276" s="11" t="str">
        <f>IFERROR(__xludf.DUMMYFUNCTION("""COMPUTED_VALUE"""),"US_341 USF PROF FERNANDES FIGUEIRA PANTANAL")</f>
        <v>US_341 USF PROF FERNANDES FIGUEIRA PANTANAL</v>
      </c>
      <c r="G276" s="11" t="str">
        <f>IFERROR(__xludf.DUMMYFUNCTION("""COMPUTED_VALUE"""),"US 341 USF PROF FERNANDO FIGUEIRA")</f>
        <v>US 341 USF PROF FERNANDO FIGUEIRA</v>
      </c>
      <c r="H276" s="27">
        <f>IFERROR(__xludf.DUMMYFUNCTION("""COMPUTED_VALUE"""),81986109609)</f>
        <v>81986109609</v>
      </c>
      <c r="I276" s="11"/>
      <c r="J276" s="11"/>
      <c r="K276" s="11"/>
      <c r="L276" s="11"/>
      <c r="M276" s="28" t="str">
        <f>IFERROR(__xludf.DUMMYFUNCTION("""COMPUTED_VALUE"""),"3355-4684")</f>
        <v>3355-4684</v>
      </c>
      <c r="N276" s="11" t="str">
        <f>IFERROR(__xludf.DUMMYFUNCTION("""COMPUTED_VALUE"""),"silvana_fana@hotmail.com")</f>
        <v>silvana_fana@hotmail.com</v>
      </c>
      <c r="O276" s="29">
        <f>IFERROR(__xludf.DUMMYFUNCTION("""COMPUTED_VALUE"""),3441019407)</f>
        <v>3441019407</v>
      </c>
      <c r="P276" s="30" t="str">
        <f>IFERROR(__xludf.DUMMYFUNCTION("""COMPUTED_VALUE"""),"980016004534817")</f>
        <v>980016004534817</v>
      </c>
      <c r="Q276" s="30" t="str">
        <f>IFERROR(__xludf.DUMMYFUNCTION("""COMPUTED_VALUE"""),"5392039")</f>
        <v>5392039</v>
      </c>
      <c r="R276" s="30" t="str">
        <f>IFERROR(__xludf.DUMMYFUNCTION("""COMPUTED_VALUE"""),"0000155853")</f>
        <v>0000155853</v>
      </c>
      <c r="S276" s="30" t="str">
        <f>IFERROR(__xludf.DUMMYFUNCTION("""COMPUTED_VALUE"""),"1")</f>
        <v>1</v>
      </c>
      <c r="T276" s="30" t="str">
        <f>IFERROR(__xludf.DUMMYFUNCTION("""COMPUTED_VALUE"""),"223565")</f>
        <v>223565</v>
      </c>
      <c r="U276" s="31" t="str">
        <f>IFERROR(__xludf.DUMMYFUNCTION("""COMPUTED_VALUE"""),"2235")</f>
        <v>2235</v>
      </c>
      <c r="V276" s="11"/>
      <c r="W276" s="11">
        <f>IFERROR(__xludf.DUMMYFUNCTION("""COMPUTED_VALUE"""),86109609)</f>
        <v>86109609</v>
      </c>
      <c r="X276" s="11">
        <f>IFERROR(__xludf.DUMMYFUNCTION("""COMPUTED_VALUE"""),30382584)</f>
        <v>30382584</v>
      </c>
      <c r="Y276" s="11">
        <f>IFERROR(__xludf.DUMMYFUNCTION("""COMPUTED_VALUE"""),3441019407)</f>
        <v>3441019407</v>
      </c>
      <c r="Z276" s="11"/>
    </row>
    <row r="277" customHeight="1" spans="1:26">
      <c r="A277" s="11" t="str">
        <f>IFERROR(__xludf.DUMMYFUNCTION("""COMPUTED_VALUE"""),"MARGARIDA MARIA TELES DE VASCONCELOS")</f>
        <v>MARGARIDA MARIA TELES DE VASCONCELOS</v>
      </c>
      <c r="B277" s="11"/>
      <c r="C277" s="11"/>
      <c r="D277" s="11" t="str">
        <f>IFERROR(__xludf.DUMMYFUNCTION("""COMPUTED_VALUE"""),"Médica Clínica")</f>
        <v>Médica Clínica</v>
      </c>
      <c r="E277" s="11" t="str">
        <f>IFERROR(__xludf.DUMMYFUNCTION("""COMPUTED_VALUE"""),"V")</f>
        <v>V</v>
      </c>
      <c r="F277" s="11" t="str">
        <f>IFERROR(__xludf.DUMMYFUNCTION("""COMPUTED_VALUE"""),"US_142 CS BIDU KRAUSE")</f>
        <v>US_142 CS BIDU KRAUSE</v>
      </c>
      <c r="G277" s="11" t="str">
        <f>IFERROR(__xludf.DUMMYFUNCTION("""COMPUTED_VALUE"""),"US 142 CS BIDU KRAUSE")</f>
        <v>US 142 CS BIDU KRAUSE</v>
      </c>
      <c r="H277" s="27">
        <f>IFERROR(__xludf.DUMMYFUNCTION("""COMPUTED_VALUE"""),81999312798)</f>
        <v>81999312798</v>
      </c>
      <c r="I277" s="11"/>
      <c r="J277" s="11"/>
      <c r="K277" s="11"/>
      <c r="L277" s="11"/>
      <c r="M277" s="28" t="str">
        <f>IFERROR(__xludf.DUMMYFUNCTION("""COMPUTED_VALUE"""),"3355-0301")</f>
        <v>3355-0301</v>
      </c>
      <c r="N277" s="11" t="str">
        <f>IFERROR(__xludf.DUMMYFUNCTION("""COMPUTED_VALUE"""),"iraneide@recife.pe.gov.br")</f>
        <v>iraneide@recife.pe.gov.br</v>
      </c>
      <c r="O277" s="29">
        <f>IFERROR(__xludf.DUMMYFUNCTION("""COMPUTED_VALUE"""),7305184420)</f>
        <v>7305184420</v>
      </c>
      <c r="P277" s="30" t="str">
        <f>IFERROR(__xludf.DUMMYFUNCTION("""COMPUTED_VALUE"""),"206066723240008")</f>
        <v>206066723240008</v>
      </c>
      <c r="Q277" s="30" t="str">
        <f>IFERROR(__xludf.DUMMYFUNCTION("""COMPUTED_VALUE"""),"0000868")</f>
        <v>0000868</v>
      </c>
      <c r="R277" s="30" t="str">
        <f>IFERROR(__xludf.DUMMYFUNCTION("""COMPUTED_VALUE"""),"9000086802")</f>
        <v>9000086802</v>
      </c>
      <c r="S277" s="30" t="str">
        <f>IFERROR(__xludf.DUMMYFUNCTION("""COMPUTED_VALUE"""),"1")</f>
        <v>1</v>
      </c>
      <c r="T277" s="30" t="str">
        <f>IFERROR(__xludf.DUMMYFUNCTION("""COMPUTED_VALUE"""),"225125")</f>
        <v>225125</v>
      </c>
      <c r="U277" s="31" t="str">
        <f>IFERROR(__xludf.DUMMYFUNCTION("""COMPUTED_VALUE"""),"2251")</f>
        <v>2251</v>
      </c>
      <c r="V277" s="11"/>
      <c r="W277" s="11"/>
      <c r="X277" s="11">
        <f>IFERROR(__xludf.DUMMYFUNCTION("""COMPUTED_VALUE"""),8134451115)</f>
        <v>8134451115</v>
      </c>
      <c r="Y277" s="11">
        <f>IFERROR(__xludf.DUMMYFUNCTION("""COMPUTED_VALUE"""),8186830207)</f>
        <v>8186830207</v>
      </c>
      <c r="Z277" s="11">
        <f>IFERROR(__xludf.DUMMYFUNCTION("""COMPUTED_VALUE"""),7305184420)</f>
        <v>7305184420</v>
      </c>
    </row>
    <row r="278" customHeight="1" spans="1:26">
      <c r="A278" s="11" t="str">
        <f>IFERROR(__xludf.DUMMYFUNCTION("""COMPUTED_VALUE"""),"SAVIO MONTEIRO PIRES")</f>
        <v>SAVIO MONTEIRO PIRES</v>
      </c>
      <c r="B278" s="11" t="str">
        <f>IFERROR(__xludf.DUMMYFUNCTION("""COMPUTED_VALUE"""),"ESTÁ APENAS NO ATENDE EM CASA")</f>
        <v>ESTÁ APENAS NO ATENDE EM CASA</v>
      </c>
      <c r="C278" s="11"/>
      <c r="D278" s="11" t="str">
        <f>IFERROR(__xludf.DUMMYFUNCTION("""COMPUTED_VALUE"""),"Médico eSF")</f>
        <v>Médico eSF</v>
      </c>
      <c r="E278" s="11" t="str">
        <f>IFERROR(__xludf.DUMMYFUNCTION("""COMPUTED_VALUE"""),"VIII")</f>
        <v>VIII</v>
      </c>
      <c r="F278" s="11" t="str">
        <f>IFERROR(__xludf.DUMMYFUNCTION("""COMPUTED_VALUE"""),"US_373 USF CIDADE OPERARIA")</f>
        <v>US_373 USF CIDADE OPERARIA</v>
      </c>
      <c r="G278" s="11" t="str">
        <f>IFERROR(__xludf.DUMMYFUNCTION("""COMPUTED_VALUE"""),"US 373 USF CIDADE OPERARIA")</f>
        <v>US 373 USF CIDADE OPERARIA</v>
      </c>
      <c r="H278" s="27">
        <f>IFERROR(__xludf.DUMMYFUNCTION("""COMPUTED_VALUE"""),81981630102)</f>
        <v>81981630102</v>
      </c>
      <c r="I278" s="27">
        <f>IFERROR(__xludf.DUMMYFUNCTION("""COMPUTED_VALUE"""),81998220102)</f>
        <v>81998220102</v>
      </c>
      <c r="J278" s="11"/>
      <c r="K278" s="11"/>
      <c r="L278" s="11"/>
      <c r="M278" s="28" t="str">
        <f>IFERROR(__xludf.DUMMYFUNCTION("""COMPUTED_VALUE"""),"3355-3032")</f>
        <v>3355-3032</v>
      </c>
      <c r="N278" s="11" t="str">
        <f>IFERROR(__xludf.DUMMYFUNCTION("""COMPUTED_VALUE"""),"saviompires@yahoo.com.br")</f>
        <v>saviompires@yahoo.com.br</v>
      </c>
      <c r="O278" s="29">
        <f>IFERROR(__xludf.DUMMYFUNCTION("""COMPUTED_VALUE"""),12880434491)</f>
        <v>12880434491</v>
      </c>
      <c r="P278" s="30" t="str">
        <f>IFERROR(__xludf.DUMMYFUNCTION("""COMPUTED_VALUE"""),"120926750620003")</f>
        <v>120926750620003</v>
      </c>
      <c r="Q278" s="30" t="str">
        <f>IFERROR(__xludf.DUMMYFUNCTION("""COMPUTED_VALUE"""),"6691285")</f>
        <v>6691285</v>
      </c>
      <c r="R278" s="30" t="str">
        <f>IFERROR(__xludf.DUMMYFUNCTION("""COMPUTED_VALUE"""),"0000156116")</f>
        <v>0000156116</v>
      </c>
      <c r="S278" s="30" t="str">
        <f>IFERROR(__xludf.DUMMYFUNCTION("""COMPUTED_VALUE"""),"1")</f>
        <v>1</v>
      </c>
      <c r="T278" s="30" t="str">
        <f>IFERROR(__xludf.DUMMYFUNCTION("""COMPUTED_VALUE"""),"225142")</f>
        <v>225142</v>
      </c>
      <c r="U278" s="31" t="str">
        <f>IFERROR(__xludf.DUMMYFUNCTION("""COMPUTED_VALUE"""),"2251")</f>
        <v>2251</v>
      </c>
      <c r="V278" s="11"/>
      <c r="W278" s="11"/>
      <c r="X278" s="11">
        <f>IFERROR(__xludf.DUMMYFUNCTION("""COMPUTED_VALUE"""),30385532)</f>
        <v>30385532</v>
      </c>
      <c r="Y278" s="11">
        <f>IFERROR(__xludf.DUMMYFUNCTION("""COMPUTED_VALUE"""),98220102)</f>
        <v>98220102</v>
      </c>
      <c r="Z278" s="11">
        <f>IFERROR(__xludf.DUMMYFUNCTION("""COMPUTED_VALUE"""),12880434491)</f>
        <v>12880434491</v>
      </c>
    </row>
    <row r="279" customHeight="1" spans="1:26">
      <c r="A279" s="11" t="str">
        <f>IFERROR(__xludf.DUMMYFUNCTION("""COMPUTED_VALUE"""),"MARIA VALESKA BERARDO PESSOA DE SOUZA 171")</f>
        <v>MARIA VALESKA BERARDO PESSOA DE SOUZA 171</v>
      </c>
      <c r="B279" s="11"/>
      <c r="C279" s="11"/>
      <c r="D279" s="11" t="str">
        <f>IFERROR(__xludf.DUMMYFUNCTION("""COMPUTED_VALUE"""),"Médica eSF")</f>
        <v>Médica eSF</v>
      </c>
      <c r="E279" s="11" t="str">
        <f>IFERROR(__xludf.DUMMYFUNCTION("""COMPUTED_VALUE"""),"III")</f>
        <v>III</v>
      </c>
      <c r="F279" s="11" t="str">
        <f>IFERROR(__xludf.DUMMYFUNCTION("""COMPUTED_VALUE"""),"US_171 CS JOAQUIM COSTA CARVALHO/ALTO DO MANDU")</f>
        <v>US_171 CS JOAQUIM COSTA CARVALHO/ALTO DO MANDU</v>
      </c>
      <c r="G279" s="11" t="str">
        <f>IFERROR(__xludf.DUMMYFUNCTION("""COMPUTED_VALUE"""),"US 171 CS JOAQUIM COSTA CARVALHO")</f>
        <v>US 171 CS JOAQUIM COSTA CARVALHO</v>
      </c>
      <c r="H279" s="27">
        <f>IFERROR(__xludf.DUMMYFUNCTION("""COMPUTED_VALUE"""),81997041276)</f>
        <v>81997041276</v>
      </c>
      <c r="I279" s="11"/>
      <c r="J279" s="11"/>
      <c r="K279" s="11"/>
      <c r="L279" s="11"/>
      <c r="M279" s="28" t="str">
        <f>IFERROR(__xludf.DUMMYFUNCTION("""COMPUTED_VALUE"""),"3355-4412")</f>
        <v>3355-4412</v>
      </c>
      <c r="N279" s="11" t="str">
        <f>IFERROR(__xludf.DUMMYFUNCTION("""COMPUTED_VALUE"""),"valeskaberardo@gmail.com")</f>
        <v>valeskaberardo@gmail.com</v>
      </c>
      <c r="O279" s="29">
        <f>IFERROR(__xludf.DUMMYFUNCTION("""COMPUTED_VALUE"""),83138323472)</f>
        <v>83138323472</v>
      </c>
      <c r="P279" s="30" t="str">
        <f>IFERROR(__xludf.DUMMYFUNCTION("""COMPUTED_VALUE"""),"980016000726649")</f>
        <v>980016000726649</v>
      </c>
      <c r="Q279" s="30" t="str">
        <f>IFERROR(__xludf.DUMMYFUNCTION("""COMPUTED_VALUE"""),"0002011")</f>
        <v>0002011</v>
      </c>
      <c r="R279" s="30" t="str">
        <f>IFERROR(__xludf.DUMMYFUNCTION("""COMPUTED_VALUE"""),"0002172305")</f>
        <v>0002172305</v>
      </c>
      <c r="S279" s="30" t="str">
        <f>IFERROR(__xludf.DUMMYFUNCTION("""COMPUTED_VALUE"""),"1")</f>
        <v>1</v>
      </c>
      <c r="T279" s="30" t="str">
        <f>IFERROR(__xludf.DUMMYFUNCTION("""COMPUTED_VALUE"""),"225142")</f>
        <v>225142</v>
      </c>
      <c r="U279" s="31" t="str">
        <f>IFERROR(__xludf.DUMMYFUNCTION("""COMPUTED_VALUE"""),"2251")</f>
        <v>2251</v>
      </c>
      <c r="V279" s="11"/>
      <c r="W279" s="11"/>
      <c r="X279" s="11" t="str">
        <f>IFERROR(__xludf.DUMMYFUNCTION("""COMPUTED_VALUE"""),"#N/A")</f>
        <v>#N/A</v>
      </c>
      <c r="Y279" s="11" t="str">
        <f>IFERROR(__xludf.DUMMYFUNCTION("""COMPUTED_VALUE"""),"#N/A")</f>
        <v>#N/A</v>
      </c>
      <c r="Z279" s="11" t="str">
        <f>IFERROR(__xludf.DUMMYFUNCTION("""COMPUTED_VALUE"""),"#N/A")</f>
        <v>#N/A</v>
      </c>
    </row>
    <row r="280" customHeight="1" spans="1:26">
      <c r="A280" s="11" t="str">
        <f>IFERROR(__xludf.DUMMYFUNCTION("""COMPUTED_VALUE"""),"MARIA VALESKA BERARDO PESSOA DE SOUZA 216")</f>
        <v>MARIA VALESKA BERARDO PESSOA DE SOUZA 216</v>
      </c>
      <c r="B280" s="11" t="str">
        <f>IFERROR(__xludf.DUMMYFUNCTION("""COMPUTED_VALUE"""),"Inativa")</f>
        <v>Inativa</v>
      </c>
      <c r="C280" s="11"/>
      <c r="D280" s="11" t="str">
        <f>IFERROR(__xludf.DUMMYFUNCTION("""COMPUTED_VALUE"""),"Médica eSF")</f>
        <v>Médica eSF</v>
      </c>
      <c r="E280" s="11" t="str">
        <f>IFERROR(__xludf.DUMMYFUNCTION("""COMPUTED_VALUE"""),"III")</f>
        <v>III</v>
      </c>
      <c r="F280" s="11" t="str">
        <f>IFERROR(__xludf.DUMMYFUNCTION("""COMPUTED_VALUE"""),"US_171 CS JOAQUIM COSTA CARVALHO/ALTO DO MANDU")</f>
        <v>US_171 CS JOAQUIM COSTA CARVALHO/ALTO DO MANDU</v>
      </c>
      <c r="G280" s="11" t="str">
        <f>IFERROR(__xludf.DUMMYFUNCTION("""COMPUTED_VALUE"""),"US 216 USF APIPUCOS")</f>
        <v>US 216 USF APIPUCOS</v>
      </c>
      <c r="H280" s="27">
        <f>IFERROR(__xludf.DUMMYFUNCTION("""COMPUTED_VALUE"""),81997041276)</f>
        <v>81997041276</v>
      </c>
      <c r="I280" s="11"/>
      <c r="J280" s="11"/>
      <c r="K280" s="11"/>
      <c r="L280" s="11"/>
      <c r="M280" s="28" t="str">
        <f>IFERROR(__xludf.DUMMYFUNCTION("""COMPUTED_VALUE"""),"3355-4632")</f>
        <v>3355-4632</v>
      </c>
      <c r="N280" s="11" t="str">
        <f>IFERROR(__xludf.DUMMYFUNCTION("""COMPUTED_VALUE"""),"valeskaberardo@gmail.com")</f>
        <v>valeskaberardo@gmail.com</v>
      </c>
      <c r="O280" s="29">
        <f>IFERROR(__xludf.DUMMYFUNCTION("""COMPUTED_VALUE"""),83138323472)</f>
        <v>83138323472</v>
      </c>
      <c r="P280" s="30" t="str">
        <f>IFERROR(__xludf.DUMMYFUNCTION("""COMPUTED_VALUE"""),"980016000726649")</f>
        <v>980016000726649</v>
      </c>
      <c r="Q280" s="30" t="str">
        <f>IFERROR(__xludf.DUMMYFUNCTION("""COMPUTED_VALUE"""),"0002127")</f>
        <v>0002127</v>
      </c>
      <c r="R280" s="30" t="str">
        <f>IFERROR(__xludf.DUMMYFUNCTION("""COMPUTED_VALUE"""),"0000153451")</f>
        <v>0000153451</v>
      </c>
      <c r="S280" s="30" t="str">
        <f>IFERROR(__xludf.DUMMYFUNCTION("""COMPUTED_VALUE"""),"1")</f>
        <v>1</v>
      </c>
      <c r="T280" s="30" t="str">
        <f>IFERROR(__xludf.DUMMYFUNCTION("""COMPUTED_VALUE"""),"225142")</f>
        <v>225142</v>
      </c>
      <c r="U280" s="31" t="str">
        <f>IFERROR(__xludf.DUMMYFUNCTION("""COMPUTED_VALUE"""),"2251")</f>
        <v>2251</v>
      </c>
      <c r="V280" s="11"/>
      <c r="W280" s="11"/>
      <c r="X280" s="11" t="str">
        <f>IFERROR(__xludf.DUMMYFUNCTION("""COMPUTED_VALUE"""),"#N/A")</f>
        <v>#N/A</v>
      </c>
      <c r="Y280" s="11" t="str">
        <f>IFERROR(__xludf.DUMMYFUNCTION("""COMPUTED_VALUE"""),"#N/A")</f>
        <v>#N/A</v>
      </c>
      <c r="Z280" s="11" t="str">
        <f>IFERROR(__xludf.DUMMYFUNCTION("""COMPUTED_VALUE"""),"#N/A")</f>
        <v>#N/A</v>
      </c>
    </row>
    <row r="281" customHeight="1" spans="1:26">
      <c r="A281" s="11" t="str">
        <f>IFERROR(__xludf.DUMMYFUNCTION("""COMPUTED_VALUE"""),"WANDA LUCIA SOUZA DE LORENA")</f>
        <v>WANDA LUCIA SOUZA DE LORENA</v>
      </c>
      <c r="B281" s="11"/>
      <c r="C281" s="11"/>
      <c r="D281" s="11" t="str">
        <f>IFERROR(__xludf.DUMMYFUNCTION("""COMPUTED_VALUE"""),"Médica eSF")</f>
        <v>Médica eSF</v>
      </c>
      <c r="E281" s="11" t="str">
        <f>IFERROR(__xludf.DUMMYFUNCTION("""COMPUTED_VALUE"""),"IV")</f>
        <v>IV</v>
      </c>
      <c r="F281" s="11" t="str">
        <f>IFERROR(__xludf.DUMMYFUNCTION("""COMPUTED_VALUE"""),"US_248 USF BARREIRAS	")</f>
        <v>US_248 USF BARREIRAS	</v>
      </c>
      <c r="G281" s="11" t="str">
        <f>IFERROR(__xludf.DUMMYFUNCTION("""COMPUTED_VALUE"""),"US 248 USF BARREIRAS")</f>
        <v>US 248 USF BARREIRAS</v>
      </c>
      <c r="H281" s="27">
        <f>IFERROR(__xludf.DUMMYFUNCTION("""COMPUTED_VALUE"""),81999741661)</f>
        <v>81999741661</v>
      </c>
      <c r="I281" s="27">
        <f>IFERROR(__xludf.DUMMYFUNCTION("""COMPUTED_VALUE"""),81985466456)</f>
        <v>81985466456</v>
      </c>
      <c r="J281" s="11"/>
      <c r="K281" s="24">
        <f>IFERROR(__xludf.DUMMYFUNCTION("""COMPUTED_VALUE"""),45152)</f>
        <v>45152</v>
      </c>
      <c r="L281" s="11"/>
      <c r="M281" s="28" t="str">
        <f>IFERROR(__xludf.DUMMYFUNCTION("""COMPUTED_VALUE"""),"3355-4878")</f>
        <v>3355-4878</v>
      </c>
      <c r="N281" s="11" t="str">
        <f>IFERROR(__xludf.DUMMYFUNCTION("""COMPUTED_VALUE"""),"wandalslorena@hotmail.com")</f>
        <v>wandalslorena@hotmail.com</v>
      </c>
      <c r="O281" s="29">
        <f>IFERROR(__xludf.DUMMYFUNCTION("""COMPUTED_VALUE"""),10191410420)</f>
        <v>10191410420</v>
      </c>
      <c r="P281" s="30" t="str">
        <f>IFERROR(__xludf.DUMMYFUNCTION("""COMPUTED_VALUE"""),"180070474120001")</f>
        <v>180070474120001</v>
      </c>
      <c r="Q281" s="30" t="str">
        <f>IFERROR(__xludf.DUMMYFUNCTION("""COMPUTED_VALUE"""),"0022314")</f>
        <v>0022314</v>
      </c>
      <c r="R281" s="30" t="str">
        <f>IFERROR(__xludf.DUMMYFUNCTION("""COMPUTED_VALUE"""),"0000153826")</f>
        <v>0000153826</v>
      </c>
      <c r="S281" s="30" t="str">
        <f>IFERROR(__xludf.DUMMYFUNCTION("""COMPUTED_VALUE"""),"1")</f>
        <v>1</v>
      </c>
      <c r="T281" s="30" t="str">
        <f>IFERROR(__xludf.DUMMYFUNCTION("""COMPUTED_VALUE"""),"225142")</f>
        <v>225142</v>
      </c>
      <c r="U281" s="31" t="str">
        <f>IFERROR(__xludf.DUMMYFUNCTION("""COMPUTED_VALUE"""),"2251")</f>
        <v>2251</v>
      </c>
      <c r="V281" s="11" t="str">
        <f>IFERROR(__xludf.DUMMYFUNCTION("""COMPUTED_VALUE"""),"SIM")</f>
        <v>SIM</v>
      </c>
      <c r="W281" s="11"/>
      <c r="X281" s="11">
        <f>IFERROR(__xludf.DUMMYFUNCTION("""COMPUTED_VALUE"""),8199741661)</f>
        <v>8199741661</v>
      </c>
      <c r="Y281" s="11">
        <f>IFERROR(__xludf.DUMMYFUNCTION("""COMPUTED_VALUE"""),8185466456)</f>
        <v>8185466456</v>
      </c>
      <c r="Z281" s="11">
        <f>IFERROR(__xludf.DUMMYFUNCTION("""COMPUTED_VALUE"""),10191410420)</f>
        <v>10191410420</v>
      </c>
    </row>
    <row r="282" customHeight="1" spans="1:26">
      <c r="A282" s="11" t="str">
        <f>IFERROR(__xludf.DUMMYFUNCTION("""COMPUTED_VALUE"""),"Lorena Novaes Ferraz Pacheco Oliveira ")</f>
        <v>Lorena Novaes Ferraz Pacheco Oliveira </v>
      </c>
      <c r="B282" s="11"/>
      <c r="C282" s="11"/>
      <c r="D282" s="11" t="str">
        <f>IFERROR(__xludf.DUMMYFUNCTION("""COMPUTED_VALUE"""),"Médica eSF")</f>
        <v>Médica eSF</v>
      </c>
      <c r="E282" s="11" t="str">
        <f>IFERROR(__xludf.DUMMYFUNCTION("""COMPUTED_VALUE"""),"VIII")</f>
        <v>VIII</v>
      </c>
      <c r="F282" s="11"/>
      <c r="G282" s="11" t="str">
        <f>IFERROR(__xludf.DUMMYFUNCTION("""COMPUTED_VALUE"""),"US 289 USF JOSUE DE CASTRO")</f>
        <v>US 289 USF JOSUE DE CASTRO</v>
      </c>
      <c r="H282" s="27">
        <f>IFERROR(__xludf.DUMMYFUNCTION("""COMPUTED_VALUE"""),81999712237)</f>
        <v>81999712237</v>
      </c>
      <c r="I282" s="11"/>
      <c r="J282" s="11"/>
      <c r="K282" s="11"/>
      <c r="L282" s="11"/>
      <c r="M282" s="11"/>
      <c r="N282" s="11"/>
      <c r="O282" s="11"/>
      <c r="P282" s="11"/>
      <c r="Q282" s="11"/>
      <c r="R282" s="11"/>
      <c r="S282" s="11"/>
      <c r="T282" s="11"/>
      <c r="U282" s="11"/>
      <c r="V282" s="11"/>
      <c r="W282" s="11"/>
      <c r="X282" s="11"/>
      <c r="Y282" s="11"/>
      <c r="Z282" s="11"/>
    </row>
    <row r="283" customHeight="1" spans="1:26">
      <c r="A283" s="11" t="str">
        <f>IFERROR(__xludf.DUMMYFUNCTION("""COMPUTED_VALUE"""),"Dayianis Grant Ordelin")</f>
        <v>Dayianis Grant Ordelin</v>
      </c>
      <c r="B283" s="11"/>
      <c r="C283" s="11"/>
      <c r="D283" s="11" t="str">
        <f>IFERROR(__xludf.DUMMYFUNCTION("""COMPUTED_VALUE"""),"Médica eSF")</f>
        <v>Médica eSF</v>
      </c>
      <c r="E283" s="11" t="str">
        <f>IFERROR(__xludf.DUMMYFUNCTION("""COMPUTED_VALUE"""),"V")</f>
        <v>V</v>
      </c>
      <c r="F283" s="11" t="str">
        <f>IFERROR(__xludf.DUMMYFUNCTION("""COMPUTED_VALUE"""),"US 289 USF JOSUE DE CASTRO")</f>
        <v>US 289 USF JOSUE DE CASTRO</v>
      </c>
      <c r="G283" s="11" t="str">
        <f>IFERROR(__xludf.DUMMYFUNCTION("""COMPUTED_VALUE"""),"US 289 USF JOSUE DE CASTRO")</f>
        <v>US 289 USF JOSUE DE CASTRO</v>
      </c>
      <c r="H283" s="27">
        <f>IFERROR(__xludf.DUMMYFUNCTION("""COMPUTED_VALUE"""),81997096624)</f>
        <v>81997096624</v>
      </c>
      <c r="I283" s="11"/>
      <c r="J283" s="11"/>
      <c r="K283" s="11"/>
      <c r="L283" s="11"/>
      <c r="M283" s="11"/>
      <c r="N283" s="11"/>
      <c r="O283" s="11"/>
      <c r="P283" s="11"/>
      <c r="Q283" s="11"/>
      <c r="R283" s="11"/>
      <c r="S283" s="11"/>
      <c r="T283" s="11"/>
      <c r="U283" s="11"/>
      <c r="V283" s="11"/>
      <c r="W283" s="11"/>
      <c r="X283" s="11"/>
      <c r="Y283" s="11"/>
      <c r="Z283" s="11"/>
    </row>
    <row r="284" customHeight="1" spans="1:26">
      <c r="A284" s="11" t="str">
        <f>IFERROR(__xludf.DUMMYFUNCTION("""COMPUTED_VALUE"""),"ANA CAROLINA FACUNDO CASTRO DE AQUINO")</f>
        <v>ANA CAROLINA FACUNDO CASTRO DE AQUINO</v>
      </c>
      <c r="B284" s="11"/>
      <c r="C284" s="11"/>
      <c r="D284" s="11" t="str">
        <f>IFERROR(__xludf.DUMMYFUNCTION("""COMPUTED_VALUE"""),"Médica eSF")</f>
        <v>Médica eSF</v>
      </c>
      <c r="E284" s="11" t="str">
        <f>IFERROR(__xludf.DUMMYFUNCTION("""COMPUTED_VALUE"""),"VIII")</f>
        <v>VIII</v>
      </c>
      <c r="F284" s="11" t="str">
        <f>IFERROR(__xludf.DUMMYFUNCTION("""COMPUTED_VALUE"""),"US_289 USF JOSUE DE CASTRO")</f>
        <v>US_289 USF JOSUE DE CASTRO</v>
      </c>
      <c r="G284" s="11" t="str">
        <f>IFERROR(__xludf.DUMMYFUNCTION("""COMPUTED_VALUE"""),"US 289 USF JOSUE DE CASTRO")</f>
        <v>US 289 USF JOSUE DE CASTRO</v>
      </c>
      <c r="H284" s="27">
        <f>IFERROR(__xludf.DUMMYFUNCTION("""COMPUTED_VALUE"""),81999158545)</f>
        <v>81999158545</v>
      </c>
      <c r="I284" s="11"/>
      <c r="J284" s="11"/>
      <c r="K284" s="11"/>
      <c r="L284" s="11"/>
      <c r="M284" s="28" t="str">
        <f>IFERROR(__xludf.DUMMYFUNCTION("""COMPUTED_VALUE"""),"3355-3037")</f>
        <v>3355-3037</v>
      </c>
      <c r="N284" s="11" t="str">
        <f>IFERROR(__xludf.DUMMYFUNCTION("""COMPUTED_VALUE"""),"anacarolinafacundo@gmail.com")</f>
        <v>anacarolinafacundo@gmail.com</v>
      </c>
      <c r="O284" s="29">
        <f>IFERROR(__xludf.DUMMYFUNCTION("""COMPUTED_VALUE"""),3788349409)</f>
        <v>3788349409</v>
      </c>
      <c r="P284" s="30" t="str">
        <f>IFERROR(__xludf.DUMMYFUNCTION("""COMPUTED_VALUE"""),"980016279488018")</f>
        <v>980016279488018</v>
      </c>
      <c r="Q284" s="30" t="str">
        <f>IFERROR(__xludf.DUMMYFUNCTION("""COMPUTED_VALUE"""),"2752824")</f>
        <v>2752824</v>
      </c>
      <c r="R284" s="30" t="str">
        <f>IFERROR(__xludf.DUMMYFUNCTION("""COMPUTED_VALUE"""),"0000154857")</f>
        <v>0000154857</v>
      </c>
      <c r="S284" s="30" t="str">
        <f>IFERROR(__xludf.DUMMYFUNCTION("""COMPUTED_VALUE"""),"1")</f>
        <v>1</v>
      </c>
      <c r="T284" s="30" t="str">
        <f>IFERROR(__xludf.DUMMYFUNCTION("""COMPUTED_VALUE"""),"225142")</f>
        <v>225142</v>
      </c>
      <c r="U284" s="31" t="str">
        <f>IFERROR(__xludf.DUMMYFUNCTION("""COMPUTED_VALUE"""),"2251")</f>
        <v>2251</v>
      </c>
      <c r="V284" s="11" t="str">
        <f>IFERROR(__xludf.DUMMYFUNCTION("""COMPUTED_VALUE"""),"SIM")</f>
        <v>SIM</v>
      </c>
      <c r="W284" s="11"/>
      <c r="X284" s="11">
        <f>IFERROR(__xludf.DUMMYFUNCTION("""COMPUTED_VALUE"""),99158545)</f>
        <v>99158545</v>
      </c>
      <c r="Y284" s="11"/>
      <c r="Z284" s="11">
        <f>IFERROR(__xludf.DUMMYFUNCTION("""COMPUTED_VALUE"""),3788349409)</f>
        <v>3788349409</v>
      </c>
    </row>
    <row r="285" customHeight="1" spans="1:26">
      <c r="A285" s="11" t="str">
        <f>IFERROR(__xludf.DUMMYFUNCTION("""COMPUTED_VALUE"""),"LORENA NOAVES FERRAZ PACHECO OLIVEIRA")</f>
        <v>LORENA NOAVES FERRAZ PACHECO OLIVEIRA</v>
      </c>
      <c r="B285" s="11"/>
      <c r="C285" s="11"/>
      <c r="D285" s="11" t="str">
        <f>IFERROR(__xludf.DUMMYFUNCTION("""COMPUTED_VALUE"""),"Médica eSF")</f>
        <v>Médica eSF</v>
      </c>
      <c r="E285" s="11" t="str">
        <f>IFERROR(__xludf.DUMMYFUNCTION("""COMPUTED_VALUE"""),"VIII")</f>
        <v>VIII</v>
      </c>
      <c r="F285" s="11" t="str">
        <f>IFERROR(__xludf.DUMMYFUNCTION("""COMPUTED_VALUE"""),"")</f>
        <v/>
      </c>
      <c r="G285" s="11" t="str">
        <f>IFERROR(__xludf.DUMMYFUNCTION("""COMPUTED_VALUE"""),"US 289 USF JOSUE DE CASTRO")</f>
        <v>US 289 USF JOSUE DE CASTRO</v>
      </c>
      <c r="H285" s="27" t="str">
        <f>IFERROR(__xludf.DUMMYFUNCTION("""COMPUTED_VALUE"""),"8199971-2237")</f>
        <v>8199971-2237</v>
      </c>
      <c r="I285" s="11"/>
      <c r="J285" s="11"/>
      <c r="K285" s="11"/>
      <c r="L285" s="11"/>
      <c r="M285" s="11"/>
      <c r="N285" s="11"/>
      <c r="O285" s="11"/>
      <c r="P285" s="11"/>
      <c r="Q285" s="11"/>
      <c r="R285" s="11"/>
      <c r="S285" s="11"/>
      <c r="T285" s="11"/>
      <c r="U285" s="11"/>
      <c r="V285" s="11"/>
      <c r="W285" s="11"/>
      <c r="X285" s="11"/>
      <c r="Y285" s="11"/>
      <c r="Z285" s="11"/>
    </row>
    <row r="286" customHeight="1" spans="1:26">
      <c r="A286" s="11" t="str">
        <f>IFERROR(__xludf.DUMMYFUNCTION("""COMPUTED_VALUE"""),"ANA CAROLINE MACEDO DE ALBUQUERQUE BARROS")</f>
        <v>ANA CAROLINE MACEDO DE ALBUQUERQUE BARROS</v>
      </c>
      <c r="B286" s="11"/>
      <c r="C286" s="11"/>
      <c r="D286" s="11" t="str">
        <f>IFERROR(__xludf.DUMMYFUNCTION("""COMPUTED_VALUE"""),"Enfermeira eSF")</f>
        <v>Enfermeira eSF</v>
      </c>
      <c r="E286" s="11" t="str">
        <f>IFERROR(__xludf.DUMMYFUNCTION("""COMPUTED_VALUE"""),"VIII")</f>
        <v>VIII</v>
      </c>
      <c r="F286" s="11" t="str">
        <f>IFERROR(__xludf.DUMMYFUNCTION("""COMPUTED_VALUE"""),"US_153 POLICLINICA E MATERNIDADE ARNALDO MARQUES")</f>
        <v>US_153 POLICLINICA E MATERNIDADE ARNALDO MARQUES</v>
      </c>
      <c r="G286" s="11" t="str">
        <f>IFERROR(__xludf.DUMMYFUNCTION("""COMPUTED_VALUE"""),"US 298 USF JORDAO ALTO")</f>
        <v>US 298 USF JORDAO ALTO</v>
      </c>
      <c r="H286" s="27">
        <f>IFERROR(__xludf.DUMMYFUNCTION("""COMPUTED_VALUE"""),81986295321)</f>
        <v>81986295321</v>
      </c>
      <c r="I286" s="11"/>
      <c r="J286" s="11"/>
      <c r="K286" s="11"/>
      <c r="L286" s="11"/>
      <c r="M286" s="28" t="str">
        <f>IFERROR(__xludf.DUMMYFUNCTION("""COMPUTED_VALUE"""),"3355-6162")</f>
        <v>3355-6162</v>
      </c>
      <c r="N286" s="11" t="str">
        <f>IFERROR(__xludf.DUMMYFUNCTION("""COMPUTED_VALUE"""),"ana_recife@yahoo.com.br")</f>
        <v>ana_recife@yahoo.com.br</v>
      </c>
      <c r="O286" s="29">
        <f>IFERROR(__xludf.DUMMYFUNCTION("""COMPUTED_VALUE"""),4154480421)</f>
        <v>4154480421</v>
      </c>
      <c r="P286" s="30" t="str">
        <f>IFERROR(__xludf.DUMMYFUNCTION("""COMPUTED_VALUE"""),"204323062980004")</f>
        <v>204323062980004</v>
      </c>
      <c r="Q286" s="30" t="str">
        <f>IFERROR(__xludf.DUMMYFUNCTION("""COMPUTED_VALUE"""),"3153460")</f>
        <v>3153460</v>
      </c>
      <c r="R286" s="30" t="str">
        <f>IFERROR(__xludf.DUMMYFUNCTION("""COMPUTED_VALUE"""),"0000155063")</f>
        <v>0000155063</v>
      </c>
      <c r="S286" s="30" t="str">
        <f>IFERROR(__xludf.DUMMYFUNCTION("""COMPUTED_VALUE"""),"1")</f>
        <v>1</v>
      </c>
      <c r="T286" s="30" t="str">
        <f>IFERROR(__xludf.DUMMYFUNCTION("""COMPUTED_VALUE"""),"223565")</f>
        <v>223565</v>
      </c>
      <c r="U286" s="31" t="str">
        <f>IFERROR(__xludf.DUMMYFUNCTION("""COMPUTED_VALUE"""),"2235")</f>
        <v>2235</v>
      </c>
      <c r="V286" s="11"/>
      <c r="W286" s="11" t="str">
        <f>IFERROR(__xludf.DUMMYFUNCTION("""COMPUTED_VALUE"""),"#N/A")</f>
        <v>#N/A</v>
      </c>
      <c r="X286" s="11" t="str">
        <f>IFERROR(__xludf.DUMMYFUNCTION("""COMPUTED_VALUE"""),"#N/A")</f>
        <v>#N/A</v>
      </c>
      <c r="Y286" s="11" t="str">
        <f>IFERROR(__xludf.DUMMYFUNCTION("""COMPUTED_VALUE"""),"#N/A")</f>
        <v>#N/A</v>
      </c>
      <c r="Z286" s="11"/>
    </row>
    <row r="287" customHeight="1" spans="1:26">
      <c r="A287" s="11" t="str">
        <f>IFERROR(__xludf.DUMMYFUNCTION("""COMPUTED_VALUE"""),"TENUSIA GONÇALVES DE SANTANA")</f>
        <v>TENUSIA GONÇALVES DE SANTANA</v>
      </c>
      <c r="B287" s="11"/>
      <c r="C287" s="11"/>
      <c r="D287" s="11" t="str">
        <f>IFERROR(__xludf.DUMMYFUNCTION("""COMPUTED_VALUE"""),"Enfermeira eSF")</f>
        <v>Enfermeira eSF</v>
      </c>
      <c r="E287" s="11" t="str">
        <f>IFERROR(__xludf.DUMMYFUNCTION("""COMPUTED_VALUE"""),"III")</f>
        <v>III</v>
      </c>
      <c r="F287" s="34" t="str">
        <f>IFERROR(__xludf.DUMMYFUNCTION("""COMPUTED_VALUE"""),"PACS 5.1")</f>
        <v>PACS 5.1</v>
      </c>
      <c r="G287" s="11" t="str">
        <f>IFERROR(__xludf.DUMMYFUNCTION("""COMPUTED_VALUE"""),"US 109 CS FRANCISCO PIGNATARI")</f>
        <v>US 109 CS FRANCISCO PIGNATARI</v>
      </c>
      <c r="H287" s="27">
        <f>IFERROR(__xludf.DUMMYFUNCTION("""COMPUTED_VALUE"""),81999895936)</f>
        <v>81999895936</v>
      </c>
      <c r="I287" s="11"/>
      <c r="J287" s="11"/>
      <c r="K287" s="11"/>
      <c r="L287" s="11"/>
      <c r="M287" s="28" t="str">
        <f>IFERROR(__xludf.DUMMYFUNCTION("""COMPUTED_VALUE"""),"3355-4412")</f>
        <v>3355-4412</v>
      </c>
      <c r="N287" s="11" t="str">
        <f>IFERROR(__xludf.DUMMYFUNCTION("""COMPUTED_VALUE"""),"tenusiags@gmail.com")</f>
        <v>tenusiags@gmail.com</v>
      </c>
      <c r="O287" s="29">
        <f>IFERROR(__xludf.DUMMYFUNCTION("""COMPUTED_VALUE"""),63154889434)</f>
        <v>63154889434</v>
      </c>
      <c r="P287" s="30" t="str">
        <f>IFERROR(__xludf.DUMMYFUNCTION("""COMPUTED_VALUE"""),"124962115800007")</f>
        <v>124962115800007</v>
      </c>
      <c r="Q287" s="30" t="str">
        <f>IFERROR(__xludf.DUMMYFUNCTION("""COMPUTED_VALUE"""),"0001163")</f>
        <v>0001163</v>
      </c>
      <c r="R287" s="30" t="str">
        <f>IFERROR(__xludf.DUMMYFUNCTION("""COMPUTED_VALUE"""),"0001557866")</f>
        <v>0001557866</v>
      </c>
      <c r="S287" s="30" t="str">
        <f>IFERROR(__xludf.DUMMYFUNCTION("""COMPUTED_VALUE"""),"1")</f>
        <v>1</v>
      </c>
      <c r="T287" s="30" t="str">
        <f>IFERROR(__xludf.DUMMYFUNCTION("""COMPUTED_VALUE"""),"223565")</f>
        <v>223565</v>
      </c>
      <c r="U287" s="31" t="str">
        <f>IFERROR(__xludf.DUMMYFUNCTION("""COMPUTED_VALUE"""),"2235")</f>
        <v>2235</v>
      </c>
      <c r="V287" s="11"/>
      <c r="W287" s="11" t="str">
        <f>IFERROR(__xludf.DUMMYFUNCTION("""COMPUTED_VALUE"""),"#N/A")</f>
        <v>#N/A</v>
      </c>
      <c r="X287" s="11" t="str">
        <f>IFERROR(__xludf.DUMMYFUNCTION("""COMPUTED_VALUE"""),"#N/A")</f>
        <v>#N/A</v>
      </c>
      <c r="Y287" s="11" t="str">
        <f>IFERROR(__xludf.DUMMYFUNCTION("""COMPUTED_VALUE"""),"#N/A")</f>
        <v>#N/A</v>
      </c>
      <c r="Z287" s="11"/>
    </row>
    <row r="288" customHeight="1" spans="1:26">
      <c r="A288" s="11" t="str">
        <f>IFERROR(__xludf.DUMMYFUNCTION("""COMPUTED_VALUE"""),"MARIA DE LOURDES DA SILVA MONTEIRO")</f>
        <v>MARIA DE LOURDES DA SILVA MONTEIRO</v>
      </c>
      <c r="B288" s="11"/>
      <c r="C288" s="11"/>
      <c r="D288" s="11" t="str">
        <f>IFERROR(__xludf.DUMMYFUNCTION("""COMPUTED_VALUE"""),"Enfermeira")</f>
        <v>Enfermeira</v>
      </c>
      <c r="E288" s="11" t="str">
        <f>IFERROR(__xludf.DUMMYFUNCTION("""COMPUTED_VALUE"""),"VII")</f>
        <v>VII</v>
      </c>
      <c r="F288" s="11" t="str">
        <f>IFERROR(__xludf.DUMMYFUNCTION("""COMPUTED_VALUE"""),"US_305 USF DA MACAXEIRA")</f>
        <v>US_305 USF DA MACAXEIRA</v>
      </c>
      <c r="G288" s="11" t="str">
        <f>IFERROR(__xludf.DUMMYFUNCTION("""COMPUTED_VALUE"""),"US 305 USF DA MACAXEIRA")</f>
        <v>US 305 USF DA MACAXEIRA</v>
      </c>
      <c r="H288" s="27">
        <f>IFERROR(__xludf.DUMMYFUNCTION("""COMPUTED_VALUE"""),81999819955)</f>
        <v>81999819955</v>
      </c>
      <c r="I288" s="11"/>
      <c r="J288" s="11"/>
      <c r="K288" s="11"/>
      <c r="L288" s="11"/>
      <c r="M288" s="28" t="str">
        <f>IFERROR(__xludf.DUMMYFUNCTION("""COMPUTED_VALUE"""),"3355-6839")</f>
        <v>3355-6839</v>
      </c>
      <c r="N288" s="11" t="str">
        <f>IFERROR(__xludf.DUMMYFUNCTION("""COMPUTED_VALUE"""),"malu_smonteiro@yahoo.com.br")</f>
        <v>malu_smonteiro@yahoo.com.br</v>
      </c>
      <c r="O288" s="29">
        <f>IFERROR(__xludf.DUMMYFUNCTION("""COMPUTED_VALUE"""),47282878404)</f>
        <v>47282878404</v>
      </c>
      <c r="P288" s="30" t="str">
        <f>IFERROR(__xludf.DUMMYFUNCTION("""COMPUTED_VALUE"""),"170188863580002")</f>
        <v>170188863580002</v>
      </c>
      <c r="Q288" s="30" t="str">
        <f>IFERROR(__xludf.DUMMYFUNCTION("""COMPUTED_VALUE"""),"3302008")</f>
        <v>3302008</v>
      </c>
      <c r="R288" s="30" t="str">
        <f>IFERROR(__xludf.DUMMYFUNCTION("""COMPUTED_VALUE"""),"0000155276")</f>
        <v>0000155276</v>
      </c>
      <c r="S288" s="30" t="str">
        <f>IFERROR(__xludf.DUMMYFUNCTION("""COMPUTED_VALUE"""),"1")</f>
        <v>1</v>
      </c>
      <c r="T288" s="30" t="str">
        <f>IFERROR(__xludf.DUMMYFUNCTION("""COMPUTED_VALUE"""),"223565")</f>
        <v>223565</v>
      </c>
      <c r="U288" s="31" t="str">
        <f>IFERROR(__xludf.DUMMYFUNCTION("""COMPUTED_VALUE"""),"2235")</f>
        <v>2235</v>
      </c>
      <c r="V288" s="11"/>
      <c r="W288" s="11">
        <f>IFERROR(__xludf.DUMMYFUNCTION("""COMPUTED_VALUE"""),999819955)</f>
        <v>999819955</v>
      </c>
      <c r="X288" s="11">
        <f>IFERROR(__xludf.DUMMYFUNCTION("""COMPUTED_VALUE"""),30395679)</f>
        <v>30395679</v>
      </c>
      <c r="Y288" s="11">
        <f>IFERROR(__xludf.DUMMYFUNCTION("""COMPUTED_VALUE"""),47282878404)</f>
        <v>47282878404</v>
      </c>
      <c r="Z288" s="11"/>
    </row>
    <row r="289" customHeight="1" spans="1:26">
      <c r="A289" s="11" t="str">
        <f>IFERROR(__xludf.DUMMYFUNCTION("""COMPUTED_VALUE"""),"ANA PATRICIA FIGUEIREDO DO NASCIMENTO")</f>
        <v>ANA PATRICIA FIGUEIREDO DO NASCIMENTO</v>
      </c>
      <c r="B289" s="11"/>
      <c r="C289" s="11"/>
      <c r="D289" s="11" t="str">
        <f>IFERROR(__xludf.DUMMYFUNCTION("""COMPUTED_VALUE"""),"Enfermeira eSF")</f>
        <v>Enfermeira eSF</v>
      </c>
      <c r="E289" s="11" t="str">
        <f>IFERROR(__xludf.DUMMYFUNCTION("""COMPUTED_VALUE"""),"IV")</f>
        <v>IV</v>
      </c>
      <c r="F289" s="11" t="str">
        <f>IFERROR(__xludf.DUMMYFUNCTION("""COMPUTED_VALUE"""),"PACS BERARDO")</f>
        <v>PACS BERARDO</v>
      </c>
      <c r="G289" s="11" t="str">
        <f>IFERROR(__xludf.DUMMYFUNCTION("""COMPUTED_VALUE"""),"US 106 CS PROF JOAQUIM CAVALCANTE")</f>
        <v>US 106 CS PROF JOAQUIM CAVALCANTE</v>
      </c>
      <c r="H289" s="27">
        <f>IFERROR(__xludf.DUMMYFUNCTION("""COMPUTED_VALUE"""),81999279984)</f>
        <v>81999279984</v>
      </c>
      <c r="I289" s="11"/>
      <c r="J289" s="11"/>
      <c r="K289" s="11"/>
      <c r="L289" s="11"/>
      <c r="M289" s="28" t="str">
        <f>IFERROR(__xludf.DUMMYFUNCTION("""COMPUTED_VALUE"""),"3355-4425")</f>
        <v>3355-4425</v>
      </c>
      <c r="N289" s="11" t="str">
        <f>IFERROR(__xludf.DUMMYFUNCTION("""COMPUTED_VALUE"""),"ana.patricia.fn@hotmail.com")</f>
        <v>ana.patricia.fn@hotmail.com</v>
      </c>
      <c r="O289" s="29">
        <f>IFERROR(__xludf.DUMMYFUNCTION("""COMPUTED_VALUE"""),3397426405)</f>
        <v>3397426405</v>
      </c>
      <c r="P289" s="30" t="str">
        <f>IFERROR(__xludf.DUMMYFUNCTION("""COMPUTED_VALUE"""),"980016002074789")</f>
        <v>980016002074789</v>
      </c>
      <c r="Q289" s="30" t="str">
        <f>IFERROR(__xludf.DUMMYFUNCTION("""COMPUTED_VALUE"""),"0000639")</f>
        <v>0000639</v>
      </c>
      <c r="R289" s="30" t="str">
        <f>IFERROR(__xludf.DUMMYFUNCTION("""COMPUTED_VALUE"""),"0000152404")</f>
        <v>0000152404</v>
      </c>
      <c r="S289" s="30" t="str">
        <f>IFERROR(__xludf.DUMMYFUNCTION("""COMPUTED_VALUE"""),"1")</f>
        <v>1</v>
      </c>
      <c r="T289" s="30" t="str">
        <f>IFERROR(__xludf.DUMMYFUNCTION("""COMPUTED_VALUE"""),"223565")</f>
        <v>223565</v>
      </c>
      <c r="U289" s="31" t="str">
        <f>IFERROR(__xludf.DUMMYFUNCTION("""COMPUTED_VALUE"""),"2235")</f>
        <v>2235</v>
      </c>
      <c r="V289" s="11"/>
      <c r="W289" s="11">
        <f>IFERROR(__xludf.DUMMYFUNCTION("""COMPUTED_VALUE"""),8130406562)</f>
        <v>8130406562</v>
      </c>
      <c r="X289" s="11">
        <f>IFERROR(__xludf.DUMMYFUNCTION("""COMPUTED_VALUE"""),8187091554)</f>
        <v>8187091554</v>
      </c>
      <c r="Y289" s="11">
        <f>IFERROR(__xludf.DUMMYFUNCTION("""COMPUTED_VALUE"""),3397426405)</f>
        <v>3397426405</v>
      </c>
      <c r="Z289" s="11"/>
    </row>
    <row r="290" customHeight="1" spans="1:26">
      <c r="A290" s="11" t="str">
        <f>IFERROR(__xludf.DUMMYFUNCTION("""COMPUTED_VALUE"""),"FLAVIO XAVIER DA SILVA")</f>
        <v>FLAVIO XAVIER DA SILVA</v>
      </c>
      <c r="B290" s="11"/>
      <c r="C290" s="11"/>
      <c r="D290" s="11" t="str">
        <f>IFERROR(__xludf.DUMMYFUNCTION("""COMPUTED_VALUE"""),"médico ginecologista")</f>
        <v>médico ginecologista</v>
      </c>
      <c r="E290" s="11"/>
      <c r="F290" s="11"/>
      <c r="G290" s="11" t="str">
        <f>IFERROR(__xludf.DUMMYFUNCTION("""COMPUTED_VALUE"""),"US 126 CS VER ROMILDO GOMES")</f>
        <v>US 126 CS VER ROMILDO GOMES</v>
      </c>
      <c r="H290" s="27">
        <f>IFERROR(__xludf.DUMMYFUNCTION("""COMPUTED_VALUE"""),81996669258)</f>
        <v>81996669258</v>
      </c>
      <c r="I290" s="11"/>
      <c r="J290" s="11"/>
      <c r="K290" s="24">
        <f>IFERROR(__xludf.DUMMYFUNCTION("""COMPUTED_VALUE"""),45422)</f>
        <v>45422</v>
      </c>
      <c r="L290" s="11"/>
      <c r="M290" s="11"/>
      <c r="N290" s="11"/>
      <c r="O290" s="11"/>
      <c r="P290" s="11"/>
      <c r="Q290" s="11"/>
      <c r="R290" s="11"/>
      <c r="S290" s="11"/>
      <c r="T290" s="11"/>
      <c r="U290" s="11"/>
      <c r="V290" s="11"/>
      <c r="W290" s="11"/>
      <c r="X290" s="11"/>
      <c r="Y290" s="11"/>
      <c r="Z290" s="11"/>
    </row>
    <row r="291" customHeight="1" spans="1:26">
      <c r="A291" s="11" t="str">
        <f>IFERROR(__xludf.DUMMYFUNCTION("""COMPUTED_VALUE"""),"VIVIANE PATRICIA S DE SOUZA")</f>
        <v>VIVIANE PATRICIA S DE SOUZA</v>
      </c>
      <c r="B291" s="11"/>
      <c r="C291" s="11"/>
      <c r="D291" s="11" t="str">
        <f>IFERROR(__xludf.DUMMYFUNCTION("""COMPUTED_VALUE"""),"Enfermeira eSF")</f>
        <v>Enfermeira eSF</v>
      </c>
      <c r="E291" s="11" t="str">
        <f>IFERROR(__xludf.DUMMYFUNCTION("""COMPUTED_VALUE"""),"VI")</f>
        <v>VI</v>
      </c>
      <c r="F291" s="11"/>
      <c r="G291" s="11" t="str">
        <f>IFERROR(__xludf.DUMMYFUNCTION("""COMPUTED_VALUE"""),"US 126 CS VER ROMILDO GOMES")</f>
        <v>US 126 CS VER ROMILDO GOMES</v>
      </c>
      <c r="H291" s="27">
        <f>IFERROR(__xludf.DUMMYFUNCTION("""COMPUTED_VALUE"""),81998726312)</f>
        <v>81998726312</v>
      </c>
      <c r="I291" s="11"/>
      <c r="J291" s="11"/>
      <c r="K291" s="24">
        <f>IFERROR(__xludf.DUMMYFUNCTION("""COMPUTED_VALUE"""),45364)</f>
        <v>45364</v>
      </c>
      <c r="L291" s="11"/>
      <c r="M291" s="11"/>
      <c r="N291" s="11"/>
      <c r="O291" s="11"/>
      <c r="P291" s="11"/>
      <c r="Q291" s="11"/>
      <c r="R291" s="11"/>
      <c r="S291" s="11"/>
      <c r="T291" s="11"/>
      <c r="U291" s="11"/>
      <c r="V291" s="11"/>
      <c r="W291" s="11"/>
      <c r="X291" s="11"/>
      <c r="Y291" s="11"/>
      <c r="Z291" s="11"/>
    </row>
    <row r="292" customHeight="1" spans="1:26">
      <c r="A292" s="11" t="str">
        <f>IFERROR(__xludf.DUMMYFUNCTION("""COMPUTED_VALUE"""),"FELIPE BRAVO M DE ANDRADE")</f>
        <v>FELIPE BRAVO M DE ANDRADE</v>
      </c>
      <c r="B292" s="11"/>
      <c r="C292" s="11"/>
      <c r="D292" s="11" t="str">
        <f>IFERROR(__xludf.DUMMYFUNCTION("""COMPUTED_VALUE"""),"Dentista")</f>
        <v>Dentista</v>
      </c>
      <c r="E292" s="11" t="str">
        <f>IFERROR(__xludf.DUMMYFUNCTION("""COMPUTED_VALUE"""),"VI")</f>
        <v>VI</v>
      </c>
      <c r="F292" s="11" t="str">
        <f>IFERROR(__xludf.DUMMYFUNCTION("""COMPUTED_VALUE"""),"US_162 POLICLINICA ALBERT SABIN")</f>
        <v>US_162 POLICLINICA ALBERT SABIN</v>
      </c>
      <c r="G292" s="11" t="str">
        <f>IFERROR(__xludf.DUMMYFUNCTION("""COMPUTED_VALUE"""),"US 126 CS VER ROMILDO GOMES")</f>
        <v>US 126 CS VER ROMILDO GOMES</v>
      </c>
      <c r="H292" s="27">
        <f>IFERROR(__xludf.DUMMYFUNCTION("""COMPUTED_VALUE"""),81991517475)</f>
        <v>81991517475</v>
      </c>
      <c r="I292" s="11"/>
      <c r="J292" s="11"/>
      <c r="K292" s="11"/>
      <c r="L292" s="11"/>
      <c r="M292" s="28" t="str">
        <f>IFERROR(__xludf.DUMMYFUNCTION("""COMPUTED_VALUE"""),"3355-4448")</f>
        <v>3355-4448</v>
      </c>
      <c r="N292" s="11" t="str">
        <f>IFERROR(__xludf.DUMMYFUNCTION("""COMPUTED_VALUE"""),"FELIPEBRAVOMACHADO@GMAIL.COM")</f>
        <v>FELIPEBRAVOMACHADO@GMAIL.COM</v>
      </c>
      <c r="O292" s="29">
        <f>IFERROR(__xludf.DUMMYFUNCTION("""COMPUTED_VALUE"""),5231704407)</f>
        <v>5231704407</v>
      </c>
      <c r="P292" s="30" t="str">
        <f>IFERROR(__xludf.DUMMYFUNCTION("""COMPUTED_VALUE"""),"980016284031446")</f>
        <v>980016284031446</v>
      </c>
      <c r="Q292" s="30" t="str">
        <f>IFERROR(__xludf.DUMMYFUNCTION("""COMPUTED_VALUE"""),"0001090")</f>
        <v>0001090</v>
      </c>
      <c r="R292" s="30" t="str">
        <f>IFERROR(__xludf.DUMMYFUNCTION("""COMPUTED_VALUE"""),"9000109001")</f>
        <v>9000109001</v>
      </c>
      <c r="S292" s="30" t="str">
        <f>IFERROR(__xludf.DUMMYFUNCTION("""COMPUTED_VALUE"""),"1")</f>
        <v>1</v>
      </c>
      <c r="T292" s="30" t="str">
        <f>IFERROR(__xludf.DUMMYFUNCTION("""COMPUTED_VALUE"""),"223220 ")</f>
        <v>223220 </v>
      </c>
      <c r="U292" s="31">
        <f>IFERROR(__xludf.DUMMYFUNCTION("""COMPUTED_VALUE"""),2232)</f>
        <v>2232</v>
      </c>
      <c r="V292" s="11"/>
      <c r="W292" s="11"/>
      <c r="X292" s="11"/>
      <c r="Y292" s="11"/>
      <c r="Z292" s="11"/>
    </row>
    <row r="293" customHeight="1" spans="1:26">
      <c r="A293" s="11" t="str">
        <f>IFERROR(__xludf.DUMMYFUNCTION("""COMPUTED_VALUE"""),"DJANOS DE MELO OLIVEIRA")</f>
        <v>DJANOS DE MELO OLIVEIRA</v>
      </c>
      <c r="B293" s="11"/>
      <c r="C293" s="11"/>
      <c r="D293" s="11" t="str">
        <f>IFERROR(__xludf.DUMMYFUNCTION("""COMPUTED_VALUE"""),"Enfermeiro eSF")</f>
        <v>Enfermeiro eSF</v>
      </c>
      <c r="E293" s="11" t="str">
        <f>IFERROR(__xludf.DUMMYFUNCTION("""COMPUTED_VALUE"""),"II")</f>
        <v>II</v>
      </c>
      <c r="F293" s="11" t="str">
        <f>IFERROR(__xludf.DUMMYFUNCTION("""COMPUTED_VALUE"""),"US_286 USF IRMA TEREZINHA")</f>
        <v>US_286 USF IRMA TEREZINHA</v>
      </c>
      <c r="G293" s="11" t="str">
        <f>IFERROR(__xludf.DUMMYFUNCTION("""COMPUTED_VALUE"""),"US 286 USF IRMA TEREZINHA")</f>
        <v>US 286 USF IRMA TEREZINHA</v>
      </c>
      <c r="H293" s="27">
        <f>IFERROR(__xludf.DUMMYFUNCTION("""COMPUTED_VALUE"""),81987437265)</f>
        <v>81987437265</v>
      </c>
      <c r="I293" s="27">
        <f>IFERROR(__xludf.DUMMYFUNCTION("""COMPUTED_VALUE"""),81999974211)</f>
        <v>81999974211</v>
      </c>
      <c r="J293" s="11"/>
      <c r="K293" s="11"/>
      <c r="L293" s="11"/>
      <c r="M293" s="28" t="str">
        <f>IFERROR(__xludf.DUMMYFUNCTION("""COMPUTED_VALUE"""),"3355-6154")</f>
        <v>3355-6154</v>
      </c>
      <c r="N293" s="11" t="str">
        <f>IFERROR(__xludf.DUMMYFUNCTION("""COMPUTED_VALUE"""),"oliveira.dja@hotmail.com")</f>
        <v>oliveira.dja@hotmail.com</v>
      </c>
      <c r="O293" s="29">
        <f>IFERROR(__xludf.DUMMYFUNCTION("""COMPUTED_VALUE"""),3764084480)</f>
        <v>3764084480</v>
      </c>
      <c r="P293" s="30" t="str">
        <f>IFERROR(__xludf.DUMMYFUNCTION("""COMPUTED_VALUE"""),"980016004535589")</f>
        <v>980016004535589</v>
      </c>
      <c r="Q293" s="30" t="str">
        <f>IFERROR(__xludf.DUMMYFUNCTION("""COMPUTED_VALUE"""),"0029122")</f>
        <v>0029122</v>
      </c>
      <c r="R293" s="30" t="str">
        <f>IFERROR(__xludf.DUMMYFUNCTION("""COMPUTED_VALUE"""),"0000154725")</f>
        <v>0000154725</v>
      </c>
      <c r="S293" s="30" t="str">
        <f>IFERROR(__xludf.DUMMYFUNCTION("""COMPUTED_VALUE"""),"1")</f>
        <v>1</v>
      </c>
      <c r="T293" s="30" t="str">
        <f>IFERROR(__xludf.DUMMYFUNCTION("""COMPUTED_VALUE"""),"223565")</f>
        <v>223565</v>
      </c>
      <c r="U293" s="31" t="str">
        <f>IFERROR(__xludf.DUMMYFUNCTION("""COMPUTED_VALUE"""),"2235")</f>
        <v>2235</v>
      </c>
      <c r="V293" s="11"/>
      <c r="W293" s="11">
        <f>IFERROR(__xludf.DUMMYFUNCTION("""COMPUTED_VALUE"""),99974211)</f>
        <v>99974211</v>
      </c>
      <c r="X293" s="11">
        <f>IFERROR(__xludf.DUMMYFUNCTION("""COMPUTED_VALUE"""),87437265)</f>
        <v>87437265</v>
      </c>
      <c r="Y293" s="11">
        <f>IFERROR(__xludf.DUMMYFUNCTION("""COMPUTED_VALUE"""),3764084480)</f>
        <v>3764084480</v>
      </c>
      <c r="Z293" s="11"/>
    </row>
    <row r="294" customHeight="1" spans="1:26">
      <c r="A294" s="11" t="str">
        <f>IFERROR(__xludf.DUMMYFUNCTION("""COMPUTED_VALUE"""),"AISLAN EUGÊNIO NERIS MUDO")</f>
        <v>AISLAN EUGÊNIO NERIS MUDO</v>
      </c>
      <c r="B294" s="11"/>
      <c r="C294" s="11"/>
      <c r="D294" s="11" t="str">
        <f>IFERROR(__xludf.DUMMYFUNCTION("""COMPUTED_VALUE"""),"MÉDICO")</f>
        <v>MÉDICO</v>
      </c>
      <c r="E294" s="11"/>
      <c r="F294" s="11"/>
      <c r="G294" s="11" t="str">
        <f>IFERROR(__xludf.DUMMYFUNCTION("""COMPUTED_VALUE"""),"US 117 CS GASPAR REGUEIRA COSTA")</f>
        <v>US 117 CS GASPAR REGUEIRA COSTA</v>
      </c>
      <c r="H294" s="27">
        <f>IFERROR(__xludf.DUMMYFUNCTION("""COMPUTED_VALUE"""),87988089312)</f>
        <v>87988089312</v>
      </c>
      <c r="I294" s="11"/>
      <c r="J294" s="11"/>
      <c r="K294" s="24">
        <f>IFERROR(__xludf.DUMMYFUNCTION("""COMPUTED_VALUE"""),45421)</f>
        <v>45421</v>
      </c>
      <c r="L294" s="11"/>
      <c r="M294" s="11"/>
      <c r="N294" s="11"/>
      <c r="O294" s="11"/>
      <c r="P294" s="11"/>
      <c r="Q294" s="11"/>
      <c r="R294" s="11"/>
      <c r="S294" s="11"/>
      <c r="T294" s="11"/>
      <c r="U294" s="11"/>
      <c r="V294" s="11"/>
      <c r="W294" s="11"/>
      <c r="X294" s="11"/>
      <c r="Y294" s="11"/>
      <c r="Z294" s="11"/>
    </row>
    <row r="295" customHeight="1" spans="1:26">
      <c r="A295" s="11" t="str">
        <f>IFERROR(__xludf.DUMMYFUNCTION("""COMPUTED_VALUE"""),"THAIS VALERIA E SILVA MACIEL MONTEIRO")</f>
        <v>THAIS VALERIA E SILVA MACIEL MONTEIRO</v>
      </c>
      <c r="B295" s="11"/>
      <c r="C295" s="11"/>
      <c r="D295" s="11" t="str">
        <f>IFERROR(__xludf.DUMMYFUNCTION("""COMPUTED_VALUE"""),"Médica Ginecologista")</f>
        <v>Médica Ginecologista</v>
      </c>
      <c r="E295" s="11" t="str">
        <f>IFERROR(__xludf.DUMMYFUNCTION("""COMPUTED_VALUE"""),"V")</f>
        <v>V</v>
      </c>
      <c r="F295" s="11" t="str">
        <f>IFERROR(__xludf.DUMMYFUNCTION("""COMPUTED_VALUE"""),"US_117 CS GASPAR REGUEIRA COSTA")</f>
        <v>US_117 CS GASPAR REGUEIRA COSTA</v>
      </c>
      <c r="G295" s="11" t="str">
        <f>IFERROR(__xludf.DUMMYFUNCTION("""COMPUTED_VALUE"""),"US 117 CS GASPAR REGUEIRA COSTA")</f>
        <v>US 117 CS GASPAR REGUEIRA COSTA</v>
      </c>
      <c r="H295" s="27">
        <f>IFERROR(__xludf.DUMMYFUNCTION("""COMPUTED_VALUE"""),81992455397)</f>
        <v>81992455397</v>
      </c>
      <c r="I295" s="11"/>
      <c r="J295" s="11"/>
      <c r="K295" s="11"/>
      <c r="L295" s="11"/>
      <c r="M295" s="28" t="str">
        <f>IFERROR(__xludf.DUMMYFUNCTION("""COMPUTED_VALUE"""),"3355-4404")</f>
        <v>3355-4404</v>
      </c>
      <c r="N295" s="11" t="str">
        <f>IFERROR(__xludf.DUMMYFUNCTION("""COMPUTED_VALUE"""),"thaisvaleriasilva@gmail.com")</f>
        <v>thaisvaleriasilva@gmail.com</v>
      </c>
      <c r="O295" s="29">
        <f>IFERROR(__xludf.DUMMYFUNCTION("""COMPUTED_VALUE"""),5558232455)</f>
        <v>5558232455</v>
      </c>
      <c r="P295" s="30" t="str">
        <f>IFERROR(__xludf.DUMMYFUNCTION("""COMPUTED_VALUE"""),"980016286949262")</f>
        <v>980016286949262</v>
      </c>
      <c r="Q295" s="30" t="str">
        <f>IFERROR(__xludf.DUMMYFUNCTION("""COMPUTED_VALUE"""),"0001414")</f>
        <v>0001414</v>
      </c>
      <c r="R295" s="11"/>
      <c r="S295" s="30" t="str">
        <f>IFERROR(__xludf.DUMMYFUNCTION("""COMPUTED_VALUE"""),"1")</f>
        <v>1</v>
      </c>
      <c r="T295" s="30" t="str">
        <f>IFERROR(__xludf.DUMMYFUNCTION("""COMPUTED_VALUE"""),"225250")</f>
        <v>225250</v>
      </c>
      <c r="U295" s="31" t="str">
        <f>IFERROR(__xludf.DUMMYFUNCTION("""COMPUTED_VALUE"""),"2251")</f>
        <v>2251</v>
      </c>
      <c r="V295" s="11"/>
      <c r="W295" s="30" t="str">
        <f>IFERROR(__xludf.DUMMYFUNCTION("""COMPUTED_VALUE"""),"08/12/1985")</f>
        <v>08/12/1985</v>
      </c>
      <c r="X295" s="11" t="str">
        <f>IFERROR(__xludf.DUMMYFUNCTION("""COMPUTED_VALUE"""),"#N/A")</f>
        <v>#N/A</v>
      </c>
      <c r="Y295" s="11" t="str">
        <f>IFERROR(__xludf.DUMMYFUNCTION("""COMPUTED_VALUE"""),"#N/A")</f>
        <v>#N/A</v>
      </c>
      <c r="Z295" s="11" t="str">
        <f>IFERROR(__xludf.DUMMYFUNCTION("""COMPUTED_VALUE"""),"#N/A")</f>
        <v>#N/A</v>
      </c>
    </row>
    <row r="296" customHeight="1" spans="1:26">
      <c r="A296" s="11" t="str">
        <f>IFERROR(__xludf.DUMMYFUNCTION("""COMPUTED_VALUE"""),"SEVERINO RAMIRO CAMPOS FILHO")</f>
        <v>SEVERINO RAMIRO CAMPOS FILHO</v>
      </c>
      <c r="B296" s="11" t="str">
        <f>IFERROR(__xludf.DUMMYFUNCTION("""COMPUTED_VALUE"""),"REFERE ""HORÁRIO APERTADO""")</f>
        <v>REFERE "HORÁRIO APERTADO"</v>
      </c>
      <c r="C296" s="11"/>
      <c r="D296" s="11" t="str">
        <f>IFERROR(__xludf.DUMMYFUNCTION("""COMPUTED_VALUE"""),"Médico Clínico")</f>
        <v>Médico Clínico</v>
      </c>
      <c r="E296" s="11" t="str">
        <f>IFERROR(__xludf.DUMMYFUNCTION("""COMPUTED_VALUE"""),"V")</f>
        <v>V</v>
      </c>
      <c r="F296" s="11" t="str">
        <f>IFERROR(__xludf.DUMMYFUNCTION("""COMPUTED_VALUE"""),"US_166 POLICLINICA CENTRO")</f>
        <v>US_166 POLICLINICA CENTRO</v>
      </c>
      <c r="G296" s="11" t="str">
        <f>IFERROR(__xludf.DUMMYFUNCTION("""COMPUTED_VALUE"""),"US 158 CS PAM CEASA")</f>
        <v>US 158 CS PAM CEASA</v>
      </c>
      <c r="H296" s="27">
        <f>IFERROR(__xludf.DUMMYFUNCTION("""COMPUTED_VALUE"""),81999244939)</f>
        <v>81999244939</v>
      </c>
      <c r="I296" s="11"/>
      <c r="J296" s="11"/>
      <c r="K296" s="11"/>
      <c r="L296" s="11"/>
      <c r="M296" s="28" t="str">
        <f>IFERROR(__xludf.DUMMYFUNCTION("""COMPUTED_VALUE"""),"3355-0090")</f>
        <v>3355-0090</v>
      </c>
      <c r="N296" s="11" t="str">
        <f>IFERROR(__xludf.DUMMYFUNCTION("""COMPUTED_VALUE"""),"srcamposfo@gmail.com")</f>
        <v>srcamposfo@gmail.com</v>
      </c>
      <c r="O296" s="29">
        <f>IFERROR(__xludf.DUMMYFUNCTION("""COMPUTED_VALUE"""),10375694404)</f>
        <v>10375694404</v>
      </c>
      <c r="P296" s="30" t="str">
        <f>IFERROR(__xludf.DUMMYFUNCTION("""COMPUTED_VALUE"""),"100888850860004")</f>
        <v>100888850860004</v>
      </c>
      <c r="Q296" s="30" t="str">
        <f>IFERROR(__xludf.DUMMYFUNCTION("""COMPUTED_VALUE"""),"0001368")</f>
        <v>0001368</v>
      </c>
      <c r="R296" s="11"/>
      <c r="S296" s="30" t="str">
        <f>IFERROR(__xludf.DUMMYFUNCTION("""COMPUTED_VALUE"""),"1")</f>
        <v>1</v>
      </c>
      <c r="T296" s="30" t="str">
        <f>IFERROR(__xludf.DUMMYFUNCTION("""COMPUTED_VALUE"""),"225125")</f>
        <v>225125</v>
      </c>
      <c r="U296" s="31" t="str">
        <f>IFERROR(__xludf.DUMMYFUNCTION("""COMPUTED_VALUE"""),"2251")</f>
        <v>2251</v>
      </c>
      <c r="V296" s="11"/>
      <c r="W296" s="11"/>
      <c r="X296" s="11" t="str">
        <f>IFERROR(__xludf.DUMMYFUNCTION("""COMPUTED_VALUE"""),"81-34219388")</f>
        <v>81-34219388</v>
      </c>
      <c r="Y296" s="11" t="str">
        <f>IFERROR(__xludf.DUMMYFUNCTION("""COMPUTED_VALUE"""),"81-99244939")</f>
        <v>81-99244939</v>
      </c>
      <c r="Z296" s="11">
        <f>IFERROR(__xludf.DUMMYFUNCTION("""COMPUTED_VALUE"""),10375694404)</f>
        <v>10375694404</v>
      </c>
    </row>
    <row r="297" customHeight="1" spans="1:26">
      <c r="A297" s="11" t="str">
        <f>IFERROR(__xludf.DUMMYFUNCTION("""COMPUTED_VALUE"""),"MARCO AURELIO GONCALVES SANTOS")</f>
        <v>MARCO AURELIO GONCALVES SANTOS</v>
      </c>
      <c r="B297" s="11"/>
      <c r="C297" s="11"/>
      <c r="D297" s="11" t="str">
        <f>IFERROR(__xludf.DUMMYFUNCTION("""COMPUTED_VALUE"""),"Médico Clinico")</f>
        <v>Médico Clinico</v>
      </c>
      <c r="E297" s="11" t="str">
        <f>IFERROR(__xludf.DUMMYFUNCTION("""COMPUTED_VALUE"""),"VI")</f>
        <v>VI</v>
      </c>
      <c r="F297" s="11" t="str">
        <f>IFERROR(__xludf.DUMMYFUNCTION("""COMPUTED_VALUE"""),"US_119 CS PROF JOSE CARNEIRO LEAO")</f>
        <v>US_119 CS PROF JOSE CARNEIRO LEAO</v>
      </c>
      <c r="G297" s="11" t="str">
        <f>IFERROR(__xludf.DUMMYFUNCTION("""COMPUTED_VALUE"""),"US 119 CS PROF JOSE CARNEIRO LEAO")</f>
        <v>US 119 CS PROF JOSE CARNEIRO LEAO</v>
      </c>
      <c r="H297" s="11"/>
      <c r="I297" s="11"/>
      <c r="J297" s="11"/>
      <c r="K297" s="11"/>
      <c r="L297" s="11"/>
      <c r="M297" s="28" t="str">
        <f>IFERROR(__xludf.DUMMYFUNCTION("""COMPUTED_VALUE"""),"3355-4428")</f>
        <v>3355-4428</v>
      </c>
      <c r="N297" s="11"/>
      <c r="O297" s="29">
        <f>IFERROR(__xludf.DUMMYFUNCTION("""COMPUTED_VALUE"""),49362119404)</f>
        <v>49362119404</v>
      </c>
      <c r="P297" s="30" t="str">
        <f>IFERROR(__xludf.DUMMYFUNCTION("""COMPUTED_VALUE"""),"170519131560000")</f>
        <v>170519131560000</v>
      </c>
      <c r="Q297" s="30" t="str">
        <f>IFERROR(__xludf.DUMMYFUNCTION("""COMPUTED_VALUE"""),"0000752")</f>
        <v>0000752</v>
      </c>
      <c r="R297" s="11"/>
      <c r="S297" s="30" t="str">
        <f>IFERROR(__xludf.DUMMYFUNCTION("""COMPUTED_VALUE"""),"1")</f>
        <v>1</v>
      </c>
      <c r="T297" s="30" t="str">
        <f>IFERROR(__xludf.DUMMYFUNCTION("""COMPUTED_VALUE"""),"225125")</f>
        <v>225125</v>
      </c>
      <c r="U297" s="31">
        <f>IFERROR(__xludf.DUMMYFUNCTION("""COMPUTED_VALUE"""),2251)</f>
        <v>2251</v>
      </c>
      <c r="V297" s="11"/>
      <c r="W297" s="11"/>
      <c r="X297" s="11"/>
      <c r="Y297" s="11"/>
      <c r="Z297" s="11"/>
    </row>
    <row r="298" customHeight="1" spans="1:26">
      <c r="A298" s="11" t="str">
        <f>IFERROR(__xludf.DUMMYFUNCTION("""COMPUTED_VALUE"""),"FAUSTO FERREIRA CASTRO")</f>
        <v>FAUSTO FERREIRA CASTRO</v>
      </c>
      <c r="B298" s="11"/>
      <c r="C298" s="11"/>
      <c r="D298" s="11" t="str">
        <f>IFERROR(__xludf.DUMMYFUNCTION("""COMPUTED_VALUE"""),"Enfermeiro eSF")</f>
        <v>Enfermeiro eSF</v>
      </c>
      <c r="E298" s="11" t="str">
        <f>IFERROR(__xludf.DUMMYFUNCTION("""COMPUTED_VALUE"""),"VIII")</f>
        <v>VIII</v>
      </c>
      <c r="F298" s="11" t="str">
        <f>IFERROR(__xludf.DUMMYFUNCTION("""COMPUTED_VALUE"""),"US_267 USF UR 2 / JANE MAGALHAES")</f>
        <v>US_267 USF UR 2 / JANE MAGALHAES</v>
      </c>
      <c r="G298" s="11" t="str">
        <f>IFERROR(__xludf.DUMMYFUNCTION("""COMPUTED_VALUE"""),"US 267 USF UR 2")</f>
        <v>US 267 USF UR 2</v>
      </c>
      <c r="H298" s="27">
        <f>IFERROR(__xludf.DUMMYFUNCTION("""COMPUTED_VALUE"""),81991978288)</f>
        <v>81991978288</v>
      </c>
      <c r="I298" s="11"/>
      <c r="J298" s="11"/>
      <c r="K298" s="11"/>
      <c r="L298" s="11"/>
      <c r="M298" s="28" t="str">
        <f>IFERROR(__xludf.DUMMYFUNCTION("""COMPUTED_VALUE"""),"3355-6239")</f>
        <v>3355-6239</v>
      </c>
      <c r="N298" s="11" t="str">
        <f>IFERROR(__xludf.DUMMYFUNCTION("""COMPUTED_VALUE"""),"faustofcastro@hotmail.com")</f>
        <v>faustofcastro@hotmail.com</v>
      </c>
      <c r="O298" s="29">
        <f>IFERROR(__xludf.DUMMYFUNCTION("""COMPUTED_VALUE"""),4408456454)</f>
        <v>4408456454</v>
      </c>
      <c r="P298" s="30" t="str">
        <f>IFERROR(__xludf.DUMMYFUNCTION("""COMPUTED_VALUE"""),"980016277258112")</f>
        <v>980016277258112</v>
      </c>
      <c r="Q298" s="30" t="str">
        <f>IFERROR(__xludf.DUMMYFUNCTION("""COMPUTED_VALUE"""),"0026352")</f>
        <v>0026352</v>
      </c>
      <c r="R298" s="30" t="str">
        <f>IFERROR(__xludf.DUMMYFUNCTION("""COMPUTED_VALUE"""),"0000154334")</f>
        <v>0000154334</v>
      </c>
      <c r="S298" s="30" t="str">
        <f>IFERROR(__xludf.DUMMYFUNCTION("""COMPUTED_VALUE"""),"1")</f>
        <v>1</v>
      </c>
      <c r="T298" s="30" t="str">
        <f>IFERROR(__xludf.DUMMYFUNCTION("""COMPUTED_VALUE"""),"223565")</f>
        <v>223565</v>
      </c>
      <c r="U298" s="31" t="str">
        <f>IFERROR(__xludf.DUMMYFUNCTION("""COMPUTED_VALUE"""),"2235")</f>
        <v>2235</v>
      </c>
      <c r="V298" s="11"/>
      <c r="W298" s="11" t="str">
        <f>IFERROR(__xludf.DUMMYFUNCTION("""COMPUTED_VALUE"""),"81 85855314")</f>
        <v>81 85855314</v>
      </c>
      <c r="X298" s="11" t="str">
        <f>IFERROR(__xludf.DUMMYFUNCTION("""COMPUTED_VALUE"""),"81 91978288")</f>
        <v>81 91978288</v>
      </c>
      <c r="Y298" s="11">
        <f>IFERROR(__xludf.DUMMYFUNCTION("""COMPUTED_VALUE"""),4408456454)</f>
        <v>4408456454</v>
      </c>
      <c r="Z298" s="11"/>
    </row>
    <row r="299" customHeight="1" spans="1:26">
      <c r="A299" s="11" t="str">
        <f>IFERROR(__xludf.DUMMYFUNCTION("""COMPUTED_VALUE"""),"RODRIGO DE OLIVEIRA SILVA")</f>
        <v>RODRIGO DE OLIVEIRA SILVA</v>
      </c>
      <c r="B299" s="11"/>
      <c r="C299" s="11"/>
      <c r="D299" s="11" t="str">
        <f>IFERROR(__xludf.DUMMYFUNCTION("""COMPUTED_VALUE"""),"Médico Clínico")</f>
        <v>Médico Clínico</v>
      </c>
      <c r="E299" s="11" t="str">
        <f>IFERROR(__xludf.DUMMYFUNCTION("""COMPUTED_VALUE"""),"IV")</f>
        <v>IV</v>
      </c>
      <c r="F299" s="11" t="str">
        <f>IFERROR(__xludf.DUMMYFUNCTION("""COMPUTED_VALUE"""),"SEGTES")</f>
        <v>SEGTES</v>
      </c>
      <c r="G299" s="11" t="str">
        <f>IFERROR(__xludf.DUMMYFUNCTION("""COMPUTED_VALUE"""),"AMBULATÓRIO LGBT PATRICIA GOMES")</f>
        <v>AMBULATÓRIO LGBT PATRICIA GOMES</v>
      </c>
      <c r="H299" s="27">
        <f>IFERROR(__xludf.DUMMYFUNCTION("""COMPUTED_VALUE"""),81994364873)</f>
        <v>81994364873</v>
      </c>
      <c r="I299" s="11"/>
      <c r="J299" s="11"/>
      <c r="K299" s="11"/>
      <c r="L299" s="11"/>
      <c r="M299" s="11"/>
      <c r="N299" s="11" t="str">
        <f>IFERROR(__xludf.DUMMYFUNCTION("""COMPUTED_VALUE"""),"oliveirarodrigo.pe@gmail.com")</f>
        <v>oliveirarodrigo.pe@gmail.com</v>
      </c>
      <c r="O299" s="29">
        <f>IFERROR(__xludf.DUMMYFUNCTION("""COMPUTED_VALUE"""),4286358496)</f>
        <v>4286358496</v>
      </c>
      <c r="P299" s="30" t="str">
        <f>IFERROR(__xludf.DUMMYFUNCTION("""COMPUTED_VALUE"""),"980016284875385")</f>
        <v>980016284875385</v>
      </c>
      <c r="Q299" s="30" t="str">
        <f>IFERROR(__xludf.DUMMYFUNCTION("""COMPUTED_VALUE"""),"0000590")</f>
        <v>0000590</v>
      </c>
      <c r="R299" s="11"/>
      <c r="S299" s="30" t="str">
        <f>IFERROR(__xludf.DUMMYFUNCTION("""COMPUTED_VALUE"""),"1")</f>
        <v>1</v>
      </c>
      <c r="T299" s="30" t="str">
        <f>IFERROR(__xludf.DUMMYFUNCTION("""COMPUTED_VALUE"""),"225142")</f>
        <v>225142</v>
      </c>
      <c r="U299" s="11">
        <f>IFERROR(__xludf.DUMMYFUNCTION("""COMPUTED_VALUE"""),2251)</f>
        <v>2251</v>
      </c>
      <c r="V299" s="11"/>
      <c r="W299" s="11"/>
      <c r="X299" s="11"/>
      <c r="Y299" s="11"/>
      <c r="Z299" s="11"/>
    </row>
    <row r="300" customHeight="1" spans="1:26">
      <c r="A300" s="11" t="str">
        <f>IFERROR(__xludf.DUMMYFUNCTION("""COMPUTED_VALUE"""),"LUCIANO BELTRAO DE SOUZA")</f>
        <v>LUCIANO BELTRAO DE SOUZA</v>
      </c>
      <c r="B300" s="11"/>
      <c r="C300" s="11"/>
      <c r="D300" s="11" t="str">
        <f>IFERROR(__xludf.DUMMYFUNCTION("""COMPUTED_VALUE"""),"Dentista")</f>
        <v>Dentista</v>
      </c>
      <c r="E300" s="11" t="str">
        <f>IFERROR(__xludf.DUMMYFUNCTION("""COMPUTED_VALUE"""),"II")</f>
        <v>II</v>
      </c>
      <c r="F300" s="11" t="str">
        <f>IFERROR(__xludf.DUMMYFUNCTION("""COMPUTED_VALUE"""),"US_138 USF DR LUIZ WILSOM")</f>
        <v>US_138 USF DR LUIZ WILSOM</v>
      </c>
      <c r="G300" s="11" t="str">
        <f>IFERROR(__xludf.DUMMYFUNCTION("""COMPUTED_VALUE"""),"US 138 USF DR LUIZ WILSOM")</f>
        <v>US 138 USF DR LUIZ WILSOM</v>
      </c>
      <c r="H300" s="27">
        <f>IFERROR(__xludf.DUMMYFUNCTION("""COMPUTED_VALUE"""),81986940373)</f>
        <v>81986940373</v>
      </c>
      <c r="I300" s="11"/>
      <c r="J300" s="11"/>
      <c r="K300" s="11"/>
      <c r="L300" s="11"/>
      <c r="M300" s="28" t="str">
        <f>IFERROR(__xludf.DUMMYFUNCTION("""COMPUTED_VALUE"""),"3355-3165")</f>
        <v>3355-3165</v>
      </c>
      <c r="N300" s="11" t="str">
        <f>IFERROR(__xludf.DUMMYFUNCTION("""COMPUTED_VALUE"""),"lucbeltrao@yahoo.com.br")</f>
        <v>lucbeltrao@yahoo.com.br</v>
      </c>
      <c r="O300" s="29">
        <f>IFERROR(__xludf.DUMMYFUNCTION("""COMPUTED_VALUE"""),89043715468)</f>
        <v>89043715468</v>
      </c>
      <c r="P300" s="30" t="str">
        <f>IFERROR(__xludf.DUMMYFUNCTION("""COMPUTED_VALUE"""),"204324310680006")</f>
        <v>204324310680006</v>
      </c>
      <c r="Q300" s="30" t="str">
        <f>IFERROR(__xludf.DUMMYFUNCTION("""COMPUTED_VALUE"""),"0000876")</f>
        <v>0000876</v>
      </c>
      <c r="R300" s="30" t="str">
        <f>IFERROR(__xludf.DUMMYFUNCTION("""COMPUTED_VALUE"""),"0000152766")</f>
        <v>0000152766</v>
      </c>
      <c r="S300" s="30" t="str">
        <f>IFERROR(__xludf.DUMMYFUNCTION("""COMPUTED_VALUE"""),"1")</f>
        <v>1</v>
      </c>
      <c r="T300" s="30" t="str">
        <f>IFERROR(__xludf.DUMMYFUNCTION("""COMPUTED_VALUE"""),"223293")</f>
        <v>223293</v>
      </c>
      <c r="U300" s="31">
        <f>IFERROR(__xludf.DUMMYFUNCTION("""COMPUTED_VALUE"""),2232)</f>
        <v>2232</v>
      </c>
      <c r="V300" s="11"/>
      <c r="W300" s="11"/>
      <c r="X300" s="11"/>
      <c r="Y300" s="11"/>
      <c r="Z300" s="11"/>
    </row>
    <row r="301" customHeight="1" spans="1:26">
      <c r="A301" s="11" t="str">
        <f>IFERROR(__xludf.DUMMYFUNCTION("""COMPUTED_VALUE"""),"ANA DIAS DE ANDRADE")</f>
        <v>ANA DIAS DE ANDRADE</v>
      </c>
      <c r="B301" s="11"/>
      <c r="C301" s="11"/>
      <c r="D301" s="11" t="str">
        <f>IFERROR(__xludf.DUMMYFUNCTION("""COMPUTED_VALUE"""),"Dentista")</f>
        <v>Dentista</v>
      </c>
      <c r="E301" s="11" t="str">
        <f>IFERROR(__xludf.DUMMYFUNCTION("""COMPUTED_VALUE"""),"II")</f>
        <v>II</v>
      </c>
      <c r="F301" s="11" t="str">
        <f>IFERROR(__xludf.DUMMYFUNCTION("""COMPUTED_VALUE"""),"US_291 USF ALTO DOS COQUEIROS CORREGO DA JAQUEIRA")</f>
        <v>US_291 USF ALTO DOS COQUEIROS CORREGO DA JAQUEIRA</v>
      </c>
      <c r="G301" s="11" t="str">
        <f>IFERROR(__xludf.DUMMYFUNCTION("""COMPUTED_VALUE"""),"US 291 USF ALTO DOS COQUEIROS CORREGO DA JAQUEIRA")</f>
        <v>US 291 USF ALTO DOS COQUEIROS CORREGO DA JAQUEIRA</v>
      </c>
      <c r="H301" s="27">
        <f>IFERROR(__xludf.DUMMYFUNCTION("""COMPUTED_VALUE"""),81988242018)</f>
        <v>81988242018</v>
      </c>
      <c r="I301" s="11"/>
      <c r="J301" s="11"/>
      <c r="K301" s="11"/>
      <c r="L301" s="11"/>
      <c r="M301" s="28" t="str">
        <f>IFERROR(__xludf.DUMMYFUNCTION("""COMPUTED_VALUE"""),"3355-4660")</f>
        <v>3355-4660</v>
      </c>
      <c r="N301" s="11" t="str">
        <f>IFERROR(__xludf.DUMMYFUNCTION("""COMPUTED_VALUE"""),"ANADIASDEANDRADESOUZA@GMAIL.COM")</f>
        <v>ANADIASDEANDRADESOUZA@GMAIL.COM</v>
      </c>
      <c r="O301" s="29">
        <f>IFERROR(__xludf.DUMMYFUNCTION("""COMPUTED_VALUE"""),3219386407)</f>
        <v>3219386407</v>
      </c>
      <c r="P301" s="30" t="str">
        <f>IFERROR(__xludf.DUMMYFUNCTION("""COMPUTED_VALUE"""),"206790185780003	")</f>
        <v>206790185780003	</v>
      </c>
      <c r="Q301" s="30" t="str">
        <f>IFERROR(__xludf.DUMMYFUNCTION("""COMPUTED_VALUE"""),"3006468")</f>
        <v>3006468</v>
      </c>
      <c r="R301" s="30" t="str">
        <f>IFERROR(__xludf.DUMMYFUNCTION("""COMPUTED_VALUE"""),"0001773623")</f>
        <v>0001773623</v>
      </c>
      <c r="S301" s="30" t="str">
        <f>IFERROR(__xludf.DUMMYFUNCTION("""COMPUTED_VALUE"""),"1")</f>
        <v>1</v>
      </c>
      <c r="T301" s="30" t="str">
        <f>IFERROR(__xludf.DUMMYFUNCTION("""COMPUTED_VALUE"""),"223293")</f>
        <v>223293</v>
      </c>
      <c r="U301" s="31">
        <f>IFERROR(__xludf.DUMMYFUNCTION("""COMPUTED_VALUE"""),2232)</f>
        <v>2232</v>
      </c>
      <c r="V301" s="11"/>
      <c r="W301" s="11"/>
      <c r="X301" s="11"/>
      <c r="Y301" s="11"/>
      <c r="Z301" s="11"/>
    </row>
    <row r="302" customHeight="1" spans="1:26">
      <c r="A302" s="11" t="str">
        <f>IFERROR(__xludf.DUMMYFUNCTION("""COMPUTED_VALUE"""),"FLAVIA ROBERTA SOBRAL LINS")</f>
        <v>FLAVIA ROBERTA SOBRAL LINS</v>
      </c>
      <c r="B302" s="11"/>
      <c r="C302" s="11"/>
      <c r="D302" s="11" t="str">
        <f>IFERROR(__xludf.DUMMYFUNCTION("""COMPUTED_VALUE"""),"Médica eSF")</f>
        <v>Médica eSF</v>
      </c>
      <c r="E302" s="11" t="str">
        <f>IFERROR(__xludf.DUMMYFUNCTION("""COMPUTED_VALUE"""),"VIII")</f>
        <v>VIII</v>
      </c>
      <c r="F302" s="11" t="str">
        <f>IFERROR(__xludf.DUMMYFUNCTION("""COMPUTED_VALUE"""),"US_267 USF UR 2 / JANE MAGALHAES")</f>
        <v>US_267 USF UR 2 / JANE MAGALHAES</v>
      </c>
      <c r="G302" s="11" t="str">
        <f>IFERROR(__xludf.DUMMYFUNCTION("""COMPUTED_VALUE"""),"US 267 USF UR 2")</f>
        <v>US 267 USF UR 2</v>
      </c>
      <c r="H302" s="27">
        <f>IFERROR(__xludf.DUMMYFUNCTION("""COMPUTED_VALUE"""),81991015949)</f>
        <v>81991015949</v>
      </c>
      <c r="I302" s="27">
        <f>IFERROR(__xludf.DUMMYFUNCTION("""COMPUTED_VALUE"""),81987851336)</f>
        <v>81987851336</v>
      </c>
      <c r="J302" s="11"/>
      <c r="K302" s="11"/>
      <c r="L302" s="11"/>
      <c r="M302" s="28" t="str">
        <f>IFERROR(__xludf.DUMMYFUNCTION("""COMPUTED_VALUE"""),"3355-6239")</f>
        <v>3355-6239</v>
      </c>
      <c r="N302" s="11" t="str">
        <f>IFERROR(__xludf.DUMMYFUNCTION("""COMPUTED_VALUE"""),"roberta.sob@hotmail.com")</f>
        <v>roberta.sob@hotmail.com</v>
      </c>
      <c r="O302" s="29">
        <f>IFERROR(__xludf.DUMMYFUNCTION("""COMPUTED_VALUE"""),75500906704)</f>
        <v>75500906704</v>
      </c>
      <c r="P302" s="30" t="str">
        <f>IFERROR(__xludf.DUMMYFUNCTION("""COMPUTED_VALUE"""),"124828412770001")</f>
        <v>124828412770001</v>
      </c>
      <c r="Q302" s="30" t="str">
        <f>IFERROR(__xludf.DUMMYFUNCTION("""COMPUTED_VALUE"""),"0026352")</f>
        <v>0026352</v>
      </c>
      <c r="R302" s="30" t="str">
        <f>IFERROR(__xludf.DUMMYFUNCTION("""COMPUTED_VALUE"""),"0000154334")</f>
        <v>0000154334</v>
      </c>
      <c r="S302" s="30" t="str">
        <f>IFERROR(__xludf.DUMMYFUNCTION("""COMPUTED_VALUE"""),"1")</f>
        <v>1</v>
      </c>
      <c r="T302" s="30" t="str">
        <f>IFERROR(__xludf.DUMMYFUNCTION("""COMPUTED_VALUE"""),"225142")</f>
        <v>225142</v>
      </c>
      <c r="U302" s="31" t="str">
        <f>IFERROR(__xludf.DUMMYFUNCTION("""COMPUTED_VALUE"""),"2251")</f>
        <v>2251</v>
      </c>
      <c r="V302" s="11"/>
      <c r="W302" s="11"/>
      <c r="X302" s="11" t="str">
        <f>IFERROR(__xludf.DUMMYFUNCTION("""COMPUTED_VALUE"""),"#N/A")</f>
        <v>#N/A</v>
      </c>
      <c r="Y302" s="11" t="str">
        <f>IFERROR(__xludf.DUMMYFUNCTION("""COMPUTED_VALUE"""),"#N/A")</f>
        <v>#N/A</v>
      </c>
      <c r="Z302" s="11" t="str">
        <f>IFERROR(__xludf.DUMMYFUNCTION("""COMPUTED_VALUE"""),"#N/A")</f>
        <v>#N/A</v>
      </c>
    </row>
    <row r="303" customHeight="1" spans="1:26">
      <c r="A303" s="11" t="str">
        <f>IFERROR(__xludf.DUMMYFUNCTION("""COMPUTED_VALUE"""),"ISABELA DIAS RIBEIRO")</f>
        <v>ISABELA DIAS RIBEIRO</v>
      </c>
      <c r="B303" s="11"/>
      <c r="C303" s="11"/>
      <c r="D303" s="11" t="str">
        <f>IFERROR(__xludf.DUMMYFUNCTION("""COMPUTED_VALUE"""),"Enfermeira eSF")</f>
        <v>Enfermeira eSF</v>
      </c>
      <c r="E303" s="11" t="str">
        <f>IFERROR(__xludf.DUMMYFUNCTION("""COMPUTED_VALUE"""),"VIII")</f>
        <v>VIII</v>
      </c>
      <c r="F303" s="11" t="str">
        <f>IFERROR(__xludf.DUMMYFUNCTION("""COMPUTED_VALUE"""),"US_228 USF UPINHA DIA DES JOSE MANOEL DE FREITAS UR 4UR 5")</f>
        <v>US_228 USF UPINHA DIA DES JOSE MANOEL DE FREITAS UR 4UR 5</v>
      </c>
      <c r="G303" s="11" t="str">
        <f>IFERROR(__xludf.DUMMYFUNCTION("""COMPUTED_VALUE"""),"US 281 USF VILA DOS MILAGRES")</f>
        <v>US 281 USF VILA DOS MILAGRES</v>
      </c>
      <c r="H303" s="27">
        <f>IFERROR(__xludf.DUMMYFUNCTION("""COMPUTED_VALUE"""),81991016255)</f>
        <v>81991016255</v>
      </c>
      <c r="I303" s="11"/>
      <c r="J303" s="11"/>
      <c r="K303" s="11"/>
      <c r="L303" s="11"/>
      <c r="M303" s="28" t="str">
        <f>IFERROR(__xludf.DUMMYFUNCTION("""COMPUTED_VALUE"""),"3355-6251")</f>
        <v>3355-6251</v>
      </c>
      <c r="N303" s="11" t="str">
        <f>IFERROR(__xludf.DUMMYFUNCTION("""COMPUTED_VALUE"""),"isadias23@hotmail.com")</f>
        <v>isadias23@hotmail.com</v>
      </c>
      <c r="O303" s="29">
        <f>IFERROR(__xludf.DUMMYFUNCTION("""COMPUTED_VALUE"""),3663912400)</f>
        <v>3663912400</v>
      </c>
      <c r="P303" s="30" t="str">
        <f>IFERROR(__xludf.DUMMYFUNCTION("""COMPUTED_VALUE"""),"207429068970018")</f>
        <v>207429068970018</v>
      </c>
      <c r="Q303" s="30" t="str">
        <f>IFERROR(__xludf.DUMMYFUNCTION("""COMPUTED_VALUE"""),"0029041")</f>
        <v>0029041</v>
      </c>
      <c r="R303" s="30" t="str">
        <f>IFERROR(__xludf.DUMMYFUNCTION("""COMPUTED_VALUE"""),"0000154636")</f>
        <v>0000154636</v>
      </c>
      <c r="S303" s="30" t="str">
        <f>IFERROR(__xludf.DUMMYFUNCTION("""COMPUTED_VALUE"""),"1")</f>
        <v>1</v>
      </c>
      <c r="T303" s="30" t="str">
        <f>IFERROR(__xludf.DUMMYFUNCTION("""COMPUTED_VALUE"""),"223565")</f>
        <v>223565</v>
      </c>
      <c r="U303" s="31" t="str">
        <f>IFERROR(__xludf.DUMMYFUNCTION("""COMPUTED_VALUE"""),"2235")</f>
        <v>2235</v>
      </c>
      <c r="V303" s="11"/>
      <c r="W303" s="11">
        <f>IFERROR(__xludf.DUMMYFUNCTION("""COMPUTED_VALUE"""),8191016255)</f>
        <v>8191016255</v>
      </c>
      <c r="X303" s="11">
        <f>IFERROR(__xludf.DUMMYFUNCTION("""COMPUTED_VALUE"""),8132424574)</f>
        <v>8132424574</v>
      </c>
      <c r="Y303" s="11">
        <f>IFERROR(__xludf.DUMMYFUNCTION("""COMPUTED_VALUE"""),3663912400)</f>
        <v>3663912400</v>
      </c>
      <c r="Z303" s="11"/>
    </row>
    <row r="304" customHeight="1" spans="1:26">
      <c r="A304" s="11" t="str">
        <f>IFERROR(__xludf.DUMMYFUNCTION("""COMPUTED_VALUE"""),"SYLVIA ANDREA FERREIRA FERRE")</f>
        <v>SYLVIA ANDREA FERREIRA FERRE</v>
      </c>
      <c r="B304" s="11"/>
      <c r="C304" s="11"/>
      <c r="D304" s="11" t="str">
        <f>IFERROR(__xludf.DUMMYFUNCTION("""COMPUTED_VALUE"""),"Médica eSF")</f>
        <v>Médica eSF</v>
      </c>
      <c r="E304" s="11" t="str">
        <f>IFERROR(__xludf.DUMMYFUNCTION("""COMPUTED_VALUE"""),"VIII")</f>
        <v>VIII</v>
      </c>
      <c r="F304" s="11" t="str">
        <f>IFERROR(__xludf.DUMMYFUNCTION("""COMPUTED_VALUE"""),"US_228 USF UPINHA DIA DES JOSE MANOEL DE FREITAS UR 4UR 5")</f>
        <v>US_228 USF UPINHA DIA DES JOSE MANOEL DE FREITAS UR 4UR 5</v>
      </c>
      <c r="G304" s="11" t="str">
        <f>IFERROR(__xludf.DUMMYFUNCTION("""COMPUTED_VALUE"""),"US 104 CS SEBASTIAO IVO RABELO")</f>
        <v>US 104 CS SEBASTIAO IVO RABELO</v>
      </c>
      <c r="H304" s="27">
        <f>IFERROR(__xludf.DUMMYFUNCTION("""COMPUTED_VALUE"""),81996074504)</f>
        <v>81996074504</v>
      </c>
      <c r="I304" s="11"/>
      <c r="J304" s="11"/>
      <c r="K304" s="11"/>
      <c r="L304" s="11"/>
      <c r="M304" s="28" t="str">
        <f>IFERROR(__xludf.DUMMYFUNCTION("""COMPUTED_VALUE"""),"3355-6166")</f>
        <v>3355-6166</v>
      </c>
      <c r="N304" s="11" t="str">
        <f>IFERROR(__xludf.DUMMYFUNCTION("""COMPUTED_VALUE"""),"saslaranjeira@uol.com.br")</f>
        <v>saslaranjeira@uol.com.br</v>
      </c>
      <c r="O304" s="29">
        <f>IFERROR(__xludf.DUMMYFUNCTION("""COMPUTED_VALUE"""),76515702434)</f>
        <v>76515702434</v>
      </c>
      <c r="P304" s="30" t="str">
        <f>IFERROR(__xludf.DUMMYFUNCTION("""COMPUTED_VALUE"""),"980016003824021")</f>
        <v>980016003824021</v>
      </c>
      <c r="Q304" s="30" t="str">
        <f>IFERROR(__xludf.DUMMYFUNCTION("""COMPUTED_VALUE"""),"0022454")</f>
        <v>0022454</v>
      </c>
      <c r="R304" s="30" t="str">
        <f>IFERROR(__xludf.DUMMYFUNCTION("""COMPUTED_VALUE"""),"0000145068")</f>
        <v>0000145068</v>
      </c>
      <c r="S304" s="30" t="str">
        <f>IFERROR(__xludf.DUMMYFUNCTION("""COMPUTED_VALUE"""),"1")</f>
        <v>1</v>
      </c>
      <c r="T304" s="30" t="str">
        <f>IFERROR(__xludf.DUMMYFUNCTION("""COMPUTED_VALUE"""),"225142")</f>
        <v>225142</v>
      </c>
      <c r="U304" s="31" t="str">
        <f>IFERROR(__xludf.DUMMYFUNCTION("""COMPUTED_VALUE"""),"2251")</f>
        <v>2251</v>
      </c>
      <c r="V304" s="11"/>
      <c r="W304" s="11"/>
      <c r="X304" s="11">
        <f>IFERROR(__xludf.DUMMYFUNCTION("""COMPUTED_VALUE"""),8133551962)</f>
        <v>8133551962</v>
      </c>
      <c r="Y304" s="11"/>
      <c r="Z304" s="11">
        <f>IFERROR(__xludf.DUMMYFUNCTION("""COMPUTED_VALUE"""),76515702434)</f>
        <v>76515702434</v>
      </c>
    </row>
    <row r="305" customHeight="1" spans="1:26">
      <c r="A305" s="11" t="str">
        <f>IFERROR(__xludf.DUMMYFUNCTION("""COMPUTED_VALUE"""),"CARMEN SIMONE DA GAMA SILVA")</f>
        <v>CARMEN SIMONE DA GAMA SILVA</v>
      </c>
      <c r="B305" s="11"/>
      <c r="C305" s="11"/>
      <c r="D305" s="11" t="str">
        <f>IFERROR(__xludf.DUMMYFUNCTION("""COMPUTED_VALUE"""),"Enfermeira eSF")</f>
        <v>Enfermeira eSF</v>
      </c>
      <c r="E305" s="11" t="str">
        <f>IFERROR(__xludf.DUMMYFUNCTION("""COMPUTED_VALUE"""),"V")</f>
        <v>V</v>
      </c>
      <c r="F305" s="11" t="str">
        <f>IFERROR(__xludf.DUMMYFUNCTION("""COMPUTED_VALUE"""),"US_301 USF BONGI BOA IDEIA")</f>
        <v>US_301 USF BONGI BOA IDEIA</v>
      </c>
      <c r="G305" s="11" t="str">
        <f>IFERROR(__xludf.DUMMYFUNCTION("""COMPUTED_VALUE"""),"US 301 USF BONGI BOA IDEIA")</f>
        <v>US 301 USF BONGI BOA IDEIA</v>
      </c>
      <c r="H305" s="27">
        <f>IFERROR(__xludf.DUMMYFUNCTION("""COMPUTED_VALUE"""),81996753096)</f>
        <v>81996753096</v>
      </c>
      <c r="I305" s="11"/>
      <c r="J305" s="11"/>
      <c r="K305" s="11"/>
      <c r="L305" s="11"/>
      <c r="M305" s="28" t="str">
        <f>IFERROR(__xludf.DUMMYFUNCTION("""COMPUTED_VALUE"""),"3355-4636")</f>
        <v>3355-4636</v>
      </c>
      <c r="N305" s="30" t="str">
        <f>IFERROR(__xludf.DUMMYFUNCTION("""COMPUTED_VALUE"""),"gamasilvac@gmail.com")</f>
        <v>gamasilvac@gmail.com</v>
      </c>
      <c r="O305" s="29">
        <f>IFERROR(__xludf.DUMMYFUNCTION("""COMPUTED_VALUE"""),89274512449)</f>
        <v>89274512449</v>
      </c>
      <c r="P305" s="30" t="str">
        <f>IFERROR(__xludf.DUMMYFUNCTION("""COMPUTED_VALUE"""),"204324258900004")</f>
        <v>204324258900004</v>
      </c>
      <c r="Q305" s="30" t="str">
        <f>IFERROR(__xludf.DUMMYFUNCTION("""COMPUTED_VALUE"""),"3131572")</f>
        <v>3131572</v>
      </c>
      <c r="R305" s="30" t="str">
        <f>IFERROR(__xludf.DUMMYFUNCTION("""COMPUTED_VALUE"""),"0000155055")</f>
        <v>0000155055</v>
      </c>
      <c r="S305" s="30" t="str">
        <f>IFERROR(__xludf.DUMMYFUNCTION("""COMPUTED_VALUE"""),"1")</f>
        <v>1</v>
      </c>
      <c r="T305" s="30" t="str">
        <f>IFERROR(__xludf.DUMMYFUNCTION("""COMPUTED_VALUE"""),"223565")</f>
        <v>223565</v>
      </c>
      <c r="U305" s="31" t="str">
        <f>IFERROR(__xludf.DUMMYFUNCTION("""COMPUTED_VALUE"""),"2235")</f>
        <v>2235</v>
      </c>
      <c r="V305" s="11"/>
      <c r="W305" s="11">
        <f>IFERROR(__xludf.DUMMYFUNCTION("""COMPUTED_VALUE"""),96753096)</f>
        <v>96753096</v>
      </c>
      <c r="X305" s="11"/>
      <c r="Y305" s="11">
        <f>IFERROR(__xludf.DUMMYFUNCTION("""COMPUTED_VALUE"""),89274512449)</f>
        <v>89274512449</v>
      </c>
      <c r="Z305" s="11"/>
    </row>
    <row r="306" customHeight="1" spans="1:26">
      <c r="A306" s="11" t="str">
        <f>IFERROR(__xludf.DUMMYFUNCTION("""COMPUTED_VALUE"""),"TERTULIANO RODRIGUES FERREIRA DA SILVA")</f>
        <v>TERTULIANO RODRIGUES FERREIRA DA SILVA</v>
      </c>
      <c r="B306" s="11"/>
      <c r="C306" s="11"/>
      <c r="D306" s="11" t="str">
        <f>IFERROR(__xludf.DUMMYFUNCTION("""COMPUTED_VALUE"""),"Médico eSF")</f>
        <v>Médico eSF</v>
      </c>
      <c r="E306" s="11" t="str">
        <f>IFERROR(__xludf.DUMMYFUNCTION("""COMPUTED_VALUE"""),"V")</f>
        <v>V</v>
      </c>
      <c r="F306" s="11" t="str">
        <f>IFERROR(__xludf.DUMMYFUNCTION("""COMPUTED_VALUE"""),"US_300 USF DR GERALDO BARRETO CAMPELO SAN MARTIN")</f>
        <v>US_300 USF DR GERALDO BARRETO CAMPELO SAN MARTIN</v>
      </c>
      <c r="G306" s="11" t="str">
        <f>IFERROR(__xludf.DUMMYFUNCTION("""COMPUTED_VALUE"""),"US 300 USF DR GERALDO BARRETO CAMPELO SAN MARTIN")</f>
        <v>US 300 USF DR GERALDO BARRETO CAMPELO SAN MARTIN</v>
      </c>
      <c r="H306" s="27">
        <f>IFERROR(__xludf.DUMMYFUNCTION("""COMPUTED_VALUE"""),81992065174)</f>
        <v>81992065174</v>
      </c>
      <c r="I306" s="11"/>
      <c r="J306" s="11"/>
      <c r="K306" s="11"/>
      <c r="L306" s="11"/>
      <c r="M306" s="28" t="str">
        <f>IFERROR(__xludf.DUMMYFUNCTION("""COMPUTED_VALUE"""),"3355-6126")</f>
        <v>3355-6126</v>
      </c>
      <c r="N306" s="11" t="str">
        <f>IFERROR(__xludf.DUMMYFUNCTION("""COMPUTED_VALUE"""),"tertulianorodrigues@hotmail.com")</f>
        <v>tertulianorodrigues@hotmail.com</v>
      </c>
      <c r="O306" s="29">
        <f>IFERROR(__xludf.DUMMYFUNCTION("""COMPUTED_VALUE"""),38906511787)</f>
        <v>38906511787</v>
      </c>
      <c r="P306" s="30" t="str">
        <f>IFERROR(__xludf.DUMMYFUNCTION("""COMPUTED_VALUE"""),"204324422990007")</f>
        <v>204324422990007</v>
      </c>
      <c r="Q306" s="30" t="str">
        <f>IFERROR(__xludf.DUMMYFUNCTION("""COMPUTED_VALUE"""),"3131521")</f>
        <v>3131521</v>
      </c>
      <c r="R306" s="30" t="str">
        <f>IFERROR(__xludf.DUMMYFUNCTION("""COMPUTED_VALUE"""),"0000155012")</f>
        <v>0000155012</v>
      </c>
      <c r="S306" s="30" t="str">
        <f>IFERROR(__xludf.DUMMYFUNCTION("""COMPUTED_VALUE"""),"1")</f>
        <v>1</v>
      </c>
      <c r="T306" s="30" t="str">
        <f>IFERROR(__xludf.DUMMYFUNCTION("""COMPUTED_VALUE"""),"225142")</f>
        <v>225142</v>
      </c>
      <c r="U306" s="31" t="str">
        <f>IFERROR(__xludf.DUMMYFUNCTION("""COMPUTED_VALUE"""),"2251")</f>
        <v>2251</v>
      </c>
      <c r="V306" s="11" t="str">
        <f>IFERROR(__xludf.DUMMYFUNCTION("""COMPUTED_VALUE"""),"SIM")</f>
        <v>SIM</v>
      </c>
      <c r="W306" s="11"/>
      <c r="X306" s="11">
        <f>IFERROR(__xludf.DUMMYFUNCTION("""COMPUTED_VALUE"""),8192065174)</f>
        <v>8192065174</v>
      </c>
      <c r="Y306" s="11"/>
      <c r="Z306" s="11">
        <f>IFERROR(__xludf.DUMMYFUNCTION("""COMPUTED_VALUE"""),38906511787)</f>
        <v>38906511787</v>
      </c>
    </row>
    <row r="307" customHeight="1" spans="1:26">
      <c r="A307" s="11" t="str">
        <f>IFERROR(__xludf.DUMMYFUNCTION("""COMPUTED_VALUE"""),"CLARISSA ROBERTA AZEDO FALCAO")</f>
        <v>CLARISSA ROBERTA AZEDO FALCAO</v>
      </c>
      <c r="B307" s="11"/>
      <c r="C307" s="11"/>
      <c r="D307" s="11" t="str">
        <f>IFERROR(__xludf.DUMMYFUNCTION("""COMPUTED_VALUE"""),"Enfermeira e SF")</f>
        <v>Enfermeira e SF</v>
      </c>
      <c r="E307" s="11" t="str">
        <f>IFERROR(__xludf.DUMMYFUNCTION("""COMPUTED_VALUE"""),"II")</f>
        <v>II</v>
      </c>
      <c r="F307" s="11" t="str">
        <f>IFERROR(__xludf.DUMMYFUNCTION("""COMPUTED_VALUE"""),"US_339 USF ALTO DO CAPITAO	")</f>
        <v>US_339 USF ALTO DO CAPITAO	</v>
      </c>
      <c r="G307" s="11" t="str">
        <f>IFERROR(__xludf.DUMMYFUNCTION("""COMPUTED_VALUE"""),"US 339 USF ALTO DO CAPITAO")</f>
        <v>US 339 USF ALTO DO CAPITAO</v>
      </c>
      <c r="H307" s="27">
        <f>IFERROR(__xludf.DUMMYFUNCTION("""COMPUTED_VALUE"""),81988083240)</f>
        <v>81988083240</v>
      </c>
      <c r="I307" s="11"/>
      <c r="J307" s="11"/>
      <c r="K307" s="11"/>
      <c r="L307" s="11"/>
      <c r="M307" s="28" t="str">
        <f>IFERROR(__xludf.DUMMYFUNCTION("""COMPUTED_VALUE"""),"3355-6922")</f>
        <v>3355-6922</v>
      </c>
      <c r="N307" s="11" t="str">
        <f>IFERROR(__xludf.DUMMYFUNCTION("""COMPUTED_VALUE"""),"clarissa.falcao@hotmail.com / clarissa_falcao@hotmail.com")</f>
        <v>clarissa.falcao@hotmail.com / clarissa_falcao@hotmail.com</v>
      </c>
      <c r="O307" s="29">
        <f>IFERROR(__xludf.DUMMYFUNCTION("""COMPUTED_VALUE"""),3024124411)</f>
        <v>3024124411</v>
      </c>
      <c r="P307" s="30" t="str">
        <f>IFERROR(__xludf.DUMMYFUNCTION("""COMPUTED_VALUE"""),"132753114590002")</f>
        <v>132753114590002</v>
      </c>
      <c r="Q307" s="30" t="str">
        <f>IFERROR(__xludf.DUMMYFUNCTION("""COMPUTED_VALUE"""),"5356881")</f>
        <v>5356881</v>
      </c>
      <c r="R307" s="30" t="str">
        <f>IFERROR(__xludf.DUMMYFUNCTION("""COMPUTED_VALUE"""),"0000155837")</f>
        <v>0000155837</v>
      </c>
      <c r="S307" s="30" t="str">
        <f>IFERROR(__xludf.DUMMYFUNCTION("""COMPUTED_VALUE"""),"1")</f>
        <v>1</v>
      </c>
      <c r="T307" s="30" t="str">
        <f>IFERROR(__xludf.DUMMYFUNCTION("""COMPUTED_VALUE"""),"223505")</f>
        <v>223505</v>
      </c>
      <c r="U307" s="31" t="str">
        <f>IFERROR(__xludf.DUMMYFUNCTION("""COMPUTED_VALUE"""),"2235")</f>
        <v>2235</v>
      </c>
      <c r="V307" s="11"/>
      <c r="W307" s="11">
        <f>IFERROR(__xludf.DUMMYFUNCTION("""COMPUTED_VALUE"""),88083240)</f>
        <v>88083240</v>
      </c>
      <c r="X307" s="11">
        <f>IFERROR(__xludf.DUMMYFUNCTION("""COMPUTED_VALUE"""),97821563)</f>
        <v>97821563</v>
      </c>
      <c r="Y307" s="11">
        <f>IFERROR(__xludf.DUMMYFUNCTION("""COMPUTED_VALUE"""),3024124411)</f>
        <v>3024124411</v>
      </c>
      <c r="Z307" s="11"/>
    </row>
    <row r="308" customHeight="1" spans="1:26">
      <c r="A308" s="11" t="str">
        <f>IFERROR(__xludf.DUMMYFUNCTION("""COMPUTED_VALUE"""),"ERIKA RIBEIRO LEAO BEZERRA")</f>
        <v>ERIKA RIBEIRO LEAO BEZERRA</v>
      </c>
      <c r="B308" s="11"/>
      <c r="C308" s="11"/>
      <c r="D308" s="11" t="str">
        <f>IFERROR(__xludf.DUMMYFUNCTION("""COMPUTED_VALUE"""),"Médica eSF")</f>
        <v>Médica eSF</v>
      </c>
      <c r="E308" s="11" t="str">
        <f>IFERROR(__xludf.DUMMYFUNCTION("""COMPUTED_VALUE"""),"VII")</f>
        <v>VII</v>
      </c>
      <c r="F308" s="11" t="str">
        <f>IFERROR(__xludf.DUMMYFUNCTION("""COMPUTED_VALUE"""),"US_324 USF ALTO JOSE BONIFACIO / ALCIDES CODECEIRA")</f>
        <v>US_324 USF ALTO JOSE BONIFACIO / ALCIDES CODECEIRA</v>
      </c>
      <c r="G308" s="11" t="str">
        <f>IFERROR(__xludf.DUMMYFUNCTION("""COMPUTED_VALUE"""),"US 324 USF ALTO JOSE BONIFACIO")</f>
        <v>US 324 USF ALTO JOSE BONIFACIO</v>
      </c>
      <c r="H308" s="27">
        <f>IFERROR(__xludf.DUMMYFUNCTION("""COMPUTED_VALUE"""),81991282544)</f>
        <v>81991282544</v>
      </c>
      <c r="I308" s="11"/>
      <c r="J308" s="11"/>
      <c r="K308" s="11"/>
      <c r="L308" s="11"/>
      <c r="M308" s="28" t="str">
        <f>IFERROR(__xludf.DUMMYFUNCTION("""COMPUTED_VALUE"""),"3355-6074")</f>
        <v>3355-6074</v>
      </c>
      <c r="N308" s="11" t="str">
        <f>IFERROR(__xludf.DUMMYFUNCTION("""COMPUTED_VALUE"""),"erikarlb@yahoo.com.br")</f>
        <v>erikarlb@yahoo.com.br</v>
      </c>
      <c r="O308" s="29">
        <f>IFERROR(__xludf.DUMMYFUNCTION("""COMPUTED_VALUE"""),5839155403)</f>
        <v>5839155403</v>
      </c>
      <c r="P308" s="30" t="str">
        <f>IFERROR(__xludf.DUMMYFUNCTION("""COMPUTED_VALUE"""),"708609502804087")</f>
        <v>708609502804087</v>
      </c>
      <c r="Q308" s="30" t="str">
        <f>IFERROR(__xludf.DUMMYFUNCTION("""COMPUTED_VALUE"""),"3371336")</f>
        <v>3371336</v>
      </c>
      <c r="R308" s="30" t="str">
        <f>IFERROR(__xludf.DUMMYFUNCTION("""COMPUTED_VALUE"""),"0000155357")</f>
        <v>0000155357</v>
      </c>
      <c r="S308" s="30" t="str">
        <f>IFERROR(__xludf.DUMMYFUNCTION("""COMPUTED_VALUE"""),"1")</f>
        <v>1</v>
      </c>
      <c r="T308" s="30" t="str">
        <f>IFERROR(__xludf.DUMMYFUNCTION("""COMPUTED_VALUE"""),"225142")</f>
        <v>225142</v>
      </c>
      <c r="U308" s="31" t="str">
        <f>IFERROR(__xludf.DUMMYFUNCTION("""COMPUTED_VALUE"""),"2251")</f>
        <v>2251</v>
      </c>
      <c r="V308" s="11" t="str">
        <f>IFERROR(__xludf.DUMMYFUNCTION("""COMPUTED_VALUE"""),"SIM")</f>
        <v>SIM</v>
      </c>
      <c r="W308" s="11"/>
      <c r="X308" s="11" t="str">
        <f>IFERROR(__xludf.DUMMYFUNCTION("""COMPUTED_VALUE"""),"#N/A")</f>
        <v>#N/A</v>
      </c>
      <c r="Y308" s="11" t="str">
        <f>IFERROR(__xludf.DUMMYFUNCTION("""COMPUTED_VALUE"""),"#N/A")</f>
        <v>#N/A</v>
      </c>
      <c r="Z308" s="11" t="str">
        <f>IFERROR(__xludf.DUMMYFUNCTION("""COMPUTED_VALUE"""),"#N/A")</f>
        <v>#N/A</v>
      </c>
    </row>
    <row r="309" customHeight="1" spans="1:26">
      <c r="A309" s="11" t="str">
        <f>IFERROR(__xludf.DUMMYFUNCTION("""COMPUTED_VALUE"""),"GABRIELLE RIBEIRO SENA")</f>
        <v>GABRIELLE RIBEIRO SENA</v>
      </c>
      <c r="B309" s="11"/>
      <c r="C309" s="11"/>
      <c r="D309" s="11" t="str">
        <f>IFERROR(__xludf.DUMMYFUNCTION("""COMPUTED_VALUE"""),"Médica Clínica")</f>
        <v>Médica Clínica</v>
      </c>
      <c r="E309" s="11" t="str">
        <f>IFERROR(__xludf.DUMMYFUNCTION("""COMPUTED_VALUE"""),"II")</f>
        <v>II</v>
      </c>
      <c r="F309" s="11" t="str">
        <f>IFERROR(__xludf.DUMMYFUNCTION("""COMPUTED_VALUE"""),"US_395 USF UPINHA 24H DR FERNANDA WANDERLEY")</f>
        <v>US_395 USF UPINHA 24H DR FERNANDA WANDERLEY</v>
      </c>
      <c r="G309" s="11" t="str">
        <f>IFERROR(__xludf.DUMMYFUNCTION("""COMPUTED_VALUE"""),"US 395 USF UPINHA DIA DRA FERNANDA WANDERLEY")</f>
        <v>US 395 USF UPINHA DIA DRA FERNANDA WANDERLEY</v>
      </c>
      <c r="H309" s="27">
        <f>IFERROR(__xludf.DUMMYFUNCTION("""COMPUTED_VALUE"""),81996070038)</f>
        <v>81996070038</v>
      </c>
      <c r="I309" s="11"/>
      <c r="J309" s="11"/>
      <c r="K309" s="11"/>
      <c r="L309" s="11"/>
      <c r="M309" s="11"/>
      <c r="N309" s="11" t="str">
        <f>IFERROR(__xludf.DUMMYFUNCTION("""COMPUTED_VALUE"""),"gabriellesena8@gmail.com")</f>
        <v>gabriellesena8@gmail.com</v>
      </c>
      <c r="O309" s="29">
        <f>IFERROR(__xludf.DUMMYFUNCTION("""COMPUTED_VALUE"""),4916756401)</f>
        <v>4916756401</v>
      </c>
      <c r="P309" s="30" t="str">
        <f>IFERROR(__xludf.DUMMYFUNCTION("""COMPUTED_VALUE"""),"706702513669611")</f>
        <v>706702513669611</v>
      </c>
      <c r="Q309" s="30" t="str">
        <f>IFERROR(__xludf.DUMMYFUNCTION("""COMPUTED_VALUE"""),"7946651")</f>
        <v>7946651</v>
      </c>
      <c r="R309" s="11"/>
      <c r="S309" s="30" t="str">
        <f>IFERROR(__xludf.DUMMYFUNCTION("""COMPUTED_VALUE"""),"1")</f>
        <v>1</v>
      </c>
      <c r="T309" s="30" t="str">
        <f>IFERROR(__xludf.DUMMYFUNCTION("""COMPUTED_VALUE"""),"225125")</f>
        <v>225125</v>
      </c>
      <c r="U309" s="11">
        <f>IFERROR(__xludf.DUMMYFUNCTION("""COMPUTED_VALUE"""),2251)</f>
        <v>2251</v>
      </c>
      <c r="V309" s="11" t="str">
        <f>IFERROR(__xludf.DUMMYFUNCTION("""COMPUTED_VALUE"""),"SIM")</f>
        <v>SIM</v>
      </c>
      <c r="W309" s="11"/>
      <c r="X309" s="11" t="str">
        <f>IFERROR(__xludf.DUMMYFUNCTION("""COMPUTED_VALUE"""),"#N/A")</f>
        <v>#N/A</v>
      </c>
      <c r="Y309" s="11" t="str">
        <f>IFERROR(__xludf.DUMMYFUNCTION("""COMPUTED_VALUE"""),"#N/A")</f>
        <v>#N/A</v>
      </c>
      <c r="Z309" s="11" t="str">
        <f>IFERROR(__xludf.DUMMYFUNCTION("""COMPUTED_VALUE"""),"#N/A")</f>
        <v>#N/A</v>
      </c>
    </row>
    <row r="310" customHeight="1" spans="1:26">
      <c r="A310" s="11" t="str">
        <f>IFERROR(__xludf.DUMMYFUNCTION("""COMPUTED_VALUE"""),"MARIA DAS GRACAS A LOURENCO")</f>
        <v>MARIA DAS GRACAS A LOURENCO</v>
      </c>
      <c r="B310" s="11"/>
      <c r="C310" s="11"/>
      <c r="D310" s="11" t="str">
        <f>IFERROR(__xludf.DUMMYFUNCTION("""COMPUTED_VALUE"""),"Dentista")</f>
        <v>Dentista</v>
      </c>
      <c r="E310" s="11" t="str">
        <f>IFERROR(__xludf.DUMMYFUNCTION("""COMPUTED_VALUE"""),"III")</f>
        <v>III</v>
      </c>
      <c r="F310" s="11" t="str">
        <f>IFERROR(__xludf.DUMMYFUNCTION("""COMPUTED_VALUE"""),"US_336 USF UNIAO DAS VILAS	")</f>
        <v>US_336 USF UNIAO DAS VILAS	</v>
      </c>
      <c r="G310" s="11" t="str">
        <f>IFERROR(__xludf.DUMMYFUNCTION("""COMPUTED_VALUE"""),"US 336 USF UNIAO DAS VILAS")</f>
        <v>US 336 USF UNIAO DAS VILAS</v>
      </c>
      <c r="H310" s="27">
        <f>IFERROR(__xludf.DUMMYFUNCTION("""COMPUTED_VALUE"""),81995457303)</f>
        <v>81995457303</v>
      </c>
      <c r="I310" s="11"/>
      <c r="J310" s="11"/>
      <c r="K310" s="11"/>
      <c r="L310" s="11"/>
      <c r="M310" s="28" t="str">
        <f>IFERROR(__xludf.DUMMYFUNCTION("""COMPUTED_VALUE"""),"3355-6134")</f>
        <v>3355-6134</v>
      </c>
      <c r="N310" s="11" t="str">
        <f>IFERROR(__xludf.DUMMYFUNCTION("""COMPUTED_VALUE"""),"mgracalou@hotmail.com")</f>
        <v>mgracalou@hotmail.com</v>
      </c>
      <c r="O310" s="29">
        <f>IFERROR(__xludf.DUMMYFUNCTION("""COMPUTED_VALUE"""),50786466472)</f>
        <v>50786466472</v>
      </c>
      <c r="P310" s="30" t="str">
        <f>IFERROR(__xludf.DUMMYFUNCTION("""COMPUTED_VALUE"""),"980016289564442")</f>
        <v>980016289564442</v>
      </c>
      <c r="Q310" s="30" t="str">
        <f>IFERROR(__xludf.DUMMYFUNCTION("""COMPUTED_VALUE"""),"5139155")</f>
        <v>5139155</v>
      </c>
      <c r="R310" s="30" t="str">
        <f>IFERROR(__xludf.DUMMYFUNCTION("""COMPUTED_VALUE"""),"0001756028	")</f>
        <v>0001756028	</v>
      </c>
      <c r="S310" s="30" t="str">
        <f>IFERROR(__xludf.DUMMYFUNCTION("""COMPUTED_VALUE"""),"1")</f>
        <v>1</v>
      </c>
      <c r="T310" s="30" t="str">
        <f>IFERROR(__xludf.DUMMYFUNCTION("""COMPUTED_VALUE"""),"223293")</f>
        <v>223293</v>
      </c>
      <c r="U310" s="31">
        <f>IFERROR(__xludf.DUMMYFUNCTION("""COMPUTED_VALUE"""),2232)</f>
        <v>2232</v>
      </c>
      <c r="V310" s="11"/>
      <c r="W310" s="11"/>
      <c r="X310" s="11"/>
      <c r="Y310" s="11"/>
      <c r="Z310" s="11"/>
    </row>
    <row r="311" customHeight="1" spans="1:26">
      <c r="A311" s="11" t="str">
        <f>IFERROR(__xludf.DUMMYFUNCTION("""COMPUTED_VALUE"""),"LUCIANA FERREIRA BARBOSA EVANGELISTA")</f>
        <v>LUCIANA FERREIRA BARBOSA EVANGELISTA</v>
      </c>
      <c r="B311" s="11"/>
      <c r="C311" s="11"/>
      <c r="D311" s="11" t="str">
        <f>IFERROR(__xludf.DUMMYFUNCTION("""COMPUTED_VALUE"""),"Enfermeira eSF")</f>
        <v>Enfermeira eSF</v>
      </c>
      <c r="E311" s="11" t="str">
        <f>IFERROR(__xludf.DUMMYFUNCTION("""COMPUTED_VALUE"""),"IV")</f>
        <v>IV</v>
      </c>
      <c r="F311" s="11" t="str">
        <f>IFERROR(__xludf.DUMMYFUNCTION("""COMPUTED_VALUE"""),"PACS VARZEA II")</f>
        <v>PACS VARZEA II</v>
      </c>
      <c r="G311" s="11" t="str">
        <f>IFERROR(__xludf.DUMMYFUNCTION("""COMPUTED_VALUE"""),"US 149 CS OLINTO OLIVEIRA")</f>
        <v>US 149 CS OLINTO OLIVEIRA</v>
      </c>
      <c r="H311" s="27">
        <f>IFERROR(__xludf.DUMMYFUNCTION("""COMPUTED_VALUE"""),81987521155)</f>
        <v>81987521155</v>
      </c>
      <c r="I311" s="11"/>
      <c r="J311" s="11"/>
      <c r="K311" s="11"/>
      <c r="L311" s="11"/>
      <c r="M311" s="28" t="str">
        <f>IFERROR(__xludf.DUMMYFUNCTION("""COMPUTED_VALUE"""),"3355-6442/6443")</f>
        <v>3355-6442/6443</v>
      </c>
      <c r="N311" s="11" t="str">
        <f>IFERROR(__xludf.DUMMYFUNCTION("""COMPUTED_VALUE"""),"ferreira25lu@yahoo.com.br / ferreira25lu@gmail.com")</f>
        <v>ferreira25lu@yahoo.com.br / ferreira25lu@gmail.com</v>
      </c>
      <c r="O311" s="29">
        <f>IFERROR(__xludf.DUMMYFUNCTION("""COMPUTED_VALUE"""),99977966400)</f>
        <v>99977966400</v>
      </c>
      <c r="P311" s="30" t="str">
        <f>IFERROR(__xludf.DUMMYFUNCTION("""COMPUTED_VALUE"""),"130788264560018")</f>
        <v>130788264560018</v>
      </c>
      <c r="Q311" s="30" t="str">
        <f>IFERROR(__xludf.DUMMYFUNCTION("""COMPUTED_VALUE"""),"0000817")</f>
        <v>0000817</v>
      </c>
      <c r="R311" s="30" t="str">
        <f>IFERROR(__xludf.DUMMYFUNCTION("""COMPUTED_VALUE"""),"0001471384")</f>
        <v>0001471384</v>
      </c>
      <c r="S311" s="30" t="str">
        <f>IFERROR(__xludf.DUMMYFUNCTION("""COMPUTED_VALUE"""),"1")</f>
        <v>1</v>
      </c>
      <c r="T311" s="30" t="str">
        <f>IFERROR(__xludf.DUMMYFUNCTION("""COMPUTED_VALUE"""),"223565")</f>
        <v>223565</v>
      </c>
      <c r="U311" s="31" t="str">
        <f>IFERROR(__xludf.DUMMYFUNCTION("""COMPUTED_VALUE"""),"2235")</f>
        <v>2235</v>
      </c>
      <c r="V311" s="11"/>
      <c r="W311" s="11">
        <f>IFERROR(__xludf.DUMMYFUNCTION("""COMPUTED_VALUE"""),85531603)</f>
        <v>85531603</v>
      </c>
      <c r="X311" s="11">
        <f>IFERROR(__xludf.DUMMYFUNCTION("""COMPUTED_VALUE"""),30751078)</f>
        <v>30751078</v>
      </c>
      <c r="Y311" s="11">
        <f>IFERROR(__xludf.DUMMYFUNCTION("""COMPUTED_VALUE"""),99977966400)</f>
        <v>99977966400</v>
      </c>
      <c r="Z311" s="11"/>
    </row>
    <row r="312" customHeight="1" spans="1:26">
      <c r="A312" s="11" t="str">
        <f>IFERROR(__xludf.DUMMYFUNCTION("""COMPUTED_VALUE"""),"Rafaella de Souza Lima")</f>
        <v>Rafaella de Souza Lima</v>
      </c>
      <c r="B312" s="11"/>
      <c r="C312" s="11"/>
      <c r="D312" s="11" t="str">
        <f>IFERROR(__xludf.DUMMYFUNCTION("""COMPUTED_VALUE"""),"Dentista")</f>
        <v>Dentista</v>
      </c>
      <c r="E312" s="11" t="str">
        <f>IFERROR(__xludf.DUMMYFUNCTION("""COMPUTED_VALUE"""),"IV")</f>
        <v>IV</v>
      </c>
      <c r="F312" s="11" t="str">
        <f>IFERROR(__xludf.DUMMYFUNCTION("""COMPUTED_VALUE"""),"US_347 USF PARQUE DOS MILAGRES")</f>
        <v>US_347 USF PARQUE DOS MILAGRES</v>
      </c>
      <c r="G312" s="11" t="str">
        <f>IFERROR(__xludf.DUMMYFUNCTION("""COMPUTED_VALUE"""),"US_347 USF PARQUE DOS MILAGRES")</f>
        <v>US_347 USF PARQUE DOS MILAGRES</v>
      </c>
      <c r="H312" s="27">
        <f>IFERROR(__xludf.DUMMYFUNCTION("""COMPUTED_VALUE"""),81997194809)</f>
        <v>81997194809</v>
      </c>
      <c r="I312" s="11"/>
      <c r="J312" s="11"/>
      <c r="K312" s="11"/>
      <c r="L312" s="11"/>
      <c r="M312" s="11"/>
      <c r="N312" s="11"/>
      <c r="O312" s="11"/>
      <c r="P312" s="11"/>
      <c r="Q312" s="11"/>
      <c r="R312" s="11"/>
      <c r="S312" s="11"/>
      <c r="T312" s="11"/>
      <c r="U312" s="11"/>
      <c r="V312" s="11"/>
      <c r="W312" s="11"/>
      <c r="X312" s="11"/>
      <c r="Y312" s="11"/>
      <c r="Z312" s="11"/>
    </row>
    <row r="313" customHeight="1" spans="1:26">
      <c r="A313" s="11" t="str">
        <f>IFERROR(__xludf.DUMMYFUNCTION("""COMPUTED_VALUE"""),"JOSUE BARBOSA FILHO")</f>
        <v>JOSUE BARBOSA FILHO</v>
      </c>
      <c r="B313" s="11"/>
      <c r="C313" s="11"/>
      <c r="D313" s="11" t="str">
        <f>IFERROR(__xludf.DUMMYFUNCTION("""COMPUTED_VALUE"""),"Médico Clínico")</f>
        <v>Médico Clínico</v>
      </c>
      <c r="E313" s="11" t="str">
        <f>IFERROR(__xludf.DUMMYFUNCTION("""COMPUTED_VALUE"""),"IV")</f>
        <v>IV</v>
      </c>
      <c r="F313" s="11" t="str">
        <f>IFERROR(__xludf.DUMMYFUNCTION("""COMPUTED_VALUE"""),"US_347 USF PARQUE DOS MILAGRES")</f>
        <v>US_347 USF PARQUE DOS MILAGRES</v>
      </c>
      <c r="G313" s="11" t="str">
        <f>IFERROR(__xludf.DUMMYFUNCTION("""COMPUTED_VALUE"""),"US 106 CS PROF JOAQUIM CAVALCANTE")</f>
        <v>US 106 CS PROF JOAQUIM CAVALCANTE</v>
      </c>
      <c r="H313" s="27">
        <f>IFERROR(__xludf.DUMMYFUNCTION("""COMPUTED_VALUE"""),81992427401)</f>
        <v>81992427401</v>
      </c>
      <c r="I313" s="11"/>
      <c r="J313" s="11"/>
      <c r="K313" s="11"/>
      <c r="L313" s="11"/>
      <c r="M313" s="28" t="str">
        <f>IFERROR(__xludf.DUMMYFUNCTION("""COMPUTED_VALUE"""),"3355-4425")</f>
        <v>3355-4425</v>
      </c>
      <c r="N313" s="11" t="str">
        <f>IFERROR(__xludf.DUMMYFUNCTION("""COMPUTED_VALUE"""),"josuebfilho44@hotmail.com")</f>
        <v>josuebfilho44@hotmail.com</v>
      </c>
      <c r="O313" s="29">
        <f>IFERROR(__xludf.DUMMYFUNCTION("""COMPUTED_VALUE"""),39147606487)</f>
        <v>39147606487</v>
      </c>
      <c r="P313" s="30" t="str">
        <f>IFERROR(__xludf.DUMMYFUNCTION("""COMPUTED_VALUE"""),"203121026870018")</f>
        <v>203121026870018</v>
      </c>
      <c r="Q313" s="30" t="str">
        <f>IFERROR(__xludf.DUMMYFUNCTION("""COMPUTED_VALUE"""),"0000639")</f>
        <v>0000639</v>
      </c>
      <c r="R313" s="30" t="str">
        <f>IFERROR(__xludf.DUMMYFUNCTION("""COMPUTED_VALUE"""),"9000063904")</f>
        <v>9000063904</v>
      </c>
      <c r="S313" s="30" t="str">
        <f>IFERROR(__xludf.DUMMYFUNCTION("""COMPUTED_VALUE"""),"1")</f>
        <v>1</v>
      </c>
      <c r="T313" s="30" t="str">
        <f>IFERROR(__xludf.DUMMYFUNCTION("""COMPUTED_VALUE"""),"225125")</f>
        <v>225125</v>
      </c>
      <c r="U313" s="31">
        <f>IFERROR(__xludf.DUMMYFUNCTION("""COMPUTED_VALUE"""),2251)</f>
        <v>2251</v>
      </c>
      <c r="V313" s="11" t="str">
        <f>IFERROR(__xludf.DUMMYFUNCTION("""COMPUTED_VALUE"""),"SIM")</f>
        <v>SIM</v>
      </c>
      <c r="W313" s="11"/>
      <c r="X313" s="11">
        <f>IFERROR(__xludf.DUMMYFUNCTION("""COMPUTED_VALUE"""),8192427401)</f>
        <v>8192427401</v>
      </c>
      <c r="Y313" s="11">
        <f>IFERROR(__xludf.DUMMYFUNCTION("""COMPUTED_VALUE"""),8198587149)</f>
        <v>8198587149</v>
      </c>
      <c r="Z313" s="11">
        <f>IFERROR(__xludf.DUMMYFUNCTION("""COMPUTED_VALUE"""),39147606487)</f>
        <v>39147606487</v>
      </c>
    </row>
    <row r="314" customHeight="1" spans="1:26">
      <c r="A314" s="11" t="str">
        <f>IFERROR(__xludf.DUMMYFUNCTION("""COMPUTED_VALUE"""),"JOSE NAPOLEAO DE GODOY ARAUJO")</f>
        <v>JOSE NAPOLEAO DE GODOY ARAUJO</v>
      </c>
      <c r="B314" s="11"/>
      <c r="C314" s="11"/>
      <c r="D314" s="11" t="str">
        <f>IFERROR(__xludf.DUMMYFUNCTION("""COMPUTED_VALUE"""),"Médico Clínico")</f>
        <v>Médico Clínico</v>
      </c>
      <c r="E314" s="11" t="str">
        <f>IFERROR(__xludf.DUMMYFUNCTION("""COMPUTED_VALUE"""),"IV")</f>
        <v>IV</v>
      </c>
      <c r="F314" s="11" t="str">
        <f>IFERROR(__xludf.DUMMYFUNCTION("""COMPUTED_VALUE"""),"")</f>
        <v/>
      </c>
      <c r="G314" s="11" t="str">
        <f>IFERROR(__xludf.DUMMYFUNCTION("""COMPUTED_VALUE"""),"US 285 USF SAO JOSE DO COQUE")</f>
        <v>US 285 USF SAO JOSE DO COQUE</v>
      </c>
      <c r="H314" s="27">
        <f>IFERROR(__xludf.DUMMYFUNCTION("""COMPUTED_VALUE"""),81998207003)</f>
        <v>81998207003</v>
      </c>
      <c r="I314" s="11"/>
      <c r="J314" s="11"/>
      <c r="K314" s="24">
        <f>IFERROR(__xludf.DUMMYFUNCTION("""COMPUTED_VALUE"""),45299)</f>
        <v>45299</v>
      </c>
      <c r="L314" s="11"/>
      <c r="M314" s="11"/>
      <c r="N314" s="11"/>
      <c r="O314" s="11"/>
      <c r="P314" s="11"/>
      <c r="Q314" s="11"/>
      <c r="R314" s="11"/>
      <c r="S314" s="11"/>
      <c r="T314" s="11"/>
      <c r="U314" s="11"/>
      <c r="V314" s="11"/>
      <c r="W314" s="11"/>
      <c r="X314" s="11"/>
      <c r="Y314" s="11"/>
      <c r="Z314" s="11"/>
    </row>
    <row r="315" customHeight="1" spans="1:26">
      <c r="A315" s="11" t="str">
        <f>IFERROR(__xludf.DUMMYFUNCTION("""COMPUTED_VALUE"""),"ROSANE OLIVEIRA PACHECO")</f>
        <v>ROSANE OLIVEIRA PACHECO</v>
      </c>
      <c r="B315" s="11" t="str">
        <f>IFERROR(__xludf.DUMMYFUNCTION("""COMPUTED_VALUE"""),"Cadastro atualizado: enfermeira estava cadastrada como Roseane")</f>
        <v>Cadastro atualizado: enfermeira estava cadastrada como Roseane</v>
      </c>
      <c r="C315" s="11"/>
      <c r="D315" s="11" t="str">
        <f>IFERROR(__xludf.DUMMYFUNCTION("""COMPUTED_VALUE"""),"Enfermeira eSF")</f>
        <v>Enfermeira eSF</v>
      </c>
      <c r="E315" s="11" t="str">
        <f>IFERROR(__xludf.DUMMYFUNCTION("""COMPUTED_VALUE"""),"I")</f>
        <v>I</v>
      </c>
      <c r="F315" s="11" t="str">
        <f>IFERROR(__xludf.DUMMYFUNCTION("""COMPUTED_VALUE"""),"US_285 USF SAO JOSE DO COQUE - BERILO PERNAMBUCANO")</f>
        <v>US_285 USF SAO JOSE DO COQUE - BERILO PERNAMBUCANO</v>
      </c>
      <c r="G315" s="11" t="str">
        <f>IFERROR(__xludf.DUMMYFUNCTION("""COMPUTED_VALUE"""),"US 285 USF SAO JOSE DO COQUE")</f>
        <v>US 285 USF SAO JOSE DO COQUE</v>
      </c>
      <c r="H315" s="27">
        <f>IFERROR(__xludf.DUMMYFUNCTION("""COMPUTED_VALUE"""),81992429440)</f>
        <v>81992429440</v>
      </c>
      <c r="I315" s="11"/>
      <c r="J315" s="11"/>
      <c r="K315" s="11"/>
      <c r="L315" s="11"/>
      <c r="M315" s="28" t="str">
        <f>IFERROR(__xludf.DUMMYFUNCTION("""COMPUTED_VALUE"""),"3355-6226")</f>
        <v>3355-6226</v>
      </c>
      <c r="N315" s="11" t="str">
        <f>IFERROR(__xludf.DUMMYFUNCTION("""COMPUTED_VALUE"""),"saneapa@ig.com.br / saneopac@gmail.com")</f>
        <v>saneapa@ig.com.br / saneopac@gmail.com</v>
      </c>
      <c r="O315" s="29">
        <f>IFERROR(__xludf.DUMMYFUNCTION("""COMPUTED_VALUE"""),73574090404)</f>
        <v>73574090404</v>
      </c>
      <c r="P315" s="30" t="str">
        <f>IFERROR(__xludf.DUMMYFUNCTION("""COMPUTED_VALUE"""),"204322425080018")</f>
        <v>204322425080018</v>
      </c>
      <c r="Q315" s="30" t="str">
        <f>IFERROR(__xludf.DUMMYFUNCTION("""COMPUTED_VALUE"""),"0029130")</f>
        <v>0029130</v>
      </c>
      <c r="R315" s="30" t="str">
        <f>IFERROR(__xludf.DUMMYFUNCTION("""COMPUTED_VALUE"""),"0000154768")</f>
        <v>0000154768</v>
      </c>
      <c r="S315" s="30" t="str">
        <f>IFERROR(__xludf.DUMMYFUNCTION("""COMPUTED_VALUE"""),"1")</f>
        <v>1</v>
      </c>
      <c r="T315" s="30" t="str">
        <f>IFERROR(__xludf.DUMMYFUNCTION("""COMPUTED_VALUE"""),"223565")</f>
        <v>223565</v>
      </c>
      <c r="U315" s="31" t="str">
        <f>IFERROR(__xludf.DUMMYFUNCTION("""COMPUTED_VALUE"""),"2235")</f>
        <v>2235</v>
      </c>
      <c r="V315" s="11"/>
      <c r="W315" s="11">
        <f>IFERROR(__xludf.DUMMYFUNCTION("""COMPUTED_VALUE"""),34669440)</f>
        <v>34669440</v>
      </c>
      <c r="X315" s="11">
        <f>IFERROR(__xludf.DUMMYFUNCTION("""COMPUTED_VALUE"""),92429440)</f>
        <v>92429440</v>
      </c>
      <c r="Y315" s="11">
        <f>IFERROR(__xludf.DUMMYFUNCTION("""COMPUTED_VALUE"""),73574090404)</f>
        <v>73574090404</v>
      </c>
      <c r="Z315" s="11"/>
    </row>
    <row r="316" customHeight="1" spans="1:26">
      <c r="A316" s="11" t="str">
        <f>IFERROR(__xludf.DUMMYFUNCTION("""COMPUTED_VALUE"""),"GIOVANNI OLIVEIRA RATTACASO FILHO")</f>
        <v>GIOVANNI OLIVEIRA RATTACASO FILHO</v>
      </c>
      <c r="B316" s="11"/>
      <c r="C316" s="11"/>
      <c r="D316" s="11" t="str">
        <f>IFERROR(__xludf.DUMMYFUNCTION("""COMPUTED_VALUE"""),"Médico Clínico")</f>
        <v>Médico Clínico</v>
      </c>
      <c r="E316" s="11" t="str">
        <f>IFERROR(__xludf.DUMMYFUNCTION("""COMPUTED_VALUE"""),"II")</f>
        <v>II</v>
      </c>
      <c r="F316" s="11" t="str">
        <f>IFERROR(__xludf.DUMMYFUNCTION("""COMPUTED_VALUE"""),"US_395 USF UPINHA 24H DR FERNANDA WANDERLEY")</f>
        <v>US_395 USF UPINHA 24H DR FERNANDA WANDERLEY</v>
      </c>
      <c r="G316" s="11" t="str">
        <f>IFERROR(__xludf.DUMMYFUNCTION("""COMPUTED_VALUE"""),"US 395 USF UPINHA 24H DR FERNANDA WANDERLEY")</f>
        <v>US 395 USF UPINHA 24H DR FERNANDA WANDERLEY</v>
      </c>
      <c r="H316" s="27">
        <f>IFERROR(__xludf.DUMMYFUNCTION("""COMPUTED_VALUE"""),81991279997)</f>
        <v>81991279997</v>
      </c>
      <c r="I316" s="27">
        <f>IFERROR(__xludf.DUMMYFUNCTION("""COMPUTED_VALUE"""),81988889977)</f>
        <v>81988889977</v>
      </c>
      <c r="J316" s="11"/>
      <c r="K316" s="11"/>
      <c r="L316" s="11"/>
      <c r="M316" s="11"/>
      <c r="N316" s="11" t="str">
        <f>IFERROR(__xludf.DUMMYFUNCTION("""COMPUTED_VALUE"""),"giovanni@primed.net.br / giovannirattacaso@coomeb.com.br")</f>
        <v>giovanni@primed.net.br / giovannirattacaso@coomeb.com.br</v>
      </c>
      <c r="O316" s="29">
        <f>IFERROR(__xludf.DUMMYFUNCTION("""COMPUTED_VALUE"""),42713315468)</f>
        <v>42713315468</v>
      </c>
      <c r="P316" s="30" t="str">
        <f>IFERROR(__xludf.DUMMYFUNCTION("""COMPUTED_VALUE"""),"181110495740006")</f>
        <v>181110495740006</v>
      </c>
      <c r="Q316" s="30" t="str">
        <f>IFERROR(__xludf.DUMMYFUNCTION("""COMPUTED_VALUE"""),"7524501")</f>
        <v>7524501</v>
      </c>
      <c r="R316" s="11"/>
      <c r="S316" s="30" t="str">
        <f>IFERROR(__xludf.DUMMYFUNCTION("""COMPUTED_VALUE"""),"1")</f>
        <v>1</v>
      </c>
      <c r="T316" s="30" t="str">
        <f>IFERROR(__xludf.DUMMYFUNCTION("""COMPUTED_VALUE"""),"225125")</f>
        <v>225125</v>
      </c>
      <c r="U316" s="11">
        <f>IFERROR(__xludf.DUMMYFUNCTION("""COMPUTED_VALUE"""),2251)</f>
        <v>2251</v>
      </c>
      <c r="V316" s="11"/>
      <c r="W316" s="11"/>
      <c r="X316" s="11"/>
      <c r="Y316" s="11"/>
      <c r="Z316" s="11"/>
    </row>
    <row r="317" customHeight="1" spans="1:26">
      <c r="A317" s="11" t="str">
        <f>IFERROR(__xludf.DUMMYFUNCTION("""COMPUTED_VALUE"""),"FABRICIA HELENA FARIAS ALVES DE ANDRADE")</f>
        <v>FABRICIA HELENA FARIAS ALVES DE ANDRADE</v>
      </c>
      <c r="B317" s="11"/>
      <c r="C317" s="11"/>
      <c r="D317" s="11" t="str">
        <f>IFERROR(__xludf.DUMMYFUNCTION("""COMPUTED_VALUE"""),"Médica eSF")</f>
        <v>Médica eSF</v>
      </c>
      <c r="E317" s="11" t="str">
        <f>IFERROR(__xludf.DUMMYFUNCTION("""COMPUTED_VALUE"""),"VIII")</f>
        <v>VIII</v>
      </c>
      <c r="F317" s="11" t="str">
        <f>IFERROR(__xludf.DUMMYFUNCTION("""COMPUTED_VALUE"""),"US_154 USF UPINHA DIA RIO DA PRATA")</f>
        <v>US_154 USF UPINHA DIA RIO DA PRATA</v>
      </c>
      <c r="G317" s="11" t="str">
        <f>IFERROR(__xludf.DUMMYFUNCTION("""COMPUTED_VALUE"""),"US 154 USF UPINHA DIA RIO DA PRATA")</f>
        <v>US 154 USF UPINHA DIA RIO DA PRATA</v>
      </c>
      <c r="H317" s="27">
        <f>IFERROR(__xludf.DUMMYFUNCTION("""COMPUTED_VALUE"""),81981406474)</f>
        <v>81981406474</v>
      </c>
      <c r="I317" s="11"/>
      <c r="J317" s="11"/>
      <c r="K317" s="11"/>
      <c r="L317" s="11"/>
      <c r="M317" s="28" t="str">
        <f>IFERROR(__xludf.DUMMYFUNCTION("""COMPUTED_VALUE"""),"3355-6215 / 3338-7768")</f>
        <v>3355-6215 / 3338-7768</v>
      </c>
      <c r="N317" s="11" t="str">
        <f>IFERROR(__xludf.DUMMYFUNCTION("""COMPUTED_VALUE"""),"fhfaa2@gmail.com")</f>
        <v>fhfaa2@gmail.com</v>
      </c>
      <c r="O317" s="29">
        <f>IFERROR(__xludf.DUMMYFUNCTION("""COMPUTED_VALUE"""),4675161464)</f>
        <v>4675161464</v>
      </c>
      <c r="P317" s="30" t="str">
        <f>IFERROR(__xludf.DUMMYFUNCTION("""COMPUTED_VALUE"""),"704203282229483")</f>
        <v>704203282229483</v>
      </c>
      <c r="Q317" s="30" t="str">
        <f>IFERROR(__xludf.DUMMYFUNCTION("""COMPUTED_VALUE"""),"3639827")</f>
        <v>3639827</v>
      </c>
      <c r="R317" s="30" t="str">
        <f>IFERROR(__xludf.DUMMYFUNCTION("""COMPUTED_VALUE"""),"0000155667")</f>
        <v>0000155667</v>
      </c>
      <c r="S317" s="30" t="str">
        <f>IFERROR(__xludf.DUMMYFUNCTION("""COMPUTED_VALUE"""),"1")</f>
        <v>1</v>
      </c>
      <c r="T317" s="30" t="str">
        <f>IFERROR(__xludf.DUMMYFUNCTION("""COMPUTED_VALUE"""),"225142")</f>
        <v>225142</v>
      </c>
      <c r="U317" s="31" t="str">
        <f>IFERROR(__xludf.DUMMYFUNCTION("""COMPUTED_VALUE"""),"2251")</f>
        <v>2251</v>
      </c>
      <c r="V317" s="11"/>
      <c r="W317" s="11"/>
      <c r="X317" s="11">
        <f>IFERROR(__xludf.DUMMYFUNCTION("""COMPUTED_VALUE"""),41015855)</f>
        <v>41015855</v>
      </c>
      <c r="Y317" s="11">
        <f>IFERROR(__xludf.DUMMYFUNCTION("""COMPUTED_VALUE"""),81406474)</f>
        <v>81406474</v>
      </c>
      <c r="Z317" s="11">
        <f>IFERROR(__xludf.DUMMYFUNCTION("""COMPUTED_VALUE"""),4675161464)</f>
        <v>4675161464</v>
      </c>
    </row>
    <row r="318" customHeight="1" spans="1:26">
      <c r="A318" s="11" t="str">
        <f>IFERROR(__xludf.DUMMYFUNCTION("""COMPUTED_VALUE"""),"ELMARA ALMEIDA DE ARAUJO")</f>
        <v>ELMARA ALMEIDA DE ARAUJO</v>
      </c>
      <c r="B318" s="11"/>
      <c r="C318" s="11"/>
      <c r="D318" s="11" t="str">
        <f>IFERROR(__xludf.DUMMYFUNCTION("""COMPUTED_VALUE"""),"Enfermeira eSF")</f>
        <v>Enfermeira eSF</v>
      </c>
      <c r="E318" s="11" t="str">
        <f>IFERROR(__xludf.DUMMYFUNCTION("""COMPUTED_VALUE"""),"VIII")</f>
        <v>VIII</v>
      </c>
      <c r="F318" s="11" t="str">
        <f>IFERROR(__xludf.DUMMYFUNCTION("""COMPUTED_VALUE"""),"US_184 USF VILA UNIAO / AIRTON SENA")</f>
        <v>US_184 USF VILA UNIAO / AIRTON SENA</v>
      </c>
      <c r="G318" s="11" t="str">
        <f>IFERROR(__xludf.DUMMYFUNCTION("""COMPUTED_VALUE"""),"US 373 USF CIDADE OPERARIA")</f>
        <v>US 373 USF CIDADE OPERARIA</v>
      </c>
      <c r="H318" s="27">
        <f>IFERROR(__xludf.DUMMYFUNCTION("""COMPUTED_VALUE"""),81999896160)</f>
        <v>81999896160</v>
      </c>
      <c r="I318" s="27">
        <f>IFERROR(__xludf.DUMMYFUNCTION("""COMPUTED_VALUE"""),81988456160)</f>
        <v>81988456160</v>
      </c>
      <c r="J318" s="11"/>
      <c r="K318" s="11"/>
      <c r="L318" s="11"/>
      <c r="M318" s="28" t="str">
        <f>IFERROR(__xludf.DUMMYFUNCTION("""COMPUTED_VALUE"""),"3355-3032")</f>
        <v>3355-3032</v>
      </c>
      <c r="N318" s="11" t="str">
        <f>IFERROR(__xludf.DUMMYFUNCTION("""COMPUTED_VALUE"""),"elmara.almeida@hotmail.com")</f>
        <v>elmara.almeida@hotmail.com</v>
      </c>
      <c r="O318" s="29">
        <f>IFERROR(__xludf.DUMMYFUNCTION("""COMPUTED_VALUE"""),98389203472)</f>
        <v>98389203472</v>
      </c>
      <c r="P318" s="30" t="str">
        <f>IFERROR(__xludf.DUMMYFUNCTION("""COMPUTED_VALUE"""),"204325013920003")</f>
        <v>204325013920003</v>
      </c>
      <c r="Q318" s="30" t="str">
        <f>IFERROR(__xludf.DUMMYFUNCTION("""COMPUTED_VALUE"""),"6691285")</f>
        <v>6691285</v>
      </c>
      <c r="R318" s="30" t="str">
        <f>IFERROR(__xludf.DUMMYFUNCTION("""COMPUTED_VALUE"""),"0000156108")</f>
        <v>0000156108</v>
      </c>
      <c r="S318" s="30" t="str">
        <f>IFERROR(__xludf.DUMMYFUNCTION("""COMPUTED_VALUE"""),"1")</f>
        <v>1</v>
      </c>
      <c r="T318" s="30" t="str">
        <f>IFERROR(__xludf.DUMMYFUNCTION("""COMPUTED_VALUE"""),"223565")</f>
        <v>223565</v>
      </c>
      <c r="U318" s="31" t="str">
        <f>IFERROR(__xludf.DUMMYFUNCTION("""COMPUTED_VALUE"""),"2235")</f>
        <v>2235</v>
      </c>
      <c r="V318" s="11"/>
      <c r="W318" s="11">
        <f>IFERROR(__xludf.DUMMYFUNCTION("""COMPUTED_VALUE"""),8188456160)</f>
        <v>8188456160</v>
      </c>
      <c r="X318" s="11">
        <f>IFERROR(__xludf.DUMMYFUNCTION("""COMPUTED_VALUE"""),8199896160)</f>
        <v>8199896160</v>
      </c>
      <c r="Y318" s="11">
        <f>IFERROR(__xludf.DUMMYFUNCTION("""COMPUTED_VALUE"""),98389203472)</f>
        <v>98389203472</v>
      </c>
      <c r="Z318" s="11"/>
    </row>
    <row r="319" customHeight="1" spans="1:26">
      <c r="A319" s="11" t="str">
        <f>IFERROR(__xludf.DUMMYFUNCTION("""COMPUTED_VALUE"""),"DANIELY MARIA VIEIRA DE MELO ALBUQUERQUE")</f>
        <v>DANIELY MARIA VIEIRA DE MELO ALBUQUERQUE</v>
      </c>
      <c r="B319" s="11"/>
      <c r="C319" s="11"/>
      <c r="D319" s="11" t="str">
        <f>IFERROR(__xludf.DUMMYFUNCTION("""COMPUTED_VALUE"""),"Enfermeira")</f>
        <v>Enfermeira</v>
      </c>
      <c r="E319" s="11" t="str">
        <f>IFERROR(__xludf.DUMMYFUNCTION("""COMPUTED_VALUE"""),"VII")</f>
        <v>VII</v>
      </c>
      <c r="F319" s="11" t="str">
        <f>IFERROR(__xludf.DUMMYFUNCTION("""COMPUTED_VALUE"""),"US_397 USF UPINHA DIA ACS MARIA RITA DA SILVA /CORREGO DO EUCLIDES")</f>
        <v>US_397 USF UPINHA DIA ACS MARIA RITA DA SILVA /CORREGO DO EUCLIDES</v>
      </c>
      <c r="G319" s="11" t="str">
        <f>IFERROR(__xludf.DUMMYFUNCTION("""COMPUTED_VALUE"""),"US 397 USF UPINHA DIA CORREGO DO EUCLIDES")</f>
        <v>US 397 USF UPINHA DIA CORREGO DO EUCLIDES</v>
      </c>
      <c r="H319" s="27">
        <f>IFERROR(__xludf.DUMMYFUNCTION("""COMPUTED_VALUE"""),81994801110)</f>
        <v>81994801110</v>
      </c>
      <c r="I319" s="11"/>
      <c r="J319" s="11"/>
      <c r="K319" s="11"/>
      <c r="L319" s="11"/>
      <c r="M319" s="28" t="str">
        <f>IFERROR(__xludf.DUMMYFUNCTION("""COMPUTED_VALUE"""),"3355-6037")</f>
        <v>3355-6037</v>
      </c>
      <c r="N319" s="11" t="str">
        <f>IFERROR(__xludf.DUMMYFUNCTION("""COMPUTED_VALUE"""),"DANIELYALBUQUERQUE69@HOTMAIL.COM")</f>
        <v>DANIELYALBUQUERQUE69@HOTMAIL.COM</v>
      </c>
      <c r="O319" s="29">
        <f>IFERROR(__xludf.DUMMYFUNCTION("""COMPUTED_VALUE"""),71397329491)</f>
        <v>71397329491</v>
      </c>
      <c r="P319" s="30" t="str">
        <f>IFERROR(__xludf.DUMMYFUNCTION("""COMPUTED_VALUE"""),"201561270960004")</f>
        <v>201561270960004</v>
      </c>
      <c r="Q319" s="30" t="str">
        <f>IFERROR(__xludf.DUMMYFUNCTION("""COMPUTED_VALUE"""),"7563736")</f>
        <v>7563736</v>
      </c>
      <c r="R319" s="11"/>
      <c r="S319" s="30" t="str">
        <f>IFERROR(__xludf.DUMMYFUNCTION("""COMPUTED_VALUE"""),"1")</f>
        <v>1</v>
      </c>
      <c r="T319" s="30" t="str">
        <f>IFERROR(__xludf.DUMMYFUNCTION("""COMPUTED_VALUE"""),"223505")</f>
        <v>223505</v>
      </c>
      <c r="U319" s="31">
        <f>IFERROR(__xludf.DUMMYFUNCTION("""COMPUTED_VALUE"""),2235)</f>
        <v>2235</v>
      </c>
      <c r="V319" s="11"/>
      <c r="W319" s="11"/>
      <c r="X319" s="11"/>
      <c r="Y319" s="11"/>
      <c r="Z319" s="11"/>
    </row>
    <row r="320" customHeight="1" spans="1:26">
      <c r="A320" s="11" t="str">
        <f>IFERROR(__xludf.DUMMYFUNCTION("""COMPUTED_VALUE"""),"ANA BEATRIZ ALVES DA SILVA")</f>
        <v>ANA BEATRIZ ALVES DA SILVA</v>
      </c>
      <c r="B320" s="11"/>
      <c r="C320" s="11"/>
      <c r="D320" s="11" t="str">
        <f>IFERROR(__xludf.DUMMYFUNCTION("""COMPUTED_VALUE"""),"Enfermeira eSF")</f>
        <v>Enfermeira eSF</v>
      </c>
      <c r="E320" s="11" t="str">
        <f>IFERROR(__xludf.DUMMYFUNCTION("""COMPUTED_VALUE"""),"VIII")</f>
        <v>VIII</v>
      </c>
      <c r="F320" s="11" t="str">
        <f>IFERROR(__xludf.DUMMYFUNCTION("""COMPUTED_VALUE"""),"US_230 USF LAGOA ENCANTADA")</f>
        <v>US_230 USF LAGOA ENCANTADA</v>
      </c>
      <c r="G320" s="11" t="str">
        <f>IFERROR(__xludf.DUMMYFUNCTION("""COMPUTED_VALUE"""),"US 230 USF LAGOA ENCANTADA")</f>
        <v>US 230 USF LAGOA ENCANTADA</v>
      </c>
      <c r="H320" s="27">
        <f>IFERROR(__xludf.DUMMYFUNCTION("""COMPUTED_VALUE"""),81987246890)</f>
        <v>81987246890</v>
      </c>
      <c r="I320" s="11"/>
      <c r="J320" s="11"/>
      <c r="K320" s="11"/>
      <c r="L320" s="11"/>
      <c r="M320" s="28" t="str">
        <f>IFERROR(__xludf.DUMMYFUNCTION("""COMPUTED_VALUE"""),"3355-6174")</f>
        <v>3355-6174</v>
      </c>
      <c r="N320" s="11" t="str">
        <f>IFERROR(__xludf.DUMMYFUNCTION("""COMPUTED_VALUE"""),"xispipeto@bol.com.br")</f>
        <v>xispipeto@bol.com.br</v>
      </c>
      <c r="O320" s="29">
        <f>IFERROR(__xludf.DUMMYFUNCTION("""COMPUTED_VALUE"""),90021835420)</f>
        <v>90021835420</v>
      </c>
      <c r="P320" s="30" t="str">
        <f>IFERROR(__xludf.DUMMYFUNCTION("""COMPUTED_VALUE"""),"126251384500004")</f>
        <v>126251384500004</v>
      </c>
      <c r="Q320" s="30" t="str">
        <f>IFERROR(__xludf.DUMMYFUNCTION("""COMPUTED_VALUE"""),"0022470")</f>
        <v>0022470</v>
      </c>
      <c r="R320" s="30" t="str">
        <f>IFERROR(__xludf.DUMMYFUNCTION("""COMPUTED_VALUE"""),"0000154083")</f>
        <v>0000154083</v>
      </c>
      <c r="S320" s="30" t="str">
        <f>IFERROR(__xludf.DUMMYFUNCTION("""COMPUTED_VALUE"""),"1")</f>
        <v>1</v>
      </c>
      <c r="T320" s="30" t="str">
        <f>IFERROR(__xludf.DUMMYFUNCTION("""COMPUTED_VALUE"""),"223565")</f>
        <v>223565</v>
      </c>
      <c r="U320" s="31" t="str">
        <f>IFERROR(__xludf.DUMMYFUNCTION("""COMPUTED_VALUE"""),"2235")</f>
        <v>2235</v>
      </c>
      <c r="V320" s="11"/>
      <c r="W320" s="11">
        <f>IFERROR(__xludf.DUMMYFUNCTION("""COMPUTED_VALUE"""),32734920)</f>
        <v>32734920</v>
      </c>
      <c r="X320" s="11">
        <f>IFERROR(__xludf.DUMMYFUNCTION("""COMPUTED_VALUE"""),87246890)</f>
        <v>87246890</v>
      </c>
      <c r="Y320" s="11">
        <f>IFERROR(__xludf.DUMMYFUNCTION("""COMPUTED_VALUE"""),90021835420)</f>
        <v>90021835420</v>
      </c>
      <c r="Z320" s="11"/>
    </row>
    <row r="321" customHeight="1" spans="1:26">
      <c r="A321" s="11" t="str">
        <f>IFERROR(__xludf.DUMMYFUNCTION("""COMPUTED_VALUE"""),"JOACI CARDOSO LIMA JUNIOR")</f>
        <v>JOACI CARDOSO LIMA JUNIOR</v>
      </c>
      <c r="B321" s="11"/>
      <c r="C321" s="11"/>
      <c r="D321" s="11" t="str">
        <f>IFERROR(__xludf.DUMMYFUNCTION("""COMPUTED_VALUE"""),"médico")</f>
        <v>médico</v>
      </c>
      <c r="E321" s="11"/>
      <c r="F321" s="11"/>
      <c r="G321" s="11"/>
      <c r="H321" s="27">
        <f>IFERROR(__xludf.DUMMYFUNCTION("""COMPUTED_VALUE"""),81992676083)</f>
        <v>81992676083</v>
      </c>
      <c r="I321" s="11"/>
      <c r="J321" s="11"/>
      <c r="K321" s="24">
        <f>IFERROR(__xludf.DUMMYFUNCTION("""COMPUTED_VALUE"""),45398)</f>
        <v>45398</v>
      </c>
      <c r="L321" s="11"/>
      <c r="M321" s="11"/>
      <c r="N321" s="11"/>
      <c r="O321" s="11"/>
      <c r="P321" s="11"/>
      <c r="Q321" s="11"/>
      <c r="R321" s="11"/>
      <c r="S321" s="11"/>
      <c r="T321" s="11"/>
      <c r="U321" s="11"/>
      <c r="V321" s="11"/>
      <c r="W321" s="11"/>
      <c r="X321" s="11"/>
      <c r="Y321" s="11"/>
      <c r="Z321" s="11"/>
    </row>
    <row r="322" customHeight="1" spans="1:26">
      <c r="A322" s="11" t="str">
        <f>IFERROR(__xludf.DUMMYFUNCTION("""COMPUTED_VALUE"""),"HEBE ALVES MOREIRA DOS SANTOS")</f>
        <v>HEBE ALVES MOREIRA DOS SANTOS</v>
      </c>
      <c r="B322" s="11"/>
      <c r="C322" s="11"/>
      <c r="D322" s="11" t="str">
        <f>IFERROR(__xludf.DUMMYFUNCTION("""COMPUTED_VALUE"""),"Enfermeira")</f>
        <v>Enfermeira</v>
      </c>
      <c r="E322" s="11" t="str">
        <f>IFERROR(__xludf.DUMMYFUNCTION("""COMPUTED_VALUE"""),"V")</f>
        <v>V</v>
      </c>
      <c r="F322" s="11" t="str">
        <f>IFERROR(__xludf.DUMMYFUNCTION("""COMPUTED_VALUE"""),"US_161 CS PROF ROMERO MARQUES / IPIRANGA")</f>
        <v>US_161 CS PROF ROMERO MARQUES / IPIRANGA</v>
      </c>
      <c r="G322" s="11" t="str">
        <f>IFERROR(__xludf.DUMMYFUNCTION("""COMPUTED_VALUE"""),"US 161 CS PROF ROMERO MARQUES")</f>
        <v>US 161 CS PROF ROMERO MARQUES</v>
      </c>
      <c r="H322" s="27">
        <f>IFERROR(__xludf.DUMMYFUNCTION("""COMPUTED_VALUE"""),81994359809)</f>
        <v>81994359809</v>
      </c>
      <c r="I322" s="11"/>
      <c r="J322" s="11"/>
      <c r="K322" s="11"/>
      <c r="L322" s="11"/>
      <c r="M322" s="28" t="str">
        <f>IFERROR(__xludf.DUMMYFUNCTION("""COMPUTED_VALUE"""),"3355-4440")</f>
        <v>3355-4440</v>
      </c>
      <c r="N322" s="11" t="str">
        <f>IFERROR(__xludf.DUMMYFUNCTION("""COMPUTED_VALUE"""),"hebeasantos@hotmail.com")</f>
        <v>hebeasantos@hotmail.com</v>
      </c>
      <c r="O322" s="29">
        <f>IFERROR(__xludf.DUMMYFUNCTION("""COMPUTED_VALUE"""),81744447420)</f>
        <v>81744447420</v>
      </c>
      <c r="P322" s="30" t="str">
        <f>IFERROR(__xludf.DUMMYFUNCTION("""COMPUTED_VALUE"""),"980016277766053")</f>
        <v>980016277766053</v>
      </c>
      <c r="Q322" s="30" t="str">
        <f>IFERROR(__xludf.DUMMYFUNCTION("""COMPUTED_VALUE"""),"0000760")</f>
        <v>0000760</v>
      </c>
      <c r="R322" s="30" t="str">
        <f>IFERROR(__xludf.DUMMYFUNCTION("""COMPUTED_VALUE"""),"9000076003")</f>
        <v>9000076003</v>
      </c>
      <c r="S322" s="30" t="str">
        <f>IFERROR(__xludf.DUMMYFUNCTION("""COMPUTED_VALUE"""),"1")</f>
        <v>1</v>
      </c>
      <c r="T322" s="30" t="str">
        <f>IFERROR(__xludf.DUMMYFUNCTION("""COMPUTED_VALUE"""),"223565")</f>
        <v>223565</v>
      </c>
      <c r="U322" s="31" t="str">
        <f>IFERROR(__xludf.DUMMYFUNCTION("""COMPUTED_VALUE"""),"2235")</f>
        <v>2235</v>
      </c>
      <c r="V322" s="11"/>
      <c r="W322" s="11"/>
      <c r="X322" s="11"/>
      <c r="Y322" s="11"/>
      <c r="Z322" s="11"/>
    </row>
    <row r="323" customHeight="1" spans="1:26">
      <c r="A323" s="11" t="str">
        <f>IFERROR(__xludf.DUMMYFUNCTION("""COMPUTED_VALUE"""),"JOSELINA SANTANA DA SILVA")</f>
        <v>JOSELINA SANTANA DA SILVA</v>
      </c>
      <c r="B323" s="11"/>
      <c r="C323" s="11"/>
      <c r="D323" s="11" t="str">
        <f>IFERROR(__xludf.DUMMYFUNCTION("""COMPUTED_VALUE"""),"Enfermeira eSF")</f>
        <v>Enfermeira eSF</v>
      </c>
      <c r="E323" s="11" t="str">
        <f>IFERROR(__xludf.DUMMYFUNCTION("""COMPUTED_VALUE"""),"VII")</f>
        <v>VII</v>
      </c>
      <c r="F323" s="11" t="str">
        <f>IFERROR(__xludf.DUMMYFUNCTION("""COMPUTED_VALUE"""),"SEDE DISTRITO SANITARIO VII")</f>
        <v>SEDE DISTRITO SANITARIO VII</v>
      </c>
      <c r="G323" s="11" t="str">
        <f>IFERROR(__xludf.DUMMYFUNCTION("""COMPUTED_VALUE"""),"US 397 USF UPINHA DIA CORREGO DO EUCLIDES")</f>
        <v>US 397 USF UPINHA DIA CORREGO DO EUCLIDES</v>
      </c>
      <c r="H323" s="27">
        <f>IFERROR(__xludf.DUMMYFUNCTION("""COMPUTED_VALUE"""),81996472383)</f>
        <v>81996472383</v>
      </c>
      <c r="I323" s="11"/>
      <c r="J323" s="11"/>
      <c r="K323" s="11"/>
      <c r="L323" s="11"/>
      <c r="M323" s="28" t="str">
        <f>IFERROR(__xludf.DUMMYFUNCTION("""COMPUTED_VALUE"""),"3355-6037")</f>
        <v>3355-6037</v>
      </c>
      <c r="N323" s="11" t="str">
        <f>IFERROR(__xludf.DUMMYFUNCTION("""COMPUTED_VALUE"""),"jjoselina@terra.com.br")</f>
        <v>jjoselina@terra.com.br</v>
      </c>
      <c r="O323" s="29">
        <f>IFERROR(__xludf.DUMMYFUNCTION("""COMPUTED_VALUE"""),44695314487)</f>
        <v>44695314487</v>
      </c>
      <c r="P323" s="30" t="str">
        <f>IFERROR(__xludf.DUMMYFUNCTION("""COMPUTED_VALUE"""),"122304202180008")</f>
        <v>122304202180008</v>
      </c>
      <c r="Q323" s="30" t="str">
        <f>IFERROR(__xludf.DUMMYFUNCTION("""COMPUTED_VALUE"""),"7563736")</f>
        <v>7563736</v>
      </c>
      <c r="R323" s="30" t="str">
        <f>IFERROR(__xludf.DUMMYFUNCTION("""COMPUTED_VALUE"""),"0000155330")</f>
        <v>0000155330</v>
      </c>
      <c r="S323" s="30" t="str">
        <f>IFERROR(__xludf.DUMMYFUNCTION("""COMPUTED_VALUE"""),"1")</f>
        <v>1</v>
      </c>
      <c r="T323" s="30" t="str">
        <f>IFERROR(__xludf.DUMMYFUNCTION("""COMPUTED_VALUE"""),"223565")</f>
        <v>223565</v>
      </c>
      <c r="U323" s="31" t="str">
        <f>IFERROR(__xludf.DUMMYFUNCTION("""COMPUTED_VALUE"""),"2235")</f>
        <v>2235</v>
      </c>
      <c r="V323" s="11"/>
      <c r="W323" s="11" t="str">
        <f>IFERROR(__xludf.DUMMYFUNCTION("""COMPUTED_VALUE"""),"81 30906056")</f>
        <v>81 30906056</v>
      </c>
      <c r="X323" s="11" t="str">
        <f>IFERROR(__xludf.DUMMYFUNCTION("""COMPUTED_VALUE"""),"81 96472383")</f>
        <v>81 96472383</v>
      </c>
      <c r="Y323" s="11">
        <f>IFERROR(__xludf.DUMMYFUNCTION("""COMPUTED_VALUE"""),44695314487)</f>
        <v>44695314487</v>
      </c>
      <c r="Z323" s="11"/>
    </row>
    <row r="324" customHeight="1" spans="1:26">
      <c r="A324" s="11" t="str">
        <f>IFERROR(__xludf.DUMMYFUNCTION("""COMPUTED_VALUE"""),"HELLEN SILVIA BARBOSA DE ARAUJO")</f>
        <v>HELLEN SILVIA BARBOSA DE ARAUJO</v>
      </c>
      <c r="B324" s="11"/>
      <c r="C324" s="11"/>
      <c r="D324" s="11" t="str">
        <f>IFERROR(__xludf.DUMMYFUNCTION("""COMPUTED_VALUE"""),"Dentista")</f>
        <v>Dentista</v>
      </c>
      <c r="E324" s="11" t="str">
        <f>IFERROR(__xludf.DUMMYFUNCTION("""COMPUTED_VALUE"""),"II")</f>
        <v>II</v>
      </c>
      <c r="F324" s="11" t="str">
        <f>IFERROR(__xludf.DUMMYFUNCTION("""COMPUTED_VALUE"""),"US_328 USF ALTO DO MARACANA	")</f>
        <v>US_328 USF ALTO DO MARACANA	</v>
      </c>
      <c r="G324" s="11" t="str">
        <f>IFERROR(__xludf.DUMMYFUNCTION("""COMPUTED_VALUE"""),"US 328 USF ALTO DO MARACANA")</f>
        <v>US 328 USF ALTO DO MARACANA</v>
      </c>
      <c r="H324" s="27">
        <f>IFERROR(__xludf.DUMMYFUNCTION("""COMPUTED_VALUE"""),81998912687)</f>
        <v>81998912687</v>
      </c>
      <c r="I324" s="11"/>
      <c r="J324" s="11"/>
      <c r="K324" s="11"/>
      <c r="L324" s="11"/>
      <c r="M324" s="28" t="str">
        <f>IFERROR(__xludf.DUMMYFUNCTION("""COMPUTED_VALUE"""),"3355-6972")</f>
        <v>3355-6972</v>
      </c>
      <c r="N324" s="11" t="str">
        <f>IFERROR(__xludf.DUMMYFUNCTION("""COMPUTED_VALUE"""),"hellensba@yahoo.com.br")</f>
        <v>hellensba@yahoo.com.br</v>
      </c>
      <c r="O324" s="29">
        <f>IFERROR(__xludf.DUMMYFUNCTION("""COMPUTED_VALUE"""),3459067489)</f>
        <v>3459067489</v>
      </c>
      <c r="P324" s="30" t="str">
        <f>IFERROR(__xludf.DUMMYFUNCTION("""COMPUTED_VALUE"""),"980016288580711")</f>
        <v>980016288580711</v>
      </c>
      <c r="Q324" s="30" t="str">
        <f>IFERROR(__xludf.DUMMYFUNCTION("""COMPUTED_VALUE"""),"3567826")</f>
        <v>3567826</v>
      </c>
      <c r="R324" s="30" t="str">
        <f>IFERROR(__xludf.DUMMYFUNCTION("""COMPUTED_VALUE"""),"0001793993")</f>
        <v>0001793993</v>
      </c>
      <c r="S324" s="30" t="str">
        <f>IFERROR(__xludf.DUMMYFUNCTION("""COMPUTED_VALUE"""),"1")</f>
        <v>1</v>
      </c>
      <c r="T324" s="30" t="str">
        <f>IFERROR(__xludf.DUMMYFUNCTION("""COMPUTED_VALUE"""),"223293")</f>
        <v>223293</v>
      </c>
      <c r="U324" s="31">
        <f>IFERROR(__xludf.DUMMYFUNCTION("""COMPUTED_VALUE"""),2232)</f>
        <v>2232</v>
      </c>
      <c r="V324" s="11"/>
      <c r="W324" s="11"/>
      <c r="X324" s="11"/>
      <c r="Y324" s="11"/>
      <c r="Z324" s="11"/>
    </row>
    <row r="325" customHeight="1" spans="1:26">
      <c r="A325" s="11" t="str">
        <f>IFERROR(__xludf.DUMMYFUNCTION("""COMPUTED_VALUE"""),"AMANDA PAULINO DE SOUZA COELHO CORREIA")</f>
        <v>AMANDA PAULINO DE SOUZA COELHO CORREIA</v>
      </c>
      <c r="B325" s="11"/>
      <c r="C325" s="11"/>
      <c r="D325" s="11" t="str">
        <f>IFERROR(__xludf.DUMMYFUNCTION("""COMPUTED_VALUE"""),"Médica eSF")</f>
        <v>Médica eSF</v>
      </c>
      <c r="E325" s="11" t="str">
        <f>IFERROR(__xludf.DUMMYFUNCTION("""COMPUTED_VALUE"""),"VIII")</f>
        <v>VIII</v>
      </c>
      <c r="F325" s="11" t="str">
        <f>IFERROR(__xludf.DUMMYFUNCTION("""COMPUTED_VALUE"""),"US_351 USF PAZ E AMOR")</f>
        <v>US_351 USF PAZ E AMOR</v>
      </c>
      <c r="G325" s="11" t="str">
        <f>IFERROR(__xludf.DUMMYFUNCTION("""COMPUTED_VALUE"""),"US 351 USF PAZ E AMOR")</f>
        <v>US 351 USF PAZ E AMOR</v>
      </c>
      <c r="H325" s="27">
        <f>IFERROR(__xludf.DUMMYFUNCTION("""COMPUTED_VALUE"""),81999288081)</f>
        <v>81999288081</v>
      </c>
      <c r="I325" s="11"/>
      <c r="J325" s="11"/>
      <c r="K325" s="11"/>
      <c r="L325" s="11"/>
      <c r="M325" s="28" t="str">
        <f>IFERROR(__xludf.DUMMYFUNCTION("""COMPUTED_VALUE"""),"3355-6650")</f>
        <v>3355-6650</v>
      </c>
      <c r="N325" s="11" t="str">
        <f>IFERROR(__xludf.DUMMYFUNCTION("""COMPUTED_VALUE"""),"amandapfs@hotmail.com")</f>
        <v>amandapfs@hotmail.com</v>
      </c>
      <c r="O325" s="29">
        <f>IFERROR(__xludf.DUMMYFUNCTION("""COMPUTED_VALUE"""),2478148498)</f>
        <v>2478148498</v>
      </c>
      <c r="P325" s="30" t="str">
        <f>IFERROR(__xludf.DUMMYFUNCTION("""COMPUTED_VALUE"""),"131233874520018")</f>
        <v>131233874520018</v>
      </c>
      <c r="Q325" s="30" t="str">
        <f>IFERROR(__xludf.DUMMYFUNCTION("""COMPUTED_VALUE"""),"6362494")</f>
        <v>6362494</v>
      </c>
      <c r="R325" s="30" t="str">
        <f>IFERROR(__xludf.DUMMYFUNCTION("""COMPUTED_VALUE"""),"0000156035")</f>
        <v>0000156035</v>
      </c>
      <c r="S325" s="30" t="str">
        <f>IFERROR(__xludf.DUMMYFUNCTION("""COMPUTED_VALUE"""),"1")</f>
        <v>1</v>
      </c>
      <c r="T325" s="30" t="str">
        <f>IFERROR(__xludf.DUMMYFUNCTION("""COMPUTED_VALUE"""),"225142")</f>
        <v>225142</v>
      </c>
      <c r="U325" s="31" t="str">
        <f>IFERROR(__xludf.DUMMYFUNCTION("""COMPUTED_VALUE"""),"2251")</f>
        <v>2251</v>
      </c>
      <c r="V325" s="11" t="str">
        <f>IFERROR(__xludf.DUMMYFUNCTION("""COMPUTED_VALUE"""),"SIM")</f>
        <v>SIM</v>
      </c>
      <c r="W325" s="11"/>
      <c r="X325" s="11">
        <f>IFERROR(__xludf.DUMMYFUNCTION("""COMPUTED_VALUE"""),30940081)</f>
        <v>30940081</v>
      </c>
      <c r="Y325" s="11">
        <f>IFERROR(__xludf.DUMMYFUNCTION("""COMPUTED_VALUE"""),99288081)</f>
        <v>99288081</v>
      </c>
      <c r="Z325" s="11">
        <f>IFERROR(__xludf.DUMMYFUNCTION("""COMPUTED_VALUE"""),2478148498)</f>
        <v>2478148498</v>
      </c>
    </row>
    <row r="326" customHeight="1" spans="1:26">
      <c r="A326" s="11" t="str">
        <f>IFERROR(__xludf.DUMMYFUNCTION("""COMPUTED_VALUE"""),"ITALENE BARROS VIANA")</f>
        <v>ITALENE BARROS VIANA</v>
      </c>
      <c r="B326" s="11"/>
      <c r="C326" s="11"/>
      <c r="D326" s="11" t="str">
        <f>IFERROR(__xludf.DUMMYFUNCTION("""COMPUTED_VALUE"""),"Dentista")</f>
        <v>Dentista</v>
      </c>
      <c r="E326" s="11" t="str">
        <f>IFERROR(__xludf.DUMMYFUNCTION("""COMPUTED_VALUE"""),"VIII")</f>
        <v>VIII</v>
      </c>
      <c r="F326" s="11" t="str">
        <f>IFERROR(__xludf.DUMMYFUNCTION("""COMPUTED_VALUE"""),"US_346 USF ALTO DA JAQUEIRA")</f>
        <v>US_346 USF ALTO DA JAQUEIRA</v>
      </c>
      <c r="G326" s="11" t="str">
        <f>IFERROR(__xludf.DUMMYFUNCTION("""COMPUTED_VALUE"""),"US_346 USF ALTO DA JAQUEIRA")</f>
        <v>US_346 USF ALTO DA JAQUEIRA</v>
      </c>
      <c r="H326" s="27">
        <f>IFERROR(__xludf.DUMMYFUNCTION("""COMPUTED_VALUE"""),81999229397)</f>
        <v>81999229397</v>
      </c>
      <c r="I326" s="11"/>
      <c r="J326" s="11"/>
      <c r="K326" s="11"/>
      <c r="L326" s="11"/>
      <c r="M326" s="11"/>
      <c r="N326" s="11"/>
      <c r="O326" s="11"/>
      <c r="P326" s="11"/>
      <c r="Q326" s="11"/>
      <c r="R326" s="11"/>
      <c r="S326" s="11"/>
      <c r="T326" s="11"/>
      <c r="U326" s="11"/>
      <c r="V326" s="11"/>
      <c r="W326" s="11"/>
      <c r="X326" s="11"/>
      <c r="Y326" s="11"/>
      <c r="Z326" s="11"/>
    </row>
    <row r="327" customHeight="1" spans="1:26">
      <c r="A327" s="11" t="str">
        <f>IFERROR(__xludf.DUMMYFUNCTION("""COMPUTED_VALUE"""),"ELAINE CRISTINA FERRAZ CORREIA")</f>
        <v>ELAINE CRISTINA FERRAZ CORREIA</v>
      </c>
      <c r="B327" s="11"/>
      <c r="C327" s="11"/>
      <c r="D327" s="11" t="str">
        <f>IFERROR(__xludf.DUMMYFUNCTION("""COMPUTED_VALUE"""),"Enfermeira eSF")</f>
        <v>Enfermeira eSF</v>
      </c>
      <c r="E327" s="11" t="str">
        <f>IFERROR(__xludf.DUMMYFUNCTION("""COMPUTED_VALUE"""),"VIII")</f>
        <v>VIII</v>
      </c>
      <c r="F327" s="11" t="str">
        <f>IFERROR(__xludf.DUMMYFUNCTION("""COMPUTED_VALUE"""),"US_346 USF ALTO DA JAQUEIRA")</f>
        <v>US_346 USF ALTO DA JAQUEIRA</v>
      </c>
      <c r="G327" s="11" t="str">
        <f>IFERROR(__xludf.DUMMYFUNCTION("""COMPUTED_VALUE"""),"US 346 USF ALTO DA JAQUEIRA")</f>
        <v>US 346 USF ALTO DA JAQUEIRA</v>
      </c>
      <c r="H327" s="27">
        <f>IFERROR(__xludf.DUMMYFUNCTION("""COMPUTED_VALUE"""),81981461504)</f>
        <v>81981461504</v>
      </c>
      <c r="I327" s="11"/>
      <c r="J327" s="11"/>
      <c r="K327" s="11"/>
      <c r="L327" s="11"/>
      <c r="M327" s="28" t="str">
        <f>IFERROR(__xludf.DUMMYFUNCTION("""COMPUTED_VALUE"""),"3355-4625")</f>
        <v>3355-4625</v>
      </c>
      <c r="N327" s="11" t="str">
        <f>IFERROR(__xludf.DUMMYFUNCTION("""COMPUTED_VALUE"""),"elainefcorreia@hotmail.com")</f>
        <v>elainefcorreia@hotmail.com</v>
      </c>
      <c r="O327" s="29">
        <f>IFERROR(__xludf.DUMMYFUNCTION("""COMPUTED_VALUE"""),3406977413)</f>
        <v>3406977413</v>
      </c>
      <c r="P327" s="30" t="str">
        <f>IFERROR(__xludf.DUMMYFUNCTION("""COMPUTED_VALUE"""),"980016004534639")</f>
        <v>980016004534639</v>
      </c>
      <c r="Q327" s="30" t="str">
        <f>IFERROR(__xludf.DUMMYFUNCTION("""COMPUTED_VALUE"""),"5653304")</f>
        <v>5653304</v>
      </c>
      <c r="R327" s="30" t="str">
        <f>IFERROR(__xludf.DUMMYFUNCTION("""COMPUTED_VALUE"""),"0000155950")</f>
        <v>0000155950</v>
      </c>
      <c r="S327" s="30" t="str">
        <f>IFERROR(__xludf.DUMMYFUNCTION("""COMPUTED_VALUE"""),"1")</f>
        <v>1</v>
      </c>
      <c r="T327" s="30" t="str">
        <f>IFERROR(__xludf.DUMMYFUNCTION("""COMPUTED_VALUE"""),"223565")</f>
        <v>223565</v>
      </c>
      <c r="U327" s="31" t="str">
        <f>IFERROR(__xludf.DUMMYFUNCTION("""COMPUTED_VALUE"""),"2235")</f>
        <v>2235</v>
      </c>
      <c r="V327" s="11"/>
      <c r="W327" s="11">
        <f>IFERROR(__xludf.DUMMYFUNCTION("""COMPUTED_VALUE"""),81461504)</f>
        <v>81461504</v>
      </c>
      <c r="X327" s="11"/>
      <c r="Y327" s="11">
        <f>IFERROR(__xludf.DUMMYFUNCTION("""COMPUTED_VALUE"""),3406977413)</f>
        <v>3406977413</v>
      </c>
      <c r="Z327" s="11"/>
    </row>
    <row r="328" customHeight="1" spans="1:26">
      <c r="A328" s="11" t="str">
        <f>IFERROR(__xludf.DUMMYFUNCTION("""COMPUTED_VALUE"""),"MARIANA EMIDIO DULTRA WAKED")</f>
        <v>MARIANA EMIDIO DULTRA WAKED</v>
      </c>
      <c r="B328" s="11"/>
      <c r="C328" s="11"/>
      <c r="D328" s="11" t="str">
        <f>IFERROR(__xludf.DUMMYFUNCTION("""COMPUTED_VALUE"""),"Enfermeira eSF")</f>
        <v>Enfermeira eSF</v>
      </c>
      <c r="E328" s="11" t="str">
        <f>IFERROR(__xludf.DUMMYFUNCTION("""COMPUTED_VALUE"""),"VIII")</f>
        <v>VIII</v>
      </c>
      <c r="F328" s="11" t="str">
        <f>IFERROR(__xludf.DUMMYFUNCTION("""COMPUTED_VALUE"""),"US_250 USF UR12 UR5 3 ETAPA")</f>
        <v>US_250 USF UR12 UR5 3 ETAPA</v>
      </c>
      <c r="G328" s="11" t="str">
        <f>IFERROR(__xludf.DUMMYFUNCTION("""COMPUTED_VALUE"""),"US 250 USF UR12 UR5 3 ETAPA")</f>
        <v>US 250 USF UR12 UR5 3 ETAPA</v>
      </c>
      <c r="H328" s="27">
        <f>IFERROR(__xludf.DUMMYFUNCTION("""COMPUTED_VALUE"""),81999725841)</f>
        <v>81999725841</v>
      </c>
      <c r="I328" s="11"/>
      <c r="J328" s="11"/>
      <c r="K328" s="11"/>
      <c r="L328" s="11"/>
      <c r="M328" s="28" t="str">
        <f>IFERROR(__xludf.DUMMYFUNCTION("""COMPUTED_VALUE"""),"3355-6690")</f>
        <v>3355-6690</v>
      </c>
      <c r="N328" s="11" t="str">
        <f>IFERROR(__xludf.DUMMYFUNCTION("""COMPUTED_VALUE"""),"maridultra@yahoo.com.br")</f>
        <v>maridultra@yahoo.com.br</v>
      </c>
      <c r="O328" s="29">
        <f>IFERROR(__xludf.DUMMYFUNCTION("""COMPUTED_VALUE"""),892809469)</f>
        <v>892809469</v>
      </c>
      <c r="P328" s="30" t="str">
        <f>IFERROR(__xludf.DUMMYFUNCTION("""COMPUTED_VALUE"""),"980016004531141")</f>
        <v>980016004531141</v>
      </c>
      <c r="Q328" s="30" t="str">
        <f>IFERROR(__xludf.DUMMYFUNCTION("""COMPUTED_VALUE"""),"0022489")</f>
        <v>0022489</v>
      </c>
      <c r="R328" s="30" t="str">
        <f>IFERROR(__xludf.DUMMYFUNCTION("""COMPUTED_VALUE"""),"0000154105")</f>
        <v>0000154105</v>
      </c>
      <c r="S328" s="30" t="str">
        <f>IFERROR(__xludf.DUMMYFUNCTION("""COMPUTED_VALUE"""),"1")</f>
        <v>1</v>
      </c>
      <c r="T328" s="30" t="str">
        <f>IFERROR(__xludf.DUMMYFUNCTION("""COMPUTED_VALUE"""),"223565")</f>
        <v>223565</v>
      </c>
      <c r="U328" s="31" t="str">
        <f>IFERROR(__xludf.DUMMYFUNCTION("""COMPUTED_VALUE"""),"2235")</f>
        <v>2235</v>
      </c>
      <c r="V328" s="11"/>
      <c r="W328" s="11" t="str">
        <f>IFERROR(__xludf.DUMMYFUNCTION("""COMPUTED_VALUE"""),"#N/A")</f>
        <v>#N/A</v>
      </c>
      <c r="X328" s="11" t="str">
        <f>IFERROR(__xludf.DUMMYFUNCTION("""COMPUTED_VALUE"""),"#N/A")</f>
        <v>#N/A</v>
      </c>
      <c r="Y328" s="11" t="str">
        <f>IFERROR(__xludf.DUMMYFUNCTION("""COMPUTED_VALUE"""),"#N/A")</f>
        <v>#N/A</v>
      </c>
      <c r="Z328" s="11"/>
    </row>
    <row r="329" customHeight="1" spans="1:26">
      <c r="A329" s="11" t="str">
        <f>IFERROR(__xludf.DUMMYFUNCTION("""COMPUTED_VALUE"""),"SIMONE MARIA NASCIMENTO DE BRITTO MACEDO")</f>
        <v>SIMONE MARIA NASCIMENTO DE BRITTO MACEDO</v>
      </c>
      <c r="B329" s="11"/>
      <c r="C329" s="11"/>
      <c r="D329" s="11" t="str">
        <f>IFERROR(__xludf.DUMMYFUNCTION("""COMPUTED_VALUE"""),"Enfermeira eSF")</f>
        <v>Enfermeira eSF</v>
      </c>
      <c r="E329" s="11" t="str">
        <f>IFERROR(__xludf.DUMMYFUNCTION("""COMPUTED_VALUE"""),"V")</f>
        <v>V</v>
      </c>
      <c r="F329" s="11" t="str">
        <f>IFERROR(__xludf.DUMMYFUNCTION("""COMPUTED_VALUE"""),"PACS SANCHO")</f>
        <v>PACS SANCHO</v>
      </c>
      <c r="G329" s="11" t="str">
        <f>IFERROR(__xludf.DUMMYFUNCTION("""COMPUTED_VALUE"""),"US 142 CS BIDU KRAUSE")</f>
        <v>US 142 CS BIDU KRAUSE</v>
      </c>
      <c r="H329" s="27">
        <f>IFERROR(__xludf.DUMMYFUNCTION("""COMPUTED_VALUE"""),81982605733)</f>
        <v>81982605733</v>
      </c>
      <c r="I329" s="11"/>
      <c r="J329" s="11"/>
      <c r="K329" s="11"/>
      <c r="L329" s="11"/>
      <c r="M329" s="28" t="str">
        <f>IFERROR(__xludf.DUMMYFUNCTION("""COMPUTED_VALUE"""),"3355-0301")</f>
        <v>3355-0301</v>
      </c>
      <c r="N329" s="11" t="str">
        <f>IFERROR(__xludf.DUMMYFUNCTION("""COMPUTED_VALUE"""),"simonenmacedo@hotmail.com")</f>
        <v>simonenmacedo@hotmail.com</v>
      </c>
      <c r="O329" s="29">
        <f>IFERROR(__xludf.DUMMYFUNCTION("""COMPUTED_VALUE"""),38852055487)</f>
        <v>38852055487</v>
      </c>
      <c r="P329" s="30" t="str">
        <f>IFERROR(__xludf.DUMMYFUNCTION("""COMPUTED_VALUE"""),"209066142140009")</f>
        <v>209066142140009</v>
      </c>
      <c r="Q329" s="30" t="str">
        <f>IFERROR(__xludf.DUMMYFUNCTION("""COMPUTED_VALUE"""),"0000868")</f>
        <v>0000868</v>
      </c>
      <c r="R329" s="30" t="str">
        <f>IFERROR(__xludf.DUMMYFUNCTION("""COMPUTED_VALUE"""),"0000152684")</f>
        <v>0000152684</v>
      </c>
      <c r="S329" s="30" t="str">
        <f>IFERROR(__xludf.DUMMYFUNCTION("""COMPUTED_VALUE"""),"1")</f>
        <v>1</v>
      </c>
      <c r="T329" s="30" t="str">
        <f>IFERROR(__xludf.DUMMYFUNCTION("""COMPUTED_VALUE"""),"223565")</f>
        <v>223565</v>
      </c>
      <c r="U329" s="31" t="str">
        <f>IFERROR(__xludf.DUMMYFUNCTION("""COMPUTED_VALUE"""),"2235")</f>
        <v>2235</v>
      </c>
      <c r="V329" s="11"/>
      <c r="W329" s="11"/>
      <c r="X329" s="11"/>
      <c r="Y329" s="11"/>
      <c r="Z329" s="11"/>
    </row>
    <row r="330" customHeight="1" spans="1:26">
      <c r="A330" s="11" t="str">
        <f>IFERROR(__xludf.DUMMYFUNCTION("""COMPUTED_VALUE"""),"KARLA ALESSANDRA DA SILVA GONCALVES")</f>
        <v>KARLA ALESSANDRA DA SILVA GONCALVES</v>
      </c>
      <c r="B330" s="11"/>
      <c r="C330" s="11"/>
      <c r="D330" s="11" t="str">
        <f>IFERROR(__xludf.DUMMYFUNCTION("""COMPUTED_VALUE"""),"Enfermeira eSF")</f>
        <v>Enfermeira eSF</v>
      </c>
      <c r="E330" s="11" t="str">
        <f>IFERROR(__xludf.DUMMYFUNCTION("""COMPUTED_VALUE"""),"VI")</f>
        <v>VI</v>
      </c>
      <c r="F330" s="11" t="str">
        <f>IFERROR(__xludf.DUMMYFUNCTION("""COMPUTED_VALUE"""),"US_268 USF CAFESOPOLIS")</f>
        <v>US_268 USF CAFESOPOLIS</v>
      </c>
      <c r="G330" s="11" t="str">
        <f>IFERROR(__xludf.DUMMYFUNCTION("""COMPUTED_VALUE"""),"US 268 USF CAFESOPOLIS")</f>
        <v>US 268 USF CAFESOPOLIS</v>
      </c>
      <c r="H330" s="27">
        <f>IFERROR(__xludf.DUMMYFUNCTION("""COMPUTED_VALUE"""),81985610281)</f>
        <v>81985610281</v>
      </c>
      <c r="I330" s="27">
        <f>IFERROR(__xludf.DUMMYFUNCTION("""COMPUTED_VALUE"""),81988326024)</f>
        <v>81988326024</v>
      </c>
      <c r="J330" s="11"/>
      <c r="K330" s="11"/>
      <c r="L330" s="11"/>
      <c r="M330" s="28" t="str">
        <f>IFERROR(__xludf.DUMMYFUNCTION("""COMPUTED_VALUE"""),"3355-6098")</f>
        <v>3355-6098</v>
      </c>
      <c r="N330" s="11" t="str">
        <f>IFERROR(__xludf.DUMMYFUNCTION("""COMPUTED_VALUE"""),"karlaasg@bol.com.br")</f>
        <v>karlaasg@bol.com.br</v>
      </c>
      <c r="O330" s="29">
        <f>IFERROR(__xludf.DUMMYFUNCTION("""COMPUTED_VALUE"""),3529036439)</f>
        <v>3529036439</v>
      </c>
      <c r="P330" s="30" t="str">
        <f>IFERROR(__xludf.DUMMYFUNCTION("""COMPUTED_VALUE"""),"980016000537137")</f>
        <v>980016000537137</v>
      </c>
      <c r="Q330" s="30" t="str">
        <f>IFERROR(__xludf.DUMMYFUNCTION("""COMPUTED_VALUE"""),"0026360")</f>
        <v>0026360</v>
      </c>
      <c r="R330" s="30" t="str">
        <f>IFERROR(__xludf.DUMMYFUNCTION("""COMPUTED_VALUE"""),"0000154350")</f>
        <v>0000154350</v>
      </c>
      <c r="S330" s="30" t="str">
        <f>IFERROR(__xludf.DUMMYFUNCTION("""COMPUTED_VALUE"""),"1")</f>
        <v>1</v>
      </c>
      <c r="T330" s="30" t="str">
        <f>IFERROR(__xludf.DUMMYFUNCTION("""COMPUTED_VALUE"""),"223565")</f>
        <v>223565</v>
      </c>
      <c r="U330" s="31" t="str">
        <f>IFERROR(__xludf.DUMMYFUNCTION("""COMPUTED_VALUE"""),"2235")</f>
        <v>2235</v>
      </c>
      <c r="V330" s="11"/>
      <c r="W330" s="11">
        <f>IFERROR(__xludf.DUMMYFUNCTION("""COMPUTED_VALUE"""),8188326024)</f>
        <v>8188326024</v>
      </c>
      <c r="X330" s="11">
        <f>IFERROR(__xludf.DUMMYFUNCTION("""COMPUTED_VALUE"""),8131250412)</f>
        <v>8131250412</v>
      </c>
      <c r="Y330" s="11">
        <f>IFERROR(__xludf.DUMMYFUNCTION("""COMPUTED_VALUE"""),3529036439)</f>
        <v>3529036439</v>
      </c>
      <c r="Z330" s="11"/>
    </row>
    <row r="331" customHeight="1" spans="1:26">
      <c r="A331" s="11" t="str">
        <f>IFERROR(__xludf.DUMMYFUNCTION("""COMPUTED_VALUE"""),"IOLANE NEVES DE SOUZA BEZERRA")</f>
        <v>IOLANE NEVES DE SOUZA BEZERRA</v>
      </c>
      <c r="B331" s="11"/>
      <c r="C331" s="11"/>
      <c r="D331" s="11" t="str">
        <f>IFERROR(__xludf.DUMMYFUNCTION("""COMPUTED_VALUE"""),"Enfermeira eSF")</f>
        <v>Enfermeira eSF</v>
      </c>
      <c r="E331" s="11" t="str">
        <f>IFERROR(__xludf.DUMMYFUNCTION("""COMPUTED_VALUE"""),"V")</f>
        <v>V</v>
      </c>
      <c r="F331" s="11" t="str">
        <f>IFERROR(__xludf.DUMMYFUNCTION("""COMPUTED_VALUE"""),"PACS ESTANCIA")</f>
        <v>PACS ESTANCIA</v>
      </c>
      <c r="G331" s="11" t="str">
        <f>IFERROR(__xludf.DUMMYFUNCTION("""COMPUTED_VALUE"""),"US 150 CS PROFESSOR FERNANDES FIGUEIRAS")</f>
        <v>US 150 CS PROFESSOR FERNANDES FIGUEIRAS</v>
      </c>
      <c r="H331" s="27">
        <f>IFERROR(__xludf.DUMMYFUNCTION("""COMPUTED_VALUE"""),81996060227)</f>
        <v>81996060227</v>
      </c>
      <c r="I331" s="11"/>
      <c r="J331" s="11"/>
      <c r="K331" s="11"/>
      <c r="L331" s="11"/>
      <c r="M331" s="28" t="str">
        <f>IFERROR(__xludf.DUMMYFUNCTION("""COMPUTED_VALUE"""),"3355-4396")</f>
        <v>3355-4396</v>
      </c>
      <c r="N331" s="11" t="str">
        <f>IFERROR(__xludf.DUMMYFUNCTION("""COMPUTED_VALUE"""),"iozinha2001@hotmail.com")</f>
        <v>iozinha2001@hotmail.com</v>
      </c>
      <c r="O331" s="29">
        <f>IFERROR(__xludf.DUMMYFUNCTION("""COMPUTED_VALUE"""),3009928408)</f>
        <v>3009928408</v>
      </c>
      <c r="P331" s="30" t="str">
        <f>IFERROR(__xludf.DUMMYFUNCTION("""COMPUTED_VALUE"""),"980016004564066")</f>
        <v>980016004564066</v>
      </c>
      <c r="Q331" s="30" t="str">
        <f>IFERROR(__xludf.DUMMYFUNCTION("""COMPUTED_VALUE"""),"0000841")</f>
        <v>0000841</v>
      </c>
      <c r="R331" s="30" t="str">
        <f>IFERROR(__xludf.DUMMYFUNCTION("""COMPUTED_VALUE"""),"0000152668")</f>
        <v>0000152668</v>
      </c>
      <c r="S331" s="30" t="str">
        <f>IFERROR(__xludf.DUMMYFUNCTION("""COMPUTED_VALUE"""),"1")</f>
        <v>1</v>
      </c>
      <c r="T331" s="30" t="str">
        <f>IFERROR(__xludf.DUMMYFUNCTION("""COMPUTED_VALUE"""),"223565")</f>
        <v>223565</v>
      </c>
      <c r="U331" s="31" t="str">
        <f>IFERROR(__xludf.DUMMYFUNCTION("""COMPUTED_VALUE"""),"2235")</f>
        <v>2235</v>
      </c>
      <c r="V331" s="11"/>
      <c r="W331" s="11"/>
      <c r="X331" s="11"/>
      <c r="Y331" s="11"/>
      <c r="Z331" s="11"/>
    </row>
    <row r="332" customHeight="1" spans="1:26">
      <c r="A332" s="11" t="str">
        <f>IFERROR(__xludf.DUMMYFUNCTION("""COMPUTED_VALUE"""),"DALIA WILLIANY PINTO ARAUJO DE VASCONCELOS")</f>
        <v>DALIA WILLIANY PINTO ARAUJO DE VASCONCELOS</v>
      </c>
      <c r="B332" s="11"/>
      <c r="C332" s="11"/>
      <c r="D332" s="11" t="str">
        <f>IFERROR(__xludf.DUMMYFUNCTION("""COMPUTED_VALUE"""),"Enfermeira eSF")</f>
        <v>Enfermeira eSF</v>
      </c>
      <c r="E332" s="11" t="str">
        <f>IFERROR(__xludf.DUMMYFUNCTION("""COMPUTED_VALUE"""),"VIII")</f>
        <v>VIII</v>
      </c>
      <c r="F332" s="11" t="str">
        <f>IFERROR(__xludf.DUMMYFUNCTION("""COMPUTED_VALUE"""),"US_351 USF PAZ E AMOR")</f>
        <v>US_351 USF PAZ E AMOR</v>
      </c>
      <c r="G332" s="11" t="str">
        <f>IFERROR(__xludf.DUMMYFUNCTION("""COMPUTED_VALUE"""),"US 351 USF PAZ E AMOR")</f>
        <v>US 351 USF PAZ E AMOR</v>
      </c>
      <c r="H332" s="27">
        <f>IFERROR(__xludf.DUMMYFUNCTION("""COMPUTED_VALUE"""),81992627794)</f>
        <v>81992627794</v>
      </c>
      <c r="I332" s="11"/>
      <c r="J332" s="11"/>
      <c r="K332" s="11"/>
      <c r="L332" s="11"/>
      <c r="M332" s="28" t="str">
        <f>IFERROR(__xludf.DUMMYFUNCTION("""COMPUTED_VALUE"""),"3355-6650")</f>
        <v>3355-6650</v>
      </c>
      <c r="N332" s="11" t="str">
        <f>IFERROR(__xludf.DUMMYFUNCTION("""COMPUTED_VALUE"""),"daliawilliany@yahoo.com.br")</f>
        <v>daliawilliany@yahoo.com.br</v>
      </c>
      <c r="O332" s="29">
        <f>IFERROR(__xludf.DUMMYFUNCTION("""COMPUTED_VALUE"""),2953940480)</f>
        <v>2953940480</v>
      </c>
      <c r="P332" s="30" t="str">
        <f>IFERROR(__xludf.DUMMYFUNCTION("""COMPUTED_VALUE"""),"204324649500004")</f>
        <v>204324649500004</v>
      </c>
      <c r="Q332" s="30" t="str">
        <f>IFERROR(__xludf.DUMMYFUNCTION("""COMPUTED_VALUE"""),"6362494")</f>
        <v>6362494</v>
      </c>
      <c r="R332" s="30" t="str">
        <f>IFERROR(__xludf.DUMMYFUNCTION("""COMPUTED_VALUE"""),"0000156035")</f>
        <v>0000156035</v>
      </c>
      <c r="S332" s="30" t="str">
        <f>IFERROR(__xludf.DUMMYFUNCTION("""COMPUTED_VALUE"""),"1")</f>
        <v>1</v>
      </c>
      <c r="T332" s="30" t="str">
        <f>IFERROR(__xludf.DUMMYFUNCTION("""COMPUTED_VALUE"""),"223565")</f>
        <v>223565</v>
      </c>
      <c r="U332" s="31" t="str">
        <f>IFERROR(__xludf.DUMMYFUNCTION("""COMPUTED_VALUE"""),"2235")</f>
        <v>2235</v>
      </c>
      <c r="V332" s="11"/>
      <c r="W332" s="11">
        <f>IFERROR(__xludf.DUMMYFUNCTION("""COMPUTED_VALUE"""),8192627794)</f>
        <v>8192627794</v>
      </c>
      <c r="X332" s="11">
        <f>IFERROR(__xludf.DUMMYFUNCTION("""COMPUTED_VALUE"""),8132511985)</f>
        <v>8132511985</v>
      </c>
      <c r="Y332" s="11">
        <f>IFERROR(__xludf.DUMMYFUNCTION("""COMPUTED_VALUE"""),2953940480)</f>
        <v>2953940480</v>
      </c>
      <c r="Z332" s="11"/>
    </row>
    <row r="333" customHeight="1" spans="1:26">
      <c r="A333" s="11" t="str">
        <f>IFERROR(__xludf.DUMMYFUNCTION("""COMPUTED_VALUE"""),"ANA LUCIA MOTA DANTAS")</f>
        <v>ANA LUCIA MOTA DANTAS</v>
      </c>
      <c r="B333" s="11"/>
      <c r="C333" s="11"/>
      <c r="D333" s="11" t="str">
        <f>IFERROR(__xludf.DUMMYFUNCTION("""COMPUTED_VALUE"""),"Dentista")</f>
        <v>Dentista</v>
      </c>
      <c r="E333" s="11" t="str">
        <f>IFERROR(__xludf.DUMMYFUNCTION("""COMPUTED_VALUE"""),"VIII")</f>
        <v>VIII</v>
      </c>
      <c r="F333" s="11" t="str">
        <f>IFERROR(__xludf.DUMMYFUNCTION("""COMPUTED_VALUE"""),"SERMAC")</f>
        <v>SERMAC</v>
      </c>
      <c r="G333" s="11" t="str">
        <f>IFERROR(__xludf.DUMMYFUNCTION("""COMPUTED_VALUE"""),"US 228 USF UPINHA DIA DES JOSE MANOEL DE FREITAS UR 4UR 5")</f>
        <v>US 228 USF UPINHA DIA DES JOSE MANOEL DE FREITAS UR 4UR 5</v>
      </c>
      <c r="H333" s="27">
        <f>IFERROR(__xludf.DUMMYFUNCTION("""COMPUTED_VALUE"""),81997579083)</f>
        <v>81997579083</v>
      </c>
      <c r="I333" s="11"/>
      <c r="J333" s="11"/>
      <c r="K333" s="11"/>
      <c r="L333" s="11"/>
      <c r="M333" s="28" t="str">
        <f>IFERROR(__xludf.DUMMYFUNCTION("""COMPUTED_VALUE"""),"3355-6166")</f>
        <v>3355-6166</v>
      </c>
      <c r="N333" s="11" t="str">
        <f>IFERROR(__xludf.DUMMYFUNCTION("""COMPUTED_VALUE"""),"analudanttas@yahoo.com.br")</f>
        <v>analudanttas@yahoo.com.br</v>
      </c>
      <c r="O333" s="29">
        <f>IFERROR(__xludf.DUMMYFUNCTION("""COMPUTED_VALUE"""),4641859477)</f>
        <v>4641859477</v>
      </c>
      <c r="P333" s="30" t="str">
        <f>IFERROR(__xludf.DUMMYFUNCTION("""COMPUTED_VALUE"""),"980016285177266")</f>
        <v>980016285177266</v>
      </c>
      <c r="Q333" s="30" t="str">
        <f>IFERROR(__xludf.DUMMYFUNCTION("""COMPUTED_VALUE"""),"0022454")</f>
        <v>0022454</v>
      </c>
      <c r="R333" s="30" t="str">
        <f>IFERROR(__xludf.DUMMYFUNCTION("""COMPUTED_VALUE"""),"0001856154")</f>
        <v>0001856154</v>
      </c>
      <c r="S333" s="30" t="str">
        <f>IFERROR(__xludf.DUMMYFUNCTION("""COMPUTED_VALUE"""),"1")</f>
        <v>1</v>
      </c>
      <c r="T333" s="30" t="str">
        <f>IFERROR(__xludf.DUMMYFUNCTION("""COMPUTED_VALUE"""),"223293")</f>
        <v>223293</v>
      </c>
      <c r="U333" s="31">
        <f>IFERROR(__xludf.DUMMYFUNCTION("""COMPUTED_VALUE"""),2232)</f>
        <v>2232</v>
      </c>
      <c r="V333" s="11"/>
      <c r="W333" s="11"/>
      <c r="X333" s="11"/>
      <c r="Y333" s="11"/>
      <c r="Z333" s="11"/>
    </row>
    <row r="334" customHeight="1" spans="1:26">
      <c r="A334" s="11" t="str">
        <f>IFERROR(__xludf.DUMMYFUNCTION("""COMPUTED_VALUE"""),"FERNANDO ANTONIO VASCONCELOS DE SOUSA JUNIOR")</f>
        <v>FERNANDO ANTONIO VASCONCELOS DE SOUSA JUNIOR</v>
      </c>
      <c r="B334" s="11"/>
      <c r="C334" s="11"/>
      <c r="D334" s="11" t="str">
        <f>IFERROR(__xludf.DUMMYFUNCTION("""COMPUTED_VALUE"""),"Médico eSF")</f>
        <v>Médico eSF</v>
      </c>
      <c r="E334" s="11" t="str">
        <f>IFERROR(__xludf.DUMMYFUNCTION("""COMPUTED_VALUE"""),"VII")</f>
        <v>VII</v>
      </c>
      <c r="F334" s="11" t="str">
        <f>IFERROR(__xludf.DUMMYFUNCTION("""COMPUTED_VALUE"""),"US_290 USF DA MANGABEIRA")</f>
        <v>US_290 USF DA MANGABEIRA</v>
      </c>
      <c r="G334" s="11" t="str">
        <f>IFERROR(__xludf.DUMMYFUNCTION("""COMPUTED_VALUE"""),"US 290 USF DA MANGABEIRA")</f>
        <v>US 290 USF DA MANGABEIRA</v>
      </c>
      <c r="H334" s="27">
        <f>IFERROR(__xludf.DUMMYFUNCTION("""COMPUTED_VALUE"""),81996722885)</f>
        <v>81996722885</v>
      </c>
      <c r="I334" s="11"/>
      <c r="J334" s="11"/>
      <c r="K334" s="11"/>
      <c r="L334" s="11"/>
      <c r="M334" s="28" t="str">
        <f>IFERROR(__xludf.DUMMYFUNCTION("""COMPUTED_VALUE"""),"3355-6182")</f>
        <v>3355-6182</v>
      </c>
      <c r="N334" s="11" t="str">
        <f>IFERROR(__xludf.DUMMYFUNCTION("""COMPUTED_VALUE"""),"favsjr@outlook.com")</f>
        <v>favsjr@outlook.com</v>
      </c>
      <c r="O334" s="29">
        <f>IFERROR(__xludf.DUMMYFUNCTION("""COMPUTED_VALUE"""),88434389487)</f>
        <v>88434389487</v>
      </c>
      <c r="P334" s="30" t="str">
        <f>IFERROR(__xludf.DUMMYFUNCTION("""COMPUTED_VALUE"""),"206790138860004")</f>
        <v>206790138860004</v>
      </c>
      <c r="Q334" s="30" t="str">
        <f>IFERROR(__xludf.DUMMYFUNCTION("""COMPUTED_VALUE"""),"3006476")</f>
        <v>3006476</v>
      </c>
      <c r="R334" s="30" t="str">
        <f>IFERROR(__xludf.DUMMYFUNCTION("""COMPUTED_VALUE"""),"0000154938")</f>
        <v>0000154938</v>
      </c>
      <c r="S334" s="30" t="str">
        <f>IFERROR(__xludf.DUMMYFUNCTION("""COMPUTED_VALUE"""),"1")</f>
        <v>1</v>
      </c>
      <c r="T334" s="30" t="str">
        <f>IFERROR(__xludf.DUMMYFUNCTION("""COMPUTED_VALUE"""),"225142")</f>
        <v>225142</v>
      </c>
      <c r="U334" s="31" t="str">
        <f>IFERROR(__xludf.DUMMYFUNCTION("""COMPUTED_VALUE"""),"2251")</f>
        <v>2251</v>
      </c>
      <c r="V334" s="11" t="str">
        <f>IFERROR(__xludf.DUMMYFUNCTION("""COMPUTED_VALUE"""),"SIM")</f>
        <v>SIM</v>
      </c>
      <c r="W334" s="11"/>
      <c r="X334" s="11" t="str">
        <f>IFERROR(__xludf.DUMMYFUNCTION("""COMPUTED_VALUE"""),"81 32414623")</f>
        <v>81 32414623</v>
      </c>
      <c r="Y334" s="11" t="str">
        <f>IFERROR(__xludf.DUMMYFUNCTION("""COMPUTED_VALUE"""),"81 86312724")</f>
        <v>81 86312724</v>
      </c>
      <c r="Z334" s="11">
        <f>IFERROR(__xludf.DUMMYFUNCTION("""COMPUTED_VALUE"""),88434389487)</f>
        <v>88434389487</v>
      </c>
    </row>
    <row r="335" customHeight="1" spans="1:26">
      <c r="A335" s="11" t="str">
        <f>IFERROR(__xludf.DUMMYFUNCTION("""COMPUTED_VALUE"""),"AMELIA BEATRIZ CAMARA VIDAL")</f>
        <v>AMELIA BEATRIZ CAMARA VIDAL</v>
      </c>
      <c r="B335" s="11"/>
      <c r="C335" s="11"/>
      <c r="D335" s="11" t="str">
        <f>IFERROR(__xludf.DUMMYFUNCTION("""COMPUTED_VALUE"""),"Médica eSF")</f>
        <v>Médica eSF</v>
      </c>
      <c r="E335" s="11" t="str">
        <f>IFERROR(__xludf.DUMMYFUNCTION("""COMPUTED_VALUE"""),"VI")</f>
        <v>VI</v>
      </c>
      <c r="F335" s="11" t="str">
        <f>IFERROR(__xludf.DUMMYFUNCTION("""COMPUTED_VALUE"""),"US_316 USF BERNARD VAN LEER")</f>
        <v>US_316 USF BERNARD VAN LEER</v>
      </c>
      <c r="G335" s="11" t="str">
        <f>IFERROR(__xludf.DUMMYFUNCTION("""COMPUTED_VALUE"""),"US 316 USF BERNARD VAN LEER")</f>
        <v>US 316 USF BERNARD VAN LEER</v>
      </c>
      <c r="H335" s="27">
        <f>IFERROR(__xludf.DUMMYFUNCTION("""COMPUTED_VALUE"""),81982350322)</f>
        <v>81982350322</v>
      </c>
      <c r="I335" s="11"/>
      <c r="J335" s="11"/>
      <c r="K335" s="11"/>
      <c r="L335" s="11"/>
      <c r="M335" s="28" t="str">
        <f>IFERROR(__xludf.DUMMYFUNCTION("""COMPUTED_VALUE"""),"3355-6406")</f>
        <v>3355-6406</v>
      </c>
      <c r="N335" s="11" t="str">
        <f>IFERROR(__xludf.DUMMYFUNCTION("""COMPUTED_VALUE"""),"ameliabeatriz@gmail.com")</f>
        <v>ameliabeatriz@gmail.com</v>
      </c>
      <c r="O335" s="29">
        <f>IFERROR(__xludf.DUMMYFUNCTION("""COMPUTED_VALUE"""),89891384420)</f>
        <v>89891384420</v>
      </c>
      <c r="P335" s="30" t="str">
        <f>IFERROR(__xludf.DUMMYFUNCTION("""COMPUTED_VALUE"""),"207289302390002")</f>
        <v>207289302390002</v>
      </c>
      <c r="Q335" s="30" t="str">
        <f>IFERROR(__xludf.DUMMYFUNCTION("""COMPUTED_VALUE"""),"3562581")</f>
        <v>3562581</v>
      </c>
      <c r="R335" s="30" t="str">
        <f>IFERROR(__xludf.DUMMYFUNCTION("""COMPUTED_VALUE"""),"0000155519")</f>
        <v>0000155519</v>
      </c>
      <c r="S335" s="30" t="str">
        <f>IFERROR(__xludf.DUMMYFUNCTION("""COMPUTED_VALUE"""),"1")</f>
        <v>1</v>
      </c>
      <c r="T335" s="30" t="str">
        <f>IFERROR(__xludf.DUMMYFUNCTION("""COMPUTED_VALUE"""),"225142")</f>
        <v>225142</v>
      </c>
      <c r="U335" s="31" t="str">
        <f>IFERROR(__xludf.DUMMYFUNCTION("""COMPUTED_VALUE"""),"2251")</f>
        <v>2251</v>
      </c>
      <c r="V335" s="11"/>
      <c r="W335" s="11"/>
      <c r="X335" s="11">
        <f>IFERROR(__xludf.DUMMYFUNCTION("""COMPUTED_VALUE"""),81982350322)</f>
        <v>81982350322</v>
      </c>
      <c r="Y335" s="11">
        <f>IFERROR(__xludf.DUMMYFUNCTION("""COMPUTED_VALUE"""),81996009895)</f>
        <v>81996009895</v>
      </c>
      <c r="Z335" s="11">
        <f>IFERROR(__xludf.DUMMYFUNCTION("""COMPUTED_VALUE"""),89891384420)</f>
        <v>89891384420</v>
      </c>
    </row>
    <row r="336" customHeight="1" spans="1:26">
      <c r="A336" s="11" t="str">
        <f>IFERROR(__xludf.DUMMYFUNCTION("""COMPUTED_VALUE"""),"LIGIANA NASCIMENTO DE LUCENA")</f>
        <v>LIGIANA NASCIMENTO DE LUCENA</v>
      </c>
      <c r="B336" s="11"/>
      <c r="C336" s="11"/>
      <c r="D336" s="11" t="str">
        <f>IFERROR(__xludf.DUMMYFUNCTION("""COMPUTED_VALUE"""),"Enfermeira eSF")</f>
        <v>Enfermeira eSF</v>
      </c>
      <c r="E336" s="11" t="str">
        <f>IFERROR(__xludf.DUMMYFUNCTION("""COMPUTED_VALUE"""),"IV")</f>
        <v>IV</v>
      </c>
      <c r="F336" s="11" t="str">
        <f>IFERROR(__xludf.DUMMYFUNCTION("""COMPUTED_VALUE"""),"SEGTES")</f>
        <v>SEGTES</v>
      </c>
      <c r="G336" s="11" t="str">
        <f>IFERROR(__xludf.DUMMYFUNCTION("""COMPUTED_VALUE"""),"US 234 USF RODA DE FOGO COSIROF")</f>
        <v>US 234 USF RODA DE FOGO COSIROF</v>
      </c>
      <c r="H336" s="27">
        <f>IFERROR(__xludf.DUMMYFUNCTION("""COMPUTED_VALUE"""),81988881602)</f>
        <v>81988881602</v>
      </c>
      <c r="I336" s="27">
        <f>IFERROR(__xludf.DUMMYFUNCTION("""COMPUTED_VALUE"""),81997288572)</f>
        <v>81997288572</v>
      </c>
      <c r="J336" s="11"/>
      <c r="K336" s="11"/>
      <c r="L336" s="11"/>
      <c r="M336" s="28" t="str">
        <f>IFERROR(__xludf.DUMMYFUNCTION("""COMPUTED_VALUE"""),"3355-6423")</f>
        <v>3355-6423</v>
      </c>
      <c r="N336" s="11" t="str">
        <f>IFERROR(__xludf.DUMMYFUNCTION("""COMPUTED_VALUE"""),"ligilucena@yahoo.com.br / ligilucena@gmail.com")</f>
        <v>ligilucena@yahoo.com.br / ligilucena@gmail.com</v>
      </c>
      <c r="O336" s="29">
        <f>IFERROR(__xludf.DUMMYFUNCTION("""COMPUTED_VALUE"""),75323567368)</f>
        <v>75323567368</v>
      </c>
      <c r="P336" s="30" t="str">
        <f>IFERROR(__xludf.DUMMYFUNCTION("""COMPUTED_VALUE"""),"204324772890001")</f>
        <v>204324772890001</v>
      </c>
      <c r="Q336" s="30" t="str">
        <f>IFERROR(__xludf.DUMMYFUNCTION("""COMPUTED_VALUE"""),"0022330")</f>
        <v>0022330</v>
      </c>
      <c r="R336" s="30" t="str">
        <f>IFERROR(__xludf.DUMMYFUNCTION("""COMPUTED_VALUE"""),"0000153869")</f>
        <v>0000153869</v>
      </c>
      <c r="S336" s="30" t="str">
        <f>IFERROR(__xludf.DUMMYFUNCTION("""COMPUTED_VALUE"""),"1")</f>
        <v>1</v>
      </c>
      <c r="T336" s="30" t="str">
        <f>IFERROR(__xludf.DUMMYFUNCTION("""COMPUTED_VALUE"""),"223565")</f>
        <v>223565</v>
      </c>
      <c r="U336" s="31" t="str">
        <f>IFERROR(__xludf.DUMMYFUNCTION("""COMPUTED_VALUE"""),"2235")</f>
        <v>2235</v>
      </c>
      <c r="V336" s="11"/>
      <c r="W336" s="11">
        <f>IFERROR(__xludf.DUMMYFUNCTION("""COMPUTED_VALUE"""),8188811602)</f>
        <v>8188811602</v>
      </c>
      <c r="X336" s="11"/>
      <c r="Y336" s="11">
        <f>IFERROR(__xludf.DUMMYFUNCTION("""COMPUTED_VALUE"""),75323567368)</f>
        <v>75323567368</v>
      </c>
      <c r="Z336" s="11"/>
    </row>
    <row r="337" customHeight="1" spans="1:26">
      <c r="A337" s="11" t="str">
        <f>IFERROR(__xludf.DUMMYFUNCTION("""COMPUTED_VALUE"""),"LAURA VIRGINIA RODRIGUES DOMINGUES")</f>
        <v>LAURA VIRGINIA RODRIGUES DOMINGUES</v>
      </c>
      <c r="B337" s="11"/>
      <c r="C337" s="11"/>
      <c r="D337" s="11" t="str">
        <f>IFERROR(__xludf.DUMMYFUNCTION("""COMPUTED_VALUE"""),"Enfermeira eSF")</f>
        <v>Enfermeira eSF</v>
      </c>
      <c r="E337" s="11" t="str">
        <f>IFERROR(__xludf.DUMMYFUNCTION("""COMPUTED_VALUE"""),"VIII")</f>
        <v>VIII</v>
      </c>
      <c r="F337" s="11" t="str">
        <f>IFERROR(__xludf.DUMMYFUNCTION("""COMPUTED_VALUE"""),"US_289 USF JOSUE DE CASTRO")</f>
        <v>US_289 USF JOSUE DE CASTRO</v>
      </c>
      <c r="G337" s="11" t="str">
        <f>IFERROR(__xludf.DUMMYFUNCTION("""COMPUTED_VALUE"""),"US 289 USF JOSUE DE CASTRO")</f>
        <v>US 289 USF JOSUE DE CASTRO</v>
      </c>
      <c r="H337" s="27">
        <f>IFERROR(__xludf.DUMMYFUNCTION("""COMPUTED_VALUE"""),81996880146)</f>
        <v>81996880146</v>
      </c>
      <c r="I337" s="11"/>
      <c r="J337" s="11"/>
      <c r="K337" s="11"/>
      <c r="L337" s="11"/>
      <c r="M337" s="28" t="str">
        <f>IFERROR(__xludf.DUMMYFUNCTION("""COMPUTED_VALUE"""),"3355-3037")</f>
        <v>3355-3037</v>
      </c>
      <c r="N337" s="11" t="str">
        <f>IFERROR(__xludf.DUMMYFUNCTION("""COMPUTED_VALUE"""),"lauravrdomingues@hotmail.com")</f>
        <v>lauravrdomingues@hotmail.com</v>
      </c>
      <c r="O337" s="29">
        <f>IFERROR(__xludf.DUMMYFUNCTION("""COMPUTED_VALUE"""),4310749410)</f>
        <v>4310749410</v>
      </c>
      <c r="P337" s="30" t="str">
        <f>IFERROR(__xludf.DUMMYFUNCTION("""COMPUTED_VALUE"""),"980016004536925")</f>
        <v>980016004536925</v>
      </c>
      <c r="Q337" s="30" t="str">
        <f>IFERROR(__xludf.DUMMYFUNCTION("""COMPUTED_VALUE"""),"2752824")</f>
        <v>2752824</v>
      </c>
      <c r="R337" s="30" t="str">
        <f>IFERROR(__xludf.DUMMYFUNCTION("""COMPUTED_VALUE"""),"0000154857")</f>
        <v>0000154857</v>
      </c>
      <c r="S337" s="30" t="str">
        <f>IFERROR(__xludf.DUMMYFUNCTION("""COMPUTED_VALUE"""),"1")</f>
        <v>1</v>
      </c>
      <c r="T337" s="30" t="str">
        <f>IFERROR(__xludf.DUMMYFUNCTION("""COMPUTED_VALUE"""),"223565")</f>
        <v>223565</v>
      </c>
      <c r="U337" s="31" t="str">
        <f>IFERROR(__xludf.DUMMYFUNCTION("""COMPUTED_VALUE"""),"2235")</f>
        <v>2235</v>
      </c>
      <c r="V337" s="11"/>
      <c r="W337" s="11" t="str">
        <f>IFERROR(__xludf.DUMMYFUNCTION("""COMPUTED_VALUE"""),"#N/A")</f>
        <v>#N/A</v>
      </c>
      <c r="X337" s="11" t="str">
        <f>IFERROR(__xludf.DUMMYFUNCTION("""COMPUTED_VALUE"""),"#N/A")</f>
        <v>#N/A</v>
      </c>
      <c r="Y337" s="11" t="str">
        <f>IFERROR(__xludf.DUMMYFUNCTION("""COMPUTED_VALUE"""),"#N/A")</f>
        <v>#N/A</v>
      </c>
      <c r="Z337" s="11"/>
    </row>
    <row r="338" customHeight="1" spans="1:26">
      <c r="A338" s="11" t="str">
        <f>IFERROR(__xludf.DUMMYFUNCTION("""COMPUTED_VALUE"""),"MARIANNE REGINA ARAUJO SABINO")</f>
        <v>MARIANNE REGINA ARAUJO SABINO</v>
      </c>
      <c r="B338" s="11"/>
      <c r="C338" s="11"/>
      <c r="D338" s="11" t="str">
        <f>IFERROR(__xludf.DUMMYFUNCTION("""COMPUTED_VALUE"""),"Médica eSF")</f>
        <v>Médica eSF</v>
      </c>
      <c r="E338" s="11" t="str">
        <f>IFERROR(__xludf.DUMMYFUNCTION("""COMPUTED_VALUE"""),"IV")</f>
        <v>IV</v>
      </c>
      <c r="F338" s="11" t="str">
        <f>IFERROR(__xludf.DUMMYFUNCTION("""COMPUTED_VALUE"""),"US_254 USF BRASILIT	")</f>
        <v>US_254 USF BRASILIT	</v>
      </c>
      <c r="G338" s="11" t="str">
        <f>IFERROR(__xludf.DUMMYFUNCTION("""COMPUTED_VALUE"""),"US 254 USF BRASILIT")</f>
        <v>US 254 USF BRASILIT</v>
      </c>
      <c r="H338" s="27">
        <f>IFERROR(__xludf.DUMMYFUNCTION("""COMPUTED_VALUE"""),81995465432)</f>
        <v>81995465432</v>
      </c>
      <c r="I338" s="11"/>
      <c r="J338" s="11"/>
      <c r="K338" s="11"/>
      <c r="L338" s="11"/>
      <c r="M338" s="28" t="str">
        <f>IFERROR(__xludf.DUMMYFUNCTION("""COMPUTED_VALUE"""),"3355-6410")</f>
        <v>3355-6410</v>
      </c>
      <c r="N338" s="11" t="str">
        <f>IFERROR(__xludf.DUMMYFUNCTION("""COMPUTED_VALUE"""),"marianne.sabino@gmail.com")</f>
        <v>marianne.sabino@gmail.com</v>
      </c>
      <c r="O338" s="29">
        <f>IFERROR(__xludf.DUMMYFUNCTION("""COMPUTED_VALUE"""),5231129470)</f>
        <v>5231129470</v>
      </c>
      <c r="P338" s="30" t="str">
        <f>IFERROR(__xludf.DUMMYFUNCTION("""COMPUTED_VALUE"""),"980016284704416")</f>
        <v>980016284704416</v>
      </c>
      <c r="Q338" s="30" t="str">
        <f>IFERROR(__xludf.DUMMYFUNCTION("""COMPUTED_VALUE"""),"0024511")</f>
        <v>0024511</v>
      </c>
      <c r="R338" s="30" t="str">
        <f>IFERROR(__xludf.DUMMYFUNCTION("""COMPUTED_VALUE"""),"0000154164")</f>
        <v>0000154164</v>
      </c>
      <c r="S338" s="30" t="str">
        <f>IFERROR(__xludf.DUMMYFUNCTION("""COMPUTED_VALUE"""),"1")</f>
        <v>1</v>
      </c>
      <c r="T338" s="30" t="str">
        <f>IFERROR(__xludf.DUMMYFUNCTION("""COMPUTED_VALUE"""),"225142")</f>
        <v>225142</v>
      </c>
      <c r="U338" s="31" t="str">
        <f>IFERROR(__xludf.DUMMYFUNCTION("""COMPUTED_VALUE"""),"2251")</f>
        <v>2251</v>
      </c>
      <c r="V338" s="11"/>
      <c r="W338" s="11"/>
      <c r="X338" s="11">
        <f>IFERROR(__xludf.DUMMYFUNCTION("""COMPUTED_VALUE"""),8195465432)</f>
        <v>8195465432</v>
      </c>
      <c r="Y338" s="11">
        <f>IFERROR(__xludf.DUMMYFUNCTION("""COMPUTED_VALUE"""),8134763077)</f>
        <v>8134763077</v>
      </c>
      <c r="Z338" s="11">
        <f>IFERROR(__xludf.DUMMYFUNCTION("""COMPUTED_VALUE"""),5231129470)</f>
        <v>5231129470</v>
      </c>
    </row>
    <row r="339" customHeight="1" spans="1:26">
      <c r="A339" s="11" t="str">
        <f>IFERROR(__xludf.DUMMYFUNCTION("""COMPUTED_VALUE"""),"FABIANA MARIA FALCAO BARRETO")</f>
        <v>FABIANA MARIA FALCAO BARRETO</v>
      </c>
      <c r="B339" s="11" t="str">
        <f>IFERROR(__xludf.DUMMYFUNCTION("""COMPUTED_VALUE"""),"RECUSA TELECONSULTORIA")</f>
        <v>RECUSA TELECONSULTORIA</v>
      </c>
      <c r="C339" s="11"/>
      <c r="D339" s="11" t="str">
        <f>IFERROR(__xludf.DUMMYFUNCTION("""COMPUTED_VALUE"""),"Médica eSF")</f>
        <v>Médica eSF</v>
      </c>
      <c r="E339" s="11" t="str">
        <f>IFERROR(__xludf.DUMMYFUNCTION("""COMPUTED_VALUE"""),"II")</f>
        <v>II</v>
      </c>
      <c r="F339" s="11" t="str">
        <f>IFERROR(__xludf.DUMMYFUNCTION("""COMPUTED_VALUE"""),"US_273 USF BIANOR TEODOSIO")</f>
        <v>US_273 USF BIANOR TEODOSIO</v>
      </c>
      <c r="G339" s="11" t="str">
        <f>IFERROR(__xludf.DUMMYFUNCTION("""COMPUTED_VALUE"""),"US 273 USF BIANOR TEODOSIO")</f>
        <v>US 273 USF BIANOR TEODOSIO</v>
      </c>
      <c r="H339" s="27">
        <f>IFERROR(__xludf.DUMMYFUNCTION("""COMPUTED_VALUE"""),81992197777)</f>
        <v>81992197777</v>
      </c>
      <c r="I339" s="27">
        <f>IFERROR(__xludf.DUMMYFUNCTION("""COMPUTED_VALUE"""),81992197775)</f>
        <v>81992197775</v>
      </c>
      <c r="J339" s="11"/>
      <c r="K339" s="11"/>
      <c r="L339" s="28" t="str">
        <f>IFERROR(__xludf.DUMMYFUNCTION("""COMPUTED_VALUE"""),"X")</f>
        <v>X</v>
      </c>
      <c r="M339" s="28" t="str">
        <f>IFERROR(__xludf.DUMMYFUNCTION("""COMPUTED_VALUE"""),"3355-6094")</f>
        <v>3355-6094</v>
      </c>
      <c r="N339" s="11" t="str">
        <f>IFERROR(__xludf.DUMMYFUNCTION("""COMPUTED_VALUE"""),"fabiana.falcao@ig.com.br / fbnfalcaobarreto@hotmail.com")</f>
        <v>fabiana.falcao@ig.com.br / fbnfalcaobarreto@hotmail.com</v>
      </c>
      <c r="O339" s="29">
        <f>IFERROR(__xludf.DUMMYFUNCTION("""COMPUTED_VALUE"""),96201533400)</f>
        <v>96201533400</v>
      </c>
      <c r="P339" s="30" t="str">
        <f>IFERROR(__xludf.DUMMYFUNCTION("""COMPUTED_VALUE"""),"980016000471276")</f>
        <v>980016000471276</v>
      </c>
      <c r="Q339" s="30" t="str">
        <f>IFERROR(__xludf.DUMMYFUNCTION("""COMPUTED_VALUE"""),"0028088")</f>
        <v>0028088</v>
      </c>
      <c r="R339" s="30" t="str">
        <f>IFERROR(__xludf.DUMMYFUNCTION("""COMPUTED_VALUE"""),"0000154466")</f>
        <v>0000154466</v>
      </c>
      <c r="S339" s="30" t="str">
        <f>IFERROR(__xludf.DUMMYFUNCTION("""COMPUTED_VALUE"""),"1")</f>
        <v>1</v>
      </c>
      <c r="T339" s="30" t="str">
        <f>IFERROR(__xludf.DUMMYFUNCTION("""COMPUTED_VALUE"""),"225142")</f>
        <v>225142</v>
      </c>
      <c r="U339" s="11">
        <f>IFERROR(__xludf.DUMMYFUNCTION("""COMPUTED_VALUE"""),2251)</f>
        <v>2251</v>
      </c>
      <c r="V339" s="11"/>
      <c r="W339" s="11"/>
      <c r="X339" s="11">
        <f>IFERROR(__xludf.DUMMYFUNCTION("""COMPUTED_VALUE"""),8196680694)</f>
        <v>8196680694</v>
      </c>
      <c r="Y339" s="11"/>
      <c r="Z339" s="11">
        <f>IFERROR(__xludf.DUMMYFUNCTION("""COMPUTED_VALUE"""),96201533400)</f>
        <v>96201533400</v>
      </c>
    </row>
    <row r="340" customHeight="1" spans="1:26">
      <c r="A340" s="11" t="str">
        <f>IFERROR(__xludf.DUMMYFUNCTION("""COMPUTED_VALUE"""),"JOSE AFRANIO DA SILVA")</f>
        <v>JOSE AFRANIO DA SILVA</v>
      </c>
      <c r="B340" s="11"/>
      <c r="C340" s="11"/>
      <c r="D340" s="11" t="str">
        <f>IFERROR(__xludf.DUMMYFUNCTION("""COMPUTED_VALUE"""),"Enfermeiro eSF")</f>
        <v>Enfermeiro eSF</v>
      </c>
      <c r="E340" s="11" t="str">
        <f>IFERROR(__xludf.DUMMYFUNCTION("""COMPUTED_VALUE"""),"IV")</f>
        <v>IV</v>
      </c>
      <c r="F340" s="11" t="str">
        <f>IFERROR(__xludf.DUMMYFUNCTION("""COMPUTED_VALUE"""),"US_255 USF UPINHA 24H VILA ARRAES	")</f>
        <v>US_255 USF UPINHA 24H VILA ARRAES	</v>
      </c>
      <c r="G340" s="11" t="str">
        <f>IFERROR(__xludf.DUMMYFUNCTION("""COMPUTED_VALUE"""),"US 255 USF UPINHA 24H VILA ARRAES	")</f>
        <v>US 255 USF UPINHA 24H VILA ARRAES	</v>
      </c>
      <c r="H340" s="27">
        <f>IFERROR(__xludf.DUMMYFUNCTION("""COMPUTED_VALUE"""),81985114983)</f>
        <v>81985114983</v>
      </c>
      <c r="I340" s="11"/>
      <c r="J340" s="11"/>
      <c r="K340" s="11"/>
      <c r="L340" s="11"/>
      <c r="M340" s="28" t="str">
        <f>IFERROR(__xludf.DUMMYFUNCTION("""COMPUTED_VALUE"""),"3355-4640")</f>
        <v>3355-4640</v>
      </c>
      <c r="N340" s="11" t="str">
        <f>IFERROR(__xludf.DUMMYFUNCTION("""COMPUTED_VALUE"""),"afraniojs@hotmail.com")</f>
        <v>afraniojs@hotmail.com</v>
      </c>
      <c r="O340" s="29">
        <f>IFERROR(__xludf.DUMMYFUNCTION("""COMPUTED_VALUE"""),71509615415)</f>
        <v>71509615415</v>
      </c>
      <c r="P340" s="30" t="str">
        <f>IFERROR(__xludf.DUMMYFUNCTION("""COMPUTED_VALUE"""),"124082173790009")</f>
        <v>124082173790009</v>
      </c>
      <c r="Q340" s="30" t="str">
        <f>IFERROR(__xludf.DUMMYFUNCTION("""COMPUTED_VALUE"""),"0024538")</f>
        <v>0024538</v>
      </c>
      <c r="R340" s="30" t="str">
        <f>IFERROR(__xludf.DUMMYFUNCTION("""COMPUTED_VALUE"""),"0000154180")</f>
        <v>0000154180</v>
      </c>
      <c r="S340" s="30" t="str">
        <f>IFERROR(__xludf.DUMMYFUNCTION("""COMPUTED_VALUE"""),"1")</f>
        <v>1</v>
      </c>
      <c r="T340" s="30" t="str">
        <f>IFERROR(__xludf.DUMMYFUNCTION("""COMPUTED_VALUE"""),"223565")</f>
        <v>223565</v>
      </c>
      <c r="U340" s="31" t="str">
        <f>IFERROR(__xludf.DUMMYFUNCTION("""COMPUTED_VALUE"""),"2235")</f>
        <v>2235</v>
      </c>
      <c r="V340" s="11"/>
      <c r="W340" s="11" t="str">
        <f>IFERROR(__xludf.DUMMYFUNCTION("""COMPUTED_VALUE"""),"81 31283187")</f>
        <v>81 31283187</v>
      </c>
      <c r="X340" s="11" t="str">
        <f>IFERROR(__xludf.DUMMYFUNCTION("""COMPUTED_VALUE"""),"81 97083992")</f>
        <v>81 97083992</v>
      </c>
      <c r="Y340" s="11">
        <f>IFERROR(__xludf.DUMMYFUNCTION("""COMPUTED_VALUE"""),71509615415)</f>
        <v>71509615415</v>
      </c>
      <c r="Z340" s="11"/>
    </row>
    <row r="341" customHeight="1" spans="1:26">
      <c r="A341" s="11" t="str">
        <f>IFERROR(__xludf.DUMMYFUNCTION("""COMPUTED_VALUE"""),"MARQUILENE SOARES DA SILVA")</f>
        <v>MARQUILENE SOARES DA SILVA</v>
      </c>
      <c r="B341" s="11"/>
      <c r="C341" s="11"/>
      <c r="D341" s="11" t="str">
        <f>IFERROR(__xludf.DUMMYFUNCTION("""COMPUTED_VALUE"""),"Enfermeira eSF")</f>
        <v>Enfermeira eSF</v>
      </c>
      <c r="E341" s="11" t="str">
        <f>IFERROR(__xludf.DUMMYFUNCTION("""COMPUTED_VALUE"""),"IV")</f>
        <v>IV</v>
      </c>
      <c r="F341" s="11" t="str">
        <f>IFERROR(__xludf.DUMMYFUNCTION("""COMPUTED_VALUE"""),"US_106 CS PROF JOAQUIM CAVALCANTE	")</f>
        <v>US_106 CS PROF JOAQUIM CAVALCANTE	</v>
      </c>
      <c r="G341" s="11" t="str">
        <f>IFERROR(__xludf.DUMMYFUNCTION("""COMPUTED_VALUE"""),"US 106 CS PROF JOAQUIM CAVALCANTE")</f>
        <v>US 106 CS PROF JOAQUIM CAVALCANTE</v>
      </c>
      <c r="H341" s="27">
        <f>IFERROR(__xludf.DUMMYFUNCTION("""COMPUTED_VALUE"""),81988253950)</f>
        <v>81988253950</v>
      </c>
      <c r="I341" s="11"/>
      <c r="J341" s="11"/>
      <c r="K341" s="11"/>
      <c r="L341" s="11"/>
      <c r="M341" s="28" t="str">
        <f>IFERROR(__xludf.DUMMYFUNCTION("""COMPUTED_VALUE"""),"3355-4425")</f>
        <v>3355-4425</v>
      </c>
      <c r="N341" s="11" t="str">
        <f>IFERROR(__xludf.DUMMYFUNCTION("""COMPUTED_VALUE"""),"pacspradomarquilene@outlook.com / marq_nurse@hotmail.com")</f>
        <v>pacspradomarquilene@outlook.com / marq_nurse@hotmail.com</v>
      </c>
      <c r="O341" s="29">
        <f>IFERROR(__xludf.DUMMYFUNCTION("""COMPUTED_VALUE"""),88199967404)</f>
        <v>88199967404</v>
      </c>
      <c r="P341" s="30" t="str">
        <f>IFERROR(__xludf.DUMMYFUNCTION("""COMPUTED_VALUE"""),"200751102150009")</f>
        <v>200751102150009</v>
      </c>
      <c r="Q341" s="30" t="str">
        <f>IFERROR(__xludf.DUMMYFUNCTION("""COMPUTED_VALUE"""),"0000639")</f>
        <v>0000639</v>
      </c>
      <c r="R341" s="30" t="str">
        <f>IFERROR(__xludf.DUMMYFUNCTION("""COMPUTED_VALUE"""),"0000152412")</f>
        <v>0000152412</v>
      </c>
      <c r="S341" s="30" t="str">
        <f>IFERROR(__xludf.DUMMYFUNCTION("""COMPUTED_VALUE"""),"1")</f>
        <v>1</v>
      </c>
      <c r="T341" s="30" t="str">
        <f>IFERROR(__xludf.DUMMYFUNCTION("""COMPUTED_VALUE"""),"223565")</f>
        <v>223565</v>
      </c>
      <c r="U341" s="31" t="str">
        <f>IFERROR(__xludf.DUMMYFUNCTION("""COMPUTED_VALUE"""),"2235")</f>
        <v>2235</v>
      </c>
      <c r="V341" s="11"/>
      <c r="W341" s="11" t="str">
        <f>IFERROR(__xludf.DUMMYFUNCTION("""COMPUTED_VALUE"""),"81 31450220")</f>
        <v>81 31450220</v>
      </c>
      <c r="X341" s="11" t="str">
        <f>IFERROR(__xludf.DUMMYFUNCTION("""COMPUTED_VALUE"""),"81 88253950")</f>
        <v>81 88253950</v>
      </c>
      <c r="Y341" s="11">
        <f>IFERROR(__xludf.DUMMYFUNCTION("""COMPUTED_VALUE"""),88199967404)</f>
        <v>88199967404</v>
      </c>
      <c r="Z341" s="11"/>
    </row>
    <row r="342" customHeight="1" spans="1:26">
      <c r="A342" s="11" t="str">
        <f>IFERROR(__xludf.DUMMYFUNCTION("""COMPUTED_VALUE"""),"JOANA DARC DO NASCIMENTO ROCHA")</f>
        <v>JOANA DARC DO NASCIMENTO ROCHA</v>
      </c>
      <c r="B342" s="11"/>
      <c r="C342" s="11"/>
      <c r="D342" s="11" t="str">
        <f>IFERROR(__xludf.DUMMYFUNCTION("""COMPUTED_VALUE"""),"Enfermeira eSF")</f>
        <v>Enfermeira eSF</v>
      </c>
      <c r="E342" s="11" t="str">
        <f>IFERROR(__xludf.DUMMYFUNCTION("""COMPUTED_VALUE"""),"VII")</f>
        <v>VII</v>
      </c>
      <c r="F342" s="11" t="str">
        <f>IFERROR(__xludf.DUMMYFUNCTION("""COMPUTED_VALUE"""),"US_400 USF UPINHA DIA DOM HELDER")</f>
        <v>US_400 USF UPINHA DIA DOM HELDER</v>
      </c>
      <c r="G342" s="11" t="str">
        <f>IFERROR(__xludf.DUMMYFUNCTION("""COMPUTED_VALUE"""),"US 400 USF UPINHA DIA DOM HELDER")</f>
        <v>US 400 USF UPINHA DIA DOM HELDER</v>
      </c>
      <c r="H342" s="27">
        <f>IFERROR(__xludf.DUMMYFUNCTION("""COMPUTED_VALUE"""),81982225349)</f>
        <v>81982225349</v>
      </c>
      <c r="I342" s="27">
        <f>IFERROR(__xludf.DUMMYFUNCTION("""COMPUTED_VALUE"""),81993013208)</f>
        <v>81993013208</v>
      </c>
      <c r="J342" s="11"/>
      <c r="K342" s="11"/>
      <c r="L342" s="11"/>
      <c r="M342" s="28" t="str">
        <f>IFERROR(__xludf.DUMMYFUNCTION("""COMPUTED_VALUE"""),"3355-5401")</f>
        <v>3355-5401</v>
      </c>
      <c r="N342" s="11" t="str">
        <f>IFERROR(__xludf.DUMMYFUNCTION("""COMPUTED_VALUE"""),"joana1rocha@hotmail.com")</f>
        <v>joana1rocha@hotmail.com</v>
      </c>
      <c r="O342" s="29">
        <f>IFERROR(__xludf.DUMMYFUNCTION("""COMPUTED_VALUE"""),79625738487)</f>
        <v>79625738487</v>
      </c>
      <c r="P342" s="30" t="str">
        <f>IFERROR(__xludf.DUMMYFUNCTION("""COMPUTED_VALUE"""),"204324531770008")</f>
        <v>204324531770008</v>
      </c>
      <c r="Q342" s="30" t="str">
        <f>IFERROR(__xludf.DUMMYFUNCTION("""COMPUTED_VALUE"""),"7845367")</f>
        <v>7845367</v>
      </c>
      <c r="R342" s="30" t="str">
        <f>IFERROR(__xludf.DUMMYFUNCTION("""COMPUTED_VALUE"""),"0001593935")</f>
        <v>0001593935</v>
      </c>
      <c r="S342" s="30" t="str">
        <f>IFERROR(__xludf.DUMMYFUNCTION("""COMPUTED_VALUE"""),"1")</f>
        <v>1</v>
      </c>
      <c r="T342" s="30" t="str">
        <f>IFERROR(__xludf.DUMMYFUNCTION("""COMPUTED_VALUE"""),"223565")</f>
        <v>223565</v>
      </c>
      <c r="U342" s="31" t="str">
        <f>IFERROR(__xludf.DUMMYFUNCTION("""COMPUTED_VALUE"""),"2235")</f>
        <v>2235</v>
      </c>
      <c r="V342" s="11"/>
      <c r="W342" s="11">
        <f>IFERROR(__xludf.DUMMYFUNCTION("""COMPUTED_VALUE"""),83010019)</f>
        <v>83010019</v>
      </c>
      <c r="X342" s="11">
        <f>IFERROR(__xludf.DUMMYFUNCTION("""COMPUTED_VALUE"""),82225349)</f>
        <v>82225349</v>
      </c>
      <c r="Y342" s="11">
        <f>IFERROR(__xludf.DUMMYFUNCTION("""COMPUTED_VALUE"""),79625738487)</f>
        <v>79625738487</v>
      </c>
      <c r="Z342" s="11"/>
    </row>
    <row r="343" customHeight="1" spans="1:26">
      <c r="A343" s="11" t="str">
        <f>IFERROR(__xludf.DUMMYFUNCTION("""COMPUTED_VALUE"""),"ISABEL CRISTINA BATISTA GOMES SANTOS")</f>
        <v>ISABEL CRISTINA BATISTA GOMES SANTOS</v>
      </c>
      <c r="B343" s="11"/>
      <c r="C343" s="11"/>
      <c r="D343" s="11" t="str">
        <f>IFERROR(__xludf.DUMMYFUNCTION("""COMPUTED_VALUE"""),"Enfermeira eSF")</f>
        <v>Enfermeira eSF</v>
      </c>
      <c r="E343" s="11" t="str">
        <f>IFERROR(__xludf.DUMMYFUNCTION("""COMPUTED_VALUE"""),"I")</f>
        <v>I</v>
      </c>
      <c r="F343" s="11" t="str">
        <f>IFERROR(__xludf.DUMMYFUNCTION("""COMPUTED_VALUE"""),"US_243 USF SANTO AMARO II")</f>
        <v>US_243 USF SANTO AMARO II</v>
      </c>
      <c r="G343" s="11" t="str">
        <f>IFERROR(__xludf.DUMMYFUNCTION("""COMPUTED_VALUE"""),"US 243 USF SANTO AMARO II")</f>
        <v>US 243 USF SANTO AMARO II</v>
      </c>
      <c r="H343" s="27">
        <f>IFERROR(__xludf.DUMMYFUNCTION("""COMPUTED_VALUE"""),81988007571)</f>
        <v>81988007571</v>
      </c>
      <c r="I343" s="11"/>
      <c r="J343" s="11"/>
      <c r="K343" s="11"/>
      <c r="L343" s="11"/>
      <c r="M343" s="28" t="str">
        <f>IFERROR(__xludf.DUMMYFUNCTION("""COMPUTED_VALUE"""),"3355-6798")</f>
        <v>3355-6798</v>
      </c>
      <c r="N343" s="11" t="str">
        <f>IFERROR(__xludf.DUMMYFUNCTION("""COMPUTED_VALUE"""),"icbgomes@hotmail.com")</f>
        <v>icbgomes@hotmail.com</v>
      </c>
      <c r="O343" s="29">
        <f>IFERROR(__xludf.DUMMYFUNCTION("""COMPUTED_VALUE"""),1866180428)</f>
        <v>1866180428</v>
      </c>
      <c r="P343" s="30" t="str">
        <f>IFERROR(__xludf.DUMMYFUNCTION("""COMPUTED_VALUE"""),"207282502970006")</f>
        <v>207282502970006</v>
      </c>
      <c r="Q343" s="30" t="str">
        <f>IFERROR(__xludf.DUMMYFUNCTION("""COMPUTED_VALUE"""),"0022225")</f>
        <v>0022225</v>
      </c>
      <c r="R343" s="30" t="str">
        <f>IFERROR(__xludf.DUMMYFUNCTION("""COMPUTED_VALUE"""),"0000153613")</f>
        <v>0000153613</v>
      </c>
      <c r="S343" s="30" t="str">
        <f>IFERROR(__xludf.DUMMYFUNCTION("""COMPUTED_VALUE"""),"1")</f>
        <v>1</v>
      </c>
      <c r="T343" s="30" t="str">
        <f>IFERROR(__xludf.DUMMYFUNCTION("""COMPUTED_VALUE"""),"223565")</f>
        <v>223565</v>
      </c>
      <c r="U343" s="31" t="str">
        <f>IFERROR(__xludf.DUMMYFUNCTION("""COMPUTED_VALUE"""),"2235")</f>
        <v>2235</v>
      </c>
      <c r="V343" s="11"/>
      <c r="W343" s="11" t="str">
        <f>IFERROR(__xludf.DUMMYFUNCTION("""COMPUTED_VALUE"""),"81-88007571")</f>
        <v>81-88007571</v>
      </c>
      <c r="X343" s="11" t="str">
        <f>IFERROR(__xludf.DUMMYFUNCTION("""COMPUTED_VALUE"""),"81-34940780")</f>
        <v>81-34940780</v>
      </c>
      <c r="Y343" s="11">
        <f>IFERROR(__xludf.DUMMYFUNCTION("""COMPUTED_VALUE"""),1866180428)</f>
        <v>1866180428</v>
      </c>
      <c r="Z343" s="11"/>
    </row>
    <row r="344" customHeight="1" spans="1:26">
      <c r="A344" s="11" t="str">
        <f>IFERROR(__xludf.DUMMYFUNCTION("""COMPUTED_VALUE"""),"LUCIA DE FATIMA ALMEIDA SANTOS")</f>
        <v>LUCIA DE FATIMA ALMEIDA SANTOS</v>
      </c>
      <c r="B344" s="11"/>
      <c r="C344" s="11"/>
      <c r="D344" s="11" t="str">
        <f>IFERROR(__xludf.DUMMYFUNCTION("""COMPUTED_VALUE"""),"Médica eSF")</f>
        <v>Médica eSF</v>
      </c>
      <c r="E344" s="11" t="str">
        <f>IFERROR(__xludf.DUMMYFUNCTION("""COMPUTED_VALUE"""),"VIII")</f>
        <v>VIII</v>
      </c>
      <c r="F344" s="11" t="str">
        <f>IFERROR(__xludf.DUMMYFUNCTION("""COMPUTED_VALUE"""),"SEDE DISTRITO SANITARIO VIII")</f>
        <v>SEDE DISTRITO SANITARIO VIII</v>
      </c>
      <c r="G344" s="11" t="str">
        <f>IFERROR(__xludf.DUMMYFUNCTION("""COMPUTED_VALUE"""),"US 341 USF PROF FERNANDO FIGUEIRA")</f>
        <v>US 341 USF PROF FERNANDO FIGUEIRA</v>
      </c>
      <c r="H344" s="27">
        <f>IFERROR(__xludf.DUMMYFUNCTION("""COMPUTED_VALUE"""),81998823456)</f>
        <v>81998823456</v>
      </c>
      <c r="I344" s="11"/>
      <c r="J344" s="11"/>
      <c r="K344" s="11"/>
      <c r="L344" s="11"/>
      <c r="M344" s="28" t="str">
        <f>IFERROR(__xludf.DUMMYFUNCTION("""COMPUTED_VALUE"""),"3355-4684")</f>
        <v>3355-4684</v>
      </c>
      <c r="N344" s="30" t="str">
        <f>IFERROR(__xludf.DUMMYFUNCTION("""COMPUTED_VALUE"""),"luciafsantos@oi.com.br")</f>
        <v>luciafsantos@oi.com.br</v>
      </c>
      <c r="O344" s="30">
        <f>IFERROR(__xludf.DUMMYFUNCTION("""COMPUTED_VALUE"""),8271798472)</f>
        <v>8271798472</v>
      </c>
      <c r="P344" s="30" t="str">
        <f>IFERROR(__xludf.DUMMYFUNCTION("""COMPUTED_VALUE"""),"204323315780008")</f>
        <v>204323315780008</v>
      </c>
      <c r="Q344" s="30" t="str">
        <f>IFERROR(__xludf.DUMMYFUNCTION("""COMPUTED_VALUE"""),"5392039")</f>
        <v>5392039</v>
      </c>
      <c r="R344" s="30" t="str">
        <f>IFERROR(__xludf.DUMMYFUNCTION("""COMPUTED_VALUE"""),"0000155845")</f>
        <v>0000155845</v>
      </c>
      <c r="S344" s="30" t="str">
        <f>IFERROR(__xludf.DUMMYFUNCTION("""COMPUTED_VALUE"""),"1")</f>
        <v>1</v>
      </c>
      <c r="T344" s="30" t="str">
        <f>IFERROR(__xludf.DUMMYFUNCTION("""COMPUTED_VALUE"""),"225142")</f>
        <v>225142</v>
      </c>
      <c r="U344" s="31" t="str">
        <f>IFERROR(__xludf.DUMMYFUNCTION("""COMPUTED_VALUE"""),"2251")</f>
        <v>2251</v>
      </c>
      <c r="V344" s="11" t="str">
        <f>IFERROR(__xludf.DUMMYFUNCTION("""COMPUTED_VALUE"""),"SIM")</f>
        <v>SIM</v>
      </c>
      <c r="W344" s="11"/>
      <c r="X344" s="11">
        <f>IFERROR(__xludf.DUMMYFUNCTION("""COMPUTED_VALUE"""),8198823456)</f>
        <v>8198823456</v>
      </c>
      <c r="Y344" s="11">
        <f>IFERROR(__xludf.DUMMYFUNCTION("""COMPUTED_VALUE"""),8132035069)</f>
        <v>8132035069</v>
      </c>
      <c r="Z344" s="11">
        <f>IFERROR(__xludf.DUMMYFUNCTION("""COMPUTED_VALUE"""),8271798472)</f>
        <v>8271798472</v>
      </c>
    </row>
    <row r="345" customHeight="1" spans="1:26">
      <c r="A345" s="11" t="str">
        <f>IFERROR(__xludf.DUMMYFUNCTION("""COMPUTED_VALUE"""),"ROBERTHA RIFF GALVAO")</f>
        <v>ROBERTHA RIFF GALVAO</v>
      </c>
      <c r="B345" s="11"/>
      <c r="C345" s="11"/>
      <c r="D345" s="11" t="str">
        <f>IFERROR(__xludf.DUMMYFUNCTION("""COMPUTED_VALUE"""),"Dentista")</f>
        <v>Dentista</v>
      </c>
      <c r="E345" s="11" t="str">
        <f>IFERROR(__xludf.DUMMYFUNCTION("""COMPUTED_VALUE"""),"VII")</f>
        <v>VII</v>
      </c>
      <c r="F345" s="11" t="str">
        <f>IFERROR(__xludf.DUMMYFUNCTION("""COMPUTED_VALUE"""),"US_400 USF UPINHA DIA DOM HELDER")</f>
        <v>US_400 USF UPINHA DIA DOM HELDER</v>
      </c>
      <c r="G345" s="11" t="str">
        <f>IFERROR(__xludf.DUMMYFUNCTION("""COMPUTED_VALUE"""),"US 400 USF UPINHA DIA DOM HELDER")</f>
        <v>US 400 USF UPINHA DIA DOM HELDER</v>
      </c>
      <c r="H345" s="27">
        <f>IFERROR(__xludf.DUMMYFUNCTION("""COMPUTED_VALUE"""),81999452538)</f>
        <v>81999452538</v>
      </c>
      <c r="I345" s="11"/>
      <c r="J345" s="11"/>
      <c r="K345" s="11"/>
      <c r="L345" s="11"/>
      <c r="M345" s="28" t="str">
        <f>IFERROR(__xludf.DUMMYFUNCTION("""COMPUTED_VALUE"""),"3355-5401")</f>
        <v>3355-5401</v>
      </c>
      <c r="N345" s="11" t="str">
        <f>IFERROR(__xludf.DUMMYFUNCTION("""COMPUTED_VALUE"""),"roberthariff@bol.com.br")</f>
        <v>roberthariff@bol.com.br</v>
      </c>
      <c r="O345" s="29">
        <f>IFERROR(__xludf.DUMMYFUNCTION("""COMPUTED_VALUE"""),74513060468)</f>
        <v>74513060468</v>
      </c>
      <c r="P345" s="30" t="str">
        <f>IFERROR(__xludf.DUMMYFUNCTION("""COMPUTED_VALUE"""),"201533434560005	")</f>
        <v>201533434560005	</v>
      </c>
      <c r="Q345" s="30" t="str">
        <f>IFERROR(__xludf.DUMMYFUNCTION("""COMPUTED_VALUE"""),"7845367")</f>
        <v>7845367</v>
      </c>
      <c r="R345" s="30" t="str">
        <f>IFERROR(__xludf.DUMMYFUNCTION("""COMPUTED_VALUE"""),"0001815873")</f>
        <v>0001815873</v>
      </c>
      <c r="S345" s="30" t="str">
        <f>IFERROR(__xludf.DUMMYFUNCTION("""COMPUTED_VALUE"""),"1")</f>
        <v>1</v>
      </c>
      <c r="T345" s="30" t="str">
        <f>IFERROR(__xludf.DUMMYFUNCTION("""COMPUTED_VALUE"""),"223293")</f>
        <v>223293</v>
      </c>
      <c r="U345" s="31">
        <f>IFERROR(__xludf.DUMMYFUNCTION("""COMPUTED_VALUE"""),2232)</f>
        <v>2232</v>
      </c>
      <c r="V345" s="11"/>
      <c r="W345" s="11"/>
      <c r="X345" s="11"/>
      <c r="Y345" s="11"/>
      <c r="Z345" s="11"/>
    </row>
    <row r="346" customHeight="1" spans="1:26">
      <c r="A346" s="11" t="str">
        <f>IFERROR(__xludf.DUMMYFUNCTION("""COMPUTED_VALUE"""),"MARIA DE LOURDES BARBOSA DE OLIVEIRA")</f>
        <v>MARIA DE LOURDES BARBOSA DE OLIVEIRA</v>
      </c>
      <c r="B346" s="11"/>
      <c r="C346" s="11"/>
      <c r="D346" s="11" t="str">
        <f>IFERROR(__xludf.DUMMYFUNCTION("""COMPUTED_VALUE"""),"Médica eSF")</f>
        <v>Médica eSF</v>
      </c>
      <c r="E346" s="11" t="str">
        <f>IFERROR(__xludf.DUMMYFUNCTION("""COMPUTED_VALUE"""),"VIII")</f>
        <v>VIII</v>
      </c>
      <c r="F346" s="11" t="str">
        <f>IFERROR(__xludf.DUMMYFUNCTION("""COMPUTED_VALUE"""),"US_281 USF VILA DOS MILAGRES")</f>
        <v>US_281 USF VILA DOS MILAGRES</v>
      </c>
      <c r="G346" s="11" t="str">
        <f>IFERROR(__xludf.DUMMYFUNCTION("""COMPUTED_VALUE"""),"US 281 USF VILA DOS MILAGRES")</f>
        <v>US 281 USF VILA DOS MILAGRES</v>
      </c>
      <c r="H346" s="27">
        <f>IFERROR(__xludf.DUMMYFUNCTION("""COMPUTED_VALUE"""),81996019004)</f>
        <v>81996019004</v>
      </c>
      <c r="I346" s="11"/>
      <c r="J346" s="11"/>
      <c r="K346" s="11"/>
      <c r="L346" s="11"/>
      <c r="M346" s="28" t="str">
        <f>IFERROR(__xludf.DUMMYFUNCTION("""COMPUTED_VALUE"""),"3355-6251")</f>
        <v>3355-6251</v>
      </c>
      <c r="N346" s="11" t="str">
        <f>IFERROR(__xludf.DUMMYFUNCTION("""COMPUTED_VALUE"""),"mlboliveira12@hotmail.com")</f>
        <v>mlboliveira12@hotmail.com</v>
      </c>
      <c r="O346" s="29">
        <f>IFERROR(__xludf.DUMMYFUNCTION("""COMPUTED_VALUE"""),7836635449)</f>
        <v>7836635449</v>
      </c>
      <c r="P346" s="30" t="str">
        <f>IFERROR(__xludf.DUMMYFUNCTION("""COMPUTED_VALUE"""),"107732313980003")</f>
        <v>107732313980003</v>
      </c>
      <c r="Q346" s="30" t="str">
        <f>IFERROR(__xludf.DUMMYFUNCTION("""COMPUTED_VALUE"""),"0029041")</f>
        <v>0029041</v>
      </c>
      <c r="R346" s="30" t="str">
        <f>IFERROR(__xludf.DUMMYFUNCTION("""COMPUTED_VALUE"""),"0000154636")</f>
        <v>0000154636</v>
      </c>
      <c r="S346" s="30" t="str">
        <f>IFERROR(__xludf.DUMMYFUNCTION("""COMPUTED_VALUE"""),"1")</f>
        <v>1</v>
      </c>
      <c r="T346" s="30" t="str">
        <f>IFERROR(__xludf.DUMMYFUNCTION("""COMPUTED_VALUE"""),"225142")</f>
        <v>225142</v>
      </c>
      <c r="U346" s="31" t="str">
        <f>IFERROR(__xludf.DUMMYFUNCTION("""COMPUTED_VALUE"""),"2251")</f>
        <v>2251</v>
      </c>
      <c r="V346" s="11" t="str">
        <f>IFERROR(__xludf.DUMMYFUNCTION("""COMPUTED_VALUE"""),"SIM")</f>
        <v>SIM</v>
      </c>
      <c r="W346" s="11"/>
      <c r="X346" s="11">
        <f>IFERROR(__xludf.DUMMYFUNCTION("""COMPUTED_VALUE"""),8196019004)</f>
        <v>8196019004</v>
      </c>
      <c r="Y346" s="11"/>
      <c r="Z346" s="11">
        <f>IFERROR(__xludf.DUMMYFUNCTION("""COMPUTED_VALUE"""),7836635449)</f>
        <v>7836635449</v>
      </c>
    </row>
    <row r="347" customHeight="1" spans="1:26">
      <c r="A347" s="11" t="str">
        <f>IFERROR(__xludf.DUMMYFUNCTION("""COMPUTED_VALUE"""),"GEORGE MOURA DE CARVALHO")</f>
        <v>GEORGE MOURA DE CARVALHO</v>
      </c>
      <c r="B347" s="11"/>
      <c r="C347" s="11"/>
      <c r="D347" s="11" t="str">
        <f>IFERROR(__xludf.DUMMYFUNCTION("""COMPUTED_VALUE"""),"Dentista")</f>
        <v>Dentista</v>
      </c>
      <c r="E347" s="11" t="str">
        <f>IFERROR(__xludf.DUMMYFUNCTION("""COMPUTED_VALUE"""),"VIII")</f>
        <v>VIII</v>
      </c>
      <c r="F347" s="11" t="str">
        <f>IFERROR(__xludf.DUMMYFUNCTION("""COMPUTED_VALUE"""),"US_228 USF UPINHA DIA DES JOSE MANOEL DE FREITAS UR 4UR 5")</f>
        <v>US_228 USF UPINHA DIA DES JOSE MANOEL DE FREITAS UR 4UR 5</v>
      </c>
      <c r="G347" s="11" t="str">
        <f>IFERROR(__xludf.DUMMYFUNCTION("""COMPUTED_VALUE"""),"US 228 USF UPINHA DIA DES JOSE MANOEL DE FREITAS UR 4UR 5")</f>
        <v>US 228 USF UPINHA DIA DES JOSE MANOEL DE FREITAS UR 4UR 5</v>
      </c>
      <c r="H347" s="27">
        <f>IFERROR(__xludf.DUMMYFUNCTION("""COMPUTED_VALUE"""),81987788386)</f>
        <v>81987788386</v>
      </c>
      <c r="I347" s="11"/>
      <c r="J347" s="11"/>
      <c r="K347" s="11"/>
      <c r="L347" s="11"/>
      <c r="M347" s="28" t="str">
        <f>IFERROR(__xludf.DUMMYFUNCTION("""COMPUTED_VALUE"""),"3355-6166")</f>
        <v>3355-6166</v>
      </c>
      <c r="N347" s="11" t="str">
        <f>IFERROR(__xludf.DUMMYFUNCTION("""COMPUTED_VALUE"""),"geocarv@yahoo.com.br")</f>
        <v>geocarv@yahoo.com.br</v>
      </c>
      <c r="O347" s="29">
        <f>IFERROR(__xludf.DUMMYFUNCTION("""COMPUTED_VALUE"""),5314848406)</f>
        <v>5314848406</v>
      </c>
      <c r="P347" s="30" t="str">
        <f>IFERROR(__xludf.DUMMYFUNCTION("""COMPUTED_VALUE"""),"980016277797188	")</f>
        <v>980016277797188	</v>
      </c>
      <c r="Q347" s="30" t="str">
        <f>IFERROR(__xludf.DUMMYFUNCTION("""COMPUTED_VALUE"""),"0022454")</f>
        <v>0022454</v>
      </c>
      <c r="R347" s="30" t="str">
        <f>IFERROR(__xludf.DUMMYFUNCTION("""COMPUTED_VALUE"""),"0001794345")</f>
        <v>0001794345</v>
      </c>
      <c r="S347" s="30" t="str">
        <f>IFERROR(__xludf.DUMMYFUNCTION("""COMPUTED_VALUE"""),"1")</f>
        <v>1</v>
      </c>
      <c r="T347" s="30" t="str">
        <f>IFERROR(__xludf.DUMMYFUNCTION("""COMPUTED_VALUE"""),"223293")</f>
        <v>223293</v>
      </c>
      <c r="U347" s="31">
        <f>IFERROR(__xludf.DUMMYFUNCTION("""COMPUTED_VALUE"""),2232)</f>
        <v>2232</v>
      </c>
      <c r="V347" s="11"/>
      <c r="W347" s="11"/>
      <c r="X347" s="11"/>
      <c r="Y347" s="11"/>
      <c r="Z347" s="11"/>
    </row>
    <row r="348" customHeight="1" spans="1:26">
      <c r="A348" s="11" t="str">
        <f>IFERROR(__xludf.DUMMYFUNCTION("""COMPUTED_VALUE"""),"MARIA DA CONCEICAO GOMES DE SOUZA ALBUQUERQUE")</f>
        <v>MARIA DA CONCEICAO GOMES DE SOUZA ALBUQUERQUE</v>
      </c>
      <c r="B348" s="11"/>
      <c r="C348" s="11"/>
      <c r="D348" s="11" t="str">
        <f>IFERROR(__xludf.DUMMYFUNCTION("""COMPUTED_VALUE"""),"Médica Clínica")</f>
        <v>Médica Clínica</v>
      </c>
      <c r="E348" s="11" t="str">
        <f>IFERROR(__xludf.DUMMYFUNCTION("""COMPUTED_VALUE"""),"V")</f>
        <v>V</v>
      </c>
      <c r="F348" s="11" t="str">
        <f>IFERROR(__xludf.DUMMYFUNCTION("""COMPUTED_VALUE"""),"US_169 POLICLINICA AMAURY COUTINHO")</f>
        <v>US_169 POLICLINICA AMAURY COUTINHO</v>
      </c>
      <c r="G348" s="11" t="str">
        <f>IFERROR(__xludf.DUMMYFUNCTION("""COMPUTED_VALUE"""),"US 150 CS PROFESSOR FERNANDES FIGUEIRAS")</f>
        <v>US 150 CS PROFESSOR FERNANDES FIGUEIRAS</v>
      </c>
      <c r="H348" s="27">
        <f>IFERROR(__xludf.DUMMYFUNCTION("""COMPUTED_VALUE"""),81998186749)</f>
        <v>81998186749</v>
      </c>
      <c r="I348" s="11"/>
      <c r="J348" s="11"/>
      <c r="K348" s="11"/>
      <c r="L348" s="11"/>
      <c r="M348" s="28" t="str">
        <f>IFERROR(__xludf.DUMMYFUNCTION("""COMPUTED_VALUE"""),"3355-4396")</f>
        <v>3355-4396</v>
      </c>
      <c r="N348" s="11" t="str">
        <f>IFERROR(__xludf.DUMMYFUNCTION("""COMPUTED_VALUE"""),"mdcgdsa@uol.com.br")</f>
        <v>mdcgdsa@uol.com.br</v>
      </c>
      <c r="O348" s="29">
        <f>IFERROR(__xludf.DUMMYFUNCTION("""COMPUTED_VALUE"""),30415187400)</f>
        <v>30415187400</v>
      </c>
      <c r="P348" s="30" t="str">
        <f>IFERROR(__xludf.DUMMYFUNCTION("""COMPUTED_VALUE"""),"123826322770002")</f>
        <v>123826322770002</v>
      </c>
      <c r="Q348" s="30" t="str">
        <f>IFERROR(__xludf.DUMMYFUNCTION("""COMPUTED_VALUE"""),"0000841")</f>
        <v>0000841</v>
      </c>
      <c r="R348" s="30" t="str">
        <f>IFERROR(__xludf.DUMMYFUNCTION("""COMPUTED_VALUE"""),"9000084101")</f>
        <v>9000084101</v>
      </c>
      <c r="S348" s="30" t="str">
        <f>IFERROR(__xludf.DUMMYFUNCTION("""COMPUTED_VALUE"""),"1")</f>
        <v>1</v>
      </c>
      <c r="T348" s="30" t="str">
        <f>IFERROR(__xludf.DUMMYFUNCTION("""COMPUTED_VALUE"""),"225125")</f>
        <v>225125</v>
      </c>
      <c r="U348" s="31" t="str">
        <f>IFERROR(__xludf.DUMMYFUNCTION("""COMPUTED_VALUE"""),"2251")</f>
        <v>2251</v>
      </c>
      <c r="V348" s="11"/>
      <c r="W348" s="11"/>
      <c r="X348" s="11" t="str">
        <f>IFERROR(__xludf.DUMMYFUNCTION("""COMPUTED_VALUE"""),"#N/A")</f>
        <v>#N/A</v>
      </c>
      <c r="Y348" s="11" t="str">
        <f>IFERROR(__xludf.DUMMYFUNCTION("""COMPUTED_VALUE"""),"#N/A")</f>
        <v>#N/A</v>
      </c>
      <c r="Z348" s="11" t="str">
        <f>IFERROR(__xludf.DUMMYFUNCTION("""COMPUTED_VALUE"""),"#N/A")</f>
        <v>#N/A</v>
      </c>
    </row>
    <row r="349" customHeight="1" spans="1:26">
      <c r="A349" s="11" t="str">
        <f>IFERROR(__xludf.DUMMYFUNCTION("""COMPUTED_VALUE"""),"ANA KATARINA BEZERRA GOMES LOBO")</f>
        <v>ANA KATARINA BEZERRA GOMES LOBO</v>
      </c>
      <c r="B349" s="11" t="str">
        <f>IFERROR(__xludf.DUMMYFUNCTION("""COMPUTED_VALUE"""),"NÃO PODE NAS QUINTAS / FERIAS")</f>
        <v>NÃO PODE NAS QUINTAS / FERIAS</v>
      </c>
      <c r="C349" s="11"/>
      <c r="D349" s="11" t="str">
        <f>IFERROR(__xludf.DUMMYFUNCTION("""COMPUTED_VALUE"""),"Médica eSF")</f>
        <v>Médica eSF</v>
      </c>
      <c r="E349" s="11" t="str">
        <f>IFERROR(__xludf.DUMMYFUNCTION("""COMPUTED_VALUE"""),"VI")</f>
        <v>VI</v>
      </c>
      <c r="F349" s="11" t="str">
        <f>IFERROR(__xludf.DUMMYFUNCTION("""COMPUTED_VALUE"""),"US_297 USF DO PINA -  JOAO RODRIGUES")</f>
        <v>US_297 USF DO PINA -  JOAO RODRIGUES</v>
      </c>
      <c r="G349" s="11" t="str">
        <f>IFERROR(__xludf.DUMMYFUNCTION("""COMPUTED_VALUE"""),"US 297 USF DO PINA")</f>
        <v>US 297 USF DO PINA</v>
      </c>
      <c r="H349" s="27">
        <f>IFERROR(__xludf.DUMMYFUNCTION("""COMPUTED_VALUE"""),81999679676)</f>
        <v>81999679676</v>
      </c>
      <c r="I349" s="11"/>
      <c r="J349" s="11"/>
      <c r="K349" s="11"/>
      <c r="L349" s="11"/>
      <c r="M349" s="28" t="str">
        <f>IFERROR(__xludf.DUMMYFUNCTION("""COMPUTED_VALUE"""),"3355-4686")</f>
        <v>3355-4686</v>
      </c>
      <c r="N349" s="30" t="str">
        <f>IFERROR(__xludf.DUMMYFUNCTION("""COMPUTED_VALUE"""),"anakbgomes@hotmail.com")</f>
        <v>anakbgomes@hotmail.com</v>
      </c>
      <c r="O349" s="29">
        <f>IFERROR(__xludf.DUMMYFUNCTION("""COMPUTED_VALUE"""),77109899420)</f>
        <v>77109899420</v>
      </c>
      <c r="P349" s="30" t="str">
        <f>IFERROR(__xludf.DUMMYFUNCTION("""COMPUTED_VALUE"""),"204322831820009")</f>
        <v>204322831820009</v>
      </c>
      <c r="Q349" s="30" t="str">
        <f>IFERROR(__xludf.DUMMYFUNCTION("""COMPUTED_VALUE"""),"3153568")</f>
        <v>3153568</v>
      </c>
      <c r="R349" s="30" t="str">
        <f>IFERROR(__xludf.DUMMYFUNCTION("""COMPUTED_VALUE"""),"0000155187")</f>
        <v>0000155187</v>
      </c>
      <c r="S349" s="30" t="str">
        <f>IFERROR(__xludf.DUMMYFUNCTION("""COMPUTED_VALUE"""),"1")</f>
        <v>1</v>
      </c>
      <c r="T349" s="30" t="str">
        <f>IFERROR(__xludf.DUMMYFUNCTION("""COMPUTED_VALUE"""),"225142")</f>
        <v>225142</v>
      </c>
      <c r="U349" s="31" t="str">
        <f>IFERROR(__xludf.DUMMYFUNCTION("""COMPUTED_VALUE"""),"2251")</f>
        <v>2251</v>
      </c>
      <c r="V349" s="11" t="str">
        <f>IFERROR(__xludf.DUMMYFUNCTION("""COMPUTED_VALUE"""),"SIM")</f>
        <v>SIM</v>
      </c>
      <c r="W349" s="11"/>
      <c r="X349" s="11">
        <f>IFERROR(__xludf.DUMMYFUNCTION("""COMPUTED_VALUE"""),86855282)</f>
        <v>86855282</v>
      </c>
      <c r="Y349" s="11"/>
      <c r="Z349" s="11">
        <f>IFERROR(__xludf.DUMMYFUNCTION("""COMPUTED_VALUE"""),77109899420)</f>
        <v>77109899420</v>
      </c>
    </row>
    <row r="350" customHeight="1" spans="1:26">
      <c r="A350" s="11" t="str">
        <f>IFERROR(__xludf.DUMMYFUNCTION("""COMPUTED_VALUE"""),"MARCELA AGNE ALVES VALONES")</f>
        <v>MARCELA AGNE ALVES VALONES</v>
      </c>
      <c r="B350" s="11"/>
      <c r="C350" s="11"/>
      <c r="D350" s="11" t="str">
        <f>IFERROR(__xludf.DUMMYFUNCTION("""COMPUTED_VALUE"""),"Dentista")</f>
        <v>Dentista</v>
      </c>
      <c r="E350" s="11" t="str">
        <f>IFERROR(__xludf.DUMMYFUNCTION("""COMPUTED_VALUE"""),"I")</f>
        <v>I</v>
      </c>
      <c r="F350" s="11" t="str">
        <f>IFERROR(__xludf.DUMMYFUNCTION("""COMPUTED_VALUE"""),"US_123 CS PROF CESAR MONTEZUMA")</f>
        <v>US_123 CS PROF CESAR MONTEZUMA</v>
      </c>
      <c r="G350" s="11" t="str">
        <f>IFERROR(__xludf.DUMMYFUNCTION("""COMPUTED_VALUE"""),"US 123 CS PROF CESAR MONTEZUMA")</f>
        <v>US 123 CS PROF CESAR MONTEZUMA</v>
      </c>
      <c r="H350" s="27">
        <f>IFERROR(__xludf.DUMMYFUNCTION("""COMPUTED_VALUE"""),81982488872)</f>
        <v>81982488872</v>
      </c>
      <c r="I350" s="11"/>
      <c r="J350" s="11"/>
      <c r="K350" s="11"/>
      <c r="L350" s="11"/>
      <c r="M350" s="28" t="str">
        <f>IFERROR(__xludf.DUMMYFUNCTION("""COMPUTED_VALUE"""),"3355-4420")</f>
        <v>3355-4420</v>
      </c>
      <c r="N350" s="11" t="str">
        <f>IFERROR(__xludf.DUMMYFUNCTION("""COMPUTED_VALUE"""),"mavalona@globo.com")</f>
        <v>mavalona@globo.com</v>
      </c>
      <c r="O350" s="29">
        <f>IFERROR(__xludf.DUMMYFUNCTION("""COMPUTED_VALUE"""),2486940499)</f>
        <v>2486940499</v>
      </c>
      <c r="P350" s="30" t="str">
        <f>IFERROR(__xludf.DUMMYFUNCTION("""COMPUTED_VALUE"""),"980016286799708")</f>
        <v>980016286799708</v>
      </c>
      <c r="Q350" s="30" t="str">
        <f>IFERROR(__xludf.DUMMYFUNCTION("""COMPUTED_VALUE"""),"0002143")</f>
        <v>0002143</v>
      </c>
      <c r="R350" s="30" t="str">
        <f>IFERROR(__xludf.DUMMYFUNCTION("""COMPUTED_VALUE"""),"9000214301")</f>
        <v>9000214301</v>
      </c>
      <c r="S350" s="30" t="str">
        <f>IFERROR(__xludf.DUMMYFUNCTION("""COMPUTED_VALUE"""),"1")</f>
        <v>1</v>
      </c>
      <c r="T350" s="30" t="str">
        <f>IFERROR(__xludf.DUMMYFUNCTION("""COMPUTED_VALUE"""),"223288")</f>
        <v>223288</v>
      </c>
      <c r="U350" s="31">
        <f>IFERROR(__xludf.DUMMYFUNCTION("""COMPUTED_VALUE"""),2232)</f>
        <v>2232</v>
      </c>
      <c r="V350" s="11"/>
      <c r="W350" s="11"/>
      <c r="X350" s="11"/>
      <c r="Y350" s="11"/>
      <c r="Z350" s="11"/>
    </row>
    <row r="351" customHeight="1" spans="1:26">
      <c r="A351" s="11" t="str">
        <f>IFERROR(__xludf.DUMMYFUNCTION("""COMPUTED_VALUE"""),"MARIA ELIZABETE C FERRAZ NUNES")</f>
        <v>MARIA ELIZABETE C FERRAZ NUNES</v>
      </c>
      <c r="B351" s="11"/>
      <c r="C351" s="11"/>
      <c r="D351" s="11" t="str">
        <f>IFERROR(__xludf.DUMMYFUNCTION("""COMPUTED_VALUE"""),"Dentista")</f>
        <v>Dentista</v>
      </c>
      <c r="E351" s="11" t="str">
        <f>IFERROR(__xludf.DUMMYFUNCTION("""COMPUTED_VALUE"""),"VIII")</f>
        <v>VIII</v>
      </c>
      <c r="F351" s="11" t="str">
        <f>IFERROR(__xludf.DUMMYFUNCTION("""COMPUTED_VALUE"""),"US_153 POLICLINICA E MATERNIDADE ARNALDO MARQUES")</f>
        <v>US_153 POLICLINICA E MATERNIDADE ARNALDO MARQUES</v>
      </c>
      <c r="G351" s="11" t="str">
        <f>IFERROR(__xludf.DUMMYFUNCTION("""COMPUTED_VALUE"""),"US 281 USF VILA DOS MILAGRES")</f>
        <v>US 281 USF VILA DOS MILAGRES</v>
      </c>
      <c r="H351" s="27">
        <f>IFERROR(__xludf.DUMMYFUNCTION("""COMPUTED_VALUE"""),81997906234)</f>
        <v>81997906234</v>
      </c>
      <c r="I351" s="11"/>
      <c r="J351" s="11"/>
      <c r="K351" s="11"/>
      <c r="L351" s="11"/>
      <c r="M351" s="28" t="str">
        <f>IFERROR(__xludf.DUMMYFUNCTION("""COMPUTED_VALUE"""),"3355-6251")</f>
        <v>3355-6251</v>
      </c>
      <c r="N351" s="11" t="str">
        <f>IFERROR(__xludf.DUMMYFUNCTION("""COMPUTED_VALUE"""),"elizabete.caminha@gmail.com")</f>
        <v>elizabete.caminha@gmail.com</v>
      </c>
      <c r="O351" s="29">
        <f>IFERROR(__xludf.DUMMYFUNCTION("""COMPUTED_VALUE"""),9708693472)</f>
        <v>9708693472</v>
      </c>
      <c r="P351" s="30" t="str">
        <f>IFERROR(__xludf.DUMMYFUNCTION("""COMPUTED_VALUE"""),"206066739240002")</f>
        <v>206066739240002</v>
      </c>
      <c r="Q351" s="30" t="str">
        <f>IFERROR(__xludf.DUMMYFUNCTION("""COMPUTED_VALUE"""),"0029041")</f>
        <v>0029041</v>
      </c>
      <c r="R351" s="30" t="str">
        <f>IFERROR(__xludf.DUMMYFUNCTION("""COMPUTED_VALUE"""),"0000154628")</f>
        <v>0000154628</v>
      </c>
      <c r="S351" s="30" t="str">
        <f>IFERROR(__xludf.DUMMYFUNCTION("""COMPUTED_VALUE"""),"1")</f>
        <v>1</v>
      </c>
      <c r="T351" s="30" t="str">
        <f>IFERROR(__xludf.DUMMYFUNCTION("""COMPUTED_VALUE"""),"223293")</f>
        <v>223293</v>
      </c>
      <c r="U351" s="31">
        <f>IFERROR(__xludf.DUMMYFUNCTION("""COMPUTED_VALUE"""),2232)</f>
        <v>2232</v>
      </c>
      <c r="V351" s="11"/>
      <c r="W351" s="11"/>
      <c r="X351" s="11"/>
      <c r="Y351" s="11"/>
      <c r="Z351" s="11"/>
    </row>
    <row r="352" customHeight="1" spans="1:26">
      <c r="A352" s="11" t="str">
        <f>IFERROR(__xludf.DUMMYFUNCTION("""COMPUTED_VALUE"""),"ANDREA DE MELO SANTOS")</f>
        <v>ANDREA DE MELO SANTOS</v>
      </c>
      <c r="B352" s="11"/>
      <c r="C352" s="11"/>
      <c r="D352" s="11" t="str">
        <f>IFERROR(__xludf.DUMMYFUNCTION("""COMPUTED_VALUE"""),"Médica Pediatra")</f>
        <v>Médica Pediatra</v>
      </c>
      <c r="E352" s="11" t="str">
        <f>IFERROR(__xludf.DUMMYFUNCTION("""COMPUTED_VALUE"""),"VII")</f>
        <v>VII</v>
      </c>
      <c r="F352" s="11" t="str">
        <f>IFERROR(__xludf.DUMMYFUNCTION("""COMPUTED_VALUE"""),"US_152 CS INA ROSA BORGES")</f>
        <v>US_152 CS INA ROSA BORGES</v>
      </c>
      <c r="G352" s="11" t="str">
        <f>IFERROR(__xludf.DUMMYFUNCTION("""COMPUTED_VALUE"""),"US 152 CS INA ROSA BORGES")</f>
        <v>US 152 CS INA ROSA BORGES</v>
      </c>
      <c r="H352" s="27">
        <f>IFERROR(__xludf.DUMMYFUNCTION("""COMPUTED_VALUE"""),81992320372)</f>
        <v>81992320372</v>
      </c>
      <c r="I352" s="11"/>
      <c r="J352" s="11"/>
      <c r="K352" s="11"/>
      <c r="L352" s="11"/>
      <c r="M352" s="28" t="str">
        <f>IFERROR(__xludf.DUMMYFUNCTION("""COMPUTED_VALUE"""),"3355-4408")</f>
        <v>3355-4408</v>
      </c>
      <c r="N352" s="11" t="str">
        <f>IFERROR(__xludf.DUMMYFUNCTION("""COMPUTED_VALUE"""),"frutosemia@gmail.com")</f>
        <v>frutosemia@gmail.com</v>
      </c>
      <c r="O352" s="11">
        <f>IFERROR(__xludf.DUMMYFUNCTION("""COMPUTED_VALUE"""),96201525491)</f>
        <v>96201525491</v>
      </c>
      <c r="P352" s="30">
        <f>IFERROR(__xludf.DUMMYFUNCTION("""COMPUTED_VALUE"""),128022254580007)</f>
        <v>128022254580007</v>
      </c>
      <c r="Q352" s="30" t="str">
        <f>IFERROR(__xludf.DUMMYFUNCTION("""COMPUTED_VALUE"""),"0001236")</f>
        <v>0001236</v>
      </c>
      <c r="R352" s="11"/>
      <c r="S352" s="30" t="str">
        <f>IFERROR(__xludf.DUMMYFUNCTION("""COMPUTED_VALUE"""),"1")</f>
        <v>1</v>
      </c>
      <c r="T352" s="30" t="str">
        <f>IFERROR(__xludf.DUMMYFUNCTION("""COMPUTED_VALUE"""),"225124")</f>
        <v>225124</v>
      </c>
      <c r="U352" s="31" t="str">
        <f>IFERROR(__xludf.DUMMYFUNCTION("""COMPUTED_VALUE"""),"2251")</f>
        <v>2251</v>
      </c>
      <c r="V352" s="11"/>
      <c r="W352" s="30" t="str">
        <f>IFERROR(__xludf.DUMMYFUNCTION("""COMPUTED_VALUE"""),"18/07/1974")</f>
        <v>18/07/1974</v>
      </c>
      <c r="X352" s="11">
        <f>IFERROR(__xludf.DUMMYFUNCTION("""COMPUTED_VALUE"""),32449725)</f>
        <v>32449725</v>
      </c>
      <c r="Y352" s="11">
        <f>IFERROR(__xludf.DUMMYFUNCTION("""COMPUTED_VALUE"""),92320372)</f>
        <v>92320372</v>
      </c>
      <c r="Z352" s="11">
        <f>IFERROR(__xludf.DUMMYFUNCTION("""COMPUTED_VALUE"""),96201525491)</f>
        <v>96201525491</v>
      </c>
    </row>
    <row r="353" customHeight="1" spans="1:26">
      <c r="A353" s="11" t="str">
        <f>IFERROR(__xludf.DUMMYFUNCTION("""COMPUTED_VALUE"""),"ELIAS APOLINARIO GOMES")</f>
        <v>ELIAS APOLINARIO GOMES</v>
      </c>
      <c r="B353" s="11"/>
      <c r="C353" s="11"/>
      <c r="D353" s="11" t="str">
        <f>IFERROR(__xludf.DUMMYFUNCTION("""COMPUTED_VALUE"""),"Médico Ginecologista")</f>
        <v>Médico Ginecologista</v>
      </c>
      <c r="E353" s="11" t="str">
        <f>IFERROR(__xludf.DUMMYFUNCTION("""COMPUTED_VALUE"""),"V")</f>
        <v>V</v>
      </c>
      <c r="F353" s="11" t="str">
        <f>IFERROR(__xludf.DUMMYFUNCTION("""COMPUTED_VALUE"""),"US_150 CS PROFESSOR FERNANDES FIGUEIRAS")</f>
        <v>US_150 CS PROFESSOR FERNANDES FIGUEIRAS</v>
      </c>
      <c r="G353" s="11" t="str">
        <f>IFERROR(__xludf.DUMMYFUNCTION("""COMPUTED_VALUE"""),"US 150 CS PROFESSOR FERNANDES FIGUEIRAS")</f>
        <v>US 150 CS PROFESSOR FERNANDES FIGUEIRAS</v>
      </c>
      <c r="H353" s="27">
        <f>IFERROR(__xludf.DUMMYFUNCTION("""COMPUTED_VALUE"""),81999631384)</f>
        <v>81999631384</v>
      </c>
      <c r="I353" s="11"/>
      <c r="J353" s="11"/>
      <c r="K353" s="11"/>
      <c r="L353" s="11"/>
      <c r="M353" s="28" t="str">
        <f>IFERROR(__xludf.DUMMYFUNCTION("""COMPUTED_VALUE"""),"3355-4396")</f>
        <v>3355-4396</v>
      </c>
      <c r="N353" s="11" t="str">
        <f>IFERROR(__xludf.DUMMYFUNCTION("""COMPUTED_VALUE"""),"eliasagomes@ig.com.br")</f>
        <v>eliasagomes@ig.com.br</v>
      </c>
      <c r="O353" s="29">
        <f>IFERROR(__xludf.DUMMYFUNCTION("""COMPUTED_VALUE"""),65793617434)</f>
        <v>65793617434</v>
      </c>
      <c r="P353" s="30" t="str">
        <f>IFERROR(__xludf.DUMMYFUNCTION("""COMPUTED_VALUE"""),"181943556270018")</f>
        <v>181943556270018</v>
      </c>
      <c r="Q353" s="30" t="str">
        <f>IFERROR(__xludf.DUMMYFUNCTION("""COMPUTED_VALUE"""),"0000841")</f>
        <v>0000841</v>
      </c>
      <c r="R353" s="30" t="str">
        <f>IFERROR(__xludf.DUMMYFUNCTION("""COMPUTED_VALUE"""),"9000084102")</f>
        <v>9000084102</v>
      </c>
      <c r="S353" s="30" t="str">
        <f>IFERROR(__xludf.DUMMYFUNCTION("""COMPUTED_VALUE"""),"1")</f>
        <v>1</v>
      </c>
      <c r="T353" s="30" t="str">
        <f>IFERROR(__xludf.DUMMYFUNCTION("""COMPUTED_VALUE"""),"225250")</f>
        <v>225250</v>
      </c>
      <c r="U353" s="31" t="str">
        <f>IFERROR(__xludf.DUMMYFUNCTION("""COMPUTED_VALUE"""),"2251")</f>
        <v>2251</v>
      </c>
      <c r="V353" s="11"/>
      <c r="W353" s="11"/>
      <c r="X353" s="11">
        <f>IFERROR(__xludf.DUMMYFUNCTION("""COMPUTED_VALUE"""),8199631384)</f>
        <v>8199631384</v>
      </c>
      <c r="Y353" s="11"/>
      <c r="Z353" s="11">
        <f>IFERROR(__xludf.DUMMYFUNCTION("""COMPUTED_VALUE"""),65793617434)</f>
        <v>65793617434</v>
      </c>
    </row>
    <row r="354" customHeight="1" spans="1:26">
      <c r="A354" s="11" t="str">
        <f>IFERROR(__xludf.DUMMYFUNCTION("""COMPUTED_VALUE"""),"FATIMA CRISTINA QUEIROZ DE SOUZA")</f>
        <v>FATIMA CRISTINA QUEIROZ DE SOUZA</v>
      </c>
      <c r="B354" s="11"/>
      <c r="C354" s="11"/>
      <c r="D354" s="11" t="str">
        <f>IFERROR(__xludf.DUMMYFUNCTION("""COMPUTED_VALUE"""),"Enfermeira eSF")</f>
        <v>Enfermeira eSF</v>
      </c>
      <c r="E354" s="11" t="str">
        <f>IFERROR(__xludf.DUMMYFUNCTION("""COMPUTED_VALUE"""),"IV")</f>
        <v>IV</v>
      </c>
      <c r="F354" s="11" t="str">
        <f>IFERROR(__xludf.DUMMYFUNCTION("""COMPUTED_VALUE"""),"US_255 USF UPINHA 24H VILA ARRAES	")</f>
        <v>US_255 USF UPINHA 24H VILA ARRAES	</v>
      </c>
      <c r="G354" s="11" t="str">
        <f>IFERROR(__xludf.DUMMYFUNCTION("""COMPUTED_VALUE"""),"US 255 USF UPINHA 24H VILA ARRAES	")</f>
        <v>US 255 USF UPINHA 24H VILA ARRAES	</v>
      </c>
      <c r="H354" s="27">
        <f>IFERROR(__xludf.DUMMYFUNCTION("""COMPUTED_VALUE"""),81997330189)</f>
        <v>81997330189</v>
      </c>
      <c r="I354" s="11"/>
      <c r="J354" s="11"/>
      <c r="K354" s="11"/>
      <c r="L354" s="11"/>
      <c r="M354" s="28" t="str">
        <f>IFERROR(__xludf.DUMMYFUNCTION("""COMPUTED_VALUE"""),"3355-4640")</f>
        <v>3355-4640</v>
      </c>
      <c r="N354" s="11" t="str">
        <f>IFERROR(__xludf.DUMMYFUNCTION("""COMPUTED_VALUE"""),"fafau@click21.com.br / fatimacrisqsa@yahoo.com.br")</f>
        <v>fafau@click21.com.br / fatimacrisqsa@yahoo.com.br</v>
      </c>
      <c r="O354" s="29">
        <f>IFERROR(__xludf.DUMMYFUNCTION("""COMPUTED_VALUE"""),2397408406)</f>
        <v>2397408406</v>
      </c>
      <c r="P354" s="30" t="str">
        <f>IFERROR(__xludf.DUMMYFUNCTION("""COMPUTED_VALUE"""),"204322504030005")</f>
        <v>204322504030005</v>
      </c>
      <c r="Q354" s="30" t="str">
        <f>IFERROR(__xludf.DUMMYFUNCTION("""COMPUTED_VALUE"""),"0024538")</f>
        <v>0024538</v>
      </c>
      <c r="R354" s="30" t="str">
        <f>IFERROR(__xludf.DUMMYFUNCTION("""COMPUTED_VALUE"""),"0001710583")</f>
        <v>0001710583</v>
      </c>
      <c r="S354" s="30" t="str">
        <f>IFERROR(__xludf.DUMMYFUNCTION("""COMPUTED_VALUE"""),"1")</f>
        <v>1</v>
      </c>
      <c r="T354" s="30" t="str">
        <f>IFERROR(__xludf.DUMMYFUNCTION("""COMPUTED_VALUE"""),"223565")</f>
        <v>223565</v>
      </c>
      <c r="U354" s="31" t="str">
        <f>IFERROR(__xludf.DUMMYFUNCTION("""COMPUTED_VALUE"""),"2235")</f>
        <v>2235</v>
      </c>
      <c r="V354" s="11"/>
      <c r="W354" s="11">
        <f>IFERROR(__xludf.DUMMYFUNCTION("""COMPUTED_VALUE"""),34390596)</f>
        <v>34390596</v>
      </c>
      <c r="X354" s="11">
        <f>IFERROR(__xludf.DUMMYFUNCTION("""COMPUTED_VALUE"""),97330189)</f>
        <v>97330189</v>
      </c>
      <c r="Y354" s="11">
        <f>IFERROR(__xludf.DUMMYFUNCTION("""COMPUTED_VALUE"""),2397408406)</f>
        <v>2397408406</v>
      </c>
      <c r="Z354" s="11"/>
    </row>
    <row r="355" customHeight="1" spans="1:26">
      <c r="A355" s="11" t="str">
        <f>IFERROR(__xludf.DUMMYFUNCTION("""COMPUTED_VALUE"""),"LUZIANA PATRICIA CAMELO DE LIMA VASCONCELOS")</f>
        <v>LUZIANA PATRICIA CAMELO DE LIMA VASCONCELOS</v>
      </c>
      <c r="B355" s="11"/>
      <c r="C355" s="11"/>
      <c r="D355" s="11" t="str">
        <f>IFERROR(__xludf.DUMMYFUNCTION("""COMPUTED_VALUE"""),"Dentista")</f>
        <v>Dentista</v>
      </c>
      <c r="E355" s="11" t="str">
        <f>IFERROR(__xludf.DUMMYFUNCTION("""COMPUTED_VALUE"""),"VIII")</f>
        <v>VIII</v>
      </c>
      <c r="F355" s="11" t="str">
        <f>IFERROR(__xludf.DUMMYFUNCTION("""COMPUTED_VALUE"""),"US_267 USF UR 2 / JANE MAGALHAES")</f>
        <v>US_267 USF UR 2 / JANE MAGALHAES</v>
      </c>
      <c r="G355" s="11" t="str">
        <f>IFERROR(__xludf.DUMMYFUNCTION("""COMPUTED_VALUE"""),"US 267 USF UR 2")</f>
        <v>US 267 USF UR 2</v>
      </c>
      <c r="H355" s="27">
        <f>IFERROR(__xludf.DUMMYFUNCTION("""COMPUTED_VALUE"""),81994216025)</f>
        <v>81994216025</v>
      </c>
      <c r="I355" s="11"/>
      <c r="J355" s="11"/>
      <c r="K355" s="11"/>
      <c r="L355" s="11"/>
      <c r="M355" s="28" t="str">
        <f>IFERROR(__xludf.DUMMYFUNCTION("""COMPUTED_VALUE"""),"3355-6239")</f>
        <v>3355-6239</v>
      </c>
      <c r="N355" s="11" t="str">
        <f>IFERROR(__xludf.DUMMYFUNCTION("""COMPUTED_VALUE"""),"luzianacamelo@gmail.com")</f>
        <v>luzianacamelo@gmail.com</v>
      </c>
      <c r="O355" s="29">
        <f>IFERROR(__xludf.DUMMYFUNCTION("""COMPUTED_VALUE"""),71163190420)</f>
        <v>71163190420</v>
      </c>
      <c r="P355" s="30" t="str">
        <f>IFERROR(__xludf.DUMMYFUNCTION("""COMPUTED_VALUE"""),"206790452300008")</f>
        <v>206790452300008</v>
      </c>
      <c r="Q355" s="30" t="str">
        <f>IFERROR(__xludf.DUMMYFUNCTION("""COMPUTED_VALUE"""),"0026352")</f>
        <v>0026352</v>
      </c>
      <c r="R355" s="30" t="str">
        <f>IFERROR(__xludf.DUMMYFUNCTION("""COMPUTED_VALUE"""),"0001791486")</f>
        <v>0001791486</v>
      </c>
      <c r="S355" s="30" t="str">
        <f>IFERROR(__xludf.DUMMYFUNCTION("""COMPUTED_VALUE"""),"1")</f>
        <v>1</v>
      </c>
      <c r="T355" s="30" t="str">
        <f>IFERROR(__xludf.DUMMYFUNCTION("""COMPUTED_VALUE"""),"223293")</f>
        <v>223293</v>
      </c>
      <c r="U355" s="31">
        <f>IFERROR(__xludf.DUMMYFUNCTION("""COMPUTED_VALUE"""),2232)</f>
        <v>2232</v>
      </c>
      <c r="V355" s="11"/>
      <c r="W355" s="11"/>
      <c r="X355" s="11"/>
      <c r="Y355" s="11"/>
      <c r="Z355" s="11"/>
    </row>
    <row r="356" customHeight="1" spans="1:26">
      <c r="A356" s="11" t="str">
        <f>IFERROR(__xludf.DUMMYFUNCTION("""COMPUTED_VALUE"""),"TATYANE CAMPELO DE ARAUJO SANTOS")</f>
        <v>TATYANE CAMPELO DE ARAUJO SANTOS</v>
      </c>
      <c r="B356" s="11"/>
      <c r="C356" s="11"/>
      <c r="D356" s="11" t="str">
        <f>IFERROR(__xludf.DUMMYFUNCTION("""COMPUTED_VALUE"""),"Enfermeira eSF")</f>
        <v>Enfermeira eSF</v>
      </c>
      <c r="E356" s="11" t="str">
        <f>IFERROR(__xludf.DUMMYFUNCTION("""COMPUTED_VALUE"""),"III")</f>
        <v>III</v>
      </c>
      <c r="F356" s="34" t="str">
        <f>IFERROR(__xludf.DUMMYFUNCTION("""COMPUTED_VALUE"""),"PACS 5.2")</f>
        <v>PACS 5.2</v>
      </c>
      <c r="G356" s="11" t="str">
        <f>IFERROR(__xludf.DUMMYFUNCTION("""COMPUTED_VALUE"""),"US 109 CS FRANCISCO PIGNATARI")</f>
        <v>US 109 CS FRANCISCO PIGNATARI</v>
      </c>
      <c r="H356" s="27">
        <f>IFERROR(__xludf.DUMMYFUNCTION("""COMPUTED_VALUE"""),81991225787)</f>
        <v>81991225787</v>
      </c>
      <c r="I356" s="11"/>
      <c r="J356" s="11"/>
      <c r="K356" s="11"/>
      <c r="L356" s="11"/>
      <c r="M356" s="28" t="str">
        <f>IFERROR(__xludf.DUMMYFUNCTION("""COMPUTED_VALUE"""),"3355-4400")</f>
        <v>3355-4400</v>
      </c>
      <c r="N356" s="11" t="str">
        <f>IFERROR(__xludf.DUMMYFUNCTION("""COMPUTED_VALUE"""),"taty-caampelo@yahoo.com / taty_campelo@yahoo.com.br")</f>
        <v>taty-caampelo@yahoo.com / taty_campelo@yahoo.com.br</v>
      </c>
      <c r="O356" s="29">
        <f>IFERROR(__xludf.DUMMYFUNCTION("""COMPUTED_VALUE"""),4037602407)</f>
        <v>4037602407</v>
      </c>
      <c r="P356" s="30" t="str">
        <f>IFERROR(__xludf.DUMMYFUNCTION("""COMPUTED_VALUE"""),"980016001925386")</f>
        <v>980016001925386</v>
      </c>
      <c r="Q356" s="30" t="str">
        <f>IFERROR(__xludf.DUMMYFUNCTION("""COMPUTED_VALUE"""),"0001163")</f>
        <v>0001163</v>
      </c>
      <c r="R356" s="30" t="str">
        <f>IFERROR(__xludf.DUMMYFUNCTION("""COMPUTED_VALUE"""),"0001557718")</f>
        <v>0001557718</v>
      </c>
      <c r="S356" s="30" t="str">
        <f>IFERROR(__xludf.DUMMYFUNCTION("""COMPUTED_VALUE"""),"1")</f>
        <v>1</v>
      </c>
      <c r="T356" s="30" t="str">
        <f>IFERROR(__xludf.DUMMYFUNCTION("""COMPUTED_VALUE"""),"223565")</f>
        <v>223565</v>
      </c>
      <c r="U356" s="31" t="str">
        <f>IFERROR(__xludf.DUMMYFUNCTION("""COMPUTED_VALUE"""),"2235")</f>
        <v>2235</v>
      </c>
      <c r="V356" s="11"/>
      <c r="W356" s="11">
        <f>IFERROR(__xludf.DUMMYFUNCTION("""COMPUTED_VALUE"""),91225787)</f>
        <v>91225787</v>
      </c>
      <c r="X356" s="11">
        <f>IFERROR(__xludf.DUMMYFUNCTION("""COMPUTED_VALUE"""),84355859)</f>
        <v>84355859</v>
      </c>
      <c r="Y356" s="11">
        <f>IFERROR(__xludf.DUMMYFUNCTION("""COMPUTED_VALUE"""),4037602407)</f>
        <v>4037602407</v>
      </c>
      <c r="Z356" s="11"/>
    </row>
    <row r="357" customHeight="1" spans="1:26">
      <c r="A357" s="11" t="str">
        <f>IFERROR(__xludf.DUMMYFUNCTION("""COMPUTED_VALUE"""),"VIDIANA T.REBOUCAS PEDROSA")</f>
        <v>VIDIANA T.REBOUCAS PEDROSA</v>
      </c>
      <c r="B357" s="11"/>
      <c r="C357" s="11"/>
      <c r="D357" s="11" t="str">
        <f>IFERROR(__xludf.DUMMYFUNCTION("""COMPUTED_VALUE"""),"Dentista")</f>
        <v>Dentista</v>
      </c>
      <c r="E357" s="11" t="str">
        <f>IFERROR(__xludf.DUMMYFUNCTION("""COMPUTED_VALUE"""),"VIII")</f>
        <v>VIII</v>
      </c>
      <c r="F357" s="11" t="str">
        <f>IFERROR(__xludf.DUMMYFUNCTION("""COMPUTED_VALUE"""),"US_299 USF JORDAO BAIXO")</f>
        <v>US_299 USF JORDAO BAIXO</v>
      </c>
      <c r="G357" s="11" t="str">
        <f>IFERROR(__xludf.DUMMYFUNCTION("""COMPUTED_VALUE"""),"US 299 USF JORDAO BAIXO")</f>
        <v>US 299 USF JORDAO BAIXO</v>
      </c>
      <c r="H357" s="27">
        <f>IFERROR(__xludf.DUMMYFUNCTION("""COMPUTED_VALUE"""),81997029838)</f>
        <v>81997029838</v>
      </c>
      <c r="I357" s="11"/>
      <c r="J357" s="11"/>
      <c r="K357" s="11"/>
      <c r="L357" s="11"/>
      <c r="M357" s="28" t="str">
        <f>IFERROR(__xludf.DUMMYFUNCTION("""COMPUTED_VALUE"""),"3355-3407")</f>
        <v>3355-3407</v>
      </c>
      <c r="N357" s="11" t="str">
        <f>IFERROR(__xludf.DUMMYFUNCTION("""COMPUTED_VALUE"""),"vidianatr@hotmail.com")</f>
        <v>vidianatr@hotmail.com</v>
      </c>
      <c r="O357" s="29">
        <f>IFERROR(__xludf.DUMMYFUNCTION("""COMPUTED_VALUE"""),3028108461)</f>
        <v>3028108461</v>
      </c>
      <c r="P357" s="30" t="str">
        <f>IFERROR(__xludf.DUMMYFUNCTION("""COMPUTED_VALUE"""),"980016001825799")</f>
        <v>980016001825799</v>
      </c>
      <c r="Q357" s="30" t="str">
        <f>IFERROR(__xludf.DUMMYFUNCTION("""COMPUTED_VALUE"""),"3153479")</f>
        <v>3153479</v>
      </c>
      <c r="R357" s="30" t="str">
        <f>IFERROR(__xludf.DUMMYFUNCTION("""COMPUTED_VALUE"""),"0001847112")</f>
        <v>0001847112</v>
      </c>
      <c r="S357" s="30" t="str">
        <f>IFERROR(__xludf.DUMMYFUNCTION("""COMPUTED_VALUE"""),"1")</f>
        <v>1</v>
      </c>
      <c r="T357" s="30" t="str">
        <f>IFERROR(__xludf.DUMMYFUNCTION("""COMPUTED_VALUE"""),"223293")</f>
        <v>223293</v>
      </c>
      <c r="U357" s="31">
        <f>IFERROR(__xludf.DUMMYFUNCTION("""COMPUTED_VALUE"""),2232)</f>
        <v>2232</v>
      </c>
      <c r="V357" s="11"/>
      <c r="W357" s="11"/>
      <c r="X357" s="11"/>
      <c r="Y357" s="11"/>
      <c r="Z357" s="11"/>
    </row>
    <row r="358" customHeight="1" spans="1:26">
      <c r="A358" s="11" t="str">
        <f>IFERROR(__xludf.DUMMYFUNCTION("""COMPUTED_VALUE"""),"Carla Carolina Alexandrino Vicente da Silva")</f>
        <v>Carla Carolina Alexandrino Vicente da Silva</v>
      </c>
      <c r="B358" s="11"/>
      <c r="C358" s="11"/>
      <c r="D358" s="11" t="str">
        <f>IFERROR(__xludf.DUMMYFUNCTION("""COMPUTED_VALUE"""),"Enfermeira eSF")</f>
        <v>Enfermeira eSF</v>
      </c>
      <c r="E358" s="11"/>
      <c r="F358" s="11"/>
      <c r="G358" s="11" t="str">
        <f>IFERROR(__xludf.DUMMYFUNCTION("""COMPUTED_VALUE"""),"US 234 USF RODA DE FOGO COSIROF")</f>
        <v>US 234 USF RODA DE FOGO COSIROF</v>
      </c>
      <c r="H358" s="27">
        <f>IFERROR(__xludf.DUMMYFUNCTION("""COMPUTED_VALUE"""),81999327385)</f>
        <v>81999327385</v>
      </c>
      <c r="I358" s="11"/>
      <c r="J358" s="11"/>
      <c r="K358" s="24">
        <f>IFERROR(__xludf.DUMMYFUNCTION("""COMPUTED_VALUE"""),45386)</f>
        <v>45386</v>
      </c>
      <c r="L358" s="11"/>
      <c r="M358" s="11"/>
      <c r="N358" s="11"/>
      <c r="O358" s="11"/>
      <c r="P358" s="11"/>
      <c r="Q358" s="11"/>
      <c r="R358" s="11"/>
      <c r="S358" s="11"/>
      <c r="T358" s="11"/>
      <c r="U358" s="11"/>
      <c r="V358" s="11"/>
      <c r="W358" s="11"/>
      <c r="X358" s="11"/>
      <c r="Y358" s="11"/>
      <c r="Z358" s="11"/>
    </row>
    <row r="359" customHeight="1" spans="1:26">
      <c r="A359" s="11" t="str">
        <f>IFERROR(__xludf.DUMMYFUNCTION("""COMPUTED_VALUE"""),"RAPHAELA SANTOS DO NASCIMENTO")</f>
        <v>RAPHAELA SANTOS DO NASCIMENTO</v>
      </c>
      <c r="B359" s="11"/>
      <c r="C359" s="11"/>
      <c r="D359" s="11" t="str">
        <f>IFERROR(__xludf.DUMMYFUNCTION("""COMPUTED_VALUE"""),"Enfermeira eSF")</f>
        <v>Enfermeira eSF</v>
      </c>
      <c r="E359" s="11" t="str">
        <f>IFERROR(__xludf.DUMMYFUNCTION("""COMPUTED_VALUE"""),"IV")</f>
        <v>IV</v>
      </c>
      <c r="F359" s="11" t="str">
        <f>IFERROR(__xludf.DUMMYFUNCTION("""COMPUTED_VALUE"""),"US_234 USF RODA DE FOGO COSIROF")</f>
        <v>US_234 USF RODA DE FOGO COSIROF</v>
      </c>
      <c r="G359" s="11" t="str">
        <f>IFERROR(__xludf.DUMMYFUNCTION("""COMPUTED_VALUE"""),"US 234 USF RODA DE FOGO COSIROF")</f>
        <v>US 234 USF RODA DE FOGO COSIROF</v>
      </c>
      <c r="H359" s="27">
        <f>IFERROR(__xludf.DUMMYFUNCTION("""COMPUTED_VALUE"""),81988597640)</f>
        <v>81988597640</v>
      </c>
      <c r="I359" s="11"/>
      <c r="J359" s="11"/>
      <c r="K359" s="11"/>
      <c r="L359" s="11"/>
      <c r="M359" s="28" t="str">
        <f>IFERROR(__xludf.DUMMYFUNCTION("""COMPUTED_VALUE"""),"3355-6423")</f>
        <v>3355-6423</v>
      </c>
      <c r="N359" s="11" t="str">
        <f>IFERROR(__xludf.DUMMYFUNCTION("""COMPUTED_VALUE"""),"raphaela67@hotmail.com")</f>
        <v>raphaela67@hotmail.com</v>
      </c>
      <c r="O359" s="29">
        <f>IFERROR(__xludf.DUMMYFUNCTION("""COMPUTED_VALUE"""),3939395455)</f>
        <v>3939395455</v>
      </c>
      <c r="P359" s="30" t="str">
        <f>IFERROR(__xludf.DUMMYFUNCTION("""COMPUTED_VALUE"""),"980016282840819")</f>
        <v>980016282840819</v>
      </c>
      <c r="Q359" s="30" t="str">
        <f>IFERROR(__xludf.DUMMYFUNCTION("""COMPUTED_VALUE"""),"0022330")</f>
        <v>0022330</v>
      </c>
      <c r="R359" s="30" t="str">
        <f>IFERROR(__xludf.DUMMYFUNCTION("""COMPUTED_VALUE"""),"0000153850")</f>
        <v>0000153850</v>
      </c>
      <c r="S359" s="30" t="str">
        <f>IFERROR(__xludf.DUMMYFUNCTION("""COMPUTED_VALUE"""),"1")</f>
        <v>1</v>
      </c>
      <c r="T359" s="30" t="str">
        <f>IFERROR(__xludf.DUMMYFUNCTION("""COMPUTED_VALUE"""),"223565")</f>
        <v>223565</v>
      </c>
      <c r="U359" s="31" t="str">
        <f>IFERROR(__xludf.DUMMYFUNCTION("""COMPUTED_VALUE"""),"2235")</f>
        <v>2235</v>
      </c>
      <c r="V359" s="11"/>
      <c r="W359" s="11">
        <f>IFERROR(__xludf.DUMMYFUNCTION("""COMPUTED_VALUE"""),88597640)</f>
        <v>88597640</v>
      </c>
      <c r="X359" s="11">
        <f>IFERROR(__xludf.DUMMYFUNCTION("""COMPUTED_VALUE"""),32267359)</f>
        <v>32267359</v>
      </c>
      <c r="Y359" s="11">
        <f>IFERROR(__xludf.DUMMYFUNCTION("""COMPUTED_VALUE"""),3939395455)</f>
        <v>3939395455</v>
      </c>
      <c r="Z359" s="11"/>
    </row>
    <row r="360" customHeight="1" spans="1:26">
      <c r="A360" s="11" t="str">
        <f>IFERROR(__xludf.DUMMYFUNCTION("""COMPUTED_VALUE"""),"PAULO DE TARSO RESENDE")</f>
        <v>PAULO DE TARSO RESENDE</v>
      </c>
      <c r="B360" s="11"/>
      <c r="C360" s="11"/>
      <c r="D360" s="11" t="str">
        <f>IFERROR(__xludf.DUMMYFUNCTION("""COMPUTED_VALUE"""),"Médico eSF")</f>
        <v>Médico eSF</v>
      </c>
      <c r="E360" s="11" t="str">
        <f>IFERROR(__xludf.DUMMYFUNCTION("""COMPUTED_VALUE"""),"VI")</f>
        <v>VI</v>
      </c>
      <c r="F360" s="11" t="str">
        <f>IFERROR(__xludf.DUMMYFUNCTION("""COMPUTED_VALUE"""),"US_174 USF SITIO GRANDE")</f>
        <v>US_174 USF SITIO GRANDE</v>
      </c>
      <c r="G360" s="11" t="str">
        <f>IFERROR(__xludf.DUMMYFUNCTION("""COMPUTED_VALUE"""),"US 174 USF SITIO GRANDE")</f>
        <v>US 174 USF SITIO GRANDE</v>
      </c>
      <c r="H360" s="27">
        <f>IFERROR(__xludf.DUMMYFUNCTION("""COMPUTED_VALUE"""),81999765590)</f>
        <v>81999765590</v>
      </c>
      <c r="I360" s="11"/>
      <c r="J360" s="11"/>
      <c r="K360" s="11"/>
      <c r="L360" s="11"/>
      <c r="M360" s="28" t="str">
        <f>IFERROR(__xludf.DUMMYFUNCTION("""COMPUTED_VALUE"""),"3355-6685")</f>
        <v>3355-6685</v>
      </c>
      <c r="N360" s="11" t="str">
        <f>IFERROR(__xludf.DUMMYFUNCTION("""COMPUTED_VALUE"""),"resendepaulo@hotmail.com")</f>
        <v>resendepaulo@hotmail.com</v>
      </c>
      <c r="O360" s="29">
        <f>IFERROR(__xludf.DUMMYFUNCTION("""COMPUTED_VALUE"""),7184522400)</f>
        <v>7184522400</v>
      </c>
      <c r="P360" s="30" t="str">
        <f>IFERROR(__xludf.DUMMYFUNCTION("""COMPUTED_VALUE"""),"102620315200003")</f>
        <v>102620315200003</v>
      </c>
      <c r="Q360" s="30" t="str">
        <f>IFERROR(__xludf.DUMMYFUNCTION("""COMPUTED_VALUE"""),"0000957")</f>
        <v>0000957</v>
      </c>
      <c r="R360" s="30" t="str">
        <f>IFERROR(__xludf.DUMMYFUNCTION("""COMPUTED_VALUE"""),"0000152846")</f>
        <v>0000152846</v>
      </c>
      <c r="S360" s="30" t="str">
        <f>IFERROR(__xludf.DUMMYFUNCTION("""COMPUTED_VALUE"""),"1")</f>
        <v>1</v>
      </c>
      <c r="T360" s="30" t="str">
        <f>IFERROR(__xludf.DUMMYFUNCTION("""COMPUTED_VALUE"""),"225142")</f>
        <v>225142</v>
      </c>
      <c r="U360" s="31" t="str">
        <f>IFERROR(__xludf.DUMMYFUNCTION("""COMPUTED_VALUE"""),"2251")</f>
        <v>2251</v>
      </c>
      <c r="V360" s="11" t="str">
        <f>IFERROR(__xludf.DUMMYFUNCTION("""COMPUTED_VALUE"""),"SIM")</f>
        <v>SIM</v>
      </c>
      <c r="W360" s="11"/>
      <c r="X360" s="11">
        <f>IFERROR(__xludf.DUMMYFUNCTION("""COMPUTED_VALUE"""),32211509)</f>
        <v>32211509</v>
      </c>
      <c r="Y360" s="11">
        <f>IFERROR(__xludf.DUMMYFUNCTION("""COMPUTED_VALUE"""),99765590)</f>
        <v>99765590</v>
      </c>
      <c r="Z360" s="11">
        <f>IFERROR(__xludf.DUMMYFUNCTION("""COMPUTED_VALUE"""),7184522400)</f>
        <v>7184522400</v>
      </c>
    </row>
    <row r="361" customHeight="1" spans="1:26">
      <c r="A361" s="11" t="str">
        <f>IFERROR(__xludf.DUMMYFUNCTION("""COMPUTED_VALUE"""),"EDILMA BARBOSA DA SILVA")</f>
        <v>EDILMA BARBOSA DA SILVA</v>
      </c>
      <c r="B361" s="11"/>
      <c r="C361" s="11"/>
      <c r="D361" s="11" t="str">
        <f>IFERROR(__xludf.DUMMYFUNCTION("""COMPUTED_VALUE"""),"Enfermeira eSF")</f>
        <v>Enfermeira eSF</v>
      </c>
      <c r="E361" s="11" t="str">
        <f>IFERROR(__xludf.DUMMYFUNCTION("""COMPUTED_VALUE"""),"I")</f>
        <v>I</v>
      </c>
      <c r="F361" s="11" t="str">
        <f>IFERROR(__xludf.DUMMYFUNCTION("""COMPUTED_VALUE"""),"US_218 USF COQUE")</f>
        <v>US_218 USF COQUE</v>
      </c>
      <c r="G361" s="11" t="str">
        <f>IFERROR(__xludf.DUMMYFUNCTION("""COMPUTED_VALUE"""),"US 218 USF COQUE")</f>
        <v>US 218 USF COQUE</v>
      </c>
      <c r="H361" s="27">
        <f>IFERROR(__xludf.DUMMYFUNCTION("""COMPUTED_VALUE"""),81995233438)</f>
        <v>81995233438</v>
      </c>
      <c r="I361" s="11"/>
      <c r="J361" s="11"/>
      <c r="K361" s="11"/>
      <c r="L361" s="11"/>
      <c r="M361" s="28" t="str">
        <f>IFERROR(__xludf.DUMMYFUNCTION("""COMPUTED_VALUE"""),"3355-4656")</f>
        <v>3355-4656</v>
      </c>
      <c r="N361" s="11" t="str">
        <f>IFERROR(__xludf.DUMMYFUNCTION("""COMPUTED_VALUE"""),"edilmabarbosa@yahoo.com.br")</f>
        <v>edilmabarbosa@yahoo.com.br</v>
      </c>
      <c r="O361" s="29">
        <f>IFERROR(__xludf.DUMMYFUNCTION("""COMPUTED_VALUE"""),3367737496)</f>
        <v>3367737496</v>
      </c>
      <c r="P361" s="30" t="str">
        <f>IFERROR(__xludf.DUMMYFUNCTION("""COMPUTED_VALUE"""),"980016004534523")</f>
        <v>980016004534523</v>
      </c>
      <c r="Q361" s="30" t="str">
        <f>IFERROR(__xludf.DUMMYFUNCTION("""COMPUTED_VALUE"""),"0001252")</f>
        <v>0001252</v>
      </c>
      <c r="R361" s="30" t="str">
        <f>IFERROR(__xludf.DUMMYFUNCTION("""COMPUTED_VALUE"""),"0000153184")</f>
        <v>0000153184</v>
      </c>
      <c r="S361" s="30" t="str">
        <f>IFERROR(__xludf.DUMMYFUNCTION("""COMPUTED_VALUE"""),"1")</f>
        <v>1</v>
      </c>
      <c r="T361" s="30" t="str">
        <f>IFERROR(__xludf.DUMMYFUNCTION("""COMPUTED_VALUE"""),"223565")</f>
        <v>223565</v>
      </c>
      <c r="U361" s="31" t="str">
        <f>IFERROR(__xludf.DUMMYFUNCTION("""COMPUTED_VALUE"""),"2235")</f>
        <v>2235</v>
      </c>
      <c r="V361" s="11"/>
      <c r="W361" s="11">
        <f>IFERROR(__xludf.DUMMYFUNCTION("""COMPUTED_VALUE"""),8132212710)</f>
        <v>8132212710</v>
      </c>
      <c r="X361" s="11">
        <f>IFERROR(__xludf.DUMMYFUNCTION("""COMPUTED_VALUE"""),8195233438)</f>
        <v>8195233438</v>
      </c>
      <c r="Y361" s="11">
        <f>IFERROR(__xludf.DUMMYFUNCTION("""COMPUTED_VALUE"""),3367737496)</f>
        <v>3367737496</v>
      </c>
      <c r="Z361" s="11"/>
    </row>
    <row r="362" customHeight="1" spans="1:26">
      <c r="A362" s="11" t="str">
        <f>IFERROR(__xludf.DUMMYFUNCTION("""COMPUTED_VALUE"""),"MARIA DAS GRACAS OLIVEIRA SILVA")</f>
        <v>MARIA DAS GRACAS OLIVEIRA SILVA</v>
      </c>
      <c r="B362" s="11"/>
      <c r="C362" s="11"/>
      <c r="D362" s="11" t="str">
        <f>IFERROR(__xludf.DUMMYFUNCTION("""COMPUTED_VALUE"""),"Médica eSF")</f>
        <v>Médica eSF</v>
      </c>
      <c r="E362" s="11" t="str">
        <f>IFERROR(__xludf.DUMMYFUNCTION("""COMPUTED_VALUE"""),"IV")</f>
        <v>IV</v>
      </c>
      <c r="F362" s="11" t="str">
        <f>IFERROR(__xludf.DUMMYFUNCTION("""COMPUTED_VALUE"""),"US_254 USF BRASILIT	")</f>
        <v>US_254 USF BRASILIT	</v>
      </c>
      <c r="G362" s="11" t="str">
        <f>IFERROR(__xludf.DUMMYFUNCTION("""COMPUTED_VALUE"""),"US 254 USF BRASILIT")</f>
        <v>US 254 USF BRASILIT</v>
      </c>
      <c r="H362" s="27">
        <f>IFERROR(__xludf.DUMMYFUNCTION("""COMPUTED_VALUE"""),81991148112)</f>
        <v>81991148112</v>
      </c>
      <c r="I362" s="11"/>
      <c r="J362" s="11"/>
      <c r="K362" s="11"/>
      <c r="L362" s="11"/>
      <c r="M362" s="28" t="str">
        <f>IFERROR(__xludf.DUMMYFUNCTION("""COMPUTED_VALUE"""),"3355-6410")</f>
        <v>3355-6410</v>
      </c>
      <c r="N362" s="11" t="str">
        <f>IFERROR(__xludf.DUMMYFUNCTION("""COMPUTED_VALUE"""),"galsilva10@gmail.com")</f>
        <v>galsilva10@gmail.com</v>
      </c>
      <c r="O362" s="29">
        <f>IFERROR(__xludf.DUMMYFUNCTION("""COMPUTED_VALUE"""),11360984453)</f>
        <v>11360984453</v>
      </c>
      <c r="P362" s="30" t="str">
        <f>IFERROR(__xludf.DUMMYFUNCTION("""COMPUTED_VALUE"""),"980016000010643")</f>
        <v>980016000010643</v>
      </c>
      <c r="Q362" s="30" t="str">
        <f>IFERROR(__xludf.DUMMYFUNCTION("""COMPUTED_VALUE"""),"0024511")</f>
        <v>0024511</v>
      </c>
      <c r="R362" s="30" t="str">
        <f>IFERROR(__xludf.DUMMYFUNCTION("""COMPUTED_VALUE"""),"0000154156")</f>
        <v>0000154156</v>
      </c>
      <c r="S362" s="30" t="str">
        <f>IFERROR(__xludf.DUMMYFUNCTION("""COMPUTED_VALUE"""),"1")</f>
        <v>1</v>
      </c>
      <c r="T362" s="30" t="str">
        <f>IFERROR(__xludf.DUMMYFUNCTION("""COMPUTED_VALUE"""),"225142")</f>
        <v>225142</v>
      </c>
      <c r="U362" s="31" t="str">
        <f>IFERROR(__xludf.DUMMYFUNCTION("""COMPUTED_VALUE"""),"2251")</f>
        <v>2251</v>
      </c>
      <c r="V362" s="11" t="str">
        <f>IFERROR(__xludf.DUMMYFUNCTION("""COMPUTED_VALUE"""),"SIM")</f>
        <v>SIM</v>
      </c>
      <c r="W362" s="11"/>
      <c r="X362" s="11" t="str">
        <f>IFERROR(__xludf.DUMMYFUNCTION("""COMPUTED_VALUE"""),"81 32214686")</f>
        <v>81 32214686</v>
      </c>
      <c r="Y362" s="11" t="str">
        <f>IFERROR(__xludf.DUMMYFUNCTION("""COMPUTED_VALUE"""),"81 91148112")</f>
        <v>81 91148112</v>
      </c>
      <c r="Z362" s="11">
        <f>IFERROR(__xludf.DUMMYFUNCTION("""COMPUTED_VALUE"""),11360984453)</f>
        <v>11360984453</v>
      </c>
    </row>
    <row r="363" customHeight="1" spans="1:26">
      <c r="A363" s="11" t="str">
        <f>IFERROR(__xludf.DUMMYFUNCTION("""COMPUTED_VALUE"""),"GERCIMAR CAVALCANTI DE FRANCA ARRUDA")</f>
        <v>GERCIMAR CAVALCANTI DE FRANCA ARRUDA</v>
      </c>
      <c r="B363" s="11"/>
      <c r="C363" s="11"/>
      <c r="D363" s="11" t="str">
        <f>IFERROR(__xludf.DUMMYFUNCTION("""COMPUTED_VALUE"""),"Enfermeiro eSF")</f>
        <v>Enfermeiro eSF</v>
      </c>
      <c r="E363" s="11" t="str">
        <f>IFERROR(__xludf.DUMMYFUNCTION("""COMPUTED_VALUE"""),"IV")</f>
        <v>IV</v>
      </c>
      <c r="F363" s="11" t="str">
        <f>IFERROR(__xludf.DUMMYFUNCTION("""COMPUTED_VALUE"""),"US_280 USF SITIO CARDOSO	")</f>
        <v>US_280 USF SITIO CARDOSO	</v>
      </c>
      <c r="G363" s="11" t="str">
        <f>IFERROR(__xludf.DUMMYFUNCTION("""COMPUTED_VALUE"""),"US 280 USF SITIO CARDOSO")</f>
        <v>US 280 USF SITIO CARDOSO</v>
      </c>
      <c r="H363" s="27">
        <f>IFERROR(__xludf.DUMMYFUNCTION("""COMPUTED_VALUE"""),81991942804)</f>
        <v>81991942804</v>
      </c>
      <c r="I363" s="11"/>
      <c r="J363" s="11"/>
      <c r="K363" s="11"/>
      <c r="L363" s="11"/>
      <c r="M363" s="28" t="str">
        <f>IFERROR(__xludf.DUMMYFUNCTION("""COMPUTED_VALUE"""),"3355-6704")</f>
        <v>3355-6704</v>
      </c>
      <c r="N363" s="11" t="str">
        <f>IFERROR(__xludf.DUMMYFUNCTION("""COMPUTED_VALUE"""),"gercimarcfa@hotmail.com")</f>
        <v>gercimarcfa@hotmail.com</v>
      </c>
      <c r="O363" s="29">
        <f>IFERROR(__xludf.DUMMYFUNCTION("""COMPUTED_VALUE"""),43132324434)</f>
        <v>43132324434</v>
      </c>
      <c r="P363" s="30" t="str">
        <f>IFERROR(__xludf.DUMMYFUNCTION("""COMPUTED_VALUE"""),"206790264730009")</f>
        <v>206790264730009</v>
      </c>
      <c r="Q363" s="30" t="str">
        <f>IFERROR(__xludf.DUMMYFUNCTION("""COMPUTED_VALUE"""),"0028975")</f>
        <v>0028975</v>
      </c>
      <c r="R363" s="30" t="str">
        <f>IFERROR(__xludf.DUMMYFUNCTION("""COMPUTED_VALUE"""),"0000154601")</f>
        <v>0000154601</v>
      </c>
      <c r="S363" s="30" t="str">
        <f>IFERROR(__xludf.DUMMYFUNCTION("""COMPUTED_VALUE"""),"1")</f>
        <v>1</v>
      </c>
      <c r="T363" s="30" t="str">
        <f>IFERROR(__xludf.DUMMYFUNCTION("""COMPUTED_VALUE"""),"223565")</f>
        <v>223565</v>
      </c>
      <c r="U363" s="31" t="str">
        <f>IFERROR(__xludf.DUMMYFUNCTION("""COMPUTED_VALUE"""),"2235")</f>
        <v>2235</v>
      </c>
      <c r="V363" s="11"/>
      <c r="W363" s="11">
        <f>IFERROR(__xludf.DUMMYFUNCTION("""COMPUTED_VALUE"""),8191942804)</f>
        <v>8191942804</v>
      </c>
      <c r="X363" s="11">
        <f>IFERROR(__xludf.DUMMYFUNCTION("""COMPUTED_VALUE"""),8132215834)</f>
        <v>8132215834</v>
      </c>
      <c r="Y363" s="11">
        <f>IFERROR(__xludf.DUMMYFUNCTION("""COMPUTED_VALUE"""),43132324434)</f>
        <v>43132324434</v>
      </c>
      <c r="Z363" s="11"/>
    </row>
    <row r="364" customHeight="1" spans="1:26">
      <c r="A364" s="11" t="str">
        <f>IFERROR(__xludf.DUMMYFUNCTION("""COMPUTED_VALUE"""),"DEBORAH DANIELLA DINIZ FONSECA")</f>
        <v>DEBORAH DANIELLA DINIZ FONSECA</v>
      </c>
      <c r="B364" s="11"/>
      <c r="C364" s="11"/>
      <c r="D364" s="11" t="str">
        <f>IFERROR(__xludf.DUMMYFUNCTION("""COMPUTED_VALUE"""),"Dentista")</f>
        <v>Dentista</v>
      </c>
      <c r="E364" s="11" t="str">
        <f>IFERROR(__xludf.DUMMYFUNCTION("""COMPUTED_VALUE"""),"VII")</f>
        <v>VII</v>
      </c>
      <c r="F364" s="11" t="str">
        <f>IFERROR(__xludf.DUMMYFUNCTION("""COMPUTED_VALUE"""),"LICENÇA SEM VENCIMENTOS")</f>
        <v>LICENÇA SEM VENCIMENTOS</v>
      </c>
      <c r="G364" s="11" t="str">
        <f>IFERROR(__xludf.DUMMYFUNCTION("""COMPUTED_VALUE"""),"US 397 USF UPINHA DIA CORREGO DO EUCLIDES")</f>
        <v>US 397 USF UPINHA DIA CORREGO DO EUCLIDES</v>
      </c>
      <c r="H364" s="27">
        <f>IFERROR(__xludf.DUMMYFUNCTION("""COMPUTED_VALUE"""),81988999769)</f>
        <v>81988999769</v>
      </c>
      <c r="I364" s="11"/>
      <c r="J364" s="11"/>
      <c r="K364" s="11"/>
      <c r="L364" s="11"/>
      <c r="M364" s="28" t="str">
        <f>IFERROR(__xludf.DUMMYFUNCTION("""COMPUTED_VALUE"""),"3355-6037")</f>
        <v>3355-6037</v>
      </c>
      <c r="N364" s="11" t="str">
        <f>IFERROR(__xludf.DUMMYFUNCTION("""COMPUTED_VALUE"""),"dddfonseca@gmail.com")</f>
        <v>dddfonseca@gmail.com</v>
      </c>
      <c r="O364" s="29">
        <f>IFERROR(__xludf.DUMMYFUNCTION("""COMPUTED_VALUE"""),1005887438)</f>
        <v>1005887438</v>
      </c>
      <c r="P364" s="30">
        <f>IFERROR(__xludf.DUMMYFUNCTION("""COMPUTED_VALUE"""),980016280774169)</f>
        <v>980016280774169</v>
      </c>
      <c r="Q364" s="30" t="str">
        <f>IFERROR(__xludf.DUMMYFUNCTION("""COMPUTED_VALUE"""),"7563736")</f>
        <v>7563736</v>
      </c>
      <c r="R364" s="30" t="str">
        <f>IFERROR(__xludf.DUMMYFUNCTION("""COMPUTED_VALUE"""),"9756373601")</f>
        <v>9756373601</v>
      </c>
      <c r="S364" s="30" t="str">
        <f>IFERROR(__xludf.DUMMYFUNCTION("""COMPUTED_VALUE"""),"1")</f>
        <v>1</v>
      </c>
      <c r="T364" s="30" t="str">
        <f>IFERROR(__xludf.DUMMYFUNCTION("""COMPUTED_VALUE"""),"223293")</f>
        <v>223293</v>
      </c>
      <c r="U364" s="31">
        <f>IFERROR(__xludf.DUMMYFUNCTION("""COMPUTED_VALUE"""),2232)</f>
        <v>2232</v>
      </c>
      <c r="V364" s="11"/>
      <c r="W364" s="11"/>
      <c r="X364" s="11"/>
      <c r="Y364" s="11"/>
      <c r="Z364" s="11"/>
    </row>
    <row r="365" customHeight="1" spans="1:26">
      <c r="A365" s="11" t="str">
        <f>IFERROR(__xludf.DUMMYFUNCTION("""COMPUTED_VALUE"""),"LELIA VARELA DE TORRES")</f>
        <v>LELIA VARELA DE TORRES</v>
      </c>
      <c r="B365" s="11"/>
      <c r="C365" s="11"/>
      <c r="D365" s="11" t="str">
        <f>IFERROR(__xludf.DUMMYFUNCTION("""COMPUTED_VALUE"""),"Médico Pediatra")</f>
        <v>Médico Pediatra</v>
      </c>
      <c r="E365" s="11" t="str">
        <f>IFERROR(__xludf.DUMMYFUNCTION("""COMPUTED_VALUE"""),"IV")</f>
        <v>IV</v>
      </c>
      <c r="F365" s="11" t="str">
        <f>IFERROR(__xludf.DUMMYFUNCTION("""COMPUTED_VALUE"""),"US_149 CS OLINTO OLIVEIRA")</f>
        <v>US_149 CS OLINTO OLIVEIRA</v>
      </c>
      <c r="G365" s="11" t="str">
        <f>IFERROR(__xludf.DUMMYFUNCTION("""COMPUTED_VALUE"""),"US 149 CS OLINTO OLIVEIRA")</f>
        <v>US 149 CS OLINTO OLIVEIRA</v>
      </c>
      <c r="H365" s="27">
        <f>IFERROR(__xludf.DUMMYFUNCTION("""COMPUTED_VALUE"""),81999746232)</f>
        <v>81999746232</v>
      </c>
      <c r="I365" s="11"/>
      <c r="J365" s="11"/>
      <c r="K365" s="11"/>
      <c r="L365" s="11"/>
      <c r="M365" s="28" t="str">
        <f>IFERROR(__xludf.DUMMYFUNCTION("""COMPUTED_VALUE"""),"3355-6442/6443")</f>
        <v>3355-6442/6443</v>
      </c>
      <c r="N365" s="11" t="str">
        <f>IFERROR(__xludf.DUMMYFUNCTION("""COMPUTED_VALUE"""),"leliavarelat@hotmail.com")</f>
        <v>leliavarelat@hotmail.com</v>
      </c>
      <c r="O365" s="29">
        <f>IFERROR(__xludf.DUMMYFUNCTION("""COMPUTED_VALUE"""),30453402453)</f>
        <v>30453402453</v>
      </c>
      <c r="P365" s="30" t="str">
        <f>IFERROR(__xludf.DUMMYFUNCTION("""COMPUTED_VALUE"""),"209066165430003")</f>
        <v>209066165430003</v>
      </c>
      <c r="Q365" s="30" t="str">
        <f>IFERROR(__xludf.DUMMYFUNCTION("""COMPUTED_VALUE"""),"0000817")</f>
        <v>0000817</v>
      </c>
      <c r="R365" s="11"/>
      <c r="S365" s="30" t="str">
        <f>IFERROR(__xludf.DUMMYFUNCTION("""COMPUTED_VALUE"""),"1")</f>
        <v>1</v>
      </c>
      <c r="T365" s="30" t="str">
        <f>IFERROR(__xludf.DUMMYFUNCTION("""COMPUTED_VALUE"""),"225124")</f>
        <v>225124</v>
      </c>
      <c r="U365" s="31" t="str">
        <f>IFERROR(__xludf.DUMMYFUNCTION("""COMPUTED_VALUE"""),"2251")</f>
        <v>2251</v>
      </c>
      <c r="V365" s="11"/>
      <c r="W365" s="11"/>
      <c r="X365" s="11">
        <f>IFERROR(__xludf.DUMMYFUNCTION("""COMPUTED_VALUE"""),8132222778)</f>
        <v>8132222778</v>
      </c>
      <c r="Y365" s="11">
        <f>IFERROR(__xludf.DUMMYFUNCTION("""COMPUTED_VALUE"""),8199746232)</f>
        <v>8199746232</v>
      </c>
      <c r="Z365" s="11">
        <f>IFERROR(__xludf.DUMMYFUNCTION("""COMPUTED_VALUE"""),30453402453)</f>
        <v>30453402453</v>
      </c>
    </row>
    <row r="366" customHeight="1" spans="1:26">
      <c r="A366" s="11" t="str">
        <f>IFERROR(__xludf.DUMMYFUNCTION("""COMPUTED_VALUE"""),"Thatiana Magalhaes do Nascimento")</f>
        <v>Thatiana Magalhaes do Nascimento</v>
      </c>
      <c r="B366" s="11"/>
      <c r="C366" s="11"/>
      <c r="D366" s="11" t="str">
        <f>IFERROR(__xludf.DUMMYFUNCTION("""COMPUTED_VALUE"""),"Médica eSF")</f>
        <v>Médica eSF</v>
      </c>
      <c r="E366" s="11"/>
      <c r="F366" s="11"/>
      <c r="G366" s="11" t="str">
        <f>IFERROR(__xludf.DUMMYFUNCTION("""COMPUTED_VALUE"""),"US 280 USF SITIO CARDOSO")</f>
        <v>US 280 USF SITIO CARDOSO</v>
      </c>
      <c r="H366" s="11"/>
      <c r="I366" s="11"/>
      <c r="J366" s="11"/>
      <c r="K366" s="11"/>
      <c r="L366" s="11"/>
      <c r="M366" s="11"/>
      <c r="N366" s="11"/>
      <c r="O366" s="11"/>
      <c r="P366" s="11"/>
      <c r="Q366" s="11"/>
      <c r="R366" s="11"/>
      <c r="S366" s="11"/>
      <c r="T366" s="11"/>
      <c r="U366" s="11"/>
      <c r="V366" s="11"/>
      <c r="W366" s="11"/>
      <c r="X366" s="11"/>
      <c r="Y366" s="11"/>
      <c r="Z366" s="11"/>
    </row>
    <row r="367" customHeight="1" spans="1:26">
      <c r="A367" s="11" t="str">
        <f>IFERROR(__xludf.DUMMYFUNCTION("""COMPUTED_VALUE"""),"BARBARA ALBUQUERQUE MACHADO GUIMARAES 106")</f>
        <v>BARBARA ALBUQUERQUE MACHADO GUIMARAES 106</v>
      </c>
      <c r="B367" s="11"/>
      <c r="C367" s="11"/>
      <c r="D367" s="11" t="str">
        <f>IFERROR(__xludf.DUMMYFUNCTION("""COMPUTED_VALUE"""),"Médica Clínica")</f>
        <v>Médica Clínica</v>
      </c>
      <c r="E367" s="11" t="str">
        <f>IFERROR(__xludf.DUMMYFUNCTION("""COMPUTED_VALUE"""),"IV")</f>
        <v>IV</v>
      </c>
      <c r="F367" s="11" t="str">
        <f>IFERROR(__xludf.DUMMYFUNCTION("""COMPUTED_VALUE"""),"US_280 USF SITIO CARDOSO	")</f>
        <v>US_280 USF SITIO CARDOSO	</v>
      </c>
      <c r="G367" s="11" t="str">
        <f>IFERROR(__xludf.DUMMYFUNCTION("""COMPUTED_VALUE"""),"US 106 CS PROF JOAQUIM CAVALCANTE")</f>
        <v>US 106 CS PROF JOAQUIM CAVALCANTE</v>
      </c>
      <c r="H367" s="27">
        <f>IFERROR(__xludf.DUMMYFUNCTION("""COMPUTED_VALUE"""),81999606730)</f>
        <v>81999606730</v>
      </c>
      <c r="I367" s="27">
        <f>IFERROR(__xludf.DUMMYFUNCTION("""COMPUTED_VALUE"""),81999609730)</f>
        <v>81999609730</v>
      </c>
      <c r="J367" s="11"/>
      <c r="K367" s="11"/>
      <c r="L367" s="11"/>
      <c r="M367" s="28" t="str">
        <f>IFERROR(__xludf.DUMMYFUNCTION("""COMPUTED_VALUE"""),"3355-4425")</f>
        <v>3355-4425</v>
      </c>
      <c r="N367" s="11" t="str">
        <f>IFERROR(__xludf.DUMMYFUNCTION("""COMPUTED_VALUE"""),"barbaramach@uol.com.br")</f>
        <v>barbaramach@uol.com.br</v>
      </c>
      <c r="O367" s="29">
        <f>IFERROR(__xludf.DUMMYFUNCTION("""COMPUTED_VALUE"""),14525143487)</f>
        <v>14525143487</v>
      </c>
      <c r="P367" s="30" t="str">
        <f>IFERROR(__xludf.DUMMYFUNCTION("""COMPUTED_VALUE"""),"170188628740003")</f>
        <v>170188628740003</v>
      </c>
      <c r="Q367" s="30" t="str">
        <f>IFERROR(__xludf.DUMMYFUNCTION("""COMPUTED_VALUE"""),"0000639")</f>
        <v>0000639</v>
      </c>
      <c r="R367" s="11"/>
      <c r="S367" s="30" t="str">
        <f>IFERROR(__xludf.DUMMYFUNCTION("""COMPUTED_VALUE"""),"1")</f>
        <v>1</v>
      </c>
      <c r="T367" s="30" t="str">
        <f>IFERROR(__xludf.DUMMYFUNCTION("""COMPUTED_VALUE"""),"225125")</f>
        <v>225125</v>
      </c>
      <c r="U367" s="31" t="str">
        <f>IFERROR(__xludf.DUMMYFUNCTION("""COMPUTED_VALUE"""),"2251")</f>
        <v>2251</v>
      </c>
      <c r="V367" s="11" t="str">
        <f>IFERROR(__xludf.DUMMYFUNCTION("""COMPUTED_VALUE"""),"SIM")</f>
        <v>SIM</v>
      </c>
      <c r="W367" s="30" t="str">
        <f>IFERROR(__xludf.DUMMYFUNCTION("""COMPUTED_VALUE"""),"18/11/1957")</f>
        <v>18/11/1957</v>
      </c>
      <c r="X367" s="11" t="str">
        <f>IFERROR(__xludf.DUMMYFUNCTION("""COMPUTED_VALUE"""),"#N/A")</f>
        <v>#N/A</v>
      </c>
      <c r="Y367" s="11" t="str">
        <f>IFERROR(__xludf.DUMMYFUNCTION("""COMPUTED_VALUE"""),"#N/A")</f>
        <v>#N/A</v>
      </c>
      <c r="Z367" s="11" t="str">
        <f>IFERROR(__xludf.DUMMYFUNCTION("""COMPUTED_VALUE"""),"#N/A")</f>
        <v>#N/A</v>
      </c>
    </row>
    <row r="368" customHeight="1" spans="1:26">
      <c r="A368" s="11" t="str">
        <f>IFERROR(__xludf.DUMMYFUNCTION("""COMPUTED_VALUE"""),"BARBARA ALBUQUERQUE MACHADO GUIMARAES 280")</f>
        <v>BARBARA ALBUQUERQUE MACHADO GUIMARAES 280</v>
      </c>
      <c r="B368" s="11"/>
      <c r="C368" s="11"/>
      <c r="D368" s="11" t="str">
        <f>IFERROR(__xludf.DUMMYFUNCTION("""COMPUTED_VALUE"""),"Médica eSF")</f>
        <v>Médica eSF</v>
      </c>
      <c r="E368" s="11" t="str">
        <f>IFERROR(__xludf.DUMMYFUNCTION("""COMPUTED_VALUE"""),"IV")</f>
        <v>IV</v>
      </c>
      <c r="F368" s="11" t="str">
        <f>IFERROR(__xludf.DUMMYFUNCTION("""COMPUTED_VALUE"""),"US_280 USF SITIO CARDOSO	")</f>
        <v>US_280 USF SITIO CARDOSO	</v>
      </c>
      <c r="G368" s="11" t="str">
        <f>IFERROR(__xludf.DUMMYFUNCTION("""COMPUTED_VALUE"""),"US 280 USF SITIO CARDOSO")</f>
        <v>US 280 USF SITIO CARDOSO</v>
      </c>
      <c r="H368" s="27">
        <f>IFERROR(__xludf.DUMMYFUNCTION("""COMPUTED_VALUE"""),81999606730)</f>
        <v>81999606730</v>
      </c>
      <c r="I368" s="27">
        <f>IFERROR(__xludf.DUMMYFUNCTION("""COMPUTED_VALUE"""),81999609730)</f>
        <v>81999609730</v>
      </c>
      <c r="J368" s="11"/>
      <c r="K368" s="11"/>
      <c r="L368" s="11"/>
      <c r="M368" s="28" t="str">
        <f>IFERROR(__xludf.DUMMYFUNCTION("""COMPUTED_VALUE"""),"3355-6704")</f>
        <v>3355-6704</v>
      </c>
      <c r="N368" s="11" t="str">
        <f>IFERROR(__xludf.DUMMYFUNCTION("""COMPUTED_VALUE"""),"barbaramach@uol.com.br")</f>
        <v>barbaramach@uol.com.br</v>
      </c>
      <c r="O368" s="29">
        <f>IFERROR(__xludf.DUMMYFUNCTION("""COMPUTED_VALUE"""),14525143487)</f>
        <v>14525143487</v>
      </c>
      <c r="P368" s="30" t="str">
        <f>IFERROR(__xludf.DUMMYFUNCTION("""COMPUTED_VALUE"""),"170188628740003")</f>
        <v>170188628740003</v>
      </c>
      <c r="Q368" s="30" t="str">
        <f>IFERROR(__xludf.DUMMYFUNCTION("""COMPUTED_VALUE"""),"0028975")</f>
        <v>0028975</v>
      </c>
      <c r="R368" s="30" t="str">
        <f>IFERROR(__xludf.DUMMYFUNCTION("""COMPUTED_VALUE"""),"0000154598")</f>
        <v>0000154598</v>
      </c>
      <c r="S368" s="30" t="str">
        <f>IFERROR(__xludf.DUMMYFUNCTION("""COMPUTED_VALUE"""),"1")</f>
        <v>1</v>
      </c>
      <c r="T368" s="30" t="str">
        <f>IFERROR(__xludf.DUMMYFUNCTION("""COMPUTED_VALUE"""),"225142")</f>
        <v>225142</v>
      </c>
      <c r="U368" s="31" t="str">
        <f>IFERROR(__xludf.DUMMYFUNCTION("""COMPUTED_VALUE"""),"2251")</f>
        <v>2251</v>
      </c>
      <c r="V368" s="11"/>
      <c r="W368" s="11"/>
      <c r="X368" s="11" t="str">
        <f>IFERROR(__xludf.DUMMYFUNCTION("""COMPUTED_VALUE"""),"#N/A")</f>
        <v>#N/A</v>
      </c>
      <c r="Y368" s="11" t="str">
        <f>IFERROR(__xludf.DUMMYFUNCTION("""COMPUTED_VALUE"""),"#N/A")</f>
        <v>#N/A</v>
      </c>
      <c r="Z368" s="11" t="str">
        <f>IFERROR(__xludf.DUMMYFUNCTION("""COMPUTED_VALUE"""),"#N/A")</f>
        <v>#N/A</v>
      </c>
    </row>
    <row r="369" customHeight="1" spans="1:26">
      <c r="A369" s="11" t="str">
        <f>IFERROR(__xludf.DUMMYFUNCTION("""COMPUTED_VALUE"""),"RICARDO JORGE DE OLIVEIRA PORDEUS")</f>
        <v>RICARDO JORGE DE OLIVEIRA PORDEUS</v>
      </c>
      <c r="B369" s="11" t="str">
        <f>IFERROR(__xludf.DUMMYFUNCTION("""COMPUTED_VALUE"""),"RECUSA TELECONSULTORIA")</f>
        <v>RECUSA TELECONSULTORIA</v>
      </c>
      <c r="C369" s="11"/>
      <c r="D369" s="11" t="str">
        <f>IFERROR(__xludf.DUMMYFUNCTION("""COMPUTED_VALUE"""),"Médico eSF")</f>
        <v>Médico eSF</v>
      </c>
      <c r="E369" s="11" t="str">
        <f>IFERROR(__xludf.DUMMYFUNCTION("""COMPUTED_VALUE"""),"I")</f>
        <v>I</v>
      </c>
      <c r="F369" s="11" t="str">
        <f>IFERROR(__xludf.DUMMYFUNCTION("""COMPUTED_VALUE"""),"US_243 USF SANTO AMARO II")</f>
        <v>US_243 USF SANTO AMARO II</v>
      </c>
      <c r="G369" s="11" t="str">
        <f>IFERROR(__xludf.DUMMYFUNCTION("""COMPUTED_VALUE"""),"US 243 USF SANTO AMARO II")</f>
        <v>US 243 USF SANTO AMARO II</v>
      </c>
      <c r="H369" s="27">
        <f>IFERROR(__xludf.DUMMYFUNCTION("""COMPUTED_VALUE"""),81988136967)</f>
        <v>81988136967</v>
      </c>
      <c r="I369" s="27">
        <f>IFERROR(__xludf.DUMMYFUNCTION("""COMPUTED_VALUE"""),81997186820)</f>
        <v>81997186820</v>
      </c>
      <c r="J369" s="11"/>
      <c r="K369" s="11"/>
      <c r="L369" s="28" t="str">
        <f>IFERROR(__xludf.DUMMYFUNCTION("""COMPUTED_VALUE"""),"X")</f>
        <v>X</v>
      </c>
      <c r="M369" s="28" t="str">
        <f>IFERROR(__xludf.DUMMYFUNCTION("""COMPUTED_VALUE"""),"3355-6798")</f>
        <v>3355-6798</v>
      </c>
      <c r="N369" s="11" t="str">
        <f>IFERROR(__xludf.DUMMYFUNCTION("""COMPUTED_VALUE"""),"ricardopordeus@globo.com")</f>
        <v>ricardopordeus@globo.com</v>
      </c>
      <c r="O369" s="29">
        <f>IFERROR(__xludf.DUMMYFUNCTION("""COMPUTED_VALUE"""),15015173415)</f>
        <v>15015173415</v>
      </c>
      <c r="P369" s="30" t="str">
        <f>IFERROR(__xludf.DUMMYFUNCTION("""COMPUTED_VALUE"""),"980016000725308")</f>
        <v>980016000725308</v>
      </c>
      <c r="Q369" s="30" t="str">
        <f>IFERROR(__xludf.DUMMYFUNCTION("""COMPUTED_VALUE"""),"0022225")</f>
        <v>0022225</v>
      </c>
      <c r="R369" s="30" t="str">
        <f>IFERROR(__xludf.DUMMYFUNCTION("""COMPUTED_VALUE"""),"0000153605")</f>
        <v>0000153605</v>
      </c>
      <c r="S369" s="30" t="str">
        <f>IFERROR(__xludf.DUMMYFUNCTION("""COMPUTED_VALUE"""),"1")</f>
        <v>1</v>
      </c>
      <c r="T369" s="30" t="str">
        <f>IFERROR(__xludf.DUMMYFUNCTION("""COMPUTED_VALUE"""),"225142")</f>
        <v>225142</v>
      </c>
      <c r="U369" s="11">
        <f>IFERROR(__xludf.DUMMYFUNCTION("""COMPUTED_VALUE"""),2251)</f>
        <v>2251</v>
      </c>
      <c r="V369" s="11"/>
      <c r="W369" s="11"/>
      <c r="X369" s="11">
        <f>IFERROR(__xludf.DUMMYFUNCTION("""COMPUTED_VALUE"""),8197186820)</f>
        <v>8197186820</v>
      </c>
      <c r="Y369" s="11">
        <f>IFERROR(__xludf.DUMMYFUNCTION("""COMPUTED_VALUE"""),8188136967)</f>
        <v>8188136967</v>
      </c>
      <c r="Z369" s="11">
        <f>IFERROR(__xludf.DUMMYFUNCTION("""COMPUTED_VALUE"""),15015173415)</f>
        <v>15015173415</v>
      </c>
    </row>
    <row r="370" customHeight="1" spans="1:26">
      <c r="A370" s="11" t="str">
        <f>IFERROR(__xludf.DUMMYFUNCTION("""COMPUTED_VALUE"""),"ELIZABETE MARIA DE VASCONCELOS GALINDO")</f>
        <v>ELIZABETE MARIA DE VASCONCELOS GALINDO</v>
      </c>
      <c r="B370" s="11"/>
      <c r="C370" s="11"/>
      <c r="D370" s="11" t="str">
        <f>IFERROR(__xludf.DUMMYFUNCTION("""COMPUTED_VALUE"""),"Dentista")</f>
        <v>Dentista</v>
      </c>
      <c r="E370" s="11" t="str">
        <f>IFERROR(__xludf.DUMMYFUNCTION("""COMPUTED_VALUE"""),"IV")</f>
        <v>IV</v>
      </c>
      <c r="F370" s="11" t="str">
        <f>IFERROR(__xludf.DUMMYFUNCTION("""COMPUTED_VALUE"""),"US_233 USF VIETNA")</f>
        <v>US_233 USF VIETNA</v>
      </c>
      <c r="G370" s="11" t="str">
        <f>IFERROR(__xludf.DUMMYFUNCTION("""COMPUTED_VALUE"""),"US 233 USF VIETNA")</f>
        <v>US 233 USF VIETNA</v>
      </c>
      <c r="H370" s="27">
        <f>IFERROR(__xludf.DUMMYFUNCTION("""COMPUTED_VALUE"""),81996633133)</f>
        <v>81996633133</v>
      </c>
      <c r="I370" s="11"/>
      <c r="J370" s="11"/>
      <c r="K370" s="11"/>
      <c r="L370" s="11"/>
      <c r="M370" s="28" t="str">
        <f>IFERROR(__xludf.DUMMYFUNCTION("""COMPUTED_VALUE"""),"3355-6806")</f>
        <v>3355-6806</v>
      </c>
      <c r="N370" s="11" t="str">
        <f>IFERROR(__xludf.DUMMYFUNCTION("""COMPUTED_VALUE"""),"betevgalindo@gmail.com")</f>
        <v>betevgalindo@gmail.com</v>
      </c>
      <c r="O370" s="29">
        <f>IFERROR(__xludf.DUMMYFUNCTION("""COMPUTED_VALUE"""),64083160420)</f>
        <v>64083160420</v>
      </c>
      <c r="P370" s="30" t="str">
        <f>IFERROR(__xludf.DUMMYFUNCTION("""COMPUTED_VALUE"""),"170658516970002")</f>
        <v>170658516970002</v>
      </c>
      <c r="Q370" s="30" t="str">
        <f>IFERROR(__xludf.DUMMYFUNCTION("""COMPUTED_VALUE"""),"0022322")</f>
        <v>0022322</v>
      </c>
      <c r="R370" s="30" t="str">
        <f>IFERROR(__xludf.DUMMYFUNCTION("""COMPUTED_VALUE"""),"0001825186")</f>
        <v>0001825186</v>
      </c>
      <c r="S370" s="30" t="str">
        <f>IFERROR(__xludf.DUMMYFUNCTION("""COMPUTED_VALUE"""),"1")</f>
        <v>1</v>
      </c>
      <c r="T370" s="30" t="str">
        <f>IFERROR(__xludf.DUMMYFUNCTION("""COMPUTED_VALUE"""),"223293")</f>
        <v>223293</v>
      </c>
      <c r="U370" s="31">
        <f>IFERROR(__xludf.DUMMYFUNCTION("""COMPUTED_VALUE"""),2232)</f>
        <v>2232</v>
      </c>
      <c r="V370" s="11"/>
      <c r="W370" s="11"/>
      <c r="X370" s="11"/>
      <c r="Y370" s="11"/>
      <c r="Z370" s="11"/>
    </row>
    <row r="371" customHeight="1" spans="1:26">
      <c r="A371" s="11" t="str">
        <f>IFERROR(__xludf.DUMMYFUNCTION("""COMPUTED_VALUE"""),"ROCHANA BORGES DO PRADO")</f>
        <v>ROCHANA BORGES DO PRADO</v>
      </c>
      <c r="B371" s="11"/>
      <c r="C371" s="11"/>
      <c r="D371" s="11" t="str">
        <f>IFERROR(__xludf.DUMMYFUNCTION("""COMPUTED_VALUE"""),"Dentista")</f>
        <v>Dentista</v>
      </c>
      <c r="E371" s="11" t="str">
        <f>IFERROR(__xludf.DUMMYFUNCTION("""COMPUTED_VALUE"""),"V")</f>
        <v>V</v>
      </c>
      <c r="F371" s="11" t="str">
        <f>IFERROR(__xludf.DUMMYFUNCTION("""COMPUTED_VALUE"""),"US_284 USF VILA SAO MIGUEL MARROM GLACE")</f>
        <v>US_284 USF VILA SAO MIGUEL MARROM GLACE</v>
      </c>
      <c r="G371" s="11" t="str">
        <f>IFERROR(__xludf.DUMMYFUNCTION("""COMPUTED_VALUE"""),"US 284 USF VILA SAO MIGUEL MARROM GLACE")</f>
        <v>US 284 USF VILA SAO MIGUEL MARROM GLACE</v>
      </c>
      <c r="H371" s="11"/>
      <c r="I371" s="11"/>
      <c r="J371" s="11"/>
      <c r="K371" s="11"/>
      <c r="L371" s="11"/>
      <c r="M371" s="28" t="str">
        <f>IFERROR(__xludf.DUMMYFUNCTION("""COMPUTED_VALUE"""),"3355-6932")</f>
        <v>3355-6932</v>
      </c>
      <c r="N371" s="11"/>
      <c r="O371" s="29">
        <f>IFERROR(__xludf.DUMMYFUNCTION("""COMPUTED_VALUE"""),3362496407)</f>
        <v>3362496407</v>
      </c>
      <c r="P371" s="30" t="str">
        <f>IFERROR(__xludf.DUMMYFUNCTION("""COMPUTED_VALUE"""),"980016000908372")</f>
        <v>980016000908372</v>
      </c>
      <c r="Q371" s="30" t="str">
        <f>IFERROR(__xludf.DUMMYFUNCTION("""COMPUTED_VALUE"""),"0029114")</f>
        <v>0029114</v>
      </c>
      <c r="R371" s="30" t="str">
        <f>IFERROR(__xludf.DUMMYFUNCTION("""COMPUTED_VALUE"""),"0001833316")</f>
        <v>0001833316</v>
      </c>
      <c r="S371" s="30" t="str">
        <f>IFERROR(__xludf.DUMMYFUNCTION("""COMPUTED_VALUE"""),"1")</f>
        <v>1</v>
      </c>
      <c r="T371" s="30" t="str">
        <f>IFERROR(__xludf.DUMMYFUNCTION("""COMPUTED_VALUE"""),"223293")</f>
        <v>223293</v>
      </c>
      <c r="U371" s="31">
        <f>IFERROR(__xludf.DUMMYFUNCTION("""COMPUTED_VALUE"""),2232)</f>
        <v>2232</v>
      </c>
      <c r="V371" s="11"/>
      <c r="W371" s="11"/>
      <c r="X371" s="11"/>
      <c r="Y371" s="11"/>
      <c r="Z371" s="11"/>
    </row>
    <row r="372" customHeight="1" spans="1:26">
      <c r="A372" s="11" t="str">
        <f>IFERROR(__xludf.DUMMYFUNCTION("""COMPUTED_VALUE"""),"MARLENE PRAXEDES DE LIMA")</f>
        <v>MARLENE PRAXEDES DE LIMA</v>
      </c>
      <c r="B372" s="11"/>
      <c r="C372" s="11"/>
      <c r="D372" s="11" t="str">
        <f>IFERROR(__xludf.DUMMYFUNCTION("""COMPUTED_VALUE"""),"Médica eSF")</f>
        <v>Médica eSF</v>
      </c>
      <c r="E372" s="11" t="str">
        <f>IFERROR(__xludf.DUMMYFUNCTION("""COMPUTED_VALUE"""),"II")</f>
        <v>II</v>
      </c>
      <c r="F372" s="11" t="str">
        <f>IFERROR(__xludf.DUMMYFUNCTION("""COMPUTED_VALUE"""),"US_401 USF UPINHA 24H GOVERNADOR EDUARDO CAMPOS")</f>
        <v>US_401 USF UPINHA 24H GOVERNADOR EDUARDO CAMPOS</v>
      </c>
      <c r="G372" s="11" t="str">
        <f>IFERROR(__xludf.DUMMYFUNCTION("""COMPUTED_VALUE"""),"US 401 USF UPINHA 24H GOVERNADOR EDUARDO CAMPOS")</f>
        <v>US 401 USF UPINHA 24H GOVERNADOR EDUARDO CAMPOS</v>
      </c>
      <c r="H372" s="27">
        <f>IFERROR(__xludf.DUMMYFUNCTION("""COMPUTED_VALUE"""),81992267151)</f>
        <v>81992267151</v>
      </c>
      <c r="I372" s="11"/>
      <c r="J372" s="11"/>
      <c r="K372" s="11"/>
      <c r="L372" s="11"/>
      <c r="M372" s="11"/>
      <c r="N372" s="11" t="str">
        <f>IFERROR(__xludf.DUMMYFUNCTION("""COMPUTED_VALUE"""),"dparnaldomarques@gmail.com / misaelaraujo48@outlook.com")</f>
        <v>dparnaldomarques@gmail.com / misaelaraujo48@outlook.com</v>
      </c>
      <c r="O372" s="29">
        <f>IFERROR(__xludf.DUMMYFUNCTION("""COMPUTED_VALUE"""),33707758400)</f>
        <v>33707758400</v>
      </c>
      <c r="P372" s="30" t="str">
        <f>IFERROR(__xludf.DUMMYFUNCTION("""COMPUTED_VALUE"""),"200751101420002")</f>
        <v>200751101420002</v>
      </c>
      <c r="Q372" s="30" t="str">
        <f>IFERROR(__xludf.DUMMYFUNCTION("""COMPUTED_VALUE"""),"7946651")</f>
        <v>7946651</v>
      </c>
      <c r="R372" s="30" t="str">
        <f>IFERROR(__xludf.DUMMYFUNCTION("""COMPUTED_VALUE"""),"0001601873")</f>
        <v>0001601873</v>
      </c>
      <c r="S372" s="30" t="str">
        <f>IFERROR(__xludf.DUMMYFUNCTION("""COMPUTED_VALUE"""),"1")</f>
        <v>1</v>
      </c>
      <c r="T372" s="30" t="str">
        <f>IFERROR(__xludf.DUMMYFUNCTION("""COMPUTED_VALUE"""),"225142")</f>
        <v>225142</v>
      </c>
      <c r="U372" s="11">
        <f>IFERROR(__xludf.DUMMYFUNCTION("""COMPUTED_VALUE"""),2251)</f>
        <v>2251</v>
      </c>
      <c r="V372" s="11" t="str">
        <f>IFERROR(__xludf.DUMMYFUNCTION("""COMPUTED_VALUE"""),"SIM")</f>
        <v>SIM</v>
      </c>
      <c r="W372" s="11"/>
      <c r="X372" s="11">
        <f>IFERROR(__xludf.DUMMYFUNCTION("""COMPUTED_VALUE"""),32261437)</f>
        <v>32261437</v>
      </c>
      <c r="Y372" s="11">
        <f>IFERROR(__xludf.DUMMYFUNCTION("""COMPUTED_VALUE"""),92267151)</f>
        <v>92267151</v>
      </c>
      <c r="Z372" s="11">
        <f>IFERROR(__xludf.DUMMYFUNCTION("""COMPUTED_VALUE"""),33707758400)</f>
        <v>33707758400</v>
      </c>
    </row>
    <row r="373" customHeight="1" spans="1:26">
      <c r="A373" s="11" t="str">
        <f>IFERROR(__xludf.DUMMYFUNCTION("""COMPUTED_VALUE"""),"MARCIA DE FATIMA MOTA VALENCA")</f>
        <v>MARCIA DE FATIMA MOTA VALENCA</v>
      </c>
      <c r="B373" s="11"/>
      <c r="C373" s="11"/>
      <c r="D373" s="11" t="str">
        <f>IFERROR(__xludf.DUMMYFUNCTION("""COMPUTED_VALUE"""),"Dentista")</f>
        <v>Dentista</v>
      </c>
      <c r="E373" s="11" t="str">
        <f>IFERROR(__xludf.DUMMYFUNCTION("""COMPUTED_VALUE"""),"V")</f>
        <v>V</v>
      </c>
      <c r="F373" s="11" t="str">
        <f>IFERROR(__xludf.DUMMYFUNCTION("""COMPUTED_VALUE"""),"US_142 CS BIDU KRAUSE")</f>
        <v>US_142 CS BIDU KRAUSE</v>
      </c>
      <c r="G373" s="11" t="str">
        <f>IFERROR(__xludf.DUMMYFUNCTION("""COMPUTED_VALUE"""),"US 142 CS BIDU KRAUSE")</f>
        <v>US 142 CS BIDU KRAUSE</v>
      </c>
      <c r="H373" s="11"/>
      <c r="I373" s="11"/>
      <c r="J373" s="11"/>
      <c r="K373" s="11"/>
      <c r="L373" s="11"/>
      <c r="M373" s="28" t="str">
        <f>IFERROR(__xludf.DUMMYFUNCTION("""COMPUTED_VALUE"""),"3355-0301")</f>
        <v>3355-0301</v>
      </c>
      <c r="N373" s="11"/>
      <c r="O373" s="29">
        <f>IFERROR(__xludf.DUMMYFUNCTION("""COMPUTED_VALUE"""),24641170487)</f>
        <v>24641170487</v>
      </c>
      <c r="P373" s="30" t="str">
        <f>IFERROR(__xludf.DUMMYFUNCTION("""COMPUTED_VALUE"""),"206066761250007")</f>
        <v>206066761250007</v>
      </c>
      <c r="Q373" s="30" t="str">
        <f>IFERROR(__xludf.DUMMYFUNCTION("""COMPUTED_VALUE"""),"0000868")</f>
        <v>0000868</v>
      </c>
      <c r="R373" s="11"/>
      <c r="S373" s="30" t="str">
        <f>IFERROR(__xludf.DUMMYFUNCTION("""COMPUTED_VALUE"""),"1")</f>
        <v>1</v>
      </c>
      <c r="T373" s="30" t="str">
        <f>IFERROR(__xludf.DUMMYFUNCTION("""COMPUTED_VALUE"""),"223208")</f>
        <v>223208</v>
      </c>
      <c r="U373" s="31">
        <f>IFERROR(__xludf.DUMMYFUNCTION("""COMPUTED_VALUE"""),2232)</f>
        <v>2232</v>
      </c>
      <c r="V373" s="11"/>
      <c r="W373" s="11"/>
      <c r="X373" s="11"/>
      <c r="Y373" s="11"/>
      <c r="Z373" s="11"/>
    </row>
    <row r="374" customHeight="1" spans="1:26">
      <c r="A374" s="11" t="str">
        <f>IFERROR(__xludf.DUMMYFUNCTION("""COMPUTED_VALUE"""),"EZILDA KARLA MORAIS CORREIA DE OLIVEIRA")</f>
        <v>EZILDA KARLA MORAIS CORREIA DE OLIVEIRA</v>
      </c>
      <c r="B374" s="11"/>
      <c r="C374" s="11"/>
      <c r="D374" s="11" t="str">
        <f>IFERROR(__xludf.DUMMYFUNCTION("""COMPUTED_VALUE"""),"Enfermeira eSF")</f>
        <v>Enfermeira eSF</v>
      </c>
      <c r="E374" s="11" t="str">
        <f>IFERROR(__xludf.DUMMYFUNCTION("""COMPUTED_VALUE"""),"VII")</f>
        <v>VII</v>
      </c>
      <c r="F374" s="11" t="str">
        <f>IFERROR(__xludf.DUMMYFUNCTION("""COMPUTED_VALUE"""),"US_394 USF UPINHA 24H DR MOACYR ANDRE GOMES")</f>
        <v>US_394 USF UPINHA 24H DR MOACYR ANDRE GOMES</v>
      </c>
      <c r="G374" s="11" t="str">
        <f>IFERROR(__xludf.DUMMYFUNCTION("""COMPUTED_VALUE"""),"US 394 USF UPINHA 24H DR MOACYR ANDRE GOMES")</f>
        <v>US 394 USF UPINHA 24H DR MOACYR ANDRE GOMES</v>
      </c>
      <c r="H374" s="27">
        <f>IFERROR(__xludf.DUMMYFUNCTION("""COMPUTED_VALUE"""),81988224005)</f>
        <v>81988224005</v>
      </c>
      <c r="I374" s="27">
        <f>IFERROR(__xludf.DUMMYFUNCTION("""COMPUTED_VALUE"""),81999636147)</f>
        <v>81999636147</v>
      </c>
      <c r="J374" s="11"/>
      <c r="K374" s="11"/>
      <c r="L374" s="11"/>
      <c r="M374" s="28" t="str">
        <f>IFERROR(__xludf.DUMMYFUNCTION("""COMPUTED_VALUE"""),"3355-3393")</f>
        <v>3355-3393</v>
      </c>
      <c r="N374" s="11" t="str">
        <f>IFERROR(__xludf.DUMMYFUNCTION("""COMPUTED_VALUE"""),"ezildakarla@hotmail.com")</f>
        <v>ezildakarla@hotmail.com</v>
      </c>
      <c r="O374" s="29">
        <f>IFERROR(__xludf.DUMMYFUNCTION("""COMPUTED_VALUE"""),3481950446)</f>
        <v>3481950446</v>
      </c>
      <c r="P374" s="30" t="str">
        <f>IFERROR(__xludf.DUMMYFUNCTION("""COMPUTED_VALUE"""),"980016005122083")</f>
        <v>980016005122083</v>
      </c>
      <c r="Q374" s="30" t="str">
        <f>IFERROR(__xludf.DUMMYFUNCTION("""COMPUTED_VALUE"""),"7415788")</f>
        <v>7415788</v>
      </c>
      <c r="R374" s="30" t="str">
        <f>IFERROR(__xludf.DUMMYFUNCTION("""COMPUTED_VALUE"""),"0001509012")</f>
        <v>0001509012</v>
      </c>
      <c r="S374" s="30" t="str">
        <f>IFERROR(__xludf.DUMMYFUNCTION("""COMPUTED_VALUE"""),"1")</f>
        <v>1</v>
      </c>
      <c r="T374" s="30" t="str">
        <f>IFERROR(__xludf.DUMMYFUNCTION("""COMPUTED_VALUE"""),"223565")</f>
        <v>223565</v>
      </c>
      <c r="U374" s="31" t="str">
        <f>IFERROR(__xludf.DUMMYFUNCTION("""COMPUTED_VALUE"""),"2235")</f>
        <v>2235</v>
      </c>
      <c r="V374" s="11"/>
      <c r="W374" s="11" t="str">
        <f>IFERROR(__xludf.DUMMYFUNCTION("""COMPUTED_VALUE"""),"#N/A")</f>
        <v>#N/A</v>
      </c>
      <c r="X374" s="11" t="str">
        <f>IFERROR(__xludf.DUMMYFUNCTION("""COMPUTED_VALUE"""),"#N/A")</f>
        <v>#N/A</v>
      </c>
      <c r="Y374" s="11" t="str">
        <f>IFERROR(__xludf.DUMMYFUNCTION("""COMPUTED_VALUE"""),"#N/A")</f>
        <v>#N/A</v>
      </c>
      <c r="Z374" s="11"/>
    </row>
    <row r="375" customHeight="1" spans="1:26">
      <c r="A375" s="11" t="str">
        <f>IFERROR(__xludf.DUMMYFUNCTION("""COMPUTED_VALUE"""),"ILKA BRANDAO BARBOSA")</f>
        <v>ILKA BRANDAO BARBOSA</v>
      </c>
      <c r="B375" s="11"/>
      <c r="C375" s="11"/>
      <c r="D375" s="11" t="str">
        <f>IFERROR(__xludf.DUMMYFUNCTION("""COMPUTED_VALUE"""),"Dentista")</f>
        <v>Dentista</v>
      </c>
      <c r="E375" s="11" t="str">
        <f>IFERROR(__xludf.DUMMYFUNCTION("""COMPUTED_VALUE"""),"IV")</f>
        <v>IV</v>
      </c>
      <c r="F375" s="11" t="str">
        <f>IFERROR(__xludf.DUMMYFUNCTION("""COMPUTED_VALUE"""),"US_106 CS PROF JOAQUIM CAVALCANTE	")</f>
        <v>US_106 CS PROF JOAQUIM CAVALCANTE	</v>
      </c>
      <c r="G375" s="11" t="str">
        <f>IFERROR(__xludf.DUMMYFUNCTION("""COMPUTED_VALUE"""),"US 106 CS PROF JOAQUIM CAVALCANTE")</f>
        <v>US 106 CS PROF JOAQUIM CAVALCANTE</v>
      </c>
      <c r="H375" s="27">
        <f>IFERROR(__xludf.DUMMYFUNCTION("""COMPUTED_VALUE"""),81991143250)</f>
        <v>81991143250</v>
      </c>
      <c r="I375" s="11"/>
      <c r="J375" s="11"/>
      <c r="K375" s="11"/>
      <c r="L375" s="11"/>
      <c r="M375" s="28" t="str">
        <f>IFERROR(__xludf.DUMMYFUNCTION("""COMPUTED_VALUE"""),"3355-4425")</f>
        <v>3355-4425</v>
      </c>
      <c r="N375" s="11" t="str">
        <f>IFERROR(__xludf.DUMMYFUNCTION("""COMPUTED_VALUE"""),"ilka0401@bol.com.br")</f>
        <v>ilka0401@bol.com.br</v>
      </c>
      <c r="O375" s="29">
        <f>IFERROR(__xludf.DUMMYFUNCTION("""COMPUTED_VALUE"""),62327011434)</f>
        <v>62327011434</v>
      </c>
      <c r="P375" s="30" t="str">
        <f>IFERROR(__xludf.DUMMYFUNCTION("""COMPUTED_VALUE"""),"203098093680001")</f>
        <v>203098093680001</v>
      </c>
      <c r="Q375" s="30" t="str">
        <f>IFERROR(__xludf.DUMMYFUNCTION("""COMPUTED_VALUE"""),"0000639")</f>
        <v>0000639</v>
      </c>
      <c r="R375" s="30" t="str">
        <f>IFERROR(__xludf.DUMMYFUNCTION("""COMPUTED_VALUE"""),"9000063901")</f>
        <v>9000063901</v>
      </c>
      <c r="S375" s="30" t="str">
        <f>IFERROR(__xludf.DUMMYFUNCTION("""COMPUTED_VALUE"""),"1")</f>
        <v>1</v>
      </c>
      <c r="T375" s="30" t="str">
        <f>IFERROR(__xludf.DUMMYFUNCTION("""COMPUTED_VALUE"""),"223208 ")</f>
        <v>223208 </v>
      </c>
      <c r="U375" s="31">
        <f>IFERROR(__xludf.DUMMYFUNCTION("""COMPUTED_VALUE"""),2232)</f>
        <v>2232</v>
      </c>
      <c r="V375" s="11"/>
      <c r="W375" s="11"/>
      <c r="X375" s="11"/>
      <c r="Y375" s="11"/>
      <c r="Z375" s="11"/>
    </row>
    <row r="376" customHeight="1" spans="1:26">
      <c r="A376" s="11" t="str">
        <f>IFERROR(__xludf.DUMMYFUNCTION("""COMPUTED_VALUE"""),"CLELIANE PRAZERES RODRIGUES MORAIS DA CUNHA")</f>
        <v>CLELIANE PRAZERES RODRIGUES MORAIS DA CUNHA</v>
      </c>
      <c r="B376" s="11"/>
      <c r="C376" s="11"/>
      <c r="D376" s="11" t="str">
        <f>IFERROR(__xludf.DUMMYFUNCTION("""COMPUTED_VALUE"""),"Enfermeira eSF")</f>
        <v>Enfermeira eSF</v>
      </c>
      <c r="E376" s="11" t="str">
        <f>IFERROR(__xludf.DUMMYFUNCTION("""COMPUTED_VALUE"""),"IV")</f>
        <v>IV</v>
      </c>
      <c r="F376" s="11" t="str">
        <f>IFERROR(__xludf.DUMMYFUNCTION("""COMPUTED_VALUE"""),"PACS IPUTINGA II")</f>
        <v>PACS IPUTINGA II</v>
      </c>
      <c r="G376" s="11" t="str">
        <f>IFERROR(__xludf.DUMMYFUNCTION("""COMPUTED_VALUE"""),"US 112 CS DR JOSE DUSTAN CARVALHO SOARES")</f>
        <v>US 112 CS DR JOSE DUSTAN CARVALHO SOARES</v>
      </c>
      <c r="H376" s="27">
        <f>IFERROR(__xludf.DUMMYFUNCTION("""COMPUTED_VALUE"""),81988364140)</f>
        <v>81988364140</v>
      </c>
      <c r="I376" s="11"/>
      <c r="J376" s="11"/>
      <c r="K376" s="11"/>
      <c r="L376" s="11"/>
      <c r="M376" s="28" t="str">
        <f>IFERROR(__xludf.DUMMYFUNCTION("""COMPUTED_VALUE"""),"3355-4139")</f>
        <v>3355-4139</v>
      </c>
      <c r="N376" s="11" t="str">
        <f>IFERROR(__xludf.DUMMYFUNCTION("""COMPUTED_VALUE"""),"cleliane.cunha@yahoo.com.br")</f>
        <v>cleliane.cunha@yahoo.com.br</v>
      </c>
      <c r="O376" s="29">
        <f>IFERROR(__xludf.DUMMYFUNCTION("""COMPUTED_VALUE"""),2198598418)</f>
        <v>2198598418</v>
      </c>
      <c r="P376" s="30" t="str">
        <f>IFERROR(__xludf.DUMMYFUNCTION("""COMPUTED_VALUE"""),"129529764590004")</f>
        <v>129529764590004</v>
      </c>
      <c r="Q376" s="30" t="str">
        <f>IFERROR(__xludf.DUMMYFUNCTION("""COMPUTED_VALUE"""),"0001813")</f>
        <v>0001813</v>
      </c>
      <c r="R376" s="30" t="str">
        <f>IFERROR(__xludf.DUMMYFUNCTION("""COMPUTED_VALUE"""),"0000153354")</f>
        <v>0000153354</v>
      </c>
      <c r="S376" s="30" t="str">
        <f>IFERROR(__xludf.DUMMYFUNCTION("""COMPUTED_VALUE"""),"1")</f>
        <v>1</v>
      </c>
      <c r="T376" s="30" t="str">
        <f>IFERROR(__xludf.DUMMYFUNCTION("""COMPUTED_VALUE"""),"223565")</f>
        <v>223565</v>
      </c>
      <c r="U376" s="31" t="str">
        <f>IFERROR(__xludf.DUMMYFUNCTION("""COMPUTED_VALUE"""),"2235")</f>
        <v>2235</v>
      </c>
      <c r="V376" s="11"/>
      <c r="W376" s="11">
        <f>IFERROR(__xludf.DUMMYFUNCTION("""COMPUTED_VALUE"""),32269108)</f>
        <v>32269108</v>
      </c>
      <c r="X376" s="11">
        <f>IFERROR(__xludf.DUMMYFUNCTION("""COMPUTED_VALUE"""),88364140)</f>
        <v>88364140</v>
      </c>
      <c r="Y376" s="11">
        <f>IFERROR(__xludf.DUMMYFUNCTION("""COMPUTED_VALUE"""),2198598418)</f>
        <v>2198598418</v>
      </c>
      <c r="Z376" s="11"/>
    </row>
    <row r="377" customHeight="1" spans="1:26">
      <c r="A377" s="11" t="str">
        <f>IFERROR(__xludf.DUMMYFUNCTION("""COMPUTED_VALUE"""),"NUBIA FERREIRA CASTRO ALMEIDA")</f>
        <v>NUBIA FERREIRA CASTRO ALMEIDA</v>
      </c>
      <c r="B377" s="11"/>
      <c r="C377" s="11"/>
      <c r="D377" s="11" t="str">
        <f>IFERROR(__xludf.DUMMYFUNCTION("""COMPUTED_VALUE"""),"Enfermeira eSF")</f>
        <v>Enfermeira eSF</v>
      </c>
      <c r="E377" s="11" t="str">
        <f>IFERROR(__xludf.DUMMYFUNCTION("""COMPUTED_VALUE"""),"IV")</f>
        <v>IV</v>
      </c>
      <c r="F377" s="11" t="str">
        <f>IFERROR(__xludf.DUMMYFUNCTION("""COMPUTED_VALUE"""),"PACS ZUMBI")</f>
        <v>PACS ZUMBI</v>
      </c>
      <c r="G377" s="11" t="str">
        <f>IFERROR(__xludf.DUMMYFUNCTION("""COMPUTED_VALUE"""),"US 106 CS PROF JOAQUIM CAVALCANTE")</f>
        <v>US 106 CS PROF JOAQUIM CAVALCANTE</v>
      </c>
      <c r="H377" s="34" t="str">
        <f>IFERROR(__xludf.DUMMYFUNCTION("""COMPUTED_VALUE"""),"81998168899.")</f>
        <v>81998168899.</v>
      </c>
      <c r="I377" s="11"/>
      <c r="J377" s="11"/>
      <c r="K377" s="11"/>
      <c r="L377" s="11"/>
      <c r="M377" s="28" t="str">
        <f>IFERROR(__xludf.DUMMYFUNCTION("""COMPUTED_VALUE"""),"3355-4425")</f>
        <v>3355-4425</v>
      </c>
      <c r="N377" s="11" t="str">
        <f>IFERROR(__xludf.DUMMYFUNCTION("""COMPUTED_VALUE"""),"nubialmeida@gmail.com")</f>
        <v>nubialmeida@gmail.com</v>
      </c>
      <c r="O377" s="29">
        <f>IFERROR(__xludf.DUMMYFUNCTION("""COMPUTED_VALUE"""),42648017453)</f>
        <v>42648017453</v>
      </c>
      <c r="P377" s="30" t="str">
        <f>IFERROR(__xludf.DUMMYFUNCTION("""COMPUTED_VALUE"""),"123116595390005")</f>
        <v>123116595390005</v>
      </c>
      <c r="Q377" s="30" t="str">
        <f>IFERROR(__xludf.DUMMYFUNCTION("""COMPUTED_VALUE"""),"0000639")</f>
        <v>0000639</v>
      </c>
      <c r="R377" s="30" t="str">
        <f>IFERROR(__xludf.DUMMYFUNCTION("""COMPUTED_VALUE"""),"0001582542")</f>
        <v>0001582542</v>
      </c>
      <c r="S377" s="30" t="str">
        <f>IFERROR(__xludf.DUMMYFUNCTION("""COMPUTED_VALUE"""),"1")</f>
        <v>1</v>
      </c>
      <c r="T377" s="30" t="str">
        <f>IFERROR(__xludf.DUMMYFUNCTION("""COMPUTED_VALUE"""),"223565")</f>
        <v>223565</v>
      </c>
      <c r="U377" s="31" t="str">
        <f>IFERROR(__xludf.DUMMYFUNCTION("""COMPUTED_VALUE"""),"2235")</f>
        <v>2235</v>
      </c>
      <c r="V377" s="11"/>
      <c r="W377" s="11">
        <f>IFERROR(__xludf.DUMMYFUNCTION("""COMPUTED_VALUE"""),34450449)</f>
        <v>34450449</v>
      </c>
      <c r="X377" s="11">
        <f>IFERROR(__xludf.DUMMYFUNCTION("""COMPUTED_VALUE"""),97330631)</f>
        <v>97330631</v>
      </c>
      <c r="Y377" s="11">
        <f>IFERROR(__xludf.DUMMYFUNCTION("""COMPUTED_VALUE"""),42648017453)</f>
        <v>42648017453</v>
      </c>
      <c r="Z377" s="11"/>
    </row>
    <row r="378" customHeight="1" spans="1:26">
      <c r="A378" s="11" t="str">
        <f>IFERROR(__xludf.DUMMYFUNCTION("""COMPUTED_VALUE"""),"RAFAEL SOARES PIRES RODRIGUES")</f>
        <v>RAFAEL SOARES PIRES RODRIGUES</v>
      </c>
      <c r="B378" s="11"/>
      <c r="C378" s="11"/>
      <c r="D378" s="11"/>
      <c r="E378" s="11"/>
      <c r="F378" s="11"/>
      <c r="G378" s="11" t="str">
        <f>IFERROR(__xludf.DUMMYFUNCTION("""COMPUTED_VALUE"""),"US 267 USF UR 2 / JANE MAGALHAES")</f>
        <v>US 267 USF UR 2 / JANE MAGALHAES</v>
      </c>
      <c r="H378" s="27">
        <f>IFERROR(__xludf.DUMMYFUNCTION("""COMPUTED_VALUE"""),81996859933)</f>
        <v>81996859933</v>
      </c>
      <c r="I378" s="11"/>
      <c r="J378" s="11"/>
      <c r="K378" s="24">
        <f>IFERROR(__xludf.DUMMYFUNCTION("""COMPUTED_VALUE"""),45363)</f>
        <v>45363</v>
      </c>
      <c r="L378" s="11"/>
      <c r="M378" s="11"/>
      <c r="N378" s="11"/>
      <c r="O378" s="11"/>
      <c r="P378" s="11"/>
      <c r="Q378" s="11"/>
      <c r="R378" s="11"/>
      <c r="S378" s="11"/>
      <c r="T378" s="11"/>
      <c r="U378" s="11"/>
      <c r="V378" s="11"/>
      <c r="W378" s="11"/>
      <c r="X378" s="11"/>
      <c r="Y378" s="11"/>
      <c r="Z378" s="11"/>
    </row>
    <row r="379" customHeight="1" spans="1:26">
      <c r="A379" s="11" t="str">
        <f>IFERROR(__xludf.DUMMYFUNCTION("""COMPUTED_VALUE"""),"Thais de Andrade Alves")</f>
        <v>Thais de Andrade Alves</v>
      </c>
      <c r="B379" s="11"/>
      <c r="C379" s="11"/>
      <c r="D379" s="11" t="str">
        <f>IFERROR(__xludf.DUMMYFUNCTION("""COMPUTED_VALUE"""),"Médica eSF")</f>
        <v>Médica eSF</v>
      </c>
      <c r="E379" s="11"/>
      <c r="F379" s="11"/>
      <c r="G379" s="11" t="str">
        <f>IFERROR(__xludf.DUMMYFUNCTION("""COMPUTED_VALUE"""),"US 172 USF TRES CARNEIROS")</f>
        <v>US 172 USF TRES CARNEIROS</v>
      </c>
      <c r="H379" s="27">
        <f>IFERROR(__xludf.DUMMYFUNCTION("""COMPUTED_VALUE"""),71997370292)</f>
        <v>71997370292</v>
      </c>
      <c r="I379" s="11"/>
      <c r="J379" s="11"/>
      <c r="K379" s="24">
        <f>IFERROR(__xludf.DUMMYFUNCTION("""COMPUTED_VALUE"""),45418)</f>
        <v>45418</v>
      </c>
      <c r="L379" s="11"/>
      <c r="M379" s="11"/>
      <c r="N379" s="11"/>
      <c r="O379" s="11"/>
      <c r="P379" s="11"/>
      <c r="Q379" s="11"/>
      <c r="R379" s="11"/>
      <c r="S379" s="11"/>
      <c r="T379" s="11"/>
      <c r="U379" s="11"/>
      <c r="V379" s="11"/>
      <c r="W379" s="11"/>
      <c r="X379" s="11"/>
      <c r="Y379" s="11"/>
      <c r="Z379" s="11"/>
    </row>
    <row r="380" customHeight="1" spans="1:26">
      <c r="A380" s="11" t="str">
        <f>IFERROR(__xludf.DUMMYFUNCTION("""COMPUTED_VALUE"""),"ALBA VALÉRIA")</f>
        <v>ALBA VALÉRIA</v>
      </c>
      <c r="B380" s="11"/>
      <c r="C380" s="11"/>
      <c r="D380" s="11" t="str">
        <f>IFERROR(__xludf.DUMMYFUNCTION("""COMPUTED_VALUE"""),"Enfermeira eSF")</f>
        <v>Enfermeira eSF</v>
      </c>
      <c r="E380" s="11" t="str">
        <f>IFERROR(__xludf.DUMMYFUNCTION("""COMPUTED_VALUE"""),"VIII")</f>
        <v>VIII</v>
      </c>
      <c r="F380" s="11" t="str">
        <f>IFERROR(__xludf.DUMMYFUNCTION("""COMPUTED_VALUE"""),"US_172 USF TRES CARNEIROS ALTO  / JORGE LOBO")</f>
        <v>US_172 USF TRES CARNEIROS ALTO  / JORGE LOBO</v>
      </c>
      <c r="G380" s="11" t="str">
        <f>IFERROR(__xludf.DUMMYFUNCTION("""COMPUTED_VALUE"""),"US 172 USF TRES CARNEIROS")</f>
        <v>US 172 USF TRES CARNEIROS</v>
      </c>
      <c r="H380" s="27">
        <f>IFERROR(__xludf.DUMMYFUNCTION("""COMPUTED_VALUE"""),81998186579)</f>
        <v>81998186579</v>
      </c>
      <c r="I380" s="11"/>
      <c r="J380" s="11"/>
      <c r="K380" s="11"/>
      <c r="L380" s="11"/>
      <c r="M380" s="11"/>
      <c r="N380" s="11"/>
      <c r="O380" s="11"/>
      <c r="P380" s="11"/>
      <c r="Q380" s="11"/>
      <c r="R380" s="11"/>
      <c r="S380" s="11"/>
      <c r="T380" s="11"/>
      <c r="U380" s="11"/>
      <c r="V380" s="11"/>
      <c r="W380" s="11"/>
      <c r="X380" s="11"/>
      <c r="Y380" s="11"/>
      <c r="Z380" s="11"/>
    </row>
    <row r="381" customHeight="1" spans="1:26">
      <c r="A381" s="11" t="str">
        <f>IFERROR(__xludf.DUMMYFUNCTION("""COMPUTED_VALUE"""),"MARIA AUXILIADORA P B SIQUEIRA")</f>
        <v>MARIA AUXILIADORA P B SIQUEIRA</v>
      </c>
      <c r="B381" s="11"/>
      <c r="C381" s="11"/>
      <c r="D381" s="11" t="str">
        <f>IFERROR(__xludf.DUMMYFUNCTION("""COMPUTED_VALUE"""),"Dentista")</f>
        <v>Dentista</v>
      </c>
      <c r="E381" s="11" t="str">
        <f>IFERROR(__xludf.DUMMYFUNCTION("""COMPUTED_VALUE"""),"VIII")</f>
        <v>VIII</v>
      </c>
      <c r="F381" s="11" t="str">
        <f>IFERROR(__xludf.DUMMYFUNCTION("""COMPUTED_VALUE"""),"US_172 USF TRES CARNEIROS ALTO  / JORGE LOBO")</f>
        <v>US_172 USF TRES CARNEIROS ALTO  / JORGE LOBO</v>
      </c>
      <c r="G381" s="11" t="str">
        <f>IFERROR(__xludf.DUMMYFUNCTION("""COMPUTED_VALUE"""),"US 172 USF TRES CARNEIROS")</f>
        <v>US 172 USF TRES CARNEIROS</v>
      </c>
      <c r="H381" s="27">
        <f>IFERROR(__xludf.DUMMYFUNCTION("""COMPUTED_VALUE"""),81986995422)</f>
        <v>81986995422</v>
      </c>
      <c r="I381" s="11"/>
      <c r="J381" s="11"/>
      <c r="K381" s="11"/>
      <c r="L381" s="11"/>
      <c r="M381" s="28" t="str">
        <f>IFERROR(__xludf.DUMMYFUNCTION("""COMPUTED_VALUE"""),"3355-4713")</f>
        <v>3355-4713</v>
      </c>
      <c r="N381" s="11" t="str">
        <f>IFERROR(__xludf.DUMMYFUNCTION("""COMPUTED_VALUE"""),"mapb_15@hotmail.com")</f>
        <v>mapb_15@hotmail.com</v>
      </c>
      <c r="O381" s="29">
        <f>IFERROR(__xludf.DUMMYFUNCTION("""COMPUTED_VALUE"""),4072063452)</f>
        <v>4072063452</v>
      </c>
      <c r="P381" s="30" t="str">
        <f>IFERROR(__xludf.DUMMYFUNCTION("""COMPUTED_VALUE"""),"980016277542236")</f>
        <v>980016277542236</v>
      </c>
      <c r="Q381" s="30" t="str">
        <f>IFERROR(__xludf.DUMMYFUNCTION("""COMPUTED_VALUE"""),"0002062")</f>
        <v>0002062</v>
      </c>
      <c r="R381" s="30" t="str">
        <f>IFERROR(__xludf.DUMMYFUNCTION("""COMPUTED_VALUE"""),"0001794744")</f>
        <v>0001794744</v>
      </c>
      <c r="S381" s="30" t="str">
        <f>IFERROR(__xludf.DUMMYFUNCTION("""COMPUTED_VALUE"""),"1")</f>
        <v>1</v>
      </c>
      <c r="T381" s="30" t="str">
        <f>IFERROR(__xludf.DUMMYFUNCTION("""COMPUTED_VALUE"""),"223293")</f>
        <v>223293</v>
      </c>
      <c r="U381" s="31">
        <f>IFERROR(__xludf.DUMMYFUNCTION("""COMPUTED_VALUE"""),2232)</f>
        <v>2232</v>
      </c>
      <c r="V381" s="11"/>
      <c r="W381" s="11"/>
      <c r="X381" s="11"/>
      <c r="Y381" s="11"/>
      <c r="Z381" s="11"/>
    </row>
    <row r="382" customHeight="1" spans="1:26">
      <c r="A382" s="11" t="str">
        <f>IFERROR(__xludf.DUMMYFUNCTION("""COMPUTED_VALUE"""),"MARIA DO ROSARIO GALINDO DOMINGOS")</f>
        <v>MARIA DO ROSARIO GALINDO DOMINGOS</v>
      </c>
      <c r="B382" s="11" t="str">
        <f>IFERROR(__xludf.DUMMYFUNCTION("""COMPUTED_VALUE"""),"15:00/16:30 - horários de preferência")</f>
        <v>15:00/16:30 - horários de preferência</v>
      </c>
      <c r="C382" s="11"/>
      <c r="D382" s="11" t="str">
        <f>IFERROR(__xludf.DUMMYFUNCTION("""COMPUTED_VALUE"""),"Médica eSF")</f>
        <v>Médica eSF</v>
      </c>
      <c r="E382" s="11" t="str">
        <f>IFERROR(__xludf.DUMMYFUNCTION("""COMPUTED_VALUE"""),"IV")</f>
        <v>IV</v>
      </c>
      <c r="F382" s="11" t="str">
        <f>IFERROR(__xludf.DUMMYFUNCTION("""COMPUTED_VALUE"""),"US_237 USF SITIO DAS PALMEIRAS	")</f>
        <v>US_237 USF SITIO DAS PALMEIRAS	</v>
      </c>
      <c r="G382" s="11" t="str">
        <f>IFERROR(__xludf.DUMMYFUNCTION("""COMPUTED_VALUE"""),"US 237 USF SITIO DAS PALMEIRAS")</f>
        <v>US 237 USF SITIO DAS PALMEIRAS</v>
      </c>
      <c r="H382" s="27">
        <f>IFERROR(__xludf.DUMMYFUNCTION("""COMPUTED_VALUE"""),81999764702)</f>
        <v>81999764702</v>
      </c>
      <c r="I382" s="11"/>
      <c r="J382" s="11"/>
      <c r="K382" s="11"/>
      <c r="L382" s="11"/>
      <c r="M382" s="28" t="str">
        <f>IFERROR(__xludf.DUMMYFUNCTION("""COMPUTED_VALUE"""),"3355-6448")</f>
        <v>3355-6448</v>
      </c>
      <c r="N382" s="11" t="str">
        <f>IFERROR(__xludf.DUMMYFUNCTION("""COMPUTED_VALUE"""),"rosariogdomingos@hotmail.com")</f>
        <v>rosariogdomingos@hotmail.com</v>
      </c>
      <c r="O382" s="29">
        <f>IFERROR(__xludf.DUMMYFUNCTION("""COMPUTED_VALUE"""),12657581404)</f>
        <v>12657581404</v>
      </c>
      <c r="P382" s="30" t="str">
        <f>IFERROR(__xludf.DUMMYFUNCTION("""COMPUTED_VALUE"""),"204324218600018")</f>
        <v>204324218600018</v>
      </c>
      <c r="Q382" s="30" t="str">
        <f>IFERROR(__xludf.DUMMYFUNCTION("""COMPUTED_VALUE"""),"0022365")</f>
        <v>0022365</v>
      </c>
      <c r="R382" s="30" t="str">
        <f>IFERROR(__xludf.DUMMYFUNCTION("""COMPUTED_VALUE"""),"0000153893")</f>
        <v>0000153893</v>
      </c>
      <c r="S382" s="30" t="str">
        <f>IFERROR(__xludf.DUMMYFUNCTION("""COMPUTED_VALUE"""),"1")</f>
        <v>1</v>
      </c>
      <c r="T382" s="30" t="str">
        <f>IFERROR(__xludf.DUMMYFUNCTION("""COMPUTED_VALUE"""),"225142")</f>
        <v>225142</v>
      </c>
      <c r="U382" s="31" t="str">
        <f>IFERROR(__xludf.DUMMYFUNCTION("""COMPUTED_VALUE"""),"2251")</f>
        <v>2251</v>
      </c>
      <c r="V382" s="11" t="str">
        <f>IFERROR(__xludf.DUMMYFUNCTION("""COMPUTED_VALUE"""),"SIM")</f>
        <v>SIM</v>
      </c>
      <c r="W382" s="11"/>
      <c r="X382" s="11">
        <f>IFERROR(__xludf.DUMMYFUNCTION("""COMPUTED_VALUE"""),32271506)</f>
        <v>32271506</v>
      </c>
      <c r="Y382" s="11">
        <f>IFERROR(__xludf.DUMMYFUNCTION("""COMPUTED_VALUE"""),99764702)</f>
        <v>99764702</v>
      </c>
      <c r="Z382" s="11">
        <f>IFERROR(__xludf.DUMMYFUNCTION("""COMPUTED_VALUE"""),12657581404)</f>
        <v>12657581404</v>
      </c>
    </row>
    <row r="383" customHeight="1" spans="1:26">
      <c r="A383" s="11" t="str">
        <f>IFERROR(__xludf.DUMMYFUNCTION("""COMPUTED_VALUE"""),"VALDECIR GONZAGA DOS SANTOS")</f>
        <v>VALDECIR GONZAGA DOS SANTOS</v>
      </c>
      <c r="B383" s="11"/>
      <c r="C383" s="11"/>
      <c r="D383" s="11" t="str">
        <f>IFERROR(__xludf.DUMMYFUNCTION("""COMPUTED_VALUE"""),"Médica eSF")</f>
        <v>Médica eSF</v>
      </c>
      <c r="E383" s="11" t="str">
        <f>IFERROR(__xludf.DUMMYFUNCTION("""COMPUTED_VALUE"""),"IV")</f>
        <v>IV</v>
      </c>
      <c r="F383" s="11" t="str">
        <f>IFERROR(__xludf.DUMMYFUNCTION("""COMPUTED_VALUE"""),"US_234 USF RODA DE FOGO COSIROF")</f>
        <v>US_234 USF RODA DE FOGO COSIROF</v>
      </c>
      <c r="G383" s="11" t="str">
        <f>IFERROR(__xludf.DUMMYFUNCTION("""COMPUTED_VALUE"""),"US 234 USF RODA DE FOGO COSIROF")</f>
        <v>US 234 USF RODA DE FOGO COSIROF</v>
      </c>
      <c r="H383" s="27">
        <f>IFERROR(__xludf.DUMMYFUNCTION("""COMPUTED_VALUE"""),81999206663)</f>
        <v>81999206663</v>
      </c>
      <c r="I383" s="11"/>
      <c r="J383" s="11"/>
      <c r="K383" s="11"/>
      <c r="L383" s="11"/>
      <c r="M383" s="28" t="str">
        <f>IFERROR(__xludf.DUMMYFUNCTION("""COMPUTED_VALUE"""),"3355-6423")</f>
        <v>3355-6423</v>
      </c>
      <c r="N383" s="11" t="str">
        <f>IFERROR(__xludf.DUMMYFUNCTION("""COMPUTED_VALUE"""),"val.gonzaga@hotmail.com")</f>
        <v>val.gonzaga@hotmail.com</v>
      </c>
      <c r="O383" s="29">
        <f>IFERROR(__xludf.DUMMYFUNCTION("""COMPUTED_VALUE"""),6758410463)</f>
        <v>6758410463</v>
      </c>
      <c r="P383" s="30" t="str">
        <f>IFERROR(__xludf.DUMMYFUNCTION("""COMPUTED_VALUE"""),"203121023770004")</f>
        <v>203121023770004</v>
      </c>
      <c r="Q383" s="30" t="str">
        <f>IFERROR(__xludf.DUMMYFUNCTION("""COMPUTED_VALUE"""),"0022330")</f>
        <v>0022330</v>
      </c>
      <c r="R383" s="30" t="str">
        <f>IFERROR(__xludf.DUMMYFUNCTION("""COMPUTED_VALUE"""),"0000153869")</f>
        <v>0000153869</v>
      </c>
      <c r="S383" s="30" t="str">
        <f>IFERROR(__xludf.DUMMYFUNCTION("""COMPUTED_VALUE"""),"1")</f>
        <v>1</v>
      </c>
      <c r="T383" s="30" t="str">
        <f>IFERROR(__xludf.DUMMYFUNCTION("""COMPUTED_VALUE"""),"225142")</f>
        <v>225142</v>
      </c>
      <c r="U383" s="31" t="str">
        <f>IFERROR(__xludf.DUMMYFUNCTION("""COMPUTED_VALUE"""),"2251")</f>
        <v>2251</v>
      </c>
      <c r="V383" s="11" t="str">
        <f>IFERROR(__xludf.DUMMYFUNCTION("""COMPUTED_VALUE"""),"SIM")</f>
        <v>SIM</v>
      </c>
      <c r="W383" s="11"/>
      <c r="X383" s="11">
        <f>IFERROR(__xludf.DUMMYFUNCTION("""COMPUTED_VALUE"""),99206663)</f>
        <v>99206663</v>
      </c>
      <c r="Y383" s="11">
        <f>IFERROR(__xludf.DUMMYFUNCTION("""COMPUTED_VALUE"""),32273042)</f>
        <v>32273042</v>
      </c>
      <c r="Z383" s="11">
        <f>IFERROR(__xludf.DUMMYFUNCTION("""COMPUTED_VALUE"""),6758410463)</f>
        <v>6758410463</v>
      </c>
    </row>
    <row r="384" customHeight="1" spans="1:26">
      <c r="A384" s="11" t="str">
        <f>IFERROR(__xludf.DUMMYFUNCTION("""COMPUTED_VALUE"""),"RITA DE CASSIA DE BARROS RAMOS")</f>
        <v>RITA DE CASSIA DE BARROS RAMOS</v>
      </c>
      <c r="B384" s="11"/>
      <c r="C384" s="11"/>
      <c r="D384" s="11" t="str">
        <f>IFERROR(__xludf.DUMMYFUNCTION("""COMPUTED_VALUE"""),"Enfermeira eSF")</f>
        <v>Enfermeira eSF</v>
      </c>
      <c r="E384" s="11" t="str">
        <f>IFERROR(__xludf.DUMMYFUNCTION("""COMPUTED_VALUE"""),"IV")</f>
        <v>IV</v>
      </c>
      <c r="F384" s="11" t="str">
        <f>IFERROR(__xludf.DUMMYFUNCTION("""COMPUTED_VALUE"""),"US_233 USF VIETNA")</f>
        <v>US_233 USF VIETNA</v>
      </c>
      <c r="G384" s="11" t="str">
        <f>IFERROR(__xludf.DUMMYFUNCTION("""COMPUTED_VALUE"""),"US 233 USF VIETNA")</f>
        <v>US 233 USF VIETNA</v>
      </c>
      <c r="H384" s="27">
        <f>IFERROR(__xludf.DUMMYFUNCTION("""COMPUTED_VALUE"""),81991386661)</f>
        <v>81991386661</v>
      </c>
      <c r="I384" s="11"/>
      <c r="J384" s="11"/>
      <c r="K384" s="11"/>
      <c r="L384" s="11"/>
      <c r="M384" s="28" t="str">
        <f>IFERROR(__xludf.DUMMYFUNCTION("""COMPUTED_VALUE"""),"3355-6806")</f>
        <v>3355-6806</v>
      </c>
      <c r="N384" s="11" t="str">
        <f>IFERROR(__xludf.DUMMYFUNCTION("""COMPUTED_VALUE"""),"ritacbramos@gmail.com")</f>
        <v>ritacbramos@gmail.com</v>
      </c>
      <c r="O384" s="29">
        <f>IFERROR(__xludf.DUMMYFUNCTION("""COMPUTED_VALUE"""),39787800463)</f>
        <v>39787800463</v>
      </c>
      <c r="P384" s="30" t="str">
        <f>IFERROR(__xludf.DUMMYFUNCTION("""COMPUTED_VALUE"""),"980016000722368")</f>
        <v>980016000722368</v>
      </c>
      <c r="Q384" s="30" t="str">
        <f>IFERROR(__xludf.DUMMYFUNCTION("""COMPUTED_VALUE"""),"0022322")</f>
        <v>0022322</v>
      </c>
      <c r="R384" s="30" t="str">
        <f>IFERROR(__xludf.DUMMYFUNCTION("""COMPUTED_VALUE"""),"0000153842")</f>
        <v>0000153842</v>
      </c>
      <c r="S384" s="30" t="str">
        <f>IFERROR(__xludf.DUMMYFUNCTION("""COMPUTED_VALUE"""),"1")</f>
        <v>1</v>
      </c>
      <c r="T384" s="30" t="str">
        <f>IFERROR(__xludf.DUMMYFUNCTION("""COMPUTED_VALUE"""),"223565")</f>
        <v>223565</v>
      </c>
      <c r="U384" s="31" t="str">
        <f>IFERROR(__xludf.DUMMYFUNCTION("""COMPUTED_VALUE"""),"2235")</f>
        <v>2235</v>
      </c>
      <c r="V384" s="11"/>
      <c r="W384" s="11">
        <f>IFERROR(__xludf.DUMMYFUNCTION("""COMPUTED_VALUE"""),8191326661)</f>
        <v>8191326661</v>
      </c>
      <c r="X384" s="11"/>
      <c r="Y384" s="11">
        <f>IFERROR(__xludf.DUMMYFUNCTION("""COMPUTED_VALUE"""),39787800463)</f>
        <v>39787800463</v>
      </c>
      <c r="Z384" s="11"/>
    </row>
    <row r="385" customHeight="1" spans="1:26">
      <c r="A385" s="11" t="str">
        <f>IFERROR(__xludf.DUMMYFUNCTION("""COMPUTED_VALUE"""),"CLEA RIBEIRO DIDIER")</f>
        <v>CLEA RIBEIRO DIDIER</v>
      </c>
      <c r="B385" s="11"/>
      <c r="C385" s="11"/>
      <c r="D385" s="11" t="str">
        <f>IFERROR(__xludf.DUMMYFUNCTION("""COMPUTED_VALUE"""),"Médica eSF")</f>
        <v>Médica eSF</v>
      </c>
      <c r="E385" s="11" t="str">
        <f>IFERROR(__xludf.DUMMYFUNCTION("""COMPUTED_VALUE"""),"IV")</f>
        <v>IV</v>
      </c>
      <c r="F385" s="11" t="str">
        <f>IFERROR(__xludf.DUMMYFUNCTION("""COMPUTED_VALUE"""),"US_442 USF UPINHA DIA SANTA LUZIA EMOCY KRAUSE")</f>
        <v>US_442 USF UPINHA DIA SANTA LUZIA EMOCY KRAUSE</v>
      </c>
      <c r="G385" s="11" t="str">
        <f>IFERROR(__xludf.DUMMYFUNCTION("""COMPUTED_VALUE"""),"US 442 USF UPINHA DIA SANTA LUZIA EMOCY KRAUSE")</f>
        <v>US 442 USF UPINHA DIA SANTA LUZIA EMOCY KRAUSE</v>
      </c>
      <c r="H385" s="27">
        <f>IFERROR(__xludf.DUMMYFUNCTION("""COMPUTED_VALUE"""),81988836916)</f>
        <v>81988836916</v>
      </c>
      <c r="I385" s="11"/>
      <c r="J385" s="11"/>
      <c r="K385" s="11"/>
      <c r="L385" s="11"/>
      <c r="M385" s="28" t="str">
        <f>IFERROR(__xludf.DUMMYFUNCTION("""COMPUTED_VALUE"""),"3355-1816/1850/1834")</f>
        <v>3355-1816/1850/1834</v>
      </c>
      <c r="N385" s="11" t="str">
        <f>IFERROR(__xludf.DUMMYFUNCTION("""COMPUTED_VALUE"""),"crdidier@gmail.com")</f>
        <v>crdidier@gmail.com</v>
      </c>
      <c r="O385" s="29">
        <f>IFERROR(__xludf.DUMMYFUNCTION("""COMPUTED_VALUE"""),66683980497)</f>
        <v>66683980497</v>
      </c>
      <c r="P385" s="30" t="str">
        <f>IFERROR(__xludf.DUMMYFUNCTION("""COMPUTED_VALUE"""),"980016282188887")</f>
        <v>980016282188887</v>
      </c>
      <c r="Q385" s="30" t="str">
        <f>IFERROR(__xludf.DUMMYFUNCTION("""COMPUTED_VALUE"""),"9069569")</f>
        <v>9069569</v>
      </c>
      <c r="R385" s="30" t="str">
        <f>IFERROR(__xludf.DUMMYFUNCTION("""COMPUTED_VALUE"""),"0000155381")</f>
        <v>0000155381</v>
      </c>
      <c r="S385" s="30" t="str">
        <f>IFERROR(__xludf.DUMMYFUNCTION("""COMPUTED_VALUE"""),"1")</f>
        <v>1</v>
      </c>
      <c r="T385" s="30" t="str">
        <f>IFERROR(__xludf.DUMMYFUNCTION("""COMPUTED_VALUE"""),"225142")</f>
        <v>225142</v>
      </c>
      <c r="U385" s="31" t="str">
        <f>IFERROR(__xludf.DUMMYFUNCTION("""COMPUTED_VALUE"""),"2251")</f>
        <v>2251</v>
      </c>
      <c r="V385" s="11" t="str">
        <f>IFERROR(__xludf.DUMMYFUNCTION("""COMPUTED_VALUE"""),"SIM")</f>
        <v>SIM</v>
      </c>
      <c r="W385" s="11"/>
      <c r="X385" s="11">
        <f>IFERROR(__xludf.DUMMYFUNCTION("""COMPUTED_VALUE"""),32275689)</f>
        <v>32275689</v>
      </c>
      <c r="Y385" s="11">
        <f>IFERROR(__xludf.DUMMYFUNCTION("""COMPUTED_VALUE"""),88836916)</f>
        <v>88836916</v>
      </c>
      <c r="Z385" s="11">
        <f>IFERROR(__xludf.DUMMYFUNCTION("""COMPUTED_VALUE"""),66683980497)</f>
        <v>66683980497</v>
      </c>
    </row>
    <row r="386" customHeight="1" spans="1:26">
      <c r="A386" s="11" t="str">
        <f>IFERROR(__xludf.DUMMYFUNCTION("""COMPUTED_VALUE"""),"MARIA DE FATIMA GUEDES DA ROCHA")</f>
        <v>MARIA DE FATIMA GUEDES DA ROCHA</v>
      </c>
      <c r="B386" s="11"/>
      <c r="C386" s="11"/>
      <c r="D386" s="11" t="str">
        <f>IFERROR(__xludf.DUMMYFUNCTION("""COMPUTED_VALUE"""),"Enfermeira eSF")</f>
        <v>Enfermeira eSF</v>
      </c>
      <c r="E386" s="11" t="str">
        <f>IFERROR(__xludf.DUMMYFUNCTION("""COMPUTED_VALUE"""),"IV")</f>
        <v>IV</v>
      </c>
      <c r="F386" s="11" t="str">
        <f>IFERROR(__xludf.DUMMYFUNCTION("""COMPUTED_VALUE"""),"US_442 USF UPINHA DIA SANTA LUZIA EMOCY KRAUSE")</f>
        <v>US_442 USF UPINHA DIA SANTA LUZIA EMOCY KRAUSE</v>
      </c>
      <c r="G386" s="11" t="str">
        <f>IFERROR(__xludf.DUMMYFUNCTION("""COMPUTED_VALUE"""),"US 442 USF UPINHA DIA SANTA LUZIA EMOCY KRAUSE")</f>
        <v>US 442 USF UPINHA DIA SANTA LUZIA EMOCY KRAUSE</v>
      </c>
      <c r="H386" s="27">
        <f>IFERROR(__xludf.DUMMYFUNCTION("""COMPUTED_VALUE"""),81987410302)</f>
        <v>81987410302</v>
      </c>
      <c r="I386" s="27">
        <f>IFERROR(__xludf.DUMMYFUNCTION("""COMPUTED_VALUE"""),81992427088)</f>
        <v>81992427088</v>
      </c>
      <c r="J386" s="11"/>
      <c r="K386" s="11"/>
      <c r="L386" s="11"/>
      <c r="M386" s="28" t="str">
        <f>IFERROR(__xludf.DUMMYFUNCTION("""COMPUTED_VALUE"""),"3355-1816/1850/1834")</f>
        <v>3355-1816/1850/1834</v>
      </c>
      <c r="N386" s="11" t="str">
        <f>IFERROR(__xludf.DUMMYFUNCTION("""COMPUTED_VALUE"""),"guedesdarocha@bol.com.br")</f>
        <v>guedesdarocha@bol.com.br</v>
      </c>
      <c r="O386" s="29">
        <f>IFERROR(__xludf.DUMMYFUNCTION("""COMPUTED_VALUE"""),73197351487)</f>
        <v>73197351487</v>
      </c>
      <c r="P386" s="30" t="str">
        <f>IFERROR(__xludf.DUMMYFUNCTION("""COMPUTED_VALUE"""),"204324522000009")</f>
        <v>204324522000009</v>
      </c>
      <c r="Q386" s="30" t="str">
        <f>IFERROR(__xludf.DUMMYFUNCTION("""COMPUTED_VALUE"""),"9069569")</f>
        <v>9069569</v>
      </c>
      <c r="R386" s="30" t="str">
        <f>IFERROR(__xludf.DUMMYFUNCTION("""COMPUTED_VALUE"""),"0000155403")</f>
        <v>0000155403</v>
      </c>
      <c r="S386" s="30" t="str">
        <f>IFERROR(__xludf.DUMMYFUNCTION("""COMPUTED_VALUE"""),"1")</f>
        <v>1</v>
      </c>
      <c r="T386" s="30" t="str">
        <f>IFERROR(__xludf.DUMMYFUNCTION("""COMPUTED_VALUE"""),"223565")</f>
        <v>223565</v>
      </c>
      <c r="U386" s="31" t="str">
        <f>IFERROR(__xludf.DUMMYFUNCTION("""COMPUTED_VALUE"""),"2235")</f>
        <v>2235</v>
      </c>
      <c r="V386" s="11"/>
      <c r="W386" s="11">
        <f>IFERROR(__xludf.DUMMYFUNCTION("""COMPUTED_VALUE"""),92427088)</f>
        <v>92427088</v>
      </c>
      <c r="X386" s="11"/>
      <c r="Y386" s="11">
        <f>IFERROR(__xludf.DUMMYFUNCTION("""COMPUTED_VALUE"""),73197351487)</f>
        <v>73197351487</v>
      </c>
      <c r="Z386" s="11"/>
    </row>
    <row r="387" customHeight="1" spans="1:26">
      <c r="A387" s="11" t="str">
        <f>IFERROR(__xludf.DUMMYFUNCTION("""COMPUTED_VALUE"""),"CARLOS OLIMPIO D DE REZENDE")</f>
        <v>CARLOS OLIMPIO D DE REZENDE</v>
      </c>
      <c r="B387" s="11"/>
      <c r="C387" s="11"/>
      <c r="D387" s="11" t="str">
        <f>IFERROR(__xludf.DUMMYFUNCTION("""COMPUTED_VALUE"""),"Dentista")</f>
        <v>Dentista</v>
      </c>
      <c r="E387" s="11" t="str">
        <f>IFERROR(__xludf.DUMMYFUNCTION("""COMPUTED_VALUE"""),"II")</f>
        <v>II</v>
      </c>
      <c r="F387" s="11" t="str">
        <f>IFERROR(__xludf.DUMMYFUNCTION("""COMPUTED_VALUE"""),"US_302 USF BYRON SARINHO	")</f>
        <v>US_302 USF BYRON SARINHO	</v>
      </c>
      <c r="G387" s="11" t="str">
        <f>IFERROR(__xludf.DUMMYFUNCTION("""COMPUTED_VALUE"""),"US 395 USF UPINHA 24H DR FERNANDA WANDERLEY")</f>
        <v>US 395 USF UPINHA 24H DR FERNANDA WANDERLEY</v>
      </c>
      <c r="H387" s="27">
        <f>IFERROR(__xludf.DUMMYFUNCTION("""COMPUTED_VALUE"""),81988863636)</f>
        <v>81988863636</v>
      </c>
      <c r="I387" s="11"/>
      <c r="J387" s="11"/>
      <c r="K387" s="11"/>
      <c r="L387" s="11"/>
      <c r="M387" s="11"/>
      <c r="N387" s="11" t="str">
        <f>IFERROR(__xludf.DUMMYFUNCTION("""COMPUTED_VALUE"""),"colimpiorezende@yahoo.com.br")</f>
        <v>colimpiorezende@yahoo.com.br</v>
      </c>
      <c r="O387" s="29">
        <f>IFERROR(__xludf.DUMMYFUNCTION("""COMPUTED_VALUE"""),2294154401)</f>
        <v>2294154401</v>
      </c>
      <c r="P387" s="30" t="str">
        <f>IFERROR(__xludf.DUMMYFUNCTION("""COMPUTED_VALUE"""),"980016004532172")</f>
        <v>980016004532172</v>
      </c>
      <c r="Q387" s="30" t="str">
        <f>IFERROR(__xludf.DUMMYFUNCTION("""COMPUTED_VALUE"""),"7524501")</f>
        <v>7524501</v>
      </c>
      <c r="R387" s="30" t="str">
        <f>IFERROR(__xludf.DUMMYFUNCTION("""COMPUTED_VALUE"""),"0001557769")</f>
        <v>0001557769</v>
      </c>
      <c r="S387" s="30" t="str">
        <f>IFERROR(__xludf.DUMMYFUNCTION("""COMPUTED_VALUE"""),"1")</f>
        <v>1</v>
      </c>
      <c r="T387" s="30" t="str">
        <f>IFERROR(__xludf.DUMMYFUNCTION("""COMPUTED_VALUE"""),"223293")</f>
        <v>223293</v>
      </c>
      <c r="U387" s="31">
        <f>IFERROR(__xludf.DUMMYFUNCTION("""COMPUTED_VALUE"""),2232)</f>
        <v>2232</v>
      </c>
      <c r="V387" s="11"/>
      <c r="W387" s="11"/>
      <c r="X387" s="11"/>
      <c r="Y387" s="11"/>
      <c r="Z387" s="11"/>
    </row>
    <row r="388" customHeight="1" spans="1:26">
      <c r="A388" s="11" t="str">
        <f>IFERROR(__xludf.DUMMYFUNCTION("""COMPUTED_VALUE"""),"RENATA PEIXOTO DA MOTA REZENDE")</f>
        <v>RENATA PEIXOTO DA MOTA REZENDE</v>
      </c>
      <c r="B388" s="11"/>
      <c r="C388" s="11"/>
      <c r="D388" s="11" t="str">
        <f>IFERROR(__xludf.DUMMYFUNCTION("""COMPUTED_VALUE"""),"Dentista")</f>
        <v>Dentista</v>
      </c>
      <c r="E388" s="11" t="str">
        <f>IFERROR(__xludf.DUMMYFUNCTION("""COMPUTED_VALUE"""),"IV")</f>
        <v>IV</v>
      </c>
      <c r="F388" s="11" t="str">
        <f>IFERROR(__xludf.DUMMYFUNCTION("""COMPUTED_VALUE"""),"US_234 USF RODA DE FOGO COSIROF")</f>
        <v>US_234 USF RODA DE FOGO COSIROF</v>
      </c>
      <c r="G388" s="11" t="str">
        <f>IFERROR(__xludf.DUMMYFUNCTION("""COMPUTED_VALUE"""),"US 234 USF RODA DE FOGO COSIROF")</f>
        <v>US 234 USF RODA DE FOGO COSIROF</v>
      </c>
      <c r="H388" s="27">
        <f>IFERROR(__xludf.DUMMYFUNCTION("""COMPUTED_VALUE"""),81988820152)</f>
        <v>81988820152</v>
      </c>
      <c r="I388" s="11"/>
      <c r="J388" s="11"/>
      <c r="K388" s="11"/>
      <c r="L388" s="11"/>
      <c r="M388" s="28" t="str">
        <f>IFERROR(__xludf.DUMMYFUNCTION("""COMPUTED_VALUE"""),"3355-6423")</f>
        <v>3355-6423</v>
      </c>
      <c r="N388" s="11" t="str">
        <f>IFERROR(__xludf.DUMMYFUNCTION("""COMPUTED_VALUE"""),"renatamota1@yahoo.com.br")</f>
        <v>renatamota1@yahoo.com.br</v>
      </c>
      <c r="O388" s="29">
        <f>IFERROR(__xludf.DUMMYFUNCTION("""COMPUTED_VALUE"""),3253072452)</f>
        <v>3253072452</v>
      </c>
      <c r="P388" s="30" t="str">
        <f>IFERROR(__xludf.DUMMYFUNCTION("""COMPUTED_VALUE"""),"980016004405405")</f>
        <v>980016004405405</v>
      </c>
      <c r="Q388" s="30" t="str">
        <f>IFERROR(__xludf.DUMMYFUNCTION("""COMPUTED_VALUE"""),"0022330")</f>
        <v>0022330</v>
      </c>
      <c r="R388" s="30" t="str">
        <f>IFERROR(__xludf.DUMMYFUNCTION("""COMPUTED_VALUE"""),"0001825259")</f>
        <v>0001825259</v>
      </c>
      <c r="S388" s="30" t="str">
        <f>IFERROR(__xludf.DUMMYFUNCTION("""COMPUTED_VALUE"""),"1")</f>
        <v>1</v>
      </c>
      <c r="T388" s="30" t="str">
        <f>IFERROR(__xludf.DUMMYFUNCTION("""COMPUTED_VALUE"""),"223293")</f>
        <v>223293</v>
      </c>
      <c r="U388" s="31">
        <f>IFERROR(__xludf.DUMMYFUNCTION("""COMPUTED_VALUE"""),2232)</f>
        <v>2232</v>
      </c>
      <c r="V388" s="11"/>
      <c r="W388" s="11"/>
      <c r="X388" s="11"/>
      <c r="Y388" s="11"/>
      <c r="Z388" s="11"/>
    </row>
    <row r="389" customHeight="1" spans="1:26">
      <c r="A389" s="11" t="str">
        <f>IFERROR(__xludf.DUMMYFUNCTION("""COMPUTED_VALUE"""),"MARIA VALERIA MENEZES DE ALBUQUERQUE GERMANO")</f>
        <v>MARIA VALERIA MENEZES DE ALBUQUERQUE GERMANO</v>
      </c>
      <c r="B389" s="11"/>
      <c r="C389" s="11"/>
      <c r="D389" s="11" t="str">
        <f>IFERROR(__xludf.DUMMYFUNCTION("""COMPUTED_VALUE"""),"Enfermeira e SF")</f>
        <v>Enfermeira e SF</v>
      </c>
      <c r="E389" s="11" t="str">
        <f>IFERROR(__xludf.DUMMYFUNCTION("""COMPUTED_VALUE"""),"II")</f>
        <v>II</v>
      </c>
      <c r="F389" s="11" t="str">
        <f>IFERROR(__xludf.DUMMYFUNCTION("""COMPUTED_VALUE"""),"US_339 USF ALTO DO CAPITAO	")</f>
        <v>US_339 USF ALTO DO CAPITAO	</v>
      </c>
      <c r="G389" s="11" t="str">
        <f>IFERROR(__xludf.DUMMYFUNCTION("""COMPUTED_VALUE"""),"US 339 USF ALTO DO CAPITAO")</f>
        <v>US 339 USF ALTO DO CAPITAO</v>
      </c>
      <c r="H389" s="27">
        <f>IFERROR(__xludf.DUMMYFUNCTION("""COMPUTED_VALUE"""),81999627267)</f>
        <v>81999627267</v>
      </c>
      <c r="I389" s="11"/>
      <c r="J389" s="11"/>
      <c r="K389" s="11"/>
      <c r="L389" s="11"/>
      <c r="M389" s="28" t="str">
        <f>IFERROR(__xludf.DUMMYFUNCTION("""COMPUTED_VALUE"""),"3355-6922")</f>
        <v>3355-6922</v>
      </c>
      <c r="N389" s="11" t="str">
        <f>IFERROR(__xludf.DUMMYFUNCTION("""COMPUTED_VALUE"""),"valeriazes@yahoo.com.br")</f>
        <v>valeriazes@yahoo.com.br</v>
      </c>
      <c r="O389" s="29">
        <f>IFERROR(__xludf.DUMMYFUNCTION("""COMPUTED_VALUE"""),33499624400)</f>
        <v>33499624400</v>
      </c>
      <c r="P389" s="30" t="str">
        <f>IFERROR(__xludf.DUMMYFUNCTION("""COMPUTED_VALUE"""),"705004209341253")</f>
        <v>705004209341253</v>
      </c>
      <c r="Q389" s="30" t="str">
        <f>IFERROR(__xludf.DUMMYFUNCTION("""COMPUTED_VALUE"""),"5356881")</f>
        <v>5356881</v>
      </c>
      <c r="R389" s="30" t="str">
        <f>IFERROR(__xludf.DUMMYFUNCTION("""COMPUTED_VALUE"""),"0000155829")</f>
        <v>0000155829</v>
      </c>
      <c r="S389" s="30" t="str">
        <f>IFERROR(__xludf.DUMMYFUNCTION("""COMPUTED_VALUE"""),"1")</f>
        <v>1</v>
      </c>
      <c r="T389" s="30" t="str">
        <f>IFERROR(__xludf.DUMMYFUNCTION("""COMPUTED_VALUE"""),"223565")</f>
        <v>223565</v>
      </c>
      <c r="U389" s="31" t="str">
        <f>IFERROR(__xludf.DUMMYFUNCTION("""COMPUTED_VALUE"""),"2235")</f>
        <v>2235</v>
      </c>
      <c r="V389" s="11"/>
      <c r="W389" s="11" t="str">
        <f>IFERROR(__xludf.DUMMYFUNCTION("""COMPUTED_VALUE"""),"#N/A")</f>
        <v>#N/A</v>
      </c>
      <c r="X389" s="11" t="str">
        <f>IFERROR(__xludf.DUMMYFUNCTION("""COMPUTED_VALUE"""),"#N/A")</f>
        <v>#N/A</v>
      </c>
      <c r="Y389" s="11" t="str">
        <f>IFERROR(__xludf.DUMMYFUNCTION("""COMPUTED_VALUE"""),"#N/A")</f>
        <v>#N/A</v>
      </c>
      <c r="Z389" s="11"/>
    </row>
    <row r="390" customHeight="1" spans="1:26">
      <c r="A390" s="11" t="str">
        <f>IFERROR(__xludf.DUMMYFUNCTION("""COMPUTED_VALUE"""),"PAULO ROBERTO PINTO FERREIRA")</f>
        <v>PAULO ROBERTO PINTO FERREIRA</v>
      </c>
      <c r="B390" s="11"/>
      <c r="C390" s="11"/>
      <c r="D390" s="11" t="str">
        <f>IFERROR(__xludf.DUMMYFUNCTION("""COMPUTED_VALUE"""),"Médico eSF")</f>
        <v>Médico eSF</v>
      </c>
      <c r="E390" s="11" t="str">
        <f>IFERROR(__xludf.DUMMYFUNCTION("""COMPUTED_VALUE"""),"VI")</f>
        <v>VI</v>
      </c>
      <c r="F390" s="11" t="str">
        <f>IFERROR(__xludf.DUMMYFUNCTION("""COMPUTED_VALUE"""),"US_342 USF DJALMA HOLANDA CAVALCANTE")</f>
        <v>US_342 USF DJALMA HOLANDA CAVALCANTE</v>
      </c>
      <c r="G390" s="11" t="str">
        <f>IFERROR(__xludf.DUMMYFUNCTION("""COMPUTED_VALUE"""),"US 342 USF DJALMA HOLANDA CAVALCANTE")</f>
        <v>US 342 USF DJALMA HOLANDA CAVALCANTE</v>
      </c>
      <c r="H390" s="27">
        <f>IFERROR(__xludf.DUMMYFUNCTION("""COMPUTED_VALUE"""),81999718732)</f>
        <v>81999718732</v>
      </c>
      <c r="I390" s="11"/>
      <c r="J390" s="11"/>
      <c r="K390" s="11"/>
      <c r="L390" s="11"/>
      <c r="M390" s="28" t="str">
        <f>IFERROR(__xludf.DUMMYFUNCTION("""COMPUTED_VALUE"""),"3355-6122")</f>
        <v>3355-6122</v>
      </c>
      <c r="N390" s="11" t="str">
        <f>IFERROR(__xludf.DUMMYFUNCTION("""COMPUTED_VALUE"""),"ppintoferreira@hotmail.com")</f>
        <v>ppintoferreira@hotmail.com</v>
      </c>
      <c r="O390" s="11">
        <f>IFERROR(__xludf.DUMMYFUNCTION("""COMPUTED_VALUE"""),15323862491)</f>
        <v>15323862491</v>
      </c>
      <c r="P390" s="30" t="str">
        <f>IFERROR(__xludf.DUMMYFUNCTION("""COMPUTED_VALUE"""),"107731102800004")</f>
        <v>107731102800004</v>
      </c>
      <c r="Q390" s="30" t="str">
        <f>IFERROR(__xludf.DUMMYFUNCTION("""COMPUTED_VALUE"""),"5392136")</f>
        <v>5392136</v>
      </c>
      <c r="R390" s="30" t="str">
        <f>IFERROR(__xludf.DUMMYFUNCTION("""COMPUTED_VALUE"""),"0000155918")</f>
        <v>0000155918</v>
      </c>
      <c r="S390" s="30" t="str">
        <f>IFERROR(__xludf.DUMMYFUNCTION("""COMPUTED_VALUE"""),"1")</f>
        <v>1</v>
      </c>
      <c r="T390" s="30" t="str">
        <f>IFERROR(__xludf.DUMMYFUNCTION("""COMPUTED_VALUE"""),"225133")</f>
        <v>225133</v>
      </c>
      <c r="U390" s="31">
        <f>IFERROR(__xludf.DUMMYFUNCTION("""COMPUTED_VALUE"""),2251)</f>
        <v>2251</v>
      </c>
      <c r="V390" s="11"/>
      <c r="W390" s="11"/>
      <c r="X390" s="11">
        <f>IFERROR(__xludf.DUMMYFUNCTION("""COMPUTED_VALUE"""),99718732)</f>
        <v>99718732</v>
      </c>
      <c r="Y390" s="11"/>
      <c r="Z390" s="11">
        <f>IFERROR(__xludf.DUMMYFUNCTION("""COMPUTED_VALUE"""),15323862491)</f>
        <v>15323862491</v>
      </c>
    </row>
    <row r="391" customHeight="1" spans="1:26">
      <c r="A391" s="11" t="str">
        <f>IFERROR(__xludf.DUMMYFUNCTION("""COMPUTED_VALUE"""),"ANA CLAUDIA DOURADO CAVALCANTI")</f>
        <v>ANA CLAUDIA DOURADO CAVALCANTI</v>
      </c>
      <c r="B391" s="11"/>
      <c r="C391" s="11"/>
      <c r="D391" s="11" t="str">
        <f>IFERROR(__xludf.DUMMYFUNCTION("""COMPUTED_VALUE"""),"Dentista")</f>
        <v>Dentista</v>
      </c>
      <c r="E391" s="11" t="str">
        <f>IFERROR(__xludf.DUMMYFUNCTION("""COMPUTED_VALUE"""),"IV")</f>
        <v>IV</v>
      </c>
      <c r="F391" s="11" t="str">
        <f>IFERROR(__xludf.DUMMYFUNCTION("""COMPUTED_VALUE"""),"US_106 CS PROF JOAQUIM CAVALCANTE	")</f>
        <v>US_106 CS PROF JOAQUIM CAVALCANTE	</v>
      </c>
      <c r="G391" s="11" t="str">
        <f>IFERROR(__xludf.DUMMYFUNCTION("""COMPUTED_VALUE"""),"US 112 CS DR JOSE DUSTAN CARVALHO SOARES")</f>
        <v>US 112 CS DR JOSE DUSTAN CARVALHO SOARES</v>
      </c>
      <c r="H391" s="27">
        <f>IFERROR(__xludf.DUMMYFUNCTION("""COMPUTED_VALUE"""),81996067682)</f>
        <v>81996067682</v>
      </c>
      <c r="I391" s="11"/>
      <c r="J391" s="11"/>
      <c r="K391" s="11"/>
      <c r="L391" s="11"/>
      <c r="M391" s="28" t="str">
        <f>IFERROR(__xludf.DUMMYFUNCTION("""COMPUTED_VALUE"""),"3355-4139")</f>
        <v>3355-4139</v>
      </c>
      <c r="N391" s="11" t="str">
        <f>IFERROR(__xludf.DUMMYFUNCTION("""COMPUTED_VALUE"""),"caca.dc@hotmail.com")</f>
        <v>caca.dc@hotmail.com</v>
      </c>
      <c r="O391" s="29">
        <f>IFERROR(__xludf.DUMMYFUNCTION("""COMPUTED_VALUE"""),73178691472)</f>
        <v>73178691472</v>
      </c>
      <c r="P391" s="30" t="str">
        <f>IFERROR(__xludf.DUMMYFUNCTION("""COMPUTED_VALUE"""),"200353711740006")</f>
        <v>200353711740006</v>
      </c>
      <c r="Q391" s="30" t="str">
        <f>IFERROR(__xludf.DUMMYFUNCTION("""COMPUTED_VALUE"""),"0001813")</f>
        <v>0001813</v>
      </c>
      <c r="R391" s="30" t="str">
        <f>IFERROR(__xludf.DUMMYFUNCTION("""COMPUTED_VALUE"""),"9000181301")</f>
        <v>9000181301</v>
      </c>
      <c r="S391" s="30" t="str">
        <f>IFERROR(__xludf.DUMMYFUNCTION("""COMPUTED_VALUE"""),"1")</f>
        <v>1</v>
      </c>
      <c r="T391" s="30" t="str">
        <f>IFERROR(__xludf.DUMMYFUNCTION("""COMPUTED_VALUE"""),"223236 ")</f>
        <v>223236 </v>
      </c>
      <c r="U391" s="31">
        <f>IFERROR(__xludf.DUMMYFUNCTION("""COMPUTED_VALUE"""),2232)</f>
        <v>2232</v>
      </c>
      <c r="V391" s="11"/>
      <c r="W391" s="11"/>
      <c r="X391" s="11"/>
      <c r="Y391" s="11"/>
      <c r="Z391" s="11"/>
    </row>
    <row r="392" customHeight="1" spans="1:26">
      <c r="A392" s="11" t="str">
        <f>IFERROR(__xludf.DUMMYFUNCTION("""COMPUTED_VALUE"""),"DAYSE BARROS DE ALMEIDA MACHADO")</f>
        <v>DAYSE BARROS DE ALMEIDA MACHADO</v>
      </c>
      <c r="B392" s="11"/>
      <c r="C392" s="11"/>
      <c r="D392" s="11" t="str">
        <f>IFERROR(__xludf.DUMMYFUNCTION("""COMPUTED_VALUE"""),"Dentista")</f>
        <v>Dentista</v>
      </c>
      <c r="E392" s="11" t="str">
        <f>IFERROR(__xludf.DUMMYFUNCTION("""COMPUTED_VALUE"""),"IV")</f>
        <v>IV</v>
      </c>
      <c r="F392" s="11" t="str">
        <f>IFERROR(__xludf.DUMMYFUNCTION("""COMPUTED_VALUE"""),"US_224 USF CARANGUEJO")</f>
        <v>US_224 USF CARANGUEJO</v>
      </c>
      <c r="G392" s="11" t="str">
        <f>IFERROR(__xludf.DUMMYFUNCTION("""COMPUTED_VALUE"""),"US 224 USF CARANGUEJO")</f>
        <v>US 224 USF CARANGUEJO</v>
      </c>
      <c r="H392" s="27">
        <f>IFERROR(__xludf.DUMMYFUNCTION("""COMPUTED_VALUE"""),81991420414)</f>
        <v>81991420414</v>
      </c>
      <c r="I392" s="11"/>
      <c r="J392" s="11"/>
      <c r="K392" s="11"/>
      <c r="L392" s="11"/>
      <c r="M392" s="28" t="str">
        <f>IFERROR(__xludf.DUMMYFUNCTION("""COMPUTED_VALUE"""),"3355-4644")</f>
        <v>3355-4644</v>
      </c>
      <c r="N392" s="11" t="str">
        <f>IFERROR(__xludf.DUMMYFUNCTION("""COMPUTED_VALUE"""),"daysebalmeida@hotmail.com")</f>
        <v>daysebalmeida@hotmail.com</v>
      </c>
      <c r="O392" s="29">
        <f>IFERROR(__xludf.DUMMYFUNCTION("""COMPUTED_VALUE"""),34120718468)</f>
        <v>34120718468</v>
      </c>
      <c r="P392" s="30" t="str">
        <f>IFERROR(__xludf.DUMMYFUNCTION("""COMPUTED_VALUE"""),"170587685690007")</f>
        <v>170587685690007</v>
      </c>
      <c r="Q392" s="30" t="str">
        <f>IFERROR(__xludf.DUMMYFUNCTION("""COMPUTED_VALUE"""),"0022373")</f>
        <v>0022373</v>
      </c>
      <c r="R392" s="30" t="str">
        <f>IFERROR(__xludf.DUMMYFUNCTION("""COMPUTED_VALUE"""),"9002451101")</f>
        <v>9002451101</v>
      </c>
      <c r="S392" s="30" t="str">
        <f>IFERROR(__xludf.DUMMYFUNCTION("""COMPUTED_VALUE"""),"1")</f>
        <v>1</v>
      </c>
      <c r="T392" s="30" t="str">
        <f>IFERROR(__xludf.DUMMYFUNCTION("""COMPUTED_VALUE"""),"223288")</f>
        <v>223288</v>
      </c>
      <c r="U392" s="31">
        <f>IFERROR(__xludf.DUMMYFUNCTION("""COMPUTED_VALUE"""),2232)</f>
        <v>2232</v>
      </c>
      <c r="V392" s="11"/>
      <c r="W392" s="11"/>
      <c r="X392" s="11"/>
      <c r="Y392" s="11"/>
      <c r="Z392" s="11"/>
    </row>
    <row r="393" customHeight="1" spans="1:26">
      <c r="A393" s="11" t="str">
        <f>IFERROR(__xludf.DUMMYFUNCTION("""COMPUTED_VALUE"""),"JOSE MARIO DE MIRANDA BARBOSA")</f>
        <v>JOSE MARIO DE MIRANDA BARBOSA</v>
      </c>
      <c r="B393" s="11"/>
      <c r="C393" s="11"/>
      <c r="D393" s="11" t="str">
        <f>IFERROR(__xludf.DUMMYFUNCTION("""COMPUTED_VALUE"""),"Dentista")</f>
        <v>Dentista</v>
      </c>
      <c r="E393" s="11" t="str">
        <f>IFERROR(__xludf.DUMMYFUNCTION("""COMPUTED_VALUE"""),"VII")</f>
        <v>VII</v>
      </c>
      <c r="F393" s="11" t="str">
        <f>IFERROR(__xludf.DUMMYFUNCTION("""COMPUTED_VALUE"""),"US_397 USF UPINHA DIA ACS MARIA RITA DA SILVA /CORREGO DO EUCLIDES")</f>
        <v>US_397 USF UPINHA DIA ACS MARIA RITA DA SILVA /CORREGO DO EUCLIDES</v>
      </c>
      <c r="G393" s="11" t="str">
        <f>IFERROR(__xludf.DUMMYFUNCTION("""COMPUTED_VALUE"""),"US 397 USF UPINHA DIA CORREGO DO EUCLIDES")</f>
        <v>US 397 USF UPINHA DIA CORREGO DO EUCLIDES</v>
      </c>
      <c r="H393" s="27">
        <f>IFERROR(__xludf.DUMMYFUNCTION("""COMPUTED_VALUE"""),81997715493)</f>
        <v>81997715493</v>
      </c>
      <c r="I393" s="11"/>
      <c r="J393" s="11"/>
      <c r="K393" s="11"/>
      <c r="L393" s="11"/>
      <c r="M393" s="28" t="str">
        <f>IFERROR(__xludf.DUMMYFUNCTION("""COMPUTED_VALUE"""),"3355-6037")</f>
        <v>3355-6037</v>
      </c>
      <c r="N393" s="11" t="str">
        <f>IFERROR(__xludf.DUMMYFUNCTION("""COMPUTED_VALUE"""),"jmariomb1960@hotmail.com")</f>
        <v>jmariomb1960@hotmail.com</v>
      </c>
      <c r="O393" s="29">
        <f>IFERROR(__xludf.DUMMYFUNCTION("""COMPUTED_VALUE"""),19724918491)</f>
        <v>19724918491</v>
      </c>
      <c r="P393" s="30" t="str">
        <f>IFERROR(__xludf.DUMMYFUNCTION("""COMPUTED_VALUE"""),"980016000643107")</f>
        <v>980016000643107</v>
      </c>
      <c r="Q393" s="30" t="str">
        <f>IFERROR(__xludf.DUMMYFUNCTION("""COMPUTED_VALUE"""),"7563736")</f>
        <v>7563736</v>
      </c>
      <c r="R393" s="30" t="str">
        <f>IFERROR(__xludf.DUMMYFUNCTION("""COMPUTED_VALUE"""),"0001556150	")</f>
        <v>0001556150	</v>
      </c>
      <c r="S393" s="30" t="str">
        <f>IFERROR(__xludf.DUMMYFUNCTION("""COMPUTED_VALUE"""),"1")</f>
        <v>1</v>
      </c>
      <c r="T393" s="30" t="str">
        <f>IFERROR(__xludf.DUMMYFUNCTION("""COMPUTED_VALUE"""),"223293")</f>
        <v>223293</v>
      </c>
      <c r="U393" s="31">
        <f>IFERROR(__xludf.DUMMYFUNCTION("""COMPUTED_VALUE"""),2232)</f>
        <v>2232</v>
      </c>
      <c r="V393" s="11"/>
      <c r="W393" s="11"/>
      <c r="X393" s="11"/>
      <c r="Y393" s="11"/>
      <c r="Z393" s="11"/>
    </row>
    <row r="394" customHeight="1" spans="1:26">
      <c r="A394" s="11" t="str">
        <f>IFERROR(__xludf.DUMMYFUNCTION("""COMPUTED_VALUE"""),"MICHELLY FAGUNDES")</f>
        <v>MICHELLY FAGUNDES</v>
      </c>
      <c r="B394" s="11" t="str">
        <f>IFERROR(__xludf.DUMMYFUNCTION("""COMPUTED_VALUE"""),"RECUSA CASOS CLÍNICOS - LICENÇA MÉDICA")</f>
        <v>RECUSA CASOS CLÍNICOS - LICENÇA MÉDICA</v>
      </c>
      <c r="C394" s="11"/>
      <c r="D394" s="11" t="str">
        <f>IFERROR(__xludf.DUMMYFUNCTION("""COMPUTED_VALUE"""),"Enfermeira eSF")</f>
        <v>Enfermeira eSF</v>
      </c>
      <c r="E394" s="11" t="str">
        <f>IFERROR(__xludf.DUMMYFUNCTION("""COMPUTED_VALUE"""),"VIII")</f>
        <v>VIII</v>
      </c>
      <c r="F394" s="11" t="str">
        <f>IFERROR(__xludf.DUMMYFUNCTION("""COMPUTED_VALUE"""),"")</f>
        <v/>
      </c>
      <c r="G394" s="11" t="str">
        <f>IFERROR(__xludf.DUMMYFUNCTION("""COMPUTED_VALUE"""),"USF PARQUE DOS MILAGRES US 347")</f>
        <v>USF PARQUE DOS MILAGRES US 347</v>
      </c>
      <c r="H394" s="27">
        <f>IFERROR(__xludf.DUMMYFUNCTION("""COMPUTED_VALUE"""),81995253225)</f>
        <v>81995253225</v>
      </c>
      <c r="I394" s="11"/>
      <c r="J394" s="11"/>
      <c r="K394" s="11"/>
      <c r="L394" s="28" t="str">
        <f>IFERROR(__xludf.DUMMYFUNCTION("""COMPUTED_VALUE"""),"X")</f>
        <v>X</v>
      </c>
      <c r="M394" s="11"/>
      <c r="N394" s="11"/>
      <c r="O394" s="11"/>
      <c r="P394" s="11"/>
      <c r="Q394" s="11"/>
      <c r="R394" s="11"/>
      <c r="S394" s="11"/>
      <c r="T394" s="11"/>
      <c r="U394" s="11"/>
      <c r="V394" s="11"/>
      <c r="W394" s="11"/>
      <c r="X394" s="11"/>
      <c r="Y394" s="11"/>
      <c r="Z394" s="11"/>
    </row>
    <row r="395" customHeight="1" spans="1:26">
      <c r="A395" s="11" t="str">
        <f>IFERROR(__xludf.DUMMYFUNCTION("""COMPUTED_VALUE"""),"ANDREA PEREIRA TEODOSIO DUARTE")</f>
        <v>ANDREA PEREIRA TEODOSIO DUARTE</v>
      </c>
      <c r="B395" s="11"/>
      <c r="C395" s="11"/>
      <c r="D395" s="11" t="str">
        <f>IFERROR(__xludf.DUMMYFUNCTION("""COMPUTED_VALUE"""),"Enfermeira eSF")</f>
        <v>Enfermeira eSF</v>
      </c>
      <c r="E395" s="11" t="str">
        <f>IFERROR(__xludf.DUMMYFUNCTION("""COMPUTED_VALUE"""),"VIII")</f>
        <v>VIII</v>
      </c>
      <c r="F395" s="11" t="str">
        <f>IFERROR(__xludf.DUMMYFUNCTION("""COMPUTED_VALUE"""),"PACS VARZEA I")</f>
        <v>PACS VARZEA I</v>
      </c>
      <c r="G395" s="11" t="str">
        <f>IFERROR(__xludf.DUMMYFUNCTION("""COMPUTED_VALUE"""),"US 347 USF PARQUE DO MILAGRE")</f>
        <v>US 347 USF PARQUE DO MILAGRE</v>
      </c>
      <c r="H395" s="27">
        <f>IFERROR(__xludf.DUMMYFUNCTION("""COMPUTED_VALUE"""),81985380802)</f>
        <v>81985380802</v>
      </c>
      <c r="I395" s="11"/>
      <c r="J395" s="11"/>
      <c r="K395" s="11"/>
      <c r="L395" s="11"/>
      <c r="M395" s="28" t="str">
        <f>IFERROR(__xludf.DUMMYFUNCTION("""COMPUTED_VALUE"""),"3355-6191")</f>
        <v>3355-6191</v>
      </c>
      <c r="N395" s="11" t="str">
        <f>IFERROR(__xludf.DUMMYFUNCTION("""COMPUTED_VALUE"""),"andreateodozio@ig.com.br")</f>
        <v>andreateodozio@ig.com.br</v>
      </c>
      <c r="O395" s="29">
        <f>IFERROR(__xludf.DUMMYFUNCTION("""COMPUTED_VALUE"""),46931953400)</f>
        <v>46931953400</v>
      </c>
      <c r="P395" s="30" t="str">
        <f>IFERROR(__xludf.DUMMYFUNCTION("""COMPUTED_VALUE"""),"980016276851715")</f>
        <v>980016276851715</v>
      </c>
      <c r="Q395" s="30" t="str">
        <f>IFERROR(__xludf.DUMMYFUNCTION("""COMPUTED_VALUE"""),"5656893")</f>
        <v>5656893</v>
      </c>
      <c r="R395" s="30" t="str">
        <f>IFERROR(__xludf.DUMMYFUNCTION("""COMPUTED_VALUE"""),"0000155977")</f>
        <v>0000155977</v>
      </c>
      <c r="S395" s="30" t="str">
        <f>IFERROR(__xludf.DUMMYFUNCTION("""COMPUTED_VALUE"""),"1")</f>
        <v>1</v>
      </c>
      <c r="T395" s="30" t="str">
        <f>IFERROR(__xludf.DUMMYFUNCTION("""COMPUTED_VALUE"""),"223565")</f>
        <v>223565</v>
      </c>
      <c r="U395" s="31" t="str">
        <f>IFERROR(__xludf.DUMMYFUNCTION("""COMPUTED_VALUE"""),"2235")</f>
        <v>2235</v>
      </c>
      <c r="V395" s="11"/>
      <c r="W395" s="11">
        <f>IFERROR(__xludf.DUMMYFUNCTION("""COMPUTED_VALUE"""),32286713)</f>
        <v>32286713</v>
      </c>
      <c r="X395" s="11">
        <f>IFERROR(__xludf.DUMMYFUNCTION("""COMPUTED_VALUE"""),85380802)</f>
        <v>85380802</v>
      </c>
      <c r="Y395" s="11">
        <f>IFERROR(__xludf.DUMMYFUNCTION("""COMPUTED_VALUE"""),46931953400)</f>
        <v>46931953400</v>
      </c>
      <c r="Z395" s="11"/>
    </row>
    <row r="396" customHeight="1" spans="1:26">
      <c r="A396" s="11" t="str">
        <f>IFERROR(__xludf.DUMMYFUNCTION("""COMPUTED_VALUE"""),"ANA RAQUEL RODRIGUES")</f>
        <v>ANA RAQUEL RODRIGUES</v>
      </c>
      <c r="B396" s="11"/>
      <c r="C396" s="11"/>
      <c r="D396" s="11" t="str">
        <f>IFERROR(__xludf.DUMMYFUNCTION("""COMPUTED_VALUE"""),"Médico Residente")</f>
        <v>Médico Residente</v>
      </c>
      <c r="E396" s="11"/>
      <c r="F396" s="11" t="str">
        <f>IFERROR(__xludf.DUMMYFUNCTION("""COMPUTED_VALUE"""),"US_331 USF PROF AMAURY DE MEDEIROS")</f>
        <v>US_331 USF PROF AMAURY DE MEDEIROS</v>
      </c>
      <c r="G396" s="11" t="str">
        <f>IFERROR(__xludf.DUMMYFUNCTION("""COMPUTED_VALUE"""),"US_331 USF PROF AMAURY DE MEDEIROS")</f>
        <v>US_331 USF PROF AMAURY DE MEDEIROS</v>
      </c>
      <c r="H396" s="27">
        <f>IFERROR(__xludf.DUMMYFUNCTION("""COMPUTED_VALUE"""),81991068661)</f>
        <v>81991068661</v>
      </c>
      <c r="I396" s="11"/>
      <c r="J396" s="11"/>
      <c r="K396" s="33">
        <f>IFERROR(__xludf.DUMMYFUNCTION("""COMPUTED_VALUE"""),45271)</f>
        <v>45271</v>
      </c>
      <c r="L396" s="11"/>
      <c r="M396" s="11"/>
      <c r="N396" s="11"/>
      <c r="O396" s="11"/>
      <c r="P396" s="11"/>
      <c r="Q396" s="11"/>
      <c r="R396" s="11"/>
      <c r="S396" s="11"/>
      <c r="T396" s="11"/>
      <c r="U396" s="11"/>
      <c r="V396" s="11"/>
      <c r="W396" s="11"/>
      <c r="X396" s="11"/>
      <c r="Y396" s="11"/>
      <c r="Z396" s="11"/>
    </row>
    <row r="397" customHeight="1" spans="1:26">
      <c r="A397" s="11" t="str">
        <f>IFERROR(__xludf.DUMMYFUNCTION("""COMPUTED_VALUE"""),"KARLA RAPHAELLA DE ARAUJO BARCELOS")</f>
        <v>KARLA RAPHAELLA DE ARAUJO BARCELOS</v>
      </c>
      <c r="B397" s="11"/>
      <c r="C397" s="11"/>
      <c r="D397" s="11" t="str">
        <f>IFERROR(__xludf.DUMMYFUNCTION("""COMPUTED_VALUE"""),"Enfermeira eSF")</f>
        <v>Enfermeira eSF</v>
      </c>
      <c r="E397" s="11" t="str">
        <f>IFERROR(__xludf.DUMMYFUNCTION("""COMPUTED_VALUE"""),"IV")</f>
        <v>IV</v>
      </c>
      <c r="F397" s="11" t="str">
        <f>IFERROR(__xludf.DUMMYFUNCTION("""COMPUTED_VALUE"""),"US_331 USF PROF AMAURY DE MEDEIROS")</f>
        <v>US_331 USF PROF AMAURY DE MEDEIROS</v>
      </c>
      <c r="G397" s="11" t="str">
        <f>IFERROR(__xludf.DUMMYFUNCTION("""COMPUTED_VALUE"""),"US 331 USF PROF AMAURY DE MEDEIROS")</f>
        <v>US 331 USF PROF AMAURY DE MEDEIROS</v>
      </c>
      <c r="H397" s="27">
        <f>IFERROR(__xludf.DUMMYFUNCTION("""COMPUTED_VALUE"""),81999718628)</f>
        <v>81999718628</v>
      </c>
      <c r="I397" s="11"/>
      <c r="J397" s="11"/>
      <c r="K397" s="11"/>
      <c r="L397" s="11"/>
      <c r="M397" s="28" t="str">
        <f>IFERROR(__xludf.DUMMYFUNCTION("""COMPUTED_VALUE"""),"3355-0308/0309")</f>
        <v>3355-0308/0309</v>
      </c>
      <c r="N397" s="11" t="str">
        <f>IFERROR(__xludf.DUMMYFUNCTION("""COMPUTED_VALUE"""),"karlarapha@ig.com.br / raphaellaaraujo@hotmail.com")</f>
        <v>karlarapha@ig.com.br / raphaellaaraujo@hotmail.com</v>
      </c>
      <c r="O397" s="29">
        <f>IFERROR(__xludf.DUMMYFUNCTION("""COMPUTED_VALUE"""),3437501470)</f>
        <v>3437501470</v>
      </c>
      <c r="P397" s="30" t="str">
        <f>IFERROR(__xludf.DUMMYFUNCTION("""COMPUTED_VALUE"""),"980016280436808")</f>
        <v>980016280436808</v>
      </c>
      <c r="Q397" s="30" t="str">
        <f>IFERROR(__xludf.DUMMYFUNCTION("""COMPUTED_VALUE"""),"3703223")</f>
        <v>3703223</v>
      </c>
      <c r="R397" s="30" t="str">
        <f>IFERROR(__xludf.DUMMYFUNCTION("""COMPUTED_VALUE"""),"0000155705")</f>
        <v>0000155705</v>
      </c>
      <c r="S397" s="30" t="str">
        <f>IFERROR(__xludf.DUMMYFUNCTION("""COMPUTED_VALUE"""),"1")</f>
        <v>1</v>
      </c>
      <c r="T397" s="30" t="str">
        <f>IFERROR(__xludf.DUMMYFUNCTION("""COMPUTED_VALUE"""),"223565")</f>
        <v>223565</v>
      </c>
      <c r="U397" s="31" t="str">
        <f>IFERROR(__xludf.DUMMYFUNCTION("""COMPUTED_VALUE"""),"2235")</f>
        <v>2235</v>
      </c>
      <c r="V397" s="11"/>
      <c r="W397" s="11">
        <f>IFERROR(__xludf.DUMMYFUNCTION("""COMPUTED_VALUE"""),99718628)</f>
        <v>99718628</v>
      </c>
      <c r="X397" s="11">
        <f>IFERROR(__xludf.DUMMYFUNCTION("""COMPUTED_VALUE"""),83368205)</f>
        <v>83368205</v>
      </c>
      <c r="Y397" s="11">
        <f>IFERROR(__xludf.DUMMYFUNCTION("""COMPUTED_VALUE"""),3437501470)</f>
        <v>3437501470</v>
      </c>
      <c r="Z397" s="11"/>
    </row>
    <row r="398" customHeight="1" spans="1:26">
      <c r="A398" s="11" t="str">
        <f>IFERROR(__xludf.DUMMYFUNCTION("""COMPUTED_VALUE"""),"AUCILENE NUNES DE SIQUEIRA")</f>
        <v>AUCILENE NUNES DE SIQUEIRA</v>
      </c>
      <c r="B398" s="11"/>
      <c r="C398" s="11"/>
      <c r="D398" s="11" t="str">
        <f>IFERROR(__xludf.DUMMYFUNCTION("""COMPUTED_VALUE"""),"Enfermeira eSF")</f>
        <v>Enfermeira eSF</v>
      </c>
      <c r="E398" s="11" t="str">
        <f>IFERROR(__xludf.DUMMYFUNCTION("""COMPUTED_VALUE"""),"IV")</f>
        <v>IV</v>
      </c>
      <c r="F398" s="11" t="str">
        <f>IFERROR(__xludf.DUMMYFUNCTION("""COMPUTED_VALUE"""),"US_280 USF SITIO CARDOSO	")</f>
        <v>US_280 USF SITIO CARDOSO	</v>
      </c>
      <c r="G398" s="11" t="str">
        <f>IFERROR(__xludf.DUMMYFUNCTION("""COMPUTED_VALUE"""),"US 280 USF SITIO CARDOSO")</f>
        <v>US 280 USF SITIO CARDOSO</v>
      </c>
      <c r="H398" s="27">
        <f>IFERROR(__xludf.DUMMYFUNCTION("""COMPUTED_VALUE"""),81984770946)</f>
        <v>81984770946</v>
      </c>
      <c r="I398" s="11"/>
      <c r="J398" s="11"/>
      <c r="K398" s="11"/>
      <c r="L398" s="11"/>
      <c r="M398" s="28" t="str">
        <f>IFERROR(__xludf.DUMMYFUNCTION("""COMPUTED_VALUE"""),"3355-6704")</f>
        <v>3355-6704</v>
      </c>
      <c r="N398" s="11" t="str">
        <f>IFERROR(__xludf.DUMMYFUNCTION("""COMPUTED_VALUE"""),"aucilenesiqueira@yahoo.com.br")</f>
        <v>aucilenesiqueira@yahoo.com.br</v>
      </c>
      <c r="O398" s="29">
        <f>IFERROR(__xludf.DUMMYFUNCTION("""COMPUTED_VALUE"""),49723685434)</f>
        <v>49723685434</v>
      </c>
      <c r="P398" s="30" t="str">
        <f>IFERROR(__xludf.DUMMYFUNCTION("""COMPUTED_VALUE"""),"124297076930007")</f>
        <v>124297076930007</v>
      </c>
      <c r="Q398" s="30" t="str">
        <f>IFERROR(__xludf.DUMMYFUNCTION("""COMPUTED_VALUE"""),"0028975")</f>
        <v>0028975</v>
      </c>
      <c r="R398" s="30" t="str">
        <f>IFERROR(__xludf.DUMMYFUNCTION("""COMPUTED_VALUE"""),"0000154598")</f>
        <v>0000154598</v>
      </c>
      <c r="S398" s="30" t="str">
        <f>IFERROR(__xludf.DUMMYFUNCTION("""COMPUTED_VALUE"""),"1")</f>
        <v>1</v>
      </c>
      <c r="T398" s="30" t="str">
        <f>IFERROR(__xludf.DUMMYFUNCTION("""COMPUTED_VALUE"""),"223565")</f>
        <v>223565</v>
      </c>
      <c r="U398" s="31" t="str">
        <f>IFERROR(__xludf.DUMMYFUNCTION("""COMPUTED_VALUE"""),"2235")</f>
        <v>2235</v>
      </c>
      <c r="V398" s="11"/>
      <c r="W398" s="11" t="str">
        <f>IFERROR(__xludf.DUMMYFUNCTION("""COMPUTED_VALUE"""),"#N/A")</f>
        <v>#N/A</v>
      </c>
      <c r="X398" s="11" t="str">
        <f>IFERROR(__xludf.DUMMYFUNCTION("""COMPUTED_VALUE"""),"#N/A")</f>
        <v>#N/A</v>
      </c>
      <c r="Y398" s="11" t="str">
        <f>IFERROR(__xludf.DUMMYFUNCTION("""COMPUTED_VALUE"""),"#N/A")</f>
        <v>#N/A</v>
      </c>
      <c r="Z398" s="11"/>
    </row>
    <row r="399" customHeight="1" spans="1:26">
      <c r="A399" s="11" t="str">
        <f>IFERROR(__xludf.DUMMYFUNCTION("""COMPUTED_VALUE"""),"ALEXANDRE TERTOLEANDRO DE ALBUQUERQUE")</f>
        <v>ALEXANDRE TERTOLEANDRO DE ALBUQUERQUE</v>
      </c>
      <c r="B399" s="11"/>
      <c r="C399" s="11"/>
      <c r="D399" s="11" t="str">
        <f>IFERROR(__xludf.DUMMYFUNCTION("""COMPUTED_VALUE"""),"Médico eSF")</f>
        <v>Médico eSF</v>
      </c>
      <c r="E399" s="11" t="str">
        <f>IFERROR(__xludf.DUMMYFUNCTION("""COMPUTED_VALUE"""),"VI")</f>
        <v>VI</v>
      </c>
      <c r="F399" s="11" t="str">
        <f>IFERROR(__xludf.DUMMYFUNCTION("""COMPUTED_VALUE"""),"US_316 USF BERNARD VAN LEER")</f>
        <v>US_316 USF BERNARD VAN LEER</v>
      </c>
      <c r="G399" s="11" t="str">
        <f>IFERROR(__xludf.DUMMYFUNCTION("""COMPUTED_VALUE"""),"US 316 USF BERNARD VAN LEER")</f>
        <v>US 316 USF BERNARD VAN LEER</v>
      </c>
      <c r="H399" s="27">
        <f>IFERROR(__xludf.DUMMYFUNCTION("""COMPUTED_VALUE"""),81996476465)</f>
        <v>81996476465</v>
      </c>
      <c r="I399" s="11"/>
      <c r="J399" s="11"/>
      <c r="K399" s="11"/>
      <c r="L399" s="11"/>
      <c r="M399" s="28" t="str">
        <f>IFERROR(__xludf.DUMMYFUNCTION("""COMPUTED_VALUE"""),"3355-6406")</f>
        <v>3355-6406</v>
      </c>
      <c r="N399" s="11" t="str">
        <f>IFERROR(__xludf.DUMMYFUNCTION("""COMPUTED_VALUE"""),"alex.rec@hotmail.com")</f>
        <v>alex.rec@hotmail.com</v>
      </c>
      <c r="O399" s="29">
        <f>IFERROR(__xludf.DUMMYFUNCTION("""COMPUTED_VALUE"""),2510372408)</f>
        <v>2510372408</v>
      </c>
      <c r="P399" s="30" t="str">
        <f>IFERROR(__xludf.DUMMYFUNCTION("""COMPUTED_VALUE"""),"980016001574508")</f>
        <v>980016001574508</v>
      </c>
      <c r="Q399" s="30" t="str">
        <f>IFERROR(__xludf.DUMMYFUNCTION("""COMPUTED_VALUE"""),"3562581")</f>
        <v>3562581</v>
      </c>
      <c r="R399" s="30" t="str">
        <f>IFERROR(__xludf.DUMMYFUNCTION("""COMPUTED_VALUE"""),"0000155543")</f>
        <v>0000155543</v>
      </c>
      <c r="S399" s="30" t="str">
        <f>IFERROR(__xludf.DUMMYFUNCTION("""COMPUTED_VALUE"""),"1")</f>
        <v>1</v>
      </c>
      <c r="T399" s="30" t="str">
        <f>IFERROR(__xludf.DUMMYFUNCTION("""COMPUTED_VALUE"""),"225142")</f>
        <v>225142</v>
      </c>
      <c r="U399" s="31">
        <f>IFERROR(__xludf.DUMMYFUNCTION("""COMPUTED_VALUE"""),2251)</f>
        <v>2251</v>
      </c>
      <c r="V399" s="11" t="str">
        <f>IFERROR(__xludf.DUMMYFUNCTION("""COMPUTED_VALUE"""),"SIM")</f>
        <v>SIM</v>
      </c>
      <c r="W399" s="11"/>
      <c r="X399" s="11" t="str">
        <f>IFERROR(__xludf.DUMMYFUNCTION("""COMPUTED_VALUE"""),"#N/A")</f>
        <v>#N/A</v>
      </c>
      <c r="Y399" s="11" t="str">
        <f>IFERROR(__xludf.DUMMYFUNCTION("""COMPUTED_VALUE"""),"#N/A")</f>
        <v>#N/A</v>
      </c>
      <c r="Z399" s="11" t="str">
        <f>IFERROR(__xludf.DUMMYFUNCTION("""COMPUTED_VALUE"""),"#N/A")</f>
        <v>#N/A</v>
      </c>
    </row>
    <row r="400" customHeight="1" spans="1:26">
      <c r="A400" s="11" t="str">
        <f>IFERROR(__xludf.DUMMYFUNCTION("""COMPUTED_VALUE"""),"ANA CRISTINA CYRENO R DA SILVA")</f>
        <v>ANA CRISTINA CYRENO R DA SILVA</v>
      </c>
      <c r="B400" s="11"/>
      <c r="C400" s="11"/>
      <c r="D400" s="11" t="str">
        <f>IFERROR(__xludf.DUMMYFUNCTION("""COMPUTED_VALUE"""),"Dentista")</f>
        <v>Dentista</v>
      </c>
      <c r="E400" s="11" t="str">
        <f>IFERROR(__xludf.DUMMYFUNCTION("""COMPUTED_VALUE"""),"II")</f>
        <v>II</v>
      </c>
      <c r="F400" s="11" t="str">
        <f>IFERROR(__xludf.DUMMYFUNCTION("""COMPUTED_VALUE"""),"US_403 USF UPINHA DIA CHIE")</f>
        <v>US_403 USF UPINHA DIA CHIE</v>
      </c>
      <c r="G400" s="11" t="str">
        <f>IFERROR(__xludf.DUMMYFUNCTION("""COMPUTED_VALUE"""),"US 403 USF UPINHA DIA CHIE")</f>
        <v>US 403 USF UPINHA DIA CHIE</v>
      </c>
      <c r="H400" s="27">
        <f>IFERROR(__xludf.DUMMYFUNCTION("""COMPUTED_VALUE"""),81998951315)</f>
        <v>81998951315</v>
      </c>
      <c r="I400" s="11"/>
      <c r="J400" s="11"/>
      <c r="K400" s="11"/>
      <c r="L400" s="11"/>
      <c r="M400" s="28" t="str">
        <f>IFERROR(__xludf.DUMMYFUNCTION("""COMPUTED_VALUE"""),"3355-6695")</f>
        <v>3355-6695</v>
      </c>
      <c r="N400" s="11" t="str">
        <f>IFERROR(__xludf.DUMMYFUNCTION("""COMPUTED_VALUE"""),"anacyreno@gmail.com")</f>
        <v>anacyreno@gmail.com</v>
      </c>
      <c r="O400" s="29">
        <f>IFERROR(__xludf.DUMMYFUNCTION("""COMPUTED_VALUE"""),7472723797)</f>
        <v>7472723797</v>
      </c>
      <c r="P400" s="30" t="str">
        <f>IFERROR(__xludf.DUMMYFUNCTION("""COMPUTED_VALUE"""),"980016280751673")</f>
        <v>980016280751673</v>
      </c>
      <c r="Q400" s="30" t="str">
        <f>IFERROR(__xludf.DUMMYFUNCTION("""COMPUTED_VALUE"""),"7992955")</f>
        <v>7992955</v>
      </c>
      <c r="R400" s="30" t="str">
        <f>IFERROR(__xludf.DUMMYFUNCTION("""COMPUTED_VALUE"""),"0000154407	")</f>
        <v>0000154407	</v>
      </c>
      <c r="S400" s="30" t="str">
        <f>IFERROR(__xludf.DUMMYFUNCTION("""COMPUTED_VALUE"""),"1")</f>
        <v>1</v>
      </c>
      <c r="T400" s="30" t="str">
        <f>IFERROR(__xludf.DUMMYFUNCTION("""COMPUTED_VALUE"""),"223293")</f>
        <v>223293</v>
      </c>
      <c r="U400" s="31">
        <f>IFERROR(__xludf.DUMMYFUNCTION("""COMPUTED_VALUE"""),2232)</f>
        <v>2232</v>
      </c>
      <c r="V400" s="11"/>
      <c r="W400" s="11"/>
      <c r="X400" s="11"/>
      <c r="Y400" s="11"/>
      <c r="Z400" s="11"/>
    </row>
    <row r="401" customHeight="1" spans="1:26">
      <c r="A401" s="11" t="str">
        <f>IFERROR(__xludf.DUMMYFUNCTION("""COMPUTED_VALUE"""),"EMANUELA ROZENO DE OLIVEIRA")</f>
        <v>EMANUELA ROZENO DE OLIVEIRA</v>
      </c>
      <c r="B401" s="11"/>
      <c r="C401" s="11"/>
      <c r="D401" s="11" t="str">
        <f>IFERROR(__xludf.DUMMYFUNCTION("""COMPUTED_VALUE"""),"Enfermeira")</f>
        <v>Enfermeira</v>
      </c>
      <c r="E401" s="11" t="str">
        <f>IFERROR(__xludf.DUMMYFUNCTION("""COMPUTED_VALUE"""),"V")</f>
        <v>V</v>
      </c>
      <c r="F401" s="11" t="str">
        <f>IFERROR(__xludf.DUMMYFUNCTION("""COMPUTED_VALUE"""),"US_239 USF COQUEIRAL I E II")</f>
        <v>US_239 USF COQUEIRAL I E II</v>
      </c>
      <c r="G401" s="11" t="str">
        <f>IFERROR(__xludf.DUMMYFUNCTION("""COMPUTED_VALUE"""),"US 239 USF COQUEIRAL I E II")</f>
        <v>US 239 USF COQUEIRAL I E II</v>
      </c>
      <c r="H401" s="27">
        <f>IFERROR(__xludf.DUMMYFUNCTION("""COMPUTED_VALUE"""),81987852003)</f>
        <v>81987852003</v>
      </c>
      <c r="I401" s="27">
        <f>IFERROR(__xludf.DUMMYFUNCTION("""COMPUTED_VALUE"""),81996818313)</f>
        <v>81996818313</v>
      </c>
      <c r="J401" s="11"/>
      <c r="K401" s="24">
        <f>IFERROR(__xludf.DUMMYFUNCTION("""COMPUTED_VALUE"""),45152)</f>
        <v>45152</v>
      </c>
      <c r="L401" s="11"/>
      <c r="M401" s="28" t="str">
        <f>IFERROR(__xludf.DUMMYFUNCTION("""COMPUTED_VALUE"""),"3355-0216/0217")</f>
        <v>3355-0216/0217</v>
      </c>
      <c r="N401" s="11" t="str">
        <f>IFERROR(__xludf.DUMMYFUNCTION("""COMPUTED_VALUE"""),"emanuelarozeno@hotmail.com")</f>
        <v>emanuelarozeno@hotmail.com</v>
      </c>
      <c r="O401" s="29">
        <f>IFERROR(__xludf.DUMMYFUNCTION("""COMPUTED_VALUE"""),2954695447)</f>
        <v>2954695447</v>
      </c>
      <c r="P401" s="30" t="str">
        <f>IFERROR(__xludf.DUMMYFUNCTION("""COMPUTED_VALUE"""),"980016005046808")</f>
        <v>980016005046808</v>
      </c>
      <c r="Q401" s="30" t="str">
        <f>IFERROR(__xludf.DUMMYFUNCTION("""COMPUTED_VALUE"""),"0022411")</f>
        <v>0022411</v>
      </c>
      <c r="R401" s="30" t="str">
        <f>IFERROR(__xludf.DUMMYFUNCTION("""COMPUTED_VALUE"""),"0000153982")</f>
        <v>0000153982</v>
      </c>
      <c r="S401" s="30" t="str">
        <f>IFERROR(__xludf.DUMMYFUNCTION("""COMPUTED_VALUE"""),"1")</f>
        <v>1</v>
      </c>
      <c r="T401" s="30" t="str">
        <f>IFERROR(__xludf.DUMMYFUNCTION("""COMPUTED_VALUE"""),"223565")</f>
        <v>223565</v>
      </c>
      <c r="U401" s="31" t="str">
        <f>IFERROR(__xludf.DUMMYFUNCTION("""COMPUTED_VALUE"""),"2235")</f>
        <v>2235</v>
      </c>
      <c r="V401" s="11"/>
      <c r="W401" s="11" t="str">
        <f>IFERROR(__xludf.DUMMYFUNCTION("""COMPUTED_VALUE"""),"81 87852003")</f>
        <v>81 87852003</v>
      </c>
      <c r="X401" s="11" t="str">
        <f>IFERROR(__xludf.DUMMYFUNCTION("""COMPUTED_VALUE"""),"81 96818313")</f>
        <v>81 96818313</v>
      </c>
      <c r="Y401" s="11">
        <f>IFERROR(__xludf.DUMMYFUNCTION("""COMPUTED_VALUE"""),2954695447)</f>
        <v>2954695447</v>
      </c>
      <c r="Z401" s="11"/>
    </row>
    <row r="402" customHeight="1" spans="1:26">
      <c r="A402" s="11" t="str">
        <f>IFERROR(__xludf.DUMMYFUNCTION("""COMPUTED_VALUE"""),"JULIANE DE AQUINO BARBOSA SANTOS")</f>
        <v>JULIANE DE AQUINO BARBOSA SANTOS</v>
      </c>
      <c r="B402" s="11"/>
      <c r="C402" s="11"/>
      <c r="D402" s="11" t="str">
        <f>IFERROR(__xludf.DUMMYFUNCTION("""COMPUTED_VALUE"""),"Enfermeira")</f>
        <v>Enfermeira</v>
      </c>
      <c r="E402" s="11" t="str">
        <f>IFERROR(__xludf.DUMMYFUNCTION("""COMPUTED_VALUE"""),"VI")</f>
        <v>VI</v>
      </c>
      <c r="F402" s="11" t="str">
        <f>IFERROR(__xludf.DUMMYFUNCTION("""COMPUTED_VALUE"""),"US_316 USF BERNARD VAN LEER")</f>
        <v>US_316 USF BERNARD VAN LEER</v>
      </c>
      <c r="G402" s="11" t="str">
        <f>IFERROR(__xludf.DUMMYFUNCTION("""COMPUTED_VALUE"""),"US 316 USF BERNARD VAN LEER")</f>
        <v>US 316 USF BERNARD VAN LEER</v>
      </c>
      <c r="H402" s="27">
        <f>IFERROR(__xludf.DUMMYFUNCTION("""COMPUTED_VALUE"""),81999771081)</f>
        <v>81999771081</v>
      </c>
      <c r="I402" s="11"/>
      <c r="J402" s="11"/>
      <c r="K402" s="11"/>
      <c r="L402" s="11"/>
      <c r="M402" s="28" t="str">
        <f>IFERROR(__xludf.DUMMYFUNCTION("""COMPUTED_VALUE"""),"3355-6406")</f>
        <v>3355-6406</v>
      </c>
      <c r="N402" s="11" t="str">
        <f>IFERROR(__xludf.DUMMYFUNCTION("""COMPUTED_VALUE"""),"julianeaquino78@hotmail.com")</f>
        <v>julianeaquino78@hotmail.com</v>
      </c>
      <c r="O402" s="29">
        <f>IFERROR(__xludf.DUMMYFUNCTION("""COMPUTED_VALUE"""),2701891493)</f>
        <v>2701891493</v>
      </c>
      <c r="P402" s="30" t="str">
        <f>IFERROR(__xludf.DUMMYFUNCTION("""COMPUTED_VALUE"""),"980016000517381")</f>
        <v>980016000517381</v>
      </c>
      <c r="Q402" s="30" t="str">
        <f>IFERROR(__xludf.DUMMYFUNCTION("""COMPUTED_VALUE"""),"3562581")</f>
        <v>3562581</v>
      </c>
      <c r="R402" s="11"/>
      <c r="S402" s="30" t="str">
        <f>IFERROR(__xludf.DUMMYFUNCTION("""COMPUTED_VALUE"""),"1")</f>
        <v>1</v>
      </c>
      <c r="T402" s="30" t="str">
        <f>IFERROR(__xludf.DUMMYFUNCTION("""COMPUTED_VALUE"""),"225142")</f>
        <v>225142</v>
      </c>
      <c r="U402" s="31" t="str">
        <f>IFERROR(__xludf.DUMMYFUNCTION("""COMPUTED_VALUE"""),"2251")</f>
        <v>2251</v>
      </c>
      <c r="V402" s="11"/>
      <c r="W402" s="11"/>
      <c r="X402" s="11"/>
      <c r="Y402" s="11"/>
      <c r="Z402" s="11"/>
    </row>
    <row r="403" customHeight="1" spans="1:26">
      <c r="A403" s="11" t="str">
        <f>IFERROR(__xludf.DUMMYFUNCTION("""COMPUTED_VALUE"""),"DEISE FERREIRA DE SOUZA")</f>
        <v>DEISE FERREIRA DE SOUZA</v>
      </c>
      <c r="B403" s="11"/>
      <c r="C403" s="11"/>
      <c r="D403" s="11" t="str">
        <f>IFERROR(__xludf.DUMMYFUNCTION("""COMPUTED_VALUE"""),"Médica eSF")</f>
        <v>Médica eSF</v>
      </c>
      <c r="E403" s="11" t="str">
        <f>IFERROR(__xludf.DUMMYFUNCTION("""COMPUTED_VALUE"""),"VIII")</f>
        <v>VIII</v>
      </c>
      <c r="F403" s="11" t="str">
        <f>IFERROR(__xludf.DUMMYFUNCTION("""COMPUTED_VALUE"""),"US_172 USF TRES CARNEIROS ALTO  / JORGE LOBO")</f>
        <v>US_172 USF TRES CARNEIROS ALTO  / JORGE LOBO</v>
      </c>
      <c r="G403" s="11" t="str">
        <f>IFERROR(__xludf.DUMMYFUNCTION("""COMPUTED_VALUE"""),"US 172 USF TRES CARNEIROS")</f>
        <v>US 172 USF TRES CARNEIROS</v>
      </c>
      <c r="H403" s="27">
        <f>IFERROR(__xludf.DUMMYFUNCTION("""COMPUTED_VALUE"""),81999661117)</f>
        <v>81999661117</v>
      </c>
      <c r="I403" s="11"/>
      <c r="J403" s="11"/>
      <c r="K403" s="11"/>
      <c r="L403" s="11"/>
      <c r="M403" s="28" t="str">
        <f>IFERROR(__xludf.DUMMYFUNCTION("""COMPUTED_VALUE"""),"3355-4713")</f>
        <v>3355-4713</v>
      </c>
      <c r="N403" s="11" t="str">
        <f>IFERROR(__xludf.DUMMYFUNCTION("""COMPUTED_VALUE"""),"deise.dfs@hotmail.com")</f>
        <v>deise.dfs@hotmail.com</v>
      </c>
      <c r="O403" s="29">
        <f>IFERROR(__xludf.DUMMYFUNCTION("""COMPUTED_VALUE"""),40215997468)</f>
        <v>40215997468</v>
      </c>
      <c r="P403" s="30" t="str">
        <f>IFERROR(__xludf.DUMMYFUNCTION("""COMPUTED_VALUE"""),"204322984650002")</f>
        <v>204322984650002</v>
      </c>
      <c r="Q403" s="30" t="str">
        <f>IFERROR(__xludf.DUMMYFUNCTION("""COMPUTED_VALUE"""),"0002062")</f>
        <v>0002062</v>
      </c>
      <c r="R403" s="30" t="str">
        <f>IFERROR(__xludf.DUMMYFUNCTION("""COMPUTED_VALUE"""),"0000153400")</f>
        <v>0000153400</v>
      </c>
      <c r="S403" s="30" t="str">
        <f>IFERROR(__xludf.DUMMYFUNCTION("""COMPUTED_VALUE"""),"1")</f>
        <v>1</v>
      </c>
      <c r="T403" s="30" t="str">
        <f>IFERROR(__xludf.DUMMYFUNCTION("""COMPUTED_VALUE"""),"225142")</f>
        <v>225142</v>
      </c>
      <c r="U403" s="31" t="str">
        <f>IFERROR(__xludf.DUMMYFUNCTION("""COMPUTED_VALUE"""),"2251")</f>
        <v>2251</v>
      </c>
      <c r="V403" s="11"/>
      <c r="W403" s="11"/>
      <c r="X403" s="11" t="str">
        <f>IFERROR(__xludf.DUMMYFUNCTION("""COMPUTED_VALUE"""),"#N/A")</f>
        <v>#N/A</v>
      </c>
      <c r="Y403" s="11" t="str">
        <f>IFERROR(__xludf.DUMMYFUNCTION("""COMPUTED_VALUE"""),"#N/A")</f>
        <v>#N/A</v>
      </c>
      <c r="Z403" s="11" t="str">
        <f>IFERROR(__xludf.DUMMYFUNCTION("""COMPUTED_VALUE"""),"#N/A")</f>
        <v>#N/A</v>
      </c>
    </row>
    <row r="404" customHeight="1" spans="1:26">
      <c r="A404" s="11" t="str">
        <f>IFERROR(__xludf.DUMMYFUNCTION("""COMPUTED_VALUE"""),"Mariana Pinto Araújo")</f>
        <v>Mariana Pinto Araújo</v>
      </c>
      <c r="B404" s="11"/>
      <c r="C404" s="11"/>
      <c r="D404" s="11" t="str">
        <f>IFERROR(__xludf.DUMMYFUNCTION("""COMPUTED_VALUE"""),"enfermeira")</f>
        <v>enfermeira</v>
      </c>
      <c r="E404" s="11"/>
      <c r="F404" s="11"/>
      <c r="G404" s="11" t="str">
        <f>IFERROR(__xludf.DUMMYFUNCTION("""COMPUTED_VALUE"""),"US 337 USF SITIO WANDERLEY")</f>
        <v>US 337 USF SITIO WANDERLEY</v>
      </c>
      <c r="H404" s="27">
        <f>IFERROR(__xludf.DUMMYFUNCTION("""COMPUTED_VALUE"""),83996264226)</f>
        <v>83996264226</v>
      </c>
      <c r="I404" s="11"/>
      <c r="J404" s="11"/>
      <c r="K404" s="24">
        <f>IFERROR(__xludf.DUMMYFUNCTION("""COMPUTED_VALUE"""),45440)</f>
        <v>45440</v>
      </c>
      <c r="L404" s="11"/>
      <c r="M404" s="11"/>
      <c r="N404" s="11"/>
      <c r="O404" s="11"/>
      <c r="P404" s="11"/>
      <c r="Q404" s="11"/>
      <c r="R404" s="11"/>
      <c r="S404" s="11"/>
      <c r="T404" s="11"/>
      <c r="U404" s="11"/>
      <c r="V404" s="11"/>
      <c r="W404" s="11"/>
      <c r="X404" s="11"/>
      <c r="Y404" s="11"/>
      <c r="Z404" s="11"/>
    </row>
    <row r="405" customHeight="1" spans="1:26">
      <c r="A405" s="11" t="str">
        <f>IFERROR(__xludf.DUMMYFUNCTION("""COMPUTED_VALUE"""),"LUCELY FREIRE ALVES AYRES")</f>
        <v>LUCELY FREIRE ALVES AYRES</v>
      </c>
      <c r="B405" s="11"/>
      <c r="C405" s="11"/>
      <c r="D405" s="11" t="str">
        <f>IFERROR(__xludf.DUMMYFUNCTION("""COMPUTED_VALUE"""),"Médica eSF")</f>
        <v>Médica eSF</v>
      </c>
      <c r="E405" s="11" t="str">
        <f>IFERROR(__xludf.DUMMYFUNCTION("""COMPUTED_VALUE"""),"IV")</f>
        <v>IV</v>
      </c>
      <c r="F405" s="11" t="str">
        <f>IFERROR(__xludf.DUMMYFUNCTION("""COMPUTED_VALUE"""),"US_337 USF SITIO WANDERLEY")</f>
        <v>US_337 USF SITIO WANDERLEY</v>
      </c>
      <c r="G405" s="11" t="str">
        <f>IFERROR(__xludf.DUMMYFUNCTION("""COMPUTED_VALUE"""),"US 337 USF SITIO WANDERLEY")</f>
        <v>US 337 USF SITIO WANDERLEY</v>
      </c>
      <c r="H405" s="27">
        <f>IFERROR(__xludf.DUMMYFUNCTION("""COMPUTED_VALUE"""),81999780484)</f>
        <v>81999780484</v>
      </c>
      <c r="I405" s="11"/>
      <c r="J405" s="11"/>
      <c r="K405" s="11"/>
      <c r="L405" s="11"/>
      <c r="M405" s="28" t="str">
        <f>IFERROR(__xludf.DUMMYFUNCTION("""COMPUTED_VALUE"""),"3355-6874")</f>
        <v>3355-6874</v>
      </c>
      <c r="N405" s="11" t="str">
        <f>IFERROR(__xludf.DUMMYFUNCTION("""COMPUTED_VALUE"""),"lucelyayres@yahoo.com.br")</f>
        <v>lucelyayres@yahoo.com.br</v>
      </c>
      <c r="O405" s="29">
        <f>IFERROR(__xludf.DUMMYFUNCTION("""COMPUTED_VALUE"""),13224891491)</f>
        <v>13224891491</v>
      </c>
      <c r="P405" s="30" t="str">
        <f>IFERROR(__xludf.DUMMYFUNCTION("""COMPUTED_VALUE"""),"101139048320007")</f>
        <v>101139048320007</v>
      </c>
      <c r="Q405" s="30" t="str">
        <f>IFERROR(__xludf.DUMMYFUNCTION("""COMPUTED_VALUE"""),"5320380")</f>
        <v>5320380</v>
      </c>
      <c r="R405" s="30" t="str">
        <f>IFERROR(__xludf.DUMMYFUNCTION("""COMPUTED_VALUE"""),"0000155780")</f>
        <v>0000155780</v>
      </c>
      <c r="S405" s="30" t="str">
        <f>IFERROR(__xludf.DUMMYFUNCTION("""COMPUTED_VALUE"""),"1")</f>
        <v>1</v>
      </c>
      <c r="T405" s="30" t="str">
        <f>IFERROR(__xludf.DUMMYFUNCTION("""COMPUTED_VALUE"""),"225142")</f>
        <v>225142</v>
      </c>
      <c r="U405" s="31" t="str">
        <f>IFERROR(__xludf.DUMMYFUNCTION("""COMPUTED_VALUE"""),"2251")</f>
        <v>2251</v>
      </c>
      <c r="V405" s="11" t="str">
        <f>IFERROR(__xludf.DUMMYFUNCTION("""COMPUTED_VALUE"""),"SIM")</f>
        <v>SIM</v>
      </c>
      <c r="W405" s="11"/>
      <c r="X405" s="11">
        <f>IFERROR(__xludf.DUMMYFUNCTION("""COMPUTED_VALUE"""),8132365357)</f>
        <v>8132365357</v>
      </c>
      <c r="Y405" s="11">
        <f>IFERROR(__xludf.DUMMYFUNCTION("""COMPUTED_VALUE"""),8199780484)</f>
        <v>8199780484</v>
      </c>
      <c r="Z405" s="11">
        <f>IFERROR(__xludf.DUMMYFUNCTION("""COMPUTED_VALUE"""),13224891491)</f>
        <v>13224891491</v>
      </c>
    </row>
    <row r="406" customHeight="1" spans="1:26">
      <c r="A406" s="11" t="str">
        <f>IFERROR(__xludf.DUMMYFUNCTION("""COMPUTED_VALUE"""),"ANDERSON MACIANO PEREIRA")</f>
        <v>ANDERSON MACIANO PEREIRA</v>
      </c>
      <c r="B406" s="11"/>
      <c r="C406" s="11"/>
      <c r="D406" s="11" t="str">
        <f>IFERROR(__xludf.DUMMYFUNCTION("""COMPUTED_VALUE"""),"Dentista")</f>
        <v>Dentista</v>
      </c>
      <c r="E406" s="11" t="str">
        <f>IFERROR(__xludf.DUMMYFUNCTION("""COMPUTED_VALUE"""),"I")</f>
        <v>I</v>
      </c>
      <c r="F406" s="11" t="str">
        <f>IFERROR(__xludf.DUMMYFUNCTION("""COMPUTED_VALUE"""),"US_285 USF SAO JOSE DO COQUE - BERILO PERNAMBUCANO")</f>
        <v>US_285 USF SAO JOSE DO COQUE - BERILO PERNAMBUCANO</v>
      </c>
      <c r="G406" s="11" t="str">
        <f>IFERROR(__xludf.DUMMYFUNCTION("""COMPUTED_VALUE"""),"US 285 USF SAO JOSE DO COQUE")</f>
        <v>US 285 USF SAO JOSE DO COQUE</v>
      </c>
      <c r="H406" s="27">
        <f>IFERROR(__xludf.DUMMYFUNCTION("""COMPUTED_VALUE"""),81992624871)</f>
        <v>81992624871</v>
      </c>
      <c r="I406" s="11"/>
      <c r="J406" s="11"/>
      <c r="K406" s="11"/>
      <c r="L406" s="11"/>
      <c r="M406" s="28" t="str">
        <f>IFERROR(__xludf.DUMMYFUNCTION("""COMPUTED_VALUE"""),"3355-6226")</f>
        <v>3355-6226</v>
      </c>
      <c r="N406" s="11" t="str">
        <f>IFERROR(__xludf.DUMMYFUNCTION("""COMPUTED_VALUE"""),"pereira2405@gmail.com")</f>
        <v>pereira2405@gmail.com</v>
      </c>
      <c r="O406" s="29">
        <f>IFERROR(__xludf.DUMMYFUNCTION("""COMPUTED_VALUE"""),3117489452)</f>
        <v>3117489452</v>
      </c>
      <c r="P406" s="30" t="str">
        <f>IFERROR(__xludf.DUMMYFUNCTION("""COMPUTED_VALUE"""),"980016001631293")</f>
        <v>980016001631293</v>
      </c>
      <c r="Q406" s="30" t="str">
        <f>IFERROR(__xludf.DUMMYFUNCTION("""COMPUTED_VALUE"""),"0029130")</f>
        <v>0029130</v>
      </c>
      <c r="R406" s="30" t="str">
        <f>IFERROR(__xludf.DUMMYFUNCTION("""COMPUTED_VALUE"""),"0000154768")</f>
        <v>0000154768</v>
      </c>
      <c r="S406" s="30" t="str">
        <f>IFERROR(__xludf.DUMMYFUNCTION("""COMPUTED_VALUE"""),"1")</f>
        <v>1</v>
      </c>
      <c r="T406" s="30" t="str">
        <f>IFERROR(__xludf.DUMMYFUNCTION("""COMPUTED_VALUE"""),"223288")</f>
        <v>223288</v>
      </c>
      <c r="U406" s="31">
        <f>IFERROR(__xludf.DUMMYFUNCTION("""COMPUTED_VALUE"""),2232)</f>
        <v>2232</v>
      </c>
      <c r="V406" s="11"/>
      <c r="W406" s="11"/>
      <c r="X406" s="11"/>
      <c r="Y406" s="11"/>
      <c r="Z406" s="11"/>
    </row>
    <row r="407" customHeight="1" spans="1:26">
      <c r="A407" s="11" t="str">
        <f>IFERROR(__xludf.DUMMYFUNCTION("""COMPUTED_VALUE"""),"JORGE JOSE COELHO DE ANDRADE")</f>
        <v>JORGE JOSE COELHO DE ANDRADE</v>
      </c>
      <c r="B407" s="11"/>
      <c r="C407" s="11"/>
      <c r="D407" s="11" t="str">
        <f>IFERROR(__xludf.DUMMYFUNCTION("""COMPUTED_VALUE"""),"Enfermeiro eSF")</f>
        <v>Enfermeiro eSF</v>
      </c>
      <c r="E407" s="11" t="str">
        <f>IFERROR(__xludf.DUMMYFUNCTION("""COMPUTED_VALUE"""),"II")</f>
        <v>II</v>
      </c>
      <c r="F407" s="11" t="str">
        <f>IFERROR(__xludf.DUMMYFUNCTION("""COMPUTED_VALUE"""),"US_328 USF ALTO DO MARACANA	")</f>
        <v>US_328 USF ALTO DO MARACANA	</v>
      </c>
      <c r="G407" s="11" t="str">
        <f>IFERROR(__xludf.DUMMYFUNCTION("""COMPUTED_VALUE"""),"US 328 USF ALTO DO MARACANA")</f>
        <v>US 328 USF ALTO DO MARACANA</v>
      </c>
      <c r="H407" s="27">
        <f>IFERROR(__xludf.DUMMYFUNCTION("""COMPUTED_VALUE"""),81996133760)</f>
        <v>81996133760</v>
      </c>
      <c r="I407" s="27">
        <f>IFERROR(__xludf.DUMMYFUNCTION("""COMPUTED_VALUE"""),81988571951)</f>
        <v>81988571951</v>
      </c>
      <c r="J407" s="11"/>
      <c r="K407" s="11"/>
      <c r="L407" s="11"/>
      <c r="M407" s="28" t="str">
        <f>IFERROR(__xludf.DUMMYFUNCTION("""COMPUTED_VALUE"""),"3355-6972")</f>
        <v>3355-6972</v>
      </c>
      <c r="N407" s="11" t="str">
        <f>IFERROR(__xludf.DUMMYFUNCTION("""COMPUTED_VALUE"""),"jorgecoelhoandrade@yahoo.com.br / jorgecoelhoandrade@yahoo.com.br")</f>
        <v>jorgecoelhoandrade@yahoo.com.br / jorgecoelhoandrade@yahoo.com.br</v>
      </c>
      <c r="O407" s="29">
        <f>IFERROR(__xludf.DUMMYFUNCTION("""COMPUTED_VALUE"""),26878097487)</f>
        <v>26878097487</v>
      </c>
      <c r="P407" s="30" t="str">
        <f>IFERROR(__xludf.DUMMYFUNCTION("""COMPUTED_VALUE"""),"122216103950002")</f>
        <v>122216103950002</v>
      </c>
      <c r="Q407" s="30" t="str">
        <f>IFERROR(__xludf.DUMMYFUNCTION("""COMPUTED_VALUE"""),"3567826")</f>
        <v>3567826</v>
      </c>
      <c r="R407" s="30" t="str">
        <f>IFERROR(__xludf.DUMMYFUNCTION("""COMPUTED_VALUE"""),"0000155608")</f>
        <v>0000155608</v>
      </c>
      <c r="S407" s="30" t="str">
        <f>IFERROR(__xludf.DUMMYFUNCTION("""COMPUTED_VALUE"""),"1")</f>
        <v>1</v>
      </c>
      <c r="T407" s="30" t="str">
        <f>IFERROR(__xludf.DUMMYFUNCTION("""COMPUTED_VALUE"""),"223565")</f>
        <v>223565</v>
      </c>
      <c r="U407" s="31" t="str">
        <f>IFERROR(__xludf.DUMMYFUNCTION("""COMPUTED_VALUE"""),"2235")</f>
        <v>2235</v>
      </c>
      <c r="V407" s="11" t="str">
        <f>IFERROR(__xludf.DUMMYFUNCTION("""COMPUTED_VALUE"""),"SIM")</f>
        <v>SIM</v>
      </c>
      <c r="W407" s="11">
        <f>IFERROR(__xludf.DUMMYFUNCTION("""COMPUTED_VALUE"""),32411951)</f>
        <v>32411951</v>
      </c>
      <c r="X407" s="11">
        <f>IFERROR(__xludf.DUMMYFUNCTION("""COMPUTED_VALUE"""),92133670)</f>
        <v>92133670</v>
      </c>
      <c r="Y407" s="11">
        <f>IFERROR(__xludf.DUMMYFUNCTION("""COMPUTED_VALUE"""),26878097487)</f>
        <v>26878097487</v>
      </c>
      <c r="Z407" s="11"/>
    </row>
    <row r="408" customHeight="1" spans="1:26">
      <c r="A408" s="11" t="str">
        <f>IFERROR(__xludf.DUMMYFUNCTION("""COMPUTED_VALUE"""),"GESA MAGNOLIA ARAUJO DE MENESES NEIVA NOVAES")</f>
        <v>GESA MAGNOLIA ARAUJO DE MENESES NEIVA NOVAES</v>
      </c>
      <c r="B408" s="11" t="str">
        <f>IFERROR(__xludf.DUMMYFUNCTION("""COMPUTED_VALUE"""),"11:00/14:00 - horários de preferência")</f>
        <v>11:00/14:00 - horários de preferência</v>
      </c>
      <c r="C408" s="11"/>
      <c r="D408" s="11" t="str">
        <f>IFERROR(__xludf.DUMMYFUNCTION("""COMPUTED_VALUE"""),"Médica eSF")</f>
        <v>Médica eSF</v>
      </c>
      <c r="E408" s="11" t="str">
        <f>IFERROR(__xludf.DUMMYFUNCTION("""COMPUTED_VALUE"""),"IV")</f>
        <v>IV</v>
      </c>
      <c r="F408" s="11" t="str">
        <f>IFERROR(__xludf.DUMMYFUNCTION("""COMPUTED_VALUE"""),"US_280 USF SITIO CARDOSO	")</f>
        <v>US_280 USF SITIO CARDOSO	</v>
      </c>
      <c r="G408" s="11" t="str">
        <f>IFERROR(__xludf.DUMMYFUNCTION("""COMPUTED_VALUE"""),"US 280 USF SITIO CARDOSO")</f>
        <v>US 280 USF SITIO CARDOSO</v>
      </c>
      <c r="H408" s="27">
        <f>IFERROR(__xludf.DUMMYFUNCTION("""COMPUTED_VALUE"""),81999804956)</f>
        <v>81999804956</v>
      </c>
      <c r="I408" s="11"/>
      <c r="J408" s="11"/>
      <c r="K408" s="11"/>
      <c r="L408" s="11"/>
      <c r="M408" s="28" t="str">
        <f>IFERROR(__xludf.DUMMYFUNCTION("""COMPUTED_VALUE"""),"3355-6704")</f>
        <v>3355-6704</v>
      </c>
      <c r="N408" s="11" t="str">
        <f>IFERROR(__xludf.DUMMYFUNCTION("""COMPUTED_VALUE"""),"gesanovaes@hotmail.com")</f>
        <v>gesanovaes@hotmail.com</v>
      </c>
      <c r="O408" s="29">
        <f>IFERROR(__xludf.DUMMYFUNCTION("""COMPUTED_VALUE"""),43596630487)</f>
        <v>43596630487</v>
      </c>
      <c r="P408" s="30" t="str">
        <f>IFERROR(__xludf.DUMMYFUNCTION("""COMPUTED_VALUE"""),"170481960900009")</f>
        <v>170481960900009</v>
      </c>
      <c r="Q408" s="30" t="str">
        <f>IFERROR(__xludf.DUMMYFUNCTION("""COMPUTED_VALUE"""),"0028975")</f>
        <v>0028975</v>
      </c>
      <c r="R408" s="30" t="str">
        <f>IFERROR(__xludf.DUMMYFUNCTION("""COMPUTED_VALUE"""),"0000154601")</f>
        <v>0000154601</v>
      </c>
      <c r="S408" s="30" t="str">
        <f>IFERROR(__xludf.DUMMYFUNCTION("""COMPUTED_VALUE"""),"1")</f>
        <v>1</v>
      </c>
      <c r="T408" s="30" t="str">
        <f>IFERROR(__xludf.DUMMYFUNCTION("""COMPUTED_VALUE"""),"225142")</f>
        <v>225142</v>
      </c>
      <c r="U408" s="31" t="str">
        <f>IFERROR(__xludf.DUMMYFUNCTION("""COMPUTED_VALUE"""),"2251")</f>
        <v>2251</v>
      </c>
      <c r="V408" s="11" t="str">
        <f>IFERROR(__xludf.DUMMYFUNCTION("""COMPUTED_VALUE"""),"SIM")</f>
        <v>SIM</v>
      </c>
      <c r="W408" s="11"/>
      <c r="X408" s="11" t="str">
        <f>IFERROR(__xludf.DUMMYFUNCTION("""COMPUTED_VALUE"""),"#N/A")</f>
        <v>#N/A</v>
      </c>
      <c r="Y408" s="11" t="str">
        <f>IFERROR(__xludf.DUMMYFUNCTION("""COMPUTED_VALUE"""),"#N/A")</f>
        <v>#N/A</v>
      </c>
      <c r="Z408" s="11" t="str">
        <f>IFERROR(__xludf.DUMMYFUNCTION("""COMPUTED_VALUE"""),"#N/A")</f>
        <v>#N/A</v>
      </c>
    </row>
    <row r="409" customHeight="1" spans="1:26">
      <c r="A409" s="11" t="str">
        <f>IFERROR(__xludf.DUMMYFUNCTION("""COMPUTED_VALUE"""),"FLAVIO ANTONIO PIRES FERREIRA VERAS")</f>
        <v>FLAVIO ANTONIO PIRES FERREIRA VERAS</v>
      </c>
      <c r="B409" s="11"/>
      <c r="C409" s="11"/>
      <c r="D409" s="11" t="str">
        <f>IFERROR(__xludf.DUMMYFUNCTION("""COMPUTED_VALUE"""),"Médico eSF")</f>
        <v>Médico eSF</v>
      </c>
      <c r="E409" s="11" t="str">
        <f>IFERROR(__xludf.DUMMYFUNCTION("""COMPUTED_VALUE"""),"II")</f>
        <v>II</v>
      </c>
      <c r="F409" s="11" t="str">
        <f>IFERROR(__xludf.DUMMYFUNCTION("""COMPUTED_VALUE"""),"US_286 USF IRMA TEREZINHA")</f>
        <v>US_286 USF IRMA TEREZINHA</v>
      </c>
      <c r="G409" s="11" t="str">
        <f>IFERROR(__xludf.DUMMYFUNCTION("""COMPUTED_VALUE"""),"US 286 USF IRMA TEREZINHA")</f>
        <v>US 286 USF IRMA TEREZINHA</v>
      </c>
      <c r="H409" s="27">
        <f>IFERROR(__xludf.DUMMYFUNCTION("""COMPUTED_VALUE"""),81999481266)</f>
        <v>81999481266</v>
      </c>
      <c r="I409" s="11"/>
      <c r="J409" s="11"/>
      <c r="K409" s="11"/>
      <c r="L409" s="11"/>
      <c r="M409" s="28" t="str">
        <f>IFERROR(__xludf.DUMMYFUNCTION("""COMPUTED_VALUE"""),"3355-6154")</f>
        <v>3355-6154</v>
      </c>
      <c r="N409" s="11" t="str">
        <f>IFERROR(__xludf.DUMMYFUNCTION("""COMPUTED_VALUE"""),"flavioapfveras@gmail.com")</f>
        <v>flavioapfveras@gmail.com</v>
      </c>
      <c r="O409" s="29">
        <f>IFERROR(__xludf.DUMMYFUNCTION("""COMPUTED_VALUE"""),4747232400)</f>
        <v>4747232400</v>
      </c>
      <c r="P409" s="30" t="str">
        <f>IFERROR(__xludf.DUMMYFUNCTION("""COMPUTED_VALUE"""),"100779671160018")</f>
        <v>100779671160018</v>
      </c>
      <c r="Q409" s="30" t="str">
        <f>IFERROR(__xludf.DUMMYFUNCTION("""COMPUTED_VALUE"""),"0029122")</f>
        <v>0029122</v>
      </c>
      <c r="R409" s="30" t="str">
        <f>IFERROR(__xludf.DUMMYFUNCTION("""COMPUTED_VALUE"""),"0000154717")</f>
        <v>0000154717</v>
      </c>
      <c r="S409" s="30" t="str">
        <f>IFERROR(__xludf.DUMMYFUNCTION("""COMPUTED_VALUE"""),"1")</f>
        <v>1</v>
      </c>
      <c r="T409" s="30" t="str">
        <f>IFERROR(__xludf.DUMMYFUNCTION("""COMPUTED_VALUE"""),"225142")</f>
        <v>225142</v>
      </c>
      <c r="U409" s="11">
        <f>IFERROR(__xludf.DUMMYFUNCTION("""COMPUTED_VALUE"""),2251)</f>
        <v>2251</v>
      </c>
      <c r="V409" s="11"/>
      <c r="W409" s="11"/>
      <c r="X409" s="11">
        <f>IFERROR(__xludf.DUMMYFUNCTION("""COMPUTED_VALUE"""),8132413463)</f>
        <v>8132413463</v>
      </c>
      <c r="Y409" s="11">
        <f>IFERROR(__xludf.DUMMYFUNCTION("""COMPUTED_VALUE"""),81999481266)</f>
        <v>81999481266</v>
      </c>
      <c r="Z409" s="11">
        <f>IFERROR(__xludf.DUMMYFUNCTION("""COMPUTED_VALUE"""),4747232400)</f>
        <v>4747232400</v>
      </c>
    </row>
    <row r="410" customHeight="1" spans="1:26">
      <c r="A410" s="11" t="str">
        <f>IFERROR(__xludf.DUMMYFUNCTION("""COMPUTED_VALUE"""),"MARIA CAROLINA DA CAMARA PARAISO COSTA")</f>
        <v>MARIA CAROLINA DA CAMARA PARAISO COSTA</v>
      </c>
      <c r="B410" s="11"/>
      <c r="C410" s="11"/>
      <c r="D410" s="11" t="str">
        <f>IFERROR(__xludf.DUMMYFUNCTION("""COMPUTED_VALUE"""),"Dentista")</f>
        <v>Dentista</v>
      </c>
      <c r="E410" s="11" t="str">
        <f>IFERROR(__xludf.DUMMYFUNCTION("""COMPUTED_VALUE"""),"II")</f>
        <v>II</v>
      </c>
      <c r="F410" s="11" t="str">
        <f>IFERROR(__xludf.DUMMYFUNCTION("""COMPUTED_VALUE"""),"US_286 USF IRMA TEREZINHA")</f>
        <v>US_286 USF IRMA TEREZINHA</v>
      </c>
      <c r="G410" s="11" t="str">
        <f>IFERROR(__xludf.DUMMYFUNCTION("""COMPUTED_VALUE"""),"US 138 USF DR LUIZ WILSOM")</f>
        <v>US 138 USF DR LUIZ WILSOM</v>
      </c>
      <c r="H410" s="27">
        <f>IFERROR(__xludf.DUMMYFUNCTION("""COMPUTED_VALUE"""),81996420092)</f>
        <v>81996420092</v>
      </c>
      <c r="I410" s="11"/>
      <c r="J410" s="11"/>
      <c r="K410" s="11"/>
      <c r="L410" s="11"/>
      <c r="M410" s="28" t="str">
        <f>IFERROR(__xludf.DUMMYFUNCTION("""COMPUTED_VALUE"""),"3355-6154")</f>
        <v>3355-6154</v>
      </c>
      <c r="N410" s="11" t="str">
        <f>IFERROR(__xludf.DUMMYFUNCTION("""COMPUTED_VALUE"""),"carolparaiso@hotmail.com")</f>
        <v>carolparaiso@hotmail.com</v>
      </c>
      <c r="O410" s="29">
        <f>IFERROR(__xludf.DUMMYFUNCTION("""COMPUTED_VALUE"""),2420020480)</f>
        <v>2420020480</v>
      </c>
      <c r="P410" s="30" t="str">
        <f>IFERROR(__xludf.DUMMYFUNCTION("""COMPUTED_VALUE"""),"980016281168823")</f>
        <v>980016281168823</v>
      </c>
      <c r="Q410" s="30" t="str">
        <f>IFERROR(__xludf.DUMMYFUNCTION("""COMPUTED_VALUE"""),"0000876")</f>
        <v>0000876</v>
      </c>
      <c r="R410" s="30" t="str">
        <f>IFERROR(__xludf.DUMMYFUNCTION("""COMPUTED_VALUE"""),"0001791540")</f>
        <v>0001791540</v>
      </c>
      <c r="S410" s="30" t="str">
        <f>IFERROR(__xludf.DUMMYFUNCTION("""COMPUTED_VALUE"""),"1")</f>
        <v>1</v>
      </c>
      <c r="T410" s="30" t="str">
        <f>IFERROR(__xludf.DUMMYFUNCTION("""COMPUTED_VALUE"""),"223293")</f>
        <v>223293</v>
      </c>
      <c r="U410" s="31">
        <f>IFERROR(__xludf.DUMMYFUNCTION("""COMPUTED_VALUE"""),2232)</f>
        <v>2232</v>
      </c>
      <c r="V410" s="11"/>
      <c r="W410" s="11"/>
      <c r="X410" s="11"/>
      <c r="Y410" s="11"/>
      <c r="Z410" s="11"/>
    </row>
    <row r="411" customHeight="1" spans="1:26">
      <c r="A411" s="11" t="str">
        <f>IFERROR(__xludf.DUMMYFUNCTION("""COMPUTED_VALUE"""),"LUDMILA TORRES CORREIA")</f>
        <v>LUDMILA TORRES CORREIA</v>
      </c>
      <c r="B411" s="11"/>
      <c r="C411" s="11"/>
      <c r="D411" s="11" t="str">
        <f>IFERROR(__xludf.DUMMYFUNCTION("""COMPUTED_VALUE"""),"Enfermeira eSF")</f>
        <v>Enfermeira eSF</v>
      </c>
      <c r="E411" s="11" t="str">
        <f>IFERROR(__xludf.DUMMYFUNCTION("""COMPUTED_VALUE"""),"II")</f>
        <v>II</v>
      </c>
      <c r="F411" s="11" t="str">
        <f>IFERROR(__xludf.DUMMYFUNCTION("""COMPUTED_VALUE"""),"PACS AGUA FRIA")</f>
        <v>PACS AGUA FRIA</v>
      </c>
      <c r="G411" s="11" t="str">
        <f>IFERROR(__xludf.DUMMYFUNCTION("""COMPUTED_VALUE"""),"US 155 CS PROF MONTEIRO DE MORAIS")</f>
        <v>US 155 CS PROF MONTEIRO DE MORAIS</v>
      </c>
      <c r="H411" s="27">
        <f>IFERROR(__xludf.DUMMYFUNCTION("""COMPUTED_VALUE"""),81988223169)</f>
        <v>81988223169</v>
      </c>
      <c r="I411" s="11"/>
      <c r="J411" s="11"/>
      <c r="K411" s="11"/>
      <c r="L411" s="11"/>
      <c r="M411" s="28" t="str">
        <f>IFERROR(__xludf.DUMMYFUNCTION("""COMPUTED_VALUE"""),"3355-6848")</f>
        <v>3355-6848</v>
      </c>
      <c r="N411" s="11" t="str">
        <f>IFERROR(__xludf.DUMMYFUNCTION("""COMPUTED_VALUE"""),"milutorres@hotmail.com")</f>
        <v>milutorres@hotmail.com</v>
      </c>
      <c r="O411" s="29">
        <f>IFERROR(__xludf.DUMMYFUNCTION("""COMPUTED_VALUE"""),3222815470)</f>
        <v>3222815470</v>
      </c>
      <c r="P411" s="30" t="str">
        <f>IFERROR(__xludf.DUMMYFUNCTION("""COMPUTED_VALUE"""),"980016276872712")</f>
        <v>980016276872712</v>
      </c>
      <c r="Q411" s="30" t="str">
        <f>IFERROR(__xludf.DUMMYFUNCTION("""COMPUTED_VALUE"""),"0000825")</f>
        <v>0000825</v>
      </c>
      <c r="R411" s="30" t="str">
        <f>IFERROR(__xludf.DUMMYFUNCTION("""COMPUTED_VALUE"""),"0000152552")</f>
        <v>0000152552</v>
      </c>
      <c r="S411" s="30" t="str">
        <f>IFERROR(__xludf.DUMMYFUNCTION("""COMPUTED_VALUE"""),"1")</f>
        <v>1</v>
      </c>
      <c r="T411" s="30" t="str">
        <f>IFERROR(__xludf.DUMMYFUNCTION("""COMPUTED_VALUE"""),"223565")</f>
        <v>223565</v>
      </c>
      <c r="U411" s="31" t="str">
        <f>IFERROR(__xludf.DUMMYFUNCTION("""COMPUTED_VALUE"""),"2235")</f>
        <v>2235</v>
      </c>
      <c r="V411" s="11"/>
      <c r="W411" s="11"/>
      <c r="X411" s="11"/>
      <c r="Y411" s="11"/>
      <c r="Z411" s="11"/>
    </row>
    <row r="412" customHeight="1" spans="1:26">
      <c r="A412" s="11" t="str">
        <f>IFERROR(__xludf.DUMMYFUNCTION("""COMPUTED_VALUE"""),"BRENO MAGESCK SILVA")</f>
        <v>BRENO MAGESCK SILVA</v>
      </c>
      <c r="B412" s="11"/>
      <c r="C412" s="11"/>
      <c r="D412" s="11" t="str">
        <f>IFERROR(__xludf.DUMMYFUNCTION("""COMPUTED_VALUE"""),"médico")</f>
        <v>médico</v>
      </c>
      <c r="E412" s="11"/>
      <c r="F412" s="11"/>
      <c r="G412" s="11" t="str">
        <f>IFERROR(__xludf.DUMMYFUNCTION("""COMPUTED_VALUE"""),"US 109 CS FRANCISCO PIGNATARI")</f>
        <v>US 109 CS FRANCISCO PIGNATARI</v>
      </c>
      <c r="H412" s="27">
        <f>IFERROR(__xludf.DUMMYFUNCTION("""COMPUTED_VALUE"""),11996961623)</f>
        <v>11996961623</v>
      </c>
      <c r="I412" s="11"/>
      <c r="J412" s="11"/>
      <c r="K412" s="24">
        <f>IFERROR(__xludf.DUMMYFUNCTION("""COMPUTED_VALUE"""),45421)</f>
        <v>45421</v>
      </c>
      <c r="L412" s="11"/>
      <c r="M412" s="11"/>
      <c r="N412" s="11"/>
      <c r="O412" s="11"/>
      <c r="P412" s="11"/>
      <c r="Q412" s="11"/>
      <c r="R412" s="11"/>
      <c r="S412" s="11"/>
      <c r="T412" s="11"/>
      <c r="U412" s="11"/>
      <c r="V412" s="11"/>
      <c r="W412" s="11"/>
      <c r="X412" s="11"/>
      <c r="Y412" s="11"/>
      <c r="Z412" s="11"/>
    </row>
    <row r="413" customHeight="1" spans="1:26">
      <c r="A413" s="11" t="str">
        <f>IFERROR(__xludf.DUMMYFUNCTION("""COMPUTED_VALUE"""),"SIMONE DA COSTA PINTO SOARES")</f>
        <v>SIMONE DA COSTA PINTO SOARES</v>
      </c>
      <c r="B413" s="11"/>
      <c r="C413" s="11"/>
      <c r="D413" s="11" t="str">
        <f>IFERROR(__xludf.DUMMYFUNCTION("""COMPUTED_VALUE"""),"Médica Pediatra")</f>
        <v>Médica Pediatra</v>
      </c>
      <c r="E413" s="11" t="str">
        <f>IFERROR(__xludf.DUMMYFUNCTION("""COMPUTED_VALUE"""),"III")</f>
        <v>III</v>
      </c>
      <c r="F413" s="11" t="str">
        <f>IFERROR(__xludf.DUMMYFUNCTION("""COMPUTED_VALUE"""),"US_109 CS FRANCISCO PIGNATARI")</f>
        <v>US_109 CS FRANCISCO PIGNATARI</v>
      </c>
      <c r="G413" s="11" t="str">
        <f>IFERROR(__xludf.DUMMYFUNCTION("""COMPUTED_VALUE"""),"US 109 CS FRANCISCO PIGNATARI")</f>
        <v>US 109 CS FRANCISCO PIGNATARI</v>
      </c>
      <c r="H413" s="27">
        <f>IFERROR(__xludf.DUMMYFUNCTION("""COMPUTED_VALUE"""),81999768791)</f>
        <v>81999768791</v>
      </c>
      <c r="I413" s="11"/>
      <c r="J413" s="11"/>
      <c r="K413" s="11"/>
      <c r="L413" s="11"/>
      <c r="M413" s="28" t="str">
        <f>IFERROR(__xludf.DUMMYFUNCTION("""COMPUTED_VALUE"""),"3355-4400")</f>
        <v>3355-4400</v>
      </c>
      <c r="N413" s="11" t="str">
        <f>IFERROR(__xludf.DUMMYFUNCTION("""COMPUTED_VALUE"""),"simonecpsoares@yahoo.com.br")</f>
        <v>simonecpsoares@yahoo.com.br</v>
      </c>
      <c r="O413" s="11">
        <f>IFERROR(__xludf.DUMMYFUNCTION("""COMPUTED_VALUE"""),88811808472)</f>
        <v>88811808472</v>
      </c>
      <c r="P413" s="30" t="str">
        <f>IFERROR(__xludf.DUMMYFUNCTION("""COMPUTED_VALUE"""),"127681184530001")</f>
        <v>127681184530001</v>
      </c>
      <c r="Q413" s="30" t="str">
        <f>IFERROR(__xludf.DUMMYFUNCTION("""COMPUTED_VALUE"""),"0001163")</f>
        <v>0001163</v>
      </c>
      <c r="R413" s="11"/>
      <c r="S413" s="30" t="str">
        <f>IFERROR(__xludf.DUMMYFUNCTION("""COMPUTED_VALUE"""),"1")</f>
        <v>1</v>
      </c>
      <c r="T413" s="30" t="str">
        <f>IFERROR(__xludf.DUMMYFUNCTION("""COMPUTED_VALUE"""),"225124")</f>
        <v>225124</v>
      </c>
      <c r="U413" s="11">
        <f>IFERROR(__xludf.DUMMYFUNCTION("""COMPUTED_VALUE"""),2251)</f>
        <v>2251</v>
      </c>
      <c r="V413" s="11"/>
      <c r="W413" s="30" t="str">
        <f>IFERROR(__xludf.DUMMYFUNCTION("""COMPUTED_VALUE"""),"10/06/1973")</f>
        <v>10/06/1973</v>
      </c>
      <c r="X413" s="11">
        <f>IFERROR(__xludf.DUMMYFUNCTION("""COMPUTED_VALUE"""),32418004)</f>
        <v>32418004</v>
      </c>
      <c r="Y413" s="11">
        <f>IFERROR(__xludf.DUMMYFUNCTION("""COMPUTED_VALUE"""),999768791)</f>
        <v>999768791</v>
      </c>
      <c r="Z413" s="11">
        <f>IFERROR(__xludf.DUMMYFUNCTION("""COMPUTED_VALUE"""),88811808472)</f>
        <v>88811808472</v>
      </c>
    </row>
    <row r="414" customHeight="1" spans="1:26">
      <c r="A414" s="11" t="str">
        <f>IFERROR(__xludf.DUMMYFUNCTION("""COMPUTED_VALUE"""),"EDNA BARBOSA SILVA")</f>
        <v>EDNA BARBOSA SILVA</v>
      </c>
      <c r="B414" s="11" t="str">
        <f>IFERROR(__xludf.DUMMYFUNCTION("""COMPUTED_VALUE"""),"15:00 - horário de preferência")</f>
        <v>15:00 - horário de preferência</v>
      </c>
      <c r="C414" s="11"/>
      <c r="D414" s="11" t="str">
        <f>IFERROR(__xludf.DUMMYFUNCTION("""COMPUTED_VALUE"""),"Enfermeira eSF")</f>
        <v>Enfermeira eSF</v>
      </c>
      <c r="E414" s="11" t="str">
        <f>IFERROR(__xludf.DUMMYFUNCTION("""COMPUTED_VALUE"""),"VIII")</f>
        <v>VIII</v>
      </c>
      <c r="F414" s="11" t="str">
        <f>IFERROR(__xludf.DUMMYFUNCTION("""COMPUTED_VALUE"""),"US_313 USF TRES CARNEIROS DE BAIXO ZUMBI DO PACHECO")</f>
        <v>US_313 USF TRES CARNEIROS DE BAIXO ZUMBI DO PACHECO</v>
      </c>
      <c r="G414" s="11" t="str">
        <f>IFERROR(__xludf.DUMMYFUNCTION("""COMPUTED_VALUE"""),"US 313 USF TRES CARNEIROS DE BAIXO ZUMBI DO PACHECO")</f>
        <v>US 313 USF TRES CARNEIROS DE BAIXO ZUMBI DO PACHECO</v>
      </c>
      <c r="H414" s="27">
        <f>IFERROR(__xludf.DUMMYFUNCTION("""COMPUTED_VALUE"""),81988421652)</f>
        <v>81988421652</v>
      </c>
      <c r="I414" s="11"/>
      <c r="J414" s="11"/>
      <c r="K414" s="11"/>
      <c r="L414" s="11"/>
      <c r="M414" s="28" t="str">
        <f>IFERROR(__xludf.DUMMYFUNCTION("""COMPUTED_VALUE"""),"3355-4712")</f>
        <v>3355-4712</v>
      </c>
      <c r="N414" s="11" t="str">
        <f>IFERROR(__xludf.DUMMYFUNCTION("""COMPUTED_VALUE"""),"edbarbosa@hotmail.com")</f>
        <v>edbarbosa@hotmail.com</v>
      </c>
      <c r="O414" s="29">
        <f>IFERROR(__xludf.DUMMYFUNCTION("""COMPUTED_VALUE"""),29327199472)</f>
        <v>29327199472</v>
      </c>
      <c r="P414" s="30" t="str">
        <f>IFERROR(__xludf.DUMMYFUNCTION("""COMPUTED_VALUE"""),"122736689040004")</f>
        <v>122736689040004</v>
      </c>
      <c r="Q414" s="30" t="str">
        <f>IFERROR(__xludf.DUMMYFUNCTION("""COMPUTED_VALUE"""),"3569322")</f>
        <v>3569322</v>
      </c>
      <c r="R414" s="30" t="str">
        <f>IFERROR(__xludf.DUMMYFUNCTION("""COMPUTED_VALUE"""),"0000155616")</f>
        <v>0000155616</v>
      </c>
      <c r="S414" s="30" t="str">
        <f>IFERROR(__xludf.DUMMYFUNCTION("""COMPUTED_VALUE"""),"1")</f>
        <v>1</v>
      </c>
      <c r="T414" s="30" t="str">
        <f>IFERROR(__xludf.DUMMYFUNCTION("""COMPUTED_VALUE"""),"223565")</f>
        <v>223565</v>
      </c>
      <c r="U414" s="31" t="str">
        <f>IFERROR(__xludf.DUMMYFUNCTION("""COMPUTED_VALUE"""),"2235")</f>
        <v>2235</v>
      </c>
      <c r="V414" s="11"/>
      <c r="W414" s="11">
        <f>IFERROR(__xludf.DUMMYFUNCTION("""COMPUTED_VALUE"""),32428374)</f>
        <v>32428374</v>
      </c>
      <c r="X414" s="11">
        <f>IFERROR(__xludf.DUMMYFUNCTION("""COMPUTED_VALUE"""),88421652)</f>
        <v>88421652</v>
      </c>
      <c r="Y414" s="11">
        <f>IFERROR(__xludf.DUMMYFUNCTION("""COMPUTED_VALUE"""),29327199472)</f>
        <v>29327199472</v>
      </c>
      <c r="Z414" s="11"/>
    </row>
    <row r="415" customHeight="1" spans="1:26">
      <c r="A415" s="11" t="str">
        <f>IFERROR(__xludf.DUMMYFUNCTION("""COMPUTED_VALUE"""),"CARLOS EDUARDO C BATISTA")</f>
        <v>CARLOS EDUARDO C BATISTA</v>
      </c>
      <c r="B415" s="11"/>
      <c r="C415" s="11"/>
      <c r="D415" s="11" t="str">
        <f>IFERROR(__xludf.DUMMYFUNCTION("""COMPUTED_VALUE"""),"Dentista")</f>
        <v>Dentista</v>
      </c>
      <c r="E415" s="11" t="str">
        <f>IFERROR(__xludf.DUMMYFUNCTION("""COMPUTED_VALUE"""),"VII")</f>
        <v>VII</v>
      </c>
      <c r="F415" s="11" t="str">
        <f>IFERROR(__xludf.DUMMYFUNCTION("""COMPUTED_VALUE"""),"US_394 USF UPINHA 24H DR MOACYR ANDRE GOMES")</f>
        <v>US_394 USF UPINHA 24H DR MOACYR ANDRE GOMES</v>
      </c>
      <c r="G415" s="11" t="str">
        <f>IFERROR(__xludf.DUMMYFUNCTION("""COMPUTED_VALUE"""),"US 394 USF UPINHA 24H DR MOACYR ANDRE GOMES")</f>
        <v>US 394 USF UPINHA 24H DR MOACYR ANDRE GOMES</v>
      </c>
      <c r="H415" s="27">
        <f>IFERROR(__xludf.DUMMYFUNCTION("""COMPUTED_VALUE"""),81999775751)</f>
        <v>81999775751</v>
      </c>
      <c r="I415" s="11"/>
      <c r="J415" s="11"/>
      <c r="K415" s="11"/>
      <c r="L415" s="11"/>
      <c r="M415" s="28" t="str">
        <f>IFERROR(__xludf.DUMMYFUNCTION("""COMPUTED_VALUE"""),"3355-3393")</f>
        <v>3355-3393</v>
      </c>
      <c r="N415" s="11" t="str">
        <f>IFERROR(__xludf.DUMMYFUNCTION("""COMPUTED_VALUE"""),"carlosedcb58@gmail.com")</f>
        <v>carlosedcb58@gmail.com</v>
      </c>
      <c r="O415" s="29">
        <f>IFERROR(__xludf.DUMMYFUNCTION("""COMPUTED_VALUE"""),16750942415)</f>
        <v>16750942415</v>
      </c>
      <c r="P415" s="30" t="str">
        <f>IFERROR(__xludf.DUMMYFUNCTION("""COMPUTED_VALUE"""),"108655199400009")</f>
        <v>108655199400009</v>
      </c>
      <c r="Q415" s="30" t="str">
        <f>IFERROR(__xludf.DUMMYFUNCTION("""COMPUTED_VALUE"""),"7415788")</f>
        <v>7415788</v>
      </c>
      <c r="R415" s="30" t="str">
        <f>IFERROR(__xludf.DUMMYFUNCTION("""COMPUTED_VALUE"""),"0001817671")</f>
        <v>0001817671</v>
      </c>
      <c r="S415" s="30" t="str">
        <f>IFERROR(__xludf.DUMMYFUNCTION("""COMPUTED_VALUE"""),"1")</f>
        <v>1</v>
      </c>
      <c r="T415" s="30" t="str">
        <f>IFERROR(__xludf.DUMMYFUNCTION("""COMPUTED_VALUE"""),"223293")</f>
        <v>223293</v>
      </c>
      <c r="U415" s="31">
        <f>IFERROR(__xludf.DUMMYFUNCTION("""COMPUTED_VALUE"""),2232)</f>
        <v>2232</v>
      </c>
      <c r="V415" s="11"/>
      <c r="W415" s="11"/>
      <c r="X415" s="11"/>
      <c r="Y415" s="11"/>
      <c r="Z415" s="11"/>
    </row>
    <row r="416" customHeight="1" spans="1:26">
      <c r="A416" s="11" t="str">
        <f>IFERROR(__xludf.DUMMYFUNCTION("""COMPUTED_VALUE"""),"ROSANGELA OLIVEIRA DE LAVOR")</f>
        <v>ROSANGELA OLIVEIRA DE LAVOR</v>
      </c>
      <c r="B416" s="11"/>
      <c r="C416" s="11"/>
      <c r="D416" s="11" t="str">
        <f>IFERROR(__xludf.DUMMYFUNCTION("""COMPUTED_VALUE"""),"Enfermeira eSF")</f>
        <v>Enfermeira eSF</v>
      </c>
      <c r="E416" s="11" t="str">
        <f>IFERROR(__xludf.DUMMYFUNCTION("""COMPUTED_VALUE"""),"VII")</f>
        <v>VII</v>
      </c>
      <c r="F416" s="11" t="str">
        <f>IFERROR(__xludf.DUMMYFUNCTION("""COMPUTED_VALUE"""),"US_394 USF UPINHA 24H DR MOACYR ANDRE GOMES")</f>
        <v>US_394 USF UPINHA 24H DR MOACYR ANDRE GOMES</v>
      </c>
      <c r="G416" s="11" t="str">
        <f>IFERROR(__xludf.DUMMYFUNCTION("""COMPUTED_VALUE"""),"US 394 USF UPINHA 24H DR MOACYR ANDRE GOMES")</f>
        <v>US 394 USF UPINHA 24H DR MOACYR ANDRE GOMES</v>
      </c>
      <c r="H416" s="27">
        <f>IFERROR(__xludf.DUMMYFUNCTION("""COMPUTED_VALUE"""),81988523032)</f>
        <v>81988523032</v>
      </c>
      <c r="I416" s="11"/>
      <c r="J416" s="11"/>
      <c r="K416" s="11"/>
      <c r="L416" s="11"/>
      <c r="M416" s="28" t="str">
        <f>IFERROR(__xludf.DUMMYFUNCTION("""COMPUTED_VALUE"""),"3355-3393")</f>
        <v>3355-3393</v>
      </c>
      <c r="N416" s="11" t="str">
        <f>IFERROR(__xludf.DUMMYFUNCTION("""COMPUTED_VALUE"""),"r.lavor@hotmail.com")</f>
        <v>r.lavor@hotmail.com</v>
      </c>
      <c r="O416" s="29">
        <f>IFERROR(__xludf.DUMMYFUNCTION("""COMPUTED_VALUE"""),66554349472)</f>
        <v>66554349472</v>
      </c>
      <c r="P416" s="30" t="str">
        <f>IFERROR(__xludf.DUMMYFUNCTION("""COMPUTED_VALUE"""),"123113812200001")</f>
        <v>123113812200001</v>
      </c>
      <c r="Q416" s="30" t="str">
        <f>IFERROR(__xludf.DUMMYFUNCTION("""COMPUTED_VALUE"""),"7415788")</f>
        <v>7415788</v>
      </c>
      <c r="R416" s="30" t="str">
        <f>IFERROR(__xludf.DUMMYFUNCTION("""COMPUTED_VALUE"""),"0001509047")</f>
        <v>0001509047</v>
      </c>
      <c r="S416" s="30" t="str">
        <f>IFERROR(__xludf.DUMMYFUNCTION("""COMPUTED_VALUE"""),"1")</f>
        <v>1</v>
      </c>
      <c r="T416" s="30" t="str">
        <f>IFERROR(__xludf.DUMMYFUNCTION("""COMPUTED_VALUE"""),"223565")</f>
        <v>223565</v>
      </c>
      <c r="U416" s="31" t="str">
        <f>IFERROR(__xludf.DUMMYFUNCTION("""COMPUTED_VALUE"""),"2235")</f>
        <v>2235</v>
      </c>
      <c r="V416" s="11"/>
      <c r="W416" s="11">
        <f>IFERROR(__xludf.DUMMYFUNCTION("""COMPUTED_VALUE"""),8188523032)</f>
        <v>8188523032</v>
      </c>
      <c r="X416" s="11">
        <f>IFERROR(__xludf.DUMMYFUNCTION("""COMPUTED_VALUE"""),8032422504)</f>
        <v>8032422504</v>
      </c>
      <c r="Y416" s="11">
        <f>IFERROR(__xludf.DUMMYFUNCTION("""COMPUTED_VALUE"""),66554349472)</f>
        <v>66554349472</v>
      </c>
      <c r="Z416" s="11"/>
    </row>
    <row r="417" customHeight="1" spans="1:26">
      <c r="A417" s="11" t="str">
        <f>IFERROR(__xludf.DUMMYFUNCTION("""COMPUTED_VALUE"""),"INGRID HIKARI NUNES FANGUI")</f>
        <v>INGRID HIKARI NUNES FANGUI</v>
      </c>
      <c r="B417" s="11"/>
      <c r="C417" s="11"/>
      <c r="D417" s="11" t="str">
        <f>IFERROR(__xludf.DUMMYFUNCTION("""COMPUTED_VALUE"""),"Médica")</f>
        <v>Médica</v>
      </c>
      <c r="E417" s="11"/>
      <c r="F417" s="11" t="str">
        <f>IFERROR(__xludf.DUMMYFUNCTION("""COMPUTED_VALUE"""),"")</f>
        <v/>
      </c>
      <c r="G417" s="11" t="str">
        <f>IFERROR(__xludf.DUMMYFUNCTION("""COMPUTED_VALUE"""),"US 286 USF IRMA TEREZINHA")</f>
        <v>US 286 USF IRMA TEREZINHA</v>
      </c>
      <c r="H417" s="27">
        <f>IFERROR(__xludf.DUMMYFUNCTION("""COMPUTED_VALUE"""),67999656155)</f>
        <v>67999656155</v>
      </c>
      <c r="I417" s="11"/>
      <c r="J417" s="11"/>
      <c r="K417" s="24">
        <f>IFERROR(__xludf.DUMMYFUNCTION("""COMPUTED_VALUE"""),45394)</f>
        <v>45394</v>
      </c>
      <c r="L417" s="11"/>
      <c r="M417" s="11"/>
      <c r="N417" s="11"/>
      <c r="O417" s="11"/>
      <c r="P417" s="11"/>
      <c r="Q417" s="11"/>
      <c r="R417" s="11"/>
      <c r="S417" s="11"/>
      <c r="T417" s="11"/>
      <c r="U417" s="11"/>
      <c r="V417" s="11"/>
      <c r="W417" s="11"/>
      <c r="X417" s="11"/>
      <c r="Y417" s="11"/>
      <c r="Z417" s="11"/>
    </row>
    <row r="418" customHeight="1" spans="1:26">
      <c r="A418" s="11" t="str">
        <f>IFERROR(__xludf.DUMMYFUNCTION("""COMPUTED_VALUE"""),"EDNA SILVIA NUNES ROCHA DANTAS")</f>
        <v>EDNA SILVIA NUNES ROCHA DANTAS</v>
      </c>
      <c r="B418" s="11" t="str">
        <f>IFERROR(__xludf.DUMMYFUNCTION("""COMPUTED_VALUE"""),"13:00 - horário de preferência")</f>
        <v>13:00 - horário de preferência</v>
      </c>
      <c r="C418" s="11"/>
      <c r="D418" s="11" t="str">
        <f>IFERROR(__xludf.DUMMYFUNCTION("""COMPUTED_VALUE"""),"Médica eSF")</f>
        <v>Médica eSF</v>
      </c>
      <c r="E418" s="11" t="str">
        <f>IFERROR(__xludf.DUMMYFUNCTION("""COMPUTED_VALUE"""),"II")</f>
        <v>II</v>
      </c>
      <c r="F418" s="11" t="str">
        <f>IFERROR(__xludf.DUMMYFUNCTION("""COMPUTED_VALUE"""),"US_286 USF IRMA TEREZINHA")</f>
        <v>US_286 USF IRMA TEREZINHA</v>
      </c>
      <c r="G418" s="11" t="str">
        <f>IFERROR(__xludf.DUMMYFUNCTION("""COMPUTED_VALUE"""),"US 286 USF IRMA TEREZINHA")</f>
        <v>US 286 USF IRMA TEREZINHA</v>
      </c>
      <c r="H418" s="27">
        <f>IFERROR(__xludf.DUMMYFUNCTION("""COMPUTED_VALUE"""),81995191376)</f>
        <v>81995191376</v>
      </c>
      <c r="I418" s="11"/>
      <c r="J418" s="11"/>
      <c r="K418" s="11"/>
      <c r="L418" s="11"/>
      <c r="M418" s="28" t="str">
        <f>IFERROR(__xludf.DUMMYFUNCTION("""COMPUTED_VALUE"""),"3355-6154")</f>
        <v>3355-6154</v>
      </c>
      <c r="N418" s="11" t="str">
        <f>IFERROR(__xludf.DUMMYFUNCTION("""COMPUTED_VALUE"""),"ednasilviadantas@hotmail.com")</f>
        <v>ednasilviadantas@hotmail.com</v>
      </c>
      <c r="O418" s="29">
        <f>IFERROR(__xludf.DUMMYFUNCTION("""COMPUTED_VALUE"""),40912124415)</f>
        <v>40912124415</v>
      </c>
      <c r="P418" s="30" t="str">
        <f>IFERROR(__xludf.DUMMYFUNCTION("""COMPUTED_VALUE"""),"170490133560000")</f>
        <v>170490133560000</v>
      </c>
      <c r="Q418" s="30" t="str">
        <f>IFERROR(__xludf.DUMMYFUNCTION("""COMPUTED_VALUE"""),"0029122")</f>
        <v>0029122</v>
      </c>
      <c r="R418" s="30" t="str">
        <f>IFERROR(__xludf.DUMMYFUNCTION("""COMPUTED_VALUE"""),"0000154725")</f>
        <v>0000154725</v>
      </c>
      <c r="S418" s="30" t="str">
        <f>IFERROR(__xludf.DUMMYFUNCTION("""COMPUTED_VALUE"""),"1")</f>
        <v>1</v>
      </c>
      <c r="T418" s="30" t="str">
        <f>IFERROR(__xludf.DUMMYFUNCTION("""COMPUTED_VALUE"""),"225142")</f>
        <v>225142</v>
      </c>
      <c r="U418" s="11">
        <f>IFERROR(__xludf.DUMMYFUNCTION("""COMPUTED_VALUE"""),2251)</f>
        <v>2251</v>
      </c>
      <c r="V418" s="11" t="str">
        <f>IFERROR(__xludf.DUMMYFUNCTION("""COMPUTED_VALUE"""),"SIM")</f>
        <v>SIM</v>
      </c>
      <c r="W418" s="11"/>
      <c r="X418" s="11">
        <f>IFERROR(__xludf.DUMMYFUNCTION("""COMPUTED_VALUE"""),32431598)</f>
        <v>32431598</v>
      </c>
      <c r="Y418" s="11"/>
      <c r="Z418" s="11">
        <f>IFERROR(__xludf.DUMMYFUNCTION("""COMPUTED_VALUE"""),40912124415)</f>
        <v>40912124415</v>
      </c>
    </row>
    <row r="419" customHeight="1" spans="1:26">
      <c r="A419" s="11" t="str">
        <f>IFERROR(__xludf.DUMMYFUNCTION("""COMPUTED_VALUE"""),"SIMONE BARBOSA PEIXOTO DE HOLANDA")</f>
        <v>SIMONE BARBOSA PEIXOTO DE HOLANDA</v>
      </c>
      <c r="B419" s="11"/>
      <c r="C419" s="11"/>
      <c r="D419" s="11" t="str">
        <f>IFERROR(__xludf.DUMMYFUNCTION("""COMPUTED_VALUE"""),"Médica eSF")</f>
        <v>Médica eSF</v>
      </c>
      <c r="E419" s="11" t="str">
        <f>IFERROR(__xludf.DUMMYFUNCTION("""COMPUTED_VALUE"""),"VII")</f>
        <v>VII</v>
      </c>
      <c r="F419" s="11" t="str">
        <f>IFERROR(__xludf.DUMMYFUNCTION("""COMPUTED_VALUE"""),"US_121 CS PROF BRUNO MAIA")</f>
        <v>US_121 CS PROF BRUNO MAIA</v>
      </c>
      <c r="G419" s="11" t="str">
        <f>IFERROR(__xludf.DUMMYFUNCTION("""COMPUTED_VALUE"""),"US 121 CS PROF BRUNO MAIA")</f>
        <v>US 121 CS PROF BRUNO MAIA</v>
      </c>
      <c r="H419" s="27">
        <f>IFERROR(__xludf.DUMMYFUNCTION("""COMPUTED_VALUE"""),81996067643)</f>
        <v>81996067643</v>
      </c>
      <c r="I419" s="11"/>
      <c r="J419" s="11"/>
      <c r="K419" s="11"/>
      <c r="L419" s="11"/>
      <c r="M419" s="28" t="str">
        <f>IFERROR(__xludf.DUMMYFUNCTION("""COMPUTED_VALUE"""),"3355-4416")</f>
        <v>3355-4416</v>
      </c>
      <c r="N419" s="11" t="str">
        <f>IFERROR(__xludf.DUMMYFUNCTION("""COMPUTED_VALUE"""),"simonepholanda@hotmail.com")</f>
        <v>simonepholanda@hotmail.com</v>
      </c>
      <c r="O419" s="29">
        <f>IFERROR(__xludf.DUMMYFUNCTION("""COMPUTED_VALUE"""),2876938480)</f>
        <v>2876938480</v>
      </c>
      <c r="P419" s="30" t="str">
        <f>IFERROR(__xludf.DUMMYFUNCTION("""COMPUTED_VALUE"""),"190133590970007")</f>
        <v>190133590970007</v>
      </c>
      <c r="Q419" s="30" t="str">
        <f>IFERROR(__xludf.DUMMYFUNCTION("""COMPUTED_VALUE"""),"0001058")</f>
        <v>0001058</v>
      </c>
      <c r="R419" s="30" t="str">
        <f>IFERROR(__xludf.DUMMYFUNCTION("""COMPUTED_VALUE"""),"0000152935")</f>
        <v>0000152935</v>
      </c>
      <c r="S419" s="30" t="str">
        <f>IFERROR(__xludf.DUMMYFUNCTION("""COMPUTED_VALUE"""),"1")</f>
        <v>1</v>
      </c>
      <c r="T419" s="30" t="str">
        <f>IFERROR(__xludf.DUMMYFUNCTION("""COMPUTED_VALUE"""),"225142")</f>
        <v>225142</v>
      </c>
      <c r="U419" s="31" t="str">
        <f>IFERROR(__xludf.DUMMYFUNCTION("""COMPUTED_VALUE"""),"2251")</f>
        <v>2251</v>
      </c>
      <c r="V419" s="11"/>
      <c r="W419" s="11"/>
      <c r="X419" s="11">
        <f>IFERROR(__xludf.DUMMYFUNCTION("""COMPUTED_VALUE"""),96067643)</f>
        <v>96067643</v>
      </c>
      <c r="Y419" s="11"/>
      <c r="Z419" s="11">
        <f>IFERROR(__xludf.DUMMYFUNCTION("""COMPUTED_VALUE"""),2876938480)</f>
        <v>2876938480</v>
      </c>
    </row>
    <row r="420" customHeight="1" spans="1:26">
      <c r="A420" s="11" t="str">
        <f>IFERROR(__xludf.DUMMYFUNCTION("""COMPUTED_VALUE"""),"MARIA BARBOSA FERREIRA")</f>
        <v>MARIA BARBOSA FERREIRA</v>
      </c>
      <c r="B420" s="11"/>
      <c r="C420" s="11"/>
      <c r="D420" s="11" t="str">
        <f>IFERROR(__xludf.DUMMYFUNCTION("""COMPUTED_VALUE"""),"Enfermeira eSF")</f>
        <v>Enfermeira eSF</v>
      </c>
      <c r="E420" s="11" t="str">
        <f>IFERROR(__xludf.DUMMYFUNCTION("""COMPUTED_VALUE"""),"I")</f>
        <v>I</v>
      </c>
      <c r="F420" s="11" t="str">
        <f>IFERROR(__xludf.DUMMYFUNCTION("""COMPUTED_VALUE"""),"US_163 HOSPITAL DE PEDIATRIA HELENA MOURA")</f>
        <v>US_163 HOSPITAL DE PEDIATRIA HELENA MOURA</v>
      </c>
      <c r="G420" s="11" t="str">
        <f>IFERROR(__xludf.DUMMYFUNCTION("""COMPUTED_VALUE"""),"US 123 CS PROF CESAR MONTEZUMA")</f>
        <v>US 123 CS PROF CESAR MONTEZUMA</v>
      </c>
      <c r="H420" s="27">
        <f>IFERROR(__xludf.DUMMYFUNCTION("""COMPUTED_VALUE"""),81988344146)</f>
        <v>81988344146</v>
      </c>
      <c r="I420" s="11"/>
      <c r="J420" s="11"/>
      <c r="K420" s="11"/>
      <c r="L420" s="11"/>
      <c r="M420" s="28" t="str">
        <f>IFERROR(__xludf.DUMMYFUNCTION("""COMPUTED_VALUE"""),"3355-4420")</f>
        <v>3355-4420</v>
      </c>
      <c r="N420" s="11" t="str">
        <f>IFERROR(__xludf.DUMMYFUNCTION("""COMPUTED_VALUE"""),"mbf1307@gmail.com                                      ")</f>
        <v>mbf1307@gmail.com                                      </v>
      </c>
      <c r="O420" s="29">
        <f>IFERROR(__xludf.DUMMYFUNCTION("""COMPUTED_VALUE"""),4129409492)</f>
        <v>4129409492</v>
      </c>
      <c r="P420" s="30" t="str">
        <f>IFERROR(__xludf.DUMMYFUNCTION("""COMPUTED_VALUE"""),"980016000724867")</f>
        <v>980016000724867</v>
      </c>
      <c r="Q420" s="30" t="str">
        <f>IFERROR(__xludf.DUMMYFUNCTION("""COMPUTED_VALUE"""),"0002143")</f>
        <v>0002143</v>
      </c>
      <c r="R420" s="30" t="str">
        <f>IFERROR(__xludf.DUMMYFUNCTION("""COMPUTED_VALUE"""),"0000153516")</f>
        <v>0000153516</v>
      </c>
      <c r="S420" s="30" t="str">
        <f>IFERROR(__xludf.DUMMYFUNCTION("""COMPUTED_VALUE"""),"1")</f>
        <v>1</v>
      </c>
      <c r="T420" s="30" t="str">
        <f>IFERROR(__xludf.DUMMYFUNCTION("""COMPUTED_VALUE"""),"223565")</f>
        <v>223565</v>
      </c>
      <c r="U420" s="31" t="str">
        <f>IFERROR(__xludf.DUMMYFUNCTION("""COMPUTED_VALUE"""),"2235")</f>
        <v>2235</v>
      </c>
      <c r="V420" s="11"/>
      <c r="W420" s="11"/>
      <c r="X420" s="11"/>
      <c r="Y420" s="11"/>
      <c r="Z420" s="11"/>
    </row>
    <row r="421" customHeight="1" spans="1:26">
      <c r="A421" s="11" t="str">
        <f>IFERROR(__xludf.DUMMYFUNCTION("""COMPUTED_VALUE"""),"NATALIA DA COSTA BEZERRA CAVALCANTI")</f>
        <v>NATALIA DA COSTA BEZERRA CAVALCANTI</v>
      </c>
      <c r="B421" s="11"/>
      <c r="C421" s="11"/>
      <c r="D421" s="11" t="str">
        <f>IFERROR(__xludf.DUMMYFUNCTION("""COMPUTED_VALUE"""),"Médica Clínica")</f>
        <v>Médica Clínica</v>
      </c>
      <c r="E421" s="11" t="str">
        <f>IFERROR(__xludf.DUMMYFUNCTION("""COMPUTED_VALUE"""),"VII")</f>
        <v>VII</v>
      </c>
      <c r="F421" s="11" t="str">
        <f>IFERROR(__xludf.DUMMYFUNCTION("""COMPUTED_VALUE"""),"US_394 USF UPINHA 24H DR MOACYR ANDRE GOMES")</f>
        <v>US_394 USF UPINHA 24H DR MOACYR ANDRE GOMES</v>
      </c>
      <c r="G421" s="11" t="str">
        <f>IFERROR(__xludf.DUMMYFUNCTION("""COMPUTED_VALUE"""),"US 394 USF UPINHA 24H DR MOACYR ANDRE GOMES")</f>
        <v>US 394 USF UPINHA 24H DR MOACYR ANDRE GOMES</v>
      </c>
      <c r="H421" s="27">
        <f>IFERROR(__xludf.DUMMYFUNCTION("""COMPUTED_VALUE"""),81988373004)</f>
        <v>81988373004</v>
      </c>
      <c r="I421" s="11"/>
      <c r="J421" s="11"/>
      <c r="K421" s="11"/>
      <c r="L421" s="11"/>
      <c r="M421" s="28" t="str">
        <f>IFERROR(__xludf.DUMMYFUNCTION("""COMPUTED_VALUE"""),"3355-3393")</f>
        <v>3355-3393</v>
      </c>
      <c r="N421" s="11" t="str">
        <f>IFERROR(__xludf.DUMMYFUNCTION("""COMPUTED_VALUE"""),"natalia cavalcanti@gmail.com")</f>
        <v>natalia cavalcanti@gmail.com</v>
      </c>
      <c r="O421" s="29">
        <f>IFERROR(__xludf.DUMMYFUNCTION("""COMPUTED_VALUE"""),6468430445)</f>
        <v>6468430445</v>
      </c>
      <c r="P421" s="30" t="str">
        <f>IFERROR(__xludf.DUMMYFUNCTION("""COMPUTED_VALUE"""),"980016288808607")</f>
        <v>980016288808607</v>
      </c>
      <c r="Q421" s="30" t="str">
        <f>IFERROR(__xludf.DUMMYFUNCTION("""COMPUTED_VALUE"""),"7415788")</f>
        <v>7415788</v>
      </c>
      <c r="R421" s="11"/>
      <c r="S421" s="30" t="str">
        <f>IFERROR(__xludf.DUMMYFUNCTION("""COMPUTED_VALUE"""),"1")</f>
        <v>1</v>
      </c>
      <c r="T421" s="30" t="str">
        <f>IFERROR(__xludf.DUMMYFUNCTION("""COMPUTED_VALUE"""),"225125")</f>
        <v>225125</v>
      </c>
      <c r="U421" s="31">
        <f>IFERROR(__xludf.DUMMYFUNCTION("""COMPUTED_VALUE"""),2251)</f>
        <v>2251</v>
      </c>
      <c r="V421" s="11"/>
      <c r="W421" s="30" t="str">
        <f>IFERROR(__xludf.DUMMYFUNCTION("""COMPUTED_VALUE"""),"09/06/1985")</f>
        <v>09/06/1985</v>
      </c>
      <c r="X421" s="11"/>
      <c r="Y421" s="11"/>
      <c r="Z421" s="11"/>
    </row>
    <row r="422" customHeight="1" spans="1:26">
      <c r="A422" s="11" t="str">
        <f>IFERROR(__xludf.DUMMYFUNCTION("""COMPUTED_VALUE"""),"REGINEIDE SARAIVA DE SOUZA MELO ALENCAR CAMPELLO")</f>
        <v>REGINEIDE SARAIVA DE SOUZA MELO ALENCAR CAMPELLO</v>
      </c>
      <c r="B422" s="11"/>
      <c r="C422" s="11"/>
      <c r="D422" s="11" t="str">
        <f>IFERROR(__xludf.DUMMYFUNCTION("""COMPUTED_VALUE"""),"Médica eSF")</f>
        <v>Médica eSF</v>
      </c>
      <c r="E422" s="11" t="str">
        <f>IFERROR(__xludf.DUMMYFUNCTION("""COMPUTED_VALUE"""),"II")</f>
        <v>II</v>
      </c>
      <c r="F422" s="11" t="str">
        <f>IFERROR(__xludf.DUMMYFUNCTION("""COMPUTED_VALUE"""),"US_226 USF CHAO DE ESTRELAS")</f>
        <v>US_226 USF CHAO DE ESTRELAS</v>
      </c>
      <c r="G422" s="11" t="str">
        <f>IFERROR(__xludf.DUMMYFUNCTION("""COMPUTED_VALUE"""),"US 226 USF CHAO DE ESTRELAS")</f>
        <v>US 226 USF CHAO DE ESTRELAS</v>
      </c>
      <c r="H422" s="27">
        <f>IFERROR(__xludf.DUMMYFUNCTION("""COMPUTED_VALUE"""),81999615961)</f>
        <v>81999615961</v>
      </c>
      <c r="I422" s="11"/>
      <c r="J422" s="11"/>
      <c r="K422" s="11"/>
      <c r="L422" s="11"/>
      <c r="M422" s="28" t="str">
        <f>IFERROR(__xludf.DUMMYFUNCTION("""COMPUTED_VALUE"""),"3355-6694")</f>
        <v>3355-6694</v>
      </c>
      <c r="N422" s="11" t="str">
        <f>IFERROR(__xludf.DUMMYFUNCTION("""COMPUTED_VALUE"""),"saraivaregineide@hotmail.com")</f>
        <v>saraivaregineide@hotmail.com</v>
      </c>
      <c r="O422" s="29">
        <f>IFERROR(__xludf.DUMMYFUNCTION("""COMPUTED_VALUE"""),76423522472)</f>
        <v>76423522472</v>
      </c>
      <c r="P422" s="30" t="str">
        <f>IFERROR(__xludf.DUMMYFUNCTION("""COMPUTED_VALUE"""),"200751099930002")</f>
        <v>200751099930002</v>
      </c>
      <c r="Q422" s="30" t="str">
        <f>IFERROR(__xludf.DUMMYFUNCTION("""COMPUTED_VALUE"""),"0022233")</f>
        <v>0022233</v>
      </c>
      <c r="R422" s="30" t="str">
        <f>IFERROR(__xludf.DUMMYFUNCTION("""COMPUTED_VALUE"""),"0000153648")</f>
        <v>0000153648</v>
      </c>
      <c r="S422" s="30" t="str">
        <f>IFERROR(__xludf.DUMMYFUNCTION("""COMPUTED_VALUE"""),"1")</f>
        <v>1</v>
      </c>
      <c r="T422" s="30" t="str">
        <f>IFERROR(__xludf.DUMMYFUNCTION("""COMPUTED_VALUE"""),"225142")</f>
        <v>225142</v>
      </c>
      <c r="U422" s="11">
        <f>IFERROR(__xludf.DUMMYFUNCTION("""COMPUTED_VALUE"""),2251)</f>
        <v>2251</v>
      </c>
      <c r="V422" s="11" t="str">
        <f>IFERROR(__xludf.DUMMYFUNCTION("""COMPUTED_VALUE"""),"SIM")</f>
        <v>SIM</v>
      </c>
      <c r="W422" s="11"/>
      <c r="X422" s="11">
        <f>IFERROR(__xludf.DUMMYFUNCTION("""COMPUTED_VALUE"""),8132423658)</f>
        <v>8132423658</v>
      </c>
      <c r="Y422" s="11">
        <f>IFERROR(__xludf.DUMMYFUNCTION("""COMPUTED_VALUE"""),8199615961)</f>
        <v>8199615961</v>
      </c>
      <c r="Z422" s="11">
        <f>IFERROR(__xludf.DUMMYFUNCTION("""COMPUTED_VALUE"""),76423522472)</f>
        <v>76423522472</v>
      </c>
    </row>
    <row r="423" customHeight="1" spans="1:26">
      <c r="A423" s="11" t="str">
        <f>IFERROR(__xludf.DUMMYFUNCTION("""COMPUTED_VALUE"""),"MARCIA MARIA KATER REGO")</f>
        <v>MARCIA MARIA KATER REGO</v>
      </c>
      <c r="B423" s="11" t="str">
        <f>IFERROR(__xludf.DUMMYFUNCTION("""COMPUTED_VALUE"""),"RECUSA TELECONSULTORIA")</f>
        <v>RECUSA TELECONSULTORIA</v>
      </c>
      <c r="C423" s="11"/>
      <c r="D423" s="11" t="str">
        <f>IFERROR(__xludf.DUMMYFUNCTION("""COMPUTED_VALUE"""),"Médica eSF")</f>
        <v>Médica eSF</v>
      </c>
      <c r="E423" s="11" t="str">
        <f>IFERROR(__xludf.DUMMYFUNCTION("""COMPUTED_VALUE"""),"VI")</f>
        <v>VI</v>
      </c>
      <c r="F423" s="11" t="str">
        <f>IFERROR(__xludf.DUMMYFUNCTION("""COMPUTED_VALUE"""),"US_268 USF CAFESOPOLIS")</f>
        <v>US_268 USF CAFESOPOLIS</v>
      </c>
      <c r="G423" s="11" t="str">
        <f>IFERROR(__xludf.DUMMYFUNCTION("""COMPUTED_VALUE"""),"US 268 USF CAFESOPOLIS")</f>
        <v>US 268 USF CAFESOPOLIS</v>
      </c>
      <c r="H423" s="27">
        <f>IFERROR(__xludf.DUMMYFUNCTION("""COMPUTED_VALUE"""),81988370026)</f>
        <v>81988370026</v>
      </c>
      <c r="I423" s="11"/>
      <c r="J423" s="11"/>
      <c r="K423" s="11"/>
      <c r="L423" s="28" t="str">
        <f>IFERROR(__xludf.DUMMYFUNCTION("""COMPUTED_VALUE"""),"X")</f>
        <v>X</v>
      </c>
      <c r="M423" s="28" t="str">
        <f>IFERROR(__xludf.DUMMYFUNCTION("""COMPUTED_VALUE"""),"3355-6098")</f>
        <v>3355-6098</v>
      </c>
      <c r="N423" s="11" t="str">
        <f>IFERROR(__xludf.DUMMYFUNCTION("""COMPUTED_VALUE"""),"nclima46@gmail.com / pfchaves@uol.com.br")</f>
        <v>nclima46@gmail.com / pfchaves@uol.com.br</v>
      </c>
      <c r="O423" s="29">
        <f>IFERROR(__xludf.DUMMYFUNCTION("""COMPUTED_VALUE"""),61851710400)</f>
        <v>61851710400</v>
      </c>
      <c r="P423" s="30" t="str">
        <f>IFERROR(__xludf.DUMMYFUNCTION("""COMPUTED_VALUE"""),"206066760440007")</f>
        <v>206066760440007</v>
      </c>
      <c r="Q423" s="30" t="str">
        <f>IFERROR(__xludf.DUMMYFUNCTION("""COMPUTED_VALUE"""),"0026360")</f>
        <v>0026360</v>
      </c>
      <c r="R423" s="30" t="str">
        <f>IFERROR(__xludf.DUMMYFUNCTION("""COMPUTED_VALUE"""),"0000154350")</f>
        <v>0000154350</v>
      </c>
      <c r="S423" s="30" t="str">
        <f>IFERROR(__xludf.DUMMYFUNCTION("""COMPUTED_VALUE"""),"1")</f>
        <v>1</v>
      </c>
      <c r="T423" s="30" t="str">
        <f>IFERROR(__xludf.DUMMYFUNCTION("""COMPUTED_VALUE"""),"225142")</f>
        <v>225142</v>
      </c>
      <c r="U423" s="31" t="str">
        <f>IFERROR(__xludf.DUMMYFUNCTION("""COMPUTED_VALUE"""),"2251")</f>
        <v>2251</v>
      </c>
      <c r="V423" s="11"/>
      <c r="W423" s="11"/>
      <c r="X423" s="11">
        <f>IFERROR(__xludf.DUMMYFUNCTION("""COMPUTED_VALUE"""),32440026)</f>
        <v>32440026</v>
      </c>
      <c r="Y423" s="11">
        <f>IFERROR(__xludf.DUMMYFUNCTION("""COMPUTED_VALUE"""),88370026)</f>
        <v>88370026</v>
      </c>
      <c r="Z423" s="11">
        <f>IFERROR(__xludf.DUMMYFUNCTION("""COMPUTED_VALUE"""),61851710400)</f>
        <v>61851710400</v>
      </c>
    </row>
    <row r="424" customHeight="1" spans="1:26">
      <c r="A424" s="11" t="str">
        <f>IFERROR(__xludf.DUMMYFUNCTION("""COMPUTED_VALUE"""),"LISANDRA DE LIMA RODRIGUES")</f>
        <v>LISANDRA DE LIMA RODRIGUES</v>
      </c>
      <c r="B424" s="11" t="str">
        <f>IFERROR(__xludf.DUMMYFUNCTION("""COMPUTED_VALUE"""),"NÃO TEM WPP")</f>
        <v>NÃO TEM WPP</v>
      </c>
      <c r="C424" s="11"/>
      <c r="D424" s="11" t="str">
        <f>IFERROR(__xludf.DUMMYFUNCTION("""COMPUTED_VALUE"""),"Enfermeira eSF")</f>
        <v>Enfermeira eSF</v>
      </c>
      <c r="E424" s="11" t="str">
        <f>IFERROR(__xludf.DUMMYFUNCTION("""COMPUTED_VALUE"""),"II")</f>
        <v>II</v>
      </c>
      <c r="F424" s="11" t="str">
        <f>IFERROR(__xludf.DUMMYFUNCTION("""COMPUTED_VALUE"""),"US_180 CENTRAL DE REGULACAO MEDICA SAMU METROPOLITANO RECIFE")</f>
        <v>US_180 CENTRAL DE REGULACAO MEDICA SAMU METROPOLITANO RECIFE</v>
      </c>
      <c r="G424" s="11" t="str">
        <f>IFERROR(__xludf.DUMMYFUNCTION("""COMPUTED_VALUE"""),"US 309 USF PONTO DE PARADA")</f>
        <v>US 309 USF PONTO DE PARADA</v>
      </c>
      <c r="H424" s="27">
        <f>IFERROR(__xludf.DUMMYFUNCTION("""COMPUTED_VALUE"""),81988102577)</f>
        <v>81988102577</v>
      </c>
      <c r="I424" s="27">
        <f>IFERROR(__xludf.DUMMYFUNCTION("""COMPUTED_VALUE"""),81998553333)</f>
        <v>81998553333</v>
      </c>
      <c r="J424" s="11"/>
      <c r="K424" s="11"/>
      <c r="L424" s="11"/>
      <c r="M424" s="28" t="str">
        <f>IFERROR(__xludf.DUMMYFUNCTION("""COMPUTED_VALUE"""),"3355-6095")</f>
        <v>3355-6095</v>
      </c>
      <c r="N424" s="11" t="str">
        <f>IFERROR(__xludf.DUMMYFUNCTION("""COMPUTED_VALUE"""),"lisandrabr@hotmail.com / lisandralr@hotmail.com")</f>
        <v>lisandrabr@hotmail.com / lisandralr@hotmail.com</v>
      </c>
      <c r="O424" s="29">
        <f>IFERROR(__xludf.DUMMYFUNCTION("""COMPUTED_VALUE"""),2386258424)</f>
        <v>2386258424</v>
      </c>
      <c r="P424" s="30" t="str">
        <f>IFERROR(__xludf.DUMMYFUNCTION("""COMPUTED_VALUE"""),"201656304470008")</f>
        <v>201656304470008</v>
      </c>
      <c r="Q424" s="30" t="str">
        <f>IFERROR(__xludf.DUMMYFUNCTION("""COMPUTED_VALUE"""),"3302032")</f>
        <v>3302032</v>
      </c>
      <c r="R424" s="30" t="str">
        <f>IFERROR(__xludf.DUMMYFUNCTION("""COMPUTED_VALUE"""),"0000155292")</f>
        <v>0000155292</v>
      </c>
      <c r="S424" s="30" t="str">
        <f>IFERROR(__xludf.DUMMYFUNCTION("""COMPUTED_VALUE"""),"1")</f>
        <v>1</v>
      </c>
      <c r="T424" s="30" t="str">
        <f>IFERROR(__xludf.DUMMYFUNCTION("""COMPUTED_VALUE"""),"223565")</f>
        <v>223565</v>
      </c>
      <c r="U424" s="31" t="str">
        <f>IFERROR(__xludf.DUMMYFUNCTION("""COMPUTED_VALUE"""),"2235")</f>
        <v>2235</v>
      </c>
      <c r="V424" s="11"/>
      <c r="W424" s="11">
        <f>IFERROR(__xludf.DUMMYFUNCTION("""COMPUTED_VALUE"""),8198553333)</f>
        <v>8198553333</v>
      </c>
      <c r="X424" s="11">
        <f>IFERROR(__xludf.DUMMYFUNCTION("""COMPUTED_VALUE"""),8188102577)</f>
        <v>8188102577</v>
      </c>
      <c r="Y424" s="11">
        <f>IFERROR(__xludf.DUMMYFUNCTION("""COMPUTED_VALUE"""),2386258424)</f>
        <v>2386258424</v>
      </c>
      <c r="Z424" s="11"/>
    </row>
    <row r="425" customHeight="1" spans="1:26">
      <c r="A425" s="11" t="str">
        <f>IFERROR(__xludf.DUMMYFUNCTION("""COMPUTED_VALUE"""),"ANDREA PATRICIA ALVES DE OLIVEIRA")</f>
        <v>ANDREA PATRICIA ALVES DE OLIVEIRA</v>
      </c>
      <c r="B425" s="11"/>
      <c r="C425" s="11"/>
      <c r="D425" s="11" t="str">
        <f>IFERROR(__xludf.DUMMYFUNCTION("""COMPUTED_VALUE"""),"Enfermeira eSF")</f>
        <v>Enfermeira eSF</v>
      </c>
      <c r="E425" s="11" t="str">
        <f>IFERROR(__xludf.DUMMYFUNCTION("""COMPUTED_VALUE"""),"II")</f>
        <v>II</v>
      </c>
      <c r="F425" s="11" t="str">
        <f>IFERROR(__xludf.DUMMYFUNCTION("""COMPUTED_VALUE"""),"US_244 USF PROFESSOR ANTONIO FRANCISCO AREIA/ PEIXINHOS/SARAMANDAIA")</f>
        <v>US_244 USF PROFESSOR ANTONIO FRANCISCO AREIA/ PEIXINHOS/SARAMANDAIA</v>
      </c>
      <c r="G425" s="11" t="str">
        <f>IFERROR(__xludf.DUMMYFUNCTION("""COMPUTED_VALUE"""),"US 244 USF PROF ANTONIO FRANCISCO AREIAS")</f>
        <v>US 244 USF PROF ANTONIO FRANCISCO AREIAS</v>
      </c>
      <c r="H425" s="27">
        <f>IFERROR(__xludf.DUMMYFUNCTION("""COMPUTED_VALUE"""),81999627838)</f>
        <v>81999627838</v>
      </c>
      <c r="I425" s="11"/>
      <c r="J425" s="11"/>
      <c r="K425" s="11"/>
      <c r="L425" s="11"/>
      <c r="M425" s="28" t="str">
        <f>IFERROR(__xludf.DUMMYFUNCTION("""COMPUTED_VALUE"""),"3355-6212")</f>
        <v>3355-6212</v>
      </c>
      <c r="N425" s="11" t="str">
        <f>IFERROR(__xludf.DUMMYFUNCTION("""COMPUTED_VALUE"""),"andreapatoliveira@hotmail.com")</f>
        <v>andreapatoliveira@hotmail.com</v>
      </c>
      <c r="O425" s="29">
        <f>IFERROR(__xludf.DUMMYFUNCTION("""COMPUTED_VALUE"""),2099641463)</f>
        <v>2099641463</v>
      </c>
      <c r="P425" s="30" t="str">
        <f>IFERROR(__xludf.DUMMYFUNCTION("""COMPUTED_VALUE"""),"200324719090001")</f>
        <v>200324719090001</v>
      </c>
      <c r="Q425" s="30" t="str">
        <f>IFERROR(__xludf.DUMMYFUNCTION("""COMPUTED_VALUE"""),"0022268")</f>
        <v>0022268</v>
      </c>
      <c r="R425" s="30" t="str">
        <f>IFERROR(__xludf.DUMMYFUNCTION("""COMPUTED_VALUE"""),"0000153664")</f>
        <v>0000153664</v>
      </c>
      <c r="S425" s="30" t="str">
        <f>IFERROR(__xludf.DUMMYFUNCTION("""COMPUTED_VALUE"""),"1")</f>
        <v>1</v>
      </c>
      <c r="T425" s="30" t="str">
        <f>IFERROR(__xludf.DUMMYFUNCTION("""COMPUTED_VALUE"""),"223565")</f>
        <v>223565</v>
      </c>
      <c r="U425" s="31" t="str">
        <f>IFERROR(__xludf.DUMMYFUNCTION("""COMPUTED_VALUE"""),"2235")</f>
        <v>2235</v>
      </c>
      <c r="V425" s="11"/>
      <c r="W425" s="11">
        <f>IFERROR(__xludf.DUMMYFUNCTION("""COMPUTED_VALUE"""),32444810)</f>
        <v>32444810</v>
      </c>
      <c r="X425" s="11">
        <f>IFERROR(__xludf.DUMMYFUNCTION("""COMPUTED_VALUE"""),99627838)</f>
        <v>99627838</v>
      </c>
      <c r="Y425" s="11">
        <f>IFERROR(__xludf.DUMMYFUNCTION("""COMPUTED_VALUE"""),2099641463)</f>
        <v>2099641463</v>
      </c>
      <c r="Z425" s="11"/>
    </row>
    <row r="426" customHeight="1" spans="1:26">
      <c r="A426" s="11" t="str">
        <f>IFERROR(__xludf.DUMMYFUNCTION("""COMPUTED_VALUE"""),"STELLA PAES BARRETO GONDIM COUTINHO")</f>
        <v>STELLA PAES BARRETO GONDIM COUTINHO</v>
      </c>
      <c r="B426" s="11"/>
      <c r="C426" s="11"/>
      <c r="D426" s="11" t="str">
        <f>IFERROR(__xludf.DUMMYFUNCTION("""COMPUTED_VALUE"""),"Médica eSF")</f>
        <v>Médica eSF</v>
      </c>
      <c r="E426" s="11" t="str">
        <f>IFERROR(__xludf.DUMMYFUNCTION("""COMPUTED_VALUE"""),"VII")</f>
        <v>VII</v>
      </c>
      <c r="F426" s="11" t="str">
        <f>IFERROR(__xludf.DUMMYFUNCTION("""COMPUTED_VALUE"""),"US_394 USF UPINHA 24H DR MOACYR ANDRE GOMES")</f>
        <v>US_394 USF UPINHA 24H DR MOACYR ANDRE GOMES</v>
      </c>
      <c r="G426" s="11" t="str">
        <f>IFERROR(__xludf.DUMMYFUNCTION("""COMPUTED_VALUE"""),"US 394 USF UPINHA 24H DR MOACYR ANDRE GOMES")</f>
        <v>US 394 USF UPINHA 24H DR MOACYR ANDRE GOMES</v>
      </c>
      <c r="H426" s="27">
        <f>IFERROR(__xludf.DUMMYFUNCTION("""COMPUTED_VALUE"""),81991563228)</f>
        <v>81991563228</v>
      </c>
      <c r="I426" s="27">
        <f>IFERROR(__xludf.DUMMYFUNCTION("""COMPUTED_VALUE"""),81992783088)</f>
        <v>81992783088</v>
      </c>
      <c r="J426" s="11"/>
      <c r="K426" s="11"/>
      <c r="L426" s="11"/>
      <c r="M426" s="28" t="str">
        <f>IFERROR(__xludf.DUMMYFUNCTION("""COMPUTED_VALUE"""),"3355-3393")</f>
        <v>3355-3393</v>
      </c>
      <c r="N426" s="11" t="str">
        <f>IFERROR(__xludf.DUMMYFUNCTION("""COMPUTED_VALUE"""),"awlustosa@uol.com.br")</f>
        <v>awlustosa@uol.com.br</v>
      </c>
      <c r="O426" s="29">
        <f>IFERROR(__xludf.DUMMYFUNCTION("""COMPUTED_VALUE"""),3620583420)</f>
        <v>3620583420</v>
      </c>
      <c r="P426" s="30" t="str">
        <f>IFERROR(__xludf.DUMMYFUNCTION("""COMPUTED_VALUE"""),"201533435610006")</f>
        <v>201533435610006</v>
      </c>
      <c r="Q426" s="30" t="str">
        <f>IFERROR(__xludf.DUMMYFUNCTION("""COMPUTED_VALUE"""),"7415788")</f>
        <v>7415788</v>
      </c>
      <c r="R426" s="30" t="str">
        <f>IFERROR(__xludf.DUMMYFUNCTION("""COMPUTED_VALUE"""),"0001509012")</f>
        <v>0001509012</v>
      </c>
      <c r="S426" s="30" t="str">
        <f>IFERROR(__xludf.DUMMYFUNCTION("""COMPUTED_VALUE"""),"1")</f>
        <v>1</v>
      </c>
      <c r="T426" s="30" t="str">
        <f>IFERROR(__xludf.DUMMYFUNCTION("""COMPUTED_VALUE"""),"225142")</f>
        <v>225142</v>
      </c>
      <c r="U426" s="31" t="str">
        <f>IFERROR(__xludf.DUMMYFUNCTION("""COMPUTED_VALUE"""),"2251")</f>
        <v>2251</v>
      </c>
      <c r="V426" s="11"/>
      <c r="W426" s="11"/>
      <c r="X426" s="11" t="str">
        <f>IFERROR(__xludf.DUMMYFUNCTION("""COMPUTED_VALUE"""),"#N/A")</f>
        <v>#N/A</v>
      </c>
      <c r="Y426" s="11" t="str">
        <f>IFERROR(__xludf.DUMMYFUNCTION("""COMPUTED_VALUE"""),"#N/A")</f>
        <v>#N/A</v>
      </c>
      <c r="Z426" s="11" t="str">
        <f>IFERROR(__xludf.DUMMYFUNCTION("""COMPUTED_VALUE"""),"#N/A")</f>
        <v>#N/A</v>
      </c>
    </row>
    <row r="427" customHeight="1" spans="1:26">
      <c r="A427" s="11" t="str">
        <f>IFERROR(__xludf.DUMMYFUNCTION("""COMPUTED_VALUE"""),"RAFAEL BUENO DE ANDRADE")</f>
        <v>RAFAEL BUENO DE ANDRADE</v>
      </c>
      <c r="B427" s="11"/>
      <c r="C427" s="11"/>
      <c r="D427" s="11" t="str">
        <f>IFERROR(__xludf.DUMMYFUNCTION("""COMPUTED_VALUE"""),"Médico Residente")</f>
        <v>Médico Residente</v>
      </c>
      <c r="E427" s="11" t="str">
        <f>IFERROR(__xludf.DUMMYFUNCTION("""COMPUTED_VALUE"""),"VII")</f>
        <v>VII</v>
      </c>
      <c r="F427" s="11" t="str">
        <f>IFERROR(__xludf.DUMMYFUNCTION("""COMPUTED_VALUE"""),"US 397 USF UPINHA DIA CORREGO DO EUCLIDES")</f>
        <v>US 397 USF UPINHA DIA CORREGO DO EUCLIDES</v>
      </c>
      <c r="G427" s="11" t="str">
        <f>IFERROR(__xludf.DUMMYFUNCTION("""COMPUTED_VALUE"""),"US 397 USF UPINHA DIA CORREGO DO EUCLIDES")</f>
        <v>US 397 USF UPINHA DIA CORREGO DO EUCLIDES</v>
      </c>
      <c r="H427" s="11"/>
      <c r="I427" s="11"/>
      <c r="J427" s="11"/>
      <c r="K427" s="11"/>
      <c r="L427" s="11"/>
      <c r="M427" s="11"/>
      <c r="N427" s="11" t="str">
        <f>IFERROR(__xludf.DUMMYFUNCTION("""COMPUTED_VALUE"""),"rafaelbandrade0@gmail.com")</f>
        <v>rafaelbandrade0@gmail.com</v>
      </c>
      <c r="O427" s="11"/>
      <c r="P427" s="11"/>
      <c r="Q427" s="11"/>
      <c r="R427" s="11"/>
      <c r="S427" s="11"/>
      <c r="T427" s="11"/>
      <c r="U427" s="11"/>
      <c r="V427" s="11"/>
      <c r="W427" s="11"/>
      <c r="X427" s="11"/>
      <c r="Y427" s="11"/>
      <c r="Z427" s="11"/>
    </row>
    <row r="428" customHeight="1" spans="1:26">
      <c r="A428" s="11" t="str">
        <f>IFERROR(__xludf.DUMMYFUNCTION("""COMPUTED_VALUE"""),"SARA ROSA PIEDADE COSTA VALENTE")</f>
        <v>SARA ROSA PIEDADE COSTA VALENTE</v>
      </c>
      <c r="B428" s="11"/>
      <c r="C428" s="11"/>
      <c r="D428" s="11" t="str">
        <f>IFERROR(__xludf.DUMMYFUNCTION("""COMPUTED_VALUE"""),"Enfermeira eSF")</f>
        <v>Enfermeira eSF</v>
      </c>
      <c r="E428" s="11" t="str">
        <f>IFERROR(__xludf.DUMMYFUNCTION("""COMPUTED_VALUE"""),"VIII")</f>
        <v>VIII</v>
      </c>
      <c r="F428" s="11" t="str">
        <f>IFERROR(__xludf.DUMMYFUNCTION("""COMPUTED_VALUE"""),"SEDE DISTRITO SANITARIO I")</f>
        <v>SEDE DISTRITO SANITARIO I</v>
      </c>
      <c r="G428" s="11" t="str">
        <f>IFERROR(__xludf.DUMMYFUNCTION("""COMPUTED_VALUE"""),"US 315 USF UR 3")</f>
        <v>US 315 USF UR 3</v>
      </c>
      <c r="H428" s="27">
        <f>IFERROR(__xludf.DUMMYFUNCTION("""COMPUTED_VALUE"""),81991782066)</f>
        <v>81991782066</v>
      </c>
      <c r="I428" s="27">
        <f>IFERROR(__xludf.DUMMYFUNCTION("""COMPUTED_VALUE"""),81986848898)</f>
        <v>81986848898</v>
      </c>
      <c r="J428" s="11"/>
      <c r="K428" s="11"/>
      <c r="L428" s="11"/>
      <c r="M428" s="28" t="str">
        <f>IFERROR(__xludf.DUMMYFUNCTION("""COMPUTED_VALUE"""),"3355-6452")</f>
        <v>3355-6452</v>
      </c>
      <c r="N428" s="11" t="str">
        <f>IFERROR(__xludf.DUMMYFUNCTION("""COMPUTED_VALUE"""),"sararosavalente@yahoo.com.br")</f>
        <v>sararosavalente@yahoo.com.br</v>
      </c>
      <c r="O428" s="29">
        <f>IFERROR(__xludf.DUMMYFUNCTION("""COMPUTED_VALUE"""),3027757490)</f>
        <v>3027757490</v>
      </c>
      <c r="P428" s="30" t="str">
        <f>IFERROR(__xludf.DUMMYFUNCTION("""COMPUTED_VALUE"""),"209043949420009")</f>
        <v>209043949420009</v>
      </c>
      <c r="Q428" s="30" t="str">
        <f>IFERROR(__xludf.DUMMYFUNCTION("""COMPUTED_VALUE"""),"3562638")</f>
        <v>3562638</v>
      </c>
      <c r="R428" s="30" t="str">
        <f>IFERROR(__xludf.DUMMYFUNCTION("""COMPUTED_VALUE"""),"0000155586")</f>
        <v>0000155586</v>
      </c>
      <c r="S428" s="30" t="str">
        <f>IFERROR(__xludf.DUMMYFUNCTION("""COMPUTED_VALUE"""),"1")</f>
        <v>1</v>
      </c>
      <c r="T428" s="30" t="str">
        <f>IFERROR(__xludf.DUMMYFUNCTION("""COMPUTED_VALUE"""),"223565")</f>
        <v>223565</v>
      </c>
      <c r="U428" s="31" t="str">
        <f>IFERROR(__xludf.DUMMYFUNCTION("""COMPUTED_VALUE"""),"2235")</f>
        <v>2235</v>
      </c>
      <c r="V428" s="11"/>
      <c r="W428" s="11" t="str">
        <f>IFERROR(__xludf.DUMMYFUNCTION("""COMPUTED_VALUE"""),"3251-0208")</f>
        <v>3251-0208</v>
      </c>
      <c r="X428" s="11" t="str">
        <f>IFERROR(__xludf.DUMMYFUNCTION("""COMPUTED_VALUE"""),"8684-8898")</f>
        <v>8684-8898</v>
      </c>
      <c r="Y428" s="11">
        <f>IFERROR(__xludf.DUMMYFUNCTION("""COMPUTED_VALUE"""),3027757490)</f>
        <v>3027757490</v>
      </c>
      <c r="Z428" s="11"/>
    </row>
    <row r="429" customHeight="1" spans="1:26">
      <c r="A429" s="11" t="str">
        <f>IFERROR(__xludf.DUMMYFUNCTION("""COMPUTED_VALUE"""),"RAQUEL JANAINA VIEIRA DE ALMEIDA")</f>
        <v>RAQUEL JANAINA VIEIRA DE ALMEIDA</v>
      </c>
      <c r="B429" s="11" t="str">
        <f>IFERROR(__xludf.DUMMYFUNCTION("""COMPUTED_VALUE"""),"RECUSA TELECONSULTORIA")</f>
        <v>RECUSA TELECONSULTORIA</v>
      </c>
      <c r="C429" s="11"/>
      <c r="D429" s="11" t="str">
        <f>IFERROR(__xludf.DUMMYFUNCTION("""COMPUTED_VALUE"""),"Médica eSF")</f>
        <v>Médica eSF</v>
      </c>
      <c r="E429" s="11" t="str">
        <f>IFERROR(__xludf.DUMMYFUNCTION("""COMPUTED_VALUE"""),"VIII")</f>
        <v>VIII</v>
      </c>
      <c r="F429" s="11" t="str">
        <f>IFERROR(__xludf.DUMMYFUNCTION("""COMPUTED_VALUE"""),"US_298 USF JORDAO ALTO")</f>
        <v>US_298 USF JORDAO ALTO</v>
      </c>
      <c r="G429" s="11" t="str">
        <f>IFERROR(__xludf.DUMMYFUNCTION("""COMPUTED_VALUE"""),"US 298 USF JORDAO ALTO")</f>
        <v>US 298 USF JORDAO ALTO</v>
      </c>
      <c r="H429" s="27">
        <f>IFERROR(__xludf.DUMMYFUNCTION("""COMPUTED_VALUE"""),81999289333)</f>
        <v>81999289333</v>
      </c>
      <c r="I429" s="27">
        <f>IFERROR(__xludf.DUMMYFUNCTION("""COMPUTED_VALUE"""),81992793045)</f>
        <v>81992793045</v>
      </c>
      <c r="J429" s="11"/>
      <c r="K429" s="11"/>
      <c r="L429" s="28" t="str">
        <f>IFERROR(__xludf.DUMMYFUNCTION("""COMPUTED_VALUE"""),"X")</f>
        <v>X</v>
      </c>
      <c r="M429" s="28" t="str">
        <f>IFERROR(__xludf.DUMMYFUNCTION("""COMPUTED_VALUE"""),"3355-6162")</f>
        <v>3355-6162</v>
      </c>
      <c r="N429" s="11" t="str">
        <f>IFERROR(__xludf.DUMMYFUNCTION("""COMPUTED_VALUE"""),"raqueljva@bol.com.br")</f>
        <v>raqueljva@bol.com.br</v>
      </c>
      <c r="O429" s="29">
        <f>IFERROR(__xludf.DUMMYFUNCTION("""COMPUTED_VALUE"""),21277296847)</f>
        <v>21277296847</v>
      </c>
      <c r="P429" s="30" t="str">
        <f>IFERROR(__xludf.DUMMYFUNCTION("""COMPUTED_VALUE"""),"980016278232982")</f>
        <v>980016278232982</v>
      </c>
      <c r="Q429" s="30" t="str">
        <f>IFERROR(__xludf.DUMMYFUNCTION("""COMPUTED_VALUE"""),"3153460")</f>
        <v>3153460</v>
      </c>
      <c r="R429" s="30" t="str">
        <f>IFERROR(__xludf.DUMMYFUNCTION("""COMPUTED_VALUE"""),"0000155063")</f>
        <v>0000155063</v>
      </c>
      <c r="S429" s="30" t="str">
        <f>IFERROR(__xludf.DUMMYFUNCTION("""COMPUTED_VALUE"""),"1")</f>
        <v>1</v>
      </c>
      <c r="T429" s="30" t="str">
        <f>IFERROR(__xludf.DUMMYFUNCTION("""COMPUTED_VALUE"""),"225142")</f>
        <v>225142</v>
      </c>
      <c r="U429" s="31" t="str">
        <f>IFERROR(__xludf.DUMMYFUNCTION("""COMPUTED_VALUE"""),"2251")</f>
        <v>2251</v>
      </c>
      <c r="V429" s="11" t="str">
        <f>IFERROR(__xludf.DUMMYFUNCTION("""COMPUTED_VALUE"""),"SIM")</f>
        <v>SIM</v>
      </c>
      <c r="W429" s="11"/>
      <c r="X429" s="11" t="str">
        <f>IFERROR(__xludf.DUMMYFUNCTION("""COMPUTED_VALUE"""),"81-99289333")</f>
        <v>81-99289333</v>
      </c>
      <c r="Y429" s="11">
        <f>IFERROR(__xludf.DUMMYFUNCTION("""COMPUTED_VALUE"""),8192793045)</f>
        <v>8192793045</v>
      </c>
      <c r="Z429" s="11">
        <f>IFERROR(__xludf.DUMMYFUNCTION("""COMPUTED_VALUE"""),21277296847)</f>
        <v>21277296847</v>
      </c>
    </row>
    <row r="430" customHeight="1" spans="1:26">
      <c r="A430" s="11" t="str">
        <f>IFERROR(__xludf.DUMMYFUNCTION("""COMPUTED_VALUE"""),"VERA LUCIA FARIAS DA SILVA")</f>
        <v>VERA LUCIA FARIAS DA SILVA</v>
      </c>
      <c r="B430" s="11"/>
      <c r="C430" s="11"/>
      <c r="D430" s="11" t="str">
        <f>IFERROR(__xludf.DUMMYFUNCTION("""COMPUTED_VALUE"""),"Enfermeira eSF")</f>
        <v>Enfermeira eSF</v>
      </c>
      <c r="E430" s="11" t="str">
        <f>IFERROR(__xludf.DUMMYFUNCTION("""COMPUTED_VALUE"""),"VIII")</f>
        <v>VIII</v>
      </c>
      <c r="F430" s="11" t="str">
        <f>IFERROR(__xludf.DUMMYFUNCTION("""COMPUTED_VALUE"""),"US_229 USF UR 10 / ARNALDO DE FRANCA CALDAS")</f>
        <v>US_229 USF UR 10 / ARNALDO DE FRANCA CALDAS</v>
      </c>
      <c r="G430" s="11" t="str">
        <f>IFERROR(__xludf.DUMMYFUNCTION("""COMPUTED_VALUE"""),"US 229 USF UR 10")</f>
        <v>US 229 USF UR 10</v>
      </c>
      <c r="H430" s="27">
        <f>IFERROR(__xludf.DUMMYFUNCTION("""COMPUTED_VALUE"""),81991326904)</f>
        <v>81991326904</v>
      </c>
      <c r="I430" s="11"/>
      <c r="J430" s="11"/>
      <c r="K430" s="11"/>
      <c r="L430" s="11"/>
      <c r="M430" s="28" t="str">
        <f>IFERROR(__xludf.DUMMYFUNCTION("""COMPUTED_VALUE"""),"3355-6909")</f>
        <v>3355-6909</v>
      </c>
      <c r="N430" s="11" t="str">
        <f>IFERROR(__xludf.DUMMYFUNCTION("""COMPUTED_VALUE"""),"velucia20@yahoo.com.br")</f>
        <v>velucia20@yahoo.com.br</v>
      </c>
      <c r="O430" s="29">
        <f>IFERROR(__xludf.DUMMYFUNCTION("""COMPUTED_VALUE"""),66539412487)</f>
        <v>66539412487</v>
      </c>
      <c r="P430" s="30" t="str">
        <f>IFERROR(__xludf.DUMMYFUNCTION("""COMPUTED_VALUE"""),"201533384440001")</f>
        <v>201533384440001</v>
      </c>
      <c r="Q430" s="30" t="str">
        <f>IFERROR(__xludf.DUMMYFUNCTION("""COMPUTED_VALUE"""),"0022462")</f>
        <v>0022462</v>
      </c>
      <c r="R430" s="30" t="str">
        <f>IFERROR(__xludf.DUMMYFUNCTION("""COMPUTED_VALUE"""),"0000154059")</f>
        <v>0000154059</v>
      </c>
      <c r="S430" s="30" t="str">
        <f>IFERROR(__xludf.DUMMYFUNCTION("""COMPUTED_VALUE"""),"1")</f>
        <v>1</v>
      </c>
      <c r="T430" s="30" t="str">
        <f>IFERROR(__xludf.DUMMYFUNCTION("""COMPUTED_VALUE"""),"223565")</f>
        <v>223565</v>
      </c>
      <c r="U430" s="31" t="str">
        <f>IFERROR(__xludf.DUMMYFUNCTION("""COMPUTED_VALUE"""),"2235")</f>
        <v>2235</v>
      </c>
      <c r="V430" s="11"/>
      <c r="W430" s="11">
        <f>IFERROR(__xludf.DUMMYFUNCTION("""COMPUTED_VALUE"""),32524949)</f>
        <v>32524949</v>
      </c>
      <c r="X430" s="11">
        <f>IFERROR(__xludf.DUMMYFUNCTION("""COMPUTED_VALUE"""),91326904)</f>
        <v>91326904</v>
      </c>
      <c r="Y430" s="11">
        <f>IFERROR(__xludf.DUMMYFUNCTION("""COMPUTED_VALUE"""),66539412487)</f>
        <v>66539412487</v>
      </c>
      <c r="Z430" s="11"/>
    </row>
    <row r="431" customHeight="1" spans="1:26">
      <c r="A431" s="11" t="str">
        <f>IFERROR(__xludf.DUMMYFUNCTION("""COMPUTED_VALUE"""),"LUCIANO DORNELAS C FILHO")</f>
        <v>LUCIANO DORNELAS C FILHO</v>
      </c>
      <c r="B431" s="11"/>
      <c r="C431" s="11"/>
      <c r="D431" s="11" t="str">
        <f>IFERROR(__xludf.DUMMYFUNCTION("""COMPUTED_VALUE"""),"Dentista")</f>
        <v>Dentista</v>
      </c>
      <c r="E431" s="11" t="str">
        <f>IFERROR(__xludf.DUMMYFUNCTION("""COMPUTED_VALUE"""),"II")</f>
        <v>II</v>
      </c>
      <c r="F431" s="11" t="str">
        <f>IFERROR(__xludf.DUMMYFUNCTION("""COMPUTED_VALUE"""),"US_286 USF IRMA TEREZINHA")</f>
        <v>US_286 USF IRMA TEREZINHA</v>
      </c>
      <c r="G431" s="11" t="str">
        <f>IFERROR(__xludf.DUMMYFUNCTION("""COMPUTED_VALUE"""),"US 286 USF IRMA TEREZINHA")</f>
        <v>US 286 USF IRMA TEREZINHA</v>
      </c>
      <c r="H431" s="27">
        <f>IFERROR(__xludf.DUMMYFUNCTION("""COMPUTED_VALUE"""),81996183300)</f>
        <v>81996183300</v>
      </c>
      <c r="I431" s="11"/>
      <c r="J431" s="11"/>
      <c r="K431" s="11"/>
      <c r="L431" s="11"/>
      <c r="M431" s="28" t="str">
        <f>IFERROR(__xludf.DUMMYFUNCTION("""COMPUTED_VALUE"""),"3355-6154")</f>
        <v>3355-6154</v>
      </c>
      <c r="N431" s="11" t="str">
        <f>IFERROR(__xludf.DUMMYFUNCTION("""COMPUTED_VALUE"""),"luciano.dornelas@hotmail.com")</f>
        <v>luciano.dornelas@hotmail.com</v>
      </c>
      <c r="O431" s="29">
        <f>IFERROR(__xludf.DUMMYFUNCTION("""COMPUTED_VALUE"""),12658197420)</f>
        <v>12658197420</v>
      </c>
      <c r="P431" s="30" t="str">
        <f>IFERROR(__xludf.DUMMYFUNCTION("""COMPUTED_VALUE"""),"100827091970003")</f>
        <v>100827091970003</v>
      </c>
      <c r="Q431" s="30" t="str">
        <f>IFERROR(__xludf.DUMMYFUNCTION("""COMPUTED_VALUE"""),"0029122")</f>
        <v>0029122</v>
      </c>
      <c r="R431" s="30" t="str">
        <f>IFERROR(__xludf.DUMMYFUNCTION("""COMPUTED_VALUE"""),"0001728342")</f>
        <v>0001728342</v>
      </c>
      <c r="S431" s="30" t="str">
        <f>IFERROR(__xludf.DUMMYFUNCTION("""COMPUTED_VALUE"""),"1")</f>
        <v>1</v>
      </c>
      <c r="T431" s="30" t="str">
        <f>IFERROR(__xludf.DUMMYFUNCTION("""COMPUTED_VALUE"""),"223293")</f>
        <v>223293</v>
      </c>
      <c r="U431" s="31">
        <f>IFERROR(__xludf.DUMMYFUNCTION("""COMPUTED_VALUE"""),2232)</f>
        <v>2232</v>
      </c>
      <c r="V431" s="11"/>
      <c r="W431" s="11"/>
      <c r="X431" s="11"/>
      <c r="Y431" s="11"/>
      <c r="Z431" s="11"/>
    </row>
    <row r="432" customHeight="1" spans="1:26">
      <c r="A432" s="11" t="str">
        <f>IFERROR(__xludf.DUMMYFUNCTION("""COMPUTED_VALUE"""),"YAVA MARIA CAMARA DA SILVA")</f>
        <v>YAVA MARIA CAMARA DA SILVA</v>
      </c>
      <c r="B432" s="11"/>
      <c r="C432" s="11"/>
      <c r="D432" s="11" t="str">
        <f>IFERROR(__xludf.DUMMYFUNCTION("""COMPUTED_VALUE"""),"Dentista")</f>
        <v>Dentista</v>
      </c>
      <c r="E432" s="11" t="str">
        <f>IFERROR(__xludf.DUMMYFUNCTION("""COMPUTED_VALUE"""),"VII")</f>
        <v>VII</v>
      </c>
      <c r="F432" s="11" t="str">
        <f>IFERROR(__xludf.DUMMYFUNCTION("""COMPUTED_VALUE"""),"US_121 CS PROF BRUNO MAIA")</f>
        <v>US_121 CS PROF BRUNO MAIA</v>
      </c>
      <c r="G432" s="11" t="str">
        <f>IFERROR(__xludf.DUMMYFUNCTION("""COMPUTED_VALUE"""),"US 121 CS PROF BRUNO MAIA")</f>
        <v>US 121 CS PROF BRUNO MAIA</v>
      </c>
      <c r="H432" s="27">
        <f>IFERROR(__xludf.DUMMYFUNCTION("""COMPUTED_VALUE"""),81998871318)</f>
        <v>81998871318</v>
      </c>
      <c r="I432" s="11"/>
      <c r="J432" s="11"/>
      <c r="K432" s="11"/>
      <c r="L432" s="11"/>
      <c r="M432" s="28" t="str">
        <f>IFERROR(__xludf.DUMMYFUNCTION("""COMPUTED_VALUE"""),"3355-4416")</f>
        <v>3355-4416</v>
      </c>
      <c r="N432" s="11" t="str">
        <f>IFERROR(__xludf.DUMMYFUNCTION("""COMPUTED_VALUE"""),"yavacamara@hotmail.com")</f>
        <v>yavacamara@hotmail.com</v>
      </c>
      <c r="O432" s="29">
        <f>IFERROR(__xludf.DUMMYFUNCTION("""COMPUTED_VALUE"""),16660315420)</f>
        <v>16660315420</v>
      </c>
      <c r="P432" s="30" t="str">
        <f>IFERROR(__xludf.DUMMYFUNCTION("""COMPUTED_VALUE"""),"980016000926591	")</f>
        <v>980016000926591	</v>
      </c>
      <c r="Q432" s="30" t="str">
        <f>IFERROR(__xludf.DUMMYFUNCTION("""COMPUTED_VALUE"""),"0001058")</f>
        <v>0001058</v>
      </c>
      <c r="R432" s="30" t="str">
        <f>IFERROR(__xludf.DUMMYFUNCTION("""COMPUTED_VALUE"""),"0001887629")</f>
        <v>0001887629</v>
      </c>
      <c r="S432" s="30" t="str">
        <f>IFERROR(__xludf.DUMMYFUNCTION("""COMPUTED_VALUE"""),"1")</f>
        <v>1</v>
      </c>
      <c r="T432" s="30" t="str">
        <f>IFERROR(__xludf.DUMMYFUNCTION("""COMPUTED_VALUE"""),"223293")</f>
        <v>223293</v>
      </c>
      <c r="U432" s="31">
        <f>IFERROR(__xludf.DUMMYFUNCTION("""COMPUTED_VALUE"""),2232)</f>
        <v>2232</v>
      </c>
      <c r="V432" s="11"/>
      <c r="W432" s="11"/>
      <c r="X432" s="11"/>
      <c r="Y432" s="11"/>
      <c r="Z432" s="11"/>
    </row>
    <row r="433" customHeight="1" spans="1:26">
      <c r="A433" s="11" t="str">
        <f>IFERROR(__xludf.DUMMYFUNCTION("""COMPUTED_VALUE"""),"SERGIO RICARDO DE OL BANDEIRA")</f>
        <v>SERGIO RICARDO DE OL BANDEIRA</v>
      </c>
      <c r="B433" s="11"/>
      <c r="C433" s="11"/>
      <c r="D433" s="11" t="str">
        <f>IFERROR(__xludf.DUMMYFUNCTION("""COMPUTED_VALUE"""),"Dentista")</f>
        <v>Dentista</v>
      </c>
      <c r="E433" s="11" t="str">
        <f>IFERROR(__xludf.DUMMYFUNCTION("""COMPUTED_VALUE"""),"VII")</f>
        <v>VII</v>
      </c>
      <c r="F433" s="11" t="str">
        <f>IFERROR(__xludf.DUMMYFUNCTION("""COMPUTED_VALUE"""),"US_290 USF DA MANGABEIRA")</f>
        <v>US_290 USF DA MANGABEIRA</v>
      </c>
      <c r="G433" s="11" t="str">
        <f>IFERROR(__xludf.DUMMYFUNCTION("""COMPUTED_VALUE"""),"US 290 USF DA MANGABEIRA")</f>
        <v>US 290 USF DA MANGABEIRA</v>
      </c>
      <c r="H433" s="27">
        <f>IFERROR(__xludf.DUMMYFUNCTION("""COMPUTED_VALUE"""),81999754300)</f>
        <v>81999754300</v>
      </c>
      <c r="I433" s="11"/>
      <c r="J433" s="11"/>
      <c r="K433" s="11"/>
      <c r="L433" s="11"/>
      <c r="M433" s="28" t="str">
        <f>IFERROR(__xludf.DUMMYFUNCTION("""COMPUTED_VALUE"""),"3355-6182")</f>
        <v>3355-6182</v>
      </c>
      <c r="N433" s="11" t="str">
        <f>IFERROR(__xludf.DUMMYFUNCTION("""COMPUTED_VALUE"""),"sergiob@hotlink.com.br")</f>
        <v>sergiob@hotlink.com.br</v>
      </c>
      <c r="O433" s="29">
        <f>IFERROR(__xludf.DUMMYFUNCTION("""COMPUTED_VALUE"""),71556249420)</f>
        <v>71556249420</v>
      </c>
      <c r="P433" s="30" t="str">
        <f>IFERROR(__xludf.DUMMYFUNCTION("""COMPUTED_VALUE"""),"980016000726428")</f>
        <v>980016000726428</v>
      </c>
      <c r="Q433" s="30" t="str">
        <f>IFERROR(__xludf.DUMMYFUNCTION("""COMPUTED_VALUE"""),"3006476")</f>
        <v>3006476</v>
      </c>
      <c r="R433" s="30" t="str">
        <f>IFERROR(__xludf.DUMMYFUNCTION("""COMPUTED_VALUE"""),"0001816748")</f>
        <v>0001816748</v>
      </c>
      <c r="S433" s="30" t="str">
        <f>IFERROR(__xludf.DUMMYFUNCTION("""COMPUTED_VALUE"""),"1")</f>
        <v>1</v>
      </c>
      <c r="T433" s="30" t="str">
        <f>IFERROR(__xludf.DUMMYFUNCTION("""COMPUTED_VALUE"""),"223208 ")</f>
        <v>223208 </v>
      </c>
      <c r="U433" s="31">
        <f>IFERROR(__xludf.DUMMYFUNCTION("""COMPUTED_VALUE"""),2232)</f>
        <v>2232</v>
      </c>
      <c r="V433" s="11"/>
      <c r="W433" s="11"/>
      <c r="X433" s="11"/>
      <c r="Y433" s="11"/>
      <c r="Z433" s="11"/>
    </row>
    <row r="434" customHeight="1" spans="1:26">
      <c r="A434" s="11" t="str">
        <f>IFERROR(__xludf.DUMMYFUNCTION("""COMPUTED_VALUE"""),"CAMILA ALENCAR AMORIM")</f>
        <v>CAMILA ALENCAR AMORIM</v>
      </c>
      <c r="B434" s="11" t="str">
        <f>IFERROR(__xludf.DUMMYFUNCTION("""COMPUTED_VALUE"""),"08:30 - horário de preferência")</f>
        <v>08:30 - horário de preferência</v>
      </c>
      <c r="C434" s="11"/>
      <c r="D434" s="11" t="str">
        <f>IFERROR(__xludf.DUMMYFUNCTION("""COMPUTED_VALUE"""),"Médica eSF")</f>
        <v>Médica eSF</v>
      </c>
      <c r="E434" s="11" t="str">
        <f>IFERROR(__xludf.DUMMYFUNCTION("""COMPUTED_VALUE"""),"IV")</f>
        <v>IV</v>
      </c>
      <c r="F434" s="11" t="str">
        <f>IFERROR(__xludf.DUMMYFUNCTION("""COMPUTED_VALUE"""),"US_331 USF PROF AMAURY DE MEDEIROS")</f>
        <v>US_331 USF PROF AMAURY DE MEDEIROS</v>
      </c>
      <c r="G434" s="11" t="str">
        <f>IFERROR(__xludf.DUMMYFUNCTION("""COMPUTED_VALUE"""),"US 331 USF PROF AMAURY DE MEDEIROS")</f>
        <v>US 331 USF PROF AMAURY DE MEDEIROS</v>
      </c>
      <c r="H434" s="27">
        <f>IFERROR(__xludf.DUMMYFUNCTION("""COMPUTED_VALUE"""),81988111651)</f>
        <v>81988111651</v>
      </c>
      <c r="I434" s="11"/>
      <c r="J434" s="11"/>
      <c r="K434" s="11"/>
      <c r="L434" s="11"/>
      <c r="M434" s="28" t="str">
        <f>IFERROR(__xludf.DUMMYFUNCTION("""COMPUTED_VALUE"""),"3355-0308/0309")</f>
        <v>3355-0308/0309</v>
      </c>
      <c r="N434" s="11" t="str">
        <f>IFERROR(__xludf.DUMMYFUNCTION("""COMPUTED_VALUE"""),"alencar-amorim@hotmail.com")</f>
        <v>alencar-amorim@hotmail.com</v>
      </c>
      <c r="O434" s="29">
        <f>IFERROR(__xludf.DUMMYFUNCTION("""COMPUTED_VALUE"""),361920318)</f>
        <v>361920318</v>
      </c>
      <c r="P434" s="30" t="str">
        <f>IFERROR(__xludf.DUMMYFUNCTION("""COMPUTED_VALUE"""),"701800292008479")</f>
        <v>701800292008479</v>
      </c>
      <c r="Q434" s="30" t="str">
        <f>IFERROR(__xludf.DUMMYFUNCTION("""COMPUTED_VALUE"""),"3703223")</f>
        <v>3703223</v>
      </c>
      <c r="R434" s="30" t="str">
        <f>IFERROR(__xludf.DUMMYFUNCTION("""COMPUTED_VALUE"""),"0000155683")</f>
        <v>0000155683</v>
      </c>
      <c r="S434" s="30" t="str">
        <f>IFERROR(__xludf.DUMMYFUNCTION("""COMPUTED_VALUE"""),"1")</f>
        <v>1</v>
      </c>
      <c r="T434" s="30" t="str">
        <f>IFERROR(__xludf.DUMMYFUNCTION("""COMPUTED_VALUE"""),"225142")</f>
        <v>225142</v>
      </c>
      <c r="U434" s="31" t="str">
        <f>IFERROR(__xludf.DUMMYFUNCTION("""COMPUTED_VALUE"""),"2251")</f>
        <v>2251</v>
      </c>
      <c r="V434" s="11" t="str">
        <f>IFERROR(__xludf.DUMMYFUNCTION("""COMPUTED_VALUE"""),"SIM")</f>
        <v>SIM</v>
      </c>
      <c r="W434" s="11"/>
      <c r="X434" s="11" t="str">
        <f>IFERROR(__xludf.DUMMYFUNCTION("""COMPUTED_VALUE"""),"#N/A")</f>
        <v>#N/A</v>
      </c>
      <c r="Y434" s="11" t="str">
        <f>IFERROR(__xludf.DUMMYFUNCTION("""COMPUTED_VALUE"""),"#N/A")</f>
        <v>#N/A</v>
      </c>
      <c r="Z434" s="11" t="str">
        <f>IFERROR(__xludf.DUMMYFUNCTION("""COMPUTED_VALUE"""),"#N/A")</f>
        <v>#N/A</v>
      </c>
    </row>
    <row r="435" customHeight="1" spans="1:26">
      <c r="A435" s="11" t="str">
        <f>IFERROR(__xludf.DUMMYFUNCTION("""COMPUTED_VALUE"""),"FABIOLA MARIA CUNHA DA SILVEIRA DE CARVALHO")</f>
        <v>FABIOLA MARIA CUNHA DA SILVEIRA DE CARVALHO</v>
      </c>
      <c r="B435" s="11"/>
      <c r="C435" s="11"/>
      <c r="D435" s="11" t="str">
        <f>IFERROR(__xludf.DUMMYFUNCTION("""COMPUTED_VALUE"""),"Médica Pediatra")</f>
        <v>Médica Pediatra</v>
      </c>
      <c r="E435" s="11" t="str">
        <f>IFERROR(__xludf.DUMMYFUNCTION("""COMPUTED_VALUE"""),"VII")</f>
        <v>VII</v>
      </c>
      <c r="F435" s="11" t="str">
        <f>IFERROR(__xludf.DUMMYFUNCTION("""COMPUTED_VALUE"""),"US_120 CS MARIO MONTEIRO MELO")</f>
        <v>US_120 CS MARIO MONTEIRO MELO</v>
      </c>
      <c r="G435" s="11" t="str">
        <f>IFERROR(__xludf.DUMMYFUNCTION("""COMPUTED_VALUE"""),"US 120 CS MARIO MONTEIRO MELO")</f>
        <v>US 120 CS MARIO MONTEIRO MELO</v>
      </c>
      <c r="H435" s="27">
        <f>IFERROR(__xludf.DUMMYFUNCTION("""COMPUTED_VALUE"""),81986015989)</f>
        <v>81986015989</v>
      </c>
      <c r="I435" s="11"/>
      <c r="J435" s="11"/>
      <c r="K435" s="11"/>
      <c r="L435" s="11"/>
      <c r="M435" s="28" t="str">
        <f>IFERROR(__xludf.DUMMYFUNCTION("""COMPUTED_VALUE"""),"3355-4385")</f>
        <v>3355-4385</v>
      </c>
      <c r="N435" s="11" t="str">
        <f>IFERROR(__xludf.DUMMYFUNCTION("""COMPUTED_VALUE"""),"fabiola.msc@hotmail.com")</f>
        <v>fabiola.msc@hotmail.com</v>
      </c>
      <c r="O435" s="29">
        <f>IFERROR(__xludf.DUMMYFUNCTION("""COMPUTED_VALUE"""),71152210491)</f>
        <v>71152210491</v>
      </c>
      <c r="P435" s="30" t="str">
        <f>IFERROR(__xludf.DUMMYFUNCTION("""COMPUTED_VALUE"""),"170519216040001")</f>
        <v>170519216040001</v>
      </c>
      <c r="Q435" s="30" t="str">
        <f>IFERROR(__xludf.DUMMYFUNCTION("""COMPUTED_VALUE"""),"0001317")</f>
        <v>0001317</v>
      </c>
      <c r="R435" s="30" t="str">
        <f>IFERROR(__xludf.DUMMYFUNCTION("""COMPUTED_VALUE"""),"9000131703")</f>
        <v>9000131703</v>
      </c>
      <c r="S435" s="30" t="str">
        <f>IFERROR(__xludf.DUMMYFUNCTION("""COMPUTED_VALUE"""),"1")</f>
        <v>1</v>
      </c>
      <c r="T435" s="30" t="str">
        <f>IFERROR(__xludf.DUMMYFUNCTION("""COMPUTED_VALUE"""),"225124")</f>
        <v>225124</v>
      </c>
      <c r="U435" s="31">
        <f>IFERROR(__xludf.DUMMYFUNCTION("""COMPUTED_VALUE"""),2251)</f>
        <v>2251</v>
      </c>
      <c r="V435" s="11"/>
      <c r="W435" s="30" t="str">
        <f>IFERROR(__xludf.DUMMYFUNCTION("""COMPUTED_VALUE"""),"11/03/1965")</f>
        <v>11/03/1965</v>
      </c>
      <c r="X435" s="11" t="str">
        <f>IFERROR(__xludf.DUMMYFUNCTION("""COMPUTED_VALUE"""),"81-32653540")</f>
        <v>81-32653540</v>
      </c>
      <c r="Y435" s="11" t="str">
        <f>IFERROR(__xludf.DUMMYFUNCTION("""COMPUTED_VALUE"""),"81-86015989")</f>
        <v>81-86015989</v>
      </c>
      <c r="Z435" s="11">
        <f>IFERROR(__xludf.DUMMYFUNCTION("""COMPUTED_VALUE"""),71152210491)</f>
        <v>71152210491</v>
      </c>
    </row>
    <row r="436" customHeight="1" spans="1:26">
      <c r="A436" s="11" t="str">
        <f>IFERROR(__xludf.DUMMYFUNCTION("""COMPUTED_VALUE"""),"MARCIA RANGEL DOS S TAVARES")</f>
        <v>MARCIA RANGEL DOS S TAVARES</v>
      </c>
      <c r="B436" s="11"/>
      <c r="C436" s="11"/>
      <c r="D436" s="11" t="str">
        <f>IFERROR(__xludf.DUMMYFUNCTION("""COMPUTED_VALUE"""),"Dentista")</f>
        <v>Dentista</v>
      </c>
      <c r="E436" s="11" t="str">
        <f>IFERROR(__xludf.DUMMYFUNCTION("""COMPUTED_VALUE"""),"VII")</f>
        <v>VII</v>
      </c>
      <c r="F436" s="11" t="str">
        <f>IFERROR(__xludf.DUMMYFUNCTION("""COMPUTED_VALUE"""),"US_288 USF MORRO DA CONCEICAO")</f>
        <v>US_288 USF MORRO DA CONCEICAO</v>
      </c>
      <c r="G436" s="11" t="str">
        <f>IFERROR(__xludf.DUMMYFUNCTION("""COMPUTED_VALUE"""),"US 288 USF MORRO DA CONCEICAO")</f>
        <v>US 288 USF MORRO DA CONCEICAO</v>
      </c>
      <c r="H436" s="27">
        <f>IFERROR(__xludf.DUMMYFUNCTION("""COMPUTED_VALUE"""),81991627000)</f>
        <v>81991627000</v>
      </c>
      <c r="I436" s="11"/>
      <c r="J436" s="11"/>
      <c r="K436" s="11"/>
      <c r="L436" s="11"/>
      <c r="M436" s="28" t="str">
        <f>IFERROR(__xludf.DUMMYFUNCTION("""COMPUTED_VALUE"""),"3355-6526")</f>
        <v>3355-6526</v>
      </c>
      <c r="N436" s="11" t="str">
        <f>IFERROR(__xludf.DUMMYFUNCTION("""COMPUTED_VALUE"""),"marciarst@gmail.com")</f>
        <v>marciarst@gmail.com</v>
      </c>
      <c r="O436" s="29">
        <f>IFERROR(__xludf.DUMMYFUNCTION("""COMPUTED_VALUE"""),3391593407)</f>
        <v>3391593407</v>
      </c>
      <c r="P436" s="30" t="str">
        <f>IFERROR(__xludf.DUMMYFUNCTION("""COMPUTED_VALUE"""),"980016000075184")</f>
        <v>980016000075184</v>
      </c>
      <c r="Q436" s="30" t="str">
        <f>IFERROR(__xludf.DUMMYFUNCTION("""COMPUTED_VALUE"""),"2679787")</f>
        <v>2679787</v>
      </c>
      <c r="R436" s="30" t="str">
        <f>IFERROR(__xludf.DUMMYFUNCTION("""COMPUTED_VALUE"""),"0001802275")</f>
        <v>0001802275</v>
      </c>
      <c r="S436" s="30" t="str">
        <f>IFERROR(__xludf.DUMMYFUNCTION("""COMPUTED_VALUE"""),"1")</f>
        <v>1</v>
      </c>
      <c r="T436" s="30" t="str">
        <f>IFERROR(__xludf.DUMMYFUNCTION("""COMPUTED_VALUE"""),"223293")</f>
        <v>223293</v>
      </c>
      <c r="U436" s="31">
        <f>IFERROR(__xludf.DUMMYFUNCTION("""COMPUTED_VALUE"""),2232)</f>
        <v>2232</v>
      </c>
      <c r="V436" s="11"/>
      <c r="W436" s="11"/>
      <c r="X436" s="11"/>
      <c r="Y436" s="11"/>
      <c r="Z436" s="11"/>
    </row>
    <row r="437" customHeight="1" spans="1:26">
      <c r="A437" s="11" t="str">
        <f>IFERROR(__xludf.DUMMYFUNCTION("""COMPUTED_VALUE"""),"MARCOS AUGUSTO LIMA")</f>
        <v>MARCOS AUGUSTO LIMA</v>
      </c>
      <c r="B437" s="11"/>
      <c r="C437" s="11"/>
      <c r="D437" s="11" t="str">
        <f>IFERROR(__xludf.DUMMYFUNCTION("""COMPUTED_VALUE"""),"Médico eSF")</f>
        <v>Médico eSF</v>
      </c>
      <c r="E437" s="11" t="str">
        <f>IFERROR(__xludf.DUMMYFUNCTION("""COMPUTED_VALUE"""),"VI")</f>
        <v>VI</v>
      </c>
      <c r="F437" s="11" t="str">
        <f>IFERROR(__xludf.DUMMYFUNCTION("""COMPUTED_VALUE"""),"US_292 USF VILA DO IPSEP")</f>
        <v>US_292 USF VILA DO IPSEP</v>
      </c>
      <c r="G437" s="11" t="str">
        <f>IFERROR(__xludf.DUMMYFUNCTION("""COMPUTED_VALUE"""),"US 292 USF VILA DO IPSEP")</f>
        <v>US 292 USF VILA DO IPSEP</v>
      </c>
      <c r="H437" s="27">
        <f>IFERROR(__xludf.DUMMYFUNCTION("""COMPUTED_VALUE"""),81999662296)</f>
        <v>81999662296</v>
      </c>
      <c r="I437" s="27">
        <f>IFERROR(__xludf.DUMMYFUNCTION("""COMPUTED_VALUE"""),81999865699)</f>
        <v>81999865699</v>
      </c>
      <c r="J437" s="11"/>
      <c r="K437" s="24">
        <f>IFERROR(__xludf.DUMMYFUNCTION("""COMPUTED_VALUE"""),45152)</f>
        <v>45152</v>
      </c>
      <c r="L437" s="11"/>
      <c r="M437" s="28" t="str">
        <f>IFERROR(__xludf.DUMMYFUNCTION("""COMPUTED_VALUE"""),"3355-6687")</f>
        <v>3355-6687</v>
      </c>
      <c r="N437" s="11" t="str">
        <f>IFERROR(__xludf.DUMMYFUNCTION("""COMPUTED_VALUE"""),"drmarcos.al@gmail.com")</f>
        <v>drmarcos.al@gmail.com</v>
      </c>
      <c r="O437" s="29">
        <f>IFERROR(__xludf.DUMMYFUNCTION("""COMPUTED_VALUE"""),22522328468)</f>
        <v>22522328468</v>
      </c>
      <c r="P437" s="30" t="str">
        <f>IFERROR(__xludf.DUMMYFUNCTION("""COMPUTED_VALUE"""),"122960989180009")</f>
        <v>122960989180009</v>
      </c>
      <c r="Q437" s="30" t="str">
        <f>IFERROR(__xludf.DUMMYFUNCTION("""COMPUTED_VALUE"""),"3007995")</f>
        <v>3007995</v>
      </c>
      <c r="R437" s="30" t="str">
        <f>IFERROR(__xludf.DUMMYFUNCTION("""COMPUTED_VALUE"""),"0000154954")</f>
        <v>0000154954</v>
      </c>
      <c r="S437" s="30" t="str">
        <f>IFERROR(__xludf.DUMMYFUNCTION("""COMPUTED_VALUE"""),"1")</f>
        <v>1</v>
      </c>
      <c r="T437" s="30" t="str">
        <f>IFERROR(__xludf.DUMMYFUNCTION("""COMPUTED_VALUE"""),"225142")</f>
        <v>225142</v>
      </c>
      <c r="U437" s="31" t="str">
        <f>IFERROR(__xludf.DUMMYFUNCTION("""COMPUTED_VALUE"""),"2251")</f>
        <v>2251</v>
      </c>
      <c r="V437" s="11"/>
      <c r="W437" s="11"/>
      <c r="X437" s="11">
        <f>IFERROR(__xludf.DUMMYFUNCTION("""COMPUTED_VALUE"""),99865699)</f>
        <v>99865699</v>
      </c>
      <c r="Y437" s="11">
        <f>IFERROR(__xludf.DUMMYFUNCTION("""COMPUTED_VALUE"""),32656754)</f>
        <v>32656754</v>
      </c>
      <c r="Z437" s="11">
        <f>IFERROR(__xludf.DUMMYFUNCTION("""COMPUTED_VALUE"""),22522328468)</f>
        <v>22522328468</v>
      </c>
    </row>
    <row r="438" customHeight="1" spans="1:26">
      <c r="A438" s="11" t="str">
        <f>IFERROR(__xludf.DUMMYFUNCTION("""COMPUTED_VALUE"""),"SANDRA KARLA DE AGUIAR FIALHO")</f>
        <v>SANDRA KARLA DE AGUIAR FIALHO</v>
      </c>
      <c r="B438" s="11"/>
      <c r="C438" s="11"/>
      <c r="D438" s="11" t="str">
        <f>IFERROR(__xludf.DUMMYFUNCTION("""COMPUTED_VALUE"""),"Enfermeira eSF")</f>
        <v>Enfermeira eSF</v>
      </c>
      <c r="E438" s="11" t="str">
        <f>IFERROR(__xludf.DUMMYFUNCTION("""COMPUTED_VALUE"""),"II")</f>
        <v>II</v>
      </c>
      <c r="F438" s="11" t="str">
        <f>IFERROR(__xludf.DUMMYFUNCTION("""COMPUTED_VALUE"""),"US_222 USF CORREGO DO CURIO")</f>
        <v>US_222 USF CORREGO DO CURIO</v>
      </c>
      <c r="G438" s="11" t="str">
        <f>IFERROR(__xludf.DUMMYFUNCTION("""COMPUTED_VALUE"""),"US 222 USF CORREGO DO CURIO")</f>
        <v>US 222 USF CORREGO DO CURIO</v>
      </c>
      <c r="H438" s="27">
        <f>IFERROR(__xludf.DUMMYFUNCTION("""COMPUTED_VALUE"""),81986978979)</f>
        <v>81986978979</v>
      </c>
      <c r="I438" s="27">
        <f>IFERROR(__xludf.DUMMYFUNCTION("""COMPUTED_VALUE"""),81999820285)</f>
        <v>81999820285</v>
      </c>
      <c r="J438" s="11"/>
      <c r="K438" s="11"/>
      <c r="L438" s="11"/>
      <c r="M438" s="28" t="str">
        <f>IFERROR(__xludf.DUMMYFUNCTION("""COMPUTED_VALUE"""),"3355-4665")</f>
        <v>3355-4665</v>
      </c>
      <c r="N438" s="11" t="str">
        <f>IFERROR(__xludf.DUMMYFUNCTION("""COMPUTED_VALUE"""),"sandrakarla@yahoo.com.br")</f>
        <v>sandrakarla@yahoo.com.br</v>
      </c>
      <c r="O438" s="29">
        <f>IFERROR(__xludf.DUMMYFUNCTION("""COMPUTED_VALUE"""),2604466457)</f>
        <v>2604466457</v>
      </c>
      <c r="P438" s="30" t="str">
        <f>IFERROR(__xludf.DUMMYFUNCTION("""COMPUTED_VALUE"""),"980016277794049")</f>
        <v>980016277794049</v>
      </c>
      <c r="Q438" s="30" t="str">
        <f>IFERROR(__xludf.DUMMYFUNCTION("""COMPUTED_VALUE"""),"0020648")</f>
        <v>0020648</v>
      </c>
      <c r="R438" s="30" t="str">
        <f>IFERROR(__xludf.DUMMYFUNCTION("""COMPUTED_VALUE"""),"0000153532")</f>
        <v>0000153532</v>
      </c>
      <c r="S438" s="30" t="str">
        <f>IFERROR(__xludf.DUMMYFUNCTION("""COMPUTED_VALUE"""),"1")</f>
        <v>1</v>
      </c>
      <c r="T438" s="30" t="str">
        <f>IFERROR(__xludf.DUMMYFUNCTION("""COMPUTED_VALUE"""),"223565")</f>
        <v>223565</v>
      </c>
      <c r="U438" s="31" t="str">
        <f>IFERROR(__xludf.DUMMYFUNCTION("""COMPUTED_VALUE"""),"2235")</f>
        <v>2235</v>
      </c>
      <c r="V438" s="11"/>
      <c r="W438" s="11">
        <f>IFERROR(__xludf.DUMMYFUNCTION("""COMPUTED_VALUE"""),86978979)</f>
        <v>86978979</v>
      </c>
      <c r="X438" s="11">
        <f>IFERROR(__xludf.DUMMYFUNCTION("""COMPUTED_VALUE"""),99820285)</f>
        <v>99820285</v>
      </c>
      <c r="Y438" s="11">
        <f>IFERROR(__xludf.DUMMYFUNCTION("""COMPUTED_VALUE"""),2604466457)</f>
        <v>2604466457</v>
      </c>
      <c r="Z438" s="11"/>
    </row>
    <row r="439" customHeight="1" spans="1:26">
      <c r="A439" s="11" t="str">
        <f>IFERROR(__xludf.DUMMYFUNCTION("""COMPUTED_VALUE"""),"SANDRA SOUTO GARCIA LAVALLE")</f>
        <v>SANDRA SOUTO GARCIA LAVALLE</v>
      </c>
      <c r="B439" s="11"/>
      <c r="C439" s="11"/>
      <c r="D439" s="11" t="str">
        <f>IFERROR(__xludf.DUMMYFUNCTION("""COMPUTED_VALUE"""),"Dentista")</f>
        <v>Dentista</v>
      </c>
      <c r="E439" s="11" t="str">
        <f>IFERROR(__xludf.DUMMYFUNCTION("""COMPUTED_VALUE"""),"IV")</f>
        <v>IV</v>
      </c>
      <c r="F439" s="11" t="str">
        <f>IFERROR(__xludf.DUMMYFUNCTION("""COMPUTED_VALUE"""),"US_169 POLICLINICA AMAURY COUTINHO")</f>
        <v>US_169 POLICLINICA AMAURY COUTINHO</v>
      </c>
      <c r="G439" s="11" t="str">
        <f>IFERROR(__xludf.DUMMYFUNCTION("""COMPUTED_VALUE"""),"US 442 USF UPINHA DIA SANTA LUZIA EMOCY KRAUSE")</f>
        <v>US 442 USF UPINHA DIA SANTA LUZIA EMOCY KRAUSE</v>
      </c>
      <c r="H439" s="27">
        <f>IFERROR(__xludf.DUMMYFUNCTION("""COMPUTED_VALUE"""),81991974103)</f>
        <v>81991974103</v>
      </c>
      <c r="I439" s="11"/>
      <c r="J439" s="11"/>
      <c r="K439" s="11"/>
      <c r="L439" s="11"/>
      <c r="M439" s="28" t="str">
        <f>IFERROR(__xludf.DUMMYFUNCTION("""COMPUTED_VALUE"""),"3355-1816/1850/1834")</f>
        <v>3355-1816/1850/1834</v>
      </c>
      <c r="N439" s="11" t="str">
        <f>IFERROR(__xludf.DUMMYFUNCTION("""COMPUTED_VALUE"""),"sandralavalle22@gmail.com")</f>
        <v>sandralavalle22@gmail.com</v>
      </c>
      <c r="O439" s="29">
        <f>IFERROR(__xludf.DUMMYFUNCTION("""COMPUTED_VALUE"""),61995819468)</f>
        <v>61995819468</v>
      </c>
      <c r="P439" s="30" t="str">
        <f>IFERROR(__xludf.DUMMYFUNCTION("""COMPUTED_VALUE"""),"122278824860007	")</f>
        <v>122278824860007	</v>
      </c>
      <c r="Q439" s="30" t="str">
        <f>IFERROR(__xludf.DUMMYFUNCTION("""COMPUTED_VALUE"""),"9069569")</f>
        <v>9069569</v>
      </c>
      <c r="R439" s="30" t="str">
        <f>IFERROR(__xludf.DUMMYFUNCTION("""COMPUTED_VALUE"""),"0000155411")</f>
        <v>0000155411</v>
      </c>
      <c r="S439" s="30" t="str">
        <f>IFERROR(__xludf.DUMMYFUNCTION("""COMPUTED_VALUE"""),"1")</f>
        <v>1</v>
      </c>
      <c r="T439" s="30" t="str">
        <f>IFERROR(__xludf.DUMMYFUNCTION("""COMPUTED_VALUE"""),"223293")</f>
        <v>223293</v>
      </c>
      <c r="U439" s="31">
        <f>IFERROR(__xludf.DUMMYFUNCTION("""COMPUTED_VALUE"""),2232)</f>
        <v>2232</v>
      </c>
      <c r="V439" s="11"/>
      <c r="W439" s="11"/>
      <c r="X439" s="11"/>
      <c r="Y439" s="11"/>
      <c r="Z439" s="11"/>
    </row>
    <row r="440" customHeight="1" spans="1:26">
      <c r="A440" s="11" t="str">
        <f>IFERROR(__xludf.DUMMYFUNCTION("""COMPUTED_VALUE"""),"ANA REGINA BURGOS DO NASCIMENTO")</f>
        <v>ANA REGINA BURGOS DO NASCIMENTO</v>
      </c>
      <c r="B440" s="11"/>
      <c r="C440" s="11"/>
      <c r="D440" s="11" t="str">
        <f>IFERROR(__xludf.DUMMYFUNCTION("""COMPUTED_VALUE"""),"Médica eSF")</f>
        <v>Médica eSF</v>
      </c>
      <c r="E440" s="11" t="str">
        <f>IFERROR(__xludf.DUMMYFUNCTION("""COMPUTED_VALUE"""),"IV")</f>
        <v>IV</v>
      </c>
      <c r="F440" s="11" t="str">
        <f>IFERROR(__xludf.DUMMYFUNCTION("""COMPUTED_VALUE"""),"US_331 USF PROF AMAURY DE MEDEIROS")</f>
        <v>US_331 USF PROF AMAURY DE MEDEIROS</v>
      </c>
      <c r="G440" s="11" t="str">
        <f>IFERROR(__xludf.DUMMYFUNCTION("""COMPUTED_VALUE"""),"US 331 USF PROF AMAURY DE MEDEIROS")</f>
        <v>US 331 USF PROF AMAURY DE MEDEIROS</v>
      </c>
      <c r="H440" s="27">
        <f>IFERROR(__xludf.DUMMYFUNCTION("""COMPUTED_VALUE"""),81971033316)</f>
        <v>81971033316</v>
      </c>
      <c r="I440" s="11"/>
      <c r="J440" s="11"/>
      <c r="K440" s="11"/>
      <c r="L440" s="11"/>
      <c r="M440" s="28" t="str">
        <f>IFERROR(__xludf.DUMMYFUNCTION("""COMPUTED_VALUE"""),"3355-0308/0309")</f>
        <v>3355-0308/0309</v>
      </c>
      <c r="N440" s="11" t="str">
        <f>IFERROR(__xludf.DUMMYFUNCTION("""COMPUTED_VALUE"""),"anareginaburgos@gmail.com")</f>
        <v>anareginaburgos@gmail.com</v>
      </c>
      <c r="O440" s="29">
        <f>IFERROR(__xludf.DUMMYFUNCTION("""COMPUTED_VALUE"""),5972498499)</f>
        <v>5972498499</v>
      </c>
      <c r="P440" s="30" t="str">
        <f>IFERROR(__xludf.DUMMYFUNCTION("""COMPUTED_VALUE"""),"700203419706920")</f>
        <v>700203419706920</v>
      </c>
      <c r="Q440" s="30" t="str">
        <f>IFERROR(__xludf.DUMMYFUNCTION("""COMPUTED_VALUE"""),"3703223")</f>
        <v>3703223</v>
      </c>
      <c r="R440" s="30" t="str">
        <f>IFERROR(__xludf.DUMMYFUNCTION("""COMPUTED_VALUE"""),"0000155705")</f>
        <v>0000155705</v>
      </c>
      <c r="S440" s="30" t="str">
        <f>IFERROR(__xludf.DUMMYFUNCTION("""COMPUTED_VALUE"""),"1")</f>
        <v>1</v>
      </c>
      <c r="T440" s="30" t="str">
        <f>IFERROR(__xludf.DUMMYFUNCTION("""COMPUTED_VALUE"""),"225142")</f>
        <v>225142</v>
      </c>
      <c r="U440" s="31" t="str">
        <f>IFERROR(__xludf.DUMMYFUNCTION("""COMPUTED_VALUE"""),"2251")</f>
        <v>2251</v>
      </c>
      <c r="V440" s="11" t="str">
        <f>IFERROR(__xludf.DUMMYFUNCTION("""COMPUTED_VALUE"""),"SIM")</f>
        <v>SIM</v>
      </c>
      <c r="W440" s="11"/>
      <c r="X440" s="11" t="str">
        <f>IFERROR(__xludf.DUMMYFUNCTION("""COMPUTED_VALUE"""),"#N/A")</f>
        <v>#N/A</v>
      </c>
      <c r="Y440" s="11" t="str">
        <f>IFERROR(__xludf.DUMMYFUNCTION("""COMPUTED_VALUE"""),"#N/A")</f>
        <v>#N/A</v>
      </c>
      <c r="Z440" s="11" t="str">
        <f>IFERROR(__xludf.DUMMYFUNCTION("""COMPUTED_VALUE"""),"#N/A")</f>
        <v>#N/A</v>
      </c>
    </row>
    <row r="441" customHeight="1" spans="1:26">
      <c r="A441" s="11" t="str">
        <f>IFERROR(__xludf.DUMMYFUNCTION("""COMPUTED_VALUE"""),"PAULA PEDROSA SOUTO MAIOR")</f>
        <v>PAULA PEDROSA SOUTO MAIOR</v>
      </c>
      <c r="B441" s="11"/>
      <c r="C441" s="11"/>
      <c r="D441" s="11" t="str">
        <f>IFERROR(__xludf.DUMMYFUNCTION("""COMPUTED_VALUE"""),"Enfermeira eSF")</f>
        <v>Enfermeira eSF</v>
      </c>
      <c r="E441" s="11" t="str">
        <f>IFERROR(__xludf.DUMMYFUNCTION("""COMPUTED_VALUE"""),"III")</f>
        <v>III</v>
      </c>
      <c r="F441" s="11" t="str">
        <f>IFERROR(__xludf.DUMMYFUNCTION("""COMPUTED_VALUE"""),"US_182 UPINHA UNIDADE DE SAUDE DA FAMILIA PADRE JOSE EDWALDO GOMES")</f>
        <v>US_182 UPINHA UNIDADE DE SAUDE DA FAMILIA PADRE JOSE EDWALDO GOMES</v>
      </c>
      <c r="G441" s="11" t="str">
        <f>IFERROR(__xludf.DUMMYFUNCTION("""COMPUTED_VALUE"""),"US 249 USF SANTANA")</f>
        <v>US 249 USF SANTANA</v>
      </c>
      <c r="H441" s="27">
        <f>IFERROR(__xludf.DUMMYFUNCTION("""COMPUTED_VALUE"""),81996070106)</f>
        <v>81996070106</v>
      </c>
      <c r="I441" s="27">
        <f>IFERROR(__xludf.DUMMYFUNCTION("""COMPUTED_VALUE"""),81991667801)</f>
        <v>81991667801</v>
      </c>
      <c r="J441" s="11"/>
      <c r="K441" s="11"/>
      <c r="L441" s="11"/>
      <c r="M441" s="28" t="str">
        <f>IFERROR(__xludf.DUMMYFUNCTION("""COMPUTED_VALUE"""),"3355-6222")</f>
        <v>3355-6222</v>
      </c>
      <c r="N441" s="11" t="str">
        <f>IFERROR(__xludf.DUMMYFUNCTION("""COMPUTED_VALUE"""),"ppsmcorreia@gmail.com")</f>
        <v>ppsmcorreia@gmail.com</v>
      </c>
      <c r="O441" s="29">
        <f>IFERROR(__xludf.DUMMYFUNCTION("""COMPUTED_VALUE"""),66723310420)</f>
        <v>66723310420</v>
      </c>
      <c r="P441" s="30" t="str">
        <f>IFERROR(__xludf.DUMMYFUNCTION("""COMPUTED_VALUE"""),"203426922530008")</f>
        <v>203426922530008</v>
      </c>
      <c r="Q441" s="30" t="str">
        <f>IFERROR(__xludf.DUMMYFUNCTION("""COMPUTED_VALUE"""),"0022284")</f>
        <v>0022284</v>
      </c>
      <c r="R441" s="30" t="str">
        <f>IFERROR(__xludf.DUMMYFUNCTION("""COMPUTED_VALUE"""),"0000153745")</f>
        <v>0000153745</v>
      </c>
      <c r="S441" s="30" t="str">
        <f>IFERROR(__xludf.DUMMYFUNCTION("""COMPUTED_VALUE"""),"1")</f>
        <v>1</v>
      </c>
      <c r="T441" s="30" t="str">
        <f>IFERROR(__xludf.DUMMYFUNCTION("""COMPUTED_VALUE"""),"223565")</f>
        <v>223565</v>
      </c>
      <c r="U441" s="31" t="str">
        <f>IFERROR(__xludf.DUMMYFUNCTION("""COMPUTED_VALUE"""),"2235")</f>
        <v>2235</v>
      </c>
      <c r="V441" s="11"/>
      <c r="W441" s="11">
        <f>IFERROR(__xludf.DUMMYFUNCTION("""COMPUTED_VALUE"""),32679749)</f>
        <v>32679749</v>
      </c>
      <c r="X441" s="11">
        <f>IFERROR(__xludf.DUMMYFUNCTION("""COMPUTED_VALUE"""),96070106)</f>
        <v>96070106</v>
      </c>
      <c r="Y441" s="11">
        <f>IFERROR(__xludf.DUMMYFUNCTION("""COMPUTED_VALUE"""),66723310420)</f>
        <v>66723310420</v>
      </c>
      <c r="Z441" s="11"/>
    </row>
    <row r="442" customHeight="1" spans="1:26">
      <c r="A442" s="11" t="str">
        <f>IFERROR(__xludf.DUMMYFUNCTION("""COMPUTED_VALUE"""),"Amanda Costa de Sousa")</f>
        <v>Amanda Costa de Sousa</v>
      </c>
      <c r="B442" s="11"/>
      <c r="C442" s="11"/>
      <c r="D442" s="11" t="str">
        <f>IFERROR(__xludf.DUMMYFUNCTION("""COMPUTED_VALUE"""),"Enfermeira eSF")</f>
        <v>Enfermeira eSF</v>
      </c>
      <c r="E442" s="11" t="str">
        <f>IFERROR(__xludf.DUMMYFUNCTION("""COMPUTED_VALUE"""),"VII")</f>
        <v>VII</v>
      </c>
      <c r="F442" s="11" t="str">
        <f>IFERROR(__xludf.DUMMYFUNCTION("""COMPUTED_VALUE"""),"US_376 POLICLINICA SALOMAO KELNER")</f>
        <v>US_376 POLICLINICA SALOMAO KELNER</v>
      </c>
      <c r="G442" s="11" t="str">
        <f>IFERROR(__xludf.DUMMYFUNCTION("""COMPUTED_VALUE"""),"US_376 POLICLINICA SALOMAO KELNER")</f>
        <v>US_376 POLICLINICA SALOMAO KELNER</v>
      </c>
      <c r="H442" s="27">
        <f>IFERROR(__xludf.DUMMYFUNCTION("""COMPUTED_VALUE"""),81994285163)</f>
        <v>81994285163</v>
      </c>
      <c r="I442" s="11"/>
      <c r="J442" s="11"/>
      <c r="K442" s="11"/>
      <c r="L442" s="11"/>
      <c r="M442" s="11"/>
      <c r="N442" s="11" t="str">
        <f>IFERROR(__xludf.DUMMYFUNCTION("""COMPUTED_VALUE"""),"amandacsousa@gmail.com")</f>
        <v>amandacsousa@gmail.com</v>
      </c>
      <c r="O442" s="11"/>
      <c r="P442" s="11"/>
      <c r="Q442" s="11"/>
      <c r="R442" s="11"/>
      <c r="S442" s="11"/>
      <c r="T442" s="11"/>
      <c r="U442" s="11"/>
      <c r="V442" s="11"/>
      <c r="W442" s="11"/>
      <c r="X442" s="11"/>
      <c r="Y442" s="11"/>
      <c r="Z442" s="11"/>
    </row>
    <row r="443" customHeight="1" spans="1:26">
      <c r="A443" s="11" t="str">
        <f>IFERROR(__xludf.DUMMYFUNCTION("""COMPUTED_VALUE"""),"VIDIANA GUERRA LARANJEIRA 288")</f>
        <v>VIDIANA GUERRA LARANJEIRA 288</v>
      </c>
      <c r="B443" s="11"/>
      <c r="C443" s="11"/>
      <c r="D443" s="11" t="str">
        <f>IFERROR(__xludf.DUMMYFUNCTION("""COMPUTED_VALUE"""),"Médica eSF")</f>
        <v>Médica eSF</v>
      </c>
      <c r="E443" s="11" t="str">
        <f>IFERROR(__xludf.DUMMYFUNCTION("""COMPUTED_VALUE"""),"VII")</f>
        <v>VII</v>
      </c>
      <c r="F443" s="11" t="str">
        <f>IFERROR(__xludf.DUMMYFUNCTION("""COMPUTED_VALUE"""),"US_376 POLICLINICA SALOMAO KELNER")</f>
        <v>US_376 POLICLINICA SALOMAO KELNER</v>
      </c>
      <c r="G443" s="11" t="str">
        <f>IFERROR(__xludf.DUMMYFUNCTION("""COMPUTED_VALUE"""),"US 288 USF MORRO DA CONCEICAO")</f>
        <v>US 288 USF MORRO DA CONCEICAO</v>
      </c>
      <c r="H443" s="27">
        <f>IFERROR(__xludf.DUMMYFUNCTION("""COMPUTED_VALUE"""),81999049333)</f>
        <v>81999049333</v>
      </c>
      <c r="I443" s="11"/>
      <c r="J443" s="11"/>
      <c r="K443" s="11"/>
      <c r="L443" s="11"/>
      <c r="M443" s="28" t="str">
        <f>IFERROR(__xludf.DUMMYFUNCTION("""COMPUTED_VALUE"""),"3355-4696")</f>
        <v>3355-4696</v>
      </c>
      <c r="N443" s="11" t="str">
        <f>IFERROR(__xludf.DUMMYFUNCTION("""COMPUTED_VALUE"""),"vidianalaranjeiras@hotmail.com")</f>
        <v>vidianalaranjeiras@hotmail.com</v>
      </c>
      <c r="O443" s="29">
        <f>IFERROR(__xludf.DUMMYFUNCTION("""COMPUTED_VALUE"""),69546290491)</f>
        <v>69546290491</v>
      </c>
      <c r="P443" s="30" t="str">
        <f>IFERROR(__xludf.DUMMYFUNCTION("""COMPUTED_VALUE"""),"206273005740005")</f>
        <v>206273005740005</v>
      </c>
      <c r="Q443" s="30" t="str">
        <f>IFERROR(__xludf.DUMMYFUNCTION("""COMPUTED_VALUE"""),"0028061")</f>
        <v>0028061</v>
      </c>
      <c r="R443" s="30" t="str">
        <f>IFERROR(__xludf.DUMMYFUNCTION("""COMPUTED_VALUE"""),"0000154458")</f>
        <v>0000154458</v>
      </c>
      <c r="S443" s="30" t="str">
        <f>IFERROR(__xludf.DUMMYFUNCTION("""COMPUTED_VALUE"""),"1")</f>
        <v>1</v>
      </c>
      <c r="T443" s="30" t="str">
        <f>IFERROR(__xludf.DUMMYFUNCTION("""COMPUTED_VALUE"""),"225142")</f>
        <v>225142</v>
      </c>
      <c r="U443" s="31" t="str">
        <f>IFERROR(__xludf.DUMMYFUNCTION("""COMPUTED_VALUE"""),"2251")</f>
        <v>2251</v>
      </c>
      <c r="V443" s="11" t="str">
        <f>IFERROR(__xludf.DUMMYFUNCTION("""COMPUTED_VALUE"""),"SIM")</f>
        <v>SIM</v>
      </c>
      <c r="W443" s="11"/>
      <c r="X443" s="11" t="str">
        <f>IFERROR(__xludf.DUMMYFUNCTION("""COMPUTED_VALUE"""),"#N/A")</f>
        <v>#N/A</v>
      </c>
      <c r="Y443" s="11" t="str">
        <f>IFERROR(__xludf.DUMMYFUNCTION("""COMPUTED_VALUE"""),"#N/A")</f>
        <v>#N/A</v>
      </c>
      <c r="Z443" s="11" t="str">
        <f>IFERROR(__xludf.DUMMYFUNCTION("""COMPUTED_VALUE"""),"#N/A")</f>
        <v>#N/A</v>
      </c>
    </row>
    <row r="444" customHeight="1" spans="1:26">
      <c r="A444" s="11" t="str">
        <f>IFERROR(__xludf.DUMMYFUNCTION("""COMPUTED_VALUE"""),"VIDIANA GUERRA LARANJEIRA 397")</f>
        <v>VIDIANA GUERRA LARANJEIRA 397</v>
      </c>
      <c r="B444" s="11" t="str">
        <f>IFERROR(__xludf.DUMMYFUNCTION("""COMPUTED_VALUE"""),"Inativa, trocou da unidade 397 para 272 em junho de 2021")</f>
        <v>Inativa, trocou da unidade 397 para 272 em junho de 2021</v>
      </c>
      <c r="C444" s="11"/>
      <c r="D444" s="11" t="str">
        <f>IFERROR(__xludf.DUMMYFUNCTION("""COMPUTED_VALUE"""),"Médica eSF")</f>
        <v>Médica eSF</v>
      </c>
      <c r="E444" s="11" t="str">
        <f>IFERROR(__xludf.DUMMYFUNCTION("""COMPUTED_VALUE"""),"VII")</f>
        <v>VII</v>
      </c>
      <c r="F444" s="11" t="str">
        <f>IFERROR(__xludf.DUMMYFUNCTION("""COMPUTED_VALUE"""),"US_376 POLICLINICA SALOMAO KELNER")</f>
        <v>US_376 POLICLINICA SALOMAO KELNER</v>
      </c>
      <c r="G444" s="11" t="str">
        <f>IFERROR(__xludf.DUMMYFUNCTION("""COMPUTED_VALUE"""),"US 397 USF UPINHA DIA CORREGO DO EUCLIDES")</f>
        <v>US 397 USF UPINHA DIA CORREGO DO EUCLIDES</v>
      </c>
      <c r="H444" s="27">
        <f>IFERROR(__xludf.DUMMYFUNCTION("""COMPUTED_VALUE"""),81999049333)</f>
        <v>81999049333</v>
      </c>
      <c r="I444" s="11"/>
      <c r="J444" s="11"/>
      <c r="K444" s="11"/>
      <c r="L444" s="11"/>
      <c r="M444" s="28" t="str">
        <f>IFERROR(__xludf.DUMMYFUNCTION("""COMPUTED_VALUE"""),"3355-6037")</f>
        <v>3355-6037</v>
      </c>
      <c r="N444" s="11" t="str">
        <f>IFERROR(__xludf.DUMMYFUNCTION("""COMPUTED_VALUE"""),"vidianalaranjeiras@hotmail.com")</f>
        <v>vidianalaranjeiras@hotmail.com</v>
      </c>
      <c r="O444" s="29">
        <f>IFERROR(__xludf.DUMMYFUNCTION("""COMPUTED_VALUE"""),69546290491)</f>
        <v>69546290491</v>
      </c>
      <c r="P444" s="30" t="str">
        <f>IFERROR(__xludf.DUMMYFUNCTION("""COMPUTED_VALUE"""),"206273005740005")</f>
        <v>206273005740005</v>
      </c>
      <c r="Q444" s="30" t="str">
        <f>IFERROR(__xludf.DUMMYFUNCTION("""COMPUTED_VALUE"""),"7563736")</f>
        <v>7563736</v>
      </c>
      <c r="R444" s="11"/>
      <c r="S444" s="30" t="str">
        <f>IFERROR(__xludf.DUMMYFUNCTION("""COMPUTED_VALUE"""),"1")</f>
        <v>1</v>
      </c>
      <c r="T444" s="30" t="str">
        <f>IFERROR(__xludf.DUMMYFUNCTION("""COMPUTED_VALUE"""),"225142")</f>
        <v>225142</v>
      </c>
      <c r="U444" s="31" t="str">
        <f>IFERROR(__xludf.DUMMYFUNCTION("""COMPUTED_VALUE"""),"2251")</f>
        <v>2251</v>
      </c>
      <c r="V444" s="11"/>
      <c r="W444" s="11"/>
      <c r="X444" s="11"/>
      <c r="Y444" s="11"/>
      <c r="Z444" s="11"/>
    </row>
    <row r="445" customHeight="1" spans="1:26">
      <c r="A445" s="11" t="str">
        <f>IFERROR(__xludf.DUMMYFUNCTION("""COMPUTED_VALUE"""),"HENRIQUE EDUARDO ARAUJO PALHARES")</f>
        <v>HENRIQUE EDUARDO ARAUJO PALHARES</v>
      </c>
      <c r="B445" s="11"/>
      <c r="C445" s="11"/>
      <c r="D445" s="11" t="str">
        <f>IFERROR(__xludf.DUMMYFUNCTION("""COMPUTED_VALUE"""),"Médico eSF")</f>
        <v>Médico eSF</v>
      </c>
      <c r="E445" s="11" t="str">
        <f>IFERROR(__xludf.DUMMYFUNCTION("""COMPUTED_VALUE"""),"II")</f>
        <v>II</v>
      </c>
      <c r="F445" s="11" t="str">
        <f>IFERROR(__xludf.DUMMYFUNCTION("""COMPUTED_VALUE"""),"US_328 USF ALTO DO MARACANA	")</f>
        <v>US_328 USF ALTO DO MARACANA	</v>
      </c>
      <c r="G445" s="11" t="str">
        <f>IFERROR(__xludf.DUMMYFUNCTION("""COMPUTED_VALUE"""),"US 328 USF ALTO DO MARACANA")</f>
        <v>US 328 USF ALTO DO MARACANA</v>
      </c>
      <c r="H445" s="27">
        <f>IFERROR(__xludf.DUMMYFUNCTION("""COMPUTED_VALUE"""),81996325311)</f>
        <v>81996325311</v>
      </c>
      <c r="I445" s="11"/>
      <c r="J445" s="11"/>
      <c r="K445" s="11"/>
      <c r="L445" s="11"/>
      <c r="M445" s="28" t="str">
        <f>IFERROR(__xludf.DUMMYFUNCTION("""COMPUTED_VALUE"""),"3355-6972")</f>
        <v>3355-6972</v>
      </c>
      <c r="N445" s="11" t="str">
        <f>IFERROR(__xludf.DUMMYFUNCTION("""COMPUTED_VALUE"""),"henriquepalhares@yahoo.com.br")</f>
        <v>henriquepalhares@yahoo.com.br</v>
      </c>
      <c r="O445" s="29">
        <f>IFERROR(__xludf.DUMMYFUNCTION("""COMPUTED_VALUE"""),89696301472)</f>
        <v>89696301472</v>
      </c>
      <c r="P445" s="30" t="str">
        <f>IFERROR(__xludf.DUMMYFUNCTION("""COMPUTED_VALUE"""),"980016000912965")</f>
        <v>980016000912965</v>
      </c>
      <c r="Q445" s="30" t="str">
        <f>IFERROR(__xludf.DUMMYFUNCTION("""COMPUTED_VALUE"""),"3567826")</f>
        <v>3567826</v>
      </c>
      <c r="R445" s="30" t="str">
        <f>IFERROR(__xludf.DUMMYFUNCTION("""COMPUTED_VALUE"""),"0000155608")</f>
        <v>0000155608</v>
      </c>
      <c r="S445" s="30" t="str">
        <f>IFERROR(__xludf.DUMMYFUNCTION("""COMPUTED_VALUE"""),"1")</f>
        <v>1</v>
      </c>
      <c r="T445" s="30" t="str">
        <f>IFERROR(__xludf.DUMMYFUNCTION("""COMPUTED_VALUE"""),"225142")</f>
        <v>225142</v>
      </c>
      <c r="U445" s="11">
        <f>IFERROR(__xludf.DUMMYFUNCTION("""COMPUTED_VALUE"""),2251)</f>
        <v>2251</v>
      </c>
      <c r="V445" s="11" t="str">
        <f>IFERROR(__xludf.DUMMYFUNCTION("""COMPUTED_VALUE"""),"SIM")</f>
        <v>SIM</v>
      </c>
      <c r="W445" s="11"/>
      <c r="X445" s="11">
        <f>IFERROR(__xludf.DUMMYFUNCTION("""COMPUTED_VALUE"""),32682740)</f>
        <v>32682740</v>
      </c>
      <c r="Y445" s="11">
        <f>IFERROR(__xludf.DUMMYFUNCTION("""COMPUTED_VALUE"""),96325311)</f>
        <v>96325311</v>
      </c>
      <c r="Z445" s="11">
        <f>IFERROR(__xludf.DUMMYFUNCTION("""COMPUTED_VALUE"""),89696301472)</f>
        <v>89696301472</v>
      </c>
    </row>
    <row r="446" customHeight="1" spans="1:26">
      <c r="A446" s="11" t="str">
        <f>IFERROR(__xludf.DUMMYFUNCTION("""COMPUTED_VALUE"""),"RITA DE CASSIA CARNEIRO DE SA")</f>
        <v>RITA DE CASSIA CARNEIRO DE SA</v>
      </c>
      <c r="B446" s="11"/>
      <c r="C446" s="11"/>
      <c r="D446" s="11" t="str">
        <f>IFERROR(__xludf.DUMMYFUNCTION("""COMPUTED_VALUE"""),"Enfermeira eSF")</f>
        <v>Enfermeira eSF</v>
      </c>
      <c r="E446" s="11" t="str">
        <f>IFERROR(__xludf.DUMMYFUNCTION("""COMPUTED_VALUE"""),"VII")</f>
        <v>VII</v>
      </c>
      <c r="F446" s="11" t="str">
        <f>IFERROR(__xludf.DUMMYFUNCTION("""COMPUTED_VALUE"""),"SEDE DISTRITO SANITARIO VII")</f>
        <v>SEDE DISTRITO SANITARIO VII</v>
      </c>
      <c r="G446" s="11" t="str">
        <f>IFERROR(__xludf.DUMMYFUNCTION("""COMPUTED_VALUE"""),"US 231 USF CORREGO DA BICA")</f>
        <v>US 231 USF CORREGO DA BICA</v>
      </c>
      <c r="H446" s="27">
        <f>IFERROR(__xludf.DUMMYFUNCTION("""COMPUTED_VALUE"""),81995229267)</f>
        <v>81995229267</v>
      </c>
      <c r="I446" s="11"/>
      <c r="J446" s="11"/>
      <c r="K446" s="11"/>
      <c r="L446" s="11"/>
      <c r="M446" s="28" t="str">
        <f>IFERROR(__xludf.DUMMYFUNCTION("""COMPUTED_VALUE"""),"3355-6115")</f>
        <v>3355-6115</v>
      </c>
      <c r="N446" s="11" t="str">
        <f>IFERROR(__xludf.DUMMYFUNCTION("""COMPUTED_VALUE"""),"cassia.sa57@gmail.com")</f>
        <v>cassia.sa57@gmail.com</v>
      </c>
      <c r="O446" s="29">
        <f>IFERROR(__xludf.DUMMYFUNCTION("""COMPUTED_VALUE"""),74567187768)</f>
        <v>74567187768</v>
      </c>
      <c r="P446" s="30" t="str">
        <f>IFERROR(__xludf.DUMMYFUNCTION("""COMPUTED_VALUE"""),"120957110350005")</f>
        <v>120957110350005</v>
      </c>
      <c r="Q446" s="30" t="str">
        <f>IFERROR(__xludf.DUMMYFUNCTION("""COMPUTED_VALUE"""),"0022276")</f>
        <v>0022276</v>
      </c>
      <c r="R446" s="30" t="str">
        <f>IFERROR(__xludf.DUMMYFUNCTION("""COMPUTED_VALUE"""),"0000153710")</f>
        <v>0000153710</v>
      </c>
      <c r="S446" s="30" t="str">
        <f>IFERROR(__xludf.DUMMYFUNCTION("""COMPUTED_VALUE"""),"1")</f>
        <v>1</v>
      </c>
      <c r="T446" s="30" t="str">
        <f>IFERROR(__xludf.DUMMYFUNCTION("""COMPUTED_VALUE"""),"223565")</f>
        <v>223565</v>
      </c>
      <c r="U446" s="31" t="str">
        <f>IFERROR(__xludf.DUMMYFUNCTION("""COMPUTED_VALUE"""),"2235")</f>
        <v>2235</v>
      </c>
      <c r="V446" s="11"/>
      <c r="W446" s="11"/>
      <c r="X446" s="11"/>
      <c r="Y446" s="11"/>
      <c r="Z446" s="11"/>
    </row>
    <row r="447" customHeight="1" spans="1:26">
      <c r="A447" s="11" t="str">
        <f>IFERROR(__xludf.DUMMYFUNCTION("""COMPUTED_VALUE"""),"FLAVIA INOJOSA C DE LIMA")</f>
        <v>FLAVIA INOJOSA C DE LIMA</v>
      </c>
      <c r="B447" s="11"/>
      <c r="C447" s="11"/>
      <c r="D447" s="11" t="str">
        <f>IFERROR(__xludf.DUMMYFUNCTION("""COMPUTED_VALUE"""),"Dentista")</f>
        <v>Dentista</v>
      </c>
      <c r="E447" s="11" t="str">
        <f>IFERROR(__xludf.DUMMYFUNCTION("""COMPUTED_VALUE"""),"VII")</f>
        <v>VII</v>
      </c>
      <c r="F447" s="11" t="str">
        <f>IFERROR(__xludf.DUMMYFUNCTION("""COMPUTED_VALUE"""),"LICENÇA SEM VENCIMENTOS")</f>
        <v>LICENÇA SEM VENCIMENTOS</v>
      </c>
      <c r="G447" s="11" t="str">
        <f>IFERROR(__xludf.DUMMYFUNCTION("""COMPUTED_VALUE"""),"US 394 USF UPINHA 24H DR MOACYR ANDRE GOMES")</f>
        <v>US 394 USF UPINHA 24H DR MOACYR ANDRE GOMES</v>
      </c>
      <c r="H447" s="27">
        <f>IFERROR(__xludf.DUMMYFUNCTION("""COMPUTED_VALUE"""),81998420991)</f>
        <v>81998420991</v>
      </c>
      <c r="I447" s="11"/>
      <c r="J447" s="11"/>
      <c r="K447" s="11"/>
      <c r="L447" s="11"/>
      <c r="M447" s="28" t="str">
        <f>IFERROR(__xludf.DUMMYFUNCTION("""COMPUTED_VALUE"""),"3355-3393")</f>
        <v>3355-3393</v>
      </c>
      <c r="N447" s="11" t="str">
        <f>IFERROR(__xludf.DUMMYFUNCTION("""COMPUTED_VALUE"""),"flavia.ic.lima@hotmail.com")</f>
        <v>flavia.ic.lima@hotmail.com</v>
      </c>
      <c r="O447" s="29">
        <f>IFERROR(__xludf.DUMMYFUNCTION("""COMPUTED_VALUE"""),82202826491)</f>
        <v>82202826491</v>
      </c>
      <c r="P447" s="30" t="str">
        <f>IFERROR(__xludf.DUMMYFUNCTION("""COMPUTED_VALUE"""),"702302169214311")</f>
        <v>702302169214311</v>
      </c>
      <c r="Q447" s="30" t="str">
        <f>IFERROR(__xludf.DUMMYFUNCTION("""COMPUTED_VALUE"""),"7415788")</f>
        <v>7415788</v>
      </c>
      <c r="R447" s="30" t="str">
        <f>IFERROR(__xludf.DUMMYFUNCTION("""COMPUTED_VALUE"""),"9741578801")</f>
        <v>9741578801</v>
      </c>
      <c r="S447" s="30" t="str">
        <f>IFERROR(__xludf.DUMMYFUNCTION("""COMPUTED_VALUE"""),"1")</f>
        <v>1</v>
      </c>
      <c r="T447" s="30" t="str">
        <f>IFERROR(__xludf.DUMMYFUNCTION("""COMPUTED_VALUE"""),"223293")</f>
        <v>223293</v>
      </c>
      <c r="U447" s="31">
        <f>IFERROR(__xludf.DUMMYFUNCTION("""COMPUTED_VALUE"""),2232)</f>
        <v>2232</v>
      </c>
      <c r="V447" s="11"/>
      <c r="W447" s="11"/>
      <c r="X447" s="11"/>
      <c r="Y447" s="11"/>
      <c r="Z447" s="11"/>
    </row>
    <row r="448" customHeight="1" spans="1:26">
      <c r="A448" s="11" t="str">
        <f>IFERROR(__xludf.DUMMYFUNCTION("""COMPUTED_VALUE"""),"MARIA IVONETE FIGUEIREDO WANDERLEY")</f>
        <v>MARIA IVONETE FIGUEIREDO WANDERLEY</v>
      </c>
      <c r="B448" s="11"/>
      <c r="C448" s="11"/>
      <c r="D448" s="11" t="str">
        <f>IFERROR(__xludf.DUMMYFUNCTION("""COMPUTED_VALUE"""),"Médica eSF")</f>
        <v>Médica eSF</v>
      </c>
      <c r="E448" s="11" t="str">
        <f>IFERROR(__xludf.DUMMYFUNCTION("""COMPUTED_VALUE"""),"VII")</f>
        <v>VII</v>
      </c>
      <c r="F448" s="11" t="str">
        <f>IFERROR(__xludf.DUMMYFUNCTION("""COMPUTED_VALUE"""),"US_352 USF UPINHA 24H DR HELIO MENDONCA COR DO JENIPAPO")</f>
        <v>US_352 USF UPINHA 24H DR HELIO MENDONCA COR DO JENIPAPO</v>
      </c>
      <c r="G448" s="11" t="str">
        <f>IFERROR(__xludf.DUMMYFUNCTION("""COMPUTED_VALUE"""),"US 352 USF UPINHA 24H DR HELIO MENDONCA COR DO JENIPAPO")</f>
        <v>US 352 USF UPINHA 24H DR HELIO MENDONCA COR DO JENIPAPO</v>
      </c>
      <c r="H448" s="27">
        <f>IFERROR(__xludf.DUMMYFUNCTION("""COMPUTED_VALUE"""),81999652410)</f>
        <v>81999652410</v>
      </c>
      <c r="I448" s="11"/>
      <c r="J448" s="11"/>
      <c r="K448" s="11"/>
      <c r="L448" s="11"/>
      <c r="M448" s="28" t="str">
        <f>IFERROR(__xludf.DUMMYFUNCTION("""COMPUTED_VALUE"""),"3355-3554-3553")</f>
        <v>3355-3554-3553</v>
      </c>
      <c r="N448" s="11" t="str">
        <f>IFERROR(__xludf.DUMMYFUNCTION("""COMPUTED_VALUE"""),"ivonetew@hotmail.com")</f>
        <v>ivonetew@hotmail.com</v>
      </c>
      <c r="O448" s="29">
        <f>IFERROR(__xludf.DUMMYFUNCTION("""COMPUTED_VALUE"""),23553898453)</f>
        <v>23553898453</v>
      </c>
      <c r="P448" s="30" t="str">
        <f>IFERROR(__xludf.DUMMYFUNCTION("""COMPUTED_VALUE"""),"980016000233006")</f>
        <v>980016000233006</v>
      </c>
      <c r="Q448" s="30" t="str">
        <f>IFERROR(__xludf.DUMMYFUNCTION("""COMPUTED_VALUE"""),"6362508")</f>
        <v>6362508</v>
      </c>
      <c r="R448" s="30" t="str">
        <f>IFERROR(__xludf.DUMMYFUNCTION("""COMPUTED_VALUE"""),"0001565826")</f>
        <v>0001565826</v>
      </c>
      <c r="S448" s="30" t="str">
        <f>IFERROR(__xludf.DUMMYFUNCTION("""COMPUTED_VALUE"""),"1")</f>
        <v>1</v>
      </c>
      <c r="T448" s="30" t="str">
        <f>IFERROR(__xludf.DUMMYFUNCTION("""COMPUTED_VALUE"""),"225142")</f>
        <v>225142</v>
      </c>
      <c r="U448" s="31" t="str">
        <f>IFERROR(__xludf.DUMMYFUNCTION("""COMPUTED_VALUE"""),"2251")</f>
        <v>2251</v>
      </c>
      <c r="V448" s="11" t="str">
        <f>IFERROR(__xludf.DUMMYFUNCTION("""COMPUTED_VALUE"""),"SIM")</f>
        <v>SIM</v>
      </c>
      <c r="W448" s="11"/>
      <c r="X448" s="11">
        <f>IFERROR(__xludf.DUMMYFUNCTION("""COMPUTED_VALUE"""),99652410)</f>
        <v>99652410</v>
      </c>
      <c r="Y448" s="11">
        <f>IFERROR(__xludf.DUMMYFUNCTION("""COMPUTED_VALUE"""),32685040)</f>
        <v>32685040</v>
      </c>
      <c r="Z448" s="11">
        <f>IFERROR(__xludf.DUMMYFUNCTION("""COMPUTED_VALUE"""),23553898453)</f>
        <v>23553898453</v>
      </c>
    </row>
    <row r="449" customHeight="1" spans="1:26">
      <c r="A449" s="11" t="str">
        <f>IFERROR(__xludf.DUMMYFUNCTION("""COMPUTED_VALUE"""),"ISABEL DE ANDRADE LIMA SUASSUNA")</f>
        <v>ISABEL DE ANDRADE LIMA SUASSUNA</v>
      </c>
      <c r="B449" s="11"/>
      <c r="C449" s="11"/>
      <c r="D449" s="11" t="str">
        <f>IFERROR(__xludf.DUMMYFUNCTION("""COMPUTED_VALUE"""),"Enfermeira eSF")</f>
        <v>Enfermeira eSF</v>
      </c>
      <c r="E449" s="11" t="str">
        <f>IFERROR(__xludf.DUMMYFUNCTION("""COMPUTED_VALUE"""),"VII")</f>
        <v>VII</v>
      </c>
      <c r="F449" s="11" t="str">
        <f>IFERROR(__xludf.DUMMYFUNCTION("""COMPUTED_VALUE"""),"US_352 USF UPINHA 24H DR HELIO MENDONCA COR DO JENIPAPO")</f>
        <v>US_352 USF UPINHA 24H DR HELIO MENDONCA COR DO JENIPAPO</v>
      </c>
      <c r="G449" s="11" t="str">
        <f>IFERROR(__xludf.DUMMYFUNCTION("""COMPUTED_VALUE"""),"US 352 USF UPINHA 24H DR HELIO MENDONCA COR DO JENIPAPO")</f>
        <v>US 352 USF UPINHA 24H DR HELIO MENDONCA COR DO JENIPAPO</v>
      </c>
      <c r="H449" s="27">
        <f>IFERROR(__xludf.DUMMYFUNCTION("""COMPUTED_VALUE"""),81991322280)</f>
        <v>81991322280</v>
      </c>
      <c r="I449" s="11"/>
      <c r="J449" s="11"/>
      <c r="K449" s="11"/>
      <c r="L449" s="11"/>
      <c r="M449" s="28" t="str">
        <f>IFERROR(__xludf.DUMMYFUNCTION("""COMPUTED_VALUE"""),"3355-3554-3553")</f>
        <v>3355-3554-3553</v>
      </c>
      <c r="N449" s="11" t="str">
        <f>IFERROR(__xludf.DUMMYFUNCTION("""COMPUTED_VALUE"""),"belsuassuna@hotmail.com")</f>
        <v>belsuassuna@hotmail.com</v>
      </c>
      <c r="O449" s="29">
        <f>IFERROR(__xludf.DUMMYFUNCTION("""COMPUTED_VALUE"""),11914147871)</f>
        <v>11914147871</v>
      </c>
      <c r="P449" s="30" t="str">
        <f>IFERROR(__xludf.DUMMYFUNCTION("""COMPUTED_VALUE"""),"203116002410003")</f>
        <v>203116002410003</v>
      </c>
      <c r="Q449" s="30" t="str">
        <f>IFERROR(__xludf.DUMMYFUNCTION("""COMPUTED_VALUE"""),"6362508")</f>
        <v>6362508</v>
      </c>
      <c r="R449" s="30" t="str">
        <f>IFERROR(__xludf.DUMMYFUNCTION("""COMPUTED_VALUE"""),"0001565826")</f>
        <v>0001565826</v>
      </c>
      <c r="S449" s="30" t="str">
        <f>IFERROR(__xludf.DUMMYFUNCTION("""COMPUTED_VALUE"""),"1")</f>
        <v>1</v>
      </c>
      <c r="T449" s="30" t="str">
        <f>IFERROR(__xludf.DUMMYFUNCTION("""COMPUTED_VALUE"""),"223565")</f>
        <v>223565</v>
      </c>
      <c r="U449" s="31" t="str">
        <f>IFERROR(__xludf.DUMMYFUNCTION("""COMPUTED_VALUE"""),"2235")</f>
        <v>2235</v>
      </c>
      <c r="V449" s="11"/>
      <c r="W449" s="11">
        <f>IFERROR(__xludf.DUMMYFUNCTION("""COMPUTED_VALUE"""),91322280)</f>
        <v>91322280</v>
      </c>
      <c r="X449" s="11">
        <f>IFERROR(__xludf.DUMMYFUNCTION("""COMPUTED_VALUE"""),32685999)</f>
        <v>32685999</v>
      </c>
      <c r="Y449" s="11">
        <f>IFERROR(__xludf.DUMMYFUNCTION("""COMPUTED_VALUE"""),11914147871)</f>
        <v>11914147871</v>
      </c>
      <c r="Z449" s="11"/>
    </row>
    <row r="450" customHeight="1" spans="1:26">
      <c r="A450" s="11" t="str">
        <f>IFERROR(__xludf.DUMMYFUNCTION("""COMPUTED_VALUE"""),"Sara Katz Dias Martins")</f>
        <v>Sara Katz Dias Martins</v>
      </c>
      <c r="B450" s="11"/>
      <c r="C450" s="11"/>
      <c r="D450" s="11" t="str">
        <f>IFERROR(__xludf.DUMMYFUNCTION("""COMPUTED_VALUE"""),"MÉDICA RESIDENTE")</f>
        <v>MÉDICA RESIDENTE</v>
      </c>
      <c r="E450" s="11"/>
      <c r="F450" s="11"/>
      <c r="G450" s="11" t="str">
        <f>IFERROR(__xludf.DUMMYFUNCTION("""COMPUTED_VALUE"""),"US 291 USF ALTO DOS COQUEIROS CORREGO DA JAQUEIRA")</f>
        <v>US 291 USF ALTO DOS COQUEIROS CORREGO DA JAQUEIRA</v>
      </c>
      <c r="H450" s="27">
        <f>IFERROR(__xludf.DUMMYFUNCTION("""COMPUTED_VALUE"""),81996689090)</f>
        <v>81996689090</v>
      </c>
      <c r="I450" s="11"/>
      <c r="J450" s="11"/>
      <c r="K450" s="24">
        <f>IFERROR(__xludf.DUMMYFUNCTION("""COMPUTED_VALUE"""),45363)</f>
        <v>45363</v>
      </c>
      <c r="L450" s="11"/>
      <c r="M450" s="11"/>
      <c r="N450" s="11"/>
      <c r="O450" s="11"/>
      <c r="P450" s="11"/>
      <c r="Q450" s="11"/>
      <c r="R450" s="11"/>
      <c r="S450" s="11"/>
      <c r="T450" s="11"/>
      <c r="U450" s="11"/>
      <c r="V450" s="11"/>
      <c r="W450" s="11"/>
      <c r="X450" s="11"/>
      <c r="Y450" s="11"/>
      <c r="Z450" s="11"/>
    </row>
    <row r="451" customHeight="1" spans="1:26">
      <c r="A451" s="11" t="str">
        <f>IFERROR(__xludf.DUMMYFUNCTION("""COMPUTED_VALUE"""),"ITANA DIAS DE LUNA")</f>
        <v>ITANA DIAS DE LUNA</v>
      </c>
      <c r="B451" s="11"/>
      <c r="C451" s="11"/>
      <c r="D451" s="11" t="str">
        <f>IFERROR(__xludf.DUMMYFUNCTION("""COMPUTED_VALUE"""),"Médica eSF")</f>
        <v>Médica eSF</v>
      </c>
      <c r="E451" s="11" t="str">
        <f>IFERROR(__xludf.DUMMYFUNCTION("""COMPUTED_VALUE"""),"II")</f>
        <v>II</v>
      </c>
      <c r="F451" s="11" t="str">
        <f>IFERROR(__xludf.DUMMYFUNCTION("""COMPUTED_VALUE"""),"US_291 USF ALTO DOS COQUEIROS CORREGO DA JAQUEIRA")</f>
        <v>US_291 USF ALTO DOS COQUEIROS CORREGO DA JAQUEIRA</v>
      </c>
      <c r="G451" s="11" t="str">
        <f>IFERROR(__xludf.DUMMYFUNCTION("""COMPUTED_VALUE"""),"US 291 USF ALTO DOS COQUEIROS CORREGO DA JAQUEIRA")</f>
        <v>US 291 USF ALTO DOS COQUEIROS CORREGO DA JAQUEIRA</v>
      </c>
      <c r="H451" s="27">
        <f>IFERROR(__xludf.DUMMYFUNCTION("""COMPUTED_VALUE"""),81988136888)</f>
        <v>81988136888</v>
      </c>
      <c r="I451" s="11"/>
      <c r="J451" s="11"/>
      <c r="K451" s="11"/>
      <c r="L451" s="11"/>
      <c r="M451" s="28" t="str">
        <f>IFERROR(__xludf.DUMMYFUNCTION("""COMPUTED_VALUE"""),"3355-4660")</f>
        <v>3355-4660</v>
      </c>
      <c r="N451" s="11" t="str">
        <f>IFERROR(__xludf.DUMMYFUNCTION("""COMPUTED_VALUE"""),"itana@br.inter.net / itanaluna48@gmail.com")</f>
        <v>itana@br.inter.net / itanaluna48@gmail.com</v>
      </c>
      <c r="O451" s="29">
        <f>IFERROR(__xludf.DUMMYFUNCTION("""COMPUTED_VALUE"""),17219841434)</f>
        <v>17219841434</v>
      </c>
      <c r="P451" s="30" t="str">
        <f>IFERROR(__xludf.DUMMYFUNCTION("""COMPUTED_VALUE"""),"100927309540008")</f>
        <v>100927309540008</v>
      </c>
      <c r="Q451" s="30" t="str">
        <f>IFERROR(__xludf.DUMMYFUNCTION("""COMPUTED_VALUE"""),"3006468")</f>
        <v>3006468</v>
      </c>
      <c r="R451" s="30" t="str">
        <f>IFERROR(__xludf.DUMMYFUNCTION("""COMPUTED_VALUE"""),"0000154903")</f>
        <v>0000154903</v>
      </c>
      <c r="S451" s="30" t="str">
        <f>IFERROR(__xludf.DUMMYFUNCTION("""COMPUTED_VALUE"""),"1")</f>
        <v>1</v>
      </c>
      <c r="T451" s="30" t="str">
        <f>IFERROR(__xludf.DUMMYFUNCTION("""COMPUTED_VALUE"""),"225142")</f>
        <v>225142</v>
      </c>
      <c r="U451" s="11">
        <f>IFERROR(__xludf.DUMMYFUNCTION("""COMPUTED_VALUE"""),2251)</f>
        <v>2251</v>
      </c>
      <c r="V451" s="11"/>
      <c r="W451" s="11"/>
      <c r="X451" s="11">
        <f>IFERROR(__xludf.DUMMYFUNCTION("""COMPUTED_VALUE"""),32687444)</f>
        <v>32687444</v>
      </c>
      <c r="Y451" s="11">
        <f>IFERROR(__xludf.DUMMYFUNCTION("""COMPUTED_VALUE"""),88136888)</f>
        <v>88136888</v>
      </c>
      <c r="Z451" s="11">
        <f>IFERROR(__xludf.DUMMYFUNCTION("""COMPUTED_VALUE"""),17219841434)</f>
        <v>17219841434</v>
      </c>
    </row>
    <row r="452" customHeight="1" spans="1:26">
      <c r="A452" s="11" t="str">
        <f>IFERROR(__xludf.DUMMYFUNCTION("""COMPUTED_VALUE"""),"CINTYA OLIVEIRA PEREIRA")</f>
        <v>CINTYA OLIVEIRA PEREIRA</v>
      </c>
      <c r="B452" s="11"/>
      <c r="C452" s="11"/>
      <c r="D452" s="11" t="str">
        <f>IFERROR(__xludf.DUMMYFUNCTION("""COMPUTED_VALUE"""),"Médica eSF")</f>
        <v>Médica eSF</v>
      </c>
      <c r="E452" s="11" t="str">
        <f>IFERROR(__xludf.DUMMYFUNCTION("""COMPUTED_VALUE"""),"IV")</f>
        <v>IV</v>
      </c>
      <c r="F452" s="11" t="str">
        <f>IFERROR(__xludf.DUMMYFUNCTION("""COMPUTED_VALUE"""),"US_184 USF VILA UNIAO / AIRTON SENA")</f>
        <v>US_184 USF VILA UNIAO / AIRTON SENA</v>
      </c>
      <c r="G452" s="11" t="str">
        <f>IFERROR(__xludf.DUMMYFUNCTION("""COMPUTED_VALUE"""),"US 184 USF VILA UNIAO")</f>
        <v>US 184 USF VILA UNIAO</v>
      </c>
      <c r="H452" s="27">
        <f>IFERROR(__xludf.DUMMYFUNCTION("""COMPUTED_VALUE"""),81985777780)</f>
        <v>81985777780</v>
      </c>
      <c r="I452" s="11"/>
      <c r="J452" s="11"/>
      <c r="K452" s="11"/>
      <c r="L452" s="11"/>
      <c r="M452" s="28" t="str">
        <f>IFERROR(__xludf.DUMMYFUNCTION("""COMPUTED_VALUE"""),"3355-4716")</f>
        <v>3355-4716</v>
      </c>
      <c r="N452" s="11" t="str">
        <f>IFERROR(__xludf.DUMMYFUNCTION("""COMPUTED_VALUE"""),"cintyaoliveira@gmail.com")</f>
        <v>cintyaoliveira@gmail.com</v>
      </c>
      <c r="O452" s="29">
        <f>IFERROR(__xludf.DUMMYFUNCTION("""COMPUTED_VALUE"""),27852776434)</f>
        <v>27852776434</v>
      </c>
      <c r="P452" s="11" t="str">
        <f>IFERROR(__xludf.DUMMYFUNCTION("""COMPUTED_VALUE"""),"201533453510018")</f>
        <v>201533453510018</v>
      </c>
      <c r="Q452" s="11" t="str">
        <f>IFERROR(__xludf.DUMMYFUNCTION("""COMPUTED_VALUE"""),"0001511")</f>
        <v>0001511</v>
      </c>
      <c r="R452" s="11" t="str">
        <f>IFERROR(__xludf.DUMMYFUNCTION("""COMPUTED_VALUE"""),"0000153311")</f>
        <v>0000153311</v>
      </c>
      <c r="S452" s="30" t="str">
        <f>IFERROR(__xludf.DUMMYFUNCTION("""COMPUTED_VALUE"""),"1")</f>
        <v>1</v>
      </c>
      <c r="T452" s="30" t="str">
        <f>IFERROR(__xludf.DUMMYFUNCTION("""COMPUTED_VALUE"""),"225142")</f>
        <v>225142</v>
      </c>
      <c r="U452" s="31" t="str">
        <f>IFERROR(__xludf.DUMMYFUNCTION("""COMPUTED_VALUE"""),"2251")</f>
        <v>2251</v>
      </c>
      <c r="V452" s="11" t="str">
        <f>IFERROR(__xludf.DUMMYFUNCTION("""COMPUTED_VALUE"""),"SIM")</f>
        <v>SIM</v>
      </c>
      <c r="W452" s="11"/>
      <c r="X452" s="11">
        <f>IFERROR(__xludf.DUMMYFUNCTION("""COMPUTED_VALUE"""),8132687780)</f>
        <v>8132687780</v>
      </c>
      <c r="Y452" s="11">
        <f>IFERROR(__xludf.DUMMYFUNCTION("""COMPUTED_VALUE"""),8185777780)</f>
        <v>8185777780</v>
      </c>
      <c r="Z452" s="11">
        <f>IFERROR(__xludf.DUMMYFUNCTION("""COMPUTED_VALUE"""),27852776434)</f>
        <v>27852776434</v>
      </c>
    </row>
    <row r="453" customHeight="1" spans="1:26">
      <c r="A453" s="11" t="str">
        <f>IFERROR(__xludf.DUMMYFUNCTION("""COMPUTED_VALUE"""),"CHRISTINE MARY AYRES SEABRA")</f>
        <v>CHRISTINE MARY AYRES SEABRA</v>
      </c>
      <c r="B453" s="11"/>
      <c r="C453" s="11"/>
      <c r="D453" s="11" t="str">
        <f>IFERROR(__xludf.DUMMYFUNCTION("""COMPUTED_VALUE"""),"Enfermeira eSF")</f>
        <v>Enfermeira eSF</v>
      </c>
      <c r="E453" s="11" t="str">
        <f>IFERROR(__xludf.DUMMYFUNCTION("""COMPUTED_VALUE"""),"VIII")</f>
        <v>VIII</v>
      </c>
      <c r="F453" s="11" t="str">
        <f>IFERROR(__xludf.DUMMYFUNCTION("""COMPUTED_VALUE"""),"US_315 USF UR 3")</f>
        <v>US_315 USF UR 3</v>
      </c>
      <c r="G453" s="11" t="str">
        <f>IFERROR(__xludf.DUMMYFUNCTION("""COMPUTED_VALUE"""),"US 315 USF UR 3")</f>
        <v>US 315 USF UR 3</v>
      </c>
      <c r="H453" s="27">
        <f>IFERROR(__xludf.DUMMYFUNCTION("""COMPUTED_VALUE"""),81982393202)</f>
        <v>81982393202</v>
      </c>
      <c r="I453" s="27">
        <f>IFERROR(__xludf.DUMMYFUNCTION("""COMPUTED_VALUE"""),81999538115)</f>
        <v>81999538115</v>
      </c>
      <c r="J453" s="11"/>
      <c r="K453" s="11"/>
      <c r="L453" s="11"/>
      <c r="M453" s="28" t="str">
        <f>IFERROR(__xludf.DUMMYFUNCTION("""COMPUTED_VALUE"""),"3355-6452")</f>
        <v>3355-6452</v>
      </c>
      <c r="N453" s="11" t="str">
        <f>IFERROR(__xludf.DUMMYFUNCTION("""COMPUTED_VALUE"""),"cmayres28@hotmail.com")</f>
        <v>cmayres28@hotmail.com</v>
      </c>
      <c r="O453" s="29">
        <f>IFERROR(__xludf.DUMMYFUNCTION("""COMPUTED_VALUE"""),2528943407)</f>
        <v>2528943407</v>
      </c>
      <c r="P453" s="30" t="str">
        <f>IFERROR(__xludf.DUMMYFUNCTION("""COMPUTED_VALUE"""),"206755394250001")</f>
        <v>206755394250001</v>
      </c>
      <c r="Q453" s="30" t="str">
        <f>IFERROR(__xludf.DUMMYFUNCTION("""COMPUTED_VALUE"""),"3562638")</f>
        <v>3562638</v>
      </c>
      <c r="R453" s="30" t="str">
        <f>IFERROR(__xludf.DUMMYFUNCTION("""COMPUTED_VALUE"""),"0000155578")</f>
        <v>0000155578</v>
      </c>
      <c r="S453" s="30" t="str">
        <f>IFERROR(__xludf.DUMMYFUNCTION("""COMPUTED_VALUE"""),"1")</f>
        <v>1</v>
      </c>
      <c r="T453" s="30" t="str">
        <f>IFERROR(__xludf.DUMMYFUNCTION("""COMPUTED_VALUE"""),"223565")</f>
        <v>223565</v>
      </c>
      <c r="U453" s="31" t="str">
        <f>IFERROR(__xludf.DUMMYFUNCTION("""COMPUTED_VALUE"""),"2235")</f>
        <v>2235</v>
      </c>
      <c r="V453" s="11"/>
      <c r="W453" s="11">
        <f>IFERROR(__xludf.DUMMYFUNCTION("""COMPUTED_VALUE"""),32689305)</f>
        <v>32689305</v>
      </c>
      <c r="X453" s="11">
        <f>IFERROR(__xludf.DUMMYFUNCTION("""COMPUTED_VALUE"""),99538115)</f>
        <v>99538115</v>
      </c>
      <c r="Y453" s="11">
        <f>IFERROR(__xludf.DUMMYFUNCTION("""COMPUTED_VALUE"""),2528943407)</f>
        <v>2528943407</v>
      </c>
      <c r="Z453" s="11"/>
    </row>
    <row r="454" customHeight="1" spans="1:26">
      <c r="A454" s="11" t="str">
        <f>IFERROR(__xludf.DUMMYFUNCTION("""COMPUTED_VALUE"""),"ANTONIO CARLOS AGUIAR CAVALCANTI")</f>
        <v>ANTONIO CARLOS AGUIAR CAVALCANTI</v>
      </c>
      <c r="B454" s="11"/>
      <c r="C454" s="11"/>
      <c r="D454" s="11" t="str">
        <f>IFERROR(__xludf.DUMMYFUNCTION("""COMPUTED_VALUE"""),"Dentista")</f>
        <v>Dentista</v>
      </c>
      <c r="E454" s="11" t="str">
        <f>IFERROR(__xludf.DUMMYFUNCTION("""COMPUTED_VALUE"""),"IV")</f>
        <v>IV</v>
      </c>
      <c r="F454" s="11" t="str">
        <f>IFERROR(__xludf.DUMMYFUNCTION("""COMPUTED_VALUE"""),"US_169 POLICLINICA AMAURY COUTINHO")</f>
        <v>US_169 POLICLINICA AMAURY COUTINHO</v>
      </c>
      <c r="G454" s="11" t="str">
        <f>IFERROR(__xludf.DUMMYFUNCTION("""COMPUTED_VALUE"""),"US 280 USF SITIO CARDOSO")</f>
        <v>US 280 USF SITIO CARDOSO</v>
      </c>
      <c r="H454" s="27">
        <f>IFERROR(__xludf.DUMMYFUNCTION("""COMPUTED_VALUE"""),81999749322)</f>
        <v>81999749322</v>
      </c>
      <c r="I454" s="11"/>
      <c r="J454" s="11"/>
      <c r="K454" s="11"/>
      <c r="L454" s="11"/>
      <c r="M454" s="28" t="str">
        <f>IFERROR(__xludf.DUMMYFUNCTION("""COMPUTED_VALUE"""),"3355-6704")</f>
        <v>3355-6704</v>
      </c>
      <c r="N454" s="11" t="str">
        <f>IFERROR(__xludf.DUMMYFUNCTION("""COMPUTED_VALUE"""),"acaguiarcavalcanti@gmail.com")</f>
        <v>acaguiarcavalcanti@gmail.com</v>
      </c>
      <c r="O454" s="29">
        <f>IFERROR(__xludf.DUMMYFUNCTION("""COMPUTED_VALUE"""),89974590400)</f>
        <v>89974590400</v>
      </c>
      <c r="P454" s="30" t="str">
        <f>IFERROR(__xludf.DUMMYFUNCTION("""COMPUTED_VALUE"""),"170587685770000")</f>
        <v>170587685770000</v>
      </c>
      <c r="Q454" s="30" t="str">
        <f>IFERROR(__xludf.DUMMYFUNCTION("""COMPUTED_VALUE"""),"0028975")</f>
        <v>0028975</v>
      </c>
      <c r="R454" s="30" t="str">
        <f>IFERROR(__xludf.DUMMYFUNCTION("""COMPUTED_VALUE"""),"0000154601")</f>
        <v>0000154601</v>
      </c>
      <c r="S454" s="30" t="str">
        <f>IFERROR(__xludf.DUMMYFUNCTION("""COMPUTED_VALUE"""),"1")</f>
        <v>1</v>
      </c>
      <c r="T454" s="30" t="str">
        <f>IFERROR(__xludf.DUMMYFUNCTION("""COMPUTED_VALUE"""),"223293")</f>
        <v>223293</v>
      </c>
      <c r="U454" s="31">
        <f>IFERROR(__xludf.DUMMYFUNCTION("""COMPUTED_VALUE"""),2232)</f>
        <v>2232</v>
      </c>
      <c r="V454" s="11"/>
      <c r="W454" s="11"/>
      <c r="X454" s="11"/>
      <c r="Y454" s="11"/>
      <c r="Z454" s="11"/>
    </row>
    <row r="455" customHeight="1" spans="1:26">
      <c r="A455" s="11" t="str">
        <f>IFERROR(__xludf.DUMMYFUNCTION("""COMPUTED_VALUE"""),"MARYANE BRASILINO	")</f>
        <v>MARYANE BRASILINO	</v>
      </c>
      <c r="B455" s="11"/>
      <c r="C455" s="11"/>
      <c r="D455" s="11" t="str">
        <f>IFERROR(__xludf.DUMMYFUNCTION("""COMPUTED_VALUE"""),"Médica eSF")</f>
        <v>Médica eSF</v>
      </c>
      <c r="E455" s="11" t="str">
        <f>IFERROR(__xludf.DUMMYFUNCTION("""COMPUTED_VALUE"""),"VIII")</f>
        <v>VIII</v>
      </c>
      <c r="F455" s="11" t="str">
        <f>IFERROR(__xludf.DUMMYFUNCTION("""COMPUTED_VALUE"""),"US_104 CS SEBASTIAO IVO RABELO")</f>
        <v>US_104 CS SEBASTIAO IVO RABELO</v>
      </c>
      <c r="G455" s="11" t="str">
        <f>IFERROR(__xludf.DUMMYFUNCTION("""COMPUTED_VALUE"""),"US 104 CS SEBASTIAO IVO RABELO")</f>
        <v>US 104 CS SEBASTIAO IVO RABELO</v>
      </c>
      <c r="H455" s="27">
        <f>IFERROR(__xludf.DUMMYFUNCTION("""COMPUTED_VALUE"""),81991077188)</f>
        <v>81991077188</v>
      </c>
      <c r="I455" s="11"/>
      <c r="J455" s="11"/>
      <c r="K455" s="33">
        <f>IFERROR(__xludf.DUMMYFUNCTION("""COMPUTED_VALUE"""),45279)</f>
        <v>45279</v>
      </c>
      <c r="L455" s="11"/>
      <c r="M455" s="11"/>
      <c r="N455" s="11"/>
      <c r="O455" s="11"/>
      <c r="P455" s="11"/>
      <c r="Q455" s="11"/>
      <c r="R455" s="11"/>
      <c r="S455" s="11"/>
      <c r="T455" s="11"/>
      <c r="U455" s="11"/>
      <c r="V455" s="11"/>
      <c r="W455" s="11"/>
      <c r="X455" s="11"/>
      <c r="Y455" s="11"/>
      <c r="Z455" s="11"/>
    </row>
    <row r="456" customHeight="1" spans="1:26">
      <c r="A456" s="11" t="str">
        <f>IFERROR(__xludf.DUMMYFUNCTION("""COMPUTED_VALUE"""),"ITALENE BARROS VIANA")</f>
        <v>ITALENE BARROS VIANA</v>
      </c>
      <c r="B456" s="11"/>
      <c r="C456" s="11"/>
      <c r="D456" s="11" t="str">
        <f>IFERROR(__xludf.DUMMYFUNCTION("""COMPUTED_VALUE"""),"Dentista")</f>
        <v>Dentista</v>
      </c>
      <c r="E456" s="11" t="str">
        <f>IFERROR(__xludf.DUMMYFUNCTION("""COMPUTED_VALUE"""),"VIII")</f>
        <v>VIII</v>
      </c>
      <c r="F456" s="11" t="str">
        <f>IFERROR(__xludf.DUMMYFUNCTION("""COMPUTED_VALUE"""),"US_104 CS SEBASTIAO IVO RABELO")</f>
        <v>US_104 CS SEBASTIAO IVO RABELO</v>
      </c>
      <c r="G456" s="11" t="str">
        <f>IFERROR(__xludf.DUMMYFUNCTION("""COMPUTED_VALUE"""),"US 104 CS SEBASTIAO IVO RABELO")</f>
        <v>US 104 CS SEBASTIAO IVO RABELO</v>
      </c>
      <c r="H456" s="27">
        <f>IFERROR(__xludf.DUMMYFUNCTION("""COMPUTED_VALUE"""),81999229397)</f>
        <v>81999229397</v>
      </c>
      <c r="I456" s="11"/>
      <c r="J456" s="11"/>
      <c r="K456" s="11"/>
      <c r="L456" s="11"/>
      <c r="M456" s="11"/>
      <c r="N456" s="11"/>
      <c r="O456" s="11"/>
      <c r="P456" s="11"/>
      <c r="Q456" s="11"/>
      <c r="R456" s="11"/>
      <c r="S456" s="11"/>
      <c r="T456" s="11"/>
      <c r="U456" s="11"/>
      <c r="V456" s="11"/>
      <c r="W456" s="11"/>
      <c r="X456" s="11"/>
      <c r="Y456" s="11"/>
      <c r="Z456" s="11"/>
    </row>
    <row r="457" customHeight="1" spans="1:26">
      <c r="A457" s="11" t="str">
        <f>IFERROR(__xludf.DUMMYFUNCTION("""COMPUTED_VALUE"""),"SIMONE HARUMI KAWAMURA ASANO")</f>
        <v>SIMONE HARUMI KAWAMURA ASANO</v>
      </c>
      <c r="B457" s="11" t="str">
        <f>IFERROR(__xludf.DUMMYFUNCTION("""COMPUTED_VALUE"""),"SÓ TRABALHA PELA MANHÃ (QUARTA/QUINTA/SEXTA)")</f>
        <v>SÓ TRABALHA PELA MANHÃ (QUARTA/QUINTA/SEXTA)</v>
      </c>
      <c r="C457" s="11"/>
      <c r="D457" s="11" t="str">
        <f>IFERROR(__xludf.DUMMYFUNCTION("""COMPUTED_VALUE"""),"Médica Pediatra")</f>
        <v>Médica Pediatra</v>
      </c>
      <c r="E457" s="11" t="str">
        <f>IFERROR(__xludf.DUMMYFUNCTION("""COMPUTED_VALUE"""),"VIII")</f>
        <v>VIII</v>
      </c>
      <c r="F457" s="11" t="str">
        <f>IFERROR(__xludf.DUMMYFUNCTION("""COMPUTED_VALUE"""),"US_104 CS SEBASTIAO IVO RABELO")</f>
        <v>US_104 CS SEBASTIAO IVO RABELO</v>
      </c>
      <c r="G457" s="11" t="str">
        <f>IFERROR(__xludf.DUMMYFUNCTION("""COMPUTED_VALUE"""),"US 104 CS SEBASTIAO IVO RABELO")</f>
        <v>US 104 CS SEBASTIAO IVO RABELO</v>
      </c>
      <c r="H457" s="27">
        <f>IFERROR(__xludf.DUMMYFUNCTION("""COMPUTED_VALUE"""),81999748962)</f>
        <v>81999748962</v>
      </c>
      <c r="I457" s="11"/>
      <c r="J457" s="11"/>
      <c r="K457" s="11"/>
      <c r="L457" s="11"/>
      <c r="M457" s="28" t="str">
        <f>IFERROR(__xludf.DUMMYFUNCTION("""COMPUTED_VALUE"""),"3355-5445")</f>
        <v>3355-5445</v>
      </c>
      <c r="N457" s="11" t="str">
        <f>IFERROR(__xludf.DUMMYFUNCTION("""COMPUTED_VALUE"""),"simone.asano@gmail.com")</f>
        <v>simone.asano@gmail.com</v>
      </c>
      <c r="O457" s="29">
        <f>IFERROR(__xludf.DUMMYFUNCTION("""COMPUTED_VALUE"""),88100227420)</f>
        <v>88100227420</v>
      </c>
      <c r="P457" s="30" t="str">
        <f>IFERROR(__xludf.DUMMYFUNCTION("""COMPUTED_VALUE"""),"125088930660004")</f>
        <v>125088930660004</v>
      </c>
      <c r="Q457" s="30" t="str">
        <f>IFERROR(__xludf.DUMMYFUNCTION("""COMPUTED_VALUE"""),"0001082")</f>
        <v>0001082</v>
      </c>
      <c r="R457" s="11"/>
      <c r="S457" s="30" t="str">
        <f>IFERROR(__xludf.DUMMYFUNCTION("""COMPUTED_VALUE"""),"1")</f>
        <v>1</v>
      </c>
      <c r="T457" s="30" t="str">
        <f>IFERROR(__xludf.DUMMYFUNCTION("""COMPUTED_VALUE"""),"225124")</f>
        <v>225124</v>
      </c>
      <c r="U457" s="31">
        <f>IFERROR(__xludf.DUMMYFUNCTION("""COMPUTED_VALUE"""),2251)</f>
        <v>2251</v>
      </c>
      <c r="V457" s="11"/>
      <c r="W457" s="30" t="str">
        <f>IFERROR(__xludf.DUMMYFUNCTION("""COMPUTED_VALUE"""),"06/07/1968")</f>
        <v>06/07/1968</v>
      </c>
      <c r="X457" s="11">
        <f>IFERROR(__xludf.DUMMYFUNCTION("""COMPUTED_VALUE"""),32693928)</f>
        <v>32693928</v>
      </c>
      <c r="Y457" s="11">
        <f>IFERROR(__xludf.DUMMYFUNCTION("""COMPUTED_VALUE"""),99748962)</f>
        <v>99748962</v>
      </c>
      <c r="Z457" s="11">
        <f>IFERROR(__xludf.DUMMYFUNCTION("""COMPUTED_VALUE"""),88100227420)</f>
        <v>88100227420</v>
      </c>
    </row>
    <row r="458" customHeight="1" spans="1:26">
      <c r="A458" s="11" t="str">
        <f>IFERROR(__xludf.DUMMYFUNCTION("""COMPUTED_VALUE"""),"GEOVANA PIRES OLIVEIRA SOUZA")</f>
        <v>GEOVANA PIRES OLIVEIRA SOUZA</v>
      </c>
      <c r="B458" s="11"/>
      <c r="C458" s="11"/>
      <c r="D458" s="11" t="str">
        <f>IFERROR(__xludf.DUMMYFUNCTION("""COMPUTED_VALUE"""),"Enfermeira")</f>
        <v>Enfermeira</v>
      </c>
      <c r="E458" s="11" t="str">
        <f>IFERROR(__xludf.DUMMYFUNCTION("""COMPUTED_VALUE"""),"II")</f>
        <v>II</v>
      </c>
      <c r="F458" s="11" t="str">
        <f>IFERROR(__xludf.DUMMYFUNCTION("""COMPUTED_VALUE"""),"US_162 POLICLINICA ALBERT SABIN")</f>
        <v>US_162 POLICLINICA ALBERT SABIN</v>
      </c>
      <c r="G458" s="11" t="str">
        <f>IFERROR(__xludf.DUMMYFUNCTION("""COMPUTED_VALUE"""),"US 155 CS PROF MONTEIRO DE MORAIS")</f>
        <v>US 155 CS PROF MONTEIRO DE MORAIS</v>
      </c>
      <c r="H458" s="27">
        <f>IFERROR(__xludf.DUMMYFUNCTION("""COMPUTED_VALUE"""),81997689624)</f>
        <v>81997689624</v>
      </c>
      <c r="I458" s="11"/>
      <c r="J458" s="11"/>
      <c r="K458" s="11"/>
      <c r="L458" s="11"/>
      <c r="M458" s="28" t="str">
        <f>IFERROR(__xludf.DUMMYFUNCTION("""COMPUTED_VALUE"""),"3355-6848")</f>
        <v>3355-6848</v>
      </c>
      <c r="N458" s="11" t="str">
        <f>IFERROR(__xludf.DUMMYFUNCTION("""COMPUTED_VALUE"""),"pires.geovana@yahoo.com.br")</f>
        <v>pires.geovana@yahoo.com.br</v>
      </c>
      <c r="O458" s="29">
        <f>IFERROR(__xludf.DUMMYFUNCTION("""COMPUTED_VALUE"""),3871245437)</f>
        <v>3871245437</v>
      </c>
      <c r="P458" s="30" t="str">
        <f>IFERROR(__xludf.DUMMYFUNCTION("""COMPUTED_VALUE"""),"980016284392961")</f>
        <v>980016284392961</v>
      </c>
      <c r="Q458" s="30" t="str">
        <f>IFERROR(__xludf.DUMMYFUNCTION("""COMPUTED_VALUE"""),"0000825")</f>
        <v>0000825</v>
      </c>
      <c r="R458" s="11"/>
      <c r="S458" s="30" t="str">
        <f>IFERROR(__xludf.DUMMYFUNCTION("""COMPUTED_VALUE"""),"1")</f>
        <v>1</v>
      </c>
      <c r="T458" s="30" t="str">
        <f>IFERROR(__xludf.DUMMYFUNCTION("""COMPUTED_VALUE"""),"223505")</f>
        <v>223505</v>
      </c>
      <c r="U458" s="31" t="str">
        <f>IFERROR(__xludf.DUMMYFUNCTION("""COMPUTED_VALUE"""),"2235")</f>
        <v>2235</v>
      </c>
      <c r="V458" s="11"/>
      <c r="W458" s="11"/>
      <c r="X458" s="11"/>
      <c r="Y458" s="11"/>
      <c r="Z458" s="11"/>
    </row>
    <row r="459" customHeight="1" spans="1:26">
      <c r="A459" s="11" t="str">
        <f>IFERROR(__xludf.DUMMYFUNCTION("""COMPUTED_VALUE"""),"JEORGIA COSTA LIMA GUERRA CURADO")</f>
        <v>JEORGIA COSTA LIMA GUERRA CURADO</v>
      </c>
      <c r="B459" s="11"/>
      <c r="C459" s="11"/>
      <c r="D459" s="11" t="str">
        <f>IFERROR(__xludf.DUMMYFUNCTION("""COMPUTED_VALUE"""),"Enfermeira eSF")</f>
        <v>Enfermeira eSF</v>
      </c>
      <c r="E459" s="11" t="str">
        <f>IFERROR(__xludf.DUMMYFUNCTION("""COMPUTED_VALUE"""),"I")</f>
        <v>I</v>
      </c>
      <c r="F459" s="11" t="str">
        <f>IFERROR(__xludf.DUMMYFUNCTION("""COMPUTED_VALUE"""),"US_240 USF COELHOS I	")</f>
        <v>US_240 USF COELHOS I	</v>
      </c>
      <c r="G459" s="11" t="str">
        <f>IFERROR(__xludf.DUMMYFUNCTION("""COMPUTED_VALUE"""),"US 240 USF COELHOS I")</f>
        <v>US 240 USF COELHOS I</v>
      </c>
      <c r="H459" s="27">
        <f>IFERROR(__xludf.DUMMYFUNCTION("""COMPUTED_VALUE"""),81999894057)</f>
        <v>81999894057</v>
      </c>
      <c r="I459" s="11"/>
      <c r="J459" s="11"/>
      <c r="K459" s="11"/>
      <c r="L459" s="11"/>
      <c r="M459" s="28" t="str">
        <f>IFERROR(__xludf.DUMMYFUNCTION("""COMPUTED_VALUE"""),"3355-4648")</f>
        <v>3355-4648</v>
      </c>
      <c r="N459" s="11" t="str">
        <f>IFERROR(__xludf.DUMMYFUNCTION("""COMPUTED_VALUE"""),"jeorgiacosta@gmail.com")</f>
        <v>jeorgiacosta@gmail.com</v>
      </c>
      <c r="O459" s="29">
        <f>IFERROR(__xludf.DUMMYFUNCTION("""COMPUTED_VALUE"""),66078822420)</f>
        <v>66078822420</v>
      </c>
      <c r="P459" s="30" t="str">
        <f>IFERROR(__xludf.DUMMYFUNCTION("""COMPUTED_VALUE"""),"980016000371913")</f>
        <v>980016000371913</v>
      </c>
      <c r="Q459" s="30" t="str">
        <f>IFERROR(__xludf.DUMMYFUNCTION("""COMPUTED_VALUE"""),"0022195")</f>
        <v>0022195</v>
      </c>
      <c r="R459" s="30" t="str">
        <f>IFERROR(__xludf.DUMMYFUNCTION("""COMPUTED_VALUE"""),"0000153567")</f>
        <v>0000153567</v>
      </c>
      <c r="S459" s="30" t="str">
        <f>IFERROR(__xludf.DUMMYFUNCTION("""COMPUTED_VALUE"""),"1")</f>
        <v>1</v>
      </c>
      <c r="T459" s="30" t="str">
        <f>IFERROR(__xludf.DUMMYFUNCTION("""COMPUTED_VALUE"""),"223565")</f>
        <v>223565</v>
      </c>
      <c r="U459" s="31" t="str">
        <f>IFERROR(__xludf.DUMMYFUNCTION("""COMPUTED_VALUE"""),"2235")</f>
        <v>2235</v>
      </c>
      <c r="V459" s="11"/>
      <c r="W459" s="11" t="str">
        <f>IFERROR(__xludf.DUMMYFUNCTION("""COMPUTED_VALUE"""),"#N/A")</f>
        <v>#N/A</v>
      </c>
      <c r="X459" s="11" t="str">
        <f>IFERROR(__xludf.DUMMYFUNCTION("""COMPUTED_VALUE"""),"#N/A")</f>
        <v>#N/A</v>
      </c>
      <c r="Y459" s="11" t="str">
        <f>IFERROR(__xludf.DUMMYFUNCTION("""COMPUTED_VALUE"""),"#N/A")</f>
        <v>#N/A</v>
      </c>
      <c r="Z459" s="11"/>
    </row>
    <row r="460" customHeight="1" spans="1:26">
      <c r="A460" s="11" t="str">
        <f>IFERROR(__xludf.DUMMYFUNCTION("""COMPUTED_VALUE"""),"PRISCILA DE ARAUJO CAVALCANTI DE ALBUQUERQUE")</f>
        <v>PRISCILA DE ARAUJO CAVALCANTI DE ALBUQUERQUE</v>
      </c>
      <c r="B460" s="11"/>
      <c r="C460" s="11"/>
      <c r="D460" s="11" t="str">
        <f>IFERROR(__xludf.DUMMYFUNCTION("""COMPUTED_VALUE"""),"Dentista")</f>
        <v>Dentista</v>
      </c>
      <c r="E460" s="11" t="str">
        <f>IFERROR(__xludf.DUMMYFUNCTION("""COMPUTED_VALUE"""),"II")</f>
        <v>II</v>
      </c>
      <c r="F460" s="11" t="str">
        <f>IFERROR(__xludf.DUMMYFUNCTION("""COMPUTED_VALUE"""),"US_0044598 FARMACIA DA FAMILIA PONTO DE PARADA")</f>
        <v>US_0044598 FARMACIA DA FAMILIA PONTO DE PARADA</v>
      </c>
      <c r="G460" s="11" t="str">
        <f>IFERROR(__xludf.DUMMYFUNCTION("""COMPUTED_VALUE"""),"US 274 USF TIA REGINA")</f>
        <v>US 274 USF TIA REGINA</v>
      </c>
      <c r="H460" s="27">
        <f>IFERROR(__xludf.DUMMYFUNCTION("""COMPUTED_VALUE"""),81992785279)</f>
        <v>81992785279</v>
      </c>
      <c r="I460" s="11"/>
      <c r="J460" s="11"/>
      <c r="K460" s="11"/>
      <c r="L460" s="11"/>
      <c r="M460" s="28" t="str">
        <f>IFERROR(__xludf.DUMMYFUNCTION("""COMPUTED_VALUE"""),"3355-4708")</f>
        <v>3355-4708</v>
      </c>
      <c r="N460" s="11" t="str">
        <f>IFERROR(__xludf.DUMMYFUNCTION("""COMPUTED_VALUE"""),"PRISCILAACA@TERRA.COM.BR")</f>
        <v>PRISCILAACA@TERRA.COM.BR</v>
      </c>
      <c r="O460" s="29">
        <f>IFERROR(__xludf.DUMMYFUNCTION("""COMPUTED_VALUE"""),2512088421)</f>
        <v>2512088421</v>
      </c>
      <c r="P460" s="30" t="str">
        <f>IFERROR(__xludf.DUMMYFUNCTION("""COMPUTED_VALUE"""),"201533377230005")</f>
        <v>201533377230005</v>
      </c>
      <c r="Q460" s="30" t="str">
        <f>IFERROR(__xludf.DUMMYFUNCTION("""COMPUTED_VALUE"""),"0028096")</f>
        <v>0028096</v>
      </c>
      <c r="R460" s="30" t="str">
        <f>IFERROR(__xludf.DUMMYFUNCTION("""COMPUTED_VALUE"""),"0001773321")</f>
        <v>0001773321</v>
      </c>
      <c r="S460" s="30" t="str">
        <f>IFERROR(__xludf.DUMMYFUNCTION("""COMPUTED_VALUE"""),"1")</f>
        <v>1</v>
      </c>
      <c r="T460" s="30" t="str">
        <f>IFERROR(__xludf.DUMMYFUNCTION("""COMPUTED_VALUE"""),"223293")</f>
        <v>223293</v>
      </c>
      <c r="U460" s="31">
        <f>IFERROR(__xludf.DUMMYFUNCTION("""COMPUTED_VALUE"""),2232)</f>
        <v>2232</v>
      </c>
      <c r="V460" s="11"/>
      <c r="W460" s="11"/>
      <c r="X460" s="11"/>
      <c r="Y460" s="11"/>
      <c r="Z460" s="11"/>
    </row>
    <row r="461" customHeight="1" spans="1:26">
      <c r="A461" s="11" t="str">
        <f>IFERROR(__xludf.DUMMYFUNCTION("""COMPUTED_VALUE"""),"RENATA SPINELLI RESENDE")</f>
        <v>RENATA SPINELLI RESENDE</v>
      </c>
      <c r="B461" s="11"/>
      <c r="C461" s="11"/>
      <c r="D461" s="11" t="str">
        <f>IFERROR(__xludf.DUMMYFUNCTION("""COMPUTED_VALUE"""),"MÉDICA")</f>
        <v>MÉDICA</v>
      </c>
      <c r="E461" s="11"/>
      <c r="F461" s="11"/>
      <c r="G461" s="11" t="str">
        <f>IFERROR(__xludf.DUMMYFUNCTION("""COMPUTED_VALUE"""),"US 112 CS DR JOSE DUSTAN CARVALHO SOARES")</f>
        <v>US 112 CS DR JOSE DUSTAN CARVALHO SOARES</v>
      </c>
      <c r="H461" s="27">
        <f>IFERROR(__xludf.DUMMYFUNCTION("""COMPUTED_VALUE"""),81999241693)</f>
        <v>81999241693</v>
      </c>
      <c r="I461" s="11"/>
      <c r="J461" s="11"/>
      <c r="K461" s="24">
        <f>IFERROR(__xludf.DUMMYFUNCTION("""COMPUTED_VALUE"""),45401)</f>
        <v>45401</v>
      </c>
      <c r="L461" s="11"/>
      <c r="M461" s="11"/>
      <c r="N461" s="11"/>
      <c r="O461" s="11"/>
      <c r="P461" s="11"/>
      <c r="Q461" s="11"/>
      <c r="R461" s="11"/>
      <c r="S461" s="11"/>
      <c r="T461" s="11"/>
      <c r="U461" s="11"/>
      <c r="V461" s="11"/>
      <c r="W461" s="11"/>
      <c r="X461" s="11"/>
      <c r="Y461" s="11"/>
      <c r="Z461" s="11"/>
    </row>
    <row r="462" customHeight="1" spans="1:26">
      <c r="A462" s="11" t="str">
        <f>IFERROR(__xludf.DUMMYFUNCTION("""COMPUTED_VALUE"""),"GISELIA RODRIGUES DE ALBUQUERQUE")</f>
        <v>GISELIA RODRIGUES DE ALBUQUERQUE</v>
      </c>
      <c r="B462" s="11"/>
      <c r="C462" s="11"/>
      <c r="D462" s="11" t="str">
        <f>IFERROR(__xludf.DUMMYFUNCTION("""COMPUTED_VALUE"""),"Dentista")</f>
        <v>Dentista</v>
      </c>
      <c r="E462" s="11" t="str">
        <f>IFERROR(__xludf.DUMMYFUNCTION("""COMPUTED_VALUE"""),"IV")</f>
        <v>IV</v>
      </c>
      <c r="F462" s="11" t="str">
        <f>IFERROR(__xludf.DUMMYFUNCTION("""COMPUTED_VALUE"""),"US_112 CS DR JOSE DUSTAN CARVALHO SOARES	")</f>
        <v>US_112 CS DR JOSE DUSTAN CARVALHO SOARES	</v>
      </c>
      <c r="G462" s="11" t="str">
        <f>IFERROR(__xludf.DUMMYFUNCTION("""COMPUTED_VALUE"""),"US 112 CS DR JOSE DUSTAN CARVALHO SOARES")</f>
        <v>US 112 CS DR JOSE DUSTAN CARVALHO SOARES</v>
      </c>
      <c r="H462" s="27">
        <f>IFERROR(__xludf.DUMMYFUNCTION("""COMPUTED_VALUE"""),81987252452)</f>
        <v>81987252452</v>
      </c>
      <c r="I462" s="11"/>
      <c r="J462" s="11"/>
      <c r="K462" s="11"/>
      <c r="L462" s="11"/>
      <c r="M462" s="28" t="str">
        <f>IFERROR(__xludf.DUMMYFUNCTION("""COMPUTED_VALUE"""),"3355-4139")</f>
        <v>3355-4139</v>
      </c>
      <c r="N462" s="11" t="str">
        <f>IFERROR(__xludf.DUMMYFUNCTION("""COMPUTED_VALUE"""),"GISELIAQUERQUE@OI.COM.BR")</f>
        <v>GISELIAQUERQUE@OI.COM.BR</v>
      </c>
      <c r="O462" s="29">
        <f>IFERROR(__xludf.DUMMYFUNCTION("""COMPUTED_VALUE"""),45590303400)</f>
        <v>45590303400</v>
      </c>
      <c r="P462" s="30" t="str">
        <f>IFERROR(__xludf.DUMMYFUNCTION("""COMPUTED_VALUE"""),"170482124870002")</f>
        <v>170482124870002</v>
      </c>
      <c r="Q462" s="30" t="str">
        <f>IFERROR(__xludf.DUMMYFUNCTION("""COMPUTED_VALUE"""),"0001813")</f>
        <v>0001813</v>
      </c>
      <c r="R462" s="30" t="str">
        <f>IFERROR(__xludf.DUMMYFUNCTION("""COMPUTED_VALUE"""),"9000181301")</f>
        <v>9000181301</v>
      </c>
      <c r="S462" s="30" t="str">
        <f>IFERROR(__xludf.DUMMYFUNCTION("""COMPUTED_VALUE"""),"1")</f>
        <v>1</v>
      </c>
      <c r="T462" s="30" t="str">
        <f>IFERROR(__xludf.DUMMYFUNCTION("""COMPUTED_VALUE"""),"223208 ")</f>
        <v>223208 </v>
      </c>
      <c r="U462" s="31">
        <f>IFERROR(__xludf.DUMMYFUNCTION("""COMPUTED_VALUE"""),2232)</f>
        <v>2232</v>
      </c>
      <c r="V462" s="11"/>
      <c r="W462" s="11"/>
      <c r="X462" s="11"/>
      <c r="Y462" s="11"/>
      <c r="Z462" s="11"/>
    </row>
    <row r="463" customHeight="1" spans="1:26">
      <c r="A463" s="11" t="str">
        <f>IFERROR(__xludf.DUMMYFUNCTION("""COMPUTED_VALUE"""),"GISELIA RODRIGUES  ALBUQUERQUE")</f>
        <v>GISELIA RODRIGUES  ALBUQUERQUE</v>
      </c>
      <c r="B463" s="11"/>
      <c r="C463" s="11"/>
      <c r="D463" s="11" t="str">
        <f>IFERROR(__xludf.DUMMYFUNCTION("""COMPUTED_VALUE"""),"Dentista")</f>
        <v>Dentista</v>
      </c>
      <c r="E463" s="11" t="str">
        <f>IFERROR(__xludf.DUMMYFUNCTION("""COMPUTED_VALUE"""),"IV")</f>
        <v>IV</v>
      </c>
      <c r="F463" s="11" t="str">
        <f>IFERROR(__xludf.DUMMYFUNCTION("""COMPUTED_VALUE"""),"US_112 CS DR JOSE DUSTAN CARVALHO SOARES	")</f>
        <v>US_112 CS DR JOSE DUSTAN CARVALHO SOARES	</v>
      </c>
      <c r="G463" s="11" t="str">
        <f>IFERROR(__xludf.DUMMYFUNCTION("""COMPUTED_VALUE"""),"US 225 USF SKYLAB II")</f>
        <v>US 225 USF SKYLAB II</v>
      </c>
      <c r="H463" s="27">
        <f>IFERROR(__xludf.DUMMYFUNCTION("""COMPUTED_VALUE"""),81987252452)</f>
        <v>81987252452</v>
      </c>
      <c r="I463" s="11"/>
      <c r="J463" s="11"/>
      <c r="K463" s="11"/>
      <c r="L463" s="11"/>
      <c r="M463" s="28" t="str">
        <f>IFERROR(__xludf.DUMMYFUNCTION("""COMPUTED_VALUE"""),"3355-6933")</f>
        <v>3355-6933</v>
      </c>
      <c r="N463" s="11" t="str">
        <f>IFERROR(__xludf.DUMMYFUNCTION("""COMPUTED_VALUE"""),"giseliaquerque@oi.com.br")</f>
        <v>giseliaquerque@oi.com.br</v>
      </c>
      <c r="O463" s="29">
        <f>IFERROR(__xludf.DUMMYFUNCTION("""COMPUTED_VALUE"""),45590303400)</f>
        <v>45590303400</v>
      </c>
      <c r="P463" s="30" t="str">
        <f>IFERROR(__xludf.DUMMYFUNCTION("""COMPUTED_VALUE"""),"170482124870002	")</f>
        <v>170482124870002	</v>
      </c>
      <c r="Q463" s="30" t="str">
        <f>IFERROR(__xludf.DUMMYFUNCTION("""COMPUTED_VALUE"""),"0022306")</f>
        <v>0022306</v>
      </c>
      <c r="R463" s="30" t="str">
        <f>IFERROR(__xludf.DUMMYFUNCTION("""COMPUTED_VALUE"""),"0001799401")</f>
        <v>0001799401</v>
      </c>
      <c r="S463" s="30" t="str">
        <f>IFERROR(__xludf.DUMMYFUNCTION("""COMPUTED_VALUE"""),"1")</f>
        <v>1</v>
      </c>
      <c r="T463" s="30" t="str">
        <f>IFERROR(__xludf.DUMMYFUNCTION("""COMPUTED_VALUE"""),"223293")</f>
        <v>223293</v>
      </c>
      <c r="U463" s="31">
        <f>IFERROR(__xludf.DUMMYFUNCTION("""COMPUTED_VALUE"""),2232)</f>
        <v>2232</v>
      </c>
      <c r="V463" s="11"/>
      <c r="W463" s="11"/>
      <c r="X463" s="11"/>
      <c r="Y463" s="11"/>
      <c r="Z463" s="11"/>
    </row>
    <row r="464" customHeight="1" spans="1:26">
      <c r="A464" s="11" t="str">
        <f>IFERROR(__xludf.DUMMYFUNCTION("""COMPUTED_VALUE"""),"CAROLINE SANTOS TEIXEIRA")</f>
        <v>CAROLINE SANTOS TEIXEIRA</v>
      </c>
      <c r="B464" s="11"/>
      <c r="C464" s="11"/>
      <c r="D464" s="11" t="str">
        <f>IFERROR(__xludf.DUMMYFUNCTION("""COMPUTED_VALUE"""),"Enfermeira eSF")</f>
        <v>Enfermeira eSF</v>
      </c>
      <c r="E464" s="11" t="str">
        <f>IFERROR(__xludf.DUMMYFUNCTION("""COMPUTED_VALUE"""),"V")</f>
        <v>V</v>
      </c>
      <c r="F464" s="11" t="str">
        <f>IFERROR(__xludf.DUMMYFUNCTION("""COMPUTED_VALUE"""),"US_159 POLICLINICA AGAMENON MAGALHAES")</f>
        <v>US_159 POLICLINICA AGAMENON MAGALHAES</v>
      </c>
      <c r="G464" s="11" t="str">
        <f>IFERROR(__xludf.DUMMYFUNCTION("""COMPUTED_VALUE"""),"US 177 USF CHICO MENDES")</f>
        <v>US 177 USF CHICO MENDES</v>
      </c>
      <c r="H464" s="27">
        <f>IFERROR(__xludf.DUMMYFUNCTION("""COMPUTED_VALUE"""),81985053357)</f>
        <v>81985053357</v>
      </c>
      <c r="I464" s="27">
        <f>IFERROR(__xludf.DUMMYFUNCTION("""COMPUTED_VALUE"""),81994681676)</f>
        <v>81994681676</v>
      </c>
      <c r="J464" s="11"/>
      <c r="K464" s="11"/>
      <c r="L464" s="11"/>
      <c r="M464" s="28" t="str">
        <f>IFERROR(__xludf.DUMMYFUNCTION("""COMPUTED_VALUE"""),"3355-6426")</f>
        <v>3355-6426</v>
      </c>
      <c r="N464" s="11" t="str">
        <f>IFERROR(__xludf.DUMMYFUNCTION("""COMPUTED_VALUE"""),"caroline_santos@ig.com.br")</f>
        <v>caroline_santos@ig.com.br</v>
      </c>
      <c r="O464" s="29">
        <f>IFERROR(__xludf.DUMMYFUNCTION("""COMPUTED_VALUE"""),2463683490)</f>
        <v>2463683490</v>
      </c>
      <c r="P464" s="30" t="str">
        <f>IFERROR(__xludf.DUMMYFUNCTION("""COMPUTED_VALUE"""),"201533387540007")</f>
        <v>201533387540007</v>
      </c>
      <c r="Q464" s="30" t="str">
        <f>IFERROR(__xludf.DUMMYFUNCTION("""COMPUTED_VALUE"""),"0000965")</f>
        <v>0000965</v>
      </c>
      <c r="R464" s="30" t="str">
        <f>IFERROR(__xludf.DUMMYFUNCTION("""COMPUTED_VALUE"""),"0000152897")</f>
        <v>0000152897</v>
      </c>
      <c r="S464" s="30" t="str">
        <f>IFERROR(__xludf.DUMMYFUNCTION("""COMPUTED_VALUE"""),"1")</f>
        <v>1</v>
      </c>
      <c r="T464" s="30" t="str">
        <f>IFERROR(__xludf.DUMMYFUNCTION("""COMPUTED_VALUE"""),"223565")</f>
        <v>223565</v>
      </c>
      <c r="U464" s="31" t="str">
        <f>IFERROR(__xludf.DUMMYFUNCTION("""COMPUTED_VALUE"""),"2235")</f>
        <v>2235</v>
      </c>
      <c r="V464" s="11"/>
      <c r="W464" s="11">
        <f>IFERROR(__xludf.DUMMYFUNCTION("""COMPUTED_VALUE"""),8194681676)</f>
        <v>8194681676</v>
      </c>
      <c r="X464" s="11">
        <f>IFERROR(__xludf.DUMMYFUNCTION("""COMPUTED_VALUE"""),8132711725)</f>
        <v>8132711725</v>
      </c>
      <c r="Y464" s="11">
        <f>IFERROR(__xludf.DUMMYFUNCTION("""COMPUTED_VALUE"""),2463683490)</f>
        <v>2463683490</v>
      </c>
      <c r="Z464" s="11"/>
    </row>
    <row r="465" customHeight="1" spans="1:26">
      <c r="A465" s="11" t="str">
        <f>IFERROR(__xludf.DUMMYFUNCTION("""COMPUTED_VALUE"""),"MARIA ANGELA VAZ DE OLIVEIRA LUCENA")</f>
        <v>MARIA ANGELA VAZ DE OLIVEIRA LUCENA</v>
      </c>
      <c r="B465" s="11"/>
      <c r="C465" s="11"/>
      <c r="D465" s="11" t="str">
        <f>IFERROR(__xludf.DUMMYFUNCTION("""COMPUTED_VALUE"""),"Médico Pediatra")</f>
        <v>Médico Pediatra</v>
      </c>
      <c r="E465" s="11" t="str">
        <f>IFERROR(__xludf.DUMMYFUNCTION("""COMPUTED_VALUE"""),"IV")</f>
        <v>IV</v>
      </c>
      <c r="F465" s="11" t="str">
        <f>IFERROR(__xludf.DUMMYFUNCTION("""COMPUTED_VALUE"""),"US_112 CS DR JOSE DUSTAN CARVALHO SOARES	")</f>
        <v>US_112 CS DR JOSE DUSTAN CARVALHO SOARES	</v>
      </c>
      <c r="G465" s="11" t="str">
        <f>IFERROR(__xludf.DUMMYFUNCTION("""COMPUTED_VALUE"""),"US 112 CS DR JOSE DUSTAN CARVALHO SOARES")</f>
        <v>US 112 CS DR JOSE DUSTAN CARVALHO SOARES</v>
      </c>
      <c r="H465" s="27">
        <f>IFERROR(__xludf.DUMMYFUNCTION("""COMPUTED_VALUE"""),81992924402)</f>
        <v>81992924402</v>
      </c>
      <c r="I465" s="11"/>
      <c r="J465" s="11"/>
      <c r="K465" s="11"/>
      <c r="L465" s="11"/>
      <c r="M465" s="28" t="str">
        <f>IFERROR(__xludf.DUMMYFUNCTION("""COMPUTED_VALUE"""),"3355-4139")</f>
        <v>3355-4139</v>
      </c>
      <c r="N465" s="11" t="str">
        <f>IFERROR(__xludf.DUMMYFUNCTION("""COMPUTED_VALUE"""),"mangela.lucena@gmail.com")</f>
        <v>mangela.lucena@gmail.com</v>
      </c>
      <c r="O465" s="29">
        <f>IFERROR(__xludf.DUMMYFUNCTION("""COMPUTED_VALUE"""),40998584487)</f>
        <v>40998584487</v>
      </c>
      <c r="P465" s="30" t="str">
        <f>IFERROR(__xludf.DUMMYFUNCTION("""COMPUTED_VALUE"""),"206066735330007")</f>
        <v>206066735330007</v>
      </c>
      <c r="Q465" s="30" t="str">
        <f>IFERROR(__xludf.DUMMYFUNCTION("""COMPUTED_VALUE"""),"0001813")</f>
        <v>0001813</v>
      </c>
      <c r="R465" s="30" t="str">
        <f>IFERROR(__xludf.DUMMYFUNCTION("""COMPUTED_VALUE"""),"9000181302")</f>
        <v>9000181302</v>
      </c>
      <c r="S465" s="30" t="str">
        <f>IFERROR(__xludf.DUMMYFUNCTION("""COMPUTED_VALUE"""),"1")</f>
        <v>1</v>
      </c>
      <c r="T465" s="30" t="str">
        <f>IFERROR(__xludf.DUMMYFUNCTION("""COMPUTED_VALUE"""),"225124")</f>
        <v>225124</v>
      </c>
      <c r="U465" s="31" t="str">
        <f>IFERROR(__xludf.DUMMYFUNCTION("""COMPUTED_VALUE"""),"2251")</f>
        <v>2251</v>
      </c>
      <c r="V465" s="11"/>
      <c r="W465" s="11"/>
      <c r="X465" s="11" t="str">
        <f>IFERROR(__xludf.DUMMYFUNCTION("""COMPUTED_VALUE"""),"#N/A")</f>
        <v>#N/A</v>
      </c>
      <c r="Y465" s="11" t="str">
        <f>IFERROR(__xludf.DUMMYFUNCTION("""COMPUTED_VALUE"""),"#N/A")</f>
        <v>#N/A</v>
      </c>
      <c r="Z465" s="11" t="str">
        <f>IFERROR(__xludf.DUMMYFUNCTION("""COMPUTED_VALUE"""),"#N/A")</f>
        <v>#N/A</v>
      </c>
    </row>
    <row r="466" customHeight="1" spans="1:26">
      <c r="A466" s="11" t="str">
        <f>IFERROR(__xludf.DUMMYFUNCTION("""COMPUTED_VALUE"""),"ANA PAULA CARNEIRO DE ALBUQUERQUE CARNEVALE 106")</f>
        <v>ANA PAULA CARNEIRO DE ALBUQUERQUE CARNEVALE 106</v>
      </c>
      <c r="B466" s="11"/>
      <c r="C466" s="11"/>
      <c r="D466" s="11" t="str">
        <f>IFERROR(__xludf.DUMMYFUNCTION("""COMPUTED_VALUE"""),"Enfermeira")</f>
        <v>Enfermeira</v>
      </c>
      <c r="E466" s="11" t="str">
        <f>IFERROR(__xludf.DUMMYFUNCTION("""COMPUTED_VALUE"""),"IV")</f>
        <v>IV</v>
      </c>
      <c r="F466" s="11" t="str">
        <f>IFERROR(__xludf.DUMMYFUNCTION("""COMPUTED_VALUE"""),"US_106 CS PROF JOAQUIM CAVALCANTE	")</f>
        <v>US_106 CS PROF JOAQUIM CAVALCANTE	</v>
      </c>
      <c r="G466" s="11" t="str">
        <f>IFERROR(__xludf.DUMMYFUNCTION("""COMPUTED_VALUE"""),"US 106 CS PROF JOAQUIM CAVALCANTE")</f>
        <v>US 106 CS PROF JOAQUIM CAVALCANTE</v>
      </c>
      <c r="H466" s="27">
        <f>IFERROR(__xludf.DUMMYFUNCTION("""COMPUTED_VALUE"""),81999617934)</f>
        <v>81999617934</v>
      </c>
      <c r="I466" s="11"/>
      <c r="J466" s="11"/>
      <c r="K466" s="11"/>
      <c r="L466" s="11"/>
      <c r="M466" s="28" t="str">
        <f>IFERROR(__xludf.DUMMYFUNCTION("""COMPUTED_VALUE"""),"3355-4425")</f>
        <v>3355-4425</v>
      </c>
      <c r="N466" s="11" t="str">
        <f>IFERROR(__xludf.DUMMYFUNCTION("""COMPUTED_VALUE"""),"lucy_inha@hotmail.com / PAUCAHOJE@HOTMAIL.COM")</f>
        <v>lucy_inha@hotmail.com / PAUCAHOJE@HOTMAIL.COM</v>
      </c>
      <c r="O466" s="29">
        <f>IFERROR(__xludf.DUMMYFUNCTION("""COMPUTED_VALUE"""),48797456420)</f>
        <v>48797456420</v>
      </c>
      <c r="P466" s="30" t="str">
        <f>IFERROR(__xludf.DUMMYFUNCTION("""COMPUTED_VALUE"""),"200353711660002")</f>
        <v>200353711660002</v>
      </c>
      <c r="Q466" s="30" t="str">
        <f>IFERROR(__xludf.DUMMYFUNCTION("""COMPUTED_VALUE"""),"0000639")</f>
        <v>0000639</v>
      </c>
      <c r="R466" s="11"/>
      <c r="S466" s="30" t="str">
        <f>IFERROR(__xludf.DUMMYFUNCTION("""COMPUTED_VALUE"""),"1")</f>
        <v>1</v>
      </c>
      <c r="T466" s="30" t="str">
        <f>IFERROR(__xludf.DUMMYFUNCTION("""COMPUTED_VALUE"""),"223565")</f>
        <v>223565</v>
      </c>
      <c r="U466" s="31" t="str">
        <f>IFERROR(__xludf.DUMMYFUNCTION("""COMPUTED_VALUE"""),"2235")</f>
        <v>2235</v>
      </c>
      <c r="V466" s="11"/>
      <c r="W466" s="11"/>
      <c r="X466" s="11"/>
      <c r="Y466" s="11"/>
      <c r="Z466" s="11"/>
    </row>
    <row r="467" customHeight="1" spans="1:26">
      <c r="A467" s="11" t="str">
        <f>IFERROR(__xludf.DUMMYFUNCTION("""COMPUTED_VALUE"""),"ANA PAULA CARNEIRO DE ALBUQUERQUE CARNEVALLE 236")</f>
        <v>ANA PAULA CARNEIRO DE ALBUQUERQUE CARNEVALLE 236</v>
      </c>
      <c r="B467" s="11"/>
      <c r="C467" s="11"/>
      <c r="D467" s="11" t="str">
        <f>IFERROR(__xludf.DUMMYFUNCTION("""COMPUTED_VALUE"""),"Enfermeira eSF")</f>
        <v>Enfermeira eSF</v>
      </c>
      <c r="E467" s="11" t="str">
        <f>IFERROR(__xludf.DUMMYFUNCTION("""COMPUTED_VALUE"""),"IV")</f>
        <v>IV</v>
      </c>
      <c r="F467" s="11" t="str">
        <f>IFERROR(__xludf.DUMMYFUNCTION("""COMPUTED_VALUE"""),"US_106 CS PROF JOAQUIM CAVALCANTE	")</f>
        <v>US_106 CS PROF JOAQUIM CAVALCANTE	</v>
      </c>
      <c r="G467" s="11" t="str">
        <f>IFERROR(__xludf.DUMMYFUNCTION("""COMPUTED_VALUE"""),"US 236 USF RODA DE FOGO MACAE")</f>
        <v>US 236 USF RODA DE FOGO MACAE</v>
      </c>
      <c r="H467" s="27">
        <f>IFERROR(__xludf.DUMMYFUNCTION("""COMPUTED_VALUE"""),81999617934)</f>
        <v>81999617934</v>
      </c>
      <c r="I467" s="11"/>
      <c r="J467" s="11"/>
      <c r="K467" s="11"/>
      <c r="L467" s="11"/>
      <c r="M467" s="28" t="str">
        <f>IFERROR(__xludf.DUMMYFUNCTION("""COMPUTED_VALUE"""),"3355-6179")</f>
        <v>3355-6179</v>
      </c>
      <c r="N467" s="11" t="str">
        <f>IFERROR(__xludf.DUMMYFUNCTION("""COMPUTED_VALUE"""),"lucy_inha@hotmail.com / paulahoje@hotmail.com / paucahoje@hotmail.com")</f>
        <v>lucy_inha@hotmail.com / paulahoje@hotmail.com / paucahoje@hotmail.com</v>
      </c>
      <c r="O467" s="29">
        <f>IFERROR(__xludf.DUMMYFUNCTION("""COMPUTED_VALUE"""),48797456420)</f>
        <v>48797456420</v>
      </c>
      <c r="P467" s="30" t="str">
        <f>IFERROR(__xludf.DUMMYFUNCTION("""COMPUTED_VALUE"""),"200353711660002")</f>
        <v>200353711660002</v>
      </c>
      <c r="Q467" s="30" t="str">
        <f>IFERROR(__xludf.DUMMYFUNCTION("""COMPUTED_VALUE"""),"0022357")</f>
        <v>0022357</v>
      </c>
      <c r="R467" s="30" t="str">
        <f>IFERROR(__xludf.DUMMYFUNCTION("""COMPUTED_VALUE"""),"0000153885")</f>
        <v>0000153885</v>
      </c>
      <c r="S467" s="30" t="str">
        <f>IFERROR(__xludf.DUMMYFUNCTION("""COMPUTED_VALUE"""),"1")</f>
        <v>1</v>
      </c>
      <c r="T467" s="30" t="str">
        <f>IFERROR(__xludf.DUMMYFUNCTION("""COMPUTED_VALUE"""),"223565")</f>
        <v>223565</v>
      </c>
      <c r="U467" s="31" t="str">
        <f>IFERROR(__xludf.DUMMYFUNCTION("""COMPUTED_VALUE"""),"2235")</f>
        <v>2235</v>
      </c>
      <c r="V467" s="11"/>
      <c r="W467" s="11" t="str">
        <f>IFERROR(__xludf.DUMMYFUNCTION("""COMPUTED_VALUE"""),"#N/A")</f>
        <v>#N/A</v>
      </c>
      <c r="X467" s="11" t="str">
        <f>IFERROR(__xludf.DUMMYFUNCTION("""COMPUTED_VALUE"""),"#N/A")</f>
        <v>#N/A</v>
      </c>
      <c r="Y467" s="11" t="str">
        <f>IFERROR(__xludf.DUMMYFUNCTION("""COMPUTED_VALUE"""),"#N/A")</f>
        <v>#N/A</v>
      </c>
      <c r="Z467" s="11"/>
    </row>
    <row r="468" customHeight="1" spans="1:26">
      <c r="A468" s="11" t="str">
        <f>IFERROR(__xludf.DUMMYFUNCTION("""COMPUTED_VALUE"""),"CINTHIA IVO DA SILVA DIAS")</f>
        <v>CINTHIA IVO DA SILVA DIAS</v>
      </c>
      <c r="B468" s="11"/>
      <c r="C468" s="11"/>
      <c r="D468" s="11" t="str">
        <f>IFERROR(__xludf.DUMMYFUNCTION("""COMPUTED_VALUE"""),"Enfermeira eSF")</f>
        <v>Enfermeira eSF</v>
      </c>
      <c r="E468" s="11" t="str">
        <f>IFERROR(__xludf.DUMMYFUNCTION("""COMPUTED_VALUE"""),"IV")</f>
        <v>IV</v>
      </c>
      <c r="F468" s="11" t="str">
        <f>IFERROR(__xludf.DUMMYFUNCTION("""COMPUTED_VALUE"""),"US_184 USF VILA UNIAO / AIRTON SENA")</f>
        <v>US_184 USF VILA UNIAO / AIRTON SENA</v>
      </c>
      <c r="G468" s="11" t="str">
        <f>IFERROR(__xludf.DUMMYFUNCTION("""COMPUTED_VALUE"""),"US 184 USF VILA UNIAO")</f>
        <v>US 184 USF VILA UNIAO</v>
      </c>
      <c r="H468" s="27">
        <f>IFERROR(__xludf.DUMMYFUNCTION("""COMPUTED_VALUE"""),81991116211)</f>
        <v>81991116211</v>
      </c>
      <c r="I468" s="11"/>
      <c r="J468" s="11"/>
      <c r="K468" s="11"/>
      <c r="L468" s="11"/>
      <c r="M468" s="28" t="str">
        <f>IFERROR(__xludf.DUMMYFUNCTION("""COMPUTED_VALUE"""),"3355-4716")</f>
        <v>3355-4716</v>
      </c>
      <c r="N468" s="11" t="str">
        <f>IFERROR(__xludf.DUMMYFUNCTION("""COMPUTED_VALUE"""),"ivocdias@gmail.com")</f>
        <v>ivocdias@gmail.com</v>
      </c>
      <c r="O468" s="29">
        <f>IFERROR(__xludf.DUMMYFUNCTION("""COMPUTED_VALUE"""),983939446)</f>
        <v>983939446</v>
      </c>
      <c r="P468" s="30" t="str">
        <f>IFERROR(__xludf.DUMMYFUNCTION("""COMPUTED_VALUE"""),"980016004531281")</f>
        <v>980016004531281</v>
      </c>
      <c r="Q468" s="30" t="str">
        <f>IFERROR(__xludf.DUMMYFUNCTION("""COMPUTED_VALUE"""),"0001511")</f>
        <v>0001511</v>
      </c>
      <c r="R468" s="30" t="str">
        <f>IFERROR(__xludf.DUMMYFUNCTION("""COMPUTED_VALUE"""),"0000153281")</f>
        <v>0000153281</v>
      </c>
      <c r="S468" s="30" t="str">
        <f>IFERROR(__xludf.DUMMYFUNCTION("""COMPUTED_VALUE"""),"1")</f>
        <v>1</v>
      </c>
      <c r="T468" s="30" t="str">
        <f>IFERROR(__xludf.DUMMYFUNCTION("""COMPUTED_VALUE"""),"223565")</f>
        <v>223565</v>
      </c>
      <c r="U468" s="31" t="str">
        <f>IFERROR(__xludf.DUMMYFUNCTION("""COMPUTED_VALUE"""),"2235")</f>
        <v>2235</v>
      </c>
      <c r="V468" s="11"/>
      <c r="W468" s="11">
        <f>IFERROR(__xludf.DUMMYFUNCTION("""COMPUTED_VALUE"""),8191116211)</f>
        <v>8191116211</v>
      </c>
      <c r="X468" s="11">
        <f>IFERROR(__xludf.DUMMYFUNCTION("""COMPUTED_VALUE"""),8132725853)</f>
        <v>8132725853</v>
      </c>
      <c r="Y468" s="11">
        <f>IFERROR(__xludf.DUMMYFUNCTION("""COMPUTED_VALUE"""),983939446)</f>
        <v>983939446</v>
      </c>
      <c r="Z468" s="11"/>
    </row>
    <row r="469" customHeight="1" spans="1:26">
      <c r="A469" s="11" t="str">
        <f>IFERROR(__xludf.DUMMYFUNCTION("""COMPUTED_VALUE"""),"NIVEA CORREIA DA BARROS")</f>
        <v>NIVEA CORREIA DA BARROS</v>
      </c>
      <c r="B469" s="11"/>
      <c r="C469" s="11"/>
      <c r="D469" s="11" t="str">
        <f>IFERROR(__xludf.DUMMYFUNCTION("""COMPUTED_VALUE"""),"Enfermeira eSF")</f>
        <v>Enfermeira eSF</v>
      </c>
      <c r="E469" s="11" t="str">
        <f>IFERROR(__xludf.DUMMYFUNCTION("""COMPUTED_VALUE"""),"VIII")</f>
        <v>VIII</v>
      </c>
      <c r="F469" s="11" t="str">
        <f>IFERROR(__xludf.DUMMYFUNCTION("""COMPUTED_VALUE"""),"US_165 MATERNIDADE BANDEIRA FILHO")</f>
        <v>US_165 MATERNIDADE BANDEIRA FILHO</v>
      </c>
      <c r="G469" s="11" t="str">
        <f>IFERROR(__xludf.DUMMYFUNCTION("""COMPUTED_VALUE"""),"US 229 USF UR 10")</f>
        <v>US 229 USF UR 10</v>
      </c>
      <c r="H469" s="27">
        <f>IFERROR(__xludf.DUMMYFUNCTION("""COMPUTED_VALUE"""),81996660598)</f>
        <v>81996660598</v>
      </c>
      <c r="I469" s="11"/>
      <c r="J469" s="11"/>
      <c r="K469" s="11"/>
      <c r="L469" s="11"/>
      <c r="M469" s="28" t="str">
        <f>IFERROR(__xludf.DUMMYFUNCTION("""COMPUTED_VALUE"""),"3355-6909")</f>
        <v>3355-6909</v>
      </c>
      <c r="N469" s="11" t="str">
        <f>IFERROR(__xludf.DUMMYFUNCTION("""COMPUTED_VALUE"""),"niveape@hotmail.com")</f>
        <v>niveape@hotmail.com</v>
      </c>
      <c r="O469" s="29">
        <f>IFERROR(__xludf.DUMMYFUNCTION("""COMPUTED_VALUE"""),2251781412)</f>
        <v>2251781412</v>
      </c>
      <c r="P469" s="30" t="str">
        <f>IFERROR(__xludf.DUMMYFUNCTION("""COMPUTED_VALUE"""),"980016277585989")</f>
        <v>980016277585989</v>
      </c>
      <c r="Q469" s="30" t="str">
        <f>IFERROR(__xludf.DUMMYFUNCTION("""COMPUTED_VALUE"""),"0022462")</f>
        <v>0022462</v>
      </c>
      <c r="R469" s="30" t="str">
        <f>IFERROR(__xludf.DUMMYFUNCTION("""COMPUTED_VALUE"""),"0000154067")</f>
        <v>0000154067</v>
      </c>
      <c r="S469" s="30" t="str">
        <f>IFERROR(__xludf.DUMMYFUNCTION("""COMPUTED_VALUE"""),"1")</f>
        <v>1</v>
      </c>
      <c r="T469" s="30" t="str">
        <f>IFERROR(__xludf.DUMMYFUNCTION("""COMPUTED_VALUE"""),"223565")</f>
        <v>223565</v>
      </c>
      <c r="U469" s="31" t="str">
        <f>IFERROR(__xludf.DUMMYFUNCTION("""COMPUTED_VALUE"""),"2235")</f>
        <v>2235</v>
      </c>
      <c r="V469" s="11"/>
      <c r="W469" s="11" t="str">
        <f>IFERROR(__xludf.DUMMYFUNCTION("""COMPUTED_VALUE"""),"#N/A")</f>
        <v>#N/A</v>
      </c>
      <c r="X469" s="11" t="str">
        <f>IFERROR(__xludf.DUMMYFUNCTION("""COMPUTED_VALUE"""),"#N/A")</f>
        <v>#N/A</v>
      </c>
      <c r="Y469" s="11" t="str">
        <f>IFERROR(__xludf.DUMMYFUNCTION("""COMPUTED_VALUE"""),"#N/A")</f>
        <v>#N/A</v>
      </c>
      <c r="Z469" s="11"/>
    </row>
    <row r="470" customHeight="1" spans="1:26">
      <c r="A470" s="11" t="str">
        <f>IFERROR(__xludf.DUMMYFUNCTION("""COMPUTED_VALUE"""),"JEANE CRISTINE DOS SANTOS FERR")</f>
        <v>JEANE CRISTINE DOS SANTOS FERR</v>
      </c>
      <c r="B470" s="11"/>
      <c r="C470" s="11"/>
      <c r="D470" s="11" t="str">
        <f>IFERROR(__xludf.DUMMYFUNCTION("""COMPUTED_VALUE"""),"Dentista")</f>
        <v>Dentista</v>
      </c>
      <c r="E470" s="11" t="str">
        <f>IFERROR(__xludf.DUMMYFUNCTION("""COMPUTED_VALUE"""),"VII")</f>
        <v>VII</v>
      </c>
      <c r="F470" s="11" t="str">
        <f>IFERROR(__xludf.DUMMYFUNCTION("""COMPUTED_VALUE"""),"US_152 CS INA ROSA BORGES")</f>
        <v>US_152 CS INA ROSA BORGES</v>
      </c>
      <c r="G470" s="11" t="str">
        <f>IFERROR(__xludf.DUMMYFUNCTION("""COMPUTED_VALUE"""),"US 152 CS INA ROSA BORGES")</f>
        <v>US 152 CS INA ROSA BORGES</v>
      </c>
      <c r="H470" s="27">
        <f>IFERROR(__xludf.DUMMYFUNCTION("""COMPUTED_VALUE"""),81987034354)</f>
        <v>81987034354</v>
      </c>
      <c r="I470" s="11"/>
      <c r="J470" s="11"/>
      <c r="K470" s="11"/>
      <c r="L470" s="11"/>
      <c r="M470" s="28" t="str">
        <f>IFERROR(__xludf.DUMMYFUNCTION("""COMPUTED_VALUE"""),"3355-4408")</f>
        <v>3355-4408</v>
      </c>
      <c r="N470" s="11" t="str">
        <f>IFERROR(__xludf.DUMMYFUNCTION("""COMPUTED_VALUE"""),"jeane8ferreira@outlook.com")</f>
        <v>jeane8ferreira@outlook.com</v>
      </c>
      <c r="O470" s="29">
        <f>IFERROR(__xludf.DUMMYFUNCTION("""COMPUTED_VALUE"""),39761266400)</f>
        <v>39761266400</v>
      </c>
      <c r="P470" s="30" t="str">
        <f>IFERROR(__xludf.DUMMYFUNCTION("""COMPUTED_VALUE"""),"980016000634183")</f>
        <v>980016000634183</v>
      </c>
      <c r="Q470" s="30" t="str">
        <f>IFERROR(__xludf.DUMMYFUNCTION("""COMPUTED_VALUE"""),"0001236")</f>
        <v>0001236</v>
      </c>
      <c r="R470" s="30" t="str">
        <f>IFERROR(__xludf.DUMMYFUNCTION("""COMPUTED_VALUE"""),"9000123601")</f>
        <v>9000123601</v>
      </c>
      <c r="S470" s="30" t="str">
        <f>IFERROR(__xludf.DUMMYFUNCTION("""COMPUTED_VALUE"""),"1")</f>
        <v>1</v>
      </c>
      <c r="T470" s="30" t="str">
        <f>IFERROR(__xludf.DUMMYFUNCTION("""COMPUTED_VALUE"""),"223208 ")</f>
        <v>223208 </v>
      </c>
      <c r="U470" s="31">
        <f>IFERROR(__xludf.DUMMYFUNCTION("""COMPUTED_VALUE"""),2232)</f>
        <v>2232</v>
      </c>
      <c r="V470" s="11"/>
      <c r="W470" s="11"/>
      <c r="X470" s="11"/>
      <c r="Y470" s="11"/>
      <c r="Z470" s="11"/>
    </row>
    <row r="471" customHeight="1" spans="1:26">
      <c r="A471" s="11" t="str">
        <f>IFERROR(__xludf.DUMMYFUNCTION("""COMPUTED_VALUE"""),"MARIA DAS NEVES DA SILVA")</f>
        <v>MARIA DAS NEVES DA SILVA</v>
      </c>
      <c r="B471" s="11"/>
      <c r="C471" s="11"/>
      <c r="D471" s="11" t="str">
        <f>IFERROR(__xludf.DUMMYFUNCTION("""COMPUTED_VALUE"""),"Enfermeira eSF")</f>
        <v>Enfermeira eSF</v>
      </c>
      <c r="E471" s="11" t="str">
        <f>IFERROR(__xludf.DUMMYFUNCTION("""COMPUTED_VALUE"""),"IV")</f>
        <v>IV</v>
      </c>
      <c r="F471" s="11" t="str">
        <f>IFERROR(__xludf.DUMMYFUNCTION("""COMPUTED_VALUE"""),"US_247 USF ROSA SELVAGEM	")</f>
        <v>US_247 USF ROSA SELVAGEM	</v>
      </c>
      <c r="G471" s="11" t="str">
        <f>IFERROR(__xludf.DUMMYFUNCTION("""COMPUTED_VALUE"""),"US 247 USF ROSA SELVAGEM")</f>
        <v>US 247 USF ROSA SELVAGEM</v>
      </c>
      <c r="H471" s="27">
        <f>IFERROR(__xludf.DUMMYFUNCTION("""COMPUTED_VALUE"""),81999687113)</f>
        <v>81999687113</v>
      </c>
      <c r="I471" s="11"/>
      <c r="J471" s="11"/>
      <c r="K471" s="11"/>
      <c r="L471" s="11"/>
      <c r="M471" s="28" t="str">
        <f>IFERROR(__xludf.DUMMYFUNCTION("""COMPUTED_VALUE"""),"3355-0204/0206")</f>
        <v>3355-0204/0206</v>
      </c>
      <c r="N471" s="11" t="str">
        <f>IFERROR(__xludf.DUMMYFUNCTION("""COMPUTED_VALUE"""),"angelita080532@hotmail.com")</f>
        <v>angelita080532@hotmail.com</v>
      </c>
      <c r="O471" s="29">
        <f>IFERROR(__xludf.DUMMYFUNCTION("""COMPUTED_VALUE"""),45480303449)</f>
        <v>45480303449</v>
      </c>
      <c r="P471" s="30" t="str">
        <f>IFERROR(__xludf.DUMMYFUNCTION("""COMPUTED_VALUE"""),"206066748740004")</f>
        <v>206066748740004</v>
      </c>
      <c r="Q471" s="30" t="str">
        <f>IFERROR(__xludf.DUMMYFUNCTION("""COMPUTED_VALUE"""),"0022381")</f>
        <v>0022381</v>
      </c>
      <c r="R471" s="30" t="str">
        <f>IFERROR(__xludf.DUMMYFUNCTION("""COMPUTED_VALUE"""),"0000153931")</f>
        <v>0000153931</v>
      </c>
      <c r="S471" s="30" t="str">
        <f>IFERROR(__xludf.DUMMYFUNCTION("""COMPUTED_VALUE"""),"1")</f>
        <v>1</v>
      </c>
      <c r="T471" s="30" t="str">
        <f>IFERROR(__xludf.DUMMYFUNCTION("""COMPUTED_VALUE"""),"223565")</f>
        <v>223565</v>
      </c>
      <c r="U471" s="31" t="str">
        <f>IFERROR(__xludf.DUMMYFUNCTION("""COMPUTED_VALUE"""),"2235")</f>
        <v>2235</v>
      </c>
      <c r="V471" s="11"/>
      <c r="W471" s="11">
        <f>IFERROR(__xludf.DUMMYFUNCTION("""COMPUTED_VALUE"""),85476130)</f>
        <v>85476130</v>
      </c>
      <c r="X471" s="11"/>
      <c r="Y471" s="11">
        <f>IFERROR(__xludf.DUMMYFUNCTION("""COMPUTED_VALUE"""),17989442434)</f>
        <v>17989442434</v>
      </c>
      <c r="Z471" s="11"/>
    </row>
    <row r="472" customHeight="1" spans="1:26">
      <c r="A472" s="11" t="str">
        <f>IFERROR(__xludf.DUMMYFUNCTION("""COMPUTED_VALUE"""),"MARIA CAROLINA VASCONCELOS DOS SANTOS")</f>
        <v>MARIA CAROLINA VASCONCELOS DOS SANTOS</v>
      </c>
      <c r="B472" s="11"/>
      <c r="C472" s="11"/>
      <c r="D472" s="11" t="str">
        <f>IFERROR(__xludf.DUMMYFUNCTION("""COMPUTED_VALUE"""),"Enfermeira")</f>
        <v>Enfermeira</v>
      </c>
      <c r="E472" s="11" t="str">
        <f>IFERROR(__xludf.DUMMYFUNCTION("""COMPUTED_VALUE"""),"V")</f>
        <v>V</v>
      </c>
      <c r="F472" s="11" t="str">
        <f>IFERROR(__xludf.DUMMYFUNCTION("""COMPUTED_VALUE"""),"US_142 CS BIDU KRAUSE")</f>
        <v>US_142 CS BIDU KRAUSE</v>
      </c>
      <c r="G472" s="11" t="str">
        <f>IFERROR(__xludf.DUMMYFUNCTION("""COMPUTED_VALUE"""),"US 142 CS BIDU KRAUSE")</f>
        <v>US 142 CS BIDU KRAUSE</v>
      </c>
      <c r="H472" s="27">
        <f>IFERROR(__xludf.DUMMYFUNCTION("""COMPUTED_VALUE"""),81988782442)</f>
        <v>81988782442</v>
      </c>
      <c r="I472" s="11"/>
      <c r="J472" s="11"/>
      <c r="K472" s="11"/>
      <c r="L472" s="11"/>
      <c r="M472" s="28" t="str">
        <f>IFERROR(__xludf.DUMMYFUNCTION("""COMPUTED_VALUE"""),"3355-0301")</f>
        <v>3355-0301</v>
      </c>
      <c r="N472" s="11" t="str">
        <f>IFERROR(__xludf.DUMMYFUNCTION("""COMPUTED_VALUE"""),"k_rolinas@hotmail.com")</f>
        <v>k_rolinas@hotmail.com</v>
      </c>
      <c r="O472" s="29">
        <f>IFERROR(__xludf.DUMMYFUNCTION("""COMPUTED_VALUE"""),3126570488)</f>
        <v>3126570488</v>
      </c>
      <c r="P472" s="30" t="str">
        <f>IFERROR(__xludf.DUMMYFUNCTION("""COMPUTED_VALUE"""),"980016278157891")</f>
        <v>980016278157891</v>
      </c>
      <c r="Q472" s="30" t="str">
        <f>IFERROR(__xludf.DUMMYFUNCTION("""COMPUTED_VALUE"""),"0000868")</f>
        <v>0000868</v>
      </c>
      <c r="R472" s="30" t="str">
        <f>IFERROR(__xludf.DUMMYFUNCTION("""COMPUTED_VALUE"""),"9000086805")</f>
        <v>9000086805</v>
      </c>
      <c r="S472" s="30" t="str">
        <f>IFERROR(__xludf.DUMMYFUNCTION("""COMPUTED_VALUE"""),"1")</f>
        <v>1</v>
      </c>
      <c r="T472" s="30" t="str">
        <f>IFERROR(__xludf.DUMMYFUNCTION("""COMPUTED_VALUE"""),"223565")</f>
        <v>223565</v>
      </c>
      <c r="U472" s="31" t="str">
        <f>IFERROR(__xludf.DUMMYFUNCTION("""COMPUTED_VALUE"""),"2235")</f>
        <v>2235</v>
      </c>
      <c r="V472" s="11"/>
      <c r="W472" s="11"/>
      <c r="X472" s="11"/>
      <c r="Y472" s="11"/>
      <c r="Z472" s="11"/>
    </row>
    <row r="473" customHeight="1" spans="1:26">
      <c r="A473" s="11" t="str">
        <f>IFERROR(__xludf.DUMMYFUNCTION("""COMPUTED_VALUE"""),"ANA CRISTINA LIMA CARVALHO")</f>
        <v>ANA CRISTINA LIMA CARVALHO</v>
      </c>
      <c r="B473" s="11"/>
      <c r="C473" s="11"/>
      <c r="D473" s="11" t="str">
        <f>IFERROR(__xludf.DUMMYFUNCTION("""COMPUTED_VALUE"""),"Enfermeira")</f>
        <v>Enfermeira</v>
      </c>
      <c r="E473" s="11" t="str">
        <f>IFERROR(__xludf.DUMMYFUNCTION("""COMPUTED_VALUE"""),"II")</f>
        <v>II</v>
      </c>
      <c r="F473" s="11" t="str">
        <f>IFERROR(__xludf.DUMMYFUNCTION("""COMPUTED_VALUE"""),"")</f>
        <v/>
      </c>
      <c r="G473" s="11" t="str">
        <f>IFERROR(__xludf.DUMMYFUNCTION("""COMPUTED_VALUE"""),"US 302 USF BYRON SARINHO")</f>
        <v>US 302 USF BYRON SARINHO</v>
      </c>
      <c r="H473" s="27">
        <f>IFERROR(__xludf.DUMMYFUNCTION("""COMPUTED_VALUE"""),8182492019)</f>
        <v>8182492019</v>
      </c>
      <c r="I473" s="11"/>
      <c r="J473" s="11"/>
      <c r="K473" s="24">
        <f>IFERROR(__xludf.DUMMYFUNCTION("""COMPUTED_VALUE"""),45167)</f>
        <v>45167</v>
      </c>
      <c r="L473" s="11"/>
      <c r="M473" s="11"/>
      <c r="N473" s="11"/>
      <c r="O473" s="11"/>
      <c r="P473" s="11"/>
      <c r="Q473" s="11"/>
      <c r="R473" s="11"/>
      <c r="S473" s="11"/>
      <c r="T473" s="11"/>
      <c r="U473" s="11"/>
      <c r="V473" s="11"/>
      <c r="W473" s="11"/>
      <c r="X473" s="11"/>
      <c r="Y473" s="11"/>
      <c r="Z473" s="11"/>
    </row>
    <row r="474" customHeight="1" spans="1:26">
      <c r="A474" s="11" t="str">
        <f>IFERROR(__xludf.DUMMYFUNCTION("""COMPUTED_VALUE"""),"MARIA CRISTIANE NASCIMENTO FERREIRA")</f>
        <v>MARIA CRISTIANE NASCIMENTO FERREIRA</v>
      </c>
      <c r="B474" s="11"/>
      <c r="C474" s="11"/>
      <c r="D474" s="11" t="str">
        <f>IFERROR(__xludf.DUMMYFUNCTION("""COMPUTED_VALUE"""),"Enfermeira eSF")</f>
        <v>Enfermeira eSF</v>
      </c>
      <c r="E474" s="11" t="str">
        <f>IFERROR(__xludf.DUMMYFUNCTION("""COMPUTED_VALUE"""),"II")</f>
        <v>II</v>
      </c>
      <c r="F474" s="11" t="str">
        <f>IFERROR(__xludf.DUMMYFUNCTION("""COMPUTED_VALUE"""),"US_302 USF BYRON SARINHO	")</f>
        <v>US_302 USF BYRON SARINHO	</v>
      </c>
      <c r="G474" s="11" t="str">
        <f>IFERROR(__xludf.DUMMYFUNCTION("""COMPUTED_VALUE"""),"US 302 USF BYRON SARINHO")</f>
        <v>US 302 USF BYRON SARINHO</v>
      </c>
      <c r="H474" s="27">
        <f>IFERROR(__xludf.DUMMYFUNCTION("""COMPUTED_VALUE"""),81996331645)</f>
        <v>81996331645</v>
      </c>
      <c r="I474" s="27">
        <f>IFERROR(__xludf.DUMMYFUNCTION("""COMPUTED_VALUE"""),81999684710)</f>
        <v>81999684710</v>
      </c>
      <c r="J474" s="11"/>
      <c r="K474" s="11"/>
      <c r="L474" s="11"/>
      <c r="M474" s="28" t="str">
        <f>IFERROR(__xludf.DUMMYFUNCTION("""COMPUTED_VALUE"""),"3355-6511")</f>
        <v>3355-6511</v>
      </c>
      <c r="N474" s="11" t="str">
        <f>IFERROR(__xludf.DUMMYFUNCTION("""COMPUTED_VALUE"""),"mariacrisnf@gmail.com")</f>
        <v>mariacrisnf@gmail.com</v>
      </c>
      <c r="O474" s="29">
        <f>IFERROR(__xludf.DUMMYFUNCTION("""COMPUTED_VALUE"""),79577229468)</f>
        <v>79577229468</v>
      </c>
      <c r="P474" s="30" t="str">
        <f>IFERROR(__xludf.DUMMYFUNCTION("""COMPUTED_VALUE"""),"980016004032978")</f>
        <v>980016004032978</v>
      </c>
      <c r="Q474" s="30" t="str">
        <f>IFERROR(__xludf.DUMMYFUNCTION("""COMPUTED_VALUE"""),"3301974")</f>
        <v>3301974</v>
      </c>
      <c r="R474" s="30" t="str">
        <f>IFERROR(__xludf.DUMMYFUNCTION("""COMPUTED_VALUE"""),"0000155233")</f>
        <v>0000155233</v>
      </c>
      <c r="S474" s="30" t="str">
        <f>IFERROR(__xludf.DUMMYFUNCTION("""COMPUTED_VALUE"""),"1")</f>
        <v>1</v>
      </c>
      <c r="T474" s="30" t="str">
        <f>IFERROR(__xludf.DUMMYFUNCTION("""COMPUTED_VALUE"""),"223565")</f>
        <v>223565</v>
      </c>
      <c r="U474" s="31" t="str">
        <f>IFERROR(__xludf.DUMMYFUNCTION("""COMPUTED_VALUE"""),"2235")</f>
        <v>2235</v>
      </c>
      <c r="V474" s="11"/>
      <c r="W474" s="11">
        <f>IFERROR(__xludf.DUMMYFUNCTION("""COMPUTED_VALUE"""),8132722018)</f>
        <v>8132722018</v>
      </c>
      <c r="X474" s="11">
        <f>IFERROR(__xludf.DUMMYFUNCTION("""COMPUTED_VALUE"""),8199684710)</f>
        <v>8199684710</v>
      </c>
      <c r="Y474" s="11">
        <f>IFERROR(__xludf.DUMMYFUNCTION("""COMPUTED_VALUE"""),79577229468)</f>
        <v>79577229468</v>
      </c>
      <c r="Z474" s="11"/>
    </row>
    <row r="475" customHeight="1" spans="1:26">
      <c r="A475" s="11" t="str">
        <f>IFERROR(__xludf.DUMMYFUNCTION("""COMPUTED_VALUE"""),"ARIDIANA PAULA NERIS MUDO")</f>
        <v>ARIDIANA PAULA NERIS MUDO</v>
      </c>
      <c r="B475" s="11"/>
      <c r="C475" s="11"/>
      <c r="D475" s="11" t="str">
        <f>IFERROR(__xludf.DUMMYFUNCTION("""COMPUTED_VALUE"""),"MÉDICA")</f>
        <v>MÉDICA</v>
      </c>
      <c r="E475" s="11"/>
      <c r="F475" s="11"/>
      <c r="G475" s="11" t="str">
        <f>IFERROR(__xludf.DUMMYFUNCTION("""COMPUTED_VALUE"""),"US 261 USF ALTO DO EUCALIPTO")</f>
        <v>US 261 USF ALTO DO EUCALIPTO</v>
      </c>
      <c r="H475" s="27">
        <f>IFERROR(__xludf.DUMMYFUNCTION("""COMPUTED_VALUE"""),81993042092)</f>
        <v>81993042092</v>
      </c>
      <c r="I475" s="27">
        <f>IFERROR(__xludf.DUMMYFUNCTION("""COMPUTED_VALUE"""),45988332578)</f>
        <v>45988332578</v>
      </c>
      <c r="J475" s="11"/>
      <c r="K475" s="24">
        <f>IFERROR(__xludf.DUMMYFUNCTION("""COMPUTED_VALUE"""),45436)</f>
        <v>45436</v>
      </c>
      <c r="L475" s="11"/>
      <c r="M475" s="11"/>
      <c r="N475" s="11"/>
      <c r="O475" s="11"/>
      <c r="P475" s="11"/>
      <c r="Q475" s="11"/>
      <c r="R475" s="11"/>
      <c r="S475" s="11"/>
      <c r="T475" s="11"/>
      <c r="U475" s="11"/>
      <c r="V475" s="11"/>
      <c r="W475" s="11"/>
      <c r="X475" s="11"/>
      <c r="Y475" s="11"/>
      <c r="Z475" s="11"/>
    </row>
    <row r="476" customHeight="1" spans="1:26">
      <c r="A476" s="11" t="str">
        <f>IFERROR(__xludf.DUMMYFUNCTION("""COMPUTED_VALUE"""),"NANCY CAVALCANTI GALINDO")</f>
        <v>NANCY CAVALCANTI GALINDO</v>
      </c>
      <c r="B476" s="11"/>
      <c r="C476" s="11"/>
      <c r="D476" s="11" t="str">
        <f>IFERROR(__xludf.DUMMYFUNCTION("""COMPUTED_VALUE"""),"Médica eSF")</f>
        <v>Médica eSF</v>
      </c>
      <c r="E476" s="11" t="str">
        <f>IFERROR(__xludf.DUMMYFUNCTION("""COMPUTED_VALUE"""),"VII")</f>
        <v>VII</v>
      </c>
      <c r="F476" s="11" t="str">
        <f>IFERROR(__xludf.DUMMYFUNCTION("""COMPUTED_VALUE"""),"US_153 POLICLINICA E MATERNIDADE ARNALDO MARQUES")</f>
        <v>US_153 POLICLINICA E MATERNIDADE ARNALDO MARQUES</v>
      </c>
      <c r="G476" s="11" t="str">
        <f>IFERROR(__xludf.DUMMYFUNCTION("""COMPUTED_VALUE"""),"US 261 USF ALTO DO EUCALIPTO")</f>
        <v>US 261 USF ALTO DO EUCALIPTO</v>
      </c>
      <c r="H476" s="27">
        <f>IFERROR(__xludf.DUMMYFUNCTION("""COMPUTED_VALUE"""),81999484852)</f>
        <v>81999484852</v>
      </c>
      <c r="I476" s="11"/>
      <c r="J476" s="11"/>
      <c r="K476" s="11"/>
      <c r="L476" s="11"/>
      <c r="M476" s="28" t="str">
        <f>IFERROR(__xludf.DUMMYFUNCTION("""COMPUTED_VALUE"""),"3355-6082")</f>
        <v>3355-6082</v>
      </c>
      <c r="N476" s="11" t="str">
        <f>IFERROR(__xludf.DUMMYFUNCTION("""COMPUTED_VALUE"""),"nancycgalindo@ig.com.br")</f>
        <v>nancycgalindo@ig.com.br</v>
      </c>
      <c r="O476" s="29">
        <f>IFERROR(__xludf.DUMMYFUNCTION("""COMPUTED_VALUE"""),89554655487)</f>
        <v>89554655487</v>
      </c>
      <c r="P476" s="30" t="str">
        <f>IFERROR(__xludf.DUMMYFUNCTION("""COMPUTED_VALUE"""),"127692624500009")</f>
        <v>127692624500009</v>
      </c>
      <c r="Q476" s="30" t="str">
        <f>IFERROR(__xludf.DUMMYFUNCTION("""COMPUTED_VALUE"""),"0026301")</f>
        <v>0026301</v>
      </c>
      <c r="R476" s="30" t="str">
        <f>IFERROR(__xludf.DUMMYFUNCTION("""COMPUTED_VALUE"""),"0000154229")</f>
        <v>0000154229</v>
      </c>
      <c r="S476" s="30" t="str">
        <f>IFERROR(__xludf.DUMMYFUNCTION("""COMPUTED_VALUE"""),"1")</f>
        <v>1</v>
      </c>
      <c r="T476" s="30" t="str">
        <f>IFERROR(__xludf.DUMMYFUNCTION("""COMPUTED_VALUE"""),"225142")</f>
        <v>225142</v>
      </c>
      <c r="U476" s="31" t="str">
        <f>IFERROR(__xludf.DUMMYFUNCTION("""COMPUTED_VALUE"""),"2251")</f>
        <v>2251</v>
      </c>
      <c r="V476" s="11"/>
      <c r="W476" s="11"/>
      <c r="X476" s="11" t="str">
        <f>IFERROR(__xludf.DUMMYFUNCTION("""COMPUTED_VALUE"""),"81 33047428")</f>
        <v>81 33047428</v>
      </c>
      <c r="Y476" s="11" t="str">
        <f>IFERROR(__xludf.DUMMYFUNCTION("""COMPUTED_VALUE"""),"81 99484852")</f>
        <v>81 99484852</v>
      </c>
      <c r="Z476" s="11">
        <f>IFERROR(__xludf.DUMMYFUNCTION("""COMPUTED_VALUE"""),89554655487)</f>
        <v>89554655487</v>
      </c>
    </row>
    <row r="477" customHeight="1" spans="1:26">
      <c r="A477" s="11" t="str">
        <f>IFERROR(__xludf.DUMMYFUNCTION("""COMPUTED_VALUE"""),"JESSICA C DE S A ALBUQUERQUE")</f>
        <v>JESSICA C DE S A ALBUQUERQUE</v>
      </c>
      <c r="B477" s="11"/>
      <c r="C477" s="11"/>
      <c r="D477" s="11" t="str">
        <f>IFERROR(__xludf.DUMMYFUNCTION("""COMPUTED_VALUE"""),"Dentista")</f>
        <v>Dentista</v>
      </c>
      <c r="E477" s="11" t="str">
        <f>IFERROR(__xludf.DUMMYFUNCTION("""COMPUTED_VALUE"""),"VI")</f>
        <v>VI</v>
      </c>
      <c r="F477" s="11" t="str">
        <f>IFERROR(__xludf.DUMMYFUNCTION("""COMPUTED_VALUE"""),"US_297 USF DO PINA -  JOAO RODRIGUES")</f>
        <v>US_297 USF DO PINA -  JOAO RODRIGUES</v>
      </c>
      <c r="G477" s="11" t="str">
        <f>IFERROR(__xludf.DUMMYFUNCTION("""COMPUTED_VALUE"""),"US 297 USF DO PINA")</f>
        <v>US 297 USF DO PINA</v>
      </c>
      <c r="H477" s="27">
        <f>IFERROR(__xludf.DUMMYFUNCTION("""COMPUTED_VALUE"""),81987141387)</f>
        <v>81987141387</v>
      </c>
      <c r="I477" s="11"/>
      <c r="J477" s="11"/>
      <c r="K477" s="11"/>
      <c r="L477" s="11"/>
      <c r="M477" s="28" t="str">
        <f>IFERROR(__xludf.DUMMYFUNCTION("""COMPUTED_VALUE"""),"3355-4686")</f>
        <v>3355-4686</v>
      </c>
      <c r="N477" s="11" t="str">
        <f>IFERROR(__xludf.DUMMYFUNCTION("""COMPUTED_VALUE"""),"jessica.cristina@yahoo.com.br")</f>
        <v>jessica.cristina@yahoo.com.br</v>
      </c>
      <c r="O477" s="29">
        <f>IFERROR(__xludf.DUMMYFUNCTION("""COMPUTED_VALUE"""),2121313460)</f>
        <v>2121313460</v>
      </c>
      <c r="P477" s="30" t="str">
        <f>IFERROR(__xludf.DUMMYFUNCTION("""COMPUTED_VALUE"""),"200837493780000")</f>
        <v>200837493780000</v>
      </c>
      <c r="Q477" s="30" t="str">
        <f>IFERROR(__xludf.DUMMYFUNCTION("""COMPUTED_VALUE"""),"3153568")</f>
        <v>3153568</v>
      </c>
      <c r="R477" s="30" t="str">
        <f>IFERROR(__xludf.DUMMYFUNCTION("""COMPUTED_VALUE"""),"0001847325")</f>
        <v>0001847325</v>
      </c>
      <c r="S477" s="30" t="str">
        <f>IFERROR(__xludf.DUMMYFUNCTION("""COMPUTED_VALUE"""),"1")</f>
        <v>1</v>
      </c>
      <c r="T477" s="30" t="str">
        <f>IFERROR(__xludf.DUMMYFUNCTION("""COMPUTED_VALUE"""),"223293")</f>
        <v>223293</v>
      </c>
      <c r="U477" s="31">
        <f>IFERROR(__xludf.DUMMYFUNCTION("""COMPUTED_VALUE"""),2232)</f>
        <v>2232</v>
      </c>
      <c r="V477" s="11"/>
      <c r="W477" s="11"/>
      <c r="X477" s="11"/>
      <c r="Y477" s="11"/>
      <c r="Z477" s="11"/>
    </row>
    <row r="478" customHeight="1" spans="1:26">
      <c r="A478" s="11" t="str">
        <f>IFERROR(__xludf.DUMMYFUNCTION("""COMPUTED_VALUE"""),"MIREIDE DO CARMO DE MELO")</f>
        <v>MIREIDE DO CARMO DE MELO</v>
      </c>
      <c r="B478" s="11"/>
      <c r="C478" s="11"/>
      <c r="D478" s="11" t="str">
        <f>IFERROR(__xludf.DUMMYFUNCTION("""COMPUTED_VALUE"""),"Enfermeira eSF")</f>
        <v>Enfermeira eSF</v>
      </c>
      <c r="E478" s="11" t="str">
        <f>IFERROR(__xludf.DUMMYFUNCTION("""COMPUTED_VALUE"""),"IV")</f>
        <v>IV</v>
      </c>
      <c r="F478" s="11" t="str">
        <f>IFERROR(__xludf.DUMMYFUNCTION("""COMPUTED_VALUE"""),"US_224 USF CARANGUEJO")</f>
        <v>US_224 USF CARANGUEJO</v>
      </c>
      <c r="G478" s="11" t="str">
        <f>IFERROR(__xludf.DUMMYFUNCTION("""COMPUTED_VALUE"""),"US 224 USF CARANGUEJO")</f>
        <v>US 224 USF CARANGUEJO</v>
      </c>
      <c r="H478" s="27">
        <f>IFERROR(__xludf.DUMMYFUNCTION("""COMPUTED_VALUE"""),81999637102)</f>
        <v>81999637102</v>
      </c>
      <c r="I478" s="11"/>
      <c r="J478" s="11"/>
      <c r="K478" s="11"/>
      <c r="L478" s="11"/>
      <c r="M478" s="28" t="str">
        <f>IFERROR(__xludf.DUMMYFUNCTION("""COMPUTED_VALUE"""),"3355-4644")</f>
        <v>3355-4644</v>
      </c>
      <c r="N478" s="11" t="str">
        <f>IFERROR(__xludf.DUMMYFUNCTION("""COMPUTED_VALUE"""),"mireide.melo@yahoo.com.br")</f>
        <v>mireide.melo@yahoo.com.br</v>
      </c>
      <c r="O478" s="29">
        <f>IFERROR(__xludf.DUMMYFUNCTION("""COMPUTED_VALUE"""),35203811415)</f>
        <v>35203811415</v>
      </c>
      <c r="P478" s="30" t="str">
        <f>IFERROR(__xludf.DUMMYFUNCTION("""COMPUTED_VALUE"""),"120705498540005")</f>
        <v>120705498540005</v>
      </c>
      <c r="Q478" s="30" t="str">
        <f>IFERROR(__xludf.DUMMYFUNCTION("""COMPUTED_VALUE"""),"0022373")</f>
        <v>0022373</v>
      </c>
      <c r="R478" s="30" t="str">
        <f>IFERROR(__xludf.DUMMYFUNCTION("""COMPUTED_VALUE"""),"0000153923")</f>
        <v>0000153923</v>
      </c>
      <c r="S478" s="30" t="str">
        <f>IFERROR(__xludf.DUMMYFUNCTION("""COMPUTED_VALUE"""),"1")</f>
        <v>1</v>
      </c>
      <c r="T478" s="30" t="str">
        <f>IFERROR(__xludf.DUMMYFUNCTION("""COMPUTED_VALUE"""),"223565")</f>
        <v>223565</v>
      </c>
      <c r="U478" s="31" t="str">
        <f>IFERROR(__xludf.DUMMYFUNCTION("""COMPUTED_VALUE"""),"2235")</f>
        <v>2235</v>
      </c>
      <c r="V478" s="11"/>
      <c r="W478" s="11" t="str">
        <f>IFERROR(__xludf.DUMMYFUNCTION("""COMPUTED_VALUE"""),"3039-0027")</f>
        <v>3039-0027</v>
      </c>
      <c r="X478" s="11" t="str">
        <f>IFERROR(__xludf.DUMMYFUNCTION("""COMPUTED_VALUE"""),"99121-0488")</f>
        <v>99121-0488</v>
      </c>
      <c r="Y478" s="11">
        <f>IFERROR(__xludf.DUMMYFUNCTION("""COMPUTED_VALUE"""),35203811415)</f>
        <v>35203811415</v>
      </c>
      <c r="Z478" s="11"/>
    </row>
    <row r="479" customHeight="1" spans="1:26">
      <c r="A479" s="11" t="str">
        <f>IFERROR(__xludf.DUMMYFUNCTION("""COMPUTED_VALUE"""),"MARIA JOSE RODRIGUES DA SILVA BERENGUER")</f>
        <v>MARIA JOSE RODRIGUES DA SILVA BERENGUER</v>
      </c>
      <c r="B479" s="11"/>
      <c r="C479" s="11"/>
      <c r="D479" s="11" t="str">
        <f>IFERROR(__xludf.DUMMYFUNCTION("""COMPUTED_VALUE"""),"Enfermeira eSF")</f>
        <v>Enfermeira eSF</v>
      </c>
      <c r="E479" s="11" t="str">
        <f>IFERROR(__xludf.DUMMYFUNCTION("""COMPUTED_VALUE"""),"VIII")</f>
        <v>VIII</v>
      </c>
      <c r="F479" s="11" t="str">
        <f>IFERROR(__xludf.DUMMYFUNCTION("""COMPUTED_VALUE"""),"US_298 USF JORDAO ALTO")</f>
        <v>US_298 USF JORDAO ALTO</v>
      </c>
      <c r="G479" s="11" t="str">
        <f>IFERROR(__xludf.DUMMYFUNCTION("""COMPUTED_VALUE"""),"US 298 USF JORDAO ALTO")</f>
        <v>US 298 USF JORDAO ALTO</v>
      </c>
      <c r="H479" s="27">
        <f>IFERROR(__xludf.DUMMYFUNCTION("""COMPUTED_VALUE"""),81988913097)</f>
        <v>81988913097</v>
      </c>
      <c r="I479" s="11"/>
      <c r="J479" s="11"/>
      <c r="K479" s="11"/>
      <c r="L479" s="11"/>
      <c r="M479" s="28" t="str">
        <f>IFERROR(__xludf.DUMMYFUNCTION("""COMPUTED_VALUE"""),"3355-6162")</f>
        <v>3355-6162</v>
      </c>
      <c r="N479" s="11" t="str">
        <f>IFERROR(__xludf.DUMMYFUNCTION("""COMPUTED_VALUE"""),"maryberenguer@ig.com.br")</f>
        <v>maryberenguer@ig.com.br</v>
      </c>
      <c r="O479" s="29">
        <f>IFERROR(__xludf.DUMMYFUNCTION("""COMPUTED_VALUE"""),1871853443)</f>
        <v>1871853443</v>
      </c>
      <c r="P479" s="30" t="str">
        <f>IFERROR(__xludf.DUMMYFUNCTION("""COMPUTED_VALUE"""),"980016277249741")</f>
        <v>980016277249741</v>
      </c>
      <c r="Q479" s="30" t="str">
        <f>IFERROR(__xludf.DUMMYFUNCTION("""COMPUTED_VALUE"""),"3153460")</f>
        <v>3153460</v>
      </c>
      <c r="R479" s="30" t="str">
        <f>IFERROR(__xludf.DUMMYFUNCTION("""COMPUTED_VALUE"""),"0000155098")</f>
        <v>0000155098</v>
      </c>
      <c r="S479" s="30" t="str">
        <f>IFERROR(__xludf.DUMMYFUNCTION("""COMPUTED_VALUE"""),"1")</f>
        <v>1</v>
      </c>
      <c r="T479" s="30" t="str">
        <f>IFERROR(__xludf.DUMMYFUNCTION("""COMPUTED_VALUE"""),"223565")</f>
        <v>223565</v>
      </c>
      <c r="U479" s="31" t="str">
        <f>IFERROR(__xludf.DUMMYFUNCTION("""COMPUTED_VALUE"""),"2235")</f>
        <v>2235</v>
      </c>
      <c r="V479" s="11"/>
      <c r="W479" s="11">
        <f>IFERROR(__xludf.DUMMYFUNCTION("""COMPUTED_VALUE"""),33140865)</f>
        <v>33140865</v>
      </c>
      <c r="X479" s="11">
        <f>IFERROR(__xludf.DUMMYFUNCTION("""COMPUTED_VALUE"""),88913097)</f>
        <v>88913097</v>
      </c>
      <c r="Y479" s="11">
        <f>IFERROR(__xludf.DUMMYFUNCTION("""COMPUTED_VALUE"""),1871853443)</f>
        <v>1871853443</v>
      </c>
      <c r="Z479" s="11"/>
    </row>
    <row r="480" customHeight="1" spans="1:26">
      <c r="A480" s="11" t="str">
        <f>IFERROR(__xludf.DUMMYFUNCTION("""COMPUTED_VALUE"""),"MARIANA CAMPINHO ARAUJO")</f>
        <v>MARIANA CAMPINHO ARAUJO</v>
      </c>
      <c r="B480" s="11"/>
      <c r="C480" s="11"/>
      <c r="D480" s="11" t="str">
        <f>IFERROR(__xludf.DUMMYFUNCTION("""COMPUTED_VALUE"""),"Dentista")</f>
        <v>Dentista</v>
      </c>
      <c r="E480" s="11" t="str">
        <f>IFERROR(__xludf.DUMMYFUNCTION("""COMPUTED_VALUE"""),"VIII")</f>
        <v>VIII</v>
      </c>
      <c r="F480" s="11" t="str">
        <f>IFERROR(__xludf.DUMMYFUNCTION("""COMPUTED_VALUE"""),"US_315 USF UR 3")</f>
        <v>US_315 USF UR 3</v>
      </c>
      <c r="G480" s="11" t="str">
        <f>IFERROR(__xludf.DUMMYFUNCTION("""COMPUTED_VALUE"""),"US 315 USF UR 3")</f>
        <v>US 315 USF UR 3</v>
      </c>
      <c r="H480" s="27">
        <f>IFERROR(__xludf.DUMMYFUNCTION("""COMPUTED_VALUE"""),81996827629)</f>
        <v>81996827629</v>
      </c>
      <c r="I480" s="11"/>
      <c r="J480" s="11"/>
      <c r="K480" s="11"/>
      <c r="L480" s="11"/>
      <c r="M480" s="28" t="str">
        <f>IFERROR(__xludf.DUMMYFUNCTION("""COMPUTED_VALUE"""),"3355-6452")</f>
        <v>3355-6452</v>
      </c>
      <c r="N480" s="11" t="str">
        <f>IFERROR(__xludf.DUMMYFUNCTION("""COMPUTED_VALUE"""),"maribr2@hotmail.com")</f>
        <v>maribr2@hotmail.com</v>
      </c>
      <c r="O480" s="29">
        <f>IFERROR(__xludf.DUMMYFUNCTION("""COMPUTED_VALUE"""),4388633488)</f>
        <v>4388633488</v>
      </c>
      <c r="P480" s="30" t="str">
        <f>IFERROR(__xludf.DUMMYFUNCTION("""COMPUTED_VALUE"""),"980016277945608	")</f>
        <v>980016277945608	</v>
      </c>
      <c r="Q480" s="30" t="str">
        <f>IFERROR(__xludf.DUMMYFUNCTION("""COMPUTED_VALUE"""),"3562638")</f>
        <v>3562638</v>
      </c>
      <c r="R480" s="30" t="str">
        <f>IFERROR(__xludf.DUMMYFUNCTION("""COMPUTED_VALUE"""),"0001856294")</f>
        <v>0001856294</v>
      </c>
      <c r="S480" s="30" t="str">
        <f>IFERROR(__xludf.DUMMYFUNCTION("""COMPUTED_VALUE"""),"1")</f>
        <v>1</v>
      </c>
      <c r="T480" s="30" t="str">
        <f>IFERROR(__xludf.DUMMYFUNCTION("""COMPUTED_VALUE"""),"223293")</f>
        <v>223293</v>
      </c>
      <c r="U480" s="31">
        <f>IFERROR(__xludf.DUMMYFUNCTION("""COMPUTED_VALUE"""),2232)</f>
        <v>2232</v>
      </c>
      <c r="V480" s="11"/>
      <c r="W480" s="11"/>
      <c r="X480" s="11"/>
      <c r="Y480" s="11"/>
      <c r="Z480" s="11"/>
    </row>
    <row r="481" customHeight="1" spans="1:26">
      <c r="A481" s="11" t="str">
        <f>IFERROR(__xludf.DUMMYFUNCTION("""COMPUTED_VALUE"""),"JOVINA COSTA PINTO DOS SANTOS COELHO")</f>
        <v>JOVINA COSTA PINTO DOS SANTOS COELHO</v>
      </c>
      <c r="B481" s="11"/>
      <c r="C481" s="11"/>
      <c r="D481" s="11" t="str">
        <f>IFERROR(__xludf.DUMMYFUNCTION("""COMPUTED_VALUE"""),"Dentista")</f>
        <v>Dentista</v>
      </c>
      <c r="E481" s="11" t="str">
        <f>IFERROR(__xludf.DUMMYFUNCTION("""COMPUTED_VALUE"""),"II")</f>
        <v>II</v>
      </c>
      <c r="F481" s="11" t="str">
        <f>IFERROR(__xludf.DUMMYFUNCTION("""COMPUTED_VALUE"""),"US_182 UPINHA UNIDADE DE SAUDE DA FAMILIA PADRE JOSE EDWALDO GOMES")</f>
        <v>US_182 UPINHA UNIDADE DE SAUDE DA FAMILIA PADRE JOSE EDWALDO GOMES</v>
      </c>
      <c r="G481" s="11" t="str">
        <f>IFERROR(__xludf.DUMMYFUNCTION("""COMPUTED_VALUE"""),"US 327 USF CLUBE DOS DELEGADOS")</f>
        <v>US 327 USF CLUBE DOS DELEGADOS</v>
      </c>
      <c r="H481" s="27">
        <f>IFERROR(__xludf.DUMMYFUNCTION("""COMPUTED_VALUE"""),81999186358)</f>
        <v>81999186358</v>
      </c>
      <c r="I481" s="11"/>
      <c r="J481" s="11"/>
      <c r="K481" s="11"/>
      <c r="L481" s="11"/>
      <c r="M481" s="28" t="str">
        <f>IFERROR(__xludf.DUMMYFUNCTION("""COMPUTED_VALUE"""),"3355-6905")</f>
        <v>3355-6905</v>
      </c>
      <c r="N481" s="11" t="str">
        <f>IFERROR(__xludf.DUMMYFUNCTION("""COMPUTED_VALUE"""),"jovinacd@gmail.com")</f>
        <v>jovinacd@gmail.com</v>
      </c>
      <c r="O481" s="29">
        <f>IFERROR(__xludf.DUMMYFUNCTION("""COMPUTED_VALUE"""),79922368404)</f>
        <v>79922368404</v>
      </c>
      <c r="P481" s="30" t="str">
        <f>IFERROR(__xludf.DUMMYFUNCTION("""COMPUTED_VALUE"""),"190092277180000")</f>
        <v>190092277180000</v>
      </c>
      <c r="Q481" s="30" t="str">
        <f>IFERROR(__xludf.DUMMYFUNCTION("""COMPUTED_VALUE"""),"3445275")</f>
        <v>3445275</v>
      </c>
      <c r="R481" s="30" t="str">
        <f>IFERROR(__xludf.DUMMYFUNCTION("""COMPUTED_VALUE"""),"0000155446	")</f>
        <v>0000155446	</v>
      </c>
      <c r="S481" s="30" t="str">
        <f>IFERROR(__xludf.DUMMYFUNCTION("""COMPUTED_VALUE"""),"1")</f>
        <v>1</v>
      </c>
      <c r="T481" s="30" t="str">
        <f>IFERROR(__xludf.DUMMYFUNCTION("""COMPUTED_VALUE"""),"223293")</f>
        <v>223293</v>
      </c>
      <c r="U481" s="31">
        <f>IFERROR(__xludf.DUMMYFUNCTION("""COMPUTED_VALUE"""),2232)</f>
        <v>2232</v>
      </c>
      <c r="V481" s="11"/>
      <c r="W481" s="11"/>
      <c r="X481" s="11"/>
      <c r="Y481" s="11"/>
      <c r="Z481" s="11"/>
    </row>
    <row r="482" customHeight="1" spans="1:26">
      <c r="A482" s="11" t="str">
        <f>IFERROR(__xludf.DUMMYFUNCTION("""COMPUTED_VALUE"""),"MARIA DE FATIMA FERREIRA VANDERLEY")</f>
        <v>MARIA DE FATIMA FERREIRA VANDERLEY</v>
      </c>
      <c r="B482" s="11"/>
      <c r="C482" s="11"/>
      <c r="D482" s="11" t="str">
        <f>IFERROR(__xludf.DUMMYFUNCTION("""COMPUTED_VALUE"""),"Médica eSF")</f>
        <v>Médica eSF</v>
      </c>
      <c r="E482" s="11" t="str">
        <f>IFERROR(__xludf.DUMMYFUNCTION("""COMPUTED_VALUE"""),"II")</f>
        <v>II</v>
      </c>
      <c r="F482" s="11" t="str">
        <f>IFERROR(__xludf.DUMMYFUNCTION("""COMPUTED_VALUE"""),"US_291 USF ALTO DOS COQUEIROS CORREGO DA JAQUEIRA")</f>
        <v>US_291 USF ALTO DOS COQUEIROS CORREGO DA JAQUEIRA</v>
      </c>
      <c r="G482" s="11" t="str">
        <f>IFERROR(__xludf.DUMMYFUNCTION("""COMPUTED_VALUE"""),"US 291 USF ALTO DOS COQUEIROS CORREGO DA JAQUEIRA")</f>
        <v>US 291 USF ALTO DOS COQUEIROS CORREGO DA JAQUEIRA</v>
      </c>
      <c r="H482" s="27">
        <f>IFERROR(__xludf.DUMMYFUNCTION("""COMPUTED_VALUE"""),81991331528)</f>
        <v>81991331528</v>
      </c>
      <c r="I482" s="11"/>
      <c r="J482" s="11"/>
      <c r="K482" s="11"/>
      <c r="L482" s="11"/>
      <c r="M482" s="28" t="str">
        <f>IFERROR(__xludf.DUMMYFUNCTION("""COMPUTED_VALUE"""),"3355-4660")</f>
        <v>3355-4660</v>
      </c>
      <c r="N482" s="11" t="str">
        <f>IFERROR(__xludf.DUMMYFUNCTION("""COMPUTED_VALUE"""),"faleao@bol.com / falleao@bol.com.br")</f>
        <v>faleao@bol.com / falleao@bol.com.br</v>
      </c>
      <c r="O482" s="29">
        <f>IFERROR(__xludf.DUMMYFUNCTION("""COMPUTED_VALUE"""),12780065400)</f>
        <v>12780065400</v>
      </c>
      <c r="P482" s="30" t="str">
        <f>IFERROR(__xludf.DUMMYFUNCTION("""COMPUTED_VALUE"""),"170220551470009")</f>
        <v>170220551470009</v>
      </c>
      <c r="Q482" s="30" t="str">
        <f>IFERROR(__xludf.DUMMYFUNCTION("""COMPUTED_VALUE"""),"3006468")</f>
        <v>3006468</v>
      </c>
      <c r="R482" s="30" t="str">
        <f>IFERROR(__xludf.DUMMYFUNCTION("""COMPUTED_VALUE"""),"0000154911")</f>
        <v>0000154911</v>
      </c>
      <c r="S482" s="30" t="str">
        <f>IFERROR(__xludf.DUMMYFUNCTION("""COMPUTED_VALUE"""),"1")</f>
        <v>1</v>
      </c>
      <c r="T482" s="30" t="str">
        <f>IFERROR(__xludf.DUMMYFUNCTION("""COMPUTED_VALUE"""),"225142")</f>
        <v>225142</v>
      </c>
      <c r="U482" s="11">
        <f>IFERROR(__xludf.DUMMYFUNCTION("""COMPUTED_VALUE"""),2251)</f>
        <v>2251</v>
      </c>
      <c r="V482" s="11"/>
      <c r="W482" s="11"/>
      <c r="X482" s="11">
        <f>IFERROR(__xludf.DUMMYFUNCTION("""COMPUTED_VALUE"""),81991331528)</f>
        <v>81991331528</v>
      </c>
      <c r="Y482" s="11">
        <f>IFERROR(__xludf.DUMMYFUNCTION("""COMPUTED_VALUE"""),8133141528)</f>
        <v>8133141528</v>
      </c>
      <c r="Z482" s="11">
        <f>IFERROR(__xludf.DUMMYFUNCTION("""COMPUTED_VALUE"""),12780065400)</f>
        <v>12780065400</v>
      </c>
    </row>
    <row r="483" customHeight="1" spans="1:26">
      <c r="A483" s="11" t="str">
        <f>IFERROR(__xludf.DUMMYFUNCTION("""COMPUTED_VALUE"""),"ROBERTA SANTOS LIMA")</f>
        <v>ROBERTA SANTOS LIMA</v>
      </c>
      <c r="B483" s="11"/>
      <c r="C483" s="11"/>
      <c r="D483" s="11" t="str">
        <f>IFERROR(__xludf.DUMMYFUNCTION("""COMPUTED_VALUE"""),"Médico Clínico")</f>
        <v>Médico Clínico</v>
      </c>
      <c r="E483" s="11" t="str">
        <f>IFERROR(__xludf.DUMMYFUNCTION("""COMPUTED_VALUE"""),"IV")</f>
        <v>IV</v>
      </c>
      <c r="F483" s="11" t="str">
        <f>IFERROR(__xludf.DUMMYFUNCTION("""COMPUTED_VALUE"""),"US_112 CS DR JOSE DUSTAN CARVALHO SOARES	")</f>
        <v>US_112 CS DR JOSE DUSTAN CARVALHO SOARES	</v>
      </c>
      <c r="G483" s="11" t="str">
        <f>IFERROR(__xludf.DUMMYFUNCTION("""COMPUTED_VALUE"""),"US 112 CS DR JOSE DUSTAN CARVALHO SOARES")</f>
        <v>US 112 CS DR JOSE DUSTAN CARVALHO SOARES</v>
      </c>
      <c r="H483" s="27">
        <f>IFERROR(__xludf.DUMMYFUNCTION("""COMPUTED_VALUE"""),81993092030)</f>
        <v>81993092030</v>
      </c>
      <c r="I483" s="11"/>
      <c r="J483" s="11"/>
      <c r="K483" s="11"/>
      <c r="L483" s="11"/>
      <c r="M483" s="28" t="str">
        <f>IFERROR(__xludf.DUMMYFUNCTION("""COMPUTED_VALUE"""),"3355-4139")</f>
        <v>3355-4139</v>
      </c>
      <c r="N483" s="11" t="str">
        <f>IFERROR(__xludf.DUMMYFUNCTION("""COMPUTED_VALUE"""),"robertaslima@hotmail.com.br / betaslima70@gmail.com")</f>
        <v>robertaslima@hotmail.com.br / betaslima70@gmail.com</v>
      </c>
      <c r="O483" s="29">
        <f>IFERROR(__xludf.DUMMYFUNCTION("""COMPUTED_VALUE"""),73269972415)</f>
        <v>73269972415</v>
      </c>
      <c r="P483" s="30" t="str">
        <f>IFERROR(__xludf.DUMMYFUNCTION("""COMPUTED_VALUE"""),"204324287090007")</f>
        <v>204324287090007</v>
      </c>
      <c r="Q483" s="30" t="str">
        <f>IFERROR(__xludf.DUMMYFUNCTION("""COMPUTED_VALUE"""),"0001813")</f>
        <v>0001813</v>
      </c>
      <c r="R483" s="11"/>
      <c r="S483" s="30" t="str">
        <f>IFERROR(__xludf.DUMMYFUNCTION("""COMPUTED_VALUE"""),"1")</f>
        <v>1</v>
      </c>
      <c r="T483" s="30" t="str">
        <f>IFERROR(__xludf.DUMMYFUNCTION("""COMPUTED_VALUE"""),"225125")</f>
        <v>225125</v>
      </c>
      <c r="U483" s="31" t="str">
        <f>IFERROR(__xludf.DUMMYFUNCTION("""COMPUTED_VALUE"""),"2251")</f>
        <v>2251</v>
      </c>
      <c r="V483" s="11" t="str">
        <f>IFERROR(__xludf.DUMMYFUNCTION("""COMPUTED_VALUE"""),"SIM")</f>
        <v>SIM</v>
      </c>
      <c r="W483" s="11" t="str">
        <f>IFERROR(__xludf.DUMMYFUNCTION("""COMPUTED_VALUE"""),"81 93092030")</f>
        <v>81 93092030</v>
      </c>
      <c r="X483" s="11" t="str">
        <f>IFERROR(__xludf.DUMMYFUNCTION("""COMPUTED_VALUE"""),"81 94944694")</f>
        <v>81 94944694</v>
      </c>
      <c r="Y483" s="11">
        <f>IFERROR(__xludf.DUMMYFUNCTION("""COMPUTED_VALUE"""),73269972415)</f>
        <v>73269972415</v>
      </c>
      <c r="Z483" s="11" t="str">
        <f>IFERROR(__xludf.DUMMYFUNCTION("""COMPUTED_VALUE"""),"robertaslima@hotmail.com.br")</f>
        <v>robertaslima@hotmail.com.br</v>
      </c>
    </row>
    <row r="484" customHeight="1" spans="1:26">
      <c r="A484" s="11" t="str">
        <f>IFERROR(__xludf.DUMMYFUNCTION("""COMPUTED_VALUE"""),"MARIA DE FATIMA CORDEIRO DE BARROS BRANDAO")</f>
        <v>MARIA DE FATIMA CORDEIRO DE BARROS BRANDAO</v>
      </c>
      <c r="B484" s="11"/>
      <c r="C484" s="11"/>
      <c r="D484" s="11" t="str">
        <f>IFERROR(__xludf.DUMMYFUNCTION("""COMPUTED_VALUE"""),"Médica Ginecologista")</f>
        <v>Médica Ginecologista</v>
      </c>
      <c r="E484" s="11" t="str">
        <f>IFERROR(__xludf.DUMMYFUNCTION("""COMPUTED_VALUE"""),"V")</f>
        <v>V</v>
      </c>
      <c r="F484" s="11" t="str">
        <f>IFERROR(__xludf.DUMMYFUNCTION("""COMPUTED_VALUE"""),"US_161 CS PROF ROMERO MARQUES / IPIRANGA")</f>
        <v>US_161 CS PROF ROMERO MARQUES / IPIRANGA</v>
      </c>
      <c r="G484" s="11" t="str">
        <f>IFERROR(__xludf.DUMMYFUNCTION("""COMPUTED_VALUE"""),"US 161 CS PROF ROMERO MARQUES")</f>
        <v>US 161 CS PROF ROMERO MARQUES</v>
      </c>
      <c r="H484" s="27">
        <f>IFERROR(__xludf.DUMMYFUNCTION("""COMPUTED_VALUE"""),81991877703)</f>
        <v>81991877703</v>
      </c>
      <c r="I484" s="11"/>
      <c r="J484" s="11"/>
      <c r="K484" s="11"/>
      <c r="L484" s="11"/>
      <c r="M484" s="28" t="str">
        <f>IFERROR(__xludf.DUMMYFUNCTION("""COMPUTED_VALUE"""),"3355-4440")</f>
        <v>3355-4440</v>
      </c>
      <c r="N484" s="11" t="str">
        <f>IFERROR(__xludf.DUMMYFUNCTION("""COMPUTED_VALUE"""),"danielbrandao04@hotmail.com")</f>
        <v>danielbrandao04@hotmail.com</v>
      </c>
      <c r="O484" s="29">
        <f>IFERROR(__xludf.DUMMYFUNCTION("""COMPUTED_VALUE"""),47632100415)</f>
        <v>47632100415</v>
      </c>
      <c r="P484" s="30" t="str">
        <f>IFERROR(__xludf.DUMMYFUNCTION("""COMPUTED_VALUE"""),"201533419680003")</f>
        <v>201533419680003</v>
      </c>
      <c r="Q484" s="30" t="str">
        <f>IFERROR(__xludf.DUMMYFUNCTION("""COMPUTED_VALUE"""),"0000760")</f>
        <v>0000760</v>
      </c>
      <c r="R484" s="30" t="str">
        <f>IFERROR(__xludf.DUMMYFUNCTION("""COMPUTED_VALUE"""),"9000076002")</f>
        <v>9000076002</v>
      </c>
      <c r="S484" s="30" t="str">
        <f>IFERROR(__xludf.DUMMYFUNCTION("""COMPUTED_VALUE"""),"1")</f>
        <v>1</v>
      </c>
      <c r="T484" s="30" t="str">
        <f>IFERROR(__xludf.DUMMYFUNCTION("""COMPUTED_VALUE"""),"225250")</f>
        <v>225250</v>
      </c>
      <c r="U484" s="31" t="str">
        <f>IFERROR(__xludf.DUMMYFUNCTION("""COMPUTED_VALUE"""),"2251")</f>
        <v>2251</v>
      </c>
      <c r="V484" s="11"/>
      <c r="W484" s="11"/>
      <c r="X484" s="11" t="str">
        <f>IFERROR(__xludf.DUMMYFUNCTION("""COMPUTED_VALUE"""),"#N/A")</f>
        <v>#N/A</v>
      </c>
      <c r="Y484" s="11" t="str">
        <f>IFERROR(__xludf.DUMMYFUNCTION("""COMPUTED_VALUE"""),"#N/A")</f>
        <v>#N/A</v>
      </c>
      <c r="Z484" s="11" t="str">
        <f>IFERROR(__xludf.DUMMYFUNCTION("""COMPUTED_VALUE"""),"#N/A")</f>
        <v>#N/A</v>
      </c>
    </row>
    <row r="485" customHeight="1" spans="1:26">
      <c r="A485" s="11" t="str">
        <f>IFERROR(__xludf.DUMMYFUNCTION("""COMPUTED_VALUE"""),"MARCIA EUGENIA CRUZ MACEDO")</f>
        <v>MARCIA EUGENIA CRUZ MACEDO</v>
      </c>
      <c r="B485" s="11"/>
      <c r="C485" s="11"/>
      <c r="D485" s="11" t="str">
        <f>IFERROR(__xludf.DUMMYFUNCTION("""COMPUTED_VALUE"""),"Enfermeira")</f>
        <v>Enfermeira</v>
      </c>
      <c r="E485" s="11" t="str">
        <f>IFERROR(__xludf.DUMMYFUNCTION("""COMPUTED_VALUE"""),"VII")</f>
        <v>VII</v>
      </c>
      <c r="F485" s="11" t="str">
        <f>IFERROR(__xludf.DUMMYFUNCTION("""COMPUTED_VALUE"""),"PACS MARIO MONTEIRO DE MELO")</f>
        <v>PACS MARIO MONTEIRO DE MELO</v>
      </c>
      <c r="G485" s="11" t="str">
        <f>IFERROR(__xludf.DUMMYFUNCTION("""COMPUTED_VALUE"""),"US 120 CS MARIO MONTEIRO MELO")</f>
        <v>US 120 CS MARIO MONTEIRO MELO</v>
      </c>
      <c r="H485" s="27">
        <f>IFERROR(__xludf.DUMMYFUNCTION("""COMPUTED_VALUE"""),81996848539)</f>
        <v>81996848539</v>
      </c>
      <c r="I485" s="11"/>
      <c r="J485" s="11"/>
      <c r="K485" s="11"/>
      <c r="L485" s="11"/>
      <c r="M485" s="28" t="str">
        <f>IFERROR(__xludf.DUMMYFUNCTION("""COMPUTED_VALUE"""),"3355-4385")</f>
        <v>3355-4385</v>
      </c>
      <c r="N485" s="11" t="str">
        <f>IFERROR(__xludf.DUMMYFUNCTION("""COMPUTED_VALUE"""),"marciaecm@hotmail.com")</f>
        <v>marciaecm@hotmail.com</v>
      </c>
      <c r="O485" s="29">
        <f>IFERROR(__xludf.DUMMYFUNCTION("""COMPUTED_VALUE"""),2404088459)</f>
        <v>2404088459</v>
      </c>
      <c r="P485" s="30" t="str">
        <f>IFERROR(__xludf.DUMMYFUNCTION("""COMPUTED_VALUE"""),"204322425240007")</f>
        <v>204322425240007</v>
      </c>
      <c r="Q485" s="30" t="str">
        <f>IFERROR(__xludf.DUMMYFUNCTION("""COMPUTED_VALUE"""),"0001317")</f>
        <v>0001317</v>
      </c>
      <c r="R485" s="30" t="str">
        <f>IFERROR(__xludf.DUMMYFUNCTION("""COMPUTED_VALUE"""),"0000153192")</f>
        <v>0000153192</v>
      </c>
      <c r="S485" s="30" t="str">
        <f>IFERROR(__xludf.DUMMYFUNCTION("""COMPUTED_VALUE"""),"1")</f>
        <v>1</v>
      </c>
      <c r="T485" s="30" t="str">
        <f>IFERROR(__xludf.DUMMYFUNCTION("""COMPUTED_VALUE"""),"223565")</f>
        <v>223565</v>
      </c>
      <c r="U485" s="31" t="str">
        <f>IFERROR(__xludf.DUMMYFUNCTION("""COMPUTED_VALUE"""),"2235")</f>
        <v>2235</v>
      </c>
      <c r="V485" s="11"/>
      <c r="W485" s="11">
        <f>IFERROR(__xludf.DUMMYFUNCTION("""COMPUTED_VALUE"""),8184629464)</f>
        <v>8184629464</v>
      </c>
      <c r="X485" s="11"/>
      <c r="Y485" s="11">
        <f>IFERROR(__xludf.DUMMYFUNCTION("""COMPUTED_VALUE"""),2404088459)</f>
        <v>2404088459</v>
      </c>
      <c r="Z485" s="11"/>
    </row>
    <row r="486" customHeight="1" spans="1:26">
      <c r="A486" s="11" t="str">
        <f>IFERROR(__xludf.DUMMYFUNCTION("""COMPUTED_VALUE"""),"ANA DELBA PAIVA FERREIRA LISBOA NUNES")</f>
        <v>ANA DELBA PAIVA FERREIRA LISBOA NUNES</v>
      </c>
      <c r="B486" s="11"/>
      <c r="C486" s="11"/>
      <c r="D486" s="11"/>
      <c r="E486" s="11"/>
      <c r="F486" s="11" t="str">
        <f>IFERROR(__xludf.DUMMYFUNCTION("""COMPUTED_VALUE"""),"")</f>
        <v/>
      </c>
      <c r="G486" s="11" t="str">
        <f>IFERROR(__xludf.DUMMYFUNCTION("""COMPUTED_VALUE"""),"US 173 USF DANCING DAYS")</f>
        <v>US 173 USF DANCING DAYS</v>
      </c>
      <c r="H486" s="27">
        <f>IFERROR(__xludf.DUMMYFUNCTION("""COMPUTED_VALUE"""),81991634320)</f>
        <v>81991634320</v>
      </c>
      <c r="I486" s="11"/>
      <c r="J486" s="11"/>
      <c r="K486" s="24">
        <f>IFERROR(__xludf.DUMMYFUNCTION("""COMPUTED_VALUE"""),45300)</f>
        <v>45300</v>
      </c>
      <c r="L486" s="11"/>
      <c r="M486" s="11"/>
      <c r="N486" s="11"/>
      <c r="O486" s="11"/>
      <c r="P486" s="11"/>
      <c r="Q486" s="11"/>
      <c r="R486" s="11"/>
      <c r="S486" s="11"/>
      <c r="T486" s="11"/>
      <c r="U486" s="11"/>
      <c r="V486" s="11"/>
      <c r="W486" s="11"/>
      <c r="X486" s="11"/>
      <c r="Y486" s="11"/>
      <c r="Z486" s="11"/>
    </row>
    <row r="487" customHeight="1" spans="1:26">
      <c r="A487" s="11" t="str">
        <f>IFERROR(__xludf.DUMMYFUNCTION("""COMPUTED_VALUE"""),"KELLENIA BEZERRA DE SANTANA")</f>
        <v>KELLENIA BEZERRA DE SANTANA</v>
      </c>
      <c r="B487" s="11"/>
      <c r="C487" s="11"/>
      <c r="D487" s="11" t="str">
        <f>IFERROR(__xludf.DUMMYFUNCTION("""COMPUTED_VALUE"""),"Enfermeira eSF")</f>
        <v>Enfermeira eSF</v>
      </c>
      <c r="E487" s="11" t="str">
        <f>IFERROR(__xludf.DUMMYFUNCTION("""COMPUTED_VALUE"""),"VI")</f>
        <v>VI</v>
      </c>
      <c r="F487" s="11" t="str">
        <f>IFERROR(__xludf.DUMMYFUNCTION("""COMPUTED_VALUE"""),"US_173 USF DANCING DAYS")</f>
        <v>US_173 USF DANCING DAYS</v>
      </c>
      <c r="G487" s="11" t="str">
        <f>IFERROR(__xludf.DUMMYFUNCTION("""COMPUTED_VALUE"""),"US 173 USF DANCING DAYS")</f>
        <v>US 173 USF DANCING DAYS</v>
      </c>
      <c r="H487" s="27">
        <f>IFERROR(__xludf.DUMMYFUNCTION("""COMPUTED_VALUE"""),81997042762)</f>
        <v>81997042762</v>
      </c>
      <c r="I487" s="27">
        <f>IFERROR(__xludf.DUMMYFUNCTION("""COMPUTED_VALUE"""),81986464917)</f>
        <v>81986464917</v>
      </c>
      <c r="J487" s="11"/>
      <c r="K487" s="11"/>
      <c r="L487" s="11"/>
      <c r="M487" s="28" t="str">
        <f>IFERROR(__xludf.DUMMYFUNCTION("""COMPUTED_VALUE"""),"3355-6119")</f>
        <v>3355-6119</v>
      </c>
      <c r="N487" s="11" t="str">
        <f>IFERROR(__xludf.DUMMYFUNCTION("""COMPUTED_VALUE"""),"kelly_bsantana@hotmail.com")</f>
        <v>kelly_bsantana@hotmail.com</v>
      </c>
      <c r="O487" s="29">
        <f>IFERROR(__xludf.DUMMYFUNCTION("""COMPUTED_VALUE"""),1906276463)</f>
        <v>1906276463</v>
      </c>
      <c r="P487" s="30" t="str">
        <f>IFERROR(__xludf.DUMMYFUNCTION("""COMPUTED_VALUE"""),"203102649220003")</f>
        <v>203102649220003</v>
      </c>
      <c r="Q487" s="30" t="str">
        <f>IFERROR(__xludf.DUMMYFUNCTION("""COMPUTED_VALUE"""),"0002070")</f>
        <v>0002070</v>
      </c>
      <c r="R487" s="30" t="str">
        <f>IFERROR(__xludf.DUMMYFUNCTION("""COMPUTED_VALUE"""),"0000153427")</f>
        <v>0000153427</v>
      </c>
      <c r="S487" s="30" t="str">
        <f>IFERROR(__xludf.DUMMYFUNCTION("""COMPUTED_VALUE"""),"1")</f>
        <v>1</v>
      </c>
      <c r="T487" s="30" t="str">
        <f>IFERROR(__xludf.DUMMYFUNCTION("""COMPUTED_VALUE"""),"223565")</f>
        <v>223565</v>
      </c>
      <c r="U487" s="31" t="str">
        <f>IFERROR(__xludf.DUMMYFUNCTION("""COMPUTED_VALUE"""),"2235")</f>
        <v>2235</v>
      </c>
      <c r="V487" s="11"/>
      <c r="W487" s="11">
        <f>IFERROR(__xludf.DUMMYFUNCTION("""COMPUTED_VALUE"""),81986464917)</f>
        <v>81986464917</v>
      </c>
      <c r="X487" s="11">
        <f>IFERROR(__xludf.DUMMYFUNCTION("""COMPUTED_VALUE"""),8133556119)</f>
        <v>8133556119</v>
      </c>
      <c r="Y487" s="11">
        <f>IFERROR(__xludf.DUMMYFUNCTION("""COMPUTED_VALUE"""),1906276463)</f>
        <v>1906276463</v>
      </c>
      <c r="Z487" s="11"/>
    </row>
    <row r="488" customHeight="1" spans="1:26">
      <c r="A488" s="11" t="str">
        <f>IFERROR(__xludf.DUMMYFUNCTION("""COMPUTED_VALUE"""),"JUANA PECHIM GARCIA")</f>
        <v>JUANA PECHIM GARCIA</v>
      </c>
      <c r="B488" s="11" t="str">
        <f>IFERROR(__xludf.DUMMYFUNCTION("""COMPUTED_VALUE"""),"13:00 - horário de preferência")</f>
        <v>13:00 - horário de preferência</v>
      </c>
      <c r="C488" s="11"/>
      <c r="D488" s="11" t="str">
        <f>IFERROR(__xludf.DUMMYFUNCTION("""COMPUTED_VALUE"""),"Médica eSF")</f>
        <v>Médica eSF</v>
      </c>
      <c r="E488" s="11" t="str">
        <f>IFERROR(__xludf.DUMMYFUNCTION("""COMPUTED_VALUE"""),"VII")</f>
        <v>VII</v>
      </c>
      <c r="F488" s="11" t="str">
        <f>IFERROR(__xludf.DUMMYFUNCTION("""COMPUTED_VALUE"""),"US_350 USF CORREGO DO EUCALIPTO")</f>
        <v>US_350 USF CORREGO DO EUCALIPTO</v>
      </c>
      <c r="G488" s="11" t="str">
        <f>IFERROR(__xludf.DUMMYFUNCTION("""COMPUTED_VALUE"""),"US 350 USF CORREGO DO EUCALIPTO")</f>
        <v>US 350 USF CORREGO DO EUCALIPTO</v>
      </c>
      <c r="H488" s="27">
        <f>IFERROR(__xludf.DUMMYFUNCTION("""COMPUTED_VALUE"""),81999957701)</f>
        <v>81999957701</v>
      </c>
      <c r="I488" s="11"/>
      <c r="J488" s="11"/>
      <c r="K488" s="11"/>
      <c r="L488" s="11"/>
      <c r="M488" s="28" t="str">
        <f>IFERROR(__xludf.DUMMYFUNCTION("""COMPUTED_VALUE"""),"3355-6902")</f>
        <v>3355-6902</v>
      </c>
      <c r="N488" s="11" t="str">
        <f>IFERROR(__xludf.DUMMYFUNCTION("""COMPUTED_VALUE"""),"juanapgarcia@hotmail.com")</f>
        <v>juanapgarcia@hotmail.com</v>
      </c>
      <c r="O488" s="29">
        <f>IFERROR(__xludf.DUMMYFUNCTION("""COMPUTED_VALUE"""),6127425638)</f>
        <v>6127425638</v>
      </c>
      <c r="P488" s="30" t="str">
        <f>IFERROR(__xludf.DUMMYFUNCTION("""COMPUTED_VALUE"""),"980016285048997")</f>
        <v>980016285048997</v>
      </c>
      <c r="Q488" s="30" t="str">
        <f>IFERROR(__xludf.DUMMYFUNCTION("""COMPUTED_VALUE"""),"6334067")</f>
        <v>6334067</v>
      </c>
      <c r="R488" s="30" t="str">
        <f>IFERROR(__xludf.DUMMYFUNCTION("""COMPUTED_VALUE"""),"0000156019")</f>
        <v>0000156019</v>
      </c>
      <c r="S488" s="30" t="str">
        <f>IFERROR(__xludf.DUMMYFUNCTION("""COMPUTED_VALUE"""),"1")</f>
        <v>1</v>
      </c>
      <c r="T488" s="30" t="str">
        <f>IFERROR(__xludf.DUMMYFUNCTION("""COMPUTED_VALUE"""),"225142")</f>
        <v>225142</v>
      </c>
      <c r="U488" s="31" t="str">
        <f>IFERROR(__xludf.DUMMYFUNCTION("""COMPUTED_VALUE"""),"2251")</f>
        <v>2251</v>
      </c>
      <c r="V488" s="11" t="str">
        <f>IFERROR(__xludf.DUMMYFUNCTION("""COMPUTED_VALUE"""),"SIM")</f>
        <v>SIM</v>
      </c>
      <c r="W488" s="11"/>
      <c r="X488" s="11" t="str">
        <f>IFERROR(__xludf.DUMMYFUNCTION("""COMPUTED_VALUE"""),"#N/A")</f>
        <v>#N/A</v>
      </c>
      <c r="Y488" s="11" t="str">
        <f>IFERROR(__xludf.DUMMYFUNCTION("""COMPUTED_VALUE"""),"#N/A")</f>
        <v>#N/A</v>
      </c>
      <c r="Z488" s="11" t="str">
        <f>IFERROR(__xludf.DUMMYFUNCTION("""COMPUTED_VALUE"""),"#N/A")</f>
        <v>#N/A</v>
      </c>
    </row>
    <row r="489" customHeight="1" spans="1:26">
      <c r="A489" s="11" t="str">
        <f>IFERROR(__xludf.DUMMYFUNCTION("""COMPUTED_VALUE"""),"ANTONELLI BLANDENA DE OLIVEIRA MAIA")</f>
        <v>ANTONELLI BLANDENA DE OLIVEIRA MAIA</v>
      </c>
      <c r="B489" s="11"/>
      <c r="C489" s="11"/>
      <c r="D489" s="11" t="str">
        <f>IFERROR(__xludf.DUMMYFUNCTION("""COMPUTED_VALUE"""),"Enfermeira eSF")</f>
        <v>Enfermeira eSF</v>
      </c>
      <c r="E489" s="11" t="str">
        <f>IFERROR(__xludf.DUMMYFUNCTION("""COMPUTED_VALUE"""),"VIII")</f>
        <v>VIII</v>
      </c>
      <c r="F489" s="11" t="str">
        <f>IFERROR(__xludf.DUMMYFUNCTION("""COMPUTED_VALUE"""),"US_289 USF JOSUE DE CASTRO")</f>
        <v>US_289 USF JOSUE DE CASTRO</v>
      </c>
      <c r="G489" s="11" t="str">
        <f>IFERROR(__xludf.DUMMYFUNCTION("""COMPUTED_VALUE"""),"US 289 USF JOSUE DE CASTRO")</f>
        <v>US 289 USF JOSUE DE CASTRO</v>
      </c>
      <c r="H489" s="27">
        <f>IFERROR(__xludf.DUMMYFUNCTION("""COMPUTED_VALUE"""),81999617346)</f>
        <v>81999617346</v>
      </c>
      <c r="I489" s="27">
        <f>IFERROR(__xludf.DUMMYFUNCTION("""COMPUTED_VALUE"""),81992571023)</f>
        <v>81992571023</v>
      </c>
      <c r="J489" s="11"/>
      <c r="K489" s="11"/>
      <c r="L489" s="11"/>
      <c r="M489" s="28" t="str">
        <f>IFERROR(__xludf.DUMMYFUNCTION("""COMPUTED_VALUE"""),"3355-3037")</f>
        <v>3355-3037</v>
      </c>
      <c r="N489" s="11" t="str">
        <f>IFERROR(__xludf.DUMMYFUNCTION("""COMPUTED_VALUE"""),"antonellimaia@hotmail.com")</f>
        <v>antonellimaia@hotmail.com</v>
      </c>
      <c r="O489" s="29">
        <f>IFERROR(__xludf.DUMMYFUNCTION("""COMPUTED_VALUE"""),919714463)</f>
        <v>919714463</v>
      </c>
      <c r="P489" s="30" t="str">
        <f>IFERROR(__xludf.DUMMYFUNCTION("""COMPUTED_VALUE"""),"980016000397068")</f>
        <v>980016000397068</v>
      </c>
      <c r="Q489" s="30" t="str">
        <f>IFERROR(__xludf.DUMMYFUNCTION("""COMPUTED_VALUE"""),"2752824")</f>
        <v>2752824</v>
      </c>
      <c r="R489" s="30" t="str">
        <f>IFERROR(__xludf.DUMMYFUNCTION("""COMPUTED_VALUE"""),"0000154873")</f>
        <v>0000154873</v>
      </c>
      <c r="S489" s="30" t="str">
        <f>IFERROR(__xludf.DUMMYFUNCTION("""COMPUTED_VALUE"""),"1")</f>
        <v>1</v>
      </c>
      <c r="T489" s="30" t="str">
        <f>IFERROR(__xludf.DUMMYFUNCTION("""COMPUTED_VALUE"""),"223565")</f>
        <v>223565</v>
      </c>
      <c r="U489" s="31" t="str">
        <f>IFERROR(__xludf.DUMMYFUNCTION("""COMPUTED_VALUE"""),"2235")</f>
        <v>2235</v>
      </c>
      <c r="V489" s="11"/>
      <c r="W489" s="11" t="str">
        <f>IFERROR(__xludf.DUMMYFUNCTION("""COMPUTED_VALUE"""),"#N/A")</f>
        <v>#N/A</v>
      </c>
      <c r="X489" s="11" t="str">
        <f>IFERROR(__xludf.DUMMYFUNCTION("""COMPUTED_VALUE"""),"#N/A")</f>
        <v>#N/A</v>
      </c>
      <c r="Y489" s="11" t="str">
        <f>IFERROR(__xludf.DUMMYFUNCTION("""COMPUTED_VALUE"""),"#N/A")</f>
        <v>#N/A</v>
      </c>
      <c r="Z489" s="11"/>
    </row>
    <row r="490" customHeight="1" spans="1:26">
      <c r="A490" s="11" t="str">
        <f>IFERROR(__xludf.DUMMYFUNCTION("""COMPUTED_VALUE"""),"JUREMA CARDOSO DINIZ")</f>
        <v>JUREMA CARDOSO DINIZ</v>
      </c>
      <c r="B490" s="11"/>
      <c r="C490" s="11"/>
      <c r="D490" s="11" t="str">
        <f>IFERROR(__xludf.DUMMYFUNCTION("""COMPUTED_VALUE"""),"Médica Clínica")</f>
        <v>Médica Clínica</v>
      </c>
      <c r="E490" s="11" t="str">
        <f>IFERROR(__xludf.DUMMYFUNCTION("""COMPUTED_VALUE"""),"II")</f>
        <v>II</v>
      </c>
      <c r="F490" s="11" t="str">
        <f>IFERROR(__xludf.DUMMYFUNCTION("""COMPUTED_VALUE"""),"US_401 USF UPINHA 24H GOVERNADOR EDUARDO CAMPOS")</f>
        <v>US_401 USF UPINHA 24H GOVERNADOR EDUARDO CAMPOS</v>
      </c>
      <c r="G490" s="11" t="str">
        <f>IFERROR(__xludf.DUMMYFUNCTION("""COMPUTED_VALUE"""),"US 401 USF UPINHA 24H GOVERNADOR EDUARDO CAMPOS")</f>
        <v>US 401 USF UPINHA 24H GOVERNADOR EDUARDO CAMPOS</v>
      </c>
      <c r="H490" s="27">
        <f>IFERROR(__xludf.DUMMYFUNCTION("""COMPUTED_VALUE"""),81991912013)</f>
        <v>81991912013</v>
      </c>
      <c r="I490" s="11"/>
      <c r="J490" s="11"/>
      <c r="K490" s="11"/>
      <c r="L490" s="11"/>
      <c r="M490" s="11"/>
      <c r="N490" s="11" t="str">
        <f>IFERROR(__xludf.DUMMYFUNCTION("""COMPUTED_VALUE"""),"juremaxavier@hotmail.com")</f>
        <v>juremaxavier@hotmail.com</v>
      </c>
      <c r="O490" s="29">
        <f>IFERROR(__xludf.DUMMYFUNCTION("""COMPUTED_VALUE"""),28405692487)</f>
        <v>28405692487</v>
      </c>
      <c r="P490" s="30" t="str">
        <f>IFERROR(__xludf.DUMMYFUNCTION("""COMPUTED_VALUE"""),"170330774060004")</f>
        <v>170330774060004</v>
      </c>
      <c r="Q490" s="30" t="str">
        <f>IFERROR(__xludf.DUMMYFUNCTION("""COMPUTED_VALUE"""),"7946651")</f>
        <v>7946651</v>
      </c>
      <c r="R490" s="11"/>
      <c r="S490" s="30" t="str">
        <f>IFERROR(__xludf.DUMMYFUNCTION("""COMPUTED_VALUE"""),"1")</f>
        <v>1</v>
      </c>
      <c r="T490" s="30" t="str">
        <f>IFERROR(__xludf.DUMMYFUNCTION("""COMPUTED_VALUE"""),"225125")</f>
        <v>225125</v>
      </c>
      <c r="U490" s="11">
        <f>IFERROR(__xludf.DUMMYFUNCTION("""COMPUTED_VALUE"""),2251)</f>
        <v>2251</v>
      </c>
      <c r="V490" s="11" t="str">
        <f>IFERROR(__xludf.DUMMYFUNCTION("""COMPUTED_VALUE"""),"SIM")</f>
        <v>SIM</v>
      </c>
      <c r="W490" s="30" t="str">
        <f>IFERROR(__xludf.DUMMYFUNCTION("""COMPUTED_VALUE"""),"10/04/1956")</f>
        <v>10/04/1956</v>
      </c>
      <c r="X490" s="11" t="str">
        <f>IFERROR(__xludf.DUMMYFUNCTION("""COMPUTED_VALUE"""),"#N/A")</f>
        <v>#N/A</v>
      </c>
      <c r="Y490" s="11" t="str">
        <f>IFERROR(__xludf.DUMMYFUNCTION("""COMPUTED_VALUE"""),"#N/A")</f>
        <v>#N/A</v>
      </c>
      <c r="Z490" s="11" t="str">
        <f>IFERROR(__xludf.DUMMYFUNCTION("""COMPUTED_VALUE"""),"#N/A")</f>
        <v>#N/A</v>
      </c>
    </row>
    <row r="491" customHeight="1" spans="1:26">
      <c r="A491" s="11" t="str">
        <f>IFERROR(__xludf.DUMMYFUNCTION("""COMPUTED_VALUE"""),"LUCIANA DE OLIVEIRA VILELA")</f>
        <v>LUCIANA DE OLIVEIRA VILELA</v>
      </c>
      <c r="B491" s="11"/>
      <c r="C491" s="11"/>
      <c r="D491" s="11" t="str">
        <f>IFERROR(__xludf.DUMMYFUNCTION("""COMPUTED_VALUE"""),"Médica eSF")</f>
        <v>Médica eSF</v>
      </c>
      <c r="E491" s="11" t="str">
        <f>IFERROR(__xludf.DUMMYFUNCTION("""COMPUTED_VALUE"""),"I")</f>
        <v>I</v>
      </c>
      <c r="F491" s="11" t="str">
        <f>IFERROR(__xludf.DUMMYFUNCTION("""COMPUTED_VALUE"""),"US_232 USF ILHA SANTA TEREZINHA	")</f>
        <v>US_232 USF ILHA SANTA TEREZINHA	</v>
      </c>
      <c r="G491" s="11" t="str">
        <f>IFERROR(__xludf.DUMMYFUNCTION("""COMPUTED_VALUE"""),"US 232 USF ILHA SANTA TEREZINHA")</f>
        <v>US 232 USF ILHA SANTA TEREZINHA</v>
      </c>
      <c r="H491" s="27">
        <f>IFERROR(__xludf.DUMMYFUNCTION("""COMPUTED_VALUE"""),81995262373)</f>
        <v>81995262373</v>
      </c>
      <c r="I491" s="11"/>
      <c r="J491" s="11"/>
      <c r="K491" s="11"/>
      <c r="L491" s="11"/>
      <c r="M491" s="28" t="str">
        <f>IFERROR(__xludf.DUMMYFUNCTION("""COMPUTED_VALUE"""),"3355-4668")</f>
        <v>3355-4668</v>
      </c>
      <c r="N491" s="11" t="str">
        <f>IFERROR(__xludf.DUMMYFUNCTION("""COMPUTED_VALUE"""),"luolivilela@yahoo.com.br")</f>
        <v>luolivilela@yahoo.com.br</v>
      </c>
      <c r="O491" s="29">
        <f>IFERROR(__xludf.DUMMYFUNCTION("""COMPUTED_VALUE"""),79399401472)</f>
        <v>79399401472</v>
      </c>
      <c r="P491" s="30" t="str">
        <f>IFERROR(__xludf.DUMMYFUNCTION("""COMPUTED_VALUE"""),"206790206020002")</f>
        <v>206790206020002</v>
      </c>
      <c r="Q491" s="30" t="str">
        <f>IFERROR(__xludf.DUMMYFUNCTION("""COMPUTED_VALUE"""),"0022187")</f>
        <v>0022187</v>
      </c>
      <c r="R491" s="30" t="str">
        <f>IFERROR(__xludf.DUMMYFUNCTION("""COMPUTED_VALUE"""),"0000153559")</f>
        <v>0000153559</v>
      </c>
      <c r="S491" s="30" t="str">
        <f>IFERROR(__xludf.DUMMYFUNCTION("""COMPUTED_VALUE"""),"1")</f>
        <v>1</v>
      </c>
      <c r="T491" s="30" t="str">
        <f>IFERROR(__xludf.DUMMYFUNCTION("""COMPUTED_VALUE"""),"225142")</f>
        <v>225142</v>
      </c>
      <c r="U491" s="11">
        <f>IFERROR(__xludf.DUMMYFUNCTION("""COMPUTED_VALUE"""),2251)</f>
        <v>2251</v>
      </c>
      <c r="V491" s="11"/>
      <c r="W491" s="11"/>
      <c r="X491" s="11" t="str">
        <f>IFERROR(__xludf.DUMMYFUNCTION("""COMPUTED_VALUE"""),"#N/A")</f>
        <v>#N/A</v>
      </c>
      <c r="Y491" s="11" t="str">
        <f>IFERROR(__xludf.DUMMYFUNCTION("""COMPUTED_VALUE"""),"#N/A")</f>
        <v>#N/A</v>
      </c>
      <c r="Z491" s="11" t="str">
        <f>IFERROR(__xludf.DUMMYFUNCTION("""COMPUTED_VALUE"""),"#N/A")</f>
        <v>#N/A</v>
      </c>
    </row>
    <row r="492" customHeight="1" spans="1:26">
      <c r="A492" s="11" t="str">
        <f>IFERROR(__xludf.DUMMYFUNCTION("""COMPUTED_VALUE"""),"ELIANE ANGELINA CREVANZI ARRAES")</f>
        <v>ELIANE ANGELINA CREVANZI ARRAES</v>
      </c>
      <c r="B492" s="11"/>
      <c r="C492" s="11"/>
      <c r="D492" s="11" t="str">
        <f>IFERROR(__xludf.DUMMYFUNCTION("""COMPUTED_VALUE"""),"Enfermeira eSF")</f>
        <v>Enfermeira eSF</v>
      </c>
      <c r="E492" s="11" t="str">
        <f>IFERROR(__xludf.DUMMYFUNCTION("""COMPUTED_VALUE"""),"VI")</f>
        <v>VI</v>
      </c>
      <c r="F492" s="11" t="str">
        <f>IFERROR(__xludf.DUMMYFUNCTION("""COMPUTED_VALUE"""),"US_342 USF DJALMA HOLANDA CAVALCANTE")</f>
        <v>US_342 USF DJALMA HOLANDA CAVALCANTE</v>
      </c>
      <c r="G492" s="11" t="str">
        <f>IFERROR(__xludf.DUMMYFUNCTION("""COMPUTED_VALUE"""),"US 342 USF DJALMA HOLANDA CAVALCANTE")</f>
        <v>US 342 USF DJALMA HOLANDA CAVALCANTE</v>
      </c>
      <c r="H492" s="27">
        <f>IFERROR(__xludf.DUMMYFUNCTION("""COMPUTED_VALUE"""),81997059413)</f>
        <v>81997059413</v>
      </c>
      <c r="I492" s="27">
        <f>IFERROR(__xludf.DUMMYFUNCTION("""COMPUTED_VALUE"""),81996361970)</f>
        <v>81996361970</v>
      </c>
      <c r="J492" s="11"/>
      <c r="K492" s="24">
        <f>IFERROR(__xludf.DUMMYFUNCTION("""COMPUTED_VALUE"""),45152)</f>
        <v>45152</v>
      </c>
      <c r="L492" s="11"/>
      <c r="M492" s="28" t="str">
        <f>IFERROR(__xludf.DUMMYFUNCTION("""COMPUTED_VALUE"""),"3355-6122")</f>
        <v>3355-6122</v>
      </c>
      <c r="N492" s="11" t="str">
        <f>IFERROR(__xludf.DUMMYFUNCTION("""COMPUTED_VALUE"""),"eliane_crevanzi@hotmail.com")</f>
        <v>eliane_crevanzi@hotmail.com</v>
      </c>
      <c r="O492" s="29">
        <f>IFERROR(__xludf.DUMMYFUNCTION("""COMPUTED_VALUE"""),58493328987)</f>
        <v>58493328987</v>
      </c>
      <c r="P492" s="30" t="str">
        <f>IFERROR(__xludf.DUMMYFUNCTION("""COMPUTED_VALUE"""),"980016000897796")</f>
        <v>980016000897796</v>
      </c>
      <c r="Q492" s="30" t="str">
        <f>IFERROR(__xludf.DUMMYFUNCTION("""COMPUTED_VALUE"""),"5392136")</f>
        <v>5392136</v>
      </c>
      <c r="R492" s="30" t="str">
        <f>IFERROR(__xludf.DUMMYFUNCTION("""COMPUTED_VALUE"""),"0000155861")</f>
        <v>0000155861</v>
      </c>
      <c r="S492" s="30" t="str">
        <f>IFERROR(__xludf.DUMMYFUNCTION("""COMPUTED_VALUE"""),"1")</f>
        <v>1</v>
      </c>
      <c r="T492" s="30" t="str">
        <f>IFERROR(__xludf.DUMMYFUNCTION("""COMPUTED_VALUE"""),"223565")</f>
        <v>223565</v>
      </c>
      <c r="U492" s="31" t="str">
        <f>IFERROR(__xludf.DUMMYFUNCTION("""COMPUTED_VALUE"""),"2235")</f>
        <v>2235</v>
      </c>
      <c r="V492" s="11"/>
      <c r="W492" s="11">
        <f>IFERROR(__xludf.DUMMYFUNCTION("""COMPUTED_VALUE"""),8133250756)</f>
        <v>8133250756</v>
      </c>
      <c r="X492" s="11">
        <f>IFERROR(__xludf.DUMMYFUNCTION("""COMPUTED_VALUE"""),8197059413)</f>
        <v>8197059413</v>
      </c>
      <c r="Y492" s="11">
        <f>IFERROR(__xludf.DUMMYFUNCTION("""COMPUTED_VALUE"""),58493328987)</f>
        <v>58493328987</v>
      </c>
      <c r="Z492" s="11"/>
    </row>
    <row r="493" customHeight="1" spans="1:26">
      <c r="A493" s="11" t="str">
        <f>IFERROR(__xludf.DUMMYFUNCTION("""COMPUTED_VALUE"""),"LETICIA AIKO SAWADA")</f>
        <v>LETICIA AIKO SAWADA</v>
      </c>
      <c r="B493" s="11"/>
      <c r="C493" s="11"/>
      <c r="D493" s="11" t="str">
        <f>IFERROR(__xludf.DUMMYFUNCTION("""COMPUTED_VALUE"""),"Médica eSF")</f>
        <v>Médica eSF</v>
      </c>
      <c r="E493" s="11" t="str">
        <f>IFERROR(__xludf.DUMMYFUNCTION("""COMPUTED_VALUE"""),"VIII")</f>
        <v>VIII</v>
      </c>
      <c r="F493" s="11" t="str">
        <f>IFERROR(__xludf.DUMMYFUNCTION("""COMPUTED_VALUE"""),"US_154 USF UPINHA DIA RIO DA PRATA")</f>
        <v>US_154 USF UPINHA DIA RIO DA PRATA</v>
      </c>
      <c r="G493" s="11" t="str">
        <f>IFERROR(__xludf.DUMMYFUNCTION("""COMPUTED_VALUE"""),"US 154 USF UPINHA DIA RIO DA PRATA")</f>
        <v>US 154 USF UPINHA DIA RIO DA PRATA</v>
      </c>
      <c r="H493" s="27">
        <f>IFERROR(__xludf.DUMMYFUNCTION("""COMPUTED_VALUE"""),81988922407)</f>
        <v>81988922407</v>
      </c>
      <c r="I493" s="11"/>
      <c r="J493" s="11"/>
      <c r="K493" s="11"/>
      <c r="L493" s="11"/>
      <c r="M493" s="28" t="str">
        <f>IFERROR(__xludf.DUMMYFUNCTION("""COMPUTED_VALUE"""),"3355-6215 / 3338-7768")</f>
        <v>3355-6215 / 3338-7768</v>
      </c>
      <c r="N493" s="11" t="str">
        <f>IFERROR(__xludf.DUMMYFUNCTION("""COMPUTED_VALUE"""),"letsaw@hotmail.com")</f>
        <v>letsaw@hotmail.com</v>
      </c>
      <c r="O493" s="11">
        <f>IFERROR(__xludf.DUMMYFUNCTION("""COMPUTED_VALUE"""),14443091882)</f>
        <v>14443091882</v>
      </c>
      <c r="P493" s="11" t="str">
        <f>IFERROR(__xludf.DUMMYFUNCTION("""COMPUTED_VALUE"""),"124598265500008")</f>
        <v>124598265500008</v>
      </c>
      <c r="Q493" s="30" t="str">
        <f>IFERROR(__xludf.DUMMYFUNCTION("""COMPUTED_VALUE"""),"3562638")</f>
        <v>3562638</v>
      </c>
      <c r="R493" s="30" t="str">
        <f>IFERROR(__xludf.DUMMYFUNCTION("""COMPUTED_VALUE"""),"0000155578")</f>
        <v>0000155578</v>
      </c>
      <c r="S493" s="30" t="str">
        <f>IFERROR(__xludf.DUMMYFUNCTION("""COMPUTED_VALUE"""),"1")</f>
        <v>1</v>
      </c>
      <c r="T493" s="30" t="str">
        <f>IFERROR(__xludf.DUMMYFUNCTION("""COMPUTED_VALUE"""),"225142")</f>
        <v>225142</v>
      </c>
      <c r="U493" s="31" t="str">
        <f>IFERROR(__xludf.DUMMYFUNCTION("""COMPUTED_VALUE"""),"2251")</f>
        <v>2251</v>
      </c>
      <c r="V493" s="11" t="str">
        <f>IFERROR(__xludf.DUMMYFUNCTION("""COMPUTED_VALUE"""),"SIM")</f>
        <v>SIM</v>
      </c>
      <c r="W493" s="11"/>
      <c r="X493" s="11" t="str">
        <f>IFERROR(__xludf.DUMMYFUNCTION("""COMPUTED_VALUE"""),"81-88922407")</f>
        <v>81-88922407</v>
      </c>
      <c r="Y493" s="11"/>
      <c r="Z493" s="11">
        <f>IFERROR(__xludf.DUMMYFUNCTION("""COMPUTED_VALUE"""),14443091882)</f>
        <v>14443091882</v>
      </c>
    </row>
    <row r="494" customHeight="1" spans="1:26">
      <c r="A494" s="11" t="str">
        <f>IFERROR(__xludf.DUMMYFUNCTION("""COMPUTED_VALUE"""),"PAULO ROGERIO MAGALHAES BALTAR")</f>
        <v>PAULO ROGERIO MAGALHAES BALTAR</v>
      </c>
      <c r="B494" s="11"/>
      <c r="C494" s="11"/>
      <c r="D494" s="11" t="str">
        <f>IFERROR(__xludf.DUMMYFUNCTION("""COMPUTED_VALUE"""),"Dentista")</f>
        <v>Dentista</v>
      </c>
      <c r="E494" s="11" t="str">
        <f>IFERROR(__xludf.DUMMYFUNCTION("""COMPUTED_VALUE"""),"VI")</f>
        <v>VI</v>
      </c>
      <c r="F494" s="11" t="str">
        <f>IFERROR(__xludf.DUMMYFUNCTION("""COMPUTED_VALUE"""),"US_137 CS PROF DJAIR BRINDEIRO / COMAR")</f>
        <v>US_137 CS PROF DJAIR BRINDEIRO / COMAR</v>
      </c>
      <c r="G494" s="11" t="str">
        <f>IFERROR(__xludf.DUMMYFUNCTION("""COMPUTED_VALUE"""),"US 137 CS PROF DJAIR BRINDEIRO")</f>
        <v>US 137 CS PROF DJAIR BRINDEIRO</v>
      </c>
      <c r="H494" s="27">
        <f>IFERROR(__xludf.DUMMYFUNCTION("""COMPUTED_VALUE"""),81999623935)</f>
        <v>81999623935</v>
      </c>
      <c r="I494" s="11"/>
      <c r="J494" s="11"/>
      <c r="K494" s="11"/>
      <c r="L494" s="11"/>
      <c r="M494" s="28" t="str">
        <f>IFERROR(__xludf.DUMMYFUNCTION("""COMPUTED_VALUE"""),"3355-0119")</f>
        <v>3355-0119</v>
      </c>
      <c r="N494" s="11" t="str">
        <f>IFERROR(__xludf.DUMMYFUNCTION("""COMPUTED_VALUE"""),"s.baltar@hotmail.com")</f>
        <v>s.baltar@hotmail.com</v>
      </c>
      <c r="O494" s="29">
        <f>IFERROR(__xludf.DUMMYFUNCTION("""COMPUTED_VALUE"""),34513876468)</f>
        <v>34513876468</v>
      </c>
      <c r="P494" s="30" t="str">
        <f>IFERROR(__xludf.DUMMYFUNCTION("""COMPUTED_VALUE"""),"209066116810000")</f>
        <v>209066116810000</v>
      </c>
      <c r="Q494" s="30" t="str">
        <f>IFERROR(__xludf.DUMMYFUNCTION("""COMPUTED_VALUE"""),"0000833")</f>
        <v>0000833</v>
      </c>
      <c r="R494" s="30" t="str">
        <f>IFERROR(__xludf.DUMMYFUNCTION("""COMPUTED_VALUE"""),"0001791427")</f>
        <v>0001791427</v>
      </c>
      <c r="S494" s="30" t="str">
        <f>IFERROR(__xludf.DUMMYFUNCTION("""COMPUTED_VALUE"""),"1")</f>
        <v>1</v>
      </c>
      <c r="T494" s="30" t="str">
        <f>IFERROR(__xludf.DUMMYFUNCTION("""COMPUTED_VALUE"""),"223293")</f>
        <v>223293</v>
      </c>
      <c r="U494" s="31">
        <f>IFERROR(__xludf.DUMMYFUNCTION("""COMPUTED_VALUE"""),2232)</f>
        <v>2232</v>
      </c>
      <c r="V494" s="11"/>
      <c r="W494" s="11"/>
      <c r="X494" s="11"/>
      <c r="Y494" s="11"/>
      <c r="Z494" s="11"/>
    </row>
    <row r="495" customHeight="1" spans="1:26">
      <c r="A495" s="11" t="str">
        <f>IFERROR(__xludf.DUMMYFUNCTION("""COMPUTED_VALUE"""),"PRISCILA DINIZ DE CARVALHO MARTINS")</f>
        <v>PRISCILA DINIZ DE CARVALHO MARTINS</v>
      </c>
      <c r="B495" s="11" t="str">
        <f>IFERROR(__xludf.DUMMYFUNCTION("""COMPUTED_VALUE"""),"LICENÇA PREMIUM")</f>
        <v>LICENÇA PREMIUM</v>
      </c>
      <c r="C495" s="11"/>
      <c r="D495" s="11" t="str">
        <f>IFERROR(__xludf.DUMMYFUNCTION("""COMPUTED_VALUE"""),"Enfermeira eSF")</f>
        <v>Enfermeira eSF</v>
      </c>
      <c r="E495" s="11" t="str">
        <f>IFERROR(__xludf.DUMMYFUNCTION("""COMPUTED_VALUE"""),"VI")</f>
        <v>VI</v>
      </c>
      <c r="F495" s="11" t="str">
        <f>IFERROR(__xludf.DUMMYFUNCTION("""COMPUTED_VALUE"""),"US_292 USF VILA DO IPSEP")</f>
        <v>US_292 USF VILA DO IPSEP</v>
      </c>
      <c r="G495" s="11" t="str">
        <f>IFERROR(__xludf.DUMMYFUNCTION("""COMPUTED_VALUE"""),"US 292 USF VILA DO IPSEP")</f>
        <v>US 292 USF VILA DO IPSEP</v>
      </c>
      <c r="H495" s="27">
        <f>IFERROR(__xludf.DUMMYFUNCTION("""COMPUTED_VALUE"""),81996166089)</f>
        <v>81996166089</v>
      </c>
      <c r="I495" s="11"/>
      <c r="J495" s="11"/>
      <c r="K495" s="11"/>
      <c r="L495" s="11"/>
      <c r="M495" s="28" t="str">
        <f>IFERROR(__xludf.DUMMYFUNCTION("""COMPUTED_VALUE"""),"3355-6687")</f>
        <v>3355-6687</v>
      </c>
      <c r="N495" s="11" t="str">
        <f>IFERROR(__xludf.DUMMYFUNCTION("""COMPUTED_VALUE"""),"prifermeira@hotmail.com")</f>
        <v>prifermeira@hotmail.com</v>
      </c>
      <c r="O495" s="29">
        <f>IFERROR(__xludf.DUMMYFUNCTION("""COMPUTED_VALUE"""),3027429485)</f>
        <v>3027429485</v>
      </c>
      <c r="P495" s="30" t="str">
        <f>IFERROR(__xludf.DUMMYFUNCTION("""COMPUTED_VALUE"""),"980016004533829")</f>
        <v>980016004533829</v>
      </c>
      <c r="Q495" s="30" t="str">
        <f>IFERROR(__xludf.DUMMYFUNCTION("""COMPUTED_VALUE"""),"3007995")</f>
        <v>3007995</v>
      </c>
      <c r="R495" s="30" t="str">
        <f>IFERROR(__xludf.DUMMYFUNCTION("""COMPUTED_VALUE"""),"0000154954")</f>
        <v>0000154954</v>
      </c>
      <c r="S495" s="30" t="str">
        <f>IFERROR(__xludf.DUMMYFUNCTION("""COMPUTED_VALUE"""),"1")</f>
        <v>1</v>
      </c>
      <c r="T495" s="30" t="str">
        <f>IFERROR(__xludf.DUMMYFUNCTION("""COMPUTED_VALUE"""),"223565")</f>
        <v>223565</v>
      </c>
      <c r="U495" s="31" t="str">
        <f>IFERROR(__xludf.DUMMYFUNCTION("""COMPUTED_VALUE"""),"2235")</f>
        <v>2235</v>
      </c>
      <c r="V495" s="11"/>
      <c r="W495" s="11" t="str">
        <f>IFERROR(__xludf.DUMMYFUNCTION("""COMPUTED_VALUE"""),"#N/A")</f>
        <v>#N/A</v>
      </c>
      <c r="X495" s="11" t="str">
        <f>IFERROR(__xludf.DUMMYFUNCTION("""COMPUTED_VALUE"""),"#N/A")</f>
        <v>#N/A</v>
      </c>
      <c r="Y495" s="11" t="str">
        <f>IFERROR(__xludf.DUMMYFUNCTION("""COMPUTED_VALUE"""),"#N/A")</f>
        <v>#N/A</v>
      </c>
      <c r="Z495" s="11"/>
    </row>
    <row r="496" customHeight="1" spans="1:26">
      <c r="A496" s="11" t="str">
        <f>IFERROR(__xludf.DUMMYFUNCTION("""COMPUTED_VALUE"""),"ANA KARLA DE ALBUQUERQUE ESPINOLA")</f>
        <v>ANA KARLA DE ALBUQUERQUE ESPINOLA</v>
      </c>
      <c r="B496" s="11"/>
      <c r="C496" s="11"/>
      <c r="D496" s="11" t="str">
        <f>IFERROR(__xludf.DUMMYFUNCTION("""COMPUTED_VALUE"""),"Enfermeira eSF")</f>
        <v>Enfermeira eSF</v>
      </c>
      <c r="E496" s="11" t="str">
        <f>IFERROR(__xludf.DUMMYFUNCTION("""COMPUTED_VALUE"""),"VIII")</f>
        <v>VIII</v>
      </c>
      <c r="F496" s="11" t="str">
        <f>IFERROR(__xludf.DUMMYFUNCTION("""COMPUTED_VALUE"""),"US_298 USF JORDAO ALTO")</f>
        <v>US_298 USF JORDAO ALTO</v>
      </c>
      <c r="G496" s="11" t="str">
        <f>IFERROR(__xludf.DUMMYFUNCTION("""COMPUTED_VALUE"""),"US 298 USF JORDAO ALTO")</f>
        <v>US 298 USF JORDAO ALTO</v>
      </c>
      <c r="H496" s="27">
        <f>IFERROR(__xludf.DUMMYFUNCTION("""COMPUTED_VALUE"""),81991116282)</f>
        <v>81991116282</v>
      </c>
      <c r="I496" s="11"/>
      <c r="J496" s="11"/>
      <c r="K496" s="11"/>
      <c r="L496" s="11"/>
      <c r="M496" s="28" t="str">
        <f>IFERROR(__xludf.DUMMYFUNCTION("""COMPUTED_VALUE"""),"3355-6162")</f>
        <v>3355-6162</v>
      </c>
      <c r="N496" s="11" t="str">
        <f>IFERROR(__xludf.DUMMYFUNCTION("""COMPUTED_VALUE"""),"anakarlaespindola@hotmail.com")</f>
        <v>anakarlaespindola@hotmail.com</v>
      </c>
      <c r="O496" s="29">
        <f>IFERROR(__xludf.DUMMYFUNCTION("""COMPUTED_VALUE"""),3432557400)</f>
        <v>3432557400</v>
      </c>
      <c r="P496" s="30" t="str">
        <f>IFERROR(__xludf.DUMMYFUNCTION("""COMPUTED_VALUE"""),"204323062980004")</f>
        <v>204323062980004</v>
      </c>
      <c r="Q496" s="30" t="str">
        <f>IFERROR(__xludf.DUMMYFUNCTION("""COMPUTED_VALUE"""),"3153460")</f>
        <v>3153460</v>
      </c>
      <c r="R496" s="30" t="str">
        <f>IFERROR(__xludf.DUMMYFUNCTION("""COMPUTED_VALUE"""),"0000155071")</f>
        <v>0000155071</v>
      </c>
      <c r="S496" s="30" t="str">
        <f>IFERROR(__xludf.DUMMYFUNCTION("""COMPUTED_VALUE"""),"1")</f>
        <v>1</v>
      </c>
      <c r="T496" s="30" t="str">
        <f>IFERROR(__xludf.DUMMYFUNCTION("""COMPUTED_VALUE"""),"223565")</f>
        <v>223565</v>
      </c>
      <c r="U496" s="31" t="str">
        <f>IFERROR(__xludf.DUMMYFUNCTION("""COMPUTED_VALUE"""),"2235")</f>
        <v>2235</v>
      </c>
      <c r="V496" s="11"/>
      <c r="W496" s="11">
        <f>IFERROR(__xludf.DUMMYFUNCTION("""COMPUTED_VALUE"""),8191116282)</f>
        <v>8191116282</v>
      </c>
      <c r="X496" s="11"/>
      <c r="Y496" s="11">
        <f>IFERROR(__xludf.DUMMYFUNCTION("""COMPUTED_VALUE"""),3432557400)</f>
        <v>3432557400</v>
      </c>
      <c r="Z496" s="11"/>
    </row>
    <row r="497" customHeight="1" spans="1:26">
      <c r="A497" s="11" t="str">
        <f>IFERROR(__xludf.DUMMYFUNCTION("""COMPUTED_VALUE"""),"REGINA LUCIA RODRIGUES DE CASTRO RIBEIRO")</f>
        <v>REGINA LUCIA RODRIGUES DE CASTRO RIBEIRO</v>
      </c>
      <c r="B497" s="11"/>
      <c r="C497" s="11"/>
      <c r="D497" s="11" t="str">
        <f>IFERROR(__xludf.DUMMYFUNCTION("""COMPUTED_VALUE"""),"Médica eSF")</f>
        <v>Médica eSF</v>
      </c>
      <c r="E497" s="11" t="str">
        <f>IFERROR(__xludf.DUMMYFUNCTION("""COMPUTED_VALUE"""),"VIII")</f>
        <v>VIII</v>
      </c>
      <c r="F497" s="11" t="str">
        <f>IFERROR(__xludf.DUMMYFUNCTION("""COMPUTED_VALUE"""),"US_299 USF JORDAO BAIXO")</f>
        <v>US_299 USF JORDAO BAIXO</v>
      </c>
      <c r="G497" s="11" t="str">
        <f>IFERROR(__xludf.DUMMYFUNCTION("""COMPUTED_VALUE"""),"US 299 USF JORDAO BAIXO")</f>
        <v>US 299 USF JORDAO BAIXO</v>
      </c>
      <c r="H497" s="27">
        <f>IFERROR(__xludf.DUMMYFUNCTION("""COMPUTED_VALUE"""),81992549994)</f>
        <v>81992549994</v>
      </c>
      <c r="I497" s="11"/>
      <c r="J497" s="11"/>
      <c r="K497" s="11"/>
      <c r="L497" s="11"/>
      <c r="M497" s="28" t="str">
        <f>IFERROR(__xludf.DUMMYFUNCTION("""COMPUTED_VALUE"""),"3355-3407")</f>
        <v>3355-3407</v>
      </c>
      <c r="N497" s="11" t="str">
        <f>IFERROR(__xludf.DUMMYFUNCTION("""COMPUTED_VALUE"""),"reginalrcr@hotmail.com")</f>
        <v>reginalrcr@hotmail.com</v>
      </c>
      <c r="O497" s="29">
        <f>IFERROR(__xludf.DUMMYFUNCTION("""COMPUTED_VALUE"""),15255590282)</f>
        <v>15255590282</v>
      </c>
      <c r="P497" s="30" t="str">
        <f>IFERROR(__xludf.DUMMYFUNCTION("""COMPUTED_VALUE"""),"206633697080004")</f>
        <v>206633697080004</v>
      </c>
      <c r="Q497" s="30" t="str">
        <f>IFERROR(__xludf.DUMMYFUNCTION("""COMPUTED_VALUE"""),"3153479")</f>
        <v>3153479</v>
      </c>
      <c r="R497" s="30" t="str">
        <f>IFERROR(__xludf.DUMMYFUNCTION("""COMPUTED_VALUE"""),"0000155128")</f>
        <v>0000155128</v>
      </c>
      <c r="S497" s="30" t="str">
        <f>IFERROR(__xludf.DUMMYFUNCTION("""COMPUTED_VALUE"""),"1")</f>
        <v>1</v>
      </c>
      <c r="T497" s="30" t="str">
        <f>IFERROR(__xludf.DUMMYFUNCTION("""COMPUTED_VALUE"""),"225142")</f>
        <v>225142</v>
      </c>
      <c r="U497" s="31" t="str">
        <f>IFERROR(__xludf.DUMMYFUNCTION("""COMPUTED_VALUE"""),"2251")</f>
        <v>2251</v>
      </c>
      <c r="V497" s="11" t="str">
        <f>IFERROR(__xludf.DUMMYFUNCTION("""COMPUTED_VALUE"""),"SIM")</f>
        <v>SIM</v>
      </c>
      <c r="W497" s="11"/>
      <c r="X497" s="11">
        <f>IFERROR(__xludf.DUMMYFUNCTION("""COMPUTED_VALUE"""),33255627)</f>
        <v>33255627</v>
      </c>
      <c r="Y497" s="11">
        <f>IFERROR(__xludf.DUMMYFUNCTION("""COMPUTED_VALUE"""),92549994)</f>
        <v>92549994</v>
      </c>
      <c r="Z497" s="11">
        <f>IFERROR(__xludf.DUMMYFUNCTION("""COMPUTED_VALUE"""),15255590282)</f>
        <v>15255590282</v>
      </c>
    </row>
    <row r="498" customHeight="1" spans="1:26">
      <c r="A498" s="11" t="str">
        <f>IFERROR(__xludf.DUMMYFUNCTION("""COMPUTED_VALUE"""),"NATHALIA CRISTIANE DA COSTA SOUZA")</f>
        <v>NATHALIA CRISTIANE DA COSTA SOUZA</v>
      </c>
      <c r="B498" s="11"/>
      <c r="C498" s="11"/>
      <c r="D498" s="11" t="str">
        <f>IFERROR(__xludf.DUMMYFUNCTION("""COMPUTED_VALUE"""),"Enfermeira eSF")</f>
        <v>Enfermeira eSF</v>
      </c>
      <c r="E498" s="11" t="str">
        <f>IFERROR(__xludf.DUMMYFUNCTION("""COMPUTED_VALUE"""),"V")</f>
        <v>V</v>
      </c>
      <c r="F498" s="11" t="str">
        <f>IFERROR(__xludf.DUMMYFUNCTION("""COMPUTED_VALUE"""),"US_284 USF VILA SAO MIGUEL MARROM GLACE")</f>
        <v>US_284 USF VILA SAO MIGUEL MARROM GLACE</v>
      </c>
      <c r="G498" s="11" t="str">
        <f>IFERROR(__xludf.DUMMYFUNCTION("""COMPUTED_VALUE"""),"US 284 USF VILA SAO MIGUEL MARROM GLACE")</f>
        <v>US 284 USF VILA SAO MIGUEL MARROM GLACE</v>
      </c>
      <c r="H498" s="27">
        <f>IFERROR(__xludf.DUMMYFUNCTION("""COMPUTED_VALUE"""),81988383858)</f>
        <v>81988383858</v>
      </c>
      <c r="I498" s="11"/>
      <c r="J498" s="11"/>
      <c r="K498" s="11"/>
      <c r="L498" s="11"/>
      <c r="M498" s="28" t="str">
        <f>IFERROR(__xludf.DUMMYFUNCTION("""COMPUTED_VALUE"""),"3355-6932")</f>
        <v>3355-6932</v>
      </c>
      <c r="N498" s="30" t="str">
        <f>IFERROR(__xludf.DUMMYFUNCTION("""COMPUTED_VALUE"""),"npp.27@hotmail.com")</f>
        <v>npp.27@hotmail.com</v>
      </c>
      <c r="O498" s="29">
        <f>IFERROR(__xludf.DUMMYFUNCTION("""COMPUTED_VALUE"""),81292457520)</f>
        <v>81292457520</v>
      </c>
      <c r="P498" s="30" t="str">
        <f>IFERROR(__xludf.DUMMYFUNCTION("""COMPUTED_VALUE"""),"206755420860002")</f>
        <v>206755420860002</v>
      </c>
      <c r="Q498" s="30" t="str">
        <f>IFERROR(__xludf.DUMMYFUNCTION("""COMPUTED_VALUE"""),"0029114")</f>
        <v>0029114</v>
      </c>
      <c r="R498" s="30" t="str">
        <f>IFERROR(__xludf.DUMMYFUNCTION("""COMPUTED_VALUE"""),"0000154695")</f>
        <v>0000154695</v>
      </c>
      <c r="S498" s="30" t="str">
        <f>IFERROR(__xludf.DUMMYFUNCTION("""COMPUTED_VALUE"""),"1")</f>
        <v>1</v>
      </c>
      <c r="T498" s="30" t="str">
        <f>IFERROR(__xludf.DUMMYFUNCTION("""COMPUTED_VALUE"""),"223565")</f>
        <v>223565</v>
      </c>
      <c r="U498" s="31" t="str">
        <f>IFERROR(__xludf.DUMMYFUNCTION("""COMPUTED_VALUE"""),"2235")</f>
        <v>2235</v>
      </c>
      <c r="V498" s="11"/>
      <c r="W498" s="11" t="str">
        <f>IFERROR(__xludf.DUMMYFUNCTION("""COMPUTED_VALUE"""),"#N/A")</f>
        <v>#N/A</v>
      </c>
      <c r="X498" s="11" t="str">
        <f>IFERROR(__xludf.DUMMYFUNCTION("""COMPUTED_VALUE"""),"#N/A")</f>
        <v>#N/A</v>
      </c>
      <c r="Y498" s="11" t="str">
        <f>IFERROR(__xludf.DUMMYFUNCTION("""COMPUTED_VALUE"""),"#N/A")</f>
        <v>#N/A</v>
      </c>
      <c r="Z498" s="11"/>
    </row>
    <row r="499" customHeight="1" spans="1:26">
      <c r="A499" s="11" t="str">
        <f>IFERROR(__xludf.DUMMYFUNCTION("""COMPUTED_VALUE"""),"FLAVIA FERNANDA SANTOS MENEZES")</f>
        <v>FLAVIA FERNANDA SANTOS MENEZES</v>
      </c>
      <c r="B499" s="11"/>
      <c r="C499" s="11"/>
      <c r="D499" s="11" t="str">
        <f>IFERROR(__xludf.DUMMYFUNCTION("""COMPUTED_VALUE"""),"Enfermeira eSF")</f>
        <v>Enfermeira eSF</v>
      </c>
      <c r="E499" s="11" t="str">
        <f>IFERROR(__xludf.DUMMYFUNCTION("""COMPUTED_VALUE"""),"VI")</f>
        <v>VI</v>
      </c>
      <c r="F499" s="11" t="str">
        <f>IFERROR(__xludf.DUMMYFUNCTION("""COMPUTED_VALUE"""),"US_297 USF DO PINA -  JOAO RODRIGUES")</f>
        <v>US_297 USF DO PINA -  JOAO RODRIGUES</v>
      </c>
      <c r="G499" s="11" t="str">
        <f>IFERROR(__xludf.DUMMYFUNCTION("""COMPUTED_VALUE"""),"US 297 USF DO PINA")</f>
        <v>US 297 USF DO PINA</v>
      </c>
      <c r="H499" s="27">
        <f>IFERROR(__xludf.DUMMYFUNCTION("""COMPUTED_VALUE"""),81992621866)</f>
        <v>81992621866</v>
      </c>
      <c r="I499" s="11"/>
      <c r="J499" s="11"/>
      <c r="K499" s="11"/>
      <c r="L499" s="11"/>
      <c r="M499" s="28" t="str">
        <f>IFERROR(__xludf.DUMMYFUNCTION("""COMPUTED_VALUE"""),"3355-4686")</f>
        <v>3355-4686</v>
      </c>
      <c r="N499" s="11" t="str">
        <f>IFERROR(__xludf.DUMMYFUNCTION("""COMPUTED_VALUE"""),"flavia_menezes_@hotmail.com")</f>
        <v>flavia_menezes_@hotmail.com</v>
      </c>
      <c r="O499" s="29">
        <f>IFERROR(__xludf.DUMMYFUNCTION("""COMPUTED_VALUE"""),88773515434)</f>
        <v>88773515434</v>
      </c>
      <c r="P499" s="30" t="str">
        <f>IFERROR(__xludf.DUMMYFUNCTION("""COMPUTED_VALUE"""),"127876394550001")</f>
        <v>127876394550001</v>
      </c>
      <c r="Q499" s="30" t="str">
        <f>IFERROR(__xludf.DUMMYFUNCTION("""COMPUTED_VALUE"""),"3153568")</f>
        <v>3153568</v>
      </c>
      <c r="R499" s="30" t="str">
        <f>IFERROR(__xludf.DUMMYFUNCTION("""COMPUTED_VALUE"""),"0000155160")</f>
        <v>0000155160</v>
      </c>
      <c r="S499" s="30" t="str">
        <f>IFERROR(__xludf.DUMMYFUNCTION("""COMPUTED_VALUE"""),"1")</f>
        <v>1</v>
      </c>
      <c r="T499" s="30" t="str">
        <f>IFERROR(__xludf.DUMMYFUNCTION("""COMPUTED_VALUE"""),"223565")</f>
        <v>223565</v>
      </c>
      <c r="U499" s="31" t="str">
        <f>IFERROR(__xludf.DUMMYFUNCTION("""COMPUTED_VALUE"""),"2235")</f>
        <v>2235</v>
      </c>
      <c r="V499" s="11"/>
      <c r="W499" s="11">
        <f>IFERROR(__xludf.DUMMYFUNCTION("""COMPUTED_VALUE"""),8133260756)</f>
        <v>8133260756</v>
      </c>
      <c r="X499" s="11">
        <f>IFERROR(__xludf.DUMMYFUNCTION("""COMPUTED_VALUE"""),8192621866)</f>
        <v>8192621866</v>
      </c>
      <c r="Y499" s="11">
        <f>IFERROR(__xludf.DUMMYFUNCTION("""COMPUTED_VALUE"""),88773515434)</f>
        <v>88773515434</v>
      </c>
      <c r="Z499" s="11"/>
    </row>
    <row r="500" customHeight="1" spans="1:26">
      <c r="A500" s="11" t="str">
        <f>IFERROR(__xludf.DUMMYFUNCTION("""COMPUTED_VALUE"""),"MONICA PATRICIA SANTOS MENEZES")</f>
        <v>MONICA PATRICIA SANTOS MENEZES</v>
      </c>
      <c r="B500" s="11"/>
      <c r="C500" s="11"/>
      <c r="D500" s="11" t="str">
        <f>IFERROR(__xludf.DUMMYFUNCTION("""COMPUTED_VALUE"""),"Enfermeira eSF")</f>
        <v>Enfermeira eSF</v>
      </c>
      <c r="E500" s="11" t="str">
        <f>IFERROR(__xludf.DUMMYFUNCTION("""COMPUTED_VALUE"""),"VII")</f>
        <v>VII</v>
      </c>
      <c r="F500" s="11" t="str">
        <f>IFERROR(__xludf.DUMMYFUNCTION("""COMPUTED_VALUE"""),"US_283 USF VILA BOA VISTA")</f>
        <v>US_283 USF VILA BOA VISTA</v>
      </c>
      <c r="G500" s="11" t="str">
        <f>IFERROR(__xludf.DUMMYFUNCTION("""COMPUTED_VALUE"""),"US 283 USF VILA BOA VISTA")</f>
        <v>US 283 USF VILA BOA VISTA</v>
      </c>
      <c r="H500" s="27">
        <f>IFERROR(__xludf.DUMMYFUNCTION("""COMPUTED_VALUE"""),81999786099)</f>
        <v>81999786099</v>
      </c>
      <c r="I500" s="11"/>
      <c r="J500" s="11"/>
      <c r="K500" s="11"/>
      <c r="L500" s="11"/>
      <c r="M500" s="28" t="str">
        <f>IFERROR(__xludf.DUMMYFUNCTION("""COMPUTED_VALUE"""),"3355-6242")</f>
        <v>3355-6242</v>
      </c>
      <c r="N500" s="11" t="str">
        <f>IFERROR(__xludf.DUMMYFUNCTION("""COMPUTED_VALUE"""),"monicamenezes87@hotmail.com")</f>
        <v>monicamenezes87@hotmail.com</v>
      </c>
      <c r="O500" s="29">
        <f>IFERROR(__xludf.DUMMYFUNCTION("""COMPUTED_VALUE"""),80056512449)</f>
        <v>80056512449</v>
      </c>
      <c r="P500" s="30" t="str">
        <f>IFERROR(__xludf.DUMMYFUNCTION("""COMPUTED_VALUE"""),"124043749090002")</f>
        <v>124043749090002</v>
      </c>
      <c r="Q500" s="30" t="str">
        <f>IFERROR(__xludf.DUMMYFUNCTION("""COMPUTED_VALUE"""),"0029106")</f>
        <v>0029106</v>
      </c>
      <c r="R500" s="30" t="str">
        <f>IFERROR(__xludf.DUMMYFUNCTION("""COMPUTED_VALUE"""),"0000154660")</f>
        <v>0000154660</v>
      </c>
      <c r="S500" s="30" t="str">
        <f>IFERROR(__xludf.DUMMYFUNCTION("""COMPUTED_VALUE"""),"1")</f>
        <v>1</v>
      </c>
      <c r="T500" s="30" t="str">
        <f>IFERROR(__xludf.DUMMYFUNCTION("""COMPUTED_VALUE"""),"223565")</f>
        <v>223565</v>
      </c>
      <c r="U500" s="31" t="str">
        <f>IFERROR(__xludf.DUMMYFUNCTION("""COMPUTED_VALUE"""),"2235")</f>
        <v>2235</v>
      </c>
      <c r="V500" s="11"/>
      <c r="W500" s="11">
        <f>IFERROR(__xludf.DUMMYFUNCTION("""COMPUTED_VALUE"""),8133260756)</f>
        <v>8133260756</v>
      </c>
      <c r="X500" s="11">
        <f>IFERROR(__xludf.DUMMYFUNCTION("""COMPUTED_VALUE"""),8199786099)</f>
        <v>8199786099</v>
      </c>
      <c r="Y500" s="11">
        <f>IFERROR(__xludf.DUMMYFUNCTION("""COMPUTED_VALUE"""),80056512449)</f>
        <v>80056512449</v>
      </c>
      <c r="Z500" s="11"/>
    </row>
    <row r="501" customHeight="1" spans="1:26">
      <c r="A501" s="11" t="str">
        <f>IFERROR(__xludf.DUMMYFUNCTION("""COMPUTED_VALUE"""),"ANA CRISTINA CRESPO MONTEIRO DE OLIVEIRA")</f>
        <v>ANA CRISTINA CRESPO MONTEIRO DE OLIVEIRA</v>
      </c>
      <c r="B501" s="11"/>
      <c r="C501" s="11"/>
      <c r="D501" s="11" t="str">
        <f>IFERROR(__xludf.DUMMYFUNCTION("""COMPUTED_VALUE"""),"Dentista")</f>
        <v>Dentista</v>
      </c>
      <c r="E501" s="11" t="str">
        <f>IFERROR(__xludf.DUMMYFUNCTION("""COMPUTED_VALUE"""),"VI")</f>
        <v>VI</v>
      </c>
      <c r="F501" s="11" t="str">
        <f>IFERROR(__xludf.DUMMYFUNCTION("""COMPUTED_VALUE"""),"US_173 USF DANCING DAYS")</f>
        <v>US_173 USF DANCING DAYS</v>
      </c>
      <c r="G501" s="11" t="str">
        <f>IFERROR(__xludf.DUMMYFUNCTION("""COMPUTED_VALUE"""),"US 173 USF DANCING DAYS")</f>
        <v>US 173 USF DANCING DAYS</v>
      </c>
      <c r="H501" s="27">
        <f>IFERROR(__xludf.DUMMYFUNCTION("""COMPUTED_VALUE"""),81994238957)</f>
        <v>81994238957</v>
      </c>
      <c r="I501" s="11"/>
      <c r="J501" s="11"/>
      <c r="K501" s="11"/>
      <c r="L501" s="11"/>
      <c r="M501" s="28" t="str">
        <f>IFERROR(__xludf.DUMMYFUNCTION("""COMPUTED_VALUE"""),"3355-6119")</f>
        <v>3355-6119</v>
      </c>
      <c r="N501" s="11" t="str">
        <f>IFERROR(__xludf.DUMMYFUNCTION("""COMPUTED_VALUE"""),"crespoana16@hotmail.com")</f>
        <v>crespoana16@hotmail.com</v>
      </c>
      <c r="O501" s="29">
        <f>IFERROR(__xludf.DUMMYFUNCTION("""COMPUTED_VALUE"""),32837836400)</f>
        <v>32837836400</v>
      </c>
      <c r="P501" s="30" t="str">
        <f>IFERROR(__xludf.DUMMYFUNCTION("""COMPUTED_VALUE"""),"204322969850004")</f>
        <v>204322969850004</v>
      </c>
      <c r="Q501" s="30" t="str">
        <f>IFERROR(__xludf.DUMMYFUNCTION("""COMPUTED_VALUE"""),"0002070")</f>
        <v>0002070</v>
      </c>
      <c r="R501" s="30" t="str">
        <f>IFERROR(__xludf.DUMMYFUNCTION("""COMPUTED_VALUE"""),"0001756648")</f>
        <v>0001756648</v>
      </c>
      <c r="S501" s="30" t="str">
        <f>IFERROR(__xludf.DUMMYFUNCTION("""COMPUTED_VALUE"""),"1")</f>
        <v>1</v>
      </c>
      <c r="T501" s="30" t="str">
        <f>IFERROR(__xludf.DUMMYFUNCTION("""COMPUTED_VALUE"""),"223293")</f>
        <v>223293</v>
      </c>
      <c r="U501" s="31">
        <f>IFERROR(__xludf.DUMMYFUNCTION("""COMPUTED_VALUE"""),2232)</f>
        <v>2232</v>
      </c>
      <c r="V501" s="11"/>
      <c r="W501" s="11"/>
      <c r="X501" s="11"/>
      <c r="Y501" s="11"/>
      <c r="Z501" s="11"/>
    </row>
    <row r="502" customHeight="1" spans="1:26">
      <c r="A502" s="11" t="str">
        <f>IFERROR(__xludf.DUMMYFUNCTION("""COMPUTED_VALUE"""),"MARIA DE FATIMA ACCIOLY DA CRUZ")</f>
        <v>MARIA DE FATIMA ACCIOLY DA CRUZ</v>
      </c>
      <c r="B502" s="11"/>
      <c r="C502" s="11"/>
      <c r="D502" s="11" t="str">
        <f>IFERROR(__xludf.DUMMYFUNCTION("""COMPUTED_VALUE"""),"Médica eSF")</f>
        <v>Médica eSF</v>
      </c>
      <c r="E502" s="11" t="str">
        <f>IFERROR(__xludf.DUMMYFUNCTION("""COMPUTED_VALUE"""),"V")</f>
        <v>V</v>
      </c>
      <c r="F502" s="11" t="str">
        <f>IFERROR(__xludf.DUMMYFUNCTION("""COMPUTED_VALUE"""),"US_301 USF BONGI BOA IDEIA")</f>
        <v>US_301 USF BONGI BOA IDEIA</v>
      </c>
      <c r="G502" s="11" t="str">
        <f>IFERROR(__xludf.DUMMYFUNCTION("""COMPUTED_VALUE"""),"US 301 USF BONGI BOA IDEIA")</f>
        <v>US 301 USF BONGI BOA IDEIA</v>
      </c>
      <c r="H502" s="27">
        <f>IFERROR(__xludf.DUMMYFUNCTION("""COMPUTED_VALUE"""),81988298008)</f>
        <v>81988298008</v>
      </c>
      <c r="I502" s="11"/>
      <c r="J502" s="11"/>
      <c r="K502" s="11"/>
      <c r="L502" s="11"/>
      <c r="M502" s="28" t="str">
        <f>IFERROR(__xludf.DUMMYFUNCTION("""COMPUTED_VALUE"""),"3355-4636")</f>
        <v>3355-4636</v>
      </c>
      <c r="N502" s="30" t="str">
        <f>IFERROR(__xludf.DUMMYFUNCTION("""COMPUTED_VALUE"""),"fatimaaccioly@terra.com.br")</f>
        <v>fatimaaccioly@terra.com.br</v>
      </c>
      <c r="O502" s="29">
        <f>IFERROR(__xludf.DUMMYFUNCTION("""COMPUTED_VALUE"""),12725617472)</f>
        <v>12725617472</v>
      </c>
      <c r="P502" s="30" t="str">
        <f>IFERROR(__xludf.DUMMYFUNCTION("""COMPUTED_VALUE"""),"206066725960008")</f>
        <v>206066725960008</v>
      </c>
      <c r="Q502" s="30" t="str">
        <f>IFERROR(__xludf.DUMMYFUNCTION("""COMPUTED_VALUE"""),"3131572")</f>
        <v>3131572</v>
      </c>
      <c r="R502" s="30" t="str">
        <f>IFERROR(__xludf.DUMMYFUNCTION("""COMPUTED_VALUE"""),"0000155055")</f>
        <v>0000155055</v>
      </c>
      <c r="S502" s="30" t="str">
        <f>IFERROR(__xludf.DUMMYFUNCTION("""COMPUTED_VALUE"""),"1")</f>
        <v>1</v>
      </c>
      <c r="T502" s="30" t="str">
        <f>IFERROR(__xludf.DUMMYFUNCTION("""COMPUTED_VALUE"""),"225142")</f>
        <v>225142</v>
      </c>
      <c r="U502" s="31" t="str">
        <f>IFERROR(__xludf.DUMMYFUNCTION("""COMPUTED_VALUE"""),"2251")</f>
        <v>2251</v>
      </c>
      <c r="V502" s="11"/>
      <c r="W502" s="11"/>
      <c r="X502" s="11">
        <f>IFERROR(__xludf.DUMMYFUNCTION("""COMPUTED_VALUE"""),33265791)</f>
        <v>33265791</v>
      </c>
      <c r="Y502" s="11">
        <f>IFERROR(__xludf.DUMMYFUNCTION("""COMPUTED_VALUE"""),88298008)</f>
        <v>88298008</v>
      </c>
      <c r="Z502" s="11">
        <f>IFERROR(__xludf.DUMMYFUNCTION("""COMPUTED_VALUE"""),12725617472)</f>
        <v>12725617472</v>
      </c>
    </row>
    <row r="503" customHeight="1" spans="1:26">
      <c r="A503" s="11" t="str">
        <f>IFERROR(__xludf.DUMMYFUNCTION("""COMPUTED_VALUE"""),"RENATA PARANHOS ALBUQUERQUE")</f>
        <v>RENATA PARANHOS ALBUQUERQUE</v>
      </c>
      <c r="B503" s="11"/>
      <c r="C503" s="11"/>
      <c r="D503" s="11" t="str">
        <f>IFERROR(__xludf.DUMMYFUNCTION("""COMPUTED_VALUE"""),"Dentista")</f>
        <v>Dentista</v>
      </c>
      <c r="E503" s="11" t="str">
        <f>IFERROR(__xludf.DUMMYFUNCTION("""COMPUTED_VALUE"""),"VI")</f>
        <v>VI</v>
      </c>
      <c r="F503" s="11" t="str">
        <f>IFERROR(__xludf.DUMMYFUNCTION("""COMPUTED_VALUE"""),"US_342 USF DJALMA HOLANDA CAVALCANTE")</f>
        <v>US_342 USF DJALMA HOLANDA CAVALCANTE</v>
      </c>
      <c r="G503" s="11" t="str">
        <f>IFERROR(__xludf.DUMMYFUNCTION("""COMPUTED_VALUE"""),"US 342 USF DJALMA HOLANDA CAVALCANTE")</f>
        <v>US 342 USF DJALMA HOLANDA CAVALCANTE</v>
      </c>
      <c r="H503" s="27">
        <f>IFERROR(__xludf.DUMMYFUNCTION("""COMPUTED_VALUE"""),81991699989)</f>
        <v>81991699989</v>
      </c>
      <c r="I503" s="11"/>
      <c r="J503" s="11"/>
      <c r="K503" s="11"/>
      <c r="L503" s="11"/>
      <c r="M503" s="28" t="str">
        <f>IFERROR(__xludf.DUMMYFUNCTION("""COMPUTED_VALUE"""),"3355-6122")</f>
        <v>3355-6122</v>
      </c>
      <c r="N503" s="11" t="str">
        <f>IFERROR(__xludf.DUMMYFUNCTION("""COMPUTED_VALUE"""),"reparanhosmoraes@hotmail.com")</f>
        <v>reparanhosmoraes@hotmail.com</v>
      </c>
      <c r="O503" s="29">
        <f>IFERROR(__xludf.DUMMYFUNCTION("""COMPUTED_VALUE"""),3820431462)</f>
        <v>3820431462</v>
      </c>
      <c r="P503" s="30" t="str">
        <f>IFERROR(__xludf.DUMMYFUNCTION("""COMPUTED_VALUE"""),"980016279414502")</f>
        <v>980016279414502</v>
      </c>
      <c r="Q503" s="30" t="str">
        <f>IFERROR(__xludf.DUMMYFUNCTION("""COMPUTED_VALUE"""),"5392136")</f>
        <v>5392136</v>
      </c>
      <c r="R503" s="30" t="str">
        <f>IFERROR(__xludf.DUMMYFUNCTION("""COMPUTED_VALUE"""),"0001856626")</f>
        <v>0001856626</v>
      </c>
      <c r="S503" s="30" t="str">
        <f>IFERROR(__xludf.DUMMYFUNCTION("""COMPUTED_VALUE"""),"1")</f>
        <v>1</v>
      </c>
      <c r="T503" s="30" t="str">
        <f>IFERROR(__xludf.DUMMYFUNCTION("""COMPUTED_VALUE"""),"223293")</f>
        <v>223293</v>
      </c>
      <c r="U503" s="31">
        <f>IFERROR(__xludf.DUMMYFUNCTION("""COMPUTED_VALUE"""),2232)</f>
        <v>2232</v>
      </c>
      <c r="V503" s="11"/>
      <c r="W503" s="11"/>
      <c r="X503" s="11"/>
      <c r="Y503" s="11"/>
      <c r="Z503" s="11"/>
    </row>
    <row r="504" customHeight="1" spans="1:26">
      <c r="A504" s="11" t="str">
        <f>IFERROR(__xludf.DUMMYFUNCTION("""COMPUTED_VALUE"""),"RENATA DE MELO GUIMARAES")</f>
        <v>RENATA DE MELO GUIMARAES</v>
      </c>
      <c r="B504" s="11"/>
      <c r="C504" s="11"/>
      <c r="D504" s="11" t="str">
        <f>IFERROR(__xludf.DUMMYFUNCTION("""COMPUTED_VALUE"""),"Dentista")</f>
        <v>Dentista</v>
      </c>
      <c r="E504" s="11" t="str">
        <f>IFERROR(__xludf.DUMMYFUNCTION("""COMPUTED_VALUE"""),"VIII")</f>
        <v>VIII</v>
      </c>
      <c r="F504" s="11" t="str">
        <f>IFERROR(__xludf.DUMMYFUNCTION("""COMPUTED_VALUE"""),"US_298 USF JORDAO ALTO")</f>
        <v>US_298 USF JORDAO ALTO</v>
      </c>
      <c r="G504" s="11" t="str">
        <f>IFERROR(__xludf.DUMMYFUNCTION("""COMPUTED_VALUE"""),"US 298 USF JORDAO ALTO")</f>
        <v>US 298 USF JORDAO ALTO</v>
      </c>
      <c r="H504" s="27">
        <f>IFERROR(__xludf.DUMMYFUNCTION("""COMPUTED_VALUE"""),81991749383)</f>
        <v>81991749383</v>
      </c>
      <c r="I504" s="11"/>
      <c r="J504" s="11"/>
      <c r="K504" s="11"/>
      <c r="L504" s="11"/>
      <c r="M504" s="28" t="str">
        <f>IFERROR(__xludf.DUMMYFUNCTION("""COMPUTED_VALUE"""),"3355-6162")</f>
        <v>3355-6162</v>
      </c>
      <c r="N504" s="11" t="str">
        <f>IFERROR(__xludf.DUMMYFUNCTION("""COMPUTED_VALUE"""),"renatapcr@outlook.com")</f>
        <v>renatapcr@outlook.com</v>
      </c>
      <c r="O504" s="29">
        <f>IFERROR(__xludf.DUMMYFUNCTION("""COMPUTED_VALUE"""),2784091481)</f>
        <v>2784091481</v>
      </c>
      <c r="P504" s="30" t="str">
        <f>IFERROR(__xludf.DUMMYFUNCTION("""COMPUTED_VALUE"""),"980016280391189")</f>
        <v>980016280391189</v>
      </c>
      <c r="Q504" s="30" t="str">
        <f>IFERROR(__xludf.DUMMYFUNCTION("""COMPUTED_VALUE"""),"3153460")</f>
        <v>3153460</v>
      </c>
      <c r="R504" s="30" t="str">
        <f>IFERROR(__xludf.DUMMYFUNCTION("""COMPUTED_VALUE"""),"0001846671	")</f>
        <v>0001846671	</v>
      </c>
      <c r="S504" s="30" t="str">
        <f>IFERROR(__xludf.DUMMYFUNCTION("""COMPUTED_VALUE"""),"1")</f>
        <v>1</v>
      </c>
      <c r="T504" s="30" t="str">
        <f>IFERROR(__xludf.DUMMYFUNCTION("""COMPUTED_VALUE"""),"223293")</f>
        <v>223293</v>
      </c>
      <c r="U504" s="31">
        <f>IFERROR(__xludf.DUMMYFUNCTION("""COMPUTED_VALUE"""),2232)</f>
        <v>2232</v>
      </c>
      <c r="V504" s="11"/>
      <c r="W504" s="11"/>
      <c r="X504" s="11"/>
      <c r="Y504" s="11"/>
      <c r="Z504" s="11"/>
    </row>
    <row r="505" customHeight="1" spans="1:26">
      <c r="A505" s="11" t="str">
        <f>IFERROR(__xludf.DUMMYFUNCTION("""COMPUTED_VALUE"""),"LEA REGINA BARROS DA SILVA")</f>
        <v>LEA REGINA BARROS DA SILVA</v>
      </c>
      <c r="B505" s="11"/>
      <c r="C505" s="11"/>
      <c r="D505" s="11" t="str">
        <f>IFERROR(__xludf.DUMMYFUNCTION("""COMPUTED_VALUE"""),"Médica eSF")</f>
        <v>Médica eSF</v>
      </c>
      <c r="E505" s="11" t="str">
        <f>IFERROR(__xludf.DUMMYFUNCTION("""COMPUTED_VALUE"""),"V")</f>
        <v>V</v>
      </c>
      <c r="F505" s="11" t="str">
        <f>IFERROR(__xludf.DUMMYFUNCTION("""COMPUTED_VALUE"""),"US_284 USF VILA SAO MIGUEL MARROM GLACE")</f>
        <v>US_284 USF VILA SAO MIGUEL MARROM GLACE</v>
      </c>
      <c r="G505" s="11" t="str">
        <f>IFERROR(__xludf.DUMMYFUNCTION("""COMPUTED_VALUE"""),"US 284 USF VILA SAO MIGUEL MARROM GLACE")</f>
        <v>US 284 USF VILA SAO MIGUEL MARROM GLACE</v>
      </c>
      <c r="H505" s="27">
        <f>IFERROR(__xludf.DUMMYFUNCTION("""COMPUTED_VALUE"""),81999742391)</f>
        <v>81999742391</v>
      </c>
      <c r="I505" s="27">
        <f>IFERROR(__xludf.DUMMYFUNCTION("""COMPUTED_VALUE"""),81999743291)</f>
        <v>81999743291</v>
      </c>
      <c r="J505" s="11"/>
      <c r="K505" s="11"/>
      <c r="L505" s="11"/>
      <c r="M505" s="28" t="str">
        <f>IFERROR(__xludf.DUMMYFUNCTION("""COMPUTED_VALUE"""),"3355-6932")</f>
        <v>3355-6932</v>
      </c>
      <c r="N505" s="11" t="str">
        <f>IFERROR(__xludf.DUMMYFUNCTION("""COMPUTED_VALUE"""),"lea.regina@bol.com.br")</f>
        <v>lea.regina@bol.com.br</v>
      </c>
      <c r="O505" s="29">
        <f>IFERROR(__xludf.DUMMYFUNCTION("""COMPUTED_VALUE"""),27862917472)</f>
        <v>27862917472</v>
      </c>
      <c r="P505" s="30" t="str">
        <f>IFERROR(__xludf.DUMMYFUNCTION("""COMPUTED_VALUE"""),"123061842690006")</f>
        <v>123061842690006</v>
      </c>
      <c r="Q505" s="30" t="str">
        <f>IFERROR(__xludf.DUMMYFUNCTION("""COMPUTED_VALUE"""),"0029114")</f>
        <v>0029114</v>
      </c>
      <c r="R505" s="30" t="str">
        <f>IFERROR(__xludf.DUMMYFUNCTION("""COMPUTED_VALUE"""),"0000154695")</f>
        <v>0000154695</v>
      </c>
      <c r="S505" s="30" t="str">
        <f>IFERROR(__xludf.DUMMYFUNCTION("""COMPUTED_VALUE"""),"1")</f>
        <v>1</v>
      </c>
      <c r="T505" s="30" t="str">
        <f>IFERROR(__xludf.DUMMYFUNCTION("""COMPUTED_VALUE"""),"225142")</f>
        <v>225142</v>
      </c>
      <c r="U505" s="31" t="str">
        <f>IFERROR(__xludf.DUMMYFUNCTION("""COMPUTED_VALUE"""),"2251")</f>
        <v>2251</v>
      </c>
      <c r="V505" s="11" t="str">
        <f>IFERROR(__xludf.DUMMYFUNCTION("""COMPUTED_VALUE"""),"SIM")</f>
        <v>SIM</v>
      </c>
      <c r="W505" s="11"/>
      <c r="X505" s="11">
        <f>IFERROR(__xludf.DUMMYFUNCTION("""COMPUTED_VALUE"""),99742391)</f>
        <v>99742391</v>
      </c>
      <c r="Y505" s="11"/>
      <c r="Z505" s="11">
        <f>IFERROR(__xludf.DUMMYFUNCTION("""COMPUTED_VALUE"""),27862917472)</f>
        <v>27862917472</v>
      </c>
    </row>
    <row r="506" customHeight="1" spans="1:26">
      <c r="A506" s="11" t="str">
        <f>IFERROR(__xludf.DUMMYFUNCTION("""COMPUTED_VALUE"""),"VANESSA MARIA LINS BRAYNER")</f>
        <v>VANESSA MARIA LINS BRAYNER</v>
      </c>
      <c r="B506" s="11"/>
      <c r="C506" s="11"/>
      <c r="D506" s="11" t="str">
        <f>IFERROR(__xludf.DUMMYFUNCTION("""COMPUTED_VALUE"""),"Médica Clínica")</f>
        <v>Médica Clínica</v>
      </c>
      <c r="E506" s="11" t="str">
        <f>IFERROR(__xludf.DUMMYFUNCTION("""COMPUTED_VALUE"""),"VIII")</f>
        <v>VIII</v>
      </c>
      <c r="F506" s="11" t="str">
        <f>IFERROR(__xludf.DUMMYFUNCTION("""COMPUTED_VALUE"""),"US_104 CS SEBASTIAO IVO RABELO")</f>
        <v>US_104 CS SEBASTIAO IVO RABELO</v>
      </c>
      <c r="G506" s="11" t="str">
        <f>IFERROR(__xludf.DUMMYFUNCTION("""COMPUTED_VALUE"""),"US 104 CS SEBASTIAO IVO RABELO")</f>
        <v>US 104 CS SEBASTIAO IVO RABELO</v>
      </c>
      <c r="H506" s="27">
        <f>IFERROR(__xludf.DUMMYFUNCTION("""COMPUTED_VALUE"""),81999642668)</f>
        <v>81999642668</v>
      </c>
      <c r="I506" s="11"/>
      <c r="J506" s="11"/>
      <c r="K506" s="11"/>
      <c r="L506" s="11"/>
      <c r="M506" s="28" t="str">
        <f>IFERROR(__xludf.DUMMYFUNCTION("""COMPUTED_VALUE"""),"3355-5445")</f>
        <v>3355-5445</v>
      </c>
      <c r="N506" s="11" t="str">
        <f>IFERROR(__xludf.DUMMYFUNCTION("""COMPUTED_VALUE"""),"vbrayner@uol.com.br")</f>
        <v>vbrayner@uol.com.br</v>
      </c>
      <c r="O506" s="29">
        <f>IFERROR(__xludf.DUMMYFUNCTION("""COMPUTED_VALUE"""),43024777334)</f>
        <v>43024777334</v>
      </c>
      <c r="P506" s="30" t="str">
        <f>IFERROR(__xludf.DUMMYFUNCTION("""COMPUTED_VALUE"""),"209066157330003")</f>
        <v>209066157330003</v>
      </c>
      <c r="Q506" s="30" t="str">
        <f>IFERROR(__xludf.DUMMYFUNCTION("""COMPUTED_VALUE"""),"0001082")</f>
        <v>0001082</v>
      </c>
      <c r="R506" s="30" t="str">
        <f>IFERROR(__xludf.DUMMYFUNCTION("""COMPUTED_VALUE"""),"9000108201")</f>
        <v>9000108201</v>
      </c>
      <c r="S506" s="30" t="str">
        <f>IFERROR(__xludf.DUMMYFUNCTION("""COMPUTED_VALUE"""),"1")</f>
        <v>1</v>
      </c>
      <c r="T506" s="30" t="str">
        <f>IFERROR(__xludf.DUMMYFUNCTION("""COMPUTED_VALUE"""),"225125")</f>
        <v>225125</v>
      </c>
      <c r="U506" s="31">
        <f>IFERROR(__xludf.DUMMYFUNCTION("""COMPUTED_VALUE"""),2251)</f>
        <v>2251</v>
      </c>
      <c r="V506" s="11"/>
      <c r="W506" s="11"/>
      <c r="X506" s="11">
        <f>IFERROR(__xludf.DUMMYFUNCTION("""COMPUTED_VALUE"""),8199642668)</f>
        <v>8199642668</v>
      </c>
      <c r="Y506" s="11">
        <f>IFERROR(__xludf.DUMMYFUNCTION("""COMPUTED_VALUE"""),8133271522)</f>
        <v>8133271522</v>
      </c>
      <c r="Z506" s="11">
        <f>IFERROR(__xludf.DUMMYFUNCTION("""COMPUTED_VALUE"""),43024777334)</f>
        <v>43024777334</v>
      </c>
    </row>
    <row r="507" customHeight="1" spans="1:26">
      <c r="A507" s="11" t="str">
        <f>IFERROR(__xludf.DUMMYFUNCTION("""COMPUTED_VALUE"""),"DORALICE PIMENTEL E SILVA NUNES")</f>
        <v>DORALICE PIMENTEL E SILVA NUNES</v>
      </c>
      <c r="B507" s="11"/>
      <c r="C507" s="11"/>
      <c r="D507" s="11" t="str">
        <f>IFERROR(__xludf.DUMMYFUNCTION("""COMPUTED_VALUE"""),"Dentista")</f>
        <v>Dentista</v>
      </c>
      <c r="E507" s="11" t="str">
        <f>IFERROR(__xludf.DUMMYFUNCTION("""COMPUTED_VALUE"""),"VIII")</f>
        <v>VIII</v>
      </c>
      <c r="F507" s="11" t="str">
        <f>IFERROR(__xludf.DUMMYFUNCTION("""COMPUTED_VALUE"""),"US_351 USF PAZ E AMOR")</f>
        <v>US_351 USF PAZ E AMOR</v>
      </c>
      <c r="G507" s="11" t="str">
        <f>IFERROR(__xludf.DUMMYFUNCTION("""COMPUTED_VALUE"""),"US 351 USF PAZ E AMOR")</f>
        <v>US 351 USF PAZ E AMOR</v>
      </c>
      <c r="H507" s="27">
        <f>IFERROR(__xludf.DUMMYFUNCTION("""COMPUTED_VALUE"""),81987337643)</f>
        <v>81987337643</v>
      </c>
      <c r="I507" s="11"/>
      <c r="J507" s="11"/>
      <c r="K507" s="11"/>
      <c r="L507" s="11"/>
      <c r="M507" s="28" t="str">
        <f>IFERROR(__xludf.DUMMYFUNCTION("""COMPUTED_VALUE"""),"3355-6650")</f>
        <v>3355-6650</v>
      </c>
      <c r="N507" s="11" t="str">
        <f>IFERROR(__xludf.DUMMYFUNCTION("""COMPUTED_VALUE"""),"doraliceportella@hotmail.com")</f>
        <v>doraliceportella@hotmail.com</v>
      </c>
      <c r="O507" s="29">
        <f>IFERROR(__xludf.DUMMYFUNCTION("""COMPUTED_VALUE"""),77597451415)</f>
        <v>77597451415</v>
      </c>
      <c r="P507" s="30" t="str">
        <f>IFERROR(__xludf.DUMMYFUNCTION("""COMPUTED_VALUE"""),"201533417470001")</f>
        <v>201533417470001</v>
      </c>
      <c r="Q507" s="30" t="str">
        <f>IFERROR(__xludf.DUMMYFUNCTION("""COMPUTED_VALUE"""),"6362494")</f>
        <v>6362494</v>
      </c>
      <c r="R507" s="30" t="str">
        <f>IFERROR(__xludf.DUMMYFUNCTION("""COMPUTED_VALUE"""),"0001840444")</f>
        <v>0001840444</v>
      </c>
      <c r="S507" s="30" t="str">
        <f>IFERROR(__xludf.DUMMYFUNCTION("""COMPUTED_VALUE"""),"1")</f>
        <v>1</v>
      </c>
      <c r="T507" s="30" t="str">
        <f>IFERROR(__xludf.DUMMYFUNCTION("""COMPUTED_VALUE"""),"223293")</f>
        <v>223293</v>
      </c>
      <c r="U507" s="31">
        <f>IFERROR(__xludf.DUMMYFUNCTION("""COMPUTED_VALUE"""),2232)</f>
        <v>2232</v>
      </c>
      <c r="V507" s="11"/>
      <c r="W507" s="11"/>
      <c r="X507" s="11"/>
      <c r="Y507" s="11"/>
      <c r="Z507" s="11"/>
    </row>
    <row r="508" customHeight="1" spans="1:26">
      <c r="A508" s="11" t="str">
        <f>IFERROR(__xludf.DUMMYFUNCTION("""COMPUTED_VALUE"""),"SHEILA MARIA CAVALCANTI NOBREGA")</f>
        <v>SHEILA MARIA CAVALCANTI NOBREGA</v>
      </c>
      <c r="B508" s="11"/>
      <c r="C508" s="11"/>
      <c r="D508" s="11" t="str">
        <f>IFERROR(__xludf.DUMMYFUNCTION("""COMPUTED_VALUE"""),"Médica eSF")</f>
        <v>Médica eSF</v>
      </c>
      <c r="E508" s="11" t="str">
        <f>IFERROR(__xludf.DUMMYFUNCTION("""COMPUTED_VALUE"""),"VIII")</f>
        <v>VIII</v>
      </c>
      <c r="F508" s="11" t="str">
        <f>IFERROR(__xludf.DUMMYFUNCTION("""COMPUTED_VALUE"""),"US_313 USF TRES CARNEIROS DE BAIXO ZUMBI DO PACHECO")</f>
        <v>US_313 USF TRES CARNEIROS DE BAIXO ZUMBI DO PACHECO</v>
      </c>
      <c r="G508" s="11" t="str">
        <f>IFERROR(__xludf.DUMMYFUNCTION("""COMPUTED_VALUE"""),"US 313 USF TRES CARNEIROS DE BAIXO ZUMBI DO PACHECO")</f>
        <v>US 313 USF TRES CARNEIROS DE BAIXO ZUMBI DO PACHECO</v>
      </c>
      <c r="H508" s="27">
        <f>IFERROR(__xludf.DUMMYFUNCTION("""COMPUTED_VALUE"""),81991668874)</f>
        <v>81991668874</v>
      </c>
      <c r="I508" s="11"/>
      <c r="J508" s="11"/>
      <c r="K508" s="11"/>
      <c r="L508" s="11"/>
      <c r="M508" s="28" t="str">
        <f>IFERROR(__xludf.DUMMYFUNCTION("""COMPUTED_VALUE"""),"3355-4712")</f>
        <v>3355-4712</v>
      </c>
      <c r="N508" s="11" t="str">
        <f>IFERROR(__xludf.DUMMYFUNCTION("""COMPUTED_VALUE"""),"edanobrega@hotmail.com")</f>
        <v>edanobrega@hotmail.com</v>
      </c>
      <c r="O508" s="29">
        <f>IFERROR(__xludf.DUMMYFUNCTION("""COMPUTED_VALUE"""),40907660444)</f>
        <v>40907660444</v>
      </c>
      <c r="P508" s="30" t="str">
        <f>IFERROR(__xludf.DUMMYFUNCTION("""COMPUTED_VALUE"""),"124122456910004")</f>
        <v>124122456910004</v>
      </c>
      <c r="Q508" s="30" t="str">
        <f>IFERROR(__xludf.DUMMYFUNCTION("""COMPUTED_VALUE"""),"3569322")</f>
        <v>3569322</v>
      </c>
      <c r="R508" s="30" t="str">
        <f>IFERROR(__xludf.DUMMYFUNCTION("""COMPUTED_VALUE"""),"0000155632")</f>
        <v>0000155632</v>
      </c>
      <c r="S508" s="30" t="str">
        <f>IFERROR(__xludf.DUMMYFUNCTION("""COMPUTED_VALUE"""),"1")</f>
        <v>1</v>
      </c>
      <c r="T508" s="30" t="str">
        <f>IFERROR(__xludf.DUMMYFUNCTION("""COMPUTED_VALUE"""),"225142")</f>
        <v>225142</v>
      </c>
      <c r="U508" s="31" t="str">
        <f>IFERROR(__xludf.DUMMYFUNCTION("""COMPUTED_VALUE"""),"2251")</f>
        <v>2251</v>
      </c>
      <c r="V508" s="11" t="str">
        <f>IFERROR(__xludf.DUMMYFUNCTION("""COMPUTED_VALUE"""),"SIM")</f>
        <v>SIM</v>
      </c>
      <c r="W508" s="11"/>
      <c r="X508" s="11" t="str">
        <f>IFERROR(__xludf.DUMMYFUNCTION("""COMPUTED_VALUE"""),"81-33283325")</f>
        <v>81-33283325</v>
      </c>
      <c r="Y508" s="11" t="str">
        <f>IFERROR(__xludf.DUMMYFUNCTION("""COMPUTED_VALUE"""),"81-91668874")</f>
        <v>81-91668874</v>
      </c>
      <c r="Z508" s="11">
        <f>IFERROR(__xludf.DUMMYFUNCTION("""COMPUTED_VALUE"""),40907660444)</f>
        <v>40907660444</v>
      </c>
    </row>
    <row r="509" customHeight="1" spans="1:26">
      <c r="A509" s="11" t="str">
        <f>IFERROR(__xludf.DUMMYFUNCTION("""COMPUTED_VALUE"""),"FRANCISCO INARIO NOVAIS ARAUJO")</f>
        <v>FRANCISCO INARIO NOVAIS ARAUJO</v>
      </c>
      <c r="B509" s="11"/>
      <c r="C509" s="11"/>
      <c r="D509" s="11" t="str">
        <f>IFERROR(__xludf.DUMMYFUNCTION("""COMPUTED_VALUE"""),"Médico eSF")</f>
        <v>Médico eSF</v>
      </c>
      <c r="E509" s="11" t="str">
        <f>IFERROR(__xludf.DUMMYFUNCTION("""COMPUTED_VALUE"""),"VIII")</f>
        <v>VIII</v>
      </c>
      <c r="F509" s="11" t="str">
        <f>IFERROR(__xludf.DUMMYFUNCTION("""COMPUTED_VALUE"""),"US_270 USF MONTE VERDE")</f>
        <v>US_270 USF MONTE VERDE</v>
      </c>
      <c r="G509" s="11" t="str">
        <f>IFERROR(__xludf.DUMMYFUNCTION("""COMPUTED_VALUE"""),"US 270 USF MONTE VERDE")</f>
        <v>US 270 USF MONTE VERDE</v>
      </c>
      <c r="H509" s="27">
        <f>IFERROR(__xludf.DUMMYFUNCTION("""COMPUTED_VALUE"""),81999386933)</f>
        <v>81999386933</v>
      </c>
      <c r="I509" s="11"/>
      <c r="J509" s="11"/>
      <c r="K509" s="11"/>
      <c r="L509" s="11"/>
      <c r="M509" s="28" t="str">
        <f>IFERROR(__xludf.DUMMYFUNCTION("""COMPUTED_VALUE"""),"3355-6159")</f>
        <v>3355-6159</v>
      </c>
      <c r="N509" s="11" t="str">
        <f>IFERROR(__xludf.DUMMYFUNCTION("""COMPUTED_VALUE"""),"franciscoinario@gmail.com")</f>
        <v>franciscoinario@gmail.com</v>
      </c>
      <c r="O509" s="29">
        <f>IFERROR(__xludf.DUMMYFUNCTION("""COMPUTED_VALUE"""),58268243449)</f>
        <v>58268243449</v>
      </c>
      <c r="P509" s="30" t="str">
        <f>IFERROR(__xludf.DUMMYFUNCTION("""COMPUTED_VALUE"""),"203103658500006")</f>
        <v>203103658500006</v>
      </c>
      <c r="Q509" s="30" t="str">
        <f>IFERROR(__xludf.DUMMYFUNCTION("""COMPUTED_VALUE"""),"0026387")</f>
        <v>0026387</v>
      </c>
      <c r="R509" s="30" t="str">
        <f>IFERROR(__xludf.DUMMYFUNCTION("""COMPUTED_VALUE"""),"0000154393")</f>
        <v>0000154393</v>
      </c>
      <c r="S509" s="30" t="str">
        <f>IFERROR(__xludf.DUMMYFUNCTION("""COMPUTED_VALUE"""),"1")</f>
        <v>1</v>
      </c>
      <c r="T509" s="30" t="str">
        <f>IFERROR(__xludf.DUMMYFUNCTION("""COMPUTED_VALUE"""),"225142")</f>
        <v>225142</v>
      </c>
      <c r="U509" s="31" t="str">
        <f>IFERROR(__xludf.DUMMYFUNCTION("""COMPUTED_VALUE"""),"2251")</f>
        <v>2251</v>
      </c>
      <c r="V509" s="11" t="str">
        <f>IFERROR(__xludf.DUMMYFUNCTION("""COMPUTED_VALUE"""),"SIM")</f>
        <v>SIM</v>
      </c>
      <c r="W509" s="11"/>
      <c r="X509" s="11">
        <f>IFERROR(__xludf.DUMMYFUNCTION("""COMPUTED_VALUE"""),99386933)</f>
        <v>99386933</v>
      </c>
      <c r="Y509" s="11">
        <f>IFERROR(__xludf.DUMMYFUNCTION("""COMPUTED_VALUE"""),33284640)</f>
        <v>33284640</v>
      </c>
      <c r="Z509" s="11">
        <f>IFERROR(__xludf.DUMMYFUNCTION("""COMPUTED_VALUE"""),58268243449)</f>
        <v>58268243449</v>
      </c>
    </row>
    <row r="510" customHeight="1" spans="1:26">
      <c r="A510" s="11" t="str">
        <f>IFERROR(__xludf.DUMMYFUNCTION("""COMPUTED_VALUE"""),"GILMARA VINHOTE DE ALBUQUERQUE")</f>
        <v>GILMARA VINHOTE DE ALBUQUERQUE</v>
      </c>
      <c r="B510" s="11"/>
      <c r="C510" s="11"/>
      <c r="D510" s="11" t="str">
        <f>IFERROR(__xludf.DUMMYFUNCTION("""COMPUTED_VALUE"""),"Enfermeira eSF")</f>
        <v>Enfermeira eSF</v>
      </c>
      <c r="E510" s="11" t="str">
        <f>IFERROR(__xludf.DUMMYFUNCTION("""COMPUTED_VALUE"""),"VIII")</f>
        <v>VIII</v>
      </c>
      <c r="F510" s="11" t="str">
        <f>IFERROR(__xludf.DUMMYFUNCTION("""COMPUTED_VALUE"""),"US_299 USF JORDAO BAIXO")</f>
        <v>US_299 USF JORDAO BAIXO</v>
      </c>
      <c r="G510" s="11" t="str">
        <f>IFERROR(__xludf.DUMMYFUNCTION("""COMPUTED_VALUE"""),"US 299 USF JORDAO BAIXO")</f>
        <v>US 299 USF JORDAO BAIXO</v>
      </c>
      <c r="H510" s="27">
        <f>IFERROR(__xludf.DUMMYFUNCTION("""COMPUTED_VALUE"""),81987916626)</f>
        <v>81987916626</v>
      </c>
      <c r="I510" s="27">
        <f>IFERROR(__xludf.DUMMYFUNCTION("""COMPUTED_VALUE"""),81995104343)</f>
        <v>81995104343</v>
      </c>
      <c r="J510" s="11"/>
      <c r="K510" s="11"/>
      <c r="L510" s="11"/>
      <c r="M510" s="28" t="str">
        <f>IFERROR(__xludf.DUMMYFUNCTION("""COMPUTED_VALUE"""),"3355-3407")</f>
        <v>3355-3407</v>
      </c>
      <c r="N510" s="11" t="str">
        <f>IFERROR(__xludf.DUMMYFUNCTION("""COMPUTED_VALUE"""),"gilmaravinhote@gmail.com")</f>
        <v>gilmaravinhote@gmail.com</v>
      </c>
      <c r="O510" s="29">
        <f>IFERROR(__xludf.DUMMYFUNCTION("""COMPUTED_VALUE"""),2514489407)</f>
        <v>2514489407</v>
      </c>
      <c r="P510" s="30" t="str">
        <f>IFERROR(__xludf.DUMMYFUNCTION("""COMPUTED_VALUE"""),"204325018480001")</f>
        <v>204325018480001</v>
      </c>
      <c r="Q510" s="30" t="str">
        <f>IFERROR(__xludf.DUMMYFUNCTION("""COMPUTED_VALUE"""),"3153479")</f>
        <v>3153479</v>
      </c>
      <c r="R510" s="30" t="str">
        <f>IFERROR(__xludf.DUMMYFUNCTION("""COMPUTED_VALUE"""),"0000155128")</f>
        <v>0000155128</v>
      </c>
      <c r="S510" s="30" t="str">
        <f>IFERROR(__xludf.DUMMYFUNCTION("""COMPUTED_VALUE"""),"1")</f>
        <v>1</v>
      </c>
      <c r="T510" s="30" t="str">
        <f>IFERROR(__xludf.DUMMYFUNCTION("""COMPUTED_VALUE"""),"223565")</f>
        <v>223565</v>
      </c>
      <c r="U510" s="31" t="str">
        <f>IFERROR(__xludf.DUMMYFUNCTION("""COMPUTED_VALUE"""),"2235")</f>
        <v>2235</v>
      </c>
      <c r="V510" s="11"/>
      <c r="W510" s="11">
        <f>IFERROR(__xludf.DUMMYFUNCTION("""COMPUTED_VALUE"""),87916626)</f>
        <v>87916626</v>
      </c>
      <c r="X510" s="11"/>
      <c r="Y510" s="11">
        <f>IFERROR(__xludf.DUMMYFUNCTION("""COMPUTED_VALUE"""),2514489407)</f>
        <v>2514489407</v>
      </c>
      <c r="Z510" s="11"/>
    </row>
    <row r="511" customHeight="1" spans="1:26">
      <c r="A511" s="11" t="str">
        <f>IFERROR(__xludf.DUMMYFUNCTION("""COMPUTED_VALUE"""),"FLAVIA SILVA FREIRE")</f>
        <v>FLAVIA SILVA FREIRE</v>
      </c>
      <c r="B511" s="11"/>
      <c r="C511" s="11"/>
      <c r="D511" s="11" t="str">
        <f>IFERROR(__xludf.DUMMYFUNCTION("""COMPUTED_VALUE"""),"Enfermeira eSF")</f>
        <v>Enfermeira eSF</v>
      </c>
      <c r="E511" s="11" t="str">
        <f>IFERROR(__xludf.DUMMYFUNCTION("""COMPUTED_VALUE"""),"VIII")</f>
        <v>VIII</v>
      </c>
      <c r="F511" s="11" t="str">
        <f>IFERROR(__xludf.DUMMYFUNCTION("""COMPUTED_VALUE"""),"US_230 USF LAGOA ENCANTADA")</f>
        <v>US_230 USF LAGOA ENCANTADA</v>
      </c>
      <c r="G511" s="11" t="str">
        <f>IFERROR(__xludf.DUMMYFUNCTION("""COMPUTED_VALUE"""),"US 230 USF LAGOA ENCANTADA")</f>
        <v>US 230 USF LAGOA ENCANTADA</v>
      </c>
      <c r="H511" s="27">
        <f>IFERROR(__xludf.DUMMYFUNCTION("""COMPUTED_VALUE"""),81985355338)</f>
        <v>81985355338</v>
      </c>
      <c r="I511" s="11"/>
      <c r="J511" s="11"/>
      <c r="K511" s="11"/>
      <c r="L511" s="11"/>
      <c r="M511" s="28" t="str">
        <f>IFERROR(__xludf.DUMMYFUNCTION("""COMPUTED_VALUE"""),"3355-6174")</f>
        <v>3355-6174</v>
      </c>
      <c r="N511" s="11" t="str">
        <f>IFERROR(__xludf.DUMMYFUNCTION("""COMPUTED_VALUE"""),"flaviafreire@hotmail.com")</f>
        <v>flaviafreire@hotmail.com</v>
      </c>
      <c r="O511" s="29">
        <f>IFERROR(__xludf.DUMMYFUNCTION("""COMPUTED_VALUE"""),98934791420)</f>
        <v>98934791420</v>
      </c>
      <c r="P511" s="30" t="str">
        <f>IFERROR(__xludf.DUMMYFUNCTION("""COMPUTED_VALUE"""),"700002169368900")</f>
        <v>700002169368900</v>
      </c>
      <c r="Q511" s="30" t="str">
        <f>IFERROR(__xludf.DUMMYFUNCTION("""COMPUTED_VALUE"""),"0022470")</f>
        <v>0022470</v>
      </c>
      <c r="R511" s="30" t="str">
        <f>IFERROR(__xludf.DUMMYFUNCTION("""COMPUTED_VALUE"""),"0000154091")</f>
        <v>0000154091</v>
      </c>
      <c r="S511" s="30" t="str">
        <f>IFERROR(__xludf.DUMMYFUNCTION("""COMPUTED_VALUE"""),"1")</f>
        <v>1</v>
      </c>
      <c r="T511" s="30" t="str">
        <f>IFERROR(__xludf.DUMMYFUNCTION("""COMPUTED_VALUE"""),"223565")</f>
        <v>223565</v>
      </c>
      <c r="U511" s="31" t="str">
        <f>IFERROR(__xludf.DUMMYFUNCTION("""COMPUTED_VALUE"""),"2235")</f>
        <v>2235</v>
      </c>
      <c r="V511" s="11"/>
      <c r="W511" s="11">
        <f>IFERROR(__xludf.DUMMYFUNCTION("""COMPUTED_VALUE"""),85355338)</f>
        <v>85355338</v>
      </c>
      <c r="X511" s="11">
        <f>IFERROR(__xludf.DUMMYFUNCTION("""COMPUTED_VALUE"""),33410949)</f>
        <v>33410949</v>
      </c>
      <c r="Y511" s="11">
        <f>IFERROR(__xludf.DUMMYFUNCTION("""COMPUTED_VALUE"""),98934791420)</f>
        <v>98934791420</v>
      </c>
      <c r="Z511" s="11"/>
    </row>
    <row r="512" customHeight="1" spans="1:26">
      <c r="A512" s="11" t="str">
        <f>IFERROR(__xludf.DUMMYFUNCTION("""COMPUTED_VALUE"""),"JULIANA CAMPELO ONIAS DE CARVALHO")</f>
        <v>JULIANA CAMPELO ONIAS DE CARVALHO</v>
      </c>
      <c r="B512" s="11"/>
      <c r="C512" s="11"/>
      <c r="D512" s="11" t="str">
        <f>IFERROR(__xludf.DUMMYFUNCTION("""COMPUTED_VALUE"""),"Dentista")</f>
        <v>Dentista</v>
      </c>
      <c r="E512" s="11" t="str">
        <f>IFERROR(__xludf.DUMMYFUNCTION("""COMPUTED_VALUE"""),"VIII")</f>
        <v>VIII</v>
      </c>
      <c r="F512" s="11" t="str">
        <f>IFERROR(__xludf.DUMMYFUNCTION("""COMPUTED_VALUE"""),"US_299 USF JORDAO BAIXO")</f>
        <v>US_299 USF JORDAO BAIXO</v>
      </c>
      <c r="G512" s="11" t="str">
        <f>IFERROR(__xludf.DUMMYFUNCTION("""COMPUTED_VALUE"""),"US 299 USF JORDAO BAIXO")</f>
        <v>US 299 USF JORDAO BAIXO</v>
      </c>
      <c r="H512" s="27">
        <f>IFERROR(__xludf.DUMMYFUNCTION("""COMPUTED_VALUE"""),81988229574)</f>
        <v>81988229574</v>
      </c>
      <c r="I512" s="11"/>
      <c r="J512" s="11"/>
      <c r="K512" s="11"/>
      <c r="L512" s="11"/>
      <c r="M512" s="28" t="str">
        <f>IFERROR(__xludf.DUMMYFUNCTION("""COMPUTED_VALUE"""),"3355-3407")</f>
        <v>3355-3407</v>
      </c>
      <c r="N512" s="11" t="str">
        <f>IFERROR(__xludf.DUMMYFUNCTION("""COMPUTED_VALUE"""),"julianaonias@gmail.com")</f>
        <v>julianaonias@gmail.com</v>
      </c>
      <c r="O512" s="29">
        <f>IFERROR(__xludf.DUMMYFUNCTION("""COMPUTED_VALUE"""),2385879409)</f>
        <v>2385879409</v>
      </c>
      <c r="P512" s="30" t="str">
        <f>IFERROR(__xludf.DUMMYFUNCTION("""COMPUTED_VALUE"""),"980016000010236")</f>
        <v>980016000010236</v>
      </c>
      <c r="Q512" s="30" t="str">
        <f>IFERROR(__xludf.DUMMYFUNCTION("""COMPUTED_VALUE"""),"3153479")</f>
        <v>3153479</v>
      </c>
      <c r="R512" s="30" t="str">
        <f>IFERROR(__xludf.DUMMYFUNCTION("""COMPUTED_VALUE"""),"0001846957")</f>
        <v>0001846957</v>
      </c>
      <c r="S512" s="30" t="str">
        <f>IFERROR(__xludf.DUMMYFUNCTION("""COMPUTED_VALUE"""),"1")</f>
        <v>1</v>
      </c>
      <c r="T512" s="30" t="str">
        <f>IFERROR(__xludf.DUMMYFUNCTION("""COMPUTED_VALUE"""),"223293")</f>
        <v>223293</v>
      </c>
      <c r="U512" s="31">
        <f>IFERROR(__xludf.DUMMYFUNCTION("""COMPUTED_VALUE"""),2232)</f>
        <v>2232</v>
      </c>
      <c r="V512" s="11"/>
      <c r="W512" s="11"/>
      <c r="X512" s="11"/>
      <c r="Y512" s="11"/>
      <c r="Z512" s="11"/>
    </row>
    <row r="513" customHeight="1" spans="1:26">
      <c r="A513" s="11" t="str">
        <f>IFERROR(__xludf.DUMMYFUNCTION("""COMPUTED_VALUE"""),"ANA PAULA TYRRASCH DE ALMEIDA MACEDO")</f>
        <v>ANA PAULA TYRRASCH DE ALMEIDA MACEDO</v>
      </c>
      <c r="B513" s="11"/>
      <c r="C513" s="11"/>
      <c r="D513" s="11" t="str">
        <f>IFERROR(__xludf.DUMMYFUNCTION("""COMPUTED_VALUE"""),"Médica eSF")</f>
        <v>Médica eSF</v>
      </c>
      <c r="E513" s="11" t="str">
        <f>IFERROR(__xludf.DUMMYFUNCTION("""COMPUTED_VALUE"""),"VIII")</f>
        <v>VIII</v>
      </c>
      <c r="F513" s="11" t="str">
        <f>IFERROR(__xludf.DUMMYFUNCTION("""COMPUTED_VALUE"""),"US_282 USF VILA DAS AEROMOCAS")</f>
        <v>US_282 USF VILA DAS AEROMOCAS</v>
      </c>
      <c r="G513" s="11" t="str">
        <f>IFERROR(__xludf.DUMMYFUNCTION("""COMPUTED_VALUE"""),"US 282 USF VILA DAS AEROMOCAS")</f>
        <v>US 282 USF VILA DAS AEROMOCAS</v>
      </c>
      <c r="H513" s="27">
        <f>IFERROR(__xludf.DUMMYFUNCTION("""COMPUTED_VALUE"""),81991428613)</f>
        <v>81991428613</v>
      </c>
      <c r="I513" s="27">
        <f>IFERROR(__xludf.DUMMYFUNCTION("""COMPUTED_VALUE"""),81992017311)</f>
        <v>81992017311</v>
      </c>
      <c r="J513" s="11"/>
      <c r="K513" s="11"/>
      <c r="L513" s="11"/>
      <c r="M513" s="28" t="str">
        <f>IFERROR(__xludf.DUMMYFUNCTION("""COMPUTED_VALUE"""),"3355-4620")</f>
        <v>3355-4620</v>
      </c>
      <c r="N513" s="11" t="str">
        <f>IFERROR(__xludf.DUMMYFUNCTION("""COMPUTED_VALUE"""),"anatyrrasch@hotmail.com")</f>
        <v>anatyrrasch@hotmail.com</v>
      </c>
      <c r="O513" s="29">
        <f>IFERROR(__xludf.DUMMYFUNCTION("""COMPUTED_VALUE"""),3406090443)</f>
        <v>3406090443</v>
      </c>
      <c r="P513" s="30" t="str">
        <f>IFERROR(__xludf.DUMMYFUNCTION("""COMPUTED_VALUE"""),"980016005120285")</f>
        <v>980016005120285</v>
      </c>
      <c r="Q513" s="30" t="str">
        <f>IFERROR(__xludf.DUMMYFUNCTION("""COMPUTED_VALUE"""),"0029068")</f>
        <v>0029068</v>
      </c>
      <c r="R513" s="30" t="str">
        <f>IFERROR(__xludf.DUMMYFUNCTION("""COMPUTED_VALUE"""),"0000154652")</f>
        <v>0000154652</v>
      </c>
      <c r="S513" s="30" t="str">
        <f>IFERROR(__xludf.DUMMYFUNCTION("""COMPUTED_VALUE"""),"1")</f>
        <v>1</v>
      </c>
      <c r="T513" s="30" t="str">
        <f>IFERROR(__xludf.DUMMYFUNCTION("""COMPUTED_VALUE"""),"225142")</f>
        <v>225142</v>
      </c>
      <c r="U513" s="31" t="str">
        <f>IFERROR(__xludf.DUMMYFUNCTION("""COMPUTED_VALUE"""),"2251")</f>
        <v>2251</v>
      </c>
      <c r="V513" s="11" t="str">
        <f>IFERROR(__xludf.DUMMYFUNCTION("""COMPUTED_VALUE"""),"SIM")</f>
        <v>SIM</v>
      </c>
      <c r="W513" s="11"/>
      <c r="X513" s="11">
        <f>IFERROR(__xludf.DUMMYFUNCTION("""COMPUTED_VALUE"""),991428613)</f>
        <v>991428613</v>
      </c>
      <c r="Y513" s="11">
        <f>IFERROR(__xludf.DUMMYFUNCTION("""COMPUTED_VALUE"""),992017311)</f>
        <v>992017311</v>
      </c>
      <c r="Z513" s="11">
        <f>IFERROR(__xludf.DUMMYFUNCTION("""COMPUTED_VALUE"""),3406090443)</f>
        <v>3406090443</v>
      </c>
    </row>
    <row r="514" customHeight="1" spans="1:26">
      <c r="A514" s="11" t="str">
        <f>IFERROR(__xludf.DUMMYFUNCTION("""COMPUTED_VALUE"""),"MARIA CRISTINA DE OLIVEIRA ANDRADE MARQUES AGUIAR")</f>
        <v>MARIA CRISTINA DE OLIVEIRA ANDRADE MARQUES AGUIAR</v>
      </c>
      <c r="B514" s="11"/>
      <c r="C514" s="11"/>
      <c r="D514" s="11" t="str">
        <f>IFERROR(__xludf.DUMMYFUNCTION("""COMPUTED_VALUE"""),"Dentista")</f>
        <v>Dentista</v>
      </c>
      <c r="E514" s="11" t="str">
        <f>IFERROR(__xludf.DUMMYFUNCTION("""COMPUTED_VALUE"""),"VI")</f>
        <v>VI</v>
      </c>
      <c r="F514" s="11" t="str">
        <f>IFERROR(__xludf.DUMMYFUNCTION("""COMPUTED_VALUE"""),"US_269 USF BEIRA DO RIO COMUNIDADE BOA VIAGEM")</f>
        <v>US_269 USF BEIRA DO RIO COMUNIDADE BOA VIAGEM</v>
      </c>
      <c r="G514" s="11" t="str">
        <f>IFERROR(__xludf.DUMMYFUNCTION("""COMPUTED_VALUE"""),"US 269 USF BEIRA DO RIO COMUNIDADE BOA VIAGEM")</f>
        <v>US 269 USF BEIRA DO RIO COMUNIDADE BOA VIAGEM</v>
      </c>
      <c r="H514" s="27">
        <f>IFERROR(__xludf.DUMMYFUNCTION("""COMPUTED_VALUE"""),81988343506)</f>
        <v>81988343506</v>
      </c>
      <c r="I514" s="11"/>
      <c r="J514" s="11"/>
      <c r="K514" s="11"/>
      <c r="L514" s="11"/>
      <c r="M514" s="28" t="str">
        <f>IFERROR(__xludf.DUMMYFUNCTION("""COMPUTED_VALUE"""),"3355-6090")</f>
        <v>3355-6090</v>
      </c>
      <c r="N514" s="11" t="str">
        <f>IFERROR(__xludf.DUMMYFUNCTION("""COMPUTED_VALUE"""),"mariacris.aguiar@gmail.com")</f>
        <v>mariacris.aguiar@gmail.com</v>
      </c>
      <c r="O514" s="29">
        <f>IFERROR(__xludf.DUMMYFUNCTION("""COMPUTED_VALUE"""),89039661472)</f>
        <v>89039661472</v>
      </c>
      <c r="P514" s="30" t="str">
        <f>IFERROR(__xludf.DUMMYFUNCTION("""COMPUTED_VALUE"""),"980016001438361")</f>
        <v>980016001438361</v>
      </c>
      <c r="Q514" s="30" t="str">
        <f>IFERROR(__xludf.DUMMYFUNCTION("""COMPUTED_VALUE"""),"0026379")</f>
        <v>0026379</v>
      </c>
      <c r="R514" s="30" t="str">
        <f>IFERROR(__xludf.DUMMYFUNCTION("""COMPUTED_VALUE"""),"0001845705")</f>
        <v>0001845705</v>
      </c>
      <c r="S514" s="30" t="str">
        <f>IFERROR(__xludf.DUMMYFUNCTION("""COMPUTED_VALUE"""),"1")</f>
        <v>1</v>
      </c>
      <c r="T514" s="30" t="str">
        <f>IFERROR(__xludf.DUMMYFUNCTION("""COMPUTED_VALUE"""),"223293")</f>
        <v>223293</v>
      </c>
      <c r="U514" s="31">
        <f>IFERROR(__xludf.DUMMYFUNCTION("""COMPUTED_VALUE"""),2232)</f>
        <v>2232</v>
      </c>
      <c r="V514" s="11"/>
      <c r="W514" s="11"/>
      <c r="X514" s="11"/>
      <c r="Y514" s="11"/>
      <c r="Z514" s="11"/>
    </row>
    <row r="515" customHeight="1" spans="1:26">
      <c r="A515" s="11" t="str">
        <f>IFERROR(__xludf.DUMMYFUNCTION("""COMPUTED_VALUE"""),"NARA MARIA FERREIRA LOPES")</f>
        <v>NARA MARIA FERREIRA LOPES</v>
      </c>
      <c r="B515" s="11"/>
      <c r="C515" s="11"/>
      <c r="D515" s="11" t="str">
        <f>IFERROR(__xludf.DUMMYFUNCTION("""COMPUTED_VALUE"""),"Médica eSF")</f>
        <v>Médica eSF</v>
      </c>
      <c r="E515" s="11" t="str">
        <f>IFERROR(__xludf.DUMMYFUNCTION("""COMPUTED_VALUE"""),"V")</f>
        <v>V</v>
      </c>
      <c r="F515" s="11" t="str">
        <f>IFERROR(__xludf.DUMMYFUNCTION("""COMPUTED_VALUE"""),"US_238 USF IRAQUE")</f>
        <v>US_238 USF IRAQUE</v>
      </c>
      <c r="G515" s="11" t="str">
        <f>IFERROR(__xludf.DUMMYFUNCTION("""COMPUTED_VALUE"""),"US 238 USF IRAQUE")</f>
        <v>US 238 USF IRAQUE</v>
      </c>
      <c r="H515" s="27">
        <f>IFERROR(__xludf.DUMMYFUNCTION("""COMPUTED_VALUE"""),81999548017)</f>
        <v>81999548017</v>
      </c>
      <c r="I515" s="11"/>
      <c r="J515" s="11"/>
      <c r="K515" s="11"/>
      <c r="L515" s="11"/>
      <c r="M515" s="28" t="str">
        <f>IFERROR(__xludf.DUMMYFUNCTION("""COMPUTED_VALUE"""),"3355-6869")</f>
        <v>3355-6869</v>
      </c>
      <c r="N515" s="11" t="str">
        <f>IFERROR(__xludf.DUMMYFUNCTION("""COMPUTED_VALUE"""),"naraflopes@hotmail.com")</f>
        <v>naraflopes@hotmail.com</v>
      </c>
      <c r="O515" s="29">
        <f>IFERROR(__xludf.DUMMYFUNCTION("""COMPUTED_VALUE"""),35442930482)</f>
        <v>35442930482</v>
      </c>
      <c r="P515" s="30" t="str">
        <f>IFERROR(__xludf.DUMMYFUNCTION("""COMPUTED_VALUE"""),"980016278233032")</f>
        <v>980016278233032</v>
      </c>
      <c r="Q515" s="30" t="str">
        <f>IFERROR(__xludf.DUMMYFUNCTION("""COMPUTED_VALUE"""),"0022403")</f>
        <v>0022403</v>
      </c>
      <c r="R515" s="30" t="str">
        <f>IFERROR(__xludf.DUMMYFUNCTION("""COMPUTED_VALUE"""),"0000153966")</f>
        <v>0000153966</v>
      </c>
      <c r="S515" s="30" t="str">
        <f>IFERROR(__xludf.DUMMYFUNCTION("""COMPUTED_VALUE"""),"1")</f>
        <v>1</v>
      </c>
      <c r="T515" s="30" t="str">
        <f>IFERROR(__xludf.DUMMYFUNCTION("""COMPUTED_VALUE"""),"225142")</f>
        <v>225142</v>
      </c>
      <c r="U515" s="31" t="str">
        <f>IFERROR(__xludf.DUMMYFUNCTION("""COMPUTED_VALUE"""),"2251")</f>
        <v>2251</v>
      </c>
      <c r="V515" s="11"/>
      <c r="W515" s="11"/>
      <c r="X515" s="11">
        <f>IFERROR(__xludf.DUMMYFUNCTION("""COMPUTED_VALUE"""),99548017)</f>
        <v>99548017</v>
      </c>
      <c r="Y515" s="11">
        <f>IFERROR(__xludf.DUMMYFUNCTION("""COMPUTED_VALUE"""),33415519)</f>
        <v>33415519</v>
      </c>
      <c r="Z515" s="11">
        <f>IFERROR(__xludf.DUMMYFUNCTION("""COMPUTED_VALUE"""),35442930482)</f>
        <v>35442930482</v>
      </c>
    </row>
    <row r="516" customHeight="1" spans="1:26">
      <c r="A516" s="11" t="str">
        <f>IFERROR(__xludf.DUMMYFUNCTION("""COMPUTED_VALUE"""),"ANDREA MARIA BARRETO COUTO")</f>
        <v>ANDREA MARIA BARRETO COUTO</v>
      </c>
      <c r="B516" s="11"/>
      <c r="C516" s="11"/>
      <c r="D516" s="11" t="str">
        <f>IFERROR(__xludf.DUMMYFUNCTION("""COMPUTED_VALUE"""),"Dentista")</f>
        <v>Dentista</v>
      </c>
      <c r="E516" s="11" t="str">
        <f>IFERROR(__xludf.DUMMYFUNCTION("""COMPUTED_VALUE"""),"VI")</f>
        <v>VI</v>
      </c>
      <c r="F516" s="11" t="str">
        <f>IFERROR(__xludf.DUMMYFUNCTION("""COMPUTED_VALUE"""),"US_148 CS DOM MIGUEL DE LIMA VALVERDE")</f>
        <v>US_148 CS DOM MIGUEL DE LIMA VALVERDE</v>
      </c>
      <c r="G516" s="11" t="str">
        <f>IFERROR(__xludf.DUMMYFUNCTION("""COMPUTED_VALUE"""),"US 148 CS DOM MIGUEL DE LIMA VALVERDE")</f>
        <v>US 148 CS DOM MIGUEL DE LIMA VALVERDE</v>
      </c>
      <c r="H516" s="11"/>
      <c r="I516" s="11"/>
      <c r="J516" s="11"/>
      <c r="K516" s="11"/>
      <c r="L516" s="11"/>
      <c r="M516" s="11"/>
      <c r="N516" s="11"/>
      <c r="O516" s="29">
        <f>IFERROR(__xludf.DUMMYFUNCTION("""COMPUTED_VALUE"""),59380411472)</f>
        <v>59380411472</v>
      </c>
      <c r="P516" s="30" t="str">
        <f>IFERROR(__xludf.DUMMYFUNCTION("""COMPUTED_VALUE"""),"201533410620008")</f>
        <v>201533410620008</v>
      </c>
      <c r="Q516" s="30" t="str">
        <f>IFERROR(__xludf.DUMMYFUNCTION("""COMPUTED_VALUE"""),"0001392")</f>
        <v>0001392</v>
      </c>
      <c r="R516" s="11"/>
      <c r="S516" s="30" t="str">
        <f>IFERROR(__xludf.DUMMYFUNCTION("""COMPUTED_VALUE"""),"1")</f>
        <v>1</v>
      </c>
      <c r="T516" s="30" t="str">
        <f>IFERROR(__xludf.DUMMYFUNCTION("""COMPUTED_VALUE"""),"223208")</f>
        <v>223208</v>
      </c>
      <c r="U516" s="31">
        <f>IFERROR(__xludf.DUMMYFUNCTION("""COMPUTED_VALUE"""),2232)</f>
        <v>2232</v>
      </c>
      <c r="V516" s="11"/>
      <c r="W516" s="11"/>
      <c r="X516" s="11"/>
      <c r="Y516" s="11"/>
      <c r="Z516" s="11"/>
    </row>
    <row r="517" customHeight="1" spans="1:26">
      <c r="A517" s="11" t="str">
        <f>IFERROR(__xludf.DUMMYFUNCTION("""COMPUTED_VALUE"""),"LUIZ LAURIA")</f>
        <v>LUIZ LAURIA</v>
      </c>
      <c r="B517" s="11"/>
      <c r="C517" s="11"/>
      <c r="D517" s="11" t="str">
        <f>IFERROR(__xludf.DUMMYFUNCTION("""COMPUTED_VALUE"""),"Médico eSF")</f>
        <v>Médico eSF</v>
      </c>
      <c r="E517" s="11" t="str">
        <f>IFERROR(__xludf.DUMMYFUNCTION("""COMPUTED_VALUE"""),"VI")</f>
        <v>VI</v>
      </c>
      <c r="F517" s="11" t="str">
        <f>IFERROR(__xludf.DUMMYFUNCTION("""COMPUTED_VALUE"""),"US_342 USF DJALMA HOLANDA CAVALCANTE")</f>
        <v>US_342 USF DJALMA HOLANDA CAVALCANTE</v>
      </c>
      <c r="G517" s="11" t="str">
        <f>IFERROR(__xludf.DUMMYFUNCTION("""COMPUTED_VALUE"""),"US 342 USF DJALMA HOLANDA CAVALCANTE")</f>
        <v>US 342 USF DJALMA HOLANDA CAVALCANTE</v>
      </c>
      <c r="H517" s="27">
        <f>IFERROR(__xludf.DUMMYFUNCTION("""COMPUTED_VALUE"""),81999768060)</f>
        <v>81999768060</v>
      </c>
      <c r="I517" s="27">
        <f>IFERROR(__xludf.DUMMYFUNCTION("""COMPUTED_VALUE"""),81992273644)</f>
        <v>81992273644</v>
      </c>
      <c r="J517" s="11"/>
      <c r="K517" s="24">
        <f>IFERROR(__xludf.DUMMYFUNCTION("""COMPUTED_VALUE"""),45152)</f>
        <v>45152</v>
      </c>
      <c r="L517" s="11"/>
      <c r="M517" s="28" t="str">
        <f>IFERROR(__xludf.DUMMYFUNCTION("""COMPUTED_VALUE"""),"3355-6122")</f>
        <v>3355-6122</v>
      </c>
      <c r="N517" s="11" t="str">
        <f>IFERROR(__xludf.DUMMYFUNCTION("""COMPUTED_VALUE"""),"luizlauria6000@terra.com.br")</f>
        <v>luizlauria6000@terra.com.br</v>
      </c>
      <c r="O517" s="29">
        <f>IFERROR(__xludf.DUMMYFUNCTION("""COMPUTED_VALUE"""),19248318487)</f>
        <v>19248318487</v>
      </c>
      <c r="P517" s="30" t="str">
        <f>IFERROR(__xludf.DUMMYFUNCTION("""COMPUTED_VALUE"""),"170146905210001")</f>
        <v>170146905210001</v>
      </c>
      <c r="Q517" s="30" t="str">
        <f>IFERROR(__xludf.DUMMYFUNCTION("""COMPUTED_VALUE"""),"5392136")</f>
        <v>5392136</v>
      </c>
      <c r="R517" s="30" t="str">
        <f>IFERROR(__xludf.DUMMYFUNCTION("""COMPUTED_VALUE"""),"0000155888")</f>
        <v>0000155888</v>
      </c>
      <c r="S517" s="30" t="str">
        <f>IFERROR(__xludf.DUMMYFUNCTION("""COMPUTED_VALUE"""),"1")</f>
        <v>1</v>
      </c>
      <c r="T517" s="30" t="str">
        <f>IFERROR(__xludf.DUMMYFUNCTION("""COMPUTED_VALUE"""),"225142")</f>
        <v>225142</v>
      </c>
      <c r="U517" s="31" t="str">
        <f>IFERROR(__xludf.DUMMYFUNCTION("""COMPUTED_VALUE"""),"2251")</f>
        <v>2251</v>
      </c>
      <c r="V517" s="11"/>
      <c r="W517" s="11"/>
      <c r="X517" s="11">
        <f>IFERROR(__xludf.DUMMYFUNCTION("""COMPUTED_VALUE"""),33417043)</f>
        <v>33417043</v>
      </c>
      <c r="Y517" s="11">
        <f>IFERROR(__xludf.DUMMYFUNCTION("""COMPUTED_VALUE"""),99768060)</f>
        <v>99768060</v>
      </c>
      <c r="Z517" s="11">
        <f>IFERROR(__xludf.DUMMYFUNCTION("""COMPUTED_VALUE"""),19248318487)</f>
        <v>19248318487</v>
      </c>
    </row>
    <row r="518" customHeight="1" spans="1:26">
      <c r="A518" s="11" t="str">
        <f>IFERROR(__xludf.DUMMYFUNCTION("""COMPUTED_VALUE"""),"MARA CHRISTINA LIRA PALMA PEIXOTO")</f>
        <v>MARA CHRISTINA LIRA PALMA PEIXOTO</v>
      </c>
      <c r="B518" s="11"/>
      <c r="C518" s="11"/>
      <c r="D518" s="11" t="str">
        <f>IFERROR(__xludf.DUMMYFUNCTION("""COMPUTED_VALUE"""),"Médico eSF")</f>
        <v>Médico eSF</v>
      </c>
      <c r="E518" s="11" t="str">
        <f>IFERROR(__xludf.DUMMYFUNCTION("""COMPUTED_VALUE"""),"VIII")</f>
        <v>VIII</v>
      </c>
      <c r="F518" s="11" t="str">
        <f>IFERROR(__xludf.DUMMYFUNCTION("""COMPUTED_VALUE"""),"US_154 USF UPINHA DIA RIO DA PRATA")</f>
        <v>US_154 USF UPINHA DIA RIO DA PRATA</v>
      </c>
      <c r="G518" s="11" t="str">
        <f>IFERROR(__xludf.DUMMYFUNCTION("""COMPUTED_VALUE"""),"US 154 USF UPINHA DIA RIO DA PRATA")</f>
        <v>US 154 USF UPINHA DIA RIO DA PRATA</v>
      </c>
      <c r="H518" s="27">
        <f>IFERROR(__xludf.DUMMYFUNCTION("""COMPUTED_VALUE"""),81996637352)</f>
        <v>81996637352</v>
      </c>
      <c r="I518" s="11"/>
      <c r="J518" s="11"/>
      <c r="K518" s="11"/>
      <c r="L518" s="11"/>
      <c r="M518" s="28" t="str">
        <f>IFERROR(__xludf.DUMMYFUNCTION("""COMPUTED_VALUE"""),"3355-6215 / 3338-7768")</f>
        <v>3355-6215 / 3338-7768</v>
      </c>
      <c r="N518" s="11" t="str">
        <f>IFERROR(__xludf.DUMMYFUNCTION("""COMPUTED_VALUE"""),"peixoto_mara@hotmail.com")</f>
        <v>peixoto_mara@hotmail.com</v>
      </c>
      <c r="O518" s="29">
        <f>IFERROR(__xludf.DUMMYFUNCTION("""COMPUTED_VALUE"""),48415286449)</f>
        <v>48415286449</v>
      </c>
      <c r="P518" s="30" t="str">
        <f>IFERROR(__xludf.DUMMYFUNCTION("""COMPUTED_VALUE"""),"709001864533712")</f>
        <v>709001864533712</v>
      </c>
      <c r="Q518" s="30" t="str">
        <f>IFERROR(__xludf.DUMMYFUNCTION("""COMPUTED_VALUE"""),"3639827")</f>
        <v>3639827</v>
      </c>
      <c r="R518" s="30" t="str">
        <f>IFERROR(__xludf.DUMMYFUNCTION("""COMPUTED_VALUE"""),"0000155659")</f>
        <v>0000155659</v>
      </c>
      <c r="S518" s="30" t="str">
        <f>IFERROR(__xludf.DUMMYFUNCTION("""COMPUTED_VALUE"""),"1")</f>
        <v>1</v>
      </c>
      <c r="T518" s="30" t="str">
        <f>IFERROR(__xludf.DUMMYFUNCTION("""COMPUTED_VALUE"""),"225142")</f>
        <v>225142</v>
      </c>
      <c r="U518" s="31" t="str">
        <f>IFERROR(__xludf.DUMMYFUNCTION("""COMPUTED_VALUE"""),"2251")</f>
        <v>2251</v>
      </c>
      <c r="V518" s="11"/>
      <c r="W518" s="11"/>
      <c r="X518" s="11">
        <f>IFERROR(__xludf.DUMMYFUNCTION("""COMPUTED_VALUE"""),88577941)</f>
        <v>88577941</v>
      </c>
      <c r="Y518" s="11">
        <f>IFERROR(__xludf.DUMMYFUNCTION("""COMPUTED_VALUE"""),33417941)</f>
        <v>33417941</v>
      </c>
      <c r="Z518" s="11">
        <f>IFERROR(__xludf.DUMMYFUNCTION("""COMPUTED_VALUE"""),48415286449)</f>
        <v>48415286449</v>
      </c>
    </row>
    <row r="519" customHeight="1" spans="1:26">
      <c r="A519" s="11" t="str">
        <f>IFERROR(__xludf.DUMMYFUNCTION("""COMPUTED_VALUE"""),"JACYARA FERNANDES BARROCAS")</f>
        <v>JACYARA FERNANDES BARROCAS</v>
      </c>
      <c r="B519" s="11"/>
      <c r="C519" s="11"/>
      <c r="D519" s="11" t="str">
        <f>IFERROR(__xludf.DUMMYFUNCTION("""COMPUTED_VALUE"""),"Médica eSF")</f>
        <v>Médica eSF</v>
      </c>
      <c r="E519" s="11" t="str">
        <f>IFERROR(__xludf.DUMMYFUNCTION("""COMPUTED_VALUE"""),"VII")</f>
        <v>VII</v>
      </c>
      <c r="F519" s="11" t="str">
        <f>IFERROR(__xludf.DUMMYFUNCTION("""COMPUTED_VALUE"""),"US_175 USF ALTO DA BRASILEIRA / DIOGENES CAVALCANTI / RESERVATORIO")</f>
        <v>US_175 USF ALTO DA BRASILEIRA / DIOGENES CAVALCANTI / RESERVATORIO</v>
      </c>
      <c r="G519" s="11" t="str">
        <f>IFERROR(__xludf.DUMMYFUNCTION("""COMPUTED_VALUE"""),"US 175 USF DR DIOGENES CAVALCANTI")</f>
        <v>US 175 USF DR DIOGENES CAVALCANTI</v>
      </c>
      <c r="H519" s="27">
        <f>IFERROR(__xludf.DUMMYFUNCTION("""COMPUTED_VALUE"""),81991399586)</f>
        <v>81991399586</v>
      </c>
      <c r="I519" s="11"/>
      <c r="J519" s="11"/>
      <c r="K519" s="11"/>
      <c r="L519" s="11"/>
      <c r="M519" s="28" t="str">
        <f>IFERROR(__xludf.DUMMYFUNCTION("""COMPUTED_VALUE"""),"3355-6402")</f>
        <v>3355-6402</v>
      </c>
      <c r="N519" s="11" t="str">
        <f>IFERROR(__xludf.DUMMYFUNCTION("""COMPUTED_VALUE"""),"jacyarabarrocas@uol.com.br")</f>
        <v>jacyarabarrocas@uol.com.br</v>
      </c>
      <c r="O519" s="29">
        <f>IFERROR(__xludf.DUMMYFUNCTION("""COMPUTED_VALUE"""),7047487468)</f>
        <v>7047487468</v>
      </c>
      <c r="P519" s="30" t="str">
        <f>IFERROR(__xludf.DUMMYFUNCTION("""COMPUTED_VALUE"""),"203121017290004")</f>
        <v>203121017290004</v>
      </c>
      <c r="Q519" s="30" t="str">
        <f>IFERROR(__xludf.DUMMYFUNCTION("""COMPUTED_VALUE"""),"0001244")</f>
        <v>0001244</v>
      </c>
      <c r="R519" s="30" t="str">
        <f>IFERROR(__xludf.DUMMYFUNCTION("""COMPUTED_VALUE"""),"0000153133")</f>
        <v>0000153133</v>
      </c>
      <c r="S519" s="30" t="str">
        <f>IFERROR(__xludf.DUMMYFUNCTION("""COMPUTED_VALUE"""),"1")</f>
        <v>1</v>
      </c>
      <c r="T519" s="30" t="str">
        <f>IFERROR(__xludf.DUMMYFUNCTION("""COMPUTED_VALUE"""),"225142")</f>
        <v>225142</v>
      </c>
      <c r="U519" s="31" t="str">
        <f>IFERROR(__xludf.DUMMYFUNCTION("""COMPUTED_VALUE"""),"2251")</f>
        <v>2251</v>
      </c>
      <c r="V519" s="11" t="str">
        <f>IFERROR(__xludf.DUMMYFUNCTION("""COMPUTED_VALUE"""),"SIM")</f>
        <v>SIM</v>
      </c>
      <c r="W519" s="11"/>
      <c r="X519" s="11">
        <f>IFERROR(__xludf.DUMMYFUNCTION("""COMPUTED_VALUE"""),33419525)</f>
        <v>33419525</v>
      </c>
      <c r="Y519" s="11">
        <f>IFERROR(__xludf.DUMMYFUNCTION("""COMPUTED_VALUE"""),99997300)</f>
        <v>99997300</v>
      </c>
      <c r="Z519" s="11">
        <f>IFERROR(__xludf.DUMMYFUNCTION("""COMPUTED_VALUE"""),7047487468)</f>
        <v>7047487468</v>
      </c>
    </row>
    <row r="520" customHeight="1" spans="1:26">
      <c r="A520" s="11" t="str">
        <f>IFERROR(__xludf.DUMMYFUNCTION("""COMPUTED_VALUE"""),"WALESKA ROBERTA DE ALMEIDA MELO")</f>
        <v>WALESKA ROBERTA DE ALMEIDA MELO</v>
      </c>
      <c r="B520" s="11"/>
      <c r="C520" s="11"/>
      <c r="D520" s="11" t="str">
        <f>IFERROR(__xludf.DUMMYFUNCTION("""COMPUTED_VALUE"""),"Dentista")</f>
        <v>Dentista</v>
      </c>
      <c r="E520" s="11" t="str">
        <f>IFERROR(__xludf.DUMMYFUNCTION("""COMPUTED_VALUE"""),"I")</f>
        <v>I</v>
      </c>
      <c r="F520" s="11" t="str">
        <f>IFERROR(__xludf.DUMMYFUNCTION("""COMPUTED_VALUE"""),"US_240 USF COELHOS I	")</f>
        <v>US_240 USF COELHOS I	</v>
      </c>
      <c r="G520" s="11" t="str">
        <f>IFERROR(__xludf.DUMMYFUNCTION("""COMPUTED_VALUE"""),"US 240 USF COELHOS I")</f>
        <v>US 240 USF COELHOS I</v>
      </c>
      <c r="H520" s="27">
        <f>IFERROR(__xludf.DUMMYFUNCTION("""COMPUTED_VALUE"""),81999485617)</f>
        <v>81999485617</v>
      </c>
      <c r="I520" s="11"/>
      <c r="J520" s="11"/>
      <c r="K520" s="11"/>
      <c r="L520" s="11"/>
      <c r="M520" s="28" t="str">
        <f>IFERROR(__xludf.DUMMYFUNCTION("""COMPUTED_VALUE"""),"3355-4648")</f>
        <v>3355-4648</v>
      </c>
      <c r="N520" s="11" t="str">
        <f>IFERROR(__xludf.DUMMYFUNCTION("""COMPUTED_VALUE"""),"waleska_roberta@hotmail.com")</f>
        <v>waleska_roberta@hotmail.com</v>
      </c>
      <c r="O520" s="29">
        <f>IFERROR(__xludf.DUMMYFUNCTION("""COMPUTED_VALUE"""),2067829424)</f>
        <v>2067829424</v>
      </c>
      <c r="P520" s="30" t="str">
        <f>IFERROR(__xludf.DUMMYFUNCTION("""COMPUTED_VALUE"""),"980016277491305	")</f>
        <v>980016277491305	</v>
      </c>
      <c r="Q520" s="30" t="str">
        <f>IFERROR(__xludf.DUMMYFUNCTION("""COMPUTED_VALUE"""),"0022195")</f>
        <v>0022195</v>
      </c>
      <c r="R520" s="30" t="str">
        <f>IFERROR(__xludf.DUMMYFUNCTION("""COMPUTED_VALUE"""),"0000153567")</f>
        <v>0000153567</v>
      </c>
      <c r="S520" s="30" t="str">
        <f>IFERROR(__xludf.DUMMYFUNCTION("""COMPUTED_VALUE"""),"1")</f>
        <v>1</v>
      </c>
      <c r="T520" s="30" t="str">
        <f>IFERROR(__xludf.DUMMYFUNCTION("""COMPUTED_VALUE"""),"223288")</f>
        <v>223288</v>
      </c>
      <c r="U520" s="31">
        <f>IFERROR(__xludf.DUMMYFUNCTION("""COMPUTED_VALUE"""),2232)</f>
        <v>2232</v>
      </c>
      <c r="V520" s="11"/>
      <c r="W520" s="11"/>
      <c r="X520" s="11"/>
      <c r="Y520" s="11"/>
      <c r="Z520" s="11"/>
    </row>
    <row r="521" customHeight="1" spans="1:26">
      <c r="A521" s="11" t="str">
        <f>IFERROR(__xludf.DUMMYFUNCTION("""COMPUTED_VALUE"""),"VERONICA MARIA DA CRUZ MOURA")</f>
        <v>VERONICA MARIA DA CRUZ MOURA</v>
      </c>
      <c r="B521" s="11" t="str">
        <f>IFERROR(__xludf.DUMMYFUNCTION("""COMPUTED_VALUE"""),"13:00 - horário de prefrência")</f>
        <v>13:00 - horário de prefrência</v>
      </c>
      <c r="C521" s="11"/>
      <c r="D521" s="11" t="str">
        <f>IFERROR(__xludf.DUMMYFUNCTION("""COMPUTED_VALUE"""),"Médica eSF")</f>
        <v>Médica eSF</v>
      </c>
      <c r="E521" s="11" t="str">
        <f>IFERROR(__xludf.DUMMYFUNCTION("""COMPUTED_VALUE"""),"V")</f>
        <v>V</v>
      </c>
      <c r="F521" s="11" t="str">
        <f>IFERROR(__xludf.DUMMYFUNCTION("""COMPUTED_VALUE"""),"US_294 USF VILA TAMANDARE BEIRINHA")</f>
        <v>US_294 USF VILA TAMANDARE BEIRINHA</v>
      </c>
      <c r="G521" s="11" t="str">
        <f>IFERROR(__xludf.DUMMYFUNCTION("""COMPUTED_VALUE"""),"US 294 USF VILA TAMANDARE BEIRINHA")</f>
        <v>US 294 USF VILA TAMANDARE BEIRINHA</v>
      </c>
      <c r="H521" s="27">
        <f>IFERROR(__xludf.DUMMYFUNCTION("""COMPUTED_VALUE"""),81999737198)</f>
        <v>81999737198</v>
      </c>
      <c r="I521" s="11"/>
      <c r="J521" s="11"/>
      <c r="K521" s="11"/>
      <c r="L521" s="11"/>
      <c r="M521" s="28" t="str">
        <f>IFERROR(__xludf.DUMMYFUNCTION("""COMPUTED_VALUE"""),"3355-6254")</f>
        <v>3355-6254</v>
      </c>
      <c r="N521" s="11" t="str">
        <f>IFERROR(__xludf.DUMMYFUNCTION("""COMPUTED_VALUE"""),"veronicacmoura@yahoo.com.br")</f>
        <v>veronicacmoura@yahoo.com.br</v>
      </c>
      <c r="O521" s="29">
        <f>IFERROR(__xludf.DUMMYFUNCTION("""COMPUTED_VALUE"""),10581227468)</f>
        <v>10581227468</v>
      </c>
      <c r="P521" s="30" t="str">
        <f>IFERROR(__xludf.DUMMYFUNCTION("""COMPUTED_VALUE"""),"170062233240003")</f>
        <v>170062233240003</v>
      </c>
      <c r="Q521" s="30" t="str">
        <f>IFERROR(__xludf.DUMMYFUNCTION("""COMPUTED_VALUE"""),"3037908")</f>
        <v>3037908</v>
      </c>
      <c r="R521" s="30" t="str">
        <f>IFERROR(__xludf.DUMMYFUNCTION("""COMPUTED_VALUE"""),"0000154989")</f>
        <v>0000154989</v>
      </c>
      <c r="S521" s="30" t="str">
        <f>IFERROR(__xludf.DUMMYFUNCTION("""COMPUTED_VALUE"""),"1")</f>
        <v>1</v>
      </c>
      <c r="T521" s="30" t="str">
        <f>IFERROR(__xludf.DUMMYFUNCTION("""COMPUTED_VALUE"""),"225142")</f>
        <v>225142</v>
      </c>
      <c r="U521" s="31" t="str">
        <f>IFERROR(__xludf.DUMMYFUNCTION("""COMPUTED_VALUE"""),"2251")</f>
        <v>2251</v>
      </c>
      <c r="V521" s="11"/>
      <c r="W521" s="30" t="str">
        <f>IFERROR(__xludf.DUMMYFUNCTION("""COMPUTED_VALUE"""),"20/07/1957")</f>
        <v>20/07/1957</v>
      </c>
      <c r="X521" s="11" t="str">
        <f>IFERROR(__xludf.DUMMYFUNCTION("""COMPUTED_VALUE"""),"#N/A")</f>
        <v>#N/A</v>
      </c>
      <c r="Y521" s="11" t="str">
        <f>IFERROR(__xludf.DUMMYFUNCTION("""COMPUTED_VALUE"""),"#N/A")</f>
        <v>#N/A</v>
      </c>
      <c r="Z521" s="11" t="str">
        <f>IFERROR(__xludf.DUMMYFUNCTION("""COMPUTED_VALUE"""),"#N/A")</f>
        <v>#N/A</v>
      </c>
    </row>
    <row r="522" customHeight="1" spans="1:26">
      <c r="A522" s="11" t="str">
        <f>IFERROR(__xludf.DUMMYFUNCTION("""COMPUTED_VALUE"""),"ALESSANDRA REJANE XIMENES FERREIRA")</f>
        <v>ALESSANDRA REJANE XIMENES FERREIRA</v>
      </c>
      <c r="B522" s="11"/>
      <c r="C522" s="11"/>
      <c r="D522" s="11" t="str">
        <f>IFERROR(__xludf.DUMMYFUNCTION("""COMPUTED_VALUE"""),"Enfermeira eSF")</f>
        <v>Enfermeira eSF</v>
      </c>
      <c r="E522" s="11" t="str">
        <f>IFERROR(__xludf.DUMMYFUNCTION("""COMPUTED_VALUE"""),"VI")</f>
        <v>VI</v>
      </c>
      <c r="F522" s="11" t="str">
        <f>IFERROR(__xludf.DUMMYFUNCTION("""COMPUTED_VALUE"""),"US_296 USF COQUEIRAL IMBIRIBEIRA")</f>
        <v>US_296 USF COQUEIRAL IMBIRIBEIRA</v>
      </c>
      <c r="G522" s="11" t="str">
        <f>IFERROR(__xludf.DUMMYFUNCTION("""COMPUTED_VALUE"""),"US 296 USF COQUEIRAL IMBIRIBEIRA")</f>
        <v>US 296 USF COQUEIRAL IMBIRIBEIRA</v>
      </c>
      <c r="H522" s="27">
        <f>IFERROR(__xludf.DUMMYFUNCTION("""COMPUTED_VALUE"""),81997216474)</f>
        <v>81997216474</v>
      </c>
      <c r="I522" s="11"/>
      <c r="J522" s="11"/>
      <c r="K522" s="11"/>
      <c r="L522" s="11"/>
      <c r="M522" s="28" t="str">
        <f>IFERROR(__xludf.DUMMYFUNCTION("""COMPUTED_VALUE"""),"3355-6103")</f>
        <v>3355-6103</v>
      </c>
      <c r="N522" s="11" t="str">
        <f>IFERROR(__xludf.DUMMYFUNCTION("""COMPUTED_VALUE"""),"alessximenes@hotmail.com")</f>
        <v>alessximenes@hotmail.com</v>
      </c>
      <c r="O522" s="29">
        <f>IFERROR(__xludf.DUMMYFUNCTION("""COMPUTED_VALUE"""),89104404491)</f>
        <v>89104404491</v>
      </c>
      <c r="P522" s="30" t="str">
        <f>IFERROR(__xludf.DUMMYFUNCTION("""COMPUTED_VALUE"""),"204322599820009")</f>
        <v>204322599820009</v>
      </c>
      <c r="Q522" s="30" t="str">
        <f>IFERROR(__xludf.DUMMYFUNCTION("""COMPUTED_VALUE"""),"3153584")</f>
        <v>3153584</v>
      </c>
      <c r="R522" s="30" t="str">
        <f>IFERROR(__xludf.DUMMYFUNCTION("""COMPUTED_VALUE"""),"0000155209")</f>
        <v>0000155209</v>
      </c>
      <c r="S522" s="30" t="str">
        <f>IFERROR(__xludf.DUMMYFUNCTION("""COMPUTED_VALUE"""),"1")</f>
        <v>1</v>
      </c>
      <c r="T522" s="30" t="str">
        <f>IFERROR(__xludf.DUMMYFUNCTION("""COMPUTED_VALUE"""),"223565")</f>
        <v>223565</v>
      </c>
      <c r="U522" s="31" t="str">
        <f>IFERROR(__xludf.DUMMYFUNCTION("""COMPUTED_VALUE"""),"2235")</f>
        <v>2235</v>
      </c>
      <c r="V522" s="11"/>
      <c r="W522" s="11"/>
      <c r="X522" s="11"/>
      <c r="Y522" s="11"/>
      <c r="Z522" s="11"/>
    </row>
    <row r="523" customHeight="1" spans="1:26">
      <c r="A523" s="11" t="str">
        <f>IFERROR(__xludf.DUMMYFUNCTION("""COMPUTED_VALUE"""),"EDUARDO CARLOS PEIXOTO DE ALBUQUERQUE LIMA")</f>
        <v>EDUARDO CARLOS PEIXOTO DE ALBUQUERQUE LIMA</v>
      </c>
      <c r="B523" s="11"/>
      <c r="C523" s="11"/>
      <c r="D523" s="11" t="str">
        <f>IFERROR(__xludf.DUMMYFUNCTION("""COMPUTED_VALUE"""),"Médico eSF")</f>
        <v>Médico eSF</v>
      </c>
      <c r="E523" s="11" t="str">
        <f>IFERROR(__xludf.DUMMYFUNCTION("""COMPUTED_VALUE"""),"VIII")</f>
        <v>VIII</v>
      </c>
      <c r="F523" s="11" t="str">
        <f>IFERROR(__xludf.DUMMYFUNCTION("""COMPUTED_VALUE"""),"US_313 USF TRES CARNEIROS DE BAIXO ZUMBI DO PACHECO")</f>
        <v>US_313 USF TRES CARNEIROS DE BAIXO ZUMBI DO PACHECO</v>
      </c>
      <c r="G523" s="11" t="str">
        <f>IFERROR(__xludf.DUMMYFUNCTION("""COMPUTED_VALUE"""),"US 313 USF TRES CARNEIROS DE BAIXO ZUMBI DO PACHECO")</f>
        <v>US 313 USF TRES CARNEIROS DE BAIXO ZUMBI DO PACHECO</v>
      </c>
      <c r="H523" s="27">
        <f>IFERROR(__xludf.DUMMYFUNCTION("""COMPUTED_VALUE"""),81999621722)</f>
        <v>81999621722</v>
      </c>
      <c r="I523" s="11"/>
      <c r="J523" s="11"/>
      <c r="K523" s="11"/>
      <c r="L523" s="11"/>
      <c r="M523" s="28" t="str">
        <f>IFERROR(__xludf.DUMMYFUNCTION("""COMPUTED_VALUE"""),"3355-4712")</f>
        <v>3355-4712</v>
      </c>
      <c r="N523" s="11" t="str">
        <f>IFERROR(__xludf.DUMMYFUNCTION("""COMPUTED_VALUE"""),"limaplast@uol.com.br")</f>
        <v>limaplast@uol.com.br</v>
      </c>
      <c r="O523" s="29">
        <f>IFERROR(__xludf.DUMMYFUNCTION("""COMPUTED_VALUE"""),65086325404)</f>
        <v>65086325404</v>
      </c>
      <c r="P523" s="30" t="str">
        <f>IFERROR(__xludf.DUMMYFUNCTION("""COMPUTED_VALUE"""),"108655599690004")</f>
        <v>108655599690004</v>
      </c>
      <c r="Q523" s="30" t="str">
        <f>IFERROR(__xludf.DUMMYFUNCTION("""COMPUTED_VALUE"""),"3569322")</f>
        <v>3569322</v>
      </c>
      <c r="R523" s="30" t="str">
        <f>IFERROR(__xludf.DUMMYFUNCTION("""COMPUTED_VALUE"""),"0000145521")</f>
        <v>0000145521</v>
      </c>
      <c r="S523" s="30" t="str">
        <f>IFERROR(__xludf.DUMMYFUNCTION("""COMPUTED_VALUE"""),"1")</f>
        <v>1</v>
      </c>
      <c r="T523" s="30" t="str">
        <f>IFERROR(__xludf.DUMMYFUNCTION("""COMPUTED_VALUE"""),"225142")</f>
        <v>225142</v>
      </c>
      <c r="U523" s="31" t="str">
        <f>IFERROR(__xludf.DUMMYFUNCTION("""COMPUTED_VALUE"""),"2251")</f>
        <v>2251</v>
      </c>
      <c r="V523" s="11" t="str">
        <f>IFERROR(__xludf.DUMMYFUNCTION("""COMPUTED_VALUE"""),"SIM")</f>
        <v>SIM</v>
      </c>
      <c r="W523" s="30" t="str">
        <f>IFERROR(__xludf.DUMMYFUNCTION("""COMPUTED_VALUE"""),"23/05/1965")</f>
        <v>23/05/1965</v>
      </c>
      <c r="X523" s="11" t="str">
        <f>IFERROR(__xludf.DUMMYFUNCTION("""COMPUTED_VALUE"""),"#N/A")</f>
        <v>#N/A</v>
      </c>
      <c r="Y523" s="11" t="str">
        <f>IFERROR(__xludf.DUMMYFUNCTION("""COMPUTED_VALUE"""),"#N/A")</f>
        <v>#N/A</v>
      </c>
      <c r="Z523" s="11" t="str">
        <f>IFERROR(__xludf.DUMMYFUNCTION("""COMPUTED_VALUE"""),"#N/A")</f>
        <v>#N/A</v>
      </c>
    </row>
    <row r="524" customHeight="1" spans="1:26">
      <c r="A524" s="11" t="str">
        <f>IFERROR(__xludf.DUMMYFUNCTION("""COMPUTED_VALUE"""),"Maria Anielle Virginio de Oliveira Sousa")</f>
        <v>Maria Anielle Virginio de Oliveira Sousa</v>
      </c>
      <c r="B524" s="11"/>
      <c r="C524" s="11"/>
      <c r="D524" s="11" t="str">
        <f>IFERROR(__xludf.DUMMYFUNCTION("""COMPUTED_VALUE"""),"Médico eSF")</f>
        <v>Médico eSF</v>
      </c>
      <c r="E524" s="11" t="str">
        <f>IFERROR(__xludf.DUMMYFUNCTION("""COMPUTED_VALUE"""),"VI")</f>
        <v>VI</v>
      </c>
      <c r="F524" s="11" t="str">
        <f>IFERROR(__xludf.DUMMYFUNCTION("""COMPUTED_VALUE"""),"")</f>
        <v/>
      </c>
      <c r="G524" s="11" t="str">
        <f>IFERROR(__xludf.DUMMYFUNCTION("""COMPUTED_VALUE"""),"US 187 USF ILHA DE DEUS")</f>
        <v>US 187 USF ILHA DE DEUS</v>
      </c>
      <c r="H524" s="27">
        <f>IFERROR(__xludf.DUMMYFUNCTION("""COMPUTED_VALUE"""),81992921302)</f>
        <v>81992921302</v>
      </c>
      <c r="I524" s="11"/>
      <c r="J524" s="11"/>
      <c r="K524" s="33">
        <f>IFERROR(__xludf.DUMMYFUNCTION("""COMPUTED_VALUE"""),45246)</f>
        <v>45246</v>
      </c>
      <c r="L524" s="11"/>
      <c r="M524" s="11"/>
      <c r="N524" s="11"/>
      <c r="O524" s="11"/>
      <c r="P524" s="11"/>
      <c r="Q524" s="11"/>
      <c r="R524" s="11"/>
      <c r="S524" s="11"/>
      <c r="T524" s="11"/>
      <c r="U524" s="11"/>
      <c r="V524" s="11"/>
      <c r="W524" s="11"/>
      <c r="X524" s="11"/>
      <c r="Y524" s="11"/>
      <c r="Z524" s="11"/>
    </row>
    <row r="525" customHeight="1" spans="1:26">
      <c r="A525" s="11" t="str">
        <f>IFERROR(__xludf.DUMMYFUNCTION("""COMPUTED_VALUE"""),"LUCIANA KARLA DE MORAIS SANTOS")</f>
        <v>LUCIANA KARLA DE MORAIS SANTOS</v>
      </c>
      <c r="B525" s="11"/>
      <c r="C525" s="11"/>
      <c r="D525" s="11" t="str">
        <f>IFERROR(__xludf.DUMMYFUNCTION("""COMPUTED_VALUE"""),"Dentista")</f>
        <v>Dentista</v>
      </c>
      <c r="E525" s="11" t="str">
        <f>IFERROR(__xludf.DUMMYFUNCTION("""COMPUTED_VALUE"""),"VI")</f>
        <v>VI</v>
      </c>
      <c r="F525" s="11" t="str">
        <f>IFERROR(__xludf.DUMMYFUNCTION("""COMPUTED_VALUE"""),"US_187 USF ILHA DE DEUS")</f>
        <v>US_187 USF ILHA DE DEUS</v>
      </c>
      <c r="G525" s="11" t="str">
        <f>IFERROR(__xludf.DUMMYFUNCTION("""COMPUTED_VALUE"""),"US 187 USF ILHA DE DEUS")</f>
        <v>US 187 USF ILHA DE DEUS</v>
      </c>
      <c r="H525" s="27">
        <f>IFERROR(__xludf.DUMMYFUNCTION("""COMPUTED_VALUE"""),81988078502)</f>
        <v>81988078502</v>
      </c>
      <c r="I525" s="11"/>
      <c r="J525" s="11"/>
      <c r="K525" s="11"/>
      <c r="L525" s="11"/>
      <c r="M525" s="28" t="str">
        <f>IFERROR(__xludf.DUMMYFUNCTION("""COMPUTED_VALUE"""),"3355-6936")</f>
        <v>3355-6936</v>
      </c>
      <c r="N525" s="11" t="str">
        <f>IFERROR(__xludf.DUMMYFUNCTION("""COMPUTED_VALUE"""),"lualuamorais@hotmail.com")</f>
        <v>lualuamorais@hotmail.com</v>
      </c>
      <c r="O525" s="29">
        <f>IFERROR(__xludf.DUMMYFUNCTION("""COMPUTED_VALUE"""),2101595451)</f>
        <v>2101595451</v>
      </c>
      <c r="P525" s="30" t="str">
        <f>IFERROR(__xludf.DUMMYFUNCTION("""COMPUTED_VALUE"""),"980016001862678")</f>
        <v>980016001862678</v>
      </c>
      <c r="Q525" s="30" t="str">
        <f>IFERROR(__xludf.DUMMYFUNCTION("""COMPUTED_VALUE"""),"0002100")</f>
        <v>0002100</v>
      </c>
      <c r="R525" s="30" t="str">
        <f>IFERROR(__xludf.DUMMYFUNCTION("""COMPUTED_VALUE"""),"0001727389")</f>
        <v>0001727389</v>
      </c>
      <c r="S525" s="30" t="str">
        <f>IFERROR(__xludf.DUMMYFUNCTION("""COMPUTED_VALUE"""),"1")</f>
        <v>1</v>
      </c>
      <c r="T525" s="30" t="str">
        <f>IFERROR(__xludf.DUMMYFUNCTION("""COMPUTED_VALUE"""),"223293")</f>
        <v>223293</v>
      </c>
      <c r="U525" s="31">
        <f>IFERROR(__xludf.DUMMYFUNCTION("""COMPUTED_VALUE"""),2232)</f>
        <v>2232</v>
      </c>
      <c r="V525" s="11"/>
      <c r="W525" s="11"/>
      <c r="X525" s="11"/>
      <c r="Y525" s="11"/>
      <c r="Z525" s="11"/>
    </row>
    <row r="526" customHeight="1" spans="1:26">
      <c r="A526" s="11" t="str">
        <f>IFERROR(__xludf.DUMMYFUNCTION("""COMPUTED_VALUE"""),"TACIANA MACHADO PINHEIRO")</f>
        <v>TACIANA MACHADO PINHEIRO</v>
      </c>
      <c r="B526" s="11"/>
      <c r="C526" s="11"/>
      <c r="D526" s="11" t="str">
        <f>IFERROR(__xludf.DUMMYFUNCTION("""COMPUTED_VALUE"""),"Enfermeira eSF")</f>
        <v>Enfermeira eSF</v>
      </c>
      <c r="E526" s="11" t="str">
        <f>IFERROR(__xludf.DUMMYFUNCTION("""COMPUTED_VALUE"""),"II")</f>
        <v>II</v>
      </c>
      <c r="F526" s="11" t="str">
        <f>IFERROR(__xludf.DUMMYFUNCTION("""COMPUTED_VALUE"""),"US_401 USF UPINHA 24H GOVERNADOR EDUARDO CAMPOS")</f>
        <v>US_401 USF UPINHA 24H GOVERNADOR EDUARDO CAMPOS</v>
      </c>
      <c r="G526" s="11" t="str">
        <f>IFERROR(__xludf.DUMMYFUNCTION("""COMPUTED_VALUE"""),"US 401 USF UPINHA 24H GOVERNADOR EDUARDO CAMPOS")</f>
        <v>US 401 USF UPINHA 24H GOVERNADOR EDUARDO CAMPOS</v>
      </c>
      <c r="H526" s="27">
        <f>IFERROR(__xludf.DUMMYFUNCTION("""COMPUTED_VALUE"""),81999044019)</f>
        <v>81999044019</v>
      </c>
      <c r="I526" s="11"/>
      <c r="J526" s="11"/>
      <c r="K526" s="11"/>
      <c r="L526" s="11"/>
      <c r="M526" s="11"/>
      <c r="N526" s="11" t="str">
        <f>IFERROR(__xludf.DUMMYFUNCTION("""COMPUTED_VALUE"""),"taci1808@hotmail.com")</f>
        <v>taci1808@hotmail.com</v>
      </c>
      <c r="O526" s="29">
        <f>IFERROR(__xludf.DUMMYFUNCTION("""COMPUTED_VALUE"""),52121739491)</f>
        <v>52121739491</v>
      </c>
      <c r="P526" s="30" t="str">
        <f>IFERROR(__xludf.DUMMYFUNCTION("""COMPUTED_VALUE"""),"209066149820005")</f>
        <v>209066149820005</v>
      </c>
      <c r="Q526" s="30" t="str">
        <f>IFERROR(__xludf.DUMMYFUNCTION("""COMPUTED_VALUE"""),"7946651")</f>
        <v>7946651</v>
      </c>
      <c r="R526" s="30" t="str">
        <f>IFERROR(__xludf.DUMMYFUNCTION("""COMPUTED_VALUE"""),"0001601571")</f>
        <v>0001601571</v>
      </c>
      <c r="S526" s="30" t="str">
        <f>IFERROR(__xludf.DUMMYFUNCTION("""COMPUTED_VALUE"""),"1")</f>
        <v>1</v>
      </c>
      <c r="T526" s="30" t="str">
        <f>IFERROR(__xludf.DUMMYFUNCTION("""COMPUTED_VALUE"""),"223565")</f>
        <v>223565</v>
      </c>
      <c r="U526" s="31" t="str">
        <f>IFERROR(__xludf.DUMMYFUNCTION("""COMPUTED_VALUE"""),"2235")</f>
        <v>2235</v>
      </c>
      <c r="V526" s="11"/>
      <c r="W526" s="11">
        <f>IFERROR(__xludf.DUMMYFUNCTION("""COMPUTED_VALUE"""),8199044019)</f>
        <v>8199044019</v>
      </c>
      <c r="X526" s="11"/>
      <c r="Y526" s="11">
        <f>IFERROR(__xludf.DUMMYFUNCTION("""COMPUTED_VALUE"""),52121739491)</f>
        <v>52121739491</v>
      </c>
      <c r="Z526" s="11"/>
    </row>
    <row r="527" customHeight="1" spans="1:26">
      <c r="A527" s="11" t="str">
        <f>IFERROR(__xludf.DUMMYFUNCTION("""COMPUTED_VALUE"""),"VALERIA CARVALHO DE PAULA PINTO")</f>
        <v>VALERIA CARVALHO DE PAULA PINTO</v>
      </c>
      <c r="B527" s="11" t="str">
        <f>IFERROR(__xludf.DUMMYFUNCTION("""COMPUTED_VALUE"""),"INATIVA / APOSENTADA")</f>
        <v>INATIVA / APOSENTADA</v>
      </c>
      <c r="C527" s="11"/>
      <c r="D527" s="11" t="str">
        <f>IFERROR(__xludf.DUMMYFUNCTION("""COMPUTED_VALUE"""),"Médica eSF")</f>
        <v>Médica eSF</v>
      </c>
      <c r="E527" s="11" t="str">
        <f>IFERROR(__xludf.DUMMYFUNCTION("""COMPUTED_VALUE"""),"VIII")</f>
        <v>VIII</v>
      </c>
      <c r="F527" s="11" t="str">
        <f>IFERROR(__xludf.DUMMYFUNCTION("""COMPUTED_VALUE"""),"US_230 USF LAGOA ENCANTADA")</f>
        <v>US_230 USF LAGOA ENCANTADA</v>
      </c>
      <c r="G527" s="11" t="str">
        <f>IFERROR(__xludf.DUMMYFUNCTION("""COMPUTED_VALUE"""),"US 230 USF LAGOA ENCANTADA")</f>
        <v>US 230 USF LAGOA ENCANTADA</v>
      </c>
      <c r="H527" s="27">
        <f>IFERROR(__xludf.DUMMYFUNCTION("""COMPUTED_VALUE"""),81988984612)</f>
        <v>81988984612</v>
      </c>
      <c r="I527" s="11"/>
      <c r="J527" s="11"/>
      <c r="K527" s="11"/>
      <c r="L527" s="11"/>
      <c r="M527" s="28" t="str">
        <f>IFERROR(__xludf.DUMMYFUNCTION("""COMPUTED_VALUE"""),"3355-6174")</f>
        <v>3355-6174</v>
      </c>
      <c r="N527" s="11" t="str">
        <f>IFERROR(__xludf.DUMMYFUNCTION("""COMPUTED_VALUE"""),"lelapp19@gmail.com")</f>
        <v>lelapp19@gmail.com</v>
      </c>
      <c r="O527" s="29">
        <f>IFERROR(__xludf.DUMMYFUNCTION("""COMPUTED_VALUE"""),18095429449)</f>
        <v>18095429449</v>
      </c>
      <c r="P527" s="30" t="str">
        <f>IFERROR(__xludf.DUMMYFUNCTION("""COMPUTED_VALUE"""),"120975515070006")</f>
        <v>120975515070006</v>
      </c>
      <c r="Q527" s="30" t="str">
        <f>IFERROR(__xludf.DUMMYFUNCTION("""COMPUTED_VALUE"""),"0022470")</f>
        <v>0022470</v>
      </c>
      <c r="R527" s="30" t="str">
        <f>IFERROR(__xludf.DUMMYFUNCTION("""COMPUTED_VALUE"""),"0000154083")</f>
        <v>0000154083</v>
      </c>
      <c r="S527" s="30" t="str">
        <f>IFERROR(__xludf.DUMMYFUNCTION("""COMPUTED_VALUE"""),"1")</f>
        <v>1</v>
      </c>
      <c r="T527" s="30" t="str">
        <f>IFERROR(__xludf.DUMMYFUNCTION("""COMPUTED_VALUE"""),"225142")</f>
        <v>225142</v>
      </c>
      <c r="U527" s="31" t="str">
        <f>IFERROR(__xludf.DUMMYFUNCTION("""COMPUTED_VALUE"""),"2251")</f>
        <v>2251</v>
      </c>
      <c r="V527" s="11" t="str">
        <f>IFERROR(__xludf.DUMMYFUNCTION("""COMPUTED_VALUE"""),"SIM")</f>
        <v>SIM</v>
      </c>
      <c r="W527" s="11"/>
      <c r="X527" s="11">
        <f>IFERROR(__xludf.DUMMYFUNCTION("""COMPUTED_VALUE"""),33611246)</f>
        <v>33611246</v>
      </c>
      <c r="Y527" s="11">
        <f>IFERROR(__xludf.DUMMYFUNCTION("""COMPUTED_VALUE"""),88984612)</f>
        <v>88984612</v>
      </c>
      <c r="Z527" s="11">
        <f>IFERROR(__xludf.DUMMYFUNCTION("""COMPUTED_VALUE"""),18095429449)</f>
        <v>18095429449</v>
      </c>
    </row>
    <row r="528" customHeight="1" spans="1:26">
      <c r="A528" s="11" t="str">
        <f>IFERROR(__xludf.DUMMYFUNCTION("""COMPUTED_VALUE"""),"JULIANA SILVA DE LUCENA")</f>
        <v>JULIANA SILVA DE LUCENA</v>
      </c>
      <c r="B528" s="11"/>
      <c r="C528" s="11"/>
      <c r="D528" s="11" t="str">
        <f>IFERROR(__xludf.DUMMYFUNCTION("""COMPUTED_VALUE"""),"Enfermeira eSF")</f>
        <v>Enfermeira eSF</v>
      </c>
      <c r="E528" s="11" t="str">
        <f>IFERROR(__xludf.DUMMYFUNCTION("""COMPUTED_VALUE"""),"VIII")</f>
        <v>VIII</v>
      </c>
      <c r="F528" s="11" t="str">
        <f>IFERROR(__xludf.DUMMYFUNCTION("""COMPUTED_VALUE"""),"US_250 USF UR12 UR5 3 ETAPA")</f>
        <v>US_250 USF UR12 UR5 3 ETAPA</v>
      </c>
      <c r="G528" s="11" t="str">
        <f>IFERROR(__xludf.DUMMYFUNCTION("""COMPUTED_VALUE"""),"US 250 USF UR12 UR5 3 ETAPA")</f>
        <v>US 250 USF UR12 UR5 3 ETAPA</v>
      </c>
      <c r="H528" s="27">
        <f>IFERROR(__xludf.DUMMYFUNCTION("""COMPUTED_VALUE"""),81996470939)</f>
        <v>81996470939</v>
      </c>
      <c r="I528" s="27">
        <f>IFERROR(__xludf.DUMMYFUNCTION("""COMPUTED_VALUE"""),81988057054)</f>
        <v>81988057054</v>
      </c>
      <c r="J528" s="11"/>
      <c r="K528" s="11"/>
      <c r="L528" s="11"/>
      <c r="M528" s="28" t="str">
        <f>IFERROR(__xludf.DUMMYFUNCTION("""COMPUTED_VALUE"""),"3355-6690")</f>
        <v>3355-6690</v>
      </c>
      <c r="N528" s="11" t="str">
        <f>IFERROR(__xludf.DUMMYFUNCTION("""COMPUTED_VALUE"""),"julianaslucenajsl@gmail.com")</f>
        <v>julianaslucenajsl@gmail.com</v>
      </c>
      <c r="O528" s="29">
        <f>IFERROR(__xludf.DUMMYFUNCTION("""COMPUTED_VALUE"""),855864478)</f>
        <v>855864478</v>
      </c>
      <c r="P528" s="30" t="str">
        <f>IFERROR(__xludf.DUMMYFUNCTION("""COMPUTED_VALUE"""),"980016004531028")</f>
        <v>980016004531028</v>
      </c>
      <c r="Q528" s="30" t="str">
        <f>IFERROR(__xludf.DUMMYFUNCTION("""COMPUTED_VALUE"""),"0022489")</f>
        <v>0022489</v>
      </c>
      <c r="R528" s="30" t="str">
        <f>IFERROR(__xludf.DUMMYFUNCTION("""COMPUTED_VALUE"""),"0000154113")</f>
        <v>0000154113</v>
      </c>
      <c r="S528" s="30" t="str">
        <f>IFERROR(__xludf.DUMMYFUNCTION("""COMPUTED_VALUE"""),"1")</f>
        <v>1</v>
      </c>
      <c r="T528" s="30" t="str">
        <f>IFERROR(__xludf.DUMMYFUNCTION("""COMPUTED_VALUE"""),"223565")</f>
        <v>223565</v>
      </c>
      <c r="U528" s="31" t="str">
        <f>IFERROR(__xludf.DUMMYFUNCTION("""COMPUTED_VALUE"""),"2235")</f>
        <v>2235</v>
      </c>
      <c r="V528" s="11"/>
      <c r="W528" s="11">
        <f>IFERROR(__xludf.DUMMYFUNCTION("""COMPUTED_VALUE"""),8196470939)</f>
        <v>8196470939</v>
      </c>
      <c r="X528" s="11"/>
      <c r="Y528" s="11">
        <f>IFERROR(__xludf.DUMMYFUNCTION("""COMPUTED_VALUE"""),855864478)</f>
        <v>855864478</v>
      </c>
      <c r="Z528" s="11"/>
    </row>
    <row r="529" customHeight="1" spans="1:26">
      <c r="A529" s="11" t="str">
        <f>IFERROR(__xludf.DUMMYFUNCTION("""COMPUTED_VALUE"""),"ROBERTA SOARES NASCIMENTO")</f>
        <v>ROBERTA SOARES NASCIMENTO</v>
      </c>
      <c r="B529" s="11"/>
      <c r="C529" s="11"/>
      <c r="D529" s="11" t="str">
        <f>IFERROR(__xludf.DUMMYFUNCTION("""COMPUTED_VALUE"""),"Médica eSF")</f>
        <v>Médica eSF</v>
      </c>
      <c r="E529" s="11" t="str">
        <f>IFERROR(__xludf.DUMMYFUNCTION("""COMPUTED_VALUE"""),"V")</f>
        <v>V</v>
      </c>
      <c r="F529" s="11" t="str">
        <f>IFERROR(__xludf.DUMMYFUNCTION("""COMPUTED_VALUE"""),"US_393 USF UPINHA DIA BONGI NOVO PRADO")</f>
        <v>US_393 USF UPINHA DIA BONGI NOVO PRADO</v>
      </c>
      <c r="G529" s="11" t="str">
        <f>IFERROR(__xludf.DUMMYFUNCTION("""COMPUTED_VALUE"""),"US 393 USF UPINHA DIA BONGI NOVO PRADO")</f>
        <v>US 393 USF UPINHA DIA BONGI NOVO PRADO</v>
      </c>
      <c r="H529" s="27">
        <f>IFERROR(__xludf.DUMMYFUNCTION("""COMPUTED_VALUE"""),81999495737)</f>
        <v>81999495737</v>
      </c>
      <c r="I529" s="11"/>
      <c r="J529" s="11"/>
      <c r="K529" s="11"/>
      <c r="L529" s="11"/>
      <c r="M529" s="28" t="str">
        <f>IFERROR(__xludf.DUMMYFUNCTION("""COMPUTED_VALUE"""),"3355-9567")</f>
        <v>3355-9567</v>
      </c>
      <c r="N529" s="30" t="str">
        <f>IFERROR(__xludf.DUMMYFUNCTION("""COMPUTED_VALUE"""),"robertanasc@gmail.com")</f>
        <v>robertanasc@gmail.com</v>
      </c>
      <c r="O529" s="29">
        <f>IFERROR(__xludf.DUMMYFUNCTION("""COMPUTED_VALUE"""),78190002449)</f>
        <v>78190002449</v>
      </c>
      <c r="P529" s="30" t="str">
        <f>IFERROR(__xludf.DUMMYFUNCTION("""COMPUTED_VALUE"""),"980016004720963")</f>
        <v>980016004720963</v>
      </c>
      <c r="Q529" s="30" t="str">
        <f>IFERROR(__xludf.DUMMYFUNCTION("""COMPUTED_VALUE"""),"7404379")</f>
        <v>7404379</v>
      </c>
      <c r="R529" s="30" t="str">
        <f>IFERROR(__xludf.DUMMYFUNCTION("""COMPUTED_VALUE"""),"0001501011")</f>
        <v>0001501011</v>
      </c>
      <c r="S529" s="30" t="str">
        <f>IFERROR(__xludf.DUMMYFUNCTION("""COMPUTED_VALUE"""),"1")</f>
        <v>1</v>
      </c>
      <c r="T529" s="30" t="str">
        <f>IFERROR(__xludf.DUMMYFUNCTION("""COMPUTED_VALUE"""),"225142")</f>
        <v>225142</v>
      </c>
      <c r="U529" s="31" t="str">
        <f>IFERROR(__xludf.DUMMYFUNCTION("""COMPUTED_VALUE"""),"2251")</f>
        <v>2251</v>
      </c>
      <c r="V529" s="11"/>
      <c r="W529" s="11"/>
      <c r="X529" s="11" t="str">
        <f>IFERROR(__xludf.DUMMYFUNCTION("""COMPUTED_VALUE"""),"#N/A")</f>
        <v>#N/A</v>
      </c>
      <c r="Y529" s="11" t="str">
        <f>IFERROR(__xludf.DUMMYFUNCTION("""COMPUTED_VALUE"""),"#N/A")</f>
        <v>#N/A</v>
      </c>
      <c r="Z529" s="11" t="str">
        <f>IFERROR(__xludf.DUMMYFUNCTION("""COMPUTED_VALUE"""),"#N/A")</f>
        <v>#N/A</v>
      </c>
    </row>
    <row r="530" customHeight="1" spans="1:26">
      <c r="A530" s="11" t="str">
        <f>IFERROR(__xludf.DUMMYFUNCTION("""COMPUTED_VALUE"""),"LUCIVANA LIMA DE CARVALHO")</f>
        <v>LUCIVANA LIMA DE CARVALHO</v>
      </c>
      <c r="B530" s="11"/>
      <c r="C530" s="11"/>
      <c r="D530" s="11" t="str">
        <f>IFERROR(__xludf.DUMMYFUNCTION("""COMPUTED_VALUE"""),"Médica Ginecologista")</f>
        <v>Médica Ginecologista</v>
      </c>
      <c r="E530" s="11" t="str">
        <f>IFERROR(__xludf.DUMMYFUNCTION("""COMPUTED_VALUE"""),"VI")</f>
        <v>VI</v>
      </c>
      <c r="F530" s="11" t="str">
        <f>IFERROR(__xludf.DUMMYFUNCTION("""COMPUTED_VALUE"""),"US_126 CS VER ROMILDO GOMES")</f>
        <v>US_126 CS VER ROMILDO GOMES</v>
      </c>
      <c r="G530" s="11" t="str">
        <f>IFERROR(__xludf.DUMMYFUNCTION("""COMPUTED_VALUE"""),"US 126 CS VER ROMILDO GOMES")</f>
        <v>US 126 CS VER ROMILDO GOMES</v>
      </c>
      <c r="H530" s="27">
        <f>IFERROR(__xludf.DUMMYFUNCTION("""COMPUTED_VALUE"""),81991225800)</f>
        <v>81991225800</v>
      </c>
      <c r="I530" s="11"/>
      <c r="J530" s="11"/>
      <c r="K530" s="11"/>
      <c r="L530" s="11"/>
      <c r="M530" s="28" t="str">
        <f>IFERROR(__xludf.DUMMYFUNCTION("""COMPUTED_VALUE"""),"3355-4448")</f>
        <v>3355-4448</v>
      </c>
      <c r="N530" s="11" t="str">
        <f>IFERROR(__xludf.DUMMYFUNCTION("""COMPUTED_VALUE"""),"lucivanalima@hotmail.com")</f>
        <v>lucivanalima@hotmail.com</v>
      </c>
      <c r="O530" s="29">
        <f>IFERROR(__xludf.DUMMYFUNCTION("""COMPUTED_VALUE"""),42904153420)</f>
        <v>42904153420</v>
      </c>
      <c r="P530" s="30" t="str">
        <f>IFERROR(__xludf.DUMMYFUNCTION("""COMPUTED_VALUE"""),"204322911180006")</f>
        <v>204322911180006</v>
      </c>
      <c r="Q530" s="30" t="str">
        <f>IFERROR(__xludf.DUMMYFUNCTION("""COMPUTED_VALUE"""),"0001090")</f>
        <v>0001090</v>
      </c>
      <c r="R530" s="11"/>
      <c r="S530" s="30" t="str">
        <f>IFERROR(__xludf.DUMMYFUNCTION("""COMPUTED_VALUE"""),"1")</f>
        <v>1</v>
      </c>
      <c r="T530" s="30" t="str">
        <f>IFERROR(__xludf.DUMMYFUNCTION("""COMPUTED_VALUE"""),"225250")</f>
        <v>225250</v>
      </c>
      <c r="U530" s="31">
        <f>IFERROR(__xludf.DUMMYFUNCTION("""COMPUTED_VALUE"""),2251)</f>
        <v>2251</v>
      </c>
      <c r="V530" s="11"/>
      <c r="W530" s="11"/>
      <c r="X530" s="11" t="str">
        <f>IFERROR(__xludf.DUMMYFUNCTION("""COMPUTED_VALUE"""),"#N/A")</f>
        <v>#N/A</v>
      </c>
      <c r="Y530" s="11" t="str">
        <f>IFERROR(__xludf.DUMMYFUNCTION("""COMPUTED_VALUE"""),"#N/A")</f>
        <v>#N/A</v>
      </c>
      <c r="Z530" s="11" t="str">
        <f>IFERROR(__xludf.DUMMYFUNCTION("""COMPUTED_VALUE"""),"#N/A")</f>
        <v>#N/A</v>
      </c>
    </row>
    <row r="531" customHeight="1" spans="1:26">
      <c r="A531" s="11" t="str">
        <f>IFERROR(__xludf.DUMMYFUNCTION("""COMPUTED_VALUE"""),"MARIA CRISTINA BUARQUE DE BARROS")</f>
        <v>MARIA CRISTINA BUARQUE DE BARROS</v>
      </c>
      <c r="B531" s="11"/>
      <c r="C531" s="11"/>
      <c r="D531" s="11" t="str">
        <f>IFERROR(__xludf.DUMMYFUNCTION("""COMPUTED_VALUE"""),"Médica eSF")</f>
        <v>Médica eSF</v>
      </c>
      <c r="E531" s="11" t="str">
        <f>IFERROR(__xludf.DUMMYFUNCTION("""COMPUTED_VALUE"""),"I")</f>
        <v>I</v>
      </c>
      <c r="F531" s="11" t="str">
        <f>IFERROR(__xludf.DUMMYFUNCTION("""COMPUTED_VALUE"""),"SEDE DISTRITO SANITARIO I")</f>
        <v>SEDE DISTRITO SANITARIO I</v>
      </c>
      <c r="G531" s="11" t="str">
        <f>IFERROR(__xludf.DUMMYFUNCTION("""COMPUTED_VALUE"""),"US 218 USF COQUE")</f>
        <v>US 218 USF COQUE</v>
      </c>
      <c r="H531" s="27">
        <f>IFERROR(__xludf.DUMMYFUNCTION("""COMPUTED_VALUE"""),81987907949)</f>
        <v>81987907949</v>
      </c>
      <c r="I531" s="11"/>
      <c r="J531" s="11"/>
      <c r="K531" s="11"/>
      <c r="L531" s="11"/>
      <c r="M531" s="28" t="str">
        <f>IFERROR(__xludf.DUMMYFUNCTION("""COMPUTED_VALUE"""),"3355-4656")</f>
        <v>3355-4656</v>
      </c>
      <c r="N531" s="11" t="str">
        <f>IFERROR(__xludf.DUMMYFUNCTION("""COMPUTED_VALUE"""),"MCRISBB@HOTMAIL.COM")</f>
        <v>MCRISBB@HOTMAIL.COM</v>
      </c>
      <c r="O531" s="29">
        <f>IFERROR(__xludf.DUMMYFUNCTION("""COMPUTED_VALUE"""),12744620459)</f>
        <v>12744620459</v>
      </c>
      <c r="P531" s="30" t="str">
        <f>IFERROR(__xludf.DUMMYFUNCTION("""COMPUTED_VALUE"""),"121036316190009")</f>
        <v>121036316190009</v>
      </c>
      <c r="Q531" s="30" t="str">
        <f>IFERROR(__xludf.DUMMYFUNCTION("""COMPUTED_VALUE"""),"0001252")</f>
        <v>0001252</v>
      </c>
      <c r="R531" s="11"/>
      <c r="S531" s="30" t="str">
        <f>IFERROR(__xludf.DUMMYFUNCTION("""COMPUTED_VALUE"""),"1")</f>
        <v>1</v>
      </c>
      <c r="T531" s="30" t="str">
        <f>IFERROR(__xludf.DUMMYFUNCTION("""COMPUTED_VALUE"""),"225142")</f>
        <v>225142</v>
      </c>
      <c r="U531" s="11">
        <f>IFERROR(__xludf.DUMMYFUNCTION("""COMPUTED_VALUE"""),2251)</f>
        <v>2251</v>
      </c>
      <c r="V531" s="11"/>
      <c r="W531" s="11"/>
      <c r="X531" s="11"/>
      <c r="Y531" s="11"/>
      <c r="Z531" s="11"/>
    </row>
    <row r="532" customHeight="1" spans="1:26">
      <c r="A532" s="11" t="str">
        <f>IFERROR(__xludf.DUMMYFUNCTION("""COMPUTED_VALUE"""),"MARIA DO CARMO RAPOSO")</f>
        <v>MARIA DO CARMO RAPOSO</v>
      </c>
      <c r="B532" s="11"/>
      <c r="C532" s="11"/>
      <c r="D532" s="11" t="str">
        <f>IFERROR(__xludf.DUMMYFUNCTION("""COMPUTED_VALUE"""),"Enfermeira eSF")</f>
        <v>Enfermeira eSF</v>
      </c>
      <c r="E532" s="11" t="str">
        <f>IFERROR(__xludf.DUMMYFUNCTION("""COMPUTED_VALUE"""),"VII")</f>
        <v>VII</v>
      </c>
      <c r="F532" s="11" t="str">
        <f>IFERROR(__xludf.DUMMYFUNCTION("""COMPUTED_VALUE"""),"US_231 USF CORREGO DA BICA / MARIA EDUARDA CESSE")</f>
        <v>US_231 USF CORREGO DA BICA / MARIA EDUARDA CESSE</v>
      </c>
      <c r="G532" s="11" t="str">
        <f>IFERROR(__xludf.DUMMYFUNCTION("""COMPUTED_VALUE"""),"US_231 USF CORREGO DA BICA / MARIA EDUARDA CESSE")</f>
        <v>US_231 USF CORREGO DA BICA / MARIA EDUARDA CESSE</v>
      </c>
      <c r="H532" s="27">
        <f>IFERROR(__xludf.DUMMYFUNCTION("""COMPUTED_VALUE"""),81998697796)</f>
        <v>81998697796</v>
      </c>
      <c r="I532" s="27">
        <f>IFERROR(__xludf.DUMMYFUNCTION("""COMPUTED_VALUE"""),81998586330)</f>
        <v>81998586330</v>
      </c>
      <c r="J532" s="11"/>
      <c r="K532" s="24">
        <f>IFERROR(__xludf.DUMMYFUNCTION("""COMPUTED_VALUE"""),45152)</f>
        <v>45152</v>
      </c>
      <c r="L532" s="11"/>
      <c r="M532" s="28" t="str">
        <f>IFERROR(__xludf.DUMMYFUNCTION("""COMPUTED_VALUE"""),"3355-6086")</f>
        <v>3355-6086</v>
      </c>
      <c r="N532" s="11" t="str">
        <f>IFERROR(__xludf.DUMMYFUNCTION("""COMPUTED_VALUE"""),"miminharaposo@hotmail.com")</f>
        <v>miminharaposo@hotmail.com</v>
      </c>
      <c r="O532" s="29">
        <f>IFERROR(__xludf.DUMMYFUNCTION("""COMPUTED_VALUE"""),21542520444)</f>
        <v>21542520444</v>
      </c>
      <c r="P532" s="30" t="str">
        <f>IFERROR(__xludf.DUMMYFUNCTION("""COMPUTED_VALUE"""),"201533354020004")</f>
        <v>201533354020004</v>
      </c>
      <c r="Q532" s="30" t="str">
        <f>IFERROR(__xludf.DUMMYFUNCTION("""COMPUTED_VALUE"""),"2679779")</f>
        <v>2679779</v>
      </c>
      <c r="R532" s="30" t="str">
        <f>IFERROR(__xludf.DUMMYFUNCTION("""COMPUTED_VALUE"""),"0000154822")</f>
        <v>0000154822</v>
      </c>
      <c r="S532" s="30" t="str">
        <f>IFERROR(__xludf.DUMMYFUNCTION("""COMPUTED_VALUE"""),"1")</f>
        <v>1</v>
      </c>
      <c r="T532" s="30" t="str">
        <f>IFERROR(__xludf.DUMMYFUNCTION("""COMPUTED_VALUE"""),"223565")</f>
        <v>223565</v>
      </c>
      <c r="U532" s="31" t="str">
        <f>IFERROR(__xludf.DUMMYFUNCTION("""COMPUTED_VALUE"""),"2235")</f>
        <v>2235</v>
      </c>
      <c r="V532" s="11"/>
      <c r="W532" s="11" t="str">
        <f>IFERROR(__xludf.DUMMYFUNCTION("""COMPUTED_VALUE"""),"81 98586330")</f>
        <v>81 98586330</v>
      </c>
      <c r="X532" s="11" t="str">
        <f>IFERROR(__xludf.DUMMYFUNCTION("""COMPUTED_VALUE"""),"81 99534321")</f>
        <v>81 99534321</v>
      </c>
      <c r="Y532" s="11">
        <f>IFERROR(__xludf.DUMMYFUNCTION("""COMPUTED_VALUE"""),21542520444)</f>
        <v>21542520444</v>
      </c>
      <c r="Z532" s="11"/>
    </row>
    <row r="533" customHeight="1" spans="1:26">
      <c r="A533" s="11" t="str">
        <f>IFERROR(__xludf.DUMMYFUNCTION("""COMPUTED_VALUE"""),"VANILDA CRISTINA DE QUEIROZ LINS")</f>
        <v>VANILDA CRISTINA DE QUEIROZ LINS</v>
      </c>
      <c r="B533" s="11"/>
      <c r="C533" s="11"/>
      <c r="D533" s="11" t="str">
        <f>IFERROR(__xludf.DUMMYFUNCTION("""COMPUTED_VALUE"""),"Dentista")</f>
        <v>Dentista</v>
      </c>
      <c r="E533" s="11" t="str">
        <f>IFERROR(__xludf.DUMMYFUNCTION("""COMPUTED_VALUE"""),"VI")</f>
        <v>VI</v>
      </c>
      <c r="F533" s="11" t="str">
        <f>IFERROR(__xludf.DUMMYFUNCTION("""COMPUTED_VALUE"""),"US_316 USF BERNARD VAN LEER")</f>
        <v>US_316 USF BERNARD VAN LEER</v>
      </c>
      <c r="G533" s="11" t="str">
        <f>IFERROR(__xludf.DUMMYFUNCTION("""COMPUTED_VALUE"""),"US 316 USF BERNARD VAN LEER")</f>
        <v>US 316 USF BERNARD VAN LEER</v>
      </c>
      <c r="H533" s="27">
        <f>IFERROR(__xludf.DUMMYFUNCTION("""COMPUTED_VALUE"""),81997489586)</f>
        <v>81997489586</v>
      </c>
      <c r="I533" s="11"/>
      <c r="J533" s="11"/>
      <c r="K533" s="11"/>
      <c r="L533" s="11"/>
      <c r="M533" s="28" t="str">
        <f>IFERROR(__xludf.DUMMYFUNCTION("""COMPUTED_VALUE"""),"3355-6406")</f>
        <v>3355-6406</v>
      </c>
      <c r="N533" s="11" t="str">
        <f>IFERROR(__xludf.DUMMYFUNCTION("""COMPUTED_VALUE"""),"cristinaqlins@gmail.com")</f>
        <v>cristinaqlins@gmail.com</v>
      </c>
      <c r="O533" s="29">
        <f>IFERROR(__xludf.DUMMYFUNCTION("""COMPUTED_VALUE"""),35200820472)</f>
        <v>35200820472</v>
      </c>
      <c r="P533" s="30" t="str">
        <f>IFERROR(__xludf.DUMMYFUNCTION("""COMPUTED_VALUE"""),"209066158570008	")</f>
        <v>209066158570008	</v>
      </c>
      <c r="Q533" s="30" t="str">
        <f>IFERROR(__xludf.DUMMYFUNCTION("""COMPUTED_VALUE"""),"3562581")</f>
        <v>3562581</v>
      </c>
      <c r="R533" s="30" t="str">
        <f>IFERROR(__xludf.DUMMYFUNCTION("""COMPUTED_VALUE"""),"0001856375")</f>
        <v>0001856375</v>
      </c>
      <c r="S533" s="30" t="str">
        <f>IFERROR(__xludf.DUMMYFUNCTION("""COMPUTED_VALUE"""),"1")</f>
        <v>1</v>
      </c>
      <c r="T533" s="30" t="str">
        <f>IFERROR(__xludf.DUMMYFUNCTION("""COMPUTED_VALUE"""),"223293")</f>
        <v>223293</v>
      </c>
      <c r="U533" s="31">
        <f>IFERROR(__xludf.DUMMYFUNCTION("""COMPUTED_VALUE"""),2232)</f>
        <v>2232</v>
      </c>
      <c r="V533" s="11"/>
      <c r="W533" s="11"/>
      <c r="X533" s="11"/>
      <c r="Y533" s="11"/>
      <c r="Z533" s="11"/>
    </row>
    <row r="534" customHeight="1" spans="1:26">
      <c r="A534" s="11" t="str">
        <f>IFERROR(__xludf.DUMMYFUNCTION("""COMPUTED_VALUE"""),"REGIANE DA SILVA SOUSA")</f>
        <v>REGIANE DA SILVA SOUSA</v>
      </c>
      <c r="B534" s="11"/>
      <c r="C534" s="11"/>
      <c r="D534" s="11" t="str">
        <f>IFERROR(__xludf.DUMMYFUNCTION("""COMPUTED_VALUE"""),"Enfermeira eSF")</f>
        <v>Enfermeira eSF</v>
      </c>
      <c r="E534" s="11" t="str">
        <f>IFERROR(__xludf.DUMMYFUNCTION("""COMPUTED_VALUE"""),"VII")</f>
        <v>VII</v>
      </c>
      <c r="F534" s="11" t="str">
        <f>IFERROR(__xludf.DUMMYFUNCTION("""COMPUTED_VALUE"""),"US_287 USF ALTO JOSE DO PINHO")</f>
        <v>US_287 USF ALTO JOSE DO PINHO</v>
      </c>
      <c r="G534" s="11" t="str">
        <f>IFERROR(__xludf.DUMMYFUNCTION("""COMPUTED_VALUE"""),"US 287 USF ALTO JOSE DO PINHO")</f>
        <v>US 287 USF ALTO JOSE DO PINHO</v>
      </c>
      <c r="H534" s="27">
        <f>IFERROR(__xludf.DUMMYFUNCTION("""COMPUTED_VALUE"""),81999595048)</f>
        <v>81999595048</v>
      </c>
      <c r="I534" s="11"/>
      <c r="J534" s="11"/>
      <c r="K534" s="11"/>
      <c r="L534" s="11"/>
      <c r="M534" s="28" t="str">
        <f>IFERROR(__xludf.DUMMYFUNCTION("""COMPUTED_VALUE"""),"3355-6086")</f>
        <v>3355-6086</v>
      </c>
      <c r="N534" s="11" t="str">
        <f>IFERROR(__xludf.DUMMYFUNCTION("""COMPUTED_VALUE"""),"regianinhasousa@hotmail.com")</f>
        <v>regianinhasousa@hotmail.com</v>
      </c>
      <c r="O534" s="29">
        <f>IFERROR(__xludf.DUMMYFUNCTION("""COMPUTED_VALUE"""),3440203476)</f>
        <v>3440203476</v>
      </c>
      <c r="P534" s="30" t="str">
        <f>IFERROR(__xludf.DUMMYFUNCTION("""COMPUTED_VALUE"""),"980016281178756")</f>
        <v>980016281178756</v>
      </c>
      <c r="Q534" s="30" t="str">
        <f>IFERROR(__xludf.DUMMYFUNCTION("""COMPUTED_VALUE"""),"2679779")</f>
        <v>2679779</v>
      </c>
      <c r="R534" s="30" t="str">
        <f>IFERROR(__xludf.DUMMYFUNCTION("""COMPUTED_VALUE"""),"0000154806")</f>
        <v>0000154806</v>
      </c>
      <c r="S534" s="30" t="str">
        <f>IFERROR(__xludf.DUMMYFUNCTION("""COMPUTED_VALUE"""),"1")</f>
        <v>1</v>
      </c>
      <c r="T534" s="30" t="str">
        <f>IFERROR(__xludf.DUMMYFUNCTION("""COMPUTED_VALUE"""),"223565")</f>
        <v>223565</v>
      </c>
      <c r="U534" s="31" t="str">
        <f>IFERROR(__xludf.DUMMYFUNCTION("""COMPUTED_VALUE"""),"2235")</f>
        <v>2235</v>
      </c>
      <c r="V534" s="11"/>
      <c r="W534" s="11">
        <f>IFERROR(__xludf.DUMMYFUNCTION("""COMPUTED_VALUE"""),99595048)</f>
        <v>99595048</v>
      </c>
      <c r="X534" s="11">
        <f>IFERROR(__xludf.DUMMYFUNCTION("""COMPUTED_VALUE"""),34270999)</f>
        <v>34270999</v>
      </c>
      <c r="Y534" s="11">
        <f>IFERROR(__xludf.DUMMYFUNCTION("""COMPUTED_VALUE"""),3440203476)</f>
        <v>3440203476</v>
      </c>
      <c r="Z534" s="11"/>
    </row>
    <row r="535" customHeight="1" spans="1:26">
      <c r="A535" s="11" t="str">
        <f>IFERROR(__xludf.DUMMYFUNCTION("""COMPUTED_VALUE"""),"PATRICIA MONTEIRO DE FREITAS PAIXAO")</f>
        <v>PATRICIA MONTEIRO DE FREITAS PAIXAO</v>
      </c>
      <c r="B535" s="11"/>
      <c r="C535" s="11"/>
      <c r="D535" s="11" t="str">
        <f>IFERROR(__xludf.DUMMYFUNCTION("""COMPUTED_VALUE"""),"Enfermeira eSF")</f>
        <v>Enfermeira eSF</v>
      </c>
      <c r="E535" s="11" t="str">
        <f>IFERROR(__xludf.DUMMYFUNCTION("""COMPUTED_VALUE"""),"II")</f>
        <v>II</v>
      </c>
      <c r="F535" s="11" t="str">
        <f>IFERROR(__xludf.DUMMYFUNCTION("""COMPUTED_VALUE"""),"US_291 USF ALTO DOS COQUEIROS CORREGO DA JAQUEIRA")</f>
        <v>US_291 USF ALTO DOS COQUEIROS CORREGO DA JAQUEIRA</v>
      </c>
      <c r="G535" s="11" t="str">
        <f>IFERROR(__xludf.DUMMYFUNCTION("""COMPUTED_VALUE"""),"US 291 USF ALTO DOS COQUEIROS CORREGO DA JAQUEIRA")</f>
        <v>US 291 USF ALTO DOS COQUEIROS CORREGO DA JAQUEIRA</v>
      </c>
      <c r="H535" s="27">
        <f>IFERROR(__xludf.DUMMYFUNCTION("""COMPUTED_VALUE"""),81986279278)</f>
        <v>81986279278</v>
      </c>
      <c r="I535" s="27">
        <f>IFERROR(__xludf.DUMMYFUNCTION("""COMPUTED_VALUE"""),81971073600)</f>
        <v>81971073600</v>
      </c>
      <c r="J535" s="11"/>
      <c r="K535" s="11"/>
      <c r="L535" s="11"/>
      <c r="M535" s="28" t="str">
        <f>IFERROR(__xludf.DUMMYFUNCTION("""COMPUTED_VALUE"""),"3355-4660")</f>
        <v>3355-4660</v>
      </c>
      <c r="N535" s="11" t="str">
        <f>IFERROR(__xludf.DUMMYFUNCTION("""COMPUTED_VALUE"""),"pmfreitas@gmal.com / pmfreitas72@gmail.com")</f>
        <v>pmfreitas@gmal.com / pmfreitas72@gmail.com</v>
      </c>
      <c r="O535" s="29">
        <f>IFERROR(__xludf.DUMMYFUNCTION("""COMPUTED_VALUE"""),2389759408)</f>
        <v>2389759408</v>
      </c>
      <c r="P535" s="30" t="str">
        <f>IFERROR(__xludf.DUMMYFUNCTION("""COMPUTED_VALUE"""),"204322968530006")</f>
        <v>204322968530006</v>
      </c>
      <c r="Q535" s="30" t="str">
        <f>IFERROR(__xludf.DUMMYFUNCTION("""COMPUTED_VALUE"""),"3006468")</f>
        <v>3006468</v>
      </c>
      <c r="R535" s="30" t="str">
        <f>IFERROR(__xludf.DUMMYFUNCTION("""COMPUTED_VALUE"""),"0000154903")</f>
        <v>0000154903</v>
      </c>
      <c r="S535" s="30" t="str">
        <f>IFERROR(__xludf.DUMMYFUNCTION("""COMPUTED_VALUE"""),"1")</f>
        <v>1</v>
      </c>
      <c r="T535" s="30" t="str">
        <f>IFERROR(__xludf.DUMMYFUNCTION("""COMPUTED_VALUE"""),"223565")</f>
        <v>223565</v>
      </c>
      <c r="U535" s="31" t="str">
        <f>IFERROR(__xludf.DUMMYFUNCTION("""COMPUTED_VALUE"""),"2235")</f>
        <v>2235</v>
      </c>
      <c r="V535" s="11"/>
      <c r="W535" s="11">
        <f>IFERROR(__xludf.DUMMYFUNCTION("""COMPUTED_VALUE"""),8134263600)</f>
        <v>8134263600</v>
      </c>
      <c r="X535" s="11">
        <f>IFERROR(__xludf.DUMMYFUNCTION("""COMPUTED_VALUE"""),8186279278)</f>
        <v>8186279278</v>
      </c>
      <c r="Y535" s="11">
        <f>IFERROR(__xludf.DUMMYFUNCTION("""COMPUTED_VALUE"""),2389759408)</f>
        <v>2389759408</v>
      </c>
      <c r="Z535" s="11"/>
    </row>
    <row r="536" customHeight="1" spans="1:26">
      <c r="A536" s="11" t="str">
        <f>IFERROR(__xludf.DUMMYFUNCTION("""COMPUTED_VALUE"""),"ADRIANA M. AYRES DA C.DE MELO")</f>
        <v>ADRIANA M. AYRES DA C.DE MELO</v>
      </c>
      <c r="B536" s="11"/>
      <c r="C536" s="11"/>
      <c r="D536" s="11" t="str">
        <f>IFERROR(__xludf.DUMMYFUNCTION("""COMPUTED_VALUE"""),"Dentista")</f>
        <v>Dentista</v>
      </c>
      <c r="E536" s="11" t="str">
        <f>IFERROR(__xludf.DUMMYFUNCTION("""COMPUTED_VALUE"""),"VII")</f>
        <v>VII</v>
      </c>
      <c r="F536" s="11" t="str">
        <f>IFERROR(__xludf.DUMMYFUNCTION("""COMPUTED_VALUE"""),"US_324 USF ALTO JOSE BONIFACIO / ALCIDES CODECEIRA")</f>
        <v>US_324 USF ALTO JOSE BONIFACIO / ALCIDES CODECEIRA</v>
      </c>
      <c r="G536" s="11" t="str">
        <f>IFERROR(__xludf.DUMMYFUNCTION("""COMPUTED_VALUE"""),"US 324 USF ALTO JOSE BONIFACIO")</f>
        <v>US 324 USF ALTO JOSE BONIFACIO</v>
      </c>
      <c r="H536" s="27">
        <f>IFERROR(__xludf.DUMMYFUNCTION("""COMPUTED_VALUE"""),81999669461)</f>
        <v>81999669461</v>
      </c>
      <c r="I536" s="11"/>
      <c r="J536" s="11"/>
      <c r="K536" s="11"/>
      <c r="L536" s="11"/>
      <c r="M536" s="28" t="str">
        <f>IFERROR(__xludf.DUMMYFUNCTION("""COMPUTED_VALUE"""),"3355-6074")</f>
        <v>3355-6074</v>
      </c>
      <c r="N536" s="11" t="str">
        <f>IFERROR(__xludf.DUMMYFUNCTION("""COMPUTED_VALUE"""),"adrianamariamelo@hotmail.com")</f>
        <v>adrianamariamelo@hotmail.com</v>
      </c>
      <c r="O536" s="29">
        <f>IFERROR(__xludf.DUMMYFUNCTION("""COMPUTED_VALUE"""),21624054404)</f>
        <v>21624054404</v>
      </c>
      <c r="P536" s="30" t="str">
        <f>IFERROR(__xludf.DUMMYFUNCTION("""COMPUTED_VALUE"""),"200353703130008")</f>
        <v>200353703130008</v>
      </c>
      <c r="Q536" s="30" t="str">
        <f>IFERROR(__xludf.DUMMYFUNCTION("""COMPUTED_VALUE"""),"3371336")</f>
        <v>3371336</v>
      </c>
      <c r="R536" s="30" t="str">
        <f>IFERROR(__xludf.DUMMYFUNCTION("""COMPUTED_VALUE"""),"0001755501")</f>
        <v>0001755501</v>
      </c>
      <c r="S536" s="30" t="str">
        <f>IFERROR(__xludf.DUMMYFUNCTION("""COMPUTED_VALUE"""),"1")</f>
        <v>1</v>
      </c>
      <c r="T536" s="30" t="str">
        <f>IFERROR(__xludf.DUMMYFUNCTION("""COMPUTED_VALUE"""),"223293")</f>
        <v>223293</v>
      </c>
      <c r="U536" s="31">
        <f>IFERROR(__xludf.DUMMYFUNCTION("""COMPUTED_VALUE"""),2232)</f>
        <v>2232</v>
      </c>
      <c r="V536" s="11"/>
      <c r="W536" s="11"/>
      <c r="X536" s="11"/>
      <c r="Y536" s="11"/>
      <c r="Z536" s="11"/>
    </row>
    <row r="537" customHeight="1" spans="1:26">
      <c r="A537" s="11" t="str">
        <f>IFERROR(__xludf.DUMMYFUNCTION("""COMPUTED_VALUE"""),"JULIANA TIMES RIBEIRO")</f>
        <v>JULIANA TIMES RIBEIRO</v>
      </c>
      <c r="B537" s="11"/>
      <c r="C537" s="11"/>
      <c r="D537" s="11" t="str">
        <f>IFERROR(__xludf.DUMMYFUNCTION("""COMPUTED_VALUE"""),"Dentista")</f>
        <v>Dentista</v>
      </c>
      <c r="E537" s="11" t="str">
        <f>IFERROR(__xludf.DUMMYFUNCTION("""COMPUTED_VALUE"""),"II")</f>
        <v>II</v>
      </c>
      <c r="F537" s="11" t="str">
        <f>IFERROR(__xludf.DUMMYFUNCTION("""COMPUTED_VALUE"""),"US_244 USF PROFESSOR ANTONIO FRANCISCO AREIA/ PEIXINHOS/SARAMANDAIA")</f>
        <v>US_244 USF PROFESSOR ANTONIO FRANCISCO AREIA/ PEIXINHOS/SARAMANDAIA</v>
      </c>
      <c r="G537" s="11" t="str">
        <f>IFERROR(__xludf.DUMMYFUNCTION("""COMPUTED_VALUE"""),"US 244 USF PROF ANTONIO FRANCISCO AREIAS")</f>
        <v>US 244 USF PROF ANTONIO FRANCISCO AREIAS</v>
      </c>
      <c r="H537" s="27">
        <f>IFERROR(__xludf.DUMMYFUNCTION("""COMPUTED_VALUE"""),81992725354)</f>
        <v>81992725354</v>
      </c>
      <c r="I537" s="11"/>
      <c r="J537" s="11"/>
      <c r="K537" s="11"/>
      <c r="L537" s="11"/>
      <c r="M537" s="28" t="str">
        <f>IFERROR(__xludf.DUMMYFUNCTION("""COMPUTED_VALUE"""),"3355-6212")</f>
        <v>3355-6212</v>
      </c>
      <c r="N537" s="11" t="str">
        <f>IFERROR(__xludf.DUMMYFUNCTION("""COMPUTED_VALUE"""),"julianatimes@hotmail.com")</f>
        <v>julianatimes@hotmail.com</v>
      </c>
      <c r="O537" s="29">
        <f>IFERROR(__xludf.DUMMYFUNCTION("""COMPUTED_VALUE"""),917728424)</f>
        <v>917728424</v>
      </c>
      <c r="P537" s="30" t="str">
        <f>IFERROR(__xludf.DUMMYFUNCTION("""COMPUTED_VALUE"""),"201533443980003	")</f>
        <v>201533443980003	</v>
      </c>
      <c r="Q537" s="30" t="str">
        <f>IFERROR(__xludf.DUMMYFUNCTION("""COMPUTED_VALUE"""),"0022268")</f>
        <v>0022268</v>
      </c>
      <c r="R537" s="30" t="str">
        <f>IFERROR(__xludf.DUMMYFUNCTION("""COMPUTED_VALUE"""),"0001728113")</f>
        <v>0001728113</v>
      </c>
      <c r="S537" s="30" t="str">
        <f>IFERROR(__xludf.DUMMYFUNCTION("""COMPUTED_VALUE"""),"1")</f>
        <v>1</v>
      </c>
      <c r="T537" s="30" t="str">
        <f>IFERROR(__xludf.DUMMYFUNCTION("""COMPUTED_VALUE"""),"223293")</f>
        <v>223293</v>
      </c>
      <c r="U537" s="31">
        <f>IFERROR(__xludf.DUMMYFUNCTION("""COMPUTED_VALUE"""),2232)</f>
        <v>2232</v>
      </c>
      <c r="V537" s="11"/>
      <c r="W537" s="11"/>
      <c r="X537" s="11"/>
      <c r="Y537" s="11"/>
      <c r="Z537" s="11"/>
    </row>
    <row r="538" customHeight="1" spans="1:26">
      <c r="A538" s="11" t="str">
        <f>IFERROR(__xludf.DUMMYFUNCTION("""COMPUTED_VALUE"""),"BEATRIZ BARBOSA SILVA XAVIER")</f>
        <v>BEATRIZ BARBOSA SILVA XAVIER</v>
      </c>
      <c r="B538" s="11"/>
      <c r="C538" s="11"/>
      <c r="D538" s="11" t="str">
        <f>IFERROR(__xludf.DUMMYFUNCTION("""COMPUTED_VALUE"""),"Dentista")</f>
        <v>Dentista</v>
      </c>
      <c r="E538" s="11" t="str">
        <f>IFERROR(__xludf.DUMMYFUNCTION("""COMPUTED_VALUE"""),"II")</f>
        <v>II</v>
      </c>
      <c r="F538" s="11" t="str">
        <f>IFERROR(__xludf.DUMMYFUNCTION("""COMPUTED_VALUE"""),"US_276 USF UPINHA DIA ALTO DO PASCOAL	")</f>
        <v>US_276 USF UPINHA DIA ALTO DO PASCOAL	</v>
      </c>
      <c r="G538" s="11" t="str">
        <f>IFERROR(__xludf.DUMMYFUNCTION("""COMPUTED_VALUE"""),"US 138 USF DR LUIZ WILSOM")</f>
        <v>US 138 USF DR LUIZ WILSOM</v>
      </c>
      <c r="H538" s="27">
        <f>IFERROR(__xludf.DUMMYFUNCTION("""COMPUTED_VALUE"""),81999610306)</f>
        <v>81999610306</v>
      </c>
      <c r="I538" s="11"/>
      <c r="J538" s="11"/>
      <c r="K538" s="11"/>
      <c r="L538" s="11"/>
      <c r="M538" s="28" t="str">
        <f>IFERROR(__xludf.DUMMYFUNCTION("""COMPUTED_VALUE"""),"3355-3165")</f>
        <v>3355-3165</v>
      </c>
      <c r="N538" s="11" t="str">
        <f>IFERROR(__xludf.DUMMYFUNCTION("""COMPUTED_VALUE"""),"beatrizxavier2005@hotmail.com")</f>
        <v>beatrizxavier2005@hotmail.com</v>
      </c>
      <c r="O538" s="29">
        <f>IFERROR(__xludf.DUMMYFUNCTION("""COMPUTED_VALUE"""),45973636453)</f>
        <v>45973636453</v>
      </c>
      <c r="P538" s="30" t="str">
        <f>IFERROR(__xludf.DUMMYFUNCTION("""COMPUTED_VALUE"""),"706704535519614	")</f>
        <v>706704535519614	</v>
      </c>
      <c r="Q538" s="30" t="str">
        <f>IFERROR(__xludf.DUMMYFUNCTION("""COMPUTED_VALUE"""),"0000876")</f>
        <v>0000876</v>
      </c>
      <c r="R538" s="30" t="str">
        <f>IFERROR(__xludf.DUMMYFUNCTION("""COMPUTED_VALUE"""),"0001887254")</f>
        <v>0001887254</v>
      </c>
      <c r="S538" s="30" t="str">
        <f>IFERROR(__xludf.DUMMYFUNCTION("""COMPUTED_VALUE"""),"1")</f>
        <v>1</v>
      </c>
      <c r="T538" s="30" t="str">
        <f>IFERROR(__xludf.DUMMYFUNCTION("""COMPUTED_VALUE"""),"223293")</f>
        <v>223293</v>
      </c>
      <c r="U538" s="31">
        <f>IFERROR(__xludf.DUMMYFUNCTION("""COMPUTED_VALUE"""),2232)</f>
        <v>2232</v>
      </c>
      <c r="V538" s="11"/>
      <c r="W538" s="11"/>
      <c r="X538" s="11"/>
      <c r="Y538" s="11"/>
      <c r="Z538" s="11"/>
    </row>
    <row r="539" customHeight="1" spans="1:26">
      <c r="A539" s="11" t="str">
        <f>IFERROR(__xludf.DUMMYFUNCTION("""COMPUTED_VALUE"""),"Mariana Kelly Barbosa Melo")</f>
        <v>Mariana Kelly Barbosa Melo</v>
      </c>
      <c r="B539" s="11"/>
      <c r="C539" s="11"/>
      <c r="D539" s="11" t="str">
        <f>IFERROR(__xludf.DUMMYFUNCTION("""COMPUTED_VALUE"""),"Médica")</f>
        <v>Médica</v>
      </c>
      <c r="E539" s="11" t="str">
        <f>IFERROR(__xludf.DUMMYFUNCTION("""COMPUTED_VALUE"""),"II")</f>
        <v>II</v>
      </c>
      <c r="F539" s="11" t="str">
        <f>IFERROR(__xludf.DUMMYFUNCTION("""COMPUTED_VALUE"""),"")</f>
        <v/>
      </c>
      <c r="G539" s="11" t="str">
        <f>IFERROR(__xludf.DUMMYFUNCTION("""COMPUTED_VALUE"""),"US 155 CS PROF MONTEIRO DE MORAIS")</f>
        <v>US 155 CS PROF MONTEIRO DE MORAIS</v>
      </c>
      <c r="H539" s="27">
        <f>IFERROR(__xludf.DUMMYFUNCTION("""COMPUTED_VALUE"""),81992881836)</f>
        <v>81992881836</v>
      </c>
      <c r="I539" s="11"/>
      <c r="J539" s="11"/>
      <c r="K539" s="24">
        <f>IFERROR(__xludf.DUMMYFUNCTION("""COMPUTED_VALUE"""),45393)</f>
        <v>45393</v>
      </c>
      <c r="L539" s="11"/>
      <c r="M539" s="11"/>
      <c r="N539" s="11"/>
      <c r="O539" s="11"/>
      <c r="P539" s="11"/>
      <c r="Q539" s="11"/>
      <c r="R539" s="11"/>
      <c r="S539" s="11"/>
      <c r="T539" s="11"/>
      <c r="U539" s="11"/>
      <c r="V539" s="11"/>
      <c r="W539" s="11"/>
      <c r="X539" s="11"/>
      <c r="Y539" s="11"/>
      <c r="Z539" s="11"/>
    </row>
    <row r="540" customHeight="1" spans="1:26">
      <c r="A540" s="11" t="str">
        <f>IFERROR(__xludf.DUMMYFUNCTION("""COMPUTED_VALUE"""),"FRANCISCO URIAS NOVAIS 155")</f>
        <v>FRANCISCO URIAS NOVAIS 155</v>
      </c>
      <c r="B540" s="11"/>
      <c r="C540" s="11"/>
      <c r="D540" s="11" t="str">
        <f>IFERROR(__xludf.DUMMYFUNCTION("""COMPUTED_VALUE"""),"Médico eSF")</f>
        <v>Médico eSF</v>
      </c>
      <c r="E540" s="11" t="str">
        <f>IFERROR(__xludf.DUMMYFUNCTION("""COMPUTED_VALUE"""),"II")</f>
        <v>II</v>
      </c>
      <c r="F540" s="11" t="str">
        <f>IFERROR(__xludf.DUMMYFUNCTION("""COMPUTED_VALUE"""),"US_155 CS PROF MONTEIRO DE MORAIS")</f>
        <v>US_155 CS PROF MONTEIRO DE MORAIS</v>
      </c>
      <c r="G540" s="11" t="str">
        <f>IFERROR(__xludf.DUMMYFUNCTION("""COMPUTED_VALUE"""),"US 155 CS PROF MONTEIRO DE MORAIS")</f>
        <v>US 155 CS PROF MONTEIRO DE MORAIS</v>
      </c>
      <c r="H540" s="27">
        <f>IFERROR(__xludf.DUMMYFUNCTION("""COMPUTED_VALUE"""),81996331644)</f>
        <v>81996331644</v>
      </c>
      <c r="I540" s="11"/>
      <c r="J540" s="11"/>
      <c r="K540" s="11"/>
      <c r="L540" s="11"/>
      <c r="M540" s="28" t="str">
        <f>IFERROR(__xludf.DUMMYFUNCTION("""COMPUTED_VALUE"""),"3355-6848")</f>
        <v>3355-6848</v>
      </c>
      <c r="N540" s="11" t="str">
        <f>IFERROR(__xludf.DUMMYFUNCTION("""COMPUTED_VALUE"""),"uriasnovais@globo.com.br / uriasnovais@globo.com")</f>
        <v>uriasnovais@globo.com.br / uriasnovais@globo.com</v>
      </c>
      <c r="O540" s="29">
        <f>IFERROR(__xludf.DUMMYFUNCTION("""COMPUTED_VALUE"""),10071440410)</f>
        <v>10071440410</v>
      </c>
      <c r="P540" s="30" t="str">
        <f>IFERROR(__xludf.DUMMYFUNCTION("""COMPUTED_VALUE"""),"120405664670018")</f>
        <v>120405664670018</v>
      </c>
      <c r="Q540" s="30" t="str">
        <f>IFERROR(__xludf.DUMMYFUNCTION("""COMPUTED_VALUE"""),"0000825")</f>
        <v>0000825</v>
      </c>
      <c r="R540" s="11"/>
      <c r="S540" s="30" t="str">
        <f>IFERROR(__xludf.DUMMYFUNCTION("""COMPUTED_VALUE"""),"1")</f>
        <v>1</v>
      </c>
      <c r="T540" s="30" t="str">
        <f>IFERROR(__xludf.DUMMYFUNCTION("""COMPUTED_VALUE"""),"225125")</f>
        <v>225125</v>
      </c>
      <c r="U540" s="11">
        <f>IFERROR(__xludf.DUMMYFUNCTION("""COMPUTED_VALUE"""),2251)</f>
        <v>2251</v>
      </c>
      <c r="V540" s="11" t="str">
        <f>IFERROR(__xludf.DUMMYFUNCTION("""COMPUTED_VALUE"""),"SIM")</f>
        <v>SIM</v>
      </c>
      <c r="W540" s="11"/>
      <c r="X540" s="11" t="str">
        <f>IFERROR(__xludf.DUMMYFUNCTION("""COMPUTED_VALUE"""),"#N/A")</f>
        <v>#N/A</v>
      </c>
      <c r="Y540" s="11" t="str">
        <f>IFERROR(__xludf.DUMMYFUNCTION("""COMPUTED_VALUE"""),"#N/A")</f>
        <v>#N/A</v>
      </c>
      <c r="Z540" s="11" t="str">
        <f>IFERROR(__xludf.DUMMYFUNCTION("""COMPUTED_VALUE"""),"#N/A")</f>
        <v>#N/A</v>
      </c>
    </row>
    <row r="541" customHeight="1" spans="1:26">
      <c r="A541" s="11" t="str">
        <f>IFERROR(__xludf.DUMMYFUNCTION("""COMPUTED_VALUE"""),"FRANCISCO URIAS NOVAIS 403")</f>
        <v>FRANCISCO URIAS NOVAIS 403</v>
      </c>
      <c r="B541" s="11"/>
      <c r="C541" s="11"/>
      <c r="D541" s="11" t="str">
        <f>IFERROR(__xludf.DUMMYFUNCTION("""COMPUTED_VALUE"""),"Médico eSF")</f>
        <v>Médico eSF</v>
      </c>
      <c r="E541" s="11" t="str">
        <f>IFERROR(__xludf.DUMMYFUNCTION("""COMPUTED_VALUE"""),"II")</f>
        <v>II</v>
      </c>
      <c r="F541" s="11" t="str">
        <f>IFERROR(__xludf.DUMMYFUNCTION("""COMPUTED_VALUE"""),"US_155 CS PROF MONTEIRO DE MORAIS")</f>
        <v>US_155 CS PROF MONTEIRO DE MORAIS</v>
      </c>
      <c r="G541" s="11" t="str">
        <f>IFERROR(__xludf.DUMMYFUNCTION("""COMPUTED_VALUE"""),"US 403 USF UPINHA DIA CHIE")</f>
        <v>US 403 USF UPINHA DIA CHIE</v>
      </c>
      <c r="H541" s="27">
        <f>IFERROR(__xludf.DUMMYFUNCTION("""COMPUTED_VALUE"""),81996331644)</f>
        <v>81996331644</v>
      </c>
      <c r="I541" s="11"/>
      <c r="J541" s="11"/>
      <c r="K541" s="11"/>
      <c r="L541" s="11"/>
      <c r="M541" s="28" t="str">
        <f>IFERROR(__xludf.DUMMYFUNCTION("""COMPUTED_VALUE"""),"3355-6695")</f>
        <v>3355-6695</v>
      </c>
      <c r="N541" s="11" t="str">
        <f>IFERROR(__xludf.DUMMYFUNCTION("""COMPUTED_VALUE"""),"uriasnovais@globo.com.br / uriasnovais@globo.com")</f>
        <v>uriasnovais@globo.com.br / uriasnovais@globo.com</v>
      </c>
      <c r="O541" s="29">
        <f>IFERROR(__xludf.DUMMYFUNCTION("""COMPUTED_VALUE"""),10071440410)</f>
        <v>10071440410</v>
      </c>
      <c r="P541" s="30" t="str">
        <f>IFERROR(__xludf.DUMMYFUNCTION("""COMPUTED_VALUE"""),"120405664670018")</f>
        <v>120405664670018</v>
      </c>
      <c r="Q541" s="30" t="str">
        <f>IFERROR(__xludf.DUMMYFUNCTION("""COMPUTED_VALUE"""),"7992955")</f>
        <v>7992955</v>
      </c>
      <c r="R541" s="30" t="str">
        <f>IFERROR(__xludf.DUMMYFUNCTION("""COMPUTED_VALUE"""),"0000154407")</f>
        <v>0000154407</v>
      </c>
      <c r="S541" s="30" t="str">
        <f>IFERROR(__xludf.DUMMYFUNCTION("""COMPUTED_VALUE"""),"1")</f>
        <v>1</v>
      </c>
      <c r="T541" s="30" t="str">
        <f>IFERROR(__xludf.DUMMYFUNCTION("""COMPUTED_VALUE"""),"225142")</f>
        <v>225142</v>
      </c>
      <c r="U541" s="11">
        <f>IFERROR(__xludf.DUMMYFUNCTION("""COMPUTED_VALUE"""),2251)</f>
        <v>2251</v>
      </c>
      <c r="V541" s="11" t="str">
        <f>IFERROR(__xludf.DUMMYFUNCTION("""COMPUTED_VALUE"""),"SIM")</f>
        <v>SIM</v>
      </c>
      <c r="W541" s="11"/>
      <c r="X541" s="11" t="str">
        <f>IFERROR(__xludf.DUMMYFUNCTION("""COMPUTED_VALUE"""),"#N/A")</f>
        <v>#N/A</v>
      </c>
      <c r="Y541" s="11" t="str">
        <f>IFERROR(__xludf.DUMMYFUNCTION("""COMPUTED_VALUE"""),"#N/A")</f>
        <v>#N/A</v>
      </c>
      <c r="Z541" s="11" t="str">
        <f>IFERROR(__xludf.DUMMYFUNCTION("""COMPUTED_VALUE"""),"#N/A")</f>
        <v>#N/A</v>
      </c>
    </row>
    <row r="542" customHeight="1" spans="1:26">
      <c r="A542" s="11" t="str">
        <f>IFERROR(__xludf.DUMMYFUNCTION("""COMPUTED_VALUE"""),"MARCELO LEITE VALENCA")</f>
        <v>MARCELO LEITE VALENCA</v>
      </c>
      <c r="B542" s="11"/>
      <c r="C542" s="11"/>
      <c r="D542" s="11" t="str">
        <f>IFERROR(__xludf.DUMMYFUNCTION("""COMPUTED_VALUE"""),"Médico eSF")</f>
        <v>Médico eSF</v>
      </c>
      <c r="E542" s="11" t="str">
        <f>IFERROR(__xludf.DUMMYFUNCTION("""COMPUTED_VALUE"""),"II")</f>
        <v>II</v>
      </c>
      <c r="F542" s="11" t="str">
        <f>IFERROR(__xludf.DUMMYFUNCTION("""COMPUTED_VALUE"""),"USF - US 155 USF ALTO DOS COQUEIROS II / BEBERIBE / PROF. MONTEIRO DE MORAIS")</f>
        <v>USF - US 155 USF ALTO DOS COQUEIROS II / BEBERIBE / PROF. MONTEIRO DE MORAIS</v>
      </c>
      <c r="G542" s="11" t="str">
        <f>IFERROR(__xludf.DUMMYFUNCTION("""COMPUTED_VALUE"""),"US 155 CS PROF MONTEIRO DE MORAIS")</f>
        <v>US 155 CS PROF MONTEIRO DE MORAIS</v>
      </c>
      <c r="H542" s="27">
        <f>IFERROR(__xludf.DUMMYFUNCTION("""COMPUTED_VALUE"""),81983275282)</f>
        <v>81983275282</v>
      </c>
      <c r="I542" s="27">
        <f>IFERROR(__xludf.DUMMYFUNCTION("""COMPUTED_VALUE"""),81988180841)</f>
        <v>81988180841</v>
      </c>
      <c r="J542" s="11"/>
      <c r="K542" s="24">
        <f>IFERROR(__xludf.DUMMYFUNCTION("""COMPUTED_VALUE"""),45152)</f>
        <v>45152</v>
      </c>
      <c r="L542" s="11"/>
      <c r="M542" s="28" t="str">
        <f>IFERROR(__xludf.DUMMYFUNCTION("""COMPUTED_VALUE"""),"3355-6848")</f>
        <v>3355-6848</v>
      </c>
      <c r="N542" s="11" t="str">
        <f>IFERROR(__xludf.DUMMYFUNCTION("""COMPUTED_VALUE"""),"marceloleitevalenca2233@gmail.com")</f>
        <v>marceloleitevalenca2233@gmail.com</v>
      </c>
      <c r="O542" s="29">
        <f>IFERROR(__xludf.DUMMYFUNCTION("""COMPUTED_VALUE"""),66660033491)</f>
        <v>66660033491</v>
      </c>
      <c r="P542" s="30" t="str">
        <f>IFERROR(__xludf.DUMMYFUNCTION("""COMPUTED_VALUE"""),"124961541530018")</f>
        <v>124961541530018</v>
      </c>
      <c r="Q542" s="30" t="str">
        <f>IFERROR(__xludf.DUMMYFUNCTION("""COMPUTED_VALUE"""),"0000825")</f>
        <v>0000825</v>
      </c>
      <c r="R542" s="30" t="str">
        <f>IFERROR(__xludf.DUMMYFUNCTION("""COMPUTED_VALUE"""),"0000152609")</f>
        <v>0000152609</v>
      </c>
      <c r="S542" s="30" t="str">
        <f>IFERROR(__xludf.DUMMYFUNCTION("""COMPUTED_VALUE"""),"1")</f>
        <v>1</v>
      </c>
      <c r="T542" s="30" t="str">
        <f>IFERROR(__xludf.DUMMYFUNCTION("""COMPUTED_VALUE"""),"225142")</f>
        <v>225142</v>
      </c>
      <c r="U542" s="11">
        <f>IFERROR(__xludf.DUMMYFUNCTION("""COMPUTED_VALUE"""),2251)</f>
        <v>2251</v>
      </c>
      <c r="V542" s="11"/>
      <c r="W542" s="11"/>
      <c r="X542" s="11">
        <f>IFERROR(__xludf.DUMMYFUNCTION("""COMPUTED_VALUE"""),34271505)</f>
        <v>34271505</v>
      </c>
      <c r="Y542" s="11"/>
      <c r="Z542" s="11">
        <f>IFERROR(__xludf.DUMMYFUNCTION("""COMPUTED_VALUE"""),66660033491)</f>
        <v>66660033491</v>
      </c>
    </row>
    <row r="543" customHeight="1" spans="1:26">
      <c r="A543" s="11" t="str">
        <f>IFERROR(__xludf.DUMMYFUNCTION("""COMPUTED_VALUE"""),"LINDOLFO SIMOES COSTA")</f>
        <v>LINDOLFO SIMOES COSTA</v>
      </c>
      <c r="B543" s="11" t="str">
        <f>IFERROR(__xludf.DUMMYFUNCTION("""COMPUTED_VALUE"""),"RECUSA TELECONSULTORIA")</f>
        <v>RECUSA TELECONSULTORIA</v>
      </c>
      <c r="C543" s="11"/>
      <c r="D543" s="11" t="str">
        <f>IFERROR(__xludf.DUMMYFUNCTION("""COMPUTED_VALUE"""),"Médico eSF")</f>
        <v>Médico eSF</v>
      </c>
      <c r="E543" s="11" t="str">
        <f>IFERROR(__xludf.DUMMYFUNCTION("""COMPUTED_VALUE"""),"III")</f>
        <v>III</v>
      </c>
      <c r="F543" s="11" t="str">
        <f>IFERROR(__xludf.DUMMYFUNCTION("""COMPUTED_VALUE"""),"US_336 USF UNIAO DAS VILAS	")</f>
        <v>US_336 USF UNIAO DAS VILAS	</v>
      </c>
      <c r="G543" s="11" t="str">
        <f>IFERROR(__xludf.DUMMYFUNCTION("""COMPUTED_VALUE"""),"US 336 USF UNIAO DAS VILAS")</f>
        <v>US 336 USF UNIAO DAS VILAS</v>
      </c>
      <c r="H543" s="27">
        <f>IFERROR(__xludf.DUMMYFUNCTION("""COMPUTED_VALUE"""),81986005362)</f>
        <v>81986005362</v>
      </c>
      <c r="I543" s="27">
        <f>IFERROR(__xludf.DUMMYFUNCTION("""COMPUTED_VALUE"""),81997538797)</f>
        <v>81997538797</v>
      </c>
      <c r="J543" s="11"/>
      <c r="K543" s="11"/>
      <c r="L543" s="28" t="str">
        <f>IFERROR(__xludf.DUMMYFUNCTION("""COMPUTED_VALUE"""),"X")</f>
        <v>X</v>
      </c>
      <c r="M543" s="28" t="str">
        <f>IFERROR(__xludf.DUMMYFUNCTION("""COMPUTED_VALUE"""),"3355-6134")</f>
        <v>3355-6134</v>
      </c>
      <c r="N543" s="11" t="str">
        <f>IFERROR(__xludf.DUMMYFUNCTION("""COMPUTED_VALUE"""),"lindolfo.costa@bol.com.br / lindolfo.costa@hotmail.com")</f>
        <v>lindolfo.costa@bol.com.br / lindolfo.costa@hotmail.com</v>
      </c>
      <c r="O543" s="29">
        <f>IFERROR(__xludf.DUMMYFUNCTION("""COMPUTED_VALUE"""),7662319415)</f>
        <v>7662319415</v>
      </c>
      <c r="P543" s="30" t="str">
        <f>IFERROR(__xludf.DUMMYFUNCTION("""COMPUTED_VALUE"""),"980016280958243")</f>
        <v>980016280958243</v>
      </c>
      <c r="Q543" s="30" t="str">
        <f>IFERROR(__xludf.DUMMYFUNCTION("""COMPUTED_VALUE"""),"5139155")</f>
        <v>5139155</v>
      </c>
      <c r="R543" s="30" t="str">
        <f>IFERROR(__xludf.DUMMYFUNCTION("""COMPUTED_VALUE"""),"0000155721")</f>
        <v>0000155721</v>
      </c>
      <c r="S543" s="30" t="str">
        <f>IFERROR(__xludf.DUMMYFUNCTION("""COMPUTED_VALUE"""),"1")</f>
        <v>1</v>
      </c>
      <c r="T543" s="30" t="str">
        <f>IFERROR(__xludf.DUMMYFUNCTION("""COMPUTED_VALUE"""),"225142")</f>
        <v>225142</v>
      </c>
      <c r="U543" s="31" t="str">
        <f>IFERROR(__xludf.DUMMYFUNCTION("""COMPUTED_VALUE"""),"2251")</f>
        <v>2251</v>
      </c>
      <c r="V543" s="11" t="str">
        <f>IFERROR(__xludf.DUMMYFUNCTION("""COMPUTED_VALUE"""),"SIM")</f>
        <v>SIM</v>
      </c>
      <c r="W543" s="11"/>
      <c r="X543" s="11" t="str">
        <f>IFERROR(__xludf.DUMMYFUNCTION("""COMPUTED_VALUE"""),"#N/A")</f>
        <v>#N/A</v>
      </c>
      <c r="Y543" s="11" t="str">
        <f>IFERROR(__xludf.DUMMYFUNCTION("""COMPUTED_VALUE"""),"#N/A")</f>
        <v>#N/A</v>
      </c>
      <c r="Z543" s="11">
        <f>IFERROR(__xludf.DUMMYFUNCTION("""COMPUTED_VALUE"""),7662319415)</f>
        <v>7662319415</v>
      </c>
    </row>
    <row r="544" customHeight="1" spans="1:26">
      <c r="A544" s="11" t="str">
        <f>IFERROR(__xludf.DUMMYFUNCTION("""COMPUTED_VALUE"""),"JULIANA RIQUE")</f>
        <v>JULIANA RIQUE</v>
      </c>
      <c r="B544" s="11"/>
      <c r="C544" s="11"/>
      <c r="D544" s="11" t="str">
        <f>IFERROR(__xludf.DUMMYFUNCTION("""COMPUTED_VALUE"""),"Enfermeira eSF")</f>
        <v>Enfermeira eSF</v>
      </c>
      <c r="E544" s="11" t="str">
        <f>IFERROR(__xludf.DUMMYFUNCTION("""COMPUTED_VALUE"""),"II")</f>
        <v>II</v>
      </c>
      <c r="F544" s="11" t="str">
        <f>IFERROR(__xludf.DUMMYFUNCTION("""COMPUTED_VALUE"""),"US_226 USF CHAO DE ESTRELAS")</f>
        <v>US_226 USF CHAO DE ESTRELAS</v>
      </c>
      <c r="G544" s="11" t="str">
        <f>IFERROR(__xludf.DUMMYFUNCTION("""COMPUTED_VALUE"""),"US 226 USF CHAO DE ESTRELAS")</f>
        <v>US 226 USF CHAO DE ESTRELAS</v>
      </c>
      <c r="H544" s="27">
        <f>IFERROR(__xludf.DUMMYFUNCTION("""COMPUTED_VALUE"""),81986577229)</f>
        <v>81986577229</v>
      </c>
      <c r="I544" s="11"/>
      <c r="J544" s="11"/>
      <c r="K544" s="11"/>
      <c r="L544" s="11"/>
      <c r="M544" s="28" t="str">
        <f>IFERROR(__xludf.DUMMYFUNCTION("""COMPUTED_VALUE"""),"3355-6694")</f>
        <v>3355-6694</v>
      </c>
      <c r="N544" s="11" t="str">
        <f>IFERROR(__xludf.DUMMYFUNCTION("""COMPUTED_VALUE"""),"juliana@rique.com.br / juliana.rique@recife.pe.gov.br")</f>
        <v>juliana@rique.com.br / juliana.rique@recife.pe.gov.br</v>
      </c>
      <c r="O544" s="29">
        <f>IFERROR(__xludf.DUMMYFUNCTION("""COMPUTED_VALUE"""),78209218468)</f>
        <v>78209218468</v>
      </c>
      <c r="P544" s="30" t="str">
        <f>IFERROR(__xludf.DUMMYFUNCTION("""COMPUTED_VALUE"""),"980016283207753")</f>
        <v>980016283207753</v>
      </c>
      <c r="Q544" s="30" t="str">
        <f>IFERROR(__xludf.DUMMYFUNCTION("""COMPUTED_VALUE"""),"0022233")</f>
        <v>0022233</v>
      </c>
      <c r="R544" s="30" t="str">
        <f>IFERROR(__xludf.DUMMYFUNCTION("""COMPUTED_VALUE"""),"0000152757")</f>
        <v>0000152757</v>
      </c>
      <c r="S544" s="30" t="str">
        <f>IFERROR(__xludf.DUMMYFUNCTION("""COMPUTED_VALUE"""),"1")</f>
        <v>1</v>
      </c>
      <c r="T544" s="30" t="str">
        <f>IFERROR(__xludf.DUMMYFUNCTION("""COMPUTED_VALUE"""),"223565")</f>
        <v>223565</v>
      </c>
      <c r="U544" s="31" t="str">
        <f>IFERROR(__xludf.DUMMYFUNCTION("""COMPUTED_VALUE"""),"2235")</f>
        <v>2235</v>
      </c>
      <c r="V544" s="11"/>
      <c r="W544" s="11">
        <f>IFERROR(__xludf.DUMMYFUNCTION("""COMPUTED_VALUE"""),8186577229)</f>
        <v>8186577229</v>
      </c>
      <c r="X544" s="11"/>
      <c r="Y544" s="11">
        <f>IFERROR(__xludf.DUMMYFUNCTION("""COMPUTED_VALUE"""),78209218468)</f>
        <v>78209218468</v>
      </c>
      <c r="Z544" s="11"/>
    </row>
    <row r="545" customHeight="1" spans="1:26">
      <c r="A545" s="11" t="str">
        <f>IFERROR(__xludf.DUMMYFUNCTION("""COMPUTED_VALUE"""),"INGRID OLIVEIRA JUNG BATISTA")</f>
        <v>INGRID OLIVEIRA JUNG BATISTA</v>
      </c>
      <c r="B545" s="11"/>
      <c r="C545" s="11"/>
      <c r="D545" s="11" t="str">
        <f>IFERROR(__xludf.DUMMYFUNCTION("""COMPUTED_VALUE"""),"Médica eSF")</f>
        <v>Médica eSF</v>
      </c>
      <c r="E545" s="11" t="str">
        <f>IFERROR(__xludf.DUMMYFUNCTION("""COMPUTED_VALUE"""),"II")</f>
        <v>II</v>
      </c>
      <c r="F545" s="11" t="str">
        <f>IFERROR(__xludf.DUMMYFUNCTION("""COMPUTED_VALUE"""),"US_262 USF JOSE SEVERIANO DA SILVA/CAMPO GRANDE/CAPILE/CANAL ARRUDA")</f>
        <v>US_262 USF JOSE SEVERIANO DA SILVA/CAMPO GRANDE/CAPILE/CANAL ARRUDA</v>
      </c>
      <c r="G545" s="11" t="str">
        <f>IFERROR(__xludf.DUMMYFUNCTION("""COMPUTED_VALUE"""),"US 262 USF JOSE SEVERIANO DA SILVA")</f>
        <v>US 262 USF JOSE SEVERIANO DA SILVA</v>
      </c>
      <c r="H545" s="27">
        <f>IFERROR(__xludf.DUMMYFUNCTION("""COMPUTED_VALUE"""),81995839020)</f>
        <v>81995839020</v>
      </c>
      <c r="I545" s="11"/>
      <c r="J545" s="11"/>
      <c r="K545" s="11"/>
      <c r="L545" s="28" t="str">
        <f>IFERROR(__xludf.DUMMYFUNCTION("""COMPUTED_VALUE"""),"RECUSA EDA")</f>
        <v>RECUSA EDA</v>
      </c>
      <c r="M545" s="28" t="str">
        <f>IFERROR(__xludf.DUMMYFUNCTION("""COMPUTED_VALUE"""),"3355-6170")</f>
        <v>3355-6170</v>
      </c>
      <c r="N545" s="11" t="str">
        <f>IFERROR(__xludf.DUMMYFUNCTION("""COMPUTED_VALUE"""),"ingrid_ojb@hotmail.com")</f>
        <v>ingrid_ojb@hotmail.com</v>
      </c>
      <c r="O545" s="29">
        <f>IFERROR(__xludf.DUMMYFUNCTION("""COMPUTED_VALUE"""),2965260455)</f>
        <v>2965260455</v>
      </c>
      <c r="P545" s="30" t="str">
        <f>IFERROR(__xludf.DUMMYFUNCTION("""COMPUTED_VALUE"""),"704105119994675")</f>
        <v>704105119994675</v>
      </c>
      <c r="Q545" s="30" t="str">
        <f>IFERROR(__xludf.DUMMYFUNCTION("""COMPUTED_VALUE"""),"0026328")</f>
        <v>0026328</v>
      </c>
      <c r="R545" s="30" t="str">
        <f>IFERROR(__xludf.DUMMYFUNCTION("""COMPUTED_VALUE"""),"0000154253")</f>
        <v>0000154253</v>
      </c>
      <c r="S545" s="30" t="str">
        <f>IFERROR(__xludf.DUMMYFUNCTION("""COMPUTED_VALUE"""),"1")</f>
        <v>1</v>
      </c>
      <c r="T545" s="30" t="str">
        <f>IFERROR(__xludf.DUMMYFUNCTION("""COMPUTED_VALUE"""),"225142")</f>
        <v>225142</v>
      </c>
      <c r="U545" s="11">
        <f>IFERROR(__xludf.DUMMYFUNCTION("""COMPUTED_VALUE"""),2251)</f>
        <v>2251</v>
      </c>
      <c r="V545" s="11"/>
      <c r="W545" s="11"/>
      <c r="X545" s="11" t="str">
        <f>IFERROR(__xludf.DUMMYFUNCTION("""COMPUTED_VALUE"""),"#N/A")</f>
        <v>#N/A</v>
      </c>
      <c r="Y545" s="11" t="str">
        <f>IFERROR(__xludf.DUMMYFUNCTION("""COMPUTED_VALUE"""),"#N/A")</f>
        <v>#N/A</v>
      </c>
      <c r="Z545" s="11" t="str">
        <f>IFERROR(__xludf.DUMMYFUNCTION("""COMPUTED_VALUE"""),"#N/A")</f>
        <v>#N/A</v>
      </c>
    </row>
    <row r="546" customHeight="1" spans="1:26">
      <c r="A546" s="11" t="str">
        <f>IFERROR(__xludf.DUMMYFUNCTION("""COMPUTED_VALUE"""),"CAROLINE RAFAEL NOVAES")</f>
        <v>CAROLINE RAFAEL NOVAES</v>
      </c>
      <c r="B546" s="11"/>
      <c r="C546" s="11"/>
      <c r="D546" s="11" t="str">
        <f>IFERROR(__xludf.DUMMYFUNCTION("""COMPUTED_VALUE"""),"Enfermeira eSF")</f>
        <v>Enfermeira eSF</v>
      </c>
      <c r="E546" s="11" t="str">
        <f>IFERROR(__xludf.DUMMYFUNCTION("""COMPUTED_VALUE"""),"IV")</f>
        <v>IV</v>
      </c>
      <c r="F546" s="11" t="str">
        <f>IFERROR(__xludf.DUMMYFUNCTION("""COMPUTED_VALUE"""),"US_184 USF VILA UNIAO / AIRTON SENA")</f>
        <v>US_184 USF VILA UNIAO / AIRTON SENA</v>
      </c>
      <c r="G546" s="11" t="str">
        <f>IFERROR(__xludf.DUMMYFUNCTION("""COMPUTED_VALUE"""),"US 184 USF VILA UNIAO")</f>
        <v>US 184 USF VILA UNIAO</v>
      </c>
      <c r="H546" s="27">
        <f>IFERROR(__xludf.DUMMYFUNCTION("""COMPUTED_VALUE"""),81988993529)</f>
        <v>81988993529</v>
      </c>
      <c r="I546" s="11"/>
      <c r="J546" s="11"/>
      <c r="K546" s="11"/>
      <c r="L546" s="11"/>
      <c r="M546" s="28" t="str">
        <f>IFERROR(__xludf.DUMMYFUNCTION("""COMPUTED_VALUE"""),"3355-4716")</f>
        <v>3355-4716</v>
      </c>
      <c r="N546" s="11" t="str">
        <f>IFERROR(__xludf.DUMMYFUNCTION("""COMPUTED_VALUE"""),"carolinenovaes@yahoo.com.br")</f>
        <v>carolinenovaes@yahoo.com.br</v>
      </c>
      <c r="O546" s="29">
        <f>IFERROR(__xludf.DUMMYFUNCTION("""COMPUTED_VALUE"""),5204926410)</f>
        <v>5204926410</v>
      </c>
      <c r="P546" s="30" t="str">
        <f>IFERROR(__xludf.DUMMYFUNCTION("""COMPUTED_VALUE"""),"980016284097307")</f>
        <v>980016284097307</v>
      </c>
      <c r="Q546" s="30" t="str">
        <f>IFERROR(__xludf.DUMMYFUNCTION("""COMPUTED_VALUE"""),"0001511")</f>
        <v>0001511</v>
      </c>
      <c r="R546" s="30" t="str">
        <f>IFERROR(__xludf.DUMMYFUNCTION("""COMPUTED_VALUE"""),"0000153311")</f>
        <v>0000153311</v>
      </c>
      <c r="S546" s="30" t="str">
        <f>IFERROR(__xludf.DUMMYFUNCTION("""COMPUTED_VALUE"""),"1")</f>
        <v>1</v>
      </c>
      <c r="T546" s="30" t="str">
        <f>IFERROR(__xludf.DUMMYFUNCTION("""COMPUTED_VALUE"""),"223565")</f>
        <v>223565</v>
      </c>
      <c r="U546" s="31" t="str">
        <f>IFERROR(__xludf.DUMMYFUNCTION("""COMPUTED_VALUE"""),"2235")</f>
        <v>2235</v>
      </c>
      <c r="V546" s="11"/>
      <c r="W546" s="11">
        <f>IFERROR(__xludf.DUMMYFUNCTION("""COMPUTED_VALUE"""),8188993529)</f>
        <v>8188993529</v>
      </c>
      <c r="X546" s="11"/>
      <c r="Y546" s="11">
        <f>IFERROR(__xludf.DUMMYFUNCTION("""COMPUTED_VALUE"""),5204926410)</f>
        <v>5204926410</v>
      </c>
      <c r="Z546" s="11"/>
    </row>
    <row r="547" customHeight="1" spans="1:26">
      <c r="A547" s="11" t="str">
        <f>IFERROR(__xludf.DUMMYFUNCTION("""COMPUTED_VALUE"""),"ADALGIZA CARNEIRO FURTADO DOS SANTOS")</f>
        <v>ADALGIZA CARNEIRO FURTADO DOS SANTOS</v>
      </c>
      <c r="B547" s="11"/>
      <c r="C547" s="11"/>
      <c r="D547" s="11" t="str">
        <f>IFERROR(__xludf.DUMMYFUNCTION("""COMPUTED_VALUE"""),"Enfermeira eSF")</f>
        <v>Enfermeira eSF</v>
      </c>
      <c r="E547" s="11" t="str">
        <f>IFERROR(__xludf.DUMMYFUNCTION("""COMPUTED_VALUE"""),"II")</f>
        <v>II</v>
      </c>
      <c r="F547" s="11" t="str">
        <f>IFERROR(__xludf.DUMMYFUNCTION("""COMPUTED_VALUE"""),"US_226 USF CHAO DE ESTRELAS")</f>
        <v>US_226 USF CHAO DE ESTRELAS</v>
      </c>
      <c r="G547" s="11" t="str">
        <f>IFERROR(__xludf.DUMMYFUNCTION("""COMPUTED_VALUE"""),"US 226 USF CHAO DE ESTRELAS")</f>
        <v>US 226 USF CHAO DE ESTRELAS</v>
      </c>
      <c r="H547" s="27">
        <f>IFERROR(__xludf.DUMMYFUNCTION("""COMPUTED_VALUE"""),81988510818)</f>
        <v>81988510818</v>
      </c>
      <c r="I547" s="11"/>
      <c r="J547" s="11"/>
      <c r="K547" s="11"/>
      <c r="L547" s="11"/>
      <c r="M547" s="28" t="str">
        <f>IFERROR(__xludf.DUMMYFUNCTION("""COMPUTED_VALUE"""),"3355-6694")</f>
        <v>3355-6694</v>
      </c>
      <c r="N547" s="11" t="str">
        <f>IFERROR(__xludf.DUMMYFUNCTION("""COMPUTED_VALUE"""),"adalgizafurtado@terra.com.br")</f>
        <v>adalgizafurtado@terra.com.br</v>
      </c>
      <c r="O547" s="29">
        <f>IFERROR(__xludf.DUMMYFUNCTION("""COMPUTED_VALUE"""),69190232372)</f>
        <v>69190232372</v>
      </c>
      <c r="P547" s="30" t="str">
        <f>IFERROR(__xludf.DUMMYFUNCTION("""COMPUTED_VALUE"""),"129988124590008")</f>
        <v>129988124590008</v>
      </c>
      <c r="Q547" s="30" t="str">
        <f>IFERROR(__xludf.DUMMYFUNCTION("""COMPUTED_VALUE"""),"0022233")</f>
        <v>0022233</v>
      </c>
      <c r="R547" s="30" t="str">
        <f>IFERROR(__xludf.DUMMYFUNCTION("""COMPUTED_VALUE"""),"0000153648")</f>
        <v>0000153648</v>
      </c>
      <c r="S547" s="30" t="str">
        <f>IFERROR(__xludf.DUMMYFUNCTION("""COMPUTED_VALUE"""),"1")</f>
        <v>1</v>
      </c>
      <c r="T547" s="30" t="str">
        <f>IFERROR(__xludf.DUMMYFUNCTION("""COMPUTED_VALUE"""),"223565")</f>
        <v>223565</v>
      </c>
      <c r="U547" s="31" t="str">
        <f>IFERROR(__xludf.DUMMYFUNCTION("""COMPUTED_VALUE"""),"2235")</f>
        <v>2235</v>
      </c>
      <c r="V547" s="11"/>
      <c r="W547" s="11">
        <f>IFERROR(__xludf.DUMMYFUNCTION("""COMPUTED_VALUE"""),8188510818)</f>
        <v>8188510818</v>
      </c>
      <c r="X547" s="11">
        <f>IFERROR(__xludf.DUMMYFUNCTION("""COMPUTED_VALUE"""),8134274651)</f>
        <v>8134274651</v>
      </c>
      <c r="Y547" s="11">
        <f>IFERROR(__xludf.DUMMYFUNCTION("""COMPUTED_VALUE"""),69190232372)</f>
        <v>69190232372</v>
      </c>
      <c r="Z547" s="11"/>
    </row>
    <row r="548" customHeight="1" spans="1:26">
      <c r="A548" s="11" t="str">
        <f>IFERROR(__xludf.DUMMYFUNCTION("""COMPUTED_VALUE"""),"POLLYANA DAVID DE SOUZA OLIVEIRA")</f>
        <v>POLLYANA DAVID DE SOUZA OLIVEIRA</v>
      </c>
      <c r="B548" s="11"/>
      <c r="C548" s="11"/>
      <c r="D548" s="11" t="str">
        <f>IFERROR(__xludf.DUMMYFUNCTION("""COMPUTED_VALUE"""),"Médica eSF")</f>
        <v>Médica eSF</v>
      </c>
      <c r="E548" s="11" t="str">
        <f>IFERROR(__xludf.DUMMYFUNCTION("""COMPUTED_VALUE"""),"II")</f>
        <v>II</v>
      </c>
      <c r="F548" s="11" t="str">
        <f>IFERROR(__xludf.DUMMYFUNCTION("""COMPUTED_VALUE"""),"US_273 USF BIANOR TEODOSIO")</f>
        <v>US_273 USF BIANOR TEODOSIO</v>
      </c>
      <c r="G548" s="11" t="str">
        <f>IFERROR(__xludf.DUMMYFUNCTION("""COMPUTED_VALUE"""),"US 273 USF BIANOR TEODOSIO")</f>
        <v>US 273 USF BIANOR TEODOSIO</v>
      </c>
      <c r="H548" s="27">
        <f>IFERROR(__xludf.DUMMYFUNCTION("""COMPUTED_VALUE"""),81996498714)</f>
        <v>81996498714</v>
      </c>
      <c r="I548" s="11"/>
      <c r="J548" s="11"/>
      <c r="K548" s="11"/>
      <c r="L548" s="11"/>
      <c r="M548" s="28" t="str">
        <f>IFERROR(__xludf.DUMMYFUNCTION("""COMPUTED_VALUE"""),"3355-6094")</f>
        <v>3355-6094</v>
      </c>
      <c r="N548" s="11" t="str">
        <f>IFERROR(__xludf.DUMMYFUNCTION("""COMPUTED_VALUE"""),"polly_so@hotmail.com")</f>
        <v>polly_so@hotmail.com</v>
      </c>
      <c r="O548" s="29">
        <f>IFERROR(__xludf.DUMMYFUNCTION("""COMPUTED_VALUE"""),6478797430)</f>
        <v>6478797430</v>
      </c>
      <c r="P548" s="30" t="str">
        <f>IFERROR(__xludf.DUMMYFUNCTION("""COMPUTED_VALUE"""),"980016287995713")</f>
        <v>980016287995713</v>
      </c>
      <c r="Q548" s="30" t="str">
        <f>IFERROR(__xludf.DUMMYFUNCTION("""COMPUTED_VALUE"""),"0028088")</f>
        <v>0028088</v>
      </c>
      <c r="R548" s="30" t="str">
        <f>IFERROR(__xludf.DUMMYFUNCTION("""COMPUTED_VALUE"""),"0000154474")</f>
        <v>0000154474</v>
      </c>
      <c r="S548" s="30" t="str">
        <f>IFERROR(__xludf.DUMMYFUNCTION("""COMPUTED_VALUE"""),"1")</f>
        <v>1</v>
      </c>
      <c r="T548" s="30" t="str">
        <f>IFERROR(__xludf.DUMMYFUNCTION("""COMPUTED_VALUE"""),"225142")</f>
        <v>225142</v>
      </c>
      <c r="U548" s="11">
        <f>IFERROR(__xludf.DUMMYFUNCTION("""COMPUTED_VALUE"""),2251)</f>
        <v>2251</v>
      </c>
      <c r="V548" s="11" t="str">
        <f>IFERROR(__xludf.DUMMYFUNCTION("""COMPUTED_VALUE"""),"SIM")</f>
        <v>SIM</v>
      </c>
      <c r="W548" s="11"/>
      <c r="X548" s="11" t="str">
        <f>IFERROR(__xludf.DUMMYFUNCTION("""COMPUTED_VALUE"""),"#N/A")</f>
        <v>#N/A</v>
      </c>
      <c r="Y548" s="11" t="str">
        <f>IFERROR(__xludf.DUMMYFUNCTION("""COMPUTED_VALUE"""),"#N/A")</f>
        <v>#N/A</v>
      </c>
      <c r="Z548" s="11" t="str">
        <f>IFERROR(__xludf.DUMMYFUNCTION("""COMPUTED_VALUE"""),"#N/A")</f>
        <v>#N/A</v>
      </c>
    </row>
    <row r="549" customHeight="1" spans="1:26">
      <c r="A549" s="11" t="str">
        <f>IFERROR(__xludf.DUMMYFUNCTION("""COMPUTED_VALUE"""),"RONALDO DANTAS LINS FILGUEIRA")</f>
        <v>RONALDO DANTAS LINS FILGUEIRA</v>
      </c>
      <c r="B549" s="11"/>
      <c r="C549" s="11"/>
      <c r="D549" s="11" t="str">
        <f>IFERROR(__xludf.DUMMYFUNCTION("""COMPUTED_VALUE"""),"Médico eSF")</f>
        <v>Médico eSF</v>
      </c>
      <c r="E549" s="11" t="str">
        <f>IFERROR(__xludf.DUMMYFUNCTION("""COMPUTED_VALUE"""),"II")</f>
        <v>II</v>
      </c>
      <c r="F549" s="11" t="str">
        <f>IFERROR(__xludf.DUMMYFUNCTION("""COMPUTED_VALUE"""),"US_335 CAPS AD ESTACAO VICENTE ARAUJO")</f>
        <v>US_335 CAPS AD ESTACAO VICENTE ARAUJO</v>
      </c>
      <c r="G549" s="11" t="str">
        <f>IFERROR(__xludf.DUMMYFUNCTION("""COMPUTED_VALUE"""),"US 221 USF ILHA DE JOANEIRO")</f>
        <v>US 221 USF ILHA DE JOANEIRO</v>
      </c>
      <c r="H549" s="27">
        <f>IFERROR(__xludf.DUMMYFUNCTION("""COMPUTED_VALUE"""),81996348798)</f>
        <v>81996348798</v>
      </c>
      <c r="I549" s="27">
        <f>IFERROR(__xludf.DUMMYFUNCTION("""COMPUTED_VALUE"""),81999648798)</f>
        <v>81999648798</v>
      </c>
      <c r="J549" s="11"/>
      <c r="K549" s="11"/>
      <c r="L549" s="11"/>
      <c r="M549" s="28" t="str">
        <f>IFERROR(__xludf.DUMMYFUNCTION("""COMPUTED_VALUE"""),"3355-6150")</f>
        <v>3355-6150</v>
      </c>
      <c r="N549" s="11" t="str">
        <f>IFERROR(__xludf.DUMMYFUNCTION("""COMPUTED_VALUE"""),"ronaldodantas@bol.com.br / RONALDADANTAS@VOL.COM.BR")</f>
        <v>ronaldodantas@bol.com.br / RONALDADANTAS@VOL.COM.BR</v>
      </c>
      <c r="O549" s="29">
        <f>IFERROR(__xludf.DUMMYFUNCTION("""COMPUTED_VALUE"""),29053170430)</f>
        <v>29053170430</v>
      </c>
      <c r="P549" s="30" t="str">
        <f>IFERROR(__xludf.DUMMYFUNCTION("""COMPUTED_VALUE"""),"209066123780006")</f>
        <v>209066123780006</v>
      </c>
      <c r="Q549" s="30" t="str">
        <f>IFERROR(__xludf.DUMMYFUNCTION("""COMPUTED_VALUE"""),"0002135")</f>
        <v>0002135</v>
      </c>
      <c r="R549" s="30" t="str">
        <f>IFERROR(__xludf.DUMMYFUNCTION("""COMPUTED_VALUE"""),"0000153486")</f>
        <v>0000153486</v>
      </c>
      <c r="S549" s="30" t="str">
        <f>IFERROR(__xludf.DUMMYFUNCTION("""COMPUTED_VALUE"""),"1")</f>
        <v>1</v>
      </c>
      <c r="T549" s="30" t="str">
        <f>IFERROR(__xludf.DUMMYFUNCTION("""COMPUTED_VALUE"""),"225142")</f>
        <v>225142</v>
      </c>
      <c r="U549" s="11">
        <f>IFERROR(__xludf.DUMMYFUNCTION("""COMPUTED_VALUE"""),2251)</f>
        <v>2251</v>
      </c>
      <c r="V549" s="11"/>
      <c r="W549" s="11"/>
      <c r="X549" s="11">
        <f>IFERROR(__xludf.DUMMYFUNCTION("""COMPUTED_VALUE"""),986705821)</f>
        <v>986705821</v>
      </c>
      <c r="Y549" s="11">
        <f>IFERROR(__xludf.DUMMYFUNCTION("""COMPUTED_VALUE"""),99648798)</f>
        <v>99648798</v>
      </c>
      <c r="Z549" s="11">
        <f>IFERROR(__xludf.DUMMYFUNCTION("""COMPUTED_VALUE"""),29053170430)</f>
        <v>29053170430</v>
      </c>
    </row>
    <row r="550" customHeight="1" spans="1:26">
      <c r="A550" s="11" t="str">
        <f>IFERROR(__xludf.DUMMYFUNCTION("""COMPUTED_VALUE"""),"ADRIANA GOMES DO MONTE")</f>
        <v>ADRIANA GOMES DO MONTE</v>
      </c>
      <c r="B550" s="11"/>
      <c r="C550" s="11"/>
      <c r="D550" s="11" t="str">
        <f>IFERROR(__xludf.DUMMYFUNCTION("""COMPUTED_VALUE"""),"Enfermeira eSF")</f>
        <v>Enfermeira eSF</v>
      </c>
      <c r="E550" s="11" t="str">
        <f>IFERROR(__xludf.DUMMYFUNCTION("""COMPUTED_VALUE"""),"IV")</f>
        <v>IV</v>
      </c>
      <c r="F550" s="11" t="str">
        <f>IFERROR(__xludf.DUMMYFUNCTION("""COMPUTED_VALUE"""),"US_233 USF VIETNA")</f>
        <v>US_233 USF VIETNA</v>
      </c>
      <c r="G550" s="11" t="str">
        <f>IFERROR(__xludf.DUMMYFUNCTION("""COMPUTED_VALUE"""),"US 233 USF VIETNA")</f>
        <v>US 233 USF VIETNA</v>
      </c>
      <c r="H550" s="27">
        <f>IFERROR(__xludf.DUMMYFUNCTION("""COMPUTED_VALUE"""),81999786121)</f>
        <v>81999786121</v>
      </c>
      <c r="I550" s="11"/>
      <c r="J550" s="11"/>
      <c r="K550" s="11"/>
      <c r="L550" s="11"/>
      <c r="M550" s="28" t="str">
        <f>IFERROR(__xludf.DUMMYFUNCTION("""COMPUTED_VALUE"""),"3355-6806")</f>
        <v>3355-6806</v>
      </c>
      <c r="N550" s="11" t="str">
        <f>IFERROR(__xludf.DUMMYFUNCTION("""COMPUTED_VALUE"""),"adriana.monte@uol.com.br")</f>
        <v>adriana.monte@uol.com.br</v>
      </c>
      <c r="O550" s="29">
        <f>IFERROR(__xludf.DUMMYFUNCTION("""COMPUTED_VALUE"""),71741828449)</f>
        <v>71741828449</v>
      </c>
      <c r="P550" s="30" t="str">
        <f>IFERROR(__xludf.DUMMYFUNCTION("""COMPUTED_VALUE"""),"170519064510000")</f>
        <v>170519064510000</v>
      </c>
      <c r="Q550" s="30" t="str">
        <f>IFERROR(__xludf.DUMMYFUNCTION("""COMPUTED_VALUE"""),"0022322")</f>
        <v>0022322</v>
      </c>
      <c r="R550" s="30" t="str">
        <f>IFERROR(__xludf.DUMMYFUNCTION("""COMPUTED_VALUE"""),"0000153834")</f>
        <v>0000153834</v>
      </c>
      <c r="S550" s="30" t="str">
        <f>IFERROR(__xludf.DUMMYFUNCTION("""COMPUTED_VALUE"""),"1")</f>
        <v>1</v>
      </c>
      <c r="T550" s="30" t="str">
        <f>IFERROR(__xludf.DUMMYFUNCTION("""COMPUTED_VALUE"""),"223565")</f>
        <v>223565</v>
      </c>
      <c r="U550" s="31" t="str">
        <f>IFERROR(__xludf.DUMMYFUNCTION("""COMPUTED_VALUE"""),"2235")</f>
        <v>2235</v>
      </c>
      <c r="V550" s="11"/>
      <c r="W550" s="11">
        <f>IFERROR(__xludf.DUMMYFUNCTION("""COMPUTED_VALUE"""),34283982)</f>
        <v>34283982</v>
      </c>
      <c r="X550" s="11">
        <f>IFERROR(__xludf.DUMMYFUNCTION("""COMPUTED_VALUE"""),99786121)</f>
        <v>99786121</v>
      </c>
      <c r="Y550" s="11">
        <f>IFERROR(__xludf.DUMMYFUNCTION("""COMPUTED_VALUE"""),71741828449)</f>
        <v>71741828449</v>
      </c>
      <c r="Z550" s="11"/>
    </row>
    <row r="551" customHeight="1" spans="1:26">
      <c r="A551" s="11" t="str">
        <f>IFERROR(__xludf.DUMMYFUNCTION("""COMPUTED_VALUE"""),"ELBA KARLA SERAFIM DO NASCIMENTO FREIRE")</f>
        <v>ELBA KARLA SERAFIM DO NASCIMENTO FREIRE</v>
      </c>
      <c r="B551" s="11"/>
      <c r="C551" s="11"/>
      <c r="D551" s="11" t="str">
        <f>IFERROR(__xludf.DUMMYFUNCTION("""COMPUTED_VALUE"""),"Dentista")</f>
        <v>Dentista</v>
      </c>
      <c r="E551" s="11" t="str">
        <f>IFERROR(__xludf.DUMMYFUNCTION("""COMPUTED_VALUE"""),"VI")</f>
        <v>VI</v>
      </c>
      <c r="F551" s="11" t="str">
        <f>IFERROR(__xludf.DUMMYFUNCTION("""COMPUTED_VALUE"""),"US_174 USF SITIO GRANDE")</f>
        <v>US_174 USF SITIO GRANDE</v>
      </c>
      <c r="G551" s="11" t="str">
        <f>IFERROR(__xludf.DUMMYFUNCTION("""COMPUTED_VALUE"""),"US 174 USF SITIO GRANDE")</f>
        <v>US 174 USF SITIO GRANDE</v>
      </c>
      <c r="H551" s="27">
        <f>IFERROR(__xludf.DUMMYFUNCTION("""COMPUTED_VALUE"""),81997350129)</f>
        <v>81997350129</v>
      </c>
      <c r="I551" s="11"/>
      <c r="J551" s="11"/>
      <c r="K551" s="11"/>
      <c r="L551" s="11"/>
      <c r="M551" s="28" t="str">
        <f>IFERROR(__xludf.DUMMYFUNCTION("""COMPUTED_VALUE"""),"3355-6685")</f>
        <v>3355-6685</v>
      </c>
      <c r="N551" s="11" t="str">
        <f>IFERROR(__xludf.DUMMYFUNCTION("""COMPUTED_VALUE"""),"elbakarlafreire@gmail.com")</f>
        <v>elbakarlafreire@gmail.com</v>
      </c>
      <c r="O551" s="29">
        <f>IFERROR(__xludf.DUMMYFUNCTION("""COMPUTED_VALUE"""),2158731494)</f>
        <v>2158731494</v>
      </c>
      <c r="P551" s="30" t="str">
        <f>IFERROR(__xludf.DUMMYFUNCTION("""COMPUTED_VALUE"""),"980016004531958")</f>
        <v>980016004531958</v>
      </c>
      <c r="Q551" s="30" t="str">
        <f>IFERROR(__xludf.DUMMYFUNCTION("""COMPUTED_VALUE"""),"0000957")</f>
        <v>0000957</v>
      </c>
      <c r="R551" s="30" t="str">
        <f>IFERROR(__xludf.DUMMYFUNCTION("""COMPUTED_VALUE"""),"0001847414")</f>
        <v>0001847414</v>
      </c>
      <c r="S551" s="30" t="str">
        <f>IFERROR(__xludf.DUMMYFUNCTION("""COMPUTED_VALUE"""),"1")</f>
        <v>1</v>
      </c>
      <c r="T551" s="30" t="str">
        <f>IFERROR(__xludf.DUMMYFUNCTION("""COMPUTED_VALUE"""),"223293")</f>
        <v>223293</v>
      </c>
      <c r="U551" s="31">
        <f>IFERROR(__xludf.DUMMYFUNCTION("""COMPUTED_VALUE"""),2232)</f>
        <v>2232</v>
      </c>
      <c r="V551" s="11"/>
      <c r="W551" s="11"/>
      <c r="X551" s="11"/>
      <c r="Y551" s="11"/>
      <c r="Z551" s="11"/>
    </row>
    <row r="552" customHeight="1" spans="1:26">
      <c r="A552" s="11" t="str">
        <f>IFERROR(__xludf.DUMMYFUNCTION("""COMPUTED_VALUE"""),"MARILUCE VASCONCELOS SOUGEY")</f>
        <v>MARILUCE VASCONCELOS SOUGEY</v>
      </c>
      <c r="B552" s="11"/>
      <c r="C552" s="11"/>
      <c r="D552" s="11" t="str">
        <f>IFERROR(__xludf.DUMMYFUNCTION("""COMPUTED_VALUE"""),"Médica eSF")</f>
        <v>Médica eSF</v>
      </c>
      <c r="E552" s="11" t="str">
        <f>IFERROR(__xludf.DUMMYFUNCTION("""COMPUTED_VALUE"""),"I")</f>
        <v>I</v>
      </c>
      <c r="F552" s="11" t="str">
        <f>IFERROR(__xludf.DUMMYFUNCTION("""COMPUTED_VALUE"""),"US_218 USF COQUE")</f>
        <v>US_218 USF COQUE</v>
      </c>
      <c r="G552" s="11" t="str">
        <f>IFERROR(__xludf.DUMMYFUNCTION("""COMPUTED_VALUE"""),"US 218 USF COQUE")</f>
        <v>US 218 USF COQUE</v>
      </c>
      <c r="H552" s="27">
        <f>IFERROR(__xludf.DUMMYFUNCTION("""COMPUTED_VALUE"""),81987783920)</f>
        <v>81987783920</v>
      </c>
      <c r="I552" s="11"/>
      <c r="J552" s="11"/>
      <c r="K552" s="11"/>
      <c r="L552" s="11"/>
      <c r="M552" s="28" t="str">
        <f>IFERROR(__xludf.DUMMYFUNCTION("""COMPUTED_VALUE"""),"3355-4656")</f>
        <v>3355-4656</v>
      </c>
      <c r="N552" s="11" t="str">
        <f>IFERROR(__xludf.DUMMYFUNCTION("""COMPUTED_VALUE"""),"marilucevf@yahoo.com.br / marilucevs@yahoo.com.br")</f>
        <v>marilucevf@yahoo.com.br / marilucevs@yahoo.com.br</v>
      </c>
      <c r="O552" s="29">
        <f>IFERROR(__xludf.DUMMYFUNCTION("""COMPUTED_VALUE"""),14189542415)</f>
        <v>14189542415</v>
      </c>
      <c r="P552" s="30" t="str">
        <f>IFERROR(__xludf.DUMMYFUNCTION("""COMPUTED_VALUE"""),"180073133760003")</f>
        <v>180073133760003</v>
      </c>
      <c r="Q552" s="30" t="str">
        <f>IFERROR(__xludf.DUMMYFUNCTION("""COMPUTED_VALUE"""),"0001252")</f>
        <v>0001252</v>
      </c>
      <c r="R552" s="30" t="str">
        <f>IFERROR(__xludf.DUMMYFUNCTION("""COMPUTED_VALUE"""),"0000153176")</f>
        <v>0000153176</v>
      </c>
      <c r="S552" s="30" t="str">
        <f>IFERROR(__xludf.DUMMYFUNCTION("""COMPUTED_VALUE"""),"1")</f>
        <v>1</v>
      </c>
      <c r="T552" s="30" t="str">
        <f>IFERROR(__xludf.DUMMYFUNCTION("""COMPUTED_VALUE"""),"225142")</f>
        <v>225142</v>
      </c>
      <c r="U552" s="11">
        <f>IFERROR(__xludf.DUMMYFUNCTION("""COMPUTED_VALUE"""),2251)</f>
        <v>2251</v>
      </c>
      <c r="V552" s="11"/>
      <c r="W552" s="11"/>
      <c r="X552" s="11">
        <f>IFERROR(__xludf.DUMMYFUNCTION("""COMPUTED_VALUE"""),86783920)</f>
        <v>86783920</v>
      </c>
      <c r="Y552" s="11">
        <f>IFERROR(__xludf.DUMMYFUNCTION("""COMPUTED_VALUE"""),34291430)</f>
        <v>34291430</v>
      </c>
      <c r="Z552" s="11">
        <f>IFERROR(__xludf.DUMMYFUNCTION("""COMPUTED_VALUE"""),14189542415)</f>
        <v>14189542415</v>
      </c>
    </row>
    <row r="553" customHeight="1" spans="1:26">
      <c r="A553" s="11" t="str">
        <f>IFERROR(__xludf.DUMMYFUNCTION("""COMPUTED_VALUE"""),"GISLENE OLIVEIRA DE ARAUJO")</f>
        <v>GISLENE OLIVEIRA DE ARAUJO</v>
      </c>
      <c r="B553" s="11"/>
      <c r="C553" s="11"/>
      <c r="D553" s="11" t="str">
        <f>IFERROR(__xludf.DUMMYFUNCTION("""COMPUTED_VALUE"""),"Dentista")</f>
        <v>Dentista</v>
      </c>
      <c r="E553" s="11" t="str">
        <f>IFERROR(__xludf.DUMMYFUNCTION("""COMPUTED_VALUE"""),"II")</f>
        <v>II</v>
      </c>
      <c r="F553" s="11" t="str">
        <f>IFERROR(__xludf.DUMMYFUNCTION("""COMPUTED_VALUE"""),"US_302 USF BYRON SARINHO	")</f>
        <v>US_302 USF BYRON SARINHO	</v>
      </c>
      <c r="G553" s="11" t="str">
        <f>IFERROR(__xludf.DUMMYFUNCTION("""COMPUTED_VALUE"""),"US 302 USF BYRON SARINHO")</f>
        <v>US 302 USF BYRON SARINHO</v>
      </c>
      <c r="H553" s="27">
        <f>IFERROR(__xludf.DUMMYFUNCTION("""COMPUTED_VALUE"""),81991083401)</f>
        <v>81991083401</v>
      </c>
      <c r="I553" s="11"/>
      <c r="J553" s="11"/>
      <c r="K553" s="11"/>
      <c r="L553" s="11"/>
      <c r="M553" s="28" t="str">
        <f>IFERROR(__xludf.DUMMYFUNCTION("""COMPUTED_VALUE"""),"3355-6511")</f>
        <v>3355-6511</v>
      </c>
      <c r="N553" s="11" t="str">
        <f>IFERROR(__xludf.DUMMYFUNCTION("""COMPUTED_VALUE"""),"gislene_gil@hotmail.com")</f>
        <v>gislene_gil@hotmail.com</v>
      </c>
      <c r="O553" s="29">
        <f>IFERROR(__xludf.DUMMYFUNCTION("""COMPUTED_VALUE"""),2732532479)</f>
        <v>2732532479</v>
      </c>
      <c r="P553" s="30" t="str">
        <f>IFERROR(__xludf.DUMMYFUNCTION("""COMPUTED_VALUE"""),"204324241850009")</f>
        <v>204324241850009</v>
      </c>
      <c r="Q553" s="30" t="str">
        <f>IFERROR(__xludf.DUMMYFUNCTION("""COMPUTED_VALUE"""),"3301974")</f>
        <v>3301974</v>
      </c>
      <c r="R553" s="30" t="str">
        <f>IFERROR(__xludf.DUMMYFUNCTION("""COMPUTED_VALUE"""),"0000155233")</f>
        <v>0000155233</v>
      </c>
      <c r="S553" s="30" t="str">
        <f>IFERROR(__xludf.DUMMYFUNCTION("""COMPUTED_VALUE"""),"1")</f>
        <v>1</v>
      </c>
      <c r="T553" s="30" t="str">
        <f>IFERROR(__xludf.DUMMYFUNCTION("""COMPUTED_VALUE"""),"223293")</f>
        <v>223293</v>
      </c>
      <c r="U553" s="31">
        <f>IFERROR(__xludf.DUMMYFUNCTION("""COMPUTED_VALUE"""),2232)</f>
        <v>2232</v>
      </c>
      <c r="V553" s="11"/>
      <c r="W553" s="11"/>
      <c r="X553" s="11"/>
      <c r="Y553" s="11"/>
      <c r="Z553" s="11"/>
    </row>
    <row r="554" customHeight="1" spans="1:26">
      <c r="A554" s="11" t="str">
        <f>IFERROR(__xludf.DUMMYFUNCTION("""COMPUTED_VALUE"""),"KALINE GODOY CALHEIROS")</f>
        <v>KALINE GODOY CALHEIROS</v>
      </c>
      <c r="B554" s="11"/>
      <c r="C554" s="11"/>
      <c r="D554" s="11" t="str">
        <f>IFERROR(__xludf.DUMMYFUNCTION("""COMPUTED_VALUE"""),"Médica eSF")</f>
        <v>Médica eSF</v>
      </c>
      <c r="E554" s="11" t="str">
        <f>IFERROR(__xludf.DUMMYFUNCTION("""COMPUTED_VALUE"""),"VII")</f>
        <v>VII</v>
      </c>
      <c r="F554" s="11" t="str">
        <f>IFERROR(__xludf.DUMMYFUNCTION("""COMPUTED_VALUE"""),"US_128 POLICLINICA LESSA DE ANDRADE")</f>
        <v>US_128 POLICLINICA LESSA DE ANDRADE</v>
      </c>
      <c r="G554" s="11" t="str">
        <f>IFERROR(__xludf.DUMMYFUNCTION("""COMPUTED_VALUE"""),"US 397 USF UPINHA DIA CORREGO DO EUCLIDES")</f>
        <v>US 397 USF UPINHA DIA CORREGO DO EUCLIDES</v>
      </c>
      <c r="H554" s="27">
        <f>IFERROR(__xludf.DUMMYFUNCTION("""COMPUTED_VALUE"""),81991917204)</f>
        <v>81991917204</v>
      </c>
      <c r="I554" s="11"/>
      <c r="J554" s="11"/>
      <c r="K554" s="11"/>
      <c r="L554" s="11"/>
      <c r="M554" s="28" t="str">
        <f>IFERROR(__xludf.DUMMYFUNCTION("""COMPUTED_VALUE"""),"3355-6037")</f>
        <v>3355-6037</v>
      </c>
      <c r="N554" s="11" t="str">
        <f>IFERROR(__xludf.DUMMYFUNCTION("""COMPUTED_VALUE"""),"kalinegodoy@uol.com.br")</f>
        <v>kalinegodoy@uol.com.br</v>
      </c>
      <c r="O554" s="29">
        <f>IFERROR(__xludf.DUMMYFUNCTION("""COMPUTED_VALUE"""),3477392450)</f>
        <v>3477392450</v>
      </c>
      <c r="P554" s="30" t="str">
        <f>IFERROR(__xludf.DUMMYFUNCTION("""COMPUTED_VALUE"""),"980016004744773")</f>
        <v>980016004744773</v>
      </c>
      <c r="Q554" s="30" t="str">
        <f>IFERROR(__xludf.DUMMYFUNCTION("""COMPUTED_VALUE"""),"7563736")</f>
        <v>7563736</v>
      </c>
      <c r="R554" s="30" t="str">
        <f>IFERROR(__xludf.DUMMYFUNCTION("""COMPUTED_VALUE"""),"0001546112")</f>
        <v>0001546112</v>
      </c>
      <c r="S554" s="30" t="str">
        <f>IFERROR(__xludf.DUMMYFUNCTION("""COMPUTED_VALUE"""),"1")</f>
        <v>1</v>
      </c>
      <c r="T554" s="30" t="str">
        <f>IFERROR(__xludf.DUMMYFUNCTION("""COMPUTED_VALUE"""),"225142")</f>
        <v>225142</v>
      </c>
      <c r="U554" s="31">
        <f>IFERROR(__xludf.DUMMYFUNCTION("""COMPUTED_VALUE"""),2251)</f>
        <v>2251</v>
      </c>
      <c r="V554" s="11"/>
      <c r="W554" s="11"/>
      <c r="X554" s="11">
        <f>IFERROR(__xludf.DUMMYFUNCTION("""COMPUTED_VALUE"""),81991917204)</f>
        <v>81991917204</v>
      </c>
      <c r="Y554" s="11"/>
      <c r="Z554" s="11">
        <f>IFERROR(__xludf.DUMMYFUNCTION("""COMPUTED_VALUE"""),3477392450)</f>
        <v>3477392450</v>
      </c>
    </row>
    <row r="555" customHeight="1" spans="1:26">
      <c r="A555" s="11" t="str">
        <f>IFERROR(__xludf.DUMMYFUNCTION("""COMPUTED_VALUE"""),"FLAVIA CRISTINA FERREIRA DE LIMA")</f>
        <v>FLAVIA CRISTINA FERREIRA DE LIMA</v>
      </c>
      <c r="B555" s="11"/>
      <c r="C555" s="11"/>
      <c r="D555" s="11" t="str">
        <f>IFERROR(__xludf.DUMMYFUNCTION("""COMPUTED_VALUE"""),"Enfermeira eSF")</f>
        <v>Enfermeira eSF</v>
      </c>
      <c r="E555" s="11" t="str">
        <f>IFERROR(__xludf.DUMMYFUNCTION("""COMPUTED_VALUE"""),"II")</f>
        <v>II</v>
      </c>
      <c r="F555" s="11" t="str">
        <f>IFERROR(__xludf.DUMMYFUNCTION("""COMPUTED_VALUE"""),"US_167 POLICLINICA E MATERNIDADE PROFESSOR BARROS LIMA")</f>
        <v>US_167 POLICLINICA E MATERNIDADE PROFESSOR BARROS LIMA</v>
      </c>
      <c r="G555" s="11" t="str">
        <f>IFERROR(__xludf.DUMMYFUNCTION("""COMPUTED_VALUE"""),"US 302 USF BYRON SARINHO")</f>
        <v>US 302 USF BYRON SARINHO</v>
      </c>
      <c r="H555" s="27">
        <f>IFERROR(__xludf.DUMMYFUNCTION("""COMPUTED_VALUE"""),81992420034)</f>
        <v>81992420034</v>
      </c>
      <c r="I555" s="11"/>
      <c r="J555" s="11"/>
      <c r="K555" s="11"/>
      <c r="L555" s="11"/>
      <c r="M555" s="28" t="str">
        <f>IFERROR(__xludf.DUMMYFUNCTION("""COMPUTED_VALUE"""),"3355-6511")</f>
        <v>3355-6511</v>
      </c>
      <c r="N555" s="11" t="str">
        <f>IFERROR(__xludf.DUMMYFUNCTION("""COMPUTED_VALUE"""),"fflaviacristina@gmail.com")</f>
        <v>fflaviacristina@gmail.com</v>
      </c>
      <c r="O555" s="29">
        <f>IFERROR(__xludf.DUMMYFUNCTION("""COMPUTED_VALUE"""),2058543467)</f>
        <v>2058543467</v>
      </c>
      <c r="P555" s="30" t="str">
        <f>IFERROR(__xludf.DUMMYFUNCTION("""COMPUTED_VALUE"""),"204324260800003")</f>
        <v>204324260800003</v>
      </c>
      <c r="Q555" s="30" t="str">
        <f>IFERROR(__xludf.DUMMYFUNCTION("""COMPUTED_VALUE"""),"3301974")</f>
        <v>3301974</v>
      </c>
      <c r="R555" s="30" t="str">
        <f>IFERROR(__xludf.DUMMYFUNCTION("""COMPUTED_VALUE"""),"0001465201")</f>
        <v>0001465201</v>
      </c>
      <c r="S555" s="30" t="str">
        <f>IFERROR(__xludf.DUMMYFUNCTION("""COMPUTED_VALUE"""),"1")</f>
        <v>1</v>
      </c>
      <c r="T555" s="30" t="str">
        <f>IFERROR(__xludf.DUMMYFUNCTION("""COMPUTED_VALUE"""),"223565")</f>
        <v>223565</v>
      </c>
      <c r="U555" s="31" t="str">
        <f>IFERROR(__xludf.DUMMYFUNCTION("""COMPUTED_VALUE"""),"2235")</f>
        <v>2235</v>
      </c>
      <c r="V555" s="11"/>
      <c r="W555" s="11">
        <f>IFERROR(__xludf.DUMMYFUNCTION("""COMPUTED_VALUE"""),8134311810)</f>
        <v>8134311810</v>
      </c>
      <c r="X555" s="11">
        <f>IFERROR(__xludf.DUMMYFUNCTION("""COMPUTED_VALUE"""),8192420034)</f>
        <v>8192420034</v>
      </c>
      <c r="Y555" s="11">
        <f>IFERROR(__xludf.DUMMYFUNCTION("""COMPUTED_VALUE"""),2058543467)</f>
        <v>2058543467</v>
      </c>
      <c r="Z555" s="11"/>
    </row>
    <row r="556" customHeight="1" spans="1:26">
      <c r="A556" s="11" t="str">
        <f>IFERROR(__xludf.DUMMYFUNCTION("""COMPUTED_VALUE"""),"CELIA MARIA MACIEL BELFORT CAMPOS")</f>
        <v>CELIA MARIA MACIEL BELFORT CAMPOS</v>
      </c>
      <c r="B556" s="11"/>
      <c r="C556" s="11"/>
      <c r="D556" s="11" t="str">
        <f>IFERROR(__xludf.DUMMYFUNCTION("""COMPUTED_VALUE"""),"Médica eSF")</f>
        <v>Médica eSF</v>
      </c>
      <c r="E556" s="11" t="str">
        <f>IFERROR(__xludf.DUMMYFUNCTION("""COMPUTED_VALUE"""),"II")</f>
        <v>II</v>
      </c>
      <c r="F556" s="11" t="str">
        <f>IFERROR(__xludf.DUMMYFUNCTION("""COMPUTED_VALUE"""),"US_327 USF CLUBE DOS DELEGADOS / VISCONDE DE GARRET")</f>
        <v>US_327 USF CLUBE DOS DELEGADOS / VISCONDE DE GARRET</v>
      </c>
      <c r="G556" s="11" t="str">
        <f>IFERROR(__xludf.DUMMYFUNCTION("""COMPUTED_VALUE"""),"US 327 USF CLUBE DOS DELEGADOS")</f>
        <v>US 327 USF CLUBE DOS DELEGADOS</v>
      </c>
      <c r="H556" s="27">
        <f>IFERROR(__xludf.DUMMYFUNCTION("""COMPUTED_VALUE"""),81997575353)</f>
        <v>81997575353</v>
      </c>
      <c r="I556" s="11"/>
      <c r="J556" s="11"/>
      <c r="K556" s="11"/>
      <c r="L556" s="11"/>
      <c r="M556" s="28" t="str">
        <f>IFERROR(__xludf.DUMMYFUNCTION("""COMPUTED_VALUE"""),"3355-6905")</f>
        <v>3355-6905</v>
      </c>
      <c r="N556" s="11" t="str">
        <f>IFERROR(__xludf.DUMMYFUNCTION("""COMPUTED_VALUE"""),"celiabelfort@hotmail.com")</f>
        <v>celiabelfort@hotmail.com</v>
      </c>
      <c r="O556" s="29">
        <f>IFERROR(__xludf.DUMMYFUNCTION("""COMPUTED_VALUE"""),7976712420)</f>
        <v>7976712420</v>
      </c>
      <c r="P556" s="30" t="str">
        <f>IFERROR(__xludf.DUMMYFUNCTION("""COMPUTED_VALUE"""),"201313401600018")</f>
        <v>201313401600018</v>
      </c>
      <c r="Q556" s="30" t="str">
        <f>IFERROR(__xludf.DUMMYFUNCTION("""COMPUTED_VALUE"""),"3445275")</f>
        <v>3445275</v>
      </c>
      <c r="R556" s="11" t="str">
        <f>IFERROR(__xludf.DUMMYFUNCTION("""COMPUTED_VALUE"""),"0000155446")</f>
        <v>0000155446</v>
      </c>
      <c r="S556" s="30" t="str">
        <f>IFERROR(__xludf.DUMMYFUNCTION("""COMPUTED_VALUE"""),"1")</f>
        <v>1</v>
      </c>
      <c r="T556" s="30" t="str">
        <f>IFERROR(__xludf.DUMMYFUNCTION("""COMPUTED_VALUE"""),"225142")</f>
        <v>225142</v>
      </c>
      <c r="U556" s="11">
        <f>IFERROR(__xludf.DUMMYFUNCTION("""COMPUTED_VALUE"""),2251)</f>
        <v>2251</v>
      </c>
      <c r="V556" s="11"/>
      <c r="W556" s="11"/>
      <c r="X556" s="11">
        <f>IFERROR(__xludf.DUMMYFUNCTION("""COMPUTED_VALUE"""),8134316222)</f>
        <v>8134316222</v>
      </c>
      <c r="Y556" s="11">
        <f>IFERROR(__xludf.DUMMYFUNCTION("""COMPUTED_VALUE"""),8197575353)</f>
        <v>8197575353</v>
      </c>
      <c r="Z556" s="11">
        <f>IFERROR(__xludf.DUMMYFUNCTION("""COMPUTED_VALUE"""),7976712420)</f>
        <v>7976712420</v>
      </c>
    </row>
    <row r="557" customHeight="1" spans="1:26">
      <c r="A557" s="11" t="str">
        <f>IFERROR(__xludf.DUMMYFUNCTION("""COMPUTED_VALUE"""),"JOSE GERALDO MACEDO VELOZO DA SILVEIRA")</f>
        <v>JOSE GERALDO MACEDO VELOZO DA SILVEIRA</v>
      </c>
      <c r="B557" s="11" t="str">
        <f>IFERROR(__xludf.DUMMYFUNCTION("""COMPUTED_VALUE"""),"RECUSA TELECONSULTORIA")</f>
        <v>RECUSA TELECONSULTORIA</v>
      </c>
      <c r="C557" s="11"/>
      <c r="D557" s="11" t="str">
        <f>IFERROR(__xludf.DUMMYFUNCTION("""COMPUTED_VALUE"""),"Médico Ginecologista")</f>
        <v>Médico Ginecologista</v>
      </c>
      <c r="E557" s="11" t="str">
        <f>IFERROR(__xludf.DUMMYFUNCTION("""COMPUTED_VALUE"""),"VII")</f>
        <v>VII</v>
      </c>
      <c r="F557" s="11" t="str">
        <f>IFERROR(__xludf.DUMMYFUNCTION("""COMPUTED_VALUE"""),"US_152 CS INA ROSA BORGES")</f>
        <v>US_152 CS INA ROSA BORGES</v>
      </c>
      <c r="G557" s="11" t="str">
        <f>IFERROR(__xludf.DUMMYFUNCTION("""COMPUTED_VALUE"""),"US 152 CS INA ROSA BORGES")</f>
        <v>US 152 CS INA ROSA BORGES</v>
      </c>
      <c r="H557" s="27">
        <f>IFERROR(__xludf.DUMMYFUNCTION("""COMPUTED_VALUE"""),81999617167)</f>
        <v>81999617167</v>
      </c>
      <c r="I557" s="11"/>
      <c r="J557" s="11"/>
      <c r="K557" s="11"/>
      <c r="L557" s="28" t="str">
        <f>IFERROR(__xludf.DUMMYFUNCTION("""COMPUTED_VALUE"""),"X")</f>
        <v>X</v>
      </c>
      <c r="M557" s="28" t="str">
        <f>IFERROR(__xludf.DUMMYFUNCTION("""COMPUTED_VALUE"""),"3355-4408")</f>
        <v>3355-4408</v>
      </c>
      <c r="N557" s="11" t="str">
        <f>IFERROR(__xludf.DUMMYFUNCTION("""COMPUTED_VALUE"""),"geraldosilveira45@hotmail.com")</f>
        <v>geraldosilveira45@hotmail.com</v>
      </c>
      <c r="O557" s="29">
        <f>IFERROR(__xludf.DUMMYFUNCTION("""COMPUTED_VALUE"""),42912130425)</f>
        <v>42912130425</v>
      </c>
      <c r="P557" s="30" t="str">
        <f>IFERROR(__xludf.DUMMYFUNCTION("""COMPUTED_VALUE"""),"700801985106482")</f>
        <v>700801985106482</v>
      </c>
      <c r="Q557" s="30" t="str">
        <f>IFERROR(__xludf.DUMMYFUNCTION("""COMPUTED_VALUE"""),"0001236")</f>
        <v>0001236</v>
      </c>
      <c r="R557" s="11"/>
      <c r="S557" s="30" t="str">
        <f>IFERROR(__xludf.DUMMYFUNCTION("""COMPUTED_VALUE"""),"1")</f>
        <v>1</v>
      </c>
      <c r="T557" s="30" t="str">
        <f>IFERROR(__xludf.DUMMYFUNCTION("""COMPUTED_VALUE"""),"225250")</f>
        <v>225250</v>
      </c>
      <c r="U557" s="31">
        <f>IFERROR(__xludf.DUMMYFUNCTION("""COMPUTED_VALUE"""),2252)</f>
        <v>2252</v>
      </c>
      <c r="V557" s="11"/>
      <c r="W557" s="30" t="str">
        <f>IFERROR(__xludf.DUMMYFUNCTION("""COMPUTED_VALUE"""),"19/05/1965")</f>
        <v>19/05/1965</v>
      </c>
      <c r="X557" s="11">
        <f>IFERROR(__xludf.DUMMYFUNCTION("""COMPUTED_VALUE"""),8134324463)</f>
        <v>8134324463</v>
      </c>
      <c r="Y557" s="11">
        <f>IFERROR(__xludf.DUMMYFUNCTION("""COMPUTED_VALUE"""),81999617167)</f>
        <v>81999617167</v>
      </c>
      <c r="Z557" s="11">
        <f>IFERROR(__xludf.DUMMYFUNCTION("""COMPUTED_VALUE"""),42912130425)</f>
        <v>42912130425</v>
      </c>
    </row>
    <row r="558" customHeight="1" spans="1:26">
      <c r="A558" s="11" t="str">
        <f>IFERROR(__xludf.DUMMYFUNCTION("""COMPUTED_VALUE"""),"MARIA DA CONCEICAO SOARES FERREIRA SEABRA")</f>
        <v>MARIA DA CONCEICAO SOARES FERREIRA SEABRA</v>
      </c>
      <c r="B558" s="11"/>
      <c r="C558" s="11"/>
      <c r="D558" s="11" t="str">
        <f>IFERROR(__xludf.DUMMYFUNCTION("""COMPUTED_VALUE"""),"Enfermeira eSF")</f>
        <v>Enfermeira eSF</v>
      </c>
      <c r="E558" s="11" t="str">
        <f>IFERROR(__xludf.DUMMYFUNCTION("""COMPUTED_VALUE"""),"I")</f>
        <v>I</v>
      </c>
      <c r="F558" s="11" t="str">
        <f>IFERROR(__xludf.DUMMYFUNCTION("""COMPUTED_VALUE"""),"US_232 USF ILHA SANTA TEREZINHA	")</f>
        <v>US_232 USF ILHA SANTA TEREZINHA	</v>
      </c>
      <c r="G558" s="11" t="str">
        <f>IFERROR(__xludf.DUMMYFUNCTION("""COMPUTED_VALUE"""),"US 232 USF ILHA SANTA TEREZINHA")</f>
        <v>US 232 USF ILHA SANTA TEREZINHA</v>
      </c>
      <c r="H558" s="27">
        <f>IFERROR(__xludf.DUMMYFUNCTION("""COMPUTED_VALUE"""),81987265114)</f>
        <v>81987265114</v>
      </c>
      <c r="I558" s="11"/>
      <c r="J558" s="11"/>
      <c r="K558" s="11"/>
      <c r="L558" s="11"/>
      <c r="M558" s="28" t="str">
        <f>IFERROR(__xludf.DUMMYFUNCTION("""COMPUTED_VALUE"""),"3355-4668")</f>
        <v>3355-4668</v>
      </c>
      <c r="N558" s="11" t="str">
        <f>IFERROR(__xludf.DUMMYFUNCTION("""COMPUTED_VALUE"""),"cseabra2011@hotmail.com")</f>
        <v>cseabra2011@hotmail.com</v>
      </c>
      <c r="O558" s="29">
        <f>IFERROR(__xludf.DUMMYFUNCTION("""COMPUTED_VALUE"""),51366754468)</f>
        <v>51366754468</v>
      </c>
      <c r="P558" s="30" t="str">
        <f>IFERROR(__xludf.DUMMYFUNCTION("""COMPUTED_VALUE"""),"204324518910004")</f>
        <v>204324518910004</v>
      </c>
      <c r="Q558" s="30" t="str">
        <f>IFERROR(__xludf.DUMMYFUNCTION("""COMPUTED_VALUE"""),"0022187")</f>
        <v>0022187</v>
      </c>
      <c r="R558" s="30" t="str">
        <f>IFERROR(__xludf.DUMMYFUNCTION("""COMPUTED_VALUE"""),"0000153559")</f>
        <v>0000153559</v>
      </c>
      <c r="S558" s="30" t="str">
        <f>IFERROR(__xludf.DUMMYFUNCTION("""COMPUTED_VALUE"""),"1")</f>
        <v>1</v>
      </c>
      <c r="T558" s="30" t="str">
        <f>IFERROR(__xludf.DUMMYFUNCTION("""COMPUTED_VALUE"""),"223565")</f>
        <v>223565</v>
      </c>
      <c r="U558" s="31" t="str">
        <f>IFERROR(__xludf.DUMMYFUNCTION("""COMPUTED_VALUE"""),"2235")</f>
        <v>2235</v>
      </c>
      <c r="V558" s="11"/>
      <c r="W558" s="11">
        <f>IFERROR(__xludf.DUMMYFUNCTION("""COMPUTED_VALUE"""),87265114)</f>
        <v>87265114</v>
      </c>
      <c r="X558" s="11">
        <f>IFERROR(__xludf.DUMMYFUNCTION("""COMPUTED_VALUE"""),34341750)</f>
        <v>34341750</v>
      </c>
      <c r="Y558" s="11">
        <f>IFERROR(__xludf.DUMMYFUNCTION("""COMPUTED_VALUE"""),51366754468)</f>
        <v>51366754468</v>
      </c>
      <c r="Z558" s="11"/>
    </row>
    <row r="559" customHeight="1" spans="1:26">
      <c r="A559" s="11" t="str">
        <f>IFERROR(__xludf.DUMMYFUNCTION("""COMPUTED_VALUE"""),"LILIANE DA SILVA REVERENDO COSTA")</f>
        <v>LILIANE DA SILVA REVERENDO COSTA</v>
      </c>
      <c r="B559" s="11"/>
      <c r="C559" s="11"/>
      <c r="D559" s="11" t="str">
        <f>IFERROR(__xludf.DUMMYFUNCTION("""COMPUTED_VALUE"""),"Enfermeira eSF")</f>
        <v>Enfermeira eSF</v>
      </c>
      <c r="E559" s="11" t="str">
        <f>IFERROR(__xludf.DUMMYFUNCTION("""COMPUTED_VALUE"""),"I")</f>
        <v>I</v>
      </c>
      <c r="F559" s="11" t="str">
        <f>IFERROR(__xludf.DUMMYFUNCTION("""COMPUTED_VALUE"""),"SEDE DISTRITO SANITARIO I")</f>
        <v>SEDE DISTRITO SANITARIO I</v>
      </c>
      <c r="G559" s="11" t="str">
        <f>IFERROR(__xludf.DUMMYFUNCTION("""COMPUTED_VALUE"""),"US 278 USF NOSSA SRA DO PILAR BAIRRO DO RECIFE")</f>
        <v>US 278 USF NOSSA SRA DO PILAR BAIRRO DO RECIFE</v>
      </c>
      <c r="H559" s="27">
        <f>IFERROR(__xludf.DUMMYFUNCTION("""COMPUTED_VALUE"""),81973303969)</f>
        <v>81973303969</v>
      </c>
      <c r="I559" s="11"/>
      <c r="J559" s="11"/>
      <c r="K559" s="11"/>
      <c r="L559" s="11"/>
      <c r="M559" s="28" t="str">
        <f>IFERROR(__xludf.DUMMYFUNCTION("""COMPUTED_VALUE"""),"3355-6691")</f>
        <v>3355-6691</v>
      </c>
      <c r="N559" s="11" t="str">
        <f>IFERROR(__xludf.DUMMYFUNCTION("""COMPUTED_VALUE"""),"lilicarevoredo@bol.com.br")</f>
        <v>lilicarevoredo@bol.com.br</v>
      </c>
      <c r="O559" s="29">
        <f>IFERROR(__xludf.DUMMYFUNCTION("""COMPUTED_VALUE"""),2930800461)</f>
        <v>2930800461</v>
      </c>
      <c r="P559" s="30" t="str">
        <f>IFERROR(__xludf.DUMMYFUNCTION("""COMPUTED_VALUE"""),"980016000897796")</f>
        <v>980016000897796</v>
      </c>
      <c r="Q559" s="30" t="str">
        <f>IFERROR(__xludf.DUMMYFUNCTION("""COMPUTED_VALUE"""),"0028665")</f>
        <v>0028665</v>
      </c>
      <c r="R559" s="30" t="str">
        <f>IFERROR(__xludf.DUMMYFUNCTION("""COMPUTED_VALUE"""),"0000154563")</f>
        <v>0000154563</v>
      </c>
      <c r="S559" s="30" t="str">
        <f>IFERROR(__xludf.DUMMYFUNCTION("""COMPUTED_VALUE"""),"1")</f>
        <v>1</v>
      </c>
      <c r="T559" s="30" t="str">
        <f>IFERROR(__xludf.DUMMYFUNCTION("""COMPUTED_VALUE"""),"223565")</f>
        <v>223565</v>
      </c>
      <c r="U559" s="31" t="str">
        <f>IFERROR(__xludf.DUMMYFUNCTION("""COMPUTED_VALUE"""),"2235")</f>
        <v>2235</v>
      </c>
      <c r="V559" s="11"/>
      <c r="W559" s="11" t="str">
        <f>IFERROR(__xludf.DUMMYFUNCTION("""COMPUTED_VALUE"""),"#N/A")</f>
        <v>#N/A</v>
      </c>
      <c r="X559" s="11" t="str">
        <f>IFERROR(__xludf.DUMMYFUNCTION("""COMPUTED_VALUE"""),"#N/A")</f>
        <v>#N/A</v>
      </c>
      <c r="Y559" s="11" t="str">
        <f>IFERROR(__xludf.DUMMYFUNCTION("""COMPUTED_VALUE"""),"#N/A")</f>
        <v>#N/A</v>
      </c>
      <c r="Z559" s="11"/>
    </row>
    <row r="560" customHeight="1" spans="1:26">
      <c r="A560" s="11" t="str">
        <f>IFERROR(__xludf.DUMMYFUNCTION("""COMPUTED_VALUE"""),"ROSEANE SANTOS DA SILVA")</f>
        <v>ROSEANE SANTOS DA SILVA</v>
      </c>
      <c r="B560" s="11"/>
      <c r="C560" s="11"/>
      <c r="D560" s="11" t="str">
        <f>IFERROR(__xludf.DUMMYFUNCTION("""COMPUTED_VALUE"""),"Médica eSF")</f>
        <v>Médica eSF</v>
      </c>
      <c r="E560" s="11" t="str">
        <f>IFERROR(__xludf.DUMMYFUNCTION("""COMPUTED_VALUE"""),"II")</f>
        <v>II</v>
      </c>
      <c r="F560" s="11" t="str">
        <f>IFERROR(__xludf.DUMMYFUNCTION("""COMPUTED_VALUE"""),"ATENDE EM CASA")</f>
        <v>ATENDE EM CASA</v>
      </c>
      <c r="G560" s="11" t="str">
        <f>IFERROR(__xludf.DUMMYFUNCTION("""COMPUTED_VALUE"""),"US 339 USF ALTO DO CAPITAO")</f>
        <v>US 339 USF ALTO DO CAPITAO</v>
      </c>
      <c r="H560" s="27">
        <f>IFERROR(__xludf.DUMMYFUNCTION("""COMPUTED_VALUE"""),81991424963)</f>
        <v>81991424963</v>
      </c>
      <c r="I560" s="11"/>
      <c r="J560" s="11"/>
      <c r="K560" s="11"/>
      <c r="L560" s="11"/>
      <c r="M560" s="28" t="str">
        <f>IFERROR(__xludf.DUMMYFUNCTION("""COMPUTED_VALUE"""),"3355-6922")</f>
        <v>3355-6922</v>
      </c>
      <c r="N560" s="11" t="str">
        <f>IFERROR(__xludf.DUMMYFUNCTION("""COMPUTED_VALUE"""),"rose.ssilva@hotmail.com / rose.ssilva@hotmail.com")</f>
        <v>rose.ssilva@hotmail.com / rose.ssilva@hotmail.com</v>
      </c>
      <c r="O560" s="29">
        <f>IFERROR(__xludf.DUMMYFUNCTION("""COMPUTED_VALUE"""),96115416434)</f>
        <v>96115416434</v>
      </c>
      <c r="P560" s="30" t="str">
        <f>IFERROR(__xludf.DUMMYFUNCTION("""COMPUTED_VALUE"""),"209051597340002")</f>
        <v>209051597340002</v>
      </c>
      <c r="Q560" s="30" t="str">
        <f>IFERROR(__xludf.DUMMYFUNCTION("""COMPUTED_VALUE"""),"5356881")</f>
        <v>5356881</v>
      </c>
      <c r="R560" s="30" t="str">
        <f>IFERROR(__xludf.DUMMYFUNCTION("""COMPUTED_VALUE"""),"0000155829")</f>
        <v>0000155829</v>
      </c>
      <c r="S560" s="30" t="str">
        <f>IFERROR(__xludf.DUMMYFUNCTION("""COMPUTED_VALUE"""),"1")</f>
        <v>1</v>
      </c>
      <c r="T560" s="30" t="str">
        <f>IFERROR(__xludf.DUMMYFUNCTION("""COMPUTED_VALUE"""),"225142")</f>
        <v>225142</v>
      </c>
      <c r="U560" s="11">
        <f>IFERROR(__xludf.DUMMYFUNCTION("""COMPUTED_VALUE"""),2251)</f>
        <v>2251</v>
      </c>
      <c r="V560" s="11" t="str">
        <f>IFERROR(__xludf.DUMMYFUNCTION("""COMPUTED_VALUE"""),"SIM")</f>
        <v>SIM</v>
      </c>
      <c r="W560" s="11"/>
      <c r="X560" s="11">
        <f>IFERROR(__xludf.DUMMYFUNCTION("""COMPUTED_VALUE"""),8191424963)</f>
        <v>8191424963</v>
      </c>
      <c r="Y560" s="11">
        <f>IFERROR(__xludf.DUMMYFUNCTION("""COMPUTED_VALUE"""),8134398901)</f>
        <v>8134398901</v>
      </c>
      <c r="Z560" s="11">
        <f>IFERROR(__xludf.DUMMYFUNCTION("""COMPUTED_VALUE"""),96115416434)</f>
        <v>96115416434</v>
      </c>
    </row>
    <row r="561" customHeight="1" spans="1:26">
      <c r="A561" s="11" t="str">
        <f>IFERROR(__xludf.DUMMYFUNCTION("""COMPUTED_VALUE"""),"MARIA DE FATIMA PADILHA DA COSTA PEREIRA")</f>
        <v>MARIA DE FATIMA PADILHA DA COSTA PEREIRA</v>
      </c>
      <c r="B561" s="11"/>
      <c r="C561" s="11"/>
      <c r="D561" s="11" t="str">
        <f>IFERROR(__xludf.DUMMYFUNCTION("""COMPUTED_VALUE"""),"Enfermeira eSF")</f>
        <v>Enfermeira eSF</v>
      </c>
      <c r="E561" s="11" t="str">
        <f>IFERROR(__xludf.DUMMYFUNCTION("""COMPUTED_VALUE"""),"II")</f>
        <v>II</v>
      </c>
      <c r="F561" s="11" t="str">
        <f>IFERROR(__xludf.DUMMYFUNCTION("""COMPUTED_VALUE"""),"US_138 USF DR LUIZ WILSOM")</f>
        <v>US_138 USF DR LUIZ WILSOM</v>
      </c>
      <c r="G561" s="11" t="str">
        <f>IFERROR(__xludf.DUMMYFUNCTION("""COMPUTED_VALUE"""),"US 138 USF DR LUIZ WILSOM")</f>
        <v>US 138 USF DR LUIZ WILSOM</v>
      </c>
      <c r="H561" s="27">
        <f>IFERROR(__xludf.DUMMYFUNCTION("""COMPUTED_VALUE"""),81999775521)</f>
        <v>81999775521</v>
      </c>
      <c r="I561" s="11"/>
      <c r="J561" s="11"/>
      <c r="K561" s="11"/>
      <c r="L561" s="11"/>
      <c r="M561" s="28" t="str">
        <f>IFERROR(__xludf.DUMMYFUNCTION("""COMPUTED_VALUE"""),"3355-3165")</f>
        <v>3355-3165</v>
      </c>
      <c r="N561" s="11" t="str">
        <f>IFERROR(__xludf.DUMMYFUNCTION("""COMPUTED_VALUE"""),"mfatimapadilha@hotmail.com / m.fatimapadilha@hotmail.com")</f>
        <v>mfatimapadilha@hotmail.com / m.fatimapadilha@hotmail.com</v>
      </c>
      <c r="O561" s="29">
        <f>IFERROR(__xludf.DUMMYFUNCTION("""COMPUTED_VALUE"""),16724640482)</f>
        <v>16724640482</v>
      </c>
      <c r="P561" s="30" t="str">
        <f>IFERROR(__xludf.DUMMYFUNCTION("""COMPUTED_VALUE"""),"125829524530001")</f>
        <v>125829524530001</v>
      </c>
      <c r="Q561" s="30" t="str">
        <f>IFERROR(__xludf.DUMMYFUNCTION("""COMPUTED_VALUE"""),"0000876")</f>
        <v>0000876</v>
      </c>
      <c r="R561" s="30" t="str">
        <f>IFERROR(__xludf.DUMMYFUNCTION("""COMPUTED_VALUE"""),"0000152730")</f>
        <v>0000152730</v>
      </c>
      <c r="S561" s="30" t="str">
        <f>IFERROR(__xludf.DUMMYFUNCTION("""COMPUTED_VALUE"""),"1")</f>
        <v>1</v>
      </c>
      <c r="T561" s="30" t="str">
        <f>IFERROR(__xludf.DUMMYFUNCTION("""COMPUTED_VALUE"""),"223565")</f>
        <v>223565</v>
      </c>
      <c r="U561" s="31" t="str">
        <f>IFERROR(__xludf.DUMMYFUNCTION("""COMPUTED_VALUE"""),"2235")</f>
        <v>2235</v>
      </c>
      <c r="V561" s="11"/>
      <c r="W561" s="11">
        <f>IFERROR(__xludf.DUMMYFUNCTION("""COMPUTED_VALUE"""),8134413017)</f>
        <v>8134413017</v>
      </c>
      <c r="X561" s="11">
        <f>IFERROR(__xludf.DUMMYFUNCTION("""COMPUTED_VALUE"""),8199775521)</f>
        <v>8199775521</v>
      </c>
      <c r="Y561" s="11">
        <f>IFERROR(__xludf.DUMMYFUNCTION("""COMPUTED_VALUE"""),16724640482)</f>
        <v>16724640482</v>
      </c>
      <c r="Z561" s="11"/>
    </row>
    <row r="562" customHeight="1" spans="1:26">
      <c r="A562" s="11" t="str">
        <f>IFERROR(__xludf.DUMMYFUNCTION("""COMPUTED_VALUE"""),"MARIA LUCIANA ANDRADE DE ALMEIDA LOPES")</f>
        <v>MARIA LUCIANA ANDRADE DE ALMEIDA LOPES</v>
      </c>
      <c r="B562" s="11"/>
      <c r="C562" s="11"/>
      <c r="D562" s="11" t="str">
        <f>IFERROR(__xludf.DUMMYFUNCTION("""COMPUTED_VALUE"""),"Médica eSF")</f>
        <v>Médica eSF</v>
      </c>
      <c r="E562" s="11" t="str">
        <f>IFERROR(__xludf.DUMMYFUNCTION("""COMPUTED_VALUE"""),"II")</f>
        <v>II</v>
      </c>
      <c r="F562" s="11" t="str">
        <f>IFERROR(__xludf.DUMMYFUNCTION("""COMPUTED_VALUE"""),"SEDE DISTRITO SANITARIO II")</f>
        <v>SEDE DISTRITO SANITARIO II</v>
      </c>
      <c r="G562" s="11" t="str">
        <f>IFERROR(__xludf.DUMMYFUNCTION("""COMPUTED_VALUE"""),"US 276 USF UPINHA DIA ALTO DO PASCOAL")</f>
        <v>US 276 USF UPINHA DIA ALTO DO PASCOAL</v>
      </c>
      <c r="H562" s="27">
        <f>IFERROR(__xludf.DUMMYFUNCTION("""COMPUTED_VALUE"""),81991974389)</f>
        <v>81991974389</v>
      </c>
      <c r="I562" s="11"/>
      <c r="J562" s="11"/>
      <c r="K562" s="11"/>
      <c r="L562" s="11"/>
      <c r="M562" s="28" t="str">
        <f>IFERROR(__xludf.DUMMYFUNCTION("""COMPUTED_VALUE"""),"3355-3493")</f>
        <v>3355-3493</v>
      </c>
      <c r="N562" s="11" t="str">
        <f>IFERROR(__xludf.DUMMYFUNCTION("""COMPUTED_VALUE"""),"MALUCIANALOPES@HOTMAIL.COM")</f>
        <v>MALUCIANALOPES@HOTMAIL.COM</v>
      </c>
      <c r="O562" s="29">
        <f>IFERROR(__xludf.DUMMYFUNCTION("""COMPUTED_VALUE"""),78146941400)</f>
        <v>78146941400</v>
      </c>
      <c r="P562" s="30" t="str">
        <f>IFERROR(__xludf.DUMMYFUNCTION("""COMPUTED_VALUE"""),"170449916350004")</f>
        <v>170449916350004</v>
      </c>
      <c r="Q562" s="30" t="str">
        <f>IFERROR(__xludf.DUMMYFUNCTION("""COMPUTED_VALUE"""),"0028649")</f>
        <v>0028649</v>
      </c>
      <c r="R562" s="30" t="str">
        <f>IFERROR(__xludf.DUMMYFUNCTION("""COMPUTED_VALUE"""),"0000154555")</f>
        <v>0000154555</v>
      </c>
      <c r="S562" s="30" t="str">
        <f>IFERROR(__xludf.DUMMYFUNCTION("""COMPUTED_VALUE"""),"1")</f>
        <v>1</v>
      </c>
      <c r="T562" s="30" t="str">
        <f>IFERROR(__xludf.DUMMYFUNCTION("""COMPUTED_VALUE"""),"225142")</f>
        <v>225142</v>
      </c>
      <c r="U562" s="11">
        <f>IFERROR(__xludf.DUMMYFUNCTION("""COMPUTED_VALUE"""),2251)</f>
        <v>2251</v>
      </c>
      <c r="V562" s="11" t="str">
        <f>IFERROR(__xludf.DUMMYFUNCTION("""COMPUTED_VALUE"""),"SIM")</f>
        <v>SIM</v>
      </c>
      <c r="W562" s="11"/>
      <c r="X562" s="11"/>
      <c r="Y562" s="11"/>
      <c r="Z562" s="11"/>
    </row>
    <row r="563" customHeight="1" spans="1:26">
      <c r="A563" s="11" t="str">
        <f>IFERROR(__xludf.DUMMYFUNCTION("""COMPUTED_VALUE"""),"SIMONE MARIA XAVIER DUARTE")</f>
        <v>SIMONE MARIA XAVIER DUARTE</v>
      </c>
      <c r="B563" s="11"/>
      <c r="C563" s="11"/>
      <c r="D563" s="11" t="str">
        <f>IFERROR(__xludf.DUMMYFUNCTION("""COMPUTED_VALUE"""),"Médica eSF")</f>
        <v>Médica eSF</v>
      </c>
      <c r="E563" s="11" t="str">
        <f>IFERROR(__xludf.DUMMYFUNCTION("""COMPUTED_VALUE"""),"II")</f>
        <v>II</v>
      </c>
      <c r="F563" s="11" t="str">
        <f>IFERROR(__xludf.DUMMYFUNCTION("""COMPUTED_VALUE"""),"US_302 USF BYRON SARINHO	")</f>
        <v>US_302 USF BYRON SARINHO	</v>
      </c>
      <c r="G563" s="11" t="str">
        <f>IFERROR(__xludf.DUMMYFUNCTION("""COMPUTED_VALUE"""),"US 302 USF BYRON SARINHO")</f>
        <v>US 302 USF BYRON SARINHO</v>
      </c>
      <c r="H563" s="27">
        <f>IFERROR(__xludf.DUMMYFUNCTION("""COMPUTED_VALUE"""),81999148350)</f>
        <v>81999148350</v>
      </c>
      <c r="I563" s="11"/>
      <c r="J563" s="11"/>
      <c r="K563" s="11"/>
      <c r="L563" s="11"/>
      <c r="M563" s="28" t="str">
        <f>IFERROR(__xludf.DUMMYFUNCTION("""COMPUTED_VALUE"""),"3355-6511")</f>
        <v>3355-6511</v>
      </c>
      <c r="N563" s="11" t="str">
        <f>IFERROR(__xludf.DUMMYFUNCTION("""COMPUTED_VALUE"""),"simone_xd@hotmail.com")</f>
        <v>simone_xd@hotmail.com</v>
      </c>
      <c r="O563" s="29">
        <f>IFERROR(__xludf.DUMMYFUNCTION("""COMPUTED_VALUE"""),3971741444)</f>
        <v>3971741444</v>
      </c>
      <c r="P563" s="30" t="str">
        <f>IFERROR(__xludf.DUMMYFUNCTION("""COMPUTED_VALUE"""),"980016280652292")</f>
        <v>980016280652292</v>
      </c>
      <c r="Q563" s="30" t="str">
        <f>IFERROR(__xludf.DUMMYFUNCTION("""COMPUTED_VALUE"""),"3301974")</f>
        <v>3301974</v>
      </c>
      <c r="R563" s="30" t="str">
        <f>IFERROR(__xludf.DUMMYFUNCTION("""COMPUTED_VALUE"""),"0000155225")</f>
        <v>0000155225</v>
      </c>
      <c r="S563" s="30" t="str">
        <f>IFERROR(__xludf.DUMMYFUNCTION("""COMPUTED_VALUE"""),"1")</f>
        <v>1</v>
      </c>
      <c r="T563" s="30" t="str">
        <f>IFERROR(__xludf.DUMMYFUNCTION("""COMPUTED_VALUE"""),"225142")</f>
        <v>225142</v>
      </c>
      <c r="U563" s="11">
        <f>IFERROR(__xludf.DUMMYFUNCTION("""COMPUTED_VALUE"""),2251)</f>
        <v>2251</v>
      </c>
      <c r="V563" s="11" t="str">
        <f>IFERROR(__xludf.DUMMYFUNCTION("""COMPUTED_VALUE"""),"SIM")</f>
        <v>SIM</v>
      </c>
      <c r="W563" s="11"/>
      <c r="X563" s="11" t="str">
        <f>IFERROR(__xludf.DUMMYFUNCTION("""COMPUTED_VALUE"""),"#N/A")</f>
        <v>#N/A</v>
      </c>
      <c r="Y563" s="11" t="str">
        <f>IFERROR(__xludf.DUMMYFUNCTION("""COMPUTED_VALUE"""),"#N/A")</f>
        <v>#N/A</v>
      </c>
      <c r="Z563" s="11" t="str">
        <f>IFERROR(__xludf.DUMMYFUNCTION("""COMPUTED_VALUE"""),"#N/A")</f>
        <v>#N/A</v>
      </c>
    </row>
    <row r="564" customHeight="1" spans="1:26">
      <c r="A564" s="11" t="str">
        <f>IFERROR(__xludf.DUMMYFUNCTION("""COMPUTED_VALUE"""),"MARIA LUCIA MARTINS DE SOUSA")</f>
        <v>MARIA LUCIA MARTINS DE SOUSA</v>
      </c>
      <c r="B564" s="11"/>
      <c r="C564" s="11"/>
      <c r="D564" s="11" t="str">
        <f>IFERROR(__xludf.DUMMYFUNCTION("""COMPUTED_VALUE"""),"Médica Ginecologista")</f>
        <v>Médica Ginecologista</v>
      </c>
      <c r="E564" s="11" t="str">
        <f>IFERROR(__xludf.DUMMYFUNCTION("""COMPUTED_VALUE"""),"V")</f>
        <v>V</v>
      </c>
      <c r="F564" s="11" t="str">
        <f>IFERROR(__xludf.DUMMYFUNCTION("""COMPUTED_VALUE"""),"US_158 CS PAM CEASA")</f>
        <v>US_158 CS PAM CEASA</v>
      </c>
      <c r="G564" s="11" t="str">
        <f>IFERROR(__xludf.DUMMYFUNCTION("""COMPUTED_VALUE"""),"US 158 CS PAM CEASA")</f>
        <v>US 158 CS PAM CEASA</v>
      </c>
      <c r="H564" s="27">
        <f>IFERROR(__xludf.DUMMYFUNCTION("""COMPUTED_VALUE"""),81999595924)</f>
        <v>81999595924</v>
      </c>
      <c r="I564" s="11"/>
      <c r="J564" s="11"/>
      <c r="K564" s="11"/>
      <c r="L564" s="11"/>
      <c r="M564" s="28" t="str">
        <f>IFERROR(__xludf.DUMMYFUNCTION("""COMPUTED_VALUE"""),"3355-0090")</f>
        <v>3355-0090</v>
      </c>
      <c r="N564" s="11" t="str">
        <f>IFERROR(__xludf.DUMMYFUNCTION("""COMPUTED_VALUE"""),"teixeirarecife@gmail.com")</f>
        <v>teixeirarecife@gmail.com</v>
      </c>
      <c r="O564" s="29">
        <f>IFERROR(__xludf.DUMMYFUNCTION("""COMPUTED_VALUE"""),39529290420)</f>
        <v>39529290420</v>
      </c>
      <c r="P564" s="30" t="str">
        <f>IFERROR(__xludf.DUMMYFUNCTION("""COMPUTED_VALUE"""),"124123530440003")</f>
        <v>124123530440003</v>
      </c>
      <c r="Q564" s="30" t="str">
        <f>IFERROR(__xludf.DUMMYFUNCTION("""COMPUTED_VALUE"""),"0001368")</f>
        <v>0001368</v>
      </c>
      <c r="R564" s="11"/>
      <c r="S564" s="30" t="str">
        <f>IFERROR(__xludf.DUMMYFUNCTION("""COMPUTED_VALUE"""),"1")</f>
        <v>1</v>
      </c>
      <c r="T564" s="30" t="str">
        <f>IFERROR(__xludf.DUMMYFUNCTION("""COMPUTED_VALUE"""),"225250")</f>
        <v>225250</v>
      </c>
      <c r="U564" s="31" t="str">
        <f>IFERROR(__xludf.DUMMYFUNCTION("""COMPUTED_VALUE"""),"2251")</f>
        <v>2251</v>
      </c>
      <c r="V564" s="11"/>
      <c r="W564" s="30" t="str">
        <f>IFERROR(__xludf.DUMMYFUNCTION("""COMPUTED_VALUE"""),"24/02/1959")</f>
        <v>24/02/1959</v>
      </c>
      <c r="X564" s="11">
        <f>IFERROR(__xludf.DUMMYFUNCTION("""COMPUTED_VALUE"""),8134423297)</f>
        <v>8134423297</v>
      </c>
      <c r="Y564" s="11"/>
      <c r="Z564" s="11">
        <f>IFERROR(__xludf.DUMMYFUNCTION("""COMPUTED_VALUE"""),39529290420)</f>
        <v>39529290420</v>
      </c>
    </row>
    <row r="565" customHeight="1" spans="1:26">
      <c r="A565" s="11" t="str">
        <f>IFERROR(__xludf.DUMMYFUNCTION("""COMPUTED_VALUE"""),"CRISTIANE MARIA FREITAS MOTA")</f>
        <v>CRISTIANE MARIA FREITAS MOTA</v>
      </c>
      <c r="B565" s="11"/>
      <c r="C565" s="11"/>
      <c r="D565" s="11" t="str">
        <f>IFERROR(__xludf.DUMMYFUNCTION("""COMPUTED_VALUE"""),"Enfermeira eSF")</f>
        <v>Enfermeira eSF</v>
      </c>
      <c r="E565" s="11" t="str">
        <f>IFERROR(__xludf.DUMMYFUNCTION("""COMPUTED_VALUE"""),"VII")</f>
        <v>VII</v>
      </c>
      <c r="F565" s="11" t="str">
        <f>IFERROR(__xludf.DUMMYFUNCTION("""COMPUTED_VALUE"""),"US_397 USF UPINHA DIA ACS MARIA RITA DA SILVA /CORREGO DO EUCLIDES")</f>
        <v>US_397 USF UPINHA DIA ACS MARIA RITA DA SILVA /CORREGO DO EUCLIDES</v>
      </c>
      <c r="G565" s="11" t="str">
        <f>IFERROR(__xludf.DUMMYFUNCTION("""COMPUTED_VALUE"""),"US 397 USF UPINHA DIA CORREGO DO EUCLIDES")</f>
        <v>US 397 USF UPINHA DIA CORREGO DO EUCLIDES</v>
      </c>
      <c r="H565" s="27">
        <f>IFERROR(__xludf.DUMMYFUNCTION("""COMPUTED_VALUE"""),81999276777)</f>
        <v>81999276777</v>
      </c>
      <c r="I565" s="11"/>
      <c r="J565" s="11"/>
      <c r="K565" s="11"/>
      <c r="L565" s="11"/>
      <c r="M565" s="28" t="str">
        <f>IFERROR(__xludf.DUMMYFUNCTION("""COMPUTED_VALUE"""),"3355-6037")</f>
        <v>3355-6037</v>
      </c>
      <c r="N565" s="11" t="str">
        <f>IFERROR(__xludf.DUMMYFUNCTION("""COMPUTED_VALUE"""),"cris.wil@hotmail.com")</f>
        <v>cris.wil@hotmail.com</v>
      </c>
      <c r="O565" s="29">
        <f>IFERROR(__xludf.DUMMYFUNCTION("""COMPUTED_VALUE"""),38729687420)</f>
        <v>38729687420</v>
      </c>
      <c r="P565" s="30" t="str">
        <f>IFERROR(__xludf.DUMMYFUNCTION("""COMPUTED_VALUE"""),"204322429580007")</f>
        <v>204322429580007</v>
      </c>
      <c r="Q565" s="30" t="str">
        <f>IFERROR(__xludf.DUMMYFUNCTION("""COMPUTED_VALUE"""),"7563736")</f>
        <v>7563736</v>
      </c>
      <c r="R565" s="30" t="str">
        <f>IFERROR(__xludf.DUMMYFUNCTION("""COMPUTED_VALUE"""),"0001556150")</f>
        <v>0001556150</v>
      </c>
      <c r="S565" s="30" t="str">
        <f>IFERROR(__xludf.DUMMYFUNCTION("""COMPUTED_VALUE"""),"1")</f>
        <v>1</v>
      </c>
      <c r="T565" s="30" t="str">
        <f>IFERROR(__xludf.DUMMYFUNCTION("""COMPUTED_VALUE"""),"223565")</f>
        <v>223565</v>
      </c>
      <c r="U565" s="31" t="str">
        <f>IFERROR(__xludf.DUMMYFUNCTION("""COMPUTED_VALUE"""),"2235")</f>
        <v>2235</v>
      </c>
      <c r="V565" s="11"/>
      <c r="W565" s="11" t="str">
        <f>IFERROR(__xludf.DUMMYFUNCTION("""COMPUTED_VALUE"""),"#N/A")</f>
        <v>#N/A</v>
      </c>
      <c r="X565" s="11" t="str">
        <f>IFERROR(__xludf.DUMMYFUNCTION("""COMPUTED_VALUE"""),"#N/A")</f>
        <v>#N/A</v>
      </c>
      <c r="Y565" s="11" t="str">
        <f>IFERROR(__xludf.DUMMYFUNCTION("""COMPUTED_VALUE"""),"#N/A")</f>
        <v>#N/A</v>
      </c>
      <c r="Z565" s="11"/>
    </row>
    <row r="566" customHeight="1" spans="1:26">
      <c r="A566" s="11" t="str">
        <f>IFERROR(__xludf.DUMMYFUNCTION("""COMPUTED_VALUE"""),"LINDINALVA PEREIRA DE SANTANA")</f>
        <v>LINDINALVA PEREIRA DE SANTANA</v>
      </c>
      <c r="B566" s="11"/>
      <c r="C566" s="11"/>
      <c r="D566" s="11" t="str">
        <f>IFERROR(__xludf.DUMMYFUNCTION("""COMPUTED_VALUE"""),"Dentista")</f>
        <v>Dentista</v>
      </c>
      <c r="E566" s="11" t="str">
        <f>IFERROR(__xludf.DUMMYFUNCTION("""COMPUTED_VALUE"""),"II")</f>
        <v>II</v>
      </c>
      <c r="F566" s="11" t="str">
        <f>IFERROR(__xludf.DUMMYFUNCTION("""COMPUTED_VALUE"""),"US_273 USF BIANOR TEODOSIO")</f>
        <v>US_273 USF BIANOR TEODOSIO</v>
      </c>
      <c r="G566" s="11" t="str">
        <f>IFERROR(__xludf.DUMMYFUNCTION("""COMPUTED_VALUE"""),"US 273 USF BIANOR TEODOSIO")</f>
        <v>US 273 USF BIANOR TEODOSIO</v>
      </c>
      <c r="H566" s="27">
        <f>IFERROR(__xludf.DUMMYFUNCTION("""COMPUTED_VALUE"""),81994623241)</f>
        <v>81994623241</v>
      </c>
      <c r="I566" s="11"/>
      <c r="J566" s="11"/>
      <c r="K566" s="11"/>
      <c r="L566" s="11"/>
      <c r="M566" s="28" t="str">
        <f>IFERROR(__xludf.DUMMYFUNCTION("""COMPUTED_VALUE"""),"3355-6094")</f>
        <v>3355-6094</v>
      </c>
      <c r="N566" s="11" t="str">
        <f>IFERROR(__xludf.DUMMYFUNCTION("""COMPUTED_VALUE"""),"nalvaps14@hotmail.com")</f>
        <v>nalvaps14@hotmail.com</v>
      </c>
      <c r="O566" s="29">
        <f>IFERROR(__xludf.DUMMYFUNCTION("""COMPUTED_VALUE"""),23177438404)</f>
        <v>23177438404</v>
      </c>
      <c r="P566" s="30" t="str">
        <f>IFERROR(__xludf.DUMMYFUNCTION("""COMPUTED_VALUE"""),"170386510890008")</f>
        <v>170386510890008</v>
      </c>
      <c r="Q566" s="30" t="str">
        <f>IFERROR(__xludf.DUMMYFUNCTION("""COMPUTED_VALUE"""),"0028088")</f>
        <v>0028088</v>
      </c>
      <c r="R566" s="30" t="str">
        <f>IFERROR(__xludf.DUMMYFUNCTION("""COMPUTED_VALUE"""),"0000154474")</f>
        <v>0000154474</v>
      </c>
      <c r="S566" s="30" t="str">
        <f>IFERROR(__xludf.DUMMYFUNCTION("""COMPUTED_VALUE"""),"1")</f>
        <v>1</v>
      </c>
      <c r="T566" s="30" t="str">
        <f>IFERROR(__xludf.DUMMYFUNCTION("""COMPUTED_VALUE"""),"223293")</f>
        <v>223293</v>
      </c>
      <c r="U566" s="31">
        <f>IFERROR(__xludf.DUMMYFUNCTION("""COMPUTED_VALUE"""),2232)</f>
        <v>2232</v>
      </c>
      <c r="V566" s="11"/>
      <c r="W566" s="11"/>
      <c r="X566" s="11"/>
      <c r="Y566" s="11"/>
      <c r="Z566" s="11"/>
    </row>
    <row r="567" customHeight="1" spans="1:26">
      <c r="A567" s="11" t="str">
        <f>IFERROR(__xludf.DUMMYFUNCTION("""COMPUTED_VALUE"""),"GINNA CYBELLE MAURICIO VANDERLEY")</f>
        <v>GINNA CYBELLE MAURICIO VANDERLEY</v>
      </c>
      <c r="B567" s="11"/>
      <c r="C567" s="11"/>
      <c r="D567" s="11" t="str">
        <f>IFERROR(__xludf.DUMMYFUNCTION("""COMPUTED_VALUE"""),"Enfermeira eSF")</f>
        <v>Enfermeira eSF</v>
      </c>
      <c r="E567" s="11" t="str">
        <f>IFERROR(__xludf.DUMMYFUNCTION("""COMPUTED_VALUE"""),"VII")</f>
        <v>VII</v>
      </c>
      <c r="F567" s="11" t="str">
        <f>IFERROR(__xludf.DUMMYFUNCTION("""COMPUTED_VALUE"""),"US_397 USF UPINHA DIA ACS MARIA RITA DA SILVA /CORREGO DO EUCLIDES")</f>
        <v>US_397 USF UPINHA DIA ACS MARIA RITA DA SILVA /CORREGO DO EUCLIDES</v>
      </c>
      <c r="G567" s="11" t="str">
        <f>IFERROR(__xludf.DUMMYFUNCTION("""COMPUTED_VALUE"""),"US 397 USF UPINHA DIA CORREGO DO EUCLIDES")</f>
        <v>US 397 USF UPINHA DIA CORREGO DO EUCLIDES</v>
      </c>
      <c r="H567" s="27">
        <f>IFERROR(__xludf.DUMMYFUNCTION("""COMPUTED_VALUE"""),81986226765)</f>
        <v>81986226765</v>
      </c>
      <c r="I567" s="27">
        <f>IFERROR(__xludf.DUMMYFUNCTION("""COMPUTED_VALUE"""),81992675706)</f>
        <v>81992675706</v>
      </c>
      <c r="J567" s="11"/>
      <c r="K567" s="11"/>
      <c r="L567" s="11"/>
      <c r="M567" s="28" t="str">
        <f>IFERROR(__xludf.DUMMYFUNCTION("""COMPUTED_VALUE"""),"3355-6037")</f>
        <v>3355-6037</v>
      </c>
      <c r="N567" s="11" t="str">
        <f>IFERROR(__xludf.DUMMYFUNCTION("""COMPUTED_VALUE"""),"ginnavanderley@hotmail.com")</f>
        <v>ginnavanderley@hotmail.com</v>
      </c>
      <c r="O567" s="29">
        <f>IFERROR(__xludf.DUMMYFUNCTION("""COMPUTED_VALUE"""),1944996427)</f>
        <v>1944996427</v>
      </c>
      <c r="P567" s="30" t="str">
        <f>IFERROR(__xludf.DUMMYFUNCTION("""COMPUTED_VALUE"""),"706801794350426")</f>
        <v>706801794350426</v>
      </c>
      <c r="Q567" s="30" t="str">
        <f>IFERROR(__xludf.DUMMYFUNCTION("""COMPUTED_VALUE"""),"7563736")</f>
        <v>7563736</v>
      </c>
      <c r="R567" s="30" t="str">
        <f>IFERROR(__xludf.DUMMYFUNCTION("""COMPUTED_VALUE"""),"0001546112")</f>
        <v>0001546112</v>
      </c>
      <c r="S567" s="30" t="str">
        <f>IFERROR(__xludf.DUMMYFUNCTION("""COMPUTED_VALUE"""),"1")</f>
        <v>1</v>
      </c>
      <c r="T567" s="30" t="str">
        <f>IFERROR(__xludf.DUMMYFUNCTION("""COMPUTED_VALUE"""),"223565")</f>
        <v>223565</v>
      </c>
      <c r="U567" s="31" t="str">
        <f>IFERROR(__xludf.DUMMYFUNCTION("""COMPUTED_VALUE"""),"2235")</f>
        <v>2235</v>
      </c>
      <c r="V567" s="11"/>
      <c r="W567" s="11">
        <f>IFERROR(__xludf.DUMMYFUNCTION("""COMPUTED_VALUE"""),34445613)</f>
        <v>34445613</v>
      </c>
      <c r="X567" s="11">
        <f>IFERROR(__xludf.DUMMYFUNCTION("""COMPUTED_VALUE"""),92675706)</f>
        <v>92675706</v>
      </c>
      <c r="Y567" s="11">
        <f>IFERROR(__xludf.DUMMYFUNCTION("""COMPUTED_VALUE"""),1944996427)</f>
        <v>1944996427</v>
      </c>
      <c r="Z567" s="11"/>
    </row>
    <row r="568" customHeight="1" spans="1:26">
      <c r="A568" s="11" t="str">
        <f>IFERROR(__xludf.DUMMYFUNCTION("""COMPUTED_VALUE"""),"NATHALIA JESSIKA DA SILVA MELO")</f>
        <v>NATHALIA JESSIKA DA SILVA MELO</v>
      </c>
      <c r="B568" s="11"/>
      <c r="C568" s="11"/>
      <c r="D568" s="11" t="str">
        <f>IFERROR(__xludf.DUMMYFUNCTION("""COMPUTED_VALUE"""),"Médica eSF")</f>
        <v>Médica eSF</v>
      </c>
      <c r="E568" s="11" t="str">
        <f>IFERROR(__xludf.DUMMYFUNCTION("""COMPUTED_VALUE"""),"II")</f>
        <v>II</v>
      </c>
      <c r="F568" s="11" t="str">
        <f>IFERROR(__xludf.DUMMYFUNCTION("""COMPUTED_VALUE"""),"ATENDE EM CASA")</f>
        <v>ATENDE EM CASA</v>
      </c>
      <c r="G568" s="11" t="str">
        <f>IFERROR(__xludf.DUMMYFUNCTION("""COMPUTED_VALUE"""),"US 395 USF UPINHA 24H DR FERNANDA WANDERLEY")</f>
        <v>US 395 USF UPINHA 24H DR FERNANDA WANDERLEY</v>
      </c>
      <c r="H568" s="27">
        <f>IFERROR(__xludf.DUMMYFUNCTION("""COMPUTED_VALUE"""),81999917139)</f>
        <v>81999917139</v>
      </c>
      <c r="I568" s="11"/>
      <c r="J568" s="11"/>
      <c r="K568" s="11"/>
      <c r="L568" s="11"/>
      <c r="M568" s="11"/>
      <c r="N568" s="11" t="str">
        <f>IFERROR(__xludf.DUMMYFUNCTION("""COMPUTED_VALUE"""),"natylove_1000@hotmail.com")</f>
        <v>natylove_1000@hotmail.com</v>
      </c>
      <c r="O568" s="29">
        <f>IFERROR(__xludf.DUMMYFUNCTION("""COMPUTED_VALUE"""),5920456418)</f>
        <v>5920456418</v>
      </c>
      <c r="P568" s="30" t="str">
        <f>IFERROR(__xludf.DUMMYFUNCTION("""COMPUTED_VALUE"""),"704105129687775")</f>
        <v>704105129687775</v>
      </c>
      <c r="Q568" s="30" t="str">
        <f>IFERROR(__xludf.DUMMYFUNCTION("""COMPUTED_VALUE"""),"7524501")</f>
        <v>7524501</v>
      </c>
      <c r="R568" s="30" t="str">
        <f>IFERROR(__xludf.DUMMYFUNCTION("""COMPUTED_VALUE"""),"0001554891")</f>
        <v>0001554891</v>
      </c>
      <c r="S568" s="30" t="str">
        <f>IFERROR(__xludf.DUMMYFUNCTION("""COMPUTED_VALUE"""),"1")</f>
        <v>1</v>
      </c>
      <c r="T568" s="30" t="str">
        <f>IFERROR(__xludf.DUMMYFUNCTION("""COMPUTED_VALUE"""),"225142")</f>
        <v>225142</v>
      </c>
      <c r="U568" s="11">
        <f>IFERROR(__xludf.DUMMYFUNCTION("""COMPUTED_VALUE"""),2251)</f>
        <v>2251</v>
      </c>
      <c r="V568" s="11"/>
      <c r="W568" s="11"/>
      <c r="X568" s="11" t="str">
        <f>IFERROR(__xludf.DUMMYFUNCTION("""COMPUTED_VALUE"""),"#N/A")</f>
        <v>#N/A</v>
      </c>
      <c r="Y568" s="11" t="str">
        <f>IFERROR(__xludf.DUMMYFUNCTION("""COMPUTED_VALUE"""),"#N/A")</f>
        <v>#N/A</v>
      </c>
      <c r="Z568" s="11" t="str">
        <f>IFERROR(__xludf.DUMMYFUNCTION("""COMPUTED_VALUE"""),"#N/A")</f>
        <v>#N/A</v>
      </c>
    </row>
    <row r="569" customHeight="1" spans="1:26">
      <c r="A569" s="11" t="str">
        <f>IFERROR(__xludf.DUMMYFUNCTION("""COMPUTED_VALUE"""),"AMANDA GONCALVES BARRETO")</f>
        <v>AMANDA GONCALVES BARRETO</v>
      </c>
      <c r="B569" s="11"/>
      <c r="C569" s="11"/>
      <c r="D569" s="11" t="str">
        <f>IFERROR(__xludf.DUMMYFUNCTION("""COMPUTED_VALUE"""),"Médica eSF")</f>
        <v>Médica eSF</v>
      </c>
      <c r="E569" s="11" t="str">
        <f>IFERROR(__xludf.DUMMYFUNCTION("""COMPUTED_VALUE"""),"VII")</f>
        <v>VII</v>
      </c>
      <c r="F569" s="11" t="str">
        <f>IFERROR(__xludf.DUMMYFUNCTION("""COMPUTED_VALUE"""),"US_261 USF ALTO DO EUCALIPTO/ EDNALDO VASCONCELOS")</f>
        <v>US_261 USF ALTO DO EUCALIPTO/ EDNALDO VASCONCELOS</v>
      </c>
      <c r="G569" s="11" t="str">
        <f>IFERROR(__xludf.DUMMYFUNCTION("""COMPUTED_VALUE"""),"US 261 USF ALTO DO EUCALIPTO")</f>
        <v>US 261 USF ALTO DO EUCALIPTO</v>
      </c>
      <c r="H569" s="27">
        <f>IFERROR(__xludf.DUMMYFUNCTION("""COMPUTED_VALUE"""),81997593439)</f>
        <v>81997593439</v>
      </c>
      <c r="I569" s="11"/>
      <c r="J569" s="11"/>
      <c r="K569" s="11"/>
      <c r="L569" s="11"/>
      <c r="M569" s="28" t="str">
        <f>IFERROR(__xludf.DUMMYFUNCTION("""COMPUTED_VALUE"""),"3355-6082")</f>
        <v>3355-6082</v>
      </c>
      <c r="N569" s="11" t="str">
        <f>IFERROR(__xludf.DUMMYFUNCTION("""COMPUTED_VALUE"""),"amandagoncalvesmed@gmail.com")</f>
        <v>amandagoncalvesmed@gmail.com</v>
      </c>
      <c r="O569" s="29">
        <f>IFERROR(__xludf.DUMMYFUNCTION("""COMPUTED_VALUE"""),7642604483)</f>
        <v>7642604483</v>
      </c>
      <c r="P569" s="30" t="str">
        <f>IFERROR(__xludf.DUMMYFUNCTION("""COMPUTED_VALUE"""),"700006608439002")</f>
        <v>700006608439002</v>
      </c>
      <c r="Q569" s="30" t="str">
        <f>IFERROR(__xludf.DUMMYFUNCTION("""COMPUTED_VALUE"""),"0026301")</f>
        <v>0026301</v>
      </c>
      <c r="R569" s="30" t="str">
        <f>IFERROR(__xludf.DUMMYFUNCTION("""COMPUTED_VALUE"""),"0000154237")</f>
        <v>0000154237</v>
      </c>
      <c r="S569" s="30" t="str">
        <f>IFERROR(__xludf.DUMMYFUNCTION("""COMPUTED_VALUE"""),"1")</f>
        <v>1</v>
      </c>
      <c r="T569" s="30" t="str">
        <f>IFERROR(__xludf.DUMMYFUNCTION("""COMPUTED_VALUE"""),"225142")</f>
        <v>225142</v>
      </c>
      <c r="U569" s="31" t="str">
        <f>IFERROR(__xludf.DUMMYFUNCTION("""COMPUTED_VALUE"""),"2251")</f>
        <v>2251</v>
      </c>
      <c r="V569" s="11" t="str">
        <f>IFERROR(__xludf.DUMMYFUNCTION("""COMPUTED_VALUE"""),"SIM")</f>
        <v>SIM</v>
      </c>
      <c r="W569" s="30" t="str">
        <f>IFERROR(__xludf.DUMMYFUNCTION("""COMPUTED_VALUE"""),"10/07/1988")</f>
        <v>10/07/1988</v>
      </c>
      <c r="X569" s="11" t="str">
        <f>IFERROR(__xludf.DUMMYFUNCTION("""COMPUTED_VALUE"""),"#N/A")</f>
        <v>#N/A</v>
      </c>
      <c r="Y569" s="11" t="str">
        <f>IFERROR(__xludf.DUMMYFUNCTION("""COMPUTED_VALUE"""),"#N/A")</f>
        <v>#N/A</v>
      </c>
      <c r="Z569" s="11" t="str">
        <f>IFERROR(__xludf.DUMMYFUNCTION("""COMPUTED_VALUE"""),"#N/A")</f>
        <v>#N/A</v>
      </c>
    </row>
    <row r="570" customHeight="1" spans="1:26">
      <c r="A570" s="11" t="str">
        <f>IFERROR(__xludf.DUMMYFUNCTION("""COMPUTED_VALUE"""),"FABIOLA FONSECA DE LIMA")</f>
        <v>FABIOLA FONSECA DE LIMA</v>
      </c>
      <c r="B570" s="11"/>
      <c r="C570" s="11"/>
      <c r="D570" s="11" t="str">
        <f>IFERROR(__xludf.DUMMYFUNCTION("""COMPUTED_VALUE"""),"Médica eSF")</f>
        <v>Médica eSF</v>
      </c>
      <c r="E570" s="11" t="str">
        <f>IFERROR(__xludf.DUMMYFUNCTION("""COMPUTED_VALUE"""),"IV")</f>
        <v>IV</v>
      </c>
      <c r="F570" s="11" t="str">
        <f>IFERROR(__xludf.DUMMYFUNCTION("""COMPUTED_VALUE"""),"US_184 USF VILA UNIAO / AIRTON SENA")</f>
        <v>US_184 USF VILA UNIAO / AIRTON SENA</v>
      </c>
      <c r="G570" s="11" t="str">
        <f>IFERROR(__xludf.DUMMYFUNCTION("""COMPUTED_VALUE"""),"US 184 USF VILA UNIAO")</f>
        <v>US 184 USF VILA UNIAO</v>
      </c>
      <c r="H570" s="27">
        <f>IFERROR(__xludf.DUMMYFUNCTION("""COMPUTED_VALUE"""),81999655279)</f>
        <v>81999655279</v>
      </c>
      <c r="I570" s="11"/>
      <c r="J570" s="11"/>
      <c r="K570" s="11"/>
      <c r="L570" s="11"/>
      <c r="M570" s="28" t="str">
        <f>IFERROR(__xludf.DUMMYFUNCTION("""COMPUTED_VALUE"""),"3355-4716")</f>
        <v>3355-4716</v>
      </c>
      <c r="N570" s="11" t="str">
        <f>IFERROR(__xludf.DUMMYFUNCTION("""COMPUTED_VALUE"""),"fabiolafonseca@globo.com")</f>
        <v>fabiolafonseca@globo.com</v>
      </c>
      <c r="O570" s="29">
        <f>IFERROR(__xludf.DUMMYFUNCTION("""COMPUTED_VALUE"""),12590711468)</f>
        <v>12590711468</v>
      </c>
      <c r="P570" s="30" t="str">
        <f>IFERROR(__xludf.DUMMYFUNCTION("""COMPUTED_VALUE"""),"124663096470004")</f>
        <v>124663096470004</v>
      </c>
      <c r="Q570" s="30" t="str">
        <f>IFERROR(__xludf.DUMMYFUNCTION("""COMPUTED_VALUE"""),"0001511")</f>
        <v>0001511</v>
      </c>
      <c r="R570" s="30" t="str">
        <f>IFERROR(__xludf.DUMMYFUNCTION("""COMPUTED_VALUE"""),"0000153338")</f>
        <v>0000153338</v>
      </c>
      <c r="S570" s="30" t="str">
        <f>IFERROR(__xludf.DUMMYFUNCTION("""COMPUTED_VALUE"""),"1")</f>
        <v>1</v>
      </c>
      <c r="T570" s="30" t="str">
        <f>IFERROR(__xludf.DUMMYFUNCTION("""COMPUTED_VALUE"""),"225142")</f>
        <v>225142</v>
      </c>
      <c r="U570" s="31" t="str">
        <f>IFERROR(__xludf.DUMMYFUNCTION("""COMPUTED_VALUE"""),"2251")</f>
        <v>2251</v>
      </c>
      <c r="V570" s="11"/>
      <c r="W570" s="11"/>
      <c r="X570" s="11">
        <f>IFERROR(__xludf.DUMMYFUNCTION("""COMPUTED_VALUE"""),8134451435)</f>
        <v>8134451435</v>
      </c>
      <c r="Y570" s="11">
        <f>IFERROR(__xludf.DUMMYFUNCTION("""COMPUTED_VALUE"""),81999655279)</f>
        <v>81999655279</v>
      </c>
      <c r="Z570" s="11">
        <f>IFERROR(__xludf.DUMMYFUNCTION("""COMPUTED_VALUE"""),12590711468)</f>
        <v>12590711468</v>
      </c>
    </row>
    <row r="571" customHeight="1" spans="1:26">
      <c r="A571" s="11" t="str">
        <f>IFERROR(__xludf.DUMMYFUNCTION("""COMPUTED_VALUE"""),"BETULIA PESSOA DE ARAUJO")</f>
        <v>BETULIA PESSOA DE ARAUJO</v>
      </c>
      <c r="B571" s="11"/>
      <c r="C571" s="11"/>
      <c r="D571" s="11" t="str">
        <f>IFERROR(__xludf.DUMMYFUNCTION("""COMPUTED_VALUE"""),"Dentista")</f>
        <v>Dentista</v>
      </c>
      <c r="E571" s="11" t="str">
        <f>IFERROR(__xludf.DUMMYFUNCTION("""COMPUTED_VALUE"""),"V")</f>
        <v>V</v>
      </c>
      <c r="F571" s="11" t="str">
        <f>IFERROR(__xludf.DUMMYFUNCTION("""COMPUTED_VALUE"""),"US_161 CS PROF ROMERO MARQUES / IPIRANGA")</f>
        <v>US_161 CS PROF ROMERO MARQUES / IPIRANGA</v>
      </c>
      <c r="G571" s="11" t="str">
        <f>IFERROR(__xludf.DUMMYFUNCTION("""COMPUTED_VALUE"""),"US 161 CS PROF ROMERO MARQUES")</f>
        <v>US 161 CS PROF ROMERO MARQUES</v>
      </c>
      <c r="H571" s="11"/>
      <c r="I571" s="11"/>
      <c r="J571" s="11"/>
      <c r="K571" s="11"/>
      <c r="L571" s="11"/>
      <c r="M571" s="28" t="str">
        <f>IFERROR(__xludf.DUMMYFUNCTION("""COMPUTED_VALUE"""),"3355-4440")</f>
        <v>3355-4440</v>
      </c>
      <c r="N571" s="11"/>
      <c r="O571" s="29">
        <f>IFERROR(__xludf.DUMMYFUNCTION("""COMPUTED_VALUE"""),36424528415)</f>
        <v>36424528415</v>
      </c>
      <c r="P571" s="30" t="str">
        <f>IFERROR(__xludf.DUMMYFUNCTION("""COMPUTED_VALUE"""),"200353723400000")</f>
        <v>200353723400000</v>
      </c>
      <c r="Q571" s="30" t="str">
        <f>IFERROR(__xludf.DUMMYFUNCTION("""COMPUTED_VALUE"""),"0000760")</f>
        <v>0000760</v>
      </c>
      <c r="R571" s="11"/>
      <c r="S571" s="30" t="str">
        <f>IFERROR(__xludf.DUMMYFUNCTION("""COMPUTED_VALUE"""),"1")</f>
        <v>1</v>
      </c>
      <c r="T571" s="30" t="str">
        <f>IFERROR(__xludf.DUMMYFUNCTION("""COMPUTED_VALUE"""),"223208")</f>
        <v>223208</v>
      </c>
      <c r="U571" s="31">
        <f>IFERROR(__xludf.DUMMYFUNCTION("""COMPUTED_VALUE"""),2232)</f>
        <v>2232</v>
      </c>
      <c r="V571" s="11"/>
      <c r="W571" s="11"/>
      <c r="X571" s="11"/>
      <c r="Y571" s="11"/>
      <c r="Z571" s="11"/>
    </row>
    <row r="572" customHeight="1" spans="1:26">
      <c r="A572" s="11" t="str">
        <f>IFERROR(__xludf.DUMMYFUNCTION("""COMPUTED_VALUE"""),"MARIA ROSILENE DOS SANTOS GOUVEIA")</f>
        <v>MARIA ROSILENE DOS SANTOS GOUVEIA</v>
      </c>
      <c r="B572" s="11"/>
      <c r="C572" s="11"/>
      <c r="D572" s="11" t="str">
        <f>IFERROR(__xludf.DUMMYFUNCTION("""COMPUTED_VALUE"""),"Enfermeira eSF")</f>
        <v>Enfermeira eSF</v>
      </c>
      <c r="E572" s="11" t="str">
        <f>IFERROR(__xludf.DUMMYFUNCTION("""COMPUTED_VALUE"""),"VII")</f>
        <v>VII</v>
      </c>
      <c r="F572" s="11" t="str">
        <f>IFERROR(__xludf.DUMMYFUNCTION("""COMPUTED_VALUE"""),"US_167 POLICLINICA E MATERNIDADE PROFESSOR BARROS LIMA")</f>
        <v>US_167 POLICLINICA E MATERNIDADE PROFESSOR BARROS LIMA</v>
      </c>
      <c r="G572" s="11" t="str">
        <f>IFERROR(__xludf.DUMMYFUNCTION("""COMPUTED_VALUE"""),"US 400 USF UPINHA DIA DOM HELDER")</f>
        <v>US 400 USF UPINHA DIA DOM HELDER</v>
      </c>
      <c r="H572" s="27">
        <f>IFERROR(__xludf.DUMMYFUNCTION("""COMPUTED_VALUE"""),81986411865)</f>
        <v>81986411865</v>
      </c>
      <c r="I572" s="11"/>
      <c r="J572" s="11"/>
      <c r="K572" s="11"/>
      <c r="L572" s="11"/>
      <c r="M572" s="28" t="str">
        <f>IFERROR(__xludf.DUMMYFUNCTION("""COMPUTED_VALUE"""),"3355-5401")</f>
        <v>3355-5401</v>
      </c>
      <c r="N572" s="11" t="str">
        <f>IFERROR(__xludf.DUMMYFUNCTION("""COMPUTED_VALUE"""),"rosilenegouveia@gmail.com")</f>
        <v>rosilenegouveia@gmail.com</v>
      </c>
      <c r="O572" s="29">
        <f>IFERROR(__xludf.DUMMYFUNCTION("""COMPUTED_VALUE"""),33388717400)</f>
        <v>33388717400</v>
      </c>
      <c r="P572" s="30" t="str">
        <f>IFERROR(__xludf.DUMMYFUNCTION("""COMPUTED_VALUE"""),"170188866090006")</f>
        <v>170188866090006</v>
      </c>
      <c r="Q572" s="30" t="str">
        <f>IFERROR(__xludf.DUMMYFUNCTION("""COMPUTED_VALUE"""),"7845367")</f>
        <v>7845367</v>
      </c>
      <c r="R572" s="30" t="str">
        <f>IFERROR(__xludf.DUMMYFUNCTION("""COMPUTED_VALUE"""),"0001592343")</f>
        <v>0001592343</v>
      </c>
      <c r="S572" s="30" t="str">
        <f>IFERROR(__xludf.DUMMYFUNCTION("""COMPUTED_VALUE"""),"1")</f>
        <v>1</v>
      </c>
      <c r="T572" s="30" t="str">
        <f>IFERROR(__xludf.DUMMYFUNCTION("""COMPUTED_VALUE"""),"223565")</f>
        <v>223565</v>
      </c>
      <c r="U572" s="31" t="str">
        <f>IFERROR(__xludf.DUMMYFUNCTION("""COMPUTED_VALUE"""),"2235")</f>
        <v>2235</v>
      </c>
      <c r="V572" s="11"/>
      <c r="W572" s="11" t="str">
        <f>IFERROR(__xludf.DUMMYFUNCTION("""COMPUTED_VALUE"""),"813445-1996")</f>
        <v>813445-1996</v>
      </c>
      <c r="X572" s="11" t="str">
        <f>IFERROR(__xludf.DUMMYFUNCTION("""COMPUTED_VALUE"""),"818641-1865")</f>
        <v>818641-1865</v>
      </c>
      <c r="Y572" s="11">
        <f>IFERROR(__xludf.DUMMYFUNCTION("""COMPUTED_VALUE"""),33388717400)</f>
        <v>33388717400</v>
      </c>
      <c r="Z572" s="11"/>
    </row>
    <row r="573" customHeight="1" spans="1:26">
      <c r="A573" s="11" t="str">
        <f>IFERROR(__xludf.DUMMYFUNCTION("""COMPUTED_VALUE"""),"GESILDA MARIA HONORIO DOS SANTOS")</f>
        <v>GESILDA MARIA HONORIO DOS SANTOS</v>
      </c>
      <c r="B573" s="11"/>
      <c r="C573" s="11"/>
      <c r="D573" s="11" t="str">
        <f>IFERROR(__xludf.DUMMYFUNCTION("""COMPUTED_VALUE"""),"Médica eSF")</f>
        <v>Médica eSF</v>
      </c>
      <c r="E573" s="11" t="str">
        <f>IFERROR(__xludf.DUMMYFUNCTION("""COMPUTED_VALUE"""),"IV")</f>
        <v>IV</v>
      </c>
      <c r="F573" s="11" t="str">
        <f>IFERROR(__xludf.DUMMYFUNCTION("""COMPUTED_VALUE"""),"US_237 USF SITIO DAS PALMEIRAS	")</f>
        <v>US_237 USF SITIO DAS PALMEIRAS	</v>
      </c>
      <c r="G573" s="11" t="str">
        <f>IFERROR(__xludf.DUMMYFUNCTION("""COMPUTED_VALUE"""),"US 237 USF SITIO DAS PALMEIRAS")</f>
        <v>US 237 USF SITIO DAS PALMEIRAS</v>
      </c>
      <c r="H573" s="27">
        <f>IFERROR(__xludf.DUMMYFUNCTION("""COMPUTED_VALUE"""),81997563809)</f>
        <v>81997563809</v>
      </c>
      <c r="I573" s="11"/>
      <c r="J573" s="11"/>
      <c r="K573" s="11"/>
      <c r="L573" s="11"/>
      <c r="M573" s="28" t="str">
        <f>IFERROR(__xludf.DUMMYFUNCTION("""COMPUTED_VALUE"""),"3355-6448")</f>
        <v>3355-6448</v>
      </c>
      <c r="N573" s="11" t="str">
        <f>IFERROR(__xludf.DUMMYFUNCTION("""COMPUTED_VALUE"""),"gesildasantos@gmail.com / gesildasantos@hotmail.com")</f>
        <v>gesildasantos@gmail.com / gesildasantos@hotmail.com</v>
      </c>
      <c r="O573" s="29">
        <f>IFERROR(__xludf.DUMMYFUNCTION("""COMPUTED_VALUE"""),5417970425)</f>
        <v>5417970425</v>
      </c>
      <c r="P573" s="30" t="str">
        <f>IFERROR(__xludf.DUMMYFUNCTION("""COMPUTED_VALUE"""),"170519013870018")</f>
        <v>170519013870018</v>
      </c>
      <c r="Q573" s="30" t="str">
        <f>IFERROR(__xludf.DUMMYFUNCTION("""COMPUTED_VALUE"""),"0022365")</f>
        <v>0022365</v>
      </c>
      <c r="R573" s="30" t="str">
        <f>IFERROR(__xludf.DUMMYFUNCTION("""COMPUTED_VALUE"""),"0000153907")</f>
        <v>0000153907</v>
      </c>
      <c r="S573" s="30" t="str">
        <f>IFERROR(__xludf.DUMMYFUNCTION("""COMPUTED_VALUE"""),"1")</f>
        <v>1</v>
      </c>
      <c r="T573" s="30" t="str">
        <f>IFERROR(__xludf.DUMMYFUNCTION("""COMPUTED_VALUE"""),"225142")</f>
        <v>225142</v>
      </c>
      <c r="U573" s="31" t="str">
        <f>IFERROR(__xludf.DUMMYFUNCTION("""COMPUTED_VALUE"""),"2251")</f>
        <v>2251</v>
      </c>
      <c r="V573" s="11"/>
      <c r="W573" s="11"/>
      <c r="X573" s="11" t="str">
        <f>IFERROR(__xludf.DUMMYFUNCTION("""COMPUTED_VALUE"""),"81-34454174")</f>
        <v>81-34454174</v>
      </c>
      <c r="Y573" s="11" t="str">
        <f>IFERROR(__xludf.DUMMYFUNCTION("""COMPUTED_VALUE"""),"81-97563809")</f>
        <v>81-97563809</v>
      </c>
      <c r="Z573" s="11">
        <f>IFERROR(__xludf.DUMMYFUNCTION("""COMPUTED_VALUE"""),5417970425)</f>
        <v>5417970425</v>
      </c>
    </row>
    <row r="574" customHeight="1" spans="1:26">
      <c r="A574" s="11" t="str">
        <f>IFERROR(__xludf.DUMMYFUNCTION("""COMPUTED_VALUE"""),"GESILDA MARIA HONORIO DOS SANTOS 394")</f>
        <v>GESILDA MARIA HONORIO DOS SANTOS 394</v>
      </c>
      <c r="B574" s="11"/>
      <c r="C574" s="11"/>
      <c r="D574" s="11" t="str">
        <f>IFERROR(__xludf.DUMMYFUNCTION("""COMPUTED_VALUE"""),"Médica Clínica")</f>
        <v>Médica Clínica</v>
      </c>
      <c r="E574" s="11" t="str">
        <f>IFERROR(__xludf.DUMMYFUNCTION("""COMPUTED_VALUE"""),"VII")</f>
        <v>VII</v>
      </c>
      <c r="F574" s="11" t="str">
        <f>IFERROR(__xludf.DUMMYFUNCTION("""COMPUTED_VALUE"""),"US_237 USF SITIO DAS PALMEIRAS	")</f>
        <v>US_237 USF SITIO DAS PALMEIRAS	</v>
      </c>
      <c r="G574" s="11" t="str">
        <f>IFERROR(__xludf.DUMMYFUNCTION("""COMPUTED_VALUE"""),"US 394 USF UPINHA 24H DR MOACYR ANDRE GOMES")</f>
        <v>US 394 USF UPINHA 24H DR MOACYR ANDRE GOMES</v>
      </c>
      <c r="H574" s="27">
        <f>IFERROR(__xludf.DUMMYFUNCTION("""COMPUTED_VALUE"""),81997563809)</f>
        <v>81997563809</v>
      </c>
      <c r="I574" s="11"/>
      <c r="J574" s="11"/>
      <c r="K574" s="11"/>
      <c r="L574" s="11"/>
      <c r="M574" s="28" t="str">
        <f>IFERROR(__xludf.DUMMYFUNCTION("""COMPUTED_VALUE"""),"3355-3393")</f>
        <v>3355-3393</v>
      </c>
      <c r="N574" s="11" t="str">
        <f>IFERROR(__xludf.DUMMYFUNCTION("""COMPUTED_VALUE"""),"gesildasantos@gmail.com / gesildasantos@hotmail.com")</f>
        <v>gesildasantos@gmail.com / gesildasantos@hotmail.com</v>
      </c>
      <c r="O574" s="29">
        <f>IFERROR(__xludf.DUMMYFUNCTION("""COMPUTED_VALUE"""),5417970425)</f>
        <v>5417970425</v>
      </c>
      <c r="P574" s="30" t="str">
        <f>IFERROR(__xludf.DUMMYFUNCTION("""COMPUTED_VALUE"""),"170519013870018")</f>
        <v>170519013870018</v>
      </c>
      <c r="Q574" s="30" t="str">
        <f>IFERROR(__xludf.DUMMYFUNCTION("""COMPUTED_VALUE"""),"7415788")</f>
        <v>7415788</v>
      </c>
      <c r="R574" s="11"/>
      <c r="S574" s="30" t="str">
        <f>IFERROR(__xludf.DUMMYFUNCTION("""COMPUTED_VALUE"""),"1")</f>
        <v>1</v>
      </c>
      <c r="T574" s="30" t="str">
        <f>IFERROR(__xludf.DUMMYFUNCTION("""COMPUTED_VALUE"""),"225125")</f>
        <v>225125</v>
      </c>
      <c r="U574" s="31">
        <f>IFERROR(__xludf.DUMMYFUNCTION("""COMPUTED_VALUE"""),2251)</f>
        <v>2251</v>
      </c>
      <c r="V574" s="11" t="str">
        <f>IFERROR(__xludf.DUMMYFUNCTION("""COMPUTED_VALUE"""),"SIM")</f>
        <v>SIM</v>
      </c>
      <c r="W574" s="11"/>
      <c r="X574" s="11" t="str">
        <f>IFERROR(__xludf.DUMMYFUNCTION("""COMPUTED_VALUE"""),"#N/A")</f>
        <v>#N/A</v>
      </c>
      <c r="Y574" s="11" t="str">
        <f>IFERROR(__xludf.DUMMYFUNCTION("""COMPUTED_VALUE"""),"#N/A")</f>
        <v>#N/A</v>
      </c>
      <c r="Z574" s="11" t="str">
        <f>IFERROR(__xludf.DUMMYFUNCTION("""COMPUTED_VALUE"""),"#N/A")</f>
        <v>#N/A</v>
      </c>
    </row>
    <row r="575" customHeight="1" spans="1:26">
      <c r="A575" s="11" t="str">
        <f>IFERROR(__xludf.DUMMYFUNCTION("""COMPUTED_VALUE"""),"ROSANE GUILHERME FLORIANO")</f>
        <v>ROSANE GUILHERME FLORIANO</v>
      </c>
      <c r="B575" s="11"/>
      <c r="C575" s="11"/>
      <c r="D575" s="11" t="str">
        <f>IFERROR(__xludf.DUMMYFUNCTION("""COMPUTED_VALUE"""),"Enfermeira eSF")</f>
        <v>Enfermeira eSF</v>
      </c>
      <c r="E575" s="11" t="str">
        <f>IFERROR(__xludf.DUMMYFUNCTION("""COMPUTED_VALUE"""),"VIII")</f>
        <v>VIII</v>
      </c>
      <c r="F575" s="11" t="str">
        <f>IFERROR(__xludf.DUMMYFUNCTION("""COMPUTED_VALUE"""),"US_312 USF VILA DO SESI")</f>
        <v>US_312 USF VILA DO SESI</v>
      </c>
      <c r="G575" s="11" t="str">
        <f>IFERROR(__xludf.DUMMYFUNCTION("""COMPUTED_VALUE"""),"US 312 USF VILA DO SESI")</f>
        <v>US 312 USF VILA DO SESI</v>
      </c>
      <c r="H575" s="27">
        <f>IFERROR(__xludf.DUMMYFUNCTION("""COMPUTED_VALUE"""),81992926523)</f>
        <v>81992926523</v>
      </c>
      <c r="I575" s="27">
        <f>IFERROR(__xludf.DUMMYFUNCTION("""COMPUTED_VALUE"""),81985052009)</f>
        <v>81985052009</v>
      </c>
      <c r="J575" s="11"/>
      <c r="K575" s="33">
        <f>IFERROR(__xludf.DUMMYFUNCTION("""COMPUTED_VALUE"""),45287)</f>
        <v>45287</v>
      </c>
      <c r="L575" s="11"/>
      <c r="M575" s="28" t="str">
        <f>IFERROR(__xludf.DUMMYFUNCTION("""COMPUTED_VALUE"""),"3355-6246")</f>
        <v>3355-6246</v>
      </c>
      <c r="N575" s="11" t="str">
        <f>IFERROR(__xludf.DUMMYFUNCTION("""COMPUTED_VALUE"""),"roiflor@hotmail.com / roguiflo@hotmail.com")</f>
        <v>roiflor@hotmail.com / roguiflo@hotmail.com</v>
      </c>
      <c r="O575" s="29">
        <f>IFERROR(__xludf.DUMMYFUNCTION("""COMPUTED_VALUE"""),2802863410)</f>
        <v>2802863410</v>
      </c>
      <c r="P575" s="30" t="str">
        <f>IFERROR(__xludf.DUMMYFUNCTION("""COMPUTED_VALUE"""),"201533372000001")</f>
        <v>201533372000001</v>
      </c>
      <c r="Q575" s="30" t="str">
        <f>IFERROR(__xludf.DUMMYFUNCTION("""COMPUTED_VALUE"""),"3470253")</f>
        <v>3470253</v>
      </c>
      <c r="R575" s="30" t="str">
        <f>IFERROR(__xludf.DUMMYFUNCTION("""COMPUTED_VALUE"""),"0000155470")</f>
        <v>0000155470</v>
      </c>
      <c r="S575" s="30" t="str">
        <f>IFERROR(__xludf.DUMMYFUNCTION("""COMPUTED_VALUE"""),"1")</f>
        <v>1</v>
      </c>
      <c r="T575" s="30" t="str">
        <f>IFERROR(__xludf.DUMMYFUNCTION("""COMPUTED_VALUE"""),"223565")</f>
        <v>223565</v>
      </c>
      <c r="U575" s="31" t="str">
        <f>IFERROR(__xludf.DUMMYFUNCTION("""COMPUTED_VALUE"""),"2235")</f>
        <v>2235</v>
      </c>
      <c r="V575" s="11"/>
      <c r="W575" s="11">
        <f>IFERROR(__xludf.DUMMYFUNCTION("""COMPUTED_VALUE"""),85052009)</f>
        <v>85052009</v>
      </c>
      <c r="X575" s="11">
        <f>IFERROR(__xludf.DUMMYFUNCTION("""COMPUTED_VALUE"""),34454581)</f>
        <v>34454581</v>
      </c>
      <c r="Y575" s="11">
        <f>IFERROR(__xludf.DUMMYFUNCTION("""COMPUTED_VALUE"""),2802863410)</f>
        <v>2802863410</v>
      </c>
      <c r="Z575" s="11"/>
    </row>
    <row r="576" customHeight="1" spans="1:26">
      <c r="A576" s="11" t="str">
        <f>IFERROR(__xludf.DUMMYFUNCTION("""COMPUTED_VALUE"""),"ANA ELIZABETH DA SILVA LARANJEIRA")</f>
        <v>ANA ELIZABETH DA SILVA LARANJEIRA</v>
      </c>
      <c r="B576" s="11" t="str">
        <f>IFERROR(__xludf.DUMMYFUNCTION("""COMPUTED_VALUE"""),"LICENÇA PREMIUM + FÉRIAS")</f>
        <v>LICENÇA PREMIUM + FÉRIAS</v>
      </c>
      <c r="C576" s="11"/>
      <c r="D576" s="11" t="str">
        <f>IFERROR(__xludf.DUMMYFUNCTION("""COMPUTED_VALUE"""),"Médica Pediatra")</f>
        <v>Médica Pediatra</v>
      </c>
      <c r="E576" s="11" t="str">
        <f>IFERROR(__xludf.DUMMYFUNCTION("""COMPUTED_VALUE"""),"III")</f>
        <v>III</v>
      </c>
      <c r="F576" s="11" t="str">
        <f>IFERROR(__xludf.DUMMYFUNCTION("""COMPUTED_VALUE"""),"US_103 CS PROF MARIO RAMOS")</f>
        <v>US_103 CS PROF MARIO RAMOS</v>
      </c>
      <c r="G576" s="11" t="str">
        <f>IFERROR(__xludf.DUMMYFUNCTION("""COMPUTED_VALUE"""),"US 103 CS PROF MARIO RAMOS")</f>
        <v>US 103 CS PROF MARIO RAMOS</v>
      </c>
      <c r="H576" s="27">
        <f>IFERROR(__xludf.DUMMYFUNCTION("""COMPUTED_VALUE"""),81991723025)</f>
        <v>81991723025</v>
      </c>
      <c r="I576" s="11"/>
      <c r="J576" s="11"/>
      <c r="K576" s="11"/>
      <c r="L576" s="11"/>
      <c r="M576" s="28" t="str">
        <f>IFERROR(__xludf.DUMMYFUNCTION("""COMPUTED_VALUE"""),"3355-4434")</f>
        <v>3355-4434</v>
      </c>
      <c r="N576" s="11" t="str">
        <f>IFERROR(__xludf.DUMMYFUNCTION("""COMPUTED_VALUE"""),"anaelaranjeira@ig.com.br / anaelaranjeira66@gmail.com")</f>
        <v>anaelaranjeira@ig.com.br / anaelaranjeira66@gmail.com</v>
      </c>
      <c r="O576" s="29">
        <f>IFERROR(__xludf.DUMMYFUNCTION("""COMPUTED_VALUE"""),49786270444)</f>
        <v>49786270444</v>
      </c>
      <c r="P576" s="30" t="str">
        <f>IFERROR(__xludf.DUMMYFUNCTION("""COMPUTED_VALUE"""),"121034779620006")</f>
        <v>121034779620006</v>
      </c>
      <c r="Q576" s="30" t="str">
        <f>IFERROR(__xludf.DUMMYFUNCTION("""COMPUTED_VALUE"""),"0001759")</f>
        <v>0001759</v>
      </c>
      <c r="R576" s="30" t="str">
        <f>IFERROR(__xludf.DUMMYFUNCTION("""COMPUTED_VALUE"""),"9000175901")</f>
        <v>9000175901</v>
      </c>
      <c r="S576" s="30" t="str">
        <f>IFERROR(__xludf.DUMMYFUNCTION("""COMPUTED_VALUE"""),"1")</f>
        <v>1</v>
      </c>
      <c r="T576" s="30" t="str">
        <f>IFERROR(__xludf.DUMMYFUNCTION("""COMPUTED_VALUE"""),"225124")</f>
        <v>225124</v>
      </c>
      <c r="U576" s="11">
        <f>IFERROR(__xludf.DUMMYFUNCTION("""COMPUTED_VALUE"""),2251)</f>
        <v>2251</v>
      </c>
      <c r="V576" s="11"/>
      <c r="W576" s="30" t="str">
        <f>IFERROR(__xludf.DUMMYFUNCTION("""COMPUTED_VALUE"""),"31/01/1966")</f>
        <v>31/01/1966</v>
      </c>
      <c r="X576" s="11">
        <f>IFERROR(__xludf.DUMMYFUNCTION("""COMPUTED_VALUE"""),81991723025)</f>
        <v>81991723025</v>
      </c>
      <c r="Y576" s="11">
        <f>IFERROR(__xludf.DUMMYFUNCTION("""COMPUTED_VALUE"""),8134455667)</f>
        <v>8134455667</v>
      </c>
      <c r="Z576" s="11">
        <f>IFERROR(__xludf.DUMMYFUNCTION("""COMPUTED_VALUE"""),49786270444)</f>
        <v>49786270444</v>
      </c>
    </row>
    <row r="577" customHeight="1" spans="1:26">
      <c r="A577" s="11" t="str">
        <f>IFERROR(__xludf.DUMMYFUNCTION("""COMPUTED_VALUE"""),"KARINE LUCENA NEJAIM RIBEIRO")</f>
        <v>KARINE LUCENA NEJAIM RIBEIRO</v>
      </c>
      <c r="B577" s="11"/>
      <c r="C577" s="11"/>
      <c r="D577" s="11" t="str">
        <f>IFERROR(__xludf.DUMMYFUNCTION("""COMPUTED_VALUE"""),"Dentista")</f>
        <v>Dentista</v>
      </c>
      <c r="E577" s="11" t="str">
        <f>IFERROR(__xludf.DUMMYFUNCTION("""COMPUTED_VALUE"""),"VI")</f>
        <v>VI</v>
      </c>
      <c r="F577" s="11" t="str">
        <f>IFERROR(__xludf.DUMMYFUNCTION("""COMPUTED_VALUE"""),"US_268 USF CAFESOPOLIS")</f>
        <v>US_268 USF CAFESOPOLIS</v>
      </c>
      <c r="G577" s="11" t="str">
        <f>IFERROR(__xludf.DUMMYFUNCTION("""COMPUTED_VALUE"""),"US 268 USF CAFESOPOLIS")</f>
        <v>US 268 USF CAFESOPOLIS</v>
      </c>
      <c r="H577" s="27">
        <f>IFERROR(__xludf.DUMMYFUNCTION("""COMPUTED_VALUE"""),81999591379)</f>
        <v>81999591379</v>
      </c>
      <c r="I577" s="11"/>
      <c r="J577" s="11"/>
      <c r="K577" s="11"/>
      <c r="L577" s="11"/>
      <c r="M577" s="28" t="str">
        <f>IFERROR(__xludf.DUMMYFUNCTION("""COMPUTED_VALUE"""),"3355-6098")</f>
        <v>3355-6098</v>
      </c>
      <c r="N577" s="11" t="str">
        <f>IFERROR(__xludf.DUMMYFUNCTION("""COMPUTED_VALUE"""),"karinenejaim@hotmail.com")</f>
        <v>karinenejaim@hotmail.com</v>
      </c>
      <c r="O577" s="29">
        <f>IFERROR(__xludf.DUMMYFUNCTION("""COMPUTED_VALUE"""),3174854407)</f>
        <v>3174854407</v>
      </c>
      <c r="P577" s="30" t="str">
        <f>IFERROR(__xludf.DUMMYFUNCTION("""COMPUTED_VALUE"""),"980016281860689")</f>
        <v>980016281860689</v>
      </c>
      <c r="Q577" s="30" t="str">
        <f>IFERROR(__xludf.DUMMYFUNCTION("""COMPUTED_VALUE"""),"0026360")</f>
        <v>0026360</v>
      </c>
      <c r="R577" s="30" t="str">
        <f>IFERROR(__xludf.DUMMYFUNCTION("""COMPUTED_VALUE"""),"0001845624	")</f>
        <v>0001845624	</v>
      </c>
      <c r="S577" s="30" t="str">
        <f>IFERROR(__xludf.DUMMYFUNCTION("""COMPUTED_VALUE"""),"1")</f>
        <v>1</v>
      </c>
      <c r="T577" s="30" t="str">
        <f>IFERROR(__xludf.DUMMYFUNCTION("""COMPUTED_VALUE"""),"223293")</f>
        <v>223293</v>
      </c>
      <c r="U577" s="31">
        <f>IFERROR(__xludf.DUMMYFUNCTION("""COMPUTED_VALUE"""),2232)</f>
        <v>2232</v>
      </c>
      <c r="V577" s="11"/>
      <c r="W577" s="11"/>
      <c r="X577" s="11"/>
      <c r="Y577" s="11"/>
      <c r="Z577" s="11"/>
    </row>
    <row r="578" customHeight="1" spans="1:26">
      <c r="A578" s="11" t="str">
        <f>IFERROR(__xludf.DUMMYFUNCTION("""COMPUTED_VALUE"""),"BRUNO SANTOS LEIRIA DE ANDRADE")</f>
        <v>BRUNO SANTOS LEIRIA DE ANDRADE</v>
      </c>
      <c r="B578" s="11"/>
      <c r="C578" s="11"/>
      <c r="D578" s="11" t="str">
        <f>IFERROR(__xludf.DUMMYFUNCTION("""COMPUTED_VALUE"""),"Médico Ginecologista")</f>
        <v>Médico Ginecologista</v>
      </c>
      <c r="E578" s="11" t="str">
        <f>IFERROR(__xludf.DUMMYFUNCTION("""COMPUTED_VALUE"""),"VII")</f>
        <v>VII</v>
      </c>
      <c r="F578" s="11" t="str">
        <f>IFERROR(__xludf.DUMMYFUNCTION("""COMPUTED_VALUE"""),"US_121 CS PROF BRUNO MAIA")</f>
        <v>US_121 CS PROF BRUNO MAIA</v>
      </c>
      <c r="G578" s="11" t="str">
        <f>IFERROR(__xludf.DUMMYFUNCTION("""COMPUTED_VALUE"""),"US 152 CS INA ROSA BORGES")</f>
        <v>US 152 CS INA ROSA BORGES</v>
      </c>
      <c r="H578" s="27">
        <f>IFERROR(__xludf.DUMMYFUNCTION("""COMPUTED_VALUE"""),81987864004)</f>
        <v>81987864004</v>
      </c>
      <c r="I578" s="11"/>
      <c r="J578" s="11"/>
      <c r="K578" s="11"/>
      <c r="L578" s="11"/>
      <c r="M578" s="28" t="str">
        <f>IFERROR(__xludf.DUMMYFUNCTION("""COMPUTED_VALUE"""),"3355-4408")</f>
        <v>3355-4408</v>
      </c>
      <c r="N578" s="11" t="str">
        <f>IFERROR(__xludf.DUMMYFUNCTION("""COMPUTED_VALUE"""),"brunoleiria@gmail.com")</f>
        <v>brunoleiria@gmail.com</v>
      </c>
      <c r="O578" s="29">
        <f>IFERROR(__xludf.DUMMYFUNCTION("""COMPUTED_VALUE"""),48551953400)</f>
        <v>48551953400</v>
      </c>
      <c r="P578" s="30" t="str">
        <f>IFERROR(__xludf.DUMMYFUNCTION("""COMPUTED_VALUE"""),"122123474820008")</f>
        <v>122123474820008</v>
      </c>
      <c r="Q578" s="30" t="str">
        <f>IFERROR(__xludf.DUMMYFUNCTION("""COMPUTED_VALUE"""),"0001236")</f>
        <v>0001236</v>
      </c>
      <c r="R578" s="30" t="str">
        <f>IFERROR(__xludf.DUMMYFUNCTION("""COMPUTED_VALUE"""),"9000123601")</f>
        <v>9000123601</v>
      </c>
      <c r="S578" s="30" t="str">
        <f>IFERROR(__xludf.DUMMYFUNCTION("""COMPUTED_VALUE"""),"1")</f>
        <v>1</v>
      </c>
      <c r="T578" s="30" t="str">
        <f>IFERROR(__xludf.DUMMYFUNCTION("""COMPUTED_VALUE"""),"225250")</f>
        <v>225250</v>
      </c>
      <c r="U578" s="31">
        <f>IFERROR(__xludf.DUMMYFUNCTION("""COMPUTED_VALUE"""),2252)</f>
        <v>2252</v>
      </c>
      <c r="V578" s="11"/>
      <c r="W578" s="11"/>
      <c r="X578" s="11">
        <f>IFERROR(__xludf.DUMMYFUNCTION("""COMPUTED_VALUE"""),81987864004)</f>
        <v>81987864004</v>
      </c>
      <c r="Y578" s="11">
        <f>IFERROR(__xludf.DUMMYFUNCTION("""COMPUTED_VALUE"""),8132266052)</f>
        <v>8132266052</v>
      </c>
      <c r="Z578" s="11">
        <f>IFERROR(__xludf.DUMMYFUNCTION("""COMPUTED_VALUE"""),48551953400)</f>
        <v>48551953400</v>
      </c>
    </row>
    <row r="579" customHeight="1" spans="1:26">
      <c r="A579" s="11" t="str">
        <f>IFERROR(__xludf.DUMMYFUNCTION("""COMPUTED_VALUE"""),"IVONETE MARIA LIMA DA SILVA")</f>
        <v>IVONETE MARIA LIMA DA SILVA</v>
      </c>
      <c r="B579" s="11"/>
      <c r="C579" s="11"/>
      <c r="D579" s="11" t="str">
        <f>IFERROR(__xludf.DUMMYFUNCTION("""COMPUTED_VALUE"""),"Enfermeira eSF")</f>
        <v>Enfermeira eSF</v>
      </c>
      <c r="E579" s="11" t="str">
        <f>IFERROR(__xludf.DUMMYFUNCTION("""COMPUTED_VALUE"""),"I")</f>
        <v>I</v>
      </c>
      <c r="F579" s="11" t="str">
        <f>IFERROR(__xludf.DUMMYFUNCTION("""COMPUTED_VALUE"""),"SEDE DISTRITO SANITARIO I")</f>
        <v>SEDE DISTRITO SANITARIO I</v>
      </c>
      <c r="G579" s="11" t="str">
        <f>IFERROR(__xludf.DUMMYFUNCTION("""COMPUTED_VALUE"""),"US 404 USF SANTO AMARO III")</f>
        <v>US 404 USF SANTO AMARO III</v>
      </c>
      <c r="H579" s="27">
        <f>IFERROR(__xludf.DUMMYFUNCTION("""COMPUTED_VALUE"""),81987129101)</f>
        <v>81987129101</v>
      </c>
      <c r="I579" s="27">
        <f>IFERROR(__xludf.DUMMYFUNCTION("""COMPUTED_VALUE"""),81998670387)</f>
        <v>81998670387</v>
      </c>
      <c r="J579" s="11"/>
      <c r="K579" s="11"/>
      <c r="L579" s="11"/>
      <c r="M579" s="11"/>
      <c r="N579" s="11" t="str">
        <f>IFERROR(__xludf.DUMMYFUNCTION("""COMPUTED_VALUE"""),"ivonetesilva05@hotmail.com")</f>
        <v>ivonetesilva05@hotmail.com</v>
      </c>
      <c r="O579" s="29">
        <f>IFERROR(__xludf.DUMMYFUNCTION("""COMPUTED_VALUE"""),86521420410)</f>
        <v>86521420410</v>
      </c>
      <c r="P579" s="30" t="str">
        <f>IFERROR(__xludf.DUMMYFUNCTION("""COMPUTED_VALUE"""),"170552782690003")</f>
        <v>170552782690003</v>
      </c>
      <c r="Q579" s="30" t="str">
        <f>IFERROR(__xludf.DUMMYFUNCTION("""COMPUTED_VALUE"""),"9384324")</f>
        <v>9384324</v>
      </c>
      <c r="R579" s="30" t="str">
        <f>IFERROR(__xludf.DUMMYFUNCTION("""COMPUTED_VALUE"""),"0000153591")</f>
        <v>0000153591</v>
      </c>
      <c r="S579" s="30" t="str">
        <f>IFERROR(__xludf.DUMMYFUNCTION("""COMPUTED_VALUE"""),"1")</f>
        <v>1</v>
      </c>
      <c r="T579" s="30" t="str">
        <f>IFERROR(__xludf.DUMMYFUNCTION("""COMPUTED_VALUE"""),"223565")</f>
        <v>223565</v>
      </c>
      <c r="U579" s="31" t="str">
        <f>IFERROR(__xludf.DUMMYFUNCTION("""COMPUTED_VALUE"""),"2235")</f>
        <v>2235</v>
      </c>
      <c r="V579" s="11"/>
      <c r="W579" s="11">
        <f>IFERROR(__xludf.DUMMYFUNCTION("""COMPUTED_VALUE"""),8187129101)</f>
        <v>8187129101</v>
      </c>
      <c r="X579" s="11">
        <f>IFERROR(__xludf.DUMMYFUNCTION("""COMPUTED_VALUE"""),8134510740)</f>
        <v>8134510740</v>
      </c>
      <c r="Y579" s="11">
        <f>IFERROR(__xludf.DUMMYFUNCTION("""COMPUTED_VALUE"""),86521420410)</f>
        <v>86521420410</v>
      </c>
      <c r="Z579" s="11"/>
    </row>
    <row r="580" customHeight="1" spans="1:26">
      <c r="A580" s="11" t="str">
        <f>IFERROR(__xludf.DUMMYFUNCTION("""COMPUTED_VALUE"""),"CELIA MARIA DA PAIXAO SILVA")</f>
        <v>CELIA MARIA DA PAIXAO SILVA</v>
      </c>
      <c r="B580" s="11"/>
      <c r="C580" s="11"/>
      <c r="D580" s="11" t="str">
        <f>IFERROR(__xludf.DUMMYFUNCTION("""COMPUTED_VALUE"""),"Enfermeira eSF")</f>
        <v>Enfermeira eSF</v>
      </c>
      <c r="E580" s="11" t="str">
        <f>IFERROR(__xludf.DUMMYFUNCTION("""COMPUTED_VALUE"""),"II")</f>
        <v>II</v>
      </c>
      <c r="F580" s="11" t="str">
        <f>IFERROR(__xludf.DUMMYFUNCTION("""COMPUTED_VALUE"""),"US_291 USF ALTO DOS COQUEIROS CORREGO DA JAQUEIRA")</f>
        <v>US_291 USF ALTO DOS COQUEIROS CORREGO DA JAQUEIRA</v>
      </c>
      <c r="G580" s="11" t="str">
        <f>IFERROR(__xludf.DUMMYFUNCTION("""COMPUTED_VALUE"""),"US 291 USF ALTO DOS COQUEIROS CORREGO DA JAQUEIRA")</f>
        <v>US 291 USF ALTO DOS COQUEIROS CORREGO DA JAQUEIRA</v>
      </c>
      <c r="H580" s="27">
        <f>IFERROR(__xludf.DUMMYFUNCTION("""COMPUTED_VALUE"""),81988338515)</f>
        <v>81988338515</v>
      </c>
      <c r="I580" s="27">
        <f>IFERROR(__xludf.DUMMYFUNCTION("""COMPUTED_VALUE"""),81985524023)</f>
        <v>81985524023</v>
      </c>
      <c r="J580" s="11"/>
      <c r="K580" s="11"/>
      <c r="L580" s="11"/>
      <c r="M580" s="28" t="str">
        <f>IFERROR(__xludf.DUMMYFUNCTION("""COMPUTED_VALUE"""),"3355-4660")</f>
        <v>3355-4660</v>
      </c>
      <c r="N580" s="11" t="str">
        <f>IFERROR(__xludf.DUMMYFUNCTION("""COMPUTED_VALUE"""),"celiapaixao1234@hotmail.com")</f>
        <v>celiapaixao1234@hotmail.com</v>
      </c>
      <c r="O580" s="29">
        <f>IFERROR(__xludf.DUMMYFUNCTION("""COMPUTED_VALUE"""),55143660491)</f>
        <v>55143660491</v>
      </c>
      <c r="P580" s="30" t="str">
        <f>IFERROR(__xludf.DUMMYFUNCTION("""COMPUTED_VALUE"""),"980016277394504")</f>
        <v>980016277394504</v>
      </c>
      <c r="Q580" s="30" t="str">
        <f>IFERROR(__xludf.DUMMYFUNCTION("""COMPUTED_VALUE"""),"3006468")</f>
        <v>3006468</v>
      </c>
      <c r="R580" s="30" t="str">
        <f>IFERROR(__xludf.DUMMYFUNCTION("""COMPUTED_VALUE"""),"0000154911")</f>
        <v>0000154911</v>
      </c>
      <c r="S580" s="30" t="str">
        <f>IFERROR(__xludf.DUMMYFUNCTION("""COMPUTED_VALUE"""),"1")</f>
        <v>1</v>
      </c>
      <c r="T580" s="30" t="str">
        <f>IFERROR(__xludf.DUMMYFUNCTION("""COMPUTED_VALUE"""),"223565")</f>
        <v>223565</v>
      </c>
      <c r="U580" s="31" t="str">
        <f>IFERROR(__xludf.DUMMYFUNCTION("""COMPUTED_VALUE"""),"2235")</f>
        <v>2235</v>
      </c>
      <c r="V580" s="11"/>
      <c r="W580" s="11" t="str">
        <f>IFERROR(__xludf.DUMMYFUNCTION("""COMPUTED_VALUE"""),"81 34516788")</f>
        <v>81 34516788</v>
      </c>
      <c r="X580" s="11" t="str">
        <f>IFERROR(__xludf.DUMMYFUNCTION("""COMPUTED_VALUE"""),"81 88911895")</f>
        <v>81 88911895</v>
      </c>
      <c r="Y580" s="11">
        <f>IFERROR(__xludf.DUMMYFUNCTION("""COMPUTED_VALUE"""),55143660491)</f>
        <v>55143660491</v>
      </c>
      <c r="Z580" s="11"/>
    </row>
    <row r="581" customHeight="1" spans="1:26">
      <c r="A581" s="11" t="str">
        <f>IFERROR(__xludf.DUMMYFUNCTION("""COMPUTED_VALUE"""),"LILIAN BEZERRA SILVA DO NASCIMENTO CALDAS")</f>
        <v>LILIAN BEZERRA SILVA DO NASCIMENTO CALDAS</v>
      </c>
      <c r="B581" s="11"/>
      <c r="C581" s="11"/>
      <c r="D581" s="11" t="str">
        <f>IFERROR(__xludf.DUMMYFUNCTION("""COMPUTED_VALUE"""),"Dentista")</f>
        <v>Dentista</v>
      </c>
      <c r="E581" s="11" t="str">
        <f>IFERROR(__xludf.DUMMYFUNCTION("""COMPUTED_VALUE"""),"VIII")</f>
        <v>VIII</v>
      </c>
      <c r="F581" s="11" t="str">
        <f>IFERROR(__xludf.DUMMYFUNCTION("""COMPUTED_VALUE"""),"US_255 USF UPINHA 24H VILA ARRAES	")</f>
        <v>US_255 USF UPINHA 24H VILA ARRAES	</v>
      </c>
      <c r="G581" s="11" t="str">
        <f>IFERROR(__xludf.DUMMYFUNCTION("""COMPUTED_VALUE"""),"US 154 USF UPINHA DIA RIO DA PRATA")</f>
        <v>US 154 USF UPINHA DIA RIO DA PRATA</v>
      </c>
      <c r="H581" s="27">
        <f>IFERROR(__xludf.DUMMYFUNCTION("""COMPUTED_VALUE"""),81986004126)</f>
        <v>81986004126</v>
      </c>
      <c r="I581" s="11"/>
      <c r="J581" s="11"/>
      <c r="K581" s="11"/>
      <c r="L581" s="11"/>
      <c r="M581" s="28" t="str">
        <f>IFERROR(__xludf.DUMMYFUNCTION("""COMPUTED_VALUE"""),"3355-6215 / 3338-7768")</f>
        <v>3355-6215 / 3338-7768</v>
      </c>
      <c r="N581" s="11" t="str">
        <f>IFERROR(__xludf.DUMMYFUNCTION("""COMPUTED_VALUE"""),"lilianncaldas@gmail.com")</f>
        <v>lilianncaldas@gmail.com</v>
      </c>
      <c r="O581" s="29">
        <f>IFERROR(__xludf.DUMMYFUNCTION("""COMPUTED_VALUE"""),4087770443)</f>
        <v>4087770443</v>
      </c>
      <c r="P581" s="30" t="str">
        <f>IFERROR(__xludf.DUMMYFUNCTION("""COMPUTED_VALUE"""),"980016289661855")</f>
        <v>980016289661855</v>
      </c>
      <c r="Q581" s="30" t="str">
        <f>IFERROR(__xludf.DUMMYFUNCTION("""COMPUTED_VALUE"""),"3639827")</f>
        <v>3639827</v>
      </c>
      <c r="R581" s="30" t="str">
        <f>IFERROR(__xludf.DUMMYFUNCTION("""COMPUTED_VALUE"""),"0001856227")</f>
        <v>0001856227</v>
      </c>
      <c r="S581" s="30" t="str">
        <f>IFERROR(__xludf.DUMMYFUNCTION("""COMPUTED_VALUE"""),"1")</f>
        <v>1</v>
      </c>
      <c r="T581" s="30" t="str">
        <f>IFERROR(__xludf.DUMMYFUNCTION("""COMPUTED_VALUE"""),"223288")</f>
        <v>223288</v>
      </c>
      <c r="U581" s="31">
        <f>IFERROR(__xludf.DUMMYFUNCTION("""COMPUTED_VALUE"""),2232)</f>
        <v>2232</v>
      </c>
      <c r="V581" s="11"/>
      <c r="W581" s="11"/>
      <c r="X581" s="11"/>
      <c r="Y581" s="11"/>
      <c r="Z581" s="11"/>
    </row>
    <row r="582" customHeight="1" spans="1:26">
      <c r="A582" s="11" t="str">
        <f>IFERROR(__xludf.DUMMYFUNCTION("""COMPUTED_VALUE"""),"KARLA DANIELLY  DA SILVA")</f>
        <v>KARLA DANIELLY  DA SILVA</v>
      </c>
      <c r="B582" s="11"/>
      <c r="C582" s="11"/>
      <c r="D582" s="11" t="str">
        <f>IFERROR(__xludf.DUMMYFUNCTION("""COMPUTED_VALUE"""),"Enfermeira eSF")</f>
        <v>Enfermeira eSF</v>
      </c>
      <c r="E582" s="11" t="str">
        <f>IFERROR(__xludf.DUMMYFUNCTION("""COMPUTED_VALUE"""),"VI")</f>
        <v>VI</v>
      </c>
      <c r="F582" s="11" t="str">
        <f>IFERROR(__xludf.DUMMYFUNCTION("""COMPUTED_VALUE"""),"US_167 POLICLINICA E MATERNIDADE PROFESSOR BARROS LIMA")</f>
        <v>US_167 POLICLINICA E MATERNIDADE PROFESSOR BARROS LIMA</v>
      </c>
      <c r="G582" s="11" t="str">
        <f>IFERROR(__xludf.DUMMYFUNCTION("""COMPUTED_VALUE"""),"US 292 USF VILA DO IPSEP")</f>
        <v>US 292 USF VILA DO IPSEP</v>
      </c>
      <c r="H582" s="27">
        <f>IFERROR(__xludf.DUMMYFUNCTION("""COMPUTED_VALUE"""),81999991511)</f>
        <v>81999991511</v>
      </c>
      <c r="I582" s="11"/>
      <c r="J582" s="11"/>
      <c r="K582" s="11"/>
      <c r="L582" s="11"/>
      <c r="M582" s="28" t="str">
        <f>IFERROR(__xludf.DUMMYFUNCTION("""COMPUTED_VALUE"""),"3355-6687")</f>
        <v>3355-6687</v>
      </c>
      <c r="N582" s="11" t="str">
        <f>IFERROR(__xludf.DUMMYFUNCTION("""COMPUTED_VALUE"""),"kdmf3012@hotmail.com")</f>
        <v>kdmf3012@hotmail.com</v>
      </c>
      <c r="O582" s="29">
        <f>IFERROR(__xludf.DUMMYFUNCTION("""COMPUTED_VALUE"""),3437491490)</f>
        <v>3437491490</v>
      </c>
      <c r="P582" s="30" t="str">
        <f>IFERROR(__xludf.DUMMYFUNCTION("""COMPUTED_VALUE"""),"980016000181529")</f>
        <v>980016000181529</v>
      </c>
      <c r="Q582" s="30" t="str">
        <f>IFERROR(__xludf.DUMMYFUNCTION("""COMPUTED_VALUE"""),"3007995")</f>
        <v>3007995</v>
      </c>
      <c r="R582" s="30" t="str">
        <f>IFERROR(__xludf.DUMMYFUNCTION("""COMPUTED_VALUE"""),"0000154962")</f>
        <v>0000154962</v>
      </c>
      <c r="S582" s="30" t="str">
        <f>IFERROR(__xludf.DUMMYFUNCTION("""COMPUTED_VALUE"""),"1")</f>
        <v>1</v>
      </c>
      <c r="T582" s="30" t="str">
        <f>IFERROR(__xludf.DUMMYFUNCTION("""COMPUTED_VALUE"""),"223565")</f>
        <v>223565</v>
      </c>
      <c r="U582" s="31" t="str">
        <f>IFERROR(__xludf.DUMMYFUNCTION("""COMPUTED_VALUE"""),"2235")</f>
        <v>2235</v>
      </c>
      <c r="V582" s="11"/>
      <c r="W582" s="11" t="str">
        <f>IFERROR(__xludf.DUMMYFUNCTION("""COMPUTED_VALUE"""),"#N/A")</f>
        <v>#N/A</v>
      </c>
      <c r="X582" s="11" t="str">
        <f>IFERROR(__xludf.DUMMYFUNCTION("""COMPUTED_VALUE"""),"#N/A")</f>
        <v>#N/A</v>
      </c>
      <c r="Y582" s="11" t="str">
        <f>IFERROR(__xludf.DUMMYFUNCTION("""COMPUTED_VALUE"""),"#N/A")</f>
        <v>#N/A</v>
      </c>
      <c r="Z582" s="11"/>
    </row>
    <row r="583" customHeight="1" spans="1:26">
      <c r="A583" s="11" t="str">
        <f>IFERROR(__xludf.DUMMYFUNCTION("""COMPUTED_VALUE"""),"RENATA TORRES DE ASSIS")</f>
        <v>RENATA TORRES DE ASSIS</v>
      </c>
      <c r="B583" s="11"/>
      <c r="C583" s="11"/>
      <c r="D583" s="11" t="str">
        <f>IFERROR(__xludf.DUMMYFUNCTION("""COMPUTED_VALUE"""),"Enfermeira eSF")</f>
        <v>Enfermeira eSF</v>
      </c>
      <c r="E583" s="11" t="str">
        <f>IFERROR(__xludf.DUMMYFUNCTION("""COMPUTED_VALUE"""),"IV")</f>
        <v>IV</v>
      </c>
      <c r="F583" s="11" t="str">
        <f>IFERROR(__xludf.DUMMYFUNCTION("""COMPUTED_VALUE"""),"US_164 CENTRO DE REIDRATACAO E URG PED M CRAVO GAMA")</f>
        <v>US_164 CENTRO DE REIDRATACAO E URG PED M CRAVO GAMA</v>
      </c>
      <c r="G583" s="11" t="str">
        <f>IFERROR(__xludf.DUMMYFUNCTION("""COMPUTED_VALUE"""),"US 337 USF SITIO WANDERLEY")</f>
        <v>US 337 USF SITIO WANDERLEY</v>
      </c>
      <c r="H583" s="27">
        <f>IFERROR(__xludf.DUMMYFUNCTION("""COMPUTED_VALUE"""),81999413304)</f>
        <v>81999413304</v>
      </c>
      <c r="I583" s="27">
        <f>IFERROR(__xludf.DUMMYFUNCTION("""COMPUTED_VALUE"""),81981070126)</f>
        <v>81981070126</v>
      </c>
      <c r="J583" s="11"/>
      <c r="K583" s="11"/>
      <c r="L583" s="11"/>
      <c r="M583" s="28" t="str">
        <f>IFERROR(__xludf.DUMMYFUNCTION("""COMPUTED_VALUE"""),"3355-6874")</f>
        <v>3355-6874</v>
      </c>
      <c r="N583" s="11" t="str">
        <f>IFERROR(__xludf.DUMMYFUNCTION("""COMPUTED_VALUE"""),"renata_tor@yahoo.com.br")</f>
        <v>renata_tor@yahoo.com.br</v>
      </c>
      <c r="O583" s="29">
        <f>IFERROR(__xludf.DUMMYFUNCTION("""COMPUTED_VALUE"""),1042058490)</f>
        <v>1042058490</v>
      </c>
      <c r="P583" s="30" t="str">
        <f>IFERROR(__xludf.DUMMYFUNCTION("""COMPUTED_VALUE"""),"980016278164804")</f>
        <v>980016278164804</v>
      </c>
      <c r="Q583" s="30" t="str">
        <f>IFERROR(__xludf.DUMMYFUNCTION("""COMPUTED_VALUE"""),"5320380")</f>
        <v>5320380</v>
      </c>
      <c r="R583" s="30" t="str">
        <f>IFERROR(__xludf.DUMMYFUNCTION("""COMPUTED_VALUE"""),"0000155780")</f>
        <v>0000155780</v>
      </c>
      <c r="S583" s="30" t="str">
        <f>IFERROR(__xludf.DUMMYFUNCTION("""COMPUTED_VALUE"""),"1")</f>
        <v>1</v>
      </c>
      <c r="T583" s="30" t="str">
        <f>IFERROR(__xludf.DUMMYFUNCTION("""COMPUTED_VALUE"""),"223565")</f>
        <v>223565</v>
      </c>
      <c r="U583" s="31" t="str">
        <f>IFERROR(__xludf.DUMMYFUNCTION("""COMPUTED_VALUE"""),"2235")</f>
        <v>2235</v>
      </c>
      <c r="V583" s="11"/>
      <c r="W583" s="11">
        <f>IFERROR(__xludf.DUMMYFUNCTION("""COMPUTED_VALUE"""),981070126)</f>
        <v>981070126</v>
      </c>
      <c r="X583" s="11">
        <f>IFERROR(__xludf.DUMMYFUNCTION("""COMPUTED_VALUE"""),999413304)</f>
        <v>999413304</v>
      </c>
      <c r="Y583" s="11">
        <f>IFERROR(__xludf.DUMMYFUNCTION("""COMPUTED_VALUE"""),1042058490)</f>
        <v>1042058490</v>
      </c>
      <c r="Z583" s="11"/>
    </row>
    <row r="584" customHeight="1" spans="1:26">
      <c r="A584" s="11" t="str">
        <f>IFERROR(__xludf.DUMMYFUNCTION("""COMPUTED_VALUE"""),"JOAQUIM AURELIANO MAIA")</f>
        <v>JOAQUIM AURELIANO MAIA</v>
      </c>
      <c r="B584" s="11"/>
      <c r="C584" s="11"/>
      <c r="D584" s="11" t="str">
        <f>IFERROR(__xludf.DUMMYFUNCTION("""COMPUTED_VALUE"""),"Dentista")</f>
        <v>Dentista</v>
      </c>
      <c r="E584" s="11" t="str">
        <f>IFERROR(__xludf.DUMMYFUNCTION("""COMPUTED_VALUE"""),"III")</f>
        <v>III</v>
      </c>
      <c r="F584" s="11" t="str">
        <f>IFERROR(__xludf.DUMMYFUNCTION("""COMPUTED_VALUE"""),"US_301 USF BONGI BOA IDEIA")</f>
        <v>US_301 USF BONGI BOA IDEIA</v>
      </c>
      <c r="G584" s="11" t="str">
        <f>IFERROR(__xludf.DUMMYFUNCTION("""COMPUTED_VALUE"""),"US 301 USF BONGI BOA IDEIA")</f>
        <v>US 301 USF BONGI BOA IDEIA</v>
      </c>
      <c r="H584" s="27">
        <f>IFERROR(__xludf.DUMMYFUNCTION("""COMPUTED_VALUE"""),81992358630)</f>
        <v>81992358630</v>
      </c>
      <c r="I584" s="11"/>
      <c r="J584" s="11"/>
      <c r="K584" s="11"/>
      <c r="L584" s="11"/>
      <c r="M584" s="28" t="str">
        <f>IFERROR(__xludf.DUMMYFUNCTION("""COMPUTED_VALUE"""),"3355-0177")</f>
        <v>3355-0177</v>
      </c>
      <c r="N584" s="11" t="str">
        <f>IFERROR(__xludf.DUMMYFUNCTION("""COMPUTED_VALUE"""),"joaquimaurelianomaia@hotmail.com")</f>
        <v>joaquimaurelianomaia@hotmail.com</v>
      </c>
      <c r="O584" s="29">
        <f>IFERROR(__xludf.DUMMYFUNCTION("""COMPUTED_VALUE"""),87892154434)</f>
        <v>87892154434</v>
      </c>
      <c r="P584" s="30" t="str">
        <f>IFERROR(__xludf.DUMMYFUNCTION("""COMPUTED_VALUE"""),"980016005123519")</f>
        <v>980016005123519</v>
      </c>
      <c r="Q584" s="30" t="str">
        <f>IFERROR(__xludf.DUMMYFUNCTION("""COMPUTED_VALUE"""),"3131572")</f>
        <v>3131572</v>
      </c>
      <c r="R584" s="30" t="str">
        <f>IFERROR(__xludf.DUMMYFUNCTION("""COMPUTED_VALUE"""),"0000155047")</f>
        <v>0000155047</v>
      </c>
      <c r="S584" s="30" t="str">
        <f>IFERROR(__xludf.DUMMYFUNCTION("""COMPUTED_VALUE"""),"1")</f>
        <v>1</v>
      </c>
      <c r="T584" s="30" t="str">
        <f>IFERROR(__xludf.DUMMYFUNCTION("""COMPUTED_VALUE"""),"223293")</f>
        <v>223293</v>
      </c>
      <c r="U584" s="31">
        <f>IFERROR(__xludf.DUMMYFUNCTION("""COMPUTED_VALUE"""),2232)</f>
        <v>2232</v>
      </c>
      <c r="V584" s="11"/>
      <c r="W584" s="11"/>
      <c r="X584" s="11"/>
      <c r="Y584" s="11"/>
      <c r="Z584" s="11"/>
    </row>
    <row r="585" customHeight="1" spans="1:26">
      <c r="A585" s="11" t="str">
        <f>IFERROR(__xludf.DUMMYFUNCTION("""COMPUTED_VALUE"""),"DAYSE ALCEBIADES GOMES")</f>
        <v>DAYSE ALCEBIADES GOMES</v>
      </c>
      <c r="B585" s="11"/>
      <c r="C585" s="11"/>
      <c r="D585" s="11" t="str">
        <f>IFERROR(__xludf.DUMMYFUNCTION("""COMPUTED_VALUE"""),"Enfermeira eSF")</f>
        <v>Enfermeira eSF</v>
      </c>
      <c r="E585" s="11" t="str">
        <f>IFERROR(__xludf.DUMMYFUNCTION("""COMPUTED_VALUE"""),"IV")</f>
        <v>IV</v>
      </c>
      <c r="F585" s="11" t="str">
        <f>IFERROR(__xludf.DUMMYFUNCTION("""COMPUTED_VALUE"""),"US_225 USF SKYLAB II")</f>
        <v>US_225 USF SKYLAB II</v>
      </c>
      <c r="G585" s="11" t="str">
        <f>IFERROR(__xludf.DUMMYFUNCTION("""COMPUTED_VALUE"""),"US 225 USF SKYLAB II")</f>
        <v>US 225 USF SKYLAB II</v>
      </c>
      <c r="H585" s="27">
        <f>IFERROR(__xludf.DUMMYFUNCTION("""COMPUTED_VALUE"""),81986021733)</f>
        <v>81986021733</v>
      </c>
      <c r="I585" s="11"/>
      <c r="J585" s="11"/>
      <c r="K585" s="11"/>
      <c r="L585" s="11"/>
      <c r="M585" s="28" t="str">
        <f>IFERROR(__xludf.DUMMYFUNCTION("""COMPUTED_VALUE"""),"3355-6933")</f>
        <v>3355-6933</v>
      </c>
      <c r="N585" s="11" t="str">
        <f>IFERROR(__xludf.DUMMYFUNCTION("""COMPUTED_VALUE"""),"daysegomes200835@hotmail.com")</f>
        <v>daysegomes200835@hotmail.com</v>
      </c>
      <c r="O585" s="29">
        <f>IFERROR(__xludf.DUMMYFUNCTION("""COMPUTED_VALUE"""),35908840459)</f>
        <v>35908840459</v>
      </c>
      <c r="P585" s="30" t="str">
        <f>IFERROR(__xludf.DUMMYFUNCTION("""COMPUTED_VALUE"""),"123741075250004")</f>
        <v>123741075250004</v>
      </c>
      <c r="Q585" s="30" t="str">
        <f>IFERROR(__xludf.DUMMYFUNCTION("""COMPUTED_VALUE"""),"0022306")</f>
        <v>0022306</v>
      </c>
      <c r="R585" s="30" t="str">
        <f>IFERROR(__xludf.DUMMYFUNCTION("""COMPUTED_VALUE"""),"0000153788")</f>
        <v>0000153788</v>
      </c>
      <c r="S585" s="30" t="str">
        <f>IFERROR(__xludf.DUMMYFUNCTION("""COMPUTED_VALUE"""),"1")</f>
        <v>1</v>
      </c>
      <c r="T585" s="30" t="str">
        <f>IFERROR(__xludf.DUMMYFUNCTION("""COMPUTED_VALUE"""),"223565")</f>
        <v>223565</v>
      </c>
      <c r="U585" s="31" t="str">
        <f>IFERROR(__xludf.DUMMYFUNCTION("""COMPUTED_VALUE"""),"2235")</f>
        <v>2235</v>
      </c>
      <c r="V585" s="11"/>
      <c r="W585" s="11">
        <f>IFERROR(__xludf.DUMMYFUNCTION("""COMPUTED_VALUE"""),8186021733)</f>
        <v>8186021733</v>
      </c>
      <c r="X585" s="11"/>
      <c r="Y585" s="11">
        <f>IFERROR(__xludf.DUMMYFUNCTION("""COMPUTED_VALUE"""),35908840459)</f>
        <v>35908840459</v>
      </c>
      <c r="Z585" s="11"/>
    </row>
    <row r="586" customHeight="1" spans="1:26">
      <c r="A586" s="11" t="str">
        <f>IFERROR(__xludf.DUMMYFUNCTION("""COMPUTED_VALUE"""),"ISRAEL GOMES DA SILVA JUNIOR")</f>
        <v>ISRAEL GOMES DA SILVA JUNIOR</v>
      </c>
      <c r="B586" s="11"/>
      <c r="C586" s="11"/>
      <c r="D586" s="11" t="str">
        <f>IFERROR(__xludf.DUMMYFUNCTION("""COMPUTED_VALUE"""),"Dentista")</f>
        <v>Dentista</v>
      </c>
      <c r="E586" s="11" t="str">
        <f>IFERROR(__xludf.DUMMYFUNCTION("""COMPUTED_VALUE"""),"I")</f>
        <v>I</v>
      </c>
      <c r="F586" s="11" t="str">
        <f>IFERROR(__xludf.DUMMYFUNCTION("""COMPUTED_VALUE"""),"US_241 USF COELHOS II")</f>
        <v>US_241 USF COELHOS II</v>
      </c>
      <c r="G586" s="11" t="str">
        <f>IFERROR(__xludf.DUMMYFUNCTION("""COMPUTED_VALUE"""),"US 241 USF COELHOS II")</f>
        <v>US 241 USF COELHOS II</v>
      </c>
      <c r="H586" s="27">
        <f>IFERROR(__xludf.DUMMYFUNCTION("""COMPUTED_VALUE"""),81991360963)</f>
        <v>81991360963</v>
      </c>
      <c r="I586" s="11"/>
      <c r="J586" s="11"/>
      <c r="K586" s="11"/>
      <c r="L586" s="11"/>
      <c r="M586" s="28" t="str">
        <f>IFERROR(__xludf.DUMMYFUNCTION("""COMPUTED_VALUE"""),"3355-4653")</f>
        <v>3355-4653</v>
      </c>
      <c r="N586" s="11" t="str">
        <f>IFERROR(__xludf.DUMMYFUNCTION("""COMPUTED_VALUE"""),"israjunior@yahoo.com.br")</f>
        <v>israjunior@yahoo.com.br</v>
      </c>
      <c r="O586" s="29">
        <f>IFERROR(__xludf.DUMMYFUNCTION("""COMPUTED_VALUE"""),94992010415)</f>
        <v>94992010415</v>
      </c>
      <c r="P586" s="30" t="str">
        <f>IFERROR(__xludf.DUMMYFUNCTION("""COMPUTED_VALUE"""),"980016004548176")</f>
        <v>980016004548176</v>
      </c>
      <c r="Q586" s="30" t="str">
        <f>IFERROR(__xludf.DUMMYFUNCTION("""COMPUTED_VALUE"""),"0022209")</f>
        <v>0022209</v>
      </c>
      <c r="R586" s="30" t="str">
        <f>IFERROR(__xludf.DUMMYFUNCTION("""COMPUTED_VALUE"""),"0000153575")</f>
        <v>0000153575</v>
      </c>
      <c r="S586" s="30" t="str">
        <f>IFERROR(__xludf.DUMMYFUNCTION("""COMPUTED_VALUE"""),"1")</f>
        <v>1</v>
      </c>
      <c r="T586" s="30" t="str">
        <f>IFERROR(__xludf.DUMMYFUNCTION("""COMPUTED_VALUE"""),"223288")</f>
        <v>223288</v>
      </c>
      <c r="U586" s="31">
        <f>IFERROR(__xludf.DUMMYFUNCTION("""COMPUTED_VALUE"""),2232)</f>
        <v>2232</v>
      </c>
      <c r="V586" s="11"/>
      <c r="W586" s="11"/>
      <c r="X586" s="11"/>
      <c r="Y586" s="11"/>
      <c r="Z586" s="11"/>
    </row>
    <row r="587" customHeight="1" spans="1:26">
      <c r="A587" s="11" t="str">
        <f>IFERROR(__xludf.DUMMYFUNCTION("""COMPUTED_VALUE"""),"MARCIANE APARECIDA DA SILVA")</f>
        <v>MARCIANE APARECIDA DA SILVA</v>
      </c>
      <c r="B587" s="11"/>
      <c r="C587" s="11"/>
      <c r="D587" s="11" t="str">
        <f>IFERROR(__xludf.DUMMYFUNCTION("""COMPUTED_VALUE"""),"MÉDICA")</f>
        <v>MÉDICA</v>
      </c>
      <c r="E587" s="11"/>
      <c r="F587" s="11"/>
      <c r="G587" s="11" t="str">
        <f>IFERROR(__xludf.DUMMYFUNCTION("""COMPUTED_VALUE"""),"US 404 USF SANTO AMARO III")</f>
        <v>US 404 USF SANTO AMARO III</v>
      </c>
      <c r="H587" s="11"/>
      <c r="I587" s="11"/>
      <c r="J587" s="11"/>
      <c r="K587" s="11"/>
      <c r="L587" s="11"/>
      <c r="M587" s="11"/>
      <c r="N587" s="11"/>
      <c r="O587" s="11"/>
      <c r="P587" s="11"/>
      <c r="Q587" s="11"/>
      <c r="R587" s="11"/>
      <c r="S587" s="11"/>
      <c r="T587" s="11"/>
      <c r="U587" s="11"/>
      <c r="V587" s="11"/>
      <c r="W587" s="11"/>
      <c r="X587" s="11"/>
      <c r="Y587" s="11"/>
      <c r="Z587" s="11"/>
    </row>
    <row r="588" customHeight="1" spans="1:26">
      <c r="A588" s="11" t="str">
        <f>IFERROR(__xludf.DUMMYFUNCTION("""COMPUTED_VALUE"""),"Jade Rodrigues Monteiro")</f>
        <v>Jade Rodrigues Monteiro</v>
      </c>
      <c r="B588" s="11"/>
      <c r="C588" s="11"/>
      <c r="D588" s="11" t="str">
        <f>IFERROR(__xludf.DUMMYFUNCTION("""COMPUTED_VALUE"""),"Dentista Residente ")</f>
        <v>Dentista Residente </v>
      </c>
      <c r="E588" s="11"/>
      <c r="F588" s="11" t="str">
        <f>IFERROR(__xludf.DUMMYFUNCTION("""COMPUTED_VALUE"""),"US 404 USF SANTO AMARO III")</f>
        <v>US 404 USF SANTO AMARO III</v>
      </c>
      <c r="G588" s="11" t="str">
        <f>IFERROR(__xludf.DUMMYFUNCTION("""COMPUTED_VALUE"""),"US 404 USF SANTO AMARO III")</f>
        <v>US 404 USF SANTO AMARO III</v>
      </c>
      <c r="H588" s="27">
        <f>IFERROR(__xludf.DUMMYFUNCTION("""COMPUTED_VALUE"""),81996096843)</f>
        <v>81996096843</v>
      </c>
      <c r="I588" s="11"/>
      <c r="J588" s="11"/>
      <c r="K588" s="11"/>
      <c r="L588" s="11"/>
      <c r="M588" s="11"/>
      <c r="N588" s="11" t="str">
        <f>IFERROR(__xludf.DUMMYFUNCTION("""COMPUTED_VALUE"""),"jademonteiro24@gmail.com")</f>
        <v>jademonteiro24@gmail.com</v>
      </c>
      <c r="O588" s="11"/>
      <c r="P588" s="11"/>
      <c r="Q588" s="11"/>
      <c r="R588" s="11"/>
      <c r="S588" s="11"/>
      <c r="T588" s="11"/>
      <c r="U588" s="11"/>
      <c r="V588" s="11"/>
      <c r="W588" s="11"/>
      <c r="X588" s="11"/>
      <c r="Y588" s="11"/>
      <c r="Z588" s="11"/>
    </row>
    <row r="589" customHeight="1" spans="1:26">
      <c r="A589" s="11" t="str">
        <f>IFERROR(__xludf.DUMMYFUNCTION("""COMPUTED_VALUE"""),"IONA BEZERRA DE VASCONCELOS")</f>
        <v>IONA BEZERRA DE VASCONCELOS</v>
      </c>
      <c r="B589" s="11"/>
      <c r="C589" s="11"/>
      <c r="D589" s="11" t="str">
        <f>IFERROR(__xludf.DUMMYFUNCTION("""COMPUTED_VALUE"""),"Médica eSF")</f>
        <v>Médica eSF</v>
      </c>
      <c r="E589" s="11" t="str">
        <f>IFERROR(__xludf.DUMMYFUNCTION("""COMPUTED_VALUE"""),"IV")</f>
        <v>IV</v>
      </c>
      <c r="F589" s="11" t="str">
        <f>IFERROR(__xludf.DUMMYFUNCTION("""COMPUTED_VALUE"""),"US_225 USF SKYLAB II")</f>
        <v>US_225 USF SKYLAB II</v>
      </c>
      <c r="G589" s="11" t="str">
        <f>IFERROR(__xludf.DUMMYFUNCTION("""COMPUTED_VALUE"""),"Upinha Emocy Krause")</f>
        <v>Upinha Emocy Krause</v>
      </c>
      <c r="H589" s="27">
        <f>IFERROR(__xludf.DUMMYFUNCTION("""COMPUTED_VALUE"""),81981680409)</f>
        <v>81981680409</v>
      </c>
      <c r="I589" s="11"/>
      <c r="J589" s="11"/>
      <c r="K589" s="11"/>
      <c r="L589" s="11"/>
      <c r="M589" s="28" t="str">
        <f>IFERROR(__xludf.DUMMYFUNCTION("""COMPUTED_VALUE"""),"3355-6933")</f>
        <v>3355-6933</v>
      </c>
      <c r="N589" s="11" t="str">
        <f>IFERROR(__xludf.DUMMYFUNCTION("""COMPUTED_VALUE"""),"ionavasc@oi.com.br")</f>
        <v>ionavasc@oi.com.br</v>
      </c>
      <c r="O589" s="29">
        <f>IFERROR(__xludf.DUMMYFUNCTION("""COMPUTED_VALUE"""),83028803453)</f>
        <v>83028803453</v>
      </c>
      <c r="P589" s="30" t="str">
        <f>IFERROR(__xludf.DUMMYFUNCTION("""COMPUTED_VALUE"""),"201533377820007")</f>
        <v>201533377820007</v>
      </c>
      <c r="Q589" s="30" t="str">
        <f>IFERROR(__xludf.DUMMYFUNCTION("""COMPUTED_VALUE"""),"0022306")</f>
        <v>0022306</v>
      </c>
      <c r="R589" s="30" t="str">
        <f>IFERROR(__xludf.DUMMYFUNCTION("""COMPUTED_VALUE"""),"0000153788")</f>
        <v>0000153788</v>
      </c>
      <c r="S589" s="30" t="str">
        <f>IFERROR(__xludf.DUMMYFUNCTION("""COMPUTED_VALUE"""),"1")</f>
        <v>1</v>
      </c>
      <c r="T589" s="30" t="str">
        <f>IFERROR(__xludf.DUMMYFUNCTION("""COMPUTED_VALUE"""),"225142")</f>
        <v>225142</v>
      </c>
      <c r="U589" s="31" t="str">
        <f>IFERROR(__xludf.DUMMYFUNCTION("""COMPUTED_VALUE"""),"2251")</f>
        <v>2251</v>
      </c>
      <c r="V589" s="11"/>
      <c r="W589" s="11"/>
      <c r="X589" s="11">
        <f>IFERROR(__xludf.DUMMYFUNCTION("""COMPUTED_VALUE"""),8134535167)</f>
        <v>8134535167</v>
      </c>
      <c r="Y589" s="11">
        <f>IFERROR(__xludf.DUMMYFUNCTION("""COMPUTED_VALUE"""),81981680409)</f>
        <v>81981680409</v>
      </c>
      <c r="Z589" s="11">
        <f>IFERROR(__xludf.DUMMYFUNCTION("""COMPUTED_VALUE"""),83028803453)</f>
        <v>83028803453</v>
      </c>
    </row>
    <row r="590" customHeight="1" spans="1:26">
      <c r="A590" s="11" t="str">
        <f>IFERROR(__xludf.DUMMYFUNCTION("""COMPUTED_VALUE"""),"CARMEN CAVALCANTE PINHEIRO 112")</f>
        <v>CARMEN CAVALCANTE PINHEIRO 112</v>
      </c>
      <c r="B590" s="11"/>
      <c r="C590" s="11"/>
      <c r="D590" s="11" t="str">
        <f>IFERROR(__xludf.DUMMYFUNCTION("""COMPUTED_VALUE"""),"Enfermeira eSF")</f>
        <v>Enfermeira eSF</v>
      </c>
      <c r="E590" s="11" t="str">
        <f>IFERROR(__xludf.DUMMYFUNCTION("""COMPUTED_VALUE"""),"IV")</f>
        <v>IV</v>
      </c>
      <c r="F590" s="11" t="str">
        <f>IFERROR(__xludf.DUMMYFUNCTION("""COMPUTED_VALUE"""),"PACS IPUTINGA I")</f>
        <v>PACS IPUTINGA I</v>
      </c>
      <c r="G590" s="11" t="str">
        <f>IFERROR(__xludf.DUMMYFUNCTION("""COMPUTED_VALUE"""),"US 112 CS DR JOSE DUSTAN CARVALHO SOARES")</f>
        <v>US 112 CS DR JOSE DUSTAN CARVALHO SOARES</v>
      </c>
      <c r="H590" s="27">
        <f>IFERROR(__xludf.DUMMYFUNCTION("""COMPUTED_VALUE"""),81994478456)</f>
        <v>81994478456</v>
      </c>
      <c r="I590" s="11"/>
      <c r="J590" s="11"/>
      <c r="K590" s="11"/>
      <c r="L590" s="11"/>
      <c r="M590" s="28" t="str">
        <f>IFERROR(__xludf.DUMMYFUNCTION("""COMPUTED_VALUE"""),"3355-4139")</f>
        <v>3355-4139</v>
      </c>
      <c r="N590" s="11" t="str">
        <f>IFERROR(__xludf.DUMMYFUNCTION("""COMPUTED_VALUE"""),"carmencpinheiro@hotmail.com")</f>
        <v>carmencpinheiro@hotmail.com</v>
      </c>
      <c r="O590" s="29">
        <f>IFERROR(__xludf.DUMMYFUNCTION("""COMPUTED_VALUE"""),80469027304)</f>
        <v>80469027304</v>
      </c>
      <c r="P590" s="30" t="str">
        <f>IFERROR(__xludf.DUMMYFUNCTION("""COMPUTED_VALUE"""),"980016000823598")</f>
        <v>980016000823598</v>
      </c>
      <c r="Q590" s="30" t="str">
        <f>IFERROR(__xludf.DUMMYFUNCTION("""COMPUTED_VALUE"""),"0001813")</f>
        <v>0001813</v>
      </c>
      <c r="R590" s="30" t="str">
        <f>IFERROR(__xludf.DUMMYFUNCTION("""COMPUTED_VALUE"""),"0001471090")</f>
        <v>0001471090</v>
      </c>
      <c r="S590" s="30" t="str">
        <f>IFERROR(__xludf.DUMMYFUNCTION("""COMPUTED_VALUE"""),"1")</f>
        <v>1</v>
      </c>
      <c r="T590" s="30" t="str">
        <f>IFERROR(__xludf.DUMMYFUNCTION("""COMPUTED_VALUE"""),"223565")</f>
        <v>223565</v>
      </c>
      <c r="U590" s="31" t="str">
        <f>IFERROR(__xludf.DUMMYFUNCTION("""COMPUTED_VALUE"""),"2235")</f>
        <v>2235</v>
      </c>
      <c r="V590" s="11"/>
      <c r="W590" s="11" t="str">
        <f>IFERROR(__xludf.DUMMYFUNCTION("""COMPUTED_VALUE"""),"#N/A")</f>
        <v>#N/A</v>
      </c>
      <c r="X590" s="11" t="str">
        <f>IFERROR(__xludf.DUMMYFUNCTION("""COMPUTED_VALUE"""),"#N/A")</f>
        <v>#N/A</v>
      </c>
      <c r="Y590" s="11" t="str">
        <f>IFERROR(__xludf.DUMMYFUNCTION("""COMPUTED_VALUE"""),"#N/A")</f>
        <v>#N/A</v>
      </c>
      <c r="Z590" s="11"/>
    </row>
    <row r="591" customHeight="1" spans="1:26">
      <c r="A591" s="11" t="str">
        <f>IFERROR(__xludf.DUMMYFUNCTION("""COMPUTED_VALUE"""),"CARMEN CAVALCANTE PINHEIRO 149")</f>
        <v>CARMEN CAVALCANTE PINHEIRO 149</v>
      </c>
      <c r="B591" s="11"/>
      <c r="C591" s="11"/>
      <c r="D591" s="11" t="str">
        <f>IFERROR(__xludf.DUMMYFUNCTION("""COMPUTED_VALUE"""),"Enfermeira")</f>
        <v>Enfermeira</v>
      </c>
      <c r="E591" s="11" t="str">
        <f>IFERROR(__xludf.DUMMYFUNCTION("""COMPUTED_VALUE"""),"IV")</f>
        <v>IV</v>
      </c>
      <c r="F591" s="11" t="str">
        <f>IFERROR(__xludf.DUMMYFUNCTION("""COMPUTED_VALUE"""),"PACS IPUTINGA I")</f>
        <v>PACS IPUTINGA I</v>
      </c>
      <c r="G591" s="11" t="str">
        <f>IFERROR(__xludf.DUMMYFUNCTION("""COMPUTED_VALUE"""),"US 149 CS OLINTO OLIVEIRA")</f>
        <v>US 149 CS OLINTO OLIVEIRA</v>
      </c>
      <c r="H591" s="27">
        <f>IFERROR(__xludf.DUMMYFUNCTION("""COMPUTED_VALUE"""),81994478456)</f>
        <v>81994478456</v>
      </c>
      <c r="I591" s="11"/>
      <c r="J591" s="11"/>
      <c r="K591" s="11"/>
      <c r="L591" s="11"/>
      <c r="M591" s="28" t="str">
        <f>IFERROR(__xludf.DUMMYFUNCTION("""COMPUTED_VALUE"""),"3355-6442/6443")</f>
        <v>3355-6442/6443</v>
      </c>
      <c r="N591" s="11" t="str">
        <f>IFERROR(__xludf.DUMMYFUNCTION("""COMPUTED_VALUE"""),"carmencpinheiro@hotmail.com")</f>
        <v>carmencpinheiro@hotmail.com</v>
      </c>
      <c r="O591" s="29">
        <f>IFERROR(__xludf.DUMMYFUNCTION("""COMPUTED_VALUE"""),80469027304)</f>
        <v>80469027304</v>
      </c>
      <c r="P591" s="30" t="str">
        <f>IFERROR(__xludf.DUMMYFUNCTION("""COMPUTED_VALUE"""),"980016000823598")</f>
        <v>980016000823598</v>
      </c>
      <c r="Q591" s="30" t="str">
        <f>IFERROR(__xludf.DUMMYFUNCTION("""COMPUTED_VALUE"""),"0000817")</f>
        <v>0000817</v>
      </c>
      <c r="R591" s="30" t="str">
        <f>IFERROR(__xludf.DUMMYFUNCTION("""COMPUTED_VALUE"""),"9000081705")</f>
        <v>9000081705</v>
      </c>
      <c r="S591" s="30" t="str">
        <f>IFERROR(__xludf.DUMMYFUNCTION("""COMPUTED_VALUE"""),"1")</f>
        <v>1</v>
      </c>
      <c r="T591" s="30" t="str">
        <f>IFERROR(__xludf.DUMMYFUNCTION("""COMPUTED_VALUE"""),"223505")</f>
        <v>223505</v>
      </c>
      <c r="U591" s="31" t="str">
        <f>IFERROR(__xludf.DUMMYFUNCTION("""COMPUTED_VALUE"""),"2235")</f>
        <v>2235</v>
      </c>
      <c r="V591" s="11"/>
      <c r="W591" s="11"/>
      <c r="X591" s="11"/>
      <c r="Y591" s="11"/>
      <c r="Z591" s="11"/>
    </row>
    <row r="592" customHeight="1" spans="1:26">
      <c r="A592" s="11" t="str">
        <f>IFERROR(__xludf.DUMMYFUNCTION("""COMPUTED_VALUE"""),"KALINA MARIA RIBEIRO PESSOA REIS DE MELO")</f>
        <v>KALINA MARIA RIBEIRO PESSOA REIS DE MELO</v>
      </c>
      <c r="B592" s="11"/>
      <c r="C592" s="11"/>
      <c r="D592" s="11" t="str">
        <f>IFERROR(__xludf.DUMMYFUNCTION("""COMPUTED_VALUE"""),"Enfermeira eSF")</f>
        <v>Enfermeira eSF</v>
      </c>
      <c r="E592" s="11" t="str">
        <f>IFERROR(__xludf.DUMMYFUNCTION("""COMPUTED_VALUE"""),"IV")</f>
        <v>IV</v>
      </c>
      <c r="F592" s="11" t="str">
        <f>IFERROR(__xludf.DUMMYFUNCTION("""COMPUTED_VALUE"""),"US_337 USF SITIO WANDERLEY")</f>
        <v>US_337 USF SITIO WANDERLEY</v>
      </c>
      <c r="G592" s="11" t="str">
        <f>IFERROR(__xludf.DUMMYFUNCTION("""COMPUTED_VALUE"""),"US 337 USF SITIO WANDERLEY")</f>
        <v>US 337 USF SITIO WANDERLEY</v>
      </c>
      <c r="H592" s="27">
        <f>IFERROR(__xludf.DUMMYFUNCTION("""COMPUTED_VALUE"""),81992124582)</f>
        <v>81992124582</v>
      </c>
      <c r="I592" s="11"/>
      <c r="J592" s="11"/>
      <c r="K592" s="11"/>
      <c r="L592" s="11"/>
      <c r="M592" s="28" t="str">
        <f>IFERROR(__xludf.DUMMYFUNCTION("""COMPUTED_VALUE"""),"3355-6874")</f>
        <v>3355-6874</v>
      </c>
      <c r="N592" s="11" t="str">
        <f>IFERROR(__xludf.DUMMYFUNCTION("""COMPUTED_VALUE"""),"kalinaribeiro@yahoo.com.br")</f>
        <v>kalinaribeiro@yahoo.com.br</v>
      </c>
      <c r="O592" s="29">
        <f>IFERROR(__xludf.DUMMYFUNCTION("""COMPUTED_VALUE"""),3017423409)</f>
        <v>3017423409</v>
      </c>
      <c r="P592" s="30" t="str">
        <f>IFERROR(__xludf.DUMMYFUNCTION("""COMPUTED_VALUE"""),"190080039990003")</f>
        <v>190080039990003</v>
      </c>
      <c r="Q592" s="30" t="str">
        <f>IFERROR(__xludf.DUMMYFUNCTION("""COMPUTED_VALUE"""),"5320380")</f>
        <v>5320380</v>
      </c>
      <c r="R592" s="30" t="str">
        <f>IFERROR(__xludf.DUMMYFUNCTION("""COMPUTED_VALUE"""),"0000155772")</f>
        <v>0000155772</v>
      </c>
      <c r="S592" s="30" t="str">
        <f>IFERROR(__xludf.DUMMYFUNCTION("""COMPUTED_VALUE"""),"1")</f>
        <v>1</v>
      </c>
      <c r="T592" s="30" t="str">
        <f>IFERROR(__xludf.DUMMYFUNCTION("""COMPUTED_VALUE"""),"223565")</f>
        <v>223565</v>
      </c>
      <c r="U592" s="31" t="str">
        <f>IFERROR(__xludf.DUMMYFUNCTION("""COMPUTED_VALUE"""),"2235")</f>
        <v>2235</v>
      </c>
      <c r="V592" s="11"/>
      <c r="W592" s="11" t="str">
        <f>IFERROR(__xludf.DUMMYFUNCTION("""COMPUTED_VALUE"""),"#N/A")</f>
        <v>#N/A</v>
      </c>
      <c r="X592" s="11" t="str">
        <f>IFERROR(__xludf.DUMMYFUNCTION("""COMPUTED_VALUE"""),"#N/A")</f>
        <v>#N/A</v>
      </c>
      <c r="Y592" s="11" t="str">
        <f>IFERROR(__xludf.DUMMYFUNCTION("""COMPUTED_VALUE"""),"#N/A")</f>
        <v>#N/A</v>
      </c>
      <c r="Z592" s="11"/>
    </row>
    <row r="593" customHeight="1" spans="1:26">
      <c r="A593" s="11" t="str">
        <f>IFERROR(__xludf.DUMMYFUNCTION("""COMPUTED_VALUE"""),"EDITE DE SOUZA FERREIRA")</f>
        <v>EDITE DE SOUZA FERREIRA</v>
      </c>
      <c r="B593" s="11"/>
      <c r="C593" s="11"/>
      <c r="D593" s="11" t="str">
        <f>IFERROR(__xludf.DUMMYFUNCTION("""COMPUTED_VALUE"""),"Dentista")</f>
        <v>Dentista</v>
      </c>
      <c r="E593" s="11" t="str">
        <f>IFERROR(__xludf.DUMMYFUNCTION("""COMPUTED_VALUE"""),"IV")</f>
        <v>IV</v>
      </c>
      <c r="F593" s="11" t="str">
        <f>IFERROR(__xludf.DUMMYFUNCTION("""COMPUTED_VALUE"""),"US_337 USF SITIO WANDERLEY")</f>
        <v>US_337 USF SITIO WANDERLEY</v>
      </c>
      <c r="G593" s="11" t="str">
        <f>IFERROR(__xludf.DUMMYFUNCTION("""COMPUTED_VALUE"""),"US 337 USF SITIO WANDERLEY")</f>
        <v>US 337 USF SITIO WANDERLEY</v>
      </c>
      <c r="H593" s="27">
        <f>IFERROR(__xludf.DUMMYFUNCTION("""COMPUTED_VALUE"""),81991122776)</f>
        <v>81991122776</v>
      </c>
      <c r="I593" s="11"/>
      <c r="J593" s="11"/>
      <c r="K593" s="11"/>
      <c r="L593" s="11"/>
      <c r="M593" s="28" t="str">
        <f>IFERROR(__xludf.DUMMYFUNCTION("""COMPUTED_VALUE"""),"3355-6874")</f>
        <v>3355-6874</v>
      </c>
      <c r="N593" s="11" t="str">
        <f>IFERROR(__xludf.DUMMYFUNCTION("""COMPUTED_VALUE"""),"editesfg@hotmail.com")</f>
        <v>editesfg@hotmail.com</v>
      </c>
      <c r="O593" s="29">
        <f>IFERROR(__xludf.DUMMYFUNCTION("""COMPUTED_VALUE"""),16660650482)</f>
        <v>16660650482</v>
      </c>
      <c r="P593" s="30" t="str">
        <f>IFERROR(__xludf.DUMMYFUNCTION("""COMPUTED_VALUE"""),"170468952690005")</f>
        <v>170468952690005</v>
      </c>
      <c r="Q593" s="30" t="str">
        <f>IFERROR(__xludf.DUMMYFUNCTION("""COMPUTED_VALUE"""),"5320380")</f>
        <v>5320380</v>
      </c>
      <c r="R593" s="30" t="str">
        <f>IFERROR(__xludf.DUMMYFUNCTION("""COMPUTED_VALUE"""),"0001888838")</f>
        <v>0001888838</v>
      </c>
      <c r="S593" s="30" t="str">
        <f>IFERROR(__xludf.DUMMYFUNCTION("""COMPUTED_VALUE"""),"1")</f>
        <v>1</v>
      </c>
      <c r="T593" s="30" t="str">
        <f>IFERROR(__xludf.DUMMYFUNCTION("""COMPUTED_VALUE"""),"223293")</f>
        <v>223293</v>
      </c>
      <c r="U593" s="31">
        <f>IFERROR(__xludf.DUMMYFUNCTION("""COMPUTED_VALUE"""),2232)</f>
        <v>2232</v>
      </c>
      <c r="V593" s="11"/>
      <c r="W593" s="11"/>
      <c r="X593" s="11"/>
      <c r="Y593" s="11"/>
      <c r="Z593" s="11"/>
    </row>
    <row r="594" customHeight="1" spans="1:26">
      <c r="A594" s="11" t="str">
        <f>IFERROR(__xludf.DUMMYFUNCTION("""COMPUTED_VALUE"""),"Rayssa Gatis D’Amorim Lima")</f>
        <v>Rayssa Gatis D’Amorim Lima</v>
      </c>
      <c r="B594" s="11"/>
      <c r="C594" s="11"/>
      <c r="D594" s="11" t="str">
        <f>IFERROR(__xludf.DUMMYFUNCTION("""COMPUTED_VALUE"""),"Médica eSF")</f>
        <v>Médica eSF</v>
      </c>
      <c r="E594" s="11" t="str">
        <f>IFERROR(__xludf.DUMMYFUNCTION("""COMPUTED_VALUE"""),"IV")</f>
        <v>IV</v>
      </c>
      <c r="F594" s="11" t="str">
        <f>IFERROR(__xludf.DUMMYFUNCTION("""COMPUTED_VALUE"""),"US 295 USF COSME E DAMIAO")</f>
        <v>US 295 USF COSME E DAMIAO</v>
      </c>
      <c r="G594" s="11" t="str">
        <f>IFERROR(__xludf.DUMMYFUNCTION("""COMPUTED_VALUE"""),"US 295 USF COSME E DAMIAO")</f>
        <v>US 295 USF COSME E DAMIAO</v>
      </c>
      <c r="H594" s="27">
        <f>IFERROR(__xludf.DUMMYFUNCTION("""COMPUTED_VALUE"""),81999366148)</f>
        <v>81999366148</v>
      </c>
      <c r="I594" s="11"/>
      <c r="J594" s="11"/>
      <c r="K594" s="11"/>
      <c r="L594" s="11"/>
      <c r="M594" s="11"/>
      <c r="N594" s="11" t="str">
        <f>IFERROR(__xludf.DUMMYFUNCTION("""COMPUTED_VALUE"""),"rayssagatis@hotmail.com")</f>
        <v>rayssagatis@hotmail.com</v>
      </c>
      <c r="O594" s="11"/>
      <c r="P594" s="11"/>
      <c r="Q594" s="11"/>
      <c r="R594" s="11"/>
      <c r="S594" s="30" t="str">
        <f>IFERROR(__xludf.DUMMYFUNCTION("""COMPUTED_VALUE"""),"1")</f>
        <v>1</v>
      </c>
      <c r="T594" s="11"/>
      <c r="U594" s="11"/>
      <c r="V594" s="11"/>
      <c r="W594" s="11"/>
      <c r="X594" s="11"/>
      <c r="Y594" s="11"/>
      <c r="Z594" s="11"/>
    </row>
    <row r="595" customHeight="1" spans="1:26">
      <c r="A595" s="11" t="str">
        <f>IFERROR(__xludf.DUMMYFUNCTION("""COMPUTED_VALUE"""),"DJERLLY MARQUES")</f>
        <v>DJERLLY MARQUES</v>
      </c>
      <c r="B595" s="11"/>
      <c r="C595" s="11"/>
      <c r="D595" s="11" t="str">
        <f>IFERROR(__xludf.DUMMYFUNCTION("""COMPUTED_VALUE"""),"Médica Residente")</f>
        <v>Médica Residente</v>
      </c>
      <c r="E595" s="11" t="str">
        <f>IFERROR(__xludf.DUMMYFUNCTION("""COMPUTED_VALUE"""),"IV")</f>
        <v>IV</v>
      </c>
      <c r="F595" s="11" t="str">
        <f>IFERROR(__xludf.DUMMYFUNCTION("""COMPUTED_VALUE"""),"US 295 USF COSME E DAMIAO")</f>
        <v>US 295 USF COSME E DAMIAO</v>
      </c>
      <c r="G595" s="11" t="str">
        <f>IFERROR(__xludf.DUMMYFUNCTION("""COMPUTED_VALUE"""),"US 295 USF COSME E DAMIAO")</f>
        <v>US 295 USF COSME E DAMIAO</v>
      </c>
      <c r="H595" s="27">
        <f>IFERROR(__xludf.DUMMYFUNCTION("""COMPUTED_VALUE"""),81996817458)</f>
        <v>81996817458</v>
      </c>
      <c r="I595" s="11"/>
      <c r="J595" s="11"/>
      <c r="K595" s="11"/>
      <c r="L595" s="11"/>
      <c r="M595" s="11"/>
      <c r="N595" s="11"/>
      <c r="O595" s="11"/>
      <c r="P595" s="11"/>
      <c r="Q595" s="11"/>
      <c r="R595" s="11"/>
      <c r="S595" s="11"/>
      <c r="T595" s="11"/>
      <c r="U595" s="11"/>
      <c r="V595" s="11"/>
      <c r="W595" s="11"/>
      <c r="X595" s="11"/>
      <c r="Y595" s="11"/>
      <c r="Z595" s="11"/>
    </row>
    <row r="596" customHeight="1" spans="1:26">
      <c r="A596" s="11" t="str">
        <f>IFERROR(__xludf.DUMMYFUNCTION("""COMPUTED_VALUE"""),"ALICIA BANJA")</f>
        <v>ALICIA BANJA</v>
      </c>
      <c r="B596" s="11"/>
      <c r="C596" s="11"/>
      <c r="D596" s="11" t="str">
        <f>IFERROR(__xludf.DUMMYFUNCTION("""COMPUTED_VALUE"""),"Médica eSF")</f>
        <v>Médica eSF</v>
      </c>
      <c r="E596" s="11" t="str">
        <f>IFERROR(__xludf.DUMMYFUNCTION("""COMPUTED_VALUE"""),"IV")</f>
        <v>IV</v>
      </c>
      <c r="F596" s="11" t="str">
        <f>IFERROR(__xludf.DUMMYFUNCTION("""COMPUTED_VALUE"""),"US 295 USF COSME E DAMIAO")</f>
        <v>US 295 USF COSME E DAMIAO</v>
      </c>
      <c r="G596" s="11" t="str">
        <f>IFERROR(__xludf.DUMMYFUNCTION("""COMPUTED_VALUE"""),"US 295 USF COSME E DAMIAO")</f>
        <v>US 295 USF COSME E DAMIAO</v>
      </c>
      <c r="H596" s="27">
        <f>IFERROR(__xludf.DUMMYFUNCTION("""COMPUTED_VALUE"""),81998093420)</f>
        <v>81998093420</v>
      </c>
      <c r="I596" s="11"/>
      <c r="J596" s="11"/>
      <c r="K596" s="11"/>
      <c r="L596" s="11"/>
      <c r="M596" s="11"/>
      <c r="N596" s="11"/>
      <c r="O596" s="11"/>
      <c r="P596" s="11"/>
      <c r="Q596" s="11"/>
      <c r="R596" s="11"/>
      <c r="S596" s="11"/>
      <c r="T596" s="11"/>
      <c r="U596" s="11"/>
      <c r="V596" s="11"/>
      <c r="W596" s="11"/>
      <c r="X596" s="11"/>
      <c r="Y596" s="11"/>
      <c r="Z596" s="11"/>
    </row>
    <row r="597" customHeight="1" spans="1:26">
      <c r="A597" s="11" t="str">
        <f>IFERROR(__xludf.DUMMYFUNCTION("""COMPUTED_VALUE"""),"CARMELIA B BARACHO AMARAL")</f>
        <v>CARMELIA B BARACHO AMARAL</v>
      </c>
      <c r="B597" s="11"/>
      <c r="C597" s="11"/>
      <c r="D597" s="11" t="str">
        <f>IFERROR(__xludf.DUMMYFUNCTION("""COMPUTED_VALUE"""),"Dentista")</f>
        <v>Dentista</v>
      </c>
      <c r="E597" s="11" t="str">
        <f>IFERROR(__xludf.DUMMYFUNCTION("""COMPUTED_VALUE"""),"IV")</f>
        <v>IV</v>
      </c>
      <c r="F597" s="11" t="str">
        <f>IFERROR(__xludf.DUMMYFUNCTION("""COMPUTED_VALUE"""),"US_255 USF UPINHA 24H VILA ARRAES	")</f>
        <v>US_255 USF UPINHA 24H VILA ARRAES	</v>
      </c>
      <c r="G597" s="11"/>
      <c r="H597" s="27">
        <f>IFERROR(__xludf.DUMMYFUNCTION("""COMPUTED_VALUE"""),81998214065)</f>
        <v>81998214065</v>
      </c>
      <c r="I597" s="11"/>
      <c r="J597" s="11"/>
      <c r="K597" s="11"/>
      <c r="L597" s="11"/>
      <c r="M597" s="11"/>
      <c r="N597" s="11" t="str">
        <f>IFERROR(__xludf.DUMMYFUNCTION("""COMPUTED_VALUE"""),"carmelia_amaral@yahoo.com.br")</f>
        <v>carmelia_amaral@yahoo.com.br</v>
      </c>
      <c r="O597" s="29">
        <f>IFERROR(__xludf.DUMMYFUNCTION("""COMPUTED_VALUE"""),66668484468)</f>
        <v>66668484468</v>
      </c>
      <c r="P597" s="30" t="str">
        <f>IFERROR(__xludf.DUMMYFUNCTION("""COMPUTED_VALUE"""),"980016282747185")</f>
        <v>980016282747185</v>
      </c>
      <c r="Q597" s="30" t="str">
        <f>IFERROR(__xludf.DUMMYFUNCTION("""COMPUTED_VALUE"""),"3153487")</f>
        <v>3153487</v>
      </c>
      <c r="R597" s="30" t="str">
        <f>IFERROR(__xludf.DUMMYFUNCTION("""COMPUTED_VALUE"""),"0001833138")</f>
        <v>0001833138</v>
      </c>
      <c r="S597" s="30" t="str">
        <f>IFERROR(__xludf.DUMMYFUNCTION("""COMPUTED_VALUE"""),"1")</f>
        <v>1</v>
      </c>
      <c r="T597" s="30" t="str">
        <f>IFERROR(__xludf.DUMMYFUNCTION("""COMPUTED_VALUE"""),"223293")</f>
        <v>223293</v>
      </c>
      <c r="U597" s="31">
        <f>IFERROR(__xludf.DUMMYFUNCTION("""COMPUTED_VALUE"""),2232)</f>
        <v>2232</v>
      </c>
      <c r="V597" s="11"/>
      <c r="W597" s="11"/>
      <c r="X597" s="11"/>
      <c r="Y597" s="11"/>
      <c r="Z597" s="11"/>
    </row>
    <row r="598" customHeight="1" spans="1:26">
      <c r="A598" s="11" t="str">
        <f>IFERROR(__xludf.DUMMYFUNCTION("""COMPUTED_VALUE"""),"TANIA VIRGINIA FERREIRA DA SILVA")</f>
        <v>TANIA VIRGINIA FERREIRA DA SILVA</v>
      </c>
      <c r="B598" s="11"/>
      <c r="C598" s="11"/>
      <c r="D598" s="11" t="str">
        <f>IFERROR(__xludf.DUMMYFUNCTION("""COMPUTED_VALUE"""),"Médica eSF")</f>
        <v>Médica eSF</v>
      </c>
      <c r="E598" s="11" t="str">
        <f>IFERROR(__xludf.DUMMYFUNCTION("""COMPUTED_VALUE"""),"I")</f>
        <v>I</v>
      </c>
      <c r="F598" s="11" t="str">
        <f>IFERROR(__xludf.DUMMYFUNCTION("""COMPUTED_VALUE"""),"US_285 USF SAO JOSE DO COQUE - BERILO PERNAMBUCANO")</f>
        <v>US_285 USF SAO JOSE DO COQUE - BERILO PERNAMBUCANO</v>
      </c>
      <c r="G598" s="11" t="str">
        <f>IFERROR(__xludf.DUMMYFUNCTION("""COMPUTED_VALUE"""),"US 285 USF SAO JOSE DO COQUE")</f>
        <v>US 285 USF SAO JOSE DO COQUE</v>
      </c>
      <c r="H598" s="27">
        <f>IFERROR(__xludf.DUMMYFUNCTION("""COMPUTED_VALUE"""),81999685876)</f>
        <v>81999685876</v>
      </c>
      <c r="I598" s="11"/>
      <c r="J598" s="11"/>
      <c r="K598" s="11"/>
      <c r="L598" s="11"/>
      <c r="M598" s="28" t="str">
        <f>IFERROR(__xludf.DUMMYFUNCTION("""COMPUTED_VALUE"""),"3355-6226")</f>
        <v>3355-6226</v>
      </c>
      <c r="N598" s="11" t="str">
        <f>IFERROR(__xludf.DUMMYFUNCTION("""COMPUTED_VALUE"""),"tanvifs@hotmail.com")</f>
        <v>tanvifs@hotmail.com</v>
      </c>
      <c r="O598" s="29">
        <f>IFERROR(__xludf.DUMMYFUNCTION("""COMPUTED_VALUE"""),8312320482)</f>
        <v>8312320482</v>
      </c>
      <c r="P598" s="30" t="str">
        <f>IFERROR(__xludf.DUMMYFUNCTION("""COMPUTED_VALUE"""),"104934842290006")</f>
        <v>104934842290006</v>
      </c>
      <c r="Q598" s="30" t="str">
        <f>IFERROR(__xludf.DUMMYFUNCTION("""COMPUTED_VALUE"""),"0029130")</f>
        <v>0029130</v>
      </c>
      <c r="R598" s="30" t="str">
        <f>IFERROR(__xludf.DUMMYFUNCTION("""COMPUTED_VALUE"""),"0000154733")</f>
        <v>0000154733</v>
      </c>
      <c r="S598" s="30" t="str">
        <f>IFERROR(__xludf.DUMMYFUNCTION("""COMPUTED_VALUE"""),"1")</f>
        <v>1</v>
      </c>
      <c r="T598" s="30" t="str">
        <f>IFERROR(__xludf.DUMMYFUNCTION("""COMPUTED_VALUE"""),"225142")</f>
        <v>225142</v>
      </c>
      <c r="U598" s="11">
        <f>IFERROR(__xludf.DUMMYFUNCTION("""COMPUTED_VALUE"""),2251)</f>
        <v>2251</v>
      </c>
      <c r="V598" s="11" t="str">
        <f>IFERROR(__xludf.DUMMYFUNCTION("""COMPUTED_VALUE"""),"SIM")</f>
        <v>SIM</v>
      </c>
      <c r="W598" s="11"/>
      <c r="X598" s="11">
        <f>IFERROR(__xludf.DUMMYFUNCTION("""COMPUTED_VALUE"""),99685876)</f>
        <v>99685876</v>
      </c>
      <c r="Y598" s="11"/>
      <c r="Z598" s="11">
        <f>IFERROR(__xludf.DUMMYFUNCTION("""COMPUTED_VALUE"""),8312320482)</f>
        <v>8312320482</v>
      </c>
    </row>
    <row r="599" customHeight="1" spans="1:26">
      <c r="A599" s="11" t="str">
        <f>IFERROR(__xludf.DUMMYFUNCTION("""COMPUTED_VALUE"""),"SHEYLA MELO DE VASCONCELOS")</f>
        <v>SHEYLA MELO DE VASCONCELOS</v>
      </c>
      <c r="B599" s="11"/>
      <c r="C599" s="11"/>
      <c r="D599" s="11" t="str">
        <f>IFERROR(__xludf.DUMMYFUNCTION("""COMPUTED_VALUE"""),"Enfermeira eSF")</f>
        <v>Enfermeira eSF</v>
      </c>
      <c r="E599" s="11" t="str">
        <f>IFERROR(__xludf.DUMMYFUNCTION("""COMPUTED_VALUE"""),"II")</f>
        <v>II</v>
      </c>
      <c r="F599" s="11" t="str">
        <f>IFERROR(__xludf.DUMMYFUNCTION("""COMPUTED_VALUE"""),"US_180 CENTRAL DE REGULACAO MEDICA SAMU METROPOLITANO RECIFE")</f>
        <v>US_180 CENTRAL DE REGULACAO MEDICA SAMU METROPOLITANO RECIFE</v>
      </c>
      <c r="G599" s="11" t="str">
        <f>IFERROR(__xludf.DUMMYFUNCTION("""COMPUTED_VALUE"""),"US 274 USF TIA REGINA")</f>
        <v>US 274 USF TIA REGINA</v>
      </c>
      <c r="H599" s="27">
        <f>IFERROR(__xludf.DUMMYFUNCTION("""COMPUTED_VALUE"""),81986061846)</f>
        <v>81986061846</v>
      </c>
      <c r="I599" s="11"/>
      <c r="J599" s="11"/>
      <c r="K599" s="11"/>
      <c r="L599" s="11"/>
      <c r="M599" s="28" t="str">
        <f>IFERROR(__xludf.DUMMYFUNCTION("""COMPUTED_VALUE"""),"3355-4708")</f>
        <v>3355-4708</v>
      </c>
      <c r="N599" s="11" t="str">
        <f>IFERROR(__xludf.DUMMYFUNCTION("""COMPUTED_VALUE"""),"sheylavascon@gmail.com")</f>
        <v>sheylavascon@gmail.com</v>
      </c>
      <c r="O599" s="29">
        <f>IFERROR(__xludf.DUMMYFUNCTION("""COMPUTED_VALUE"""),2664273400)</f>
        <v>2664273400</v>
      </c>
      <c r="P599" s="30" t="str">
        <f>IFERROR(__xludf.DUMMYFUNCTION("""COMPUTED_VALUE"""),"204322740510007")</f>
        <v>204322740510007</v>
      </c>
      <c r="Q599" s="30" t="str">
        <f>IFERROR(__xludf.DUMMYFUNCTION("""COMPUTED_VALUE"""),"0028096")</f>
        <v>0028096</v>
      </c>
      <c r="R599" s="30" t="str">
        <f>IFERROR(__xludf.DUMMYFUNCTION("""COMPUTED_VALUE"""),"0000154512")</f>
        <v>0000154512</v>
      </c>
      <c r="S599" s="30" t="str">
        <f>IFERROR(__xludf.DUMMYFUNCTION("""COMPUTED_VALUE"""),"1")</f>
        <v>1</v>
      </c>
      <c r="T599" s="30" t="str">
        <f>IFERROR(__xludf.DUMMYFUNCTION("""COMPUTED_VALUE"""),"223565")</f>
        <v>223565</v>
      </c>
      <c r="U599" s="31" t="str">
        <f>IFERROR(__xludf.DUMMYFUNCTION("""COMPUTED_VALUE"""),"2235")</f>
        <v>2235</v>
      </c>
      <c r="V599" s="11"/>
      <c r="W599" s="11"/>
      <c r="X599" s="11"/>
      <c r="Y599" s="11"/>
      <c r="Z599" s="11"/>
    </row>
    <row r="600" customHeight="1" spans="1:26">
      <c r="A600" s="11" t="str">
        <f>IFERROR(__xludf.DUMMYFUNCTION("""COMPUTED_VALUE"""),"ADRIANA DOS SANTOS DINIZ")</f>
        <v>ADRIANA DOS SANTOS DINIZ</v>
      </c>
      <c r="B600" s="11"/>
      <c r="C600" s="11"/>
      <c r="D600" s="11" t="str">
        <f>IFERROR(__xludf.DUMMYFUNCTION("""COMPUTED_VALUE"""),"Dentista")</f>
        <v>Dentista</v>
      </c>
      <c r="E600" s="11" t="str">
        <f>IFERROR(__xludf.DUMMYFUNCTION("""COMPUTED_VALUE"""),"V")</f>
        <v>V</v>
      </c>
      <c r="F600" s="11" t="str">
        <f>IFERROR(__xludf.DUMMYFUNCTION("""COMPUTED_VALUE"""),"US_300 USF DR GERALDO BARRETO CAMPELO SAN MARTIN")</f>
        <v>US_300 USF DR GERALDO BARRETO CAMPELO SAN MARTIN</v>
      </c>
      <c r="G600" s="11" t="str">
        <f>IFERROR(__xludf.DUMMYFUNCTION("""COMPUTED_VALUE"""),"US 300 USF DR GERALDO BARRETO CAMPELO SAN MARTIN")</f>
        <v>US 300 USF DR GERALDO BARRETO CAMPELO SAN MARTIN</v>
      </c>
      <c r="H600" s="11"/>
      <c r="I600" s="11"/>
      <c r="J600" s="11"/>
      <c r="K600" s="11"/>
      <c r="L600" s="11"/>
      <c r="M600" s="28" t="str">
        <f>IFERROR(__xludf.DUMMYFUNCTION("""COMPUTED_VALUE"""),"3355-6126")</f>
        <v>3355-6126</v>
      </c>
      <c r="N600" s="11"/>
      <c r="O600" s="29">
        <f>IFERROR(__xludf.DUMMYFUNCTION("""COMPUTED_VALUE"""),66929474487)</f>
        <v>66929474487</v>
      </c>
      <c r="P600" s="30" t="str">
        <f>IFERROR(__xludf.DUMMYFUNCTION("""COMPUTED_VALUE"""),"170616383440006")</f>
        <v>170616383440006</v>
      </c>
      <c r="Q600" s="30" t="str">
        <f>IFERROR(__xludf.DUMMYFUNCTION("""COMPUTED_VALUE"""),"3131521")</f>
        <v>3131521</v>
      </c>
      <c r="R600" s="11"/>
      <c r="S600" s="30" t="str">
        <f>IFERROR(__xludf.DUMMYFUNCTION("""COMPUTED_VALUE"""),"1")</f>
        <v>1</v>
      </c>
      <c r="T600" s="30" t="str">
        <f>IFERROR(__xludf.DUMMYFUNCTION("""COMPUTED_VALUE"""),"223293")</f>
        <v>223293</v>
      </c>
      <c r="U600" s="31">
        <f>IFERROR(__xludf.DUMMYFUNCTION("""COMPUTED_VALUE"""),2232)</f>
        <v>2232</v>
      </c>
      <c r="V600" s="11"/>
      <c r="W600" s="11"/>
      <c r="X600" s="11"/>
      <c r="Y600" s="11"/>
      <c r="Z600" s="11"/>
    </row>
    <row r="601" customHeight="1" spans="1:26">
      <c r="A601" s="11" t="str">
        <f>IFERROR(__xludf.DUMMYFUNCTION("""COMPUTED_VALUE"""),"PAULA FERREIRA DE LIMA")</f>
        <v>PAULA FERREIRA DE LIMA</v>
      </c>
      <c r="B601" s="11"/>
      <c r="C601" s="11"/>
      <c r="D601" s="11" t="str">
        <f>IFERROR(__xludf.DUMMYFUNCTION("""COMPUTED_VALUE"""),"Enfermeira")</f>
        <v>Enfermeira</v>
      </c>
      <c r="E601" s="11" t="str">
        <f>IFERROR(__xludf.DUMMYFUNCTION("""COMPUTED_VALUE"""),"IV")</f>
        <v>IV</v>
      </c>
      <c r="F601" s="11" t="str">
        <f>IFERROR(__xludf.DUMMYFUNCTION("""COMPUTED_VALUE"""),"US_149 CS OLINTO OLIVEIRA")</f>
        <v>US_149 CS OLINTO OLIVEIRA</v>
      </c>
      <c r="G601" s="11" t="str">
        <f>IFERROR(__xludf.DUMMYFUNCTION("""COMPUTED_VALUE"""),"US 149 CS OLINTO OLIVEIRA")</f>
        <v>US 149 CS OLINTO OLIVEIRA</v>
      </c>
      <c r="H601" s="27">
        <f>IFERROR(__xludf.DUMMYFUNCTION("""COMPUTED_VALUE"""),81996544771)</f>
        <v>81996544771</v>
      </c>
      <c r="I601" s="11"/>
      <c r="J601" s="11"/>
      <c r="K601" s="11"/>
      <c r="L601" s="11"/>
      <c r="M601" s="28" t="str">
        <f>IFERROR(__xludf.DUMMYFUNCTION("""COMPUTED_VALUE"""),"3355-6442/6443")</f>
        <v>3355-6442/6443</v>
      </c>
      <c r="N601" s="11" t="str">
        <f>IFERROR(__xludf.DUMMYFUNCTION("""COMPUTED_VALUE"""),"paulaflima2@hotmail.com")</f>
        <v>paulaflima2@hotmail.com</v>
      </c>
      <c r="O601" s="29">
        <f>IFERROR(__xludf.DUMMYFUNCTION("""COMPUTED_VALUE"""),3521340465)</f>
        <v>3521340465</v>
      </c>
      <c r="P601" s="30" t="str">
        <f>IFERROR(__xludf.DUMMYFUNCTION("""COMPUTED_VALUE"""),"980016001773128")</f>
        <v>980016001773128</v>
      </c>
      <c r="Q601" s="30" t="str">
        <f>IFERROR(__xludf.DUMMYFUNCTION("""COMPUTED_VALUE"""),"0000817")</f>
        <v>0000817</v>
      </c>
      <c r="R601" s="30" t="str">
        <f>IFERROR(__xludf.DUMMYFUNCTION("""COMPUTED_VALUE"""),"9000081707")</f>
        <v>9000081707</v>
      </c>
      <c r="S601" s="30" t="str">
        <f>IFERROR(__xludf.DUMMYFUNCTION("""COMPUTED_VALUE"""),"1")</f>
        <v>1</v>
      </c>
      <c r="T601" s="30" t="str">
        <f>IFERROR(__xludf.DUMMYFUNCTION("""COMPUTED_VALUE"""),"223565")</f>
        <v>223565</v>
      </c>
      <c r="U601" s="31" t="str">
        <f>IFERROR(__xludf.DUMMYFUNCTION("""COMPUTED_VALUE"""),"2235")</f>
        <v>2235</v>
      </c>
      <c r="V601" s="11"/>
      <c r="W601" s="11"/>
      <c r="X601" s="11"/>
      <c r="Y601" s="11"/>
      <c r="Z601" s="11"/>
    </row>
    <row r="602" customHeight="1" spans="1:26">
      <c r="A602" s="11" t="str">
        <f>IFERROR(__xludf.DUMMYFUNCTION("""COMPUTED_VALUE"""),"LUCIANA SARMENTO DE MENDONCA")</f>
        <v>LUCIANA SARMENTO DE MENDONCA</v>
      </c>
      <c r="B602" s="11"/>
      <c r="C602" s="11"/>
      <c r="D602" s="11" t="str">
        <f>IFERROR(__xludf.DUMMYFUNCTION("""COMPUTED_VALUE"""),"Dentista")</f>
        <v>Dentista</v>
      </c>
      <c r="E602" s="11" t="str">
        <f>IFERROR(__xludf.DUMMYFUNCTION("""COMPUTED_VALUE"""),"VII")</f>
        <v>VII</v>
      </c>
      <c r="F602" s="11" t="str">
        <f>IFERROR(__xludf.DUMMYFUNCTION("""COMPUTED_VALUE"""),"US_175 USF ALTO DA BRASILEIRA / DIOGENES CAVALCANTI / RESERVATORIO")</f>
        <v>US_175 USF ALTO DA BRASILEIRA / DIOGENES CAVALCANTI / RESERVATORIO</v>
      </c>
      <c r="G602" s="11" t="str">
        <f>IFERROR(__xludf.DUMMYFUNCTION("""COMPUTED_VALUE"""),"US 283 USF VILA BOA VISTA")</f>
        <v>US 283 USF VILA BOA VISTA</v>
      </c>
      <c r="H602" s="27">
        <f>IFERROR(__xludf.DUMMYFUNCTION("""COMPUTED_VALUE"""),81999657790)</f>
        <v>81999657790</v>
      </c>
      <c r="I602" s="11"/>
      <c r="J602" s="11"/>
      <c r="K602" s="11"/>
      <c r="L602" s="11"/>
      <c r="M602" s="28" t="str">
        <f>IFERROR(__xludf.DUMMYFUNCTION("""COMPUTED_VALUE"""),"3355-6242")</f>
        <v>3355-6242</v>
      </c>
      <c r="N602" s="11" t="str">
        <f>IFERROR(__xludf.DUMMYFUNCTION("""COMPUTED_VALUE"""),"lucianasarmento@yahoo.com.br")</f>
        <v>lucianasarmento@yahoo.com.br</v>
      </c>
      <c r="O602" s="29">
        <f>IFERROR(__xludf.DUMMYFUNCTION("""COMPUTED_VALUE"""),2550140400)</f>
        <v>2550140400</v>
      </c>
      <c r="P602" s="30" t="str">
        <f>IFERROR(__xludf.DUMMYFUNCTION("""COMPUTED_VALUE"""),"980016004532822")</f>
        <v>980016004532822</v>
      </c>
      <c r="Q602" s="30" t="str">
        <f>IFERROR(__xludf.DUMMYFUNCTION("""COMPUTED_VALUE"""),"0029106")</f>
        <v>0029106</v>
      </c>
      <c r="R602" s="30" t="str">
        <f>IFERROR(__xludf.DUMMYFUNCTION("""COMPUTED_VALUE"""),"0001799355")</f>
        <v>0001799355</v>
      </c>
      <c r="S602" s="30" t="str">
        <f>IFERROR(__xludf.DUMMYFUNCTION("""COMPUTED_VALUE"""),"1")</f>
        <v>1</v>
      </c>
      <c r="T602" s="30" t="str">
        <f>IFERROR(__xludf.DUMMYFUNCTION("""COMPUTED_VALUE"""),"223293")</f>
        <v>223293</v>
      </c>
      <c r="U602" s="31">
        <f>IFERROR(__xludf.DUMMYFUNCTION("""COMPUTED_VALUE"""),2232)</f>
        <v>2232</v>
      </c>
      <c r="V602" s="11"/>
      <c r="W602" s="11"/>
      <c r="X602" s="11"/>
      <c r="Y602" s="11"/>
      <c r="Z602" s="11"/>
    </row>
    <row r="603" customHeight="1" spans="1:26">
      <c r="A603" s="11" t="str">
        <f>IFERROR(__xludf.DUMMYFUNCTION("""COMPUTED_VALUE"""),"RISETE ALEXANDRE SOBRAL BATISTA 258")</f>
        <v>RISETE ALEXANDRE SOBRAL BATISTA 258</v>
      </c>
      <c r="B603" s="11" t="str">
        <f>IFERROR(__xludf.DUMMYFUNCTION("""COMPUTED_VALUE"""),"10:00/10:30/11:00 - horários de preferência")</f>
        <v>10:00/10:30/11:00 - horários de preferência</v>
      </c>
      <c r="C603" s="11"/>
      <c r="D603" s="11" t="str">
        <f>IFERROR(__xludf.DUMMYFUNCTION("""COMPUTED_VALUE"""),"Médica eSF")</f>
        <v>Médica eSF</v>
      </c>
      <c r="E603" s="11" t="str">
        <f>IFERROR(__xludf.DUMMYFUNCTION("""COMPUTED_VALUE"""),"III")</f>
        <v>III</v>
      </c>
      <c r="F603" s="11" t="str">
        <f>IFERROR(__xludf.DUMMYFUNCTION("""COMPUTED_VALUE"""),"US_149 CS OLINTO OLIVEIRA")</f>
        <v>US_149 CS OLINTO OLIVEIRA</v>
      </c>
      <c r="G603" s="11" t="str">
        <f>IFERROR(__xludf.DUMMYFUNCTION("""COMPUTED_VALUE"""),"US 258 USF SITIO DOS PINTOS")</f>
        <v>US 258 USF SITIO DOS PINTOS</v>
      </c>
      <c r="H603" s="27">
        <f>IFERROR(__xludf.DUMMYFUNCTION("""COMPUTED_VALUE"""),81999782334)</f>
        <v>81999782334</v>
      </c>
      <c r="I603" s="11"/>
      <c r="J603" s="11"/>
      <c r="K603" s="11"/>
      <c r="L603" s="11"/>
      <c r="M603" s="28" t="str">
        <f>IFERROR(__xludf.DUMMYFUNCTION("""COMPUTED_VALUE"""),"3355-0070")</f>
        <v>3355-0070</v>
      </c>
      <c r="N603" s="11" t="str">
        <f>IFERROR(__xludf.DUMMYFUNCTION("""COMPUTED_VALUE"""),"risete.sobral@hotmail.com")</f>
        <v>risete.sobral@hotmail.com</v>
      </c>
      <c r="O603" s="29">
        <f>IFERROR(__xludf.DUMMYFUNCTION("""COMPUTED_VALUE"""),24383252400)</f>
        <v>24383252400</v>
      </c>
      <c r="P603" s="30" t="str">
        <f>IFERROR(__xludf.DUMMYFUNCTION("""COMPUTED_VALUE"""),"980016000011321")</f>
        <v>980016000011321</v>
      </c>
      <c r="Q603" s="30" t="str">
        <f>IFERROR(__xludf.DUMMYFUNCTION("""COMPUTED_VALUE"""),"0028053")</f>
        <v>0028053</v>
      </c>
      <c r="R603" s="30" t="str">
        <f>IFERROR(__xludf.DUMMYFUNCTION("""COMPUTED_VALUE"""),"0000154431")</f>
        <v>0000154431</v>
      </c>
      <c r="S603" s="30" t="str">
        <f>IFERROR(__xludf.DUMMYFUNCTION("""COMPUTED_VALUE"""),"1")</f>
        <v>1</v>
      </c>
      <c r="T603" s="30" t="str">
        <f>IFERROR(__xludf.DUMMYFUNCTION("""COMPUTED_VALUE"""),"225142")</f>
        <v>225142</v>
      </c>
      <c r="U603" s="31" t="str">
        <f>IFERROR(__xludf.DUMMYFUNCTION("""COMPUTED_VALUE"""),"2251")</f>
        <v>2251</v>
      </c>
      <c r="V603" s="11" t="str">
        <f>IFERROR(__xludf.DUMMYFUNCTION("""COMPUTED_VALUE"""),"SIM")</f>
        <v>SIM</v>
      </c>
      <c r="W603" s="11"/>
      <c r="X603" s="11" t="str">
        <f>IFERROR(__xludf.DUMMYFUNCTION("""COMPUTED_VALUE"""),"#N/A")</f>
        <v>#N/A</v>
      </c>
      <c r="Y603" s="11" t="str">
        <f>IFERROR(__xludf.DUMMYFUNCTION("""COMPUTED_VALUE"""),"#N/A")</f>
        <v>#N/A</v>
      </c>
      <c r="Z603" s="11" t="str">
        <f>IFERROR(__xludf.DUMMYFUNCTION("""COMPUTED_VALUE"""),"#N/A")</f>
        <v>#N/A</v>
      </c>
    </row>
    <row r="604" customHeight="1" spans="1:26">
      <c r="A604" s="11" t="str">
        <f>IFERROR(__xludf.DUMMYFUNCTION("""COMPUTED_VALUE"""),"RISETE ALEXANDRE SOBRAL BATISTA 149")</f>
        <v>RISETE ALEXANDRE SOBRAL BATISTA 149</v>
      </c>
      <c r="B604" s="11"/>
      <c r="C604" s="11"/>
      <c r="D604" s="11" t="str">
        <f>IFERROR(__xludf.DUMMYFUNCTION("""COMPUTED_VALUE"""),"Médica Clínica")</f>
        <v>Médica Clínica</v>
      </c>
      <c r="E604" s="11" t="str">
        <f>IFERROR(__xludf.DUMMYFUNCTION("""COMPUTED_VALUE"""),"IV")</f>
        <v>IV</v>
      </c>
      <c r="F604" s="11" t="str">
        <f>IFERROR(__xludf.DUMMYFUNCTION("""COMPUTED_VALUE"""),"US_149 CS OLINTO OLIVEIRA")</f>
        <v>US_149 CS OLINTO OLIVEIRA</v>
      </c>
      <c r="G604" s="11" t="str">
        <f>IFERROR(__xludf.DUMMYFUNCTION("""COMPUTED_VALUE"""),"US 149 CS OLINTO OLIVEIRA")</f>
        <v>US 149 CS OLINTO OLIVEIRA</v>
      </c>
      <c r="H604" s="27">
        <f>IFERROR(__xludf.DUMMYFUNCTION("""COMPUTED_VALUE"""),81999782334)</f>
        <v>81999782334</v>
      </c>
      <c r="I604" s="11"/>
      <c r="J604" s="11"/>
      <c r="K604" s="11"/>
      <c r="L604" s="11"/>
      <c r="M604" s="28" t="str">
        <f>IFERROR(__xludf.DUMMYFUNCTION("""COMPUTED_VALUE"""),"3355-6442/6443")</f>
        <v>3355-6442/6443</v>
      </c>
      <c r="N604" s="11" t="str">
        <f>IFERROR(__xludf.DUMMYFUNCTION("""COMPUTED_VALUE"""),"risete.sobral@hotmail.com")</f>
        <v>risete.sobral@hotmail.com</v>
      </c>
      <c r="O604" s="29">
        <f>IFERROR(__xludf.DUMMYFUNCTION("""COMPUTED_VALUE"""),24383252400)</f>
        <v>24383252400</v>
      </c>
      <c r="P604" s="30" t="str">
        <f>IFERROR(__xludf.DUMMYFUNCTION("""COMPUTED_VALUE"""),"980016000011321")</f>
        <v>980016000011321</v>
      </c>
      <c r="Q604" s="30" t="str">
        <f>IFERROR(__xludf.DUMMYFUNCTION("""COMPUTED_VALUE"""),"0000817")</f>
        <v>0000817</v>
      </c>
      <c r="R604" s="30" t="str">
        <f>IFERROR(__xludf.DUMMYFUNCTION("""COMPUTED_VALUE"""),"9000081702")</f>
        <v>9000081702</v>
      </c>
      <c r="S604" s="30" t="str">
        <f>IFERROR(__xludf.DUMMYFUNCTION("""COMPUTED_VALUE"""),"1")</f>
        <v>1</v>
      </c>
      <c r="T604" s="30" t="str">
        <f>IFERROR(__xludf.DUMMYFUNCTION("""COMPUTED_VALUE"""),"225125")</f>
        <v>225125</v>
      </c>
      <c r="U604" s="31">
        <f>IFERROR(__xludf.DUMMYFUNCTION("""COMPUTED_VALUE"""),2251)</f>
        <v>2251</v>
      </c>
      <c r="V604" s="11"/>
      <c r="W604" s="30" t="str">
        <f>IFERROR(__xludf.DUMMYFUNCTION("""COMPUTED_VALUE"""),"30/05/1958")</f>
        <v>30/05/1958</v>
      </c>
      <c r="X604" s="11" t="str">
        <f>IFERROR(__xludf.DUMMYFUNCTION("""COMPUTED_VALUE"""),"#N/A")</f>
        <v>#N/A</v>
      </c>
      <c r="Y604" s="11" t="str">
        <f>IFERROR(__xludf.DUMMYFUNCTION("""COMPUTED_VALUE"""),"#N/A")</f>
        <v>#N/A</v>
      </c>
      <c r="Z604" s="11" t="str">
        <f>IFERROR(__xludf.DUMMYFUNCTION("""COMPUTED_VALUE"""),"#N/A")</f>
        <v>#N/A</v>
      </c>
    </row>
    <row r="605" customHeight="1" spans="1:26">
      <c r="A605" s="11" t="str">
        <f>IFERROR(__xludf.DUMMYFUNCTION("""COMPUTED_VALUE"""),"LUCIMARY ALVES DE FRANCA")</f>
        <v>LUCIMARY ALVES DE FRANCA</v>
      </c>
      <c r="B605" s="11"/>
      <c r="C605" s="11"/>
      <c r="D605" s="11" t="str">
        <f>IFERROR(__xludf.DUMMYFUNCTION("""COMPUTED_VALUE"""),"Médica eSF")</f>
        <v>Médica eSF</v>
      </c>
      <c r="E605" s="11" t="str">
        <f>IFERROR(__xludf.DUMMYFUNCTION("""COMPUTED_VALUE"""),"VIII")</f>
        <v>VIII</v>
      </c>
      <c r="F605" s="11" t="str">
        <f>IFERROR(__xludf.DUMMYFUNCTION("""COMPUTED_VALUE"""),"US_314 USF RIO DA PRATA")</f>
        <v>US_314 USF RIO DA PRATA</v>
      </c>
      <c r="G605" s="11" t="str">
        <f>IFERROR(__xludf.DUMMYFUNCTION("""COMPUTED_VALUE"""),"US 154 USF UPINHA DIA RIO DA PRATA")</f>
        <v>US 154 USF UPINHA DIA RIO DA PRATA</v>
      </c>
      <c r="H605" s="27">
        <f>IFERROR(__xludf.DUMMYFUNCTION("""COMPUTED_VALUE"""),81996540390)</f>
        <v>81996540390</v>
      </c>
      <c r="I605" s="11"/>
      <c r="J605" s="11"/>
      <c r="K605" s="11"/>
      <c r="L605" s="11"/>
      <c r="M605" s="28" t="str">
        <f>IFERROR(__xludf.DUMMYFUNCTION("""COMPUTED_VALUE"""),"3355-6215 / 3338-7768")</f>
        <v>3355-6215 / 3338-7768</v>
      </c>
      <c r="N605" s="11" t="str">
        <f>IFERROR(__xludf.DUMMYFUNCTION("""COMPUTED_VALUE"""),"lucimary.alves@gmail.com")</f>
        <v>lucimary.alves@gmail.com</v>
      </c>
      <c r="O605" s="29">
        <f>IFERROR(__xludf.DUMMYFUNCTION("""COMPUTED_VALUE"""),19288220453)</f>
        <v>19288220453</v>
      </c>
      <c r="P605" s="30" t="str">
        <f>IFERROR(__xludf.DUMMYFUNCTION("""COMPUTED_VALUE"""),"203834014310000")</f>
        <v>203834014310000</v>
      </c>
      <c r="Q605" s="30" t="str">
        <f>IFERROR(__xludf.DUMMYFUNCTION("""COMPUTED_VALUE"""),"3639827")</f>
        <v>3639827</v>
      </c>
      <c r="R605" s="30" t="str">
        <f>IFERROR(__xludf.DUMMYFUNCTION("""COMPUTED_VALUE"""),"0000155640")</f>
        <v>0000155640</v>
      </c>
      <c r="S605" s="30" t="str">
        <f>IFERROR(__xludf.DUMMYFUNCTION("""COMPUTED_VALUE"""),"1")</f>
        <v>1</v>
      </c>
      <c r="T605" s="30" t="str">
        <f>IFERROR(__xludf.DUMMYFUNCTION("""COMPUTED_VALUE"""),"225142")</f>
        <v>225142</v>
      </c>
      <c r="U605" s="31" t="str">
        <f>IFERROR(__xludf.DUMMYFUNCTION("""COMPUTED_VALUE"""),"2251")</f>
        <v>2251</v>
      </c>
      <c r="V605" s="11" t="str">
        <f>IFERROR(__xludf.DUMMYFUNCTION("""COMPUTED_VALUE"""),"SIM")</f>
        <v>SIM</v>
      </c>
      <c r="W605" s="30" t="str">
        <f>IFERROR(__xludf.DUMMYFUNCTION("""COMPUTED_VALUE"""),"20/03/1954")</f>
        <v>20/03/1954</v>
      </c>
      <c r="X605" s="11" t="str">
        <f>IFERROR(__xludf.DUMMYFUNCTION("""COMPUTED_VALUE"""),"#N/A")</f>
        <v>#N/A</v>
      </c>
      <c r="Y605" s="11" t="str">
        <f>IFERROR(__xludf.DUMMYFUNCTION("""COMPUTED_VALUE"""),"#N/A")</f>
        <v>#N/A</v>
      </c>
      <c r="Z605" s="11" t="str">
        <f>IFERROR(__xludf.DUMMYFUNCTION("""COMPUTED_VALUE"""),"#N/A")</f>
        <v>#N/A</v>
      </c>
    </row>
    <row r="606" customHeight="1" spans="1:26">
      <c r="A606" s="11" t="str">
        <f>IFERROR(__xludf.DUMMYFUNCTION("""COMPUTED_VALUE"""),"FERNANDA FONSECA DE LIMA")</f>
        <v>FERNANDA FONSECA DE LIMA</v>
      </c>
      <c r="B606" s="11"/>
      <c r="C606" s="11"/>
      <c r="D606" s="11" t="str">
        <f>IFERROR(__xludf.DUMMYFUNCTION("""COMPUTED_VALUE"""),"Dentista")</f>
        <v>Dentista</v>
      </c>
      <c r="E606" s="11" t="str">
        <f>IFERROR(__xludf.DUMMYFUNCTION("""COMPUTED_VALUE"""),"VIII")</f>
        <v>VIII</v>
      </c>
      <c r="F606" s="11" t="str">
        <f>IFERROR(__xludf.DUMMYFUNCTION("""COMPUTED_VALUE"""),"US_282 USF VILA DAS AEROMOCAS")</f>
        <v>US_282 USF VILA DAS AEROMOCAS</v>
      </c>
      <c r="G606" s="11" t="str">
        <f>IFERROR(__xludf.DUMMYFUNCTION("""COMPUTED_VALUE"""),"US 282 USF VILA DAS AEROMOCAS")</f>
        <v>US 282 USF VILA DAS AEROMOCAS</v>
      </c>
      <c r="H606" s="27">
        <f>IFERROR(__xludf.DUMMYFUNCTION("""COMPUTED_VALUE"""),81993872552)</f>
        <v>81993872552</v>
      </c>
      <c r="I606" s="11"/>
      <c r="J606" s="11"/>
      <c r="K606" s="11"/>
      <c r="L606" s="11"/>
      <c r="M606" s="28" t="str">
        <f>IFERROR(__xludf.DUMMYFUNCTION("""COMPUTED_VALUE"""),"3355-4620")</f>
        <v>3355-4620</v>
      </c>
      <c r="N606" s="11" t="str">
        <f>IFERROR(__xludf.DUMMYFUNCTION("""COMPUTED_VALUE"""),"ffernanda.lima@outlook.com")</f>
        <v>ffernanda.lima@outlook.com</v>
      </c>
      <c r="O606" s="29">
        <f>IFERROR(__xludf.DUMMYFUNCTION("""COMPUTED_VALUE"""),2692428480)</f>
        <v>2692428480</v>
      </c>
      <c r="P606" s="30" t="str">
        <f>IFERROR(__xludf.DUMMYFUNCTION("""COMPUTED_VALUE"""),"980016280391162")</f>
        <v>980016280391162</v>
      </c>
      <c r="Q606" s="30" t="str">
        <f>IFERROR(__xludf.DUMMYFUNCTION("""COMPUTED_VALUE"""),"0029068")</f>
        <v>0029068</v>
      </c>
      <c r="R606" s="30" t="str">
        <f>IFERROR(__xludf.DUMMYFUNCTION("""COMPUTED_VALUE"""),"0001845764")</f>
        <v>0001845764</v>
      </c>
      <c r="S606" s="30" t="str">
        <f>IFERROR(__xludf.DUMMYFUNCTION("""COMPUTED_VALUE"""),"1")</f>
        <v>1</v>
      </c>
      <c r="T606" s="30" t="str">
        <f>IFERROR(__xludf.DUMMYFUNCTION("""COMPUTED_VALUE"""),"223293")</f>
        <v>223293</v>
      </c>
      <c r="U606" s="31">
        <f>IFERROR(__xludf.DUMMYFUNCTION("""COMPUTED_VALUE"""),2232)</f>
        <v>2232</v>
      </c>
      <c r="V606" s="11"/>
      <c r="W606" s="11"/>
      <c r="X606" s="11"/>
      <c r="Y606" s="11"/>
      <c r="Z606" s="11"/>
    </row>
    <row r="607" customHeight="1" spans="1:26">
      <c r="A607" s="11" t="str">
        <f>IFERROR(__xludf.DUMMYFUNCTION("""COMPUTED_VALUE"""),"JUSTINIANO OTHON DE OLIVEIRA LUNA")</f>
        <v>JUSTINIANO OTHON DE OLIVEIRA LUNA</v>
      </c>
      <c r="B607" s="11"/>
      <c r="C607" s="11"/>
      <c r="D607" s="11" t="str">
        <f>IFERROR(__xludf.DUMMYFUNCTION("""COMPUTED_VALUE"""),"Médico Clínico")</f>
        <v>Médico Clínico</v>
      </c>
      <c r="E607" s="11" t="str">
        <f>IFERROR(__xludf.DUMMYFUNCTION("""COMPUTED_VALUE"""),"VI")</f>
        <v>VI</v>
      </c>
      <c r="F607" s="11" t="str">
        <f>IFERROR(__xludf.DUMMYFUNCTION("""COMPUTED_VALUE"""),"US_119 CS PROF JOSE CARNEIRO LEAO")</f>
        <v>US_119 CS PROF JOSE CARNEIRO LEAO</v>
      </c>
      <c r="G607" s="11" t="str">
        <f>IFERROR(__xludf.DUMMYFUNCTION("""COMPUTED_VALUE"""),"US 119 CS PROF JOSE CARNEIRO LEAO")</f>
        <v>US 119 CS PROF JOSE CARNEIRO LEAO</v>
      </c>
      <c r="H607" s="27">
        <f>IFERROR(__xludf.DUMMYFUNCTION("""COMPUTED_VALUE"""),81988252020)</f>
        <v>81988252020</v>
      </c>
      <c r="I607" s="11"/>
      <c r="J607" s="11"/>
      <c r="K607" s="11"/>
      <c r="L607" s="11"/>
      <c r="M607" s="28" t="str">
        <f>IFERROR(__xludf.DUMMYFUNCTION("""COMPUTED_VALUE"""),"3355-4448")</f>
        <v>3355-4448</v>
      </c>
      <c r="N607" s="11" t="str">
        <f>IFERROR(__xludf.DUMMYFUNCTION("""COMPUTED_VALUE"""),"justinianoluna@oi.com.br")</f>
        <v>justinianoluna@oi.com.br</v>
      </c>
      <c r="O607" s="29">
        <f>IFERROR(__xludf.DUMMYFUNCTION("""COMPUTED_VALUE"""),53170717472)</f>
        <v>53170717472</v>
      </c>
      <c r="P607" s="30" t="str">
        <f>IFERROR(__xludf.DUMMYFUNCTION("""COMPUTED_VALUE"""),"204324655580006")</f>
        <v>204324655580006</v>
      </c>
      <c r="Q607" s="30" t="str">
        <f>IFERROR(__xludf.DUMMYFUNCTION("""COMPUTED_VALUE"""),"0001090")</f>
        <v>0001090</v>
      </c>
      <c r="R607" s="30" t="str">
        <f>IFERROR(__xludf.DUMMYFUNCTION("""COMPUTED_VALUE"""),"9000109002")</f>
        <v>9000109002</v>
      </c>
      <c r="S607" s="30" t="str">
        <f>IFERROR(__xludf.DUMMYFUNCTION("""COMPUTED_VALUE"""),"1")</f>
        <v>1</v>
      </c>
      <c r="T607" s="30" t="str">
        <f>IFERROR(__xludf.DUMMYFUNCTION("""COMPUTED_VALUE"""),"225125")</f>
        <v>225125</v>
      </c>
      <c r="U607" s="31">
        <f>IFERROR(__xludf.DUMMYFUNCTION("""COMPUTED_VALUE"""),2251)</f>
        <v>2251</v>
      </c>
      <c r="V607" s="11"/>
      <c r="W607" s="11"/>
      <c r="X607" s="11">
        <f>IFERROR(__xludf.DUMMYFUNCTION("""COMPUTED_VALUE"""),34614007)</f>
        <v>34614007</v>
      </c>
      <c r="Y607" s="11">
        <f>IFERROR(__xludf.DUMMYFUNCTION("""COMPUTED_VALUE"""),88252020)</f>
        <v>88252020</v>
      </c>
      <c r="Z607" s="11">
        <f>IFERROR(__xludf.DUMMYFUNCTION("""COMPUTED_VALUE"""),53170717472)</f>
        <v>53170717472</v>
      </c>
    </row>
    <row r="608" customHeight="1" spans="1:26">
      <c r="A608" s="11" t="str">
        <f>IFERROR(__xludf.DUMMYFUNCTION("""COMPUTED_VALUE"""),"MARCELO DE OLIVEIRA SIMOES")</f>
        <v>MARCELO DE OLIVEIRA SIMOES</v>
      </c>
      <c r="B608" s="11"/>
      <c r="C608" s="11"/>
      <c r="D608" s="11" t="str">
        <f>IFERROR(__xludf.DUMMYFUNCTION("""COMPUTED_VALUE"""),"Médico eSF")</f>
        <v>Médico eSF</v>
      </c>
      <c r="E608" s="11" t="str">
        <f>IFERROR(__xludf.DUMMYFUNCTION("""COMPUTED_VALUE"""),"VII")</f>
        <v>VII</v>
      </c>
      <c r="F608" s="11" t="str">
        <f>IFERROR(__xludf.DUMMYFUNCTION("""COMPUTED_VALUE"""),"US_394 USF UPINHA 24H DR MOACYR ANDRE GOMES")</f>
        <v>US_394 USF UPINHA 24H DR MOACYR ANDRE GOMES</v>
      </c>
      <c r="G608" s="11" t="str">
        <f>IFERROR(__xludf.DUMMYFUNCTION("""COMPUTED_VALUE"""),"US 394 USF UPINHA 24H DR MOACYR ANDRE GOMES")</f>
        <v>US 394 USF UPINHA 24H DR MOACYR ANDRE GOMES</v>
      </c>
      <c r="H608" s="27">
        <f>IFERROR(__xludf.DUMMYFUNCTION("""COMPUTED_VALUE"""),81999892157)</f>
        <v>81999892157</v>
      </c>
      <c r="I608" s="11"/>
      <c r="J608" s="11"/>
      <c r="K608" s="11"/>
      <c r="L608" s="11"/>
      <c r="M608" s="28" t="str">
        <f>IFERROR(__xludf.DUMMYFUNCTION("""COMPUTED_VALUE"""),"3355-3393")</f>
        <v>3355-3393</v>
      </c>
      <c r="N608" s="11" t="str">
        <f>IFERROR(__xludf.DUMMYFUNCTION("""COMPUTED_VALUE"""),"marcelosimoes2085@hotmail.com")</f>
        <v>marcelosimoes2085@hotmail.com</v>
      </c>
      <c r="O608" s="29">
        <f>IFERROR(__xludf.DUMMYFUNCTION("""COMPUTED_VALUE"""),5082591428)</f>
        <v>5082591428</v>
      </c>
      <c r="P608" s="30" t="str">
        <f>IFERROR(__xludf.DUMMYFUNCTION("""COMPUTED_VALUE"""),"980016285712293")</f>
        <v>980016285712293</v>
      </c>
      <c r="Q608" s="30" t="str">
        <f>IFERROR(__xludf.DUMMYFUNCTION("""COMPUTED_VALUE"""),"7415788")</f>
        <v>7415788</v>
      </c>
      <c r="R608" s="30" t="str">
        <f>IFERROR(__xludf.DUMMYFUNCTION("""COMPUTED_VALUE"""),"0000145777")</f>
        <v>0000145777</v>
      </c>
      <c r="S608" s="30" t="str">
        <f>IFERROR(__xludf.DUMMYFUNCTION("""COMPUTED_VALUE"""),"1")</f>
        <v>1</v>
      </c>
      <c r="T608" s="30" t="str">
        <f>IFERROR(__xludf.DUMMYFUNCTION("""COMPUTED_VALUE"""),"225142")</f>
        <v>225142</v>
      </c>
      <c r="U608" s="31" t="str">
        <f>IFERROR(__xludf.DUMMYFUNCTION("""COMPUTED_VALUE"""),"2251")</f>
        <v>2251</v>
      </c>
      <c r="V608" s="11"/>
      <c r="W608" s="11"/>
      <c r="X608" s="11">
        <f>IFERROR(__xludf.DUMMYFUNCTION("""COMPUTED_VALUE"""),8134451918)</f>
        <v>8134451918</v>
      </c>
      <c r="Y608" s="11">
        <f>IFERROR(__xludf.DUMMYFUNCTION("""COMPUTED_VALUE"""),8199892157)</f>
        <v>8199892157</v>
      </c>
      <c r="Z608" s="11">
        <f>IFERROR(__xludf.DUMMYFUNCTION("""COMPUTED_VALUE"""),5082591428)</f>
        <v>5082591428</v>
      </c>
    </row>
    <row r="609" customHeight="1" spans="1:26">
      <c r="A609" s="11" t="str">
        <f>IFERROR(__xludf.DUMMYFUNCTION("""COMPUTED_VALUE"""),"ANA CLAUDIA FARIAS DO AMARAL FREITAS")</f>
        <v>ANA CLAUDIA FARIAS DO AMARAL FREITAS</v>
      </c>
      <c r="B609" s="11"/>
      <c r="C609" s="11"/>
      <c r="D609" s="11" t="str">
        <f>IFERROR(__xludf.DUMMYFUNCTION("""COMPUTED_VALUE"""),"Dentista")</f>
        <v>Dentista</v>
      </c>
      <c r="E609" s="11" t="str">
        <f>IFERROR(__xludf.DUMMYFUNCTION("""COMPUTED_VALUE"""),"VIII")</f>
        <v>VIII</v>
      </c>
      <c r="F609" s="11" t="str">
        <f>IFERROR(__xludf.DUMMYFUNCTION("""COMPUTED_VALUE"""),"US_229 USF UR 10 / ARNALDO DE FRANCA CALDAS")</f>
        <v>US_229 USF UR 10 / ARNALDO DE FRANCA CALDAS</v>
      </c>
      <c r="G609" s="11" t="str">
        <f>IFERROR(__xludf.DUMMYFUNCTION("""COMPUTED_VALUE"""),"US 229 USF UR 10")</f>
        <v>US 229 USF UR 10</v>
      </c>
      <c r="H609" s="27">
        <f>IFERROR(__xludf.DUMMYFUNCTION("""COMPUTED_VALUE"""),81999019302)</f>
        <v>81999019302</v>
      </c>
      <c r="I609" s="11"/>
      <c r="J609" s="11"/>
      <c r="K609" s="11"/>
      <c r="L609" s="11"/>
      <c r="M609" s="28" t="str">
        <f>IFERROR(__xludf.DUMMYFUNCTION("""COMPUTED_VALUE"""),"3355-6909")</f>
        <v>3355-6909</v>
      </c>
      <c r="N609" s="11" t="str">
        <f>IFERROR(__xludf.DUMMYFUNCTION("""COMPUTED_VALUE"""),"anacfamaral@yahoo.com.br")</f>
        <v>anacfamaral@yahoo.com.br</v>
      </c>
      <c r="O609" s="29">
        <f>IFERROR(__xludf.DUMMYFUNCTION("""COMPUTED_VALUE"""),4313637494)</f>
        <v>4313637494</v>
      </c>
      <c r="P609" s="30" t="str">
        <f>IFERROR(__xludf.DUMMYFUNCTION("""COMPUTED_VALUE"""),"201533415690004")</f>
        <v>201533415690004</v>
      </c>
      <c r="Q609" s="30" t="str">
        <f>IFERROR(__xludf.DUMMYFUNCTION("""COMPUTED_VALUE"""),"0022462")</f>
        <v>0022462</v>
      </c>
      <c r="R609" s="30" t="str">
        <f>IFERROR(__xludf.DUMMYFUNCTION("""COMPUTED_VALUE"""),"0001789678")</f>
        <v>0001789678</v>
      </c>
      <c r="S609" s="30" t="str">
        <f>IFERROR(__xludf.DUMMYFUNCTION("""COMPUTED_VALUE"""),"1")</f>
        <v>1</v>
      </c>
      <c r="T609" s="30" t="str">
        <f>IFERROR(__xludf.DUMMYFUNCTION("""COMPUTED_VALUE"""),"223293")</f>
        <v>223293</v>
      </c>
      <c r="U609" s="31">
        <f>IFERROR(__xludf.DUMMYFUNCTION("""COMPUTED_VALUE"""),2232)</f>
        <v>2232</v>
      </c>
      <c r="V609" s="11"/>
      <c r="W609" s="11"/>
      <c r="X609" s="11"/>
      <c r="Y609" s="11"/>
      <c r="Z609" s="11"/>
    </row>
    <row r="610" customHeight="1" spans="1:26">
      <c r="A610" s="11" t="str">
        <f>IFERROR(__xludf.DUMMYFUNCTION("""COMPUTED_VALUE"""),"DIONE DEVENS MELO CANTO")</f>
        <v>DIONE DEVENS MELO CANTO</v>
      </c>
      <c r="B610" s="11"/>
      <c r="C610" s="11"/>
      <c r="D610" s="11" t="str">
        <f>IFERROR(__xludf.DUMMYFUNCTION("""COMPUTED_VALUE"""),"Dentista")</f>
        <v>Dentista</v>
      </c>
      <c r="E610" s="11" t="str">
        <f>IFERROR(__xludf.DUMMYFUNCTION("""COMPUTED_VALUE"""),"VIII")</f>
        <v>VIII</v>
      </c>
      <c r="F610" s="11" t="str">
        <f>IFERROR(__xludf.DUMMYFUNCTION("""COMPUTED_VALUE"""),"US_373 USF CIDADE OPERARIA")</f>
        <v>US_373 USF CIDADE OPERARIA</v>
      </c>
      <c r="G610" s="11" t="str">
        <f>IFERROR(__xludf.DUMMYFUNCTION("""COMPUTED_VALUE"""),"US 373 USF CIDADE OPERARIA")</f>
        <v>US 373 USF CIDADE OPERARIA</v>
      </c>
      <c r="H610" s="27">
        <f>IFERROR(__xludf.DUMMYFUNCTION("""COMPUTED_VALUE"""),81986883281)</f>
        <v>81986883281</v>
      </c>
      <c r="I610" s="11"/>
      <c r="J610" s="11"/>
      <c r="K610" s="11"/>
      <c r="L610" s="11"/>
      <c r="M610" s="28" t="str">
        <f>IFERROR(__xludf.DUMMYFUNCTION("""COMPUTED_VALUE"""),"3355-3032")</f>
        <v>3355-3032</v>
      </c>
      <c r="N610" s="11" t="str">
        <f>IFERROR(__xludf.DUMMYFUNCTION("""COMPUTED_VALUE"""),"dionedevens@hotmail.com")</f>
        <v>dionedevens@hotmail.com</v>
      </c>
      <c r="O610" s="29">
        <f>IFERROR(__xludf.DUMMYFUNCTION("""COMPUTED_VALUE"""),2782148435)</f>
        <v>2782148435</v>
      </c>
      <c r="P610" s="30" t="str">
        <f>IFERROR(__xludf.DUMMYFUNCTION("""COMPUTED_VALUE"""),"980016000517438")</f>
        <v>980016000517438</v>
      </c>
      <c r="Q610" s="30" t="str">
        <f>IFERROR(__xludf.DUMMYFUNCTION("""COMPUTED_VALUE"""),"6691285")</f>
        <v>6691285</v>
      </c>
      <c r="R610" s="30" t="str">
        <f>IFERROR(__xludf.DUMMYFUNCTION("""COMPUTED_VALUE"""),"0001889249")</f>
        <v>0001889249</v>
      </c>
      <c r="S610" s="30" t="str">
        <f>IFERROR(__xludf.DUMMYFUNCTION("""COMPUTED_VALUE"""),"1")</f>
        <v>1</v>
      </c>
      <c r="T610" s="30" t="str">
        <f>IFERROR(__xludf.DUMMYFUNCTION("""COMPUTED_VALUE"""),"223293")</f>
        <v>223293</v>
      </c>
      <c r="U610" s="31">
        <f>IFERROR(__xludf.DUMMYFUNCTION("""COMPUTED_VALUE"""),2232)</f>
        <v>2232</v>
      </c>
      <c r="V610" s="11"/>
      <c r="W610" s="11"/>
      <c r="X610" s="11"/>
      <c r="Y610" s="11"/>
      <c r="Z610" s="11"/>
    </row>
    <row r="611" customHeight="1" spans="1:26">
      <c r="A611" s="11" t="str">
        <f>IFERROR(__xludf.DUMMYFUNCTION("""COMPUTED_VALUE"""),"FABIANA GOMES VALENTIM")</f>
        <v>FABIANA GOMES VALENTIM</v>
      </c>
      <c r="B611" s="11"/>
      <c r="C611" s="11" t="str">
        <f>IFERROR(__xludf.DUMMYFUNCTION("""COMPUTED_VALUE"""),"Sem whatsapp")</f>
        <v>Sem whatsapp</v>
      </c>
      <c r="D611" s="11" t="str">
        <f>IFERROR(__xludf.DUMMYFUNCTION("""COMPUTED_VALUE"""),"Enfermeira eSF")</f>
        <v>Enfermeira eSF</v>
      </c>
      <c r="E611" s="11" t="str">
        <f>IFERROR(__xludf.DUMMYFUNCTION("""COMPUTED_VALUE"""),"VIII")</f>
        <v>VIII</v>
      </c>
      <c r="F611" s="11" t="str">
        <f>IFERROR(__xludf.DUMMYFUNCTION("""COMPUTED_VALUE"""),"US_347 USF PARQUE DOS MILAGRES")</f>
        <v>US_347 USF PARQUE DOS MILAGRES</v>
      </c>
      <c r="G611" s="11" t="str">
        <f>IFERROR(__xludf.DUMMYFUNCTION("""COMPUTED_VALUE"""),"US 282 USF VILA DAS AEROMOCAS")</f>
        <v>US 282 USF VILA DAS AEROMOCAS</v>
      </c>
      <c r="H611" s="27">
        <f>IFERROR(__xludf.DUMMYFUNCTION("""COMPUTED_VALUE"""),81987326173)</f>
        <v>81987326173</v>
      </c>
      <c r="I611" s="27">
        <f>IFERROR(__xludf.DUMMYFUNCTION("""COMPUTED_VALUE"""),81999710456)</f>
        <v>81999710456</v>
      </c>
      <c r="J611" s="11"/>
      <c r="K611" s="11"/>
      <c r="L611" s="11"/>
      <c r="M611" s="28" t="str">
        <f>IFERROR(__xludf.DUMMYFUNCTION("""COMPUTED_VALUE"""),"3355-4620")</f>
        <v>3355-4620</v>
      </c>
      <c r="N611" s="11" t="str">
        <f>IFERROR(__xludf.DUMMYFUNCTION("""COMPUTED_VALUE"""),"fabianavalentim_469@hotmail.com")</f>
        <v>fabianavalentim_469@hotmail.com</v>
      </c>
      <c r="O611" s="29">
        <f>IFERROR(__xludf.DUMMYFUNCTION("""COMPUTED_VALUE"""),73466719453)</f>
        <v>73466719453</v>
      </c>
      <c r="P611" s="30" t="str">
        <f>IFERROR(__xludf.DUMMYFUNCTION("""COMPUTED_VALUE"""),"203120181630008")</f>
        <v>203120181630008</v>
      </c>
      <c r="Q611" s="30" t="str">
        <f>IFERROR(__xludf.DUMMYFUNCTION("""COMPUTED_VALUE"""),"0029068")</f>
        <v>0029068</v>
      </c>
      <c r="R611" s="30" t="str">
        <f>IFERROR(__xludf.DUMMYFUNCTION("""COMPUTED_VALUE"""),"0000154644")</f>
        <v>0000154644</v>
      </c>
      <c r="S611" s="30" t="str">
        <f>IFERROR(__xludf.DUMMYFUNCTION("""COMPUTED_VALUE"""),"1")</f>
        <v>1</v>
      </c>
      <c r="T611" s="30" t="str">
        <f>IFERROR(__xludf.DUMMYFUNCTION("""COMPUTED_VALUE"""),"223565")</f>
        <v>223565</v>
      </c>
      <c r="U611" s="31" t="str">
        <f>IFERROR(__xludf.DUMMYFUNCTION("""COMPUTED_VALUE"""),"2235")</f>
        <v>2235</v>
      </c>
      <c r="V611" s="11"/>
      <c r="W611" s="11">
        <f>IFERROR(__xludf.DUMMYFUNCTION("""COMPUTED_VALUE"""),34625878)</f>
        <v>34625878</v>
      </c>
      <c r="X611" s="11">
        <f>IFERROR(__xludf.DUMMYFUNCTION("""COMPUTED_VALUE"""),87326173)</f>
        <v>87326173</v>
      </c>
      <c r="Y611" s="11">
        <f>IFERROR(__xludf.DUMMYFUNCTION("""COMPUTED_VALUE"""),73466719453)</f>
        <v>73466719453</v>
      </c>
      <c r="Z611" s="11"/>
    </row>
    <row r="612" customHeight="1" spans="1:26">
      <c r="A612" s="11" t="str">
        <f>IFERROR(__xludf.DUMMYFUNCTION("""COMPUTED_VALUE"""),"CRISTIANE CARLOS DE ALBUQUERQUE VIEIRA SANTOS")</f>
        <v>CRISTIANE CARLOS DE ALBUQUERQUE VIEIRA SANTOS</v>
      </c>
      <c r="B612" s="11" t="str">
        <f>IFERROR(__xludf.DUMMYFUNCTION("""COMPUTED_VALUE"""),"RECUSA TELECONSULTORIA")</f>
        <v>RECUSA TELECONSULTORIA</v>
      </c>
      <c r="C612" s="11"/>
      <c r="D612" s="11" t="str">
        <f>IFERROR(__xludf.DUMMYFUNCTION("""COMPUTED_VALUE"""),"Médica eSF")</f>
        <v>Médica eSF</v>
      </c>
      <c r="E612" s="11" t="str">
        <f>IFERROR(__xludf.DUMMYFUNCTION("""COMPUTED_VALUE"""),"VI")</f>
        <v>VI</v>
      </c>
      <c r="F612" s="11" t="str">
        <f>IFERROR(__xludf.DUMMYFUNCTION("""COMPUTED_VALUE"""),"US_165 MATERNIDADE BANDEIRA FILHO")</f>
        <v>US_165 MATERNIDADE BANDEIRA FILHO</v>
      </c>
      <c r="G612" s="11" t="str">
        <f>IFERROR(__xludf.DUMMYFUNCTION("""COMPUTED_VALUE"""),"US 187 USF ILHA DE DEUS")</f>
        <v>US 187 USF ILHA DE DEUS</v>
      </c>
      <c r="H612" s="27">
        <f>IFERROR(__xludf.DUMMYFUNCTION("""COMPUTED_VALUE"""),81999765023)</f>
        <v>81999765023</v>
      </c>
      <c r="I612" s="11"/>
      <c r="J612" s="11"/>
      <c r="K612" s="11"/>
      <c r="L612" s="28" t="str">
        <f>IFERROR(__xludf.DUMMYFUNCTION("""COMPUTED_VALUE"""),"X")</f>
        <v>X</v>
      </c>
      <c r="M612" s="28" t="str">
        <f>IFERROR(__xludf.DUMMYFUNCTION("""COMPUTED_VALUE"""),"3355-6936")</f>
        <v>3355-6936</v>
      </c>
      <c r="N612" s="11" t="str">
        <f>IFERROR(__xludf.DUMMYFUNCTION("""COMPUTED_VALUE"""),"cristianecarlos2008@hotmail.com")</f>
        <v>cristianecarlos2008@hotmail.com</v>
      </c>
      <c r="O612" s="29">
        <f>IFERROR(__xludf.DUMMYFUNCTION("""COMPUTED_VALUE"""),45663416404)</f>
        <v>45663416404</v>
      </c>
      <c r="P612" s="30" t="str">
        <f>IFERROR(__xludf.DUMMYFUNCTION("""COMPUTED_VALUE"""),"170519002590000")</f>
        <v>170519002590000</v>
      </c>
      <c r="Q612" s="30" t="str">
        <f>IFERROR(__xludf.DUMMYFUNCTION("""COMPUTED_VALUE"""),"0002100")</f>
        <v>0002100</v>
      </c>
      <c r="R612" s="30" t="str">
        <f>IFERROR(__xludf.DUMMYFUNCTION("""COMPUTED_VALUE"""),"0000153443")</f>
        <v>0000153443</v>
      </c>
      <c r="S612" s="30" t="str">
        <f>IFERROR(__xludf.DUMMYFUNCTION("""COMPUTED_VALUE"""),"1")</f>
        <v>1</v>
      </c>
      <c r="T612" s="30" t="str">
        <f>IFERROR(__xludf.DUMMYFUNCTION("""COMPUTED_VALUE"""),"225142")</f>
        <v>225142</v>
      </c>
      <c r="U612" s="31" t="str">
        <f>IFERROR(__xludf.DUMMYFUNCTION("""COMPUTED_VALUE"""),"2251")</f>
        <v>2251</v>
      </c>
      <c r="V612" s="11"/>
      <c r="W612" s="11"/>
      <c r="X612" s="11">
        <f>IFERROR(__xludf.DUMMYFUNCTION("""COMPUTED_VALUE"""),8134627035)</f>
        <v>8134627035</v>
      </c>
      <c r="Y612" s="11">
        <f>IFERROR(__xludf.DUMMYFUNCTION("""COMPUTED_VALUE"""),8199765023)</f>
        <v>8199765023</v>
      </c>
      <c r="Z612" s="11">
        <f>IFERROR(__xludf.DUMMYFUNCTION("""COMPUTED_VALUE"""),45663416404)</f>
        <v>45663416404</v>
      </c>
    </row>
    <row r="613" customHeight="1" spans="1:26">
      <c r="A613" s="11" t="str">
        <f>IFERROR(__xludf.DUMMYFUNCTION("""COMPUTED_VALUE"""),"MARGARETH ROSE BRAGA MENDES CARNEIRO")</f>
        <v>MARGARETH ROSE BRAGA MENDES CARNEIRO</v>
      </c>
      <c r="B613" s="11"/>
      <c r="C613" s="11"/>
      <c r="D613" s="11" t="str">
        <f>IFERROR(__xludf.DUMMYFUNCTION("""COMPUTED_VALUE"""),"Enfermeira eSF")</f>
        <v>Enfermeira eSF</v>
      </c>
      <c r="E613" s="11" t="str">
        <f>IFERROR(__xludf.DUMMYFUNCTION("""COMPUTED_VALUE"""),"VI")</f>
        <v>VI</v>
      </c>
      <c r="F613" s="11" t="str">
        <f>IFERROR(__xludf.DUMMYFUNCTION("""COMPUTED_VALUE"""),"PACS ILHA DO DESTINO")</f>
        <v>PACS ILHA DO DESTINO</v>
      </c>
      <c r="G613" s="11" t="str">
        <f>IFERROR(__xludf.DUMMYFUNCTION("""COMPUTED_VALUE"""),"US 119 CS PROF JOSE CARNEIRO LEAO")</f>
        <v>US 119 CS PROF JOSE CARNEIRO LEAO</v>
      </c>
      <c r="H613" s="27">
        <f>IFERROR(__xludf.DUMMYFUNCTION("""COMPUTED_VALUE"""),81999295005)</f>
        <v>81999295005</v>
      </c>
      <c r="I613" s="11"/>
      <c r="J613" s="11"/>
      <c r="K613" s="11"/>
      <c r="L613" s="11"/>
      <c r="M613" s="28" t="str">
        <f>IFERROR(__xludf.DUMMYFUNCTION("""COMPUTED_VALUE"""),"3355-4428")</f>
        <v>3355-4428</v>
      </c>
      <c r="N613" s="11" t="str">
        <f>IFERROR(__xludf.DUMMYFUNCTION("""COMPUTED_VALUE"""),"margareth.rose@hotmail.com")</f>
        <v>margareth.rose@hotmail.com</v>
      </c>
      <c r="O613" s="29">
        <f>IFERROR(__xludf.DUMMYFUNCTION("""COMPUTED_VALUE"""),42796431487)</f>
        <v>42796431487</v>
      </c>
      <c r="P613" s="30" t="str">
        <f>IFERROR(__xludf.DUMMYFUNCTION("""COMPUTED_VALUE"""),"170118799680005")</f>
        <v>170118799680005</v>
      </c>
      <c r="Q613" s="30" t="str">
        <f>IFERROR(__xludf.DUMMYFUNCTION("""COMPUTED_VALUE"""),"0000752")</f>
        <v>0000752</v>
      </c>
      <c r="R613" s="30" t="str">
        <f>IFERROR(__xludf.DUMMYFUNCTION("""COMPUTED_VALUE"""),"0000152455")</f>
        <v>0000152455</v>
      </c>
      <c r="S613" s="30" t="str">
        <f>IFERROR(__xludf.DUMMYFUNCTION("""COMPUTED_VALUE"""),"1")</f>
        <v>1</v>
      </c>
      <c r="T613" s="30" t="str">
        <f>IFERROR(__xludf.DUMMYFUNCTION("""COMPUTED_VALUE"""),"223565")</f>
        <v>223565</v>
      </c>
      <c r="U613" s="31" t="str">
        <f>IFERROR(__xludf.DUMMYFUNCTION("""COMPUTED_VALUE"""),"2235")</f>
        <v>2235</v>
      </c>
      <c r="V613" s="11"/>
      <c r="W613" s="11">
        <f>IFERROR(__xludf.DUMMYFUNCTION("""COMPUTED_VALUE"""),8199295005)</f>
        <v>8199295005</v>
      </c>
      <c r="X613" s="11"/>
      <c r="Y613" s="11">
        <f>IFERROR(__xludf.DUMMYFUNCTION("""COMPUTED_VALUE"""),42796431487)</f>
        <v>42796431487</v>
      </c>
      <c r="Z613" s="11"/>
    </row>
    <row r="614" customHeight="1" spans="1:26">
      <c r="A614" s="11" t="str">
        <f>IFERROR(__xludf.DUMMYFUNCTION("""COMPUTED_VALUE"""),"MARIA OLGA LEITE ROMEIRO")</f>
        <v>MARIA OLGA LEITE ROMEIRO</v>
      </c>
      <c r="B614" s="11"/>
      <c r="C614" s="11"/>
      <c r="D614" s="11" t="str">
        <f>IFERROR(__xludf.DUMMYFUNCTION("""COMPUTED_VALUE"""),"Dentista")</f>
        <v>Dentista</v>
      </c>
      <c r="E614" s="11" t="str">
        <f>IFERROR(__xludf.DUMMYFUNCTION("""COMPUTED_VALUE"""),"VIII")</f>
        <v>VIII</v>
      </c>
      <c r="F614" s="11" t="str">
        <f>IFERROR(__xludf.DUMMYFUNCTION("""COMPUTED_VALUE"""),"US_230 USF LAGOA ENCANTADA")</f>
        <v>US_230 USF LAGOA ENCANTADA</v>
      </c>
      <c r="G614" s="11" t="str">
        <f>IFERROR(__xludf.DUMMYFUNCTION("""COMPUTED_VALUE"""),"US 230 USF LAGOA ENCANTADA")</f>
        <v>US 230 USF LAGOA ENCANTADA</v>
      </c>
      <c r="H614" s="27">
        <f>IFERROR(__xludf.DUMMYFUNCTION("""COMPUTED_VALUE"""),81979006001)</f>
        <v>81979006001</v>
      </c>
      <c r="I614" s="11"/>
      <c r="J614" s="11"/>
      <c r="K614" s="11"/>
      <c r="L614" s="11"/>
      <c r="M614" s="28" t="str">
        <f>IFERROR(__xludf.DUMMYFUNCTION("""COMPUTED_VALUE"""),"3355-6174")</f>
        <v>3355-6174</v>
      </c>
      <c r="N614" s="11" t="str">
        <f>IFERROR(__xludf.DUMMYFUNCTION("""COMPUTED_VALUE"""),"olgaromeiro16@yahoo.com.br")</f>
        <v>olgaromeiro16@yahoo.com.br</v>
      </c>
      <c r="O614" s="29">
        <f>IFERROR(__xludf.DUMMYFUNCTION("""COMPUTED_VALUE"""),1856893456)</f>
        <v>1856893456</v>
      </c>
      <c r="P614" s="30" t="str">
        <f>IFERROR(__xludf.DUMMYFUNCTION("""COMPUTED_VALUE"""),"980016000895947")</f>
        <v>980016000895947</v>
      </c>
      <c r="Q614" s="30" t="str">
        <f>IFERROR(__xludf.DUMMYFUNCTION("""COMPUTED_VALUE"""),"0022470")</f>
        <v>0022470</v>
      </c>
      <c r="R614" s="30" t="str">
        <f>IFERROR(__xludf.DUMMYFUNCTION("""COMPUTED_VALUE"""),"0001857541	")</f>
        <v>0001857541	</v>
      </c>
      <c r="S614" s="30" t="str">
        <f>IFERROR(__xludf.DUMMYFUNCTION("""COMPUTED_VALUE"""),"1")</f>
        <v>1</v>
      </c>
      <c r="T614" s="30" t="str">
        <f>IFERROR(__xludf.DUMMYFUNCTION("""COMPUTED_VALUE"""),"223293")</f>
        <v>223293</v>
      </c>
      <c r="U614" s="31">
        <f>IFERROR(__xludf.DUMMYFUNCTION("""COMPUTED_VALUE"""),2232)</f>
        <v>2232</v>
      </c>
      <c r="V614" s="11"/>
      <c r="W614" s="11"/>
      <c r="X614" s="11"/>
      <c r="Y614" s="11"/>
      <c r="Z614" s="11"/>
    </row>
    <row r="615" customHeight="1" spans="1:26">
      <c r="A615" s="11" t="str">
        <f>IFERROR(__xludf.DUMMYFUNCTION("""COMPUTED_VALUE"""),"RODRIGO ROSAS LOPES")</f>
        <v>RODRIGO ROSAS LOPES</v>
      </c>
      <c r="B615" s="11" t="str">
        <f>IFERROR(__xludf.DUMMYFUNCTION("""COMPUTED_VALUE"""),"NÃO PODE QUARTA DE TARDE 13:00/15:00 - horários de preferência")</f>
        <v>NÃO PODE QUARTA DE TARDE 13:00/15:00 - horários de preferência</v>
      </c>
      <c r="C615" s="11"/>
      <c r="D615" s="11" t="str">
        <f>IFERROR(__xludf.DUMMYFUNCTION("""COMPUTED_VALUE"""),"Médico eSF")</f>
        <v>Médico eSF</v>
      </c>
      <c r="E615" s="11" t="str">
        <f>IFERROR(__xludf.DUMMYFUNCTION("""COMPUTED_VALUE"""),"V")</f>
        <v>V</v>
      </c>
      <c r="F615" s="11" t="str">
        <f>IFERROR(__xludf.DUMMYFUNCTION("""COMPUTED_VALUE"""),"US_239 USF COQUEIRAL I E II")</f>
        <v>US_239 USF COQUEIRAL I E II</v>
      </c>
      <c r="G615" s="11" t="str">
        <f>IFERROR(__xludf.DUMMYFUNCTION("""COMPUTED_VALUE"""),"US 239 USF COQUEIRAL I E II")</f>
        <v>US 239 USF COQUEIRAL I E II</v>
      </c>
      <c r="H615" s="27">
        <f>IFERROR(__xludf.DUMMYFUNCTION("""COMPUTED_VALUE"""),81992913204)</f>
        <v>81992913204</v>
      </c>
      <c r="I615" s="11"/>
      <c r="J615" s="11"/>
      <c r="K615" s="11"/>
      <c r="L615" s="11"/>
      <c r="M615" s="28" t="str">
        <f>IFERROR(__xludf.DUMMYFUNCTION("""COMPUTED_VALUE"""),"3355-0216/0217")</f>
        <v>3355-0216/0217</v>
      </c>
      <c r="N615" s="11" t="str">
        <f>IFERROR(__xludf.DUMMYFUNCTION("""COMPUTED_VALUE"""),"rodrosas77@yahoo.com.br")</f>
        <v>rodrosas77@yahoo.com.br</v>
      </c>
      <c r="O615" s="29">
        <f>IFERROR(__xludf.DUMMYFUNCTION("""COMPUTED_VALUE"""),3240523400)</f>
        <v>3240523400</v>
      </c>
      <c r="P615" s="30" t="str">
        <f>IFERROR(__xludf.DUMMYFUNCTION("""COMPUTED_VALUE"""),"204310516870001")</f>
        <v>204310516870001</v>
      </c>
      <c r="Q615" s="30" t="str">
        <f>IFERROR(__xludf.DUMMYFUNCTION("""COMPUTED_VALUE"""),"0022411")</f>
        <v>0022411</v>
      </c>
      <c r="R615" s="30" t="str">
        <f>IFERROR(__xludf.DUMMYFUNCTION("""COMPUTED_VALUE"""),"0000153990")</f>
        <v>0000153990</v>
      </c>
      <c r="S615" s="30" t="str">
        <f>IFERROR(__xludf.DUMMYFUNCTION("""COMPUTED_VALUE"""),"1")</f>
        <v>1</v>
      </c>
      <c r="T615" s="30" t="str">
        <f>IFERROR(__xludf.DUMMYFUNCTION("""COMPUTED_VALUE"""),"225142")</f>
        <v>225142</v>
      </c>
      <c r="U615" s="31" t="str">
        <f>IFERROR(__xludf.DUMMYFUNCTION("""COMPUTED_VALUE"""),"2251")</f>
        <v>2251</v>
      </c>
      <c r="V615" s="11" t="str">
        <f>IFERROR(__xludf.DUMMYFUNCTION("""COMPUTED_VALUE"""),"SIM")</f>
        <v>SIM</v>
      </c>
      <c r="W615" s="11"/>
      <c r="X615" s="11" t="str">
        <f>IFERROR(__xludf.DUMMYFUNCTION("""COMPUTED_VALUE"""),"#N/A")</f>
        <v>#N/A</v>
      </c>
      <c r="Y615" s="11" t="str">
        <f>IFERROR(__xludf.DUMMYFUNCTION("""COMPUTED_VALUE"""),"#N/A")</f>
        <v>#N/A</v>
      </c>
      <c r="Z615" s="11" t="str">
        <f>IFERROR(__xludf.DUMMYFUNCTION("""COMPUTED_VALUE"""),"#N/A")</f>
        <v>#N/A</v>
      </c>
    </row>
    <row r="616" customHeight="1" spans="1:26">
      <c r="A616" s="11" t="str">
        <f>IFERROR(__xludf.DUMMYFUNCTION("""COMPUTED_VALUE"""),"THAISA MARIA NOBREGA DE OLIVEIRA")</f>
        <v>THAISA MARIA NOBREGA DE OLIVEIRA</v>
      </c>
      <c r="B616" s="11"/>
      <c r="C616" s="11"/>
      <c r="D616" s="11" t="str">
        <f>IFERROR(__xludf.DUMMYFUNCTION("""COMPUTED_VALUE"""),"Médica eSF")</f>
        <v>Médica eSF</v>
      </c>
      <c r="E616" s="11" t="str">
        <f>IFERROR(__xludf.DUMMYFUNCTION("""COMPUTED_VALUE"""),"VIII")</f>
        <v>VIII</v>
      </c>
      <c r="F616" s="11" t="str">
        <f>IFERROR(__xludf.DUMMYFUNCTION("""COMPUTED_VALUE"""),"US_312 USF VILA DO SESI")</f>
        <v>US_312 USF VILA DO SESI</v>
      </c>
      <c r="G616" s="11" t="str">
        <f>IFERROR(__xludf.DUMMYFUNCTION("""COMPUTED_VALUE"""),"US 312 USF VILA DO SESI")</f>
        <v>US 312 USF VILA DO SESI</v>
      </c>
      <c r="H616" s="27">
        <f>IFERROR(__xludf.DUMMYFUNCTION("""COMPUTED_VALUE"""),81988781185)</f>
        <v>81988781185</v>
      </c>
      <c r="I616" s="11"/>
      <c r="J616" s="11"/>
      <c r="K616" s="11"/>
      <c r="L616" s="11"/>
      <c r="M616" s="28" t="str">
        <f>IFERROR(__xludf.DUMMYFUNCTION("""COMPUTED_VALUE"""),"3355-6246")</f>
        <v>3355-6246</v>
      </c>
      <c r="N616" s="11" t="str">
        <f>IFERROR(__xludf.DUMMYFUNCTION("""COMPUTED_VALUE"""),"thaisa.nobrega@gmail.com")</f>
        <v>thaisa.nobrega@gmail.com</v>
      </c>
      <c r="O616" s="29">
        <f>IFERROR(__xludf.DUMMYFUNCTION("""COMPUTED_VALUE"""),90397088434)</f>
        <v>90397088434</v>
      </c>
      <c r="P616" s="30" t="str">
        <f>IFERROR(__xludf.DUMMYFUNCTION("""COMPUTED_VALUE"""),"204309863640002")</f>
        <v>204309863640002</v>
      </c>
      <c r="Q616" s="30" t="str">
        <f>IFERROR(__xludf.DUMMYFUNCTION("""COMPUTED_VALUE"""),"3470253")</f>
        <v>3470253</v>
      </c>
      <c r="R616" s="30" t="str">
        <f>IFERROR(__xludf.DUMMYFUNCTION("""COMPUTED_VALUE"""),"0000155470")</f>
        <v>0000155470</v>
      </c>
      <c r="S616" s="30" t="str">
        <f>IFERROR(__xludf.DUMMYFUNCTION("""COMPUTED_VALUE"""),"1")</f>
        <v>1</v>
      </c>
      <c r="T616" s="30" t="str">
        <f>IFERROR(__xludf.DUMMYFUNCTION("""COMPUTED_VALUE"""),"225142")</f>
        <v>225142</v>
      </c>
      <c r="U616" s="31" t="str">
        <f>IFERROR(__xludf.DUMMYFUNCTION("""COMPUTED_VALUE"""),"2251")</f>
        <v>2251</v>
      </c>
      <c r="V616" s="11" t="str">
        <f>IFERROR(__xludf.DUMMYFUNCTION("""COMPUTED_VALUE"""),"SIM")</f>
        <v>SIM</v>
      </c>
      <c r="W616" s="11"/>
      <c r="X616" s="11" t="str">
        <f>IFERROR(__xludf.DUMMYFUNCTION("""COMPUTED_VALUE"""),"#N/A")</f>
        <v>#N/A</v>
      </c>
      <c r="Y616" s="11" t="str">
        <f>IFERROR(__xludf.DUMMYFUNCTION("""COMPUTED_VALUE"""),"#N/A")</f>
        <v>#N/A</v>
      </c>
      <c r="Z616" s="11" t="str">
        <f>IFERROR(__xludf.DUMMYFUNCTION("""COMPUTED_VALUE"""),"#N/A")</f>
        <v>#N/A</v>
      </c>
    </row>
    <row r="617" customHeight="1" spans="1:26">
      <c r="A617" s="11" t="str">
        <f>IFERROR(__xludf.DUMMYFUNCTION("""COMPUTED_VALUE"""),"BERTHA VIEIRA DE ARAUJO MACIEL")</f>
        <v>BERTHA VIEIRA DE ARAUJO MACIEL</v>
      </c>
      <c r="B617" s="11"/>
      <c r="C617" s="11"/>
      <c r="D617" s="11" t="str">
        <f>IFERROR(__xludf.DUMMYFUNCTION("""COMPUTED_VALUE"""),"Médico Pediatra")</f>
        <v>Médico Pediatra</v>
      </c>
      <c r="E617" s="11" t="str">
        <f>IFERROR(__xludf.DUMMYFUNCTION("""COMPUTED_VALUE"""),"V")</f>
        <v>V</v>
      </c>
      <c r="F617" s="11" t="str">
        <f>IFERROR(__xludf.DUMMYFUNCTION("""COMPUTED_VALUE"""),"US_158 CS PAM CEASA")</f>
        <v>US_158 CS PAM CEASA</v>
      </c>
      <c r="G617" s="11" t="str">
        <f>IFERROR(__xludf.DUMMYFUNCTION("""COMPUTED_VALUE"""),"US 158 CS PAM CEASA")</f>
        <v>US 158 CS PAM CEASA</v>
      </c>
      <c r="H617" s="27">
        <f>IFERROR(__xludf.DUMMYFUNCTION("""COMPUTED_VALUE"""),81999757839)</f>
        <v>81999757839</v>
      </c>
      <c r="I617" s="11"/>
      <c r="J617" s="11"/>
      <c r="K617" s="11"/>
      <c r="L617" s="11"/>
      <c r="M617" s="28" t="str">
        <f>IFERROR(__xludf.DUMMYFUNCTION("""COMPUTED_VALUE"""),"3355-0090")</f>
        <v>3355-0090</v>
      </c>
      <c r="N617" s="11" t="str">
        <f>IFERROR(__xludf.DUMMYFUNCTION("""COMPUTED_VALUE"""),"berthamaciel@gmail.com")</f>
        <v>berthamaciel@gmail.com</v>
      </c>
      <c r="O617" s="29">
        <f>IFERROR(__xludf.DUMMYFUNCTION("""COMPUTED_VALUE"""),12742783415)</f>
        <v>12742783415</v>
      </c>
      <c r="P617" s="30" t="str">
        <f>IFERROR(__xludf.DUMMYFUNCTION("""COMPUTED_VALUE"""),"200353723240003")</f>
        <v>200353723240003</v>
      </c>
      <c r="Q617" s="30" t="str">
        <f>IFERROR(__xludf.DUMMYFUNCTION("""COMPUTED_VALUE"""),"0001368")</f>
        <v>0001368</v>
      </c>
      <c r="R617" s="30" t="str">
        <f>IFERROR(__xludf.DUMMYFUNCTION("""COMPUTED_VALUE"""),"9000136802")</f>
        <v>9000136802</v>
      </c>
      <c r="S617" s="30" t="str">
        <f>IFERROR(__xludf.DUMMYFUNCTION("""COMPUTED_VALUE"""),"1")</f>
        <v>1</v>
      </c>
      <c r="T617" s="30" t="str">
        <f>IFERROR(__xludf.DUMMYFUNCTION("""COMPUTED_VALUE"""),"225124")</f>
        <v>225124</v>
      </c>
      <c r="U617" s="31">
        <f>IFERROR(__xludf.DUMMYFUNCTION("""COMPUTED_VALUE"""),2251)</f>
        <v>2251</v>
      </c>
      <c r="V617" s="11"/>
      <c r="W617" s="11"/>
      <c r="X617" s="11">
        <f>IFERROR(__xludf.DUMMYFUNCTION("""COMPUTED_VALUE"""),34653681)</f>
        <v>34653681</v>
      </c>
      <c r="Y617" s="11">
        <f>IFERROR(__xludf.DUMMYFUNCTION("""COMPUTED_VALUE"""),99757839)</f>
        <v>99757839</v>
      </c>
      <c r="Z617" s="11">
        <f>IFERROR(__xludf.DUMMYFUNCTION("""COMPUTED_VALUE"""),12742783415)</f>
        <v>12742783415</v>
      </c>
    </row>
    <row r="618" customHeight="1" spans="1:26">
      <c r="A618" s="11" t="str">
        <f>IFERROR(__xludf.DUMMYFUNCTION("""COMPUTED_VALUE"""),"EDLA MARIA NORONHA GALVAO")</f>
        <v>EDLA MARIA NORONHA GALVAO</v>
      </c>
      <c r="B618" s="11"/>
      <c r="C618" s="11"/>
      <c r="D618" s="11" t="str">
        <f>IFERROR(__xludf.DUMMYFUNCTION("""COMPUTED_VALUE"""),"Enfermeira eSF")</f>
        <v>Enfermeira eSF</v>
      </c>
      <c r="E618" s="11" t="str">
        <f>IFERROR(__xludf.DUMMYFUNCTION("""COMPUTED_VALUE"""),"VI")</f>
        <v>VI</v>
      </c>
      <c r="F618" s="11" t="str">
        <f>IFERROR(__xludf.DUMMYFUNCTION("""COMPUTED_VALUE"""),"US_342 USF DJALMA HOLANDA CAVALCANTE")</f>
        <v>US_342 USF DJALMA HOLANDA CAVALCANTE</v>
      </c>
      <c r="G618" s="11" t="str">
        <f>IFERROR(__xludf.DUMMYFUNCTION("""COMPUTED_VALUE"""),"US 342 USF DJALMA HOLANDA CAVALCANTE")</f>
        <v>US 342 USF DJALMA HOLANDA CAVALCANTE</v>
      </c>
      <c r="H618" s="27">
        <f>IFERROR(__xludf.DUMMYFUNCTION("""COMPUTED_VALUE"""),81991741484)</f>
        <v>81991741484</v>
      </c>
      <c r="I618" s="27">
        <f>IFERROR(__xludf.DUMMYFUNCTION("""COMPUTED_VALUE"""),81985161041)</f>
        <v>81985161041</v>
      </c>
      <c r="J618" s="11"/>
      <c r="K618" s="24">
        <f>IFERROR(__xludf.DUMMYFUNCTION("""COMPUTED_VALUE"""),45152)</f>
        <v>45152</v>
      </c>
      <c r="L618" s="11"/>
      <c r="M618" s="28" t="str">
        <f>IFERROR(__xludf.DUMMYFUNCTION("""COMPUTED_VALUE"""),"3355-6122")</f>
        <v>3355-6122</v>
      </c>
      <c r="N618" s="11" t="str">
        <f>IFERROR(__xludf.DUMMYFUNCTION("""COMPUTED_VALUE"""),"edlanoronha@hotmail.com")</f>
        <v>edlanoronha@hotmail.com</v>
      </c>
      <c r="O618" s="29">
        <f>IFERROR(__xludf.DUMMYFUNCTION("""COMPUTED_VALUE"""),19225156391)</f>
        <v>19225156391</v>
      </c>
      <c r="P618" s="30" t="str">
        <f>IFERROR(__xludf.DUMMYFUNCTION("""COMPUTED_VALUE"""),"980016000182088")</f>
        <v>980016000182088</v>
      </c>
      <c r="Q618" s="30" t="str">
        <f>IFERROR(__xludf.DUMMYFUNCTION("""COMPUTED_VALUE"""),"5392136")</f>
        <v>5392136</v>
      </c>
      <c r="R618" s="30" t="str">
        <f>IFERROR(__xludf.DUMMYFUNCTION("""COMPUTED_VALUE"""),"0000155896")</f>
        <v>0000155896</v>
      </c>
      <c r="S618" s="30" t="str">
        <f>IFERROR(__xludf.DUMMYFUNCTION("""COMPUTED_VALUE"""),"1")</f>
        <v>1</v>
      </c>
      <c r="T618" s="30" t="str">
        <f>IFERROR(__xludf.DUMMYFUNCTION("""COMPUTED_VALUE"""),"223565")</f>
        <v>223565</v>
      </c>
      <c r="U618" s="31" t="str">
        <f>IFERROR(__xludf.DUMMYFUNCTION("""COMPUTED_VALUE"""),"2235")</f>
        <v>2235</v>
      </c>
      <c r="V618" s="11"/>
      <c r="W618" s="11">
        <f>IFERROR(__xludf.DUMMYFUNCTION("""COMPUTED_VALUE"""),8191741484)</f>
        <v>8191741484</v>
      </c>
      <c r="X618" s="11">
        <f>IFERROR(__xludf.DUMMYFUNCTION("""COMPUTED_VALUE"""),8130397057)</f>
        <v>8130397057</v>
      </c>
      <c r="Y618" s="11">
        <f>IFERROR(__xludf.DUMMYFUNCTION("""COMPUTED_VALUE"""),19225156391)</f>
        <v>19225156391</v>
      </c>
      <c r="Z618" s="11"/>
    </row>
    <row r="619" customHeight="1" spans="1:26">
      <c r="A619" s="11" t="str">
        <f>IFERROR(__xludf.DUMMYFUNCTION("""COMPUTED_VALUE"""),"ANDREA MARIA DE ALMEIDA COIMBRA NEVES")</f>
        <v>ANDREA MARIA DE ALMEIDA COIMBRA NEVES</v>
      </c>
      <c r="B619" s="11"/>
      <c r="C619" s="11"/>
      <c r="D619" s="11" t="str">
        <f>IFERROR(__xludf.DUMMYFUNCTION("""COMPUTED_VALUE"""),"Enfermeira eSF")</f>
        <v>Enfermeira eSF</v>
      </c>
      <c r="E619" s="11" t="str">
        <f>IFERROR(__xludf.DUMMYFUNCTION("""COMPUTED_VALUE"""),"VI")</f>
        <v>VI</v>
      </c>
      <c r="F619" s="11" t="str">
        <f>IFERROR(__xludf.DUMMYFUNCTION("""COMPUTED_VALUE"""),"US_326 USF JADER DE ANDRADE COMUNIDADE ENTRA APULSO")</f>
        <v>US_326 USF JADER DE ANDRADE COMUNIDADE ENTRA APULSO</v>
      </c>
      <c r="G619" s="11" t="str">
        <f>IFERROR(__xludf.DUMMYFUNCTION("""COMPUTED_VALUE"""),"US 326 USF JADER DE ANDRADE COMUNIDADE ENTRA APULSO")</f>
        <v>US 326 USF JADER DE ANDRADE COMUNIDADE ENTRA APULSO</v>
      </c>
      <c r="H619" s="27">
        <f>IFERROR(__xludf.DUMMYFUNCTION("""COMPUTED_VALUE"""),81988277741)</f>
        <v>81988277741</v>
      </c>
      <c r="I619" s="27">
        <f>IFERROR(__xludf.DUMMYFUNCTION("""COMPUTED_VALUE"""),81999635152)</f>
        <v>81999635152</v>
      </c>
      <c r="J619" s="11"/>
      <c r="K619" s="11"/>
      <c r="L619" s="11"/>
      <c r="M619" s="28" t="str">
        <f>IFERROR(__xludf.DUMMYFUNCTION("""COMPUTED_VALUE"""),"3355-4672")</f>
        <v>3355-4672</v>
      </c>
      <c r="N619" s="11" t="str">
        <f>IFERROR(__xludf.DUMMYFUNCTION("""COMPUTED_VALUE"""),"amacn500@hotmail.com")</f>
        <v>amacn500@hotmail.com</v>
      </c>
      <c r="O619" s="29">
        <f>IFERROR(__xludf.DUMMYFUNCTION("""COMPUTED_VALUE"""),40896099415)</f>
        <v>40896099415</v>
      </c>
      <c r="P619" s="30" t="str">
        <f>IFERROR(__xludf.DUMMYFUNCTION("""COMPUTED_VALUE"""),"124122311190000")</f>
        <v>124122311190000</v>
      </c>
      <c r="Q619" s="30" t="str">
        <f>IFERROR(__xludf.DUMMYFUNCTION("""COMPUTED_VALUE"""),"3470261")</f>
        <v>3470261</v>
      </c>
      <c r="R619" s="30" t="str">
        <f>IFERROR(__xludf.DUMMYFUNCTION("""COMPUTED_VALUE"""),"0000155489")</f>
        <v>0000155489</v>
      </c>
      <c r="S619" s="30" t="str">
        <f>IFERROR(__xludf.DUMMYFUNCTION("""COMPUTED_VALUE"""),"1")</f>
        <v>1</v>
      </c>
      <c r="T619" s="30" t="str">
        <f>IFERROR(__xludf.DUMMYFUNCTION("""COMPUTED_VALUE"""),"223565")</f>
        <v>223565</v>
      </c>
      <c r="U619" s="31" t="str">
        <f>IFERROR(__xludf.DUMMYFUNCTION("""COMPUTED_VALUE"""),"2235")</f>
        <v>2235</v>
      </c>
      <c r="V619" s="11"/>
      <c r="W619" s="11">
        <f>IFERROR(__xludf.DUMMYFUNCTION("""COMPUTED_VALUE"""),8134657407)</f>
        <v>8134657407</v>
      </c>
      <c r="X619" s="11">
        <f>IFERROR(__xludf.DUMMYFUNCTION("""COMPUTED_VALUE"""),8199635152)</f>
        <v>8199635152</v>
      </c>
      <c r="Y619" s="11">
        <f>IFERROR(__xludf.DUMMYFUNCTION("""COMPUTED_VALUE"""),40896099415)</f>
        <v>40896099415</v>
      </c>
      <c r="Z619" s="11"/>
    </row>
    <row r="620" customHeight="1" spans="1:26">
      <c r="A620" s="11" t="str">
        <f>IFERROR(__xludf.DUMMYFUNCTION("""COMPUTED_VALUE"""),"HILDA TEIXEIRA DE C DOURADO")</f>
        <v>HILDA TEIXEIRA DE C DOURADO</v>
      </c>
      <c r="B620" s="11"/>
      <c r="C620" s="11"/>
      <c r="D620" s="11" t="str">
        <f>IFERROR(__xludf.DUMMYFUNCTION("""COMPUTED_VALUE"""),"Dentista")</f>
        <v>Dentista</v>
      </c>
      <c r="E620" s="11" t="str">
        <f>IFERROR(__xludf.DUMMYFUNCTION("""COMPUTED_VALUE"""),"VII")</f>
        <v>VII</v>
      </c>
      <c r="F620" s="11" t="str">
        <f>IFERROR(__xludf.DUMMYFUNCTION("""COMPUTED_VALUE"""),"US_231 USF CORREGO DA BICA / MARIA EDUARDA CESSE")</f>
        <v>US_231 USF CORREGO DA BICA / MARIA EDUARDA CESSE</v>
      </c>
      <c r="G620" s="11" t="str">
        <f>IFERROR(__xludf.DUMMYFUNCTION("""COMPUTED_VALUE"""),"US 231 USF CORREGO DA BICA")</f>
        <v>US 231 USF CORREGO DA BICA</v>
      </c>
      <c r="H620" s="27">
        <f>IFERROR(__xludf.DUMMYFUNCTION("""COMPUTED_VALUE"""),81988526338)</f>
        <v>81988526338</v>
      </c>
      <c r="I620" s="11"/>
      <c r="J620" s="11"/>
      <c r="K620" s="11"/>
      <c r="L620" s="11"/>
      <c r="M620" s="28" t="str">
        <f>IFERROR(__xludf.DUMMYFUNCTION("""COMPUTED_VALUE"""),"3355-6115")</f>
        <v>3355-6115</v>
      </c>
      <c r="N620" s="11" t="str">
        <f>IFERROR(__xludf.DUMMYFUNCTION("""COMPUTED_VALUE"""),"hildadourado@hotmail.com")</f>
        <v>hildadourado@hotmail.com</v>
      </c>
      <c r="O620" s="29">
        <f>IFERROR(__xludf.DUMMYFUNCTION("""COMPUTED_VALUE"""),51550520415)</f>
        <v>51550520415</v>
      </c>
      <c r="P620" s="30" t="str">
        <f>IFERROR(__xludf.DUMMYFUNCTION("""COMPUTED_VALUE"""),"170616552810018")</f>
        <v>170616552810018</v>
      </c>
      <c r="Q620" s="30" t="str">
        <f>IFERROR(__xludf.DUMMYFUNCTION("""COMPUTED_VALUE"""),"0022276")</f>
        <v>0022276</v>
      </c>
      <c r="R620" s="30" t="str">
        <f>IFERROR(__xludf.DUMMYFUNCTION("""COMPUTED_VALUE"""),"9002227601")</f>
        <v>9002227601</v>
      </c>
      <c r="S620" s="30" t="str">
        <f>IFERROR(__xludf.DUMMYFUNCTION("""COMPUTED_VALUE"""),"1")</f>
        <v>1</v>
      </c>
      <c r="T620" s="30" t="str">
        <f>IFERROR(__xludf.DUMMYFUNCTION("""COMPUTED_VALUE"""),"223208 ")</f>
        <v>223208 </v>
      </c>
      <c r="U620" s="31">
        <f>IFERROR(__xludf.DUMMYFUNCTION("""COMPUTED_VALUE"""),2232)</f>
        <v>2232</v>
      </c>
      <c r="V620" s="11"/>
      <c r="W620" s="11"/>
      <c r="X620" s="11"/>
      <c r="Y620" s="11"/>
      <c r="Z620" s="11"/>
    </row>
    <row r="621" customHeight="1" spans="1:26">
      <c r="A621" s="11" t="str">
        <f>IFERROR(__xludf.DUMMYFUNCTION("""COMPUTED_VALUE"""),"MARIA DOS REMEDIOS MENDES FERREIRA")</f>
        <v>MARIA DOS REMEDIOS MENDES FERREIRA</v>
      </c>
      <c r="B621" s="11"/>
      <c r="C621" s="11"/>
      <c r="D621" s="11" t="str">
        <f>IFERROR(__xludf.DUMMYFUNCTION("""COMPUTED_VALUE"""),"Médica eSF")</f>
        <v>Médica eSF</v>
      </c>
      <c r="E621" s="11" t="str">
        <f>IFERROR(__xludf.DUMMYFUNCTION("""COMPUTED_VALUE"""),"VI")</f>
        <v>VI</v>
      </c>
      <c r="F621" s="11" t="str">
        <f>IFERROR(__xludf.DUMMYFUNCTION("""COMPUTED_VALUE"""),"US_174 USF SITIO GRANDE")</f>
        <v>US_174 USF SITIO GRANDE</v>
      </c>
      <c r="G621" s="11" t="str">
        <f>IFERROR(__xludf.DUMMYFUNCTION("""COMPUTED_VALUE"""),"US 174 USF SITIO GRANDE")</f>
        <v>US 174 USF SITIO GRANDE</v>
      </c>
      <c r="H621" s="27">
        <f>IFERROR(__xludf.DUMMYFUNCTION("""COMPUTED_VALUE"""),8199631061)</f>
        <v>8199631061</v>
      </c>
      <c r="I621" s="11"/>
      <c r="J621" s="11"/>
      <c r="K621" s="24">
        <f>IFERROR(__xludf.DUMMYFUNCTION("""COMPUTED_VALUE"""),45133)</f>
        <v>45133</v>
      </c>
      <c r="L621" s="11"/>
      <c r="M621" s="28" t="str">
        <f>IFERROR(__xludf.DUMMYFUNCTION("""COMPUTED_VALUE"""),"3355-6685")</f>
        <v>3355-6685</v>
      </c>
      <c r="N621" s="11" t="str">
        <f>IFERROR(__xludf.DUMMYFUNCTION("""COMPUTED_VALUE"""),"mendesmare19@gmail.com")</f>
        <v>mendesmare19@gmail.com</v>
      </c>
      <c r="O621" s="29">
        <f>IFERROR(__xludf.DUMMYFUNCTION("""COMPUTED_VALUE"""),56996179491)</f>
        <v>56996179491</v>
      </c>
      <c r="P621" s="30" t="str">
        <f>IFERROR(__xludf.DUMMYFUNCTION("""COMPUTED_VALUE"""),"206066730020018")</f>
        <v>206066730020018</v>
      </c>
      <c r="Q621" s="30" t="str">
        <f>IFERROR(__xludf.DUMMYFUNCTION("""COMPUTED_VALUE"""),"0000957")</f>
        <v>0000957</v>
      </c>
      <c r="R621" s="30" t="str">
        <f>IFERROR(__xludf.DUMMYFUNCTION("""COMPUTED_VALUE"""),"0000152854")</f>
        <v>0000152854</v>
      </c>
      <c r="S621" s="30" t="str">
        <f>IFERROR(__xludf.DUMMYFUNCTION("""COMPUTED_VALUE"""),"1")</f>
        <v>1</v>
      </c>
      <c r="T621" s="30" t="str">
        <f>IFERROR(__xludf.DUMMYFUNCTION("""COMPUTED_VALUE"""),"225142")</f>
        <v>225142</v>
      </c>
      <c r="U621" s="31" t="str">
        <f>IFERROR(__xludf.DUMMYFUNCTION("""COMPUTED_VALUE"""),"2251")</f>
        <v>2251</v>
      </c>
      <c r="V621" s="11" t="str">
        <f>IFERROR(__xludf.DUMMYFUNCTION("""COMPUTED_VALUE"""),"SIM")</f>
        <v>SIM</v>
      </c>
      <c r="W621" s="11"/>
      <c r="X621" s="11"/>
      <c r="Y621" s="11"/>
      <c r="Z621" s="11"/>
    </row>
    <row r="622" customHeight="1" spans="1:26">
      <c r="A622" s="11" t="str">
        <f>IFERROR(__xludf.DUMMYFUNCTION("""COMPUTED_VALUE"""),"NADJA KATIA DE MEIRELLES MARANHAO")</f>
        <v>NADJA KATIA DE MEIRELLES MARANHAO</v>
      </c>
      <c r="B622" s="11" t="str">
        <f>IFERROR(__xludf.DUMMYFUNCTION("""COMPUTED_VALUE"""),"RECUSA TELECONSULTORIA")</f>
        <v>RECUSA TELECONSULTORIA</v>
      </c>
      <c r="C622" s="11"/>
      <c r="D622" s="11" t="str">
        <f>IFERROR(__xludf.DUMMYFUNCTION("""COMPUTED_VALUE"""),"Médica Ginecologista")</f>
        <v>Médica Ginecologista</v>
      </c>
      <c r="E622" s="11" t="str">
        <f>IFERROR(__xludf.DUMMYFUNCTION("""COMPUTED_VALUE"""),"VI")</f>
        <v>VI</v>
      </c>
      <c r="F622" s="11" t="str">
        <f>IFERROR(__xludf.DUMMYFUNCTION("""COMPUTED_VALUE"""),"US_148 CS DOM MIGUEL DE LIMA VALVERDE")</f>
        <v>US_148 CS DOM MIGUEL DE LIMA VALVERDE</v>
      </c>
      <c r="G622" s="11" t="str">
        <f>IFERROR(__xludf.DUMMYFUNCTION("""COMPUTED_VALUE"""),"US 148 CS DOM MIGUEL DE LIMA VALVERDE")</f>
        <v>US 148 CS DOM MIGUEL DE LIMA VALVERDE</v>
      </c>
      <c r="H622" s="27">
        <f>IFERROR(__xludf.DUMMYFUNCTION("""COMPUTED_VALUE"""),81992321431)</f>
        <v>81992321431</v>
      </c>
      <c r="I622" s="11"/>
      <c r="J622" s="11"/>
      <c r="K622" s="11"/>
      <c r="L622" s="11"/>
      <c r="M622" s="28" t="str">
        <f>IFERROR(__xludf.DUMMYFUNCTION("""COMPUTED_VALUE"""),"3355-0061")</f>
        <v>3355-0061</v>
      </c>
      <c r="N622" s="11" t="str">
        <f>IFERROR(__xludf.DUMMYFUNCTION("""COMPUTED_VALUE"""),"nadjamaranhao@hotmail.com")</f>
        <v>nadjamaranhao@hotmail.com</v>
      </c>
      <c r="O622" s="29">
        <f>IFERROR(__xludf.DUMMYFUNCTION("""COMPUTED_VALUE"""),30132541491)</f>
        <v>30132541491</v>
      </c>
      <c r="P622" s="30" t="str">
        <f>IFERROR(__xludf.DUMMYFUNCTION("""COMPUTED_VALUE"""),"206066768260008")</f>
        <v>206066768260008</v>
      </c>
      <c r="Q622" s="30" t="str">
        <f>IFERROR(__xludf.DUMMYFUNCTION("""COMPUTED_VALUE"""),"0001392")</f>
        <v>0001392</v>
      </c>
      <c r="R622" s="30" t="str">
        <f>IFERROR(__xludf.DUMMYFUNCTION("""COMPUTED_VALUE"""),"9000139202")</f>
        <v>9000139202</v>
      </c>
      <c r="S622" s="30" t="str">
        <f>IFERROR(__xludf.DUMMYFUNCTION("""COMPUTED_VALUE"""),"1")</f>
        <v>1</v>
      </c>
      <c r="T622" s="30" t="str">
        <f>IFERROR(__xludf.DUMMYFUNCTION("""COMPUTED_VALUE"""),"225250")</f>
        <v>225250</v>
      </c>
      <c r="U622" s="31">
        <f>IFERROR(__xludf.DUMMYFUNCTION("""COMPUTED_VALUE"""),2252)</f>
        <v>2252</v>
      </c>
      <c r="V622" s="11"/>
      <c r="W622" s="30" t="str">
        <f>IFERROR(__xludf.DUMMYFUNCTION("""COMPUTED_VALUE"""),"18/01/1963")</f>
        <v>18/01/1963</v>
      </c>
      <c r="X622" s="11" t="str">
        <f>IFERROR(__xludf.DUMMYFUNCTION("""COMPUTED_VALUE"""),"#N/A")</f>
        <v>#N/A</v>
      </c>
      <c r="Y622" s="11" t="str">
        <f>IFERROR(__xludf.DUMMYFUNCTION("""COMPUTED_VALUE"""),"#N/A")</f>
        <v>#N/A</v>
      </c>
      <c r="Z622" s="11" t="str">
        <f>IFERROR(__xludf.DUMMYFUNCTION("""COMPUTED_VALUE"""),"#N/A")</f>
        <v>#N/A</v>
      </c>
    </row>
    <row r="623" customHeight="1" spans="1:26">
      <c r="A623" s="11" t="str">
        <f>IFERROR(__xludf.DUMMYFUNCTION("""COMPUTED_VALUE"""),"ROSANNA CAMARA DE SA")</f>
        <v>ROSANNA CAMARA DE SA</v>
      </c>
      <c r="B623" s="11"/>
      <c r="C623" s="11"/>
      <c r="D623" s="11" t="str">
        <f>IFERROR(__xludf.DUMMYFUNCTION("""COMPUTED_VALUE"""),"Médica Clínica")</f>
        <v>Médica Clínica</v>
      </c>
      <c r="E623" s="11" t="str">
        <f>IFERROR(__xludf.DUMMYFUNCTION("""COMPUTED_VALUE"""),"III")</f>
        <v>III</v>
      </c>
      <c r="F623" s="11" t="str">
        <f>IFERROR(__xludf.DUMMYFUNCTION("""COMPUTED_VALUE"""),"US_109 CS FRANCISCO PIGNATARI")</f>
        <v>US_109 CS FRANCISCO PIGNATARI</v>
      </c>
      <c r="G623" s="11" t="str">
        <f>IFERROR(__xludf.DUMMYFUNCTION("""COMPUTED_VALUE"""),"US 109 CS FRANCISCO PIGNATARI")</f>
        <v>US 109 CS FRANCISCO PIGNATARI</v>
      </c>
      <c r="H623" s="27">
        <f>IFERROR(__xludf.DUMMYFUNCTION("""COMPUTED_VALUE"""),81999767670)</f>
        <v>81999767670</v>
      </c>
      <c r="I623" s="11"/>
      <c r="J623" s="11"/>
      <c r="K623" s="11"/>
      <c r="L623" s="11"/>
      <c r="M623" s="28" t="str">
        <f>IFERROR(__xludf.DUMMYFUNCTION("""COMPUTED_VALUE"""),"3355-4400")</f>
        <v>3355-4400</v>
      </c>
      <c r="N623" s="11" t="str">
        <f>IFERROR(__xludf.DUMMYFUNCTION("""COMPUTED_VALUE"""),"rosannacs@uol.com.br / rosannas@terra.com.br")</f>
        <v>rosannacs@uol.com.br / rosannas@terra.com.br</v>
      </c>
      <c r="O623" s="29">
        <f>IFERROR(__xludf.DUMMYFUNCTION("""COMPUTED_VALUE"""),16808924449)</f>
        <v>16808924449</v>
      </c>
      <c r="P623" s="30" t="str">
        <f>IFERROR(__xludf.DUMMYFUNCTION("""COMPUTED_VALUE"""),"209066125560003")</f>
        <v>209066125560003</v>
      </c>
      <c r="Q623" s="30" t="str">
        <f>IFERROR(__xludf.DUMMYFUNCTION("""COMPUTED_VALUE"""),"0001163")</f>
        <v>0001163</v>
      </c>
      <c r="R623" s="30" t="str">
        <f>IFERROR(__xludf.DUMMYFUNCTION("""COMPUTED_VALUE"""),"9000116301")</f>
        <v>9000116301</v>
      </c>
      <c r="S623" s="30" t="str">
        <f>IFERROR(__xludf.DUMMYFUNCTION("""COMPUTED_VALUE"""),"1")</f>
        <v>1</v>
      </c>
      <c r="T623" s="30" t="str">
        <f>IFERROR(__xludf.DUMMYFUNCTION("""COMPUTED_VALUE"""),"225125")</f>
        <v>225125</v>
      </c>
      <c r="U623" s="11">
        <f>IFERROR(__xludf.DUMMYFUNCTION("""COMPUTED_VALUE"""),2251)</f>
        <v>2251</v>
      </c>
      <c r="V623" s="11"/>
      <c r="W623" s="11"/>
      <c r="X623" s="11">
        <f>IFERROR(__xludf.DUMMYFUNCTION("""COMPUTED_VALUE"""),81999767670)</f>
        <v>81999767670</v>
      </c>
      <c r="Y623" s="11">
        <f>IFERROR(__xludf.DUMMYFUNCTION("""COMPUTED_VALUE"""),8134658907)</f>
        <v>8134658907</v>
      </c>
      <c r="Z623" s="11">
        <f>IFERROR(__xludf.DUMMYFUNCTION("""COMPUTED_VALUE"""),16808924449)</f>
        <v>16808924449</v>
      </c>
    </row>
    <row r="624" customHeight="1" spans="1:26">
      <c r="A624" s="11" t="str">
        <f>IFERROR(__xludf.DUMMYFUNCTION("""COMPUTED_VALUE"""),"ROSA FERNANDES RIZZUTO")</f>
        <v>ROSA FERNANDES RIZZUTO</v>
      </c>
      <c r="B624" s="11"/>
      <c r="C624" s="11"/>
      <c r="D624" s="11" t="str">
        <f>IFERROR(__xludf.DUMMYFUNCTION("""COMPUTED_VALUE"""),"Médica eSF")</f>
        <v>Médica eSF</v>
      </c>
      <c r="E624" s="11" t="str">
        <f>IFERROR(__xludf.DUMMYFUNCTION("""COMPUTED_VALUE"""),"VI")</f>
        <v>VI</v>
      </c>
      <c r="F624" s="11" t="str">
        <f>IFERROR(__xludf.DUMMYFUNCTION("""COMPUTED_VALUE"""),"US_292 USF VILA DO IPSEP")</f>
        <v>US_292 USF VILA DO IPSEP</v>
      </c>
      <c r="G624" s="11" t="str">
        <f>IFERROR(__xludf.DUMMYFUNCTION("""COMPUTED_VALUE"""),"US 292 USF VILA DO IPSEP")</f>
        <v>US 292 USF VILA DO IPSEP</v>
      </c>
      <c r="H624" s="27">
        <f>IFERROR(__xludf.DUMMYFUNCTION("""COMPUTED_VALUE"""),81999225651)</f>
        <v>81999225651</v>
      </c>
      <c r="I624" s="11"/>
      <c r="J624" s="11"/>
      <c r="K624" s="11"/>
      <c r="L624" s="11"/>
      <c r="M624" s="28" t="str">
        <f>IFERROR(__xludf.DUMMYFUNCTION("""COMPUTED_VALUE"""),"3355-6687")</f>
        <v>3355-6687</v>
      </c>
      <c r="N624" s="11" t="str">
        <f>IFERROR(__xludf.DUMMYFUNCTION("""COMPUTED_VALUE"""),"rosarizzuto@bol.com.br")</f>
        <v>rosarizzuto@bol.com.br</v>
      </c>
      <c r="O624" s="29">
        <f>IFERROR(__xludf.DUMMYFUNCTION("""COMPUTED_VALUE"""),71118993420)</f>
        <v>71118993420</v>
      </c>
      <c r="P624" s="30" t="str">
        <f>IFERROR(__xludf.DUMMYFUNCTION("""COMPUTED_VALUE"""),"170519168210003")</f>
        <v>170519168210003</v>
      </c>
      <c r="Q624" s="30" t="str">
        <f>IFERROR(__xludf.DUMMYFUNCTION("""COMPUTED_VALUE"""),"3007995")</f>
        <v>3007995</v>
      </c>
      <c r="R624" s="30" t="str">
        <f>IFERROR(__xludf.DUMMYFUNCTION("""COMPUTED_VALUE"""),"0000154962")</f>
        <v>0000154962</v>
      </c>
      <c r="S624" s="30" t="str">
        <f>IFERROR(__xludf.DUMMYFUNCTION("""COMPUTED_VALUE"""),"1")</f>
        <v>1</v>
      </c>
      <c r="T624" s="30" t="str">
        <f>IFERROR(__xludf.DUMMYFUNCTION("""COMPUTED_VALUE"""),"225142")</f>
        <v>225142</v>
      </c>
      <c r="U624" s="31" t="str">
        <f>IFERROR(__xludf.DUMMYFUNCTION("""COMPUTED_VALUE"""),"2251")</f>
        <v>2251</v>
      </c>
      <c r="V624" s="11"/>
      <c r="W624" s="11"/>
      <c r="X624" s="11">
        <f>IFERROR(__xludf.DUMMYFUNCTION("""COMPUTED_VALUE"""),99225651)</f>
        <v>99225651</v>
      </c>
      <c r="Y624" s="11">
        <f>IFERROR(__xludf.DUMMYFUNCTION("""COMPUTED_VALUE"""),34660066)</f>
        <v>34660066</v>
      </c>
      <c r="Z624" s="11">
        <f>IFERROR(__xludf.DUMMYFUNCTION("""COMPUTED_VALUE"""),71118993420)</f>
        <v>71118993420</v>
      </c>
    </row>
    <row r="625" customHeight="1" spans="1:26">
      <c r="A625" s="11" t="str">
        <f>IFERROR(__xludf.DUMMYFUNCTION("""COMPUTED_VALUE"""),"GEORGES BENEDICTO DE ALMEIDA NETO")</f>
        <v>GEORGES BENEDICTO DE ALMEIDA NETO</v>
      </c>
      <c r="B625" s="11" t="str">
        <f>IFERROR(__xludf.DUMMYFUNCTION("""COMPUTED_VALUE"""),"RECUSA TELECONSULTORIA")</f>
        <v>RECUSA TELECONSULTORIA</v>
      </c>
      <c r="C625" s="11"/>
      <c r="D625" s="11" t="str">
        <f>IFERROR(__xludf.DUMMYFUNCTION("""COMPUTED_VALUE"""),"Médico Clínico")</f>
        <v>Médico Clínico</v>
      </c>
      <c r="E625" s="11" t="str">
        <f>IFERROR(__xludf.DUMMYFUNCTION("""COMPUTED_VALUE"""),"VI")</f>
        <v>VI</v>
      </c>
      <c r="F625" s="11" t="str">
        <f>IFERROR(__xludf.DUMMYFUNCTION("""COMPUTED_VALUE"""),"UBT - US 137 CS PROF DJAIR BRINDEIRO")</f>
        <v>UBT - US 137 CS PROF DJAIR BRINDEIRO</v>
      </c>
      <c r="G625" s="11" t="str">
        <f>IFERROR(__xludf.DUMMYFUNCTION("""COMPUTED_VALUE"""),"US 137 CS PROF DJAIR BRINDEIRO")</f>
        <v>US 137 CS PROF DJAIR BRINDEIRO</v>
      </c>
      <c r="H625" s="27">
        <f>IFERROR(__xludf.DUMMYFUNCTION("""COMPUTED_VALUE"""),81991117566)</f>
        <v>81991117566</v>
      </c>
      <c r="I625" s="11"/>
      <c r="J625" s="11"/>
      <c r="K625" s="11"/>
      <c r="L625" s="28" t="str">
        <f>IFERROR(__xludf.DUMMYFUNCTION("""COMPUTED_VALUE"""),"X")</f>
        <v>X</v>
      </c>
      <c r="M625" s="28" t="str">
        <f>IFERROR(__xludf.DUMMYFUNCTION("""COMPUTED_VALUE"""),"3355-0119")</f>
        <v>3355-0119</v>
      </c>
      <c r="N625" s="11" t="str">
        <f>IFERROR(__xludf.DUMMYFUNCTION("""COMPUTED_VALUE"""),"georges_almeida@hotmail.com")</f>
        <v>georges_almeida@hotmail.com</v>
      </c>
      <c r="O625" s="29">
        <f>IFERROR(__xludf.DUMMYFUNCTION("""COMPUTED_VALUE"""),2721050400)</f>
        <v>2721050400</v>
      </c>
      <c r="P625" s="30" t="str">
        <f>IFERROR(__xludf.DUMMYFUNCTION("""COMPUTED_VALUE"""),"190127133260000")</f>
        <v>190127133260000</v>
      </c>
      <c r="Q625" s="30" t="str">
        <f>IFERROR(__xludf.DUMMYFUNCTION("""COMPUTED_VALUE"""),"0000833")</f>
        <v>0000833</v>
      </c>
      <c r="R625" s="11"/>
      <c r="S625" s="30" t="str">
        <f>IFERROR(__xludf.DUMMYFUNCTION("""COMPUTED_VALUE"""),"1")</f>
        <v>1</v>
      </c>
      <c r="T625" s="30" t="str">
        <f>IFERROR(__xludf.DUMMYFUNCTION("""COMPUTED_VALUE"""),"225125")</f>
        <v>225125</v>
      </c>
      <c r="U625" s="11" t="str">
        <f>IFERROR(__xludf.DUMMYFUNCTION("""COMPUTED_VALUE"""),"2251")</f>
        <v>2251</v>
      </c>
      <c r="V625" s="11"/>
      <c r="W625" s="30" t="str">
        <f>IFERROR(__xludf.DUMMYFUNCTION("""COMPUTED_VALUE"""),"01/11/1978")</f>
        <v>01/11/1978</v>
      </c>
      <c r="X625" s="11" t="str">
        <f>IFERROR(__xludf.DUMMYFUNCTION("""COMPUTED_VALUE"""),"#N/A")</f>
        <v>#N/A</v>
      </c>
      <c r="Y625" s="11" t="str">
        <f>IFERROR(__xludf.DUMMYFUNCTION("""COMPUTED_VALUE"""),"#N/A")</f>
        <v>#N/A</v>
      </c>
      <c r="Z625" s="11" t="str">
        <f>IFERROR(__xludf.DUMMYFUNCTION("""COMPUTED_VALUE"""),"#N/A")</f>
        <v>#N/A</v>
      </c>
    </row>
    <row r="626" customHeight="1" spans="1:26">
      <c r="A626" s="11" t="str">
        <f>IFERROR(__xludf.DUMMYFUNCTION("""COMPUTED_VALUE"""),"EMANUEL XIMENES SILVINO EVANGELISTA")</f>
        <v>EMANUEL XIMENES SILVINO EVANGELISTA</v>
      </c>
      <c r="B626" s="11" t="str">
        <f>IFERROR(__xludf.DUMMYFUNCTION("""COMPUTED_VALUE"""),"RECUSA TELECONSULTORIA")</f>
        <v>RECUSA TELECONSULTORIA</v>
      </c>
      <c r="C626" s="11"/>
      <c r="D626" s="11" t="str">
        <f>IFERROR(__xludf.DUMMYFUNCTION("""COMPUTED_VALUE"""),"Médica eSF")</f>
        <v>Médica eSF</v>
      </c>
      <c r="E626" s="11" t="str">
        <f>IFERROR(__xludf.DUMMYFUNCTION("""COMPUTED_VALUE"""),"VII")</f>
        <v>VII</v>
      </c>
      <c r="F626" s="11" t="str">
        <f>IFERROR(__xludf.DUMMYFUNCTION("""COMPUTED_VALUE"""),"US_352 USF UPINHA 24H DR HELIO MENDONCA COR DO JENIPAPO")</f>
        <v>US_352 USF UPINHA 24H DR HELIO MENDONCA COR DO JENIPAPO</v>
      </c>
      <c r="G626" s="11" t="str">
        <f>IFERROR(__xludf.DUMMYFUNCTION("""COMPUTED_VALUE"""),"US 251 USF DA GUABIRABA")</f>
        <v>US 251 USF DA GUABIRABA</v>
      </c>
      <c r="H626" s="27">
        <f>IFERROR(__xludf.DUMMYFUNCTION("""COMPUTED_VALUE"""),81999607322)</f>
        <v>81999607322</v>
      </c>
      <c r="I626" s="27">
        <f>IFERROR(__xludf.DUMMYFUNCTION("""COMPUTED_VALUE"""),81999870575)</f>
        <v>81999870575</v>
      </c>
      <c r="J626" s="11"/>
      <c r="K626" s="11"/>
      <c r="L626" s="28" t="str">
        <f>IFERROR(__xludf.DUMMYFUNCTION("""COMPUTED_VALUE"""),"X")</f>
        <v>X</v>
      </c>
      <c r="M626" s="28" t="str">
        <f>IFERROR(__xludf.DUMMYFUNCTION("""COMPUTED_VALUE"""),"3355-6522")</f>
        <v>3355-6522</v>
      </c>
      <c r="N626" s="11" t="str">
        <f>IFERROR(__xludf.DUMMYFUNCTION("""COMPUTED_VALUE"""),"emanuelkandarov@gmail.com")</f>
        <v>emanuelkandarov@gmail.com</v>
      </c>
      <c r="O626" s="29">
        <f>IFERROR(__xludf.DUMMYFUNCTION("""COMPUTED_VALUE"""),865388458)</f>
        <v>865388458</v>
      </c>
      <c r="P626" s="30" t="str">
        <f>IFERROR(__xludf.DUMMYFUNCTION("""COMPUTED_VALUE"""),"708401224352668")</f>
        <v>708401224352668</v>
      </c>
      <c r="Q626" s="30" t="str">
        <f>IFERROR(__xludf.DUMMYFUNCTION("""COMPUTED_VALUE"""),"0022292")</f>
        <v>0022292</v>
      </c>
      <c r="R626" s="11"/>
      <c r="S626" s="30" t="str">
        <f>IFERROR(__xludf.DUMMYFUNCTION("""COMPUTED_VALUE"""),"1")</f>
        <v>1</v>
      </c>
      <c r="T626" s="30" t="str">
        <f>IFERROR(__xludf.DUMMYFUNCTION("""COMPUTED_VALUE"""),"225142")</f>
        <v>225142</v>
      </c>
      <c r="U626" s="31" t="str">
        <f>IFERROR(__xludf.DUMMYFUNCTION("""COMPUTED_VALUE"""),"2251")</f>
        <v>2251</v>
      </c>
      <c r="V626" s="11"/>
      <c r="W626" s="11" t="str">
        <f>IFERROR(__xludf.DUMMYFUNCTION("""COMPUTED_VALUE"""),"CADASTRAR PARA RECIFE")</f>
        <v>CADASTRAR PARA RECIFE</v>
      </c>
      <c r="X626" s="11"/>
      <c r="Y626" s="11"/>
      <c r="Z626" s="11"/>
    </row>
    <row r="627" customHeight="1" spans="1:26">
      <c r="A627" s="11" t="str">
        <f>IFERROR(__xludf.DUMMYFUNCTION("""COMPUTED_VALUE"""),"MIRIAN KEYLA DE ALENCAR MUNIZ")</f>
        <v>MIRIAN KEYLA DE ALENCAR MUNIZ</v>
      </c>
      <c r="B627" s="11"/>
      <c r="C627" s="11"/>
      <c r="D627" s="11" t="str">
        <f>IFERROR(__xludf.DUMMYFUNCTION("""COMPUTED_VALUE"""),"Enfermeira")</f>
        <v>Enfermeira</v>
      </c>
      <c r="E627" s="11" t="str">
        <f>IFERROR(__xludf.DUMMYFUNCTION("""COMPUTED_VALUE"""),"VI")</f>
        <v>VI</v>
      </c>
      <c r="F627" s="11" t="str">
        <f>IFERROR(__xludf.DUMMYFUNCTION("""COMPUTED_VALUE"""),"US_119 CS PROF JOSE CARNEIRO LEAO")</f>
        <v>US_119 CS PROF JOSE CARNEIRO LEAO</v>
      </c>
      <c r="G627" s="11" t="str">
        <f>IFERROR(__xludf.DUMMYFUNCTION("""COMPUTED_VALUE"""),"US 119 CS PROF JOSE CARNEIRO LEAO")</f>
        <v>US 119 CS PROF JOSE CARNEIRO LEAO</v>
      </c>
      <c r="H627" s="27">
        <f>IFERROR(__xludf.DUMMYFUNCTION("""COMPUTED_VALUE"""),81992781652)</f>
        <v>81992781652</v>
      </c>
      <c r="I627" s="11"/>
      <c r="J627" s="11"/>
      <c r="K627" s="11"/>
      <c r="L627" s="11"/>
      <c r="M627" s="28" t="str">
        <f>IFERROR(__xludf.DUMMYFUNCTION("""COMPUTED_VALUE"""),"3355-4428")</f>
        <v>3355-4428</v>
      </c>
      <c r="N627" s="11" t="str">
        <f>IFERROR(__xludf.DUMMYFUNCTION("""COMPUTED_VALUE"""),"mirianalencarmuniz@gmail.com")</f>
        <v>mirianalencarmuniz@gmail.com</v>
      </c>
      <c r="O627" s="29">
        <f>IFERROR(__xludf.DUMMYFUNCTION("""COMPUTED_VALUE"""),45900523420)</f>
        <v>45900523420</v>
      </c>
      <c r="P627" s="30" t="str">
        <f>IFERROR(__xludf.DUMMYFUNCTION("""COMPUTED_VALUE"""),"122705870750009")</f>
        <v>122705870750009</v>
      </c>
      <c r="Q627" s="30" t="str">
        <f>IFERROR(__xludf.DUMMYFUNCTION("""COMPUTED_VALUE"""),"0000752")</f>
        <v>0000752</v>
      </c>
      <c r="R627" s="11"/>
      <c r="S627" s="30" t="str">
        <f>IFERROR(__xludf.DUMMYFUNCTION("""COMPUTED_VALUE"""),"1")</f>
        <v>1</v>
      </c>
      <c r="T627" s="30" t="str">
        <f>IFERROR(__xludf.DUMMYFUNCTION("""COMPUTED_VALUE"""),"223565")</f>
        <v>223565</v>
      </c>
      <c r="U627" s="31" t="str">
        <f>IFERROR(__xludf.DUMMYFUNCTION("""COMPUTED_VALUE"""),"2235")</f>
        <v>2235</v>
      </c>
      <c r="V627" s="11"/>
      <c r="W627" s="11"/>
      <c r="X627" s="11"/>
      <c r="Y627" s="11"/>
      <c r="Z627" s="11"/>
    </row>
    <row r="628" customHeight="1" spans="1:26">
      <c r="A628" s="11" t="str">
        <f>IFERROR(__xludf.DUMMYFUNCTION("""COMPUTED_VALUE"""),"LUIS CORDEIRO DA SILVA FILHO")</f>
        <v>LUIS CORDEIRO DA SILVA FILHO</v>
      </c>
      <c r="B628" s="11"/>
      <c r="C628" s="11"/>
      <c r="D628" s="11" t="str">
        <f>IFERROR(__xludf.DUMMYFUNCTION("""COMPUTED_VALUE"""),"Enfermeiro eSF")</f>
        <v>Enfermeiro eSF</v>
      </c>
      <c r="E628" s="11" t="str">
        <f>IFERROR(__xludf.DUMMYFUNCTION("""COMPUTED_VALUE"""),"II")</f>
        <v>II</v>
      </c>
      <c r="F628" s="11" t="str">
        <f>IFERROR(__xludf.DUMMYFUNCTION("""COMPUTED_VALUE"""),"US_153 POLICLINICA E MATERNIDADE ARNALDO MARQUES")</f>
        <v>US_153 POLICLINICA E MATERNIDADE ARNALDO MARQUES</v>
      </c>
      <c r="G628" s="11" t="str">
        <f>IFERROR(__xludf.DUMMYFUNCTION("""COMPUTED_VALUE"""),"US 276 USF UPINHA DIA ALTO DO PASCOAL")</f>
        <v>US 276 USF UPINHA DIA ALTO DO PASCOAL</v>
      </c>
      <c r="H628" s="27">
        <f>IFERROR(__xludf.DUMMYFUNCTION("""COMPUTED_VALUE"""),81999196053)</f>
        <v>81999196053</v>
      </c>
      <c r="I628" s="11"/>
      <c r="J628" s="11"/>
      <c r="K628" s="11"/>
      <c r="L628" s="11"/>
      <c r="M628" s="28" t="str">
        <f>IFERROR(__xludf.DUMMYFUNCTION("""COMPUTED_VALUE"""),"3355-3493")</f>
        <v>3355-3493</v>
      </c>
      <c r="N628" s="11" t="str">
        <f>IFERROR(__xludf.DUMMYFUNCTION("""COMPUTED_VALUE"""),"luis15csf@yahoo.com.br")</f>
        <v>luis15csf@yahoo.com.br</v>
      </c>
      <c r="O628" s="29">
        <f>IFERROR(__xludf.DUMMYFUNCTION("""COMPUTED_VALUE"""),84599901415)</f>
        <v>84599901415</v>
      </c>
      <c r="P628" s="30" t="str">
        <f>IFERROR(__xludf.DUMMYFUNCTION("""COMPUTED_VALUE"""),"980016000619974")</f>
        <v>980016000619974</v>
      </c>
      <c r="Q628" s="30" t="str">
        <f>IFERROR(__xludf.DUMMYFUNCTION("""COMPUTED_VALUE"""),"0028649")</f>
        <v>0028649</v>
      </c>
      <c r="R628" s="30" t="str">
        <f>IFERROR(__xludf.DUMMYFUNCTION("""COMPUTED_VALUE"""),"0000154555")</f>
        <v>0000154555</v>
      </c>
      <c r="S628" s="30" t="str">
        <f>IFERROR(__xludf.DUMMYFUNCTION("""COMPUTED_VALUE"""),"1")</f>
        <v>1</v>
      </c>
      <c r="T628" s="30" t="str">
        <f>IFERROR(__xludf.DUMMYFUNCTION("""COMPUTED_VALUE"""),"223565")</f>
        <v>223565</v>
      </c>
      <c r="U628" s="31" t="str">
        <f>IFERROR(__xludf.DUMMYFUNCTION("""COMPUTED_VALUE"""),"2235")</f>
        <v>2235</v>
      </c>
      <c r="V628" s="11"/>
      <c r="W628" s="11" t="str">
        <f>IFERROR(__xludf.DUMMYFUNCTION("""COMPUTED_VALUE"""),"81 99196053")</f>
        <v>81 99196053</v>
      </c>
      <c r="X628" s="11" t="str">
        <f>IFERROR(__xludf.DUMMYFUNCTION("""COMPUTED_VALUE"""),"81 34681021")</f>
        <v>81 34681021</v>
      </c>
      <c r="Y628" s="11">
        <f>IFERROR(__xludf.DUMMYFUNCTION("""COMPUTED_VALUE"""),84599901415)</f>
        <v>84599901415</v>
      </c>
      <c r="Z628" s="11"/>
    </row>
    <row r="629" customHeight="1" spans="1:26">
      <c r="A629" s="11" t="str">
        <f>IFERROR(__xludf.DUMMYFUNCTION("""COMPUTED_VALUE"""),"MIRIAM WOLFENSON DE MAGALHAES JAMBO")</f>
        <v>MIRIAM WOLFENSON DE MAGALHAES JAMBO</v>
      </c>
      <c r="B629" s="11"/>
      <c r="C629" s="11"/>
      <c r="D629" s="11" t="str">
        <f>IFERROR(__xludf.DUMMYFUNCTION("""COMPUTED_VALUE"""),"Médica Pediatra")</f>
        <v>Médica Pediatra</v>
      </c>
      <c r="E629" s="11" t="str">
        <f>IFERROR(__xludf.DUMMYFUNCTION("""COMPUTED_VALUE"""),"VI")</f>
        <v>VI</v>
      </c>
      <c r="F629" s="11" t="str">
        <f>IFERROR(__xludf.DUMMYFUNCTION("""COMPUTED_VALUE"""),"US_119 CS PROF JOSE CARNEIRO LEAO")</f>
        <v>US_119 CS PROF JOSE CARNEIRO LEAO</v>
      </c>
      <c r="G629" s="11" t="str">
        <f>IFERROR(__xludf.DUMMYFUNCTION("""COMPUTED_VALUE"""),"US 119 CS PROF JOSE CARNEIRO LEAO")</f>
        <v>US 119 CS PROF JOSE CARNEIRO LEAO</v>
      </c>
      <c r="H629" s="27">
        <f>IFERROR(__xludf.DUMMYFUNCTION("""COMPUTED_VALUE"""),81991383306)</f>
        <v>81991383306</v>
      </c>
      <c r="I629" s="11"/>
      <c r="J629" s="11"/>
      <c r="K629" s="11"/>
      <c r="L629" s="11"/>
      <c r="M629" s="28" t="str">
        <f>IFERROR(__xludf.DUMMYFUNCTION("""COMPUTED_VALUE"""),"3355-4428")</f>
        <v>3355-4428</v>
      </c>
      <c r="N629" s="11" t="str">
        <f>IFERROR(__xludf.DUMMYFUNCTION("""COMPUTED_VALUE"""),"miriamjambo@hotmail.com")</f>
        <v>miriamjambo@hotmail.com</v>
      </c>
      <c r="O629" s="11">
        <f>IFERROR(__xludf.DUMMYFUNCTION("""COMPUTED_VALUE"""),42596904420)</f>
        <v>42596904420</v>
      </c>
      <c r="P629" s="30" t="str">
        <f>IFERROR(__xludf.DUMMYFUNCTION("""COMPUTED_VALUE"""),"704108199209778")</f>
        <v>704108199209778</v>
      </c>
      <c r="Q629" s="30" t="str">
        <f>IFERROR(__xludf.DUMMYFUNCTION("""COMPUTED_VALUE"""),"0000752")</f>
        <v>0000752</v>
      </c>
      <c r="R629" s="11"/>
      <c r="S629" s="30" t="str">
        <f>IFERROR(__xludf.DUMMYFUNCTION("""COMPUTED_VALUE"""),"1")</f>
        <v>1</v>
      </c>
      <c r="T629" s="30" t="str">
        <f>IFERROR(__xludf.DUMMYFUNCTION("""COMPUTED_VALUE"""),"225124")</f>
        <v>225124</v>
      </c>
      <c r="U629" s="31">
        <f>IFERROR(__xludf.DUMMYFUNCTION("""COMPUTED_VALUE"""),2251)</f>
        <v>2251</v>
      </c>
      <c r="V629" s="11"/>
      <c r="W629" s="30" t="str">
        <f>IFERROR(__xludf.DUMMYFUNCTION("""COMPUTED_VALUE"""),"05/04/1949")</f>
        <v>05/04/1949</v>
      </c>
      <c r="X629" s="11" t="str">
        <f>IFERROR(__xludf.DUMMYFUNCTION("""COMPUTED_VALUE"""),"#N/A")</f>
        <v>#N/A</v>
      </c>
      <c r="Y629" s="11" t="str">
        <f>IFERROR(__xludf.DUMMYFUNCTION("""COMPUTED_VALUE"""),"#N/A")</f>
        <v>#N/A</v>
      </c>
      <c r="Z629" s="11" t="str">
        <f>IFERROR(__xludf.DUMMYFUNCTION("""COMPUTED_VALUE"""),"#N/A")</f>
        <v>#N/A</v>
      </c>
    </row>
    <row r="630" customHeight="1" spans="1:26">
      <c r="A630" s="11" t="str">
        <f>IFERROR(__xludf.DUMMYFUNCTION("""COMPUTED_VALUE"""),"MARIA EUGENIA BENITEZ UGALDE")</f>
        <v>MARIA EUGENIA BENITEZ UGALDE</v>
      </c>
      <c r="B630" s="11"/>
      <c r="C630" s="11"/>
      <c r="D630" s="11" t="str">
        <f>IFERROR(__xludf.DUMMYFUNCTION("""COMPUTED_VALUE"""),"Médica eSF")</f>
        <v>Médica eSF</v>
      </c>
      <c r="E630" s="11" t="str">
        <f>IFERROR(__xludf.DUMMYFUNCTION("""COMPUTED_VALUE"""),"VIII")</f>
        <v>VIII</v>
      </c>
      <c r="F630" s="11" t="str">
        <f>IFERROR(__xludf.DUMMYFUNCTION("""COMPUTED_VALUE"""),"US_228 USF UPINHA DIA DES JOSE MANOEL DE FREITAS UR 4UR 5")</f>
        <v>US_228 USF UPINHA DIA DES JOSE MANOEL DE FREITAS UR 4UR 5</v>
      </c>
      <c r="G630" s="11" t="str">
        <f>IFERROR(__xludf.DUMMYFUNCTION("""COMPUTED_VALUE"""),"US 228 USF UPINHA DIA DES JOSE MANOEL DE FREITAS UR 4UR 5")</f>
        <v>US 228 USF UPINHA DIA DES JOSE MANOEL DE FREITAS UR 4UR 5</v>
      </c>
      <c r="H630" s="27">
        <f>IFERROR(__xludf.DUMMYFUNCTION("""COMPUTED_VALUE"""),81999943210)</f>
        <v>81999943210</v>
      </c>
      <c r="I630" s="27">
        <f>IFERROR(__xludf.DUMMYFUNCTION("""COMPUTED_VALUE"""),81984522217)</f>
        <v>81984522217</v>
      </c>
      <c r="J630" s="11"/>
      <c r="K630" s="11"/>
      <c r="L630" s="11"/>
      <c r="M630" s="28" t="str">
        <f>IFERROR(__xludf.DUMMYFUNCTION("""COMPUTED_VALUE"""),"3355-6166")</f>
        <v>3355-6166</v>
      </c>
      <c r="N630" s="11" t="str">
        <f>IFERROR(__xludf.DUMMYFUNCTION("""COMPUTED_VALUE"""),"mariaugaldebenitez@yahoo.com")</f>
        <v>mariaugaldebenitez@yahoo.com</v>
      </c>
      <c r="O630" s="29">
        <f>IFERROR(__xludf.DUMMYFUNCTION("""COMPUTED_VALUE"""),823838471)</f>
        <v>823838471</v>
      </c>
      <c r="P630" s="30" t="str">
        <f>IFERROR(__xludf.DUMMYFUNCTION("""COMPUTED_VALUE"""),"980016000102548")</f>
        <v>980016000102548</v>
      </c>
      <c r="Q630" s="30" t="str">
        <f>IFERROR(__xludf.DUMMYFUNCTION("""COMPUTED_VALUE"""),"0022454")</f>
        <v>0022454</v>
      </c>
      <c r="R630" s="30" t="str">
        <f>IFERROR(__xludf.DUMMYFUNCTION("""COMPUTED_VALUE"""),"0000154032")</f>
        <v>0000154032</v>
      </c>
      <c r="S630" s="30" t="str">
        <f>IFERROR(__xludf.DUMMYFUNCTION("""COMPUTED_VALUE"""),"1")</f>
        <v>1</v>
      </c>
      <c r="T630" s="30" t="str">
        <f>IFERROR(__xludf.DUMMYFUNCTION("""COMPUTED_VALUE"""),"225142")</f>
        <v>225142</v>
      </c>
      <c r="U630" s="31" t="str">
        <f>IFERROR(__xludf.DUMMYFUNCTION("""COMPUTED_VALUE"""),"2251")</f>
        <v>2251</v>
      </c>
      <c r="V630" s="11"/>
      <c r="W630" s="11"/>
      <c r="X630" s="11">
        <f>IFERROR(__xludf.DUMMYFUNCTION("""COMPUTED_VALUE"""),99943210)</f>
        <v>99943210</v>
      </c>
      <c r="Y630" s="11">
        <f>IFERROR(__xludf.DUMMYFUNCTION("""COMPUTED_VALUE"""),84522217)</f>
        <v>84522217</v>
      </c>
      <c r="Z630" s="11">
        <f>IFERROR(__xludf.DUMMYFUNCTION("""COMPUTED_VALUE"""),823838471)</f>
        <v>823838471</v>
      </c>
    </row>
    <row r="631" customHeight="1" spans="1:26">
      <c r="A631" s="11" t="str">
        <f>IFERROR(__xludf.DUMMYFUNCTION("""COMPUTED_VALUE"""),"LADIJANE COSTA BORBA")</f>
        <v>LADIJANE COSTA BORBA</v>
      </c>
      <c r="B631" s="11"/>
      <c r="C631" s="11"/>
      <c r="D631" s="11" t="str">
        <f>IFERROR(__xludf.DUMMYFUNCTION("""COMPUTED_VALUE"""),"Médica eSF")</f>
        <v>Médica eSF</v>
      </c>
      <c r="E631" s="11" t="str">
        <f>IFERROR(__xludf.DUMMYFUNCTION("""COMPUTED_VALUE"""),"V")</f>
        <v>V</v>
      </c>
      <c r="F631" s="11" t="str">
        <f>IFERROR(__xludf.DUMMYFUNCTION("""COMPUTED_VALUE"""),"US_344 USF JIQUIA I E II")</f>
        <v>US_344 USF JIQUIA I E II</v>
      </c>
      <c r="G631" s="11" t="str">
        <f>IFERROR(__xludf.DUMMYFUNCTION("""COMPUTED_VALUE"""),"US 344 USF JIQUIA I E II")</f>
        <v>US 344 USF JIQUIA I E II</v>
      </c>
      <c r="H631" s="27">
        <f>IFERROR(__xludf.DUMMYFUNCTION("""COMPUTED_VALUE"""),81982966787)</f>
        <v>81982966787</v>
      </c>
      <c r="I631" s="27">
        <f>IFERROR(__xludf.DUMMYFUNCTION("""COMPUTED_VALUE"""),81997603640)</f>
        <v>81997603640</v>
      </c>
      <c r="J631" s="11"/>
      <c r="K631" s="11"/>
      <c r="L631" s="11"/>
      <c r="M631" s="28" t="str">
        <f>IFERROR(__xludf.DUMMYFUNCTION("""COMPUTED_VALUE"""),"3355-4676")</f>
        <v>3355-4676</v>
      </c>
      <c r="N631" s="11" t="str">
        <f>IFERROR(__xludf.DUMMYFUNCTION("""COMPUTED_VALUE"""),"ladijaneborba@hotamil.com")</f>
        <v>ladijaneborba@hotamil.com</v>
      </c>
      <c r="O631" s="29">
        <f>IFERROR(__xludf.DUMMYFUNCTION("""COMPUTED_VALUE"""),12601721472)</f>
        <v>12601721472</v>
      </c>
      <c r="P631" s="30" t="str">
        <f>IFERROR(__xludf.DUMMYFUNCTION("""COMPUTED_VALUE"""),"204323370020001")</f>
        <v>204323370020001</v>
      </c>
      <c r="Q631" s="30" t="str">
        <f>IFERROR(__xludf.DUMMYFUNCTION("""COMPUTED_VALUE"""),"5601037")</f>
        <v>5601037</v>
      </c>
      <c r="R631" s="30" t="str">
        <f>IFERROR(__xludf.DUMMYFUNCTION("""COMPUTED_VALUE"""),"0000155934")</f>
        <v>0000155934</v>
      </c>
      <c r="S631" s="30" t="str">
        <f>IFERROR(__xludf.DUMMYFUNCTION("""COMPUTED_VALUE"""),"1")</f>
        <v>1</v>
      </c>
      <c r="T631" s="30" t="str">
        <f>IFERROR(__xludf.DUMMYFUNCTION("""COMPUTED_VALUE"""),"225142")</f>
        <v>225142</v>
      </c>
      <c r="U631" s="31" t="str">
        <f>IFERROR(__xludf.DUMMYFUNCTION("""COMPUTED_VALUE"""),"2251")</f>
        <v>2251</v>
      </c>
      <c r="V631" s="11"/>
      <c r="W631" s="11"/>
      <c r="X631" s="11">
        <f>IFERROR(__xludf.DUMMYFUNCTION("""COMPUTED_VALUE"""),34694270)</f>
        <v>34694270</v>
      </c>
      <c r="Y631" s="11">
        <f>IFERROR(__xludf.DUMMYFUNCTION("""COMPUTED_VALUE"""),88196787)</f>
        <v>88196787</v>
      </c>
      <c r="Z631" s="11">
        <f>IFERROR(__xludf.DUMMYFUNCTION("""COMPUTED_VALUE"""),12601721472)</f>
        <v>12601721472</v>
      </c>
    </row>
    <row r="632" customHeight="1" spans="1:26">
      <c r="A632" s="11" t="str">
        <f>IFERROR(__xludf.DUMMYFUNCTION("""COMPUTED_VALUE"""),"ADRIANNE MARIA DO REGO BARROS SANTOS")</f>
        <v>ADRIANNE MARIA DO REGO BARROS SANTOS</v>
      </c>
      <c r="B632" s="11"/>
      <c r="C632" s="11"/>
      <c r="D632" s="11" t="str">
        <f>IFERROR(__xludf.DUMMYFUNCTION("""COMPUTED_VALUE"""),"Médica eSF")</f>
        <v>Médica eSF</v>
      </c>
      <c r="E632" s="11" t="str">
        <f>IFERROR(__xludf.DUMMYFUNCTION("""COMPUTED_VALUE"""),"VI")</f>
        <v>VI</v>
      </c>
      <c r="F632" s="11" t="str">
        <f>IFERROR(__xludf.DUMMYFUNCTION("""COMPUTED_VALUE"""),"US_296 USF COQUEIRAL IMBIRIBEIRA")</f>
        <v>US_296 USF COQUEIRAL IMBIRIBEIRA</v>
      </c>
      <c r="G632" s="11" t="str">
        <f>IFERROR(__xludf.DUMMYFUNCTION("""COMPUTED_VALUE"""),"US 296 USF COQUEIRAL IMBIRIBEIRA")</f>
        <v>US 296 USF COQUEIRAL IMBIRIBEIRA</v>
      </c>
      <c r="H632" s="27">
        <f>IFERROR(__xludf.DUMMYFUNCTION("""COMPUTED_VALUE"""),81988443521)</f>
        <v>81988443521</v>
      </c>
      <c r="I632" s="11"/>
      <c r="J632" s="11"/>
      <c r="K632" s="11"/>
      <c r="L632" s="11"/>
      <c r="M632" s="28" t="str">
        <f>IFERROR(__xludf.DUMMYFUNCTION("""COMPUTED_VALUE"""),"3355-6103")</f>
        <v>3355-6103</v>
      </c>
      <c r="N632" s="11" t="str">
        <f>IFERROR(__xludf.DUMMYFUNCTION("""COMPUTED_VALUE"""),"adriannerbsantos@yahoo.com.br")</f>
        <v>adriannerbsantos@yahoo.com.br</v>
      </c>
      <c r="O632" s="29">
        <f>IFERROR(__xludf.DUMMYFUNCTION("""COMPUTED_VALUE"""),82253900400)</f>
        <v>82253900400</v>
      </c>
      <c r="P632" s="30" t="str">
        <f>IFERROR(__xludf.DUMMYFUNCTION("""COMPUTED_VALUE"""),"127998224540006")</f>
        <v>127998224540006</v>
      </c>
      <c r="Q632" s="30" t="str">
        <f>IFERROR(__xludf.DUMMYFUNCTION("""COMPUTED_VALUE"""),"3153584")</f>
        <v>3153584</v>
      </c>
      <c r="R632" s="30" t="str">
        <f>IFERROR(__xludf.DUMMYFUNCTION("""COMPUTED_VALUE"""),"0000155209")</f>
        <v>0000155209</v>
      </c>
      <c r="S632" s="30" t="str">
        <f>IFERROR(__xludf.DUMMYFUNCTION("""COMPUTED_VALUE"""),"1")</f>
        <v>1</v>
      </c>
      <c r="T632" s="30" t="str">
        <f>IFERROR(__xludf.DUMMYFUNCTION("""COMPUTED_VALUE"""),"225142")</f>
        <v>225142</v>
      </c>
      <c r="U632" s="31" t="str">
        <f>IFERROR(__xludf.DUMMYFUNCTION("""COMPUTED_VALUE"""),"2251")</f>
        <v>2251</v>
      </c>
      <c r="V632" s="11" t="str">
        <f>IFERROR(__xludf.DUMMYFUNCTION("""COMPUTED_VALUE"""),"SIM")</f>
        <v>SIM</v>
      </c>
      <c r="W632" s="11"/>
      <c r="X632" s="11">
        <f>IFERROR(__xludf.DUMMYFUNCTION("""COMPUTED_VALUE"""),88443521)</f>
        <v>88443521</v>
      </c>
      <c r="Y632" s="11">
        <f>IFERROR(__xludf.DUMMYFUNCTION("""COMPUTED_VALUE"""),34712328)</f>
        <v>34712328</v>
      </c>
      <c r="Z632" s="11">
        <f>IFERROR(__xludf.DUMMYFUNCTION("""COMPUTED_VALUE"""),82253900400)</f>
        <v>82253900400</v>
      </c>
    </row>
    <row r="633" customHeight="1" spans="1:26">
      <c r="A633" s="11" t="str">
        <f>IFERROR(__xludf.DUMMYFUNCTION("""COMPUTED_VALUE"""),"MARCELLA NATHALY ALBUQUERQUE SIMOES")</f>
        <v>MARCELLA NATHALY ALBUQUERQUE SIMOES</v>
      </c>
      <c r="B633" s="11" t="str">
        <f>IFERROR(__xludf.DUMMYFUNCTION("""COMPUTED_VALUE"""),"10:30/11:00/11:30 - horários de preferência")</f>
        <v>10:30/11:00/11:30 - horários de preferência</v>
      </c>
      <c r="C633" s="11"/>
      <c r="D633" s="11" t="str">
        <f>IFERROR(__xludf.DUMMYFUNCTION("""COMPUTED_VALUE"""),"Médica eSF")</f>
        <v>Médica eSF</v>
      </c>
      <c r="E633" s="11" t="str">
        <f>IFERROR(__xludf.DUMMYFUNCTION("""COMPUTED_VALUE"""),"V")</f>
        <v>V</v>
      </c>
      <c r="F633" s="11" t="str">
        <f>IFERROR(__xludf.DUMMYFUNCTION("""COMPUTED_VALUE"""),"US_239 USF COQUEIRAL I E II")</f>
        <v>US_239 USF COQUEIRAL I E II</v>
      </c>
      <c r="G633" s="11" t="str">
        <f>IFERROR(__xludf.DUMMYFUNCTION("""COMPUTED_VALUE"""),"US 239 USF COQUEIRAL I E II")</f>
        <v>US 239 USF COQUEIRAL I E II</v>
      </c>
      <c r="H633" s="27">
        <f>IFERROR(__xludf.DUMMYFUNCTION("""COMPUTED_VALUE"""),81991215312)</f>
        <v>81991215312</v>
      </c>
      <c r="I633" s="11"/>
      <c r="J633" s="11"/>
      <c r="K633" s="11"/>
      <c r="L633" s="11"/>
      <c r="M633" s="28" t="str">
        <f>IFERROR(__xludf.DUMMYFUNCTION("""COMPUTED_VALUE"""),"3355-0216/0217")</f>
        <v>3355-0216/0217</v>
      </c>
      <c r="N633" s="30" t="str">
        <f>IFERROR(__xludf.DUMMYFUNCTION("""COMPUTED_VALUE"""),"marcellanathaly94@gmail.com")</f>
        <v>marcellanathaly94@gmail.com</v>
      </c>
      <c r="O633" s="29">
        <f>IFERROR(__xludf.DUMMYFUNCTION("""COMPUTED_VALUE"""),4167032406)</f>
        <v>4167032406</v>
      </c>
      <c r="P633" s="30" t="str">
        <f>IFERROR(__xludf.DUMMYFUNCTION("""COMPUTED_VALUE"""),"980016285098994")</f>
        <v>980016285098994</v>
      </c>
      <c r="Q633" s="30" t="str">
        <f>IFERROR(__xludf.DUMMYFUNCTION("""COMPUTED_VALUE"""),"0022411")</f>
        <v>0022411</v>
      </c>
      <c r="R633" s="30" t="str">
        <f>IFERROR(__xludf.DUMMYFUNCTION("""COMPUTED_VALUE"""),"0000153982")</f>
        <v>0000153982</v>
      </c>
      <c r="S633" s="30" t="str">
        <f>IFERROR(__xludf.DUMMYFUNCTION("""COMPUTED_VALUE"""),"1")</f>
        <v>1</v>
      </c>
      <c r="T633" s="30" t="str">
        <f>IFERROR(__xludf.DUMMYFUNCTION("""COMPUTED_VALUE"""),"225142")</f>
        <v>225142</v>
      </c>
      <c r="U633" s="31" t="str">
        <f>IFERROR(__xludf.DUMMYFUNCTION("""COMPUTED_VALUE"""),"2251")</f>
        <v>2251</v>
      </c>
      <c r="V633" s="11"/>
      <c r="W633" s="11"/>
      <c r="X633" s="11">
        <f>IFERROR(__xludf.DUMMYFUNCTION("""COMPUTED_VALUE"""),91215312)</f>
        <v>91215312</v>
      </c>
      <c r="Y633" s="11">
        <f>IFERROR(__xludf.DUMMYFUNCTION("""COMPUTED_VALUE"""),30481769)</f>
        <v>30481769</v>
      </c>
      <c r="Z633" s="11">
        <f>IFERROR(__xludf.DUMMYFUNCTION("""COMPUTED_VALUE"""),4167032406)</f>
        <v>4167032406</v>
      </c>
    </row>
    <row r="634" customHeight="1" spans="1:26">
      <c r="A634" s="11" t="str">
        <f>IFERROR(__xludf.DUMMYFUNCTION("""COMPUTED_VALUE"""),"MARIANA CAJUEIRO DOS SANTOS")</f>
        <v>MARIANA CAJUEIRO DOS SANTOS</v>
      </c>
      <c r="B634" s="11"/>
      <c r="C634" s="11"/>
      <c r="D634" s="11" t="str">
        <f>IFERROR(__xludf.DUMMYFUNCTION("""COMPUTED_VALUE"""),"Enfermeira eSF")</f>
        <v>Enfermeira eSF</v>
      </c>
      <c r="E634" s="11" t="str">
        <f>IFERROR(__xludf.DUMMYFUNCTION("""COMPUTED_VALUE"""),"VIII")</f>
        <v>VIII</v>
      </c>
      <c r="F634" s="11" t="str">
        <f>IFERROR(__xludf.DUMMYFUNCTION("""COMPUTED_VALUE"""),"US_153 POLICLINICA E MATERNIDADE ARNALDO MARQUES")</f>
        <v>US_153 POLICLINICA E MATERNIDADE ARNALDO MARQUES</v>
      </c>
      <c r="G634" s="11" t="str">
        <f>IFERROR(__xludf.DUMMYFUNCTION("""COMPUTED_VALUE"""),"US 228 USF UPINHA DIA DES JOSE MANOEL DE FREITAS UR 4UR 5")</f>
        <v>US 228 USF UPINHA DIA DES JOSE MANOEL DE FREITAS UR 4UR 5</v>
      </c>
      <c r="H634" s="27">
        <f>IFERROR(__xludf.DUMMYFUNCTION("""COMPUTED_VALUE"""),81991958559)</f>
        <v>81991958559</v>
      </c>
      <c r="I634" s="11"/>
      <c r="J634" s="11"/>
      <c r="K634" s="11"/>
      <c r="L634" s="11"/>
      <c r="M634" s="28" t="str">
        <f>IFERROR(__xludf.DUMMYFUNCTION("""COMPUTED_VALUE"""),"3355-6166")</f>
        <v>3355-6166</v>
      </c>
      <c r="N634" s="11" t="str">
        <f>IFERROR(__xludf.DUMMYFUNCTION("""COMPUTED_VALUE"""),"marianacajueiro@hotmail.com")</f>
        <v>marianacajueiro@hotmail.com</v>
      </c>
      <c r="O634" s="29">
        <f>IFERROR(__xludf.DUMMYFUNCTION("""COMPUTED_VALUE"""),4626724418)</f>
        <v>4626724418</v>
      </c>
      <c r="P634" s="30" t="str">
        <f>IFERROR(__xludf.DUMMYFUNCTION("""COMPUTED_VALUE"""),"980016276873271")</f>
        <v>980016276873271</v>
      </c>
      <c r="Q634" s="30" t="str">
        <f>IFERROR(__xludf.DUMMYFUNCTION("""COMPUTED_VALUE"""),"0022454")</f>
        <v>0022454</v>
      </c>
      <c r="R634" s="30" t="str">
        <f>IFERROR(__xludf.DUMMYFUNCTION("""COMPUTED_VALUE"""),"0000154032")</f>
        <v>0000154032</v>
      </c>
      <c r="S634" s="30" t="str">
        <f>IFERROR(__xludf.DUMMYFUNCTION("""COMPUTED_VALUE"""),"1")</f>
        <v>1</v>
      </c>
      <c r="T634" s="30" t="str">
        <f>IFERROR(__xludf.DUMMYFUNCTION("""COMPUTED_VALUE"""),"223565")</f>
        <v>223565</v>
      </c>
      <c r="U634" s="31" t="str">
        <f>IFERROR(__xludf.DUMMYFUNCTION("""COMPUTED_VALUE"""),"2235")</f>
        <v>2235</v>
      </c>
      <c r="V634" s="11"/>
      <c r="W634" s="11" t="str">
        <f>IFERROR(__xludf.DUMMYFUNCTION("""COMPUTED_VALUE"""),"81 32038559")</f>
        <v>81 32038559</v>
      </c>
      <c r="X634" s="11" t="str">
        <f>IFERROR(__xludf.DUMMYFUNCTION("""COMPUTED_VALUE"""),"81 91958559")</f>
        <v>81 91958559</v>
      </c>
      <c r="Y634" s="11">
        <f>IFERROR(__xludf.DUMMYFUNCTION("""COMPUTED_VALUE"""),4626724418)</f>
        <v>4626724418</v>
      </c>
      <c r="Z634" s="11"/>
    </row>
    <row r="635" customHeight="1" spans="1:26">
      <c r="A635" s="11" t="str">
        <f>IFERROR(__xludf.DUMMYFUNCTION("""COMPUTED_VALUE"""),"MARIA DE FATIMA PEDROSA DA SILVA")</f>
        <v>MARIA DE FATIMA PEDROSA DA SILVA</v>
      </c>
      <c r="B635" s="11"/>
      <c r="C635" s="11"/>
      <c r="D635" s="11" t="str">
        <f>IFERROR(__xludf.DUMMYFUNCTION("""COMPUTED_VALUE"""),"Médica eSF")</f>
        <v>Médica eSF</v>
      </c>
      <c r="E635" s="11" t="str">
        <f>IFERROR(__xludf.DUMMYFUNCTION("""COMPUTED_VALUE"""),"VIII")</f>
        <v>VIII</v>
      </c>
      <c r="F635" s="11" t="str">
        <f>IFERROR(__xludf.DUMMYFUNCTION("""COMPUTED_VALUE"""),"US_299 USF JORDAO BAIXO")</f>
        <v>US_299 USF JORDAO BAIXO</v>
      </c>
      <c r="G635" s="11" t="str">
        <f>IFERROR(__xludf.DUMMYFUNCTION("""COMPUTED_VALUE"""),"US 299 USF JORDAO BAIXO")</f>
        <v>US 299 USF JORDAO BAIXO</v>
      </c>
      <c r="H635" s="27">
        <f>IFERROR(__xludf.DUMMYFUNCTION("""COMPUTED_VALUE"""),81999773984)</f>
        <v>81999773984</v>
      </c>
      <c r="I635" s="11"/>
      <c r="J635" s="11"/>
      <c r="K635" s="11"/>
      <c r="L635" s="11"/>
      <c r="M635" s="28" t="str">
        <f>IFERROR(__xludf.DUMMYFUNCTION("""COMPUTED_VALUE"""),"3355-3407")</f>
        <v>3355-3407</v>
      </c>
      <c r="N635" s="11" t="str">
        <f>IFERROR(__xludf.DUMMYFUNCTION("""COMPUTED_VALUE"""),"mfpedrosabarros@yahoo.com.br")</f>
        <v>mfpedrosabarros@yahoo.com.br</v>
      </c>
      <c r="O635" s="29">
        <f>IFERROR(__xludf.DUMMYFUNCTION("""COMPUTED_VALUE"""),17953766434)</f>
        <v>17953766434</v>
      </c>
      <c r="P635" s="30" t="str">
        <f>IFERROR(__xludf.DUMMYFUNCTION("""COMPUTED_VALUE"""),"206790357660000")</f>
        <v>206790357660000</v>
      </c>
      <c r="Q635" s="30" t="str">
        <f>IFERROR(__xludf.DUMMYFUNCTION("""COMPUTED_VALUE"""),"3153479")</f>
        <v>3153479</v>
      </c>
      <c r="R635" s="30" t="str">
        <f>IFERROR(__xludf.DUMMYFUNCTION("""COMPUTED_VALUE"""),"0000155101")</f>
        <v>0000155101</v>
      </c>
      <c r="S635" s="30" t="str">
        <f>IFERROR(__xludf.DUMMYFUNCTION("""COMPUTED_VALUE"""),"1")</f>
        <v>1</v>
      </c>
      <c r="T635" s="30" t="str">
        <f>IFERROR(__xludf.DUMMYFUNCTION("""COMPUTED_VALUE"""),"225142")</f>
        <v>225142</v>
      </c>
      <c r="U635" s="31" t="str">
        <f>IFERROR(__xludf.DUMMYFUNCTION("""COMPUTED_VALUE"""),"2251")</f>
        <v>2251</v>
      </c>
      <c r="V635" s="11"/>
      <c r="W635" s="11"/>
      <c r="X635" s="11">
        <f>IFERROR(__xludf.DUMMYFUNCTION("""COMPUTED_VALUE"""),81999773984)</f>
        <v>81999773984</v>
      </c>
      <c r="Y635" s="11">
        <f>IFERROR(__xludf.DUMMYFUNCTION("""COMPUTED_VALUE"""),81986155204)</f>
        <v>81986155204</v>
      </c>
      <c r="Z635" s="11">
        <f>IFERROR(__xludf.DUMMYFUNCTION("""COMPUTED_VALUE"""),17953766434)</f>
        <v>17953766434</v>
      </c>
    </row>
    <row r="636" customHeight="1" spans="1:26">
      <c r="A636" s="11" t="str">
        <f>IFERROR(__xludf.DUMMYFUNCTION("""COMPUTED_VALUE"""),"SOLANGE DE FATIMA GOMES")</f>
        <v>SOLANGE DE FATIMA GOMES</v>
      </c>
      <c r="B636" s="11" t="str">
        <f>IFERROR(__xludf.DUMMYFUNCTION("""COMPUTED_VALUE"""),"14h nas quartas ")</f>
        <v>14h nas quartas </v>
      </c>
      <c r="C636" s="11"/>
      <c r="D636" s="11" t="str">
        <f>IFERROR(__xludf.DUMMYFUNCTION("""COMPUTED_VALUE"""),"Enfermeira eSF")</f>
        <v>Enfermeira eSF</v>
      </c>
      <c r="E636" s="11" t="str">
        <f>IFERROR(__xludf.DUMMYFUNCTION("""COMPUTED_VALUE"""),"VIII")</f>
        <v>VIII</v>
      </c>
      <c r="F636" s="11" t="str">
        <f>IFERROR(__xludf.DUMMYFUNCTION("""COMPUTED_VALUE"""),"US_153 POLICLINICA E MATERNIDADE ARNALDO MARQUES")</f>
        <v>US_153 POLICLINICA E MATERNIDADE ARNALDO MARQUES</v>
      </c>
      <c r="G636" s="11" t="str">
        <f>IFERROR(__xludf.DUMMYFUNCTION("""COMPUTED_VALUE"""),"US 228 USF UPINHA DIA DES JOSE MANOEL DE FREITAS UR 4UR 5")</f>
        <v>US 228 USF UPINHA DIA DES JOSE MANOEL DE FREITAS UR 4UR 5</v>
      </c>
      <c r="H636" s="27">
        <f>IFERROR(__xludf.DUMMYFUNCTION("""COMPUTED_VALUE"""),81999101283)</f>
        <v>81999101283</v>
      </c>
      <c r="I636" s="27">
        <f>IFERROR(__xludf.DUMMYFUNCTION("""COMPUTED_VALUE"""),81988883284)</f>
        <v>81988883284</v>
      </c>
      <c r="J636" s="11"/>
      <c r="K636" s="11"/>
      <c r="L636" s="11"/>
      <c r="M636" s="28" t="str">
        <f>IFERROR(__xludf.DUMMYFUNCTION("""COMPUTED_VALUE"""),"3355-6166")</f>
        <v>3355-6166</v>
      </c>
      <c r="N636" s="11" t="str">
        <f>IFERROR(__xludf.DUMMYFUNCTION("""COMPUTED_VALUE"""),"solange_enfermeira2008@hotmail.com")</f>
        <v>solange_enfermeira2008@hotmail.com</v>
      </c>
      <c r="O636" s="29">
        <f>IFERROR(__xludf.DUMMYFUNCTION("""COMPUTED_VALUE"""),52076741453)</f>
        <v>52076741453</v>
      </c>
      <c r="P636" s="30" t="str">
        <f>IFERROR(__xludf.DUMMYFUNCTION("""COMPUTED_VALUE"""),"123662301350002")</f>
        <v>123662301350002</v>
      </c>
      <c r="Q636" s="30" t="str">
        <f>IFERROR(__xludf.DUMMYFUNCTION("""COMPUTED_VALUE"""),"0022454")</f>
        <v>0022454</v>
      </c>
      <c r="R636" s="30" t="str">
        <f>IFERROR(__xludf.DUMMYFUNCTION("""COMPUTED_VALUE"""),"0000154016")</f>
        <v>0000154016</v>
      </c>
      <c r="S636" s="30" t="str">
        <f>IFERROR(__xludf.DUMMYFUNCTION("""COMPUTED_VALUE"""),"1")</f>
        <v>1</v>
      </c>
      <c r="T636" s="30" t="str">
        <f>IFERROR(__xludf.DUMMYFUNCTION("""COMPUTED_VALUE"""),"223565")</f>
        <v>223565</v>
      </c>
      <c r="U636" s="31" t="str">
        <f>IFERROR(__xludf.DUMMYFUNCTION("""COMPUTED_VALUE"""),"2235")</f>
        <v>2235</v>
      </c>
      <c r="V636" s="11"/>
      <c r="W636" s="11">
        <f>IFERROR(__xludf.DUMMYFUNCTION("""COMPUTED_VALUE"""),88883284)</f>
        <v>88883284</v>
      </c>
      <c r="X636" s="11">
        <f>IFERROR(__xludf.DUMMYFUNCTION("""COMPUTED_VALUE"""),99101283)</f>
        <v>99101283</v>
      </c>
      <c r="Y636" s="11">
        <f>IFERROR(__xludf.DUMMYFUNCTION("""COMPUTED_VALUE"""),52076741453)</f>
        <v>52076741453</v>
      </c>
      <c r="Z636" s="11"/>
    </row>
    <row r="637" customHeight="1" spans="1:26">
      <c r="A637" s="11" t="str">
        <f>IFERROR(__xludf.DUMMYFUNCTION("""COMPUTED_VALUE"""),"ISABELLE MARIA DE CASTRO GUERRA")</f>
        <v>ISABELLE MARIA DE CASTRO GUERRA</v>
      </c>
      <c r="B637" s="11" t="str">
        <f>IFERROR(__xludf.DUMMYFUNCTION("""COMPUTED_VALUE"""),"NÃO PODE NA QUARTA À TARDE")</f>
        <v>NÃO PODE NA QUARTA À TARDE</v>
      </c>
      <c r="C637" s="11"/>
      <c r="D637" s="11" t="str">
        <f>IFERROR(__xludf.DUMMYFUNCTION("""COMPUTED_VALUE"""),"Médica eSF")</f>
        <v>Médica eSF</v>
      </c>
      <c r="E637" s="11" t="str">
        <f>IFERROR(__xludf.DUMMYFUNCTION("""COMPUTED_VALUE"""),"VIII")</f>
        <v>VIII</v>
      </c>
      <c r="F637" s="11" t="str">
        <f>IFERROR(__xludf.DUMMYFUNCTION("""COMPUTED_VALUE"""),"US_299 USF JORDAO BAIXO")</f>
        <v>US_299 USF JORDAO BAIXO</v>
      </c>
      <c r="G637" s="11" t="str">
        <f>IFERROR(__xludf.DUMMYFUNCTION("""COMPUTED_VALUE"""),"US 299 USF JORDAO BAIXO")</f>
        <v>US 299 USF JORDAO BAIXO</v>
      </c>
      <c r="H637" s="27">
        <f>IFERROR(__xludf.DUMMYFUNCTION("""COMPUTED_VALUE"""),81991141711)</f>
        <v>81991141711</v>
      </c>
      <c r="I637" s="11"/>
      <c r="J637" s="11"/>
      <c r="K637" s="11"/>
      <c r="L637" s="11"/>
      <c r="M637" s="28" t="str">
        <f>IFERROR(__xludf.DUMMYFUNCTION("""COMPUTED_VALUE"""),"3355-3407")</f>
        <v>3355-3407</v>
      </c>
      <c r="N637" s="11" t="str">
        <f>IFERROR(__xludf.DUMMYFUNCTION("""COMPUTED_VALUE"""),"isabelleguerra@oi.com.br")</f>
        <v>isabelleguerra@oi.com.br</v>
      </c>
      <c r="O637" s="29">
        <f>IFERROR(__xludf.DUMMYFUNCTION("""COMPUTED_VALUE"""),63197065468)</f>
        <v>63197065468</v>
      </c>
      <c r="P637" s="30" t="str">
        <f>IFERROR(__xludf.DUMMYFUNCTION("""COMPUTED_VALUE"""),"126027924560009")</f>
        <v>126027924560009</v>
      </c>
      <c r="Q637" s="30" t="str">
        <f>IFERROR(__xludf.DUMMYFUNCTION("""COMPUTED_VALUE"""),"3153479")</f>
        <v>3153479</v>
      </c>
      <c r="R637" s="30" t="str">
        <f>IFERROR(__xludf.DUMMYFUNCTION("""COMPUTED_VALUE"""),"0000155136")</f>
        <v>0000155136</v>
      </c>
      <c r="S637" s="30" t="str">
        <f>IFERROR(__xludf.DUMMYFUNCTION("""COMPUTED_VALUE"""),"1")</f>
        <v>1</v>
      </c>
      <c r="T637" s="30" t="str">
        <f>IFERROR(__xludf.DUMMYFUNCTION("""COMPUTED_VALUE"""),"225142")</f>
        <v>225142</v>
      </c>
      <c r="U637" s="31" t="str">
        <f>IFERROR(__xludf.DUMMYFUNCTION("""COMPUTED_VALUE"""),"2251")</f>
        <v>2251</v>
      </c>
      <c r="V637" s="11"/>
      <c r="W637" s="11"/>
      <c r="X637" s="11" t="str">
        <f>IFERROR(__xludf.DUMMYFUNCTION("""COMPUTED_VALUE"""),"#N/A")</f>
        <v>#N/A</v>
      </c>
      <c r="Y637" s="11" t="str">
        <f>IFERROR(__xludf.DUMMYFUNCTION("""COMPUTED_VALUE"""),"#N/A")</f>
        <v>#N/A</v>
      </c>
      <c r="Z637" s="11" t="str">
        <f>IFERROR(__xludf.DUMMYFUNCTION("""COMPUTED_VALUE"""),"#N/A")</f>
        <v>#N/A</v>
      </c>
    </row>
    <row r="638" customHeight="1" spans="1:26">
      <c r="A638" s="11" t="str">
        <f>IFERROR(__xludf.DUMMYFUNCTION("""COMPUTED_VALUE"""),"ANA CRISTINA BORGES BIVAR")</f>
        <v>ANA CRISTINA BORGES BIVAR</v>
      </c>
      <c r="B638" s="11"/>
      <c r="C638" s="11"/>
      <c r="D638" s="11" t="str">
        <f>IFERROR(__xludf.DUMMYFUNCTION("""COMPUTED_VALUE"""),"Enfermeira eSF")</f>
        <v>Enfermeira eSF</v>
      </c>
      <c r="E638" s="11" t="str">
        <f>IFERROR(__xludf.DUMMYFUNCTION("""COMPUTED_VALUE"""),"VI")</f>
        <v>VI</v>
      </c>
      <c r="F638" s="11" t="str">
        <f>IFERROR(__xludf.DUMMYFUNCTION("""COMPUTED_VALUE"""),"US_269 USF BEIRA DO RIO COMUNIDADE BOA VIAGEM")</f>
        <v>US_269 USF BEIRA DO RIO COMUNIDADE BOA VIAGEM</v>
      </c>
      <c r="G638" s="11" t="str">
        <f>IFERROR(__xludf.DUMMYFUNCTION("""COMPUTED_VALUE"""),"US 269 USF BEIRA DO RIO COMUNIDADE BOA VIAGEM")</f>
        <v>US 269 USF BEIRA DO RIO COMUNIDADE BOA VIAGEM</v>
      </c>
      <c r="H638" s="27">
        <f>IFERROR(__xludf.DUMMYFUNCTION("""COMPUTED_VALUE"""),81988998696)</f>
        <v>81988998696</v>
      </c>
      <c r="I638" s="11"/>
      <c r="J638" s="11"/>
      <c r="K638" s="11"/>
      <c r="L638" s="11"/>
      <c r="M638" s="28" t="str">
        <f>IFERROR(__xludf.DUMMYFUNCTION("""COMPUTED_VALUE"""),"3355-6090")</f>
        <v>3355-6090</v>
      </c>
      <c r="N638" s="11" t="str">
        <f>IFERROR(__xludf.DUMMYFUNCTION("""COMPUTED_VALUE"""),"tinabivar@gmail.com")</f>
        <v>tinabivar@gmail.com</v>
      </c>
      <c r="O638" s="29">
        <f>IFERROR(__xludf.DUMMYFUNCTION("""COMPUTED_VALUE"""),76970485404)</f>
        <v>76970485404</v>
      </c>
      <c r="P638" s="30" t="str">
        <f>IFERROR(__xludf.DUMMYFUNCTION("""COMPUTED_VALUE"""),"123937440390005")</f>
        <v>123937440390005</v>
      </c>
      <c r="Q638" s="30" t="str">
        <f>IFERROR(__xludf.DUMMYFUNCTION("""COMPUTED_VALUE"""),"0026379")</f>
        <v>0026379</v>
      </c>
      <c r="R638" s="30" t="str">
        <f>IFERROR(__xludf.DUMMYFUNCTION("""COMPUTED_VALUE"""),"0000154369")</f>
        <v>0000154369</v>
      </c>
      <c r="S638" s="30" t="str">
        <f>IFERROR(__xludf.DUMMYFUNCTION("""COMPUTED_VALUE"""),"1")</f>
        <v>1</v>
      </c>
      <c r="T638" s="30" t="str">
        <f>IFERROR(__xludf.DUMMYFUNCTION("""COMPUTED_VALUE"""),"223565")</f>
        <v>223565</v>
      </c>
      <c r="U638" s="31" t="str">
        <f>IFERROR(__xludf.DUMMYFUNCTION("""COMPUTED_VALUE"""),"2235")</f>
        <v>2235</v>
      </c>
      <c r="V638" s="11"/>
      <c r="W638" s="11">
        <f>IFERROR(__xludf.DUMMYFUNCTION("""COMPUTED_VALUE"""),34792248)</f>
        <v>34792248</v>
      </c>
      <c r="X638" s="11">
        <f>IFERROR(__xludf.DUMMYFUNCTION("""COMPUTED_VALUE"""),88998696)</f>
        <v>88998696</v>
      </c>
      <c r="Y638" s="11">
        <f>IFERROR(__xludf.DUMMYFUNCTION("""COMPUTED_VALUE"""),76970485404)</f>
        <v>76970485404</v>
      </c>
      <c r="Z638" s="11"/>
    </row>
    <row r="639" customHeight="1" spans="1:26">
      <c r="A639" s="11" t="str">
        <f>IFERROR(__xludf.DUMMYFUNCTION("""COMPUTED_VALUE"""),"HILVA VALERIA XAVIER DE OLIVEIRA")</f>
        <v>HILVA VALERIA XAVIER DE OLIVEIRA</v>
      </c>
      <c r="B639" s="11"/>
      <c r="C639" s="11"/>
      <c r="D639" s="11" t="str">
        <f>IFERROR(__xludf.DUMMYFUNCTION("""COMPUTED_VALUE"""),"Enfermeira eSF")</f>
        <v>Enfermeira eSF</v>
      </c>
      <c r="E639" s="11" t="str">
        <f>IFERROR(__xludf.DUMMYFUNCTION("""COMPUTED_VALUE"""),"VI")</f>
        <v>VI</v>
      </c>
      <c r="F639" s="11" t="str">
        <f>IFERROR(__xludf.DUMMYFUNCTION("""COMPUTED_VALUE"""),"US_297 USF DO PINA -  JOAO RODRIGUES")</f>
        <v>US_297 USF DO PINA -  JOAO RODRIGUES</v>
      </c>
      <c r="G639" s="11" t="str">
        <f>IFERROR(__xludf.DUMMYFUNCTION("""COMPUTED_VALUE"""),"US 297 USF DO PINA")</f>
        <v>US 297 USF DO PINA</v>
      </c>
      <c r="H639" s="27">
        <f>IFERROR(__xludf.DUMMYFUNCTION("""COMPUTED_VALUE"""),81987688720)</f>
        <v>81987688720</v>
      </c>
      <c r="I639" s="27">
        <f>IFERROR(__xludf.DUMMYFUNCTION("""COMPUTED_VALUE"""),81987739290)</f>
        <v>81987739290</v>
      </c>
      <c r="J639" s="11"/>
      <c r="K639" s="11"/>
      <c r="L639" s="11"/>
      <c r="M639" s="28" t="str">
        <f>IFERROR(__xludf.DUMMYFUNCTION("""COMPUTED_VALUE"""),"3355-4686")</f>
        <v>3355-4686</v>
      </c>
      <c r="N639" s="11" t="str">
        <f>IFERROR(__xludf.DUMMYFUNCTION("""COMPUTED_VALUE"""),"hilvavaleria@hotmail.com")</f>
        <v>hilvavaleria@hotmail.com</v>
      </c>
      <c r="O639" s="29">
        <f>IFERROR(__xludf.DUMMYFUNCTION("""COMPUTED_VALUE"""),62018140434)</f>
        <v>62018140434</v>
      </c>
      <c r="P639" s="30" t="str">
        <f>IFERROR(__xludf.DUMMYFUNCTION("""COMPUTED_VALUE"""),"980016004544405")</f>
        <v>980016004544405</v>
      </c>
      <c r="Q639" s="30" t="str">
        <f>IFERROR(__xludf.DUMMYFUNCTION("""COMPUTED_VALUE"""),"3153568")</f>
        <v>3153568</v>
      </c>
      <c r="R639" s="30" t="str">
        <f>IFERROR(__xludf.DUMMYFUNCTION("""COMPUTED_VALUE"""),"0000155187")</f>
        <v>0000155187</v>
      </c>
      <c r="S639" s="30" t="str">
        <f>IFERROR(__xludf.DUMMYFUNCTION("""COMPUTED_VALUE"""),"1")</f>
        <v>1</v>
      </c>
      <c r="T639" s="30" t="str">
        <f>IFERROR(__xludf.DUMMYFUNCTION("""COMPUTED_VALUE"""),"223565")</f>
        <v>223565</v>
      </c>
      <c r="U639" s="31" t="str">
        <f>IFERROR(__xludf.DUMMYFUNCTION("""COMPUTED_VALUE"""),"2235")</f>
        <v>2235</v>
      </c>
      <c r="V639" s="11"/>
      <c r="W639" s="11">
        <f>IFERROR(__xludf.DUMMYFUNCTION("""COMPUTED_VALUE"""),87739290)</f>
        <v>87739290</v>
      </c>
      <c r="X639" s="11">
        <f>IFERROR(__xludf.DUMMYFUNCTION("""COMPUTED_VALUE"""),91749137)</f>
        <v>91749137</v>
      </c>
      <c r="Y639" s="11">
        <f>IFERROR(__xludf.DUMMYFUNCTION("""COMPUTED_VALUE"""),62018140434)</f>
        <v>62018140434</v>
      </c>
      <c r="Z639" s="11"/>
    </row>
    <row r="640" customHeight="1" spans="1:26">
      <c r="A640" s="11" t="str">
        <f>IFERROR(__xludf.DUMMYFUNCTION("""COMPUTED_VALUE"""),"GLEDSANGELA RIBEIRO CARNEIRO")</f>
        <v>GLEDSANGELA RIBEIRO CARNEIRO</v>
      </c>
      <c r="B640" s="11"/>
      <c r="C640" s="11"/>
      <c r="D640" s="11" t="str">
        <f>IFERROR(__xludf.DUMMYFUNCTION("""COMPUTED_VALUE"""),"Enfermeira eSF")</f>
        <v>Enfermeira eSF</v>
      </c>
      <c r="E640" s="11" t="str">
        <f>IFERROR(__xludf.DUMMYFUNCTION("""COMPUTED_VALUE"""),"VIII")</f>
        <v>VIII</v>
      </c>
      <c r="F640" s="11" t="str">
        <f>IFERROR(__xludf.DUMMYFUNCTION("""COMPUTED_VALUE"""),"US_289 USF JOSUE DE CASTRO")</f>
        <v>US_289 USF JOSUE DE CASTRO</v>
      </c>
      <c r="G640" s="11" t="str">
        <f>IFERROR(__xludf.DUMMYFUNCTION("""COMPUTED_VALUE"""),"US 289 USF JOSUE DE CASTRO")</f>
        <v>US 289 USF JOSUE DE CASTRO</v>
      </c>
      <c r="H640" s="27">
        <f>IFERROR(__xludf.DUMMYFUNCTION("""COMPUTED_VALUE"""),81985328811)</f>
        <v>81985328811</v>
      </c>
      <c r="I640" s="11"/>
      <c r="J640" s="11"/>
      <c r="K640" s="11"/>
      <c r="L640" s="11"/>
      <c r="M640" s="28" t="str">
        <f>IFERROR(__xludf.DUMMYFUNCTION("""COMPUTED_VALUE"""),"3355-3037")</f>
        <v>3355-3037</v>
      </c>
      <c r="N640" s="11" t="str">
        <f>IFERROR(__xludf.DUMMYFUNCTION("""COMPUTED_VALUE"""),"gleds_r1@hotmail.com")</f>
        <v>gleds_r1@hotmail.com</v>
      </c>
      <c r="O640" s="29">
        <f>IFERROR(__xludf.DUMMYFUNCTION("""COMPUTED_VALUE"""),2593677457)</f>
        <v>2593677457</v>
      </c>
      <c r="P640" s="30" t="str">
        <f>IFERROR(__xludf.DUMMYFUNCTION("""COMPUTED_VALUE"""),"204324441860008")</f>
        <v>204324441860008</v>
      </c>
      <c r="Q640" s="30" t="str">
        <f>IFERROR(__xludf.DUMMYFUNCTION("""COMPUTED_VALUE"""),"2752824")</f>
        <v>2752824</v>
      </c>
      <c r="R640" s="30" t="str">
        <f>IFERROR(__xludf.DUMMYFUNCTION("""COMPUTED_VALUE"""),"0000154881")</f>
        <v>0000154881</v>
      </c>
      <c r="S640" s="30" t="str">
        <f>IFERROR(__xludf.DUMMYFUNCTION("""COMPUTED_VALUE"""),"1")</f>
        <v>1</v>
      </c>
      <c r="T640" s="30" t="str">
        <f>IFERROR(__xludf.DUMMYFUNCTION("""COMPUTED_VALUE"""),"223565")</f>
        <v>223565</v>
      </c>
      <c r="U640" s="31" t="str">
        <f>IFERROR(__xludf.DUMMYFUNCTION("""COMPUTED_VALUE"""),"2235")</f>
        <v>2235</v>
      </c>
      <c r="V640" s="11"/>
      <c r="W640" s="11" t="str">
        <f>IFERROR(__xludf.DUMMYFUNCTION("""COMPUTED_VALUE"""),"81 85328811")</f>
        <v>81 85328811</v>
      </c>
      <c r="X640" s="11" t="str">
        <f>IFERROR(__xludf.DUMMYFUNCTION("""COMPUTED_VALUE"""),"81 96063230")</f>
        <v>81 96063230</v>
      </c>
      <c r="Y640" s="11">
        <f>IFERROR(__xludf.DUMMYFUNCTION("""COMPUTED_VALUE"""),2593677457)</f>
        <v>2593677457</v>
      </c>
      <c r="Z640" s="11"/>
    </row>
    <row r="641" customHeight="1" spans="1:26">
      <c r="A641" s="11" t="str">
        <f>IFERROR(__xludf.DUMMYFUNCTION("""COMPUTED_VALUE"""),"DANIELLE ARAUJO DE ALBUQUERQUE")</f>
        <v>DANIELLE ARAUJO DE ALBUQUERQUE</v>
      </c>
      <c r="B641" s="11"/>
      <c r="C641" s="11"/>
      <c r="D641" s="11" t="str">
        <f>IFERROR(__xludf.DUMMYFUNCTION("""COMPUTED_VALUE"""),"Enfermeira eSF")</f>
        <v>Enfermeira eSF</v>
      </c>
      <c r="E641" s="11" t="str">
        <f>IFERROR(__xludf.DUMMYFUNCTION("""COMPUTED_VALUE"""),"VII")</f>
        <v>VII</v>
      </c>
      <c r="F641" s="11" t="str">
        <f>IFERROR(__xludf.DUMMYFUNCTION("""COMPUTED_VALUE"""),"US_175 USF ALTO DA BRASILEIRA / DIOGENES CAVALCANTI / RESERVATORIO")</f>
        <v>US_175 USF ALTO DA BRASILEIRA / DIOGENES CAVALCANTI / RESERVATORIO</v>
      </c>
      <c r="G641" s="11" t="str">
        <f>IFERROR(__xludf.DUMMYFUNCTION("""COMPUTED_VALUE"""),"US 175 USF DR DIOGENES CAVALCANTI")</f>
        <v>US 175 USF DR DIOGENES CAVALCANTI</v>
      </c>
      <c r="H641" s="27">
        <f>IFERROR(__xludf.DUMMYFUNCTION("""COMPUTED_VALUE"""),81988475959)</f>
        <v>81988475959</v>
      </c>
      <c r="I641" s="11"/>
      <c r="J641" s="11"/>
      <c r="K641" s="11"/>
      <c r="L641" s="11"/>
      <c r="M641" s="28" t="str">
        <f>IFERROR(__xludf.DUMMYFUNCTION("""COMPUTED_VALUE"""),"3355-6402")</f>
        <v>3355-6402</v>
      </c>
      <c r="N641" s="11" t="str">
        <f>IFERROR(__xludf.DUMMYFUNCTION("""COMPUTED_VALUE"""),"danialbuquerque2005@ig.com.br")</f>
        <v>danialbuquerque2005@ig.com.br</v>
      </c>
      <c r="O641" s="29">
        <f>IFERROR(__xludf.DUMMYFUNCTION("""COMPUTED_VALUE"""),3415002403)</f>
        <v>3415002403</v>
      </c>
      <c r="P641" s="30" t="str">
        <f>IFERROR(__xludf.DUMMYFUNCTION("""COMPUTED_VALUE"""),"980016280330112")</f>
        <v>980016280330112</v>
      </c>
      <c r="Q641" s="30" t="str">
        <f>IFERROR(__xludf.DUMMYFUNCTION("""COMPUTED_VALUE"""),"0001244")</f>
        <v>0001244</v>
      </c>
      <c r="R641" s="30" t="str">
        <f>IFERROR(__xludf.DUMMYFUNCTION("""COMPUTED_VALUE"""),"0000153141")</f>
        <v>0000153141</v>
      </c>
      <c r="S641" s="30" t="str">
        <f>IFERROR(__xludf.DUMMYFUNCTION("""COMPUTED_VALUE"""),"1")</f>
        <v>1</v>
      </c>
      <c r="T641" s="30" t="str">
        <f>IFERROR(__xludf.DUMMYFUNCTION("""COMPUTED_VALUE"""),"223565")</f>
        <v>223565</v>
      </c>
      <c r="U641" s="31" t="str">
        <f>IFERROR(__xludf.DUMMYFUNCTION("""COMPUTED_VALUE"""),"2235")</f>
        <v>2235</v>
      </c>
      <c r="V641" s="11"/>
      <c r="W641" s="11">
        <f>IFERROR(__xludf.DUMMYFUNCTION("""COMPUTED_VALUE"""),8188475959)</f>
        <v>8188475959</v>
      </c>
      <c r="X641" s="11">
        <f>IFERROR(__xludf.DUMMYFUNCTION("""COMPUTED_VALUE"""),8134873900)</f>
        <v>8134873900</v>
      </c>
      <c r="Y641" s="11">
        <f>IFERROR(__xludf.DUMMYFUNCTION("""COMPUTED_VALUE"""),3415002403)</f>
        <v>3415002403</v>
      </c>
      <c r="Z641" s="11"/>
    </row>
    <row r="642" customHeight="1" spans="1:26">
      <c r="A642" s="11" t="str">
        <f>IFERROR(__xludf.DUMMYFUNCTION("""COMPUTED_VALUE"""),"ANA CLAUDIA FERNANDES NEVES")</f>
        <v>ANA CLAUDIA FERNANDES NEVES</v>
      </c>
      <c r="B642" s="11"/>
      <c r="C642" s="11"/>
      <c r="D642" s="11" t="str">
        <f>IFERROR(__xludf.DUMMYFUNCTION("""COMPUTED_VALUE"""),"Enfermeira eSF")</f>
        <v>Enfermeira eSF</v>
      </c>
      <c r="E642" s="11" t="str">
        <f>IFERROR(__xludf.DUMMYFUNCTION("""COMPUTED_VALUE"""),"VIII")</f>
        <v>VIII</v>
      </c>
      <c r="F642" s="11" t="str">
        <f>IFERROR(__xludf.DUMMYFUNCTION("""COMPUTED_VALUE"""),"US_154 USF UPINHA DIA RIO DA PRATA")</f>
        <v>US_154 USF UPINHA DIA RIO DA PRATA</v>
      </c>
      <c r="G642" s="11" t="str">
        <f>IFERROR(__xludf.DUMMYFUNCTION("""COMPUTED_VALUE"""),"US 154 USF UPINHA DIA RIO DA PRATA")</f>
        <v>US 154 USF UPINHA DIA RIO DA PRATA</v>
      </c>
      <c r="H642" s="27">
        <f>IFERROR(__xludf.DUMMYFUNCTION("""COMPUTED_VALUE"""),81988334592)</f>
        <v>81988334592</v>
      </c>
      <c r="I642" s="11"/>
      <c r="J642" s="11"/>
      <c r="K642" s="11"/>
      <c r="L642" s="11"/>
      <c r="M642" s="28" t="str">
        <f>IFERROR(__xludf.DUMMYFUNCTION("""COMPUTED_VALUE"""),"3355-6215 / 3338-7768")</f>
        <v>3355-6215 / 3338-7768</v>
      </c>
      <c r="N642" s="11" t="str">
        <f>IFERROR(__xludf.DUMMYFUNCTION("""COMPUTED_VALUE"""),"ana.claudia10@hotmail.com")</f>
        <v>ana.claudia10@hotmail.com</v>
      </c>
      <c r="O642" s="29">
        <f>IFERROR(__xludf.DUMMYFUNCTION("""COMPUTED_VALUE"""),59065958487)</f>
        <v>59065958487</v>
      </c>
      <c r="P642" s="30" t="str">
        <f>IFERROR(__xludf.DUMMYFUNCTION("""COMPUTED_VALUE"""),"122342447400009")</f>
        <v>122342447400009</v>
      </c>
      <c r="Q642" s="30" t="str">
        <f>IFERROR(__xludf.DUMMYFUNCTION("""COMPUTED_VALUE"""),"3639827")</f>
        <v>3639827</v>
      </c>
      <c r="R642" s="30" t="str">
        <f>IFERROR(__xludf.DUMMYFUNCTION("""COMPUTED_VALUE"""),"0000155667")</f>
        <v>0000155667</v>
      </c>
      <c r="S642" s="30" t="str">
        <f>IFERROR(__xludf.DUMMYFUNCTION("""COMPUTED_VALUE"""),"1")</f>
        <v>1</v>
      </c>
      <c r="T642" s="30" t="str">
        <f>IFERROR(__xludf.DUMMYFUNCTION("""COMPUTED_VALUE"""),"223565")</f>
        <v>223565</v>
      </c>
      <c r="U642" s="31" t="str">
        <f>IFERROR(__xludf.DUMMYFUNCTION("""COMPUTED_VALUE"""),"2235")</f>
        <v>2235</v>
      </c>
      <c r="V642" s="11"/>
      <c r="W642" s="11">
        <f>IFERROR(__xludf.DUMMYFUNCTION("""COMPUTED_VALUE"""),8134874592)</f>
        <v>8134874592</v>
      </c>
      <c r="X642" s="11">
        <f>IFERROR(__xludf.DUMMYFUNCTION("""COMPUTED_VALUE"""),8189334592)</f>
        <v>8189334592</v>
      </c>
      <c r="Y642" s="11">
        <f>IFERROR(__xludf.DUMMYFUNCTION("""COMPUTED_VALUE"""),59065958487)</f>
        <v>59065958487</v>
      </c>
      <c r="Z642" s="11"/>
    </row>
    <row r="643" customHeight="1" spans="1:26">
      <c r="A643" s="11" t="str">
        <f>IFERROR(__xludf.DUMMYFUNCTION("""COMPUTED_VALUE"""),"ANA PAULA MACEDO DE SOUZA")</f>
        <v>ANA PAULA MACEDO DE SOUZA</v>
      </c>
      <c r="B643" s="11"/>
      <c r="C643" s="11"/>
      <c r="D643" s="11" t="str">
        <f>IFERROR(__xludf.DUMMYFUNCTION("""COMPUTED_VALUE"""),"Enfermeira eSF")</f>
        <v>Enfermeira eSF</v>
      </c>
      <c r="E643" s="11" t="str">
        <f>IFERROR(__xludf.DUMMYFUNCTION("""COMPUTED_VALUE"""),"VI")</f>
        <v>VI</v>
      </c>
      <c r="F643" s="11" t="str">
        <f>IFERROR(__xludf.DUMMYFUNCTION("""COMPUTED_VALUE"""),"PACS PINA II")</f>
        <v>PACS PINA II</v>
      </c>
      <c r="G643" s="11" t="str">
        <f>IFERROR(__xludf.DUMMYFUNCTION("""COMPUTED_VALUE"""),"US 119 CS PROF JOSE CARNEIRO LEAO")</f>
        <v>US 119 CS PROF JOSE CARNEIRO LEAO</v>
      </c>
      <c r="H643" s="27">
        <f>IFERROR(__xludf.DUMMYFUNCTION("""COMPUTED_VALUE"""),81999366179)</f>
        <v>81999366179</v>
      </c>
      <c r="I643" s="11"/>
      <c r="J643" s="11"/>
      <c r="K643" s="11"/>
      <c r="L643" s="11"/>
      <c r="M643" s="28" t="str">
        <f>IFERROR(__xludf.DUMMYFUNCTION("""COMPUTED_VALUE"""),"3355-4428")</f>
        <v>3355-4428</v>
      </c>
      <c r="N643" s="11" t="str">
        <f>IFERROR(__xludf.DUMMYFUNCTION("""COMPUTED_VALUE"""),"anemacedo@msn.com")</f>
        <v>anemacedo@msn.com</v>
      </c>
      <c r="O643" s="29">
        <f>IFERROR(__xludf.DUMMYFUNCTION("""COMPUTED_VALUE"""),2136670450)</f>
        <v>2136670450</v>
      </c>
      <c r="P643" s="30" t="str">
        <f>IFERROR(__xludf.DUMMYFUNCTION("""COMPUTED_VALUE"""),"980016005162328")</f>
        <v>980016005162328</v>
      </c>
      <c r="Q643" s="30" t="str">
        <f>IFERROR(__xludf.DUMMYFUNCTION("""COMPUTED_VALUE"""),"0000752")</f>
        <v>0000752</v>
      </c>
      <c r="R643" s="30" t="str">
        <f>IFERROR(__xludf.DUMMYFUNCTION("""COMPUTED_VALUE"""),"0000152447")</f>
        <v>0000152447</v>
      </c>
      <c r="S643" s="30" t="str">
        <f>IFERROR(__xludf.DUMMYFUNCTION("""COMPUTED_VALUE"""),"1")</f>
        <v>1</v>
      </c>
      <c r="T643" s="30" t="str">
        <f>IFERROR(__xludf.DUMMYFUNCTION("""COMPUTED_VALUE"""),"223565")</f>
        <v>223565</v>
      </c>
      <c r="U643" s="31" t="str">
        <f>IFERROR(__xludf.DUMMYFUNCTION("""COMPUTED_VALUE"""),"2235")</f>
        <v>2235</v>
      </c>
      <c r="V643" s="11"/>
      <c r="W643" s="11">
        <f>IFERROR(__xludf.DUMMYFUNCTION("""COMPUTED_VALUE"""),99366179)</f>
        <v>99366179</v>
      </c>
      <c r="X643" s="11"/>
      <c r="Y643" s="11">
        <f>IFERROR(__xludf.DUMMYFUNCTION("""COMPUTED_VALUE"""),2136670450)</f>
        <v>2136670450</v>
      </c>
      <c r="Z643" s="11"/>
    </row>
    <row r="644" customHeight="1" spans="1:26">
      <c r="A644" s="11" t="str">
        <f>IFERROR(__xludf.DUMMYFUNCTION("""COMPUTED_VALUE"""),"MARIA DA SOLEDADE BIONE LUNDGREN MORAES")</f>
        <v>MARIA DA SOLEDADE BIONE LUNDGREN MORAES</v>
      </c>
      <c r="B644" s="11"/>
      <c r="C644" s="11"/>
      <c r="D644" s="11" t="str">
        <f>IFERROR(__xludf.DUMMYFUNCTION("""COMPUTED_VALUE"""),"Médica eSF")</f>
        <v>Médica eSF</v>
      </c>
      <c r="E644" s="11" t="str">
        <f>IFERROR(__xludf.DUMMYFUNCTION("""COMPUTED_VALUE"""),"II")</f>
        <v>II</v>
      </c>
      <c r="F644" s="11" t="str">
        <f>IFERROR(__xludf.DUMMYFUNCTION("""COMPUTED_VALUE"""),"US_302 USF BYRON SARINHO	")</f>
        <v>US_302 USF BYRON SARINHO	</v>
      </c>
      <c r="G644" s="11" t="str">
        <f>IFERROR(__xludf.DUMMYFUNCTION("""COMPUTED_VALUE"""),"US 302 USF BYRON SARINHO")</f>
        <v>US 302 USF BYRON SARINHO</v>
      </c>
      <c r="H644" s="27">
        <f>IFERROR(__xludf.DUMMYFUNCTION("""COMPUTED_VALUE"""),81986020942)</f>
        <v>81986020942</v>
      </c>
      <c r="I644" s="11"/>
      <c r="J644" s="11"/>
      <c r="K644" s="11"/>
      <c r="L644" s="11"/>
      <c r="M644" s="28" t="str">
        <f>IFERROR(__xludf.DUMMYFUNCTION("""COMPUTED_VALUE"""),"3355-6511")</f>
        <v>3355-6511</v>
      </c>
      <c r="N644" s="11" t="str">
        <f>IFERROR(__xludf.DUMMYFUNCTION("""COMPUTED_VALUE"""),"soledadebione@hotmail.com")</f>
        <v>soledadebione@hotmail.com</v>
      </c>
      <c r="O644" s="29">
        <f>IFERROR(__xludf.DUMMYFUNCTION("""COMPUTED_VALUE"""),69505845472)</f>
        <v>69505845472</v>
      </c>
      <c r="P644" s="30" t="str">
        <f>IFERROR(__xludf.DUMMYFUNCTION("""COMPUTED_VALUE"""),"204324233910006")</f>
        <v>204324233910006</v>
      </c>
      <c r="Q644" s="30" t="str">
        <f>IFERROR(__xludf.DUMMYFUNCTION("""COMPUTED_VALUE"""),"3301974")</f>
        <v>3301974</v>
      </c>
      <c r="R644" s="30" t="str">
        <f>IFERROR(__xludf.DUMMYFUNCTION("""COMPUTED_VALUE"""),"0001465201")</f>
        <v>0001465201</v>
      </c>
      <c r="S644" s="30" t="str">
        <f>IFERROR(__xludf.DUMMYFUNCTION("""COMPUTED_VALUE"""),"1")</f>
        <v>1</v>
      </c>
      <c r="T644" s="30" t="str">
        <f>IFERROR(__xludf.DUMMYFUNCTION("""COMPUTED_VALUE"""),"225142")</f>
        <v>225142</v>
      </c>
      <c r="U644" s="11">
        <f>IFERROR(__xludf.DUMMYFUNCTION("""COMPUTED_VALUE"""),2251)</f>
        <v>2251</v>
      </c>
      <c r="V644" s="11"/>
      <c r="W644" s="11"/>
      <c r="X644" s="11" t="str">
        <f>IFERROR(__xludf.DUMMYFUNCTION("""COMPUTED_VALUE"""),"81 86020942")</f>
        <v>81 86020942</v>
      </c>
      <c r="Y644" s="11" t="str">
        <f>IFERROR(__xludf.DUMMYFUNCTION("""COMPUTED_VALUE"""),"81 34921880")</f>
        <v>81 34921880</v>
      </c>
      <c r="Z644" s="11">
        <f>IFERROR(__xludf.DUMMYFUNCTION("""COMPUTED_VALUE"""),69505845472)</f>
        <v>69505845472</v>
      </c>
    </row>
    <row r="645" customHeight="1" spans="1:26">
      <c r="A645" s="11" t="str">
        <f>IFERROR(__xludf.DUMMYFUNCTION("""COMPUTED_VALUE"""),"PATRICIA KARLA G. DE A.MANSUR")</f>
        <v>PATRICIA KARLA G. DE A.MANSUR</v>
      </c>
      <c r="B645" s="11"/>
      <c r="C645" s="11"/>
      <c r="D645" s="11" t="str">
        <f>IFERROR(__xludf.DUMMYFUNCTION("""COMPUTED_VALUE"""),"Dentista")</f>
        <v>Dentista</v>
      </c>
      <c r="E645" s="11" t="str">
        <f>IFERROR(__xludf.DUMMYFUNCTION("""COMPUTED_VALUE"""),"VII")</f>
        <v>VII</v>
      </c>
      <c r="F645" s="11" t="str">
        <f>IFERROR(__xludf.DUMMYFUNCTION("""COMPUTED_VALUE"""),"US_152 CS INA ROSA BORGES")</f>
        <v>US_152 CS INA ROSA BORGES</v>
      </c>
      <c r="G645" s="11" t="str">
        <f>IFERROR(__xludf.DUMMYFUNCTION("""COMPUTED_VALUE"""),"US 152 CS INA ROSA BORGES")</f>
        <v>US 152 CS INA ROSA BORGES</v>
      </c>
      <c r="H645" s="27">
        <f>IFERROR(__xludf.DUMMYFUNCTION("""COMPUTED_VALUE"""),81996819790)</f>
        <v>81996819790</v>
      </c>
      <c r="I645" s="11"/>
      <c r="J645" s="11"/>
      <c r="K645" s="11"/>
      <c r="L645" s="11"/>
      <c r="M645" s="28" t="str">
        <f>IFERROR(__xludf.DUMMYFUNCTION("""COMPUTED_VALUE"""),"3355-4408")</f>
        <v>3355-4408</v>
      </c>
      <c r="N645" s="11" t="str">
        <f>IFERROR(__xludf.DUMMYFUNCTION("""COMPUTED_VALUE"""),"patriciakarlam@gmail.com")</f>
        <v>patriciakarlam@gmail.com</v>
      </c>
      <c r="O645" s="29">
        <f>IFERROR(__xludf.DUMMYFUNCTION("""COMPUTED_VALUE"""),65300122491)</f>
        <v>65300122491</v>
      </c>
      <c r="P645" s="30" t="str">
        <f>IFERROR(__xludf.DUMMYFUNCTION("""COMPUTED_VALUE"""),"170553477320002")</f>
        <v>170553477320002</v>
      </c>
      <c r="Q645" s="30" t="str">
        <f>IFERROR(__xludf.DUMMYFUNCTION("""COMPUTED_VALUE"""),"0001236")</f>
        <v>0001236</v>
      </c>
      <c r="R645" s="30" t="str">
        <f>IFERROR(__xludf.DUMMYFUNCTION("""COMPUTED_VALUE"""),"9000123601")</f>
        <v>9000123601</v>
      </c>
      <c r="S645" s="30" t="str">
        <f>IFERROR(__xludf.DUMMYFUNCTION("""COMPUTED_VALUE"""),"1")</f>
        <v>1</v>
      </c>
      <c r="T645" s="30" t="str">
        <f>IFERROR(__xludf.DUMMYFUNCTION("""COMPUTED_VALUE"""),"223208 ")</f>
        <v>223208 </v>
      </c>
      <c r="U645" s="31">
        <f>IFERROR(__xludf.DUMMYFUNCTION("""COMPUTED_VALUE"""),2232)</f>
        <v>2232</v>
      </c>
      <c r="V645" s="11"/>
      <c r="W645" s="11"/>
      <c r="X645" s="11"/>
      <c r="Y645" s="11"/>
      <c r="Z645" s="11"/>
    </row>
    <row r="646" customHeight="1" spans="1:26">
      <c r="A646" s="11" t="str">
        <f>IFERROR(__xludf.DUMMYFUNCTION("""COMPUTED_VALUE"""),"EVELISE CABRAL DE BARROS")</f>
        <v>EVELISE CABRAL DE BARROS</v>
      </c>
      <c r="B646" s="11"/>
      <c r="C646" s="11"/>
      <c r="D646" s="11" t="str">
        <f>IFERROR(__xludf.DUMMYFUNCTION("""COMPUTED_VALUE"""),"Enfermeira eSF")</f>
        <v>Enfermeira eSF</v>
      </c>
      <c r="E646" s="11" t="str">
        <f>IFERROR(__xludf.DUMMYFUNCTION("""COMPUTED_VALUE"""),"II")</f>
        <v>II</v>
      </c>
      <c r="F646" s="11" t="str">
        <f>IFERROR(__xludf.DUMMYFUNCTION("""COMPUTED_VALUE"""),"US_138 USF DR LUIZ WILSOM")</f>
        <v>US_138 USF DR LUIZ WILSOM</v>
      </c>
      <c r="G646" s="11" t="str">
        <f>IFERROR(__xludf.DUMMYFUNCTION("""COMPUTED_VALUE"""),"US 138 USF DR LUIZ WILSOM")</f>
        <v>US 138 USF DR LUIZ WILSOM</v>
      </c>
      <c r="H646" s="27">
        <f>IFERROR(__xludf.DUMMYFUNCTION("""COMPUTED_VALUE"""),81987859693)</f>
        <v>81987859693</v>
      </c>
      <c r="I646" s="11"/>
      <c r="J646" s="11"/>
      <c r="K646" s="11"/>
      <c r="L646" s="11"/>
      <c r="M646" s="28" t="str">
        <f>IFERROR(__xludf.DUMMYFUNCTION("""COMPUTED_VALUE"""),"3355-3165")</f>
        <v>3355-3165</v>
      </c>
      <c r="N646" s="11" t="str">
        <f>IFERROR(__xludf.DUMMYFUNCTION("""COMPUTED_VALUE"""),"evelisemaria@hotmail.com / evelisemoura@gmail.com")</f>
        <v>evelisemaria@hotmail.com / evelisemoura@gmail.com</v>
      </c>
      <c r="O646" s="29">
        <f>IFERROR(__xludf.DUMMYFUNCTION("""COMPUTED_VALUE"""),34120360482)</f>
        <v>34120360482</v>
      </c>
      <c r="P646" s="30" t="str">
        <f>IFERROR(__xludf.DUMMYFUNCTION("""COMPUTED_VALUE"""),"125132230490002")</f>
        <v>125132230490002</v>
      </c>
      <c r="Q646" s="30" t="str">
        <f>IFERROR(__xludf.DUMMYFUNCTION("""COMPUTED_VALUE"""),"0000876")</f>
        <v>0000876</v>
      </c>
      <c r="R646" s="30" t="str">
        <f>IFERROR(__xludf.DUMMYFUNCTION("""COMPUTED_VALUE"""),"0000152714")</f>
        <v>0000152714</v>
      </c>
      <c r="S646" s="30" t="str">
        <f>IFERROR(__xludf.DUMMYFUNCTION("""COMPUTED_VALUE"""),"1")</f>
        <v>1</v>
      </c>
      <c r="T646" s="30" t="str">
        <f>IFERROR(__xludf.DUMMYFUNCTION("""COMPUTED_VALUE"""),"223565")</f>
        <v>223565</v>
      </c>
      <c r="U646" s="31" t="str">
        <f>IFERROR(__xludf.DUMMYFUNCTION("""COMPUTED_VALUE"""),"2235")</f>
        <v>2235</v>
      </c>
      <c r="V646" s="11"/>
      <c r="W646" s="11" t="str">
        <f>IFERROR(__xludf.DUMMYFUNCTION("""COMPUTED_VALUE"""),"#N/A")</f>
        <v>#N/A</v>
      </c>
      <c r="X646" s="11" t="str">
        <f>IFERROR(__xludf.DUMMYFUNCTION("""COMPUTED_VALUE"""),"#N/A")</f>
        <v>#N/A</v>
      </c>
      <c r="Y646" s="11" t="str">
        <f>IFERROR(__xludf.DUMMYFUNCTION("""COMPUTED_VALUE"""),"#N/A")</f>
        <v>#N/A</v>
      </c>
      <c r="Z646" s="11"/>
    </row>
    <row r="647" customHeight="1" spans="1:26">
      <c r="A647" s="11" t="str">
        <f>IFERROR(__xludf.DUMMYFUNCTION("""COMPUTED_VALUE"""),"MARIA SIMONE GOMES DE FREITAS MAIA")</f>
        <v>MARIA SIMONE GOMES DE FREITAS MAIA</v>
      </c>
      <c r="B647" s="11"/>
      <c r="C647" s="11"/>
      <c r="D647" s="11" t="str">
        <f>IFERROR(__xludf.DUMMYFUNCTION("""COMPUTED_VALUE"""),"Médica eSF")</f>
        <v>Médica eSF</v>
      </c>
      <c r="E647" s="11" t="str">
        <f>IFERROR(__xludf.DUMMYFUNCTION("""COMPUTED_VALUE"""),"VII")</f>
        <v>VII</v>
      </c>
      <c r="F647" s="11" t="str">
        <f>IFERROR(__xludf.DUMMYFUNCTION("""COMPUTED_VALUE"""),"US_288 USF MORRO DA CONCEICAO")</f>
        <v>US_288 USF MORRO DA CONCEICAO</v>
      </c>
      <c r="G647" s="11" t="str">
        <f>IFERROR(__xludf.DUMMYFUNCTION("""COMPUTED_VALUE"""),"US 288 USF MORRO DA CONCEICAO")</f>
        <v>US 288 USF MORRO DA CONCEICAO</v>
      </c>
      <c r="H647" s="27">
        <f>IFERROR(__xludf.DUMMYFUNCTION("""COMPUTED_VALUE"""),81992732862)</f>
        <v>81992732862</v>
      </c>
      <c r="I647" s="11"/>
      <c r="J647" s="11"/>
      <c r="K647" s="11"/>
      <c r="L647" s="11"/>
      <c r="M647" s="28" t="str">
        <f>IFERROR(__xludf.DUMMYFUNCTION("""COMPUTED_VALUE"""),"3355-6526")</f>
        <v>3355-6526</v>
      </c>
      <c r="N647" s="11" t="str">
        <f>IFERROR(__xludf.DUMMYFUNCTION("""COMPUTED_VALUE"""),"msimone.freitas@gmail.com / msinmone.freitas@gmail.com")</f>
        <v>msimone.freitas@gmail.com / msinmone.freitas@gmail.com</v>
      </c>
      <c r="O647" s="29">
        <f>IFERROR(__xludf.DUMMYFUNCTION("""COMPUTED_VALUE"""),47630426453)</f>
        <v>47630426453</v>
      </c>
      <c r="P647" s="30" t="str">
        <f>IFERROR(__xludf.DUMMYFUNCTION("""COMPUTED_VALUE"""),"206633715590005")</f>
        <v>206633715590005</v>
      </c>
      <c r="Q647" s="30" t="str">
        <f>IFERROR(__xludf.DUMMYFUNCTION("""COMPUTED_VALUE"""),"2679787")</f>
        <v>2679787</v>
      </c>
      <c r="R647" s="30" t="str">
        <f>IFERROR(__xludf.DUMMYFUNCTION("""COMPUTED_VALUE"""),"0000154849")</f>
        <v>0000154849</v>
      </c>
      <c r="S647" s="30" t="str">
        <f>IFERROR(__xludf.DUMMYFUNCTION("""COMPUTED_VALUE"""),"1")</f>
        <v>1</v>
      </c>
      <c r="T647" s="30" t="str">
        <f>IFERROR(__xludf.DUMMYFUNCTION("""COMPUTED_VALUE"""),"225142")</f>
        <v>225142</v>
      </c>
      <c r="U647" s="31" t="str">
        <f>IFERROR(__xludf.DUMMYFUNCTION("""COMPUTED_VALUE"""),"2251")</f>
        <v>2251</v>
      </c>
      <c r="V647" s="11" t="str">
        <f>IFERROR(__xludf.DUMMYFUNCTION("""COMPUTED_VALUE"""),"SIM")</f>
        <v>SIM</v>
      </c>
      <c r="W647" s="11"/>
      <c r="X647" s="11" t="str">
        <f>IFERROR(__xludf.DUMMYFUNCTION("""COMPUTED_VALUE"""),"#N/A")</f>
        <v>#N/A</v>
      </c>
      <c r="Y647" s="11" t="str">
        <f>IFERROR(__xludf.DUMMYFUNCTION("""COMPUTED_VALUE"""),"#N/A")</f>
        <v>#N/A</v>
      </c>
      <c r="Z647" s="11" t="str">
        <f>IFERROR(__xludf.DUMMYFUNCTION("""COMPUTED_VALUE"""),"#N/A")</f>
        <v>#N/A</v>
      </c>
    </row>
    <row r="648" customHeight="1" spans="1:26">
      <c r="A648" s="11" t="str">
        <f>IFERROR(__xludf.DUMMYFUNCTION("""COMPUTED_VALUE"""),"NAERCIA RANUZIA DO NASCIMENTO TORRES")</f>
        <v>NAERCIA RANUZIA DO NASCIMENTO TORRES</v>
      </c>
      <c r="B648" s="11"/>
      <c r="C648" s="11"/>
      <c r="D648" s="11" t="str">
        <f>IFERROR(__xludf.DUMMYFUNCTION("""COMPUTED_VALUE"""),"Enfermeira eSF")</f>
        <v>Enfermeira eSF</v>
      </c>
      <c r="E648" s="11" t="str">
        <f>IFERROR(__xludf.DUMMYFUNCTION("""COMPUTED_VALUE"""),"VII")</f>
        <v>VII</v>
      </c>
      <c r="F648" s="11" t="str">
        <f>IFERROR(__xludf.DUMMYFUNCTION("""COMPUTED_VALUE"""),"US_287 USF ALTO JOSE DO PINHO")</f>
        <v>US_287 USF ALTO JOSE DO PINHO</v>
      </c>
      <c r="G648" s="11" t="str">
        <f>IFERROR(__xludf.DUMMYFUNCTION("""COMPUTED_VALUE"""),"US 287 USF ALTO JOSE DO PINHO")</f>
        <v>US 287 USF ALTO JOSE DO PINHO</v>
      </c>
      <c r="H648" s="27">
        <f>IFERROR(__xludf.DUMMYFUNCTION("""COMPUTED_VALUE"""),81996897689)</f>
        <v>81996897689</v>
      </c>
      <c r="I648" s="27">
        <f>IFERROR(__xludf.DUMMYFUNCTION("""COMPUTED_VALUE"""),81985413039)</f>
        <v>81985413039</v>
      </c>
      <c r="J648" s="11"/>
      <c r="K648" s="11"/>
      <c r="L648" s="11"/>
      <c r="M648" s="28" t="str">
        <f>IFERROR(__xludf.DUMMYFUNCTION("""COMPUTED_VALUE"""),"3355-6086")</f>
        <v>3355-6086</v>
      </c>
      <c r="N648" s="11" t="str">
        <f>IFERROR(__xludf.DUMMYFUNCTION("""COMPUTED_VALUE"""),"naercia_ranuzia@hotmail.com")</f>
        <v>naercia_ranuzia@hotmail.com</v>
      </c>
      <c r="O648" s="29">
        <f>IFERROR(__xludf.DUMMYFUNCTION("""COMPUTED_VALUE"""),3429573416)</f>
        <v>3429573416</v>
      </c>
      <c r="P648" s="30" t="str">
        <f>IFERROR(__xludf.DUMMYFUNCTION("""COMPUTED_VALUE"""),"980016000417077")</f>
        <v>980016000417077</v>
      </c>
      <c r="Q648" s="30" t="str">
        <f>IFERROR(__xludf.DUMMYFUNCTION("""COMPUTED_VALUE"""),"2679779")</f>
        <v>2679779</v>
      </c>
      <c r="R648" s="30" t="str">
        <f>IFERROR(__xludf.DUMMYFUNCTION("""COMPUTED_VALUE"""),"0000154814")</f>
        <v>0000154814</v>
      </c>
      <c r="S648" s="30" t="str">
        <f>IFERROR(__xludf.DUMMYFUNCTION("""COMPUTED_VALUE"""),"1")</f>
        <v>1</v>
      </c>
      <c r="T648" s="30" t="str">
        <f>IFERROR(__xludf.DUMMYFUNCTION("""COMPUTED_VALUE"""),"223565")</f>
        <v>223565</v>
      </c>
      <c r="U648" s="31" t="str">
        <f>IFERROR(__xludf.DUMMYFUNCTION("""COMPUTED_VALUE"""),"2235")</f>
        <v>2235</v>
      </c>
      <c r="V648" s="11"/>
      <c r="W648" s="11" t="str">
        <f>IFERROR(__xludf.DUMMYFUNCTION("""COMPUTED_VALUE"""),"819689-7689")</f>
        <v>819689-7689</v>
      </c>
      <c r="X648" s="11">
        <f>IFERROR(__xludf.DUMMYFUNCTION("""COMPUTED_VALUE"""),8185413039)</f>
        <v>8185413039</v>
      </c>
      <c r="Y648" s="11">
        <f>IFERROR(__xludf.DUMMYFUNCTION("""COMPUTED_VALUE"""),3429573416)</f>
        <v>3429573416</v>
      </c>
      <c r="Z648" s="11"/>
    </row>
    <row r="649" customHeight="1" spans="1:26">
      <c r="A649" s="11" t="str">
        <f>IFERROR(__xludf.DUMMYFUNCTION("""COMPUTED_VALUE"""),"ARLENE MARCIA FONSECA PEREIRA")</f>
        <v>ARLENE MARCIA FONSECA PEREIRA</v>
      </c>
      <c r="B649" s="11"/>
      <c r="C649" s="11"/>
      <c r="D649" s="11" t="str">
        <f>IFERROR(__xludf.DUMMYFUNCTION("""COMPUTED_VALUE"""),"Enfermeira eSF")</f>
        <v>Enfermeira eSF</v>
      </c>
      <c r="E649" s="11" t="str">
        <f>IFERROR(__xludf.DUMMYFUNCTION("""COMPUTED_VALUE"""),"VIII")</f>
        <v>VIII</v>
      </c>
      <c r="F649" s="11" t="str">
        <f>IFERROR(__xludf.DUMMYFUNCTION("""COMPUTED_VALUE"""),"US_299 USF JORDAO BAIXO")</f>
        <v>US_299 USF JORDAO BAIXO</v>
      </c>
      <c r="G649" s="11" t="str">
        <f>IFERROR(__xludf.DUMMYFUNCTION("""COMPUTED_VALUE"""),"US 299 USF JORDAO BAIXO")</f>
        <v>US 299 USF JORDAO BAIXO</v>
      </c>
      <c r="H649" s="27">
        <f>IFERROR(__xludf.DUMMYFUNCTION("""COMPUTED_VALUE"""),81992326609)</f>
        <v>81992326609</v>
      </c>
      <c r="I649" s="11"/>
      <c r="J649" s="11"/>
      <c r="K649" s="11"/>
      <c r="L649" s="11"/>
      <c r="M649" s="28" t="str">
        <f>IFERROR(__xludf.DUMMYFUNCTION("""COMPUTED_VALUE"""),"3355-3407")</f>
        <v>3355-3407</v>
      </c>
      <c r="N649" s="11" t="str">
        <f>IFERROR(__xludf.DUMMYFUNCTION("""COMPUTED_VALUE"""),"amfp15@yahoo.com.br")</f>
        <v>amfp15@yahoo.com.br</v>
      </c>
      <c r="O649" s="29">
        <f>IFERROR(__xludf.DUMMYFUNCTION("""COMPUTED_VALUE"""),39812103449)</f>
        <v>39812103449</v>
      </c>
      <c r="P649" s="30" t="str">
        <f>IFERROR(__xludf.DUMMYFUNCTION("""COMPUTED_VALUE"""),"204324865120001")</f>
        <v>204324865120001</v>
      </c>
      <c r="Q649" s="30" t="str">
        <f>IFERROR(__xludf.DUMMYFUNCTION("""COMPUTED_VALUE"""),"3153479")</f>
        <v>3153479</v>
      </c>
      <c r="R649" s="30" t="str">
        <f>IFERROR(__xludf.DUMMYFUNCTION("""COMPUTED_VALUE"""),"0000155136")</f>
        <v>0000155136</v>
      </c>
      <c r="S649" s="30" t="str">
        <f>IFERROR(__xludf.DUMMYFUNCTION("""COMPUTED_VALUE"""),"1")</f>
        <v>1</v>
      </c>
      <c r="T649" s="30" t="str">
        <f>IFERROR(__xludf.DUMMYFUNCTION("""COMPUTED_VALUE"""),"223565")</f>
        <v>223565</v>
      </c>
      <c r="U649" s="31" t="str">
        <f>IFERROR(__xludf.DUMMYFUNCTION("""COMPUTED_VALUE"""),"2235")</f>
        <v>2235</v>
      </c>
      <c r="V649" s="11"/>
      <c r="W649" s="11">
        <f>IFERROR(__xludf.DUMMYFUNCTION("""COMPUTED_VALUE"""),35250856)</f>
        <v>35250856</v>
      </c>
      <c r="X649" s="11">
        <f>IFERROR(__xludf.DUMMYFUNCTION("""COMPUTED_VALUE"""),92326609)</f>
        <v>92326609</v>
      </c>
      <c r="Y649" s="11">
        <f>IFERROR(__xludf.DUMMYFUNCTION("""COMPUTED_VALUE"""),39812103449)</f>
        <v>39812103449</v>
      </c>
      <c r="Z649" s="11"/>
    </row>
    <row r="650" customHeight="1" spans="1:26">
      <c r="A650" s="11" t="str">
        <f>IFERROR(__xludf.DUMMYFUNCTION("""COMPUTED_VALUE"""),"JORGE SAMPAIO")</f>
        <v>JORGE SAMPAIO</v>
      </c>
      <c r="B650" s="11"/>
      <c r="C650" s="11"/>
      <c r="D650" s="11" t="str">
        <f>IFERROR(__xludf.DUMMYFUNCTION("""COMPUTED_VALUE"""),"Médico eSF")</f>
        <v>Médico eSF</v>
      </c>
      <c r="E650" s="11" t="str">
        <f>IFERROR(__xludf.DUMMYFUNCTION("""COMPUTED_VALUE"""),"VII")</f>
        <v>VII</v>
      </c>
      <c r="F650" s="11" t="str">
        <f>IFERROR(__xludf.DUMMYFUNCTION("""COMPUTED_VALUE"""),"")</f>
        <v/>
      </c>
      <c r="G650" s="11" t="str">
        <f>IFERROR(__xludf.DUMMYFUNCTION("""COMPUTED_VALUE"""),"US 283 USF VILA BOA VISTA")</f>
        <v>US 283 USF VILA BOA VISTA</v>
      </c>
      <c r="H650" s="27">
        <f>IFERROR(__xludf.DUMMYFUNCTION("""COMPUTED_VALUE"""),81991397996)</f>
        <v>81991397996</v>
      </c>
      <c r="I650" s="11"/>
      <c r="J650" s="11"/>
      <c r="K650" s="33">
        <f>IFERROR(__xludf.DUMMYFUNCTION("""COMPUTED_VALUE"""),45222)</f>
        <v>45222</v>
      </c>
      <c r="L650" s="11"/>
      <c r="M650" s="11"/>
      <c r="N650" s="11"/>
      <c r="O650" s="11"/>
      <c r="P650" s="11"/>
      <c r="Q650" s="11"/>
      <c r="R650" s="11"/>
      <c r="S650" s="11"/>
      <c r="T650" s="11"/>
      <c r="U650" s="11"/>
      <c r="V650" s="11"/>
      <c r="W650" s="11"/>
      <c r="X650" s="11"/>
      <c r="Y650" s="11"/>
      <c r="Z650" s="11"/>
    </row>
    <row r="651" customHeight="1" spans="1:26">
      <c r="A651" s="11" t="str">
        <f>IFERROR(__xludf.DUMMYFUNCTION("""COMPUTED_VALUE"""),"GRACA MARIA GONDIM ANICETO")</f>
        <v>GRACA MARIA GONDIM ANICETO</v>
      </c>
      <c r="B651" s="11"/>
      <c r="C651" s="11"/>
      <c r="D651" s="11" t="str">
        <f>IFERROR(__xludf.DUMMYFUNCTION("""COMPUTED_VALUE"""),"Enfermeira eSF")</f>
        <v>Enfermeira eSF</v>
      </c>
      <c r="E651" s="11" t="str">
        <f>IFERROR(__xludf.DUMMYFUNCTION("""COMPUTED_VALUE"""),"VII")</f>
        <v>VII</v>
      </c>
      <c r="F651" s="11" t="str">
        <f>IFERROR(__xludf.DUMMYFUNCTION("""COMPUTED_VALUE"""),"US_283 USF VILA BOA VISTA")</f>
        <v>US_283 USF VILA BOA VISTA</v>
      </c>
      <c r="G651" s="11" t="str">
        <f>IFERROR(__xludf.DUMMYFUNCTION("""COMPUTED_VALUE"""),"US 283 USF VILA BOA VISTA")</f>
        <v>US 283 USF VILA BOA VISTA</v>
      </c>
      <c r="H651" s="27">
        <f>IFERROR(__xludf.DUMMYFUNCTION("""COMPUTED_VALUE"""),81987443512)</f>
        <v>81987443512</v>
      </c>
      <c r="I651" s="27">
        <f>IFERROR(__xludf.DUMMYFUNCTION("""COMPUTED_VALUE"""),81986307078)</f>
        <v>81986307078</v>
      </c>
      <c r="J651" s="11"/>
      <c r="K651" s="11"/>
      <c r="L651" s="11"/>
      <c r="M651" s="28" t="str">
        <f>IFERROR(__xludf.DUMMYFUNCTION("""COMPUTED_VALUE"""),"3355-6242")</f>
        <v>3355-6242</v>
      </c>
      <c r="N651" s="11" t="str">
        <f>IFERROR(__xludf.DUMMYFUNCTION("""COMPUTED_VALUE"""),"gracagondim@gmail.com")</f>
        <v>gracagondim@gmail.com</v>
      </c>
      <c r="O651" s="29">
        <f>IFERROR(__xludf.DUMMYFUNCTION("""COMPUTED_VALUE"""),29171709487)</f>
        <v>29171709487</v>
      </c>
      <c r="P651" s="30" t="str">
        <f>IFERROR(__xludf.DUMMYFUNCTION("""COMPUTED_VALUE"""),"120315638250008")</f>
        <v>120315638250008</v>
      </c>
      <c r="Q651" s="30" t="str">
        <f>IFERROR(__xludf.DUMMYFUNCTION("""COMPUTED_VALUE"""),"0029106")</f>
        <v>0029106</v>
      </c>
      <c r="R651" s="30" t="str">
        <f>IFERROR(__xludf.DUMMYFUNCTION("""COMPUTED_VALUE"""),"0000154679")</f>
        <v>0000154679</v>
      </c>
      <c r="S651" s="30" t="str">
        <f>IFERROR(__xludf.DUMMYFUNCTION("""COMPUTED_VALUE"""),"1")</f>
        <v>1</v>
      </c>
      <c r="T651" s="30" t="str">
        <f>IFERROR(__xludf.DUMMYFUNCTION("""COMPUTED_VALUE"""),"223565")</f>
        <v>223565</v>
      </c>
      <c r="U651" s="31" t="str">
        <f>IFERROR(__xludf.DUMMYFUNCTION("""COMPUTED_VALUE"""),"2235")</f>
        <v>2235</v>
      </c>
      <c r="V651" s="11"/>
      <c r="W651" s="11">
        <f>IFERROR(__xludf.DUMMYFUNCTION("""COMPUTED_VALUE"""),35426916)</f>
        <v>35426916</v>
      </c>
      <c r="X651" s="11">
        <f>IFERROR(__xludf.DUMMYFUNCTION("""COMPUTED_VALUE"""),98119703)</f>
        <v>98119703</v>
      </c>
      <c r="Y651" s="11">
        <f>IFERROR(__xludf.DUMMYFUNCTION("""COMPUTED_VALUE"""),29171709487)</f>
        <v>29171709487</v>
      </c>
      <c r="Z651" s="11"/>
    </row>
    <row r="652" customHeight="1" spans="1:26">
      <c r="A652" s="11" t="str">
        <f>IFERROR(__xludf.DUMMYFUNCTION("""COMPUTED_VALUE"""),"PAULA GORETTI PEREIRA DE LIMA")</f>
        <v>PAULA GORETTI PEREIRA DE LIMA</v>
      </c>
      <c r="B652" s="11"/>
      <c r="C652" s="11"/>
      <c r="D652" s="11" t="str">
        <f>IFERROR(__xludf.DUMMYFUNCTION("""COMPUTED_VALUE"""),"Dentista")</f>
        <v>Dentista</v>
      </c>
      <c r="E652" s="11" t="str">
        <f>IFERROR(__xludf.DUMMYFUNCTION("""COMPUTED_VALUE"""),"VIII")</f>
        <v>VIII</v>
      </c>
      <c r="F652" s="11" t="str">
        <f>IFERROR(__xludf.DUMMYFUNCTION("""COMPUTED_VALUE"""),"US_172 USF TRES CARNEIROS ALTO  / JORGE LOBO")</f>
        <v>US_172 USF TRES CARNEIROS ALTO  / JORGE LOBO</v>
      </c>
      <c r="G652" s="11" t="str">
        <f>IFERROR(__xludf.DUMMYFUNCTION("""COMPUTED_VALUE"""),"US 172 USF TRES CARNEIROS")</f>
        <v>US 172 USF TRES CARNEIROS</v>
      </c>
      <c r="H652" s="27">
        <f>IFERROR(__xludf.DUMMYFUNCTION("""COMPUTED_VALUE"""),81992341439)</f>
        <v>81992341439</v>
      </c>
      <c r="I652" s="11"/>
      <c r="J652" s="11"/>
      <c r="K652" s="11"/>
      <c r="L652" s="11"/>
      <c r="M652" s="28" t="str">
        <f>IFERROR(__xludf.DUMMYFUNCTION("""COMPUTED_VALUE"""),"3355-4713")</f>
        <v>3355-4713</v>
      </c>
      <c r="N652" s="11" t="str">
        <f>IFERROR(__xludf.DUMMYFUNCTION("""COMPUTED_VALUE"""),"paulagoretti@hotmail.com")</f>
        <v>paulagoretti@hotmail.com</v>
      </c>
      <c r="O652" s="29">
        <f>IFERROR(__xludf.DUMMYFUNCTION("""COMPUTED_VALUE"""),2714105408)</f>
        <v>2714105408</v>
      </c>
      <c r="P652" s="30" t="str">
        <f>IFERROR(__xludf.DUMMYFUNCTION("""COMPUTED_VALUE"""),"980016000416682")</f>
        <v>980016000416682</v>
      </c>
      <c r="Q652" s="30" t="str">
        <f>IFERROR(__xludf.DUMMYFUNCTION("""COMPUTED_VALUE"""),"0002062")</f>
        <v>0002062</v>
      </c>
      <c r="R652" s="30" t="str">
        <f>IFERROR(__xludf.DUMMYFUNCTION("""COMPUTED_VALUE"""),"0001757180")</f>
        <v>0001757180</v>
      </c>
      <c r="S652" s="30" t="str">
        <f>IFERROR(__xludf.DUMMYFUNCTION("""COMPUTED_VALUE"""),"1")</f>
        <v>1</v>
      </c>
      <c r="T652" s="30" t="str">
        <f>IFERROR(__xludf.DUMMYFUNCTION("""COMPUTED_VALUE"""),"223293")</f>
        <v>223293</v>
      </c>
      <c r="U652" s="31">
        <f>IFERROR(__xludf.DUMMYFUNCTION("""COMPUTED_VALUE"""),2232)</f>
        <v>2232</v>
      </c>
      <c r="V652" s="11"/>
      <c r="W652" s="11"/>
      <c r="X652" s="11"/>
      <c r="Y652" s="11"/>
      <c r="Z652" s="11"/>
    </row>
    <row r="653" customHeight="1" spans="1:26">
      <c r="A653" s="11" t="str">
        <f>IFERROR(__xludf.DUMMYFUNCTION("""COMPUTED_VALUE"""),"GILCELIA CRISTINA A SILVEIRA")</f>
        <v>GILCELIA CRISTINA A SILVEIRA</v>
      </c>
      <c r="B653" s="11"/>
      <c r="C653" s="11"/>
      <c r="D653" s="11" t="str">
        <f>IFERROR(__xludf.DUMMYFUNCTION("""COMPUTED_VALUE"""),"Dentista")</f>
        <v>Dentista</v>
      </c>
      <c r="E653" s="11" t="str">
        <f>IFERROR(__xludf.DUMMYFUNCTION("""COMPUTED_VALUE"""),"IV")</f>
        <v>IV</v>
      </c>
      <c r="F653" s="11" t="str">
        <f>IFERROR(__xludf.DUMMYFUNCTION("""COMPUTED_VALUE"""),"US_254 USF BRASILIT	")</f>
        <v>US_254 USF BRASILIT	</v>
      </c>
      <c r="G653" s="11" t="str">
        <f>IFERROR(__xludf.DUMMYFUNCTION("""COMPUTED_VALUE"""),"US 378 USF JARDIM TERESOPOLIS")</f>
        <v>US 378 USF JARDIM TERESOPOLIS</v>
      </c>
      <c r="H653" s="27">
        <f>IFERROR(__xludf.DUMMYFUNCTION("""COMPUTED_VALUE"""),81994517384)</f>
        <v>81994517384</v>
      </c>
      <c r="I653" s="11"/>
      <c r="J653" s="11"/>
      <c r="K653" s="11"/>
      <c r="L653" s="11"/>
      <c r="M653" s="28" t="str">
        <f>IFERROR(__xludf.DUMMYFUNCTION("""COMPUTED_VALUE"""),"3355-0404")</f>
        <v>3355-0404</v>
      </c>
      <c r="N653" s="11" t="str">
        <f>IFERROR(__xludf.DUMMYFUNCTION("""COMPUTED_VALUE"""),"gilcelia_gti@hotmail.com")</f>
        <v>gilcelia_gti@hotmail.com</v>
      </c>
      <c r="O653" s="29">
        <f>IFERROR(__xludf.DUMMYFUNCTION("""COMPUTED_VALUE"""),85576590406)</f>
        <v>85576590406</v>
      </c>
      <c r="P653" s="30" t="str">
        <f>IFERROR(__xludf.DUMMYFUNCTION("""COMPUTED_VALUE"""),"204324205030005")</f>
        <v>204324205030005</v>
      </c>
      <c r="Q653" s="30" t="str">
        <f>IFERROR(__xludf.DUMMYFUNCTION("""COMPUTED_VALUE"""),"6916325")</f>
        <v>6916325</v>
      </c>
      <c r="R653" s="30" t="str">
        <f>IFERROR(__xludf.DUMMYFUNCTION("""COMPUTED_VALUE"""),"0001824988")</f>
        <v>0001824988</v>
      </c>
      <c r="S653" s="30" t="str">
        <f>IFERROR(__xludf.DUMMYFUNCTION("""COMPUTED_VALUE"""),"1")</f>
        <v>1</v>
      </c>
      <c r="T653" s="30" t="str">
        <f>IFERROR(__xludf.DUMMYFUNCTION("""COMPUTED_VALUE"""),"223293")</f>
        <v>223293</v>
      </c>
      <c r="U653" s="31">
        <f>IFERROR(__xludf.DUMMYFUNCTION("""COMPUTED_VALUE"""),2232)</f>
        <v>2232</v>
      </c>
      <c r="V653" s="11"/>
      <c r="W653" s="11"/>
      <c r="X653" s="11"/>
      <c r="Y653" s="11"/>
      <c r="Z653" s="11"/>
    </row>
    <row r="654" customHeight="1" spans="1:26">
      <c r="A654" s="11" t="str">
        <f>IFERROR(__xludf.DUMMYFUNCTION("""COMPUTED_VALUE"""),"CLILDA ALVES ALDEMAN DE OLIVEIRA")</f>
        <v>CLILDA ALVES ALDEMAN DE OLIVEIRA</v>
      </c>
      <c r="B654" s="11" t="str">
        <f>IFERROR(__xludf.DUMMYFUNCTION("""COMPUTED_VALUE"""),"férias/maio")</f>
        <v>férias/maio</v>
      </c>
      <c r="C654" s="11"/>
      <c r="D654" s="11" t="str">
        <f>IFERROR(__xludf.DUMMYFUNCTION("""COMPUTED_VALUE"""),"Médica eSF")</f>
        <v>Médica eSF</v>
      </c>
      <c r="E654" s="11" t="str">
        <f>IFERROR(__xludf.DUMMYFUNCTION("""COMPUTED_VALUE"""),"V")</f>
        <v>V</v>
      </c>
      <c r="F654" s="11" t="str">
        <f>IFERROR(__xludf.DUMMYFUNCTION("""COMPUTED_VALUE"""),"US_344 USF JIQUIA I E II")</f>
        <v>US_344 USF JIQUIA I E II</v>
      </c>
      <c r="G654" s="11" t="str">
        <f>IFERROR(__xludf.DUMMYFUNCTION("""COMPUTED_VALUE"""),"US 344 USF JIQUIA I E II")</f>
        <v>US 344 USF JIQUIA I E II</v>
      </c>
      <c r="H654" s="27">
        <f>IFERROR(__xludf.DUMMYFUNCTION("""COMPUTED_VALUE"""),81999771568)</f>
        <v>81999771568</v>
      </c>
      <c r="I654" s="11"/>
      <c r="J654" s="11"/>
      <c r="K654" s="11"/>
      <c r="L654" s="11"/>
      <c r="M654" s="28" t="str">
        <f>IFERROR(__xludf.DUMMYFUNCTION("""COMPUTED_VALUE"""),"3355-4676")</f>
        <v>3355-4676</v>
      </c>
      <c r="N654" s="11" t="str">
        <f>IFERROR(__xludf.DUMMYFUNCTION("""COMPUTED_VALUE"""),"CLILDA1ALDEMAN@GMAIL.COM")</f>
        <v>CLILDA1ALDEMAN@GMAIL.COM</v>
      </c>
      <c r="O654" s="29">
        <f>IFERROR(__xludf.DUMMYFUNCTION("""COMPUTED_VALUE"""),11437006434)</f>
        <v>11437006434</v>
      </c>
      <c r="P654" s="30" t="str">
        <f>IFERROR(__xludf.DUMMYFUNCTION("""COMPUTED_VALUE"""),"201533366620001")</f>
        <v>201533366620001</v>
      </c>
      <c r="Q654" s="30" t="str">
        <f>IFERROR(__xludf.DUMMYFUNCTION("""COMPUTED_VALUE"""),"5601037")</f>
        <v>5601037</v>
      </c>
      <c r="R654" s="30" t="str">
        <f>IFERROR(__xludf.DUMMYFUNCTION("""COMPUTED_VALUE"""),"0000155926")</f>
        <v>0000155926</v>
      </c>
      <c r="S654" s="30" t="str">
        <f>IFERROR(__xludf.DUMMYFUNCTION("""COMPUTED_VALUE"""),"1")</f>
        <v>1</v>
      </c>
      <c r="T654" s="30" t="str">
        <f>IFERROR(__xludf.DUMMYFUNCTION("""COMPUTED_VALUE"""),"225142")</f>
        <v>225142</v>
      </c>
      <c r="U654" s="31" t="str">
        <f>IFERROR(__xludf.DUMMYFUNCTION("""COMPUTED_VALUE"""),"2251")</f>
        <v>2251</v>
      </c>
      <c r="V654" s="11"/>
      <c r="W654" s="11"/>
      <c r="X654" s="11"/>
      <c r="Y654" s="11"/>
      <c r="Z654" s="11"/>
    </row>
    <row r="655" customHeight="1" spans="1:26">
      <c r="A655" s="11" t="str">
        <f>IFERROR(__xludf.DUMMYFUNCTION("""COMPUTED_VALUE"""),"ANDERSON JULIANO DE OLIVEIRA MELO LIMA")</f>
        <v>ANDERSON JULIANO DE OLIVEIRA MELO LIMA</v>
      </c>
      <c r="B655" s="11"/>
      <c r="C655" s="11"/>
      <c r="D655" s="11" t="str">
        <f>IFERROR(__xludf.DUMMYFUNCTION("""COMPUTED_VALUE"""),"Médico eSF")</f>
        <v>Médico eSF</v>
      </c>
      <c r="E655" s="11" t="str">
        <f>IFERROR(__xludf.DUMMYFUNCTION("""COMPUTED_VALUE"""),"VII")</f>
        <v>VII</v>
      </c>
      <c r="F655" s="11" t="str">
        <f>IFERROR(__xludf.DUMMYFUNCTION("""COMPUTED_VALUE"""),"US_352 USF UPINHA 24H DR HELIO MENDONCA COR DO JENIPAPO")</f>
        <v>US_352 USF UPINHA 24H DR HELIO MENDONCA COR DO JENIPAPO</v>
      </c>
      <c r="G655" s="11" t="str">
        <f>IFERROR(__xludf.DUMMYFUNCTION("""COMPUTED_VALUE"""),"US 352 USF UPINHA 24H DR HELIO MENDONCA COR DO JENIPAPO")</f>
        <v>US 352 USF UPINHA 24H DR HELIO MENDONCA COR DO JENIPAPO</v>
      </c>
      <c r="H655" s="27">
        <f>IFERROR(__xludf.DUMMYFUNCTION("""COMPUTED_VALUE"""),81982022772)</f>
        <v>81982022772</v>
      </c>
      <c r="I655" s="27">
        <f>IFERROR(__xludf.DUMMYFUNCTION("""COMPUTED_VALUE"""),81992926921)</f>
        <v>81992926921</v>
      </c>
      <c r="J655" s="11"/>
      <c r="K655" s="24">
        <f>IFERROR(__xludf.DUMMYFUNCTION("""COMPUTED_VALUE"""),45152)</f>
        <v>45152</v>
      </c>
      <c r="L655" s="11"/>
      <c r="M655" s="28" t="str">
        <f>IFERROR(__xludf.DUMMYFUNCTION("""COMPUTED_VALUE"""),"3355-3554-3553")</f>
        <v>3355-3554-3553</v>
      </c>
      <c r="N655" s="11" t="str">
        <f>IFERROR(__xludf.DUMMYFUNCTION("""COMPUTED_VALUE"""),"anderson.juliano@gmail.com")</f>
        <v>anderson.juliano@gmail.com</v>
      </c>
      <c r="O655" s="29">
        <f>IFERROR(__xludf.DUMMYFUNCTION("""COMPUTED_VALUE"""),5519383405)</f>
        <v>5519383405</v>
      </c>
      <c r="P655" s="30" t="str">
        <f>IFERROR(__xludf.DUMMYFUNCTION("""COMPUTED_VALUE"""),"980016287626394")</f>
        <v>980016287626394</v>
      </c>
      <c r="Q655" s="30" t="str">
        <f>IFERROR(__xludf.DUMMYFUNCTION("""COMPUTED_VALUE"""),"6362508")</f>
        <v>6362508</v>
      </c>
      <c r="R655" s="11"/>
      <c r="S655" s="30" t="str">
        <f>IFERROR(__xludf.DUMMYFUNCTION("""COMPUTED_VALUE"""),"1")</f>
        <v>1</v>
      </c>
      <c r="T655" s="30" t="str">
        <f>IFERROR(__xludf.DUMMYFUNCTION("""COMPUTED_VALUE"""),"225142")</f>
        <v>225142</v>
      </c>
      <c r="U655" s="31" t="str">
        <f>IFERROR(__xludf.DUMMYFUNCTION("""COMPUTED_VALUE"""),"2251")</f>
        <v>2251</v>
      </c>
      <c r="V655" s="11" t="str">
        <f>IFERROR(__xludf.DUMMYFUNCTION("""COMPUTED_VALUE"""),"SIM")</f>
        <v>SIM</v>
      </c>
      <c r="W655" s="11"/>
      <c r="X655" s="11" t="str">
        <f>IFERROR(__xludf.DUMMYFUNCTION("""COMPUTED_VALUE"""),"#N/A")</f>
        <v>#N/A</v>
      </c>
      <c r="Y655" s="11" t="str">
        <f>IFERROR(__xludf.DUMMYFUNCTION("""COMPUTED_VALUE"""),"#N/A")</f>
        <v>#N/A</v>
      </c>
      <c r="Z655" s="11" t="str">
        <f>IFERROR(__xludf.DUMMYFUNCTION("""COMPUTED_VALUE"""),"#N/A")</f>
        <v>#N/A</v>
      </c>
    </row>
    <row r="656" customHeight="1" spans="1:26">
      <c r="A656" s="11" t="str">
        <f>IFERROR(__xludf.DUMMYFUNCTION("""COMPUTED_VALUE"""),"MICHEL BRUNO DE CARVALHO LIMA")</f>
        <v>MICHEL BRUNO DE CARVALHO LIMA</v>
      </c>
      <c r="B656" s="11"/>
      <c r="C656" s="11"/>
      <c r="D656" s="11" t="str">
        <f>IFERROR(__xludf.DUMMYFUNCTION("""COMPUTED_VALUE"""),"Dentista")</f>
        <v>Dentista</v>
      </c>
      <c r="E656" s="11" t="str">
        <f>IFERROR(__xludf.DUMMYFUNCTION("""COMPUTED_VALUE"""),"VIII")</f>
        <v>VIII</v>
      </c>
      <c r="F656" s="11" t="str">
        <f>IFERROR(__xludf.DUMMYFUNCTION("""COMPUTED_VALUE"""),"US_174 USF SITIO GRANDE")</f>
        <v>US_174 USF SITIO GRANDE</v>
      </c>
      <c r="G656" s="11" t="str">
        <f>IFERROR(__xludf.DUMMYFUNCTION("""COMPUTED_VALUE"""),"US 351 USF PAZ E AMOR")</f>
        <v>US 351 USF PAZ E AMOR</v>
      </c>
      <c r="H656" s="27">
        <f>IFERROR(__xludf.DUMMYFUNCTION("""COMPUTED_VALUE"""),81988374555)</f>
        <v>81988374555</v>
      </c>
      <c r="I656" s="11"/>
      <c r="J656" s="11"/>
      <c r="K656" s="11"/>
      <c r="L656" s="11"/>
      <c r="M656" s="28" t="str">
        <f>IFERROR(__xludf.DUMMYFUNCTION("""COMPUTED_VALUE"""),"3355-6650")</f>
        <v>3355-6650</v>
      </c>
      <c r="N656" s="11" t="str">
        <f>IFERROR(__xludf.DUMMYFUNCTION("""COMPUTED_VALUE"""),"michelrecife@hotmail.com")</f>
        <v>michelrecife@hotmail.com</v>
      </c>
      <c r="O656" s="29">
        <f>IFERROR(__xludf.DUMMYFUNCTION("""COMPUTED_VALUE"""),2407063406)</f>
        <v>2407063406</v>
      </c>
      <c r="P656" s="30" t="str">
        <f>IFERROR(__xludf.DUMMYFUNCTION("""COMPUTED_VALUE"""),"980016276609272	")</f>
        <v>980016276609272	</v>
      </c>
      <c r="Q656" s="30" t="str">
        <f>IFERROR(__xludf.DUMMYFUNCTION("""COMPUTED_VALUE"""),"6362494")</f>
        <v>6362494</v>
      </c>
      <c r="R656" s="30" t="str">
        <f>IFERROR(__xludf.DUMMYFUNCTION("""COMPUTED_VALUE"""),"0001840037")</f>
        <v>0001840037</v>
      </c>
      <c r="S656" s="30" t="str">
        <f>IFERROR(__xludf.DUMMYFUNCTION("""COMPUTED_VALUE"""),"1")</f>
        <v>1</v>
      </c>
      <c r="T656" s="30" t="str">
        <f>IFERROR(__xludf.DUMMYFUNCTION("""COMPUTED_VALUE"""),"223293")</f>
        <v>223293</v>
      </c>
      <c r="U656" s="31">
        <f>IFERROR(__xludf.DUMMYFUNCTION("""COMPUTED_VALUE"""),2232)</f>
        <v>2232</v>
      </c>
      <c r="V656" s="11"/>
      <c r="W656" s="11"/>
      <c r="X656" s="11"/>
      <c r="Y656" s="11"/>
      <c r="Z656" s="11"/>
    </row>
    <row r="657" customHeight="1" spans="1:26">
      <c r="A657" s="11" t="str">
        <f>IFERROR(__xludf.DUMMYFUNCTION("""COMPUTED_VALUE"""),"KATIANE CAVALCANTI SILVA DE MEDEIROS")</f>
        <v>KATIANE CAVALCANTI SILVA DE MEDEIROS</v>
      </c>
      <c r="B657" s="11" t="str">
        <f>IFERROR(__xludf.DUMMYFUNCTION("""COMPUTED_VALUE"""),"não pode nas quartas")</f>
        <v>não pode nas quartas</v>
      </c>
      <c r="C657" s="11"/>
      <c r="D657" s="11" t="str">
        <f>IFERROR(__xludf.DUMMYFUNCTION("""COMPUTED_VALUE"""),"Médica eSF")</f>
        <v>Médica eSF</v>
      </c>
      <c r="E657" s="11" t="str">
        <f>IFERROR(__xludf.DUMMYFUNCTION("""COMPUTED_VALUE"""),"VI")</f>
        <v>VI</v>
      </c>
      <c r="F657" s="11" t="str">
        <f>IFERROR(__xludf.DUMMYFUNCTION("""COMPUTED_VALUE"""),"US_326 USF JADER DE ANDRADE COMUNIDADE ENTRA APULSO")</f>
        <v>US_326 USF JADER DE ANDRADE COMUNIDADE ENTRA APULSO</v>
      </c>
      <c r="G657" s="11" t="str">
        <f>IFERROR(__xludf.DUMMYFUNCTION("""COMPUTED_VALUE"""),"US 326 USF JADER DE ANDRADE COMUNIDADE ENTRA APULSO")</f>
        <v>US 326 USF JADER DE ANDRADE COMUNIDADE ENTRA APULSO</v>
      </c>
      <c r="H657" s="27">
        <f>IFERROR(__xludf.DUMMYFUNCTION("""COMPUTED_VALUE"""),81999297707)</f>
        <v>81999297707</v>
      </c>
      <c r="I657" s="11"/>
      <c r="J657" s="11"/>
      <c r="K657" s="11"/>
      <c r="L657" s="11"/>
      <c r="M657" s="28" t="str">
        <f>IFERROR(__xludf.DUMMYFUNCTION("""COMPUTED_VALUE"""),"3355-4672")</f>
        <v>3355-4672</v>
      </c>
      <c r="N657" s="11" t="str">
        <f>IFERROR(__xludf.DUMMYFUNCTION("""COMPUTED_VALUE"""),"katy19761@hotmail.com")</f>
        <v>katy19761@hotmail.com</v>
      </c>
      <c r="O657" s="29">
        <f>IFERROR(__xludf.DUMMYFUNCTION("""COMPUTED_VALUE"""),3408690464)</f>
        <v>3408690464</v>
      </c>
      <c r="P657" s="30" t="str">
        <f>IFERROR(__xludf.DUMMYFUNCTION("""COMPUTED_VALUE"""),"201533392540001")</f>
        <v>201533392540001</v>
      </c>
      <c r="Q657" s="30" t="str">
        <f>IFERROR(__xludf.DUMMYFUNCTION("""COMPUTED_VALUE"""),"3470261")</f>
        <v>3470261</v>
      </c>
      <c r="R657" s="30" t="str">
        <f>IFERROR(__xludf.DUMMYFUNCTION("""COMPUTED_VALUE"""),"0000155497")</f>
        <v>0000155497</v>
      </c>
      <c r="S657" s="30" t="str">
        <f>IFERROR(__xludf.DUMMYFUNCTION("""COMPUTED_VALUE"""),"1")</f>
        <v>1</v>
      </c>
      <c r="T657" s="30" t="str">
        <f>IFERROR(__xludf.DUMMYFUNCTION("""COMPUTED_VALUE"""),"225142")</f>
        <v>225142</v>
      </c>
      <c r="U657" s="31" t="str">
        <f>IFERROR(__xludf.DUMMYFUNCTION("""COMPUTED_VALUE"""),"2251")</f>
        <v>2251</v>
      </c>
      <c r="V657" s="11" t="str">
        <f>IFERROR(__xludf.DUMMYFUNCTION("""COMPUTED_VALUE"""),"SIM")</f>
        <v>SIM</v>
      </c>
      <c r="W657" s="11"/>
      <c r="X657" s="11" t="str">
        <f>IFERROR(__xludf.DUMMYFUNCTION("""COMPUTED_VALUE"""),"#N/A")</f>
        <v>#N/A</v>
      </c>
      <c r="Y657" s="11" t="str">
        <f>IFERROR(__xludf.DUMMYFUNCTION("""COMPUTED_VALUE"""),"#N/A")</f>
        <v>#N/A</v>
      </c>
      <c r="Z657" s="11" t="str">
        <f>IFERROR(__xludf.DUMMYFUNCTION("""COMPUTED_VALUE"""),"#N/A")</f>
        <v>#N/A</v>
      </c>
    </row>
    <row r="658" customHeight="1" spans="1:26">
      <c r="A658" s="11" t="str">
        <f>IFERROR(__xludf.DUMMYFUNCTION("""COMPUTED_VALUE"""),"PAULO ROBERTO MACHADO RANGEL")</f>
        <v>PAULO ROBERTO MACHADO RANGEL</v>
      </c>
      <c r="B658" s="11"/>
      <c r="C658" s="11"/>
      <c r="D658" s="11" t="str">
        <f>IFERROR(__xludf.DUMMYFUNCTION("""COMPUTED_VALUE"""),"Médico Clínico")</f>
        <v>Médico Clínico</v>
      </c>
      <c r="E658" s="11" t="str">
        <f>IFERROR(__xludf.DUMMYFUNCTION("""COMPUTED_VALUE"""),"VI")</f>
        <v>VI</v>
      </c>
      <c r="F658" s="11" t="str">
        <f>IFERROR(__xludf.DUMMYFUNCTION("""COMPUTED_VALUE"""),"US_126 CS VER ROMILDO GOMES")</f>
        <v>US_126 CS VER ROMILDO GOMES</v>
      </c>
      <c r="G658" s="11" t="str">
        <f>IFERROR(__xludf.DUMMYFUNCTION("""COMPUTED_VALUE"""),"US 126 CS VER ROMILDO GOMES")</f>
        <v>US 126 CS VER ROMILDO GOMES</v>
      </c>
      <c r="H658" s="27">
        <f>IFERROR(__xludf.DUMMYFUNCTION("""COMPUTED_VALUE"""),81991325832)</f>
        <v>81991325832</v>
      </c>
      <c r="I658" s="11"/>
      <c r="J658" s="11"/>
      <c r="K658" s="11"/>
      <c r="L658" s="11"/>
      <c r="M658" s="28" t="str">
        <f>IFERROR(__xludf.DUMMYFUNCTION("""COMPUTED_VALUE"""),"3355-4448")</f>
        <v>3355-4448</v>
      </c>
      <c r="N658" s="11" t="str">
        <f>IFERROR(__xludf.DUMMYFUNCTION("""COMPUTED_VALUE"""),"paulormrangel@gmail.com / rangel50@elogica.com.br")</f>
        <v>paulormrangel@gmail.com / rangel50@elogica.com.br</v>
      </c>
      <c r="O658" s="29">
        <f>IFERROR(__xludf.DUMMYFUNCTION("""COMPUTED_VALUE"""),4088549449)</f>
        <v>4088549449</v>
      </c>
      <c r="P658" s="30" t="str">
        <f>IFERROR(__xludf.DUMMYFUNCTION("""COMPUTED_VALUE"""),"121572516600008")</f>
        <v>121572516600008</v>
      </c>
      <c r="Q658" s="30" t="str">
        <f>IFERROR(__xludf.DUMMYFUNCTION("""COMPUTED_VALUE"""),"0001090")</f>
        <v>0001090</v>
      </c>
      <c r="R658" s="30" t="str">
        <f>IFERROR(__xludf.DUMMYFUNCTION("""COMPUTED_VALUE"""),"9000109003")</f>
        <v>9000109003</v>
      </c>
      <c r="S658" s="30" t="str">
        <f>IFERROR(__xludf.DUMMYFUNCTION("""COMPUTED_VALUE"""),"1")</f>
        <v>1</v>
      </c>
      <c r="T658" s="30" t="str">
        <f>IFERROR(__xludf.DUMMYFUNCTION("""COMPUTED_VALUE"""),"225125")</f>
        <v>225125</v>
      </c>
      <c r="U658" s="31">
        <f>IFERROR(__xludf.DUMMYFUNCTION("""COMPUTED_VALUE"""),2251)</f>
        <v>2251</v>
      </c>
      <c r="V658" s="11"/>
      <c r="W658" s="30" t="str">
        <f>IFERROR(__xludf.DUMMYFUNCTION("""COMPUTED_VALUE"""),"20/09/1952")</f>
        <v>20/09/1952</v>
      </c>
      <c r="X658" s="11">
        <f>IFERROR(__xludf.DUMMYFUNCTION("""COMPUTED_VALUE"""),33261107)</f>
        <v>33261107</v>
      </c>
      <c r="Y658" s="11"/>
      <c r="Z658" s="11">
        <f>IFERROR(__xludf.DUMMYFUNCTION("""COMPUTED_VALUE"""),4088549449)</f>
        <v>4088549449</v>
      </c>
    </row>
    <row r="659" customHeight="1" spans="1:26">
      <c r="A659" s="11" t="str">
        <f>IFERROR(__xludf.DUMMYFUNCTION("""COMPUTED_VALUE"""),"ROSA MARIA DA SILVA JORDAO")</f>
        <v>ROSA MARIA DA SILVA JORDAO</v>
      </c>
      <c r="B659" s="11"/>
      <c r="C659" s="11"/>
      <c r="D659" s="11" t="str">
        <f>IFERROR(__xludf.DUMMYFUNCTION("""COMPUTED_VALUE"""),"Médica eSF")</f>
        <v>Médica eSF</v>
      </c>
      <c r="E659" s="11" t="str">
        <f>IFERROR(__xludf.DUMMYFUNCTION("""COMPUTED_VALUE"""),"VI")</f>
        <v>VI</v>
      </c>
      <c r="F659" s="11" t="str">
        <f>IFERROR(__xludf.DUMMYFUNCTION("""COMPUTED_VALUE"""),"SEDE DISTRITO SANITARIO VI")</f>
        <v>SEDE DISTRITO SANITARIO VI</v>
      </c>
      <c r="G659" s="11" t="str">
        <f>IFERROR(__xludf.DUMMYFUNCTION("""COMPUTED_VALUE"""),"US 174 USF SITIO GRANDE")</f>
        <v>US 174 USF SITIO GRANDE</v>
      </c>
      <c r="H659" s="27">
        <f>IFERROR(__xludf.DUMMYFUNCTION("""COMPUTED_VALUE"""),81988875211)</f>
        <v>81988875211</v>
      </c>
      <c r="I659" s="27">
        <f>IFERROR(__xludf.DUMMYFUNCTION("""COMPUTED_VALUE"""),81995268399)</f>
        <v>81995268399</v>
      </c>
      <c r="J659" s="11"/>
      <c r="K659" s="11"/>
      <c r="L659" s="11"/>
      <c r="M659" s="28" t="str">
        <f>IFERROR(__xludf.DUMMYFUNCTION("""COMPUTED_VALUE"""),"3355-6685")</f>
        <v>3355-6685</v>
      </c>
      <c r="N659" s="11" t="str">
        <f>IFERROR(__xludf.DUMMYFUNCTION("""COMPUTED_VALUE"""),"rosa_jordao@hotmail.com")</f>
        <v>rosa_jordao@hotmail.com</v>
      </c>
      <c r="O659" s="29">
        <f>IFERROR(__xludf.DUMMYFUNCTION("""COMPUTED_VALUE"""),53040430491)</f>
        <v>53040430491</v>
      </c>
      <c r="P659" s="30" t="str">
        <f>IFERROR(__xludf.DUMMYFUNCTION("""COMPUTED_VALUE"""),"206633777270004")</f>
        <v>206633777270004</v>
      </c>
      <c r="Q659" s="30" t="str">
        <f>IFERROR(__xludf.DUMMYFUNCTION("""COMPUTED_VALUE"""),"0000957")</f>
        <v>0000957</v>
      </c>
      <c r="R659" s="11"/>
      <c r="S659" s="30" t="str">
        <f>IFERROR(__xludf.DUMMYFUNCTION("""COMPUTED_VALUE"""),"1")</f>
        <v>1</v>
      </c>
      <c r="T659" s="30" t="str">
        <f>IFERROR(__xludf.DUMMYFUNCTION("""COMPUTED_VALUE"""),"225142")</f>
        <v>225142</v>
      </c>
      <c r="U659" s="31" t="str">
        <f>IFERROR(__xludf.DUMMYFUNCTION("""COMPUTED_VALUE"""),"2251")</f>
        <v>2251</v>
      </c>
      <c r="V659" s="11"/>
      <c r="W659" s="30" t="str">
        <f>IFERROR(__xludf.DUMMYFUNCTION("""COMPUTED_VALUE"""),"30/01/1967")</f>
        <v>30/01/1967</v>
      </c>
      <c r="X659" s="11"/>
      <c r="Y659" s="11"/>
      <c r="Z659" s="11"/>
    </row>
    <row r="660" customHeight="1" spans="1:26">
      <c r="A660" s="11" t="str">
        <f>IFERROR(__xludf.DUMMYFUNCTION("""COMPUTED_VALUE"""),"DANIELLE FERREIRA DE CARVALHO NUNES")</f>
        <v>DANIELLE FERREIRA DE CARVALHO NUNES</v>
      </c>
      <c r="B660" s="11"/>
      <c r="C660" s="11"/>
      <c r="D660" s="11" t="str">
        <f>IFERROR(__xludf.DUMMYFUNCTION("""COMPUTED_VALUE"""),"Enfermeira eSF")</f>
        <v>Enfermeira eSF</v>
      </c>
      <c r="E660" s="11" t="str">
        <f>IFERROR(__xludf.DUMMYFUNCTION("""COMPUTED_VALUE"""),"V")</f>
        <v>V</v>
      </c>
      <c r="F660" s="11" t="str">
        <f>IFERROR(__xludf.DUMMYFUNCTION("""COMPUTED_VALUE"""),"PACS CAÇOTE")</f>
        <v>PACS CAÇOTE</v>
      </c>
      <c r="G660" s="11" t="str">
        <f>IFERROR(__xludf.DUMMYFUNCTION("""COMPUTED_VALUE"""),"US 117 CS GASPAR REGUEIRA COSTA")</f>
        <v>US 117 CS GASPAR REGUEIRA COSTA</v>
      </c>
      <c r="H660" s="27">
        <f>IFERROR(__xludf.DUMMYFUNCTION("""COMPUTED_VALUE"""),81997079799)</f>
        <v>81997079799</v>
      </c>
      <c r="I660" s="27">
        <f>IFERROR(__xludf.DUMMYFUNCTION("""COMPUTED_VALUE"""),81998052146)</f>
        <v>81998052146</v>
      </c>
      <c r="J660" s="11"/>
      <c r="K660" s="11"/>
      <c r="L660" s="11"/>
      <c r="M660" s="28" t="str">
        <f>IFERROR(__xludf.DUMMYFUNCTION("""COMPUTED_VALUE"""),"3355-4404")</f>
        <v>3355-4404</v>
      </c>
      <c r="N660" s="11" t="str">
        <f>IFERROR(__xludf.DUMMYFUNCTION("""COMPUTED_VALUE"""),"danifcn@hotmail.com")</f>
        <v>danifcn@hotmail.com</v>
      </c>
      <c r="O660" s="29">
        <f>IFERROR(__xludf.DUMMYFUNCTION("""COMPUTED_VALUE"""),3325297463)</f>
        <v>3325297463</v>
      </c>
      <c r="P660" s="30" t="str">
        <f>IFERROR(__xludf.DUMMYFUNCTION("""COMPUTED_VALUE"""),"980016004534477")</f>
        <v>980016004534477</v>
      </c>
      <c r="Q660" s="30" t="str">
        <f>IFERROR(__xludf.DUMMYFUNCTION("""COMPUTED_VALUE"""),"0001414")</f>
        <v>0001414</v>
      </c>
      <c r="R660" s="30" t="str">
        <f>IFERROR(__xludf.DUMMYFUNCTION("""COMPUTED_VALUE"""),"0000153249")</f>
        <v>0000153249</v>
      </c>
      <c r="S660" s="30" t="str">
        <f>IFERROR(__xludf.DUMMYFUNCTION("""COMPUTED_VALUE"""),"1")</f>
        <v>1</v>
      </c>
      <c r="T660" s="30" t="str">
        <f>IFERROR(__xludf.DUMMYFUNCTION("""COMPUTED_VALUE"""),"223565")</f>
        <v>223565</v>
      </c>
      <c r="U660" s="31" t="str">
        <f>IFERROR(__xludf.DUMMYFUNCTION("""COMPUTED_VALUE"""),"2235")</f>
        <v>2235</v>
      </c>
      <c r="V660" s="11"/>
      <c r="W660" s="11">
        <f>IFERROR(__xludf.DUMMYFUNCTION("""COMPUTED_VALUE"""),87534300)</f>
        <v>87534300</v>
      </c>
      <c r="X660" s="11"/>
      <c r="Y660" s="11">
        <f>IFERROR(__xludf.DUMMYFUNCTION("""COMPUTED_VALUE"""),3597170471)</f>
        <v>3597170471</v>
      </c>
      <c r="Z660" s="11"/>
    </row>
    <row r="661" customHeight="1" spans="1:26">
      <c r="A661" s="11" t="str">
        <f>IFERROR(__xludf.DUMMYFUNCTION("""COMPUTED_VALUE"""),"MAYLANE FERNANDES NASCIMENTO")</f>
        <v>MAYLANE FERNANDES NASCIMENTO</v>
      </c>
      <c r="B661" s="11"/>
      <c r="C661" s="11"/>
      <c r="D661" s="11" t="str">
        <f>IFERROR(__xludf.DUMMYFUNCTION("""COMPUTED_VALUE"""),"Enfermeira eSF")</f>
        <v>Enfermeira eSF</v>
      </c>
      <c r="E661" s="11" t="str">
        <f>IFERROR(__xludf.DUMMYFUNCTION("""COMPUTED_VALUE"""),"VII")</f>
        <v>VII</v>
      </c>
      <c r="F661" s="11" t="str">
        <f>IFERROR(__xludf.DUMMYFUNCTION("""COMPUTED_VALUE"""),"US_290 USF DA MANGABEIRA")</f>
        <v>US_290 USF DA MANGABEIRA</v>
      </c>
      <c r="G661" s="11" t="str">
        <f>IFERROR(__xludf.DUMMYFUNCTION("""COMPUTED_VALUE"""),"US 290 USF DA MANGABEIRA")</f>
        <v>US 290 USF DA MANGABEIRA</v>
      </c>
      <c r="H661" s="27">
        <f>IFERROR(__xludf.DUMMYFUNCTION("""COMPUTED_VALUE"""),81981120511)</f>
        <v>81981120511</v>
      </c>
      <c r="I661" s="27">
        <f>IFERROR(__xludf.DUMMYFUNCTION("""COMPUTED_VALUE"""),81996188495)</f>
        <v>81996188495</v>
      </c>
      <c r="J661" s="11"/>
      <c r="K661" s="11"/>
      <c r="L661" s="11"/>
      <c r="M661" s="28" t="str">
        <f>IFERROR(__xludf.DUMMYFUNCTION("""COMPUTED_VALUE"""),"3355-6182")</f>
        <v>3355-6182</v>
      </c>
      <c r="N661" s="11" t="str">
        <f>IFERROR(__xludf.DUMMYFUNCTION("""COMPUTED_VALUE"""),"maylanefernandes@yahoo.com.br")</f>
        <v>maylanefernandes@yahoo.com.br</v>
      </c>
      <c r="O661" s="29">
        <f>IFERROR(__xludf.DUMMYFUNCTION("""COMPUTED_VALUE"""),2491887401)</f>
        <v>2491887401</v>
      </c>
      <c r="P661" s="30" t="str">
        <f>IFERROR(__xludf.DUMMYFUNCTION("""COMPUTED_VALUE"""),"980016280285486")</f>
        <v>980016280285486</v>
      </c>
      <c r="Q661" s="30" t="str">
        <f>IFERROR(__xludf.DUMMYFUNCTION("""COMPUTED_VALUE"""),"3006476")</f>
        <v>3006476</v>
      </c>
      <c r="R661" s="30" t="str">
        <f>IFERROR(__xludf.DUMMYFUNCTION("""COMPUTED_VALUE"""),"0000154946")</f>
        <v>0000154946</v>
      </c>
      <c r="S661" s="30" t="str">
        <f>IFERROR(__xludf.DUMMYFUNCTION("""COMPUTED_VALUE"""),"1")</f>
        <v>1</v>
      </c>
      <c r="T661" s="30" t="str">
        <f>IFERROR(__xludf.DUMMYFUNCTION("""COMPUTED_VALUE"""),"223565")</f>
        <v>223565</v>
      </c>
      <c r="U661" s="31" t="str">
        <f>IFERROR(__xludf.DUMMYFUNCTION("""COMPUTED_VALUE"""),"2235")</f>
        <v>2235</v>
      </c>
      <c r="V661" s="11"/>
      <c r="W661" s="11" t="str">
        <f>IFERROR(__xludf.DUMMYFUNCTION("""COMPUTED_VALUE"""),"#N/A")</f>
        <v>#N/A</v>
      </c>
      <c r="X661" s="11" t="str">
        <f>IFERROR(__xludf.DUMMYFUNCTION("""COMPUTED_VALUE"""),"#N/A")</f>
        <v>#N/A</v>
      </c>
      <c r="Y661" s="11" t="str">
        <f>IFERROR(__xludf.DUMMYFUNCTION("""COMPUTED_VALUE"""),"#N/A")</f>
        <v>#N/A</v>
      </c>
      <c r="Z661" s="11"/>
    </row>
    <row r="662" customHeight="1" spans="1:26">
      <c r="A662" s="11" t="str">
        <f>IFERROR(__xludf.DUMMYFUNCTION("""COMPUTED_VALUE"""),"ANA PAULA ALVES VERAS")</f>
        <v>ANA PAULA ALVES VERAS</v>
      </c>
      <c r="B662" s="11"/>
      <c r="C662" s="11"/>
      <c r="D662" s="11" t="str">
        <f>IFERROR(__xludf.DUMMYFUNCTION("""COMPUTED_VALUE"""),"Enfermeira eSF")</f>
        <v>Enfermeira eSF</v>
      </c>
      <c r="E662" s="11" t="str">
        <f>IFERROR(__xludf.DUMMYFUNCTION("""COMPUTED_VALUE"""),"VIII")</f>
        <v>VIII</v>
      </c>
      <c r="F662" s="11" t="str">
        <f>IFERROR(__xludf.DUMMYFUNCTION("""COMPUTED_VALUE"""),"US_282 USF VILA DAS AEROMOCAS")</f>
        <v>US_282 USF VILA DAS AEROMOCAS</v>
      </c>
      <c r="G662" s="11" t="str">
        <f>IFERROR(__xludf.DUMMYFUNCTION("""COMPUTED_VALUE"""),"US 282 USF VILA DAS AEROMOCAS")</f>
        <v>US 282 USF VILA DAS AEROMOCAS</v>
      </c>
      <c r="H662" s="27">
        <f>IFERROR(__xludf.DUMMYFUNCTION("""COMPUTED_VALUE"""),82993412136)</f>
        <v>82993412136</v>
      </c>
      <c r="I662" s="27">
        <f>IFERROR(__xludf.DUMMYFUNCTION("""COMPUTED_VALUE"""),81985518471)</f>
        <v>81985518471</v>
      </c>
      <c r="J662" s="11"/>
      <c r="K662" s="33">
        <f>IFERROR(__xludf.DUMMYFUNCTION("""COMPUTED_VALUE"""),45286)</f>
        <v>45286</v>
      </c>
      <c r="L662" s="11"/>
      <c r="M662" s="28" t="str">
        <f>IFERROR(__xludf.DUMMYFUNCTION("""COMPUTED_VALUE"""),"3355-6191")</f>
        <v>3355-6191</v>
      </c>
      <c r="N662" s="11" t="str">
        <f>IFERROR(__xludf.DUMMYFUNCTION("""COMPUTED_VALUE"""),"anapaulaalves.veras@hotmail.com")</f>
        <v>anapaulaalves.veras@hotmail.com</v>
      </c>
      <c r="O662" s="29">
        <f>IFERROR(__xludf.DUMMYFUNCTION("""COMPUTED_VALUE"""),84143185415)</f>
        <v>84143185415</v>
      </c>
      <c r="P662" s="30" t="str">
        <f>IFERROR(__xludf.DUMMYFUNCTION("""COMPUTED_VALUE"""),"980016277546088")</f>
        <v>980016277546088</v>
      </c>
      <c r="Q662" s="30" t="str">
        <f>IFERROR(__xludf.DUMMYFUNCTION("""COMPUTED_VALUE"""),"5656893")</f>
        <v>5656893</v>
      </c>
      <c r="R662" s="30" t="str">
        <f>IFERROR(__xludf.DUMMYFUNCTION("""COMPUTED_VALUE"""),"0000155985")</f>
        <v>0000155985</v>
      </c>
      <c r="S662" s="30" t="str">
        <f>IFERROR(__xludf.DUMMYFUNCTION("""COMPUTED_VALUE"""),"1")</f>
        <v>1</v>
      </c>
      <c r="T662" s="30" t="str">
        <f>IFERROR(__xludf.DUMMYFUNCTION("""COMPUTED_VALUE"""),"223565")</f>
        <v>223565</v>
      </c>
      <c r="U662" s="31" t="str">
        <f>IFERROR(__xludf.DUMMYFUNCTION("""COMPUTED_VALUE"""),"2235")</f>
        <v>2235</v>
      </c>
      <c r="V662" s="11"/>
      <c r="W662" s="11" t="str">
        <f>IFERROR(__xludf.DUMMYFUNCTION("""COMPUTED_VALUE"""),"82 93412136")</f>
        <v>82 93412136</v>
      </c>
      <c r="X662" s="11"/>
      <c r="Y662" s="11">
        <f>IFERROR(__xludf.DUMMYFUNCTION("""COMPUTED_VALUE"""),84143185415)</f>
        <v>84143185415</v>
      </c>
      <c r="Z662" s="11"/>
    </row>
    <row r="663" customHeight="1" spans="1:26">
      <c r="A663" s="11" t="str">
        <f>IFERROR(__xludf.DUMMYFUNCTION("""COMPUTED_VALUE"""),"GENILSON GOMES DE SA")</f>
        <v>GENILSON GOMES DE SA</v>
      </c>
      <c r="B663" s="11"/>
      <c r="C663" s="11"/>
      <c r="D663" s="11" t="str">
        <f>IFERROR(__xludf.DUMMYFUNCTION("""COMPUTED_VALUE"""),"Enfermeiro eSF")</f>
        <v>Enfermeiro eSF</v>
      </c>
      <c r="E663" s="11" t="str">
        <f>IFERROR(__xludf.DUMMYFUNCTION("""COMPUTED_VALUE"""),"VIII")</f>
        <v>VIII</v>
      </c>
      <c r="F663" s="11" t="str">
        <f>IFERROR(__xludf.DUMMYFUNCTION("""COMPUTED_VALUE"""),"US_313 USF TRES CARNEIROS DE BAIXO ZUMBI DO PACHECO")</f>
        <v>US_313 USF TRES CARNEIROS DE BAIXO ZUMBI DO PACHECO</v>
      </c>
      <c r="G663" s="11" t="str">
        <f>IFERROR(__xludf.DUMMYFUNCTION("""COMPUTED_VALUE"""),"US 313 USF TRES CARNEIROS DE BAIXO ZUMBI DO PACHECO")</f>
        <v>US 313 USF TRES CARNEIROS DE BAIXO ZUMBI DO PACHECO</v>
      </c>
      <c r="H663" s="27">
        <f>IFERROR(__xludf.DUMMYFUNCTION("""COMPUTED_VALUE"""),81987174576)</f>
        <v>81987174576</v>
      </c>
      <c r="I663" s="11"/>
      <c r="J663" s="11"/>
      <c r="K663" s="11"/>
      <c r="L663" s="11"/>
      <c r="M663" s="28" t="str">
        <f>IFERROR(__xludf.DUMMYFUNCTION("""COMPUTED_VALUE"""),"3355-4712")</f>
        <v>3355-4712</v>
      </c>
      <c r="N663" s="11" t="str">
        <f>IFERROR(__xludf.DUMMYFUNCTION("""COMPUTED_VALUE"""),"genislonenf@hotmail.com")</f>
        <v>genislonenf@hotmail.com</v>
      </c>
      <c r="O663" s="29">
        <f>IFERROR(__xludf.DUMMYFUNCTION("""COMPUTED_VALUE"""),62825879487)</f>
        <v>62825879487</v>
      </c>
      <c r="P663" s="30" t="str">
        <f>IFERROR(__xludf.DUMMYFUNCTION("""COMPUTED_VALUE"""),"207429051300006")</f>
        <v>207429051300006</v>
      </c>
      <c r="Q663" s="30" t="str">
        <f>IFERROR(__xludf.DUMMYFUNCTION("""COMPUTED_VALUE"""),"3569322")</f>
        <v>3569322</v>
      </c>
      <c r="R663" s="30" t="str">
        <f>IFERROR(__xludf.DUMMYFUNCTION("""COMPUTED_VALUE"""),"0000155632")</f>
        <v>0000155632</v>
      </c>
      <c r="S663" s="30" t="str">
        <f>IFERROR(__xludf.DUMMYFUNCTION("""COMPUTED_VALUE"""),"1")</f>
        <v>1</v>
      </c>
      <c r="T663" s="30" t="str">
        <f>IFERROR(__xludf.DUMMYFUNCTION("""COMPUTED_VALUE"""),"223565")</f>
        <v>223565</v>
      </c>
      <c r="U663" s="31" t="str">
        <f>IFERROR(__xludf.DUMMYFUNCTION("""COMPUTED_VALUE"""),"2235")</f>
        <v>2235</v>
      </c>
      <c r="V663" s="11"/>
      <c r="W663" s="11" t="str">
        <f>IFERROR(__xludf.DUMMYFUNCTION("""COMPUTED_VALUE"""),"81-87174576")</f>
        <v>81-87174576</v>
      </c>
      <c r="X663" s="11" t="str">
        <f>IFERROR(__xludf.DUMMYFUNCTION("""COMPUTED_VALUE"""),"87-99951853")</f>
        <v>87-99951853</v>
      </c>
      <c r="Y663" s="11">
        <f>IFERROR(__xludf.DUMMYFUNCTION("""COMPUTED_VALUE"""),62825879487)</f>
        <v>62825879487</v>
      </c>
      <c r="Z663" s="11"/>
    </row>
    <row r="664" customHeight="1" spans="1:26">
      <c r="A664" s="11" t="str">
        <f>IFERROR(__xludf.DUMMYFUNCTION("""COMPUTED_VALUE"""),"ESMERALDO RODRIGUES DE LIMA NETO")</f>
        <v>ESMERALDO RODRIGUES DE LIMA NETO</v>
      </c>
      <c r="B664" s="11"/>
      <c r="C664" s="11"/>
      <c r="D664" s="11" t="str">
        <f>IFERROR(__xludf.DUMMYFUNCTION("""COMPUTED_VALUE"""),"Enfermeiro eSF")</f>
        <v>Enfermeiro eSF</v>
      </c>
      <c r="E664" s="11" t="str">
        <f>IFERROR(__xludf.DUMMYFUNCTION("""COMPUTED_VALUE"""),"I")</f>
        <v>I</v>
      </c>
      <c r="F664" s="11" t="str">
        <f>IFERROR(__xludf.DUMMYFUNCTION("""COMPUTED_VALUE"""),"US_108 CS BOA VISTA - EACS - PACS")</f>
        <v>US_108 CS BOA VISTA - EACS - PACS</v>
      </c>
      <c r="G664" s="11" t="str">
        <f>IFERROR(__xludf.DUMMYFUNCTION("""COMPUTED_VALUE"""),"US 123 CS PROF CESAR MONTEZUMA")</f>
        <v>US 123 CS PROF CESAR MONTEZUMA</v>
      </c>
      <c r="H664" s="27">
        <f>IFERROR(__xludf.DUMMYFUNCTION("""COMPUTED_VALUE"""),81985272296)</f>
        <v>81985272296</v>
      </c>
      <c r="I664" s="11"/>
      <c r="J664" s="11"/>
      <c r="K664" s="11"/>
      <c r="L664" s="11"/>
      <c r="M664" s="28" t="str">
        <f>IFERROR(__xludf.DUMMYFUNCTION("""COMPUTED_VALUE"""),"3355-4420")</f>
        <v>3355-4420</v>
      </c>
      <c r="N664" s="11" t="str">
        <f>IFERROR(__xludf.DUMMYFUNCTION("""COMPUTED_VALUE"""),"esmeraldo.neto@yahoo.com.br")</f>
        <v>esmeraldo.neto@yahoo.com.br</v>
      </c>
      <c r="O664" s="29">
        <f>IFERROR(__xludf.DUMMYFUNCTION("""COMPUTED_VALUE"""),35328770404)</f>
        <v>35328770404</v>
      </c>
      <c r="P664" s="30" t="str">
        <f>IFERROR(__xludf.DUMMYFUNCTION("""COMPUTED_VALUE"""),"170119597320009")</f>
        <v>170119597320009</v>
      </c>
      <c r="Q664" s="30" t="str">
        <f>IFERROR(__xludf.DUMMYFUNCTION("""COMPUTED_VALUE"""),"0002143")</f>
        <v>0002143</v>
      </c>
      <c r="R664" s="30" t="str">
        <f>IFERROR(__xludf.DUMMYFUNCTION("""COMPUTED_VALUE"""),"0000153494")</f>
        <v>0000153494</v>
      </c>
      <c r="S664" s="30" t="str">
        <f>IFERROR(__xludf.DUMMYFUNCTION("""COMPUTED_VALUE"""),"1")</f>
        <v>1</v>
      </c>
      <c r="T664" s="30" t="str">
        <f>IFERROR(__xludf.DUMMYFUNCTION("""COMPUTED_VALUE"""),"223565")</f>
        <v>223565</v>
      </c>
      <c r="U664" s="31" t="str">
        <f>IFERROR(__xludf.DUMMYFUNCTION("""COMPUTED_VALUE"""),"2235")</f>
        <v>2235</v>
      </c>
      <c r="V664" s="11"/>
      <c r="W664" s="11"/>
      <c r="X664" s="11"/>
      <c r="Y664" s="11"/>
      <c r="Z664" s="11"/>
    </row>
    <row r="665" customHeight="1" spans="1:26">
      <c r="A665" s="11" t="str">
        <f>IFERROR(__xludf.DUMMYFUNCTION("""COMPUTED_VALUE"""),"ADRIANA ROCHA DE ALENCAR BARROS 218")</f>
        <v>ADRIANA ROCHA DE ALENCAR BARROS 218</v>
      </c>
      <c r="B665" s="11"/>
      <c r="C665" s="11"/>
      <c r="D665" s="11" t="str">
        <f>IFERROR(__xludf.DUMMYFUNCTION("""COMPUTED_VALUE"""),"Médica eSF")</f>
        <v>Médica eSF</v>
      </c>
      <c r="E665" s="11" t="str">
        <f>IFERROR(__xludf.DUMMYFUNCTION("""COMPUTED_VALUE"""),"I")</f>
        <v>I</v>
      </c>
      <c r="F665" s="11" t="str">
        <f>IFERROR(__xludf.DUMMYFUNCTION("""COMPUTED_VALUE"""),"US_218 USF COQUE")</f>
        <v>US_218 USF COQUE</v>
      </c>
      <c r="G665" s="11" t="str">
        <f>IFERROR(__xludf.DUMMYFUNCTION("""COMPUTED_VALUE"""),"US 218 USF COQUE")</f>
        <v>US 218 USF COQUE</v>
      </c>
      <c r="H665" s="27">
        <f>IFERROR(__xludf.DUMMYFUNCTION("""COMPUTED_VALUE"""),81999689086)</f>
        <v>81999689086</v>
      </c>
      <c r="I665" s="11"/>
      <c r="J665" s="11"/>
      <c r="K665" s="11"/>
      <c r="L665" s="11"/>
      <c r="M665" s="28" t="str">
        <f>IFERROR(__xludf.DUMMYFUNCTION("""COMPUTED_VALUE"""),"3355-4656")</f>
        <v>3355-4656</v>
      </c>
      <c r="N665" s="11" t="str">
        <f>IFERROR(__xludf.DUMMYFUNCTION("""COMPUTED_VALUE"""),"adrianarochabarros@yahoo.com.br")</f>
        <v>adrianarochabarros@yahoo.com.br</v>
      </c>
      <c r="O665" s="29">
        <f>IFERROR(__xludf.DUMMYFUNCTION("""COMPUTED_VALUE"""),2354649452)</f>
        <v>2354649452</v>
      </c>
      <c r="P665" s="30" t="str">
        <f>IFERROR(__xludf.DUMMYFUNCTION("""COMPUTED_VALUE"""),"200353702670009")</f>
        <v>200353702670009</v>
      </c>
      <c r="Q665" s="30" t="str">
        <f>IFERROR(__xludf.DUMMYFUNCTION("""COMPUTED_VALUE"""),"0001252")</f>
        <v>0001252</v>
      </c>
      <c r="R665" s="30" t="str">
        <f>IFERROR(__xludf.DUMMYFUNCTION("""COMPUTED_VALUE"""),"9000125201")</f>
        <v>9000125201</v>
      </c>
      <c r="S665" s="30" t="str">
        <f>IFERROR(__xludf.DUMMYFUNCTION("""COMPUTED_VALUE"""),"1")</f>
        <v>1</v>
      </c>
      <c r="T665" s="30" t="str">
        <f>IFERROR(__xludf.DUMMYFUNCTION("""COMPUTED_VALUE"""),"225142")</f>
        <v>225142</v>
      </c>
      <c r="U665" s="31" t="str">
        <f>IFERROR(__xludf.DUMMYFUNCTION("""COMPUTED_VALUE"""),"2251")</f>
        <v>2251</v>
      </c>
      <c r="V665" s="11"/>
      <c r="W665" s="30" t="str">
        <f>IFERROR(__xludf.DUMMYFUNCTION("""COMPUTED_VALUE"""),"23/08/1975")</f>
        <v>23/08/1975</v>
      </c>
      <c r="X665" s="11"/>
      <c r="Y665" s="11"/>
      <c r="Z665" s="11"/>
    </row>
    <row r="666" customHeight="1" spans="1:26">
      <c r="A666" s="11" t="str">
        <f>IFERROR(__xludf.DUMMYFUNCTION("""COMPUTED_VALUE"""),"MARIANNA MACIEL SCHETTINI DE QUEIROZ")</f>
        <v>MARIANNA MACIEL SCHETTINI DE QUEIROZ</v>
      </c>
      <c r="B666" s="11"/>
      <c r="C666" s="11"/>
      <c r="D666" s="11" t="str">
        <f>IFERROR(__xludf.DUMMYFUNCTION("""COMPUTED_VALUE"""),"Médica eSF")</f>
        <v>Médica eSF</v>
      </c>
      <c r="E666" s="11" t="str">
        <f>IFERROR(__xludf.DUMMYFUNCTION("""COMPUTED_VALUE"""),"I")</f>
        <v>I</v>
      </c>
      <c r="F666" s="11" t="str">
        <f>IFERROR(__xludf.DUMMYFUNCTION("""COMPUTED_VALUE"""),"US_270 USF MONTE VERDE")</f>
        <v>US_270 USF MONTE VERDE</v>
      </c>
      <c r="G666" s="11" t="str">
        <f>IFERROR(__xludf.DUMMYFUNCTION("""COMPUTED_VALUE"""),"US 270 USF MONTE VERDE")</f>
        <v>US 270 USF MONTE VERDE</v>
      </c>
      <c r="H666" s="27">
        <f>IFERROR(__xludf.DUMMYFUNCTION("""COMPUTED_VALUE"""),81991032804)</f>
        <v>81991032804</v>
      </c>
      <c r="I666" s="11"/>
      <c r="J666" s="11"/>
      <c r="K666" s="11"/>
      <c r="L666" s="11"/>
      <c r="M666" s="28" t="str">
        <f>IFERROR(__xludf.DUMMYFUNCTION("""COMPUTED_VALUE"""),"3355-4656")</f>
        <v>3355-4656</v>
      </c>
      <c r="N666" s="11" t="str">
        <f>IFERROR(__xludf.DUMMYFUNCTION("""COMPUTED_VALUE"""),"marimsq@hotmail.com")</f>
        <v>marimsq@hotmail.com</v>
      </c>
      <c r="O666" s="29">
        <f>IFERROR(__xludf.DUMMYFUNCTION("""COMPUTED_VALUE"""),9694131499)</f>
        <v>9694131499</v>
      </c>
      <c r="P666" s="30" t="str">
        <f>IFERROR(__xludf.DUMMYFUNCTION("""COMPUTED_VALUE"""),"700102943829718")</f>
        <v>700102943829718</v>
      </c>
      <c r="Q666" s="30" t="str">
        <f>IFERROR(__xludf.DUMMYFUNCTION("""COMPUTED_VALUE"""),"0001252")</f>
        <v>0001252</v>
      </c>
      <c r="R666" s="30" t="str">
        <f>IFERROR(__xludf.DUMMYFUNCTION("""COMPUTED_VALUE"""),"0000153184")</f>
        <v>0000153184</v>
      </c>
      <c r="S666" s="30" t="str">
        <f>IFERROR(__xludf.DUMMYFUNCTION("""COMPUTED_VALUE"""),"3")</f>
        <v>3</v>
      </c>
      <c r="T666" s="30" t="str">
        <f>IFERROR(__xludf.DUMMYFUNCTION("""COMPUTED_VALUE"""),"225142")</f>
        <v>225142</v>
      </c>
      <c r="U666" s="11">
        <f>IFERROR(__xludf.DUMMYFUNCTION("""COMPUTED_VALUE"""),2251)</f>
        <v>2251</v>
      </c>
      <c r="V666" s="11" t="str">
        <f>IFERROR(__xludf.DUMMYFUNCTION("""COMPUTED_VALUE"""),"SIM")</f>
        <v>SIM</v>
      </c>
      <c r="W666" s="11"/>
      <c r="X666" s="11" t="str">
        <f>IFERROR(__xludf.DUMMYFUNCTION("""COMPUTED_VALUE"""),"#N/A")</f>
        <v>#N/A</v>
      </c>
      <c r="Y666" s="11" t="str">
        <f>IFERROR(__xludf.DUMMYFUNCTION("""COMPUTED_VALUE"""),"#N/A")</f>
        <v>#N/A</v>
      </c>
      <c r="Z666" s="11" t="str">
        <f>IFERROR(__xludf.DUMMYFUNCTION("""COMPUTED_VALUE"""),"#N/A")</f>
        <v>#N/A</v>
      </c>
    </row>
    <row r="667" customHeight="1" spans="1:26">
      <c r="A667" s="11" t="str">
        <f>IFERROR(__xludf.DUMMYFUNCTION("""COMPUTED_VALUE"""),"CLAUDIA DE LIMA ARAUJO")</f>
        <v>CLAUDIA DE LIMA ARAUJO</v>
      </c>
      <c r="B667" s="11"/>
      <c r="C667" s="11" t="str">
        <f>IFERROR(__xludf.DUMMYFUNCTION("""COMPUTED_VALUE"""),"Sem whatsapp")</f>
        <v>Sem whatsapp</v>
      </c>
      <c r="D667" s="11" t="str">
        <f>IFERROR(__xludf.DUMMYFUNCTION("""COMPUTED_VALUE"""),"Enfermeira eSF")</f>
        <v>Enfermeira eSF</v>
      </c>
      <c r="E667" s="11" t="str">
        <f>IFERROR(__xludf.DUMMYFUNCTION("""COMPUTED_VALUE"""),"I")</f>
        <v>I</v>
      </c>
      <c r="F667" s="11" t="str">
        <f>IFERROR(__xludf.DUMMYFUNCTION("""COMPUTED_VALUE"""),"US_232 USF ILHA SANTA TEREZINHA	")</f>
        <v>US_232 USF ILHA SANTA TEREZINHA	</v>
      </c>
      <c r="G667" s="11" t="str">
        <f>IFERROR(__xludf.DUMMYFUNCTION("""COMPUTED_VALUE"""),"US 232 USF ILHA SANTA TEREZINHA")</f>
        <v>US 232 USF ILHA SANTA TEREZINHA</v>
      </c>
      <c r="H667" s="27">
        <f>IFERROR(__xludf.DUMMYFUNCTION("""COMPUTED_VALUE"""),81997720633)</f>
        <v>81997720633</v>
      </c>
      <c r="I667" s="11"/>
      <c r="J667" s="11"/>
      <c r="K667" s="11"/>
      <c r="L667" s="11"/>
      <c r="M667" s="28" t="str">
        <f>IFERROR(__xludf.DUMMYFUNCTION("""COMPUTED_VALUE"""),"3355-4668")</f>
        <v>3355-4668</v>
      </c>
      <c r="N667" s="11" t="str">
        <f>IFERROR(__xludf.DUMMYFUNCTION("""COMPUTED_VALUE"""),"claudia.laraujo@hotmail.com")</f>
        <v>claudia.laraujo@hotmail.com</v>
      </c>
      <c r="O667" s="29">
        <f>IFERROR(__xludf.DUMMYFUNCTION("""COMPUTED_VALUE"""),91049393449)</f>
        <v>91049393449</v>
      </c>
      <c r="P667" s="30" t="str">
        <f>IFERROR(__xludf.DUMMYFUNCTION("""COMPUTED_VALUE"""),"980016281231274")</f>
        <v>980016281231274</v>
      </c>
      <c r="Q667" s="30" t="str">
        <f>IFERROR(__xludf.DUMMYFUNCTION("""COMPUTED_VALUE"""),"0022187")</f>
        <v>0022187</v>
      </c>
      <c r="R667" s="30" t="str">
        <f>IFERROR(__xludf.DUMMYFUNCTION("""COMPUTED_VALUE"""),"0000153540")</f>
        <v>0000153540</v>
      </c>
      <c r="S667" s="30" t="str">
        <f>IFERROR(__xludf.DUMMYFUNCTION("""COMPUTED_VALUE"""),"1")</f>
        <v>1</v>
      </c>
      <c r="T667" s="30" t="str">
        <f>IFERROR(__xludf.DUMMYFUNCTION("""COMPUTED_VALUE"""),"223565")</f>
        <v>223565</v>
      </c>
      <c r="U667" s="31" t="str">
        <f>IFERROR(__xludf.DUMMYFUNCTION("""COMPUTED_VALUE"""),"2235")</f>
        <v>2235</v>
      </c>
      <c r="V667" s="11"/>
      <c r="W667" s="11">
        <f>IFERROR(__xludf.DUMMYFUNCTION("""COMPUTED_VALUE"""),8182102330)</f>
        <v>8182102330</v>
      </c>
      <c r="X667" s="11">
        <f>IFERROR(__xludf.DUMMYFUNCTION("""COMPUTED_VALUE"""),8197720633)</f>
        <v>8197720633</v>
      </c>
      <c r="Y667" s="11">
        <f>IFERROR(__xludf.DUMMYFUNCTION("""COMPUTED_VALUE"""),91049393449)</f>
        <v>91049393449</v>
      </c>
      <c r="Z667" s="11"/>
    </row>
    <row r="668" customHeight="1" spans="1:26">
      <c r="A668" s="11" t="str">
        <f>IFERROR(__xludf.DUMMYFUNCTION("""COMPUTED_VALUE"""),"RAQUEL BRAZ CAVALCANTI")</f>
        <v>RAQUEL BRAZ CAVALCANTI</v>
      </c>
      <c r="B668" s="11"/>
      <c r="C668" s="11"/>
      <c r="D668" s="11" t="str">
        <f>IFERROR(__xludf.DUMMYFUNCTION("""COMPUTED_VALUE"""),"Dentista")</f>
        <v>Dentista</v>
      </c>
      <c r="E668" s="11" t="str">
        <f>IFERROR(__xludf.DUMMYFUNCTION("""COMPUTED_VALUE"""),"I")</f>
        <v>I</v>
      </c>
      <c r="F668" s="11" t="str">
        <f>IFERROR(__xludf.DUMMYFUNCTION("""COMPUTED_VALUE"""),"US_232 USF ILHA SANTA TEREZINHA	")</f>
        <v>US_232 USF ILHA SANTA TEREZINHA	</v>
      </c>
      <c r="G668" s="11" t="str">
        <f>IFERROR(__xludf.DUMMYFUNCTION("""COMPUTED_VALUE"""),"US 232 USF ILHA SANTA TEREZINHA")</f>
        <v>US 232 USF ILHA SANTA TEREZINHA</v>
      </c>
      <c r="H668" s="27">
        <f>IFERROR(__xludf.DUMMYFUNCTION("""COMPUTED_VALUE"""),81999824448)</f>
        <v>81999824448</v>
      </c>
      <c r="I668" s="11"/>
      <c r="J668" s="11"/>
      <c r="K668" s="11"/>
      <c r="L668" s="11"/>
      <c r="M668" s="28" t="str">
        <f>IFERROR(__xludf.DUMMYFUNCTION("""COMPUTED_VALUE"""),"3355-4668")</f>
        <v>3355-4668</v>
      </c>
      <c r="N668" s="11" t="str">
        <f>IFERROR(__xludf.DUMMYFUNCTION("""COMPUTED_VALUE"""),"raquelbcavalcanti@hotmail.com")</f>
        <v>raquelbcavalcanti@hotmail.com</v>
      </c>
      <c r="O668" s="29">
        <f>IFERROR(__xludf.DUMMYFUNCTION("""COMPUTED_VALUE"""),93547420415)</f>
        <v>93547420415</v>
      </c>
      <c r="P668" s="30" t="str">
        <f>IFERROR(__xludf.DUMMYFUNCTION("""COMPUTED_VALUE"""),"980016295054248")</f>
        <v>980016295054248</v>
      </c>
      <c r="Q668" s="30" t="str">
        <f>IFERROR(__xludf.DUMMYFUNCTION("""COMPUTED_VALUE"""),"0022187")</f>
        <v>0022187</v>
      </c>
      <c r="R668" s="30" t="str">
        <f>IFERROR(__xludf.DUMMYFUNCTION("""COMPUTED_VALUE"""),"0000153540")</f>
        <v>0000153540</v>
      </c>
      <c r="S668" s="30" t="str">
        <f>IFERROR(__xludf.DUMMYFUNCTION("""COMPUTED_VALUE"""),"1")</f>
        <v>1</v>
      </c>
      <c r="T668" s="30" t="str">
        <f>IFERROR(__xludf.DUMMYFUNCTION("""COMPUTED_VALUE"""),"223288")</f>
        <v>223288</v>
      </c>
      <c r="U668" s="31">
        <f>IFERROR(__xludf.DUMMYFUNCTION("""COMPUTED_VALUE"""),2232)</f>
        <v>2232</v>
      </c>
      <c r="V668" s="11"/>
      <c r="W668" s="11"/>
      <c r="X668" s="11"/>
      <c r="Y668" s="11"/>
      <c r="Z668" s="11"/>
    </row>
    <row r="669" customHeight="1" spans="1:26">
      <c r="A669" s="11" t="str">
        <f>IFERROR(__xludf.DUMMYFUNCTION("""COMPUTED_VALUE"""),"AMILTON FELIPE SANTIAGO")</f>
        <v>AMILTON FELIPE SANTIAGO</v>
      </c>
      <c r="B669" s="11"/>
      <c r="C669" s="11"/>
      <c r="D669" s="11" t="str">
        <f>IFERROR(__xludf.DUMMYFUNCTION("""COMPUTED_VALUE"""),"Médico eSF")</f>
        <v>Médico eSF</v>
      </c>
      <c r="E669" s="11"/>
      <c r="F669" s="11"/>
      <c r="G669" s="11" t="str">
        <f>IFERROR(__xludf.DUMMYFUNCTION("""COMPUTED_VALUE"""),"US 240 USF COELHOS I")</f>
        <v>US 240 USF COELHOS I</v>
      </c>
      <c r="H669" s="11"/>
      <c r="I669" s="11"/>
      <c r="J669" s="11"/>
      <c r="K669" s="11"/>
      <c r="L669" s="11"/>
      <c r="M669" s="11"/>
      <c r="N669" s="11"/>
      <c r="O669" s="11"/>
      <c r="P669" s="11"/>
      <c r="Q669" s="11"/>
      <c r="R669" s="11"/>
      <c r="S669" s="11"/>
      <c r="T669" s="11"/>
      <c r="U669" s="11"/>
      <c r="V669" s="11"/>
      <c r="W669" s="11"/>
      <c r="X669" s="11"/>
      <c r="Y669" s="11"/>
      <c r="Z669" s="11"/>
    </row>
    <row r="670" customHeight="1" spans="1:26">
      <c r="A670" s="11" t="str">
        <f>IFERROR(__xludf.DUMMYFUNCTION("""COMPUTED_VALUE"""),"LUIZ CLAUDIO BERNARDO DO NASCIMENTO")</f>
        <v>LUIZ CLAUDIO BERNARDO DO NASCIMENTO</v>
      </c>
      <c r="B670" s="11" t="str">
        <f>IFERROR(__xludf.DUMMYFUNCTION("""COMPUTED_VALUE"""),"RECUSA TELECONSULTORIA")</f>
        <v>RECUSA TELECONSULTORIA</v>
      </c>
      <c r="C670" s="11" t="str">
        <f>IFERROR(__xludf.DUMMYFUNCTION("""COMPUTED_VALUE"""),"3355-4648: ALEGOU QUE NÃO PODEMOS USAR O CONTATO PESSOAL PARA TRABALHO")</f>
        <v>3355-4648: ALEGOU QUE NÃO PODEMOS USAR O CONTATO PESSOAL PARA TRABALHO</v>
      </c>
      <c r="D670" s="11" t="str">
        <f>IFERROR(__xludf.DUMMYFUNCTION("""COMPUTED_VALUE"""),"Médico eSF")</f>
        <v>Médico eSF</v>
      </c>
      <c r="E670" s="11" t="str">
        <f>IFERROR(__xludf.DUMMYFUNCTION("""COMPUTED_VALUE"""),"I")</f>
        <v>I</v>
      </c>
      <c r="F670" s="11" t="str">
        <f>IFERROR(__xludf.DUMMYFUNCTION("""COMPUTED_VALUE"""),"US_240 USF COELHOS I	")</f>
        <v>US_240 USF COELHOS I	</v>
      </c>
      <c r="G670" s="11" t="str">
        <f>IFERROR(__xludf.DUMMYFUNCTION("""COMPUTED_VALUE"""),"US 240 USF COELHOS I")</f>
        <v>US 240 USF COELHOS I</v>
      </c>
      <c r="H670" s="27">
        <f>IFERROR(__xludf.DUMMYFUNCTION("""COMPUTED_VALUE"""),81999966731)</f>
        <v>81999966731</v>
      </c>
      <c r="I670" s="11"/>
      <c r="J670" s="11"/>
      <c r="K670" s="24">
        <f>IFERROR(__xludf.DUMMYFUNCTION("""COMPUTED_VALUE"""),45152)</f>
        <v>45152</v>
      </c>
      <c r="L670" s="28" t="str">
        <f>IFERROR(__xludf.DUMMYFUNCTION("""COMPUTED_VALUE"""),"X")</f>
        <v>X</v>
      </c>
      <c r="M670" s="28" t="str">
        <f>IFERROR(__xludf.DUMMYFUNCTION("""COMPUTED_VALUE"""),"3355-4648")</f>
        <v>3355-4648</v>
      </c>
      <c r="N670" s="11" t="str">
        <f>IFERROR(__xludf.DUMMYFUNCTION("""COMPUTED_VALUE"""),"CLAUDIOBERNARDOMED@HOTMAIL.COM")</f>
        <v>CLAUDIOBERNARDOMED@HOTMAIL.COM</v>
      </c>
      <c r="O670" s="29">
        <f>IFERROR(__xludf.DUMMYFUNCTION("""COMPUTED_VALUE"""),2673998470)</f>
        <v>2673998470</v>
      </c>
      <c r="P670" s="30" t="str">
        <f>IFERROR(__xludf.DUMMYFUNCTION("""COMPUTED_VALUE"""),"129826474530003")</f>
        <v>129826474530003</v>
      </c>
      <c r="Q670" s="30" t="str">
        <f>IFERROR(__xludf.DUMMYFUNCTION("""COMPUTED_VALUE"""),"0022195")</f>
        <v>0022195</v>
      </c>
      <c r="R670" s="30" t="str">
        <f>IFERROR(__xludf.DUMMYFUNCTION("""COMPUTED_VALUE"""),"0000153567")</f>
        <v>0000153567</v>
      </c>
      <c r="S670" s="30" t="str">
        <f>IFERROR(__xludf.DUMMYFUNCTION("""COMPUTED_VALUE"""),"1")</f>
        <v>1</v>
      </c>
      <c r="T670" s="30" t="str">
        <f>IFERROR(__xludf.DUMMYFUNCTION("""COMPUTED_VALUE"""),"225142")</f>
        <v>225142</v>
      </c>
      <c r="U670" s="11">
        <f>IFERROR(__xludf.DUMMYFUNCTION("""COMPUTED_VALUE"""),2251)</f>
        <v>2251</v>
      </c>
      <c r="V670" s="11"/>
      <c r="W670" s="11"/>
      <c r="X670" s="11"/>
      <c r="Y670" s="11"/>
      <c r="Z670" s="11"/>
    </row>
    <row r="671" customHeight="1" spans="1:26">
      <c r="A671" s="11" t="str">
        <f>IFERROR(__xludf.DUMMYFUNCTION("""COMPUTED_VALUE"""),"SHIRLENE ALVES ALHEIROS")</f>
        <v>SHIRLENE ALVES ALHEIROS</v>
      </c>
      <c r="B671" s="11"/>
      <c r="C671" s="11"/>
      <c r="D671" s="11" t="str">
        <f>IFERROR(__xludf.DUMMYFUNCTION("""COMPUTED_VALUE"""),"Enfermeira eSF")</f>
        <v>Enfermeira eSF</v>
      </c>
      <c r="E671" s="11" t="str">
        <f>IFERROR(__xludf.DUMMYFUNCTION("""COMPUTED_VALUE"""),"I")</f>
        <v>I</v>
      </c>
      <c r="F671" s="11" t="str">
        <f>IFERROR(__xludf.DUMMYFUNCTION("""COMPUTED_VALUE"""),"US_241 USF COELHOS II")</f>
        <v>US_241 USF COELHOS II</v>
      </c>
      <c r="G671" s="11" t="str">
        <f>IFERROR(__xludf.DUMMYFUNCTION("""COMPUTED_VALUE"""),"US 241 USF COELHOS II")</f>
        <v>US 241 USF COELHOS II</v>
      </c>
      <c r="H671" s="27">
        <f>IFERROR(__xludf.DUMMYFUNCTION("""COMPUTED_VALUE"""),81988843980)</f>
        <v>81988843980</v>
      </c>
      <c r="I671" s="11"/>
      <c r="J671" s="11"/>
      <c r="K671" s="11"/>
      <c r="L671" s="11"/>
      <c r="M671" s="28" t="str">
        <f>IFERROR(__xludf.DUMMYFUNCTION("""COMPUTED_VALUE"""),"3355-4653")</f>
        <v>3355-4653</v>
      </c>
      <c r="N671" s="11" t="str">
        <f>IFERROR(__xludf.DUMMYFUNCTION("""COMPUTED_VALUE"""),"shirlenealvesalheiros@gmail.com")</f>
        <v>shirlenealvesalheiros@gmail.com</v>
      </c>
      <c r="O671" s="29">
        <f>IFERROR(__xludf.DUMMYFUNCTION("""COMPUTED_VALUE"""),16684184449)</f>
        <v>16684184449</v>
      </c>
      <c r="P671" s="30" t="str">
        <f>IFERROR(__xludf.DUMMYFUNCTION("""COMPUTED_VALUE"""),"209066164890000")</f>
        <v>209066164890000</v>
      </c>
      <c r="Q671" s="30" t="str">
        <f>IFERROR(__xludf.DUMMYFUNCTION("""COMPUTED_VALUE"""),"0022209")</f>
        <v>0022209</v>
      </c>
      <c r="R671" s="30" t="str">
        <f>IFERROR(__xludf.DUMMYFUNCTION("""COMPUTED_VALUE"""),"0000153575")</f>
        <v>0000153575</v>
      </c>
      <c r="S671" s="30" t="str">
        <f>IFERROR(__xludf.DUMMYFUNCTION("""COMPUTED_VALUE"""),"1")</f>
        <v>1</v>
      </c>
      <c r="T671" s="30" t="str">
        <f>IFERROR(__xludf.DUMMYFUNCTION("""COMPUTED_VALUE"""),"223565")</f>
        <v>223565</v>
      </c>
      <c r="U671" s="31" t="str">
        <f>IFERROR(__xludf.DUMMYFUNCTION("""COMPUTED_VALUE"""),"2235")</f>
        <v>2235</v>
      </c>
      <c r="V671" s="11"/>
      <c r="W671" s="11">
        <f>IFERROR(__xludf.DUMMYFUNCTION("""COMPUTED_VALUE"""),88843980)</f>
        <v>88843980</v>
      </c>
      <c r="X671" s="11">
        <f>IFERROR(__xludf.DUMMYFUNCTION("""COMPUTED_VALUE"""),34394417)</f>
        <v>34394417</v>
      </c>
      <c r="Y671" s="11">
        <f>IFERROR(__xludf.DUMMYFUNCTION("""COMPUTED_VALUE"""),16684184449)</f>
        <v>16684184449</v>
      </c>
      <c r="Z671" s="11"/>
    </row>
    <row r="672" customHeight="1" spans="1:26">
      <c r="A672" s="11" t="str">
        <f>IFERROR(__xludf.DUMMYFUNCTION("""COMPUTED_VALUE"""),"PATRICIA CAVALCANTE PINHEIRO")</f>
        <v>PATRICIA CAVALCANTE PINHEIRO</v>
      </c>
      <c r="B672" s="11"/>
      <c r="C672" s="11"/>
      <c r="D672" s="11" t="str">
        <f>IFERROR(__xludf.DUMMYFUNCTION("""COMPUTED_VALUE"""),"Enfermeira eSF")</f>
        <v>Enfermeira eSF</v>
      </c>
      <c r="E672" s="11" t="str">
        <f>IFERROR(__xludf.DUMMYFUNCTION("""COMPUTED_VALUE"""),"I")</f>
        <v>I</v>
      </c>
      <c r="F672" s="11" t="str">
        <f>IFERROR(__xludf.DUMMYFUNCTION("""COMPUTED_VALUE"""),"US_306 CAPS AD PROF LUIZ CERQUEIRA")</f>
        <v>US_306 CAPS AD PROF LUIZ CERQUEIRA</v>
      </c>
      <c r="G672" s="11" t="str">
        <f>IFERROR(__xludf.DUMMYFUNCTION("""COMPUTED_VALUE"""),"US 242 USF SANTO AMARO I SITIO DO CEU")</f>
        <v>US 242 USF SANTO AMARO I SITIO DO CEU</v>
      </c>
      <c r="H672" s="27">
        <f>IFERROR(__xludf.DUMMYFUNCTION("""COMPUTED_VALUE"""),81991099535)</f>
        <v>81991099535</v>
      </c>
      <c r="I672" s="11"/>
      <c r="J672" s="11"/>
      <c r="K672" s="11"/>
      <c r="L672" s="11"/>
      <c r="M672" s="28" t="str">
        <f>IFERROR(__xludf.DUMMYFUNCTION("""COMPUTED_VALUE"""),"3355-4704")</f>
        <v>3355-4704</v>
      </c>
      <c r="N672" s="11" t="str">
        <f>IFERROR(__xludf.DUMMYFUNCTION("""COMPUTED_VALUE"""),"pinheirocp@hotmail.com")</f>
        <v>pinheirocp@hotmail.com</v>
      </c>
      <c r="O672" s="29">
        <f>IFERROR(__xludf.DUMMYFUNCTION("""COMPUTED_VALUE"""),71421521334)</f>
        <v>71421521334</v>
      </c>
      <c r="P672" s="30" t="str">
        <f>IFERROR(__xludf.DUMMYFUNCTION("""COMPUTED_VALUE"""),"200913744340001")</f>
        <v>200913744340001</v>
      </c>
      <c r="Q672" s="30" t="str">
        <f>IFERROR(__xludf.DUMMYFUNCTION("""COMPUTED_VALUE"""),"0022217")</f>
        <v>0022217</v>
      </c>
      <c r="R672" s="30" t="str">
        <f>IFERROR(__xludf.DUMMYFUNCTION("""COMPUTED_VALUE"""),"0000153583")</f>
        <v>0000153583</v>
      </c>
      <c r="S672" s="30" t="str">
        <f>IFERROR(__xludf.DUMMYFUNCTION("""COMPUTED_VALUE"""),"1")</f>
        <v>1</v>
      </c>
      <c r="T672" s="30" t="str">
        <f>IFERROR(__xludf.DUMMYFUNCTION("""COMPUTED_VALUE"""),"223565")</f>
        <v>223565</v>
      </c>
      <c r="U672" s="31" t="str">
        <f>IFERROR(__xludf.DUMMYFUNCTION("""COMPUTED_VALUE"""),"2235")</f>
        <v>2235</v>
      </c>
      <c r="V672" s="11"/>
      <c r="W672" s="11" t="str">
        <f>IFERROR(__xludf.DUMMYFUNCTION("""COMPUTED_VALUE"""),"#N/A")</f>
        <v>#N/A</v>
      </c>
      <c r="X672" s="11" t="str">
        <f>IFERROR(__xludf.DUMMYFUNCTION("""COMPUTED_VALUE"""),"#N/A")</f>
        <v>#N/A</v>
      </c>
      <c r="Y672" s="11" t="str">
        <f>IFERROR(__xludf.DUMMYFUNCTION("""COMPUTED_VALUE"""),"#N/A")</f>
        <v>#N/A</v>
      </c>
      <c r="Z672" s="11"/>
    </row>
    <row r="673" customHeight="1" spans="1:26">
      <c r="A673" s="11" t="str">
        <f>IFERROR(__xludf.DUMMYFUNCTION("""COMPUTED_VALUE"""),"JOÃO PAULO MEDEIROS")</f>
        <v>JOÃO PAULO MEDEIROS</v>
      </c>
      <c r="B673" s="11"/>
      <c r="C673" s="11"/>
      <c r="D673" s="11" t="str">
        <f>IFERROR(__xludf.DUMMYFUNCTION("""COMPUTED_VALUE"""),"MÉDICO RESIDENTE")</f>
        <v>MÉDICO RESIDENTE</v>
      </c>
      <c r="E673" s="11"/>
      <c r="F673" s="11"/>
      <c r="G673" s="11" t="str">
        <f>IFERROR(__xludf.DUMMYFUNCTION("""COMPUTED_VALUE"""),"US 242 USF SANTO AMARO I SITIO DO CEU")</f>
        <v>US 242 USF SANTO AMARO I SITIO DO CEU</v>
      </c>
      <c r="H673" s="27">
        <f>IFERROR(__xludf.DUMMYFUNCTION("""COMPUTED_VALUE"""),84999747495)</f>
        <v>84999747495</v>
      </c>
      <c r="I673" s="11"/>
      <c r="J673" s="11"/>
      <c r="K673" s="24">
        <f>IFERROR(__xludf.DUMMYFUNCTION("""COMPUTED_VALUE"""),45370)</f>
        <v>45370</v>
      </c>
      <c r="L673" s="11"/>
      <c r="M673" s="11"/>
      <c r="N673" s="11"/>
      <c r="O673" s="11"/>
      <c r="P673" s="11"/>
      <c r="Q673" s="11"/>
      <c r="R673" s="11"/>
      <c r="S673" s="11"/>
      <c r="T673" s="11"/>
      <c r="U673" s="11"/>
      <c r="V673" s="11"/>
      <c r="W673" s="11"/>
      <c r="X673" s="11"/>
      <c r="Y673" s="11"/>
      <c r="Z673" s="11"/>
    </row>
    <row r="674" customHeight="1" spans="1:26">
      <c r="A674" s="11" t="str">
        <f>IFERROR(__xludf.DUMMYFUNCTION("""COMPUTED_VALUE"""),"BRUNA PESSOA DE MELO PEREIRA")</f>
        <v>BRUNA PESSOA DE MELO PEREIRA</v>
      </c>
      <c r="B674" s="11"/>
      <c r="C674" s="11"/>
      <c r="D674" s="11" t="str">
        <f>IFERROR(__xludf.DUMMYFUNCTION("""COMPUTED_VALUE"""),"Médica eSF")</f>
        <v>Médica eSF</v>
      </c>
      <c r="E674" s="11" t="str">
        <f>IFERROR(__xludf.DUMMYFUNCTION("""COMPUTED_VALUE"""),"I")</f>
        <v>I</v>
      </c>
      <c r="F674" s="11"/>
      <c r="G674" s="11" t="str">
        <f>IFERROR(__xludf.DUMMYFUNCTION("""COMPUTED_VALUE"""),"US 242 USF SANTO AMARO I SITIO DO CEU")</f>
        <v>US 242 USF SANTO AMARO I SITIO DO CEU</v>
      </c>
      <c r="H674" s="27">
        <f>IFERROR(__xludf.DUMMYFUNCTION("""COMPUTED_VALUE"""),81998079620)</f>
        <v>81998079620</v>
      </c>
      <c r="I674" s="27">
        <f>IFERROR(__xludf.DUMMYFUNCTION("""COMPUTED_VALUE"""),81998079620)</f>
        <v>81998079620</v>
      </c>
      <c r="J674" s="11"/>
      <c r="K674" s="11"/>
      <c r="L674" s="11"/>
      <c r="M674" s="11"/>
      <c r="N674" s="11"/>
      <c r="O674" s="11"/>
      <c r="P674" s="11"/>
      <c r="Q674" s="11"/>
      <c r="R674" s="11"/>
      <c r="S674" s="11"/>
      <c r="T674" s="11"/>
      <c r="U674" s="11"/>
      <c r="V674" s="11"/>
      <c r="W674" s="11"/>
      <c r="X674" s="11"/>
      <c r="Y674" s="11"/>
      <c r="Z674" s="11"/>
    </row>
    <row r="675" customHeight="1" spans="1:26">
      <c r="A675" s="11" t="str">
        <f>IFERROR(__xludf.DUMMYFUNCTION("""COMPUTED_VALUE"""),"JUSSARA DA COSTA FURTADO")</f>
        <v>JUSSARA DA COSTA FURTADO</v>
      </c>
      <c r="B675" s="11"/>
      <c r="C675" s="11"/>
      <c r="D675" s="11" t="str">
        <f>IFERROR(__xludf.DUMMYFUNCTION("""COMPUTED_VALUE"""),"Enfermeira eSF")</f>
        <v>Enfermeira eSF</v>
      </c>
      <c r="E675" s="11" t="str">
        <f>IFERROR(__xludf.DUMMYFUNCTION("""COMPUTED_VALUE"""),"I")</f>
        <v>I</v>
      </c>
      <c r="F675" s="11" t="str">
        <f>IFERROR(__xludf.DUMMYFUNCTION("""COMPUTED_VALUE"""),"US_243 USF SANTO AMARO II")</f>
        <v>US_243 USF SANTO AMARO II</v>
      </c>
      <c r="G675" s="11" t="str">
        <f>IFERROR(__xludf.DUMMYFUNCTION("""COMPUTED_VALUE"""),"US 243 USF SANTO AMARO II")</f>
        <v>US 243 USF SANTO AMARO II</v>
      </c>
      <c r="H675" s="27">
        <f>IFERROR(__xludf.DUMMYFUNCTION("""COMPUTED_VALUE"""),81992737272)</f>
        <v>81992737272</v>
      </c>
      <c r="I675" s="27">
        <f>IFERROR(__xludf.DUMMYFUNCTION("""COMPUTED_VALUE"""),81987349640)</f>
        <v>81987349640</v>
      </c>
      <c r="J675" s="11"/>
      <c r="K675" s="33">
        <f>IFERROR(__xludf.DUMMYFUNCTION("""COMPUTED_VALUE"""),45281)</f>
        <v>45281</v>
      </c>
      <c r="L675" s="11"/>
      <c r="M675" s="28" t="str">
        <f>IFERROR(__xludf.DUMMYFUNCTION("""COMPUTED_VALUE"""),"3355-6798")</f>
        <v>3355-6798</v>
      </c>
      <c r="N675" s="11" t="str">
        <f>IFERROR(__xludf.DUMMYFUNCTION("""COMPUTED_VALUE"""),"jussarafurtado@gmail.com")</f>
        <v>jussarafurtado@gmail.com</v>
      </c>
      <c r="O675" s="29">
        <f>IFERROR(__xludf.DUMMYFUNCTION("""COMPUTED_VALUE"""),1910193488)</f>
        <v>1910193488</v>
      </c>
      <c r="P675" s="30" t="str">
        <f>IFERROR(__xludf.DUMMYFUNCTION("""COMPUTED_VALUE"""),"201560973320008")</f>
        <v>201560973320008</v>
      </c>
      <c r="Q675" s="30" t="str">
        <f>IFERROR(__xludf.DUMMYFUNCTION("""COMPUTED_VALUE"""),"0022225")</f>
        <v>0022225</v>
      </c>
      <c r="R675" s="30" t="str">
        <f>IFERROR(__xludf.DUMMYFUNCTION("""COMPUTED_VALUE"""),"0000153605")</f>
        <v>0000153605</v>
      </c>
      <c r="S675" s="30" t="str">
        <f>IFERROR(__xludf.DUMMYFUNCTION("""COMPUTED_VALUE"""),"1")</f>
        <v>1</v>
      </c>
      <c r="T675" s="30" t="str">
        <f>IFERROR(__xludf.DUMMYFUNCTION("""COMPUTED_VALUE"""),"223565")</f>
        <v>223565</v>
      </c>
      <c r="U675" s="31" t="str">
        <f>IFERROR(__xludf.DUMMYFUNCTION("""COMPUTED_VALUE"""),"2235")</f>
        <v>2235</v>
      </c>
      <c r="V675" s="11"/>
      <c r="W675" s="11">
        <f>IFERROR(__xludf.DUMMYFUNCTION("""COMPUTED_VALUE"""),32414189)</f>
        <v>32414189</v>
      </c>
      <c r="X675" s="11">
        <f>IFERROR(__xludf.DUMMYFUNCTION("""COMPUTED_VALUE"""),87349640)</f>
        <v>87349640</v>
      </c>
      <c r="Y675" s="11">
        <f>IFERROR(__xludf.DUMMYFUNCTION("""COMPUTED_VALUE"""),1910193488)</f>
        <v>1910193488</v>
      </c>
      <c r="Z675" s="11"/>
    </row>
    <row r="676" customHeight="1" spans="1:26">
      <c r="A676" s="11" t="str">
        <f>IFERROR(__xludf.DUMMYFUNCTION("""COMPUTED_VALUE"""),"MARCIA CARVALHO DE MENEZES")</f>
        <v>MARCIA CARVALHO DE MENEZES</v>
      </c>
      <c r="B676" s="11" t="str">
        <f>IFERROR(__xludf.DUMMYFUNCTION("""COMPUTED_VALUE"""),"Quintas à tarde: horário incompatível")</f>
        <v>Quintas à tarde: horário incompatível</v>
      </c>
      <c r="C676" s="11" t="str">
        <f>IFERROR(__xludf.DUMMYFUNCTION("""COMPUTED_VALUE"""),"TEM WPP, contato registrado")</f>
        <v>TEM WPP, contato registrado</v>
      </c>
      <c r="D676" s="11" t="str">
        <f>IFERROR(__xludf.DUMMYFUNCTION("""COMPUTED_VALUE"""),"Médica eSF")</f>
        <v>Médica eSF</v>
      </c>
      <c r="E676" s="11" t="str">
        <f>IFERROR(__xludf.DUMMYFUNCTION("""COMPUTED_VALUE"""),"I")</f>
        <v>I</v>
      </c>
      <c r="F676" s="11" t="str">
        <f>IFERROR(__xludf.DUMMYFUNCTION("""COMPUTED_VALUE"""),"US_243 USF SANTO AMARO II")</f>
        <v>US_243 USF SANTO AMARO II</v>
      </c>
      <c r="G676" s="11" t="str">
        <f>IFERROR(__xludf.DUMMYFUNCTION("""COMPUTED_VALUE"""),"US 243 USF SANTO AMARO II")</f>
        <v>US 243 USF SANTO AMARO II</v>
      </c>
      <c r="H676" s="27">
        <f>IFERROR(__xludf.DUMMYFUNCTION("""COMPUTED_VALUE"""),81997024555)</f>
        <v>81997024555</v>
      </c>
      <c r="I676" s="11"/>
      <c r="J676" s="11"/>
      <c r="K676" s="11"/>
      <c r="L676" s="11"/>
      <c r="M676" s="28" t="str">
        <f>IFERROR(__xludf.DUMMYFUNCTION("""COMPUTED_VALUE"""),"3355-6798")</f>
        <v>3355-6798</v>
      </c>
      <c r="N676" s="11" t="str">
        <f>IFERROR(__xludf.DUMMYFUNCTION("""COMPUTED_VALUE"""),"marciamenezesmm@hotmail.com")</f>
        <v>marciamenezesmm@hotmail.com</v>
      </c>
      <c r="O676" s="29">
        <f>IFERROR(__xludf.DUMMYFUNCTION("""COMPUTED_VALUE"""),86912135404)</f>
        <v>86912135404</v>
      </c>
      <c r="P676" s="30" t="str">
        <f>IFERROR(__xludf.DUMMYFUNCTION("""COMPUTED_VALUE"""),"124536478400009")</f>
        <v>124536478400009</v>
      </c>
      <c r="Q676" s="30" t="str">
        <f>IFERROR(__xludf.DUMMYFUNCTION("""COMPUTED_VALUE"""),"0022225")</f>
        <v>0022225</v>
      </c>
      <c r="R676" s="30" t="str">
        <f>IFERROR(__xludf.DUMMYFUNCTION("""COMPUTED_VALUE"""),"0000153613")</f>
        <v>0000153613</v>
      </c>
      <c r="S676" s="30" t="str">
        <f>IFERROR(__xludf.DUMMYFUNCTION("""COMPUTED_VALUE"""),"1")</f>
        <v>1</v>
      </c>
      <c r="T676" s="30" t="str">
        <f>IFERROR(__xludf.DUMMYFUNCTION("""COMPUTED_VALUE"""),"225142")</f>
        <v>225142</v>
      </c>
      <c r="U676" s="11">
        <f>IFERROR(__xludf.DUMMYFUNCTION("""COMPUTED_VALUE"""),2251)</f>
        <v>2251</v>
      </c>
      <c r="V676" s="11"/>
      <c r="W676" s="11"/>
      <c r="X676" s="11">
        <f>IFERROR(__xludf.DUMMYFUNCTION("""COMPUTED_VALUE"""),97024555)</f>
        <v>97024555</v>
      </c>
      <c r="Y676" s="11"/>
      <c r="Z676" s="11">
        <f>IFERROR(__xludf.DUMMYFUNCTION("""COMPUTED_VALUE"""),86912135404)</f>
        <v>86912135404</v>
      </c>
    </row>
    <row r="677" customHeight="1" spans="1:26">
      <c r="A677" s="11" t="str">
        <f>IFERROR(__xludf.DUMMYFUNCTION("""COMPUTED_VALUE"""),"MARIVAN BEZERRA TORRES")</f>
        <v>MARIVAN BEZERRA TORRES</v>
      </c>
      <c r="B677" s="11"/>
      <c r="C677" s="11"/>
      <c r="D677" s="11" t="str">
        <f>IFERROR(__xludf.DUMMYFUNCTION("""COMPUTED_VALUE"""),"Dentista")</f>
        <v>Dentista</v>
      </c>
      <c r="E677" s="11" t="str">
        <f>IFERROR(__xludf.DUMMYFUNCTION("""COMPUTED_VALUE"""),"I")</f>
        <v>I</v>
      </c>
      <c r="F677" s="11" t="str">
        <f>IFERROR(__xludf.DUMMYFUNCTION("""COMPUTED_VALUE"""),"US_243 USF SANTO AMARO II")</f>
        <v>US_243 USF SANTO AMARO II</v>
      </c>
      <c r="G677" s="11" t="str">
        <f>IFERROR(__xludf.DUMMYFUNCTION("""COMPUTED_VALUE"""),"US 243 USF SANTO AMARO II")</f>
        <v>US 243 USF SANTO AMARO II</v>
      </c>
      <c r="H677" s="27">
        <f>IFERROR(__xludf.DUMMYFUNCTION("""COMPUTED_VALUE"""),81994602654)</f>
        <v>81994602654</v>
      </c>
      <c r="I677" s="11"/>
      <c r="J677" s="11"/>
      <c r="K677" s="11"/>
      <c r="L677" s="11"/>
      <c r="M677" s="28" t="str">
        <f>IFERROR(__xludf.DUMMYFUNCTION("""COMPUTED_VALUE"""),"3355-6798")</f>
        <v>3355-6798</v>
      </c>
      <c r="N677" s="11" t="str">
        <f>IFERROR(__xludf.DUMMYFUNCTION("""COMPUTED_VALUE"""),"marivantorres3@gmail.com")</f>
        <v>marivantorres3@gmail.com</v>
      </c>
      <c r="O677" s="29">
        <f>IFERROR(__xludf.DUMMYFUNCTION("""COMPUTED_VALUE"""),3252375494)</f>
        <v>3252375494</v>
      </c>
      <c r="P677" s="30" t="str">
        <f>IFERROR(__xludf.DUMMYFUNCTION("""COMPUTED_VALUE"""),"980016278134913")</f>
        <v>980016278134913</v>
      </c>
      <c r="Q677" s="30" t="str">
        <f>IFERROR(__xludf.DUMMYFUNCTION("""COMPUTED_VALUE"""),"0022225")</f>
        <v>0022225</v>
      </c>
      <c r="R677" s="30" t="str">
        <f>IFERROR(__xludf.DUMMYFUNCTION("""COMPUTED_VALUE"""),"0000153605	")</f>
        <v>0000153605	</v>
      </c>
      <c r="S677" s="30" t="str">
        <f>IFERROR(__xludf.DUMMYFUNCTION("""COMPUTED_VALUE"""),"1")</f>
        <v>1</v>
      </c>
      <c r="T677" s="30" t="str">
        <f>IFERROR(__xludf.DUMMYFUNCTION("""COMPUTED_VALUE"""),"223288")</f>
        <v>223288</v>
      </c>
      <c r="U677" s="31">
        <f>IFERROR(__xludf.DUMMYFUNCTION("""COMPUTED_VALUE"""),2232)</f>
        <v>2232</v>
      </c>
      <c r="V677" s="11"/>
      <c r="W677" s="11"/>
      <c r="X677" s="11"/>
      <c r="Y677" s="11"/>
      <c r="Z677" s="11"/>
    </row>
    <row r="678" customHeight="1" spans="1:26">
      <c r="A678" s="11" t="str">
        <f>IFERROR(__xludf.DUMMYFUNCTION("""COMPUTED_VALUE"""),"DALVANY RODRIGUES DA SILVA")</f>
        <v>DALVANY RODRIGUES DA SILVA</v>
      </c>
      <c r="B678" s="11"/>
      <c r="C678" s="11"/>
      <c r="D678" s="11" t="str">
        <f>IFERROR(__xludf.DUMMYFUNCTION("""COMPUTED_VALUE"""),"Enfermeira eSF")</f>
        <v>Enfermeira eSF</v>
      </c>
      <c r="E678" s="11" t="str">
        <f>IFERROR(__xludf.DUMMYFUNCTION("""COMPUTED_VALUE"""),"I")</f>
        <v>I</v>
      </c>
      <c r="F678" s="11" t="str">
        <f>IFERROR(__xludf.DUMMYFUNCTION("""COMPUTED_VALUE"""),"SEDE DISTRITO SANITARIO I")</f>
        <v>SEDE DISTRITO SANITARIO I</v>
      </c>
      <c r="G678" s="11" t="str">
        <f>IFERROR(__xludf.DUMMYFUNCTION("""COMPUTED_VALUE"""),"US 278 USF NOSSA SRA DO PILAR BAIRRO DO RECIFE")</f>
        <v>US 278 USF NOSSA SRA DO PILAR BAIRRO DO RECIFE</v>
      </c>
      <c r="H678" s="27">
        <f>IFERROR(__xludf.DUMMYFUNCTION("""COMPUTED_VALUE"""),81997679647)</f>
        <v>81997679647</v>
      </c>
      <c r="I678" s="11"/>
      <c r="J678" s="11"/>
      <c r="K678" s="11"/>
      <c r="L678" s="11"/>
      <c r="M678" s="28" t="str">
        <f>IFERROR(__xludf.DUMMYFUNCTION("""COMPUTED_VALUE"""),"3355-6691")</f>
        <v>3355-6691</v>
      </c>
      <c r="N678" s="11" t="str">
        <f>IFERROR(__xludf.DUMMYFUNCTION("""COMPUTED_VALUE"""),"dalrlira@gmail.com")</f>
        <v>dalrlira@gmail.com</v>
      </c>
      <c r="O678" s="29">
        <f>IFERROR(__xludf.DUMMYFUNCTION("""COMPUTED_VALUE"""),2005162485)</f>
        <v>2005162485</v>
      </c>
      <c r="P678" s="30" t="str">
        <f>IFERROR(__xludf.DUMMYFUNCTION("""COMPUTED_VALUE"""),"170616453590001")</f>
        <v>170616453590001</v>
      </c>
      <c r="Q678" s="30" t="str">
        <f>IFERROR(__xludf.DUMMYFUNCTION("""COMPUTED_VALUE"""),"0028665")</f>
        <v>0028665</v>
      </c>
      <c r="R678" s="30" t="str">
        <f>IFERROR(__xludf.DUMMYFUNCTION("""COMPUTED_VALUE"""),"0000154563")</f>
        <v>0000154563</v>
      </c>
      <c r="S678" s="30" t="str">
        <f>IFERROR(__xludf.DUMMYFUNCTION("""COMPUTED_VALUE"""),"1")</f>
        <v>1</v>
      </c>
      <c r="T678" s="30" t="str">
        <f>IFERROR(__xludf.DUMMYFUNCTION("""COMPUTED_VALUE"""),"223565")</f>
        <v>223565</v>
      </c>
      <c r="U678" s="31" t="str">
        <f>IFERROR(__xludf.DUMMYFUNCTION("""COMPUTED_VALUE"""),"2235")</f>
        <v>2235</v>
      </c>
      <c r="V678" s="11"/>
      <c r="W678" s="11">
        <f>IFERROR(__xludf.DUMMYFUNCTION("""COMPUTED_VALUE"""),95214169)</f>
        <v>95214169</v>
      </c>
      <c r="X678" s="11">
        <f>IFERROR(__xludf.DUMMYFUNCTION("""COMPUTED_VALUE"""),88890509)</f>
        <v>88890509</v>
      </c>
      <c r="Y678" s="11">
        <f>IFERROR(__xludf.DUMMYFUNCTION("""COMPUTED_VALUE"""),2005162485)</f>
        <v>2005162485</v>
      </c>
      <c r="Z678" s="11"/>
    </row>
    <row r="679" customHeight="1" spans="1:26">
      <c r="A679" s="11" t="str">
        <f>IFERROR(__xludf.DUMMYFUNCTION("""COMPUTED_VALUE"""),"DEBORA BENTO E SILVA")</f>
        <v>DEBORA BENTO E SILVA</v>
      </c>
      <c r="B679" s="11"/>
      <c r="C679" s="11"/>
      <c r="D679" s="11" t="str">
        <f>IFERROR(__xludf.DUMMYFUNCTION("""COMPUTED_VALUE"""),"Enfermeira eSF")</f>
        <v>Enfermeira eSF</v>
      </c>
      <c r="E679" s="11" t="str">
        <f>IFERROR(__xludf.DUMMYFUNCTION("""COMPUTED_VALUE"""),"I")</f>
        <v>I</v>
      </c>
      <c r="F679" s="11" t="str">
        <f>IFERROR(__xludf.DUMMYFUNCTION("""COMPUTED_VALUE"""),"US_285 USF SAO JOSE DO COQUE - BERILO PERNAMBUCANO")</f>
        <v>US_285 USF SAO JOSE DO COQUE - BERILO PERNAMBUCANO</v>
      </c>
      <c r="G679" s="11" t="str">
        <f>IFERROR(__xludf.DUMMYFUNCTION("""COMPUTED_VALUE"""),"US 285 USF SAO JOSE DO COQUE")</f>
        <v>US 285 USF SAO JOSE DO COQUE</v>
      </c>
      <c r="H679" s="27">
        <f>IFERROR(__xludf.DUMMYFUNCTION("""COMPUTED_VALUE"""),81996690570)</f>
        <v>81996690570</v>
      </c>
      <c r="I679" s="27">
        <f>IFERROR(__xludf.DUMMYFUNCTION("""COMPUTED_VALUE"""),81987703594)</f>
        <v>81987703594</v>
      </c>
      <c r="J679" s="11"/>
      <c r="K679" s="11"/>
      <c r="L679" s="11"/>
      <c r="M679" s="28" t="str">
        <f>IFERROR(__xludf.DUMMYFUNCTION("""COMPUTED_VALUE"""),"3355-6226")</f>
        <v>3355-6226</v>
      </c>
      <c r="N679" s="11" t="str">
        <f>IFERROR(__xludf.DUMMYFUNCTION("""COMPUTED_VALUE"""),"debybento@hotmail.com / debyisidorio@gmail.com")</f>
        <v>debybento@hotmail.com / debyisidorio@gmail.com</v>
      </c>
      <c r="O679" s="29">
        <f>IFERROR(__xludf.DUMMYFUNCTION("""COMPUTED_VALUE"""),3752913428)</f>
        <v>3752913428</v>
      </c>
      <c r="P679" s="30" t="str">
        <f>IFERROR(__xludf.DUMMYFUNCTION("""COMPUTED_VALUE"""),"190192625830000")</f>
        <v>190192625830000</v>
      </c>
      <c r="Q679" s="30" t="str">
        <f>IFERROR(__xludf.DUMMYFUNCTION("""COMPUTED_VALUE"""),"0029130")</f>
        <v>0029130</v>
      </c>
      <c r="R679" s="30" t="str">
        <f>IFERROR(__xludf.DUMMYFUNCTION("""COMPUTED_VALUE"""),"0000154733")</f>
        <v>0000154733</v>
      </c>
      <c r="S679" s="30" t="str">
        <f>IFERROR(__xludf.DUMMYFUNCTION("""COMPUTED_VALUE"""),"1")</f>
        <v>1</v>
      </c>
      <c r="T679" s="30" t="str">
        <f>IFERROR(__xludf.DUMMYFUNCTION("""COMPUTED_VALUE"""),"223565")</f>
        <v>223565</v>
      </c>
      <c r="U679" s="31" t="str">
        <f>IFERROR(__xludf.DUMMYFUNCTION("""COMPUTED_VALUE"""),"2235")</f>
        <v>2235</v>
      </c>
      <c r="V679" s="11"/>
      <c r="W679" s="11" t="str">
        <f>IFERROR(__xludf.DUMMYFUNCTION("""COMPUTED_VALUE"""),"#N/A")</f>
        <v>#N/A</v>
      </c>
      <c r="X679" s="11" t="str">
        <f>IFERROR(__xludf.DUMMYFUNCTION("""COMPUTED_VALUE"""),"#N/A")</f>
        <v>#N/A</v>
      </c>
      <c r="Y679" s="11" t="str">
        <f>IFERROR(__xludf.DUMMYFUNCTION("""COMPUTED_VALUE"""),"#N/A")</f>
        <v>#N/A</v>
      </c>
      <c r="Z679" s="11"/>
    </row>
    <row r="680" customHeight="1" spans="1:26">
      <c r="A680" s="11" t="str">
        <f>IFERROR(__xludf.DUMMYFUNCTION("""COMPUTED_VALUE"""),"JOCELICE CRISTINA DE MACEDO")</f>
        <v>JOCELICE CRISTINA DE MACEDO</v>
      </c>
      <c r="B680" s="11"/>
      <c r="C680" s="11"/>
      <c r="D680" s="11" t="str">
        <f>IFERROR(__xludf.DUMMYFUNCTION("""COMPUTED_VALUE"""),"Dentista")</f>
        <v>Dentista</v>
      </c>
      <c r="E680" s="11" t="str">
        <f>IFERROR(__xludf.DUMMYFUNCTION("""COMPUTED_VALUE"""),"I")</f>
        <v>I</v>
      </c>
      <c r="F680" s="11" t="str">
        <f>IFERROR(__xludf.DUMMYFUNCTION("""COMPUTED_VALUE"""),"US_285 USF SAO JOSE DO COQUE - BERILO PERNAMBUCANO")</f>
        <v>US_285 USF SAO JOSE DO COQUE - BERILO PERNAMBUCANO</v>
      </c>
      <c r="G680" s="11" t="str">
        <f>IFERROR(__xludf.DUMMYFUNCTION("""COMPUTED_VALUE"""),"US 285 USF SAO JOSE DO COQUE")</f>
        <v>US 285 USF SAO JOSE DO COQUE</v>
      </c>
      <c r="H680" s="27">
        <f>IFERROR(__xludf.DUMMYFUNCTION("""COMPUTED_VALUE"""),81998246050)</f>
        <v>81998246050</v>
      </c>
      <c r="I680" s="11"/>
      <c r="J680" s="11"/>
      <c r="K680" s="11"/>
      <c r="L680" s="11"/>
      <c r="M680" s="28" t="str">
        <f>IFERROR(__xludf.DUMMYFUNCTION("""COMPUTED_VALUE"""),"3355-6226")</f>
        <v>3355-6226</v>
      </c>
      <c r="N680" s="11" t="str">
        <f>IFERROR(__xludf.DUMMYFUNCTION("""COMPUTED_VALUE"""),"cristhy75_75@hotmail.com")</f>
        <v>cristhy75_75@hotmail.com</v>
      </c>
      <c r="O680" s="29">
        <f>IFERROR(__xludf.DUMMYFUNCTION("""COMPUTED_VALUE"""),36075558420)</f>
        <v>36075558420</v>
      </c>
      <c r="P680" s="30">
        <f>IFERROR(__xludf.DUMMYFUNCTION("""COMPUTED_VALUE"""),204322822670008)</f>
        <v>204322822670008</v>
      </c>
      <c r="Q680" s="30" t="str">
        <f>IFERROR(__xludf.DUMMYFUNCTION("""COMPUTED_VALUE"""),"0029130")</f>
        <v>0029130</v>
      </c>
      <c r="R680" s="30" t="str">
        <f>IFERROR(__xludf.DUMMYFUNCTION("""COMPUTED_VALUE"""),"0000154733	")</f>
        <v>0000154733	</v>
      </c>
      <c r="S680" s="30" t="str">
        <f>IFERROR(__xludf.DUMMYFUNCTION("""COMPUTED_VALUE"""),"1")</f>
        <v>1</v>
      </c>
      <c r="T680" s="30" t="str">
        <f>IFERROR(__xludf.DUMMYFUNCTION("""COMPUTED_VALUE"""),"223288")</f>
        <v>223288</v>
      </c>
      <c r="U680" s="31">
        <f>IFERROR(__xludf.DUMMYFUNCTION("""COMPUTED_VALUE"""),2232)</f>
        <v>2232</v>
      </c>
      <c r="V680" s="11"/>
      <c r="W680" s="11"/>
      <c r="X680" s="11"/>
      <c r="Y680" s="11"/>
      <c r="Z680" s="11"/>
    </row>
    <row r="681" customHeight="1" spans="1:26">
      <c r="A681" s="11" t="str">
        <f>IFERROR(__xludf.DUMMYFUNCTION("""COMPUTED_VALUE"""),"ADRIANA CAVALCANTI CRUZ MARQUES")</f>
        <v>ADRIANA CAVALCANTI CRUZ MARQUES</v>
      </c>
      <c r="B681" s="11"/>
      <c r="C681" s="11"/>
      <c r="D681" s="11" t="str">
        <f>IFERROR(__xludf.DUMMYFUNCTION("""COMPUTED_VALUE"""),"Médica eSF")</f>
        <v>Médica eSF</v>
      </c>
      <c r="E681" s="11" t="str">
        <f>IFERROR(__xludf.DUMMYFUNCTION("""COMPUTED_VALUE"""),"I")</f>
        <v>I</v>
      </c>
      <c r="F681" s="11" t="str">
        <f>IFERROR(__xludf.DUMMYFUNCTION("""COMPUTED_VALUE"""),"LICENÇA SEM VENCIMENTOS")</f>
        <v>LICENÇA SEM VENCIMENTOS</v>
      </c>
      <c r="G681" s="11" t="str">
        <f>IFERROR(__xludf.DUMMYFUNCTION("""COMPUTED_VALUE"""),"US 334 USF CABANGA")</f>
        <v>US 334 USF CABANGA</v>
      </c>
      <c r="H681" s="27">
        <f>IFERROR(__xludf.DUMMYFUNCTION("""COMPUTED_VALUE"""),81998564871)</f>
        <v>81998564871</v>
      </c>
      <c r="I681" s="11"/>
      <c r="J681" s="11"/>
      <c r="K681" s="11"/>
      <c r="L681" s="11"/>
      <c r="M681" s="28" t="str">
        <f>IFERROR(__xludf.DUMMYFUNCTION("""COMPUTED_VALUE"""),"3355-6418")</f>
        <v>3355-6418</v>
      </c>
      <c r="N681" s="11" t="str">
        <f>IFERROR(__xludf.DUMMYFUNCTION("""COMPUTED_VALUE"""),"adriccmarques@yahoo.com.br")</f>
        <v>adriccmarques@yahoo.com.br</v>
      </c>
      <c r="O681" s="29">
        <f>IFERROR(__xludf.DUMMYFUNCTION("""COMPUTED_VALUE"""),90555031420)</f>
        <v>90555031420</v>
      </c>
      <c r="P681" s="30" t="str">
        <f>IFERROR(__xludf.DUMMYFUNCTION("""COMPUTED_VALUE"""),"980016279992425")</f>
        <v>980016279992425</v>
      </c>
      <c r="Q681" s="30" t="str">
        <f>IFERROR(__xludf.DUMMYFUNCTION("""COMPUTED_VALUE"""),"3862836")</f>
        <v>3862836</v>
      </c>
      <c r="R681" s="11"/>
      <c r="S681" s="30" t="str">
        <f>IFERROR(__xludf.DUMMYFUNCTION("""COMPUTED_VALUE"""),"1")</f>
        <v>1</v>
      </c>
      <c r="T681" s="30" t="str">
        <f>IFERROR(__xludf.DUMMYFUNCTION("""COMPUTED_VALUE"""),"225142")</f>
        <v>225142</v>
      </c>
      <c r="U681" s="11">
        <f>IFERROR(__xludf.DUMMYFUNCTION("""COMPUTED_VALUE"""),2251)</f>
        <v>2251</v>
      </c>
      <c r="V681" s="11"/>
      <c r="W681" s="11"/>
      <c r="X681" s="11"/>
      <c r="Y681" s="11"/>
      <c r="Z681" s="11"/>
    </row>
    <row r="682" customHeight="1" spans="1:26">
      <c r="A682" s="11" t="str">
        <f>IFERROR(__xludf.DUMMYFUNCTION("""COMPUTED_VALUE"""),"PATRICIA LUNGUINHO GUEDES")</f>
        <v>PATRICIA LUNGUINHO GUEDES</v>
      </c>
      <c r="B682" s="11"/>
      <c r="C682" s="11"/>
      <c r="D682" s="11" t="str">
        <f>IFERROR(__xludf.DUMMYFUNCTION("""COMPUTED_VALUE"""),"Enfermeira eSF")</f>
        <v>Enfermeira eSF</v>
      </c>
      <c r="E682" s="11" t="str">
        <f>IFERROR(__xludf.DUMMYFUNCTION("""COMPUTED_VALUE"""),"I")</f>
        <v>I</v>
      </c>
      <c r="F682" s="11" t="str">
        <f>IFERROR(__xludf.DUMMYFUNCTION("""COMPUTED_VALUE"""),"US_334 USF CABANGA")</f>
        <v>US_334 USF CABANGA</v>
      </c>
      <c r="G682" s="11" t="str">
        <f>IFERROR(__xludf.DUMMYFUNCTION("""COMPUTED_VALUE"""),"US 334 USF CABANGA")</f>
        <v>US 334 USF CABANGA</v>
      </c>
      <c r="H682" s="27">
        <f>IFERROR(__xludf.DUMMYFUNCTION("""COMPUTED_VALUE"""),81996093791)</f>
        <v>81996093791</v>
      </c>
      <c r="I682" s="27">
        <f>IFERROR(__xludf.DUMMYFUNCTION("""COMPUTED_VALUE"""),81985203016)</f>
        <v>81985203016</v>
      </c>
      <c r="J682" s="11"/>
      <c r="K682" s="11"/>
      <c r="L682" s="11"/>
      <c r="M682" s="28" t="str">
        <f>IFERROR(__xludf.DUMMYFUNCTION("""COMPUTED_VALUE"""),"3355-6418")</f>
        <v>3355-6418</v>
      </c>
      <c r="N682" s="11" t="str">
        <f>IFERROR(__xludf.DUMMYFUNCTION("""COMPUTED_VALUE"""),"patriciaguedes@ig.com.br / patricialguedes2@hotmail.com")</f>
        <v>patriciaguedes@ig.com.br / patricialguedes2@hotmail.com</v>
      </c>
      <c r="O682" s="29">
        <f>IFERROR(__xludf.DUMMYFUNCTION("""COMPUTED_VALUE"""),88947165549)</f>
        <v>88947165549</v>
      </c>
      <c r="P682" s="30" t="str">
        <f>IFERROR(__xludf.DUMMYFUNCTION("""COMPUTED_VALUE"""),"190118929010009")</f>
        <v>190118929010009</v>
      </c>
      <c r="Q682" s="30" t="str">
        <f>IFERROR(__xludf.DUMMYFUNCTION("""COMPUTED_VALUE"""),"3862836")</f>
        <v>3862836</v>
      </c>
      <c r="R682" s="30" t="str">
        <f>IFERROR(__xludf.DUMMYFUNCTION("""COMPUTED_VALUE"""),"0000155713")</f>
        <v>0000155713</v>
      </c>
      <c r="S682" s="30" t="str">
        <f>IFERROR(__xludf.DUMMYFUNCTION("""COMPUTED_VALUE"""),"1")</f>
        <v>1</v>
      </c>
      <c r="T682" s="30" t="str">
        <f>IFERROR(__xludf.DUMMYFUNCTION("""COMPUTED_VALUE"""),"223565")</f>
        <v>223565</v>
      </c>
      <c r="U682" s="31" t="str">
        <f>IFERROR(__xludf.DUMMYFUNCTION("""COMPUTED_VALUE"""),"2235")</f>
        <v>2235</v>
      </c>
      <c r="V682" s="11"/>
      <c r="W682" s="11">
        <f>IFERROR(__xludf.DUMMYFUNCTION("""COMPUTED_VALUE"""),33556418)</f>
        <v>33556418</v>
      </c>
      <c r="X682" s="11">
        <f>IFERROR(__xludf.DUMMYFUNCTION("""COMPUTED_VALUE"""),85203016)</f>
        <v>85203016</v>
      </c>
      <c r="Y682" s="11">
        <f>IFERROR(__xludf.DUMMYFUNCTION("""COMPUTED_VALUE"""),88947165549)</f>
        <v>88947165549</v>
      </c>
      <c r="Z682" s="11"/>
    </row>
    <row r="683" customHeight="1" spans="1:26">
      <c r="A683" s="11" t="str">
        <f>IFERROR(__xludf.DUMMYFUNCTION("""COMPUTED_VALUE"""),"MARIA CAROLINA LARRE DE OLIVEIRA")</f>
        <v>MARIA CAROLINA LARRE DE OLIVEIRA</v>
      </c>
      <c r="B683" s="11"/>
      <c r="C683" s="11"/>
      <c r="D683" s="11" t="str">
        <f>IFERROR(__xludf.DUMMYFUNCTION("""COMPUTED_VALUE"""),"Médica eSF")</f>
        <v>Médica eSF</v>
      </c>
      <c r="E683" s="11" t="str">
        <f>IFERROR(__xludf.DUMMYFUNCTION("""COMPUTED_VALUE"""),"I")</f>
        <v>I</v>
      </c>
      <c r="F683" s="11" t="str">
        <f>IFERROR(__xludf.DUMMYFUNCTION("""COMPUTED_VALUE"""),"US_404 USF SANTO AMARO III	")</f>
        <v>US_404 USF SANTO AMARO III	</v>
      </c>
      <c r="G683" s="11" t="str">
        <f>IFERROR(__xludf.DUMMYFUNCTION("""COMPUTED_VALUE"""),"US 404 USF SANTO AMARO III")</f>
        <v>US 404 USF SANTO AMARO III</v>
      </c>
      <c r="H683" s="27">
        <f>IFERROR(__xludf.DUMMYFUNCTION("""COMPUTED_VALUE"""),81998073513)</f>
        <v>81998073513</v>
      </c>
      <c r="I683" s="11"/>
      <c r="J683" s="11"/>
      <c r="K683" s="11"/>
      <c r="L683" s="11"/>
      <c r="M683" s="11"/>
      <c r="N683" s="11" t="str">
        <f>IFERROR(__xludf.DUMMYFUNCTION("""COMPUTED_VALUE"""),"carolina@larre.com.br")</f>
        <v>carolina@larre.com.br</v>
      </c>
      <c r="O683" s="29">
        <f>IFERROR(__xludf.DUMMYFUNCTION("""COMPUTED_VALUE"""),5613295409)</f>
        <v>5613295409</v>
      </c>
      <c r="P683" s="30" t="str">
        <f>IFERROR(__xludf.DUMMYFUNCTION("""COMPUTED_VALUE"""),"704108241926150")</f>
        <v>704108241926150</v>
      </c>
      <c r="Q683" s="30" t="str">
        <f>IFERROR(__xludf.DUMMYFUNCTION("""COMPUTED_VALUE"""),"9384324")</f>
        <v>9384324</v>
      </c>
      <c r="R683" s="30" t="str">
        <f>IFERROR(__xludf.DUMMYFUNCTION("""COMPUTED_VALUE"""),"0000153591")</f>
        <v>0000153591</v>
      </c>
      <c r="S683" s="30" t="str">
        <f>IFERROR(__xludf.DUMMYFUNCTION("""COMPUTED_VALUE"""),"1")</f>
        <v>1</v>
      </c>
      <c r="T683" s="30" t="str">
        <f>IFERROR(__xludf.DUMMYFUNCTION("""COMPUTED_VALUE"""),"225142")</f>
        <v>225142</v>
      </c>
      <c r="U683" s="11">
        <f>IFERROR(__xludf.DUMMYFUNCTION("""COMPUTED_VALUE"""),2251)</f>
        <v>2251</v>
      </c>
      <c r="V683" s="11" t="str">
        <f>IFERROR(__xludf.DUMMYFUNCTION("""COMPUTED_VALUE"""),"SIM")</f>
        <v>SIM</v>
      </c>
      <c r="W683" s="11"/>
      <c r="X683" s="11" t="str">
        <f>IFERROR(__xludf.DUMMYFUNCTION("""COMPUTED_VALUE"""),"#N/A")</f>
        <v>#N/A</v>
      </c>
      <c r="Y683" s="11" t="str">
        <f>IFERROR(__xludf.DUMMYFUNCTION("""COMPUTED_VALUE"""),"#N/A")</f>
        <v>#N/A</v>
      </c>
      <c r="Z683" s="11" t="str">
        <f>IFERROR(__xludf.DUMMYFUNCTION("""COMPUTED_VALUE"""),"#N/A")</f>
        <v>#N/A</v>
      </c>
    </row>
    <row r="684" customHeight="1" spans="1:26">
      <c r="A684" s="11" t="str">
        <f>IFERROR(__xludf.DUMMYFUNCTION("""COMPUTED_VALUE"""),"MANOELLA GABRIEL MARTINS")</f>
        <v>MANOELLA GABRIEL MARTINS</v>
      </c>
      <c r="B684" s="11"/>
      <c r="C684" s="11"/>
      <c r="D684" s="11" t="str">
        <f>IFERROR(__xludf.DUMMYFUNCTION("""COMPUTED_VALUE"""),"Dentista")</f>
        <v>Dentista</v>
      </c>
      <c r="E684" s="11" t="str">
        <f>IFERROR(__xludf.DUMMYFUNCTION("""COMPUTED_VALUE"""),"I")</f>
        <v>I</v>
      </c>
      <c r="F684" s="11" t="str">
        <f>IFERROR(__xludf.DUMMYFUNCTION("""COMPUTED_VALUE"""),"")</f>
        <v/>
      </c>
      <c r="G684" s="11" t="str">
        <f>IFERROR(__xludf.DUMMYFUNCTION("""COMPUTED_VALUE"""),"US 404 USF SANTO AMARO III")</f>
        <v>US 404 USF SANTO AMARO III</v>
      </c>
      <c r="H684" s="27">
        <f>IFERROR(__xludf.DUMMYFUNCTION("""COMPUTED_VALUE"""),81991974990)</f>
        <v>81991974990</v>
      </c>
      <c r="I684" s="11"/>
      <c r="J684" s="11"/>
      <c r="K684" s="24">
        <f>IFERROR(__xludf.DUMMYFUNCTION("""COMPUTED_VALUE"""),45089)</f>
        <v>45089</v>
      </c>
      <c r="L684" s="11"/>
      <c r="M684" s="11"/>
      <c r="N684" s="11"/>
      <c r="O684" s="11"/>
      <c r="P684" s="11"/>
      <c r="Q684" s="11"/>
      <c r="R684" s="11"/>
      <c r="S684" s="11"/>
      <c r="T684" s="11"/>
      <c r="U684" s="11"/>
      <c r="V684" s="11"/>
      <c r="W684" s="11"/>
      <c r="X684" s="11"/>
      <c r="Y684" s="11"/>
      <c r="Z684" s="11"/>
    </row>
    <row r="685" customHeight="1" spans="1:26">
      <c r="A685" s="11" t="str">
        <f>IFERROR(__xludf.DUMMYFUNCTION("""COMPUTED_VALUE"""),"ANNE CAROLLINE MARIZ DOURADO")</f>
        <v>ANNE CAROLLINE MARIZ DOURADO</v>
      </c>
      <c r="B685" s="11"/>
      <c r="C685" s="11"/>
      <c r="D685" s="11" t="str">
        <f>IFERROR(__xludf.DUMMYFUNCTION("""COMPUTED_VALUE"""),"Enfermeira eSF")</f>
        <v>Enfermeira eSF</v>
      </c>
      <c r="E685" s="11" t="str">
        <f>IFERROR(__xludf.DUMMYFUNCTION("""COMPUTED_VALUE"""),"II")</f>
        <v>II</v>
      </c>
      <c r="F685" s="11" t="str">
        <f>IFERROR(__xludf.DUMMYFUNCTION("""COMPUTED_VALUE"""),"US_395 USF UPINHA 24H DR FERNANDA WANDERLEY")</f>
        <v>US_395 USF UPINHA 24H DR FERNANDA WANDERLEY</v>
      </c>
      <c r="G685" s="11" t="str">
        <f>IFERROR(__xludf.DUMMYFUNCTION("""COMPUTED_VALUE"""),"US 138 USF DR LUIZ WILSOM")</f>
        <v>US 138 USF DR LUIZ WILSOM</v>
      </c>
      <c r="H685" s="27">
        <f>IFERROR(__xludf.DUMMYFUNCTION("""COMPUTED_VALUE"""),81988833304)</f>
        <v>81988833304</v>
      </c>
      <c r="I685" s="11"/>
      <c r="J685" s="11"/>
      <c r="K685" s="11"/>
      <c r="L685" s="11"/>
      <c r="M685" s="28" t="str">
        <f>IFERROR(__xludf.DUMMYFUNCTION("""COMPUTED_VALUE"""),"3355-3165")</f>
        <v>3355-3165</v>
      </c>
      <c r="N685" s="11" t="str">
        <f>IFERROR(__xludf.DUMMYFUNCTION("""COMPUTED_VALUE"""),"carollinemariz@hotmail.com")</f>
        <v>carollinemariz@hotmail.com</v>
      </c>
      <c r="O685" s="29">
        <f>IFERROR(__xludf.DUMMYFUNCTION("""COMPUTED_VALUE"""),2705662448)</f>
        <v>2705662448</v>
      </c>
      <c r="P685" s="30" t="str">
        <f>IFERROR(__xludf.DUMMYFUNCTION("""COMPUTED_VALUE"""),"201533442580001")</f>
        <v>201533442580001</v>
      </c>
      <c r="Q685" s="30" t="str">
        <f>IFERROR(__xludf.DUMMYFUNCTION("""COMPUTED_VALUE"""),"0000876")</f>
        <v>0000876</v>
      </c>
      <c r="R685" s="11"/>
      <c r="S685" s="30" t="str">
        <f>IFERROR(__xludf.DUMMYFUNCTION("""COMPUTED_VALUE"""),"1")</f>
        <v>1</v>
      </c>
      <c r="T685" s="30" t="str">
        <f>IFERROR(__xludf.DUMMYFUNCTION("""COMPUTED_VALUE"""),"223565")</f>
        <v>223565</v>
      </c>
      <c r="U685" s="31" t="str">
        <f>IFERROR(__xludf.DUMMYFUNCTION("""COMPUTED_VALUE"""),"2235")</f>
        <v>2235</v>
      </c>
      <c r="V685" s="11"/>
      <c r="W685" s="11">
        <f>IFERROR(__xludf.DUMMYFUNCTION("""COMPUTED_VALUE"""),81988833304)</f>
        <v>81988833304</v>
      </c>
      <c r="X685" s="11">
        <f>IFERROR(__xludf.DUMMYFUNCTION("""COMPUTED_VALUE"""),81996690830)</f>
        <v>81996690830</v>
      </c>
      <c r="Y685" s="11">
        <f>IFERROR(__xludf.DUMMYFUNCTION("""COMPUTED_VALUE"""),2705662448)</f>
        <v>2705662448</v>
      </c>
      <c r="Z685" s="11"/>
    </row>
    <row r="686" customHeight="1" spans="1:26">
      <c r="A686" s="11" t="str">
        <f>IFERROR(__xludf.DUMMYFUNCTION("""COMPUTED_VALUE"""),"MONICA MARIA SANTOS BEZERRA")</f>
        <v>MONICA MARIA SANTOS BEZERRA</v>
      </c>
      <c r="B686" s="11"/>
      <c r="C686" s="11"/>
      <c r="D686" s="11" t="str">
        <f>IFERROR(__xludf.DUMMYFUNCTION("""COMPUTED_VALUE"""),"Enfermeira eSF")</f>
        <v>Enfermeira eSF</v>
      </c>
      <c r="E686" s="11" t="str">
        <f>IFERROR(__xludf.DUMMYFUNCTION("""COMPUTED_VALUE"""),"II")</f>
        <v>II</v>
      </c>
      <c r="F686" s="11" t="str">
        <f>IFERROR(__xludf.DUMMYFUNCTION("""COMPUTED_VALUE"""),"US_138 USF DR LUIZ WILSOM")</f>
        <v>US_138 USF DR LUIZ WILSOM</v>
      </c>
      <c r="G686" s="11" t="str">
        <f>IFERROR(__xludf.DUMMYFUNCTION("""COMPUTED_VALUE"""),"US 138 USF DR LUIZ WILSOM")</f>
        <v>US 138 USF DR LUIZ WILSOM</v>
      </c>
      <c r="H686" s="27">
        <f>IFERROR(__xludf.DUMMYFUNCTION("""COMPUTED_VALUE"""),81988582605)</f>
        <v>81988582605</v>
      </c>
      <c r="I686" s="27">
        <f>IFERROR(__xludf.DUMMYFUNCTION("""COMPUTED_VALUE"""),81996272173)</f>
        <v>81996272173</v>
      </c>
      <c r="J686" s="11"/>
      <c r="K686" s="11"/>
      <c r="L686" s="11"/>
      <c r="M686" s="28" t="str">
        <f>IFERROR(__xludf.DUMMYFUNCTION("""COMPUTED_VALUE"""),"3355-3165")</f>
        <v>3355-3165</v>
      </c>
      <c r="N686" s="11" t="str">
        <f>IFERROR(__xludf.DUMMYFUNCTION("""COMPUTED_VALUE"""),"momimamssantos@gmail.com / monica.bezerra@hotmail.com")</f>
        <v>momimamssantos@gmail.com / monica.bezerra@hotmail.com</v>
      </c>
      <c r="O686" s="29">
        <f>IFERROR(__xludf.DUMMYFUNCTION("""COMPUTED_VALUE"""),36320846453)</f>
        <v>36320846453</v>
      </c>
      <c r="P686" s="30" t="str">
        <f>IFERROR(__xludf.DUMMYFUNCTION("""COMPUTED_VALUE"""),"980016280576642")</f>
        <v>980016280576642</v>
      </c>
      <c r="Q686" s="30" t="str">
        <f>IFERROR(__xludf.DUMMYFUNCTION("""COMPUTED_VALUE"""),"0000876")</f>
        <v>0000876</v>
      </c>
      <c r="R686" s="30" t="str">
        <f>IFERROR(__xludf.DUMMYFUNCTION("""COMPUTED_VALUE"""),"0000152773")</f>
        <v>0000152773</v>
      </c>
      <c r="S686" s="30" t="str">
        <f>IFERROR(__xludf.DUMMYFUNCTION("""COMPUTED_VALUE"""),"1")</f>
        <v>1</v>
      </c>
      <c r="T686" s="30" t="str">
        <f>IFERROR(__xludf.DUMMYFUNCTION("""COMPUTED_VALUE"""),"223565")</f>
        <v>223565</v>
      </c>
      <c r="U686" s="31" t="str">
        <f>IFERROR(__xludf.DUMMYFUNCTION("""COMPUTED_VALUE"""),"2235")</f>
        <v>2235</v>
      </c>
      <c r="V686" s="11"/>
      <c r="W686" s="11">
        <f>IFERROR(__xludf.DUMMYFUNCTION("""COMPUTED_VALUE"""),32414287)</f>
        <v>32414287</v>
      </c>
      <c r="X686" s="11">
        <f>IFERROR(__xludf.DUMMYFUNCTION("""COMPUTED_VALUE"""),88582605)</f>
        <v>88582605</v>
      </c>
      <c r="Y686" s="11">
        <f>IFERROR(__xludf.DUMMYFUNCTION("""COMPUTED_VALUE"""),36320846453)</f>
        <v>36320846453</v>
      </c>
      <c r="Z686" s="11"/>
    </row>
    <row r="687" customHeight="1" spans="1:26">
      <c r="A687" s="11" t="str">
        <f>IFERROR(__xludf.DUMMYFUNCTION("""COMPUTED_VALUE"""),"PATRICIA MARIA TORRES MONTEIRO")</f>
        <v>PATRICIA MARIA TORRES MONTEIRO</v>
      </c>
      <c r="B687" s="11"/>
      <c r="C687" s="11"/>
      <c r="D687" s="11" t="str">
        <f>IFERROR(__xludf.DUMMYFUNCTION("""COMPUTED_VALUE"""),"Dentista")</f>
        <v>Dentista</v>
      </c>
      <c r="E687" s="11" t="str">
        <f>IFERROR(__xludf.DUMMYFUNCTION("""COMPUTED_VALUE"""),"II")</f>
        <v>II</v>
      </c>
      <c r="F687" s="11" t="str">
        <f>IFERROR(__xludf.DUMMYFUNCTION("""COMPUTED_VALUE"""),"US_138 USF DR LUIZ WILSOM")</f>
        <v>US_138 USF DR LUIZ WILSOM</v>
      </c>
      <c r="G687" s="11" t="str">
        <f>IFERROR(__xludf.DUMMYFUNCTION("""COMPUTED_VALUE"""),"US 138 USF DR LUIZ WILSOM")</f>
        <v>US 138 USF DR LUIZ WILSOM</v>
      </c>
      <c r="H687" s="27">
        <f>IFERROR(__xludf.DUMMYFUNCTION("""COMPUTED_VALUE"""),81999996868)</f>
        <v>81999996868</v>
      </c>
      <c r="I687" s="11"/>
      <c r="J687" s="11"/>
      <c r="K687" s="11"/>
      <c r="L687" s="11"/>
      <c r="M687" s="28" t="str">
        <f>IFERROR(__xludf.DUMMYFUNCTION("""COMPUTED_VALUE"""),"3355-3165")</f>
        <v>3355-3165</v>
      </c>
      <c r="N687" s="11" t="str">
        <f>IFERROR(__xludf.DUMMYFUNCTION("""COMPUTED_VALUE"""),"patriciamonteiros@gmail.com")</f>
        <v>patriciamonteiros@gmail.com</v>
      </c>
      <c r="O687" s="29">
        <f>IFERROR(__xludf.DUMMYFUNCTION("""COMPUTED_VALUE"""),77976746472)</f>
        <v>77976746472</v>
      </c>
      <c r="P687" s="30" t="str">
        <f>IFERROR(__xludf.DUMMYFUNCTION("""COMPUTED_VALUE"""),"170668672790008	")</f>
        <v>170668672790008	</v>
      </c>
      <c r="Q687" s="30" t="str">
        <f>IFERROR(__xludf.DUMMYFUNCTION("""COMPUTED_VALUE"""),"0000876")</f>
        <v>0000876</v>
      </c>
      <c r="R687" s="30" t="str">
        <f>IFERROR(__xludf.DUMMYFUNCTION("""COMPUTED_VALUE"""),"0000152765")</f>
        <v>0000152765</v>
      </c>
      <c r="S687" s="30" t="str">
        <f>IFERROR(__xludf.DUMMYFUNCTION("""COMPUTED_VALUE"""),"1")</f>
        <v>1</v>
      </c>
      <c r="T687" s="30" t="str">
        <f>IFERROR(__xludf.DUMMYFUNCTION("""COMPUTED_VALUE"""),"223293")</f>
        <v>223293</v>
      </c>
      <c r="U687" s="31">
        <f>IFERROR(__xludf.DUMMYFUNCTION("""COMPUTED_VALUE"""),2232)</f>
        <v>2232</v>
      </c>
      <c r="V687" s="11"/>
      <c r="W687" s="11"/>
      <c r="X687" s="11"/>
      <c r="Y687" s="11"/>
      <c r="Z687" s="11"/>
    </row>
    <row r="688" customHeight="1" spans="1:26">
      <c r="A688" s="11" t="str">
        <f>IFERROR(__xludf.DUMMYFUNCTION("""COMPUTED_VALUE"""),"SANDRA VALERIA TOLEDO DE ARAUJO")</f>
        <v>SANDRA VALERIA TOLEDO DE ARAUJO</v>
      </c>
      <c r="B688" s="11" t="str">
        <f>IFERROR(__xludf.DUMMYFUNCTION("""COMPUTED_VALUE"""),"RECUSA TELECONSULTORIA")</f>
        <v>RECUSA TELECONSULTORIA</v>
      </c>
      <c r="C688" s="11"/>
      <c r="D688" s="11" t="str">
        <f>IFERROR(__xludf.DUMMYFUNCTION("""COMPUTED_VALUE"""),"Médica eSF")</f>
        <v>Médica eSF</v>
      </c>
      <c r="E688" s="11" t="str">
        <f>IFERROR(__xludf.DUMMYFUNCTION("""COMPUTED_VALUE"""),"II")</f>
        <v>II</v>
      </c>
      <c r="F688" s="11" t="str">
        <f>IFERROR(__xludf.DUMMYFUNCTION("""COMPUTED_VALUE"""),"US_276 USF UPINHA DIA ALTO DO PASCOAL	")</f>
        <v>US_276 USF UPINHA DIA ALTO DO PASCOAL	</v>
      </c>
      <c r="G688" s="11" t="str">
        <f>IFERROR(__xludf.DUMMYFUNCTION("""COMPUTED_VALUE"""),"US 138 USF DR LUIZ WILSOM")</f>
        <v>US 138 USF DR LUIZ WILSOM</v>
      </c>
      <c r="H688" s="27">
        <f>IFERROR(__xludf.DUMMYFUNCTION("""COMPUTED_VALUE"""),81987798183)</f>
        <v>81987798183</v>
      </c>
      <c r="I688" s="11"/>
      <c r="J688" s="11"/>
      <c r="K688" s="11"/>
      <c r="L688" s="28" t="str">
        <f>IFERROR(__xludf.DUMMYFUNCTION("""COMPUTED_VALUE"""),"X")</f>
        <v>X</v>
      </c>
      <c r="M688" s="28" t="str">
        <f>IFERROR(__xludf.DUMMYFUNCTION("""COMPUTED_VALUE"""),"3355-3165")</f>
        <v>3355-3165</v>
      </c>
      <c r="N688" s="11" t="str">
        <f>IFERROR(__xludf.DUMMYFUNCTION("""COMPUTED_VALUE"""),"valeriaaraujope@hotmail.com")</f>
        <v>valeriaaraujope@hotmail.com</v>
      </c>
      <c r="O688" s="29">
        <f>IFERROR(__xludf.DUMMYFUNCTION("""COMPUTED_VALUE"""),8695308448)</f>
        <v>8695308448</v>
      </c>
      <c r="P688" s="30" t="str">
        <f>IFERROR(__xludf.DUMMYFUNCTION("""COMPUTED_VALUE"""),"706804792705823")</f>
        <v>706804792705823</v>
      </c>
      <c r="Q688" s="30" t="str">
        <f>IFERROR(__xludf.DUMMYFUNCTION("""COMPUTED_VALUE"""),"0000876")</f>
        <v>0000876</v>
      </c>
      <c r="R688" s="30" t="str">
        <f>IFERROR(__xludf.DUMMYFUNCTION("""COMPUTED_VALUE"""),"0000152730")</f>
        <v>0000152730</v>
      </c>
      <c r="S688" s="30" t="str">
        <f>IFERROR(__xludf.DUMMYFUNCTION("""COMPUTED_VALUE"""),"3")</f>
        <v>3</v>
      </c>
      <c r="T688" s="30" t="str">
        <f>IFERROR(__xludf.DUMMYFUNCTION("""COMPUTED_VALUE"""),"225142")</f>
        <v>225142</v>
      </c>
      <c r="U688" s="11">
        <f>IFERROR(__xludf.DUMMYFUNCTION("""COMPUTED_VALUE"""),2251)</f>
        <v>2251</v>
      </c>
      <c r="V688" s="11"/>
      <c r="W688" s="11"/>
      <c r="X688" s="11"/>
      <c r="Y688" s="11"/>
      <c r="Z688" s="11"/>
    </row>
    <row r="689" customHeight="1" spans="1:26">
      <c r="A689" s="11" t="str">
        <f>IFERROR(__xludf.DUMMYFUNCTION("""COMPUTED_VALUE"""),"SARA ROSARIO NOBREGA BENEVIDES")</f>
        <v>SARA ROSARIO NOBREGA BENEVIDES</v>
      </c>
      <c r="B689" s="11"/>
      <c r="C689" s="11"/>
      <c r="D689" s="11" t="str">
        <f>IFERROR(__xludf.DUMMYFUNCTION("""COMPUTED_VALUE"""),"Enfermeira eSF")</f>
        <v>Enfermeira eSF</v>
      </c>
      <c r="E689" s="11" t="str">
        <f>IFERROR(__xludf.DUMMYFUNCTION("""COMPUTED_VALUE"""),"II")</f>
        <v>II</v>
      </c>
      <c r="F689" s="11" t="str">
        <f>IFERROR(__xludf.DUMMYFUNCTION("""COMPUTED_VALUE"""),"US_138 USF DR LUIZ WILSOM")</f>
        <v>US_138 USF DR LUIZ WILSOM</v>
      </c>
      <c r="G689" s="11" t="str">
        <f>IFERROR(__xludf.DUMMYFUNCTION("""COMPUTED_VALUE"""),"US 138 USF DR LUIZ WILSOM")</f>
        <v>US 138 USF DR LUIZ WILSOM</v>
      </c>
      <c r="H689" s="27">
        <f>IFERROR(__xludf.DUMMYFUNCTION("""COMPUTED_VALUE"""),81986691961)</f>
        <v>81986691961</v>
      </c>
      <c r="I689" s="27">
        <f>IFERROR(__xludf.DUMMYFUNCTION("""COMPUTED_VALUE"""),81991075334)</f>
        <v>81991075334</v>
      </c>
      <c r="J689" s="11"/>
      <c r="K689" s="11"/>
      <c r="L689" s="11"/>
      <c r="M689" s="28" t="str">
        <f>IFERROR(__xludf.DUMMYFUNCTION("""COMPUTED_VALUE"""),"3355-3165")</f>
        <v>3355-3165</v>
      </c>
      <c r="N689" s="11" t="str">
        <f>IFERROR(__xludf.DUMMYFUNCTION("""COMPUTED_VALUE"""),"sara-benevides@yahoo.com / sara_benevides@yahoo.com.br")</f>
        <v>sara-benevides@yahoo.com / sara_benevides@yahoo.com.br</v>
      </c>
      <c r="O689" s="29">
        <f>IFERROR(__xludf.DUMMYFUNCTION("""COMPUTED_VALUE"""),2917147490)</f>
        <v>2917147490</v>
      </c>
      <c r="P689" s="30" t="str">
        <f>IFERROR(__xludf.DUMMYFUNCTION("""COMPUTED_VALUE"""),"130976254520001")</f>
        <v>130976254520001</v>
      </c>
      <c r="Q689" s="30" t="str">
        <f>IFERROR(__xludf.DUMMYFUNCTION("""COMPUTED_VALUE"""),"0000876")</f>
        <v>0000876</v>
      </c>
      <c r="R689" s="30" t="str">
        <f>IFERROR(__xludf.DUMMYFUNCTION("""COMPUTED_VALUE"""),"0000152765")</f>
        <v>0000152765</v>
      </c>
      <c r="S689" s="30" t="str">
        <f>IFERROR(__xludf.DUMMYFUNCTION("""COMPUTED_VALUE"""),"1")</f>
        <v>1</v>
      </c>
      <c r="T689" s="30" t="str">
        <f>IFERROR(__xludf.DUMMYFUNCTION("""COMPUTED_VALUE"""),"223565")</f>
        <v>223565</v>
      </c>
      <c r="U689" s="31" t="str">
        <f>IFERROR(__xludf.DUMMYFUNCTION("""COMPUTED_VALUE"""),"2235")</f>
        <v>2235</v>
      </c>
      <c r="V689" s="11"/>
      <c r="W689" s="11" t="str">
        <f>IFERROR(__xludf.DUMMYFUNCTION("""COMPUTED_VALUE"""),"81 30127178")</f>
        <v>81 30127178</v>
      </c>
      <c r="X689" s="11" t="str">
        <f>IFERROR(__xludf.DUMMYFUNCTION("""COMPUTED_VALUE"""),"81 94093353")</f>
        <v>81 94093353</v>
      </c>
      <c r="Y689" s="11">
        <f>IFERROR(__xludf.DUMMYFUNCTION("""COMPUTED_VALUE"""),2917147490)</f>
        <v>2917147490</v>
      </c>
      <c r="Z689" s="11"/>
    </row>
    <row r="690" customHeight="1" spans="1:26">
      <c r="A690" s="11" t="str">
        <f>IFERROR(__xludf.DUMMYFUNCTION("""COMPUTED_VALUE"""),"SILVANA MONTEIRO DE MELO GUIMARAES")</f>
        <v>SILVANA MONTEIRO DE MELO GUIMARAES</v>
      </c>
      <c r="B690" s="11" t="str">
        <f>IFERROR(__xludf.DUMMYFUNCTION("""COMPUTED_VALUE"""),"RECUSA TELECONSULTORIA")</f>
        <v>RECUSA TELECONSULTORIA</v>
      </c>
      <c r="C690" s="11"/>
      <c r="D690" s="11" t="str">
        <f>IFERROR(__xludf.DUMMYFUNCTION("""COMPUTED_VALUE"""),"Médica eSF")</f>
        <v>Médica eSF</v>
      </c>
      <c r="E690" s="11" t="str">
        <f>IFERROR(__xludf.DUMMYFUNCTION("""COMPUTED_VALUE"""),"II")</f>
        <v>II</v>
      </c>
      <c r="F690" s="11" t="str">
        <f>IFERROR(__xludf.DUMMYFUNCTION("""COMPUTED_VALUE"""),"US_138 USF DR LUIZ WILSOM")</f>
        <v>US_138 USF DR LUIZ WILSOM</v>
      </c>
      <c r="G690" s="11" t="str">
        <f>IFERROR(__xludf.DUMMYFUNCTION("""COMPUTED_VALUE"""),"US 138 USF DR LUIZ WILSOM")</f>
        <v>US 138 USF DR LUIZ WILSOM</v>
      </c>
      <c r="H690" s="27">
        <f>IFERROR(__xludf.DUMMYFUNCTION("""COMPUTED_VALUE"""),81999212439)</f>
        <v>81999212439</v>
      </c>
      <c r="I690" s="11"/>
      <c r="J690" s="11"/>
      <c r="K690" s="11"/>
      <c r="L690" s="28" t="str">
        <f>IFERROR(__xludf.DUMMYFUNCTION("""COMPUTED_VALUE"""),"X")</f>
        <v>X</v>
      </c>
      <c r="M690" s="28" t="str">
        <f>IFERROR(__xludf.DUMMYFUNCTION("""COMPUTED_VALUE"""),"3355-3165")</f>
        <v>3355-3165</v>
      </c>
      <c r="N690" s="11" t="str">
        <f>IFERROR(__xludf.DUMMYFUNCTION("""COMPUTED_VALUE"""),"silmgui@hotmail.com")</f>
        <v>silmgui@hotmail.com</v>
      </c>
      <c r="O690" s="29">
        <f>IFERROR(__xludf.DUMMYFUNCTION("""COMPUTED_VALUE"""),40438295404)</f>
        <v>40438295404</v>
      </c>
      <c r="P690" s="30" t="str">
        <f>IFERROR(__xludf.DUMMYFUNCTION("""COMPUTED_VALUE"""),"122874108310004")</f>
        <v>122874108310004</v>
      </c>
      <c r="Q690" s="30" t="str">
        <f>IFERROR(__xludf.DUMMYFUNCTION("""COMPUTED_VALUE"""),"0000876")</f>
        <v>0000876</v>
      </c>
      <c r="R690" s="30" t="str">
        <f>IFERROR(__xludf.DUMMYFUNCTION("""COMPUTED_VALUE"""),"0000152714")</f>
        <v>0000152714</v>
      </c>
      <c r="S690" s="30" t="str">
        <f>IFERROR(__xludf.DUMMYFUNCTION("""COMPUTED_VALUE"""),"1")</f>
        <v>1</v>
      </c>
      <c r="T690" s="30" t="str">
        <f>IFERROR(__xludf.DUMMYFUNCTION("""COMPUTED_VALUE"""),"225142")</f>
        <v>225142</v>
      </c>
      <c r="U690" s="11">
        <f>IFERROR(__xludf.DUMMYFUNCTION("""COMPUTED_VALUE"""),2251)</f>
        <v>2251</v>
      </c>
      <c r="V690" s="11" t="str">
        <f>IFERROR(__xludf.DUMMYFUNCTION("""COMPUTED_VALUE"""),"SIM")</f>
        <v>SIM</v>
      </c>
      <c r="W690" s="11"/>
      <c r="X690" s="11">
        <f>IFERROR(__xludf.DUMMYFUNCTION("""COMPUTED_VALUE"""),32427415)</f>
        <v>32427415</v>
      </c>
      <c r="Y690" s="11">
        <f>IFERROR(__xludf.DUMMYFUNCTION("""COMPUTED_VALUE"""),99212439)</f>
        <v>99212439</v>
      </c>
      <c r="Z690" s="11">
        <f>IFERROR(__xludf.DUMMYFUNCTION("""COMPUTED_VALUE"""),40438295404)</f>
        <v>40438295404</v>
      </c>
    </row>
    <row r="691" customHeight="1" spans="1:26">
      <c r="A691" s="11" t="str">
        <f>IFERROR(__xludf.DUMMYFUNCTION("""COMPUTED_VALUE"""),"ANA ELIZABETH VIEIRA DE MELLO")</f>
        <v>ANA ELIZABETH VIEIRA DE MELLO</v>
      </c>
      <c r="B691" s="11"/>
      <c r="C691" s="11"/>
      <c r="D691" s="11" t="str">
        <f>IFERROR(__xludf.DUMMYFUNCTION("""COMPUTED_VALUE"""),"Enfermeira eSF")</f>
        <v>Enfermeira eSF</v>
      </c>
      <c r="E691" s="11" t="str">
        <f>IFERROR(__xludf.DUMMYFUNCTION("""COMPUTED_VALUE"""),"II")</f>
        <v>II</v>
      </c>
      <c r="F691" s="11" t="str">
        <f>IFERROR(__xludf.DUMMYFUNCTION("""COMPUTED_VALUE"""),"PACS SITIO DO ROSARIO")</f>
        <v>PACS SITIO DO ROSARIO</v>
      </c>
      <c r="G691" s="11" t="str">
        <f>IFERROR(__xludf.DUMMYFUNCTION("""COMPUTED_VALUE"""),"US 155 CS PROF MONTEIRO DE MORAIS")</f>
        <v>US 155 CS PROF MONTEIRO DE MORAIS</v>
      </c>
      <c r="H691" s="27">
        <f>IFERROR(__xludf.DUMMYFUNCTION("""COMPUTED_VALUE"""),81983089510)</f>
        <v>81983089510</v>
      </c>
      <c r="I691" s="27">
        <f>IFERROR(__xludf.DUMMYFUNCTION("""COMPUTED_VALUE"""),81996376599)</f>
        <v>81996376599</v>
      </c>
      <c r="J691" s="11"/>
      <c r="K691" s="11"/>
      <c r="L691" s="11"/>
      <c r="M691" s="28" t="str">
        <f>IFERROR(__xludf.DUMMYFUNCTION("""COMPUTED_VALUE"""),"3355-6848")</f>
        <v>3355-6848</v>
      </c>
      <c r="N691" s="11" t="str">
        <f>IFERROR(__xludf.DUMMYFUNCTION("""COMPUTED_VALUE"""),"aevmello@hotmail.com")</f>
        <v>aevmello@hotmail.com</v>
      </c>
      <c r="O691" s="29">
        <f>IFERROR(__xludf.DUMMYFUNCTION("""COMPUTED_VALUE"""),84459808404)</f>
        <v>84459808404</v>
      </c>
      <c r="P691" s="30" t="str">
        <f>IFERROR(__xludf.DUMMYFUNCTION("""COMPUTED_VALUE"""),"204325019610006")</f>
        <v>204325019610006</v>
      </c>
      <c r="Q691" s="30" t="str">
        <f>IFERROR(__xludf.DUMMYFUNCTION("""COMPUTED_VALUE"""),"0000825")</f>
        <v>0000825</v>
      </c>
      <c r="R691" s="11"/>
      <c r="S691" s="30" t="str">
        <f>IFERROR(__xludf.DUMMYFUNCTION("""COMPUTED_VALUE"""),"1")</f>
        <v>1</v>
      </c>
      <c r="T691" s="30" t="str">
        <f>IFERROR(__xludf.DUMMYFUNCTION("""COMPUTED_VALUE"""),"223565")</f>
        <v>223565</v>
      </c>
      <c r="U691" s="31" t="str">
        <f>IFERROR(__xludf.DUMMYFUNCTION("""COMPUTED_VALUE"""),"2235")</f>
        <v>2235</v>
      </c>
      <c r="V691" s="11"/>
      <c r="W691" s="11" t="str">
        <f>IFERROR(__xludf.DUMMYFUNCTION("""COMPUTED_VALUE"""),"#N/A")</f>
        <v>#N/A</v>
      </c>
      <c r="X691" s="11" t="str">
        <f>IFERROR(__xludf.DUMMYFUNCTION("""COMPUTED_VALUE"""),"#N/A")</f>
        <v>#N/A</v>
      </c>
      <c r="Y691" s="11" t="str">
        <f>IFERROR(__xludf.DUMMYFUNCTION("""COMPUTED_VALUE"""),"#N/A")</f>
        <v>#N/A</v>
      </c>
      <c r="Z691" s="11"/>
    </row>
    <row r="692" customHeight="1" spans="1:26">
      <c r="A692" s="11" t="str">
        <f>IFERROR(__xludf.DUMMYFUNCTION("""COMPUTED_VALUE"""),"IZANEIDE DE CARVALHO PRIMO")</f>
        <v>IZANEIDE DE CARVALHO PRIMO</v>
      </c>
      <c r="B692" s="11"/>
      <c r="C692" s="11"/>
      <c r="D692" s="11" t="str">
        <f>IFERROR(__xludf.DUMMYFUNCTION("""COMPUTED_VALUE"""),"Enfermeira eSF")</f>
        <v>Enfermeira eSF</v>
      </c>
      <c r="E692" s="11" t="str">
        <f>IFERROR(__xludf.DUMMYFUNCTION("""COMPUTED_VALUE"""),"II")</f>
        <v>II</v>
      </c>
      <c r="F692" s="11" t="str">
        <f>IFERROR(__xludf.DUMMYFUNCTION("""COMPUTED_VALUE"""),"USF - US 155 USF ALTO DOS COQUEIROS II / BEBERIBE / PROF. MONTEIRO DE MORAIS")</f>
        <v>USF - US 155 USF ALTO DOS COQUEIROS II / BEBERIBE / PROF. MONTEIRO DE MORAIS</v>
      </c>
      <c r="G692" s="11" t="str">
        <f>IFERROR(__xludf.DUMMYFUNCTION("""COMPUTED_VALUE"""),"US 155 CS PROF MONTEIRO DE MORAIS")</f>
        <v>US 155 CS PROF MONTEIRO DE MORAIS</v>
      </c>
      <c r="H692" s="27">
        <f>IFERROR(__xludf.DUMMYFUNCTION("""COMPUTED_VALUE"""),81996430872)</f>
        <v>81996430872</v>
      </c>
      <c r="I692" s="27">
        <f>IFERROR(__xludf.DUMMYFUNCTION("""COMPUTED_VALUE"""),81986552752)</f>
        <v>81986552752</v>
      </c>
      <c r="J692" s="11"/>
      <c r="K692" s="24">
        <f>IFERROR(__xludf.DUMMYFUNCTION("""COMPUTED_VALUE"""),45152)</f>
        <v>45152</v>
      </c>
      <c r="L692" s="11"/>
      <c r="M692" s="28" t="str">
        <f>IFERROR(__xludf.DUMMYFUNCTION("""COMPUTED_VALUE"""),"3355-6848")</f>
        <v>3355-6848</v>
      </c>
      <c r="N692" s="11" t="str">
        <f>IFERROR(__xludf.DUMMYFUNCTION("""COMPUTED_VALUE"""),"izaneidecarvalho@hotmail.com")</f>
        <v>izaneidecarvalho@hotmail.com</v>
      </c>
      <c r="O692" s="29">
        <f>IFERROR(__xludf.DUMMYFUNCTION("""COMPUTED_VALUE"""),44994575487)</f>
        <v>44994575487</v>
      </c>
      <c r="P692" s="30" t="str">
        <f>IFERROR(__xludf.DUMMYFUNCTION("""COMPUTED_VALUE"""),"204324263310007")</f>
        <v>204324263310007</v>
      </c>
      <c r="Q692" s="30" t="str">
        <f>IFERROR(__xludf.DUMMYFUNCTION("""COMPUTED_VALUE"""),"0000825")</f>
        <v>0000825</v>
      </c>
      <c r="R692" s="30" t="str">
        <f>IFERROR(__xludf.DUMMYFUNCTION("""COMPUTED_VALUE"""),"0000152609")</f>
        <v>0000152609</v>
      </c>
      <c r="S692" s="30" t="str">
        <f>IFERROR(__xludf.DUMMYFUNCTION("""COMPUTED_VALUE"""),"1")</f>
        <v>1</v>
      </c>
      <c r="T692" s="30" t="str">
        <f>IFERROR(__xludf.DUMMYFUNCTION("""COMPUTED_VALUE"""),"223505")</f>
        <v>223505</v>
      </c>
      <c r="U692" s="31" t="str">
        <f>IFERROR(__xludf.DUMMYFUNCTION("""COMPUTED_VALUE"""),"2235")</f>
        <v>2235</v>
      </c>
      <c r="V692" s="11"/>
      <c r="W692" s="11" t="str">
        <f>IFERROR(__xludf.DUMMYFUNCTION("""COMPUTED_VALUE"""),"#N/A")</f>
        <v>#N/A</v>
      </c>
      <c r="X692" s="11" t="str">
        <f>IFERROR(__xludf.DUMMYFUNCTION("""COMPUTED_VALUE"""),"#N/A")</f>
        <v>#N/A</v>
      </c>
      <c r="Y692" s="11" t="str">
        <f>IFERROR(__xludf.DUMMYFUNCTION("""COMPUTED_VALUE"""),"#N/A")</f>
        <v>#N/A</v>
      </c>
      <c r="Z692" s="11"/>
    </row>
    <row r="693" customHeight="1" spans="1:26">
      <c r="A693" s="11" t="str">
        <f>IFERROR(__xludf.DUMMYFUNCTION("""COMPUTED_VALUE"""),"JOSIANY DE LIMA BARBOSA")</f>
        <v>JOSIANY DE LIMA BARBOSA</v>
      </c>
      <c r="B693" s="11"/>
      <c r="C693" s="11"/>
      <c r="D693" s="11" t="str">
        <f>IFERROR(__xludf.DUMMYFUNCTION("""COMPUTED_VALUE"""),"Enfermeira eSF")</f>
        <v>Enfermeira eSF</v>
      </c>
      <c r="E693" s="11" t="str">
        <f>IFERROR(__xludf.DUMMYFUNCTION("""COMPUTED_VALUE"""),"II")</f>
        <v>II</v>
      </c>
      <c r="F693" s="11" t="str">
        <f>IFERROR(__xludf.DUMMYFUNCTION("""COMPUTED_VALUE"""),"PACS FUNDAO")</f>
        <v>PACS FUNDAO</v>
      </c>
      <c r="G693" s="11" t="str">
        <f>IFERROR(__xludf.DUMMYFUNCTION("""COMPUTED_VALUE"""),"US 155 CS PROF MONTEIRO DE MORAIS")</f>
        <v>US 155 CS PROF MONTEIRO DE MORAIS</v>
      </c>
      <c r="H693" s="27">
        <f>IFERROR(__xludf.DUMMYFUNCTION("""COMPUTED_VALUE"""),81997388591)</f>
        <v>81997388591</v>
      </c>
      <c r="I693" s="11"/>
      <c r="J693" s="11"/>
      <c r="K693" s="11"/>
      <c r="L693" s="11"/>
      <c r="M693" s="28" t="str">
        <f>IFERROR(__xludf.DUMMYFUNCTION("""COMPUTED_VALUE"""),"3355-6848")</f>
        <v>3355-6848</v>
      </c>
      <c r="N693" s="11" t="str">
        <f>IFERROR(__xludf.DUMMYFUNCTION("""COMPUTED_VALUE"""),"josianylb@yahoo.com.br")</f>
        <v>josianylb@yahoo.com.br</v>
      </c>
      <c r="O693" s="29">
        <f>IFERROR(__xludf.DUMMYFUNCTION("""COMPUTED_VALUE"""),804046425)</f>
        <v>804046425</v>
      </c>
      <c r="P693" s="30" t="str">
        <f>IFERROR(__xludf.DUMMYFUNCTION("""COMPUTED_VALUE"""),"204324347840007")</f>
        <v>204324347840007</v>
      </c>
      <c r="Q693" s="30" t="str">
        <f>IFERROR(__xludf.DUMMYFUNCTION("""COMPUTED_VALUE"""),"0000825")</f>
        <v>0000825</v>
      </c>
      <c r="R693" s="30" t="str">
        <f>IFERROR(__xludf.DUMMYFUNCTION("""COMPUTED_VALUE"""),"0000152579")</f>
        <v>0000152579</v>
      </c>
      <c r="S693" s="30" t="str">
        <f>IFERROR(__xludf.DUMMYFUNCTION("""COMPUTED_VALUE"""),"1")</f>
        <v>1</v>
      </c>
      <c r="T693" s="30" t="str">
        <f>IFERROR(__xludf.DUMMYFUNCTION("""COMPUTED_VALUE"""),"223565")</f>
        <v>223565</v>
      </c>
      <c r="U693" s="31" t="str">
        <f>IFERROR(__xludf.DUMMYFUNCTION("""COMPUTED_VALUE"""),"2235")</f>
        <v>2235</v>
      </c>
      <c r="V693" s="11"/>
      <c r="W693" s="11"/>
      <c r="X693" s="11"/>
      <c r="Y693" s="11"/>
      <c r="Z693" s="11"/>
    </row>
    <row r="694" customHeight="1" spans="1:26">
      <c r="A694" s="11" t="str">
        <f>IFERROR(__xludf.DUMMYFUNCTION("""COMPUTED_VALUE"""),"MARCELA ROSA LINS RODRIGUES")</f>
        <v>MARCELA ROSA LINS RODRIGUES</v>
      </c>
      <c r="B694" s="11"/>
      <c r="C694" s="11"/>
      <c r="D694" s="11" t="str">
        <f>IFERROR(__xludf.DUMMYFUNCTION("""COMPUTED_VALUE"""),"Enfermeira eSF")</f>
        <v>Enfermeira eSF</v>
      </c>
      <c r="E694" s="11" t="str">
        <f>IFERROR(__xludf.DUMMYFUNCTION("""COMPUTED_VALUE"""),"II")</f>
        <v>II</v>
      </c>
      <c r="F694" s="11" t="str">
        <f>IFERROR(__xludf.DUMMYFUNCTION("""COMPUTED_VALUE"""),"PACS CAMPO GRANDE  HIPODROMO ")</f>
        <v>PACS CAMPO GRANDE  HIPODROMO </v>
      </c>
      <c r="G694" s="11" t="str">
        <f>IFERROR(__xludf.DUMMYFUNCTION("""COMPUTED_VALUE"""),"US 155 CS PROF MONTEIRO DE MORAIS")</f>
        <v>US 155 CS PROF MONTEIRO DE MORAIS</v>
      </c>
      <c r="H694" s="27">
        <f>IFERROR(__xludf.DUMMYFUNCTION("""COMPUTED_VALUE"""),81981988895)</f>
        <v>81981988895</v>
      </c>
      <c r="I694" s="11"/>
      <c r="J694" s="11"/>
      <c r="K694" s="11"/>
      <c r="L694" s="11"/>
      <c r="M694" s="28" t="str">
        <f>IFERROR(__xludf.DUMMYFUNCTION("""COMPUTED_VALUE"""),"3355-6848")</f>
        <v>3355-6848</v>
      </c>
      <c r="N694" s="11" t="str">
        <f>IFERROR(__xludf.DUMMYFUNCTION("""COMPUTED_VALUE"""),"marcelarlins@hotmail.com")</f>
        <v>marcelarlins@hotmail.com</v>
      </c>
      <c r="O694" s="29">
        <f>IFERROR(__xludf.DUMMYFUNCTION("""COMPUTED_VALUE"""),77209010459)</f>
        <v>77209010459</v>
      </c>
      <c r="P694" s="30" t="str">
        <f>IFERROR(__xludf.DUMMYFUNCTION("""COMPUTED_VALUE"""),"132319794540007")</f>
        <v>132319794540007</v>
      </c>
      <c r="Q694" s="30" t="str">
        <f>IFERROR(__xludf.DUMMYFUNCTION("""COMPUTED_VALUE"""),"0000825")</f>
        <v>0000825</v>
      </c>
      <c r="R694" s="30" t="str">
        <f>IFERROR(__xludf.DUMMYFUNCTION("""COMPUTED_VALUE"""),"0000152587")</f>
        <v>0000152587</v>
      </c>
      <c r="S694" s="30" t="str">
        <f>IFERROR(__xludf.DUMMYFUNCTION("""COMPUTED_VALUE"""),"1")</f>
        <v>1</v>
      </c>
      <c r="T694" s="30" t="str">
        <f>IFERROR(__xludf.DUMMYFUNCTION("""COMPUTED_VALUE"""),"223565")</f>
        <v>223565</v>
      </c>
      <c r="U694" s="31" t="str">
        <f>IFERROR(__xludf.DUMMYFUNCTION("""COMPUTED_VALUE"""),"2235")</f>
        <v>2235</v>
      </c>
      <c r="V694" s="11"/>
      <c r="W694" s="11"/>
      <c r="X694" s="11"/>
      <c r="Y694" s="11"/>
      <c r="Z694" s="11"/>
    </row>
    <row r="695" customHeight="1" spans="1:26">
      <c r="A695" s="11" t="str">
        <f>IFERROR(__xludf.DUMMYFUNCTION("""COMPUTED_VALUE"""),"GIOCONDA MARIA DE SA CAVALCANTI DOS SANTOS")</f>
        <v>GIOCONDA MARIA DE SA CAVALCANTI DOS SANTOS</v>
      </c>
      <c r="B695" s="11"/>
      <c r="C695" s="11"/>
      <c r="D695" s="11" t="str">
        <f>IFERROR(__xludf.DUMMYFUNCTION("""COMPUTED_VALUE"""),"Enfermeira eSF")</f>
        <v>Enfermeira eSF</v>
      </c>
      <c r="E695" s="11" t="str">
        <f>IFERROR(__xludf.DUMMYFUNCTION("""COMPUTED_VALUE"""),"II")</f>
        <v>II</v>
      </c>
      <c r="F695" s="11" t="str">
        <f>IFERROR(__xludf.DUMMYFUNCTION("""COMPUTED_VALUE"""),"US_179 USF PORTO DA MADEIRA / ALTO DO CEU")</f>
        <v>US_179 USF PORTO DA MADEIRA / ALTO DO CEU</v>
      </c>
      <c r="G695" s="11" t="str">
        <f>IFERROR(__xludf.DUMMYFUNCTION("""COMPUTED_VALUE"""),"US 179 USF ALTO DO CEU")</f>
        <v>US 179 USF ALTO DO CEU</v>
      </c>
      <c r="H695" s="27">
        <f>IFERROR(__xludf.DUMMYFUNCTION("""COMPUTED_VALUE"""),81987824453)</f>
        <v>81987824453</v>
      </c>
      <c r="I695" s="11"/>
      <c r="J695" s="11"/>
      <c r="K695" s="11"/>
      <c r="L695" s="11"/>
      <c r="M695" s="28" t="str">
        <f>IFERROR(__xludf.DUMMYFUNCTION("""COMPUTED_VALUE"""),"3355-6206")</f>
        <v>3355-6206</v>
      </c>
      <c r="N695" s="11" t="str">
        <f>IFERROR(__xludf.DUMMYFUNCTION("""COMPUTED_VALUE"""),"giocondasa2012@hotmail.com")</f>
        <v>giocondasa2012@hotmail.com</v>
      </c>
      <c r="O695" s="29">
        <f>IFERROR(__xludf.DUMMYFUNCTION("""COMPUTED_VALUE"""),2341633480)</f>
        <v>2341633480</v>
      </c>
      <c r="P695" s="30" t="str">
        <f>IFERROR(__xludf.DUMMYFUNCTION("""COMPUTED_VALUE"""),"207032671290004")</f>
        <v>207032671290004</v>
      </c>
      <c r="Q695" s="30" t="str">
        <f>IFERROR(__xludf.DUMMYFUNCTION("""COMPUTED_VALUE"""),"0001503")</f>
        <v>0001503</v>
      </c>
      <c r="R695" s="30" t="str">
        <f>IFERROR(__xludf.DUMMYFUNCTION("""COMPUTED_VALUE"""),"0000153273")</f>
        <v>0000153273</v>
      </c>
      <c r="S695" s="30" t="str">
        <f>IFERROR(__xludf.DUMMYFUNCTION("""COMPUTED_VALUE"""),"1")</f>
        <v>1</v>
      </c>
      <c r="T695" s="30" t="str">
        <f>IFERROR(__xludf.DUMMYFUNCTION("""COMPUTED_VALUE"""),"223565")</f>
        <v>223565</v>
      </c>
      <c r="U695" s="31" t="str">
        <f>IFERROR(__xludf.DUMMYFUNCTION("""COMPUTED_VALUE"""),"2235")</f>
        <v>2235</v>
      </c>
      <c r="V695" s="11"/>
      <c r="W695" s="11"/>
      <c r="X695" s="11"/>
      <c r="Y695" s="11"/>
      <c r="Z695" s="11"/>
    </row>
    <row r="696" customHeight="1" spans="1:26">
      <c r="A696" s="11" t="str">
        <f>IFERROR(__xludf.DUMMYFUNCTION("""COMPUTED_VALUE"""),"ROSEMARY DA SILVA SANTOS")</f>
        <v>ROSEMARY DA SILVA SANTOS</v>
      </c>
      <c r="B696" s="11"/>
      <c r="C696" s="11"/>
      <c r="D696" s="11" t="str">
        <f>IFERROR(__xludf.DUMMYFUNCTION("""COMPUTED_VALUE"""),"Enfermeira eSF")</f>
        <v>Enfermeira eSF</v>
      </c>
      <c r="E696" s="11" t="str">
        <f>IFERROR(__xludf.DUMMYFUNCTION("""COMPUTED_VALUE"""),"II")</f>
        <v>II</v>
      </c>
      <c r="F696" s="11" t="str">
        <f>IFERROR(__xludf.DUMMYFUNCTION("""COMPUTED_VALUE"""),"US_179 USF PORTO DA MADEIRA / ALTO DO CEU")</f>
        <v>US_179 USF PORTO DA MADEIRA / ALTO DO CEU</v>
      </c>
      <c r="G696" s="11" t="str">
        <f>IFERROR(__xludf.DUMMYFUNCTION("""COMPUTED_VALUE"""),"US 179 USF ALTO DO CEU")</f>
        <v>US 179 USF ALTO DO CEU</v>
      </c>
      <c r="H696" s="27">
        <f>IFERROR(__xludf.DUMMYFUNCTION("""COMPUTED_VALUE"""),81986136263)</f>
        <v>81986136263</v>
      </c>
      <c r="I696" s="27">
        <f>IFERROR(__xludf.DUMMYFUNCTION("""COMPUTED_VALUE"""),81998997376)</f>
        <v>81998997376</v>
      </c>
      <c r="J696" s="11"/>
      <c r="K696" s="11"/>
      <c r="L696" s="11"/>
      <c r="M696" s="28" t="str">
        <f>IFERROR(__xludf.DUMMYFUNCTION("""COMPUTED_VALUE"""),"3355-6206")</f>
        <v>3355-6206</v>
      </c>
      <c r="N696" s="11" t="str">
        <f>IFERROR(__xludf.DUMMYFUNCTION("""COMPUTED_VALUE"""),"rose.teco@hotmail.com / rosealtair2017@gmail.com")</f>
        <v>rose.teco@hotmail.com / rosealtair2017@gmail.com</v>
      </c>
      <c r="O696" s="29">
        <f>IFERROR(__xludf.DUMMYFUNCTION("""COMPUTED_VALUE"""),71746200430)</f>
        <v>71746200430</v>
      </c>
      <c r="P696" s="30" t="str">
        <f>IFERROR(__xludf.DUMMYFUNCTION("""COMPUTED_VALUE"""),"170519076280005")</f>
        <v>170519076280005</v>
      </c>
      <c r="Q696" s="30" t="str">
        <f>IFERROR(__xludf.DUMMYFUNCTION("""COMPUTED_VALUE"""),"0001503")</f>
        <v>0001503</v>
      </c>
      <c r="R696" s="30" t="str">
        <f>IFERROR(__xludf.DUMMYFUNCTION("""COMPUTED_VALUE"""),"0000153265")</f>
        <v>0000153265</v>
      </c>
      <c r="S696" s="30" t="str">
        <f>IFERROR(__xludf.DUMMYFUNCTION("""COMPUTED_VALUE"""),"1")</f>
        <v>1</v>
      </c>
      <c r="T696" s="30" t="str">
        <f>IFERROR(__xludf.DUMMYFUNCTION("""COMPUTED_VALUE"""),"223565")</f>
        <v>223565</v>
      </c>
      <c r="U696" s="31" t="str">
        <f>IFERROR(__xludf.DUMMYFUNCTION("""COMPUTED_VALUE"""),"2235")</f>
        <v>2235</v>
      </c>
      <c r="V696" s="11"/>
      <c r="W696" s="11">
        <f>IFERROR(__xludf.DUMMYFUNCTION("""COMPUTED_VALUE"""),98997376)</f>
        <v>98997376</v>
      </c>
      <c r="X696" s="11">
        <f>IFERROR(__xludf.DUMMYFUNCTION("""COMPUTED_VALUE"""),86136263)</f>
        <v>86136263</v>
      </c>
      <c r="Y696" s="11">
        <f>IFERROR(__xludf.DUMMYFUNCTION("""COMPUTED_VALUE"""),71746200430)</f>
        <v>71746200430</v>
      </c>
      <c r="Z696" s="11"/>
    </row>
    <row r="697" customHeight="1" spans="1:26">
      <c r="A697" s="11" t="str">
        <f>IFERROR(__xludf.DUMMYFUNCTION("""COMPUTED_VALUE"""),"TANIA BEZERRA CAVALCANTI DE ALBUQUERQUE")</f>
        <v>TANIA BEZERRA CAVALCANTI DE ALBUQUERQUE</v>
      </c>
      <c r="B697" s="11"/>
      <c r="C697" s="11"/>
      <c r="D697" s="11" t="str">
        <f>IFERROR(__xludf.DUMMYFUNCTION("""COMPUTED_VALUE"""),"Médica eSF")</f>
        <v>Médica eSF</v>
      </c>
      <c r="E697" s="11" t="str">
        <f>IFERROR(__xludf.DUMMYFUNCTION("""COMPUTED_VALUE"""),"II")</f>
        <v>II</v>
      </c>
      <c r="F697" s="11" t="str">
        <f>IFERROR(__xludf.DUMMYFUNCTION("""COMPUTED_VALUE"""),"US_179 USF PORTO DA MADEIRA / ALTO DO CEU")</f>
        <v>US_179 USF PORTO DA MADEIRA / ALTO DO CEU</v>
      </c>
      <c r="G697" s="11" t="str">
        <f>IFERROR(__xludf.DUMMYFUNCTION("""COMPUTED_VALUE"""),"US 179 USF ALTO DO CEU")</f>
        <v>US 179 USF ALTO DO CEU</v>
      </c>
      <c r="H697" s="27">
        <f>IFERROR(__xludf.DUMMYFUNCTION("""COMPUTED_VALUE"""),81996182169)</f>
        <v>81996182169</v>
      </c>
      <c r="I697" s="11"/>
      <c r="J697" s="11"/>
      <c r="K697" s="11"/>
      <c r="L697" s="11"/>
      <c r="M697" s="28" t="str">
        <f>IFERROR(__xludf.DUMMYFUNCTION("""COMPUTED_VALUE"""),"3355-6206")</f>
        <v>3355-6206</v>
      </c>
      <c r="N697" s="11" t="str">
        <f>IFERROR(__xludf.DUMMYFUNCTION("""COMPUTED_VALUE"""),"taniabcalbuquerque@gmail.com / mirrtania@yahoo.com.br")</f>
        <v>taniabcalbuquerque@gmail.com / mirrtania@yahoo.com.br</v>
      </c>
      <c r="O697" s="29">
        <f>IFERROR(__xludf.DUMMYFUNCTION("""COMPUTED_VALUE"""),23576847472)</f>
        <v>23576847472</v>
      </c>
      <c r="P697" s="30" t="str">
        <f>IFERROR(__xludf.DUMMYFUNCTION("""COMPUTED_VALUE"""),"209066148690000")</f>
        <v>209066148690000</v>
      </c>
      <c r="Q697" s="30" t="str">
        <f>IFERROR(__xludf.DUMMYFUNCTION("""COMPUTED_VALUE"""),"0001503")</f>
        <v>0001503</v>
      </c>
      <c r="R697" s="30" t="str">
        <f>IFERROR(__xludf.DUMMYFUNCTION("""COMPUTED_VALUE"""),"0000153265")</f>
        <v>0000153265</v>
      </c>
      <c r="S697" s="30" t="str">
        <f>IFERROR(__xludf.DUMMYFUNCTION("""COMPUTED_VALUE"""),"1")</f>
        <v>1</v>
      </c>
      <c r="T697" s="30" t="str">
        <f>IFERROR(__xludf.DUMMYFUNCTION("""COMPUTED_VALUE"""),"225142")</f>
        <v>225142</v>
      </c>
      <c r="U697" s="11">
        <f>IFERROR(__xludf.DUMMYFUNCTION("""COMPUTED_VALUE"""),2251)</f>
        <v>2251</v>
      </c>
      <c r="V697" s="11" t="str">
        <f>IFERROR(__xludf.DUMMYFUNCTION("""COMPUTED_VALUE"""),"SIM")</f>
        <v>SIM</v>
      </c>
      <c r="W697" s="11"/>
      <c r="X697" s="11">
        <f>IFERROR(__xludf.DUMMYFUNCTION("""COMPUTED_VALUE"""),34414010)</f>
        <v>34414010</v>
      </c>
      <c r="Y697" s="11">
        <f>IFERROR(__xludf.DUMMYFUNCTION("""COMPUTED_VALUE"""),96182169)</f>
        <v>96182169</v>
      </c>
      <c r="Z697" s="11">
        <f>IFERROR(__xludf.DUMMYFUNCTION("""COMPUTED_VALUE"""),23576847472)</f>
        <v>23576847472</v>
      </c>
    </row>
    <row r="698" customHeight="1" spans="1:26">
      <c r="A698" s="11" t="str">
        <f>IFERROR(__xludf.DUMMYFUNCTION("""COMPUTED_VALUE"""),"VIRGINIA SOLANGE DE NOBREGA NOVAIS")</f>
        <v>VIRGINIA SOLANGE DE NOBREGA NOVAIS</v>
      </c>
      <c r="B698" s="11"/>
      <c r="C698" s="11" t="str">
        <f>IFERROR(__xludf.DUMMYFUNCTION("""COMPUTED_VALUE"""),"991335621 (whatsapp)")</f>
        <v>991335621 (whatsapp)</v>
      </c>
      <c r="D698" s="11" t="str">
        <f>IFERROR(__xludf.DUMMYFUNCTION("""COMPUTED_VALUE"""),"Enfermeira eSF")</f>
        <v>Enfermeira eSF</v>
      </c>
      <c r="E698" s="11" t="str">
        <f>IFERROR(__xludf.DUMMYFUNCTION("""COMPUTED_VALUE"""),"II")</f>
        <v>II</v>
      </c>
      <c r="F698" s="11" t="str">
        <f>IFERROR(__xludf.DUMMYFUNCTION("""COMPUTED_VALUE"""),"US_221 USF ILHA DE JOANEIRO")</f>
        <v>US_221 USF ILHA DE JOANEIRO</v>
      </c>
      <c r="G698" s="11" t="str">
        <f>IFERROR(__xludf.DUMMYFUNCTION("""COMPUTED_VALUE"""),"US 221 USF ILHA DE JOANEIRO")</f>
        <v>US 221 USF ILHA DE JOANEIRO</v>
      </c>
      <c r="H698" s="27">
        <f>IFERROR(__xludf.DUMMYFUNCTION("""COMPUTED_VALUE"""),81991335621)</f>
        <v>81991335621</v>
      </c>
      <c r="I698" s="27">
        <f>IFERROR(__xludf.DUMMYFUNCTION("""COMPUTED_VALUE"""),81998324963)</f>
        <v>81998324963</v>
      </c>
      <c r="J698" s="11"/>
      <c r="K698" s="11"/>
      <c r="L698" s="11"/>
      <c r="M698" s="28" t="str">
        <f>IFERROR(__xludf.DUMMYFUNCTION("""COMPUTED_VALUE"""),"3355-6150")</f>
        <v>3355-6150</v>
      </c>
      <c r="N698" s="11" t="str">
        <f>IFERROR(__xludf.DUMMYFUNCTION("""COMPUTED_VALUE"""),"virginia-olange@hotmail.com / virginiasolange@gmail.com")</f>
        <v>virginia-olange@hotmail.com / virginiasolange@gmail.com</v>
      </c>
      <c r="O698" s="29">
        <f>IFERROR(__xludf.DUMMYFUNCTION("""COMPUTED_VALUE"""),27701573453)</f>
        <v>27701573453</v>
      </c>
      <c r="P698" s="30" t="str">
        <f>IFERROR(__xludf.DUMMYFUNCTION("""COMPUTED_VALUE"""),"121397297080000")</f>
        <v>121397297080000</v>
      </c>
      <c r="Q698" s="30" t="str">
        <f>IFERROR(__xludf.DUMMYFUNCTION("""COMPUTED_VALUE"""),"0002135")</f>
        <v>0002135</v>
      </c>
      <c r="R698" s="30" t="str">
        <f>IFERROR(__xludf.DUMMYFUNCTION("""COMPUTED_VALUE"""),"0000153478")</f>
        <v>0000153478</v>
      </c>
      <c r="S698" s="30" t="str">
        <f>IFERROR(__xludf.DUMMYFUNCTION("""COMPUTED_VALUE"""),"1")</f>
        <v>1</v>
      </c>
      <c r="T698" s="30" t="str">
        <f>IFERROR(__xludf.DUMMYFUNCTION("""COMPUTED_VALUE"""),"223565")</f>
        <v>223565</v>
      </c>
      <c r="U698" s="31" t="str">
        <f>IFERROR(__xludf.DUMMYFUNCTION("""COMPUTED_VALUE"""),"2235")</f>
        <v>2235</v>
      </c>
      <c r="V698" s="11"/>
      <c r="W698" s="11" t="str">
        <f>IFERROR(__xludf.DUMMYFUNCTION("""COMPUTED_VALUE"""),"#N/A")</f>
        <v>#N/A</v>
      </c>
      <c r="X698" s="11" t="str">
        <f>IFERROR(__xludf.DUMMYFUNCTION("""COMPUTED_VALUE"""),"#N/A")</f>
        <v>#N/A</v>
      </c>
      <c r="Y698" s="11" t="str">
        <f>IFERROR(__xludf.DUMMYFUNCTION("""COMPUTED_VALUE"""),"#N/A")</f>
        <v>#N/A</v>
      </c>
      <c r="Z698" s="11"/>
    </row>
    <row r="699" customHeight="1" spans="1:26">
      <c r="A699" s="11" t="str">
        <f>IFERROR(__xludf.DUMMYFUNCTION("""COMPUTED_VALUE"""),"WALESKA SENA N WOJCIESZYN")</f>
        <v>WALESKA SENA N WOJCIESZYN</v>
      </c>
      <c r="B699" s="11"/>
      <c r="C699" s="11"/>
      <c r="D699" s="11" t="str">
        <f>IFERROR(__xludf.DUMMYFUNCTION("""COMPUTED_VALUE"""),"Dentista")</f>
        <v>Dentista</v>
      </c>
      <c r="E699" s="11" t="str">
        <f>IFERROR(__xludf.DUMMYFUNCTION("""COMPUTED_VALUE"""),"II")</f>
        <v>II</v>
      </c>
      <c r="F699" s="11" t="str">
        <f>IFERROR(__xludf.DUMMYFUNCTION("""COMPUTED_VALUE"""),"US_128 POLICLINICA LESSA DE ANDRADE")</f>
        <v>US_128 POLICLINICA LESSA DE ANDRADE</v>
      </c>
      <c r="G699" s="11" t="str">
        <f>IFERROR(__xludf.DUMMYFUNCTION("""COMPUTED_VALUE"""),"US 221 USF ILHA DE JOANEIRO")</f>
        <v>US 221 USF ILHA DE JOANEIRO</v>
      </c>
      <c r="H699" s="27">
        <f>IFERROR(__xludf.DUMMYFUNCTION("""COMPUTED_VALUE"""),81996206018)</f>
        <v>81996206018</v>
      </c>
      <c r="I699" s="11"/>
      <c r="J699" s="11"/>
      <c r="K699" s="11"/>
      <c r="L699" s="11"/>
      <c r="M699" s="28" t="str">
        <f>IFERROR(__xludf.DUMMYFUNCTION("""COMPUTED_VALUE"""),"3355-6150")</f>
        <v>3355-6150</v>
      </c>
      <c r="N699" s="11" t="str">
        <f>IFERROR(__xludf.DUMMYFUNCTION("""COMPUTED_VALUE"""),"walnog@gmail.com")</f>
        <v>walnog@gmail.com</v>
      </c>
      <c r="O699" s="29">
        <f>IFERROR(__xludf.DUMMYFUNCTION("""COMPUTED_VALUE"""),3362870465)</f>
        <v>3362870465</v>
      </c>
      <c r="P699" s="30" t="str">
        <f>IFERROR(__xludf.DUMMYFUNCTION("""COMPUTED_VALUE"""),"207428948720003	")</f>
        <v>207428948720003	</v>
      </c>
      <c r="Q699" s="30" t="str">
        <f>IFERROR(__xludf.DUMMYFUNCTION("""COMPUTED_VALUE"""),"0002135")</f>
        <v>0002135</v>
      </c>
      <c r="R699" s="30" t="str">
        <f>IFERROR(__xludf.DUMMYFUNCTION("""COMPUTED_VALUE"""),"0000153478")</f>
        <v>0000153478</v>
      </c>
      <c r="S699" s="30" t="str">
        <f>IFERROR(__xludf.DUMMYFUNCTION("""COMPUTED_VALUE"""),"1")</f>
        <v>1</v>
      </c>
      <c r="T699" s="30" t="str">
        <f>IFERROR(__xludf.DUMMYFUNCTION("""COMPUTED_VALUE"""),"223293")</f>
        <v>223293</v>
      </c>
      <c r="U699" s="31">
        <f>IFERROR(__xludf.DUMMYFUNCTION("""COMPUTED_VALUE"""),2232)</f>
        <v>2232</v>
      </c>
      <c r="V699" s="11"/>
      <c r="W699" s="11"/>
      <c r="X699" s="11"/>
      <c r="Y699" s="11"/>
      <c r="Z699" s="11"/>
    </row>
    <row r="700" customHeight="1" spans="1:26">
      <c r="A700" s="11" t="str">
        <f>IFERROR(__xludf.DUMMYFUNCTION("""COMPUTED_VALUE"""),"LARISSA MONIQUE LIMA VASCONCELOS FIDELIS")</f>
        <v>LARISSA MONIQUE LIMA VASCONCELOS FIDELIS</v>
      </c>
      <c r="B700" s="11" t="str">
        <f>IFERROR(__xludf.DUMMYFUNCTION("""COMPUTED_VALUE"""),"RECUSA TELECONSULTORIA")</f>
        <v>RECUSA TELECONSULTORIA</v>
      </c>
      <c r="C700" s="11"/>
      <c r="D700" s="11" t="str">
        <f>IFERROR(__xludf.DUMMYFUNCTION("""COMPUTED_VALUE"""),"Médica eSF")</f>
        <v>Médica eSF</v>
      </c>
      <c r="E700" s="11" t="str">
        <f>IFERROR(__xludf.DUMMYFUNCTION("""COMPUTED_VALUE"""),"II")</f>
        <v>II</v>
      </c>
      <c r="F700" s="11" t="str">
        <f>IFERROR(__xludf.DUMMYFUNCTION("""COMPUTED_VALUE"""),"ATENDE EM CASA")</f>
        <v>ATENDE EM CASA</v>
      </c>
      <c r="G700" s="11" t="str">
        <f>IFERROR(__xludf.DUMMYFUNCTION("""COMPUTED_VALUE"""),"US 222 USF CORREGO DO CURIO")</f>
        <v>US 222 USF CORREGO DO CURIO</v>
      </c>
      <c r="H700" s="27">
        <f>IFERROR(__xludf.DUMMYFUNCTION("""COMPUTED_VALUE"""),81982925874)</f>
        <v>81982925874</v>
      </c>
      <c r="I700" s="11"/>
      <c r="J700" s="11"/>
      <c r="K700" s="11"/>
      <c r="L700" s="28" t="str">
        <f>IFERROR(__xludf.DUMMYFUNCTION("""COMPUTED_VALUE"""),"X")</f>
        <v>X</v>
      </c>
      <c r="M700" s="28" t="str">
        <f>IFERROR(__xludf.DUMMYFUNCTION("""COMPUTED_VALUE"""),"3355-4665")</f>
        <v>3355-4665</v>
      </c>
      <c r="N700" s="11"/>
      <c r="O700" s="29">
        <f>IFERROR(__xludf.DUMMYFUNCTION("""COMPUTED_VALUE"""),7383256433)</f>
        <v>7383256433</v>
      </c>
      <c r="P700" s="30" t="str">
        <f>IFERROR(__xludf.DUMMYFUNCTION("""COMPUTED_VALUE"""),"980016295761971")</f>
        <v>980016295761971</v>
      </c>
      <c r="Q700" s="30" t="str">
        <f>IFERROR(__xludf.DUMMYFUNCTION("""COMPUTED_VALUE"""),"0020648")</f>
        <v>0020648</v>
      </c>
      <c r="R700" s="30" t="str">
        <f>IFERROR(__xludf.DUMMYFUNCTION("""COMPUTED_VALUE"""),"0000153532")</f>
        <v>0000153532</v>
      </c>
      <c r="S700" s="30" t="str">
        <f>IFERROR(__xludf.DUMMYFUNCTION("""COMPUTED_VALUE"""),"1")</f>
        <v>1</v>
      </c>
      <c r="T700" s="30" t="str">
        <f>IFERROR(__xludf.DUMMYFUNCTION("""COMPUTED_VALUE"""),"225142")</f>
        <v>225142</v>
      </c>
      <c r="U700" s="11">
        <f>IFERROR(__xludf.DUMMYFUNCTION("""COMPUTED_VALUE"""),2251)</f>
        <v>2251</v>
      </c>
      <c r="V700" s="11"/>
      <c r="W700" s="11"/>
      <c r="X700" s="11"/>
      <c r="Y700" s="11"/>
      <c r="Z700" s="11"/>
    </row>
    <row r="701" customHeight="1" spans="1:26">
      <c r="A701" s="11" t="str">
        <f>IFERROR(__xludf.DUMMYFUNCTION("""COMPUTED_VALUE"""),"CARINA CAVALCANTI DE BRITO")</f>
        <v>CARINA CAVALCANTI DE BRITO</v>
      </c>
      <c r="B701" s="11"/>
      <c r="C701" s="11"/>
      <c r="D701" s="11" t="str">
        <f>IFERROR(__xludf.DUMMYFUNCTION("""COMPUTED_VALUE"""),"Dentista")</f>
        <v>Dentista</v>
      </c>
      <c r="E701" s="11" t="str">
        <f>IFERROR(__xludf.DUMMYFUNCTION("""COMPUTED_VALUE"""),"II")</f>
        <v>II</v>
      </c>
      <c r="F701" s="11" t="str">
        <f>IFERROR(__xludf.DUMMYFUNCTION("""COMPUTED_VALUE"""),"US_376 POLICLINICA SALOMAO KELNER")</f>
        <v>US_376 POLICLINICA SALOMAO KELNER</v>
      </c>
      <c r="G701" s="11" t="str">
        <f>IFERROR(__xludf.DUMMYFUNCTION("""COMPUTED_VALUE"""),"US 226 USF CHAO DE ESTRELAS")</f>
        <v>US 226 USF CHAO DE ESTRELAS</v>
      </c>
      <c r="H701" s="27">
        <f>IFERROR(__xludf.DUMMYFUNCTION("""COMPUTED_VALUE"""),81994665563)</f>
        <v>81994665563</v>
      </c>
      <c r="I701" s="11"/>
      <c r="J701" s="11"/>
      <c r="K701" s="11"/>
      <c r="L701" s="11"/>
      <c r="M701" s="28" t="str">
        <f>IFERROR(__xludf.DUMMYFUNCTION("""COMPUTED_VALUE"""),"3355-6694")</f>
        <v>3355-6694</v>
      </c>
      <c r="N701" s="11" t="str">
        <f>IFERROR(__xludf.DUMMYFUNCTION("""COMPUTED_VALUE"""),"carina.brito@recife.pe.gov.br")</f>
        <v>carina.brito@recife.pe.gov.br</v>
      </c>
      <c r="O701" s="29">
        <f>IFERROR(__xludf.DUMMYFUNCTION("""COMPUTED_VALUE"""),3948299480)</f>
        <v>3948299480</v>
      </c>
      <c r="P701" s="30" t="str">
        <f>IFERROR(__xludf.DUMMYFUNCTION("""COMPUTED_VALUE"""),"980016287567746")</f>
        <v>980016287567746</v>
      </c>
      <c r="Q701" s="30" t="str">
        <f>IFERROR(__xludf.DUMMYFUNCTION("""COMPUTED_VALUE"""),"0022233")</f>
        <v>0022233</v>
      </c>
      <c r="R701" s="30" t="str">
        <f>IFERROR(__xludf.DUMMYFUNCTION("""COMPUTED_VALUE"""),"0000153621")</f>
        <v>0000153621</v>
      </c>
      <c r="S701" s="30" t="str">
        <f>IFERROR(__xludf.DUMMYFUNCTION("""COMPUTED_VALUE"""),"1")</f>
        <v>1</v>
      </c>
      <c r="T701" s="30" t="str">
        <f>IFERROR(__xludf.DUMMYFUNCTION("""COMPUTED_VALUE"""),"223293")</f>
        <v>223293</v>
      </c>
      <c r="U701" s="31">
        <f>IFERROR(__xludf.DUMMYFUNCTION("""COMPUTED_VALUE"""),2232)</f>
        <v>2232</v>
      </c>
      <c r="V701" s="11"/>
      <c r="W701" s="11"/>
      <c r="X701" s="11"/>
      <c r="Y701" s="11"/>
      <c r="Z701" s="11"/>
    </row>
    <row r="702" customHeight="1" spans="1:26">
      <c r="A702" s="11" t="str">
        <f>IFERROR(__xludf.DUMMYFUNCTION("""COMPUTED_VALUE"""),"DANIELE CRISTINE TOSCANO GUERRA TAVARES")</f>
        <v>DANIELE CRISTINE TOSCANO GUERRA TAVARES</v>
      </c>
      <c r="B702" s="11"/>
      <c r="C702" s="11"/>
      <c r="D702" s="11" t="str">
        <f>IFERROR(__xludf.DUMMYFUNCTION("""COMPUTED_VALUE"""),"Enfermeira eSF")</f>
        <v>Enfermeira eSF</v>
      </c>
      <c r="E702" s="11" t="str">
        <f>IFERROR(__xludf.DUMMYFUNCTION("""COMPUTED_VALUE"""),"II")</f>
        <v>II</v>
      </c>
      <c r="F702" s="11" t="str">
        <f>IFERROR(__xludf.DUMMYFUNCTION("""COMPUTED_VALUE"""),"US_226 USF CHAO DE ESTRELAS")</f>
        <v>US_226 USF CHAO DE ESTRELAS</v>
      </c>
      <c r="G702" s="11" t="str">
        <f>IFERROR(__xludf.DUMMYFUNCTION("""COMPUTED_VALUE"""),"US 226 USF CHAO DE ESTRELAS")</f>
        <v>US 226 USF CHAO DE ESTRELAS</v>
      </c>
      <c r="H702" s="27">
        <f>IFERROR(__xludf.DUMMYFUNCTION("""COMPUTED_VALUE"""),81996458080)</f>
        <v>81996458080</v>
      </c>
      <c r="I702" s="11"/>
      <c r="J702" s="11"/>
      <c r="K702" s="11"/>
      <c r="L702" s="11"/>
      <c r="M702" s="28" t="str">
        <f>IFERROR(__xludf.DUMMYFUNCTION("""COMPUTED_VALUE"""),"3355-6694")</f>
        <v>3355-6694</v>
      </c>
      <c r="N702" s="11" t="str">
        <f>IFERROR(__xludf.DUMMYFUNCTION("""COMPUTED_VALUE"""),"danipepe4@hotmail.com")</f>
        <v>danipepe4@hotmail.com</v>
      </c>
      <c r="O702" s="29">
        <f>IFERROR(__xludf.DUMMYFUNCTION("""COMPUTED_VALUE"""),1083017454)</f>
        <v>1083017454</v>
      </c>
      <c r="P702" s="30" t="str">
        <f>IFERROR(__xludf.DUMMYFUNCTION("""COMPUTED_VALUE"""),"980016282812297")</f>
        <v>980016282812297</v>
      </c>
      <c r="Q702" s="30" t="str">
        <f>IFERROR(__xludf.DUMMYFUNCTION("""COMPUTED_VALUE"""),"0022233")</f>
        <v>0022233</v>
      </c>
      <c r="R702" s="30" t="str">
        <f>IFERROR(__xludf.DUMMYFUNCTION("""COMPUTED_VALUE"""),"0000153621")</f>
        <v>0000153621</v>
      </c>
      <c r="S702" s="30" t="str">
        <f>IFERROR(__xludf.DUMMYFUNCTION("""COMPUTED_VALUE"""),"1")</f>
        <v>1</v>
      </c>
      <c r="T702" s="30" t="str">
        <f>IFERROR(__xludf.DUMMYFUNCTION("""COMPUTED_VALUE"""),"223565")</f>
        <v>223565</v>
      </c>
      <c r="U702" s="31" t="str">
        <f>IFERROR(__xludf.DUMMYFUNCTION("""COMPUTED_VALUE"""),"2235")</f>
        <v>2235</v>
      </c>
      <c r="V702" s="11"/>
      <c r="W702" s="11"/>
      <c r="X702" s="11"/>
      <c r="Y702" s="11"/>
      <c r="Z702" s="11"/>
    </row>
    <row r="703" customHeight="1" spans="1:26">
      <c r="A703" s="11" t="str">
        <f>IFERROR(__xludf.DUMMYFUNCTION("""COMPUTED_VALUE"""),"GRAZIELA R I CAZUZU GATTAS")</f>
        <v>GRAZIELA R I CAZUZU GATTAS</v>
      </c>
      <c r="B703" s="11"/>
      <c r="C703" s="11"/>
      <c r="D703" s="11" t="str">
        <f>IFERROR(__xludf.DUMMYFUNCTION("""COMPUTED_VALUE"""),"Dentista")</f>
        <v>Dentista</v>
      </c>
      <c r="E703" s="11" t="str">
        <f>IFERROR(__xludf.DUMMYFUNCTION("""COMPUTED_VALUE"""),"II")</f>
        <v>II</v>
      </c>
      <c r="F703" s="11" t="str">
        <f>IFERROR(__xludf.DUMMYFUNCTION("""COMPUTED_VALUE"""),"US_226 USF CHAO DE ESTRELAS")</f>
        <v>US_226 USF CHAO DE ESTRELAS</v>
      </c>
      <c r="G703" s="11" t="str">
        <f>IFERROR(__xludf.DUMMYFUNCTION("""COMPUTED_VALUE"""),"US 226 USF CHAO DE ESTRELAS")</f>
        <v>US 226 USF CHAO DE ESTRELAS</v>
      </c>
      <c r="H703" s="27">
        <f>IFERROR(__xludf.DUMMYFUNCTION("""COMPUTED_VALUE"""),81988555882)</f>
        <v>81988555882</v>
      </c>
      <c r="I703" s="11"/>
      <c r="J703" s="11"/>
      <c r="K703" s="11"/>
      <c r="L703" s="11"/>
      <c r="M703" s="28" t="str">
        <f>IFERROR(__xludf.DUMMYFUNCTION("""COMPUTED_VALUE"""),"3355-6694")</f>
        <v>3355-6694</v>
      </c>
      <c r="N703" s="11" t="str">
        <f>IFERROR(__xludf.DUMMYFUNCTION("""COMPUTED_VALUE"""),"grazielagattas@hotmail.com")</f>
        <v>grazielagattas@hotmail.com</v>
      </c>
      <c r="O703" s="29">
        <f>IFERROR(__xludf.DUMMYFUNCTION("""COMPUTED_VALUE"""),77553438472)</f>
        <v>77553438472</v>
      </c>
      <c r="P703" s="30" t="str">
        <f>IFERROR(__xludf.DUMMYFUNCTION("""COMPUTED_VALUE"""),"980016000726525")</f>
        <v>980016000726525</v>
      </c>
      <c r="Q703" s="30" t="str">
        <f>IFERROR(__xludf.DUMMYFUNCTION("""COMPUTED_VALUE"""),"0022233")</f>
        <v>0022233</v>
      </c>
      <c r="R703" s="30" t="str">
        <f>IFERROR(__xludf.DUMMYFUNCTION("""COMPUTED_VALUE"""),"0001727958")</f>
        <v>0001727958</v>
      </c>
      <c r="S703" s="30" t="str">
        <f>IFERROR(__xludf.DUMMYFUNCTION("""COMPUTED_VALUE"""),"1")</f>
        <v>1</v>
      </c>
      <c r="T703" s="30" t="str">
        <f>IFERROR(__xludf.DUMMYFUNCTION("""COMPUTED_VALUE"""),"223293")</f>
        <v>223293</v>
      </c>
      <c r="U703" s="31">
        <f>IFERROR(__xludf.DUMMYFUNCTION("""COMPUTED_VALUE"""),2232)</f>
        <v>2232</v>
      </c>
      <c r="V703" s="11"/>
      <c r="W703" s="11"/>
      <c r="X703" s="11"/>
      <c r="Y703" s="11"/>
      <c r="Z703" s="11"/>
    </row>
    <row r="704" customHeight="1" spans="1:26">
      <c r="A704" s="11" t="str">
        <f>IFERROR(__xludf.DUMMYFUNCTION("""COMPUTED_VALUE"""),"MARIA EDI RAMALHO ANTUNES BRITO")</f>
        <v>MARIA EDI RAMALHO ANTUNES BRITO</v>
      </c>
      <c r="B704" s="11"/>
      <c r="C704" s="11"/>
      <c r="D704" s="11" t="str">
        <f>IFERROR(__xludf.DUMMYFUNCTION("""COMPUTED_VALUE"""),"Médica eSF")</f>
        <v>Médica eSF</v>
      </c>
      <c r="E704" s="11" t="str">
        <f>IFERROR(__xludf.DUMMYFUNCTION("""COMPUTED_VALUE"""),"II")</f>
        <v>II</v>
      </c>
      <c r="F704" s="11" t="str">
        <f>IFERROR(__xludf.DUMMYFUNCTION("""COMPUTED_VALUE"""),"US_226 USF CHAO DE ESTRELAS")</f>
        <v>US_226 USF CHAO DE ESTRELAS</v>
      </c>
      <c r="G704" s="11" t="str">
        <f>IFERROR(__xludf.DUMMYFUNCTION("""COMPUTED_VALUE"""),"US 226 USF CHAO DE ESTRELAS")</f>
        <v>US 226 USF CHAO DE ESTRELAS</v>
      </c>
      <c r="H704" s="27">
        <f>IFERROR(__xludf.DUMMYFUNCTION("""COMPUTED_VALUE"""),83996193919)</f>
        <v>83996193919</v>
      </c>
      <c r="I704" s="11"/>
      <c r="J704" s="11"/>
      <c r="K704" s="11"/>
      <c r="L704" s="11"/>
      <c r="M704" s="28" t="str">
        <f>IFERROR(__xludf.DUMMYFUNCTION("""COMPUTED_VALUE"""),"3355-6694")</f>
        <v>3355-6694</v>
      </c>
      <c r="N704" s="11" t="str">
        <f>IFERROR(__xludf.DUMMYFUNCTION("""COMPUTED_VALUE"""),"ediramalhoma@gmail.com")</f>
        <v>ediramalhoma@gmail.com</v>
      </c>
      <c r="O704" s="29">
        <f>IFERROR(__xludf.DUMMYFUNCTION("""COMPUTED_VALUE"""),30899460410)</f>
        <v>30899460410</v>
      </c>
      <c r="P704" s="30" t="str">
        <f>IFERROR(__xludf.DUMMYFUNCTION("""COMPUTED_VALUE"""),"207281432290000")</f>
        <v>207281432290000</v>
      </c>
      <c r="Q704" s="30" t="str">
        <f>IFERROR(__xludf.DUMMYFUNCTION("""COMPUTED_VALUE"""),"0022233")</f>
        <v>0022233</v>
      </c>
      <c r="R704" s="30" t="str">
        <f>IFERROR(__xludf.DUMMYFUNCTION("""COMPUTED_VALUE"""),"0000152757")</f>
        <v>0000152757</v>
      </c>
      <c r="S704" s="30" t="str">
        <f>IFERROR(__xludf.DUMMYFUNCTION("""COMPUTED_VALUE"""),"1")</f>
        <v>1</v>
      </c>
      <c r="T704" s="30" t="str">
        <f>IFERROR(__xludf.DUMMYFUNCTION("""COMPUTED_VALUE"""),"225142")</f>
        <v>225142</v>
      </c>
      <c r="U704" s="11">
        <f>IFERROR(__xludf.DUMMYFUNCTION("""COMPUTED_VALUE"""),2251)</f>
        <v>2251</v>
      </c>
      <c r="V704" s="11"/>
      <c r="W704" s="30" t="str">
        <f>IFERROR(__xludf.DUMMYFUNCTION("""COMPUTED_VALUE"""),"20/10/1958")</f>
        <v>20/10/1958</v>
      </c>
      <c r="X704" s="11" t="str">
        <f>IFERROR(__xludf.DUMMYFUNCTION("""COMPUTED_VALUE"""),"#N/A")</f>
        <v>#N/A</v>
      </c>
      <c r="Y704" s="11" t="str">
        <f>IFERROR(__xludf.DUMMYFUNCTION("""COMPUTED_VALUE"""),"#N/A")</f>
        <v>#N/A</v>
      </c>
      <c r="Z704" s="11" t="str">
        <f>IFERROR(__xludf.DUMMYFUNCTION("""COMPUTED_VALUE"""),"#N/A")</f>
        <v>#N/A</v>
      </c>
    </row>
    <row r="705" customHeight="1" spans="1:26">
      <c r="A705" s="11" t="str">
        <f>IFERROR(__xludf.DUMMYFUNCTION("""COMPUTED_VALUE"""),"SOCORRO SUELI DE A A GUIMARAES")</f>
        <v>SOCORRO SUELI DE A A GUIMARAES</v>
      </c>
      <c r="B705" s="11"/>
      <c r="C705" s="11"/>
      <c r="D705" s="11" t="str">
        <f>IFERROR(__xludf.DUMMYFUNCTION("""COMPUTED_VALUE"""),"Dentista")</f>
        <v>Dentista</v>
      </c>
      <c r="E705" s="11" t="str">
        <f>IFERROR(__xludf.DUMMYFUNCTION("""COMPUTED_VALUE"""),"II")</f>
        <v>II</v>
      </c>
      <c r="F705" s="11" t="str">
        <f>IFERROR(__xludf.DUMMYFUNCTION("""COMPUTED_VALUE"""),"US_128 POLICLINICA LESSA DE ANDRADE")</f>
        <v>US_128 POLICLINICA LESSA DE ANDRADE</v>
      </c>
      <c r="G705" s="11" t="str">
        <f>IFERROR(__xludf.DUMMYFUNCTION("""COMPUTED_VALUE"""),"US 226 USF CHAO DE ESTRELAS")</f>
        <v>US 226 USF CHAO DE ESTRELAS</v>
      </c>
      <c r="H705" s="27">
        <f>IFERROR(__xludf.DUMMYFUNCTION("""COMPUTED_VALUE"""),81999730331)</f>
        <v>81999730331</v>
      </c>
      <c r="I705" s="11"/>
      <c r="J705" s="11"/>
      <c r="K705" s="11"/>
      <c r="L705" s="11"/>
      <c r="M705" s="28" t="str">
        <f>IFERROR(__xludf.DUMMYFUNCTION("""COMPUTED_VALUE"""),"3355-6694")</f>
        <v>3355-6694</v>
      </c>
      <c r="N705" s="11" t="str">
        <f>IFERROR(__xludf.DUMMYFUNCTION("""COMPUTED_VALUE"""),"SUELIALBUQUERQUE@HOTMAIL.COM")</f>
        <v>SUELIALBUQUERQUE@HOTMAIL.COM</v>
      </c>
      <c r="O705" s="29">
        <f>IFERROR(__xludf.DUMMYFUNCTION("""COMPUTED_VALUE"""),10199110425)</f>
        <v>10199110425</v>
      </c>
      <c r="P705" s="30" t="str">
        <f>IFERROR(__xludf.DUMMYFUNCTION("""COMPUTED_VALUE"""),"100827066190008")</f>
        <v>100827066190008</v>
      </c>
      <c r="Q705" s="30" t="str">
        <f>IFERROR(__xludf.DUMMYFUNCTION("""COMPUTED_VALUE"""),"0022233")</f>
        <v>0022233</v>
      </c>
      <c r="R705" s="30" t="str">
        <f>IFERROR(__xludf.DUMMYFUNCTION("""COMPUTED_VALUE"""),"0001773585")</f>
        <v>0001773585</v>
      </c>
      <c r="S705" s="30" t="str">
        <f>IFERROR(__xludf.DUMMYFUNCTION("""COMPUTED_VALUE"""),"1")</f>
        <v>1</v>
      </c>
      <c r="T705" s="30" t="str">
        <f>IFERROR(__xludf.DUMMYFUNCTION("""COMPUTED_VALUE"""),"223293")</f>
        <v>223293</v>
      </c>
      <c r="U705" s="31">
        <f>IFERROR(__xludf.DUMMYFUNCTION("""COMPUTED_VALUE"""),2232)</f>
        <v>2232</v>
      </c>
      <c r="V705" s="11"/>
      <c r="W705" s="11"/>
      <c r="X705" s="11"/>
      <c r="Y705" s="11"/>
      <c r="Z705" s="11"/>
    </row>
    <row r="706" customHeight="1" spans="1:26">
      <c r="A706" s="11" t="str">
        <f>IFERROR(__xludf.DUMMYFUNCTION("""COMPUTED_VALUE"""),"MARILENE NUNES DE ALMEIDA")</f>
        <v>MARILENE NUNES DE ALMEIDA</v>
      </c>
      <c r="B706" s="11"/>
      <c r="C706" s="11"/>
      <c r="D706" s="11" t="str">
        <f>IFERROR(__xludf.DUMMYFUNCTION("""COMPUTED_VALUE"""),"Enfermeira eSF")</f>
        <v>Enfermeira eSF</v>
      </c>
      <c r="E706" s="11" t="str">
        <f>IFERROR(__xludf.DUMMYFUNCTION("""COMPUTED_VALUE"""),"II")</f>
        <v>II</v>
      </c>
      <c r="F706" s="11" t="str">
        <f>IFERROR(__xludf.DUMMYFUNCTION("""COMPUTED_VALUE"""),"US_244 USF PROFESSOR ANTONIO FRANCISCO AREIA/ PEIXINHOS/SARAMANDAIA")</f>
        <v>US_244 USF PROFESSOR ANTONIO FRANCISCO AREIA/ PEIXINHOS/SARAMANDAIA</v>
      </c>
      <c r="G706" s="11" t="str">
        <f>IFERROR(__xludf.DUMMYFUNCTION("""COMPUTED_VALUE"""),"US 244 USF PROF ANTONIO FRANCISCO AREIAS")</f>
        <v>US 244 USF PROF ANTONIO FRANCISCO AREIAS</v>
      </c>
      <c r="H706" s="27">
        <f>IFERROR(__xludf.DUMMYFUNCTION("""COMPUTED_VALUE"""),81987521895)</f>
        <v>81987521895</v>
      </c>
      <c r="I706" s="27">
        <f>IFERROR(__xludf.DUMMYFUNCTION("""COMPUTED_VALUE"""),81987521891)</f>
        <v>81987521891</v>
      </c>
      <c r="J706" s="11"/>
      <c r="K706" s="11"/>
      <c r="L706" s="11"/>
      <c r="M706" s="28" t="str">
        <f>IFERROR(__xludf.DUMMYFUNCTION("""COMPUTED_VALUE"""),"3355-6212")</f>
        <v>3355-6212</v>
      </c>
      <c r="N706" s="11" t="str">
        <f>IFERROR(__xludf.DUMMYFUNCTION("""COMPUTED_VALUE"""),"marilenens@bol.com.br")</f>
        <v>marilenens@bol.com.br</v>
      </c>
      <c r="O706" s="29">
        <f>IFERROR(__xludf.DUMMYFUNCTION("""COMPUTED_VALUE"""),3520636450)</f>
        <v>3520636450</v>
      </c>
      <c r="P706" s="30" t="str">
        <f>IFERROR(__xludf.DUMMYFUNCTION("""COMPUTED_VALUE"""),"200751100020000")</f>
        <v>200751100020000</v>
      </c>
      <c r="Q706" s="30" t="str">
        <f>IFERROR(__xludf.DUMMYFUNCTION("""COMPUTED_VALUE"""),"0022268")</f>
        <v>0022268</v>
      </c>
      <c r="R706" s="30" t="str">
        <f>IFERROR(__xludf.DUMMYFUNCTION("""COMPUTED_VALUE"""),"0000153672")</f>
        <v>0000153672</v>
      </c>
      <c r="S706" s="30" t="str">
        <f>IFERROR(__xludf.DUMMYFUNCTION("""COMPUTED_VALUE"""),"1")</f>
        <v>1</v>
      </c>
      <c r="T706" s="30" t="str">
        <f>IFERROR(__xludf.DUMMYFUNCTION("""COMPUTED_VALUE"""),"223565")</f>
        <v>223565</v>
      </c>
      <c r="U706" s="31" t="str">
        <f>IFERROR(__xludf.DUMMYFUNCTION("""COMPUTED_VALUE"""),"2235")</f>
        <v>2235</v>
      </c>
      <c r="V706" s="11"/>
      <c r="W706" s="11" t="str">
        <f>IFERROR(__xludf.DUMMYFUNCTION("""COMPUTED_VALUE"""),"#N/A")</f>
        <v>#N/A</v>
      </c>
      <c r="X706" s="11" t="str">
        <f>IFERROR(__xludf.DUMMYFUNCTION("""COMPUTED_VALUE"""),"#N/A")</f>
        <v>#N/A</v>
      </c>
      <c r="Y706" s="11" t="str">
        <f>IFERROR(__xludf.DUMMYFUNCTION("""COMPUTED_VALUE"""),"#N/A")</f>
        <v>#N/A</v>
      </c>
      <c r="Z706" s="11"/>
    </row>
    <row r="707" customHeight="1" spans="1:26">
      <c r="A707" s="11" t="str">
        <f>IFERROR(__xludf.DUMMYFUNCTION("""COMPUTED_VALUE"""),"DANIELLE MUNIZ DE LIRA BORGES")</f>
        <v>DANIELLE MUNIZ DE LIRA BORGES</v>
      </c>
      <c r="B707" s="11"/>
      <c r="C707" s="11"/>
      <c r="D707" s="11" t="str">
        <f>IFERROR(__xludf.DUMMYFUNCTION("""COMPUTED_VALUE"""),"Dentista")</f>
        <v>Dentista</v>
      </c>
      <c r="E707" s="11" t="str">
        <f>IFERROR(__xludf.DUMMYFUNCTION("""COMPUTED_VALUE"""),"II")</f>
        <v>II</v>
      </c>
      <c r="F707" s="11" t="str">
        <f>IFERROR(__xludf.DUMMYFUNCTION("""COMPUTED_VALUE"""),"US_262 USF JOSE SEVERIANO DA SILVA/CAMPO GRANDE/CAPILE/CANAL ARRUDA")</f>
        <v>US_262 USF JOSE SEVERIANO DA SILVA/CAMPO GRANDE/CAPILE/CANAL ARRUDA</v>
      </c>
      <c r="G707" s="11" t="str">
        <f>IFERROR(__xludf.DUMMYFUNCTION("""COMPUTED_VALUE"""),"US 262 USF JOSE SEVERIANO DA SILVA")</f>
        <v>US 262 USF JOSE SEVERIANO DA SILVA</v>
      </c>
      <c r="H707" s="27">
        <f>IFERROR(__xludf.DUMMYFUNCTION("""COMPUTED_VALUE"""),81983393835)</f>
        <v>81983393835</v>
      </c>
      <c r="I707" s="11"/>
      <c r="J707" s="11"/>
      <c r="K707" s="11"/>
      <c r="L707" s="11"/>
      <c r="M707" s="28" t="str">
        <f>IFERROR(__xludf.DUMMYFUNCTION("""COMPUTED_VALUE"""),"3355-6170")</f>
        <v>3355-6170</v>
      </c>
      <c r="N707" s="11" t="str">
        <f>IFERROR(__xludf.DUMMYFUNCTION("""COMPUTED_VALUE"""),"danimlborges@yahoo.com.br")</f>
        <v>danimlborges@yahoo.com.br</v>
      </c>
      <c r="O707" s="29">
        <f>IFERROR(__xludf.DUMMYFUNCTION("""COMPUTED_VALUE"""),97102733453)</f>
        <v>97102733453</v>
      </c>
      <c r="P707" s="30" t="str">
        <f>IFERROR(__xludf.DUMMYFUNCTION("""COMPUTED_VALUE"""),"980016277950288")</f>
        <v>980016277950288</v>
      </c>
      <c r="Q707" s="30" t="str">
        <f>IFERROR(__xludf.DUMMYFUNCTION("""COMPUTED_VALUE"""),"0026328")</f>
        <v>0026328</v>
      </c>
      <c r="R707" s="30" t="str">
        <f>IFERROR(__xludf.DUMMYFUNCTION("""COMPUTED_VALUE"""),"0000154245")</f>
        <v>0000154245</v>
      </c>
      <c r="S707" s="30" t="str">
        <f>IFERROR(__xludf.DUMMYFUNCTION("""COMPUTED_VALUE"""),"1")</f>
        <v>1</v>
      </c>
      <c r="T707" s="30" t="str">
        <f>IFERROR(__xludf.DUMMYFUNCTION("""COMPUTED_VALUE"""),"223293")</f>
        <v>223293</v>
      </c>
      <c r="U707" s="31">
        <f>IFERROR(__xludf.DUMMYFUNCTION("""COMPUTED_VALUE"""),2232)</f>
        <v>2232</v>
      </c>
      <c r="V707" s="11"/>
      <c r="W707" s="11"/>
      <c r="X707" s="11"/>
      <c r="Y707" s="11"/>
      <c r="Z707" s="11"/>
    </row>
    <row r="708" customHeight="1" spans="1:26">
      <c r="A708" s="11" t="str">
        <f>IFERROR(__xludf.DUMMYFUNCTION("""COMPUTED_VALUE"""),"EUVALDO ANGELINE DA SILVA FILHO")</f>
        <v>EUVALDO ANGELINE DA SILVA FILHO</v>
      </c>
      <c r="B708" s="11"/>
      <c r="C708" s="11"/>
      <c r="D708" s="11" t="str">
        <f>IFERROR(__xludf.DUMMYFUNCTION("""COMPUTED_VALUE"""),"Médico eSF")</f>
        <v>Médico eSF</v>
      </c>
      <c r="E708" s="11" t="str">
        <f>IFERROR(__xludf.DUMMYFUNCTION("""COMPUTED_VALUE"""),"II")</f>
        <v>II</v>
      </c>
      <c r="F708" s="11" t="str">
        <f>IFERROR(__xludf.DUMMYFUNCTION("""COMPUTED_VALUE"""),"US_262 USF JOSE SEVERIANO DA SILVA/CAMPO GRANDE/CAPILE/CANAL ARRUDA")</f>
        <v>US_262 USF JOSE SEVERIANO DA SILVA/CAMPO GRANDE/CAPILE/CANAL ARRUDA</v>
      </c>
      <c r="G708" s="11" t="str">
        <f>IFERROR(__xludf.DUMMYFUNCTION("""COMPUTED_VALUE"""),"US 262 USF JOSE SEVERIANO DA SILVA")</f>
        <v>US 262 USF JOSE SEVERIANO DA SILVA</v>
      </c>
      <c r="H708" s="27">
        <f>IFERROR(__xludf.DUMMYFUNCTION("""COMPUTED_VALUE"""),81996267390)</f>
        <v>81996267390</v>
      </c>
      <c r="I708" s="27">
        <f>IFERROR(__xludf.DUMMYFUNCTION("""COMPUTED_VALUE"""),81996660815)</f>
        <v>81996660815</v>
      </c>
      <c r="J708" s="11"/>
      <c r="K708" s="11"/>
      <c r="L708" s="11"/>
      <c r="M708" s="28" t="str">
        <f>IFERROR(__xludf.DUMMYFUNCTION("""COMPUTED_VALUE"""),"3355-6170")</f>
        <v>3355-6170</v>
      </c>
      <c r="N708" s="11" t="str">
        <f>IFERROR(__xludf.DUMMYFUNCTION("""COMPUTED_VALUE"""),"euangelf@hotmail.com")</f>
        <v>euangelf@hotmail.com</v>
      </c>
      <c r="O708" s="29">
        <f>IFERROR(__xludf.DUMMYFUNCTION("""COMPUTED_VALUE"""),33891540353)</f>
        <v>33891540353</v>
      </c>
      <c r="P708" s="30" t="str">
        <f>IFERROR(__xludf.DUMMYFUNCTION("""COMPUTED_VALUE"""),"120954025550000")</f>
        <v>120954025550000</v>
      </c>
      <c r="Q708" s="30" t="str">
        <f>IFERROR(__xludf.DUMMYFUNCTION("""COMPUTED_VALUE"""),"0026328")</f>
        <v>0026328</v>
      </c>
      <c r="R708" s="30" t="str">
        <f>IFERROR(__xludf.DUMMYFUNCTION("""COMPUTED_VALUE"""),"0000154245")</f>
        <v>0000154245</v>
      </c>
      <c r="S708" s="30" t="str">
        <f>IFERROR(__xludf.DUMMYFUNCTION("""COMPUTED_VALUE"""),"1")</f>
        <v>1</v>
      </c>
      <c r="T708" s="30" t="str">
        <f>IFERROR(__xludf.DUMMYFUNCTION("""COMPUTED_VALUE"""),"225142")</f>
        <v>225142</v>
      </c>
      <c r="U708" s="11">
        <f>IFERROR(__xludf.DUMMYFUNCTION("""COMPUTED_VALUE"""),2251)</f>
        <v>2251</v>
      </c>
      <c r="V708" s="11"/>
      <c r="W708" s="11"/>
      <c r="X708" s="11">
        <f>IFERROR(__xludf.DUMMYFUNCTION("""COMPUTED_VALUE"""),96267390)</f>
        <v>96267390</v>
      </c>
      <c r="Y708" s="11">
        <f>IFERROR(__xludf.DUMMYFUNCTION("""COMPUTED_VALUE"""),96267390)</f>
        <v>96267390</v>
      </c>
      <c r="Z708" s="11">
        <f>IFERROR(__xludf.DUMMYFUNCTION("""COMPUTED_VALUE"""),33891540353)</f>
        <v>33891540353</v>
      </c>
    </row>
    <row r="709" customHeight="1" spans="1:26">
      <c r="A709" s="11" t="str">
        <f>IFERROR(__xludf.DUMMYFUNCTION("""COMPUTED_VALUE"""),"EVANI DANTAS DE ALBUQUERQUE SANTANA")</f>
        <v>EVANI DANTAS DE ALBUQUERQUE SANTANA</v>
      </c>
      <c r="B709" s="11"/>
      <c r="C709" s="11"/>
      <c r="D709" s="11" t="str">
        <f>IFERROR(__xludf.DUMMYFUNCTION("""COMPUTED_VALUE"""),"Enfermeira eSF")</f>
        <v>Enfermeira eSF</v>
      </c>
      <c r="E709" s="11" t="str">
        <f>IFERROR(__xludf.DUMMYFUNCTION("""COMPUTED_VALUE"""),"II")</f>
        <v>II</v>
      </c>
      <c r="F709" s="11" t="str">
        <f>IFERROR(__xludf.DUMMYFUNCTION("""COMPUTED_VALUE"""),"US_273 USF BIANOR TEODOSIO")</f>
        <v>US_273 USF BIANOR TEODOSIO</v>
      </c>
      <c r="G709" s="11" t="str">
        <f>IFERROR(__xludf.DUMMYFUNCTION("""COMPUTED_VALUE"""),"US 273 USF BIANOR TEODOSIO")</f>
        <v>US 273 USF BIANOR TEODOSIO</v>
      </c>
      <c r="H709" s="27">
        <f>IFERROR(__xludf.DUMMYFUNCTION("""COMPUTED_VALUE"""),81986031925)</f>
        <v>81986031925</v>
      </c>
      <c r="I709" s="27">
        <f>IFERROR(__xludf.DUMMYFUNCTION("""COMPUTED_VALUE"""),81985307227)</f>
        <v>81985307227</v>
      </c>
      <c r="J709" s="11"/>
      <c r="K709" s="11"/>
      <c r="L709" s="11"/>
      <c r="M709" s="28" t="str">
        <f>IFERROR(__xludf.DUMMYFUNCTION("""COMPUTED_VALUE"""),"3355-6094")</f>
        <v>3355-6094</v>
      </c>
      <c r="N709" s="11" t="str">
        <f>IFERROR(__xludf.DUMMYFUNCTION("""COMPUTED_VALUE"""),"evanythiago@hotmail.com")</f>
        <v>evanythiago@hotmail.com</v>
      </c>
      <c r="O709" s="29">
        <f>IFERROR(__xludf.DUMMYFUNCTION("""COMPUTED_VALUE"""),83392068420)</f>
        <v>83392068420</v>
      </c>
      <c r="P709" s="30" t="str">
        <f>IFERROR(__xludf.DUMMYFUNCTION("""COMPUTED_VALUE"""),"980016277290091")</f>
        <v>980016277290091</v>
      </c>
      <c r="Q709" s="30" t="str">
        <f>IFERROR(__xludf.DUMMYFUNCTION("""COMPUTED_VALUE"""),"0028088")</f>
        <v>0028088</v>
      </c>
      <c r="R709" s="30" t="str">
        <f>IFERROR(__xludf.DUMMYFUNCTION("""COMPUTED_VALUE"""),"0000154466")</f>
        <v>0000154466</v>
      </c>
      <c r="S709" s="30" t="str">
        <f>IFERROR(__xludf.DUMMYFUNCTION("""COMPUTED_VALUE"""),"1")</f>
        <v>1</v>
      </c>
      <c r="T709" s="30" t="str">
        <f>IFERROR(__xludf.DUMMYFUNCTION("""COMPUTED_VALUE"""),"223565")</f>
        <v>223565</v>
      </c>
      <c r="U709" s="31" t="str">
        <f>IFERROR(__xludf.DUMMYFUNCTION("""COMPUTED_VALUE"""),"2235")</f>
        <v>2235</v>
      </c>
      <c r="V709" s="11"/>
      <c r="W709" s="11">
        <f>IFERROR(__xludf.DUMMYFUNCTION("""COMPUTED_VALUE"""),85307227)</f>
        <v>85307227</v>
      </c>
      <c r="X709" s="11">
        <f>IFERROR(__xludf.DUMMYFUNCTION("""COMPUTED_VALUE"""),86031925)</f>
        <v>86031925</v>
      </c>
      <c r="Y709" s="11">
        <f>IFERROR(__xludf.DUMMYFUNCTION("""COMPUTED_VALUE"""),83392068420)</f>
        <v>83392068420</v>
      </c>
      <c r="Z709" s="11"/>
    </row>
    <row r="710" customHeight="1" spans="1:26">
      <c r="A710" s="11" t="str">
        <f>IFERROR(__xludf.DUMMYFUNCTION("""COMPUTED_VALUE"""),"LUCIJANE MARIA DA SILVA GASPAR")</f>
        <v>LUCIJANE MARIA DA SILVA GASPAR</v>
      </c>
      <c r="B710" s="11"/>
      <c r="C710" s="11"/>
      <c r="D710" s="11" t="str">
        <f>IFERROR(__xludf.DUMMYFUNCTION("""COMPUTED_VALUE"""),"Enfermeira eSF")</f>
        <v>Enfermeira eSF</v>
      </c>
      <c r="E710" s="11" t="str">
        <f>IFERROR(__xludf.DUMMYFUNCTION("""COMPUTED_VALUE"""),"II")</f>
        <v>II</v>
      </c>
      <c r="F710" s="11" t="str">
        <f>IFERROR(__xludf.DUMMYFUNCTION("""COMPUTED_VALUE"""),"US_273 USF BIANOR TEODOSIO")</f>
        <v>US_273 USF BIANOR TEODOSIO</v>
      </c>
      <c r="G710" s="11" t="str">
        <f>IFERROR(__xludf.DUMMYFUNCTION("""COMPUTED_VALUE"""),"US 273 USF BIANOR TEODOSIO")</f>
        <v>US 273 USF BIANOR TEODOSIO</v>
      </c>
      <c r="H710" s="27">
        <f>IFERROR(__xludf.DUMMYFUNCTION("""COMPUTED_VALUE"""),81987144173)</f>
        <v>81987144173</v>
      </c>
      <c r="I710" s="11"/>
      <c r="J710" s="11"/>
      <c r="K710" s="11"/>
      <c r="L710" s="11"/>
      <c r="M710" s="28" t="str">
        <f>IFERROR(__xludf.DUMMYFUNCTION("""COMPUTED_VALUE"""),"3355-6094")</f>
        <v>3355-6094</v>
      </c>
      <c r="N710" s="11" t="str">
        <f>IFERROR(__xludf.DUMMYFUNCTION("""COMPUTED_VALUE"""),"jane.gaspar@hotmail.com")</f>
        <v>jane.gaspar@hotmail.com</v>
      </c>
      <c r="O710" s="29">
        <f>IFERROR(__xludf.DUMMYFUNCTION("""COMPUTED_VALUE"""),94881987453)</f>
        <v>94881987453</v>
      </c>
      <c r="P710" s="30" t="str">
        <f>IFERROR(__xludf.DUMMYFUNCTION("""COMPUTED_VALUE"""),"206790246910009")</f>
        <v>206790246910009</v>
      </c>
      <c r="Q710" s="30" t="str">
        <f>IFERROR(__xludf.DUMMYFUNCTION("""COMPUTED_VALUE"""),"0028088")</f>
        <v>0028088</v>
      </c>
      <c r="R710" s="30" t="str">
        <f>IFERROR(__xludf.DUMMYFUNCTION("""COMPUTED_VALUE"""),"0000154474")</f>
        <v>0000154474</v>
      </c>
      <c r="S710" s="30" t="str">
        <f>IFERROR(__xludf.DUMMYFUNCTION("""COMPUTED_VALUE"""),"1")</f>
        <v>1</v>
      </c>
      <c r="T710" s="30" t="str">
        <f>IFERROR(__xludf.DUMMYFUNCTION("""COMPUTED_VALUE"""),"223565")</f>
        <v>223565</v>
      </c>
      <c r="U710" s="31" t="str">
        <f>IFERROR(__xludf.DUMMYFUNCTION("""COMPUTED_VALUE"""),"2235")</f>
        <v>2235</v>
      </c>
      <c r="V710" s="11"/>
      <c r="W710" s="11" t="str">
        <f>IFERROR(__xludf.DUMMYFUNCTION("""COMPUTED_VALUE"""),"#N/A")</f>
        <v>#N/A</v>
      </c>
      <c r="X710" s="11" t="str">
        <f>IFERROR(__xludf.DUMMYFUNCTION("""COMPUTED_VALUE"""),"#N/A")</f>
        <v>#N/A</v>
      </c>
      <c r="Y710" s="11" t="str">
        <f>IFERROR(__xludf.DUMMYFUNCTION("""COMPUTED_VALUE"""),"#N/A")</f>
        <v>#N/A</v>
      </c>
      <c r="Z710" s="11"/>
    </row>
    <row r="711" customHeight="1" spans="1:26">
      <c r="A711" s="11" t="str">
        <f>IFERROR(__xludf.DUMMYFUNCTION("""COMPUTED_VALUE"""),"ANA CAROLINA L F CAVALCANTI")</f>
        <v>ANA CAROLINA L F CAVALCANTI</v>
      </c>
      <c r="B711" s="11"/>
      <c r="C711" s="11"/>
      <c r="D711" s="11" t="str">
        <f>IFERROR(__xludf.DUMMYFUNCTION("""COMPUTED_VALUE"""),"Dentista")</f>
        <v>Dentista</v>
      </c>
      <c r="E711" s="11" t="str">
        <f>IFERROR(__xludf.DUMMYFUNCTION("""COMPUTED_VALUE"""),"II")</f>
        <v>II</v>
      </c>
      <c r="F711" s="11" t="str">
        <f>IFERROR(__xludf.DUMMYFUNCTION("""COMPUTED_VALUE"""),"US_274 USF TIA REGINA/CORREGO DO DEODATO")</f>
        <v>US_274 USF TIA REGINA/CORREGO DO DEODATO</v>
      </c>
      <c r="G711" s="11" t="str">
        <f>IFERROR(__xludf.DUMMYFUNCTION("""COMPUTED_VALUE"""),"US 274 USF TIA REGINA")</f>
        <v>US 274 USF TIA REGINA</v>
      </c>
      <c r="H711" s="27">
        <f>IFERROR(__xludf.DUMMYFUNCTION("""COMPUTED_VALUE"""),81991477400)</f>
        <v>81991477400</v>
      </c>
      <c r="I711" s="11"/>
      <c r="J711" s="11"/>
      <c r="K711" s="11"/>
      <c r="L711" s="11"/>
      <c r="M711" s="28" t="str">
        <f>IFERROR(__xludf.DUMMYFUNCTION("""COMPUTED_VALUE"""),"3355-4708")</f>
        <v>3355-4708</v>
      </c>
      <c r="N711" s="11" t="str">
        <f>IFERROR(__xludf.DUMMYFUNCTION("""COMPUTED_VALUE"""),"anaclessa_@hotmail.com")</f>
        <v>anaclessa_@hotmail.com</v>
      </c>
      <c r="O711" s="29">
        <f>IFERROR(__xludf.DUMMYFUNCTION("""COMPUTED_VALUE"""),2934177416)</f>
        <v>2934177416</v>
      </c>
      <c r="P711" s="30" t="str">
        <f>IFERROR(__xludf.DUMMYFUNCTION("""COMPUTED_VALUE"""),"980016280391197")</f>
        <v>980016280391197</v>
      </c>
      <c r="Q711" s="30" t="str">
        <f>IFERROR(__xludf.DUMMYFUNCTION("""COMPUTED_VALUE"""),"0028096")</f>
        <v>0028096</v>
      </c>
      <c r="R711" s="30" t="str">
        <f>IFERROR(__xludf.DUMMYFUNCTION("""COMPUTED_VALUE"""),"0001789880")</f>
        <v>0001789880</v>
      </c>
      <c r="S711" s="30" t="str">
        <f>IFERROR(__xludf.DUMMYFUNCTION("""COMPUTED_VALUE"""),"1")</f>
        <v>1</v>
      </c>
      <c r="T711" s="30" t="str">
        <f>IFERROR(__xludf.DUMMYFUNCTION("""COMPUTED_VALUE"""),"223293")</f>
        <v>223293</v>
      </c>
      <c r="U711" s="31">
        <f>IFERROR(__xludf.DUMMYFUNCTION("""COMPUTED_VALUE"""),2232)</f>
        <v>2232</v>
      </c>
      <c r="V711" s="11"/>
      <c r="W711" s="11"/>
      <c r="X711" s="11"/>
      <c r="Y711" s="11"/>
      <c r="Z711" s="11"/>
    </row>
    <row r="712" customHeight="1" spans="1:26">
      <c r="A712" s="11" t="str">
        <f>IFERROR(__xludf.DUMMYFUNCTION("""COMPUTED_VALUE"""),"ANA PAULA YAMAMOTO")</f>
        <v>ANA PAULA YAMAMOTO</v>
      </c>
      <c r="B712" s="11"/>
      <c r="C712" s="11"/>
      <c r="D712" s="11" t="str">
        <f>IFERROR(__xludf.DUMMYFUNCTION("""COMPUTED_VALUE"""),"Médica eSF")</f>
        <v>Médica eSF</v>
      </c>
      <c r="E712" s="11" t="str">
        <f>IFERROR(__xludf.DUMMYFUNCTION("""COMPUTED_VALUE"""),"II")</f>
        <v>II</v>
      </c>
      <c r="F712" s="11" t="str">
        <f>IFERROR(__xludf.DUMMYFUNCTION("""COMPUTED_VALUE"""),"US_274 USF TIA REGINA/CORREGO DO DEODATO")</f>
        <v>US_274 USF TIA REGINA/CORREGO DO DEODATO</v>
      </c>
      <c r="G712" s="11" t="str">
        <f>IFERROR(__xludf.DUMMYFUNCTION("""COMPUTED_VALUE"""),"US 274 USF TIA REGINA")</f>
        <v>US 274 USF TIA REGINA</v>
      </c>
      <c r="H712" s="27">
        <f>IFERROR(__xludf.DUMMYFUNCTION("""COMPUTED_VALUE"""),81996360045)</f>
        <v>81996360045</v>
      </c>
      <c r="I712" s="11"/>
      <c r="J712" s="11"/>
      <c r="K712" s="11"/>
      <c r="L712" s="11"/>
      <c r="M712" s="28" t="str">
        <f>IFERROR(__xludf.DUMMYFUNCTION("""COMPUTED_VALUE"""),"3355-4708")</f>
        <v>3355-4708</v>
      </c>
      <c r="N712" s="11" t="str">
        <f>IFERROR(__xludf.DUMMYFUNCTION("""COMPUTED_VALUE"""),"apy.yamamoto@gmail.com")</f>
        <v>apy.yamamoto@gmail.com</v>
      </c>
      <c r="O712" s="29">
        <f>IFERROR(__xludf.DUMMYFUNCTION("""COMPUTED_VALUE"""),3023764450)</f>
        <v>3023764450</v>
      </c>
      <c r="P712" s="30" t="str">
        <f>IFERROR(__xludf.DUMMYFUNCTION("""COMPUTED_VALUE"""),"980016288948735")</f>
        <v>980016288948735</v>
      </c>
      <c r="Q712" s="30" t="str">
        <f>IFERROR(__xludf.DUMMYFUNCTION("""COMPUTED_VALUE"""),"0028096")</f>
        <v>0028096</v>
      </c>
      <c r="R712" s="30" t="str">
        <f>IFERROR(__xludf.DUMMYFUNCTION("""COMPUTED_VALUE"""),"0000154490")</f>
        <v>0000154490</v>
      </c>
      <c r="S712" s="30" t="str">
        <f>IFERROR(__xludf.DUMMYFUNCTION("""COMPUTED_VALUE"""),"3")</f>
        <v>3</v>
      </c>
      <c r="T712" s="30" t="str">
        <f>IFERROR(__xludf.DUMMYFUNCTION("""COMPUTED_VALUE"""),"225142")</f>
        <v>225142</v>
      </c>
      <c r="U712" s="11">
        <f>IFERROR(__xludf.DUMMYFUNCTION("""COMPUTED_VALUE"""),2251)</f>
        <v>2251</v>
      </c>
      <c r="V712" s="11" t="str">
        <f>IFERROR(__xludf.DUMMYFUNCTION("""COMPUTED_VALUE"""),"SIM")</f>
        <v>SIM</v>
      </c>
      <c r="W712" s="11"/>
      <c r="X712" s="11" t="str">
        <f>IFERROR(__xludf.DUMMYFUNCTION("""COMPUTED_VALUE"""),"#N/A")</f>
        <v>#N/A</v>
      </c>
      <c r="Y712" s="11" t="str">
        <f>IFERROR(__xludf.DUMMYFUNCTION("""COMPUTED_VALUE"""),"#N/A")</f>
        <v>#N/A</v>
      </c>
      <c r="Z712" s="11" t="str">
        <f>IFERROR(__xludf.DUMMYFUNCTION("""COMPUTED_VALUE"""),"#N/A")</f>
        <v>#N/A</v>
      </c>
    </row>
    <row r="713" customHeight="1" spans="1:26">
      <c r="A713" s="11" t="str">
        <f>IFERROR(__xludf.DUMMYFUNCTION("""COMPUTED_VALUE"""),"TATIARA DE ALBUQUERQUE SILVA")</f>
        <v>TATIARA DE ALBUQUERQUE SILVA</v>
      </c>
      <c r="B713" s="11"/>
      <c r="C713" s="11"/>
      <c r="D713" s="11" t="str">
        <f>IFERROR(__xludf.DUMMYFUNCTION("""COMPUTED_VALUE"""),"Enfermeira eSF")</f>
        <v>Enfermeira eSF</v>
      </c>
      <c r="E713" s="11" t="str">
        <f>IFERROR(__xludf.DUMMYFUNCTION("""COMPUTED_VALUE"""),"II")</f>
        <v>II</v>
      </c>
      <c r="F713" s="11" t="str">
        <f>IFERROR(__xludf.DUMMYFUNCTION("""COMPUTED_VALUE"""),"US_262 USF JOSE SEVERIANO DA SILVA/CAMPO GRANDE/CAPILE/CANAL ARRUDA")</f>
        <v>US_262 USF JOSE SEVERIANO DA SILVA/CAMPO GRANDE/CAPILE/CANAL ARRUDA</v>
      </c>
      <c r="G713" s="11" t="str">
        <f>IFERROR(__xludf.DUMMYFUNCTION("""COMPUTED_VALUE"""),"US 274 USF TIA REGINA")</f>
        <v>US 274 USF TIA REGINA</v>
      </c>
      <c r="H713" s="27">
        <f>IFERROR(__xludf.DUMMYFUNCTION("""COMPUTED_VALUE"""),81992145646)</f>
        <v>81992145646</v>
      </c>
      <c r="I713" s="11"/>
      <c r="J713" s="11"/>
      <c r="K713" s="11"/>
      <c r="L713" s="11"/>
      <c r="M713" s="28" t="str">
        <f>IFERROR(__xludf.DUMMYFUNCTION("""COMPUTED_VALUE"""),"3355-4708")</f>
        <v>3355-4708</v>
      </c>
      <c r="N713" s="11" t="str">
        <f>IFERROR(__xludf.DUMMYFUNCTION("""COMPUTED_VALUE"""),"tatiarafranca@hotmail.com")</f>
        <v>tatiarafranca@hotmail.com</v>
      </c>
      <c r="O713" s="29">
        <f>IFERROR(__xludf.DUMMYFUNCTION("""COMPUTED_VALUE"""),70365768472)</f>
        <v>70365768472</v>
      </c>
      <c r="P713" s="30" t="str">
        <f>IFERROR(__xludf.DUMMYFUNCTION("""COMPUTED_VALUE"""),"209066150240009")</f>
        <v>209066150240009</v>
      </c>
      <c r="Q713" s="30" t="str">
        <f>IFERROR(__xludf.DUMMYFUNCTION("""COMPUTED_VALUE"""),"0028096")</f>
        <v>0028096</v>
      </c>
      <c r="R713" s="30" t="str">
        <f>IFERROR(__xludf.DUMMYFUNCTION("""COMPUTED_VALUE"""),"0000154504")</f>
        <v>0000154504</v>
      </c>
      <c r="S713" s="30" t="str">
        <f>IFERROR(__xludf.DUMMYFUNCTION("""COMPUTED_VALUE"""),"1")</f>
        <v>1</v>
      </c>
      <c r="T713" s="30" t="str">
        <f>IFERROR(__xludf.DUMMYFUNCTION("""COMPUTED_VALUE"""),"223565")</f>
        <v>223565</v>
      </c>
      <c r="U713" s="31" t="str">
        <f>IFERROR(__xludf.DUMMYFUNCTION("""COMPUTED_VALUE"""),"2235")</f>
        <v>2235</v>
      </c>
      <c r="V713" s="11"/>
      <c r="W713" s="11" t="str">
        <f>IFERROR(__xludf.DUMMYFUNCTION("""COMPUTED_VALUE"""),"#N/A")</f>
        <v>#N/A</v>
      </c>
      <c r="X713" s="11" t="str">
        <f>IFERROR(__xludf.DUMMYFUNCTION("""COMPUTED_VALUE"""),"#N/A")</f>
        <v>#N/A</v>
      </c>
      <c r="Y713" s="11" t="str">
        <f>IFERROR(__xludf.DUMMYFUNCTION("""COMPUTED_VALUE"""),"#N/A")</f>
        <v>#N/A</v>
      </c>
      <c r="Z713" s="11"/>
    </row>
    <row r="714" customHeight="1" spans="1:26">
      <c r="A714" s="11" t="str">
        <f>IFERROR(__xludf.DUMMYFUNCTION("""COMPUTED_VALUE"""),"BERENICE GARCES SANTOS")</f>
        <v>BERENICE GARCES SANTOS</v>
      </c>
      <c r="B714" s="11"/>
      <c r="C714" s="11"/>
      <c r="D714" s="11" t="str">
        <f>IFERROR(__xludf.DUMMYFUNCTION("""COMPUTED_VALUE"""),"Enfermeira eSF")</f>
        <v>Enfermeira eSF</v>
      </c>
      <c r="E714" s="11" t="str">
        <f>IFERROR(__xludf.DUMMYFUNCTION("""COMPUTED_VALUE"""),"II")</f>
        <v>II</v>
      </c>
      <c r="F714" s="11" t="str">
        <f>IFERROR(__xludf.DUMMYFUNCTION("""COMPUTED_VALUE"""),"PACS ARRUDA")</f>
        <v>PACS ARRUDA</v>
      </c>
      <c r="G714" s="11" t="str">
        <f>IFERROR(__xludf.DUMMYFUNCTION("""COMPUTED_VALUE"""),"US 276 USF UPINHA DIA ALTO DO PASCOAL")</f>
        <v>US 276 USF UPINHA DIA ALTO DO PASCOAL</v>
      </c>
      <c r="H714" s="27">
        <f>IFERROR(__xludf.DUMMYFUNCTION("""COMPUTED_VALUE"""),81993908929)</f>
        <v>81993908929</v>
      </c>
      <c r="I714" s="11"/>
      <c r="J714" s="11"/>
      <c r="K714" s="11"/>
      <c r="L714" s="11"/>
      <c r="M714" s="28" t="str">
        <f>IFERROR(__xludf.DUMMYFUNCTION("""COMPUTED_VALUE"""),"3355-3493")</f>
        <v>3355-3493</v>
      </c>
      <c r="N714" s="11" t="str">
        <f>IFERROR(__xludf.DUMMYFUNCTION("""COMPUTED_VALUE"""),"nicegarces@gmail.com")</f>
        <v>nicegarces@gmail.com</v>
      </c>
      <c r="O714" s="29">
        <f>IFERROR(__xludf.DUMMYFUNCTION("""COMPUTED_VALUE"""),94842655453)</f>
        <v>94842655453</v>
      </c>
      <c r="P714" s="30" t="str">
        <f>IFERROR(__xludf.DUMMYFUNCTION("""COMPUTED_VALUE"""),"125321665940009")</f>
        <v>125321665940009</v>
      </c>
      <c r="Q714" s="30" t="str">
        <f>IFERROR(__xludf.DUMMYFUNCTION("""COMPUTED_VALUE"""),"0028649")</f>
        <v>0028649</v>
      </c>
      <c r="R714" s="30" t="str">
        <f>IFERROR(__xludf.DUMMYFUNCTION("""COMPUTED_VALUE"""),"0000154539")</f>
        <v>0000154539</v>
      </c>
      <c r="S714" s="30" t="str">
        <f>IFERROR(__xludf.DUMMYFUNCTION("""COMPUTED_VALUE"""),"1")</f>
        <v>1</v>
      </c>
      <c r="T714" s="30" t="str">
        <f>IFERROR(__xludf.DUMMYFUNCTION("""COMPUTED_VALUE"""),"223565")</f>
        <v>223565</v>
      </c>
      <c r="U714" s="31" t="str">
        <f>IFERROR(__xludf.DUMMYFUNCTION("""COMPUTED_VALUE"""),"2235")</f>
        <v>2235</v>
      </c>
      <c r="V714" s="11"/>
      <c r="W714" s="11"/>
      <c r="X714" s="11"/>
      <c r="Y714" s="11"/>
      <c r="Z714" s="11"/>
    </row>
    <row r="715" customHeight="1" spans="1:26">
      <c r="A715" s="11" t="str">
        <f>IFERROR(__xludf.DUMMYFUNCTION("""COMPUTED_VALUE"""),"MICHELINE DE FATIMA DE ALMEIDA")</f>
        <v>MICHELINE DE FATIMA DE ALMEIDA</v>
      </c>
      <c r="B715" s="11"/>
      <c r="C715" s="11"/>
      <c r="D715" s="11" t="str">
        <f>IFERROR(__xludf.DUMMYFUNCTION("""COMPUTED_VALUE"""),"Enfermeira eSF")</f>
        <v>Enfermeira eSF</v>
      </c>
      <c r="E715" s="11" t="str">
        <f>IFERROR(__xludf.DUMMYFUNCTION("""COMPUTED_VALUE"""),"II")</f>
        <v>II</v>
      </c>
      <c r="F715" s="11" t="str">
        <f>IFERROR(__xludf.DUMMYFUNCTION("""COMPUTED_VALUE"""),"US_276 USF UPINHA DIA ALTO DO PASCOAL	")</f>
        <v>US_276 USF UPINHA DIA ALTO DO PASCOAL	</v>
      </c>
      <c r="G715" s="11" t="str">
        <f>IFERROR(__xludf.DUMMYFUNCTION("""COMPUTED_VALUE"""),"US 276 USF UPINHA DIA ALTO DO PASCOAL")</f>
        <v>US 276 USF UPINHA DIA ALTO DO PASCOAL</v>
      </c>
      <c r="H715" s="27">
        <f>IFERROR(__xludf.DUMMYFUNCTION("""COMPUTED_VALUE"""),81989609867)</f>
        <v>81989609867</v>
      </c>
      <c r="I715" s="27">
        <f>IFERROR(__xludf.DUMMYFUNCTION("""COMPUTED_VALUE"""),81988516411)</f>
        <v>81988516411</v>
      </c>
      <c r="J715" s="11"/>
      <c r="K715" s="11"/>
      <c r="L715" s="11"/>
      <c r="M715" s="28" t="str">
        <f>IFERROR(__xludf.DUMMYFUNCTION("""COMPUTED_VALUE"""),"3355-3493")</f>
        <v>3355-3493</v>
      </c>
      <c r="N715" s="11" t="str">
        <f>IFERROR(__xludf.DUMMYFUNCTION("""COMPUTED_VALUE"""),"almeida-micheline@hotmail.com")</f>
        <v>almeida-micheline@hotmail.com</v>
      </c>
      <c r="O715" s="29">
        <f>IFERROR(__xludf.DUMMYFUNCTION("""COMPUTED_VALUE"""),50733664415)</f>
        <v>50733664415</v>
      </c>
      <c r="P715" s="30" t="str">
        <f>IFERROR(__xludf.DUMMYFUNCTION("""COMPUTED_VALUE"""),"125593844520004")</f>
        <v>125593844520004</v>
      </c>
      <c r="Q715" s="30" t="str">
        <f>IFERROR(__xludf.DUMMYFUNCTION("""COMPUTED_VALUE"""),"0028649")</f>
        <v>0028649</v>
      </c>
      <c r="R715" s="30" t="str">
        <f>IFERROR(__xludf.DUMMYFUNCTION("""COMPUTED_VALUE"""),"0000154547")</f>
        <v>0000154547</v>
      </c>
      <c r="S715" s="30" t="str">
        <f>IFERROR(__xludf.DUMMYFUNCTION("""COMPUTED_VALUE"""),"1")</f>
        <v>1</v>
      </c>
      <c r="T715" s="30" t="str">
        <f>IFERROR(__xludf.DUMMYFUNCTION("""COMPUTED_VALUE"""),"223565")</f>
        <v>223565</v>
      </c>
      <c r="U715" s="31" t="str">
        <f>IFERROR(__xludf.DUMMYFUNCTION("""COMPUTED_VALUE"""),"2235")</f>
        <v>2235</v>
      </c>
      <c r="V715" s="11"/>
      <c r="W715" s="11">
        <f>IFERROR(__xludf.DUMMYFUNCTION("""COMPUTED_VALUE"""),8188516411)</f>
        <v>8188516411</v>
      </c>
      <c r="X715" s="11">
        <f>IFERROR(__xludf.DUMMYFUNCTION("""COMPUTED_VALUE"""),98277066)</f>
        <v>98277066</v>
      </c>
      <c r="Y715" s="11">
        <f>IFERROR(__xludf.DUMMYFUNCTION("""COMPUTED_VALUE"""),50733664415)</f>
        <v>50733664415</v>
      </c>
      <c r="Z715" s="11"/>
    </row>
    <row r="716" customHeight="1" spans="1:26">
      <c r="A716" s="11" t="str">
        <f>IFERROR(__xludf.DUMMYFUNCTION("""COMPUTED_VALUE"""),"GILMARENO FERREIRA GOMES")</f>
        <v>GILMARENO FERREIRA GOMES</v>
      </c>
      <c r="B716" s="11"/>
      <c r="C716" s="11"/>
      <c r="D716" s="11" t="str">
        <f>IFERROR(__xludf.DUMMYFUNCTION("""COMPUTED_VALUE"""),"Enfermeiro eSF")</f>
        <v>Enfermeiro eSF</v>
      </c>
      <c r="E716" s="11" t="str">
        <f>IFERROR(__xludf.DUMMYFUNCTION("""COMPUTED_VALUE"""),"II")</f>
        <v>II</v>
      </c>
      <c r="F716" s="11" t="str">
        <f>IFERROR(__xludf.DUMMYFUNCTION("""COMPUTED_VALUE"""),"US_286 USF IRMA TEREZINHA")</f>
        <v>US_286 USF IRMA TEREZINHA</v>
      </c>
      <c r="G716" s="11" t="str">
        <f>IFERROR(__xludf.DUMMYFUNCTION("""COMPUTED_VALUE"""),"US 286 USF IRMA TEREZINHA")</f>
        <v>US 286 USF IRMA TEREZINHA</v>
      </c>
      <c r="H716" s="27">
        <f>IFERROR(__xludf.DUMMYFUNCTION("""COMPUTED_VALUE"""),81998913777)</f>
        <v>81998913777</v>
      </c>
      <c r="I716" s="11"/>
      <c r="J716" s="11"/>
      <c r="K716" s="11"/>
      <c r="L716" s="11"/>
      <c r="M716" s="28" t="str">
        <f>IFERROR(__xludf.DUMMYFUNCTION("""COMPUTED_VALUE"""),"3355-6154")</f>
        <v>3355-6154</v>
      </c>
      <c r="N716" s="11" t="str">
        <f>IFERROR(__xludf.DUMMYFUNCTION("""COMPUTED_VALUE"""),"gilmareono@yahoo.com.br / gilmareno@yahoo.com.br")</f>
        <v>gilmareono@yahoo.com.br / gilmareno@yahoo.com.br</v>
      </c>
      <c r="O716" s="29">
        <f>IFERROR(__xludf.DUMMYFUNCTION("""COMPUTED_VALUE"""),3072127425)</f>
        <v>3072127425</v>
      </c>
      <c r="P716" s="30" t="str">
        <f>IFERROR(__xludf.DUMMYFUNCTION("""COMPUTED_VALUE"""),"201564903440008")</f>
        <v>201564903440008</v>
      </c>
      <c r="Q716" s="30" t="str">
        <f>IFERROR(__xludf.DUMMYFUNCTION("""COMPUTED_VALUE"""),"0029122")</f>
        <v>0029122</v>
      </c>
      <c r="R716" s="30" t="str">
        <f>IFERROR(__xludf.DUMMYFUNCTION("""COMPUTED_VALUE"""),"0000154717")</f>
        <v>0000154717</v>
      </c>
      <c r="S716" s="30" t="str">
        <f>IFERROR(__xludf.DUMMYFUNCTION("""COMPUTED_VALUE"""),"1")</f>
        <v>1</v>
      </c>
      <c r="T716" s="30" t="str">
        <f>IFERROR(__xludf.DUMMYFUNCTION("""COMPUTED_VALUE"""),"223565")</f>
        <v>223565</v>
      </c>
      <c r="U716" s="31" t="str">
        <f>IFERROR(__xludf.DUMMYFUNCTION("""COMPUTED_VALUE"""),"2235")</f>
        <v>2235</v>
      </c>
      <c r="V716" s="11"/>
      <c r="W716" s="11">
        <f>IFERROR(__xludf.DUMMYFUNCTION("""COMPUTED_VALUE"""),98913777)</f>
        <v>98913777</v>
      </c>
      <c r="X716" s="11">
        <f>IFERROR(__xludf.DUMMYFUNCTION("""COMPUTED_VALUE"""),33556154)</f>
        <v>33556154</v>
      </c>
      <c r="Y716" s="11">
        <f>IFERROR(__xludf.DUMMYFUNCTION("""COMPUTED_VALUE"""),3072127425)</f>
        <v>3072127425</v>
      </c>
      <c r="Z716" s="11"/>
    </row>
    <row r="717" customHeight="1" spans="1:26">
      <c r="A717" s="11" t="str">
        <f>IFERROR(__xludf.DUMMYFUNCTION("""COMPUTED_VALUE"""),"ANDREA DE ALMEIDA VASCONCELOS NOGUEIRA")</f>
        <v>ANDREA DE ALMEIDA VASCONCELOS NOGUEIRA</v>
      </c>
      <c r="B717" s="11" t="str">
        <f>IFERROR(__xludf.DUMMYFUNCTION("""COMPUTED_VALUE"""),"11:00 - horário de preferência")</f>
        <v>11:00 - horário de preferência</v>
      </c>
      <c r="C717" s="11"/>
      <c r="D717" s="11" t="str">
        <f>IFERROR(__xludf.DUMMYFUNCTION("""COMPUTED_VALUE"""),"Médica eSF")</f>
        <v>Médica eSF</v>
      </c>
      <c r="E717" s="11" t="str">
        <f>IFERROR(__xludf.DUMMYFUNCTION("""COMPUTED_VALUE"""),"II")</f>
        <v>II</v>
      </c>
      <c r="F717" s="11" t="str">
        <f>IFERROR(__xludf.DUMMYFUNCTION("""COMPUTED_VALUE"""),"US_302 USF BYRON SARINHO	")</f>
        <v>US_302 USF BYRON SARINHO	</v>
      </c>
      <c r="G717" s="11" t="str">
        <f>IFERROR(__xludf.DUMMYFUNCTION("""COMPUTED_VALUE"""),"US 302 USF BYRON SARINHO")</f>
        <v>US 302 USF BYRON SARINHO</v>
      </c>
      <c r="H717" s="27">
        <f>IFERROR(__xludf.DUMMYFUNCTION("""COMPUTED_VALUE"""),81988070292)</f>
        <v>81988070292</v>
      </c>
      <c r="I717" s="11"/>
      <c r="J717" s="11"/>
      <c r="K717" s="11"/>
      <c r="L717" s="11"/>
      <c r="M717" s="28" t="str">
        <f>IFERROR(__xludf.DUMMYFUNCTION("""COMPUTED_VALUE"""),"3355-6511")</f>
        <v>3355-6511</v>
      </c>
      <c r="N717" s="11" t="str">
        <f>IFERROR(__xludf.DUMMYFUNCTION("""COMPUTED_VALUE"""),"andreavasconcelos@gmail.com")</f>
        <v>andreavasconcelos@gmail.com</v>
      </c>
      <c r="O717" s="29">
        <f>IFERROR(__xludf.DUMMYFUNCTION("""COMPUTED_VALUE"""),85448842453)</f>
        <v>85448842453</v>
      </c>
      <c r="P717" s="30" t="str">
        <f>IFERROR(__xludf.DUMMYFUNCTION("""COMPUTED_VALUE"""),"201533452700018")</f>
        <v>201533452700018</v>
      </c>
      <c r="Q717" s="30" t="str">
        <f>IFERROR(__xludf.DUMMYFUNCTION("""COMPUTED_VALUE"""),"3301974")</f>
        <v>3301974</v>
      </c>
      <c r="R717" s="30" t="str">
        <f>IFERROR(__xludf.DUMMYFUNCTION("""COMPUTED_VALUE"""),"0000155233")</f>
        <v>0000155233</v>
      </c>
      <c r="S717" s="30" t="str">
        <f>IFERROR(__xludf.DUMMYFUNCTION("""COMPUTED_VALUE"""),"1")</f>
        <v>1</v>
      </c>
      <c r="T717" s="30" t="str">
        <f>IFERROR(__xludf.DUMMYFUNCTION("""COMPUTED_VALUE"""),"225142")</f>
        <v>225142</v>
      </c>
      <c r="U717" s="11">
        <f>IFERROR(__xludf.DUMMYFUNCTION("""COMPUTED_VALUE"""),2251)</f>
        <v>2251</v>
      </c>
      <c r="V717" s="11" t="str">
        <f>IFERROR(__xludf.DUMMYFUNCTION("""COMPUTED_VALUE"""),"SIM")</f>
        <v>SIM</v>
      </c>
      <c r="W717" s="11"/>
      <c r="X717" s="11">
        <f>IFERROR(__xludf.DUMMYFUNCTION("""COMPUTED_VALUE"""),8188070092)</f>
        <v>8188070092</v>
      </c>
      <c r="Y717" s="11"/>
      <c r="Z717" s="11">
        <f>IFERROR(__xludf.DUMMYFUNCTION("""COMPUTED_VALUE"""),85448842453)</f>
        <v>85448842453</v>
      </c>
    </row>
    <row r="718" customHeight="1" spans="1:26">
      <c r="A718" s="11" t="str">
        <f>IFERROR(__xludf.DUMMYFUNCTION("""COMPUTED_VALUE"""),"ALEXANDRE BORGES DA SILVA")</f>
        <v>ALEXANDRE BORGES DA SILVA</v>
      </c>
      <c r="B718" s="11"/>
      <c r="C718" s="11"/>
      <c r="D718" s="11" t="str">
        <f>IFERROR(__xludf.DUMMYFUNCTION("""COMPUTED_VALUE"""),"Enfermeiro eSF")</f>
        <v>Enfermeiro eSF</v>
      </c>
      <c r="E718" s="11" t="str">
        <f>IFERROR(__xludf.DUMMYFUNCTION("""COMPUTED_VALUE"""),"II")</f>
        <v>II</v>
      </c>
      <c r="F718" s="11" t="str">
        <f>IFERROR(__xludf.DUMMYFUNCTION("""COMPUTED_VALUE"""),"US_309 USF PONTO DE PARADA	")</f>
        <v>US_309 USF PONTO DE PARADA	</v>
      </c>
      <c r="G718" s="11" t="str">
        <f>IFERROR(__xludf.DUMMYFUNCTION("""COMPUTED_VALUE"""),"US 309 USF PONTO DE PARADA")</f>
        <v>US 309 USF PONTO DE PARADA</v>
      </c>
      <c r="H718" s="27">
        <f>IFERROR(__xludf.DUMMYFUNCTION("""COMPUTED_VALUE"""),81999045780)</f>
        <v>81999045780</v>
      </c>
      <c r="I718" s="27">
        <f>IFERROR(__xludf.DUMMYFUNCTION("""COMPUTED_VALUE"""),81991727258)</f>
        <v>81991727258</v>
      </c>
      <c r="J718" s="11"/>
      <c r="K718" s="11"/>
      <c r="L718" s="11"/>
      <c r="M718" s="28" t="str">
        <f>IFERROR(__xludf.DUMMYFUNCTION("""COMPUTED_VALUE"""),"3355-6095")</f>
        <v>3355-6095</v>
      </c>
      <c r="N718" s="11" t="str">
        <f>IFERROR(__xludf.DUMMYFUNCTION("""COMPUTED_VALUE"""),"absborges@ig.com.br / BORGESALEXANDRE71@GMAIL.COM")</f>
        <v>absborges@ig.com.br / BORGESALEXANDRE71@GMAIL.COM</v>
      </c>
      <c r="O718" s="29">
        <f>IFERROR(__xludf.DUMMYFUNCTION("""COMPUTED_VALUE"""),81956479449)</f>
        <v>81956479449</v>
      </c>
      <c r="P718" s="30" t="str">
        <f>IFERROR(__xludf.DUMMYFUNCTION("""COMPUTED_VALUE"""),"980016283208121")</f>
        <v>980016283208121</v>
      </c>
      <c r="Q718" s="30" t="str">
        <f>IFERROR(__xludf.DUMMYFUNCTION("""COMPUTED_VALUE"""),"3302032")</f>
        <v>3302032</v>
      </c>
      <c r="R718" s="30" t="str">
        <f>IFERROR(__xludf.DUMMYFUNCTION("""COMPUTED_VALUE"""),"0000155306")</f>
        <v>0000155306</v>
      </c>
      <c r="S718" s="30" t="str">
        <f>IFERROR(__xludf.DUMMYFUNCTION("""COMPUTED_VALUE"""),"1")</f>
        <v>1</v>
      </c>
      <c r="T718" s="30" t="str">
        <f>IFERROR(__xludf.DUMMYFUNCTION("""COMPUTED_VALUE"""),"223565")</f>
        <v>223565</v>
      </c>
      <c r="U718" s="31" t="str">
        <f>IFERROR(__xludf.DUMMYFUNCTION("""COMPUTED_VALUE"""),"2235")</f>
        <v>2235</v>
      </c>
      <c r="V718" s="11"/>
      <c r="W718" s="11">
        <f>IFERROR(__xludf.DUMMYFUNCTION("""COMPUTED_VALUE"""),99045780)</f>
        <v>99045780</v>
      </c>
      <c r="X718" s="11">
        <f>IFERROR(__xludf.DUMMYFUNCTION("""COMPUTED_VALUE"""),91727258)</f>
        <v>91727258</v>
      </c>
      <c r="Y718" s="11">
        <f>IFERROR(__xludf.DUMMYFUNCTION("""COMPUTED_VALUE"""),81956479449)</f>
        <v>81956479449</v>
      </c>
      <c r="Z718" s="11"/>
    </row>
    <row r="719" customHeight="1" spans="1:26">
      <c r="A719" s="11" t="str">
        <f>IFERROR(__xludf.DUMMYFUNCTION("""COMPUTED_VALUE"""),"ANDREA HOLANDA FELIX")</f>
        <v>ANDREA HOLANDA FELIX</v>
      </c>
      <c r="B719" s="11"/>
      <c r="C719" s="11"/>
      <c r="D719" s="11" t="str">
        <f>IFERROR(__xludf.DUMMYFUNCTION("""COMPUTED_VALUE"""),"Médica eSF")</f>
        <v>Médica eSF</v>
      </c>
      <c r="E719" s="11" t="str">
        <f>IFERROR(__xludf.DUMMYFUNCTION("""COMPUTED_VALUE"""),"II")</f>
        <v>II</v>
      </c>
      <c r="F719" s="11" t="str">
        <f>IFERROR(__xludf.DUMMYFUNCTION("""COMPUTED_VALUE"""),"US_309 USF PONTO DE PARADA	")</f>
        <v>US_309 USF PONTO DE PARADA	</v>
      </c>
      <c r="G719" s="11" t="str">
        <f>IFERROR(__xludf.DUMMYFUNCTION("""COMPUTED_VALUE"""),"US 309 USF PONTO DE PARADA")</f>
        <v>US 309 USF PONTO DE PARADA</v>
      </c>
      <c r="H719" s="27">
        <f>IFERROR(__xludf.DUMMYFUNCTION("""COMPUTED_VALUE"""),81985960586)</f>
        <v>81985960586</v>
      </c>
      <c r="I719" s="11"/>
      <c r="J719" s="11"/>
      <c r="K719" s="24">
        <f>IFERROR(__xludf.DUMMYFUNCTION("""COMPUTED_VALUE"""),45152)</f>
        <v>45152</v>
      </c>
      <c r="L719" s="11"/>
      <c r="M719" s="28" t="str">
        <f>IFERROR(__xludf.DUMMYFUNCTION("""COMPUTED_VALUE"""),"3355-6095")</f>
        <v>3355-6095</v>
      </c>
      <c r="N719" s="11" t="str">
        <f>IFERROR(__xludf.DUMMYFUNCTION("""COMPUTED_VALUE"""),"andreahfelix@hotmail.com / andreaholnda@gmail.com")</f>
        <v>andreahfelix@hotmail.com / andreaholnda@gmail.com</v>
      </c>
      <c r="O719" s="29">
        <f>IFERROR(__xludf.DUMMYFUNCTION("""COMPUTED_VALUE"""),79615937487)</f>
        <v>79615937487</v>
      </c>
      <c r="P719" s="30" t="str">
        <f>IFERROR(__xludf.DUMMYFUNCTION("""COMPUTED_VALUE"""),"170616553380009")</f>
        <v>170616553380009</v>
      </c>
      <c r="Q719" s="30" t="str">
        <f>IFERROR(__xludf.DUMMYFUNCTION("""COMPUTED_VALUE"""),"3302032")</f>
        <v>3302032</v>
      </c>
      <c r="R719" s="30" t="str">
        <f>IFERROR(__xludf.DUMMYFUNCTION("""COMPUTED_VALUE"""),"0000155306")</f>
        <v>0000155306</v>
      </c>
      <c r="S719" s="30" t="str">
        <f>IFERROR(__xludf.DUMMYFUNCTION("""COMPUTED_VALUE"""),"1")</f>
        <v>1</v>
      </c>
      <c r="T719" s="30" t="str">
        <f>IFERROR(__xludf.DUMMYFUNCTION("""COMPUTED_VALUE"""),"225142")</f>
        <v>225142</v>
      </c>
      <c r="U719" s="11">
        <f>IFERROR(__xludf.DUMMYFUNCTION("""COMPUTED_VALUE"""),2251)</f>
        <v>2251</v>
      </c>
      <c r="V719" s="11"/>
      <c r="W719" s="11"/>
      <c r="X719" s="11">
        <f>IFERROR(__xludf.DUMMYFUNCTION("""COMPUTED_VALUE"""),8134932012)</f>
        <v>8134932012</v>
      </c>
      <c r="Y719" s="11">
        <f>IFERROR(__xludf.DUMMYFUNCTION("""COMPUTED_VALUE"""),81985960586)</f>
        <v>81985960586</v>
      </c>
      <c r="Z719" s="11">
        <f>IFERROR(__xludf.DUMMYFUNCTION("""COMPUTED_VALUE"""),79615937487)</f>
        <v>79615937487</v>
      </c>
    </row>
    <row r="720" customHeight="1" spans="1:26">
      <c r="A720" s="11" t="str">
        <f>IFERROR(__xludf.DUMMYFUNCTION("""COMPUTED_VALUE"""),"JUSSARA ALMEIDA RAMPCKE")</f>
        <v>JUSSARA ALMEIDA RAMPCKE</v>
      </c>
      <c r="B720" s="11"/>
      <c r="C720" s="11"/>
      <c r="D720" s="11" t="str">
        <f>IFERROR(__xludf.DUMMYFUNCTION("""COMPUTED_VALUE"""),"Dentista")</f>
        <v>Dentista</v>
      </c>
      <c r="E720" s="11" t="str">
        <f>IFERROR(__xludf.DUMMYFUNCTION("""COMPUTED_VALUE"""),"II")</f>
        <v>II</v>
      </c>
      <c r="F720" s="11" t="str">
        <f>IFERROR(__xludf.DUMMYFUNCTION("""COMPUTED_VALUE"""),"US_309 USF PONTO DE PARADA	")</f>
        <v>US_309 USF PONTO DE PARADA	</v>
      </c>
      <c r="G720" s="11" t="str">
        <f>IFERROR(__xludf.DUMMYFUNCTION("""COMPUTED_VALUE"""),"US 309 USF PONTO DE PARADA")</f>
        <v>US 309 USF PONTO DE PARADA</v>
      </c>
      <c r="H720" s="27">
        <f>IFERROR(__xludf.DUMMYFUNCTION("""COMPUTED_VALUE"""),81986962001)</f>
        <v>81986962001</v>
      </c>
      <c r="I720" s="11"/>
      <c r="J720" s="11"/>
      <c r="K720" s="11"/>
      <c r="L720" s="11"/>
      <c r="M720" s="28" t="str">
        <f>IFERROR(__xludf.DUMMYFUNCTION("""COMPUTED_VALUE"""),"3355-3493")</f>
        <v>3355-3493</v>
      </c>
      <c r="N720" s="11" t="str">
        <f>IFERROR(__xludf.DUMMYFUNCTION("""COMPUTED_VALUE"""),"jrampcke@hotmail.com")</f>
        <v>jrampcke@hotmail.com</v>
      </c>
      <c r="O720" s="29">
        <f>IFERROR(__xludf.DUMMYFUNCTION("""COMPUTED_VALUE"""),72633492487)</f>
        <v>72633492487</v>
      </c>
      <c r="P720" s="30" t="str">
        <f>IFERROR(__xludf.DUMMYFUNCTION("""COMPUTED_VALUE"""),"980016284704203")</f>
        <v>980016284704203</v>
      </c>
      <c r="Q720" s="30" t="str">
        <f>IFERROR(__xludf.DUMMYFUNCTION("""COMPUTED_VALUE"""),"3302032")</f>
        <v>3302032</v>
      </c>
      <c r="R720" s="30" t="str">
        <f>IFERROR(__xludf.DUMMYFUNCTION("""COMPUTED_VALUE"""),"0001794531")</f>
        <v>0001794531</v>
      </c>
      <c r="S720" s="30" t="str">
        <f>IFERROR(__xludf.DUMMYFUNCTION("""COMPUTED_VALUE"""),"1")</f>
        <v>1</v>
      </c>
      <c r="T720" s="30" t="str">
        <f>IFERROR(__xludf.DUMMYFUNCTION("""COMPUTED_VALUE"""),"223293")</f>
        <v>223293</v>
      </c>
      <c r="U720" s="31">
        <f>IFERROR(__xludf.DUMMYFUNCTION("""COMPUTED_VALUE"""),2232)</f>
        <v>2232</v>
      </c>
      <c r="V720" s="11"/>
      <c r="W720" s="11"/>
      <c r="X720" s="11"/>
      <c r="Y720" s="11"/>
      <c r="Z720" s="11"/>
    </row>
    <row r="721" customHeight="1" spans="1:26">
      <c r="A721" s="11" t="str">
        <f>IFERROR(__xludf.DUMMYFUNCTION("""COMPUTED_VALUE"""),"LUCIA CRISTINA DA SILVA MONTEIRO")</f>
        <v>LUCIA CRISTINA DA SILVA MONTEIRO</v>
      </c>
      <c r="B721" s="11"/>
      <c r="C721" s="11"/>
      <c r="D721" s="11" t="str">
        <f>IFERROR(__xludf.DUMMYFUNCTION("""COMPUTED_VALUE"""),"Enfermeira eSF")</f>
        <v>Enfermeira eSF</v>
      </c>
      <c r="E721" s="11" t="str">
        <f>IFERROR(__xludf.DUMMYFUNCTION("""COMPUTED_VALUE"""),"II")</f>
        <v>II</v>
      </c>
      <c r="F721" s="11" t="str">
        <f>IFERROR(__xludf.DUMMYFUNCTION("""COMPUTED_VALUE"""),"US_327 USF CLUBE DOS DELEGADOS / VISCONDE DE GARRET")</f>
        <v>US_327 USF CLUBE DOS DELEGADOS / VISCONDE DE GARRET</v>
      </c>
      <c r="G721" s="11" t="str">
        <f>IFERROR(__xludf.DUMMYFUNCTION("""COMPUTED_VALUE"""),"US 327 USF CLUBE DOS DELEGADOS")</f>
        <v>US 327 USF CLUBE DOS DELEGADOS</v>
      </c>
      <c r="H721" s="27">
        <f>IFERROR(__xludf.DUMMYFUNCTION("""COMPUTED_VALUE"""),81987010611)</f>
        <v>81987010611</v>
      </c>
      <c r="I721" s="11"/>
      <c r="J721" s="11"/>
      <c r="K721" s="11"/>
      <c r="L721" s="11"/>
      <c r="M721" s="28" t="str">
        <f>IFERROR(__xludf.DUMMYFUNCTION("""COMPUTED_VALUE"""),"3355-6905")</f>
        <v>3355-6905</v>
      </c>
      <c r="N721" s="11" t="str">
        <f>IFERROR(__xludf.DUMMYFUNCTION("""COMPUTED_VALUE"""),"silva.luciac@hotmaill.com / silva.luciac@gmail.com")</f>
        <v>silva.luciac@hotmaill.com / silva.luciac@gmail.com</v>
      </c>
      <c r="O721" s="29">
        <f>IFERROR(__xludf.DUMMYFUNCTION("""COMPUTED_VALUE"""),22338918487)</f>
        <v>22338918487</v>
      </c>
      <c r="P721" s="30" t="str">
        <f>IFERROR(__xludf.DUMMYFUNCTION("""COMPUTED_VALUE"""),"201533428400018")</f>
        <v>201533428400018</v>
      </c>
      <c r="Q721" s="30" t="str">
        <f>IFERROR(__xludf.DUMMYFUNCTION("""COMPUTED_VALUE"""),"3445275")</f>
        <v>3445275</v>
      </c>
      <c r="R721" s="30" t="str">
        <f>IFERROR(__xludf.DUMMYFUNCTION("""COMPUTED_VALUE"""),"0000155438")</f>
        <v>0000155438</v>
      </c>
      <c r="S721" s="30" t="str">
        <f>IFERROR(__xludf.DUMMYFUNCTION("""COMPUTED_VALUE"""),"1")</f>
        <v>1</v>
      </c>
      <c r="T721" s="30" t="str">
        <f>IFERROR(__xludf.DUMMYFUNCTION("""COMPUTED_VALUE"""),"223565")</f>
        <v>223565</v>
      </c>
      <c r="U721" s="31" t="str">
        <f>IFERROR(__xludf.DUMMYFUNCTION("""COMPUTED_VALUE"""),"2235")</f>
        <v>2235</v>
      </c>
      <c r="V721" s="11"/>
      <c r="W721" s="11">
        <f>IFERROR(__xludf.DUMMYFUNCTION("""COMPUTED_VALUE"""),8132216080)</f>
        <v>8132216080</v>
      </c>
      <c r="X721" s="11">
        <f>IFERROR(__xludf.DUMMYFUNCTION("""COMPUTED_VALUE"""),8187010611)</f>
        <v>8187010611</v>
      </c>
      <c r="Y721" s="11">
        <f>IFERROR(__xludf.DUMMYFUNCTION("""COMPUTED_VALUE"""),22338918487)</f>
        <v>22338918487</v>
      </c>
      <c r="Z721" s="11"/>
    </row>
    <row r="722" customHeight="1" spans="1:26">
      <c r="A722" s="11" t="str">
        <f>IFERROR(__xludf.DUMMYFUNCTION("""COMPUTED_VALUE"""),"ROSIANE ALCANTARA BARRETO MANSO")</f>
        <v>ROSIANE ALCANTARA BARRETO MANSO</v>
      </c>
      <c r="B722" s="11"/>
      <c r="C722" s="11"/>
      <c r="D722" s="11" t="str">
        <f>IFERROR(__xludf.DUMMYFUNCTION("""COMPUTED_VALUE"""),"Médica eSF")</f>
        <v>Médica eSF</v>
      </c>
      <c r="E722" s="11" t="str">
        <f>IFERROR(__xludf.DUMMYFUNCTION("""COMPUTED_VALUE"""),"II")</f>
        <v>II</v>
      </c>
      <c r="F722" s="11" t="str">
        <f>IFERROR(__xludf.DUMMYFUNCTION("""COMPUTED_VALUE"""),"US_327 USF CLUBE DOS DELEGADOS / VISCONDE DE GARRET")</f>
        <v>US_327 USF CLUBE DOS DELEGADOS / VISCONDE DE GARRET</v>
      </c>
      <c r="G722" s="11" t="str">
        <f>IFERROR(__xludf.DUMMYFUNCTION("""COMPUTED_VALUE"""),"US 339 USF ALTO DO CAPITAO	")</f>
        <v>US 339 USF ALTO DO CAPITAO	</v>
      </c>
      <c r="H722" s="27">
        <f>IFERROR(__xludf.DUMMYFUNCTION("""COMPUTED_VALUE"""),81986770904)</f>
        <v>81986770904</v>
      </c>
      <c r="I722" s="11"/>
      <c r="J722" s="11"/>
      <c r="K722" s="11"/>
      <c r="L722" s="11"/>
      <c r="M722" s="28" t="str">
        <f>IFERROR(__xludf.DUMMYFUNCTION("""COMPUTED_VALUE"""),"3355-6905")</f>
        <v>3355-6905</v>
      </c>
      <c r="N722" s="11" t="str">
        <f>IFERROR(__xludf.DUMMYFUNCTION("""COMPUTED_VALUE"""),"ROSIANE.ALCANTARA26@GMAIL.COM")</f>
        <v>ROSIANE.ALCANTARA26@GMAIL.COM</v>
      </c>
      <c r="O722" s="29">
        <f>IFERROR(__xludf.DUMMYFUNCTION("""COMPUTED_VALUE"""),63198401453)</f>
        <v>63198401453</v>
      </c>
      <c r="P722" s="30" t="str">
        <f>IFERROR(__xludf.DUMMYFUNCTION("""COMPUTED_VALUE"""),"700007270083503")</f>
        <v>700007270083503</v>
      </c>
      <c r="Q722" s="30" t="str">
        <f>IFERROR(__xludf.DUMMYFUNCTION("""COMPUTED_VALUE"""),"3445275")</f>
        <v>3445275</v>
      </c>
      <c r="R722" s="30" t="str">
        <f>IFERROR(__xludf.DUMMYFUNCTION("""COMPUTED_VALUE"""),"0000155438")</f>
        <v>0000155438</v>
      </c>
      <c r="S722" s="30" t="str">
        <f>IFERROR(__xludf.DUMMYFUNCTION("""COMPUTED_VALUE"""),"1")</f>
        <v>1</v>
      </c>
      <c r="T722" s="30" t="str">
        <f>IFERROR(__xludf.DUMMYFUNCTION("""COMPUTED_VALUE"""),"225142")</f>
        <v>225142</v>
      </c>
      <c r="U722" s="11">
        <f>IFERROR(__xludf.DUMMYFUNCTION("""COMPUTED_VALUE"""),2251)</f>
        <v>2251</v>
      </c>
      <c r="V722" s="11" t="str">
        <f>IFERROR(__xludf.DUMMYFUNCTION("""COMPUTED_VALUE"""),"SIM")</f>
        <v>SIM</v>
      </c>
      <c r="W722" s="11"/>
      <c r="X722" s="11"/>
      <c r="Y722" s="11"/>
      <c r="Z722" s="11"/>
    </row>
    <row r="723" customHeight="1" spans="1:26">
      <c r="A723" s="11" t="str">
        <f>IFERROR(__xludf.DUMMYFUNCTION("""COMPUTED_VALUE"""),"ADALGISA VALERIA SIQUEIRA SIMOES")</f>
        <v>ADALGISA VALERIA SIQUEIRA SIMOES</v>
      </c>
      <c r="B723" s="11"/>
      <c r="C723" s="11"/>
      <c r="D723" s="11" t="str">
        <f>IFERROR(__xludf.DUMMYFUNCTION("""COMPUTED_VALUE"""),"Enfermeira eSF")</f>
        <v>Enfermeira eSF</v>
      </c>
      <c r="E723" s="11" t="str">
        <f>IFERROR(__xludf.DUMMYFUNCTION("""COMPUTED_VALUE"""),"II")</f>
        <v>II</v>
      </c>
      <c r="F723" s="11" t="str">
        <f>IFERROR(__xludf.DUMMYFUNCTION("""COMPUTED_VALUE"""),"US_328 USF ALTO DO MARACANA	")</f>
        <v>US_328 USF ALTO DO MARACANA	</v>
      </c>
      <c r="G723" s="11" t="str">
        <f>IFERROR(__xludf.DUMMYFUNCTION("""COMPUTED_VALUE"""),"US 328 USF ALTO DO MARACANA")</f>
        <v>US 328 USF ALTO DO MARACANA</v>
      </c>
      <c r="H723" s="27">
        <f>IFERROR(__xludf.DUMMYFUNCTION("""COMPUTED_VALUE"""),81999624777)</f>
        <v>81999624777</v>
      </c>
      <c r="I723" s="11"/>
      <c r="J723" s="11"/>
      <c r="K723" s="11"/>
      <c r="L723" s="11"/>
      <c r="M723" s="28" t="str">
        <f>IFERROR(__xludf.DUMMYFUNCTION("""COMPUTED_VALUE"""),"3355-6972")</f>
        <v>3355-6972</v>
      </c>
      <c r="N723" s="11" t="str">
        <f>IFERROR(__xludf.DUMMYFUNCTION("""COMPUTED_VALUE"""),"adalgisa.simoes@yahoo.com / adalgisasiqueirasimoes@hotmail.com")</f>
        <v>adalgisa.simoes@yahoo.com / adalgisasiqueirasimoes@hotmail.com</v>
      </c>
      <c r="O723" s="29">
        <f>IFERROR(__xludf.DUMMYFUNCTION("""COMPUTED_VALUE"""),88255034404)</f>
        <v>88255034404</v>
      </c>
      <c r="P723" s="30" t="str">
        <f>IFERROR(__xludf.DUMMYFUNCTION("""COMPUTED_VALUE"""),"204324842500002")</f>
        <v>204324842500002</v>
      </c>
      <c r="Q723" s="30" t="str">
        <f>IFERROR(__xludf.DUMMYFUNCTION("""COMPUTED_VALUE"""),"3567826")</f>
        <v>3567826</v>
      </c>
      <c r="R723" s="30" t="str">
        <f>IFERROR(__xludf.DUMMYFUNCTION("""COMPUTED_VALUE"""),"0000155594")</f>
        <v>0000155594</v>
      </c>
      <c r="S723" s="30" t="str">
        <f>IFERROR(__xludf.DUMMYFUNCTION("""COMPUTED_VALUE"""),"1")</f>
        <v>1</v>
      </c>
      <c r="T723" s="30" t="str">
        <f>IFERROR(__xludf.DUMMYFUNCTION("""COMPUTED_VALUE"""),"223565")</f>
        <v>223565</v>
      </c>
      <c r="U723" s="31" t="str">
        <f>IFERROR(__xludf.DUMMYFUNCTION("""COMPUTED_VALUE"""),"2235")</f>
        <v>2235</v>
      </c>
      <c r="V723" s="11"/>
      <c r="W723" s="11">
        <f>IFERROR(__xludf.DUMMYFUNCTION("""COMPUTED_VALUE"""),99624777)</f>
        <v>99624777</v>
      </c>
      <c r="X723" s="11"/>
      <c r="Y723" s="11">
        <f>IFERROR(__xludf.DUMMYFUNCTION("""COMPUTED_VALUE"""),88255034404)</f>
        <v>88255034404</v>
      </c>
      <c r="Z723" s="11"/>
    </row>
    <row r="724" customHeight="1" spans="1:26">
      <c r="A724" s="11" t="str">
        <f>IFERROR(__xludf.DUMMYFUNCTION("""COMPUTED_VALUE"""),"KARINA MARIA TORRES MONTEIRO")</f>
        <v>KARINA MARIA TORRES MONTEIRO</v>
      </c>
      <c r="B724" s="11"/>
      <c r="C724" s="11"/>
      <c r="D724" s="11" t="str">
        <f>IFERROR(__xludf.DUMMYFUNCTION("""COMPUTED_VALUE"""),"Médica eSF")</f>
        <v>Médica eSF</v>
      </c>
      <c r="E724" s="11" t="str">
        <f>IFERROR(__xludf.DUMMYFUNCTION("""COMPUTED_VALUE"""),"II")</f>
        <v>II</v>
      </c>
      <c r="F724" s="11" t="str">
        <f>IFERROR(__xludf.DUMMYFUNCTION("""COMPUTED_VALUE"""),"US_328 USF ALTO DO MARACANA	")</f>
        <v>US_328 USF ALTO DO MARACANA	</v>
      </c>
      <c r="G724" s="11" t="str">
        <f>IFERROR(__xludf.DUMMYFUNCTION("""COMPUTED_VALUE"""),"US 328 USF ALTO DO MARACANA")</f>
        <v>US 328 USF ALTO DO MARACANA</v>
      </c>
      <c r="H724" s="27">
        <f>IFERROR(__xludf.DUMMYFUNCTION("""COMPUTED_VALUE"""),81987446482)</f>
        <v>81987446482</v>
      </c>
      <c r="I724" s="11"/>
      <c r="J724" s="11"/>
      <c r="K724" s="11"/>
      <c r="L724" s="11"/>
      <c r="M724" s="28" t="str">
        <f>IFERROR(__xludf.DUMMYFUNCTION("""COMPUTED_VALUE"""),"3355-6972")</f>
        <v>3355-6972</v>
      </c>
      <c r="N724" s="11" t="str">
        <f>IFERROR(__xludf.DUMMYFUNCTION("""COMPUTED_VALUE"""),"karinamonteirotorres@yahoo.com.br")</f>
        <v>karinamonteirotorres@yahoo.com.br</v>
      </c>
      <c r="O724" s="29">
        <f>IFERROR(__xludf.DUMMYFUNCTION("""COMPUTED_VALUE"""),3250232475)</f>
        <v>3250232475</v>
      </c>
      <c r="P724" s="30" t="str">
        <f>IFERROR(__xludf.DUMMYFUNCTION("""COMPUTED_VALUE"""),"980016282834053")</f>
        <v>980016282834053</v>
      </c>
      <c r="Q724" s="30" t="str">
        <f>IFERROR(__xludf.DUMMYFUNCTION("""COMPUTED_VALUE"""),"3567826")</f>
        <v>3567826</v>
      </c>
      <c r="R724" s="30" t="str">
        <f>IFERROR(__xludf.DUMMYFUNCTION("""COMPUTED_VALUE"""),"0000155594")</f>
        <v>0000155594</v>
      </c>
      <c r="S724" s="30" t="str">
        <f>IFERROR(__xludf.DUMMYFUNCTION("""COMPUTED_VALUE"""),"1")</f>
        <v>1</v>
      </c>
      <c r="T724" s="30" t="str">
        <f>IFERROR(__xludf.DUMMYFUNCTION("""COMPUTED_VALUE"""),"225142")</f>
        <v>225142</v>
      </c>
      <c r="U724" s="11">
        <f>IFERROR(__xludf.DUMMYFUNCTION("""COMPUTED_VALUE"""),2251)</f>
        <v>2251</v>
      </c>
      <c r="V724" s="11"/>
      <c r="W724" s="11"/>
      <c r="X724" s="11">
        <f>IFERROR(__xludf.DUMMYFUNCTION("""COMPUTED_VALUE"""),8187446482)</f>
        <v>8187446482</v>
      </c>
      <c r="Y724" s="11">
        <f>IFERROR(__xludf.DUMMYFUNCTION("""COMPUTED_VALUE"""),8132417937)</f>
        <v>8132417937</v>
      </c>
      <c r="Z724" s="11">
        <f>IFERROR(__xludf.DUMMYFUNCTION("""COMPUTED_VALUE"""),3250232475)</f>
        <v>3250232475</v>
      </c>
    </row>
    <row r="725" customHeight="1" spans="1:26">
      <c r="A725" s="11" t="str">
        <f>IFERROR(__xludf.DUMMYFUNCTION("""COMPUTED_VALUE"""),"RODRIGO DINIZ DE SA")</f>
        <v>RODRIGO DINIZ DE SA</v>
      </c>
      <c r="B725" s="11"/>
      <c r="C725" s="11"/>
      <c r="D725" s="11" t="str">
        <f>IFERROR(__xludf.DUMMYFUNCTION("""COMPUTED_VALUE"""),"Médico eSF")</f>
        <v>Médico eSF</v>
      </c>
      <c r="E725" s="11" t="str">
        <f>IFERROR(__xludf.DUMMYFUNCTION("""COMPUTED_VALUE"""),"II")</f>
        <v>II</v>
      </c>
      <c r="F725" s="11" t="str">
        <f>IFERROR(__xludf.DUMMYFUNCTION("""COMPUTED_VALUE"""),"US_339 USF ALTO DO CAPITAO	")</f>
        <v>US_339 USF ALTO DO CAPITAO	</v>
      </c>
      <c r="G725" s="11" t="str">
        <f>IFERROR(__xludf.DUMMYFUNCTION("""COMPUTED_VALUE"""),"US 339 USF ALTO DO CAPITAO")</f>
        <v>US 339 USF ALTO DO CAPITAO</v>
      </c>
      <c r="H725" s="27">
        <f>IFERROR(__xludf.DUMMYFUNCTION("""COMPUTED_VALUE"""),81995641954)</f>
        <v>81995641954</v>
      </c>
      <c r="I725" s="11"/>
      <c r="J725" s="11"/>
      <c r="K725" s="11"/>
      <c r="L725" s="11"/>
      <c r="M725" s="28" t="str">
        <f>IFERROR(__xludf.DUMMYFUNCTION("""COMPUTED_VALUE"""),"3355-6922")</f>
        <v>3355-6922</v>
      </c>
      <c r="N725" s="11" t="str">
        <f>IFERROR(__xludf.DUMMYFUNCTION("""COMPUTED_VALUE"""),"galaxiaindependente@gmail.com")</f>
        <v>galaxiaindependente@gmail.com</v>
      </c>
      <c r="O725" s="29">
        <f>IFERROR(__xludf.DUMMYFUNCTION("""COMPUTED_VALUE"""),5605217402)</f>
        <v>5605217402</v>
      </c>
      <c r="P725" s="30" t="str">
        <f>IFERROR(__xludf.DUMMYFUNCTION("""COMPUTED_VALUE"""),"980016296052877")</f>
        <v>980016296052877</v>
      </c>
      <c r="Q725" s="30" t="str">
        <f>IFERROR(__xludf.DUMMYFUNCTION("""COMPUTED_VALUE"""),"5356881")</f>
        <v>5356881</v>
      </c>
      <c r="R725" s="30" t="str">
        <f>IFERROR(__xludf.DUMMYFUNCTION("""COMPUTED_VALUE"""),"0000155837")</f>
        <v>0000155837</v>
      </c>
      <c r="S725" s="30" t="str">
        <f>IFERROR(__xludf.DUMMYFUNCTION("""COMPUTED_VALUE"""),"1")</f>
        <v>1</v>
      </c>
      <c r="T725" s="30" t="str">
        <f>IFERROR(__xludf.DUMMYFUNCTION("""COMPUTED_VALUE"""),"225142")</f>
        <v>225142</v>
      </c>
      <c r="U725" s="11">
        <f>IFERROR(__xludf.DUMMYFUNCTION("""COMPUTED_VALUE"""),2251)</f>
        <v>2251</v>
      </c>
      <c r="V725" s="11"/>
      <c r="W725" s="30" t="str">
        <f>IFERROR(__xludf.DUMMYFUNCTION("""COMPUTED_VALUE"""),"19/03/1986")</f>
        <v>19/03/1986</v>
      </c>
      <c r="X725" s="11" t="str">
        <f>IFERROR(__xludf.DUMMYFUNCTION("""COMPUTED_VALUE"""),"#N/A")</f>
        <v>#N/A</v>
      </c>
      <c r="Y725" s="11" t="str">
        <f>IFERROR(__xludf.DUMMYFUNCTION("""COMPUTED_VALUE"""),"#N/A")</f>
        <v>#N/A</v>
      </c>
      <c r="Z725" s="11" t="str">
        <f>IFERROR(__xludf.DUMMYFUNCTION("""COMPUTED_VALUE"""),"#N/A")</f>
        <v>#N/A</v>
      </c>
    </row>
    <row r="726" customHeight="1" spans="1:26">
      <c r="A726" s="11" t="str">
        <f>IFERROR(__xludf.DUMMYFUNCTION("""COMPUTED_VALUE"""),"BRUNO RODRIGO DE SA MARCOLINO")</f>
        <v>BRUNO RODRIGO DE SA MARCOLINO</v>
      </c>
      <c r="B726" s="11"/>
      <c r="C726" s="11"/>
      <c r="D726" s="11" t="str">
        <f>IFERROR(__xludf.DUMMYFUNCTION("""COMPUTED_VALUE"""),"Médico eSF")</f>
        <v>Médico eSF</v>
      </c>
      <c r="E726" s="11" t="str">
        <f>IFERROR(__xludf.DUMMYFUNCTION("""COMPUTED_VALUE"""),"II")</f>
        <v>II</v>
      </c>
      <c r="F726" s="11" t="str">
        <f>IFERROR(__xludf.DUMMYFUNCTION("""COMPUTED_VALUE"""),"US_403 USF UPINHA DIA CHIE")</f>
        <v>US_403 USF UPINHA DIA CHIE</v>
      </c>
      <c r="G726" s="11" t="str">
        <f>IFERROR(__xludf.DUMMYFUNCTION("""COMPUTED_VALUE"""),"US 395 USF UPINHA 24H DR FERNANDA WANDERLEY")</f>
        <v>US 395 USF UPINHA 24H DR FERNANDA WANDERLEY</v>
      </c>
      <c r="H726" s="27">
        <f>IFERROR(__xludf.DUMMYFUNCTION("""COMPUTED_VALUE"""),81982023054)</f>
        <v>81982023054</v>
      </c>
      <c r="I726" s="27">
        <f>IFERROR(__xludf.DUMMYFUNCTION("""COMPUTED_VALUE"""),81981555844)</f>
        <v>81981555844</v>
      </c>
      <c r="J726" s="11"/>
      <c r="K726" s="11"/>
      <c r="L726" s="11"/>
      <c r="M726" s="11"/>
      <c r="N726" s="11" t="str">
        <f>IFERROR(__xludf.DUMMYFUNCTION("""COMPUTED_VALUE"""),"brunorodrigo.med@hotmail.com")</f>
        <v>brunorodrigo.med@hotmail.com</v>
      </c>
      <c r="O726" s="29">
        <f>IFERROR(__xludf.DUMMYFUNCTION("""COMPUTED_VALUE"""),7254313422)</f>
        <v>7254313422</v>
      </c>
      <c r="P726" s="30" t="str">
        <f>IFERROR(__xludf.DUMMYFUNCTION("""COMPUTED_VALUE"""),"700005104438400")</f>
        <v>700005104438400</v>
      </c>
      <c r="Q726" s="30" t="str">
        <f>IFERROR(__xludf.DUMMYFUNCTION("""COMPUTED_VALUE"""),"7524501")</f>
        <v>7524501</v>
      </c>
      <c r="R726" s="30" t="str">
        <f>IFERROR(__xludf.DUMMYFUNCTION("""COMPUTED_VALUE"""),"0001554891")</f>
        <v>0001554891</v>
      </c>
      <c r="S726" s="30" t="str">
        <f>IFERROR(__xludf.DUMMYFUNCTION("""COMPUTED_VALUE"""),"3")</f>
        <v>3</v>
      </c>
      <c r="T726" s="30" t="str">
        <f>IFERROR(__xludf.DUMMYFUNCTION("""COMPUTED_VALUE"""),"225142")</f>
        <v>225142</v>
      </c>
      <c r="U726" s="11">
        <f>IFERROR(__xludf.DUMMYFUNCTION("""COMPUTED_VALUE"""),2251)</f>
        <v>2251</v>
      </c>
      <c r="V726" s="11"/>
      <c r="W726" s="11"/>
      <c r="X726" s="11"/>
      <c r="Y726" s="11"/>
      <c r="Z726" s="11"/>
    </row>
    <row r="727" customHeight="1" spans="1:26">
      <c r="A727" s="11" t="str">
        <f>IFERROR(__xludf.DUMMYFUNCTION("""COMPUTED_VALUE"""),"DEBORAH DAYSE DE OLIVEIRA")</f>
        <v>DEBORAH DAYSE DE OLIVEIRA</v>
      </c>
      <c r="B727" s="11"/>
      <c r="C727" s="11"/>
      <c r="D727" s="11" t="str">
        <f>IFERROR(__xludf.DUMMYFUNCTION("""COMPUTED_VALUE"""),"Médica Clínica")</f>
        <v>Médica Clínica</v>
      </c>
      <c r="E727" s="11" t="str">
        <f>IFERROR(__xludf.DUMMYFUNCTION("""COMPUTED_VALUE"""),"II")</f>
        <v>II</v>
      </c>
      <c r="F727" s="11" t="str">
        <f>IFERROR(__xludf.DUMMYFUNCTION("""COMPUTED_VALUE"""),"US_395 USF UPINHA 24H DR FERNANDA WANDERLEY")</f>
        <v>US_395 USF UPINHA 24H DR FERNANDA WANDERLEY</v>
      </c>
      <c r="G727" s="11" t="str">
        <f>IFERROR(__xludf.DUMMYFUNCTION("""COMPUTED_VALUE"""),"US 395 USF UPINHA 24H DR FERNANDA WANDERLEY")</f>
        <v>US 395 USF UPINHA 24H DR FERNANDA WANDERLEY</v>
      </c>
      <c r="H727" s="27">
        <f>IFERROR(__xludf.DUMMYFUNCTION("""COMPUTED_VALUE"""),81982259310)</f>
        <v>81982259310</v>
      </c>
      <c r="I727" s="11"/>
      <c r="J727" s="11"/>
      <c r="K727" s="11"/>
      <c r="L727" s="11"/>
      <c r="M727" s="11"/>
      <c r="N727" s="11" t="str">
        <f>IFERROR(__xludf.DUMMYFUNCTION("""COMPUTED_VALUE"""),"debyeabima@gmail.com / debyeabima@gmail.com")</f>
        <v>debyeabima@gmail.com / debyeabima@gmail.com</v>
      </c>
      <c r="O727" s="29">
        <f>IFERROR(__xludf.DUMMYFUNCTION("""COMPUTED_VALUE"""),4409919784)</f>
        <v>4409919784</v>
      </c>
      <c r="P727" s="30" t="str">
        <f>IFERROR(__xludf.DUMMYFUNCTION("""COMPUTED_VALUE"""),"190085760850018")</f>
        <v>190085760850018</v>
      </c>
      <c r="Q727" s="30" t="str">
        <f>IFERROR(__xludf.DUMMYFUNCTION("""COMPUTED_VALUE"""),"7524501")</f>
        <v>7524501</v>
      </c>
      <c r="R727" s="11"/>
      <c r="S727" s="30" t="str">
        <f>IFERROR(__xludf.DUMMYFUNCTION("""COMPUTED_VALUE"""),"1")</f>
        <v>1</v>
      </c>
      <c r="T727" s="30" t="str">
        <f>IFERROR(__xludf.DUMMYFUNCTION("""COMPUTED_VALUE"""),"225125")</f>
        <v>225125</v>
      </c>
      <c r="U727" s="11">
        <f>IFERROR(__xludf.DUMMYFUNCTION("""COMPUTED_VALUE"""),2251)</f>
        <v>2251</v>
      </c>
      <c r="V727" s="11"/>
      <c r="W727" s="11"/>
      <c r="X727" s="11"/>
      <c r="Y727" s="11"/>
      <c r="Z727" s="11"/>
    </row>
    <row r="728" customHeight="1" spans="1:26">
      <c r="A728" s="11" t="str">
        <f>IFERROR(__xludf.DUMMYFUNCTION("""COMPUTED_VALUE"""),"FABIANO BARBOSA MENDES LEITE")</f>
        <v>FABIANO BARBOSA MENDES LEITE</v>
      </c>
      <c r="B728" s="11"/>
      <c r="C728" s="11"/>
      <c r="D728" s="11" t="str">
        <f>IFERROR(__xludf.DUMMYFUNCTION("""COMPUTED_VALUE"""),"Enfermeiro eSF")</f>
        <v>Enfermeiro eSF</v>
      </c>
      <c r="E728" s="11" t="str">
        <f>IFERROR(__xludf.DUMMYFUNCTION("""COMPUTED_VALUE"""),"II")</f>
        <v>II</v>
      </c>
      <c r="F728" s="11" t="str">
        <f>IFERROR(__xludf.DUMMYFUNCTION("""COMPUTED_VALUE"""),"US_395 USF UPINHA 24H DR FERNANDA WANDERLEY")</f>
        <v>US_395 USF UPINHA 24H DR FERNANDA WANDERLEY</v>
      </c>
      <c r="G728" s="11" t="str">
        <f>IFERROR(__xludf.DUMMYFUNCTION("""COMPUTED_VALUE"""),"US 395 USF UPINHA 24H DR FERNANDA WANDERLEY")</f>
        <v>US 395 USF UPINHA 24H DR FERNANDA WANDERLEY</v>
      </c>
      <c r="H728" s="27">
        <f>IFERROR(__xludf.DUMMYFUNCTION("""COMPUTED_VALUE"""),81991456028)</f>
        <v>81991456028</v>
      </c>
      <c r="I728" s="11"/>
      <c r="J728" s="11"/>
      <c r="K728" s="11"/>
      <c r="L728" s="11"/>
      <c r="M728" s="11"/>
      <c r="N728" s="11" t="str">
        <f>IFERROR(__xludf.DUMMYFUNCTION("""COMPUTED_VALUE"""),"fbmleitetub@yahoo.com.br")</f>
        <v>fbmleitetub@yahoo.com.br</v>
      </c>
      <c r="O728" s="29">
        <f>IFERROR(__xludf.DUMMYFUNCTION("""COMPUTED_VALUE"""),71633251420)</f>
        <v>71633251420</v>
      </c>
      <c r="P728" s="30" t="str">
        <f>IFERROR(__xludf.DUMMYFUNCTION("""COMPUTED_VALUE"""),"203102762110005")</f>
        <v>203102762110005</v>
      </c>
      <c r="Q728" s="30" t="str">
        <f>IFERROR(__xludf.DUMMYFUNCTION("""COMPUTED_VALUE"""),"7524501")</f>
        <v>7524501</v>
      </c>
      <c r="R728" s="30" t="str">
        <f>IFERROR(__xludf.DUMMYFUNCTION("""COMPUTED_VALUE"""),"0000152544")</f>
        <v>0000152544</v>
      </c>
      <c r="S728" s="30" t="str">
        <f>IFERROR(__xludf.DUMMYFUNCTION("""COMPUTED_VALUE"""),"1")</f>
        <v>1</v>
      </c>
      <c r="T728" s="30" t="str">
        <f>IFERROR(__xludf.DUMMYFUNCTION("""COMPUTED_VALUE"""),"223565")</f>
        <v>223565</v>
      </c>
      <c r="U728" s="31" t="str">
        <f>IFERROR(__xludf.DUMMYFUNCTION("""COMPUTED_VALUE"""),"2235")</f>
        <v>2235</v>
      </c>
      <c r="V728" s="11"/>
      <c r="W728" s="11"/>
      <c r="X728" s="11"/>
      <c r="Y728" s="11"/>
      <c r="Z728" s="11"/>
    </row>
    <row r="729" customHeight="1" spans="1:26">
      <c r="A729" s="11" t="str">
        <f>IFERROR(__xludf.DUMMYFUNCTION("""COMPUTED_VALUE"""),"JAERCIA CARDOSO LACERDA")</f>
        <v>JAERCIA CARDOSO LACERDA</v>
      </c>
      <c r="B729" s="11"/>
      <c r="C729" s="11"/>
      <c r="D729" s="11" t="str">
        <f>IFERROR(__xludf.DUMMYFUNCTION("""COMPUTED_VALUE"""),"Enfermeira eSF")</f>
        <v>Enfermeira eSF</v>
      </c>
      <c r="E729" s="11" t="str">
        <f>IFERROR(__xludf.DUMMYFUNCTION("""COMPUTED_VALUE"""),"II")</f>
        <v>II</v>
      </c>
      <c r="F729" s="11" t="str">
        <f>IFERROR(__xludf.DUMMYFUNCTION("""COMPUTED_VALUE"""),"US_274 USF TIA REGINA/CORREGO DO DEODATO")</f>
        <v>US_274 USF TIA REGINA/CORREGO DO DEODATO</v>
      </c>
      <c r="G729" s="11" t="str">
        <f>IFERROR(__xludf.DUMMYFUNCTION("""COMPUTED_VALUE"""),"US 395 USF UPINHA 24H DR FERNANDA WANDERLEY")</f>
        <v>US 395 USF UPINHA 24H DR FERNANDA WANDERLEY</v>
      </c>
      <c r="H729" s="27">
        <f>IFERROR(__xludf.DUMMYFUNCTION("""COMPUTED_VALUE"""),81987937272)</f>
        <v>81987937272</v>
      </c>
      <c r="I729" s="11"/>
      <c r="J729" s="11"/>
      <c r="K729" s="11"/>
      <c r="L729" s="11"/>
      <c r="M729" s="11"/>
      <c r="N729" s="11" t="str">
        <f>IFERROR(__xludf.DUMMYFUNCTION("""COMPUTED_VALUE"""),"jaercia.cardoso@hotmail.com")</f>
        <v>jaercia.cardoso@hotmail.com</v>
      </c>
      <c r="O729" s="29">
        <f>IFERROR(__xludf.DUMMYFUNCTION("""COMPUTED_VALUE"""),83186204453)</f>
        <v>83186204453</v>
      </c>
      <c r="P729" s="30" t="str">
        <f>IFERROR(__xludf.DUMMYFUNCTION("""COMPUTED_VALUE"""),"204324271090002")</f>
        <v>204324271090002</v>
      </c>
      <c r="Q729" s="30" t="str">
        <f>IFERROR(__xludf.DUMMYFUNCTION("""COMPUTED_VALUE"""),"7524501")</f>
        <v>7524501</v>
      </c>
      <c r="R729" s="30" t="str">
        <f>IFERROR(__xludf.DUMMYFUNCTION("""COMPUTED_VALUE"""),"0001557769")</f>
        <v>0001557769</v>
      </c>
      <c r="S729" s="30" t="str">
        <f>IFERROR(__xludf.DUMMYFUNCTION("""COMPUTED_VALUE"""),"1")</f>
        <v>1</v>
      </c>
      <c r="T729" s="30" t="str">
        <f>IFERROR(__xludf.DUMMYFUNCTION("""COMPUTED_VALUE"""),"223565")</f>
        <v>223565</v>
      </c>
      <c r="U729" s="31" t="str">
        <f>IFERROR(__xludf.DUMMYFUNCTION("""COMPUTED_VALUE"""),"2235")</f>
        <v>2235</v>
      </c>
      <c r="V729" s="11"/>
      <c r="W729" s="11" t="str">
        <f>IFERROR(__xludf.DUMMYFUNCTION("""COMPUTED_VALUE"""),"81-34264064")</f>
        <v>81-34264064</v>
      </c>
      <c r="X729" s="11" t="str">
        <f>IFERROR(__xludf.DUMMYFUNCTION("""COMPUTED_VALUE"""),"81-87937272")</f>
        <v>81-87937272</v>
      </c>
      <c r="Y729" s="11">
        <f>IFERROR(__xludf.DUMMYFUNCTION("""COMPUTED_VALUE"""),83186204453)</f>
        <v>83186204453</v>
      </c>
      <c r="Z729" s="11"/>
    </row>
    <row r="730" customHeight="1" spans="1:26">
      <c r="A730" s="11" t="str">
        <f>IFERROR(__xludf.DUMMYFUNCTION("""COMPUTED_VALUE"""),"MARIA ESTELA PEDROSO DE BARROS")</f>
        <v>MARIA ESTELA PEDROSO DE BARROS</v>
      </c>
      <c r="B730" s="11"/>
      <c r="C730" s="11"/>
      <c r="D730" s="11" t="str">
        <f>IFERROR(__xludf.DUMMYFUNCTION("""COMPUTED_VALUE"""),"Enfermeira eSF")</f>
        <v>Enfermeira eSF</v>
      </c>
      <c r="E730" s="11" t="str">
        <f>IFERROR(__xludf.DUMMYFUNCTION("""COMPUTED_VALUE"""),"II")</f>
        <v>II</v>
      </c>
      <c r="F730" s="11" t="str">
        <f>IFERROR(__xludf.DUMMYFUNCTION("""COMPUTED_VALUE"""),"US_395 USF UPINHA 24H DR FERNANDA WANDERLEY")</f>
        <v>US_395 USF UPINHA 24H DR FERNANDA WANDERLEY</v>
      </c>
      <c r="G730" s="11" t="str">
        <f>IFERROR(__xludf.DUMMYFUNCTION("""COMPUTED_VALUE"""),"US 395 USF UPINHA 24H DR FERNANDA WANDERLEY")</f>
        <v>US 395 USF UPINHA 24H DR FERNANDA WANDERLEY</v>
      </c>
      <c r="H730" s="27">
        <f>IFERROR(__xludf.DUMMYFUNCTION("""COMPUTED_VALUE"""),81998274682)</f>
        <v>81998274682</v>
      </c>
      <c r="I730" s="27">
        <f>IFERROR(__xludf.DUMMYFUNCTION("""COMPUTED_VALUE"""),81984737272)</f>
        <v>81984737272</v>
      </c>
      <c r="J730" s="11"/>
      <c r="K730" s="11"/>
      <c r="L730" s="11"/>
      <c r="M730" s="11"/>
      <c r="N730" s="11" t="str">
        <f>IFERROR(__xludf.DUMMYFUNCTION("""COMPUTED_VALUE"""),"mariaestelapedroso@hotmail.com / mariaestelapedroso@hotmail.com")</f>
        <v>mariaestelapedroso@hotmail.com / mariaestelapedroso@hotmail.com</v>
      </c>
      <c r="O730" s="29">
        <f>IFERROR(__xludf.DUMMYFUNCTION("""COMPUTED_VALUE"""),65354990491)</f>
        <v>65354990491</v>
      </c>
      <c r="P730" s="30" t="str">
        <f>IFERROR(__xludf.DUMMYFUNCTION("""COMPUTED_VALUE"""),"206755400590018")</f>
        <v>206755400590018</v>
      </c>
      <c r="Q730" s="30" t="str">
        <f>IFERROR(__xludf.DUMMYFUNCTION("""COMPUTED_VALUE"""),"7524501")</f>
        <v>7524501</v>
      </c>
      <c r="R730" s="30" t="str">
        <f>IFERROR(__xludf.DUMMYFUNCTION("""COMPUTED_VALUE"""),"0001554891")</f>
        <v>0001554891</v>
      </c>
      <c r="S730" s="30" t="str">
        <f>IFERROR(__xludf.DUMMYFUNCTION("""COMPUTED_VALUE"""),"1")</f>
        <v>1</v>
      </c>
      <c r="T730" s="30" t="str">
        <f>IFERROR(__xludf.DUMMYFUNCTION("""COMPUTED_VALUE"""),"223565")</f>
        <v>223565</v>
      </c>
      <c r="U730" s="31" t="str">
        <f>IFERROR(__xludf.DUMMYFUNCTION("""COMPUTED_VALUE"""),"2235")</f>
        <v>2235</v>
      </c>
      <c r="V730" s="11"/>
      <c r="W730" s="11">
        <f>IFERROR(__xludf.DUMMYFUNCTION("""COMPUTED_VALUE"""),8191925027)</f>
        <v>8191925027</v>
      </c>
      <c r="X730" s="11">
        <f>IFERROR(__xludf.DUMMYFUNCTION("""COMPUTED_VALUE"""),8184733146)</f>
        <v>8184733146</v>
      </c>
      <c r="Y730" s="11">
        <f>IFERROR(__xludf.DUMMYFUNCTION("""COMPUTED_VALUE"""),65354990491)</f>
        <v>65354990491</v>
      </c>
      <c r="Z730" s="11"/>
    </row>
    <row r="731" customHeight="1" spans="1:26">
      <c r="A731" s="11" t="str">
        <f>IFERROR(__xludf.DUMMYFUNCTION("""COMPUTED_VALUE"""),"CARLOS ANTONIO SILVA DE FARIAS")</f>
        <v>CARLOS ANTONIO SILVA DE FARIAS</v>
      </c>
      <c r="B731" s="11"/>
      <c r="C731" s="11"/>
      <c r="D731" s="11" t="str">
        <f>IFERROR(__xludf.DUMMYFUNCTION("""COMPUTED_VALUE"""),"Médico eSF")</f>
        <v>Médico eSF</v>
      </c>
      <c r="E731" s="11" t="str">
        <f>IFERROR(__xludf.DUMMYFUNCTION("""COMPUTED_VALUE"""),"II")</f>
        <v>II</v>
      </c>
      <c r="F731" s="11" t="str">
        <f>IFERROR(__xludf.DUMMYFUNCTION("""COMPUTED_VALUE"""),"US_401 USF UPINHA 24H GOVERNADOR EDUARDO CAMPOS")</f>
        <v>US_401 USF UPINHA 24H GOVERNADOR EDUARDO CAMPOS</v>
      </c>
      <c r="G731" s="11" t="str">
        <f>IFERROR(__xludf.DUMMYFUNCTION("""COMPUTED_VALUE"""),"US 401 USF UPINHA 24H GOVERNADOR EDUARDO CAMPOS")</f>
        <v>US 401 USF UPINHA 24H GOVERNADOR EDUARDO CAMPOS</v>
      </c>
      <c r="H731" s="27">
        <f>IFERROR(__xludf.DUMMYFUNCTION("""COMPUTED_VALUE"""),81983438074)</f>
        <v>81983438074</v>
      </c>
      <c r="I731" s="11"/>
      <c r="J731" s="11"/>
      <c r="K731" s="11"/>
      <c r="L731" s="11"/>
      <c r="M731" s="11"/>
      <c r="N731" s="11" t="str">
        <f>IFERROR(__xludf.DUMMYFUNCTION("""COMPUTED_VALUE"""),"carlosxyfarias@gmail.com")</f>
        <v>carlosxyfarias@gmail.com</v>
      </c>
      <c r="O731" s="29">
        <f>IFERROR(__xludf.DUMMYFUNCTION("""COMPUTED_VALUE"""),20654804400)</f>
        <v>20654804400</v>
      </c>
      <c r="P731" s="30" t="str">
        <f>IFERROR(__xludf.DUMMYFUNCTION("""COMPUTED_VALUE"""),"704505310840519")</f>
        <v>704505310840519</v>
      </c>
      <c r="Q731" s="30" t="str">
        <f>IFERROR(__xludf.DUMMYFUNCTION("""COMPUTED_VALUE"""),"7946651")</f>
        <v>7946651</v>
      </c>
      <c r="R731" s="30" t="str">
        <f>IFERROR(__xludf.DUMMYFUNCTION("""COMPUTED_VALUE"""),"0001601571")</f>
        <v>0001601571</v>
      </c>
      <c r="S731" s="30" t="str">
        <f>IFERROR(__xludf.DUMMYFUNCTION("""COMPUTED_VALUE"""),"1")</f>
        <v>1</v>
      </c>
      <c r="T731" s="30" t="str">
        <f>IFERROR(__xludf.DUMMYFUNCTION("""COMPUTED_VALUE"""),"225142")</f>
        <v>225142</v>
      </c>
      <c r="U731" s="11">
        <f>IFERROR(__xludf.DUMMYFUNCTION("""COMPUTED_VALUE"""),2251)</f>
        <v>2251</v>
      </c>
      <c r="V731" s="11"/>
      <c r="W731" s="11"/>
      <c r="X731" s="11" t="str">
        <f>IFERROR(__xludf.DUMMYFUNCTION("""COMPUTED_VALUE"""),"#N/A")</f>
        <v>#N/A</v>
      </c>
      <c r="Y731" s="11" t="str">
        <f>IFERROR(__xludf.DUMMYFUNCTION("""COMPUTED_VALUE"""),"#N/A")</f>
        <v>#N/A</v>
      </c>
      <c r="Z731" s="11" t="str">
        <f>IFERROR(__xludf.DUMMYFUNCTION("""COMPUTED_VALUE"""),"#N/A")</f>
        <v>#N/A</v>
      </c>
    </row>
    <row r="732" customHeight="1" spans="1:26">
      <c r="A732" s="11" t="str">
        <f>IFERROR(__xludf.DUMMYFUNCTION("""COMPUTED_VALUE"""),"DIANA BARBOSA L DOS SANTOS")</f>
        <v>DIANA BARBOSA L DOS SANTOS</v>
      </c>
      <c r="B732" s="11"/>
      <c r="C732" s="11"/>
      <c r="D732" s="11" t="str">
        <f>IFERROR(__xludf.DUMMYFUNCTION("""COMPUTED_VALUE"""),"Dentista")</f>
        <v>Dentista</v>
      </c>
      <c r="E732" s="11" t="str">
        <f>IFERROR(__xludf.DUMMYFUNCTION("""COMPUTED_VALUE"""),"II")</f>
        <v>II</v>
      </c>
      <c r="F732" s="11" t="str">
        <f>IFERROR(__xludf.DUMMYFUNCTION("""COMPUTED_VALUE"""),"US_401 USF UPINHA 24H GOVERNADOR EDUARDO CAMPOS")</f>
        <v>US_401 USF UPINHA 24H GOVERNADOR EDUARDO CAMPOS</v>
      </c>
      <c r="G732" s="11" t="str">
        <f>IFERROR(__xludf.DUMMYFUNCTION("""COMPUTED_VALUE"""),"US 401 USF UPINHA 24H GOVERNADOR EDUARDO CAMPOS")</f>
        <v>US 401 USF UPINHA 24H GOVERNADOR EDUARDO CAMPOS</v>
      </c>
      <c r="H732" s="27">
        <f>IFERROR(__xludf.DUMMYFUNCTION("""COMPUTED_VALUE"""),81988243613)</f>
        <v>81988243613</v>
      </c>
      <c r="I732" s="11"/>
      <c r="J732" s="11"/>
      <c r="K732" s="11"/>
      <c r="L732" s="11"/>
      <c r="M732" s="11"/>
      <c r="N732" s="11" t="str">
        <f>IFERROR(__xludf.DUMMYFUNCTION("""COMPUTED_VALUE"""),"dianadbls@yahoo.com.br")</f>
        <v>dianadbls@yahoo.com.br</v>
      </c>
      <c r="O732" s="29">
        <f>IFERROR(__xludf.DUMMYFUNCTION("""COMPUTED_VALUE"""),5544107459)</f>
        <v>5544107459</v>
      </c>
      <c r="P732" s="30" t="str">
        <f>IFERROR(__xludf.DUMMYFUNCTION("""COMPUTED_VALUE"""),"980016284860728")</f>
        <v>980016284860728</v>
      </c>
      <c r="Q732" s="30" t="str">
        <f>IFERROR(__xludf.DUMMYFUNCTION("""COMPUTED_VALUE"""),"7946651")</f>
        <v>7946651</v>
      </c>
      <c r="R732" s="30" t="str">
        <f>IFERROR(__xludf.DUMMYFUNCTION("""COMPUTED_VALUE"""),"0001601571")</f>
        <v>0001601571</v>
      </c>
      <c r="S732" s="30" t="str">
        <f>IFERROR(__xludf.DUMMYFUNCTION("""COMPUTED_VALUE"""),"1")</f>
        <v>1</v>
      </c>
      <c r="T732" s="30" t="str">
        <f>IFERROR(__xludf.DUMMYFUNCTION("""COMPUTED_VALUE"""),"223293")</f>
        <v>223293</v>
      </c>
      <c r="U732" s="31">
        <f>IFERROR(__xludf.DUMMYFUNCTION("""COMPUTED_VALUE"""),2232)</f>
        <v>2232</v>
      </c>
      <c r="V732" s="11"/>
      <c r="W732" s="11"/>
      <c r="X732" s="11"/>
      <c r="Y732" s="11"/>
      <c r="Z732" s="11"/>
    </row>
    <row r="733" customHeight="1" spans="1:26">
      <c r="A733" s="11" t="str">
        <f>IFERROR(__xludf.DUMMYFUNCTION("""COMPUTED_VALUE"""),"INES PATRICIA GUEDES SOUTO")</f>
        <v>INES PATRICIA GUEDES SOUTO</v>
      </c>
      <c r="B733" s="11"/>
      <c r="C733" s="11"/>
      <c r="D733" s="11" t="str">
        <f>IFERROR(__xludf.DUMMYFUNCTION("""COMPUTED_VALUE"""),"Dentista")</f>
        <v>Dentista</v>
      </c>
      <c r="E733" s="11" t="str">
        <f>IFERROR(__xludf.DUMMYFUNCTION("""COMPUTED_VALUE"""),"II")</f>
        <v>II</v>
      </c>
      <c r="F733" s="11" t="str">
        <f>IFERROR(__xludf.DUMMYFUNCTION("""COMPUTED_VALUE"""),"US_401 USF UPINHA 24H GOVERNADOR EDUARDO CAMPOS")</f>
        <v>US_401 USF UPINHA 24H GOVERNADOR EDUARDO CAMPOS</v>
      </c>
      <c r="G733" s="11" t="str">
        <f>IFERROR(__xludf.DUMMYFUNCTION("""COMPUTED_VALUE"""),"US 401 USF UPINHA 24H GOVERNADOR EDUARDO CAMPOS")</f>
        <v>US 401 USF UPINHA 24H GOVERNADOR EDUARDO CAMPOS</v>
      </c>
      <c r="H733" s="27">
        <f>IFERROR(__xludf.DUMMYFUNCTION("""COMPUTED_VALUE"""),81999640797)</f>
        <v>81999640797</v>
      </c>
      <c r="I733" s="11"/>
      <c r="J733" s="11"/>
      <c r="K733" s="11"/>
      <c r="L733" s="11"/>
      <c r="M733" s="11"/>
      <c r="N733" s="11" t="str">
        <f>IFERROR(__xludf.DUMMYFUNCTION("""COMPUTED_VALUE"""),"IP_GUEDES@HOTMAIL.COM")</f>
        <v>IP_GUEDES@HOTMAIL.COM</v>
      </c>
      <c r="O733" s="29">
        <f>IFERROR(__xludf.DUMMYFUNCTION("""COMPUTED_VALUE"""),97402524434)</f>
        <v>97402524434</v>
      </c>
      <c r="P733" s="30" t="str">
        <f>IFERROR(__xludf.DUMMYFUNCTION("""COMPUTED_VALUE"""),"980016004464215")</f>
        <v>980016004464215</v>
      </c>
      <c r="Q733" s="30" t="str">
        <f>IFERROR(__xludf.DUMMYFUNCTION("""COMPUTED_VALUE"""),"7946651")</f>
        <v>7946651</v>
      </c>
      <c r="R733" s="30" t="str">
        <f>IFERROR(__xludf.DUMMYFUNCTION("""COMPUTED_VALUE"""),"0001601849")</f>
        <v>0001601849</v>
      </c>
      <c r="S733" s="30" t="str">
        <f>IFERROR(__xludf.DUMMYFUNCTION("""COMPUTED_VALUE"""),"1")</f>
        <v>1</v>
      </c>
      <c r="T733" s="30" t="str">
        <f>IFERROR(__xludf.DUMMYFUNCTION("""COMPUTED_VALUE"""),"223293")</f>
        <v>223293</v>
      </c>
      <c r="U733" s="31">
        <f>IFERROR(__xludf.DUMMYFUNCTION("""COMPUTED_VALUE"""),2232)</f>
        <v>2232</v>
      </c>
      <c r="V733" s="11"/>
      <c r="W733" s="11"/>
      <c r="X733" s="11"/>
      <c r="Y733" s="11"/>
      <c r="Z733" s="11"/>
    </row>
    <row r="734" customHeight="1" spans="1:26">
      <c r="A734" s="11" t="str">
        <f>IFERROR(__xludf.DUMMYFUNCTION("""COMPUTED_VALUE"""),"JAQUELINE PAIVA DE ALMEIDA")</f>
        <v>JAQUELINE PAIVA DE ALMEIDA</v>
      </c>
      <c r="B734" s="11"/>
      <c r="C734" s="11"/>
      <c r="D734" s="11" t="str">
        <f>IFERROR(__xludf.DUMMYFUNCTION("""COMPUTED_VALUE"""),"Enfermeira eSF")</f>
        <v>Enfermeira eSF</v>
      </c>
      <c r="E734" s="11" t="str">
        <f>IFERROR(__xludf.DUMMYFUNCTION("""COMPUTED_VALUE"""),"II")</f>
        <v>II</v>
      </c>
      <c r="F734" s="11" t="str">
        <f>IFERROR(__xludf.DUMMYFUNCTION("""COMPUTED_VALUE"""),"US_401 USF UPINHA 24H GOVERNADOR EDUARDO CAMPOS")</f>
        <v>US_401 USF UPINHA 24H GOVERNADOR EDUARDO CAMPOS</v>
      </c>
      <c r="G734" s="11" t="str">
        <f>IFERROR(__xludf.DUMMYFUNCTION("""COMPUTED_VALUE"""),"US 401 USF UPINHA 24H GOVERNADOR EDUARDO CAMPOS")</f>
        <v>US 401 USF UPINHA 24H GOVERNADOR EDUARDO CAMPOS</v>
      </c>
      <c r="H734" s="27">
        <f>IFERROR(__xludf.DUMMYFUNCTION("""COMPUTED_VALUE"""),81985046050)</f>
        <v>81985046050</v>
      </c>
      <c r="I734" s="27">
        <f>IFERROR(__xludf.DUMMYFUNCTION("""COMPUTED_VALUE"""),81999731475)</f>
        <v>81999731475</v>
      </c>
      <c r="J734" s="11"/>
      <c r="K734" s="11"/>
      <c r="L734" s="11"/>
      <c r="M734" s="11"/>
      <c r="N734" s="11" t="str">
        <f>IFERROR(__xludf.DUMMYFUNCTION("""COMPUTED_VALUE"""),"jakeninja@ig.com.br / jaque123paiva@hotmail.com")</f>
        <v>jakeninja@ig.com.br / jaque123paiva@hotmail.com</v>
      </c>
      <c r="O734" s="29">
        <f>IFERROR(__xludf.DUMMYFUNCTION("""COMPUTED_VALUE"""),82009570472)</f>
        <v>82009570472</v>
      </c>
      <c r="P734" s="30" t="str">
        <f>IFERROR(__xludf.DUMMYFUNCTION("""COMPUTED_VALUE"""),"204324486530007")</f>
        <v>204324486530007</v>
      </c>
      <c r="Q734" s="30" t="str">
        <f>IFERROR(__xludf.DUMMYFUNCTION("""COMPUTED_VALUE"""),"7946651")</f>
        <v>7946651</v>
      </c>
      <c r="R734" s="30" t="str">
        <f>IFERROR(__xludf.DUMMYFUNCTION("""COMPUTED_VALUE"""),"0001601849")</f>
        <v>0001601849</v>
      </c>
      <c r="S734" s="30" t="str">
        <f>IFERROR(__xludf.DUMMYFUNCTION("""COMPUTED_VALUE"""),"1")</f>
        <v>1</v>
      </c>
      <c r="T734" s="30" t="str">
        <f>IFERROR(__xludf.DUMMYFUNCTION("""COMPUTED_VALUE"""),"223565")</f>
        <v>223565</v>
      </c>
      <c r="U734" s="31" t="str">
        <f>IFERROR(__xludf.DUMMYFUNCTION("""COMPUTED_VALUE"""),"2235")</f>
        <v>2235</v>
      </c>
      <c r="V734" s="11"/>
      <c r="W734" s="11">
        <f>IFERROR(__xludf.DUMMYFUNCTION("""COMPUTED_VALUE"""),85046050)</f>
        <v>85046050</v>
      </c>
      <c r="X734" s="11">
        <f>IFERROR(__xludf.DUMMYFUNCTION("""COMPUTED_VALUE"""),34381238)</f>
        <v>34381238</v>
      </c>
      <c r="Y734" s="11">
        <f>IFERROR(__xludf.DUMMYFUNCTION("""COMPUTED_VALUE"""),82009570472)</f>
        <v>82009570472</v>
      </c>
      <c r="Z734" s="11"/>
    </row>
    <row r="735" customHeight="1" spans="1:26">
      <c r="A735" s="11" t="str">
        <f>IFERROR(__xludf.DUMMYFUNCTION("""COMPUTED_VALUE"""),"EVA VALERIA FIGUEIREDO DA COSTA")</f>
        <v>EVA VALERIA FIGUEIREDO DA COSTA</v>
      </c>
      <c r="B735" s="11"/>
      <c r="C735" s="11"/>
      <c r="D735" s="11" t="str">
        <f>IFERROR(__xludf.DUMMYFUNCTION("""COMPUTED_VALUE"""),"Médica eSF")</f>
        <v>Médica eSF</v>
      </c>
      <c r="E735" s="11" t="str">
        <f>IFERROR(__xludf.DUMMYFUNCTION("""COMPUTED_VALUE"""),"II")</f>
        <v>II</v>
      </c>
      <c r="F735" s="11" t="str">
        <f>IFERROR(__xludf.DUMMYFUNCTION("""COMPUTED_VALUE"""),"US_403 USF UPINHA DIA CHIE")</f>
        <v>US_403 USF UPINHA DIA CHIE</v>
      </c>
      <c r="G735" s="11" t="str">
        <f>IFERROR(__xludf.DUMMYFUNCTION("""COMPUTED_VALUE"""),"US 403 USF UPINHA DIA CHIE")</f>
        <v>US 403 USF UPINHA DIA CHIE</v>
      </c>
      <c r="H735" s="11"/>
      <c r="I735" s="11"/>
      <c r="J735" s="11"/>
      <c r="K735" s="11"/>
      <c r="L735" s="11"/>
      <c r="M735" s="28" t="str">
        <f>IFERROR(__xludf.DUMMYFUNCTION("""COMPUTED_VALUE"""),"3355-6695")</f>
        <v>3355-6695</v>
      </c>
      <c r="N735" s="11"/>
      <c r="O735" s="29">
        <f>IFERROR(__xludf.DUMMYFUNCTION("""COMPUTED_VALUE"""),78228530404)</f>
        <v>78228530404</v>
      </c>
      <c r="P735" s="30" t="str">
        <f>IFERROR(__xludf.DUMMYFUNCTION("""COMPUTED_VALUE"""),"125089147990009")</f>
        <v>125089147990009</v>
      </c>
      <c r="Q735" s="30" t="str">
        <f>IFERROR(__xludf.DUMMYFUNCTION("""COMPUTED_VALUE"""),"7992955")</f>
        <v>7992955</v>
      </c>
      <c r="R735" s="30" t="str">
        <f>IFERROR(__xludf.DUMMYFUNCTION("""COMPUTED_VALUE"""),"0000153656")</f>
        <v>0000153656</v>
      </c>
      <c r="S735" s="30" t="str">
        <f>IFERROR(__xludf.DUMMYFUNCTION("""COMPUTED_VALUE"""),"1")</f>
        <v>1</v>
      </c>
      <c r="T735" s="30" t="str">
        <f>IFERROR(__xludf.DUMMYFUNCTION("""COMPUTED_VALUE"""),"225142")</f>
        <v>225142</v>
      </c>
      <c r="U735" s="11">
        <f>IFERROR(__xludf.DUMMYFUNCTION("""COMPUTED_VALUE"""),2251)</f>
        <v>2251</v>
      </c>
      <c r="V735" s="11"/>
      <c r="W735" s="11"/>
      <c r="X735" s="11"/>
      <c r="Y735" s="11"/>
      <c r="Z735" s="11"/>
    </row>
    <row r="736" customHeight="1" spans="1:26">
      <c r="A736" s="11" t="str">
        <f>IFERROR(__xludf.DUMMYFUNCTION("""COMPUTED_VALUE"""),"KATHYA MENDES DOS SANTOS")</f>
        <v>KATHYA MENDES DOS SANTOS</v>
      </c>
      <c r="B736" s="11"/>
      <c r="C736" s="11"/>
      <c r="D736" s="11" t="str">
        <f>IFERROR(__xludf.DUMMYFUNCTION("""COMPUTED_VALUE"""),"Enfermeira eSF")</f>
        <v>Enfermeira eSF</v>
      </c>
      <c r="E736" s="11" t="str">
        <f>IFERROR(__xludf.DUMMYFUNCTION("""COMPUTED_VALUE"""),"II")</f>
        <v>II</v>
      </c>
      <c r="F736" s="11" t="str">
        <f>IFERROR(__xludf.DUMMYFUNCTION("""COMPUTED_VALUE"""),"US_403 USF UPINHA DIA CHIE")</f>
        <v>US_403 USF UPINHA DIA CHIE</v>
      </c>
      <c r="G736" s="11" t="str">
        <f>IFERROR(__xludf.DUMMYFUNCTION("""COMPUTED_VALUE"""),"US 403 USF UPINHA DIA CHIE")</f>
        <v>US 403 USF UPINHA DIA CHIE</v>
      </c>
      <c r="H736" s="27">
        <f>IFERROR(__xludf.DUMMYFUNCTION("""COMPUTED_VALUE"""),81998625900)</f>
        <v>81998625900</v>
      </c>
      <c r="I736" s="11"/>
      <c r="J736" s="11"/>
      <c r="K736" s="11"/>
      <c r="L736" s="11"/>
      <c r="M736" s="28" t="str">
        <f>IFERROR(__xludf.DUMMYFUNCTION("""COMPUTED_VALUE"""),"3355-6695")</f>
        <v>3355-6695</v>
      </c>
      <c r="N736" s="11" t="str">
        <f>IFERROR(__xludf.DUMMYFUNCTION("""COMPUTED_VALUE"""),"tassobezerrchieii@hotmail.com")</f>
        <v>tassobezerrchieii@hotmail.com</v>
      </c>
      <c r="O736" s="29">
        <f>IFERROR(__xludf.DUMMYFUNCTION("""COMPUTED_VALUE"""),16959523249)</f>
        <v>16959523249</v>
      </c>
      <c r="P736" s="30" t="str">
        <f>IFERROR(__xludf.DUMMYFUNCTION("""COMPUTED_VALUE"""),"204324301180004")</f>
        <v>204324301180004</v>
      </c>
      <c r="Q736" s="30" t="str">
        <f>IFERROR(__xludf.DUMMYFUNCTION("""COMPUTED_VALUE"""),"7992955")</f>
        <v>7992955</v>
      </c>
      <c r="R736" s="30" t="str">
        <f>IFERROR(__xludf.DUMMYFUNCTION("""COMPUTED_VALUE"""),"0000154407")</f>
        <v>0000154407</v>
      </c>
      <c r="S736" s="30" t="str">
        <f>IFERROR(__xludf.DUMMYFUNCTION("""COMPUTED_VALUE"""),"1")</f>
        <v>1</v>
      </c>
      <c r="T736" s="30" t="str">
        <f>IFERROR(__xludf.DUMMYFUNCTION("""COMPUTED_VALUE"""),"223565")</f>
        <v>223565</v>
      </c>
      <c r="U736" s="31" t="str">
        <f>IFERROR(__xludf.DUMMYFUNCTION("""COMPUTED_VALUE"""),"2235")</f>
        <v>2235</v>
      </c>
      <c r="V736" s="11"/>
      <c r="W736" s="11">
        <f>IFERROR(__xludf.DUMMYFUNCTION("""COMPUTED_VALUE"""),8198625900)</f>
        <v>8198625900</v>
      </c>
      <c r="X736" s="11"/>
      <c r="Y736" s="11">
        <f>IFERROR(__xludf.DUMMYFUNCTION("""COMPUTED_VALUE"""),16959523249)</f>
        <v>16959523249</v>
      </c>
      <c r="Z736" s="11"/>
    </row>
    <row r="737" customHeight="1" spans="1:26">
      <c r="A737" s="11" t="str">
        <f>IFERROR(__xludf.DUMMYFUNCTION("""COMPUTED_VALUE"""),"ANA CAROLINA SOARES")</f>
        <v>ANA CAROLINA SOARES</v>
      </c>
      <c r="B737" s="11"/>
      <c r="C737" s="11"/>
      <c r="D737" s="11" t="str">
        <f>IFERROR(__xludf.DUMMYFUNCTION("""COMPUTED_VALUE"""),"Enfermeira")</f>
        <v>Enfermeira</v>
      </c>
      <c r="E737" s="11" t="str">
        <f>IFERROR(__xludf.DUMMYFUNCTION("""COMPUTED_VALUE"""),"III")</f>
        <v>III</v>
      </c>
      <c r="F737" s="11" t="str">
        <f>IFERROR(__xludf.DUMMYFUNCTION("""COMPUTED_VALUE"""),"US_103 CS PROF MARIO RAMOS")</f>
        <v>US_103 CS PROF MARIO RAMOS</v>
      </c>
      <c r="G737" s="11" t="str">
        <f>IFERROR(__xludf.DUMMYFUNCTION("""COMPUTED_VALUE"""),"US 103 CS PROF MARIO RAMOS")</f>
        <v>US 103 CS PROF MARIO RAMOS</v>
      </c>
      <c r="H737" s="27">
        <f>IFERROR(__xludf.DUMMYFUNCTION("""COMPUTED_VALUE"""),81988996039)</f>
        <v>81988996039</v>
      </c>
      <c r="I737" s="11"/>
      <c r="J737" s="11"/>
      <c r="K737" s="11"/>
      <c r="L737" s="11"/>
      <c r="M737" s="28" t="str">
        <f>IFERROR(__xludf.DUMMYFUNCTION("""COMPUTED_VALUE"""),"3355-4434")</f>
        <v>3355-4434</v>
      </c>
      <c r="N737" s="11" t="str">
        <f>IFERROR(__xludf.DUMMYFUNCTION("""COMPUTED_VALUE"""),"anakarolsoares@yahoo.com.br")</f>
        <v>anakarolsoares@yahoo.com.br</v>
      </c>
      <c r="O737" s="29">
        <f>IFERROR(__xludf.DUMMYFUNCTION("""COMPUTED_VALUE"""),3804091431)</f>
        <v>3804091431</v>
      </c>
      <c r="P737" s="30" t="str">
        <f>IFERROR(__xludf.DUMMYFUNCTION("""COMPUTED_VALUE"""),"980016287636845")</f>
        <v>980016287636845</v>
      </c>
      <c r="Q737" s="30" t="str">
        <f>IFERROR(__xludf.DUMMYFUNCTION("""COMPUTED_VALUE"""),"0001759")</f>
        <v>0001759</v>
      </c>
      <c r="R737" s="11"/>
      <c r="S737" s="30" t="str">
        <f>IFERROR(__xludf.DUMMYFUNCTION("""COMPUTED_VALUE"""),"1")</f>
        <v>1</v>
      </c>
      <c r="T737" s="30" t="str">
        <f>IFERROR(__xludf.DUMMYFUNCTION("""COMPUTED_VALUE"""),"223505")</f>
        <v>223505</v>
      </c>
      <c r="U737" s="31" t="str">
        <f>IFERROR(__xludf.DUMMYFUNCTION("""COMPUTED_VALUE"""),"2235")</f>
        <v>2235</v>
      </c>
      <c r="V737" s="11"/>
      <c r="W737" s="11"/>
      <c r="X737" s="11"/>
      <c r="Y737" s="11"/>
      <c r="Z737" s="11"/>
    </row>
    <row r="738" customHeight="1" spans="1:26">
      <c r="A738" s="11" t="str">
        <f>IFERROR(__xludf.DUMMYFUNCTION("""COMPUTED_VALUE"""),"ANA KARINA SILVA CAVALCANTI FONTILA")</f>
        <v>ANA KARINA SILVA CAVALCANTI FONTILA</v>
      </c>
      <c r="B738" s="11"/>
      <c r="C738" s="11"/>
      <c r="D738" s="11" t="str">
        <f>IFERROR(__xludf.DUMMYFUNCTION("""COMPUTED_VALUE"""),"Enfermeira eSF")</f>
        <v>Enfermeira eSF</v>
      </c>
      <c r="E738" s="11" t="str">
        <f>IFERROR(__xludf.DUMMYFUNCTION("""COMPUTED_VALUE"""),"III")</f>
        <v>III</v>
      </c>
      <c r="F738" s="11" t="str">
        <f>IFERROR(__xludf.DUMMYFUNCTION("""COMPUTED_VALUE"""),"US_103 CS PROF MARIO RAMOS")</f>
        <v>US_103 CS PROF MARIO RAMOS</v>
      </c>
      <c r="G738" s="11" t="str">
        <f>IFERROR(__xludf.DUMMYFUNCTION("""COMPUTED_VALUE"""),"US 103 CS PROF MARIO RAMOS")</f>
        <v>US 103 CS PROF MARIO RAMOS</v>
      </c>
      <c r="H738" s="27">
        <f>IFERROR(__xludf.DUMMYFUNCTION("""COMPUTED_VALUE"""),81982078804)</f>
        <v>81982078804</v>
      </c>
      <c r="I738" s="11"/>
      <c r="J738" s="11"/>
      <c r="K738" s="33">
        <f>IFERROR(__xludf.DUMMYFUNCTION("""COMPUTED_VALUE"""),45279)</f>
        <v>45279</v>
      </c>
      <c r="L738" s="11"/>
      <c r="M738" s="28" t="str">
        <f>IFERROR(__xludf.DUMMYFUNCTION("""COMPUTED_VALUE"""),"3355-4434")</f>
        <v>3355-4434</v>
      </c>
      <c r="N738" s="11" t="str">
        <f>IFERROR(__xludf.DUMMYFUNCTION("""COMPUTED_VALUE"""),"anakarina@yahoo.com / anakarinasc@yahoo.com.br")</f>
        <v>anakarina@yahoo.com / anakarinasc@yahoo.com.br</v>
      </c>
      <c r="O738" s="29">
        <f>IFERROR(__xludf.DUMMYFUNCTION("""COMPUTED_VALUE"""),798516496)</f>
        <v>798516496</v>
      </c>
      <c r="P738" s="30" t="str">
        <f>IFERROR(__xludf.DUMMYFUNCTION("""COMPUTED_VALUE"""),"204324777690000")</f>
        <v>204324777690000</v>
      </c>
      <c r="Q738" s="30" t="str">
        <f>IFERROR(__xludf.DUMMYFUNCTION("""COMPUTED_VALUE"""),"0001759")</f>
        <v>0001759</v>
      </c>
      <c r="R738" s="30" t="str">
        <f>IFERROR(__xludf.DUMMYFUNCTION("""COMPUTED_VALUE"""),"0001555332")</f>
        <v>0001555332</v>
      </c>
      <c r="S738" s="30" t="str">
        <f>IFERROR(__xludf.DUMMYFUNCTION("""COMPUTED_VALUE"""),"1")</f>
        <v>1</v>
      </c>
      <c r="T738" s="30" t="str">
        <f>IFERROR(__xludf.DUMMYFUNCTION("""COMPUTED_VALUE"""),"223565")</f>
        <v>223565</v>
      </c>
      <c r="U738" s="31" t="str">
        <f>IFERROR(__xludf.DUMMYFUNCTION("""COMPUTED_VALUE"""),"2235")</f>
        <v>2235</v>
      </c>
      <c r="V738" s="11"/>
      <c r="W738" s="11" t="str">
        <f>IFERROR(__xludf.DUMMYFUNCTION("""COMPUTED_VALUE"""),"#N/A")</f>
        <v>#N/A</v>
      </c>
      <c r="X738" s="11" t="str">
        <f>IFERROR(__xludf.DUMMYFUNCTION("""COMPUTED_VALUE"""),"#N/A")</f>
        <v>#N/A</v>
      </c>
      <c r="Y738" s="11" t="str">
        <f>IFERROR(__xludf.DUMMYFUNCTION("""COMPUTED_VALUE"""),"#N/A")</f>
        <v>#N/A</v>
      </c>
      <c r="Z738" s="11"/>
    </row>
    <row r="739" customHeight="1" spans="1:26">
      <c r="A739" s="11" t="str">
        <f>IFERROR(__xludf.DUMMYFUNCTION("""COMPUTED_VALUE"""),"BIANCA DE LUCENA FERREIRA LIMA BARROS")</f>
        <v>BIANCA DE LUCENA FERREIRA LIMA BARROS</v>
      </c>
      <c r="B739" s="11" t="str">
        <f>IFERROR(__xludf.DUMMYFUNCTION("""COMPUTED_VALUE"""),"Médica otorrino em outro serviço")</f>
        <v>Médica otorrino em outro serviço</v>
      </c>
      <c r="C739" s="11"/>
      <c r="D739" s="11" t="str">
        <f>IFERROR(__xludf.DUMMYFUNCTION("""COMPUTED_VALUE"""),"Médica Clínica")</f>
        <v>Médica Clínica</v>
      </c>
      <c r="E739" s="11" t="str">
        <f>IFERROR(__xludf.DUMMYFUNCTION("""COMPUTED_VALUE"""),"III")</f>
        <v>III</v>
      </c>
      <c r="F739" s="11" t="str">
        <f>IFERROR(__xludf.DUMMYFUNCTION("""COMPUTED_VALUE"""),"US_103 CS PROF MARIO RAMOS")</f>
        <v>US_103 CS PROF MARIO RAMOS</v>
      </c>
      <c r="G739" s="11" t="str">
        <f>IFERROR(__xludf.DUMMYFUNCTION("""COMPUTED_VALUE"""),"US 103 CS PROF MARIO RAMOS")</f>
        <v>US 103 CS PROF MARIO RAMOS</v>
      </c>
      <c r="H739" s="27">
        <f>IFERROR(__xludf.DUMMYFUNCTION("""COMPUTED_VALUE"""),81996399898)</f>
        <v>81996399898</v>
      </c>
      <c r="I739" s="11"/>
      <c r="J739" s="11"/>
      <c r="K739" s="11"/>
      <c r="L739" s="11"/>
      <c r="M739" s="28" t="str">
        <f>IFERROR(__xludf.DUMMYFUNCTION("""COMPUTED_VALUE"""),"3355-4434")</f>
        <v>3355-4434</v>
      </c>
      <c r="N739" s="11" t="str">
        <f>IFERROR(__xludf.DUMMYFUNCTION("""COMPUTED_VALUE"""),"BIANCALFLIMA@GMAIL.COM / bibi_lucena@hotmail.com")</f>
        <v>BIANCALFLIMA@GMAIL.COM / bibi_lucena@hotmail.com</v>
      </c>
      <c r="O739" s="29">
        <f>IFERROR(__xludf.DUMMYFUNCTION("""COMPUTED_VALUE"""),6172101447)</f>
        <v>6172101447</v>
      </c>
      <c r="P739" s="30" t="str">
        <f>IFERROR(__xludf.DUMMYFUNCTION("""COMPUTED_VALUE"""),"704606106166120")</f>
        <v>704606106166120</v>
      </c>
      <c r="Q739" s="30" t="str">
        <f>IFERROR(__xludf.DUMMYFUNCTION("""COMPUTED_VALUE"""),"0001759")</f>
        <v>0001759</v>
      </c>
      <c r="R739" s="11"/>
      <c r="S739" s="30" t="str">
        <f>IFERROR(__xludf.DUMMYFUNCTION("""COMPUTED_VALUE"""),"1")</f>
        <v>1</v>
      </c>
      <c r="T739" s="30" t="str">
        <f>IFERROR(__xludf.DUMMYFUNCTION("""COMPUTED_VALUE"""),"225125")</f>
        <v>225125</v>
      </c>
      <c r="U739" s="11">
        <f>IFERROR(__xludf.DUMMYFUNCTION("""COMPUTED_VALUE"""),2251)</f>
        <v>2251</v>
      </c>
      <c r="V739" s="11"/>
      <c r="W739" s="11"/>
      <c r="X739" s="11"/>
      <c r="Y739" s="11"/>
      <c r="Z739" s="11"/>
    </row>
    <row r="740" customHeight="1" spans="1:26">
      <c r="A740" s="11" t="str">
        <f>IFERROR(__xludf.DUMMYFUNCTION("""COMPUTED_VALUE"""),"JOAO CLIMACO MARTINS CINTRA")</f>
        <v>JOAO CLIMACO MARTINS CINTRA</v>
      </c>
      <c r="B740" s="11"/>
      <c r="C740" s="11"/>
      <c r="D740" s="11" t="str">
        <f>IFERROR(__xludf.DUMMYFUNCTION("""COMPUTED_VALUE"""),"Médico Clínico")</f>
        <v>Médico Clínico</v>
      </c>
      <c r="E740" s="11" t="str">
        <f>IFERROR(__xludf.DUMMYFUNCTION("""COMPUTED_VALUE"""),"III")</f>
        <v>III</v>
      </c>
      <c r="F740" s="11" t="str">
        <f>IFERROR(__xludf.DUMMYFUNCTION("""COMPUTED_VALUE"""),"US_103 CS PROF MARIO RAMOS")</f>
        <v>US_103 CS PROF MARIO RAMOS</v>
      </c>
      <c r="G740" s="11" t="str">
        <f>IFERROR(__xludf.DUMMYFUNCTION("""COMPUTED_VALUE"""),"US 103 CS PROF MARIO RAMOS")</f>
        <v>US 103 CS PROF MARIO RAMOS</v>
      </c>
      <c r="H740" s="11"/>
      <c r="I740" s="11"/>
      <c r="J740" s="11"/>
      <c r="K740" s="11"/>
      <c r="L740" s="11"/>
      <c r="M740" s="28" t="str">
        <f>IFERROR(__xludf.DUMMYFUNCTION("""COMPUTED_VALUE"""),"3355-4434")</f>
        <v>3355-4434</v>
      </c>
      <c r="N740" s="11" t="str">
        <f>IFERROR(__xludf.DUMMYFUNCTION("""COMPUTED_VALUE"""),"j.cintra@globo.com")</f>
        <v>j.cintra@globo.com</v>
      </c>
      <c r="O740" s="29">
        <f>IFERROR(__xludf.DUMMYFUNCTION("""COMPUTED_VALUE"""),3025395494)</f>
        <v>3025395494</v>
      </c>
      <c r="P740" s="30" t="str">
        <f>IFERROR(__xludf.DUMMYFUNCTION("""COMPUTED_VALUE"""),"980016280941596")</f>
        <v>980016280941596</v>
      </c>
      <c r="Q740" s="30" t="str">
        <f>IFERROR(__xludf.DUMMYFUNCTION("""COMPUTED_VALUE"""),"0001759")</f>
        <v>0001759</v>
      </c>
      <c r="R740" s="11"/>
      <c r="S740" s="30" t="str">
        <f>IFERROR(__xludf.DUMMYFUNCTION("""COMPUTED_VALUE"""),"1")</f>
        <v>1</v>
      </c>
      <c r="T740" s="30" t="str">
        <f>IFERROR(__xludf.DUMMYFUNCTION("""COMPUTED_VALUE"""),"225125")</f>
        <v>225125</v>
      </c>
      <c r="U740" s="11">
        <f>IFERROR(__xludf.DUMMYFUNCTION("""COMPUTED_VALUE"""),2251)</f>
        <v>2251</v>
      </c>
      <c r="V740" s="11"/>
      <c r="W740" s="30" t="str">
        <f>IFERROR(__xludf.DUMMYFUNCTION("""COMPUTED_VALUE"""),"25/02/1967")</f>
        <v>25/02/1967</v>
      </c>
      <c r="X740" s="11" t="str">
        <f>IFERROR(__xludf.DUMMYFUNCTION("""COMPUTED_VALUE"""),"#N/A")</f>
        <v>#N/A</v>
      </c>
      <c r="Y740" s="11" t="str">
        <f>IFERROR(__xludf.DUMMYFUNCTION("""COMPUTED_VALUE"""),"#N/A")</f>
        <v>#N/A</v>
      </c>
      <c r="Z740" s="11" t="str">
        <f>IFERROR(__xludf.DUMMYFUNCTION("""COMPUTED_VALUE"""),"#N/A")</f>
        <v>#N/A</v>
      </c>
    </row>
    <row r="741" customHeight="1" spans="1:26">
      <c r="A741" s="11" t="str">
        <f>IFERROR(__xludf.DUMMYFUNCTION("""COMPUTED_VALUE"""),"JOAO BATISTA PIRES TORRES")</f>
        <v>JOAO BATISTA PIRES TORRES</v>
      </c>
      <c r="B741" s="11" t="str">
        <f>IFERROR(__xludf.DUMMYFUNCTION("""COMPUTED_VALUE"""),"GINECO")</f>
        <v>GINECO</v>
      </c>
      <c r="C741" s="11"/>
      <c r="D741" s="11" t="str">
        <f>IFERROR(__xludf.DUMMYFUNCTION("""COMPUTED_VALUE"""),"Médico Ginecologista")</f>
        <v>Médico Ginecologista</v>
      </c>
      <c r="E741" s="11" t="str">
        <f>IFERROR(__xludf.DUMMYFUNCTION("""COMPUTED_VALUE"""),"III")</f>
        <v>III</v>
      </c>
      <c r="F741" s="11" t="str">
        <f>IFERROR(__xludf.DUMMYFUNCTION("""COMPUTED_VALUE"""),"US_165 MATERNIDADE BANDEIRA FILHO")</f>
        <v>US_165 MATERNIDADE BANDEIRA FILHO</v>
      </c>
      <c r="G741" s="11" t="str">
        <f>IFERROR(__xludf.DUMMYFUNCTION("""COMPUTED_VALUE"""),"US 109 CS FRANCISCO PIGNATARI")</f>
        <v>US 109 CS FRANCISCO PIGNATARI</v>
      </c>
      <c r="H741" s="27">
        <f>IFERROR(__xludf.DUMMYFUNCTION("""COMPUTED_VALUE"""),81999722110)</f>
        <v>81999722110</v>
      </c>
      <c r="I741" s="11"/>
      <c r="J741" s="11"/>
      <c r="K741" s="11"/>
      <c r="L741" s="11"/>
      <c r="M741" s="28" t="str">
        <f>IFERROR(__xludf.DUMMYFUNCTION("""COMPUTED_VALUE"""),"3355-4400")</f>
        <v>3355-4400</v>
      </c>
      <c r="N741" s="11" t="str">
        <f>IFERROR(__xludf.DUMMYFUNCTION("""COMPUTED_VALUE"""),"jbptorres@hotmail.com")</f>
        <v>jbptorres@hotmail.com</v>
      </c>
      <c r="O741" s="29">
        <f>IFERROR(__xludf.DUMMYFUNCTION("""COMPUTED_VALUE"""),47721138434)</f>
        <v>47721138434</v>
      </c>
      <c r="P741" s="30" t="str">
        <f>IFERROR(__xludf.DUMMYFUNCTION("""COMPUTED_VALUE"""),"980016000897699")</f>
        <v>980016000897699</v>
      </c>
      <c r="Q741" s="30" t="str">
        <f>IFERROR(__xludf.DUMMYFUNCTION("""COMPUTED_VALUE"""),"0001163")</f>
        <v>0001163</v>
      </c>
      <c r="R741" s="30" t="str">
        <f>IFERROR(__xludf.DUMMYFUNCTION("""COMPUTED_VALUE"""),"9000116302")</f>
        <v>9000116302</v>
      </c>
      <c r="S741" s="30" t="str">
        <f>IFERROR(__xludf.DUMMYFUNCTION("""COMPUTED_VALUE"""),"1")</f>
        <v>1</v>
      </c>
      <c r="T741" s="30" t="str">
        <f>IFERROR(__xludf.DUMMYFUNCTION("""COMPUTED_VALUE"""),"225250")</f>
        <v>225250</v>
      </c>
      <c r="U741" s="11">
        <f>IFERROR(__xludf.DUMMYFUNCTION("""COMPUTED_VALUE"""),2251)</f>
        <v>2251</v>
      </c>
      <c r="V741" s="11"/>
      <c r="W741" s="30" t="str">
        <f>IFERROR(__xludf.DUMMYFUNCTION("""COMPUTED_VALUE"""),"06/08/1966")</f>
        <v>06/08/1966</v>
      </c>
      <c r="X741" s="11">
        <f>IFERROR(__xludf.DUMMYFUNCTION("""COMPUTED_VALUE"""),8199722110)</f>
        <v>8199722110</v>
      </c>
      <c r="Y741" s="11">
        <f>IFERROR(__xludf.DUMMYFUNCTION("""COMPUTED_VALUE"""),8133144754)</f>
        <v>8133144754</v>
      </c>
      <c r="Z741" s="11">
        <f>IFERROR(__xludf.DUMMYFUNCTION("""COMPUTED_VALUE"""),47721138434)</f>
        <v>47721138434</v>
      </c>
    </row>
    <row r="742" customHeight="1" spans="1:26">
      <c r="A742" s="11" t="str">
        <f>IFERROR(__xludf.DUMMYFUNCTION("""COMPUTED_VALUE"""),"EDNALVA MARIA BEZERRA DE LIRA")</f>
        <v>EDNALVA MARIA BEZERRA DE LIRA</v>
      </c>
      <c r="B742" s="11"/>
      <c r="C742" s="11"/>
      <c r="D742" s="11" t="str">
        <f>IFERROR(__xludf.DUMMYFUNCTION("""COMPUTED_VALUE"""),"Enfermeira eSF")</f>
        <v>Enfermeira eSF</v>
      </c>
      <c r="E742" s="11" t="str">
        <f>IFERROR(__xludf.DUMMYFUNCTION("""COMPUTED_VALUE"""),"III")</f>
        <v>III</v>
      </c>
      <c r="F742" s="11" t="str">
        <f>IFERROR(__xludf.DUMMYFUNCTION("""COMPUTED_VALUE"""),"US_171 CS JOAQUIM COSTA CARVALHO/ALTO DO MANDU")</f>
        <v>US_171 CS JOAQUIM COSTA CARVALHO/ALTO DO MANDU</v>
      </c>
      <c r="G742" s="11" t="str">
        <f>IFERROR(__xludf.DUMMYFUNCTION("""COMPUTED_VALUE"""),"US 171 CS JOAQUIM COSTA CARVALHO")</f>
        <v>US 171 CS JOAQUIM COSTA CARVALHO</v>
      </c>
      <c r="H742" s="27">
        <f>IFERROR(__xludf.DUMMYFUNCTION("""COMPUTED_VALUE"""),81991620069)</f>
        <v>81991620069</v>
      </c>
      <c r="I742" s="27">
        <f>IFERROR(__xludf.DUMMYFUNCTION("""COMPUTED_VALUE"""),81986282008)</f>
        <v>81986282008</v>
      </c>
      <c r="J742" s="11"/>
      <c r="K742" s="24">
        <f>IFERROR(__xludf.DUMMYFUNCTION("""COMPUTED_VALUE"""),45295)</f>
        <v>45295</v>
      </c>
      <c r="L742" s="11"/>
      <c r="M742" s="28" t="str">
        <f>IFERROR(__xludf.DUMMYFUNCTION("""COMPUTED_VALUE"""),"3355-4412")</f>
        <v>3355-4412</v>
      </c>
      <c r="N742" s="11" t="str">
        <f>IFERROR(__xludf.DUMMYFUNCTION("""COMPUTED_VALUE"""),"nalvalira@yahoo.com.br")</f>
        <v>nalvalira@yahoo.com.br</v>
      </c>
      <c r="O742" s="29">
        <f>IFERROR(__xludf.DUMMYFUNCTION("""COMPUTED_VALUE"""),51093677449)</f>
        <v>51093677449</v>
      </c>
      <c r="P742" s="30" t="str">
        <f>IFERROR(__xludf.DUMMYFUNCTION("""COMPUTED_VALUE"""),"124535874220002")</f>
        <v>124535874220002</v>
      </c>
      <c r="Q742" s="30" t="str">
        <f>IFERROR(__xludf.DUMMYFUNCTION("""COMPUTED_VALUE"""),"0002011")</f>
        <v>0002011</v>
      </c>
      <c r="R742" s="30" t="str">
        <f>IFERROR(__xludf.DUMMYFUNCTION("""COMPUTED_VALUE"""),"0000153370")</f>
        <v>0000153370</v>
      </c>
      <c r="S742" s="30" t="str">
        <f>IFERROR(__xludf.DUMMYFUNCTION("""COMPUTED_VALUE"""),"1")</f>
        <v>1</v>
      </c>
      <c r="T742" s="30" t="str">
        <f>IFERROR(__xludf.DUMMYFUNCTION("""COMPUTED_VALUE"""),"223565")</f>
        <v>223565</v>
      </c>
      <c r="U742" s="31" t="str">
        <f>IFERROR(__xludf.DUMMYFUNCTION("""COMPUTED_VALUE"""),"2235")</f>
        <v>2235</v>
      </c>
      <c r="V742" s="11"/>
      <c r="W742" s="11">
        <f>IFERROR(__xludf.DUMMYFUNCTION("""COMPUTED_VALUE"""),32731938)</f>
        <v>32731938</v>
      </c>
      <c r="X742" s="11">
        <f>IFERROR(__xludf.DUMMYFUNCTION("""COMPUTED_VALUE"""),91620069)</f>
        <v>91620069</v>
      </c>
      <c r="Y742" s="11">
        <f>IFERROR(__xludf.DUMMYFUNCTION("""COMPUTED_VALUE"""),51093677449)</f>
        <v>51093677449</v>
      </c>
      <c r="Z742" s="11"/>
    </row>
    <row r="743" customHeight="1" spans="1:26">
      <c r="A743" s="11" t="str">
        <f>IFERROR(__xludf.DUMMYFUNCTION("""COMPUTED_VALUE"""),"MARIA BEATRIZ MONTEIRO DE OLIVEIRA")</f>
        <v>MARIA BEATRIZ MONTEIRO DE OLIVEIRA</v>
      </c>
      <c r="B743" s="11"/>
      <c r="C743" s="11"/>
      <c r="D743" s="11" t="str">
        <f>IFERROR(__xludf.DUMMYFUNCTION("""COMPUTED_VALUE"""),"Médica Residente")</f>
        <v>Médica Residente</v>
      </c>
      <c r="E743" s="11" t="str">
        <f>IFERROR(__xludf.DUMMYFUNCTION("""COMPUTED_VALUE"""),"III")</f>
        <v>III</v>
      </c>
      <c r="F743" s="11" t="str">
        <f>IFERROR(__xludf.DUMMYFUNCTION("""COMPUTED_VALUE"""),"US 182 UPINHA UNIDADE DE SAUDE DA FAMILIA PADRE JOSE EDWALDO GOMES")</f>
        <v>US 182 UPINHA UNIDADE DE SAUDE DA FAMILIA PADRE JOSE EDWALDO GOMES</v>
      </c>
      <c r="G743" s="11" t="str">
        <f>IFERROR(__xludf.DUMMYFUNCTION("""COMPUTED_VALUE"""),"US 182 UPINHA UNIDADE DE SAUDE DA FAMILIA PADRE JOSE EDWALDO GOMES")</f>
        <v>US 182 UPINHA UNIDADE DE SAUDE DA FAMILIA PADRE JOSE EDWALDO GOMES</v>
      </c>
      <c r="H743" s="27">
        <f>IFERROR(__xludf.DUMMYFUNCTION("""COMPUTED_VALUE"""),81999676775)</f>
        <v>81999676775</v>
      </c>
      <c r="I743" s="11"/>
      <c r="J743" s="11"/>
      <c r="K743" s="33">
        <f>IFERROR(__xludf.DUMMYFUNCTION("""COMPUTED_VALUE"""),45286)</f>
        <v>45286</v>
      </c>
      <c r="L743" s="11"/>
      <c r="M743" s="11"/>
      <c r="N743" s="11"/>
      <c r="O743" s="11"/>
      <c r="P743" s="11"/>
      <c r="Q743" s="11"/>
      <c r="R743" s="11"/>
      <c r="S743" s="11"/>
      <c r="T743" s="11"/>
      <c r="U743" s="11"/>
      <c r="V743" s="11"/>
      <c r="W743" s="11"/>
      <c r="X743" s="11"/>
      <c r="Y743" s="11"/>
      <c r="Z743" s="11"/>
    </row>
    <row r="744" customHeight="1" spans="1:26">
      <c r="A744" s="11" t="str">
        <f>IFERROR(__xludf.DUMMYFUNCTION("""COMPUTED_VALUE"""),"CLOVIS DE SOUZA BARBOSA NETO")</f>
        <v>CLOVIS DE SOUZA BARBOSA NETO</v>
      </c>
      <c r="B744" s="11"/>
      <c r="C744" s="11"/>
      <c r="D744" s="11" t="str">
        <f>IFERROR(__xludf.DUMMYFUNCTION("""COMPUTED_VALUE"""),"Médico eSF")</f>
        <v>Médico eSF</v>
      </c>
      <c r="E744" s="11" t="str">
        <f>IFERROR(__xludf.DUMMYFUNCTION("""COMPUTED_VALUE"""),"III")</f>
        <v>III</v>
      </c>
      <c r="F744" s="11" t="str">
        <f>IFERROR(__xludf.DUMMYFUNCTION("""COMPUTED_VALUE"""),"US_182 UPINHA UNIDADE DE SAUDE DA FAMILIA PADRE JOSE EDWALDO GOMES")</f>
        <v>US_182 UPINHA UNIDADE DE SAUDE DA FAMILIA PADRE JOSE EDWALDO GOMES</v>
      </c>
      <c r="G744" s="11" t="str">
        <f>IFERROR(__xludf.DUMMYFUNCTION("""COMPUTED_VALUE"""),"US 182 USF POÇO DA PANELA")</f>
        <v>US 182 USF POÇO DA PANELA</v>
      </c>
      <c r="H744" s="27">
        <f>IFERROR(__xludf.DUMMYFUNCTION("""COMPUTED_VALUE"""),81999871413)</f>
        <v>81999871413</v>
      </c>
      <c r="I744" s="11"/>
      <c r="J744" s="11"/>
      <c r="K744" s="11"/>
      <c r="L744" s="11"/>
      <c r="M744" s="28" t="str">
        <f>IFERROR(__xludf.DUMMYFUNCTION("""COMPUTED_VALUE"""),"3355-6202")</f>
        <v>3355-6202</v>
      </c>
      <c r="N744" s="11" t="str">
        <f>IFERROR(__xludf.DUMMYFUNCTION("""COMPUTED_VALUE"""),"cbsn2009@gmail.com")</f>
        <v>cbsn2009@gmail.com</v>
      </c>
      <c r="O744" s="29">
        <f>IFERROR(__xludf.DUMMYFUNCTION("""COMPUTED_VALUE"""),57237883453)</f>
        <v>57237883453</v>
      </c>
      <c r="P744" s="30" t="str">
        <f>IFERROR(__xludf.DUMMYFUNCTION("""COMPUTED_VALUE"""),"206048649940007")</f>
        <v>206048649940007</v>
      </c>
      <c r="Q744" s="30" t="str">
        <f>IFERROR(__xludf.DUMMYFUNCTION("""COMPUTED_VALUE"""),"0020567")</f>
        <v>0020567</v>
      </c>
      <c r="R744" s="30" t="str">
        <f>IFERROR(__xludf.DUMMYFUNCTION("""COMPUTED_VALUE"""),"0000153524")</f>
        <v>0000153524</v>
      </c>
      <c r="S744" s="30" t="str">
        <f>IFERROR(__xludf.DUMMYFUNCTION("""COMPUTED_VALUE"""),"1")</f>
        <v>1</v>
      </c>
      <c r="T744" s="30" t="str">
        <f>IFERROR(__xludf.DUMMYFUNCTION("""COMPUTED_VALUE"""),"225142")</f>
        <v>225142</v>
      </c>
      <c r="U744" s="31" t="str">
        <f>IFERROR(__xludf.DUMMYFUNCTION("""COMPUTED_VALUE"""),"2251")</f>
        <v>2251</v>
      </c>
      <c r="V744" s="11" t="str">
        <f>IFERROR(__xludf.DUMMYFUNCTION("""COMPUTED_VALUE"""),"SIM")</f>
        <v>SIM</v>
      </c>
      <c r="W744" s="11"/>
      <c r="X744" s="11">
        <f>IFERROR(__xludf.DUMMYFUNCTION("""COMPUTED_VALUE"""),32287404)</f>
        <v>32287404</v>
      </c>
      <c r="Y744" s="11">
        <f>IFERROR(__xludf.DUMMYFUNCTION("""COMPUTED_VALUE"""),99871413)</f>
        <v>99871413</v>
      </c>
      <c r="Z744" s="11">
        <f>IFERROR(__xludf.DUMMYFUNCTION("""COMPUTED_VALUE"""),57237883453)</f>
        <v>57237883453</v>
      </c>
    </row>
    <row r="745" customHeight="1" spans="1:26">
      <c r="A745" s="11" t="str">
        <f>IFERROR(__xludf.DUMMYFUNCTION("""COMPUTED_VALUE"""),"CLARIANA FALCAO SILVA")</f>
        <v>CLARIANA FALCAO SILVA</v>
      </c>
      <c r="B745" s="11"/>
      <c r="C745" s="11"/>
      <c r="D745" s="11" t="str">
        <f>IFERROR(__xludf.DUMMYFUNCTION("""COMPUTED_VALUE"""),"Enfermeira eSF")</f>
        <v>Enfermeira eSF</v>
      </c>
      <c r="E745" s="11" t="str">
        <f>IFERROR(__xludf.DUMMYFUNCTION("""COMPUTED_VALUE"""),"III")</f>
        <v>III</v>
      </c>
      <c r="F745" s="11" t="str">
        <f>IFERROR(__xludf.DUMMYFUNCTION("""COMPUTED_VALUE"""),"US_258 USF SITIO DOS PINTOS / DR. ANTONIO LUCAS")</f>
        <v>US_258 USF SITIO DOS PINTOS / DR. ANTONIO LUCAS</v>
      </c>
      <c r="G745" s="11" t="str">
        <f>IFERROR(__xludf.DUMMYFUNCTION("""COMPUTED_VALUE"""),"US 216 USF APIPUCOS")</f>
        <v>US 216 USF APIPUCOS</v>
      </c>
      <c r="H745" s="27">
        <f>IFERROR(__xludf.DUMMYFUNCTION("""COMPUTED_VALUE"""),81991182089)</f>
        <v>81991182089</v>
      </c>
      <c r="I745" s="11"/>
      <c r="J745" s="11"/>
      <c r="K745" s="11"/>
      <c r="L745" s="11"/>
      <c r="M745" s="28" t="str">
        <f>IFERROR(__xludf.DUMMYFUNCTION("""COMPUTED_VALUE"""),"3355-4632")</f>
        <v>3355-4632</v>
      </c>
      <c r="N745" s="11" t="str">
        <f>IFERROR(__xludf.DUMMYFUNCTION("""COMPUTED_VALUE"""),"clarianafalcao@hotmail.com")</f>
        <v>clarianafalcao@hotmail.com</v>
      </c>
      <c r="O745" s="29">
        <f>IFERROR(__xludf.DUMMYFUNCTION("""COMPUTED_VALUE"""),4490156456)</f>
        <v>4490156456</v>
      </c>
      <c r="P745" s="30" t="str">
        <f>IFERROR(__xludf.DUMMYFUNCTION("""COMPUTED_VALUE"""),"980016277648158")</f>
        <v>980016277648158</v>
      </c>
      <c r="Q745" s="30" t="str">
        <f>IFERROR(__xludf.DUMMYFUNCTION("""COMPUTED_VALUE"""),"0002127")</f>
        <v>0002127</v>
      </c>
      <c r="R745" s="30" t="str">
        <f>IFERROR(__xludf.DUMMYFUNCTION("""COMPUTED_VALUE"""),"0000153451")</f>
        <v>0000153451</v>
      </c>
      <c r="S745" s="30" t="str">
        <f>IFERROR(__xludf.DUMMYFUNCTION("""COMPUTED_VALUE"""),"1")</f>
        <v>1</v>
      </c>
      <c r="T745" s="30" t="str">
        <f>IFERROR(__xludf.DUMMYFUNCTION("""COMPUTED_VALUE"""),"223565")</f>
        <v>223565</v>
      </c>
      <c r="U745" s="31" t="str">
        <f>IFERROR(__xludf.DUMMYFUNCTION("""COMPUTED_VALUE"""),"2235")</f>
        <v>2235</v>
      </c>
      <c r="V745" s="11"/>
      <c r="W745" s="11">
        <f>IFERROR(__xludf.DUMMYFUNCTION("""COMPUTED_VALUE"""),91182089)</f>
        <v>91182089</v>
      </c>
      <c r="X745" s="11"/>
      <c r="Y745" s="11">
        <f>IFERROR(__xludf.DUMMYFUNCTION("""COMPUTED_VALUE"""),4490156456)</f>
        <v>4490156456</v>
      </c>
      <c r="Z745" s="11"/>
    </row>
    <row r="746" customHeight="1" spans="1:26">
      <c r="A746" s="11" t="str">
        <f>IFERROR(__xludf.DUMMYFUNCTION("""COMPUTED_VALUE"""),"LARA XIMENES SANTOS")</f>
        <v>LARA XIMENES SANTOS</v>
      </c>
      <c r="B746" s="11"/>
      <c r="C746" s="11"/>
      <c r="D746" s="11" t="str">
        <f>IFERROR(__xludf.DUMMYFUNCTION("""COMPUTED_VALUE"""),"Médica eSF")</f>
        <v>Médica eSF</v>
      </c>
      <c r="E746" s="11" t="str">
        <f>IFERROR(__xludf.DUMMYFUNCTION("""COMPUTED_VALUE"""),"III")</f>
        <v>III</v>
      </c>
      <c r="F746" s="11" t="str">
        <f>IFERROR(__xludf.DUMMYFUNCTION("""COMPUTED_VALUE"""),"US_182 UPINHA UNIDADE DE SAUDE DA FAMILIA PADRE JOSE EDWALDO GOMES")</f>
        <v>US_182 UPINHA UNIDADE DE SAUDE DA FAMILIA PADRE JOSE EDWALDO GOMES</v>
      </c>
      <c r="G746" s="11" t="str">
        <f>IFERROR(__xludf.DUMMYFUNCTION("""COMPUTED_VALUE"""),"US 249 USF SANTANA")</f>
        <v>US 249 USF SANTANA</v>
      </c>
      <c r="H746" s="27">
        <f>IFERROR(__xludf.DUMMYFUNCTION("""COMPUTED_VALUE"""),81998843771)</f>
        <v>81998843771</v>
      </c>
      <c r="I746" s="27">
        <f>IFERROR(__xludf.DUMMYFUNCTION("""COMPUTED_VALUE"""),81988572003)</f>
        <v>81988572003</v>
      </c>
      <c r="J746" s="11"/>
      <c r="K746" s="11"/>
      <c r="L746" s="11"/>
      <c r="M746" s="28" t="str">
        <f>IFERROR(__xludf.DUMMYFUNCTION("""COMPUTED_VALUE"""),"3355-6222")</f>
        <v>3355-6222</v>
      </c>
      <c r="N746" s="11" t="str">
        <f>IFERROR(__xludf.DUMMYFUNCTION("""COMPUTED_VALUE"""),"lara.xis@gmail.com")</f>
        <v>lara.xis@gmail.com</v>
      </c>
      <c r="O746" s="29">
        <f>IFERROR(__xludf.DUMMYFUNCTION("""COMPUTED_VALUE"""),6442527409)</f>
        <v>6442527409</v>
      </c>
      <c r="P746" s="30" t="str">
        <f>IFERROR(__xludf.DUMMYFUNCTION("""COMPUTED_VALUE"""),"980016286257166")</f>
        <v>980016286257166</v>
      </c>
      <c r="Q746" s="30" t="str">
        <f>IFERROR(__xludf.DUMMYFUNCTION("""COMPUTED_VALUE"""),"0022284")</f>
        <v>0022284</v>
      </c>
      <c r="R746" s="30" t="str">
        <f>IFERROR(__xludf.DUMMYFUNCTION("""COMPUTED_VALUE"""),"0000153745")</f>
        <v>0000153745</v>
      </c>
      <c r="S746" s="30" t="str">
        <f>IFERROR(__xludf.DUMMYFUNCTION("""COMPUTED_VALUE"""),"1")</f>
        <v>1</v>
      </c>
      <c r="T746" s="30" t="str">
        <f>IFERROR(__xludf.DUMMYFUNCTION("""COMPUTED_VALUE"""),"225142")</f>
        <v>225142</v>
      </c>
      <c r="U746" s="31" t="str">
        <f>IFERROR(__xludf.DUMMYFUNCTION("""COMPUTED_VALUE"""),"2251")</f>
        <v>2251</v>
      </c>
      <c r="V746" s="11"/>
      <c r="W746" s="11"/>
      <c r="X746" s="11">
        <f>IFERROR(__xludf.DUMMYFUNCTION("""COMPUTED_VALUE"""),88572003)</f>
        <v>88572003</v>
      </c>
      <c r="Y746" s="11">
        <f>IFERROR(__xludf.DUMMYFUNCTION("""COMPUTED_VALUE"""),98843771)</f>
        <v>98843771</v>
      </c>
      <c r="Z746" s="11">
        <f>IFERROR(__xludf.DUMMYFUNCTION("""COMPUTED_VALUE"""),6442527409)</f>
        <v>6442527409</v>
      </c>
    </row>
    <row r="747" customHeight="1" spans="1:26">
      <c r="A747" s="11" t="str">
        <f>IFERROR(__xludf.DUMMYFUNCTION("""COMPUTED_VALUE"""),"CLOVIS TADEU DA SILVEIRA BARROS")</f>
        <v>CLOVIS TADEU DA SILVEIRA BARROS</v>
      </c>
      <c r="B747" s="11"/>
      <c r="C747" s="11"/>
      <c r="D747" s="11" t="str">
        <f>IFERROR(__xludf.DUMMYFUNCTION("""COMPUTED_VALUE"""),"Enfermeiro eSF")</f>
        <v>Enfermeiro eSF</v>
      </c>
      <c r="E747" s="11" t="str">
        <f>IFERROR(__xludf.DUMMYFUNCTION("""COMPUTED_VALUE"""),"III")</f>
        <v>III</v>
      </c>
      <c r="F747" s="11" t="str">
        <f>IFERROR(__xludf.DUMMYFUNCTION("""COMPUTED_VALUE"""),"US_258 USF SITIO DOS PINTOS / DR. ANTONIO LUCAS")</f>
        <v>US_258 USF SITIO DOS PINTOS / DR. ANTONIO LUCAS</v>
      </c>
      <c r="G747" s="11" t="str">
        <f>IFERROR(__xludf.DUMMYFUNCTION("""COMPUTED_VALUE"""),"US 258 USF SITIO DOS PINTOS")</f>
        <v>US 258 USF SITIO DOS PINTOS</v>
      </c>
      <c r="H747" s="27">
        <f>IFERROR(__xludf.DUMMYFUNCTION("""COMPUTED_VALUE"""),81988380919)</f>
        <v>81988380919</v>
      </c>
      <c r="I747" s="11"/>
      <c r="J747" s="11"/>
      <c r="K747" s="11"/>
      <c r="L747" s="11"/>
      <c r="M747" s="28" t="str">
        <f>IFERROR(__xludf.DUMMYFUNCTION("""COMPUTED_VALUE"""),"3355-0070")</f>
        <v>3355-0070</v>
      </c>
      <c r="N747" s="11" t="str">
        <f>IFERROR(__xludf.DUMMYFUNCTION("""COMPUTED_VALUE"""),"clovisilveira@hotmail.com")</f>
        <v>clovisilveira@hotmail.com</v>
      </c>
      <c r="O747" s="29">
        <f>IFERROR(__xludf.DUMMYFUNCTION("""COMPUTED_VALUE"""),8447772420)</f>
        <v>8447772420</v>
      </c>
      <c r="P747" s="30" t="str">
        <f>IFERROR(__xludf.DUMMYFUNCTION("""COMPUTED_VALUE"""),"206041136540018")</f>
        <v>206041136540018</v>
      </c>
      <c r="Q747" s="30" t="str">
        <f>IFERROR(__xludf.DUMMYFUNCTION("""COMPUTED_VALUE"""),"0028053")</f>
        <v>0028053</v>
      </c>
      <c r="R747" s="30" t="str">
        <f>IFERROR(__xludf.DUMMYFUNCTION("""COMPUTED_VALUE"""),"0000154431")</f>
        <v>0000154431</v>
      </c>
      <c r="S747" s="30" t="str">
        <f>IFERROR(__xludf.DUMMYFUNCTION("""COMPUTED_VALUE"""),"1")</f>
        <v>1</v>
      </c>
      <c r="T747" s="30" t="str">
        <f>IFERROR(__xludf.DUMMYFUNCTION("""COMPUTED_VALUE"""),"223565")</f>
        <v>223565</v>
      </c>
      <c r="U747" s="31" t="str">
        <f>IFERROR(__xludf.DUMMYFUNCTION("""COMPUTED_VALUE"""),"2235")</f>
        <v>2235</v>
      </c>
      <c r="V747" s="11"/>
      <c r="W747" s="11">
        <f>IFERROR(__xludf.DUMMYFUNCTION("""COMPUTED_VALUE"""),8134422848)</f>
        <v>8134422848</v>
      </c>
      <c r="X747" s="11">
        <f>IFERROR(__xludf.DUMMYFUNCTION("""COMPUTED_VALUE"""),8188380919)</f>
        <v>8188380919</v>
      </c>
      <c r="Y747" s="11">
        <f>IFERROR(__xludf.DUMMYFUNCTION("""COMPUTED_VALUE"""),8447772420)</f>
        <v>8447772420</v>
      </c>
      <c r="Z747" s="11"/>
    </row>
    <row r="748" customHeight="1" spans="1:26">
      <c r="A748" s="11" t="str">
        <f>IFERROR(__xludf.DUMMYFUNCTION("""COMPUTED_VALUE"""),"JOSIVANIA SANTOS TAVARES")</f>
        <v>JOSIVANIA SANTOS TAVARES</v>
      </c>
      <c r="B748" s="11"/>
      <c r="C748" s="11"/>
      <c r="D748" s="11" t="str">
        <f>IFERROR(__xludf.DUMMYFUNCTION("""COMPUTED_VALUE"""),"Enfermeira eSF")</f>
        <v>Enfermeira eSF</v>
      </c>
      <c r="E748" s="11" t="str">
        <f>IFERROR(__xludf.DUMMYFUNCTION("""COMPUTED_VALUE"""),"III")</f>
        <v>III</v>
      </c>
      <c r="F748" s="11" t="str">
        <f>IFERROR(__xludf.DUMMYFUNCTION("""COMPUTED_VALUE"""),"US_259 USF SITIO SAO BRAZ	")</f>
        <v>US_259 USF SITIO SAO BRAZ	</v>
      </c>
      <c r="G748" s="11" t="str">
        <f>IFERROR(__xludf.DUMMYFUNCTION("""COMPUTED_VALUE"""),"US 259 USF SITIO SAO BRAZ")</f>
        <v>US 259 USF SITIO SAO BRAZ</v>
      </c>
      <c r="H748" s="27">
        <f>IFERROR(__xludf.DUMMYFUNCTION("""COMPUTED_VALUE"""),81996020230)</f>
        <v>81996020230</v>
      </c>
      <c r="I748" s="27">
        <f>IFERROR(__xludf.DUMMYFUNCTION("""COMPUTED_VALUE"""),81996392106)</f>
        <v>81996392106</v>
      </c>
      <c r="J748" s="11"/>
      <c r="K748" s="11"/>
      <c r="L748" s="11"/>
      <c r="M748" s="28" t="str">
        <f>IFERROR(__xludf.DUMMYFUNCTION("""COMPUTED_VALUE"""),"3355-0325")</f>
        <v>3355-0325</v>
      </c>
      <c r="N748" s="11" t="str">
        <f>IFERROR(__xludf.DUMMYFUNCTION("""COMPUTED_VALUE"""),"josivania.st@hotmail.com")</f>
        <v>josivania.st@hotmail.com</v>
      </c>
      <c r="O748" s="29">
        <f>IFERROR(__xludf.DUMMYFUNCTION("""COMPUTED_VALUE"""),90079060463)</f>
        <v>90079060463</v>
      </c>
      <c r="P748" s="30" t="str">
        <f>IFERROR(__xludf.DUMMYFUNCTION("""COMPUTED_VALUE"""),"204322733490004")</f>
        <v>204322733490004</v>
      </c>
      <c r="Q748" s="30" t="str">
        <f>IFERROR(__xludf.DUMMYFUNCTION("""COMPUTED_VALUE"""),"0026212")</f>
        <v>0026212</v>
      </c>
      <c r="R748" s="30" t="str">
        <f>IFERROR(__xludf.DUMMYFUNCTION("""COMPUTED_VALUE"""),"0000154202")</f>
        <v>0000154202</v>
      </c>
      <c r="S748" s="30" t="str">
        <f>IFERROR(__xludf.DUMMYFUNCTION("""COMPUTED_VALUE"""),"1")</f>
        <v>1</v>
      </c>
      <c r="T748" s="30" t="str">
        <f>IFERROR(__xludf.DUMMYFUNCTION("""COMPUTED_VALUE"""),"223565")</f>
        <v>223565</v>
      </c>
      <c r="U748" s="31" t="str">
        <f>IFERROR(__xludf.DUMMYFUNCTION("""COMPUTED_VALUE"""),"2235")</f>
        <v>2235</v>
      </c>
      <c r="V748" s="11"/>
      <c r="W748" s="11">
        <f>IFERROR(__xludf.DUMMYFUNCTION("""COMPUTED_VALUE"""),96392106)</f>
        <v>96392106</v>
      </c>
      <c r="X748" s="11">
        <f>IFERROR(__xludf.DUMMYFUNCTION("""COMPUTED_VALUE"""),96020230)</f>
        <v>96020230</v>
      </c>
      <c r="Y748" s="11">
        <f>IFERROR(__xludf.DUMMYFUNCTION("""COMPUTED_VALUE"""),90079060463)</f>
        <v>90079060463</v>
      </c>
      <c r="Z748" s="11"/>
    </row>
    <row r="749" customHeight="1" spans="1:26">
      <c r="A749" s="11" t="str">
        <f>IFERROR(__xludf.DUMMYFUNCTION("""COMPUTED_VALUE"""),"PAULA AGUIAR CABRAL GOMES")</f>
        <v>PAULA AGUIAR CABRAL GOMES</v>
      </c>
      <c r="B749" s="11"/>
      <c r="C749" s="11"/>
      <c r="D749" s="11" t="str">
        <f>IFERROR(__xludf.DUMMYFUNCTION("""COMPUTED_VALUE"""),"Dentista")</f>
        <v>Dentista</v>
      </c>
      <c r="E749" s="11" t="str">
        <f>IFERROR(__xludf.DUMMYFUNCTION("""COMPUTED_VALUE"""),"III")</f>
        <v>III</v>
      </c>
      <c r="F749" s="11" t="str">
        <f>IFERROR(__xludf.DUMMYFUNCTION("""COMPUTED_VALUE"""),"US_260 USF CORREGO DA FORTUNA	")</f>
        <v>US_260 USF CORREGO DA FORTUNA	</v>
      </c>
      <c r="G749" s="11" t="str">
        <f>IFERROR(__xludf.DUMMYFUNCTION("""COMPUTED_VALUE"""),"US 259 USF SITIO SAO BRAZ")</f>
        <v>US 259 USF SITIO SAO BRAZ</v>
      </c>
      <c r="H749" s="27">
        <f>IFERROR(__xludf.DUMMYFUNCTION("""COMPUTED_VALUE"""),81995209627)</f>
        <v>81995209627</v>
      </c>
      <c r="I749" s="11"/>
      <c r="J749" s="11"/>
      <c r="K749" s="11"/>
      <c r="L749" s="11"/>
      <c r="M749" s="28" t="str">
        <f>IFERROR(__xludf.DUMMYFUNCTION("""COMPUTED_VALUE"""),"3355-0325")</f>
        <v>3355-0325</v>
      </c>
      <c r="N749" s="11" t="str">
        <f>IFERROR(__xludf.DUMMYFUNCTION("""COMPUTED_VALUE"""),"paulaaguiar04@gmail.com")</f>
        <v>paulaaguiar04@gmail.com</v>
      </c>
      <c r="O749" s="29">
        <f>IFERROR(__xludf.DUMMYFUNCTION("""COMPUTED_VALUE"""),768564450)</f>
        <v>768564450</v>
      </c>
      <c r="P749" s="30" t="str">
        <f>IFERROR(__xludf.DUMMYFUNCTION("""COMPUTED_VALUE"""),"980016285025814")</f>
        <v>980016285025814</v>
      </c>
      <c r="Q749" s="30" t="str">
        <f>IFERROR(__xludf.DUMMYFUNCTION("""COMPUTED_VALUE"""),"0026212")</f>
        <v>0026212</v>
      </c>
      <c r="R749" s="30" t="str">
        <f>IFERROR(__xludf.DUMMYFUNCTION("""COMPUTED_VALUE"""),"0001745166")</f>
        <v>0001745166</v>
      </c>
      <c r="S749" s="30" t="str">
        <f>IFERROR(__xludf.DUMMYFUNCTION("""COMPUTED_VALUE"""),"1")</f>
        <v>1</v>
      </c>
      <c r="T749" s="30" t="str">
        <f>IFERROR(__xludf.DUMMYFUNCTION("""COMPUTED_VALUE"""),"223293")</f>
        <v>223293</v>
      </c>
      <c r="U749" s="31">
        <f>IFERROR(__xludf.DUMMYFUNCTION("""COMPUTED_VALUE"""),2232)</f>
        <v>2232</v>
      </c>
      <c r="V749" s="11"/>
      <c r="W749" s="11"/>
      <c r="X749" s="11"/>
      <c r="Y749" s="11"/>
      <c r="Z749" s="11"/>
    </row>
    <row r="750" customHeight="1" spans="1:26">
      <c r="A750" s="11" t="str">
        <f>IFERROR(__xludf.DUMMYFUNCTION("""COMPUTED_VALUE"""),"FERNANDA KARINA DE SANTANA LIMA")</f>
        <v>FERNANDA KARINA DE SANTANA LIMA</v>
      </c>
      <c r="B750" s="11"/>
      <c r="C750" s="11"/>
      <c r="D750" s="11" t="str">
        <f>IFERROR(__xludf.DUMMYFUNCTION("""COMPUTED_VALUE"""),"Enfermeira eSF")</f>
        <v>Enfermeira eSF</v>
      </c>
      <c r="E750" s="11" t="str">
        <f>IFERROR(__xludf.DUMMYFUNCTION("""COMPUTED_VALUE"""),"III")</f>
        <v>III</v>
      </c>
      <c r="F750" s="11" t="str">
        <f>IFERROR(__xludf.DUMMYFUNCTION("""COMPUTED_VALUE"""),"US_260 USF CORREGO DA FORTUNA	")</f>
        <v>US_260 USF CORREGO DA FORTUNA	</v>
      </c>
      <c r="G750" s="11" t="str">
        <f>IFERROR(__xludf.DUMMYFUNCTION("""COMPUTED_VALUE"""),"US 260 USF CORREGO DA FORTUNA")</f>
        <v>US 260 USF CORREGO DA FORTUNA</v>
      </c>
      <c r="H750" s="27">
        <f>IFERROR(__xludf.DUMMYFUNCTION("""COMPUTED_VALUE"""),81991144656)</f>
        <v>81991144656</v>
      </c>
      <c r="I750" s="11"/>
      <c r="J750" s="11"/>
      <c r="K750" s="11"/>
      <c r="L750" s="11"/>
      <c r="M750" s="28" t="str">
        <f>IFERROR(__xludf.DUMMYFUNCTION("""COMPUTED_VALUE"""),"3355-0177")</f>
        <v>3355-0177</v>
      </c>
      <c r="N750" s="11" t="str">
        <f>IFERROR(__xludf.DUMMYFUNCTION("""COMPUTED_VALUE"""),"fernanda_karina@ig.com.br / fernanda.karina.lima@gmail.com")</f>
        <v>fernanda_karina@ig.com.br / fernanda.karina.lima@gmail.com</v>
      </c>
      <c r="O750" s="29">
        <f>IFERROR(__xludf.DUMMYFUNCTION("""COMPUTED_VALUE"""),2545968439)</f>
        <v>2545968439</v>
      </c>
      <c r="P750" s="29" t="str">
        <f>IFERROR(__xludf.DUMMYFUNCTION("""COMPUTED_VALUE"""),"203103181430001")</f>
        <v>203103181430001</v>
      </c>
      <c r="Q750" s="30" t="str">
        <f>IFERROR(__xludf.DUMMYFUNCTION("""COMPUTED_VALUE"""),"0026220")</f>
        <v>0026220</v>
      </c>
      <c r="R750" s="30" t="str">
        <f>IFERROR(__xludf.DUMMYFUNCTION("""COMPUTED_VALUE"""),"0000154210")</f>
        <v>0000154210</v>
      </c>
      <c r="S750" s="30" t="str">
        <f>IFERROR(__xludf.DUMMYFUNCTION("""COMPUTED_VALUE"""),"1")</f>
        <v>1</v>
      </c>
      <c r="T750" s="30" t="str">
        <f>IFERROR(__xludf.DUMMYFUNCTION("""COMPUTED_VALUE"""),"223565")</f>
        <v>223565</v>
      </c>
      <c r="U750" s="31" t="str">
        <f>IFERROR(__xludf.DUMMYFUNCTION("""COMPUTED_VALUE"""),"2235")</f>
        <v>2235</v>
      </c>
      <c r="V750" s="11"/>
      <c r="W750" s="11">
        <f>IFERROR(__xludf.DUMMYFUNCTION("""COMPUTED_VALUE"""),91144656)</f>
        <v>91144656</v>
      </c>
      <c r="X750" s="11">
        <f>IFERROR(__xludf.DUMMYFUNCTION("""COMPUTED_VALUE"""),33550177)</f>
        <v>33550177</v>
      </c>
      <c r="Y750" s="11">
        <f>IFERROR(__xludf.DUMMYFUNCTION("""COMPUTED_VALUE"""),2545968439)</f>
        <v>2545968439</v>
      </c>
      <c r="Z750" s="11"/>
    </row>
    <row r="751" customHeight="1" spans="1:26">
      <c r="A751" s="11" t="str">
        <f>IFERROR(__xludf.DUMMYFUNCTION("""COMPUTED_VALUE"""),"MARA PATRICIA GOMES NOCA")</f>
        <v>MARA PATRICIA GOMES NOCA</v>
      </c>
      <c r="B751" s="11"/>
      <c r="C751" s="11"/>
      <c r="D751" s="11" t="str">
        <f>IFERROR(__xludf.DUMMYFUNCTION("""COMPUTED_VALUE"""),"Enfermeira eSF")</f>
        <v>Enfermeira eSF</v>
      </c>
      <c r="E751" s="11" t="str">
        <f>IFERROR(__xludf.DUMMYFUNCTION("""COMPUTED_VALUE"""),"III")</f>
        <v>III</v>
      </c>
      <c r="F751" s="11" t="str">
        <f>IFERROR(__xludf.DUMMYFUNCTION("""COMPUTED_VALUE"""),"US_163 HOSPITAL DE PEDIATRIA HELENA MOURA")</f>
        <v>US_163 HOSPITAL DE PEDIATRIA HELENA MOURA</v>
      </c>
      <c r="G751" s="11" t="str">
        <f>IFERROR(__xludf.DUMMYFUNCTION("""COMPUTED_VALUE"""),"US 336 USF UNIAO DAS VILAS")</f>
        <v>US 336 USF UNIAO DAS VILAS</v>
      </c>
      <c r="H751" s="27">
        <f>IFERROR(__xludf.DUMMYFUNCTION("""COMPUTED_VALUE"""),81985735240)</f>
        <v>81985735240</v>
      </c>
      <c r="I751" s="27">
        <f>IFERROR(__xludf.DUMMYFUNCTION("""COMPUTED_VALUE"""),81999029028)</f>
        <v>81999029028</v>
      </c>
      <c r="J751" s="11"/>
      <c r="K751" s="11"/>
      <c r="L751" s="11"/>
      <c r="M751" s="28" t="str">
        <f>IFERROR(__xludf.DUMMYFUNCTION("""COMPUTED_VALUE"""),"3355-6134")</f>
        <v>3355-6134</v>
      </c>
      <c r="N751" s="11" t="str">
        <f>IFERROR(__xludf.DUMMYFUNCTION("""COMPUTED_VALUE"""),"mara_nocap@hotmail.com")</f>
        <v>mara_nocap@hotmail.com</v>
      </c>
      <c r="O751" s="29">
        <f>IFERROR(__xludf.DUMMYFUNCTION("""COMPUTED_VALUE"""),66751209134)</f>
        <v>66751209134</v>
      </c>
      <c r="P751" s="29" t="str">
        <f>IFERROR(__xludf.DUMMYFUNCTION("""COMPUTED_VALUE"""),"207282537250018")</f>
        <v>207282537250018</v>
      </c>
      <c r="Q751" s="30" t="str">
        <f>IFERROR(__xludf.DUMMYFUNCTION("""COMPUTED_VALUE"""),"5139155")</f>
        <v>5139155</v>
      </c>
      <c r="R751" s="30" t="str">
        <f>IFERROR(__xludf.DUMMYFUNCTION("""COMPUTED_VALUE"""),"0000155721")</f>
        <v>0000155721</v>
      </c>
      <c r="S751" s="30" t="str">
        <f>IFERROR(__xludf.DUMMYFUNCTION("""COMPUTED_VALUE"""),"1")</f>
        <v>1</v>
      </c>
      <c r="T751" s="30" t="str">
        <f>IFERROR(__xludf.DUMMYFUNCTION("""COMPUTED_VALUE"""),"223565")</f>
        <v>223565</v>
      </c>
      <c r="U751" s="31" t="str">
        <f>IFERROR(__xludf.DUMMYFUNCTION("""COMPUTED_VALUE"""),"2235")</f>
        <v>2235</v>
      </c>
      <c r="V751" s="11"/>
      <c r="W751" s="11">
        <f>IFERROR(__xludf.DUMMYFUNCTION("""COMPUTED_VALUE"""),99029028)</f>
        <v>99029028</v>
      </c>
      <c r="X751" s="11"/>
      <c r="Y751" s="11">
        <f>IFERROR(__xludf.DUMMYFUNCTION("""COMPUTED_VALUE"""),66751209134)</f>
        <v>66751209134</v>
      </c>
      <c r="Z751" s="11"/>
    </row>
    <row r="752" customHeight="1" spans="1:26">
      <c r="A752" s="11" t="str">
        <f>IFERROR(__xludf.DUMMYFUNCTION("""COMPUTED_VALUE"""),"ARON COELHO DE MACEDO")</f>
        <v>ARON COELHO DE MACEDO</v>
      </c>
      <c r="B752" s="11"/>
      <c r="C752" s="11"/>
      <c r="D752" s="11" t="str">
        <f>IFERROR(__xludf.DUMMYFUNCTION("""COMPUTED_VALUE"""),"Dentista")</f>
        <v>Dentista</v>
      </c>
      <c r="E752" s="11" t="str">
        <f>IFERROR(__xludf.DUMMYFUNCTION("""COMPUTED_VALUE"""),"IV")</f>
        <v>IV</v>
      </c>
      <c r="F752" s="11" t="str">
        <f>IFERROR(__xludf.DUMMYFUNCTION("""COMPUTED_VALUE"""),"US_106 CS PROF JOAQUIM CAVALCANTE	")</f>
        <v>US_106 CS PROF JOAQUIM CAVALCANTE	</v>
      </c>
      <c r="G752" s="11" t="str">
        <f>IFERROR(__xludf.DUMMYFUNCTION("""COMPUTED_VALUE"""),"US 106 CS PROF JOAQUIM CAVALCANTE")</f>
        <v>US 106 CS PROF JOAQUIM CAVALCANTE</v>
      </c>
      <c r="H752" s="27">
        <f>IFERROR(__xludf.DUMMYFUNCTION("""COMPUTED_VALUE"""),81997053834)</f>
        <v>81997053834</v>
      </c>
      <c r="I752" s="11"/>
      <c r="J752" s="11"/>
      <c r="K752" s="11"/>
      <c r="L752" s="11"/>
      <c r="M752" s="28" t="str">
        <f>IFERROR(__xludf.DUMMYFUNCTION("""COMPUTED_VALUE"""),"3355-4425")</f>
        <v>3355-4425</v>
      </c>
      <c r="N752" s="11" t="str">
        <f>IFERROR(__xludf.DUMMYFUNCTION("""COMPUTED_VALUE"""),"aroncoelho56@gmail.com")</f>
        <v>aroncoelho56@gmail.com</v>
      </c>
      <c r="O752" s="29">
        <f>IFERROR(__xludf.DUMMYFUNCTION("""COMPUTED_VALUE"""),10495592404)</f>
        <v>10495592404</v>
      </c>
      <c r="P752" s="30" t="str">
        <f>IFERROR(__xludf.DUMMYFUNCTION("""COMPUTED_VALUE"""),"170073019570007")</f>
        <v>170073019570007</v>
      </c>
      <c r="Q752" s="30" t="str">
        <f>IFERROR(__xludf.DUMMYFUNCTION("""COMPUTED_VALUE"""),"0000639")</f>
        <v>0000639</v>
      </c>
      <c r="R752" s="30" t="str">
        <f>IFERROR(__xludf.DUMMYFUNCTION("""COMPUTED_VALUE"""),"9000063901")</f>
        <v>9000063901</v>
      </c>
      <c r="S752" s="30" t="str">
        <f>IFERROR(__xludf.DUMMYFUNCTION("""COMPUTED_VALUE"""),"1")</f>
        <v>1</v>
      </c>
      <c r="T752" s="30" t="str">
        <f>IFERROR(__xludf.DUMMYFUNCTION("""COMPUTED_VALUE"""),"223208 ")</f>
        <v>223208 </v>
      </c>
      <c r="U752" s="31">
        <f>IFERROR(__xludf.DUMMYFUNCTION("""COMPUTED_VALUE"""),2232)</f>
        <v>2232</v>
      </c>
      <c r="V752" s="11"/>
      <c r="W752" s="11"/>
      <c r="X752" s="11"/>
      <c r="Y752" s="11"/>
      <c r="Z752" s="11"/>
    </row>
    <row r="753" customHeight="1" spans="1:26">
      <c r="A753" s="11" t="str">
        <f>IFERROR(__xludf.DUMMYFUNCTION("""COMPUTED_VALUE"""),"CICERA MARIA FERNANDES DOS SANTOS")</f>
        <v>CICERA MARIA FERNANDES DOS SANTOS</v>
      </c>
      <c r="B753" s="11"/>
      <c r="C753" s="11"/>
      <c r="D753" s="11" t="str">
        <f>IFERROR(__xludf.DUMMYFUNCTION("""COMPUTED_VALUE"""),"Enfermeira")</f>
        <v>Enfermeira</v>
      </c>
      <c r="E753" s="11" t="str">
        <f>IFERROR(__xludf.DUMMYFUNCTION("""COMPUTED_VALUE"""),"IV")</f>
        <v>IV</v>
      </c>
      <c r="F753" s="11" t="str">
        <f>IFERROR(__xludf.DUMMYFUNCTION("""COMPUTED_VALUE"""),"US_149 CS OLINTO OLIVEIRA")</f>
        <v>US_149 CS OLINTO OLIVEIRA</v>
      </c>
      <c r="G753" s="11" t="str">
        <f>IFERROR(__xludf.DUMMYFUNCTION("""COMPUTED_VALUE"""),"US 106 CS PROF JOAQUIM CAVALCANTE")</f>
        <v>US 106 CS PROF JOAQUIM CAVALCANTE</v>
      </c>
      <c r="H753" s="27">
        <f>IFERROR(__xludf.DUMMYFUNCTION("""COMPUTED_VALUE"""),81988103920)</f>
        <v>81988103920</v>
      </c>
      <c r="I753" s="11"/>
      <c r="J753" s="11"/>
      <c r="K753" s="11"/>
      <c r="L753" s="11"/>
      <c r="M753" s="28" t="str">
        <f>IFERROR(__xludf.DUMMYFUNCTION("""COMPUTED_VALUE"""),"3355-4425")</f>
        <v>3355-4425</v>
      </c>
      <c r="N753" s="11" t="str">
        <f>IFERROR(__xludf.DUMMYFUNCTION("""COMPUTED_VALUE"""),"cfernandes.act@gmail.com")</f>
        <v>cfernandes.act@gmail.com</v>
      </c>
      <c r="O753" s="29">
        <f>IFERROR(__xludf.DUMMYFUNCTION("""COMPUTED_VALUE"""),4858341461)</f>
        <v>4858341461</v>
      </c>
      <c r="P753" s="30" t="str">
        <f>IFERROR(__xludf.DUMMYFUNCTION("""COMPUTED_VALUE"""),"204323154910002")</f>
        <v>204323154910002</v>
      </c>
      <c r="Q753" s="30" t="str">
        <f>IFERROR(__xludf.DUMMYFUNCTION("""COMPUTED_VALUE"""),"0000639")</f>
        <v>0000639</v>
      </c>
      <c r="R753" s="30" t="str">
        <f>IFERROR(__xludf.DUMMYFUNCTION("""COMPUTED_VALUE"""),"9000063906")</f>
        <v>9000063906</v>
      </c>
      <c r="S753" s="30" t="str">
        <f>IFERROR(__xludf.DUMMYFUNCTION("""COMPUTED_VALUE"""),"1")</f>
        <v>1</v>
      </c>
      <c r="T753" s="30" t="str">
        <f>IFERROR(__xludf.DUMMYFUNCTION("""COMPUTED_VALUE"""),"223505")</f>
        <v>223505</v>
      </c>
      <c r="U753" s="31" t="str">
        <f>IFERROR(__xludf.DUMMYFUNCTION("""COMPUTED_VALUE"""),"2235")</f>
        <v>2235</v>
      </c>
      <c r="V753" s="11"/>
      <c r="W753" s="11"/>
      <c r="X753" s="11"/>
      <c r="Y753" s="11"/>
      <c r="Z753" s="11"/>
    </row>
    <row r="754" customHeight="1" spans="1:26">
      <c r="A754" s="11" t="str">
        <f>IFERROR(__xludf.DUMMYFUNCTION("""COMPUTED_VALUE"""),"DANIELLE PATRICIA DE BARROS SANTOS")</f>
        <v>DANIELLE PATRICIA DE BARROS SANTOS</v>
      </c>
      <c r="B754" s="11"/>
      <c r="C754" s="11"/>
      <c r="D754" s="11" t="str">
        <f>IFERROR(__xludf.DUMMYFUNCTION("""COMPUTED_VALUE"""),"Enfermeira eSF")</f>
        <v>Enfermeira eSF</v>
      </c>
      <c r="E754" s="11" t="str">
        <f>IFERROR(__xludf.DUMMYFUNCTION("""COMPUTED_VALUE"""),"IV")</f>
        <v>IV</v>
      </c>
      <c r="F754" s="11" t="str">
        <f>IFERROR(__xludf.DUMMYFUNCTION("""COMPUTED_VALUE"""),"PACS CORDEIRO")</f>
        <v>PACS CORDEIRO</v>
      </c>
      <c r="G754" s="11" t="str">
        <f>IFERROR(__xludf.DUMMYFUNCTION("""COMPUTED_VALUE"""),"US 106 CS PROF JOAQUIM CAVALCANTE")</f>
        <v>US 106 CS PROF JOAQUIM CAVALCANTE</v>
      </c>
      <c r="H754" s="27">
        <f>IFERROR(__xludf.DUMMYFUNCTION("""COMPUTED_VALUE"""),81998131542)</f>
        <v>81998131542</v>
      </c>
      <c r="I754" s="11"/>
      <c r="J754" s="11"/>
      <c r="K754" s="11"/>
      <c r="L754" s="11"/>
      <c r="M754" s="28" t="str">
        <f>IFERROR(__xludf.DUMMYFUNCTION("""COMPUTED_VALUE"""),"3355-4425")</f>
        <v>3355-4425</v>
      </c>
      <c r="N754" s="11" t="str">
        <f>IFERROR(__xludf.DUMMYFUNCTION("""COMPUTED_VALUE"""),"danielleb.santos@hotmail.com")</f>
        <v>danielleb.santos@hotmail.com</v>
      </c>
      <c r="O754" s="29">
        <f>IFERROR(__xludf.DUMMYFUNCTION("""COMPUTED_VALUE"""),93281170463)</f>
        <v>93281170463</v>
      </c>
      <c r="P754" s="30" t="str">
        <f>IFERROR(__xludf.DUMMYFUNCTION("""COMPUTED_VALUE"""),"204325064160006")</f>
        <v>204325064160006</v>
      </c>
      <c r="Q754" s="30" t="str">
        <f>IFERROR(__xludf.DUMMYFUNCTION("""COMPUTED_VALUE"""),"0000639")</f>
        <v>0000639</v>
      </c>
      <c r="R754" s="30" t="str">
        <f>IFERROR(__xludf.DUMMYFUNCTION("""COMPUTED_VALUE"""),"0001476459")</f>
        <v>0001476459</v>
      </c>
      <c r="S754" s="30" t="str">
        <f>IFERROR(__xludf.DUMMYFUNCTION("""COMPUTED_VALUE"""),"1")</f>
        <v>1</v>
      </c>
      <c r="T754" s="30" t="str">
        <f>IFERROR(__xludf.DUMMYFUNCTION("""COMPUTED_VALUE"""),"223565")</f>
        <v>223565</v>
      </c>
      <c r="U754" s="31" t="str">
        <f>IFERROR(__xludf.DUMMYFUNCTION("""COMPUTED_VALUE"""),"2235")</f>
        <v>2235</v>
      </c>
      <c r="V754" s="11"/>
      <c r="W754" s="11">
        <f>IFERROR(__xludf.DUMMYFUNCTION("""COMPUTED_VALUE"""),35232591)</f>
        <v>35232591</v>
      </c>
      <c r="X754" s="11">
        <f>IFERROR(__xludf.DUMMYFUNCTION("""COMPUTED_VALUE"""),91926111)</f>
        <v>91926111</v>
      </c>
      <c r="Y754" s="11">
        <f>IFERROR(__xludf.DUMMYFUNCTION("""COMPUTED_VALUE"""),93281170463)</f>
        <v>93281170463</v>
      </c>
      <c r="Z754" s="11"/>
    </row>
    <row r="755" customHeight="1" spans="1:26">
      <c r="A755" s="11" t="str">
        <f>IFERROR(__xludf.DUMMYFUNCTION("""COMPUTED_VALUE"""),"LEILA ELISABETH HERCULANO LINS")</f>
        <v>LEILA ELISABETH HERCULANO LINS</v>
      </c>
      <c r="B755" s="11" t="str">
        <f>IFERROR(__xludf.DUMMYFUNCTION("""COMPUTED_VALUE"""),"ALEGA APOSENTADORIA ")</f>
        <v>ALEGA APOSENTADORIA </v>
      </c>
      <c r="C755" s="11"/>
      <c r="D755" s="11" t="str">
        <f>IFERROR(__xludf.DUMMYFUNCTION("""COMPUTED_VALUE"""),"Médica Clínica")</f>
        <v>Médica Clínica</v>
      </c>
      <c r="E755" s="11" t="str">
        <f>IFERROR(__xludf.DUMMYFUNCTION("""COMPUTED_VALUE"""),"IV")</f>
        <v>IV</v>
      </c>
      <c r="F755" s="11" t="str">
        <f>IFERROR(__xludf.DUMMYFUNCTION("""COMPUTED_VALUE"""),"US_106 CS PROF JOAQUIM CAVALCANTE	")</f>
        <v>US_106 CS PROF JOAQUIM CAVALCANTE	</v>
      </c>
      <c r="G755" s="11" t="str">
        <f>IFERROR(__xludf.DUMMYFUNCTION("""COMPUTED_VALUE"""),"US 106 CS PROF JOAQUIM CAVALCANTE")</f>
        <v>US 106 CS PROF JOAQUIM CAVALCANTE</v>
      </c>
      <c r="H755" s="27">
        <f>IFERROR(__xludf.DUMMYFUNCTION("""COMPUTED_VALUE"""),81991316220)</f>
        <v>81991316220</v>
      </c>
      <c r="I755" s="27">
        <f>IFERROR(__xludf.DUMMYFUNCTION("""COMPUTED_VALUE"""),81988108668)</f>
        <v>81988108668</v>
      </c>
      <c r="J755" s="11"/>
      <c r="K755" s="11"/>
      <c r="L755" s="11"/>
      <c r="M755" s="28" t="str">
        <f>IFERROR(__xludf.DUMMYFUNCTION("""COMPUTED_VALUE"""),"3355-4425")</f>
        <v>3355-4425</v>
      </c>
      <c r="N755" s="11" t="str">
        <f>IFERROR(__xludf.DUMMYFUNCTION("""COMPUTED_VALUE"""),"leilahlins@hotmail.com")</f>
        <v>leilahlins@hotmail.com</v>
      </c>
      <c r="O755" s="29">
        <f>IFERROR(__xludf.DUMMYFUNCTION("""COMPUTED_VALUE"""),32784988449)</f>
        <v>32784988449</v>
      </c>
      <c r="P755" s="30" t="str">
        <f>IFERROR(__xludf.DUMMYFUNCTION("""COMPUTED_VALUE"""),"170198970940002")</f>
        <v>170198970940002</v>
      </c>
      <c r="Q755" s="30" t="str">
        <f>IFERROR(__xludf.DUMMYFUNCTION("""COMPUTED_VALUE"""),"0000639")</f>
        <v>0000639</v>
      </c>
      <c r="R755" s="11"/>
      <c r="S755" s="30" t="str">
        <f>IFERROR(__xludf.DUMMYFUNCTION("""COMPUTED_VALUE"""),"1")</f>
        <v>1</v>
      </c>
      <c r="T755" s="30" t="str">
        <f>IFERROR(__xludf.DUMMYFUNCTION("""COMPUTED_VALUE"""),"225125")</f>
        <v>225125</v>
      </c>
      <c r="U755" s="31" t="str">
        <f>IFERROR(__xludf.DUMMYFUNCTION("""COMPUTED_VALUE"""),"2251")</f>
        <v>2251</v>
      </c>
      <c r="V755" s="11"/>
      <c r="W755" s="11"/>
      <c r="X755" s="11" t="str">
        <f>IFERROR(__xludf.DUMMYFUNCTION("""COMPUTED_VALUE"""),"#N/A")</f>
        <v>#N/A</v>
      </c>
      <c r="Y755" s="11" t="str">
        <f>IFERROR(__xludf.DUMMYFUNCTION("""COMPUTED_VALUE"""),"#N/A")</f>
        <v>#N/A</v>
      </c>
      <c r="Z755" s="11" t="str">
        <f>IFERROR(__xludf.DUMMYFUNCTION("""COMPUTED_VALUE"""),"#N/A")</f>
        <v>#N/A</v>
      </c>
    </row>
    <row r="756" customHeight="1" spans="1:26">
      <c r="A756" s="11" t="str">
        <f>IFERROR(__xludf.DUMMYFUNCTION("""COMPUTED_VALUE"""),"RICARDO COSTA LEITE")</f>
        <v>RICARDO COSTA LEITE</v>
      </c>
      <c r="B756" s="11"/>
      <c r="C756" s="11"/>
      <c r="D756" s="11" t="str">
        <f>IFERROR(__xludf.DUMMYFUNCTION("""COMPUTED_VALUE"""),"Enfermeiro eSF")</f>
        <v>Enfermeiro eSF</v>
      </c>
      <c r="E756" s="11" t="str">
        <f>IFERROR(__xludf.DUMMYFUNCTION("""COMPUTED_VALUE"""),"IV")</f>
        <v>IV</v>
      </c>
      <c r="F756" s="11" t="str">
        <f>IFERROR(__xludf.DUMMYFUNCTION("""COMPUTED_VALUE"""),"PACS TORROES")</f>
        <v>PACS TORROES</v>
      </c>
      <c r="G756" s="11" t="str">
        <f>IFERROR(__xludf.DUMMYFUNCTION("""COMPUTED_VALUE"""),"US 106 CS PROF JOAQUIM CAVALCANTE")</f>
        <v>US 106 CS PROF JOAQUIM CAVALCANTE</v>
      </c>
      <c r="H756" s="27">
        <f>IFERROR(__xludf.DUMMYFUNCTION("""COMPUTED_VALUE"""),81988598440)</f>
        <v>81988598440</v>
      </c>
      <c r="I756" s="11"/>
      <c r="J756" s="11"/>
      <c r="K756" s="11"/>
      <c r="L756" s="11"/>
      <c r="M756" s="28" t="str">
        <f>IFERROR(__xludf.DUMMYFUNCTION("""COMPUTED_VALUE"""),"3355-4425")</f>
        <v>3355-4425</v>
      </c>
      <c r="N756" s="11" t="str">
        <f>IFERROR(__xludf.DUMMYFUNCTION("""COMPUTED_VALUE"""),"ricardopacstorroes@gmail.com / leitecado@yahoo.com.br")</f>
        <v>ricardopacstorroes@gmail.com / leitecado@yahoo.com.br</v>
      </c>
      <c r="O756" s="29">
        <f>IFERROR(__xludf.DUMMYFUNCTION("""COMPUTED_VALUE"""),28506006449)</f>
        <v>28506006449</v>
      </c>
      <c r="P756" s="30" t="str">
        <f>IFERROR(__xludf.DUMMYFUNCTION("""COMPUTED_VALUE"""),"108754437180009")</f>
        <v>108754437180009</v>
      </c>
      <c r="Q756" s="30" t="str">
        <f>IFERROR(__xludf.DUMMYFUNCTION("""COMPUTED_VALUE"""),"0000639")</f>
        <v>0000639</v>
      </c>
      <c r="R756" s="30" t="str">
        <f>IFERROR(__xludf.DUMMYFUNCTION("""COMPUTED_VALUE"""),"0000152420")</f>
        <v>0000152420</v>
      </c>
      <c r="S756" s="30" t="str">
        <f>IFERROR(__xludf.DUMMYFUNCTION("""COMPUTED_VALUE"""),"1")</f>
        <v>1</v>
      </c>
      <c r="T756" s="30" t="str">
        <f>IFERROR(__xludf.DUMMYFUNCTION("""COMPUTED_VALUE"""),"223565")</f>
        <v>223565</v>
      </c>
      <c r="U756" s="31" t="str">
        <f>IFERROR(__xludf.DUMMYFUNCTION("""COMPUTED_VALUE"""),"2235")</f>
        <v>2235</v>
      </c>
      <c r="V756" s="11"/>
      <c r="W756" s="11" t="str">
        <f>IFERROR(__xludf.DUMMYFUNCTION("""COMPUTED_VALUE"""),"81 88598440")</f>
        <v>81 88598440</v>
      </c>
      <c r="X756" s="11" t="str">
        <f>IFERROR(__xludf.DUMMYFUNCTION("""COMPUTED_VALUE"""),"81 33556434")</f>
        <v>81 33556434</v>
      </c>
      <c r="Y756" s="11">
        <f>IFERROR(__xludf.DUMMYFUNCTION("""COMPUTED_VALUE"""),28506006449)</f>
        <v>28506006449</v>
      </c>
      <c r="Z756" s="11"/>
    </row>
    <row r="757" customHeight="1" spans="1:26">
      <c r="A757" s="11" t="str">
        <f>IFERROR(__xludf.DUMMYFUNCTION("""COMPUTED_VALUE"""),"VALDILENE ALVES LOURENCO")</f>
        <v>VALDILENE ALVES LOURENCO</v>
      </c>
      <c r="B757" s="11"/>
      <c r="C757" s="11"/>
      <c r="D757" s="11" t="str">
        <f>IFERROR(__xludf.DUMMYFUNCTION("""COMPUTED_VALUE"""),"Dentista")</f>
        <v>Dentista</v>
      </c>
      <c r="E757" s="11" t="str">
        <f>IFERROR(__xludf.DUMMYFUNCTION("""COMPUTED_VALUE"""),"IV")</f>
        <v>IV</v>
      </c>
      <c r="F757" s="11" t="str">
        <f>IFERROR(__xludf.DUMMYFUNCTION("""COMPUTED_VALUE"""),"US_106 CS PROF JOAQUIM CAVALCANTE	")</f>
        <v>US_106 CS PROF JOAQUIM CAVALCANTE	</v>
      </c>
      <c r="G757" s="11" t="str">
        <f>IFERROR(__xludf.DUMMYFUNCTION("""COMPUTED_VALUE"""),"US 106 CS PROF JOAQUIM CAVALCANTE")</f>
        <v>US 106 CS PROF JOAQUIM CAVALCANTE</v>
      </c>
      <c r="H757" s="27">
        <f>IFERROR(__xludf.DUMMYFUNCTION("""COMPUTED_VALUE"""),81996616269)</f>
        <v>81996616269</v>
      </c>
      <c r="I757" s="11"/>
      <c r="J757" s="11"/>
      <c r="K757" s="11"/>
      <c r="L757" s="11"/>
      <c r="M757" s="28" t="str">
        <f>IFERROR(__xludf.DUMMYFUNCTION("""COMPUTED_VALUE"""),"3355-4425")</f>
        <v>3355-4425</v>
      </c>
      <c r="N757" s="11"/>
      <c r="O757" s="29">
        <f>IFERROR(__xludf.DUMMYFUNCTION("""COMPUTED_VALUE"""),51366649400)</f>
        <v>51366649400</v>
      </c>
      <c r="P757" s="30" t="str">
        <f>IFERROR(__xludf.DUMMYFUNCTION("""COMPUTED_VALUE"""),"209066155040008")</f>
        <v>209066155040008</v>
      </c>
      <c r="Q757" s="30" t="str">
        <f>IFERROR(__xludf.DUMMYFUNCTION("""COMPUTED_VALUE"""),"0000639")</f>
        <v>0000639</v>
      </c>
      <c r="R757" s="30" t="str">
        <f>IFERROR(__xludf.DUMMYFUNCTION("""COMPUTED_VALUE"""),"9000063901")</f>
        <v>9000063901</v>
      </c>
      <c r="S757" s="30" t="str">
        <f>IFERROR(__xludf.DUMMYFUNCTION("""COMPUTED_VALUE"""),"1")</f>
        <v>1</v>
      </c>
      <c r="T757" s="30" t="str">
        <f>IFERROR(__xludf.DUMMYFUNCTION("""COMPUTED_VALUE"""),"223208 ")</f>
        <v>223208 </v>
      </c>
      <c r="U757" s="31">
        <f>IFERROR(__xludf.DUMMYFUNCTION("""COMPUTED_VALUE"""),2232)</f>
        <v>2232</v>
      </c>
      <c r="V757" s="11"/>
      <c r="W757" s="11"/>
      <c r="X757" s="11"/>
      <c r="Y757" s="11"/>
      <c r="Z757" s="11"/>
    </row>
    <row r="758" customHeight="1" spans="1:26">
      <c r="A758" s="11" t="str">
        <f>IFERROR(__xludf.DUMMYFUNCTION("""COMPUTED_VALUE"""),"ANA PAULA RANGEL PEREIRA")</f>
        <v>ANA PAULA RANGEL PEREIRA</v>
      </c>
      <c r="B758" s="11"/>
      <c r="C758" s="11"/>
      <c r="D758" s="11" t="str">
        <f>IFERROR(__xludf.DUMMYFUNCTION("""COMPUTED_VALUE"""),"Médica Ginecologista")</f>
        <v>Médica Ginecologista</v>
      </c>
      <c r="E758" s="11" t="str">
        <f>IFERROR(__xludf.DUMMYFUNCTION("""COMPUTED_VALUE"""),"IV")</f>
        <v>IV</v>
      </c>
      <c r="F758" s="11" t="str">
        <f>IFERROR(__xludf.DUMMYFUNCTION("""COMPUTED_VALUE"""),"US_165 MATERNIDADE BANDEIRA FILHO")</f>
        <v>US_165 MATERNIDADE BANDEIRA FILHO</v>
      </c>
      <c r="G758" s="11" t="str">
        <f>IFERROR(__xludf.DUMMYFUNCTION("""COMPUTED_VALUE"""),"US 112 CS DR JOSE DUSTAN CARVALHO SOARES")</f>
        <v>US 112 CS DR JOSE DUSTAN CARVALHO SOARES</v>
      </c>
      <c r="H758" s="27">
        <f>IFERROR(__xludf.DUMMYFUNCTION("""COMPUTED_VALUE"""),81996266896)</f>
        <v>81996266896</v>
      </c>
      <c r="I758" s="11"/>
      <c r="J758" s="11"/>
      <c r="K758" s="11"/>
      <c r="L758" s="11"/>
      <c r="M758" s="28" t="str">
        <f>IFERROR(__xludf.DUMMYFUNCTION("""COMPUTED_VALUE"""),"3355-4139")</f>
        <v>3355-4139</v>
      </c>
      <c r="N758" s="11" t="str">
        <f>IFERROR(__xludf.DUMMYFUNCTION("""COMPUTED_VALUE"""),"anapaularangel78@hotmail.com")</f>
        <v>anapaularangel78@hotmail.com</v>
      </c>
      <c r="O758" s="29">
        <f>IFERROR(__xludf.DUMMYFUNCTION("""COMPUTED_VALUE"""),2379301450)</f>
        <v>2379301450</v>
      </c>
      <c r="P758" s="30" t="str">
        <f>IFERROR(__xludf.DUMMYFUNCTION("""COMPUTED_VALUE"""),"206136093650007")</f>
        <v>206136093650007</v>
      </c>
      <c r="Q758" s="30" t="str">
        <f>IFERROR(__xludf.DUMMYFUNCTION("""COMPUTED_VALUE"""),"0001813")</f>
        <v>0001813</v>
      </c>
      <c r="R758" s="11"/>
      <c r="S758" s="30" t="str">
        <f>IFERROR(__xludf.DUMMYFUNCTION("""COMPUTED_VALUE"""),"1")</f>
        <v>1</v>
      </c>
      <c r="T758" s="30" t="str">
        <f>IFERROR(__xludf.DUMMYFUNCTION("""COMPUTED_VALUE"""),"225250")</f>
        <v>225250</v>
      </c>
      <c r="U758" s="31">
        <f>IFERROR(__xludf.DUMMYFUNCTION("""COMPUTED_VALUE"""),2252)</f>
        <v>2252</v>
      </c>
      <c r="V758" s="11"/>
      <c r="W758" s="30" t="str">
        <f>IFERROR(__xludf.DUMMYFUNCTION("""COMPUTED_VALUE"""),"25/01/1978")</f>
        <v>25/01/1978</v>
      </c>
      <c r="X758" s="11">
        <f>IFERROR(__xludf.DUMMYFUNCTION("""COMPUTED_VALUE"""),8134287878)</f>
        <v>8134287878</v>
      </c>
      <c r="Y758" s="11">
        <f>IFERROR(__xludf.DUMMYFUNCTION("""COMPUTED_VALUE"""),8196266896)</f>
        <v>8196266896</v>
      </c>
      <c r="Z758" s="11">
        <f>IFERROR(__xludf.DUMMYFUNCTION("""COMPUTED_VALUE"""),2379301450)</f>
        <v>2379301450</v>
      </c>
    </row>
    <row r="759" customHeight="1" spans="1:26">
      <c r="A759" s="11" t="str">
        <f>IFERROR(__xludf.DUMMYFUNCTION("""COMPUTED_VALUE"""),"RENATA DE MORAES C CAMINHA")</f>
        <v>RENATA DE MORAES C CAMINHA</v>
      </c>
      <c r="B759" s="11"/>
      <c r="C759" s="11"/>
      <c r="D759" s="11" t="str">
        <f>IFERROR(__xludf.DUMMYFUNCTION("""COMPUTED_VALUE"""),"Dentista")</f>
        <v>Dentista</v>
      </c>
      <c r="E759" s="11" t="str">
        <f>IFERROR(__xludf.DUMMYFUNCTION("""COMPUTED_VALUE"""),"IV")</f>
        <v>IV</v>
      </c>
      <c r="F759" s="11" t="str">
        <f>IFERROR(__xludf.DUMMYFUNCTION("""COMPUTED_VALUE"""),"US_397 USF UPINHA DIA ACS MARIA RITA DA SILVA /CORREGO DO EUCLIDES")</f>
        <v>US_397 USF UPINHA DIA ACS MARIA RITA DA SILVA /CORREGO DO EUCLIDES</v>
      </c>
      <c r="G759" s="11" t="str">
        <f>IFERROR(__xludf.DUMMYFUNCTION("""COMPUTED_VALUE"""),"US 112 CS DR JOSE DUSTAN CARVALHO SOARES")</f>
        <v>US 112 CS DR JOSE DUSTAN CARVALHO SOARES</v>
      </c>
      <c r="H759" s="27">
        <f>IFERROR(__xludf.DUMMYFUNCTION("""COMPUTED_VALUE"""),81987141103)</f>
        <v>81987141103</v>
      </c>
      <c r="I759" s="11"/>
      <c r="J759" s="11"/>
      <c r="K759" s="11"/>
      <c r="L759" s="11"/>
      <c r="M759" s="28" t="str">
        <f>IFERROR(__xludf.DUMMYFUNCTION("""COMPUTED_VALUE"""),"3355-4139")</f>
        <v>3355-4139</v>
      </c>
      <c r="N759" s="11" t="str">
        <f>IFERROR(__xludf.DUMMYFUNCTION("""COMPUTED_VALUE"""),"CAMINHA.RENATA@GMAIL.COM")</f>
        <v>CAMINHA.RENATA@GMAIL.COM</v>
      </c>
      <c r="O759" s="29">
        <f>IFERROR(__xludf.DUMMYFUNCTION("""COMPUTED_VALUE"""),91972698400)</f>
        <v>91972698400</v>
      </c>
      <c r="P759" s="30" t="str">
        <f>IFERROR(__xludf.DUMMYFUNCTION("""COMPUTED_VALUE"""),"703206603938399")</f>
        <v>703206603938399</v>
      </c>
      <c r="Q759" s="30" t="str">
        <f>IFERROR(__xludf.DUMMYFUNCTION("""COMPUTED_VALUE"""),"0001813")</f>
        <v>0001813</v>
      </c>
      <c r="R759" s="30" t="str">
        <f>IFERROR(__xludf.DUMMYFUNCTION("""COMPUTED_VALUE"""),"9000181301")</f>
        <v>9000181301</v>
      </c>
      <c r="S759" s="30" t="str">
        <f>IFERROR(__xludf.DUMMYFUNCTION("""COMPUTED_VALUE"""),"1")</f>
        <v>1</v>
      </c>
      <c r="T759" s="30" t="str">
        <f>IFERROR(__xludf.DUMMYFUNCTION("""COMPUTED_VALUE"""),"223293")</f>
        <v>223293</v>
      </c>
      <c r="U759" s="31">
        <f>IFERROR(__xludf.DUMMYFUNCTION("""COMPUTED_VALUE"""),2232)</f>
        <v>2232</v>
      </c>
      <c r="V759" s="11"/>
      <c r="W759" s="11"/>
      <c r="X759" s="11"/>
      <c r="Y759" s="11"/>
      <c r="Z759" s="11"/>
    </row>
    <row r="760" customHeight="1" spans="1:26">
      <c r="A760" s="11" t="str">
        <f>IFERROR(__xludf.DUMMYFUNCTION("""COMPUTED_VALUE"""),"FREDERIC HERBAUD")</f>
        <v>FREDERIC HERBAUD</v>
      </c>
      <c r="B760" s="11"/>
      <c r="C760" s="11"/>
      <c r="D760" s="11" t="str">
        <f>IFERROR(__xludf.DUMMYFUNCTION("""COMPUTED_VALUE"""),"Dentista")</f>
        <v>Dentista</v>
      </c>
      <c r="E760" s="11" t="str">
        <f>IFERROR(__xludf.DUMMYFUNCTION("""COMPUTED_VALUE"""),"IV")</f>
        <v>IV</v>
      </c>
      <c r="F760" s="11" t="str">
        <f>IFERROR(__xludf.DUMMYFUNCTION("""COMPUTED_VALUE"""),"US_149 CS OLINTO OLIVEIRA")</f>
        <v>US_149 CS OLINTO OLIVEIRA</v>
      </c>
      <c r="G760" s="11" t="str">
        <f>IFERROR(__xludf.DUMMYFUNCTION("""COMPUTED_VALUE"""),"US 149 CS OLINTO OLIVEIRA")</f>
        <v>US 149 CS OLINTO OLIVEIRA</v>
      </c>
      <c r="H760" s="27">
        <f>IFERROR(__xludf.DUMMYFUNCTION("""COMPUTED_VALUE"""),81992888147)</f>
        <v>81992888147</v>
      </c>
      <c r="I760" s="11"/>
      <c r="J760" s="11"/>
      <c r="K760" s="11"/>
      <c r="L760" s="11"/>
      <c r="M760" s="28" t="str">
        <f>IFERROR(__xludf.DUMMYFUNCTION("""COMPUTED_VALUE"""),"3355-6442/6443")</f>
        <v>3355-6442/6443</v>
      </c>
      <c r="N760" s="11" t="str">
        <f>IFERROR(__xludf.DUMMYFUNCTION("""COMPUTED_VALUE"""),"FREDHERBAUD@GMAIL.COM")</f>
        <v>FREDHERBAUD@GMAIL.COM</v>
      </c>
      <c r="O760" s="29">
        <f>IFERROR(__xludf.DUMMYFUNCTION("""COMPUTED_VALUE"""),59260645468)</f>
        <v>59260645468</v>
      </c>
      <c r="P760" s="30" t="str">
        <f>IFERROR(__xludf.DUMMYFUNCTION("""COMPUTED_VALUE"""),"124192507550018")</f>
        <v>124192507550018</v>
      </c>
      <c r="Q760" s="30" t="str">
        <f>IFERROR(__xludf.DUMMYFUNCTION("""COMPUTED_VALUE"""),"0000817")</f>
        <v>0000817</v>
      </c>
      <c r="R760" s="30" t="str">
        <f>IFERROR(__xludf.DUMMYFUNCTION("""COMPUTED_VALUE"""),"9000081701")</f>
        <v>9000081701</v>
      </c>
      <c r="S760" s="30" t="str">
        <f>IFERROR(__xludf.DUMMYFUNCTION("""COMPUTED_VALUE"""),"1")</f>
        <v>1</v>
      </c>
      <c r="T760" s="30" t="str">
        <f>IFERROR(__xludf.DUMMYFUNCTION("""COMPUTED_VALUE"""),"223208 ")</f>
        <v>223208 </v>
      </c>
      <c r="U760" s="31">
        <f>IFERROR(__xludf.DUMMYFUNCTION("""COMPUTED_VALUE"""),2232)</f>
        <v>2232</v>
      </c>
      <c r="V760" s="11"/>
      <c r="W760" s="11"/>
      <c r="X760" s="11"/>
      <c r="Y760" s="11"/>
      <c r="Z760" s="11"/>
    </row>
    <row r="761" customHeight="1" spans="1:26">
      <c r="A761" s="11" t="str">
        <f>IFERROR(__xludf.DUMMYFUNCTION("""COMPUTED_VALUE"""),"ANA STELLA SIQUEIRA CAMPOS DOS ANJOS BEZERRA")</f>
        <v>ANA STELLA SIQUEIRA CAMPOS DOS ANJOS BEZERRA</v>
      </c>
      <c r="B761" s="11"/>
      <c r="C761" s="11"/>
      <c r="D761" s="11" t="str">
        <f>IFERROR(__xludf.DUMMYFUNCTION("""COMPUTED_VALUE"""),"Médica eSF")</f>
        <v>Médica eSF</v>
      </c>
      <c r="E761" s="11" t="str">
        <f>IFERROR(__xludf.DUMMYFUNCTION("""COMPUTED_VALUE"""),"IV")</f>
        <v>IV</v>
      </c>
      <c r="F761" s="11" t="str">
        <f>IFERROR(__xludf.DUMMYFUNCTION("""COMPUTED_VALUE"""),"US_257 PSF GILBERTO FREIRE / BOLA NA REDE")</f>
        <v>US_257 PSF GILBERTO FREIRE / BOLA NA REDE</v>
      </c>
      <c r="G761" s="11" t="str">
        <f>IFERROR(__xludf.DUMMYFUNCTION("""COMPUTED_VALUE"""),"US_257 PSF GILBERTO FREIRE / BOLA NA REDE")</f>
        <v>US_257 PSF GILBERTO FREIRE / BOLA NA REDE</v>
      </c>
      <c r="H761" s="27">
        <f>IFERROR(__xludf.DUMMYFUNCTION("""COMPUTED_VALUE"""),81995050173)</f>
        <v>81995050173</v>
      </c>
      <c r="I761" s="11"/>
      <c r="J761" s="11"/>
      <c r="K761" s="11"/>
      <c r="L761" s="11"/>
      <c r="M761" s="28" t="str">
        <f>IFERROR(__xludf.DUMMYFUNCTION("""COMPUTED_VALUE"""),"3355-4716")</f>
        <v>3355-4716</v>
      </c>
      <c r="N761" s="11" t="str">
        <f>IFERROR(__xludf.DUMMYFUNCTION("""COMPUTED_VALUE"""),"tellacampos@hotmail.com")</f>
        <v>tellacampos@hotmail.com</v>
      </c>
      <c r="O761" s="29">
        <f>IFERROR(__xludf.DUMMYFUNCTION("""COMPUTED_VALUE"""),73280798434)</f>
        <v>73280798434</v>
      </c>
      <c r="P761" s="11" t="str">
        <f>IFERROR(__xludf.DUMMYFUNCTION("""COMPUTED_VALUE"""),"200353712390009")</f>
        <v>200353712390009</v>
      </c>
      <c r="Q761" s="30" t="str">
        <f>IFERROR(__xludf.DUMMYFUNCTION("""COMPUTED_VALUE"""),"0001511")</f>
        <v>0001511</v>
      </c>
      <c r="R761" s="11" t="str">
        <f>IFERROR(__xludf.DUMMYFUNCTION("""COMPUTED_VALUE"""),"0000153303")</f>
        <v>0000153303</v>
      </c>
      <c r="S761" s="30" t="str">
        <f>IFERROR(__xludf.DUMMYFUNCTION("""COMPUTED_VALUE"""),"1")</f>
        <v>1</v>
      </c>
      <c r="T761" s="30" t="str">
        <f>IFERROR(__xludf.DUMMYFUNCTION("""COMPUTED_VALUE"""),"225142")</f>
        <v>225142</v>
      </c>
      <c r="U761" s="31" t="str">
        <f>IFERROR(__xludf.DUMMYFUNCTION("""COMPUTED_VALUE"""),"2251")</f>
        <v>2251</v>
      </c>
      <c r="V761" s="11" t="str">
        <f>IFERROR(__xludf.DUMMYFUNCTION("""COMPUTED_VALUE"""),"SIM")</f>
        <v>SIM</v>
      </c>
      <c r="W761" s="11"/>
      <c r="X761" s="11" t="str">
        <f>IFERROR(__xludf.DUMMYFUNCTION("""COMPUTED_VALUE"""),"#N/A")</f>
        <v>#N/A</v>
      </c>
      <c r="Y761" s="11" t="str">
        <f>IFERROR(__xludf.DUMMYFUNCTION("""COMPUTED_VALUE"""),"#N/A")</f>
        <v>#N/A</v>
      </c>
      <c r="Z761" s="11" t="str">
        <f>IFERROR(__xludf.DUMMYFUNCTION("""COMPUTED_VALUE"""),"#N/A")</f>
        <v>#N/A</v>
      </c>
    </row>
    <row r="762" customHeight="1" spans="1:26">
      <c r="A762" s="11" t="str">
        <f>IFERROR(__xludf.DUMMYFUNCTION("""COMPUTED_VALUE"""),"ELZA EGYPTO NASCIMENTO")</f>
        <v>ELZA EGYPTO NASCIMENTO</v>
      </c>
      <c r="B762" s="11"/>
      <c r="C762" s="11"/>
      <c r="D762" s="11" t="str">
        <f>IFERROR(__xludf.DUMMYFUNCTION("""COMPUTED_VALUE"""),"Dentista")</f>
        <v>Dentista</v>
      </c>
      <c r="E762" s="11" t="str">
        <f>IFERROR(__xludf.DUMMYFUNCTION("""COMPUTED_VALUE"""),"IV")</f>
        <v>IV</v>
      </c>
      <c r="F762" s="11" t="str">
        <f>IFERROR(__xludf.DUMMYFUNCTION("""COMPUTED_VALUE"""),"US_442 USF UPINHA DIA SANTA LUZIA EMOCY KRAUSE")</f>
        <v>US_442 USF UPINHA DIA SANTA LUZIA EMOCY KRAUSE</v>
      </c>
      <c r="G762" s="11" t="str">
        <f>IFERROR(__xludf.DUMMYFUNCTION("""COMPUTED_VALUE"""),"US 184 USF VILA UNIAO")</f>
        <v>US 184 USF VILA UNIAO</v>
      </c>
      <c r="H762" s="27">
        <f>IFERROR(__xludf.DUMMYFUNCTION("""COMPUTED_VALUE"""),81999676800)</f>
        <v>81999676800</v>
      </c>
      <c r="I762" s="11"/>
      <c r="J762" s="11"/>
      <c r="K762" s="11"/>
      <c r="L762" s="11"/>
      <c r="M762" s="28" t="str">
        <f>IFERROR(__xludf.DUMMYFUNCTION("""COMPUTED_VALUE"""),"3355-4716")</f>
        <v>3355-4716</v>
      </c>
      <c r="N762" s="11" t="str">
        <f>IFERROR(__xludf.DUMMYFUNCTION("""COMPUTED_VALUE"""),"elzaegypto@gmail.com")</f>
        <v>elzaegypto@gmail.com</v>
      </c>
      <c r="O762" s="29">
        <f>IFERROR(__xludf.DUMMYFUNCTION("""COMPUTED_VALUE"""),49887041491)</f>
        <v>49887041491</v>
      </c>
      <c r="P762" s="30" t="str">
        <f>IFERROR(__xludf.DUMMYFUNCTION("""COMPUTED_VALUE"""),"170331405310000")</f>
        <v>170331405310000</v>
      </c>
      <c r="Q762" s="30" t="str">
        <f>IFERROR(__xludf.DUMMYFUNCTION("""COMPUTED_VALUE"""),"0001511")</f>
        <v>0001511</v>
      </c>
      <c r="R762" s="30" t="str">
        <f>IFERROR(__xludf.DUMMYFUNCTION("""COMPUTED_VALUE"""),"0001825542")</f>
        <v>0001825542</v>
      </c>
      <c r="S762" s="30" t="str">
        <f>IFERROR(__xludf.DUMMYFUNCTION("""COMPUTED_VALUE"""),"1")</f>
        <v>1</v>
      </c>
      <c r="T762" s="30" t="str">
        <f>IFERROR(__xludf.DUMMYFUNCTION("""COMPUTED_VALUE"""),"223293")</f>
        <v>223293</v>
      </c>
      <c r="U762" s="31">
        <f>IFERROR(__xludf.DUMMYFUNCTION("""COMPUTED_VALUE"""),2232)</f>
        <v>2232</v>
      </c>
      <c r="V762" s="11"/>
      <c r="W762" s="11"/>
      <c r="X762" s="11"/>
      <c r="Y762" s="11"/>
      <c r="Z762" s="11"/>
    </row>
    <row r="763" customHeight="1" spans="1:26">
      <c r="A763" s="11" t="str">
        <f>IFERROR(__xludf.DUMMYFUNCTION("""COMPUTED_VALUE"""),"JOSEANE CLECIA PATRIOTA NOGUEIRA DE CARVALHO")</f>
        <v>JOSEANE CLECIA PATRIOTA NOGUEIRA DE CARVALHO</v>
      </c>
      <c r="B763" s="11"/>
      <c r="C763" s="11"/>
      <c r="D763" s="11" t="str">
        <f>IFERROR(__xludf.DUMMYFUNCTION("""COMPUTED_VALUE"""),"Médica eSF")</f>
        <v>Médica eSF</v>
      </c>
      <c r="E763" s="11" t="str">
        <f>IFERROR(__xludf.DUMMYFUNCTION("""COMPUTED_VALUE"""),"IV")</f>
        <v>IV</v>
      </c>
      <c r="F763" s="11" t="str">
        <f>IFERROR(__xludf.DUMMYFUNCTION("""COMPUTED_VALUE"""),"US_184 USF VILA UNIAO / AIRTON SENA")</f>
        <v>US_184 USF VILA UNIAO / AIRTON SENA</v>
      </c>
      <c r="G763" s="11" t="str">
        <f>IFERROR(__xludf.DUMMYFUNCTION("""COMPUTED_VALUE"""),"US 184 USF VILA UNIAO")</f>
        <v>US 184 USF VILA UNIAO</v>
      </c>
      <c r="H763" s="27">
        <f>IFERROR(__xludf.DUMMYFUNCTION("""COMPUTED_VALUE"""),81988920228)</f>
        <v>81988920228</v>
      </c>
      <c r="I763" s="11"/>
      <c r="J763" s="11"/>
      <c r="K763" s="11"/>
      <c r="L763" s="11"/>
      <c r="M763" s="28" t="str">
        <f>IFERROR(__xludf.DUMMYFUNCTION("""COMPUTED_VALUE"""),"3355-4716")</f>
        <v>3355-4716</v>
      </c>
      <c r="N763" s="11" t="str">
        <f>IFERROR(__xludf.DUMMYFUNCTION("""COMPUTED_VALUE"""),"joseane.clecia@ig.com.br")</f>
        <v>joseane.clecia@ig.com.br</v>
      </c>
      <c r="O763" s="29">
        <f>IFERROR(__xludf.DUMMYFUNCTION("""COMPUTED_VALUE"""),94579440463)</f>
        <v>94579440463</v>
      </c>
      <c r="P763" s="30" t="str">
        <f>IFERROR(__xludf.DUMMYFUNCTION("""COMPUTED_VALUE"""),"190129753200006")</f>
        <v>190129753200006</v>
      </c>
      <c r="Q763" s="30" t="str">
        <f>IFERROR(__xludf.DUMMYFUNCTION("""COMPUTED_VALUE"""),"0001511")</f>
        <v>0001511</v>
      </c>
      <c r="R763" s="30" t="str">
        <f>IFERROR(__xludf.DUMMYFUNCTION("""COMPUTED_VALUE"""),"0000153281")</f>
        <v>0000153281</v>
      </c>
      <c r="S763" s="30" t="str">
        <f>IFERROR(__xludf.DUMMYFUNCTION("""COMPUTED_VALUE"""),"1")</f>
        <v>1</v>
      </c>
      <c r="T763" s="30" t="str">
        <f>IFERROR(__xludf.DUMMYFUNCTION("""COMPUTED_VALUE"""),"225142")</f>
        <v>225142</v>
      </c>
      <c r="U763" s="31" t="str">
        <f>IFERROR(__xludf.DUMMYFUNCTION("""COMPUTED_VALUE"""),"2251")</f>
        <v>2251</v>
      </c>
      <c r="V763" s="11"/>
      <c r="W763" s="11"/>
      <c r="X763" s="11" t="str">
        <f>IFERROR(__xludf.DUMMYFUNCTION("""COMPUTED_VALUE"""),"#N/A")</f>
        <v>#N/A</v>
      </c>
      <c r="Y763" s="11" t="str">
        <f>IFERROR(__xludf.DUMMYFUNCTION("""COMPUTED_VALUE"""),"#N/A")</f>
        <v>#N/A</v>
      </c>
      <c r="Z763" s="11" t="str">
        <f>IFERROR(__xludf.DUMMYFUNCTION("""COMPUTED_VALUE"""),"#N/A")</f>
        <v>#N/A</v>
      </c>
    </row>
    <row r="764" customHeight="1" spans="1:26">
      <c r="A764" s="11" t="str">
        <f>IFERROR(__xludf.DUMMYFUNCTION("""COMPUTED_VALUE"""),"MARILIA CAMINHA PESSOA DA COSTA")</f>
        <v>MARILIA CAMINHA PESSOA DA COSTA</v>
      </c>
      <c r="B764" s="11"/>
      <c r="C764" s="11"/>
      <c r="D764" s="11" t="str">
        <f>IFERROR(__xludf.DUMMYFUNCTION("""COMPUTED_VALUE"""),"Enfermeira eSF")</f>
        <v>Enfermeira eSF</v>
      </c>
      <c r="E764" s="11" t="str">
        <f>IFERROR(__xludf.DUMMYFUNCTION("""COMPUTED_VALUE"""),"IV")</f>
        <v>IV</v>
      </c>
      <c r="F764" s="11" t="str">
        <f>IFERROR(__xludf.DUMMYFUNCTION("""COMPUTED_VALUE"""),"US_184 USF VILA UNIAO / AIRTON SENA")</f>
        <v>US_184 USF VILA UNIAO / AIRTON SENA</v>
      </c>
      <c r="G764" s="11" t="str">
        <f>IFERROR(__xludf.DUMMYFUNCTION("""COMPUTED_VALUE"""),"US 184 USF VILA UNIAO")</f>
        <v>US 184 USF VILA UNIAO</v>
      </c>
      <c r="H764" s="27">
        <f>IFERROR(__xludf.DUMMYFUNCTION("""COMPUTED_VALUE"""),81988329056)</f>
        <v>81988329056</v>
      </c>
      <c r="I764" s="11"/>
      <c r="J764" s="11"/>
      <c r="K764" s="11"/>
      <c r="L764" s="11"/>
      <c r="M764" s="28" t="str">
        <f>IFERROR(__xludf.DUMMYFUNCTION("""COMPUTED_VALUE"""),"3355-4716")</f>
        <v>3355-4716</v>
      </c>
      <c r="N764" s="11" t="str">
        <f>IFERROR(__xludf.DUMMYFUNCTION("""COMPUTED_VALUE"""),"marilia.pessoa@bol.com.br / mariliacaminhapessoa@gmail.com")</f>
        <v>marilia.pessoa@bol.com.br / mariliacaminhapessoa@gmail.com</v>
      </c>
      <c r="O764" s="29">
        <f>IFERROR(__xludf.DUMMYFUNCTION("""COMPUTED_VALUE"""),2939710481)</f>
        <v>2939710481</v>
      </c>
      <c r="P764" s="30" t="str">
        <f>IFERROR(__xludf.DUMMYFUNCTION("""COMPUTED_VALUE"""),"201561291610002")</f>
        <v>201561291610002</v>
      </c>
      <c r="Q764" s="30" t="str">
        <f>IFERROR(__xludf.DUMMYFUNCTION("""COMPUTED_VALUE"""),"0001511")</f>
        <v>0001511</v>
      </c>
      <c r="R764" s="30" t="str">
        <f>IFERROR(__xludf.DUMMYFUNCTION("""COMPUTED_VALUE"""),"0000153303")</f>
        <v>0000153303</v>
      </c>
      <c r="S764" s="30" t="str">
        <f>IFERROR(__xludf.DUMMYFUNCTION("""COMPUTED_VALUE"""),"1")</f>
        <v>1</v>
      </c>
      <c r="T764" s="30" t="str">
        <f>IFERROR(__xludf.DUMMYFUNCTION("""COMPUTED_VALUE"""),"223565")</f>
        <v>223565</v>
      </c>
      <c r="U764" s="31" t="str">
        <f>IFERROR(__xludf.DUMMYFUNCTION("""COMPUTED_VALUE"""),"2235")</f>
        <v>2235</v>
      </c>
      <c r="V764" s="11"/>
      <c r="W764" s="11" t="str">
        <f>IFERROR(__xludf.DUMMYFUNCTION("""COMPUTED_VALUE"""),"81 8832-905")</f>
        <v>81 8832-905</v>
      </c>
      <c r="X764" s="11">
        <f>IFERROR(__xludf.DUMMYFUNCTION("""COMPUTED_VALUE"""),8386170776)</f>
        <v>8386170776</v>
      </c>
      <c r="Y764" s="11">
        <f>IFERROR(__xludf.DUMMYFUNCTION("""COMPUTED_VALUE"""),2939710481)</f>
        <v>2939710481</v>
      </c>
      <c r="Z764" s="11"/>
    </row>
    <row r="765" customHeight="1" spans="1:26">
      <c r="A765" s="11" t="str">
        <f>IFERROR(__xludf.DUMMYFUNCTION("""COMPUTED_VALUE"""),"RENATA DE OLIVEIRA ROSSITER")</f>
        <v>RENATA DE OLIVEIRA ROSSITER</v>
      </c>
      <c r="B765" s="11"/>
      <c r="C765" s="11"/>
      <c r="D765" s="11" t="str">
        <f>IFERROR(__xludf.DUMMYFUNCTION("""COMPUTED_VALUE"""),"Médica eSF")</f>
        <v>Médica eSF</v>
      </c>
      <c r="E765" s="11" t="str">
        <f>IFERROR(__xludf.DUMMYFUNCTION("""COMPUTED_VALUE"""),"IV")</f>
        <v>IV</v>
      </c>
      <c r="F765" s="11" t="str">
        <f>IFERROR(__xludf.DUMMYFUNCTION("""COMPUTED_VALUE"""),"US_224 USF CARANGUEJO")</f>
        <v>US_224 USF CARANGUEJO</v>
      </c>
      <c r="G765" s="11" t="str">
        <f>IFERROR(__xludf.DUMMYFUNCTION("""COMPUTED_VALUE"""),"US 224 USF CARANGUEJO")</f>
        <v>US 224 USF CARANGUEJO</v>
      </c>
      <c r="H765" s="27">
        <f>IFERROR(__xludf.DUMMYFUNCTION("""COMPUTED_VALUE"""),81992983018)</f>
        <v>81992983018</v>
      </c>
      <c r="I765" s="11"/>
      <c r="J765" s="11"/>
      <c r="K765" s="11"/>
      <c r="L765" s="11"/>
      <c r="M765" s="28" t="str">
        <f>IFERROR(__xludf.DUMMYFUNCTION("""COMPUTED_VALUE"""),"3355-4644")</f>
        <v>3355-4644</v>
      </c>
      <c r="N765" s="11" t="str">
        <f>IFERROR(__xludf.DUMMYFUNCTION("""COMPUTED_VALUE"""),"renatinharossiter@gmail.com")</f>
        <v>renatinharossiter@gmail.com</v>
      </c>
      <c r="O765" s="29">
        <f>IFERROR(__xludf.DUMMYFUNCTION("""COMPUTED_VALUE"""),2430277450)</f>
        <v>2430277450</v>
      </c>
      <c r="P765" s="30" t="str">
        <f>IFERROR(__xludf.DUMMYFUNCTION("""COMPUTED_VALUE"""),"204324220850018")</f>
        <v>204324220850018</v>
      </c>
      <c r="Q765" s="30" t="str">
        <f>IFERROR(__xludf.DUMMYFUNCTION("""COMPUTED_VALUE"""),"0022373")</f>
        <v>0022373</v>
      </c>
      <c r="R765" s="30" t="str">
        <f>IFERROR(__xludf.DUMMYFUNCTION("""COMPUTED_VALUE"""),"0000153923")</f>
        <v>0000153923</v>
      </c>
      <c r="S765" s="30" t="str">
        <f>IFERROR(__xludf.DUMMYFUNCTION("""COMPUTED_VALUE"""),"1")</f>
        <v>1</v>
      </c>
      <c r="T765" s="30" t="str">
        <f>IFERROR(__xludf.DUMMYFUNCTION("""COMPUTED_VALUE"""),"225142")</f>
        <v>225142</v>
      </c>
      <c r="U765" s="31" t="str">
        <f>IFERROR(__xludf.DUMMYFUNCTION("""COMPUTED_VALUE"""),"2251")</f>
        <v>2251</v>
      </c>
      <c r="V765" s="11" t="str">
        <f>IFERROR(__xludf.DUMMYFUNCTION("""COMPUTED_VALUE"""),"SIM")</f>
        <v>SIM</v>
      </c>
      <c r="W765" s="11"/>
      <c r="X765" s="11">
        <f>IFERROR(__xludf.DUMMYFUNCTION("""COMPUTED_VALUE"""),92983018)</f>
        <v>92983018</v>
      </c>
      <c r="Y765" s="11">
        <f>IFERROR(__xludf.DUMMYFUNCTION("""COMPUTED_VALUE"""),34321893)</f>
        <v>34321893</v>
      </c>
      <c r="Z765" s="11">
        <f>IFERROR(__xludf.DUMMYFUNCTION("""COMPUTED_VALUE"""),2430277450)</f>
        <v>2430277450</v>
      </c>
    </row>
    <row r="766" customHeight="1" spans="1:26">
      <c r="A766" s="11" t="str">
        <f>IFERROR(__xludf.DUMMYFUNCTION("""COMPUTED_VALUE"""),"SHEILA PINA ALMEIDA")</f>
        <v>SHEILA PINA ALMEIDA</v>
      </c>
      <c r="B766" s="11" t="str">
        <f>IFERROR(__xludf.DUMMYFUNCTION("""COMPUTED_VALUE"""),"reunião na unidade nas quartas")</f>
        <v>reunião na unidade nas quartas</v>
      </c>
      <c r="C766" s="11"/>
      <c r="D766" s="11" t="str">
        <f>IFERROR(__xludf.DUMMYFUNCTION("""COMPUTED_VALUE"""),"Enfermeira eSF")</f>
        <v>Enfermeira eSF</v>
      </c>
      <c r="E766" s="11" t="str">
        <f>IFERROR(__xludf.DUMMYFUNCTION("""COMPUTED_VALUE"""),"IV")</f>
        <v>IV</v>
      </c>
      <c r="F766" s="11" t="str">
        <f>IFERROR(__xludf.DUMMYFUNCTION("""COMPUTED_VALUE"""),"US_224 USF CARANGUEJO")</f>
        <v>US_224 USF CARANGUEJO</v>
      </c>
      <c r="G766" s="11" t="str">
        <f>IFERROR(__xludf.DUMMYFUNCTION("""COMPUTED_VALUE"""),"US 224 USF CARANGUEJO")</f>
        <v>US 224 USF CARANGUEJO</v>
      </c>
      <c r="H766" s="27">
        <f>IFERROR(__xludf.DUMMYFUNCTION("""COMPUTED_VALUE"""),81986390358)</f>
        <v>81986390358</v>
      </c>
      <c r="I766" s="11"/>
      <c r="J766" s="11"/>
      <c r="K766" s="11"/>
      <c r="L766" s="11"/>
      <c r="M766" s="28" t="str">
        <f>IFERROR(__xludf.DUMMYFUNCTION("""COMPUTED_VALUE"""),"3355-4644")</f>
        <v>3355-4644</v>
      </c>
      <c r="N766" s="11" t="str">
        <f>IFERROR(__xludf.DUMMYFUNCTION("""COMPUTED_VALUE"""),"almeida_spi@hotmail.com")</f>
        <v>almeida_spi@hotmail.com</v>
      </c>
      <c r="O766" s="29">
        <f>IFERROR(__xludf.DUMMYFUNCTION("""COMPUTED_VALUE"""),765184427)</f>
        <v>765184427</v>
      </c>
      <c r="P766" s="30" t="str">
        <f>IFERROR(__xludf.DUMMYFUNCTION("""COMPUTED_VALUE"""),"980016276546629")</f>
        <v>980016276546629</v>
      </c>
      <c r="Q766" s="30" t="str">
        <f>IFERROR(__xludf.DUMMYFUNCTION("""COMPUTED_VALUE"""),"0022373")</f>
        <v>0022373</v>
      </c>
      <c r="R766" s="30" t="str">
        <f>IFERROR(__xludf.DUMMYFUNCTION("""COMPUTED_VALUE"""),"0000153915")</f>
        <v>0000153915</v>
      </c>
      <c r="S766" s="30" t="str">
        <f>IFERROR(__xludf.DUMMYFUNCTION("""COMPUTED_VALUE"""),"1")</f>
        <v>1</v>
      </c>
      <c r="T766" s="30" t="str">
        <f>IFERROR(__xludf.DUMMYFUNCTION("""COMPUTED_VALUE"""),"223565")</f>
        <v>223565</v>
      </c>
      <c r="U766" s="31" t="str">
        <f>IFERROR(__xludf.DUMMYFUNCTION("""COMPUTED_VALUE"""),"2235")</f>
        <v>2235</v>
      </c>
      <c r="V766" s="11"/>
      <c r="W766" s="11">
        <f>IFERROR(__xludf.DUMMYFUNCTION("""COMPUTED_VALUE"""),8186390358)</f>
        <v>8186390358</v>
      </c>
      <c r="X766" s="11"/>
      <c r="Y766" s="11">
        <f>IFERROR(__xludf.DUMMYFUNCTION("""COMPUTED_VALUE"""),765184427)</f>
        <v>765184427</v>
      </c>
      <c r="Z766" s="11"/>
    </row>
    <row r="767" customHeight="1" spans="1:26">
      <c r="A767" s="11" t="str">
        <f>IFERROR(__xludf.DUMMYFUNCTION("""COMPUTED_VALUE"""),"ALESSANDRA MOURA BATISTA")</f>
        <v>ALESSANDRA MOURA BATISTA</v>
      </c>
      <c r="B767" s="11"/>
      <c r="C767" s="11"/>
      <c r="D767" s="11" t="str">
        <f>IFERROR(__xludf.DUMMYFUNCTION("""COMPUTED_VALUE"""),"Dentista")</f>
        <v>Dentista</v>
      </c>
      <c r="E767" s="11" t="str">
        <f>IFERROR(__xludf.DUMMYFUNCTION("""COMPUTED_VALUE"""),"IV")</f>
        <v>IV</v>
      </c>
      <c r="F767" s="11" t="str">
        <f>IFERROR(__xludf.DUMMYFUNCTION("""COMPUTED_VALUE"""),"US_225 USF SKYLAB II")</f>
        <v>US_225 USF SKYLAB II</v>
      </c>
      <c r="G767" s="11" t="str">
        <f>IFERROR(__xludf.DUMMYFUNCTION("""COMPUTED_VALUE"""),"US 225 USF SKYLAB II")</f>
        <v>US 225 USF SKYLAB II</v>
      </c>
      <c r="H767" s="27">
        <f>IFERROR(__xludf.DUMMYFUNCTION("""COMPUTED_VALUE"""),81999450808)</f>
        <v>81999450808</v>
      </c>
      <c r="I767" s="11"/>
      <c r="J767" s="11"/>
      <c r="K767" s="11"/>
      <c r="L767" s="11"/>
      <c r="M767" s="28" t="str">
        <f>IFERROR(__xludf.DUMMYFUNCTION("""COMPUTED_VALUE"""),"3355-6933")</f>
        <v>3355-6933</v>
      </c>
      <c r="N767" s="11" t="str">
        <f>IFERROR(__xludf.DUMMYFUNCTION("""COMPUTED_VALUE"""),"sandrinhamoura@hotmail.com")</f>
        <v>sandrinhamoura@hotmail.com</v>
      </c>
      <c r="O767" s="29">
        <f>IFERROR(__xludf.DUMMYFUNCTION("""COMPUTED_VALUE"""),3049527455)</f>
        <v>3049527455</v>
      </c>
      <c r="P767" s="30" t="str">
        <f>IFERROR(__xludf.DUMMYFUNCTION("""COMPUTED_VALUE"""),"980016278453997")</f>
        <v>980016278453997</v>
      </c>
      <c r="Q767" s="30" t="str">
        <f>IFERROR(__xludf.DUMMYFUNCTION("""COMPUTED_VALUE"""),"0022306")</f>
        <v>0022306</v>
      </c>
      <c r="R767" s="30" t="str">
        <f>IFERROR(__xludf.DUMMYFUNCTION("""COMPUTED_VALUE"""),"0001833154")</f>
        <v>0001833154</v>
      </c>
      <c r="S767" s="30" t="str">
        <f>IFERROR(__xludf.DUMMYFUNCTION("""COMPUTED_VALUE"""),"1")</f>
        <v>1</v>
      </c>
      <c r="T767" s="30" t="str">
        <f>IFERROR(__xludf.DUMMYFUNCTION("""COMPUTED_VALUE"""),"223293")</f>
        <v>223293</v>
      </c>
      <c r="U767" s="31">
        <f>IFERROR(__xludf.DUMMYFUNCTION("""COMPUTED_VALUE"""),2232)</f>
        <v>2232</v>
      </c>
      <c r="V767" s="11"/>
      <c r="W767" s="11"/>
      <c r="X767" s="11"/>
      <c r="Y767" s="11"/>
      <c r="Z767" s="11"/>
    </row>
    <row r="768" customHeight="1" spans="1:26">
      <c r="A768" s="11" t="str">
        <f>IFERROR(__xludf.DUMMYFUNCTION("""COMPUTED_VALUE"""),"CHARLES ROBERTO CAMPOS PAULINO")</f>
        <v>CHARLES ROBERTO CAMPOS PAULINO</v>
      </c>
      <c r="B768" s="11" t="str">
        <f>IFERROR(__xludf.DUMMYFUNCTION("""COMPUTED_VALUE"""),"horário incompatível nas quartas à tarde ")</f>
        <v>horário incompatível nas quartas à tarde </v>
      </c>
      <c r="C768" s="11"/>
      <c r="D768" s="11" t="str">
        <f>IFERROR(__xludf.DUMMYFUNCTION("""COMPUTED_VALUE"""),"Médico eSF")</f>
        <v>Médico eSF</v>
      </c>
      <c r="E768" s="11" t="str">
        <f>IFERROR(__xludf.DUMMYFUNCTION("""COMPUTED_VALUE"""),"IV")</f>
        <v>IV</v>
      </c>
      <c r="F768" s="11" t="str">
        <f>IFERROR(__xludf.DUMMYFUNCTION("""COMPUTED_VALUE"""),"US_225 USF SKYLAB II")</f>
        <v>US_225 USF SKYLAB II</v>
      </c>
      <c r="G768" s="11" t="str">
        <f>IFERROR(__xludf.DUMMYFUNCTION("""COMPUTED_VALUE"""),"US 254 USF BRASILIT	")</f>
        <v>US 254 USF BRASILIT	</v>
      </c>
      <c r="H768" s="27">
        <f>IFERROR(__xludf.DUMMYFUNCTION("""COMPUTED_VALUE"""),81981754488)</f>
        <v>81981754488</v>
      </c>
      <c r="I768" s="27">
        <f>IFERROR(__xludf.DUMMYFUNCTION("""COMPUTED_VALUE"""),81996067319)</f>
        <v>81996067319</v>
      </c>
      <c r="J768" s="11"/>
      <c r="K768" s="24">
        <f>IFERROR(__xludf.DUMMYFUNCTION("""COMPUTED_VALUE"""),45152)</f>
        <v>45152</v>
      </c>
      <c r="L768" s="11"/>
      <c r="M768" s="28" t="str">
        <f>IFERROR(__xludf.DUMMYFUNCTION("""COMPUTED_VALUE"""),"3355-6933")</f>
        <v>3355-6933</v>
      </c>
      <c r="N768" s="11" t="str">
        <f>IFERROR(__xludf.DUMMYFUNCTION("""COMPUTED_VALUE"""),"cpaulino@oi.com.br / cpaulino@hotmail.com.br")</f>
        <v>cpaulino@oi.com.br / cpaulino@hotmail.com.br</v>
      </c>
      <c r="O768" s="29">
        <f>IFERROR(__xludf.DUMMYFUNCTION("""COMPUTED_VALUE"""),80658180487)</f>
        <v>80658180487</v>
      </c>
      <c r="P768" s="30" t="str">
        <f>IFERROR(__xludf.DUMMYFUNCTION("""COMPUTED_VALUE"""),"190108707850000")</f>
        <v>190108707850000</v>
      </c>
      <c r="Q768" s="30" t="str">
        <f>IFERROR(__xludf.DUMMYFUNCTION("""COMPUTED_VALUE"""),"0022306")</f>
        <v>0022306</v>
      </c>
      <c r="R768" s="30" t="str">
        <f>IFERROR(__xludf.DUMMYFUNCTION("""COMPUTED_VALUE"""),"0000153818")</f>
        <v>0000153818</v>
      </c>
      <c r="S768" s="30" t="str">
        <f>IFERROR(__xludf.DUMMYFUNCTION("""COMPUTED_VALUE"""),"1")</f>
        <v>1</v>
      </c>
      <c r="T768" s="30" t="str">
        <f>IFERROR(__xludf.DUMMYFUNCTION("""COMPUTED_VALUE"""),"225142")</f>
        <v>225142</v>
      </c>
      <c r="U768" s="31" t="str">
        <f>IFERROR(__xludf.DUMMYFUNCTION("""COMPUTED_VALUE"""),"2251")</f>
        <v>2251</v>
      </c>
      <c r="V768" s="11"/>
      <c r="W768" s="11"/>
      <c r="X768" s="11">
        <f>IFERROR(__xludf.DUMMYFUNCTION("""COMPUTED_VALUE"""),83988994468)</f>
        <v>83988994468</v>
      </c>
      <c r="Y768" s="11">
        <f>IFERROR(__xludf.DUMMYFUNCTION("""COMPUTED_VALUE"""),81981754488)</f>
        <v>81981754488</v>
      </c>
      <c r="Z768" s="11">
        <f>IFERROR(__xludf.DUMMYFUNCTION("""COMPUTED_VALUE"""),80658180487)</f>
        <v>80658180487</v>
      </c>
    </row>
    <row r="769" customHeight="1" spans="1:26">
      <c r="A769" s="11" t="str">
        <f>IFERROR(__xludf.DUMMYFUNCTION("""COMPUTED_VALUE"""),"FABIOLLA MARQUES PERAZZO")</f>
        <v>FABIOLLA MARQUES PERAZZO</v>
      </c>
      <c r="B769" s="11"/>
      <c r="C769" s="11"/>
      <c r="D769" s="11" t="str">
        <f>IFERROR(__xludf.DUMMYFUNCTION("""COMPUTED_VALUE"""),"Enfermeira eSF")</f>
        <v>Enfermeira eSF</v>
      </c>
      <c r="E769" s="11" t="str">
        <f>IFERROR(__xludf.DUMMYFUNCTION("""COMPUTED_VALUE"""),"IV")</f>
        <v>IV</v>
      </c>
      <c r="F769" s="11" t="str">
        <f>IFERROR(__xludf.DUMMYFUNCTION("""COMPUTED_VALUE"""),"US_225 USF SKYLAB II")</f>
        <v>US_225 USF SKYLAB II</v>
      </c>
      <c r="G769" s="11" t="str">
        <f>IFERROR(__xludf.DUMMYFUNCTION("""COMPUTED_VALUE"""),"US 225 USF SKYLAB II")</f>
        <v>US 225 USF SKYLAB II</v>
      </c>
      <c r="H769" s="27">
        <f>IFERROR(__xludf.DUMMYFUNCTION("""COMPUTED_VALUE"""),81999378653)</f>
        <v>81999378653</v>
      </c>
      <c r="I769" s="27">
        <f>IFERROR(__xludf.DUMMYFUNCTION("""COMPUTED_VALUE"""),81982085800)</f>
        <v>81982085800</v>
      </c>
      <c r="J769" s="11"/>
      <c r="K769" s="11"/>
      <c r="L769" s="11"/>
      <c r="M769" s="28" t="str">
        <f>IFERROR(__xludf.DUMMYFUNCTION("""COMPUTED_VALUE"""),"3355-6933")</f>
        <v>3355-6933</v>
      </c>
      <c r="N769" s="11" t="str">
        <f>IFERROR(__xludf.DUMMYFUNCTION("""COMPUTED_VALUE"""),"fabiolla_perazzo@hotmail.com")</f>
        <v>fabiolla_perazzo@hotmail.com</v>
      </c>
      <c r="O769" s="29">
        <f>IFERROR(__xludf.DUMMYFUNCTION("""COMPUTED_VALUE"""),4163373411)</f>
        <v>4163373411</v>
      </c>
      <c r="P769" s="30" t="str">
        <f>IFERROR(__xludf.DUMMYFUNCTION("""COMPUTED_VALUE"""),"980016277394008")</f>
        <v>980016277394008</v>
      </c>
      <c r="Q769" s="30" t="str">
        <f>IFERROR(__xludf.DUMMYFUNCTION("""COMPUTED_VALUE"""),"0022306")</f>
        <v>0022306</v>
      </c>
      <c r="R769" s="30" t="str">
        <f>IFERROR(__xludf.DUMMYFUNCTION("""COMPUTED_VALUE"""),"0000153818")</f>
        <v>0000153818</v>
      </c>
      <c r="S769" s="30" t="str">
        <f>IFERROR(__xludf.DUMMYFUNCTION("""COMPUTED_VALUE"""),"1")</f>
        <v>1</v>
      </c>
      <c r="T769" s="30" t="str">
        <f>IFERROR(__xludf.DUMMYFUNCTION("""COMPUTED_VALUE"""),"223565")</f>
        <v>223565</v>
      </c>
      <c r="U769" s="31" t="str">
        <f>IFERROR(__xludf.DUMMYFUNCTION("""COMPUTED_VALUE"""),"2235")</f>
        <v>2235</v>
      </c>
      <c r="V769" s="11"/>
      <c r="W769" s="11">
        <f>IFERROR(__xludf.DUMMYFUNCTION("""COMPUTED_VALUE"""),8199378653)</f>
        <v>8199378653</v>
      </c>
      <c r="X769" s="11"/>
      <c r="Y769" s="11">
        <f>IFERROR(__xludf.DUMMYFUNCTION("""COMPUTED_VALUE"""),4163373411)</f>
        <v>4163373411</v>
      </c>
      <c r="Z769" s="11"/>
    </row>
    <row r="770" customHeight="1" spans="1:26">
      <c r="A770" s="11" t="str">
        <f>IFERROR(__xludf.DUMMYFUNCTION("""COMPUTED_VALUE"""),"ROMUALDO DIASSIS GONCALVES GALINDO")</f>
        <v>ROMUALDO DIASSIS GONCALVES GALINDO</v>
      </c>
      <c r="B770" s="11"/>
      <c r="C770" s="11"/>
      <c r="D770" s="11" t="str">
        <f>IFERROR(__xludf.DUMMYFUNCTION("""COMPUTED_VALUE"""),"Médico eSF")</f>
        <v>Médico eSF</v>
      </c>
      <c r="E770" s="11" t="str">
        <f>IFERROR(__xludf.DUMMYFUNCTION("""COMPUTED_VALUE"""),"IV")</f>
        <v>IV</v>
      </c>
      <c r="F770" s="11" t="str">
        <f>IFERROR(__xludf.DUMMYFUNCTION("""COMPUTED_VALUE"""),"US_163 HOSPITAL DE PEDIATRIA HELENA MOURA")</f>
        <v>US_163 HOSPITAL DE PEDIATRIA HELENA MOURA</v>
      </c>
      <c r="G770" s="11" t="str">
        <f>IFERROR(__xludf.DUMMYFUNCTION("""COMPUTED_VALUE"""),"US 225 USF SKYLAB II")</f>
        <v>US 225 USF SKYLAB II</v>
      </c>
      <c r="H770" s="27">
        <f>IFERROR(__xludf.DUMMYFUNCTION("""COMPUTED_VALUE"""),81995371819)</f>
        <v>81995371819</v>
      </c>
      <c r="I770" s="27">
        <f>IFERROR(__xludf.DUMMYFUNCTION("""COMPUTED_VALUE"""),81987156684)</f>
        <v>81987156684</v>
      </c>
      <c r="J770" s="11"/>
      <c r="K770" s="24">
        <f>IFERROR(__xludf.DUMMYFUNCTION("""COMPUTED_VALUE"""),45281)</f>
        <v>45281</v>
      </c>
      <c r="L770" s="11"/>
      <c r="M770" s="28" t="str">
        <f>IFERROR(__xludf.DUMMYFUNCTION("""COMPUTED_VALUE"""),"3355-6933")</f>
        <v>3355-6933</v>
      </c>
      <c r="N770" s="11" t="str">
        <f>IFERROR(__xludf.DUMMYFUNCTION("""COMPUTED_VALUE"""),"romtangalindo@uol.com.br")</f>
        <v>romtangalindo@uol.com.br</v>
      </c>
      <c r="O770" s="29">
        <f>IFERROR(__xludf.DUMMYFUNCTION("""COMPUTED_VALUE"""),39681661591)</f>
        <v>39681661591</v>
      </c>
      <c r="P770" s="30" t="str">
        <f>IFERROR(__xludf.DUMMYFUNCTION("""COMPUTED_VALUE"""),"180879957700003")</f>
        <v>180879957700003</v>
      </c>
      <c r="Q770" s="30" t="str">
        <f>IFERROR(__xludf.DUMMYFUNCTION("""COMPUTED_VALUE"""),"0022306")</f>
        <v>0022306</v>
      </c>
      <c r="R770" s="30" t="str">
        <f>IFERROR(__xludf.DUMMYFUNCTION("""COMPUTED_VALUE"""),"0000153796")</f>
        <v>0000153796</v>
      </c>
      <c r="S770" s="30" t="str">
        <f>IFERROR(__xludf.DUMMYFUNCTION("""COMPUTED_VALUE"""),"1")</f>
        <v>1</v>
      </c>
      <c r="T770" s="30" t="str">
        <f>IFERROR(__xludf.DUMMYFUNCTION("""COMPUTED_VALUE"""),"225142")</f>
        <v>225142</v>
      </c>
      <c r="U770" s="31" t="str">
        <f>IFERROR(__xludf.DUMMYFUNCTION("""COMPUTED_VALUE"""),"2251")</f>
        <v>2251</v>
      </c>
      <c r="V770" s="11"/>
      <c r="W770" s="11"/>
      <c r="X770" s="11">
        <f>IFERROR(__xludf.DUMMYFUNCTION("""COMPUTED_VALUE"""),8130380502)</f>
        <v>8130380502</v>
      </c>
      <c r="Y770" s="11">
        <f>IFERROR(__xludf.DUMMYFUNCTION("""COMPUTED_VALUE"""),8195371819)</f>
        <v>8195371819</v>
      </c>
      <c r="Z770" s="11">
        <f>IFERROR(__xludf.DUMMYFUNCTION("""COMPUTED_VALUE"""),39681661591)</f>
        <v>39681661591</v>
      </c>
    </row>
    <row r="771" customHeight="1" spans="1:26">
      <c r="A771" s="11" t="str">
        <f>IFERROR(__xludf.DUMMYFUNCTION("""COMPUTED_VALUE"""),"SUELDA DE SOUZA DINIZ")</f>
        <v>SUELDA DE SOUZA DINIZ</v>
      </c>
      <c r="B771" s="11"/>
      <c r="C771" s="11"/>
      <c r="D771" s="11" t="str">
        <f>IFERROR(__xludf.DUMMYFUNCTION("""COMPUTED_VALUE"""),"Enfermeira eSF")</f>
        <v>Enfermeira eSF</v>
      </c>
      <c r="E771" s="11" t="str">
        <f>IFERROR(__xludf.DUMMYFUNCTION("""COMPUTED_VALUE"""),"IV")</f>
        <v>IV</v>
      </c>
      <c r="F771" s="11" t="str">
        <f>IFERROR(__xludf.DUMMYFUNCTION("""COMPUTED_VALUE"""),"US_320 CAPS CENTRO EULAMPIO CORDEIRO DE RECUPERACAO HUMANA")</f>
        <v>US_320 CAPS CENTRO EULAMPIO CORDEIRO DE RECUPERACAO HUMANA</v>
      </c>
      <c r="G771" s="11" t="str">
        <f>IFERROR(__xludf.DUMMYFUNCTION("""COMPUTED_VALUE"""),"US 225 USF SKYLAB II")</f>
        <v>US 225 USF SKYLAB II</v>
      </c>
      <c r="H771" s="27">
        <f>IFERROR(__xludf.DUMMYFUNCTION("""COMPUTED_VALUE"""),81992722474)</f>
        <v>81992722474</v>
      </c>
      <c r="I771" s="27">
        <f>IFERROR(__xludf.DUMMYFUNCTION("""COMPUTED_VALUE"""),81988982474)</f>
        <v>81988982474</v>
      </c>
      <c r="J771" s="11"/>
      <c r="K771" s="11"/>
      <c r="L771" s="11"/>
      <c r="M771" s="28" t="str">
        <f>IFERROR(__xludf.DUMMYFUNCTION("""COMPUTED_VALUE"""),"3355-6933")</f>
        <v>3355-6933</v>
      </c>
      <c r="N771" s="11" t="str">
        <f>IFERROR(__xludf.DUMMYFUNCTION("""COMPUTED_VALUE"""),"sueldadiniz@gmail.com")</f>
        <v>sueldadiniz@gmail.com</v>
      </c>
      <c r="O771" s="29">
        <f>IFERROR(__xludf.DUMMYFUNCTION("""COMPUTED_VALUE"""),76568032468)</f>
        <v>76568032468</v>
      </c>
      <c r="P771" s="30" t="str">
        <f>IFERROR(__xludf.DUMMYFUNCTION("""COMPUTED_VALUE"""),"204324306650009")</f>
        <v>204324306650009</v>
      </c>
      <c r="Q771" s="30" t="str">
        <f>IFERROR(__xludf.DUMMYFUNCTION("""COMPUTED_VALUE"""),"0022306")</f>
        <v>0022306</v>
      </c>
      <c r="R771" s="30" t="str">
        <f>IFERROR(__xludf.DUMMYFUNCTION("""COMPUTED_VALUE"""),"0000153796")</f>
        <v>0000153796</v>
      </c>
      <c r="S771" s="30" t="str">
        <f>IFERROR(__xludf.DUMMYFUNCTION("""COMPUTED_VALUE"""),"1")</f>
        <v>1</v>
      </c>
      <c r="T771" s="30" t="str">
        <f>IFERROR(__xludf.DUMMYFUNCTION("""COMPUTED_VALUE"""),"223565")</f>
        <v>223565</v>
      </c>
      <c r="U771" s="31" t="str">
        <f>IFERROR(__xludf.DUMMYFUNCTION("""COMPUTED_VALUE"""),"2235")</f>
        <v>2235</v>
      </c>
      <c r="V771" s="11"/>
      <c r="W771" s="11">
        <f>IFERROR(__xludf.DUMMYFUNCTION("""COMPUTED_VALUE"""),92722474)</f>
        <v>92722474</v>
      </c>
      <c r="X771" s="11">
        <f>IFERROR(__xludf.DUMMYFUNCTION("""COMPUTED_VALUE"""),88982474)</f>
        <v>88982474</v>
      </c>
      <c r="Y771" s="11">
        <f>IFERROR(__xludf.DUMMYFUNCTION("""COMPUTED_VALUE"""),76568032468)</f>
        <v>76568032468</v>
      </c>
      <c r="Z771" s="11"/>
    </row>
    <row r="772" customHeight="1" spans="1:26">
      <c r="A772" s="11" t="str">
        <f>IFERROR(__xludf.DUMMYFUNCTION("""COMPUTED_VALUE"""),"NAIARA RAISSA SOUZA SANTOS")</f>
        <v>NAIARA RAISSA SOUZA SANTOS</v>
      </c>
      <c r="B772" s="11"/>
      <c r="C772" s="11"/>
      <c r="D772" s="11" t="str">
        <f>IFERROR(__xludf.DUMMYFUNCTION("""COMPUTED_VALUE"""),"Dentista")</f>
        <v>Dentista</v>
      </c>
      <c r="E772" s="11" t="str">
        <f>IFERROR(__xludf.DUMMYFUNCTION("""COMPUTED_VALUE"""),"IV")</f>
        <v>IV</v>
      </c>
      <c r="F772" s="11" t="str">
        <f>IFERROR(__xludf.DUMMYFUNCTION("""COMPUTED_VALUE"""),"US_234 USF RODA DE FOGO COSIROF")</f>
        <v>US_234 USF RODA DE FOGO COSIROF</v>
      </c>
      <c r="G772" s="11" t="str">
        <f>IFERROR(__xludf.DUMMYFUNCTION("""COMPUTED_VALUE"""),"US 234 USF RODA DE FOGO COSIROF")</f>
        <v>US 234 USF RODA DE FOGO COSIROF</v>
      </c>
      <c r="H772" s="27">
        <f>IFERROR(__xludf.DUMMYFUNCTION("""COMPUTED_VALUE"""),81987541085)</f>
        <v>81987541085</v>
      </c>
      <c r="I772" s="11"/>
      <c r="J772" s="11"/>
      <c r="K772" s="11"/>
      <c r="L772" s="11"/>
      <c r="M772" s="28" t="str">
        <f>IFERROR(__xludf.DUMMYFUNCTION("""COMPUTED_VALUE"""),"3355-6423")</f>
        <v>3355-6423</v>
      </c>
      <c r="N772" s="11" t="str">
        <f>IFERROR(__xludf.DUMMYFUNCTION("""COMPUTED_VALUE"""),"sociodontonai@gmail.com")</f>
        <v>sociodontonai@gmail.com</v>
      </c>
      <c r="O772" s="29">
        <f>IFERROR(__xludf.DUMMYFUNCTION("""COMPUTED_VALUE"""),6288786489)</f>
        <v>6288786489</v>
      </c>
      <c r="P772" s="30" t="str">
        <f>IFERROR(__xludf.DUMMYFUNCTION("""COMPUTED_VALUE"""),"980016297093291")</f>
        <v>980016297093291</v>
      </c>
      <c r="Q772" s="30" t="str">
        <f>IFERROR(__xludf.DUMMYFUNCTION("""COMPUTED_VALUE"""),"0022330")</f>
        <v>0022330</v>
      </c>
      <c r="R772" s="30" t="str">
        <f>IFERROR(__xludf.DUMMYFUNCTION("""COMPUTED_VALUE"""),"0000153850")</f>
        <v>0000153850</v>
      </c>
      <c r="S772" s="30" t="str">
        <f>IFERROR(__xludf.DUMMYFUNCTION("""COMPUTED_VALUE"""),"1")</f>
        <v>1</v>
      </c>
      <c r="T772" s="30" t="str">
        <f>IFERROR(__xludf.DUMMYFUNCTION("""COMPUTED_VALUE"""),"223293")</f>
        <v>223293</v>
      </c>
      <c r="U772" s="31">
        <f>IFERROR(__xludf.DUMMYFUNCTION("""COMPUTED_VALUE"""),2232)</f>
        <v>2232</v>
      </c>
      <c r="V772" s="11"/>
      <c r="W772" s="11"/>
      <c r="X772" s="11"/>
      <c r="Y772" s="11"/>
      <c r="Z772" s="11"/>
    </row>
    <row r="773" customHeight="1" spans="1:26">
      <c r="A773" s="11" t="str">
        <f>IFERROR(__xludf.DUMMYFUNCTION("""COMPUTED_VALUE"""),"NARA LINS DE MELO")</f>
        <v>NARA LINS DE MELO</v>
      </c>
      <c r="B773" s="11"/>
      <c r="C773" s="11"/>
      <c r="D773" s="11" t="str">
        <f>IFERROR(__xludf.DUMMYFUNCTION("""COMPUTED_VALUE"""),"Médica eSF")</f>
        <v>Médica eSF</v>
      </c>
      <c r="E773" s="11" t="str">
        <f>IFERROR(__xludf.DUMMYFUNCTION("""COMPUTED_VALUE"""),"IV")</f>
        <v>IV</v>
      </c>
      <c r="F773" s="11" t="str">
        <f>IFERROR(__xludf.DUMMYFUNCTION("""COMPUTED_VALUE"""),"US_235 USF RODA DE FOGO SINOS")</f>
        <v>US_235 USF RODA DE FOGO SINOS</v>
      </c>
      <c r="G773" s="11" t="str">
        <f>IFERROR(__xludf.DUMMYFUNCTION("""COMPUTED_VALUE"""),"US 235 USF RODA DE FOGO SINOS        ")</f>
        <v>US 235 USF RODA DE FOGO SINOS        </v>
      </c>
      <c r="H773" s="27">
        <f>IFERROR(__xludf.DUMMYFUNCTION("""COMPUTED_VALUE"""),81995208510)</f>
        <v>81995208510</v>
      </c>
      <c r="I773" s="11"/>
      <c r="J773" s="11"/>
      <c r="K773" s="11"/>
      <c r="L773" s="11"/>
      <c r="M773" s="28" t="str">
        <f>IFERROR(__xludf.DUMMYFUNCTION("""COMPUTED_VALUE"""),"3355-6423")</f>
        <v>3355-6423</v>
      </c>
      <c r="N773" s="11" t="str">
        <f>IFERROR(__xludf.DUMMYFUNCTION("""COMPUTED_VALUE"""),"nara.linsdemelo@gmail.com")</f>
        <v>nara.linsdemelo@gmail.com</v>
      </c>
      <c r="O773" s="29">
        <f>IFERROR(__xludf.DUMMYFUNCTION("""COMPUTED_VALUE"""),1454035480)</f>
        <v>1454035480</v>
      </c>
      <c r="P773" s="30" t="str">
        <f>IFERROR(__xludf.DUMMYFUNCTION("""COMPUTED_VALUE"""),"700506352438954")</f>
        <v>700506352438954</v>
      </c>
      <c r="Q773" s="30" t="str">
        <f>IFERROR(__xludf.DUMMYFUNCTION("""COMPUTED_VALUE"""),"0022330")</f>
        <v>0022330</v>
      </c>
      <c r="R773" s="30" t="str">
        <f>IFERROR(__xludf.DUMMYFUNCTION("""COMPUTED_VALUE"""),"0000153850")</f>
        <v>0000153850</v>
      </c>
      <c r="S773" s="30" t="str">
        <f>IFERROR(__xludf.DUMMYFUNCTION("""COMPUTED_VALUE"""),"1")</f>
        <v>1</v>
      </c>
      <c r="T773" s="30" t="str">
        <f>IFERROR(__xludf.DUMMYFUNCTION("""COMPUTED_VALUE"""),"225142")</f>
        <v>225142</v>
      </c>
      <c r="U773" s="31" t="str">
        <f>IFERROR(__xludf.DUMMYFUNCTION("""COMPUTED_VALUE"""),"2251")</f>
        <v>2251</v>
      </c>
      <c r="V773" s="11"/>
      <c r="W773" s="11"/>
      <c r="X773" s="11"/>
      <c r="Y773" s="11"/>
      <c r="Z773" s="11"/>
    </row>
    <row r="774" customHeight="1" spans="1:26">
      <c r="A774" s="11" t="str">
        <f>IFERROR(__xludf.DUMMYFUNCTION("""COMPUTED_VALUE"""),"ADRIANA SANTOS LOPES")</f>
        <v>ADRIANA SANTOS LOPES</v>
      </c>
      <c r="B774" s="11"/>
      <c r="C774" s="11"/>
      <c r="D774" s="11" t="str">
        <f>IFERROR(__xludf.DUMMYFUNCTION("""COMPUTED_VALUE"""),"Enfermeira eSF")</f>
        <v>Enfermeira eSF</v>
      </c>
      <c r="E774" s="11" t="str">
        <f>IFERROR(__xludf.DUMMYFUNCTION("""COMPUTED_VALUE"""),"IV")</f>
        <v>IV</v>
      </c>
      <c r="F774" s="11" t="str">
        <f>IFERROR(__xludf.DUMMYFUNCTION("""COMPUTED_VALUE"""),"US_235 USF RODA DE FOGO SINOS")</f>
        <v>US_235 USF RODA DE FOGO SINOS</v>
      </c>
      <c r="G774" s="11" t="str">
        <f>IFERROR(__xludf.DUMMYFUNCTION("""COMPUTED_VALUE"""),"US 235 USF RODA DE FOGO SINOS")</f>
        <v>US 235 USF RODA DE FOGO SINOS</v>
      </c>
      <c r="H774" s="27">
        <f>IFERROR(__xludf.DUMMYFUNCTION("""COMPUTED_VALUE"""),81992455346)</f>
        <v>81992455346</v>
      </c>
      <c r="I774" s="27">
        <f>IFERROR(__xludf.DUMMYFUNCTION("""COMPUTED_VALUE"""),81987938428)</f>
        <v>81987938428</v>
      </c>
      <c r="J774" s="11"/>
      <c r="K774" s="33">
        <f>IFERROR(__xludf.DUMMYFUNCTION("""COMPUTED_VALUE"""),45281)</f>
        <v>45281</v>
      </c>
      <c r="L774" s="11"/>
      <c r="M774" s="28" t="str">
        <f>IFERROR(__xludf.DUMMYFUNCTION("""COMPUTED_VALUE"""),"3355-6435")</f>
        <v>3355-6435</v>
      </c>
      <c r="N774" s="11" t="str">
        <f>IFERROR(__xludf.DUMMYFUNCTION("""COMPUTED_VALUE"""),"adrianalopes790@yahoo.com.br / adrianalopes79@hotmail.com")</f>
        <v>adrianalopes790@yahoo.com.br / adrianalopes79@hotmail.com</v>
      </c>
      <c r="O774" s="29">
        <f>IFERROR(__xludf.DUMMYFUNCTION("""COMPUTED_VALUE"""),2905362430)</f>
        <v>2905362430</v>
      </c>
      <c r="P774" s="30" t="str">
        <f>IFERROR(__xludf.DUMMYFUNCTION("""COMPUTED_VALUE"""),"980016283191962")</f>
        <v>980016283191962</v>
      </c>
      <c r="Q774" s="30" t="str">
        <f>IFERROR(__xludf.DUMMYFUNCTION("""COMPUTED_VALUE"""),"0022349")</f>
        <v>0022349</v>
      </c>
      <c r="R774" s="30" t="str">
        <f>IFERROR(__xludf.DUMMYFUNCTION("""COMPUTED_VALUE"""),"0000153877")</f>
        <v>0000153877</v>
      </c>
      <c r="S774" s="30" t="str">
        <f>IFERROR(__xludf.DUMMYFUNCTION("""COMPUTED_VALUE"""),"1")</f>
        <v>1</v>
      </c>
      <c r="T774" s="30" t="str">
        <f>IFERROR(__xludf.DUMMYFUNCTION("""COMPUTED_VALUE"""),"223565")</f>
        <v>223565</v>
      </c>
      <c r="U774" s="31" t="str">
        <f>IFERROR(__xludf.DUMMYFUNCTION("""COMPUTED_VALUE"""),"2235")</f>
        <v>2235</v>
      </c>
      <c r="V774" s="11"/>
      <c r="W774" s="11">
        <f>IFERROR(__xludf.DUMMYFUNCTION("""COMPUTED_VALUE"""),8130381201)</f>
        <v>8130381201</v>
      </c>
      <c r="X774" s="11">
        <f>IFERROR(__xludf.DUMMYFUNCTION("""COMPUTED_VALUE"""),81992455346)</f>
        <v>81992455346</v>
      </c>
      <c r="Y774" s="11">
        <f>IFERROR(__xludf.DUMMYFUNCTION("""COMPUTED_VALUE"""),2905362430)</f>
        <v>2905362430</v>
      </c>
      <c r="Z774" s="11"/>
    </row>
    <row r="775" customHeight="1" spans="1:26">
      <c r="A775" s="11" t="str">
        <f>IFERROR(__xludf.DUMMYFUNCTION("""COMPUTED_VALUE"""),"JOSE ROBERTO DE A S FILHO")</f>
        <v>JOSE ROBERTO DE A S FILHO</v>
      </c>
      <c r="B775" s="11"/>
      <c r="C775" s="11"/>
      <c r="D775" s="11" t="str">
        <f>IFERROR(__xludf.DUMMYFUNCTION("""COMPUTED_VALUE"""),"Dentista")</f>
        <v>Dentista</v>
      </c>
      <c r="E775" s="11" t="str">
        <f>IFERROR(__xludf.DUMMYFUNCTION("""COMPUTED_VALUE"""),"IV")</f>
        <v>IV</v>
      </c>
      <c r="F775" s="11" t="str">
        <f>IFERROR(__xludf.DUMMYFUNCTION("""COMPUTED_VALUE"""),"US_235 USF RODA DE FOGO SINOS")</f>
        <v>US_235 USF RODA DE FOGO SINOS</v>
      </c>
      <c r="G775" s="11" t="str">
        <f>IFERROR(__xludf.DUMMYFUNCTION("""COMPUTED_VALUE"""),"US 235 USF RODA DE FOGO SINOS")</f>
        <v>US 235 USF RODA DE FOGO SINOS</v>
      </c>
      <c r="H775" s="27">
        <f>IFERROR(__xludf.DUMMYFUNCTION("""COMPUTED_VALUE"""),81987463466)</f>
        <v>81987463466</v>
      </c>
      <c r="I775" s="11"/>
      <c r="J775" s="11"/>
      <c r="K775" s="11"/>
      <c r="L775" s="11"/>
      <c r="M775" s="28" t="str">
        <f>IFERROR(__xludf.DUMMYFUNCTION("""COMPUTED_VALUE"""),"3355-6435")</f>
        <v>3355-6435</v>
      </c>
      <c r="N775" s="11" t="str">
        <f>IFERROR(__xludf.DUMMYFUNCTION("""COMPUTED_VALUE"""),"robertosalvador@gmail.com")</f>
        <v>robertosalvador@gmail.com</v>
      </c>
      <c r="O775" s="29">
        <f>IFERROR(__xludf.DUMMYFUNCTION("""COMPUTED_VALUE"""),3265985458)</f>
        <v>3265985458</v>
      </c>
      <c r="P775" s="30" t="str">
        <f>IFERROR(__xludf.DUMMYFUNCTION("""COMPUTED_VALUE"""),"980016288816111")</f>
        <v>980016288816111</v>
      </c>
      <c r="Q775" s="30" t="str">
        <f>IFERROR(__xludf.DUMMYFUNCTION("""COMPUTED_VALUE"""),"0022349")</f>
        <v>0022349</v>
      </c>
      <c r="R775" s="30" t="str">
        <f>IFERROR(__xludf.DUMMYFUNCTION("""COMPUTED_VALUE"""),"0000153877")</f>
        <v>0000153877</v>
      </c>
      <c r="S775" s="30" t="str">
        <f>IFERROR(__xludf.DUMMYFUNCTION("""COMPUTED_VALUE"""),"1")</f>
        <v>1</v>
      </c>
      <c r="T775" s="30" t="str">
        <f>IFERROR(__xludf.DUMMYFUNCTION("""COMPUTED_VALUE"""),"223293")</f>
        <v>223293</v>
      </c>
      <c r="U775" s="31">
        <f>IFERROR(__xludf.DUMMYFUNCTION("""COMPUTED_VALUE"""),2232)</f>
        <v>2232</v>
      </c>
      <c r="V775" s="11"/>
      <c r="W775" s="11"/>
      <c r="X775" s="11"/>
      <c r="Y775" s="11"/>
      <c r="Z775" s="11"/>
    </row>
    <row r="776" customHeight="1" spans="1:26">
      <c r="A776" s="11" t="str">
        <f>IFERROR(__xludf.DUMMYFUNCTION("""COMPUTED_VALUE"""),"MARIA AMELIA XAVIER DE BRITO")</f>
        <v>MARIA AMELIA XAVIER DE BRITO</v>
      </c>
      <c r="B776" s="11" t="str">
        <f>IFERROR(__xludf.DUMMYFUNCTION("""COMPUTED_VALUE"""),"RECUSA TELECONSULTORIA")</f>
        <v>RECUSA TELECONSULTORIA</v>
      </c>
      <c r="C776" s="11"/>
      <c r="D776" s="11" t="str">
        <f>IFERROR(__xludf.DUMMYFUNCTION("""COMPUTED_VALUE"""),"Médica eSF")</f>
        <v>Médica eSF</v>
      </c>
      <c r="E776" s="11" t="str">
        <f>IFERROR(__xludf.DUMMYFUNCTION("""COMPUTED_VALUE"""),"IV")</f>
        <v>IV</v>
      </c>
      <c r="F776" s="11" t="str">
        <f>IFERROR(__xludf.DUMMYFUNCTION("""COMPUTED_VALUE"""),"US_236 USF RODA DE FOGO MACAE")</f>
        <v>US_236 USF RODA DE FOGO MACAE</v>
      </c>
      <c r="G776" s="11" t="str">
        <f>IFERROR(__xludf.DUMMYFUNCTION("""COMPUTED_VALUE"""),"US 236 USF RODA DE FOGO MACAE")</f>
        <v>US 236 USF RODA DE FOGO MACAE</v>
      </c>
      <c r="H776" s="27">
        <f>IFERROR(__xludf.DUMMYFUNCTION("""COMPUTED_VALUE"""),81999545832)</f>
        <v>81999545832</v>
      </c>
      <c r="I776" s="11"/>
      <c r="J776" s="11"/>
      <c r="K776" s="11"/>
      <c r="L776" s="28" t="str">
        <f>IFERROR(__xludf.DUMMYFUNCTION("""COMPUTED_VALUE"""),"X")</f>
        <v>X</v>
      </c>
      <c r="M776" s="28" t="str">
        <f>IFERROR(__xludf.DUMMYFUNCTION("""COMPUTED_VALUE"""),"3355-6179")</f>
        <v>3355-6179</v>
      </c>
      <c r="N776" s="11" t="str">
        <f>IFERROR(__xludf.DUMMYFUNCTION("""COMPUTED_VALUE"""),"ameliamaria706@gmail.com / mameliamacae@gmail.com")</f>
        <v>ameliamaria706@gmail.com / mameliamacae@gmail.com</v>
      </c>
      <c r="O776" s="29">
        <f>IFERROR(__xludf.DUMMYFUNCTION("""COMPUTED_VALUE"""),19302096491)</f>
        <v>19302096491</v>
      </c>
      <c r="P776" s="30" t="str">
        <f>IFERROR(__xludf.DUMMYFUNCTION("""COMPUTED_VALUE"""),"108849865830005")</f>
        <v>108849865830005</v>
      </c>
      <c r="Q776" s="30" t="str">
        <f>IFERROR(__xludf.DUMMYFUNCTION("""COMPUTED_VALUE"""),"0022357")</f>
        <v>0022357</v>
      </c>
      <c r="R776" s="30" t="str">
        <f>IFERROR(__xludf.DUMMYFUNCTION("""COMPUTED_VALUE"""),"0000153885")</f>
        <v>0000153885</v>
      </c>
      <c r="S776" s="30" t="str">
        <f>IFERROR(__xludf.DUMMYFUNCTION("""COMPUTED_VALUE"""),"1")</f>
        <v>1</v>
      </c>
      <c r="T776" s="30" t="str">
        <f>IFERROR(__xludf.DUMMYFUNCTION("""COMPUTED_VALUE"""),"225142")</f>
        <v>225142</v>
      </c>
      <c r="U776" s="31" t="str">
        <f>IFERROR(__xludf.DUMMYFUNCTION("""COMPUTED_VALUE"""),"2251")</f>
        <v>2251</v>
      </c>
      <c r="V776" s="11"/>
      <c r="W776" s="11"/>
      <c r="X776" s="11">
        <f>IFERROR(__xludf.DUMMYFUNCTION("""COMPUTED_VALUE"""),81999545832)</f>
        <v>81999545832</v>
      </c>
      <c r="Y776" s="11"/>
      <c r="Z776" s="11">
        <f>IFERROR(__xludf.DUMMYFUNCTION("""COMPUTED_VALUE"""),19302096491)</f>
        <v>19302096491</v>
      </c>
    </row>
    <row r="777" customHeight="1" spans="1:26">
      <c r="A777" s="11" t="str">
        <f>IFERROR(__xludf.DUMMYFUNCTION("""COMPUTED_VALUE"""),"FABIANA CARLOS MAGNO ALHEIROS")</f>
        <v>FABIANA CARLOS MAGNO ALHEIROS</v>
      </c>
      <c r="B777" s="11"/>
      <c r="C777" s="11"/>
      <c r="D777" s="11" t="str">
        <f>IFERROR(__xludf.DUMMYFUNCTION("""COMPUTED_VALUE"""),"Enfermeira eSF")</f>
        <v>Enfermeira eSF</v>
      </c>
      <c r="E777" s="11" t="str">
        <f>IFERROR(__xludf.DUMMYFUNCTION("""COMPUTED_VALUE"""),"IV")</f>
        <v>IV</v>
      </c>
      <c r="F777" s="11" t="str">
        <f>IFERROR(__xludf.DUMMYFUNCTION("""COMPUTED_VALUE"""),"US_237 USF SITIO DAS PALMEIRAS	")</f>
        <v>US_237 USF SITIO DAS PALMEIRAS	</v>
      </c>
      <c r="G777" s="11" t="str">
        <f>IFERROR(__xludf.DUMMYFUNCTION("""COMPUTED_VALUE"""),"US 237 USF SITIO DAS PALMEIRAS")</f>
        <v>US 237 USF SITIO DAS PALMEIRAS</v>
      </c>
      <c r="H777" s="27">
        <f>IFERROR(__xludf.DUMMYFUNCTION("""COMPUTED_VALUE"""),81994697062)</f>
        <v>81994697062</v>
      </c>
      <c r="I777" s="11"/>
      <c r="J777" s="11"/>
      <c r="K777" s="11"/>
      <c r="L777" s="11"/>
      <c r="M777" s="28" t="str">
        <f>IFERROR(__xludf.DUMMYFUNCTION("""COMPUTED_VALUE"""),"3355-6448")</f>
        <v>3355-6448</v>
      </c>
      <c r="N777" s="11" t="str">
        <f>IFERROR(__xludf.DUMMYFUNCTION("""COMPUTED_VALUE"""),"fabianaalheiros@gmail.com")</f>
        <v>fabianaalheiros@gmail.com</v>
      </c>
      <c r="O777" s="29">
        <f>IFERROR(__xludf.DUMMYFUNCTION("""COMPUTED_VALUE"""),98871927400)</f>
        <v>98871927400</v>
      </c>
      <c r="P777" s="30" t="str">
        <f>IFERROR(__xludf.DUMMYFUNCTION("""COMPUTED_VALUE"""),"128853174520001")</f>
        <v>128853174520001</v>
      </c>
      <c r="Q777" s="30" t="str">
        <f>IFERROR(__xludf.DUMMYFUNCTION("""COMPUTED_VALUE"""),"0022365")</f>
        <v>0022365</v>
      </c>
      <c r="R777" s="30" t="str">
        <f>IFERROR(__xludf.DUMMYFUNCTION("""COMPUTED_VALUE"""),"0000153907")</f>
        <v>0000153907</v>
      </c>
      <c r="S777" s="30" t="str">
        <f>IFERROR(__xludf.DUMMYFUNCTION("""COMPUTED_VALUE"""),"1")</f>
        <v>1</v>
      </c>
      <c r="T777" s="30" t="str">
        <f>IFERROR(__xludf.DUMMYFUNCTION("""COMPUTED_VALUE"""),"223565")</f>
        <v>223565</v>
      </c>
      <c r="U777" s="31" t="str">
        <f>IFERROR(__xludf.DUMMYFUNCTION("""COMPUTED_VALUE"""),"2235")</f>
        <v>2235</v>
      </c>
      <c r="V777" s="11"/>
      <c r="W777" s="11">
        <f>IFERROR(__xludf.DUMMYFUNCTION("""COMPUTED_VALUE"""),33017762)</f>
        <v>33017762</v>
      </c>
      <c r="X777" s="11">
        <f>IFERROR(__xludf.DUMMYFUNCTION("""COMPUTED_VALUE"""),94697062)</f>
        <v>94697062</v>
      </c>
      <c r="Y777" s="11">
        <f>IFERROR(__xludf.DUMMYFUNCTION("""COMPUTED_VALUE"""),98871927400)</f>
        <v>98871927400</v>
      </c>
      <c r="Z777" s="11"/>
    </row>
    <row r="778" customHeight="1" spans="1:26">
      <c r="A778" s="11" t="str">
        <f>IFERROR(__xludf.DUMMYFUNCTION("""COMPUTED_VALUE"""),"LUIZ HENRIQUE CORREIA TORRES")</f>
        <v>LUIZ HENRIQUE CORREIA TORRES</v>
      </c>
      <c r="B778" s="11"/>
      <c r="C778" s="11"/>
      <c r="D778" s="11" t="str">
        <f>IFERROR(__xludf.DUMMYFUNCTION("""COMPUTED_VALUE"""),"Dentista")</f>
        <v>Dentista</v>
      </c>
      <c r="E778" s="11" t="str">
        <f>IFERROR(__xludf.DUMMYFUNCTION("""COMPUTED_VALUE"""),"IV")</f>
        <v>IV</v>
      </c>
      <c r="F778" s="11" t="str">
        <f>IFERROR(__xludf.DUMMYFUNCTION("""COMPUTED_VALUE"""),"US_237 USF SITIO DAS PALMEIRAS	")</f>
        <v>US_237 USF SITIO DAS PALMEIRAS	</v>
      </c>
      <c r="G778" s="11" t="str">
        <f>IFERROR(__xludf.DUMMYFUNCTION("""COMPUTED_VALUE"""),"US 237 USF SITIO DAS PALMEIRAS")</f>
        <v>US 237 USF SITIO DAS PALMEIRAS</v>
      </c>
      <c r="H778" s="27">
        <f>IFERROR(__xludf.DUMMYFUNCTION("""COMPUTED_VALUE"""),81999510729)</f>
        <v>81999510729</v>
      </c>
      <c r="I778" s="11"/>
      <c r="J778" s="11"/>
      <c r="K778" s="11"/>
      <c r="L778" s="11"/>
      <c r="M778" s="28" t="str">
        <f>IFERROR(__xludf.DUMMYFUNCTION("""COMPUTED_VALUE"""),"3355-6448")</f>
        <v>3355-6448</v>
      </c>
      <c r="N778" s="11" t="str">
        <f>IFERROR(__xludf.DUMMYFUNCTION("""COMPUTED_VALUE"""),"luiscorreiatorres@hotmail.com")</f>
        <v>luiscorreiatorres@hotmail.com</v>
      </c>
      <c r="O778" s="29">
        <f>IFERROR(__xludf.DUMMYFUNCTION("""COMPUTED_VALUE"""),90741366487)</f>
        <v>90741366487</v>
      </c>
      <c r="P778" s="30" t="str">
        <f>IFERROR(__xludf.DUMMYFUNCTION("""COMPUTED_VALUE"""),"207429043630000")</f>
        <v>207429043630000</v>
      </c>
      <c r="Q778" s="30" t="str">
        <f>IFERROR(__xludf.DUMMYFUNCTION("""COMPUTED_VALUE"""),"0022365")</f>
        <v>0022365</v>
      </c>
      <c r="R778" s="30" t="str">
        <f>IFERROR(__xludf.DUMMYFUNCTION("""COMPUTED_VALUE"""),"0001757504")</f>
        <v>0001757504</v>
      </c>
      <c r="S778" s="30" t="str">
        <f>IFERROR(__xludf.DUMMYFUNCTION("""COMPUTED_VALUE"""),"1")</f>
        <v>1</v>
      </c>
      <c r="T778" s="30" t="str">
        <f>IFERROR(__xludf.DUMMYFUNCTION("""COMPUTED_VALUE"""),"223293")</f>
        <v>223293</v>
      </c>
      <c r="U778" s="31">
        <f>IFERROR(__xludf.DUMMYFUNCTION("""COMPUTED_VALUE"""),2232)</f>
        <v>2232</v>
      </c>
      <c r="V778" s="11"/>
      <c r="W778" s="11"/>
      <c r="X778" s="11"/>
      <c r="Y778" s="11"/>
      <c r="Z778" s="11"/>
    </row>
    <row r="779" customHeight="1" spans="1:26">
      <c r="A779" s="11" t="str">
        <f>IFERROR(__xludf.DUMMYFUNCTION("""COMPUTED_VALUE"""),"Josias Rosa Netto")</f>
        <v>Josias Rosa Netto</v>
      </c>
      <c r="B779" s="11"/>
      <c r="C779" s="11"/>
      <c r="D779" s="11" t="str">
        <f>IFERROR(__xludf.DUMMYFUNCTION("""COMPUTED_VALUE"""),"Médico eSF")</f>
        <v>Médico eSF</v>
      </c>
      <c r="E779" s="11"/>
      <c r="F779" s="11"/>
      <c r="G779" s="11"/>
      <c r="H779" s="27">
        <f>IFERROR(__xludf.DUMMYFUNCTION("""COMPUTED_VALUE"""),81993726043)</f>
        <v>81993726043</v>
      </c>
      <c r="I779" s="11"/>
      <c r="J779" s="11"/>
      <c r="K779" s="33">
        <f>IFERROR(__xludf.DUMMYFUNCTION("""COMPUTED_VALUE"""),45257)</f>
        <v>45257</v>
      </c>
      <c r="L779" s="11"/>
      <c r="M779" s="11"/>
      <c r="N779" s="11"/>
      <c r="O779" s="11"/>
      <c r="P779" s="11"/>
      <c r="Q779" s="11"/>
      <c r="R779" s="11"/>
      <c r="S779" s="11"/>
      <c r="T779" s="11"/>
      <c r="U779" s="11"/>
      <c r="V779" s="11"/>
      <c r="W779" s="11"/>
      <c r="X779" s="11"/>
      <c r="Y779" s="11"/>
      <c r="Z779" s="11"/>
    </row>
    <row r="780" customHeight="1" spans="1:26">
      <c r="A780" s="11" t="str">
        <f>IFERROR(__xludf.DUMMYFUNCTION("""COMPUTED_VALUE"""),"FILIPE FERRAZ DE SOUZA")</f>
        <v>FILIPE FERRAZ DE SOUZA</v>
      </c>
      <c r="B780" s="11"/>
      <c r="C780" s="11"/>
      <c r="D780" s="11" t="str">
        <f>IFERROR(__xludf.DUMMYFUNCTION("""COMPUTED_VALUE"""),"Médico eSF")</f>
        <v>Médico eSF</v>
      </c>
      <c r="E780" s="11" t="str">
        <f>IFERROR(__xludf.DUMMYFUNCTION("""COMPUTED_VALUE"""),"IV")</f>
        <v>IV</v>
      </c>
      <c r="F780" s="11" t="str">
        <f>IFERROR(__xludf.DUMMYFUNCTION("""COMPUTED_VALUE"""),"US_247 USF ROSA SELVAGEM	")</f>
        <v>US_247 USF ROSA SELVAGEM	</v>
      </c>
      <c r="G780" s="11" t="str">
        <f>IFERROR(__xludf.DUMMYFUNCTION("""COMPUTED_VALUE"""),"US 247 USF ROSA SELVAGEM")</f>
        <v>US 247 USF ROSA SELVAGEM</v>
      </c>
      <c r="H780" s="11"/>
      <c r="I780" s="11"/>
      <c r="J780" s="11"/>
      <c r="K780" s="11"/>
      <c r="L780" s="11"/>
      <c r="M780" s="28" t="str">
        <f>IFERROR(__xludf.DUMMYFUNCTION("""COMPUTED_VALUE"""),"3355-0204/0206")</f>
        <v>3355-0204/0206</v>
      </c>
      <c r="N780" s="11"/>
      <c r="O780" s="29">
        <f>IFERROR(__xludf.DUMMYFUNCTION("""COMPUTED_VALUE"""),6407388422)</f>
        <v>6407388422</v>
      </c>
      <c r="P780" s="30" t="str">
        <f>IFERROR(__xludf.DUMMYFUNCTION("""COMPUTED_VALUE"""),"700501384800255")</f>
        <v>700501384800255</v>
      </c>
      <c r="Q780" s="30" t="str">
        <f>IFERROR(__xludf.DUMMYFUNCTION("""COMPUTED_VALUE"""),"0022381")</f>
        <v>0022381</v>
      </c>
      <c r="R780" s="30" t="str">
        <f>IFERROR(__xludf.DUMMYFUNCTION("""COMPUTED_VALUE"""),"0000153958")</f>
        <v>0000153958</v>
      </c>
      <c r="S780" s="30" t="str">
        <f>IFERROR(__xludf.DUMMYFUNCTION("""COMPUTED_VALUE"""),"1")</f>
        <v>1</v>
      </c>
      <c r="T780" s="30" t="str">
        <f>IFERROR(__xludf.DUMMYFUNCTION("""COMPUTED_VALUE"""),"225142")</f>
        <v>225142</v>
      </c>
      <c r="U780" s="31" t="str">
        <f>IFERROR(__xludf.DUMMYFUNCTION("""COMPUTED_VALUE"""),"2251")</f>
        <v>2251</v>
      </c>
      <c r="V780" s="11"/>
      <c r="W780" s="11"/>
      <c r="X780" s="11"/>
      <c r="Y780" s="11"/>
      <c r="Z780" s="11"/>
    </row>
    <row r="781" customHeight="1" spans="1:26">
      <c r="A781" s="11" t="str">
        <f>IFERROR(__xludf.DUMMYFUNCTION("""COMPUTED_VALUE"""),"SAADIA REGINA LAFAIETE DE MELO")</f>
        <v>SAADIA REGINA LAFAIETE DE MELO</v>
      </c>
      <c r="B781" s="11"/>
      <c r="C781" s="11"/>
      <c r="D781" s="11" t="str">
        <f>IFERROR(__xludf.DUMMYFUNCTION("""COMPUTED_VALUE"""),"Médica eSF")</f>
        <v>Médica eSF</v>
      </c>
      <c r="E781" s="11" t="str">
        <f>IFERROR(__xludf.DUMMYFUNCTION("""COMPUTED_VALUE"""),"IV")</f>
        <v>IV</v>
      </c>
      <c r="F781" s="11" t="str">
        <f>IFERROR(__xludf.DUMMYFUNCTION("""COMPUTED_VALUE"""),"US_247 USF ROSA SELVAGEM	")</f>
        <v>US_247 USF ROSA SELVAGEM	</v>
      </c>
      <c r="G781" s="11" t="str">
        <f>IFERROR(__xludf.DUMMYFUNCTION("""COMPUTED_VALUE"""),"US 247 USF ROSA SELVAGEM")</f>
        <v>US 247 USF ROSA SELVAGEM</v>
      </c>
      <c r="H781" s="27">
        <f>IFERROR(__xludf.DUMMYFUNCTION("""COMPUTED_VALUE"""),81999272772)</f>
        <v>81999272772</v>
      </c>
      <c r="I781" s="27">
        <f>IFERROR(__xludf.DUMMYFUNCTION("""COMPUTED_VALUE"""),81986293214)</f>
        <v>81986293214</v>
      </c>
      <c r="J781" s="11"/>
      <c r="K781" s="24">
        <f>IFERROR(__xludf.DUMMYFUNCTION("""COMPUTED_VALUE"""),45152)</f>
        <v>45152</v>
      </c>
      <c r="L781" s="11"/>
      <c r="M781" s="28" t="str">
        <f>IFERROR(__xludf.DUMMYFUNCTION("""COMPUTED_VALUE"""),"3355-0204/0206")</f>
        <v>3355-0204/0206</v>
      </c>
      <c r="N781" s="11" t="str">
        <f>IFERROR(__xludf.DUMMYFUNCTION("""COMPUTED_VALUE"""),"saadiamelo@gmail.com")</f>
        <v>saadiamelo@gmail.com</v>
      </c>
      <c r="O781" s="29">
        <f>IFERROR(__xludf.DUMMYFUNCTION("""COMPUTED_VALUE"""),16389859449)</f>
        <v>16389859449</v>
      </c>
      <c r="P781" s="30" t="str">
        <f>IFERROR(__xludf.DUMMYFUNCTION("""COMPUTED_VALUE"""),"180072640650003")</f>
        <v>180072640650003</v>
      </c>
      <c r="Q781" s="30" t="str">
        <f>IFERROR(__xludf.DUMMYFUNCTION("""COMPUTED_VALUE"""),"0022381")</f>
        <v>0022381</v>
      </c>
      <c r="R781" s="30" t="str">
        <f>IFERROR(__xludf.DUMMYFUNCTION("""COMPUTED_VALUE"""),"0000153931")</f>
        <v>0000153931</v>
      </c>
      <c r="S781" s="30" t="str">
        <f>IFERROR(__xludf.DUMMYFUNCTION("""COMPUTED_VALUE"""),"1")</f>
        <v>1</v>
      </c>
      <c r="T781" s="30" t="str">
        <f>IFERROR(__xludf.DUMMYFUNCTION("""COMPUTED_VALUE"""),"225142")</f>
        <v>225142</v>
      </c>
      <c r="U781" s="31" t="str">
        <f>IFERROR(__xludf.DUMMYFUNCTION("""COMPUTED_VALUE"""),"2251")</f>
        <v>2251</v>
      </c>
      <c r="V781" s="11" t="str">
        <f>IFERROR(__xludf.DUMMYFUNCTION("""COMPUTED_VALUE"""),"SIM")</f>
        <v>SIM</v>
      </c>
      <c r="W781" s="11"/>
      <c r="X781" s="11">
        <f>IFERROR(__xludf.DUMMYFUNCTION("""COMPUTED_VALUE"""),8132361333)</f>
        <v>8132361333</v>
      </c>
      <c r="Y781" s="11">
        <f>IFERROR(__xludf.DUMMYFUNCTION("""COMPUTED_VALUE"""),8199272772)</f>
        <v>8199272772</v>
      </c>
      <c r="Z781" s="11">
        <f>IFERROR(__xludf.DUMMYFUNCTION("""COMPUTED_VALUE"""),16389859449)</f>
        <v>16389859449</v>
      </c>
    </row>
    <row r="782" customHeight="1" spans="1:26">
      <c r="A782" s="11" t="str">
        <f>IFERROR(__xludf.DUMMYFUNCTION("""COMPUTED_VALUE"""),"Mikaely Andrade de Lacerda")</f>
        <v>Mikaely Andrade de Lacerda</v>
      </c>
      <c r="B782" s="11"/>
      <c r="C782" s="11"/>
      <c r="D782" s="11" t="str">
        <f>IFERROR(__xludf.DUMMYFUNCTION("""COMPUTED_VALUE"""),"médica")</f>
        <v>médica</v>
      </c>
      <c r="E782" s="11"/>
      <c r="F782" s="11"/>
      <c r="G782" s="11" t="str">
        <f>IFERROR(__xludf.DUMMYFUNCTION("""COMPUTED_VALUE"""),"US 248 USF BARREIRAS")</f>
        <v>US 248 USF BARREIRAS</v>
      </c>
      <c r="H782" s="27">
        <f>IFERROR(__xludf.DUMMYFUNCTION("""COMPUTED_VALUE"""),88997144135)</f>
        <v>88997144135</v>
      </c>
      <c r="I782" s="11"/>
      <c r="J782" s="11"/>
      <c r="K782" s="24">
        <f>IFERROR(__xludf.DUMMYFUNCTION("""COMPUTED_VALUE"""),45407)</f>
        <v>45407</v>
      </c>
      <c r="L782" s="11"/>
      <c r="M782" s="11"/>
      <c r="N782" s="11"/>
      <c r="O782" s="11"/>
      <c r="P782" s="11"/>
      <c r="Q782" s="11"/>
      <c r="R782" s="11"/>
      <c r="S782" s="11"/>
      <c r="T782" s="11"/>
      <c r="U782" s="11"/>
      <c r="V782" s="11"/>
      <c r="W782" s="11"/>
      <c r="X782" s="11"/>
      <c r="Y782" s="11"/>
      <c r="Z782" s="11"/>
    </row>
    <row r="783" customHeight="1" spans="1:26">
      <c r="A783" s="11" t="str">
        <f>IFERROR(__xludf.DUMMYFUNCTION("""COMPUTED_VALUE"""),"EMANOELA BRITO DE CARVALHO")</f>
        <v>EMANOELA BRITO DE CARVALHO</v>
      </c>
      <c r="B783" s="11"/>
      <c r="C783" s="11"/>
      <c r="D783" s="11" t="str">
        <f>IFERROR(__xludf.DUMMYFUNCTION("""COMPUTED_VALUE"""),"Enfermeira eSF")</f>
        <v>Enfermeira eSF</v>
      </c>
      <c r="E783" s="11" t="str">
        <f>IFERROR(__xludf.DUMMYFUNCTION("""COMPUTED_VALUE"""),"IV")</f>
        <v>IV</v>
      </c>
      <c r="F783" s="11" t="str">
        <f>IFERROR(__xludf.DUMMYFUNCTION("""COMPUTED_VALUE"""),"LICENÇA SEM VENCIMENTOS")</f>
        <v>LICENÇA SEM VENCIMENTOS</v>
      </c>
      <c r="G783" s="11" t="str">
        <f>IFERROR(__xludf.DUMMYFUNCTION("""COMPUTED_VALUE"""),"US 248 USF BARREIRAS")</f>
        <v>US 248 USF BARREIRAS</v>
      </c>
      <c r="H783" s="27">
        <f>IFERROR(__xludf.DUMMYFUNCTION("""COMPUTED_VALUE"""),81992161677)</f>
        <v>81992161677</v>
      </c>
      <c r="I783" s="11"/>
      <c r="J783" s="11"/>
      <c r="K783" s="11"/>
      <c r="L783" s="11"/>
      <c r="M783" s="28" t="str">
        <f>IFERROR(__xludf.DUMMYFUNCTION("""COMPUTED_VALUE"""),"3355-4878")</f>
        <v>3355-4878</v>
      </c>
      <c r="N783" s="11" t="str">
        <f>IFERROR(__xludf.DUMMYFUNCTION("""COMPUTED_VALUE"""),"emanoelabrito@yahoo.com.br")</f>
        <v>emanoelabrito@yahoo.com.br</v>
      </c>
      <c r="O783" s="29">
        <f>IFERROR(__xludf.DUMMYFUNCTION("""COMPUTED_VALUE"""),1058623478)</f>
        <v>1058623478</v>
      </c>
      <c r="P783" s="30" t="str">
        <f>IFERROR(__xludf.DUMMYFUNCTION("""COMPUTED_VALUE"""),"204323111860003")</f>
        <v>204323111860003</v>
      </c>
      <c r="Q783" s="30" t="str">
        <f>IFERROR(__xludf.DUMMYFUNCTION("""COMPUTED_VALUE"""),"0022314")</f>
        <v>0022314</v>
      </c>
      <c r="R783" s="30" t="str">
        <f>IFERROR(__xludf.DUMMYFUNCTION("""COMPUTED_VALUE"""),"0000153826")</f>
        <v>0000153826</v>
      </c>
      <c r="S783" s="30" t="str">
        <f>IFERROR(__xludf.DUMMYFUNCTION("""COMPUTED_VALUE"""),"1")</f>
        <v>1</v>
      </c>
      <c r="T783" s="30" t="str">
        <f>IFERROR(__xludf.DUMMYFUNCTION("""COMPUTED_VALUE"""),"223565")</f>
        <v>223565</v>
      </c>
      <c r="U783" s="31" t="str">
        <f>IFERROR(__xludf.DUMMYFUNCTION("""COMPUTED_VALUE"""),"2235")</f>
        <v>2235</v>
      </c>
      <c r="V783" s="11"/>
      <c r="W783" s="11">
        <f>IFERROR(__xludf.DUMMYFUNCTION("""COMPUTED_VALUE"""),92161677)</f>
        <v>92161677</v>
      </c>
      <c r="X783" s="11">
        <f>IFERROR(__xludf.DUMMYFUNCTION("""COMPUTED_VALUE"""),87073972)</f>
        <v>87073972</v>
      </c>
      <c r="Y783" s="11">
        <f>IFERROR(__xludf.DUMMYFUNCTION("""COMPUTED_VALUE"""),1058623478)</f>
        <v>1058623478</v>
      </c>
      <c r="Z783" s="11"/>
    </row>
    <row r="784" customHeight="1" spans="1:26">
      <c r="A784" s="11" t="str">
        <f>IFERROR(__xludf.DUMMYFUNCTION("""COMPUTED_VALUE"""),"Flavyana Silva dos Santos")</f>
        <v>Flavyana Silva dos Santos</v>
      </c>
      <c r="B784" s="11"/>
      <c r="C784" s="11"/>
      <c r="D784" s="11" t="str">
        <f>IFERROR(__xludf.DUMMYFUNCTION("""COMPUTED_VALUE"""),"Enfermeira eSF")</f>
        <v>Enfermeira eSF</v>
      </c>
      <c r="E784" s="11"/>
      <c r="F784" s="11" t="str">
        <f>IFERROR(__xludf.DUMMYFUNCTION("""COMPUTED_VALUE"""),"US_252 USF ENGENHO DO MEIO	")</f>
        <v>US_252 USF ENGENHO DO MEIO	</v>
      </c>
      <c r="G784" s="11" t="str">
        <f>IFERROR(__xludf.DUMMYFUNCTION("""COMPUTED_VALUE"""),"US 252 USF ENGENHO DO MEIO")</f>
        <v>US 252 USF ENGENHO DO MEIO</v>
      </c>
      <c r="H784" s="27">
        <f>IFERROR(__xludf.DUMMYFUNCTION("""COMPUTED_VALUE"""),81994563197)</f>
        <v>81994563197</v>
      </c>
      <c r="I784" s="11"/>
      <c r="J784" s="11"/>
      <c r="K784" s="24">
        <f>IFERROR(__xludf.DUMMYFUNCTION("""COMPUTED_VALUE"""),45257)</f>
        <v>45257</v>
      </c>
      <c r="L784" s="11"/>
      <c r="M784" s="11"/>
      <c r="N784" s="11"/>
      <c r="O784" s="11"/>
      <c r="P784" s="11"/>
      <c r="Q784" s="11"/>
      <c r="R784" s="11"/>
      <c r="S784" s="11"/>
      <c r="T784" s="11"/>
      <c r="U784" s="11"/>
      <c r="V784" s="11"/>
      <c r="W784" s="11"/>
      <c r="X784" s="11"/>
      <c r="Y784" s="11"/>
      <c r="Z784" s="11"/>
    </row>
    <row r="785" customHeight="1" spans="1:26">
      <c r="A785" s="11" t="str">
        <f>IFERROR(__xludf.DUMMYFUNCTION("""COMPUTED_VALUE"""),"FLAVYANA SILVA DOS SANTOS")</f>
        <v>FLAVYANA SILVA DOS SANTOS</v>
      </c>
      <c r="B785" s="11"/>
      <c r="C785" s="11"/>
      <c r="D785" s="11" t="str">
        <f>IFERROR(__xludf.DUMMYFUNCTION("""COMPUTED_VALUE"""),"Enfermeira eSF")</f>
        <v>Enfermeira eSF</v>
      </c>
      <c r="E785" s="11" t="str">
        <f>IFERROR(__xludf.DUMMYFUNCTION("""COMPUTED_VALUE"""),"IV")</f>
        <v>IV</v>
      </c>
      <c r="F785" s="11" t="str">
        <f>IFERROR(__xludf.DUMMYFUNCTION("""COMPUTED_VALUE"""),"US_252 USF ENGENHO DO MEIO	")</f>
        <v>US_252 USF ENGENHO DO MEIO	</v>
      </c>
      <c r="G785" s="11" t="str">
        <f>IFERROR(__xludf.DUMMYFUNCTION("""COMPUTED_VALUE"""),"US 252 USF ENGENHO DO MEIO")</f>
        <v>US 252 USF ENGENHO DO MEIO</v>
      </c>
      <c r="H785" s="27">
        <f>IFERROR(__xludf.DUMMYFUNCTION("""COMPUTED_VALUE"""),81994563197)</f>
        <v>81994563197</v>
      </c>
      <c r="I785" s="27">
        <f>IFERROR(__xludf.DUMMYFUNCTION("""COMPUTED_VALUE"""),81997930134)</f>
        <v>81997930134</v>
      </c>
      <c r="J785" s="11"/>
      <c r="K785" s="24">
        <f>IFERROR(__xludf.DUMMYFUNCTION("""COMPUTED_VALUE"""),45152)</f>
        <v>45152</v>
      </c>
      <c r="L785" s="11"/>
      <c r="M785" s="28" t="str">
        <f>IFERROR(__xludf.DUMMYFUNCTION("""COMPUTED_VALUE"""),"3355-6130")</f>
        <v>3355-6130</v>
      </c>
      <c r="N785" s="11" t="str">
        <f>IFERROR(__xludf.DUMMYFUNCTION("""COMPUTED_VALUE"""),"flavyflina@yahoo.com.br")</f>
        <v>flavyflina@yahoo.com.br</v>
      </c>
      <c r="O785" s="29">
        <f>IFERROR(__xludf.DUMMYFUNCTION("""COMPUTED_VALUE"""),4695815494)</f>
        <v>4695815494</v>
      </c>
      <c r="P785" s="30" t="str">
        <f>IFERROR(__xludf.DUMMYFUNCTION("""COMPUTED_VALUE"""),"980016282604597")</f>
        <v>980016282604597</v>
      </c>
      <c r="Q785" s="30" t="str">
        <f>IFERROR(__xludf.DUMMYFUNCTION("""COMPUTED_VALUE"""),"0024503")</f>
        <v>0024503</v>
      </c>
      <c r="R785" s="30" t="str">
        <f>IFERROR(__xludf.DUMMYFUNCTION("""COMPUTED_VALUE"""),"0000154121")</f>
        <v>0000154121</v>
      </c>
      <c r="S785" s="30" t="str">
        <f>IFERROR(__xludf.DUMMYFUNCTION("""COMPUTED_VALUE"""),"1")</f>
        <v>1</v>
      </c>
      <c r="T785" s="30" t="str">
        <f>IFERROR(__xludf.DUMMYFUNCTION("""COMPUTED_VALUE"""),"223565")</f>
        <v>223565</v>
      </c>
      <c r="U785" s="31" t="str">
        <f>IFERROR(__xludf.DUMMYFUNCTION("""COMPUTED_VALUE"""),"2235")</f>
        <v>2235</v>
      </c>
      <c r="V785" s="11"/>
      <c r="W785" s="11">
        <f>IFERROR(__xludf.DUMMYFUNCTION("""COMPUTED_VALUE"""),97930134)</f>
        <v>97930134</v>
      </c>
      <c r="X785" s="11"/>
      <c r="Y785" s="11">
        <f>IFERROR(__xludf.DUMMYFUNCTION("""COMPUTED_VALUE"""),4695815494)</f>
        <v>4695815494</v>
      </c>
      <c r="Z785" s="11"/>
    </row>
    <row r="786" customHeight="1" spans="1:26">
      <c r="A786" s="11" t="str">
        <f>IFERROR(__xludf.DUMMYFUNCTION("""COMPUTED_VALUE"""),"PAULA FERREIRA DE CARVALHO")</f>
        <v>PAULA FERREIRA DE CARVALHO</v>
      </c>
      <c r="B786" s="11"/>
      <c r="C786" s="11"/>
      <c r="D786" s="11" t="str">
        <f>IFERROR(__xludf.DUMMYFUNCTION("""COMPUTED_VALUE"""),"Enfermeira eSF")</f>
        <v>Enfermeira eSF</v>
      </c>
      <c r="E786" s="11" t="str">
        <f>IFERROR(__xludf.DUMMYFUNCTION("""COMPUTED_VALUE"""),"IV")</f>
        <v>IV</v>
      </c>
      <c r="F786" s="11" t="str">
        <f>IFERROR(__xludf.DUMMYFUNCTION("""COMPUTED_VALUE"""),"PACS PRADO")</f>
        <v>PACS PRADO</v>
      </c>
      <c r="G786" s="11" t="str">
        <f>IFERROR(__xludf.DUMMYFUNCTION("""COMPUTED_VALUE"""),"US 106 CS PROF JOAQUIM CAVALCANTE")</f>
        <v>US 106 CS PROF JOAQUIM CAVALCANTE</v>
      </c>
      <c r="H786" s="27">
        <f>IFERROR(__xludf.DUMMYFUNCTION("""COMPUTED_VALUE"""),81999945035)</f>
        <v>81999945035</v>
      </c>
      <c r="I786" s="11"/>
      <c r="J786" s="11"/>
      <c r="K786" s="11"/>
      <c r="L786" s="11"/>
      <c r="M786" s="28" t="str">
        <f>IFERROR(__xludf.DUMMYFUNCTION("""COMPUTED_VALUE"""),"3355-6130")</f>
        <v>3355-6130</v>
      </c>
      <c r="N786" s="11" t="str">
        <f>IFERROR(__xludf.DUMMYFUNCTION("""COMPUTED_VALUE"""),"paulica.bruno@hotmail.com")</f>
        <v>paulica.bruno@hotmail.com</v>
      </c>
      <c r="O786" s="11">
        <f>IFERROR(__xludf.DUMMYFUNCTION("""COMPUTED_VALUE"""),88979571453)</f>
        <v>88979571453</v>
      </c>
      <c r="P786" s="30" t="str">
        <f>IFERROR(__xludf.DUMMYFUNCTION("""COMPUTED_VALUE"""),"204323087890009")</f>
        <v>204323087890009</v>
      </c>
      <c r="Q786" s="30" t="str">
        <f>IFERROR(__xludf.DUMMYFUNCTION("""COMPUTED_VALUE"""),"0024503")</f>
        <v>0024503</v>
      </c>
      <c r="R786" s="30" t="str">
        <f>IFERROR(__xludf.DUMMYFUNCTION("""COMPUTED_VALUE"""),"0000154148")</f>
        <v>0000154148</v>
      </c>
      <c r="S786" s="30" t="str">
        <f>IFERROR(__xludf.DUMMYFUNCTION("""COMPUTED_VALUE"""),"1")</f>
        <v>1</v>
      </c>
      <c r="T786" s="30" t="str">
        <f>IFERROR(__xludf.DUMMYFUNCTION("""COMPUTED_VALUE"""),"223565")</f>
        <v>223565</v>
      </c>
      <c r="U786" s="31" t="str">
        <f>IFERROR(__xludf.DUMMYFUNCTION("""COMPUTED_VALUE"""),"2235")</f>
        <v>2235</v>
      </c>
      <c r="V786" s="11"/>
      <c r="W786" s="11">
        <f>IFERROR(__xludf.DUMMYFUNCTION("""COMPUTED_VALUE"""),8199945035)</f>
        <v>8199945035</v>
      </c>
      <c r="X786" s="11"/>
      <c r="Y786" s="11">
        <f>IFERROR(__xludf.DUMMYFUNCTION("""COMPUTED_VALUE"""),88979571453)</f>
        <v>88979571453</v>
      </c>
      <c r="Z786" s="11"/>
    </row>
    <row r="787" customHeight="1" spans="1:26">
      <c r="A787" s="11" t="str">
        <f>IFERROR(__xludf.DUMMYFUNCTION("""COMPUTED_VALUE"""),"TAMARA CORREIA DE AMORIM")</f>
        <v>TAMARA CORREIA DE AMORIM</v>
      </c>
      <c r="B787" s="11"/>
      <c r="C787" s="11"/>
      <c r="D787" s="11" t="str">
        <f>IFERROR(__xludf.DUMMYFUNCTION("""COMPUTED_VALUE"""),"Médica eSF")</f>
        <v>Médica eSF</v>
      </c>
      <c r="E787" s="11" t="str">
        <f>IFERROR(__xludf.DUMMYFUNCTION("""COMPUTED_VALUE"""),"IV")</f>
        <v>IV</v>
      </c>
      <c r="F787" s="11" t="str">
        <f>IFERROR(__xludf.DUMMYFUNCTION("""COMPUTED_VALUE"""),"US_233 USF VIETNA")</f>
        <v>US_233 USF VIETNA</v>
      </c>
      <c r="G787" s="11" t="str">
        <f>IFERROR(__xludf.DUMMYFUNCTION("""COMPUTED_VALUE"""),"US 252 USF ENGENHO DO MEIO")</f>
        <v>US 252 USF ENGENHO DO MEIO</v>
      </c>
      <c r="H787" s="27">
        <f>IFERROR(__xludf.DUMMYFUNCTION("""COMPUTED_VALUE"""),81995942409)</f>
        <v>81995942409</v>
      </c>
      <c r="I787" s="11"/>
      <c r="J787" s="11"/>
      <c r="K787" s="11"/>
      <c r="L787" s="11"/>
      <c r="M787" s="28" t="str">
        <f>IFERROR(__xludf.DUMMYFUNCTION("""COMPUTED_VALUE"""),"3355-6130")</f>
        <v>3355-6130</v>
      </c>
      <c r="N787" s="11" t="str">
        <f>IFERROR(__xludf.DUMMYFUNCTION("""COMPUTED_VALUE"""),"tamaracamorim@hotmail.com")</f>
        <v>tamaracamorim@hotmail.com</v>
      </c>
      <c r="O787" s="29">
        <f>IFERROR(__xludf.DUMMYFUNCTION("""COMPUTED_VALUE"""),3048902430)</f>
        <v>3048902430</v>
      </c>
      <c r="P787" s="30" t="str">
        <f>IFERROR(__xludf.DUMMYFUNCTION("""COMPUTED_VALUE"""),"980016295924641")</f>
        <v>980016295924641</v>
      </c>
      <c r="Q787" s="30" t="str">
        <f>IFERROR(__xludf.DUMMYFUNCTION("""COMPUTED_VALUE"""),"0024503")</f>
        <v>0024503</v>
      </c>
      <c r="R787" s="30" t="str">
        <f>IFERROR(__xludf.DUMMYFUNCTION("""COMPUTED_VALUE"""),"0000154121")</f>
        <v>0000154121</v>
      </c>
      <c r="S787" s="30" t="str">
        <f>IFERROR(__xludf.DUMMYFUNCTION("""COMPUTED_VALUE"""),"1")</f>
        <v>1</v>
      </c>
      <c r="T787" s="30" t="str">
        <f>IFERROR(__xludf.DUMMYFUNCTION("""COMPUTED_VALUE"""),"225142")</f>
        <v>225142</v>
      </c>
      <c r="U787" s="31" t="str">
        <f>IFERROR(__xludf.DUMMYFUNCTION("""COMPUTED_VALUE"""),"2251")</f>
        <v>2251</v>
      </c>
      <c r="V787" s="11" t="str">
        <f>IFERROR(__xludf.DUMMYFUNCTION("""COMPUTED_VALUE"""),"SIM")</f>
        <v>SIM</v>
      </c>
      <c r="W787" s="11"/>
      <c r="X787" s="11" t="str">
        <f>IFERROR(__xludf.DUMMYFUNCTION("""COMPUTED_VALUE"""),"#N/A")</f>
        <v>#N/A</v>
      </c>
      <c r="Y787" s="11" t="str">
        <f>IFERROR(__xludf.DUMMYFUNCTION("""COMPUTED_VALUE"""),"#N/A")</f>
        <v>#N/A</v>
      </c>
      <c r="Z787" s="11" t="str">
        <f>IFERROR(__xludf.DUMMYFUNCTION("""COMPUTED_VALUE"""),"#N/A")</f>
        <v>#N/A</v>
      </c>
    </row>
    <row r="788" customHeight="1" spans="1:26">
      <c r="A788" s="11" t="str">
        <f>IFERROR(__xludf.DUMMYFUNCTION("""COMPUTED_VALUE"""),"Claudia Cristina de L Barbosa")</f>
        <v>Claudia Cristina de L Barbosa</v>
      </c>
      <c r="B788" s="11"/>
      <c r="C788" s="11"/>
      <c r="D788" s="11" t="str">
        <f>IFERROR(__xludf.DUMMYFUNCTION("""COMPUTED_VALUE"""),"Enfermeira eSF")</f>
        <v>Enfermeira eSF</v>
      </c>
      <c r="E788" s="11"/>
      <c r="F788" s="11" t="str">
        <f>IFERROR(__xludf.DUMMYFUNCTION("""COMPUTED_VALUE"""),"US_254 USF BRASILIT	")</f>
        <v>US_254 USF BRASILIT	</v>
      </c>
      <c r="G788" s="11" t="str">
        <f>IFERROR(__xludf.DUMMYFUNCTION("""COMPUTED_VALUE"""),"US 254 USF BRASILIT")</f>
        <v>US 254 USF BRASILIT</v>
      </c>
      <c r="H788" s="27">
        <f>IFERROR(__xludf.DUMMYFUNCTION("""COMPUTED_VALUE"""),81988832122)</f>
        <v>81988832122</v>
      </c>
      <c r="I788" s="11"/>
      <c r="J788" s="11"/>
      <c r="K788" s="11"/>
      <c r="L788" s="11"/>
      <c r="M788" s="11"/>
      <c r="N788" s="11"/>
      <c r="O788" s="11"/>
      <c r="P788" s="11"/>
      <c r="Q788" s="11"/>
      <c r="R788" s="11"/>
      <c r="S788" s="11"/>
      <c r="T788" s="11"/>
      <c r="U788" s="11"/>
      <c r="V788" s="11"/>
      <c r="W788" s="11"/>
      <c r="X788" s="11"/>
      <c r="Y788" s="11"/>
      <c r="Z788" s="11"/>
    </row>
    <row r="789" customHeight="1" spans="1:26">
      <c r="A789" s="11" t="str">
        <f>IFERROR(__xludf.DUMMYFUNCTION("""COMPUTED_VALUE"""),"CLAUDIA CRISTINA DE LIMA BARBOSA")</f>
        <v>CLAUDIA CRISTINA DE LIMA BARBOSA</v>
      </c>
      <c r="B789" s="11"/>
      <c r="C789" s="11"/>
      <c r="D789" s="11" t="str">
        <f>IFERROR(__xludf.DUMMYFUNCTION("""COMPUTED_VALUE"""),"Enfermeira eSF")</f>
        <v>Enfermeira eSF</v>
      </c>
      <c r="E789" s="11" t="str">
        <f>IFERROR(__xludf.DUMMYFUNCTION("""COMPUTED_VALUE"""),"IV")</f>
        <v>IV</v>
      </c>
      <c r="F789" s="11" t="str">
        <f>IFERROR(__xludf.DUMMYFUNCTION("""COMPUTED_VALUE"""),"US_254 USF BRASILIT	")</f>
        <v>US_254 USF BRASILIT	</v>
      </c>
      <c r="G789" s="11" t="str">
        <f>IFERROR(__xludf.DUMMYFUNCTION("""COMPUTED_VALUE"""),"US 254 USF BRASILIT")</f>
        <v>US 254 USF BRASILIT</v>
      </c>
      <c r="H789" s="27">
        <f>IFERROR(__xludf.DUMMYFUNCTION("""COMPUTED_VALUE"""),81988833122)</f>
        <v>81988833122</v>
      </c>
      <c r="I789" s="11"/>
      <c r="J789" s="11"/>
      <c r="K789" s="11"/>
      <c r="L789" s="11"/>
      <c r="M789" s="28" t="str">
        <f>IFERROR(__xludf.DUMMYFUNCTION("""COMPUTED_VALUE"""),"3355-6410")</f>
        <v>3355-6410</v>
      </c>
      <c r="N789" s="11" t="str">
        <f>IFERROR(__xludf.DUMMYFUNCTION("""COMPUTED_VALUE"""),"claudinhalb@hotmail.com")</f>
        <v>claudinhalb@hotmail.com</v>
      </c>
      <c r="O789" s="29">
        <f>IFERROR(__xludf.DUMMYFUNCTION("""COMPUTED_VALUE"""),3406545467)</f>
        <v>3406545467</v>
      </c>
      <c r="P789" s="30" t="str">
        <f>IFERROR(__xludf.DUMMYFUNCTION("""COMPUTED_VALUE"""),"980016000010643")</f>
        <v>980016000010643</v>
      </c>
      <c r="Q789" s="30" t="str">
        <f>IFERROR(__xludf.DUMMYFUNCTION("""COMPUTED_VALUE"""),"0024511")</f>
        <v>0024511</v>
      </c>
      <c r="R789" s="30" t="str">
        <f>IFERROR(__xludf.DUMMYFUNCTION("""COMPUTED_VALUE"""),"0000154164")</f>
        <v>0000154164</v>
      </c>
      <c r="S789" s="30" t="str">
        <f>IFERROR(__xludf.DUMMYFUNCTION("""COMPUTED_VALUE"""),"1")</f>
        <v>1</v>
      </c>
      <c r="T789" s="30" t="str">
        <f>IFERROR(__xludf.DUMMYFUNCTION("""COMPUTED_VALUE"""),"223565")</f>
        <v>223565</v>
      </c>
      <c r="U789" s="31" t="str">
        <f>IFERROR(__xludf.DUMMYFUNCTION("""COMPUTED_VALUE"""),"2235")</f>
        <v>2235</v>
      </c>
      <c r="V789" s="11"/>
      <c r="W789" s="11">
        <f>IFERROR(__xludf.DUMMYFUNCTION("""COMPUTED_VALUE"""),8130821558)</f>
        <v>8130821558</v>
      </c>
      <c r="X789" s="11">
        <f>IFERROR(__xludf.DUMMYFUNCTION("""COMPUTED_VALUE"""),8188833122)</f>
        <v>8188833122</v>
      </c>
      <c r="Y789" s="11">
        <f>IFERROR(__xludf.DUMMYFUNCTION("""COMPUTED_VALUE"""),3406545467)</f>
        <v>3406545467</v>
      </c>
      <c r="Z789" s="11"/>
    </row>
    <row r="790" customHeight="1" spans="1:26">
      <c r="A790" s="11" t="str">
        <f>IFERROR(__xludf.DUMMYFUNCTION("""COMPUTED_VALUE"""),"LUCIANA MARIA LINO DE MOURA")</f>
        <v>LUCIANA MARIA LINO DE MOURA</v>
      </c>
      <c r="B790" s="11"/>
      <c r="C790" s="11"/>
      <c r="D790" s="11" t="str">
        <f>IFERROR(__xludf.DUMMYFUNCTION("""COMPUTED_VALUE"""),"Enfermeira eSF")</f>
        <v>Enfermeira eSF</v>
      </c>
      <c r="E790" s="11" t="str">
        <f>IFERROR(__xludf.DUMMYFUNCTION("""COMPUTED_VALUE"""),"IV")</f>
        <v>IV</v>
      </c>
      <c r="F790" s="11" t="str">
        <f>IFERROR(__xludf.DUMMYFUNCTION("""COMPUTED_VALUE"""),"US_254 USF BRASILIT	")</f>
        <v>US_254 USF BRASILIT	</v>
      </c>
      <c r="G790" s="11" t="str">
        <f>IFERROR(__xludf.DUMMYFUNCTION("""COMPUTED_VALUE"""),"US 254 USF BRASILIT")</f>
        <v>US 254 USF BRASILIT</v>
      </c>
      <c r="H790" s="27">
        <f>IFERROR(__xludf.DUMMYFUNCTION("""COMPUTED_VALUE"""),81986380232)</f>
        <v>81986380232</v>
      </c>
      <c r="I790" s="11"/>
      <c r="J790" s="11"/>
      <c r="K790" s="11"/>
      <c r="L790" s="11"/>
      <c r="M790" s="28" t="str">
        <f>IFERROR(__xludf.DUMMYFUNCTION("""COMPUTED_VALUE"""),"3355-6410")</f>
        <v>3355-6410</v>
      </c>
      <c r="N790" s="11" t="str">
        <f>IFERROR(__xludf.DUMMYFUNCTION("""COMPUTED_VALUE"""),"lucianamlmoura@yahoo.com.br")</f>
        <v>lucianamlmoura@yahoo.com.br</v>
      </c>
      <c r="O790" s="29">
        <f>IFERROR(__xludf.DUMMYFUNCTION("""COMPUTED_VALUE"""),66672325468)</f>
        <v>66672325468</v>
      </c>
      <c r="P790" s="30" t="str">
        <f>IFERROR(__xludf.DUMMYFUNCTION("""COMPUTED_VALUE"""),"127290814550009")</f>
        <v>127290814550009</v>
      </c>
      <c r="Q790" s="30" t="str">
        <f>IFERROR(__xludf.DUMMYFUNCTION("""COMPUTED_VALUE"""),"0024511")</f>
        <v>0024511</v>
      </c>
      <c r="R790" s="30" t="str">
        <f>IFERROR(__xludf.DUMMYFUNCTION("""COMPUTED_VALUE"""),"0000154156")</f>
        <v>0000154156</v>
      </c>
      <c r="S790" s="30" t="str">
        <f>IFERROR(__xludf.DUMMYFUNCTION("""COMPUTED_VALUE"""),"1")</f>
        <v>1</v>
      </c>
      <c r="T790" s="30" t="str">
        <f>IFERROR(__xludf.DUMMYFUNCTION("""COMPUTED_VALUE"""),"223565")</f>
        <v>223565</v>
      </c>
      <c r="U790" s="31" t="str">
        <f>IFERROR(__xludf.DUMMYFUNCTION("""COMPUTED_VALUE"""),"2235")</f>
        <v>2235</v>
      </c>
      <c r="V790" s="11"/>
      <c r="W790" s="11">
        <f>IFERROR(__xludf.DUMMYFUNCTION("""COMPUTED_VALUE"""),86380232)</f>
        <v>86380232</v>
      </c>
      <c r="X790" s="11"/>
      <c r="Y790" s="11">
        <f>IFERROR(__xludf.DUMMYFUNCTION("""COMPUTED_VALUE"""),66672325468)</f>
        <v>66672325468</v>
      </c>
      <c r="Z790" s="11"/>
    </row>
    <row r="791" customHeight="1" spans="1:26">
      <c r="A791" s="11" t="str">
        <f>IFERROR(__xludf.DUMMYFUNCTION("""COMPUTED_VALUE"""),"JOAO BATISTA DE SALES FILHO")</f>
        <v>JOAO BATISTA DE SALES FILHO</v>
      </c>
      <c r="B791" s="11"/>
      <c r="C791" s="11"/>
      <c r="D791" s="11" t="str">
        <f>IFERROR(__xludf.DUMMYFUNCTION("""COMPUTED_VALUE"""),"Médico eSF")</f>
        <v>Médico eSF</v>
      </c>
      <c r="E791" s="11" t="str">
        <f>IFERROR(__xludf.DUMMYFUNCTION("""COMPUTED_VALUE"""),"IV")</f>
        <v>IV</v>
      </c>
      <c r="F791" s="11" t="str">
        <f>IFERROR(__xludf.DUMMYFUNCTION("""COMPUTED_VALUE"""),"US_255 USF UPINHA 24H VILA ARRAES	")</f>
        <v>US_255 USF UPINHA 24H VILA ARRAES	</v>
      </c>
      <c r="G791" s="11" t="str">
        <f>IFERROR(__xludf.DUMMYFUNCTION("""COMPUTED_VALUE"""),"US 121 CS PROF BRUNO MAIA")</f>
        <v>US 121 CS PROF BRUNO MAIA</v>
      </c>
      <c r="H791" s="27">
        <f>IFERROR(__xludf.DUMMYFUNCTION("""COMPUTED_VALUE"""),81982968873)</f>
        <v>81982968873</v>
      </c>
      <c r="I791" s="11"/>
      <c r="J791" s="11"/>
      <c r="K791" s="11"/>
      <c r="L791" s="11"/>
      <c r="M791" s="28" t="str">
        <f>IFERROR(__xludf.DUMMYFUNCTION("""COMPUTED_VALUE"""),"3355-4640")</f>
        <v>3355-4640</v>
      </c>
      <c r="N791" s="11" t="str">
        <f>IFERROR(__xludf.DUMMYFUNCTION("""COMPUTED_VALUE"""),"joao45614@hotmail.com")</f>
        <v>joao45614@hotmail.com</v>
      </c>
      <c r="O791" s="29">
        <f>IFERROR(__xludf.DUMMYFUNCTION("""COMPUTED_VALUE"""),61803278315)</f>
        <v>61803278315</v>
      </c>
      <c r="P791" s="30" t="str">
        <f>IFERROR(__xludf.DUMMYFUNCTION("""COMPUTED_VALUE"""),"980016285952588")</f>
        <v>980016285952588</v>
      </c>
      <c r="Q791" s="30" t="str">
        <f>IFERROR(__xludf.DUMMYFUNCTION("""COMPUTED_VALUE"""),"0024538")</f>
        <v>0024538</v>
      </c>
      <c r="R791" s="11"/>
      <c r="S791" s="30" t="str">
        <f>IFERROR(__xludf.DUMMYFUNCTION("""COMPUTED_VALUE"""),"1")</f>
        <v>1</v>
      </c>
      <c r="T791" s="30" t="str">
        <f>IFERROR(__xludf.DUMMYFUNCTION("""COMPUTED_VALUE"""),"225142")</f>
        <v>225142</v>
      </c>
      <c r="U791" s="31" t="str">
        <f>IFERROR(__xludf.DUMMYFUNCTION("""COMPUTED_VALUE"""),"2251")</f>
        <v>2251</v>
      </c>
      <c r="V791" s="11"/>
      <c r="W791" s="11"/>
      <c r="X791" s="11"/>
      <c r="Y791" s="11"/>
      <c r="Z791" s="11"/>
    </row>
    <row r="792" customHeight="1" spans="1:26">
      <c r="A792" s="11" t="str">
        <f>IFERROR(__xludf.DUMMYFUNCTION("""COMPUTED_VALUE"""),"Bruna Mariana Freitas Lima")</f>
        <v>Bruna Mariana Freitas Lima</v>
      </c>
      <c r="B792" s="11"/>
      <c r="C792" s="11"/>
      <c r="D792" s="11" t="str">
        <f>IFERROR(__xludf.DUMMYFUNCTION("""COMPUTED_VALUE"""),"Médico eSF")</f>
        <v>Médico eSF</v>
      </c>
      <c r="E792" s="11"/>
      <c r="F792" s="11" t="str">
        <f>IFERROR(__xludf.DUMMYFUNCTION("""COMPUTED_VALUE"""),"US 349 USF CASARAO DO CORDEIRO")</f>
        <v>US 349 USF CASARAO DO CORDEIRO</v>
      </c>
      <c r="G792" s="11" t="str">
        <f>IFERROR(__xludf.DUMMYFUNCTION("""COMPUTED_VALUE"""),"US 349 USF CASARAO DO CORDEIRO")</f>
        <v>US 349 USF CASARAO DO CORDEIRO</v>
      </c>
      <c r="H792" s="27">
        <f>IFERROR(__xludf.DUMMYFUNCTION("""COMPUTED_VALUE"""),87999602884)</f>
        <v>87999602884</v>
      </c>
      <c r="I792" s="27">
        <f>IFERROR(__xludf.DUMMYFUNCTION("""COMPUTED_VALUE"""),87999602884)</f>
        <v>87999602884</v>
      </c>
      <c r="J792" s="11"/>
      <c r="K792" s="33">
        <f>IFERROR(__xludf.DUMMYFUNCTION("""COMPUTED_VALUE"""),45259)</f>
        <v>45259</v>
      </c>
      <c r="L792" s="11"/>
      <c r="M792" s="11"/>
      <c r="N792" s="11"/>
      <c r="O792" s="11"/>
      <c r="P792" s="11"/>
      <c r="Q792" s="11"/>
      <c r="R792" s="11"/>
      <c r="S792" s="11"/>
      <c r="T792" s="11"/>
      <c r="U792" s="11"/>
      <c r="V792" s="11"/>
      <c r="W792" s="11"/>
      <c r="X792" s="11"/>
      <c r="Y792" s="11"/>
      <c r="Z792" s="11"/>
    </row>
    <row r="793" customHeight="1" spans="1:26">
      <c r="A793" s="11" t="str">
        <f>IFERROR(__xludf.DUMMYFUNCTION("""COMPUTED_VALUE"""),"MARIANA RACHEL DE MATOS GALINDO")</f>
        <v>MARIANA RACHEL DE MATOS GALINDO</v>
      </c>
      <c r="B793" s="11"/>
      <c r="C793" s="11"/>
      <c r="D793" s="11" t="str">
        <f>IFERROR(__xludf.DUMMYFUNCTION("""COMPUTED_VALUE"""),"Médico eSF")</f>
        <v>Médico eSF</v>
      </c>
      <c r="E793" s="11" t="str">
        <f>IFERROR(__xludf.DUMMYFUNCTION("""COMPUTED_VALUE"""),"IV")</f>
        <v>IV</v>
      </c>
      <c r="F793" s="11" t="str">
        <f>IFERROR(__xludf.DUMMYFUNCTION("""COMPUTED_VALUE"""),"US 349 USF CASARAO DO CORDEIRO")</f>
        <v>US 349 USF CASARAO DO CORDEIRO</v>
      </c>
      <c r="G793" s="11" t="str">
        <f>IFERROR(__xludf.DUMMYFUNCTION("""COMPUTED_VALUE"""),"US 349 USF CASARAO DO CORDEIRO")</f>
        <v>US 349 USF CASARAO DO CORDEIRO</v>
      </c>
      <c r="H793" s="27">
        <f>IFERROR(__xludf.DUMMYFUNCTION("""COMPUTED_VALUE"""),81996075111)</f>
        <v>81996075111</v>
      </c>
      <c r="I793" s="27">
        <f>IFERROR(__xludf.DUMMYFUNCTION("""COMPUTED_VALUE"""),81988650924)</f>
        <v>81988650924</v>
      </c>
      <c r="J793" s="11"/>
      <c r="K793" s="11"/>
      <c r="L793" s="11"/>
      <c r="M793" s="28" t="str">
        <f>IFERROR(__xludf.DUMMYFUNCTION("""COMPUTED_VALUE"""),"3355-4640")</f>
        <v>3355-4640</v>
      </c>
      <c r="N793" s="11" t="str">
        <f>IFERROR(__xludf.DUMMYFUNCTION("""COMPUTED_VALUE"""),"dra.matosmari@gmail.com")</f>
        <v>dra.matosmari@gmail.com</v>
      </c>
      <c r="O793" s="29">
        <f>IFERROR(__xludf.DUMMYFUNCTION("""COMPUTED_VALUE"""),6511027406)</f>
        <v>6511027406</v>
      </c>
      <c r="P793" s="30" t="str">
        <f>IFERROR(__xludf.DUMMYFUNCTION("""COMPUTED_VALUE"""),"704109114743570")</f>
        <v>704109114743570</v>
      </c>
      <c r="Q793" s="30" t="str">
        <f>IFERROR(__xludf.DUMMYFUNCTION("""COMPUTED_VALUE"""),"0024538")</f>
        <v>0024538</v>
      </c>
      <c r="R793" s="30" t="str">
        <f>IFERROR(__xludf.DUMMYFUNCTION("""COMPUTED_VALUE"""),"0000154172")</f>
        <v>0000154172</v>
      </c>
      <c r="S793" s="30" t="str">
        <f>IFERROR(__xludf.DUMMYFUNCTION("""COMPUTED_VALUE"""),"1")</f>
        <v>1</v>
      </c>
      <c r="T793" s="30" t="str">
        <f>IFERROR(__xludf.DUMMYFUNCTION("""COMPUTED_VALUE"""),"225142")</f>
        <v>225142</v>
      </c>
      <c r="U793" s="11">
        <f>IFERROR(__xludf.DUMMYFUNCTION("""COMPUTED_VALUE"""),2251)</f>
        <v>2251</v>
      </c>
      <c r="V793" s="11" t="str">
        <f>IFERROR(__xludf.DUMMYFUNCTION("""COMPUTED_VALUE"""),"SIM")</f>
        <v>SIM</v>
      </c>
      <c r="W793" s="11"/>
      <c r="X793" s="11" t="str">
        <f>IFERROR(__xludf.DUMMYFUNCTION("""COMPUTED_VALUE"""),"#N/A")</f>
        <v>#N/A</v>
      </c>
      <c r="Y793" s="11"/>
      <c r="Z793" s="11"/>
    </row>
    <row r="794" customHeight="1" spans="1:26">
      <c r="A794" s="11" t="str">
        <f>IFERROR(__xludf.DUMMYFUNCTION("""COMPUTED_VALUE"""),"ISABELLA PRAEIRO")</f>
        <v>ISABELLA PRAEIRO</v>
      </c>
      <c r="B794" s="11"/>
      <c r="C794" s="11"/>
      <c r="D794" s="11" t="str">
        <f>IFERROR(__xludf.DUMMYFUNCTION("""COMPUTED_VALUE"""),"MÉDICA RESIDENTE")</f>
        <v>MÉDICA RESIDENTE</v>
      </c>
      <c r="E794" s="11"/>
      <c r="F794" s="11"/>
      <c r="G794" s="11" t="str">
        <f>IFERROR(__xludf.DUMMYFUNCTION("""COMPUTED_VALUE"""),"US 216 USF APIPUCOS")</f>
        <v>US 216 USF APIPUCOS</v>
      </c>
      <c r="H794" s="11"/>
      <c r="I794" s="11"/>
      <c r="J794" s="11"/>
      <c r="K794" s="11"/>
      <c r="L794" s="11"/>
      <c r="M794" s="11"/>
      <c r="N794" s="11"/>
      <c r="O794" s="11"/>
      <c r="P794" s="11"/>
      <c r="Q794" s="11"/>
      <c r="R794" s="11"/>
      <c r="S794" s="11"/>
      <c r="T794" s="11"/>
      <c r="U794" s="11"/>
      <c r="V794" s="11"/>
      <c r="W794" s="11"/>
      <c r="X794" s="11"/>
      <c r="Y794" s="11"/>
      <c r="Z794" s="11"/>
    </row>
    <row r="795" customHeight="1" spans="1:26">
      <c r="A795" s="11" t="str">
        <f>IFERROR(__xludf.DUMMYFUNCTION("""COMPUTED_VALUE"""),"LUCAS MEDEIROS")</f>
        <v>LUCAS MEDEIROS</v>
      </c>
      <c r="B795" s="11"/>
      <c r="C795" s="11"/>
      <c r="D795" s="11" t="str">
        <f>IFERROR(__xludf.DUMMYFUNCTION("""COMPUTED_VALUE"""),"MÉDICO RESIDENTE")</f>
        <v>MÉDICO RESIDENTE</v>
      </c>
      <c r="E795" s="11"/>
      <c r="F795" s="11" t="str">
        <f>IFERROR(__xludf.DUMMYFUNCTION("""COMPUTED_VALUE"""),"")</f>
        <v/>
      </c>
      <c r="G795" s="11" t="str">
        <f>IFERROR(__xludf.DUMMYFUNCTION("""COMPUTED_VALUE"""),"US 216 USF APIPUCOS")</f>
        <v>US 216 USF APIPUCOS</v>
      </c>
      <c r="H795" s="27">
        <f>IFERROR(__xludf.DUMMYFUNCTION("""COMPUTED_VALUE"""),81995879283)</f>
        <v>81995879283</v>
      </c>
      <c r="I795" s="11"/>
      <c r="J795" s="11"/>
      <c r="K795" s="24">
        <f>IFERROR(__xludf.DUMMYFUNCTION("""COMPUTED_VALUE"""),45370)</f>
        <v>45370</v>
      </c>
      <c r="L795" s="11"/>
      <c r="M795" s="11"/>
      <c r="N795" s="11"/>
      <c r="O795" s="11"/>
      <c r="P795" s="11"/>
      <c r="Q795" s="11"/>
      <c r="R795" s="11"/>
      <c r="S795" s="11"/>
      <c r="T795" s="11"/>
      <c r="U795" s="11"/>
      <c r="V795" s="11"/>
      <c r="W795" s="11"/>
      <c r="X795" s="11"/>
      <c r="Y795" s="11"/>
      <c r="Z795" s="11"/>
    </row>
    <row r="796" customHeight="1" spans="1:26">
      <c r="A796" s="11" t="str">
        <f>IFERROR(__xludf.DUMMYFUNCTION("""COMPUTED_VALUE"""),"RUBENS CAVALCANTI FREIRE DA SILVA 216")</f>
        <v>RUBENS CAVALCANTI FREIRE DA SILVA 216</v>
      </c>
      <c r="B796" s="11"/>
      <c r="C796" s="11"/>
      <c r="D796" s="11" t="str">
        <f>IFERROR(__xludf.DUMMYFUNCTION("""COMPUTED_VALUE"""),"Médico eSF")</f>
        <v>Médico eSF</v>
      </c>
      <c r="E796" s="11"/>
      <c r="F796" s="11" t="str">
        <f>IFERROR(__xludf.DUMMYFUNCTION("""COMPUTED_VALUE"""),"")</f>
        <v/>
      </c>
      <c r="G796" s="11" t="str">
        <f>IFERROR(__xludf.DUMMYFUNCTION("""COMPUTED_VALUE"""),"US 216 USF APIPUCOS")</f>
        <v>US 216 USF APIPUCOS</v>
      </c>
      <c r="H796" s="27">
        <f>IFERROR(__xludf.DUMMYFUNCTION("""COMPUTED_VALUE"""),81999057066)</f>
        <v>81999057066</v>
      </c>
      <c r="I796" s="11"/>
      <c r="J796" s="11"/>
      <c r="K796" s="24">
        <f>IFERROR(__xludf.DUMMYFUNCTION("""COMPUTED_VALUE"""),45369)</f>
        <v>45369</v>
      </c>
      <c r="L796" s="11"/>
      <c r="M796" s="11"/>
      <c r="N796" s="11"/>
      <c r="O796" s="11"/>
      <c r="P796" s="11"/>
      <c r="Q796" s="11"/>
      <c r="R796" s="11"/>
      <c r="S796" s="11"/>
      <c r="T796" s="11"/>
      <c r="U796" s="11"/>
      <c r="V796" s="11"/>
      <c r="W796" s="11"/>
      <c r="X796" s="11"/>
      <c r="Y796" s="11"/>
      <c r="Z796" s="11"/>
    </row>
    <row r="797" customHeight="1" spans="1:26">
      <c r="A797" s="11" t="str">
        <f>IFERROR(__xludf.DUMMYFUNCTION("""COMPUTED_VALUE"""),"RUBENS CAVALCANTI FREIRE DA SILVA 255")</f>
        <v>RUBENS CAVALCANTI FREIRE DA SILVA 255</v>
      </c>
      <c r="B797" s="11"/>
      <c r="C797" s="11"/>
      <c r="D797" s="11" t="str">
        <f>IFERROR(__xludf.DUMMYFUNCTION("""COMPUTED_VALUE"""),"Médico eSF")</f>
        <v>Médico eSF</v>
      </c>
      <c r="E797" s="11" t="str">
        <f>IFERROR(__xludf.DUMMYFUNCTION("""COMPUTED_VALUE"""),"IV")</f>
        <v>IV</v>
      </c>
      <c r="F797" s="11" t="str">
        <f>IFERROR(__xludf.DUMMYFUNCTION("""COMPUTED_VALUE"""),"US_216 USF APIPUCOS")</f>
        <v>US_216 USF APIPUCOS</v>
      </c>
      <c r="G797" s="11" t="str">
        <f>IFERROR(__xludf.DUMMYFUNCTION("""COMPUTED_VALUE"""),"US 255 USF UPINHA 24H VILA ARRAES	")</f>
        <v>US 255 USF UPINHA 24H VILA ARRAES	</v>
      </c>
      <c r="H797" s="27">
        <f>IFERROR(__xludf.DUMMYFUNCTION("""COMPUTED_VALUE"""),81999057066)</f>
        <v>81999057066</v>
      </c>
      <c r="I797" s="11"/>
      <c r="J797" s="11"/>
      <c r="K797" s="11"/>
      <c r="L797" s="11"/>
      <c r="M797" s="28" t="str">
        <f>IFERROR(__xludf.DUMMYFUNCTION("""COMPUTED_VALUE"""),"3355-4640")</f>
        <v>3355-4640</v>
      </c>
      <c r="N797" s="11" t="str">
        <f>IFERROR(__xludf.DUMMYFUNCTION("""COMPUTED_VALUE"""),"rubenscavalcanti@gmail.com")</f>
        <v>rubenscavalcanti@gmail.com</v>
      </c>
      <c r="O797" s="29">
        <f>IFERROR(__xludf.DUMMYFUNCTION("""COMPUTED_VALUE"""),6280918424)</f>
        <v>6280918424</v>
      </c>
      <c r="P797" s="30" t="str">
        <f>IFERROR(__xludf.DUMMYFUNCTION("""COMPUTED_VALUE"""),"980016287911374")</f>
        <v>980016287911374</v>
      </c>
      <c r="Q797" s="30" t="str">
        <f>IFERROR(__xludf.DUMMYFUNCTION("""COMPUTED_VALUE"""),"0024538")</f>
        <v>0024538</v>
      </c>
      <c r="R797" s="11"/>
      <c r="S797" s="30" t="str">
        <f>IFERROR(__xludf.DUMMYFUNCTION("""COMPUTED_VALUE"""),"1")</f>
        <v>1</v>
      </c>
      <c r="T797" s="30" t="str">
        <f>IFERROR(__xludf.DUMMYFUNCTION("""COMPUTED_VALUE"""),"225142")</f>
        <v>225142</v>
      </c>
      <c r="U797" s="31" t="str">
        <f>IFERROR(__xludf.DUMMYFUNCTION("""COMPUTED_VALUE"""),"2251")</f>
        <v>2251</v>
      </c>
      <c r="V797" s="11"/>
      <c r="W797" s="11"/>
      <c r="X797" s="11"/>
      <c r="Y797" s="11"/>
      <c r="Z797" s="11"/>
    </row>
    <row r="798" customHeight="1" spans="1:26">
      <c r="A798" s="11" t="str">
        <f>IFERROR(__xludf.DUMMYFUNCTION("""COMPUTED_VALUE"""),"VITORIA LINDA JAHEL")</f>
        <v>VITORIA LINDA JAHEL</v>
      </c>
      <c r="B798" s="11"/>
      <c r="C798" s="11"/>
      <c r="D798" s="11" t="str">
        <f>IFERROR(__xludf.DUMMYFUNCTION("""COMPUTED_VALUE"""),"Enfermeira eSF")</f>
        <v>Enfermeira eSF</v>
      </c>
      <c r="E798" s="11" t="str">
        <f>IFERROR(__xludf.DUMMYFUNCTION("""COMPUTED_VALUE"""),"IV")</f>
        <v>IV</v>
      </c>
      <c r="F798" s="11" t="str">
        <f>IFERROR(__xludf.DUMMYFUNCTION("""COMPUTED_VALUE"""),"US_255 USF UPINHA 24H VILA ARRAES	")</f>
        <v>US_255 USF UPINHA 24H VILA ARRAES	</v>
      </c>
      <c r="G798" s="11" t="str">
        <f>IFERROR(__xludf.DUMMYFUNCTION("""COMPUTED_VALUE"""),"US 255 USF UPINHA 24H VILA ARRAES	")</f>
        <v>US 255 USF UPINHA 24H VILA ARRAES	</v>
      </c>
      <c r="H798" s="27">
        <f>IFERROR(__xludf.DUMMYFUNCTION("""COMPUTED_VALUE"""),81999844374)</f>
        <v>81999844374</v>
      </c>
      <c r="I798" s="27">
        <f>IFERROR(__xludf.DUMMYFUNCTION("""COMPUTED_VALUE"""),81999644374)</f>
        <v>81999644374</v>
      </c>
      <c r="J798" s="11"/>
      <c r="K798" s="11"/>
      <c r="L798" s="11"/>
      <c r="M798" s="28" t="str">
        <f>IFERROR(__xludf.DUMMYFUNCTION("""COMPUTED_VALUE"""),"3355-4640")</f>
        <v>3355-4640</v>
      </c>
      <c r="N798" s="11" t="str">
        <f>IFERROR(__xludf.DUMMYFUNCTION("""COMPUTED_VALUE"""),"vitoriajahel@hotmail.com")</f>
        <v>vitoriajahel@hotmail.com</v>
      </c>
      <c r="O798" s="29">
        <f>IFERROR(__xludf.DUMMYFUNCTION("""COMPUTED_VALUE"""),41600495400)</f>
        <v>41600495400</v>
      </c>
      <c r="P798" s="30" t="str">
        <f>IFERROR(__xludf.DUMMYFUNCTION("""COMPUTED_VALUE"""),"121501875680009")</f>
        <v>121501875680009</v>
      </c>
      <c r="Q798" s="30" t="str">
        <f>IFERROR(__xludf.DUMMYFUNCTION("""COMPUTED_VALUE"""),"0024538")</f>
        <v>0024538</v>
      </c>
      <c r="R798" s="30" t="str">
        <f>IFERROR(__xludf.DUMMYFUNCTION("""COMPUTED_VALUE"""),"0000154172")</f>
        <v>0000154172</v>
      </c>
      <c r="S798" s="30" t="str">
        <f>IFERROR(__xludf.DUMMYFUNCTION("""COMPUTED_VALUE"""),"1")</f>
        <v>1</v>
      </c>
      <c r="T798" s="30" t="str">
        <f>IFERROR(__xludf.DUMMYFUNCTION("""COMPUTED_VALUE"""),"223565")</f>
        <v>223565</v>
      </c>
      <c r="U798" s="31" t="str">
        <f>IFERROR(__xludf.DUMMYFUNCTION("""COMPUTED_VALUE"""),"2235")</f>
        <v>2235</v>
      </c>
      <c r="V798" s="11"/>
      <c r="W798" s="11">
        <f>IFERROR(__xludf.DUMMYFUNCTION("""COMPUTED_VALUE"""),85753355)</f>
        <v>85753355</v>
      </c>
      <c r="X798" s="11">
        <f>IFERROR(__xludf.DUMMYFUNCTION("""COMPUTED_VALUE"""),99644374)</f>
        <v>99644374</v>
      </c>
      <c r="Y798" s="11">
        <f>IFERROR(__xludf.DUMMYFUNCTION("""COMPUTED_VALUE"""),41600495400)</f>
        <v>41600495400</v>
      </c>
      <c r="Z798" s="11"/>
    </row>
    <row r="799" customHeight="1" spans="1:26">
      <c r="A799" s="11" t="str">
        <f>IFERROR(__xludf.DUMMYFUNCTION("""COMPUTED_VALUE"""),"Rosy Campos de Oliveira ")</f>
        <v>Rosy Campos de Oliveira </v>
      </c>
      <c r="B799" s="11"/>
      <c r="C799" s="11"/>
      <c r="D799" s="11" t="str">
        <f>IFERROR(__xludf.DUMMYFUNCTION("""COMPUTED_VALUE"""),"Enfermeira eSF")</f>
        <v>Enfermeira eSF</v>
      </c>
      <c r="E799" s="11"/>
      <c r="F799" s="11" t="str">
        <f>IFERROR(__xludf.DUMMYFUNCTION("""COMPUTED_VALUE"""),"US_295 USF COSME E DAMIAO	")</f>
        <v>US_295 USF COSME E DAMIAO	</v>
      </c>
      <c r="G799" s="11" t="str">
        <f>IFERROR(__xludf.DUMMYFUNCTION("""COMPUTED_VALUE"""),"US 295 USF COSME E DAMIAO")</f>
        <v>US 295 USF COSME E DAMIAO</v>
      </c>
      <c r="H799" s="27">
        <f>IFERROR(__xludf.DUMMYFUNCTION("""COMPUTED_VALUE"""),81999786125)</f>
        <v>81999786125</v>
      </c>
      <c r="I799" s="11"/>
      <c r="J799" s="11"/>
      <c r="K799" s="33">
        <f>IFERROR(__xludf.DUMMYFUNCTION("""COMPUTED_VALUE"""),45257)</f>
        <v>45257</v>
      </c>
      <c r="L799" s="11"/>
      <c r="M799" s="11"/>
      <c r="N799" s="11"/>
      <c r="O799" s="11"/>
      <c r="P799" s="11"/>
      <c r="Q799" s="11"/>
      <c r="R799" s="11"/>
      <c r="S799" s="11"/>
      <c r="T799" s="11"/>
      <c r="U799" s="11"/>
      <c r="V799" s="11"/>
      <c r="W799" s="11"/>
      <c r="X799" s="11"/>
      <c r="Y799" s="11"/>
      <c r="Z799" s="11"/>
    </row>
    <row r="800" customHeight="1" spans="1:26">
      <c r="A800" s="11" t="str">
        <f>IFERROR(__xludf.DUMMYFUNCTION("""COMPUTED_VALUE"""),"ROSY CAMPOS DE OLIVEIRA")</f>
        <v>ROSY CAMPOS DE OLIVEIRA</v>
      </c>
      <c r="B800" s="11"/>
      <c r="C800" s="11"/>
      <c r="D800" s="11" t="str">
        <f>IFERROR(__xludf.DUMMYFUNCTION("""COMPUTED_VALUE"""),"Enfermeira eSF")</f>
        <v>Enfermeira eSF</v>
      </c>
      <c r="E800" s="11" t="str">
        <f>IFERROR(__xludf.DUMMYFUNCTION("""COMPUTED_VALUE"""),"IV")</f>
        <v>IV</v>
      </c>
      <c r="F800" s="11" t="str">
        <f>IFERROR(__xludf.DUMMYFUNCTION("""COMPUTED_VALUE"""),"US_295 USF COSME E DAMIAO	")</f>
        <v>US_295 USF COSME E DAMIAO	</v>
      </c>
      <c r="G800" s="11" t="str">
        <f>IFERROR(__xludf.DUMMYFUNCTION("""COMPUTED_VALUE"""),"US 295 USF COSME E DAMIAO")</f>
        <v>US 295 USF COSME E DAMIAO</v>
      </c>
      <c r="H800" s="27" t="str">
        <f>IFERROR(__xludf.DUMMYFUNCTION("""COMPUTED_VALUE"""),"81999786125.")</f>
        <v>81999786125.</v>
      </c>
      <c r="I800" s="27">
        <f>IFERROR(__xludf.DUMMYFUNCTION("""COMPUTED_VALUE"""),81999861257)</f>
        <v>81999861257</v>
      </c>
      <c r="J800" s="11"/>
      <c r="K800" s="11"/>
      <c r="L800" s="11"/>
      <c r="M800" s="11"/>
      <c r="N800" s="11" t="str">
        <f>IFERROR(__xludf.DUMMYFUNCTION("""COMPUTED_VALUE"""),"rosydeoliveira65@gmail.com")</f>
        <v>rosydeoliveira65@gmail.com</v>
      </c>
      <c r="O800" s="29">
        <f>IFERROR(__xludf.DUMMYFUNCTION("""COMPUTED_VALUE"""),44052626400)</f>
        <v>44052626400</v>
      </c>
      <c r="P800" s="30" t="str">
        <f>IFERROR(__xludf.DUMMYFUNCTION("""COMPUTED_VALUE"""),"170188858150003")</f>
        <v>170188858150003</v>
      </c>
      <c r="Q800" s="30" t="str">
        <f>IFERROR(__xludf.DUMMYFUNCTION("""COMPUTED_VALUE"""),"3153487")</f>
        <v>3153487</v>
      </c>
      <c r="R800" s="30" t="str">
        <f>IFERROR(__xludf.DUMMYFUNCTION("""COMPUTED_VALUE"""),"0000155144")</f>
        <v>0000155144</v>
      </c>
      <c r="S800" s="30" t="str">
        <f>IFERROR(__xludf.DUMMYFUNCTION("""COMPUTED_VALUE"""),"1")</f>
        <v>1</v>
      </c>
      <c r="T800" s="30" t="str">
        <f>IFERROR(__xludf.DUMMYFUNCTION("""COMPUTED_VALUE"""),"223565")</f>
        <v>223565</v>
      </c>
      <c r="U800" s="31" t="str">
        <f>IFERROR(__xludf.DUMMYFUNCTION("""COMPUTED_VALUE"""),"2235")</f>
        <v>2235</v>
      </c>
      <c r="V800" s="11"/>
      <c r="W800" s="11">
        <f>IFERROR(__xludf.DUMMYFUNCTION("""COMPUTED_VALUE"""),8134531901)</f>
        <v>8134531901</v>
      </c>
      <c r="X800" s="11">
        <f>IFERROR(__xludf.DUMMYFUNCTION("""COMPUTED_VALUE"""),8199861257)</f>
        <v>8199861257</v>
      </c>
      <c r="Y800" s="11">
        <f>IFERROR(__xludf.DUMMYFUNCTION("""COMPUTED_VALUE"""),44052626400)</f>
        <v>44052626400</v>
      </c>
      <c r="Z800" s="11"/>
    </row>
    <row r="801" customHeight="1" spans="1:26">
      <c r="A801" s="11" t="str">
        <f>IFERROR(__xludf.DUMMYFUNCTION("""COMPUTED_VALUE"""),"DIEGO ANGEIRAS")</f>
        <v>DIEGO ANGEIRAS</v>
      </c>
      <c r="B801" s="11"/>
      <c r="C801" s="11"/>
      <c r="D801" s="11" t="str">
        <f>IFERROR(__xludf.DUMMYFUNCTION("""COMPUTED_VALUE"""),"MÉDICO RESIDENTE")</f>
        <v>MÉDICO RESIDENTE</v>
      </c>
      <c r="E801" s="11" t="str">
        <f>IFERROR(__xludf.DUMMYFUNCTION("""COMPUTED_VALUE"""),"IV")</f>
        <v>IV</v>
      </c>
      <c r="F801" s="11" t="str">
        <f>IFERROR(__xludf.DUMMYFUNCTION("""COMPUTED_VALUE"""),"")</f>
        <v/>
      </c>
      <c r="G801" s="11" t="str">
        <f>IFERROR(__xludf.DUMMYFUNCTION("""COMPUTED_VALUE"""),"US 295 USF COSME E DAMIAO")</f>
        <v>US 295 USF COSME E DAMIAO</v>
      </c>
      <c r="H801" s="27">
        <f>IFERROR(__xludf.DUMMYFUNCTION("""COMPUTED_VALUE"""),81997588111)</f>
        <v>81997588111</v>
      </c>
      <c r="I801" s="11"/>
      <c r="J801" s="11"/>
      <c r="K801" s="24">
        <f>IFERROR(__xludf.DUMMYFUNCTION("""COMPUTED_VALUE"""),45370)</f>
        <v>45370</v>
      </c>
      <c r="L801" s="11"/>
      <c r="M801" s="11"/>
      <c r="N801" s="11"/>
      <c r="O801" s="11"/>
      <c r="P801" s="11"/>
      <c r="Q801" s="11"/>
      <c r="R801" s="11"/>
      <c r="S801" s="11"/>
      <c r="T801" s="11"/>
      <c r="U801" s="11"/>
      <c r="V801" s="11"/>
      <c r="W801" s="11"/>
      <c r="X801" s="11"/>
      <c r="Y801" s="11"/>
      <c r="Z801" s="11"/>
    </row>
    <row r="802" customHeight="1" spans="1:26">
      <c r="A802" s="11" t="str">
        <f>IFERROR(__xludf.DUMMYFUNCTION("""COMPUTED_VALUE"""),"MARIA LUIZA BELTRÃO")</f>
        <v>MARIA LUIZA BELTRÃO</v>
      </c>
      <c r="B802" s="11"/>
      <c r="C802" s="11"/>
      <c r="D802" s="11" t="str">
        <f>IFERROR(__xludf.DUMMYFUNCTION("""COMPUTED_VALUE"""),"MÉDICO RESIDENTE")</f>
        <v>MÉDICO RESIDENTE</v>
      </c>
      <c r="E802" s="11" t="str">
        <f>IFERROR(__xludf.DUMMYFUNCTION("""COMPUTED_VALUE"""),"IV")</f>
        <v>IV</v>
      </c>
      <c r="F802" s="11" t="str">
        <f>IFERROR(__xludf.DUMMYFUNCTION("""COMPUTED_VALUE"""),"")</f>
        <v/>
      </c>
      <c r="G802" s="11" t="str">
        <f>IFERROR(__xludf.DUMMYFUNCTION("""COMPUTED_VALUE"""),"US 295 USF COSME E DAMIAO")</f>
        <v>US 295 USF COSME E DAMIAO</v>
      </c>
      <c r="H802" s="27">
        <f>IFERROR(__xludf.DUMMYFUNCTION("""COMPUTED_VALUE"""),81999661314)</f>
        <v>81999661314</v>
      </c>
      <c r="I802" s="11"/>
      <c r="J802" s="11"/>
      <c r="K802" s="24">
        <f>IFERROR(__xludf.DUMMYFUNCTION("""COMPUTED_VALUE"""),45370)</f>
        <v>45370</v>
      </c>
      <c r="L802" s="11"/>
      <c r="M802" s="11"/>
      <c r="N802" s="11"/>
      <c r="O802" s="11"/>
      <c r="P802" s="11"/>
      <c r="Q802" s="11"/>
      <c r="R802" s="11"/>
      <c r="S802" s="11"/>
      <c r="T802" s="11"/>
      <c r="U802" s="11"/>
      <c r="V802" s="11"/>
      <c r="W802" s="11"/>
      <c r="X802" s="11"/>
      <c r="Y802" s="11"/>
      <c r="Z802" s="11"/>
    </row>
    <row r="803" customHeight="1" spans="1:26">
      <c r="A803" s="11" t="str">
        <f>IFERROR(__xludf.DUMMYFUNCTION("""COMPUTED_VALUE"""),"ENELINE DE ANDRADE HERACLIO GOUVEIA PESSOA")</f>
        <v>ENELINE DE ANDRADE HERACLIO GOUVEIA PESSOA</v>
      </c>
      <c r="B803" s="11"/>
      <c r="C803" s="11"/>
      <c r="D803" s="11" t="str">
        <f>IFERROR(__xludf.DUMMYFUNCTION("""COMPUTED_VALUE"""),"Médica eSF")</f>
        <v>Médica eSF</v>
      </c>
      <c r="E803" s="11" t="str">
        <f>IFERROR(__xludf.DUMMYFUNCTION("""COMPUTED_VALUE"""),"IV")</f>
        <v>IV</v>
      </c>
      <c r="F803" s="11" t="str">
        <f>IFERROR(__xludf.DUMMYFUNCTION("""COMPUTED_VALUE"""),"US_295 USF COSME E DAMIAO	")</f>
        <v>US_295 USF COSME E DAMIAO	</v>
      </c>
      <c r="G803" s="11" t="str">
        <f>IFERROR(__xludf.DUMMYFUNCTION("""COMPUTED_VALUE"""),"US 295 USF COSME E DAMIAO")</f>
        <v>US 295 USF COSME E DAMIAO</v>
      </c>
      <c r="H803" s="27">
        <f>IFERROR(__xludf.DUMMYFUNCTION("""COMPUTED_VALUE"""),81996397391)</f>
        <v>81996397391</v>
      </c>
      <c r="I803" s="11"/>
      <c r="J803" s="11"/>
      <c r="K803" s="11"/>
      <c r="L803" s="11"/>
      <c r="M803" s="28" t="str">
        <f>IFERROR(__xludf.DUMMYFUNCTION("""COMPUTED_VALUE"""),"3355-0308/0309")</f>
        <v>3355-0308/0309</v>
      </c>
      <c r="N803" s="11" t="str">
        <f>IFERROR(__xludf.DUMMYFUNCTION("""COMPUTED_VALUE"""),"eneline.gouveia@gmail.com")</f>
        <v>eneline.gouveia@gmail.com</v>
      </c>
      <c r="O803" s="29">
        <f>IFERROR(__xludf.DUMMYFUNCTION("""COMPUTED_VALUE"""),7444954402)</f>
        <v>7444954402</v>
      </c>
      <c r="P803" s="30" t="str">
        <f>IFERROR(__xludf.DUMMYFUNCTION("""COMPUTED_VALUE"""),"980016295345536")</f>
        <v>980016295345536</v>
      </c>
      <c r="Q803" s="30" t="str">
        <f>IFERROR(__xludf.DUMMYFUNCTION("""COMPUTED_VALUE"""),"3703223")</f>
        <v>3703223</v>
      </c>
      <c r="R803" s="30" t="str">
        <f>IFERROR(__xludf.DUMMYFUNCTION("""COMPUTED_VALUE"""),"0000155691")</f>
        <v>0000155691</v>
      </c>
      <c r="S803" s="30" t="str">
        <f>IFERROR(__xludf.DUMMYFUNCTION("""COMPUTED_VALUE"""),"1")</f>
        <v>1</v>
      </c>
      <c r="T803" s="30" t="str">
        <f>IFERROR(__xludf.DUMMYFUNCTION("""COMPUTED_VALUE"""),"225142")</f>
        <v>225142</v>
      </c>
      <c r="U803" s="31" t="str">
        <f>IFERROR(__xludf.DUMMYFUNCTION("""COMPUTED_VALUE"""),"2251")</f>
        <v>2251</v>
      </c>
      <c r="V803" s="11"/>
      <c r="W803" s="11"/>
      <c r="X803" s="11" t="str">
        <f>IFERROR(__xludf.DUMMYFUNCTION("""COMPUTED_VALUE"""),"#N/A")</f>
        <v>#N/A</v>
      </c>
      <c r="Y803" s="11" t="str">
        <f>IFERROR(__xludf.DUMMYFUNCTION("""COMPUTED_VALUE"""),"#N/A")</f>
        <v>#N/A</v>
      </c>
      <c r="Z803" s="11" t="str">
        <f>IFERROR(__xludf.DUMMYFUNCTION("""COMPUTED_VALUE"""),"#N/A")</f>
        <v>#N/A</v>
      </c>
    </row>
    <row r="804" customHeight="1" spans="1:26">
      <c r="A804" s="11" t="str">
        <f>IFERROR(__xludf.DUMMYFUNCTION("""COMPUTED_VALUE"""),"LUIZ CARLOS MENDES")</f>
        <v>LUIZ CARLOS MENDES</v>
      </c>
      <c r="B804" s="11"/>
      <c r="C804" s="11"/>
      <c r="D804" s="11" t="str">
        <f>IFERROR(__xludf.DUMMYFUNCTION("""COMPUTED_VALUE"""),"Enfermeiro eSF")</f>
        <v>Enfermeiro eSF</v>
      </c>
      <c r="E804" s="11" t="str">
        <f>IFERROR(__xludf.DUMMYFUNCTION("""COMPUTED_VALUE"""),"IV")</f>
        <v>IV</v>
      </c>
      <c r="F804" s="11" t="str">
        <f>IFERROR(__xludf.DUMMYFUNCTION("""COMPUTED_VALUE"""),"US_331 USF PROF AMAURY DE MEDEIROS")</f>
        <v>US_331 USF PROF AMAURY DE MEDEIROS</v>
      </c>
      <c r="G804" s="11" t="str">
        <f>IFERROR(__xludf.DUMMYFUNCTION("""COMPUTED_VALUE"""),"US 331 USF PROF AMAURY DE MEDEIROS")</f>
        <v>US 331 USF PROF AMAURY DE MEDEIROS</v>
      </c>
      <c r="H804" s="27">
        <f>IFERROR(__xludf.DUMMYFUNCTION("""COMPUTED_VALUE"""),81999674166)</f>
        <v>81999674166</v>
      </c>
      <c r="I804" s="11"/>
      <c r="J804" s="11"/>
      <c r="K804" s="11"/>
      <c r="L804" s="11"/>
      <c r="M804" s="28" t="str">
        <f>IFERROR(__xludf.DUMMYFUNCTION("""COMPUTED_VALUE"""),"3355-0308/0309")</f>
        <v>3355-0308/0309</v>
      </c>
      <c r="N804" s="11" t="str">
        <f>IFERROR(__xludf.DUMMYFUNCTION("""COMPUTED_VALUE"""),"luizmendes06@yahoo.com.br")</f>
        <v>luizmendes06@yahoo.com.br</v>
      </c>
      <c r="O804" s="29">
        <f>IFERROR(__xludf.DUMMYFUNCTION("""COMPUTED_VALUE"""),69247374472)</f>
        <v>69247374472</v>
      </c>
      <c r="P804" s="30" t="str">
        <f>IFERROR(__xludf.DUMMYFUNCTION("""COMPUTED_VALUE"""),"201533358950006")</f>
        <v>201533358950006</v>
      </c>
      <c r="Q804" s="30" t="str">
        <f>IFERROR(__xludf.DUMMYFUNCTION("""COMPUTED_VALUE"""),"3703223")</f>
        <v>3703223</v>
      </c>
      <c r="R804" s="30" t="str">
        <f>IFERROR(__xludf.DUMMYFUNCTION("""COMPUTED_VALUE"""),"0000155683")</f>
        <v>0000155683</v>
      </c>
      <c r="S804" s="30" t="str">
        <f>IFERROR(__xludf.DUMMYFUNCTION("""COMPUTED_VALUE"""),"1")</f>
        <v>1</v>
      </c>
      <c r="T804" s="30" t="str">
        <f>IFERROR(__xludf.DUMMYFUNCTION("""COMPUTED_VALUE"""),"223565")</f>
        <v>223565</v>
      </c>
      <c r="U804" s="31" t="str">
        <f>IFERROR(__xludf.DUMMYFUNCTION("""COMPUTED_VALUE"""),"2235")</f>
        <v>2235</v>
      </c>
      <c r="V804" s="11"/>
      <c r="W804" s="11">
        <f>IFERROR(__xludf.DUMMYFUNCTION("""COMPUTED_VALUE"""),99674166)</f>
        <v>99674166</v>
      </c>
      <c r="X804" s="11">
        <f>IFERROR(__xludf.DUMMYFUNCTION("""COMPUTED_VALUE"""),87429114)</f>
        <v>87429114</v>
      </c>
      <c r="Y804" s="11">
        <f>IFERROR(__xludf.DUMMYFUNCTION("""COMPUTED_VALUE"""),69247374472)</f>
        <v>69247374472</v>
      </c>
      <c r="Z804" s="11"/>
    </row>
    <row r="805" customHeight="1" spans="1:26">
      <c r="A805" s="11" t="str">
        <f>IFERROR(__xludf.DUMMYFUNCTION("""COMPUTED_VALUE"""),"VIVIANNY DE BARROS CORREIA ANGELIM")</f>
        <v>VIVIANNY DE BARROS CORREIA ANGELIM</v>
      </c>
      <c r="B805" s="11"/>
      <c r="C805" s="11"/>
      <c r="D805" s="11" t="str">
        <f>IFERROR(__xludf.DUMMYFUNCTION("""COMPUTED_VALUE"""),"Dentista")</f>
        <v>Dentista</v>
      </c>
      <c r="E805" s="11" t="str">
        <f>IFERROR(__xludf.DUMMYFUNCTION("""COMPUTED_VALUE"""),"IV")</f>
        <v>IV</v>
      </c>
      <c r="F805" s="11" t="str">
        <f>IFERROR(__xludf.DUMMYFUNCTION("""COMPUTED_VALUE"""),"US_331 USF PROF AMAURY DE MEDEIROS")</f>
        <v>US_331 USF PROF AMAURY DE MEDEIROS</v>
      </c>
      <c r="G805" s="11" t="str">
        <f>IFERROR(__xludf.DUMMYFUNCTION("""COMPUTED_VALUE"""),"US 331 USF PROF AMAURY DE MEDEIROS")</f>
        <v>US 331 USF PROF AMAURY DE MEDEIROS</v>
      </c>
      <c r="H805" s="27">
        <f>IFERROR(__xludf.DUMMYFUNCTION("""COMPUTED_VALUE"""),81999010763)</f>
        <v>81999010763</v>
      </c>
      <c r="I805" s="11"/>
      <c r="J805" s="11"/>
      <c r="K805" s="11"/>
      <c r="L805" s="11"/>
      <c r="M805" s="28" t="str">
        <f>IFERROR(__xludf.DUMMYFUNCTION("""COMPUTED_VALUE"""),"3355-0308/0309")</f>
        <v>3355-0308/0309</v>
      </c>
      <c r="N805" s="11" t="str">
        <f>IFERROR(__xludf.DUMMYFUNCTION("""COMPUTED_VALUE"""),"viviannybc@hotmail.com")</f>
        <v>viviannybc@hotmail.com</v>
      </c>
      <c r="O805" s="29">
        <f>IFERROR(__xludf.DUMMYFUNCTION("""COMPUTED_VALUE"""),3200357436)</f>
        <v>3200357436</v>
      </c>
      <c r="P805" s="30" t="str">
        <f>IFERROR(__xludf.DUMMYFUNCTION("""COMPUTED_VALUE"""),"980016281155292	")</f>
        <v>980016281155292	</v>
      </c>
      <c r="Q805" s="30" t="str">
        <f>IFERROR(__xludf.DUMMYFUNCTION("""COMPUTED_VALUE"""),"3703223")</f>
        <v>3703223</v>
      </c>
      <c r="R805" s="30" t="str">
        <f>IFERROR(__xludf.DUMMYFUNCTION("""COMPUTED_VALUE"""),"0000155683")</f>
        <v>0000155683</v>
      </c>
      <c r="S805" s="30" t="str">
        <f>IFERROR(__xludf.DUMMYFUNCTION("""COMPUTED_VALUE"""),"1")</f>
        <v>1</v>
      </c>
      <c r="T805" s="30" t="str">
        <f>IFERROR(__xludf.DUMMYFUNCTION("""COMPUTED_VALUE"""),"223293")</f>
        <v>223293</v>
      </c>
      <c r="U805" s="31">
        <f>IFERROR(__xludf.DUMMYFUNCTION("""COMPUTED_VALUE"""),2232)</f>
        <v>2232</v>
      </c>
      <c r="V805" s="11"/>
      <c r="W805" s="11"/>
      <c r="X805" s="11"/>
      <c r="Y805" s="11"/>
      <c r="Z805" s="11"/>
    </row>
    <row r="806" customHeight="1" spans="1:26">
      <c r="A806" s="11" t="str">
        <f>IFERROR(__xludf.DUMMYFUNCTION("""COMPUTED_VALUE"""),"ALESSANDRA FABIANI DE C ALVES")</f>
        <v>ALESSANDRA FABIANI DE C ALVES</v>
      </c>
      <c r="B806" s="11"/>
      <c r="C806" s="11"/>
      <c r="D806" s="11" t="str">
        <f>IFERROR(__xludf.DUMMYFUNCTION("""COMPUTED_VALUE"""),"Dentista")</f>
        <v>Dentista</v>
      </c>
      <c r="E806" s="11" t="str">
        <f>IFERROR(__xludf.DUMMYFUNCTION("""COMPUTED_VALUE"""),"IV")</f>
        <v>IV</v>
      </c>
      <c r="F806" s="11" t="str">
        <f>IFERROR(__xludf.DUMMYFUNCTION("""COMPUTED_VALUE"""),"US_337 USF SITIO WANDERLEY")</f>
        <v>US_337 USF SITIO WANDERLEY</v>
      </c>
      <c r="G806" s="11" t="str">
        <f>IFERROR(__xludf.DUMMYFUNCTION("""COMPUTED_VALUE"""),"US 337 USF SITIO WANDERLEY")</f>
        <v>US 337 USF SITIO WANDERLEY</v>
      </c>
      <c r="H806" s="27">
        <f>IFERROR(__xludf.DUMMYFUNCTION("""COMPUTED_VALUE"""),81988384290)</f>
        <v>81988384290</v>
      </c>
      <c r="I806" s="11"/>
      <c r="J806" s="11"/>
      <c r="K806" s="11"/>
      <c r="L806" s="11"/>
      <c r="M806" s="28" t="str">
        <f>IFERROR(__xludf.DUMMYFUNCTION("""COMPUTED_VALUE"""),"3355-6874")</f>
        <v>3355-6874</v>
      </c>
      <c r="N806" s="11" t="str">
        <f>IFERROR(__xludf.DUMMYFUNCTION("""COMPUTED_VALUE"""),"alessandrafcalves@gmail.com")</f>
        <v>alessandrafcalves@gmail.com</v>
      </c>
      <c r="O806" s="29">
        <f>IFERROR(__xludf.DUMMYFUNCTION("""COMPUTED_VALUE"""),84771372420)</f>
        <v>84771372420</v>
      </c>
      <c r="P806" s="30" t="str">
        <f>IFERROR(__xludf.DUMMYFUNCTION("""COMPUTED_VALUE"""),"980016004464096")</f>
        <v>980016004464096</v>
      </c>
      <c r="Q806" s="30" t="str">
        <f>IFERROR(__xludf.DUMMYFUNCTION("""COMPUTED_VALUE"""),"5320380")</f>
        <v>5320380</v>
      </c>
      <c r="R806" s="30" t="str">
        <f>IFERROR(__xludf.DUMMYFUNCTION("""COMPUTED_VALUE"""),"0001833219	")</f>
        <v>0001833219	</v>
      </c>
      <c r="S806" s="30" t="str">
        <f>IFERROR(__xludf.DUMMYFUNCTION("""COMPUTED_VALUE"""),"1")</f>
        <v>1</v>
      </c>
      <c r="T806" s="30" t="str">
        <f>IFERROR(__xludf.DUMMYFUNCTION("""COMPUTED_VALUE"""),"223293")</f>
        <v>223293</v>
      </c>
      <c r="U806" s="31">
        <f>IFERROR(__xludf.DUMMYFUNCTION("""COMPUTED_VALUE"""),2232)</f>
        <v>2232</v>
      </c>
      <c r="V806" s="11"/>
      <c r="W806" s="11"/>
      <c r="X806" s="11"/>
      <c r="Y806" s="11"/>
      <c r="Z806" s="11"/>
    </row>
    <row r="807" customHeight="1" spans="1:26">
      <c r="A807" s="11" t="str">
        <f>IFERROR(__xludf.DUMMYFUNCTION("""COMPUTED_VALUE"""),"ANDREA MARIA CABRAL LUCAS")</f>
        <v>ANDREA MARIA CABRAL LUCAS</v>
      </c>
      <c r="B807" s="11"/>
      <c r="C807" s="11"/>
      <c r="D807" s="11" t="str">
        <f>IFERROR(__xludf.DUMMYFUNCTION("""COMPUTED_VALUE"""),"Enfermeira eSF")</f>
        <v>Enfermeira eSF</v>
      </c>
      <c r="E807" s="11" t="str">
        <f>IFERROR(__xludf.DUMMYFUNCTION("""COMPUTED_VALUE"""),"IV")</f>
        <v>IV</v>
      </c>
      <c r="F807" s="11" t="str">
        <f>IFERROR(__xludf.DUMMYFUNCTION("""COMPUTED_VALUE"""),"US_337 USF SITIO WANDERLEY")</f>
        <v>US_337 USF SITIO WANDERLEY</v>
      </c>
      <c r="G807" s="11" t="str">
        <f>IFERROR(__xludf.DUMMYFUNCTION("""COMPUTED_VALUE"""),"US 337 USF SITIO WANDERLEY")</f>
        <v>US 337 USF SITIO WANDERLEY</v>
      </c>
      <c r="H807" s="27">
        <f>IFERROR(__xludf.DUMMYFUNCTION("""COMPUTED_VALUE"""),81991119043)</f>
        <v>81991119043</v>
      </c>
      <c r="I807" s="11"/>
      <c r="J807" s="11"/>
      <c r="K807" s="11"/>
      <c r="L807" s="11"/>
      <c r="M807" s="28" t="str">
        <f>IFERROR(__xludf.DUMMYFUNCTION("""COMPUTED_VALUE"""),"3355-6874")</f>
        <v>3355-6874</v>
      </c>
      <c r="N807" s="11" t="str">
        <f>IFERROR(__xludf.DUMMYFUNCTION("""COMPUTED_VALUE"""),"andreacabral01@hotmail.com")</f>
        <v>andreacabral01@hotmail.com</v>
      </c>
      <c r="O807" s="29">
        <f>IFERROR(__xludf.DUMMYFUNCTION("""COMPUTED_VALUE"""),58293272449)</f>
        <v>58293272449</v>
      </c>
      <c r="P807" s="30" t="str">
        <f>IFERROR(__xludf.DUMMYFUNCTION("""COMPUTED_VALUE"""),"980016000275175")</f>
        <v>980016000275175</v>
      </c>
      <c r="Q807" s="30" t="str">
        <f>IFERROR(__xludf.DUMMYFUNCTION("""COMPUTED_VALUE"""),"5320380")</f>
        <v>5320380</v>
      </c>
      <c r="R807" s="30" t="str">
        <f>IFERROR(__xludf.DUMMYFUNCTION("""COMPUTED_VALUE"""),"0000155764")</f>
        <v>0000155764</v>
      </c>
      <c r="S807" s="30" t="str">
        <f>IFERROR(__xludf.DUMMYFUNCTION("""COMPUTED_VALUE"""),"1")</f>
        <v>1</v>
      </c>
      <c r="T807" s="30" t="str">
        <f>IFERROR(__xludf.DUMMYFUNCTION("""COMPUTED_VALUE"""),"223565")</f>
        <v>223565</v>
      </c>
      <c r="U807" s="31" t="str">
        <f>IFERROR(__xludf.DUMMYFUNCTION("""COMPUTED_VALUE"""),"2235")</f>
        <v>2235</v>
      </c>
      <c r="V807" s="11"/>
      <c r="W807" s="11">
        <f>IFERROR(__xludf.DUMMYFUNCTION("""COMPUTED_VALUE"""),8191119043)</f>
        <v>8191119043</v>
      </c>
      <c r="X807" s="11"/>
      <c r="Y807" s="11">
        <f>IFERROR(__xludf.DUMMYFUNCTION("""COMPUTED_VALUE"""),58293272449)</f>
        <v>58293272449</v>
      </c>
      <c r="Z807" s="11"/>
    </row>
    <row r="808" customHeight="1" spans="1:26">
      <c r="A808" s="11" t="str">
        <f>IFERROR(__xludf.DUMMYFUNCTION("""COMPUTED_VALUE"""),"BESLIE GONZALEZ ARRUDA")</f>
        <v>BESLIE GONZALEZ ARRUDA</v>
      </c>
      <c r="B808" s="11"/>
      <c r="C808" s="11"/>
      <c r="D808" s="11" t="str">
        <f>IFERROR(__xludf.DUMMYFUNCTION("""COMPUTED_VALUE"""),"Médica eSF")</f>
        <v>Médica eSF</v>
      </c>
      <c r="E808" s="11" t="str">
        <f>IFERROR(__xludf.DUMMYFUNCTION("""COMPUTED_VALUE"""),"IV")</f>
        <v>IV</v>
      </c>
      <c r="F808" s="11" t="str">
        <f>IFERROR(__xludf.DUMMYFUNCTION("""COMPUTED_VALUE"""),"US_403 USF UPINHA DIA CHIE")</f>
        <v>US_403 USF UPINHA DIA CHIE</v>
      </c>
      <c r="G808" s="11" t="str">
        <f>IFERROR(__xludf.DUMMYFUNCTION("""COMPUTED_VALUE"""),"US 349 USF CASARAO DO CORDEIRO")</f>
        <v>US 349 USF CASARAO DO CORDEIRO</v>
      </c>
      <c r="H808" s="27">
        <f>IFERROR(__xludf.DUMMYFUNCTION("""COMPUTED_VALUE"""),81999130998)</f>
        <v>81999130998</v>
      </c>
      <c r="I808" s="11"/>
      <c r="J808" s="11"/>
      <c r="K808" s="11"/>
      <c r="L808" s="11"/>
      <c r="M808" s="28" t="str">
        <f>IFERROR(__xludf.DUMMYFUNCTION("""COMPUTED_VALUE"""),"3355-6814")</f>
        <v>3355-6814</v>
      </c>
      <c r="N808" s="11" t="str">
        <f>IFERROR(__xludf.DUMMYFUNCTION("""COMPUTED_VALUE"""),"besliearruda@gmail.com")</f>
        <v>besliearruda@gmail.com</v>
      </c>
      <c r="O808" s="29">
        <f>IFERROR(__xludf.DUMMYFUNCTION("""COMPUTED_VALUE"""),3975668407)</f>
        <v>3975668407</v>
      </c>
      <c r="P808" s="30" t="str">
        <f>IFERROR(__xludf.DUMMYFUNCTION("""COMPUTED_VALUE"""),"980016276926197")</f>
        <v>980016276926197</v>
      </c>
      <c r="Q808" s="30" t="str">
        <f>IFERROR(__xludf.DUMMYFUNCTION("""COMPUTED_VALUE"""),"6008984")</f>
        <v>6008984</v>
      </c>
      <c r="R808" s="30" t="str">
        <f>IFERROR(__xludf.DUMMYFUNCTION("""COMPUTED_VALUE"""),"0000155993")</f>
        <v>0000155993</v>
      </c>
      <c r="S808" s="30" t="str">
        <f>IFERROR(__xludf.DUMMYFUNCTION("""COMPUTED_VALUE"""),"3")</f>
        <v>3</v>
      </c>
      <c r="T808" s="30" t="str">
        <f>IFERROR(__xludf.DUMMYFUNCTION("""COMPUTED_VALUE"""),"225142")</f>
        <v>225142</v>
      </c>
      <c r="U808" s="31" t="str">
        <f>IFERROR(__xludf.DUMMYFUNCTION("""COMPUTED_VALUE"""),"2251")</f>
        <v>2251</v>
      </c>
      <c r="V808" s="11" t="str">
        <f>IFERROR(__xludf.DUMMYFUNCTION("""COMPUTED_VALUE"""),"SIM")</f>
        <v>SIM</v>
      </c>
      <c r="W808" s="11"/>
      <c r="X808" s="11" t="str">
        <f>IFERROR(__xludf.DUMMYFUNCTION("""COMPUTED_VALUE"""),"#N/A")</f>
        <v>#N/A</v>
      </c>
      <c r="Y808" s="11" t="str">
        <f>IFERROR(__xludf.DUMMYFUNCTION("""COMPUTED_VALUE"""),"#N/A")</f>
        <v>#N/A</v>
      </c>
      <c r="Z808" s="11" t="str">
        <f>IFERROR(__xludf.DUMMYFUNCTION("""COMPUTED_VALUE"""),"#N/A")</f>
        <v>#N/A</v>
      </c>
    </row>
    <row r="809" customHeight="1" spans="1:26">
      <c r="A809" s="11" t="str">
        <f>IFERROR(__xludf.DUMMYFUNCTION("""COMPUTED_VALUE"""),"DANIELLE A FEITOSA DE RUEDA")</f>
        <v>DANIELLE A FEITOSA DE RUEDA</v>
      </c>
      <c r="B809" s="11"/>
      <c r="C809" s="11"/>
      <c r="D809" s="11" t="str">
        <f>IFERROR(__xludf.DUMMYFUNCTION("""COMPUTED_VALUE"""),"Dentista")</f>
        <v>Dentista</v>
      </c>
      <c r="E809" s="11" t="str">
        <f>IFERROR(__xludf.DUMMYFUNCTION("""COMPUTED_VALUE"""),"IV")</f>
        <v>IV</v>
      </c>
      <c r="F809" s="11" t="str">
        <f>IFERROR(__xludf.DUMMYFUNCTION("""COMPUTED_VALUE"""),"US_349 USF CASARAO DO CORDEIRO")</f>
        <v>US_349 USF CASARAO DO CORDEIRO</v>
      </c>
      <c r="G809" s="11" t="str">
        <f>IFERROR(__xludf.DUMMYFUNCTION("""COMPUTED_VALUE"""),"US 349 USF CASARAO DO CORDEIRO")</f>
        <v>US 349 USF CASARAO DO CORDEIRO</v>
      </c>
      <c r="H809" s="27">
        <f>IFERROR(__xludf.DUMMYFUNCTION("""COMPUTED_VALUE"""),81992991176)</f>
        <v>81992991176</v>
      </c>
      <c r="I809" s="11"/>
      <c r="J809" s="11"/>
      <c r="K809" s="11"/>
      <c r="L809" s="11"/>
      <c r="M809" s="28" t="str">
        <f>IFERROR(__xludf.DUMMYFUNCTION("""COMPUTED_VALUE"""),"3355-6814")</f>
        <v>3355-6814</v>
      </c>
      <c r="N809" s="11" t="str">
        <f>IFERROR(__xludf.DUMMYFUNCTION("""COMPUTED_VALUE"""),"danimagem@yahoo.com.br")</f>
        <v>danimagem@yahoo.com.br</v>
      </c>
      <c r="O809" s="29">
        <f>IFERROR(__xludf.DUMMYFUNCTION("""COMPUTED_VALUE"""),3041801493)</f>
        <v>3041801493</v>
      </c>
      <c r="P809" s="30" t="str">
        <f>IFERROR(__xludf.DUMMYFUNCTION("""COMPUTED_VALUE"""),"204323369950009")</f>
        <v>204323369950009</v>
      </c>
      <c r="Q809" s="30" t="str">
        <f>IFERROR(__xludf.DUMMYFUNCTION("""COMPUTED_VALUE"""),"6008984")</f>
        <v>6008984</v>
      </c>
      <c r="R809" s="30" t="str">
        <f>IFERROR(__xludf.DUMMYFUNCTION("""COMPUTED_VALUE"""),"0001833235")</f>
        <v>0001833235</v>
      </c>
      <c r="S809" s="30" t="str">
        <f>IFERROR(__xludf.DUMMYFUNCTION("""COMPUTED_VALUE"""),"1")</f>
        <v>1</v>
      </c>
      <c r="T809" s="30" t="str">
        <f>IFERROR(__xludf.DUMMYFUNCTION("""COMPUTED_VALUE"""),"223293")</f>
        <v>223293</v>
      </c>
      <c r="U809" s="31">
        <f>IFERROR(__xludf.DUMMYFUNCTION("""COMPUTED_VALUE"""),2232)</f>
        <v>2232</v>
      </c>
      <c r="V809" s="11"/>
      <c r="W809" s="11"/>
      <c r="X809" s="11"/>
      <c r="Y809" s="11"/>
      <c r="Z809" s="11"/>
    </row>
    <row r="810" customHeight="1" spans="1:26">
      <c r="A810" s="11" t="str">
        <f>IFERROR(__xludf.DUMMYFUNCTION("""COMPUTED_VALUE"""),"VILMA LUCIA GUEDES DA SILVA FRANCA")</f>
        <v>VILMA LUCIA GUEDES DA SILVA FRANCA</v>
      </c>
      <c r="B810" s="11"/>
      <c r="C810" s="11"/>
      <c r="D810" s="11" t="str">
        <f>IFERROR(__xludf.DUMMYFUNCTION("""COMPUTED_VALUE"""),"Enfermeira eSF")</f>
        <v>Enfermeira eSF</v>
      </c>
      <c r="E810" s="11" t="str">
        <f>IFERROR(__xludf.DUMMYFUNCTION("""COMPUTED_VALUE"""),"IV")</f>
        <v>IV</v>
      </c>
      <c r="F810" s="11" t="str">
        <f>IFERROR(__xludf.DUMMYFUNCTION("""COMPUTED_VALUE"""),"US_153 POLICLINICA E MATERNIDADE ARNALDO MARQUES")</f>
        <v>US_153 POLICLINICA E MATERNIDADE ARNALDO MARQUES</v>
      </c>
      <c r="G810" s="11" t="str">
        <f>IFERROR(__xludf.DUMMYFUNCTION("""COMPUTED_VALUE"""),"US 349 USF CASARAO DO CORDEIRO")</f>
        <v>US 349 USF CASARAO DO CORDEIRO</v>
      </c>
      <c r="H810" s="27">
        <f>IFERROR(__xludf.DUMMYFUNCTION("""COMPUTED_VALUE"""),81987295774)</f>
        <v>81987295774</v>
      </c>
      <c r="I810" s="11"/>
      <c r="J810" s="11"/>
      <c r="K810" s="11"/>
      <c r="L810" s="11"/>
      <c r="M810" s="28" t="str">
        <f>IFERROR(__xludf.DUMMYFUNCTION("""COMPUTED_VALUE"""),"3355-6814")</f>
        <v>3355-6814</v>
      </c>
      <c r="N810" s="11" t="str">
        <f>IFERROR(__xludf.DUMMYFUNCTION("""COMPUTED_VALUE"""),"vilma2oo52@hotmail.com")</f>
        <v>vilma2oo52@hotmail.com</v>
      </c>
      <c r="O810" s="29">
        <f>IFERROR(__xludf.DUMMYFUNCTION("""COMPUTED_VALUE"""),88606104434)</f>
        <v>88606104434</v>
      </c>
      <c r="P810" s="30" t="str">
        <f>IFERROR(__xludf.DUMMYFUNCTION("""COMPUTED_VALUE"""),"204322508610006")</f>
        <v>204322508610006</v>
      </c>
      <c r="Q810" s="30" t="str">
        <f>IFERROR(__xludf.DUMMYFUNCTION("""COMPUTED_VALUE"""),"6008984")</f>
        <v>6008984</v>
      </c>
      <c r="R810" s="30" t="str">
        <f>IFERROR(__xludf.DUMMYFUNCTION("""COMPUTED_VALUE"""),"0000155993")</f>
        <v>0000155993</v>
      </c>
      <c r="S810" s="30" t="str">
        <f>IFERROR(__xludf.DUMMYFUNCTION("""COMPUTED_VALUE"""),"1")</f>
        <v>1</v>
      </c>
      <c r="T810" s="30" t="str">
        <f>IFERROR(__xludf.DUMMYFUNCTION("""COMPUTED_VALUE"""),"223565")</f>
        <v>223565</v>
      </c>
      <c r="U810" s="31" t="str">
        <f>IFERROR(__xludf.DUMMYFUNCTION("""COMPUTED_VALUE"""),"2235")</f>
        <v>2235</v>
      </c>
      <c r="V810" s="11"/>
      <c r="W810" s="11"/>
      <c r="X810" s="11"/>
      <c r="Y810" s="11"/>
      <c r="Z810" s="11"/>
    </row>
    <row r="811" customHeight="1" spans="1:26">
      <c r="A811" s="11" t="str">
        <f>IFERROR(__xludf.DUMMYFUNCTION("""COMPUTED_VALUE"""),"MARIALICE ARAUJO SOARES DE BARROS FONSECA")</f>
        <v>MARIALICE ARAUJO SOARES DE BARROS FONSECA</v>
      </c>
      <c r="B811" s="11"/>
      <c r="C811" s="11"/>
      <c r="D811" s="11" t="str">
        <f>IFERROR(__xludf.DUMMYFUNCTION("""COMPUTED_VALUE"""),"Médica eSF")</f>
        <v>Médica eSF</v>
      </c>
      <c r="E811" s="11" t="str">
        <f>IFERROR(__xludf.DUMMYFUNCTION("""COMPUTED_VALUE"""),"IV")</f>
        <v>IV</v>
      </c>
      <c r="F811" s="11" t="str">
        <f>IFERROR(__xludf.DUMMYFUNCTION("""COMPUTED_VALUE"""),"US_378 USF JARDIM TERESOPOLIS")</f>
        <v>US_378 USF JARDIM TERESOPOLIS</v>
      </c>
      <c r="G811" s="11" t="str">
        <f>IFERROR(__xludf.DUMMYFUNCTION("""COMPUTED_VALUE"""),"US 378 USF JARDIM TERESOPOLIS")</f>
        <v>US 378 USF JARDIM TERESOPOLIS</v>
      </c>
      <c r="H811" s="27">
        <f>IFERROR(__xludf.DUMMYFUNCTION("""COMPUTED_VALUE"""),81999241647)</f>
        <v>81999241647</v>
      </c>
      <c r="I811" s="11"/>
      <c r="J811" s="11"/>
      <c r="K811" s="11"/>
      <c r="L811" s="11"/>
      <c r="M811" s="28" t="str">
        <f>IFERROR(__xludf.DUMMYFUNCTION("""COMPUTED_VALUE"""),"3355-0404")</f>
        <v>3355-0404</v>
      </c>
      <c r="N811" s="11" t="str">
        <f>IFERROR(__xludf.DUMMYFUNCTION("""COMPUTED_VALUE"""),"marialicearaujo@yahoo.com.br")</f>
        <v>marialicearaujo@yahoo.com.br</v>
      </c>
      <c r="O811" s="29">
        <f>IFERROR(__xludf.DUMMYFUNCTION("""COMPUTED_VALUE"""),832526495)</f>
        <v>832526495</v>
      </c>
      <c r="P811" s="30" t="str">
        <f>IFERROR(__xludf.DUMMYFUNCTION("""COMPUTED_VALUE"""),"980016276732112")</f>
        <v>980016276732112</v>
      </c>
      <c r="Q811" s="30" t="str">
        <f>IFERROR(__xludf.DUMMYFUNCTION("""COMPUTED_VALUE"""),"6916325")</f>
        <v>6916325</v>
      </c>
      <c r="R811" s="30" t="str">
        <f>IFERROR(__xludf.DUMMYFUNCTION("""COMPUTED_VALUE"""),"0000156124")</f>
        <v>0000156124</v>
      </c>
      <c r="S811" s="30" t="str">
        <f>IFERROR(__xludf.DUMMYFUNCTION("""COMPUTED_VALUE"""),"1")</f>
        <v>1</v>
      </c>
      <c r="T811" s="30" t="str">
        <f>IFERROR(__xludf.DUMMYFUNCTION("""COMPUTED_VALUE"""),"225142")</f>
        <v>225142</v>
      </c>
      <c r="U811" s="31" t="str">
        <f>IFERROR(__xludf.DUMMYFUNCTION("""COMPUTED_VALUE"""),"2251")</f>
        <v>2251</v>
      </c>
      <c r="V811" s="11" t="str">
        <f>IFERROR(__xludf.DUMMYFUNCTION("""COMPUTED_VALUE"""),"SIM")</f>
        <v>SIM</v>
      </c>
      <c r="W811" s="11"/>
      <c r="X811" s="11" t="str">
        <f>IFERROR(__xludf.DUMMYFUNCTION("""COMPUTED_VALUE"""),"#N/A")</f>
        <v>#N/A</v>
      </c>
      <c r="Y811" s="11" t="str">
        <f>IFERROR(__xludf.DUMMYFUNCTION("""COMPUTED_VALUE"""),"#N/A")</f>
        <v>#N/A</v>
      </c>
      <c r="Z811" s="11" t="str">
        <f>IFERROR(__xludf.DUMMYFUNCTION("""COMPUTED_VALUE"""),"#N/A")</f>
        <v>#N/A</v>
      </c>
    </row>
    <row r="812" customHeight="1" spans="1:26">
      <c r="A812" s="11" t="str">
        <f>IFERROR(__xludf.DUMMYFUNCTION("""COMPUTED_VALUE"""),"MARINA GOMES DA SILVA")</f>
        <v>MARINA GOMES DA SILVA</v>
      </c>
      <c r="B812" s="11"/>
      <c r="C812" s="11"/>
      <c r="D812" s="11" t="str">
        <f>IFERROR(__xludf.DUMMYFUNCTION("""COMPUTED_VALUE"""),"Enfermeira eSF")</f>
        <v>Enfermeira eSF</v>
      </c>
      <c r="E812" s="11" t="str">
        <f>IFERROR(__xludf.DUMMYFUNCTION("""COMPUTED_VALUE"""),"IV")</f>
        <v>IV</v>
      </c>
      <c r="F812" s="11" t="str">
        <f>IFERROR(__xludf.DUMMYFUNCTION("""COMPUTED_VALUE"""),"US_378 USF JARDIM TERESOPOLIS")</f>
        <v>US_378 USF JARDIM TERESOPOLIS</v>
      </c>
      <c r="G812" s="11" t="str">
        <f>IFERROR(__xludf.DUMMYFUNCTION("""COMPUTED_VALUE"""),"US 378 USF JARDIM TERESOPOLIS")</f>
        <v>US 378 USF JARDIM TERESOPOLIS</v>
      </c>
      <c r="H812" s="27">
        <f>IFERROR(__xludf.DUMMYFUNCTION("""COMPUTED_VALUE"""),81999738982)</f>
        <v>81999738982</v>
      </c>
      <c r="I812" s="27">
        <f>IFERROR(__xludf.DUMMYFUNCTION("""COMPUTED_VALUE"""),81986001265)</f>
        <v>81986001265</v>
      </c>
      <c r="J812" s="11"/>
      <c r="K812" s="11"/>
      <c r="L812" s="11"/>
      <c r="M812" s="28" t="str">
        <f>IFERROR(__xludf.DUMMYFUNCTION("""COMPUTED_VALUE"""),"3355-0404")</f>
        <v>3355-0404</v>
      </c>
      <c r="N812" s="11" t="str">
        <f>IFERROR(__xludf.DUMMYFUNCTION("""COMPUTED_VALUE"""),"enf.marina@bol.com.br")</f>
        <v>enf.marina@bol.com.br</v>
      </c>
      <c r="O812" s="29">
        <f>IFERROR(__xludf.DUMMYFUNCTION("""COMPUTED_VALUE"""),71512314404)</f>
        <v>71512314404</v>
      </c>
      <c r="P812" s="30" t="str">
        <f>IFERROR(__xludf.DUMMYFUNCTION("""COMPUTED_VALUE"""),"206790267670007")</f>
        <v>206790267670007</v>
      </c>
      <c r="Q812" s="30" t="str">
        <f>IFERROR(__xludf.DUMMYFUNCTION("""COMPUTED_VALUE"""),"6916325")</f>
        <v>6916325</v>
      </c>
      <c r="R812" s="30" t="str">
        <f>IFERROR(__xludf.DUMMYFUNCTION("""COMPUTED_VALUE"""),"0000156124")</f>
        <v>0000156124</v>
      </c>
      <c r="S812" s="30" t="str">
        <f>IFERROR(__xludf.DUMMYFUNCTION("""COMPUTED_VALUE"""),"1")</f>
        <v>1</v>
      </c>
      <c r="T812" s="30" t="str">
        <f>IFERROR(__xludf.DUMMYFUNCTION("""COMPUTED_VALUE"""),"223565")</f>
        <v>223565</v>
      </c>
      <c r="U812" s="31" t="str">
        <f>IFERROR(__xludf.DUMMYFUNCTION("""COMPUTED_VALUE"""),"2235")</f>
        <v>2235</v>
      </c>
      <c r="V812" s="11"/>
      <c r="W812" s="11">
        <f>IFERROR(__xludf.DUMMYFUNCTION("""COMPUTED_VALUE"""),8132713947)</f>
        <v>8132713947</v>
      </c>
      <c r="X812" s="11">
        <f>IFERROR(__xludf.DUMMYFUNCTION("""COMPUTED_VALUE"""),8199738982)</f>
        <v>8199738982</v>
      </c>
      <c r="Y812" s="11">
        <f>IFERROR(__xludf.DUMMYFUNCTION("""COMPUTED_VALUE"""),71512314404)</f>
        <v>71512314404</v>
      </c>
      <c r="Z812" s="11"/>
    </row>
    <row r="813" customHeight="1" spans="1:26">
      <c r="A813" s="11" t="str">
        <f>IFERROR(__xludf.DUMMYFUNCTION("""COMPUTED_VALUE"""),"MARIA LUCIA AGUIAR DE LIMA")</f>
        <v>MARIA LUCIA AGUIAR DE LIMA</v>
      </c>
      <c r="B813" s="11"/>
      <c r="C813" s="11"/>
      <c r="D813" s="11" t="str">
        <f>IFERROR(__xludf.DUMMYFUNCTION("""COMPUTED_VALUE"""),"Enfermeira eSF")</f>
        <v>Enfermeira eSF</v>
      </c>
      <c r="E813" s="11" t="str">
        <f>IFERROR(__xludf.DUMMYFUNCTION("""COMPUTED_VALUE"""),"V")</f>
        <v>V</v>
      </c>
      <c r="F813" s="11" t="str">
        <f>IFERROR(__xludf.DUMMYFUNCTION("""COMPUTED_VALUE"""),"PACS BARRO")</f>
        <v>PACS BARRO</v>
      </c>
      <c r="G813" s="11" t="str">
        <f>IFERROR(__xludf.DUMMYFUNCTION("""COMPUTED_VALUE"""),"US 117 CS GASPAR REGUEIRA COSTA")</f>
        <v>US 117 CS GASPAR REGUEIRA COSTA</v>
      </c>
      <c r="H813" s="27">
        <f>IFERROR(__xludf.DUMMYFUNCTION("""COMPUTED_VALUE"""),81986357128)</f>
        <v>81986357128</v>
      </c>
      <c r="I813" s="11"/>
      <c r="J813" s="11"/>
      <c r="K813" s="11"/>
      <c r="L813" s="11"/>
      <c r="M813" s="28" t="str">
        <f>IFERROR(__xludf.DUMMYFUNCTION("""COMPUTED_VALUE"""),"3355-4404")</f>
        <v>3355-4404</v>
      </c>
      <c r="N813" s="11" t="str">
        <f>IFERROR(__xludf.DUMMYFUNCTION("""COMPUTED_VALUE"""),"luaguiarlima@hotmail.com")</f>
        <v>luaguiarlima@hotmail.com</v>
      </c>
      <c r="O813" s="29">
        <f>IFERROR(__xludf.DUMMYFUNCTION("""COMPUTED_VALUE"""),68757247404)</f>
        <v>68757247404</v>
      </c>
      <c r="P813" s="30" t="str">
        <f>IFERROR(__xludf.DUMMYFUNCTION("""COMPUTED_VALUE"""),"980016282969757")</f>
        <v>980016282969757</v>
      </c>
      <c r="Q813" s="30" t="str">
        <f>IFERROR(__xludf.DUMMYFUNCTION("""COMPUTED_VALUE"""),"0001414")</f>
        <v>0001414</v>
      </c>
      <c r="R813" s="30" t="str">
        <f>IFERROR(__xludf.DUMMYFUNCTION("""COMPUTED_VALUE"""),"0000153230")</f>
        <v>0000153230</v>
      </c>
      <c r="S813" s="30" t="str">
        <f>IFERROR(__xludf.DUMMYFUNCTION("""COMPUTED_VALUE"""),"1")</f>
        <v>1</v>
      </c>
      <c r="T813" s="30" t="str">
        <f>IFERROR(__xludf.DUMMYFUNCTION("""COMPUTED_VALUE"""),"223565")</f>
        <v>223565</v>
      </c>
      <c r="U813" s="31" t="str">
        <f>IFERROR(__xludf.DUMMYFUNCTION("""COMPUTED_VALUE"""),"2235")</f>
        <v>2235</v>
      </c>
      <c r="V813" s="11"/>
      <c r="W813" s="11"/>
      <c r="X813" s="11"/>
      <c r="Y813" s="11"/>
      <c r="Z813" s="11"/>
    </row>
    <row r="814" customHeight="1" spans="1:26">
      <c r="A814" s="11" t="str">
        <f>IFERROR(__xludf.DUMMYFUNCTION("""COMPUTED_VALUE"""),"Beatriz Neta bezerra Ramos")</f>
        <v>Beatriz Neta bezerra Ramos</v>
      </c>
      <c r="B814" s="11"/>
      <c r="C814" s="11"/>
      <c r="D814" s="11" t="str">
        <f>IFERROR(__xludf.DUMMYFUNCTION("""COMPUTED_VALUE"""),"Médica eSF")</f>
        <v>Médica eSF</v>
      </c>
      <c r="E814" s="11"/>
      <c r="F814" s="11" t="str">
        <f>IFERROR(__xludf.DUMMYFUNCTION("""COMPUTED_VALUE"""),"")</f>
        <v/>
      </c>
      <c r="G814" s="11" t="str">
        <f>IFERROR(__xludf.DUMMYFUNCTION("""COMPUTED_VALUE"""),"US 117 CS GASPAR REGUEIRA COSTA")</f>
        <v>US 117 CS GASPAR REGUEIRA COSTA</v>
      </c>
      <c r="H814" s="27">
        <f>IFERROR(__xludf.DUMMYFUNCTION("""COMPUTED_VALUE"""),81998002290)</f>
        <v>81998002290</v>
      </c>
      <c r="I814" s="11"/>
      <c r="J814" s="11"/>
      <c r="K814" s="33">
        <f>IFERROR(__xludf.DUMMYFUNCTION("""COMPUTED_VALUE"""),45251)</f>
        <v>45251</v>
      </c>
      <c r="L814" s="11"/>
      <c r="M814" s="11"/>
      <c r="N814" s="11"/>
      <c r="O814" s="11"/>
      <c r="P814" s="11"/>
      <c r="Q814" s="11"/>
      <c r="R814" s="11"/>
      <c r="S814" s="11"/>
      <c r="T814" s="11"/>
      <c r="U814" s="11"/>
      <c r="V814" s="11"/>
      <c r="W814" s="11"/>
      <c r="X814" s="11"/>
      <c r="Y814" s="11"/>
      <c r="Z814" s="11"/>
    </row>
    <row r="815" customHeight="1" spans="1:26">
      <c r="A815" s="11" t="str">
        <f>IFERROR(__xludf.DUMMYFUNCTION("""COMPUTED_VALUE"""),"NARA CABRAL DE LUCENA")</f>
        <v>NARA CABRAL DE LUCENA</v>
      </c>
      <c r="B815" s="11"/>
      <c r="C815" s="11"/>
      <c r="D815" s="11" t="str">
        <f>IFERROR(__xludf.DUMMYFUNCTION("""COMPUTED_VALUE"""),"Médico Clínico ")</f>
        <v>Médico Clínico </v>
      </c>
      <c r="E815" s="11" t="str">
        <f>IFERROR(__xludf.DUMMYFUNCTION("""COMPUTED_VALUE"""),"V")</f>
        <v>V</v>
      </c>
      <c r="F815" s="11" t="str">
        <f>IFERROR(__xludf.DUMMYFUNCTION("""COMPUTED_VALUE"""),"US_117 CS GASPAR REGUEIRA COSTA")</f>
        <v>US_117 CS GASPAR REGUEIRA COSTA</v>
      </c>
      <c r="G815" s="11" t="str">
        <f>IFERROR(__xludf.DUMMYFUNCTION("""COMPUTED_VALUE"""),"US 117 CS GASPAR REGUEIRA COSTA")</f>
        <v>US 117 CS GASPAR REGUEIRA COSTA</v>
      </c>
      <c r="H815" s="27">
        <f>IFERROR(__xludf.DUMMYFUNCTION("""COMPUTED_VALUE"""),81999988411)</f>
        <v>81999988411</v>
      </c>
      <c r="I815" s="11"/>
      <c r="J815" s="11"/>
      <c r="K815" s="11"/>
      <c r="L815" s="11"/>
      <c r="M815" s="28" t="str">
        <f>IFERROR(__xludf.DUMMYFUNCTION("""COMPUTED_VALUE"""),"3355-4404")</f>
        <v>3355-4404</v>
      </c>
      <c r="N815" s="11" t="str">
        <f>IFERROR(__xludf.DUMMYFUNCTION("""COMPUTED_VALUE"""),"naralucena@hotmail.com")</f>
        <v>naralucena@hotmail.com</v>
      </c>
      <c r="O815" s="29">
        <f>IFERROR(__xludf.DUMMYFUNCTION("""COMPUTED_VALUE"""),91035392372)</f>
        <v>91035392372</v>
      </c>
      <c r="P815" s="30" t="str">
        <f>IFERROR(__xludf.DUMMYFUNCTION("""COMPUTED_VALUE"""),"980016282995464")</f>
        <v>980016282995464</v>
      </c>
      <c r="Q815" s="30" t="str">
        <f>IFERROR(__xludf.DUMMYFUNCTION("""COMPUTED_VALUE"""),"0001414")</f>
        <v>0001414</v>
      </c>
      <c r="R815" s="30" t="str">
        <f>IFERROR(__xludf.DUMMYFUNCTION("""COMPUTED_VALUE"""),"9000141401")</f>
        <v>9000141401</v>
      </c>
      <c r="S815" s="30" t="str">
        <f>IFERROR(__xludf.DUMMYFUNCTION("""COMPUTED_VALUE"""),"1")</f>
        <v>1</v>
      </c>
      <c r="T815" s="30" t="str">
        <f>IFERROR(__xludf.DUMMYFUNCTION("""COMPUTED_VALUE"""),"225125")</f>
        <v>225125</v>
      </c>
      <c r="U815" s="31" t="str">
        <f>IFERROR(__xludf.DUMMYFUNCTION("""COMPUTED_VALUE"""),"2251")</f>
        <v>2251</v>
      </c>
      <c r="V815" s="11"/>
      <c r="W815" s="11"/>
      <c r="X815" s="11">
        <f>IFERROR(__xludf.DUMMYFUNCTION("""COMPUTED_VALUE"""),8199988411)</f>
        <v>8199988411</v>
      </c>
      <c r="Y815" s="11">
        <f>IFERROR(__xludf.DUMMYFUNCTION("""COMPUTED_VALUE"""),8532480423)</f>
        <v>8532480423</v>
      </c>
      <c r="Z815" s="11">
        <f>IFERROR(__xludf.DUMMYFUNCTION("""COMPUTED_VALUE"""),91035392372)</f>
        <v>91035392372</v>
      </c>
    </row>
    <row r="816" customHeight="1" spans="1:26">
      <c r="A816" s="11" t="str">
        <f>IFERROR(__xludf.DUMMYFUNCTION("""COMPUTED_VALUE"""),"SILVIA MARIA PAZ  CUNHA DA SILVA")</f>
        <v>SILVIA MARIA PAZ  CUNHA DA SILVA</v>
      </c>
      <c r="B816" s="11"/>
      <c r="C816" s="11"/>
      <c r="D816" s="11" t="str">
        <f>IFERROR(__xludf.DUMMYFUNCTION("""COMPUTED_VALUE"""),"Enfermeira eSF")</f>
        <v>Enfermeira eSF</v>
      </c>
      <c r="E816" s="11" t="str">
        <f>IFERROR(__xludf.DUMMYFUNCTION("""COMPUTED_VALUE"""),"V")</f>
        <v>V</v>
      </c>
      <c r="F816" s="11" t="str">
        <f>IFERROR(__xludf.DUMMYFUNCTION("""COMPUTED_VALUE"""),"PACS AREIAS")</f>
        <v>PACS AREIAS</v>
      </c>
      <c r="G816" s="11" t="str">
        <f>IFERROR(__xludf.DUMMYFUNCTION("""COMPUTED_VALUE"""),"US 117 CS GASPAR REGUEIRA COSTA")</f>
        <v>US 117 CS GASPAR REGUEIRA COSTA</v>
      </c>
      <c r="H816" s="27">
        <f>IFERROR(__xludf.DUMMYFUNCTION("""COMPUTED_VALUE"""),81987534300)</f>
        <v>81987534300</v>
      </c>
      <c r="I816" s="11"/>
      <c r="J816" s="11"/>
      <c r="K816" s="11"/>
      <c r="L816" s="11"/>
      <c r="M816" s="28" t="str">
        <f>IFERROR(__xludf.DUMMYFUNCTION("""COMPUTED_VALUE"""),"3355-4404")</f>
        <v>3355-4404</v>
      </c>
      <c r="N816" s="11" t="str">
        <f>IFERROR(__xludf.DUMMYFUNCTION("""COMPUTED_VALUE"""),"silmariapaz@bol.com.br")</f>
        <v>silmariapaz@bol.com.br</v>
      </c>
      <c r="O816" s="29">
        <f>IFERROR(__xludf.DUMMYFUNCTION("""COMPUTED_VALUE"""),3597170471)</f>
        <v>3597170471</v>
      </c>
      <c r="P816" s="30" t="str">
        <f>IFERROR(__xludf.DUMMYFUNCTION("""COMPUTED_VALUE"""),"980016278431489")</f>
        <v>980016278431489</v>
      </c>
      <c r="Q816" s="30" t="str">
        <f>IFERROR(__xludf.DUMMYFUNCTION("""COMPUTED_VALUE"""),"0001414")</f>
        <v>0001414</v>
      </c>
      <c r="R816" s="30" t="str">
        <f>IFERROR(__xludf.DUMMYFUNCTION("""COMPUTED_VALUE"""),"0000153257")</f>
        <v>0000153257</v>
      </c>
      <c r="S816" s="30" t="str">
        <f>IFERROR(__xludf.DUMMYFUNCTION("""COMPUTED_VALUE"""),"1")</f>
        <v>1</v>
      </c>
      <c r="T816" s="30" t="str">
        <f>IFERROR(__xludf.DUMMYFUNCTION("""COMPUTED_VALUE"""),"223565")</f>
        <v>223565</v>
      </c>
      <c r="U816" s="31" t="str">
        <f>IFERROR(__xludf.DUMMYFUNCTION("""COMPUTED_VALUE"""),"2235")</f>
        <v>2235</v>
      </c>
      <c r="V816" s="11"/>
      <c r="W816" s="11">
        <f>IFERROR(__xludf.DUMMYFUNCTION("""COMPUTED_VALUE"""),87534300)</f>
        <v>87534300</v>
      </c>
      <c r="X816" s="11"/>
      <c r="Y816" s="11">
        <f>IFERROR(__xludf.DUMMYFUNCTION("""COMPUTED_VALUE"""),3597170471)</f>
        <v>3597170471</v>
      </c>
      <c r="Z816" s="11"/>
    </row>
    <row r="817" customHeight="1" spans="1:26">
      <c r="A817" s="11" t="str">
        <f>IFERROR(__xludf.DUMMYFUNCTION("""COMPUTED_VALUE"""),"Selma Carolina Gomes")</f>
        <v>Selma Carolina Gomes</v>
      </c>
      <c r="B817" s="11"/>
      <c r="C817" s="11"/>
      <c r="D817" s="11" t="str">
        <f>IFERROR(__xludf.DUMMYFUNCTION("""COMPUTED_VALUE"""),"MÉDICA")</f>
        <v>MÉDICA</v>
      </c>
      <c r="E817" s="11"/>
      <c r="F817" s="11"/>
      <c r="G817" s="11" t="str">
        <f>IFERROR(__xludf.DUMMYFUNCTION("""COMPUTED_VALUE"""),"US 142 CS BIDU KRAUSE")</f>
        <v>US 142 CS BIDU KRAUSE</v>
      </c>
      <c r="H817" s="27">
        <f>IFERROR(__xludf.DUMMYFUNCTION("""COMPUTED_VALUE"""),81981708880)</f>
        <v>81981708880</v>
      </c>
      <c r="I817" s="11"/>
      <c r="J817" s="11"/>
      <c r="K817" s="24">
        <f>IFERROR(__xludf.DUMMYFUNCTION("""COMPUTED_VALUE"""),45407)</f>
        <v>45407</v>
      </c>
      <c r="L817" s="11"/>
      <c r="M817" s="11"/>
      <c r="N817" s="11"/>
      <c r="O817" s="11"/>
      <c r="P817" s="11"/>
      <c r="Q817" s="11"/>
      <c r="R817" s="11"/>
      <c r="S817" s="11"/>
      <c r="T817" s="11"/>
      <c r="U817" s="11"/>
      <c r="V817" s="11"/>
      <c r="W817" s="11"/>
      <c r="X817" s="11"/>
      <c r="Y817" s="11"/>
      <c r="Z817" s="11"/>
    </row>
    <row r="818" customHeight="1" spans="1:26">
      <c r="A818" s="11" t="str">
        <f>IFERROR(__xludf.DUMMYFUNCTION("""COMPUTED_VALUE"""),"ANA BEATRIZ MEDEIROS LINS DE ALBUQUERQUE")</f>
        <v>ANA BEATRIZ MEDEIROS LINS DE ALBUQUERQUE</v>
      </c>
      <c r="B818" s="11"/>
      <c r="C818" s="11"/>
      <c r="D818" s="11" t="str">
        <f>IFERROR(__xludf.DUMMYFUNCTION("""COMPUTED_VALUE"""),"Médica Ginecologista")</f>
        <v>Médica Ginecologista</v>
      </c>
      <c r="E818" s="11" t="str">
        <f>IFERROR(__xludf.DUMMYFUNCTION("""COMPUTED_VALUE"""),"V")</f>
        <v>V</v>
      </c>
      <c r="F818" s="11" t="str">
        <f>IFERROR(__xludf.DUMMYFUNCTION("""COMPUTED_VALUE"""),"US_142 CS BIDU KRAUSE")</f>
        <v>US_142 CS BIDU KRAUSE</v>
      </c>
      <c r="G818" s="11" t="str">
        <f>IFERROR(__xludf.DUMMYFUNCTION("""COMPUTED_VALUE"""),"US 142 CS BIDU KRAUSE")</f>
        <v>US 142 CS BIDU KRAUSE</v>
      </c>
      <c r="H818" s="27">
        <f>IFERROR(__xludf.DUMMYFUNCTION("""COMPUTED_VALUE"""),81996026240)</f>
        <v>81996026240</v>
      </c>
      <c r="I818" s="11"/>
      <c r="J818" s="11"/>
      <c r="K818" s="11"/>
      <c r="L818" s="11"/>
      <c r="M818" s="28" t="str">
        <f>IFERROR(__xludf.DUMMYFUNCTION("""COMPUTED_VALUE"""),"3355-0301")</f>
        <v>3355-0301</v>
      </c>
      <c r="N818" s="11" t="str">
        <f>IFERROR(__xludf.DUMMYFUNCTION("""COMPUTED_VALUE"""),"anablins@yahoo.com.br")</f>
        <v>anablins@yahoo.com.br</v>
      </c>
      <c r="O818" s="29">
        <f>IFERROR(__xludf.DUMMYFUNCTION("""COMPUTED_VALUE"""),3100010485)</f>
        <v>3100010485</v>
      </c>
      <c r="P818" s="30" t="str">
        <f>IFERROR(__xludf.DUMMYFUNCTION("""COMPUTED_VALUE"""),"980016280234539")</f>
        <v>980016280234539</v>
      </c>
      <c r="Q818" s="30" t="str">
        <f>IFERROR(__xludf.DUMMYFUNCTION("""COMPUTED_VALUE"""),"0000868")</f>
        <v>0000868</v>
      </c>
      <c r="R818" s="11"/>
      <c r="S818" s="30" t="str">
        <f>IFERROR(__xludf.DUMMYFUNCTION("""COMPUTED_VALUE"""),"1")</f>
        <v>1</v>
      </c>
      <c r="T818" s="30" t="str">
        <f>IFERROR(__xludf.DUMMYFUNCTION("""COMPUTED_VALUE"""),"225250")</f>
        <v>225250</v>
      </c>
      <c r="U818" s="31">
        <f>IFERROR(__xludf.DUMMYFUNCTION("""COMPUTED_VALUE"""),2251)</f>
        <v>2251</v>
      </c>
      <c r="V818" s="11"/>
      <c r="W818" s="30" t="str">
        <f>IFERROR(__xludf.DUMMYFUNCTION("""COMPUTED_VALUE"""),"02/12/1981")</f>
        <v>02/12/1981</v>
      </c>
      <c r="X818" s="11" t="str">
        <f>IFERROR(__xludf.DUMMYFUNCTION("""COMPUTED_VALUE"""),"#N/A")</f>
        <v>#N/A</v>
      </c>
      <c r="Y818" s="11" t="str">
        <f>IFERROR(__xludf.DUMMYFUNCTION("""COMPUTED_VALUE"""),"#N/A")</f>
        <v>#N/A</v>
      </c>
      <c r="Z818" s="11" t="str">
        <f>IFERROR(__xludf.DUMMYFUNCTION("""COMPUTED_VALUE"""),"#N/A")</f>
        <v>#N/A</v>
      </c>
    </row>
    <row r="819" customHeight="1" spans="1:26">
      <c r="A819" s="11" t="str">
        <f>IFERROR(__xludf.DUMMYFUNCTION("""COMPUTED_VALUE"""),"ANA PAULA FERREIRA")</f>
        <v>ANA PAULA FERREIRA</v>
      </c>
      <c r="B819" s="11"/>
      <c r="C819" s="11"/>
      <c r="D819" s="11" t="str">
        <f>IFERROR(__xludf.DUMMYFUNCTION("""COMPUTED_VALUE"""),"Enfermeira eSF")</f>
        <v>Enfermeira eSF</v>
      </c>
      <c r="E819" s="11" t="str">
        <f>IFERROR(__xludf.DUMMYFUNCTION("""COMPUTED_VALUE"""),"V")</f>
        <v>V</v>
      </c>
      <c r="F819" s="11" t="str">
        <f>IFERROR(__xludf.DUMMYFUNCTION("""COMPUTED_VALUE"""),"PACS TEJIPIO - PACHECO")</f>
        <v>PACS TEJIPIO - PACHECO</v>
      </c>
      <c r="G819" s="11" t="str">
        <f>IFERROR(__xludf.DUMMYFUNCTION("""COMPUTED_VALUE"""),"US 142 CS BIDU KRAUSE")</f>
        <v>US 142 CS BIDU KRAUSE</v>
      </c>
      <c r="H819" s="27">
        <f>IFERROR(__xludf.DUMMYFUNCTION("""COMPUTED_VALUE"""),81995042707)</f>
        <v>81995042707</v>
      </c>
      <c r="I819" s="27">
        <f>IFERROR(__xludf.DUMMYFUNCTION("""COMPUTED_VALUE"""),81987377753)</f>
        <v>81987377753</v>
      </c>
      <c r="J819" s="11"/>
      <c r="K819" s="11"/>
      <c r="L819" s="11"/>
      <c r="M819" s="28" t="str">
        <f>IFERROR(__xludf.DUMMYFUNCTION("""COMPUTED_VALUE"""),"3355-0301")</f>
        <v>3355-0301</v>
      </c>
      <c r="N819" s="11" t="str">
        <f>IFERROR(__xludf.DUMMYFUNCTION("""COMPUTED_VALUE"""),"rolago2010@hotmail.com")</f>
        <v>rolago2010@hotmail.com</v>
      </c>
      <c r="O819" s="29">
        <f>IFERROR(__xludf.DUMMYFUNCTION("""COMPUTED_VALUE"""),99559692453)</f>
        <v>99559692453</v>
      </c>
      <c r="P819" s="30" t="str">
        <f>IFERROR(__xludf.DUMMYFUNCTION("""COMPUTED_VALUE"""),"206790320580003")</f>
        <v>206790320580003</v>
      </c>
      <c r="Q819" s="30" t="str">
        <f>IFERROR(__xludf.DUMMYFUNCTION("""COMPUTED_VALUE"""),"0000868")</f>
        <v>0000868</v>
      </c>
      <c r="R819" s="30" t="str">
        <f>IFERROR(__xludf.DUMMYFUNCTION("""COMPUTED_VALUE"""),"9000086804")</f>
        <v>9000086804</v>
      </c>
      <c r="S819" s="30" t="str">
        <f>IFERROR(__xludf.DUMMYFUNCTION("""COMPUTED_VALUE"""),"1")</f>
        <v>1</v>
      </c>
      <c r="T819" s="30" t="str">
        <f>IFERROR(__xludf.DUMMYFUNCTION("""COMPUTED_VALUE"""),"223565")</f>
        <v>223565</v>
      </c>
      <c r="U819" s="31" t="str">
        <f>IFERROR(__xludf.DUMMYFUNCTION("""COMPUTED_VALUE"""),"2235")</f>
        <v>2235</v>
      </c>
      <c r="V819" s="11"/>
      <c r="W819" s="11"/>
      <c r="X819" s="11"/>
      <c r="Y819" s="11"/>
      <c r="Z819" s="11"/>
    </row>
    <row r="820" customHeight="1" spans="1:26">
      <c r="A820" s="11" t="str">
        <f>IFERROR(__xludf.DUMMYFUNCTION("""COMPUTED_VALUE"""),"LUCIA MARIA DOS SANTOS")</f>
        <v>LUCIA MARIA DOS SANTOS</v>
      </c>
      <c r="B820" s="11" t="str">
        <f>IFERROR(__xludf.DUMMYFUNCTION("""COMPUTED_VALUE"""),"FAZ PRÉ NATAL NAS QUARTAS")</f>
        <v>FAZ PRÉ NATAL NAS QUARTAS</v>
      </c>
      <c r="C820" s="11"/>
      <c r="D820" s="11" t="str">
        <f>IFERROR(__xludf.DUMMYFUNCTION("""COMPUTED_VALUE"""),"Enfermeira eSF")</f>
        <v>Enfermeira eSF</v>
      </c>
      <c r="E820" s="11" t="str">
        <f>IFERROR(__xludf.DUMMYFUNCTION("""COMPUTED_VALUE"""),"V")</f>
        <v>V</v>
      </c>
      <c r="F820" s="11" t="str">
        <f>IFERROR(__xludf.DUMMYFUNCTION("""COMPUTED_VALUE"""),"PACS TOTO")</f>
        <v>PACS TOTO</v>
      </c>
      <c r="G820" s="11" t="str">
        <f>IFERROR(__xludf.DUMMYFUNCTION("""COMPUTED_VALUE"""),"US 142 CS BIDU KRAUSE")</f>
        <v>US 142 CS BIDU KRAUSE</v>
      </c>
      <c r="H820" s="27">
        <f>IFERROR(__xludf.DUMMYFUNCTION("""COMPUTED_VALUE"""),81992527293)</f>
        <v>81992527293</v>
      </c>
      <c r="I820" s="27">
        <f>IFERROR(__xludf.DUMMYFUNCTION("""COMPUTED_VALUE"""),81998705577)</f>
        <v>81998705577</v>
      </c>
      <c r="J820" s="11"/>
      <c r="K820" s="11"/>
      <c r="L820" s="11"/>
      <c r="M820" s="28" t="str">
        <f>IFERROR(__xludf.DUMMYFUNCTION("""COMPUTED_VALUE"""),"3355-0301")</f>
        <v>3355-0301</v>
      </c>
      <c r="N820" s="11" t="str">
        <f>IFERROR(__xludf.DUMMYFUNCTION("""COMPUTED_VALUE"""),"lucinha990@hotmail.com")</f>
        <v>lucinha990@hotmail.com</v>
      </c>
      <c r="O820" s="29">
        <f>IFERROR(__xludf.DUMMYFUNCTION("""COMPUTED_VALUE"""),38728630459)</f>
        <v>38728630459</v>
      </c>
      <c r="P820" s="30" t="str">
        <f>IFERROR(__xludf.DUMMYFUNCTION("""COMPUTED_VALUE"""),"702704175896060")</f>
        <v>702704175896060</v>
      </c>
      <c r="Q820" s="30" t="str">
        <f>IFERROR(__xludf.DUMMYFUNCTION("""COMPUTED_VALUE"""),"0000868")</f>
        <v>0000868</v>
      </c>
      <c r="R820" s="30" t="str">
        <f>IFERROR(__xludf.DUMMYFUNCTION("""COMPUTED_VALUE"""),"0000152692")</f>
        <v>0000152692</v>
      </c>
      <c r="S820" s="30" t="str">
        <f>IFERROR(__xludf.DUMMYFUNCTION("""COMPUTED_VALUE"""),"1")</f>
        <v>1</v>
      </c>
      <c r="T820" s="30" t="str">
        <f>IFERROR(__xludf.DUMMYFUNCTION("""COMPUTED_VALUE"""),"223565")</f>
        <v>223565</v>
      </c>
      <c r="U820" s="31" t="str">
        <f>IFERROR(__xludf.DUMMYFUNCTION("""COMPUTED_VALUE"""),"2235")</f>
        <v>2235</v>
      </c>
      <c r="V820" s="11"/>
      <c r="W820" s="11">
        <f>IFERROR(__xludf.DUMMYFUNCTION("""COMPUTED_VALUE"""),8196176498)</f>
        <v>8196176498</v>
      </c>
      <c r="X820" s="11">
        <f>IFERROR(__xludf.DUMMYFUNCTION("""COMPUTED_VALUE"""),33414622)</f>
        <v>33414622</v>
      </c>
      <c r="Y820" s="11">
        <f>IFERROR(__xludf.DUMMYFUNCTION("""COMPUTED_VALUE"""),85664952415)</f>
        <v>85664952415</v>
      </c>
      <c r="Z820" s="11"/>
    </row>
    <row r="821" customHeight="1" spans="1:26">
      <c r="A821" s="11" t="str">
        <f>IFERROR(__xludf.DUMMYFUNCTION("""COMPUTED_VALUE"""),"MARIA DE FATIMA MIRANDA RIBEIRO")</f>
        <v>MARIA DE FATIMA MIRANDA RIBEIRO</v>
      </c>
      <c r="B821" s="11"/>
      <c r="C821" s="11"/>
      <c r="D821" s="11" t="str">
        <f>IFERROR(__xludf.DUMMYFUNCTION("""COMPUTED_VALUE"""),"Enfermeira eSF")</f>
        <v>Enfermeira eSF</v>
      </c>
      <c r="E821" s="11" t="str">
        <f>IFERROR(__xludf.DUMMYFUNCTION("""COMPUTED_VALUE"""),"V")</f>
        <v>V</v>
      </c>
      <c r="F821" s="11" t="str">
        <f>IFERROR(__xludf.DUMMYFUNCTION("""COMPUTED_VALUE"""),"PACS COQUEIRAL")</f>
        <v>PACS COQUEIRAL</v>
      </c>
      <c r="G821" s="11" t="str">
        <f>IFERROR(__xludf.DUMMYFUNCTION("""COMPUTED_VALUE"""),"US 142 CS BIDU KRAUSE")</f>
        <v>US 142 CS BIDU KRAUSE</v>
      </c>
      <c r="H821" s="27">
        <f>IFERROR(__xludf.DUMMYFUNCTION("""COMPUTED_VALUE"""),81998449851)</f>
        <v>81998449851</v>
      </c>
      <c r="I821" s="11"/>
      <c r="J821" s="11"/>
      <c r="K821" s="11"/>
      <c r="L821" s="11"/>
      <c r="M821" s="28" t="str">
        <f>IFERROR(__xludf.DUMMYFUNCTION("""COMPUTED_VALUE"""),"3355-0301")</f>
        <v>3355-0301</v>
      </c>
      <c r="N821" s="11" t="str">
        <f>IFERROR(__xludf.DUMMYFUNCTION("""COMPUTED_VALUE"""),"fatinhamr3@gmail.com")</f>
        <v>fatinhamr3@gmail.com</v>
      </c>
      <c r="O821" s="29">
        <f>IFERROR(__xludf.DUMMYFUNCTION("""COMPUTED_VALUE"""),68819609487)</f>
        <v>68819609487</v>
      </c>
      <c r="P821" s="30" t="str">
        <f>IFERROR(__xludf.DUMMYFUNCTION("""COMPUTED_VALUE"""),"123433394830002")</f>
        <v>123433394830002</v>
      </c>
      <c r="Q821" s="30" t="str">
        <f>IFERROR(__xludf.DUMMYFUNCTION("""COMPUTED_VALUE"""),"0000868")</f>
        <v>0000868</v>
      </c>
      <c r="R821" s="30" t="str">
        <f>IFERROR(__xludf.DUMMYFUNCTION("""COMPUTED_VALUE"""),"0001497154")</f>
        <v>0001497154</v>
      </c>
      <c r="S821" s="30" t="str">
        <f>IFERROR(__xludf.DUMMYFUNCTION("""COMPUTED_VALUE"""),"1")</f>
        <v>1</v>
      </c>
      <c r="T821" s="30" t="str">
        <f>IFERROR(__xludf.DUMMYFUNCTION("""COMPUTED_VALUE"""),"223565")</f>
        <v>223565</v>
      </c>
      <c r="U821" s="31" t="str">
        <f>IFERROR(__xludf.DUMMYFUNCTION("""COMPUTED_VALUE"""),"2235")</f>
        <v>2235</v>
      </c>
      <c r="V821" s="11"/>
      <c r="W821" s="11"/>
      <c r="X821" s="11"/>
      <c r="Y821" s="11"/>
      <c r="Z821" s="11"/>
    </row>
    <row r="822" customHeight="1" spans="1:26">
      <c r="A822" s="11" t="str">
        <f>IFERROR(__xludf.DUMMYFUNCTION("""COMPUTED_VALUE"""),"MARILIA ROSA LINS RODRIGUES CRUZ")</f>
        <v>MARILIA ROSA LINS RODRIGUES CRUZ</v>
      </c>
      <c r="B822" s="11"/>
      <c r="C822" s="11"/>
      <c r="D822" s="11" t="str">
        <f>IFERROR(__xludf.DUMMYFUNCTION("""COMPUTED_VALUE"""),"Médico Pediatra")</f>
        <v>Médico Pediatra</v>
      </c>
      <c r="E822" s="11" t="str">
        <f>IFERROR(__xludf.DUMMYFUNCTION("""COMPUTED_VALUE"""),"V")</f>
        <v>V</v>
      </c>
      <c r="F822" s="11" t="str">
        <f>IFERROR(__xludf.DUMMYFUNCTION("""COMPUTED_VALUE"""),"US_142 CS BIDU KRAUSE")</f>
        <v>US_142 CS BIDU KRAUSE</v>
      </c>
      <c r="G822" s="11" t="str">
        <f>IFERROR(__xludf.DUMMYFUNCTION("""COMPUTED_VALUE"""),"US 142 CS BIDU KRAUSE")</f>
        <v>US 142 CS BIDU KRAUSE</v>
      </c>
      <c r="H822" s="27">
        <f>IFERROR(__xludf.DUMMYFUNCTION("""COMPUTED_VALUE"""),81982277788)</f>
        <v>81982277788</v>
      </c>
      <c r="I822" s="11"/>
      <c r="J822" s="11"/>
      <c r="K822" s="11"/>
      <c r="L822" s="11"/>
      <c r="M822" s="28" t="str">
        <f>IFERROR(__xludf.DUMMYFUNCTION("""COMPUTED_VALUE"""),"3355-0301")</f>
        <v>3355-0301</v>
      </c>
      <c r="N822" s="11" t="str">
        <f>IFERROR(__xludf.DUMMYFUNCTION("""COMPUTED_VALUE"""),"mrosalins@yahoo.com.br")</f>
        <v>mrosalins@yahoo.com.br</v>
      </c>
      <c r="O822" s="29">
        <f>IFERROR(__xludf.DUMMYFUNCTION("""COMPUTED_VALUE"""),66933978400)</f>
        <v>66933978400</v>
      </c>
      <c r="P822" s="30" t="str">
        <f>IFERROR(__xludf.DUMMYFUNCTION("""COMPUTED_VALUE"""),"206066754040000")</f>
        <v>206066754040000</v>
      </c>
      <c r="Q822" s="30" t="str">
        <f>IFERROR(__xludf.DUMMYFUNCTION("""COMPUTED_VALUE"""),"0000868")</f>
        <v>0000868</v>
      </c>
      <c r="R822" s="11"/>
      <c r="S822" s="30" t="str">
        <f>IFERROR(__xludf.DUMMYFUNCTION("""COMPUTED_VALUE"""),"1")</f>
        <v>1</v>
      </c>
      <c r="T822" s="30" t="str">
        <f>IFERROR(__xludf.DUMMYFUNCTION("""COMPUTED_VALUE"""),"225124")</f>
        <v>225124</v>
      </c>
      <c r="U822" s="31">
        <f>IFERROR(__xludf.DUMMYFUNCTION("""COMPUTED_VALUE"""),2251)</f>
        <v>2251</v>
      </c>
      <c r="V822" s="11"/>
      <c r="W822" s="30" t="str">
        <f>IFERROR(__xludf.DUMMYFUNCTION("""COMPUTED_VALUE"""),"23/051964")</f>
        <v>23/051964</v>
      </c>
      <c r="X822" s="11">
        <f>IFERROR(__xludf.DUMMYFUNCTION("""COMPUTED_VALUE"""),8199599442)</f>
        <v>8199599442</v>
      </c>
      <c r="Y822" s="11"/>
      <c r="Z822" s="11">
        <f>IFERROR(__xludf.DUMMYFUNCTION("""COMPUTED_VALUE"""),66933978400)</f>
        <v>66933978400</v>
      </c>
    </row>
    <row r="823" customHeight="1" spans="1:26">
      <c r="A823" s="11" t="str">
        <f>IFERROR(__xludf.DUMMYFUNCTION("""COMPUTED_VALUE"""),"VICTOR HUGO OLIVEIRA DE ALBUQUERQUE")</f>
        <v>VICTOR HUGO OLIVEIRA DE ALBUQUERQUE</v>
      </c>
      <c r="B823" s="11"/>
      <c r="C823" s="11"/>
      <c r="D823" s="11" t="str">
        <f>IFERROR(__xludf.DUMMYFUNCTION("""COMPUTED_VALUE"""),"Médico Clínico")</f>
        <v>Médico Clínico</v>
      </c>
      <c r="E823" s="11" t="str">
        <f>IFERROR(__xludf.DUMMYFUNCTION("""COMPUTED_VALUE"""),"V")</f>
        <v>V</v>
      </c>
      <c r="F823" s="11" t="str">
        <f>IFERROR(__xludf.DUMMYFUNCTION("""COMPUTED_VALUE"""),"US_180 CENTRAL DE REGULACAO MEDICA SAMU METROPOLITANO RECIFE")</f>
        <v>US_180 CENTRAL DE REGULACAO MEDICA SAMU METROPOLITANO RECIFE</v>
      </c>
      <c r="G823" s="11" t="str">
        <f>IFERROR(__xludf.DUMMYFUNCTION("""COMPUTED_VALUE"""),"US 150 CS PROFESSOR FERNANDES FIGUEIRAS")</f>
        <v>US 150 CS PROFESSOR FERNANDES FIGUEIRAS</v>
      </c>
      <c r="H823" s="27">
        <f>IFERROR(__xludf.DUMMYFUNCTION("""COMPUTED_VALUE"""),81997507575)</f>
        <v>81997507575</v>
      </c>
      <c r="I823" s="11"/>
      <c r="J823" s="11"/>
      <c r="K823" s="11"/>
      <c r="L823" s="11"/>
      <c r="M823" s="28" t="str">
        <f>IFERROR(__xludf.DUMMYFUNCTION("""COMPUTED_VALUE"""),"3355-4396")</f>
        <v>3355-4396</v>
      </c>
      <c r="N823" s="30" t="str">
        <f>IFERROR(__xludf.DUMMYFUNCTION("""COMPUTED_VALUE"""),"vhmed1@gmail.com")</f>
        <v>vhmed1@gmail.com</v>
      </c>
      <c r="O823" s="29">
        <f>IFERROR(__xludf.DUMMYFUNCTION("""COMPUTED_VALUE"""),5240665400)</f>
        <v>5240665400</v>
      </c>
      <c r="P823" s="30" t="str">
        <f>IFERROR(__xludf.DUMMYFUNCTION("""COMPUTED_VALUE"""),"707403007509570")</f>
        <v>707403007509570</v>
      </c>
      <c r="Q823" s="30" t="str">
        <f>IFERROR(__xludf.DUMMYFUNCTION("""COMPUTED_VALUE"""),"0000841")</f>
        <v>0000841</v>
      </c>
      <c r="R823" s="11"/>
      <c r="S823" s="30" t="str">
        <f>IFERROR(__xludf.DUMMYFUNCTION("""COMPUTED_VALUE"""),"1")</f>
        <v>1</v>
      </c>
      <c r="T823" s="30" t="str">
        <f>IFERROR(__xludf.DUMMYFUNCTION("""COMPUTED_VALUE"""),"225125")</f>
        <v>225125</v>
      </c>
      <c r="U823" s="31" t="str">
        <f>IFERROR(__xludf.DUMMYFUNCTION("""COMPUTED_VALUE"""),"2251")</f>
        <v>2251</v>
      </c>
      <c r="V823" s="11"/>
      <c r="W823" s="11"/>
      <c r="X823" s="11"/>
      <c r="Y823" s="11"/>
      <c r="Z823" s="11"/>
    </row>
    <row r="824" customHeight="1" spans="1:26">
      <c r="A824" s="11" t="str">
        <f>IFERROR(__xludf.DUMMYFUNCTION("""COMPUTED_VALUE"""),"Eder Lurian Nascimento Silva")</f>
        <v>Eder Lurian Nascimento Silva</v>
      </c>
      <c r="B824" s="11"/>
      <c r="C824" s="11"/>
      <c r="D824" s="11" t="str">
        <f>IFERROR(__xludf.DUMMYFUNCTION("""COMPUTED_VALUE"""),"médico")</f>
        <v>médico</v>
      </c>
      <c r="E824" s="11"/>
      <c r="F824" s="11"/>
      <c r="G824" s="11" t="str">
        <f>IFERROR(__xludf.DUMMYFUNCTION("""COMPUTED_VALUE"""),"US 158 CS PAM CEASA / EACS INFERNINHO - JSP")</f>
        <v>US 158 CS PAM CEASA / EACS INFERNINHO - JSP</v>
      </c>
      <c r="H824" s="27">
        <f>IFERROR(__xludf.DUMMYFUNCTION("""COMPUTED_VALUE"""),81973154651)</f>
        <v>81973154651</v>
      </c>
      <c r="I824" s="11"/>
      <c r="J824" s="11"/>
      <c r="K824" s="24">
        <f>IFERROR(__xludf.DUMMYFUNCTION("""COMPUTED_VALUE"""),45408)</f>
        <v>45408</v>
      </c>
      <c r="L824" s="11"/>
      <c r="M824" s="11"/>
      <c r="N824" s="11"/>
      <c r="O824" s="11"/>
      <c r="P824" s="11"/>
      <c r="Q824" s="11"/>
      <c r="R824" s="11"/>
      <c r="S824" s="11"/>
      <c r="T824" s="11"/>
      <c r="U824" s="11"/>
      <c r="V824" s="11"/>
      <c r="W824" s="11"/>
      <c r="X824" s="11"/>
      <c r="Y824" s="11"/>
      <c r="Z824" s="11"/>
    </row>
    <row r="825" customHeight="1" spans="1:26">
      <c r="A825" s="11" t="str">
        <f>IFERROR(__xludf.DUMMYFUNCTION("""COMPUTED_VALUE"""),"TULIA CARVALHO MARTINS CAVALCANTI")</f>
        <v>TULIA CARVALHO MARTINS CAVALCANTI</v>
      </c>
      <c r="B825" s="11"/>
      <c r="C825" s="11"/>
      <c r="D825" s="11" t="str">
        <f>IFERROR(__xludf.DUMMYFUNCTION("""COMPUTED_VALUE"""),"Enfermeira eSF")</f>
        <v>Enfermeira eSF</v>
      </c>
      <c r="E825" s="11" t="str">
        <f>IFERROR(__xludf.DUMMYFUNCTION("""COMPUTED_VALUE"""),"V")</f>
        <v>V</v>
      </c>
      <c r="F825" s="11" t="str">
        <f>IFERROR(__xludf.DUMMYFUNCTION("""COMPUTED_VALUE"""),"PACS INFERNINHO")</f>
        <v>PACS INFERNINHO</v>
      </c>
      <c r="G825" s="11" t="str">
        <f>IFERROR(__xludf.DUMMYFUNCTION("""COMPUTED_VALUE"""),"US 158 CS PAM CEASA / EACS INFERNINHO - JSP")</f>
        <v>US 158 CS PAM CEASA / EACS INFERNINHO - JSP</v>
      </c>
      <c r="H825" s="27">
        <f>IFERROR(__xludf.DUMMYFUNCTION("""COMPUTED_VALUE"""),81995054949)</f>
        <v>81995054949</v>
      </c>
      <c r="I825" s="27">
        <f>IFERROR(__xludf.DUMMYFUNCTION("""COMPUTED_VALUE"""),81984262691)</f>
        <v>81984262691</v>
      </c>
      <c r="J825" s="11"/>
      <c r="K825" s="33">
        <f>IFERROR(__xludf.DUMMYFUNCTION("""COMPUTED_VALUE"""),45258)</f>
        <v>45258</v>
      </c>
      <c r="L825" s="11"/>
      <c r="M825" s="28" t="str">
        <f>IFERROR(__xludf.DUMMYFUNCTION("""COMPUTED_VALUE"""),"3355-0090")</f>
        <v>3355-0090</v>
      </c>
      <c r="N825" s="11" t="str">
        <f>IFERROR(__xludf.DUMMYFUNCTION("""COMPUTED_VALUE"""),"tuliacavalcanti@hotmail.com")</f>
        <v>tuliacavalcanti@hotmail.com</v>
      </c>
      <c r="O825" s="29">
        <f>IFERROR(__xludf.DUMMYFUNCTION("""COMPUTED_VALUE"""),3679795432)</f>
        <v>3679795432</v>
      </c>
      <c r="P825" s="30" t="str">
        <f>IFERROR(__xludf.DUMMYFUNCTION("""COMPUTED_VALUE"""),"980016288558791")</f>
        <v>980016288558791</v>
      </c>
      <c r="Q825" s="30" t="str">
        <f>IFERROR(__xludf.DUMMYFUNCTION("""COMPUTED_VALUE"""),"0001368")</f>
        <v>0001368</v>
      </c>
      <c r="R825" s="30" t="str">
        <f>IFERROR(__xludf.DUMMYFUNCTION("""COMPUTED_VALUE"""),"0000153222")</f>
        <v>0000153222</v>
      </c>
      <c r="S825" s="30" t="str">
        <f>IFERROR(__xludf.DUMMYFUNCTION("""COMPUTED_VALUE"""),"1")</f>
        <v>1</v>
      </c>
      <c r="T825" s="30" t="str">
        <f>IFERROR(__xludf.DUMMYFUNCTION("""COMPUTED_VALUE"""),"223565")</f>
        <v>223565</v>
      </c>
      <c r="U825" s="31" t="str">
        <f>IFERROR(__xludf.DUMMYFUNCTION("""COMPUTED_VALUE"""),"2235")</f>
        <v>2235</v>
      </c>
      <c r="V825" s="11"/>
      <c r="W825" s="11"/>
      <c r="X825" s="11"/>
      <c r="Y825" s="11"/>
      <c r="Z825" s="11"/>
    </row>
    <row r="826" customHeight="1" spans="1:26">
      <c r="A826" s="11" t="str">
        <f>IFERROR(__xludf.DUMMYFUNCTION("""COMPUTED_VALUE"""),"ANDREA DE MELO CAVALCANTI")</f>
        <v>ANDREA DE MELO CAVALCANTI</v>
      </c>
      <c r="B826" s="11"/>
      <c r="C826" s="11"/>
      <c r="D826" s="11" t="str">
        <f>IFERROR(__xludf.DUMMYFUNCTION("""COMPUTED_VALUE"""),"Enfermeira eSF")</f>
        <v>Enfermeira eSF</v>
      </c>
      <c r="E826" s="11" t="str">
        <f>IFERROR(__xludf.DUMMYFUNCTION("""COMPUTED_VALUE"""),"V")</f>
        <v>V</v>
      </c>
      <c r="F826" s="11" t="str">
        <f>IFERROR(__xludf.DUMMYFUNCTION("""COMPUTED_VALUE"""),"PACS MUSTARDINHA I")</f>
        <v>PACS MUSTARDINHA I</v>
      </c>
      <c r="G826" s="11" t="str">
        <f>IFERROR(__xludf.DUMMYFUNCTION("""COMPUTED_VALUE"""),"US 161 CS PROF ROMERO MARQUES")</f>
        <v>US 161 CS PROF ROMERO MARQUES</v>
      </c>
      <c r="H826" s="27">
        <f>IFERROR(__xludf.DUMMYFUNCTION("""COMPUTED_VALUE"""),81992993052)</f>
        <v>81992993052</v>
      </c>
      <c r="I826" s="11"/>
      <c r="J826" s="11"/>
      <c r="K826" s="11"/>
      <c r="L826" s="11"/>
      <c r="M826" s="28" t="str">
        <f>IFERROR(__xludf.DUMMYFUNCTION("""COMPUTED_VALUE"""),"3355-4440")</f>
        <v>3355-4440</v>
      </c>
      <c r="N826" s="11" t="str">
        <f>IFERROR(__xludf.DUMMYFUNCTION("""COMPUTED_VALUE"""),"andreamelo36@bol.com.br")</f>
        <v>andreamelo36@bol.com.br</v>
      </c>
      <c r="O826" s="29">
        <f>IFERROR(__xludf.DUMMYFUNCTION("""COMPUTED_VALUE"""),71154574415)</f>
        <v>71154574415</v>
      </c>
      <c r="P826" s="30" t="str">
        <f>IFERROR(__xludf.DUMMYFUNCTION("""COMPUTED_VALUE"""),"980016002525691")</f>
        <v>980016002525691</v>
      </c>
      <c r="Q826" s="30" t="str">
        <f>IFERROR(__xludf.DUMMYFUNCTION("""COMPUTED_VALUE"""),"0000760")</f>
        <v>0000760</v>
      </c>
      <c r="R826" s="30" t="str">
        <f>IFERROR(__xludf.DUMMYFUNCTION("""COMPUTED_VALUE"""),"0000152501")</f>
        <v>0000152501</v>
      </c>
      <c r="S826" s="30" t="str">
        <f>IFERROR(__xludf.DUMMYFUNCTION("""COMPUTED_VALUE"""),"1")</f>
        <v>1</v>
      </c>
      <c r="T826" s="30" t="str">
        <f>IFERROR(__xludf.DUMMYFUNCTION("""COMPUTED_VALUE"""),"223565")</f>
        <v>223565</v>
      </c>
      <c r="U826" s="31" t="str">
        <f>IFERROR(__xludf.DUMMYFUNCTION("""COMPUTED_VALUE"""),"2235")</f>
        <v>2235</v>
      </c>
      <c r="V826" s="11"/>
      <c r="W826" s="11">
        <f>IFERROR(__xludf.DUMMYFUNCTION("""COMPUTED_VALUE"""),8192993052)</f>
        <v>8192993052</v>
      </c>
      <c r="X826" s="11">
        <f>IFERROR(__xludf.DUMMYFUNCTION("""COMPUTED_VALUE"""),8192382950)</f>
        <v>8192382950</v>
      </c>
      <c r="Y826" s="11">
        <f>IFERROR(__xludf.DUMMYFUNCTION("""COMPUTED_VALUE"""),71154574415)</f>
        <v>71154574415</v>
      </c>
      <c r="Z826" s="11"/>
    </row>
    <row r="827" customHeight="1" spans="1:26">
      <c r="A827" s="11" t="str">
        <f>IFERROR(__xludf.DUMMYFUNCTION("""COMPUTED_VALUE"""),"GICELIA ORICO DE MELO")</f>
        <v>GICELIA ORICO DE MELO</v>
      </c>
      <c r="B827" s="11"/>
      <c r="C827" s="11"/>
      <c r="D827" s="11" t="str">
        <f>IFERROR(__xludf.DUMMYFUNCTION("""COMPUTED_VALUE"""),"Médica Ginecologista")</f>
        <v>Médica Ginecologista</v>
      </c>
      <c r="E827" s="11" t="str">
        <f>IFERROR(__xludf.DUMMYFUNCTION("""COMPUTED_VALUE"""),"V")</f>
        <v>V</v>
      </c>
      <c r="F827" s="11" t="str">
        <f>IFERROR(__xludf.DUMMYFUNCTION("""COMPUTED_VALUE"""),"US_159 POLICLINICA AGAMENON MAGALHAES")</f>
        <v>US_159 POLICLINICA AGAMENON MAGALHAES</v>
      </c>
      <c r="G827" s="11" t="str">
        <f>IFERROR(__xludf.DUMMYFUNCTION("""COMPUTED_VALUE"""),"US 161 CS PROF ROMERO MARQUES")</f>
        <v>US 161 CS PROF ROMERO MARQUES</v>
      </c>
      <c r="H827" s="27">
        <f>IFERROR(__xludf.DUMMYFUNCTION("""COMPUTED_VALUE"""),81999631973)</f>
        <v>81999631973</v>
      </c>
      <c r="I827" s="11"/>
      <c r="J827" s="11"/>
      <c r="K827" s="11"/>
      <c r="L827" s="11"/>
      <c r="M827" s="28" t="str">
        <f>IFERROR(__xludf.DUMMYFUNCTION("""COMPUTED_VALUE"""),"3355-4440")</f>
        <v>3355-4440</v>
      </c>
      <c r="N827" s="11" t="str">
        <f>IFERROR(__xludf.DUMMYFUNCTION("""COMPUTED_VALUE"""),"giceliamelo@ig.com.br")</f>
        <v>giceliamelo@ig.com.br</v>
      </c>
      <c r="O827" s="29">
        <f>IFERROR(__xludf.DUMMYFUNCTION("""COMPUTED_VALUE"""),19250681453)</f>
        <v>19250681453</v>
      </c>
      <c r="P827" s="30" t="str">
        <f>IFERROR(__xludf.DUMMYFUNCTION("""COMPUTED_VALUE"""),"203121003580005")</f>
        <v>203121003580005</v>
      </c>
      <c r="Q827" s="30" t="str">
        <f>IFERROR(__xludf.DUMMYFUNCTION("""COMPUTED_VALUE"""),"0000760")</f>
        <v>0000760</v>
      </c>
      <c r="R827" s="30" t="str">
        <f>IFERROR(__xludf.DUMMYFUNCTION("""COMPUTED_VALUE"""),"9000076002")</f>
        <v>9000076002</v>
      </c>
      <c r="S827" s="30" t="str">
        <f>IFERROR(__xludf.DUMMYFUNCTION("""COMPUTED_VALUE"""),"1")</f>
        <v>1</v>
      </c>
      <c r="T827" s="30" t="str">
        <f>IFERROR(__xludf.DUMMYFUNCTION("""COMPUTED_VALUE"""),"225250")</f>
        <v>225250</v>
      </c>
      <c r="U827" s="31" t="str">
        <f>IFERROR(__xludf.DUMMYFUNCTION("""COMPUTED_VALUE"""),"2251")</f>
        <v>2251</v>
      </c>
      <c r="V827" s="11"/>
      <c r="W827" s="30" t="str">
        <f>IFERROR(__xludf.DUMMYFUNCTION("""COMPUTED_VALUE"""),"05/02/1960")</f>
        <v>05/02/1960</v>
      </c>
      <c r="X827" s="11">
        <f>IFERROR(__xludf.DUMMYFUNCTION("""COMPUTED_VALUE"""),33269552)</f>
        <v>33269552</v>
      </c>
      <c r="Y827" s="11"/>
      <c r="Z827" s="11">
        <f>IFERROR(__xludf.DUMMYFUNCTION("""COMPUTED_VALUE"""),19250681453)</f>
        <v>19250681453</v>
      </c>
    </row>
    <row r="828" customHeight="1" spans="1:26">
      <c r="A828" s="11" t="str">
        <f>IFERROR(__xludf.DUMMYFUNCTION("""COMPUTED_VALUE"""),"LILIAN SUZIMARA PEREIRA PARRA")</f>
        <v>LILIAN SUZIMARA PEREIRA PARRA</v>
      </c>
      <c r="B828" s="11"/>
      <c r="C828" s="11"/>
      <c r="D828" s="11" t="str">
        <f>IFERROR(__xludf.DUMMYFUNCTION("""COMPUTED_VALUE"""),"Médica Clínica")</f>
        <v>Médica Clínica</v>
      </c>
      <c r="E828" s="11" t="str">
        <f>IFERROR(__xludf.DUMMYFUNCTION("""COMPUTED_VALUE"""),"V")</f>
        <v>V</v>
      </c>
      <c r="F828" s="11" t="str">
        <f>IFERROR(__xludf.DUMMYFUNCTION("""COMPUTED_VALUE"""),"US_158 CS PAM CEASA")</f>
        <v>US_158 CS PAM CEASA</v>
      </c>
      <c r="G828" s="11" t="str">
        <f>IFERROR(__xludf.DUMMYFUNCTION("""COMPUTED_VALUE"""),"US 161 CS PROF ROMERO MARQUES")</f>
        <v>US 161 CS PROF ROMERO MARQUES</v>
      </c>
      <c r="H828" s="27">
        <f>IFERROR(__xludf.DUMMYFUNCTION("""COMPUTED_VALUE"""),81997009856)</f>
        <v>81997009856</v>
      </c>
      <c r="I828" s="11"/>
      <c r="J828" s="11"/>
      <c r="K828" s="11"/>
      <c r="L828" s="11"/>
      <c r="M828" s="28" t="str">
        <f>IFERROR(__xludf.DUMMYFUNCTION("""COMPUTED_VALUE"""),"3355-4440")</f>
        <v>3355-4440</v>
      </c>
      <c r="N828" s="11" t="str">
        <f>IFERROR(__xludf.DUMMYFUNCTION("""COMPUTED_VALUE"""),"lilanparra@yahoo.com.br")</f>
        <v>lilanparra@yahoo.com.br</v>
      </c>
      <c r="O828" s="29">
        <f>IFERROR(__xludf.DUMMYFUNCTION("""COMPUTED_VALUE"""),82903506353)</f>
        <v>82903506353</v>
      </c>
      <c r="P828" s="30" t="str">
        <f>IFERROR(__xludf.DUMMYFUNCTION("""COMPUTED_VALUE"""),"980016005074569")</f>
        <v>980016005074569</v>
      </c>
      <c r="Q828" s="30" t="str">
        <f>IFERROR(__xludf.DUMMYFUNCTION("""COMPUTED_VALUE"""),"0000760")</f>
        <v>0000760</v>
      </c>
      <c r="R828" s="30" t="str">
        <f>IFERROR(__xludf.DUMMYFUNCTION("""COMPUTED_VALUE"""),"9000076001")</f>
        <v>9000076001</v>
      </c>
      <c r="S828" s="30" t="str">
        <f>IFERROR(__xludf.DUMMYFUNCTION("""COMPUTED_VALUE"""),"1")</f>
        <v>1</v>
      </c>
      <c r="T828" s="30" t="str">
        <f>IFERROR(__xludf.DUMMYFUNCTION("""COMPUTED_VALUE"""),"225125")</f>
        <v>225125</v>
      </c>
      <c r="U828" s="31" t="str">
        <f>IFERROR(__xludf.DUMMYFUNCTION("""COMPUTED_VALUE"""),"2251")</f>
        <v>2251</v>
      </c>
      <c r="V828" s="11" t="str">
        <f>IFERROR(__xludf.DUMMYFUNCTION("""COMPUTED_VALUE"""),"SIM")</f>
        <v>SIM</v>
      </c>
      <c r="W828" s="11"/>
      <c r="X828" s="11">
        <f>IFERROR(__xludf.DUMMYFUNCTION("""COMPUTED_VALUE"""),81997009856)</f>
        <v>81997009856</v>
      </c>
      <c r="Y828" s="11"/>
      <c r="Z828" s="11">
        <f>IFERROR(__xludf.DUMMYFUNCTION("""COMPUTED_VALUE"""),82903506353)</f>
        <v>82903506353</v>
      </c>
    </row>
    <row r="829" customHeight="1" spans="1:26">
      <c r="A829" s="11" t="str">
        <f>IFERROR(__xludf.DUMMYFUNCTION("""COMPUTED_VALUE"""),"MARIA EDLANDIA DE LACERDA")</f>
        <v>MARIA EDLANDIA DE LACERDA</v>
      </c>
      <c r="B829" s="11"/>
      <c r="C829" s="11"/>
      <c r="D829" s="11" t="str">
        <f>IFERROR(__xludf.DUMMYFUNCTION("""COMPUTED_VALUE"""),"Enfermeira eSF")</f>
        <v>Enfermeira eSF</v>
      </c>
      <c r="E829" s="11" t="str">
        <f>IFERROR(__xludf.DUMMYFUNCTION("""COMPUTED_VALUE"""),"V")</f>
        <v>V</v>
      </c>
      <c r="F829" s="11" t="str">
        <f>IFERROR(__xludf.DUMMYFUNCTION("""COMPUTED_VALUE"""),"PACS AFOGADOS I")</f>
        <v>PACS AFOGADOS I</v>
      </c>
      <c r="G829" s="11" t="str">
        <f>IFERROR(__xludf.DUMMYFUNCTION("""COMPUTED_VALUE"""),"US 161 CS PROF ROMERO MARQUES")</f>
        <v>US 161 CS PROF ROMERO MARQUES</v>
      </c>
      <c r="H829" s="27">
        <f>IFERROR(__xludf.DUMMYFUNCTION("""COMPUTED_VALUE"""),81989363895)</f>
        <v>81989363895</v>
      </c>
      <c r="I829" s="11"/>
      <c r="J829" s="11"/>
      <c r="K829" s="24">
        <f>IFERROR(__xludf.DUMMYFUNCTION("""COMPUTED_VALUE"""),45356)</f>
        <v>45356</v>
      </c>
      <c r="L829" s="11"/>
      <c r="M829" s="28" t="str">
        <f>IFERROR(__xludf.DUMMYFUNCTION("""COMPUTED_VALUE"""),"3355-4440")</f>
        <v>3355-4440</v>
      </c>
      <c r="N829" s="11" t="str">
        <f>IFERROR(__xludf.DUMMYFUNCTION("""COMPUTED_VALUE"""),"lannelacerda@hotmail.com")</f>
        <v>lannelacerda@hotmail.com</v>
      </c>
      <c r="O829" s="29">
        <f>IFERROR(__xludf.DUMMYFUNCTION("""COMPUTED_VALUE"""),2189803454)</f>
        <v>2189803454</v>
      </c>
      <c r="P829" s="30" t="str">
        <f>IFERROR(__xludf.DUMMYFUNCTION("""COMPUTED_VALUE"""),"204324890740018")</f>
        <v>204324890740018</v>
      </c>
      <c r="Q829" s="30" t="str">
        <f>IFERROR(__xludf.DUMMYFUNCTION("""COMPUTED_VALUE"""),"0000760")</f>
        <v>0000760</v>
      </c>
      <c r="R829" s="30" t="str">
        <f>IFERROR(__xludf.DUMMYFUNCTION("""COMPUTED_VALUE"""),"0000152498")</f>
        <v>0000152498</v>
      </c>
      <c r="S829" s="30" t="str">
        <f>IFERROR(__xludf.DUMMYFUNCTION("""COMPUTED_VALUE"""),"1")</f>
        <v>1</v>
      </c>
      <c r="T829" s="30" t="str">
        <f>IFERROR(__xludf.DUMMYFUNCTION("""COMPUTED_VALUE"""),"223565")</f>
        <v>223565</v>
      </c>
      <c r="U829" s="31" t="str">
        <f>IFERROR(__xludf.DUMMYFUNCTION("""COMPUTED_VALUE"""),"2235")</f>
        <v>2235</v>
      </c>
      <c r="V829" s="11"/>
      <c r="W829" s="11"/>
      <c r="X829" s="11"/>
      <c r="Y829" s="11"/>
      <c r="Z829" s="11"/>
    </row>
    <row r="830" customHeight="1" spans="1:26">
      <c r="A830" s="11" t="str">
        <f>IFERROR(__xludf.DUMMYFUNCTION("""COMPUTED_VALUE"""),"SIMONE CAVALCANTE DE ALBUQUERQUE")</f>
        <v>SIMONE CAVALCANTE DE ALBUQUERQUE</v>
      </c>
      <c r="B830" s="11"/>
      <c r="C830" s="11"/>
      <c r="D830" s="11" t="str">
        <f>IFERROR(__xludf.DUMMYFUNCTION("""COMPUTED_VALUE"""),"Enfermeira eSF")</f>
        <v>Enfermeira eSF</v>
      </c>
      <c r="E830" s="11" t="str">
        <f>IFERROR(__xludf.DUMMYFUNCTION("""COMPUTED_VALUE"""),"V")</f>
        <v>V</v>
      </c>
      <c r="F830" s="11" t="str">
        <f>IFERROR(__xludf.DUMMYFUNCTION("""COMPUTED_VALUE"""),"PACS MUSTARDINHA II")</f>
        <v>PACS MUSTARDINHA II</v>
      </c>
      <c r="G830" s="11" t="str">
        <f>IFERROR(__xludf.DUMMYFUNCTION("""COMPUTED_VALUE"""),"US 161 CS PROF ROMERO MARQUES")</f>
        <v>US 161 CS PROF ROMERO MARQUES</v>
      </c>
      <c r="H830" s="27">
        <f>IFERROR(__xludf.DUMMYFUNCTION("""COMPUTED_VALUE"""),81988377203)</f>
        <v>81988377203</v>
      </c>
      <c r="I830" s="11"/>
      <c r="J830" s="11"/>
      <c r="K830" s="11"/>
      <c r="L830" s="11"/>
      <c r="M830" s="28" t="str">
        <f>IFERROR(__xludf.DUMMYFUNCTION("""COMPUTED_VALUE"""),"3355-4440")</f>
        <v>3355-4440</v>
      </c>
      <c r="N830" s="11" t="str">
        <f>IFERROR(__xludf.DUMMYFUNCTION("""COMPUTED_VALUE"""),"simonecavalcantedealbuquerque@hotmail.com")</f>
        <v>simonecavalcantedealbuquerque@hotmail.com</v>
      </c>
      <c r="O830" s="29">
        <f>IFERROR(__xludf.DUMMYFUNCTION("""COMPUTED_VALUE"""),869409450)</f>
        <v>869409450</v>
      </c>
      <c r="P830" s="30" t="str">
        <f>IFERROR(__xludf.DUMMYFUNCTION("""COMPUTED_VALUE"""),"980016287222587")</f>
        <v>980016287222587</v>
      </c>
      <c r="Q830" s="30" t="str">
        <f>IFERROR(__xludf.DUMMYFUNCTION("""COMPUTED_VALUE"""),"0000760")</f>
        <v>0000760</v>
      </c>
      <c r="R830" s="30" t="str">
        <f>IFERROR(__xludf.DUMMYFUNCTION("""COMPUTED_VALUE"""),"0000152463")</f>
        <v>0000152463</v>
      </c>
      <c r="S830" s="30" t="str">
        <f>IFERROR(__xludf.DUMMYFUNCTION("""COMPUTED_VALUE"""),"1")</f>
        <v>1</v>
      </c>
      <c r="T830" s="30" t="str">
        <f>IFERROR(__xludf.DUMMYFUNCTION("""COMPUTED_VALUE"""),"223565")</f>
        <v>223565</v>
      </c>
      <c r="U830" s="31" t="str">
        <f>IFERROR(__xludf.DUMMYFUNCTION("""COMPUTED_VALUE"""),"2235")</f>
        <v>2235</v>
      </c>
      <c r="V830" s="11"/>
      <c r="W830" s="11" t="str">
        <f>IFERROR(__xludf.DUMMYFUNCTION("""COMPUTED_VALUE"""),"81-88377203")</f>
        <v>81-88377203</v>
      </c>
      <c r="X830" s="11"/>
      <c r="Y830" s="11">
        <f>IFERROR(__xludf.DUMMYFUNCTION("""COMPUTED_VALUE"""),869409450)</f>
        <v>869409450</v>
      </c>
      <c r="Z830" s="11"/>
    </row>
    <row r="831" customHeight="1" spans="1:26">
      <c r="A831" s="11" t="str">
        <f>IFERROR(__xludf.DUMMYFUNCTION("""COMPUTED_VALUE"""),"FABIO JOSE DE LIMA CAVALCANTI MAIA")</f>
        <v>FABIO JOSE DE LIMA CAVALCANTI MAIA</v>
      </c>
      <c r="B831" s="11"/>
      <c r="C831" s="11"/>
      <c r="D831" s="11" t="str">
        <f>IFERROR(__xludf.DUMMYFUNCTION("""COMPUTED_VALUE"""),"Médico eSF")</f>
        <v>Médico eSF</v>
      </c>
      <c r="E831" s="11" t="str">
        <f>IFERROR(__xludf.DUMMYFUNCTION("""COMPUTED_VALUE"""),"V")</f>
        <v>V</v>
      </c>
      <c r="F831" s="11" t="str">
        <f>IFERROR(__xludf.DUMMYFUNCTION("""COMPUTED_VALUE"""),"US_177 USF CHICO MENDES - XIMBORE")</f>
        <v>US_177 USF CHICO MENDES - XIMBORE</v>
      </c>
      <c r="G831" s="11" t="str">
        <f>IFERROR(__xludf.DUMMYFUNCTION("""COMPUTED_VALUE"""),"300 USF DR GERALDO BARRETO CAMPELO / SAN MARTIN / POVO DE DEUS")</f>
        <v>300 USF DR GERALDO BARRETO CAMPELO / SAN MARTIN / POVO DE DEUS</v>
      </c>
      <c r="H831" s="27">
        <f>IFERROR(__xludf.DUMMYFUNCTION("""COMPUTED_VALUE"""),81997379926)</f>
        <v>81997379926</v>
      </c>
      <c r="I831" s="27">
        <f>IFERROR(__xludf.DUMMYFUNCTION("""COMPUTED_VALUE"""),81988057653)</f>
        <v>81988057653</v>
      </c>
      <c r="J831" s="11"/>
      <c r="K831" s="11"/>
      <c r="L831" s="11"/>
      <c r="M831" s="28" t="str">
        <f>IFERROR(__xludf.DUMMYFUNCTION("""COMPUTED_VALUE"""),"3355-6426")</f>
        <v>3355-6426</v>
      </c>
      <c r="N831" s="11" t="str">
        <f>IFERROR(__xludf.DUMMYFUNCTION("""COMPUTED_VALUE"""),"fabiomzulu@hotmail.com")</f>
        <v>fabiomzulu@hotmail.com</v>
      </c>
      <c r="O831" s="29">
        <f>IFERROR(__xludf.DUMMYFUNCTION("""COMPUTED_VALUE"""),4704106470)</f>
        <v>4704106470</v>
      </c>
      <c r="P831" s="30" t="str">
        <f>IFERROR(__xludf.DUMMYFUNCTION("""COMPUTED_VALUE"""),"700800434032481")</f>
        <v>700800434032481</v>
      </c>
      <c r="Q831" s="30" t="str">
        <f>IFERROR(__xludf.DUMMYFUNCTION("""COMPUTED_VALUE"""),"0000965")</f>
        <v>0000965</v>
      </c>
      <c r="R831" s="30" t="str">
        <f>IFERROR(__xludf.DUMMYFUNCTION("""COMPUTED_VALUE"""),"0000152897")</f>
        <v>0000152897</v>
      </c>
      <c r="S831" s="30" t="str">
        <f>IFERROR(__xludf.DUMMYFUNCTION("""COMPUTED_VALUE"""),"3")</f>
        <v>3</v>
      </c>
      <c r="T831" s="30" t="str">
        <f>IFERROR(__xludf.DUMMYFUNCTION("""COMPUTED_VALUE"""),"225142")</f>
        <v>225142</v>
      </c>
      <c r="U831" s="31" t="str">
        <f>IFERROR(__xludf.DUMMYFUNCTION("""COMPUTED_VALUE"""),"2251")</f>
        <v>2251</v>
      </c>
      <c r="V831" s="11" t="str">
        <f>IFERROR(__xludf.DUMMYFUNCTION("""COMPUTED_VALUE"""),"SIM")</f>
        <v>SIM</v>
      </c>
      <c r="W831" s="11"/>
      <c r="X831" s="11" t="str">
        <f>IFERROR(__xludf.DUMMYFUNCTION("""COMPUTED_VALUE"""),"#N/A")</f>
        <v>#N/A</v>
      </c>
      <c r="Y831" s="11" t="str">
        <f>IFERROR(__xludf.DUMMYFUNCTION("""COMPUTED_VALUE"""),"#N/A")</f>
        <v>#N/A</v>
      </c>
      <c r="Z831" s="11" t="str">
        <f>IFERROR(__xludf.DUMMYFUNCTION("""COMPUTED_VALUE"""),"#N/A")</f>
        <v>#N/A</v>
      </c>
    </row>
    <row r="832" customHeight="1" spans="1:26">
      <c r="A832" s="11" t="str">
        <f>IFERROR(__xludf.DUMMYFUNCTION("""COMPUTED_VALUE"""),"MILENA CRISTINA MARTINS COELHO PRADO")</f>
        <v>MILENA CRISTINA MARTINS COELHO PRADO</v>
      </c>
      <c r="B832" s="11"/>
      <c r="C832" s="11"/>
      <c r="D832" s="11" t="str">
        <f>IFERROR(__xludf.DUMMYFUNCTION("""COMPUTED_VALUE"""),"Enfermeira eSF")</f>
        <v>Enfermeira eSF</v>
      </c>
      <c r="E832" s="11" t="str">
        <f>IFERROR(__xludf.DUMMYFUNCTION("""COMPUTED_VALUE"""),"V")</f>
        <v>V</v>
      </c>
      <c r="F832" s="11" t="str">
        <f>IFERROR(__xludf.DUMMYFUNCTION("""COMPUTED_VALUE"""),"US_177 USF CHICO MENDES - XIMBORE")</f>
        <v>US_177 USF CHICO MENDES - XIMBORE</v>
      </c>
      <c r="G832" s="11" t="str">
        <f>IFERROR(__xludf.DUMMYFUNCTION("""COMPUTED_VALUE"""),"US 177 USF CHICO MENDES")</f>
        <v>US 177 USF CHICO MENDES</v>
      </c>
      <c r="H832" s="27">
        <f>IFERROR(__xludf.DUMMYFUNCTION("""COMPUTED_VALUE"""),81996759639)</f>
        <v>81996759639</v>
      </c>
      <c r="I832" s="27">
        <f>IFERROR(__xludf.DUMMYFUNCTION("""COMPUTED_VALUE"""),81991531967)</f>
        <v>81991531967</v>
      </c>
      <c r="J832" s="11"/>
      <c r="K832" s="11"/>
      <c r="L832" s="11"/>
      <c r="M832" s="28" t="str">
        <f>IFERROR(__xludf.DUMMYFUNCTION("""COMPUTED_VALUE"""),"3355-6426")</f>
        <v>3355-6426</v>
      </c>
      <c r="N832" s="11" t="str">
        <f>IFERROR(__xludf.DUMMYFUNCTION("""COMPUTED_VALUE"""),"milacmcoelho@bol.com.br")</f>
        <v>milacmcoelho@bol.com.br</v>
      </c>
      <c r="O832" s="29">
        <f>IFERROR(__xludf.DUMMYFUNCTION("""COMPUTED_VALUE"""),3500367488)</f>
        <v>3500367488</v>
      </c>
      <c r="P832" s="30" t="str">
        <f>IFERROR(__xludf.DUMMYFUNCTION("""COMPUTED_VALUE"""),"980016280729139")</f>
        <v>980016280729139</v>
      </c>
      <c r="Q832" s="30" t="str">
        <f>IFERROR(__xludf.DUMMYFUNCTION("""COMPUTED_VALUE"""),"0000965")</f>
        <v>0000965</v>
      </c>
      <c r="R832" s="30" t="str">
        <f>IFERROR(__xludf.DUMMYFUNCTION("""COMPUTED_VALUE"""),"0000152889")</f>
        <v>0000152889</v>
      </c>
      <c r="S832" s="30" t="str">
        <f>IFERROR(__xludf.DUMMYFUNCTION("""COMPUTED_VALUE"""),"1")</f>
        <v>1</v>
      </c>
      <c r="T832" s="30" t="str">
        <f>IFERROR(__xludf.DUMMYFUNCTION("""COMPUTED_VALUE"""),"223565")</f>
        <v>223565</v>
      </c>
      <c r="U832" s="31" t="str">
        <f>IFERROR(__xludf.DUMMYFUNCTION("""COMPUTED_VALUE"""),"2235")</f>
        <v>2235</v>
      </c>
      <c r="V832" s="11"/>
      <c r="W832" s="11">
        <f>IFERROR(__xludf.DUMMYFUNCTION("""COMPUTED_VALUE"""),91531967)</f>
        <v>91531967</v>
      </c>
      <c r="X832" s="11">
        <f>IFERROR(__xludf.DUMMYFUNCTION("""COMPUTED_VALUE"""),96759639)</f>
        <v>96759639</v>
      </c>
      <c r="Y832" s="11">
        <f>IFERROR(__xludf.DUMMYFUNCTION("""COMPUTED_VALUE"""),3500367488)</f>
        <v>3500367488</v>
      </c>
      <c r="Z832" s="11"/>
    </row>
    <row r="833" customHeight="1" spans="1:26">
      <c r="A833" s="11" t="str">
        <f>IFERROR(__xludf.DUMMYFUNCTION("""COMPUTED_VALUE"""),"DIRCE MARIA PADILHA DE BRITO PEREIRA")</f>
        <v>DIRCE MARIA PADILHA DE BRITO PEREIRA</v>
      </c>
      <c r="B833" s="11"/>
      <c r="C833" s="11"/>
      <c r="D833" s="11" t="str">
        <f>IFERROR(__xludf.DUMMYFUNCTION("""COMPUTED_VALUE"""),"Médica eSF")</f>
        <v>Médica eSF</v>
      </c>
      <c r="E833" s="11" t="str">
        <f>IFERROR(__xludf.DUMMYFUNCTION("""COMPUTED_VALUE"""),"V")</f>
        <v>V</v>
      </c>
      <c r="F833" s="11" t="str">
        <f>IFERROR(__xludf.DUMMYFUNCTION("""COMPUTED_VALUE"""),"US_186 USF JARDIM UCHOA")</f>
        <v>US_186 USF JARDIM UCHOA</v>
      </c>
      <c r="G833" s="11" t="str">
        <f>IFERROR(__xludf.DUMMYFUNCTION("""COMPUTED_VALUE"""),"US 186 USF JARDIM UCHOA")</f>
        <v>US 186 USF JARDIM UCHOA</v>
      </c>
      <c r="H833" s="27">
        <f>IFERROR(__xludf.DUMMYFUNCTION("""COMPUTED_VALUE"""),81988886215)</f>
        <v>81988886215</v>
      </c>
      <c r="I833" s="11"/>
      <c r="J833" s="11"/>
      <c r="K833" s="11"/>
      <c r="L833" s="11"/>
      <c r="M833" s="28" t="str">
        <f>IFERROR(__xludf.DUMMYFUNCTION("""COMPUTED_VALUE"""),"3355-6211")</f>
        <v>3355-6211</v>
      </c>
      <c r="N833" s="11" t="str">
        <f>IFERROR(__xludf.DUMMYFUNCTION("""COMPUTED_VALUE"""),"dirce_padilha@hotmail.com")</f>
        <v>dirce_padilha@hotmail.com</v>
      </c>
      <c r="O833" s="29">
        <f>IFERROR(__xludf.DUMMYFUNCTION("""COMPUTED_VALUE"""),6104760414)</f>
        <v>6104760414</v>
      </c>
      <c r="P833" s="30" t="str">
        <f>IFERROR(__xludf.DUMMYFUNCTION("""COMPUTED_VALUE"""),"708602528878987")</f>
        <v>708602528878987</v>
      </c>
      <c r="Q833" s="30" t="str">
        <f>IFERROR(__xludf.DUMMYFUNCTION("""COMPUTED_VALUE"""),"0001112")</f>
        <v>0001112</v>
      </c>
      <c r="R833" s="30" t="str">
        <f>IFERROR(__xludf.DUMMYFUNCTION("""COMPUTED_VALUE"""),"0000153028")</f>
        <v>0000153028</v>
      </c>
      <c r="S833" s="30" t="str">
        <f>IFERROR(__xludf.DUMMYFUNCTION("""COMPUTED_VALUE"""),"1")</f>
        <v>1</v>
      </c>
      <c r="T833" s="30" t="str">
        <f>IFERROR(__xludf.DUMMYFUNCTION("""COMPUTED_VALUE"""),"225142")</f>
        <v>225142</v>
      </c>
      <c r="U833" s="31" t="str">
        <f>IFERROR(__xludf.DUMMYFUNCTION("""COMPUTED_VALUE"""),"2251")</f>
        <v>2251</v>
      </c>
      <c r="V833" s="11"/>
      <c r="W833" s="11"/>
      <c r="X833" s="11" t="str">
        <f>IFERROR(__xludf.DUMMYFUNCTION("""COMPUTED_VALUE"""),"#N/A")</f>
        <v>#N/A</v>
      </c>
      <c r="Y833" s="11" t="str">
        <f>IFERROR(__xludf.DUMMYFUNCTION("""COMPUTED_VALUE"""),"#N/A")</f>
        <v>#N/A</v>
      </c>
      <c r="Z833" s="11" t="str">
        <f>IFERROR(__xludf.DUMMYFUNCTION("""COMPUTED_VALUE"""),"#N/A")</f>
        <v>#N/A</v>
      </c>
    </row>
    <row r="834" customHeight="1" spans="1:26">
      <c r="A834" s="11" t="str">
        <f>IFERROR(__xludf.DUMMYFUNCTION("""COMPUTED_VALUE"""),"IVOLENO NOGUEIRA RABELO FERREIRA")</f>
        <v>IVOLENO NOGUEIRA RABELO FERREIRA</v>
      </c>
      <c r="B834" s="11"/>
      <c r="C834" s="11"/>
      <c r="D834" s="11" t="str">
        <f>IFERROR(__xludf.DUMMYFUNCTION("""COMPUTED_VALUE"""),"Médico eSF")</f>
        <v>Médico eSF</v>
      </c>
      <c r="E834" s="11" t="str">
        <f>IFERROR(__xludf.DUMMYFUNCTION("""COMPUTED_VALUE"""),"V")</f>
        <v>V</v>
      </c>
      <c r="F834" s="11" t="str">
        <f>IFERROR(__xludf.DUMMYFUNCTION("""COMPUTED_VALUE"""),"US_186 USF JARDIM UCHOA")</f>
        <v>US_186 USF JARDIM UCHOA</v>
      </c>
      <c r="G834" s="11" t="str">
        <f>IFERROR(__xludf.DUMMYFUNCTION("""COMPUTED_VALUE"""),"US 186 USF JARDIM UCHOA")</f>
        <v>US 186 USF JARDIM UCHOA</v>
      </c>
      <c r="H834" s="27">
        <f>IFERROR(__xludf.DUMMYFUNCTION("""COMPUTED_VALUE"""),81987861319)</f>
        <v>81987861319</v>
      </c>
      <c r="I834" s="11"/>
      <c r="J834" s="11"/>
      <c r="K834" s="11"/>
      <c r="L834" s="11"/>
      <c r="M834" s="28" t="str">
        <f>IFERROR(__xludf.DUMMYFUNCTION("""COMPUTED_VALUE"""),"3355-6211")</f>
        <v>3355-6211</v>
      </c>
      <c r="N834" s="11" t="str">
        <f>IFERROR(__xludf.DUMMYFUNCTION("""COMPUTED_VALUE"""),"ivoleno@hotmail.com")</f>
        <v>ivoleno@hotmail.com</v>
      </c>
      <c r="O834" s="29">
        <f>IFERROR(__xludf.DUMMYFUNCTION("""COMPUTED_VALUE"""),2679184459)</f>
        <v>2679184459</v>
      </c>
      <c r="P834" s="30" t="str">
        <f>IFERROR(__xludf.DUMMYFUNCTION("""COMPUTED_VALUE"""),"204324636950006")</f>
        <v>204324636950006</v>
      </c>
      <c r="Q834" s="30" t="str">
        <f>IFERROR(__xludf.DUMMYFUNCTION("""COMPUTED_VALUE"""),"0001112")</f>
        <v>0001112</v>
      </c>
      <c r="R834" s="30" t="str">
        <f>IFERROR(__xludf.DUMMYFUNCTION("""COMPUTED_VALUE"""),"0000153036")</f>
        <v>0000153036</v>
      </c>
      <c r="S834" s="30" t="str">
        <f>IFERROR(__xludf.DUMMYFUNCTION("""COMPUTED_VALUE"""),"1")</f>
        <v>1</v>
      </c>
      <c r="T834" s="30" t="str">
        <f>IFERROR(__xludf.DUMMYFUNCTION("""COMPUTED_VALUE"""),"225142")</f>
        <v>225142</v>
      </c>
      <c r="U834" s="31" t="str">
        <f>IFERROR(__xludf.DUMMYFUNCTION("""COMPUTED_VALUE"""),"2251")</f>
        <v>2251</v>
      </c>
      <c r="V834" s="11"/>
      <c r="W834" s="11"/>
      <c r="X834" s="11">
        <f>IFERROR(__xludf.DUMMYFUNCTION("""COMPUTED_VALUE"""),87861319)</f>
        <v>87861319</v>
      </c>
      <c r="Y834" s="11">
        <f>IFERROR(__xludf.DUMMYFUNCTION("""COMPUTED_VALUE"""),32262728)</f>
        <v>32262728</v>
      </c>
      <c r="Z834" s="11">
        <f>IFERROR(__xludf.DUMMYFUNCTION("""COMPUTED_VALUE"""),2679184459)</f>
        <v>2679184459</v>
      </c>
    </row>
    <row r="835" customHeight="1" spans="1:26">
      <c r="A835" s="11" t="str">
        <f>IFERROR(__xludf.DUMMYFUNCTION("""COMPUTED_VALUE"""),"KERCIA DIANA LINS DE LIRA")</f>
        <v>KERCIA DIANA LINS DE LIRA</v>
      </c>
      <c r="B835" s="11"/>
      <c r="C835" s="11"/>
      <c r="D835" s="11" t="str">
        <f>IFERROR(__xludf.DUMMYFUNCTION("""COMPUTED_VALUE"""),"Dentista")</f>
        <v>Dentista</v>
      </c>
      <c r="E835" s="11" t="str">
        <f>IFERROR(__xludf.DUMMYFUNCTION("""COMPUTED_VALUE"""),"V")</f>
        <v>V</v>
      </c>
      <c r="F835" s="11" t="str">
        <f>IFERROR(__xludf.DUMMYFUNCTION("""COMPUTED_VALUE"""),"US_153 POLICLINICA E MATERNIDADE ARNALDO MARQUES")</f>
        <v>US_153 POLICLINICA E MATERNIDADE ARNALDO MARQUES</v>
      </c>
      <c r="G835" s="11" t="str">
        <f>IFERROR(__xludf.DUMMYFUNCTION("""COMPUTED_VALUE"""),"US 186 USF JARDIM UCHOA")</f>
        <v>US 186 USF JARDIM UCHOA</v>
      </c>
      <c r="H835" s="11"/>
      <c r="I835" s="11"/>
      <c r="J835" s="11"/>
      <c r="K835" s="11"/>
      <c r="L835" s="11"/>
      <c r="M835" s="28" t="str">
        <f>IFERROR(__xludf.DUMMYFUNCTION("""COMPUTED_VALUE"""),"3355-6211")</f>
        <v>3355-6211</v>
      </c>
      <c r="N835" s="11"/>
      <c r="O835" s="29">
        <f>IFERROR(__xludf.DUMMYFUNCTION("""COMPUTED_VALUE"""),57261997404)</f>
        <v>57261997404</v>
      </c>
      <c r="P835" s="30" t="str">
        <f>IFERROR(__xludf.DUMMYFUNCTION("""COMPUTED_VALUE"""),"123938141930009")</f>
        <v>123938141930009</v>
      </c>
      <c r="Q835" s="30" t="str">
        <f>IFERROR(__xludf.DUMMYFUNCTION("""COMPUTED_VALUE"""),"0001112")</f>
        <v>0001112</v>
      </c>
      <c r="R835" s="30" t="str">
        <f>IFERROR(__xludf.DUMMYFUNCTION("""COMPUTED_VALUE"""),"0002113678")</f>
        <v>0002113678</v>
      </c>
      <c r="S835" s="30" t="str">
        <f>IFERROR(__xludf.DUMMYFUNCTION("""COMPUTED_VALUE"""),"1")</f>
        <v>1</v>
      </c>
      <c r="T835" s="30" t="str">
        <f>IFERROR(__xludf.DUMMYFUNCTION("""COMPUTED_VALUE"""),"223293")</f>
        <v>223293</v>
      </c>
      <c r="U835" s="31">
        <f>IFERROR(__xludf.DUMMYFUNCTION("""COMPUTED_VALUE"""),2232)</f>
        <v>2232</v>
      </c>
      <c r="V835" s="11"/>
      <c r="W835" s="11"/>
      <c r="X835" s="11"/>
      <c r="Y835" s="11"/>
      <c r="Z835" s="11"/>
    </row>
    <row r="836" customHeight="1" spans="1:26">
      <c r="A836" s="11" t="str">
        <f>IFERROR(__xludf.DUMMYFUNCTION("""COMPUTED_VALUE"""),"PAULA VANESSA BATISTA ROCHA TENORIO")</f>
        <v>PAULA VANESSA BATISTA ROCHA TENORIO</v>
      </c>
      <c r="B836" s="11"/>
      <c r="C836" s="11"/>
      <c r="D836" s="11" t="str">
        <f>IFERROR(__xludf.DUMMYFUNCTION("""COMPUTED_VALUE"""),"Enfermeira eSF")</f>
        <v>Enfermeira eSF</v>
      </c>
      <c r="E836" s="11" t="str">
        <f>IFERROR(__xludf.DUMMYFUNCTION("""COMPUTED_VALUE"""),"V")</f>
        <v>V</v>
      </c>
      <c r="F836" s="11" t="str">
        <f>IFERROR(__xludf.DUMMYFUNCTION("""COMPUTED_VALUE"""),"US_186 USF JARDIM UCHOA")</f>
        <v>US_186 USF JARDIM UCHOA</v>
      </c>
      <c r="G836" s="11" t="str">
        <f>IFERROR(__xludf.DUMMYFUNCTION("""COMPUTED_VALUE"""),"US 186 USF JARDIM UCHOA")</f>
        <v>US 186 USF JARDIM UCHOA</v>
      </c>
      <c r="H836" s="27">
        <f>IFERROR(__xludf.DUMMYFUNCTION("""COMPUTED_VALUE"""),81992996211)</f>
        <v>81992996211</v>
      </c>
      <c r="I836" s="27">
        <f>IFERROR(__xludf.DUMMYFUNCTION("""COMPUTED_VALUE"""),81992996211)</f>
        <v>81992996211</v>
      </c>
      <c r="J836" s="11"/>
      <c r="K836" s="11"/>
      <c r="L836" s="11"/>
      <c r="M836" s="28" t="str">
        <f>IFERROR(__xludf.DUMMYFUNCTION("""COMPUTED_VALUE"""),"3355-6211")</f>
        <v>3355-6211</v>
      </c>
      <c r="N836" s="11" t="str">
        <f>IFERROR(__xludf.DUMMYFUNCTION("""COMPUTED_VALUE"""),"paulavbrt@gmail.com")</f>
        <v>paulavbrt@gmail.com</v>
      </c>
      <c r="O836" s="29">
        <f>IFERROR(__xludf.DUMMYFUNCTION("""COMPUTED_VALUE"""),3137807492)</f>
        <v>3137807492</v>
      </c>
      <c r="P836" s="30" t="str">
        <f>IFERROR(__xludf.DUMMYFUNCTION("""COMPUTED_VALUE"""),"980016284393127")</f>
        <v>980016284393127</v>
      </c>
      <c r="Q836" s="30" t="str">
        <f>IFERROR(__xludf.DUMMYFUNCTION("""COMPUTED_VALUE"""),"0001112")</f>
        <v>0001112</v>
      </c>
      <c r="R836" s="30" t="str">
        <f>IFERROR(__xludf.DUMMYFUNCTION("""COMPUTED_VALUE"""),"0000153036")</f>
        <v>0000153036</v>
      </c>
      <c r="S836" s="30" t="str">
        <f>IFERROR(__xludf.DUMMYFUNCTION("""COMPUTED_VALUE"""),"1")</f>
        <v>1</v>
      </c>
      <c r="T836" s="30" t="str">
        <f>IFERROR(__xludf.DUMMYFUNCTION("""COMPUTED_VALUE"""),"223565")</f>
        <v>223565</v>
      </c>
      <c r="U836" s="31" t="str">
        <f>IFERROR(__xludf.DUMMYFUNCTION("""COMPUTED_VALUE"""),"2235")</f>
        <v>2235</v>
      </c>
      <c r="V836" s="11"/>
      <c r="W836" s="11" t="str">
        <f>IFERROR(__xludf.DUMMYFUNCTION("""COMPUTED_VALUE"""),"#N/A")</f>
        <v>#N/A</v>
      </c>
      <c r="X836" s="11" t="str">
        <f>IFERROR(__xludf.DUMMYFUNCTION("""COMPUTED_VALUE"""),"#N/A")</f>
        <v>#N/A</v>
      </c>
      <c r="Y836" s="11" t="str">
        <f>IFERROR(__xludf.DUMMYFUNCTION("""COMPUTED_VALUE"""),"#N/A")</f>
        <v>#N/A</v>
      </c>
      <c r="Z836" s="11"/>
    </row>
    <row r="837" customHeight="1" spans="1:26">
      <c r="A837" s="11" t="str">
        <f>IFERROR(__xludf.DUMMYFUNCTION("""COMPUTED_VALUE"""),"VALDELICE BARBOSA LIMA")</f>
        <v>VALDELICE BARBOSA LIMA</v>
      </c>
      <c r="B837" s="11"/>
      <c r="C837" s="11"/>
      <c r="D837" s="11" t="str">
        <f>IFERROR(__xludf.DUMMYFUNCTION("""COMPUTED_VALUE"""),"Enfermeira eSF")</f>
        <v>Enfermeira eSF</v>
      </c>
      <c r="E837" s="11" t="str">
        <f>IFERROR(__xludf.DUMMYFUNCTION("""COMPUTED_VALUE"""),"V")</f>
        <v>V</v>
      </c>
      <c r="F837" s="11" t="str">
        <f>IFERROR(__xludf.DUMMYFUNCTION("""COMPUTED_VALUE"""),"US_186 USF JARDIM UCHOA")</f>
        <v>US_186 USF JARDIM UCHOA</v>
      </c>
      <c r="G837" s="11" t="str">
        <f>IFERROR(__xludf.DUMMYFUNCTION("""COMPUTED_VALUE"""),"US 186 USF JARDIM UCHOA")</f>
        <v>US 186 USF JARDIM UCHOA</v>
      </c>
      <c r="H837" s="27">
        <f>IFERROR(__xludf.DUMMYFUNCTION("""COMPUTED_VALUE"""),81994913808)</f>
        <v>81994913808</v>
      </c>
      <c r="I837" s="11"/>
      <c r="J837" s="11"/>
      <c r="K837" s="11"/>
      <c r="L837" s="11"/>
      <c r="M837" s="28" t="str">
        <f>IFERROR(__xludf.DUMMYFUNCTION("""COMPUTED_VALUE"""),"3355-6211")</f>
        <v>3355-6211</v>
      </c>
      <c r="N837" s="30" t="str">
        <f>IFERROR(__xludf.DUMMYFUNCTION("""COMPUTED_VALUE"""),"valdelice.barbosa@hotmail.com")</f>
        <v>valdelice.barbosa@hotmail.com</v>
      </c>
      <c r="O837" s="29">
        <f>IFERROR(__xludf.DUMMYFUNCTION("""COMPUTED_VALUE"""),16648501472)</f>
        <v>16648501472</v>
      </c>
      <c r="P837" s="30" t="str">
        <f>IFERROR(__xludf.DUMMYFUNCTION("""COMPUTED_VALUE"""),"108056375720003")</f>
        <v>108056375720003</v>
      </c>
      <c r="Q837" s="30" t="str">
        <f>IFERROR(__xludf.DUMMYFUNCTION("""COMPUTED_VALUE"""),"0001112")</f>
        <v>0001112</v>
      </c>
      <c r="R837" s="30" t="str">
        <f>IFERROR(__xludf.DUMMYFUNCTION("""COMPUTED_VALUE"""),"0000153028")</f>
        <v>0000153028</v>
      </c>
      <c r="S837" s="30" t="str">
        <f>IFERROR(__xludf.DUMMYFUNCTION("""COMPUTED_VALUE"""),"1")</f>
        <v>1</v>
      </c>
      <c r="T837" s="30" t="str">
        <f>IFERROR(__xludf.DUMMYFUNCTION("""COMPUTED_VALUE"""),"223565")</f>
        <v>223565</v>
      </c>
      <c r="U837" s="31" t="str">
        <f>IFERROR(__xludf.DUMMYFUNCTION("""COMPUTED_VALUE"""),"2235")</f>
        <v>2235</v>
      </c>
      <c r="V837" s="11"/>
      <c r="W837" s="11" t="str">
        <f>IFERROR(__xludf.DUMMYFUNCTION("""COMPUTED_VALUE"""),"81-94913808")</f>
        <v>81-94913808</v>
      </c>
      <c r="X837" s="11" t="str">
        <f>IFERROR(__xludf.DUMMYFUNCTION("""COMPUTED_VALUE"""),"81-34683827")</f>
        <v>81-34683827</v>
      </c>
      <c r="Y837" s="11">
        <f>IFERROR(__xludf.DUMMYFUNCTION("""COMPUTED_VALUE"""),16648501472)</f>
        <v>16648501472</v>
      </c>
      <c r="Z837" s="11"/>
    </row>
    <row r="838" customHeight="1" spans="1:26">
      <c r="A838" s="11" t="str">
        <f>IFERROR(__xludf.DUMMYFUNCTION("""COMPUTED_VALUE"""),"RENATA MARIA DE SANTANA SOARES")</f>
        <v>RENATA MARIA DE SANTANA SOARES</v>
      </c>
      <c r="B838" s="11"/>
      <c r="C838" s="11"/>
      <c r="D838" s="11" t="str">
        <f>IFERROR(__xludf.DUMMYFUNCTION("""COMPUTED_VALUE"""),"Enfermeira eSF")</f>
        <v>Enfermeira eSF</v>
      </c>
      <c r="E838" s="11" t="str">
        <f>IFERROR(__xludf.DUMMYFUNCTION("""COMPUTED_VALUE"""),"V")</f>
        <v>V</v>
      </c>
      <c r="F838" s="11" t="str">
        <f>IFERROR(__xludf.DUMMYFUNCTION("""COMPUTED_VALUE"""),"US_238 USF IRAQUE")</f>
        <v>US_238 USF IRAQUE</v>
      </c>
      <c r="G838" s="11" t="str">
        <f>IFERROR(__xludf.DUMMYFUNCTION("""COMPUTED_VALUE"""),"US 238 USF IRAQUE")</f>
        <v>US 238 USF IRAQUE</v>
      </c>
      <c r="H838" s="27">
        <f>IFERROR(__xludf.DUMMYFUNCTION("""COMPUTED_VALUE"""),81992821753)</f>
        <v>81992821753</v>
      </c>
      <c r="I838" s="11"/>
      <c r="J838" s="11"/>
      <c r="K838" s="11"/>
      <c r="L838" s="11"/>
      <c r="M838" s="28" t="str">
        <f>IFERROR(__xludf.DUMMYFUNCTION("""COMPUTED_VALUE"""),"3355-6869")</f>
        <v>3355-6869</v>
      </c>
      <c r="N838" s="11" t="str">
        <f>IFERROR(__xludf.DUMMYFUNCTION("""COMPUTED_VALUE"""),"rt.mota@hotmail.com")</f>
        <v>rt.mota@hotmail.com</v>
      </c>
      <c r="O838" s="29">
        <f>IFERROR(__xludf.DUMMYFUNCTION("""COMPUTED_VALUE"""),3880234493)</f>
        <v>3880234493</v>
      </c>
      <c r="P838" s="30" t="str">
        <f>IFERROR(__xludf.DUMMYFUNCTION("""COMPUTED_VALUE"""),"980016000619079")</f>
        <v>980016000619079</v>
      </c>
      <c r="Q838" s="30" t="str">
        <f>IFERROR(__xludf.DUMMYFUNCTION("""COMPUTED_VALUE"""),"0022403")</f>
        <v>0022403</v>
      </c>
      <c r="R838" s="30" t="str">
        <f>IFERROR(__xludf.DUMMYFUNCTION("""COMPUTED_VALUE"""),"0000153966")</f>
        <v>0000153966</v>
      </c>
      <c r="S838" s="30" t="str">
        <f>IFERROR(__xludf.DUMMYFUNCTION("""COMPUTED_VALUE"""),"1")</f>
        <v>1</v>
      </c>
      <c r="T838" s="30" t="str">
        <f>IFERROR(__xludf.DUMMYFUNCTION("""COMPUTED_VALUE"""),"223565")</f>
        <v>223565</v>
      </c>
      <c r="U838" s="31" t="str">
        <f>IFERROR(__xludf.DUMMYFUNCTION("""COMPUTED_VALUE"""),"2235")</f>
        <v>2235</v>
      </c>
      <c r="V838" s="11"/>
      <c r="W838" s="11" t="str">
        <f>IFERROR(__xludf.DUMMYFUNCTION("""COMPUTED_VALUE"""),"81 92821753")</f>
        <v>81 92821753</v>
      </c>
      <c r="X838" s="11"/>
      <c r="Y838" s="11">
        <f>IFERROR(__xludf.DUMMYFUNCTION("""COMPUTED_VALUE"""),3880234493)</f>
        <v>3880234493</v>
      </c>
      <c r="Z838" s="11"/>
    </row>
    <row r="839" customHeight="1" spans="1:26">
      <c r="A839" s="11" t="str">
        <f>IFERROR(__xludf.DUMMYFUNCTION("""COMPUTED_VALUE"""),"ALINE OLIVEIRA GAMA")</f>
        <v>ALINE OLIVEIRA GAMA</v>
      </c>
      <c r="B839" s="11"/>
      <c r="C839" s="11"/>
      <c r="D839" s="11" t="str">
        <f>IFERROR(__xludf.DUMMYFUNCTION("""COMPUTED_VALUE"""),"Enfermeira")</f>
        <v>Enfermeira</v>
      </c>
      <c r="E839" s="11" t="str">
        <f>IFERROR(__xludf.DUMMYFUNCTION("""COMPUTED_VALUE"""),"V")</f>
        <v>V</v>
      </c>
      <c r="F839" s="11" t="str">
        <f>IFERROR(__xludf.DUMMYFUNCTION("""COMPUTED_VALUE"""),"US_269 USF BEIRA DO RIO COMUNIDADE BOA VIAGEM")</f>
        <v>US_269 USF BEIRA DO RIO COMUNIDADE BOA VIAGEM</v>
      </c>
      <c r="G839" s="11" t="str">
        <f>IFERROR(__xludf.DUMMYFUNCTION("""COMPUTED_VALUE"""),"US 239 USF COQUEIRAL I E II")</f>
        <v>US 239 USF COQUEIRAL I E II</v>
      </c>
      <c r="H839" s="27">
        <f>IFERROR(__xludf.DUMMYFUNCTION("""COMPUTED_VALUE"""),81988337074)</f>
        <v>81988337074</v>
      </c>
      <c r="I839" s="11"/>
      <c r="J839" s="11"/>
      <c r="K839" s="11"/>
      <c r="L839" s="11"/>
      <c r="M839" s="28" t="str">
        <f>IFERROR(__xludf.DUMMYFUNCTION("""COMPUTED_VALUE"""),"3355-0216/0217")</f>
        <v>3355-0216/0217</v>
      </c>
      <c r="N839" s="11" t="str">
        <f>IFERROR(__xludf.DUMMYFUNCTION("""COMPUTED_VALUE"""),"alineogama@gmail.com")</f>
        <v>alineogama@gmail.com</v>
      </c>
      <c r="O839" s="29">
        <f>IFERROR(__xludf.DUMMYFUNCTION("""COMPUTED_VALUE"""),94724393220)</f>
        <v>94724393220</v>
      </c>
      <c r="P839" s="30" t="str">
        <f>IFERROR(__xludf.DUMMYFUNCTION("""COMPUTED_VALUE"""),"980016289863237")</f>
        <v>980016289863237</v>
      </c>
      <c r="Q839" s="30" t="str">
        <f>IFERROR(__xludf.DUMMYFUNCTION("""COMPUTED_VALUE"""),"0022411")</f>
        <v>0022411</v>
      </c>
      <c r="R839" s="11"/>
      <c r="S839" s="30" t="str">
        <f>IFERROR(__xludf.DUMMYFUNCTION("""COMPUTED_VALUE"""),"1")</f>
        <v>1</v>
      </c>
      <c r="T839" s="30" t="str">
        <f>IFERROR(__xludf.DUMMYFUNCTION("""COMPUTED_VALUE"""),"223565")</f>
        <v>223565</v>
      </c>
      <c r="U839" s="31" t="str">
        <f>IFERROR(__xludf.DUMMYFUNCTION("""COMPUTED_VALUE"""),"2235")</f>
        <v>2235</v>
      </c>
      <c r="V839" s="11"/>
      <c r="W839" s="11"/>
      <c r="X839" s="11"/>
      <c r="Y839" s="11"/>
      <c r="Z839" s="11"/>
    </row>
    <row r="840" customHeight="1" spans="1:26">
      <c r="A840" s="11" t="str">
        <f>IFERROR(__xludf.DUMMYFUNCTION("""COMPUTED_VALUE"""),"FABIANA SIQUEIRA BENICIO")</f>
        <v>FABIANA SIQUEIRA BENICIO</v>
      </c>
      <c r="B840" s="11"/>
      <c r="C840" s="11"/>
      <c r="D840" s="11" t="str">
        <f>IFERROR(__xludf.DUMMYFUNCTION("""COMPUTED_VALUE"""),"Dentista")</f>
        <v>Dentista</v>
      </c>
      <c r="E840" s="11" t="str">
        <f>IFERROR(__xludf.DUMMYFUNCTION("""COMPUTED_VALUE"""),"V")</f>
        <v>V</v>
      </c>
      <c r="F840" s="11" t="str">
        <f>IFERROR(__xludf.DUMMYFUNCTION("""COMPUTED_VALUE"""),"US_239 USF COQUEIRAL I E II")</f>
        <v>US_239 USF COQUEIRAL I E II</v>
      </c>
      <c r="G840" s="11" t="str">
        <f>IFERROR(__xludf.DUMMYFUNCTION("""COMPUTED_VALUE"""),"US 239 USF COQUEIRAL I E II")</f>
        <v>US 239 USF COQUEIRAL I E II</v>
      </c>
      <c r="H840" s="11"/>
      <c r="I840" s="11"/>
      <c r="J840" s="11"/>
      <c r="K840" s="11"/>
      <c r="L840" s="11"/>
      <c r="M840" s="28" t="str">
        <f>IFERROR(__xludf.DUMMYFUNCTION("""COMPUTED_VALUE"""),"3355-0216/0217")</f>
        <v>3355-0216/0217</v>
      </c>
      <c r="N840" s="11"/>
      <c r="O840" s="29">
        <f>IFERROR(__xludf.DUMMYFUNCTION("""COMPUTED_VALUE"""),61671690478)</f>
        <v>61671690478</v>
      </c>
      <c r="P840" s="30" t="str">
        <f>IFERROR(__xludf.DUMMYFUNCTION("""COMPUTED_VALUE"""),"201533357630008")</f>
        <v>201533357630008</v>
      </c>
      <c r="Q840" s="30" t="str">
        <f>IFERROR(__xludf.DUMMYFUNCTION("""COMPUTED_VALUE"""),"0022411")</f>
        <v>0022411</v>
      </c>
      <c r="R840" s="30" t="str">
        <f>IFERROR(__xludf.DUMMYFUNCTION("""COMPUTED_VALUE"""),"0001833251")</f>
        <v>0001833251</v>
      </c>
      <c r="S840" s="30" t="str">
        <f>IFERROR(__xludf.DUMMYFUNCTION("""COMPUTED_VALUE"""),"1")</f>
        <v>1</v>
      </c>
      <c r="T840" s="30" t="str">
        <f>IFERROR(__xludf.DUMMYFUNCTION("""COMPUTED_VALUE"""),"223293")</f>
        <v>223293</v>
      </c>
      <c r="U840" s="31">
        <f>IFERROR(__xludf.DUMMYFUNCTION("""COMPUTED_VALUE"""),2232)</f>
        <v>2232</v>
      </c>
      <c r="V840" s="11"/>
      <c r="W840" s="11"/>
      <c r="X840" s="11"/>
      <c r="Y840" s="11"/>
      <c r="Z840" s="11"/>
    </row>
    <row r="841" customHeight="1" spans="1:26">
      <c r="A841" s="11" t="str">
        <f>IFERROR(__xludf.DUMMYFUNCTION("""COMPUTED_VALUE"""),"FABIOLA KARLA SANTOS BARBOSA BATISTA")</f>
        <v>FABIOLA KARLA SANTOS BARBOSA BATISTA</v>
      </c>
      <c r="B841" s="11"/>
      <c r="C841" s="11"/>
      <c r="D841" s="11" t="str">
        <f>IFERROR(__xludf.DUMMYFUNCTION("""COMPUTED_VALUE"""),"Enfermeira eSF")</f>
        <v>Enfermeira eSF</v>
      </c>
      <c r="E841" s="11" t="str">
        <f>IFERROR(__xludf.DUMMYFUNCTION("""COMPUTED_VALUE"""),"V")</f>
        <v>V</v>
      </c>
      <c r="F841" s="11" t="str">
        <f>IFERROR(__xludf.DUMMYFUNCTION("""COMPUTED_VALUE"""),"US_245 USF PLANETA DOS MACACOS II")</f>
        <v>US_245 USF PLANETA DOS MACACOS II</v>
      </c>
      <c r="G841" s="11" t="str">
        <f>IFERROR(__xludf.DUMMYFUNCTION("""COMPUTED_VALUE"""),"US 245 USF PLANETA DOS MACACOS II")</f>
        <v>US 245 USF PLANETA DOS MACACOS II</v>
      </c>
      <c r="H841" s="27">
        <f>IFERROR(__xludf.DUMMYFUNCTION("""COMPUTED_VALUE"""),81996273022)</f>
        <v>81996273022</v>
      </c>
      <c r="I841" s="11"/>
      <c r="J841" s="11"/>
      <c r="K841" s="11"/>
      <c r="L841" s="11"/>
      <c r="M841" s="28" t="str">
        <f>IFERROR(__xludf.DUMMYFUNCTION("""COMPUTED_VALUE"""),"3355-0059")</f>
        <v>3355-0059</v>
      </c>
      <c r="N841" s="11" t="str">
        <f>IFERROR(__xludf.DUMMYFUNCTION("""COMPUTED_VALUE"""),"fabi_ksbb@hotmail.com")</f>
        <v>fabi_ksbb@hotmail.com</v>
      </c>
      <c r="O841" s="29">
        <f>IFERROR(__xludf.DUMMYFUNCTION("""COMPUTED_VALUE"""),3423133473)</f>
        <v>3423133473</v>
      </c>
      <c r="P841" s="30" t="str">
        <f>IFERROR(__xludf.DUMMYFUNCTION("""COMPUTED_VALUE"""),"980016002548187")</f>
        <v>980016002548187</v>
      </c>
      <c r="Q841" s="30" t="str">
        <f>IFERROR(__xludf.DUMMYFUNCTION("""COMPUTED_VALUE"""),"0022438")</f>
        <v>0022438</v>
      </c>
      <c r="R841" s="30" t="str">
        <f>IFERROR(__xludf.DUMMYFUNCTION("""COMPUTED_VALUE"""),"0000154008")</f>
        <v>0000154008</v>
      </c>
      <c r="S841" s="30" t="str">
        <f>IFERROR(__xludf.DUMMYFUNCTION("""COMPUTED_VALUE"""),"1")</f>
        <v>1</v>
      </c>
      <c r="T841" s="30" t="str">
        <f>IFERROR(__xludf.DUMMYFUNCTION("""COMPUTED_VALUE"""),"223565")</f>
        <v>223565</v>
      </c>
      <c r="U841" s="31" t="str">
        <f>IFERROR(__xludf.DUMMYFUNCTION("""COMPUTED_VALUE"""),"2235")</f>
        <v>2235</v>
      </c>
      <c r="V841" s="11"/>
      <c r="W841" s="11" t="str">
        <f>IFERROR(__xludf.DUMMYFUNCTION("""COMPUTED_VALUE"""),"#N/A")</f>
        <v>#N/A</v>
      </c>
      <c r="X841" s="11" t="str">
        <f>IFERROR(__xludf.DUMMYFUNCTION("""COMPUTED_VALUE"""),"#N/A")</f>
        <v>#N/A</v>
      </c>
      <c r="Y841" s="11" t="str">
        <f>IFERROR(__xludf.DUMMYFUNCTION("""COMPUTED_VALUE"""),"#N/A")</f>
        <v>#N/A</v>
      </c>
      <c r="Z841" s="11"/>
    </row>
    <row r="842" customHeight="1" spans="1:26">
      <c r="A842" s="11" t="str">
        <f>IFERROR(__xludf.DUMMYFUNCTION("""COMPUTED_VALUE"""),"FRANCISCO JAIME RODRIGUES DE LIMA FILHO")</f>
        <v>FRANCISCO JAIME RODRIGUES DE LIMA FILHO</v>
      </c>
      <c r="B842" s="11"/>
      <c r="C842" s="11"/>
      <c r="D842" s="11" t="str">
        <f>IFERROR(__xludf.DUMMYFUNCTION("""COMPUTED_VALUE"""),"Enfermeiro eSF")</f>
        <v>Enfermeiro eSF</v>
      </c>
      <c r="E842" s="11" t="str">
        <f>IFERROR(__xludf.DUMMYFUNCTION("""COMPUTED_VALUE"""),"V")</f>
        <v>V</v>
      </c>
      <c r="F842" s="11" t="str">
        <f>IFERROR(__xludf.DUMMYFUNCTION("""COMPUTED_VALUE"""),"US_245 USF PLANETA DOS MACACOS II")</f>
        <v>US_245 USF PLANETA DOS MACACOS II</v>
      </c>
      <c r="G842" s="11" t="str">
        <f>IFERROR(__xludf.DUMMYFUNCTION("""COMPUTED_VALUE"""),"US 245 USF PLANETA DOS MACACOS II")</f>
        <v>US 245 USF PLANETA DOS MACACOS II</v>
      </c>
      <c r="H842" s="27">
        <f>IFERROR(__xludf.DUMMYFUNCTION("""COMPUTED_VALUE"""),8896096508)</f>
        <v>8896096508</v>
      </c>
      <c r="I842" s="11"/>
      <c r="J842" s="11"/>
      <c r="K842" s="11"/>
      <c r="L842" s="11"/>
      <c r="M842" s="11"/>
      <c r="N842" s="11"/>
      <c r="O842" s="11"/>
      <c r="P842" s="11"/>
      <c r="Q842" s="11"/>
      <c r="R842" s="11"/>
      <c r="S842" s="11"/>
      <c r="T842" s="11"/>
      <c r="U842" s="11"/>
      <c r="V842" s="11"/>
      <c r="W842" s="11"/>
      <c r="X842" s="11"/>
      <c r="Y842" s="11"/>
      <c r="Z842" s="11"/>
    </row>
    <row r="843" customHeight="1" spans="1:26">
      <c r="A843" s="11" t="str">
        <f>IFERROR(__xludf.DUMMYFUNCTION("""COMPUTED_VALUE"""),"MARIA THEREZA BIOCA NEVES")</f>
        <v>MARIA THEREZA BIOCA NEVES</v>
      </c>
      <c r="B843" s="11"/>
      <c r="C843" s="11"/>
      <c r="D843" s="11" t="str">
        <f>IFERROR(__xludf.DUMMYFUNCTION("""COMPUTED_VALUE"""),"Médica eSF")</f>
        <v>Médica eSF</v>
      </c>
      <c r="E843" s="11" t="str">
        <f>IFERROR(__xludf.DUMMYFUNCTION("""COMPUTED_VALUE"""),"V")</f>
        <v>V</v>
      </c>
      <c r="F843" s="11" t="str">
        <f>IFERROR(__xludf.DUMMYFUNCTION("""COMPUTED_VALUE"""),"US_245 USF PLANETA DOS MACACOS II")</f>
        <v>US_245 USF PLANETA DOS MACACOS II</v>
      </c>
      <c r="G843" s="11" t="str">
        <f>IFERROR(__xludf.DUMMYFUNCTION("""COMPUTED_VALUE"""),"US 245 USF PLANETA DOS MACACOS II")</f>
        <v>US 245 USF PLANETA DOS MACACOS II</v>
      </c>
      <c r="H843" s="27">
        <f>IFERROR(__xludf.DUMMYFUNCTION("""COMPUTED_VALUE"""),81987761588)</f>
        <v>81987761588</v>
      </c>
      <c r="I843" s="27">
        <f>IFERROR(__xludf.DUMMYFUNCTION("""COMPUTED_VALUE"""),96890032)</f>
        <v>96890032</v>
      </c>
      <c r="J843" s="11"/>
      <c r="K843" s="24">
        <f>IFERROR(__xludf.DUMMYFUNCTION("""COMPUTED_VALUE"""),45152)</f>
        <v>45152</v>
      </c>
      <c r="L843" s="11"/>
      <c r="M843" s="28" t="str">
        <f>IFERROR(__xludf.DUMMYFUNCTION("""COMPUTED_VALUE"""),"3355-0059")</f>
        <v>3355-0059</v>
      </c>
      <c r="N843" s="11" t="str">
        <f>IFERROR(__xludf.DUMMYFUNCTION("""COMPUTED_VALUE"""),"therezabioca@hotmail.com")</f>
        <v>therezabioca@hotmail.com</v>
      </c>
      <c r="O843" s="29">
        <f>IFERROR(__xludf.DUMMYFUNCTION("""COMPUTED_VALUE"""),35473258468)</f>
        <v>35473258468</v>
      </c>
      <c r="P843" s="30" t="str">
        <f>IFERROR(__xludf.DUMMYFUNCTION("""COMPUTED_VALUE"""),"204322754810008")</f>
        <v>204322754810008</v>
      </c>
      <c r="Q843" s="30" t="str">
        <f>IFERROR(__xludf.DUMMYFUNCTION("""COMPUTED_VALUE"""),"0022438")</f>
        <v>0022438</v>
      </c>
      <c r="R843" s="30" t="str">
        <f>IFERROR(__xludf.DUMMYFUNCTION("""COMPUTED_VALUE"""),"0000154008")</f>
        <v>0000154008</v>
      </c>
      <c r="S843" s="30" t="str">
        <f>IFERROR(__xludf.DUMMYFUNCTION("""COMPUTED_VALUE"""),"1")</f>
        <v>1</v>
      </c>
      <c r="T843" s="30" t="str">
        <f>IFERROR(__xludf.DUMMYFUNCTION("""COMPUTED_VALUE"""),"225142")</f>
        <v>225142</v>
      </c>
      <c r="U843" s="31" t="str">
        <f>IFERROR(__xludf.DUMMYFUNCTION("""COMPUTED_VALUE"""),"2251")</f>
        <v>2251</v>
      </c>
      <c r="V843" s="11"/>
      <c r="W843" s="11"/>
      <c r="X843" s="11" t="str">
        <f>IFERROR(__xludf.DUMMYFUNCTION("""COMPUTED_VALUE"""),"81 87761588")</f>
        <v>81 87761588</v>
      </c>
      <c r="Y843" s="11" t="str">
        <f>IFERROR(__xludf.DUMMYFUNCTION("""COMPUTED_VALUE"""),"81 33550059")</f>
        <v>81 33550059</v>
      </c>
      <c r="Z843" s="11">
        <f>IFERROR(__xludf.DUMMYFUNCTION("""COMPUTED_VALUE"""),35473258468)</f>
        <v>35473258468</v>
      </c>
    </row>
    <row r="844" customHeight="1" spans="1:26">
      <c r="A844" s="11" t="str">
        <f>IFERROR(__xludf.DUMMYFUNCTION("""COMPUTED_VALUE"""),"ENY NUNES DE SOUZA")</f>
        <v>ENY NUNES DE SOUZA</v>
      </c>
      <c r="B844" s="11"/>
      <c r="C844" s="11"/>
      <c r="D844" s="11" t="str">
        <f>IFERROR(__xludf.DUMMYFUNCTION("""COMPUTED_VALUE"""),"Enfermeira eSF")</f>
        <v>Enfermeira eSF</v>
      </c>
      <c r="E844" s="11" t="str">
        <f>IFERROR(__xludf.DUMMYFUNCTION("""COMPUTED_VALUE"""),"V")</f>
        <v>V</v>
      </c>
      <c r="F844" s="11" t="str">
        <f>IFERROR(__xludf.DUMMYFUNCTION("""COMPUTED_VALUE"""),"US_265 USF MANGUEIRA I")</f>
        <v>US_265 USF MANGUEIRA I</v>
      </c>
      <c r="G844" s="11" t="str">
        <f>IFERROR(__xludf.DUMMYFUNCTION("""COMPUTED_VALUE"""),"US 265 USF MANGUEIRA I")</f>
        <v>US 265 USF MANGUEIRA I</v>
      </c>
      <c r="H844" s="27">
        <f>IFERROR(__xludf.DUMMYFUNCTION("""COMPUTED_VALUE"""),81998663506)</f>
        <v>81998663506</v>
      </c>
      <c r="I844" s="27">
        <f>IFERROR(__xludf.DUMMYFUNCTION("""COMPUTED_VALUE"""),81998063506)</f>
        <v>81998063506</v>
      </c>
      <c r="J844" s="11"/>
      <c r="K844" s="11"/>
      <c r="L844" s="11"/>
      <c r="M844" s="28" t="str">
        <f>IFERROR(__xludf.DUMMYFUNCTION("""COMPUTED_VALUE"""),"3355-6186")</f>
        <v>3355-6186</v>
      </c>
      <c r="N844" s="11" t="str">
        <f>IFERROR(__xludf.DUMMYFUNCTION("""COMPUTED_VALUE"""),"enynsouza@yahoo.com.br / enyn.souza@yahoo.com.br")</f>
        <v>enynsouza@yahoo.com.br / enyn.souza@yahoo.com.br</v>
      </c>
      <c r="O844" s="29">
        <f>IFERROR(__xludf.DUMMYFUNCTION("""COMPUTED_VALUE"""),99835720444)</f>
        <v>99835720444</v>
      </c>
      <c r="P844" s="30" t="str">
        <f>IFERROR(__xludf.DUMMYFUNCTION("""COMPUTED_VALUE"""),"204324826490006")</f>
        <v>204324826490006</v>
      </c>
      <c r="Q844" s="30" t="str">
        <f>IFERROR(__xludf.DUMMYFUNCTION("""COMPUTED_VALUE"""),"0026336")</f>
        <v>0026336</v>
      </c>
      <c r="R844" s="30" t="str">
        <f>IFERROR(__xludf.DUMMYFUNCTION("""COMPUTED_VALUE"""),"0000154261")</f>
        <v>0000154261</v>
      </c>
      <c r="S844" s="30" t="str">
        <f>IFERROR(__xludf.DUMMYFUNCTION("""COMPUTED_VALUE"""),"1")</f>
        <v>1</v>
      </c>
      <c r="T844" s="30" t="str">
        <f>IFERROR(__xludf.DUMMYFUNCTION("""COMPUTED_VALUE"""),"223565")</f>
        <v>223565</v>
      </c>
      <c r="U844" s="31" t="str">
        <f>IFERROR(__xludf.DUMMYFUNCTION("""COMPUTED_VALUE"""),"2235")</f>
        <v>2235</v>
      </c>
      <c r="V844" s="11"/>
      <c r="W844" s="11">
        <f>IFERROR(__xludf.DUMMYFUNCTION("""COMPUTED_VALUE"""),98063506)</f>
        <v>98063506</v>
      </c>
      <c r="X844" s="11">
        <f>IFERROR(__xludf.DUMMYFUNCTION("""COMPUTED_VALUE"""),30754449)</f>
        <v>30754449</v>
      </c>
      <c r="Y844" s="11">
        <f>IFERROR(__xludf.DUMMYFUNCTION("""COMPUTED_VALUE"""),99835720444)</f>
        <v>99835720444</v>
      </c>
      <c r="Z844" s="11"/>
    </row>
    <row r="845" customHeight="1" spans="1:26">
      <c r="A845" s="11" t="str">
        <f>IFERROR(__xludf.DUMMYFUNCTION("""COMPUTED_VALUE"""),"ERIKA MARIA CURVELO DE SIQUEIRA")</f>
        <v>ERIKA MARIA CURVELO DE SIQUEIRA</v>
      </c>
      <c r="B845" s="11"/>
      <c r="C845" s="11"/>
      <c r="D845" s="11" t="str">
        <f>IFERROR(__xludf.DUMMYFUNCTION("""COMPUTED_VALUE"""),"Médica eSF")</f>
        <v>Médica eSF</v>
      </c>
      <c r="E845" s="11" t="str">
        <f>IFERROR(__xludf.DUMMYFUNCTION("""COMPUTED_VALUE"""),"V")</f>
        <v>V</v>
      </c>
      <c r="F845" s="11" t="str">
        <f>IFERROR(__xludf.DUMMYFUNCTION("""COMPUTED_VALUE"""),"US_265 USF MANGUEIRA I")</f>
        <v>US_265 USF MANGUEIRA I</v>
      </c>
      <c r="G845" s="11" t="str">
        <f>IFERROR(__xludf.DUMMYFUNCTION("""COMPUTED_VALUE"""),"US 265 USF MANGUEIRA I")</f>
        <v>US 265 USF MANGUEIRA I</v>
      </c>
      <c r="H845" s="27">
        <f>IFERROR(__xludf.DUMMYFUNCTION("""COMPUTED_VALUE"""),81981456015)</f>
        <v>81981456015</v>
      </c>
      <c r="I845" s="11"/>
      <c r="J845" s="11"/>
      <c r="K845" s="11"/>
      <c r="L845" s="11"/>
      <c r="M845" s="28" t="str">
        <f>IFERROR(__xludf.DUMMYFUNCTION("""COMPUTED_VALUE"""),"3355-6186")</f>
        <v>3355-6186</v>
      </c>
      <c r="N845" s="11" t="str">
        <f>IFERROR(__xludf.DUMMYFUNCTION("""COMPUTED_VALUE"""),"erika_siqueira@yahoo.com.br")</f>
        <v>erika_siqueira@yahoo.com.br</v>
      </c>
      <c r="O845" s="29">
        <f>IFERROR(__xludf.DUMMYFUNCTION("""COMPUTED_VALUE"""),3295262438)</f>
        <v>3295262438</v>
      </c>
      <c r="P845" s="30" t="str">
        <f>IFERROR(__xludf.DUMMYFUNCTION("""COMPUTED_VALUE"""),"980016001079973")</f>
        <v>980016001079973</v>
      </c>
      <c r="Q845" s="30" t="str">
        <f>IFERROR(__xludf.DUMMYFUNCTION("""COMPUTED_VALUE"""),"0026336")</f>
        <v>0026336</v>
      </c>
      <c r="R845" s="30" t="str">
        <f>IFERROR(__xludf.DUMMYFUNCTION("""COMPUTED_VALUE"""),"0000154261")</f>
        <v>0000154261</v>
      </c>
      <c r="S845" s="30" t="str">
        <f>IFERROR(__xludf.DUMMYFUNCTION("""COMPUTED_VALUE"""),"1")</f>
        <v>1</v>
      </c>
      <c r="T845" s="30" t="str">
        <f>IFERROR(__xludf.DUMMYFUNCTION("""COMPUTED_VALUE"""),"225142")</f>
        <v>225142</v>
      </c>
      <c r="U845" s="31" t="str">
        <f>IFERROR(__xludf.DUMMYFUNCTION("""COMPUTED_VALUE"""),"2251")</f>
        <v>2251</v>
      </c>
      <c r="V845" s="11" t="str">
        <f>IFERROR(__xludf.DUMMYFUNCTION("""COMPUTED_VALUE"""),"SIM")</f>
        <v>SIM</v>
      </c>
      <c r="W845" s="11"/>
      <c r="X845" s="11" t="str">
        <f>IFERROR(__xludf.DUMMYFUNCTION("""COMPUTED_VALUE"""),"#N/A")</f>
        <v>#N/A</v>
      </c>
      <c r="Y845" s="11" t="str">
        <f>IFERROR(__xludf.DUMMYFUNCTION("""COMPUTED_VALUE"""),"#N/A")</f>
        <v>#N/A</v>
      </c>
      <c r="Z845" s="11" t="str">
        <f>IFERROR(__xludf.DUMMYFUNCTION("""COMPUTED_VALUE"""),"#N/A")</f>
        <v>#N/A</v>
      </c>
    </row>
    <row r="846" customHeight="1" spans="1:26">
      <c r="A846" s="11" t="str">
        <f>IFERROR(__xludf.DUMMYFUNCTION("""COMPUTED_VALUE"""),"ADELANIO SIQUEIRA DE MELO")</f>
        <v>ADELANIO SIQUEIRA DE MELO</v>
      </c>
      <c r="B846" s="11"/>
      <c r="C846" s="11"/>
      <c r="D846" s="11" t="str">
        <f>IFERROR(__xludf.DUMMYFUNCTION("""COMPUTED_VALUE"""),"Enfermeiro eSF")</f>
        <v>Enfermeiro eSF</v>
      </c>
      <c r="E846" s="11" t="str">
        <f>IFERROR(__xludf.DUMMYFUNCTION("""COMPUTED_VALUE"""),"V")</f>
        <v>V</v>
      </c>
      <c r="F846" s="11" t="str">
        <f>IFERROR(__xludf.DUMMYFUNCTION("""COMPUTED_VALUE"""),"US_266 USF MANGUEIRA II")</f>
        <v>US_266 USF MANGUEIRA II</v>
      </c>
      <c r="G846" s="11" t="str">
        <f>IFERROR(__xludf.DUMMYFUNCTION("""COMPUTED_VALUE"""),"US 266 USF MANGUEIRA II")</f>
        <v>US 266 USF MANGUEIRA II</v>
      </c>
      <c r="H846" s="27">
        <f>IFERROR(__xludf.DUMMYFUNCTION("""COMPUTED_VALUE"""),81997296588)</f>
        <v>81997296588</v>
      </c>
      <c r="I846" s="27">
        <f>IFERROR(__xludf.DUMMYFUNCTION("""COMPUTED_VALUE"""),81999981657)</f>
        <v>81999981657</v>
      </c>
      <c r="J846" s="11"/>
      <c r="K846" s="11"/>
      <c r="L846" s="11"/>
      <c r="M846" s="28" t="str">
        <f>IFERROR(__xludf.DUMMYFUNCTION("""COMPUTED_VALUE"""),"3355-6686")</f>
        <v>3355-6686</v>
      </c>
      <c r="N846" s="11" t="str">
        <f>IFERROR(__xludf.DUMMYFUNCTION("""COMPUTED_VALUE"""),"adelanio_siqueroa@oi.com.br")</f>
        <v>adelanio_siqueroa@oi.com.br</v>
      </c>
      <c r="O846" s="29">
        <f>IFERROR(__xludf.DUMMYFUNCTION("""COMPUTED_VALUE"""),2410785476)</f>
        <v>2410785476</v>
      </c>
      <c r="P846" s="30" t="str">
        <f>IFERROR(__xludf.DUMMYFUNCTION("""COMPUTED_VALUE"""),"980016280821906")</f>
        <v>980016280821906</v>
      </c>
      <c r="Q846" s="30" t="str">
        <f>IFERROR(__xludf.DUMMYFUNCTION("""COMPUTED_VALUE"""),"0026344")</f>
        <v>0026344</v>
      </c>
      <c r="R846" s="30" t="str">
        <f>IFERROR(__xludf.DUMMYFUNCTION("""COMPUTED_VALUE"""),"0000154318")</f>
        <v>0000154318</v>
      </c>
      <c r="S846" s="30" t="str">
        <f>IFERROR(__xludf.DUMMYFUNCTION("""COMPUTED_VALUE"""),"1")</f>
        <v>1</v>
      </c>
      <c r="T846" s="30" t="str">
        <f>IFERROR(__xludf.DUMMYFUNCTION("""COMPUTED_VALUE"""),"223565")</f>
        <v>223565</v>
      </c>
      <c r="U846" s="31" t="str">
        <f>IFERROR(__xludf.DUMMYFUNCTION("""COMPUTED_VALUE"""),"2235")</f>
        <v>2235</v>
      </c>
      <c r="V846" s="11"/>
      <c r="W846" s="11" t="str">
        <f>IFERROR(__xludf.DUMMYFUNCTION("""COMPUTED_VALUE"""),"81-99981657")</f>
        <v>81-99981657</v>
      </c>
      <c r="X846" s="11" t="str">
        <f>IFERROR(__xludf.DUMMYFUNCTION("""COMPUTED_VALUE"""),"81-33556686")</f>
        <v>81-33556686</v>
      </c>
      <c r="Y846" s="11">
        <f>IFERROR(__xludf.DUMMYFUNCTION("""COMPUTED_VALUE"""),2410785476)</f>
        <v>2410785476</v>
      </c>
      <c r="Z846" s="11"/>
    </row>
    <row r="847" customHeight="1" spans="1:26">
      <c r="A847" s="11" t="str">
        <f>IFERROR(__xludf.DUMMYFUNCTION("""COMPUTED_VALUE"""),"JACYANA DE BARROS CORREIA MENABO")</f>
        <v>JACYANA DE BARROS CORREIA MENABO</v>
      </c>
      <c r="B847" s="11"/>
      <c r="C847" s="11"/>
      <c r="D847" s="11" t="str">
        <f>IFERROR(__xludf.DUMMYFUNCTION("""COMPUTED_VALUE"""),"Enfermeira eSF")</f>
        <v>Enfermeira eSF</v>
      </c>
      <c r="E847" s="11" t="str">
        <f>IFERROR(__xludf.DUMMYFUNCTION("""COMPUTED_VALUE"""),"V")</f>
        <v>V</v>
      </c>
      <c r="F847" s="11" t="str">
        <f>IFERROR(__xludf.DUMMYFUNCTION("""COMPUTED_VALUE"""),"US_266 USF MANGUEIRA II")</f>
        <v>US_266 USF MANGUEIRA II</v>
      </c>
      <c r="G847" s="11" t="str">
        <f>IFERROR(__xludf.DUMMYFUNCTION("""COMPUTED_VALUE"""),"US 266 USF MANGUEIRA II")</f>
        <v>US 266 USF MANGUEIRA II</v>
      </c>
      <c r="H847" s="27">
        <f>IFERROR(__xludf.DUMMYFUNCTION("""COMPUTED_VALUE"""),81999762412)</f>
        <v>81999762412</v>
      </c>
      <c r="I847" s="11"/>
      <c r="J847" s="11"/>
      <c r="K847" s="11"/>
      <c r="L847" s="11"/>
      <c r="M847" s="28" t="str">
        <f>IFERROR(__xludf.DUMMYFUNCTION("""COMPUTED_VALUE"""),"3355-6686")</f>
        <v>3355-6686</v>
      </c>
      <c r="N847" s="11" t="str">
        <f>IFERROR(__xludf.DUMMYFUNCTION("""COMPUTED_VALUE"""),"jacyanamenabo@hotmail.com")</f>
        <v>jacyanamenabo@hotmail.com</v>
      </c>
      <c r="O847" s="29">
        <f>IFERROR(__xludf.DUMMYFUNCTION("""COMPUTED_VALUE"""),66654939468)</f>
        <v>66654939468</v>
      </c>
      <c r="P847" s="30" t="str">
        <f>IFERROR(__xludf.DUMMYFUNCTION("""COMPUTED_VALUE"""),"125177338310018")</f>
        <v>125177338310018</v>
      </c>
      <c r="Q847" s="30" t="str">
        <f>IFERROR(__xludf.DUMMYFUNCTION("""COMPUTED_VALUE"""),"0026344")</f>
        <v>0026344</v>
      </c>
      <c r="R847" s="30" t="str">
        <f>IFERROR(__xludf.DUMMYFUNCTION("""COMPUTED_VALUE"""),"0000154296")</f>
        <v>0000154296</v>
      </c>
      <c r="S847" s="30" t="str">
        <f>IFERROR(__xludf.DUMMYFUNCTION("""COMPUTED_VALUE"""),"1")</f>
        <v>1</v>
      </c>
      <c r="T847" s="30" t="str">
        <f>IFERROR(__xludf.DUMMYFUNCTION("""COMPUTED_VALUE"""),"223565")</f>
        <v>223565</v>
      </c>
      <c r="U847" s="31" t="str">
        <f>IFERROR(__xludf.DUMMYFUNCTION("""COMPUTED_VALUE"""),"2235")</f>
        <v>2235</v>
      </c>
      <c r="V847" s="11"/>
      <c r="W847" s="11"/>
      <c r="X847" s="11"/>
      <c r="Y847" s="11"/>
      <c r="Z847" s="11"/>
    </row>
    <row r="848" customHeight="1" spans="1:26">
      <c r="A848" s="11" t="str">
        <f>IFERROR(__xludf.DUMMYFUNCTION("""COMPUTED_VALUE"""),"RAFAEL DE CARVALHO")</f>
        <v>RAFAEL DE CARVALHO</v>
      </c>
      <c r="B848" s="11" t="str">
        <f>IFERROR(__xludf.DUMMYFUNCTION("""COMPUTED_VALUE""")," ")</f>
        <v> </v>
      </c>
      <c r="C848" s="11"/>
      <c r="D848" s="11" t="str">
        <f>IFERROR(__xludf.DUMMYFUNCTION("""COMPUTED_VALUE"""),"Médico eSF")</f>
        <v>Médico eSF</v>
      </c>
      <c r="E848" s="11" t="str">
        <f>IFERROR(__xludf.DUMMYFUNCTION("""COMPUTED_VALUE"""),"V")</f>
        <v>V</v>
      </c>
      <c r="F848" s="11" t="str">
        <f>IFERROR(__xludf.DUMMYFUNCTION("""COMPUTED_VALUE"""),"US_266 USF MANGUEIRA II")</f>
        <v>US_266 USF MANGUEIRA II</v>
      </c>
      <c r="G848" s="11" t="str">
        <f>IFERROR(__xludf.DUMMYFUNCTION("""COMPUTED_VALUE"""),"US 266 USF MANGUEIRA II")</f>
        <v>US 266 USF MANGUEIRA II</v>
      </c>
      <c r="H848" s="27">
        <f>IFERROR(__xludf.DUMMYFUNCTION("""COMPUTED_VALUE"""),81997472400)</f>
        <v>81997472400</v>
      </c>
      <c r="I848" s="11"/>
      <c r="J848" s="11"/>
      <c r="K848" s="24">
        <f>IFERROR(__xludf.DUMMYFUNCTION("""COMPUTED_VALUE"""),45093)</f>
        <v>45093</v>
      </c>
      <c r="L848" s="11"/>
      <c r="M848" s="28" t="str">
        <f>IFERROR(__xludf.DUMMYFUNCTION("""COMPUTED_VALUE"""),"3355-6686")</f>
        <v>3355-6686</v>
      </c>
      <c r="N848" s="11" t="str">
        <f>IFERROR(__xludf.DUMMYFUNCTION("""COMPUTED_VALUE"""),"carvalho.82@hotmail.com.br")</f>
        <v>carvalho.82@hotmail.com.br</v>
      </c>
      <c r="O848" s="29">
        <f>IFERROR(__xludf.DUMMYFUNCTION("""COMPUTED_VALUE"""),92761089120)</f>
        <v>92761089120</v>
      </c>
      <c r="P848" s="30" t="str">
        <f>IFERROR(__xludf.DUMMYFUNCTION("""COMPUTED_VALUE"""),"980016278506098")</f>
        <v>980016278506098</v>
      </c>
      <c r="Q848" s="30" t="str">
        <f>IFERROR(__xludf.DUMMYFUNCTION("""COMPUTED_VALUE"""),"0026344")</f>
        <v>0026344</v>
      </c>
      <c r="R848" s="30" t="str">
        <f>IFERROR(__xludf.DUMMYFUNCTION("""COMPUTED_VALUE"""),"0000154318")</f>
        <v>0000154318</v>
      </c>
      <c r="S848" s="30" t="str">
        <f>IFERROR(__xludf.DUMMYFUNCTION("""COMPUTED_VALUE"""),"1")</f>
        <v>1</v>
      </c>
      <c r="T848" s="30" t="str">
        <f>IFERROR(__xludf.DUMMYFUNCTION("""COMPUTED_VALUE"""),"225142")</f>
        <v>225142</v>
      </c>
      <c r="U848" s="31" t="str">
        <f>IFERROR(__xludf.DUMMYFUNCTION("""COMPUTED_VALUE"""),"2251")</f>
        <v>2251</v>
      </c>
      <c r="V848" s="11"/>
      <c r="W848" s="11"/>
      <c r="X848" s="11" t="str">
        <f>IFERROR(__xludf.DUMMYFUNCTION("""COMPUTED_VALUE"""),"#N/A")</f>
        <v>#N/A</v>
      </c>
      <c r="Y848" s="11" t="str">
        <f>IFERROR(__xludf.DUMMYFUNCTION("""COMPUTED_VALUE"""),"#N/A")</f>
        <v>#N/A</v>
      </c>
      <c r="Z848" s="11" t="str">
        <f>IFERROR(__xludf.DUMMYFUNCTION("""COMPUTED_VALUE"""),"#N/A")</f>
        <v>#N/A</v>
      </c>
    </row>
    <row r="849" customHeight="1" spans="1:26">
      <c r="A849" s="11" t="str">
        <f>IFERROR(__xludf.DUMMYFUNCTION("""COMPUTED_VALUE"""),"ELISETE CARDOSO DE ARAUJO")</f>
        <v>ELISETE CARDOSO DE ARAUJO</v>
      </c>
      <c r="B849" s="11"/>
      <c r="C849" s="11"/>
      <c r="D849" s="11" t="str">
        <f>IFERROR(__xludf.DUMMYFUNCTION("""COMPUTED_VALUE"""),"Enfermeira eSF")</f>
        <v>Enfermeira eSF</v>
      </c>
      <c r="E849" s="11" t="str">
        <f>IFERROR(__xludf.DUMMYFUNCTION("""COMPUTED_VALUE"""),"V")</f>
        <v>V</v>
      </c>
      <c r="F849" s="11" t="str">
        <f>IFERROR(__xludf.DUMMYFUNCTION("""COMPUTED_VALUE"""),"US_284 USF VILA SAO MIGUEL MARROM GLACE")</f>
        <v>US_284 USF VILA SAO MIGUEL MARROM GLACE</v>
      </c>
      <c r="G849" s="11" t="str">
        <f>IFERROR(__xludf.DUMMYFUNCTION("""COMPUTED_VALUE"""),"US 284 USF VILA SAO MIGUEL MARROM GLACE")</f>
        <v>US 284 USF VILA SAO MIGUEL MARROM GLACE</v>
      </c>
      <c r="H849" s="27">
        <f>IFERROR(__xludf.DUMMYFUNCTION("""COMPUTED_VALUE"""),81998015880)</f>
        <v>81998015880</v>
      </c>
      <c r="I849" s="11"/>
      <c r="J849" s="11"/>
      <c r="K849" s="11"/>
      <c r="L849" s="11"/>
      <c r="M849" s="28" t="str">
        <f>IFERROR(__xludf.DUMMYFUNCTION("""COMPUTED_VALUE"""),"3355-6932")</f>
        <v>3355-6932</v>
      </c>
      <c r="N849" s="11" t="str">
        <f>IFERROR(__xludf.DUMMYFUNCTION("""COMPUTED_VALUE"""),"elisete.deta@gmail.com")</f>
        <v>elisete.deta@gmail.com</v>
      </c>
      <c r="O849" s="29">
        <f>IFERROR(__xludf.DUMMYFUNCTION("""COMPUTED_VALUE"""),53650077434)</f>
        <v>53650077434</v>
      </c>
      <c r="P849" s="30" t="str">
        <f>IFERROR(__xludf.DUMMYFUNCTION("""COMPUTED_VALUE"""),"204323360730006")</f>
        <v>204323360730006</v>
      </c>
      <c r="Q849" s="30" t="str">
        <f>IFERROR(__xludf.DUMMYFUNCTION("""COMPUTED_VALUE"""),"0029114")</f>
        <v>0029114</v>
      </c>
      <c r="R849" s="30" t="str">
        <f>IFERROR(__xludf.DUMMYFUNCTION("""COMPUTED_VALUE"""),"0000154695")</f>
        <v>0000154695</v>
      </c>
      <c r="S849" s="30" t="str">
        <f>IFERROR(__xludf.DUMMYFUNCTION("""COMPUTED_VALUE"""),"1")</f>
        <v>1</v>
      </c>
      <c r="T849" s="30" t="str">
        <f>IFERROR(__xludf.DUMMYFUNCTION("""COMPUTED_VALUE"""),"223565")</f>
        <v>223565</v>
      </c>
      <c r="U849" s="31" t="str">
        <f>IFERROR(__xludf.DUMMYFUNCTION("""COMPUTED_VALUE"""),"2235")</f>
        <v>2235</v>
      </c>
      <c r="V849" s="11"/>
      <c r="W849" s="11">
        <f>IFERROR(__xludf.DUMMYFUNCTION("""COMPUTED_VALUE"""),98015880)</f>
        <v>98015880</v>
      </c>
      <c r="X849" s="11"/>
      <c r="Y849" s="11">
        <f>IFERROR(__xludf.DUMMYFUNCTION("""COMPUTED_VALUE"""),53650077434)</f>
        <v>53650077434</v>
      </c>
      <c r="Z849" s="11"/>
    </row>
    <row r="850" customHeight="1" spans="1:26">
      <c r="A850" s="11" t="str">
        <f>IFERROR(__xludf.DUMMYFUNCTION("""COMPUTED_VALUE"""),"GEANE NARIO DE SOUZA")</f>
        <v>GEANE NARIO DE SOUZA</v>
      </c>
      <c r="B850" s="11"/>
      <c r="C850" s="11"/>
      <c r="D850" s="11" t="str">
        <f>IFERROR(__xludf.DUMMYFUNCTION("""COMPUTED_VALUE"""),"Enfermeira eSF")</f>
        <v>Enfermeira eSF</v>
      </c>
      <c r="E850" s="11" t="str">
        <f>IFERROR(__xludf.DUMMYFUNCTION("""COMPUTED_VALUE"""),"V")</f>
        <v>V</v>
      </c>
      <c r="F850" s="11" t="str">
        <f>IFERROR(__xludf.DUMMYFUNCTION("""COMPUTED_VALUE"""),"US_284 USF VILA SAO MIGUEL MARROM GLACE")</f>
        <v>US_284 USF VILA SAO MIGUEL MARROM GLACE</v>
      </c>
      <c r="G850" s="11" t="str">
        <f>IFERROR(__xludf.DUMMYFUNCTION("""COMPUTED_VALUE"""),"US 284 USF VILA SAO MIGUEL MARROM GLACE")</f>
        <v>US 284 USF VILA SAO MIGUEL MARROM GLACE</v>
      </c>
      <c r="H850" s="27">
        <f>IFERROR(__xludf.DUMMYFUNCTION("""COMPUTED_VALUE"""),81986604936)</f>
        <v>81986604936</v>
      </c>
      <c r="I850" s="27">
        <f>IFERROR(__xludf.DUMMYFUNCTION("""COMPUTED_VALUE"""),81987719483)</f>
        <v>81987719483</v>
      </c>
      <c r="J850" s="11"/>
      <c r="K850" s="11"/>
      <c r="L850" s="11"/>
      <c r="M850" s="28" t="str">
        <f>IFERROR(__xludf.DUMMYFUNCTION("""COMPUTED_VALUE"""),"3355-6932")</f>
        <v>3355-6932</v>
      </c>
      <c r="N850" s="11" t="str">
        <f>IFERROR(__xludf.DUMMYFUNCTION("""COMPUTED_VALUE"""),"geaneario@hotmail.com / geane.nario@hotmail.com")</f>
        <v>geaneario@hotmail.com / geane.nario@hotmail.com</v>
      </c>
      <c r="O850" s="29">
        <f>IFERROR(__xludf.DUMMYFUNCTION("""COMPUTED_VALUE"""),68655070459)</f>
        <v>68655070459</v>
      </c>
      <c r="P850" s="30" t="str">
        <f>IFERROR(__xludf.DUMMYFUNCTION("""COMPUTED_VALUE"""),"203323140000000")</f>
        <v>203323140000000</v>
      </c>
      <c r="Q850" s="30" t="str">
        <f>IFERROR(__xludf.DUMMYFUNCTION("""COMPUTED_VALUE"""),"0029114")</f>
        <v>0029114</v>
      </c>
      <c r="R850" s="30" t="str">
        <f>IFERROR(__xludf.DUMMYFUNCTION("""COMPUTED_VALUE"""),"0000154687")</f>
        <v>0000154687</v>
      </c>
      <c r="S850" s="30" t="str">
        <f>IFERROR(__xludf.DUMMYFUNCTION("""COMPUTED_VALUE"""),"1")</f>
        <v>1</v>
      </c>
      <c r="T850" s="30" t="str">
        <f>IFERROR(__xludf.DUMMYFUNCTION("""COMPUTED_VALUE"""),"223565")</f>
        <v>223565</v>
      </c>
      <c r="U850" s="31" t="str">
        <f>IFERROR(__xludf.DUMMYFUNCTION("""COMPUTED_VALUE"""),"2235")</f>
        <v>2235</v>
      </c>
      <c r="V850" s="11"/>
      <c r="W850" s="11">
        <f>IFERROR(__xludf.DUMMYFUNCTION("""COMPUTED_VALUE"""),86604936)</f>
        <v>86604936</v>
      </c>
      <c r="X850" s="11">
        <f>IFERROR(__xludf.DUMMYFUNCTION("""COMPUTED_VALUE"""),87719483)</f>
        <v>87719483</v>
      </c>
      <c r="Y850" s="11">
        <f>IFERROR(__xludf.DUMMYFUNCTION("""COMPUTED_VALUE"""),68655070459)</f>
        <v>68655070459</v>
      </c>
      <c r="Z850" s="11"/>
    </row>
    <row r="851" customHeight="1" spans="1:26">
      <c r="A851" s="11" t="str">
        <f>IFERROR(__xludf.DUMMYFUNCTION("""COMPUTED_VALUE"""),"PARCELINO MENEZES PEREIRA JUNIOR")</f>
        <v>PARCELINO MENEZES PEREIRA JUNIOR</v>
      </c>
      <c r="B851" s="11"/>
      <c r="C851" s="11"/>
      <c r="D851" s="11" t="str">
        <f>IFERROR(__xludf.DUMMYFUNCTION("""COMPUTED_VALUE"""),"Médico eSF")</f>
        <v>Médico eSF</v>
      </c>
      <c r="E851" s="11" t="str">
        <f>IFERROR(__xludf.DUMMYFUNCTION("""COMPUTED_VALUE"""),"V")</f>
        <v>V</v>
      </c>
      <c r="F851" s="11" t="str">
        <f>IFERROR(__xludf.DUMMYFUNCTION("""COMPUTED_VALUE"""),"US_255 USF UPINHA 24H VILA ARRAES	")</f>
        <v>US_255 USF UPINHA 24H VILA ARRAES	</v>
      </c>
      <c r="G851" s="11" t="str">
        <f>IFERROR(__xludf.DUMMYFUNCTION("""COMPUTED_VALUE"""),"US 284 USF VILA SAO MIGUEL MARROM GLACE")</f>
        <v>US 284 USF VILA SAO MIGUEL MARROM GLACE</v>
      </c>
      <c r="H851" s="27">
        <f>IFERROR(__xludf.DUMMYFUNCTION("""COMPUTED_VALUE"""),81988335445)</f>
        <v>81988335445</v>
      </c>
      <c r="I851" s="11"/>
      <c r="J851" s="11"/>
      <c r="K851" s="11"/>
      <c r="L851" s="11"/>
      <c r="M851" s="28" t="str">
        <f>IFERROR(__xludf.DUMMYFUNCTION("""COMPUTED_VALUE"""),"3355-6932")</f>
        <v>3355-6932</v>
      </c>
      <c r="N851" s="11" t="str">
        <f>IFERROR(__xludf.DUMMYFUNCTION("""COMPUTED_VALUE"""),"parcelinomenezes@gmail.com")</f>
        <v>parcelinomenezes@gmail.com</v>
      </c>
      <c r="O851" s="29">
        <f>IFERROR(__xludf.DUMMYFUNCTION("""COMPUTED_VALUE"""),3932880480)</f>
        <v>3932880480</v>
      </c>
      <c r="P851" s="30">
        <f>IFERROR(__xludf.DUMMYFUNCTION("""COMPUTED_VALUE"""),707404041979976)</f>
        <v>707404041979976</v>
      </c>
      <c r="Q851" s="30" t="str">
        <f>IFERROR(__xludf.DUMMYFUNCTION("""COMPUTED_VALUE"""),"0029114")</f>
        <v>0029114</v>
      </c>
      <c r="R851" s="30" t="str">
        <f>IFERROR(__xludf.DUMMYFUNCTION("""COMPUTED_VALUE"""),"0000154709")</f>
        <v>0000154709</v>
      </c>
      <c r="S851" s="30" t="str">
        <f>IFERROR(__xludf.DUMMYFUNCTION("""COMPUTED_VALUE"""),"1")</f>
        <v>1</v>
      </c>
      <c r="T851" s="30" t="str">
        <f>IFERROR(__xludf.DUMMYFUNCTION("""COMPUTED_VALUE"""),"225142")</f>
        <v>225142</v>
      </c>
      <c r="U851" s="31" t="str">
        <f>IFERROR(__xludf.DUMMYFUNCTION("""COMPUTED_VALUE"""),"2251")</f>
        <v>2251</v>
      </c>
      <c r="V851" s="11"/>
      <c r="W851" s="30" t="str">
        <f>IFERROR(__xludf.DUMMYFUNCTION("""COMPUTED_VALUE"""),"01/05/1981")</f>
        <v>01/05/1981</v>
      </c>
      <c r="X851" s="11" t="str">
        <f>IFERROR(__xludf.DUMMYFUNCTION("""COMPUTED_VALUE"""),"#N/A")</f>
        <v>#N/A</v>
      </c>
      <c r="Y851" s="11" t="str">
        <f>IFERROR(__xludf.DUMMYFUNCTION("""COMPUTED_VALUE"""),"#N/A")</f>
        <v>#N/A</v>
      </c>
      <c r="Z851" s="11" t="str">
        <f>IFERROR(__xludf.DUMMYFUNCTION("""COMPUTED_VALUE"""),"#N/A")</f>
        <v>#N/A</v>
      </c>
    </row>
    <row r="852" customHeight="1" spans="1:26">
      <c r="A852" s="11" t="str">
        <f>IFERROR(__xludf.DUMMYFUNCTION("""COMPUTED_VALUE"""),"GUILHERME MOURA DE CARVALHO")</f>
        <v>GUILHERME MOURA DE CARVALHO</v>
      </c>
      <c r="B852" s="11"/>
      <c r="C852" s="11"/>
      <c r="D852" s="11" t="str">
        <f>IFERROR(__xludf.DUMMYFUNCTION("""COMPUTED_VALUE"""),"Dentista")</f>
        <v>Dentista</v>
      </c>
      <c r="E852" s="11" t="str">
        <f>IFERROR(__xludf.DUMMYFUNCTION("""COMPUTED_VALUE"""),"V")</f>
        <v>V</v>
      </c>
      <c r="F852" s="11" t="str">
        <f>IFERROR(__xludf.DUMMYFUNCTION("""COMPUTED_VALUE"""),"US_294 USF VILA TAMANDARE BEIRINHA")</f>
        <v>US_294 USF VILA TAMANDARE BEIRINHA</v>
      </c>
      <c r="G852" s="11" t="str">
        <f>IFERROR(__xludf.DUMMYFUNCTION("""COMPUTED_VALUE"""),"US 294 USF VILA TAMANDARE BEIRINHA")</f>
        <v>US 294 USF VILA TAMANDARE BEIRINHA</v>
      </c>
      <c r="H852" s="11"/>
      <c r="I852" s="11"/>
      <c r="J852" s="11"/>
      <c r="K852" s="11"/>
      <c r="L852" s="11"/>
      <c r="M852" s="28" t="str">
        <f>IFERROR(__xludf.DUMMYFUNCTION("""COMPUTED_VALUE"""),"3355-6254")</f>
        <v>3355-6254</v>
      </c>
      <c r="N852" s="11"/>
      <c r="O852" s="29">
        <f>IFERROR(__xludf.DUMMYFUNCTION("""COMPUTED_VALUE"""),2758835401)</f>
        <v>2758835401</v>
      </c>
      <c r="P852" s="30" t="str">
        <f>IFERROR(__xludf.DUMMYFUNCTION("""COMPUTED_VALUE"""),"980016001825268")</f>
        <v>980016001825268</v>
      </c>
      <c r="Q852" s="30" t="str">
        <f>IFERROR(__xludf.DUMMYFUNCTION("""COMPUTED_VALUE"""),"3037908")</f>
        <v>3037908</v>
      </c>
      <c r="R852" s="30" t="str">
        <f>IFERROR(__xludf.DUMMYFUNCTION("""COMPUTED_VALUE"""),"0001833448")</f>
        <v>0001833448</v>
      </c>
      <c r="S852" s="30" t="str">
        <f>IFERROR(__xludf.DUMMYFUNCTION("""COMPUTED_VALUE"""),"1")</f>
        <v>1</v>
      </c>
      <c r="T852" s="30" t="str">
        <f>IFERROR(__xludf.DUMMYFUNCTION("""COMPUTED_VALUE"""),"223293")</f>
        <v>223293</v>
      </c>
      <c r="U852" s="31">
        <f>IFERROR(__xludf.DUMMYFUNCTION("""COMPUTED_VALUE"""),2232)</f>
        <v>2232</v>
      </c>
      <c r="V852" s="11"/>
      <c r="W852" s="11"/>
      <c r="X852" s="11"/>
      <c r="Y852" s="11"/>
      <c r="Z852" s="11"/>
    </row>
    <row r="853" customHeight="1" spans="1:26">
      <c r="A853" s="11" t="str">
        <f>IFERROR(__xludf.DUMMYFUNCTION("""COMPUTED_VALUE"""),"VIVIANNE OLIVEIRA LUCAS DE ALBUQUERQUE BARRETO")</f>
        <v>VIVIANNE OLIVEIRA LUCAS DE ALBUQUERQUE BARRETO</v>
      </c>
      <c r="B853" s="11"/>
      <c r="C853" s="11"/>
      <c r="D853" s="11" t="str">
        <f>IFERROR(__xludf.DUMMYFUNCTION("""COMPUTED_VALUE"""),"Enfermeira eSF")</f>
        <v>Enfermeira eSF</v>
      </c>
      <c r="E853" s="11" t="str">
        <f>IFERROR(__xludf.DUMMYFUNCTION("""COMPUTED_VALUE"""),"V")</f>
        <v>V</v>
      </c>
      <c r="F853" s="11" t="str">
        <f>IFERROR(__xludf.DUMMYFUNCTION("""COMPUTED_VALUE"""),"US_294 USF VILA TAMANDARE BEIRINHA")</f>
        <v>US_294 USF VILA TAMANDARE BEIRINHA</v>
      </c>
      <c r="G853" s="11" t="str">
        <f>IFERROR(__xludf.DUMMYFUNCTION("""COMPUTED_VALUE"""),"US 294 USF VILA TAMANDARE BEIRINHA")</f>
        <v>US 294 USF VILA TAMANDARE BEIRINHA</v>
      </c>
      <c r="H853" s="27">
        <f>IFERROR(__xludf.DUMMYFUNCTION("""COMPUTED_VALUE"""),81988360673)</f>
        <v>81988360673</v>
      </c>
      <c r="I853" s="27">
        <f>IFERROR(__xludf.DUMMYFUNCTION("""COMPUTED_VALUE"""),81998836063)</f>
        <v>81998836063</v>
      </c>
      <c r="J853" s="11"/>
      <c r="K853" s="11"/>
      <c r="L853" s="11"/>
      <c r="M853" s="28" t="str">
        <f>IFERROR(__xludf.DUMMYFUNCTION("""COMPUTED_VALUE"""),"3355-6254")</f>
        <v>3355-6254</v>
      </c>
      <c r="N853" s="11" t="str">
        <f>IFERROR(__xludf.DUMMYFUNCTION("""COMPUTED_VALUE"""),"vivianneoliveira@yahoo.com.br")</f>
        <v>vivianneoliveira@yahoo.com.br</v>
      </c>
      <c r="O853" s="29">
        <f>IFERROR(__xludf.DUMMYFUNCTION("""COMPUTED_VALUE"""),4917765439)</f>
        <v>4917765439</v>
      </c>
      <c r="P853" s="30" t="str">
        <f>IFERROR(__xludf.DUMMYFUNCTION("""COMPUTED_VALUE"""),"980016282607472")</f>
        <v>980016282607472</v>
      </c>
      <c r="Q853" s="30" t="str">
        <f>IFERROR(__xludf.DUMMYFUNCTION("""COMPUTED_VALUE"""),"3037908")</f>
        <v>3037908</v>
      </c>
      <c r="R853" s="30" t="str">
        <f>IFERROR(__xludf.DUMMYFUNCTION("""COMPUTED_VALUE"""),"0000154970")</f>
        <v>0000154970</v>
      </c>
      <c r="S853" s="30" t="str">
        <f>IFERROR(__xludf.DUMMYFUNCTION("""COMPUTED_VALUE"""),"1")</f>
        <v>1</v>
      </c>
      <c r="T853" s="30" t="str">
        <f>IFERROR(__xludf.DUMMYFUNCTION("""COMPUTED_VALUE"""),"223565")</f>
        <v>223565</v>
      </c>
      <c r="U853" s="31" t="str">
        <f>IFERROR(__xludf.DUMMYFUNCTION("""COMPUTED_VALUE"""),"2235")</f>
        <v>2235</v>
      </c>
      <c r="V853" s="11"/>
      <c r="W853" s="11" t="str">
        <f>IFERROR(__xludf.DUMMYFUNCTION("""COMPUTED_VALUE"""),"#N/A")</f>
        <v>#N/A</v>
      </c>
      <c r="X853" s="11" t="str">
        <f>IFERROR(__xludf.DUMMYFUNCTION("""COMPUTED_VALUE"""),"#N/A")</f>
        <v>#N/A</v>
      </c>
      <c r="Y853" s="11" t="str">
        <f>IFERROR(__xludf.DUMMYFUNCTION("""COMPUTED_VALUE"""),"#N/A")</f>
        <v>#N/A</v>
      </c>
      <c r="Z853" s="11"/>
    </row>
    <row r="854" customHeight="1" spans="1:26">
      <c r="A854" s="11" t="str">
        <f>IFERROR(__xludf.DUMMYFUNCTION("""COMPUTED_VALUE"""),"CLAUDIA FABIANA MESQUITA FONTES")</f>
        <v>CLAUDIA FABIANA MESQUITA FONTES</v>
      </c>
      <c r="B854" s="11"/>
      <c r="C854" s="11"/>
      <c r="D854" s="11" t="str">
        <f>IFERROR(__xludf.DUMMYFUNCTION("""COMPUTED_VALUE"""),"Enfermeira eSF")</f>
        <v>Enfermeira eSF</v>
      </c>
      <c r="E854" s="11" t="str">
        <f>IFERROR(__xludf.DUMMYFUNCTION("""COMPUTED_VALUE"""),"V")</f>
        <v>V</v>
      </c>
      <c r="F854" s="11" t="str">
        <f>IFERROR(__xludf.DUMMYFUNCTION("""COMPUTED_VALUE"""),"US_300 USF DR GERALDO BARRETO CAMPELO SAN MARTIN")</f>
        <v>US_300 USF DR GERALDO BARRETO CAMPELO SAN MARTIN</v>
      </c>
      <c r="G854" s="11" t="str">
        <f>IFERROR(__xludf.DUMMYFUNCTION("""COMPUTED_VALUE"""),"US 300 USF DR GERALDO BARRETO CAMPELO SAN MARTIN")</f>
        <v>US 300 USF DR GERALDO BARRETO CAMPELO SAN MARTIN</v>
      </c>
      <c r="H854" s="27">
        <f>IFERROR(__xludf.DUMMYFUNCTION("""COMPUTED_VALUE"""),81996083339)</f>
        <v>81996083339</v>
      </c>
      <c r="I854" s="27">
        <f>IFERROR(__xludf.DUMMYFUNCTION("""COMPUTED_VALUE"""),81995459245)</f>
        <v>81995459245</v>
      </c>
      <c r="J854" s="11"/>
      <c r="K854" s="11"/>
      <c r="L854" s="11"/>
      <c r="M854" s="28" t="str">
        <f>IFERROR(__xludf.DUMMYFUNCTION("""COMPUTED_VALUE"""),"3355-6126")</f>
        <v>3355-6126</v>
      </c>
      <c r="N854" s="11" t="str">
        <f>IFERROR(__xludf.DUMMYFUNCTION("""COMPUTED_VALUE"""),"caufontes@oi.com.br")</f>
        <v>caufontes@oi.com.br</v>
      </c>
      <c r="O854" s="29">
        <f>IFERROR(__xludf.DUMMYFUNCTION("""COMPUTED_VALUE"""),2380517495)</f>
        <v>2380517495</v>
      </c>
      <c r="P854" s="30" t="str">
        <f>IFERROR(__xludf.DUMMYFUNCTION("""COMPUTED_VALUE"""),"203799888490002")</f>
        <v>203799888490002</v>
      </c>
      <c r="Q854" s="30" t="str">
        <f>IFERROR(__xludf.DUMMYFUNCTION("""COMPUTED_VALUE"""),"3131521")</f>
        <v>3131521</v>
      </c>
      <c r="R854" s="30" t="str">
        <f>IFERROR(__xludf.DUMMYFUNCTION("""COMPUTED_VALUE"""),"0000155004")</f>
        <v>0000155004</v>
      </c>
      <c r="S854" s="30" t="str">
        <f>IFERROR(__xludf.DUMMYFUNCTION("""COMPUTED_VALUE"""),"1")</f>
        <v>1</v>
      </c>
      <c r="T854" s="30" t="str">
        <f>IFERROR(__xludf.DUMMYFUNCTION("""COMPUTED_VALUE"""),"223565")</f>
        <v>223565</v>
      </c>
      <c r="U854" s="31" t="str">
        <f>IFERROR(__xludf.DUMMYFUNCTION("""COMPUTED_VALUE"""),"2235")</f>
        <v>2235</v>
      </c>
      <c r="V854" s="11"/>
      <c r="W854" s="11">
        <f>IFERROR(__xludf.DUMMYFUNCTION("""COMPUTED_VALUE"""),96083339)</f>
        <v>96083339</v>
      </c>
      <c r="X854" s="11"/>
      <c r="Y854" s="11">
        <f>IFERROR(__xludf.DUMMYFUNCTION("""COMPUTED_VALUE"""),2380517495)</f>
        <v>2380517495</v>
      </c>
      <c r="Z854" s="11"/>
    </row>
    <row r="855" customHeight="1" spans="1:26">
      <c r="A855" s="11" t="str">
        <f>IFERROR(__xludf.DUMMYFUNCTION("""COMPUTED_VALUE"""),"GABRIELLA GOMES VIEIRA CINTRA")</f>
        <v>GABRIELLA GOMES VIEIRA CINTRA</v>
      </c>
      <c r="B855" s="11"/>
      <c r="C855" s="11"/>
      <c r="D855" s="11" t="str">
        <f>IFERROR(__xludf.DUMMYFUNCTION("""COMPUTED_VALUE"""),"Enfermeira eSF")</f>
        <v>Enfermeira eSF</v>
      </c>
      <c r="E855" s="11" t="str">
        <f>IFERROR(__xludf.DUMMYFUNCTION("""COMPUTED_VALUE"""),"V")</f>
        <v>V</v>
      </c>
      <c r="F855" s="11" t="str">
        <f>IFERROR(__xludf.DUMMYFUNCTION("""COMPUTED_VALUE"""),"US_300 USF DR GERALDO BARRETO CAMPELO SAN MARTIN")</f>
        <v>US_300 USF DR GERALDO BARRETO CAMPELO SAN MARTIN</v>
      </c>
      <c r="G855" s="11" t="str">
        <f>IFERROR(__xludf.DUMMYFUNCTION("""COMPUTED_VALUE"""),"US 300 USF DR GERALDO BARRETO CAMPELO SAN MARTIN")</f>
        <v>US 300 USF DR GERALDO BARRETO CAMPELO SAN MARTIN</v>
      </c>
      <c r="H855" s="27">
        <f>IFERROR(__xludf.DUMMYFUNCTION("""COMPUTED_VALUE"""),81988047210)</f>
        <v>81988047210</v>
      </c>
      <c r="I855" s="11"/>
      <c r="J855" s="11"/>
      <c r="K855" s="24">
        <f>IFERROR(__xludf.DUMMYFUNCTION("""COMPUTED_VALUE"""),45167)</f>
        <v>45167</v>
      </c>
      <c r="L855" s="11"/>
      <c r="M855" s="28" t="str">
        <f>IFERROR(__xludf.DUMMYFUNCTION("""COMPUTED_VALUE"""),"3355-6126")</f>
        <v>3355-6126</v>
      </c>
      <c r="N855" s="30" t="str">
        <f>IFERROR(__xludf.DUMMYFUNCTION("""COMPUTED_VALUE"""),"vagagou204@hotmail.com")</f>
        <v>vagagou204@hotmail.com</v>
      </c>
      <c r="O855" s="29">
        <f>IFERROR(__xludf.DUMMYFUNCTION("""COMPUTED_VALUE"""),3636213423)</f>
        <v>3636213423</v>
      </c>
      <c r="P855" s="30" t="str">
        <f>IFERROR(__xludf.DUMMYFUNCTION("""COMPUTED_VALUE"""),"134233284510000")</f>
        <v>134233284510000</v>
      </c>
      <c r="Q855" s="30" t="str">
        <f>IFERROR(__xludf.DUMMYFUNCTION("""COMPUTED_VALUE"""),"3131521")</f>
        <v>3131521</v>
      </c>
      <c r="R855" s="30" t="str">
        <f>IFERROR(__xludf.DUMMYFUNCTION("""COMPUTED_VALUE"""),"0000155020")</f>
        <v>0000155020</v>
      </c>
      <c r="S855" s="30" t="str">
        <f>IFERROR(__xludf.DUMMYFUNCTION("""COMPUTED_VALUE"""),"1")</f>
        <v>1</v>
      </c>
      <c r="T855" s="30" t="str">
        <f>IFERROR(__xludf.DUMMYFUNCTION("""COMPUTED_VALUE"""),"223565")</f>
        <v>223565</v>
      </c>
      <c r="U855" s="31" t="str">
        <f>IFERROR(__xludf.DUMMYFUNCTION("""COMPUTED_VALUE"""),"2235")</f>
        <v>2235</v>
      </c>
      <c r="V855" s="11"/>
      <c r="W855" s="11">
        <f>IFERROR(__xludf.DUMMYFUNCTION("""COMPUTED_VALUE"""),88047210)</f>
        <v>88047210</v>
      </c>
      <c r="X855" s="11">
        <f>IFERROR(__xludf.DUMMYFUNCTION("""COMPUTED_VALUE"""),30344629)</f>
        <v>30344629</v>
      </c>
      <c r="Y855" s="11">
        <f>IFERROR(__xludf.DUMMYFUNCTION("""COMPUTED_VALUE"""),3636213423)</f>
        <v>3636213423</v>
      </c>
      <c r="Z855" s="11"/>
    </row>
    <row r="856" customHeight="1" spans="1:26">
      <c r="A856" s="11" t="str">
        <f>IFERROR(__xludf.DUMMYFUNCTION("""COMPUTED_VALUE"""),"JESSICA PARISI CYSNEIROS NUNES")</f>
        <v>JESSICA PARISI CYSNEIROS NUNES</v>
      </c>
      <c r="B856" s="11"/>
      <c r="C856" s="11"/>
      <c r="D856" s="11" t="str">
        <f>IFERROR(__xludf.DUMMYFUNCTION("""COMPUTED_VALUE"""),"Médica eSF")</f>
        <v>Médica eSF</v>
      </c>
      <c r="E856" s="11" t="str">
        <f>IFERROR(__xludf.DUMMYFUNCTION("""COMPUTED_VALUE"""),"V")</f>
        <v>V</v>
      </c>
      <c r="F856" s="11" t="str">
        <f>IFERROR(__xludf.DUMMYFUNCTION("""COMPUTED_VALUE"""),"US_300 USF DR GERALDO BARRETO CAMPELO SAN MARTIN")</f>
        <v>US_300 USF DR GERALDO BARRETO CAMPELO SAN MARTIN</v>
      </c>
      <c r="G856" s="11" t="str">
        <f>IFERROR(__xludf.DUMMYFUNCTION("""COMPUTED_VALUE"""),"US 300 USF DR GERALDO BARRETO CAMPELO SAN MARTIN")</f>
        <v>US 300 USF DR GERALDO BARRETO CAMPELO SAN MARTIN</v>
      </c>
      <c r="H856" s="27">
        <f>IFERROR(__xludf.DUMMYFUNCTION("""COMPUTED_VALUE"""),81991016559)</f>
        <v>81991016559</v>
      </c>
      <c r="I856" s="27">
        <f>IFERROR(__xludf.DUMMYFUNCTION("""COMPUTED_VALUE"""),81998455647)</f>
        <v>81998455647</v>
      </c>
      <c r="J856" s="11"/>
      <c r="K856" s="24">
        <f>IFERROR(__xludf.DUMMYFUNCTION("""COMPUTED_VALUE"""),45152)</f>
        <v>45152</v>
      </c>
      <c r="L856" s="11"/>
      <c r="M856" s="28" t="str">
        <f>IFERROR(__xludf.DUMMYFUNCTION("""COMPUTED_VALUE"""),"3355-6686")</f>
        <v>3355-6686</v>
      </c>
      <c r="N856" s="11" t="str">
        <f>IFERROR(__xludf.DUMMYFUNCTION("""COMPUTED_VALUE"""),"jessicapcys@gmail.com")</f>
        <v>jessicapcys@gmail.com</v>
      </c>
      <c r="O856" s="29">
        <f>IFERROR(__xludf.DUMMYFUNCTION("""COMPUTED_VALUE"""),6496139458)</f>
        <v>6496139458</v>
      </c>
      <c r="P856" s="30" t="str">
        <f>IFERROR(__xludf.DUMMYFUNCTION("""COMPUTED_VALUE"""),"704205576717290")</f>
        <v>704205576717290</v>
      </c>
      <c r="Q856" s="30" t="str">
        <f>IFERROR(__xludf.DUMMYFUNCTION("""COMPUTED_VALUE"""),"0026344")</f>
        <v>0026344</v>
      </c>
      <c r="R856" s="30" t="str">
        <f>IFERROR(__xludf.DUMMYFUNCTION("""COMPUTED_VALUE"""),"0000154296")</f>
        <v>0000154296</v>
      </c>
      <c r="S856" s="30" t="str">
        <f>IFERROR(__xludf.DUMMYFUNCTION("""COMPUTED_VALUE"""),"1")</f>
        <v>1</v>
      </c>
      <c r="T856" s="30" t="str">
        <f>IFERROR(__xludf.DUMMYFUNCTION("""COMPUTED_VALUE"""),"225142")</f>
        <v>225142</v>
      </c>
      <c r="U856" s="31" t="str">
        <f>IFERROR(__xludf.DUMMYFUNCTION("""COMPUTED_VALUE"""),"2251")</f>
        <v>2251</v>
      </c>
      <c r="V856" s="11"/>
      <c r="W856" s="11" t="str">
        <f>IFERROR(__xludf.DUMMYFUNCTION("""COMPUTED_VALUE"""),"07/08/1987")</f>
        <v>07/08/1987</v>
      </c>
      <c r="X856" s="11" t="str">
        <f>IFERROR(__xludf.DUMMYFUNCTION("""COMPUTED_VALUE"""),"#N/A")</f>
        <v>#N/A</v>
      </c>
      <c r="Y856" s="11" t="str">
        <f>IFERROR(__xludf.DUMMYFUNCTION("""COMPUTED_VALUE"""),"#N/A")</f>
        <v>#N/A</v>
      </c>
      <c r="Z856" s="11" t="str">
        <f>IFERROR(__xludf.DUMMYFUNCTION("""COMPUTED_VALUE"""),"#N/A")</f>
        <v>#N/A</v>
      </c>
    </row>
    <row r="857" customHeight="1" spans="1:26">
      <c r="A857" s="11" t="str">
        <f>IFERROR(__xludf.DUMMYFUNCTION("""COMPUTED_VALUE"""),"JOSE RICARDO LEITE ANDRE GOMES")</f>
        <v>JOSE RICARDO LEITE ANDRE GOMES</v>
      </c>
      <c r="B857" s="11"/>
      <c r="C857" s="11"/>
      <c r="D857" s="11" t="str">
        <f>IFERROR(__xludf.DUMMYFUNCTION("""COMPUTED_VALUE"""),"Médico eSF")</f>
        <v>Médico eSF</v>
      </c>
      <c r="E857" s="11" t="str">
        <f>IFERROR(__xludf.DUMMYFUNCTION("""COMPUTED_VALUE"""),"V")</f>
        <v>V</v>
      </c>
      <c r="F857" s="11" t="str">
        <f>IFERROR(__xludf.DUMMYFUNCTION("""COMPUTED_VALUE"""),"US_300 USF DR GERALDO BARRETO CAMPELO SAN MARTIN")</f>
        <v>US_300 USF DR GERALDO BARRETO CAMPELO SAN MARTIN</v>
      </c>
      <c r="G857" s="11" t="str">
        <f>IFERROR(__xludf.DUMMYFUNCTION("""COMPUTED_VALUE"""),"US 300 USF DR GERALDO BARRETO CAMPELO SAN MARTIN")</f>
        <v>US 300 USF DR GERALDO BARRETO CAMPELO SAN MARTIN</v>
      </c>
      <c r="H857" s="27">
        <f>IFERROR(__xludf.DUMMYFUNCTION("""COMPUTED_VALUE"""),81988332290)</f>
        <v>81988332290</v>
      </c>
      <c r="I857" s="11"/>
      <c r="J857" s="11"/>
      <c r="K857" s="11"/>
      <c r="L857" s="11"/>
      <c r="M857" s="28" t="str">
        <f>IFERROR(__xludf.DUMMYFUNCTION("""COMPUTED_VALUE"""),"3355-6126")</f>
        <v>3355-6126</v>
      </c>
      <c r="N857" s="11" t="str">
        <f>IFERROR(__xludf.DUMMYFUNCTION("""COMPUTED_VALUE"""),"joserlag@gmail.com")</f>
        <v>joserlag@gmail.com</v>
      </c>
      <c r="O857" s="29">
        <f>IFERROR(__xludf.DUMMYFUNCTION("""COMPUTED_VALUE"""),16637046434)</f>
        <v>16637046434</v>
      </c>
      <c r="P857" s="30" t="str">
        <f>IFERROR(__xludf.DUMMYFUNCTION("""COMPUTED_VALUE"""),"980016278412417")</f>
        <v>980016278412417</v>
      </c>
      <c r="Q857" s="30" t="str">
        <f>IFERROR(__xludf.DUMMYFUNCTION("""COMPUTED_VALUE"""),"3131521")</f>
        <v>3131521</v>
      </c>
      <c r="R857" s="30" t="str">
        <f>IFERROR(__xludf.DUMMYFUNCTION("""COMPUTED_VALUE"""),"0000155004")</f>
        <v>0000155004</v>
      </c>
      <c r="S857" s="30" t="str">
        <f>IFERROR(__xludf.DUMMYFUNCTION("""COMPUTED_VALUE"""),"1")</f>
        <v>1</v>
      </c>
      <c r="T857" s="30" t="str">
        <f>IFERROR(__xludf.DUMMYFUNCTION("""COMPUTED_VALUE"""),"225142")</f>
        <v>225142</v>
      </c>
      <c r="U857" s="31" t="str">
        <f>IFERROR(__xludf.DUMMYFUNCTION("""COMPUTED_VALUE"""),"2251")</f>
        <v>2251</v>
      </c>
      <c r="V857" s="11"/>
      <c r="W857" s="11"/>
      <c r="X857" s="11">
        <f>IFERROR(__xludf.DUMMYFUNCTION("""COMPUTED_VALUE"""),8188332290)</f>
        <v>8188332290</v>
      </c>
      <c r="Y857" s="11"/>
      <c r="Z857" s="11">
        <f>IFERROR(__xludf.DUMMYFUNCTION("""COMPUTED_VALUE"""),16637046434)</f>
        <v>16637046434</v>
      </c>
    </row>
    <row r="858" customHeight="1" spans="1:26">
      <c r="A858" s="11" t="str">
        <f>IFERROR(__xludf.DUMMYFUNCTION("""COMPUTED_VALUE"""),"MIRTYS MARIA HOMEM DE MATTOS NUNES")</f>
        <v>MIRTYS MARIA HOMEM DE MATTOS NUNES</v>
      </c>
      <c r="B858" s="11"/>
      <c r="C858" s="11"/>
      <c r="D858" s="11" t="str">
        <f>IFERROR(__xludf.DUMMYFUNCTION("""COMPUTED_VALUE"""),"Enfermeira eSF")</f>
        <v>Enfermeira eSF</v>
      </c>
      <c r="E858" s="11" t="str">
        <f>IFERROR(__xludf.DUMMYFUNCTION("""COMPUTED_VALUE"""),"V")</f>
        <v>V</v>
      </c>
      <c r="F858" s="11" t="str">
        <f>IFERROR(__xludf.DUMMYFUNCTION("""COMPUTED_VALUE"""),"US_300 USF DR GERALDO BARRETO CAMPELO SAN MARTIN")</f>
        <v>US_300 USF DR GERALDO BARRETO CAMPELO SAN MARTIN</v>
      </c>
      <c r="G858" s="11" t="str">
        <f>IFERROR(__xludf.DUMMYFUNCTION("""COMPUTED_VALUE"""),"US 300 USF DR GERALDO BARRETO CAMPELO SAN MARTIN")</f>
        <v>US 300 USF DR GERALDO BARRETO CAMPELO SAN MARTIN</v>
      </c>
      <c r="H858" s="27">
        <f>IFERROR(__xludf.DUMMYFUNCTION("""COMPUTED_VALUE"""),81982221818)</f>
        <v>81982221818</v>
      </c>
      <c r="I858" s="11"/>
      <c r="J858" s="11"/>
      <c r="K858" s="11"/>
      <c r="L858" s="11"/>
      <c r="M858" s="28" t="str">
        <f>IFERROR(__xludf.DUMMYFUNCTION("""COMPUTED_VALUE"""),"3355-6126")</f>
        <v>3355-6126</v>
      </c>
      <c r="N858" s="11" t="str">
        <f>IFERROR(__xludf.DUMMYFUNCTION("""COMPUTED_VALUE"""),"mirtysmatt@gmail.com")</f>
        <v>mirtysmatt@gmail.com</v>
      </c>
      <c r="O858" s="29">
        <f>IFERROR(__xludf.DUMMYFUNCTION("""COMPUTED_VALUE"""),2744229482)</f>
        <v>2744229482</v>
      </c>
      <c r="P858" s="30" t="str">
        <f>IFERROR(__xludf.DUMMYFUNCTION("""COMPUTED_VALUE"""),"980016001047311")</f>
        <v>980016001047311</v>
      </c>
      <c r="Q858" s="30" t="str">
        <f>IFERROR(__xludf.DUMMYFUNCTION("""COMPUTED_VALUE"""),"3131521")</f>
        <v>3131521</v>
      </c>
      <c r="R858" s="30" t="str">
        <f>IFERROR(__xludf.DUMMYFUNCTION("""COMPUTED_VALUE"""),"0000155012")</f>
        <v>0000155012</v>
      </c>
      <c r="S858" s="30" t="str">
        <f>IFERROR(__xludf.DUMMYFUNCTION("""COMPUTED_VALUE"""),"1")</f>
        <v>1</v>
      </c>
      <c r="T858" s="30" t="str">
        <f>IFERROR(__xludf.DUMMYFUNCTION("""COMPUTED_VALUE"""),"223565")</f>
        <v>223565</v>
      </c>
      <c r="U858" s="31" t="str">
        <f>IFERROR(__xludf.DUMMYFUNCTION("""COMPUTED_VALUE"""),"2235")</f>
        <v>2235</v>
      </c>
      <c r="V858" s="11"/>
      <c r="W858" s="11" t="str">
        <f>IFERROR(__xludf.DUMMYFUNCTION("""COMPUTED_VALUE"""),"#N/A")</f>
        <v>#N/A</v>
      </c>
      <c r="X858" s="11" t="str">
        <f>IFERROR(__xludf.DUMMYFUNCTION("""COMPUTED_VALUE"""),"#N/A")</f>
        <v>#N/A</v>
      </c>
      <c r="Y858" s="11" t="str">
        <f>IFERROR(__xludf.DUMMYFUNCTION("""COMPUTED_VALUE"""),"#N/A")</f>
        <v>#N/A</v>
      </c>
      <c r="Z858" s="11"/>
    </row>
    <row r="859" customHeight="1" spans="1:26">
      <c r="A859" s="11" t="str">
        <f>IFERROR(__xludf.DUMMYFUNCTION("""COMPUTED_VALUE"""),"DEBORA MATOS DE LIMA")</f>
        <v>DEBORA MATOS DE LIMA</v>
      </c>
      <c r="B859" s="11"/>
      <c r="C859" s="11"/>
      <c r="D859" s="11" t="str">
        <f>IFERROR(__xludf.DUMMYFUNCTION("""COMPUTED_VALUE"""),"Médica eSF")</f>
        <v>Médica eSF</v>
      </c>
      <c r="E859" s="11" t="str">
        <f>IFERROR(__xludf.DUMMYFUNCTION("""COMPUTED_VALUE"""),"V")</f>
        <v>V</v>
      </c>
      <c r="F859" s="11" t="str">
        <f>IFERROR(__xludf.DUMMYFUNCTION("""COMPUTED_VALUE"""),"US_150 CS PROFESSOR FERNANDES FIGUEIRAS")</f>
        <v>US_150 CS PROFESSOR FERNANDES FIGUEIRAS</v>
      </c>
      <c r="G859" s="11" t="str">
        <f>IFERROR(__xludf.DUMMYFUNCTION("""COMPUTED_VALUE"""),"US_150 CS PROFESSOR FERNANDES FIGUEIRAS")</f>
        <v>US_150 CS PROFESSOR FERNANDES FIGUEIRAS</v>
      </c>
      <c r="H859" s="27">
        <f>IFERROR(__xludf.DUMMYFUNCTION("""COMPUTED_VALUE"""),81998841185)</f>
        <v>81998841185</v>
      </c>
      <c r="I859" s="27">
        <f>IFERROR(__xludf.DUMMYFUNCTION("""COMPUTED_VALUE"""),81982982809)</f>
        <v>81982982809</v>
      </c>
      <c r="J859" s="11"/>
      <c r="K859" s="11"/>
      <c r="L859" s="11"/>
      <c r="M859" s="28" t="str">
        <f>IFERROR(__xludf.DUMMYFUNCTION("""COMPUTED_VALUE"""),"3355-4636")</f>
        <v>3355-4636</v>
      </c>
      <c r="N859" s="11" t="str">
        <f>IFERROR(__xludf.DUMMYFUNCTION("""COMPUTED_VALUE"""),"deboracmatos@gmail.com")</f>
        <v>deboracmatos@gmail.com</v>
      </c>
      <c r="O859" s="29">
        <f>IFERROR(__xludf.DUMMYFUNCTION("""COMPUTED_VALUE"""),7223023473)</f>
        <v>7223023473</v>
      </c>
      <c r="P859" s="30" t="str">
        <f>IFERROR(__xludf.DUMMYFUNCTION("""COMPUTED_VALUE"""),"701801238762277")</f>
        <v>701801238762277</v>
      </c>
      <c r="Q859" s="30" t="str">
        <f>IFERROR(__xludf.DUMMYFUNCTION("""COMPUTED_VALUE"""),"3131572")</f>
        <v>3131572</v>
      </c>
      <c r="R859" s="30" t="str">
        <f>IFERROR(__xludf.DUMMYFUNCTION("""COMPUTED_VALUE"""),"0000155039")</f>
        <v>0000155039</v>
      </c>
      <c r="S859" s="30" t="str">
        <f>IFERROR(__xludf.DUMMYFUNCTION("""COMPUTED_VALUE"""),"1")</f>
        <v>1</v>
      </c>
      <c r="T859" s="30" t="str">
        <f>IFERROR(__xludf.DUMMYFUNCTION("""COMPUTED_VALUE"""),"225142")</f>
        <v>225142</v>
      </c>
      <c r="U859" s="31" t="str">
        <f>IFERROR(__xludf.DUMMYFUNCTION("""COMPUTED_VALUE"""),"2251")</f>
        <v>2251</v>
      </c>
      <c r="V859" s="11" t="str">
        <f>IFERROR(__xludf.DUMMYFUNCTION("""COMPUTED_VALUE"""),"SIM")</f>
        <v>SIM</v>
      </c>
      <c r="W859" s="11"/>
      <c r="X859" s="11" t="str">
        <f>IFERROR(__xludf.DUMMYFUNCTION("""COMPUTED_VALUE"""),"#N/A")</f>
        <v>#N/A</v>
      </c>
      <c r="Y859" s="11" t="str">
        <f>IFERROR(__xludf.DUMMYFUNCTION("""COMPUTED_VALUE"""),"#N/A")</f>
        <v>#N/A</v>
      </c>
      <c r="Z859" s="11" t="str">
        <f>IFERROR(__xludf.DUMMYFUNCTION("""COMPUTED_VALUE"""),"#N/A")</f>
        <v>#N/A</v>
      </c>
    </row>
    <row r="860" customHeight="1" spans="1:26">
      <c r="A860" s="11" t="str">
        <f>IFERROR(__xludf.DUMMYFUNCTION("""COMPUTED_VALUE"""),"KEILA MARY TAVARES DE OLIVEIRA LIMA")</f>
        <v>KEILA MARY TAVARES DE OLIVEIRA LIMA</v>
      </c>
      <c r="B860" s="11"/>
      <c r="C860" s="11"/>
      <c r="D860" s="11" t="str">
        <f>IFERROR(__xludf.DUMMYFUNCTION("""COMPUTED_VALUE"""),"Enfermeira eSF")</f>
        <v>Enfermeira eSF</v>
      </c>
      <c r="E860" s="11" t="str">
        <f>IFERROR(__xludf.DUMMYFUNCTION("""COMPUTED_VALUE"""),"V")</f>
        <v>V</v>
      </c>
      <c r="F860" s="11" t="str">
        <f>IFERROR(__xludf.DUMMYFUNCTION("""COMPUTED_VALUE"""),"US_164 CENTRO DE REIDRATACAO E URG PED M CRAVO GAMA")</f>
        <v>US_164 CENTRO DE REIDRATACAO E URG PED M CRAVO GAMA</v>
      </c>
      <c r="G860" s="11" t="str">
        <f>IFERROR(__xludf.DUMMYFUNCTION("""COMPUTED_VALUE"""),"US 301 USF BONGI BOA IDEIA")</f>
        <v>US 301 USF BONGI BOA IDEIA</v>
      </c>
      <c r="H860" s="27">
        <f>IFERROR(__xludf.DUMMYFUNCTION("""COMPUTED_VALUE"""),81988720409)</f>
        <v>81988720409</v>
      </c>
      <c r="I860" s="27">
        <f>IFERROR(__xludf.DUMMYFUNCTION("""COMPUTED_VALUE"""),81992525116)</f>
        <v>81992525116</v>
      </c>
      <c r="J860" s="11"/>
      <c r="K860" s="11"/>
      <c r="L860" s="11"/>
      <c r="M860" s="28" t="str">
        <f>IFERROR(__xludf.DUMMYFUNCTION("""COMPUTED_VALUE"""),"3355-4636")</f>
        <v>3355-4636</v>
      </c>
      <c r="N860" s="30" t="str">
        <f>IFERROR(__xludf.DUMMYFUNCTION("""COMPUTED_VALUE"""),"keilatavares@bol.com.br")</f>
        <v>keilatavares@bol.com.br</v>
      </c>
      <c r="O860" s="29">
        <f>IFERROR(__xludf.DUMMYFUNCTION("""COMPUTED_VALUE"""),2353232418)</f>
        <v>2353232418</v>
      </c>
      <c r="P860" s="30" t="str">
        <f>IFERROR(__xludf.DUMMYFUNCTION("""COMPUTED_VALUE"""),"206047870860001")</f>
        <v>206047870860001</v>
      </c>
      <c r="Q860" s="30" t="str">
        <f>IFERROR(__xludf.DUMMYFUNCTION("""COMPUTED_VALUE"""),"3131572")</f>
        <v>3131572</v>
      </c>
      <c r="R860" s="30" t="str">
        <f>IFERROR(__xludf.DUMMYFUNCTION("""COMPUTED_VALUE"""),"0000155039")</f>
        <v>0000155039</v>
      </c>
      <c r="S860" s="30" t="str">
        <f>IFERROR(__xludf.DUMMYFUNCTION("""COMPUTED_VALUE"""),"1")</f>
        <v>1</v>
      </c>
      <c r="T860" s="30" t="str">
        <f>IFERROR(__xludf.DUMMYFUNCTION("""COMPUTED_VALUE"""),"223565")</f>
        <v>223565</v>
      </c>
      <c r="U860" s="31" t="str">
        <f>IFERROR(__xludf.DUMMYFUNCTION("""COMPUTED_VALUE"""),"2235")</f>
        <v>2235</v>
      </c>
      <c r="V860" s="11"/>
      <c r="W860" s="11" t="str">
        <f>IFERROR(__xludf.DUMMYFUNCTION("""COMPUTED_VALUE"""),"9252-5116")</f>
        <v>9252-5116</v>
      </c>
      <c r="X860" s="11" t="str">
        <f>IFERROR(__xludf.DUMMYFUNCTION("""COMPUTED_VALUE"""),"8772-0409")</f>
        <v>8772-0409</v>
      </c>
      <c r="Y860" s="11">
        <f>IFERROR(__xludf.DUMMYFUNCTION("""COMPUTED_VALUE"""),2353232418)</f>
        <v>2353232418</v>
      </c>
      <c r="Z860" s="11"/>
    </row>
    <row r="861" customHeight="1" spans="1:26">
      <c r="A861" s="11" t="str">
        <f>IFERROR(__xludf.DUMMYFUNCTION("""COMPUTED_VALUE"""),"RENATA ALMEIDA DE OLIVEIRA MOURA DE ALBUQUERQUE MELO")</f>
        <v>RENATA ALMEIDA DE OLIVEIRA MOURA DE ALBUQUERQUE MELO</v>
      </c>
      <c r="B861" s="11"/>
      <c r="C861" s="11"/>
      <c r="D861" s="11" t="str">
        <f>IFERROR(__xludf.DUMMYFUNCTION("""COMPUTED_VALUE"""),"Enfermeira eSF")</f>
        <v>Enfermeira eSF</v>
      </c>
      <c r="E861" s="11" t="str">
        <f>IFERROR(__xludf.DUMMYFUNCTION("""COMPUTED_VALUE"""),"V")</f>
        <v>V</v>
      </c>
      <c r="F861" s="11" t="str">
        <f>IFERROR(__xludf.DUMMYFUNCTION("""COMPUTED_VALUE"""),"US_301 USF BONGI BOA IDEIA")</f>
        <v>US_301 USF BONGI BOA IDEIA</v>
      </c>
      <c r="G861" s="11" t="str">
        <f>IFERROR(__xludf.DUMMYFUNCTION("""COMPUTED_VALUE"""),"US 301 USF BONGI BOA IDEIA")</f>
        <v>US 301 USF BONGI BOA IDEIA</v>
      </c>
      <c r="H861" s="27">
        <f>IFERROR(__xludf.DUMMYFUNCTION("""COMPUTED_VALUE"""),81996831212)</f>
        <v>81996831212</v>
      </c>
      <c r="I861" s="11"/>
      <c r="J861" s="11"/>
      <c r="K861" s="11"/>
      <c r="L861" s="11"/>
      <c r="M861" s="28" t="str">
        <f>IFERROR(__xludf.DUMMYFUNCTION("""COMPUTED_VALUE"""),"3355-4636")</f>
        <v>3355-4636</v>
      </c>
      <c r="N861" s="11" t="str">
        <f>IFERROR(__xludf.DUMMYFUNCTION("""COMPUTED_VALUE"""),"renatalmeida1@hotmail.com")</f>
        <v>renatalmeida1@hotmail.com</v>
      </c>
      <c r="O861" s="29">
        <f>IFERROR(__xludf.DUMMYFUNCTION("""COMPUTED_VALUE"""),4118246430)</f>
        <v>4118246430</v>
      </c>
      <c r="P861" s="30" t="str">
        <f>IFERROR(__xludf.DUMMYFUNCTION("""COMPUTED_VALUE"""),"980016278454276")</f>
        <v>980016278454276</v>
      </c>
      <c r="Q861" s="30" t="str">
        <f>IFERROR(__xludf.DUMMYFUNCTION("""COMPUTED_VALUE"""),"3131572")</f>
        <v>3131572</v>
      </c>
      <c r="R861" s="30" t="str">
        <f>IFERROR(__xludf.DUMMYFUNCTION("""COMPUTED_VALUE"""),"0000155047")</f>
        <v>0000155047</v>
      </c>
      <c r="S861" s="30" t="str">
        <f>IFERROR(__xludf.DUMMYFUNCTION("""COMPUTED_VALUE"""),"1")</f>
        <v>1</v>
      </c>
      <c r="T861" s="30" t="str">
        <f>IFERROR(__xludf.DUMMYFUNCTION("""COMPUTED_VALUE"""),"223565")</f>
        <v>223565</v>
      </c>
      <c r="U861" s="31" t="str">
        <f>IFERROR(__xludf.DUMMYFUNCTION("""COMPUTED_VALUE"""),"2235")</f>
        <v>2235</v>
      </c>
      <c r="V861" s="11"/>
      <c r="W861" s="11" t="str">
        <f>IFERROR(__xludf.DUMMYFUNCTION("""COMPUTED_VALUE"""),"#N/A")</f>
        <v>#N/A</v>
      </c>
      <c r="X861" s="11" t="str">
        <f>IFERROR(__xludf.DUMMYFUNCTION("""COMPUTED_VALUE"""),"#N/A")</f>
        <v>#N/A</v>
      </c>
      <c r="Y861" s="11" t="str">
        <f>IFERROR(__xludf.DUMMYFUNCTION("""COMPUTED_VALUE"""),"#N/A")</f>
        <v>#N/A</v>
      </c>
      <c r="Z861" s="11"/>
    </row>
    <row r="862" customHeight="1" spans="1:26">
      <c r="A862" s="11" t="str">
        <f>IFERROR(__xludf.DUMMYFUNCTION("""COMPUTED_VALUE"""),"SANDRO HENRIQUE CUSTODIO DE SIQUEIRA")</f>
        <v>SANDRO HENRIQUE CUSTODIO DE SIQUEIRA</v>
      </c>
      <c r="B862" s="11" t="str">
        <f>IFERROR(__xludf.DUMMYFUNCTION("""COMPUTED_VALUE"""),"999364685 ?")</f>
        <v>999364685 ?</v>
      </c>
      <c r="C862" s="11"/>
      <c r="D862" s="11" t="str">
        <f>IFERROR(__xludf.DUMMYFUNCTION("""COMPUTED_VALUE"""),"Médico eSF")</f>
        <v>Médico eSF</v>
      </c>
      <c r="E862" s="11" t="str">
        <f>IFERROR(__xludf.DUMMYFUNCTION("""COMPUTED_VALUE"""),"V")</f>
        <v>V</v>
      </c>
      <c r="F862" s="11" t="str">
        <f>IFERROR(__xludf.DUMMYFUNCTION("""COMPUTED_VALUE"""),"US_301 USF BONGI BOA IDEIA")</f>
        <v>US_301 USF BONGI BOA IDEIA</v>
      </c>
      <c r="G862" s="11" t="str">
        <f>IFERROR(__xludf.DUMMYFUNCTION("""COMPUTED_VALUE"""),"US 301 USF BONGI BOA IDEIA")</f>
        <v>US 301 USF BONGI BOA IDEIA</v>
      </c>
      <c r="H862" s="27">
        <f>IFERROR(__xludf.DUMMYFUNCTION("""COMPUTED_VALUE"""),81993002536)</f>
        <v>81993002536</v>
      </c>
      <c r="I862" s="27">
        <f>IFERROR(__xludf.DUMMYFUNCTION("""COMPUTED_VALUE"""),81999364685)</f>
        <v>81999364685</v>
      </c>
      <c r="J862" s="11"/>
      <c r="K862" s="11"/>
      <c r="L862" s="11"/>
      <c r="M862" s="28" t="str">
        <f>IFERROR(__xludf.DUMMYFUNCTION("""COMPUTED_VALUE"""),"3355-4636")</f>
        <v>3355-4636</v>
      </c>
      <c r="N862" s="30" t="str">
        <f>IFERROR(__xludf.DUMMYFUNCTION("""COMPUTED_VALUE"""),"custodio2000@bol.com.br")</f>
        <v>custodio2000@bol.com.br</v>
      </c>
      <c r="O862" s="29">
        <f>IFERROR(__xludf.DUMMYFUNCTION("""COMPUTED_VALUE"""),52043711415)</f>
        <v>52043711415</v>
      </c>
      <c r="P862" s="30" t="str">
        <f>IFERROR(__xludf.DUMMYFUNCTION("""COMPUTED_VALUE"""),"206790274530002")</f>
        <v>206790274530002</v>
      </c>
      <c r="Q862" s="30" t="str">
        <f>IFERROR(__xludf.DUMMYFUNCTION("""COMPUTED_VALUE"""),"3131572")</f>
        <v>3131572</v>
      </c>
      <c r="R862" s="30" t="str">
        <f>IFERROR(__xludf.DUMMYFUNCTION("""COMPUTED_VALUE"""),"0000155047")</f>
        <v>0000155047</v>
      </c>
      <c r="S862" s="30" t="str">
        <f>IFERROR(__xludf.DUMMYFUNCTION("""COMPUTED_VALUE"""),"1")</f>
        <v>1</v>
      </c>
      <c r="T862" s="30" t="str">
        <f>IFERROR(__xludf.DUMMYFUNCTION("""COMPUTED_VALUE"""),"225142")</f>
        <v>225142</v>
      </c>
      <c r="U862" s="31" t="str">
        <f>IFERROR(__xludf.DUMMYFUNCTION("""COMPUTED_VALUE"""),"2251")</f>
        <v>2251</v>
      </c>
      <c r="V862" s="11" t="str">
        <f>IFERROR(__xludf.DUMMYFUNCTION("""COMPUTED_VALUE"""),"SIM")</f>
        <v>SIM</v>
      </c>
      <c r="W862" s="11"/>
      <c r="X862" s="11">
        <f>IFERROR(__xludf.DUMMYFUNCTION("""COMPUTED_VALUE"""),8191042982)</f>
        <v>8191042982</v>
      </c>
      <c r="Y862" s="11">
        <f>IFERROR(__xludf.DUMMYFUNCTION("""COMPUTED_VALUE"""),8185347600)</f>
        <v>8185347600</v>
      </c>
      <c r="Z862" s="11">
        <f>IFERROR(__xludf.DUMMYFUNCTION("""COMPUTED_VALUE"""),52043711415)</f>
        <v>52043711415</v>
      </c>
    </row>
    <row r="863" customHeight="1" spans="1:26">
      <c r="A863" s="11" t="str">
        <f>IFERROR(__xludf.DUMMYFUNCTION("""COMPUTED_VALUE"""),"GERMANA GUSMAO DOWNING")</f>
        <v>GERMANA GUSMAO DOWNING</v>
      </c>
      <c r="B863" s="11"/>
      <c r="C863" s="11"/>
      <c r="D863" s="11" t="str">
        <f>IFERROR(__xludf.DUMMYFUNCTION("""COMPUTED_VALUE"""),"Médica eSF")</f>
        <v>Médica eSF</v>
      </c>
      <c r="E863" s="11" t="str">
        <f>IFERROR(__xludf.DUMMYFUNCTION("""COMPUTED_VALUE"""),"V")</f>
        <v>V</v>
      </c>
      <c r="F863" s="11" t="str">
        <f>IFERROR(__xludf.DUMMYFUNCTION("""COMPUTED_VALUE"""),"US_345 USF PLANETA DOS MACACOS I")</f>
        <v>US_345 USF PLANETA DOS MACACOS I</v>
      </c>
      <c r="G863" s="11" t="str">
        <f>IFERROR(__xludf.DUMMYFUNCTION("""COMPUTED_VALUE"""),"US 323 USF MUSTARDINHA")</f>
        <v>US 323 USF MUSTARDINHA</v>
      </c>
      <c r="H863" s="27">
        <f>IFERROR(__xludf.DUMMYFUNCTION("""COMPUTED_VALUE"""),81981574520)</f>
        <v>81981574520</v>
      </c>
      <c r="I863" s="27">
        <f>IFERROR(__xludf.DUMMYFUNCTION("""COMPUTED_VALUE"""),81991874520)</f>
        <v>81991874520</v>
      </c>
      <c r="J863" s="11"/>
      <c r="K863" s="11"/>
      <c r="L863" s="11"/>
      <c r="M863" s="28" t="str">
        <f>IFERROR(__xludf.DUMMYFUNCTION("""COMPUTED_VALUE"""),"3355-6710")</f>
        <v>3355-6710</v>
      </c>
      <c r="N863" s="11" t="str">
        <f>IFERROR(__xludf.DUMMYFUNCTION("""COMPUTED_VALUE"""),"germana09@yahoo.com")</f>
        <v>germana09@yahoo.com</v>
      </c>
      <c r="O863" s="29">
        <f>IFERROR(__xludf.DUMMYFUNCTION("""COMPUTED_VALUE"""),47577592404)</f>
        <v>47577592404</v>
      </c>
      <c r="P863" s="30" t="str">
        <f>IFERROR(__xludf.DUMMYFUNCTION("""COMPUTED_VALUE"""),"706900171584932")</f>
        <v>706900171584932</v>
      </c>
      <c r="Q863" s="30" t="str">
        <f>IFERROR(__xludf.DUMMYFUNCTION("""COMPUTED_VALUE"""),"3371328")</f>
        <v>3371328</v>
      </c>
      <c r="R863" s="30" t="str">
        <f>IFERROR(__xludf.DUMMYFUNCTION("""COMPUTED_VALUE"""),"0000155314")</f>
        <v>0000155314</v>
      </c>
      <c r="S863" s="30" t="str">
        <f>IFERROR(__xludf.DUMMYFUNCTION("""COMPUTED_VALUE"""),"1")</f>
        <v>1</v>
      </c>
      <c r="T863" s="30" t="str">
        <f>IFERROR(__xludf.DUMMYFUNCTION("""COMPUTED_VALUE"""),"225142")</f>
        <v>225142</v>
      </c>
      <c r="U863" s="31" t="str">
        <f>IFERROR(__xludf.DUMMYFUNCTION("""COMPUTED_VALUE"""),"2251")</f>
        <v>2251</v>
      </c>
      <c r="V863" s="11" t="str">
        <f>IFERROR(__xludf.DUMMYFUNCTION("""COMPUTED_VALUE"""),"SIM")</f>
        <v>SIM</v>
      </c>
      <c r="W863" s="11"/>
      <c r="X863" s="11" t="str">
        <f>IFERROR(__xludf.DUMMYFUNCTION("""COMPUTED_VALUE"""),"#N/A")</f>
        <v>#N/A</v>
      </c>
      <c r="Y863" s="11" t="str">
        <f>IFERROR(__xludf.DUMMYFUNCTION("""COMPUTED_VALUE"""),"#N/A")</f>
        <v>#N/A</v>
      </c>
      <c r="Z863" s="11" t="str">
        <f>IFERROR(__xludf.DUMMYFUNCTION("""COMPUTED_VALUE"""),"#N/A")</f>
        <v>#N/A</v>
      </c>
    </row>
    <row r="864" customHeight="1" spans="1:26">
      <c r="A864" s="11" t="str">
        <f>IFERROR(__xludf.DUMMYFUNCTION("""COMPUTED_VALUE"""),"PRISCILA BAUDEL DE CASTRO")</f>
        <v>PRISCILA BAUDEL DE CASTRO</v>
      </c>
      <c r="B864" s="11" t="str">
        <f>IFERROR(__xludf.DUMMYFUNCTION("""COMPUTED_VALUE"""),"RECUSA TELECONSULTORIA")</f>
        <v>RECUSA TELECONSULTORIA</v>
      </c>
      <c r="C864" s="11"/>
      <c r="D864" s="11" t="str">
        <f>IFERROR(__xludf.DUMMYFUNCTION("""COMPUTED_VALUE"""),"Médica eSF")</f>
        <v>Médica eSF</v>
      </c>
      <c r="E864" s="11" t="str">
        <f>IFERROR(__xludf.DUMMYFUNCTION("""COMPUTED_VALUE"""),"V")</f>
        <v>V</v>
      </c>
      <c r="F864" s="11" t="str">
        <f>IFERROR(__xludf.DUMMYFUNCTION("""COMPUTED_VALUE"""),"US_323 USF MUSTARDINHA")</f>
        <v>US_323 USF MUSTARDINHA</v>
      </c>
      <c r="G864" s="11" t="str">
        <f>IFERROR(__xludf.DUMMYFUNCTION("""COMPUTED_VALUE"""),"US 323 USF MUSTARDINHA")</f>
        <v>US 323 USF MUSTARDINHA</v>
      </c>
      <c r="H864" s="27">
        <f>IFERROR(__xludf.DUMMYFUNCTION("""COMPUTED_VALUE"""),81994338700)</f>
        <v>81994338700</v>
      </c>
      <c r="I864" s="11"/>
      <c r="J864" s="11"/>
      <c r="K864" s="11"/>
      <c r="L864" s="28" t="str">
        <f>IFERROR(__xludf.DUMMYFUNCTION("""COMPUTED_VALUE"""),"X")</f>
        <v>X</v>
      </c>
      <c r="M864" s="28" t="str">
        <f>IFERROR(__xludf.DUMMYFUNCTION("""COMPUTED_VALUE"""),"3355-6710")</f>
        <v>3355-6710</v>
      </c>
      <c r="N864" s="11" t="str">
        <f>IFERROR(__xludf.DUMMYFUNCTION("""COMPUTED_VALUE"""),"pribaudel@gmail.com")</f>
        <v>pribaudel@gmail.com</v>
      </c>
      <c r="O864" s="29">
        <f>IFERROR(__xludf.DUMMYFUNCTION("""COMPUTED_VALUE"""),5845001498)</f>
        <v>5845001498</v>
      </c>
      <c r="P864" s="30" t="str">
        <f>IFERROR(__xludf.DUMMYFUNCTION("""COMPUTED_VALUE"""),"980016290013357")</f>
        <v>980016290013357</v>
      </c>
      <c r="Q864" s="30" t="str">
        <f>IFERROR(__xludf.DUMMYFUNCTION("""COMPUTED_VALUE"""),"3371328")</f>
        <v>3371328</v>
      </c>
      <c r="R864" s="30" t="str">
        <f>IFERROR(__xludf.DUMMYFUNCTION("""COMPUTED_VALUE"""),"0000155322")</f>
        <v>0000155322</v>
      </c>
      <c r="S864" s="30" t="str">
        <f>IFERROR(__xludf.DUMMYFUNCTION("""COMPUTED_VALUE"""),"1")</f>
        <v>1</v>
      </c>
      <c r="T864" s="30" t="str">
        <f>IFERROR(__xludf.DUMMYFUNCTION("""COMPUTED_VALUE"""),"225142")</f>
        <v>225142</v>
      </c>
      <c r="U864" s="31" t="str">
        <f>IFERROR(__xludf.DUMMYFUNCTION("""COMPUTED_VALUE"""),"2251")</f>
        <v>2251</v>
      </c>
      <c r="V864" s="11"/>
      <c r="W864" s="30" t="str">
        <f>IFERROR(__xludf.DUMMYFUNCTION("""COMPUTED_VALUE"""),"13/02/1987")</f>
        <v>13/02/1987</v>
      </c>
      <c r="X864" s="11" t="str">
        <f>IFERROR(__xludf.DUMMYFUNCTION("""COMPUTED_VALUE"""),"#N/A")</f>
        <v>#N/A</v>
      </c>
      <c r="Y864" s="11" t="str">
        <f>IFERROR(__xludf.DUMMYFUNCTION("""COMPUTED_VALUE"""),"#N/A")</f>
        <v>#N/A</v>
      </c>
      <c r="Z864" s="11" t="str">
        <f>IFERROR(__xludf.DUMMYFUNCTION("""COMPUTED_VALUE"""),"#N/A")</f>
        <v>#N/A</v>
      </c>
    </row>
    <row r="865" customHeight="1" spans="1:26">
      <c r="A865" s="11" t="str">
        <f>IFERROR(__xludf.DUMMYFUNCTION("""COMPUTED_VALUE"""),"PRISCILLA MARTINS ARAUJO MENEZES")</f>
        <v>PRISCILLA MARTINS ARAUJO MENEZES</v>
      </c>
      <c r="B865" s="11"/>
      <c r="C865" s="11"/>
      <c r="D865" s="11" t="str">
        <f>IFERROR(__xludf.DUMMYFUNCTION("""COMPUTED_VALUE"""),"Enfermeira eSF")</f>
        <v>Enfermeira eSF</v>
      </c>
      <c r="E865" s="11" t="str">
        <f>IFERROR(__xludf.DUMMYFUNCTION("""COMPUTED_VALUE"""),"V")</f>
        <v>V</v>
      </c>
      <c r="F865" s="11" t="str">
        <f>IFERROR(__xludf.DUMMYFUNCTION("""COMPUTED_VALUE"""),"US_238 USF IRAQUE")</f>
        <v>US_238 USF IRAQUE</v>
      </c>
      <c r="G865" s="11" t="str">
        <f>IFERROR(__xludf.DUMMYFUNCTION("""COMPUTED_VALUE"""),"US 323 USF MUSTARDINHA")</f>
        <v>US 323 USF MUSTARDINHA</v>
      </c>
      <c r="H865" s="27">
        <f>IFERROR(__xludf.DUMMYFUNCTION("""COMPUTED_VALUE"""),81988072704)</f>
        <v>81988072704</v>
      </c>
      <c r="I865" s="27">
        <f>IFERROR(__xludf.DUMMYFUNCTION("""COMPUTED_VALUE"""),81986515861)</f>
        <v>81986515861</v>
      </c>
      <c r="J865" s="11"/>
      <c r="K865" s="11"/>
      <c r="L865" s="11"/>
      <c r="M865" s="28" t="str">
        <f>IFERROR(__xludf.DUMMYFUNCTION("""COMPUTED_VALUE"""),"3355-6710")</f>
        <v>3355-6710</v>
      </c>
      <c r="N865" s="11" t="str">
        <f>IFERROR(__xludf.DUMMYFUNCTION("""COMPUTED_VALUE"""),"priscillamartins27@hotmail.com")</f>
        <v>priscillamartins27@hotmail.com</v>
      </c>
      <c r="O865" s="29">
        <f>IFERROR(__xludf.DUMMYFUNCTION("""COMPUTED_VALUE"""),3761000448)</f>
        <v>3761000448</v>
      </c>
      <c r="P865" s="30" t="str">
        <f>IFERROR(__xludf.DUMMYFUNCTION("""COMPUTED_VALUE"""),"980016277367736")</f>
        <v>980016277367736</v>
      </c>
      <c r="Q865" s="30" t="str">
        <f>IFERROR(__xludf.DUMMYFUNCTION("""COMPUTED_VALUE"""),"3371328")</f>
        <v>3371328</v>
      </c>
      <c r="R865" s="30" t="str">
        <f>IFERROR(__xludf.DUMMYFUNCTION("""COMPUTED_VALUE"""),"0000155314")</f>
        <v>0000155314</v>
      </c>
      <c r="S865" s="30" t="str">
        <f>IFERROR(__xludf.DUMMYFUNCTION("""COMPUTED_VALUE"""),"1")</f>
        <v>1</v>
      </c>
      <c r="T865" s="30" t="str">
        <f>IFERROR(__xludf.DUMMYFUNCTION("""COMPUTED_VALUE"""),"223565")</f>
        <v>223565</v>
      </c>
      <c r="U865" s="31" t="str">
        <f>IFERROR(__xludf.DUMMYFUNCTION("""COMPUTED_VALUE"""),"2235")</f>
        <v>2235</v>
      </c>
      <c r="V865" s="11"/>
      <c r="W865" s="11" t="str">
        <f>IFERROR(__xludf.DUMMYFUNCTION("""COMPUTED_VALUE"""),"#N/A")</f>
        <v>#N/A</v>
      </c>
      <c r="X865" s="11" t="str">
        <f>IFERROR(__xludf.DUMMYFUNCTION("""COMPUTED_VALUE"""),"#N/A")</f>
        <v>#N/A</v>
      </c>
      <c r="Y865" s="11" t="str">
        <f>IFERROR(__xludf.DUMMYFUNCTION("""COMPUTED_VALUE"""),"#N/A")</f>
        <v>#N/A</v>
      </c>
      <c r="Z865" s="11"/>
    </row>
    <row r="866" customHeight="1" spans="1:26">
      <c r="A866" s="11" t="str">
        <f>IFERROR(__xludf.DUMMYFUNCTION("""COMPUTED_VALUE"""),"JOSELMA MARIA LOURENCO CORREIA")</f>
        <v>JOSELMA MARIA LOURENCO CORREIA</v>
      </c>
      <c r="B866" s="11"/>
      <c r="C866" s="11"/>
      <c r="D866" s="11" t="str">
        <f>IFERROR(__xludf.DUMMYFUNCTION("""COMPUTED_VALUE"""),"Enfermeira eSF")</f>
        <v>Enfermeira eSF</v>
      </c>
      <c r="E866" s="11" t="str">
        <f>IFERROR(__xludf.DUMMYFUNCTION("""COMPUTED_VALUE"""),"V")</f>
        <v>V</v>
      </c>
      <c r="F866" s="11" t="str">
        <f>IFERROR(__xludf.DUMMYFUNCTION("""COMPUTED_VALUE"""),"US_338 USF UPINHA DIA JARDIM SAO PAULO")</f>
        <v>US_338 USF UPINHA DIA JARDIM SAO PAULO</v>
      </c>
      <c r="G866" s="11" t="str">
        <f>IFERROR(__xludf.DUMMYFUNCTION("""COMPUTED_VALUE"""),"US 338 USF UPINHA DIA JARDIM SAO PAULO")</f>
        <v>US 338 USF UPINHA DIA JARDIM SAO PAULO</v>
      </c>
      <c r="H866" s="27">
        <f>IFERROR(__xludf.DUMMYFUNCTION("""COMPUTED_VALUE"""),81998225675)</f>
        <v>81998225675</v>
      </c>
      <c r="I866" s="11"/>
      <c r="J866" s="11"/>
      <c r="K866" s="11"/>
      <c r="L866" s="11"/>
      <c r="M866" s="28" t="str">
        <f>IFERROR(__xludf.DUMMYFUNCTION("""COMPUTED_VALUE"""),"3355-6138")</f>
        <v>3355-6138</v>
      </c>
      <c r="N866" s="11" t="str">
        <f>IFERROR(__xludf.DUMMYFUNCTION("""COMPUTED_VALUE"""),"drajojo@hotmail.com")</f>
        <v>drajojo@hotmail.com</v>
      </c>
      <c r="O866" s="29">
        <f>IFERROR(__xludf.DUMMYFUNCTION("""COMPUTED_VALUE"""),75362309404)</f>
        <v>75362309404</v>
      </c>
      <c r="P866" s="30" t="str">
        <f>IFERROR(__xludf.DUMMYFUNCTION("""COMPUTED_VALUE"""),"123899392700006")</f>
        <v>123899392700006</v>
      </c>
      <c r="Q866" s="30" t="str">
        <f>IFERROR(__xludf.DUMMYFUNCTION("""COMPUTED_VALUE"""),"5342074")</f>
        <v>5342074</v>
      </c>
      <c r="R866" s="30" t="str">
        <f>IFERROR(__xludf.DUMMYFUNCTION("""COMPUTED_VALUE"""),"0000155802")</f>
        <v>0000155802</v>
      </c>
      <c r="S866" s="30" t="str">
        <f>IFERROR(__xludf.DUMMYFUNCTION("""COMPUTED_VALUE"""),"1")</f>
        <v>1</v>
      </c>
      <c r="T866" s="30" t="str">
        <f>IFERROR(__xludf.DUMMYFUNCTION("""COMPUTED_VALUE"""),"223565")</f>
        <v>223565</v>
      </c>
      <c r="U866" s="31" t="str">
        <f>IFERROR(__xludf.DUMMYFUNCTION("""COMPUTED_VALUE"""),"2235")</f>
        <v>2235</v>
      </c>
      <c r="V866" s="11"/>
      <c r="W866" s="11">
        <f>IFERROR(__xludf.DUMMYFUNCTION("""COMPUTED_VALUE"""),30744105)</f>
        <v>30744105</v>
      </c>
      <c r="X866" s="11">
        <f>IFERROR(__xludf.DUMMYFUNCTION("""COMPUTED_VALUE"""),30621279)</f>
        <v>30621279</v>
      </c>
      <c r="Y866" s="11">
        <f>IFERROR(__xludf.DUMMYFUNCTION("""COMPUTED_VALUE"""),75362309404)</f>
        <v>75362309404</v>
      </c>
      <c r="Z866" s="11"/>
    </row>
    <row r="867" customHeight="1" spans="1:26">
      <c r="A867" s="11" t="str">
        <f>IFERROR(__xludf.DUMMYFUNCTION("""COMPUTED_VALUE"""),"RISIA RAPHAELY DO REGO BARROS MELO")</f>
        <v>RISIA RAPHAELY DO REGO BARROS MELO</v>
      </c>
      <c r="B867" s="11"/>
      <c r="C867" s="11"/>
      <c r="D867" s="11" t="str">
        <f>IFERROR(__xludf.DUMMYFUNCTION("""COMPUTED_VALUE"""),"Enfermeira eSF")</f>
        <v>Enfermeira eSF</v>
      </c>
      <c r="E867" s="11" t="str">
        <f>IFERROR(__xludf.DUMMYFUNCTION("""COMPUTED_VALUE"""),"V")</f>
        <v>V</v>
      </c>
      <c r="F867" s="11" t="str">
        <f>IFERROR(__xludf.DUMMYFUNCTION("""COMPUTED_VALUE"""),"US_338 USF UPINHA DIA JARDIM SAO PAULO")</f>
        <v>US_338 USF UPINHA DIA JARDIM SAO PAULO</v>
      </c>
      <c r="G867" s="11" t="str">
        <f>IFERROR(__xludf.DUMMYFUNCTION("""COMPUTED_VALUE"""),"US 338 USF UPINHA DIA JARDIM SAO PAULO")</f>
        <v>US 338 USF UPINHA DIA JARDIM SAO PAULO</v>
      </c>
      <c r="H867" s="27">
        <f>IFERROR(__xludf.DUMMYFUNCTION("""COMPUTED_VALUE"""),81997739370)</f>
        <v>81997739370</v>
      </c>
      <c r="I867" s="11"/>
      <c r="J867" s="11"/>
      <c r="K867" s="11"/>
      <c r="L867" s="11"/>
      <c r="M867" s="28" t="str">
        <f>IFERROR(__xludf.DUMMYFUNCTION("""COMPUTED_VALUE"""),"3355-6138")</f>
        <v>3355-6138</v>
      </c>
      <c r="N867" s="11" t="str">
        <f>IFERROR(__xludf.DUMMYFUNCTION("""COMPUTED_VALUE"""),"risiabarros@hotmail.com")</f>
        <v>risiabarros@hotmail.com</v>
      </c>
      <c r="O867" s="29">
        <f>IFERROR(__xludf.DUMMYFUNCTION("""COMPUTED_VALUE"""),3704123463)</f>
        <v>3704123463</v>
      </c>
      <c r="P867" s="30" t="str">
        <f>IFERROR(__xludf.DUMMYFUNCTION("""COMPUTED_VALUE"""),"207429070600001")</f>
        <v>207429070600001</v>
      </c>
      <c r="Q867" s="30" t="str">
        <f>IFERROR(__xludf.DUMMYFUNCTION("""COMPUTED_VALUE"""),"5342074")</f>
        <v>5342074</v>
      </c>
      <c r="R867" s="30" t="str">
        <f>IFERROR(__xludf.DUMMYFUNCTION("""COMPUTED_VALUE"""),"0000155810")</f>
        <v>0000155810</v>
      </c>
      <c r="S867" s="30" t="str">
        <f>IFERROR(__xludf.DUMMYFUNCTION("""COMPUTED_VALUE"""),"1")</f>
        <v>1</v>
      </c>
      <c r="T867" s="30" t="str">
        <f>IFERROR(__xludf.DUMMYFUNCTION("""COMPUTED_VALUE"""),"223565")</f>
        <v>223565</v>
      </c>
      <c r="U867" s="31" t="str">
        <f>IFERROR(__xludf.DUMMYFUNCTION("""COMPUTED_VALUE"""),"2235")</f>
        <v>2235</v>
      </c>
      <c r="V867" s="11"/>
      <c r="W867" s="11">
        <f>IFERROR(__xludf.DUMMYFUNCTION("""COMPUTED_VALUE"""),8197739370)</f>
        <v>8197739370</v>
      </c>
      <c r="X867" s="11">
        <f>IFERROR(__xludf.DUMMYFUNCTION("""COMPUTED_VALUE"""),8132545657)</f>
        <v>8132545657</v>
      </c>
      <c r="Y867" s="11">
        <f>IFERROR(__xludf.DUMMYFUNCTION("""COMPUTED_VALUE"""),3704123463)</f>
        <v>3704123463</v>
      </c>
      <c r="Z867" s="11"/>
    </row>
    <row r="868" customHeight="1" spans="1:26">
      <c r="A868" s="11" t="str">
        <f>IFERROR(__xludf.DUMMYFUNCTION("""COMPUTED_VALUE"""),"JANILDA FERREIRA DA SILVA")</f>
        <v>JANILDA FERREIRA DA SILVA</v>
      </c>
      <c r="B868" s="11" t="str">
        <f>IFERROR(__xludf.DUMMYFUNCTION("""COMPUTED_VALUE"""),"LICENÇA - RETORNA 15/11")</f>
        <v>LICENÇA - RETORNA 15/11</v>
      </c>
      <c r="C868" s="11"/>
      <c r="D868" s="11" t="str">
        <f>IFERROR(__xludf.DUMMYFUNCTION("""COMPUTED_VALUE"""),"Médica eSF")</f>
        <v>Médica eSF</v>
      </c>
      <c r="E868" s="11" t="str">
        <f>IFERROR(__xludf.DUMMYFUNCTION("""COMPUTED_VALUE"""),"VI")</f>
        <v>VI</v>
      </c>
      <c r="F868" s="11" t="str">
        <f>IFERROR(__xludf.DUMMYFUNCTION("""COMPUTED_VALUE"""),"US_342 USF DJALMA HOLANDA CAVALCANTE")</f>
        <v>US_342 USF DJALMA HOLANDA CAVALCANTE</v>
      </c>
      <c r="G868" s="11" t="str">
        <f>IFERROR(__xludf.DUMMYFUNCTION("""COMPUTED_VALUE"""),"USF DJAIR BRINDEIRO")</f>
        <v>USF DJAIR BRINDEIRO</v>
      </c>
      <c r="H868" s="27">
        <f>IFERROR(__xludf.DUMMYFUNCTION("""COMPUTED_VALUE"""),81992085066)</f>
        <v>81992085066</v>
      </c>
      <c r="I868" s="11"/>
      <c r="J868" s="11"/>
      <c r="K868" s="24">
        <f>IFERROR(__xludf.DUMMYFUNCTION("""COMPUTED_VALUE"""),45432)</f>
        <v>45432</v>
      </c>
      <c r="L868" s="11"/>
      <c r="M868" s="28" t="str">
        <f>IFERROR(__xludf.DUMMYFUNCTION("""COMPUTED_VALUE"""),"3355-0119")</f>
        <v>3355-0119</v>
      </c>
      <c r="N868" s="11" t="str">
        <f>IFERROR(__xludf.DUMMYFUNCTION("""COMPUTED_VALUE"""),"janildafsilva@hotmail.com")</f>
        <v>janildafsilva@hotmail.com</v>
      </c>
      <c r="O868" s="29">
        <f>IFERROR(__xludf.DUMMYFUNCTION("""COMPUTED_VALUE"""),45920109491)</f>
        <v>45920109491</v>
      </c>
      <c r="P868" s="30" t="str">
        <f>IFERROR(__xludf.DUMMYFUNCTION("""COMPUTED_VALUE"""),"200753888410009")</f>
        <v>200753888410009</v>
      </c>
      <c r="Q868" s="30" t="str">
        <f>IFERROR(__xludf.DUMMYFUNCTION("""COMPUTED_VALUE"""),"0002070")</f>
        <v>0002070</v>
      </c>
      <c r="R868" s="30" t="str">
        <f>IFERROR(__xludf.DUMMYFUNCTION("""COMPUTED_VALUE"""),"0000153427")</f>
        <v>0000153427</v>
      </c>
      <c r="S868" s="30" t="str">
        <f>IFERROR(__xludf.DUMMYFUNCTION("""COMPUTED_VALUE"""),"1")</f>
        <v>1</v>
      </c>
      <c r="T868" s="30" t="str">
        <f>IFERROR(__xludf.DUMMYFUNCTION("""COMPUTED_VALUE"""),"225142")</f>
        <v>225142</v>
      </c>
      <c r="U868" s="31" t="str">
        <f>IFERROR(__xludf.DUMMYFUNCTION("""COMPUTED_VALUE"""),"2251")</f>
        <v>2251</v>
      </c>
      <c r="V868" s="11"/>
      <c r="W868" s="11"/>
      <c r="X868" s="11">
        <f>IFERROR(__xludf.DUMMYFUNCTION("""COMPUTED_VALUE"""),87663838)</f>
        <v>87663838</v>
      </c>
      <c r="Y868" s="11">
        <f>IFERROR(__xludf.DUMMYFUNCTION("""COMPUTED_VALUE"""),97930515)</f>
        <v>97930515</v>
      </c>
      <c r="Z868" s="11">
        <f>IFERROR(__xludf.DUMMYFUNCTION("""COMPUTED_VALUE"""),45920109491)</f>
        <v>45920109491</v>
      </c>
    </row>
    <row r="869" customHeight="1" spans="1:26">
      <c r="A869" s="11" t="str">
        <f>IFERROR(__xludf.DUMMYFUNCTION("""COMPUTED_VALUE"""),"KAIO RODRIGO FERREIRA DA SILVA")</f>
        <v>KAIO RODRIGO FERREIRA DA SILVA</v>
      </c>
      <c r="B869" s="11"/>
      <c r="C869" s="11"/>
      <c r="D869" s="11" t="str">
        <f>IFERROR(__xludf.DUMMYFUNCTION("""COMPUTED_VALUE"""),"Médico eSF")</f>
        <v>Médico eSF</v>
      </c>
      <c r="E869" s="11" t="str">
        <f>IFERROR(__xludf.DUMMYFUNCTION("""COMPUTED_VALUE"""),"VI")</f>
        <v>VI</v>
      </c>
      <c r="F869" s="11" t="str">
        <f>IFERROR(__xludf.DUMMYFUNCTION("""COMPUTED_VALUE"""),"US_342 USF DJALMA HOLANDA CAVALCANTE")</f>
        <v>US_342 USF DJALMA HOLANDA CAVALCANTE</v>
      </c>
      <c r="G869" s="11" t="str">
        <f>IFERROR(__xludf.DUMMYFUNCTION("""COMPUTED_VALUE"""),"US 342 USF DJALMA HOLANDA CAVALCANTE")</f>
        <v>US 342 USF DJALMA HOLANDA CAVALCANTE</v>
      </c>
      <c r="H869" s="27">
        <f>IFERROR(__xludf.DUMMYFUNCTION("""COMPUTED_VALUE"""),81992388218)</f>
        <v>81992388218</v>
      </c>
      <c r="I869" s="11"/>
      <c r="J869" s="11"/>
      <c r="K869" s="11"/>
      <c r="L869" s="11"/>
      <c r="M869" s="28" t="str">
        <f>IFERROR(__xludf.DUMMYFUNCTION("""COMPUTED_VALUE"""),"3355-6122")</f>
        <v>3355-6122</v>
      </c>
      <c r="N869" s="11" t="str">
        <f>IFERROR(__xludf.DUMMYFUNCTION("""COMPUTED_VALUE"""),"kaiorfs@gmail.com")</f>
        <v>kaiorfs@gmail.com</v>
      </c>
      <c r="O869" s="29">
        <f>IFERROR(__xludf.DUMMYFUNCTION("""COMPUTED_VALUE"""),814977251)</f>
        <v>814977251</v>
      </c>
      <c r="P869" s="30" t="str">
        <f>IFERROR(__xludf.DUMMYFUNCTION("""COMPUTED_VALUE"""),"708504025431780")</f>
        <v>708504025431780</v>
      </c>
      <c r="Q869" s="30" t="str">
        <f>IFERROR(__xludf.DUMMYFUNCTION("""COMPUTED_VALUE"""),"5392136")</f>
        <v>5392136</v>
      </c>
      <c r="R869" s="30" t="str">
        <f>IFERROR(__xludf.DUMMYFUNCTION("""COMPUTED_VALUE"""),"0000155896")</f>
        <v>0000155896</v>
      </c>
      <c r="S869" s="30" t="str">
        <f>IFERROR(__xludf.DUMMYFUNCTION("""COMPUTED_VALUE"""),"3")</f>
        <v>3</v>
      </c>
      <c r="T869" s="30" t="str">
        <f>IFERROR(__xludf.DUMMYFUNCTION("""COMPUTED_VALUE"""),"225142")</f>
        <v>225142</v>
      </c>
      <c r="U869" s="31" t="str">
        <f>IFERROR(__xludf.DUMMYFUNCTION("""COMPUTED_VALUE"""),"2251")</f>
        <v>2251</v>
      </c>
      <c r="V869" s="11"/>
      <c r="W869" s="11"/>
      <c r="X869" s="11"/>
      <c r="Y869" s="11"/>
      <c r="Z869" s="11"/>
    </row>
    <row r="870" customHeight="1" spans="1:26">
      <c r="A870" s="11" t="str">
        <f>IFERROR(__xludf.DUMMYFUNCTION("""COMPUTED_VALUE"""),"LEONOR MAALOUF")</f>
        <v>LEONOR MAALOUF</v>
      </c>
      <c r="B870" s="11"/>
      <c r="C870" s="11"/>
      <c r="D870" s="11" t="str">
        <f>IFERROR(__xludf.DUMMYFUNCTION("""COMPUTED_VALUE"""),"Médico eSF")</f>
        <v>Médico eSF</v>
      </c>
      <c r="E870" s="11" t="str">
        <f>IFERROR(__xludf.DUMMYFUNCTION("""COMPUTED_VALUE"""),"VI")</f>
        <v>VI</v>
      </c>
      <c r="F870" s="11" t="str">
        <f>IFERROR(__xludf.DUMMYFUNCTION("""COMPUTED_VALUE"""),"US_174 USF SITIO GRANDE")</f>
        <v>US_174 USF SITIO GRANDE</v>
      </c>
      <c r="G870" s="11" t="str">
        <f>IFERROR(__xludf.DUMMYFUNCTION("""COMPUTED_VALUE"""),"US 342 USF DJALMA HOLANDA CAVALCANTE")</f>
        <v>US 342 USF DJALMA HOLANDA CAVALCANTE</v>
      </c>
      <c r="H870" s="27">
        <f>IFERROR(__xludf.DUMMYFUNCTION("""COMPUTED_VALUE"""),81991978638)</f>
        <v>81991978638</v>
      </c>
      <c r="I870" s="27">
        <f>IFERROR(__xludf.DUMMYFUNCTION("""COMPUTED_VALUE"""),81991972638)</f>
        <v>81991972638</v>
      </c>
      <c r="J870" s="11"/>
      <c r="K870" s="24">
        <f>IFERROR(__xludf.DUMMYFUNCTION("""COMPUTED_VALUE"""),45152)</f>
        <v>45152</v>
      </c>
      <c r="L870" s="11"/>
      <c r="M870" s="28" t="str">
        <f>IFERROR(__xludf.DUMMYFUNCTION("""COMPUTED_VALUE"""),"3355-6122")</f>
        <v>3355-6122</v>
      </c>
      <c r="N870" s="11" t="str">
        <f>IFERROR(__xludf.DUMMYFUNCTION("""COMPUTED_VALUE"""),"lemaalouf@ig.com.br / lemaalouf33@gmail.com")</f>
        <v>lemaalouf@ig.com.br / lemaalouf33@gmail.com</v>
      </c>
      <c r="O870" s="29">
        <f>IFERROR(__xludf.DUMMYFUNCTION("""COMPUTED_VALUE"""),6076510838)</f>
        <v>6076510838</v>
      </c>
      <c r="P870" s="30" t="str">
        <f>IFERROR(__xludf.DUMMYFUNCTION("""COMPUTED_VALUE"""),"201533411430008")</f>
        <v>201533411430008</v>
      </c>
      <c r="Q870" s="30" t="str">
        <f>IFERROR(__xludf.DUMMYFUNCTION("""COMPUTED_VALUE"""),"5392136")</f>
        <v>5392136</v>
      </c>
      <c r="R870" s="30" t="str">
        <f>IFERROR(__xludf.DUMMYFUNCTION("""COMPUTED_VALUE"""),"0000155861")</f>
        <v>0000155861</v>
      </c>
      <c r="S870" s="30" t="str">
        <f>IFERROR(__xludf.DUMMYFUNCTION("""COMPUTED_VALUE"""),"1")</f>
        <v>1</v>
      </c>
      <c r="T870" s="30" t="str">
        <f>IFERROR(__xludf.DUMMYFUNCTION("""COMPUTED_VALUE"""),"225142")</f>
        <v>225142</v>
      </c>
      <c r="U870" s="31" t="str">
        <f>IFERROR(__xludf.DUMMYFUNCTION("""COMPUTED_VALUE"""),"2251")</f>
        <v>2251</v>
      </c>
      <c r="V870" s="11"/>
      <c r="W870" s="11"/>
      <c r="X870" s="11">
        <f>IFERROR(__xludf.DUMMYFUNCTION("""COMPUTED_VALUE"""),8130749298)</f>
        <v>8130749298</v>
      </c>
      <c r="Y870" s="11">
        <f>IFERROR(__xludf.DUMMYFUNCTION("""COMPUTED_VALUE"""),8191972638)</f>
        <v>8191972638</v>
      </c>
      <c r="Z870" s="11">
        <f>IFERROR(__xludf.DUMMYFUNCTION("""COMPUTED_VALUE"""),6076510838)</f>
        <v>6076510838</v>
      </c>
    </row>
    <row r="871" customHeight="1" spans="1:26">
      <c r="A871" s="11" t="str">
        <f>IFERROR(__xludf.DUMMYFUNCTION("""COMPUTED_VALUE"""),"LUCIANA AVELINA PESSOA DA SILVA")</f>
        <v>LUCIANA AVELINA PESSOA DA SILVA</v>
      </c>
      <c r="B871" s="11"/>
      <c r="C871" s="11"/>
      <c r="D871" s="11" t="str">
        <f>IFERROR(__xludf.DUMMYFUNCTION("""COMPUTED_VALUE"""),"Dentista")</f>
        <v>Dentista</v>
      </c>
      <c r="E871" s="11" t="str">
        <f>IFERROR(__xludf.DUMMYFUNCTION("""COMPUTED_VALUE"""),"VI")</f>
        <v>VI</v>
      </c>
      <c r="F871" s="11" t="str">
        <f>IFERROR(__xludf.DUMMYFUNCTION("""COMPUTED_VALUE"""),"US_342 USF DJALMA HOLANDA CAVALCANTE")</f>
        <v>US_342 USF DJALMA HOLANDA CAVALCANTE</v>
      </c>
      <c r="G871" s="11" t="str">
        <f>IFERROR(__xludf.DUMMYFUNCTION("""COMPUTED_VALUE"""),"US 342 USF DJALMA HOLANDA CAVALCANTE")</f>
        <v>US 342 USF DJALMA HOLANDA CAVALCANTE</v>
      </c>
      <c r="H871" s="27">
        <f>IFERROR(__xludf.DUMMYFUNCTION("""COMPUTED_VALUE"""),81992420209)</f>
        <v>81992420209</v>
      </c>
      <c r="I871" s="11"/>
      <c r="J871" s="11"/>
      <c r="K871" s="11"/>
      <c r="L871" s="11"/>
      <c r="M871" s="28" t="str">
        <f>IFERROR(__xludf.DUMMYFUNCTION("""COMPUTED_VALUE"""),"3355-6122")</f>
        <v>3355-6122</v>
      </c>
      <c r="N871" s="11" t="str">
        <f>IFERROR(__xludf.DUMMYFUNCTION("""COMPUTED_VALUE"""),"luavelina2014@gmail.com")</f>
        <v>luavelina2014@gmail.com</v>
      </c>
      <c r="O871" s="29">
        <f>IFERROR(__xludf.DUMMYFUNCTION("""COMPUTED_VALUE"""),767724461)</f>
        <v>767724461</v>
      </c>
      <c r="P871" s="30" t="str">
        <f>IFERROR(__xludf.DUMMYFUNCTION("""COMPUTED_VALUE"""),"204325050020002	")</f>
        <v>204325050020002	</v>
      </c>
      <c r="Q871" s="30" t="str">
        <f>IFERROR(__xludf.DUMMYFUNCTION("""COMPUTED_VALUE"""),"5392136")</f>
        <v>5392136</v>
      </c>
      <c r="R871" s="30" t="str">
        <f>IFERROR(__xludf.DUMMYFUNCTION("""COMPUTED_VALUE"""),"0001889478")</f>
        <v>0001889478</v>
      </c>
      <c r="S871" s="30" t="str">
        <f>IFERROR(__xludf.DUMMYFUNCTION("""COMPUTED_VALUE"""),"1")</f>
        <v>1</v>
      </c>
      <c r="T871" s="30" t="str">
        <f>IFERROR(__xludf.DUMMYFUNCTION("""COMPUTED_VALUE"""),"223293")</f>
        <v>223293</v>
      </c>
      <c r="U871" s="31">
        <f>IFERROR(__xludf.DUMMYFUNCTION("""COMPUTED_VALUE"""),2232)</f>
        <v>2232</v>
      </c>
      <c r="V871" s="11"/>
      <c r="W871" s="11"/>
      <c r="X871" s="11"/>
      <c r="Y871" s="11"/>
      <c r="Z871" s="11"/>
    </row>
    <row r="872" customHeight="1" spans="1:26">
      <c r="A872" s="11" t="str">
        <f>IFERROR(__xludf.DUMMYFUNCTION("""COMPUTED_VALUE"""),"CARLA MENDES LEAO DURAES")</f>
        <v>CARLA MENDES LEAO DURAES</v>
      </c>
      <c r="B872" s="11" t="str">
        <f>IFERROR(__xludf.DUMMYFUNCTION("""COMPUTED_VALUE"""),"RECUSA TELECONSULTORIA")</f>
        <v>RECUSA TELECONSULTORIA</v>
      </c>
      <c r="C872" s="11"/>
      <c r="D872" s="11" t="str">
        <f>IFERROR(__xludf.DUMMYFUNCTION("""COMPUTED_VALUE"""),"Enfermeira eSF")</f>
        <v>Enfermeira eSF</v>
      </c>
      <c r="E872" s="11" t="str">
        <f>IFERROR(__xludf.DUMMYFUNCTION("""COMPUTED_VALUE"""),"VII")</f>
        <v>VII</v>
      </c>
      <c r="F872" s="11" t="str">
        <f>IFERROR(__xludf.DUMMYFUNCTION("""COMPUTED_VALUE"""),"PACS MARIO MONTEIRO DE MELO")</f>
        <v>PACS MARIO MONTEIRO DE MELO</v>
      </c>
      <c r="G872" s="11" t="str">
        <f>IFERROR(__xludf.DUMMYFUNCTION("""COMPUTED_VALUE"""),"US 120 CS MARIO MONTEIRO MELO")</f>
        <v>US 120 CS MARIO MONTEIRO MELO</v>
      </c>
      <c r="H872" s="27">
        <f>IFERROR(__xludf.DUMMYFUNCTION("""COMPUTED_VALUE"""),81999691155)</f>
        <v>81999691155</v>
      </c>
      <c r="I872" s="11"/>
      <c r="J872" s="11"/>
      <c r="K872" s="11"/>
      <c r="L872" s="28" t="str">
        <f>IFERROR(__xludf.DUMMYFUNCTION("""COMPUTED_VALUE"""),"X")</f>
        <v>X</v>
      </c>
      <c r="M872" s="28" t="str">
        <f>IFERROR(__xludf.DUMMYFUNCTION("""COMPUTED_VALUE"""),"3355-4385")</f>
        <v>3355-4385</v>
      </c>
      <c r="N872" s="11" t="str">
        <f>IFERROR(__xludf.DUMMYFUNCTION("""COMPUTED_VALUE"""),"carlaleaoduraes@gmail.com")</f>
        <v>carlaleaoduraes@gmail.com</v>
      </c>
      <c r="O872" s="29">
        <f>IFERROR(__xludf.DUMMYFUNCTION("""COMPUTED_VALUE"""),82020930404)</f>
        <v>82020930404</v>
      </c>
      <c r="P872" s="30" t="str">
        <f>IFERROR(__xludf.DUMMYFUNCTION("""COMPUTED_VALUE"""),"980016289586497")</f>
        <v>980016289586497</v>
      </c>
      <c r="Q872" s="30" t="str">
        <f>IFERROR(__xludf.DUMMYFUNCTION("""COMPUTED_VALUE"""),"0001317")</f>
        <v>0001317</v>
      </c>
      <c r="R872" s="30" t="str">
        <f>IFERROR(__xludf.DUMMYFUNCTION("""COMPUTED_VALUE"""),"0000153206")</f>
        <v>0000153206</v>
      </c>
      <c r="S872" s="30" t="str">
        <f>IFERROR(__xludf.DUMMYFUNCTION("""COMPUTED_VALUE"""),"1")</f>
        <v>1</v>
      </c>
      <c r="T872" s="30" t="str">
        <f>IFERROR(__xludf.DUMMYFUNCTION("""COMPUTED_VALUE"""),"223565")</f>
        <v>223565</v>
      </c>
      <c r="U872" s="31" t="str">
        <f>IFERROR(__xludf.DUMMYFUNCTION("""COMPUTED_VALUE"""),"2235")</f>
        <v>2235</v>
      </c>
      <c r="V872" s="11"/>
      <c r="W872" s="11"/>
      <c r="X872" s="11"/>
      <c r="Y872" s="11"/>
      <c r="Z872" s="11"/>
    </row>
    <row r="873" customHeight="1" spans="1:26">
      <c r="A873" s="11" t="str">
        <f>IFERROR(__xludf.DUMMYFUNCTION("""COMPUTED_VALUE"""),"MARIA HELENA DA SILVA MAGALHAES")</f>
        <v>MARIA HELENA DA SILVA MAGALHAES</v>
      </c>
      <c r="B873" s="11"/>
      <c r="C873" s="11"/>
      <c r="D873" s="11" t="str">
        <f>IFERROR(__xludf.DUMMYFUNCTION("""COMPUTED_VALUE"""),"Enfermeira")</f>
        <v>Enfermeira</v>
      </c>
      <c r="E873" s="11" t="str">
        <f>IFERROR(__xludf.DUMMYFUNCTION("""COMPUTED_VALUE"""),"VII")</f>
        <v>VII</v>
      </c>
      <c r="F873" s="11" t="str">
        <f>IFERROR(__xludf.DUMMYFUNCTION("""COMPUTED_VALUE"""),"US_163 HOSPITAL DE PEDIATRIA HELENA MOURA")</f>
        <v>US_163 HOSPITAL DE PEDIATRIA HELENA MOURA</v>
      </c>
      <c r="G873" s="11" t="str">
        <f>IFERROR(__xludf.DUMMYFUNCTION("""COMPUTED_VALUE"""),"US 120 CS MARIO MONTEIRO MELO")</f>
        <v>US 120 CS MARIO MONTEIRO MELO</v>
      </c>
      <c r="H873" s="27">
        <f>IFERROR(__xludf.DUMMYFUNCTION("""COMPUTED_VALUE"""),81996198458)</f>
        <v>81996198458</v>
      </c>
      <c r="I873" s="27">
        <f>IFERROR(__xludf.DUMMYFUNCTION("""COMPUTED_VALUE"""),81987089095)</f>
        <v>81987089095</v>
      </c>
      <c r="J873" s="11"/>
      <c r="K873" s="11"/>
      <c r="L873" s="11"/>
      <c r="M873" s="28" t="str">
        <f>IFERROR(__xludf.DUMMYFUNCTION("""COMPUTED_VALUE"""),"3355-4385")</f>
        <v>3355-4385</v>
      </c>
      <c r="N873" s="11" t="str">
        <f>IFERROR(__xludf.DUMMYFUNCTION("""COMPUTED_VALUE"""),"helenamagalhaesenf@hotmail.com")</f>
        <v>helenamagalhaesenf@hotmail.com</v>
      </c>
      <c r="O873" s="29">
        <f>IFERROR(__xludf.DUMMYFUNCTION("""COMPUTED_VALUE"""),73386693415)</f>
        <v>73386693415</v>
      </c>
      <c r="P873" s="30" t="str">
        <f>IFERROR(__xludf.DUMMYFUNCTION("""COMPUTED_VALUE"""),"204324355190008")</f>
        <v>204324355190008</v>
      </c>
      <c r="Q873" s="30" t="str">
        <f>IFERROR(__xludf.DUMMYFUNCTION("""COMPUTED_VALUE"""),"0001317")</f>
        <v>0001317</v>
      </c>
      <c r="R873" s="30" t="str">
        <f>IFERROR(__xludf.DUMMYFUNCTION("""COMPUTED_VALUE"""),"0000153214")</f>
        <v>0000153214</v>
      </c>
      <c r="S873" s="30" t="str">
        <f>IFERROR(__xludf.DUMMYFUNCTION("""COMPUTED_VALUE"""),"1")</f>
        <v>1</v>
      </c>
      <c r="T873" s="30" t="str">
        <f>IFERROR(__xludf.DUMMYFUNCTION("""COMPUTED_VALUE"""),"223565")</f>
        <v>223565</v>
      </c>
      <c r="U873" s="31" t="str">
        <f>IFERROR(__xludf.DUMMYFUNCTION("""COMPUTED_VALUE"""),"2235")</f>
        <v>2235</v>
      </c>
      <c r="V873" s="11"/>
      <c r="W873" s="11">
        <f>IFERROR(__xludf.DUMMYFUNCTION("""COMPUTED_VALUE"""),8196198458)</f>
        <v>8196198458</v>
      </c>
      <c r="X873" s="11">
        <f>IFERROR(__xludf.DUMMYFUNCTION("""COMPUTED_VALUE"""),8187089095)</f>
        <v>8187089095</v>
      </c>
      <c r="Y873" s="11">
        <f>IFERROR(__xludf.DUMMYFUNCTION("""COMPUTED_VALUE"""),73386693415)</f>
        <v>73386693415</v>
      </c>
      <c r="Z873" s="11"/>
    </row>
    <row r="874" customHeight="1" spans="1:26">
      <c r="A874" s="11" t="str">
        <f>IFERROR(__xludf.DUMMYFUNCTION("""COMPUTED_VALUE"""),"CLAUDIA CRISTINA OLIVEIRA DA ALMEIDA")</f>
        <v>CLAUDIA CRISTINA OLIVEIRA DA ALMEIDA</v>
      </c>
      <c r="B874" s="11"/>
      <c r="C874" s="11"/>
      <c r="D874" s="11" t="str">
        <f>IFERROR(__xludf.DUMMYFUNCTION("""COMPUTED_VALUE"""),"Enfermeira eSF")</f>
        <v>Enfermeira eSF</v>
      </c>
      <c r="E874" s="11" t="str">
        <f>IFERROR(__xludf.DUMMYFUNCTION("""COMPUTED_VALUE"""),"VII")</f>
        <v>VII</v>
      </c>
      <c r="F874" s="11" t="str">
        <f>IFERROR(__xludf.DUMMYFUNCTION("""COMPUTED_VALUE"""),"US_121 CS PROF BRUNO MAIA")</f>
        <v>US_121 CS PROF BRUNO MAIA</v>
      </c>
      <c r="G874" s="11" t="str">
        <f>IFERROR(__xludf.DUMMYFUNCTION("""COMPUTED_VALUE"""),"US 121 CS PROF BRUNO MAIA")</f>
        <v>US 121 CS PROF BRUNO MAIA</v>
      </c>
      <c r="H874" s="27">
        <f>IFERROR(__xludf.DUMMYFUNCTION("""COMPUTED_VALUE"""),81988341402)</f>
        <v>81988341402</v>
      </c>
      <c r="I874" s="27">
        <f>IFERROR(__xludf.DUMMYFUNCTION("""COMPUTED_VALUE"""),81883414029)</f>
        <v>81883414029</v>
      </c>
      <c r="J874" s="11"/>
      <c r="K874" s="11"/>
      <c r="L874" s="11"/>
      <c r="M874" s="28" t="str">
        <f>IFERROR(__xludf.DUMMYFUNCTION("""COMPUTED_VALUE"""),"3355-4416")</f>
        <v>3355-4416</v>
      </c>
      <c r="N874" s="11" t="str">
        <f>IFERROR(__xludf.DUMMYFUNCTION("""COMPUTED_VALUE"""),"claudiaalmeida33@gmail.com")</f>
        <v>claudiaalmeida33@gmail.com</v>
      </c>
      <c r="O874" s="29">
        <f>IFERROR(__xludf.DUMMYFUNCTION("""COMPUTED_VALUE"""),93206925487)</f>
        <v>93206925487</v>
      </c>
      <c r="P874" s="30" t="str">
        <f>IFERROR(__xludf.DUMMYFUNCTION("""COMPUTED_VALUE"""),"128616214530007")</f>
        <v>128616214530007</v>
      </c>
      <c r="Q874" s="30" t="str">
        <f>IFERROR(__xludf.DUMMYFUNCTION("""COMPUTED_VALUE"""),"0001058")</f>
        <v>0001058</v>
      </c>
      <c r="R874" s="30" t="str">
        <f>IFERROR(__xludf.DUMMYFUNCTION("""COMPUTED_VALUE"""),"0000152935")</f>
        <v>0000152935</v>
      </c>
      <c r="S874" s="30" t="str">
        <f>IFERROR(__xludf.DUMMYFUNCTION("""COMPUTED_VALUE"""),"1")</f>
        <v>1</v>
      </c>
      <c r="T874" s="30" t="str">
        <f>IFERROR(__xludf.DUMMYFUNCTION("""COMPUTED_VALUE"""),"223565")</f>
        <v>223565</v>
      </c>
      <c r="U874" s="31" t="str">
        <f>IFERROR(__xludf.DUMMYFUNCTION("""COMPUTED_VALUE"""),"2235")</f>
        <v>2235</v>
      </c>
      <c r="V874" s="11"/>
      <c r="W874" s="11" t="str">
        <f>IFERROR(__xludf.DUMMYFUNCTION("""COMPUTED_VALUE"""),"#N/A")</f>
        <v>#N/A</v>
      </c>
      <c r="X874" s="11" t="str">
        <f>IFERROR(__xludf.DUMMYFUNCTION("""COMPUTED_VALUE"""),"#N/A")</f>
        <v>#N/A</v>
      </c>
      <c r="Y874" s="11" t="str">
        <f>IFERROR(__xludf.DUMMYFUNCTION("""COMPUTED_VALUE"""),"#N/A")</f>
        <v>#N/A</v>
      </c>
      <c r="Z874" s="11"/>
    </row>
    <row r="875" customHeight="1" spans="1:26">
      <c r="A875" s="11" t="str">
        <f>IFERROR(__xludf.DUMMYFUNCTION("""COMPUTED_VALUE"""),"EDILZA JORDAO DE ANDRADE")</f>
        <v>EDILZA JORDAO DE ANDRADE</v>
      </c>
      <c r="B875" s="11"/>
      <c r="C875" s="11"/>
      <c r="D875" s="11" t="str">
        <f>IFERROR(__xludf.DUMMYFUNCTION("""COMPUTED_VALUE"""),"Médica Clínica")</f>
        <v>Médica Clínica</v>
      </c>
      <c r="E875" s="11" t="str">
        <f>IFERROR(__xludf.DUMMYFUNCTION("""COMPUTED_VALUE"""),"VII")</f>
        <v>VII</v>
      </c>
      <c r="F875" s="11" t="str">
        <f>IFERROR(__xludf.DUMMYFUNCTION("""COMPUTED_VALUE"""),"US_121 CS PROF BRUNO MAIA")</f>
        <v>US_121 CS PROF BRUNO MAIA</v>
      </c>
      <c r="G875" s="11" t="str">
        <f>IFERROR(__xludf.DUMMYFUNCTION("""COMPUTED_VALUE"""),"US 121 CS PROF BRUNO MAIA")</f>
        <v>US 121 CS PROF BRUNO MAIA</v>
      </c>
      <c r="H875" s="27">
        <f>IFERROR(__xludf.DUMMYFUNCTION("""COMPUTED_VALUE"""),81999764334)</f>
        <v>81999764334</v>
      </c>
      <c r="I875" s="11"/>
      <c r="J875" s="11"/>
      <c r="K875" s="11"/>
      <c r="L875" s="11"/>
      <c r="M875" s="28" t="str">
        <f>IFERROR(__xludf.DUMMYFUNCTION("""COMPUTED_VALUE"""),"3355-4416")</f>
        <v>3355-4416</v>
      </c>
      <c r="N875" s="11" t="str">
        <f>IFERROR(__xludf.DUMMYFUNCTION("""COMPUTED_VALUE"""),"edjordao@hotmail.com")</f>
        <v>edjordao@hotmail.com</v>
      </c>
      <c r="O875" s="29">
        <f>IFERROR(__xludf.DUMMYFUNCTION("""COMPUTED_VALUE"""),36409367449)</f>
        <v>36409367449</v>
      </c>
      <c r="P875" s="30" t="str">
        <f>IFERROR(__xludf.DUMMYFUNCTION("""COMPUTED_VALUE"""),"980016000102645")</f>
        <v>980016000102645</v>
      </c>
      <c r="Q875" s="30" t="str">
        <f>IFERROR(__xludf.DUMMYFUNCTION("""COMPUTED_VALUE"""),"0001058")</f>
        <v>0001058</v>
      </c>
      <c r="R875" s="11"/>
      <c r="S875" s="30" t="str">
        <f>IFERROR(__xludf.DUMMYFUNCTION("""COMPUTED_VALUE"""),"1")</f>
        <v>1</v>
      </c>
      <c r="T875" s="30" t="str">
        <f>IFERROR(__xludf.DUMMYFUNCTION("""COMPUTED_VALUE"""),"225125")</f>
        <v>225125</v>
      </c>
      <c r="U875" s="31">
        <f>IFERROR(__xludf.DUMMYFUNCTION("""COMPUTED_VALUE"""),2251)</f>
        <v>2251</v>
      </c>
      <c r="V875" s="11"/>
      <c r="W875" s="30" t="str">
        <f>IFERROR(__xludf.DUMMYFUNCTION("""COMPUTED_VALUE"""),"26/07/1960")</f>
        <v>26/07/1960</v>
      </c>
      <c r="X875" s="11">
        <f>IFERROR(__xludf.DUMMYFUNCTION("""COMPUTED_VALUE"""),8199764334)</f>
        <v>8199764334</v>
      </c>
      <c r="Y875" s="11">
        <f>IFERROR(__xludf.DUMMYFUNCTION("""COMPUTED_VALUE"""),8134412985)</f>
        <v>8134412985</v>
      </c>
      <c r="Z875" s="11">
        <f>IFERROR(__xludf.DUMMYFUNCTION("""COMPUTED_VALUE"""),36409367449)</f>
        <v>36409367449</v>
      </c>
    </row>
    <row r="876" customHeight="1" spans="1:26">
      <c r="A876" s="11" t="str">
        <f>IFERROR(__xludf.DUMMYFUNCTION("""COMPUTED_VALUE"""),"JOAO IDEMBURGO SILVA CRUZ FILHO")</f>
        <v>JOAO IDEMBURGO SILVA CRUZ FILHO</v>
      </c>
      <c r="B876" s="11"/>
      <c r="C876" s="11"/>
      <c r="D876" s="11" t="str">
        <f>IFERROR(__xludf.DUMMYFUNCTION("""COMPUTED_VALUE"""),"Enfermeiro eSF")</f>
        <v>Enfermeiro eSF</v>
      </c>
      <c r="E876" s="11" t="str">
        <f>IFERROR(__xludf.DUMMYFUNCTION("""COMPUTED_VALUE"""),"VII")</f>
        <v>VII</v>
      </c>
      <c r="F876" s="11" t="str">
        <f>IFERROR(__xludf.DUMMYFUNCTION("""COMPUTED_VALUE"""),"PACS PROF. BRUNO MAIA")</f>
        <v>PACS PROF. BRUNO MAIA</v>
      </c>
      <c r="G876" s="11" t="str">
        <f>IFERROR(__xludf.DUMMYFUNCTION("""COMPUTED_VALUE"""),"US 121 CS PROF BRUNO MAIA")</f>
        <v>US 121 CS PROF BRUNO MAIA</v>
      </c>
      <c r="H876" s="27">
        <f>IFERROR(__xludf.DUMMYFUNCTION("""COMPUTED_VALUE"""),81987771499)</f>
        <v>81987771499</v>
      </c>
      <c r="I876" s="27">
        <f>IFERROR(__xludf.DUMMYFUNCTION("""COMPUTED_VALUE"""),81998771499)</f>
        <v>81998771499</v>
      </c>
      <c r="J876" s="11"/>
      <c r="K876" s="11"/>
      <c r="L876" s="11"/>
      <c r="M876" s="28" t="str">
        <f>IFERROR(__xludf.DUMMYFUNCTION("""COMPUTED_VALUE"""),"3355-4416")</f>
        <v>3355-4416</v>
      </c>
      <c r="N876" s="11" t="str">
        <f>IFERROR(__xludf.DUMMYFUNCTION("""COMPUTED_VALUE"""),"joaofilhoenf@hotmail.com")</f>
        <v>joaofilhoenf@hotmail.com</v>
      </c>
      <c r="O876" s="29">
        <f>IFERROR(__xludf.DUMMYFUNCTION("""COMPUTED_VALUE"""),37628313)</f>
        <v>37628313</v>
      </c>
      <c r="P876" s="30" t="str">
        <f>IFERROR(__xludf.DUMMYFUNCTION("""COMPUTED_VALUE"""),"980016282796291")</f>
        <v>980016282796291</v>
      </c>
      <c r="Q876" s="30" t="str">
        <f>IFERROR(__xludf.DUMMYFUNCTION("""COMPUTED_VALUE"""),"0001058")</f>
        <v>0001058</v>
      </c>
      <c r="R876" s="30" t="str">
        <f>IFERROR(__xludf.DUMMYFUNCTION("""COMPUTED_VALUE"""),"0001559095")</f>
        <v>0001559095</v>
      </c>
      <c r="S876" s="30" t="str">
        <f>IFERROR(__xludf.DUMMYFUNCTION("""COMPUTED_VALUE"""),"1")</f>
        <v>1</v>
      </c>
      <c r="T876" s="30" t="str">
        <f>IFERROR(__xludf.DUMMYFUNCTION("""COMPUTED_VALUE"""),"223565")</f>
        <v>223565</v>
      </c>
      <c r="U876" s="31" t="str">
        <f>IFERROR(__xludf.DUMMYFUNCTION("""COMPUTED_VALUE"""),"2235")</f>
        <v>2235</v>
      </c>
      <c r="V876" s="11"/>
      <c r="W876" s="11" t="str">
        <f>IFERROR(__xludf.DUMMYFUNCTION("""COMPUTED_VALUE"""),"#N/A")</f>
        <v>#N/A</v>
      </c>
      <c r="X876" s="11" t="str">
        <f>IFERROR(__xludf.DUMMYFUNCTION("""COMPUTED_VALUE"""),"#N/A")</f>
        <v>#N/A</v>
      </c>
      <c r="Y876" s="11" t="str">
        <f>IFERROR(__xludf.DUMMYFUNCTION("""COMPUTED_VALUE"""),"#N/A")</f>
        <v>#N/A</v>
      </c>
      <c r="Z876" s="11"/>
    </row>
    <row r="877" customHeight="1" spans="1:26">
      <c r="A877" s="11" t="str">
        <f>IFERROR(__xludf.DUMMYFUNCTION("""COMPUTED_VALUE"""),"MARIA DA SALETT M R FALCAO")</f>
        <v>MARIA DA SALETT M R FALCAO</v>
      </c>
      <c r="B877" s="11"/>
      <c r="C877" s="11"/>
      <c r="D877" s="11" t="str">
        <f>IFERROR(__xludf.DUMMYFUNCTION("""COMPUTED_VALUE"""),"Dentista")</f>
        <v>Dentista</v>
      </c>
      <c r="E877" s="11" t="str">
        <f>IFERROR(__xludf.DUMMYFUNCTION("""COMPUTED_VALUE"""),"VII")</f>
        <v>VII</v>
      </c>
      <c r="F877" s="11" t="str">
        <f>IFERROR(__xludf.DUMMYFUNCTION("""COMPUTED_VALUE"""),"US_121 CS PROF BRUNO MAIA")</f>
        <v>US_121 CS PROF BRUNO MAIA</v>
      </c>
      <c r="G877" s="11" t="str">
        <f>IFERROR(__xludf.DUMMYFUNCTION("""COMPUTED_VALUE"""),"US 121 CS PROF BRUNO MAIA")</f>
        <v>US 121 CS PROF BRUNO MAIA</v>
      </c>
      <c r="H877" s="27">
        <f>IFERROR(__xludf.DUMMYFUNCTION("""COMPUTED_VALUE"""),81999775970)</f>
        <v>81999775970</v>
      </c>
      <c r="I877" s="11"/>
      <c r="J877" s="11"/>
      <c r="K877" s="11"/>
      <c r="L877" s="11"/>
      <c r="M877" s="28" t="str">
        <f>IFERROR(__xludf.DUMMYFUNCTION("""COMPUTED_VALUE"""),"3355-4416")</f>
        <v>3355-4416</v>
      </c>
      <c r="N877" s="11" t="str">
        <f>IFERROR(__xludf.DUMMYFUNCTION("""COMPUTED_VALUE"""),"SALETTFALCAO@HOTMAIL.COM")</f>
        <v>SALETTFALCAO@HOTMAIL.COM</v>
      </c>
      <c r="O877" s="29">
        <f>IFERROR(__xludf.DUMMYFUNCTION("""COMPUTED_VALUE"""),12849995487)</f>
        <v>12849995487</v>
      </c>
      <c r="P877" s="30" t="str">
        <f>IFERROR(__xludf.DUMMYFUNCTION("""COMPUTED_VALUE"""),"980016293541494")</f>
        <v>980016293541494</v>
      </c>
      <c r="Q877" s="30" t="str">
        <f>IFERROR(__xludf.DUMMYFUNCTION("""COMPUTED_VALUE"""),"0001058")</f>
        <v>0001058</v>
      </c>
      <c r="R877" s="30" t="str">
        <f>IFERROR(__xludf.DUMMYFUNCTION("""COMPUTED_VALUE"""),"0001801325	")</f>
        <v>0001801325	</v>
      </c>
      <c r="S877" s="30" t="str">
        <f>IFERROR(__xludf.DUMMYFUNCTION("""COMPUTED_VALUE"""),"1")</f>
        <v>1</v>
      </c>
      <c r="T877" s="30" t="str">
        <f>IFERROR(__xludf.DUMMYFUNCTION("""COMPUTED_VALUE"""),"223293")</f>
        <v>223293</v>
      </c>
      <c r="U877" s="31">
        <f>IFERROR(__xludf.DUMMYFUNCTION("""COMPUTED_VALUE"""),2232)</f>
        <v>2232</v>
      </c>
      <c r="V877" s="11"/>
      <c r="W877" s="11"/>
      <c r="X877" s="11"/>
      <c r="Y877" s="11"/>
      <c r="Z877" s="11"/>
    </row>
    <row r="878" customHeight="1" spans="1:26">
      <c r="A878" s="11" t="str">
        <f>IFERROR(__xludf.DUMMYFUNCTION("""COMPUTED_VALUE"""),"Michelline Barbosa das Chagas Albuquerque")</f>
        <v>Michelline Barbosa das Chagas Albuquerque</v>
      </c>
      <c r="B878" s="11"/>
      <c r="C878" s="11"/>
      <c r="D878" s="11" t="str">
        <f>IFERROR(__xludf.DUMMYFUNCTION("""COMPUTED_VALUE"""),"Enfermeira eSF")</f>
        <v>Enfermeira eSF</v>
      </c>
      <c r="E878" s="11" t="str">
        <f>IFERROR(__xludf.DUMMYFUNCTION("""COMPUTED_VALUE"""),"VII")</f>
        <v>VII</v>
      </c>
      <c r="F878" s="11" t="str">
        <f>IFERROR(__xludf.DUMMYFUNCTION("""COMPUTED_VALUE"""),"")</f>
        <v/>
      </c>
      <c r="G878" s="11" t="str">
        <f>IFERROR(__xludf.DUMMYFUNCTION("""COMPUTED_VALUE"""),"US 152 PACS INA ROSA BORGES")</f>
        <v>US 152 PACS INA ROSA BORGES</v>
      </c>
      <c r="H878" s="27">
        <f>IFERROR(__xludf.DUMMYFUNCTION("""COMPUTED_VALUE"""),81989209360)</f>
        <v>81989209360</v>
      </c>
      <c r="I878" s="11"/>
      <c r="J878" s="11"/>
      <c r="K878" s="24">
        <f>IFERROR(__xludf.DUMMYFUNCTION("""COMPUTED_VALUE"""),45351)</f>
        <v>45351</v>
      </c>
      <c r="L878" s="11"/>
      <c r="M878" s="11"/>
      <c r="N878" s="11"/>
      <c r="O878" s="11"/>
      <c r="P878" s="11"/>
      <c r="Q878" s="11"/>
      <c r="R878" s="11"/>
      <c r="S878" s="11"/>
      <c r="T878" s="11"/>
      <c r="U878" s="11"/>
      <c r="V878" s="11"/>
      <c r="W878" s="11"/>
      <c r="X878" s="11"/>
      <c r="Y878" s="11"/>
      <c r="Z878" s="11"/>
    </row>
    <row r="879" customHeight="1" spans="1:26">
      <c r="A879" s="11" t="str">
        <f>IFERROR(__xludf.DUMMYFUNCTION("""COMPUTED_VALUE"""),"ERICA FIGUEREDO MOREIRA")</f>
        <v>ERICA FIGUEREDO MOREIRA</v>
      </c>
      <c r="B879" s="11"/>
      <c r="C879" s="11"/>
      <c r="D879" s="11" t="str">
        <f>IFERROR(__xludf.DUMMYFUNCTION("""COMPUTED_VALUE"""),"Enfermeira eSF")</f>
        <v>Enfermeira eSF</v>
      </c>
      <c r="E879" s="11" t="str">
        <f>IFERROR(__xludf.DUMMYFUNCTION("""COMPUTED_VALUE"""),"VII")</f>
        <v>VII</v>
      </c>
      <c r="F879" s="11" t="str">
        <f>IFERROR(__xludf.DUMMYFUNCTION("""COMPUTED_VALUE"""),"PACS INA ROSA BORGES")</f>
        <v>PACS INA ROSA BORGES</v>
      </c>
      <c r="G879" s="11" t="str">
        <f>IFERROR(__xludf.DUMMYFUNCTION("""COMPUTED_VALUE"""),"US 152 CS INA ROSA BORGES")</f>
        <v>US 152 CS INA ROSA BORGES</v>
      </c>
      <c r="H879" s="27">
        <f>IFERROR(__xludf.DUMMYFUNCTION("""COMPUTED_VALUE"""),81995381242)</f>
        <v>81995381242</v>
      </c>
      <c r="I879" s="11"/>
      <c r="J879" s="11"/>
      <c r="K879" s="11"/>
      <c r="L879" s="11"/>
      <c r="M879" s="28" t="str">
        <f>IFERROR(__xludf.DUMMYFUNCTION("""COMPUTED_VALUE"""),"3355-4408")</f>
        <v>3355-4408</v>
      </c>
      <c r="N879" s="11" t="str">
        <f>IFERROR(__xludf.DUMMYFUNCTION("""COMPUTED_VALUE"""),"erica.f.m@hotmail.com")</f>
        <v>erica.f.m@hotmail.com</v>
      </c>
      <c r="O879" s="29">
        <f>IFERROR(__xludf.DUMMYFUNCTION("""COMPUTED_VALUE"""),1088788483)</f>
        <v>1088788483</v>
      </c>
      <c r="P879" s="30" t="str">
        <f>IFERROR(__xludf.DUMMYFUNCTION("""COMPUTED_VALUE"""),"201563458750009")</f>
        <v>201563458750009</v>
      </c>
      <c r="Q879" s="30" t="str">
        <f>IFERROR(__xludf.DUMMYFUNCTION("""COMPUTED_VALUE"""),"0001236")</f>
        <v>0001236</v>
      </c>
      <c r="R879" s="30" t="str">
        <f>IFERROR(__xludf.DUMMYFUNCTION("""COMPUTED_VALUE"""),"0000153125")</f>
        <v>0000153125</v>
      </c>
      <c r="S879" s="30" t="str">
        <f>IFERROR(__xludf.DUMMYFUNCTION("""COMPUTED_VALUE"""),"1")</f>
        <v>1</v>
      </c>
      <c r="T879" s="30" t="str">
        <f>IFERROR(__xludf.DUMMYFUNCTION("""COMPUTED_VALUE"""),"223565")</f>
        <v>223565</v>
      </c>
      <c r="U879" s="31" t="str">
        <f>IFERROR(__xludf.DUMMYFUNCTION("""COMPUTED_VALUE"""),"2235")</f>
        <v>2235</v>
      </c>
      <c r="V879" s="11"/>
      <c r="W879" s="11">
        <f>IFERROR(__xludf.DUMMYFUNCTION("""COMPUTED_VALUE"""),8195381242)</f>
        <v>8195381242</v>
      </c>
      <c r="X879" s="11">
        <f>IFERROR(__xludf.DUMMYFUNCTION("""COMPUTED_VALUE"""),8387279324)</f>
        <v>8387279324</v>
      </c>
      <c r="Y879" s="11">
        <f>IFERROR(__xludf.DUMMYFUNCTION("""COMPUTED_VALUE"""),1088788483)</f>
        <v>1088788483</v>
      </c>
      <c r="Z879" s="11"/>
    </row>
    <row r="880" customHeight="1" spans="1:26">
      <c r="A880" s="11" t="str">
        <f>IFERROR(__xludf.DUMMYFUNCTION("""COMPUTED_VALUE"""),"JOSILENY DE LIMA BARBOSA")</f>
        <v>JOSILENY DE LIMA BARBOSA</v>
      </c>
      <c r="B880" s="11"/>
      <c r="C880" s="11"/>
      <c r="D880" s="11" t="str">
        <f>IFERROR(__xludf.DUMMYFUNCTION("""COMPUTED_VALUE"""),"Enfermeira eSF")</f>
        <v>Enfermeira eSF</v>
      </c>
      <c r="E880" s="11" t="str">
        <f>IFERROR(__xludf.DUMMYFUNCTION("""COMPUTED_VALUE"""),"VII")</f>
        <v>VII</v>
      </c>
      <c r="F880" s="11" t="str">
        <f>IFERROR(__xludf.DUMMYFUNCTION("""COMPUTED_VALUE"""),"PACS INA ROSA BORGES")</f>
        <v>PACS INA ROSA BORGES</v>
      </c>
      <c r="G880" s="11" t="str">
        <f>IFERROR(__xludf.DUMMYFUNCTION("""COMPUTED_VALUE"""),"US 152 CS INA ROSA BORGES")</f>
        <v>US 152 CS INA ROSA BORGES</v>
      </c>
      <c r="H880" s="27">
        <f>IFERROR(__xludf.DUMMYFUNCTION("""COMPUTED_VALUE"""),81988053692)</f>
        <v>81988053692</v>
      </c>
      <c r="I880" s="27">
        <f>IFERROR(__xludf.DUMMYFUNCTION("""COMPUTED_VALUE"""),81997277202)</f>
        <v>81997277202</v>
      </c>
      <c r="J880" s="11"/>
      <c r="K880" s="33">
        <f>IFERROR(__xludf.DUMMYFUNCTION("""COMPUTED_VALUE"""),45250)</f>
        <v>45250</v>
      </c>
      <c r="L880" s="11"/>
      <c r="M880" s="28" t="str">
        <f>IFERROR(__xludf.DUMMYFUNCTION("""COMPUTED_VALUE"""),"3355-4408")</f>
        <v>3355-4408</v>
      </c>
      <c r="N880" s="11" t="str">
        <f>IFERROR(__xludf.DUMMYFUNCTION("""COMPUTED_VALUE"""),"josileny_lima@msn.com")</f>
        <v>josileny_lima@msn.com</v>
      </c>
      <c r="O880" s="29">
        <f>IFERROR(__xludf.DUMMYFUNCTION("""COMPUTED_VALUE"""),3062254416)</f>
        <v>3062254416</v>
      </c>
      <c r="P880" s="30" t="str">
        <f>IFERROR(__xludf.DUMMYFUNCTION("""COMPUTED_VALUE"""),"207429049080002")</f>
        <v>207429049080002</v>
      </c>
      <c r="Q880" s="30" t="str">
        <f>IFERROR(__xludf.DUMMYFUNCTION("""COMPUTED_VALUE"""),"0001236")</f>
        <v>0001236</v>
      </c>
      <c r="R880" s="30" t="str">
        <f>IFERROR(__xludf.DUMMYFUNCTION("""COMPUTED_VALUE"""),"0000153109")</f>
        <v>0000153109</v>
      </c>
      <c r="S880" s="30" t="str">
        <f>IFERROR(__xludf.DUMMYFUNCTION("""COMPUTED_VALUE"""),"1")</f>
        <v>1</v>
      </c>
      <c r="T880" s="30" t="str">
        <f>IFERROR(__xludf.DUMMYFUNCTION("""COMPUTED_VALUE"""),"223565")</f>
        <v>223565</v>
      </c>
      <c r="U880" s="31" t="str">
        <f>IFERROR(__xludf.DUMMYFUNCTION("""COMPUTED_VALUE"""),"2235")</f>
        <v>2235</v>
      </c>
      <c r="V880" s="11"/>
      <c r="W880" s="11">
        <f>IFERROR(__xludf.DUMMYFUNCTION("""COMPUTED_VALUE"""),8188053692)</f>
        <v>8188053692</v>
      </c>
      <c r="X880" s="11">
        <f>IFERROR(__xludf.DUMMYFUNCTION("""COMPUTED_VALUE"""),8134987159)</f>
        <v>8134987159</v>
      </c>
      <c r="Y880" s="11">
        <f>IFERROR(__xludf.DUMMYFUNCTION("""COMPUTED_VALUE"""),3062254416)</f>
        <v>3062254416</v>
      </c>
      <c r="Z880" s="11"/>
    </row>
    <row r="881" customHeight="1" spans="1:26">
      <c r="A881" s="11" t="str">
        <f>IFERROR(__xludf.DUMMYFUNCTION("""COMPUTED_VALUE"""),"GISELE GOUVEIA MUNIZ")</f>
        <v>GISELE GOUVEIA MUNIZ</v>
      </c>
      <c r="B881" s="11"/>
      <c r="C881" s="11"/>
      <c r="D881" s="11" t="str">
        <f>IFERROR(__xludf.DUMMYFUNCTION("""COMPUTED_VALUE"""),"Médica eSF")</f>
        <v>Médica eSF</v>
      </c>
      <c r="E881" s="11" t="str">
        <f>IFERROR(__xludf.DUMMYFUNCTION("""COMPUTED_VALUE"""),"VII")</f>
        <v>VII</v>
      </c>
      <c r="F881" s="11" t="str">
        <f>IFERROR(__xludf.DUMMYFUNCTION("""COMPUTED_VALUE"""),"US_352 USF UPINHA 24H DR HELIO MENDONCA COR DO JENIPAPO")</f>
        <v>US_352 USF UPINHA 24H DR HELIO MENDONCA COR DO JENIPAPO</v>
      </c>
      <c r="G881" s="11" t="str">
        <f>IFERROR(__xludf.DUMMYFUNCTION("""COMPUTED_VALUE"""),"US 175 USF DR DIOGENES CAVALCANTI")</f>
        <v>US 175 USF DR DIOGENES CAVALCANTI</v>
      </c>
      <c r="H881" s="27">
        <f>IFERROR(__xludf.DUMMYFUNCTION("""COMPUTED_VALUE"""),81999479758)</f>
        <v>81999479758</v>
      </c>
      <c r="I881" s="27">
        <f>IFERROR(__xludf.DUMMYFUNCTION("""COMPUTED_VALUE"""),81998479758)</f>
        <v>81998479758</v>
      </c>
      <c r="J881" s="11"/>
      <c r="K881" s="11"/>
      <c r="L881" s="11"/>
      <c r="M881" s="28" t="str">
        <f>IFERROR(__xludf.DUMMYFUNCTION("""COMPUTED_VALUE"""),"3355-6402")</f>
        <v>3355-6402</v>
      </c>
      <c r="N881" s="11" t="str">
        <f>IFERROR(__xludf.DUMMYFUNCTION("""COMPUTED_VALUE"""),"gi.gouveia@hotmail.com")</f>
        <v>gi.gouveia@hotmail.com</v>
      </c>
      <c r="O881" s="29">
        <f>IFERROR(__xludf.DUMMYFUNCTION("""COMPUTED_VALUE"""),5669192494)</f>
        <v>5669192494</v>
      </c>
      <c r="P881" s="30" t="str">
        <f>IFERROR(__xludf.DUMMYFUNCTION("""COMPUTED_VALUE"""),"701204099085717")</f>
        <v>701204099085717</v>
      </c>
      <c r="Q881" s="30" t="str">
        <f>IFERROR(__xludf.DUMMYFUNCTION("""COMPUTED_VALUE"""),"0001244")</f>
        <v>0001244</v>
      </c>
      <c r="R881" s="30" t="str">
        <f>IFERROR(__xludf.DUMMYFUNCTION("""COMPUTED_VALUE"""),"0000153141")</f>
        <v>0000153141</v>
      </c>
      <c r="S881" s="30" t="str">
        <f>IFERROR(__xludf.DUMMYFUNCTION("""COMPUTED_VALUE"""),"1")</f>
        <v>1</v>
      </c>
      <c r="T881" s="30" t="str">
        <f>IFERROR(__xludf.DUMMYFUNCTION("""COMPUTED_VALUE"""),"225142")</f>
        <v>225142</v>
      </c>
      <c r="U881" s="31" t="str">
        <f>IFERROR(__xludf.DUMMYFUNCTION("""COMPUTED_VALUE"""),"2251")</f>
        <v>2251</v>
      </c>
      <c r="V881" s="11"/>
      <c r="W881" s="11"/>
      <c r="X881" s="11" t="str">
        <f>IFERROR(__xludf.DUMMYFUNCTION("""COMPUTED_VALUE"""),"#N/A")</f>
        <v>#N/A</v>
      </c>
      <c r="Y881" s="11" t="str">
        <f>IFERROR(__xludf.DUMMYFUNCTION("""COMPUTED_VALUE"""),"#N/A")</f>
        <v>#N/A</v>
      </c>
      <c r="Z881" s="11" t="str">
        <f>IFERROR(__xludf.DUMMYFUNCTION("""COMPUTED_VALUE"""),"#N/A")</f>
        <v>#N/A</v>
      </c>
    </row>
    <row r="882" customHeight="1" spans="1:26">
      <c r="A882" s="11" t="str">
        <f>IFERROR(__xludf.DUMMYFUNCTION("""COMPUTED_VALUE"""),"PEDRO HIGOR")</f>
        <v>PEDRO HIGOR</v>
      </c>
      <c r="B882" s="11"/>
      <c r="C882" s="11"/>
      <c r="D882" s="11" t="str">
        <f>IFERROR(__xludf.DUMMYFUNCTION("""COMPUTED_VALUE"""),"Médico eSF")</f>
        <v>Médico eSF</v>
      </c>
      <c r="E882" s="11" t="str">
        <f>IFERROR(__xludf.DUMMYFUNCTION("""COMPUTED_VALUE"""),"VII")</f>
        <v>VII</v>
      </c>
      <c r="F882" s="11" t="str">
        <f>IFERROR(__xludf.DUMMYFUNCTION("""COMPUTED_VALUE"""),"US 175 USF DR DIOGENES CAVALCANTI")</f>
        <v>US 175 USF DR DIOGENES CAVALCANTI</v>
      </c>
      <c r="G882" s="11" t="str">
        <f>IFERROR(__xludf.DUMMYFUNCTION("""COMPUTED_VALUE"""),"US 175 USF DR DIOGENES CAVALCANTI")</f>
        <v>US 175 USF DR DIOGENES CAVALCANTI</v>
      </c>
      <c r="H882" s="27">
        <f>IFERROR(__xludf.DUMMYFUNCTION("""COMPUTED_VALUE"""),81991837221)</f>
        <v>81991837221</v>
      </c>
      <c r="I882" s="11"/>
      <c r="J882" s="11"/>
      <c r="K882" s="24">
        <f>IFERROR(__xludf.DUMMYFUNCTION("""COMPUTED_VALUE"""),45343)</f>
        <v>45343</v>
      </c>
      <c r="L882" s="11"/>
      <c r="M882" s="11"/>
      <c r="N882" s="11"/>
      <c r="O882" s="11"/>
      <c r="P882" s="11"/>
      <c r="Q882" s="11"/>
      <c r="R882" s="11"/>
      <c r="S882" s="11"/>
      <c r="T882" s="11"/>
      <c r="U882" s="11"/>
      <c r="V882" s="11"/>
      <c r="W882" s="11"/>
      <c r="X882" s="11"/>
      <c r="Y882" s="11"/>
      <c r="Z882" s="11"/>
    </row>
    <row r="883" customHeight="1" spans="1:26">
      <c r="A883" s="11" t="str">
        <f>IFERROR(__xludf.DUMMYFUNCTION("""COMPUTED_VALUE"""),"RUBENS CAVALCANTI FREIRE DA SILVA 175")</f>
        <v>RUBENS CAVALCANTI FREIRE DA SILVA 175</v>
      </c>
      <c r="B883" s="11"/>
      <c r="C883" s="11"/>
      <c r="D883" s="11" t="str">
        <f>IFERROR(__xludf.DUMMYFUNCTION("""COMPUTED_VALUE"""),"Médico eSF")</f>
        <v>Médico eSF</v>
      </c>
      <c r="E883" s="11" t="str">
        <f>IFERROR(__xludf.DUMMYFUNCTION("""COMPUTED_VALUE"""),"VII")</f>
        <v>VII</v>
      </c>
      <c r="F883" s="11" t="str">
        <f>IFERROR(__xludf.DUMMYFUNCTION("""COMPUTED_VALUE"""),"US_216 USF APIPUCOS")</f>
        <v>US_216 USF APIPUCOS</v>
      </c>
      <c r="G883" s="11" t="str">
        <f>IFERROR(__xludf.DUMMYFUNCTION("""COMPUTED_VALUE"""),"US 175 USF DR DIOGENES CAVALCANTI")</f>
        <v>US 175 USF DR DIOGENES CAVALCANTI</v>
      </c>
      <c r="H883" s="27">
        <f>IFERROR(__xludf.DUMMYFUNCTION("""COMPUTED_VALUE"""),81999057066)</f>
        <v>81999057066</v>
      </c>
      <c r="I883" s="11"/>
      <c r="J883" s="11"/>
      <c r="K883" s="11"/>
      <c r="L883" s="11"/>
      <c r="M883" s="28" t="str">
        <f>IFERROR(__xludf.DUMMYFUNCTION("""COMPUTED_VALUE"""),"3355-6402")</f>
        <v>3355-6402</v>
      </c>
      <c r="N883" s="11" t="str">
        <f>IFERROR(__xludf.DUMMYFUNCTION("""COMPUTED_VALUE"""),"rubenscavalcanti@gmail.com")</f>
        <v>rubenscavalcanti@gmail.com</v>
      </c>
      <c r="O883" s="29">
        <f>IFERROR(__xludf.DUMMYFUNCTION("""COMPUTED_VALUE"""),6280918424)</f>
        <v>6280918424</v>
      </c>
      <c r="P883" s="30" t="str">
        <f>IFERROR(__xludf.DUMMYFUNCTION("""COMPUTED_VALUE"""),"980016287911374")</f>
        <v>980016287911374</v>
      </c>
      <c r="Q883" s="30" t="str">
        <f>IFERROR(__xludf.DUMMYFUNCTION("""COMPUTED_VALUE"""),"0001244")</f>
        <v>0001244</v>
      </c>
      <c r="R883" s="11"/>
      <c r="S883" s="30" t="str">
        <f>IFERROR(__xludf.DUMMYFUNCTION("""COMPUTED_VALUE"""),"1")</f>
        <v>1</v>
      </c>
      <c r="T883" s="30" t="str">
        <f>IFERROR(__xludf.DUMMYFUNCTION("""COMPUTED_VALUE"""),"225142")</f>
        <v>225142</v>
      </c>
      <c r="U883" s="31" t="str">
        <f>IFERROR(__xludf.DUMMYFUNCTION("""COMPUTED_VALUE"""),"2251")</f>
        <v>2251</v>
      </c>
      <c r="V883" s="11"/>
      <c r="W883" s="11"/>
      <c r="X883" s="11" t="str">
        <f>IFERROR(__xludf.DUMMYFUNCTION("""COMPUTED_VALUE"""),"#N/A")</f>
        <v>#N/A</v>
      </c>
      <c r="Y883" s="11" t="str">
        <f>IFERROR(__xludf.DUMMYFUNCTION("""COMPUTED_VALUE"""),"#N/A")</f>
        <v>#N/A</v>
      </c>
      <c r="Z883" s="11" t="str">
        <f>IFERROR(__xludf.DUMMYFUNCTION("""COMPUTED_VALUE"""),"#N/A")</f>
        <v>#N/A</v>
      </c>
    </row>
    <row r="884" customHeight="1" spans="1:26">
      <c r="A884" s="11" t="str">
        <f>IFERROR(__xludf.DUMMYFUNCTION("""COMPUTED_VALUE"""),"LUIZ FERNANDO A. SOARES FILHO")</f>
        <v>LUIZ FERNANDO A. SOARES FILHO</v>
      </c>
      <c r="B884" s="11"/>
      <c r="C884" s="11"/>
      <c r="D884" s="11" t="str">
        <f>IFERROR(__xludf.DUMMYFUNCTION("""COMPUTED_VALUE"""),"Dentista")</f>
        <v>Dentista</v>
      </c>
      <c r="E884" s="11" t="str">
        <f>IFERROR(__xludf.DUMMYFUNCTION("""COMPUTED_VALUE"""),"VII")</f>
        <v>VII</v>
      </c>
      <c r="F884" s="11" t="str">
        <f>IFERROR(__xludf.DUMMYFUNCTION("""COMPUTED_VALUE"""),"US_183 USF SITIO DOS MACACOS")</f>
        <v>US_183 USF SITIO DOS MACACOS</v>
      </c>
      <c r="G884" s="11" t="str">
        <f>IFERROR(__xludf.DUMMYFUNCTION("""COMPUTED_VALUE"""),"US 183 USF SITIO DOS MACACOS")</f>
        <v>US 183 USF SITIO DOS MACACOS</v>
      </c>
      <c r="H884" s="27">
        <f>IFERROR(__xludf.DUMMYFUNCTION("""COMPUTED_VALUE"""),81988133713)</f>
        <v>81988133713</v>
      </c>
      <c r="I884" s="11"/>
      <c r="J884" s="11"/>
      <c r="K884" s="11"/>
      <c r="L884" s="11"/>
      <c r="M884" s="28" t="str">
        <f>IFERROR(__xludf.DUMMYFUNCTION("""COMPUTED_VALUE"""),"3355-0021")</f>
        <v>3355-0021</v>
      </c>
      <c r="N884" s="11" t="str">
        <f>IFERROR(__xludf.DUMMYFUNCTION("""COMPUTED_VALUE"""),"luizodontoufpe@hotmail.com")</f>
        <v>luizodontoufpe@hotmail.com</v>
      </c>
      <c r="O884" s="29">
        <f>IFERROR(__xludf.DUMMYFUNCTION("""COMPUTED_VALUE"""),4022291427)</f>
        <v>4022291427</v>
      </c>
      <c r="P884" s="30" t="str">
        <f>IFERROR(__xludf.DUMMYFUNCTION("""COMPUTED_VALUE"""),"980016001925378	")</f>
        <v>980016001925378	</v>
      </c>
      <c r="Q884" s="30" t="str">
        <f>IFERROR(__xludf.DUMMYFUNCTION("""COMPUTED_VALUE"""),"0002097")</f>
        <v>0002097</v>
      </c>
      <c r="R884" s="30" t="str">
        <f>IFERROR(__xludf.DUMMYFUNCTION("""COMPUTED_VALUE"""),"0001736809")</f>
        <v>0001736809</v>
      </c>
      <c r="S884" s="30" t="str">
        <f>IFERROR(__xludf.DUMMYFUNCTION("""COMPUTED_VALUE"""),"1")</f>
        <v>1</v>
      </c>
      <c r="T884" s="30" t="str">
        <f>IFERROR(__xludf.DUMMYFUNCTION("""COMPUTED_VALUE"""),"223293")</f>
        <v>223293</v>
      </c>
      <c r="U884" s="31">
        <f>IFERROR(__xludf.DUMMYFUNCTION("""COMPUTED_VALUE"""),2232)</f>
        <v>2232</v>
      </c>
      <c r="V884" s="11"/>
      <c r="W884" s="11"/>
      <c r="X884" s="11"/>
      <c r="Y884" s="11"/>
      <c r="Z884" s="11"/>
    </row>
    <row r="885" customHeight="1" spans="1:26">
      <c r="A885" s="11" t="str">
        <f>IFERROR(__xludf.DUMMYFUNCTION("""COMPUTED_VALUE"""),"SIMONE MARIA DE ASSIS")</f>
        <v>SIMONE MARIA DE ASSIS</v>
      </c>
      <c r="B885" s="11"/>
      <c r="C885" s="11"/>
      <c r="D885" s="11" t="str">
        <f>IFERROR(__xludf.DUMMYFUNCTION("""COMPUTED_VALUE"""),"Enfermeira eSF")</f>
        <v>Enfermeira eSF</v>
      </c>
      <c r="E885" s="11" t="str">
        <f>IFERROR(__xludf.DUMMYFUNCTION("""COMPUTED_VALUE"""),"VII")</f>
        <v>VII</v>
      </c>
      <c r="F885" s="11" t="str">
        <f>IFERROR(__xludf.DUMMYFUNCTION("""COMPUTED_VALUE"""),"US_183 USF SITIO DOS MACACOS")</f>
        <v>US_183 USF SITIO DOS MACACOS</v>
      </c>
      <c r="G885" s="11" t="str">
        <f>IFERROR(__xludf.DUMMYFUNCTION("""COMPUTED_VALUE"""),"US 183 USF SITIO DOS MACACOS")</f>
        <v>US 183 USF SITIO DOS MACACOS</v>
      </c>
      <c r="H885" s="27">
        <f>IFERROR(__xludf.DUMMYFUNCTION("""COMPUTED_VALUE"""),81992474624)</f>
        <v>81992474624</v>
      </c>
      <c r="I885" s="11"/>
      <c r="J885" s="11"/>
      <c r="K885" s="11"/>
      <c r="L885" s="11"/>
      <c r="M885" s="28" t="str">
        <f>IFERROR(__xludf.DUMMYFUNCTION("""COMPUTED_VALUE"""),"3355-0021")</f>
        <v>3355-0021</v>
      </c>
      <c r="N885" s="11" t="str">
        <f>IFERROR(__xludf.DUMMYFUNCTION("""COMPUTED_VALUE"""),"simoneassisrr2015@outlook.com")</f>
        <v>simoneassisrr2015@outlook.com</v>
      </c>
      <c r="O885" s="29">
        <f>IFERROR(__xludf.DUMMYFUNCTION("""COMPUTED_VALUE"""),93389850406)</f>
        <v>93389850406</v>
      </c>
      <c r="P885" s="30" t="str">
        <f>IFERROR(__xludf.DUMMYFUNCTION("""COMPUTED_VALUE"""),"170622944440006")</f>
        <v>170622944440006</v>
      </c>
      <c r="Q885" s="30" t="str">
        <f>IFERROR(__xludf.DUMMYFUNCTION("""COMPUTED_VALUE"""),"0002097")</f>
        <v>0002097</v>
      </c>
      <c r="R885" s="30" t="str">
        <f>IFERROR(__xludf.DUMMYFUNCTION("""COMPUTED_VALUE"""),"0000153435")</f>
        <v>0000153435</v>
      </c>
      <c r="S885" s="30" t="str">
        <f>IFERROR(__xludf.DUMMYFUNCTION("""COMPUTED_VALUE"""),"1")</f>
        <v>1</v>
      </c>
      <c r="T885" s="30" t="str">
        <f>IFERROR(__xludf.DUMMYFUNCTION("""COMPUTED_VALUE"""),"223565")</f>
        <v>223565</v>
      </c>
      <c r="U885" s="31" t="str">
        <f>IFERROR(__xludf.DUMMYFUNCTION("""COMPUTED_VALUE"""),"2235")</f>
        <v>2235</v>
      </c>
      <c r="V885" s="11"/>
      <c r="W885" s="11">
        <f>IFERROR(__xludf.DUMMYFUNCTION("""COMPUTED_VALUE"""),81992474624)</f>
        <v>81992474624</v>
      </c>
      <c r="X885" s="11">
        <f>IFERROR(__xludf.DUMMYFUNCTION("""COMPUTED_VALUE"""),8132654023)</f>
        <v>8132654023</v>
      </c>
      <c r="Y885" s="11">
        <f>IFERROR(__xludf.DUMMYFUNCTION("""COMPUTED_VALUE"""),93389850406)</f>
        <v>93389850406</v>
      </c>
      <c r="Z885" s="11"/>
    </row>
    <row r="886" customHeight="1" spans="1:26">
      <c r="A886" s="11" t="str">
        <f>IFERROR(__xludf.DUMMYFUNCTION("""COMPUTED_VALUE"""),"VANESSA DUTRA DA SILVA")</f>
        <v>VANESSA DUTRA DA SILVA</v>
      </c>
      <c r="B886" s="11"/>
      <c r="C886" s="11"/>
      <c r="D886" s="11" t="str">
        <f>IFERROR(__xludf.DUMMYFUNCTION("""COMPUTED_VALUE"""),"Médica eSF")</f>
        <v>Médica eSF</v>
      </c>
      <c r="E886" s="11" t="str">
        <f>IFERROR(__xludf.DUMMYFUNCTION("""COMPUTED_VALUE"""),"VII")</f>
        <v>VII</v>
      </c>
      <c r="F886" s="11" t="str">
        <f>IFERROR(__xludf.DUMMYFUNCTION("""COMPUTED_VALUE"""),"US_183 USF SITIO DOS MACACOS")</f>
        <v>US_183 USF SITIO DOS MACACOS</v>
      </c>
      <c r="G886" s="11" t="str">
        <f>IFERROR(__xludf.DUMMYFUNCTION("""COMPUTED_VALUE"""),"US 183 USF SITIO DOS MACACOS")</f>
        <v>US 183 USF SITIO DOS MACACOS</v>
      </c>
      <c r="H886" s="27">
        <f>IFERROR(__xludf.DUMMYFUNCTION("""COMPUTED_VALUE"""),81997530765)</f>
        <v>81997530765</v>
      </c>
      <c r="I886" s="11"/>
      <c r="J886" s="11"/>
      <c r="K886" s="11"/>
      <c r="L886" s="11"/>
      <c r="M886" s="28" t="str">
        <f>IFERROR(__xludf.DUMMYFUNCTION("""COMPUTED_VALUE"""),"3355-0021")</f>
        <v>3355-0021</v>
      </c>
      <c r="N886" s="11" t="str">
        <f>IFERROR(__xludf.DUMMYFUNCTION("""COMPUTED_VALUE"""),"vanessads_13@hotmail.com")</f>
        <v>vanessads_13@hotmail.com</v>
      </c>
      <c r="O886" s="29">
        <f>IFERROR(__xludf.DUMMYFUNCTION("""COMPUTED_VALUE"""),3890073409)</f>
        <v>3890073409</v>
      </c>
      <c r="P886" s="30" t="str">
        <f>IFERROR(__xludf.DUMMYFUNCTION("""COMPUTED_VALUE"""),"701004808898597")</f>
        <v>701004808898597</v>
      </c>
      <c r="Q886" s="30" t="str">
        <f>IFERROR(__xludf.DUMMYFUNCTION("""COMPUTED_VALUE"""),"0002097")</f>
        <v>0002097</v>
      </c>
      <c r="R886" s="30" t="str">
        <f>IFERROR(__xludf.DUMMYFUNCTION("""COMPUTED_VALUE"""),"0000153435")</f>
        <v>0000153435</v>
      </c>
      <c r="S886" s="30" t="str">
        <f>IFERROR(__xludf.DUMMYFUNCTION("""COMPUTED_VALUE"""),"1")</f>
        <v>1</v>
      </c>
      <c r="T886" s="30" t="str">
        <f>IFERROR(__xludf.DUMMYFUNCTION("""COMPUTED_VALUE"""),"225142")</f>
        <v>225142</v>
      </c>
      <c r="U886" s="31" t="str">
        <f>IFERROR(__xludf.DUMMYFUNCTION("""COMPUTED_VALUE"""),"2251")</f>
        <v>2251</v>
      </c>
      <c r="V886" s="11" t="str">
        <f>IFERROR(__xludf.DUMMYFUNCTION("""COMPUTED_VALUE"""),"SIM")</f>
        <v>SIM</v>
      </c>
      <c r="W886" s="11"/>
      <c r="X886" s="11" t="str">
        <f>IFERROR(__xludf.DUMMYFUNCTION("""COMPUTED_VALUE"""),"#N/A")</f>
        <v>#N/A</v>
      </c>
      <c r="Y886" s="11" t="str">
        <f>IFERROR(__xludf.DUMMYFUNCTION("""COMPUTED_VALUE"""),"#N/A")</f>
        <v>#N/A</v>
      </c>
      <c r="Z886" s="11" t="str">
        <f>IFERROR(__xludf.DUMMYFUNCTION("""COMPUTED_VALUE"""),"#N/A")</f>
        <v>#N/A</v>
      </c>
    </row>
    <row r="887" customHeight="1" spans="1:26">
      <c r="A887" s="11" t="str">
        <f>IFERROR(__xludf.DUMMYFUNCTION("""COMPUTED_VALUE"""),"ALEXSANDRA RODRIGUES DA SILVA")</f>
        <v>ALEXSANDRA RODRIGUES DA SILVA</v>
      </c>
      <c r="B887" s="11"/>
      <c r="C887" s="11"/>
      <c r="D887" s="11" t="str">
        <f>IFERROR(__xludf.DUMMYFUNCTION("""COMPUTED_VALUE"""),"Enfermeira eSF")</f>
        <v>Enfermeira eSF</v>
      </c>
      <c r="E887" s="11" t="str">
        <f>IFERROR(__xludf.DUMMYFUNCTION("""COMPUTED_VALUE"""),"VII")</f>
        <v>VII</v>
      </c>
      <c r="F887" s="11" t="str">
        <f>IFERROR(__xludf.DUMMYFUNCTION("""COMPUTED_VALUE"""),"US_153 POLICLINICA E MATERNIDADE ARNALDO MARQUES")</f>
        <v>US_153 POLICLINICA E MATERNIDADE ARNALDO MARQUES</v>
      </c>
      <c r="G887" s="11" t="str">
        <f>IFERROR(__xludf.DUMMYFUNCTION("""COMPUTED_VALUE"""),"US 231 USF CORREGO DA BICA")</f>
        <v>US 231 USF CORREGO DA BICA</v>
      </c>
      <c r="H887" s="27">
        <f>IFERROR(__xludf.DUMMYFUNCTION("""COMPUTED_VALUE"""),81984197790)</f>
        <v>81984197790</v>
      </c>
      <c r="I887" s="11"/>
      <c r="J887" s="11"/>
      <c r="K887" s="11"/>
      <c r="L887" s="11"/>
      <c r="M887" s="28" t="str">
        <f>IFERROR(__xludf.DUMMYFUNCTION("""COMPUTED_VALUE"""),"3355-6115")</f>
        <v>3355-6115</v>
      </c>
      <c r="N887" s="11" t="str">
        <f>IFERROR(__xludf.DUMMYFUNCTION("""COMPUTED_VALUE"""),"alexsandrarodrigues14@yahoo.com.br")</f>
        <v>alexsandrarodrigues14@yahoo.com.br</v>
      </c>
      <c r="O887" s="29">
        <f>IFERROR(__xludf.DUMMYFUNCTION("""COMPUTED_VALUE"""),2456579402)</f>
        <v>2456579402</v>
      </c>
      <c r="P887" s="30" t="str">
        <f>IFERROR(__xludf.DUMMYFUNCTION("""COMPUTED_VALUE"""),"206790390950004")</f>
        <v>206790390950004</v>
      </c>
      <c r="Q887" s="30" t="str">
        <f>IFERROR(__xludf.DUMMYFUNCTION("""COMPUTED_VALUE"""),"0022276")</f>
        <v>0022276</v>
      </c>
      <c r="R887" s="30" t="str">
        <f>IFERROR(__xludf.DUMMYFUNCTION("""COMPUTED_VALUE"""),"0000153737")</f>
        <v>0000153737</v>
      </c>
      <c r="S887" s="30" t="str">
        <f>IFERROR(__xludf.DUMMYFUNCTION("""COMPUTED_VALUE"""),"1")</f>
        <v>1</v>
      </c>
      <c r="T887" s="30" t="str">
        <f>IFERROR(__xludf.DUMMYFUNCTION("""COMPUTED_VALUE"""),"223565")</f>
        <v>223565</v>
      </c>
      <c r="U887" s="31" t="str">
        <f>IFERROR(__xludf.DUMMYFUNCTION("""COMPUTED_VALUE"""),"2235")</f>
        <v>2235</v>
      </c>
      <c r="V887" s="11"/>
      <c r="W887" s="11">
        <f>IFERROR(__xludf.DUMMYFUNCTION("""COMPUTED_VALUE"""),8419790)</f>
        <v>8419790</v>
      </c>
      <c r="X887" s="11">
        <f>IFERROR(__xludf.DUMMYFUNCTION("""COMPUTED_VALUE"""),8786222)</f>
        <v>8786222</v>
      </c>
      <c r="Y887" s="11">
        <f>IFERROR(__xludf.DUMMYFUNCTION("""COMPUTED_VALUE"""),2456579402)</f>
        <v>2456579402</v>
      </c>
      <c r="Z887" s="11"/>
    </row>
    <row r="888" customHeight="1" spans="1:26">
      <c r="A888" s="11" t="str">
        <f>IFERROR(__xludf.DUMMYFUNCTION("""COMPUTED_VALUE"""),"LUCIANO ROMAO DE CARVALHO")</f>
        <v>LUCIANO ROMAO DE CARVALHO</v>
      </c>
      <c r="B888" s="11"/>
      <c r="C888" s="11"/>
      <c r="D888" s="11" t="str">
        <f>IFERROR(__xludf.DUMMYFUNCTION("""COMPUTED_VALUE"""),"Médico eSF")</f>
        <v>Médico eSF</v>
      </c>
      <c r="E888" s="11" t="str">
        <f>IFERROR(__xludf.DUMMYFUNCTION("""COMPUTED_VALUE"""),"VII")</f>
        <v>VII</v>
      </c>
      <c r="F888" s="11" t="str">
        <f>IFERROR(__xludf.DUMMYFUNCTION("""COMPUTED_VALUE"""),"US_231 USF CORREGO DA BICA / MARIA EDUARDA CESSE")</f>
        <v>US_231 USF CORREGO DA BICA / MARIA EDUARDA CESSE</v>
      </c>
      <c r="G888" s="11" t="str">
        <f>IFERROR(__xludf.DUMMYFUNCTION("""COMPUTED_VALUE"""),"US 231 USF CORREGO DA BICA")</f>
        <v>US 231 USF CORREGO DA BICA</v>
      </c>
      <c r="H888" s="27">
        <f>IFERROR(__xludf.DUMMYFUNCTION("""COMPUTED_VALUE"""),81996960881)</f>
        <v>81996960881</v>
      </c>
      <c r="I888" s="11"/>
      <c r="J888" s="11"/>
      <c r="K888" s="11"/>
      <c r="L888" s="11"/>
      <c r="M888" s="28" t="str">
        <f>IFERROR(__xludf.DUMMYFUNCTION("""COMPUTED_VALUE"""),"3355-6115")</f>
        <v>3355-6115</v>
      </c>
      <c r="N888" s="11" t="str">
        <f>IFERROR(__xludf.DUMMYFUNCTION("""COMPUTED_VALUE"""),"romaodecarvalho@gmail.com")</f>
        <v>romaodecarvalho@gmail.com</v>
      </c>
      <c r="O888" s="29">
        <f>IFERROR(__xludf.DUMMYFUNCTION("""COMPUTED_VALUE"""),2827975483)</f>
        <v>2827975483</v>
      </c>
      <c r="P888" s="30" t="str">
        <f>IFERROR(__xludf.DUMMYFUNCTION("""COMPUTED_VALUE"""),"980016286658012")</f>
        <v>980016286658012</v>
      </c>
      <c r="Q888" s="30" t="str">
        <f>IFERROR(__xludf.DUMMYFUNCTION("""COMPUTED_VALUE"""),"0022276")</f>
        <v>0022276</v>
      </c>
      <c r="R888" s="30" t="str">
        <f>IFERROR(__xludf.DUMMYFUNCTION("""COMPUTED_VALUE"""),"0000153699")</f>
        <v>0000153699</v>
      </c>
      <c r="S888" s="30" t="str">
        <f>IFERROR(__xludf.DUMMYFUNCTION("""COMPUTED_VALUE"""),"3")</f>
        <v>3</v>
      </c>
      <c r="T888" s="30" t="str">
        <f>IFERROR(__xludf.DUMMYFUNCTION("""COMPUTED_VALUE"""),"225142")</f>
        <v>225142</v>
      </c>
      <c r="U888" s="31" t="str">
        <f>IFERROR(__xludf.DUMMYFUNCTION("""COMPUTED_VALUE"""),"2251")</f>
        <v>2251</v>
      </c>
      <c r="V888" s="11" t="str">
        <f>IFERROR(__xludf.DUMMYFUNCTION("""COMPUTED_VALUE"""),"SIM")</f>
        <v>SIM</v>
      </c>
      <c r="W888" s="11"/>
      <c r="X888" s="11" t="str">
        <f>IFERROR(__xludf.DUMMYFUNCTION("""COMPUTED_VALUE"""),"#N/A")</f>
        <v>#N/A</v>
      </c>
      <c r="Y888" s="11" t="str">
        <f>IFERROR(__xludf.DUMMYFUNCTION("""COMPUTED_VALUE"""),"#N/A")</f>
        <v>#N/A</v>
      </c>
      <c r="Z888" s="11" t="str">
        <f>IFERROR(__xludf.DUMMYFUNCTION("""COMPUTED_VALUE"""),"#N/A")</f>
        <v>#N/A</v>
      </c>
    </row>
    <row r="889" customHeight="1" spans="1:26">
      <c r="A889" s="11" t="str">
        <f>IFERROR(__xludf.DUMMYFUNCTION("""COMPUTED_VALUE"""),"ROBERTA CRISTINA MORAIS CAMELO PESSOA")</f>
        <v>ROBERTA CRISTINA MORAIS CAMELO PESSOA</v>
      </c>
      <c r="B889" s="11"/>
      <c r="C889" s="11" t="str">
        <f>IFERROR(__xludf.DUMMYFUNCTION("""COMPUTED_VALUE"""),"NÃO TEM WPP")</f>
        <v>NÃO TEM WPP</v>
      </c>
      <c r="D889" s="11" t="str">
        <f>IFERROR(__xludf.DUMMYFUNCTION("""COMPUTED_VALUE"""),"Médica eSF")</f>
        <v>Médica eSF</v>
      </c>
      <c r="E889" s="11" t="str">
        <f>IFERROR(__xludf.DUMMYFUNCTION("""COMPUTED_VALUE"""),"VII")</f>
        <v>VII</v>
      </c>
      <c r="F889" s="11" t="str">
        <f>IFERROR(__xludf.DUMMYFUNCTION("""COMPUTED_VALUE"""),"US_231 USF CORREGO DA BICA / MARIA EDUARDA CESSE")</f>
        <v>US_231 USF CORREGO DA BICA / MARIA EDUARDA CESSE</v>
      </c>
      <c r="G889" s="11" t="str">
        <f>IFERROR(__xludf.DUMMYFUNCTION("""COMPUTED_VALUE"""),"US 231 USF CORREGO DA BICA")</f>
        <v>US 231 USF CORREGO DA BICA</v>
      </c>
      <c r="H889" s="27">
        <f>IFERROR(__xludf.DUMMYFUNCTION("""COMPUTED_VALUE"""),81981855730)</f>
        <v>81981855730</v>
      </c>
      <c r="I889" s="11"/>
      <c r="J889" s="11"/>
      <c r="K889" s="24">
        <f>IFERROR(__xludf.DUMMYFUNCTION("""COMPUTED_VALUE"""),45408)</f>
        <v>45408</v>
      </c>
      <c r="L889" s="11"/>
      <c r="M889" s="28" t="str">
        <f>IFERROR(__xludf.DUMMYFUNCTION("""COMPUTED_VALUE"""),"3355-6115")</f>
        <v>3355-6115</v>
      </c>
      <c r="N889" s="11"/>
      <c r="O889" s="29">
        <f>IFERROR(__xludf.DUMMYFUNCTION("""COMPUTED_VALUE"""),3957439400)</f>
        <v>3957439400</v>
      </c>
      <c r="P889" s="30" t="str">
        <f>IFERROR(__xludf.DUMMYFUNCTION("""COMPUTED_VALUE"""),"980016297265319")</f>
        <v>980016297265319</v>
      </c>
      <c r="Q889" s="30" t="str">
        <f>IFERROR(__xludf.DUMMYFUNCTION("""COMPUTED_VALUE"""),"0022276")</f>
        <v>0022276</v>
      </c>
      <c r="R889" s="30" t="str">
        <f>IFERROR(__xludf.DUMMYFUNCTION("""COMPUTED_VALUE"""),"0000153737")</f>
        <v>0000153737</v>
      </c>
      <c r="S889" s="30" t="str">
        <f>IFERROR(__xludf.DUMMYFUNCTION("""COMPUTED_VALUE"""),"1")</f>
        <v>1</v>
      </c>
      <c r="T889" s="30" t="str">
        <f>IFERROR(__xludf.DUMMYFUNCTION("""COMPUTED_VALUE"""),"225142")</f>
        <v>225142</v>
      </c>
      <c r="U889" s="31" t="str">
        <f>IFERROR(__xludf.DUMMYFUNCTION("""COMPUTED_VALUE"""),"2251")</f>
        <v>2251</v>
      </c>
      <c r="V889" s="11"/>
      <c r="W889" s="11"/>
      <c r="X889" s="11"/>
      <c r="Y889" s="11"/>
      <c r="Z889" s="11"/>
    </row>
    <row r="890" customHeight="1" spans="1:26">
      <c r="A890" s="11" t="str">
        <f>IFERROR(__xludf.DUMMYFUNCTION("""COMPUTED_VALUE"""),"VALDEISA MARIA PESSOA MORAIS")</f>
        <v>VALDEISA MARIA PESSOA MORAIS</v>
      </c>
      <c r="B890" s="11"/>
      <c r="C890" s="11"/>
      <c r="D890" s="11" t="str">
        <f>IFERROR(__xludf.DUMMYFUNCTION("""COMPUTED_VALUE"""),"Enfermeira eSF")</f>
        <v>Enfermeira eSF</v>
      </c>
      <c r="E890" s="11" t="str">
        <f>IFERROR(__xludf.DUMMYFUNCTION("""COMPUTED_VALUE"""),"VII")</f>
        <v>VII</v>
      </c>
      <c r="F890" s="11" t="str">
        <f>IFERROR(__xludf.DUMMYFUNCTION("""COMPUTED_VALUE"""),"US_231 USF CORREGO DA BICA / MARIA EDUARDA CESSE")</f>
        <v>US_231 USF CORREGO DA BICA / MARIA EDUARDA CESSE</v>
      </c>
      <c r="G890" s="11" t="str">
        <f>IFERROR(__xludf.DUMMYFUNCTION("""COMPUTED_VALUE"""),"US 231 USF CORREGO DA BICA")</f>
        <v>US 231 USF CORREGO DA BICA</v>
      </c>
      <c r="H890" s="27">
        <f>IFERROR(__xludf.DUMMYFUNCTION("""COMPUTED_VALUE"""),81999156995)</f>
        <v>81999156995</v>
      </c>
      <c r="I890" s="11"/>
      <c r="J890" s="11"/>
      <c r="K890" s="11"/>
      <c r="L890" s="11"/>
      <c r="M890" s="28" t="str">
        <f>IFERROR(__xludf.DUMMYFUNCTION("""COMPUTED_VALUE"""),"3355-6115")</f>
        <v>3355-6115</v>
      </c>
      <c r="N890" s="11" t="str">
        <f>IFERROR(__xludf.DUMMYFUNCTION("""COMPUTED_VALUE"""),"valdeisamorais@hotmail.com")</f>
        <v>valdeisamorais@hotmail.com</v>
      </c>
      <c r="O890" s="29">
        <f>IFERROR(__xludf.DUMMYFUNCTION("""COMPUTED_VALUE"""),42721970453)</f>
        <v>42721970453</v>
      </c>
      <c r="P890" s="30" t="str">
        <f>IFERROR(__xludf.DUMMYFUNCTION("""COMPUTED_VALUE"""),"207429046570009")</f>
        <v>207429046570009</v>
      </c>
      <c r="Q890" s="30" t="str">
        <f>IFERROR(__xludf.DUMMYFUNCTION("""COMPUTED_VALUE"""),"0022276")</f>
        <v>0022276</v>
      </c>
      <c r="R890" s="30" t="str">
        <f>IFERROR(__xludf.DUMMYFUNCTION("""COMPUTED_VALUE"""),"0000153702")</f>
        <v>0000153702</v>
      </c>
      <c r="S890" s="30" t="str">
        <f>IFERROR(__xludf.DUMMYFUNCTION("""COMPUTED_VALUE"""),"1")</f>
        <v>1</v>
      </c>
      <c r="T890" s="30" t="str">
        <f>IFERROR(__xludf.DUMMYFUNCTION("""COMPUTED_VALUE"""),"223565")</f>
        <v>223565</v>
      </c>
      <c r="U890" s="31" t="str">
        <f>IFERROR(__xludf.DUMMYFUNCTION("""COMPUTED_VALUE"""),"2235")</f>
        <v>2235</v>
      </c>
      <c r="V890" s="11"/>
      <c r="W890" s="11"/>
      <c r="X890" s="11"/>
      <c r="Y890" s="11"/>
      <c r="Z890" s="11"/>
    </row>
    <row r="891" customHeight="1" spans="1:26">
      <c r="A891" s="11" t="str">
        <f>IFERROR(__xludf.DUMMYFUNCTION("""COMPUTED_VALUE"""),"WEDYLA VIEIRA DE SANTANA")</f>
        <v>WEDYLA VIEIRA DE SANTANA</v>
      </c>
      <c r="B891" s="11" t="str">
        <f>IFERROR(__xludf.DUMMYFUNCTION("""COMPUTED_VALUE"""),"Não pode nas quintas à tarde")</f>
        <v>Não pode nas quintas à tarde</v>
      </c>
      <c r="C891" s="11"/>
      <c r="D891" s="11" t="str">
        <f>IFERROR(__xludf.DUMMYFUNCTION("""COMPUTED_VALUE"""),"Médica eSF")</f>
        <v>Médica eSF</v>
      </c>
      <c r="E891" s="11" t="str">
        <f>IFERROR(__xludf.DUMMYFUNCTION("""COMPUTED_VALUE"""),"VII")</f>
        <v>VII</v>
      </c>
      <c r="F891" s="11" t="str">
        <f>IFERROR(__xludf.DUMMYFUNCTION("""COMPUTED_VALUE"""),"US_231 USF CORREGO DA BICA / MARIA EDUARDA CESSE")</f>
        <v>US_231 USF CORREGO DA BICA / MARIA EDUARDA CESSE</v>
      </c>
      <c r="G891" s="11" t="str">
        <f>IFERROR(__xludf.DUMMYFUNCTION("""COMPUTED_VALUE"""),"US 231 USF CORREGO DA BICA")</f>
        <v>US 231 USF CORREGO DA BICA</v>
      </c>
      <c r="H891" s="27">
        <f>IFERROR(__xludf.DUMMYFUNCTION("""COMPUTED_VALUE"""),81995779999)</f>
        <v>81995779999</v>
      </c>
      <c r="I891" s="11"/>
      <c r="J891" s="11"/>
      <c r="K891" s="11"/>
      <c r="L891" s="11"/>
      <c r="M891" s="28" t="str">
        <f>IFERROR(__xludf.DUMMYFUNCTION("""COMPUTED_VALUE"""),"3355-6115")</f>
        <v>3355-6115</v>
      </c>
      <c r="N891" s="11" t="str">
        <f>IFERROR(__xludf.DUMMYFUNCTION("""COMPUTED_VALUE"""),"ninavsantana@gmail.com")</f>
        <v>ninavsantana@gmail.com</v>
      </c>
      <c r="O891" s="29">
        <f>IFERROR(__xludf.DUMMYFUNCTION("""COMPUTED_VALUE"""),4861995418)</f>
        <v>4861995418</v>
      </c>
      <c r="P891" s="30" t="str">
        <f>IFERROR(__xludf.DUMMYFUNCTION("""COMPUTED_VALUE"""),"980016296729389")</f>
        <v>980016296729389</v>
      </c>
      <c r="Q891" s="30" t="str">
        <f>IFERROR(__xludf.DUMMYFUNCTION("""COMPUTED_VALUE"""),"0022276")</f>
        <v>0022276</v>
      </c>
      <c r="R891" s="30" t="str">
        <f>IFERROR(__xludf.DUMMYFUNCTION("""COMPUTED_VALUE"""),"0000153710")</f>
        <v>0000153710</v>
      </c>
      <c r="S891" s="30" t="str">
        <f>IFERROR(__xludf.DUMMYFUNCTION("""COMPUTED_VALUE"""),"1")</f>
        <v>1</v>
      </c>
      <c r="T891" s="30" t="str">
        <f>IFERROR(__xludf.DUMMYFUNCTION("""COMPUTED_VALUE"""),"225142")</f>
        <v>225142</v>
      </c>
      <c r="U891" s="31" t="str">
        <f>IFERROR(__xludf.DUMMYFUNCTION("""COMPUTED_VALUE"""),"2251")</f>
        <v>2251</v>
      </c>
      <c r="V891" s="11"/>
      <c r="W891" s="11"/>
      <c r="X891" s="11" t="str">
        <f>IFERROR(__xludf.DUMMYFUNCTION("""COMPUTED_VALUE"""),"#N/A")</f>
        <v>#N/A</v>
      </c>
      <c r="Y891" s="11" t="str">
        <f>IFERROR(__xludf.DUMMYFUNCTION("""COMPUTED_VALUE"""),"#N/A")</f>
        <v>#N/A</v>
      </c>
      <c r="Z891" s="11" t="str">
        <f>IFERROR(__xludf.DUMMYFUNCTION("""COMPUTED_VALUE"""),"#N/A")</f>
        <v>#N/A</v>
      </c>
    </row>
    <row r="892" customHeight="1" spans="1:26">
      <c r="A892" s="11" t="str">
        <f>IFERROR(__xludf.DUMMYFUNCTION("""COMPUTED_VALUE"""),"CARLOS EDUARDO GOMES DE MELO")</f>
        <v>CARLOS EDUARDO GOMES DE MELO</v>
      </c>
      <c r="B892" s="11"/>
      <c r="C892" s="11"/>
      <c r="D892" s="11" t="str">
        <f>IFERROR(__xludf.DUMMYFUNCTION("""COMPUTED_VALUE"""),"Médico eSF")</f>
        <v>Médico eSF</v>
      </c>
      <c r="E892" s="11" t="str">
        <f>IFERROR(__xludf.DUMMYFUNCTION("""COMPUTED_VALUE"""),"VII")</f>
        <v>VII</v>
      </c>
      <c r="F892" s="11" t="str">
        <f>IFERROR(__xludf.DUMMYFUNCTION("""COMPUTED_VALUE"""),"US_256 USF PASSARINHO BAIXO	")</f>
        <v>US_256 USF PASSARINHO BAIXO	</v>
      </c>
      <c r="G892" s="11" t="str">
        <f>IFERROR(__xludf.DUMMYFUNCTION("""COMPUTED_VALUE"""),"US 251 USF DA GUABIRABA")</f>
        <v>US 251 USF DA GUABIRABA</v>
      </c>
      <c r="H892" s="27">
        <f>IFERROR(__xludf.DUMMYFUNCTION("""COMPUTED_VALUE"""),81982210946)</f>
        <v>81982210946</v>
      </c>
      <c r="I892" s="27">
        <f>IFERROR(__xludf.DUMMYFUNCTION("""COMPUTED_VALUE"""),81971173866)</f>
        <v>81971173866</v>
      </c>
      <c r="J892" s="11"/>
      <c r="K892" s="11"/>
      <c r="L892" s="11"/>
      <c r="M892" s="28" t="str">
        <f>IFERROR(__xludf.DUMMYFUNCTION("""COMPUTED_VALUE"""),"3355-6522")</f>
        <v>3355-6522</v>
      </c>
      <c r="N892" s="11" t="str">
        <f>IFERROR(__xludf.DUMMYFUNCTION("""COMPUTED_VALUE"""),"drcacamelo@gmail.com")</f>
        <v>drcacamelo@gmail.com</v>
      </c>
      <c r="O892" s="29">
        <f>IFERROR(__xludf.DUMMYFUNCTION("""COMPUTED_VALUE"""),75896290497)</f>
        <v>75896290497</v>
      </c>
      <c r="P892" s="30" t="str">
        <f>IFERROR(__xludf.DUMMYFUNCTION("""COMPUTED_VALUE"""),"207284989490000")</f>
        <v>207284989490000</v>
      </c>
      <c r="Q892" s="30" t="str">
        <f>IFERROR(__xludf.DUMMYFUNCTION("""COMPUTED_VALUE"""),"0022292")</f>
        <v>0022292</v>
      </c>
      <c r="R892" s="30" t="str">
        <f>IFERROR(__xludf.DUMMYFUNCTION("""COMPUTED_VALUE"""),"0000153761")</f>
        <v>0000153761</v>
      </c>
      <c r="S892" s="30" t="str">
        <f>IFERROR(__xludf.DUMMYFUNCTION("""COMPUTED_VALUE"""),"1")</f>
        <v>1</v>
      </c>
      <c r="T892" s="30" t="str">
        <f>IFERROR(__xludf.DUMMYFUNCTION("""COMPUTED_VALUE"""),"225142")</f>
        <v>225142</v>
      </c>
      <c r="U892" s="31" t="str">
        <f>IFERROR(__xludf.DUMMYFUNCTION("""COMPUTED_VALUE"""),"2251")</f>
        <v>2251</v>
      </c>
      <c r="V892" s="11"/>
      <c r="W892" s="11"/>
      <c r="X892" s="11" t="str">
        <f>IFERROR(__xludf.DUMMYFUNCTION("""COMPUTED_VALUE"""),"81 82210946")</f>
        <v>81 82210946</v>
      </c>
      <c r="Y892" s="11" t="str">
        <f>IFERROR(__xludf.DUMMYFUNCTION("""COMPUTED_VALUE"""),"81 34595974")</f>
        <v>81 34595974</v>
      </c>
      <c r="Z892" s="11">
        <f>IFERROR(__xludf.DUMMYFUNCTION("""COMPUTED_VALUE"""),75896290497)</f>
        <v>75896290497</v>
      </c>
    </row>
    <row r="893" customHeight="1" spans="1:26">
      <c r="A893" s="11" t="str">
        <f>IFERROR(__xludf.DUMMYFUNCTION("""COMPUTED_VALUE"""),"FERNANDA ISABELLA SILVA LIMA")</f>
        <v>FERNANDA ISABELLA SILVA LIMA</v>
      </c>
      <c r="B893" s="11"/>
      <c r="C893" s="11"/>
      <c r="D893" s="11" t="str">
        <f>IFERROR(__xludf.DUMMYFUNCTION("""COMPUTED_VALUE"""),"MÉDICA")</f>
        <v>MÉDICA</v>
      </c>
      <c r="E893" s="11"/>
      <c r="F893" s="11" t="str">
        <f>IFERROR(__xludf.DUMMYFUNCTION("""COMPUTED_VALUE"""),"")</f>
        <v/>
      </c>
      <c r="G893" s="11" t="str">
        <f>IFERROR(__xludf.DUMMYFUNCTION("""COMPUTED_VALUE"""),"US 251 USF DA GUABIRABA")</f>
        <v>US 251 USF DA GUABIRABA</v>
      </c>
      <c r="H893" s="27">
        <f>IFERROR(__xludf.DUMMYFUNCTION("""COMPUTED_VALUE"""),81994748911)</f>
        <v>81994748911</v>
      </c>
      <c r="I893" s="11"/>
      <c r="J893" s="11"/>
      <c r="K893" s="24">
        <f>IFERROR(__xludf.DUMMYFUNCTION("""COMPUTED_VALUE"""),45432)</f>
        <v>45432</v>
      </c>
      <c r="L893" s="11"/>
      <c r="M893" s="11"/>
      <c r="N893" s="11"/>
      <c r="O893" s="11"/>
      <c r="P893" s="11"/>
      <c r="Q893" s="11"/>
      <c r="R893" s="11"/>
      <c r="S893" s="11"/>
      <c r="T893" s="11"/>
      <c r="U893" s="11"/>
      <c r="V893" s="11"/>
      <c r="W893" s="11"/>
      <c r="X893" s="11"/>
      <c r="Y893" s="11"/>
      <c r="Z893" s="11"/>
    </row>
    <row r="894" customHeight="1" spans="1:26">
      <c r="A894" s="11" t="str">
        <f>IFERROR(__xludf.DUMMYFUNCTION("""COMPUTED_VALUE"""),"MARIA AUXILIADORA DE OLIVEIRA")</f>
        <v>MARIA AUXILIADORA DE OLIVEIRA</v>
      </c>
      <c r="B894" s="11"/>
      <c r="C894" s="11"/>
      <c r="D894" s="11" t="str">
        <f>IFERROR(__xludf.DUMMYFUNCTION("""COMPUTED_VALUE"""),"Enfermeira eSF")</f>
        <v>Enfermeira eSF</v>
      </c>
      <c r="E894" s="11" t="str">
        <f>IFERROR(__xludf.DUMMYFUNCTION("""COMPUTED_VALUE"""),"VII")</f>
        <v>VII</v>
      </c>
      <c r="F894" s="11" t="str">
        <f>IFERROR(__xludf.DUMMYFUNCTION("""COMPUTED_VALUE"""),"US_251 USF DA GUABIRABA	")</f>
        <v>US_251 USF DA GUABIRABA	</v>
      </c>
      <c r="G894" s="11" t="str">
        <f>IFERROR(__xludf.DUMMYFUNCTION("""COMPUTED_VALUE"""),"US 251 USF DA GUABIRABA")</f>
        <v>US 251 USF DA GUABIRABA</v>
      </c>
      <c r="H894" s="27">
        <f>IFERROR(__xludf.DUMMYFUNCTION("""COMPUTED_VALUE"""),81996023934)</f>
        <v>81996023934</v>
      </c>
      <c r="I894" s="27">
        <f>IFERROR(__xludf.DUMMYFUNCTION("""COMPUTED_VALUE"""),81985043960)</f>
        <v>81985043960</v>
      </c>
      <c r="J894" s="11"/>
      <c r="K894" s="11"/>
      <c r="L894" s="11"/>
      <c r="M894" s="28" t="str">
        <f>IFERROR(__xludf.DUMMYFUNCTION("""COMPUTED_VALUE"""),"3355-6522")</f>
        <v>3355-6522</v>
      </c>
      <c r="N894" s="11" t="str">
        <f>IFERROR(__xludf.DUMMYFUNCTION("""COMPUTED_VALUE"""),"cila_oliveira2@hotmail.com")</f>
        <v>cila_oliveira2@hotmail.com</v>
      </c>
      <c r="O894" s="29">
        <f>IFERROR(__xludf.DUMMYFUNCTION("""COMPUTED_VALUE"""),94493006404)</f>
        <v>94493006404</v>
      </c>
      <c r="P894" s="30" t="str">
        <f>IFERROR(__xludf.DUMMYFUNCTION("""COMPUTED_VALUE"""),"980016004548044")</f>
        <v>980016004548044</v>
      </c>
      <c r="Q894" s="30" t="str">
        <f>IFERROR(__xludf.DUMMYFUNCTION("""COMPUTED_VALUE"""),"0022292")</f>
        <v>0022292</v>
      </c>
      <c r="R894" s="30" t="str">
        <f>IFERROR(__xludf.DUMMYFUNCTION("""COMPUTED_VALUE"""),"0000153753")</f>
        <v>0000153753</v>
      </c>
      <c r="S894" s="30" t="str">
        <f>IFERROR(__xludf.DUMMYFUNCTION("""COMPUTED_VALUE"""),"1")</f>
        <v>1</v>
      </c>
      <c r="T894" s="30" t="str">
        <f>IFERROR(__xludf.DUMMYFUNCTION("""COMPUTED_VALUE"""),"223565")</f>
        <v>223565</v>
      </c>
      <c r="U894" s="31" t="str">
        <f>IFERROR(__xludf.DUMMYFUNCTION("""COMPUTED_VALUE"""),"2235")</f>
        <v>2235</v>
      </c>
      <c r="V894" s="11"/>
      <c r="W894" s="11">
        <f>IFERROR(__xludf.DUMMYFUNCTION("""COMPUTED_VALUE"""),8187116909)</f>
        <v>8187116909</v>
      </c>
      <c r="X894" s="11">
        <f>IFERROR(__xludf.DUMMYFUNCTION("""COMPUTED_VALUE"""),8136211243)</f>
        <v>8136211243</v>
      </c>
      <c r="Y894" s="11">
        <f>IFERROR(__xludf.DUMMYFUNCTION("""COMPUTED_VALUE"""),66831385400)</f>
        <v>66831385400</v>
      </c>
      <c r="Z894" s="11"/>
    </row>
    <row r="895" customHeight="1" spans="1:26">
      <c r="A895" s="11" t="str">
        <f>IFERROR(__xludf.DUMMYFUNCTION("""COMPUTED_VALUE"""),"MELISSA GALVÃO")</f>
        <v>MELISSA GALVÃO</v>
      </c>
      <c r="B895" s="11"/>
      <c r="C895" s="11"/>
      <c r="D895" s="11" t="str">
        <f>IFERROR(__xludf.DUMMYFUNCTION("""COMPUTED_VALUE"""),"Médica Residente")</f>
        <v>Médica Residente</v>
      </c>
      <c r="E895" s="11" t="str">
        <f>IFERROR(__xludf.DUMMYFUNCTION("""COMPUTED_VALUE"""),"VII")</f>
        <v>VII</v>
      </c>
      <c r="F895" s="11" t="str">
        <f>IFERROR(__xludf.DUMMYFUNCTION("""COMPUTED_VALUE"""),"")</f>
        <v/>
      </c>
      <c r="G895" s="11" t="str">
        <f>IFERROR(__xludf.DUMMYFUNCTION("""COMPUTED_VALUE"""),"US 256 USF PASSARINHO BAIXO")</f>
        <v>US 256 USF PASSARINHO BAIXO</v>
      </c>
      <c r="H895" s="27">
        <f>IFERROR(__xludf.DUMMYFUNCTION("""COMPUTED_VALUE"""),81997989487)</f>
        <v>81997989487</v>
      </c>
      <c r="I895" s="11"/>
      <c r="J895" s="11"/>
      <c r="K895" s="24">
        <f>IFERROR(__xludf.DUMMYFUNCTION("""COMPUTED_VALUE"""),44950)</f>
        <v>44950</v>
      </c>
      <c r="L895" s="11"/>
      <c r="M895" s="11"/>
      <c r="N895" s="11"/>
      <c r="O895" s="11"/>
      <c r="P895" s="11"/>
      <c r="Q895" s="11"/>
      <c r="R895" s="11"/>
      <c r="S895" s="11"/>
      <c r="T895" s="11"/>
      <c r="U895" s="11"/>
      <c r="V895" s="11"/>
      <c r="W895" s="11"/>
      <c r="X895" s="11"/>
      <c r="Y895" s="11"/>
      <c r="Z895" s="11"/>
    </row>
    <row r="896" customHeight="1" spans="1:26">
      <c r="A896" s="11" t="str">
        <f>IFERROR(__xludf.DUMMYFUNCTION("""COMPUTED_VALUE"""),"TEREZA CRISTINA PINHO PAES BARRETO")</f>
        <v>TEREZA CRISTINA PINHO PAES BARRETO</v>
      </c>
      <c r="B896" s="11"/>
      <c r="C896" s="11"/>
      <c r="D896" s="11" t="str">
        <f>IFERROR(__xludf.DUMMYFUNCTION("""COMPUTED_VALUE"""),"Enfermeira eSF")</f>
        <v>Enfermeira eSF</v>
      </c>
      <c r="E896" s="11" t="str">
        <f>IFERROR(__xludf.DUMMYFUNCTION("""COMPUTED_VALUE"""),"VII")</f>
        <v>VII</v>
      </c>
      <c r="F896" s="11" t="str">
        <f>IFERROR(__xludf.DUMMYFUNCTION("""COMPUTED_VALUE"""),"US_256 USF PASSARINHO BAIXO	")</f>
        <v>US_256 USF PASSARINHO BAIXO	</v>
      </c>
      <c r="G896" s="11" t="str">
        <f>IFERROR(__xludf.DUMMYFUNCTION("""COMPUTED_VALUE"""),"US 256 USF PASSARINHO BAIXO")</f>
        <v>US 256 USF PASSARINHO BAIXO</v>
      </c>
      <c r="H896" s="27">
        <f>IFERROR(__xludf.DUMMYFUNCTION("""COMPUTED_VALUE"""),81985044230)</f>
        <v>81985044230</v>
      </c>
      <c r="I896" s="11"/>
      <c r="J896" s="11"/>
      <c r="K896" s="11"/>
      <c r="L896" s="11"/>
      <c r="M896" s="28" t="str">
        <f>IFERROR(__xludf.DUMMYFUNCTION("""COMPUTED_VALUE"""),"3355-4680")</f>
        <v>3355-4680</v>
      </c>
      <c r="N896" s="11" t="str">
        <f>IFERROR(__xludf.DUMMYFUNCTION("""COMPUTED_VALUE"""),"terezapinho2006@yahoo.com.br")</f>
        <v>terezapinho2006@yahoo.com.br</v>
      </c>
      <c r="O896" s="29">
        <f>IFERROR(__xludf.DUMMYFUNCTION("""COMPUTED_VALUE"""),14983176420)</f>
        <v>14983176420</v>
      </c>
      <c r="P896" s="30" t="str">
        <f>IFERROR(__xludf.DUMMYFUNCTION("""COMPUTED_VALUE"""),"170481964490018")</f>
        <v>170481964490018</v>
      </c>
      <c r="Q896" s="30" t="str">
        <f>IFERROR(__xludf.DUMMYFUNCTION("""COMPUTED_VALUE"""),"0026204")</f>
        <v>0026204</v>
      </c>
      <c r="R896" s="30" t="str">
        <f>IFERROR(__xludf.DUMMYFUNCTION("""COMPUTED_VALUE"""),"0000154199")</f>
        <v>0000154199</v>
      </c>
      <c r="S896" s="30" t="str">
        <f>IFERROR(__xludf.DUMMYFUNCTION("""COMPUTED_VALUE"""),"1")</f>
        <v>1</v>
      </c>
      <c r="T896" s="30" t="str">
        <f>IFERROR(__xludf.DUMMYFUNCTION("""COMPUTED_VALUE"""),"223565")</f>
        <v>223565</v>
      </c>
      <c r="U896" s="31" t="str">
        <f>IFERROR(__xludf.DUMMYFUNCTION("""COMPUTED_VALUE"""),"2235")</f>
        <v>2235</v>
      </c>
      <c r="V896" s="11"/>
      <c r="W896" s="11" t="str">
        <f>IFERROR(__xludf.DUMMYFUNCTION("""COMPUTED_VALUE"""),"#N/A")</f>
        <v>#N/A</v>
      </c>
      <c r="X896" s="11" t="str">
        <f>IFERROR(__xludf.DUMMYFUNCTION("""COMPUTED_VALUE"""),"#N/A")</f>
        <v>#N/A</v>
      </c>
      <c r="Y896" s="11" t="str">
        <f>IFERROR(__xludf.DUMMYFUNCTION("""COMPUTED_VALUE"""),"#N/A")</f>
        <v>#N/A</v>
      </c>
      <c r="Z896" s="11"/>
    </row>
    <row r="897" customHeight="1" spans="1:26">
      <c r="A897" s="11" t="str">
        <f>IFERROR(__xludf.DUMMYFUNCTION("""COMPUTED_VALUE"""),"GEORGIA GOMES BARBOSA")</f>
        <v>GEORGIA GOMES BARBOSA</v>
      </c>
      <c r="B897" s="11"/>
      <c r="C897" s="11"/>
      <c r="D897" s="11" t="str">
        <f>IFERROR(__xludf.DUMMYFUNCTION("""COMPUTED_VALUE"""),"Dentista")</f>
        <v>Dentista</v>
      </c>
      <c r="E897" s="11" t="str">
        <f>IFERROR(__xludf.DUMMYFUNCTION("""COMPUTED_VALUE"""),"VII")</f>
        <v>VII</v>
      </c>
      <c r="F897" s="11" t="str">
        <f>IFERROR(__xludf.DUMMYFUNCTION("""COMPUTED_VALUE"""),"US_257 PSF GILBERTO FREIRE / BOLA NA REDE")</f>
        <v>US_257 PSF GILBERTO FREIRE / BOLA NA REDE</v>
      </c>
      <c r="G897" s="11" t="str">
        <f>IFERROR(__xludf.DUMMYFUNCTION("""COMPUTED_VALUE"""),"US 257 USF GILBERTO FREIRE")</f>
        <v>US 257 USF GILBERTO FREIRE</v>
      </c>
      <c r="H897" s="27">
        <f>IFERROR(__xludf.DUMMYFUNCTION("""COMPUTED_VALUE"""),81999929510)</f>
        <v>81999929510</v>
      </c>
      <c r="I897" s="11"/>
      <c r="J897" s="11"/>
      <c r="K897" s="11"/>
      <c r="L897" s="11"/>
      <c r="M897" s="28" t="str">
        <f>IFERROR(__xludf.DUMMYFUNCTION("""COMPUTED_VALUE"""),"3355-0110")</f>
        <v>3355-0110</v>
      </c>
      <c r="N897" s="11" t="str">
        <f>IFERROR(__xludf.DUMMYFUNCTION("""COMPUTED_VALUE"""),"geogomesbarbosa@yahoo.com.br")</f>
        <v>geogomesbarbosa@yahoo.com.br</v>
      </c>
      <c r="O897" s="29">
        <f>IFERROR(__xludf.DUMMYFUNCTION("""COMPUTED_VALUE"""),3001693452)</f>
        <v>3001693452</v>
      </c>
      <c r="P897" s="30" t="str">
        <f>IFERROR(__xludf.DUMMYFUNCTION("""COMPUTED_VALUE"""),"980016284875369")</f>
        <v>980016284875369</v>
      </c>
      <c r="Q897" s="30" t="str">
        <f>IFERROR(__xludf.DUMMYFUNCTION("""COMPUTED_VALUE"""),"0028045")</f>
        <v>0028045</v>
      </c>
      <c r="R897" s="30" t="str">
        <f>IFERROR(__xludf.DUMMYFUNCTION("""COMPUTED_VALUE"""),"0001743929")</f>
        <v>0001743929</v>
      </c>
      <c r="S897" s="30" t="str">
        <f>IFERROR(__xludf.DUMMYFUNCTION("""COMPUTED_VALUE"""),"1")</f>
        <v>1</v>
      </c>
      <c r="T897" s="30" t="str">
        <f>IFERROR(__xludf.DUMMYFUNCTION("""COMPUTED_VALUE"""),"223293")</f>
        <v>223293</v>
      </c>
      <c r="U897" s="31">
        <f>IFERROR(__xludf.DUMMYFUNCTION("""COMPUTED_VALUE"""),2232)</f>
        <v>2232</v>
      </c>
      <c r="V897" s="11"/>
      <c r="W897" s="11"/>
      <c r="X897" s="11"/>
      <c r="Y897" s="11"/>
      <c r="Z897" s="11"/>
    </row>
    <row r="898" customHeight="1" spans="1:26">
      <c r="A898" s="11" t="str">
        <f>IFERROR(__xludf.DUMMYFUNCTION("""COMPUTED_VALUE"""),"RICARDO ALEXANDRE DE ARAUJO BRITO")</f>
        <v>RICARDO ALEXANDRE DE ARAUJO BRITO</v>
      </c>
      <c r="B898" s="11"/>
      <c r="C898" s="11"/>
      <c r="D898" s="11" t="str">
        <f>IFERROR(__xludf.DUMMYFUNCTION("""COMPUTED_VALUE"""),"Enfermeiro eSF")</f>
        <v>Enfermeiro eSF</v>
      </c>
      <c r="E898" s="11" t="str">
        <f>IFERROR(__xludf.DUMMYFUNCTION("""COMPUTED_VALUE"""),"VII")</f>
        <v>VII</v>
      </c>
      <c r="F898" s="11" t="str">
        <f>IFERROR(__xludf.DUMMYFUNCTION("""COMPUTED_VALUE"""),"US_257 PSF GILBERTO FREIRE / BOLA NA REDE")</f>
        <v>US_257 PSF GILBERTO FREIRE / BOLA NA REDE</v>
      </c>
      <c r="G898" s="11" t="str">
        <f>IFERROR(__xludf.DUMMYFUNCTION("""COMPUTED_VALUE"""),"US 257 USF GILBERTO FREIRE")</f>
        <v>US 257 USF GILBERTO FREIRE</v>
      </c>
      <c r="H898" s="27">
        <f>IFERROR(__xludf.DUMMYFUNCTION("""COMPUTED_VALUE"""),81999682284)</f>
        <v>81999682284</v>
      </c>
      <c r="I898" s="11"/>
      <c r="J898" s="11"/>
      <c r="K898" s="11"/>
      <c r="L898" s="11"/>
      <c r="M898" s="28" t="str">
        <f>IFERROR(__xludf.DUMMYFUNCTION("""COMPUTED_VALUE"""),"3355-0110")</f>
        <v>3355-0110</v>
      </c>
      <c r="N898" s="11" t="str">
        <f>IFERROR(__xludf.DUMMYFUNCTION("""COMPUTED_VALUE"""),"ricardoabrito@uol.com.br")</f>
        <v>ricardoabrito@uol.com.br</v>
      </c>
      <c r="O898" s="29">
        <f>IFERROR(__xludf.DUMMYFUNCTION("""COMPUTED_VALUE"""),67730612372)</f>
        <v>67730612372</v>
      </c>
      <c r="P898" s="30" t="str">
        <f>IFERROR(__xludf.DUMMYFUNCTION("""COMPUTED_VALUE"""),"209066120680000")</f>
        <v>209066120680000</v>
      </c>
      <c r="Q898" s="30" t="str">
        <f>IFERROR(__xludf.DUMMYFUNCTION("""COMPUTED_VALUE"""),"0028045")</f>
        <v>0028045</v>
      </c>
      <c r="R898" s="30" t="str">
        <f>IFERROR(__xludf.DUMMYFUNCTION("""COMPUTED_VALUE"""),"0000154415")</f>
        <v>0000154415</v>
      </c>
      <c r="S898" s="30" t="str">
        <f>IFERROR(__xludf.DUMMYFUNCTION("""COMPUTED_VALUE"""),"1")</f>
        <v>1</v>
      </c>
      <c r="T898" s="30" t="str">
        <f>IFERROR(__xludf.DUMMYFUNCTION("""COMPUTED_VALUE"""),"223565")</f>
        <v>223565</v>
      </c>
      <c r="U898" s="31" t="str">
        <f>IFERROR(__xludf.DUMMYFUNCTION("""COMPUTED_VALUE"""),"2235")</f>
        <v>2235</v>
      </c>
      <c r="V898" s="11"/>
      <c r="W898" s="11">
        <f>IFERROR(__xludf.DUMMYFUNCTION("""COMPUTED_VALUE"""),8199682284)</f>
        <v>8199682284</v>
      </c>
      <c r="X898" s="11"/>
      <c r="Y898" s="11">
        <f>IFERROR(__xludf.DUMMYFUNCTION("""COMPUTED_VALUE"""),67730612372)</f>
        <v>67730612372</v>
      </c>
      <c r="Z898" s="11"/>
    </row>
    <row r="899" customHeight="1" spans="1:26">
      <c r="A899" s="11" t="str">
        <f>IFERROR(__xludf.DUMMYFUNCTION("""COMPUTED_VALUE"""),"ROBERTA AZEVEDO NEVES CAVALCANTI")</f>
        <v>ROBERTA AZEVEDO NEVES CAVALCANTI</v>
      </c>
      <c r="B899" s="11"/>
      <c r="C899" s="11"/>
      <c r="D899" s="11" t="str">
        <f>IFERROR(__xludf.DUMMYFUNCTION("""COMPUTED_VALUE"""),"Médica eSF")</f>
        <v>Médica eSF</v>
      </c>
      <c r="E899" s="11" t="str">
        <f>IFERROR(__xludf.DUMMYFUNCTION("""COMPUTED_VALUE"""),"VII")</f>
        <v>VII</v>
      </c>
      <c r="F899" s="11" t="str">
        <f>IFERROR(__xludf.DUMMYFUNCTION("""COMPUTED_VALUE"""),"US_257 PSF GILBERTO FREIRE / BOLA NA REDE")</f>
        <v>US_257 PSF GILBERTO FREIRE / BOLA NA REDE</v>
      </c>
      <c r="G899" s="11" t="str">
        <f>IFERROR(__xludf.DUMMYFUNCTION("""COMPUTED_VALUE"""),"US 257 USF GILBERTO FREIRE")</f>
        <v>US 257 USF GILBERTO FREIRE</v>
      </c>
      <c r="H899" s="27">
        <f>IFERROR(__xludf.DUMMYFUNCTION("""COMPUTED_VALUE"""),81992984724)</f>
        <v>81992984724</v>
      </c>
      <c r="I899" s="11"/>
      <c r="J899" s="11"/>
      <c r="K899" s="11"/>
      <c r="L899" s="11"/>
      <c r="M899" s="28" t="str">
        <f>IFERROR(__xludf.DUMMYFUNCTION("""COMPUTED_VALUE"""),"3355-0110")</f>
        <v>3355-0110</v>
      </c>
      <c r="N899" s="11"/>
      <c r="O899" s="29">
        <f>IFERROR(__xludf.DUMMYFUNCTION("""COMPUTED_VALUE"""),7537459410)</f>
        <v>7537459410</v>
      </c>
      <c r="P899" s="30" t="str">
        <f>IFERROR(__xludf.DUMMYFUNCTION("""COMPUTED_VALUE"""),"705000259641850")</f>
        <v>705000259641850</v>
      </c>
      <c r="Q899" s="30" t="str">
        <f>IFERROR(__xludf.DUMMYFUNCTION("""COMPUTED_VALUE"""),"0028045")</f>
        <v>0028045</v>
      </c>
      <c r="R899" s="30" t="str">
        <f>IFERROR(__xludf.DUMMYFUNCTION("""COMPUTED_VALUE"""),"9002804501")</f>
        <v>9002804501</v>
      </c>
      <c r="S899" s="30" t="str">
        <f>IFERROR(__xludf.DUMMYFUNCTION("""COMPUTED_VALUE"""),"1")</f>
        <v>1</v>
      </c>
      <c r="T899" s="30" t="str">
        <f>IFERROR(__xludf.DUMMYFUNCTION("""COMPUTED_VALUE"""),"225142")</f>
        <v>225142</v>
      </c>
      <c r="U899" s="31" t="str">
        <f>IFERROR(__xludf.DUMMYFUNCTION("""COMPUTED_VALUE"""),"2251")</f>
        <v>2251</v>
      </c>
      <c r="V899" s="11" t="str">
        <f>IFERROR(__xludf.DUMMYFUNCTION("""COMPUTED_VALUE"""),"SIM")</f>
        <v>SIM</v>
      </c>
      <c r="W899" s="11"/>
      <c r="X899" s="11"/>
      <c r="Y899" s="11"/>
      <c r="Z899" s="11"/>
    </row>
    <row r="900" customHeight="1" spans="1:26">
      <c r="A900" s="11" t="str">
        <f>IFERROR(__xludf.DUMMYFUNCTION("""COMPUTED_VALUE"""),"ROSEMARY MARTINS DE LIMA")</f>
        <v>ROSEMARY MARTINS DE LIMA</v>
      </c>
      <c r="B900" s="11"/>
      <c r="C900" s="11"/>
      <c r="D900" s="11" t="str">
        <f>IFERROR(__xludf.DUMMYFUNCTION("""COMPUTED_VALUE"""),"Enfermeira eSF")</f>
        <v>Enfermeira eSF</v>
      </c>
      <c r="E900" s="11" t="str">
        <f>IFERROR(__xludf.DUMMYFUNCTION("""COMPUTED_VALUE"""),"VII")</f>
        <v>VII</v>
      </c>
      <c r="F900" s="11" t="str">
        <f>IFERROR(__xludf.DUMMYFUNCTION("""COMPUTED_VALUE"""),"US_257 PSF GILBERTO FREIRE / BOLA NA REDE")</f>
        <v>US_257 PSF GILBERTO FREIRE / BOLA NA REDE</v>
      </c>
      <c r="G900" s="11" t="str">
        <f>IFERROR(__xludf.DUMMYFUNCTION("""COMPUTED_VALUE"""),"US 257 USF GILBERTO FREIRE")</f>
        <v>US 257 USF GILBERTO FREIRE</v>
      </c>
      <c r="H900" s="27">
        <f>IFERROR(__xludf.DUMMYFUNCTION("""COMPUTED_VALUE"""),81992626848)</f>
        <v>81992626848</v>
      </c>
      <c r="I900" s="27">
        <f>IFERROR(__xludf.DUMMYFUNCTION("""COMPUTED_VALUE"""),81988732830)</f>
        <v>81988732830</v>
      </c>
      <c r="J900" s="11"/>
      <c r="K900" s="11"/>
      <c r="L900" s="11"/>
      <c r="M900" s="28" t="str">
        <f>IFERROR(__xludf.DUMMYFUNCTION("""COMPUTED_VALUE"""),"3355-0110")</f>
        <v>3355-0110</v>
      </c>
      <c r="N900" s="11" t="str">
        <f>IFERROR(__xludf.DUMMYFUNCTION("""COMPUTED_VALUE"""),"rosemlima35@hotmail.com")</f>
        <v>rosemlima35@hotmail.com</v>
      </c>
      <c r="O900" s="29">
        <f>IFERROR(__xludf.DUMMYFUNCTION("""COMPUTED_VALUE"""),65203780463)</f>
        <v>65203780463</v>
      </c>
      <c r="P900" s="30" t="str">
        <f>IFERROR(__xludf.DUMMYFUNCTION("""COMPUTED_VALUE"""),"123662482550009")</f>
        <v>123662482550009</v>
      </c>
      <c r="Q900" s="30" t="str">
        <f>IFERROR(__xludf.DUMMYFUNCTION("""COMPUTED_VALUE"""),"0028045")</f>
        <v>0028045</v>
      </c>
      <c r="R900" s="30" t="str">
        <f>IFERROR(__xludf.DUMMYFUNCTION("""COMPUTED_VALUE"""),"0000154423")</f>
        <v>0000154423</v>
      </c>
      <c r="S900" s="30" t="str">
        <f>IFERROR(__xludf.DUMMYFUNCTION("""COMPUTED_VALUE"""),"1")</f>
        <v>1</v>
      </c>
      <c r="T900" s="30" t="str">
        <f>IFERROR(__xludf.DUMMYFUNCTION("""COMPUTED_VALUE"""),"223565")</f>
        <v>223565</v>
      </c>
      <c r="U900" s="31" t="str">
        <f>IFERROR(__xludf.DUMMYFUNCTION("""COMPUTED_VALUE"""),"2235")</f>
        <v>2235</v>
      </c>
      <c r="V900" s="11"/>
      <c r="W900" s="11">
        <f>IFERROR(__xludf.DUMMYFUNCTION("""COMPUTED_VALUE"""),8192626848)</f>
        <v>8192626848</v>
      </c>
      <c r="X900" s="11">
        <f>IFERROR(__xludf.DUMMYFUNCTION("""COMPUTED_VALUE"""),8134310056)</f>
        <v>8134310056</v>
      </c>
      <c r="Y900" s="11">
        <f>IFERROR(__xludf.DUMMYFUNCTION("""COMPUTED_VALUE"""),65203780463)</f>
        <v>65203780463</v>
      </c>
      <c r="Z900" s="11"/>
    </row>
    <row r="901" customHeight="1" spans="1:26">
      <c r="A901" s="11" t="str">
        <f>IFERROR(__xludf.DUMMYFUNCTION("""COMPUTED_VALUE"""),"VLADIA MARIA TORRES MUNIZ SOARES")</f>
        <v>VLADIA MARIA TORRES MUNIZ SOARES</v>
      </c>
      <c r="B901" s="11"/>
      <c r="C901" s="11"/>
      <c r="D901" s="11" t="str">
        <f>IFERROR(__xludf.DUMMYFUNCTION("""COMPUTED_VALUE"""),"Médica eSF")</f>
        <v>Médica eSF</v>
      </c>
      <c r="E901" s="11" t="str">
        <f>IFERROR(__xludf.DUMMYFUNCTION("""COMPUTED_VALUE"""),"VII")</f>
        <v>VII</v>
      </c>
      <c r="F901" s="11" t="str">
        <f>IFERROR(__xludf.DUMMYFUNCTION("""COMPUTED_VALUE"""),"US_257 PSF GILBERTO FREIRE / BOLA NA REDE")</f>
        <v>US_257 PSF GILBERTO FREIRE / BOLA NA REDE</v>
      </c>
      <c r="G901" s="11" t="str">
        <f>IFERROR(__xludf.DUMMYFUNCTION("""COMPUTED_VALUE"""),"US 257 USF GILBERTO FREIRE")</f>
        <v>US 257 USF GILBERTO FREIRE</v>
      </c>
      <c r="H901" s="27">
        <f>IFERROR(__xludf.DUMMYFUNCTION("""COMPUTED_VALUE"""),81981757108)</f>
        <v>81981757108</v>
      </c>
      <c r="I901" s="11"/>
      <c r="J901" s="11"/>
      <c r="K901" s="11"/>
      <c r="L901" s="11"/>
      <c r="M901" s="28" t="str">
        <f>IFERROR(__xludf.DUMMYFUNCTION("""COMPUTED_VALUE"""),"3355-0110")</f>
        <v>3355-0110</v>
      </c>
      <c r="N901" s="11" t="str">
        <f>IFERROR(__xludf.DUMMYFUNCTION("""COMPUTED_VALUE"""),"VLADIAMARIAMUNIZ@HOTMAIL.COM")</f>
        <v>VLADIAMARIAMUNIZ@HOTMAIL.COM</v>
      </c>
      <c r="O901" s="29">
        <f>IFERROR(__xludf.DUMMYFUNCTION("""COMPUTED_VALUE"""),78448239415)</f>
        <v>78448239415</v>
      </c>
      <c r="P901" s="30" t="str">
        <f>IFERROR(__xludf.DUMMYFUNCTION("""COMPUTED_VALUE"""),"204325063190009")</f>
        <v>204325063190009</v>
      </c>
      <c r="Q901" s="30" t="str">
        <f>IFERROR(__xludf.DUMMYFUNCTION("""COMPUTED_VALUE"""),"0028045")</f>
        <v>0028045</v>
      </c>
      <c r="R901" s="30" t="str">
        <f>IFERROR(__xludf.DUMMYFUNCTION("""COMPUTED_VALUE"""),"0000154423")</f>
        <v>0000154423</v>
      </c>
      <c r="S901" s="30" t="str">
        <f>IFERROR(__xludf.DUMMYFUNCTION("""COMPUTED_VALUE"""),"1")</f>
        <v>1</v>
      </c>
      <c r="T901" s="30" t="str">
        <f>IFERROR(__xludf.DUMMYFUNCTION("""COMPUTED_VALUE"""),"225142")</f>
        <v>225142</v>
      </c>
      <c r="U901" s="31" t="str">
        <f>IFERROR(__xludf.DUMMYFUNCTION("""COMPUTED_VALUE"""),"2251")</f>
        <v>2251</v>
      </c>
      <c r="V901" s="11" t="str">
        <f>IFERROR(__xludf.DUMMYFUNCTION("""COMPUTED_VALUE"""),"SIM")</f>
        <v>SIM</v>
      </c>
      <c r="W901" s="11"/>
      <c r="X901" s="11"/>
      <c r="Y901" s="11"/>
      <c r="Z901" s="11"/>
    </row>
    <row r="902" customHeight="1" spans="1:26">
      <c r="A902" s="11" t="str">
        <f>IFERROR(__xludf.DUMMYFUNCTION("""COMPUTED_VALUE"""),"MARTA MELO DE MORAES")</f>
        <v>MARTA MELO DE MORAES</v>
      </c>
      <c r="B902" s="11"/>
      <c r="C902" s="11"/>
      <c r="D902" s="11" t="str">
        <f>IFERROR(__xludf.DUMMYFUNCTION("""COMPUTED_VALUE"""),"Dentista")</f>
        <v>Dentista</v>
      </c>
      <c r="E902" s="11" t="str">
        <f>IFERROR(__xludf.DUMMYFUNCTION("""COMPUTED_VALUE"""),"VII")</f>
        <v>VII</v>
      </c>
      <c r="F902" s="11" t="str">
        <f>IFERROR(__xludf.DUMMYFUNCTION("""COMPUTED_VALUE"""),"US_261 USF ALTO DO EUCALIPTO/ EDNALDO VASCONCELOS")</f>
        <v>US_261 USF ALTO DO EUCALIPTO/ EDNALDO VASCONCELOS</v>
      </c>
      <c r="G902" s="11" t="str">
        <f>IFERROR(__xludf.DUMMYFUNCTION("""COMPUTED_VALUE"""),"US 261 USF ALTO DO EUCALIPTO")</f>
        <v>US 261 USF ALTO DO EUCALIPTO</v>
      </c>
      <c r="H902" s="27">
        <f>IFERROR(__xludf.DUMMYFUNCTION("""COMPUTED_VALUE"""),81996669464)</f>
        <v>81996669464</v>
      </c>
      <c r="I902" s="11"/>
      <c r="J902" s="11"/>
      <c r="K902" s="11"/>
      <c r="L902" s="11"/>
      <c r="M902" s="28" t="str">
        <f>IFERROR(__xludf.DUMMYFUNCTION("""COMPUTED_VALUE"""),"3355-6082")</f>
        <v>3355-6082</v>
      </c>
      <c r="N902" s="11" t="str">
        <f>IFERROR(__xludf.DUMMYFUNCTION("""COMPUTED_VALUE"""),"martamelom@gmail.com")</f>
        <v>martamelom@gmail.com</v>
      </c>
      <c r="O902" s="29">
        <f>IFERROR(__xludf.DUMMYFUNCTION("""COMPUTED_VALUE"""),2567978461)</f>
        <v>2567978461</v>
      </c>
      <c r="P902" s="30" t="str">
        <f>IFERROR(__xludf.DUMMYFUNCTION("""COMPUTED_VALUE"""),"207285204560007")</f>
        <v>207285204560007</v>
      </c>
      <c r="Q902" s="30" t="str">
        <f>IFERROR(__xludf.DUMMYFUNCTION("""COMPUTED_VALUE"""),"0026301")</f>
        <v>0026301</v>
      </c>
      <c r="R902" s="30" t="str">
        <f>IFERROR(__xludf.DUMMYFUNCTION("""COMPUTED_VALUE"""),"0001802178")</f>
        <v>0001802178</v>
      </c>
      <c r="S902" s="30" t="str">
        <f>IFERROR(__xludf.DUMMYFUNCTION("""COMPUTED_VALUE"""),"1")</f>
        <v>1</v>
      </c>
      <c r="T902" s="30" t="str">
        <f>IFERROR(__xludf.DUMMYFUNCTION("""COMPUTED_VALUE"""),"223293")</f>
        <v>223293</v>
      </c>
      <c r="U902" s="31">
        <f>IFERROR(__xludf.DUMMYFUNCTION("""COMPUTED_VALUE"""),2232)</f>
        <v>2232</v>
      </c>
      <c r="V902" s="11"/>
      <c r="W902" s="11"/>
      <c r="X902" s="11"/>
      <c r="Y902" s="11"/>
      <c r="Z902" s="11"/>
    </row>
    <row r="903" customHeight="1" spans="1:26">
      <c r="A903" s="11" t="str">
        <f>IFERROR(__xludf.DUMMYFUNCTION("""COMPUTED_VALUE"""),"MIRELA MARANHAO MONTARROYOS")</f>
        <v>MIRELA MARANHAO MONTARROYOS</v>
      </c>
      <c r="B903" s="11"/>
      <c r="C903" s="11"/>
      <c r="D903" s="11" t="str">
        <f>IFERROR(__xludf.DUMMYFUNCTION("""COMPUTED_VALUE"""),"Dentista")</f>
        <v>Dentista</v>
      </c>
      <c r="E903" s="11" t="str">
        <f>IFERROR(__xludf.DUMMYFUNCTION("""COMPUTED_VALUE"""),"VII")</f>
        <v>VII</v>
      </c>
      <c r="F903" s="11" t="str">
        <f>IFERROR(__xludf.DUMMYFUNCTION("""COMPUTED_VALUE"""),"US_261 USF ALTO DO EUCALIPTO/ EDNALDO VASCONCELOS")</f>
        <v>US_261 USF ALTO DO EUCALIPTO/ EDNALDO VASCONCELOS</v>
      </c>
      <c r="G903" s="11" t="str">
        <f>IFERROR(__xludf.DUMMYFUNCTION("""COMPUTED_VALUE"""),"US 261 USF ALTO DO EUCALIPTO")</f>
        <v>US 261 USF ALTO DO EUCALIPTO</v>
      </c>
      <c r="H903" s="27">
        <f>IFERROR(__xludf.DUMMYFUNCTION("""COMPUTED_VALUE"""),81991987648)</f>
        <v>81991987648</v>
      </c>
      <c r="I903" s="11"/>
      <c r="J903" s="11"/>
      <c r="K903" s="11"/>
      <c r="L903" s="11"/>
      <c r="M903" s="28" t="str">
        <f>IFERROR(__xludf.DUMMYFUNCTION("""COMPUTED_VALUE"""),"3355-6082")</f>
        <v>3355-6082</v>
      </c>
      <c r="N903" s="11" t="str">
        <f>IFERROR(__xludf.DUMMYFUNCTION("""COMPUTED_VALUE"""),"mirelamaranhao@hotmail.com")</f>
        <v>mirelamaranhao@hotmail.com</v>
      </c>
      <c r="O903" s="29">
        <f>IFERROR(__xludf.DUMMYFUNCTION("""COMPUTED_VALUE"""),86404318415)</f>
        <v>86404318415</v>
      </c>
      <c r="P903" s="30" t="str">
        <f>IFERROR(__xludf.DUMMYFUNCTION("""COMPUTED_VALUE"""),"201533446810001")</f>
        <v>201533446810001</v>
      </c>
      <c r="Q903" s="30" t="str">
        <f>IFERROR(__xludf.DUMMYFUNCTION("""COMPUTED_VALUE"""),"0026301")</f>
        <v>0026301</v>
      </c>
      <c r="R903" s="30" t="str">
        <f>IFERROR(__xludf.DUMMYFUNCTION("""COMPUTED_VALUE"""),"0001755234")</f>
        <v>0001755234</v>
      </c>
      <c r="S903" s="30" t="str">
        <f>IFERROR(__xludf.DUMMYFUNCTION("""COMPUTED_VALUE"""),"1")</f>
        <v>1</v>
      </c>
      <c r="T903" s="30" t="str">
        <f>IFERROR(__xludf.DUMMYFUNCTION("""COMPUTED_VALUE"""),"223293")</f>
        <v>223293</v>
      </c>
      <c r="U903" s="31">
        <f>IFERROR(__xludf.DUMMYFUNCTION("""COMPUTED_VALUE"""),2232)</f>
        <v>2232</v>
      </c>
      <c r="V903" s="11"/>
      <c r="W903" s="11"/>
      <c r="X903" s="11"/>
      <c r="Y903" s="11"/>
      <c r="Z903" s="11"/>
    </row>
    <row r="904" customHeight="1" spans="1:26">
      <c r="A904" s="11" t="str">
        <f>IFERROR(__xludf.DUMMYFUNCTION("""COMPUTED_VALUE"""),"WILLMA EMILIA MIRANDA DE FARIAS")</f>
        <v>WILLMA EMILIA MIRANDA DE FARIAS</v>
      </c>
      <c r="B904" s="11"/>
      <c r="C904" s="11"/>
      <c r="D904" s="11" t="str">
        <f>IFERROR(__xludf.DUMMYFUNCTION("""COMPUTED_VALUE"""),"Enfermeira eSF")</f>
        <v>Enfermeira eSF</v>
      </c>
      <c r="E904" s="11" t="str">
        <f>IFERROR(__xludf.DUMMYFUNCTION("""COMPUTED_VALUE"""),"VII")</f>
        <v>VII</v>
      </c>
      <c r="F904" s="11" t="str">
        <f>IFERROR(__xludf.DUMMYFUNCTION("""COMPUTED_VALUE"""),"US_261 USF ALTO DO EUCALIPTO/ EDNALDO VASCONCELOS")</f>
        <v>US_261 USF ALTO DO EUCALIPTO/ EDNALDO VASCONCELOS</v>
      </c>
      <c r="G904" s="11" t="str">
        <f>IFERROR(__xludf.DUMMYFUNCTION("""COMPUTED_VALUE"""),"US 261 USF ALTO DO EUCALIPTO")</f>
        <v>US 261 USF ALTO DO EUCALIPTO</v>
      </c>
      <c r="H904" s="27">
        <f>IFERROR(__xludf.DUMMYFUNCTION("""COMPUTED_VALUE"""),81999024322)</f>
        <v>81999024322</v>
      </c>
      <c r="I904" s="11"/>
      <c r="J904" s="11"/>
      <c r="K904" s="11"/>
      <c r="L904" s="11"/>
      <c r="M904" s="28" t="str">
        <f>IFERROR(__xludf.DUMMYFUNCTION("""COMPUTED_VALUE"""),"3355-6082")</f>
        <v>3355-6082</v>
      </c>
      <c r="N904" s="11" t="str">
        <f>IFERROR(__xludf.DUMMYFUNCTION("""COMPUTED_VALUE"""),"willmaemilia@hotmail.com")</f>
        <v>willmaemilia@hotmail.com</v>
      </c>
      <c r="O904" s="29">
        <f>IFERROR(__xludf.DUMMYFUNCTION("""COMPUTED_VALUE"""),68613199453)</f>
        <v>68613199453</v>
      </c>
      <c r="P904" s="30" t="str">
        <f>IFERROR(__xludf.DUMMYFUNCTION("""COMPUTED_VALUE"""),"204323367230009")</f>
        <v>204323367230009</v>
      </c>
      <c r="Q904" s="30" t="str">
        <f>IFERROR(__xludf.DUMMYFUNCTION("""COMPUTED_VALUE"""),"0026301")</f>
        <v>0026301</v>
      </c>
      <c r="R904" s="30" t="str">
        <f>IFERROR(__xludf.DUMMYFUNCTION("""COMPUTED_VALUE"""),"0000154237")</f>
        <v>0000154237</v>
      </c>
      <c r="S904" s="30" t="str">
        <f>IFERROR(__xludf.DUMMYFUNCTION("""COMPUTED_VALUE"""),"1")</f>
        <v>1</v>
      </c>
      <c r="T904" s="30" t="str">
        <f>IFERROR(__xludf.DUMMYFUNCTION("""COMPUTED_VALUE"""),"223565")</f>
        <v>223565</v>
      </c>
      <c r="U904" s="31" t="str">
        <f>IFERROR(__xludf.DUMMYFUNCTION("""COMPUTED_VALUE"""),"2235")</f>
        <v>2235</v>
      </c>
      <c r="V904" s="11"/>
      <c r="W904" s="11"/>
      <c r="X904" s="11"/>
      <c r="Y904" s="11"/>
      <c r="Z904" s="11"/>
    </row>
    <row r="905" customHeight="1" spans="1:26">
      <c r="A905" s="11" t="str">
        <f>IFERROR(__xludf.DUMMYFUNCTION("""COMPUTED_VALUE"""),"RENATHA CARVALHO SAMPAIO CANEJO")</f>
        <v>RENATHA CARVALHO SAMPAIO CANEJO</v>
      </c>
      <c r="B905" s="11"/>
      <c r="C905" s="11"/>
      <c r="D905" s="11" t="str">
        <f>IFERROR(__xludf.DUMMYFUNCTION("""COMPUTED_VALUE"""),"Médica eSF")</f>
        <v>Médica eSF</v>
      </c>
      <c r="E905" s="11" t="str">
        <f>IFERROR(__xludf.DUMMYFUNCTION("""COMPUTED_VALUE"""),"VII")</f>
        <v>VII</v>
      </c>
      <c r="F905" s="11" t="str">
        <f>IFERROR(__xludf.DUMMYFUNCTION("""COMPUTED_VALUE"""),"US_279 USF PASSARINHO ALTO")</f>
        <v>US_279 USF PASSARINHO ALTO</v>
      </c>
      <c r="G905" s="11" t="str">
        <f>IFERROR(__xludf.DUMMYFUNCTION("""COMPUTED_VALUE"""),"US 279 USF PASSARINHO ALTO")</f>
        <v>US 279 USF PASSARINHO ALTO</v>
      </c>
      <c r="H905" s="27">
        <f>IFERROR(__xludf.DUMMYFUNCTION("""COMPUTED_VALUE"""),81998341024)</f>
        <v>81998341024</v>
      </c>
      <c r="I905" s="11"/>
      <c r="J905" s="11"/>
      <c r="K905" s="11"/>
      <c r="L905" s="11"/>
      <c r="M905" s="28" t="str">
        <f>IFERROR(__xludf.DUMMYFUNCTION("""COMPUTED_VALUE"""),"3355-6195")</f>
        <v>3355-6195</v>
      </c>
      <c r="N905" s="11" t="str">
        <f>IFERROR(__xludf.DUMMYFUNCTION("""COMPUTED_VALUE"""),"renathacarvalho@outlook.com")</f>
        <v>renathacarvalho@outlook.com</v>
      </c>
      <c r="O905" s="29">
        <f>IFERROR(__xludf.DUMMYFUNCTION("""COMPUTED_VALUE"""),8948516400)</f>
        <v>8948516400</v>
      </c>
      <c r="P905" s="30" t="str">
        <f>IFERROR(__xludf.DUMMYFUNCTION("""COMPUTED_VALUE"""),"700907991175495")</f>
        <v>700907991175495</v>
      </c>
      <c r="Q905" s="30" t="str">
        <f>IFERROR(__xludf.DUMMYFUNCTION("""COMPUTED_VALUE"""),"0028673")</f>
        <v>0028673</v>
      </c>
      <c r="R905" s="30" t="str">
        <f>IFERROR(__xludf.DUMMYFUNCTION("""COMPUTED_VALUE"""),"0000154571")</f>
        <v>0000154571</v>
      </c>
      <c r="S905" s="30" t="str">
        <f>IFERROR(__xludf.DUMMYFUNCTION("""COMPUTED_VALUE"""),"3")</f>
        <v>3</v>
      </c>
      <c r="T905" s="30" t="str">
        <f>IFERROR(__xludf.DUMMYFUNCTION("""COMPUTED_VALUE"""),"225142")</f>
        <v>225142</v>
      </c>
      <c r="U905" s="31" t="str">
        <f>IFERROR(__xludf.DUMMYFUNCTION("""COMPUTED_VALUE"""),"2251")</f>
        <v>2251</v>
      </c>
      <c r="V905" s="11"/>
      <c r="W905" s="11"/>
      <c r="X905" s="11" t="str">
        <f>IFERROR(__xludf.DUMMYFUNCTION("""COMPUTED_VALUE"""),"#N/A")</f>
        <v>#N/A</v>
      </c>
      <c r="Y905" s="11" t="str">
        <f>IFERROR(__xludf.DUMMYFUNCTION("""COMPUTED_VALUE"""),"#N/A")</f>
        <v>#N/A</v>
      </c>
      <c r="Z905" s="11" t="str">
        <f>IFERROR(__xludf.DUMMYFUNCTION("""COMPUTED_VALUE"""),"#N/A")</f>
        <v>#N/A</v>
      </c>
    </row>
    <row r="906" customHeight="1" spans="1:26">
      <c r="A906" s="11" t="str">
        <f>IFERROR(__xludf.DUMMYFUNCTION("""COMPUTED_VALUE"""),"RODRIGO BARBOSA GONCALVES")</f>
        <v>RODRIGO BARBOSA GONCALVES</v>
      </c>
      <c r="B906" s="11"/>
      <c r="C906" s="11"/>
      <c r="D906" s="11" t="str">
        <f>IFERROR(__xludf.DUMMYFUNCTION("""COMPUTED_VALUE"""),"Dentista")</f>
        <v>Dentista</v>
      </c>
      <c r="E906" s="11" t="str">
        <f>IFERROR(__xludf.DUMMYFUNCTION("""COMPUTED_VALUE"""),"VII")</f>
        <v>VII</v>
      </c>
      <c r="F906" s="11" t="str">
        <f>IFERROR(__xludf.DUMMYFUNCTION("""COMPUTED_VALUE"""),"US_279 USF PASSARINHO ALTO")</f>
        <v>US_279 USF PASSARINHO ALTO</v>
      </c>
      <c r="G906" s="11" t="str">
        <f>IFERROR(__xludf.DUMMYFUNCTION("""COMPUTED_VALUE"""),"US 279 USF PASSARINHO ALTO")</f>
        <v>US 279 USF PASSARINHO ALTO</v>
      </c>
      <c r="H906" s="27">
        <f>IFERROR(__xludf.DUMMYFUNCTION("""COMPUTED_VALUE"""),81988979779)</f>
        <v>81988979779</v>
      </c>
      <c r="I906" s="11"/>
      <c r="J906" s="11"/>
      <c r="K906" s="11"/>
      <c r="L906" s="11"/>
      <c r="M906" s="28" t="str">
        <f>IFERROR(__xludf.DUMMYFUNCTION("""COMPUTED_VALUE"""),"3355-6195")</f>
        <v>3355-6195</v>
      </c>
      <c r="N906" s="11" t="str">
        <f>IFERROR(__xludf.DUMMYFUNCTION("""COMPUTED_VALUE"""),"rbgoncalves@hotmail.com")</f>
        <v>rbgoncalves@hotmail.com</v>
      </c>
      <c r="O906" s="29">
        <f>IFERROR(__xludf.DUMMYFUNCTION("""COMPUTED_VALUE"""),3410292462)</f>
        <v>3410292462</v>
      </c>
      <c r="P906" s="30" t="str">
        <f>IFERROR(__xludf.DUMMYFUNCTION("""COMPUTED_VALUE"""),"980016276865856")</f>
        <v>980016276865856</v>
      </c>
      <c r="Q906" s="30" t="str">
        <f>IFERROR(__xludf.DUMMYFUNCTION("""COMPUTED_VALUE"""),"0028673")</f>
        <v>0028673</v>
      </c>
      <c r="R906" s="30" t="str">
        <f>IFERROR(__xludf.DUMMYFUNCTION("""COMPUTED_VALUE"""),"0001801961")</f>
        <v>0001801961</v>
      </c>
      <c r="S906" s="30" t="str">
        <f>IFERROR(__xludf.DUMMYFUNCTION("""COMPUTED_VALUE"""),"1")</f>
        <v>1</v>
      </c>
      <c r="T906" s="30" t="str">
        <f>IFERROR(__xludf.DUMMYFUNCTION("""COMPUTED_VALUE"""),"223293")</f>
        <v>223293</v>
      </c>
      <c r="U906" s="31">
        <f>IFERROR(__xludf.DUMMYFUNCTION("""COMPUTED_VALUE"""),2232)</f>
        <v>2232</v>
      </c>
      <c r="V906" s="11"/>
      <c r="W906" s="11"/>
      <c r="X906" s="11"/>
      <c r="Y906" s="11"/>
      <c r="Z906" s="11"/>
    </row>
    <row r="907" customHeight="1" spans="1:26">
      <c r="A907" s="11" t="str">
        <f>IFERROR(__xludf.DUMMYFUNCTION("""COMPUTED_VALUE"""),"ADRIANA ROCHA DE ALENCAR BARROS 283")</f>
        <v>ADRIANA ROCHA DE ALENCAR BARROS 283</v>
      </c>
      <c r="B907" s="11"/>
      <c r="C907" s="11"/>
      <c r="D907" s="11" t="str">
        <f>IFERROR(__xludf.DUMMYFUNCTION("""COMPUTED_VALUE"""),"Médica eSF")</f>
        <v>Médica eSF</v>
      </c>
      <c r="E907" s="11" t="str">
        <f>IFERROR(__xludf.DUMMYFUNCTION("""COMPUTED_VALUE"""),"VII")</f>
        <v>VII</v>
      </c>
      <c r="F907" s="11" t="str">
        <f>IFERROR(__xludf.DUMMYFUNCTION("""COMPUTED_VALUE"""),"US_218 USF COQUE")</f>
        <v>US_218 USF COQUE</v>
      </c>
      <c r="G907" s="11" t="str">
        <f>IFERROR(__xludf.DUMMYFUNCTION("""COMPUTED_VALUE"""),"US 283 USF VILA BOA VISTA")</f>
        <v>US 283 USF VILA BOA VISTA</v>
      </c>
      <c r="H907" s="27">
        <f>IFERROR(__xludf.DUMMYFUNCTION("""COMPUTED_VALUE"""),81999689086)</f>
        <v>81999689086</v>
      </c>
      <c r="I907" s="11"/>
      <c r="J907" s="11"/>
      <c r="K907" s="11"/>
      <c r="L907" s="11"/>
      <c r="M907" s="28" t="str">
        <f>IFERROR(__xludf.DUMMYFUNCTION("""COMPUTED_VALUE"""),"3355-6242")</f>
        <v>3355-6242</v>
      </c>
      <c r="N907" s="11" t="str">
        <f>IFERROR(__xludf.DUMMYFUNCTION("""COMPUTED_VALUE"""),"adrianarochabarros@yahoo.com.br")</f>
        <v>adrianarochabarros@yahoo.com.br</v>
      </c>
      <c r="O907" s="29">
        <f>IFERROR(__xludf.DUMMYFUNCTION("""COMPUTED_VALUE"""),2354649452)</f>
        <v>2354649452</v>
      </c>
      <c r="P907" s="30" t="str">
        <f>IFERROR(__xludf.DUMMYFUNCTION("""COMPUTED_VALUE"""),"200353702670009")</f>
        <v>200353702670009</v>
      </c>
      <c r="Q907" s="30" t="str">
        <f>IFERROR(__xludf.DUMMYFUNCTION("""COMPUTED_VALUE"""),"0029106")</f>
        <v>0029106</v>
      </c>
      <c r="R907" s="30" t="str">
        <f>IFERROR(__xludf.DUMMYFUNCTION("""COMPUTED_VALUE"""),"9000125201")</f>
        <v>9000125201</v>
      </c>
      <c r="S907" s="30" t="str">
        <f>IFERROR(__xludf.DUMMYFUNCTION("""COMPUTED_VALUE"""),"1")</f>
        <v>1</v>
      </c>
      <c r="T907" s="30" t="str">
        <f>IFERROR(__xludf.DUMMYFUNCTION("""COMPUTED_VALUE"""),"225142")</f>
        <v>225142</v>
      </c>
      <c r="U907" s="31" t="str">
        <f>IFERROR(__xludf.DUMMYFUNCTION("""COMPUTED_VALUE"""),"2251")</f>
        <v>2251</v>
      </c>
      <c r="V907" s="11"/>
      <c r="W907" s="30" t="str">
        <f>IFERROR(__xludf.DUMMYFUNCTION("""COMPUTED_VALUE"""),"23/08/1975")</f>
        <v>23/08/1975</v>
      </c>
      <c r="X907" s="11"/>
      <c r="Y907" s="11"/>
      <c r="Z907" s="11"/>
    </row>
    <row r="908" customHeight="1" spans="1:26">
      <c r="A908" s="11" t="str">
        <f>IFERROR(__xludf.DUMMYFUNCTION("""COMPUTED_VALUE"""),"PRISCILA ALCANTARA TEIXEIRA")</f>
        <v>PRISCILA ALCANTARA TEIXEIRA</v>
      </c>
      <c r="B908" s="11" t="str">
        <f>IFERROR(__xludf.DUMMYFUNCTION("""COMPUTED_VALUE"""),"08:00/11:00/13:00 - horários de preferência")</f>
        <v>08:00/11:00/13:00 - horários de preferência</v>
      </c>
      <c r="C908" s="11"/>
      <c r="D908" s="11" t="str">
        <f>IFERROR(__xludf.DUMMYFUNCTION("""COMPUTED_VALUE"""),"Médica eSF")</f>
        <v>Médica eSF</v>
      </c>
      <c r="E908" s="11" t="str">
        <f>IFERROR(__xludf.DUMMYFUNCTION("""COMPUTED_VALUE"""),"VII")</f>
        <v>VII</v>
      </c>
      <c r="F908" s="11" t="str">
        <f>IFERROR(__xludf.DUMMYFUNCTION("""COMPUTED_VALUE"""),"US_287 USF ALTO JOSE DO PINHO")</f>
        <v>US_287 USF ALTO JOSE DO PINHO</v>
      </c>
      <c r="G908" s="11" t="str">
        <f>IFERROR(__xludf.DUMMYFUNCTION("""COMPUTED_VALUE"""),"US 287 USF ALTO JOSE DO PINHO")</f>
        <v>US 287 USF ALTO JOSE DO PINHO</v>
      </c>
      <c r="H908" s="27">
        <f>IFERROR(__xludf.DUMMYFUNCTION("""COMPUTED_VALUE"""),81982532392)</f>
        <v>81982532392</v>
      </c>
      <c r="I908" s="11"/>
      <c r="J908" s="11"/>
      <c r="K908" s="11"/>
      <c r="L908" s="11"/>
      <c r="M908" s="28" t="str">
        <f>IFERROR(__xludf.DUMMYFUNCTION("""COMPUTED_VALUE"""),"3355-6086")</f>
        <v>3355-6086</v>
      </c>
      <c r="N908" s="11" t="str">
        <f>IFERROR(__xludf.DUMMYFUNCTION("""COMPUTED_VALUE"""),"t.alcantarapriscila@gmail.com")</f>
        <v>t.alcantarapriscila@gmail.com</v>
      </c>
      <c r="O908" s="29">
        <f>IFERROR(__xludf.DUMMYFUNCTION("""COMPUTED_VALUE"""),8959233439)</f>
        <v>8959233439</v>
      </c>
      <c r="P908" s="30" t="str">
        <f>IFERROR(__xludf.DUMMYFUNCTION("""COMPUTED_VALUE"""),"708004334418228")</f>
        <v>708004334418228</v>
      </c>
      <c r="Q908" s="30" t="str">
        <f>IFERROR(__xludf.DUMMYFUNCTION("""COMPUTED_VALUE"""),"2679779")</f>
        <v>2679779</v>
      </c>
      <c r="R908" s="30" t="str">
        <f>IFERROR(__xludf.DUMMYFUNCTION("""COMPUTED_VALUE"""),"0000154822")</f>
        <v>0000154822</v>
      </c>
      <c r="S908" s="30" t="str">
        <f>IFERROR(__xludf.DUMMYFUNCTION("""COMPUTED_VALUE"""),"1")</f>
        <v>1</v>
      </c>
      <c r="T908" s="30" t="str">
        <f>IFERROR(__xludf.DUMMYFUNCTION("""COMPUTED_VALUE"""),"225142")</f>
        <v>225142</v>
      </c>
      <c r="U908" s="31" t="str">
        <f>IFERROR(__xludf.DUMMYFUNCTION("""COMPUTED_VALUE"""),"2251")</f>
        <v>2251</v>
      </c>
      <c r="V908" s="11"/>
      <c r="W908" s="11"/>
      <c r="X908" s="11" t="str">
        <f>IFERROR(__xludf.DUMMYFUNCTION("""COMPUTED_VALUE"""),"#N/A")</f>
        <v>#N/A</v>
      </c>
      <c r="Y908" s="11" t="str">
        <f>IFERROR(__xludf.DUMMYFUNCTION("""COMPUTED_VALUE"""),"#N/A")</f>
        <v>#N/A</v>
      </c>
      <c r="Z908" s="11" t="str">
        <f>IFERROR(__xludf.DUMMYFUNCTION("""COMPUTED_VALUE"""),"#N/A")</f>
        <v>#N/A</v>
      </c>
    </row>
    <row r="909" customHeight="1" spans="1:26">
      <c r="A909" s="11" t="str">
        <f>IFERROR(__xludf.DUMMYFUNCTION("""COMPUTED_VALUE"""),"RAFAELA ALVES PACHECO")</f>
        <v>RAFAELA ALVES PACHECO</v>
      </c>
      <c r="B909" s="11"/>
      <c r="C909" s="11"/>
      <c r="D909" s="11" t="str">
        <f>IFERROR(__xludf.DUMMYFUNCTION("""COMPUTED_VALUE"""),"Médica eSF")</f>
        <v>Médica eSF</v>
      </c>
      <c r="E909" s="11" t="str">
        <f>IFERROR(__xludf.DUMMYFUNCTION("""COMPUTED_VALUE"""),"VII")</f>
        <v>VII</v>
      </c>
      <c r="F909" s="11" t="str">
        <f>IFERROR(__xludf.DUMMYFUNCTION("""COMPUTED_VALUE"""),"SEGTES")</f>
        <v>SEGTES</v>
      </c>
      <c r="G909" s="11" t="str">
        <f>IFERROR(__xludf.DUMMYFUNCTION("""COMPUTED_VALUE"""),"US 288 USF MORRO DA CONCEICAO")</f>
        <v>US 288 USF MORRO DA CONCEICAO</v>
      </c>
      <c r="H909" s="27">
        <f>IFERROR(__xludf.DUMMYFUNCTION("""COMPUTED_VALUE"""),81992720168)</f>
        <v>81992720168</v>
      </c>
      <c r="I909" s="11"/>
      <c r="J909" s="11"/>
      <c r="K909" s="11"/>
      <c r="L909" s="11"/>
      <c r="M909" s="28" t="str">
        <f>IFERROR(__xludf.DUMMYFUNCTION("""COMPUTED_VALUE"""),"3355-6526")</f>
        <v>3355-6526</v>
      </c>
      <c r="N909" s="11" t="str">
        <f>IFERROR(__xludf.DUMMYFUNCTION("""COMPUTED_VALUE"""),"rafaelapacheco80@gmail.com")</f>
        <v>rafaelapacheco80@gmail.com</v>
      </c>
      <c r="O909" s="29">
        <f>IFERROR(__xludf.DUMMYFUNCTION("""COMPUTED_VALUE"""),64132862372)</f>
        <v>64132862372</v>
      </c>
      <c r="P909" s="30" t="str">
        <f>IFERROR(__xludf.DUMMYFUNCTION("""COMPUTED_VALUE"""),"980016278508457")</f>
        <v>980016278508457</v>
      </c>
      <c r="Q909" s="30" t="str">
        <f>IFERROR(__xludf.DUMMYFUNCTION("""COMPUTED_VALUE"""),"2679787")</f>
        <v>2679787</v>
      </c>
      <c r="R909" s="30" t="str">
        <f>IFERROR(__xludf.DUMMYFUNCTION("""COMPUTED_VALUE"""),"0000154830")</f>
        <v>0000154830</v>
      </c>
      <c r="S909" s="30" t="str">
        <f>IFERROR(__xludf.DUMMYFUNCTION("""COMPUTED_VALUE"""),"1")</f>
        <v>1</v>
      </c>
      <c r="T909" s="30" t="str">
        <f>IFERROR(__xludf.DUMMYFUNCTION("""COMPUTED_VALUE"""),"225142")</f>
        <v>225142</v>
      </c>
      <c r="U909" s="31" t="str">
        <f>IFERROR(__xludf.DUMMYFUNCTION("""COMPUTED_VALUE"""),"2251")</f>
        <v>2251</v>
      </c>
      <c r="V909" s="11"/>
      <c r="W909" s="11"/>
      <c r="X909" s="11" t="str">
        <f>IFERROR(__xludf.DUMMYFUNCTION("""COMPUTED_VALUE"""),"#N/A")</f>
        <v>#N/A</v>
      </c>
      <c r="Y909" s="11" t="str">
        <f>IFERROR(__xludf.DUMMYFUNCTION("""COMPUTED_VALUE"""),"#N/A")</f>
        <v>#N/A</v>
      </c>
      <c r="Z909" s="11" t="str">
        <f>IFERROR(__xludf.DUMMYFUNCTION("""COMPUTED_VALUE"""),"#N/A")</f>
        <v>#N/A</v>
      </c>
    </row>
    <row r="910" customHeight="1" spans="1:26">
      <c r="A910" s="11" t="str">
        <f>IFERROR(__xludf.DUMMYFUNCTION("""COMPUTED_VALUE"""),"ANA MARIA ALBUQUERQUE DA SILVEIRA BARROS")</f>
        <v>ANA MARIA ALBUQUERQUE DA SILVEIRA BARROS</v>
      </c>
      <c r="B910" s="11" t="str">
        <f>IFERROR(__xludf.DUMMYFUNCTION("""COMPUTED_VALUE"""),"15:30 - horário de preferência")</f>
        <v>15:30 - horário de preferência</v>
      </c>
      <c r="C910" s="11"/>
      <c r="D910" s="11" t="str">
        <f>IFERROR(__xludf.DUMMYFUNCTION("""COMPUTED_VALUE"""),"Enfermeira eSF")</f>
        <v>Enfermeira eSF</v>
      </c>
      <c r="E910" s="11" t="str">
        <f>IFERROR(__xludf.DUMMYFUNCTION("""COMPUTED_VALUE"""),"VII")</f>
        <v>VII</v>
      </c>
      <c r="F910" s="11" t="str">
        <f>IFERROR(__xludf.DUMMYFUNCTION("""COMPUTED_VALUE"""),"US_290 USF DA MANGABEIRA")</f>
        <v>US_290 USF DA MANGABEIRA</v>
      </c>
      <c r="G910" s="11" t="str">
        <f>IFERROR(__xludf.DUMMYFUNCTION("""COMPUTED_VALUE"""),"US 290 USF DA MANGABEIRA")</f>
        <v>US 290 USF DA MANGABEIRA</v>
      </c>
      <c r="H910" s="27">
        <f>IFERROR(__xludf.DUMMYFUNCTION("""COMPUTED_VALUE"""),81991473990)</f>
        <v>81991473990</v>
      </c>
      <c r="I910" s="11"/>
      <c r="J910" s="11"/>
      <c r="K910" s="11"/>
      <c r="L910" s="11"/>
      <c r="M910" s="28" t="str">
        <f>IFERROR(__xludf.DUMMYFUNCTION("""COMPUTED_VALUE"""),"3355-6182")</f>
        <v>3355-6182</v>
      </c>
      <c r="N910" s="11" t="str">
        <f>IFERROR(__xludf.DUMMYFUNCTION("""COMPUTED_VALUE"""),"anamariabarros60@hotmail.com")</f>
        <v>anamariabarros60@hotmail.com</v>
      </c>
      <c r="O910" s="29">
        <f>IFERROR(__xludf.DUMMYFUNCTION("""COMPUTED_VALUE"""),31920900497)</f>
        <v>31920900497</v>
      </c>
      <c r="P910" s="30" t="str">
        <f>IFERROR(__xludf.DUMMYFUNCTION("""COMPUTED_VALUE"""),"120613017640006")</f>
        <v>120613017640006</v>
      </c>
      <c r="Q910" s="30" t="str">
        <f>IFERROR(__xludf.DUMMYFUNCTION("""COMPUTED_VALUE"""),"3006476")</f>
        <v>3006476</v>
      </c>
      <c r="R910" s="30" t="str">
        <f>IFERROR(__xludf.DUMMYFUNCTION("""COMPUTED_VALUE"""),"0000154938")</f>
        <v>0000154938</v>
      </c>
      <c r="S910" s="30" t="str">
        <f>IFERROR(__xludf.DUMMYFUNCTION("""COMPUTED_VALUE"""),"1")</f>
        <v>1</v>
      </c>
      <c r="T910" s="30" t="str">
        <f>IFERROR(__xludf.DUMMYFUNCTION("""COMPUTED_VALUE"""),"223565")</f>
        <v>223565</v>
      </c>
      <c r="U910" s="31" t="str">
        <f>IFERROR(__xludf.DUMMYFUNCTION("""COMPUTED_VALUE"""),"2235")</f>
        <v>2235</v>
      </c>
      <c r="V910" s="11"/>
      <c r="W910" s="11">
        <f>IFERROR(__xludf.DUMMYFUNCTION("""COMPUTED_VALUE"""),34422848)</f>
        <v>34422848</v>
      </c>
      <c r="X910" s="11">
        <f>IFERROR(__xludf.DUMMYFUNCTION("""COMPUTED_VALUE"""),91473990)</f>
        <v>91473990</v>
      </c>
      <c r="Y910" s="11">
        <f>IFERROR(__xludf.DUMMYFUNCTION("""COMPUTED_VALUE"""),31920900497)</f>
        <v>31920900497</v>
      </c>
      <c r="Z910" s="11"/>
    </row>
    <row r="911" customHeight="1" spans="1:26">
      <c r="A911" s="11" t="str">
        <f>IFERROR(__xludf.DUMMYFUNCTION("""COMPUTED_VALUE"""),"ANTONIO ADRIANO RODRIGUES DOS SANTOS")</f>
        <v>ANTONIO ADRIANO RODRIGUES DOS SANTOS</v>
      </c>
      <c r="B911" s="11"/>
      <c r="C911" s="11"/>
      <c r="D911" s="11" t="str">
        <f>IFERROR(__xludf.DUMMYFUNCTION("""COMPUTED_VALUE"""),"Médico eSF")</f>
        <v>Médico eSF</v>
      </c>
      <c r="E911" s="11" t="str">
        <f>IFERROR(__xludf.DUMMYFUNCTION("""COMPUTED_VALUE"""),"VII")</f>
        <v>VII</v>
      </c>
      <c r="F911" s="11" t="str">
        <f>IFERROR(__xludf.DUMMYFUNCTION("""COMPUTED_VALUE"""),"US_290 USF DA MANGABEIRA")</f>
        <v>US_290 USF DA MANGABEIRA</v>
      </c>
      <c r="G911" s="11" t="str">
        <f>IFERROR(__xludf.DUMMYFUNCTION("""COMPUTED_VALUE"""),"US 290 USF DA MANGABEIRA")</f>
        <v>US 290 USF DA MANGABEIRA</v>
      </c>
      <c r="H911" s="27">
        <f>IFERROR(__xludf.DUMMYFUNCTION("""COMPUTED_VALUE"""),81998303150)</f>
        <v>81998303150</v>
      </c>
      <c r="I911" s="11"/>
      <c r="J911" s="11"/>
      <c r="K911" s="11"/>
      <c r="L911" s="11"/>
      <c r="M911" s="28" t="str">
        <f>IFERROR(__xludf.DUMMYFUNCTION("""COMPUTED_VALUE"""),"3355-6182")</f>
        <v>3355-6182</v>
      </c>
      <c r="N911" s="11" t="str">
        <f>IFERROR(__xludf.DUMMYFUNCTION("""COMPUTED_VALUE"""),"antonioarsantos@gmail.com")</f>
        <v>antonioarsantos@gmail.com</v>
      </c>
      <c r="O911" s="29">
        <f>IFERROR(__xludf.DUMMYFUNCTION("""COMPUTED_VALUE"""),1017385360)</f>
        <v>1017385360</v>
      </c>
      <c r="P911" s="30" t="str">
        <f>IFERROR(__xludf.DUMMYFUNCTION("""COMPUTED_VALUE"""),"708304258145960")</f>
        <v>708304258145960</v>
      </c>
      <c r="Q911" s="30" t="str">
        <f>IFERROR(__xludf.DUMMYFUNCTION("""COMPUTED_VALUE"""),"3006476")</f>
        <v>3006476</v>
      </c>
      <c r="R911" s="30" t="str">
        <f>IFERROR(__xludf.DUMMYFUNCTION("""COMPUTED_VALUE"""),"0000154946")</f>
        <v>0000154946</v>
      </c>
      <c r="S911" s="30" t="str">
        <f>IFERROR(__xludf.DUMMYFUNCTION("""COMPUTED_VALUE"""),"1")</f>
        <v>1</v>
      </c>
      <c r="T911" s="30" t="str">
        <f>IFERROR(__xludf.DUMMYFUNCTION("""COMPUTED_VALUE"""),"225142")</f>
        <v>225142</v>
      </c>
      <c r="U911" s="31" t="str">
        <f>IFERROR(__xludf.DUMMYFUNCTION("""COMPUTED_VALUE"""),"2251")</f>
        <v>2251</v>
      </c>
      <c r="V911" s="11" t="str">
        <f>IFERROR(__xludf.DUMMYFUNCTION("""COMPUTED_VALUE"""),"SIM")</f>
        <v>SIM</v>
      </c>
      <c r="W911" s="11"/>
      <c r="X911" s="11" t="str">
        <f>IFERROR(__xludf.DUMMYFUNCTION("""COMPUTED_VALUE"""),"#N/A")</f>
        <v>#N/A</v>
      </c>
      <c r="Y911" s="11" t="str">
        <f>IFERROR(__xludf.DUMMYFUNCTION("""COMPUTED_VALUE"""),"#N/A")</f>
        <v>#N/A</v>
      </c>
      <c r="Z911" s="11" t="str">
        <f>IFERROR(__xludf.DUMMYFUNCTION("""COMPUTED_VALUE"""),"#N/A")</f>
        <v>#N/A</v>
      </c>
    </row>
    <row r="912" customHeight="1" spans="1:26">
      <c r="A912" s="11" t="str">
        <f>IFERROR(__xludf.DUMMYFUNCTION("""COMPUTED_VALUE"""),"POLLYANA JUSTINO DE BRITO")</f>
        <v>POLLYANA JUSTINO DE BRITO</v>
      </c>
      <c r="B912" s="11"/>
      <c r="C912" s="11"/>
      <c r="D912" s="11" t="str">
        <f>IFERROR(__xludf.DUMMYFUNCTION("""COMPUTED_VALUE"""),"Enfermeira")</f>
        <v>Enfermeira</v>
      </c>
      <c r="E912" s="11" t="str">
        <f>IFERROR(__xludf.DUMMYFUNCTION("""COMPUTED_VALUE"""),"VII")</f>
        <v>VII</v>
      </c>
      <c r="F912" s="11" t="str">
        <f>IFERROR(__xludf.DUMMYFUNCTION("""COMPUTED_VALUE"""),"")</f>
        <v/>
      </c>
      <c r="G912" s="11" t="str">
        <f>IFERROR(__xludf.DUMMYFUNCTION("""COMPUTED_VALUE"""),"US 305 USF DA MACAXEIRA")</f>
        <v>US 305 USF DA MACAXEIRA</v>
      </c>
      <c r="H912" s="27">
        <f>IFERROR(__xludf.DUMMYFUNCTION("""COMPUTED_VALUE"""),81995253681)</f>
        <v>81995253681</v>
      </c>
      <c r="I912" s="11"/>
      <c r="J912" s="11"/>
      <c r="K912" s="24">
        <f>IFERROR(__xludf.DUMMYFUNCTION("""COMPUTED_VALUE"""),45433)</f>
        <v>45433</v>
      </c>
      <c r="L912" s="11"/>
      <c r="M912" s="11"/>
      <c r="N912" s="11"/>
      <c r="O912" s="11"/>
      <c r="P912" s="11"/>
      <c r="Q912" s="11"/>
      <c r="R912" s="11"/>
      <c r="S912" s="11"/>
      <c r="T912" s="11"/>
      <c r="U912" s="11"/>
      <c r="V912" s="11"/>
      <c r="W912" s="11"/>
      <c r="X912" s="11"/>
      <c r="Y912" s="11"/>
      <c r="Z912" s="11"/>
    </row>
    <row r="913" customHeight="1" spans="1:26">
      <c r="A913" s="11" t="str">
        <f>IFERROR(__xludf.DUMMYFUNCTION("""COMPUTED_VALUE"""),"ANA PAULA MORAIS COUTINHO DE FARIAS")</f>
        <v>ANA PAULA MORAIS COUTINHO DE FARIAS</v>
      </c>
      <c r="B913" s="11"/>
      <c r="C913" s="11"/>
      <c r="D913" s="11" t="str">
        <f>IFERROR(__xludf.DUMMYFUNCTION("""COMPUTED_VALUE"""),"Enfermeira")</f>
        <v>Enfermeira</v>
      </c>
      <c r="E913" s="11" t="str">
        <f>IFERROR(__xludf.DUMMYFUNCTION("""COMPUTED_VALUE"""),"VII")</f>
        <v>VII</v>
      </c>
      <c r="F913" s="11" t="str">
        <f>IFERROR(__xludf.DUMMYFUNCTION("""COMPUTED_VALUE"""),"US_305 USF DA MACAXEIRA")</f>
        <v>US_305 USF DA MACAXEIRA</v>
      </c>
      <c r="G913" s="11" t="str">
        <f>IFERROR(__xludf.DUMMYFUNCTION("""COMPUTED_VALUE"""),"US 305 USF DA MACAXEIRA")</f>
        <v>US 305 USF DA MACAXEIRA</v>
      </c>
      <c r="H913" s="27">
        <f>IFERROR(__xludf.DUMMYFUNCTION("""COMPUTED_VALUE"""),81999157598)</f>
        <v>81999157598</v>
      </c>
      <c r="I913" s="27">
        <f>IFERROR(__xludf.DUMMYFUNCTION("""COMPUTED_VALUE"""),81998106025)</f>
        <v>81998106025</v>
      </c>
      <c r="J913" s="11"/>
      <c r="K913" s="11"/>
      <c r="L913" s="11"/>
      <c r="M913" s="28" t="str">
        <f>IFERROR(__xludf.DUMMYFUNCTION("""COMPUTED_VALUE"""),"3355-6839")</f>
        <v>3355-6839</v>
      </c>
      <c r="N913" s="11" t="str">
        <f>IFERROR(__xludf.DUMMYFUNCTION("""COMPUTED_VALUE"""),"coolmorais@hotmail.com")</f>
        <v>coolmorais@hotmail.com</v>
      </c>
      <c r="O913" s="29">
        <f>IFERROR(__xludf.DUMMYFUNCTION("""COMPUTED_VALUE"""),2803965461)</f>
        <v>2803965461</v>
      </c>
      <c r="P913" s="30" t="str">
        <f>IFERROR(__xludf.DUMMYFUNCTION("""COMPUTED_VALUE"""),"204324616840000")</f>
        <v>204324616840000</v>
      </c>
      <c r="Q913" s="30" t="str">
        <f>IFERROR(__xludf.DUMMYFUNCTION("""COMPUTED_VALUE"""),"3302008")</f>
        <v>3302008</v>
      </c>
      <c r="R913" s="30" t="str">
        <f>IFERROR(__xludf.DUMMYFUNCTION("""COMPUTED_VALUE"""),"0000155241")</f>
        <v>0000155241</v>
      </c>
      <c r="S913" s="30" t="str">
        <f>IFERROR(__xludf.DUMMYFUNCTION("""COMPUTED_VALUE"""),"1")</f>
        <v>1</v>
      </c>
      <c r="T913" s="30" t="str">
        <f>IFERROR(__xludf.DUMMYFUNCTION("""COMPUTED_VALUE"""),"223565")</f>
        <v>223565</v>
      </c>
      <c r="U913" s="31" t="str">
        <f>IFERROR(__xludf.DUMMYFUNCTION("""COMPUTED_VALUE"""),"2235")</f>
        <v>2235</v>
      </c>
      <c r="V913" s="11"/>
      <c r="W913" s="11">
        <f>IFERROR(__xludf.DUMMYFUNCTION("""COMPUTED_VALUE"""),8132265640)</f>
        <v>8132265640</v>
      </c>
      <c r="X913" s="11">
        <f>IFERROR(__xludf.DUMMYFUNCTION("""COMPUTED_VALUE"""),8198106025)</f>
        <v>8198106025</v>
      </c>
      <c r="Y913" s="11">
        <f>IFERROR(__xludf.DUMMYFUNCTION("""COMPUTED_VALUE"""),2803965461)</f>
        <v>2803965461</v>
      </c>
      <c r="Z913" s="11"/>
    </row>
    <row r="914" customHeight="1" spans="1:26">
      <c r="A914" s="11" t="str">
        <f>IFERROR(__xludf.DUMMYFUNCTION("""COMPUTED_VALUE"""),"GLEYCIANE ALVES")</f>
        <v>GLEYCIANE ALVES</v>
      </c>
      <c r="B914" s="11"/>
      <c r="C914" s="11"/>
      <c r="D914" s="11" t="str">
        <f>IFERROR(__xludf.DUMMYFUNCTION("""COMPUTED_VALUE"""),"MÉDICA RESIDENTE")</f>
        <v>MÉDICA RESIDENTE</v>
      </c>
      <c r="E914" s="11"/>
      <c r="F914" s="11"/>
      <c r="G914" s="11" t="str">
        <f>IFERROR(__xludf.DUMMYFUNCTION("""COMPUTED_VALUE"""),"US 305 USF DA MACAXEIRA")</f>
        <v>US 305 USF DA MACAXEIRA</v>
      </c>
      <c r="H914" s="11"/>
      <c r="I914" s="11"/>
      <c r="J914" s="11"/>
      <c r="K914" s="11"/>
      <c r="L914" s="11"/>
      <c r="M914" s="11"/>
      <c r="N914" s="11"/>
      <c r="O914" s="11"/>
      <c r="P914" s="11"/>
      <c r="Q914" s="11"/>
      <c r="R914" s="11"/>
      <c r="S914" s="11"/>
      <c r="T914" s="11"/>
      <c r="U914" s="11"/>
      <c r="V914" s="11"/>
      <c r="W914" s="11"/>
      <c r="X914" s="11"/>
      <c r="Y914" s="11"/>
      <c r="Z914" s="11"/>
    </row>
    <row r="915" customHeight="1" spans="1:26">
      <c r="A915" s="11" t="str">
        <f>IFERROR(__xludf.DUMMYFUNCTION("""COMPUTED_VALUE"""),"CLAUDIA ORLANDO DA SILVA")</f>
        <v>CLAUDIA ORLANDO DA SILVA</v>
      </c>
      <c r="B915" s="11"/>
      <c r="C915" s="11"/>
      <c r="D915" s="11" t="str">
        <f>IFERROR(__xludf.DUMMYFUNCTION("""COMPUTED_VALUE"""),"Médica eSF")</f>
        <v>Médica eSF</v>
      </c>
      <c r="E915" s="11" t="str">
        <f>IFERROR(__xludf.DUMMYFUNCTION("""COMPUTED_VALUE"""),"VII")</f>
        <v>VII</v>
      </c>
      <c r="F915" s="11" t="str">
        <f>IFERROR(__xludf.DUMMYFUNCTION("""COMPUTED_VALUE"""),"US_305 USF DA MACAXEIRA")</f>
        <v>US_305 USF DA MACAXEIRA</v>
      </c>
      <c r="G915" s="11" t="str">
        <f>IFERROR(__xludf.DUMMYFUNCTION("""COMPUTED_VALUE"""),"US 305 USF DA MACAXEIRA")</f>
        <v>US 305 USF DA MACAXEIRA</v>
      </c>
      <c r="H915" s="27">
        <f>IFERROR(__xludf.DUMMYFUNCTION("""COMPUTED_VALUE"""),81999606061)</f>
        <v>81999606061</v>
      </c>
      <c r="I915" s="27">
        <f>IFERROR(__xludf.DUMMYFUNCTION("""COMPUTED_VALUE"""),81988057123)</f>
        <v>81988057123</v>
      </c>
      <c r="J915" s="11"/>
      <c r="K915" s="11"/>
      <c r="L915" s="11"/>
      <c r="M915" s="28" t="str">
        <f>IFERROR(__xludf.DUMMYFUNCTION("""COMPUTED_VALUE"""),"3355-6839")</f>
        <v>3355-6839</v>
      </c>
      <c r="N915" s="11" t="str">
        <f>IFERROR(__xludf.DUMMYFUNCTION("""COMPUTED_VALUE"""),"cauorlando@yahoo.com.br")</f>
        <v>cauorlando@yahoo.com.br</v>
      </c>
      <c r="O915" s="29">
        <f>IFERROR(__xludf.DUMMYFUNCTION("""COMPUTED_VALUE"""),3859817400)</f>
        <v>3859817400</v>
      </c>
      <c r="P915" s="30" t="str">
        <f>IFERROR(__xludf.DUMMYFUNCTION("""COMPUTED_VALUE"""),"980016279724412")</f>
        <v>980016279724412</v>
      </c>
      <c r="Q915" s="30" t="str">
        <f>IFERROR(__xludf.DUMMYFUNCTION("""COMPUTED_VALUE"""),"3302008")</f>
        <v>3302008</v>
      </c>
      <c r="R915" s="30" t="str">
        <f>IFERROR(__xludf.DUMMYFUNCTION("""COMPUTED_VALUE"""),"0000155241")</f>
        <v>0000155241</v>
      </c>
      <c r="S915" s="30" t="str">
        <f>IFERROR(__xludf.DUMMYFUNCTION("""COMPUTED_VALUE"""),"1")</f>
        <v>1</v>
      </c>
      <c r="T915" s="30" t="str">
        <f>IFERROR(__xludf.DUMMYFUNCTION("""COMPUTED_VALUE"""),"225142")</f>
        <v>225142</v>
      </c>
      <c r="U915" s="31" t="str">
        <f>IFERROR(__xludf.DUMMYFUNCTION("""COMPUTED_VALUE"""),"2251")</f>
        <v>2251</v>
      </c>
      <c r="V915" s="11"/>
      <c r="W915" s="11"/>
      <c r="X915" s="11" t="str">
        <f>IFERROR(__xludf.DUMMYFUNCTION("""COMPUTED_VALUE"""),"#N/A")</f>
        <v>#N/A</v>
      </c>
      <c r="Y915" s="11" t="str">
        <f>IFERROR(__xludf.DUMMYFUNCTION("""COMPUTED_VALUE"""),"#N/A")</f>
        <v>#N/A</v>
      </c>
      <c r="Z915" s="11" t="str">
        <f>IFERROR(__xludf.DUMMYFUNCTION("""COMPUTED_VALUE"""),"#N/A")</f>
        <v>#N/A</v>
      </c>
    </row>
    <row r="916" customHeight="1" spans="1:26">
      <c r="A916" s="11" t="str">
        <f>IFERROR(__xludf.DUMMYFUNCTION("""COMPUTED_VALUE"""),"JULIANA SILVERA DA SILVA LIRA")</f>
        <v>JULIANA SILVERA DA SILVA LIRA</v>
      </c>
      <c r="B916" s="11"/>
      <c r="C916" s="11"/>
      <c r="D916" s="11" t="str">
        <f>IFERROR(__xludf.DUMMYFUNCTION("""COMPUTED_VALUE"""),"Enfermeira")</f>
        <v>Enfermeira</v>
      </c>
      <c r="E916" s="11" t="str">
        <f>IFERROR(__xludf.DUMMYFUNCTION("""COMPUTED_VALUE"""),"VII")</f>
        <v>VII</v>
      </c>
      <c r="F916" s="11" t="str">
        <f>IFERROR(__xludf.DUMMYFUNCTION("""COMPUTED_VALUE"""),"US_305 USF DA MACAXEIRA")</f>
        <v>US_305 USF DA MACAXEIRA</v>
      </c>
      <c r="G916" s="11" t="str">
        <f>IFERROR(__xludf.DUMMYFUNCTION("""COMPUTED_VALUE"""),"US 305 USF DA MACAXEIRA")</f>
        <v>US 305 USF DA MACAXEIRA</v>
      </c>
      <c r="H916" s="27">
        <f>IFERROR(__xludf.DUMMYFUNCTION("""COMPUTED_VALUE"""),81999169513)</f>
        <v>81999169513</v>
      </c>
      <c r="I916" s="27">
        <f>IFERROR(__xludf.DUMMYFUNCTION("""COMPUTED_VALUE"""),81999904700)</f>
        <v>81999904700</v>
      </c>
      <c r="J916" s="11"/>
      <c r="K916" s="11"/>
      <c r="L916" s="11"/>
      <c r="M916" s="28" t="str">
        <f>IFERROR(__xludf.DUMMYFUNCTION("""COMPUTED_VALUE"""),"3355-6839")</f>
        <v>3355-6839</v>
      </c>
      <c r="N916" s="11" t="str">
        <f>IFERROR(__xludf.DUMMYFUNCTION("""COMPUTED_VALUE"""),"danusiadecassia@ig.com.br")</f>
        <v>danusiadecassia@ig.com.br</v>
      </c>
      <c r="O916" s="29">
        <f>IFERROR(__xludf.DUMMYFUNCTION("""COMPUTED_VALUE"""),74187279415)</f>
        <v>74187279415</v>
      </c>
      <c r="P916" s="30" t="str">
        <f>IFERROR(__xludf.DUMMYFUNCTION("""COMPUTED_VALUE"""),"206790203510009")</f>
        <v>206790203510009</v>
      </c>
      <c r="Q916" s="30" t="str">
        <f>IFERROR(__xludf.DUMMYFUNCTION("""COMPUTED_VALUE"""),"3302008")</f>
        <v>3302008</v>
      </c>
      <c r="R916" s="30" t="str">
        <f>IFERROR(__xludf.DUMMYFUNCTION("""COMPUTED_VALUE"""),"0000155284")</f>
        <v>0000155284</v>
      </c>
      <c r="S916" s="30" t="str">
        <f>IFERROR(__xludf.DUMMYFUNCTION("""COMPUTED_VALUE"""),"1")</f>
        <v>1</v>
      </c>
      <c r="T916" s="30" t="str">
        <f>IFERROR(__xludf.DUMMYFUNCTION("""COMPUTED_VALUE"""),"223565")</f>
        <v>223565</v>
      </c>
      <c r="U916" s="31" t="str">
        <f>IFERROR(__xludf.DUMMYFUNCTION("""COMPUTED_VALUE"""),"2235")</f>
        <v>2235</v>
      </c>
      <c r="V916" s="11"/>
      <c r="W916" s="11" t="str">
        <f>IFERROR(__xludf.DUMMYFUNCTION("""COMPUTED_VALUE"""),"#N/A")</f>
        <v>#N/A</v>
      </c>
      <c r="X916" s="11" t="str">
        <f>IFERROR(__xludf.DUMMYFUNCTION("""COMPUTED_VALUE"""),"#N/A")</f>
        <v>#N/A</v>
      </c>
      <c r="Y916" s="11" t="str">
        <f>IFERROR(__xludf.DUMMYFUNCTION("""COMPUTED_VALUE"""),"#N/A")</f>
        <v>#N/A</v>
      </c>
      <c r="Z916" s="11"/>
    </row>
    <row r="917" customHeight="1" spans="1:26">
      <c r="A917" s="11" t="str">
        <f>IFERROR(__xludf.DUMMYFUNCTION("""COMPUTED_VALUE"""),"MARIA DA CONCEICAO CAVALCANTE VALENCA")</f>
        <v>MARIA DA CONCEICAO CAVALCANTE VALENCA</v>
      </c>
      <c r="B917" s="11"/>
      <c r="C917" s="11"/>
      <c r="D917" s="11" t="str">
        <f>IFERROR(__xludf.DUMMYFUNCTION("""COMPUTED_VALUE"""),"Enfermeira")</f>
        <v>Enfermeira</v>
      </c>
      <c r="E917" s="11" t="str">
        <f>IFERROR(__xludf.DUMMYFUNCTION("""COMPUTED_VALUE"""),"VII")</f>
        <v>VII</v>
      </c>
      <c r="F917" s="11" t="str">
        <f>IFERROR(__xludf.DUMMYFUNCTION("""COMPUTED_VALUE"""),"US_169 POLICLINICA AMAURY COUTINHO")</f>
        <v>US_169 POLICLINICA AMAURY COUTINHO</v>
      </c>
      <c r="G917" s="11" t="str">
        <f>IFERROR(__xludf.DUMMYFUNCTION("""COMPUTED_VALUE"""),"US 305 USF DA MACAXEIRA")</f>
        <v>US 305 USF DA MACAXEIRA</v>
      </c>
      <c r="H917" s="27">
        <f>IFERROR(__xludf.DUMMYFUNCTION("""COMPUTED_VALUE"""),81987160805)</f>
        <v>81987160805</v>
      </c>
      <c r="I917" s="11"/>
      <c r="J917" s="11"/>
      <c r="K917" s="11"/>
      <c r="L917" s="11"/>
      <c r="M917" s="28" t="str">
        <f>IFERROR(__xludf.DUMMYFUNCTION("""COMPUTED_VALUE"""),"3355-6839")</f>
        <v>3355-6839</v>
      </c>
      <c r="N917" s="11" t="str">
        <f>IFERROR(__xludf.DUMMYFUNCTION("""COMPUTED_VALUE"""),"cvalenca@gmail.com")</f>
        <v>cvalenca@gmail.com</v>
      </c>
      <c r="O917" s="29">
        <f>IFERROR(__xludf.DUMMYFUNCTION("""COMPUTED_VALUE"""),19300700472)</f>
        <v>19300700472</v>
      </c>
      <c r="P917" s="30" t="str">
        <f>IFERROR(__xludf.DUMMYFUNCTION("""COMPUTED_VALUE"""),"201533366380000")</f>
        <v>201533366380000</v>
      </c>
      <c r="Q917" s="30" t="str">
        <f>IFERROR(__xludf.DUMMYFUNCTION("""COMPUTED_VALUE"""),"3302008")</f>
        <v>3302008</v>
      </c>
      <c r="R917" s="11"/>
      <c r="S917" s="30" t="str">
        <f>IFERROR(__xludf.DUMMYFUNCTION("""COMPUTED_VALUE"""),"1")</f>
        <v>1</v>
      </c>
      <c r="T917" s="30" t="str">
        <f>IFERROR(__xludf.DUMMYFUNCTION("""COMPUTED_VALUE"""),"223505")</f>
        <v>223505</v>
      </c>
      <c r="U917" s="31">
        <f>IFERROR(__xludf.DUMMYFUNCTION("""COMPUTED_VALUE"""),2235)</f>
        <v>2235</v>
      </c>
      <c r="V917" s="11"/>
      <c r="W917" s="11"/>
      <c r="X917" s="11"/>
      <c r="Y917" s="11"/>
      <c r="Z917" s="11"/>
    </row>
    <row r="918" customHeight="1" spans="1:26">
      <c r="A918" s="11" t="str">
        <f>IFERROR(__xludf.DUMMYFUNCTION("""COMPUTED_VALUE"""),"MARIA VALERIA F DE BARROS")</f>
        <v>MARIA VALERIA F DE BARROS</v>
      </c>
      <c r="B918" s="11"/>
      <c r="C918" s="11"/>
      <c r="D918" s="11" t="str">
        <f>IFERROR(__xludf.DUMMYFUNCTION("""COMPUTED_VALUE"""),"Dentista")</f>
        <v>Dentista</v>
      </c>
      <c r="E918" s="11" t="str">
        <f>IFERROR(__xludf.DUMMYFUNCTION("""COMPUTED_VALUE"""),"VII")</f>
        <v>VII</v>
      </c>
      <c r="F918" s="11" t="str">
        <f>IFERROR(__xludf.DUMMYFUNCTION("""COMPUTED_VALUE"""),"US_352 USF UPINHA 24H DR HELIO MENDONCA COR DO JENIPAPO")</f>
        <v>US_352 USF UPINHA 24H DR HELIO MENDONCA COR DO JENIPAPO</v>
      </c>
      <c r="G918" s="11" t="str">
        <f>IFERROR(__xludf.DUMMYFUNCTION("""COMPUTED_VALUE"""),"US 305 USF DA MACAXEIRA")</f>
        <v>US 305 USF DA MACAXEIRA</v>
      </c>
      <c r="H918" s="27">
        <f>IFERROR(__xludf.DUMMYFUNCTION("""COMPUTED_VALUE"""),81986278519)</f>
        <v>81986278519</v>
      </c>
      <c r="I918" s="11"/>
      <c r="J918" s="11"/>
      <c r="K918" s="11"/>
      <c r="L918" s="11"/>
      <c r="M918" s="28" t="str">
        <f>IFERROR(__xludf.DUMMYFUNCTION("""COMPUTED_VALUE"""),"3355-6839")</f>
        <v>3355-6839</v>
      </c>
      <c r="N918" s="11" t="str">
        <f>IFERROR(__xludf.DUMMYFUNCTION("""COMPUTED_VALUE"""),"valeriabarros0302@hotmail.com")</f>
        <v>valeriabarros0302@hotmail.com</v>
      </c>
      <c r="O918" s="29">
        <f>IFERROR(__xludf.DUMMYFUNCTION("""COMPUTED_VALUE"""),35742895453)</f>
        <v>35742895453</v>
      </c>
      <c r="P918" s="30" t="str">
        <f>IFERROR(__xludf.DUMMYFUNCTION("""COMPUTED_VALUE"""),"124454487530008")</f>
        <v>124454487530008</v>
      </c>
      <c r="Q918" s="30" t="str">
        <f>IFERROR(__xludf.DUMMYFUNCTION("""COMPUTED_VALUE"""),"3302008")</f>
        <v>3302008</v>
      </c>
      <c r="R918" s="30" t="str">
        <f>IFERROR(__xludf.DUMMYFUNCTION("""COMPUTED_VALUE"""),"0001737821")</f>
        <v>0001737821</v>
      </c>
      <c r="S918" s="30" t="str">
        <f>IFERROR(__xludf.DUMMYFUNCTION("""COMPUTED_VALUE"""),"1")</f>
        <v>1</v>
      </c>
      <c r="T918" s="30" t="str">
        <f>IFERROR(__xludf.DUMMYFUNCTION("""COMPUTED_VALUE"""),"223293")</f>
        <v>223293</v>
      </c>
      <c r="U918" s="31">
        <f>IFERROR(__xludf.DUMMYFUNCTION("""COMPUTED_VALUE"""),2232)</f>
        <v>2232</v>
      </c>
      <c r="V918" s="11"/>
      <c r="W918" s="11"/>
      <c r="X918" s="11"/>
      <c r="Y918" s="11"/>
      <c r="Z918" s="11"/>
    </row>
    <row r="919" customHeight="1" spans="1:26">
      <c r="A919" s="11" t="str">
        <f>IFERROR(__xludf.DUMMYFUNCTION("""COMPUTED_VALUE"""),"PAULO ROBERTO A DA SILVA")</f>
        <v>PAULO ROBERTO A DA SILVA</v>
      </c>
      <c r="B919" s="11"/>
      <c r="C919" s="11"/>
      <c r="D919" s="11" t="str">
        <f>IFERROR(__xludf.DUMMYFUNCTION("""COMPUTED_VALUE"""),"Dentista")</f>
        <v>Dentista</v>
      </c>
      <c r="E919" s="11" t="str">
        <f>IFERROR(__xludf.DUMMYFUNCTION("""COMPUTED_VALUE"""),"VII")</f>
        <v>VII</v>
      </c>
      <c r="F919" s="11" t="str">
        <f>IFERROR(__xludf.DUMMYFUNCTION("""COMPUTED_VALUE"""),"US_305 USF DA MACAXEIRA")</f>
        <v>US_305 USF DA MACAXEIRA</v>
      </c>
      <c r="G919" s="11" t="str">
        <f>IFERROR(__xludf.DUMMYFUNCTION("""COMPUTED_VALUE"""),"US 305 USF DA MACAXEIRA")</f>
        <v>US 305 USF DA MACAXEIRA</v>
      </c>
      <c r="H919" s="27">
        <f>IFERROR(__xludf.DUMMYFUNCTION("""COMPUTED_VALUE"""),81999748378)</f>
        <v>81999748378</v>
      </c>
      <c r="I919" s="11"/>
      <c r="J919" s="11"/>
      <c r="K919" s="11"/>
      <c r="L919" s="11"/>
      <c r="M919" s="28" t="str">
        <f>IFERROR(__xludf.DUMMYFUNCTION("""COMPUTED_VALUE"""),"3355-6839")</f>
        <v>3355-6839</v>
      </c>
      <c r="N919" s="11" t="str">
        <f>IFERROR(__xludf.DUMMYFUNCTION("""COMPUTED_VALUE"""),"paulo_ras@yahoo.com.br")</f>
        <v>paulo_ras@yahoo.com.br</v>
      </c>
      <c r="O919" s="29">
        <f>IFERROR(__xludf.DUMMYFUNCTION("""COMPUTED_VALUE"""),2846139407)</f>
        <v>2846139407</v>
      </c>
      <c r="P919" s="30" t="str">
        <f>IFERROR(__xludf.DUMMYFUNCTION("""COMPUTED_VALUE"""),"980016001082036")</f>
        <v>980016001082036</v>
      </c>
      <c r="Q919" s="30" t="str">
        <f>IFERROR(__xludf.DUMMYFUNCTION("""COMPUTED_VALUE"""),"3302008")</f>
        <v>3302008</v>
      </c>
      <c r="R919" s="30" t="str">
        <f>IFERROR(__xludf.DUMMYFUNCTION("""COMPUTED_VALUE"""),"0001737562")</f>
        <v>0001737562</v>
      </c>
      <c r="S919" s="30" t="str">
        <f>IFERROR(__xludf.DUMMYFUNCTION("""COMPUTED_VALUE"""),"1")</f>
        <v>1</v>
      </c>
      <c r="T919" s="30" t="str">
        <f>IFERROR(__xludf.DUMMYFUNCTION("""COMPUTED_VALUE"""),"223293")</f>
        <v>223293</v>
      </c>
      <c r="U919" s="31">
        <f>IFERROR(__xludf.DUMMYFUNCTION("""COMPUTED_VALUE"""),2232)</f>
        <v>2232</v>
      </c>
      <c r="V919" s="11"/>
      <c r="W919" s="11"/>
      <c r="X919" s="11"/>
      <c r="Y919" s="11"/>
      <c r="Z919" s="11"/>
    </row>
    <row r="920" customHeight="1" spans="1:26">
      <c r="A920" s="11" t="str">
        <f>IFERROR(__xludf.DUMMYFUNCTION("""COMPUTED_VALUE"""),"GERLANE VALERIA VINHAS LINS")</f>
        <v>GERLANE VALERIA VINHAS LINS</v>
      </c>
      <c r="B920" s="11"/>
      <c r="C920" s="11"/>
      <c r="D920" s="11" t="str">
        <f>IFERROR(__xludf.DUMMYFUNCTION("""COMPUTED_VALUE"""),"Enfermeira eSF")</f>
        <v>Enfermeira eSF</v>
      </c>
      <c r="E920" s="11" t="str">
        <f>IFERROR(__xludf.DUMMYFUNCTION("""COMPUTED_VALUE"""),"VII")</f>
        <v>VII</v>
      </c>
      <c r="F920" s="11" t="str">
        <f>IFERROR(__xludf.DUMMYFUNCTION("""COMPUTED_VALUE"""),"US_324 USF ALTO JOSE BONIFACIO / ALCIDES CODECEIRA")</f>
        <v>US_324 USF ALTO JOSE BONIFACIO / ALCIDES CODECEIRA</v>
      </c>
      <c r="G920" s="11" t="str">
        <f>IFERROR(__xludf.DUMMYFUNCTION("""COMPUTED_VALUE"""),"US 324 USF ALTO JOSE BONIFACIO")</f>
        <v>US 324 USF ALTO JOSE BONIFACIO</v>
      </c>
      <c r="H920" s="27">
        <f>IFERROR(__xludf.DUMMYFUNCTION("""COMPUTED_VALUE"""),81992181503)</f>
        <v>81992181503</v>
      </c>
      <c r="I920" s="11"/>
      <c r="J920" s="11"/>
      <c r="K920" s="11"/>
      <c r="L920" s="11"/>
      <c r="M920" s="28" t="str">
        <f>IFERROR(__xludf.DUMMYFUNCTION("""COMPUTED_VALUE"""),"3355-6074")</f>
        <v>3355-6074</v>
      </c>
      <c r="N920" s="11" t="str">
        <f>IFERROR(__xludf.DUMMYFUNCTION("""COMPUTED_VALUE"""),"gerlanevinhos@yahoo.com.br")</f>
        <v>gerlanevinhos@yahoo.com.br</v>
      </c>
      <c r="O920" s="29">
        <f>IFERROR(__xludf.DUMMYFUNCTION("""COMPUTED_VALUE"""),86517317449)</f>
        <v>86517317449</v>
      </c>
      <c r="P920" s="30" t="str">
        <f>IFERROR(__xludf.DUMMYFUNCTION("""COMPUTED_VALUE"""),"201533443390001")</f>
        <v>201533443390001</v>
      </c>
      <c r="Q920" s="30" t="str">
        <f>IFERROR(__xludf.DUMMYFUNCTION("""COMPUTED_VALUE"""),"3371336")</f>
        <v>3371336</v>
      </c>
      <c r="R920" s="30" t="str">
        <f>IFERROR(__xludf.DUMMYFUNCTION("""COMPUTED_VALUE"""),"0000155349")</f>
        <v>0000155349</v>
      </c>
      <c r="S920" s="30" t="str">
        <f>IFERROR(__xludf.DUMMYFUNCTION("""COMPUTED_VALUE"""),"1")</f>
        <v>1</v>
      </c>
      <c r="T920" s="30" t="str">
        <f>IFERROR(__xludf.DUMMYFUNCTION("""COMPUTED_VALUE"""),"223565")</f>
        <v>223565</v>
      </c>
      <c r="U920" s="31" t="str">
        <f>IFERROR(__xludf.DUMMYFUNCTION("""COMPUTED_VALUE"""),"2235")</f>
        <v>2235</v>
      </c>
      <c r="V920" s="11"/>
      <c r="W920" s="11">
        <f>IFERROR(__xludf.DUMMYFUNCTION("""COMPUTED_VALUE"""),8134270248)</f>
        <v>8134270248</v>
      </c>
      <c r="X920" s="11">
        <f>IFERROR(__xludf.DUMMYFUNCTION("""COMPUTED_VALUE"""),8192181503)</f>
        <v>8192181503</v>
      </c>
      <c r="Y920" s="11">
        <f>IFERROR(__xludf.DUMMYFUNCTION("""COMPUTED_VALUE"""),86517317449)</f>
        <v>86517317449</v>
      </c>
      <c r="Z920" s="11"/>
    </row>
    <row r="921" customHeight="1" spans="1:26">
      <c r="A921" s="11" t="str">
        <f>IFERROR(__xludf.DUMMYFUNCTION("""COMPUTED_VALUE"""),"ISABEL MARIA LINDOSO")</f>
        <v>ISABEL MARIA LINDOSO</v>
      </c>
      <c r="B921" s="11"/>
      <c r="C921" s="11"/>
      <c r="D921" s="11" t="str">
        <f>IFERROR(__xludf.DUMMYFUNCTION("""COMPUTED_VALUE"""),"Enfermeira eSF")</f>
        <v>Enfermeira eSF</v>
      </c>
      <c r="E921" s="11" t="str">
        <f>IFERROR(__xludf.DUMMYFUNCTION("""COMPUTED_VALUE"""),"VII")</f>
        <v>VII</v>
      </c>
      <c r="F921" s="11" t="str">
        <f>IFERROR(__xludf.DUMMYFUNCTION("""COMPUTED_VALUE"""),"US_324 USF ALTO JOSE BONIFACIO / ALCIDES CODECEIRA")</f>
        <v>US_324 USF ALTO JOSE BONIFACIO / ALCIDES CODECEIRA</v>
      </c>
      <c r="G921" s="11" t="str">
        <f>IFERROR(__xludf.DUMMYFUNCTION("""COMPUTED_VALUE"""),"US 324 USF ALTO JOSE BONIFACIO")</f>
        <v>US 324 USF ALTO JOSE BONIFACIO</v>
      </c>
      <c r="H921" s="27">
        <f>IFERROR(__xludf.DUMMYFUNCTION("""COMPUTED_VALUE"""),81991926918)</f>
        <v>81991926918</v>
      </c>
      <c r="I921" s="11"/>
      <c r="J921" s="11"/>
      <c r="K921" s="11"/>
      <c r="L921" s="11"/>
      <c r="M921" s="28" t="str">
        <f>IFERROR(__xludf.DUMMYFUNCTION("""COMPUTED_VALUE"""),"3355-6074")</f>
        <v>3355-6074</v>
      </c>
      <c r="N921" s="11" t="str">
        <f>IFERROR(__xludf.DUMMYFUNCTION("""COMPUTED_VALUE"""),"isabel.lindoso@yahoo.com.br")</f>
        <v>isabel.lindoso@yahoo.com.br</v>
      </c>
      <c r="O921" s="29">
        <f>IFERROR(__xludf.DUMMYFUNCTION("""COMPUTED_VALUE"""),37464647491)</f>
        <v>37464647491</v>
      </c>
      <c r="P921" s="30" t="str">
        <f>IFERROR(__xludf.DUMMYFUNCTION("""COMPUTED_VALUE"""),"123938249110002")</f>
        <v>123938249110002</v>
      </c>
      <c r="Q921" s="30" t="str">
        <f>IFERROR(__xludf.DUMMYFUNCTION("""COMPUTED_VALUE"""),"3371336")</f>
        <v>3371336</v>
      </c>
      <c r="R921" s="30" t="str">
        <f>IFERROR(__xludf.DUMMYFUNCTION("""COMPUTED_VALUE"""),"0000155357")</f>
        <v>0000155357</v>
      </c>
      <c r="S921" s="30" t="str">
        <f>IFERROR(__xludf.DUMMYFUNCTION("""COMPUTED_VALUE"""),"1")</f>
        <v>1</v>
      </c>
      <c r="T921" s="30" t="str">
        <f>IFERROR(__xludf.DUMMYFUNCTION("""COMPUTED_VALUE"""),"223565")</f>
        <v>223565</v>
      </c>
      <c r="U921" s="31" t="str">
        <f>IFERROR(__xludf.DUMMYFUNCTION("""COMPUTED_VALUE"""),"2235")</f>
        <v>2235</v>
      </c>
      <c r="V921" s="11"/>
      <c r="W921" s="11">
        <f>IFERROR(__xludf.DUMMYFUNCTION("""COMPUTED_VALUE"""),91926918)</f>
        <v>91926918</v>
      </c>
      <c r="X921" s="11">
        <f>IFERROR(__xludf.DUMMYFUNCTION("""COMPUTED_VALUE"""),4416918)</f>
        <v>4416918</v>
      </c>
      <c r="Y921" s="11">
        <f>IFERROR(__xludf.DUMMYFUNCTION("""COMPUTED_VALUE"""),37464647491)</f>
        <v>37464647491</v>
      </c>
      <c r="Z921" s="11"/>
    </row>
    <row r="922" customHeight="1" spans="1:26">
      <c r="A922" s="11" t="str">
        <f>IFERROR(__xludf.DUMMYFUNCTION("""COMPUTED_VALUE"""),"LUCIA ROBERTA OLIVEIRA GUSMAO")</f>
        <v>LUCIA ROBERTA OLIVEIRA GUSMAO</v>
      </c>
      <c r="B922" s="11"/>
      <c r="C922" s="11"/>
      <c r="D922" s="11" t="str">
        <f>IFERROR(__xludf.DUMMYFUNCTION("""COMPUTED_VALUE"""),"Dentista")</f>
        <v>Dentista</v>
      </c>
      <c r="E922" s="11" t="str">
        <f>IFERROR(__xludf.DUMMYFUNCTION("""COMPUTED_VALUE"""),"VII")</f>
        <v>VII</v>
      </c>
      <c r="F922" s="11" t="str">
        <f>IFERROR(__xludf.DUMMYFUNCTION("""COMPUTED_VALUE"""),"US_128 POLICLINICA LESSA DE ANDRADE")</f>
        <v>US_128 POLICLINICA LESSA DE ANDRADE</v>
      </c>
      <c r="G922" s="11" t="str">
        <f>IFERROR(__xludf.DUMMYFUNCTION("""COMPUTED_VALUE"""),"US 324 USF ALTO JOSE BONIFACIO")</f>
        <v>US 324 USF ALTO JOSE BONIFACIO</v>
      </c>
      <c r="H922" s="27">
        <f>IFERROR(__xludf.DUMMYFUNCTION("""COMPUTED_VALUE"""),81988253605)</f>
        <v>81988253605</v>
      </c>
      <c r="I922" s="11"/>
      <c r="J922" s="11"/>
      <c r="K922" s="11"/>
      <c r="L922" s="11"/>
      <c r="M922" s="28" t="str">
        <f>IFERROR(__xludf.DUMMYFUNCTION("""COMPUTED_VALUE"""),"3355-6074")</f>
        <v>3355-6074</v>
      </c>
      <c r="N922" s="11" t="str">
        <f>IFERROR(__xludf.DUMMYFUNCTION("""COMPUTED_VALUE"""),"luciarobertagusmao@gmail.com")</f>
        <v>luciarobertagusmao@gmail.com</v>
      </c>
      <c r="O922" s="29">
        <f>IFERROR(__xludf.DUMMYFUNCTION("""COMPUTED_VALUE"""),44076770404)</f>
        <v>44076770404</v>
      </c>
      <c r="P922" s="30" t="str">
        <f>IFERROR(__xludf.DUMMYFUNCTION("""COMPUTED_VALUE"""),"123436774190008	")</f>
        <v>123436774190008	</v>
      </c>
      <c r="Q922" s="30" t="str">
        <f>IFERROR(__xludf.DUMMYFUNCTION("""COMPUTED_VALUE"""),"3371336")</f>
        <v>3371336</v>
      </c>
      <c r="R922" s="30" t="str">
        <f>IFERROR(__xludf.DUMMYFUNCTION("""COMPUTED_VALUE"""),"0001773631")</f>
        <v>0001773631</v>
      </c>
      <c r="S922" s="30" t="str">
        <f>IFERROR(__xludf.DUMMYFUNCTION("""COMPUTED_VALUE"""),"1")</f>
        <v>1</v>
      </c>
      <c r="T922" s="30" t="str">
        <f>IFERROR(__xludf.DUMMYFUNCTION("""COMPUTED_VALUE"""),"223293")</f>
        <v>223293</v>
      </c>
      <c r="U922" s="31">
        <f>IFERROR(__xludf.DUMMYFUNCTION("""COMPUTED_VALUE"""),2232)</f>
        <v>2232</v>
      </c>
      <c r="V922" s="11"/>
      <c r="W922" s="11"/>
      <c r="X922" s="11"/>
      <c r="Y922" s="11"/>
      <c r="Z922" s="11"/>
    </row>
    <row r="923" customHeight="1" spans="1:26">
      <c r="A923" s="11" t="str">
        <f>IFERROR(__xludf.DUMMYFUNCTION("""COMPUTED_VALUE"""),"MARCUS CAVALCANTI DE ALBUQUERQUE GOMES")</f>
        <v>MARCUS CAVALCANTI DE ALBUQUERQUE GOMES</v>
      </c>
      <c r="B923" s="11"/>
      <c r="C923" s="11"/>
      <c r="D923" s="11" t="str">
        <f>IFERROR(__xludf.DUMMYFUNCTION("""COMPUTED_VALUE"""),"Médica eSF")</f>
        <v>Médica eSF</v>
      </c>
      <c r="E923" s="11" t="str">
        <f>IFERROR(__xludf.DUMMYFUNCTION("""COMPUTED_VALUE"""),"VII")</f>
        <v>VII</v>
      </c>
      <c r="F923" s="11" t="str">
        <f>IFERROR(__xludf.DUMMYFUNCTION("""COMPUTED_VALUE"""),"US_324 USF ALTO JOSE BONIFACIO / ALCIDES CODECEIRA")</f>
        <v>US_324 USF ALTO JOSE BONIFACIO / ALCIDES CODECEIRA</v>
      </c>
      <c r="G923" s="11" t="str">
        <f>IFERROR(__xludf.DUMMYFUNCTION("""COMPUTED_VALUE"""),"US 324 USF ALTO JOSE BONIFACIO")</f>
        <v>US 324 USF ALTO JOSE BONIFACIO</v>
      </c>
      <c r="H923" s="27">
        <f>IFERROR(__xludf.DUMMYFUNCTION("""COMPUTED_VALUE"""),81988380008)</f>
        <v>81988380008</v>
      </c>
      <c r="I923" s="11"/>
      <c r="J923" s="11"/>
      <c r="K923" s="11"/>
      <c r="L923" s="11"/>
      <c r="M923" s="28" t="str">
        <f>IFERROR(__xludf.DUMMYFUNCTION("""COMPUTED_VALUE"""),"3355-6074")</f>
        <v>3355-6074</v>
      </c>
      <c r="N923" s="11" t="str">
        <f>IFERROR(__xludf.DUMMYFUNCTION("""COMPUTED_VALUE"""),"doutormarcus@yahoo.com.br")</f>
        <v>doutormarcus@yahoo.com.br</v>
      </c>
      <c r="O923" s="29">
        <f>IFERROR(__xludf.DUMMYFUNCTION("""COMPUTED_VALUE"""),23352981434)</f>
        <v>23352981434</v>
      </c>
      <c r="P923" s="30" t="str">
        <f>IFERROR(__xludf.DUMMYFUNCTION("""COMPUTED_VALUE"""),"980016004548702")</f>
        <v>980016004548702</v>
      </c>
      <c r="Q923" s="30" t="str">
        <f>IFERROR(__xludf.DUMMYFUNCTION("""COMPUTED_VALUE"""),"3371336")</f>
        <v>3371336</v>
      </c>
      <c r="R923" s="30" t="str">
        <f>IFERROR(__xludf.DUMMYFUNCTION("""COMPUTED_VALUE"""),"0000155349")</f>
        <v>0000155349</v>
      </c>
      <c r="S923" s="30" t="str">
        <f>IFERROR(__xludf.DUMMYFUNCTION("""COMPUTED_VALUE"""),"1")</f>
        <v>1</v>
      </c>
      <c r="T923" s="30" t="str">
        <f>IFERROR(__xludf.DUMMYFUNCTION("""COMPUTED_VALUE"""),"225142")</f>
        <v>225142</v>
      </c>
      <c r="U923" s="31" t="str">
        <f>IFERROR(__xludf.DUMMYFUNCTION("""COMPUTED_VALUE"""),"2251")</f>
        <v>2251</v>
      </c>
      <c r="V923" s="11"/>
      <c r="W923" s="11"/>
      <c r="X923" s="11" t="str">
        <f>IFERROR(__xludf.DUMMYFUNCTION("""COMPUTED_VALUE"""),"#N/A")</f>
        <v>#N/A</v>
      </c>
      <c r="Y923" s="11" t="str">
        <f>IFERROR(__xludf.DUMMYFUNCTION("""COMPUTED_VALUE"""),"#N/A")</f>
        <v>#N/A</v>
      </c>
      <c r="Z923" s="11" t="str">
        <f>IFERROR(__xludf.DUMMYFUNCTION("""COMPUTED_VALUE"""),"#N/A")</f>
        <v>#N/A</v>
      </c>
    </row>
    <row r="924" customHeight="1" spans="1:26">
      <c r="A924" s="11" t="str">
        <f>IFERROR(__xludf.DUMMYFUNCTION("""COMPUTED_VALUE"""),"SAMEA ULISSES PAIVA")</f>
        <v>SAMEA ULISSES PAIVA</v>
      </c>
      <c r="B924" s="11"/>
      <c r="C924" s="11"/>
      <c r="D924" s="11" t="str">
        <f>IFERROR(__xludf.DUMMYFUNCTION("""COMPUTED_VALUE"""),"Enfermeira eSF")</f>
        <v>Enfermeira eSF</v>
      </c>
      <c r="E924" s="11" t="str">
        <f>IFERROR(__xludf.DUMMYFUNCTION("""COMPUTED_VALUE"""),"VII")</f>
        <v>VII</v>
      </c>
      <c r="F924" s="11" t="str">
        <f>IFERROR(__xludf.DUMMYFUNCTION("""COMPUTED_VALUE"""),"US_324 USF ALTO JOSE BONIFACIO / ALCIDES CODECEIRA")</f>
        <v>US_324 USF ALTO JOSE BONIFACIO / ALCIDES CODECEIRA</v>
      </c>
      <c r="G924" s="11" t="str">
        <f>IFERROR(__xludf.DUMMYFUNCTION("""COMPUTED_VALUE"""),"US 324 USF ALTO JOSE BONIFACIO")</f>
        <v>US 324 USF ALTO JOSE BONIFACIO</v>
      </c>
      <c r="H924" s="27">
        <f>IFERROR(__xludf.DUMMYFUNCTION("""COMPUTED_VALUE"""),81992981077)</f>
        <v>81992981077</v>
      </c>
      <c r="I924" s="11"/>
      <c r="J924" s="11"/>
      <c r="K924" s="11"/>
      <c r="L924" s="11"/>
      <c r="M924" s="28" t="str">
        <f>IFERROR(__xludf.DUMMYFUNCTION("""COMPUTED_VALUE"""),"3355-6074")</f>
        <v>3355-6074</v>
      </c>
      <c r="N924" s="11" t="str">
        <f>IFERROR(__xludf.DUMMYFUNCTION("""COMPUTED_VALUE"""),"sameapaiva@gmail.com")</f>
        <v>sameapaiva@gmail.com</v>
      </c>
      <c r="O924" s="29">
        <f>IFERROR(__xludf.DUMMYFUNCTION("""COMPUTED_VALUE"""),54043956304)</f>
        <v>54043956304</v>
      </c>
      <c r="P924" s="30" t="str">
        <f>IFERROR(__xludf.DUMMYFUNCTION("""COMPUTED_VALUE"""),"203799878500005")</f>
        <v>203799878500005</v>
      </c>
      <c r="Q924" s="30" t="str">
        <f>IFERROR(__xludf.DUMMYFUNCTION("""COMPUTED_VALUE"""),"3371336")</f>
        <v>3371336</v>
      </c>
      <c r="R924" s="30" t="str">
        <f>IFERROR(__xludf.DUMMYFUNCTION("""COMPUTED_VALUE"""),"0000155365")</f>
        <v>0000155365</v>
      </c>
      <c r="S924" s="30" t="str">
        <f>IFERROR(__xludf.DUMMYFUNCTION("""COMPUTED_VALUE"""),"1")</f>
        <v>1</v>
      </c>
      <c r="T924" s="30" t="str">
        <f>IFERROR(__xludf.DUMMYFUNCTION("""COMPUTED_VALUE"""),"223565")</f>
        <v>223565</v>
      </c>
      <c r="U924" s="31" t="str">
        <f>IFERROR(__xludf.DUMMYFUNCTION("""COMPUTED_VALUE"""),"2235")</f>
        <v>2235</v>
      </c>
      <c r="V924" s="11"/>
      <c r="W924" s="11">
        <f>IFERROR(__xludf.DUMMYFUNCTION("""COMPUTED_VALUE"""),32421971)</f>
        <v>32421971</v>
      </c>
      <c r="X924" s="11">
        <f>IFERROR(__xludf.DUMMYFUNCTION("""COMPUTED_VALUE"""),99042989)</f>
        <v>99042989</v>
      </c>
      <c r="Y924" s="11">
        <f>IFERROR(__xludf.DUMMYFUNCTION("""COMPUTED_VALUE"""),54043956304)</f>
        <v>54043956304</v>
      </c>
      <c r="Z924" s="11"/>
    </row>
    <row r="925" customHeight="1" spans="1:26">
      <c r="A925" s="11" t="str">
        <f>IFERROR(__xludf.DUMMYFUNCTION("""COMPUTED_VALUE"""),"SOLANGE FORTE DE SEQUEIRA")</f>
        <v>SOLANGE FORTE DE SEQUEIRA</v>
      </c>
      <c r="B925" s="11"/>
      <c r="C925" s="11"/>
      <c r="D925" s="11" t="str">
        <f>IFERROR(__xludf.DUMMYFUNCTION("""COMPUTED_VALUE"""),"Médica eSF")</f>
        <v>Médica eSF</v>
      </c>
      <c r="E925" s="11" t="str">
        <f>IFERROR(__xludf.DUMMYFUNCTION("""COMPUTED_VALUE"""),"VII")</f>
        <v>VII</v>
      </c>
      <c r="F925" s="11" t="str">
        <f>IFERROR(__xludf.DUMMYFUNCTION("""COMPUTED_VALUE"""),"US_163 HOSPITAL DE PEDIATRIA HELENA MOURA")</f>
        <v>US_163 HOSPITAL DE PEDIATRIA HELENA MOURA</v>
      </c>
      <c r="G925" s="11" t="str">
        <f>IFERROR(__xludf.DUMMYFUNCTION("""COMPUTED_VALUE"""),"US 324 USF ALTO JOSE BONIFACIO")</f>
        <v>US 324 USF ALTO JOSE BONIFACIO</v>
      </c>
      <c r="H925" s="27">
        <f>IFERROR(__xludf.DUMMYFUNCTION("""COMPUTED_VALUE"""),81999491469)</f>
        <v>81999491469</v>
      </c>
      <c r="I925" s="27">
        <f>IFERROR(__xludf.DUMMYFUNCTION("""COMPUTED_VALUE"""),81986013549)</f>
        <v>81986013549</v>
      </c>
      <c r="J925" s="11"/>
      <c r="K925" s="11"/>
      <c r="L925" s="11"/>
      <c r="M925" s="28" t="str">
        <f>IFERROR(__xludf.DUMMYFUNCTION("""COMPUTED_VALUE"""),"3355-6074")</f>
        <v>3355-6074</v>
      </c>
      <c r="N925" s="11" t="str">
        <f>IFERROR(__xludf.DUMMYFUNCTION("""COMPUTED_VALUE"""),"solangefsequeira@hotmail.com")</f>
        <v>solangefsequeira@hotmail.com</v>
      </c>
      <c r="O925" s="29">
        <f>IFERROR(__xludf.DUMMYFUNCTION("""COMPUTED_VALUE"""),6943284487)</f>
        <v>6943284487</v>
      </c>
      <c r="P925" s="30" t="str">
        <f>IFERROR(__xludf.DUMMYFUNCTION("""COMPUTED_VALUE"""),"100861777850001")</f>
        <v>100861777850001</v>
      </c>
      <c r="Q925" s="30" t="str">
        <f>IFERROR(__xludf.DUMMYFUNCTION("""COMPUTED_VALUE"""),"3371336")</f>
        <v>3371336</v>
      </c>
      <c r="R925" s="30" t="str">
        <f>IFERROR(__xludf.DUMMYFUNCTION("""COMPUTED_VALUE"""),"0000155365")</f>
        <v>0000155365</v>
      </c>
      <c r="S925" s="30" t="str">
        <f>IFERROR(__xludf.DUMMYFUNCTION("""COMPUTED_VALUE"""),"1")</f>
        <v>1</v>
      </c>
      <c r="T925" s="30" t="str">
        <f>IFERROR(__xludf.DUMMYFUNCTION("""COMPUTED_VALUE"""),"225142")</f>
        <v>225142</v>
      </c>
      <c r="U925" s="31" t="str">
        <f>IFERROR(__xludf.DUMMYFUNCTION("""COMPUTED_VALUE"""),"2251")</f>
        <v>2251</v>
      </c>
      <c r="V925" s="11"/>
      <c r="W925" s="11"/>
      <c r="X925" s="11">
        <f>IFERROR(__xludf.DUMMYFUNCTION("""COMPUTED_VALUE"""),8186013549)</f>
        <v>8186013549</v>
      </c>
      <c r="Y925" s="11">
        <f>IFERROR(__xludf.DUMMYFUNCTION("""COMPUTED_VALUE"""),8199491469)</f>
        <v>8199491469</v>
      </c>
      <c r="Z925" s="11">
        <f>IFERROR(__xludf.DUMMYFUNCTION("""COMPUTED_VALUE"""),6943284487)</f>
        <v>6943284487</v>
      </c>
    </row>
    <row r="926" customHeight="1" spans="1:26">
      <c r="A926" s="11" t="str">
        <f>IFERROR(__xludf.DUMMYFUNCTION("""COMPUTED_VALUE"""),"CLAUDIA MARIA M PATRIOTA")</f>
        <v>CLAUDIA MARIA M PATRIOTA</v>
      </c>
      <c r="B926" s="11"/>
      <c r="C926" s="11"/>
      <c r="D926" s="11" t="str">
        <f>IFERROR(__xludf.DUMMYFUNCTION("""COMPUTED_VALUE"""),"Dentista")</f>
        <v>Dentista</v>
      </c>
      <c r="E926" s="11" t="str">
        <f>IFERROR(__xludf.DUMMYFUNCTION("""COMPUTED_VALUE"""),"VII")</f>
        <v>VII</v>
      </c>
      <c r="F926" s="11" t="str">
        <f>IFERROR(__xludf.DUMMYFUNCTION("""COMPUTED_VALUE"""),"US_350 USF CORREGO DO EUCALIPTO")</f>
        <v>US_350 USF CORREGO DO EUCALIPTO</v>
      </c>
      <c r="G926" s="11" t="str">
        <f>IFERROR(__xludf.DUMMYFUNCTION("""COMPUTED_VALUE"""),"US 350 USF CORREGO DO EUCALIPTO")</f>
        <v>US 350 USF CORREGO DO EUCALIPTO</v>
      </c>
      <c r="H926" s="27">
        <f>IFERROR(__xludf.DUMMYFUNCTION("""COMPUTED_VALUE"""),81999620284)</f>
        <v>81999620284</v>
      </c>
      <c r="I926" s="11"/>
      <c r="J926" s="11"/>
      <c r="K926" s="11"/>
      <c r="L926" s="11"/>
      <c r="M926" s="28" t="str">
        <f>IFERROR(__xludf.DUMMYFUNCTION("""COMPUTED_VALUE"""),"3355-6902")</f>
        <v>3355-6902</v>
      </c>
      <c r="N926" s="11" t="str">
        <f>IFERROR(__xludf.DUMMYFUNCTION("""COMPUTED_VALUE"""),"claudiapatriota@yahoo.com.br")</f>
        <v>claudiapatriota@yahoo.com.br</v>
      </c>
      <c r="O926" s="29">
        <f>IFERROR(__xludf.DUMMYFUNCTION("""COMPUTED_VALUE"""),88079066434)</f>
        <v>88079066434</v>
      </c>
      <c r="P926" s="30" t="str">
        <f>IFERROR(__xludf.DUMMYFUNCTION("""COMPUTED_VALUE"""),"206790249260005")</f>
        <v>206790249260005</v>
      </c>
      <c r="Q926" s="30" t="str">
        <f>IFERROR(__xludf.DUMMYFUNCTION("""COMPUTED_VALUE"""),"6334067")</f>
        <v>6334067</v>
      </c>
      <c r="R926" s="30" t="str">
        <f>IFERROR(__xludf.DUMMYFUNCTION("""COMPUTED_VALUE"""),"0001801597")</f>
        <v>0001801597</v>
      </c>
      <c r="S926" s="30" t="str">
        <f>IFERROR(__xludf.DUMMYFUNCTION("""COMPUTED_VALUE"""),"1")</f>
        <v>1</v>
      </c>
      <c r="T926" s="30" t="str">
        <f>IFERROR(__xludf.DUMMYFUNCTION("""COMPUTED_VALUE"""),"223293")</f>
        <v>223293</v>
      </c>
      <c r="U926" s="31">
        <f>IFERROR(__xludf.DUMMYFUNCTION("""COMPUTED_VALUE"""),2232)</f>
        <v>2232</v>
      </c>
      <c r="V926" s="11"/>
      <c r="W926" s="11"/>
      <c r="X926" s="11"/>
      <c r="Y926" s="11"/>
      <c r="Z926" s="11"/>
    </row>
    <row r="927" customHeight="1" spans="1:26">
      <c r="A927" s="11" t="str">
        <f>IFERROR(__xludf.DUMMYFUNCTION("""COMPUTED_VALUE"""),"GLAUSSY VONNI NEVES BELTRAN")</f>
        <v>GLAUSSY VONNI NEVES BELTRAN</v>
      </c>
      <c r="B927" s="11"/>
      <c r="C927" s="11"/>
      <c r="D927" s="11" t="str">
        <f>IFERROR(__xludf.DUMMYFUNCTION("""COMPUTED_VALUE"""),"Enfermeira eSF")</f>
        <v>Enfermeira eSF</v>
      </c>
      <c r="E927" s="11" t="str">
        <f>IFERROR(__xludf.DUMMYFUNCTION("""COMPUTED_VALUE"""),"VII")</f>
        <v>VII</v>
      </c>
      <c r="F927" s="11" t="str">
        <f>IFERROR(__xludf.DUMMYFUNCTION("""COMPUTED_VALUE"""),"US_327 USF CLUBE DOS DELEGADOS / VISCONDE DE GARRET")</f>
        <v>US_327 USF CLUBE DOS DELEGADOS / VISCONDE DE GARRET</v>
      </c>
      <c r="G927" s="11" t="str">
        <f>IFERROR(__xludf.DUMMYFUNCTION("""COMPUTED_VALUE"""),"US 350 USF CORREGO DO EUCALIPTO")</f>
        <v>US 350 USF CORREGO DO EUCALIPTO</v>
      </c>
      <c r="H927" s="27">
        <f>IFERROR(__xludf.DUMMYFUNCTION("""COMPUTED_VALUE"""),81995336993)</f>
        <v>81995336993</v>
      </c>
      <c r="I927" s="27">
        <f>IFERROR(__xludf.DUMMYFUNCTION("""COMPUTED_VALUE"""),81994303003)</f>
        <v>81994303003</v>
      </c>
      <c r="J927" s="11"/>
      <c r="K927" s="11"/>
      <c r="L927" s="11"/>
      <c r="M927" s="28" t="str">
        <f>IFERROR(__xludf.DUMMYFUNCTION("""COMPUTED_VALUE"""),"3355-6902")</f>
        <v>3355-6902</v>
      </c>
      <c r="N927" s="11" t="str">
        <f>IFERROR(__xludf.DUMMYFUNCTION("""COMPUTED_VALUE"""),"glaussy@hotmail.com")</f>
        <v>glaussy@hotmail.com</v>
      </c>
      <c r="O927" s="29">
        <f>IFERROR(__xludf.DUMMYFUNCTION("""COMPUTED_VALUE"""),3151105467)</f>
        <v>3151105467</v>
      </c>
      <c r="P927" s="30" t="str">
        <f>IFERROR(__xludf.DUMMYFUNCTION("""COMPUTED_VALUE"""),"980016279551933")</f>
        <v>980016279551933</v>
      </c>
      <c r="Q927" s="30" t="str">
        <f>IFERROR(__xludf.DUMMYFUNCTION("""COMPUTED_VALUE"""),"6334067")</f>
        <v>6334067</v>
      </c>
      <c r="R927" s="30" t="str">
        <f>IFERROR(__xludf.DUMMYFUNCTION("""COMPUTED_VALUE"""),"0000156019")</f>
        <v>0000156019</v>
      </c>
      <c r="S927" s="30" t="str">
        <f>IFERROR(__xludf.DUMMYFUNCTION("""COMPUTED_VALUE"""),"1")</f>
        <v>1</v>
      </c>
      <c r="T927" s="30" t="str">
        <f>IFERROR(__xludf.DUMMYFUNCTION("""COMPUTED_VALUE"""),"223565")</f>
        <v>223565</v>
      </c>
      <c r="U927" s="31" t="str">
        <f>IFERROR(__xludf.DUMMYFUNCTION("""COMPUTED_VALUE"""),"2235")</f>
        <v>2235</v>
      </c>
      <c r="V927" s="11"/>
      <c r="W927" s="11">
        <f>IFERROR(__xludf.DUMMYFUNCTION("""COMPUTED_VALUE"""),8195336993)</f>
        <v>8195336993</v>
      </c>
      <c r="X927" s="11"/>
      <c r="Y927" s="11">
        <f>IFERROR(__xludf.DUMMYFUNCTION("""COMPUTED_VALUE"""),3151105467)</f>
        <v>3151105467</v>
      </c>
      <c r="Z927" s="11"/>
    </row>
    <row r="928" customHeight="1" spans="1:26">
      <c r="A928" s="11" t="str">
        <f>IFERROR(__xludf.DUMMYFUNCTION("""COMPUTED_VALUE"""),"RICARDO FERREIRA DOS SANTOS JUNIOR")</f>
        <v>RICARDO FERREIRA DOS SANTOS JUNIOR</v>
      </c>
      <c r="B928" s="11"/>
      <c r="C928" s="11"/>
      <c r="D928" s="11" t="str">
        <f>IFERROR(__xludf.DUMMYFUNCTION("""COMPUTED_VALUE"""),"Médico eSF")</f>
        <v>Médico eSF</v>
      </c>
      <c r="E928" s="11" t="str">
        <f>IFERROR(__xludf.DUMMYFUNCTION("""COMPUTED_VALUE"""),"VII")</f>
        <v>VII</v>
      </c>
      <c r="F928" s="11" t="str">
        <f>IFERROR(__xludf.DUMMYFUNCTION("""COMPUTED_VALUE"""),"US_350 USF CORREGO DO EUCALIPTO")</f>
        <v>US_350 USF CORREGO DO EUCALIPTO</v>
      </c>
      <c r="G928" s="11" t="str">
        <f>IFERROR(__xludf.DUMMYFUNCTION("""COMPUTED_VALUE"""),"US 350 USF CORREGO DO EUCALIPTO")</f>
        <v>US 350 USF CORREGO DO EUCALIPTO</v>
      </c>
      <c r="H928" s="27">
        <f>IFERROR(__xludf.DUMMYFUNCTION("""COMPUTED_VALUE"""),81988480977)</f>
        <v>81988480977</v>
      </c>
      <c r="I928" s="11"/>
      <c r="J928" s="11"/>
      <c r="K928" s="11"/>
      <c r="L928" s="11"/>
      <c r="M928" s="28" t="str">
        <f>IFERROR(__xludf.DUMMYFUNCTION("""COMPUTED_VALUE"""),"3355-6902")</f>
        <v>3355-6902</v>
      </c>
      <c r="N928" s="11" t="str">
        <f>IFERROR(__xludf.DUMMYFUNCTION("""COMPUTED_VALUE"""),"dr.ricjunior@hotmail.com")</f>
        <v>dr.ricjunior@hotmail.com</v>
      </c>
      <c r="O928" s="29">
        <f>IFERROR(__xludf.DUMMYFUNCTION("""COMPUTED_VALUE"""),4658975416)</f>
        <v>4658975416</v>
      </c>
      <c r="P928" s="30" t="str">
        <f>IFERROR(__xludf.DUMMYFUNCTION("""COMPUTED_VALUE"""),"980016280239131")</f>
        <v>980016280239131</v>
      </c>
      <c r="Q928" s="30" t="str">
        <f>IFERROR(__xludf.DUMMYFUNCTION("""COMPUTED_VALUE"""),"6334067")</f>
        <v>6334067</v>
      </c>
      <c r="R928" s="30" t="str">
        <f>IFERROR(__xludf.DUMMYFUNCTION("""COMPUTED_VALUE"""),"0000156000")</f>
        <v>0000156000</v>
      </c>
      <c r="S928" s="30" t="str">
        <f>IFERROR(__xludf.DUMMYFUNCTION("""COMPUTED_VALUE"""),"1")</f>
        <v>1</v>
      </c>
      <c r="T928" s="30" t="str">
        <f>IFERROR(__xludf.DUMMYFUNCTION("""COMPUTED_VALUE"""),"225142")</f>
        <v>225142</v>
      </c>
      <c r="U928" s="31" t="str">
        <f>IFERROR(__xludf.DUMMYFUNCTION("""COMPUTED_VALUE"""),"2251")</f>
        <v>2251</v>
      </c>
      <c r="V928" s="11"/>
      <c r="W928" s="11"/>
      <c r="X928" s="11">
        <f>IFERROR(__xludf.DUMMYFUNCTION("""COMPUTED_VALUE"""),88480977)</f>
        <v>88480977</v>
      </c>
      <c r="Y928" s="11">
        <f>IFERROR(__xludf.DUMMYFUNCTION("""COMPUTED_VALUE"""),34212716)</f>
        <v>34212716</v>
      </c>
      <c r="Z928" s="11">
        <f>IFERROR(__xludf.DUMMYFUNCTION("""COMPUTED_VALUE"""),4658975416)</f>
        <v>4658975416</v>
      </c>
    </row>
    <row r="929" customHeight="1" spans="1:26">
      <c r="A929" s="11" t="str">
        <f>IFERROR(__xludf.DUMMYFUNCTION("""COMPUTED_VALUE"""),"JEYSA CARLA JULIAO DE SOUZA")</f>
        <v>JEYSA CARLA JULIAO DE SOUZA</v>
      </c>
      <c r="B929" s="11"/>
      <c r="C929" s="11"/>
      <c r="D929" s="11" t="str">
        <f>IFERROR(__xludf.DUMMYFUNCTION("""COMPUTED_VALUE"""),"Médica Clínica")</f>
        <v>Médica Clínica</v>
      </c>
      <c r="E929" s="11" t="str">
        <f>IFERROR(__xludf.DUMMYFUNCTION("""COMPUTED_VALUE"""),"VII")</f>
        <v>VII</v>
      </c>
      <c r="F929" s="11" t="str">
        <f>IFERROR(__xludf.DUMMYFUNCTION("""COMPUTED_VALUE"""),"US_349 USF CASARAO DO CORDEIRO")</f>
        <v>US_349 USF CASARAO DO CORDEIRO</v>
      </c>
      <c r="G929" s="11" t="str">
        <f>IFERROR(__xludf.DUMMYFUNCTION("""COMPUTED_VALUE"""),"US 352 USF UPINHA 24H DR HELIO MENDONCA COR DO JENIPAPO")</f>
        <v>US 352 USF UPINHA 24H DR HELIO MENDONCA COR DO JENIPAPO</v>
      </c>
      <c r="H929" s="27">
        <f>IFERROR(__xludf.DUMMYFUNCTION("""COMPUTED_VALUE"""),81989009696)</f>
        <v>81989009696</v>
      </c>
      <c r="I929" s="11"/>
      <c r="J929" s="11"/>
      <c r="K929" s="11"/>
      <c r="L929" s="11"/>
      <c r="M929" s="28" t="str">
        <f>IFERROR(__xludf.DUMMYFUNCTION("""COMPUTED_VALUE"""),"3355-3554-3553")</f>
        <v>3355-3554-3553</v>
      </c>
      <c r="N929" s="11" t="str">
        <f>IFERROR(__xludf.DUMMYFUNCTION("""COMPUTED_VALUE"""),"jcjs27@hotmail.com")</f>
        <v>jcjs27@hotmail.com</v>
      </c>
      <c r="O929" s="29">
        <f>IFERROR(__xludf.DUMMYFUNCTION("""COMPUTED_VALUE"""),64718212391)</f>
        <v>64718212391</v>
      </c>
      <c r="P929" s="30" t="str">
        <f>IFERROR(__xludf.DUMMYFUNCTION("""COMPUTED_VALUE"""),"980016287672388")</f>
        <v>980016287672388</v>
      </c>
      <c r="Q929" s="30" t="str">
        <f>IFERROR(__xludf.DUMMYFUNCTION("""COMPUTED_VALUE"""),"6362508")</f>
        <v>6362508</v>
      </c>
      <c r="R929" s="11"/>
      <c r="S929" s="30" t="str">
        <f>IFERROR(__xludf.DUMMYFUNCTION("""COMPUTED_VALUE"""),"1")</f>
        <v>1</v>
      </c>
      <c r="T929" s="30" t="str">
        <f>IFERROR(__xludf.DUMMYFUNCTION("""COMPUTED_VALUE"""),"225125")</f>
        <v>225125</v>
      </c>
      <c r="U929" s="31" t="str">
        <f>IFERROR(__xludf.DUMMYFUNCTION("""COMPUTED_VALUE"""),"2251")</f>
        <v>2251</v>
      </c>
      <c r="V929" s="11"/>
      <c r="W929" s="11"/>
      <c r="X929" s="11" t="str">
        <f>IFERROR(__xludf.DUMMYFUNCTION("""COMPUTED_VALUE"""),"#N/A")</f>
        <v>#N/A</v>
      </c>
      <c r="Y929" s="11" t="str">
        <f>IFERROR(__xludf.DUMMYFUNCTION("""COMPUTED_VALUE"""),"#N/A")</f>
        <v>#N/A</v>
      </c>
      <c r="Z929" s="11" t="str">
        <f>IFERROR(__xludf.DUMMYFUNCTION("""COMPUTED_VALUE"""),"#N/A")</f>
        <v>#N/A</v>
      </c>
    </row>
    <row r="930" customHeight="1" spans="1:26">
      <c r="A930" s="11" t="str">
        <f>IFERROR(__xludf.DUMMYFUNCTION("""COMPUTED_VALUE"""),"MARIA AMELIA DE LIRA")</f>
        <v>MARIA AMELIA DE LIRA</v>
      </c>
      <c r="B930" s="11"/>
      <c r="C930" s="11"/>
      <c r="D930" s="11" t="str">
        <f>IFERROR(__xludf.DUMMYFUNCTION("""COMPUTED_VALUE"""),"Enfermeira")</f>
        <v>Enfermeira</v>
      </c>
      <c r="E930" s="11" t="str">
        <f>IFERROR(__xludf.DUMMYFUNCTION("""COMPUTED_VALUE"""),"VII")</f>
        <v>VII</v>
      </c>
      <c r="F930" s="11" t="str">
        <f>IFERROR(__xludf.DUMMYFUNCTION("""COMPUTED_VALUE"""),"US_352 USF UPINHA 24H DR HELIO MENDONCA COR DO JENIPAPO")</f>
        <v>US_352 USF UPINHA 24H DR HELIO MENDONCA COR DO JENIPAPO</v>
      </c>
      <c r="G930" s="11" t="str">
        <f>IFERROR(__xludf.DUMMYFUNCTION("""COMPUTED_VALUE"""),"US 352 USF UPINHA 24H DR HELIO MENDONCA COR DO JENIPAPO")</f>
        <v>US 352 USF UPINHA 24H DR HELIO MENDONCA COR DO JENIPAPO</v>
      </c>
      <c r="H930" s="27">
        <f>IFERROR(__xludf.DUMMYFUNCTION("""COMPUTED_VALUE"""),81997504444)</f>
        <v>81997504444</v>
      </c>
      <c r="I930" s="11"/>
      <c r="J930" s="11"/>
      <c r="K930" s="11"/>
      <c r="L930" s="11"/>
      <c r="M930" s="28" t="str">
        <f>IFERROR(__xludf.DUMMYFUNCTION("""COMPUTED_VALUE"""),"3355-3554-3553")</f>
        <v>3355-3554-3553</v>
      </c>
      <c r="N930" s="11" t="str">
        <f>IFERROR(__xludf.DUMMYFUNCTION("""COMPUTED_VALUE"""),"amelia.lira@outlook.com")</f>
        <v>amelia.lira@outlook.com</v>
      </c>
      <c r="O930" s="29">
        <f>IFERROR(__xludf.DUMMYFUNCTION("""COMPUTED_VALUE"""),40919021468)</f>
        <v>40919021468</v>
      </c>
      <c r="P930" s="30" t="str">
        <f>IFERROR(__xludf.DUMMYFUNCTION("""COMPUTED_VALUE"""),"121501621900007        ")</f>
        <v>121501621900007        </v>
      </c>
      <c r="Q930" s="30" t="str">
        <f>IFERROR(__xludf.DUMMYFUNCTION("""COMPUTED_VALUE"""),"6362508")</f>
        <v>6362508</v>
      </c>
      <c r="R930" s="11"/>
      <c r="S930" s="30" t="str">
        <f>IFERROR(__xludf.DUMMYFUNCTION("""COMPUTED_VALUE"""),"1")</f>
        <v>1</v>
      </c>
      <c r="T930" s="30" t="str">
        <f>IFERROR(__xludf.DUMMYFUNCTION("""COMPUTED_VALUE"""),"223505")</f>
        <v>223505</v>
      </c>
      <c r="U930" s="31">
        <f>IFERROR(__xludf.DUMMYFUNCTION("""COMPUTED_VALUE"""),2235)</f>
        <v>2235</v>
      </c>
      <c r="V930" s="11"/>
      <c r="W930" s="11"/>
      <c r="X930" s="11"/>
      <c r="Y930" s="11"/>
      <c r="Z930" s="11"/>
    </row>
    <row r="931" customHeight="1" spans="1:26">
      <c r="A931" s="11" t="str">
        <f>IFERROR(__xludf.DUMMYFUNCTION("""COMPUTED_VALUE"""),"MARIA HELENA DE OLIVEIRA PEREIRA DUARTE")</f>
        <v>MARIA HELENA DE OLIVEIRA PEREIRA DUARTE</v>
      </c>
      <c r="B931" s="11"/>
      <c r="C931" s="11"/>
      <c r="D931" s="11" t="str">
        <f>IFERROR(__xludf.DUMMYFUNCTION("""COMPUTED_VALUE"""),"Médica eSF")</f>
        <v>Médica eSF</v>
      </c>
      <c r="E931" s="11" t="str">
        <f>IFERROR(__xludf.DUMMYFUNCTION("""COMPUTED_VALUE"""),"VII")</f>
        <v>VII</v>
      </c>
      <c r="F931" s="11" t="str">
        <f>IFERROR(__xludf.DUMMYFUNCTION("""COMPUTED_VALUE"""),"US_352 USF UPINHA 24H DR HELIO MENDONCA COR DO JENIPAPO")</f>
        <v>US_352 USF UPINHA 24H DR HELIO MENDONCA COR DO JENIPAPO</v>
      </c>
      <c r="G931" s="11" t="str">
        <f>IFERROR(__xludf.DUMMYFUNCTION("""COMPUTED_VALUE"""),"US 352 USF UPINHA 24H DR HELIO MENDONCA COR DO JENIPAPO")</f>
        <v>US 352 USF UPINHA 24H DR HELIO MENDONCA COR DO JENIPAPO</v>
      </c>
      <c r="H931" s="27">
        <f>IFERROR(__xludf.DUMMYFUNCTION("""COMPUTED_VALUE"""),81988101600)</f>
        <v>81988101600</v>
      </c>
      <c r="I931" s="27">
        <f>IFERROR(__xludf.DUMMYFUNCTION("""COMPUTED_VALUE"""),81997285410)</f>
        <v>81997285410</v>
      </c>
      <c r="J931" s="11"/>
      <c r="K931" s="11"/>
      <c r="L931" s="11"/>
      <c r="M931" s="28" t="str">
        <f>IFERROR(__xludf.DUMMYFUNCTION("""COMPUTED_VALUE"""),"3355-3554-3553")</f>
        <v>3355-3554-3553</v>
      </c>
      <c r="N931" s="11" t="str">
        <f>IFERROR(__xludf.DUMMYFUNCTION("""COMPUTED_VALUE"""),"dra.mariahelena@hotmail.com")</f>
        <v>dra.mariahelena@hotmail.com</v>
      </c>
      <c r="O931" s="29">
        <f>IFERROR(__xludf.DUMMYFUNCTION("""COMPUTED_VALUE"""),8627974705)</f>
        <v>8627974705</v>
      </c>
      <c r="P931" s="30" t="str">
        <f>IFERROR(__xludf.DUMMYFUNCTION("""COMPUTED_VALUE"""),"980016281145505")</f>
        <v>980016281145505</v>
      </c>
      <c r="Q931" s="30" t="str">
        <f>IFERROR(__xludf.DUMMYFUNCTION("""COMPUTED_VALUE"""),"6362508")</f>
        <v>6362508</v>
      </c>
      <c r="R931" s="30" t="str">
        <f>IFERROR(__xludf.DUMMYFUNCTION("""COMPUTED_VALUE"""),"0000156043")</f>
        <v>0000156043</v>
      </c>
      <c r="S931" s="30" t="str">
        <f>IFERROR(__xludf.DUMMYFUNCTION("""COMPUTED_VALUE"""),"1")</f>
        <v>1</v>
      </c>
      <c r="T931" s="30" t="str">
        <f>IFERROR(__xludf.DUMMYFUNCTION("""COMPUTED_VALUE"""),"225142")</f>
        <v>225142</v>
      </c>
      <c r="U931" s="31" t="str">
        <f>IFERROR(__xludf.DUMMYFUNCTION("""COMPUTED_VALUE"""),"2251")</f>
        <v>2251</v>
      </c>
      <c r="V931" s="11"/>
      <c r="W931" s="11"/>
      <c r="X931" s="11"/>
      <c r="Y931" s="11"/>
      <c r="Z931" s="11"/>
    </row>
    <row r="932" customHeight="1" spans="1:26">
      <c r="A932" s="11" t="str">
        <f>IFERROR(__xludf.DUMMYFUNCTION("""COMPUTED_VALUE"""),"ANNE CAROLINNA AMARAL LOPES")</f>
        <v>ANNE CAROLINNA AMARAL LOPES</v>
      </c>
      <c r="B932" s="11"/>
      <c r="C932" s="11"/>
      <c r="D932" s="11" t="str">
        <f>IFERROR(__xludf.DUMMYFUNCTION("""COMPUTED_VALUE"""),"Enfermeira")</f>
        <v>Enfermeira</v>
      </c>
      <c r="E932" s="11" t="str">
        <f>IFERROR(__xludf.DUMMYFUNCTION("""COMPUTED_VALUE"""),"VII")</f>
        <v>VII</v>
      </c>
      <c r="F932" s="11" t="str">
        <f>IFERROR(__xludf.DUMMYFUNCTION("""COMPUTED_VALUE"""),"US_394 USF UPINHA 24H DR MOACYR ANDRE GOMES")</f>
        <v>US_394 USF UPINHA 24H DR MOACYR ANDRE GOMES</v>
      </c>
      <c r="G932" s="11" t="str">
        <f>IFERROR(__xludf.DUMMYFUNCTION("""COMPUTED_VALUE"""),"US 394 USF UPINHA 24H DR MOACYR ANDRE GOMES")</f>
        <v>US 394 USF UPINHA 24H DR MOACYR ANDRE GOMES</v>
      </c>
      <c r="H932" s="27">
        <f>IFERROR(__xludf.DUMMYFUNCTION("""COMPUTED_VALUE"""),81992685270)</f>
        <v>81992685270</v>
      </c>
      <c r="I932" s="11"/>
      <c r="J932" s="11"/>
      <c r="K932" s="11"/>
      <c r="L932" s="11"/>
      <c r="M932" s="28" t="str">
        <f>IFERROR(__xludf.DUMMYFUNCTION("""COMPUTED_VALUE"""),"3355-3393")</f>
        <v>3355-3393</v>
      </c>
      <c r="N932" s="11" t="str">
        <f>IFERROR(__xludf.DUMMYFUNCTION("""COMPUTED_VALUE"""),"annecarolinna@yahoo.com.br")</f>
        <v>annecarolinna@yahoo.com.br</v>
      </c>
      <c r="O932" s="29">
        <f>IFERROR(__xludf.DUMMYFUNCTION("""COMPUTED_VALUE"""),4646684411)</f>
        <v>4646684411</v>
      </c>
      <c r="P932" s="30" t="str">
        <f>IFERROR(__xludf.DUMMYFUNCTION("""COMPUTED_VALUE"""),"980016280967854")</f>
        <v>980016280967854</v>
      </c>
      <c r="Q932" s="30" t="str">
        <f>IFERROR(__xludf.DUMMYFUNCTION("""COMPUTED_VALUE"""),"7415788")</f>
        <v>7415788</v>
      </c>
      <c r="R932" s="30" t="str">
        <f>IFERROR(__xludf.DUMMYFUNCTION("""COMPUTED_VALUE"""),"0000146048")</f>
        <v>0000146048</v>
      </c>
      <c r="S932" s="30" t="str">
        <f>IFERROR(__xludf.DUMMYFUNCTION("""COMPUTED_VALUE"""),"1")</f>
        <v>1</v>
      </c>
      <c r="T932" s="30" t="str">
        <f>IFERROR(__xludf.DUMMYFUNCTION("""COMPUTED_VALUE"""),"223565")</f>
        <v>223565</v>
      </c>
      <c r="U932" s="31" t="str">
        <f>IFERROR(__xludf.DUMMYFUNCTION("""COMPUTED_VALUE"""),"2235")</f>
        <v>2235</v>
      </c>
      <c r="V932" s="11"/>
      <c r="W932" s="11"/>
      <c r="X932" s="11"/>
      <c r="Y932" s="11"/>
      <c r="Z932" s="11"/>
    </row>
    <row r="933" customHeight="1" spans="1:26">
      <c r="A933" s="11" t="str">
        <f>IFERROR(__xludf.DUMMYFUNCTION("""COMPUTED_VALUE"""),"CECILIA SANTIAGO A DE LIMA")</f>
        <v>CECILIA SANTIAGO A DE LIMA</v>
      </c>
      <c r="B933" s="11"/>
      <c r="C933" s="11"/>
      <c r="D933" s="11" t="str">
        <f>IFERROR(__xludf.DUMMYFUNCTION("""COMPUTED_VALUE"""),"Dentista")</f>
        <v>Dentista</v>
      </c>
      <c r="E933" s="11" t="str">
        <f>IFERROR(__xludf.DUMMYFUNCTION("""COMPUTED_VALUE"""),"VII")</f>
        <v>VII</v>
      </c>
      <c r="F933" s="11" t="str">
        <f>IFERROR(__xludf.DUMMYFUNCTION("""COMPUTED_VALUE"""),"US_394 USF UPINHA 24H DR MOACYR ANDRE GOMES")</f>
        <v>US_394 USF UPINHA 24H DR MOACYR ANDRE GOMES</v>
      </c>
      <c r="G933" s="11" t="str">
        <f>IFERROR(__xludf.DUMMYFUNCTION("""COMPUTED_VALUE"""),"US 394 USF UPINHA 24H DR MOACYR ANDRE GOMES")</f>
        <v>US 394 USF UPINHA 24H DR MOACYR ANDRE GOMES</v>
      </c>
      <c r="H933" s="27">
        <f>IFERROR(__xludf.DUMMYFUNCTION("""COMPUTED_VALUE"""),81997596712)</f>
        <v>81997596712</v>
      </c>
      <c r="I933" s="11"/>
      <c r="J933" s="11"/>
      <c r="K933" s="11"/>
      <c r="L933" s="11"/>
      <c r="M933" s="28" t="str">
        <f>IFERROR(__xludf.DUMMYFUNCTION("""COMPUTED_VALUE"""),"3355-3393")</f>
        <v>3355-3393</v>
      </c>
      <c r="N933" s="11" t="str">
        <f>IFERROR(__xludf.DUMMYFUNCTION("""COMPUTED_VALUE"""),"ceciliasantiago85@gmail.com")</f>
        <v>ceciliasantiago85@gmail.com</v>
      </c>
      <c r="O933" s="29">
        <f>IFERROR(__xludf.DUMMYFUNCTION("""COMPUTED_VALUE"""),5758744492)</f>
        <v>5758744492</v>
      </c>
      <c r="P933" s="30" t="str">
        <f>IFERROR(__xludf.DUMMYFUNCTION("""COMPUTED_VALUE"""),"980016297137558")</f>
        <v>980016297137558</v>
      </c>
      <c r="Q933" s="30" t="str">
        <f>IFERROR(__xludf.DUMMYFUNCTION("""COMPUTED_VALUE"""),"7415788")</f>
        <v>7415788</v>
      </c>
      <c r="R933" s="30" t="str">
        <f>IFERROR(__xludf.DUMMYFUNCTION("""COMPUTED_VALUE"""),"9741578801")</f>
        <v>9741578801</v>
      </c>
      <c r="S933" s="30" t="str">
        <f>IFERROR(__xludf.DUMMYFUNCTION("""COMPUTED_VALUE"""),"1")</f>
        <v>1</v>
      </c>
      <c r="T933" s="30" t="str">
        <f>IFERROR(__xludf.DUMMYFUNCTION("""COMPUTED_VALUE"""),"223293")</f>
        <v>223293</v>
      </c>
      <c r="U933" s="31">
        <f>IFERROR(__xludf.DUMMYFUNCTION("""COMPUTED_VALUE"""),2232)</f>
        <v>2232</v>
      </c>
      <c r="V933" s="11"/>
      <c r="W933" s="11"/>
      <c r="X933" s="11"/>
      <c r="Y933" s="11"/>
      <c r="Z933" s="11"/>
    </row>
    <row r="934" customHeight="1" spans="1:26">
      <c r="A934" s="11" t="str">
        <f>IFERROR(__xludf.DUMMYFUNCTION("""COMPUTED_VALUE"""),"JORGE JOSE DE ARAUJO PONTES")</f>
        <v>JORGE JOSE DE ARAUJO PONTES</v>
      </c>
      <c r="B934" s="11"/>
      <c r="C934" s="11"/>
      <c r="D934" s="11" t="str">
        <f>IFERROR(__xludf.DUMMYFUNCTION("""COMPUTED_VALUE"""),"Médico eSF")</f>
        <v>Médico eSF</v>
      </c>
      <c r="E934" s="11" t="str">
        <f>IFERROR(__xludf.DUMMYFUNCTION("""COMPUTED_VALUE"""),"VII")</f>
        <v>VII</v>
      </c>
      <c r="F934" s="11" t="str">
        <f>IFERROR(__xludf.DUMMYFUNCTION("""COMPUTED_VALUE"""),"US_394 USF UPINHA 24H DR MOACYR ANDRE GOMES")</f>
        <v>US_394 USF UPINHA 24H DR MOACYR ANDRE GOMES</v>
      </c>
      <c r="G934" s="11" t="str">
        <f>IFERROR(__xludf.DUMMYFUNCTION("""COMPUTED_VALUE"""),"US 394 USF UPINHA 24H DR MOACYR ANDRE GOMES")</f>
        <v>US 394 USF UPINHA 24H DR MOACYR ANDRE GOMES</v>
      </c>
      <c r="H934" s="27">
        <f>IFERROR(__xludf.DUMMYFUNCTION("""COMPUTED_VALUE"""),81991325095)</f>
        <v>81991325095</v>
      </c>
      <c r="I934" s="11"/>
      <c r="J934" s="11"/>
      <c r="K934" s="11"/>
      <c r="L934" s="11"/>
      <c r="M934" s="28" t="str">
        <f>IFERROR(__xludf.DUMMYFUNCTION("""COMPUTED_VALUE"""),"3355-3393")</f>
        <v>3355-3393</v>
      </c>
      <c r="N934" s="11" t="str">
        <f>IFERROR(__xludf.DUMMYFUNCTION("""COMPUTED_VALUE"""),"jorgejpontes@gmail.com")</f>
        <v>jorgejpontes@gmail.com</v>
      </c>
      <c r="O934" s="29">
        <f>IFERROR(__xludf.DUMMYFUNCTION("""COMPUTED_VALUE"""),12588750478)</f>
        <v>12588750478</v>
      </c>
      <c r="P934" s="30" t="str">
        <f>IFERROR(__xludf.DUMMYFUNCTION("""COMPUTED_VALUE"""),"107635304220003")</f>
        <v>107635304220003</v>
      </c>
      <c r="Q934" s="30" t="str">
        <f>IFERROR(__xludf.DUMMYFUNCTION("""COMPUTED_VALUE"""),"7415788")</f>
        <v>7415788</v>
      </c>
      <c r="R934" s="30" t="str">
        <f>IFERROR(__xludf.DUMMYFUNCTION("""COMPUTED_VALUE"""),"0001509101")</f>
        <v>0001509101</v>
      </c>
      <c r="S934" s="30" t="str">
        <f>IFERROR(__xludf.DUMMYFUNCTION("""COMPUTED_VALUE"""),"1")</f>
        <v>1</v>
      </c>
      <c r="T934" s="30" t="str">
        <f>IFERROR(__xludf.DUMMYFUNCTION("""COMPUTED_VALUE"""),"225142")</f>
        <v>225142</v>
      </c>
      <c r="U934" s="31" t="str">
        <f>IFERROR(__xludf.DUMMYFUNCTION("""COMPUTED_VALUE"""),"2251")</f>
        <v>2251</v>
      </c>
      <c r="V934" s="11"/>
      <c r="W934" s="30" t="str">
        <f>IFERROR(__xludf.DUMMYFUNCTION("""COMPUTED_VALUE"""),"17/11/1956")</f>
        <v>17/11/1956</v>
      </c>
      <c r="X934" s="11" t="str">
        <f>IFERROR(__xludf.DUMMYFUNCTION("""COMPUTED_VALUE"""),"#N/A")</f>
        <v>#N/A</v>
      </c>
      <c r="Y934" s="11" t="str">
        <f>IFERROR(__xludf.DUMMYFUNCTION("""COMPUTED_VALUE"""),"#N/A")</f>
        <v>#N/A</v>
      </c>
      <c r="Z934" s="11" t="str">
        <f>IFERROR(__xludf.DUMMYFUNCTION("""COMPUTED_VALUE"""),"#N/A")</f>
        <v>#N/A</v>
      </c>
    </row>
    <row r="935" customHeight="1" spans="1:26">
      <c r="A935" s="11" t="str">
        <f>IFERROR(__xludf.DUMMYFUNCTION("""COMPUTED_VALUE"""),"JULIANO BONIFACIO DA SILVA")</f>
        <v>JULIANO BONIFACIO DA SILVA</v>
      </c>
      <c r="B935" s="11"/>
      <c r="C935" s="11"/>
      <c r="D935" s="11" t="str">
        <f>IFERROR(__xludf.DUMMYFUNCTION("""COMPUTED_VALUE"""),"Dentista")</f>
        <v>Dentista</v>
      </c>
      <c r="E935" s="11" t="str">
        <f>IFERROR(__xludf.DUMMYFUNCTION("""COMPUTED_VALUE"""),"VII")</f>
        <v>VII</v>
      </c>
      <c r="F935" s="11" t="str">
        <f>IFERROR(__xludf.DUMMYFUNCTION("""COMPUTED_VALUE"""),"US_352 USF UPINHA 24H DR HELIO MENDONCA COR DO JENIPAPO")</f>
        <v>US_352 USF UPINHA 24H DR HELIO MENDONCA COR DO JENIPAPO</v>
      </c>
      <c r="G935" s="11" t="str">
        <f>IFERROR(__xludf.DUMMYFUNCTION("""COMPUTED_VALUE"""),"US 394 USF UPINHA 24H DR MOACYR ANDRE GOMES")</f>
        <v>US 394 USF UPINHA 24H DR MOACYR ANDRE GOMES</v>
      </c>
      <c r="H935" s="27">
        <f>IFERROR(__xludf.DUMMYFUNCTION("""COMPUTED_VALUE"""),81979078198)</f>
        <v>81979078198</v>
      </c>
      <c r="I935" s="11"/>
      <c r="J935" s="11"/>
      <c r="K935" s="11"/>
      <c r="L935" s="11"/>
      <c r="M935" s="28" t="str">
        <f>IFERROR(__xludf.DUMMYFUNCTION("""COMPUTED_VALUE"""),"3355-3393")</f>
        <v>3355-3393</v>
      </c>
      <c r="N935" s="11" t="str">
        <f>IFERROR(__xludf.DUMMYFUNCTION("""COMPUTED_VALUE"""),"jbsilva83@hotmail.com")</f>
        <v>jbsilva83@hotmail.com</v>
      </c>
      <c r="O935" s="29">
        <f>IFERROR(__xludf.DUMMYFUNCTION("""COMPUTED_VALUE"""),4782979479)</f>
        <v>4782979479</v>
      </c>
      <c r="P935" s="30" t="str">
        <f>IFERROR(__xludf.DUMMYFUNCTION("""COMPUTED_VALUE"""),"704808540431246")</f>
        <v>704808540431246</v>
      </c>
      <c r="Q935" s="30" t="str">
        <f>IFERROR(__xludf.DUMMYFUNCTION("""COMPUTED_VALUE"""),"7415788")</f>
        <v>7415788</v>
      </c>
      <c r="R935" s="30" t="str">
        <f>IFERROR(__xludf.DUMMYFUNCTION("""COMPUTED_VALUE"""),"0001801368")</f>
        <v>0001801368</v>
      </c>
      <c r="S935" s="30" t="str">
        <f>IFERROR(__xludf.DUMMYFUNCTION("""COMPUTED_VALUE"""),"1")</f>
        <v>1</v>
      </c>
      <c r="T935" s="30" t="str">
        <f>IFERROR(__xludf.DUMMYFUNCTION("""COMPUTED_VALUE"""),"223293")</f>
        <v>223293</v>
      </c>
      <c r="U935" s="31">
        <f>IFERROR(__xludf.DUMMYFUNCTION("""COMPUTED_VALUE"""),2232)</f>
        <v>2232</v>
      </c>
      <c r="V935" s="11"/>
      <c r="W935" s="11"/>
      <c r="X935" s="11"/>
      <c r="Y935" s="11"/>
      <c r="Z935" s="11"/>
    </row>
    <row r="936" customHeight="1" spans="1:26">
      <c r="A936" s="11" t="str">
        <f>IFERROR(__xludf.DUMMYFUNCTION("""COMPUTED_VALUE"""),"LIA XIMENES SANTOS")</f>
        <v>LIA XIMENES SANTOS</v>
      </c>
      <c r="B936" s="11"/>
      <c r="C936" s="11"/>
      <c r="D936" s="11" t="str">
        <f>IFERROR(__xludf.DUMMYFUNCTION("""COMPUTED_VALUE"""),"Dentista")</f>
        <v>Dentista</v>
      </c>
      <c r="E936" s="11" t="str">
        <f>IFERROR(__xludf.DUMMYFUNCTION("""COMPUTED_VALUE"""),"VII")</f>
        <v>VII</v>
      </c>
      <c r="F936" s="11" t="str">
        <f>IFERROR(__xludf.DUMMYFUNCTION("""COMPUTED_VALUE"""),"US_352 USF UPINHA 24H DR HELIO MENDONCA COR DO JENIPAPO")</f>
        <v>US_352 USF UPINHA 24H DR HELIO MENDONCA COR DO JENIPAPO</v>
      </c>
      <c r="G936" s="11" t="str">
        <f>IFERROR(__xludf.DUMMYFUNCTION("""COMPUTED_VALUE"""),"US 394 USF UPINHA 24H DR MOACYR ANDRE GOMES")</f>
        <v>US 394 USF UPINHA 24H DR MOACYR ANDRE GOMES</v>
      </c>
      <c r="H936" s="27">
        <f>IFERROR(__xludf.DUMMYFUNCTION("""COMPUTED_VALUE"""),81986419701)</f>
        <v>81986419701</v>
      </c>
      <c r="I936" s="11"/>
      <c r="J936" s="11"/>
      <c r="K936" s="11"/>
      <c r="L936" s="11"/>
      <c r="M936" s="28" t="str">
        <f>IFERROR(__xludf.DUMMYFUNCTION("""COMPUTED_VALUE"""),"3355-3393")</f>
        <v>3355-3393</v>
      </c>
      <c r="N936" s="11" t="str">
        <f>IFERROR(__xludf.DUMMYFUNCTION("""COMPUTED_VALUE"""),"liaximenes_@hotmail.com")</f>
        <v>liaximenes_@hotmail.com</v>
      </c>
      <c r="O936" s="29">
        <f>IFERROR(__xludf.DUMMYFUNCTION("""COMPUTED_VALUE"""),941969401)</f>
        <v>941969401</v>
      </c>
      <c r="P936" s="30" t="str">
        <f>IFERROR(__xludf.DUMMYFUNCTION("""COMPUTED_VALUE"""),"980016280729015")</f>
        <v>980016280729015</v>
      </c>
      <c r="Q936" s="30" t="str">
        <f>IFERROR(__xludf.DUMMYFUNCTION("""COMPUTED_VALUE"""),"7415788")</f>
        <v>7415788</v>
      </c>
      <c r="R936" s="30" t="str">
        <f>IFERROR(__xludf.DUMMYFUNCTION("""COMPUTED_VALUE"""),"0001565826")</f>
        <v>0001565826</v>
      </c>
      <c r="S936" s="30" t="str">
        <f>IFERROR(__xludf.DUMMYFUNCTION("""COMPUTED_VALUE"""),"1")</f>
        <v>1</v>
      </c>
      <c r="T936" s="30" t="str">
        <f>IFERROR(__xludf.DUMMYFUNCTION("""COMPUTED_VALUE"""),"223293")</f>
        <v>223293</v>
      </c>
      <c r="U936" s="31">
        <f>IFERROR(__xludf.DUMMYFUNCTION("""COMPUTED_VALUE"""),2232)</f>
        <v>2232</v>
      </c>
      <c r="V936" s="11"/>
      <c r="W936" s="11"/>
      <c r="X936" s="11"/>
      <c r="Y936" s="11"/>
      <c r="Z936" s="11"/>
    </row>
    <row r="937" customHeight="1" spans="1:26">
      <c r="A937" s="11" t="str">
        <f>IFERROR(__xludf.DUMMYFUNCTION("""COMPUTED_VALUE"""),"LUCILEYDE CICERA A DE S GASPAR")</f>
        <v>LUCILEYDE CICERA A DE S GASPAR</v>
      </c>
      <c r="B937" s="11"/>
      <c r="C937" s="11"/>
      <c r="D937" s="11" t="str">
        <f>IFERROR(__xludf.DUMMYFUNCTION("""COMPUTED_VALUE"""),"Dentista")</f>
        <v>Dentista</v>
      </c>
      <c r="E937" s="11" t="str">
        <f>IFERROR(__xludf.DUMMYFUNCTION("""COMPUTED_VALUE"""),"VII")</f>
        <v>VII</v>
      </c>
      <c r="F937" s="11" t="str">
        <f>IFERROR(__xludf.DUMMYFUNCTION("""COMPUTED_VALUE"""),"SEGTES")</f>
        <v>SEGTES</v>
      </c>
      <c r="G937" s="11" t="str">
        <f>IFERROR(__xludf.DUMMYFUNCTION("""COMPUTED_VALUE"""),"US 394 USF UPINHA 24H DR MOACYR ANDRE GOMES")</f>
        <v>US 394 USF UPINHA 24H DR MOACYR ANDRE GOMES</v>
      </c>
      <c r="H937" s="27">
        <f>IFERROR(__xludf.DUMMYFUNCTION("""COMPUTED_VALUE"""),81999474947)</f>
        <v>81999474947</v>
      </c>
      <c r="I937" s="11"/>
      <c r="J937" s="11"/>
      <c r="K937" s="11"/>
      <c r="L937" s="11"/>
      <c r="M937" s="28" t="str">
        <f>IFERROR(__xludf.DUMMYFUNCTION("""COMPUTED_VALUE"""),"3355-3393")</f>
        <v>3355-3393</v>
      </c>
      <c r="N937" s="11" t="str">
        <f>IFERROR(__xludf.DUMMYFUNCTION("""COMPUTED_VALUE"""),"lucileydeodonto@yahoo.com.br")</f>
        <v>lucileydeodonto@yahoo.com.br</v>
      </c>
      <c r="O937" s="29">
        <f>IFERROR(__xludf.DUMMYFUNCTION("""COMPUTED_VALUE"""),3250615480)</f>
        <v>3250615480</v>
      </c>
      <c r="P937" s="30" t="str">
        <f>IFERROR(__xludf.DUMMYFUNCTION("""COMPUTED_VALUE"""),"980016280247282")</f>
        <v>980016280247282</v>
      </c>
      <c r="Q937" s="30" t="str">
        <f>IFERROR(__xludf.DUMMYFUNCTION("""COMPUTED_VALUE"""),"7415788")</f>
        <v>7415788</v>
      </c>
      <c r="R937" s="30" t="str">
        <f>IFERROR(__xludf.DUMMYFUNCTION("""COMPUTED_VALUE"""),"0001824759")</f>
        <v>0001824759</v>
      </c>
      <c r="S937" s="30" t="str">
        <f>IFERROR(__xludf.DUMMYFUNCTION("""COMPUTED_VALUE"""),"1")</f>
        <v>1</v>
      </c>
      <c r="T937" s="30" t="str">
        <f>IFERROR(__xludf.DUMMYFUNCTION("""COMPUTED_VALUE"""),"223293")</f>
        <v>223293</v>
      </c>
      <c r="U937" s="31">
        <f>IFERROR(__xludf.DUMMYFUNCTION("""COMPUTED_VALUE"""),2232)</f>
        <v>2232</v>
      </c>
      <c r="V937" s="11"/>
      <c r="W937" s="11"/>
      <c r="X937" s="11"/>
      <c r="Y937" s="11"/>
      <c r="Z937" s="11"/>
    </row>
    <row r="938" customHeight="1" spans="1:26">
      <c r="A938" s="11" t="str">
        <f>IFERROR(__xludf.DUMMYFUNCTION("""COMPUTED_VALUE"""),"MARIA DE NAZARE OLIVEIRA SOUZA")</f>
        <v>MARIA DE NAZARE OLIVEIRA SOUZA</v>
      </c>
      <c r="B938" s="11"/>
      <c r="C938" s="11"/>
      <c r="D938" s="11" t="str">
        <f>IFERROR(__xludf.DUMMYFUNCTION("""COMPUTED_VALUE"""),"Médica eSF")</f>
        <v>Médica eSF</v>
      </c>
      <c r="E938" s="11" t="str">
        <f>IFERROR(__xludf.DUMMYFUNCTION("""COMPUTED_VALUE"""),"VII")</f>
        <v>VII</v>
      </c>
      <c r="F938" s="11" t="str">
        <f>IFERROR(__xludf.DUMMYFUNCTION("""COMPUTED_VALUE"""),"US_394 USF UPINHA 24H DR MOACYR ANDRE GOMES")</f>
        <v>US_394 USF UPINHA 24H DR MOACYR ANDRE GOMES</v>
      </c>
      <c r="G938" s="11" t="str">
        <f>IFERROR(__xludf.DUMMYFUNCTION("""COMPUTED_VALUE"""),"US 394 USF UPINHA 24H DR MOACYR ANDRE GOMES")</f>
        <v>US 394 USF UPINHA 24H DR MOACYR ANDRE GOMES</v>
      </c>
      <c r="H938" s="27">
        <f>IFERROR(__xludf.DUMMYFUNCTION("""COMPUTED_VALUE"""),81997300156)</f>
        <v>81997300156</v>
      </c>
      <c r="I938" s="11"/>
      <c r="J938" s="11"/>
      <c r="K938" s="11"/>
      <c r="L938" s="11"/>
      <c r="M938" s="28" t="str">
        <f>IFERROR(__xludf.DUMMYFUNCTION("""COMPUTED_VALUE"""),"3355-3393")</f>
        <v>3355-3393</v>
      </c>
      <c r="N938" s="11" t="str">
        <f>IFERROR(__xludf.DUMMYFUNCTION("""COMPUTED_VALUE"""),"naza.souza@hotmail.com")</f>
        <v>naza.souza@hotmail.com</v>
      </c>
      <c r="O938" s="29">
        <f>IFERROR(__xludf.DUMMYFUNCTION("""COMPUTED_VALUE"""),924070480)</f>
        <v>924070480</v>
      </c>
      <c r="P938" s="30" t="str">
        <f>IFERROR(__xludf.DUMMYFUNCTION("""COMPUTED_VALUE"""),"700003153417509")</f>
        <v>700003153417509</v>
      </c>
      <c r="Q938" s="30" t="str">
        <f>IFERROR(__xludf.DUMMYFUNCTION("""COMPUTED_VALUE"""),"7415788")</f>
        <v>7415788</v>
      </c>
      <c r="R938" s="30" t="str">
        <f>IFERROR(__xludf.DUMMYFUNCTION("""COMPUTED_VALUE"""),"0000145440")</f>
        <v>0000145440</v>
      </c>
      <c r="S938" s="30" t="str">
        <f>IFERROR(__xludf.DUMMYFUNCTION("""COMPUTED_VALUE"""),"1")</f>
        <v>1</v>
      </c>
      <c r="T938" s="30" t="str">
        <f>IFERROR(__xludf.DUMMYFUNCTION("""COMPUTED_VALUE"""),"225142")</f>
        <v>225142</v>
      </c>
      <c r="U938" s="31" t="str">
        <f>IFERROR(__xludf.DUMMYFUNCTION("""COMPUTED_VALUE"""),"2251")</f>
        <v>2251</v>
      </c>
      <c r="V938" s="11"/>
      <c r="W938" s="30" t="str">
        <f>IFERROR(__xludf.DUMMYFUNCTION("""COMPUTED_VALUE"""),"19/03/1983")</f>
        <v>19/03/1983</v>
      </c>
      <c r="X938" s="11"/>
      <c r="Y938" s="11"/>
      <c r="Z938" s="11"/>
    </row>
    <row r="939" customHeight="1" spans="1:26">
      <c r="A939" s="11" t="str">
        <f>IFERROR(__xludf.DUMMYFUNCTION("""COMPUTED_VALUE"""),"ROBSON ALECRIM ROCHA")</f>
        <v>ROBSON ALECRIM ROCHA</v>
      </c>
      <c r="B939" s="11"/>
      <c r="C939" s="11"/>
      <c r="D939" s="11" t="str">
        <f>IFERROR(__xludf.DUMMYFUNCTION("""COMPUTED_VALUE"""),"Médica eSF")</f>
        <v>Médica eSF</v>
      </c>
      <c r="E939" s="11" t="str">
        <f>IFERROR(__xludf.DUMMYFUNCTION("""COMPUTED_VALUE"""),"VII")</f>
        <v>VII</v>
      </c>
      <c r="F939" s="11" t="str">
        <f>IFERROR(__xludf.DUMMYFUNCTION("""COMPUTED_VALUE"""),"US_283 USF VILA BOA VISTA")</f>
        <v>US_283 USF VILA BOA VISTA</v>
      </c>
      <c r="G939" s="11" t="str">
        <f>IFERROR(__xludf.DUMMYFUNCTION("""COMPUTED_VALUE"""),"US 394 USF UPINHA 24H DR MOACYR ANDRE GOMES")</f>
        <v>US 394 USF UPINHA 24H DR MOACYR ANDRE GOMES</v>
      </c>
      <c r="H939" s="27">
        <f>IFERROR(__xludf.DUMMYFUNCTION("""COMPUTED_VALUE"""),81999989346)</f>
        <v>81999989346</v>
      </c>
      <c r="I939" s="11"/>
      <c r="J939" s="11"/>
      <c r="K939" s="11"/>
      <c r="L939" s="11"/>
      <c r="M939" s="28" t="str">
        <f>IFERROR(__xludf.DUMMYFUNCTION("""COMPUTED_VALUE"""),"3355-3393")</f>
        <v>3355-3393</v>
      </c>
      <c r="N939" s="11" t="str">
        <f>IFERROR(__xludf.DUMMYFUNCTION("""COMPUTED_VALUE"""),"ROBSONALECRIM@HOTMAIL.COM")</f>
        <v>ROBSONALECRIM@HOTMAIL.COM</v>
      </c>
      <c r="O939" s="29">
        <f>IFERROR(__xludf.DUMMYFUNCTION("""COMPUTED_VALUE"""),4596091498)</f>
        <v>4596091498</v>
      </c>
      <c r="P939" s="30" t="str">
        <f>IFERROR(__xludf.DUMMYFUNCTION("""COMPUTED_VALUE"""),"980016286076382")</f>
        <v>980016286076382</v>
      </c>
      <c r="Q939" s="30" t="str">
        <f>IFERROR(__xludf.DUMMYFUNCTION("""COMPUTED_VALUE"""),"7415788")</f>
        <v>7415788</v>
      </c>
      <c r="R939" s="30" t="str">
        <f>IFERROR(__xludf.DUMMYFUNCTION("""COMPUTED_VALUE"""),"0001509047")</f>
        <v>0001509047</v>
      </c>
      <c r="S939" s="30" t="str">
        <f>IFERROR(__xludf.DUMMYFUNCTION("""COMPUTED_VALUE"""),"1")</f>
        <v>1</v>
      </c>
      <c r="T939" s="30" t="str">
        <f>IFERROR(__xludf.DUMMYFUNCTION("""COMPUTED_VALUE"""),"225142")</f>
        <v>225142</v>
      </c>
      <c r="U939" s="31" t="str">
        <f>IFERROR(__xludf.DUMMYFUNCTION("""COMPUTED_VALUE"""),"2251")</f>
        <v>2251</v>
      </c>
      <c r="V939" s="11"/>
      <c r="W939" s="11"/>
      <c r="X939" s="11"/>
      <c r="Y939" s="11"/>
      <c r="Z939" s="11"/>
    </row>
    <row r="940" customHeight="1" spans="1:26">
      <c r="A940" s="11" t="str">
        <f>IFERROR(__xludf.DUMMYFUNCTION("""COMPUTED_VALUE"""),"TEREZA CRISTINA MARTINS DE PAULA")</f>
        <v>TEREZA CRISTINA MARTINS DE PAULA</v>
      </c>
      <c r="B940" s="11"/>
      <c r="C940" s="11"/>
      <c r="D940" s="11" t="str">
        <f>IFERROR(__xludf.DUMMYFUNCTION("""COMPUTED_VALUE"""),"Médica Clínica")</f>
        <v>Médica Clínica</v>
      </c>
      <c r="E940" s="11" t="str">
        <f>IFERROR(__xludf.DUMMYFUNCTION("""COMPUTED_VALUE"""),"VII")</f>
        <v>VII</v>
      </c>
      <c r="F940" s="11" t="str">
        <f>IFERROR(__xludf.DUMMYFUNCTION("""COMPUTED_VALUE"""),"US_394 USF UPINHA 24H DR MOACYR ANDRE GOMES")</f>
        <v>US_394 USF UPINHA 24H DR MOACYR ANDRE GOMES</v>
      </c>
      <c r="G940" s="11" t="str">
        <f>IFERROR(__xludf.DUMMYFUNCTION("""COMPUTED_VALUE"""),"US 394 USF UPINHA 24H DR MOACYR ANDRE GOMES")</f>
        <v>US 394 USF UPINHA 24H DR MOACYR ANDRE GOMES</v>
      </c>
      <c r="H940" s="27">
        <f>IFERROR(__xludf.DUMMYFUNCTION("""COMPUTED_VALUE"""),81989635805)</f>
        <v>81989635805</v>
      </c>
      <c r="I940" s="27">
        <f>IFERROR(__xludf.DUMMYFUNCTION("""COMPUTED_VALUE"""),81997431622)</f>
        <v>81997431622</v>
      </c>
      <c r="J940" s="11"/>
      <c r="K940" s="11"/>
      <c r="L940" s="11"/>
      <c r="M940" s="28" t="str">
        <f>IFERROR(__xludf.DUMMYFUNCTION("""COMPUTED_VALUE"""),"3355-3393")</f>
        <v>3355-3393</v>
      </c>
      <c r="N940" s="11" t="str">
        <f>IFERROR(__xludf.DUMMYFUNCTION("""COMPUTED_VALUE"""),"tereza.paula@uol.com.br")</f>
        <v>tereza.paula@uol.com.br</v>
      </c>
      <c r="O940" s="29">
        <f>IFERROR(__xludf.DUMMYFUNCTION("""COMPUTED_VALUE"""),2059725780)</f>
        <v>2059725780</v>
      </c>
      <c r="P940" s="30" t="str">
        <f>IFERROR(__xludf.DUMMYFUNCTION("""COMPUTED_VALUE"""),"128100784500008")</f>
        <v>128100784500008</v>
      </c>
      <c r="Q940" s="30" t="str">
        <f>IFERROR(__xludf.DUMMYFUNCTION("""COMPUTED_VALUE"""),"7415788")</f>
        <v>7415788</v>
      </c>
      <c r="R940" s="11"/>
      <c r="S940" s="30" t="str">
        <f>IFERROR(__xludf.DUMMYFUNCTION("""COMPUTED_VALUE"""),"1")</f>
        <v>1</v>
      </c>
      <c r="T940" s="30" t="str">
        <f>IFERROR(__xludf.DUMMYFUNCTION("""COMPUTED_VALUE"""),"225125")</f>
        <v>225125</v>
      </c>
      <c r="U940" s="31">
        <f>IFERROR(__xludf.DUMMYFUNCTION("""COMPUTED_VALUE"""),2251)</f>
        <v>2251</v>
      </c>
      <c r="V940" s="11"/>
      <c r="W940" s="30" t="str">
        <f>IFERROR(__xludf.DUMMYFUNCTION("""COMPUTED_VALUE"""),"22/02/1971")</f>
        <v>22/02/1971</v>
      </c>
      <c r="X940" s="11"/>
      <c r="Y940" s="11"/>
      <c r="Z940" s="11"/>
    </row>
    <row r="941" customHeight="1" spans="1:26">
      <c r="A941" s="11" t="str">
        <f>IFERROR(__xludf.DUMMYFUNCTION("""COMPUTED_VALUE"""),"VIVIAN CARLA DE LIMA CALIXTO")</f>
        <v>VIVIAN CARLA DE LIMA CALIXTO</v>
      </c>
      <c r="B941" s="11"/>
      <c r="C941" s="11"/>
      <c r="D941" s="11" t="str">
        <f>IFERROR(__xludf.DUMMYFUNCTION("""COMPUTED_VALUE"""),"Enfermeira eSF")</f>
        <v>Enfermeira eSF</v>
      </c>
      <c r="E941" s="11" t="str">
        <f>IFERROR(__xludf.DUMMYFUNCTION("""COMPUTED_VALUE"""),"VII")</f>
        <v>VII</v>
      </c>
      <c r="F941" s="11" t="str">
        <f>IFERROR(__xludf.DUMMYFUNCTION("""COMPUTED_VALUE"""),"US_394 USF UPINHA 24H DR MOACYR ANDRE GOMES")</f>
        <v>US_394 USF UPINHA 24H DR MOACYR ANDRE GOMES</v>
      </c>
      <c r="G941" s="11" t="str">
        <f>IFERROR(__xludf.DUMMYFUNCTION("""COMPUTED_VALUE"""),"US 394 USF UPINHA 24H DR MOACYR ANDRE GOMES")</f>
        <v>US 394 USF UPINHA 24H DR MOACYR ANDRE GOMES</v>
      </c>
      <c r="H941" s="27">
        <f>IFERROR(__xludf.DUMMYFUNCTION("""COMPUTED_VALUE"""),81987971800)</f>
        <v>81987971800</v>
      </c>
      <c r="I941" s="11"/>
      <c r="J941" s="11"/>
      <c r="K941" s="11"/>
      <c r="L941" s="11"/>
      <c r="M941" s="28" t="str">
        <f>IFERROR(__xludf.DUMMYFUNCTION("""COMPUTED_VALUE"""),"3355-3393")</f>
        <v>3355-3393</v>
      </c>
      <c r="N941" s="11" t="str">
        <f>IFERROR(__xludf.DUMMYFUNCTION("""COMPUTED_VALUE"""),"vivian.calixto@hotmail.com")</f>
        <v>vivian.calixto@hotmail.com</v>
      </c>
      <c r="O941" s="29">
        <f>IFERROR(__xludf.DUMMYFUNCTION("""COMPUTED_VALUE"""),4929338476)</f>
        <v>4929338476</v>
      </c>
      <c r="P941" s="30" t="str">
        <f>IFERROR(__xludf.DUMMYFUNCTION("""COMPUTED_VALUE"""),"980016287462162")</f>
        <v>980016287462162</v>
      </c>
      <c r="Q941" s="30" t="str">
        <f>IFERROR(__xludf.DUMMYFUNCTION("""COMPUTED_VALUE"""),"7415788")</f>
        <v>7415788</v>
      </c>
      <c r="R941" s="30" t="str">
        <f>IFERROR(__xludf.DUMMYFUNCTION("""COMPUTED_VALUE"""),"0001509101")</f>
        <v>0001509101</v>
      </c>
      <c r="S941" s="30" t="str">
        <f>IFERROR(__xludf.DUMMYFUNCTION("""COMPUTED_VALUE"""),"1")</f>
        <v>1</v>
      </c>
      <c r="T941" s="30" t="str">
        <f>IFERROR(__xludf.DUMMYFUNCTION("""COMPUTED_VALUE"""),"223565")</f>
        <v>223565</v>
      </c>
      <c r="U941" s="31" t="str">
        <f>IFERROR(__xludf.DUMMYFUNCTION("""COMPUTED_VALUE"""),"2235")</f>
        <v>2235</v>
      </c>
      <c r="V941" s="11"/>
      <c r="W941" s="11">
        <f>IFERROR(__xludf.DUMMYFUNCTION("""COMPUTED_VALUE"""),81987971800)</f>
        <v>81987971800</v>
      </c>
      <c r="X941" s="11"/>
      <c r="Y941" s="11">
        <f>IFERROR(__xludf.DUMMYFUNCTION("""COMPUTED_VALUE"""),4929338476)</f>
        <v>4929338476</v>
      </c>
      <c r="Z941" s="11"/>
    </row>
    <row r="942" customHeight="1" spans="1:26">
      <c r="A942" s="11" t="str">
        <f>IFERROR(__xludf.DUMMYFUNCTION("""COMPUTED_VALUE"""),"JESSICA FRUTUOSO PEREIRA DA SILVA")</f>
        <v>JESSICA FRUTUOSO PEREIRA DA SILVA</v>
      </c>
      <c r="B942" s="11"/>
      <c r="C942" s="11"/>
      <c r="D942" s="11" t="str">
        <f>IFERROR(__xludf.DUMMYFUNCTION("""COMPUTED_VALUE"""),"Médica eSF")</f>
        <v>Médica eSF</v>
      </c>
      <c r="E942" s="11" t="str">
        <f>IFERROR(__xludf.DUMMYFUNCTION("""COMPUTED_VALUE"""),"VII")</f>
        <v>VII</v>
      </c>
      <c r="F942" s="11" t="str">
        <f>IFERROR(__xludf.DUMMYFUNCTION("""COMPUTED_VALUE"""),"US_287 USF ALTO JOSE DO PINHO")</f>
        <v>US_287 USF ALTO JOSE DO PINHO</v>
      </c>
      <c r="G942" s="11" t="str">
        <f>IFERROR(__xludf.DUMMYFUNCTION("""COMPUTED_VALUE"""),"US 397 USF UPINHA DIA CORREGO DO EUCLIDES")</f>
        <v>US 397 USF UPINHA DIA CORREGO DO EUCLIDES</v>
      </c>
      <c r="H942" s="27">
        <f>IFERROR(__xludf.DUMMYFUNCTION("""COMPUTED_VALUE"""),81988778500)</f>
        <v>81988778500</v>
      </c>
      <c r="I942" s="11"/>
      <c r="J942" s="11"/>
      <c r="K942" s="11"/>
      <c r="L942" s="11"/>
      <c r="M942" s="28" t="str">
        <f>IFERROR(__xludf.DUMMYFUNCTION("""COMPUTED_VALUE"""),"3355-6037")</f>
        <v>3355-6037</v>
      </c>
      <c r="N942" s="11" t="str">
        <f>IFERROR(__xludf.DUMMYFUNCTION("""COMPUTED_VALUE"""),"jessicafrutuoso21@gmail.com")</f>
        <v>jessicafrutuoso21@gmail.com</v>
      </c>
      <c r="O942" s="29">
        <f>IFERROR(__xludf.DUMMYFUNCTION("""COMPUTED_VALUE"""),9575153405)</f>
        <v>9575153405</v>
      </c>
      <c r="P942" s="30" t="str">
        <f>IFERROR(__xludf.DUMMYFUNCTION("""COMPUTED_VALUE"""),"700006409542709")</f>
        <v>700006409542709</v>
      </c>
      <c r="Q942" s="30" t="str">
        <f>IFERROR(__xludf.DUMMYFUNCTION("""COMPUTED_VALUE"""),"7563736")</f>
        <v>7563736</v>
      </c>
      <c r="R942" s="30" t="str">
        <f>IFERROR(__xludf.DUMMYFUNCTION("""COMPUTED_VALUE"""),"0000155330")</f>
        <v>0000155330</v>
      </c>
      <c r="S942" s="30" t="str">
        <f>IFERROR(__xludf.DUMMYFUNCTION("""COMPUTED_VALUE"""),"1")</f>
        <v>1</v>
      </c>
      <c r="T942" s="30" t="str">
        <f>IFERROR(__xludf.DUMMYFUNCTION("""COMPUTED_VALUE"""),"225142")</f>
        <v>225142</v>
      </c>
      <c r="U942" s="31">
        <f>IFERROR(__xludf.DUMMYFUNCTION("""COMPUTED_VALUE"""),2251)</f>
        <v>2251</v>
      </c>
      <c r="V942" s="11"/>
      <c r="W942" s="11"/>
      <c r="X942" s="11" t="str">
        <f>IFERROR(__xludf.DUMMYFUNCTION("""COMPUTED_VALUE"""),"#N/A")</f>
        <v>#N/A</v>
      </c>
      <c r="Y942" s="11" t="str">
        <f>IFERROR(__xludf.DUMMYFUNCTION("""COMPUTED_VALUE"""),"#N/A")</f>
        <v>#N/A</v>
      </c>
      <c r="Z942" s="11" t="str">
        <f>IFERROR(__xludf.DUMMYFUNCTION("""COMPUTED_VALUE"""),"#N/A")</f>
        <v>#N/A</v>
      </c>
    </row>
    <row r="943" customHeight="1" spans="1:26">
      <c r="A943" s="11" t="str">
        <f>IFERROR(__xludf.DUMMYFUNCTION("""COMPUTED_VALUE"""),"RAQUEL ARAUJO DE ALBUQUERQUE")</f>
        <v>RAQUEL ARAUJO DE ALBUQUERQUE</v>
      </c>
      <c r="B943" s="11"/>
      <c r="C943" s="11"/>
      <c r="D943" s="11" t="str">
        <f>IFERROR(__xludf.DUMMYFUNCTION("""COMPUTED_VALUE"""),"Dentista")</f>
        <v>Dentista</v>
      </c>
      <c r="E943" s="11" t="str">
        <f>IFERROR(__xludf.DUMMYFUNCTION("""COMPUTED_VALUE"""),"VII")</f>
        <v>VII</v>
      </c>
      <c r="F943" s="11" t="str">
        <f>IFERROR(__xludf.DUMMYFUNCTION("""COMPUTED_VALUE"""),"US_397 USF UPINHA DIA ACS MARIA RITA DA SILVA /CORREGO DO EUCLIDES")</f>
        <v>US_397 USF UPINHA DIA ACS MARIA RITA DA SILVA /CORREGO DO EUCLIDES</v>
      </c>
      <c r="G943" s="11" t="str">
        <f>IFERROR(__xludf.DUMMYFUNCTION("""COMPUTED_VALUE"""),"US 397 USF UPINHA DIA CORREGO DO EUCLIDES")</f>
        <v>US 397 USF UPINHA DIA CORREGO DO EUCLIDES</v>
      </c>
      <c r="H943" s="27">
        <f>IFERROR(__xludf.DUMMYFUNCTION("""COMPUTED_VALUE"""),81987427216)</f>
        <v>81987427216</v>
      </c>
      <c r="I943" s="11"/>
      <c r="J943" s="11"/>
      <c r="K943" s="11"/>
      <c r="L943" s="11"/>
      <c r="M943" s="28" t="str">
        <f>IFERROR(__xludf.DUMMYFUNCTION("""COMPUTED_VALUE"""),"3355-6037")</f>
        <v>3355-6037</v>
      </c>
      <c r="N943" s="11" t="str">
        <f>IFERROR(__xludf.DUMMYFUNCTION("""COMPUTED_VALUE"""),"raquelaalbuquerque@hotmail.com")</f>
        <v>raquelaalbuquerque@hotmail.com</v>
      </c>
      <c r="O943" s="29">
        <f>IFERROR(__xludf.DUMMYFUNCTION("""COMPUTED_VALUE"""),1173609458)</f>
        <v>1173609458</v>
      </c>
      <c r="P943" s="30" t="str">
        <f>IFERROR(__xludf.DUMMYFUNCTION("""COMPUTED_VALUE"""),"980016000643107	")</f>
        <v>980016000643107	</v>
      </c>
      <c r="Q943" s="30" t="str">
        <f>IFERROR(__xludf.DUMMYFUNCTION("""COMPUTED_VALUE"""),"7563736")</f>
        <v>7563736</v>
      </c>
      <c r="R943" s="30" t="str">
        <f>IFERROR(__xludf.DUMMYFUNCTION("""COMPUTED_VALUE"""),"0001556150	")</f>
        <v>0001556150	</v>
      </c>
      <c r="S943" s="30" t="str">
        <f>IFERROR(__xludf.DUMMYFUNCTION("""COMPUTED_VALUE"""),"1")</f>
        <v>1</v>
      </c>
      <c r="T943" s="30" t="str">
        <f>IFERROR(__xludf.DUMMYFUNCTION("""COMPUTED_VALUE"""),"223293")</f>
        <v>223293</v>
      </c>
      <c r="U943" s="31">
        <f>IFERROR(__xludf.DUMMYFUNCTION("""COMPUTED_VALUE"""),2232)</f>
        <v>2232</v>
      </c>
      <c r="V943" s="11"/>
      <c r="W943" s="11"/>
      <c r="X943" s="11"/>
      <c r="Y943" s="11"/>
      <c r="Z943" s="11"/>
    </row>
    <row r="944" customHeight="1" spans="1:26">
      <c r="A944" s="11" t="str">
        <f>IFERROR(__xludf.DUMMYFUNCTION("""COMPUTED_VALUE"""),"ALINE COSTA CARDOSO")</f>
        <v>ALINE COSTA CARDOSO</v>
      </c>
      <c r="B944" s="11"/>
      <c r="C944" s="11"/>
      <c r="D944" s="11" t="str">
        <f>IFERROR(__xludf.DUMMYFUNCTION("""COMPUTED_VALUE"""),"ENFERMEIRA")</f>
        <v>ENFERMEIRA</v>
      </c>
      <c r="E944" s="11"/>
      <c r="F944" s="11"/>
      <c r="G944" s="11" t="str">
        <f>IFERROR(__xludf.DUMMYFUNCTION("""COMPUTED_VALUE"""),"US 400 USF UPINHA DIA DOM HELDER")</f>
        <v>US 400 USF UPINHA DIA DOM HELDER</v>
      </c>
      <c r="H944" s="27">
        <f>IFERROR(__xludf.DUMMYFUNCTION("""COMPUTED_VALUE"""),82999520077)</f>
        <v>82999520077</v>
      </c>
      <c r="I944" s="11"/>
      <c r="J944" s="11"/>
      <c r="K944" s="24">
        <f>IFERROR(__xludf.DUMMYFUNCTION("""COMPUTED_VALUE"""),45436)</f>
        <v>45436</v>
      </c>
      <c r="L944" s="11"/>
      <c r="M944" s="11"/>
      <c r="N944" s="11"/>
      <c r="O944" s="11"/>
      <c r="P944" s="11"/>
      <c r="Q944" s="11"/>
      <c r="R944" s="11"/>
      <c r="S944" s="11"/>
      <c r="T944" s="11"/>
      <c r="U944" s="11"/>
      <c r="V944" s="11"/>
      <c r="W944" s="11"/>
      <c r="X944" s="11"/>
      <c r="Y944" s="11"/>
      <c r="Z944" s="11"/>
    </row>
    <row r="945" customHeight="1" spans="1:26">
      <c r="A945" s="11" t="str">
        <f>IFERROR(__xludf.DUMMYFUNCTION("""COMPUTED_VALUE"""),"MARIA NATHALIA DA SILVA")</f>
        <v>MARIA NATHALIA DA SILVA</v>
      </c>
      <c r="B945" s="11"/>
      <c r="C945" s="11"/>
      <c r="D945" s="11"/>
      <c r="E945" s="11"/>
      <c r="F945" s="11"/>
      <c r="G945" s="11" t="str">
        <f>IFERROR(__xludf.DUMMYFUNCTION("""COMPUTED_VALUE"""),"US 400 USF UPINHA DIA DOM HELDER")</f>
        <v>US 400 USF UPINHA DIA DOM HELDER</v>
      </c>
      <c r="H945" s="27">
        <f>IFERROR(__xludf.DUMMYFUNCTION("""COMPUTED_VALUE"""),81999917139)</f>
        <v>81999917139</v>
      </c>
      <c r="I945" s="11"/>
      <c r="J945" s="11"/>
      <c r="K945" s="24">
        <f>IFERROR(__xludf.DUMMYFUNCTION("""COMPUTED_VALUE"""),45440)</f>
        <v>45440</v>
      </c>
      <c r="L945" s="11"/>
      <c r="M945" s="11"/>
      <c r="N945" s="11"/>
      <c r="O945" s="11"/>
      <c r="P945" s="11"/>
      <c r="Q945" s="11"/>
      <c r="R945" s="11"/>
      <c r="S945" s="11"/>
      <c r="T945" s="11"/>
      <c r="U945" s="11"/>
      <c r="V945" s="11"/>
      <c r="W945" s="11"/>
      <c r="X945" s="11"/>
      <c r="Y945" s="11"/>
      <c r="Z945" s="11"/>
    </row>
    <row r="946" customHeight="1" spans="1:26">
      <c r="A946" s="11" t="str">
        <f>IFERROR(__xludf.DUMMYFUNCTION("""COMPUTED_VALUE"""),"FLAVIO FULTON DE ALMEIDA PORTUGAL")</f>
        <v>FLAVIO FULTON DE ALMEIDA PORTUGAL</v>
      </c>
      <c r="B946" s="11"/>
      <c r="C946" s="11"/>
      <c r="D946" s="11" t="str">
        <f>IFERROR(__xludf.DUMMYFUNCTION("""COMPUTED_VALUE"""),"Médico eSF")</f>
        <v>Médico eSF</v>
      </c>
      <c r="E946" s="11" t="str">
        <f>IFERROR(__xludf.DUMMYFUNCTION("""COMPUTED_VALUE"""),"VII")</f>
        <v>VII</v>
      </c>
      <c r="F946" s="11" t="str">
        <f>IFERROR(__xludf.DUMMYFUNCTION("""COMPUTED_VALUE"""),"US_400 USF UPINHA DIA DOM HELDER")</f>
        <v>US_400 USF UPINHA DIA DOM HELDER</v>
      </c>
      <c r="G946" s="11" t="str">
        <f>IFERROR(__xludf.DUMMYFUNCTION("""COMPUTED_VALUE"""),"US 400 USF UPINHA DIA DOM HELDER")</f>
        <v>US 400 USF UPINHA DIA DOM HELDER</v>
      </c>
      <c r="H946" s="27">
        <f>IFERROR(__xludf.DUMMYFUNCTION("""COMPUTED_VALUE"""),81981581321)</f>
        <v>81981581321</v>
      </c>
      <c r="I946" s="27">
        <f>IFERROR(__xludf.DUMMYFUNCTION("""COMPUTED_VALUE"""),81988194580)</f>
        <v>81988194580</v>
      </c>
      <c r="J946" s="11"/>
      <c r="K946" s="24">
        <f>IFERROR(__xludf.DUMMYFUNCTION("""COMPUTED_VALUE"""),45152)</f>
        <v>45152</v>
      </c>
      <c r="L946" s="11"/>
      <c r="M946" s="28" t="str">
        <f>IFERROR(__xludf.DUMMYFUNCTION("""COMPUTED_VALUE"""),"3355-5401")</f>
        <v>3355-5401</v>
      </c>
      <c r="N946" s="11" t="str">
        <f>IFERROR(__xludf.DUMMYFUNCTION("""COMPUTED_VALUE"""),"flavio.fulton@yahoo.com")</f>
        <v>flavio.fulton@yahoo.com</v>
      </c>
      <c r="O946" s="29">
        <f>IFERROR(__xludf.DUMMYFUNCTION("""COMPUTED_VALUE"""),69125465791)</f>
        <v>69125465791</v>
      </c>
      <c r="P946" s="30" t="str">
        <f>IFERROR(__xludf.DUMMYFUNCTION("""COMPUTED_VALUE"""),"203834451100003")</f>
        <v>203834451100003</v>
      </c>
      <c r="Q946" s="30" t="str">
        <f>IFERROR(__xludf.DUMMYFUNCTION("""COMPUTED_VALUE"""),"7845367")</f>
        <v>7845367</v>
      </c>
      <c r="R946" s="30" t="str">
        <f>IFERROR(__xludf.DUMMYFUNCTION("""COMPUTED_VALUE"""),"0001592343")</f>
        <v>0001592343</v>
      </c>
      <c r="S946" s="30" t="str">
        <f>IFERROR(__xludf.DUMMYFUNCTION("""COMPUTED_VALUE"""),"1")</f>
        <v>1</v>
      </c>
      <c r="T946" s="30" t="str">
        <f>IFERROR(__xludf.DUMMYFUNCTION("""COMPUTED_VALUE"""),"225142")</f>
        <v>225142</v>
      </c>
      <c r="U946" s="31" t="str">
        <f>IFERROR(__xludf.DUMMYFUNCTION("""COMPUTED_VALUE"""),"2251")</f>
        <v>2251</v>
      </c>
      <c r="V946" s="11" t="str">
        <f>IFERROR(__xludf.DUMMYFUNCTION("""COMPUTED_VALUE"""),"SIM")</f>
        <v>SIM</v>
      </c>
      <c r="W946" s="11"/>
      <c r="X946" s="11">
        <f>IFERROR(__xludf.DUMMYFUNCTION("""COMPUTED_VALUE"""),81581321)</f>
        <v>81581321</v>
      </c>
      <c r="Y946" s="11">
        <f>IFERROR(__xludf.DUMMYFUNCTION("""COMPUTED_VALUE"""),30485274)</f>
        <v>30485274</v>
      </c>
      <c r="Z946" s="11">
        <f>IFERROR(__xludf.DUMMYFUNCTION("""COMPUTED_VALUE"""),69125465791)</f>
        <v>69125465791</v>
      </c>
    </row>
    <row r="947" customHeight="1" spans="1:26">
      <c r="A947" s="11" t="str">
        <f>IFERROR(__xludf.DUMMYFUNCTION("""COMPUTED_VALUE"""),"JOSE RICARDO ALBUQUERQUE DA COSTA")</f>
        <v>JOSE RICARDO ALBUQUERQUE DA COSTA</v>
      </c>
      <c r="B947" s="11"/>
      <c r="C947" s="11"/>
      <c r="D947" s="11" t="str">
        <f>IFERROR(__xludf.DUMMYFUNCTION("""COMPUTED_VALUE"""),"Médico eSF")</f>
        <v>Médico eSF</v>
      </c>
      <c r="E947" s="11" t="str">
        <f>IFERROR(__xludf.DUMMYFUNCTION("""COMPUTED_VALUE"""),"VII")</f>
        <v>VII</v>
      </c>
      <c r="F947" s="11" t="str">
        <f>IFERROR(__xludf.DUMMYFUNCTION("""COMPUTED_VALUE"""),"US_400 USF UPINHA DIA DOM HELDER")</f>
        <v>US_400 USF UPINHA DIA DOM HELDER</v>
      </c>
      <c r="G947" s="11" t="str">
        <f>IFERROR(__xludf.DUMMYFUNCTION("""COMPUTED_VALUE"""),"US 400 USF UPINHA DIA DOM HELDER")</f>
        <v>US 400 USF UPINHA DIA DOM HELDER</v>
      </c>
      <c r="H947" s="27">
        <f>IFERROR(__xludf.DUMMYFUNCTION("""COMPUTED_VALUE"""),83981512421)</f>
        <v>83981512421</v>
      </c>
      <c r="I947" s="11"/>
      <c r="J947" s="11"/>
      <c r="K947" s="11"/>
      <c r="L947" s="11"/>
      <c r="M947" s="28" t="str">
        <f>IFERROR(__xludf.DUMMYFUNCTION("""COMPUTED_VALUE"""),"3355-5401")</f>
        <v>3355-5401</v>
      </c>
      <c r="N947" s="11" t="str">
        <f>IFERROR(__xludf.DUMMYFUNCTION("""COMPUTED_VALUE"""),"jracmed@hotmail.com")</f>
        <v>jracmed@hotmail.com</v>
      </c>
      <c r="O947" s="29">
        <f>IFERROR(__xludf.DUMMYFUNCTION("""COMPUTED_VALUE"""),4584158479)</f>
        <v>4584158479</v>
      </c>
      <c r="P947" s="30" t="str">
        <f>IFERROR(__xludf.DUMMYFUNCTION("""COMPUTED_VALUE"""),"706809221295520")</f>
        <v>706809221295520</v>
      </c>
      <c r="Q947" s="30" t="str">
        <f>IFERROR(__xludf.DUMMYFUNCTION("""COMPUTED_VALUE"""),"7845367")</f>
        <v>7845367</v>
      </c>
      <c r="R947" s="30" t="str">
        <f>IFERROR(__xludf.DUMMYFUNCTION("""COMPUTED_VALUE"""),"0001591517")</f>
        <v>0001591517</v>
      </c>
      <c r="S947" s="30" t="str">
        <f>IFERROR(__xludf.DUMMYFUNCTION("""COMPUTED_VALUE"""),"1")</f>
        <v>1</v>
      </c>
      <c r="T947" s="30" t="str">
        <f>IFERROR(__xludf.DUMMYFUNCTION("""COMPUTED_VALUE"""),"225142")</f>
        <v>225142</v>
      </c>
      <c r="U947" s="31" t="str">
        <f>IFERROR(__xludf.DUMMYFUNCTION("""COMPUTED_VALUE"""),"2251")</f>
        <v>2251</v>
      </c>
      <c r="V947" s="11"/>
      <c r="W947" s="11"/>
      <c r="X947" s="11" t="str">
        <f>IFERROR(__xludf.DUMMYFUNCTION("""COMPUTED_VALUE"""),"#N/A")</f>
        <v>#N/A</v>
      </c>
      <c r="Y947" s="11" t="str">
        <f>IFERROR(__xludf.DUMMYFUNCTION("""COMPUTED_VALUE"""),"#N/A")</f>
        <v>#N/A</v>
      </c>
      <c r="Z947" s="11" t="str">
        <f>IFERROR(__xludf.DUMMYFUNCTION("""COMPUTED_VALUE"""),"#N/A")</f>
        <v>#N/A</v>
      </c>
    </row>
    <row r="948" customHeight="1" spans="1:26">
      <c r="A948" s="11" t="str">
        <f>IFERROR(__xludf.DUMMYFUNCTION("""COMPUTED_VALUE"""),"RITA DE CASSIA LOPES LEAO BARROS")</f>
        <v>RITA DE CASSIA LOPES LEAO BARROS</v>
      </c>
      <c r="B948" s="11" t="str">
        <f>IFERROR(__xludf.DUMMYFUNCTION("""COMPUTED_VALUE"""),"licença premium 01/12 a 30/12")</f>
        <v>licença premium 01/12 a 30/12</v>
      </c>
      <c r="C948" s="11"/>
      <c r="D948" s="11" t="str">
        <f>IFERROR(__xludf.DUMMYFUNCTION("""COMPUTED_VALUE"""),"Médica eSF")</f>
        <v>Médica eSF</v>
      </c>
      <c r="E948" s="11" t="str">
        <f>IFERROR(__xludf.DUMMYFUNCTION("""COMPUTED_VALUE"""),"VII")</f>
        <v>VII</v>
      </c>
      <c r="F948" s="11" t="str">
        <f>IFERROR(__xludf.DUMMYFUNCTION("""COMPUTED_VALUE"""),"US_400 USF UPINHA DIA DOM HELDER")</f>
        <v>US_400 USF UPINHA DIA DOM HELDER</v>
      </c>
      <c r="G948" s="11" t="str">
        <f>IFERROR(__xludf.DUMMYFUNCTION("""COMPUTED_VALUE"""),"US 400 USF UPINHA DIA DOM HELDER")</f>
        <v>US 400 USF UPINHA DIA DOM HELDER</v>
      </c>
      <c r="H948" s="27">
        <f>IFERROR(__xludf.DUMMYFUNCTION("""COMPUTED_VALUE"""),81999299766)</f>
        <v>81999299766</v>
      </c>
      <c r="I948" s="11"/>
      <c r="J948" s="11"/>
      <c r="K948" s="11"/>
      <c r="L948" s="11"/>
      <c r="M948" s="28" t="str">
        <f>IFERROR(__xludf.DUMMYFUNCTION("""COMPUTED_VALUE"""),"3355-5401")</f>
        <v>3355-5401</v>
      </c>
      <c r="N948" s="11" t="str">
        <f>IFERROR(__xludf.DUMMYFUNCTION("""COMPUTED_VALUE"""),"miratia@gmail.com")</f>
        <v>miratia@gmail.com</v>
      </c>
      <c r="O948" s="29">
        <f>IFERROR(__xludf.DUMMYFUNCTION("""COMPUTED_VALUE"""),5747136461)</f>
        <v>5747136461</v>
      </c>
      <c r="P948" s="30" t="str">
        <f>IFERROR(__xludf.DUMMYFUNCTION("""COMPUTED_VALUE"""),"980016295702983")</f>
        <v>980016295702983</v>
      </c>
      <c r="Q948" s="30" t="str">
        <f>IFERROR(__xludf.DUMMYFUNCTION("""COMPUTED_VALUE"""),"7845367")</f>
        <v>7845367</v>
      </c>
      <c r="R948" s="30" t="str">
        <f>IFERROR(__xludf.DUMMYFUNCTION("""COMPUTED_VALUE"""),"0001593935")</f>
        <v>0001593935</v>
      </c>
      <c r="S948" s="30" t="str">
        <f>IFERROR(__xludf.DUMMYFUNCTION("""COMPUTED_VALUE"""),"1")</f>
        <v>1</v>
      </c>
      <c r="T948" s="30" t="str">
        <f>IFERROR(__xludf.DUMMYFUNCTION("""COMPUTED_VALUE"""),"225142")</f>
        <v>225142</v>
      </c>
      <c r="U948" s="31" t="str">
        <f>IFERROR(__xludf.DUMMYFUNCTION("""COMPUTED_VALUE"""),"2251")</f>
        <v>2251</v>
      </c>
      <c r="V948" s="11" t="str">
        <f>IFERROR(__xludf.DUMMYFUNCTION("""COMPUTED_VALUE"""),"SIM")</f>
        <v>SIM</v>
      </c>
      <c r="W948" s="11"/>
      <c r="X948" s="11" t="str">
        <f>IFERROR(__xludf.DUMMYFUNCTION("""COMPUTED_VALUE"""),"#N/A")</f>
        <v>#N/A</v>
      </c>
      <c r="Y948" s="11" t="str">
        <f>IFERROR(__xludf.DUMMYFUNCTION("""COMPUTED_VALUE"""),"#N/A")</f>
        <v>#N/A</v>
      </c>
      <c r="Z948" s="11" t="str">
        <f>IFERROR(__xludf.DUMMYFUNCTION("""COMPUTED_VALUE"""),"#N/A")</f>
        <v>#N/A</v>
      </c>
    </row>
    <row r="949" customHeight="1" spans="1:26">
      <c r="A949" s="11" t="str">
        <f>IFERROR(__xludf.DUMMYFUNCTION("""COMPUTED_VALUE"""),"ANA CAROLINA SILVA DE LIMA")</f>
        <v>ANA CAROLINA SILVA DE LIMA</v>
      </c>
      <c r="B949" s="11"/>
      <c r="C949" s="11"/>
      <c r="D949" s="11" t="str">
        <f>IFERROR(__xludf.DUMMYFUNCTION("""COMPUTED_VALUE"""),"Dentista")</f>
        <v>Dentista</v>
      </c>
      <c r="E949" s="11" t="str">
        <f>IFERROR(__xludf.DUMMYFUNCTION("""COMPUTED_VALUE"""),"VIII")</f>
        <v>VIII</v>
      </c>
      <c r="F949" s="11" t="str">
        <f>IFERROR(__xludf.DUMMYFUNCTION("""COMPUTED_VALUE"""),"LOTAÇAO NAO IDENTIFICADA")</f>
        <v>LOTAÇAO NAO IDENTIFICADA</v>
      </c>
      <c r="G949" s="11" t="str">
        <f>IFERROR(__xludf.DUMMYFUNCTION("""COMPUTED_VALUE"""),"US 104 CS SEBASTIAO IVO RABELO")</f>
        <v>US 104 CS SEBASTIAO IVO RABELO</v>
      </c>
      <c r="H949" s="27">
        <f>IFERROR(__xludf.DUMMYFUNCTION("""COMPUTED_VALUE"""),81992624783)</f>
        <v>81992624783</v>
      </c>
      <c r="I949" s="11"/>
      <c r="J949" s="11"/>
      <c r="K949" s="11"/>
      <c r="L949" s="11"/>
      <c r="M949" s="28" t="str">
        <f>IFERROR(__xludf.DUMMYFUNCTION("""COMPUTED_VALUE"""),"3355-5445")</f>
        <v>3355-5445</v>
      </c>
      <c r="N949" s="11" t="str">
        <f>IFERROR(__xludf.DUMMYFUNCTION("""COMPUTED_VALUE"""),"carolslima1@hotmail.com")</f>
        <v>carolslima1@hotmail.com</v>
      </c>
      <c r="O949" s="29">
        <f>IFERROR(__xludf.DUMMYFUNCTION("""COMPUTED_VALUE"""),2354760485)</f>
        <v>2354760485</v>
      </c>
      <c r="P949" s="30" t="str">
        <f>IFERROR(__xludf.DUMMYFUNCTION("""COMPUTED_VALUE"""),"980016283727293")</f>
        <v>980016283727293</v>
      </c>
      <c r="Q949" s="30" t="str">
        <f>IFERROR(__xludf.DUMMYFUNCTION("""COMPUTED_VALUE"""),"0001082")</f>
        <v>0001082</v>
      </c>
      <c r="R949" s="30" t="str">
        <f>IFERROR(__xludf.DUMMYFUNCTION("""COMPUTED_VALUE"""),"0001847805")</f>
        <v>0001847805</v>
      </c>
      <c r="S949" s="30" t="str">
        <f>IFERROR(__xludf.DUMMYFUNCTION("""COMPUTED_VALUE"""),"1")</f>
        <v>1</v>
      </c>
      <c r="T949" s="30" t="str">
        <f>IFERROR(__xludf.DUMMYFUNCTION("""COMPUTED_VALUE"""),"223293")</f>
        <v>223293</v>
      </c>
      <c r="U949" s="31">
        <f>IFERROR(__xludf.DUMMYFUNCTION("""COMPUTED_VALUE"""),2232)</f>
        <v>2232</v>
      </c>
      <c r="V949" s="11"/>
      <c r="W949" s="11"/>
      <c r="X949" s="11"/>
      <c r="Y949" s="11"/>
      <c r="Z949" s="11"/>
    </row>
    <row r="950" customHeight="1" spans="1:26">
      <c r="A950" s="11" t="str">
        <f>IFERROR(__xludf.DUMMYFUNCTION("""COMPUTED_VALUE"""),"GUSTAVO DE SOUSA MOREIRA")</f>
        <v>GUSTAVO DE SOUSA MOREIRA</v>
      </c>
      <c r="B950" s="11"/>
      <c r="C950" s="11"/>
      <c r="D950" s="11" t="str">
        <f>IFERROR(__xludf.DUMMYFUNCTION("""COMPUTED_VALUE"""),"Médico Clínico")</f>
        <v>Médico Clínico</v>
      </c>
      <c r="E950" s="11" t="str">
        <f>IFERROR(__xludf.DUMMYFUNCTION("""COMPUTED_VALUE"""),"VIII")</f>
        <v>VIII</v>
      </c>
      <c r="F950" s="11" t="str">
        <f>IFERROR(__xludf.DUMMYFUNCTION("""COMPUTED_VALUE"""),"US_153 POLICLINICA E MATERNIDADE ARNALDO MARQUES")</f>
        <v>US_153 POLICLINICA E MATERNIDADE ARNALDO MARQUES</v>
      </c>
      <c r="G950" s="11" t="str">
        <f>IFERROR(__xludf.DUMMYFUNCTION("""COMPUTED_VALUE"""),"US 104 CS SEBASTIAO IVO RABELO")</f>
        <v>US 104 CS SEBASTIAO IVO RABELO</v>
      </c>
      <c r="H950" s="11"/>
      <c r="I950" s="11"/>
      <c r="J950" s="11"/>
      <c r="K950" s="11"/>
      <c r="L950" s="11"/>
      <c r="M950" s="28" t="str">
        <f>IFERROR(__xludf.DUMMYFUNCTION("""COMPUTED_VALUE"""),"3355-5445")</f>
        <v>3355-5445</v>
      </c>
      <c r="N950" s="11" t="str">
        <f>IFERROR(__xludf.DUMMYFUNCTION("""COMPUTED_VALUE"""),"gustmoreira@globo.com")</f>
        <v>gustmoreira@globo.com</v>
      </c>
      <c r="O950" s="29">
        <f>IFERROR(__xludf.DUMMYFUNCTION("""COMPUTED_VALUE"""),2798473438)</f>
        <v>2798473438</v>
      </c>
      <c r="P950" s="30" t="str">
        <f>IFERROR(__xludf.DUMMYFUNCTION("""COMPUTED_VALUE"""),"980016284692698")</f>
        <v>980016284692698</v>
      </c>
      <c r="Q950" s="30" t="str">
        <f>IFERROR(__xludf.DUMMYFUNCTION("""COMPUTED_VALUE"""),"0001082")</f>
        <v>0001082</v>
      </c>
      <c r="R950" s="11"/>
      <c r="S950" s="30" t="str">
        <f>IFERROR(__xludf.DUMMYFUNCTION("""COMPUTED_VALUE"""),"1")</f>
        <v>1</v>
      </c>
      <c r="T950" s="30" t="str">
        <f>IFERROR(__xludf.DUMMYFUNCTION("""COMPUTED_VALUE"""),"225125")</f>
        <v>225125</v>
      </c>
      <c r="U950" s="31" t="str">
        <f>IFERROR(__xludf.DUMMYFUNCTION("""COMPUTED_VALUE"""),"2251")</f>
        <v>2251</v>
      </c>
      <c r="V950" s="11"/>
      <c r="W950" s="11"/>
      <c r="X950" s="11"/>
      <c r="Y950" s="11"/>
      <c r="Z950" s="11"/>
    </row>
    <row r="951" customHeight="1" spans="1:26">
      <c r="A951" s="11" t="str">
        <f>IFERROR(__xludf.DUMMYFUNCTION("""COMPUTED_VALUE"""),"JAIMILSON CAVALCANTI")</f>
        <v>JAIMILSON CAVALCANTI</v>
      </c>
      <c r="B951" s="11"/>
      <c r="C951" s="11"/>
      <c r="D951" s="11" t="str">
        <f>IFERROR(__xludf.DUMMYFUNCTION("""COMPUTED_VALUE"""),"Dentista")</f>
        <v>Dentista</v>
      </c>
      <c r="E951" s="11" t="str">
        <f>IFERROR(__xludf.DUMMYFUNCTION("""COMPUTED_VALUE"""),"VIII")</f>
        <v>VIII</v>
      </c>
      <c r="F951" s="11" t="str">
        <f>IFERROR(__xludf.DUMMYFUNCTION("""COMPUTED_VALUE"""),"US_104 CS SEBASTIAO IVO RABELO")</f>
        <v>US_104 CS SEBASTIAO IVO RABELO</v>
      </c>
      <c r="G951" s="11" t="str">
        <f>IFERROR(__xludf.DUMMYFUNCTION("""COMPUTED_VALUE"""),"US 104 CS SEBASTIAO IVO RABELO")</f>
        <v>US 104 CS SEBASTIAO IVO RABELO</v>
      </c>
      <c r="H951" s="27">
        <f>IFERROR(__xludf.DUMMYFUNCTION("""COMPUTED_VALUE"""),81997215211)</f>
        <v>81997215211</v>
      </c>
      <c r="I951" s="11"/>
      <c r="J951" s="11"/>
      <c r="K951" s="11"/>
      <c r="L951" s="11"/>
      <c r="M951" s="28" t="str">
        <f>IFERROR(__xludf.DUMMYFUNCTION("""COMPUTED_VALUE"""),"3355-5445")</f>
        <v>3355-5445</v>
      </c>
      <c r="N951" s="11" t="str">
        <f>IFERROR(__xludf.DUMMYFUNCTION("""COMPUTED_VALUE"""),"jaimilson2005@hotmail.com")</f>
        <v>jaimilson2005@hotmail.com</v>
      </c>
      <c r="O951" s="29">
        <f>IFERROR(__xludf.DUMMYFUNCTION("""COMPUTED_VALUE"""),41211642453)</f>
        <v>41211642453</v>
      </c>
      <c r="P951" s="30" t="str">
        <f>IFERROR(__xludf.DUMMYFUNCTION("""COMPUTED_VALUE"""),"170330001870003")</f>
        <v>170330001870003</v>
      </c>
      <c r="Q951" s="30" t="str">
        <f>IFERROR(__xludf.DUMMYFUNCTION("""COMPUTED_VALUE"""),"0001082")</f>
        <v>0001082</v>
      </c>
      <c r="R951" s="30" t="str">
        <f>IFERROR(__xludf.DUMMYFUNCTION("""COMPUTED_VALUE"""),"9000108201")</f>
        <v>9000108201</v>
      </c>
      <c r="S951" s="30" t="str">
        <f>IFERROR(__xludf.DUMMYFUNCTION("""COMPUTED_VALUE"""),"1")</f>
        <v>1</v>
      </c>
      <c r="T951" s="30" t="str">
        <f>IFERROR(__xludf.DUMMYFUNCTION("""COMPUTED_VALUE"""),"223208 ")</f>
        <v>223208 </v>
      </c>
      <c r="U951" s="31">
        <f>IFERROR(__xludf.DUMMYFUNCTION("""COMPUTED_VALUE"""),2232)</f>
        <v>2232</v>
      </c>
      <c r="V951" s="11"/>
      <c r="W951" s="11"/>
      <c r="X951" s="11"/>
      <c r="Y951" s="11"/>
      <c r="Z951" s="11"/>
    </row>
    <row r="952" customHeight="1" spans="1:26">
      <c r="A952" s="11" t="str">
        <f>IFERROR(__xludf.DUMMYFUNCTION("""COMPUTED_VALUE"""),"MARCOS DE ASSIS LIMA")</f>
        <v>MARCOS DE ASSIS LIMA</v>
      </c>
      <c r="B952" s="11"/>
      <c r="C952" s="11"/>
      <c r="D952" s="11" t="str">
        <f>IFERROR(__xludf.DUMMYFUNCTION("""COMPUTED_VALUE"""),"Médico Ginecologista")</f>
        <v>Médico Ginecologista</v>
      </c>
      <c r="E952" s="11" t="str">
        <f>IFERROR(__xludf.DUMMYFUNCTION("""COMPUTED_VALUE"""),"VIII")</f>
        <v>VIII</v>
      </c>
      <c r="F952" s="11" t="str">
        <f>IFERROR(__xludf.DUMMYFUNCTION("""COMPUTED_VALUE"""),"US_104 CS SEBASTIAO IVO RABELO")</f>
        <v>US_104 CS SEBASTIAO IVO RABELO</v>
      </c>
      <c r="G952" s="11" t="str">
        <f>IFERROR(__xludf.DUMMYFUNCTION("""COMPUTED_VALUE"""),"US 104 CS SEBASTIAO IVO RABELO")</f>
        <v>US 104 CS SEBASTIAO IVO RABELO</v>
      </c>
      <c r="H952" s="27">
        <f>IFERROR(__xludf.DUMMYFUNCTION("""COMPUTED_VALUE"""),81988821614)</f>
        <v>81988821614</v>
      </c>
      <c r="I952" s="11"/>
      <c r="J952" s="11"/>
      <c r="K952" s="11"/>
      <c r="L952" s="11"/>
      <c r="M952" s="28" t="str">
        <f>IFERROR(__xludf.DUMMYFUNCTION("""COMPUTED_VALUE"""),"3355-5445")</f>
        <v>3355-5445</v>
      </c>
      <c r="N952" s="11" t="str">
        <f>IFERROR(__xludf.DUMMYFUNCTION("""COMPUTED_VALUE"""),"marcosdeassis@hotmail.com")</f>
        <v>marcosdeassis@hotmail.com</v>
      </c>
      <c r="O952" s="29">
        <f>IFERROR(__xludf.DUMMYFUNCTION("""COMPUTED_VALUE"""),9409068487)</f>
        <v>9409068487</v>
      </c>
      <c r="P952" s="30" t="str">
        <f>IFERROR(__xludf.DUMMYFUNCTION("""COMPUTED_VALUE"""),"170130751490004")</f>
        <v>170130751490004</v>
      </c>
      <c r="Q952" s="30" t="str">
        <f>IFERROR(__xludf.DUMMYFUNCTION("""COMPUTED_VALUE"""),"0001082")</f>
        <v>0001082</v>
      </c>
      <c r="R952" s="11"/>
      <c r="S952" s="30" t="str">
        <f>IFERROR(__xludf.DUMMYFUNCTION("""COMPUTED_VALUE"""),"1")</f>
        <v>1</v>
      </c>
      <c r="T952" s="30" t="str">
        <f>IFERROR(__xludf.DUMMYFUNCTION("""COMPUTED_VALUE"""),"225250")</f>
        <v>225250</v>
      </c>
      <c r="U952" s="31">
        <f>IFERROR(__xludf.DUMMYFUNCTION("""COMPUTED_VALUE"""),2252)</f>
        <v>2252</v>
      </c>
      <c r="V952" s="11"/>
      <c r="W952" s="30" t="str">
        <f>IFERROR(__xludf.DUMMYFUNCTION("""COMPUTED_VALUE"""),"11/10/1951")</f>
        <v>11/10/1951</v>
      </c>
      <c r="X952" s="11">
        <f>IFERROR(__xludf.DUMMYFUNCTION("""COMPUTED_VALUE"""),32711614)</f>
        <v>32711614</v>
      </c>
      <c r="Y952" s="11">
        <f>IFERROR(__xludf.DUMMYFUNCTION("""COMPUTED_VALUE"""),88821614)</f>
        <v>88821614</v>
      </c>
      <c r="Z952" s="11">
        <f>IFERROR(__xludf.DUMMYFUNCTION("""COMPUTED_VALUE"""),9409068487)</f>
        <v>9409068487</v>
      </c>
    </row>
    <row r="953" customHeight="1" spans="1:26">
      <c r="A953" s="11" t="str">
        <f>IFERROR(__xludf.DUMMYFUNCTION("""COMPUTED_VALUE"""),"MARIA DAS GRACAS PEREIRA DA SILVA")</f>
        <v>MARIA DAS GRACAS PEREIRA DA SILVA</v>
      </c>
      <c r="B953" s="11"/>
      <c r="C953" s="11"/>
      <c r="D953" s="11" t="str">
        <f>IFERROR(__xludf.DUMMYFUNCTION("""COMPUTED_VALUE"""),"Enfermeira")</f>
        <v>Enfermeira</v>
      </c>
      <c r="E953" s="11" t="str">
        <f>IFERROR(__xludf.DUMMYFUNCTION("""COMPUTED_VALUE"""),"VIII")</f>
        <v>VIII</v>
      </c>
      <c r="F953" s="11" t="str">
        <f>IFERROR(__xludf.DUMMYFUNCTION("""COMPUTED_VALUE"""),"US_104 CS SEBASTIAO IVO RABELO")</f>
        <v>US_104 CS SEBASTIAO IVO RABELO</v>
      </c>
      <c r="G953" s="11" t="str">
        <f>IFERROR(__xludf.DUMMYFUNCTION("""COMPUTED_VALUE"""),"US 104 CS SEBASTIAO IVO RABELO")</f>
        <v>US 104 CS SEBASTIAO IVO RABELO</v>
      </c>
      <c r="H953" s="27">
        <f>IFERROR(__xludf.DUMMYFUNCTION("""COMPUTED_VALUE"""),81994391672)</f>
        <v>81994391672</v>
      </c>
      <c r="I953" s="11"/>
      <c r="J953" s="11"/>
      <c r="K953" s="11"/>
      <c r="L953" s="11"/>
      <c r="M953" s="28" t="str">
        <f>IFERROR(__xludf.DUMMYFUNCTION("""COMPUTED_VALUE"""),"3355-5445")</f>
        <v>3355-5445</v>
      </c>
      <c r="N953" s="11" t="str">
        <f>IFERROR(__xludf.DUMMYFUNCTION("""COMPUTED_VALUE"""),"MGRACIT@HOTMAIL.COM")</f>
        <v>MGRACIT@HOTMAIL.COM</v>
      </c>
      <c r="O953" s="29">
        <f>IFERROR(__xludf.DUMMYFUNCTION("""COMPUTED_VALUE"""),41457196468)</f>
        <v>41457196468</v>
      </c>
      <c r="P953" s="30" t="str">
        <f>IFERROR(__xludf.DUMMYFUNCTION("""COMPUTED_VALUE"""),"980016277185301")</f>
        <v>980016277185301</v>
      </c>
      <c r="Q953" s="30" t="str">
        <f>IFERROR(__xludf.DUMMYFUNCTION("""COMPUTED_VALUE"""),"0001082")</f>
        <v>0001082</v>
      </c>
      <c r="R953" s="11"/>
      <c r="S953" s="30" t="str">
        <f>IFERROR(__xludf.DUMMYFUNCTION("""COMPUTED_VALUE"""),"1")</f>
        <v>1</v>
      </c>
      <c r="T953" s="30" t="str">
        <f>IFERROR(__xludf.DUMMYFUNCTION("""COMPUTED_VALUE"""),"223505")</f>
        <v>223505</v>
      </c>
      <c r="U953" s="31">
        <f>IFERROR(__xludf.DUMMYFUNCTION("""COMPUTED_VALUE"""),2235)</f>
        <v>2235</v>
      </c>
      <c r="V953" s="11"/>
      <c r="W953" s="11"/>
      <c r="X953" s="11"/>
      <c r="Y953" s="11"/>
      <c r="Z953" s="11"/>
    </row>
    <row r="954" customHeight="1" spans="1:26">
      <c r="A954" s="11" t="str">
        <f>IFERROR(__xludf.DUMMYFUNCTION("""COMPUTED_VALUE"""),"MONICA NOLETO DE SAMPAIO 104")</f>
        <v>MONICA NOLETO DE SAMPAIO 104</v>
      </c>
      <c r="B954" s="11"/>
      <c r="C954" s="11"/>
      <c r="D954" s="11" t="str">
        <f>IFERROR(__xludf.DUMMYFUNCTION("""COMPUTED_VALUE"""),"Médica Clínica")</f>
        <v>Médica Clínica</v>
      </c>
      <c r="E954" s="11" t="str">
        <f>IFERROR(__xludf.DUMMYFUNCTION("""COMPUTED_VALUE"""),"VIII")</f>
        <v>VIII</v>
      </c>
      <c r="F954" s="11" t="str">
        <f>IFERROR(__xludf.DUMMYFUNCTION("""COMPUTED_VALUE"""),"US_104 CS SEBASTIAO IVO RABELO")</f>
        <v>US_104 CS SEBASTIAO IVO RABELO</v>
      </c>
      <c r="G954" s="11" t="str">
        <f>IFERROR(__xludf.DUMMYFUNCTION("""COMPUTED_VALUE"""),"US 104 CS SEBASTIAO IVO RABELO")</f>
        <v>US 104 CS SEBASTIAO IVO RABELO</v>
      </c>
      <c r="H954" s="27">
        <f>IFERROR(__xludf.DUMMYFUNCTION("""COMPUTED_VALUE"""),81996150664)</f>
        <v>81996150664</v>
      </c>
      <c r="I954" s="11"/>
      <c r="J954" s="11"/>
      <c r="K954" s="11"/>
      <c r="L954" s="11"/>
      <c r="M954" s="28" t="str">
        <f>IFERROR(__xludf.DUMMYFUNCTION("""COMPUTED_VALUE"""),"3355-5445")</f>
        <v>3355-5445</v>
      </c>
      <c r="N954" s="11" t="str">
        <f>IFERROR(__xludf.DUMMYFUNCTION("""COMPUTED_VALUE"""),"msampaio_6@hotmail.com")</f>
        <v>msampaio_6@hotmail.com</v>
      </c>
      <c r="O954" s="29">
        <f>IFERROR(__xludf.DUMMYFUNCTION("""COMPUTED_VALUE"""),38682699400)</f>
        <v>38682699400</v>
      </c>
      <c r="P954" s="30" t="str">
        <f>IFERROR(__xludf.DUMMYFUNCTION("""COMPUTED_VALUE"""),"206066767530001")</f>
        <v>206066767530001</v>
      </c>
      <c r="Q954" s="30" t="str">
        <f>IFERROR(__xludf.DUMMYFUNCTION("""COMPUTED_VALUE"""),"0001082")</f>
        <v>0001082</v>
      </c>
      <c r="R954" s="11"/>
      <c r="S954" s="30" t="str">
        <f>IFERROR(__xludf.DUMMYFUNCTION("""COMPUTED_VALUE"""),"1")</f>
        <v>1</v>
      </c>
      <c r="T954" s="30" t="str">
        <f>IFERROR(__xludf.DUMMYFUNCTION("""COMPUTED_VALUE"""),"225125")</f>
        <v>225125</v>
      </c>
      <c r="U954" s="31">
        <f>IFERROR(__xludf.DUMMYFUNCTION("""COMPUTED_VALUE"""),2251)</f>
        <v>2251</v>
      </c>
      <c r="V954" s="11"/>
      <c r="W954" s="30" t="str">
        <f>IFERROR(__xludf.DUMMYFUNCTION("""COMPUTED_VALUE"""),"29/04/1960")</f>
        <v>29/04/1960</v>
      </c>
      <c r="X954" s="11" t="str">
        <f>IFERROR(__xludf.DUMMYFUNCTION("""COMPUTED_VALUE"""),"#N/A")</f>
        <v>#N/A</v>
      </c>
      <c r="Y954" s="11" t="str">
        <f>IFERROR(__xludf.DUMMYFUNCTION("""COMPUTED_VALUE"""),"#N/A")</f>
        <v>#N/A</v>
      </c>
      <c r="Z954" s="11" t="str">
        <f>IFERROR(__xludf.DUMMYFUNCTION("""COMPUTED_VALUE"""),"#N/A")</f>
        <v>#N/A</v>
      </c>
    </row>
    <row r="955" customHeight="1" spans="1:26">
      <c r="A955" s="11" t="str">
        <f>IFERROR(__xludf.DUMMYFUNCTION("""COMPUTED_VALUE"""),"NIEDJA MARIA VIDAL PIRES DE CARVALHO")</f>
        <v>NIEDJA MARIA VIDAL PIRES DE CARVALHO</v>
      </c>
      <c r="B955" s="11"/>
      <c r="C955" s="11"/>
      <c r="D955" s="11" t="str">
        <f>IFERROR(__xludf.DUMMYFUNCTION("""COMPUTED_VALUE"""),"Enfermeira")</f>
        <v>Enfermeira</v>
      </c>
      <c r="E955" s="11" t="str">
        <f>IFERROR(__xludf.DUMMYFUNCTION("""COMPUTED_VALUE"""),"VIII")</f>
        <v>VIII</v>
      </c>
      <c r="F955" s="11" t="str">
        <f>IFERROR(__xludf.DUMMYFUNCTION("""COMPUTED_VALUE"""),"US_228 USF UPINHA DIA DES JOSE MANOEL DE FREITAS UR 4UR 5")</f>
        <v>US_228 USF UPINHA DIA DES JOSE MANOEL DE FREITAS UR 4UR 5</v>
      </c>
      <c r="G955" s="11" t="str">
        <f>IFERROR(__xludf.DUMMYFUNCTION("""COMPUTED_VALUE"""),"US 104 CS SEBASTIAO IVO RABELO")</f>
        <v>US 104 CS SEBASTIAO IVO RABELO</v>
      </c>
      <c r="H955" s="27">
        <f>IFERROR(__xludf.DUMMYFUNCTION("""COMPUTED_VALUE"""),81986765559)</f>
        <v>81986765559</v>
      </c>
      <c r="I955" s="11"/>
      <c r="J955" s="11"/>
      <c r="K955" s="11"/>
      <c r="L955" s="11"/>
      <c r="M955" s="28" t="str">
        <f>IFERROR(__xludf.DUMMYFUNCTION("""COMPUTED_VALUE"""),"3355-5445")</f>
        <v>3355-5445</v>
      </c>
      <c r="N955" s="11" t="str">
        <f>IFERROR(__xludf.DUMMYFUNCTION("""COMPUTED_VALUE"""),"niedjavidal@hotmail.com.br")</f>
        <v>niedjavidal@hotmail.com.br</v>
      </c>
      <c r="O955" s="29">
        <f>IFERROR(__xludf.DUMMYFUNCTION("""COMPUTED_VALUE"""),64321320453)</f>
        <v>64321320453</v>
      </c>
      <c r="P955" s="30" t="str">
        <f>IFERROR(__xludf.DUMMYFUNCTION("""COMPUTED_VALUE"""),"170349565000007")</f>
        <v>170349565000007</v>
      </c>
      <c r="Q955" s="30" t="str">
        <f>IFERROR(__xludf.DUMMYFUNCTION("""COMPUTED_VALUE"""),"0001082")</f>
        <v>0001082</v>
      </c>
      <c r="R955" s="11"/>
      <c r="S955" s="30" t="str">
        <f>IFERROR(__xludf.DUMMYFUNCTION("""COMPUTED_VALUE"""),"1")</f>
        <v>1</v>
      </c>
      <c r="T955" s="30" t="str">
        <f>IFERROR(__xludf.DUMMYFUNCTION("""COMPUTED_VALUE"""),"223505")</f>
        <v>223505</v>
      </c>
      <c r="U955" s="31">
        <f>IFERROR(__xludf.DUMMYFUNCTION("""COMPUTED_VALUE"""),2235)</f>
        <v>2235</v>
      </c>
      <c r="V955" s="11"/>
      <c r="W955" s="11">
        <f>IFERROR(__xludf.DUMMYFUNCTION("""COMPUTED_VALUE"""),86765559)</f>
        <v>86765559</v>
      </c>
      <c r="X955" s="11">
        <f>IFERROR(__xludf.DUMMYFUNCTION("""COMPUTED_VALUE"""),30366583)</f>
        <v>30366583</v>
      </c>
      <c r="Y955" s="11">
        <f>IFERROR(__xludf.DUMMYFUNCTION("""COMPUTED_VALUE"""),64321320453)</f>
        <v>64321320453</v>
      </c>
      <c r="Z955" s="11"/>
    </row>
    <row r="956" customHeight="1" spans="1:2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customHeight="1" spans="1:26">
      <c r="A957" s="11" t="str">
        <f>IFERROR(__xludf.DUMMYFUNCTION("""COMPUTED_VALUE"""),"VERONICA GALVAO FREIRES CISNEIROS")</f>
        <v>VERONICA GALVAO FREIRES CISNEIROS</v>
      </c>
      <c r="B957" s="11"/>
      <c r="C957" s="11"/>
      <c r="D957" s="11" t="str">
        <f>IFERROR(__xludf.DUMMYFUNCTION("""COMPUTED_VALUE"""),"Médica Clínica")</f>
        <v>Médica Clínica</v>
      </c>
      <c r="E957" s="11" t="str">
        <f>IFERROR(__xludf.DUMMYFUNCTION("""COMPUTED_VALUE"""),"VIII")</f>
        <v>VIII</v>
      </c>
      <c r="F957" s="11" t="str">
        <f>IFERROR(__xludf.DUMMYFUNCTION("""COMPUTED_VALUE"""),"GERENCIA GERAL DE MONITORAMENTO DE GESTAO DISTRITAL ")</f>
        <v>GERENCIA GERAL DE MONITORAMENTO DE GESTAO DISTRITAL </v>
      </c>
      <c r="G957" s="11" t="str">
        <f>IFERROR(__xludf.DUMMYFUNCTION("""COMPUTED_VALUE"""),"US 104 CS SEBASTIAO IVO RABELO")</f>
        <v>US 104 CS SEBASTIAO IVO RABELO</v>
      </c>
      <c r="H957" s="27">
        <f>IFERROR(__xludf.DUMMYFUNCTION("""COMPUTED_VALUE"""),81993271015)</f>
        <v>81993271015</v>
      </c>
      <c r="I957" s="27">
        <f>IFERROR(__xludf.DUMMYFUNCTION("""COMPUTED_VALUE"""),81999792069)</f>
        <v>81999792069</v>
      </c>
      <c r="J957" s="11"/>
      <c r="K957" s="11"/>
      <c r="L957" s="11"/>
      <c r="M957" s="28" t="str">
        <f>IFERROR(__xludf.DUMMYFUNCTION("""COMPUTED_VALUE"""),"3355-5445")</f>
        <v>3355-5445</v>
      </c>
      <c r="N957" s="11" t="str">
        <f>IFERROR(__xludf.DUMMYFUNCTION("""COMPUTED_VALUE"""),"veronica.cisneiros@gmail.com")</f>
        <v>veronica.cisneiros@gmail.com</v>
      </c>
      <c r="O957" s="29">
        <f>IFERROR(__xludf.DUMMYFUNCTION("""COMPUTED_VALUE"""),30222966491)</f>
        <v>30222966491</v>
      </c>
      <c r="P957" s="30" t="str">
        <f>IFERROR(__xludf.DUMMYFUNCTION("""COMPUTED_VALUE"""),"204323343480005")</f>
        <v>204323343480005</v>
      </c>
      <c r="Q957" s="30" t="str">
        <f>IFERROR(__xludf.DUMMYFUNCTION("""COMPUTED_VALUE"""),"0001082")</f>
        <v>0001082</v>
      </c>
      <c r="R957" s="11"/>
      <c r="S957" s="30" t="str">
        <f>IFERROR(__xludf.DUMMYFUNCTION("""COMPUTED_VALUE"""),"1")</f>
        <v>1</v>
      </c>
      <c r="T957" s="30" t="str">
        <f>IFERROR(__xludf.DUMMYFUNCTION("""COMPUTED_VALUE"""),"225125")</f>
        <v>225125</v>
      </c>
      <c r="U957" s="31">
        <f>IFERROR(__xludf.DUMMYFUNCTION("""COMPUTED_VALUE"""),2251)</f>
        <v>2251</v>
      </c>
      <c r="V957" s="11"/>
      <c r="W957" s="11"/>
      <c r="X957" s="11"/>
      <c r="Y957" s="11"/>
      <c r="Z957" s="11"/>
    </row>
    <row r="958" customHeight="1" spans="1:26">
      <c r="A958" s="11" t="str">
        <f>IFERROR(__xludf.DUMMYFUNCTION("""COMPUTED_VALUE"""),"VITORIA LUCIA LACERDA DE MEDEIROS")</f>
        <v>VITORIA LUCIA LACERDA DE MEDEIROS</v>
      </c>
      <c r="B958" s="11"/>
      <c r="C958" s="11"/>
      <c r="D958" s="11" t="str">
        <f>IFERROR(__xludf.DUMMYFUNCTION("""COMPUTED_VALUE"""),"Médica Ginecologista")</f>
        <v>Médica Ginecologista</v>
      </c>
      <c r="E958" s="11" t="str">
        <f>IFERROR(__xludf.DUMMYFUNCTION("""COMPUTED_VALUE"""),"VIII")</f>
        <v>VIII</v>
      </c>
      <c r="F958" s="11" t="str">
        <f>IFERROR(__xludf.DUMMYFUNCTION("""COMPUTED_VALUE"""),"US_104 CS SEBASTIAO IVO RABELO")</f>
        <v>US_104 CS SEBASTIAO IVO RABELO</v>
      </c>
      <c r="G958" s="11" t="str">
        <f>IFERROR(__xludf.DUMMYFUNCTION("""COMPUTED_VALUE"""),"US 104 CS SEBASTIAO IVO RABELO")</f>
        <v>US 104 CS SEBASTIAO IVO RABELO</v>
      </c>
      <c r="H958" s="27">
        <f>IFERROR(__xludf.DUMMYFUNCTION("""COMPUTED_VALUE"""),81999757987)</f>
        <v>81999757987</v>
      </c>
      <c r="I958" s="11"/>
      <c r="J958" s="11"/>
      <c r="K958" s="11"/>
      <c r="L958" s="11"/>
      <c r="M958" s="28" t="str">
        <f>IFERROR(__xludf.DUMMYFUNCTION("""COMPUTED_VALUE"""),"3355-5445")</f>
        <v>3355-5445</v>
      </c>
      <c r="N958" s="11" t="str">
        <f>IFERROR(__xludf.DUMMYFUNCTION("""COMPUTED_VALUE"""),"vitorialmedeiros@uol.com.br")</f>
        <v>vitorialmedeiros@uol.com.br</v>
      </c>
      <c r="O958" s="29">
        <f>IFERROR(__xludf.DUMMYFUNCTION("""COMPUTED_VALUE"""),41798910420)</f>
        <v>41798910420</v>
      </c>
      <c r="P958" s="30" t="str">
        <f>IFERROR(__xludf.DUMMYFUNCTION("""COMPUTED_VALUE"""),"124376887590000")</f>
        <v>124376887590000</v>
      </c>
      <c r="Q958" s="30" t="str">
        <f>IFERROR(__xludf.DUMMYFUNCTION("""COMPUTED_VALUE"""),"0001082")</f>
        <v>0001082</v>
      </c>
      <c r="R958" s="11"/>
      <c r="S958" s="30" t="str">
        <f>IFERROR(__xludf.DUMMYFUNCTION("""COMPUTED_VALUE"""),"1")</f>
        <v>1</v>
      </c>
      <c r="T958" s="30" t="str">
        <f>IFERROR(__xludf.DUMMYFUNCTION("""COMPUTED_VALUE"""),"225250")</f>
        <v>225250</v>
      </c>
      <c r="U958" s="31">
        <f>IFERROR(__xludf.DUMMYFUNCTION("""COMPUTED_VALUE"""),2252)</f>
        <v>2252</v>
      </c>
      <c r="V958" s="11"/>
      <c r="W958" s="30" t="str">
        <f>IFERROR(__xludf.DUMMYFUNCTION("""COMPUTED_VALUE"""),"14/05/1965")</f>
        <v>14/05/1965</v>
      </c>
      <c r="X958" s="11" t="str">
        <f>IFERROR(__xludf.DUMMYFUNCTION("""COMPUTED_VALUE"""),"813343-5269")</f>
        <v>813343-5269</v>
      </c>
      <c r="Y958" s="11">
        <f>IFERROR(__xludf.DUMMYFUNCTION("""COMPUTED_VALUE"""),81999757987)</f>
        <v>81999757987</v>
      </c>
      <c r="Z958" s="11">
        <f>IFERROR(__xludf.DUMMYFUNCTION("""COMPUTED_VALUE"""),41798910420)</f>
        <v>41798910420</v>
      </c>
    </row>
    <row r="959" customHeight="1" spans="1:26">
      <c r="A959" s="11" t="str">
        <f>IFERROR(__xludf.DUMMYFUNCTION("""COMPUTED_VALUE"""),"YSOLDA MAIA DE ALBUQUERQUE")</f>
        <v>YSOLDA MAIA DE ALBUQUERQUE</v>
      </c>
      <c r="B959" s="11" t="str">
        <f>IFERROR(__xludf.DUMMYFUNCTION("""COMPUTED_VALUE"""),"RECUSA TELECONSULTORIA")</f>
        <v>RECUSA TELECONSULTORIA</v>
      </c>
      <c r="C959" s="11"/>
      <c r="D959" s="11" t="str">
        <f>IFERROR(__xludf.DUMMYFUNCTION("""COMPUTED_VALUE"""),"Médica Clínica")</f>
        <v>Médica Clínica</v>
      </c>
      <c r="E959" s="11" t="str">
        <f>IFERROR(__xludf.DUMMYFUNCTION("""COMPUTED_VALUE"""),"VIII")</f>
        <v>VIII</v>
      </c>
      <c r="F959" s="11" t="str">
        <f>IFERROR(__xludf.DUMMYFUNCTION("""COMPUTED_VALUE"""),"US_104 CS SEBASTIAO IVO RABELO")</f>
        <v>US_104 CS SEBASTIAO IVO RABELO</v>
      </c>
      <c r="G959" s="11" t="str">
        <f>IFERROR(__xludf.DUMMYFUNCTION("""COMPUTED_VALUE"""),"US 104 CS SEBASTIAO IVO RABELO")</f>
        <v>US 104 CS SEBASTIAO IVO RABELO</v>
      </c>
      <c r="H959" s="27">
        <f>IFERROR(__xludf.DUMMYFUNCTION("""COMPUTED_VALUE"""),81999773876)</f>
        <v>81999773876</v>
      </c>
      <c r="I959" s="11"/>
      <c r="J959" s="11"/>
      <c r="K959" s="11"/>
      <c r="L959" s="28" t="str">
        <f>IFERROR(__xludf.DUMMYFUNCTION("""COMPUTED_VALUE"""),"X")</f>
        <v>X</v>
      </c>
      <c r="M959" s="28" t="str">
        <f>IFERROR(__xludf.DUMMYFUNCTION("""COMPUTED_VALUE"""),"3355-5445")</f>
        <v>3355-5445</v>
      </c>
      <c r="N959" s="11" t="str">
        <f>IFERROR(__xludf.DUMMYFUNCTION("""COMPUTED_VALUE"""),"ysolda@terra.com.br")</f>
        <v>ysolda@terra.com.br</v>
      </c>
      <c r="O959" s="29">
        <f>IFERROR(__xludf.DUMMYFUNCTION("""COMPUTED_VALUE"""),33162700434)</f>
        <v>33162700434</v>
      </c>
      <c r="P959" s="30" t="str">
        <f>IFERROR(__xludf.DUMMYFUNCTION("""COMPUTED_VALUE"""),"170377052230008")</f>
        <v>170377052230008</v>
      </c>
      <c r="Q959" s="30" t="str">
        <f>IFERROR(__xludf.DUMMYFUNCTION("""COMPUTED_VALUE"""),"0001082")</f>
        <v>0001082</v>
      </c>
      <c r="R959" s="11"/>
      <c r="S959" s="30" t="str">
        <f>IFERROR(__xludf.DUMMYFUNCTION("""COMPUTED_VALUE"""),"1")</f>
        <v>1</v>
      </c>
      <c r="T959" s="30" t="str">
        <f>IFERROR(__xludf.DUMMYFUNCTION("""COMPUTED_VALUE"""),"225125")</f>
        <v>225125</v>
      </c>
      <c r="U959" s="31">
        <f>IFERROR(__xludf.DUMMYFUNCTION("""COMPUTED_VALUE"""),2251)</f>
        <v>2251</v>
      </c>
      <c r="V959" s="11"/>
      <c r="W959" s="30" t="str">
        <f>IFERROR(__xludf.DUMMYFUNCTION("""COMPUTED_VALUE"""),"18/01/1963")</f>
        <v>18/01/1963</v>
      </c>
      <c r="X959" s="11">
        <f>IFERROR(__xludf.DUMMYFUNCTION("""COMPUTED_VALUE"""),8134623901)</f>
        <v>8134623901</v>
      </c>
      <c r="Y959" s="11">
        <f>IFERROR(__xludf.DUMMYFUNCTION("""COMPUTED_VALUE"""),8199773876)</f>
        <v>8199773876</v>
      </c>
      <c r="Z959" s="11">
        <f>IFERROR(__xludf.DUMMYFUNCTION("""COMPUTED_VALUE"""),33162700434)</f>
        <v>33162700434</v>
      </c>
    </row>
    <row r="960" customHeight="1" spans="1:26">
      <c r="A960" s="11" t="str">
        <f>IFERROR(__xludf.DUMMYFUNCTION("""COMPUTED_VALUE"""),"LUDMILE SUYANE SANTOS DE OLIVEIRA")</f>
        <v>LUDMILE SUYANE SANTOS DE OLIVEIRA</v>
      </c>
      <c r="B960" s="11"/>
      <c r="C960" s="11"/>
      <c r="D960" s="11" t="str">
        <f>IFERROR(__xludf.DUMMYFUNCTION("""COMPUTED_VALUE"""),"Enfermeira eSF")</f>
        <v>Enfermeira eSF</v>
      </c>
      <c r="E960" s="11" t="str">
        <f>IFERROR(__xludf.DUMMYFUNCTION("""COMPUTED_VALUE"""),"VIII")</f>
        <v>VIII</v>
      </c>
      <c r="F960" s="11" t="str">
        <f>IFERROR(__xludf.DUMMYFUNCTION("""COMPUTED_VALUE"""),"SEDE DISTRITO SANITARIO VIII")</f>
        <v>SEDE DISTRITO SANITARIO VIII</v>
      </c>
      <c r="G960" s="11" t="str">
        <f>IFERROR(__xludf.DUMMYFUNCTION("""COMPUTED_VALUE"""),"US 113 CS DR ARISTARCO AZEVEDO")</f>
        <v>US 113 CS DR ARISTARCO AZEVEDO</v>
      </c>
      <c r="H960" s="27">
        <f>IFERROR(__xludf.DUMMYFUNCTION("""COMPUTED_VALUE"""),81988594839)</f>
        <v>81988594839</v>
      </c>
      <c r="I960" s="11"/>
      <c r="J960" s="11"/>
      <c r="K960" s="11"/>
      <c r="L960" s="11"/>
      <c r="M960" s="28" t="str">
        <f>IFERROR(__xludf.DUMMYFUNCTION("""COMPUTED_VALUE"""),"3355-4380")</f>
        <v>3355-4380</v>
      </c>
      <c r="N960" s="11" t="str">
        <f>IFERROR(__xludf.DUMMYFUNCTION("""COMPUTED_VALUE"""),"ramonaliziane@hotmail.com")</f>
        <v>ramonaliziane@hotmail.com</v>
      </c>
      <c r="O960" s="29">
        <f>IFERROR(__xludf.DUMMYFUNCTION("""COMPUTED_VALUE"""),87989905353)</f>
        <v>87989905353</v>
      </c>
      <c r="P960" s="30" t="str">
        <f>IFERROR(__xludf.DUMMYFUNCTION("""COMPUTED_VALUE"""),"207428820920006")</f>
        <v>207428820920006</v>
      </c>
      <c r="Q960" s="30" t="str">
        <f>IFERROR(__xludf.DUMMYFUNCTION("""COMPUTED_VALUE"""),"0001198")</f>
        <v>0001198</v>
      </c>
      <c r="R960" s="30" t="str">
        <f>IFERROR(__xludf.DUMMYFUNCTION("""COMPUTED_VALUE"""),"0000153060")</f>
        <v>0000153060</v>
      </c>
      <c r="S960" s="30" t="str">
        <f>IFERROR(__xludf.DUMMYFUNCTION("""COMPUTED_VALUE"""),"1")</f>
        <v>1</v>
      </c>
      <c r="T960" s="30" t="str">
        <f>IFERROR(__xludf.DUMMYFUNCTION("""COMPUTED_VALUE"""),"223565")</f>
        <v>223565</v>
      </c>
      <c r="U960" s="31" t="str">
        <f>IFERROR(__xludf.DUMMYFUNCTION("""COMPUTED_VALUE"""),"2235")</f>
        <v>2235</v>
      </c>
      <c r="V960" s="11"/>
      <c r="W960" s="11" t="str">
        <f>IFERROR(__xludf.DUMMYFUNCTION("""COMPUTED_VALUE"""),"#N/A")</f>
        <v>#N/A</v>
      </c>
      <c r="X960" s="11" t="str">
        <f>IFERROR(__xludf.DUMMYFUNCTION("""COMPUTED_VALUE"""),"#N/A")</f>
        <v>#N/A</v>
      </c>
      <c r="Y960" s="11" t="str">
        <f>IFERROR(__xludf.DUMMYFUNCTION("""COMPUTED_VALUE"""),"#N/A")</f>
        <v>#N/A</v>
      </c>
      <c r="Z960" s="11"/>
    </row>
    <row r="961" customHeight="1" spans="1:26">
      <c r="A961" s="11" t="str">
        <f>IFERROR(__xludf.DUMMYFUNCTION("""COMPUTED_VALUE"""),"ALESSANDRA KARLA DOS SANTOS BARROS")</f>
        <v>ALESSANDRA KARLA DOS SANTOS BARROS</v>
      </c>
      <c r="B961" s="11"/>
      <c r="C961" s="11"/>
      <c r="D961" s="11" t="str">
        <f>IFERROR(__xludf.DUMMYFUNCTION("""COMPUTED_VALUE"""),"Enfermeira eSF")</f>
        <v>Enfermeira eSF</v>
      </c>
      <c r="E961" s="11" t="str">
        <f>IFERROR(__xludf.DUMMYFUNCTION("""COMPUTED_VALUE"""),"VIII")</f>
        <v>VIII</v>
      </c>
      <c r="F961" s="11" t="str">
        <f>IFERROR(__xludf.DUMMYFUNCTION("""COMPUTED_VALUE"""),"US_154 USF UPINHA DIA RIO DA PRATA")</f>
        <v>US_154 USF UPINHA DIA RIO DA PRATA</v>
      </c>
      <c r="G961" s="11" t="str">
        <f>IFERROR(__xludf.DUMMYFUNCTION("""COMPUTED_VALUE"""),"US 154 USF UPINHA DIA RIO DA PRATA")</f>
        <v>US 154 USF UPINHA DIA RIO DA PRATA</v>
      </c>
      <c r="H961" s="27">
        <f>IFERROR(__xludf.DUMMYFUNCTION("""COMPUTED_VALUE"""),81984469250)</f>
        <v>81984469250</v>
      </c>
      <c r="I961" s="27">
        <f>IFERROR(__xludf.DUMMYFUNCTION("""COMPUTED_VALUE"""),81985435016)</f>
        <v>81985435016</v>
      </c>
      <c r="J961" s="11"/>
      <c r="K961" s="11"/>
      <c r="L961" s="11"/>
      <c r="M961" s="28" t="str">
        <f>IFERROR(__xludf.DUMMYFUNCTION("""COMPUTED_VALUE"""),"3355-6215 / 3338-7768")</f>
        <v>3355-6215 / 3338-7768</v>
      </c>
      <c r="N961" s="11" t="str">
        <f>IFERROR(__xludf.DUMMYFUNCTION("""COMPUTED_VALUE"""),"alessandrakarlabarros@gmail.com")</f>
        <v>alessandrakarlabarros@gmail.com</v>
      </c>
      <c r="O961" s="29">
        <f>IFERROR(__xludf.DUMMYFUNCTION("""COMPUTED_VALUE"""),3033983456)</f>
        <v>3033983456</v>
      </c>
      <c r="P961" s="30" t="str">
        <f>IFERROR(__xludf.DUMMYFUNCTION("""COMPUTED_VALUE"""),"201533330350004")</f>
        <v>201533330350004</v>
      </c>
      <c r="Q961" s="30" t="str">
        <f>IFERROR(__xludf.DUMMYFUNCTION("""COMPUTED_VALUE"""),"3639827")</f>
        <v>3639827</v>
      </c>
      <c r="R961" s="30" t="str">
        <f>IFERROR(__xludf.DUMMYFUNCTION("""COMPUTED_VALUE"""),"0000155675")</f>
        <v>0000155675</v>
      </c>
      <c r="S961" s="30" t="str">
        <f>IFERROR(__xludf.DUMMYFUNCTION("""COMPUTED_VALUE"""),"1")</f>
        <v>1</v>
      </c>
      <c r="T961" s="30" t="str">
        <f>IFERROR(__xludf.DUMMYFUNCTION("""COMPUTED_VALUE"""),"223565")</f>
        <v>223565</v>
      </c>
      <c r="U961" s="31" t="str">
        <f>IFERROR(__xludf.DUMMYFUNCTION("""COMPUTED_VALUE"""),"2235")</f>
        <v>2235</v>
      </c>
      <c r="V961" s="11"/>
      <c r="W961" s="11">
        <f>IFERROR(__xludf.DUMMYFUNCTION("""COMPUTED_VALUE"""),84469250)</f>
        <v>84469250</v>
      </c>
      <c r="X961" s="11">
        <f>IFERROR(__xludf.DUMMYFUNCTION("""COMPUTED_VALUE"""),85435016)</f>
        <v>85435016</v>
      </c>
      <c r="Y961" s="11">
        <f>IFERROR(__xludf.DUMMYFUNCTION("""COMPUTED_VALUE"""),3033983456)</f>
        <v>3033983456</v>
      </c>
      <c r="Z961" s="11"/>
    </row>
    <row r="962" customHeight="1" spans="1:26">
      <c r="A962" s="11" t="str">
        <f>IFERROR(__xludf.DUMMYFUNCTION("""COMPUTED_VALUE"""),"EDSON FARIAS DE LUCENA")</f>
        <v>EDSON FARIAS DE LUCENA</v>
      </c>
      <c r="B962" s="11"/>
      <c r="C962" s="11"/>
      <c r="D962" s="11" t="str">
        <f>IFERROR(__xludf.DUMMYFUNCTION("""COMPUTED_VALUE"""),"Médico eSF")</f>
        <v>Médico eSF</v>
      </c>
      <c r="E962" s="11" t="str">
        <f>IFERROR(__xludf.DUMMYFUNCTION("""COMPUTED_VALUE"""),"VIII")</f>
        <v>VIII</v>
      </c>
      <c r="F962" s="11" t="str">
        <f>IFERROR(__xludf.DUMMYFUNCTION("""COMPUTED_VALUE"""),"US_228 USF UPINHA DIA DES JOSE MANOEL DE FREITAS UR 4UR 5")</f>
        <v>US_228 USF UPINHA DIA DES JOSE MANOEL DE FREITAS UR 4UR 5</v>
      </c>
      <c r="G962" s="11" t="str">
        <f>IFERROR(__xludf.DUMMYFUNCTION("""COMPUTED_VALUE"""),"US 267 USF UR 2")</f>
        <v>US 267 USF UR 2</v>
      </c>
      <c r="H962" s="27">
        <f>IFERROR(__xludf.DUMMYFUNCTION("""COMPUTED_VALUE"""),81997058508)</f>
        <v>81997058508</v>
      </c>
      <c r="I962" s="11"/>
      <c r="J962" s="11"/>
      <c r="K962" s="11"/>
      <c r="L962" s="11"/>
      <c r="M962" s="28" t="str">
        <f>IFERROR(__xludf.DUMMYFUNCTION("""COMPUTED_VALUE"""),"3355-6215 / 3338-7768")</f>
        <v>3355-6215 / 3338-7768</v>
      </c>
      <c r="N962" s="11" t="str">
        <f>IFERROR(__xludf.DUMMYFUNCTION("""COMPUTED_VALUE"""),"elucena50@hotmail.com")</f>
        <v>elucena50@hotmail.com</v>
      </c>
      <c r="O962" s="29">
        <f>IFERROR(__xludf.DUMMYFUNCTION("""COMPUTED_VALUE"""),12863645404)</f>
        <v>12863645404</v>
      </c>
      <c r="P962" s="30" t="str">
        <f>IFERROR(__xludf.DUMMYFUNCTION("""COMPUTED_VALUE"""),"204324177580018")</f>
        <v>204324177580018</v>
      </c>
      <c r="Q962" s="30" t="str">
        <f>IFERROR(__xludf.DUMMYFUNCTION("""COMPUTED_VALUE"""),"3639827")</f>
        <v>3639827</v>
      </c>
      <c r="R962" s="30" t="str">
        <f>IFERROR(__xludf.DUMMYFUNCTION("""COMPUTED_VALUE"""),"0000155675")</f>
        <v>0000155675</v>
      </c>
      <c r="S962" s="30" t="str">
        <f>IFERROR(__xludf.DUMMYFUNCTION("""COMPUTED_VALUE"""),"1")</f>
        <v>1</v>
      </c>
      <c r="T962" s="30" t="str">
        <f>IFERROR(__xludf.DUMMYFUNCTION("""COMPUTED_VALUE"""),"225142")</f>
        <v>225142</v>
      </c>
      <c r="U962" s="31" t="str">
        <f>IFERROR(__xludf.DUMMYFUNCTION("""COMPUTED_VALUE"""),"2251")</f>
        <v>2251</v>
      </c>
      <c r="V962" s="11"/>
      <c r="W962" s="11"/>
      <c r="X962" s="11" t="str">
        <f>IFERROR(__xludf.DUMMYFUNCTION("""COMPUTED_VALUE"""),"81 30714744")</f>
        <v>81 30714744</v>
      </c>
      <c r="Y962" s="11" t="str">
        <f>IFERROR(__xludf.DUMMYFUNCTION("""COMPUTED_VALUE"""),"81 9705.850")</f>
        <v>81 9705.850</v>
      </c>
      <c r="Z962" s="11">
        <f>IFERROR(__xludf.DUMMYFUNCTION("""COMPUTED_VALUE"""),12863645404)</f>
        <v>12863645404</v>
      </c>
    </row>
    <row r="963" customHeight="1" spans="1:26">
      <c r="A963" s="11" t="str">
        <f>IFERROR(__xludf.DUMMYFUNCTION("""COMPUTED_VALUE"""),"MARIA TEREZA CARNEIRO LEAO DE BIASE")</f>
        <v>MARIA TEREZA CARNEIRO LEAO DE BIASE</v>
      </c>
      <c r="B963" s="11"/>
      <c r="C963" s="11"/>
      <c r="D963" s="11" t="str">
        <f>IFERROR(__xludf.DUMMYFUNCTION("""COMPUTED_VALUE"""),"Enfermeira eSF")</f>
        <v>Enfermeira eSF</v>
      </c>
      <c r="E963" s="11" t="str">
        <f>IFERROR(__xludf.DUMMYFUNCTION("""COMPUTED_VALUE"""),"VIII")</f>
        <v>VIII</v>
      </c>
      <c r="F963" s="11" t="str">
        <f>IFERROR(__xludf.DUMMYFUNCTION("""COMPUTED_VALUE"""),"US_165 MATERNIDADE BANDEIRA FILHO")</f>
        <v>US_165 MATERNIDADE BANDEIRA FILHO</v>
      </c>
      <c r="G963" s="11" t="str">
        <f>IFERROR(__xludf.DUMMYFUNCTION("""COMPUTED_VALUE"""),"US 154 USF UPINHA DIA RIO DA PRATA")</f>
        <v>US 154 USF UPINHA DIA RIO DA PRATA</v>
      </c>
      <c r="H963" s="27">
        <f>IFERROR(__xludf.DUMMYFUNCTION("""COMPUTED_VALUE"""),81981101920)</f>
        <v>81981101920</v>
      </c>
      <c r="I963" s="27">
        <f>IFERROR(__xludf.DUMMYFUNCTION("""COMPUTED_VALUE"""),81988382120)</f>
        <v>81988382120</v>
      </c>
      <c r="J963" s="11"/>
      <c r="K963" s="11"/>
      <c r="L963" s="11"/>
      <c r="M963" s="28" t="str">
        <f>IFERROR(__xludf.DUMMYFUNCTION("""COMPUTED_VALUE"""),"3355-6215 / 3338-7768")</f>
        <v>3355-6215 / 3338-7768</v>
      </c>
      <c r="N963" s="11" t="str">
        <f>IFERROR(__xludf.DUMMYFUNCTION("""COMPUTED_VALUE"""),"tereza.biase@pop.com.br")</f>
        <v>tereza.biase@pop.com.br</v>
      </c>
      <c r="O963" s="29">
        <f>IFERROR(__xludf.DUMMYFUNCTION("""COMPUTED_VALUE"""),99879654404)</f>
        <v>99879654404</v>
      </c>
      <c r="P963" s="30" t="str">
        <f>IFERROR(__xludf.DUMMYFUNCTION("""COMPUTED_VALUE"""),"206040549330005")</f>
        <v>206040549330005</v>
      </c>
      <c r="Q963" s="30" t="str">
        <f>IFERROR(__xludf.DUMMYFUNCTION("""COMPUTED_VALUE"""),"3639827")</f>
        <v>3639827</v>
      </c>
      <c r="R963" s="30" t="str">
        <f>IFERROR(__xludf.DUMMYFUNCTION("""COMPUTED_VALUE"""),"0000155659")</f>
        <v>0000155659</v>
      </c>
      <c r="S963" s="30" t="str">
        <f>IFERROR(__xludf.DUMMYFUNCTION("""COMPUTED_VALUE"""),"1")</f>
        <v>1</v>
      </c>
      <c r="T963" s="30" t="str">
        <f>IFERROR(__xludf.DUMMYFUNCTION("""COMPUTED_VALUE"""),"223565")</f>
        <v>223565</v>
      </c>
      <c r="U963" s="31" t="str">
        <f>IFERROR(__xludf.DUMMYFUNCTION("""COMPUTED_VALUE"""),"2235")</f>
        <v>2235</v>
      </c>
      <c r="V963" s="11"/>
      <c r="W963" s="11">
        <f>IFERROR(__xludf.DUMMYFUNCTION("""COMPUTED_VALUE"""),81101920)</f>
        <v>81101920</v>
      </c>
      <c r="X963" s="11">
        <f>IFERROR(__xludf.DUMMYFUNCTION("""COMPUTED_VALUE"""),31052220)</f>
        <v>31052220</v>
      </c>
      <c r="Y963" s="11">
        <f>IFERROR(__xludf.DUMMYFUNCTION("""COMPUTED_VALUE"""),99879654404)</f>
        <v>99879654404</v>
      </c>
      <c r="Z963" s="11"/>
    </row>
    <row r="964" customHeight="1" spans="1:26">
      <c r="A964" s="11" t="str">
        <f>IFERROR(__xludf.DUMMYFUNCTION("""COMPUTED_VALUE"""),"CLAUDIO DIAS TAVARES")</f>
        <v>CLAUDIO DIAS TAVARES</v>
      </c>
      <c r="B964" s="11"/>
      <c r="C964" s="11"/>
      <c r="D964" s="11" t="str">
        <f>IFERROR(__xludf.DUMMYFUNCTION("""COMPUTED_VALUE"""),"Médico eSF")</f>
        <v>Médico eSF</v>
      </c>
      <c r="E964" s="11" t="str">
        <f>IFERROR(__xludf.DUMMYFUNCTION("""COMPUTED_VALUE"""),"VIII")</f>
        <v>VIII</v>
      </c>
      <c r="F964" s="11" t="str">
        <f>IFERROR(__xludf.DUMMYFUNCTION("""COMPUTED_VALUE"""),"US_172 USF TRES CARNEIROS ALTO  / JORGE LOBO")</f>
        <v>US_172 USF TRES CARNEIROS ALTO  / JORGE LOBO</v>
      </c>
      <c r="G964" s="11" t="str">
        <f>IFERROR(__xludf.DUMMYFUNCTION("""COMPUTED_VALUE"""),"US 172 USF TRES CARNEIROS")</f>
        <v>US 172 USF TRES CARNEIROS</v>
      </c>
      <c r="H964" s="27">
        <f>IFERROR(__xludf.DUMMYFUNCTION("""COMPUTED_VALUE"""),81999431334)</f>
        <v>81999431334</v>
      </c>
      <c r="I964" s="27">
        <f>IFERROR(__xludf.DUMMYFUNCTION("""COMPUTED_VALUE"""),81988124157)</f>
        <v>81988124157</v>
      </c>
      <c r="J964" s="11"/>
      <c r="K964" s="24">
        <f>IFERROR(__xludf.DUMMYFUNCTION("""COMPUTED_VALUE"""),45152)</f>
        <v>45152</v>
      </c>
      <c r="L964" s="11"/>
      <c r="M964" s="28" t="str">
        <f>IFERROR(__xludf.DUMMYFUNCTION("""COMPUTED_VALUE"""),"3355-4713")</f>
        <v>3355-4713</v>
      </c>
      <c r="N964" s="11" t="str">
        <f>IFERROR(__xludf.DUMMYFUNCTION("""COMPUTED_VALUE"""),"claudio_dias_medicina@hotmail.com")</f>
        <v>claudio_dias_medicina@hotmail.com</v>
      </c>
      <c r="O964" s="29">
        <f>IFERROR(__xludf.DUMMYFUNCTION("""COMPUTED_VALUE"""),4364573426)</f>
        <v>4364573426</v>
      </c>
      <c r="P964" s="30" t="str">
        <f>IFERROR(__xludf.DUMMYFUNCTION("""COMPUTED_VALUE"""),"980016289535566")</f>
        <v>980016289535566</v>
      </c>
      <c r="Q964" s="30" t="str">
        <f>IFERROR(__xludf.DUMMYFUNCTION("""COMPUTED_VALUE"""),"0002062")</f>
        <v>0002062</v>
      </c>
      <c r="R964" s="30" t="str">
        <f>IFERROR(__xludf.DUMMYFUNCTION("""COMPUTED_VALUE"""),"0000153397")</f>
        <v>0000153397</v>
      </c>
      <c r="S964" s="30" t="str">
        <f>IFERROR(__xludf.DUMMYFUNCTION("""COMPUTED_VALUE"""),"1")</f>
        <v>1</v>
      </c>
      <c r="T964" s="30" t="str">
        <f>IFERROR(__xludf.DUMMYFUNCTION("""COMPUTED_VALUE"""),"225142")</f>
        <v>225142</v>
      </c>
      <c r="U964" s="31" t="str">
        <f>IFERROR(__xludf.DUMMYFUNCTION("""COMPUTED_VALUE"""),"2251")</f>
        <v>2251</v>
      </c>
      <c r="V964" s="11"/>
      <c r="W964" s="11"/>
      <c r="X964" s="11"/>
      <c r="Y964" s="11"/>
      <c r="Z964" s="11"/>
    </row>
    <row r="965" customHeight="1" spans="1:26">
      <c r="A965" s="11" t="str">
        <f>IFERROR(__xludf.DUMMYFUNCTION("""COMPUTED_VALUE"""),"ELIANE DIAS DE ALENCAR SOUZA")</f>
        <v>ELIANE DIAS DE ALENCAR SOUZA</v>
      </c>
      <c r="B965" s="11"/>
      <c r="C965" s="11"/>
      <c r="D965" s="11" t="str">
        <f>IFERROR(__xludf.DUMMYFUNCTION("""COMPUTED_VALUE"""),"Dentista")</f>
        <v>Dentista</v>
      </c>
      <c r="E965" s="11" t="str">
        <f>IFERROR(__xludf.DUMMYFUNCTION("""COMPUTED_VALUE"""),"VIII")</f>
        <v>VIII</v>
      </c>
      <c r="F965" s="11" t="str">
        <f>IFERROR(__xludf.DUMMYFUNCTION("""COMPUTED_VALUE"""),"US_313 USF TRES CARNEIROS DE BAIXO ZUMBI DO PACHECO")</f>
        <v>US_313 USF TRES CARNEIROS DE BAIXO ZUMBI DO PACHECO</v>
      </c>
      <c r="G965" s="11" t="str">
        <f>IFERROR(__xludf.DUMMYFUNCTION("""COMPUTED_VALUE"""),"US 172 USF TRES CARNEIROS")</f>
        <v>US 172 USF TRES CARNEIROS</v>
      </c>
      <c r="H965" s="27">
        <f>IFERROR(__xludf.DUMMYFUNCTION("""COMPUTED_VALUE"""),81992858592)</f>
        <v>81992858592</v>
      </c>
      <c r="I965" s="11"/>
      <c r="J965" s="11"/>
      <c r="K965" s="11"/>
      <c r="L965" s="11"/>
      <c r="M965" s="28" t="str">
        <f>IFERROR(__xludf.DUMMYFUNCTION("""COMPUTED_VALUE"""),"3355-4713")</f>
        <v>3355-4713</v>
      </c>
      <c r="N965" s="11" t="str">
        <f>IFERROR(__xludf.DUMMYFUNCTION("""COMPUTED_VALUE"""),"elianediasalencar@hotmail.com")</f>
        <v>elianediasalencar@hotmail.com</v>
      </c>
      <c r="O965" s="29">
        <f>IFERROR(__xludf.DUMMYFUNCTION("""COMPUTED_VALUE"""),84478071420)</f>
        <v>84478071420</v>
      </c>
      <c r="P965" s="30" t="str">
        <f>IFERROR(__xludf.DUMMYFUNCTION("""COMPUTED_VALUE"""),"980016004546815")</f>
        <v>980016004546815</v>
      </c>
      <c r="Q965" s="30" t="str">
        <f>IFERROR(__xludf.DUMMYFUNCTION("""COMPUTED_VALUE"""),"0002062")</f>
        <v>0002062</v>
      </c>
      <c r="R965" s="30" t="str">
        <f>IFERROR(__xludf.DUMMYFUNCTION("""COMPUTED_VALUE"""),"0001847651")</f>
        <v>0001847651</v>
      </c>
      <c r="S965" s="30" t="str">
        <f>IFERROR(__xludf.DUMMYFUNCTION("""COMPUTED_VALUE"""),"1")</f>
        <v>1</v>
      </c>
      <c r="T965" s="30" t="str">
        <f>IFERROR(__xludf.DUMMYFUNCTION("""COMPUTED_VALUE"""),"223293")</f>
        <v>223293</v>
      </c>
      <c r="U965" s="31">
        <f>IFERROR(__xludf.DUMMYFUNCTION("""COMPUTED_VALUE"""),2232)</f>
        <v>2232</v>
      </c>
      <c r="V965" s="11"/>
      <c r="W965" s="11"/>
      <c r="X965" s="11"/>
      <c r="Y965" s="11"/>
      <c r="Z965" s="11"/>
    </row>
    <row r="966" customHeight="1" spans="1:26">
      <c r="A966" s="11" t="str">
        <f>IFERROR(__xludf.DUMMYFUNCTION("""COMPUTED_VALUE"""),"IZABEL CRISTINA ARAUJO ROZA")</f>
        <v>IZABEL CRISTINA ARAUJO ROZA</v>
      </c>
      <c r="B966" s="11"/>
      <c r="C966" s="11"/>
      <c r="D966" s="11" t="str">
        <f>IFERROR(__xludf.DUMMYFUNCTION("""COMPUTED_VALUE"""),"Enfermeira eSF")</f>
        <v>Enfermeira eSF</v>
      </c>
      <c r="E966" s="11" t="str">
        <f>IFERROR(__xludf.DUMMYFUNCTION("""COMPUTED_VALUE"""),"VIII")</f>
        <v>VIII</v>
      </c>
      <c r="F966" s="11" t="str">
        <f>IFERROR(__xludf.DUMMYFUNCTION("""COMPUTED_VALUE"""),"US_172 USF TRES CARNEIROS ALTO  / JORGE LOBO")</f>
        <v>US_172 USF TRES CARNEIROS ALTO  / JORGE LOBO</v>
      </c>
      <c r="G966" s="11" t="str">
        <f>IFERROR(__xludf.DUMMYFUNCTION("""COMPUTED_VALUE"""),"US 172 USF TRES CARNEIROS")</f>
        <v>US 172 USF TRES CARNEIROS</v>
      </c>
      <c r="H966" s="27">
        <f>IFERROR(__xludf.DUMMYFUNCTION("""COMPUTED_VALUE"""),81995995658)</f>
        <v>81995995658</v>
      </c>
      <c r="I966" s="27">
        <f>IFERROR(__xludf.DUMMYFUNCTION("""COMPUTED_VALUE"""),81997812775)</f>
        <v>81997812775</v>
      </c>
      <c r="J966" s="11"/>
      <c r="K966" s="11"/>
      <c r="L966" s="11"/>
      <c r="M966" s="28" t="str">
        <f>IFERROR(__xludf.DUMMYFUNCTION("""COMPUTED_VALUE"""),"3355-4713")</f>
        <v>3355-4713</v>
      </c>
      <c r="N966" s="11" t="str">
        <f>IFERROR(__xludf.DUMMYFUNCTION("""COMPUTED_VALUE"""),"icaroza30@gmail.com")</f>
        <v>icaroza30@gmail.com</v>
      </c>
      <c r="O966" s="29">
        <f>IFERROR(__xludf.DUMMYFUNCTION("""COMPUTED_VALUE"""),2546152440)</f>
        <v>2546152440</v>
      </c>
      <c r="P966" s="30" t="str">
        <f>IFERROR(__xludf.DUMMYFUNCTION("""COMPUTED_VALUE"""),"204422138290001")</f>
        <v>204422138290001</v>
      </c>
      <c r="Q966" s="30" t="str">
        <f>IFERROR(__xludf.DUMMYFUNCTION("""COMPUTED_VALUE"""),"0002062")</f>
        <v>0002062</v>
      </c>
      <c r="R966" s="30" t="str">
        <f>IFERROR(__xludf.DUMMYFUNCTION("""COMPUTED_VALUE"""),"0000153397")</f>
        <v>0000153397</v>
      </c>
      <c r="S966" s="30" t="str">
        <f>IFERROR(__xludf.DUMMYFUNCTION("""COMPUTED_VALUE"""),"1")</f>
        <v>1</v>
      </c>
      <c r="T966" s="30" t="str">
        <f>IFERROR(__xludf.DUMMYFUNCTION("""COMPUTED_VALUE"""),"223565")</f>
        <v>223565</v>
      </c>
      <c r="U966" s="31" t="str">
        <f>IFERROR(__xludf.DUMMYFUNCTION("""COMPUTED_VALUE"""),"2235")</f>
        <v>2235</v>
      </c>
      <c r="V966" s="11"/>
      <c r="W966" s="11">
        <f>IFERROR(__xludf.DUMMYFUNCTION("""COMPUTED_VALUE"""),95995658)</f>
        <v>95995658</v>
      </c>
      <c r="X966" s="11">
        <f>IFERROR(__xludf.DUMMYFUNCTION("""COMPUTED_VALUE"""),30100289)</f>
        <v>30100289</v>
      </c>
      <c r="Y966" s="11">
        <f>IFERROR(__xludf.DUMMYFUNCTION("""COMPUTED_VALUE"""),2546152440)</f>
        <v>2546152440</v>
      </c>
      <c r="Z966" s="11"/>
    </row>
    <row r="967" customHeight="1" spans="1:26">
      <c r="A967" s="11" t="str">
        <f>IFERROR(__xludf.DUMMYFUNCTION("""COMPUTED_VALUE"""),"ADRIANA VASCONCELOS DE OLIVEIRA")</f>
        <v>ADRIANA VASCONCELOS DE OLIVEIRA</v>
      </c>
      <c r="B967" s="11"/>
      <c r="C967" s="11"/>
      <c r="D967" s="11" t="str">
        <f>IFERROR(__xludf.DUMMYFUNCTION("""COMPUTED_VALUE"""),"Enfermeira eSF")</f>
        <v>Enfermeira eSF</v>
      </c>
      <c r="E967" s="11" t="str">
        <f>IFERROR(__xludf.DUMMYFUNCTION("""COMPUTED_VALUE"""),"VIII")</f>
        <v>VIII</v>
      </c>
      <c r="F967" s="11" t="str">
        <f>IFERROR(__xludf.DUMMYFUNCTION("""COMPUTED_VALUE"""),"SEDE DISTRITO SANITARIO VIII")</f>
        <v>SEDE DISTRITO SANITARIO VIII</v>
      </c>
      <c r="G967" s="11" t="str">
        <f>IFERROR(__xludf.DUMMYFUNCTION("""COMPUTED_VALUE"""),"US 228 USF UPINHA DIA DES JOSE MANOEL DE FREITAS UR 4UR 5")</f>
        <v>US 228 USF UPINHA DIA DES JOSE MANOEL DE FREITAS UR 4UR 5</v>
      </c>
      <c r="H967" s="27">
        <f>IFERROR(__xludf.DUMMYFUNCTION("""COMPUTED_VALUE"""),81985723034)</f>
        <v>81985723034</v>
      </c>
      <c r="I967" s="27">
        <f>IFERROR(__xludf.DUMMYFUNCTION("""COMPUTED_VALUE"""),81999648431)</f>
        <v>81999648431</v>
      </c>
      <c r="J967" s="11"/>
      <c r="K967" s="11"/>
      <c r="L967" s="11"/>
      <c r="M967" s="28" t="str">
        <f>IFERROR(__xludf.DUMMYFUNCTION("""COMPUTED_VALUE"""),"3355-6166")</f>
        <v>3355-6166</v>
      </c>
      <c r="N967" s="11" t="str">
        <f>IFERROR(__xludf.DUMMYFUNCTION("""COMPUTED_VALUE"""),"adrianavascol@hotmail.com")</f>
        <v>adrianavascol@hotmail.com</v>
      </c>
      <c r="O967" s="29">
        <f>IFERROR(__xludf.DUMMYFUNCTION("""COMPUTED_VALUE"""),96390409400)</f>
        <v>96390409400</v>
      </c>
      <c r="P967" s="30" t="str">
        <f>IFERROR(__xludf.DUMMYFUNCTION("""COMPUTED_VALUE"""),"201563826810003")</f>
        <v>201563826810003</v>
      </c>
      <c r="Q967" s="30" t="str">
        <f>IFERROR(__xludf.DUMMYFUNCTION("""COMPUTED_VALUE"""),"0022454")</f>
        <v>0022454</v>
      </c>
      <c r="R967" s="30" t="str">
        <f>IFERROR(__xludf.DUMMYFUNCTION("""COMPUTED_VALUE"""),"0000154032")</f>
        <v>0000154032</v>
      </c>
      <c r="S967" s="30" t="str">
        <f>IFERROR(__xludf.DUMMYFUNCTION("""COMPUTED_VALUE"""),"1")</f>
        <v>1</v>
      </c>
      <c r="T967" s="30" t="str">
        <f>IFERROR(__xludf.DUMMYFUNCTION("""COMPUTED_VALUE"""),"223565")</f>
        <v>223565</v>
      </c>
      <c r="U967" s="31" t="str">
        <f>IFERROR(__xludf.DUMMYFUNCTION("""COMPUTED_VALUE"""),"2235")</f>
        <v>2235</v>
      </c>
      <c r="V967" s="11"/>
      <c r="W967" s="11">
        <f>IFERROR(__xludf.DUMMYFUNCTION("""COMPUTED_VALUE"""),85723034)</f>
        <v>85723034</v>
      </c>
      <c r="X967" s="11"/>
      <c r="Y967" s="11">
        <f>IFERROR(__xludf.DUMMYFUNCTION("""COMPUTED_VALUE"""),96390409400)</f>
        <v>96390409400</v>
      </c>
      <c r="Z967" s="11"/>
    </row>
    <row r="968" customHeight="1" spans="1:26">
      <c r="A968" s="11" t="str">
        <f>IFERROR(__xludf.DUMMYFUNCTION("""COMPUTED_VALUE"""),"CHARLENE KELLY CLARK MAGALHAES 228")</f>
        <v>CHARLENE KELLY CLARK MAGALHAES 228</v>
      </c>
      <c r="B968" s="11"/>
      <c r="C968" s="11"/>
      <c r="D968" s="11" t="str">
        <f>IFERROR(__xludf.DUMMYFUNCTION("""COMPUTED_VALUE"""),"Enfermeira")</f>
        <v>Enfermeira</v>
      </c>
      <c r="E968" s="11" t="str">
        <f>IFERROR(__xludf.DUMMYFUNCTION("""COMPUTED_VALUE"""),"VIII")</f>
        <v>VIII</v>
      </c>
      <c r="F968" s="11" t="str">
        <f>IFERROR(__xludf.DUMMYFUNCTION("""COMPUTED_VALUE"""),"PACS DOIS RIOS")</f>
        <v>PACS DOIS RIOS</v>
      </c>
      <c r="G968" s="11" t="str">
        <f>IFERROR(__xludf.DUMMYFUNCTION("""COMPUTED_VALUE"""),"US 228 USF UPINHA DIA DES JOSE MANOEL DE FREITAS UR 4UR 5")</f>
        <v>US 228 USF UPINHA DIA DES JOSE MANOEL DE FREITAS UR 4UR 5</v>
      </c>
      <c r="H968" s="27">
        <f>IFERROR(__xludf.DUMMYFUNCTION("""COMPUTED_VALUE"""),81987553738)</f>
        <v>81987553738</v>
      </c>
      <c r="I968" s="11"/>
      <c r="J968" s="11"/>
      <c r="K968" s="11"/>
      <c r="L968" s="11"/>
      <c r="M968" s="28" t="str">
        <f>IFERROR(__xludf.DUMMYFUNCTION("""COMPUTED_VALUE"""),"3355-6166")</f>
        <v>3355-6166</v>
      </c>
      <c r="N968" s="11" t="str">
        <f>IFERROR(__xludf.DUMMYFUNCTION("""COMPUTED_VALUE"""),"charlene-clark@hotmail.com")</f>
        <v>charlene-clark@hotmail.com</v>
      </c>
      <c r="O968" s="29">
        <f>IFERROR(__xludf.DUMMYFUNCTION("""COMPUTED_VALUE"""),69577684491)</f>
        <v>69577684491</v>
      </c>
      <c r="P968" s="30" t="str">
        <f>IFERROR(__xludf.DUMMYFUNCTION("""COMPUTED_VALUE"""),"125133444900008")</f>
        <v>125133444900008</v>
      </c>
      <c r="Q968" s="30" t="str">
        <f>IFERROR(__xludf.DUMMYFUNCTION("""COMPUTED_VALUE"""),"0022454")</f>
        <v>0022454</v>
      </c>
      <c r="R968" s="11"/>
      <c r="S968" s="30" t="str">
        <f>IFERROR(__xludf.DUMMYFUNCTION("""COMPUTED_VALUE"""),"1")</f>
        <v>1</v>
      </c>
      <c r="T968" s="30" t="str">
        <f>IFERROR(__xludf.DUMMYFUNCTION("""COMPUTED_VALUE"""),"223505")</f>
        <v>223505</v>
      </c>
      <c r="U968" s="31">
        <f>IFERROR(__xludf.DUMMYFUNCTION("""COMPUTED_VALUE"""),2235)</f>
        <v>2235</v>
      </c>
      <c r="V968" s="11"/>
      <c r="W968" s="11"/>
      <c r="X968" s="11"/>
      <c r="Y968" s="11"/>
      <c r="Z968" s="11"/>
    </row>
    <row r="969" customHeight="1" spans="1:26">
      <c r="A969" s="11" t="str">
        <f>IFERROR(__xludf.DUMMYFUNCTION("""COMPUTED_VALUE"""),"IVANA MERCIA SOARES NOGUEIRA")</f>
        <v>IVANA MERCIA SOARES NOGUEIRA</v>
      </c>
      <c r="B969" s="11"/>
      <c r="C969" s="11"/>
      <c r="D969" s="11" t="str">
        <f>IFERROR(__xludf.DUMMYFUNCTION("""COMPUTED_VALUE"""),"Dentista")</f>
        <v>Dentista</v>
      </c>
      <c r="E969" s="11" t="str">
        <f>IFERROR(__xludf.DUMMYFUNCTION("""COMPUTED_VALUE"""),"VIII")</f>
        <v>VIII</v>
      </c>
      <c r="F969" s="11" t="str">
        <f>IFERROR(__xludf.DUMMYFUNCTION("""COMPUTED_VALUE"""),"US_228 USF UPINHA DIA DES JOSE MANOEL DE FREITAS UR 4UR 5")</f>
        <v>US_228 USF UPINHA DIA DES JOSE MANOEL DE FREITAS UR 4UR 5</v>
      </c>
      <c r="G969" s="11" t="str">
        <f>IFERROR(__xludf.DUMMYFUNCTION("""COMPUTED_VALUE"""),"US 228 USF UPINHA DIA DES JOSE MANOEL DE FREITAS UR 4UR 5")</f>
        <v>US 228 USF UPINHA DIA DES JOSE MANOEL DE FREITAS UR 4UR 5</v>
      </c>
      <c r="H969" s="27">
        <f>IFERROR(__xludf.DUMMYFUNCTION("""COMPUTED_VALUE"""),81999229471)</f>
        <v>81999229471</v>
      </c>
      <c r="I969" s="11"/>
      <c r="J969" s="11"/>
      <c r="K969" s="11"/>
      <c r="L969" s="11"/>
      <c r="M969" s="28" t="str">
        <f>IFERROR(__xludf.DUMMYFUNCTION("""COMPUTED_VALUE"""),"3355-6166")</f>
        <v>3355-6166</v>
      </c>
      <c r="N969" s="11" t="str">
        <f>IFERROR(__xludf.DUMMYFUNCTION("""COMPUTED_VALUE"""),"ivananog@gmail.com")</f>
        <v>ivananog@gmail.com</v>
      </c>
      <c r="O969" s="29">
        <f>IFERROR(__xludf.DUMMYFUNCTION("""COMPUTED_VALUE"""),50928538400)</f>
        <v>50928538400</v>
      </c>
      <c r="P969" s="30" t="str">
        <f>IFERROR(__xludf.DUMMYFUNCTION("""COMPUTED_VALUE"""),"206633697830003")</f>
        <v>206633697830003</v>
      </c>
      <c r="Q969" s="30" t="str">
        <f>IFERROR(__xludf.DUMMYFUNCTION("""COMPUTED_VALUE"""),"0022454")</f>
        <v>0022454</v>
      </c>
      <c r="R969" s="30" t="str">
        <f>IFERROR(__xludf.DUMMYFUNCTION("""COMPUTED_VALUE"""),"0001773720")</f>
        <v>0001773720</v>
      </c>
      <c r="S969" s="30" t="str">
        <f>IFERROR(__xludf.DUMMYFUNCTION("""COMPUTED_VALUE"""),"1")</f>
        <v>1</v>
      </c>
      <c r="T969" s="30" t="str">
        <f>IFERROR(__xludf.DUMMYFUNCTION("""COMPUTED_VALUE"""),"223293")</f>
        <v>223293</v>
      </c>
      <c r="U969" s="31">
        <f>IFERROR(__xludf.DUMMYFUNCTION("""COMPUTED_VALUE"""),2232)</f>
        <v>2232</v>
      </c>
      <c r="V969" s="11"/>
      <c r="W969" s="11"/>
      <c r="X969" s="11"/>
      <c r="Y969" s="11"/>
      <c r="Z969" s="11"/>
    </row>
    <row r="970" customHeight="1" spans="1:26">
      <c r="A970" s="11" t="str">
        <f>IFERROR(__xludf.DUMMYFUNCTION("""COMPUTED_VALUE"""),"LORENA SERPA BRANDAO DE ANDRADE LIMA ")</f>
        <v>LORENA SERPA BRANDAO DE ANDRADE LIMA </v>
      </c>
      <c r="B970" s="11"/>
      <c r="C970" s="11"/>
      <c r="D970" s="11" t="str">
        <f>IFERROR(__xludf.DUMMYFUNCTION("""COMPUTED_VALUE"""),"Médica Clínica")</f>
        <v>Médica Clínica</v>
      </c>
      <c r="E970" s="11" t="str">
        <f>IFERROR(__xludf.DUMMYFUNCTION("""COMPUTED_VALUE"""),"VIII")</f>
        <v>VIII</v>
      </c>
      <c r="F970" s="11" t="str">
        <f>IFERROR(__xludf.DUMMYFUNCTION("""COMPUTED_VALUE"""),"US_153 POLICLINICA E MATERNIDADE ARNALDO MARQUES")</f>
        <v>US_153 POLICLINICA E MATERNIDADE ARNALDO MARQUES</v>
      </c>
      <c r="G970" s="11" t="str">
        <f>IFERROR(__xludf.DUMMYFUNCTION("""COMPUTED_VALUE"""),"US 228 USF UPINHA DIA DES JOSE MANOEL DE FREITAS UR 4UR 5")</f>
        <v>US 228 USF UPINHA DIA DES JOSE MANOEL DE FREITAS UR 4UR 5</v>
      </c>
      <c r="H970" s="11"/>
      <c r="I970" s="11"/>
      <c r="J970" s="11"/>
      <c r="K970" s="11"/>
      <c r="L970" s="11"/>
      <c r="M970" s="28" t="str">
        <f>IFERROR(__xludf.DUMMYFUNCTION("""COMPUTED_VALUE"""),"3355-6166")</f>
        <v>3355-6166</v>
      </c>
      <c r="N970" s="11" t="str">
        <f>IFERROR(__xludf.DUMMYFUNCTION("""COMPUTED_VALUE"""),"lorenasbal@gmail.com")</f>
        <v>lorenasbal@gmail.com</v>
      </c>
      <c r="O970" s="29">
        <f>IFERROR(__xludf.DUMMYFUNCTION("""COMPUTED_VALUE"""),6180098417)</f>
        <v>6180098417</v>
      </c>
      <c r="P970" s="30" t="str">
        <f>IFERROR(__xludf.DUMMYFUNCTION("""COMPUTED_VALUE"""),"702103768400999")</f>
        <v>702103768400999</v>
      </c>
      <c r="Q970" s="30" t="str">
        <f>IFERROR(__xludf.DUMMYFUNCTION("""COMPUTED_VALUE"""),"0022454")</f>
        <v>0022454</v>
      </c>
      <c r="R970" s="11"/>
      <c r="S970" s="30" t="str">
        <f>IFERROR(__xludf.DUMMYFUNCTION("""COMPUTED_VALUE"""),"1")</f>
        <v>1</v>
      </c>
      <c r="T970" s="30" t="str">
        <f>IFERROR(__xludf.DUMMYFUNCTION("""COMPUTED_VALUE"""),"225125")</f>
        <v>225125</v>
      </c>
      <c r="U970" s="31" t="str">
        <f>IFERROR(__xludf.DUMMYFUNCTION("""COMPUTED_VALUE"""),"2251")</f>
        <v>2251</v>
      </c>
      <c r="V970" s="11"/>
      <c r="W970" s="11"/>
      <c r="X970" s="11"/>
      <c r="Y970" s="11"/>
      <c r="Z970" s="11"/>
    </row>
    <row r="971" customHeight="1" spans="1:26">
      <c r="A971" s="11" t="str">
        <f>IFERROR(__xludf.DUMMYFUNCTION("""COMPUTED_VALUE"""),"MONICA NOLETO DE SAMPAIO 228")</f>
        <v>MONICA NOLETO DE SAMPAIO 228</v>
      </c>
      <c r="B971" s="11"/>
      <c r="C971" s="11"/>
      <c r="D971" s="11" t="str">
        <f>IFERROR(__xludf.DUMMYFUNCTION("""COMPUTED_VALUE"""),"Médica Clínica")</f>
        <v>Médica Clínica</v>
      </c>
      <c r="E971" s="11" t="str">
        <f>IFERROR(__xludf.DUMMYFUNCTION("""COMPUTED_VALUE"""),"VIII")</f>
        <v>VIII</v>
      </c>
      <c r="F971" s="11" t="str">
        <f>IFERROR(__xludf.DUMMYFUNCTION("""COMPUTED_VALUE"""),"US_104 CS SEBASTIAO IVO RABELO")</f>
        <v>US_104 CS SEBASTIAO IVO RABELO</v>
      </c>
      <c r="G971" s="11" t="str">
        <f>IFERROR(__xludf.DUMMYFUNCTION("""COMPUTED_VALUE"""),"US 228 USF UPINHA DIA DES JOSE MANOEL DE FREITAS UR 4UR 5")</f>
        <v>US 228 USF UPINHA DIA DES JOSE MANOEL DE FREITAS UR 4UR 5</v>
      </c>
      <c r="H971" s="27">
        <f>IFERROR(__xludf.DUMMYFUNCTION("""COMPUTED_VALUE"""),81996150664)</f>
        <v>81996150664</v>
      </c>
      <c r="I971" s="11"/>
      <c r="J971" s="11"/>
      <c r="K971" s="11"/>
      <c r="L971" s="11"/>
      <c r="M971" s="28" t="str">
        <f>IFERROR(__xludf.DUMMYFUNCTION("""COMPUTED_VALUE"""),"3355-6166")</f>
        <v>3355-6166</v>
      </c>
      <c r="N971" s="11" t="str">
        <f>IFERROR(__xludf.DUMMYFUNCTION("""COMPUTED_VALUE"""),"msampaio_6@hotmail.com")</f>
        <v>msampaio_6@hotmail.com</v>
      </c>
      <c r="O971" s="29">
        <f>IFERROR(__xludf.DUMMYFUNCTION("""COMPUTED_VALUE"""),38682699400)</f>
        <v>38682699400</v>
      </c>
      <c r="P971" s="30" t="str">
        <f>IFERROR(__xludf.DUMMYFUNCTION("""COMPUTED_VALUE"""),"206066767530001")</f>
        <v>206066767530001</v>
      </c>
      <c r="Q971" s="30" t="str">
        <f>IFERROR(__xludf.DUMMYFUNCTION("""COMPUTED_VALUE"""),"0022454")</f>
        <v>0022454</v>
      </c>
      <c r="R971" s="11"/>
      <c r="S971" s="30" t="str">
        <f>IFERROR(__xludf.DUMMYFUNCTION("""COMPUTED_VALUE"""),"1")</f>
        <v>1</v>
      </c>
      <c r="T971" s="30" t="str">
        <f>IFERROR(__xludf.DUMMYFUNCTION("""COMPUTED_VALUE"""),"225125")</f>
        <v>225125</v>
      </c>
      <c r="U971" s="31">
        <f>IFERROR(__xludf.DUMMYFUNCTION("""COMPUTED_VALUE"""),2251)</f>
        <v>2251</v>
      </c>
      <c r="V971" s="11"/>
      <c r="W971" s="11"/>
      <c r="X971" s="11"/>
      <c r="Y971" s="11"/>
      <c r="Z971" s="11"/>
    </row>
    <row r="972" customHeight="1" spans="1:26">
      <c r="A972" s="11" t="str">
        <f>IFERROR(__xludf.DUMMYFUNCTION("""COMPUTED_VALUE"""),"FRANCISCO INACIO DA SILVA NETO")</f>
        <v>FRANCISCO INACIO DA SILVA NETO</v>
      </c>
      <c r="B972" s="11" t="str">
        <f>IFERROR(__xludf.DUMMYFUNCTION("""COMPUTED_VALUE"""),"13:00 - horário de preferência")</f>
        <v>13:00 - horário de preferência</v>
      </c>
      <c r="C972" s="11"/>
      <c r="D972" s="11" t="str">
        <f>IFERROR(__xludf.DUMMYFUNCTION("""COMPUTED_VALUE"""),"Médico eSF")</f>
        <v>Médico eSF</v>
      </c>
      <c r="E972" s="11" t="str">
        <f>IFERROR(__xludf.DUMMYFUNCTION("""COMPUTED_VALUE"""),"VIII")</f>
        <v>VIII</v>
      </c>
      <c r="F972" s="11" t="str">
        <f>IFERROR(__xludf.DUMMYFUNCTION("""COMPUTED_VALUE"""),"US 267 USF UR 2")</f>
        <v>US 267 USF UR 2</v>
      </c>
      <c r="G972" s="11" t="str">
        <f>IFERROR(__xludf.DUMMYFUNCTION("""COMPUTED_VALUE"""),"US 267 USF UR 2")</f>
        <v>US 267 USF UR 2</v>
      </c>
      <c r="H972" s="27">
        <f>IFERROR(__xludf.DUMMYFUNCTION("""COMPUTED_VALUE"""),81996676822)</f>
        <v>81996676822</v>
      </c>
      <c r="I972" s="11"/>
      <c r="J972" s="11"/>
      <c r="K972" s="11"/>
      <c r="L972" s="11"/>
      <c r="M972" s="28" t="str">
        <f>IFERROR(__xludf.DUMMYFUNCTION("""COMPUTED_VALUE"""),"3355-6909")</f>
        <v>3355-6909</v>
      </c>
      <c r="N972" s="11" t="str">
        <f>IFERROR(__xludf.DUMMYFUNCTION("""COMPUTED_VALUE"""),"inacio.nto@gmail.com")</f>
        <v>inacio.nto@gmail.com</v>
      </c>
      <c r="O972" s="29">
        <f>IFERROR(__xludf.DUMMYFUNCTION("""COMPUTED_VALUE"""),61847755372)</f>
        <v>61847755372</v>
      </c>
      <c r="P972" s="30" t="str">
        <f>IFERROR(__xludf.DUMMYFUNCTION("""COMPUTED_VALUE"""),"700803999326481")</f>
        <v>700803999326481</v>
      </c>
      <c r="Q972" s="30" t="str">
        <f>IFERROR(__xludf.DUMMYFUNCTION("""COMPUTED_VALUE"""),"0022462")</f>
        <v>0022462</v>
      </c>
      <c r="R972" s="30" t="str">
        <f>IFERROR(__xludf.DUMMYFUNCTION("""COMPUTED_VALUE"""),"0000154059")</f>
        <v>0000154059</v>
      </c>
      <c r="S972" s="30" t="str">
        <f>IFERROR(__xludf.DUMMYFUNCTION("""COMPUTED_VALUE"""),"3")</f>
        <v>3</v>
      </c>
      <c r="T972" s="30" t="str">
        <f>IFERROR(__xludf.DUMMYFUNCTION("""COMPUTED_VALUE"""),"225142")</f>
        <v>225142</v>
      </c>
      <c r="U972" s="31" t="str">
        <f>IFERROR(__xludf.DUMMYFUNCTION("""COMPUTED_VALUE"""),"2251")</f>
        <v>2251</v>
      </c>
      <c r="V972" s="11" t="str">
        <f>IFERROR(__xludf.DUMMYFUNCTION("""COMPUTED_VALUE"""),"SIM")</f>
        <v>SIM</v>
      </c>
      <c r="W972" s="11"/>
      <c r="X972" s="11" t="str">
        <f>IFERROR(__xludf.DUMMYFUNCTION("""COMPUTED_VALUE"""),"#N/A")</f>
        <v>#N/A</v>
      </c>
      <c r="Y972" s="11" t="str">
        <f>IFERROR(__xludf.DUMMYFUNCTION("""COMPUTED_VALUE"""),"#N/A")</f>
        <v>#N/A</v>
      </c>
      <c r="Z972" s="11" t="str">
        <f>IFERROR(__xludf.DUMMYFUNCTION("""COMPUTED_VALUE"""),"#N/A")</f>
        <v>#N/A</v>
      </c>
    </row>
    <row r="973" customHeight="1" spans="1:26">
      <c r="A973" s="11" t="str">
        <f>IFERROR(__xludf.DUMMYFUNCTION("""COMPUTED_VALUE"""),"DEISE DOS SANTOS GUEDES")</f>
        <v>DEISE DOS SANTOS GUEDES</v>
      </c>
      <c r="B973" s="11"/>
      <c r="C973" s="11"/>
      <c r="D973" s="11" t="str">
        <f>IFERROR(__xludf.DUMMYFUNCTION("""COMPUTED_VALUE"""),"Enfermeira eSF")</f>
        <v>Enfermeira eSF</v>
      </c>
      <c r="E973" s="11" t="str">
        <f>IFERROR(__xludf.DUMMYFUNCTION("""COMPUTED_VALUE"""),"VIII")</f>
        <v>VIII</v>
      </c>
      <c r="F973" s="11" t="str">
        <f>IFERROR(__xludf.DUMMYFUNCTION("""COMPUTED_VALUE"""),"US_230 USF LAGOA ENCANTADA")</f>
        <v>US_230 USF LAGOA ENCANTADA</v>
      </c>
      <c r="G973" s="11" t="str">
        <f>IFERROR(__xludf.DUMMYFUNCTION("""COMPUTED_VALUE"""),"US 230 USF LAGOA ENCANTADA")</f>
        <v>US 230 USF LAGOA ENCANTADA</v>
      </c>
      <c r="H973" s="27">
        <f>IFERROR(__xludf.DUMMYFUNCTION("""COMPUTED_VALUE"""),81984641076)</f>
        <v>81984641076</v>
      </c>
      <c r="I973" s="27">
        <f>IFERROR(__xludf.DUMMYFUNCTION("""COMPUTED_VALUE"""),81999710261)</f>
        <v>81999710261</v>
      </c>
      <c r="J973" s="11"/>
      <c r="K973" s="11"/>
      <c r="L973" s="11"/>
      <c r="M973" s="28" t="str">
        <f>IFERROR(__xludf.DUMMYFUNCTION("""COMPUTED_VALUE"""),"3355-6174")</f>
        <v>3355-6174</v>
      </c>
      <c r="N973" s="11" t="str">
        <f>IFERROR(__xludf.DUMMYFUNCTION("""COMPUTED_VALUE"""),"guedesdeise@oi.com.br / deiseguedes78@gmail.com")</f>
        <v>guedesdeise@oi.com.br / deiseguedes78@gmail.com</v>
      </c>
      <c r="O973" s="29">
        <f>IFERROR(__xludf.DUMMYFUNCTION("""COMPUTED_VALUE"""),2587772494)</f>
        <v>2587772494</v>
      </c>
      <c r="P973" s="30" t="str">
        <f>IFERROR(__xludf.DUMMYFUNCTION("""COMPUTED_VALUE"""),"980016004532962")</f>
        <v>980016004532962</v>
      </c>
      <c r="Q973" s="30" t="str">
        <f>IFERROR(__xludf.DUMMYFUNCTION("""COMPUTED_VALUE"""),"0022470")</f>
        <v>0022470</v>
      </c>
      <c r="R973" s="30" t="str">
        <f>IFERROR(__xludf.DUMMYFUNCTION("""COMPUTED_VALUE"""),"0000154075")</f>
        <v>0000154075</v>
      </c>
      <c r="S973" s="30" t="str">
        <f>IFERROR(__xludf.DUMMYFUNCTION("""COMPUTED_VALUE"""),"1")</f>
        <v>1</v>
      </c>
      <c r="T973" s="30" t="str">
        <f>IFERROR(__xludf.DUMMYFUNCTION("""COMPUTED_VALUE"""),"223565")</f>
        <v>223565</v>
      </c>
      <c r="U973" s="31" t="str">
        <f>IFERROR(__xludf.DUMMYFUNCTION("""COMPUTED_VALUE"""),"2235")</f>
        <v>2235</v>
      </c>
      <c r="V973" s="11"/>
      <c r="W973" s="11">
        <f>IFERROR(__xludf.DUMMYFUNCTION("""COMPUTED_VALUE"""),99710261)</f>
        <v>99710261</v>
      </c>
      <c r="X973" s="11">
        <f>IFERROR(__xludf.DUMMYFUNCTION("""COMPUTED_VALUE"""),34538526)</f>
        <v>34538526</v>
      </c>
      <c r="Y973" s="11">
        <f>IFERROR(__xludf.DUMMYFUNCTION("""COMPUTED_VALUE"""),2587772494)</f>
        <v>2587772494</v>
      </c>
      <c r="Z973" s="11"/>
    </row>
    <row r="974" customHeight="1" spans="1:26">
      <c r="A974" s="11" t="str">
        <f>IFERROR(__xludf.DUMMYFUNCTION("""COMPUTED_VALUE"""),"LUCIANA ALZIRA ALMEIDA RIBEIRO")</f>
        <v>LUCIANA ALZIRA ALMEIDA RIBEIRO</v>
      </c>
      <c r="B974" s="11"/>
      <c r="C974" s="11"/>
      <c r="D974" s="11" t="str">
        <f>IFERROR(__xludf.DUMMYFUNCTION("""COMPUTED_VALUE"""),"Médica eSF")</f>
        <v>Médica eSF</v>
      </c>
      <c r="E974" s="11" t="str">
        <f>IFERROR(__xludf.DUMMYFUNCTION("""COMPUTED_VALUE"""),"VIII")</f>
        <v>VIII</v>
      </c>
      <c r="F974" s="11" t="str">
        <f>IFERROR(__xludf.DUMMYFUNCTION("""COMPUTED_VALUE"""),"US_250 USF UR12 UR5 3 ETAPA")</f>
        <v>US_250 USF UR12 UR5 3 ETAPA</v>
      </c>
      <c r="G974" s="11" t="str">
        <f>IFERROR(__xludf.DUMMYFUNCTION("""COMPUTED_VALUE"""),"US 250 USF UR12 UR5 3 ETAPA")</f>
        <v>US 250 USF UR12 UR5 3 ETAPA</v>
      </c>
      <c r="H974" s="27">
        <f>IFERROR(__xludf.DUMMYFUNCTION("""COMPUTED_VALUE"""),81973073099)</f>
        <v>81973073099</v>
      </c>
      <c r="I974" s="11"/>
      <c r="J974" s="11"/>
      <c r="K974" s="11"/>
      <c r="L974" s="11"/>
      <c r="M974" s="28" t="str">
        <f>IFERROR(__xludf.DUMMYFUNCTION("""COMPUTED_VALUE"""),"3355-6690")</f>
        <v>3355-6690</v>
      </c>
      <c r="N974" s="11" t="str">
        <f>IFERROR(__xludf.DUMMYFUNCTION("""COMPUTED_VALUE"""),"lucianaaar@globo.com")</f>
        <v>lucianaaar@globo.com</v>
      </c>
      <c r="O974" s="29">
        <f>IFERROR(__xludf.DUMMYFUNCTION("""COMPUTED_VALUE"""),79487076468)</f>
        <v>79487076468</v>
      </c>
      <c r="P974" s="30" t="str">
        <f>IFERROR(__xludf.DUMMYFUNCTION("""COMPUTED_VALUE"""),"129126464580004")</f>
        <v>129126464580004</v>
      </c>
      <c r="Q974" s="30" t="str">
        <f>IFERROR(__xludf.DUMMYFUNCTION("""COMPUTED_VALUE"""),"0022489")</f>
        <v>0022489</v>
      </c>
      <c r="R974" s="30" t="str">
        <f>IFERROR(__xludf.DUMMYFUNCTION("""COMPUTED_VALUE"""),"0000154105")</f>
        <v>0000154105</v>
      </c>
      <c r="S974" s="30" t="str">
        <f>IFERROR(__xludf.DUMMYFUNCTION("""COMPUTED_VALUE"""),"1")</f>
        <v>1</v>
      </c>
      <c r="T974" s="30" t="str">
        <f>IFERROR(__xludf.DUMMYFUNCTION("""COMPUTED_VALUE"""),"225142")</f>
        <v>225142</v>
      </c>
      <c r="U974" s="31" t="str">
        <f>IFERROR(__xludf.DUMMYFUNCTION("""COMPUTED_VALUE"""),"2251")</f>
        <v>2251</v>
      </c>
      <c r="V974" s="11" t="str">
        <f>IFERROR(__xludf.DUMMYFUNCTION("""COMPUTED_VALUE"""),"SIM")</f>
        <v>SIM</v>
      </c>
      <c r="W974" s="11"/>
      <c r="X974" s="11">
        <f>IFERROR(__xludf.DUMMYFUNCTION("""COMPUTED_VALUE"""),73073099)</f>
        <v>73073099</v>
      </c>
      <c r="Y974" s="11"/>
      <c r="Z974" s="11">
        <f>IFERROR(__xludf.DUMMYFUNCTION("""COMPUTED_VALUE"""),79487076468)</f>
        <v>79487076468</v>
      </c>
    </row>
    <row r="975" customHeight="1" spans="1:26">
      <c r="A975" s="11" t="str">
        <f>IFERROR(__xludf.DUMMYFUNCTION("""COMPUTED_VALUE"""),"CASSANDRA ANDRADE FERREIRA LIMA")</f>
        <v>CASSANDRA ANDRADE FERREIRA LIMA</v>
      </c>
      <c r="B975" s="11"/>
      <c r="C975" s="11"/>
      <c r="D975" s="11" t="str">
        <f>IFERROR(__xludf.DUMMYFUNCTION("""COMPUTED_VALUE"""),"Médica eSF")</f>
        <v>Médica eSF</v>
      </c>
      <c r="E975" s="11" t="str">
        <f>IFERROR(__xludf.DUMMYFUNCTION("""COMPUTED_VALUE"""),"VIII")</f>
        <v>VIII</v>
      </c>
      <c r="F975" s="11" t="str">
        <f>IFERROR(__xludf.DUMMYFUNCTION("""COMPUTED_VALUE"""),"US_267 USF UR 2 / JANE MAGALHAES")</f>
        <v>US_267 USF UR 2 / JANE MAGALHAES</v>
      </c>
      <c r="G975" s="11" t="str">
        <f>IFERROR(__xludf.DUMMYFUNCTION("""COMPUTED_VALUE"""),"US 267 USF UR 2")</f>
        <v>US 267 USF UR 2</v>
      </c>
      <c r="H975" s="11"/>
      <c r="I975" s="11"/>
      <c r="J975" s="11"/>
      <c r="K975" s="11"/>
      <c r="L975" s="11"/>
      <c r="M975" s="28" t="str">
        <f>IFERROR(__xludf.DUMMYFUNCTION("""COMPUTED_VALUE"""),"3355-6239")</f>
        <v>3355-6239</v>
      </c>
      <c r="N975" s="11"/>
      <c r="O975" s="29">
        <f>IFERROR(__xludf.DUMMYFUNCTION("""COMPUTED_VALUE"""),62226347291)</f>
        <v>62226347291</v>
      </c>
      <c r="P975" s="30" t="str">
        <f>IFERROR(__xludf.DUMMYFUNCTION("""COMPUTED_VALUE"""),"700002765576402")</f>
        <v>700002765576402</v>
      </c>
      <c r="Q975" s="30" t="str">
        <f>IFERROR(__xludf.DUMMYFUNCTION("""COMPUTED_VALUE"""),"0026352")</f>
        <v>0026352</v>
      </c>
      <c r="R975" s="30" t="str">
        <f>IFERROR(__xludf.DUMMYFUNCTION("""COMPUTED_VALUE"""),"0000154326")</f>
        <v>0000154326</v>
      </c>
      <c r="S975" s="30" t="str">
        <f>IFERROR(__xludf.DUMMYFUNCTION("""COMPUTED_VALUE"""),"1")</f>
        <v>1</v>
      </c>
      <c r="T975" s="30" t="str">
        <f>IFERROR(__xludf.DUMMYFUNCTION("""COMPUTED_VALUE"""),"225142")</f>
        <v>225142</v>
      </c>
      <c r="U975" s="31" t="str">
        <f>IFERROR(__xludf.DUMMYFUNCTION("""COMPUTED_VALUE"""),"2251")</f>
        <v>2251</v>
      </c>
      <c r="V975" s="11"/>
      <c r="W975" s="11"/>
      <c r="X975" s="11"/>
      <c r="Y975" s="11"/>
      <c r="Z975" s="11"/>
    </row>
    <row r="976" customHeight="1" spans="1:26">
      <c r="A976" s="11" t="str">
        <f>IFERROR(__xludf.DUMMYFUNCTION("""COMPUTED_VALUE"""),"IRIS TERTULIANO CHALEGRE HONORATO")</f>
        <v>IRIS TERTULIANO CHALEGRE HONORATO</v>
      </c>
      <c r="B976" s="11"/>
      <c r="C976" s="11"/>
      <c r="D976" s="11" t="str">
        <f>IFERROR(__xludf.DUMMYFUNCTION("""COMPUTED_VALUE"""),"Enfermeira eSF")</f>
        <v>Enfermeira eSF</v>
      </c>
      <c r="E976" s="11" t="str">
        <f>IFERROR(__xludf.DUMMYFUNCTION("""COMPUTED_VALUE"""),"VIII")</f>
        <v>VIII</v>
      </c>
      <c r="F976" s="11" t="str">
        <f>IFERROR(__xludf.DUMMYFUNCTION("""COMPUTED_VALUE"""),"US_267 USF UR 2 / JANE MAGALHAES")</f>
        <v>US_267 USF UR 2 / JANE MAGALHAES</v>
      </c>
      <c r="G976" s="11" t="str">
        <f>IFERROR(__xludf.DUMMYFUNCTION("""COMPUTED_VALUE"""),"US 267 USF UR 2")</f>
        <v>US 267 USF UR 2</v>
      </c>
      <c r="H976" s="27">
        <f>IFERROR(__xludf.DUMMYFUNCTION("""COMPUTED_VALUE"""),81997399228)</f>
        <v>81997399228</v>
      </c>
      <c r="I976" s="27">
        <f>IFERROR(__xludf.DUMMYFUNCTION("""COMPUTED_VALUE"""),81987399228)</f>
        <v>81987399228</v>
      </c>
      <c r="J976" s="11"/>
      <c r="K976" s="11"/>
      <c r="L976" s="11"/>
      <c r="M976" s="28" t="str">
        <f>IFERROR(__xludf.DUMMYFUNCTION("""COMPUTED_VALUE"""),"3355-6239")</f>
        <v>3355-6239</v>
      </c>
      <c r="N976" s="11" t="str">
        <f>IFERROR(__xludf.DUMMYFUNCTION("""COMPUTED_VALUE"""),"chalegrehonorato@yahoo.com.br")</f>
        <v>chalegrehonorato@yahoo.com.br</v>
      </c>
      <c r="O976" s="29">
        <f>IFERROR(__xludf.DUMMYFUNCTION("""COMPUTED_VALUE"""),914784480)</f>
        <v>914784480</v>
      </c>
      <c r="P976" s="30" t="str">
        <f>IFERROR(__xludf.DUMMYFUNCTION("""COMPUTED_VALUE"""),"980016282809652")</f>
        <v>980016282809652</v>
      </c>
      <c r="Q976" s="30" t="str">
        <f>IFERROR(__xludf.DUMMYFUNCTION("""COMPUTED_VALUE"""),"0026352")</f>
        <v>0026352</v>
      </c>
      <c r="R976" s="30" t="str">
        <f>IFERROR(__xludf.DUMMYFUNCTION("""COMPUTED_VALUE"""),"0000154326")</f>
        <v>0000154326</v>
      </c>
      <c r="S976" s="30" t="str">
        <f>IFERROR(__xludf.DUMMYFUNCTION("""COMPUTED_VALUE"""),"1")</f>
        <v>1</v>
      </c>
      <c r="T976" s="30" t="str">
        <f>IFERROR(__xludf.DUMMYFUNCTION("""COMPUTED_VALUE"""),"223565")</f>
        <v>223565</v>
      </c>
      <c r="U976" s="31" t="str">
        <f>IFERROR(__xludf.DUMMYFUNCTION("""COMPUTED_VALUE"""),"2235")</f>
        <v>2235</v>
      </c>
      <c r="V976" s="11"/>
      <c r="W976" s="11">
        <f>IFERROR(__xludf.DUMMYFUNCTION("""COMPUTED_VALUE"""),8132289228)</f>
        <v>8132289228</v>
      </c>
      <c r="X976" s="11">
        <f>IFERROR(__xludf.DUMMYFUNCTION("""COMPUTED_VALUE"""),8197399228)</f>
        <v>8197399228</v>
      </c>
      <c r="Y976" s="11">
        <f>IFERROR(__xludf.DUMMYFUNCTION("""COMPUTED_VALUE"""),914784480)</f>
        <v>914784480</v>
      </c>
      <c r="Z976" s="11"/>
    </row>
    <row r="977" customHeight="1" spans="1:26">
      <c r="A977" s="11" t="str">
        <f>IFERROR(__xludf.DUMMYFUNCTION("""COMPUTED_VALUE"""),"MILENA TEREZA FERREIRA")</f>
        <v>MILENA TEREZA FERREIRA</v>
      </c>
      <c r="B977" s="11"/>
      <c r="C977" s="11"/>
      <c r="D977" s="11" t="str">
        <f>IFERROR(__xludf.DUMMYFUNCTION("""COMPUTED_VALUE"""),"Médica Residente")</f>
        <v>Médica Residente</v>
      </c>
      <c r="E977" s="11"/>
      <c r="F977" s="11"/>
      <c r="G977" s="11" t="str">
        <f>IFERROR(__xludf.DUMMYFUNCTION("""COMPUTED_VALUE"""),"US 339 USF ALTO DO CAPITAO")</f>
        <v>US 339 USF ALTO DO CAPITAO</v>
      </c>
      <c r="H977" s="27">
        <f>IFERROR(__xludf.DUMMYFUNCTION("""COMPUTED_VALUE"""),74991896901)</f>
        <v>74991896901</v>
      </c>
      <c r="I977" s="11"/>
      <c r="J977" s="11"/>
      <c r="K977" s="24">
        <f>IFERROR(__xludf.DUMMYFUNCTION("""COMPUTED_VALUE"""),45370)</f>
        <v>45370</v>
      </c>
      <c r="L977" s="11"/>
      <c r="M977" s="11"/>
      <c r="N977" s="11"/>
      <c r="O977" s="11"/>
      <c r="P977" s="11"/>
      <c r="Q977" s="11"/>
      <c r="R977" s="11"/>
      <c r="S977" s="11"/>
      <c r="T977" s="11"/>
      <c r="U977" s="11"/>
      <c r="V977" s="11"/>
      <c r="W977" s="11"/>
      <c r="X977" s="11"/>
      <c r="Y977" s="11"/>
      <c r="Z977" s="11"/>
    </row>
    <row r="978" customHeight="1" spans="1:26">
      <c r="A978" s="11" t="str">
        <f>IFERROR(__xludf.DUMMYFUNCTION("""COMPUTED_VALUE"""),"DANIELE CALACA DE OLIVEIRA")</f>
        <v>DANIELE CALACA DE OLIVEIRA</v>
      </c>
      <c r="B978" s="11"/>
      <c r="C978" s="11"/>
      <c r="D978" s="11" t="str">
        <f>IFERROR(__xludf.DUMMYFUNCTION("""COMPUTED_VALUE"""),"Médica Residente")</f>
        <v>Médica Residente</v>
      </c>
      <c r="E978" s="11" t="str">
        <f>IFERROR(__xludf.DUMMYFUNCTION("""COMPUTED_VALUE"""),"VIII")</f>
        <v>VIII</v>
      </c>
      <c r="F978" s="11" t="str">
        <f>IFERROR(__xludf.DUMMYFUNCTION("""COMPUTED_VALUE"""),"US_339 USF ALTO DO CAPITAO	")</f>
        <v>US_339 USF ALTO DO CAPITAO	</v>
      </c>
      <c r="G978" s="11" t="str">
        <f>IFERROR(__xludf.DUMMYFUNCTION("""COMPUTED_VALUE"""),"US 339 USF ALTO DO CAPITAO")</f>
        <v>US 339 USF ALTO DO CAPITAO</v>
      </c>
      <c r="H978" s="27">
        <f>IFERROR(__xludf.DUMMYFUNCTION("""COMPUTED_VALUE"""),81995214120)</f>
        <v>81995214120</v>
      </c>
      <c r="I978" s="27">
        <f>IFERROR(__xludf.DUMMYFUNCTION("""COMPUTED_VALUE"""),81986335331)</f>
        <v>81986335331</v>
      </c>
      <c r="J978" s="11"/>
      <c r="K978" s="11"/>
      <c r="L978" s="11"/>
      <c r="M978" s="28" t="str">
        <f>IFERROR(__xludf.DUMMYFUNCTION("""COMPUTED_VALUE"""),"3355-6691")</f>
        <v>3355-6691</v>
      </c>
      <c r="N978" s="11" t="str">
        <f>IFERROR(__xludf.DUMMYFUNCTION("""COMPUTED_VALUE"""),"niele_calaca@hotmail.com")</f>
        <v>niele_calaca@hotmail.com</v>
      </c>
      <c r="O978" s="29">
        <f>IFERROR(__xludf.DUMMYFUNCTION("""COMPUTED_VALUE"""),9435935494)</f>
        <v>9435935494</v>
      </c>
      <c r="P978" s="30" t="str">
        <f>IFERROR(__xludf.DUMMYFUNCTION("""COMPUTED_VALUE"""),"704002844958165")</f>
        <v>704002844958165</v>
      </c>
      <c r="Q978" s="30" t="str">
        <f>IFERROR(__xludf.DUMMYFUNCTION("""COMPUTED_VALUE"""),"0028665")</f>
        <v>0028665</v>
      </c>
      <c r="R978" s="30" t="str">
        <f>IFERROR(__xludf.DUMMYFUNCTION("""COMPUTED_VALUE"""),"9002866502")</f>
        <v>9002866502</v>
      </c>
      <c r="S978" s="30" t="str">
        <f>IFERROR(__xludf.DUMMYFUNCTION("""COMPUTED_VALUE"""),"1")</f>
        <v>1</v>
      </c>
      <c r="T978" s="30" t="str">
        <f>IFERROR(__xludf.DUMMYFUNCTION("""COMPUTED_VALUE"""),"225142")</f>
        <v>225142</v>
      </c>
      <c r="U978" s="31" t="str">
        <f>IFERROR(__xludf.DUMMYFUNCTION("""COMPUTED_VALUE"""),"2251")</f>
        <v>2251</v>
      </c>
      <c r="V978" s="11"/>
      <c r="W978" s="11"/>
      <c r="X978" s="11"/>
      <c r="Y978" s="11"/>
      <c r="Z978" s="11"/>
    </row>
    <row r="979" customHeight="1" spans="1:26">
      <c r="A979" s="11" t="str">
        <f>IFERROR(__xludf.DUMMYFUNCTION("""COMPUTED_VALUE"""),"KLECIA RODRIGUES OLIVEIRA")</f>
        <v>KLECIA RODRIGUES OLIVEIRA</v>
      </c>
      <c r="B979" s="11"/>
      <c r="C979" s="11"/>
      <c r="D979" s="11" t="str">
        <f>IFERROR(__xludf.DUMMYFUNCTION("""COMPUTED_VALUE"""),"Enfermeira eSF")</f>
        <v>Enfermeira eSF</v>
      </c>
      <c r="E979" s="11" t="str">
        <f>IFERROR(__xludf.DUMMYFUNCTION("""COMPUTED_VALUE"""),"VIII")</f>
        <v>VIII</v>
      </c>
      <c r="F979" s="11" t="str">
        <f>IFERROR(__xludf.DUMMYFUNCTION("""COMPUTED_VALUE"""),"US_270 USF MONTE VERDE")</f>
        <v>US_270 USF MONTE VERDE</v>
      </c>
      <c r="G979" s="11" t="str">
        <f>IFERROR(__xludf.DUMMYFUNCTION("""COMPUTED_VALUE"""),"US 270 USF MONTE VERDE")</f>
        <v>US 270 USF MONTE VERDE</v>
      </c>
      <c r="H979" s="27">
        <f>IFERROR(__xludf.DUMMYFUNCTION("""COMPUTED_VALUE"""),81988329318)</f>
        <v>81988329318</v>
      </c>
      <c r="I979" s="11"/>
      <c r="J979" s="11"/>
      <c r="K979" s="11"/>
      <c r="L979" s="11"/>
      <c r="M979" s="28" t="str">
        <f>IFERROR(__xludf.DUMMYFUNCTION("""COMPUTED_VALUE"""),"3355-6159")</f>
        <v>3355-6159</v>
      </c>
      <c r="N979" s="11" t="str">
        <f>IFERROR(__xludf.DUMMYFUNCTION("""COMPUTED_VALUE"""),"klecia@hotmail.com")</f>
        <v>klecia@hotmail.com</v>
      </c>
      <c r="O979" s="29">
        <f>IFERROR(__xludf.DUMMYFUNCTION("""COMPUTED_VALUE"""),84478055300)</f>
        <v>84478055300</v>
      </c>
      <c r="P979" s="30" t="str">
        <f>IFERROR(__xludf.DUMMYFUNCTION("""COMPUTED_VALUE"""),"210303139800018")</f>
        <v>210303139800018</v>
      </c>
      <c r="Q979" s="30" t="str">
        <f>IFERROR(__xludf.DUMMYFUNCTION("""COMPUTED_VALUE"""),"0026387")</f>
        <v>0026387</v>
      </c>
      <c r="R979" s="30" t="str">
        <f>IFERROR(__xludf.DUMMYFUNCTION("""COMPUTED_VALUE"""),"0000154393")</f>
        <v>0000154393</v>
      </c>
      <c r="S979" s="30" t="str">
        <f>IFERROR(__xludf.DUMMYFUNCTION("""COMPUTED_VALUE"""),"1")</f>
        <v>1</v>
      </c>
      <c r="T979" s="30" t="str">
        <f>IFERROR(__xludf.DUMMYFUNCTION("""COMPUTED_VALUE"""),"223565")</f>
        <v>223565</v>
      </c>
      <c r="U979" s="31" t="str">
        <f>IFERROR(__xludf.DUMMYFUNCTION("""COMPUTED_VALUE"""),"2235")</f>
        <v>2235</v>
      </c>
      <c r="V979" s="11"/>
      <c r="W979" s="11" t="str">
        <f>IFERROR(__xludf.DUMMYFUNCTION("""COMPUTED_VALUE"""),"#N/A")</f>
        <v>#N/A</v>
      </c>
      <c r="X979" s="11" t="str">
        <f>IFERROR(__xludf.DUMMYFUNCTION("""COMPUTED_VALUE"""),"#N/A")</f>
        <v>#N/A</v>
      </c>
      <c r="Y979" s="11" t="str">
        <f>IFERROR(__xludf.DUMMYFUNCTION("""COMPUTED_VALUE"""),"#N/A")</f>
        <v>#N/A</v>
      </c>
      <c r="Z979" s="11"/>
    </row>
    <row r="980" customHeight="1" spans="1:26">
      <c r="A980" s="11" t="str">
        <f>IFERROR(__xludf.DUMMYFUNCTION("""COMPUTED_VALUE"""),"PATRICIA H SOUGEY DE ALMEIDA")</f>
        <v>PATRICIA H SOUGEY DE ALMEIDA</v>
      </c>
      <c r="B980" s="11"/>
      <c r="C980" s="11"/>
      <c r="D980" s="11" t="str">
        <f>IFERROR(__xludf.DUMMYFUNCTION("""COMPUTED_VALUE"""),"Dentista")</f>
        <v>Dentista</v>
      </c>
      <c r="E980" s="11" t="str">
        <f>IFERROR(__xludf.DUMMYFUNCTION("""COMPUTED_VALUE"""),"VIII")</f>
        <v>VIII</v>
      </c>
      <c r="F980" s="11" t="str">
        <f>IFERROR(__xludf.DUMMYFUNCTION("""COMPUTED_VALUE"""),"US_252 USF ENGENHO DO MEIO	")</f>
        <v>US_252 USF ENGENHO DO MEIO	</v>
      </c>
      <c r="G980" s="11" t="str">
        <f>IFERROR(__xludf.DUMMYFUNCTION("""COMPUTED_VALUE"""),"US 270 USF MONTE VERDE")</f>
        <v>US 270 USF MONTE VERDE</v>
      </c>
      <c r="H980" s="27">
        <f>IFERROR(__xludf.DUMMYFUNCTION("""COMPUTED_VALUE"""),81999987756)</f>
        <v>81999987756</v>
      </c>
      <c r="I980" s="11"/>
      <c r="J980" s="11"/>
      <c r="K980" s="11"/>
      <c r="L980" s="11"/>
      <c r="M980" s="28" t="str">
        <f>IFERROR(__xludf.DUMMYFUNCTION("""COMPUTED_VALUE"""),"3355-6159")</f>
        <v>3355-6159</v>
      </c>
      <c r="N980" s="11" t="str">
        <f>IFERROR(__xludf.DUMMYFUNCTION("""COMPUTED_VALUE"""),"patricia_sougey@hotmail.com")</f>
        <v>patricia_sougey@hotmail.com</v>
      </c>
      <c r="O980" s="29">
        <f>IFERROR(__xludf.DUMMYFUNCTION("""COMPUTED_VALUE"""),71836748434)</f>
        <v>71836748434</v>
      </c>
      <c r="P980" s="30" t="str">
        <f>IFERROR(__xludf.DUMMYFUNCTION("""COMPUTED_VALUE"""),"170616554270002")</f>
        <v>170616554270002</v>
      </c>
      <c r="Q980" s="30" t="str">
        <f>IFERROR(__xludf.DUMMYFUNCTION("""COMPUTED_VALUE"""),"0026387")</f>
        <v>0026387</v>
      </c>
      <c r="R980" s="30" t="str">
        <f>IFERROR(__xludf.DUMMYFUNCTION("""COMPUTED_VALUE"""),"0001889281")</f>
        <v>0001889281</v>
      </c>
      <c r="S980" s="30" t="str">
        <f>IFERROR(__xludf.DUMMYFUNCTION("""COMPUTED_VALUE"""),"1")</f>
        <v>1</v>
      </c>
      <c r="T980" s="30" t="str">
        <f>IFERROR(__xludf.DUMMYFUNCTION("""COMPUTED_VALUE"""),"223293")</f>
        <v>223293</v>
      </c>
      <c r="U980" s="31">
        <f>IFERROR(__xludf.DUMMYFUNCTION("""COMPUTED_VALUE"""),2232)</f>
        <v>2232</v>
      </c>
      <c r="V980" s="11"/>
      <c r="W980" s="11"/>
      <c r="X980" s="11"/>
      <c r="Y980" s="11"/>
      <c r="Z980" s="11"/>
    </row>
    <row r="981" customHeight="1" spans="1:26">
      <c r="A981" s="11" t="str">
        <f>IFERROR(__xludf.DUMMYFUNCTION("""COMPUTED_VALUE"""),"RUTE GOMES DO NASCIMENTO")</f>
        <v>RUTE GOMES DO NASCIMENTO</v>
      </c>
      <c r="B981" s="11"/>
      <c r="C981" s="11"/>
      <c r="D981" s="11" t="str">
        <f>IFERROR(__xludf.DUMMYFUNCTION("""COMPUTED_VALUE"""),"Enfermeira eSF")</f>
        <v>Enfermeira eSF</v>
      </c>
      <c r="E981" s="11" t="str">
        <f>IFERROR(__xludf.DUMMYFUNCTION("""COMPUTED_VALUE"""),"VIII")</f>
        <v>VIII</v>
      </c>
      <c r="F981" s="11" t="str">
        <f>IFERROR(__xludf.DUMMYFUNCTION("""COMPUTED_VALUE"""),"US_270 USF MONTE VERDE")</f>
        <v>US_270 USF MONTE VERDE</v>
      </c>
      <c r="G981" s="11" t="str">
        <f>IFERROR(__xludf.DUMMYFUNCTION("""COMPUTED_VALUE"""),"US 270 USF MONTE VERDE")</f>
        <v>US 270 USF MONTE VERDE</v>
      </c>
      <c r="H981" s="27">
        <f>IFERROR(__xludf.DUMMYFUNCTION("""COMPUTED_VALUE"""),81987719813)</f>
        <v>81987719813</v>
      </c>
      <c r="I981" s="11"/>
      <c r="J981" s="11"/>
      <c r="K981" s="11"/>
      <c r="L981" s="11"/>
      <c r="M981" s="28" t="str">
        <f>IFERROR(__xludf.DUMMYFUNCTION("""COMPUTED_VALUE"""),"3355-6159")</f>
        <v>3355-6159</v>
      </c>
      <c r="N981" s="11" t="str">
        <f>IFERROR(__xludf.DUMMYFUNCTION("""COMPUTED_VALUE"""),"rozamelli@hotmail.com")</f>
        <v>rozamelli@hotmail.com</v>
      </c>
      <c r="O981" s="29">
        <f>IFERROR(__xludf.DUMMYFUNCTION("""COMPUTED_VALUE"""),37512293453)</f>
        <v>37512293453</v>
      </c>
      <c r="P981" s="30" t="str">
        <f>IFERROR(__xludf.DUMMYFUNCTION("""COMPUTED_VALUE"""),"125088554070005")</f>
        <v>125088554070005</v>
      </c>
      <c r="Q981" s="30" t="str">
        <f>IFERROR(__xludf.DUMMYFUNCTION("""COMPUTED_VALUE"""),"0026387")</f>
        <v>0026387</v>
      </c>
      <c r="R981" s="30" t="str">
        <f>IFERROR(__xludf.DUMMYFUNCTION("""COMPUTED_VALUE"""),"0000154385")</f>
        <v>0000154385</v>
      </c>
      <c r="S981" s="30" t="str">
        <f>IFERROR(__xludf.DUMMYFUNCTION("""COMPUTED_VALUE"""),"1")</f>
        <v>1</v>
      </c>
      <c r="T981" s="30" t="str">
        <f>IFERROR(__xludf.DUMMYFUNCTION("""COMPUTED_VALUE"""),"223565")</f>
        <v>223565</v>
      </c>
      <c r="U981" s="31" t="str">
        <f>IFERROR(__xludf.DUMMYFUNCTION("""COMPUTED_VALUE"""),"2235")</f>
        <v>2235</v>
      </c>
      <c r="V981" s="11"/>
      <c r="W981" s="11" t="str">
        <f>IFERROR(__xludf.DUMMYFUNCTION("""COMPUTED_VALUE"""),"#N/A")</f>
        <v>#N/A</v>
      </c>
      <c r="X981" s="11" t="str">
        <f>IFERROR(__xludf.DUMMYFUNCTION("""COMPUTED_VALUE"""),"#N/A")</f>
        <v>#N/A</v>
      </c>
      <c r="Y981" s="11" t="str">
        <f>IFERROR(__xludf.DUMMYFUNCTION("""COMPUTED_VALUE"""),"#N/A")</f>
        <v>#N/A</v>
      </c>
      <c r="Z981" s="11"/>
    </row>
    <row r="982" customHeight="1" spans="1:26">
      <c r="A982" s="11" t="str">
        <f>IFERROR(__xludf.DUMMYFUNCTION("""COMPUTED_VALUE"""),"ROSE MARTINS DOS SANTOS ROLIN")</f>
        <v>ROSE MARTINS DOS SANTOS ROLIN</v>
      </c>
      <c r="B982" s="11"/>
      <c r="C982" s="11"/>
      <c r="D982" s="11" t="str">
        <f>IFERROR(__xludf.DUMMYFUNCTION("""COMPUTED_VALUE"""),"Enfermeira eSF")</f>
        <v>Enfermeira eSF</v>
      </c>
      <c r="E982" s="11" t="str">
        <f>IFERROR(__xludf.DUMMYFUNCTION("""COMPUTED_VALUE"""),"VIII")</f>
        <v>VIII</v>
      </c>
      <c r="F982" s="11" t="str">
        <f>IFERROR(__xludf.DUMMYFUNCTION("""COMPUTED_VALUE"""),"US_281 USF VILA DOS MILAGRES")</f>
        <v>US_281 USF VILA DOS MILAGRES</v>
      </c>
      <c r="G982" s="11" t="str">
        <f>IFERROR(__xludf.DUMMYFUNCTION("""COMPUTED_VALUE"""),"US 281 USF VILA DOS MILAGRES")</f>
        <v>US 281 USF VILA DOS MILAGRES</v>
      </c>
      <c r="H982" s="27">
        <f>IFERROR(__xludf.DUMMYFUNCTION("""COMPUTED_VALUE"""),81998337868)</f>
        <v>81998337868</v>
      </c>
      <c r="I982" s="11"/>
      <c r="J982" s="11"/>
      <c r="K982" s="11"/>
      <c r="L982" s="11"/>
      <c r="M982" s="28" t="str">
        <f>IFERROR(__xludf.DUMMYFUNCTION("""COMPUTED_VALUE"""),"3355-6251")</f>
        <v>3355-6251</v>
      </c>
      <c r="N982" s="11" t="str">
        <f>IFERROR(__xludf.DUMMYFUNCTION("""COMPUTED_VALUE"""),"rosemartins2003@ig.com.br")</f>
        <v>rosemartins2003@ig.com.br</v>
      </c>
      <c r="O982" s="29">
        <f>IFERROR(__xludf.DUMMYFUNCTION("""COMPUTED_VALUE"""),980667496)</f>
        <v>980667496</v>
      </c>
      <c r="P982" s="30" t="str">
        <f>IFERROR(__xludf.DUMMYFUNCTION("""COMPUTED_VALUE"""),"980016001862627")</f>
        <v>980016001862627</v>
      </c>
      <c r="Q982" s="30" t="str">
        <f>IFERROR(__xludf.DUMMYFUNCTION("""COMPUTED_VALUE"""),"0029041")</f>
        <v>0029041</v>
      </c>
      <c r="R982" s="30" t="str">
        <f>IFERROR(__xludf.DUMMYFUNCTION("""COMPUTED_VALUE"""),"0000154628")</f>
        <v>0000154628</v>
      </c>
      <c r="S982" s="30" t="str">
        <f>IFERROR(__xludf.DUMMYFUNCTION("""COMPUTED_VALUE"""),"1")</f>
        <v>1</v>
      </c>
      <c r="T982" s="30" t="str">
        <f>IFERROR(__xludf.DUMMYFUNCTION("""COMPUTED_VALUE"""),"223565")</f>
        <v>223565</v>
      </c>
      <c r="U982" s="31" t="str">
        <f>IFERROR(__xludf.DUMMYFUNCTION("""COMPUTED_VALUE"""),"2235")</f>
        <v>2235</v>
      </c>
      <c r="V982" s="11"/>
      <c r="W982" s="11" t="str">
        <f>IFERROR(__xludf.DUMMYFUNCTION("""COMPUTED_VALUE"""),"#N/A")</f>
        <v>#N/A</v>
      </c>
      <c r="X982" s="11" t="str">
        <f>IFERROR(__xludf.DUMMYFUNCTION("""COMPUTED_VALUE"""),"#N/A")</f>
        <v>#N/A</v>
      </c>
      <c r="Y982" s="11" t="str">
        <f>IFERROR(__xludf.DUMMYFUNCTION("""COMPUTED_VALUE"""),"#N/A")</f>
        <v>#N/A</v>
      </c>
      <c r="Z982" s="11"/>
    </row>
    <row r="983" customHeight="1" spans="1:26">
      <c r="A983" s="11" t="str">
        <f>IFERROR(__xludf.DUMMYFUNCTION("""COMPUTED_VALUE"""),"MARIA DA CONCEICAO DA CUNHA")</f>
        <v>MARIA DA CONCEICAO DA CUNHA</v>
      </c>
      <c r="B983" s="11"/>
      <c r="C983" s="11"/>
      <c r="D983" s="11" t="str">
        <f>IFERROR(__xludf.DUMMYFUNCTION("""COMPUTED_VALUE"""),"Enfermeira eSF")</f>
        <v>Enfermeira eSF</v>
      </c>
      <c r="E983" s="11" t="str">
        <f>IFERROR(__xludf.DUMMYFUNCTION("""COMPUTED_VALUE"""),"VIII")</f>
        <v>VIII</v>
      </c>
      <c r="F983" s="11" t="str">
        <f>IFERROR(__xludf.DUMMYFUNCTION("""COMPUTED_VALUE"""),"US_282 USF VILA DAS AEROMOCAS")</f>
        <v>US_282 USF VILA DAS AEROMOCAS</v>
      </c>
      <c r="G983" s="11" t="str">
        <f>IFERROR(__xludf.DUMMYFUNCTION("""COMPUTED_VALUE"""),"US 282 USF VILA DAS AEROMOCAS")</f>
        <v>US 282 USF VILA DAS AEROMOCAS</v>
      </c>
      <c r="H983" s="27">
        <f>IFERROR(__xludf.DUMMYFUNCTION("""COMPUTED_VALUE"""),81987035100)</f>
        <v>81987035100</v>
      </c>
      <c r="I983" s="11"/>
      <c r="J983" s="11"/>
      <c r="K983" s="11"/>
      <c r="L983" s="11"/>
      <c r="M983" s="28" t="str">
        <f>IFERROR(__xludf.DUMMYFUNCTION("""COMPUTED_VALUE"""),"3355-4620")</f>
        <v>3355-4620</v>
      </c>
      <c r="N983" s="11" t="str">
        <f>IFERROR(__xludf.DUMMYFUNCTION("""COMPUTED_VALUE"""),"conceicao.enfermeira@hotmail.com")</f>
        <v>conceicao.enfermeira@hotmail.com</v>
      </c>
      <c r="O983" s="29">
        <f>IFERROR(__xludf.DUMMYFUNCTION("""COMPUTED_VALUE"""),19684720459)</f>
        <v>19684720459</v>
      </c>
      <c r="P983" s="30" t="str">
        <f>IFERROR(__xludf.DUMMYFUNCTION("""COMPUTED_VALUE"""),"170468822210003")</f>
        <v>170468822210003</v>
      </c>
      <c r="Q983" s="30" t="str">
        <f>IFERROR(__xludf.DUMMYFUNCTION("""COMPUTED_VALUE"""),"0029068")</f>
        <v>0029068</v>
      </c>
      <c r="R983" s="30" t="str">
        <f>IFERROR(__xludf.DUMMYFUNCTION("""COMPUTED_VALUE"""),"0000154652")</f>
        <v>0000154652</v>
      </c>
      <c r="S983" s="30" t="str">
        <f>IFERROR(__xludf.DUMMYFUNCTION("""COMPUTED_VALUE"""),"1")</f>
        <v>1</v>
      </c>
      <c r="T983" s="30" t="str">
        <f>IFERROR(__xludf.DUMMYFUNCTION("""COMPUTED_VALUE"""),"223565")</f>
        <v>223565</v>
      </c>
      <c r="U983" s="31" t="str">
        <f>IFERROR(__xludf.DUMMYFUNCTION("""COMPUTED_VALUE"""),"2235")</f>
        <v>2235</v>
      </c>
      <c r="V983" s="11"/>
      <c r="W983" s="11">
        <f>IFERROR(__xludf.DUMMYFUNCTION("""COMPUTED_VALUE"""),87035100)</f>
        <v>87035100</v>
      </c>
      <c r="X983" s="11">
        <f>IFERROR(__xludf.DUMMYFUNCTION("""COMPUTED_VALUE"""),30970788)</f>
        <v>30970788</v>
      </c>
      <c r="Y983" s="11">
        <f>IFERROR(__xludf.DUMMYFUNCTION("""COMPUTED_VALUE"""),19684720459)</f>
        <v>19684720459</v>
      </c>
      <c r="Z983" s="11"/>
    </row>
    <row r="984" customHeight="1" spans="1:26">
      <c r="A984" s="11" t="str">
        <f>IFERROR(__xludf.DUMMYFUNCTION("""COMPUTED_VALUE"""),"ANA CLAUDIA CAMPOS CARDOSO")</f>
        <v>ANA CLAUDIA CAMPOS CARDOSO</v>
      </c>
      <c r="B984" s="11"/>
      <c r="C984" s="11"/>
      <c r="D984" s="11" t="str">
        <f>IFERROR(__xludf.DUMMYFUNCTION("""COMPUTED_VALUE"""),"Enfermeira eSF")</f>
        <v>Enfermeira eSF</v>
      </c>
      <c r="E984" s="11" t="str">
        <f>IFERROR(__xludf.DUMMYFUNCTION("""COMPUTED_VALUE"""),"VIII")</f>
        <v>VIII</v>
      </c>
      <c r="F984" s="11" t="str">
        <f>IFERROR(__xludf.DUMMYFUNCTION("""COMPUTED_VALUE"""),"US_289 USF JOSUE DE CASTRO")</f>
        <v>US_289 USF JOSUE DE CASTRO</v>
      </c>
      <c r="G984" s="11" t="str">
        <f>IFERROR(__xludf.DUMMYFUNCTION("""COMPUTED_VALUE"""),"US 289 USF JOSUE DE CASTRO")</f>
        <v>US 289 USF JOSUE DE CASTRO</v>
      </c>
      <c r="H984" s="27">
        <f>IFERROR(__xludf.DUMMYFUNCTION("""COMPUTED_VALUE"""),81999560893)</f>
        <v>81999560893</v>
      </c>
      <c r="I984" s="11"/>
      <c r="J984" s="11"/>
      <c r="K984" s="11"/>
      <c r="L984" s="11"/>
      <c r="M984" s="28" t="str">
        <f>IFERROR(__xludf.DUMMYFUNCTION("""COMPUTED_VALUE"""),"3355-3037")</f>
        <v>3355-3037</v>
      </c>
      <c r="N984" s="11" t="str">
        <f>IFERROR(__xludf.DUMMYFUNCTION("""COMPUTED_VALUE"""),"claudia_c_cardoso@hotmail.com")</f>
        <v>claudia_c_cardoso@hotmail.com</v>
      </c>
      <c r="O984" s="29">
        <f>IFERROR(__xludf.DUMMYFUNCTION("""COMPUTED_VALUE"""),2275312480)</f>
        <v>2275312480</v>
      </c>
      <c r="P984" s="30" t="str">
        <f>IFERROR(__xludf.DUMMYFUNCTION("""COMPUTED_VALUE"""),"980016282249436")</f>
        <v>980016282249436</v>
      </c>
      <c r="Q984" s="30" t="str">
        <f>IFERROR(__xludf.DUMMYFUNCTION("""COMPUTED_VALUE"""),"2752824")</f>
        <v>2752824</v>
      </c>
      <c r="R984" s="30" t="str">
        <f>IFERROR(__xludf.DUMMYFUNCTION("""COMPUTED_VALUE"""),"0000154865")</f>
        <v>0000154865</v>
      </c>
      <c r="S984" s="30" t="str">
        <f>IFERROR(__xludf.DUMMYFUNCTION("""COMPUTED_VALUE"""),"1")</f>
        <v>1</v>
      </c>
      <c r="T984" s="30" t="str">
        <f>IFERROR(__xludf.DUMMYFUNCTION("""COMPUTED_VALUE"""),"223565")</f>
        <v>223565</v>
      </c>
      <c r="U984" s="31" t="str">
        <f>IFERROR(__xludf.DUMMYFUNCTION("""COMPUTED_VALUE"""),"2235")</f>
        <v>2235</v>
      </c>
      <c r="V984" s="11"/>
      <c r="W984" s="11">
        <f>IFERROR(__xludf.DUMMYFUNCTION("""COMPUTED_VALUE"""),88052491)</f>
        <v>88052491</v>
      </c>
      <c r="X984" s="11">
        <f>IFERROR(__xludf.DUMMYFUNCTION("""COMPUTED_VALUE"""),99643329)</f>
        <v>99643329</v>
      </c>
      <c r="Y984" s="11">
        <f>IFERROR(__xludf.DUMMYFUNCTION("""COMPUTED_VALUE"""),2275312480)</f>
        <v>2275312480</v>
      </c>
      <c r="Z984" s="11"/>
    </row>
    <row r="985" customHeight="1" spans="1:26">
      <c r="A985" s="11" t="str">
        <f>IFERROR(__xludf.DUMMYFUNCTION("""COMPUTED_VALUE"""),"ANA MARIA GALVAO DE OLIVEIRA")</f>
        <v>ANA MARIA GALVAO DE OLIVEIRA</v>
      </c>
      <c r="B985" s="11"/>
      <c r="C985" s="11"/>
      <c r="D985" s="11" t="str">
        <f>IFERROR(__xludf.DUMMYFUNCTION("""COMPUTED_VALUE"""),"Médica eSF")</f>
        <v>Médica eSF</v>
      </c>
      <c r="E985" s="11" t="str">
        <f>IFERROR(__xludf.DUMMYFUNCTION("""COMPUTED_VALUE"""),"VIII")</f>
        <v>VIII</v>
      </c>
      <c r="F985" s="11" t="str">
        <f>IFERROR(__xludf.DUMMYFUNCTION("""COMPUTED_VALUE"""),"US_289 USF JOSUE DE CASTRO")</f>
        <v>US_289 USF JOSUE DE CASTRO</v>
      </c>
      <c r="G985" s="11" t="str">
        <f>IFERROR(__xludf.DUMMYFUNCTION("""COMPUTED_VALUE"""),"US 289 USF JOSUE DE CASTRO")</f>
        <v>US 289 USF JOSUE DE CASTRO</v>
      </c>
      <c r="H985" s="27">
        <f>IFERROR(__xludf.DUMMYFUNCTION("""COMPUTED_VALUE"""),81996544742)</f>
        <v>81996544742</v>
      </c>
      <c r="I985" s="11"/>
      <c r="J985" s="11"/>
      <c r="K985" s="24">
        <f>IFERROR(__xludf.DUMMYFUNCTION("""COMPUTED_VALUE"""),45152)</f>
        <v>45152</v>
      </c>
      <c r="L985" s="28" t="str">
        <f>IFERROR(__xludf.DUMMYFUNCTION("""COMPUTED_VALUE"""),"X")</f>
        <v>X</v>
      </c>
      <c r="M985" s="28" t="str">
        <f>IFERROR(__xludf.DUMMYFUNCTION("""COMPUTED_VALUE"""),"3355-3037")</f>
        <v>3355-3037</v>
      </c>
      <c r="N985" s="11" t="str">
        <f>IFERROR(__xludf.DUMMYFUNCTION("""COMPUTED_VALUE"""),"kiki_galvao@hotmail.com")</f>
        <v>kiki_galvao@hotmail.com</v>
      </c>
      <c r="O985" s="29">
        <f>IFERROR(__xludf.DUMMYFUNCTION("""COMPUTED_VALUE"""),12472581491)</f>
        <v>12472581491</v>
      </c>
      <c r="P985" s="30" t="str">
        <f>IFERROR(__xludf.DUMMYFUNCTION("""COMPUTED_VALUE"""),"200327688040000")</f>
        <v>200327688040000</v>
      </c>
      <c r="Q985" s="30" t="str">
        <f>IFERROR(__xludf.DUMMYFUNCTION("""COMPUTED_VALUE"""),"2752824")</f>
        <v>2752824</v>
      </c>
      <c r="R985" s="30" t="str">
        <f>IFERROR(__xludf.DUMMYFUNCTION("""COMPUTED_VALUE"""),"0000154873")</f>
        <v>0000154873</v>
      </c>
      <c r="S985" s="30" t="str">
        <f>IFERROR(__xludf.DUMMYFUNCTION("""COMPUTED_VALUE"""),"1")</f>
        <v>1</v>
      </c>
      <c r="T985" s="30" t="str">
        <f>IFERROR(__xludf.DUMMYFUNCTION("""COMPUTED_VALUE"""),"225142")</f>
        <v>225142</v>
      </c>
      <c r="U985" s="31" t="str">
        <f>IFERROR(__xludf.DUMMYFUNCTION("""COMPUTED_VALUE"""),"2251")</f>
        <v>2251</v>
      </c>
      <c r="V985" s="11"/>
      <c r="W985" s="11"/>
      <c r="X985" s="11" t="str">
        <f>IFERROR(__xludf.DUMMYFUNCTION("""COMPUTED_VALUE"""),"#N/A")</f>
        <v>#N/A</v>
      </c>
      <c r="Y985" s="11" t="str">
        <f>IFERROR(__xludf.DUMMYFUNCTION("""COMPUTED_VALUE"""),"#N/A")</f>
        <v>#N/A</v>
      </c>
      <c r="Z985" s="11" t="str">
        <f>IFERROR(__xludf.DUMMYFUNCTION("""COMPUTED_VALUE"""),"#N/A")</f>
        <v>#N/A</v>
      </c>
    </row>
    <row r="986" customHeight="1" spans="1:26">
      <c r="A986" s="11" t="str">
        <f>IFERROR(__xludf.DUMMYFUNCTION("""COMPUTED_VALUE"""),"ANA PAULA TABOSA DE ASSIS")</f>
        <v>ANA PAULA TABOSA DE ASSIS</v>
      </c>
      <c r="B986" s="11"/>
      <c r="C986" s="11"/>
      <c r="D986" s="11" t="str">
        <f>IFERROR(__xludf.DUMMYFUNCTION("""COMPUTED_VALUE"""),"Dentista")</f>
        <v>Dentista</v>
      </c>
      <c r="E986" s="11" t="str">
        <f>IFERROR(__xludf.DUMMYFUNCTION("""COMPUTED_VALUE"""),"VIII")</f>
        <v>VIII</v>
      </c>
      <c r="F986" s="11" t="str">
        <f>IFERROR(__xludf.DUMMYFUNCTION("""COMPUTED_VALUE"""),"US_289 USF JOSUE DE CASTRO")</f>
        <v>US_289 USF JOSUE DE CASTRO</v>
      </c>
      <c r="G986" s="11" t="str">
        <f>IFERROR(__xludf.DUMMYFUNCTION("""COMPUTED_VALUE"""),"US 289 USF JOSUE DE CASTRO")</f>
        <v>US 289 USF JOSUE DE CASTRO</v>
      </c>
      <c r="H986" s="27">
        <f>IFERROR(__xludf.DUMMYFUNCTION("""COMPUTED_VALUE"""),81995457770)</f>
        <v>81995457770</v>
      </c>
      <c r="I986" s="11"/>
      <c r="J986" s="11"/>
      <c r="K986" s="11"/>
      <c r="L986" s="11"/>
      <c r="M986" s="28" t="str">
        <f>IFERROR(__xludf.DUMMYFUNCTION("""COMPUTED_VALUE"""),"3355-3037")</f>
        <v>3355-3037</v>
      </c>
      <c r="N986" s="11" t="str">
        <f>IFERROR(__xludf.DUMMYFUNCTION("""COMPUTED_VALUE"""),"anassismaia@hotmail.com")</f>
        <v>anassismaia@hotmail.com</v>
      </c>
      <c r="O986" s="29">
        <f>IFERROR(__xludf.DUMMYFUNCTION("""COMPUTED_VALUE"""),62740237472)</f>
        <v>62740237472</v>
      </c>
      <c r="P986" s="30" t="str">
        <f>IFERROR(__xludf.DUMMYFUNCTION("""COMPUTED_VALUE"""),"204322891480018")</f>
        <v>204322891480018</v>
      </c>
      <c r="Q986" s="30" t="str">
        <f>IFERROR(__xludf.DUMMYFUNCTION("""COMPUTED_VALUE"""),"2752824")</f>
        <v>2752824</v>
      </c>
      <c r="R986" s="30" t="str">
        <f>IFERROR(__xludf.DUMMYFUNCTION("""COMPUTED_VALUE"""),"0001889338	")</f>
        <v>0001889338	</v>
      </c>
      <c r="S986" s="30" t="str">
        <f>IFERROR(__xludf.DUMMYFUNCTION("""COMPUTED_VALUE"""),"1")</f>
        <v>1</v>
      </c>
      <c r="T986" s="30" t="str">
        <f>IFERROR(__xludf.DUMMYFUNCTION("""COMPUTED_VALUE"""),"223293")</f>
        <v>223293</v>
      </c>
      <c r="U986" s="31">
        <f>IFERROR(__xludf.DUMMYFUNCTION("""COMPUTED_VALUE"""),2232)</f>
        <v>2232</v>
      </c>
      <c r="V986" s="11"/>
      <c r="W986" s="11"/>
      <c r="X986" s="11"/>
      <c r="Y986" s="11"/>
      <c r="Z986" s="11"/>
    </row>
    <row r="987" customHeight="1" spans="1:26">
      <c r="A987" s="11" t="str">
        <f>IFERROR(__xludf.DUMMYFUNCTION("""COMPUTED_VALUE"""),"GLAUCIA ALZIRA VELOSO DE OLIVEIRA")</f>
        <v>GLAUCIA ALZIRA VELOSO DE OLIVEIRA</v>
      </c>
      <c r="B987" s="11"/>
      <c r="C987" s="11"/>
      <c r="D987" s="11" t="str">
        <f>IFERROR(__xludf.DUMMYFUNCTION("""COMPUTED_VALUE"""),"Dentista")</f>
        <v>Dentista</v>
      </c>
      <c r="E987" s="11" t="str">
        <f>IFERROR(__xludf.DUMMYFUNCTION("""COMPUTED_VALUE"""),"VIII")</f>
        <v>VIII</v>
      </c>
      <c r="F987" s="11" t="str">
        <f>IFERROR(__xludf.DUMMYFUNCTION("""COMPUTED_VALUE"""),"US_289 USF JOSUE DE CASTRO")</f>
        <v>US_289 USF JOSUE DE CASTRO</v>
      </c>
      <c r="G987" s="11" t="str">
        <f>IFERROR(__xludf.DUMMYFUNCTION("""COMPUTED_VALUE"""),"US 289 USF JOSUE DE CASTRO")</f>
        <v>US 289 USF JOSUE DE CASTRO</v>
      </c>
      <c r="H987" s="27">
        <f>IFERROR(__xludf.DUMMYFUNCTION("""COMPUTED_VALUE"""),81998049799)</f>
        <v>81998049799</v>
      </c>
      <c r="I987" s="11"/>
      <c r="J987" s="11"/>
      <c r="K987" s="11"/>
      <c r="L987" s="11"/>
      <c r="M987" s="28" t="str">
        <f>IFERROR(__xludf.DUMMYFUNCTION("""COMPUTED_VALUE"""),"3355-3037")</f>
        <v>3355-3037</v>
      </c>
      <c r="N987" s="11" t="str">
        <f>IFERROR(__xludf.DUMMYFUNCTION("""COMPUTED_VALUE"""),"glauciaalzira@hotmail.com")</f>
        <v>glauciaalzira@hotmail.com</v>
      </c>
      <c r="O987" s="29">
        <f>IFERROR(__xludf.DUMMYFUNCTION("""COMPUTED_VALUE"""),79547770497)</f>
        <v>79547770497</v>
      </c>
      <c r="P987" s="30" t="str">
        <f>IFERROR(__xludf.DUMMYFUNCTION("""COMPUTED_VALUE"""),"204324809210009")</f>
        <v>204324809210009</v>
      </c>
      <c r="Q987" s="30" t="str">
        <f>IFERROR(__xludf.DUMMYFUNCTION("""COMPUTED_VALUE"""),"2752824")</f>
        <v>2752824</v>
      </c>
      <c r="R987" s="30" t="str">
        <f>IFERROR(__xludf.DUMMYFUNCTION("""COMPUTED_VALUE"""),"0001839586	")</f>
        <v>0001839586	</v>
      </c>
      <c r="S987" s="30" t="str">
        <f>IFERROR(__xludf.DUMMYFUNCTION("""COMPUTED_VALUE"""),"1")</f>
        <v>1</v>
      </c>
      <c r="T987" s="30" t="str">
        <f>IFERROR(__xludf.DUMMYFUNCTION("""COMPUTED_VALUE"""),"223293")</f>
        <v>223293</v>
      </c>
      <c r="U987" s="31">
        <f>IFERROR(__xludf.DUMMYFUNCTION("""COMPUTED_VALUE"""),2232)</f>
        <v>2232</v>
      </c>
      <c r="V987" s="11"/>
      <c r="W987" s="11"/>
      <c r="X987" s="11"/>
      <c r="Y987" s="11"/>
      <c r="Z987" s="11"/>
    </row>
    <row r="988" customHeight="1" spans="1:26">
      <c r="A988" s="11" t="str">
        <f>IFERROR(__xludf.DUMMYFUNCTION("""COMPUTED_VALUE"""),"MARCELO HENRIQUE DOS PASSOS LIMA SANTOS")</f>
        <v>MARCELO HENRIQUE DOS PASSOS LIMA SANTOS</v>
      </c>
      <c r="B988" s="11"/>
      <c r="C988" s="11"/>
      <c r="D988" s="11" t="str">
        <f>IFERROR(__xludf.DUMMYFUNCTION("""COMPUTED_VALUE"""),"Médico eSF")</f>
        <v>Médico eSF</v>
      </c>
      <c r="E988" s="11" t="str">
        <f>IFERROR(__xludf.DUMMYFUNCTION("""COMPUTED_VALUE"""),"VIII")</f>
        <v>VIII</v>
      </c>
      <c r="F988" s="11" t="str">
        <f>IFERROR(__xludf.DUMMYFUNCTION("""COMPUTED_VALUE"""),"US_289 USF JOSUE DE CASTRO")</f>
        <v>US_289 USF JOSUE DE CASTRO</v>
      </c>
      <c r="G988" s="11" t="str">
        <f>IFERROR(__xludf.DUMMYFUNCTION("""COMPUTED_VALUE"""),"US 289 USF JOSUE DE CASTRO")</f>
        <v>US 289 USF JOSUE DE CASTRO</v>
      </c>
      <c r="H988" s="27">
        <f>IFERROR(__xludf.DUMMYFUNCTION("""COMPUTED_VALUE"""),81992555646)</f>
        <v>81992555646</v>
      </c>
      <c r="I988" s="11"/>
      <c r="J988" s="11"/>
      <c r="K988" s="11"/>
      <c r="L988" s="11"/>
      <c r="M988" s="28" t="str">
        <f>IFERROR(__xludf.DUMMYFUNCTION("""COMPUTED_VALUE"""),"3355-3037")</f>
        <v>3355-3037</v>
      </c>
      <c r="N988" s="11" t="str">
        <f>IFERROR(__xludf.DUMMYFUNCTION("""COMPUTED_VALUE"""),"marcelohenrique_6@hotmail.com")</f>
        <v>marcelohenrique_6@hotmail.com</v>
      </c>
      <c r="O988" s="29">
        <f>IFERROR(__xludf.DUMMYFUNCTION("""COMPUTED_VALUE"""),8126597402)</f>
        <v>8126597402</v>
      </c>
      <c r="P988" s="30" t="str">
        <f>IFERROR(__xludf.DUMMYFUNCTION("""COMPUTED_VALUE"""),"700406999907944")</f>
        <v>700406999907944</v>
      </c>
      <c r="Q988" s="30" t="str">
        <f>IFERROR(__xludf.DUMMYFUNCTION("""COMPUTED_VALUE"""),"2752824")</f>
        <v>2752824</v>
      </c>
      <c r="R988" s="30" t="str">
        <f>IFERROR(__xludf.DUMMYFUNCTION("""COMPUTED_VALUE"""),"0000154881")</f>
        <v>0000154881</v>
      </c>
      <c r="S988" s="30" t="str">
        <f>IFERROR(__xludf.DUMMYFUNCTION("""COMPUTED_VALUE"""),"1")</f>
        <v>1</v>
      </c>
      <c r="T988" s="30" t="str">
        <f>IFERROR(__xludf.DUMMYFUNCTION("""COMPUTED_VALUE"""),"225142")</f>
        <v>225142</v>
      </c>
      <c r="U988" s="31" t="str">
        <f>IFERROR(__xludf.DUMMYFUNCTION("""COMPUTED_VALUE"""),"2251")</f>
        <v>2251</v>
      </c>
      <c r="V988" s="11"/>
      <c r="W988" s="30" t="str">
        <f>IFERROR(__xludf.DUMMYFUNCTION("""COMPUTED_VALUE"""),"26/01/1990")</f>
        <v>26/01/1990</v>
      </c>
      <c r="X988" s="11"/>
      <c r="Y988" s="11"/>
      <c r="Z988" s="11"/>
    </row>
    <row r="989" customHeight="1" spans="1:26">
      <c r="A989" s="11" t="str">
        <f>IFERROR(__xludf.DUMMYFUNCTION("""COMPUTED_VALUE"""),"GIRLAINE BARRETO DE LIMA")</f>
        <v>GIRLAINE BARRETO DE LIMA</v>
      </c>
      <c r="B989" s="11"/>
      <c r="C989" s="11"/>
      <c r="D989" s="11" t="str">
        <f>IFERROR(__xludf.DUMMYFUNCTION("""COMPUTED_VALUE"""),"Dentista")</f>
        <v>Dentista</v>
      </c>
      <c r="E989" s="11" t="str">
        <f>IFERROR(__xludf.DUMMYFUNCTION("""COMPUTED_VALUE"""),"VIII")</f>
        <v>VIII</v>
      </c>
      <c r="F989" s="11" t="str">
        <f>IFERROR(__xludf.DUMMYFUNCTION("""COMPUTED_VALUE"""),"US_298 USF JORDAO ALTO")</f>
        <v>US_298 USF JORDAO ALTO</v>
      </c>
      <c r="G989" s="11" t="str">
        <f>IFERROR(__xludf.DUMMYFUNCTION("""COMPUTED_VALUE"""),"US 298 USF JORDAO ALTO")</f>
        <v>US 298 USF JORDAO ALTO</v>
      </c>
      <c r="H989" s="27">
        <f>IFERROR(__xludf.DUMMYFUNCTION("""COMPUTED_VALUE"""),81999865610)</f>
        <v>81999865610</v>
      </c>
      <c r="I989" s="11"/>
      <c r="J989" s="11"/>
      <c r="K989" s="11"/>
      <c r="L989" s="11"/>
      <c r="M989" s="28" t="str">
        <f>IFERROR(__xludf.DUMMYFUNCTION("""COMPUTED_VALUE"""),"3355-6162")</f>
        <v>3355-6162</v>
      </c>
      <c r="N989" s="11" t="str">
        <f>IFERROR(__xludf.DUMMYFUNCTION("""COMPUTED_VALUE"""),"girlainebarretolima@gmail.com")</f>
        <v>girlainebarretolima@gmail.com</v>
      </c>
      <c r="O989" s="29">
        <f>IFERROR(__xludf.DUMMYFUNCTION("""COMPUTED_VALUE"""),76470067468)</f>
        <v>76470067468</v>
      </c>
      <c r="P989" s="30" t="str">
        <f>IFERROR(__xludf.DUMMYFUNCTION("""COMPUTED_VALUE"""),"204322409550005")</f>
        <v>204322409550005</v>
      </c>
      <c r="Q989" s="30" t="str">
        <f>IFERROR(__xludf.DUMMYFUNCTION("""COMPUTED_VALUE"""),"3153460")</f>
        <v>3153460</v>
      </c>
      <c r="R989" s="30" t="str">
        <f>IFERROR(__xludf.DUMMYFUNCTION("""COMPUTED_VALUE"""),"0001846817")</f>
        <v>0001846817</v>
      </c>
      <c r="S989" s="30" t="str">
        <f>IFERROR(__xludf.DUMMYFUNCTION("""COMPUTED_VALUE"""),"1")</f>
        <v>1</v>
      </c>
      <c r="T989" s="30" t="str">
        <f>IFERROR(__xludf.DUMMYFUNCTION("""COMPUTED_VALUE"""),"223293")</f>
        <v>223293</v>
      </c>
      <c r="U989" s="31">
        <f>IFERROR(__xludf.DUMMYFUNCTION("""COMPUTED_VALUE"""),2232)</f>
        <v>2232</v>
      </c>
      <c r="V989" s="11"/>
      <c r="W989" s="11"/>
      <c r="X989" s="11"/>
      <c r="Y989" s="11"/>
      <c r="Z989" s="11"/>
    </row>
    <row r="990" customHeight="1" spans="1:26">
      <c r="A990" s="11" t="str">
        <f>IFERROR(__xludf.DUMMYFUNCTION("""COMPUTED_VALUE"""),"ISABELLE CAVALCANTI DE SIQUEIRA")</f>
        <v>ISABELLE CAVALCANTI DE SIQUEIRA</v>
      </c>
      <c r="B990" s="11" t="str">
        <f>IFERROR(__xludf.DUMMYFUNCTION("""COMPUTED_VALUE"""),"SO QUER FAZER DEMANDA ESPONTÂNEA ")</f>
        <v>SO QUER FAZER DEMANDA ESPONTÂNEA </v>
      </c>
      <c r="C990" s="11" t="str">
        <f>IFERROR(__xludf.DUMMYFUNCTION("""COMPUTED_VALUE"""),"33556162 - fixo unidade")</f>
        <v>33556162 - fixo unidade</v>
      </c>
      <c r="D990" s="11" t="str">
        <f>IFERROR(__xludf.DUMMYFUNCTION("""COMPUTED_VALUE"""),"Médica eSF")</f>
        <v>Médica eSF</v>
      </c>
      <c r="E990" s="11" t="str">
        <f>IFERROR(__xludf.DUMMYFUNCTION("""COMPUTED_VALUE"""),"VIII")</f>
        <v>VIII</v>
      </c>
      <c r="F990" s="11" t="str">
        <f>IFERROR(__xludf.DUMMYFUNCTION("""COMPUTED_VALUE"""),"US_298 USF JORDAO ALTO")</f>
        <v>US_298 USF JORDAO ALTO</v>
      </c>
      <c r="G990" s="11" t="str">
        <f>IFERROR(__xludf.DUMMYFUNCTION("""COMPUTED_VALUE"""),"US 298 USF JORDAO ALTO")</f>
        <v>US 298 USF JORDAO ALTO</v>
      </c>
      <c r="H990" s="27">
        <f>IFERROR(__xludf.DUMMYFUNCTION("""COMPUTED_VALUE"""),83999878744)</f>
        <v>83999878744</v>
      </c>
      <c r="I990" s="11"/>
      <c r="J990" s="11"/>
      <c r="K990" s="11"/>
      <c r="L990" s="11"/>
      <c r="M990" s="28" t="str">
        <f>IFERROR(__xludf.DUMMYFUNCTION("""COMPUTED_VALUE"""),"3355-6162")</f>
        <v>3355-6162</v>
      </c>
      <c r="N990" s="11" t="str">
        <f>IFERROR(__xludf.DUMMYFUNCTION("""COMPUTED_VALUE"""),"siqueira.isabelle@gmail.com")</f>
        <v>siqueira.isabelle@gmail.com</v>
      </c>
      <c r="O990" s="29">
        <f>IFERROR(__xludf.DUMMYFUNCTION("""COMPUTED_VALUE"""),7296524405)</f>
        <v>7296524405</v>
      </c>
      <c r="P990" s="30" t="str">
        <f>IFERROR(__xludf.DUMMYFUNCTION("""COMPUTED_VALUE"""),"708406710133563")</f>
        <v>708406710133563</v>
      </c>
      <c r="Q990" s="30" t="str">
        <f>IFERROR(__xludf.DUMMYFUNCTION("""COMPUTED_VALUE"""),"3153460")</f>
        <v>3153460</v>
      </c>
      <c r="R990" s="30" t="str">
        <f>IFERROR(__xludf.DUMMYFUNCTION("""COMPUTED_VALUE"""),"0000155071")</f>
        <v>0000155071</v>
      </c>
      <c r="S990" s="30" t="str">
        <f>IFERROR(__xludf.DUMMYFUNCTION("""COMPUTED_VALUE"""),"1")</f>
        <v>1</v>
      </c>
      <c r="T990" s="30" t="str">
        <f>IFERROR(__xludf.DUMMYFUNCTION("""COMPUTED_VALUE"""),"225142")</f>
        <v>225142</v>
      </c>
      <c r="U990" s="31" t="str">
        <f>IFERROR(__xludf.DUMMYFUNCTION("""COMPUTED_VALUE"""),"2251")</f>
        <v>2251</v>
      </c>
      <c r="V990" s="11" t="str">
        <f>IFERROR(__xludf.DUMMYFUNCTION("""COMPUTED_VALUE"""),"SIM")</f>
        <v>SIM</v>
      </c>
      <c r="W990" s="11"/>
      <c r="X990" s="11"/>
      <c r="Y990" s="11"/>
      <c r="Z990" s="11"/>
    </row>
    <row r="991" customHeight="1" spans="1:26">
      <c r="A991" s="11" t="str">
        <f>IFERROR(__xludf.DUMMYFUNCTION("""COMPUTED_VALUE"""),"RITA DE CASSIA HOFFMANN LEAO")</f>
        <v>RITA DE CASSIA HOFFMANN LEAO</v>
      </c>
      <c r="B991" s="11"/>
      <c r="C991" s="11"/>
      <c r="D991" s="11" t="str">
        <f>IFERROR(__xludf.DUMMYFUNCTION("""COMPUTED_VALUE"""),"Médica eSF")</f>
        <v>Médica eSF</v>
      </c>
      <c r="E991" s="11" t="str">
        <f>IFERROR(__xludf.DUMMYFUNCTION("""COMPUTED_VALUE"""),"VIII")</f>
        <v>VIII</v>
      </c>
      <c r="F991" s="11" t="str">
        <f>IFERROR(__xludf.DUMMYFUNCTION("""COMPUTED_VALUE"""),"US_298 USF JORDAO ALTO")</f>
        <v>US_298 USF JORDAO ALTO</v>
      </c>
      <c r="G991" s="11" t="str">
        <f>IFERROR(__xludf.DUMMYFUNCTION("""COMPUTED_VALUE"""),"US 298 USF JORDAO ALTO")</f>
        <v>US 298 USF JORDAO ALTO</v>
      </c>
      <c r="H991" s="27">
        <f>IFERROR(__xludf.DUMMYFUNCTION("""COMPUTED_VALUE"""),81985587829)</f>
        <v>81985587829</v>
      </c>
      <c r="I991" s="27">
        <f>IFERROR(__xludf.DUMMYFUNCTION("""COMPUTED_VALUE"""),81985587859)</f>
        <v>81985587859</v>
      </c>
      <c r="J991" s="11"/>
      <c r="K991" s="11"/>
      <c r="L991" s="11"/>
      <c r="M991" s="28" t="str">
        <f>IFERROR(__xludf.DUMMYFUNCTION("""COMPUTED_VALUE"""),"3355-6162")</f>
        <v>3355-6162</v>
      </c>
      <c r="N991" s="11" t="str">
        <f>IFERROR(__xludf.DUMMYFUNCTION("""COMPUTED_VALUE"""),"ritachl@yahoo.com")</f>
        <v>ritachl@yahoo.com</v>
      </c>
      <c r="O991" s="29">
        <f>IFERROR(__xludf.DUMMYFUNCTION("""COMPUTED_VALUE"""),83574557434)</f>
        <v>83574557434</v>
      </c>
      <c r="P991" s="30" t="str">
        <f>IFERROR(__xludf.DUMMYFUNCTION("""COMPUTED_VALUE"""),"980016004032986")</f>
        <v>980016004032986</v>
      </c>
      <c r="Q991" s="30" t="str">
        <f>IFERROR(__xludf.DUMMYFUNCTION("""COMPUTED_VALUE"""),"3153460")</f>
        <v>3153460</v>
      </c>
      <c r="R991" s="30" t="str">
        <f>IFERROR(__xludf.DUMMYFUNCTION("""COMPUTED_VALUE"""),"0000155098")</f>
        <v>0000155098</v>
      </c>
      <c r="S991" s="30" t="str">
        <f>IFERROR(__xludf.DUMMYFUNCTION("""COMPUTED_VALUE"""),"1")</f>
        <v>1</v>
      </c>
      <c r="T991" s="30" t="str">
        <f>IFERROR(__xludf.DUMMYFUNCTION("""COMPUTED_VALUE"""),"225142")</f>
        <v>225142</v>
      </c>
      <c r="U991" s="31" t="str">
        <f>IFERROR(__xludf.DUMMYFUNCTION("""COMPUTED_VALUE"""),"2251")</f>
        <v>2251</v>
      </c>
      <c r="V991" s="11"/>
      <c r="W991" s="11"/>
      <c r="X991" s="11">
        <f>IFERROR(__xludf.DUMMYFUNCTION("""COMPUTED_VALUE"""),86992346)</f>
        <v>86992346</v>
      </c>
      <c r="Y991" s="11">
        <f>IFERROR(__xludf.DUMMYFUNCTION("""COMPUTED_VALUE"""),85587829)</f>
        <v>85587829</v>
      </c>
      <c r="Z991" s="11">
        <f>IFERROR(__xludf.DUMMYFUNCTION("""COMPUTED_VALUE"""),83574557434)</f>
        <v>83574557434</v>
      </c>
    </row>
    <row r="992" customHeight="1" spans="1:26">
      <c r="A992" s="11" t="str">
        <f>IFERROR(__xludf.DUMMYFUNCTION("""COMPUTED_VALUE"""),"MARIA RENATA SOBREIRA DE OLIVEIRA")</f>
        <v>MARIA RENATA SOBREIRA DE OLIVEIRA</v>
      </c>
      <c r="B992" s="11"/>
      <c r="C992" s="11"/>
      <c r="D992" s="11" t="str">
        <f>IFERROR(__xludf.DUMMYFUNCTION("""COMPUTED_VALUE"""),"Enfermeira eSF")</f>
        <v>Enfermeira eSF</v>
      </c>
      <c r="E992" s="11" t="str">
        <f>IFERROR(__xludf.DUMMYFUNCTION("""COMPUTED_VALUE"""),"VIII")</f>
        <v>VIII</v>
      </c>
      <c r="F992" s="11" t="str">
        <f>IFERROR(__xludf.DUMMYFUNCTION("""COMPUTED_VALUE"""),"US_153 POLICLINICA E MATERNIDADE ARNALDO MARQUES")</f>
        <v>US_153 POLICLINICA E MATERNIDADE ARNALDO MARQUES</v>
      </c>
      <c r="G992" s="11" t="str">
        <f>IFERROR(__xludf.DUMMYFUNCTION("""COMPUTED_VALUE"""),"US 299 USF JORDAO BAIXO")</f>
        <v>US 299 USF JORDAO BAIXO</v>
      </c>
      <c r="H992" s="27">
        <f>IFERROR(__xludf.DUMMYFUNCTION("""COMPUTED_VALUE"""),81988260617)</f>
        <v>81988260617</v>
      </c>
      <c r="I992" s="27">
        <f>IFERROR(__xludf.DUMMYFUNCTION("""COMPUTED_VALUE"""),81996736299)</f>
        <v>81996736299</v>
      </c>
      <c r="J992" s="11"/>
      <c r="K992" s="11"/>
      <c r="L992" s="11"/>
      <c r="M992" s="28" t="str">
        <f>IFERROR(__xludf.DUMMYFUNCTION("""COMPUTED_VALUE"""),"3355-3407")</f>
        <v>3355-3407</v>
      </c>
      <c r="N992" s="11" t="str">
        <f>IFERROR(__xludf.DUMMYFUNCTION("""COMPUTED_VALUE"""),"mariah-renata1@hotmail.com")</f>
        <v>mariah-renata1@hotmail.com</v>
      </c>
      <c r="O992" s="29">
        <f>IFERROR(__xludf.DUMMYFUNCTION("""COMPUTED_VALUE"""),32600330330)</f>
        <v>32600330330</v>
      </c>
      <c r="P992" s="30" t="str">
        <f>IFERROR(__xludf.DUMMYFUNCTION("""COMPUTED_VALUE"""),"123214906180004")</f>
        <v>123214906180004</v>
      </c>
      <c r="Q992" s="30" t="str">
        <f>IFERROR(__xludf.DUMMYFUNCTION("""COMPUTED_VALUE"""),"3153479")</f>
        <v>3153479</v>
      </c>
      <c r="R992" s="30" t="str">
        <f>IFERROR(__xludf.DUMMYFUNCTION("""COMPUTED_VALUE"""),"0000155101")</f>
        <v>0000155101</v>
      </c>
      <c r="S992" s="30" t="str">
        <f>IFERROR(__xludf.DUMMYFUNCTION("""COMPUTED_VALUE"""),"1")</f>
        <v>1</v>
      </c>
      <c r="T992" s="30" t="str">
        <f>IFERROR(__xludf.DUMMYFUNCTION("""COMPUTED_VALUE"""),"223565")</f>
        <v>223565</v>
      </c>
      <c r="U992" s="31" t="str">
        <f>IFERROR(__xludf.DUMMYFUNCTION("""COMPUTED_VALUE"""),"2235")</f>
        <v>2235</v>
      </c>
      <c r="V992" s="11"/>
      <c r="W992" s="11">
        <f>IFERROR(__xludf.DUMMYFUNCTION("""COMPUTED_VALUE"""),88260617)</f>
        <v>88260617</v>
      </c>
      <c r="X992" s="11">
        <f>IFERROR(__xludf.DUMMYFUNCTION("""COMPUTED_VALUE"""),96736299)</f>
        <v>96736299</v>
      </c>
      <c r="Y992" s="11">
        <f>IFERROR(__xludf.DUMMYFUNCTION("""COMPUTED_VALUE"""),32600330330)</f>
        <v>32600330330</v>
      </c>
      <c r="Z992" s="11"/>
    </row>
    <row r="993" customHeight="1" spans="1:26">
      <c r="A993" s="11" t="str">
        <f>IFERROR(__xludf.DUMMYFUNCTION("""COMPUTED_VALUE"""),"HUGO RESENDE COLOBIALLE")</f>
        <v>HUGO RESENDE COLOBIALLE</v>
      </c>
      <c r="B993" s="11"/>
      <c r="C993" s="11"/>
      <c r="D993" s="11" t="str">
        <f>IFERROR(__xludf.DUMMYFUNCTION("""COMPUTED_VALUE"""),"Médico eSF")</f>
        <v>Médico eSF</v>
      </c>
      <c r="E993" s="11" t="str">
        <f>IFERROR(__xludf.DUMMYFUNCTION("""COMPUTED_VALUE"""),"VIII")</f>
        <v>VIII</v>
      </c>
      <c r="F993" s="11" t="str">
        <f>IFERROR(__xludf.DUMMYFUNCTION("""COMPUTED_VALUE"""),"US_311 USF AGUA VIVA")</f>
        <v>US_311 USF AGUA VIVA</v>
      </c>
      <c r="G993" s="11" t="str">
        <f>IFERROR(__xludf.DUMMYFUNCTION("""COMPUTED_VALUE"""),"US 311 USF AGUA VIVA")</f>
        <v>US 311 USF AGUA VIVA</v>
      </c>
      <c r="H993" s="27">
        <f>IFERROR(__xludf.DUMMYFUNCTION("""COMPUTED_VALUE"""),81997365279)</f>
        <v>81997365279</v>
      </c>
      <c r="I993" s="11"/>
      <c r="J993" s="11"/>
      <c r="K993" s="11"/>
      <c r="L993" s="11"/>
      <c r="M993" s="28" t="str">
        <f>IFERROR(__xludf.DUMMYFUNCTION("""COMPUTED_VALUE"""),"3355-6825")</f>
        <v>3355-6825</v>
      </c>
      <c r="N993" s="11" t="str">
        <f>IFERROR(__xludf.DUMMYFUNCTION("""COMPUTED_VALUE"""),"hugores@ig.com.br")</f>
        <v>hugores@ig.com.br</v>
      </c>
      <c r="O993" s="29">
        <f>IFERROR(__xludf.DUMMYFUNCTION("""COMPUTED_VALUE"""),5374602411)</f>
        <v>5374602411</v>
      </c>
      <c r="P993" s="30" t="str">
        <f>IFERROR(__xludf.DUMMYFUNCTION("""COMPUTED_VALUE"""),"707606235823599")</f>
        <v>707606235823599</v>
      </c>
      <c r="Q993" s="30" t="str">
        <f>IFERROR(__xludf.DUMMYFUNCTION("""COMPUTED_VALUE"""),"3569349")</f>
        <v>3569349</v>
      </c>
      <c r="R993" s="30" t="str">
        <f>IFERROR(__xludf.DUMMYFUNCTION("""COMPUTED_VALUE"""),"0000155640")</f>
        <v>0000155640</v>
      </c>
      <c r="S993" s="30" t="str">
        <f>IFERROR(__xludf.DUMMYFUNCTION("""COMPUTED_VALUE"""),"1")</f>
        <v>1</v>
      </c>
      <c r="T993" s="30" t="str">
        <f>IFERROR(__xludf.DUMMYFUNCTION("""COMPUTED_VALUE"""),"225142")</f>
        <v>225142</v>
      </c>
      <c r="U993" s="31" t="str">
        <f>IFERROR(__xludf.DUMMYFUNCTION("""COMPUTED_VALUE"""),"2251")</f>
        <v>2251</v>
      </c>
      <c r="V993" s="11"/>
      <c r="W993" s="30" t="str">
        <f>IFERROR(__xludf.DUMMYFUNCTION("""COMPUTED_VALUE"""),"05/03/1984")</f>
        <v>05/03/1984</v>
      </c>
      <c r="X993" s="11" t="str">
        <f>IFERROR(__xludf.DUMMYFUNCTION("""COMPUTED_VALUE"""),"#N/A")</f>
        <v>#N/A</v>
      </c>
      <c r="Y993" s="11" t="str">
        <f>IFERROR(__xludf.DUMMYFUNCTION("""COMPUTED_VALUE"""),"#N/A")</f>
        <v>#N/A</v>
      </c>
      <c r="Z993" s="11" t="str">
        <f>IFERROR(__xludf.DUMMYFUNCTION("""COMPUTED_VALUE"""),"#N/A")</f>
        <v>#N/A</v>
      </c>
    </row>
    <row r="994" customHeight="1" spans="1:26">
      <c r="A994" s="11" t="str">
        <f>IFERROR(__xludf.DUMMYFUNCTION("""COMPUTED_VALUE"""),"ROBERTA AGATHA QUEIROZ BARBOSA")</f>
        <v>ROBERTA AGATHA QUEIROZ BARBOSA</v>
      </c>
      <c r="B994" s="11"/>
      <c r="C994" s="11"/>
      <c r="D994" s="11" t="str">
        <f>IFERROR(__xludf.DUMMYFUNCTION("""COMPUTED_VALUE"""),"Enfermeira")</f>
        <v>Enfermeira</v>
      </c>
      <c r="E994" s="11" t="str">
        <f>IFERROR(__xludf.DUMMYFUNCTION("""COMPUTED_VALUE"""),"VIII")</f>
        <v>VIII</v>
      </c>
      <c r="F994" s="11" t="str">
        <f>IFERROR(__xludf.DUMMYFUNCTION("""COMPUTED_VALUE"""),"US_311 USF AGUA VIVA")</f>
        <v>US_311 USF AGUA VIVA</v>
      </c>
      <c r="G994" s="11" t="str">
        <f>IFERROR(__xludf.DUMMYFUNCTION("""COMPUTED_VALUE"""),"US 311 USF AGUA VIVA")</f>
        <v>US 311 USF AGUA VIVA</v>
      </c>
      <c r="H994" s="27">
        <f>IFERROR(__xludf.DUMMYFUNCTION("""COMPUTED_VALUE"""),81988929299)</f>
        <v>81988929299</v>
      </c>
      <c r="I994" s="27">
        <f>IFERROR(__xludf.DUMMYFUNCTION("""COMPUTED_VALUE"""),81999437404)</f>
        <v>81999437404</v>
      </c>
      <c r="J994" s="11"/>
      <c r="K994" s="11"/>
      <c r="L994" s="11"/>
      <c r="M994" s="28" t="str">
        <f>IFERROR(__xludf.DUMMYFUNCTION("""COMPUTED_VALUE"""),"3355-6825")</f>
        <v>3355-6825</v>
      </c>
      <c r="N994" s="11" t="str">
        <f>IFERROR(__xludf.DUMMYFUNCTION("""COMPUTED_VALUE"""),"roberta-agatha@hotmail.com")</f>
        <v>roberta-agatha@hotmail.com</v>
      </c>
      <c r="O994" s="29">
        <f>IFERROR(__xludf.DUMMYFUNCTION("""COMPUTED_VALUE"""),786305410)</f>
        <v>786305410</v>
      </c>
      <c r="P994" s="30" t="str">
        <f>IFERROR(__xludf.DUMMYFUNCTION("""COMPUTED_VALUE"""),"980016004687397")</f>
        <v>980016004687397</v>
      </c>
      <c r="Q994" s="30" t="str">
        <f>IFERROR(__xludf.DUMMYFUNCTION("""COMPUTED_VALUE"""),"3569349")</f>
        <v>3569349</v>
      </c>
      <c r="R994" s="30" t="str">
        <f>IFERROR(__xludf.DUMMYFUNCTION("""COMPUTED_VALUE"""),"0000155640")</f>
        <v>0000155640</v>
      </c>
      <c r="S994" s="30" t="str">
        <f>IFERROR(__xludf.DUMMYFUNCTION("""COMPUTED_VALUE"""),"1")</f>
        <v>1</v>
      </c>
      <c r="T994" s="30" t="str">
        <f>IFERROR(__xludf.DUMMYFUNCTION("""COMPUTED_VALUE"""),"223565")</f>
        <v>223565</v>
      </c>
      <c r="U994" s="31" t="str">
        <f>IFERROR(__xludf.DUMMYFUNCTION("""COMPUTED_VALUE"""),"2235")</f>
        <v>2235</v>
      </c>
      <c r="V994" s="11"/>
      <c r="W994" s="11">
        <f>IFERROR(__xludf.DUMMYFUNCTION("""COMPUTED_VALUE"""),8188929299)</f>
        <v>8188929299</v>
      </c>
      <c r="X994" s="11"/>
      <c r="Y994" s="11">
        <f>IFERROR(__xludf.DUMMYFUNCTION("""COMPUTED_VALUE"""),786305410)</f>
        <v>786305410</v>
      </c>
      <c r="Z994" s="11"/>
    </row>
    <row r="995" customHeight="1" spans="1:26">
      <c r="A995" s="11" t="str">
        <f>IFERROR(__xludf.DUMMYFUNCTION("""COMPUTED_VALUE"""),"ANA CAROLINA SILVA DE LIMA")</f>
        <v>ANA CAROLINA SILVA DE LIMA</v>
      </c>
      <c r="B995" s="11"/>
      <c r="C995" s="11"/>
      <c r="D995" s="11" t="str">
        <f>IFERROR(__xludf.DUMMYFUNCTION("""COMPUTED_VALUE"""),"Dentista")</f>
        <v>Dentista</v>
      </c>
      <c r="E995" s="11" t="str">
        <f>IFERROR(__xludf.DUMMYFUNCTION("""COMPUTED_VALUE"""),"VIII")</f>
        <v>VIII</v>
      </c>
      <c r="F995" s="11" t="str">
        <f>IFERROR(__xludf.DUMMYFUNCTION("""COMPUTED_VALUE"""),"LOTAÇAO NAO IDENTIFICADA")</f>
        <v>LOTAÇAO NAO IDENTIFICADA</v>
      </c>
      <c r="G995" s="11" t="str">
        <f>IFERROR(__xludf.DUMMYFUNCTION("""COMPUTED_VALUE"""),"US 312 USF VILA DO SESI")</f>
        <v>US 312 USF VILA DO SESI</v>
      </c>
      <c r="H995" s="27">
        <f>IFERROR(__xludf.DUMMYFUNCTION("""COMPUTED_VALUE"""),81992624783)</f>
        <v>81992624783</v>
      </c>
      <c r="I995" s="11"/>
      <c r="J995" s="11"/>
      <c r="K995" s="11"/>
      <c r="L995" s="11"/>
      <c r="M995" s="28" t="str">
        <f>IFERROR(__xludf.DUMMYFUNCTION("""COMPUTED_VALUE"""),"3355-6246")</f>
        <v>3355-6246</v>
      </c>
      <c r="N995" s="11" t="str">
        <f>IFERROR(__xludf.DUMMYFUNCTION("""COMPUTED_VALUE"""),"carolslima1@hotmail.com")</f>
        <v>carolslima1@hotmail.com</v>
      </c>
      <c r="O995" s="29">
        <f>IFERROR(__xludf.DUMMYFUNCTION("""COMPUTED_VALUE"""),2354760485)</f>
        <v>2354760485</v>
      </c>
      <c r="P995" s="30" t="str">
        <f>IFERROR(__xludf.DUMMYFUNCTION("""COMPUTED_VALUE"""),"206790285730008	")</f>
        <v>206790285730008	</v>
      </c>
      <c r="Q995" s="30" t="str">
        <f>IFERROR(__xludf.DUMMYFUNCTION("""COMPUTED_VALUE"""),"3470253")</f>
        <v>3470253</v>
      </c>
      <c r="R995" s="30" t="str">
        <f>IFERROR(__xludf.DUMMYFUNCTION("""COMPUTED_VALUE"""),"0001856065")</f>
        <v>0001856065</v>
      </c>
      <c r="S995" s="30" t="str">
        <f>IFERROR(__xludf.DUMMYFUNCTION("""COMPUTED_VALUE"""),"1")</f>
        <v>1</v>
      </c>
      <c r="T995" s="30" t="str">
        <f>IFERROR(__xludf.DUMMYFUNCTION("""COMPUTED_VALUE"""),"223293")</f>
        <v>223293</v>
      </c>
      <c r="U995" s="31">
        <f>IFERROR(__xludf.DUMMYFUNCTION("""COMPUTED_VALUE"""),2232)</f>
        <v>2232</v>
      </c>
      <c r="V995" s="11"/>
      <c r="W995" s="11"/>
      <c r="X995" s="11"/>
      <c r="Y995" s="11"/>
      <c r="Z995" s="11"/>
    </row>
    <row r="996" customHeight="1" spans="1:26">
      <c r="A996" s="11" t="str">
        <f>IFERROR(__xludf.DUMMYFUNCTION("""COMPUTED_VALUE"""),"ENIO DANIEL RIBEIRO KOCH")</f>
        <v>ENIO DANIEL RIBEIRO KOCH</v>
      </c>
      <c r="B996" s="11"/>
      <c r="C996" s="11"/>
      <c r="D996" s="11" t="str">
        <f>IFERROR(__xludf.DUMMYFUNCTION("""COMPUTED_VALUE"""),"Médico eSF")</f>
        <v>Médico eSF</v>
      </c>
      <c r="E996" s="11" t="str">
        <f>IFERROR(__xludf.DUMMYFUNCTION("""COMPUTED_VALUE"""),"VIII")</f>
        <v>VIII</v>
      </c>
      <c r="F996" s="11" t="str">
        <f>IFERROR(__xludf.DUMMYFUNCTION("""COMPUTED_VALUE"""),"US_312 USF VILA DO SESI")</f>
        <v>US_312 USF VILA DO SESI</v>
      </c>
      <c r="G996" s="11" t="str">
        <f>IFERROR(__xludf.DUMMYFUNCTION("""COMPUTED_VALUE"""),"US 312 USF VILA DO SESI")</f>
        <v>US 312 USF VILA DO SESI</v>
      </c>
      <c r="H996" s="27">
        <f>IFERROR(__xludf.DUMMYFUNCTION("""COMPUTED_VALUE"""),81987369665)</f>
        <v>81987369665</v>
      </c>
      <c r="I996" s="11"/>
      <c r="J996" s="11"/>
      <c r="K996" s="11"/>
      <c r="L996" s="11"/>
      <c r="M996" s="28" t="str">
        <f>IFERROR(__xludf.DUMMYFUNCTION("""COMPUTED_VALUE"""),"3355-6246")</f>
        <v>3355-6246</v>
      </c>
      <c r="N996" s="11" t="str">
        <f>IFERROR(__xludf.DUMMYFUNCTION("""COMPUTED_VALUE"""),"eniodanielkoch@hotmail.com")</f>
        <v>eniodanielkoch@hotmail.com</v>
      </c>
      <c r="O996" s="29">
        <f>IFERROR(__xludf.DUMMYFUNCTION("""COMPUTED_VALUE"""),94940690059)</f>
        <v>94940690059</v>
      </c>
      <c r="P996" s="30" t="str">
        <f>IFERROR(__xludf.DUMMYFUNCTION("""COMPUTED_VALUE"""),"980016280081732")</f>
        <v>980016280081732</v>
      </c>
      <c r="Q996" s="30" t="str">
        <f>IFERROR(__xludf.DUMMYFUNCTION("""COMPUTED_VALUE"""),"3470253")</f>
        <v>3470253</v>
      </c>
      <c r="R996" s="30" t="str">
        <f>IFERROR(__xludf.DUMMYFUNCTION("""COMPUTED_VALUE"""),"0000155462")</f>
        <v>0000155462</v>
      </c>
      <c r="S996" s="30" t="str">
        <f>IFERROR(__xludf.DUMMYFUNCTION("""COMPUTED_VALUE"""),"1")</f>
        <v>1</v>
      </c>
      <c r="T996" s="30" t="str">
        <f>IFERROR(__xludf.DUMMYFUNCTION("""COMPUTED_VALUE"""),"225142")</f>
        <v>225142</v>
      </c>
      <c r="U996" s="31" t="str">
        <f>IFERROR(__xludf.DUMMYFUNCTION("""COMPUTED_VALUE"""),"2251")</f>
        <v>2251</v>
      </c>
      <c r="V996" s="11"/>
      <c r="W996" s="11"/>
      <c r="X996" s="11">
        <f>IFERROR(__xludf.DUMMYFUNCTION("""COMPUTED_VALUE"""),8187369665)</f>
        <v>8187369665</v>
      </c>
      <c r="Y996" s="11"/>
      <c r="Z996" s="11">
        <f>IFERROR(__xludf.DUMMYFUNCTION("""COMPUTED_VALUE"""),94940690059)</f>
        <v>94940690059</v>
      </c>
    </row>
    <row r="997" customHeight="1" spans="1:26">
      <c r="A997" s="11" t="str">
        <f>IFERROR(__xludf.DUMMYFUNCTION("""COMPUTED_VALUE"""),"FABIANA ROBERTA RIBEIRO DE VASCONCELOS LUCENA")</f>
        <v>FABIANA ROBERTA RIBEIRO DE VASCONCELOS LUCENA</v>
      </c>
      <c r="B997" s="11" t="str">
        <f>IFERROR(__xludf.DUMMYFUNCTION("""COMPUTED_VALUE"""),"16:30 - horário de preferência")</f>
        <v>16:30 - horário de preferência</v>
      </c>
      <c r="C997" s="11"/>
      <c r="D997" s="11" t="str">
        <f>IFERROR(__xludf.DUMMYFUNCTION("""COMPUTED_VALUE"""),"Enfermeira eSF")</f>
        <v>Enfermeira eSF</v>
      </c>
      <c r="E997" s="11" t="str">
        <f>IFERROR(__xludf.DUMMYFUNCTION("""COMPUTED_VALUE"""),"VIII")</f>
        <v>VIII</v>
      </c>
      <c r="F997" s="11" t="str">
        <f>IFERROR(__xludf.DUMMYFUNCTION("""COMPUTED_VALUE"""),"US_312 USF VILA DO SESI")</f>
        <v>US_312 USF VILA DO SESI</v>
      </c>
      <c r="G997" s="11" t="str">
        <f>IFERROR(__xludf.DUMMYFUNCTION("""COMPUTED_VALUE"""),"US 312 USF VILA DO SESI")</f>
        <v>US 312 USF VILA DO SESI</v>
      </c>
      <c r="H997" s="27">
        <f>IFERROR(__xludf.DUMMYFUNCTION("""COMPUTED_VALUE"""),81999340267)</f>
        <v>81999340267</v>
      </c>
      <c r="I997" s="11"/>
      <c r="J997" s="11"/>
      <c r="K997" s="11"/>
      <c r="L997" s="11"/>
      <c r="M997" s="28" t="str">
        <f>IFERROR(__xludf.DUMMYFUNCTION("""COMPUTED_VALUE"""),"3355-6246")</f>
        <v>3355-6246</v>
      </c>
      <c r="N997" s="11" t="str">
        <f>IFERROR(__xludf.DUMMYFUNCTION("""COMPUTED_VALUE"""),"fabianaroberta@gmail.com")</f>
        <v>fabianaroberta@gmail.com</v>
      </c>
      <c r="O997" s="29">
        <f>IFERROR(__xludf.DUMMYFUNCTION("""COMPUTED_VALUE"""),1136884408)</f>
        <v>1136884408</v>
      </c>
      <c r="P997" s="30" t="str">
        <f>IFERROR(__xludf.DUMMYFUNCTION("""COMPUTED_VALUE"""),"980016278330615")</f>
        <v>980016278330615</v>
      </c>
      <c r="Q997" s="30" t="str">
        <f>IFERROR(__xludf.DUMMYFUNCTION("""COMPUTED_VALUE"""),"3470253")</f>
        <v>3470253</v>
      </c>
      <c r="R997" s="30" t="str">
        <f>IFERROR(__xludf.DUMMYFUNCTION("""COMPUTED_VALUE"""),"0000155454")</f>
        <v>0000155454</v>
      </c>
      <c r="S997" s="30" t="str">
        <f>IFERROR(__xludf.DUMMYFUNCTION("""COMPUTED_VALUE"""),"1")</f>
        <v>1</v>
      </c>
      <c r="T997" s="30" t="str">
        <f>IFERROR(__xludf.DUMMYFUNCTION("""COMPUTED_VALUE"""),"223565")</f>
        <v>223565</v>
      </c>
      <c r="U997" s="31" t="str">
        <f>IFERROR(__xludf.DUMMYFUNCTION("""COMPUTED_VALUE"""),"2235")</f>
        <v>2235</v>
      </c>
      <c r="V997" s="11"/>
      <c r="W997" s="11">
        <f>IFERROR(__xludf.DUMMYFUNCTION("""COMPUTED_VALUE"""),8199340267)</f>
        <v>8199340267</v>
      </c>
      <c r="X997" s="11"/>
      <c r="Y997" s="11">
        <f>IFERROR(__xludf.DUMMYFUNCTION("""COMPUTED_VALUE"""),1136884408)</f>
        <v>1136884408</v>
      </c>
      <c r="Z997" s="11"/>
    </row>
    <row r="998" customHeight="1" spans="1:26">
      <c r="A998" s="11" t="str">
        <f>IFERROR(__xludf.DUMMYFUNCTION("""COMPUTED_VALUE"""),"MAGALI PINHEIRO LANDIM")</f>
        <v>MAGALI PINHEIRO LANDIM</v>
      </c>
      <c r="B998" s="11"/>
      <c r="C998" s="11"/>
      <c r="D998" s="11" t="str">
        <f>IFERROR(__xludf.DUMMYFUNCTION("""COMPUTED_VALUE"""),"Enfermeira eSF")</f>
        <v>Enfermeira eSF</v>
      </c>
      <c r="E998" s="11" t="str">
        <f>IFERROR(__xludf.DUMMYFUNCTION("""COMPUTED_VALUE"""),"VIII")</f>
        <v>VIII</v>
      </c>
      <c r="F998" s="11" t="str">
        <f>IFERROR(__xludf.DUMMYFUNCTION("""COMPUTED_VALUE"""),"US_312 USF VILA DO SESI")</f>
        <v>US_312 USF VILA DO SESI</v>
      </c>
      <c r="G998" s="11" t="str">
        <f>IFERROR(__xludf.DUMMYFUNCTION("""COMPUTED_VALUE"""),"US 312 USF VILA DO SESI")</f>
        <v>US 312 USF VILA DO SESI</v>
      </c>
      <c r="H998" s="27">
        <f>IFERROR(__xludf.DUMMYFUNCTION("""COMPUTED_VALUE"""),81984721400)</f>
        <v>81984721400</v>
      </c>
      <c r="I998" s="27">
        <f>IFERROR(__xludf.DUMMYFUNCTION("""COMPUTED_VALUE"""),81997858941)</f>
        <v>81997858941</v>
      </c>
      <c r="J998" s="11"/>
      <c r="K998" s="11"/>
      <c r="L998" s="11"/>
      <c r="M998" s="28" t="str">
        <f>IFERROR(__xludf.DUMMYFUNCTION("""COMPUTED_VALUE"""),"3355-6246")</f>
        <v>3355-6246</v>
      </c>
      <c r="N998" s="11" t="str">
        <f>IFERROR(__xludf.DUMMYFUNCTION("""COMPUTED_VALUE"""),"magali_pinheiro@yahoo.com.br")</f>
        <v>magali_pinheiro@yahoo.com.br</v>
      </c>
      <c r="O998" s="29">
        <f>IFERROR(__xludf.DUMMYFUNCTION("""COMPUTED_VALUE"""),77816617372)</f>
        <v>77816617372</v>
      </c>
      <c r="P998" s="30" t="str">
        <f>IFERROR(__xludf.DUMMYFUNCTION("""COMPUTED_VALUE"""),"980016277080283")</f>
        <v>980016277080283</v>
      </c>
      <c r="Q998" s="30" t="str">
        <f>IFERROR(__xludf.DUMMYFUNCTION("""COMPUTED_VALUE"""),"3470253")</f>
        <v>3470253</v>
      </c>
      <c r="R998" s="30" t="str">
        <f>IFERROR(__xludf.DUMMYFUNCTION("""COMPUTED_VALUE"""),"0000155462")</f>
        <v>0000155462</v>
      </c>
      <c r="S998" s="30" t="str">
        <f>IFERROR(__xludf.DUMMYFUNCTION("""COMPUTED_VALUE"""),"1")</f>
        <v>1</v>
      </c>
      <c r="T998" s="30" t="str">
        <f>IFERROR(__xludf.DUMMYFUNCTION("""COMPUTED_VALUE"""),"223565")</f>
        <v>223565</v>
      </c>
      <c r="U998" s="31" t="str">
        <f>IFERROR(__xludf.DUMMYFUNCTION("""COMPUTED_VALUE"""),"2235")</f>
        <v>2235</v>
      </c>
      <c r="V998" s="11"/>
      <c r="W998" s="11">
        <f>IFERROR(__xludf.DUMMYFUNCTION("""COMPUTED_VALUE"""),8197858941)</f>
        <v>8197858941</v>
      </c>
      <c r="X998" s="11"/>
      <c r="Y998" s="11">
        <f>IFERROR(__xludf.DUMMYFUNCTION("""COMPUTED_VALUE"""),77816617372)</f>
        <v>77816617372</v>
      </c>
      <c r="Z998" s="11"/>
    </row>
    <row r="999" customHeight="1" spans="1:26">
      <c r="A999" s="11" t="str">
        <f>IFERROR(__xludf.DUMMYFUNCTION("""COMPUTED_VALUE"""),"MARIA JOSE LEITE DE MELO PAGNOSSIN")</f>
        <v>MARIA JOSE LEITE DE MELO PAGNOSSIN</v>
      </c>
      <c r="B999" s="11"/>
      <c r="C999" s="11"/>
      <c r="D999" s="11" t="str">
        <f>IFERROR(__xludf.DUMMYFUNCTION("""COMPUTED_VALUE"""),"Enfermeira eSF")</f>
        <v>Enfermeira eSF</v>
      </c>
      <c r="E999" s="11" t="str">
        <f>IFERROR(__xludf.DUMMYFUNCTION("""COMPUTED_VALUE"""),"VIII")</f>
        <v>VIII</v>
      </c>
      <c r="F999" s="11" t="str">
        <f>IFERROR(__xludf.DUMMYFUNCTION("""COMPUTED_VALUE"""),"US_312 USF VILA DO SESI")</f>
        <v>US_312 USF VILA DO SESI</v>
      </c>
      <c r="G999" s="11" t="str">
        <f>IFERROR(__xludf.DUMMYFUNCTION("""COMPUTED_VALUE"""),"US 312 USF VILA DO SESI")</f>
        <v>US 312 USF VILA DO SESI</v>
      </c>
      <c r="H999" s="27">
        <f>IFERROR(__xludf.DUMMYFUNCTION("""COMPUTED_VALUE"""),81988043232)</f>
        <v>81988043232</v>
      </c>
      <c r="I999" s="11"/>
      <c r="J999" s="11"/>
      <c r="K999" s="11"/>
      <c r="L999" s="11"/>
      <c r="M999" s="28" t="str">
        <f>IFERROR(__xludf.DUMMYFUNCTION("""COMPUTED_VALUE"""),"3355-6246")</f>
        <v>3355-6246</v>
      </c>
      <c r="N999" s="11" t="str">
        <f>IFERROR(__xludf.DUMMYFUNCTION("""COMPUTED_VALUE"""),"mjpagnossin@gmail.com")</f>
        <v>mjpagnossin@gmail.com</v>
      </c>
      <c r="O999" s="29">
        <f>IFERROR(__xludf.DUMMYFUNCTION("""COMPUTED_VALUE"""),74219804404)</f>
        <v>74219804404</v>
      </c>
      <c r="P999" s="30" t="str">
        <f>IFERROR(__xludf.DUMMYFUNCTION("""COMPUTED_VALUE"""),"203323135940009")</f>
        <v>203323135940009</v>
      </c>
      <c r="Q999" s="30" t="str">
        <f>IFERROR(__xludf.DUMMYFUNCTION("""COMPUTED_VALUE"""),"3470253")</f>
        <v>3470253</v>
      </c>
      <c r="R999" s="11"/>
      <c r="S999" s="30" t="str">
        <f>IFERROR(__xludf.DUMMYFUNCTION("""COMPUTED_VALUE"""),"1")</f>
        <v>1</v>
      </c>
      <c r="T999" s="30" t="str">
        <f>IFERROR(__xludf.DUMMYFUNCTION("""COMPUTED_VALUE"""),"223565")</f>
        <v>223565</v>
      </c>
      <c r="U999" s="31" t="str">
        <f>IFERROR(__xludf.DUMMYFUNCTION("""COMPUTED_VALUE"""),"2235")</f>
        <v>2235</v>
      </c>
      <c r="V999" s="11"/>
      <c r="W999" s="11" t="str">
        <f>IFERROR(__xludf.DUMMYFUNCTION("""COMPUTED_VALUE"""),"#N/A")</f>
        <v>#N/A</v>
      </c>
      <c r="X999" s="11" t="str">
        <f>IFERROR(__xludf.DUMMYFUNCTION("""COMPUTED_VALUE"""),"#N/A")</f>
        <v>#N/A</v>
      </c>
      <c r="Y999" s="11" t="str">
        <f>IFERROR(__xludf.DUMMYFUNCTION("""COMPUTED_VALUE"""),"#N/A")</f>
        <v>#N/A</v>
      </c>
      <c r="Z999" s="11"/>
    </row>
    <row r="1000" customHeight="1" spans="1:26">
      <c r="A1000" s="11" t="str">
        <f>IFERROR(__xludf.DUMMYFUNCTION("""COMPUTED_VALUE"""),"MARIANA ADELLE DA ROCHA SANTOS")</f>
        <v>MARIANA ADELLE DA ROCHA SANTOS</v>
      </c>
      <c r="B1000" s="11"/>
      <c r="C1000" s="11" t="str">
        <f>IFERROR(__xludf.DUMMYFUNCTION("""COMPUTED_VALUE"""),"TEM WPP, contato registrado")</f>
        <v>TEM WPP, contato registrado</v>
      </c>
      <c r="D1000" s="11" t="str">
        <f>IFERROR(__xludf.DUMMYFUNCTION("""COMPUTED_VALUE"""),"Médica eSF")</f>
        <v>Médica eSF</v>
      </c>
      <c r="E1000" s="11" t="str">
        <f>IFERROR(__xludf.DUMMYFUNCTION("""COMPUTED_VALUE"""),"VIII")</f>
        <v>VIII</v>
      </c>
      <c r="F1000" s="11" t="str">
        <f>IFERROR(__xludf.DUMMYFUNCTION("""COMPUTED_VALUE"""),"US_312 USF VILA DO SESI")</f>
        <v>US_312 USF VILA DO SESI</v>
      </c>
      <c r="G1000" s="11" t="str">
        <f>IFERROR(__xludf.DUMMYFUNCTION("""COMPUTED_VALUE"""),"US 312 USF VILA DO SESI")</f>
        <v>US 312 USF VILA DO SESI</v>
      </c>
      <c r="H1000" s="27">
        <f>IFERROR(__xludf.DUMMYFUNCTION("""COMPUTED_VALUE"""),81996472397)</f>
        <v>81996472397</v>
      </c>
      <c r="I1000" s="11"/>
      <c r="J1000" s="11"/>
      <c r="K1000" s="11"/>
      <c r="L1000" s="11"/>
      <c r="M1000" s="28" t="str">
        <f>IFERROR(__xludf.DUMMYFUNCTION("""COMPUTED_VALUE"""),"3355-6246")</f>
        <v>3355-6246</v>
      </c>
      <c r="N1000" s="11" t="str">
        <f>IFERROR(__xludf.DUMMYFUNCTION("""COMPUTED_VALUE"""),"mariana_adelle@hotmail.com")</f>
        <v>mariana_adelle@hotmail.com</v>
      </c>
      <c r="O1000" s="29">
        <f>IFERROR(__xludf.DUMMYFUNCTION("""COMPUTED_VALUE"""),6206406423)</f>
        <v>6206406423</v>
      </c>
      <c r="P1000" s="30" t="str">
        <f>IFERROR(__xludf.DUMMYFUNCTION("""COMPUTED_VALUE"""),"702404510107223")</f>
        <v>702404510107223</v>
      </c>
      <c r="Q1000" s="30" t="str">
        <f>IFERROR(__xludf.DUMMYFUNCTION("""COMPUTED_VALUE"""),"3470253")</f>
        <v>3470253</v>
      </c>
      <c r="R1000" s="30" t="str">
        <f>IFERROR(__xludf.DUMMYFUNCTION("""COMPUTED_VALUE"""),"0000155454")</f>
        <v>0000155454</v>
      </c>
      <c r="S1000" s="30" t="str">
        <f>IFERROR(__xludf.DUMMYFUNCTION("""COMPUTED_VALUE"""),"3")</f>
        <v>3</v>
      </c>
      <c r="T1000" s="30" t="str">
        <f>IFERROR(__xludf.DUMMYFUNCTION("""COMPUTED_VALUE"""),"225142")</f>
        <v>225142</v>
      </c>
      <c r="U1000" s="31" t="str">
        <f>IFERROR(__xludf.DUMMYFUNCTION("""COMPUTED_VALUE"""),"2251")</f>
        <v>2251</v>
      </c>
      <c r="V1000" s="11"/>
      <c r="W1000" s="11"/>
      <c r="X1000" s="11"/>
      <c r="Y1000" s="11"/>
      <c r="Z1000" s="11"/>
    </row>
    <row r="1001" customHeight="1" spans="1:26">
      <c r="A1001" s="11" t="str">
        <f>IFERROR(__xludf.DUMMYFUNCTION("""COMPUTED_VALUE"""),"GEOVA CAVALCANTE RIBEIRO JUNIOR")</f>
        <v>GEOVA CAVALCANTE RIBEIRO JUNIOR</v>
      </c>
      <c r="B1001" s="11"/>
      <c r="C1001" s="11"/>
      <c r="D1001" s="11" t="str">
        <f>IFERROR(__xludf.DUMMYFUNCTION("""COMPUTED_VALUE"""),"Médico eSF")</f>
        <v>Médico eSF</v>
      </c>
      <c r="E1001" s="11" t="str">
        <f>IFERROR(__xludf.DUMMYFUNCTION("""COMPUTED_VALUE"""),"VIII")</f>
        <v>VIII</v>
      </c>
      <c r="F1001" s="11" t="str">
        <f>IFERROR(__xludf.DUMMYFUNCTION("""COMPUTED_VALUE"""),"US_313 USF TRES CARNEIROS DE BAIXO ZUMBI DO PACHECO")</f>
        <v>US_313 USF TRES CARNEIROS DE BAIXO ZUMBI DO PACHECO</v>
      </c>
      <c r="G1001" s="11" t="str">
        <f>IFERROR(__xludf.DUMMYFUNCTION("""COMPUTED_VALUE"""),"US 313 USF TRES CARNEIROS DE BAIXO ZUMBI DO PACHECO")</f>
        <v>US 313 USF TRES CARNEIROS DE BAIXO ZUMBI DO PACHECO</v>
      </c>
      <c r="H1001" s="27">
        <f>IFERROR(__xludf.DUMMYFUNCTION("""COMPUTED_VALUE"""),81998703001)</f>
        <v>81998703001</v>
      </c>
      <c r="I1001" s="11"/>
      <c r="J1001" s="11"/>
      <c r="K1001" s="24">
        <f>IFERROR(__xludf.DUMMYFUNCTION("""COMPUTED_VALUE"""),45189)</f>
        <v>45189</v>
      </c>
      <c r="L1001" s="11"/>
      <c r="M1001" s="28" t="str">
        <f>IFERROR(__xludf.DUMMYFUNCTION("""COMPUTED_VALUE"""),"3355-4712")</f>
        <v>3355-4712</v>
      </c>
      <c r="N1001" s="11" t="str">
        <f>IFERROR(__xludf.DUMMYFUNCTION("""COMPUTED_VALUE"""),"geovacrj@gmail.com")</f>
        <v>geovacrj@gmail.com</v>
      </c>
      <c r="O1001" s="29">
        <f>IFERROR(__xludf.DUMMYFUNCTION("""COMPUTED_VALUE"""),7826912423)</f>
        <v>7826912423</v>
      </c>
      <c r="P1001" s="30" t="str">
        <f>IFERROR(__xludf.DUMMYFUNCTION("""COMPUTED_VALUE"""),"700002199517009")</f>
        <v>700002199517009</v>
      </c>
      <c r="Q1001" s="30" t="str">
        <f>IFERROR(__xludf.DUMMYFUNCTION("""COMPUTED_VALUE"""),"3569322")</f>
        <v>3569322</v>
      </c>
      <c r="R1001" s="30" t="str">
        <f>IFERROR(__xludf.DUMMYFUNCTION("""COMPUTED_VALUE"""),"0000155624")</f>
        <v>0000155624</v>
      </c>
      <c r="S1001" s="30" t="str">
        <f>IFERROR(__xludf.DUMMYFUNCTION("""COMPUTED_VALUE"""),"3")</f>
        <v>3</v>
      </c>
      <c r="T1001" s="30" t="str">
        <f>IFERROR(__xludf.DUMMYFUNCTION("""COMPUTED_VALUE"""),"225142")</f>
        <v>225142</v>
      </c>
      <c r="U1001" s="31" t="str">
        <f>IFERROR(__xludf.DUMMYFUNCTION("""COMPUTED_VALUE"""),"2251")</f>
        <v>2251</v>
      </c>
      <c r="V1001" s="11" t="str">
        <f>IFERROR(__xludf.DUMMYFUNCTION("""COMPUTED_VALUE"""),"SIM")</f>
        <v>SIM</v>
      </c>
      <c r="W1001" s="11"/>
      <c r="X1001" s="11" t="str">
        <f>IFERROR(__xludf.DUMMYFUNCTION("""COMPUTED_VALUE"""),"#N/A")</f>
        <v>#N/A</v>
      </c>
      <c r="Y1001" s="11" t="str">
        <f>IFERROR(__xludf.DUMMYFUNCTION("""COMPUTED_VALUE"""),"#N/A")</f>
        <v>#N/A</v>
      </c>
      <c r="Z1001" s="11" t="str">
        <f>IFERROR(__xludf.DUMMYFUNCTION("""COMPUTED_VALUE"""),"#N/A")</f>
        <v>#N/A</v>
      </c>
    </row>
    <row r="1002" customHeight="1" spans="1:26">
      <c r="A1002" s="11" t="str">
        <f>IFERROR(__xludf.DUMMYFUNCTION("""COMPUTED_VALUE"""),"RODRIGO ARRUDA PINHO")</f>
        <v>RODRIGO ARRUDA PINHO</v>
      </c>
      <c r="B1002" s="11"/>
      <c r="C1002" s="11"/>
      <c r="D1002" s="11" t="str">
        <f>IFERROR(__xludf.DUMMYFUNCTION("""COMPUTED_VALUE"""),"Médico eSF")</f>
        <v>Médico eSF</v>
      </c>
      <c r="E1002" s="11" t="str">
        <f>IFERROR(__xludf.DUMMYFUNCTION("""COMPUTED_VALUE"""),"VIII")</f>
        <v>VIII</v>
      </c>
      <c r="F1002" s="11" t="str">
        <f>IFERROR(__xludf.DUMMYFUNCTION("""COMPUTED_VALUE"""),"SEDE DISTRITO SANITARIO VIII")</f>
        <v>SEDE DISTRITO SANITARIO VIII</v>
      </c>
      <c r="G1002" s="11" t="str">
        <f>IFERROR(__xludf.DUMMYFUNCTION("""COMPUTED_VALUE"""),"US 315 USF UR 3")</f>
        <v>US 315 USF UR 3</v>
      </c>
      <c r="H1002" s="27">
        <f>IFERROR(__xludf.DUMMYFUNCTION("""COMPUTED_VALUE"""),81999145355)</f>
        <v>81999145355</v>
      </c>
      <c r="I1002" s="11"/>
      <c r="J1002" s="11"/>
      <c r="K1002" s="11"/>
      <c r="L1002" s="11"/>
      <c r="M1002" s="28" t="str">
        <f>IFERROR(__xludf.DUMMYFUNCTION("""COMPUTED_VALUE"""),"3355-6452")</f>
        <v>3355-6452</v>
      </c>
      <c r="N1002" s="11" t="str">
        <f>IFERROR(__xludf.DUMMYFUNCTION("""COMPUTED_VALUE"""),"pinho5000@hotmail.com")</f>
        <v>pinho5000@hotmail.com</v>
      </c>
      <c r="O1002" s="11">
        <f>IFERROR(__xludf.DUMMYFUNCTION("""COMPUTED_VALUE"""),4151751432)</f>
        <v>4151751432</v>
      </c>
      <c r="P1002" s="11" t="str">
        <f>IFERROR(__xludf.DUMMYFUNCTION("""COMPUTED_VALUE"""),"201533399390005")</f>
        <v>201533399390005</v>
      </c>
      <c r="Q1002" s="30" t="str">
        <f>IFERROR(__xludf.DUMMYFUNCTION("""COMPUTED_VALUE"""),"3562638")</f>
        <v>3562638</v>
      </c>
      <c r="R1002" s="11"/>
      <c r="S1002" s="30" t="str">
        <f>IFERROR(__xludf.DUMMYFUNCTION("""COMPUTED_VALUE"""),"1")</f>
        <v>1</v>
      </c>
      <c r="T1002" s="30" t="str">
        <f>IFERROR(__xludf.DUMMYFUNCTION("""COMPUTED_VALUE"""),"225142")</f>
        <v>225142</v>
      </c>
      <c r="U1002" s="31" t="str">
        <f>IFERROR(__xludf.DUMMYFUNCTION("""COMPUTED_VALUE"""),"2251")</f>
        <v>2251</v>
      </c>
      <c r="V1002" s="11"/>
      <c r="W1002" s="11"/>
      <c r="X1002" s="11"/>
      <c r="Y1002" s="11"/>
      <c r="Z1002" s="11"/>
    </row>
    <row r="1003" customHeight="1" spans="1:26">
      <c r="A1003" s="11" t="str">
        <f>IFERROR(__xludf.DUMMYFUNCTION("""COMPUTED_VALUE"""),"LAURA ELIZABETH GOMES AMARAL")</f>
        <v>LAURA ELIZABETH GOMES AMARAL</v>
      </c>
      <c r="B1003" s="11"/>
      <c r="C1003" s="11"/>
      <c r="D1003" s="11" t="str">
        <f>IFERROR(__xludf.DUMMYFUNCTION("""COMPUTED_VALUE"""),"Enfermeira eSF")</f>
        <v>Enfermeira eSF</v>
      </c>
      <c r="E1003" s="11" t="str">
        <f>IFERROR(__xludf.DUMMYFUNCTION("""COMPUTED_VALUE"""),"VIII")</f>
        <v>VIII</v>
      </c>
      <c r="F1003" s="11" t="str">
        <f>IFERROR(__xludf.DUMMYFUNCTION("""COMPUTED_VALUE"""),"PACS ALTO DA JAQUEIRA")</f>
        <v>PACS ALTO DA JAQUEIRA</v>
      </c>
      <c r="G1003" s="11" t="str">
        <f>IFERROR(__xludf.DUMMYFUNCTION("""COMPUTED_VALUE"""),"US 317 USF ALTO DA BELA VISTA")</f>
        <v>US 317 USF ALTO DA BELA VISTA</v>
      </c>
      <c r="H1003" s="27">
        <f>IFERROR(__xludf.DUMMYFUNCTION("""COMPUTED_VALUE"""),81986742845)</f>
        <v>81986742845</v>
      </c>
      <c r="I1003" s="11"/>
      <c r="J1003" s="11"/>
      <c r="K1003" s="11"/>
      <c r="L1003" s="11"/>
      <c r="M1003" s="28" t="str">
        <f>IFERROR(__xludf.DUMMYFUNCTION("""COMPUTED_VALUE"""),"3355-6078")</f>
        <v>3355-6078</v>
      </c>
      <c r="N1003" s="11" t="str">
        <f>IFERROR(__xludf.DUMMYFUNCTION("""COMPUTED_VALUE"""),"lauraeliz@aol.com.br")</f>
        <v>lauraeliz@aol.com.br</v>
      </c>
      <c r="O1003" s="29">
        <f>IFERROR(__xludf.DUMMYFUNCTION("""COMPUTED_VALUE"""),65316002415)</f>
        <v>65316002415</v>
      </c>
      <c r="P1003" s="30" t="str">
        <f>IFERROR(__xludf.DUMMYFUNCTION("""COMPUTED_VALUE"""),"206058486820008")</f>
        <v>206058486820008</v>
      </c>
      <c r="Q1003" s="30" t="str">
        <f>IFERROR(__xludf.DUMMYFUNCTION("""COMPUTED_VALUE"""),"3380300")</f>
        <v>3380300</v>
      </c>
      <c r="R1003" s="30" t="str">
        <f>IFERROR(__xludf.DUMMYFUNCTION("""COMPUTED_VALUE"""),"0000155373")</f>
        <v>0000155373</v>
      </c>
      <c r="S1003" s="30" t="str">
        <f>IFERROR(__xludf.DUMMYFUNCTION("""COMPUTED_VALUE"""),"1")</f>
        <v>1</v>
      </c>
      <c r="T1003" s="30" t="str">
        <f>IFERROR(__xludf.DUMMYFUNCTION("""COMPUTED_VALUE"""),"223565")</f>
        <v>223565</v>
      </c>
      <c r="U1003" s="31" t="str">
        <f>IFERROR(__xludf.DUMMYFUNCTION("""COMPUTED_VALUE"""),"2235")</f>
        <v>2235</v>
      </c>
      <c r="V1003" s="11"/>
      <c r="W1003" s="11">
        <f>IFERROR(__xludf.DUMMYFUNCTION("""COMPUTED_VALUE"""),86742845)</f>
        <v>86742845</v>
      </c>
      <c r="X1003" s="11"/>
      <c r="Y1003" s="11">
        <f>IFERROR(__xludf.DUMMYFUNCTION("""COMPUTED_VALUE"""),65316002415)</f>
        <v>65316002415</v>
      </c>
      <c r="Z1003" s="11"/>
    </row>
    <row r="1004" customHeight="1" spans="1:26">
      <c r="A1004" s="11" t="str">
        <f>IFERROR(__xludf.DUMMYFUNCTION("""COMPUTED_VALUE"""),"LUCIA MARIA DA SILVA CLAUDINO VIEIRA")</f>
        <v>LUCIA MARIA DA SILVA CLAUDINO VIEIRA</v>
      </c>
      <c r="B1004" s="11"/>
      <c r="C1004" s="11"/>
      <c r="D1004" s="11" t="str">
        <f>IFERROR(__xludf.DUMMYFUNCTION("""COMPUTED_VALUE"""),"Médica eSF")</f>
        <v>Médica eSF</v>
      </c>
      <c r="E1004" s="11" t="str">
        <f>IFERROR(__xludf.DUMMYFUNCTION("""COMPUTED_VALUE"""),"VIII")</f>
        <v>VIII</v>
      </c>
      <c r="F1004" s="11" t="str">
        <f>IFERROR(__xludf.DUMMYFUNCTION("""COMPUTED_VALUE"""),"US_317 USF ALTO DA BELA VISTA")</f>
        <v>US_317 USF ALTO DA BELA VISTA</v>
      </c>
      <c r="G1004" s="11" t="str">
        <f>IFERROR(__xludf.DUMMYFUNCTION("""COMPUTED_VALUE"""),"US 317 USF ALTO DA BELA VISTA")</f>
        <v>US 317 USF ALTO DA BELA VISTA</v>
      </c>
      <c r="H1004" s="27">
        <f>IFERROR(__xludf.DUMMYFUNCTION("""COMPUTED_VALUE"""),81996996294)</f>
        <v>81996996294</v>
      </c>
      <c r="I1004" s="11"/>
      <c r="J1004" s="11"/>
      <c r="K1004" s="11"/>
      <c r="L1004" s="11"/>
      <c r="M1004" s="28" t="str">
        <f>IFERROR(__xludf.DUMMYFUNCTION("""COMPUTED_VALUE"""),"3355-6078")</f>
        <v>3355-6078</v>
      </c>
      <c r="N1004" s="11" t="str">
        <f>IFERROR(__xludf.DUMMYFUNCTION("""COMPUTED_VALUE"""),"l2claudino@hotmail.com")</f>
        <v>l2claudino@hotmail.com</v>
      </c>
      <c r="O1004" s="29">
        <f>IFERROR(__xludf.DUMMYFUNCTION("""COMPUTED_VALUE"""),12725358434)</f>
        <v>12725358434</v>
      </c>
      <c r="P1004" s="30" t="str">
        <f>IFERROR(__xludf.DUMMYFUNCTION("""COMPUTED_VALUE"""),"980016278232354")</f>
        <v>980016278232354</v>
      </c>
      <c r="Q1004" s="30" t="str">
        <f>IFERROR(__xludf.DUMMYFUNCTION("""COMPUTED_VALUE"""),"3380300")</f>
        <v>3380300</v>
      </c>
      <c r="R1004" s="30" t="str">
        <f>IFERROR(__xludf.DUMMYFUNCTION("""COMPUTED_VALUE"""),"0000155373")</f>
        <v>0000155373</v>
      </c>
      <c r="S1004" s="30" t="str">
        <f>IFERROR(__xludf.DUMMYFUNCTION("""COMPUTED_VALUE"""),"1")</f>
        <v>1</v>
      </c>
      <c r="T1004" s="30" t="str">
        <f>IFERROR(__xludf.DUMMYFUNCTION("""COMPUTED_VALUE"""),"225142")</f>
        <v>225142</v>
      </c>
      <c r="U1004" s="31" t="str">
        <f>IFERROR(__xludf.DUMMYFUNCTION("""COMPUTED_VALUE"""),"2251")</f>
        <v>2251</v>
      </c>
      <c r="V1004" s="11" t="str">
        <f>IFERROR(__xludf.DUMMYFUNCTION("""COMPUTED_VALUE"""),"SIM")</f>
        <v>SIM</v>
      </c>
      <c r="W1004" s="11"/>
      <c r="X1004" s="11">
        <f>IFERROR(__xludf.DUMMYFUNCTION("""COMPUTED_VALUE"""),34694474)</f>
        <v>34694474</v>
      </c>
      <c r="Y1004" s="11">
        <f>IFERROR(__xludf.DUMMYFUNCTION("""COMPUTED_VALUE"""),83027363)</f>
        <v>83027363</v>
      </c>
      <c r="Z1004" s="11">
        <f>IFERROR(__xludf.DUMMYFUNCTION("""COMPUTED_VALUE"""),12725358434)</f>
        <v>12725358434</v>
      </c>
    </row>
    <row r="1005" customHeight="1" spans="1:26">
      <c r="A1005" s="11" t="str">
        <f>IFERROR(__xludf.DUMMYFUNCTION("""COMPUTED_VALUE"""),"FERNANDA SILVESTRE RIBEIRO DA COSTA GOMES")</f>
        <v>FERNANDA SILVESTRE RIBEIRO DA COSTA GOMES</v>
      </c>
      <c r="B1005" s="11"/>
      <c r="C1005" s="11"/>
      <c r="D1005" s="11" t="str">
        <f>IFERROR(__xludf.DUMMYFUNCTION("""COMPUTED_VALUE"""),"Médica eSF")</f>
        <v>Médica eSF</v>
      </c>
      <c r="E1005" s="11" t="str">
        <f>IFERROR(__xludf.DUMMYFUNCTION("""COMPUTED_VALUE"""),"VIII")</f>
        <v>VIII</v>
      </c>
      <c r="F1005" s="11" t="str">
        <f>IFERROR(__xludf.DUMMYFUNCTION("""COMPUTED_VALUE"""),"US_181 CENTRAL DE REGULACAO REGIONAL DO RECIFE")</f>
        <v>US_181 CENTRAL DE REGULACAO REGIONAL DO RECIFE</v>
      </c>
      <c r="G1005" s="11" t="str">
        <f>IFERROR(__xludf.DUMMYFUNCTION("""COMPUTED_VALUE"""),"US 341 USF PROF FERNANDO FIGUEIRA")</f>
        <v>US 341 USF PROF FERNANDO FIGUEIRA</v>
      </c>
      <c r="H1005" s="27">
        <f>IFERROR(__xludf.DUMMYFUNCTION("""COMPUTED_VALUE"""),81994989410)</f>
        <v>81994989410</v>
      </c>
      <c r="I1005" s="11"/>
      <c r="J1005" s="11"/>
      <c r="K1005" s="11"/>
      <c r="L1005" s="11"/>
      <c r="M1005" s="28" t="str">
        <f>IFERROR(__xludf.DUMMYFUNCTION("""COMPUTED_VALUE"""),"3355-4684")</f>
        <v>3355-4684</v>
      </c>
      <c r="N1005" s="11"/>
      <c r="O1005" s="29">
        <f>IFERROR(__xludf.DUMMYFUNCTION("""COMPUTED_VALUE"""),8430482474)</f>
        <v>8430482474</v>
      </c>
      <c r="P1005" s="30" t="str">
        <f>IFERROR(__xludf.DUMMYFUNCTION("""COMPUTED_VALUE"""),"706202081197768")</f>
        <v>706202081197768</v>
      </c>
      <c r="Q1005" s="30" t="str">
        <f>IFERROR(__xludf.DUMMYFUNCTION("""COMPUTED_VALUE"""),"5392039")</f>
        <v>5392039</v>
      </c>
      <c r="R1005" s="30" t="str">
        <f>IFERROR(__xludf.DUMMYFUNCTION("""COMPUTED_VALUE"""),"0000155845")</f>
        <v>0000155845</v>
      </c>
      <c r="S1005" s="30" t="str">
        <f>IFERROR(__xludf.DUMMYFUNCTION("""COMPUTED_VALUE"""),"1")</f>
        <v>1</v>
      </c>
      <c r="T1005" s="30" t="str">
        <f>IFERROR(__xludf.DUMMYFUNCTION("""COMPUTED_VALUE"""),"225142")</f>
        <v>225142</v>
      </c>
      <c r="U1005" s="31" t="str">
        <f>IFERROR(__xludf.DUMMYFUNCTION("""COMPUTED_VALUE"""),"2251")</f>
        <v>2251</v>
      </c>
      <c r="V1005" s="11"/>
      <c r="W1005" s="11"/>
      <c r="X1005" s="11"/>
      <c r="Y1005" s="11"/>
      <c r="Z1005" s="11"/>
    </row>
    <row r="1006" customHeight="1" spans="1:26">
      <c r="A1006" s="11" t="str">
        <f>IFERROR(__xludf.DUMMYFUNCTION("""COMPUTED_VALUE"""),"GISELLE CANTO MOTTA VALENCA")</f>
        <v>GISELLE CANTO MOTTA VALENCA</v>
      </c>
      <c r="B1006" s="11"/>
      <c r="C1006" s="11"/>
      <c r="D1006" s="11" t="str">
        <f>IFERROR(__xludf.DUMMYFUNCTION("""COMPUTED_VALUE"""),"Dentista")</f>
        <v>Dentista</v>
      </c>
      <c r="E1006" s="11" t="str">
        <f>IFERROR(__xludf.DUMMYFUNCTION("""COMPUTED_VALUE"""),"VIII")</f>
        <v>VIII</v>
      </c>
      <c r="F1006" s="11" t="str">
        <f>IFERROR(__xludf.DUMMYFUNCTION("""COMPUTED_VALUE"""),"US_341 USF PROF FERNANDES FIGUEIRA PANTANAL")</f>
        <v>US_341 USF PROF FERNANDES FIGUEIRA PANTANAL</v>
      </c>
      <c r="G1006" s="11" t="str">
        <f>IFERROR(__xludf.DUMMYFUNCTION("""COMPUTED_VALUE"""),"US 341 USF PROF FERNANDO FIGUEIRA")</f>
        <v>US 341 USF PROF FERNANDO FIGUEIRA</v>
      </c>
      <c r="H1006" s="27">
        <f>IFERROR(__xludf.DUMMYFUNCTION("""COMPUTED_VALUE"""),81999551941)</f>
        <v>81999551941</v>
      </c>
      <c r="I1006" s="11"/>
      <c r="J1006" s="11"/>
      <c r="K1006" s="11"/>
      <c r="L1006" s="11"/>
      <c r="M1006" s="28" t="str">
        <f>IFERROR(__xludf.DUMMYFUNCTION("""COMPUTED_VALUE"""),"3355-4684")</f>
        <v>3355-4684</v>
      </c>
      <c r="N1006" s="11" t="str">
        <f>IFERROR(__xludf.DUMMYFUNCTION("""COMPUTED_VALUE"""),"gisellecaca@gmail.com")</f>
        <v>gisellecaca@gmail.com</v>
      </c>
      <c r="O1006" s="29">
        <f>IFERROR(__xludf.DUMMYFUNCTION("""COMPUTED_VALUE"""),2253322482)</f>
        <v>2253322482</v>
      </c>
      <c r="P1006" s="30" t="str">
        <f>IFERROR(__xludf.DUMMYFUNCTION("""COMPUTED_VALUE"""),"980016001391764	")</f>
        <v>980016001391764	</v>
      </c>
      <c r="Q1006" s="30" t="str">
        <f>IFERROR(__xludf.DUMMYFUNCTION("""COMPUTED_VALUE"""),"5392039")</f>
        <v>5392039</v>
      </c>
      <c r="R1006" s="30" t="str">
        <f>IFERROR(__xludf.DUMMYFUNCTION("""COMPUTED_VALUE"""),"0001846132")</f>
        <v>0001846132</v>
      </c>
      <c r="S1006" s="30" t="str">
        <f>IFERROR(__xludf.DUMMYFUNCTION("""COMPUTED_VALUE"""),"1")</f>
        <v>1</v>
      </c>
      <c r="T1006" s="30" t="str">
        <f>IFERROR(__xludf.DUMMYFUNCTION("""COMPUTED_VALUE"""),"223293")</f>
        <v>223293</v>
      </c>
      <c r="U1006" s="31">
        <f>IFERROR(__xludf.DUMMYFUNCTION("""COMPUTED_VALUE"""),2232)</f>
        <v>2232</v>
      </c>
      <c r="V1006" s="11"/>
      <c r="W1006" s="11"/>
      <c r="X1006" s="11"/>
      <c r="Y1006" s="11"/>
      <c r="Z1006" s="11"/>
    </row>
    <row r="1007" customHeight="1" spans="1:26">
      <c r="A1007" s="11" t="str">
        <f>IFERROR(__xludf.DUMMYFUNCTION("""COMPUTED_VALUE"""),"MILKA LAURICE DA SILVA")</f>
        <v>MILKA LAURICE DA SILVA</v>
      </c>
      <c r="B1007" s="11"/>
      <c r="C1007" s="11"/>
      <c r="D1007" s="11" t="str">
        <f>IFERROR(__xludf.DUMMYFUNCTION("""COMPUTED_VALUE"""),"Enfermeira eSF")</f>
        <v>Enfermeira eSF</v>
      </c>
      <c r="E1007" s="11" t="str">
        <f>IFERROR(__xludf.DUMMYFUNCTION("""COMPUTED_VALUE"""),"VIII")</f>
        <v>VIII</v>
      </c>
      <c r="F1007" s="11" t="str">
        <f>IFERROR(__xludf.DUMMYFUNCTION("""COMPUTED_VALUE"""),"US_341 USF PROF FERNANDES FIGUEIRA PANTANAL")</f>
        <v>US_341 USF PROF FERNANDES FIGUEIRA PANTANAL</v>
      </c>
      <c r="G1007" s="11" t="str">
        <f>IFERROR(__xludf.DUMMYFUNCTION("""COMPUTED_VALUE"""),"US 341 USF PROF FERNANDO FIGUEIRA")</f>
        <v>US 341 USF PROF FERNANDO FIGUEIRA</v>
      </c>
      <c r="H1007" s="27">
        <f>IFERROR(__xludf.DUMMYFUNCTION("""COMPUTED_VALUE"""),81996882587)</f>
        <v>81996882587</v>
      </c>
      <c r="I1007" s="11"/>
      <c r="J1007" s="11"/>
      <c r="K1007" s="11"/>
      <c r="L1007" s="11"/>
      <c r="M1007" s="28" t="str">
        <f>IFERROR(__xludf.DUMMYFUNCTION("""COMPUTED_VALUE"""),"3355-4684")</f>
        <v>3355-4684</v>
      </c>
      <c r="N1007" s="11" t="str">
        <f>IFERROR(__xludf.DUMMYFUNCTION("""COMPUTED_VALUE"""),"milkalaurice@gmail.com")</f>
        <v>milkalaurice@gmail.com</v>
      </c>
      <c r="O1007" s="29">
        <f>IFERROR(__xludf.DUMMYFUNCTION("""COMPUTED_VALUE"""),2960169425)</f>
        <v>2960169425</v>
      </c>
      <c r="P1007" s="30" t="str">
        <f>IFERROR(__xludf.DUMMYFUNCTION("""COMPUTED_VALUE"""),"204324305410004")</f>
        <v>204324305410004</v>
      </c>
      <c r="Q1007" s="30" t="str">
        <f>IFERROR(__xludf.DUMMYFUNCTION("""COMPUTED_VALUE"""),"5392039")</f>
        <v>5392039</v>
      </c>
      <c r="R1007" s="30" t="str">
        <f>IFERROR(__xludf.DUMMYFUNCTION("""COMPUTED_VALUE"""),"0000155845")</f>
        <v>0000155845</v>
      </c>
      <c r="S1007" s="30" t="str">
        <f>IFERROR(__xludf.DUMMYFUNCTION("""COMPUTED_VALUE"""),"1")</f>
        <v>1</v>
      </c>
      <c r="T1007" s="30" t="str">
        <f>IFERROR(__xludf.DUMMYFUNCTION("""COMPUTED_VALUE"""),"223565")</f>
        <v>223565</v>
      </c>
      <c r="U1007" s="31" t="str">
        <f>IFERROR(__xludf.DUMMYFUNCTION("""COMPUTED_VALUE"""),"2235")</f>
        <v>2235</v>
      </c>
      <c r="V1007" s="11"/>
      <c r="W1007" s="11">
        <f>IFERROR(__xludf.DUMMYFUNCTION("""COMPUTED_VALUE"""),32449511)</f>
        <v>32449511</v>
      </c>
      <c r="X1007" s="11">
        <f>IFERROR(__xludf.DUMMYFUNCTION("""COMPUTED_VALUE"""),96882587)</f>
        <v>96882587</v>
      </c>
      <c r="Y1007" s="11">
        <f>IFERROR(__xludf.DUMMYFUNCTION("""COMPUTED_VALUE"""),2960169425)</f>
        <v>2960169425</v>
      </c>
      <c r="Z1007" s="11"/>
    </row>
    <row r="1008" customHeight="1" spans="1:26">
      <c r="A1008" s="11" t="str">
        <f>IFERROR(__xludf.DUMMYFUNCTION("""COMPUTED_VALUE"""),"ANDREA CAVALCANTI DE MOURA ALBUQUERQUE")</f>
        <v>ANDREA CAVALCANTI DE MOURA ALBUQUERQUE</v>
      </c>
      <c r="B1008" s="11"/>
      <c r="C1008" s="11"/>
      <c r="D1008" s="11" t="str">
        <f>IFERROR(__xludf.DUMMYFUNCTION("""COMPUTED_VALUE"""),"Enfermeira eSF")</f>
        <v>Enfermeira eSF</v>
      </c>
      <c r="E1008" s="11" t="str">
        <f>IFERROR(__xludf.DUMMYFUNCTION("""COMPUTED_VALUE"""),"VIII")</f>
        <v>VIII</v>
      </c>
      <c r="F1008" s="11" t="str">
        <f>IFERROR(__xludf.DUMMYFUNCTION("""COMPUTED_VALUE"""),"US_346 USF ALTO DA JAQUEIRA")</f>
        <v>US_346 USF ALTO DA JAQUEIRA</v>
      </c>
      <c r="G1008" s="11" t="str">
        <f>IFERROR(__xludf.DUMMYFUNCTION("""COMPUTED_VALUE"""),"US 346 USF ALTO DA JAQUEIRA")</f>
        <v>US 346 USF ALTO DA JAQUEIRA</v>
      </c>
      <c r="H1008" s="27">
        <f>IFERROR(__xludf.DUMMYFUNCTION("""COMPUTED_VALUE"""),81985815766)</f>
        <v>81985815766</v>
      </c>
      <c r="I1008" s="27">
        <f>IFERROR(__xludf.DUMMYFUNCTION("""COMPUTED_VALUE"""),81987121202)</f>
        <v>81987121202</v>
      </c>
      <c r="J1008" s="11"/>
      <c r="K1008" s="11"/>
      <c r="L1008" s="11"/>
      <c r="M1008" s="28" t="str">
        <f>IFERROR(__xludf.DUMMYFUNCTION("""COMPUTED_VALUE"""),"3355-4625")</f>
        <v>3355-4625</v>
      </c>
      <c r="N1008" s="11" t="str">
        <f>IFERROR(__xludf.DUMMYFUNCTION("""COMPUTED_VALUE"""),"dealeto@hotmail.com")</f>
        <v>dealeto@hotmail.com</v>
      </c>
      <c r="O1008" s="29">
        <f>IFERROR(__xludf.DUMMYFUNCTION("""COMPUTED_VALUE"""),2066369462)</f>
        <v>2066369462</v>
      </c>
      <c r="P1008" s="30" t="str">
        <f>IFERROR(__xludf.DUMMYFUNCTION("""COMPUTED_VALUE"""),"125320969280008")</f>
        <v>125320969280008</v>
      </c>
      <c r="Q1008" s="30" t="str">
        <f>IFERROR(__xludf.DUMMYFUNCTION("""COMPUTED_VALUE"""),"5653304")</f>
        <v>5653304</v>
      </c>
      <c r="R1008" s="30" t="str">
        <f>IFERROR(__xludf.DUMMYFUNCTION("""COMPUTED_VALUE"""),"0000155969")</f>
        <v>0000155969</v>
      </c>
      <c r="S1008" s="30" t="str">
        <f>IFERROR(__xludf.DUMMYFUNCTION("""COMPUTED_VALUE"""),"1")</f>
        <v>1</v>
      </c>
      <c r="T1008" s="30" t="str">
        <f>IFERROR(__xludf.DUMMYFUNCTION("""COMPUTED_VALUE"""),"223565")</f>
        <v>223565</v>
      </c>
      <c r="U1008" s="31" t="str">
        <f>IFERROR(__xludf.DUMMYFUNCTION("""COMPUTED_VALUE"""),"2235")</f>
        <v>2235</v>
      </c>
      <c r="V1008" s="11"/>
      <c r="W1008" s="11" t="str">
        <f>IFERROR(__xludf.DUMMYFUNCTION("""COMPUTED_VALUE"""),"#N/A")</f>
        <v>#N/A</v>
      </c>
      <c r="X1008" s="11" t="str">
        <f>IFERROR(__xludf.DUMMYFUNCTION("""COMPUTED_VALUE"""),"#N/A")</f>
        <v>#N/A</v>
      </c>
      <c r="Y1008" s="11" t="str">
        <f>IFERROR(__xludf.DUMMYFUNCTION("""COMPUTED_VALUE"""),"#N/A")</f>
        <v>#N/A</v>
      </c>
      <c r="Z1008" s="11"/>
    </row>
    <row r="1009" customHeight="1" spans="1:26">
      <c r="A1009" s="11" t="str">
        <f>IFERROR(__xludf.DUMMYFUNCTION("""COMPUTED_VALUE"""),"EDVAN GOMES DA SILVA")</f>
        <v>EDVAN GOMES DA SILVA</v>
      </c>
      <c r="B1009" s="11"/>
      <c r="C1009" s="11"/>
      <c r="D1009" s="11" t="str">
        <f>IFERROR(__xludf.DUMMYFUNCTION("""COMPUTED_VALUE"""),"Dentista")</f>
        <v>Dentista</v>
      </c>
      <c r="E1009" s="11" t="str">
        <f>IFERROR(__xludf.DUMMYFUNCTION("""COMPUTED_VALUE"""),"VIII")</f>
        <v>VIII</v>
      </c>
      <c r="F1009" s="11" t="str">
        <f>IFERROR(__xludf.DUMMYFUNCTION("""COMPUTED_VALUE"""),"US_104 CS SEBASTIAO IVO RABELO")</f>
        <v>US_104 CS SEBASTIAO IVO RABELO</v>
      </c>
      <c r="G1009" s="11" t="str">
        <f>IFERROR(__xludf.DUMMYFUNCTION("""COMPUTED_VALUE"""),"US 346 USF ALTO DA JAQUEIRA")</f>
        <v>US 346 USF ALTO DA JAQUEIRA</v>
      </c>
      <c r="H1009" s="27">
        <f>IFERROR(__xludf.DUMMYFUNCTION("""COMPUTED_VALUE"""),81984464305)</f>
        <v>81984464305</v>
      </c>
      <c r="I1009" s="11"/>
      <c r="J1009" s="11"/>
      <c r="K1009" s="11"/>
      <c r="L1009" s="11"/>
      <c r="M1009" s="28" t="str">
        <f>IFERROR(__xludf.DUMMYFUNCTION("""COMPUTED_VALUE"""),"3355-4625")</f>
        <v>3355-4625</v>
      </c>
      <c r="N1009" s="11" t="str">
        <f>IFERROR(__xludf.DUMMYFUNCTION("""COMPUTED_VALUE"""),"EDVANODONTO@OUTLOOK.COM")</f>
        <v>EDVANODONTO@OUTLOOK.COM</v>
      </c>
      <c r="O1009" s="29">
        <f>IFERROR(__xludf.DUMMYFUNCTION("""COMPUTED_VALUE"""),71118560400)</f>
        <v>71118560400</v>
      </c>
      <c r="P1009" s="30" t="str">
        <f>IFERROR(__xludf.DUMMYFUNCTION("""COMPUTED_VALUE"""),"980016293350907")</f>
        <v>980016293350907</v>
      </c>
      <c r="Q1009" s="30" t="str">
        <f>IFERROR(__xludf.DUMMYFUNCTION("""COMPUTED_VALUE"""),"5653304")</f>
        <v>5653304</v>
      </c>
      <c r="R1009" s="30" t="str">
        <f>IFERROR(__xludf.DUMMYFUNCTION("""COMPUTED_VALUE"""),"9565330401")</f>
        <v>9565330401</v>
      </c>
      <c r="S1009" s="30" t="str">
        <f>IFERROR(__xludf.DUMMYFUNCTION("""COMPUTED_VALUE"""),"1")</f>
        <v>1</v>
      </c>
      <c r="T1009" s="30" t="str">
        <f>IFERROR(__xludf.DUMMYFUNCTION("""COMPUTED_VALUE"""),"223208 ")</f>
        <v>223208 </v>
      </c>
      <c r="U1009" s="31">
        <f>IFERROR(__xludf.DUMMYFUNCTION("""COMPUTED_VALUE"""),2232)</f>
        <v>2232</v>
      </c>
      <c r="V1009" s="11"/>
      <c r="W1009" s="11"/>
      <c r="X1009" s="11"/>
      <c r="Y1009" s="11"/>
      <c r="Z1009" s="11"/>
    </row>
    <row r="1010" customHeight="1" spans="1:26">
      <c r="A1010" s="11" t="str">
        <f>IFERROR(__xludf.DUMMYFUNCTION("""COMPUTED_VALUE"""),"FERNANDA MARIA PINHEIRO PAES BARRETO")</f>
        <v>FERNANDA MARIA PINHEIRO PAES BARRETO</v>
      </c>
      <c r="B1010" s="11"/>
      <c r="C1010" s="11"/>
      <c r="D1010" s="11" t="str">
        <f>IFERROR(__xludf.DUMMYFUNCTION("""COMPUTED_VALUE"""),"Médica eSF")</f>
        <v>Médica eSF</v>
      </c>
      <c r="E1010" s="11" t="str">
        <f>IFERROR(__xludf.DUMMYFUNCTION("""COMPUTED_VALUE"""),"VIII")</f>
        <v>VIII</v>
      </c>
      <c r="F1010" s="11" t="str">
        <f>IFERROR(__xludf.DUMMYFUNCTION("""COMPUTED_VALUE"""),"US_346 USF ALTO DA JAQUEIRA")</f>
        <v>US_346 USF ALTO DA JAQUEIRA</v>
      </c>
      <c r="G1010" s="11" t="str">
        <f>IFERROR(__xludf.DUMMYFUNCTION("""COMPUTED_VALUE"""),"US 346 USF ALTO DA JAQUEIRA")</f>
        <v>US 346 USF ALTO DA JAQUEIRA</v>
      </c>
      <c r="H1010" s="27">
        <f>IFERROR(__xludf.DUMMYFUNCTION("""COMPUTED_VALUE"""),81995049120)</f>
        <v>81995049120</v>
      </c>
      <c r="I1010" s="27">
        <f>IFERROR(__xludf.DUMMYFUNCTION("""COMPUTED_VALUE"""),81998102303)</f>
        <v>81998102303</v>
      </c>
      <c r="J1010" s="11"/>
      <c r="K1010" s="24">
        <f>IFERROR(__xludf.DUMMYFUNCTION("""COMPUTED_VALUE"""),45152)</f>
        <v>45152</v>
      </c>
      <c r="L1010" s="11"/>
      <c r="M1010" s="28" t="str">
        <f>IFERROR(__xludf.DUMMYFUNCTION("""COMPUTED_VALUE"""),"3355-4625")</f>
        <v>3355-4625</v>
      </c>
      <c r="N1010" s="11" t="str">
        <f>IFERROR(__xludf.DUMMYFUNCTION("""COMPUTED_VALUE"""),"nandapbarreto@yahoo.com.br")</f>
        <v>nandapbarreto@yahoo.com.br</v>
      </c>
      <c r="O1010" s="29">
        <f>IFERROR(__xludf.DUMMYFUNCTION("""COMPUTED_VALUE"""),42691893472)</f>
        <v>42691893472</v>
      </c>
      <c r="P1010" s="30" t="str">
        <f>IFERROR(__xludf.DUMMYFUNCTION("""COMPUTED_VALUE"""),"201560783540007")</f>
        <v>201560783540007</v>
      </c>
      <c r="Q1010" s="30" t="str">
        <f>IFERROR(__xludf.DUMMYFUNCTION("""COMPUTED_VALUE"""),"5653304")</f>
        <v>5653304</v>
      </c>
      <c r="R1010" s="30" t="str">
        <f>IFERROR(__xludf.DUMMYFUNCTION("""COMPUTED_VALUE"""),"0000155950")</f>
        <v>0000155950</v>
      </c>
      <c r="S1010" s="30" t="str">
        <f>IFERROR(__xludf.DUMMYFUNCTION("""COMPUTED_VALUE"""),"1")</f>
        <v>1</v>
      </c>
      <c r="T1010" s="30" t="str">
        <f>IFERROR(__xludf.DUMMYFUNCTION("""COMPUTED_VALUE"""),"225142")</f>
        <v>225142</v>
      </c>
      <c r="U1010" s="31" t="str">
        <f>IFERROR(__xludf.DUMMYFUNCTION("""COMPUTED_VALUE"""),"2251")</f>
        <v>2251</v>
      </c>
      <c r="V1010" s="11"/>
      <c r="W1010" s="30" t="str">
        <f>IFERROR(__xludf.DUMMYFUNCTION("""COMPUTED_VALUE"""),"06/09/1966")</f>
        <v>06/09/1966</v>
      </c>
      <c r="X1010" s="11" t="str">
        <f>IFERROR(__xludf.DUMMYFUNCTION("""COMPUTED_VALUE"""),"#N/A")</f>
        <v>#N/A</v>
      </c>
      <c r="Y1010" s="11" t="str">
        <f>IFERROR(__xludf.DUMMYFUNCTION("""COMPUTED_VALUE"""),"#N/A")</f>
        <v>#N/A</v>
      </c>
      <c r="Z1010" s="11" t="str">
        <f>IFERROR(__xludf.DUMMYFUNCTION("""COMPUTED_VALUE"""),"#N/A")</f>
        <v>#N/A</v>
      </c>
    </row>
    <row r="1011" customHeight="1" spans="1:26">
      <c r="A1011" s="11" t="str">
        <f>IFERROR(__xludf.DUMMYFUNCTION("""COMPUTED_VALUE"""),"TAMARA CROCIA SEABRA")</f>
        <v>TAMARA CROCIA SEABRA</v>
      </c>
      <c r="B1011" s="11"/>
      <c r="C1011" s="11"/>
      <c r="D1011" s="11" t="str">
        <f>IFERROR(__xludf.DUMMYFUNCTION("""COMPUTED_VALUE"""),"Médica eSF")</f>
        <v>Médica eSF</v>
      </c>
      <c r="E1011" s="11" t="str">
        <f>IFERROR(__xludf.DUMMYFUNCTION("""COMPUTED_VALUE"""),"VIII")</f>
        <v>VIII</v>
      </c>
      <c r="F1011" s="11" t="str">
        <f>IFERROR(__xludf.DUMMYFUNCTION("""COMPUTED_VALUE"""),"US_346 USF ALTO DA JAQUEIRA")</f>
        <v>US_346 USF ALTO DA JAQUEIRA</v>
      </c>
      <c r="G1011" s="11" t="str">
        <f>IFERROR(__xludf.DUMMYFUNCTION("""COMPUTED_VALUE"""),"US 346 USF ALTO DA JAQUEIRA")</f>
        <v>US 346 USF ALTO DA JAQUEIRA</v>
      </c>
      <c r="H1011" s="27">
        <f>IFERROR(__xludf.DUMMYFUNCTION("""COMPUTED_VALUE"""),81992823869)</f>
        <v>81992823869</v>
      </c>
      <c r="I1011" s="11"/>
      <c r="J1011" s="11"/>
      <c r="K1011" s="11"/>
      <c r="L1011" s="11"/>
      <c r="M1011" s="28" t="str">
        <f>IFERROR(__xludf.DUMMYFUNCTION("""COMPUTED_VALUE"""),"3355-4625")</f>
        <v>3355-4625</v>
      </c>
      <c r="N1011" s="11" t="str">
        <f>IFERROR(__xludf.DUMMYFUNCTION("""COMPUTED_VALUE"""),"tamaraseabra@hotmail.com")</f>
        <v>tamaraseabra@hotmail.com</v>
      </c>
      <c r="O1011" s="29">
        <f>IFERROR(__xludf.DUMMYFUNCTION("""COMPUTED_VALUE"""),68540370425)</f>
        <v>68540370425</v>
      </c>
      <c r="P1011" s="30" t="str">
        <f>IFERROR(__xludf.DUMMYFUNCTION("""COMPUTED_VALUE"""),"170330592620004")</f>
        <v>170330592620004</v>
      </c>
      <c r="Q1011" s="30" t="str">
        <f>IFERROR(__xludf.DUMMYFUNCTION("""COMPUTED_VALUE"""),"5653304")</f>
        <v>5653304</v>
      </c>
      <c r="R1011" s="30" t="str">
        <f>IFERROR(__xludf.DUMMYFUNCTION("""COMPUTED_VALUE"""),"0000155969")</f>
        <v>0000155969</v>
      </c>
      <c r="S1011" s="30" t="str">
        <f>IFERROR(__xludf.DUMMYFUNCTION("""COMPUTED_VALUE"""),"1")</f>
        <v>1</v>
      </c>
      <c r="T1011" s="30" t="str">
        <f>IFERROR(__xludf.DUMMYFUNCTION("""COMPUTED_VALUE"""),"225142")</f>
        <v>225142</v>
      </c>
      <c r="U1011" s="31" t="str">
        <f>IFERROR(__xludf.DUMMYFUNCTION("""COMPUTED_VALUE"""),"2251")</f>
        <v>2251</v>
      </c>
      <c r="V1011" s="11" t="str">
        <f>IFERROR(__xludf.DUMMYFUNCTION("""COMPUTED_VALUE"""),"SIM")</f>
        <v>SIM</v>
      </c>
      <c r="W1011" s="11"/>
      <c r="X1011" s="11">
        <f>IFERROR(__xludf.DUMMYFUNCTION("""COMPUTED_VALUE"""),8192823869)</f>
        <v>8192823869</v>
      </c>
      <c r="Y1011" s="11"/>
      <c r="Z1011" s="11">
        <f>IFERROR(__xludf.DUMMYFUNCTION("""COMPUTED_VALUE"""),68540370425)</f>
        <v>68540370425</v>
      </c>
    </row>
    <row r="1012" customHeight="1" spans="1:26">
      <c r="A1012" s="11" t="str">
        <f>IFERROR(__xludf.DUMMYFUNCTION("""COMPUTED_VALUE"""),"ISABELLA EDUARDA DE MELO OLIVEIRA")</f>
        <v>ISABELLA EDUARDA DE MELO OLIVEIRA</v>
      </c>
      <c r="B1012" s="11"/>
      <c r="C1012" s="11"/>
      <c r="D1012" s="11" t="str">
        <f>IFERROR(__xludf.DUMMYFUNCTION("""COMPUTED_VALUE"""),"ENFERMEIRA")</f>
        <v>ENFERMEIRA</v>
      </c>
      <c r="E1012" s="11" t="str">
        <f>IFERROR(__xludf.DUMMYFUNCTION("""COMPUTED_VALUE"""),"VIII")</f>
        <v>VIII</v>
      </c>
      <c r="F1012" s="11"/>
      <c r="G1012" s="11" t="str">
        <f>IFERROR(__xludf.DUMMYFUNCTION("""COMPUTED_VALUE"""),"US 347 USF PARQUE DO MILAGRE")</f>
        <v>US 347 USF PARQUE DO MILAGRE</v>
      </c>
      <c r="H1012" s="27">
        <f>IFERROR(__xludf.DUMMYFUNCTION("""COMPUTED_VALUE"""),81997591452)</f>
        <v>81997591452</v>
      </c>
      <c r="I1012" s="11"/>
      <c r="J1012" s="11"/>
      <c r="K1012" s="24">
        <f>IFERROR(__xludf.DUMMYFUNCTION("""COMPUTED_VALUE"""),45436)</f>
        <v>45436</v>
      </c>
      <c r="L1012" s="11"/>
      <c r="M1012" s="11"/>
      <c r="N1012" s="11"/>
      <c r="O1012" s="11"/>
      <c r="P1012" s="11"/>
      <c r="Q1012" s="11"/>
      <c r="R1012" s="11"/>
      <c r="S1012" s="11"/>
      <c r="T1012" s="11"/>
      <c r="U1012" s="11"/>
      <c r="V1012" s="11"/>
      <c r="W1012" s="11"/>
      <c r="X1012" s="11"/>
      <c r="Y1012" s="11"/>
      <c r="Z1012" s="11"/>
    </row>
    <row r="1013" customHeight="1" spans="1:26">
      <c r="A1013" s="11" t="str">
        <f>IFERROR(__xludf.DUMMYFUNCTION("""COMPUTED_VALUE"""),"JOAO LUIS MACEDO CRUZ")</f>
        <v>JOAO LUIS MACEDO CRUZ</v>
      </c>
      <c r="B1013" s="11"/>
      <c r="C1013" s="11"/>
      <c r="D1013" s="11" t="str">
        <f>IFERROR(__xludf.DUMMYFUNCTION("""COMPUTED_VALUE"""),"Médico eSF")</f>
        <v>Médico eSF</v>
      </c>
      <c r="E1013" s="11" t="str">
        <f>IFERROR(__xludf.DUMMYFUNCTION("""COMPUTED_VALUE"""),"VIII")</f>
        <v>VIII</v>
      </c>
      <c r="F1013" s="11" t="str">
        <f>IFERROR(__xludf.DUMMYFUNCTION("""COMPUTED_VALUE"""),"US_347 USF PARQUE DOS MILAGRES")</f>
        <v>US_347 USF PARQUE DOS MILAGRES</v>
      </c>
      <c r="G1013" s="11" t="str">
        <f>IFERROR(__xludf.DUMMYFUNCTION("""COMPUTED_VALUE"""),"US 347 USF PARQUE DO MILAGRE")</f>
        <v>US 347 USF PARQUE DO MILAGRE</v>
      </c>
      <c r="H1013" s="27">
        <f>IFERROR(__xludf.DUMMYFUNCTION("""COMPUTED_VALUE"""),81988275853)</f>
        <v>81988275853</v>
      </c>
      <c r="I1013" s="11"/>
      <c r="J1013" s="11"/>
      <c r="K1013" s="11"/>
      <c r="L1013" s="11"/>
      <c r="M1013" s="28" t="str">
        <f>IFERROR(__xludf.DUMMYFUNCTION("""COMPUTED_VALUE"""),"3355-6191")</f>
        <v>3355-6191</v>
      </c>
      <c r="N1013" s="11" t="str">
        <f>IFERROR(__xludf.DUMMYFUNCTION("""COMPUTED_VALUE"""),"joaoluis.macedocruz@yahoo.com.br")</f>
        <v>joaoluis.macedocruz@yahoo.com.br</v>
      </c>
      <c r="O1013" s="29">
        <f>IFERROR(__xludf.DUMMYFUNCTION("""COMPUTED_VALUE"""),28533984391)</f>
        <v>28533984391</v>
      </c>
      <c r="P1013" s="30" t="str">
        <f>IFERROR(__xludf.DUMMYFUNCTION("""COMPUTED_VALUE"""),"201533355340002")</f>
        <v>201533355340002</v>
      </c>
      <c r="Q1013" s="30" t="str">
        <f>IFERROR(__xludf.DUMMYFUNCTION("""COMPUTED_VALUE"""),"5656893")</f>
        <v>5656893</v>
      </c>
      <c r="R1013" s="30" t="str">
        <f>IFERROR(__xludf.DUMMYFUNCTION("""COMPUTED_VALUE"""),"0000155977")</f>
        <v>0000155977</v>
      </c>
      <c r="S1013" s="30" t="str">
        <f>IFERROR(__xludf.DUMMYFUNCTION("""COMPUTED_VALUE"""),"1")</f>
        <v>1</v>
      </c>
      <c r="T1013" s="30" t="str">
        <f>IFERROR(__xludf.DUMMYFUNCTION("""COMPUTED_VALUE"""),"225142")</f>
        <v>225142</v>
      </c>
      <c r="U1013" s="31" t="str">
        <f>IFERROR(__xludf.DUMMYFUNCTION("""COMPUTED_VALUE"""),"2251")</f>
        <v>2251</v>
      </c>
      <c r="V1013" s="11"/>
      <c r="W1013" s="11"/>
      <c r="X1013" s="11" t="str">
        <f>IFERROR(__xludf.DUMMYFUNCTION("""COMPUTED_VALUE"""),"#N/A")</f>
        <v>#N/A</v>
      </c>
      <c r="Y1013" s="11" t="str">
        <f>IFERROR(__xludf.DUMMYFUNCTION("""COMPUTED_VALUE"""),"#N/A")</f>
        <v>#N/A</v>
      </c>
      <c r="Z1013" s="11" t="str">
        <f>IFERROR(__xludf.DUMMYFUNCTION("""COMPUTED_VALUE"""),"#N/A")</f>
        <v>#N/A</v>
      </c>
    </row>
    <row r="1014" customHeight="1" spans="1:26">
      <c r="A1014" s="11" t="str">
        <f>IFERROR(__xludf.DUMMYFUNCTION("""COMPUTED_VALUE"""),"CARLA CINTIA CAJUEIRO CRISANTO")</f>
        <v>CARLA CINTIA CAJUEIRO CRISANTO</v>
      </c>
      <c r="B1014" s="11"/>
      <c r="C1014" s="11"/>
      <c r="D1014" s="11" t="str">
        <f>IFERROR(__xludf.DUMMYFUNCTION("""COMPUTED_VALUE"""),"Enfermeira eSF")</f>
        <v>Enfermeira eSF</v>
      </c>
      <c r="E1014" s="11" t="str">
        <f>IFERROR(__xludf.DUMMYFUNCTION("""COMPUTED_VALUE"""),"VIII")</f>
        <v>VIII</v>
      </c>
      <c r="F1014" s="11" t="str">
        <f>IFERROR(__xludf.DUMMYFUNCTION("""COMPUTED_VALUE"""),"US_351 USF PAZ E AMOR")</f>
        <v>US_351 USF PAZ E AMOR</v>
      </c>
      <c r="G1014" s="11" t="str">
        <f>IFERROR(__xludf.DUMMYFUNCTION("""COMPUTED_VALUE"""),"US 351 USF PAZ E AMOR")</f>
        <v>US 351 USF PAZ E AMOR</v>
      </c>
      <c r="H1014" s="27">
        <f>IFERROR(__xludf.DUMMYFUNCTION("""COMPUTED_VALUE"""),81988596461)</f>
        <v>81988596461</v>
      </c>
      <c r="I1014" s="11"/>
      <c r="J1014" s="11"/>
      <c r="K1014" s="11"/>
      <c r="L1014" s="11"/>
      <c r="M1014" s="28" t="str">
        <f>IFERROR(__xludf.DUMMYFUNCTION("""COMPUTED_VALUE"""),"3355-6650")</f>
        <v>3355-6650</v>
      </c>
      <c r="N1014" s="11" t="str">
        <f>IFERROR(__xludf.DUMMYFUNCTION("""COMPUTED_VALUE"""),"carllaccris@yahoo.com.br")</f>
        <v>carllaccris@yahoo.com.br</v>
      </c>
      <c r="O1014" s="29">
        <f>IFERROR(__xludf.DUMMYFUNCTION("""COMPUTED_VALUE"""),83112928415)</f>
        <v>83112928415</v>
      </c>
      <c r="P1014" s="30" t="str">
        <f>IFERROR(__xludf.DUMMYFUNCTION("""COMPUTED_VALUE"""),"203119166800001")</f>
        <v>203119166800001</v>
      </c>
      <c r="Q1014" s="30" t="str">
        <f>IFERROR(__xludf.DUMMYFUNCTION("""COMPUTED_VALUE"""),"6362494")</f>
        <v>6362494</v>
      </c>
      <c r="R1014" s="30" t="str">
        <f>IFERROR(__xludf.DUMMYFUNCTION("""COMPUTED_VALUE"""),"0000156027")</f>
        <v>0000156027</v>
      </c>
      <c r="S1014" s="30" t="str">
        <f>IFERROR(__xludf.DUMMYFUNCTION("""COMPUTED_VALUE"""),"1")</f>
        <v>1</v>
      </c>
      <c r="T1014" s="30" t="str">
        <f>IFERROR(__xludf.DUMMYFUNCTION("""COMPUTED_VALUE"""),"223565")</f>
        <v>223565</v>
      </c>
      <c r="U1014" s="31" t="str">
        <f>IFERROR(__xludf.DUMMYFUNCTION("""COMPUTED_VALUE"""),"2235")</f>
        <v>2235</v>
      </c>
      <c r="V1014" s="11"/>
      <c r="W1014" s="11">
        <f>IFERROR(__xludf.DUMMYFUNCTION("""COMPUTED_VALUE"""),88596461)</f>
        <v>88596461</v>
      </c>
      <c r="X1014" s="11">
        <f>IFERROR(__xludf.DUMMYFUNCTION("""COMPUTED_VALUE"""),34321483)</f>
        <v>34321483</v>
      </c>
      <c r="Y1014" s="11">
        <f>IFERROR(__xludf.DUMMYFUNCTION("""COMPUTED_VALUE"""),83112928415)</f>
        <v>83112928415</v>
      </c>
      <c r="Z1014" s="11"/>
    </row>
    <row r="1015" customHeight="1" spans="1:26">
      <c r="A1015" s="11" t="str">
        <f>IFERROR(__xludf.DUMMYFUNCTION("""COMPUTED_VALUE"""),"JAIDETE TELES DE SA PONZI")</f>
        <v>JAIDETE TELES DE SA PONZI</v>
      </c>
      <c r="B1015" s="11"/>
      <c r="C1015" s="11"/>
      <c r="D1015" s="11" t="str">
        <f>IFERROR(__xludf.DUMMYFUNCTION("""COMPUTED_VALUE"""),"Enfermeira eSF")</f>
        <v>Enfermeira eSF</v>
      </c>
      <c r="E1015" s="11" t="str">
        <f>IFERROR(__xludf.DUMMYFUNCTION("""COMPUTED_VALUE"""),"VIII")</f>
        <v>VIII</v>
      </c>
      <c r="F1015" s="11" t="str">
        <f>IFERROR(__xludf.DUMMYFUNCTION("""COMPUTED_VALUE"""),"US_373 USF CIDADE OPERARIA")</f>
        <v>US_373 USF CIDADE OPERARIA</v>
      </c>
      <c r="G1015" s="11" t="str">
        <f>IFERROR(__xludf.DUMMYFUNCTION("""COMPUTED_VALUE"""),"US 373 USF CIDADE OPERARIA")</f>
        <v>US 373 USF CIDADE OPERARIA</v>
      </c>
      <c r="H1015" s="27">
        <f>IFERROR(__xludf.DUMMYFUNCTION("""COMPUTED_VALUE"""),81993115615)</f>
        <v>81993115615</v>
      </c>
      <c r="I1015" s="11"/>
      <c r="J1015" s="11"/>
      <c r="K1015" s="11"/>
      <c r="L1015" s="11"/>
      <c r="M1015" s="28" t="str">
        <f>IFERROR(__xludf.DUMMYFUNCTION("""COMPUTED_VALUE"""),"3355-3032")</f>
        <v>3355-3032</v>
      </c>
      <c r="N1015" s="11" t="str">
        <f>IFERROR(__xludf.DUMMYFUNCTION("""COMPUTED_VALUE"""),"leaamanda@hotmail.com")</f>
        <v>leaamanda@hotmail.com</v>
      </c>
      <c r="O1015" s="29">
        <f>IFERROR(__xludf.DUMMYFUNCTION("""COMPUTED_VALUE"""),14159856420)</f>
        <v>14159856420</v>
      </c>
      <c r="P1015" s="30" t="str">
        <f>IFERROR(__xludf.DUMMYFUNCTION("""COMPUTED_VALUE"""),"980016000441792")</f>
        <v>980016000441792</v>
      </c>
      <c r="Q1015" s="30" t="str">
        <f>IFERROR(__xludf.DUMMYFUNCTION("""COMPUTED_VALUE"""),"6691285")</f>
        <v>6691285</v>
      </c>
      <c r="R1015" s="30" t="str">
        <f>IFERROR(__xludf.DUMMYFUNCTION("""COMPUTED_VALUE"""),"0000156094")</f>
        <v>0000156094</v>
      </c>
      <c r="S1015" s="30" t="str">
        <f>IFERROR(__xludf.DUMMYFUNCTION("""COMPUTED_VALUE"""),"1")</f>
        <v>1</v>
      </c>
      <c r="T1015" s="30" t="str">
        <f>IFERROR(__xludf.DUMMYFUNCTION("""COMPUTED_VALUE"""),"223565")</f>
        <v>223565</v>
      </c>
      <c r="U1015" s="31" t="str">
        <f>IFERROR(__xludf.DUMMYFUNCTION("""COMPUTED_VALUE"""),"2235")</f>
        <v>2235</v>
      </c>
      <c r="V1015" s="11"/>
      <c r="W1015" s="11">
        <f>IFERROR(__xludf.DUMMYFUNCTION("""COMPUTED_VALUE"""),93115615)</f>
        <v>93115615</v>
      </c>
      <c r="X1015" s="11">
        <f>IFERROR(__xludf.DUMMYFUNCTION("""COMPUTED_VALUE"""),34652125)</f>
        <v>34652125</v>
      </c>
      <c r="Y1015" s="11">
        <f>IFERROR(__xludf.DUMMYFUNCTION("""COMPUTED_VALUE"""),14159856420)</f>
        <v>14159856420</v>
      </c>
      <c r="Z1015" s="11"/>
    </row>
    <row r="1016" customHeight="1" spans="1:26">
      <c r="A1016" s="11" t="str">
        <f>IFERROR(__xludf.DUMMYFUNCTION("""COMPUTED_VALUE"""),"JOAO DE PAULA SOBRINHO")</f>
        <v>JOAO DE PAULA SOBRINHO</v>
      </c>
      <c r="B1016" s="11"/>
      <c r="C1016" s="11"/>
      <c r="D1016" s="11" t="str">
        <f>IFERROR(__xludf.DUMMYFUNCTION("""COMPUTED_VALUE"""),"Dentista")</f>
        <v>Dentista</v>
      </c>
      <c r="E1016" s="11" t="str">
        <f>IFERROR(__xludf.DUMMYFUNCTION("""COMPUTED_VALUE"""),"VIII")</f>
        <v>VIII</v>
      </c>
      <c r="F1016" s="11" t="str">
        <f>IFERROR(__xludf.DUMMYFUNCTION("""COMPUTED_VALUE"""),"US_292 USF VILA DO IPSEP")</f>
        <v>US_292 USF VILA DO IPSEP</v>
      </c>
      <c r="G1016" s="11" t="str">
        <f>IFERROR(__xludf.DUMMYFUNCTION("""COMPUTED_VALUE"""),"US 373 USF CIDADE OPERARIA")</f>
        <v>US 373 USF CIDADE OPERARIA</v>
      </c>
      <c r="H1016" s="27">
        <f>IFERROR(__xludf.DUMMYFUNCTION("""COMPUTED_VALUE"""),81986354080)</f>
        <v>81986354080</v>
      </c>
      <c r="I1016" s="11"/>
      <c r="J1016" s="11"/>
      <c r="K1016" s="11"/>
      <c r="L1016" s="11"/>
      <c r="M1016" s="28" t="str">
        <f>IFERROR(__xludf.DUMMYFUNCTION("""COMPUTED_VALUE"""),"3355-3032")</f>
        <v>3355-3032</v>
      </c>
      <c r="N1016" s="11" t="str">
        <f>IFERROR(__xludf.DUMMYFUNCTION("""COMPUTED_VALUE"""),"joao-de-paula@hotmail.com")</f>
        <v>joao-de-paula@hotmail.com</v>
      </c>
      <c r="O1016" s="29">
        <f>IFERROR(__xludf.DUMMYFUNCTION("""COMPUTED_VALUE"""),83946411304)</f>
        <v>83946411304</v>
      </c>
      <c r="P1016" s="30" t="str">
        <f>IFERROR(__xludf.DUMMYFUNCTION("""COMPUTED_VALUE"""),"201561352770004")</f>
        <v>201561352770004</v>
      </c>
      <c r="Q1016" s="30" t="str">
        <f>IFERROR(__xludf.DUMMYFUNCTION("""COMPUTED_VALUE"""),"6691285")</f>
        <v>6691285</v>
      </c>
      <c r="R1016" s="30" t="str">
        <f>IFERROR(__xludf.DUMMYFUNCTION("""COMPUTED_VALUE"""),"0001841106")</f>
        <v>0001841106</v>
      </c>
      <c r="S1016" s="30" t="str">
        <f>IFERROR(__xludf.DUMMYFUNCTION("""COMPUTED_VALUE"""),"1")</f>
        <v>1</v>
      </c>
      <c r="T1016" s="30" t="str">
        <f>IFERROR(__xludf.DUMMYFUNCTION("""COMPUTED_VALUE"""),"223293")</f>
        <v>223293</v>
      </c>
      <c r="U1016" s="31">
        <f>IFERROR(__xludf.DUMMYFUNCTION("""COMPUTED_VALUE"""),2232)</f>
        <v>2232</v>
      </c>
      <c r="V1016" s="11"/>
      <c r="W1016" s="11"/>
      <c r="X1016" s="11"/>
      <c r="Y1016" s="11"/>
      <c r="Z1016" s="11"/>
    </row>
    <row r="1017" customHeight="1" spans="1:26">
      <c r="A1017" s="11" t="str">
        <f>IFERROR(__xludf.DUMMYFUNCTION("""COMPUTED_VALUE"""),"KATARINE REGIA CARVALHO BEZERRA")</f>
        <v>KATARINE REGIA CARVALHO BEZERRA</v>
      </c>
      <c r="B1017" s="11"/>
      <c r="C1017" s="11"/>
      <c r="D1017" s="11" t="str">
        <f>IFERROR(__xludf.DUMMYFUNCTION("""COMPUTED_VALUE"""),"Enfermeira eSF")</f>
        <v>Enfermeira eSF</v>
      </c>
      <c r="E1017" s="11" t="str">
        <f>IFERROR(__xludf.DUMMYFUNCTION("""COMPUTED_VALUE"""),"VIII")</f>
        <v>VIII</v>
      </c>
      <c r="F1017" s="11" t="str">
        <f>IFERROR(__xludf.DUMMYFUNCTION("""COMPUTED_VALUE"""),"US_373 USF CIDADE OPERARIA")</f>
        <v>US_373 USF CIDADE OPERARIA</v>
      </c>
      <c r="G1017" s="11" t="str">
        <f>IFERROR(__xludf.DUMMYFUNCTION("""COMPUTED_VALUE"""),"US 373 USF CIDADE OPERARIA")</f>
        <v>US 373 USF CIDADE OPERARIA</v>
      </c>
      <c r="H1017" s="27">
        <f>IFERROR(__xludf.DUMMYFUNCTION("""COMPUTED_VALUE"""),81988059213)</f>
        <v>81988059213</v>
      </c>
      <c r="I1017" s="27">
        <f>IFERROR(__xludf.DUMMYFUNCTION("""COMPUTED_VALUE"""),81996386838)</f>
        <v>81996386838</v>
      </c>
      <c r="J1017" s="11"/>
      <c r="K1017" s="11"/>
      <c r="L1017" s="11"/>
      <c r="M1017" s="28" t="str">
        <f>IFERROR(__xludf.DUMMYFUNCTION("""COMPUTED_VALUE"""),"3355-3032")</f>
        <v>3355-3032</v>
      </c>
      <c r="N1017" s="11" t="str">
        <f>IFERROR(__xludf.DUMMYFUNCTION("""COMPUTED_VALUE"""),"katarineregiacv@yahoo.com")</f>
        <v>katarineregiacv@yahoo.com</v>
      </c>
      <c r="O1017" s="29">
        <f>IFERROR(__xludf.DUMMYFUNCTION("""COMPUTED_VALUE"""),4599752428)</f>
        <v>4599752428</v>
      </c>
      <c r="P1017" s="30" t="str">
        <f>IFERROR(__xludf.DUMMYFUNCTION("""COMPUTED_VALUE"""),"980016288498373")</f>
        <v>980016288498373</v>
      </c>
      <c r="Q1017" s="30" t="str">
        <f>IFERROR(__xludf.DUMMYFUNCTION("""COMPUTED_VALUE"""),"6691285")</f>
        <v>6691285</v>
      </c>
      <c r="R1017" s="30" t="str">
        <f>IFERROR(__xludf.DUMMYFUNCTION("""COMPUTED_VALUE"""),"0000156116")</f>
        <v>0000156116</v>
      </c>
      <c r="S1017" s="30" t="str">
        <f>IFERROR(__xludf.DUMMYFUNCTION("""COMPUTED_VALUE"""),"1")</f>
        <v>1</v>
      </c>
      <c r="T1017" s="30" t="str">
        <f>IFERROR(__xludf.DUMMYFUNCTION("""COMPUTED_VALUE"""),"223565")</f>
        <v>223565</v>
      </c>
      <c r="U1017" s="31" t="str">
        <f>IFERROR(__xludf.DUMMYFUNCTION("""COMPUTED_VALUE"""),"2235")</f>
        <v>2235</v>
      </c>
      <c r="V1017" s="11"/>
      <c r="W1017" s="11">
        <f>IFERROR(__xludf.DUMMYFUNCTION("""COMPUTED_VALUE"""),96386838)</f>
        <v>96386838</v>
      </c>
      <c r="X1017" s="11">
        <f>IFERROR(__xludf.DUMMYFUNCTION("""COMPUTED_VALUE"""),88059213)</f>
        <v>88059213</v>
      </c>
      <c r="Y1017" s="11">
        <f>IFERROR(__xludf.DUMMYFUNCTION("""COMPUTED_VALUE"""),4599752428)</f>
        <v>4599752428</v>
      </c>
      <c r="Z1017" s="11"/>
    </row>
    <row r="1018" customHeight="1" spans="1:26">
      <c r="A1018" s="11" t="str">
        <f>IFERROR(__xludf.DUMMYFUNCTION("""COMPUTED_VALUE"""),"LUCIMERE ALVES DOS SANTOS")</f>
        <v>LUCIMERE ALVES DOS SANTOS</v>
      </c>
      <c r="B1018" s="11" t="str">
        <f>IFERROR(__xludf.DUMMYFUNCTION("""COMPUTED_VALUE"""),"11:00/11:30 - horário de preferência")</f>
        <v>11:00/11:30 - horário de preferência</v>
      </c>
      <c r="C1018" s="11"/>
      <c r="D1018" s="11" t="str">
        <f>IFERROR(__xludf.DUMMYFUNCTION("""COMPUTED_VALUE"""),"Médica eSF")</f>
        <v>Médica eSF</v>
      </c>
      <c r="E1018" s="11" t="str">
        <f>IFERROR(__xludf.DUMMYFUNCTION("""COMPUTED_VALUE"""),"VIII")</f>
        <v>VIII</v>
      </c>
      <c r="F1018" s="11" t="str">
        <f>IFERROR(__xludf.DUMMYFUNCTION("""COMPUTED_VALUE"""),"US_373 USF CIDADE OPERARIA")</f>
        <v>US_373 USF CIDADE OPERARIA</v>
      </c>
      <c r="G1018" s="11" t="str">
        <f>IFERROR(__xludf.DUMMYFUNCTION("""COMPUTED_VALUE"""),"US 373 USF CIDADE OPERARIA")</f>
        <v>US 373 USF CIDADE OPERARIA</v>
      </c>
      <c r="H1018" s="27">
        <f>IFERROR(__xludf.DUMMYFUNCTION("""COMPUTED_VALUE"""),81993742978)</f>
        <v>81993742978</v>
      </c>
      <c r="I1018" s="11"/>
      <c r="J1018" s="11"/>
      <c r="K1018" s="11"/>
      <c r="L1018" s="11"/>
      <c r="M1018" s="28" t="str">
        <f>IFERROR(__xludf.DUMMYFUNCTION("""COMPUTED_VALUE"""),"3355-3032")</f>
        <v>3355-3032</v>
      </c>
      <c r="N1018" s="11" t="str">
        <f>IFERROR(__xludf.DUMMYFUNCTION("""COMPUTED_VALUE"""),"meryalvesmed22@gmail.com")</f>
        <v>meryalvesmed22@gmail.com</v>
      </c>
      <c r="O1018" s="29">
        <f>IFERROR(__xludf.DUMMYFUNCTION("""COMPUTED_VALUE"""),8856645408)</f>
        <v>8856645408</v>
      </c>
      <c r="P1018" s="29">
        <f>IFERROR(__xludf.DUMMYFUNCTION("""COMPUTED_VALUE"""),708400780295664)</f>
        <v>708400780295664</v>
      </c>
      <c r="Q1018" s="30" t="str">
        <f>IFERROR(__xludf.DUMMYFUNCTION("""COMPUTED_VALUE"""),"6691285")</f>
        <v>6691285</v>
      </c>
      <c r="R1018" s="30" t="str">
        <f>IFERROR(__xludf.DUMMYFUNCTION("""COMPUTED_VALUE"""),"0000156116")</f>
        <v>0000156116</v>
      </c>
      <c r="S1018" s="30" t="str">
        <f>IFERROR(__xludf.DUMMYFUNCTION("""COMPUTED_VALUE"""),"3")</f>
        <v>3</v>
      </c>
      <c r="T1018" s="30" t="str">
        <f>IFERROR(__xludf.DUMMYFUNCTION("""COMPUTED_VALUE"""),"225142")</f>
        <v>225142</v>
      </c>
      <c r="U1018" s="31" t="str">
        <f>IFERROR(__xludf.DUMMYFUNCTION("""COMPUTED_VALUE"""),"2251")</f>
        <v>2251</v>
      </c>
      <c r="V1018" s="11"/>
      <c r="W1018" s="11"/>
      <c r="X1018" s="11"/>
      <c r="Y1018" s="11"/>
      <c r="Z1018" s="11"/>
    </row>
    <row r="1019" customHeight="1" spans="1:26">
      <c r="A1019" s="11" t="str">
        <f>IFERROR(__xludf.DUMMYFUNCTION("""COMPUTED_VALUE"""),"MARCIO MARTINS SILVA FERRAZ")</f>
        <v>MARCIO MARTINS SILVA FERRAZ</v>
      </c>
      <c r="B1019" s="11"/>
      <c r="C1019" s="11"/>
      <c r="D1019" s="11" t="str">
        <f>IFERROR(__xludf.DUMMYFUNCTION("""COMPUTED_VALUE"""),"Médico eSF")</f>
        <v>Médico eSF</v>
      </c>
      <c r="E1019" s="11" t="str">
        <f>IFERROR(__xludf.DUMMYFUNCTION("""COMPUTED_VALUE"""),"VIII")</f>
        <v>VIII</v>
      </c>
      <c r="F1019" s="11" t="str">
        <f>IFERROR(__xludf.DUMMYFUNCTION("""COMPUTED_VALUE"""),"US_163 HOSPITAL DE PEDIATRIA HELENA MOURA")</f>
        <v>US_163 HOSPITAL DE PEDIATRIA HELENA MOURA</v>
      </c>
      <c r="G1019" s="11" t="str">
        <f>IFERROR(__xludf.DUMMYFUNCTION("""COMPUTED_VALUE"""),"US 373 USF CIDADE OPERARIA")</f>
        <v>US 373 USF CIDADE OPERARIA</v>
      </c>
      <c r="H1019" s="27">
        <f>IFERROR(__xludf.DUMMYFUNCTION("""COMPUTED_VALUE"""),81982293399)</f>
        <v>81982293399</v>
      </c>
      <c r="I1019" s="11"/>
      <c r="J1019" s="11"/>
      <c r="K1019" s="11"/>
      <c r="L1019" s="11"/>
      <c r="M1019" s="28" t="str">
        <f>IFERROR(__xludf.DUMMYFUNCTION("""COMPUTED_VALUE"""),"3355-3032")</f>
        <v>3355-3032</v>
      </c>
      <c r="N1019" s="11" t="str">
        <f>IFERROR(__xludf.DUMMYFUNCTION("""COMPUTED_VALUE"""),"martinsferraz2@gmail.com")</f>
        <v>martinsferraz2@gmail.com</v>
      </c>
      <c r="O1019" s="29">
        <f>IFERROR(__xludf.DUMMYFUNCTION("""COMPUTED_VALUE"""),737025441)</f>
        <v>737025441</v>
      </c>
      <c r="P1019" s="29">
        <f>IFERROR(__xludf.DUMMYFUNCTION("""COMPUTED_VALUE"""),980016288904126)</f>
        <v>980016288904126</v>
      </c>
      <c r="Q1019" s="30" t="str">
        <f>IFERROR(__xludf.DUMMYFUNCTION("""COMPUTED_VALUE"""),"6691285")</f>
        <v>6691285</v>
      </c>
      <c r="R1019" s="30" t="str">
        <f>IFERROR(__xludf.DUMMYFUNCTION("""COMPUTED_VALUE"""),"0000156094")</f>
        <v>0000156094</v>
      </c>
      <c r="S1019" s="30" t="str">
        <f>IFERROR(__xludf.DUMMYFUNCTION("""COMPUTED_VALUE"""),"3")</f>
        <v>3</v>
      </c>
      <c r="T1019" s="30" t="str">
        <f>IFERROR(__xludf.DUMMYFUNCTION("""COMPUTED_VALUE"""),"225142")</f>
        <v>225142</v>
      </c>
      <c r="U1019" s="31" t="str">
        <f>IFERROR(__xludf.DUMMYFUNCTION("""COMPUTED_VALUE"""),"2251")</f>
        <v>2251</v>
      </c>
      <c r="V1019" s="11"/>
      <c r="W1019" s="11"/>
      <c r="X1019" s="11"/>
      <c r="Y1019" s="11"/>
      <c r="Z1019" s="11"/>
    </row>
    <row r="1020" customHeight="1" spans="1:26">
      <c r="A1020" s="11" t="str">
        <f>IFERROR(__xludf.DUMMYFUNCTION("""COMPUTED_VALUE"""),"EMERSON DINIZ DA SILVA")</f>
        <v>EMERSON DINIZ DA SILVA</v>
      </c>
      <c r="B1020" s="11"/>
      <c r="C1020" s="11"/>
      <c r="D1020" s="11" t="str">
        <f>IFERROR(__xludf.DUMMYFUNCTION("""COMPUTED_VALUE"""),"AGENTE SOCIAL")</f>
        <v>AGENTE SOCIAL</v>
      </c>
      <c r="E1020" s="11"/>
      <c r="F1020" s="11" t="str">
        <f>IFERROR(__xludf.DUMMYFUNCTION("""COMPUTED_VALUE"""),"CONSULTÓRIO DE RUA")</f>
        <v>CONSULTÓRIO DE RUA</v>
      </c>
      <c r="G1020" s="11" t="str">
        <f>IFERROR(__xludf.DUMMYFUNCTION("""COMPUTED_VALUE"""),"CONSULTÓRIO DE RUA")</f>
        <v>CONSULTÓRIO DE RUA</v>
      </c>
      <c r="H1020" s="27">
        <f>IFERROR(__xludf.DUMMYFUNCTION("""COMPUTED_VALUE"""),81988087998)</f>
        <v>81988087998</v>
      </c>
      <c r="I1020" s="11"/>
      <c r="J1020" s="11"/>
      <c r="K1020" s="11"/>
      <c r="L1020" s="11"/>
      <c r="M1020" s="11"/>
      <c r="N1020" s="11"/>
      <c r="O1020" s="11"/>
      <c r="P1020" s="11"/>
      <c r="Q1020" s="11"/>
      <c r="R1020" s="11"/>
      <c r="S1020" s="11"/>
      <c r="T1020" s="11"/>
      <c r="U1020" s="11"/>
      <c r="V1020" s="11"/>
      <c r="W1020" s="11"/>
      <c r="X1020" s="11"/>
      <c r="Y1020" s="11"/>
      <c r="Z1020" s="11"/>
    </row>
    <row r="1021" customHeight="1" spans="1:26">
      <c r="A1021" s="11" t="str">
        <f>IFERROR(__xludf.DUMMYFUNCTION("""COMPUTED_VALUE"""),"LILIAN COELHO DA SILVA")</f>
        <v>LILIAN COELHO DA SILVA</v>
      </c>
      <c r="B1021" s="11"/>
      <c r="C1021" s="11"/>
      <c r="D1021" s="11" t="str">
        <f>IFERROR(__xludf.DUMMYFUNCTION("""COMPUTED_VALUE"""),"ENFERMEIRA")</f>
        <v>ENFERMEIRA</v>
      </c>
      <c r="E1021" s="11"/>
      <c r="F1021" s="11" t="str">
        <f>IFERROR(__xludf.DUMMYFUNCTION("""COMPUTED_VALUE"""),"CONSULTÓRIO DE RUA")</f>
        <v>CONSULTÓRIO DE RUA</v>
      </c>
      <c r="G1021" s="11" t="str">
        <f>IFERROR(__xludf.DUMMYFUNCTION("""COMPUTED_VALUE"""),"CONSULTÓRIO DE RUA")</f>
        <v>CONSULTÓRIO DE RUA</v>
      </c>
      <c r="H1021" s="27">
        <f>IFERROR(__xludf.DUMMYFUNCTION("""COMPUTED_VALUE"""),81973295651)</f>
        <v>81973295651</v>
      </c>
      <c r="I1021" s="11"/>
      <c r="J1021" s="11"/>
      <c r="K1021" s="11"/>
      <c r="L1021" s="11"/>
      <c r="M1021" s="11"/>
      <c r="N1021" s="11"/>
      <c r="O1021" s="11"/>
      <c r="P1021" s="11"/>
      <c r="Q1021" s="11"/>
      <c r="R1021" s="11"/>
      <c r="S1021" s="11"/>
      <c r="T1021" s="11"/>
      <c r="U1021" s="11"/>
      <c r="V1021" s="11"/>
      <c r="W1021" s="11"/>
      <c r="X1021" s="11"/>
      <c r="Y1021" s="11"/>
      <c r="Z1021" s="11"/>
    </row>
    <row r="1022" customHeight="1" spans="1:26">
      <c r="A1022" s="11" t="str">
        <f>IFERROR(__xludf.DUMMYFUNCTION("""COMPUTED_VALUE"""),"EDNALVA MARIA DE MOURA")</f>
        <v>EDNALVA MARIA DE MOURA</v>
      </c>
      <c r="B1022" s="11"/>
      <c r="C1022" s="11"/>
      <c r="D1022" s="11" t="str">
        <f>IFERROR(__xludf.DUMMYFUNCTION("""COMPUTED_VALUE"""),"AGENTE SOCIAL")</f>
        <v>AGENTE SOCIAL</v>
      </c>
      <c r="E1022" s="11"/>
      <c r="F1022" s="11" t="str">
        <f>IFERROR(__xludf.DUMMYFUNCTION("""COMPUTED_VALUE"""),"CONSULTÓRIO DE RUA")</f>
        <v>CONSULTÓRIO DE RUA</v>
      </c>
      <c r="G1022" s="11" t="str">
        <f>IFERROR(__xludf.DUMMYFUNCTION("""COMPUTED_VALUE"""),"CONSULTÓRIO DE RUA")</f>
        <v>CONSULTÓRIO DE RUA</v>
      </c>
      <c r="H1022" s="27">
        <f>IFERROR(__xludf.DUMMYFUNCTION("""COMPUTED_VALUE"""),81987271977)</f>
        <v>81987271977</v>
      </c>
      <c r="I1022" s="11"/>
      <c r="J1022" s="11"/>
      <c r="K1022" s="11"/>
      <c r="L1022" s="11"/>
      <c r="M1022" s="11"/>
      <c r="N1022" s="11"/>
      <c r="O1022" s="11"/>
      <c r="P1022" s="11"/>
      <c r="Q1022" s="11"/>
      <c r="R1022" s="11"/>
      <c r="S1022" s="11"/>
      <c r="T1022" s="11"/>
      <c r="U1022" s="11"/>
      <c r="V1022" s="11"/>
      <c r="W1022" s="11"/>
      <c r="X1022" s="11"/>
      <c r="Y1022" s="11"/>
      <c r="Z1022" s="11"/>
    </row>
    <row r="1023" customHeight="1" spans="1:26">
      <c r="A1023" s="11" t="str">
        <f>IFERROR(__xludf.DUMMYFUNCTION("""COMPUTED_VALUE"""),"LEANDRO JUNIOR AGUIAR")</f>
        <v>LEANDRO JUNIOR AGUIAR</v>
      </c>
      <c r="B1023" s="11"/>
      <c r="C1023" s="11"/>
      <c r="D1023" s="11" t="str">
        <f>IFERROR(__xludf.DUMMYFUNCTION("""COMPUTED_VALUE"""),"ASSISTENTE SOCIAL")</f>
        <v>ASSISTENTE SOCIAL</v>
      </c>
      <c r="E1023" s="11"/>
      <c r="F1023" s="11" t="str">
        <f>IFERROR(__xludf.DUMMYFUNCTION("""COMPUTED_VALUE"""),"CONSULTÓRIO DE RUA")</f>
        <v>CONSULTÓRIO DE RUA</v>
      </c>
      <c r="G1023" s="11" t="str">
        <f>IFERROR(__xludf.DUMMYFUNCTION("""COMPUTED_VALUE"""),"CONSULTÓRIO DE RUA")</f>
        <v>CONSULTÓRIO DE RUA</v>
      </c>
      <c r="H1023" s="27">
        <f>IFERROR(__xludf.DUMMYFUNCTION("""COMPUTED_VALUE"""),81997197165)</f>
        <v>81997197165</v>
      </c>
      <c r="I1023" s="11"/>
      <c r="J1023" s="11"/>
      <c r="K1023" s="11"/>
      <c r="L1023" s="11"/>
      <c r="M1023" s="11"/>
      <c r="N1023" s="11"/>
      <c r="O1023" s="11"/>
      <c r="P1023" s="11"/>
      <c r="Q1023" s="11"/>
      <c r="R1023" s="11"/>
      <c r="S1023" s="11"/>
      <c r="T1023" s="11"/>
      <c r="U1023" s="11"/>
      <c r="V1023" s="11"/>
      <c r="W1023" s="11"/>
      <c r="X1023" s="11"/>
      <c r="Y1023" s="11"/>
      <c r="Z1023" s="11"/>
    </row>
    <row r="1024" customHeight="1" spans="1:26">
      <c r="A1024" s="11" t="str">
        <f>IFERROR(__xludf.DUMMYFUNCTION("""COMPUTED_VALUE"""),"WOMIS MENEZES DE OLIVEIRA")</f>
        <v>WOMIS MENEZES DE OLIVEIRA</v>
      </c>
      <c r="B1024" s="11"/>
      <c r="C1024" s="11"/>
      <c r="D1024" s="11" t="str">
        <f>IFERROR(__xludf.DUMMYFUNCTION("""COMPUTED_VALUE"""),"PSICÓLOGO")</f>
        <v>PSICÓLOGO</v>
      </c>
      <c r="E1024" s="11"/>
      <c r="F1024" s="11" t="str">
        <f>IFERROR(__xludf.DUMMYFUNCTION("""COMPUTED_VALUE"""),"CONSULTÓRIO DE RUA")</f>
        <v>CONSULTÓRIO DE RUA</v>
      </c>
      <c r="G1024" s="11" t="str">
        <f>IFERROR(__xludf.DUMMYFUNCTION("""COMPUTED_VALUE"""),"CONSULTÓRIO DE RUA")</f>
        <v>CONSULTÓRIO DE RUA</v>
      </c>
      <c r="H1024" s="27">
        <f>IFERROR(__xludf.DUMMYFUNCTION("""COMPUTED_VALUE"""),81995209702)</f>
        <v>81995209702</v>
      </c>
      <c r="I1024" s="11"/>
      <c r="J1024" s="11"/>
      <c r="K1024" s="11"/>
      <c r="L1024" s="11"/>
      <c r="M1024" s="11"/>
      <c r="N1024" s="11"/>
      <c r="O1024" s="11"/>
      <c r="P1024" s="11"/>
      <c r="Q1024" s="11"/>
      <c r="R1024" s="11"/>
      <c r="S1024" s="11"/>
      <c r="T1024" s="11"/>
      <c r="U1024" s="11"/>
      <c r="V1024" s="11"/>
      <c r="W1024" s="11"/>
      <c r="X1024" s="11"/>
      <c r="Y1024" s="11"/>
      <c r="Z1024" s="11"/>
    </row>
    <row r="1025" customHeight="1" spans="1:26">
      <c r="A1025" s="11" t="str">
        <f>IFERROR(__xludf.DUMMYFUNCTION("""COMPUTED_VALUE"""),"ARMIRAGI QUEIROZ")</f>
        <v>ARMIRAGI QUEIROZ</v>
      </c>
      <c r="B1025" s="11"/>
      <c r="C1025" s="11"/>
      <c r="D1025" s="11" t="str">
        <f>IFERROR(__xludf.DUMMYFUNCTION("""COMPUTED_VALUE"""),"ENFERMEIRA")</f>
        <v>ENFERMEIRA</v>
      </c>
      <c r="E1025" s="11"/>
      <c r="F1025" s="11" t="str">
        <f>IFERROR(__xludf.DUMMYFUNCTION("""COMPUTED_VALUE"""),"CONSULTÓRIO DE RUA")</f>
        <v>CONSULTÓRIO DE RUA</v>
      </c>
      <c r="G1025" s="11" t="str">
        <f>IFERROR(__xludf.DUMMYFUNCTION("""COMPUTED_VALUE"""),"CONSULTÓRIO DE RUA")</f>
        <v>CONSULTÓRIO DE RUA</v>
      </c>
      <c r="H1025" s="27">
        <f>IFERROR(__xludf.DUMMYFUNCTION("""COMPUTED_VALUE"""),81999210822)</f>
        <v>81999210822</v>
      </c>
      <c r="I1025" s="11"/>
      <c r="J1025" s="11"/>
      <c r="K1025" s="11"/>
      <c r="L1025" s="11"/>
      <c r="M1025" s="11"/>
      <c r="N1025" s="11"/>
      <c r="O1025" s="11"/>
      <c r="P1025" s="11"/>
      <c r="Q1025" s="11"/>
      <c r="R1025" s="11"/>
      <c r="S1025" s="11"/>
      <c r="T1025" s="11"/>
      <c r="U1025" s="11"/>
      <c r="V1025" s="11"/>
      <c r="W1025" s="11"/>
      <c r="X1025" s="11"/>
      <c r="Y1025" s="11"/>
      <c r="Z1025" s="11"/>
    </row>
    <row r="1026" customHeight="1" spans="1:26">
      <c r="A1026" s="11" t="str">
        <f>IFERROR(__xludf.DUMMYFUNCTION("""COMPUTED_VALUE"""),"JULIANA G C FONSECA")</f>
        <v>JULIANA G C FONSECA</v>
      </c>
      <c r="B1026" s="11"/>
      <c r="C1026" s="11"/>
      <c r="D1026" s="11" t="str">
        <f>IFERROR(__xludf.DUMMYFUNCTION("""COMPUTED_VALUE"""),"ENFERMEIRA")</f>
        <v>ENFERMEIRA</v>
      </c>
      <c r="E1026" s="11"/>
      <c r="F1026" s="11" t="str">
        <f>IFERROR(__xludf.DUMMYFUNCTION("""COMPUTED_VALUE"""),"CONSULTÓRIO DE RUA")</f>
        <v>CONSULTÓRIO DE RUA</v>
      </c>
      <c r="G1026" s="11" t="str">
        <f>IFERROR(__xludf.DUMMYFUNCTION("""COMPUTED_VALUE"""),"CONSULTÓRIO DE RUA")</f>
        <v>CONSULTÓRIO DE RUA</v>
      </c>
      <c r="H1026" s="27">
        <f>IFERROR(__xludf.DUMMYFUNCTION("""COMPUTED_VALUE"""),81999707378)</f>
        <v>81999707378</v>
      </c>
      <c r="I1026" s="11"/>
      <c r="J1026" s="11"/>
      <c r="K1026" s="11"/>
      <c r="L1026" s="11"/>
      <c r="M1026" s="11"/>
      <c r="N1026" s="11"/>
      <c r="O1026" s="11"/>
      <c r="P1026" s="11"/>
      <c r="Q1026" s="11"/>
      <c r="R1026" s="11"/>
      <c r="S1026" s="11"/>
      <c r="T1026" s="11"/>
      <c r="U1026" s="11"/>
      <c r="V1026" s="11"/>
      <c r="W1026" s="11"/>
      <c r="X1026" s="11"/>
      <c r="Y1026" s="11"/>
      <c r="Z1026" s="11"/>
    </row>
    <row r="1027" customHeight="1" spans="1:26">
      <c r="A1027" s="11" t="str">
        <f>IFERROR(__xludf.DUMMYFUNCTION("""COMPUTED_VALUE"""),"MARIA DA C N DE TEREZA")</f>
        <v>MARIA DA C N DE TEREZA</v>
      </c>
      <c r="B1027" s="11"/>
      <c r="C1027" s="11"/>
      <c r="D1027" s="11" t="str">
        <f>IFERROR(__xludf.DUMMYFUNCTION("""COMPUTED_VALUE"""),"ENFERMEIRA")</f>
        <v>ENFERMEIRA</v>
      </c>
      <c r="E1027" s="11"/>
      <c r="F1027" s="11" t="str">
        <f>IFERROR(__xludf.DUMMYFUNCTION("""COMPUTED_VALUE"""),"CONSULTÓRIO DE RUA")</f>
        <v>CONSULTÓRIO DE RUA</v>
      </c>
      <c r="G1027" s="11" t="str">
        <f>IFERROR(__xludf.DUMMYFUNCTION("""COMPUTED_VALUE"""),"CONSULTÓRIO DE RUA")</f>
        <v>CONSULTÓRIO DE RUA</v>
      </c>
      <c r="H1027" s="27">
        <f>IFERROR(__xludf.DUMMYFUNCTION("""COMPUTED_VALUE"""),81987322291)</f>
        <v>81987322291</v>
      </c>
      <c r="I1027" s="11"/>
      <c r="J1027" s="11"/>
      <c r="K1027" s="11"/>
      <c r="L1027" s="11"/>
      <c r="M1027" s="11"/>
      <c r="N1027" s="11"/>
      <c r="O1027" s="11"/>
      <c r="P1027" s="11"/>
      <c r="Q1027" s="11"/>
      <c r="R1027" s="11"/>
      <c r="S1027" s="11"/>
      <c r="T1027" s="11"/>
      <c r="U1027" s="11"/>
      <c r="V1027" s="11"/>
      <c r="W1027" s="11"/>
      <c r="X1027" s="11"/>
      <c r="Y1027" s="11"/>
      <c r="Z1027" s="11"/>
    </row>
    <row r="1028" customHeight="1" spans="1:26">
      <c r="A1028" s="11" t="str">
        <f>IFERROR(__xludf.DUMMYFUNCTION("""COMPUTED_VALUE"""),"ADELAIDE N DE ALBUQUERQUE")</f>
        <v>ADELAIDE N DE ALBUQUERQUE</v>
      </c>
      <c r="B1028" s="11"/>
      <c r="C1028" s="11"/>
      <c r="D1028" s="11" t="str">
        <f>IFERROR(__xludf.DUMMYFUNCTION("""COMPUTED_VALUE"""),"RESIDENTE")</f>
        <v>RESIDENTE</v>
      </c>
      <c r="E1028" s="11"/>
      <c r="F1028" s="11" t="str">
        <f>IFERROR(__xludf.DUMMYFUNCTION("""COMPUTED_VALUE"""),"CONSULTÓRIO DE RUA")</f>
        <v>CONSULTÓRIO DE RUA</v>
      </c>
      <c r="G1028" s="11" t="str">
        <f>IFERROR(__xludf.DUMMYFUNCTION("""COMPUTED_VALUE"""),"CONSULTÓRIO DE RUA")</f>
        <v>CONSULTÓRIO DE RUA</v>
      </c>
      <c r="H1028" s="27">
        <f>IFERROR(__xludf.DUMMYFUNCTION("""COMPUTED_VALUE"""),81992011841)</f>
        <v>81992011841</v>
      </c>
      <c r="I1028" s="11"/>
      <c r="J1028" s="11"/>
      <c r="K1028" s="11"/>
      <c r="L1028" s="11"/>
      <c r="M1028" s="11"/>
      <c r="N1028" s="11"/>
      <c r="O1028" s="11"/>
      <c r="P1028" s="11"/>
      <c r="Q1028" s="11"/>
      <c r="R1028" s="11"/>
      <c r="S1028" s="11"/>
      <c r="T1028" s="11"/>
      <c r="U1028" s="11"/>
      <c r="V1028" s="11"/>
      <c r="W1028" s="11"/>
      <c r="X1028" s="11"/>
      <c r="Y1028" s="11"/>
      <c r="Z1028" s="11"/>
    </row>
    <row r="1029" customHeight="1" spans="1:26">
      <c r="A1029" s="11" t="str">
        <f>IFERROR(__xludf.DUMMYFUNCTION("""COMPUTED_VALUE"""),"GABRIELA DE ALENCAR")</f>
        <v>GABRIELA DE ALENCAR</v>
      </c>
      <c r="B1029" s="11"/>
      <c r="C1029" s="11"/>
      <c r="D1029" s="11" t="str">
        <f>IFERROR(__xludf.DUMMYFUNCTION("""COMPUTED_VALUE"""),"RESIDENTE")</f>
        <v>RESIDENTE</v>
      </c>
      <c r="E1029" s="11"/>
      <c r="F1029" s="11" t="str">
        <f>IFERROR(__xludf.DUMMYFUNCTION("""COMPUTED_VALUE"""),"CONSULTÓRIO DE RUA")</f>
        <v>CONSULTÓRIO DE RUA</v>
      </c>
      <c r="G1029" s="11" t="str">
        <f>IFERROR(__xludf.DUMMYFUNCTION("""COMPUTED_VALUE"""),"CONSULTÓRIO DE RUA")</f>
        <v>CONSULTÓRIO DE RUA</v>
      </c>
      <c r="H1029" s="27">
        <f>IFERROR(__xludf.DUMMYFUNCTION("""COMPUTED_VALUE"""),87999727569)</f>
        <v>87999727569</v>
      </c>
      <c r="I1029" s="11"/>
      <c r="J1029" s="11"/>
      <c r="K1029" s="11"/>
      <c r="L1029" s="11"/>
      <c r="M1029" s="11"/>
      <c r="N1029" s="11"/>
      <c r="O1029" s="11"/>
      <c r="P1029" s="11"/>
      <c r="Q1029" s="11"/>
      <c r="R1029" s="11"/>
      <c r="S1029" s="11"/>
      <c r="T1029" s="11"/>
      <c r="U1029" s="11"/>
      <c r="V1029" s="11"/>
      <c r="W1029" s="11"/>
      <c r="X1029" s="11"/>
      <c r="Y1029" s="11"/>
      <c r="Z1029" s="11"/>
    </row>
    <row r="1030" customHeight="1" spans="1:26">
      <c r="A1030" s="11" t="str">
        <f>IFERROR(__xludf.DUMMYFUNCTION("""COMPUTED_VALUE"""),"JEYSA CARLA JULIAO DE SOUSA")</f>
        <v>JEYSA CARLA JULIAO DE SOUSA</v>
      </c>
      <c r="B1030" s="11"/>
      <c r="C1030" s="11"/>
      <c r="D1030" s="11" t="str">
        <f>IFERROR(__xludf.DUMMYFUNCTION("""COMPUTED_VALUE"""),"MÉDICA")</f>
        <v>MÉDICA</v>
      </c>
      <c r="E1030" s="11"/>
      <c r="F1030" s="11" t="str">
        <f>IFERROR(__xludf.DUMMYFUNCTION("""COMPUTED_VALUE"""),"CONSULTÓRIO DE RUA")</f>
        <v>CONSULTÓRIO DE RUA</v>
      </c>
      <c r="G1030" s="11" t="str">
        <f>IFERROR(__xludf.DUMMYFUNCTION("""COMPUTED_VALUE"""),"CONSULTÓRIO DE RUA")</f>
        <v>CONSULTÓRIO DE RUA</v>
      </c>
      <c r="H1030" s="27">
        <f>IFERROR(__xludf.DUMMYFUNCTION("""COMPUTED_VALUE"""),81980009606)</f>
        <v>81980009606</v>
      </c>
      <c r="I1030" s="11"/>
      <c r="J1030" s="11"/>
      <c r="K1030" s="11"/>
      <c r="L1030" s="11"/>
      <c r="M1030" s="11"/>
      <c r="N1030" s="11"/>
      <c r="O1030" s="11"/>
      <c r="P1030" s="11"/>
      <c r="Q1030" s="11"/>
      <c r="R1030" s="11"/>
      <c r="S1030" s="11"/>
      <c r="T1030" s="11"/>
      <c r="U1030" s="11"/>
      <c r="V1030" s="11"/>
      <c r="W1030" s="11"/>
      <c r="X1030" s="11"/>
      <c r="Y1030" s="11"/>
      <c r="Z1030" s="11"/>
    </row>
    <row r="1031" customHeight="1" spans="1:26">
      <c r="A1031" s="11" t="str">
        <f>IFERROR(__xludf.DUMMYFUNCTION("""COMPUTED_VALUE"""),"RENATA PRISCILLA DE OLIVEIRA A SILVA")</f>
        <v>RENATA PRISCILLA DE OLIVEIRA A SILVA</v>
      </c>
      <c r="B1031" s="11"/>
      <c r="C1031" s="11"/>
      <c r="D1031" s="11" t="str">
        <f>IFERROR(__xludf.DUMMYFUNCTION("""COMPUTED_VALUE"""),"PSICÓLOGA")</f>
        <v>PSICÓLOGA</v>
      </c>
      <c r="E1031" s="11"/>
      <c r="F1031" s="11" t="str">
        <f>IFERROR(__xludf.DUMMYFUNCTION("""COMPUTED_VALUE"""),"CONSULTÓRIO DE RUA")</f>
        <v>CONSULTÓRIO DE RUA</v>
      </c>
      <c r="G1031" s="11" t="str">
        <f>IFERROR(__xludf.DUMMYFUNCTION("""COMPUTED_VALUE"""),"CONSULTÓRIO DE RUA")</f>
        <v>CONSULTÓRIO DE RUA</v>
      </c>
      <c r="H1031" s="27">
        <f>IFERROR(__xludf.DUMMYFUNCTION("""COMPUTED_VALUE"""),81998645997)</f>
        <v>81998645997</v>
      </c>
      <c r="I1031" s="11"/>
      <c r="J1031" s="11"/>
      <c r="K1031" s="11"/>
      <c r="L1031" s="11"/>
      <c r="M1031" s="11"/>
      <c r="N1031" s="11"/>
      <c r="O1031" s="11"/>
      <c r="P1031" s="11"/>
      <c r="Q1031" s="11"/>
      <c r="R1031" s="11"/>
      <c r="S1031" s="11"/>
      <c r="T1031" s="11"/>
      <c r="U1031" s="11"/>
      <c r="V1031" s="11"/>
      <c r="W1031" s="11"/>
      <c r="X1031" s="11"/>
      <c r="Y1031" s="11"/>
      <c r="Z1031" s="11"/>
    </row>
    <row r="1032" customHeight="1" spans="1:26">
      <c r="A1032" s="11" t="str">
        <f>IFERROR(__xludf.DUMMYFUNCTION("""COMPUTED_VALUE"""),"DANIELLE FELISMINO")</f>
        <v>DANIELLE FELISMINO</v>
      </c>
      <c r="B1032" s="11"/>
      <c r="C1032" s="11"/>
      <c r="D1032" s="11" t="str">
        <f>IFERROR(__xludf.DUMMYFUNCTION("""COMPUTED_VALUE"""),"TÉCNICA ENFERMAGEM")</f>
        <v>TÉCNICA ENFERMAGEM</v>
      </c>
      <c r="E1032" s="11"/>
      <c r="F1032" s="11" t="str">
        <f>IFERROR(__xludf.DUMMYFUNCTION("""COMPUTED_VALUE"""),"CONSULTÓRIO DE RUA")</f>
        <v>CONSULTÓRIO DE RUA</v>
      </c>
      <c r="G1032" s="11" t="str">
        <f>IFERROR(__xludf.DUMMYFUNCTION("""COMPUTED_VALUE"""),"CONSULTÓRIO DE RUA")</f>
        <v>CONSULTÓRIO DE RUA</v>
      </c>
      <c r="H1032" s="27">
        <f>IFERROR(__xludf.DUMMYFUNCTION("""COMPUTED_VALUE"""),81995974468)</f>
        <v>81995974468</v>
      </c>
      <c r="I1032" s="11"/>
      <c r="J1032" s="11"/>
      <c r="K1032" s="11"/>
      <c r="L1032" s="11"/>
      <c r="M1032" s="11"/>
      <c r="N1032" s="11"/>
      <c r="O1032" s="11"/>
      <c r="P1032" s="11"/>
      <c r="Q1032" s="11"/>
      <c r="R1032" s="11"/>
      <c r="S1032" s="11"/>
      <c r="T1032" s="11"/>
      <c r="U1032" s="11"/>
      <c r="V1032" s="11"/>
      <c r="W1032" s="11"/>
      <c r="X1032" s="11"/>
      <c r="Y1032" s="11"/>
      <c r="Z1032" s="11"/>
    </row>
    <row r="1033" customHeight="1" spans="1:26">
      <c r="A1033" s="11" t="str">
        <f>IFERROR(__xludf.DUMMYFUNCTION("""COMPUTED_VALUE"""),"RONALDO QUIRINO DA SILVA")</f>
        <v>RONALDO QUIRINO DA SILVA</v>
      </c>
      <c r="B1033" s="11"/>
      <c r="C1033" s="11"/>
      <c r="D1033" s="11" t="str">
        <f>IFERROR(__xludf.DUMMYFUNCTION("""COMPUTED_VALUE"""),"AGENTE SOCIAL")</f>
        <v>AGENTE SOCIAL</v>
      </c>
      <c r="E1033" s="11"/>
      <c r="F1033" s="11" t="str">
        <f>IFERROR(__xludf.DUMMYFUNCTION("""COMPUTED_VALUE"""),"CONSULTÓRIO DE RUA")</f>
        <v>CONSULTÓRIO DE RUA</v>
      </c>
      <c r="G1033" s="11" t="str">
        <f>IFERROR(__xludf.DUMMYFUNCTION("""COMPUTED_VALUE"""),"CONSULTÓRIO DE RUA")</f>
        <v>CONSULTÓRIO DE RUA</v>
      </c>
      <c r="H1033" s="27">
        <f>IFERROR(__xludf.DUMMYFUNCTION("""COMPUTED_VALUE"""),81995074546)</f>
        <v>81995074546</v>
      </c>
      <c r="I1033" s="11"/>
      <c r="J1033" s="11"/>
      <c r="K1033" s="11"/>
      <c r="L1033" s="11"/>
      <c r="M1033" s="11"/>
      <c r="N1033" s="11"/>
      <c r="O1033" s="11"/>
      <c r="P1033" s="11"/>
      <c r="Q1033" s="11"/>
      <c r="R1033" s="11"/>
      <c r="S1033" s="11"/>
      <c r="T1033" s="11"/>
      <c r="U1033" s="11"/>
      <c r="V1033" s="11"/>
      <c r="W1033" s="11"/>
      <c r="X1033" s="11"/>
      <c r="Y1033" s="11"/>
      <c r="Z1033" s="11"/>
    </row>
    <row r="1034" customHeight="1" spans="1:26">
      <c r="A1034" s="11" t="str">
        <f>IFERROR(__xludf.DUMMYFUNCTION("""COMPUTED_VALUE"""),"JAILZA COELHO DOS SANTOS")</f>
        <v>JAILZA COELHO DOS SANTOS</v>
      </c>
      <c r="B1034" s="11"/>
      <c r="C1034" s="11"/>
      <c r="D1034" s="11" t="str">
        <f>IFERROR(__xludf.DUMMYFUNCTION("""COMPUTED_VALUE"""),"TÉCNICA ENFERMAGEM")</f>
        <v>TÉCNICA ENFERMAGEM</v>
      </c>
      <c r="E1034" s="11"/>
      <c r="F1034" s="11" t="str">
        <f>IFERROR(__xludf.DUMMYFUNCTION("""COMPUTED_VALUE"""),"CONSULTÓRIO DE RUA")</f>
        <v>CONSULTÓRIO DE RUA</v>
      </c>
      <c r="G1034" s="11" t="str">
        <f>IFERROR(__xludf.DUMMYFUNCTION("""COMPUTED_VALUE"""),"CONSULTÓRIO DE RUA")</f>
        <v>CONSULTÓRIO DE RUA</v>
      </c>
      <c r="H1034" s="27">
        <f>IFERROR(__xludf.DUMMYFUNCTION("""COMPUTED_VALUE"""),81987415791)</f>
        <v>81987415791</v>
      </c>
      <c r="I1034" s="11"/>
      <c r="J1034" s="11"/>
      <c r="K1034" s="11"/>
      <c r="L1034" s="11"/>
      <c r="M1034" s="11"/>
      <c r="N1034" s="11"/>
      <c r="O1034" s="11"/>
      <c r="P1034" s="11"/>
      <c r="Q1034" s="11"/>
      <c r="R1034" s="11"/>
      <c r="S1034" s="11"/>
      <c r="T1034" s="11"/>
      <c r="U1034" s="11"/>
      <c r="V1034" s="11"/>
      <c r="W1034" s="11"/>
      <c r="X1034" s="11"/>
      <c r="Y1034" s="11"/>
      <c r="Z1034" s="11"/>
    </row>
    <row r="1035" customHeight="1" spans="1:26">
      <c r="A1035" s="11" t="str">
        <f>IFERROR(__xludf.DUMMYFUNCTION("""COMPUTED_VALUE"""),"LUISA PALOMA SOUZA SILVA")</f>
        <v>LUISA PALOMA SOUZA SILVA</v>
      </c>
      <c r="B1035" s="11"/>
      <c r="C1035" s="11"/>
      <c r="D1035" s="11" t="str">
        <f>IFERROR(__xludf.DUMMYFUNCTION("""COMPUTED_VALUE"""),"MÉDICA")</f>
        <v>MÉDICA</v>
      </c>
      <c r="E1035" s="11"/>
      <c r="F1035" s="11" t="str">
        <f>IFERROR(__xludf.DUMMYFUNCTION("""COMPUTED_VALUE"""),"CONSULTÓRIO DE RUA")</f>
        <v>CONSULTÓRIO DE RUA</v>
      </c>
      <c r="G1035" s="11" t="str">
        <f>IFERROR(__xludf.DUMMYFUNCTION("""COMPUTED_VALUE"""),"CONSULTÓRIO DE RUA")</f>
        <v>CONSULTÓRIO DE RUA</v>
      </c>
      <c r="H1035" s="27">
        <f>IFERROR(__xludf.DUMMYFUNCTION("""COMPUTED_VALUE"""),81993786196)</f>
        <v>81993786196</v>
      </c>
      <c r="I1035" s="11"/>
      <c r="J1035" s="11"/>
      <c r="K1035" s="11"/>
      <c r="L1035" s="11"/>
      <c r="M1035" s="11"/>
      <c r="N1035" s="11"/>
      <c r="O1035" s="11"/>
      <c r="P1035" s="11"/>
      <c r="Q1035" s="11"/>
      <c r="R1035" s="11"/>
      <c r="S1035" s="11"/>
      <c r="T1035" s="11"/>
      <c r="U1035" s="11"/>
      <c r="V1035" s="11"/>
      <c r="W1035" s="11"/>
      <c r="X1035" s="11"/>
      <c r="Y1035" s="11"/>
      <c r="Z1035" s="11"/>
    </row>
    <row r="1036" customHeight="1" spans="1:26">
      <c r="A1036" s="11" t="str">
        <f>IFERROR(__xludf.DUMMYFUNCTION("""COMPUTED_VALUE"""),"CAROLINA NOVAES")</f>
        <v>CAROLINA NOVAES</v>
      </c>
      <c r="B1036" s="11"/>
      <c r="C1036" s="11"/>
      <c r="D1036" s="11" t="str">
        <f>IFERROR(__xludf.DUMMYFUNCTION("""COMPUTED_VALUE"""),"MÉDICA")</f>
        <v>MÉDICA</v>
      </c>
      <c r="E1036" s="11"/>
      <c r="F1036" s="11" t="str">
        <f>IFERROR(__xludf.DUMMYFUNCTION("""COMPUTED_VALUE"""),"CONSULTÓRIO DE RUA")</f>
        <v>CONSULTÓRIO DE RUA</v>
      </c>
      <c r="G1036" s="11" t="str">
        <f>IFERROR(__xludf.DUMMYFUNCTION("""COMPUTED_VALUE"""),"CONSULTÓRIO DE RUA")</f>
        <v>CONSULTÓRIO DE RUA</v>
      </c>
      <c r="H1036" s="27">
        <f>IFERROR(__xludf.DUMMYFUNCTION("""COMPUTED_VALUE"""),81997479552)</f>
        <v>81997479552</v>
      </c>
      <c r="I1036" s="11"/>
      <c r="J1036" s="11"/>
      <c r="K1036" s="11"/>
      <c r="L1036" s="11"/>
      <c r="M1036" s="11"/>
      <c r="N1036" s="11"/>
      <c r="O1036" s="11"/>
      <c r="P1036" s="11"/>
      <c r="Q1036" s="11"/>
      <c r="R1036" s="11"/>
      <c r="S1036" s="11"/>
      <c r="T1036" s="11"/>
      <c r="U1036" s="11"/>
      <c r="V1036" s="11"/>
      <c r="W1036" s="11"/>
      <c r="X1036" s="11"/>
      <c r="Y1036" s="11"/>
      <c r="Z1036" s="11"/>
    </row>
    <row r="1037" customHeight="1" spans="1:26">
      <c r="A1037" s="11" t="str">
        <f>IFERROR(__xludf.DUMMYFUNCTION("""COMPUTED_VALUE"""),"MORGANA SANTOS")</f>
        <v>MORGANA SANTOS</v>
      </c>
      <c r="B1037" s="11"/>
      <c r="C1037" s="11"/>
      <c r="D1037" s="11" t="str">
        <f>IFERROR(__xludf.DUMMYFUNCTION("""COMPUTED_VALUE"""),"AGENTE SOCIAL")</f>
        <v>AGENTE SOCIAL</v>
      </c>
      <c r="E1037" s="11"/>
      <c r="F1037" s="11" t="str">
        <f>IFERROR(__xludf.DUMMYFUNCTION("""COMPUTED_VALUE"""),"CONSULTÓRIO DE RUA")</f>
        <v>CONSULTÓRIO DE RUA</v>
      </c>
      <c r="G1037" s="11" t="str">
        <f>IFERROR(__xludf.DUMMYFUNCTION("""COMPUTED_VALUE"""),"CONSULTÓRIO DE RUA")</f>
        <v>CONSULTÓRIO DE RUA</v>
      </c>
      <c r="H1037" s="27">
        <f>IFERROR(__xludf.DUMMYFUNCTION("""COMPUTED_VALUE"""),81985504643)</f>
        <v>81985504643</v>
      </c>
      <c r="I1037" s="11"/>
      <c r="J1037" s="11"/>
      <c r="K1037" s="11"/>
      <c r="L1037" s="11"/>
      <c r="M1037" s="11"/>
      <c r="N1037" s="11"/>
      <c r="O1037" s="11"/>
      <c r="P1037" s="11"/>
      <c r="Q1037" s="11"/>
      <c r="R1037" s="11"/>
      <c r="S1037" s="11"/>
      <c r="T1037" s="11"/>
      <c r="U1037" s="11"/>
      <c r="V1037" s="11"/>
      <c r="W1037" s="11"/>
      <c r="X1037" s="11"/>
      <c r="Y1037" s="11"/>
      <c r="Z1037" s="11"/>
    </row>
    <row r="1038" customHeight="1" spans="1:26">
      <c r="A1038" s="11" t="str">
        <f>IFERROR(__xludf.DUMMYFUNCTION("""COMPUTED_VALUE"""),"LUCELIA ABREU SILVA")</f>
        <v>LUCELIA ABREU SILVA</v>
      </c>
      <c r="B1038" s="11"/>
      <c r="C1038" s="11"/>
      <c r="D1038" s="11" t="str">
        <f>IFERROR(__xludf.DUMMYFUNCTION("""COMPUTED_VALUE"""),"Enfermeira eSF")</f>
        <v>Enfermeira eSF</v>
      </c>
      <c r="E1038" s="11" t="str">
        <f>IFERROR(__xludf.DUMMYFUNCTION("""COMPUTED_VALUE"""),"V")</f>
        <v>V</v>
      </c>
      <c r="F1038" s="11"/>
      <c r="G1038" s="11" t="str">
        <f>IFERROR(__xludf.DUMMYFUNCTION("""COMPUTED_VALUE"""),"US 177 USF CHICO MENDES")</f>
        <v>US 177 USF CHICO MENDES</v>
      </c>
      <c r="H1038" s="27">
        <f>IFERROR(__xludf.DUMMYFUNCTION("""COMPUTED_VALUE"""),81995142410)</f>
        <v>81995142410</v>
      </c>
      <c r="I1038" s="11"/>
      <c r="J1038" s="11"/>
      <c r="K1038" s="24">
        <f>IFERROR(__xludf.DUMMYFUNCTION("""COMPUTED_VALUE"""),45406)</f>
        <v>45406</v>
      </c>
      <c r="L1038" s="11"/>
      <c r="M1038" s="11"/>
      <c r="N1038" s="11"/>
      <c r="O1038" s="11"/>
      <c r="P1038" s="11"/>
      <c r="Q1038" s="11"/>
      <c r="R1038" s="11"/>
      <c r="S1038" s="11"/>
      <c r="T1038" s="11"/>
      <c r="U1038" s="11"/>
      <c r="V1038" s="11"/>
      <c r="W1038" s="11"/>
      <c r="X1038" s="11"/>
      <c r="Y1038" s="11"/>
      <c r="Z1038" s="11"/>
    </row>
    <row r="1039" customHeight="1" spans="1:26">
      <c r="A1039" s="11" t="str">
        <f>IFERROR(__xludf.DUMMYFUNCTION("""COMPUTED_VALUE"""),"enfermeiros novos")</f>
        <v>enfermeiros novos</v>
      </c>
      <c r="B1039" s="11"/>
      <c r="C1039" s="11"/>
      <c r="D1039" s="11"/>
      <c r="E1039" s="11"/>
      <c r="F1039" s="11" t="str">
        <f>IFERROR(__xludf.DUMMYFUNCTION("""COMPUTED_VALUE"""),"")</f>
        <v/>
      </c>
      <c r="G1039" s="11"/>
      <c r="H1039" s="11"/>
      <c r="I1039" s="11"/>
      <c r="J1039" s="11"/>
      <c r="K1039" s="11"/>
      <c r="L1039" s="11"/>
      <c r="M1039" s="11"/>
      <c r="N1039" s="11"/>
      <c r="O1039" s="11"/>
      <c r="P1039" s="11"/>
      <c r="Q1039" s="11"/>
      <c r="R1039" s="11"/>
      <c r="S1039" s="11"/>
      <c r="T1039" s="11"/>
      <c r="U1039" s="11"/>
      <c r="V1039" s="11"/>
      <c r="W1039" s="11"/>
      <c r="X1039" s="11"/>
      <c r="Y1039" s="11"/>
      <c r="Z1039" s="11"/>
    </row>
    <row r="1040" customHeight="1" spans="1:26">
      <c r="A1040" s="11" t="str">
        <f>IFERROR(__xludf.DUMMYFUNCTION("""COMPUTED_VALUE"""),"ANDREA TORRES FERREIRA")</f>
        <v>ANDREA TORRES FERREIRA</v>
      </c>
      <c r="B1040" s="11"/>
      <c r="C1040" s="11"/>
      <c r="D1040" s="11" t="str">
        <f>IFERROR(__xludf.DUMMYFUNCTION("""COMPUTED_VALUE"""),"ENFERMEIRO 30H")</f>
        <v>ENFERMEIRO 30H</v>
      </c>
      <c r="E1040" s="11"/>
      <c r="F1040" s="11" t="str">
        <f>IFERROR(__xludf.DUMMYFUNCTION("""COMPUTED_VALUE"""),"AGUARDANDO LOTAÇAO")</f>
        <v>AGUARDANDO LOTAÇAO</v>
      </c>
      <c r="G1040" s="11" t="str">
        <f>IFERROR(__xludf.DUMMYFUNCTION("""COMPUTED_VALUE"""),"AGUARDANDO LOTAÇAO")</f>
        <v>AGUARDANDO LOTAÇAO</v>
      </c>
      <c r="H1040" s="11"/>
      <c r="I1040" s="11"/>
      <c r="J1040" s="11"/>
      <c r="K1040" s="11"/>
      <c r="L1040" s="11"/>
      <c r="M1040" s="11"/>
      <c r="N1040" s="11"/>
      <c r="O1040" s="11">
        <f>IFERROR(__xludf.DUMMYFUNCTION("""COMPUTED_VALUE"""),41053362404)</f>
        <v>41053362404</v>
      </c>
      <c r="P1040" s="11"/>
      <c r="Q1040" s="11"/>
      <c r="R1040" s="11"/>
      <c r="S1040" s="11"/>
      <c r="T1040" s="11"/>
      <c r="U1040" s="11"/>
      <c r="V1040" s="11"/>
      <c r="W1040" s="11"/>
      <c r="X1040" s="11"/>
      <c r="Y1040" s="11"/>
      <c r="Z1040" s="11"/>
    </row>
    <row r="1041" customHeight="1" spans="1:26">
      <c r="A1041" s="11" t="str">
        <f>IFERROR(__xludf.DUMMYFUNCTION("""COMPUTED_VALUE"""),"MARTA MACHADO DE CARVALHO")</f>
        <v>MARTA MACHADO DE CARVALHO</v>
      </c>
      <c r="B1041" s="11"/>
      <c r="C1041" s="11"/>
      <c r="D1041" s="11" t="str">
        <f>IFERROR(__xludf.DUMMYFUNCTION("""COMPUTED_VALUE"""),"ENFERMEIRO")</f>
        <v>ENFERMEIRO</v>
      </c>
      <c r="E1041" s="11"/>
      <c r="F1041" s="11" t="str">
        <f>IFERROR(__xludf.DUMMYFUNCTION("""COMPUTED_VALUE"""),"")</f>
        <v/>
      </c>
      <c r="G1041" s="11" t="str">
        <f>IFERROR(__xludf.DUMMYFUNCTION("""COMPUTED_VALUE"""),"ATENDE EM CASA")</f>
        <v>ATENDE EM CASA</v>
      </c>
      <c r="H1041" s="27">
        <f>IFERROR(__xludf.DUMMYFUNCTION("""COMPUTED_VALUE"""),74988525945)</f>
        <v>74988525945</v>
      </c>
      <c r="I1041" s="11"/>
      <c r="J1041" s="11"/>
      <c r="K1041" s="24">
        <f>IFERROR(__xludf.DUMMYFUNCTION("""COMPUTED_VALUE"""),45231)</f>
        <v>45231</v>
      </c>
      <c r="L1041" s="11"/>
      <c r="M1041" s="11"/>
      <c r="N1041" s="11"/>
      <c r="O1041" s="11"/>
      <c r="P1041" s="11"/>
      <c r="Q1041" s="11"/>
      <c r="R1041" s="11"/>
      <c r="S1041" s="11"/>
      <c r="T1041" s="11"/>
      <c r="U1041" s="11"/>
      <c r="V1041" s="11"/>
      <c r="W1041" s="11"/>
      <c r="X1041" s="11"/>
      <c r="Y1041" s="11"/>
      <c r="Z1041" s="11"/>
    </row>
    <row r="1042" customHeight="1" spans="1:26">
      <c r="A1042" s="11" t="str">
        <f>IFERROR(__xludf.DUMMYFUNCTION("""COMPUTED_VALUE"""),"CARMEM ELIZA CARVALHO PEIXOTO")</f>
        <v>CARMEM ELIZA CARVALHO PEIXOTO</v>
      </c>
      <c r="B1042" s="11"/>
      <c r="C1042" s="11"/>
      <c r="D1042" s="11" t="str">
        <f>IFERROR(__xludf.DUMMYFUNCTION("""COMPUTED_VALUE"""),"ENFERMEIRO 30H")</f>
        <v>ENFERMEIRO 30H</v>
      </c>
      <c r="E1042" s="11"/>
      <c r="F1042" s="11" t="str">
        <f>IFERROR(__xludf.DUMMYFUNCTION("""COMPUTED_VALUE"""),"ATENDE EM CASA")</f>
        <v>ATENDE EM CASA</v>
      </c>
      <c r="G1042" s="11" t="str">
        <f>IFERROR(__xludf.DUMMYFUNCTION("""COMPUTED_VALUE"""),"ATENDE EM CASA")</f>
        <v>ATENDE EM CASA</v>
      </c>
      <c r="H1042" s="11"/>
      <c r="I1042" s="11"/>
      <c r="J1042" s="11"/>
      <c r="K1042" s="11"/>
      <c r="L1042" s="11"/>
      <c r="M1042" s="11"/>
      <c r="N1042" s="11"/>
      <c r="O1042" s="11">
        <f>IFERROR(__xludf.DUMMYFUNCTION("""COMPUTED_VALUE"""),16937902387)</f>
        <v>16937902387</v>
      </c>
      <c r="P1042" s="11"/>
      <c r="Q1042" s="11"/>
      <c r="R1042" s="11"/>
      <c r="S1042" s="11"/>
      <c r="T1042" s="11"/>
      <c r="U1042" s="11"/>
      <c r="V1042" s="11"/>
      <c r="W1042" s="11"/>
      <c r="X1042" s="11"/>
      <c r="Y1042" s="11"/>
      <c r="Z1042" s="11"/>
    </row>
    <row r="1043" customHeight="1" spans="1:26">
      <c r="A1043" s="11" t="str">
        <f>IFERROR(__xludf.DUMMYFUNCTION("""COMPUTED_VALUE"""),"FRANCISKELLY DE S PESSOA")</f>
        <v>FRANCISKELLY DE S PESSOA</v>
      </c>
      <c r="B1043" s="11"/>
      <c r="C1043" s="11"/>
      <c r="D1043" s="11" t="str">
        <f>IFERROR(__xludf.DUMMYFUNCTION("""COMPUTED_VALUE"""),"ENFERMEIRO 30H")</f>
        <v>ENFERMEIRO 30H</v>
      </c>
      <c r="E1043" s="11"/>
      <c r="F1043" s="11" t="str">
        <f>IFERROR(__xludf.DUMMYFUNCTION("""COMPUTED_VALUE"""),"ATENDE EM CASA")</f>
        <v>ATENDE EM CASA</v>
      </c>
      <c r="G1043" s="11" t="str">
        <f>IFERROR(__xludf.DUMMYFUNCTION("""COMPUTED_VALUE"""),"ATENDE EM CASA")</f>
        <v>ATENDE EM CASA</v>
      </c>
      <c r="H1043" s="11"/>
      <c r="I1043" s="11"/>
      <c r="J1043" s="11"/>
      <c r="K1043" s="11"/>
      <c r="L1043" s="11"/>
      <c r="M1043" s="11"/>
      <c r="N1043" s="11"/>
      <c r="O1043" s="11">
        <f>IFERROR(__xludf.DUMMYFUNCTION("""COMPUTED_VALUE"""),3423592400)</f>
        <v>3423592400</v>
      </c>
      <c r="P1043" s="11"/>
      <c r="Q1043" s="11"/>
      <c r="R1043" s="11"/>
      <c r="S1043" s="11"/>
      <c r="T1043" s="11"/>
      <c r="U1043" s="11"/>
      <c r="V1043" s="11"/>
      <c r="W1043" s="11"/>
      <c r="X1043" s="11"/>
      <c r="Y1043" s="11"/>
      <c r="Z1043" s="11"/>
    </row>
    <row r="1044" customHeight="1" spans="1:26">
      <c r="A1044" s="11" t="str">
        <f>IFERROR(__xludf.DUMMYFUNCTION("""COMPUTED_VALUE"""),"RENATA FERREIRA TINE")</f>
        <v>RENATA FERREIRA TINE</v>
      </c>
      <c r="B1044" s="11"/>
      <c r="C1044" s="11"/>
      <c r="D1044" s="11" t="str">
        <f>IFERROR(__xludf.DUMMYFUNCTION("""COMPUTED_VALUE"""),"ENFERMEIRO 40H")</f>
        <v>ENFERMEIRO 40H</v>
      </c>
      <c r="E1044" s="11"/>
      <c r="F1044" s="11" t="str">
        <f>IFERROR(__xludf.DUMMYFUNCTION("""COMPUTED_VALUE"""),"ATENDE EM CASA")</f>
        <v>ATENDE EM CASA</v>
      </c>
      <c r="G1044" s="11" t="str">
        <f>IFERROR(__xludf.DUMMYFUNCTION("""COMPUTED_VALUE"""),"ATENDE EM CASA")</f>
        <v>ATENDE EM CASA</v>
      </c>
      <c r="H1044" s="11"/>
      <c r="I1044" s="11"/>
      <c r="J1044" s="11"/>
      <c r="K1044" s="11"/>
      <c r="L1044" s="11"/>
      <c r="M1044" s="11"/>
      <c r="N1044" s="11"/>
      <c r="O1044" s="11">
        <f>IFERROR(__xludf.DUMMYFUNCTION("""COMPUTED_VALUE"""),5144636438)</f>
        <v>5144636438</v>
      </c>
      <c r="P1044" s="11"/>
      <c r="Q1044" s="11"/>
      <c r="R1044" s="11"/>
      <c r="S1044" s="11"/>
      <c r="T1044" s="11"/>
      <c r="U1044" s="11"/>
      <c r="V1044" s="11"/>
      <c r="W1044" s="11"/>
      <c r="X1044" s="11"/>
      <c r="Y1044" s="11"/>
      <c r="Z1044" s="11"/>
    </row>
    <row r="1045" customHeight="1" spans="1:26">
      <c r="A1045" s="11" t="str">
        <f>IFERROR(__xludf.DUMMYFUNCTION("""COMPUTED_VALUE"""),"EMANUELLE DE FATIMA P C ARAUJO")</f>
        <v>EMANUELLE DE FATIMA P C ARAUJO</v>
      </c>
      <c r="B1045" s="11"/>
      <c r="C1045" s="11"/>
      <c r="D1045" s="11" t="str">
        <f>IFERROR(__xludf.DUMMYFUNCTION("""COMPUTED_VALUE"""),"ENFERMEIRO 30H")</f>
        <v>ENFERMEIRO 30H</v>
      </c>
      <c r="E1045" s="11"/>
      <c r="F1045" s="11" t="str">
        <f>IFERROR(__xludf.DUMMYFUNCTION("""COMPUTED_VALUE"""),"ATENDE EM CASA")</f>
        <v>ATENDE EM CASA</v>
      </c>
      <c r="G1045" s="11" t="str">
        <f>IFERROR(__xludf.DUMMYFUNCTION("""COMPUTED_VALUE"""),"ATENDE EM CASA")</f>
        <v>ATENDE EM CASA</v>
      </c>
      <c r="H1045" s="11"/>
      <c r="I1045" s="11"/>
      <c r="J1045" s="11"/>
      <c r="K1045" s="11"/>
      <c r="L1045" s="11"/>
      <c r="M1045" s="11"/>
      <c r="N1045" s="11"/>
      <c r="O1045" s="11">
        <f>IFERROR(__xludf.DUMMYFUNCTION("""COMPUTED_VALUE"""),1372522425)</f>
        <v>1372522425</v>
      </c>
      <c r="P1045" s="11"/>
      <c r="Q1045" s="11"/>
      <c r="R1045" s="11"/>
      <c r="S1045" s="11"/>
      <c r="T1045" s="11"/>
      <c r="U1045" s="11"/>
      <c r="V1045" s="11"/>
      <c r="W1045" s="11"/>
      <c r="X1045" s="11"/>
      <c r="Y1045" s="11"/>
      <c r="Z1045" s="11"/>
    </row>
    <row r="1046" customHeight="1" spans="1:26">
      <c r="A1046" s="11" t="str">
        <f>IFERROR(__xludf.DUMMYFUNCTION("""COMPUTED_VALUE"""),"MARIA CAROLINA C D FIGUEIREDO")</f>
        <v>MARIA CAROLINA C D FIGUEIREDO</v>
      </c>
      <c r="B1046" s="11"/>
      <c r="C1046" s="11"/>
      <c r="D1046" s="11" t="str">
        <f>IFERROR(__xludf.DUMMYFUNCTION("""COMPUTED_VALUE"""),"ENFERMEIRO 30H")</f>
        <v>ENFERMEIRO 30H</v>
      </c>
      <c r="E1046" s="11"/>
      <c r="F1046" s="11" t="str">
        <f>IFERROR(__xludf.DUMMYFUNCTION("""COMPUTED_VALUE"""),"ATENDE EM CASA")</f>
        <v>ATENDE EM CASA</v>
      </c>
      <c r="G1046" s="11" t="str">
        <f>IFERROR(__xludf.DUMMYFUNCTION("""COMPUTED_VALUE"""),"ATENDE EM CASA")</f>
        <v>ATENDE EM CASA</v>
      </c>
      <c r="H1046" s="11"/>
      <c r="I1046" s="11"/>
      <c r="J1046" s="11"/>
      <c r="K1046" s="11"/>
      <c r="L1046" s="11"/>
      <c r="M1046" s="11"/>
      <c r="N1046" s="11"/>
      <c r="O1046" s="11">
        <f>IFERROR(__xludf.DUMMYFUNCTION("""COMPUTED_VALUE"""),3180419440)</f>
        <v>3180419440</v>
      </c>
      <c r="P1046" s="11"/>
      <c r="Q1046" s="11"/>
      <c r="R1046" s="11"/>
      <c r="S1046" s="11"/>
      <c r="T1046" s="11"/>
      <c r="U1046" s="11"/>
      <c r="V1046" s="11"/>
      <c r="W1046" s="11"/>
      <c r="X1046" s="11"/>
      <c r="Y1046" s="11"/>
      <c r="Z1046" s="11"/>
    </row>
    <row r="1047" customHeight="1" spans="1:26">
      <c r="A1047" s="11" t="str">
        <f>IFERROR(__xludf.DUMMYFUNCTION("""COMPUTED_VALUE"""),"WILLIAM DE OLIVEIRA RIBEIRO")</f>
        <v>WILLIAM DE OLIVEIRA RIBEIRO</v>
      </c>
      <c r="B1047" s="11"/>
      <c r="C1047" s="11"/>
      <c r="D1047" s="11" t="str">
        <f>IFERROR(__xludf.DUMMYFUNCTION("""COMPUTED_VALUE"""),"ENFERMEIRO 30H - DIARISTA")</f>
        <v>ENFERMEIRO 30H - DIARISTA</v>
      </c>
      <c r="E1047" s="11"/>
      <c r="F1047" s="11" t="str">
        <f>IFERROR(__xludf.DUMMYFUNCTION("""COMPUTED_VALUE"""),"ATENDE EM CASA")</f>
        <v>ATENDE EM CASA</v>
      </c>
      <c r="G1047" s="11" t="str">
        <f>IFERROR(__xludf.DUMMYFUNCTION("""COMPUTED_VALUE"""),"ATENDE EM CASA")</f>
        <v>ATENDE EM CASA</v>
      </c>
      <c r="H1047" s="27">
        <f>IFERROR(__xludf.DUMMYFUNCTION("""COMPUTED_VALUE"""),81995576128)</f>
        <v>81995576128</v>
      </c>
      <c r="I1047" s="11"/>
      <c r="J1047" s="11"/>
      <c r="K1047" s="11"/>
      <c r="L1047" s="11"/>
      <c r="M1047" s="11"/>
      <c r="N1047" s="11"/>
      <c r="O1047" s="11">
        <f>IFERROR(__xludf.DUMMYFUNCTION("""COMPUTED_VALUE"""),8993446407)</f>
        <v>8993446407</v>
      </c>
      <c r="P1047" s="11"/>
      <c r="Q1047" s="11"/>
      <c r="R1047" s="11"/>
      <c r="S1047" s="11"/>
      <c r="T1047" s="11"/>
      <c r="U1047" s="11"/>
      <c r="V1047" s="11"/>
      <c r="W1047" s="11"/>
      <c r="X1047" s="11"/>
      <c r="Y1047" s="11"/>
      <c r="Z1047" s="11"/>
    </row>
    <row r="1048" customHeight="1" spans="1:26">
      <c r="A1048" s="11" t="str">
        <f>IFERROR(__xludf.DUMMYFUNCTION("""COMPUTED_VALUE"""),"VANESSA LAIS LEAO R MARQUES")</f>
        <v>VANESSA LAIS LEAO R MARQUES</v>
      </c>
      <c r="B1048" s="11"/>
      <c r="C1048" s="11"/>
      <c r="D1048" s="11" t="str">
        <f>IFERROR(__xludf.DUMMYFUNCTION("""COMPUTED_VALUE"""),"ENFERMEIRO 30H - PLANTONISTA")</f>
        <v>ENFERMEIRO 30H - PLANTONISTA</v>
      </c>
      <c r="E1048" s="11"/>
      <c r="F1048" s="11" t="str">
        <f>IFERROR(__xludf.DUMMYFUNCTION("""COMPUTED_VALUE"""),"ATENDE EM CASA")</f>
        <v>ATENDE EM CASA</v>
      </c>
      <c r="G1048" s="11" t="str">
        <f>IFERROR(__xludf.DUMMYFUNCTION("""COMPUTED_VALUE"""),"ATENDE EM CASA")</f>
        <v>ATENDE EM CASA</v>
      </c>
      <c r="H1048" s="11"/>
      <c r="I1048" s="11"/>
      <c r="J1048" s="11"/>
      <c r="K1048" s="11"/>
      <c r="L1048" s="11"/>
      <c r="M1048" s="11"/>
      <c r="N1048" s="11"/>
      <c r="O1048" s="11">
        <f>IFERROR(__xludf.DUMMYFUNCTION("""COMPUTED_VALUE"""),7373343473)</f>
        <v>7373343473</v>
      </c>
      <c r="P1048" s="11"/>
      <c r="Q1048" s="11"/>
      <c r="R1048" s="11"/>
      <c r="S1048" s="11"/>
      <c r="T1048" s="11"/>
      <c r="U1048" s="11"/>
      <c r="V1048" s="11"/>
      <c r="W1048" s="11"/>
      <c r="X1048" s="11"/>
      <c r="Y1048" s="11"/>
      <c r="Z1048" s="11"/>
    </row>
    <row r="1049" customHeight="1" spans="1:26">
      <c r="A1049" s="11" t="str">
        <f>IFERROR(__xludf.DUMMYFUNCTION("""COMPUTED_VALUE"""),"MARIA FERNANDA F D CORDEIRO")</f>
        <v>MARIA FERNANDA F D CORDEIRO</v>
      </c>
      <c r="B1049" s="11"/>
      <c r="C1049" s="11"/>
      <c r="D1049" s="11" t="str">
        <f>IFERROR(__xludf.DUMMYFUNCTION("""COMPUTED_VALUE"""),"ENFERMEIRO 30H - PLANTONISTA")</f>
        <v>ENFERMEIRO 30H - PLANTONISTA</v>
      </c>
      <c r="E1049" s="11"/>
      <c r="F1049" s="11" t="str">
        <f>IFERROR(__xludf.DUMMYFUNCTION("""COMPUTED_VALUE"""),"ATENDE EM CASA")</f>
        <v>ATENDE EM CASA</v>
      </c>
      <c r="G1049" s="11" t="str">
        <f>IFERROR(__xludf.DUMMYFUNCTION("""COMPUTED_VALUE"""),"ATENDE EM CASA")</f>
        <v>ATENDE EM CASA</v>
      </c>
      <c r="H1049" s="11"/>
      <c r="I1049" s="11"/>
      <c r="J1049" s="11"/>
      <c r="K1049" s="11"/>
      <c r="L1049" s="11"/>
      <c r="M1049" s="11"/>
      <c r="N1049" s="11"/>
      <c r="O1049" s="11">
        <f>IFERROR(__xludf.DUMMYFUNCTION("""COMPUTED_VALUE"""),10123876400)</f>
        <v>10123876400</v>
      </c>
      <c r="P1049" s="11"/>
      <c r="Q1049" s="11"/>
      <c r="R1049" s="11"/>
      <c r="S1049" s="11"/>
      <c r="T1049" s="11"/>
      <c r="U1049" s="11"/>
      <c r="V1049" s="11"/>
      <c r="W1049" s="11"/>
      <c r="X1049" s="11"/>
      <c r="Y1049" s="11"/>
      <c r="Z1049" s="11"/>
    </row>
    <row r="1050" customHeight="1" spans="1:26">
      <c r="A1050" s="11" t="str">
        <f>IFERROR(__xludf.DUMMYFUNCTION("""COMPUTED_VALUE"""),"EVELYN DA SILVA FERREIRA LINS")</f>
        <v>EVELYN DA SILVA FERREIRA LINS</v>
      </c>
      <c r="B1050" s="11"/>
      <c r="C1050" s="11"/>
      <c r="D1050" s="11" t="str">
        <f>IFERROR(__xludf.DUMMYFUNCTION("""COMPUTED_VALUE"""),"ENFERMEIRO 30H - OBSTETRA - PLANTONISTA")</f>
        <v>ENFERMEIRO 30H - OBSTETRA - PLANTONISTA</v>
      </c>
      <c r="E1050" s="11"/>
      <c r="F1050" s="11" t="str">
        <f>IFERROR(__xludf.DUMMYFUNCTION("""COMPUTED_VALUE"""),"ATENDE EM CASA")</f>
        <v>ATENDE EM CASA</v>
      </c>
      <c r="G1050" s="11" t="str">
        <f>IFERROR(__xludf.DUMMYFUNCTION("""COMPUTED_VALUE"""),"ATENDE EM CASA")</f>
        <v>ATENDE EM CASA</v>
      </c>
      <c r="H1050" s="11"/>
      <c r="I1050" s="11"/>
      <c r="J1050" s="11"/>
      <c r="K1050" s="11"/>
      <c r="L1050" s="11"/>
      <c r="M1050" s="11"/>
      <c r="N1050" s="11"/>
      <c r="O1050" s="11">
        <f>IFERROR(__xludf.DUMMYFUNCTION("""COMPUTED_VALUE"""),2610325428)</f>
        <v>2610325428</v>
      </c>
      <c r="P1050" s="11"/>
      <c r="Q1050" s="11"/>
      <c r="R1050" s="11"/>
      <c r="S1050" s="11"/>
      <c r="T1050" s="11"/>
      <c r="U1050" s="11"/>
      <c r="V1050" s="11"/>
      <c r="W1050" s="11"/>
      <c r="X1050" s="11"/>
      <c r="Y1050" s="11"/>
      <c r="Z1050" s="11"/>
    </row>
    <row r="1051" customHeight="1" spans="1:26">
      <c r="A1051" s="11" t="str">
        <f>IFERROR(__xludf.DUMMYFUNCTION("""COMPUTED_VALUE"""),"MARIA JOANNA DARC DE M FRANCA")</f>
        <v>MARIA JOANNA DARC DE M FRANCA</v>
      </c>
      <c r="B1051" s="11"/>
      <c r="C1051" s="11"/>
      <c r="D1051" s="11" t="str">
        <f>IFERROR(__xludf.DUMMYFUNCTION("""COMPUTED_VALUE"""),"ENFERMEIRO 30H - OBSTETRA - PLANTONISTA")</f>
        <v>ENFERMEIRO 30H - OBSTETRA - PLANTONISTA</v>
      </c>
      <c r="E1051" s="11"/>
      <c r="F1051" s="11" t="str">
        <f>IFERROR(__xludf.DUMMYFUNCTION("""COMPUTED_VALUE"""),"ATENDE EM CASA")</f>
        <v>ATENDE EM CASA</v>
      </c>
      <c r="G1051" s="11" t="str">
        <f>IFERROR(__xludf.DUMMYFUNCTION("""COMPUTED_VALUE"""),"ATENDE EM CASA")</f>
        <v>ATENDE EM CASA</v>
      </c>
      <c r="H1051" s="27">
        <f>IFERROR(__xludf.DUMMYFUNCTION("""COMPUTED_VALUE"""),81981235780)</f>
        <v>81981235780</v>
      </c>
      <c r="I1051" s="11"/>
      <c r="J1051" s="11"/>
      <c r="K1051" s="11"/>
      <c r="L1051" s="11"/>
      <c r="M1051" s="11"/>
      <c r="N1051" s="11"/>
      <c r="O1051" s="11">
        <f>IFERROR(__xludf.DUMMYFUNCTION("""COMPUTED_VALUE"""),8217488401)</f>
        <v>8217488401</v>
      </c>
      <c r="P1051" s="11"/>
      <c r="Q1051" s="11"/>
      <c r="R1051" s="11"/>
      <c r="S1051" s="11"/>
      <c r="T1051" s="11"/>
      <c r="U1051" s="11"/>
      <c r="V1051" s="11"/>
      <c r="W1051" s="11"/>
      <c r="X1051" s="11"/>
      <c r="Y1051" s="11"/>
      <c r="Z1051" s="11"/>
    </row>
    <row r="1052" customHeight="1" spans="1:26">
      <c r="A1052" s="11" t="str">
        <f>IFERROR(__xludf.DUMMYFUNCTION("""COMPUTED_VALUE"""),"CAMILLA DO NASCIMENTO JORDAO")</f>
        <v>CAMILLA DO NASCIMENTO JORDAO</v>
      </c>
      <c r="B1052" s="11"/>
      <c r="C1052" s="11"/>
      <c r="D1052" s="11" t="str">
        <f>IFERROR(__xludf.DUMMYFUNCTION("""COMPUTED_VALUE"""),"ENFERMEIRO 30H - OBSTETRA - PLANTONISTA")</f>
        <v>ENFERMEIRO 30H - OBSTETRA - PLANTONISTA</v>
      </c>
      <c r="E1052" s="11"/>
      <c r="F1052" s="11" t="str">
        <f>IFERROR(__xludf.DUMMYFUNCTION("""COMPUTED_VALUE"""),"ATENDE EM CASA")</f>
        <v>ATENDE EM CASA</v>
      </c>
      <c r="G1052" s="11" t="str">
        <f>IFERROR(__xludf.DUMMYFUNCTION("""COMPUTED_VALUE"""),"ATENDE EM CASA")</f>
        <v>ATENDE EM CASA</v>
      </c>
      <c r="H1052" s="27">
        <f>IFERROR(__xludf.DUMMYFUNCTION("""COMPUTED_VALUE"""),81997996068)</f>
        <v>81997996068</v>
      </c>
      <c r="I1052" s="11"/>
      <c r="J1052" s="11"/>
      <c r="K1052" s="11"/>
      <c r="L1052" s="11"/>
      <c r="M1052" s="11"/>
      <c r="N1052" s="11"/>
      <c r="O1052" s="11">
        <f>IFERROR(__xludf.DUMMYFUNCTION("""COMPUTED_VALUE"""),9680623424)</f>
        <v>9680623424</v>
      </c>
      <c r="P1052" s="11"/>
      <c r="Q1052" s="11"/>
      <c r="R1052" s="11"/>
      <c r="S1052" s="11"/>
      <c r="T1052" s="11"/>
      <c r="U1052" s="11"/>
      <c r="V1052" s="11"/>
      <c r="W1052" s="11"/>
      <c r="X1052" s="11"/>
      <c r="Y1052" s="11"/>
      <c r="Z1052" s="11"/>
    </row>
    <row r="1053" customHeight="1" spans="1:26">
      <c r="A1053" s="11" t="str">
        <f>IFERROR(__xludf.DUMMYFUNCTION("""COMPUTED_VALUE"""),"FABIANE FERREIRA DE SOUZA")</f>
        <v>FABIANE FERREIRA DE SOUZA</v>
      </c>
      <c r="B1053" s="11"/>
      <c r="C1053" s="11"/>
      <c r="D1053" s="11" t="str">
        <f>IFERROR(__xludf.DUMMYFUNCTION("""COMPUTED_VALUE"""),"ENFERMEIRO 40H")</f>
        <v>ENFERMEIRO 40H</v>
      </c>
      <c r="E1053" s="11"/>
      <c r="F1053" s="11" t="str">
        <f>IFERROR(__xludf.DUMMYFUNCTION("""COMPUTED_VALUE"""),"ATENDE EM CASA")</f>
        <v>ATENDE EM CASA</v>
      </c>
      <c r="G1053" s="11" t="str">
        <f>IFERROR(__xludf.DUMMYFUNCTION("""COMPUTED_VALUE"""),"ATENDE EM CASA")</f>
        <v>ATENDE EM CASA</v>
      </c>
      <c r="H1053" s="27">
        <f>IFERROR(__xludf.DUMMYFUNCTION("""COMPUTED_VALUE"""),81981530138)</f>
        <v>81981530138</v>
      </c>
      <c r="I1053" s="11"/>
      <c r="J1053" s="11"/>
      <c r="K1053" s="11"/>
      <c r="L1053" s="11"/>
      <c r="M1053" s="11"/>
      <c r="N1053" s="11"/>
      <c r="O1053" s="11">
        <f>IFERROR(__xludf.DUMMYFUNCTION("""COMPUTED_VALUE"""),6074793450)</f>
        <v>6074793450</v>
      </c>
      <c r="P1053" s="11"/>
      <c r="Q1053" s="11"/>
      <c r="R1053" s="11"/>
      <c r="S1053" s="11"/>
      <c r="T1053" s="11"/>
      <c r="U1053" s="11"/>
      <c r="V1053" s="11"/>
      <c r="W1053" s="11"/>
      <c r="X1053" s="11"/>
      <c r="Y1053" s="11"/>
      <c r="Z1053" s="11"/>
    </row>
    <row r="1054" customHeight="1" spans="1:26">
      <c r="A1054" s="11" t="str">
        <f>IFERROR(__xludf.DUMMYFUNCTION("""COMPUTED_VALUE"""),"TATYANA DE OLIVEIRA B QUEIROZ")</f>
        <v>TATYANA DE OLIVEIRA B QUEIROZ</v>
      </c>
      <c r="B1054" s="11"/>
      <c r="C1054" s="11"/>
      <c r="D1054" s="11" t="str">
        <f>IFERROR(__xludf.DUMMYFUNCTION("""COMPUTED_VALUE"""),"ENFERMEIRO 40H - OBSTETRA/SAUDE DA MULHER - DIARISTA")</f>
        <v>ENFERMEIRO 40H - OBSTETRA/SAUDE DA MULHER - DIARISTA</v>
      </c>
      <c r="E1054" s="11"/>
      <c r="F1054" s="11" t="str">
        <f>IFERROR(__xludf.DUMMYFUNCTION("""COMPUTED_VALUE"""),"ATENDE EM CASA")</f>
        <v>ATENDE EM CASA</v>
      </c>
      <c r="G1054" s="11" t="str">
        <f>IFERROR(__xludf.DUMMYFUNCTION("""COMPUTED_VALUE"""),"ATENDE EM CASA")</f>
        <v>ATENDE EM CASA</v>
      </c>
      <c r="H1054" s="27">
        <f>IFERROR(__xludf.DUMMYFUNCTION("""COMPUTED_VALUE"""),8199302456)</f>
        <v>8199302456</v>
      </c>
      <c r="I1054" s="11"/>
      <c r="J1054" s="11"/>
      <c r="K1054" s="11"/>
      <c r="L1054" s="11"/>
      <c r="M1054" s="11"/>
      <c r="N1054" s="11"/>
      <c r="O1054" s="11">
        <f>IFERROR(__xludf.DUMMYFUNCTION("""COMPUTED_VALUE"""),1279237481)</f>
        <v>1279237481</v>
      </c>
      <c r="P1054" s="11"/>
      <c r="Q1054" s="11"/>
      <c r="R1054" s="11"/>
      <c r="S1054" s="11"/>
      <c r="T1054" s="11"/>
      <c r="U1054" s="11"/>
      <c r="V1054" s="11"/>
      <c r="W1054" s="11"/>
      <c r="X1054" s="11"/>
      <c r="Y1054" s="11"/>
      <c r="Z1054" s="11"/>
    </row>
    <row r="1055" customHeight="1" spans="1:26">
      <c r="A1055" s="11" t="str">
        <f>IFERROR(__xludf.DUMMYFUNCTION("""COMPUTED_VALUE"""),"CLEIDE DE PAULA ROCHA COSTA")</f>
        <v>CLEIDE DE PAULA ROCHA COSTA</v>
      </c>
      <c r="B1055" s="11"/>
      <c r="C1055" s="11"/>
      <c r="D1055" s="11" t="str">
        <f>IFERROR(__xludf.DUMMYFUNCTION("""COMPUTED_VALUE"""),"ENFERMEIRO 30H")</f>
        <v>ENFERMEIRO 30H</v>
      </c>
      <c r="E1055" s="11"/>
      <c r="F1055" s="11" t="str">
        <f>IFERROR(__xludf.DUMMYFUNCTION("""COMPUTED_VALUE"""),"US_170 CAPS DR GALDINO LORETO")</f>
        <v>US_170 CAPS DR GALDINO LORETO</v>
      </c>
      <c r="G1055" s="11" t="str">
        <f>IFERROR(__xludf.DUMMYFUNCTION("""COMPUTED_VALUE"""),"US_170 CAPS DR GALDINO LORETO")</f>
        <v>US_170 CAPS DR GALDINO LORETO</v>
      </c>
      <c r="H1055" s="11"/>
      <c r="I1055" s="11"/>
      <c r="J1055" s="11"/>
      <c r="K1055" s="11"/>
      <c r="L1055" s="11"/>
      <c r="M1055" s="11"/>
      <c r="N1055" s="11"/>
      <c r="O1055" s="11">
        <f>IFERROR(__xludf.DUMMYFUNCTION("""COMPUTED_VALUE"""),39747255472)</f>
        <v>39747255472</v>
      </c>
      <c r="P1055" s="11"/>
      <c r="Q1055" s="11"/>
      <c r="R1055" s="11"/>
      <c r="S1055" s="11"/>
      <c r="T1055" s="11"/>
      <c r="U1055" s="11"/>
      <c r="V1055" s="11"/>
      <c r="W1055" s="11"/>
      <c r="X1055" s="11"/>
      <c r="Y1055" s="11"/>
      <c r="Z1055" s="11"/>
    </row>
    <row r="1056" customHeight="1" spans="1:26">
      <c r="A1056" s="11" t="str">
        <f>IFERROR(__xludf.DUMMYFUNCTION("""COMPUTED_VALUE"""),"MARIA CRISTINA DA SILVA")</f>
        <v>MARIA CRISTINA DA SILVA</v>
      </c>
      <c r="B1056" s="11"/>
      <c r="C1056" s="11"/>
      <c r="D1056" s="11" t="str">
        <f>IFERROR(__xludf.DUMMYFUNCTION("""COMPUTED_VALUE"""),"ENFERMEIRO 30H")</f>
        <v>ENFERMEIRO 30H</v>
      </c>
      <c r="E1056" s="11"/>
      <c r="F1056" s="11" t="str">
        <f>IFERROR(__xludf.DUMMYFUNCTION("""COMPUTED_VALUE"""),"US_308 CAPS PROF ZALDO ROCHA")</f>
        <v>US_308 CAPS PROF ZALDO ROCHA</v>
      </c>
      <c r="G1056" s="11" t="str">
        <f>IFERROR(__xludf.DUMMYFUNCTION("""COMPUTED_VALUE"""),"US_308 CAPS PROF ZALDO ROCHA")</f>
        <v>US_308 CAPS PROF ZALDO ROCHA</v>
      </c>
      <c r="H1056" s="11"/>
      <c r="I1056" s="11"/>
      <c r="J1056" s="11"/>
      <c r="K1056" s="11"/>
      <c r="L1056" s="11"/>
      <c r="M1056" s="11"/>
      <c r="N1056" s="11"/>
      <c r="O1056" s="11">
        <f>IFERROR(__xludf.DUMMYFUNCTION("""COMPUTED_VALUE"""),41998812472)</f>
        <v>41998812472</v>
      </c>
      <c r="P1056" s="11"/>
      <c r="Q1056" s="11"/>
      <c r="R1056" s="11"/>
      <c r="S1056" s="11"/>
      <c r="T1056" s="11"/>
      <c r="U1056" s="11"/>
      <c r="V1056" s="11"/>
      <c r="W1056" s="11"/>
      <c r="X1056" s="11"/>
      <c r="Y1056" s="11"/>
      <c r="Z1056" s="11"/>
    </row>
    <row r="1057" customHeight="1" spans="1:26">
      <c r="A1057" s="11" t="str">
        <f>IFERROR(__xludf.DUMMYFUNCTION("""COMPUTED_VALUE"""),"MARIA SANDRA PEREIRA FERRAZ")</f>
        <v>MARIA SANDRA PEREIRA FERRAZ</v>
      </c>
      <c r="B1057" s="11"/>
      <c r="C1057" s="11"/>
      <c r="D1057" s="11" t="str">
        <f>IFERROR(__xludf.DUMMYFUNCTION("""COMPUTED_VALUE"""),"ENFERMEIRO 30H")</f>
        <v>ENFERMEIRO 30H</v>
      </c>
      <c r="E1057" s="11"/>
      <c r="F1057" s="11" t="str">
        <f>IFERROR(__xludf.DUMMYFUNCTION("""COMPUTED_VALUE"""),"US_348 CAPS BOA VISTA ")</f>
        <v>US_348 CAPS BOA VISTA </v>
      </c>
      <c r="G1057" s="11" t="str">
        <f>IFERROR(__xludf.DUMMYFUNCTION("""COMPUTED_VALUE"""),"US_348 CAPS BOA VISTA ")</f>
        <v>US_348 CAPS BOA VISTA </v>
      </c>
      <c r="H1057" s="11"/>
      <c r="I1057" s="11"/>
      <c r="J1057" s="11"/>
      <c r="K1057" s="11"/>
      <c r="L1057" s="11"/>
      <c r="M1057" s="11"/>
      <c r="N1057" s="11"/>
      <c r="O1057" s="11">
        <f>IFERROR(__xludf.DUMMYFUNCTION("""COMPUTED_VALUE"""),35729163487)</f>
        <v>35729163487</v>
      </c>
      <c r="P1057" s="11"/>
      <c r="Q1057" s="11"/>
      <c r="R1057" s="11"/>
      <c r="S1057" s="11"/>
      <c r="T1057" s="11"/>
      <c r="U1057" s="11"/>
      <c r="V1057" s="11"/>
      <c r="W1057" s="11"/>
      <c r="X1057" s="11"/>
      <c r="Y1057" s="11"/>
      <c r="Z1057" s="11"/>
    </row>
    <row r="1058" customHeight="1" spans="1:26">
      <c r="A1058" s="11" t="str">
        <f>IFERROR(__xludf.DUMMYFUNCTION("""COMPUTED_VALUE"""),"MARIA LUIZA LUCENA PORTO")</f>
        <v>MARIA LUIZA LUCENA PORTO</v>
      </c>
      <c r="B1058" s="11"/>
      <c r="C1058" s="11"/>
      <c r="D1058" s="11" t="str">
        <f>IFERROR(__xludf.DUMMYFUNCTION("""COMPUTED_VALUE"""),"ENFERMEIRO 30H")</f>
        <v>ENFERMEIRO 30H</v>
      </c>
      <c r="E1058" s="11"/>
      <c r="F1058" s="11" t="str">
        <f>IFERROR(__xludf.DUMMYFUNCTION("""COMPUTED_VALUE"""),"US_277 CAPS ESPERANCA")</f>
        <v>US_277 CAPS ESPERANCA</v>
      </c>
      <c r="G1058" s="11" t="str">
        <f>IFERROR(__xludf.DUMMYFUNCTION("""COMPUTED_VALUE"""),"US_277 CAPS ESPERANCA")</f>
        <v>US_277 CAPS ESPERANCA</v>
      </c>
      <c r="H1058" s="11"/>
      <c r="I1058" s="11"/>
      <c r="J1058" s="11"/>
      <c r="K1058" s="11"/>
      <c r="L1058" s="11"/>
      <c r="M1058" s="11"/>
      <c r="N1058" s="11"/>
      <c r="O1058" s="11">
        <f>IFERROR(__xludf.DUMMYFUNCTION("""COMPUTED_VALUE"""),93242611420)</f>
        <v>93242611420</v>
      </c>
      <c r="P1058" s="11"/>
      <c r="Q1058" s="11"/>
      <c r="R1058" s="11"/>
      <c r="S1058" s="11"/>
      <c r="T1058" s="11"/>
      <c r="U1058" s="11"/>
      <c r="V1058" s="11"/>
      <c r="W1058" s="11"/>
      <c r="X1058" s="11"/>
      <c r="Y1058" s="11"/>
      <c r="Z1058" s="11"/>
    </row>
    <row r="1059" customHeight="1" spans="1:26">
      <c r="A1059" s="11" t="str">
        <f>IFERROR(__xludf.DUMMYFUNCTION("""COMPUTED_VALUE"""),"NILVA BEZERRA DE ALBUQUERQUE")</f>
        <v>NILVA BEZERRA DE ALBUQUERQUE</v>
      </c>
      <c r="B1059" s="11"/>
      <c r="C1059" s="11"/>
      <c r="D1059" s="11" t="str">
        <f>IFERROR(__xludf.DUMMYFUNCTION("""COMPUTED_VALUE"""),"ENFERMEIRO 30H")</f>
        <v>ENFERMEIRO 30H</v>
      </c>
      <c r="E1059" s="11"/>
      <c r="F1059" s="11" t="str">
        <f>IFERROR(__xludf.DUMMYFUNCTION("""COMPUTED_VALUE"""),"US_320 CAPS CENTRO EULAMPIO CORDEIRO DE RECUPERACAO HUMANA")</f>
        <v>US_320 CAPS CENTRO EULAMPIO CORDEIRO DE RECUPERACAO HUMANA</v>
      </c>
      <c r="G1059" s="11" t="str">
        <f>IFERROR(__xludf.DUMMYFUNCTION("""COMPUTED_VALUE"""),"US_320 CAPS CENTRO EULAMPIO CORDEIRO DE RECUPERACAO HUMANA")</f>
        <v>US_320 CAPS CENTRO EULAMPIO CORDEIRO DE RECUPERACAO HUMANA</v>
      </c>
      <c r="H1059" s="11"/>
      <c r="I1059" s="11"/>
      <c r="J1059" s="11"/>
      <c r="K1059" s="11"/>
      <c r="L1059" s="11"/>
      <c r="M1059" s="11"/>
      <c r="N1059" s="11"/>
      <c r="O1059" s="11">
        <f>IFERROR(__xludf.DUMMYFUNCTION("""COMPUTED_VALUE"""),33322864472)</f>
        <v>33322864472</v>
      </c>
      <c r="P1059" s="11"/>
      <c r="Q1059" s="11"/>
      <c r="R1059" s="11"/>
      <c r="S1059" s="11"/>
      <c r="T1059" s="11"/>
      <c r="U1059" s="11"/>
      <c r="V1059" s="11"/>
      <c r="W1059" s="11"/>
      <c r="X1059" s="11"/>
      <c r="Y1059" s="11"/>
      <c r="Z1059" s="11"/>
    </row>
    <row r="1060" customHeight="1" spans="1:26">
      <c r="A1060" s="11" t="str">
        <f>IFERROR(__xludf.DUMMYFUNCTION("""COMPUTED_VALUE"""),"ELIANA LESSA CORDEIRO")</f>
        <v>ELIANA LESSA CORDEIRO</v>
      </c>
      <c r="B1060" s="11"/>
      <c r="C1060" s="11"/>
      <c r="D1060" s="11" t="str">
        <f>IFERROR(__xludf.DUMMYFUNCTION("""COMPUTED_VALUE"""),"ENFERMEIRO 30H")</f>
        <v>ENFERMEIRO 30H</v>
      </c>
      <c r="E1060" s="11"/>
      <c r="F1060" s="11" t="str">
        <f>IFERROR(__xludf.DUMMYFUNCTION("""COMPUTED_VALUE"""),"US_263 CAPS JOSE CARLOS SOUTO")</f>
        <v>US_263 CAPS JOSE CARLOS SOUTO</v>
      </c>
      <c r="G1060" s="11" t="str">
        <f>IFERROR(__xludf.DUMMYFUNCTION("""COMPUTED_VALUE"""),"US_263 CAPS JOSE CARLOS SOUTO")</f>
        <v>US_263 CAPS JOSE CARLOS SOUTO</v>
      </c>
      <c r="H1060" s="11"/>
      <c r="I1060" s="11"/>
      <c r="J1060" s="11"/>
      <c r="K1060" s="11"/>
      <c r="L1060" s="11"/>
      <c r="M1060" s="11"/>
      <c r="N1060" s="11"/>
      <c r="O1060" s="11">
        <f>IFERROR(__xludf.DUMMYFUNCTION("""COMPUTED_VALUE"""),3133324446)</f>
        <v>3133324446</v>
      </c>
      <c r="P1060" s="11"/>
      <c r="Q1060" s="11"/>
      <c r="R1060" s="11"/>
      <c r="S1060" s="11"/>
      <c r="T1060" s="11"/>
      <c r="U1060" s="11"/>
      <c r="V1060" s="11"/>
      <c r="W1060" s="11"/>
      <c r="X1060" s="11"/>
      <c r="Y1060" s="11"/>
      <c r="Z1060" s="11"/>
    </row>
    <row r="1061" customHeight="1" spans="1:26">
      <c r="A1061" s="11" t="str">
        <f>IFERROR(__xludf.DUMMYFUNCTION("""COMPUTED_VALUE"""),"ELIVANIA GORETE CHAVES")</f>
        <v>ELIVANIA GORETE CHAVES</v>
      </c>
      <c r="B1061" s="11"/>
      <c r="C1061" s="11"/>
      <c r="D1061" s="11" t="str">
        <f>IFERROR(__xludf.DUMMYFUNCTION("""COMPUTED_VALUE"""),"ENFERMEIRO 30H")</f>
        <v>ENFERMEIRO 30H</v>
      </c>
      <c r="E1061" s="11"/>
      <c r="F1061" s="11" t="str">
        <f>IFERROR(__xludf.DUMMYFUNCTION("""COMPUTED_VALUE"""),"US_310 CAPS AD PROF JOSE LUCENA")</f>
        <v>US_310 CAPS AD PROF JOSE LUCENA</v>
      </c>
      <c r="G1061" s="11" t="str">
        <f>IFERROR(__xludf.DUMMYFUNCTION("""COMPUTED_VALUE"""),"US_310 CAPS AD PROF JOSE LUCENA")</f>
        <v>US_310 CAPS AD PROF JOSE LUCENA</v>
      </c>
      <c r="H1061" s="11"/>
      <c r="I1061" s="11"/>
      <c r="J1061" s="11"/>
      <c r="K1061" s="11"/>
      <c r="L1061" s="11"/>
      <c r="M1061" s="11"/>
      <c r="N1061" s="11"/>
      <c r="O1061" s="11">
        <f>IFERROR(__xludf.DUMMYFUNCTION("""COMPUTED_VALUE"""),64986675400)</f>
        <v>64986675400</v>
      </c>
      <c r="P1061" s="11"/>
      <c r="Q1061" s="11"/>
      <c r="R1061" s="11"/>
      <c r="S1061" s="11"/>
      <c r="T1061" s="11"/>
      <c r="U1061" s="11"/>
      <c r="V1061" s="11"/>
      <c r="W1061" s="11"/>
      <c r="X1061" s="11"/>
      <c r="Y1061" s="11"/>
      <c r="Z1061" s="11"/>
    </row>
    <row r="1062" customHeight="1" spans="1:26">
      <c r="A1062" s="11" t="str">
        <f>IFERROR(__xludf.DUMMYFUNCTION("""COMPUTED_VALUE"""),"ROSANGELA DE SOUZA AMARAL")</f>
        <v>ROSANGELA DE SOUZA AMARAL</v>
      </c>
      <c r="B1062" s="11"/>
      <c r="C1062" s="11"/>
      <c r="D1062" s="11" t="str">
        <f>IFERROR(__xludf.DUMMYFUNCTION("""COMPUTED_VALUE"""),"ENFERMEIRO 30H")</f>
        <v>ENFERMEIRO 30H</v>
      </c>
      <c r="E1062" s="11"/>
      <c r="F1062" s="11" t="str">
        <f>IFERROR(__xludf.DUMMYFUNCTION("""COMPUTED_VALUE"""),"US_310 CAPS AD PROF JOSE LUCENA")</f>
        <v>US_310 CAPS AD PROF JOSE LUCENA</v>
      </c>
      <c r="G1062" s="11" t="str">
        <f>IFERROR(__xludf.DUMMYFUNCTION("""COMPUTED_VALUE"""),"US_310 CAPS AD PROF JOSE LUCENA")</f>
        <v>US_310 CAPS AD PROF JOSE LUCENA</v>
      </c>
      <c r="H1062" s="11"/>
      <c r="I1062" s="11"/>
      <c r="J1062" s="11"/>
      <c r="K1062" s="11"/>
      <c r="L1062" s="11"/>
      <c r="M1062" s="11"/>
      <c r="N1062" s="11"/>
      <c r="O1062" s="11">
        <f>IFERROR(__xludf.DUMMYFUNCTION("""COMPUTED_VALUE"""),49755528415)</f>
        <v>49755528415</v>
      </c>
      <c r="P1062" s="11"/>
      <c r="Q1062" s="11"/>
      <c r="R1062" s="11"/>
      <c r="S1062" s="11"/>
      <c r="T1062" s="11"/>
      <c r="U1062" s="11"/>
      <c r="V1062" s="11"/>
      <c r="W1062" s="11"/>
      <c r="X1062" s="11"/>
      <c r="Y1062" s="11"/>
      <c r="Z1062" s="11"/>
    </row>
    <row r="1063" customHeight="1" spans="1:26">
      <c r="A1063" s="11" t="str">
        <f>IFERROR(__xludf.DUMMYFUNCTION("""COMPUTED_VALUE"""),"JOSEANY ALVES DE OLIVEIRA")</f>
        <v>JOSEANY ALVES DE OLIVEIRA</v>
      </c>
      <c r="B1063" s="11"/>
      <c r="C1063" s="11"/>
      <c r="D1063" s="11" t="str">
        <f>IFERROR(__xludf.DUMMYFUNCTION("""COMPUTED_VALUE"""),"ENFERMEIRO 30H")</f>
        <v>ENFERMEIRO 30H</v>
      </c>
      <c r="E1063" s="11"/>
      <c r="F1063" s="11" t="str">
        <f>IFERROR(__xludf.DUMMYFUNCTION("""COMPUTED_VALUE"""),"US_263 CAPS JOSE CARLOS SOUTO")</f>
        <v>US_263 CAPS JOSE CARLOS SOUTO</v>
      </c>
      <c r="G1063" s="11" t="str">
        <f>IFERROR(__xludf.DUMMYFUNCTION("""COMPUTED_VALUE"""),"US_263 CAPS JOSE CARLOS SOUTO")</f>
        <v>US_263 CAPS JOSE CARLOS SOUTO</v>
      </c>
      <c r="H1063" s="11"/>
      <c r="I1063" s="11"/>
      <c r="J1063" s="11"/>
      <c r="K1063" s="11"/>
      <c r="L1063" s="11"/>
      <c r="M1063" s="11"/>
      <c r="N1063" s="11"/>
      <c r="O1063" s="11">
        <f>IFERROR(__xludf.DUMMYFUNCTION("""COMPUTED_VALUE"""),96938692491)</f>
        <v>96938692491</v>
      </c>
      <c r="P1063" s="11"/>
      <c r="Q1063" s="11"/>
      <c r="R1063" s="11"/>
      <c r="S1063" s="11"/>
      <c r="T1063" s="11"/>
      <c r="U1063" s="11"/>
      <c r="V1063" s="11"/>
      <c r="W1063" s="11"/>
      <c r="X1063" s="11"/>
      <c r="Y1063" s="11"/>
      <c r="Z1063" s="11"/>
    </row>
    <row r="1064" customHeight="1" spans="1:26">
      <c r="A1064" s="11" t="str">
        <f>IFERROR(__xludf.DUMMYFUNCTION("""COMPUTED_VALUE"""),"NIELMA MARIA GOMES DA SILVA")</f>
        <v>NIELMA MARIA GOMES DA SILVA</v>
      </c>
      <c r="B1064" s="11"/>
      <c r="C1064" s="11"/>
      <c r="D1064" s="11" t="str">
        <f>IFERROR(__xludf.DUMMYFUNCTION("""COMPUTED_VALUE"""),"ENFERMEIRO 30H")</f>
        <v>ENFERMEIRO 30H</v>
      </c>
      <c r="E1064" s="11"/>
      <c r="F1064" s="11" t="str">
        <f>IFERROR(__xludf.DUMMYFUNCTION("""COMPUTED_VALUE"""),"US_303 CAPS AD ESPACO TRAVESSIA RENE RIBEIRO")</f>
        <v>US_303 CAPS AD ESPACO TRAVESSIA RENE RIBEIRO</v>
      </c>
      <c r="G1064" s="11" t="str">
        <f>IFERROR(__xludf.DUMMYFUNCTION("""COMPUTED_VALUE"""),"US_303 CAPS AD ESPACO TRAVESSIA RENE RIBEIRO")</f>
        <v>US_303 CAPS AD ESPACO TRAVESSIA RENE RIBEIRO</v>
      </c>
      <c r="H1064" s="11"/>
      <c r="I1064" s="11"/>
      <c r="J1064" s="11"/>
      <c r="K1064" s="11"/>
      <c r="L1064" s="11"/>
      <c r="M1064" s="11"/>
      <c r="N1064" s="11"/>
      <c r="O1064" s="11">
        <f>IFERROR(__xludf.DUMMYFUNCTION("""COMPUTED_VALUE"""),51583542434)</f>
        <v>51583542434</v>
      </c>
      <c r="P1064" s="11"/>
      <c r="Q1064" s="11"/>
      <c r="R1064" s="11"/>
      <c r="S1064" s="11"/>
      <c r="T1064" s="11"/>
      <c r="U1064" s="11"/>
      <c r="V1064" s="11"/>
      <c r="W1064" s="11"/>
      <c r="X1064" s="11"/>
      <c r="Y1064" s="11"/>
      <c r="Z1064" s="11"/>
    </row>
    <row r="1065" customHeight="1" spans="1:26">
      <c r="A1065" s="11" t="str">
        <f>IFERROR(__xludf.DUMMYFUNCTION("""COMPUTED_VALUE"""),"NILMA MARIA DE SANTANA")</f>
        <v>NILMA MARIA DE SANTANA</v>
      </c>
      <c r="B1065" s="11"/>
      <c r="C1065" s="11"/>
      <c r="D1065" s="11" t="str">
        <f>IFERROR(__xludf.DUMMYFUNCTION("""COMPUTED_VALUE"""),"ENFERMEIRO 30H")</f>
        <v>ENFERMEIRO 30H</v>
      </c>
      <c r="E1065" s="11"/>
      <c r="F1065" s="11" t="str">
        <f>IFERROR(__xludf.DUMMYFUNCTION("""COMPUTED_VALUE"""),"US_304 CAPS DAVID CAPISTRANO")</f>
        <v>US_304 CAPS DAVID CAPISTRANO</v>
      </c>
      <c r="G1065" s="11" t="str">
        <f>IFERROR(__xludf.DUMMYFUNCTION("""COMPUTED_VALUE"""),"US_304 CAPS DAVID CAPISTRANO")</f>
        <v>US_304 CAPS DAVID CAPISTRANO</v>
      </c>
      <c r="H1065" s="11"/>
      <c r="I1065" s="11"/>
      <c r="J1065" s="11"/>
      <c r="K1065" s="11"/>
      <c r="L1065" s="11"/>
      <c r="M1065" s="11"/>
      <c r="N1065" s="11"/>
      <c r="O1065" s="11">
        <f>IFERROR(__xludf.DUMMYFUNCTION("""COMPUTED_VALUE"""),37529870491)</f>
        <v>37529870491</v>
      </c>
      <c r="P1065" s="11"/>
      <c r="Q1065" s="11"/>
      <c r="R1065" s="11"/>
      <c r="S1065" s="11"/>
      <c r="T1065" s="11"/>
      <c r="U1065" s="11"/>
      <c r="V1065" s="11"/>
      <c r="W1065" s="11"/>
      <c r="X1065" s="11"/>
      <c r="Y1065" s="11"/>
      <c r="Z1065" s="11"/>
    </row>
    <row r="1066" customHeight="1" spans="1:26">
      <c r="A1066" s="11" t="str">
        <f>IFERROR(__xludf.DUMMYFUNCTION("""COMPUTED_VALUE"""),"DANIELLE LOPES VALENCA")</f>
        <v>DANIELLE LOPES VALENCA</v>
      </c>
      <c r="B1066" s="11"/>
      <c r="C1066" s="11"/>
      <c r="D1066" s="11" t="str">
        <f>IFERROR(__xludf.DUMMYFUNCTION("""COMPUTED_VALUE"""),"ENFERMEIRO 30H")</f>
        <v>ENFERMEIRO 30H</v>
      </c>
      <c r="E1066" s="11"/>
      <c r="F1066" s="11" t="str">
        <f>IFERROR(__xludf.DUMMYFUNCTION("""COMPUTED_VALUE"""),"US_310 CAPS AD PROF JOSE LUCENA")</f>
        <v>US_310 CAPS AD PROF JOSE LUCENA</v>
      </c>
      <c r="G1066" s="11" t="str">
        <f>IFERROR(__xludf.DUMMYFUNCTION("""COMPUTED_VALUE"""),"US_310 CAPS AD PROF JOSE LUCENA")</f>
        <v>US_310 CAPS AD PROF JOSE LUCENA</v>
      </c>
      <c r="H1066" s="11"/>
      <c r="I1066" s="11"/>
      <c r="J1066" s="11"/>
      <c r="K1066" s="11"/>
      <c r="L1066" s="11"/>
      <c r="M1066" s="11"/>
      <c r="N1066" s="11"/>
      <c r="O1066" s="11">
        <f>IFERROR(__xludf.DUMMYFUNCTION("""COMPUTED_VALUE"""),68684223420)</f>
        <v>68684223420</v>
      </c>
      <c r="P1066" s="11"/>
      <c r="Q1066" s="11"/>
      <c r="R1066" s="11"/>
      <c r="S1066" s="11"/>
      <c r="T1066" s="11"/>
      <c r="U1066" s="11"/>
      <c r="V1066" s="11"/>
      <c r="W1066" s="11"/>
      <c r="X1066" s="11"/>
      <c r="Y1066" s="11"/>
      <c r="Z1066" s="11"/>
    </row>
    <row r="1067" customHeight="1" spans="1:26">
      <c r="A1067" s="11" t="str">
        <f>IFERROR(__xludf.DUMMYFUNCTION("""COMPUTED_VALUE"""),"SANDRA PEREIRA DE MIRANDA")</f>
        <v>SANDRA PEREIRA DE MIRANDA</v>
      </c>
      <c r="B1067" s="11"/>
      <c r="C1067" s="11"/>
      <c r="D1067" s="11" t="str">
        <f>IFERROR(__xludf.DUMMYFUNCTION("""COMPUTED_VALUE"""),"ENFERMEIRO 30H")</f>
        <v>ENFERMEIRO 30H</v>
      </c>
      <c r="E1067" s="11"/>
      <c r="F1067" s="11" t="str">
        <f>IFERROR(__xludf.DUMMYFUNCTION("""COMPUTED_VALUE"""),"US_304 CAPS DAVID CAPISTRANO")</f>
        <v>US_304 CAPS DAVID CAPISTRANO</v>
      </c>
      <c r="G1067" s="11" t="str">
        <f>IFERROR(__xludf.DUMMYFUNCTION("""COMPUTED_VALUE"""),"US_304 CAPS DAVID CAPISTRANO")</f>
        <v>US_304 CAPS DAVID CAPISTRANO</v>
      </c>
      <c r="H1067" s="11"/>
      <c r="I1067" s="11"/>
      <c r="J1067" s="11"/>
      <c r="K1067" s="11"/>
      <c r="L1067" s="11"/>
      <c r="M1067" s="11"/>
      <c r="N1067" s="11"/>
      <c r="O1067" s="11">
        <f>IFERROR(__xludf.DUMMYFUNCTION("""COMPUTED_VALUE"""),33437831453)</f>
        <v>33437831453</v>
      </c>
      <c r="P1067" s="11"/>
      <c r="Q1067" s="11"/>
      <c r="R1067" s="11"/>
      <c r="S1067" s="11"/>
      <c r="T1067" s="11"/>
      <c r="U1067" s="11"/>
      <c r="V1067" s="11"/>
      <c r="W1067" s="11"/>
      <c r="X1067" s="11"/>
      <c r="Y1067" s="11"/>
      <c r="Z1067" s="11"/>
    </row>
    <row r="1068" customHeight="1" spans="1:26">
      <c r="A1068" s="11" t="str">
        <f>IFERROR(__xludf.DUMMYFUNCTION("""COMPUTED_VALUE"""),"REJANE TORRES BARBOSA MOTA")</f>
        <v>REJANE TORRES BARBOSA MOTA</v>
      </c>
      <c r="B1068" s="11"/>
      <c r="C1068" s="11"/>
      <c r="D1068" s="11" t="str">
        <f>IFERROR(__xludf.DUMMYFUNCTION("""COMPUTED_VALUE"""),"ENFERMEIRO 30H")</f>
        <v>ENFERMEIRO 30H</v>
      </c>
      <c r="E1068" s="11"/>
      <c r="F1068" s="11" t="str">
        <f>IFERROR(__xludf.DUMMYFUNCTION("""COMPUTED_VALUE"""),"US_340 CAPS CLEA LACET")</f>
        <v>US_340 CAPS CLEA LACET</v>
      </c>
      <c r="G1068" s="11" t="str">
        <f>IFERROR(__xludf.DUMMYFUNCTION("""COMPUTED_VALUE"""),"US_340 CAPS CLEA LACET")</f>
        <v>US_340 CAPS CLEA LACET</v>
      </c>
      <c r="H1068" s="11"/>
      <c r="I1068" s="11"/>
      <c r="J1068" s="11"/>
      <c r="K1068" s="11"/>
      <c r="L1068" s="11"/>
      <c r="M1068" s="11"/>
      <c r="N1068" s="11"/>
      <c r="O1068" s="11">
        <f>IFERROR(__xludf.DUMMYFUNCTION("""COMPUTED_VALUE"""),55847374453)</f>
        <v>55847374453</v>
      </c>
      <c r="P1068" s="11"/>
      <c r="Q1068" s="11"/>
      <c r="R1068" s="11"/>
      <c r="S1068" s="11"/>
      <c r="T1068" s="11"/>
      <c r="U1068" s="11"/>
      <c r="V1068" s="11"/>
      <c r="W1068" s="11"/>
      <c r="X1068" s="11"/>
      <c r="Y1068" s="11"/>
      <c r="Z1068" s="11"/>
    </row>
    <row r="1069" customHeight="1" spans="1:26">
      <c r="A1069" s="11" t="str">
        <f>IFERROR(__xludf.DUMMYFUNCTION("""COMPUTED_VALUE"""),"SILVANIA MAGNA F C E SOUZA")</f>
        <v>SILVANIA MAGNA F C E SOUZA</v>
      </c>
      <c r="B1069" s="11"/>
      <c r="C1069" s="11"/>
      <c r="D1069" s="11" t="str">
        <f>IFERROR(__xludf.DUMMYFUNCTION("""COMPUTED_VALUE"""),"ENFERMEIRO 40H")</f>
        <v>ENFERMEIRO 40H</v>
      </c>
      <c r="E1069" s="11"/>
      <c r="F1069" s="11" t="str">
        <f>IFERROR(__xludf.DUMMYFUNCTION("""COMPUTED_VALUE"""),"US_304 CAPS DAVID CAPISTRANO")</f>
        <v>US_304 CAPS DAVID CAPISTRANO</v>
      </c>
      <c r="G1069" s="11" t="str">
        <f>IFERROR(__xludf.DUMMYFUNCTION("""COMPUTED_VALUE"""),"US_304 CAPS DAVID CAPISTRANO")</f>
        <v>US_304 CAPS DAVID CAPISTRANO</v>
      </c>
      <c r="H1069" s="11"/>
      <c r="I1069" s="11"/>
      <c r="J1069" s="11"/>
      <c r="K1069" s="11"/>
      <c r="L1069" s="11"/>
      <c r="M1069" s="11"/>
      <c r="N1069" s="11"/>
      <c r="O1069" s="11">
        <f>IFERROR(__xludf.DUMMYFUNCTION("""COMPUTED_VALUE"""),93430680425)</f>
        <v>93430680425</v>
      </c>
      <c r="P1069" s="11"/>
      <c r="Q1069" s="11"/>
      <c r="R1069" s="11"/>
      <c r="S1069" s="11"/>
      <c r="T1069" s="11"/>
      <c r="U1069" s="11"/>
      <c r="V1069" s="11"/>
      <c r="W1069" s="11"/>
      <c r="X1069" s="11"/>
      <c r="Y1069" s="11"/>
      <c r="Z1069" s="11"/>
    </row>
    <row r="1070" customHeight="1" spans="1:26">
      <c r="A1070" s="11" t="str">
        <f>IFERROR(__xludf.DUMMYFUNCTION("""COMPUTED_VALUE"""),"VIVIANNE MARIA LOBO F GOMES")</f>
        <v>VIVIANNE MARIA LOBO F GOMES</v>
      </c>
      <c r="B1070" s="11"/>
      <c r="C1070" s="11"/>
      <c r="D1070" s="11" t="str">
        <f>IFERROR(__xludf.DUMMYFUNCTION("""COMPUTED_VALUE"""),"ENFERMEIRO 30H")</f>
        <v>ENFERMEIRO 30H</v>
      </c>
      <c r="E1070" s="11"/>
      <c r="F1070" s="11" t="str">
        <f>IFERROR(__xludf.DUMMYFUNCTION("""COMPUTED_VALUE"""),"US_348 CAPS BOA VISTA")</f>
        <v>US_348 CAPS BOA VISTA</v>
      </c>
      <c r="G1070" s="11" t="str">
        <f>IFERROR(__xludf.DUMMYFUNCTION("""COMPUTED_VALUE"""),"US_348 CAPS BOA VISTA")</f>
        <v>US_348 CAPS BOA VISTA</v>
      </c>
      <c r="H1070" s="11"/>
      <c r="I1070" s="11"/>
      <c r="J1070" s="11"/>
      <c r="K1070" s="11"/>
      <c r="L1070" s="11"/>
      <c r="M1070" s="11"/>
      <c r="N1070" s="11"/>
      <c r="O1070" s="11">
        <f>IFERROR(__xludf.DUMMYFUNCTION("""COMPUTED_VALUE"""),4329782405)</f>
        <v>4329782405</v>
      </c>
      <c r="P1070" s="11"/>
      <c r="Q1070" s="11"/>
      <c r="R1070" s="11"/>
      <c r="S1070" s="11"/>
      <c r="T1070" s="11"/>
      <c r="U1070" s="11"/>
      <c r="V1070" s="11"/>
      <c r="W1070" s="11"/>
      <c r="X1070" s="11"/>
      <c r="Y1070" s="11"/>
      <c r="Z1070" s="11"/>
    </row>
    <row r="1071" customHeight="1" spans="1:26">
      <c r="A1071" s="11" t="str">
        <f>IFERROR(__xludf.DUMMYFUNCTION("""COMPUTED_VALUE"""),"CYNTHYA KARLLA W PEREIRA")</f>
        <v>CYNTHYA KARLLA W PEREIRA</v>
      </c>
      <c r="B1071" s="11"/>
      <c r="C1071" s="11"/>
      <c r="D1071" s="11" t="str">
        <f>IFERROR(__xludf.DUMMYFUNCTION("""COMPUTED_VALUE"""),"ENFERMEIRO 30H")</f>
        <v>ENFERMEIRO 30H</v>
      </c>
      <c r="E1071" s="11"/>
      <c r="F1071" s="11" t="str">
        <f>IFERROR(__xludf.DUMMYFUNCTION("""COMPUTED_VALUE"""),"US_343 CAPS CEMPI CENTRO MEDICO PSICO PEDAGOGICO INFANTIL")</f>
        <v>US_343 CAPS CEMPI CENTRO MEDICO PSICO PEDAGOGICO INFANTIL</v>
      </c>
      <c r="G1071" s="11" t="str">
        <f>IFERROR(__xludf.DUMMYFUNCTION("""COMPUTED_VALUE"""),"US_343 CAPS CEMPI CENTRO MEDICO PSICO PEDAGOGICO INFANTIL")</f>
        <v>US_343 CAPS CEMPI CENTRO MEDICO PSICO PEDAGOGICO INFANTIL</v>
      </c>
      <c r="H1071" s="11"/>
      <c r="I1071" s="11"/>
      <c r="J1071" s="11"/>
      <c r="K1071" s="11"/>
      <c r="L1071" s="11"/>
      <c r="M1071" s="11"/>
      <c r="N1071" s="11"/>
      <c r="O1071" s="11">
        <f>IFERROR(__xludf.DUMMYFUNCTION("""COMPUTED_VALUE"""),4310895409)</f>
        <v>4310895409</v>
      </c>
      <c r="P1071" s="11"/>
      <c r="Q1071" s="11"/>
      <c r="R1071" s="11"/>
      <c r="S1071" s="11"/>
      <c r="T1071" s="11"/>
      <c r="U1071" s="11"/>
      <c r="V1071" s="11"/>
      <c r="W1071" s="11"/>
      <c r="X1071" s="11"/>
      <c r="Y1071" s="11"/>
      <c r="Z1071" s="11"/>
    </row>
    <row r="1072" customHeight="1" spans="1:26">
      <c r="A1072" s="11" t="str">
        <f>IFERROR(__xludf.DUMMYFUNCTION("""COMPUTED_VALUE"""),"ANA PAULA PEREIRA DOS S VIEIRA")</f>
        <v>ANA PAULA PEREIRA DOS S VIEIRA</v>
      </c>
      <c r="B1072" s="11"/>
      <c r="C1072" s="11"/>
      <c r="D1072" s="11" t="str">
        <f>IFERROR(__xludf.DUMMYFUNCTION("""COMPUTED_VALUE"""),"ENFERMEIRO 30H")</f>
        <v>ENFERMEIRO 30H</v>
      </c>
      <c r="E1072" s="11"/>
      <c r="F1072" s="11" t="str">
        <f>IFERROR(__xludf.DUMMYFUNCTION("""COMPUTED_VALUE"""),"US_318 CAPS CPTRA CENTRO DE PREV TRAT E REAB DE ALCOOLISMO")</f>
        <v>US_318 CAPS CPTRA CENTRO DE PREV TRAT E REAB DE ALCOOLISMO</v>
      </c>
      <c r="G1072" s="11" t="str">
        <f>IFERROR(__xludf.DUMMYFUNCTION("""COMPUTED_VALUE"""),"US_318 CAPS CPTRA CENTRO DE PREV TRAT E REAB DE ALCOOLISMO")</f>
        <v>US_318 CAPS CPTRA CENTRO DE PREV TRAT E REAB DE ALCOOLISMO</v>
      </c>
      <c r="H1072" s="11"/>
      <c r="I1072" s="11"/>
      <c r="J1072" s="11"/>
      <c r="K1072" s="11"/>
      <c r="L1072" s="11"/>
      <c r="M1072" s="11"/>
      <c r="N1072" s="11"/>
      <c r="O1072" s="11">
        <f>IFERROR(__xludf.DUMMYFUNCTION("""COMPUTED_VALUE"""),2118999410)</f>
        <v>2118999410</v>
      </c>
      <c r="P1072" s="11"/>
      <c r="Q1072" s="11"/>
      <c r="R1072" s="11"/>
      <c r="S1072" s="11"/>
      <c r="T1072" s="11"/>
      <c r="U1072" s="11"/>
      <c r="V1072" s="11"/>
      <c r="W1072" s="11"/>
      <c r="X1072" s="11"/>
      <c r="Y1072" s="11"/>
      <c r="Z1072" s="11"/>
    </row>
    <row r="1073" customHeight="1" spans="1:26">
      <c r="A1073" s="11" t="str">
        <f>IFERROR(__xludf.DUMMYFUNCTION("""COMPUTED_VALUE"""),"MARCIA DA SILVA MEYER")</f>
        <v>MARCIA DA SILVA MEYER</v>
      </c>
      <c r="B1073" s="11"/>
      <c r="C1073" s="11"/>
      <c r="D1073" s="11" t="str">
        <f>IFERROR(__xludf.DUMMYFUNCTION("""COMPUTED_VALUE"""),"ENFERMEIRO 30H")</f>
        <v>ENFERMEIRO 30H</v>
      </c>
      <c r="E1073" s="11"/>
      <c r="F1073" s="11" t="str">
        <f>IFERROR(__xludf.DUMMYFUNCTION("""COMPUTED_VALUE"""),"US_263 CAPS JOSE CARLOS SOUTO")</f>
        <v>US_263 CAPS JOSE CARLOS SOUTO</v>
      </c>
      <c r="G1073" s="11" t="str">
        <f>IFERROR(__xludf.DUMMYFUNCTION("""COMPUTED_VALUE"""),"US_263 CAPS JOSE CARLOS SOUTO")</f>
        <v>US_263 CAPS JOSE CARLOS SOUTO</v>
      </c>
      <c r="H1073" s="11"/>
      <c r="I1073" s="11"/>
      <c r="J1073" s="11"/>
      <c r="K1073" s="11"/>
      <c r="L1073" s="11"/>
      <c r="M1073" s="11"/>
      <c r="N1073" s="11"/>
      <c r="O1073" s="11">
        <f>IFERROR(__xludf.DUMMYFUNCTION("""COMPUTED_VALUE"""),2708368451)</f>
        <v>2708368451</v>
      </c>
      <c r="P1073" s="11"/>
      <c r="Q1073" s="11"/>
      <c r="R1073" s="11"/>
      <c r="S1073" s="11"/>
      <c r="T1073" s="11"/>
      <c r="U1073" s="11"/>
      <c r="V1073" s="11"/>
      <c r="W1073" s="11"/>
      <c r="X1073" s="11"/>
      <c r="Y1073" s="11"/>
      <c r="Z1073" s="11"/>
    </row>
    <row r="1074" customHeight="1" spans="1:26">
      <c r="A1074" s="11" t="str">
        <f>IFERROR(__xludf.DUMMYFUNCTION("""COMPUTED_VALUE"""),"STEPHANIE MARIA DA S SCANONE")</f>
        <v>STEPHANIE MARIA DA S SCANONE</v>
      </c>
      <c r="B1074" s="11"/>
      <c r="C1074" s="11"/>
      <c r="D1074" s="11" t="str">
        <f>IFERROR(__xludf.DUMMYFUNCTION("""COMPUTED_VALUE"""),"ENFERMEIRO 30H")</f>
        <v>ENFERMEIRO 30H</v>
      </c>
      <c r="E1074" s="11"/>
      <c r="F1074" s="11" t="str">
        <f>IFERROR(__xludf.DUMMYFUNCTION("""COMPUTED_VALUE"""),"US_319 CAPS ESPACO AZUL")</f>
        <v>US_319 CAPS ESPACO AZUL</v>
      </c>
      <c r="G1074" s="11" t="str">
        <f>IFERROR(__xludf.DUMMYFUNCTION("""COMPUTED_VALUE"""),"US_319 CAPS ESPACO AZUL")</f>
        <v>US_319 CAPS ESPACO AZUL</v>
      </c>
      <c r="H1074" s="11"/>
      <c r="I1074" s="11"/>
      <c r="J1074" s="11"/>
      <c r="K1074" s="11"/>
      <c r="L1074" s="11"/>
      <c r="M1074" s="11"/>
      <c r="N1074" s="11"/>
      <c r="O1074" s="11">
        <f>IFERROR(__xludf.DUMMYFUNCTION("""COMPUTED_VALUE"""),6031721481)</f>
        <v>6031721481</v>
      </c>
      <c r="P1074" s="11"/>
      <c r="Q1074" s="11"/>
      <c r="R1074" s="11"/>
      <c r="S1074" s="11"/>
      <c r="T1074" s="11"/>
      <c r="U1074" s="11"/>
      <c r="V1074" s="11"/>
      <c r="W1074" s="11"/>
      <c r="X1074" s="11"/>
      <c r="Y1074" s="11"/>
      <c r="Z1074" s="11"/>
    </row>
    <row r="1075" customHeight="1" spans="1:26">
      <c r="A1075" s="11" t="str">
        <f>IFERROR(__xludf.DUMMYFUNCTION("""COMPUTED_VALUE"""),"ROMINA MARIA G DE BARROS")</f>
        <v>ROMINA MARIA G DE BARROS</v>
      </c>
      <c r="B1075" s="11"/>
      <c r="C1075" s="11"/>
      <c r="D1075" s="11" t="str">
        <f>IFERROR(__xludf.DUMMYFUNCTION("""COMPUTED_VALUE"""),"ENFERMEIRO 30H")</f>
        <v>ENFERMEIRO 30H</v>
      </c>
      <c r="E1075" s="11"/>
      <c r="F1075" s="11" t="str">
        <f>IFERROR(__xludf.DUMMYFUNCTION("""COMPUTED_VALUE"""),"US_170 CAPS DR GALDINO LORETO")</f>
        <v>US_170 CAPS DR GALDINO LORETO</v>
      </c>
      <c r="G1075" s="11" t="str">
        <f>IFERROR(__xludf.DUMMYFUNCTION("""COMPUTED_VALUE"""),"US_170 CAPS DR GALDINO LORETO")</f>
        <v>US_170 CAPS DR GALDINO LORETO</v>
      </c>
      <c r="H1075" s="11"/>
      <c r="I1075" s="11"/>
      <c r="J1075" s="11"/>
      <c r="K1075" s="11"/>
      <c r="L1075" s="11"/>
      <c r="M1075" s="11"/>
      <c r="N1075" s="11"/>
      <c r="O1075" s="11">
        <f>IFERROR(__xludf.DUMMYFUNCTION("""COMPUTED_VALUE"""),2564028411)</f>
        <v>2564028411</v>
      </c>
      <c r="P1075" s="11"/>
      <c r="Q1075" s="11"/>
      <c r="R1075" s="11"/>
      <c r="S1075" s="11"/>
      <c r="T1075" s="11"/>
      <c r="U1075" s="11"/>
      <c r="V1075" s="11"/>
      <c r="W1075" s="11"/>
      <c r="X1075" s="11"/>
      <c r="Y1075" s="11"/>
      <c r="Z1075" s="11"/>
    </row>
    <row r="1076" customHeight="1" spans="1:26">
      <c r="A1076" s="11" t="str">
        <f>IFERROR(__xludf.DUMMYFUNCTION("""COMPUTED_VALUE"""),"ELISANGELA M DA S VASCONCELOS")</f>
        <v>ELISANGELA M DA S VASCONCELOS</v>
      </c>
      <c r="B1076" s="11"/>
      <c r="C1076" s="11"/>
      <c r="D1076" s="11" t="str">
        <f>IFERROR(__xludf.DUMMYFUNCTION("""COMPUTED_VALUE"""),"ENFERMEIRO 30H")</f>
        <v>ENFERMEIRO 30H</v>
      </c>
      <c r="E1076" s="11"/>
      <c r="F1076" s="11" t="str">
        <f>IFERROR(__xludf.DUMMYFUNCTION("""COMPUTED_VALUE"""),"US_304 CAPS DAVID CAPISTRANO")</f>
        <v>US_304 CAPS DAVID CAPISTRANO</v>
      </c>
      <c r="G1076" s="11" t="str">
        <f>IFERROR(__xludf.DUMMYFUNCTION("""COMPUTED_VALUE"""),"US_304 CAPS DAVID CAPISTRANO")</f>
        <v>US_304 CAPS DAVID CAPISTRANO</v>
      </c>
      <c r="H1076" s="27">
        <f>IFERROR(__xludf.DUMMYFUNCTION("""COMPUTED_VALUE"""),81996491266)</f>
        <v>81996491266</v>
      </c>
      <c r="I1076" s="11"/>
      <c r="J1076" s="11"/>
      <c r="K1076" s="11"/>
      <c r="L1076" s="11"/>
      <c r="M1076" s="11"/>
      <c r="N1076" s="11"/>
      <c r="O1076" s="11">
        <f>IFERROR(__xludf.DUMMYFUNCTION("""COMPUTED_VALUE"""),2128415489)</f>
        <v>2128415489</v>
      </c>
      <c r="P1076" s="11"/>
      <c r="Q1076" s="11"/>
      <c r="R1076" s="11"/>
      <c r="S1076" s="11"/>
      <c r="T1076" s="11"/>
      <c r="U1076" s="11"/>
      <c r="V1076" s="11"/>
      <c r="W1076" s="11"/>
      <c r="X1076" s="11"/>
      <c r="Y1076" s="11"/>
      <c r="Z1076" s="11"/>
    </row>
    <row r="1077" customHeight="1" spans="1:26">
      <c r="A1077" s="11" t="str">
        <f>IFERROR(__xludf.DUMMYFUNCTION("""COMPUTED_VALUE"""),"MAYRA AMARAL DA SILVA")</f>
        <v>MAYRA AMARAL DA SILVA</v>
      </c>
      <c r="B1077" s="11"/>
      <c r="C1077" s="11"/>
      <c r="D1077" s="11" t="str">
        <f>IFERROR(__xludf.DUMMYFUNCTION("""COMPUTED_VALUE"""),"ENFERMEIRO 30H")</f>
        <v>ENFERMEIRO 30H</v>
      </c>
      <c r="E1077" s="11"/>
      <c r="F1077" s="11" t="str">
        <f>IFERROR(__xludf.DUMMYFUNCTION("""COMPUTED_VALUE"""),"US_304 CAPS DAVID CAPISTRANO")</f>
        <v>US_304 CAPS DAVID CAPISTRANO</v>
      </c>
      <c r="G1077" s="11" t="str">
        <f>IFERROR(__xludf.DUMMYFUNCTION("""COMPUTED_VALUE"""),"US_304 CAPS DAVID CAPISTRANO")</f>
        <v>US_304 CAPS DAVID CAPISTRANO</v>
      </c>
      <c r="H1077" s="11"/>
      <c r="I1077" s="11"/>
      <c r="J1077" s="11"/>
      <c r="K1077" s="11"/>
      <c r="L1077" s="11"/>
      <c r="M1077" s="11"/>
      <c r="N1077" s="11"/>
      <c r="O1077" s="11">
        <f>IFERROR(__xludf.DUMMYFUNCTION("""COMPUTED_VALUE"""),2723835464)</f>
        <v>2723835464</v>
      </c>
      <c r="P1077" s="11"/>
      <c r="Q1077" s="11"/>
      <c r="R1077" s="11"/>
      <c r="S1077" s="11"/>
      <c r="T1077" s="11"/>
      <c r="U1077" s="11"/>
      <c r="V1077" s="11"/>
      <c r="W1077" s="11"/>
      <c r="X1077" s="11"/>
      <c r="Y1077" s="11"/>
      <c r="Z1077" s="11"/>
    </row>
    <row r="1078" customHeight="1" spans="1:26">
      <c r="A1078" s="11" t="str">
        <f>IFERROR(__xludf.DUMMYFUNCTION("""COMPUTED_VALUE"""),"FERNANDA DINIZ G FRAGOSO")</f>
        <v>FERNANDA DINIZ G FRAGOSO</v>
      </c>
      <c r="B1078" s="11"/>
      <c r="C1078" s="11"/>
      <c r="D1078" s="11" t="str">
        <f>IFERROR(__xludf.DUMMYFUNCTION("""COMPUTED_VALUE"""),"ENFERMEIRO 30H")</f>
        <v>ENFERMEIRO 30H</v>
      </c>
      <c r="E1078" s="11"/>
      <c r="F1078" s="11" t="str">
        <f>IFERROR(__xludf.DUMMYFUNCTION("""COMPUTED_VALUE"""),"US_319 CAPS ESPACO AZUL")</f>
        <v>US_319 CAPS ESPACO AZUL</v>
      </c>
      <c r="G1078" s="11" t="str">
        <f>IFERROR(__xludf.DUMMYFUNCTION("""COMPUTED_VALUE"""),"US_319 CAPS ESPACO AZUL")</f>
        <v>US_319 CAPS ESPACO AZUL</v>
      </c>
      <c r="H1078" s="11"/>
      <c r="I1078" s="11"/>
      <c r="J1078" s="11"/>
      <c r="K1078" s="11"/>
      <c r="L1078" s="11"/>
      <c r="M1078" s="11"/>
      <c r="N1078" s="11"/>
      <c r="O1078" s="11">
        <f>IFERROR(__xludf.DUMMYFUNCTION("""COMPUTED_VALUE"""),5778923473)</f>
        <v>5778923473</v>
      </c>
      <c r="P1078" s="11"/>
      <c r="Q1078" s="11"/>
      <c r="R1078" s="11"/>
      <c r="S1078" s="11"/>
      <c r="T1078" s="11"/>
      <c r="U1078" s="11"/>
      <c r="V1078" s="11"/>
      <c r="W1078" s="11"/>
      <c r="X1078" s="11"/>
      <c r="Y1078" s="11"/>
      <c r="Z1078" s="11"/>
    </row>
    <row r="1079" customHeight="1" spans="1:26">
      <c r="A1079" s="11" t="str">
        <f>IFERROR(__xludf.DUMMYFUNCTION("""COMPUTED_VALUE"""),"RENATA BELTRAO LOPES DA SILVA")</f>
        <v>RENATA BELTRAO LOPES DA SILVA</v>
      </c>
      <c r="B1079" s="11"/>
      <c r="C1079" s="11"/>
      <c r="D1079" s="11" t="str">
        <f>IFERROR(__xludf.DUMMYFUNCTION("""COMPUTED_VALUE"""),"ENFERMEIRO 30H")</f>
        <v>ENFERMEIRO 30H</v>
      </c>
      <c r="E1079" s="11"/>
      <c r="F1079" s="11" t="str">
        <f>IFERROR(__xludf.DUMMYFUNCTION("""COMPUTED_VALUE"""),"US_263 CAPS JOSE CARLOS SOUTO")</f>
        <v>US_263 CAPS JOSE CARLOS SOUTO</v>
      </c>
      <c r="G1079" s="11" t="str">
        <f>IFERROR(__xludf.DUMMYFUNCTION("""COMPUTED_VALUE"""),"US_263 CAPS JOSE CARLOS SOUTO")</f>
        <v>US_263 CAPS JOSE CARLOS SOUTO</v>
      </c>
      <c r="H1079" s="11"/>
      <c r="I1079" s="11"/>
      <c r="J1079" s="11"/>
      <c r="K1079" s="11"/>
      <c r="L1079" s="11"/>
      <c r="M1079" s="11"/>
      <c r="N1079" s="11"/>
      <c r="O1079" s="11">
        <f>IFERROR(__xludf.DUMMYFUNCTION("""COMPUTED_VALUE"""),1354144406)</f>
        <v>1354144406</v>
      </c>
      <c r="P1079" s="11"/>
      <c r="Q1079" s="11"/>
      <c r="R1079" s="11"/>
      <c r="S1079" s="11"/>
      <c r="T1079" s="11"/>
      <c r="U1079" s="11"/>
      <c r="V1079" s="11"/>
      <c r="W1079" s="11"/>
      <c r="X1079" s="11"/>
      <c r="Y1079" s="11"/>
      <c r="Z1079" s="11"/>
    </row>
    <row r="1080" customHeight="1" spans="1:26">
      <c r="A1080" s="11" t="str">
        <f>IFERROR(__xludf.DUMMYFUNCTION("""COMPUTED_VALUE"""),"CLAUDIA CRISTINA DE L CAMBI")</f>
        <v>CLAUDIA CRISTINA DE L CAMBI</v>
      </c>
      <c r="B1080" s="11"/>
      <c r="C1080" s="11"/>
      <c r="D1080" s="11" t="str">
        <f>IFERROR(__xludf.DUMMYFUNCTION("""COMPUTED_VALUE"""),"ENFERMEIRO 30H")</f>
        <v>ENFERMEIRO 30H</v>
      </c>
      <c r="E1080" s="11"/>
      <c r="F1080" s="11" t="str">
        <f>IFERROR(__xludf.DUMMYFUNCTION("""COMPUTED_VALUE"""),"US_330 CAPS ESPACO LIVREMENTE")</f>
        <v>US_330 CAPS ESPACO LIVREMENTE</v>
      </c>
      <c r="G1080" s="11" t="str">
        <f>IFERROR(__xludf.DUMMYFUNCTION("""COMPUTED_VALUE"""),"US_330 CAPS ESPACO LIVREMENTE")</f>
        <v>US_330 CAPS ESPACO LIVREMENTE</v>
      </c>
      <c r="H1080" s="11"/>
      <c r="I1080" s="11"/>
      <c r="J1080" s="11"/>
      <c r="K1080" s="11"/>
      <c r="L1080" s="11"/>
      <c r="M1080" s="11"/>
      <c r="N1080" s="11"/>
      <c r="O1080" s="11">
        <f>IFERROR(__xludf.DUMMYFUNCTION("""COMPUTED_VALUE"""),1854335456)</f>
        <v>1854335456</v>
      </c>
      <c r="P1080" s="11"/>
      <c r="Q1080" s="11"/>
      <c r="R1080" s="11"/>
      <c r="S1080" s="11"/>
      <c r="T1080" s="11"/>
      <c r="U1080" s="11"/>
      <c r="V1080" s="11"/>
      <c r="W1080" s="11"/>
      <c r="X1080" s="11"/>
      <c r="Y1080" s="11"/>
      <c r="Z1080" s="11"/>
    </row>
    <row r="1081" customHeight="1" spans="1:26">
      <c r="A1081" s="11" t="str">
        <f>IFERROR(__xludf.DUMMYFUNCTION("""COMPUTED_VALUE"""),"JANINE DA SILVA PERNAMBUCO")</f>
        <v>JANINE DA SILVA PERNAMBUCO</v>
      </c>
      <c r="B1081" s="11"/>
      <c r="C1081" s="11"/>
      <c r="D1081" s="11" t="str">
        <f>IFERROR(__xludf.DUMMYFUNCTION("""COMPUTED_VALUE"""),"ENFERMEIRO 30H")</f>
        <v>ENFERMEIRO 30H</v>
      </c>
      <c r="E1081" s="11"/>
      <c r="F1081" s="11" t="str">
        <f>IFERROR(__xludf.DUMMYFUNCTION("""COMPUTED_VALUE"""),"US_308 CAPS PROF ZALDO ROCHA")</f>
        <v>US_308 CAPS PROF ZALDO ROCHA</v>
      </c>
      <c r="G1081" s="11" t="str">
        <f>IFERROR(__xludf.DUMMYFUNCTION("""COMPUTED_VALUE"""),"US_308 CAPS PROF ZALDO ROCHA")</f>
        <v>US_308 CAPS PROF ZALDO ROCHA</v>
      </c>
      <c r="H1081" s="11"/>
      <c r="I1081" s="11"/>
      <c r="J1081" s="11"/>
      <c r="K1081" s="11"/>
      <c r="L1081" s="11"/>
      <c r="M1081" s="11"/>
      <c r="N1081" s="11"/>
      <c r="O1081" s="11">
        <f>IFERROR(__xludf.DUMMYFUNCTION("""COMPUTED_VALUE"""),88844471434)</f>
        <v>88844471434</v>
      </c>
      <c r="P1081" s="11"/>
      <c r="Q1081" s="11"/>
      <c r="R1081" s="11"/>
      <c r="S1081" s="11"/>
      <c r="T1081" s="11"/>
      <c r="U1081" s="11"/>
      <c r="V1081" s="11"/>
      <c r="W1081" s="11"/>
      <c r="X1081" s="11"/>
      <c r="Y1081" s="11"/>
      <c r="Z1081" s="11"/>
    </row>
    <row r="1082" customHeight="1" spans="1:26">
      <c r="A1082" s="11" t="str">
        <f>IFERROR(__xludf.DUMMYFUNCTION("""COMPUTED_VALUE"""),"NILK ANGELE SANTOS MENEZES")</f>
        <v>NILK ANGELE SANTOS MENEZES</v>
      </c>
      <c r="B1082" s="11"/>
      <c r="C1082" s="11"/>
      <c r="D1082" s="11" t="str">
        <f>IFERROR(__xludf.DUMMYFUNCTION("""COMPUTED_VALUE"""),"ENFERMEIRO 30H")</f>
        <v>ENFERMEIRO 30H</v>
      </c>
      <c r="E1082" s="11"/>
      <c r="F1082" s="11" t="str">
        <f>IFERROR(__xludf.DUMMYFUNCTION("""COMPUTED_VALUE"""),"US_253 CAPS ESPACO VIDA")</f>
        <v>US_253 CAPS ESPACO VIDA</v>
      </c>
      <c r="G1082" s="11" t="str">
        <f>IFERROR(__xludf.DUMMYFUNCTION("""COMPUTED_VALUE"""),"US_253 CAPS ESPACO VIDA")</f>
        <v>US_253 CAPS ESPACO VIDA</v>
      </c>
      <c r="H1082" s="11"/>
      <c r="I1082" s="11"/>
      <c r="J1082" s="11"/>
      <c r="K1082" s="11"/>
      <c r="L1082" s="11"/>
      <c r="M1082" s="11"/>
      <c r="N1082" s="11"/>
      <c r="O1082" s="11">
        <f>IFERROR(__xludf.DUMMYFUNCTION("""COMPUTED_VALUE"""),3371597423)</f>
        <v>3371597423</v>
      </c>
      <c r="P1082" s="11"/>
      <c r="Q1082" s="11"/>
      <c r="R1082" s="11"/>
      <c r="S1082" s="11"/>
      <c r="T1082" s="11"/>
      <c r="U1082" s="11"/>
      <c r="V1082" s="11"/>
      <c r="W1082" s="11"/>
      <c r="X1082" s="11"/>
      <c r="Y1082" s="11"/>
      <c r="Z1082" s="11"/>
    </row>
    <row r="1083" customHeight="1" spans="1:26">
      <c r="A1083" s="11" t="str">
        <f>IFERROR(__xludf.DUMMYFUNCTION("""COMPUTED_VALUE"""),"SUZANA GORETH G DE M FERREIRA")</f>
        <v>SUZANA GORETH G DE M FERREIRA</v>
      </c>
      <c r="B1083" s="11"/>
      <c r="C1083" s="11"/>
      <c r="D1083" s="11" t="str">
        <f>IFERROR(__xludf.DUMMYFUNCTION("""COMPUTED_VALUE"""),"ENFERMEIRO 30H")</f>
        <v>ENFERMEIRO 30H</v>
      </c>
      <c r="E1083" s="11"/>
      <c r="F1083" s="11" t="str">
        <f>IFERROR(__xludf.DUMMYFUNCTION("""COMPUTED_VALUE"""),"US_263 CAPS JOSE CARLOS SOUTO")</f>
        <v>US_263 CAPS JOSE CARLOS SOUTO</v>
      </c>
      <c r="G1083" s="11" t="str">
        <f>IFERROR(__xludf.DUMMYFUNCTION("""COMPUTED_VALUE"""),"US_263 CAPS JOSE CARLOS SOUTO")</f>
        <v>US_263 CAPS JOSE CARLOS SOUTO</v>
      </c>
      <c r="H1083" s="11"/>
      <c r="I1083" s="11"/>
      <c r="J1083" s="11"/>
      <c r="K1083" s="11"/>
      <c r="L1083" s="11"/>
      <c r="M1083" s="11"/>
      <c r="N1083" s="11"/>
      <c r="O1083" s="11">
        <f>IFERROR(__xludf.DUMMYFUNCTION("""COMPUTED_VALUE"""),3215649446)</f>
        <v>3215649446</v>
      </c>
      <c r="P1083" s="11"/>
      <c r="Q1083" s="11"/>
      <c r="R1083" s="11"/>
      <c r="S1083" s="11"/>
      <c r="T1083" s="11"/>
      <c r="U1083" s="11"/>
      <c r="V1083" s="11"/>
      <c r="W1083" s="11"/>
      <c r="X1083" s="11"/>
      <c r="Y1083" s="11"/>
      <c r="Z1083" s="11"/>
    </row>
    <row r="1084" customHeight="1" spans="1:26">
      <c r="A1084" s="11" t="str">
        <f>IFERROR(__xludf.DUMMYFUNCTION("""COMPUTED_VALUE"""),"FABIANA LUCIA DE PAULA CUNHA")</f>
        <v>FABIANA LUCIA DE PAULA CUNHA</v>
      </c>
      <c r="B1084" s="11"/>
      <c r="C1084" s="11"/>
      <c r="D1084" s="11" t="str">
        <f>IFERROR(__xludf.DUMMYFUNCTION("""COMPUTED_VALUE"""),"ENFERMEIRO 30H")</f>
        <v>ENFERMEIRO 30H</v>
      </c>
      <c r="E1084" s="11"/>
      <c r="F1084" s="11" t="str">
        <f>IFERROR(__xludf.DUMMYFUNCTION("""COMPUTED_VALUE"""),"US_318 CAPS CPTRA CENTRO DE PREV TRAT E REAB DE ALCOOLISMO")</f>
        <v>US_318 CAPS CPTRA CENTRO DE PREV TRAT E REAB DE ALCOOLISMO</v>
      </c>
      <c r="G1084" s="11" t="str">
        <f>IFERROR(__xludf.DUMMYFUNCTION("""COMPUTED_VALUE"""),"US_318 CAPS CPTRA CENTRO DE PREV TRAT E REAB DE ALCOOLISMO")</f>
        <v>US_318 CAPS CPTRA CENTRO DE PREV TRAT E REAB DE ALCOOLISMO</v>
      </c>
      <c r="H1084" s="11"/>
      <c r="I1084" s="11"/>
      <c r="J1084" s="11"/>
      <c r="K1084" s="11"/>
      <c r="L1084" s="11"/>
      <c r="M1084" s="11"/>
      <c r="N1084" s="11"/>
      <c r="O1084" s="11">
        <f>IFERROR(__xludf.DUMMYFUNCTION("""COMPUTED_VALUE"""),84695897415)</f>
        <v>84695897415</v>
      </c>
      <c r="P1084" s="11"/>
      <c r="Q1084" s="11"/>
      <c r="R1084" s="11"/>
      <c r="S1084" s="11"/>
      <c r="T1084" s="11"/>
      <c r="U1084" s="11"/>
      <c r="V1084" s="11"/>
      <c r="W1084" s="11"/>
      <c r="X1084" s="11"/>
      <c r="Y1084" s="11"/>
      <c r="Z1084" s="11"/>
    </row>
    <row r="1085" customHeight="1" spans="1:26">
      <c r="A1085" s="11" t="str">
        <f>IFERROR(__xludf.DUMMYFUNCTION("""COMPUTED_VALUE"""),"GABRIELA PINHEIRO RAMOS")</f>
        <v>GABRIELA PINHEIRO RAMOS</v>
      </c>
      <c r="B1085" s="11"/>
      <c r="C1085" s="11"/>
      <c r="D1085" s="11" t="str">
        <f>IFERROR(__xludf.DUMMYFUNCTION("""COMPUTED_VALUE"""),"ENFERMEIRO 30H")</f>
        <v>ENFERMEIRO 30H</v>
      </c>
      <c r="E1085" s="11"/>
      <c r="F1085" s="11" t="str">
        <f>IFERROR(__xludf.DUMMYFUNCTION("""COMPUTED_VALUE"""),"US_320 CAPS CENTRO EULAMPIO CORDEIRO DE RECUPERACAO HUMANA")</f>
        <v>US_320 CAPS CENTRO EULAMPIO CORDEIRO DE RECUPERACAO HUMANA</v>
      </c>
      <c r="G1085" s="11" t="str">
        <f>IFERROR(__xludf.DUMMYFUNCTION("""COMPUTED_VALUE"""),"US_320 CAPS CENTRO EULAMPIO CORDEIRO DE RECUPERACAO HUMANA")</f>
        <v>US_320 CAPS CENTRO EULAMPIO CORDEIRO DE RECUPERACAO HUMANA</v>
      </c>
      <c r="H1085" s="11"/>
      <c r="I1085" s="11"/>
      <c r="J1085" s="11"/>
      <c r="K1085" s="11"/>
      <c r="L1085" s="11"/>
      <c r="M1085" s="11"/>
      <c r="N1085" s="11"/>
      <c r="O1085" s="11">
        <f>IFERROR(__xludf.DUMMYFUNCTION("""COMPUTED_VALUE"""),5689610488)</f>
        <v>5689610488</v>
      </c>
      <c r="P1085" s="11"/>
      <c r="Q1085" s="11"/>
      <c r="R1085" s="11"/>
      <c r="S1085" s="11"/>
      <c r="T1085" s="11"/>
      <c r="U1085" s="11"/>
      <c r="V1085" s="11"/>
      <c r="W1085" s="11"/>
      <c r="X1085" s="11"/>
      <c r="Y1085" s="11"/>
      <c r="Z1085" s="11"/>
    </row>
    <row r="1086" customHeight="1" spans="1:26">
      <c r="A1086" s="11" t="str">
        <f>IFERROR(__xludf.DUMMYFUNCTION("""COMPUTED_VALUE"""),"SHEILA PEREIRA DE OLIVEIRA")</f>
        <v>SHEILA PEREIRA DE OLIVEIRA</v>
      </c>
      <c r="B1086" s="11"/>
      <c r="C1086" s="11"/>
      <c r="D1086" s="11" t="str">
        <f>IFERROR(__xludf.DUMMYFUNCTION("""COMPUTED_VALUE"""),"ENFERMEIRO 30H")</f>
        <v>ENFERMEIRO 30H</v>
      </c>
      <c r="E1086" s="11"/>
      <c r="F1086" s="11" t="str">
        <f>IFERROR(__xludf.DUMMYFUNCTION("""COMPUTED_VALUE"""),"US_319 CAPS ESPACO AZUL")</f>
        <v>US_319 CAPS ESPACO AZUL</v>
      </c>
      <c r="G1086" s="11" t="str">
        <f>IFERROR(__xludf.DUMMYFUNCTION("""COMPUTED_VALUE"""),"US_319 CAPS ESPACO AZUL")</f>
        <v>US_319 CAPS ESPACO AZUL</v>
      </c>
      <c r="H1086" s="11"/>
      <c r="I1086" s="11"/>
      <c r="J1086" s="11"/>
      <c r="K1086" s="11"/>
      <c r="L1086" s="11"/>
      <c r="M1086" s="11"/>
      <c r="N1086" s="11"/>
      <c r="O1086" s="11">
        <f>IFERROR(__xludf.DUMMYFUNCTION("""COMPUTED_VALUE"""),91858461472)</f>
        <v>91858461472</v>
      </c>
      <c r="P1086" s="11"/>
      <c r="Q1086" s="11"/>
      <c r="R1086" s="11"/>
      <c r="S1086" s="11"/>
      <c r="T1086" s="11"/>
      <c r="U1086" s="11"/>
      <c r="V1086" s="11"/>
      <c r="W1086" s="11"/>
      <c r="X1086" s="11"/>
      <c r="Y1086" s="11"/>
      <c r="Z1086" s="11"/>
    </row>
    <row r="1087" customHeight="1" spans="1:26">
      <c r="A1087" s="11" t="str">
        <f>IFERROR(__xludf.DUMMYFUNCTION("""COMPUTED_VALUE"""),"SIMONE MARIA DE SERPA BRANDAO")</f>
        <v>SIMONE MARIA DE SERPA BRANDAO</v>
      </c>
      <c r="B1087" s="11"/>
      <c r="C1087" s="11"/>
      <c r="D1087" s="11" t="str">
        <f>IFERROR(__xludf.DUMMYFUNCTION("""COMPUTED_VALUE"""),"ENFERMEIRO 30H")</f>
        <v>ENFERMEIRO 30H</v>
      </c>
      <c r="E1087" s="11"/>
      <c r="F1087" s="11" t="str">
        <f>IFERROR(__xludf.DUMMYFUNCTION("""COMPUTED_VALUE"""),"US_306 CAPS AD PROF LUIZ CERQUEIRA")</f>
        <v>US_306 CAPS AD PROF LUIZ CERQUEIRA</v>
      </c>
      <c r="G1087" s="11" t="str">
        <f>IFERROR(__xludf.DUMMYFUNCTION("""COMPUTED_VALUE"""),"US_306 CAPS AD PROF LUIZ CERQUEIRA")</f>
        <v>US_306 CAPS AD PROF LUIZ CERQUEIRA</v>
      </c>
      <c r="H1087" s="11"/>
      <c r="I1087" s="11"/>
      <c r="J1087" s="11"/>
      <c r="K1087" s="11"/>
      <c r="L1087" s="11"/>
      <c r="M1087" s="11"/>
      <c r="N1087" s="11"/>
      <c r="O1087" s="11">
        <f>IFERROR(__xludf.DUMMYFUNCTION("""COMPUTED_VALUE"""),31384617434)</f>
        <v>31384617434</v>
      </c>
      <c r="P1087" s="11"/>
      <c r="Q1087" s="11"/>
      <c r="R1087" s="11"/>
      <c r="S1087" s="11"/>
      <c r="T1087" s="11"/>
      <c r="U1087" s="11"/>
      <c r="V1087" s="11"/>
      <c r="W1087" s="11"/>
      <c r="X1087" s="11"/>
      <c r="Y1087" s="11"/>
      <c r="Z1087" s="11"/>
    </row>
    <row r="1088" customHeight="1" spans="1:26">
      <c r="A1088" s="11" t="str">
        <f>IFERROR(__xludf.DUMMYFUNCTION("""COMPUTED_VALUE"""),"HELDER THIAGO PEREIRA DE SOUZA")</f>
        <v>HELDER THIAGO PEREIRA DE SOUZA</v>
      </c>
      <c r="B1088" s="11"/>
      <c r="C1088" s="11"/>
      <c r="D1088" s="11" t="str">
        <f>IFERROR(__xludf.DUMMYFUNCTION("""COMPUTED_VALUE"""),"ENFERMEIRO 30H - DIARISTA")</f>
        <v>ENFERMEIRO 30H - DIARISTA</v>
      </c>
      <c r="E1088" s="11"/>
      <c r="F1088" s="11" t="str">
        <f>IFERROR(__xludf.DUMMYFUNCTION("""COMPUTED_VALUE"""),"US_310 CAPS AD PROF JOSE LUCENA")</f>
        <v>US_310 CAPS AD PROF JOSE LUCENA</v>
      </c>
      <c r="G1088" s="11" t="str">
        <f>IFERROR(__xludf.DUMMYFUNCTION("""COMPUTED_VALUE"""),"US_310 CAPS AD PROF JOSE LUCENA")</f>
        <v>US_310 CAPS AD PROF JOSE LUCENA</v>
      </c>
      <c r="H1088" s="11"/>
      <c r="I1088" s="11"/>
      <c r="J1088" s="11"/>
      <c r="K1088" s="11"/>
      <c r="L1088" s="11"/>
      <c r="M1088" s="11"/>
      <c r="N1088" s="11"/>
      <c r="O1088" s="11">
        <f>IFERROR(__xludf.DUMMYFUNCTION("""COMPUTED_VALUE"""),2201428409)</f>
        <v>2201428409</v>
      </c>
      <c r="P1088" s="11"/>
      <c r="Q1088" s="11"/>
      <c r="R1088" s="11"/>
      <c r="S1088" s="11"/>
      <c r="T1088" s="11"/>
      <c r="U1088" s="11"/>
      <c r="V1088" s="11"/>
      <c r="W1088" s="11"/>
      <c r="X1088" s="11"/>
      <c r="Y1088" s="11"/>
      <c r="Z1088" s="11"/>
    </row>
    <row r="1089" customHeight="1" spans="1:26">
      <c r="A1089" s="11" t="str">
        <f>IFERROR(__xludf.DUMMYFUNCTION("""COMPUTED_VALUE"""),"RODRIGO CESAR ABREU DE AQUINO")</f>
        <v>RODRIGO CESAR ABREU DE AQUINO</v>
      </c>
      <c r="B1089" s="11"/>
      <c r="C1089" s="11"/>
      <c r="D1089" s="11" t="str">
        <f>IFERROR(__xludf.DUMMYFUNCTION("""COMPUTED_VALUE"""),"ENFERMEIRO 30H - PLANTONISTA")</f>
        <v>ENFERMEIRO 30H - PLANTONISTA</v>
      </c>
      <c r="E1089" s="11"/>
      <c r="F1089" s="11" t="str">
        <f>IFERROR(__xludf.DUMMYFUNCTION("""COMPUTED_VALUE"""),"US_306 CAPS AD PROF LUIZ CERQUEIRA")</f>
        <v>US_306 CAPS AD PROF LUIZ CERQUEIRA</v>
      </c>
      <c r="G1089" s="11" t="str">
        <f>IFERROR(__xludf.DUMMYFUNCTION("""COMPUTED_VALUE"""),"US_306 CAPS AD PROF LUIZ CERQUEIRA")</f>
        <v>US_306 CAPS AD PROF LUIZ CERQUEIRA</v>
      </c>
      <c r="H1089" s="11"/>
      <c r="I1089" s="11"/>
      <c r="J1089" s="11"/>
      <c r="K1089" s="11"/>
      <c r="L1089" s="11"/>
      <c r="M1089" s="11"/>
      <c r="N1089" s="11"/>
      <c r="O1089" s="11">
        <f>IFERROR(__xludf.DUMMYFUNCTION("""COMPUTED_VALUE"""),5362275437)</f>
        <v>5362275437</v>
      </c>
      <c r="P1089" s="11"/>
      <c r="Q1089" s="11"/>
      <c r="R1089" s="11"/>
      <c r="S1089" s="11"/>
      <c r="T1089" s="11"/>
      <c r="U1089" s="11"/>
      <c r="V1089" s="11"/>
      <c r="W1089" s="11"/>
      <c r="X1089" s="11"/>
      <c r="Y1089" s="11"/>
      <c r="Z1089" s="11"/>
    </row>
    <row r="1090" customHeight="1" spans="1:26">
      <c r="A1090" s="11" t="str">
        <f>IFERROR(__xludf.DUMMYFUNCTION("""COMPUTED_VALUE"""),"JOCASTRA BISPO DE SANTANA")</f>
        <v>JOCASTRA BISPO DE SANTANA</v>
      </c>
      <c r="B1090" s="11"/>
      <c r="C1090" s="11"/>
      <c r="D1090" s="11" t="str">
        <f>IFERROR(__xludf.DUMMYFUNCTION("""COMPUTED_VALUE"""),"ENFERMEIRO 30H - PLANTONISTA")</f>
        <v>ENFERMEIRO 30H - PLANTONISTA</v>
      </c>
      <c r="E1090" s="11"/>
      <c r="F1090" s="11" t="str">
        <f>IFERROR(__xludf.DUMMYFUNCTION("""COMPUTED_VALUE"""),"US_318 CAPS CPTRA CENTRO DE PREV TRAT E REAB DE ALCOOLISMO")</f>
        <v>US_318 CAPS CPTRA CENTRO DE PREV TRAT E REAB DE ALCOOLISMO</v>
      </c>
      <c r="G1090" s="11" t="str">
        <f>IFERROR(__xludf.DUMMYFUNCTION("""COMPUTED_VALUE"""),"US_318 CAPS CPTRA CENTRO DE PREV TRAT E REAB DE ALCOOLISMO")</f>
        <v>US_318 CAPS CPTRA CENTRO DE PREV TRAT E REAB DE ALCOOLISMO</v>
      </c>
      <c r="H1090" s="11"/>
      <c r="I1090" s="11"/>
      <c r="J1090" s="11"/>
      <c r="K1090" s="11"/>
      <c r="L1090" s="11"/>
      <c r="M1090" s="11"/>
      <c r="N1090" s="11"/>
      <c r="O1090" s="11">
        <f>IFERROR(__xludf.DUMMYFUNCTION("""COMPUTED_VALUE"""),6449945419)</f>
        <v>6449945419</v>
      </c>
      <c r="P1090" s="11"/>
      <c r="Q1090" s="11"/>
      <c r="R1090" s="11"/>
      <c r="S1090" s="11"/>
      <c r="T1090" s="11"/>
      <c r="U1090" s="11"/>
      <c r="V1090" s="11"/>
      <c r="W1090" s="11"/>
      <c r="X1090" s="11"/>
      <c r="Y1090" s="11"/>
      <c r="Z1090" s="11"/>
    </row>
    <row r="1091" customHeight="1" spans="1:26">
      <c r="A1091" s="11" t="str">
        <f>IFERROR(__xludf.DUMMYFUNCTION("""COMPUTED_VALUE"""),"ANDRESA ACACIA X EPAMINONDAS")</f>
        <v>ANDRESA ACACIA X EPAMINONDAS</v>
      </c>
      <c r="B1091" s="11"/>
      <c r="C1091" s="11"/>
      <c r="D1091" s="11" t="str">
        <f>IFERROR(__xludf.DUMMYFUNCTION("""COMPUTED_VALUE"""),"ENFERMEIRO 30H - PLANTONISTA")</f>
        <v>ENFERMEIRO 30H - PLANTONISTA</v>
      </c>
      <c r="E1091" s="11"/>
      <c r="F1091" s="11" t="str">
        <f>IFERROR(__xludf.DUMMYFUNCTION("""COMPUTED_VALUE"""),"US_318 CAPS CPTRA CENTRO DE PREV TRAT E REAB DE ALCOOLISMO")</f>
        <v>US_318 CAPS CPTRA CENTRO DE PREV TRAT E REAB DE ALCOOLISMO</v>
      </c>
      <c r="G1091" s="11" t="str">
        <f>IFERROR(__xludf.DUMMYFUNCTION("""COMPUTED_VALUE"""),"US_318 CAPS CPTRA CENTRO DE PREV TRAT E REAB DE ALCOOLISMO")</f>
        <v>US_318 CAPS CPTRA CENTRO DE PREV TRAT E REAB DE ALCOOLISMO</v>
      </c>
      <c r="H1091" s="11"/>
      <c r="I1091" s="11"/>
      <c r="J1091" s="11"/>
      <c r="K1091" s="11"/>
      <c r="L1091" s="11"/>
      <c r="M1091" s="11"/>
      <c r="N1091" s="11"/>
      <c r="O1091" s="11">
        <f>IFERROR(__xludf.DUMMYFUNCTION("""COMPUTED_VALUE"""),4945230420)</f>
        <v>4945230420</v>
      </c>
      <c r="P1091" s="11"/>
      <c r="Q1091" s="11"/>
      <c r="R1091" s="11"/>
      <c r="S1091" s="11"/>
      <c r="T1091" s="11"/>
      <c r="U1091" s="11"/>
      <c r="V1091" s="11"/>
      <c r="W1091" s="11"/>
      <c r="X1091" s="11"/>
      <c r="Y1091" s="11"/>
      <c r="Z1091" s="11"/>
    </row>
    <row r="1092" customHeight="1" spans="1:26">
      <c r="A1092" s="11" t="str">
        <f>IFERROR(__xludf.DUMMYFUNCTION("""COMPUTED_VALUE"""),"FABIANA VELOSO LIMA")</f>
        <v>FABIANA VELOSO LIMA</v>
      </c>
      <c r="B1092" s="11"/>
      <c r="C1092" s="11"/>
      <c r="D1092" s="11" t="str">
        <f>IFERROR(__xludf.DUMMYFUNCTION("""COMPUTED_VALUE"""),"ENFERMEIRO 30H - PLANTONISTA")</f>
        <v>ENFERMEIRO 30H - PLANTONISTA</v>
      </c>
      <c r="E1092" s="11"/>
      <c r="F1092" s="11" t="str">
        <f>IFERROR(__xludf.DUMMYFUNCTION("""COMPUTED_VALUE"""),"US_170 CAPS DR GALDINO LORETO")</f>
        <v>US_170 CAPS DR GALDINO LORETO</v>
      </c>
      <c r="G1092" s="11" t="str">
        <f>IFERROR(__xludf.DUMMYFUNCTION("""COMPUTED_VALUE"""),"US_170 CAPS DR GALDINO LORETO")</f>
        <v>US_170 CAPS DR GALDINO LORETO</v>
      </c>
      <c r="H1092" s="11"/>
      <c r="I1092" s="11"/>
      <c r="J1092" s="11"/>
      <c r="K1092" s="11"/>
      <c r="L1092" s="11"/>
      <c r="M1092" s="11"/>
      <c r="N1092" s="11"/>
      <c r="O1092" s="11">
        <f>IFERROR(__xludf.DUMMYFUNCTION("""COMPUTED_VALUE"""),93019033420)</f>
        <v>93019033420</v>
      </c>
      <c r="P1092" s="11"/>
      <c r="Q1092" s="11"/>
      <c r="R1092" s="11"/>
      <c r="S1092" s="11"/>
      <c r="T1092" s="11"/>
      <c r="U1092" s="11"/>
      <c r="V1092" s="11"/>
      <c r="W1092" s="11"/>
      <c r="X1092" s="11"/>
      <c r="Y1092" s="11"/>
      <c r="Z1092" s="11"/>
    </row>
    <row r="1093" customHeight="1" spans="1:26">
      <c r="A1093" s="11" t="str">
        <f>IFERROR(__xludf.DUMMYFUNCTION("""COMPUTED_VALUE"""),"CLAUDIA MARGARETH DE L N VILAR")</f>
        <v>CLAUDIA MARGARETH DE L N VILAR</v>
      </c>
      <c r="B1093" s="11"/>
      <c r="C1093" s="11"/>
      <c r="D1093" s="11" t="str">
        <f>IFERROR(__xludf.DUMMYFUNCTION("""COMPUTED_VALUE"""),"ENFERMEIRO 30H - PLANTONISTA")</f>
        <v>ENFERMEIRO 30H - PLANTONISTA</v>
      </c>
      <c r="E1093" s="11"/>
      <c r="F1093" s="11" t="str">
        <f>IFERROR(__xludf.DUMMYFUNCTION("""COMPUTED_VALUE"""),"US_170 CAPS DR GALDINO LORETO")</f>
        <v>US_170 CAPS DR GALDINO LORETO</v>
      </c>
      <c r="G1093" s="11" t="str">
        <f>IFERROR(__xludf.DUMMYFUNCTION("""COMPUTED_VALUE"""),"US_170 CAPS DR GALDINO LORETO")</f>
        <v>US_170 CAPS DR GALDINO LORETO</v>
      </c>
      <c r="H1093" s="11"/>
      <c r="I1093" s="11"/>
      <c r="J1093" s="11"/>
      <c r="K1093" s="11"/>
      <c r="L1093" s="11"/>
      <c r="M1093" s="11"/>
      <c r="N1093" s="11"/>
      <c r="O1093" s="11">
        <f>IFERROR(__xludf.DUMMYFUNCTION("""COMPUTED_VALUE"""),3380313408)</f>
        <v>3380313408</v>
      </c>
      <c r="P1093" s="11"/>
      <c r="Q1093" s="11"/>
      <c r="R1093" s="11"/>
      <c r="S1093" s="11"/>
      <c r="T1093" s="11"/>
      <c r="U1093" s="11"/>
      <c r="V1093" s="11"/>
      <c r="W1093" s="11"/>
      <c r="X1093" s="11"/>
      <c r="Y1093" s="11"/>
      <c r="Z1093" s="11"/>
    </row>
    <row r="1094" customHeight="1" spans="1:26">
      <c r="A1094" s="11" t="str">
        <f>IFERROR(__xludf.DUMMYFUNCTION("""COMPUTED_VALUE"""),"BRUNA RAFAELA G DE A LIMA")</f>
        <v>BRUNA RAFAELA G DE A LIMA</v>
      </c>
      <c r="B1094" s="11"/>
      <c r="C1094" s="11"/>
      <c r="D1094" s="11" t="str">
        <f>IFERROR(__xludf.DUMMYFUNCTION("""COMPUTED_VALUE"""),"ENFERMEIRO 30H - PLANTONISTA")</f>
        <v>ENFERMEIRO 30H - PLANTONISTA</v>
      </c>
      <c r="E1094" s="11"/>
      <c r="F1094" s="11" t="str">
        <f>IFERROR(__xludf.DUMMYFUNCTION("""COMPUTED_VALUE"""),"US_304 CAPS DAVID CAPISTRANO")</f>
        <v>US_304 CAPS DAVID CAPISTRANO</v>
      </c>
      <c r="G1094" s="11" t="str">
        <f>IFERROR(__xludf.DUMMYFUNCTION("""COMPUTED_VALUE"""),"US_304 CAPS DAVID CAPISTRANO")</f>
        <v>US_304 CAPS DAVID CAPISTRANO</v>
      </c>
      <c r="H1094" s="11"/>
      <c r="I1094" s="11"/>
      <c r="J1094" s="11"/>
      <c r="K1094" s="11"/>
      <c r="L1094" s="11"/>
      <c r="M1094" s="11"/>
      <c r="N1094" s="11"/>
      <c r="O1094" s="11">
        <f>IFERROR(__xludf.DUMMYFUNCTION("""COMPUTED_VALUE"""),6886226401)</f>
        <v>6886226401</v>
      </c>
      <c r="P1094" s="11"/>
      <c r="Q1094" s="11"/>
      <c r="R1094" s="11"/>
      <c r="S1094" s="11"/>
      <c r="T1094" s="11"/>
      <c r="U1094" s="11"/>
      <c r="V1094" s="11"/>
      <c r="W1094" s="11"/>
      <c r="X1094" s="11"/>
      <c r="Y1094" s="11"/>
      <c r="Z1094" s="11"/>
    </row>
    <row r="1095" customHeight="1" spans="1:26">
      <c r="A1095" s="11" t="str">
        <f>IFERROR(__xludf.DUMMYFUNCTION("""COMPUTED_VALUE"""),"GAYNE DE OLIVEIRA S BELTRAO")</f>
        <v>GAYNE DE OLIVEIRA S BELTRAO</v>
      </c>
      <c r="B1095" s="11"/>
      <c r="C1095" s="11"/>
      <c r="D1095" s="11" t="str">
        <f>IFERROR(__xludf.DUMMYFUNCTION("""COMPUTED_VALUE"""),"ENFERMEIRO 30H - PLANTONISTA")</f>
        <v>ENFERMEIRO 30H - PLANTONISTA</v>
      </c>
      <c r="E1095" s="11"/>
      <c r="F1095" s="11" t="str">
        <f>IFERROR(__xludf.DUMMYFUNCTION("""COMPUTED_VALUE"""),"US_170 CAPS DR GALDINO LORETO")</f>
        <v>US_170 CAPS DR GALDINO LORETO</v>
      </c>
      <c r="G1095" s="11" t="str">
        <f>IFERROR(__xludf.DUMMYFUNCTION("""COMPUTED_VALUE"""),"US_170 CAPS DR GALDINO LORETO")</f>
        <v>US_170 CAPS DR GALDINO LORETO</v>
      </c>
      <c r="H1095" s="11"/>
      <c r="I1095" s="11"/>
      <c r="J1095" s="11"/>
      <c r="K1095" s="11"/>
      <c r="L1095" s="11"/>
      <c r="M1095" s="11"/>
      <c r="N1095" s="11"/>
      <c r="O1095" s="11">
        <f>IFERROR(__xludf.DUMMYFUNCTION("""COMPUTED_VALUE"""),1310511489)</f>
        <v>1310511489</v>
      </c>
      <c r="P1095" s="11"/>
      <c r="Q1095" s="11"/>
      <c r="R1095" s="11"/>
      <c r="S1095" s="11"/>
      <c r="T1095" s="11"/>
      <c r="U1095" s="11"/>
      <c r="V1095" s="11"/>
      <c r="W1095" s="11"/>
      <c r="X1095" s="11"/>
      <c r="Y1095" s="11"/>
      <c r="Z1095" s="11"/>
    </row>
    <row r="1096" customHeight="1" spans="1:26">
      <c r="A1096" s="11" t="str">
        <f>IFERROR(__xludf.DUMMYFUNCTION("""COMPUTED_VALUE"""),"TATIANY LUNGUINHO C FIGUEIREDO")</f>
        <v>TATIANY LUNGUINHO C FIGUEIREDO</v>
      </c>
      <c r="B1096" s="11"/>
      <c r="C1096" s="11"/>
      <c r="D1096" s="11" t="str">
        <f>IFERROR(__xludf.DUMMYFUNCTION("""COMPUTED_VALUE"""),"ENFERMEIRO 30H - PLANTONISTA")</f>
        <v>ENFERMEIRO 30H - PLANTONISTA</v>
      </c>
      <c r="E1096" s="11"/>
      <c r="F1096" s="11" t="str">
        <f>IFERROR(__xludf.DUMMYFUNCTION("""COMPUTED_VALUE"""),"US_330 CAPS ESPACO LIVREMENTE")</f>
        <v>US_330 CAPS ESPACO LIVREMENTE</v>
      </c>
      <c r="G1096" s="11" t="str">
        <f>IFERROR(__xludf.DUMMYFUNCTION("""COMPUTED_VALUE"""),"US_330 CAPS ESPACO LIVREMENTE")</f>
        <v>US_330 CAPS ESPACO LIVREMENTE</v>
      </c>
      <c r="H1096" s="11"/>
      <c r="I1096" s="11"/>
      <c r="J1096" s="11"/>
      <c r="K1096" s="11"/>
      <c r="L1096" s="11"/>
      <c r="M1096" s="11"/>
      <c r="N1096" s="11"/>
      <c r="O1096" s="11">
        <f>IFERROR(__xludf.DUMMYFUNCTION("""COMPUTED_VALUE"""),4230204396)</f>
        <v>4230204396</v>
      </c>
      <c r="P1096" s="11"/>
      <c r="Q1096" s="11"/>
      <c r="R1096" s="11"/>
      <c r="S1096" s="11"/>
      <c r="T1096" s="11"/>
      <c r="U1096" s="11"/>
      <c r="V1096" s="11"/>
      <c r="W1096" s="11"/>
      <c r="X1096" s="11"/>
      <c r="Y1096" s="11"/>
      <c r="Z1096" s="11"/>
    </row>
    <row r="1097" customHeight="1" spans="1:26">
      <c r="A1097" s="11" t="str">
        <f>IFERROR(__xludf.DUMMYFUNCTION("""COMPUTED_VALUE"""),"SUZANA MEDEIROS BALBINO")</f>
        <v>SUZANA MEDEIROS BALBINO</v>
      </c>
      <c r="B1097" s="11"/>
      <c r="C1097" s="11"/>
      <c r="D1097" s="11" t="str">
        <f>IFERROR(__xludf.DUMMYFUNCTION("""COMPUTED_VALUE"""),"ENFERMEIRO 30H - PLANTONISTA")</f>
        <v>ENFERMEIRO 30H - PLANTONISTA</v>
      </c>
      <c r="E1097" s="11"/>
      <c r="F1097" s="11" t="str">
        <f>IFERROR(__xludf.DUMMYFUNCTION("""COMPUTED_VALUE"""),"US_170 CAPS DR GALDINO LORETO")</f>
        <v>US_170 CAPS DR GALDINO LORETO</v>
      </c>
      <c r="G1097" s="11" t="str">
        <f>IFERROR(__xludf.DUMMYFUNCTION("""COMPUTED_VALUE"""),"US_170 CAPS DR GALDINO LORETO")</f>
        <v>US_170 CAPS DR GALDINO LORETO</v>
      </c>
      <c r="H1097" s="11"/>
      <c r="I1097" s="11"/>
      <c r="J1097" s="11"/>
      <c r="K1097" s="11"/>
      <c r="L1097" s="11"/>
      <c r="M1097" s="11"/>
      <c r="N1097" s="11"/>
      <c r="O1097" s="11">
        <f>IFERROR(__xludf.DUMMYFUNCTION("""COMPUTED_VALUE"""),8537540471)</f>
        <v>8537540471</v>
      </c>
      <c r="P1097" s="11"/>
      <c r="Q1097" s="11"/>
      <c r="R1097" s="11"/>
      <c r="S1097" s="11"/>
      <c r="T1097" s="11"/>
      <c r="U1097" s="11"/>
      <c r="V1097" s="11"/>
      <c r="W1097" s="11"/>
      <c r="X1097" s="11"/>
      <c r="Y1097" s="11"/>
      <c r="Z1097" s="11"/>
    </row>
    <row r="1098" customHeight="1" spans="1:26">
      <c r="A1098" s="11" t="str">
        <f>IFERROR(__xludf.DUMMYFUNCTION("""COMPUTED_VALUE"""),"KAREN MARIA B DO NASCIMENTO")</f>
        <v>KAREN MARIA B DO NASCIMENTO</v>
      </c>
      <c r="B1098" s="11"/>
      <c r="C1098" s="11"/>
      <c r="D1098" s="11" t="str">
        <f>IFERROR(__xludf.DUMMYFUNCTION("""COMPUTED_VALUE"""),"ENFERMEIRO 30H - PLANTONISTA")</f>
        <v>ENFERMEIRO 30H - PLANTONISTA</v>
      </c>
      <c r="E1098" s="11"/>
      <c r="F1098" s="11" t="str">
        <f>IFERROR(__xludf.DUMMYFUNCTION("""COMPUTED_VALUE"""),"US_170 CAPS DR GALDINO LORETO")</f>
        <v>US_170 CAPS DR GALDINO LORETO</v>
      </c>
      <c r="G1098" s="11" t="str">
        <f>IFERROR(__xludf.DUMMYFUNCTION("""COMPUTED_VALUE"""),"US_170 CAPS DR GALDINO LORETO")</f>
        <v>US_170 CAPS DR GALDINO LORETO</v>
      </c>
      <c r="H1098" s="11"/>
      <c r="I1098" s="11"/>
      <c r="J1098" s="11"/>
      <c r="K1098" s="11"/>
      <c r="L1098" s="11"/>
      <c r="M1098" s="11"/>
      <c r="N1098" s="11"/>
      <c r="O1098" s="11">
        <f>IFERROR(__xludf.DUMMYFUNCTION("""COMPUTED_VALUE"""),9637137440)</f>
        <v>9637137440</v>
      </c>
      <c r="P1098" s="11"/>
      <c r="Q1098" s="11"/>
      <c r="R1098" s="11"/>
      <c r="S1098" s="11"/>
      <c r="T1098" s="11"/>
      <c r="U1098" s="11"/>
      <c r="V1098" s="11"/>
      <c r="W1098" s="11"/>
      <c r="X1098" s="11"/>
      <c r="Y1098" s="11"/>
      <c r="Z1098" s="11"/>
    </row>
    <row r="1099" customHeight="1" spans="1:26">
      <c r="A1099" s="11" t="str">
        <f>IFERROR(__xludf.DUMMYFUNCTION("""COMPUTED_VALUE"""),"WAGNER MACIEL SARMENTO")</f>
        <v>WAGNER MACIEL SARMENTO</v>
      </c>
      <c r="B1099" s="11"/>
      <c r="C1099" s="11"/>
      <c r="D1099" s="11" t="str">
        <f>IFERROR(__xludf.DUMMYFUNCTION("""COMPUTED_VALUE"""),"ENFERMEIRO 30H - DIARISTA")</f>
        <v>ENFERMEIRO 30H - DIARISTA</v>
      </c>
      <c r="E1099" s="11"/>
      <c r="F1099" s="11" t="str">
        <f>IFERROR(__xludf.DUMMYFUNCTION("""COMPUTED_VALUE"""),"US_335 CAPS AD ESTACAO VICENTE ARAUJO")</f>
        <v>US_335 CAPS AD ESTACAO VICENTE ARAUJO</v>
      </c>
      <c r="G1099" s="11" t="str">
        <f>IFERROR(__xludf.DUMMYFUNCTION("""COMPUTED_VALUE"""),"US_335 CAPS AD ESTACAO VICENTE ARAUJO")</f>
        <v>US_335 CAPS AD ESTACAO VICENTE ARAUJO</v>
      </c>
      <c r="H1099" s="11"/>
      <c r="I1099" s="11"/>
      <c r="J1099" s="11"/>
      <c r="K1099" s="11"/>
      <c r="L1099" s="11"/>
      <c r="M1099" s="11"/>
      <c r="N1099" s="11"/>
      <c r="O1099" s="11">
        <f>IFERROR(__xludf.DUMMYFUNCTION("""COMPUTED_VALUE"""),10717333469)</f>
        <v>10717333469</v>
      </c>
      <c r="P1099" s="11"/>
      <c r="Q1099" s="11"/>
      <c r="R1099" s="11"/>
      <c r="S1099" s="11"/>
      <c r="T1099" s="11"/>
      <c r="U1099" s="11"/>
      <c r="V1099" s="11"/>
      <c r="W1099" s="11"/>
      <c r="X1099" s="11"/>
      <c r="Y1099" s="11"/>
      <c r="Z1099" s="11"/>
    </row>
    <row r="1100" customHeight="1" spans="1:26">
      <c r="A1100" s="11" t="str">
        <f>IFERROR(__xludf.DUMMYFUNCTION("""COMPUTED_VALUE"""),"EMMANUELA PRISCILA DE L VIEIRA")</f>
        <v>EMMANUELA PRISCILA DE L VIEIRA</v>
      </c>
      <c r="B1100" s="11"/>
      <c r="C1100" s="11"/>
      <c r="D1100" s="11" t="str">
        <f>IFERROR(__xludf.DUMMYFUNCTION("""COMPUTED_VALUE"""),"ENFERMEIRO 30H - PLANTONISTA")</f>
        <v>ENFERMEIRO 30H - PLANTONISTA</v>
      </c>
      <c r="E1100" s="11"/>
      <c r="F1100" s="11" t="str">
        <f>IFERROR(__xludf.DUMMYFUNCTION("""COMPUTED_VALUE"""),"US_170 CAPS DR GALDINO LORETO")</f>
        <v>US_170 CAPS DR GALDINO LORETO</v>
      </c>
      <c r="G1100" s="11" t="str">
        <f>IFERROR(__xludf.DUMMYFUNCTION("""COMPUTED_VALUE"""),"US_170 CAPS DR GALDINO LORETO")</f>
        <v>US_170 CAPS DR GALDINO LORETO</v>
      </c>
      <c r="H1100" s="11"/>
      <c r="I1100" s="11"/>
      <c r="J1100" s="11"/>
      <c r="K1100" s="11"/>
      <c r="L1100" s="11"/>
      <c r="M1100" s="11"/>
      <c r="N1100" s="11"/>
      <c r="O1100" s="11">
        <f>IFERROR(__xludf.DUMMYFUNCTION("""COMPUTED_VALUE"""),5183252459)</f>
        <v>5183252459</v>
      </c>
      <c r="P1100" s="11"/>
      <c r="Q1100" s="11"/>
      <c r="R1100" s="11"/>
      <c r="S1100" s="11"/>
      <c r="T1100" s="11"/>
      <c r="U1100" s="11"/>
      <c r="V1100" s="11"/>
      <c r="W1100" s="11"/>
      <c r="X1100" s="11"/>
      <c r="Y1100" s="11"/>
      <c r="Z1100" s="11"/>
    </row>
    <row r="1101" customHeight="1" spans="1:26">
      <c r="A1101" s="11" t="str">
        <f>IFERROR(__xludf.DUMMYFUNCTION("""COMPUTED_VALUE"""),"EMANUELLE NATTACYA DA C SILVA")</f>
        <v>EMANUELLE NATTACYA DA C SILVA</v>
      </c>
      <c r="B1101" s="11"/>
      <c r="C1101" s="11"/>
      <c r="D1101" s="11" t="str">
        <f>IFERROR(__xludf.DUMMYFUNCTION("""COMPUTED_VALUE"""),"ENFERMEIRO 30H - DIARISTA")</f>
        <v>ENFERMEIRO 30H - DIARISTA</v>
      </c>
      <c r="E1101" s="11"/>
      <c r="F1101" s="11" t="str">
        <f>IFERROR(__xludf.DUMMYFUNCTION("""COMPUTED_VALUE"""),"US_343 CAPS CEMPI CENTRO MEDICO PSICO PEDAGOGICO INFANTIL")</f>
        <v>US_343 CAPS CEMPI CENTRO MEDICO PSICO PEDAGOGICO INFANTIL</v>
      </c>
      <c r="G1101" s="11" t="str">
        <f>IFERROR(__xludf.DUMMYFUNCTION("""COMPUTED_VALUE"""),"US_343 CAPS CEMPI CENTRO MEDICO PSICO PEDAGOGICO INFANTIL")</f>
        <v>US_343 CAPS CEMPI CENTRO MEDICO PSICO PEDAGOGICO INFANTIL</v>
      </c>
      <c r="H1101" s="11"/>
      <c r="I1101" s="11"/>
      <c r="J1101" s="11"/>
      <c r="K1101" s="11"/>
      <c r="L1101" s="11"/>
      <c r="M1101" s="11"/>
      <c r="N1101" s="11"/>
      <c r="O1101" s="11">
        <f>IFERROR(__xludf.DUMMYFUNCTION("""COMPUTED_VALUE"""),9015975469)</f>
        <v>9015975469</v>
      </c>
      <c r="P1101" s="11"/>
      <c r="Q1101" s="11"/>
      <c r="R1101" s="11"/>
      <c r="S1101" s="11"/>
      <c r="T1101" s="11"/>
      <c r="U1101" s="11"/>
      <c r="V1101" s="11"/>
      <c r="W1101" s="11"/>
      <c r="X1101" s="11"/>
      <c r="Y1101" s="11"/>
      <c r="Z1101" s="11"/>
    </row>
    <row r="1102" customHeight="1" spans="1:26">
      <c r="A1102" s="11" t="str">
        <f>IFERROR(__xludf.DUMMYFUNCTION("""COMPUTED_VALUE"""),"KARINA SOTERO DE ARAUJO LIMA")</f>
        <v>KARINA SOTERO DE ARAUJO LIMA</v>
      </c>
      <c r="B1102" s="11"/>
      <c r="C1102" s="11"/>
      <c r="D1102" s="11" t="str">
        <f>IFERROR(__xludf.DUMMYFUNCTION("""COMPUTED_VALUE"""),"ENFERMEIRO 30H - PLANTONISTA")</f>
        <v>ENFERMEIRO 30H - PLANTONISTA</v>
      </c>
      <c r="E1102" s="11"/>
      <c r="F1102" s="11" t="str">
        <f>IFERROR(__xludf.DUMMYFUNCTION("""COMPUTED_VALUE"""),"US_304 CAPS DAVID CAPISTRANO")</f>
        <v>US_304 CAPS DAVID CAPISTRANO</v>
      </c>
      <c r="G1102" s="11" t="str">
        <f>IFERROR(__xludf.DUMMYFUNCTION("""COMPUTED_VALUE"""),"US_304 CAPS DAVID CAPISTRANO")</f>
        <v>US_304 CAPS DAVID CAPISTRANO</v>
      </c>
      <c r="H1102" s="11"/>
      <c r="I1102" s="11"/>
      <c r="J1102" s="11"/>
      <c r="K1102" s="11"/>
      <c r="L1102" s="11"/>
      <c r="M1102" s="11"/>
      <c r="N1102" s="11"/>
      <c r="O1102" s="11">
        <f>IFERROR(__xludf.DUMMYFUNCTION("""COMPUTED_VALUE"""),9365712416)</f>
        <v>9365712416</v>
      </c>
      <c r="P1102" s="11"/>
      <c r="Q1102" s="11"/>
      <c r="R1102" s="11"/>
      <c r="S1102" s="11"/>
      <c r="T1102" s="11"/>
      <c r="U1102" s="11"/>
      <c r="V1102" s="11"/>
      <c r="W1102" s="11"/>
      <c r="X1102" s="11"/>
      <c r="Y1102" s="11"/>
      <c r="Z1102" s="11"/>
    </row>
    <row r="1103" customHeight="1" spans="1:26">
      <c r="A1103" s="11" t="str">
        <f>IFERROR(__xludf.DUMMYFUNCTION("""COMPUTED_VALUE"""),"ROBERIA MANDU DA S SIQUEIRA")</f>
        <v>ROBERIA MANDU DA S SIQUEIRA</v>
      </c>
      <c r="B1103" s="11"/>
      <c r="C1103" s="11"/>
      <c r="D1103" s="11" t="str">
        <f>IFERROR(__xludf.DUMMYFUNCTION("""COMPUTED_VALUE"""),"ENFERMEIRO 30H - PLANTONISTA")</f>
        <v>ENFERMEIRO 30H - PLANTONISTA</v>
      </c>
      <c r="E1103" s="11"/>
      <c r="F1103" s="11" t="str">
        <f>IFERROR(__xludf.DUMMYFUNCTION("""COMPUTED_VALUE"""),"US_318 CAPS CPTRA CENTRO DE PREV TRAT E REAB DE ALCOOLISMO")</f>
        <v>US_318 CAPS CPTRA CENTRO DE PREV TRAT E REAB DE ALCOOLISMO</v>
      </c>
      <c r="G1103" s="11" t="str">
        <f>IFERROR(__xludf.DUMMYFUNCTION("""COMPUTED_VALUE"""),"US_318 CAPS CPTRA CENTRO DE PREV TRAT E REAB DE ALCOOLISMO")</f>
        <v>US_318 CAPS CPTRA CENTRO DE PREV TRAT E REAB DE ALCOOLISMO</v>
      </c>
      <c r="H1103" s="11"/>
      <c r="I1103" s="11"/>
      <c r="J1103" s="11"/>
      <c r="K1103" s="11"/>
      <c r="L1103" s="11"/>
      <c r="M1103" s="11"/>
      <c r="N1103" s="11"/>
      <c r="O1103" s="11">
        <f>IFERROR(__xludf.DUMMYFUNCTION("""COMPUTED_VALUE"""),4630380108)</f>
        <v>4630380108</v>
      </c>
      <c r="P1103" s="11"/>
      <c r="Q1103" s="11"/>
      <c r="R1103" s="11"/>
      <c r="S1103" s="11"/>
      <c r="T1103" s="11"/>
      <c r="U1103" s="11"/>
      <c r="V1103" s="11"/>
      <c r="W1103" s="11"/>
      <c r="X1103" s="11"/>
      <c r="Y1103" s="11"/>
      <c r="Z1103" s="11"/>
    </row>
    <row r="1104" customHeight="1" spans="1:26">
      <c r="A1104" s="11" t="str">
        <f>IFERROR(__xludf.DUMMYFUNCTION("""COMPUTED_VALUE"""),"MARILIA GABRIELLE SANTOS NUNES")</f>
        <v>MARILIA GABRIELLE SANTOS NUNES</v>
      </c>
      <c r="B1104" s="11"/>
      <c r="C1104" s="11"/>
      <c r="D1104" s="11" t="str">
        <f>IFERROR(__xludf.DUMMYFUNCTION("""COMPUTED_VALUE"""),"ENFERMEIRO 30H - PLANTONISTA")</f>
        <v>ENFERMEIRO 30H - PLANTONISTA</v>
      </c>
      <c r="E1104" s="11"/>
      <c r="F1104" s="11" t="str">
        <f>IFERROR(__xludf.DUMMYFUNCTION("""COMPUTED_VALUE"""),"US_306 CAPS AD PROF LUIZ CERQUEIRA")</f>
        <v>US_306 CAPS AD PROF LUIZ CERQUEIRA</v>
      </c>
      <c r="G1104" s="11" t="str">
        <f>IFERROR(__xludf.DUMMYFUNCTION("""COMPUTED_VALUE"""),"US_306 CAPS AD PROF LUIZ CERQUEIRA")</f>
        <v>US_306 CAPS AD PROF LUIZ CERQUEIRA</v>
      </c>
      <c r="H1104" s="11"/>
      <c r="I1104" s="11"/>
      <c r="J1104" s="11"/>
      <c r="K1104" s="11"/>
      <c r="L1104" s="11"/>
      <c r="M1104" s="11"/>
      <c r="N1104" s="11"/>
      <c r="O1104" s="11">
        <f>IFERROR(__xludf.DUMMYFUNCTION("""COMPUTED_VALUE"""),7692249466)</f>
        <v>7692249466</v>
      </c>
      <c r="P1104" s="11"/>
      <c r="Q1104" s="11"/>
      <c r="R1104" s="11"/>
      <c r="S1104" s="11"/>
      <c r="T1104" s="11"/>
      <c r="U1104" s="11"/>
      <c r="V1104" s="11"/>
      <c r="W1104" s="11"/>
      <c r="X1104" s="11"/>
      <c r="Y1104" s="11"/>
      <c r="Z1104" s="11"/>
    </row>
    <row r="1105" customHeight="1" spans="1:26">
      <c r="A1105" s="11" t="str">
        <f>IFERROR(__xludf.DUMMYFUNCTION("""COMPUTED_VALUE"""),"GABRIELLE PESSOA DA SILVA")</f>
        <v>GABRIELLE PESSOA DA SILVA</v>
      </c>
      <c r="B1105" s="11"/>
      <c r="C1105" s="11"/>
      <c r="D1105" s="11" t="str">
        <f>IFERROR(__xludf.DUMMYFUNCTION("""COMPUTED_VALUE"""),"ENFERMEIRO 30H - PLANTONISTA")</f>
        <v>ENFERMEIRO 30H - PLANTONISTA</v>
      </c>
      <c r="E1105" s="11"/>
      <c r="F1105" s="11" t="str">
        <f>IFERROR(__xludf.DUMMYFUNCTION("""COMPUTED_VALUE"""),"US_304 CAPS DAVID CAPISTRANO")</f>
        <v>US_304 CAPS DAVID CAPISTRANO</v>
      </c>
      <c r="G1105" s="11" t="str">
        <f>IFERROR(__xludf.DUMMYFUNCTION("""COMPUTED_VALUE"""),"US_304 CAPS DAVID CAPISTRANO")</f>
        <v>US_304 CAPS DAVID CAPISTRANO</v>
      </c>
      <c r="H1105" s="27">
        <f>IFERROR(__xludf.DUMMYFUNCTION("""COMPUTED_VALUE"""),81988547455)</f>
        <v>81988547455</v>
      </c>
      <c r="I1105" s="11"/>
      <c r="J1105" s="11"/>
      <c r="K1105" s="24">
        <f>IFERROR(__xludf.DUMMYFUNCTION("""COMPUTED_VALUE"""),45359)</f>
        <v>45359</v>
      </c>
      <c r="L1105" s="11"/>
      <c r="M1105" s="11"/>
      <c r="N1105" s="11"/>
      <c r="O1105" s="11">
        <f>IFERROR(__xludf.DUMMYFUNCTION("""COMPUTED_VALUE"""),1427111448)</f>
        <v>1427111448</v>
      </c>
      <c r="P1105" s="11"/>
      <c r="Q1105" s="11"/>
      <c r="R1105" s="11"/>
      <c r="S1105" s="11"/>
      <c r="T1105" s="11"/>
      <c r="U1105" s="11"/>
      <c r="V1105" s="11"/>
      <c r="W1105" s="11"/>
      <c r="X1105" s="11"/>
      <c r="Y1105" s="11"/>
      <c r="Z1105" s="11"/>
    </row>
    <row r="1106" customHeight="1" spans="1:26">
      <c r="A1106" s="11" t="str">
        <f>IFERROR(__xludf.DUMMYFUNCTION("""COMPUTED_VALUE"""),"MONIQUE OLIVEIRA DO NASCIMENTO")</f>
        <v>MONIQUE OLIVEIRA DO NASCIMENTO</v>
      </c>
      <c r="B1106" s="11"/>
      <c r="C1106" s="11"/>
      <c r="D1106" s="11" t="str">
        <f>IFERROR(__xludf.DUMMYFUNCTION("""COMPUTED_VALUE"""),"ENFERMEIRO 30H - DIARISTA")</f>
        <v>ENFERMEIRO 30H - DIARISTA</v>
      </c>
      <c r="E1106" s="11"/>
      <c r="F1106" s="11" t="str">
        <f>IFERROR(__xludf.DUMMYFUNCTION("""COMPUTED_VALUE"""),"US_253 CAPS ESPACO VIDA")</f>
        <v>US_253 CAPS ESPACO VIDA</v>
      </c>
      <c r="G1106" s="11" t="str">
        <f>IFERROR(__xludf.DUMMYFUNCTION("""COMPUTED_VALUE"""),"US_253 CAPS ESPACO VIDA")</f>
        <v>US_253 CAPS ESPACO VIDA</v>
      </c>
      <c r="H1106" s="11"/>
      <c r="I1106" s="11"/>
      <c r="J1106" s="11"/>
      <c r="K1106" s="11"/>
      <c r="L1106" s="11"/>
      <c r="M1106" s="11"/>
      <c r="N1106" s="11"/>
      <c r="O1106" s="11">
        <f>IFERROR(__xludf.DUMMYFUNCTION("""COMPUTED_VALUE"""),8681290460)</f>
        <v>8681290460</v>
      </c>
      <c r="P1106" s="11"/>
      <c r="Q1106" s="11"/>
      <c r="R1106" s="11"/>
      <c r="S1106" s="11"/>
      <c r="T1106" s="11"/>
      <c r="U1106" s="11"/>
      <c r="V1106" s="11"/>
      <c r="W1106" s="11"/>
      <c r="X1106" s="11"/>
      <c r="Y1106" s="11"/>
      <c r="Z1106" s="11"/>
    </row>
    <row r="1107" customHeight="1" spans="1:26">
      <c r="A1107" s="11" t="str">
        <f>IFERROR(__xludf.DUMMYFUNCTION("""COMPUTED_VALUE"""),"MICHELLE INGRID C DA SILVA")</f>
        <v>MICHELLE INGRID C DA SILVA</v>
      </c>
      <c r="B1107" s="11"/>
      <c r="C1107" s="11"/>
      <c r="D1107" s="11" t="str">
        <f>IFERROR(__xludf.DUMMYFUNCTION("""COMPUTED_VALUE"""),"ENFERMEIRO 30H - PLANTONISTA")</f>
        <v>ENFERMEIRO 30H - PLANTONISTA</v>
      </c>
      <c r="E1107" s="11"/>
      <c r="F1107" s="11" t="str">
        <f>IFERROR(__xludf.DUMMYFUNCTION("""COMPUTED_VALUE"""),"US_306 CAPS AD PROF LUIZ CERQUEIRA")</f>
        <v>US_306 CAPS AD PROF LUIZ CERQUEIRA</v>
      </c>
      <c r="G1107" s="11" t="str">
        <f>IFERROR(__xludf.DUMMYFUNCTION("""COMPUTED_VALUE"""),"US_306 CAPS AD PROF LUIZ CERQUEIRA")</f>
        <v>US_306 CAPS AD PROF LUIZ CERQUEIRA</v>
      </c>
      <c r="H1107" s="11"/>
      <c r="I1107" s="11"/>
      <c r="J1107" s="11"/>
      <c r="K1107" s="11"/>
      <c r="L1107" s="11"/>
      <c r="M1107" s="11"/>
      <c r="N1107" s="11"/>
      <c r="O1107" s="11">
        <f>IFERROR(__xludf.DUMMYFUNCTION("""COMPUTED_VALUE"""),9764326412)</f>
        <v>9764326412</v>
      </c>
      <c r="P1107" s="11"/>
      <c r="Q1107" s="11"/>
      <c r="R1107" s="11"/>
      <c r="S1107" s="11"/>
      <c r="T1107" s="11"/>
      <c r="U1107" s="11"/>
      <c r="V1107" s="11"/>
      <c r="W1107" s="11"/>
      <c r="X1107" s="11"/>
      <c r="Y1107" s="11"/>
      <c r="Z1107" s="11"/>
    </row>
    <row r="1108" customHeight="1" spans="1:26">
      <c r="A1108" s="11" t="str">
        <f>IFERROR(__xludf.DUMMYFUNCTION("""COMPUTED_VALUE"""),"POLIANA G B DE SA SIQUEIRA")</f>
        <v>POLIANA G B DE SA SIQUEIRA</v>
      </c>
      <c r="B1108" s="11"/>
      <c r="C1108" s="11"/>
      <c r="D1108" s="11" t="str">
        <f>IFERROR(__xludf.DUMMYFUNCTION("""COMPUTED_VALUE"""),"ENFERMEIRO 30H - PLANTONISTA")</f>
        <v>ENFERMEIRO 30H - PLANTONISTA</v>
      </c>
      <c r="E1108" s="11"/>
      <c r="F1108" s="11" t="str">
        <f>IFERROR(__xludf.DUMMYFUNCTION("""COMPUTED_VALUE"""),"US_306 CAPS AD PROF LUIZ CERQUEIRA")</f>
        <v>US_306 CAPS AD PROF LUIZ CERQUEIRA</v>
      </c>
      <c r="G1108" s="11" t="str">
        <f>IFERROR(__xludf.DUMMYFUNCTION("""COMPUTED_VALUE"""),"US_306 CAPS AD PROF LUIZ CERQUEIRA")</f>
        <v>US_306 CAPS AD PROF LUIZ CERQUEIRA</v>
      </c>
      <c r="H1108" s="11"/>
      <c r="I1108" s="11"/>
      <c r="J1108" s="11"/>
      <c r="K1108" s="11"/>
      <c r="L1108" s="11"/>
      <c r="M1108" s="11"/>
      <c r="N1108" s="11"/>
      <c r="O1108" s="11">
        <f>IFERROR(__xludf.DUMMYFUNCTION("""COMPUTED_VALUE"""),1408182432)</f>
        <v>1408182432</v>
      </c>
      <c r="P1108" s="11"/>
      <c r="Q1108" s="11"/>
      <c r="R1108" s="11"/>
      <c r="S1108" s="11"/>
      <c r="T1108" s="11"/>
      <c r="U1108" s="11"/>
      <c r="V1108" s="11"/>
      <c r="W1108" s="11"/>
      <c r="X1108" s="11"/>
      <c r="Y1108" s="11"/>
      <c r="Z1108" s="11"/>
    </row>
    <row r="1109" customHeight="1" spans="1:26">
      <c r="A1109" s="11" t="str">
        <f>IFERROR(__xludf.DUMMYFUNCTION("""COMPUTED_VALUE"""),"VANESSA FARIAS DE O BIANCHI")</f>
        <v>VANESSA FARIAS DE O BIANCHI</v>
      </c>
      <c r="B1109" s="11"/>
      <c r="C1109" s="11"/>
      <c r="D1109" s="11" t="str">
        <f>IFERROR(__xludf.DUMMYFUNCTION("""COMPUTED_VALUE"""),"ENFERMEIRO 30H - PLANTONISTA")</f>
        <v>ENFERMEIRO 30H - PLANTONISTA</v>
      </c>
      <c r="E1109" s="11"/>
      <c r="F1109" s="11" t="str">
        <f>IFERROR(__xludf.DUMMYFUNCTION("""COMPUTED_VALUE"""),"US_318 CAPS CPTRA CENTRO DE PREV TRAT E REAB DE ALCOOLISMO")</f>
        <v>US_318 CAPS CPTRA CENTRO DE PREV TRAT E REAB DE ALCOOLISMO</v>
      </c>
      <c r="G1109" s="11" t="str">
        <f>IFERROR(__xludf.DUMMYFUNCTION("""COMPUTED_VALUE"""),"US_318 CAPS CPTRA CENTRO DE PREV TRAT E REAB DE ALCOOLISMO")</f>
        <v>US_318 CAPS CPTRA CENTRO DE PREV TRAT E REAB DE ALCOOLISMO</v>
      </c>
      <c r="H1109" s="11"/>
      <c r="I1109" s="11"/>
      <c r="J1109" s="11"/>
      <c r="K1109" s="11"/>
      <c r="L1109" s="11"/>
      <c r="M1109" s="11"/>
      <c r="N1109" s="11"/>
      <c r="O1109" s="11">
        <f>IFERROR(__xludf.DUMMYFUNCTION("""COMPUTED_VALUE"""),1316468429)</f>
        <v>1316468429</v>
      </c>
      <c r="P1109" s="11"/>
      <c r="Q1109" s="11"/>
      <c r="R1109" s="11"/>
      <c r="S1109" s="11"/>
      <c r="T1109" s="11"/>
      <c r="U1109" s="11"/>
      <c r="V1109" s="11"/>
      <c r="W1109" s="11"/>
      <c r="X1109" s="11"/>
      <c r="Y1109" s="11"/>
      <c r="Z1109" s="11"/>
    </row>
    <row r="1110" customHeight="1" spans="1:26">
      <c r="A1110" s="11" t="str">
        <f>IFERROR(__xludf.DUMMYFUNCTION("""COMPUTED_VALUE"""),"ALCIONE DE ANDRADE LIMA")</f>
        <v>ALCIONE DE ANDRADE LIMA</v>
      </c>
      <c r="B1110" s="11"/>
      <c r="C1110" s="11"/>
      <c r="D1110" s="11" t="str">
        <f>IFERROR(__xludf.DUMMYFUNCTION("""COMPUTED_VALUE"""),"ENFERMEIRO 30H - PLANTONISTA")</f>
        <v>ENFERMEIRO 30H - PLANTONISTA</v>
      </c>
      <c r="E1110" s="11"/>
      <c r="F1110" s="11" t="str">
        <f>IFERROR(__xludf.DUMMYFUNCTION("""COMPUTED_VALUE"""),"US_306 CAPS AD PROF LUIZ CERQUEIRA")</f>
        <v>US_306 CAPS AD PROF LUIZ CERQUEIRA</v>
      </c>
      <c r="G1110" s="11" t="str">
        <f>IFERROR(__xludf.DUMMYFUNCTION("""COMPUTED_VALUE"""),"US_306 CAPS AD PROF LUIZ CERQUEIRA")</f>
        <v>US_306 CAPS AD PROF LUIZ CERQUEIRA</v>
      </c>
      <c r="H1110" s="11"/>
      <c r="I1110" s="11"/>
      <c r="J1110" s="11"/>
      <c r="K1110" s="11"/>
      <c r="L1110" s="11"/>
      <c r="M1110" s="11"/>
      <c r="N1110" s="11"/>
      <c r="O1110" s="11">
        <f>IFERROR(__xludf.DUMMYFUNCTION("""COMPUTED_VALUE"""),6204679406)</f>
        <v>6204679406</v>
      </c>
      <c r="P1110" s="11"/>
      <c r="Q1110" s="11"/>
      <c r="R1110" s="11"/>
      <c r="S1110" s="11"/>
      <c r="T1110" s="11"/>
      <c r="U1110" s="11"/>
      <c r="V1110" s="11"/>
      <c r="W1110" s="11"/>
      <c r="X1110" s="11"/>
      <c r="Y1110" s="11"/>
      <c r="Z1110" s="11"/>
    </row>
    <row r="1111" customHeight="1" spans="1:26">
      <c r="A1111" s="11" t="str">
        <f>IFERROR(__xludf.DUMMYFUNCTION("""COMPUTED_VALUE"""),"IARA FARIAS SANTANA")</f>
        <v>IARA FARIAS SANTANA</v>
      </c>
      <c r="B1111" s="11"/>
      <c r="C1111" s="11"/>
      <c r="D1111" s="11" t="str">
        <f>IFERROR(__xludf.DUMMYFUNCTION("""COMPUTED_VALUE"""),"ENFERMEIRO 30H - PLANTONISTA")</f>
        <v>ENFERMEIRO 30H - PLANTONISTA</v>
      </c>
      <c r="E1111" s="11"/>
      <c r="F1111" s="11" t="str">
        <f>IFERROR(__xludf.DUMMYFUNCTION("""COMPUTED_VALUE"""),"US_263 CAPS JOSE CARLOS SOUTO")</f>
        <v>US_263 CAPS JOSE CARLOS SOUTO</v>
      </c>
      <c r="G1111" s="11" t="str">
        <f>IFERROR(__xludf.DUMMYFUNCTION("""COMPUTED_VALUE"""),"US_263 CAPS JOSE CARLOS SOUTO")</f>
        <v>US_263 CAPS JOSE CARLOS SOUTO</v>
      </c>
      <c r="H1111" s="11"/>
      <c r="I1111" s="11"/>
      <c r="J1111" s="11"/>
      <c r="K1111" s="11"/>
      <c r="L1111" s="11"/>
      <c r="M1111" s="11"/>
      <c r="N1111" s="11"/>
      <c r="O1111" s="11">
        <f>IFERROR(__xludf.DUMMYFUNCTION("""COMPUTED_VALUE"""),1692846388)</f>
        <v>1692846388</v>
      </c>
      <c r="P1111" s="11"/>
      <c r="Q1111" s="11"/>
      <c r="R1111" s="11"/>
      <c r="S1111" s="11"/>
      <c r="T1111" s="11"/>
      <c r="U1111" s="11"/>
      <c r="V1111" s="11"/>
      <c r="W1111" s="11"/>
      <c r="X1111" s="11"/>
      <c r="Y1111" s="11"/>
      <c r="Z1111" s="11"/>
    </row>
    <row r="1112" customHeight="1" spans="1:26">
      <c r="A1112" s="11" t="str">
        <f>IFERROR(__xludf.DUMMYFUNCTION("""COMPUTED_VALUE"""),"DANIEL SANTANA DO N JUNIOR")</f>
        <v>DANIEL SANTANA DO N JUNIOR</v>
      </c>
      <c r="B1112" s="11"/>
      <c r="C1112" s="11"/>
      <c r="D1112" s="11" t="str">
        <f>IFERROR(__xludf.DUMMYFUNCTION("""COMPUTED_VALUE"""),"ENFERMEIRO 30H - PLANTONISTA")</f>
        <v>ENFERMEIRO 30H - PLANTONISTA</v>
      </c>
      <c r="E1112" s="11"/>
      <c r="F1112" s="11" t="str">
        <f>IFERROR(__xludf.DUMMYFUNCTION("""COMPUTED_VALUE"""),"US_306 CAPS AD PROF LUIZ CERQUEIRA")</f>
        <v>US_306 CAPS AD PROF LUIZ CERQUEIRA</v>
      </c>
      <c r="G1112" s="11" t="str">
        <f>IFERROR(__xludf.DUMMYFUNCTION("""COMPUTED_VALUE"""),"US_306 CAPS AD PROF LUIZ CERQUEIRA")</f>
        <v>US_306 CAPS AD PROF LUIZ CERQUEIRA</v>
      </c>
      <c r="H1112" s="11"/>
      <c r="I1112" s="11"/>
      <c r="J1112" s="11"/>
      <c r="K1112" s="11"/>
      <c r="L1112" s="11"/>
      <c r="M1112" s="11"/>
      <c r="N1112" s="11"/>
      <c r="O1112" s="11">
        <f>IFERROR(__xludf.DUMMYFUNCTION("""COMPUTED_VALUE"""),61880116391)</f>
        <v>61880116391</v>
      </c>
      <c r="P1112" s="11"/>
      <c r="Q1112" s="11"/>
      <c r="R1112" s="11"/>
      <c r="S1112" s="11"/>
      <c r="T1112" s="11"/>
      <c r="U1112" s="11"/>
      <c r="V1112" s="11"/>
      <c r="W1112" s="11"/>
      <c r="X1112" s="11"/>
      <c r="Y1112" s="11"/>
      <c r="Z1112" s="11"/>
    </row>
    <row r="1113" customHeight="1" spans="1:26">
      <c r="A1113" s="11" t="str">
        <f>IFERROR(__xludf.DUMMYFUNCTION("""COMPUTED_VALUE"""),"CINTIA PRISCILA DA S FERREIRA")</f>
        <v>CINTIA PRISCILA DA S FERREIRA</v>
      </c>
      <c r="B1113" s="11"/>
      <c r="C1113" s="11"/>
      <c r="D1113" s="11" t="str">
        <f>IFERROR(__xludf.DUMMYFUNCTION("""COMPUTED_VALUE"""),"ENFERMEIRO 30H - PLANTONISTA")</f>
        <v>ENFERMEIRO 30H - PLANTONISTA</v>
      </c>
      <c r="E1113" s="11"/>
      <c r="F1113" s="11" t="str">
        <f>IFERROR(__xludf.DUMMYFUNCTION("""COMPUTED_VALUE"""),"US_318 CAPS CPTRA CENTRO DE PREV TRAT E REAB DE ALCOOLISMO")</f>
        <v>US_318 CAPS CPTRA CENTRO DE PREV TRAT E REAB DE ALCOOLISMO</v>
      </c>
      <c r="G1113" s="11" t="str">
        <f>IFERROR(__xludf.DUMMYFUNCTION("""COMPUTED_VALUE"""),"US_318 CAPS CPTRA CENTRO DE PREV TRAT E REAB DE ALCOOLISMO")</f>
        <v>US_318 CAPS CPTRA CENTRO DE PREV TRAT E REAB DE ALCOOLISMO</v>
      </c>
      <c r="H1113" s="11"/>
      <c r="I1113" s="11"/>
      <c r="J1113" s="11"/>
      <c r="K1113" s="11"/>
      <c r="L1113" s="11"/>
      <c r="M1113" s="11"/>
      <c r="N1113" s="11"/>
      <c r="O1113" s="11">
        <f>IFERROR(__xludf.DUMMYFUNCTION("""COMPUTED_VALUE"""),6396738481)</f>
        <v>6396738481</v>
      </c>
      <c r="P1113" s="11"/>
      <c r="Q1113" s="11"/>
      <c r="R1113" s="11"/>
      <c r="S1113" s="11"/>
      <c r="T1113" s="11"/>
      <c r="U1113" s="11"/>
      <c r="V1113" s="11"/>
      <c r="W1113" s="11"/>
      <c r="X1113" s="11"/>
      <c r="Y1113" s="11"/>
      <c r="Z1113" s="11"/>
    </row>
    <row r="1114" customHeight="1" spans="1:26">
      <c r="A1114" s="11" t="str">
        <f>IFERROR(__xludf.DUMMYFUNCTION("""COMPUTED_VALUE"""),"ANDELLYHOSE C LIMA DOS SANTOS")</f>
        <v>ANDELLYHOSE C LIMA DOS SANTOS</v>
      </c>
      <c r="B1114" s="11"/>
      <c r="C1114" s="11"/>
      <c r="D1114" s="11" t="str">
        <f>IFERROR(__xludf.DUMMYFUNCTION("""COMPUTED_VALUE"""),"ENFERMEIRO 30H - PLANTONISTA")</f>
        <v>ENFERMEIRO 30H - PLANTONISTA</v>
      </c>
      <c r="E1114" s="11"/>
      <c r="F1114" s="11" t="str">
        <f>IFERROR(__xludf.DUMMYFUNCTION("""COMPUTED_VALUE"""),"US_330 CAPS ESPACO LIVREMENTE")</f>
        <v>US_330 CAPS ESPACO LIVREMENTE</v>
      </c>
      <c r="G1114" s="11" t="str">
        <f>IFERROR(__xludf.DUMMYFUNCTION("""COMPUTED_VALUE"""),"US_330 CAPS ESPACO LIVREMENTE")</f>
        <v>US_330 CAPS ESPACO LIVREMENTE</v>
      </c>
      <c r="H1114" s="11"/>
      <c r="I1114" s="11"/>
      <c r="J1114" s="11"/>
      <c r="K1114" s="11"/>
      <c r="L1114" s="11"/>
      <c r="M1114" s="11"/>
      <c r="N1114" s="11"/>
      <c r="O1114" s="11">
        <f>IFERROR(__xludf.DUMMYFUNCTION("""COMPUTED_VALUE"""),8830919411)</f>
        <v>8830919411</v>
      </c>
      <c r="P1114" s="11"/>
      <c r="Q1114" s="11"/>
      <c r="R1114" s="11"/>
      <c r="S1114" s="11"/>
      <c r="T1114" s="11"/>
      <c r="U1114" s="11"/>
      <c r="V1114" s="11"/>
      <c r="W1114" s="11"/>
      <c r="X1114" s="11"/>
      <c r="Y1114" s="11"/>
      <c r="Z1114" s="11"/>
    </row>
    <row r="1115" customHeight="1" spans="1:26">
      <c r="A1115" s="11" t="str">
        <f>IFERROR(__xludf.DUMMYFUNCTION("""COMPUTED_VALUE"""),"RODRIGO CESAR ABREU DE AQUINO")</f>
        <v>RODRIGO CESAR ABREU DE AQUINO</v>
      </c>
      <c r="B1115" s="11"/>
      <c r="C1115" s="11"/>
      <c r="D1115" s="11" t="str">
        <f>IFERROR(__xludf.DUMMYFUNCTION("""COMPUTED_VALUE"""),"ENFERMEIRO 30H - DIARISTA")</f>
        <v>ENFERMEIRO 30H - DIARISTA</v>
      </c>
      <c r="E1115" s="11"/>
      <c r="F1115" s="11" t="str">
        <f>IFERROR(__xludf.DUMMYFUNCTION("""COMPUTED_VALUE"""),"US_306 CAPS AD PROF LUIZ CERQUEIRA")</f>
        <v>US_306 CAPS AD PROF LUIZ CERQUEIRA</v>
      </c>
      <c r="G1115" s="11" t="str">
        <f>IFERROR(__xludf.DUMMYFUNCTION("""COMPUTED_VALUE"""),"US_306 CAPS AD PROF LUIZ CERQUEIRA")</f>
        <v>US_306 CAPS AD PROF LUIZ CERQUEIRA</v>
      </c>
      <c r="H1115" s="11"/>
      <c r="I1115" s="11"/>
      <c r="J1115" s="11"/>
      <c r="K1115" s="11"/>
      <c r="L1115" s="11"/>
      <c r="M1115" s="11"/>
      <c r="N1115" s="11"/>
      <c r="O1115" s="11">
        <f>IFERROR(__xludf.DUMMYFUNCTION("""COMPUTED_VALUE"""),5362275437)</f>
        <v>5362275437</v>
      </c>
      <c r="P1115" s="11"/>
      <c r="Q1115" s="11"/>
      <c r="R1115" s="11"/>
      <c r="S1115" s="11"/>
      <c r="T1115" s="11"/>
      <c r="U1115" s="11"/>
      <c r="V1115" s="11"/>
      <c r="W1115" s="11"/>
      <c r="X1115" s="11"/>
      <c r="Y1115" s="11"/>
      <c r="Z1115" s="11"/>
    </row>
    <row r="1116" customHeight="1" spans="1:26">
      <c r="A1116" s="11" t="str">
        <f>IFERROR(__xludf.DUMMYFUNCTION("""COMPUTED_VALUE"""),"JOANA D ARC C P DE OLIVEIRA")</f>
        <v>JOANA D ARC C P DE OLIVEIRA</v>
      </c>
      <c r="B1116" s="11"/>
      <c r="C1116" s="11"/>
      <c r="D1116" s="11" t="str">
        <f>IFERROR(__xludf.DUMMYFUNCTION("""COMPUTED_VALUE"""),"ENFERMEIRO 30H - DIARISTA")</f>
        <v>ENFERMEIRO 30H - DIARISTA</v>
      </c>
      <c r="E1116" s="11"/>
      <c r="F1116" s="11" t="str">
        <f>IFERROR(__xludf.DUMMYFUNCTION("""COMPUTED_VALUE"""),"US_340 CAPS CLEA LACET")</f>
        <v>US_340 CAPS CLEA LACET</v>
      </c>
      <c r="G1116" s="11" t="str">
        <f>IFERROR(__xludf.DUMMYFUNCTION("""COMPUTED_VALUE"""),"US_340 CAPS CLEA LACET")</f>
        <v>US_340 CAPS CLEA LACET</v>
      </c>
      <c r="H1116" s="11"/>
      <c r="I1116" s="11"/>
      <c r="J1116" s="11"/>
      <c r="K1116" s="11"/>
      <c r="L1116" s="11"/>
      <c r="M1116" s="11"/>
      <c r="N1116" s="11"/>
      <c r="O1116" s="11">
        <f>IFERROR(__xludf.DUMMYFUNCTION("""COMPUTED_VALUE"""),1365387461)</f>
        <v>1365387461</v>
      </c>
      <c r="P1116" s="11"/>
      <c r="Q1116" s="11"/>
      <c r="R1116" s="11"/>
      <c r="S1116" s="11"/>
      <c r="T1116" s="11"/>
      <c r="U1116" s="11"/>
      <c r="V1116" s="11"/>
      <c r="W1116" s="11"/>
      <c r="X1116" s="11"/>
      <c r="Y1116" s="11"/>
      <c r="Z1116" s="11"/>
    </row>
    <row r="1117" customHeight="1" spans="1:26">
      <c r="A1117" s="11" t="str">
        <f>IFERROR(__xludf.DUMMYFUNCTION("""COMPUTED_VALUE"""),"ADENILSE SARMENTO DA SILVA")</f>
        <v>ADENILSE SARMENTO DA SILVA</v>
      </c>
      <c r="B1117" s="11"/>
      <c r="C1117" s="11"/>
      <c r="D1117" s="11" t="str">
        <f>IFERROR(__xludf.DUMMYFUNCTION("""COMPUTED_VALUE"""),"ENFERMEIRO 30H - PLANTONISTA")</f>
        <v>ENFERMEIRO 30H - PLANTONISTA</v>
      </c>
      <c r="E1117" s="11"/>
      <c r="F1117" s="11" t="str">
        <f>IFERROR(__xludf.DUMMYFUNCTION("""COMPUTED_VALUE"""),"US_263 CAPS JOSE CARLOS SOUTO")</f>
        <v>US_263 CAPS JOSE CARLOS SOUTO</v>
      </c>
      <c r="G1117" s="11" t="str">
        <f>IFERROR(__xludf.DUMMYFUNCTION("""COMPUTED_VALUE"""),"US_263 CAPS JOSE CARLOS SOUTO")</f>
        <v>US_263 CAPS JOSE CARLOS SOUTO</v>
      </c>
      <c r="H1117" s="11"/>
      <c r="I1117" s="11"/>
      <c r="J1117" s="11"/>
      <c r="K1117" s="11"/>
      <c r="L1117" s="11"/>
      <c r="M1117" s="11"/>
      <c r="N1117" s="11"/>
      <c r="O1117" s="11">
        <f>IFERROR(__xludf.DUMMYFUNCTION("""COMPUTED_VALUE"""),5484079403)</f>
        <v>5484079403</v>
      </c>
      <c r="P1117" s="11"/>
      <c r="Q1117" s="11"/>
      <c r="R1117" s="11"/>
      <c r="S1117" s="11"/>
      <c r="T1117" s="11"/>
      <c r="U1117" s="11"/>
      <c r="V1117" s="11"/>
      <c r="W1117" s="11"/>
      <c r="X1117" s="11"/>
      <c r="Y1117" s="11"/>
      <c r="Z1117" s="11"/>
    </row>
    <row r="1118" customHeight="1" spans="1:26">
      <c r="A1118" s="11" t="str">
        <f>IFERROR(__xludf.DUMMYFUNCTION("""COMPUTED_VALUE"""),"SHEILA SILVA MAIA")</f>
        <v>SHEILA SILVA MAIA</v>
      </c>
      <c r="B1118" s="11"/>
      <c r="C1118" s="11"/>
      <c r="D1118" s="11" t="str">
        <f>IFERROR(__xludf.DUMMYFUNCTION("""COMPUTED_VALUE"""),"ENFERMEIRO 30H - PLANTONISTA")</f>
        <v>ENFERMEIRO 30H - PLANTONISTA</v>
      </c>
      <c r="E1118" s="11"/>
      <c r="F1118" s="11" t="str">
        <f>IFERROR(__xludf.DUMMYFUNCTION("""COMPUTED_VALUE"""),"US_330 CAPS ESPACO LIVREMENTE")</f>
        <v>US_330 CAPS ESPACO LIVREMENTE</v>
      </c>
      <c r="G1118" s="11" t="str">
        <f>IFERROR(__xludf.DUMMYFUNCTION("""COMPUTED_VALUE"""),"US_330 CAPS ESPACO LIVREMENTE")</f>
        <v>US_330 CAPS ESPACO LIVREMENTE</v>
      </c>
      <c r="H1118" s="11"/>
      <c r="I1118" s="11"/>
      <c r="J1118" s="11"/>
      <c r="K1118" s="11"/>
      <c r="L1118" s="11"/>
      <c r="M1118" s="11"/>
      <c r="N1118" s="11"/>
      <c r="O1118" s="11">
        <f>IFERROR(__xludf.DUMMYFUNCTION("""COMPUTED_VALUE"""),5114932586)</f>
        <v>5114932586</v>
      </c>
      <c r="P1118" s="11"/>
      <c r="Q1118" s="11"/>
      <c r="R1118" s="11"/>
      <c r="S1118" s="11"/>
      <c r="T1118" s="11"/>
      <c r="U1118" s="11"/>
      <c r="V1118" s="11"/>
      <c r="W1118" s="11"/>
      <c r="X1118" s="11"/>
      <c r="Y1118" s="11"/>
      <c r="Z1118" s="11"/>
    </row>
    <row r="1119" customHeight="1" spans="1:26">
      <c r="A1119" s="11" t="str">
        <f>IFERROR(__xludf.DUMMYFUNCTION("""COMPUTED_VALUE"""),"LETICIA ALCOFORADO GOMES")</f>
        <v>LETICIA ALCOFORADO GOMES</v>
      </c>
      <c r="B1119" s="11"/>
      <c r="C1119" s="11"/>
      <c r="D1119" s="11" t="str">
        <f>IFERROR(__xludf.DUMMYFUNCTION("""COMPUTED_VALUE"""),"ENFERMEIRO 30H - PLANTONISTA")</f>
        <v>ENFERMEIRO 30H - PLANTONISTA</v>
      </c>
      <c r="E1119" s="11"/>
      <c r="F1119" s="11" t="str">
        <f>IFERROR(__xludf.DUMMYFUNCTION("""COMPUTED_VALUE"""),"US_263 CAPS JOSE CARLOS SOUTO")</f>
        <v>US_263 CAPS JOSE CARLOS SOUTO</v>
      </c>
      <c r="G1119" s="11" t="str">
        <f>IFERROR(__xludf.DUMMYFUNCTION("""COMPUTED_VALUE"""),"US_263 CAPS JOSE CARLOS SOUTO")</f>
        <v>US_263 CAPS JOSE CARLOS SOUTO</v>
      </c>
      <c r="H1119" s="11"/>
      <c r="I1119" s="11"/>
      <c r="J1119" s="11"/>
      <c r="K1119" s="11"/>
      <c r="L1119" s="11"/>
      <c r="M1119" s="11"/>
      <c r="N1119" s="11"/>
      <c r="O1119" s="11">
        <f>IFERROR(__xludf.DUMMYFUNCTION("""COMPUTED_VALUE"""),9262926413)</f>
        <v>9262926413</v>
      </c>
      <c r="P1119" s="11"/>
      <c r="Q1119" s="11"/>
      <c r="R1119" s="11"/>
      <c r="S1119" s="11"/>
      <c r="T1119" s="11"/>
      <c r="U1119" s="11"/>
      <c r="V1119" s="11"/>
      <c r="W1119" s="11"/>
      <c r="X1119" s="11"/>
      <c r="Y1119" s="11"/>
      <c r="Z1119" s="11"/>
    </row>
    <row r="1120" customHeight="1" spans="1:26">
      <c r="A1120" s="11" t="str">
        <f>IFERROR(__xludf.DUMMYFUNCTION("""COMPUTED_VALUE"""),"LARISSA LIMA RIBEIRO")</f>
        <v>LARISSA LIMA RIBEIRO</v>
      </c>
      <c r="B1120" s="11"/>
      <c r="C1120" s="11"/>
      <c r="D1120" s="11" t="str">
        <f>IFERROR(__xludf.DUMMYFUNCTION("""COMPUTED_VALUE"""),"ENFERMEIRO 30H - PLANTONISTA")</f>
        <v>ENFERMEIRO 30H - PLANTONISTA</v>
      </c>
      <c r="E1120" s="11"/>
      <c r="F1120" s="11" t="str">
        <f>IFERROR(__xludf.DUMMYFUNCTION("""COMPUTED_VALUE"""),"US_318 CAPS CPTRA CENTRO DE PREV TRAT E REAB DE ALCOOLISMO")</f>
        <v>US_318 CAPS CPTRA CENTRO DE PREV TRAT E REAB DE ALCOOLISMO</v>
      </c>
      <c r="G1120" s="11" t="str">
        <f>IFERROR(__xludf.DUMMYFUNCTION("""COMPUTED_VALUE"""),"US_318 CAPS CPTRA CENTRO DE PREV TRAT E REAB DE ALCOOLISMO")</f>
        <v>US_318 CAPS CPTRA CENTRO DE PREV TRAT E REAB DE ALCOOLISMO</v>
      </c>
      <c r="H1120" s="11"/>
      <c r="I1120" s="11"/>
      <c r="J1120" s="11"/>
      <c r="K1120" s="11"/>
      <c r="L1120" s="11"/>
      <c r="M1120" s="11"/>
      <c r="N1120" s="11"/>
      <c r="O1120" s="11">
        <f>IFERROR(__xludf.DUMMYFUNCTION("""COMPUTED_VALUE"""),7576581484)</f>
        <v>7576581484</v>
      </c>
      <c r="P1120" s="11"/>
      <c r="Q1120" s="11"/>
      <c r="R1120" s="11"/>
      <c r="S1120" s="11"/>
      <c r="T1120" s="11"/>
      <c r="U1120" s="11"/>
      <c r="V1120" s="11"/>
      <c r="W1120" s="11"/>
      <c r="X1120" s="11"/>
      <c r="Y1120" s="11"/>
      <c r="Z1120" s="11"/>
    </row>
    <row r="1121" customHeight="1" spans="1:26">
      <c r="A1121" s="11" t="str">
        <f>IFERROR(__xludf.DUMMYFUNCTION("""COMPUTED_VALUE"""),"LAIS CAMPELO DE MORAIS")</f>
        <v>LAIS CAMPELO DE MORAIS</v>
      </c>
      <c r="B1121" s="11"/>
      <c r="C1121" s="11"/>
      <c r="D1121" s="11" t="str">
        <f>IFERROR(__xludf.DUMMYFUNCTION("""COMPUTED_VALUE"""),"ENFERMEIRO 30H - PLANTONISTA")</f>
        <v>ENFERMEIRO 30H - PLANTONISTA</v>
      </c>
      <c r="E1121" s="11"/>
      <c r="F1121" s="11" t="str">
        <f>IFERROR(__xludf.DUMMYFUNCTION("""COMPUTED_VALUE"""),"US_263 CAPS JOSE CARLOS SOUTO")</f>
        <v>US_263 CAPS JOSE CARLOS SOUTO</v>
      </c>
      <c r="G1121" s="11" t="str">
        <f>IFERROR(__xludf.DUMMYFUNCTION("""COMPUTED_VALUE"""),"US_263 CAPS JOSE CARLOS SOUTO")</f>
        <v>US_263 CAPS JOSE CARLOS SOUTO</v>
      </c>
      <c r="H1121" s="11"/>
      <c r="I1121" s="11"/>
      <c r="J1121" s="11"/>
      <c r="K1121" s="11"/>
      <c r="L1121" s="11"/>
      <c r="M1121" s="11"/>
      <c r="N1121" s="11"/>
      <c r="O1121" s="11">
        <f>IFERROR(__xludf.DUMMYFUNCTION("""COMPUTED_VALUE"""),9721248452)</f>
        <v>9721248452</v>
      </c>
      <c r="P1121" s="11"/>
      <c r="Q1121" s="11"/>
      <c r="R1121" s="11"/>
      <c r="S1121" s="11"/>
      <c r="T1121" s="11"/>
      <c r="U1121" s="11"/>
      <c r="V1121" s="11"/>
      <c r="W1121" s="11"/>
      <c r="X1121" s="11"/>
      <c r="Y1121" s="11"/>
      <c r="Z1121" s="11"/>
    </row>
    <row r="1122" customHeight="1" spans="1:26">
      <c r="A1122" s="11" t="str">
        <f>IFERROR(__xludf.DUMMYFUNCTION("""COMPUTED_VALUE"""),"PATRICYA W F S DO NASCIMENTO")</f>
        <v>PATRICYA W F S DO NASCIMENTO</v>
      </c>
      <c r="B1122" s="11"/>
      <c r="C1122" s="11"/>
      <c r="D1122" s="11" t="str">
        <f>IFERROR(__xludf.DUMMYFUNCTION("""COMPUTED_VALUE"""),"ENFERMEIRO 30H - PLANTONISTA")</f>
        <v>ENFERMEIRO 30H - PLANTONISTA</v>
      </c>
      <c r="E1122" s="11"/>
      <c r="F1122" s="11" t="str">
        <f>IFERROR(__xludf.DUMMYFUNCTION("""COMPUTED_VALUE"""),"US_306 CAPS AD PROF LUIZ CERQUEIRA")</f>
        <v>US_306 CAPS AD PROF LUIZ CERQUEIRA</v>
      </c>
      <c r="G1122" s="11" t="str">
        <f>IFERROR(__xludf.DUMMYFUNCTION("""COMPUTED_VALUE"""),"US_306 CAPS AD PROF LUIZ CERQUEIRA")</f>
        <v>US_306 CAPS AD PROF LUIZ CERQUEIRA</v>
      </c>
      <c r="H1122" s="11"/>
      <c r="I1122" s="11"/>
      <c r="J1122" s="11"/>
      <c r="K1122" s="11"/>
      <c r="L1122" s="11"/>
      <c r="M1122" s="11"/>
      <c r="N1122" s="11"/>
      <c r="O1122" s="11">
        <f>IFERROR(__xludf.DUMMYFUNCTION("""COMPUTED_VALUE"""),4905131405)</f>
        <v>4905131405</v>
      </c>
      <c r="P1122" s="11"/>
      <c r="Q1122" s="11"/>
      <c r="R1122" s="11"/>
      <c r="S1122" s="11"/>
      <c r="T1122" s="11"/>
      <c r="U1122" s="11"/>
      <c r="V1122" s="11"/>
      <c r="W1122" s="11"/>
      <c r="X1122" s="11"/>
      <c r="Y1122" s="11"/>
      <c r="Z1122" s="11"/>
    </row>
    <row r="1123" customHeight="1" spans="1:26">
      <c r="A1123" s="11" t="str">
        <f>IFERROR(__xludf.DUMMYFUNCTION("""COMPUTED_VALUE"""),"LILIA NADIR DA SILVA NEVES")</f>
        <v>LILIA NADIR DA SILVA NEVES</v>
      </c>
      <c r="B1123" s="11"/>
      <c r="C1123" s="11"/>
      <c r="D1123" s="11" t="str">
        <f>IFERROR(__xludf.DUMMYFUNCTION("""COMPUTED_VALUE"""),"ENFERMEIRO 30H - DIARISTA")</f>
        <v>ENFERMEIRO 30H - DIARISTA</v>
      </c>
      <c r="E1123" s="11"/>
      <c r="F1123" s="11" t="str">
        <f>IFERROR(__xludf.DUMMYFUNCTION("""COMPUTED_VALUE"""),"US_303 CAPS AD ESPACO TRAVESSIA RENE RIBEIRO")</f>
        <v>US_303 CAPS AD ESPACO TRAVESSIA RENE RIBEIRO</v>
      </c>
      <c r="G1123" s="11" t="str">
        <f>IFERROR(__xludf.DUMMYFUNCTION("""COMPUTED_VALUE"""),"US_303 CAPS AD ESPACO TRAVESSIA RENE RIBEIRO")</f>
        <v>US_303 CAPS AD ESPACO TRAVESSIA RENE RIBEIRO</v>
      </c>
      <c r="H1123" s="11"/>
      <c r="I1123" s="11"/>
      <c r="J1123" s="11"/>
      <c r="K1123" s="11"/>
      <c r="L1123" s="11"/>
      <c r="M1123" s="11"/>
      <c r="N1123" s="11"/>
      <c r="O1123" s="11">
        <f>IFERROR(__xludf.DUMMYFUNCTION("""COMPUTED_VALUE"""),3967231445)</f>
        <v>3967231445</v>
      </c>
      <c r="P1123" s="11"/>
      <c r="Q1123" s="11"/>
      <c r="R1123" s="11"/>
      <c r="S1123" s="11"/>
      <c r="T1123" s="11"/>
      <c r="U1123" s="11"/>
      <c r="V1123" s="11"/>
      <c r="W1123" s="11"/>
      <c r="X1123" s="11"/>
      <c r="Y1123" s="11"/>
      <c r="Z1123" s="11"/>
    </row>
    <row r="1124" customHeight="1" spans="1:26">
      <c r="A1124" s="11" t="str">
        <f>IFERROR(__xludf.DUMMYFUNCTION("""COMPUTED_VALUE"""),"ALEX SANDRA ALEXANDRINA DE ALMEIDA")</f>
        <v>ALEX SANDRA ALEXANDRINA DE ALMEIDA</v>
      </c>
      <c r="B1124" s="11"/>
      <c r="C1124" s="11"/>
      <c r="D1124" s="11" t="str">
        <f>IFERROR(__xludf.DUMMYFUNCTION("""COMPUTED_VALUE"""),"ENFERMEIRO 30H - DIARISTA")</f>
        <v>ENFERMEIRO 30H - DIARISTA</v>
      </c>
      <c r="E1124" s="11"/>
      <c r="F1124" s="11" t="str">
        <f>IFERROR(__xludf.DUMMYFUNCTION("""COMPUTED_VALUE"""),"")</f>
        <v/>
      </c>
      <c r="G1124" s="11" t="str">
        <f>IFERROR(__xludf.DUMMYFUNCTION("""COMPUTED_VALUE"""),"")</f>
        <v/>
      </c>
      <c r="H1124" s="11"/>
      <c r="I1124" s="11"/>
      <c r="J1124" s="11"/>
      <c r="K1124" s="11"/>
      <c r="L1124" s="11"/>
      <c r="M1124" s="11"/>
      <c r="N1124" s="11"/>
      <c r="O1124" s="11"/>
      <c r="P1124" s="11"/>
      <c r="Q1124" s="11"/>
      <c r="R1124" s="11"/>
      <c r="S1124" s="11"/>
      <c r="T1124" s="11"/>
      <c r="U1124" s="11"/>
      <c r="V1124" s="11"/>
      <c r="W1124" s="11"/>
      <c r="X1124" s="11"/>
      <c r="Y1124" s="11"/>
      <c r="Z1124" s="11"/>
    </row>
    <row r="1125" customHeight="1" spans="1:26">
      <c r="A1125" s="11" t="str">
        <f>IFERROR(__xludf.DUMMYFUNCTION("""COMPUTED_VALUE"""),"JOANA DARC CONCEIÇÃO PINHEIRO DE OLIVEIRA")</f>
        <v>JOANA DARC CONCEIÇÃO PINHEIRO DE OLIVEIRA</v>
      </c>
      <c r="B1125" s="11"/>
      <c r="C1125" s="11"/>
      <c r="D1125" s="11" t="str">
        <f>IFERROR(__xludf.DUMMYFUNCTION("""COMPUTED_VALUE"""),"ENFERMEIRO 30H - PLANTONISTA")</f>
        <v>ENFERMEIRO 30H - PLANTONISTA</v>
      </c>
      <c r="E1125" s="11"/>
      <c r="F1125" s="11" t="str">
        <f>IFERROR(__xludf.DUMMYFUNCTION("""COMPUTED_VALUE"""),"")</f>
        <v/>
      </c>
      <c r="G1125" s="11" t="str">
        <f>IFERROR(__xludf.DUMMYFUNCTION("""COMPUTED_VALUE"""),"")</f>
        <v/>
      </c>
      <c r="H1125" s="11"/>
      <c r="I1125" s="11"/>
      <c r="J1125" s="11"/>
      <c r="K1125" s="11"/>
      <c r="L1125" s="11"/>
      <c r="M1125" s="11"/>
      <c r="N1125" s="11"/>
      <c r="O1125" s="11"/>
      <c r="P1125" s="11"/>
      <c r="Q1125" s="11"/>
      <c r="R1125" s="11"/>
      <c r="S1125" s="11"/>
      <c r="T1125" s="11"/>
      <c r="U1125" s="11"/>
      <c r="V1125" s="11"/>
      <c r="W1125" s="11"/>
      <c r="X1125" s="11"/>
      <c r="Y1125" s="11"/>
      <c r="Z1125" s="11"/>
    </row>
    <row r="1126" customHeight="1" spans="1:26">
      <c r="A1126" s="11" t="str">
        <f>IFERROR(__xludf.DUMMYFUNCTION("""COMPUTED_VALUE"""),"VANESKA BRITO FERREIRA")</f>
        <v>VANESKA BRITO FERREIRA</v>
      </c>
      <c r="B1126" s="11"/>
      <c r="C1126" s="11"/>
      <c r="D1126" s="11" t="str">
        <f>IFERROR(__xludf.DUMMYFUNCTION("""COMPUTED_VALUE"""),"ENFERMEIRO 30H - PLANTONISTA")</f>
        <v>ENFERMEIRO 30H - PLANTONISTA</v>
      </c>
      <c r="E1126" s="11"/>
      <c r="F1126" s="11" t="str">
        <f>IFERROR(__xludf.DUMMYFUNCTION("""COMPUTED_VALUE"""),"")</f>
        <v/>
      </c>
      <c r="G1126" s="11" t="str">
        <f>IFERROR(__xludf.DUMMYFUNCTION("""COMPUTED_VALUE"""),"")</f>
        <v/>
      </c>
      <c r="H1126" s="11"/>
      <c r="I1126" s="11"/>
      <c r="J1126" s="11"/>
      <c r="K1126" s="11"/>
      <c r="L1126" s="11"/>
      <c r="M1126" s="11"/>
      <c r="N1126" s="11"/>
      <c r="O1126" s="11"/>
      <c r="P1126" s="11"/>
      <c r="Q1126" s="11"/>
      <c r="R1126" s="11"/>
      <c r="S1126" s="11"/>
      <c r="T1126" s="11"/>
      <c r="U1126" s="11"/>
      <c r="V1126" s="11"/>
      <c r="W1126" s="11"/>
      <c r="X1126" s="11"/>
      <c r="Y1126" s="11"/>
      <c r="Z1126" s="11"/>
    </row>
    <row r="1127" customHeight="1" spans="1:26">
      <c r="A1127" s="11" t="str">
        <f>IFERROR(__xludf.DUMMYFUNCTION("""COMPUTED_VALUE"""),"CYNTIA MOREIRA DE LIMA")</f>
        <v>CYNTIA MOREIRA DE LIMA</v>
      </c>
      <c r="B1127" s="11"/>
      <c r="C1127" s="11"/>
      <c r="D1127" s="11" t="str">
        <f>IFERROR(__xludf.DUMMYFUNCTION("""COMPUTED_VALUE"""),"ENFERMEIRO 30H - DIARISTA")</f>
        <v>ENFERMEIRO 30H - DIARISTA</v>
      </c>
      <c r="E1127" s="11"/>
      <c r="F1127" s="11" t="str">
        <f>IFERROR(__xludf.DUMMYFUNCTION("""COMPUTED_VALUE"""),"")</f>
        <v/>
      </c>
      <c r="G1127" s="11" t="str">
        <f>IFERROR(__xludf.DUMMYFUNCTION("""COMPUTED_VALUE"""),"")</f>
        <v/>
      </c>
      <c r="H1127" s="11"/>
      <c r="I1127" s="11"/>
      <c r="J1127" s="11"/>
      <c r="K1127" s="11"/>
      <c r="L1127" s="11"/>
      <c r="M1127" s="11"/>
      <c r="N1127" s="11"/>
      <c r="O1127" s="11"/>
      <c r="P1127" s="11"/>
      <c r="Q1127" s="11"/>
      <c r="R1127" s="11"/>
      <c r="S1127" s="11"/>
      <c r="T1127" s="11"/>
      <c r="U1127" s="11"/>
      <c r="V1127" s="11"/>
      <c r="W1127" s="11"/>
      <c r="X1127" s="11"/>
      <c r="Y1127" s="11"/>
      <c r="Z1127" s="11"/>
    </row>
    <row r="1128" customHeight="1" spans="1:26">
      <c r="A1128" s="11" t="str">
        <f>IFERROR(__xludf.DUMMYFUNCTION("""COMPUTED_VALUE"""),"DANIELLE SILVA SANTOS")</f>
        <v>DANIELLE SILVA SANTOS</v>
      </c>
      <c r="B1128" s="11"/>
      <c r="C1128" s="11"/>
      <c r="D1128" s="11" t="str">
        <f>IFERROR(__xludf.DUMMYFUNCTION("""COMPUTED_VALUE"""),"ENFERMEIRO 30H - DIARISTA")</f>
        <v>ENFERMEIRO 30H - DIARISTA</v>
      </c>
      <c r="E1128" s="11"/>
      <c r="F1128" s="11" t="str">
        <f>IFERROR(__xludf.DUMMYFUNCTION("""COMPUTED_VALUE"""),"")</f>
        <v/>
      </c>
      <c r="G1128" s="11" t="str">
        <f>IFERROR(__xludf.DUMMYFUNCTION("""COMPUTED_VALUE"""),"")</f>
        <v/>
      </c>
      <c r="H1128" s="11"/>
      <c r="I1128" s="11"/>
      <c r="J1128" s="11"/>
      <c r="K1128" s="11"/>
      <c r="L1128" s="11"/>
      <c r="M1128" s="11"/>
      <c r="N1128" s="11"/>
      <c r="O1128" s="11"/>
      <c r="P1128" s="11"/>
      <c r="Q1128" s="11"/>
      <c r="R1128" s="11"/>
      <c r="S1128" s="11"/>
      <c r="T1128" s="11"/>
      <c r="U1128" s="11"/>
      <c r="V1128" s="11"/>
      <c r="W1128" s="11"/>
      <c r="X1128" s="11"/>
      <c r="Y1128" s="11"/>
      <c r="Z1128" s="11"/>
    </row>
    <row r="1129" customHeight="1" spans="1:26">
      <c r="A1129" s="11" t="str">
        <f>IFERROR(__xludf.DUMMYFUNCTION("""COMPUTED_VALUE"""),"ELIZAMA DE SOUZA OLIVEIRA")</f>
        <v>ELIZAMA DE SOUZA OLIVEIRA</v>
      </c>
      <c r="B1129" s="11"/>
      <c r="C1129" s="11"/>
      <c r="D1129" s="11" t="str">
        <f>IFERROR(__xludf.DUMMYFUNCTION("""COMPUTED_VALUE"""),"ENFERMEIRO 30H - PLANTONISTA")</f>
        <v>ENFERMEIRO 30H - PLANTONISTA</v>
      </c>
      <c r="E1129" s="11"/>
      <c r="F1129" s="11" t="str">
        <f>IFERROR(__xludf.DUMMYFUNCTION("""COMPUTED_VALUE"""),"US_217 CENTRO MEDICO SEN JOSE ERMIRIO DE MORAES")</f>
        <v>US_217 CENTRO MEDICO SEN JOSE ERMIRIO DE MORAES</v>
      </c>
      <c r="G1129" s="11" t="str">
        <f>IFERROR(__xludf.DUMMYFUNCTION("""COMPUTED_VALUE"""),"US_217 CENTRO MEDICO SEN JOSE ERMIRIO DE MORAES")</f>
        <v>US_217 CENTRO MEDICO SEN JOSE ERMIRIO DE MORAES</v>
      </c>
      <c r="H1129" s="11"/>
      <c r="I1129" s="11"/>
      <c r="J1129" s="11"/>
      <c r="K1129" s="11"/>
      <c r="L1129" s="11"/>
      <c r="M1129" s="11"/>
      <c r="N1129" s="11"/>
      <c r="O1129" s="11">
        <f>IFERROR(__xludf.DUMMYFUNCTION("""COMPUTED_VALUE"""),8079977496)</f>
        <v>8079977496</v>
      </c>
      <c r="P1129" s="11"/>
      <c r="Q1129" s="11"/>
      <c r="R1129" s="11"/>
      <c r="S1129" s="11"/>
      <c r="T1129" s="11"/>
      <c r="U1129" s="11"/>
      <c r="V1129" s="11"/>
      <c r="W1129" s="11"/>
      <c r="X1129" s="11"/>
      <c r="Y1129" s="11"/>
      <c r="Z1129" s="11"/>
    </row>
    <row r="1130" customHeight="1" spans="1:26">
      <c r="A1130" s="11" t="str">
        <f>IFERROR(__xludf.DUMMYFUNCTION("""COMPUTED_VALUE"""),"JULIA VITORIA DOS S MACHADO")</f>
        <v>JULIA VITORIA DOS S MACHADO</v>
      </c>
      <c r="B1130" s="11"/>
      <c r="C1130" s="11"/>
      <c r="D1130" s="11" t="str">
        <f>IFERROR(__xludf.DUMMYFUNCTION("""COMPUTED_VALUE"""),"ENFERMEIRO 30H - DIARISTA")</f>
        <v>ENFERMEIRO 30H - DIARISTA</v>
      </c>
      <c r="E1130" s="11"/>
      <c r="F1130" s="11" t="str">
        <f>IFERROR(__xludf.DUMMYFUNCTION("""COMPUTED_VALUE"""),"US_217 CENTRO MEDICO SEN JOSE ERMIRIO DE MORAES")</f>
        <v>US_217 CENTRO MEDICO SEN JOSE ERMIRIO DE MORAES</v>
      </c>
      <c r="G1130" s="11" t="str">
        <f>IFERROR(__xludf.DUMMYFUNCTION("""COMPUTED_VALUE"""),"US_217 CENTRO MEDICO SEN JOSE ERMIRIO DE MORAES")</f>
        <v>US_217 CENTRO MEDICO SEN JOSE ERMIRIO DE MORAES</v>
      </c>
      <c r="H1130" s="11"/>
      <c r="I1130" s="11"/>
      <c r="J1130" s="11"/>
      <c r="K1130" s="11"/>
      <c r="L1130" s="11"/>
      <c r="M1130" s="11"/>
      <c r="N1130" s="11"/>
      <c r="O1130" s="11">
        <f>IFERROR(__xludf.DUMMYFUNCTION("""COMPUTED_VALUE"""),8463474403)</f>
        <v>8463474403</v>
      </c>
      <c r="P1130" s="11"/>
      <c r="Q1130" s="11"/>
      <c r="R1130" s="11"/>
      <c r="S1130" s="11"/>
      <c r="T1130" s="11"/>
      <c r="U1130" s="11"/>
      <c r="V1130" s="11"/>
      <c r="W1130" s="11"/>
      <c r="X1130" s="11"/>
      <c r="Y1130" s="11"/>
      <c r="Z1130" s="11"/>
    </row>
    <row r="1131" customHeight="1" spans="1:26">
      <c r="A1131" s="11" t="str">
        <f>IFERROR(__xludf.DUMMYFUNCTION("""COMPUTED_VALUE"""),"TACIANA MARIA DINIZ DA CUNHA")</f>
        <v>TACIANA MARIA DINIZ DA CUNHA</v>
      </c>
      <c r="B1131" s="11"/>
      <c r="C1131" s="11"/>
      <c r="D1131" s="11" t="str">
        <f>IFERROR(__xludf.DUMMYFUNCTION("""COMPUTED_VALUE"""),"ENFERMEIRO 30H")</f>
        <v>ENFERMEIRO 30H</v>
      </c>
      <c r="E1131" s="11"/>
      <c r="F1131" s="11" t="str">
        <f>IFERROR(__xludf.DUMMYFUNCTION("""COMPUTED_VALUE"""),"US_217 CENTRO MEDICO SEN JOSE ERMIRIO DE MORAES")</f>
        <v>US_217 CENTRO MEDICO SEN JOSE ERMIRIO DE MORAES</v>
      </c>
      <c r="G1131" s="11" t="str">
        <f>IFERROR(__xludf.DUMMYFUNCTION("""COMPUTED_VALUE"""),"US_217 CENTRO MEDICO SEN JOSE ERMIRIO DE MORAES")</f>
        <v>US_217 CENTRO MEDICO SEN JOSE ERMIRIO DE MORAES</v>
      </c>
      <c r="H1131" s="11"/>
      <c r="I1131" s="11"/>
      <c r="J1131" s="11"/>
      <c r="K1131" s="11"/>
      <c r="L1131" s="11"/>
      <c r="M1131" s="11"/>
      <c r="N1131" s="11"/>
      <c r="O1131" s="11">
        <f>IFERROR(__xludf.DUMMYFUNCTION("""COMPUTED_VALUE"""),91973570491)</f>
        <v>91973570491</v>
      </c>
      <c r="P1131" s="11"/>
      <c r="Q1131" s="11"/>
      <c r="R1131" s="11"/>
      <c r="S1131" s="11"/>
      <c r="T1131" s="11"/>
      <c r="U1131" s="11"/>
      <c r="V1131" s="11"/>
      <c r="W1131" s="11"/>
      <c r="X1131" s="11"/>
      <c r="Y1131" s="11"/>
      <c r="Z1131" s="11"/>
    </row>
    <row r="1132" customHeight="1" spans="1:26">
      <c r="A1132" s="11" t="str">
        <f>IFERROR(__xludf.DUMMYFUNCTION("""COMPUTED_VALUE"""),"ROSANE MARQUES B DE MELO SILVA")</f>
        <v>ROSANE MARQUES B DE MELO SILVA</v>
      </c>
      <c r="B1132" s="11"/>
      <c r="C1132" s="11"/>
      <c r="D1132" s="11" t="str">
        <f>IFERROR(__xludf.DUMMYFUNCTION("""COMPUTED_VALUE"""),"ENFERMEIRO 30H")</f>
        <v>ENFERMEIRO 30H</v>
      </c>
      <c r="E1132" s="11"/>
      <c r="F1132" s="11" t="str">
        <f>IFERROR(__xludf.DUMMYFUNCTION("""COMPUTED_VALUE"""),"US_217 CENTRO MEDICO SEN JOSE ERMIRIO DE MORAES")</f>
        <v>US_217 CENTRO MEDICO SEN JOSE ERMIRIO DE MORAES</v>
      </c>
      <c r="G1132" s="11" t="str">
        <f>IFERROR(__xludf.DUMMYFUNCTION("""COMPUTED_VALUE"""),"US_217 CENTRO MEDICO SEN JOSE ERMIRIO DE MORAES")</f>
        <v>US_217 CENTRO MEDICO SEN JOSE ERMIRIO DE MORAES</v>
      </c>
      <c r="H1132" s="11"/>
      <c r="I1132" s="11"/>
      <c r="J1132" s="11"/>
      <c r="K1132" s="11"/>
      <c r="L1132" s="11"/>
      <c r="M1132" s="11"/>
      <c r="N1132" s="11"/>
      <c r="O1132" s="11">
        <f>IFERROR(__xludf.DUMMYFUNCTION("""COMPUTED_VALUE"""),90740530410)</f>
        <v>90740530410</v>
      </c>
      <c r="P1132" s="11"/>
      <c r="Q1132" s="11"/>
      <c r="R1132" s="11"/>
      <c r="S1132" s="11"/>
      <c r="T1132" s="11"/>
      <c r="U1132" s="11"/>
      <c r="V1132" s="11"/>
      <c r="W1132" s="11"/>
      <c r="X1132" s="11"/>
      <c r="Y1132" s="11"/>
      <c r="Z1132" s="11"/>
    </row>
    <row r="1133" customHeight="1" spans="1:26">
      <c r="A1133" s="11" t="str">
        <f>IFERROR(__xludf.DUMMYFUNCTION("""COMPUTED_VALUE"""),"ADRIANA MARQUES RIOS")</f>
        <v>ADRIANA MARQUES RIOS</v>
      </c>
      <c r="B1133" s="11"/>
      <c r="C1133" s="11"/>
      <c r="D1133" s="11" t="str">
        <f>IFERROR(__xludf.DUMMYFUNCTION("""COMPUTED_VALUE"""),"ENFERMEIRO 30H")</f>
        <v>ENFERMEIRO 30H</v>
      </c>
      <c r="E1133" s="11"/>
      <c r="F1133" s="11" t="str">
        <f>IFERROR(__xludf.DUMMYFUNCTION("""COMPUTED_VALUE"""),"US_217 CENTRO MEDICO SEN JOSE ERMIRIO DE MORAES")</f>
        <v>US_217 CENTRO MEDICO SEN JOSE ERMIRIO DE MORAES</v>
      </c>
      <c r="G1133" s="11" t="str">
        <f>IFERROR(__xludf.DUMMYFUNCTION("""COMPUTED_VALUE"""),"US_217 CENTRO MEDICO SEN JOSE ERMIRIO DE MORAES")</f>
        <v>US_217 CENTRO MEDICO SEN JOSE ERMIRIO DE MORAES</v>
      </c>
      <c r="H1133" s="11"/>
      <c r="I1133" s="11"/>
      <c r="J1133" s="11"/>
      <c r="K1133" s="11"/>
      <c r="L1133" s="11"/>
      <c r="M1133" s="11"/>
      <c r="N1133" s="11"/>
      <c r="O1133" s="11">
        <f>IFERROR(__xludf.DUMMYFUNCTION("""COMPUTED_VALUE"""),37167642487)</f>
        <v>37167642487</v>
      </c>
      <c r="P1133" s="11"/>
      <c r="Q1133" s="11"/>
      <c r="R1133" s="11"/>
      <c r="S1133" s="11"/>
      <c r="T1133" s="11"/>
      <c r="U1133" s="11"/>
      <c r="V1133" s="11"/>
      <c r="W1133" s="11"/>
      <c r="X1133" s="11"/>
      <c r="Y1133" s="11"/>
      <c r="Z1133" s="11"/>
    </row>
    <row r="1134" customHeight="1" spans="1:26">
      <c r="A1134" s="11" t="str">
        <f>IFERROR(__xludf.DUMMYFUNCTION("""COMPUTED_VALUE"""),"FABIA CRISTINA DE M NEVES")</f>
        <v>FABIA CRISTINA DE M NEVES</v>
      </c>
      <c r="B1134" s="11"/>
      <c r="C1134" s="11"/>
      <c r="D1134" s="11" t="str">
        <f>IFERROR(__xludf.DUMMYFUNCTION("""COMPUTED_VALUE"""),"ENFERMEIRO 30H")</f>
        <v>ENFERMEIRO 30H</v>
      </c>
      <c r="E1134" s="11"/>
      <c r="F1134" s="11" t="str">
        <f>IFERROR(__xludf.DUMMYFUNCTION("""COMPUTED_VALUE"""),"US_168 CTA CENTRO DE TESTAGEM E ACONSELHAMENTO")</f>
        <v>US_168 CTA CENTRO DE TESTAGEM E ACONSELHAMENTO</v>
      </c>
      <c r="G1134" s="11" t="str">
        <f>IFERROR(__xludf.DUMMYFUNCTION("""COMPUTED_VALUE"""),"US_168 CTA CENTRO DE TESTAGEM E ACONSELHAMENTO")</f>
        <v>US_168 CTA CENTRO DE TESTAGEM E ACONSELHAMENTO</v>
      </c>
      <c r="H1134" s="11"/>
      <c r="I1134" s="11"/>
      <c r="J1134" s="11"/>
      <c r="K1134" s="11"/>
      <c r="L1134" s="11"/>
      <c r="M1134" s="11"/>
      <c r="N1134" s="11"/>
      <c r="O1134" s="11">
        <f>IFERROR(__xludf.DUMMYFUNCTION("""COMPUTED_VALUE"""),4842273437)</f>
        <v>4842273437</v>
      </c>
      <c r="P1134" s="11"/>
      <c r="Q1134" s="11"/>
      <c r="R1134" s="11"/>
      <c r="S1134" s="11"/>
      <c r="T1134" s="11"/>
      <c r="U1134" s="11"/>
      <c r="V1134" s="11"/>
      <c r="W1134" s="11"/>
      <c r="X1134" s="11"/>
      <c r="Y1134" s="11"/>
      <c r="Z1134" s="11"/>
    </row>
    <row r="1135" customHeight="1" spans="1:26">
      <c r="A1135" s="11" t="str">
        <f>IFERROR(__xludf.DUMMYFUNCTION("""COMPUTED_VALUE"""),"DENISE FABIANA P CRISTIANO")</f>
        <v>DENISE FABIANA P CRISTIANO</v>
      </c>
      <c r="B1135" s="11"/>
      <c r="C1135" s="11"/>
      <c r="D1135" s="11" t="str">
        <f>IFERROR(__xludf.DUMMYFUNCTION("""COMPUTED_VALUE"""),"ENFERMEIRO 30H")</f>
        <v>ENFERMEIRO 30H</v>
      </c>
      <c r="E1135" s="11"/>
      <c r="F1135" s="11" t="str">
        <f>IFERROR(__xludf.DUMMYFUNCTION("""COMPUTED_VALUE"""),"US_321 CENTRAL DE ALERGOLOGIA")</f>
        <v>US_321 CENTRAL DE ALERGOLOGIA</v>
      </c>
      <c r="G1135" s="11" t="str">
        <f>IFERROR(__xludf.DUMMYFUNCTION("""COMPUTED_VALUE"""),"US_321 CENTRAL DE ALERGOLOGIA")</f>
        <v>US_321 CENTRAL DE ALERGOLOGIA</v>
      </c>
      <c r="H1135" s="11"/>
      <c r="I1135" s="11"/>
      <c r="J1135" s="11"/>
      <c r="K1135" s="11"/>
      <c r="L1135" s="11"/>
      <c r="M1135" s="11"/>
      <c r="N1135" s="11"/>
      <c r="O1135" s="11">
        <f>IFERROR(__xludf.DUMMYFUNCTION("""COMPUTED_VALUE"""),86512650425)</f>
        <v>86512650425</v>
      </c>
      <c r="P1135" s="11"/>
      <c r="Q1135" s="11"/>
      <c r="R1135" s="11"/>
      <c r="S1135" s="11"/>
      <c r="T1135" s="11"/>
      <c r="U1135" s="11"/>
      <c r="V1135" s="11"/>
      <c r="W1135" s="11"/>
      <c r="X1135" s="11"/>
      <c r="Y1135" s="11"/>
      <c r="Z1135" s="11"/>
    </row>
    <row r="1136" customHeight="1" spans="1:26">
      <c r="A1136" s="11" t="str">
        <f>IFERROR(__xludf.DUMMYFUNCTION("""COMPUTED_VALUE"""),"RUTHEANNE MELO DE SIQUEIRA")</f>
        <v>RUTHEANNE MELO DE SIQUEIRA</v>
      </c>
      <c r="B1136" s="11"/>
      <c r="C1136" s="11"/>
      <c r="D1136" s="11" t="str">
        <f>IFERROR(__xludf.DUMMYFUNCTION("""COMPUTED_VALUE"""),"ENFERMEIRO 30H - DIARISTA")</f>
        <v>ENFERMEIRO 30H - DIARISTA</v>
      </c>
      <c r="E1136" s="11"/>
      <c r="F1136" s="11" t="str">
        <f>IFERROR(__xludf.DUMMYFUNCTION("""COMPUTED_VALUE"""),"US_217 CENTRO MEDICO SEN JOSE ERMIRIO DE MORAES")</f>
        <v>US_217 CENTRO MEDICO SEN JOSE ERMIRIO DE MORAES</v>
      </c>
      <c r="G1136" s="11" t="str">
        <f>IFERROR(__xludf.DUMMYFUNCTION("""COMPUTED_VALUE"""),"US_217 CENTRO MEDICO SEN JOSE ERMIRIO DE MORAES")</f>
        <v>US_217 CENTRO MEDICO SEN JOSE ERMIRIO DE MORAES</v>
      </c>
      <c r="H1136" s="11"/>
      <c r="I1136" s="11"/>
      <c r="J1136" s="11"/>
      <c r="K1136" s="11"/>
      <c r="L1136" s="11"/>
      <c r="M1136" s="11"/>
      <c r="N1136" s="11"/>
      <c r="O1136" s="11">
        <f>IFERROR(__xludf.DUMMYFUNCTION("""COMPUTED_VALUE"""),2638323500)</f>
        <v>2638323500</v>
      </c>
      <c r="P1136" s="11"/>
      <c r="Q1136" s="11"/>
      <c r="R1136" s="11"/>
      <c r="S1136" s="11"/>
      <c r="T1136" s="11"/>
      <c r="U1136" s="11"/>
      <c r="V1136" s="11"/>
      <c r="W1136" s="11"/>
      <c r="X1136" s="11"/>
      <c r="Y1136" s="11"/>
      <c r="Z1136" s="11"/>
    </row>
    <row r="1137" customHeight="1" spans="1:26">
      <c r="A1137" s="11" t="str">
        <f>IFERROR(__xludf.DUMMYFUNCTION("""COMPUTED_VALUE"""),"IRACY KARINA DE A CARRENHO")</f>
        <v>IRACY KARINA DE A CARRENHO</v>
      </c>
      <c r="B1137" s="11"/>
      <c r="C1137" s="11"/>
      <c r="D1137" s="11" t="str">
        <f>IFERROR(__xludf.DUMMYFUNCTION("""COMPUTED_VALUE"""),"ENFERMEIRO 40H")</f>
        <v>ENFERMEIRO 40H</v>
      </c>
      <c r="E1137" s="11"/>
      <c r="F1137" s="11" t="str">
        <f>IFERROR(__xludf.DUMMYFUNCTION("""COMPUTED_VALUE"""),"US_217 CENTRO MEDICO SEN JOSE ERMIRIO DE MORAES")</f>
        <v>US_217 CENTRO MEDICO SEN JOSE ERMIRIO DE MORAES</v>
      </c>
      <c r="G1137" s="11" t="str">
        <f>IFERROR(__xludf.DUMMYFUNCTION("""COMPUTED_VALUE"""),"US_217 CENTRO MEDICO SEN JOSE ERMIRIO DE MORAES")</f>
        <v>US_217 CENTRO MEDICO SEN JOSE ERMIRIO DE MORAES</v>
      </c>
      <c r="H1137" s="27">
        <f>IFERROR(__xludf.DUMMYFUNCTION("""COMPUTED_VALUE"""),81991899191)</f>
        <v>81991899191</v>
      </c>
      <c r="I1137" s="11"/>
      <c r="J1137" s="11"/>
      <c r="K1137" s="24">
        <f>IFERROR(__xludf.DUMMYFUNCTION("""COMPUTED_VALUE"""),45307)</f>
        <v>45307</v>
      </c>
      <c r="L1137" s="11"/>
      <c r="M1137" s="11"/>
      <c r="N1137" s="11"/>
      <c r="O1137" s="11">
        <f>IFERROR(__xludf.DUMMYFUNCTION("""COMPUTED_VALUE"""),4822869466)</f>
        <v>4822869466</v>
      </c>
      <c r="P1137" s="11"/>
      <c r="Q1137" s="11"/>
      <c r="R1137" s="11"/>
      <c r="S1137" s="11"/>
      <c r="T1137" s="11"/>
      <c r="U1137" s="11"/>
      <c r="V1137" s="11"/>
      <c r="W1137" s="11"/>
      <c r="X1137" s="11"/>
      <c r="Y1137" s="11"/>
      <c r="Z1137" s="11"/>
    </row>
    <row r="1138" customHeight="1" spans="1:26">
      <c r="A1138" s="11" t="str">
        <f>IFERROR(__xludf.DUMMYFUNCTION("""COMPUTED_VALUE"""),"GIULLY TAVARES C DA SILVA")</f>
        <v>GIULLY TAVARES C DA SILVA</v>
      </c>
      <c r="B1138" s="11"/>
      <c r="C1138" s="11"/>
      <c r="D1138" s="11" t="str">
        <f>IFERROR(__xludf.DUMMYFUNCTION("""COMPUTED_VALUE"""),"ENFERMEIRO 30H - DIARISTA")</f>
        <v>ENFERMEIRO 30H - DIARISTA</v>
      </c>
      <c r="E1138" s="11"/>
      <c r="F1138" s="11" t="str">
        <f>IFERROR(__xludf.DUMMYFUNCTION("""COMPUTED_VALUE"""),"US_321 CENTRAL DE ALERGOLOGIA")</f>
        <v>US_321 CENTRAL DE ALERGOLOGIA</v>
      </c>
      <c r="G1138" s="11" t="str">
        <f>IFERROR(__xludf.DUMMYFUNCTION("""COMPUTED_VALUE"""),"US_321 CENTRAL DE ALERGOLOGIA")</f>
        <v>US_321 CENTRAL DE ALERGOLOGIA</v>
      </c>
      <c r="H1138" s="11"/>
      <c r="I1138" s="11"/>
      <c r="J1138" s="11"/>
      <c r="K1138" s="11"/>
      <c r="L1138" s="11"/>
      <c r="M1138" s="11"/>
      <c r="N1138" s="11"/>
      <c r="O1138" s="11">
        <f>IFERROR(__xludf.DUMMYFUNCTION("""COMPUTED_VALUE"""),8662950469)</f>
        <v>8662950469</v>
      </c>
      <c r="P1138" s="11"/>
      <c r="Q1138" s="11"/>
      <c r="R1138" s="11"/>
      <c r="S1138" s="11"/>
      <c r="T1138" s="11"/>
      <c r="U1138" s="11"/>
      <c r="V1138" s="11"/>
      <c r="W1138" s="11"/>
      <c r="X1138" s="11"/>
      <c r="Y1138" s="11"/>
      <c r="Z1138" s="11"/>
    </row>
    <row r="1139" customHeight="1" spans="1:26">
      <c r="A1139" s="11" t="str">
        <f>IFERROR(__xludf.DUMMYFUNCTION("""COMPUTED_VALUE"""),"ADELUCIA GONCALVES PEREIRA")</f>
        <v>ADELUCIA GONCALVES PEREIRA</v>
      </c>
      <c r="B1139" s="11"/>
      <c r="C1139" s="11"/>
      <c r="D1139" s="11" t="str">
        <f>IFERROR(__xludf.DUMMYFUNCTION("""COMPUTED_VALUE"""),"ENFERMEIRO 30H - DIARISTA")</f>
        <v>ENFERMEIRO 30H - DIARISTA</v>
      </c>
      <c r="E1139" s="11"/>
      <c r="F1139" s="11" t="str">
        <f>IFERROR(__xludf.DUMMYFUNCTION("""COMPUTED_VALUE"""),"US_321 CENTRAL DE ALERGOLOGIA")</f>
        <v>US_321 CENTRAL DE ALERGOLOGIA</v>
      </c>
      <c r="G1139" s="11" t="str">
        <f>IFERROR(__xludf.DUMMYFUNCTION("""COMPUTED_VALUE"""),"US_321 CENTRAL DE ALERGOLOGIA")</f>
        <v>US_321 CENTRAL DE ALERGOLOGIA</v>
      </c>
      <c r="H1139" s="11"/>
      <c r="I1139" s="11"/>
      <c r="J1139" s="11"/>
      <c r="K1139" s="11"/>
      <c r="L1139" s="11"/>
      <c r="M1139" s="11"/>
      <c r="N1139" s="11"/>
      <c r="O1139" s="11">
        <f>IFERROR(__xludf.DUMMYFUNCTION("""COMPUTED_VALUE"""),65863801468)</f>
        <v>65863801468</v>
      </c>
      <c r="P1139" s="11"/>
      <c r="Q1139" s="11"/>
      <c r="R1139" s="11"/>
      <c r="S1139" s="11"/>
      <c r="T1139" s="11"/>
      <c r="U1139" s="11"/>
      <c r="V1139" s="11"/>
      <c r="W1139" s="11"/>
      <c r="X1139" s="11"/>
      <c r="Y1139" s="11"/>
      <c r="Z1139" s="11"/>
    </row>
    <row r="1140" customHeight="1" spans="1:26">
      <c r="A1140" s="11" t="str">
        <f>IFERROR(__xludf.DUMMYFUNCTION("""COMPUTED_VALUE"""),"CAMILA DE ALMEIDA CÉSAR DE ALBUQUERQUE")</f>
        <v>CAMILA DE ALMEIDA CÉSAR DE ALBUQUERQUE</v>
      </c>
      <c r="B1140" s="11"/>
      <c r="C1140" s="11"/>
      <c r="D1140" s="11" t="str">
        <f>IFERROR(__xludf.DUMMYFUNCTION("""COMPUTED_VALUE"""),"MÉDICA")</f>
        <v>MÉDICA</v>
      </c>
      <c r="E1140" s="11"/>
      <c r="F1140" s="11" t="str">
        <f>IFERROR(__xludf.DUMMYFUNCTION("""COMPUTED_VALUE"""),"")</f>
        <v/>
      </c>
      <c r="G1140" s="11" t="str">
        <f>IFERROR(__xludf.DUMMYFUNCTION("""COMPUTED_VALUE"""),"US_129 AMEM AMBULATORIO ESPECIALIZADO DA MULHER")</f>
        <v>US_129 AMEM AMBULATORIO ESPECIALIZADO DA MULHER</v>
      </c>
      <c r="H1140" s="27">
        <f>IFERROR(__xludf.DUMMYFUNCTION("""COMPUTED_VALUE"""),81998206403)</f>
        <v>81998206403</v>
      </c>
      <c r="I1140" s="11"/>
      <c r="J1140" s="11"/>
      <c r="K1140" s="24">
        <f>IFERROR(__xludf.DUMMYFUNCTION("""COMPUTED_VALUE"""),45440)</f>
        <v>45440</v>
      </c>
      <c r="L1140" s="11"/>
      <c r="M1140" s="11"/>
      <c r="N1140" s="11"/>
      <c r="O1140" s="11"/>
      <c r="P1140" s="11"/>
      <c r="Q1140" s="11"/>
      <c r="R1140" s="11"/>
      <c r="S1140" s="11"/>
      <c r="T1140" s="11"/>
      <c r="U1140" s="11"/>
      <c r="V1140" s="11"/>
      <c r="W1140" s="11"/>
      <c r="X1140" s="11"/>
      <c r="Y1140" s="11"/>
      <c r="Z1140" s="11"/>
    </row>
    <row r="1141" customHeight="1" spans="1:26">
      <c r="A1141" s="11" t="str">
        <f>IFERROR(__xludf.DUMMYFUNCTION("""COMPUTED_VALUE"""),"JOSE BESERRA DO N NETO")</f>
        <v>JOSE BESERRA DO N NETO</v>
      </c>
      <c r="B1141" s="11"/>
      <c r="C1141" s="11"/>
      <c r="D1141" s="11" t="str">
        <f>IFERROR(__xludf.DUMMYFUNCTION("""COMPUTED_VALUE"""),"ENFERMEIRO 30H - DIARISTA")</f>
        <v>ENFERMEIRO 30H - DIARISTA</v>
      </c>
      <c r="E1141" s="11"/>
      <c r="F1141" s="11" t="str">
        <f>IFERROR(__xludf.DUMMYFUNCTION("""COMPUTED_VALUE"""),"US_129 AMEM AMBULATORIO ESPECIALIZADO DA MULHER")</f>
        <v>US_129 AMEM AMBULATORIO ESPECIALIZADO DA MULHER</v>
      </c>
      <c r="G1141" s="11" t="str">
        <f>IFERROR(__xludf.DUMMYFUNCTION("""COMPUTED_VALUE"""),"US_129 AMEM AMBULATORIO ESPECIALIZADO DA MULHER")</f>
        <v>US_129 AMEM AMBULATORIO ESPECIALIZADO DA MULHER</v>
      </c>
      <c r="H1141" s="11"/>
      <c r="I1141" s="11"/>
      <c r="J1141" s="11"/>
      <c r="K1141" s="11"/>
      <c r="L1141" s="11"/>
      <c r="M1141" s="11"/>
      <c r="N1141" s="11"/>
      <c r="O1141" s="11">
        <f>IFERROR(__xludf.DUMMYFUNCTION("""COMPUTED_VALUE"""),3320164473)</f>
        <v>3320164473</v>
      </c>
      <c r="P1141" s="11"/>
      <c r="Q1141" s="11"/>
      <c r="R1141" s="11"/>
      <c r="S1141" s="11"/>
      <c r="T1141" s="11"/>
      <c r="U1141" s="11"/>
      <c r="V1141" s="11"/>
      <c r="W1141" s="11"/>
      <c r="X1141" s="11"/>
      <c r="Y1141" s="11"/>
      <c r="Z1141" s="11"/>
    </row>
    <row r="1142" customHeight="1" spans="1:26">
      <c r="A1142" s="11" t="str">
        <f>IFERROR(__xludf.DUMMYFUNCTION("""COMPUTED_VALUE"""),"ISADORA SILVEIRA XAVIER")</f>
        <v>ISADORA SILVEIRA XAVIER</v>
      </c>
      <c r="B1142" s="11"/>
      <c r="C1142" s="11"/>
      <c r="D1142" s="11" t="str">
        <f>IFERROR(__xludf.DUMMYFUNCTION("""COMPUTED_VALUE"""),"ENFERMEIRO 30H - DIARISTA")</f>
        <v>ENFERMEIRO 30H - DIARISTA</v>
      </c>
      <c r="E1142" s="11"/>
      <c r="F1142" s="11" t="str">
        <f>IFERROR(__xludf.DUMMYFUNCTION("""COMPUTED_VALUE"""),"US_168 CTA CENTRO DE TESTAGEM E ACONSELHAMENTO")</f>
        <v>US_168 CTA CENTRO DE TESTAGEM E ACONSELHAMENTO</v>
      </c>
      <c r="G1142" s="11" t="str">
        <f>IFERROR(__xludf.DUMMYFUNCTION("""COMPUTED_VALUE"""),"US_168 CTA CENTRO DE TESTAGEM E ACONSELHAMENTO")</f>
        <v>US_168 CTA CENTRO DE TESTAGEM E ACONSELHAMENTO</v>
      </c>
      <c r="H1142" s="11"/>
      <c r="I1142" s="11"/>
      <c r="J1142" s="11"/>
      <c r="K1142" s="11"/>
      <c r="L1142" s="11"/>
      <c r="M1142" s="11"/>
      <c r="N1142" s="11"/>
      <c r="O1142" s="11">
        <f>IFERROR(__xludf.DUMMYFUNCTION("""COMPUTED_VALUE"""),6568903477)</f>
        <v>6568903477</v>
      </c>
      <c r="P1142" s="11"/>
      <c r="Q1142" s="11"/>
      <c r="R1142" s="11"/>
      <c r="S1142" s="11"/>
      <c r="T1142" s="11"/>
      <c r="U1142" s="11"/>
      <c r="V1142" s="11"/>
      <c r="W1142" s="11"/>
      <c r="X1142" s="11"/>
      <c r="Y1142" s="11"/>
      <c r="Z1142" s="11"/>
    </row>
    <row r="1143" customHeight="1" spans="1:26">
      <c r="A1143" s="11" t="str">
        <f>IFERROR(__xludf.DUMMYFUNCTION("""COMPUTED_VALUE"""),"MARIANA BARBOSA DA SILVA")</f>
        <v>MARIANA BARBOSA DA SILVA</v>
      </c>
      <c r="B1143" s="11"/>
      <c r="C1143" s="11"/>
      <c r="D1143" s="11" t="str">
        <f>IFERROR(__xludf.DUMMYFUNCTION("""COMPUTED_VALUE"""),"ENFERMEIRO 30H - DIARISTA")</f>
        <v>ENFERMEIRO 30H - DIARISTA</v>
      </c>
      <c r="E1143" s="11"/>
      <c r="F1143" s="11" t="str">
        <f>IFERROR(__xludf.DUMMYFUNCTION("""COMPUTED_VALUE"""),"US_168 CTA CENTRO DE TESTAGEM E ACONSELHAMENTO")</f>
        <v>US_168 CTA CENTRO DE TESTAGEM E ACONSELHAMENTO</v>
      </c>
      <c r="G1143" s="11" t="str">
        <f>IFERROR(__xludf.DUMMYFUNCTION("""COMPUTED_VALUE"""),"US_168 CTA CENTRO DE TESTAGEM E ACONSELHAMENTO")</f>
        <v>US_168 CTA CENTRO DE TESTAGEM E ACONSELHAMENTO</v>
      </c>
      <c r="H1143" s="11"/>
      <c r="I1143" s="11"/>
      <c r="J1143" s="11"/>
      <c r="K1143" s="11"/>
      <c r="L1143" s="11"/>
      <c r="M1143" s="11"/>
      <c r="N1143" s="11"/>
      <c r="O1143" s="11">
        <f>IFERROR(__xludf.DUMMYFUNCTION("""COMPUTED_VALUE"""),9014486480)</f>
        <v>9014486480</v>
      </c>
      <c r="P1143" s="11"/>
      <c r="Q1143" s="11"/>
      <c r="R1143" s="11"/>
      <c r="S1143" s="11"/>
      <c r="T1143" s="11"/>
      <c r="U1143" s="11"/>
      <c r="V1143" s="11"/>
      <c r="W1143" s="11"/>
      <c r="X1143" s="11"/>
      <c r="Y1143" s="11"/>
      <c r="Z1143" s="11"/>
    </row>
    <row r="1144" customHeight="1" spans="1:26">
      <c r="A1144" s="11" t="str">
        <f>IFERROR(__xludf.DUMMYFUNCTION("""COMPUTED_VALUE"""),"LÍCIA MARIANNE FARIAS VINAGRE")</f>
        <v>LÍCIA MARIANNE FARIAS VINAGRE</v>
      </c>
      <c r="B1144" s="11"/>
      <c r="C1144" s="11"/>
      <c r="D1144" s="11" t="str">
        <f>IFERROR(__xludf.DUMMYFUNCTION("""COMPUTED_VALUE"""),"ENFERMEIRO 30H - PLANTONISTA")</f>
        <v>ENFERMEIRO 30H - PLANTONISTA</v>
      </c>
      <c r="E1144" s="11"/>
      <c r="F1144" s="11" t="str">
        <f>IFERROR(__xludf.DUMMYFUNCTION("""COMPUTED_VALUE"""),"")</f>
        <v/>
      </c>
      <c r="G1144" s="11" t="str">
        <f>IFERROR(__xludf.DUMMYFUNCTION("""COMPUTED_VALUE"""),"")</f>
        <v/>
      </c>
      <c r="H1144" s="11"/>
      <c r="I1144" s="11"/>
      <c r="J1144" s="11"/>
      <c r="K1144" s="11"/>
      <c r="L1144" s="11"/>
      <c r="M1144" s="11"/>
      <c r="N1144" s="11"/>
      <c r="O1144" s="11"/>
      <c r="P1144" s="11"/>
      <c r="Q1144" s="11"/>
      <c r="R1144" s="11"/>
      <c r="S1144" s="11"/>
      <c r="T1144" s="11"/>
      <c r="U1144" s="11"/>
      <c r="V1144" s="11"/>
      <c r="W1144" s="11"/>
      <c r="X1144" s="11"/>
      <c r="Y1144" s="11"/>
      <c r="Z1144" s="11"/>
    </row>
    <row r="1145" customHeight="1" spans="1:26">
      <c r="A1145" s="11" t="str">
        <f>IFERROR(__xludf.DUMMYFUNCTION("""COMPUTED_VALUE"""),"MANUELLA KARINA GOMES DA SILVA")</f>
        <v>MANUELLA KARINA GOMES DA SILVA</v>
      </c>
      <c r="B1145" s="11"/>
      <c r="C1145" s="11"/>
      <c r="D1145" s="11" t="str">
        <f>IFERROR(__xludf.DUMMYFUNCTION("""COMPUTED_VALUE"""),"ENFERMEIRO 30H - PLANTONISTA")</f>
        <v>ENFERMEIRO 30H - PLANTONISTA</v>
      </c>
      <c r="E1145" s="11"/>
      <c r="F1145" s="11" t="str">
        <f>IFERROR(__xludf.DUMMYFUNCTION("""COMPUTED_VALUE"""),"")</f>
        <v/>
      </c>
      <c r="G1145" s="11" t="str">
        <f>IFERROR(__xludf.DUMMYFUNCTION("""COMPUTED_VALUE"""),"")</f>
        <v/>
      </c>
      <c r="H1145" s="11"/>
      <c r="I1145" s="11"/>
      <c r="J1145" s="11"/>
      <c r="K1145" s="11"/>
      <c r="L1145" s="11"/>
      <c r="M1145" s="11"/>
      <c r="N1145" s="11"/>
      <c r="O1145" s="11"/>
      <c r="P1145" s="11"/>
      <c r="Q1145" s="11"/>
      <c r="R1145" s="11"/>
      <c r="S1145" s="11"/>
      <c r="T1145" s="11"/>
      <c r="U1145" s="11"/>
      <c r="V1145" s="11"/>
      <c r="W1145" s="11"/>
      <c r="X1145" s="11"/>
      <c r="Y1145" s="11"/>
      <c r="Z1145" s="11"/>
    </row>
    <row r="1146" customHeight="1" spans="1:26">
      <c r="A1146" s="11" t="str">
        <f>IFERROR(__xludf.DUMMYFUNCTION("""COMPUTED_VALUE"""),"ALCIONE DE ANDRADE LIMA")</f>
        <v>ALCIONE DE ANDRADE LIMA</v>
      </c>
      <c r="B1146" s="11"/>
      <c r="C1146" s="11"/>
      <c r="D1146" s="11" t="str">
        <f>IFERROR(__xludf.DUMMYFUNCTION("""COMPUTED_VALUE"""),"ENFERMEIRO 30H - PLANTONISTA")</f>
        <v>ENFERMEIRO 30H - PLANTONISTA</v>
      </c>
      <c r="E1146" s="11"/>
      <c r="F1146" s="11" t="str">
        <f>IFERROR(__xludf.DUMMYFUNCTION("""COMPUTED_VALUE"""),"US_306 CAPS AD PROF LUIZ CERQUEIRA")</f>
        <v>US_306 CAPS AD PROF LUIZ CERQUEIRA</v>
      </c>
      <c r="G1146" s="11" t="str">
        <f>IFERROR(__xludf.DUMMYFUNCTION("""COMPUTED_VALUE"""),"US_306 CAPS AD PROF LUIZ CERQUEIRA")</f>
        <v>US_306 CAPS AD PROF LUIZ CERQUEIRA</v>
      </c>
      <c r="H1146" s="11"/>
      <c r="I1146" s="11"/>
      <c r="J1146" s="11"/>
      <c r="K1146" s="11"/>
      <c r="L1146" s="11"/>
      <c r="M1146" s="11"/>
      <c r="N1146" s="11"/>
      <c r="O1146" s="11">
        <f>IFERROR(__xludf.DUMMYFUNCTION("""COMPUTED_VALUE"""),6204679406)</f>
        <v>6204679406</v>
      </c>
      <c r="P1146" s="11"/>
      <c r="Q1146" s="11"/>
      <c r="R1146" s="11"/>
      <c r="S1146" s="11"/>
      <c r="T1146" s="11"/>
      <c r="U1146" s="11"/>
      <c r="V1146" s="11"/>
      <c r="W1146" s="11"/>
      <c r="X1146" s="11"/>
      <c r="Y1146" s="11"/>
      <c r="Z1146" s="11"/>
    </row>
    <row r="1147" customHeight="1" spans="1:26">
      <c r="A1147" s="11" t="str">
        <f>IFERROR(__xludf.DUMMYFUNCTION("""COMPUTED_VALUE"""),"VIRGINIA MATIAS DE O BARBOSA")</f>
        <v>VIRGINIA MATIAS DE O BARBOSA</v>
      </c>
      <c r="B1147" s="11"/>
      <c r="C1147" s="11"/>
      <c r="D1147" s="11" t="str">
        <f>IFERROR(__xludf.DUMMYFUNCTION("""COMPUTED_VALUE"""),"ENFERMEIRO 30H - PLANTONISTA")</f>
        <v>ENFERMEIRO 30H - PLANTONISTA</v>
      </c>
      <c r="E1147" s="11"/>
      <c r="F1147" s="11" t="str">
        <f>IFERROR(__xludf.DUMMYFUNCTION("""COMPUTED_VALUE"""),"CENTRO DE TESTAGEM COMPAZ ARIANO SUASSUNA - DS IV")</f>
        <v>CENTRO DE TESTAGEM COMPAZ ARIANO SUASSUNA - DS IV</v>
      </c>
      <c r="G1147" s="11" t="str">
        <f>IFERROR(__xludf.DUMMYFUNCTION("""COMPUTED_VALUE"""),"CENTRO DE TESTAGEM COMPAZ ARIANO SUASSUNA - DS IV")</f>
        <v>CENTRO DE TESTAGEM COMPAZ ARIANO SUASSUNA - DS IV</v>
      </c>
      <c r="H1147" s="11"/>
      <c r="I1147" s="11"/>
      <c r="J1147" s="11"/>
      <c r="K1147" s="11"/>
      <c r="L1147" s="11"/>
      <c r="M1147" s="11"/>
      <c r="N1147" s="11"/>
      <c r="O1147" s="11">
        <f>IFERROR(__xludf.DUMMYFUNCTION("""COMPUTED_VALUE"""),1296163466)</f>
        <v>1296163466</v>
      </c>
      <c r="P1147" s="11"/>
      <c r="Q1147" s="11"/>
      <c r="R1147" s="11"/>
      <c r="S1147" s="11"/>
      <c r="T1147" s="11"/>
      <c r="U1147" s="11"/>
      <c r="V1147" s="11"/>
      <c r="W1147" s="11"/>
      <c r="X1147" s="11"/>
      <c r="Y1147" s="11"/>
      <c r="Z1147" s="11"/>
    </row>
    <row r="1148" customHeight="1" spans="1:26">
      <c r="A1148" s="11" t="str">
        <f>IFERROR(__xludf.DUMMYFUNCTION("""COMPUTED_VALUE"""),"CAMILLA ZOPPI")</f>
        <v>CAMILLA ZOPPI</v>
      </c>
      <c r="B1148" s="11"/>
      <c r="C1148" s="11"/>
      <c r="D1148" s="11" t="str">
        <f>IFERROR(__xludf.DUMMYFUNCTION("""COMPUTED_VALUE"""),"ENFERMEIRO 30H - PLANTONISTA")</f>
        <v>ENFERMEIRO 30H - PLANTONISTA</v>
      </c>
      <c r="E1148" s="11"/>
      <c r="F1148" s="11" t="str">
        <f>IFERROR(__xludf.DUMMYFUNCTION("""COMPUTED_VALUE"""),"CENTRO DE TESTAGEM COMPAZ ARIANO SUASSUNA - DS IV")</f>
        <v>CENTRO DE TESTAGEM COMPAZ ARIANO SUASSUNA - DS IV</v>
      </c>
      <c r="G1148" s="11" t="str">
        <f>IFERROR(__xludf.DUMMYFUNCTION("""COMPUTED_VALUE"""),"CENTRO DE TESTAGEM COMPAZ ARIANO SUASSUNA - DS IV")</f>
        <v>CENTRO DE TESTAGEM COMPAZ ARIANO SUASSUNA - DS IV</v>
      </c>
      <c r="H1148" s="11"/>
      <c r="I1148" s="11"/>
      <c r="J1148" s="11"/>
      <c r="K1148" s="11"/>
      <c r="L1148" s="11"/>
      <c r="M1148" s="11"/>
      <c r="N1148" s="11"/>
      <c r="O1148" s="11">
        <f>IFERROR(__xludf.DUMMYFUNCTION("""COMPUTED_VALUE"""),3923058950)</f>
        <v>3923058950</v>
      </c>
      <c r="P1148" s="11"/>
      <c r="Q1148" s="11"/>
      <c r="R1148" s="11"/>
      <c r="S1148" s="11"/>
      <c r="T1148" s="11"/>
      <c r="U1148" s="11"/>
      <c r="V1148" s="11"/>
      <c r="W1148" s="11"/>
      <c r="X1148" s="11"/>
      <c r="Y1148" s="11"/>
      <c r="Z1148" s="11"/>
    </row>
    <row r="1149" customHeight="1" spans="1:26">
      <c r="A1149" s="11" t="str">
        <f>IFERROR(__xludf.DUMMYFUNCTION("""COMPUTED_VALUE"""),"JIVALDO GONCALVES FERREIRA")</f>
        <v>JIVALDO GONCALVES FERREIRA</v>
      </c>
      <c r="B1149" s="11"/>
      <c r="C1149" s="11"/>
      <c r="D1149" s="11" t="str">
        <f>IFERROR(__xludf.DUMMYFUNCTION("""COMPUTED_VALUE"""),"ENFERMEIRO 30H - PLANTONISTA")</f>
        <v>ENFERMEIRO 30H - PLANTONISTA</v>
      </c>
      <c r="E1149" s="11"/>
      <c r="F1149" s="11" t="str">
        <f>IFERROR(__xludf.DUMMYFUNCTION("""COMPUTED_VALUE"""),"CENTRO DE TESTAGEM - DS III")</f>
        <v>CENTRO DE TESTAGEM - DS III</v>
      </c>
      <c r="G1149" s="11" t="str">
        <f>IFERROR(__xludf.DUMMYFUNCTION("""COMPUTED_VALUE"""),"CENTRO DE TESTAGEM - DS III")</f>
        <v>CENTRO DE TESTAGEM - DS III</v>
      </c>
      <c r="H1149" s="11"/>
      <c r="I1149" s="11"/>
      <c r="J1149" s="11"/>
      <c r="K1149" s="11"/>
      <c r="L1149" s="11"/>
      <c r="M1149" s="11"/>
      <c r="N1149" s="11"/>
      <c r="O1149" s="11">
        <f>IFERROR(__xludf.DUMMYFUNCTION("""COMPUTED_VALUE"""),10321949447)</f>
        <v>10321949447</v>
      </c>
      <c r="P1149" s="11"/>
      <c r="Q1149" s="11"/>
      <c r="R1149" s="11"/>
      <c r="S1149" s="11"/>
      <c r="T1149" s="11"/>
      <c r="U1149" s="11"/>
      <c r="V1149" s="11"/>
      <c r="W1149" s="11"/>
      <c r="X1149" s="11"/>
      <c r="Y1149" s="11"/>
      <c r="Z1149" s="11"/>
    </row>
    <row r="1150" customHeight="1" spans="1:26">
      <c r="A1150" s="11" t="str">
        <f>IFERROR(__xludf.DUMMYFUNCTION("""COMPUTED_VALUE"""),"PRISCILA DE OLIVEIRA CARVALHO")</f>
        <v>PRISCILA DE OLIVEIRA CARVALHO</v>
      </c>
      <c r="B1150" s="11"/>
      <c r="C1150" s="11"/>
      <c r="D1150" s="11" t="str">
        <f>IFERROR(__xludf.DUMMYFUNCTION("""COMPUTED_VALUE"""),"ENFERMEIRO 30H - PLANTONISTA")</f>
        <v>ENFERMEIRO 30H - PLANTONISTA</v>
      </c>
      <c r="E1150" s="11"/>
      <c r="F1150" s="11" t="str">
        <f>IFERROR(__xludf.DUMMYFUNCTION("""COMPUTED_VALUE"""),"CENTRO DE TESTAGEM COMPAZ ARIANO SUASSUNA - DS IV")</f>
        <v>CENTRO DE TESTAGEM COMPAZ ARIANO SUASSUNA - DS IV</v>
      </c>
      <c r="G1150" s="11" t="str">
        <f>IFERROR(__xludf.DUMMYFUNCTION("""COMPUTED_VALUE"""),"CENTRO DE TESTAGEM COMPAZ ARIANO SUASSUNA - DS IV")</f>
        <v>CENTRO DE TESTAGEM COMPAZ ARIANO SUASSUNA - DS IV</v>
      </c>
      <c r="H1150" s="11"/>
      <c r="I1150" s="11"/>
      <c r="J1150" s="11"/>
      <c r="K1150" s="11"/>
      <c r="L1150" s="11"/>
      <c r="M1150" s="11"/>
      <c r="N1150" s="11"/>
      <c r="O1150" s="11">
        <f>IFERROR(__xludf.DUMMYFUNCTION("""COMPUTED_VALUE"""),5958380494)</f>
        <v>5958380494</v>
      </c>
      <c r="P1150" s="11"/>
      <c r="Q1150" s="11"/>
      <c r="R1150" s="11"/>
      <c r="S1150" s="11"/>
      <c r="T1150" s="11"/>
      <c r="U1150" s="11"/>
      <c r="V1150" s="11"/>
      <c r="W1150" s="11"/>
      <c r="X1150" s="11"/>
      <c r="Y1150" s="11"/>
      <c r="Z1150" s="11"/>
    </row>
    <row r="1151" customHeight="1" spans="1:26">
      <c r="A1151" s="11" t="str">
        <f>IFERROR(__xludf.DUMMYFUNCTION("""COMPUTED_VALUE"""),"MARIA NATHALIA DA SILVA SOUZA")</f>
        <v>MARIA NATHALIA DA SILVA SOUZA</v>
      </c>
      <c r="B1151" s="11"/>
      <c r="C1151" s="11"/>
      <c r="D1151" s="11" t="str">
        <f>IFERROR(__xludf.DUMMYFUNCTION("""COMPUTED_VALUE"""),"ENFERMEIRO 30H - PLANTONISTA")</f>
        <v>ENFERMEIRO 30H - PLANTONISTA</v>
      </c>
      <c r="E1151" s="11"/>
      <c r="F1151" s="11" t="str">
        <f>IFERROR(__xludf.DUMMYFUNCTION("""COMPUTED_VALUE"""),"CENTRO DE TESTAGEM COMPAZ ARIANO SUASSUNA - DS IV")</f>
        <v>CENTRO DE TESTAGEM COMPAZ ARIANO SUASSUNA - DS IV</v>
      </c>
      <c r="G1151" s="11" t="str">
        <f>IFERROR(__xludf.DUMMYFUNCTION("""COMPUTED_VALUE"""),"CENTRO DE TESTAGEM COMPAZ ARIANO SUASSUNA - DS IV")</f>
        <v>CENTRO DE TESTAGEM COMPAZ ARIANO SUASSUNA - DS IV</v>
      </c>
      <c r="H1151" s="11"/>
      <c r="I1151" s="11"/>
      <c r="J1151" s="11"/>
      <c r="K1151" s="11"/>
      <c r="L1151" s="11"/>
      <c r="M1151" s="11"/>
      <c r="N1151" s="11"/>
      <c r="O1151" s="11">
        <f>IFERROR(__xludf.DUMMYFUNCTION("""COMPUTED_VALUE"""),8695630412)</f>
        <v>8695630412</v>
      </c>
      <c r="P1151" s="11"/>
      <c r="Q1151" s="11"/>
      <c r="R1151" s="11"/>
      <c r="S1151" s="11"/>
      <c r="T1151" s="11"/>
      <c r="U1151" s="11"/>
      <c r="V1151" s="11"/>
      <c r="W1151" s="11"/>
      <c r="X1151" s="11"/>
      <c r="Y1151" s="11"/>
      <c r="Z1151" s="11"/>
    </row>
    <row r="1152" customHeight="1" spans="1:26">
      <c r="A1152" s="11" t="str">
        <f>IFERROR(__xludf.DUMMYFUNCTION("""COMPUTED_VALUE"""),"AGHATA MONIKE P DA SILVA LINS")</f>
        <v>AGHATA MONIKE P DA SILVA LINS</v>
      </c>
      <c r="B1152" s="11"/>
      <c r="C1152" s="11"/>
      <c r="D1152" s="11" t="str">
        <f>IFERROR(__xludf.DUMMYFUNCTION("""COMPUTED_VALUE"""),"ENFERMEIRO 30H - PLANTONISTA")</f>
        <v>ENFERMEIRO 30H - PLANTONISTA</v>
      </c>
      <c r="E1152" s="11"/>
      <c r="F1152" s="11" t="str">
        <f>IFERROR(__xludf.DUMMYFUNCTION("""COMPUTED_VALUE"""),"CENTRO DE TESTAGEM - DS III")</f>
        <v>CENTRO DE TESTAGEM - DS III</v>
      </c>
      <c r="G1152" s="11" t="str">
        <f>IFERROR(__xludf.DUMMYFUNCTION("""COMPUTED_VALUE"""),"CENTRO DE TESTAGEM - DS III")</f>
        <v>CENTRO DE TESTAGEM - DS III</v>
      </c>
      <c r="H1152" s="11"/>
      <c r="I1152" s="11"/>
      <c r="J1152" s="11"/>
      <c r="K1152" s="11"/>
      <c r="L1152" s="11"/>
      <c r="M1152" s="11"/>
      <c r="N1152" s="11"/>
      <c r="O1152" s="11">
        <f>IFERROR(__xludf.DUMMYFUNCTION("""COMPUTED_VALUE"""),9939525427)</f>
        <v>9939525427</v>
      </c>
      <c r="P1152" s="11"/>
      <c r="Q1152" s="11"/>
      <c r="R1152" s="11"/>
      <c r="S1152" s="11"/>
      <c r="T1152" s="11"/>
      <c r="U1152" s="11"/>
      <c r="V1152" s="11"/>
      <c r="W1152" s="11"/>
      <c r="X1152" s="11"/>
      <c r="Y1152" s="11"/>
      <c r="Z1152" s="11"/>
    </row>
    <row r="1153" customHeight="1" spans="1:26">
      <c r="A1153" s="11" t="str">
        <f>IFERROR(__xludf.DUMMYFUNCTION("""COMPUTED_VALUE"""),"ROBERTA TIMOTEO DE ALCANTARA")</f>
        <v>ROBERTA TIMOTEO DE ALCANTARA</v>
      </c>
      <c r="B1153" s="11"/>
      <c r="C1153" s="11"/>
      <c r="D1153" s="11" t="str">
        <f>IFERROR(__xludf.DUMMYFUNCTION("""COMPUTED_VALUE"""),"ENFERMEIRO 30H - PLANTONISTA")</f>
        <v>ENFERMEIRO 30H - PLANTONISTA</v>
      </c>
      <c r="E1153" s="11"/>
      <c r="F1153" s="11" t="str">
        <f>IFERROR(__xludf.DUMMYFUNCTION("""COMPUTED_VALUE"""),"CENTRO DE TESTAGEM - DS III")</f>
        <v>CENTRO DE TESTAGEM - DS III</v>
      </c>
      <c r="G1153" s="11" t="str">
        <f>IFERROR(__xludf.DUMMYFUNCTION("""COMPUTED_VALUE"""),"CENTRO DE TESTAGEM - DS III")</f>
        <v>CENTRO DE TESTAGEM - DS III</v>
      </c>
      <c r="H1153" s="11"/>
      <c r="I1153" s="11"/>
      <c r="J1153" s="11"/>
      <c r="K1153" s="11"/>
      <c r="L1153" s="11"/>
      <c r="M1153" s="11"/>
      <c r="N1153" s="11"/>
      <c r="O1153" s="11">
        <f>IFERROR(__xludf.DUMMYFUNCTION("""COMPUTED_VALUE"""),3430300479)</f>
        <v>3430300479</v>
      </c>
      <c r="P1153" s="11"/>
      <c r="Q1153" s="11"/>
      <c r="R1153" s="11"/>
      <c r="S1153" s="11"/>
      <c r="T1153" s="11"/>
      <c r="U1153" s="11"/>
      <c r="V1153" s="11"/>
      <c r="W1153" s="11"/>
      <c r="X1153" s="11"/>
      <c r="Y1153" s="11"/>
      <c r="Z1153" s="11"/>
    </row>
    <row r="1154" customHeight="1" spans="1:26">
      <c r="A1154" s="11" t="str">
        <f>IFERROR(__xludf.DUMMYFUNCTION("""COMPUTED_VALUE"""),"JESSICA P P DE S A SIVINI")</f>
        <v>JESSICA P P DE S A SIVINI</v>
      </c>
      <c r="B1154" s="11"/>
      <c r="C1154" s="11"/>
      <c r="D1154" s="11" t="str">
        <f>IFERROR(__xludf.DUMMYFUNCTION("""COMPUTED_VALUE"""),"ENFERMEIRO 30H - PLANTONISTA")</f>
        <v>ENFERMEIRO 30H - PLANTONISTA</v>
      </c>
      <c r="E1154" s="11"/>
      <c r="F1154" s="11" t="str">
        <f>IFERROR(__xludf.DUMMYFUNCTION("""COMPUTED_VALUE"""),"CENTRO DE TESTAGEM COMPAZ ARIANO SUASSUNA - DS IV")</f>
        <v>CENTRO DE TESTAGEM COMPAZ ARIANO SUASSUNA - DS IV</v>
      </c>
      <c r="G1154" s="11" t="str">
        <f>IFERROR(__xludf.DUMMYFUNCTION("""COMPUTED_VALUE"""),"CENTRO DE TESTAGEM COMPAZ ARIANO SUASSUNA - DS IV")</f>
        <v>CENTRO DE TESTAGEM COMPAZ ARIANO SUASSUNA - DS IV</v>
      </c>
      <c r="H1154" s="11"/>
      <c r="I1154" s="11"/>
      <c r="J1154" s="11"/>
      <c r="K1154" s="11"/>
      <c r="L1154" s="11"/>
      <c r="M1154" s="11"/>
      <c r="N1154" s="11"/>
      <c r="O1154" s="11">
        <f>IFERROR(__xludf.DUMMYFUNCTION("""COMPUTED_VALUE"""),9605641445)</f>
        <v>9605641445</v>
      </c>
      <c r="P1154" s="11"/>
      <c r="Q1154" s="11"/>
      <c r="R1154" s="11"/>
      <c r="S1154" s="11"/>
      <c r="T1154" s="11"/>
      <c r="U1154" s="11"/>
      <c r="V1154" s="11"/>
      <c r="W1154" s="11"/>
      <c r="X1154" s="11"/>
      <c r="Y1154" s="11"/>
      <c r="Z1154" s="11"/>
    </row>
    <row r="1155" customHeight="1" spans="1:26">
      <c r="A1155" s="11" t="str">
        <f>IFERROR(__xludf.DUMMYFUNCTION("""COMPUTED_VALUE"""),"LETICIA M GOMES DO NASCIMENTO")</f>
        <v>LETICIA M GOMES DO NASCIMENTO</v>
      </c>
      <c r="B1155" s="11"/>
      <c r="C1155" s="11"/>
      <c r="D1155" s="11" t="str">
        <f>IFERROR(__xludf.DUMMYFUNCTION("""COMPUTED_VALUE"""),"ENFERMEIRO 30H - PLANTONISTA")</f>
        <v>ENFERMEIRO 30H - PLANTONISTA</v>
      </c>
      <c r="E1155" s="11"/>
      <c r="F1155" s="11" t="str">
        <f>IFERROR(__xludf.DUMMYFUNCTION("""COMPUTED_VALUE"""),"CENTRO DE TESTAGEM PARQUE DONA LINDU")</f>
        <v>CENTRO DE TESTAGEM PARQUE DONA LINDU</v>
      </c>
      <c r="G1155" s="11" t="str">
        <f>IFERROR(__xludf.DUMMYFUNCTION("""COMPUTED_VALUE"""),"CENTRO DE TESTAGEM PARQUE DONA LINDU")</f>
        <v>CENTRO DE TESTAGEM PARQUE DONA LINDU</v>
      </c>
      <c r="H1155" s="11"/>
      <c r="I1155" s="11"/>
      <c r="J1155" s="11"/>
      <c r="K1155" s="11"/>
      <c r="L1155" s="11"/>
      <c r="M1155" s="11"/>
      <c r="N1155" s="11"/>
      <c r="O1155" s="11">
        <f>IFERROR(__xludf.DUMMYFUNCTION("""COMPUTED_VALUE"""),6351445493)</f>
        <v>6351445493</v>
      </c>
      <c r="P1155" s="11"/>
      <c r="Q1155" s="11"/>
      <c r="R1155" s="11"/>
      <c r="S1155" s="11"/>
      <c r="T1155" s="11"/>
      <c r="U1155" s="11"/>
      <c r="V1155" s="11"/>
      <c r="W1155" s="11"/>
      <c r="X1155" s="11"/>
      <c r="Y1155" s="11"/>
      <c r="Z1155" s="11"/>
    </row>
    <row r="1156" customHeight="1" spans="1:26">
      <c r="A1156" s="11" t="str">
        <f>IFERROR(__xludf.DUMMYFUNCTION("""COMPUTED_VALUE"""),"TACIANA MARIA DA SILVA")</f>
        <v>TACIANA MARIA DA SILVA</v>
      </c>
      <c r="B1156" s="11"/>
      <c r="C1156" s="11"/>
      <c r="D1156" s="11" t="str">
        <f>IFERROR(__xludf.DUMMYFUNCTION("""COMPUTED_VALUE"""),"ENFERMEIRO 30H - PLANTONISTA")</f>
        <v>ENFERMEIRO 30H - PLANTONISTA</v>
      </c>
      <c r="E1156" s="11"/>
      <c r="F1156" s="11" t="str">
        <f>IFERROR(__xludf.DUMMYFUNCTION("""COMPUTED_VALUE"""),"CENTRO DE TESTAGEM PARQUE DONA LINDU")</f>
        <v>CENTRO DE TESTAGEM PARQUE DONA LINDU</v>
      </c>
      <c r="G1156" s="11" t="str">
        <f>IFERROR(__xludf.DUMMYFUNCTION("""COMPUTED_VALUE"""),"CENTRO DE TESTAGEM PARQUE DONA LINDU")</f>
        <v>CENTRO DE TESTAGEM PARQUE DONA LINDU</v>
      </c>
      <c r="H1156" s="11"/>
      <c r="I1156" s="11"/>
      <c r="J1156" s="11"/>
      <c r="K1156" s="11"/>
      <c r="L1156" s="11"/>
      <c r="M1156" s="11"/>
      <c r="N1156" s="11"/>
      <c r="O1156" s="11">
        <f>IFERROR(__xludf.DUMMYFUNCTION("""COMPUTED_VALUE"""),5958626400)</f>
        <v>5958626400</v>
      </c>
      <c r="P1156" s="11"/>
      <c r="Q1156" s="11"/>
      <c r="R1156" s="11"/>
      <c r="S1156" s="11"/>
      <c r="T1156" s="11"/>
      <c r="U1156" s="11"/>
      <c r="V1156" s="11"/>
      <c r="W1156" s="11"/>
      <c r="X1156" s="11"/>
      <c r="Y1156" s="11"/>
      <c r="Z1156" s="11"/>
    </row>
    <row r="1157" customHeight="1" spans="1:26">
      <c r="A1157" s="11" t="str">
        <f>IFERROR(__xludf.DUMMYFUNCTION("""COMPUTED_VALUE"""),"Ana Carolina Spinelli")</f>
        <v>Ana Carolina Spinelli</v>
      </c>
      <c r="B1157" s="11"/>
      <c r="C1157" s="11"/>
      <c r="D1157" s="11" t="str">
        <f>IFERROR(__xludf.DUMMYFUNCTION("""COMPUTED_VALUE"""),"ENFERMEIRO 30H - PLANTONISTA")</f>
        <v>ENFERMEIRO 30H - PLANTONISTA</v>
      </c>
      <c r="E1157" s="11"/>
      <c r="F1157" s="11" t="str">
        <f>IFERROR(__xludf.DUMMYFUNCTION("""COMPUTED_VALUE"""),"CENTRO DE TESTAGEM PARQUE DONA LINDU")</f>
        <v>CENTRO DE TESTAGEM PARQUE DONA LINDU</v>
      </c>
      <c r="G1157" s="11" t="str">
        <f>IFERROR(__xludf.DUMMYFUNCTION("""COMPUTED_VALUE"""),"CENTRO DE TESTAGEM PARQUE DONA LINDU")</f>
        <v>CENTRO DE TESTAGEM PARQUE DONA LINDU</v>
      </c>
      <c r="H1157" s="11"/>
      <c r="I1157" s="11"/>
      <c r="J1157" s="11"/>
      <c r="K1157" s="11"/>
      <c r="L1157" s="11"/>
      <c r="M1157" s="11"/>
      <c r="N1157" s="11"/>
      <c r="O1157" s="11">
        <f>IFERROR(__xludf.DUMMYFUNCTION("""COMPUTED_VALUE"""),5450167466)</f>
        <v>5450167466</v>
      </c>
      <c r="P1157" s="11"/>
      <c r="Q1157" s="11"/>
      <c r="R1157" s="11"/>
      <c r="S1157" s="11"/>
      <c r="T1157" s="11"/>
      <c r="U1157" s="11"/>
      <c r="V1157" s="11"/>
      <c r="W1157" s="11"/>
      <c r="X1157" s="11"/>
      <c r="Y1157" s="11"/>
      <c r="Z1157" s="11"/>
    </row>
    <row r="1158" customHeight="1" spans="1:26">
      <c r="A1158" s="11" t="str">
        <f>IFERROR(__xludf.DUMMYFUNCTION("""COMPUTED_VALUE"""),"PATRICIA HEMYLLY N SOARES ROSA")</f>
        <v>PATRICIA HEMYLLY N SOARES ROSA</v>
      </c>
      <c r="B1158" s="11"/>
      <c r="C1158" s="11"/>
      <c r="D1158" s="11" t="str">
        <f>IFERROR(__xludf.DUMMYFUNCTION("""COMPUTED_VALUE"""),"ENFERMEIRO 30H - PLANTONISTA")</f>
        <v>ENFERMEIRO 30H - PLANTONISTA</v>
      </c>
      <c r="E1158" s="11"/>
      <c r="F1158" s="11" t="str">
        <f>IFERROR(__xludf.DUMMYFUNCTION("""COMPUTED_VALUE"""),"CENTRO DE TESTAGEM PARQUE DONA LINDU")</f>
        <v>CENTRO DE TESTAGEM PARQUE DONA LINDU</v>
      </c>
      <c r="G1158" s="11" t="str">
        <f>IFERROR(__xludf.DUMMYFUNCTION("""COMPUTED_VALUE"""),"CENTRO DE TESTAGEM PARQUE DONA LINDU")</f>
        <v>CENTRO DE TESTAGEM PARQUE DONA LINDU</v>
      </c>
      <c r="H1158" s="11"/>
      <c r="I1158" s="11"/>
      <c r="J1158" s="11"/>
      <c r="K1158" s="11"/>
      <c r="L1158" s="11"/>
      <c r="M1158" s="11"/>
      <c r="N1158" s="11"/>
      <c r="O1158" s="11">
        <f>IFERROR(__xludf.DUMMYFUNCTION("""COMPUTED_VALUE"""),10291449409)</f>
        <v>10291449409</v>
      </c>
      <c r="P1158" s="11"/>
      <c r="Q1158" s="11"/>
      <c r="R1158" s="11"/>
      <c r="S1158" s="11"/>
      <c r="T1158" s="11"/>
      <c r="U1158" s="11"/>
      <c r="V1158" s="11"/>
      <c r="W1158" s="11"/>
      <c r="X1158" s="11"/>
      <c r="Y1158" s="11"/>
      <c r="Z1158" s="11"/>
    </row>
    <row r="1159" customHeight="1" spans="1:26">
      <c r="A1159" s="11" t="str">
        <f>IFERROR(__xludf.DUMMYFUNCTION("""COMPUTED_VALUE"""),"Amanda Maria da silva")</f>
        <v>Amanda Maria da silva</v>
      </c>
      <c r="B1159" s="11"/>
      <c r="C1159" s="11"/>
      <c r="D1159" s="11" t="str">
        <f>IFERROR(__xludf.DUMMYFUNCTION("""COMPUTED_VALUE"""),"ENFERMEIRO 30H - PLANTONISTA")</f>
        <v>ENFERMEIRO 30H - PLANTONISTA</v>
      </c>
      <c r="E1159" s="11"/>
      <c r="F1159" s="11" t="str">
        <f>IFERROR(__xludf.DUMMYFUNCTION("""COMPUTED_VALUE"""),"CENTRO DE TESTAGEM PARQUE DONA LINDU")</f>
        <v>CENTRO DE TESTAGEM PARQUE DONA LINDU</v>
      </c>
      <c r="G1159" s="11" t="str">
        <f>IFERROR(__xludf.DUMMYFUNCTION("""COMPUTED_VALUE"""),"CENTRO DE TESTAGEM PARQUE DONA LINDU")</f>
        <v>CENTRO DE TESTAGEM PARQUE DONA LINDU</v>
      </c>
      <c r="H1159" s="11"/>
      <c r="I1159" s="11"/>
      <c r="J1159" s="11"/>
      <c r="K1159" s="11"/>
      <c r="L1159" s="11"/>
      <c r="M1159" s="11"/>
      <c r="N1159" s="11"/>
      <c r="O1159" s="11">
        <f>IFERROR(__xludf.DUMMYFUNCTION("""COMPUTED_VALUE"""),9802318418)</f>
        <v>9802318418</v>
      </c>
      <c r="P1159" s="11"/>
      <c r="Q1159" s="11"/>
      <c r="R1159" s="11"/>
      <c r="S1159" s="11"/>
      <c r="T1159" s="11"/>
      <c r="U1159" s="11"/>
      <c r="V1159" s="11"/>
      <c r="W1159" s="11"/>
      <c r="X1159" s="11"/>
      <c r="Y1159" s="11"/>
      <c r="Z1159" s="11"/>
    </row>
    <row r="1160" customHeight="1" spans="1:26">
      <c r="A1160" s="11" t="str">
        <f>IFERROR(__xludf.DUMMYFUNCTION("""COMPUTED_VALUE"""),"RODRIGO JOSE DO E S MONTEIRO")</f>
        <v>RODRIGO JOSE DO E S MONTEIRO</v>
      </c>
      <c r="B1160" s="11"/>
      <c r="C1160" s="11"/>
      <c r="D1160" s="11" t="str">
        <f>IFERROR(__xludf.DUMMYFUNCTION("""COMPUTED_VALUE"""),"ENFERMEIRO 30H - PLANTONISTA")</f>
        <v>ENFERMEIRO 30H - PLANTONISTA</v>
      </c>
      <c r="E1160" s="11"/>
      <c r="F1160" s="11" t="str">
        <f>IFERROR(__xludf.DUMMYFUNCTION("""COMPUTED_VALUE"""),"CENTRO DE TESTAGEM PARQUE DONA LINDU")</f>
        <v>CENTRO DE TESTAGEM PARQUE DONA LINDU</v>
      </c>
      <c r="G1160" s="11" t="str">
        <f>IFERROR(__xludf.DUMMYFUNCTION("""COMPUTED_VALUE"""),"CENTRO DE TESTAGEM PARQUE DONA LINDU")</f>
        <v>CENTRO DE TESTAGEM PARQUE DONA LINDU</v>
      </c>
      <c r="H1160" s="11"/>
      <c r="I1160" s="11"/>
      <c r="J1160" s="11"/>
      <c r="K1160" s="11"/>
      <c r="L1160" s="11"/>
      <c r="M1160" s="11"/>
      <c r="N1160" s="11"/>
      <c r="O1160" s="11">
        <f>IFERROR(__xludf.DUMMYFUNCTION("""COMPUTED_VALUE"""),81967527253)</f>
        <v>81967527253</v>
      </c>
      <c r="P1160" s="11"/>
      <c r="Q1160" s="11"/>
      <c r="R1160" s="11"/>
      <c r="S1160" s="11"/>
      <c r="T1160" s="11"/>
      <c r="U1160" s="11"/>
      <c r="V1160" s="11"/>
      <c r="W1160" s="11"/>
      <c r="X1160" s="11"/>
      <c r="Y1160" s="11"/>
      <c r="Z1160" s="11"/>
    </row>
    <row r="1161" customHeight="1" spans="1:26">
      <c r="A1161" s="11" t="str">
        <f>IFERROR(__xludf.DUMMYFUNCTION("""COMPUTED_VALUE"""),"DILVANIA CRISTOVAO DE ALMEIDA")</f>
        <v>DILVANIA CRISTOVAO DE ALMEIDA</v>
      </c>
      <c r="B1161" s="11"/>
      <c r="C1161" s="11"/>
      <c r="D1161" s="11" t="str">
        <f>IFERROR(__xludf.DUMMYFUNCTION("""COMPUTED_VALUE"""),"ENFERMEIRO 30H - PLANTONISTA")</f>
        <v>ENFERMEIRO 30H - PLANTONISTA</v>
      </c>
      <c r="E1161" s="11"/>
      <c r="F1161" s="11" t="str">
        <f>IFERROR(__xludf.DUMMYFUNCTION("""COMPUTED_VALUE"""),"CENTRO DE TESTAGEM PARQUE DONA LINDU")</f>
        <v>CENTRO DE TESTAGEM PARQUE DONA LINDU</v>
      </c>
      <c r="G1161" s="11" t="str">
        <f>IFERROR(__xludf.DUMMYFUNCTION("""COMPUTED_VALUE"""),"CENTRO DE TESTAGEM PARQUE DONA LINDU")</f>
        <v>CENTRO DE TESTAGEM PARQUE DONA LINDU</v>
      </c>
      <c r="H1161" s="11"/>
      <c r="I1161" s="11"/>
      <c r="J1161" s="11"/>
      <c r="K1161" s="11"/>
      <c r="L1161" s="11"/>
      <c r="M1161" s="11"/>
      <c r="N1161" s="11"/>
      <c r="O1161" s="11">
        <f>IFERROR(__xludf.DUMMYFUNCTION("""COMPUTED_VALUE"""),4944575467)</f>
        <v>4944575467</v>
      </c>
      <c r="P1161" s="11"/>
      <c r="Q1161" s="11"/>
      <c r="R1161" s="11"/>
      <c r="S1161" s="11"/>
      <c r="T1161" s="11"/>
      <c r="U1161" s="11"/>
      <c r="V1161" s="11"/>
      <c r="W1161" s="11"/>
      <c r="X1161" s="11"/>
      <c r="Y1161" s="11"/>
      <c r="Z1161" s="11"/>
    </row>
    <row r="1162" customHeight="1" spans="1:26">
      <c r="A1162" s="11" t="str">
        <f>IFERROR(__xludf.DUMMYFUNCTION("""COMPUTED_VALUE"""),"NEILA Campos de GusmAo")</f>
        <v>NEILA Campos de GusmAo</v>
      </c>
      <c r="B1162" s="11"/>
      <c r="C1162" s="11"/>
      <c r="D1162" s="11" t="str">
        <f>IFERROR(__xludf.DUMMYFUNCTION("""COMPUTED_VALUE"""),"ENFERMEIRO 30H - PLANTONISTA")</f>
        <v>ENFERMEIRO 30H - PLANTONISTA</v>
      </c>
      <c r="E1162" s="11"/>
      <c r="F1162" s="11" t="str">
        <f>IFERROR(__xludf.DUMMYFUNCTION("""COMPUTED_VALUE"""),"CENTRO DE TESTAGEM PARQUE DONA LINDU")</f>
        <v>CENTRO DE TESTAGEM PARQUE DONA LINDU</v>
      </c>
      <c r="G1162" s="11" t="str">
        <f>IFERROR(__xludf.DUMMYFUNCTION("""COMPUTED_VALUE"""),"CENTRO DE TESTAGEM PARQUE DONA LINDU")</f>
        <v>CENTRO DE TESTAGEM PARQUE DONA LINDU</v>
      </c>
      <c r="H1162" s="11"/>
      <c r="I1162" s="11"/>
      <c r="J1162" s="11"/>
      <c r="K1162" s="11"/>
      <c r="L1162" s="11"/>
      <c r="M1162" s="11"/>
      <c r="N1162" s="11"/>
      <c r="O1162" s="11">
        <f>IFERROR(__xludf.DUMMYFUNCTION("""COMPUTED_VALUE"""),5201074464)</f>
        <v>5201074464</v>
      </c>
      <c r="P1162" s="11"/>
      <c r="Q1162" s="11"/>
      <c r="R1162" s="11"/>
      <c r="S1162" s="11"/>
      <c r="T1162" s="11"/>
      <c r="U1162" s="11"/>
      <c r="V1162" s="11"/>
      <c r="W1162" s="11"/>
      <c r="X1162" s="11"/>
      <c r="Y1162" s="11"/>
      <c r="Z1162" s="11"/>
    </row>
    <row r="1163" customHeight="1" spans="1:26">
      <c r="A1163" s="11" t="str">
        <f>IFERROR(__xludf.DUMMYFUNCTION("""COMPUTED_VALUE"""),"CLAUCILENE SAVINO BRELAZ")</f>
        <v>CLAUCILENE SAVINO BRELAZ</v>
      </c>
      <c r="B1163" s="11"/>
      <c r="C1163" s="11"/>
      <c r="D1163" s="11" t="str">
        <f>IFERROR(__xludf.DUMMYFUNCTION("""COMPUTED_VALUE"""),"ENFERMEIRO 30H - PLANTONISTA")</f>
        <v>ENFERMEIRO 30H - PLANTONISTA</v>
      </c>
      <c r="E1163" s="11"/>
      <c r="F1163" s="11" t="str">
        <f>IFERROR(__xludf.DUMMYFUNCTION("""COMPUTED_VALUE"""),"CENTRO DE TESTAGEM PARQUE DONA LINDU")</f>
        <v>CENTRO DE TESTAGEM PARQUE DONA LINDU</v>
      </c>
      <c r="G1163" s="11" t="str">
        <f>IFERROR(__xludf.DUMMYFUNCTION("""COMPUTED_VALUE"""),"CENTRO DE TESTAGEM PARQUE DONA LINDU")</f>
        <v>CENTRO DE TESTAGEM PARQUE DONA LINDU</v>
      </c>
      <c r="H1163" s="11"/>
      <c r="I1163" s="11"/>
      <c r="J1163" s="11"/>
      <c r="K1163" s="11"/>
      <c r="L1163" s="11"/>
      <c r="M1163" s="11"/>
      <c r="N1163" s="11"/>
      <c r="O1163" s="11">
        <f>IFERROR(__xludf.DUMMYFUNCTION("""COMPUTED_VALUE"""),27507262200)</f>
        <v>27507262200</v>
      </c>
      <c r="P1163" s="11"/>
      <c r="Q1163" s="11"/>
      <c r="R1163" s="11"/>
      <c r="S1163" s="11"/>
      <c r="T1163" s="11"/>
      <c r="U1163" s="11"/>
      <c r="V1163" s="11"/>
      <c r="W1163" s="11"/>
      <c r="X1163" s="11"/>
      <c r="Y1163" s="11"/>
      <c r="Z1163" s="11"/>
    </row>
    <row r="1164" customHeight="1" spans="1:26">
      <c r="A1164" s="11" t="str">
        <f>IFERROR(__xludf.DUMMYFUNCTION("""COMPUTED_VALUE"""),"GEISY BARROS DE OLIVEIRA")</f>
        <v>GEISY BARROS DE OLIVEIRA</v>
      </c>
      <c r="B1164" s="11"/>
      <c r="C1164" s="11"/>
      <c r="D1164" s="11" t="str">
        <f>IFERROR(__xludf.DUMMYFUNCTION("""COMPUTED_VALUE"""),"ENFERMEIRO 30H - PLANTONISTA")</f>
        <v>ENFERMEIRO 30H - PLANTONISTA</v>
      </c>
      <c r="E1164" s="11"/>
      <c r="F1164" s="11" t="str">
        <f>IFERROR(__xludf.DUMMYFUNCTION("""COMPUTED_VALUE"""),"CENTRO DE TESTAGEM PARQUE DONA LINDU")</f>
        <v>CENTRO DE TESTAGEM PARQUE DONA LINDU</v>
      </c>
      <c r="G1164" s="11" t="str">
        <f>IFERROR(__xludf.DUMMYFUNCTION("""COMPUTED_VALUE"""),"CENTRO DE TESTAGEM PARQUE DONA LINDU")</f>
        <v>CENTRO DE TESTAGEM PARQUE DONA LINDU</v>
      </c>
      <c r="H1164" s="11"/>
      <c r="I1164" s="11"/>
      <c r="J1164" s="11"/>
      <c r="K1164" s="11"/>
      <c r="L1164" s="11"/>
      <c r="M1164" s="11"/>
      <c r="N1164" s="11"/>
      <c r="O1164" s="11">
        <f>IFERROR(__xludf.DUMMYFUNCTION("""COMPUTED_VALUE"""),8921078479)</f>
        <v>8921078479</v>
      </c>
      <c r="P1164" s="11"/>
      <c r="Q1164" s="11"/>
      <c r="R1164" s="11"/>
      <c r="S1164" s="11"/>
      <c r="T1164" s="11"/>
      <c r="U1164" s="11"/>
      <c r="V1164" s="11"/>
      <c r="W1164" s="11"/>
      <c r="X1164" s="11"/>
      <c r="Y1164" s="11"/>
      <c r="Z1164" s="11"/>
    </row>
    <row r="1165" customHeight="1" spans="1:26">
      <c r="A1165" s="11" t="str">
        <f>IFERROR(__xludf.DUMMYFUNCTION("""COMPUTED_VALUE"""),"Luciana Borges Albuquerque")</f>
        <v>Luciana Borges Albuquerque</v>
      </c>
      <c r="B1165" s="11"/>
      <c r="C1165" s="11"/>
      <c r="D1165" s="11" t="str">
        <f>IFERROR(__xludf.DUMMYFUNCTION("""COMPUTED_VALUE"""),"ENFERMEIRO 30H - PLANTONISTA")</f>
        <v>ENFERMEIRO 30H - PLANTONISTA</v>
      </c>
      <c r="E1165" s="11"/>
      <c r="F1165" s="11" t="str">
        <f>IFERROR(__xludf.DUMMYFUNCTION("""COMPUTED_VALUE"""),"CENTRO DE TESTAGEM COMPAZ ARIANO SUASSUNA - DS IV")</f>
        <v>CENTRO DE TESTAGEM COMPAZ ARIANO SUASSUNA - DS IV</v>
      </c>
      <c r="G1165" s="11" t="str">
        <f>IFERROR(__xludf.DUMMYFUNCTION("""COMPUTED_VALUE"""),"CENTRO DE TESTAGEM COMPAZ ARIANO SUASSUNA - DS IV")</f>
        <v>CENTRO DE TESTAGEM COMPAZ ARIANO SUASSUNA - DS IV</v>
      </c>
      <c r="H1165" s="11"/>
      <c r="I1165" s="11"/>
      <c r="J1165" s="11"/>
      <c r="K1165" s="11"/>
      <c r="L1165" s="11"/>
      <c r="M1165" s="11"/>
      <c r="N1165" s="11"/>
      <c r="O1165" s="11">
        <f>IFERROR(__xludf.DUMMYFUNCTION("""COMPUTED_VALUE"""),2733138430)</f>
        <v>2733138430</v>
      </c>
      <c r="P1165" s="11"/>
      <c r="Q1165" s="11"/>
      <c r="R1165" s="11"/>
      <c r="S1165" s="11"/>
      <c r="T1165" s="11"/>
      <c r="U1165" s="11"/>
      <c r="V1165" s="11"/>
      <c r="W1165" s="11"/>
      <c r="X1165" s="11"/>
      <c r="Y1165" s="11"/>
      <c r="Z1165" s="11"/>
    </row>
    <row r="1166" customHeight="1" spans="1:26">
      <c r="A1166" s="11" t="str">
        <f>IFERROR(__xludf.DUMMYFUNCTION("""COMPUTED_VALUE"""),"ANGELA MARCIA F DA SILVA")</f>
        <v>ANGELA MARCIA F DA SILVA</v>
      </c>
      <c r="B1166" s="11"/>
      <c r="C1166" s="11"/>
      <c r="D1166" s="11" t="str">
        <f>IFERROR(__xludf.DUMMYFUNCTION("""COMPUTED_VALUE"""),"ENFERMEIRO 30H - PLANTONISTA")</f>
        <v>ENFERMEIRO 30H - PLANTONISTA</v>
      </c>
      <c r="E1166" s="11"/>
      <c r="F1166" s="11" t="str">
        <f>IFERROR(__xludf.DUMMYFUNCTION("""COMPUTED_VALUE"""),"CENTRO DE TESTAGEM COMPAZ ARIANO SUASSUNA - DS IV")</f>
        <v>CENTRO DE TESTAGEM COMPAZ ARIANO SUASSUNA - DS IV</v>
      </c>
      <c r="G1166" s="11" t="str">
        <f>IFERROR(__xludf.DUMMYFUNCTION("""COMPUTED_VALUE"""),"CENTRO DE TESTAGEM COMPAZ ARIANO SUASSUNA - DS IV")</f>
        <v>CENTRO DE TESTAGEM COMPAZ ARIANO SUASSUNA - DS IV</v>
      </c>
      <c r="H1166" s="11"/>
      <c r="I1166" s="11"/>
      <c r="J1166" s="11"/>
      <c r="K1166" s="11"/>
      <c r="L1166" s="11"/>
      <c r="M1166" s="11"/>
      <c r="N1166" s="11"/>
      <c r="O1166" s="11">
        <f>IFERROR(__xludf.DUMMYFUNCTION("""COMPUTED_VALUE"""),60940280400)</f>
        <v>60940280400</v>
      </c>
      <c r="P1166" s="11"/>
      <c r="Q1166" s="11"/>
      <c r="R1166" s="11"/>
      <c r="S1166" s="11"/>
      <c r="T1166" s="11"/>
      <c r="U1166" s="11"/>
      <c r="V1166" s="11"/>
      <c r="W1166" s="11"/>
      <c r="X1166" s="11"/>
      <c r="Y1166" s="11"/>
      <c r="Z1166" s="11"/>
    </row>
    <row r="1167" customHeight="1" spans="1:26">
      <c r="A1167" s="11" t="str">
        <f>IFERROR(__xludf.DUMMYFUNCTION("""COMPUTED_VALUE"""),"MARIA TATIANE DE ALBUQUERQUE")</f>
        <v>MARIA TATIANE DE ALBUQUERQUE</v>
      </c>
      <c r="B1167" s="11"/>
      <c r="C1167" s="11"/>
      <c r="D1167" s="11" t="str">
        <f>IFERROR(__xludf.DUMMYFUNCTION("""COMPUTED_VALUE"""),"ENFERMEIRO 30H - PLANTONISTA")</f>
        <v>ENFERMEIRO 30H - PLANTONISTA</v>
      </c>
      <c r="E1167" s="11"/>
      <c r="F1167" s="11" t="str">
        <f>IFERROR(__xludf.DUMMYFUNCTION("""COMPUTED_VALUE"""),"CENTRO DE TESTAGEM PARQUE DONA LINDU")</f>
        <v>CENTRO DE TESTAGEM PARQUE DONA LINDU</v>
      </c>
      <c r="G1167" s="11" t="str">
        <f>IFERROR(__xludf.DUMMYFUNCTION("""COMPUTED_VALUE"""),"CENTRO DE TESTAGEM PARQUE DONA LINDU")</f>
        <v>CENTRO DE TESTAGEM PARQUE DONA LINDU</v>
      </c>
      <c r="H1167" s="11"/>
      <c r="I1167" s="11"/>
      <c r="J1167" s="11"/>
      <c r="K1167" s="11"/>
      <c r="L1167" s="11"/>
      <c r="M1167" s="11"/>
      <c r="N1167" s="11"/>
      <c r="O1167" s="11">
        <f>IFERROR(__xludf.DUMMYFUNCTION("""COMPUTED_VALUE"""),8221206407)</f>
        <v>8221206407</v>
      </c>
      <c r="P1167" s="11"/>
      <c r="Q1167" s="11"/>
      <c r="R1167" s="11"/>
      <c r="S1167" s="11"/>
      <c r="T1167" s="11"/>
      <c r="U1167" s="11"/>
      <c r="V1167" s="11"/>
      <c r="W1167" s="11"/>
      <c r="X1167" s="11"/>
      <c r="Y1167" s="11"/>
      <c r="Z1167" s="11"/>
    </row>
    <row r="1168" customHeight="1" spans="1:26">
      <c r="A1168" s="11" t="str">
        <f>IFERROR(__xludf.DUMMYFUNCTION("""COMPUTED_VALUE"""),"ALEXSANDRO RODRIGUES DE SENA")</f>
        <v>ALEXSANDRO RODRIGUES DE SENA</v>
      </c>
      <c r="B1168" s="11"/>
      <c r="C1168" s="11"/>
      <c r="D1168" s="11" t="str">
        <f>IFERROR(__xludf.DUMMYFUNCTION("""COMPUTED_VALUE"""),"ENFERMEIRO 30H - PLANTONISTA")</f>
        <v>ENFERMEIRO 30H - PLANTONISTA</v>
      </c>
      <c r="E1168" s="11"/>
      <c r="F1168" s="11" t="str">
        <f>IFERROR(__xludf.DUMMYFUNCTION("""COMPUTED_VALUE"""),"CENTRO DE TESTAGEM COMPAZ ARIANO SUASSUNA - DS IV")</f>
        <v>CENTRO DE TESTAGEM COMPAZ ARIANO SUASSUNA - DS IV</v>
      </c>
      <c r="G1168" s="11" t="str">
        <f>IFERROR(__xludf.DUMMYFUNCTION("""COMPUTED_VALUE"""),"CENTRO DE TESTAGEM COMPAZ ARIANO SUASSUNA - DS IV")</f>
        <v>CENTRO DE TESTAGEM COMPAZ ARIANO SUASSUNA - DS IV</v>
      </c>
      <c r="H1168" s="11"/>
      <c r="I1168" s="11"/>
      <c r="J1168" s="11"/>
      <c r="K1168" s="11"/>
      <c r="L1168" s="11"/>
      <c r="M1168" s="11"/>
      <c r="N1168" s="11"/>
      <c r="O1168" s="11">
        <f>IFERROR(__xludf.DUMMYFUNCTION("""COMPUTED_VALUE"""),5385496456)</f>
        <v>5385496456</v>
      </c>
      <c r="P1168" s="11"/>
      <c r="Q1168" s="11"/>
      <c r="R1168" s="11"/>
      <c r="S1168" s="11"/>
      <c r="T1168" s="11"/>
      <c r="U1168" s="11"/>
      <c r="V1168" s="11"/>
      <c r="W1168" s="11"/>
      <c r="X1168" s="11"/>
      <c r="Y1168" s="11"/>
      <c r="Z1168" s="11"/>
    </row>
    <row r="1169" customHeight="1" spans="1:26">
      <c r="A1169" s="11" t="str">
        <f>IFERROR(__xludf.DUMMYFUNCTION("""COMPUTED_VALUE"""),"JENNIFER FELIX DE SOUZA")</f>
        <v>JENNIFER FELIX DE SOUZA</v>
      </c>
      <c r="B1169" s="11"/>
      <c r="C1169" s="11"/>
      <c r="D1169" s="11" t="str">
        <f>IFERROR(__xludf.DUMMYFUNCTION("""COMPUTED_VALUE"""),"ENFERMEIRO 30H - PLANTONISTA")</f>
        <v>ENFERMEIRO 30H - PLANTONISTA</v>
      </c>
      <c r="E1169" s="11"/>
      <c r="F1169" s="11" t="str">
        <f>IFERROR(__xludf.DUMMYFUNCTION("""COMPUTED_VALUE"""),"CENTRO DE TESTAGEM COMPAZ ARIANO SUASSUNA - DS IV")</f>
        <v>CENTRO DE TESTAGEM COMPAZ ARIANO SUASSUNA - DS IV</v>
      </c>
      <c r="G1169" s="11" t="str">
        <f>IFERROR(__xludf.DUMMYFUNCTION("""COMPUTED_VALUE"""),"CENTRO DE TESTAGEM COMPAZ ARIANO SUASSUNA - DS IV")</f>
        <v>CENTRO DE TESTAGEM COMPAZ ARIANO SUASSUNA - DS IV</v>
      </c>
      <c r="H1169" s="11"/>
      <c r="I1169" s="11"/>
      <c r="J1169" s="11"/>
      <c r="K1169" s="11"/>
      <c r="L1169" s="11"/>
      <c r="M1169" s="11"/>
      <c r="N1169" s="11"/>
      <c r="O1169" s="11">
        <f>IFERROR(__xludf.DUMMYFUNCTION("""COMPUTED_VALUE"""),3564135430)</f>
        <v>3564135430</v>
      </c>
      <c r="P1169" s="11"/>
      <c r="Q1169" s="11"/>
      <c r="R1169" s="11"/>
      <c r="S1169" s="11"/>
      <c r="T1169" s="11"/>
      <c r="U1169" s="11"/>
      <c r="V1169" s="11"/>
      <c r="W1169" s="11"/>
      <c r="X1169" s="11"/>
      <c r="Y1169" s="11"/>
      <c r="Z1169" s="11"/>
    </row>
    <row r="1170" customHeight="1" spans="1:26">
      <c r="A1170" s="11" t="str">
        <f>IFERROR(__xludf.DUMMYFUNCTION("""COMPUTED_VALUE"""),"VALERIA CRISTINA H C BARBOSA")</f>
        <v>VALERIA CRISTINA H C BARBOSA</v>
      </c>
      <c r="B1170" s="11"/>
      <c r="C1170" s="11"/>
      <c r="D1170" s="11" t="str">
        <f>IFERROR(__xludf.DUMMYFUNCTION("""COMPUTED_VALUE"""),"ENFERMEIRO 30H - PLANTONISTA")</f>
        <v>ENFERMEIRO 30H - PLANTONISTA</v>
      </c>
      <c r="E1170" s="11"/>
      <c r="F1170" s="11" t="str">
        <f>IFERROR(__xludf.DUMMYFUNCTION("""COMPUTED_VALUE"""),"CENTRO DE TESTAGEM UPA-E MUSTARDINHA - DS V")</f>
        <v>CENTRO DE TESTAGEM UPA-E MUSTARDINHA - DS V</v>
      </c>
      <c r="G1170" s="11" t="str">
        <f>IFERROR(__xludf.DUMMYFUNCTION("""COMPUTED_VALUE"""),"CENTRO DE TESTAGEM UPA-E MUSTARDINHA - DS V")</f>
        <v>CENTRO DE TESTAGEM UPA-E MUSTARDINHA - DS V</v>
      </c>
      <c r="H1170" s="11"/>
      <c r="I1170" s="11"/>
      <c r="J1170" s="11"/>
      <c r="K1170" s="11"/>
      <c r="L1170" s="11"/>
      <c r="M1170" s="11"/>
      <c r="N1170" s="11"/>
      <c r="O1170" s="11">
        <f>IFERROR(__xludf.DUMMYFUNCTION("""COMPUTED_VALUE"""),90814304400)</f>
        <v>90814304400</v>
      </c>
      <c r="P1170" s="11"/>
      <c r="Q1170" s="11"/>
      <c r="R1170" s="11"/>
      <c r="S1170" s="11"/>
      <c r="T1170" s="11"/>
      <c r="U1170" s="11"/>
      <c r="V1170" s="11"/>
      <c r="W1170" s="11"/>
      <c r="X1170" s="11"/>
      <c r="Y1170" s="11"/>
      <c r="Z1170" s="11"/>
    </row>
    <row r="1171" customHeight="1" spans="1:26">
      <c r="A1171" s="11" t="str">
        <f>IFERROR(__xludf.DUMMYFUNCTION("""COMPUTED_VALUE"""),"THUANY LUANA DO NASCIMENTO")</f>
        <v>THUANY LUANA DO NASCIMENTO</v>
      </c>
      <c r="B1171" s="11"/>
      <c r="C1171" s="11"/>
      <c r="D1171" s="11" t="str">
        <f>IFERROR(__xludf.DUMMYFUNCTION("""COMPUTED_VALUE"""),"ENFERMEIRO 30H - PLANTONISTA")</f>
        <v>ENFERMEIRO 30H - PLANTONISTA</v>
      </c>
      <c r="E1171" s="11"/>
      <c r="F1171" s="11" t="str">
        <f>IFERROR(__xludf.DUMMYFUNCTION("""COMPUTED_VALUE"""),"CENTRO DE TESTAGEM UPA-E MUSTARDINHA - DS V")</f>
        <v>CENTRO DE TESTAGEM UPA-E MUSTARDINHA - DS V</v>
      </c>
      <c r="G1171" s="11" t="str">
        <f>IFERROR(__xludf.DUMMYFUNCTION("""COMPUTED_VALUE"""),"CENTRO DE TESTAGEM UPA-E MUSTARDINHA - DS V")</f>
        <v>CENTRO DE TESTAGEM UPA-E MUSTARDINHA - DS V</v>
      </c>
      <c r="H1171" s="11"/>
      <c r="I1171" s="11"/>
      <c r="J1171" s="11"/>
      <c r="K1171" s="11"/>
      <c r="L1171" s="11"/>
      <c r="M1171" s="11"/>
      <c r="N1171" s="11"/>
      <c r="O1171" s="11">
        <f>IFERROR(__xludf.DUMMYFUNCTION("""COMPUTED_VALUE"""),14884655761)</f>
        <v>14884655761</v>
      </c>
      <c r="P1171" s="11"/>
      <c r="Q1171" s="11"/>
      <c r="R1171" s="11"/>
      <c r="S1171" s="11"/>
      <c r="T1171" s="11"/>
      <c r="U1171" s="11"/>
      <c r="V1171" s="11"/>
      <c r="W1171" s="11"/>
      <c r="X1171" s="11"/>
      <c r="Y1171" s="11"/>
      <c r="Z1171" s="11"/>
    </row>
    <row r="1172" customHeight="1" spans="1:26">
      <c r="A1172" s="11" t="str">
        <f>IFERROR(__xludf.DUMMYFUNCTION("""COMPUTED_VALUE"""),"SARA JENIFFER DE A DA SILVA")</f>
        <v>SARA JENIFFER DE A DA SILVA</v>
      </c>
      <c r="B1172" s="11"/>
      <c r="C1172" s="11"/>
      <c r="D1172" s="11" t="str">
        <f>IFERROR(__xludf.DUMMYFUNCTION("""COMPUTED_VALUE"""),"ENFERMEIRO 30H - PLANTONISTA")</f>
        <v>ENFERMEIRO 30H - PLANTONISTA</v>
      </c>
      <c r="E1172" s="11"/>
      <c r="F1172" s="11" t="str">
        <f>IFERROR(__xludf.DUMMYFUNCTION("""COMPUTED_VALUE"""),"CENTRO DE TESTAGEM UPA-E MUSTARDINHA - DS V")</f>
        <v>CENTRO DE TESTAGEM UPA-E MUSTARDINHA - DS V</v>
      </c>
      <c r="G1172" s="11" t="str">
        <f>IFERROR(__xludf.DUMMYFUNCTION("""COMPUTED_VALUE"""),"CENTRO DE TESTAGEM UPA-E MUSTARDINHA - DS V")</f>
        <v>CENTRO DE TESTAGEM UPA-E MUSTARDINHA - DS V</v>
      </c>
      <c r="H1172" s="11"/>
      <c r="I1172" s="11"/>
      <c r="J1172" s="11"/>
      <c r="K1172" s="11"/>
      <c r="L1172" s="11"/>
      <c r="M1172" s="11"/>
      <c r="N1172" s="11"/>
      <c r="O1172" s="11">
        <f>IFERROR(__xludf.DUMMYFUNCTION("""COMPUTED_VALUE"""),10830647465)</f>
        <v>10830647465</v>
      </c>
      <c r="P1172" s="11"/>
      <c r="Q1172" s="11"/>
      <c r="R1172" s="11"/>
      <c r="S1172" s="11"/>
      <c r="T1172" s="11"/>
      <c r="U1172" s="11"/>
      <c r="V1172" s="11"/>
      <c r="W1172" s="11"/>
      <c r="X1172" s="11"/>
      <c r="Y1172" s="11"/>
      <c r="Z1172" s="11"/>
    </row>
    <row r="1173" customHeight="1" spans="1:26">
      <c r="A1173" s="11" t="str">
        <f>IFERROR(__xludf.DUMMYFUNCTION("""COMPUTED_VALUE"""),"ANDRIELE KALINE SILVA")</f>
        <v>ANDRIELE KALINE SILVA</v>
      </c>
      <c r="B1173" s="11"/>
      <c r="C1173" s="11"/>
      <c r="D1173" s="11" t="str">
        <f>IFERROR(__xludf.DUMMYFUNCTION("""COMPUTED_VALUE"""),"ENFERMEIRO 30H - PLANTONISTA")</f>
        <v>ENFERMEIRO 30H - PLANTONISTA</v>
      </c>
      <c r="E1173" s="11"/>
      <c r="F1173" s="11" t="str">
        <f>IFERROR(__xludf.DUMMYFUNCTION("""COMPUTED_VALUE"""),"CENTRO DE TESTAGEM UPA-E MUSTARDINHA - DS V")</f>
        <v>CENTRO DE TESTAGEM UPA-E MUSTARDINHA - DS V</v>
      </c>
      <c r="G1173" s="11" t="str">
        <f>IFERROR(__xludf.DUMMYFUNCTION("""COMPUTED_VALUE"""),"CENTRO DE TESTAGEM UPA-E MUSTARDINHA - DS V")</f>
        <v>CENTRO DE TESTAGEM UPA-E MUSTARDINHA - DS V</v>
      </c>
      <c r="H1173" s="11"/>
      <c r="I1173" s="11"/>
      <c r="J1173" s="11"/>
      <c r="K1173" s="11"/>
      <c r="L1173" s="11"/>
      <c r="M1173" s="11"/>
      <c r="N1173" s="11"/>
      <c r="O1173" s="11">
        <f>IFERROR(__xludf.DUMMYFUNCTION("""COMPUTED_VALUE"""),5569535500)</f>
        <v>5569535500</v>
      </c>
      <c r="P1173" s="11"/>
      <c r="Q1173" s="11"/>
      <c r="R1173" s="11"/>
      <c r="S1173" s="11"/>
      <c r="T1173" s="11"/>
      <c r="U1173" s="11"/>
      <c r="V1173" s="11"/>
      <c r="W1173" s="11"/>
      <c r="X1173" s="11"/>
      <c r="Y1173" s="11"/>
      <c r="Z1173" s="11"/>
    </row>
    <row r="1174" customHeight="1" spans="1:26">
      <c r="A1174" s="11" t="str">
        <f>IFERROR(__xludf.DUMMYFUNCTION("""COMPUTED_VALUE"""),"JERSSYCCA P DOS S NASCIMENTO")</f>
        <v>JERSSYCCA P DOS S NASCIMENTO</v>
      </c>
      <c r="B1174" s="11"/>
      <c r="C1174" s="11"/>
      <c r="D1174" s="11" t="str">
        <f>IFERROR(__xludf.DUMMYFUNCTION("""COMPUTED_VALUE"""),"ENFERMEIRO 30H - PLANTONISTA")</f>
        <v>ENFERMEIRO 30H - PLANTONISTA</v>
      </c>
      <c r="E1174" s="11"/>
      <c r="F1174" s="11" t="str">
        <f>IFERROR(__xludf.DUMMYFUNCTION("""COMPUTED_VALUE"""),"CENTRO DE TESTAGEM UPA-E MUSTARDINHA - DS V")</f>
        <v>CENTRO DE TESTAGEM UPA-E MUSTARDINHA - DS V</v>
      </c>
      <c r="G1174" s="11" t="str">
        <f>IFERROR(__xludf.DUMMYFUNCTION("""COMPUTED_VALUE"""),"CENTRO DE TESTAGEM UPA-E MUSTARDINHA - DS V")</f>
        <v>CENTRO DE TESTAGEM UPA-E MUSTARDINHA - DS V</v>
      </c>
      <c r="H1174" s="11"/>
      <c r="I1174" s="11"/>
      <c r="J1174" s="11"/>
      <c r="K1174" s="11"/>
      <c r="L1174" s="11"/>
      <c r="M1174" s="11"/>
      <c r="N1174" s="11"/>
      <c r="O1174" s="11">
        <f>IFERROR(__xludf.DUMMYFUNCTION("""COMPUTED_VALUE"""),6355896481)</f>
        <v>6355896481</v>
      </c>
      <c r="P1174" s="11"/>
      <c r="Q1174" s="11"/>
      <c r="R1174" s="11"/>
      <c r="S1174" s="11"/>
      <c r="T1174" s="11"/>
      <c r="U1174" s="11"/>
      <c r="V1174" s="11"/>
      <c r="W1174" s="11"/>
      <c r="X1174" s="11"/>
      <c r="Y1174" s="11"/>
      <c r="Z1174" s="11"/>
    </row>
    <row r="1175" customHeight="1" spans="1:26">
      <c r="A1175" s="11" t="str">
        <f>IFERROR(__xludf.DUMMYFUNCTION("""COMPUTED_VALUE"""),"SANDRA CRISTINA DA COSTA")</f>
        <v>SANDRA CRISTINA DA COSTA</v>
      </c>
      <c r="B1175" s="11"/>
      <c r="C1175" s="11"/>
      <c r="D1175" s="11" t="str">
        <f>IFERROR(__xludf.DUMMYFUNCTION("""COMPUTED_VALUE"""),"ENFERMEIRO 30H - PLANTONISTA")</f>
        <v>ENFERMEIRO 30H - PLANTONISTA</v>
      </c>
      <c r="E1175" s="11"/>
      <c r="F1175" s="11" t="str">
        <f>IFERROR(__xludf.DUMMYFUNCTION("""COMPUTED_VALUE"""),"CENTRO DE TESTAGEM UPA-E MUSTARDINHA - DS V")</f>
        <v>CENTRO DE TESTAGEM UPA-E MUSTARDINHA - DS V</v>
      </c>
      <c r="G1175" s="11" t="str">
        <f>IFERROR(__xludf.DUMMYFUNCTION("""COMPUTED_VALUE"""),"CENTRO DE TESTAGEM UPA-E MUSTARDINHA - DS V")</f>
        <v>CENTRO DE TESTAGEM UPA-E MUSTARDINHA - DS V</v>
      </c>
      <c r="H1175" s="11"/>
      <c r="I1175" s="11"/>
      <c r="J1175" s="11"/>
      <c r="K1175" s="11"/>
      <c r="L1175" s="11"/>
      <c r="M1175" s="11"/>
      <c r="N1175" s="11"/>
      <c r="O1175" s="11">
        <f>IFERROR(__xludf.DUMMYFUNCTION("""COMPUTED_VALUE"""),76969150453)</f>
        <v>76969150453</v>
      </c>
      <c r="P1175" s="11"/>
      <c r="Q1175" s="11"/>
      <c r="R1175" s="11"/>
      <c r="S1175" s="11"/>
      <c r="T1175" s="11"/>
      <c r="U1175" s="11"/>
      <c r="V1175" s="11"/>
      <c r="W1175" s="11"/>
      <c r="X1175" s="11"/>
      <c r="Y1175" s="11"/>
      <c r="Z1175" s="11"/>
    </row>
    <row r="1176" customHeight="1" spans="1:26">
      <c r="A1176" s="11" t="str">
        <f>IFERROR(__xludf.DUMMYFUNCTION("""COMPUTED_VALUE"""),"ROSANGELA MARIA O DOS SANTOS")</f>
        <v>ROSANGELA MARIA O DOS SANTOS</v>
      </c>
      <c r="B1176" s="11"/>
      <c r="C1176" s="11"/>
      <c r="D1176" s="11" t="str">
        <f>IFERROR(__xludf.DUMMYFUNCTION("""COMPUTED_VALUE"""),"ENFERMEIRO 30H - PLANTONISTA")</f>
        <v>ENFERMEIRO 30H - PLANTONISTA</v>
      </c>
      <c r="E1176" s="11"/>
      <c r="F1176" s="11" t="str">
        <f>IFERROR(__xludf.DUMMYFUNCTION("""COMPUTED_VALUE"""),"US_103 CS PROF MARIO RAMOS")</f>
        <v>US_103 CS PROF MARIO RAMOS</v>
      </c>
      <c r="G1176" s="11" t="str">
        <f>IFERROR(__xludf.DUMMYFUNCTION("""COMPUTED_VALUE"""),"US_103 CS PROF MARIO RAMOS")</f>
        <v>US_103 CS PROF MARIO RAMOS</v>
      </c>
      <c r="H1176" s="11"/>
      <c r="I1176" s="11"/>
      <c r="J1176" s="11"/>
      <c r="K1176" s="11"/>
      <c r="L1176" s="11"/>
      <c r="M1176" s="11"/>
      <c r="N1176" s="11"/>
      <c r="O1176" s="11">
        <f>IFERROR(__xludf.DUMMYFUNCTION("""COMPUTED_VALUE"""),10573912475)</f>
        <v>10573912475</v>
      </c>
      <c r="P1176" s="11"/>
      <c r="Q1176" s="11"/>
      <c r="R1176" s="11"/>
      <c r="S1176" s="11"/>
      <c r="T1176" s="11"/>
      <c r="U1176" s="11"/>
      <c r="V1176" s="11"/>
      <c r="W1176" s="11"/>
      <c r="X1176" s="11"/>
      <c r="Y1176" s="11"/>
      <c r="Z1176" s="11"/>
    </row>
    <row r="1177" customHeight="1" spans="1:26">
      <c r="A1177" s="11" t="str">
        <f>IFERROR(__xludf.DUMMYFUNCTION("""COMPUTED_VALUE"""),"CLAUDENISE VASCONCELOS SILVA")</f>
        <v>CLAUDENISE VASCONCELOS SILVA</v>
      </c>
      <c r="B1177" s="11"/>
      <c r="C1177" s="11"/>
      <c r="D1177" s="11" t="str">
        <f>IFERROR(__xludf.DUMMYFUNCTION("""COMPUTED_VALUE"""),"ENFERMEIRO 30H - PLANTONISTA")</f>
        <v>ENFERMEIRO 30H - PLANTONISTA</v>
      </c>
      <c r="E1177" s="11"/>
      <c r="F1177" s="11" t="str">
        <f>IFERROR(__xludf.DUMMYFUNCTION("""COMPUTED_VALUE"""),"US_103 CS PROF MARIO RAMOS")</f>
        <v>US_103 CS PROF MARIO RAMOS</v>
      </c>
      <c r="G1177" s="11" t="str">
        <f>IFERROR(__xludf.DUMMYFUNCTION("""COMPUTED_VALUE"""),"US_103 CS PROF MARIO RAMOS")</f>
        <v>US_103 CS PROF MARIO RAMOS</v>
      </c>
      <c r="H1177" s="11"/>
      <c r="I1177" s="11"/>
      <c r="J1177" s="11"/>
      <c r="K1177" s="11"/>
      <c r="L1177" s="11"/>
      <c r="M1177" s="11"/>
      <c r="N1177" s="11"/>
      <c r="O1177" s="11">
        <f>IFERROR(__xludf.DUMMYFUNCTION("""COMPUTED_VALUE"""),1370845448)</f>
        <v>1370845448</v>
      </c>
      <c r="P1177" s="11"/>
      <c r="Q1177" s="11"/>
      <c r="R1177" s="11"/>
      <c r="S1177" s="11"/>
      <c r="T1177" s="11"/>
      <c r="U1177" s="11"/>
      <c r="V1177" s="11"/>
      <c r="W1177" s="11"/>
      <c r="X1177" s="11"/>
      <c r="Y1177" s="11"/>
      <c r="Z1177" s="11"/>
    </row>
    <row r="1178" customHeight="1" spans="1:26">
      <c r="A1178" s="11" t="str">
        <f>IFERROR(__xludf.DUMMYFUNCTION("""COMPUTED_VALUE"""),"LUIZ HENRIQUE F DA SILVA")</f>
        <v>LUIZ HENRIQUE F DA SILVA</v>
      </c>
      <c r="B1178" s="11"/>
      <c r="C1178" s="11"/>
      <c r="D1178" s="11" t="str">
        <f>IFERROR(__xludf.DUMMYFUNCTION("""COMPUTED_VALUE"""),"ENFERMEIRO 30H - PLANTONISTA")</f>
        <v>ENFERMEIRO 30H - PLANTONISTA</v>
      </c>
      <c r="E1178" s="11"/>
      <c r="F1178" s="11" t="str">
        <f>IFERROR(__xludf.DUMMYFUNCTION("""COMPUTED_VALUE"""),"CENTRO DE TESTAGEM UPA-E MUSTARDINHA - DS V")</f>
        <v>CENTRO DE TESTAGEM UPA-E MUSTARDINHA - DS V</v>
      </c>
      <c r="G1178" s="11" t="str">
        <f>IFERROR(__xludf.DUMMYFUNCTION("""COMPUTED_VALUE"""),"CENTRO DE TESTAGEM UPA-E MUSTARDINHA - DS V")</f>
        <v>CENTRO DE TESTAGEM UPA-E MUSTARDINHA - DS V</v>
      </c>
      <c r="H1178" s="11"/>
      <c r="I1178" s="11"/>
      <c r="J1178" s="11"/>
      <c r="K1178" s="11"/>
      <c r="L1178" s="11"/>
      <c r="M1178" s="11"/>
      <c r="N1178" s="11"/>
      <c r="O1178" s="11">
        <f>IFERROR(__xludf.DUMMYFUNCTION("""COMPUTED_VALUE"""),8628310401)</f>
        <v>8628310401</v>
      </c>
      <c r="P1178" s="11"/>
      <c r="Q1178" s="11"/>
      <c r="R1178" s="11"/>
      <c r="S1178" s="11"/>
      <c r="T1178" s="11"/>
      <c r="U1178" s="11"/>
      <c r="V1178" s="11"/>
      <c r="W1178" s="11"/>
      <c r="X1178" s="11"/>
      <c r="Y1178" s="11"/>
      <c r="Z1178" s="11"/>
    </row>
    <row r="1179" customHeight="1" spans="1:26">
      <c r="A1179" s="11" t="str">
        <f>IFERROR(__xludf.DUMMYFUNCTION("""COMPUTED_VALUE"""),"LILIAN COELHO DA SILVA")</f>
        <v>LILIAN COELHO DA SILVA</v>
      </c>
      <c r="B1179" s="11"/>
      <c r="C1179" s="11"/>
      <c r="D1179" s="11" t="str">
        <f>IFERROR(__xludf.DUMMYFUNCTION("""COMPUTED_VALUE"""),"ENFERMEIRO 40H")</f>
        <v>ENFERMEIRO 40H</v>
      </c>
      <c r="E1179" s="11"/>
      <c r="F1179" s="11" t="str">
        <f>IFERROR(__xludf.DUMMYFUNCTION("""COMPUTED_VALUE"""),"US_269 USF BEIRA DO RIO COMUNIDADE BOA VIAGEM")</f>
        <v>US_269 USF BEIRA DO RIO COMUNIDADE BOA VIAGEM</v>
      </c>
      <c r="G1179" s="11" t="str">
        <f>IFERROR(__xludf.DUMMYFUNCTION("""COMPUTED_VALUE"""),"US_269 USF BEIRA DO RIO COMUNIDADE BOA VIAGEM")</f>
        <v>US_269 USF BEIRA DO RIO COMUNIDADE BOA VIAGEM</v>
      </c>
      <c r="H1179" s="27">
        <f>IFERROR(__xludf.DUMMYFUNCTION("""COMPUTED_VALUE"""),81973295651)</f>
        <v>81973295651</v>
      </c>
      <c r="I1179" s="11"/>
      <c r="J1179" s="11"/>
      <c r="K1179" s="11"/>
      <c r="L1179" s="11"/>
      <c r="M1179" s="11"/>
      <c r="N1179" s="11"/>
      <c r="O1179" s="11">
        <f>IFERROR(__xludf.DUMMYFUNCTION("""COMPUTED_VALUE"""),5516042470)</f>
        <v>5516042470</v>
      </c>
      <c r="P1179" s="11"/>
      <c r="Q1179" s="11"/>
      <c r="R1179" s="11"/>
      <c r="S1179" s="11"/>
      <c r="T1179" s="11"/>
      <c r="U1179" s="11"/>
      <c r="V1179" s="11"/>
      <c r="W1179" s="11"/>
      <c r="X1179" s="11"/>
      <c r="Y1179" s="11"/>
      <c r="Z1179" s="11"/>
    </row>
    <row r="1180" customHeight="1" spans="1:26">
      <c r="A1180" s="11" t="str">
        <f>IFERROR(__xludf.DUMMYFUNCTION("""COMPUTED_VALUE"""),"DAMARES GOMES DE B VASCONCELOS")</f>
        <v>DAMARES GOMES DE B VASCONCELOS</v>
      </c>
      <c r="B1180" s="11"/>
      <c r="C1180" s="11"/>
      <c r="D1180" s="11" t="str">
        <f>IFERROR(__xludf.DUMMYFUNCTION("""COMPUTED_VALUE"""),"ENFERMEIRO 30H - DIARISTA")</f>
        <v>ENFERMEIRO 30H - DIARISTA</v>
      </c>
      <c r="E1180" s="11"/>
      <c r="F1180" s="11" t="str">
        <f>IFERROR(__xludf.DUMMYFUNCTION("""COMPUTED_VALUE"""),"US_349 USF CASARAO DO CORDEIRO")</f>
        <v>US_349 USF CASARAO DO CORDEIRO</v>
      </c>
      <c r="G1180" s="11" t="str">
        <f>IFERROR(__xludf.DUMMYFUNCTION("""COMPUTED_VALUE"""),"US_349 USF CASARAO DO CORDEIRO")</f>
        <v>US_349 USF CASARAO DO CORDEIRO</v>
      </c>
      <c r="H1180" s="11"/>
      <c r="I1180" s="11"/>
      <c r="J1180" s="11"/>
      <c r="K1180" s="11"/>
      <c r="L1180" s="11"/>
      <c r="M1180" s="11"/>
      <c r="N1180" s="11"/>
      <c r="O1180" s="11">
        <f>IFERROR(__xludf.DUMMYFUNCTION("""COMPUTED_VALUE"""),9415557478)</f>
        <v>9415557478</v>
      </c>
      <c r="P1180" s="11"/>
      <c r="Q1180" s="11"/>
      <c r="R1180" s="11"/>
      <c r="S1180" s="11"/>
      <c r="T1180" s="11"/>
      <c r="U1180" s="11"/>
      <c r="V1180" s="11"/>
      <c r="W1180" s="11"/>
      <c r="X1180" s="11"/>
      <c r="Y1180" s="11"/>
      <c r="Z1180" s="11"/>
    </row>
    <row r="1181" customHeight="1" spans="1:26">
      <c r="A1181" s="11" t="str">
        <f>IFERROR(__xludf.DUMMYFUNCTION("""COMPUTED_VALUE"""),"LAYS MONYQUE SILVA C SEREJO")</f>
        <v>LAYS MONYQUE SILVA C SEREJO</v>
      </c>
      <c r="B1181" s="11"/>
      <c r="C1181" s="11"/>
      <c r="D1181" s="11" t="str">
        <f>IFERROR(__xludf.DUMMYFUNCTION("""COMPUTED_VALUE"""),"ENFERMEIRO 30H - DIARISTA")</f>
        <v>ENFERMEIRO 30H - DIARISTA</v>
      </c>
      <c r="E1181" s="11"/>
      <c r="F1181" s="11" t="str">
        <f>IFERROR(__xludf.DUMMYFUNCTION("""COMPUTED_VALUE"""),"US_269 USF BEIRA DO RIO COMUNIDADE BOA VIAGEM")</f>
        <v>US_269 USF BEIRA DO RIO COMUNIDADE BOA VIAGEM</v>
      </c>
      <c r="G1181" s="11" t="str">
        <f>IFERROR(__xludf.DUMMYFUNCTION("""COMPUTED_VALUE"""),"US_269 USF BEIRA DO RIO COMUNIDADE BOA VIAGEM")</f>
        <v>US_269 USF BEIRA DO RIO COMUNIDADE BOA VIAGEM</v>
      </c>
      <c r="H1181" s="11"/>
      <c r="I1181" s="11"/>
      <c r="J1181" s="11"/>
      <c r="K1181" s="11"/>
      <c r="L1181" s="11"/>
      <c r="M1181" s="11"/>
      <c r="N1181" s="11"/>
      <c r="O1181" s="11">
        <f>IFERROR(__xludf.DUMMYFUNCTION("""COMPUTED_VALUE"""),10153903406)</f>
        <v>10153903406</v>
      </c>
      <c r="P1181" s="11"/>
      <c r="Q1181" s="11"/>
      <c r="R1181" s="11"/>
      <c r="S1181" s="11"/>
      <c r="T1181" s="11"/>
      <c r="U1181" s="11"/>
      <c r="V1181" s="11"/>
      <c r="W1181" s="11"/>
      <c r="X1181" s="11"/>
      <c r="Y1181" s="11"/>
      <c r="Z1181" s="11"/>
    </row>
    <row r="1182" customHeight="1" spans="1:26">
      <c r="A1182" s="11" t="str">
        <f>IFERROR(__xludf.DUMMYFUNCTION("""COMPUTED_VALUE"""),"CELIA MORAIS DE ARRIBAS")</f>
        <v>CELIA MORAIS DE ARRIBAS</v>
      </c>
      <c r="B1182" s="11"/>
      <c r="C1182" s="11"/>
      <c r="D1182" s="11" t="str">
        <f>IFERROR(__xludf.DUMMYFUNCTION("""COMPUTED_VALUE"""),"ENFERMEIRO 30H")</f>
        <v>ENFERMEIRO 30H</v>
      </c>
      <c r="E1182" s="11"/>
      <c r="F1182" s="11" t="str">
        <f>IFERROR(__xludf.DUMMYFUNCTION("""COMPUTED_VALUE"""),"SEDE DISTRITO SANITARIO IV")</f>
        <v>SEDE DISTRITO SANITARIO IV</v>
      </c>
      <c r="G1182" s="11" t="str">
        <f>IFERROR(__xludf.DUMMYFUNCTION("""COMPUTED_VALUE"""),"SEDE DISTRITO SANITARIO IV")</f>
        <v>SEDE DISTRITO SANITARIO IV</v>
      </c>
      <c r="H1182" s="11"/>
      <c r="I1182" s="11"/>
      <c r="J1182" s="11"/>
      <c r="K1182" s="11"/>
      <c r="L1182" s="11"/>
      <c r="M1182" s="11"/>
      <c r="N1182" s="11"/>
      <c r="O1182" s="11">
        <f>IFERROR(__xludf.DUMMYFUNCTION("""COMPUTED_VALUE"""),13823809415)</f>
        <v>13823809415</v>
      </c>
      <c r="P1182" s="11"/>
      <c r="Q1182" s="11"/>
      <c r="R1182" s="11"/>
      <c r="S1182" s="11"/>
      <c r="T1182" s="11"/>
      <c r="U1182" s="11"/>
      <c r="V1182" s="11"/>
      <c r="W1182" s="11"/>
      <c r="X1182" s="11"/>
      <c r="Y1182" s="11"/>
      <c r="Z1182" s="11"/>
    </row>
    <row r="1183" customHeight="1" spans="1:26">
      <c r="A1183" s="11" t="str">
        <f>IFERROR(__xludf.DUMMYFUNCTION("""COMPUTED_VALUE"""),"ILMA CRISTINA S DO NASCIMENTO")</f>
        <v>ILMA CRISTINA S DO NASCIMENTO</v>
      </c>
      <c r="B1183" s="11"/>
      <c r="C1183" s="11"/>
      <c r="D1183" s="11" t="str">
        <f>IFERROR(__xludf.DUMMYFUNCTION("""COMPUTED_VALUE"""),"ENFERMEIRO 30H")</f>
        <v>ENFERMEIRO 30H</v>
      </c>
      <c r="E1183" s="11"/>
      <c r="F1183" s="11" t="str">
        <f>IFERROR(__xludf.DUMMYFUNCTION("""COMPUTED_VALUE"""),"SEDE DISTRITO SANITARIO V")</f>
        <v>SEDE DISTRITO SANITARIO V</v>
      </c>
      <c r="G1183" s="11" t="str">
        <f>IFERROR(__xludf.DUMMYFUNCTION("""COMPUTED_VALUE"""),"SEDE DISTRITO SANITARIO V")</f>
        <v>SEDE DISTRITO SANITARIO V</v>
      </c>
      <c r="H1183" s="11"/>
      <c r="I1183" s="11"/>
      <c r="J1183" s="11"/>
      <c r="K1183" s="11"/>
      <c r="L1183" s="11"/>
      <c r="M1183" s="11"/>
      <c r="N1183" s="11"/>
      <c r="O1183" s="11">
        <f>IFERROR(__xludf.DUMMYFUNCTION("""COMPUTED_VALUE"""),43157327453)</f>
        <v>43157327453</v>
      </c>
      <c r="P1183" s="11"/>
      <c r="Q1183" s="11"/>
      <c r="R1183" s="11"/>
      <c r="S1183" s="11"/>
      <c r="T1183" s="11"/>
      <c r="U1183" s="11"/>
      <c r="V1183" s="11"/>
      <c r="W1183" s="11"/>
      <c r="X1183" s="11"/>
      <c r="Y1183" s="11"/>
      <c r="Z1183" s="11"/>
    </row>
    <row r="1184" customHeight="1" spans="1:26">
      <c r="A1184" s="11" t="str">
        <f>IFERROR(__xludf.DUMMYFUNCTION("""COMPUTED_VALUE"""),"SIMONE LEAL BATISTA")</f>
        <v>SIMONE LEAL BATISTA</v>
      </c>
      <c r="B1184" s="11"/>
      <c r="C1184" s="11"/>
      <c r="D1184" s="11" t="str">
        <f>IFERROR(__xludf.DUMMYFUNCTION("""COMPUTED_VALUE"""),"ENFERMEIRO 30H")</f>
        <v>ENFERMEIRO 30H</v>
      </c>
      <c r="E1184" s="11"/>
      <c r="F1184" s="11" t="str">
        <f>IFERROR(__xludf.DUMMYFUNCTION("""COMPUTED_VALUE"""),"SEDE DISTRITO SANITARIO VI")</f>
        <v>SEDE DISTRITO SANITARIO VI</v>
      </c>
      <c r="G1184" s="11" t="str">
        <f>IFERROR(__xludf.DUMMYFUNCTION("""COMPUTED_VALUE"""),"SEDE DISTRITO SANITARIO VI")</f>
        <v>SEDE DISTRITO SANITARIO VI</v>
      </c>
      <c r="H1184" s="11"/>
      <c r="I1184" s="11"/>
      <c r="J1184" s="11"/>
      <c r="K1184" s="11"/>
      <c r="L1184" s="11"/>
      <c r="M1184" s="11"/>
      <c r="N1184" s="11"/>
      <c r="O1184" s="11">
        <f>IFERROR(__xludf.DUMMYFUNCTION("""COMPUTED_VALUE"""),52116930430)</f>
        <v>52116930430</v>
      </c>
      <c r="P1184" s="11"/>
      <c r="Q1184" s="11"/>
      <c r="R1184" s="11"/>
      <c r="S1184" s="11"/>
      <c r="T1184" s="11"/>
      <c r="U1184" s="11"/>
      <c r="V1184" s="11"/>
      <c r="W1184" s="11"/>
      <c r="X1184" s="11"/>
      <c r="Y1184" s="11"/>
      <c r="Z1184" s="11"/>
    </row>
    <row r="1185" customHeight="1" spans="1:26">
      <c r="A1185" s="11" t="str">
        <f>IFERROR(__xludf.DUMMYFUNCTION("""COMPUTED_VALUE"""),"TEREZA DO CARMO M DOS S COELHO")</f>
        <v>TEREZA DO CARMO M DOS S COELHO</v>
      </c>
      <c r="B1185" s="11"/>
      <c r="C1185" s="11"/>
      <c r="D1185" s="11" t="str">
        <f>IFERROR(__xludf.DUMMYFUNCTION("""COMPUTED_VALUE"""),"SERV DE ORGAO MUNICIPALIZ RP")</f>
        <v>SERV DE ORGAO MUNICIPALIZ RP</v>
      </c>
      <c r="E1185" s="11"/>
      <c r="F1185" s="11" t="str">
        <f>IFERROR(__xludf.DUMMYFUNCTION("""COMPUTED_VALUE"""),"SEDE DISTRITO SANITARIO III")</f>
        <v>SEDE DISTRITO SANITARIO III</v>
      </c>
      <c r="G1185" s="11" t="str">
        <f>IFERROR(__xludf.DUMMYFUNCTION("""COMPUTED_VALUE"""),"SEDE DISTRITO SANITARIO III")</f>
        <v>SEDE DISTRITO SANITARIO III</v>
      </c>
      <c r="H1185" s="11"/>
      <c r="I1185" s="11"/>
      <c r="J1185" s="11"/>
      <c r="K1185" s="11"/>
      <c r="L1185" s="11"/>
      <c r="M1185" s="11"/>
      <c r="N1185" s="11"/>
      <c r="O1185" s="11">
        <f>IFERROR(__xludf.DUMMYFUNCTION("""COMPUTED_VALUE"""),35418451472)</f>
        <v>35418451472</v>
      </c>
      <c r="P1185" s="11"/>
      <c r="Q1185" s="11"/>
      <c r="R1185" s="11"/>
      <c r="S1185" s="11"/>
      <c r="T1185" s="11"/>
      <c r="U1185" s="11"/>
      <c r="V1185" s="11"/>
      <c r="W1185" s="11"/>
      <c r="X1185" s="11"/>
      <c r="Y1185" s="11"/>
      <c r="Z1185" s="11"/>
    </row>
    <row r="1186" customHeight="1" spans="1:26">
      <c r="A1186" s="11" t="str">
        <f>IFERROR(__xludf.DUMMYFUNCTION("""COMPUTED_VALUE"""),"MARIA CLEONICE VICTOR DA SILVA")</f>
        <v>MARIA CLEONICE VICTOR DA SILVA</v>
      </c>
      <c r="B1186" s="11"/>
      <c r="C1186" s="11"/>
      <c r="D1186" s="11" t="str">
        <f>IFERROR(__xludf.DUMMYFUNCTION("""COMPUTED_VALUE"""),"ENFERMEIRO 30H")</f>
        <v>ENFERMEIRO 30H</v>
      </c>
      <c r="E1186" s="11"/>
      <c r="F1186" s="11" t="str">
        <f>IFERROR(__xludf.DUMMYFUNCTION("""COMPUTED_VALUE"""),"SEDE DISTRITO SANITARIO VI")</f>
        <v>SEDE DISTRITO SANITARIO VI</v>
      </c>
      <c r="G1186" s="11" t="str">
        <f>IFERROR(__xludf.DUMMYFUNCTION("""COMPUTED_VALUE"""),"SEDE DISTRITO SANITARIO VI")</f>
        <v>SEDE DISTRITO SANITARIO VI</v>
      </c>
      <c r="H1186" s="11"/>
      <c r="I1186" s="11"/>
      <c r="J1186" s="11"/>
      <c r="K1186" s="11"/>
      <c r="L1186" s="11"/>
      <c r="M1186" s="11"/>
      <c r="N1186" s="11"/>
      <c r="O1186" s="11">
        <f>IFERROR(__xludf.DUMMYFUNCTION("""COMPUTED_VALUE"""),40537641491)</f>
        <v>40537641491</v>
      </c>
      <c r="P1186" s="11"/>
      <c r="Q1186" s="11"/>
      <c r="R1186" s="11"/>
      <c r="S1186" s="11"/>
      <c r="T1186" s="11"/>
      <c r="U1186" s="11"/>
      <c r="V1186" s="11"/>
      <c r="W1186" s="11"/>
      <c r="X1186" s="11"/>
      <c r="Y1186" s="11"/>
      <c r="Z1186" s="11"/>
    </row>
    <row r="1187" customHeight="1" spans="1:26">
      <c r="A1187" s="11" t="str">
        <f>IFERROR(__xludf.DUMMYFUNCTION("""COMPUTED_VALUE"""),"ROZIMARE RIBEIRO SALES")</f>
        <v>ROZIMARE RIBEIRO SALES</v>
      </c>
      <c r="B1187" s="11"/>
      <c r="C1187" s="11"/>
      <c r="D1187" s="11" t="str">
        <f>IFERROR(__xludf.DUMMYFUNCTION("""COMPUTED_VALUE"""),"ENFERMEIRO 30H")</f>
        <v>ENFERMEIRO 30H</v>
      </c>
      <c r="E1187" s="11"/>
      <c r="F1187" s="11" t="str">
        <f>IFERROR(__xludf.DUMMYFUNCTION("""COMPUTED_VALUE"""),"SEDE DISTRITO SANITARIO III")</f>
        <v>SEDE DISTRITO SANITARIO III</v>
      </c>
      <c r="G1187" s="11" t="str">
        <f>IFERROR(__xludf.DUMMYFUNCTION("""COMPUTED_VALUE"""),"SEDE DISTRITO SANITARIO III")</f>
        <v>SEDE DISTRITO SANITARIO III</v>
      </c>
      <c r="H1187" s="11"/>
      <c r="I1187" s="11"/>
      <c r="J1187" s="11"/>
      <c r="K1187" s="11"/>
      <c r="L1187" s="11"/>
      <c r="M1187" s="11"/>
      <c r="N1187" s="11"/>
      <c r="O1187" s="11">
        <f>IFERROR(__xludf.DUMMYFUNCTION("""COMPUTED_VALUE"""),30471940410)</f>
        <v>30471940410</v>
      </c>
      <c r="P1187" s="11"/>
      <c r="Q1187" s="11"/>
      <c r="R1187" s="11"/>
      <c r="S1187" s="11"/>
      <c r="T1187" s="11"/>
      <c r="U1187" s="11"/>
      <c r="V1187" s="11"/>
      <c r="W1187" s="11"/>
      <c r="X1187" s="11"/>
      <c r="Y1187" s="11"/>
      <c r="Z1187" s="11"/>
    </row>
    <row r="1188" customHeight="1" spans="1:26">
      <c r="A1188" s="11" t="str">
        <f>IFERROR(__xludf.DUMMYFUNCTION("""COMPUTED_VALUE"""),"LUCIANA DE FRANCA CAVALCANTI")</f>
        <v>LUCIANA DE FRANCA CAVALCANTI</v>
      </c>
      <c r="B1188" s="11"/>
      <c r="C1188" s="11"/>
      <c r="D1188" s="11" t="str">
        <f>IFERROR(__xludf.DUMMYFUNCTION("""COMPUTED_VALUE"""),"ENFERMEIRO 30H")</f>
        <v>ENFERMEIRO 30H</v>
      </c>
      <c r="E1188" s="11"/>
      <c r="F1188" s="11" t="str">
        <f>IFERROR(__xludf.DUMMYFUNCTION("""COMPUTED_VALUE"""),"SEDE DISTRITO SANITARIO IV")</f>
        <v>SEDE DISTRITO SANITARIO IV</v>
      </c>
      <c r="G1188" s="11" t="str">
        <f>IFERROR(__xludf.DUMMYFUNCTION("""COMPUTED_VALUE"""),"SEDE DISTRITO SANITARIO IV")</f>
        <v>SEDE DISTRITO SANITARIO IV</v>
      </c>
      <c r="H1188" s="11"/>
      <c r="I1188" s="11"/>
      <c r="J1188" s="11"/>
      <c r="K1188" s="11"/>
      <c r="L1188" s="11"/>
      <c r="M1188" s="11"/>
      <c r="N1188" s="11"/>
      <c r="O1188" s="11">
        <f>IFERROR(__xludf.DUMMYFUNCTION("""COMPUTED_VALUE"""),2535724448)</f>
        <v>2535724448</v>
      </c>
      <c r="P1188" s="11"/>
      <c r="Q1188" s="11"/>
      <c r="R1188" s="11"/>
      <c r="S1188" s="11"/>
      <c r="T1188" s="11"/>
      <c r="U1188" s="11"/>
      <c r="V1188" s="11"/>
      <c r="W1188" s="11"/>
      <c r="X1188" s="11"/>
      <c r="Y1188" s="11"/>
      <c r="Z1188" s="11"/>
    </row>
    <row r="1189" customHeight="1" spans="1:26">
      <c r="A1189" s="11" t="str">
        <f>IFERROR(__xludf.DUMMYFUNCTION("""COMPUTED_VALUE"""),"SUELY FERREIRA GOMES")</f>
        <v>SUELY FERREIRA GOMES</v>
      </c>
      <c r="B1189" s="11"/>
      <c r="C1189" s="11"/>
      <c r="D1189" s="11" t="str">
        <f>IFERROR(__xludf.DUMMYFUNCTION("""COMPUTED_VALUE"""),"ENFERMEIRO 30H")</f>
        <v>ENFERMEIRO 30H</v>
      </c>
      <c r="E1189" s="11"/>
      <c r="F1189" s="11" t="str">
        <f>IFERROR(__xludf.DUMMYFUNCTION("""COMPUTED_VALUE"""),"SEDE DISTRITO SANITARIO IV")</f>
        <v>SEDE DISTRITO SANITARIO IV</v>
      </c>
      <c r="G1189" s="11" t="str">
        <f>IFERROR(__xludf.DUMMYFUNCTION("""COMPUTED_VALUE"""),"SEDE DISTRITO SANITARIO IV")</f>
        <v>SEDE DISTRITO SANITARIO IV</v>
      </c>
      <c r="H1189" s="11"/>
      <c r="I1189" s="11"/>
      <c r="J1189" s="11"/>
      <c r="K1189" s="11"/>
      <c r="L1189" s="11"/>
      <c r="M1189" s="11"/>
      <c r="N1189" s="11"/>
      <c r="O1189" s="11">
        <f>IFERROR(__xludf.DUMMYFUNCTION("""COMPUTED_VALUE"""),87011883487)</f>
        <v>87011883487</v>
      </c>
      <c r="P1189" s="11"/>
      <c r="Q1189" s="11"/>
      <c r="R1189" s="11"/>
      <c r="S1189" s="11"/>
      <c r="T1189" s="11"/>
      <c r="U1189" s="11"/>
      <c r="V1189" s="11"/>
      <c r="W1189" s="11"/>
      <c r="X1189" s="11"/>
      <c r="Y1189" s="11"/>
      <c r="Z1189" s="11"/>
    </row>
    <row r="1190" customHeight="1" spans="1:26">
      <c r="A1190" s="11" t="str">
        <f>IFERROR(__xludf.DUMMYFUNCTION("""COMPUTED_VALUE"""),"LUCIA DE FATIMA MODESTO LOPES")</f>
        <v>LUCIA DE FATIMA MODESTO LOPES</v>
      </c>
      <c r="B1190" s="11"/>
      <c r="C1190" s="11"/>
      <c r="D1190" s="11" t="str">
        <f>IFERROR(__xludf.DUMMYFUNCTION("""COMPUTED_VALUE"""),"ENFERMEIRO 30H")</f>
        <v>ENFERMEIRO 30H</v>
      </c>
      <c r="E1190" s="11"/>
      <c r="F1190" s="11" t="str">
        <f>IFERROR(__xludf.DUMMYFUNCTION("""COMPUTED_VALUE"""),"SEDE DISTRITO SANITARIO I")</f>
        <v>SEDE DISTRITO SANITARIO I</v>
      </c>
      <c r="G1190" s="11" t="str">
        <f>IFERROR(__xludf.DUMMYFUNCTION("""COMPUTED_VALUE"""),"SEDE DISTRITO SANITARIO I")</f>
        <v>SEDE DISTRITO SANITARIO I</v>
      </c>
      <c r="H1190" s="11"/>
      <c r="I1190" s="11"/>
      <c r="J1190" s="11"/>
      <c r="K1190" s="11"/>
      <c r="L1190" s="11"/>
      <c r="M1190" s="11"/>
      <c r="N1190" s="11"/>
      <c r="O1190" s="11">
        <f>IFERROR(__xludf.DUMMYFUNCTION("""COMPUTED_VALUE"""),44949014404)</f>
        <v>44949014404</v>
      </c>
      <c r="P1190" s="11"/>
      <c r="Q1190" s="11"/>
      <c r="R1190" s="11"/>
      <c r="S1190" s="11"/>
      <c r="T1190" s="11"/>
      <c r="U1190" s="11"/>
      <c r="V1190" s="11"/>
      <c r="W1190" s="11"/>
      <c r="X1190" s="11"/>
      <c r="Y1190" s="11"/>
      <c r="Z1190" s="11"/>
    </row>
    <row r="1191" customHeight="1" spans="1:26">
      <c r="A1191" s="11" t="str">
        <f>IFERROR(__xludf.DUMMYFUNCTION("""COMPUTED_VALUE"""),"MARIA HELENA DOS S OLIVEIRA")</f>
        <v>MARIA HELENA DOS S OLIVEIRA</v>
      </c>
      <c r="B1191" s="11"/>
      <c r="C1191" s="11"/>
      <c r="D1191" s="11" t="str">
        <f>IFERROR(__xludf.DUMMYFUNCTION("""COMPUTED_VALUE"""),"ENFERMEIRO 30H")</f>
        <v>ENFERMEIRO 30H</v>
      </c>
      <c r="E1191" s="11"/>
      <c r="F1191" s="11" t="str">
        <f>IFERROR(__xludf.DUMMYFUNCTION("""COMPUTED_VALUE"""),"SEDE DISTRITO SANITARIO II")</f>
        <v>SEDE DISTRITO SANITARIO II</v>
      </c>
      <c r="G1191" s="11" t="str">
        <f>IFERROR(__xludf.DUMMYFUNCTION("""COMPUTED_VALUE"""),"SEDE DISTRITO SANITARIO II")</f>
        <v>SEDE DISTRITO SANITARIO II</v>
      </c>
      <c r="H1191" s="11"/>
      <c r="I1191" s="11"/>
      <c r="J1191" s="11"/>
      <c r="K1191" s="11"/>
      <c r="L1191" s="11"/>
      <c r="M1191" s="11"/>
      <c r="N1191" s="11"/>
      <c r="O1191" s="11">
        <f>IFERROR(__xludf.DUMMYFUNCTION("""COMPUTED_VALUE"""),23563133468)</f>
        <v>23563133468</v>
      </c>
      <c r="P1191" s="11"/>
      <c r="Q1191" s="11"/>
      <c r="R1191" s="11"/>
      <c r="S1191" s="11"/>
      <c r="T1191" s="11"/>
      <c r="U1191" s="11"/>
      <c r="V1191" s="11"/>
      <c r="W1191" s="11"/>
      <c r="X1191" s="11"/>
      <c r="Y1191" s="11"/>
      <c r="Z1191" s="11"/>
    </row>
    <row r="1192" customHeight="1" spans="1:26">
      <c r="A1192" s="11" t="str">
        <f>IFERROR(__xludf.DUMMYFUNCTION("""COMPUTED_VALUE"""),"NIVIA CARLA DE LIMA")</f>
        <v>NIVIA CARLA DE LIMA</v>
      </c>
      <c r="B1192" s="11"/>
      <c r="C1192" s="11"/>
      <c r="D1192" s="11" t="str">
        <f>IFERROR(__xludf.DUMMYFUNCTION("""COMPUTED_VALUE"""),"ENFERMEIRO 30H")</f>
        <v>ENFERMEIRO 30H</v>
      </c>
      <c r="E1192" s="11"/>
      <c r="F1192" s="11" t="str">
        <f>IFERROR(__xludf.DUMMYFUNCTION("""COMPUTED_VALUE"""),"SEDE DISTRITO SANITARIO I")</f>
        <v>SEDE DISTRITO SANITARIO I</v>
      </c>
      <c r="G1192" s="11" t="str">
        <f>IFERROR(__xludf.DUMMYFUNCTION("""COMPUTED_VALUE"""),"SEDE DISTRITO SANITARIO I")</f>
        <v>SEDE DISTRITO SANITARIO I</v>
      </c>
      <c r="H1192" s="11"/>
      <c r="I1192" s="11"/>
      <c r="J1192" s="11"/>
      <c r="K1192" s="11"/>
      <c r="L1192" s="11"/>
      <c r="M1192" s="11"/>
      <c r="N1192" s="11"/>
      <c r="O1192" s="11">
        <f>IFERROR(__xludf.DUMMYFUNCTION("""COMPUTED_VALUE"""),2094232425)</f>
        <v>2094232425</v>
      </c>
      <c r="P1192" s="11"/>
      <c r="Q1192" s="11"/>
      <c r="R1192" s="11"/>
      <c r="S1192" s="11"/>
      <c r="T1192" s="11"/>
      <c r="U1192" s="11"/>
      <c r="V1192" s="11"/>
      <c r="W1192" s="11"/>
      <c r="X1192" s="11"/>
      <c r="Y1192" s="11"/>
      <c r="Z1192" s="11"/>
    </row>
    <row r="1193" customHeight="1" spans="1:26">
      <c r="A1193" s="11" t="str">
        <f>IFERROR(__xludf.DUMMYFUNCTION("""COMPUTED_VALUE"""),"CREUZA M T DE ALBUQUERQUE")</f>
        <v>CREUZA M T DE ALBUQUERQUE</v>
      </c>
      <c r="B1193" s="11"/>
      <c r="C1193" s="11"/>
      <c r="D1193" s="11" t="str">
        <f>IFERROR(__xludf.DUMMYFUNCTION("""COMPUTED_VALUE"""),"ENFERMEIRO 30H")</f>
        <v>ENFERMEIRO 30H</v>
      </c>
      <c r="E1193" s="11"/>
      <c r="F1193" s="11" t="str">
        <f>IFERROR(__xludf.DUMMYFUNCTION("""COMPUTED_VALUE"""),"SEDE DISTRITO SANITARIO IV")</f>
        <v>SEDE DISTRITO SANITARIO IV</v>
      </c>
      <c r="G1193" s="11" t="str">
        <f>IFERROR(__xludf.DUMMYFUNCTION("""COMPUTED_VALUE"""),"SEDE DISTRITO SANITARIO IV")</f>
        <v>SEDE DISTRITO SANITARIO IV</v>
      </c>
      <c r="H1193" s="11"/>
      <c r="I1193" s="11"/>
      <c r="J1193" s="11"/>
      <c r="K1193" s="11"/>
      <c r="L1193" s="11"/>
      <c r="M1193" s="11"/>
      <c r="N1193" s="11"/>
      <c r="O1193" s="11">
        <f>IFERROR(__xludf.DUMMYFUNCTION("""COMPUTED_VALUE"""),3542372412)</f>
        <v>3542372412</v>
      </c>
      <c r="P1193" s="11"/>
      <c r="Q1193" s="11"/>
      <c r="R1193" s="11"/>
      <c r="S1193" s="11"/>
      <c r="T1193" s="11"/>
      <c r="U1193" s="11"/>
      <c r="V1193" s="11"/>
      <c r="W1193" s="11"/>
      <c r="X1193" s="11"/>
      <c r="Y1193" s="11"/>
      <c r="Z1193" s="11"/>
    </row>
    <row r="1194" customHeight="1" spans="1:26">
      <c r="A1194" s="11" t="str">
        <f>IFERROR(__xludf.DUMMYFUNCTION("""COMPUTED_VALUE"""),"FERNANDA ANTONIA P N DE ASSIS")</f>
        <v>FERNANDA ANTONIA P N DE ASSIS</v>
      </c>
      <c r="B1194" s="11"/>
      <c r="C1194" s="11"/>
      <c r="D1194" s="11" t="str">
        <f>IFERROR(__xludf.DUMMYFUNCTION("""COMPUTED_VALUE"""),"ENFERMEIRO 30H")</f>
        <v>ENFERMEIRO 30H</v>
      </c>
      <c r="E1194" s="11"/>
      <c r="F1194" s="11" t="str">
        <f>IFERROR(__xludf.DUMMYFUNCTION("""COMPUTED_VALUE"""),"SEDE DISTRITO SANITARIO VII")</f>
        <v>SEDE DISTRITO SANITARIO VII</v>
      </c>
      <c r="G1194" s="11" t="str">
        <f>IFERROR(__xludf.DUMMYFUNCTION("""COMPUTED_VALUE"""),"SEDE DISTRITO SANITARIO VII")</f>
        <v>SEDE DISTRITO SANITARIO VII</v>
      </c>
      <c r="H1194" s="11"/>
      <c r="I1194" s="11"/>
      <c r="J1194" s="11"/>
      <c r="K1194" s="11"/>
      <c r="L1194" s="11"/>
      <c r="M1194" s="11"/>
      <c r="N1194" s="11"/>
      <c r="O1194" s="11">
        <f>IFERROR(__xludf.DUMMYFUNCTION("""COMPUTED_VALUE"""),19248261434)</f>
        <v>19248261434</v>
      </c>
      <c r="P1194" s="11"/>
      <c r="Q1194" s="11"/>
      <c r="R1194" s="11"/>
      <c r="S1194" s="11"/>
      <c r="T1194" s="11"/>
      <c r="U1194" s="11"/>
      <c r="V1194" s="11"/>
      <c r="W1194" s="11"/>
      <c r="X1194" s="11"/>
      <c r="Y1194" s="11"/>
      <c r="Z1194" s="11"/>
    </row>
    <row r="1195" customHeight="1" spans="1:26">
      <c r="A1195" s="11" t="str">
        <f>IFERROR(__xludf.DUMMYFUNCTION("""COMPUTED_VALUE"""),"MARIA JULIA BARROS VILELA")</f>
        <v>MARIA JULIA BARROS VILELA</v>
      </c>
      <c r="B1195" s="11"/>
      <c r="C1195" s="11"/>
      <c r="D1195" s="11" t="str">
        <f>IFERROR(__xludf.DUMMYFUNCTION("""COMPUTED_VALUE"""),"ENFERMEIRO 30H")</f>
        <v>ENFERMEIRO 30H</v>
      </c>
      <c r="E1195" s="11"/>
      <c r="F1195" s="11" t="str">
        <f>IFERROR(__xludf.DUMMYFUNCTION("""COMPUTED_VALUE"""),"SEDE DISTRITO SANITARIO VI")</f>
        <v>SEDE DISTRITO SANITARIO VI</v>
      </c>
      <c r="G1195" s="11" t="str">
        <f>IFERROR(__xludf.DUMMYFUNCTION("""COMPUTED_VALUE"""),"SEDE DISTRITO SANITARIO VI")</f>
        <v>SEDE DISTRITO SANITARIO VI</v>
      </c>
      <c r="H1195" s="11"/>
      <c r="I1195" s="11"/>
      <c r="J1195" s="11"/>
      <c r="K1195" s="11"/>
      <c r="L1195" s="11"/>
      <c r="M1195" s="11"/>
      <c r="N1195" s="11"/>
      <c r="O1195" s="11">
        <f>IFERROR(__xludf.DUMMYFUNCTION("""COMPUTED_VALUE"""),45020965472)</f>
        <v>45020965472</v>
      </c>
      <c r="P1195" s="11"/>
      <c r="Q1195" s="11"/>
      <c r="R1195" s="11"/>
      <c r="S1195" s="11"/>
      <c r="T1195" s="11"/>
      <c r="U1195" s="11"/>
      <c r="V1195" s="11"/>
      <c r="W1195" s="11"/>
      <c r="X1195" s="11"/>
      <c r="Y1195" s="11"/>
      <c r="Z1195" s="11"/>
    </row>
    <row r="1196" customHeight="1" spans="1:26">
      <c r="A1196" s="11" t="str">
        <f>IFERROR(__xludf.DUMMYFUNCTION("""COMPUTED_VALUE"""),"MONICA MARIA MONTEIRO PEIXOTO")</f>
        <v>MONICA MARIA MONTEIRO PEIXOTO</v>
      </c>
      <c r="B1196" s="11"/>
      <c r="C1196" s="11"/>
      <c r="D1196" s="11" t="str">
        <f>IFERROR(__xludf.DUMMYFUNCTION("""COMPUTED_VALUE"""),"ENFERMEIRO 30H")</f>
        <v>ENFERMEIRO 30H</v>
      </c>
      <c r="E1196" s="11"/>
      <c r="F1196" s="11" t="str">
        <f>IFERROR(__xludf.DUMMYFUNCTION("""COMPUTED_VALUE"""),"SEDE DISTRITO SANITARIO III")</f>
        <v>SEDE DISTRITO SANITARIO III</v>
      </c>
      <c r="G1196" s="11" t="str">
        <f>IFERROR(__xludf.DUMMYFUNCTION("""COMPUTED_VALUE"""),"SEDE DISTRITO SANITARIO III")</f>
        <v>SEDE DISTRITO SANITARIO III</v>
      </c>
      <c r="H1196" s="11"/>
      <c r="I1196" s="11"/>
      <c r="J1196" s="11"/>
      <c r="K1196" s="11"/>
      <c r="L1196" s="11"/>
      <c r="M1196" s="11"/>
      <c r="N1196" s="11"/>
      <c r="O1196" s="11">
        <f>IFERROR(__xludf.DUMMYFUNCTION("""COMPUTED_VALUE"""),93505949434)</f>
        <v>93505949434</v>
      </c>
      <c r="P1196" s="11"/>
      <c r="Q1196" s="11"/>
      <c r="R1196" s="11"/>
      <c r="S1196" s="11"/>
      <c r="T1196" s="11"/>
      <c r="U1196" s="11"/>
      <c r="V1196" s="11"/>
      <c r="W1196" s="11"/>
      <c r="X1196" s="11"/>
      <c r="Y1196" s="11"/>
      <c r="Z1196" s="11"/>
    </row>
    <row r="1197" customHeight="1" spans="1:26">
      <c r="A1197" s="11" t="str">
        <f>IFERROR(__xludf.DUMMYFUNCTION("""COMPUTED_VALUE"""),"TEREZINHA DA SILVA R GODOI")</f>
        <v>TEREZINHA DA SILVA R GODOI</v>
      </c>
      <c r="B1197" s="11"/>
      <c r="C1197" s="11"/>
      <c r="D1197" s="11" t="str">
        <f>IFERROR(__xludf.DUMMYFUNCTION("""COMPUTED_VALUE"""),"ENFERMEIRO 30H")</f>
        <v>ENFERMEIRO 30H</v>
      </c>
      <c r="E1197" s="11"/>
      <c r="F1197" s="11" t="str">
        <f>IFERROR(__xludf.DUMMYFUNCTION("""COMPUTED_VALUE"""),"SEDE DISTRITO SANITARIO IV")</f>
        <v>SEDE DISTRITO SANITARIO IV</v>
      </c>
      <c r="G1197" s="11" t="str">
        <f>IFERROR(__xludf.DUMMYFUNCTION("""COMPUTED_VALUE"""),"SEDE DISTRITO SANITARIO IV")</f>
        <v>SEDE DISTRITO SANITARIO IV</v>
      </c>
      <c r="H1197" s="11"/>
      <c r="I1197" s="11"/>
      <c r="J1197" s="11"/>
      <c r="K1197" s="11"/>
      <c r="L1197" s="11"/>
      <c r="M1197" s="11"/>
      <c r="N1197" s="11"/>
      <c r="O1197" s="11">
        <f>IFERROR(__xludf.DUMMYFUNCTION("""COMPUTED_VALUE"""),38880547453)</f>
        <v>38880547453</v>
      </c>
      <c r="P1197" s="11"/>
      <c r="Q1197" s="11"/>
      <c r="R1197" s="11"/>
      <c r="S1197" s="11"/>
      <c r="T1197" s="11"/>
      <c r="U1197" s="11"/>
      <c r="V1197" s="11"/>
      <c r="W1197" s="11"/>
      <c r="X1197" s="11"/>
      <c r="Y1197" s="11"/>
      <c r="Z1197" s="11"/>
    </row>
    <row r="1198" customHeight="1" spans="1:26">
      <c r="A1198" s="11" t="str">
        <f>IFERROR(__xludf.DUMMYFUNCTION("""COMPUTED_VALUE"""),"DAYAN DA SILVA FABRICIO")</f>
        <v>DAYAN DA SILVA FABRICIO</v>
      </c>
      <c r="B1198" s="11"/>
      <c r="C1198" s="11"/>
      <c r="D1198" s="11" t="str">
        <f>IFERROR(__xludf.DUMMYFUNCTION("""COMPUTED_VALUE"""),"ENFERMEIRO 30H")</f>
        <v>ENFERMEIRO 30H</v>
      </c>
      <c r="E1198" s="11"/>
      <c r="F1198" s="11" t="str">
        <f>IFERROR(__xludf.DUMMYFUNCTION("""COMPUTED_VALUE"""),"SEDE DISTRITO SANITARIO II")</f>
        <v>SEDE DISTRITO SANITARIO II</v>
      </c>
      <c r="G1198" s="11" t="str">
        <f>IFERROR(__xludf.DUMMYFUNCTION("""COMPUTED_VALUE"""),"SEDE DISTRITO SANITARIO II")</f>
        <v>SEDE DISTRITO SANITARIO II</v>
      </c>
      <c r="H1198" s="11"/>
      <c r="I1198" s="11"/>
      <c r="J1198" s="11"/>
      <c r="K1198" s="11"/>
      <c r="L1198" s="11"/>
      <c r="M1198" s="11"/>
      <c r="N1198" s="11"/>
      <c r="O1198" s="11">
        <f>IFERROR(__xludf.DUMMYFUNCTION("""COMPUTED_VALUE"""),12524885801)</f>
        <v>12524885801</v>
      </c>
      <c r="P1198" s="11"/>
      <c r="Q1198" s="11"/>
      <c r="R1198" s="11"/>
      <c r="S1198" s="11"/>
      <c r="T1198" s="11"/>
      <c r="U1198" s="11"/>
      <c r="V1198" s="11"/>
      <c r="W1198" s="11"/>
      <c r="X1198" s="11"/>
      <c r="Y1198" s="11"/>
      <c r="Z1198" s="11"/>
    </row>
    <row r="1199" customHeight="1" spans="1:26">
      <c r="A1199" s="11" t="str">
        <f>IFERROR(__xludf.DUMMYFUNCTION("""COMPUTED_VALUE"""),"ZENAIDE V RIBEIRO DA S PEDROSA")</f>
        <v>ZENAIDE V RIBEIRO DA S PEDROSA</v>
      </c>
      <c r="B1199" s="11"/>
      <c r="C1199" s="11"/>
      <c r="D1199" s="11" t="str">
        <f>IFERROR(__xludf.DUMMYFUNCTION("""COMPUTED_VALUE"""),"ENFERMEIRO 30H")</f>
        <v>ENFERMEIRO 30H</v>
      </c>
      <c r="E1199" s="11"/>
      <c r="F1199" s="11" t="str">
        <f>IFERROR(__xludf.DUMMYFUNCTION("""COMPUTED_VALUE"""),"SEDE DISTRITO SANITARIO VI")</f>
        <v>SEDE DISTRITO SANITARIO VI</v>
      </c>
      <c r="G1199" s="11" t="str">
        <f>IFERROR(__xludf.DUMMYFUNCTION("""COMPUTED_VALUE"""),"SEDE DISTRITO SANITARIO VI")</f>
        <v>SEDE DISTRITO SANITARIO VI</v>
      </c>
      <c r="H1199" s="11"/>
      <c r="I1199" s="11"/>
      <c r="J1199" s="11"/>
      <c r="K1199" s="11"/>
      <c r="L1199" s="11"/>
      <c r="M1199" s="11"/>
      <c r="N1199" s="11"/>
      <c r="O1199" s="11">
        <f>IFERROR(__xludf.DUMMYFUNCTION("""COMPUTED_VALUE"""),75459582415)</f>
        <v>75459582415</v>
      </c>
      <c r="P1199" s="11"/>
      <c r="Q1199" s="11"/>
      <c r="R1199" s="11"/>
      <c r="S1199" s="11"/>
      <c r="T1199" s="11"/>
      <c r="U1199" s="11"/>
      <c r="V1199" s="11"/>
      <c r="W1199" s="11"/>
      <c r="X1199" s="11"/>
      <c r="Y1199" s="11"/>
      <c r="Z1199" s="11"/>
    </row>
    <row r="1200" customHeight="1" spans="1:26">
      <c r="A1200" s="11" t="str">
        <f>IFERROR(__xludf.DUMMYFUNCTION("""COMPUTED_VALUE"""),"ROSANE GONCALVES GOMES")</f>
        <v>ROSANE GONCALVES GOMES</v>
      </c>
      <c r="B1200" s="11"/>
      <c r="C1200" s="11"/>
      <c r="D1200" s="11" t="str">
        <f>IFERROR(__xludf.DUMMYFUNCTION("""COMPUTED_VALUE"""),"ENFERMEIRO 30H")</f>
        <v>ENFERMEIRO 30H</v>
      </c>
      <c r="E1200" s="11"/>
      <c r="F1200" s="11" t="str">
        <f>IFERROR(__xludf.DUMMYFUNCTION("""COMPUTED_VALUE"""),"SEDE DISTRITO SANITARIO VI")</f>
        <v>SEDE DISTRITO SANITARIO VI</v>
      </c>
      <c r="G1200" s="11" t="str">
        <f>IFERROR(__xludf.DUMMYFUNCTION("""COMPUTED_VALUE"""),"SEDE DISTRITO SANITARIO VI")</f>
        <v>SEDE DISTRITO SANITARIO VI</v>
      </c>
      <c r="H1200" s="11"/>
      <c r="I1200" s="11"/>
      <c r="J1200" s="11"/>
      <c r="K1200" s="11"/>
      <c r="L1200" s="11"/>
      <c r="M1200" s="11"/>
      <c r="N1200" s="11"/>
      <c r="O1200" s="11">
        <f>IFERROR(__xludf.DUMMYFUNCTION("""COMPUTED_VALUE"""),60254858449)</f>
        <v>60254858449</v>
      </c>
      <c r="P1200" s="11"/>
      <c r="Q1200" s="11"/>
      <c r="R1200" s="11"/>
      <c r="S1200" s="11"/>
      <c r="T1200" s="11"/>
      <c r="U1200" s="11"/>
      <c r="V1200" s="11"/>
      <c r="W1200" s="11"/>
      <c r="X1200" s="11"/>
      <c r="Y1200" s="11"/>
      <c r="Z1200" s="11"/>
    </row>
    <row r="1201" customHeight="1" spans="1:26">
      <c r="A1201" s="11" t="str">
        <f>IFERROR(__xludf.DUMMYFUNCTION("""COMPUTED_VALUE"""),"MILDE DO REGO B A CAVALCANTI")</f>
        <v>MILDE DO REGO B A CAVALCANTI</v>
      </c>
      <c r="B1201" s="11"/>
      <c r="C1201" s="11"/>
      <c r="D1201" s="11" t="str">
        <f>IFERROR(__xludf.DUMMYFUNCTION("""COMPUTED_VALUE"""),"ENFERMEIRO 30H")</f>
        <v>ENFERMEIRO 30H</v>
      </c>
      <c r="E1201" s="11"/>
      <c r="F1201" s="11" t="str">
        <f>IFERROR(__xludf.DUMMYFUNCTION("""COMPUTED_VALUE"""),"SEDE DISTRITO SANITARIO VI")</f>
        <v>SEDE DISTRITO SANITARIO VI</v>
      </c>
      <c r="G1201" s="11" t="str">
        <f>IFERROR(__xludf.DUMMYFUNCTION("""COMPUTED_VALUE"""),"SEDE DISTRITO SANITARIO VI")</f>
        <v>SEDE DISTRITO SANITARIO VI</v>
      </c>
      <c r="H1201" s="11"/>
      <c r="I1201" s="11"/>
      <c r="J1201" s="11"/>
      <c r="K1201" s="11"/>
      <c r="L1201" s="11"/>
      <c r="M1201" s="11"/>
      <c r="N1201" s="11"/>
      <c r="O1201" s="11">
        <f>IFERROR(__xludf.DUMMYFUNCTION("""COMPUTED_VALUE"""),40384195415)</f>
        <v>40384195415</v>
      </c>
      <c r="P1201" s="11"/>
      <c r="Q1201" s="11"/>
      <c r="R1201" s="11"/>
      <c r="S1201" s="11"/>
      <c r="T1201" s="11"/>
      <c r="U1201" s="11"/>
      <c r="V1201" s="11"/>
      <c r="W1201" s="11"/>
      <c r="X1201" s="11"/>
      <c r="Y1201" s="11"/>
      <c r="Z1201" s="11"/>
    </row>
    <row r="1202" customHeight="1" spans="1:26">
      <c r="A1202" s="11" t="str">
        <f>IFERROR(__xludf.DUMMYFUNCTION("""COMPUTED_VALUE"""),"CARLISON GOMES TAVARES")</f>
        <v>CARLISON GOMES TAVARES</v>
      </c>
      <c r="B1202" s="11"/>
      <c r="C1202" s="11"/>
      <c r="D1202" s="11" t="str">
        <f>IFERROR(__xludf.DUMMYFUNCTION("""COMPUTED_VALUE"""),"ENFERMEIRO 40H")</f>
        <v>ENFERMEIRO 40H</v>
      </c>
      <c r="E1202" s="11"/>
      <c r="F1202" s="11" t="str">
        <f>IFERROR(__xludf.DUMMYFUNCTION("""COMPUTED_VALUE"""),"SEDE DISTRITO SANITARIO VIII")</f>
        <v>SEDE DISTRITO SANITARIO VIII</v>
      </c>
      <c r="G1202" s="11" t="str">
        <f>IFERROR(__xludf.DUMMYFUNCTION("""COMPUTED_VALUE"""),"SEDE DISTRITO SANITARIO VIII")</f>
        <v>SEDE DISTRITO SANITARIO VIII</v>
      </c>
      <c r="H1202" s="27">
        <f>IFERROR(__xludf.DUMMYFUNCTION("""COMPUTED_VALUE"""),8199993419)</f>
        <v>8199993419</v>
      </c>
      <c r="I1202" s="11"/>
      <c r="J1202" s="11"/>
      <c r="K1202" s="11"/>
      <c r="L1202" s="11"/>
      <c r="M1202" s="11"/>
      <c r="N1202" s="11"/>
      <c r="O1202" s="11">
        <f>IFERROR(__xludf.DUMMYFUNCTION("""COMPUTED_VALUE"""),42692148487)</f>
        <v>42692148487</v>
      </c>
      <c r="P1202" s="11"/>
      <c r="Q1202" s="11"/>
      <c r="R1202" s="11"/>
      <c r="S1202" s="11"/>
      <c r="T1202" s="11"/>
      <c r="U1202" s="11"/>
      <c r="V1202" s="11"/>
      <c r="W1202" s="11"/>
      <c r="X1202" s="11"/>
      <c r="Y1202" s="11"/>
      <c r="Z1202" s="11"/>
    </row>
    <row r="1203" customHeight="1" spans="1:26">
      <c r="A1203" s="11" t="str">
        <f>IFERROR(__xludf.DUMMYFUNCTION("""COMPUTED_VALUE"""),"FRANCIJANE DINIZ DE OLIVEIRA")</f>
        <v>FRANCIJANE DINIZ DE OLIVEIRA</v>
      </c>
      <c r="B1203" s="11"/>
      <c r="C1203" s="11"/>
      <c r="D1203" s="11" t="str">
        <f>IFERROR(__xludf.DUMMYFUNCTION("""COMPUTED_VALUE"""),"ENFERMEIRO 40H")</f>
        <v>ENFERMEIRO 40H</v>
      </c>
      <c r="E1203" s="11"/>
      <c r="F1203" s="11" t="str">
        <f>IFERROR(__xludf.DUMMYFUNCTION("""COMPUTED_VALUE"""),"SEDE DISTRITO SANITARIO III")</f>
        <v>SEDE DISTRITO SANITARIO III</v>
      </c>
      <c r="G1203" s="11" t="str">
        <f>IFERROR(__xludf.DUMMYFUNCTION("""COMPUTED_VALUE"""),"SEDE DISTRITO SANITARIO III")</f>
        <v>SEDE DISTRITO SANITARIO III</v>
      </c>
      <c r="H1203" s="27">
        <f>IFERROR(__xludf.DUMMYFUNCTION("""COMPUTED_VALUE"""),81999018089)</f>
        <v>81999018089</v>
      </c>
      <c r="I1203" s="11"/>
      <c r="J1203" s="11"/>
      <c r="K1203" s="24">
        <f>IFERROR(__xludf.DUMMYFUNCTION("""COMPUTED_VALUE"""),45376)</f>
        <v>45376</v>
      </c>
      <c r="L1203" s="11"/>
      <c r="M1203" s="11"/>
      <c r="N1203" s="11"/>
      <c r="O1203" s="11">
        <f>IFERROR(__xludf.DUMMYFUNCTION("""COMPUTED_VALUE"""),93495390391)</f>
        <v>93495390391</v>
      </c>
      <c r="P1203" s="11"/>
      <c r="Q1203" s="11"/>
      <c r="R1203" s="11"/>
      <c r="S1203" s="11"/>
      <c r="T1203" s="11"/>
      <c r="U1203" s="11"/>
      <c r="V1203" s="11"/>
      <c r="W1203" s="11"/>
      <c r="X1203" s="11"/>
      <c r="Y1203" s="11"/>
      <c r="Z1203" s="11"/>
    </row>
    <row r="1204" customHeight="1" spans="1:26">
      <c r="A1204" s="11" t="str">
        <f>IFERROR(__xludf.DUMMYFUNCTION("""COMPUTED_VALUE"""),"FABYOLA DE S BEZERRA DE LIMA")</f>
        <v>FABYOLA DE S BEZERRA DE LIMA</v>
      </c>
      <c r="B1204" s="11"/>
      <c r="C1204" s="11"/>
      <c r="D1204" s="11" t="str">
        <f>IFERROR(__xludf.DUMMYFUNCTION("""COMPUTED_VALUE"""),"ENFERMEIRO 40H")</f>
        <v>ENFERMEIRO 40H</v>
      </c>
      <c r="E1204" s="11"/>
      <c r="F1204" s="11" t="str">
        <f>IFERROR(__xludf.DUMMYFUNCTION("""COMPUTED_VALUE"""),"SEDE DISTRITO SANITARIO IV")</f>
        <v>SEDE DISTRITO SANITARIO IV</v>
      </c>
      <c r="G1204" s="11" t="str">
        <f>IFERROR(__xludf.DUMMYFUNCTION("""COMPUTED_VALUE"""),"SEDE DISTRITO SANITARIO IV")</f>
        <v>SEDE DISTRITO SANITARIO IV</v>
      </c>
      <c r="H1204" s="11"/>
      <c r="I1204" s="11"/>
      <c r="J1204" s="11"/>
      <c r="K1204" s="11"/>
      <c r="L1204" s="11"/>
      <c r="M1204" s="11"/>
      <c r="N1204" s="11"/>
      <c r="O1204" s="11">
        <f>IFERROR(__xludf.DUMMYFUNCTION("""COMPUTED_VALUE"""),3605765408)</f>
        <v>3605765408</v>
      </c>
      <c r="P1204" s="11"/>
      <c r="Q1204" s="11"/>
      <c r="R1204" s="11"/>
      <c r="S1204" s="11"/>
      <c r="T1204" s="11"/>
      <c r="U1204" s="11"/>
      <c r="V1204" s="11"/>
      <c r="W1204" s="11"/>
      <c r="X1204" s="11"/>
      <c r="Y1204" s="11"/>
      <c r="Z1204" s="11"/>
    </row>
    <row r="1205" customHeight="1" spans="1:26">
      <c r="A1205" s="11" t="str">
        <f>IFERROR(__xludf.DUMMYFUNCTION("""COMPUTED_VALUE"""),"MARIA DA CONCEICAO S DE ARAUJO")</f>
        <v>MARIA DA CONCEICAO S DE ARAUJO</v>
      </c>
      <c r="B1205" s="11"/>
      <c r="C1205" s="11"/>
      <c r="D1205" s="11" t="str">
        <f>IFERROR(__xludf.DUMMYFUNCTION("""COMPUTED_VALUE"""),"ENFERMEIRO 40H")</f>
        <v>ENFERMEIRO 40H</v>
      </c>
      <c r="E1205" s="11"/>
      <c r="F1205" s="11" t="str">
        <f>IFERROR(__xludf.DUMMYFUNCTION("""COMPUTED_VALUE"""),"SEDE DISTRITO SANITARIO VII")</f>
        <v>SEDE DISTRITO SANITARIO VII</v>
      </c>
      <c r="G1205" s="11" t="str">
        <f>IFERROR(__xludf.DUMMYFUNCTION("""COMPUTED_VALUE"""),"SEDE DISTRITO SANITARIO VII")</f>
        <v>SEDE DISTRITO SANITARIO VII</v>
      </c>
      <c r="H1205" s="11"/>
      <c r="I1205" s="11"/>
      <c r="J1205" s="11"/>
      <c r="K1205" s="11"/>
      <c r="L1205" s="11"/>
      <c r="M1205" s="11"/>
      <c r="N1205" s="11"/>
      <c r="O1205" s="11">
        <f>IFERROR(__xludf.DUMMYFUNCTION("""COMPUTED_VALUE"""),3175424430)</f>
        <v>3175424430</v>
      </c>
      <c r="P1205" s="11"/>
      <c r="Q1205" s="11"/>
      <c r="R1205" s="11"/>
      <c r="S1205" s="11"/>
      <c r="T1205" s="11"/>
      <c r="U1205" s="11"/>
      <c r="V1205" s="11"/>
      <c r="W1205" s="11"/>
      <c r="X1205" s="11"/>
      <c r="Y1205" s="11"/>
      <c r="Z1205" s="11"/>
    </row>
    <row r="1206" customHeight="1" spans="1:26">
      <c r="A1206" s="11" t="str">
        <f>IFERROR(__xludf.DUMMYFUNCTION("""COMPUTED_VALUE"""),"JOAO RILDAMAR DE ANDRADE")</f>
        <v>JOAO RILDAMAR DE ANDRADE</v>
      </c>
      <c r="B1206" s="11"/>
      <c r="C1206" s="11"/>
      <c r="D1206" s="11" t="str">
        <f>IFERROR(__xludf.DUMMYFUNCTION("""COMPUTED_VALUE"""),"ENFERMEIRO 40H")</f>
        <v>ENFERMEIRO 40H</v>
      </c>
      <c r="E1206" s="11"/>
      <c r="F1206" s="11" t="str">
        <f>IFERROR(__xludf.DUMMYFUNCTION("""COMPUTED_VALUE"""),"SEDE DISTRITO SANITARIO VI")</f>
        <v>SEDE DISTRITO SANITARIO VI</v>
      </c>
      <c r="G1206" s="11" t="str">
        <f>IFERROR(__xludf.DUMMYFUNCTION("""COMPUTED_VALUE"""),"SEDE DISTRITO SANITARIO VI")</f>
        <v>SEDE DISTRITO SANITARIO VI</v>
      </c>
      <c r="H1206" s="11"/>
      <c r="I1206" s="11"/>
      <c r="J1206" s="11"/>
      <c r="K1206" s="11"/>
      <c r="L1206" s="11"/>
      <c r="M1206" s="11"/>
      <c r="N1206" s="11"/>
      <c r="O1206" s="11">
        <f>IFERROR(__xludf.DUMMYFUNCTION("""COMPUTED_VALUE"""),4598904410)</f>
        <v>4598904410</v>
      </c>
      <c r="P1206" s="11"/>
      <c r="Q1206" s="11"/>
      <c r="R1206" s="11"/>
      <c r="S1206" s="11"/>
      <c r="T1206" s="11"/>
      <c r="U1206" s="11"/>
      <c r="V1206" s="11"/>
      <c r="W1206" s="11"/>
      <c r="X1206" s="11"/>
      <c r="Y1206" s="11"/>
      <c r="Z1206" s="11"/>
    </row>
    <row r="1207" customHeight="1" spans="1:26">
      <c r="A1207" s="11" t="str">
        <f>IFERROR(__xludf.DUMMYFUNCTION("""COMPUTED_VALUE"""),"ELIANE BARBOSA DA SILVA")</f>
        <v>ELIANE BARBOSA DA SILVA</v>
      </c>
      <c r="B1207" s="11"/>
      <c r="C1207" s="11"/>
      <c r="D1207" s="11" t="str">
        <f>IFERROR(__xludf.DUMMYFUNCTION("""COMPUTED_VALUE"""),"ENFERMEIRO 40H")</f>
        <v>ENFERMEIRO 40H</v>
      </c>
      <c r="E1207" s="11"/>
      <c r="F1207" s="11" t="str">
        <f>IFERROR(__xludf.DUMMYFUNCTION("""COMPUTED_VALUE"""),"SEDE DISTRITO SANITARIO VII")</f>
        <v>SEDE DISTRITO SANITARIO VII</v>
      </c>
      <c r="G1207" s="11" t="str">
        <f>IFERROR(__xludf.DUMMYFUNCTION("""COMPUTED_VALUE"""),"SEDE DISTRITO SANITARIO VII")</f>
        <v>SEDE DISTRITO SANITARIO VII</v>
      </c>
      <c r="H1207" s="11"/>
      <c r="I1207" s="11"/>
      <c r="J1207" s="11"/>
      <c r="K1207" s="11"/>
      <c r="L1207" s="11"/>
      <c r="M1207" s="11"/>
      <c r="N1207" s="11"/>
      <c r="O1207" s="11">
        <f>IFERROR(__xludf.DUMMYFUNCTION("""COMPUTED_VALUE"""),98942620400)</f>
        <v>98942620400</v>
      </c>
      <c r="P1207" s="11"/>
      <c r="Q1207" s="11"/>
      <c r="R1207" s="11"/>
      <c r="S1207" s="11"/>
      <c r="T1207" s="11"/>
      <c r="U1207" s="11"/>
      <c r="V1207" s="11"/>
      <c r="W1207" s="11"/>
      <c r="X1207" s="11"/>
      <c r="Y1207" s="11"/>
      <c r="Z1207" s="11"/>
    </row>
    <row r="1208" customHeight="1" spans="1:26">
      <c r="A1208" s="11" t="str">
        <f>IFERROR(__xludf.DUMMYFUNCTION("""COMPUTED_VALUE"""),"GILDA DUARTE SEARA F DE MELO")</f>
        <v>GILDA DUARTE SEARA F DE MELO</v>
      </c>
      <c r="B1208" s="11"/>
      <c r="C1208" s="11"/>
      <c r="D1208" s="11" t="str">
        <f>IFERROR(__xludf.DUMMYFUNCTION("""COMPUTED_VALUE"""),"ENFERMEIRO 40H")</f>
        <v>ENFERMEIRO 40H</v>
      </c>
      <c r="E1208" s="11"/>
      <c r="F1208" s="11" t="str">
        <f>IFERROR(__xludf.DUMMYFUNCTION("""COMPUTED_VALUE"""),"SEDE DISTRITO SANITARIO VIII")</f>
        <v>SEDE DISTRITO SANITARIO VIII</v>
      </c>
      <c r="G1208" s="11" t="str">
        <f>IFERROR(__xludf.DUMMYFUNCTION("""COMPUTED_VALUE"""),"SEDE DISTRITO SANITARIO VIII")</f>
        <v>SEDE DISTRITO SANITARIO VIII</v>
      </c>
      <c r="H1208" s="11"/>
      <c r="I1208" s="11"/>
      <c r="J1208" s="11"/>
      <c r="K1208" s="11"/>
      <c r="L1208" s="11"/>
      <c r="M1208" s="11"/>
      <c r="N1208" s="11"/>
      <c r="O1208" s="11">
        <f>IFERROR(__xludf.DUMMYFUNCTION("""COMPUTED_VALUE"""),2991650435)</f>
        <v>2991650435</v>
      </c>
      <c r="P1208" s="11"/>
      <c r="Q1208" s="11"/>
      <c r="R1208" s="11"/>
      <c r="S1208" s="11"/>
      <c r="T1208" s="11"/>
      <c r="U1208" s="11"/>
      <c r="V1208" s="11"/>
      <c r="W1208" s="11"/>
      <c r="X1208" s="11"/>
      <c r="Y1208" s="11"/>
      <c r="Z1208" s="11"/>
    </row>
    <row r="1209" customHeight="1" spans="1:26">
      <c r="A1209" s="11" t="str">
        <f>IFERROR(__xludf.DUMMYFUNCTION("""COMPUTED_VALUE"""),"RUBENITA JOSE DO N SILVA")</f>
        <v>RUBENITA JOSE DO N SILVA</v>
      </c>
      <c r="B1209" s="11"/>
      <c r="C1209" s="11"/>
      <c r="D1209" s="11" t="str">
        <f>IFERROR(__xludf.DUMMYFUNCTION("""COMPUTED_VALUE"""),"ENFERMEIRO 40H")</f>
        <v>ENFERMEIRO 40H</v>
      </c>
      <c r="E1209" s="11"/>
      <c r="F1209" s="11" t="str">
        <f>IFERROR(__xludf.DUMMYFUNCTION("""COMPUTED_VALUE"""),"SEDE DISTRITO SANITARIO II")</f>
        <v>SEDE DISTRITO SANITARIO II</v>
      </c>
      <c r="G1209" s="11" t="str">
        <f>IFERROR(__xludf.DUMMYFUNCTION("""COMPUTED_VALUE"""),"SEDE DISTRITO SANITARIO II")</f>
        <v>SEDE DISTRITO SANITARIO II</v>
      </c>
      <c r="H1209" s="11"/>
      <c r="I1209" s="11"/>
      <c r="J1209" s="11"/>
      <c r="K1209" s="11"/>
      <c r="L1209" s="11"/>
      <c r="M1209" s="11"/>
      <c r="N1209" s="11"/>
      <c r="O1209" s="11">
        <f>IFERROR(__xludf.DUMMYFUNCTION("""COMPUTED_VALUE"""),39425444404)</f>
        <v>39425444404</v>
      </c>
      <c r="P1209" s="11"/>
      <c r="Q1209" s="11"/>
      <c r="R1209" s="11"/>
      <c r="S1209" s="11"/>
      <c r="T1209" s="11"/>
      <c r="U1209" s="11"/>
      <c r="V1209" s="11"/>
      <c r="W1209" s="11"/>
      <c r="X1209" s="11"/>
      <c r="Y1209" s="11"/>
      <c r="Z1209" s="11"/>
    </row>
    <row r="1210" customHeight="1" spans="1:26">
      <c r="A1210" s="11" t="str">
        <f>IFERROR(__xludf.DUMMYFUNCTION("""COMPUTED_VALUE"""),"EMANUELA A DA LUZ DE CASTRO")</f>
        <v>EMANUELA A DA LUZ DE CASTRO</v>
      </c>
      <c r="B1210" s="11"/>
      <c r="C1210" s="11"/>
      <c r="D1210" s="11" t="str">
        <f>IFERROR(__xludf.DUMMYFUNCTION("""COMPUTED_VALUE"""),"ENFERMEIRO 40H")</f>
        <v>ENFERMEIRO 40H</v>
      </c>
      <c r="E1210" s="11"/>
      <c r="F1210" s="11" t="str">
        <f>IFERROR(__xludf.DUMMYFUNCTION("""COMPUTED_VALUE"""),"SEDE DISTRITO SANITARIO VII")</f>
        <v>SEDE DISTRITO SANITARIO VII</v>
      </c>
      <c r="G1210" s="11" t="str">
        <f>IFERROR(__xludf.DUMMYFUNCTION("""COMPUTED_VALUE"""),"SEDE DISTRITO SANITARIO VII")</f>
        <v>SEDE DISTRITO SANITARIO VII</v>
      </c>
      <c r="H1210" s="11"/>
      <c r="I1210" s="11"/>
      <c r="J1210" s="11"/>
      <c r="K1210" s="11"/>
      <c r="L1210" s="11"/>
      <c r="M1210" s="11"/>
      <c r="N1210" s="11"/>
      <c r="O1210" s="11">
        <f>IFERROR(__xludf.DUMMYFUNCTION("""COMPUTED_VALUE"""),66605806387)</f>
        <v>66605806387</v>
      </c>
      <c r="P1210" s="11"/>
      <c r="Q1210" s="11"/>
      <c r="R1210" s="11"/>
      <c r="S1210" s="11"/>
      <c r="T1210" s="11"/>
      <c r="U1210" s="11"/>
      <c r="V1210" s="11"/>
      <c r="W1210" s="11"/>
      <c r="X1210" s="11"/>
      <c r="Y1210" s="11"/>
      <c r="Z1210" s="11"/>
    </row>
    <row r="1211" customHeight="1" spans="1:26">
      <c r="A1211" s="11" t="str">
        <f>IFERROR(__xludf.DUMMYFUNCTION("""COMPUTED_VALUE"""),"JULIANA PEDROZA B VIEIRA")</f>
        <v>JULIANA PEDROZA B VIEIRA</v>
      </c>
      <c r="B1211" s="11"/>
      <c r="C1211" s="11"/>
      <c r="D1211" s="11" t="str">
        <f>IFERROR(__xludf.DUMMYFUNCTION("""COMPUTED_VALUE"""),"ENFERMEIRO 40H")</f>
        <v>ENFERMEIRO 40H</v>
      </c>
      <c r="E1211" s="11"/>
      <c r="F1211" s="11" t="str">
        <f>IFERROR(__xludf.DUMMYFUNCTION("""COMPUTED_VALUE"""),"SEDE DISTRITO SANITARIO II")</f>
        <v>SEDE DISTRITO SANITARIO II</v>
      </c>
      <c r="G1211" s="11" t="str">
        <f>IFERROR(__xludf.DUMMYFUNCTION("""COMPUTED_VALUE"""),"SEDE DISTRITO SANITARIO II")</f>
        <v>SEDE DISTRITO SANITARIO II</v>
      </c>
      <c r="H1211" s="11"/>
      <c r="I1211" s="11"/>
      <c r="J1211" s="11"/>
      <c r="K1211" s="11"/>
      <c r="L1211" s="11"/>
      <c r="M1211" s="11"/>
      <c r="N1211" s="11"/>
      <c r="O1211" s="11">
        <f>IFERROR(__xludf.DUMMYFUNCTION("""COMPUTED_VALUE"""),3922336493)</f>
        <v>3922336493</v>
      </c>
      <c r="P1211" s="11"/>
      <c r="Q1211" s="11"/>
      <c r="R1211" s="11"/>
      <c r="S1211" s="11"/>
      <c r="T1211" s="11"/>
      <c r="U1211" s="11"/>
      <c r="V1211" s="11"/>
      <c r="W1211" s="11"/>
      <c r="X1211" s="11"/>
      <c r="Y1211" s="11"/>
      <c r="Z1211" s="11"/>
    </row>
    <row r="1212" customHeight="1" spans="1:26">
      <c r="A1212" s="11" t="str">
        <f>IFERROR(__xludf.DUMMYFUNCTION("""COMPUTED_VALUE"""),"NEIDE MARIA DE LIMA")</f>
        <v>NEIDE MARIA DE LIMA</v>
      </c>
      <c r="B1212" s="11"/>
      <c r="C1212" s="11"/>
      <c r="D1212" s="11" t="str">
        <f>IFERROR(__xludf.DUMMYFUNCTION("""COMPUTED_VALUE"""),"ENFERMEIRO 40H")</f>
        <v>ENFERMEIRO 40H</v>
      </c>
      <c r="E1212" s="11"/>
      <c r="F1212" s="11" t="str">
        <f>IFERROR(__xludf.DUMMYFUNCTION("""COMPUTED_VALUE"""),"SEDE DISTRITO SANITARIO II")</f>
        <v>SEDE DISTRITO SANITARIO II</v>
      </c>
      <c r="G1212" s="11" t="str">
        <f>IFERROR(__xludf.DUMMYFUNCTION("""COMPUTED_VALUE"""),"SEDE DISTRITO SANITARIO II")</f>
        <v>SEDE DISTRITO SANITARIO II</v>
      </c>
      <c r="H1212" s="11"/>
      <c r="I1212" s="11"/>
      <c r="J1212" s="11"/>
      <c r="K1212" s="11"/>
      <c r="L1212" s="11"/>
      <c r="M1212" s="11"/>
      <c r="N1212" s="11"/>
      <c r="O1212" s="11">
        <f>IFERROR(__xludf.DUMMYFUNCTION("""COMPUTED_VALUE"""),98666789468)</f>
        <v>98666789468</v>
      </c>
      <c r="P1212" s="11"/>
      <c r="Q1212" s="11"/>
      <c r="R1212" s="11"/>
      <c r="S1212" s="11"/>
      <c r="T1212" s="11"/>
      <c r="U1212" s="11"/>
      <c r="V1212" s="11"/>
      <c r="W1212" s="11"/>
      <c r="X1212" s="11"/>
      <c r="Y1212" s="11"/>
      <c r="Z1212" s="11"/>
    </row>
    <row r="1213" customHeight="1" spans="1:26">
      <c r="A1213" s="11" t="str">
        <f>IFERROR(__xludf.DUMMYFUNCTION("""COMPUTED_VALUE"""),"ELISANGELA M DA S VASCONCELOS")</f>
        <v>ELISANGELA M DA S VASCONCELOS</v>
      </c>
      <c r="B1213" s="11"/>
      <c r="C1213" s="11"/>
      <c r="D1213" s="11" t="str">
        <f>IFERROR(__xludf.DUMMYFUNCTION("""COMPUTED_VALUE"""),"ENFERMEIRO 40H")</f>
        <v>ENFERMEIRO 40H</v>
      </c>
      <c r="E1213" s="11"/>
      <c r="F1213" s="11" t="str">
        <f>IFERROR(__xludf.DUMMYFUNCTION("""COMPUTED_VALUE"""),"US_304 CAPS DAVID CAPISTRANO")</f>
        <v>US_304 CAPS DAVID CAPISTRANO</v>
      </c>
      <c r="G1213" s="11" t="str">
        <f>IFERROR(__xludf.DUMMYFUNCTION("""COMPUTED_VALUE"""),"US_304 CAPS DAVID CAPISTRANO")</f>
        <v>US_304 CAPS DAVID CAPISTRANO</v>
      </c>
      <c r="H1213" s="11"/>
      <c r="I1213" s="11"/>
      <c r="J1213" s="11"/>
      <c r="K1213" s="11"/>
      <c r="L1213" s="11"/>
      <c r="M1213" s="11"/>
      <c r="N1213" s="11"/>
      <c r="O1213" s="11">
        <f>IFERROR(__xludf.DUMMYFUNCTION("""COMPUTED_VALUE"""),2128415489)</f>
        <v>2128415489</v>
      </c>
      <c r="P1213" s="11"/>
      <c r="Q1213" s="11"/>
      <c r="R1213" s="11"/>
      <c r="S1213" s="11"/>
      <c r="T1213" s="11"/>
      <c r="U1213" s="11"/>
      <c r="V1213" s="11"/>
      <c r="W1213" s="11"/>
      <c r="X1213" s="11"/>
      <c r="Y1213" s="11"/>
      <c r="Z1213" s="11"/>
    </row>
    <row r="1214" customHeight="1" spans="1:26">
      <c r="A1214" s="11" t="str">
        <f>IFERROR(__xludf.DUMMYFUNCTION("""COMPUTED_VALUE"""),"AMANDA QUEIROZ TEIXEIRA")</f>
        <v>AMANDA QUEIROZ TEIXEIRA</v>
      </c>
      <c r="B1214" s="11"/>
      <c r="C1214" s="11"/>
      <c r="D1214" s="11" t="str">
        <f>IFERROR(__xludf.DUMMYFUNCTION("""COMPUTED_VALUE"""),"ENFERMEIRO 40H")</f>
        <v>ENFERMEIRO 40H</v>
      </c>
      <c r="E1214" s="11"/>
      <c r="F1214" s="11" t="str">
        <f>IFERROR(__xludf.DUMMYFUNCTION("""COMPUTED_VALUE"""),"SEDE DISTRITO SANITARIO II")</f>
        <v>SEDE DISTRITO SANITARIO II</v>
      </c>
      <c r="G1214" s="11" t="str">
        <f>IFERROR(__xludf.DUMMYFUNCTION("""COMPUTED_VALUE"""),"SEDE DISTRITO SANITARIO II")</f>
        <v>SEDE DISTRITO SANITARIO II</v>
      </c>
      <c r="H1214" s="11"/>
      <c r="I1214" s="11"/>
      <c r="J1214" s="11"/>
      <c r="K1214" s="11"/>
      <c r="L1214" s="11"/>
      <c r="M1214" s="11"/>
      <c r="N1214" s="11"/>
      <c r="O1214" s="11">
        <f>IFERROR(__xludf.DUMMYFUNCTION("""COMPUTED_VALUE"""),3811974416)</f>
        <v>3811974416</v>
      </c>
      <c r="P1214" s="11"/>
      <c r="Q1214" s="11"/>
      <c r="R1214" s="11"/>
      <c r="S1214" s="11"/>
      <c r="T1214" s="11"/>
      <c r="U1214" s="11"/>
      <c r="V1214" s="11"/>
      <c r="W1214" s="11"/>
      <c r="X1214" s="11"/>
      <c r="Y1214" s="11"/>
      <c r="Z1214" s="11"/>
    </row>
    <row r="1215" customHeight="1" spans="1:26">
      <c r="A1215" s="11" t="str">
        <f>IFERROR(__xludf.DUMMYFUNCTION("""COMPUTED_VALUE"""),"ANITA GALVAO SILVESTRE")</f>
        <v>ANITA GALVAO SILVESTRE</v>
      </c>
      <c r="B1215" s="11"/>
      <c r="C1215" s="11"/>
      <c r="D1215" s="11" t="str">
        <f>IFERROR(__xludf.DUMMYFUNCTION("""COMPUTED_VALUE"""),"ENFERMEIRO 30H")</f>
        <v>ENFERMEIRO 30H</v>
      </c>
      <c r="E1215" s="11"/>
      <c r="F1215" s="11" t="str">
        <f>IFERROR(__xludf.DUMMYFUNCTION("""COMPUTED_VALUE"""),"SEDE DISTRITO SANITARIO VI")</f>
        <v>SEDE DISTRITO SANITARIO VI</v>
      </c>
      <c r="G1215" s="11" t="str">
        <f>IFERROR(__xludf.DUMMYFUNCTION("""COMPUTED_VALUE"""),"SEDE DISTRITO SANITARIO VI")</f>
        <v>SEDE DISTRITO SANITARIO VI</v>
      </c>
      <c r="H1215" s="11"/>
      <c r="I1215" s="11"/>
      <c r="J1215" s="11"/>
      <c r="K1215" s="11"/>
      <c r="L1215" s="11"/>
      <c r="M1215" s="11"/>
      <c r="N1215" s="11"/>
      <c r="O1215" s="11">
        <f>IFERROR(__xludf.DUMMYFUNCTION("""COMPUTED_VALUE"""),81887442472)</f>
        <v>81887442472</v>
      </c>
      <c r="P1215" s="11"/>
      <c r="Q1215" s="11"/>
      <c r="R1215" s="11"/>
      <c r="S1215" s="11"/>
      <c r="T1215" s="11"/>
      <c r="U1215" s="11"/>
      <c r="V1215" s="11"/>
      <c r="W1215" s="11"/>
      <c r="X1215" s="11"/>
      <c r="Y1215" s="11"/>
      <c r="Z1215" s="11"/>
    </row>
    <row r="1216" customHeight="1" spans="1:26">
      <c r="A1216" s="11" t="str">
        <f>IFERROR(__xludf.DUMMYFUNCTION("""COMPUTED_VALUE"""),"JOSE ROBERTO T MEDEIROS")</f>
        <v>JOSE ROBERTO T MEDEIROS</v>
      </c>
      <c r="B1216" s="11"/>
      <c r="C1216" s="11"/>
      <c r="D1216" s="11" t="str">
        <f>IFERROR(__xludf.DUMMYFUNCTION("""COMPUTED_VALUE"""),"ENFERMEIRO 40H")</f>
        <v>ENFERMEIRO 40H</v>
      </c>
      <c r="E1216" s="11"/>
      <c r="F1216" s="11" t="str">
        <f>IFERROR(__xludf.DUMMYFUNCTION("""COMPUTED_VALUE"""),"SEDE DISTRITO SANITARIO II")</f>
        <v>SEDE DISTRITO SANITARIO II</v>
      </c>
      <c r="G1216" s="11" t="str">
        <f>IFERROR(__xludf.DUMMYFUNCTION("""COMPUTED_VALUE"""),"SEDE DISTRITO SANITARIO II")</f>
        <v>SEDE DISTRITO SANITARIO II</v>
      </c>
      <c r="H1216" s="11"/>
      <c r="I1216" s="11"/>
      <c r="J1216" s="11"/>
      <c r="K1216" s="11"/>
      <c r="L1216" s="11"/>
      <c r="M1216" s="11"/>
      <c r="N1216" s="11"/>
      <c r="O1216" s="11">
        <f>IFERROR(__xludf.DUMMYFUNCTION("""COMPUTED_VALUE"""),65029526315)</f>
        <v>65029526315</v>
      </c>
      <c r="P1216" s="11"/>
      <c r="Q1216" s="11"/>
      <c r="R1216" s="11"/>
      <c r="S1216" s="11"/>
      <c r="T1216" s="11"/>
      <c r="U1216" s="11"/>
      <c r="V1216" s="11"/>
      <c r="W1216" s="11"/>
      <c r="X1216" s="11"/>
      <c r="Y1216" s="11"/>
      <c r="Z1216" s="11"/>
    </row>
    <row r="1217" customHeight="1" spans="1:26">
      <c r="A1217" s="11" t="str">
        <f>IFERROR(__xludf.DUMMYFUNCTION("""COMPUTED_VALUE"""),"CHRISTIANE W F DE AZEVEDO")</f>
        <v>CHRISTIANE W F DE AZEVEDO</v>
      </c>
      <c r="B1217" s="11"/>
      <c r="C1217" s="11"/>
      <c r="D1217" s="11" t="str">
        <f>IFERROR(__xludf.DUMMYFUNCTION("""COMPUTED_VALUE"""),"ENFERMEIRO 40H")</f>
        <v>ENFERMEIRO 40H</v>
      </c>
      <c r="E1217" s="11"/>
      <c r="F1217" s="11" t="str">
        <f>IFERROR(__xludf.DUMMYFUNCTION("""COMPUTED_VALUE"""),"SEDE DISTRITO SANITARIO VII")</f>
        <v>SEDE DISTRITO SANITARIO VII</v>
      </c>
      <c r="G1217" s="11" t="str">
        <f>IFERROR(__xludf.DUMMYFUNCTION("""COMPUTED_VALUE"""),"SEDE DISTRITO SANITARIO VII")</f>
        <v>SEDE DISTRITO SANITARIO VII</v>
      </c>
      <c r="H1217" s="11"/>
      <c r="I1217" s="11"/>
      <c r="J1217" s="11"/>
      <c r="K1217" s="11"/>
      <c r="L1217" s="11"/>
      <c r="M1217" s="11"/>
      <c r="N1217" s="11"/>
      <c r="O1217" s="11">
        <f>IFERROR(__xludf.DUMMYFUNCTION("""COMPUTED_VALUE"""),1937140431)</f>
        <v>1937140431</v>
      </c>
      <c r="P1217" s="11"/>
      <c r="Q1217" s="11"/>
      <c r="R1217" s="11"/>
      <c r="S1217" s="11"/>
      <c r="T1217" s="11"/>
      <c r="U1217" s="11"/>
      <c r="V1217" s="11"/>
      <c r="W1217" s="11"/>
      <c r="X1217" s="11"/>
      <c r="Y1217" s="11"/>
      <c r="Z1217" s="11"/>
    </row>
    <row r="1218" customHeight="1" spans="1:26">
      <c r="A1218" s="11" t="str">
        <f>IFERROR(__xludf.DUMMYFUNCTION("""COMPUTED_VALUE"""),"KARLA REGINA V COUTINHO")</f>
        <v>KARLA REGINA V COUTINHO</v>
      </c>
      <c r="B1218" s="11"/>
      <c r="C1218" s="11"/>
      <c r="D1218" s="11" t="str">
        <f>IFERROR(__xludf.DUMMYFUNCTION("""COMPUTED_VALUE"""),"ENFERMEIRO 40H")</f>
        <v>ENFERMEIRO 40H</v>
      </c>
      <c r="E1218" s="11"/>
      <c r="F1218" s="11" t="str">
        <f>IFERROR(__xludf.DUMMYFUNCTION("""COMPUTED_VALUE"""),"SEDE DISTRITO SANITARIO II")</f>
        <v>SEDE DISTRITO SANITARIO II</v>
      </c>
      <c r="G1218" s="11" t="str">
        <f>IFERROR(__xludf.DUMMYFUNCTION("""COMPUTED_VALUE"""),"SEDE DISTRITO SANITARIO II")</f>
        <v>SEDE DISTRITO SANITARIO II</v>
      </c>
      <c r="H1218" s="11"/>
      <c r="I1218" s="11"/>
      <c r="J1218" s="11"/>
      <c r="K1218" s="11"/>
      <c r="L1218" s="11"/>
      <c r="M1218" s="11"/>
      <c r="N1218" s="11"/>
      <c r="O1218" s="11">
        <f>IFERROR(__xludf.DUMMYFUNCTION("""COMPUTED_VALUE"""),1923968467)</f>
        <v>1923968467</v>
      </c>
      <c r="P1218" s="11"/>
      <c r="Q1218" s="11"/>
      <c r="R1218" s="11"/>
      <c r="S1218" s="11"/>
      <c r="T1218" s="11"/>
      <c r="U1218" s="11"/>
      <c r="V1218" s="11"/>
      <c r="W1218" s="11"/>
      <c r="X1218" s="11"/>
      <c r="Y1218" s="11"/>
      <c r="Z1218" s="11"/>
    </row>
    <row r="1219" customHeight="1" spans="1:26">
      <c r="A1219" s="11" t="str">
        <f>IFERROR(__xludf.DUMMYFUNCTION("""COMPUTED_VALUE"""),"ANA PRISCILA D DE AGUIAR")</f>
        <v>ANA PRISCILA D DE AGUIAR</v>
      </c>
      <c r="B1219" s="11"/>
      <c r="C1219" s="11"/>
      <c r="D1219" s="11" t="str">
        <f>IFERROR(__xludf.DUMMYFUNCTION("""COMPUTED_VALUE"""),"ENFERMEIRO 40H")</f>
        <v>ENFERMEIRO 40H</v>
      </c>
      <c r="E1219" s="11"/>
      <c r="F1219" s="11" t="str">
        <f>IFERROR(__xludf.DUMMYFUNCTION("""COMPUTED_VALUE"""),"SEDE DISTRITO SANITARIO III")</f>
        <v>SEDE DISTRITO SANITARIO III</v>
      </c>
      <c r="G1219" s="11" t="str">
        <f>IFERROR(__xludf.DUMMYFUNCTION("""COMPUTED_VALUE"""),"SEDE DISTRITO SANITARIO III")</f>
        <v>SEDE DISTRITO SANITARIO III</v>
      </c>
      <c r="H1219" s="27">
        <f>IFERROR(__xludf.DUMMYFUNCTION("""COMPUTED_VALUE"""),81987728056)</f>
        <v>81987728056</v>
      </c>
      <c r="I1219" s="11"/>
      <c r="J1219" s="11"/>
      <c r="K1219" s="11"/>
      <c r="L1219" s="11"/>
      <c r="M1219" s="11"/>
      <c r="N1219" s="11"/>
      <c r="O1219" s="11">
        <f>IFERROR(__xludf.DUMMYFUNCTION("""COMPUTED_VALUE"""),96329602387)</f>
        <v>96329602387</v>
      </c>
      <c r="P1219" s="11"/>
      <c r="Q1219" s="11"/>
      <c r="R1219" s="11"/>
      <c r="S1219" s="11"/>
      <c r="T1219" s="11"/>
      <c r="U1219" s="11"/>
      <c r="V1219" s="11"/>
      <c r="W1219" s="11"/>
      <c r="X1219" s="11"/>
      <c r="Y1219" s="11"/>
      <c r="Z1219" s="11"/>
    </row>
    <row r="1220" customHeight="1" spans="1:26">
      <c r="A1220" s="11" t="str">
        <f>IFERROR(__xludf.DUMMYFUNCTION("""COMPUTED_VALUE"""),"IRENE BEZERRA DA SILVA")</f>
        <v>IRENE BEZERRA DA SILVA</v>
      </c>
      <c r="B1220" s="11"/>
      <c r="C1220" s="11"/>
      <c r="D1220" s="11" t="str">
        <f>IFERROR(__xludf.DUMMYFUNCTION("""COMPUTED_VALUE"""),"ENFERMEIRO 40H")</f>
        <v>ENFERMEIRO 40H</v>
      </c>
      <c r="E1220" s="11"/>
      <c r="F1220" s="11" t="str">
        <f>IFERROR(__xludf.DUMMYFUNCTION("""COMPUTED_VALUE"""),"SEDE DISTRITO SANITARIO I")</f>
        <v>SEDE DISTRITO SANITARIO I</v>
      </c>
      <c r="G1220" s="11" t="str">
        <f>IFERROR(__xludf.DUMMYFUNCTION("""COMPUTED_VALUE"""),"SEDE DISTRITO SANITARIO I")</f>
        <v>SEDE DISTRITO SANITARIO I</v>
      </c>
      <c r="H1220" s="11"/>
      <c r="I1220" s="11"/>
      <c r="J1220" s="11"/>
      <c r="K1220" s="11"/>
      <c r="L1220" s="11"/>
      <c r="M1220" s="11"/>
      <c r="N1220" s="11"/>
      <c r="O1220" s="11">
        <f>IFERROR(__xludf.DUMMYFUNCTION("""COMPUTED_VALUE"""),36343285415)</f>
        <v>36343285415</v>
      </c>
      <c r="P1220" s="11"/>
      <c r="Q1220" s="11"/>
      <c r="R1220" s="11"/>
      <c r="S1220" s="11"/>
      <c r="T1220" s="11"/>
      <c r="U1220" s="11"/>
      <c r="V1220" s="11"/>
      <c r="W1220" s="11"/>
      <c r="X1220" s="11"/>
      <c r="Y1220" s="11"/>
      <c r="Z1220" s="11"/>
    </row>
    <row r="1221" customHeight="1" spans="1:26">
      <c r="A1221" s="11" t="str">
        <f>IFERROR(__xludf.DUMMYFUNCTION("""COMPUTED_VALUE"""),"MARCLETA SIMPLICIO C E SA")</f>
        <v>MARCLETA SIMPLICIO C E SA</v>
      </c>
      <c r="B1221" s="11"/>
      <c r="C1221" s="11"/>
      <c r="D1221" s="11" t="str">
        <f>IFERROR(__xludf.DUMMYFUNCTION("""COMPUTED_VALUE"""),"ENFERMEIRO 40H")</f>
        <v>ENFERMEIRO 40H</v>
      </c>
      <c r="E1221" s="11"/>
      <c r="F1221" s="11" t="str">
        <f>IFERROR(__xludf.DUMMYFUNCTION("""COMPUTED_VALUE"""),"SEDE DISTRITO SANITARIO II")</f>
        <v>SEDE DISTRITO SANITARIO II</v>
      </c>
      <c r="G1221" s="11" t="str">
        <f>IFERROR(__xludf.DUMMYFUNCTION("""COMPUTED_VALUE"""),"SEDE DISTRITO SANITARIO II")</f>
        <v>SEDE DISTRITO SANITARIO II</v>
      </c>
      <c r="H1221" s="11"/>
      <c r="I1221" s="11"/>
      <c r="J1221" s="11"/>
      <c r="K1221" s="11"/>
      <c r="L1221" s="11"/>
      <c r="M1221" s="11"/>
      <c r="N1221" s="11"/>
      <c r="O1221" s="11">
        <f>IFERROR(__xludf.DUMMYFUNCTION("""COMPUTED_VALUE"""),46242392453)</f>
        <v>46242392453</v>
      </c>
      <c r="P1221" s="11"/>
      <c r="Q1221" s="11"/>
      <c r="R1221" s="11"/>
      <c r="S1221" s="11"/>
      <c r="T1221" s="11"/>
      <c r="U1221" s="11"/>
      <c r="V1221" s="11"/>
      <c r="W1221" s="11"/>
      <c r="X1221" s="11"/>
      <c r="Y1221" s="11"/>
      <c r="Z1221" s="11"/>
    </row>
    <row r="1222" customHeight="1" spans="1:26">
      <c r="A1222" s="11" t="str">
        <f>IFERROR(__xludf.DUMMYFUNCTION("""COMPUTED_VALUE"""),"TACIANA DO NASCIMENTO MENDES")</f>
        <v>TACIANA DO NASCIMENTO MENDES</v>
      </c>
      <c r="B1222" s="11"/>
      <c r="C1222" s="11"/>
      <c r="D1222" s="11" t="str">
        <f>IFERROR(__xludf.DUMMYFUNCTION("""COMPUTED_VALUE"""),"ENFERMEIRO 30H")</f>
        <v>ENFERMEIRO 30H</v>
      </c>
      <c r="E1222" s="11"/>
      <c r="F1222" s="11" t="str">
        <f>IFERROR(__xludf.DUMMYFUNCTION("""COMPUTED_VALUE"""),"SEDE DISTRITO SANITARIO II")</f>
        <v>SEDE DISTRITO SANITARIO II</v>
      </c>
      <c r="G1222" s="11" t="str">
        <f>IFERROR(__xludf.DUMMYFUNCTION("""COMPUTED_VALUE"""),"SEDE DISTRITO SANITARIO II")</f>
        <v>SEDE DISTRITO SANITARIO II</v>
      </c>
      <c r="H1222" s="11"/>
      <c r="I1222" s="11"/>
      <c r="J1222" s="11"/>
      <c r="K1222" s="11"/>
      <c r="L1222" s="11"/>
      <c r="M1222" s="11"/>
      <c r="N1222" s="11"/>
      <c r="O1222" s="11">
        <f>IFERROR(__xludf.DUMMYFUNCTION("""COMPUTED_VALUE"""),61485250463)</f>
        <v>61485250463</v>
      </c>
      <c r="P1222" s="11"/>
      <c r="Q1222" s="11"/>
      <c r="R1222" s="11"/>
      <c r="S1222" s="11"/>
      <c r="T1222" s="11"/>
      <c r="U1222" s="11"/>
      <c r="V1222" s="11"/>
      <c r="W1222" s="11"/>
      <c r="X1222" s="11"/>
      <c r="Y1222" s="11"/>
      <c r="Z1222" s="11"/>
    </row>
    <row r="1223" customHeight="1" spans="1:26">
      <c r="A1223" s="11" t="str">
        <f>IFERROR(__xludf.DUMMYFUNCTION("""COMPUTED_VALUE"""),"CLAUDIA BARBOSA R GUERRA")</f>
        <v>CLAUDIA BARBOSA R GUERRA</v>
      </c>
      <c r="B1223" s="11"/>
      <c r="C1223" s="11"/>
      <c r="D1223" s="11" t="str">
        <f>IFERROR(__xludf.DUMMYFUNCTION("""COMPUTED_VALUE"""),"ENFERMEIRO 30H")</f>
        <v>ENFERMEIRO 30H</v>
      </c>
      <c r="E1223" s="11"/>
      <c r="F1223" s="11" t="str">
        <f>IFERROR(__xludf.DUMMYFUNCTION("""COMPUTED_VALUE"""),"SEDE DISTRITO SANITARIO III")</f>
        <v>SEDE DISTRITO SANITARIO III</v>
      </c>
      <c r="G1223" s="11" t="str">
        <f>IFERROR(__xludf.DUMMYFUNCTION("""COMPUTED_VALUE"""),"SEDE DISTRITO SANITARIO III")</f>
        <v>SEDE DISTRITO SANITARIO III</v>
      </c>
      <c r="H1223" s="11"/>
      <c r="I1223" s="11"/>
      <c r="J1223" s="11"/>
      <c r="K1223" s="11"/>
      <c r="L1223" s="11"/>
      <c r="M1223" s="11"/>
      <c r="N1223" s="11"/>
      <c r="O1223" s="11">
        <f>IFERROR(__xludf.DUMMYFUNCTION("""COMPUTED_VALUE"""),73497355453)</f>
        <v>73497355453</v>
      </c>
      <c r="P1223" s="11"/>
      <c r="Q1223" s="11"/>
      <c r="R1223" s="11"/>
      <c r="S1223" s="11"/>
      <c r="T1223" s="11"/>
      <c r="U1223" s="11"/>
      <c r="V1223" s="11"/>
      <c r="W1223" s="11"/>
      <c r="X1223" s="11"/>
      <c r="Y1223" s="11"/>
      <c r="Z1223" s="11"/>
    </row>
    <row r="1224" customHeight="1" spans="1:26">
      <c r="A1224" s="11" t="str">
        <f>IFERROR(__xludf.DUMMYFUNCTION("""COMPUTED_VALUE"""),"CLAUDIA MARIA DOS S PEREIRA")</f>
        <v>CLAUDIA MARIA DOS S PEREIRA</v>
      </c>
      <c r="B1224" s="11"/>
      <c r="C1224" s="11"/>
      <c r="D1224" s="11" t="str">
        <f>IFERROR(__xludf.DUMMYFUNCTION("""COMPUTED_VALUE"""),"ENFERMEIRO 40H")</f>
        <v>ENFERMEIRO 40H</v>
      </c>
      <c r="E1224" s="11"/>
      <c r="F1224" s="11" t="str">
        <f>IFERROR(__xludf.DUMMYFUNCTION("""COMPUTED_VALUE"""),"SEDE DISTRITO SANITARIO VIII")</f>
        <v>SEDE DISTRITO SANITARIO VIII</v>
      </c>
      <c r="G1224" s="11" t="str">
        <f>IFERROR(__xludf.DUMMYFUNCTION("""COMPUTED_VALUE"""),"SEDE DISTRITO SANITARIO VIII")</f>
        <v>SEDE DISTRITO SANITARIO VIII</v>
      </c>
      <c r="H1224" s="11"/>
      <c r="I1224" s="11"/>
      <c r="J1224" s="11"/>
      <c r="K1224" s="11"/>
      <c r="L1224" s="11"/>
      <c r="M1224" s="11"/>
      <c r="N1224" s="11"/>
      <c r="O1224" s="11">
        <f>IFERROR(__xludf.DUMMYFUNCTION("""COMPUTED_VALUE"""),2499933410)</f>
        <v>2499933410</v>
      </c>
      <c r="P1224" s="11"/>
      <c r="Q1224" s="11"/>
      <c r="R1224" s="11"/>
      <c r="S1224" s="11"/>
      <c r="T1224" s="11"/>
      <c r="U1224" s="11"/>
      <c r="V1224" s="11"/>
      <c r="W1224" s="11"/>
      <c r="X1224" s="11"/>
      <c r="Y1224" s="11"/>
      <c r="Z1224" s="11"/>
    </row>
    <row r="1225" customHeight="1" spans="1:26">
      <c r="A1225" s="11" t="str">
        <f>IFERROR(__xludf.DUMMYFUNCTION("""COMPUTED_VALUE"""),"MARCELA NATAL LUCENA")</f>
        <v>MARCELA NATAL LUCENA</v>
      </c>
      <c r="B1225" s="11"/>
      <c r="C1225" s="11"/>
      <c r="D1225" s="11" t="str">
        <f>IFERROR(__xludf.DUMMYFUNCTION("""COMPUTED_VALUE"""),"ENFERMEIRO 30H")</f>
        <v>ENFERMEIRO 30H</v>
      </c>
      <c r="E1225" s="11"/>
      <c r="F1225" s="11" t="str">
        <f>IFERROR(__xludf.DUMMYFUNCTION("""COMPUTED_VALUE"""),"SEDE DISTRITO SANITARIO III")</f>
        <v>SEDE DISTRITO SANITARIO III</v>
      </c>
      <c r="G1225" s="11" t="str">
        <f>IFERROR(__xludf.DUMMYFUNCTION("""COMPUTED_VALUE"""),"SEDE DISTRITO SANITARIO III")</f>
        <v>SEDE DISTRITO SANITARIO III</v>
      </c>
      <c r="H1225" s="11"/>
      <c r="I1225" s="11"/>
      <c r="J1225" s="11"/>
      <c r="K1225" s="11"/>
      <c r="L1225" s="11"/>
      <c r="M1225" s="11"/>
      <c r="N1225" s="11"/>
      <c r="O1225" s="11">
        <f>IFERROR(__xludf.DUMMYFUNCTION("""COMPUTED_VALUE"""),3981547403)</f>
        <v>3981547403</v>
      </c>
      <c r="P1225" s="11"/>
      <c r="Q1225" s="11"/>
      <c r="R1225" s="11"/>
      <c r="S1225" s="11"/>
      <c r="T1225" s="11"/>
      <c r="U1225" s="11"/>
      <c r="V1225" s="11"/>
      <c r="W1225" s="11"/>
      <c r="X1225" s="11"/>
      <c r="Y1225" s="11"/>
      <c r="Z1225" s="11"/>
    </row>
    <row r="1226" customHeight="1" spans="1:26">
      <c r="A1226" s="11" t="str">
        <f>IFERROR(__xludf.DUMMYFUNCTION("""COMPUTED_VALUE"""),"SILVANIA GOMES DE LIMA")</f>
        <v>SILVANIA GOMES DE LIMA</v>
      </c>
      <c r="B1226" s="11"/>
      <c r="C1226" s="11"/>
      <c r="D1226" s="11" t="str">
        <f>IFERROR(__xludf.DUMMYFUNCTION("""COMPUTED_VALUE"""),"ENFERMEIRO 40H")</f>
        <v>ENFERMEIRO 40H</v>
      </c>
      <c r="E1226" s="11"/>
      <c r="F1226" s="11" t="str">
        <f>IFERROR(__xludf.DUMMYFUNCTION("""COMPUTED_VALUE"""),"SEDE DISTRITO SANITARIO IV")</f>
        <v>SEDE DISTRITO SANITARIO IV</v>
      </c>
      <c r="G1226" s="11" t="str">
        <f>IFERROR(__xludf.DUMMYFUNCTION("""COMPUTED_VALUE"""),"SEDE DISTRITO SANITARIO IV")</f>
        <v>SEDE DISTRITO SANITARIO IV</v>
      </c>
      <c r="H1226" s="11"/>
      <c r="I1226" s="11"/>
      <c r="J1226" s="11"/>
      <c r="K1226" s="11"/>
      <c r="L1226" s="11"/>
      <c r="M1226" s="11"/>
      <c r="N1226" s="11"/>
      <c r="O1226" s="11">
        <f>IFERROR(__xludf.DUMMYFUNCTION("""COMPUTED_VALUE"""),66795397491)</f>
        <v>66795397491</v>
      </c>
      <c r="P1226" s="11"/>
      <c r="Q1226" s="11"/>
      <c r="R1226" s="11"/>
      <c r="S1226" s="11"/>
      <c r="T1226" s="11"/>
      <c r="U1226" s="11"/>
      <c r="V1226" s="11"/>
      <c r="W1226" s="11"/>
      <c r="X1226" s="11"/>
      <c r="Y1226" s="11"/>
      <c r="Z1226" s="11"/>
    </row>
    <row r="1227" customHeight="1" spans="1:26">
      <c r="A1227" s="11" t="str">
        <f>IFERROR(__xludf.DUMMYFUNCTION("""COMPUTED_VALUE"""),"SILVANA CARVALHO C LIRA")</f>
        <v>SILVANA CARVALHO C LIRA</v>
      </c>
      <c r="B1227" s="11"/>
      <c r="C1227" s="11"/>
      <c r="D1227" s="11" t="str">
        <f>IFERROR(__xludf.DUMMYFUNCTION("""COMPUTED_VALUE"""),"ENFERMEIRO 40H")</f>
        <v>ENFERMEIRO 40H</v>
      </c>
      <c r="E1227" s="11"/>
      <c r="F1227" s="11" t="str">
        <f>IFERROR(__xludf.DUMMYFUNCTION("""COMPUTED_VALUE"""),"SEDE DISTRITO SANITARIO III")</f>
        <v>SEDE DISTRITO SANITARIO III</v>
      </c>
      <c r="G1227" s="11" t="str">
        <f>IFERROR(__xludf.DUMMYFUNCTION("""COMPUTED_VALUE"""),"ATENDE EM CASA")</f>
        <v>ATENDE EM CASA</v>
      </c>
      <c r="H1227" s="27">
        <f>IFERROR(__xludf.DUMMYFUNCTION("""COMPUTED_VALUE"""),81999673252)</f>
        <v>81999673252</v>
      </c>
      <c r="I1227" s="11"/>
      <c r="J1227" s="11"/>
      <c r="K1227" s="24">
        <f>IFERROR(__xludf.DUMMYFUNCTION("""COMPUTED_VALUE"""),45183)</f>
        <v>45183</v>
      </c>
      <c r="L1227" s="11"/>
      <c r="M1227" s="11"/>
      <c r="N1227" s="11"/>
      <c r="O1227" s="11">
        <f>IFERROR(__xludf.DUMMYFUNCTION("""COMPUTED_VALUE"""),61661295487)</f>
        <v>61661295487</v>
      </c>
      <c r="P1227" s="11"/>
      <c r="Q1227" s="11"/>
      <c r="R1227" s="11"/>
      <c r="S1227" s="11"/>
      <c r="T1227" s="11"/>
      <c r="U1227" s="11"/>
      <c r="V1227" s="11"/>
      <c r="W1227" s="11"/>
      <c r="X1227" s="11"/>
      <c r="Y1227" s="11"/>
      <c r="Z1227" s="11"/>
    </row>
    <row r="1228" customHeight="1" spans="1:26">
      <c r="A1228" s="11" t="str">
        <f>IFERROR(__xludf.DUMMYFUNCTION("""COMPUTED_VALUE"""),"MARIA DE LOURDES DIAS PRAZERES")</f>
        <v>MARIA DE LOURDES DIAS PRAZERES</v>
      </c>
      <c r="B1228" s="11"/>
      <c r="C1228" s="11"/>
      <c r="D1228" s="11" t="str">
        <f>IFERROR(__xludf.DUMMYFUNCTION("""COMPUTED_VALUE"""),"ENFERMEIRO 40H")</f>
        <v>ENFERMEIRO 40H</v>
      </c>
      <c r="E1228" s="11"/>
      <c r="F1228" s="11" t="str">
        <f>IFERROR(__xludf.DUMMYFUNCTION("""COMPUTED_VALUE"""),"SEDE DISTRITO SANITARIO VI")</f>
        <v>SEDE DISTRITO SANITARIO VI</v>
      </c>
      <c r="G1228" s="11" t="str">
        <f>IFERROR(__xludf.DUMMYFUNCTION("""COMPUTED_VALUE"""),"SEDE DISTRITO SANITARIO VI")</f>
        <v>SEDE DISTRITO SANITARIO VI</v>
      </c>
      <c r="H1228" s="11"/>
      <c r="I1228" s="11"/>
      <c r="J1228" s="11"/>
      <c r="K1228" s="11"/>
      <c r="L1228" s="11"/>
      <c r="M1228" s="11"/>
      <c r="N1228" s="11"/>
      <c r="O1228" s="11">
        <f>IFERROR(__xludf.DUMMYFUNCTION("""COMPUTED_VALUE"""),69895180497)</f>
        <v>69895180497</v>
      </c>
      <c r="P1228" s="11"/>
      <c r="Q1228" s="11"/>
      <c r="R1228" s="11"/>
      <c r="S1228" s="11"/>
      <c r="T1228" s="11"/>
      <c r="U1228" s="11"/>
      <c r="V1228" s="11"/>
      <c r="W1228" s="11"/>
      <c r="X1228" s="11"/>
      <c r="Y1228" s="11"/>
      <c r="Z1228" s="11"/>
    </row>
    <row r="1229" customHeight="1" spans="1:26">
      <c r="A1229" s="11" t="str">
        <f>IFERROR(__xludf.DUMMYFUNCTION("""COMPUTED_VALUE"""),"ROMERO NOGUEIRA DE S MENDES")</f>
        <v>ROMERO NOGUEIRA DE S MENDES</v>
      </c>
      <c r="B1229" s="11"/>
      <c r="C1229" s="11"/>
      <c r="D1229" s="11" t="str">
        <f>IFERROR(__xludf.DUMMYFUNCTION("""COMPUTED_VALUE"""),"ENFERMEIRO 40H")</f>
        <v>ENFERMEIRO 40H</v>
      </c>
      <c r="E1229" s="11"/>
      <c r="F1229" s="11" t="str">
        <f>IFERROR(__xludf.DUMMYFUNCTION("""COMPUTED_VALUE"""),"SEDE DISTRITO SANITARIO II")</f>
        <v>SEDE DISTRITO SANITARIO II</v>
      </c>
      <c r="G1229" s="11" t="str">
        <f>IFERROR(__xludf.DUMMYFUNCTION("""COMPUTED_VALUE"""),"SEDE DISTRITO SANITARIO II")</f>
        <v>SEDE DISTRITO SANITARIO II</v>
      </c>
      <c r="H1229" s="11"/>
      <c r="I1229" s="11"/>
      <c r="J1229" s="11"/>
      <c r="K1229" s="11"/>
      <c r="L1229" s="11"/>
      <c r="M1229" s="11"/>
      <c r="N1229" s="11"/>
      <c r="O1229" s="11">
        <f>IFERROR(__xludf.DUMMYFUNCTION("""COMPUTED_VALUE"""),3952166480)</f>
        <v>3952166480</v>
      </c>
      <c r="P1229" s="11"/>
      <c r="Q1229" s="11"/>
      <c r="R1229" s="11"/>
      <c r="S1229" s="11"/>
      <c r="T1229" s="11"/>
      <c r="U1229" s="11"/>
      <c r="V1229" s="11"/>
      <c r="W1229" s="11"/>
      <c r="X1229" s="11"/>
      <c r="Y1229" s="11"/>
      <c r="Z1229" s="11"/>
    </row>
    <row r="1230" customHeight="1" spans="1:26">
      <c r="A1230" s="11" t="str">
        <f>IFERROR(__xludf.DUMMYFUNCTION("""COMPUTED_VALUE"""),"CRISTIANE P DO N DIMECH")</f>
        <v>CRISTIANE P DO N DIMECH</v>
      </c>
      <c r="B1230" s="11"/>
      <c r="C1230" s="11"/>
      <c r="D1230" s="11" t="str">
        <f>IFERROR(__xludf.DUMMYFUNCTION("""COMPUTED_VALUE"""),"SERV OUT ORGAOS - REG PROPRIO")</f>
        <v>SERV OUT ORGAOS - REG PROPRIO</v>
      </c>
      <c r="E1230" s="11"/>
      <c r="F1230" s="11" t="str">
        <f>IFERROR(__xludf.DUMMYFUNCTION("""COMPUTED_VALUE"""),"SEDE DISTRITO SANITARIO VI")</f>
        <v>SEDE DISTRITO SANITARIO VI</v>
      </c>
      <c r="G1230" s="11" t="str">
        <f>IFERROR(__xludf.DUMMYFUNCTION("""COMPUTED_VALUE"""),"SEDE DISTRITO SANITARIO VI")</f>
        <v>SEDE DISTRITO SANITARIO VI</v>
      </c>
      <c r="H1230" s="11"/>
      <c r="I1230" s="11"/>
      <c r="J1230" s="11"/>
      <c r="K1230" s="11"/>
      <c r="L1230" s="11"/>
      <c r="M1230" s="11"/>
      <c r="N1230" s="11"/>
      <c r="O1230" s="11">
        <f>IFERROR(__xludf.DUMMYFUNCTION("""COMPUTED_VALUE"""),96108061472)</f>
        <v>96108061472</v>
      </c>
      <c r="P1230" s="11"/>
      <c r="Q1230" s="11"/>
      <c r="R1230" s="11"/>
      <c r="S1230" s="11"/>
      <c r="T1230" s="11"/>
      <c r="U1230" s="11"/>
      <c r="V1230" s="11"/>
      <c r="W1230" s="11"/>
      <c r="X1230" s="11"/>
      <c r="Y1230" s="11"/>
      <c r="Z1230" s="11"/>
    </row>
    <row r="1231" customHeight="1" spans="1:26">
      <c r="A1231" s="11" t="str">
        <f>IFERROR(__xludf.DUMMYFUNCTION("""COMPUTED_VALUE"""),"NARA REGINA DE A SANTOS ARAUJO")</f>
        <v>NARA REGINA DE A SANTOS ARAUJO</v>
      </c>
      <c r="B1231" s="11"/>
      <c r="C1231" s="11"/>
      <c r="D1231" s="11" t="str">
        <f>IFERROR(__xludf.DUMMYFUNCTION("""COMPUTED_VALUE"""),"ENFERMEIRO 40H")</f>
        <v>ENFERMEIRO 40H</v>
      </c>
      <c r="E1231" s="11"/>
      <c r="F1231" s="11" t="str">
        <f>IFERROR(__xludf.DUMMYFUNCTION("""COMPUTED_VALUE"""),"SEDE DISTRITO SANITARIO VI")</f>
        <v>SEDE DISTRITO SANITARIO VI</v>
      </c>
      <c r="G1231" s="11" t="str">
        <f>IFERROR(__xludf.DUMMYFUNCTION("""COMPUTED_VALUE"""),"SEDE DISTRITO SANITARIO VI")</f>
        <v>SEDE DISTRITO SANITARIO VI</v>
      </c>
      <c r="H1231" s="11"/>
      <c r="I1231" s="11"/>
      <c r="J1231" s="11"/>
      <c r="K1231" s="11"/>
      <c r="L1231" s="11"/>
      <c r="M1231" s="11"/>
      <c r="N1231" s="11"/>
      <c r="O1231" s="11">
        <f>IFERROR(__xludf.DUMMYFUNCTION("""COMPUTED_VALUE"""),86603361434)</f>
        <v>86603361434</v>
      </c>
      <c r="P1231" s="11"/>
      <c r="Q1231" s="11"/>
      <c r="R1231" s="11"/>
      <c r="S1231" s="11"/>
      <c r="T1231" s="11"/>
      <c r="U1231" s="11"/>
      <c r="V1231" s="11"/>
      <c r="W1231" s="11"/>
      <c r="X1231" s="11"/>
      <c r="Y1231" s="11"/>
      <c r="Z1231" s="11"/>
    </row>
    <row r="1232" customHeight="1" spans="1:26">
      <c r="A1232" s="11" t="str">
        <f>IFERROR(__xludf.DUMMYFUNCTION("""COMPUTED_VALUE"""),"VALERIA MARIA L DE A V DE MELO")</f>
        <v>VALERIA MARIA L DE A V DE MELO</v>
      </c>
      <c r="B1232" s="11"/>
      <c r="C1232" s="11"/>
      <c r="D1232" s="11" t="str">
        <f>IFERROR(__xludf.DUMMYFUNCTION("""COMPUTED_VALUE"""),"SERV DA INDIRETA DE RGPS")</f>
        <v>SERV DA INDIRETA DE RGPS</v>
      </c>
      <c r="E1232" s="11"/>
      <c r="F1232" s="11" t="str">
        <f>IFERROR(__xludf.DUMMYFUNCTION("""COMPUTED_VALUE"""),"SEDE DISTRITO SANITARIO VII")</f>
        <v>SEDE DISTRITO SANITARIO VII</v>
      </c>
      <c r="G1232" s="11" t="str">
        <f>IFERROR(__xludf.DUMMYFUNCTION("""COMPUTED_VALUE"""),"SEDE DISTRITO SANITARIO VII")</f>
        <v>SEDE DISTRITO SANITARIO VII</v>
      </c>
      <c r="H1232" s="11"/>
      <c r="I1232" s="11"/>
      <c r="J1232" s="11"/>
      <c r="K1232" s="11"/>
      <c r="L1232" s="11"/>
      <c r="M1232" s="11"/>
      <c r="N1232" s="11"/>
      <c r="O1232" s="11">
        <f>IFERROR(__xludf.DUMMYFUNCTION("""COMPUTED_VALUE"""),43198732468)</f>
        <v>43198732468</v>
      </c>
      <c r="P1232" s="11"/>
      <c r="Q1232" s="11"/>
      <c r="R1232" s="11"/>
      <c r="S1232" s="11"/>
      <c r="T1232" s="11"/>
      <c r="U1232" s="11"/>
      <c r="V1232" s="11"/>
      <c r="W1232" s="11"/>
      <c r="X1232" s="11"/>
      <c r="Y1232" s="11"/>
      <c r="Z1232" s="11"/>
    </row>
    <row r="1233" customHeight="1" spans="1:26">
      <c r="A1233" s="11" t="str">
        <f>IFERROR(__xludf.DUMMYFUNCTION("""COMPUTED_VALUE"""),"HELANA MARIA FERREIRA RENESTO")</f>
        <v>HELANA MARIA FERREIRA RENESTO</v>
      </c>
      <c r="B1233" s="11"/>
      <c r="C1233" s="11"/>
      <c r="D1233" s="11" t="str">
        <f>IFERROR(__xludf.DUMMYFUNCTION("""COMPUTED_VALUE"""),"ENFERMEIRO 40H")</f>
        <v>ENFERMEIRO 40H</v>
      </c>
      <c r="E1233" s="11"/>
      <c r="F1233" s="11" t="str">
        <f>IFERROR(__xludf.DUMMYFUNCTION("""COMPUTED_VALUE"""),"SEDE DISTRITO SANITARIO IV")</f>
        <v>SEDE DISTRITO SANITARIO IV</v>
      </c>
      <c r="G1233" s="11" t="str">
        <f>IFERROR(__xludf.DUMMYFUNCTION("""COMPUTED_VALUE"""),"SEDE DISTRITO SANITARIO IV")</f>
        <v>SEDE DISTRITO SANITARIO IV</v>
      </c>
      <c r="H1233" s="11"/>
      <c r="I1233" s="11"/>
      <c r="J1233" s="11"/>
      <c r="K1233" s="11"/>
      <c r="L1233" s="11"/>
      <c r="M1233" s="11"/>
      <c r="N1233" s="11"/>
      <c r="O1233" s="11">
        <f>IFERROR(__xludf.DUMMYFUNCTION("""COMPUTED_VALUE"""),1167992423)</f>
        <v>1167992423</v>
      </c>
      <c r="P1233" s="11"/>
      <c r="Q1233" s="11"/>
      <c r="R1233" s="11"/>
      <c r="S1233" s="11"/>
      <c r="T1233" s="11"/>
      <c r="U1233" s="11"/>
      <c r="V1233" s="11"/>
      <c r="W1233" s="11"/>
      <c r="X1233" s="11"/>
      <c r="Y1233" s="11"/>
      <c r="Z1233" s="11"/>
    </row>
    <row r="1234" customHeight="1" spans="1:26">
      <c r="A1234" s="11" t="str">
        <f>IFERROR(__xludf.DUMMYFUNCTION("""COMPUTED_VALUE"""),"CAROLINE BATISTA DE Q AQUINO")</f>
        <v>CAROLINE BATISTA DE Q AQUINO</v>
      </c>
      <c r="B1234" s="11"/>
      <c r="C1234" s="11"/>
      <c r="D1234" s="11" t="str">
        <f>IFERROR(__xludf.DUMMYFUNCTION("""COMPUTED_VALUE"""),"ENFERMEIRO 40H")</f>
        <v>ENFERMEIRO 40H</v>
      </c>
      <c r="E1234" s="11"/>
      <c r="F1234" s="11" t="str">
        <f>IFERROR(__xludf.DUMMYFUNCTION("""COMPUTED_VALUE"""),"SEDE DISTRITO SANITARIO IV")</f>
        <v>SEDE DISTRITO SANITARIO IV</v>
      </c>
      <c r="G1234" s="11" t="str">
        <f>IFERROR(__xludf.DUMMYFUNCTION("""COMPUTED_VALUE"""),"SEDE DISTRITO SANITARIO IV")</f>
        <v>SEDE DISTRITO SANITARIO IV</v>
      </c>
      <c r="H1234" s="11"/>
      <c r="I1234" s="11"/>
      <c r="J1234" s="11"/>
      <c r="K1234" s="11"/>
      <c r="L1234" s="11"/>
      <c r="M1234" s="11"/>
      <c r="N1234" s="11"/>
      <c r="O1234" s="11">
        <f>IFERROR(__xludf.DUMMYFUNCTION("""COMPUTED_VALUE"""),838356362)</f>
        <v>838356362</v>
      </c>
      <c r="P1234" s="11"/>
      <c r="Q1234" s="11"/>
      <c r="R1234" s="11"/>
      <c r="S1234" s="11"/>
      <c r="T1234" s="11"/>
      <c r="U1234" s="11"/>
      <c r="V1234" s="11"/>
      <c r="W1234" s="11"/>
      <c r="X1234" s="11"/>
      <c r="Y1234" s="11"/>
      <c r="Z1234" s="11"/>
    </row>
    <row r="1235" customHeight="1" spans="1:26">
      <c r="A1235" s="11" t="str">
        <f>IFERROR(__xludf.DUMMYFUNCTION("""COMPUTED_VALUE"""),"MICHELE LOPES DINIZ")</f>
        <v>MICHELE LOPES DINIZ</v>
      </c>
      <c r="B1235" s="11"/>
      <c r="C1235" s="11"/>
      <c r="D1235" s="11" t="str">
        <f>IFERROR(__xludf.DUMMYFUNCTION("""COMPUTED_VALUE"""),"ENFERMEIRO 30H - DIARISTA")</f>
        <v>ENFERMEIRO 30H - DIARISTA</v>
      </c>
      <c r="E1235" s="11"/>
      <c r="F1235" s="11" t="str">
        <f>IFERROR(__xludf.DUMMYFUNCTION("""COMPUTED_VALUE"""),"SEDE DISTRITO SANITARIO VII")</f>
        <v>SEDE DISTRITO SANITARIO VII</v>
      </c>
      <c r="G1235" s="11" t="str">
        <f>IFERROR(__xludf.DUMMYFUNCTION("""COMPUTED_VALUE"""),"SEDE DISTRITO SANITARIO VII")</f>
        <v>SEDE DISTRITO SANITARIO VII</v>
      </c>
      <c r="H1235" s="11"/>
      <c r="I1235" s="11"/>
      <c r="J1235" s="11"/>
      <c r="K1235" s="11"/>
      <c r="L1235" s="11"/>
      <c r="M1235" s="11"/>
      <c r="N1235" s="11"/>
      <c r="O1235" s="11">
        <f>IFERROR(__xludf.DUMMYFUNCTION("""COMPUTED_VALUE"""),904825302)</f>
        <v>904825302</v>
      </c>
      <c r="P1235" s="11"/>
      <c r="Q1235" s="11"/>
      <c r="R1235" s="11"/>
      <c r="S1235" s="11"/>
      <c r="T1235" s="11"/>
      <c r="U1235" s="11"/>
      <c r="V1235" s="11"/>
      <c r="W1235" s="11"/>
      <c r="X1235" s="11"/>
      <c r="Y1235" s="11"/>
      <c r="Z1235" s="11"/>
    </row>
    <row r="1236" customHeight="1" spans="1:26">
      <c r="A1236" s="11" t="str">
        <f>IFERROR(__xludf.DUMMYFUNCTION("""COMPUTED_VALUE"""),"ISLA DANIELA DA SILVA PINTO")</f>
        <v>ISLA DANIELA DA SILVA PINTO</v>
      </c>
      <c r="B1236" s="11"/>
      <c r="C1236" s="11"/>
      <c r="D1236" s="11" t="str">
        <f>IFERROR(__xludf.DUMMYFUNCTION("""COMPUTED_VALUE"""),"ENFERMEIRO 30H - DIARISTA")</f>
        <v>ENFERMEIRO 30H - DIARISTA</v>
      </c>
      <c r="E1236" s="11"/>
      <c r="F1236" s="11" t="str">
        <f>IFERROR(__xludf.DUMMYFUNCTION("""COMPUTED_VALUE"""),"SEDE DISTRITO SANITARIO II")</f>
        <v>SEDE DISTRITO SANITARIO II</v>
      </c>
      <c r="G1236" s="11" t="str">
        <f>IFERROR(__xludf.DUMMYFUNCTION("""COMPUTED_VALUE"""),"SEDE DISTRITO SANITARIO II")</f>
        <v>SEDE DISTRITO SANITARIO II</v>
      </c>
      <c r="H1236" s="11"/>
      <c r="I1236" s="11"/>
      <c r="J1236" s="11"/>
      <c r="K1236" s="11"/>
      <c r="L1236" s="11"/>
      <c r="M1236" s="11"/>
      <c r="N1236" s="11"/>
      <c r="O1236" s="11">
        <f>IFERROR(__xludf.DUMMYFUNCTION("""COMPUTED_VALUE"""),6737091407)</f>
        <v>6737091407</v>
      </c>
      <c r="P1236" s="11"/>
      <c r="Q1236" s="11"/>
      <c r="R1236" s="11"/>
      <c r="S1236" s="11"/>
      <c r="T1236" s="11"/>
      <c r="U1236" s="11"/>
      <c r="V1236" s="11"/>
      <c r="W1236" s="11"/>
      <c r="X1236" s="11"/>
      <c r="Y1236" s="11"/>
      <c r="Z1236" s="11"/>
    </row>
    <row r="1237" customHeight="1" spans="1:26">
      <c r="A1237" s="11" t="str">
        <f>IFERROR(__xludf.DUMMYFUNCTION("""COMPUTED_VALUE"""),"JULIANA DIAS DOS SANTOS")</f>
        <v>JULIANA DIAS DOS SANTOS</v>
      </c>
      <c r="B1237" s="11"/>
      <c r="C1237" s="11"/>
      <c r="D1237" s="11" t="str">
        <f>IFERROR(__xludf.DUMMYFUNCTION("""COMPUTED_VALUE"""),"ENFERMEIRO 30H - DIARISTA")</f>
        <v>ENFERMEIRO 30H - DIARISTA</v>
      </c>
      <c r="E1237" s="11"/>
      <c r="F1237" s="11" t="str">
        <f>IFERROR(__xludf.DUMMYFUNCTION("""COMPUTED_VALUE"""),"SEDE DISTRITO SANITARIO V")</f>
        <v>SEDE DISTRITO SANITARIO V</v>
      </c>
      <c r="G1237" s="11" t="str">
        <f>IFERROR(__xludf.DUMMYFUNCTION("""COMPUTED_VALUE"""),"SEDE DISTRITO SANITARIO V")</f>
        <v>SEDE DISTRITO SANITARIO V</v>
      </c>
      <c r="H1237" s="27">
        <f>IFERROR(__xludf.DUMMYFUNCTION("""COMPUTED_VALUE"""),8198040760)</f>
        <v>8198040760</v>
      </c>
      <c r="I1237" s="11"/>
      <c r="J1237" s="11"/>
      <c r="K1237" s="11"/>
      <c r="L1237" s="11"/>
      <c r="M1237" s="11"/>
      <c r="N1237" s="11"/>
      <c r="O1237" s="11">
        <f>IFERROR(__xludf.DUMMYFUNCTION("""COMPUTED_VALUE"""),8276899420)</f>
        <v>8276899420</v>
      </c>
      <c r="P1237" s="11"/>
      <c r="Q1237" s="11"/>
      <c r="R1237" s="11"/>
      <c r="S1237" s="11"/>
      <c r="T1237" s="11"/>
      <c r="U1237" s="11"/>
      <c r="V1237" s="11"/>
      <c r="W1237" s="11"/>
      <c r="X1237" s="11"/>
      <c r="Y1237" s="11"/>
      <c r="Z1237" s="11"/>
    </row>
    <row r="1238" customHeight="1" spans="1:26">
      <c r="A1238" s="11" t="str">
        <f>IFERROR(__xludf.DUMMYFUNCTION("""COMPUTED_VALUE"""),"ELISANDRA DA SILVA NERES")</f>
        <v>ELISANDRA DA SILVA NERES</v>
      </c>
      <c r="B1238" s="11"/>
      <c r="C1238" s="11"/>
      <c r="D1238" s="11" t="str">
        <f>IFERROR(__xludf.DUMMYFUNCTION("""COMPUTED_VALUE"""),"ENFERMEIRO 30H - DIARISTA")</f>
        <v>ENFERMEIRO 30H - DIARISTA</v>
      </c>
      <c r="E1238" s="11"/>
      <c r="F1238" s="11" t="str">
        <f>IFERROR(__xludf.DUMMYFUNCTION("""COMPUTED_VALUE"""),"SEDE DISTRITO SANITARIO VII")</f>
        <v>SEDE DISTRITO SANITARIO VII</v>
      </c>
      <c r="G1238" s="11" t="str">
        <f>IFERROR(__xludf.DUMMYFUNCTION("""COMPUTED_VALUE"""),"SEDE DISTRITO SANITARIO VII")</f>
        <v>SEDE DISTRITO SANITARIO VII</v>
      </c>
      <c r="H1238" s="11"/>
      <c r="I1238" s="11"/>
      <c r="J1238" s="11"/>
      <c r="K1238" s="11"/>
      <c r="L1238" s="11"/>
      <c r="M1238" s="11"/>
      <c r="N1238" s="11"/>
      <c r="O1238" s="11">
        <f>IFERROR(__xludf.DUMMYFUNCTION("""COMPUTED_VALUE"""),5262806465)</f>
        <v>5262806465</v>
      </c>
      <c r="P1238" s="11"/>
      <c r="Q1238" s="11"/>
      <c r="R1238" s="11"/>
      <c r="S1238" s="11"/>
      <c r="T1238" s="11"/>
      <c r="U1238" s="11"/>
      <c r="V1238" s="11"/>
      <c r="W1238" s="11"/>
      <c r="X1238" s="11"/>
      <c r="Y1238" s="11"/>
      <c r="Z1238" s="11"/>
    </row>
    <row r="1239" customHeight="1" spans="1:26">
      <c r="A1239" s="11" t="str">
        <f>IFERROR(__xludf.DUMMYFUNCTION("""COMPUTED_VALUE"""),"DANUZIA TEIXEIRA A DE OLIVEIRA")</f>
        <v>DANUZIA TEIXEIRA A DE OLIVEIRA</v>
      </c>
      <c r="B1239" s="11"/>
      <c r="C1239" s="11"/>
      <c r="D1239" s="11" t="str">
        <f>IFERROR(__xludf.DUMMYFUNCTION("""COMPUTED_VALUE"""),"ENFERMEIRO 30H - DIARISTA")</f>
        <v>ENFERMEIRO 30H - DIARISTA</v>
      </c>
      <c r="E1239" s="11"/>
      <c r="F1239" s="11" t="str">
        <f>IFERROR(__xludf.DUMMYFUNCTION("""COMPUTED_VALUE"""),"SEDE DISTRITO SANITARIO III")</f>
        <v>SEDE DISTRITO SANITARIO III</v>
      </c>
      <c r="G1239" s="11" t="str">
        <f>IFERROR(__xludf.DUMMYFUNCTION("""COMPUTED_VALUE"""),"SEDE DISTRITO SANITARIO III")</f>
        <v>SEDE DISTRITO SANITARIO III</v>
      </c>
      <c r="H1239" s="11"/>
      <c r="I1239" s="11"/>
      <c r="J1239" s="11"/>
      <c r="K1239" s="11"/>
      <c r="L1239" s="11"/>
      <c r="M1239" s="11"/>
      <c r="N1239" s="11"/>
      <c r="O1239" s="11">
        <f>IFERROR(__xludf.DUMMYFUNCTION("""COMPUTED_VALUE"""),4692165499)</f>
        <v>4692165499</v>
      </c>
      <c r="P1239" s="11"/>
      <c r="Q1239" s="11"/>
      <c r="R1239" s="11"/>
      <c r="S1239" s="11"/>
      <c r="T1239" s="11"/>
      <c r="U1239" s="11"/>
      <c r="V1239" s="11"/>
      <c r="W1239" s="11"/>
      <c r="X1239" s="11"/>
      <c r="Y1239" s="11"/>
      <c r="Z1239" s="11"/>
    </row>
    <row r="1240" customHeight="1" spans="1:26">
      <c r="A1240" s="11" t="str">
        <f>IFERROR(__xludf.DUMMYFUNCTION("""COMPUTED_VALUE"""),"ANDRESSA LIMA CAVALCANTE")</f>
        <v>ANDRESSA LIMA CAVALCANTE</v>
      </c>
      <c r="B1240" s="11"/>
      <c r="C1240" s="11"/>
      <c r="D1240" s="11" t="str">
        <f>IFERROR(__xludf.DUMMYFUNCTION("""COMPUTED_VALUE"""),"ENFERMEIRO 30H - DIARISTA")</f>
        <v>ENFERMEIRO 30H - DIARISTA</v>
      </c>
      <c r="E1240" s="11"/>
      <c r="F1240" s="11" t="str">
        <f>IFERROR(__xludf.DUMMYFUNCTION("""COMPUTED_VALUE"""),"SEDE DISTRITO SANITARIO III")</f>
        <v>SEDE DISTRITO SANITARIO III</v>
      </c>
      <c r="G1240" s="11" t="str">
        <f>IFERROR(__xludf.DUMMYFUNCTION("""COMPUTED_VALUE"""),"SEDE DISTRITO SANITARIO III")</f>
        <v>SEDE DISTRITO SANITARIO III</v>
      </c>
      <c r="H1240" s="11"/>
      <c r="I1240" s="11"/>
      <c r="J1240" s="11"/>
      <c r="K1240" s="11"/>
      <c r="L1240" s="11"/>
      <c r="M1240" s="11"/>
      <c r="N1240" s="11"/>
      <c r="O1240" s="11">
        <f>IFERROR(__xludf.DUMMYFUNCTION("""COMPUTED_VALUE"""),9313817462)</f>
        <v>9313817462</v>
      </c>
      <c r="P1240" s="11"/>
      <c r="Q1240" s="11"/>
      <c r="R1240" s="11"/>
      <c r="S1240" s="11"/>
      <c r="T1240" s="11"/>
      <c r="U1240" s="11"/>
      <c r="V1240" s="11"/>
      <c r="W1240" s="11"/>
      <c r="X1240" s="11"/>
      <c r="Y1240" s="11"/>
      <c r="Z1240" s="11"/>
    </row>
    <row r="1241" customHeight="1" spans="1:26">
      <c r="A1241" s="11" t="str">
        <f>IFERROR(__xludf.DUMMYFUNCTION("""COMPUTED_VALUE"""),"FABIANA GOMES DA SILVA COELHO")</f>
        <v>FABIANA GOMES DA SILVA COELHO</v>
      </c>
      <c r="B1241" s="11"/>
      <c r="C1241" s="11"/>
      <c r="D1241" s="11" t="str">
        <f>IFERROR(__xludf.DUMMYFUNCTION("""COMPUTED_VALUE"""),"SERV OUT ORGAOS - REG PROPRIO")</f>
        <v>SERV OUT ORGAOS - REG PROPRIO</v>
      </c>
      <c r="E1241" s="11"/>
      <c r="F1241" s="11" t="str">
        <f>IFERROR(__xludf.DUMMYFUNCTION("""COMPUTED_VALUE"""),"SEDE DISTRITO SANITARIO I")</f>
        <v>SEDE DISTRITO SANITARIO I</v>
      </c>
      <c r="G1241" s="11" t="str">
        <f>IFERROR(__xludf.DUMMYFUNCTION("""COMPUTED_VALUE"""),"SEDE DISTRITO SANITARIO I")</f>
        <v>SEDE DISTRITO SANITARIO I</v>
      </c>
      <c r="H1241" s="11"/>
      <c r="I1241" s="11"/>
      <c r="J1241" s="11"/>
      <c r="K1241" s="11"/>
      <c r="L1241" s="11"/>
      <c r="M1241" s="11"/>
      <c r="N1241" s="11"/>
      <c r="O1241" s="11">
        <f>IFERROR(__xludf.DUMMYFUNCTION("""COMPUTED_VALUE"""),2810693447)</f>
        <v>2810693447</v>
      </c>
      <c r="P1241" s="11"/>
      <c r="Q1241" s="11"/>
      <c r="R1241" s="11"/>
      <c r="S1241" s="11"/>
      <c r="T1241" s="11"/>
      <c r="U1241" s="11"/>
      <c r="V1241" s="11"/>
      <c r="W1241" s="11"/>
      <c r="X1241" s="11"/>
      <c r="Y1241" s="11"/>
      <c r="Z1241" s="11"/>
    </row>
    <row r="1242" customHeight="1" spans="1:26">
      <c r="A1242" s="11" t="str">
        <f>IFERROR(__xludf.DUMMYFUNCTION("""COMPUTED_VALUE"""),"JULLIANA CARDOSO ACIOLI")</f>
        <v>JULLIANA CARDOSO ACIOLI</v>
      </c>
      <c r="B1242" s="11"/>
      <c r="C1242" s="11"/>
      <c r="D1242" s="11" t="str">
        <f>IFERROR(__xludf.DUMMYFUNCTION("""COMPUTED_VALUE"""),"ENFERMEIRO 30H - DIARISTA")</f>
        <v>ENFERMEIRO 30H - DIARISTA</v>
      </c>
      <c r="E1242" s="11"/>
      <c r="F1242" s="11" t="str">
        <f>IFERROR(__xludf.DUMMYFUNCTION("""COMPUTED_VALUE"""),"SEDE DISTRITO SANITARIO IV")</f>
        <v>SEDE DISTRITO SANITARIO IV</v>
      </c>
      <c r="G1242" s="11" t="str">
        <f>IFERROR(__xludf.DUMMYFUNCTION("""COMPUTED_VALUE"""),"SEDE DISTRITO SANITARIO IV")</f>
        <v>SEDE DISTRITO SANITARIO IV</v>
      </c>
      <c r="H1242" s="11"/>
      <c r="I1242" s="11"/>
      <c r="J1242" s="11"/>
      <c r="K1242" s="11"/>
      <c r="L1242" s="11"/>
      <c r="M1242" s="11"/>
      <c r="N1242" s="11"/>
      <c r="O1242" s="11">
        <f>IFERROR(__xludf.DUMMYFUNCTION("""COMPUTED_VALUE"""),98942980449)</f>
        <v>98942980449</v>
      </c>
      <c r="P1242" s="11"/>
      <c r="Q1242" s="11"/>
      <c r="R1242" s="11"/>
      <c r="S1242" s="11"/>
      <c r="T1242" s="11"/>
      <c r="U1242" s="11"/>
      <c r="V1242" s="11"/>
      <c r="W1242" s="11"/>
      <c r="X1242" s="11"/>
      <c r="Y1242" s="11"/>
      <c r="Z1242" s="11"/>
    </row>
    <row r="1243" customHeight="1" spans="1:26">
      <c r="A1243" s="11" t="str">
        <f>IFERROR(__xludf.DUMMYFUNCTION("""COMPUTED_VALUE"""),"VITAL JOSE DE SOUZA FILHO")</f>
        <v>VITAL JOSE DE SOUZA FILHO</v>
      </c>
      <c r="B1243" s="11"/>
      <c r="C1243" s="11"/>
      <c r="D1243" s="11" t="str">
        <f>IFERROR(__xludf.DUMMYFUNCTION("""COMPUTED_VALUE"""),"SERV OUT ORGAOS - REG PROPRIO")</f>
        <v>SERV OUT ORGAOS - REG PROPRIO</v>
      </c>
      <c r="E1243" s="11"/>
      <c r="F1243" s="11" t="str">
        <f>IFERROR(__xludf.DUMMYFUNCTION("""COMPUTED_VALUE"""),"SEDE DISTRITO SANITARIO I")</f>
        <v>SEDE DISTRITO SANITARIO I</v>
      </c>
      <c r="G1243" s="11" t="str">
        <f>IFERROR(__xludf.DUMMYFUNCTION("""COMPUTED_VALUE"""),"SEDE DISTRITO SANITARIO I")</f>
        <v>SEDE DISTRITO SANITARIO I</v>
      </c>
      <c r="H1243" s="11"/>
      <c r="I1243" s="11"/>
      <c r="J1243" s="11"/>
      <c r="K1243" s="11"/>
      <c r="L1243" s="11"/>
      <c r="M1243" s="11"/>
      <c r="N1243" s="11"/>
      <c r="O1243" s="11" t="str">
        <f>IFERROR(__xludf.DUMMYFUNCTION("""COMPUTED_VALUE""")," ***.092.504-**")</f>
        <v> ***.092.504-**</v>
      </c>
      <c r="P1243" s="11"/>
      <c r="Q1243" s="11"/>
      <c r="R1243" s="11"/>
      <c r="S1243" s="11"/>
      <c r="T1243" s="11"/>
      <c r="U1243" s="11"/>
      <c r="V1243" s="11"/>
      <c r="W1243" s="11"/>
      <c r="X1243" s="11"/>
      <c r="Y1243" s="11"/>
      <c r="Z1243" s="11"/>
    </row>
    <row r="1244" customHeight="1" spans="1:26">
      <c r="A1244" s="11" t="str">
        <f>IFERROR(__xludf.DUMMYFUNCTION("""COMPUTED_VALUE"""),"SIMONE LEAL BATISTA")</f>
        <v>SIMONE LEAL BATISTA</v>
      </c>
      <c r="B1244" s="11"/>
      <c r="C1244" s="11"/>
      <c r="D1244" s="11" t="str">
        <f>IFERROR(__xludf.DUMMYFUNCTION("""COMPUTED_VALUE"""),"SERV DE ORGAO MUNICIPALIZ RP")</f>
        <v>SERV DE ORGAO MUNICIPALIZ RP</v>
      </c>
      <c r="E1244" s="11"/>
      <c r="F1244" s="11" t="str">
        <f>IFERROR(__xludf.DUMMYFUNCTION("""COMPUTED_VALUE"""),"SEDE DISTRITO SANITARIO VI")</f>
        <v>SEDE DISTRITO SANITARIO VI</v>
      </c>
      <c r="G1244" s="11" t="str">
        <f>IFERROR(__xludf.DUMMYFUNCTION("""COMPUTED_VALUE"""),"SEDE DISTRITO SANITARIO VI")</f>
        <v>SEDE DISTRITO SANITARIO VI</v>
      </c>
      <c r="H1244" s="11"/>
      <c r="I1244" s="11"/>
      <c r="J1244" s="11"/>
      <c r="K1244" s="11"/>
      <c r="L1244" s="11"/>
      <c r="M1244" s="11"/>
      <c r="N1244" s="11"/>
      <c r="O1244" s="11">
        <f>IFERROR(__xludf.DUMMYFUNCTION("""COMPUTED_VALUE"""),52116930430)</f>
        <v>52116930430</v>
      </c>
      <c r="P1244" s="11"/>
      <c r="Q1244" s="11"/>
      <c r="R1244" s="11"/>
      <c r="S1244" s="11"/>
      <c r="T1244" s="11"/>
      <c r="U1244" s="11"/>
      <c r="V1244" s="11"/>
      <c r="W1244" s="11"/>
      <c r="X1244" s="11"/>
      <c r="Y1244" s="11"/>
      <c r="Z1244" s="11"/>
    </row>
    <row r="1245" customHeight="1" spans="1:26">
      <c r="A1245" s="11" t="str">
        <f>IFERROR(__xludf.DUMMYFUNCTION("""COMPUTED_VALUE"""),"TANIA ELIZABETH SANTOS MOREIRA")</f>
        <v>TANIA ELIZABETH SANTOS MOREIRA</v>
      </c>
      <c r="B1245" s="11"/>
      <c r="C1245" s="11"/>
      <c r="D1245" s="11" t="str">
        <f>IFERROR(__xludf.DUMMYFUNCTION("""COMPUTED_VALUE"""),"SERV OUT ORGAOS - REG PROPRIO")</f>
        <v>SERV OUT ORGAOS - REG PROPRIO</v>
      </c>
      <c r="E1245" s="11"/>
      <c r="F1245" s="11" t="str">
        <f>IFERROR(__xludf.DUMMYFUNCTION("""COMPUTED_VALUE"""),"GERENCIA GERAL DE REGULACAO EM SAUDE")</f>
        <v>GERENCIA GERAL DE REGULACAO EM SAUDE</v>
      </c>
      <c r="G1245" s="11" t="str">
        <f>IFERROR(__xludf.DUMMYFUNCTION("""COMPUTED_VALUE"""),"GERENCIA GERAL DE REGULACAO EM SAUDE")</f>
        <v>GERENCIA GERAL DE REGULACAO EM SAUDE</v>
      </c>
      <c r="H1245" s="11"/>
      <c r="I1245" s="11"/>
      <c r="J1245" s="11"/>
      <c r="K1245" s="11"/>
      <c r="L1245" s="11"/>
      <c r="M1245" s="11"/>
      <c r="N1245" s="11"/>
      <c r="O1245" s="11">
        <f>IFERROR(__xludf.DUMMYFUNCTION("""COMPUTED_VALUE"""),12401714472)</f>
        <v>12401714472</v>
      </c>
      <c r="P1245" s="11"/>
      <c r="Q1245" s="11"/>
      <c r="R1245" s="11"/>
      <c r="S1245" s="11"/>
      <c r="T1245" s="11"/>
      <c r="U1245" s="11"/>
      <c r="V1245" s="11"/>
      <c r="W1245" s="11"/>
      <c r="X1245" s="11"/>
      <c r="Y1245" s="11"/>
      <c r="Z1245" s="11"/>
    </row>
    <row r="1246" customHeight="1" spans="1:26">
      <c r="A1246" s="11" t="str">
        <f>IFERROR(__xludf.DUMMYFUNCTION("""COMPUTED_VALUE"""),"ELIZABETH AZOUBEL")</f>
        <v>ELIZABETH AZOUBEL</v>
      </c>
      <c r="B1246" s="11"/>
      <c r="C1246" s="11"/>
      <c r="D1246" s="11" t="str">
        <f>IFERROR(__xludf.DUMMYFUNCTION("""COMPUTED_VALUE"""),"ENFERMEIRO 30H")</f>
        <v>ENFERMEIRO 30H</v>
      </c>
      <c r="E1246" s="11"/>
      <c r="F1246" s="11" t="str">
        <f>IFERROR(__xludf.DUMMYFUNCTION("""COMPUTED_VALUE"""),"GERENCIA DO PROGRAMA MUNICIPAL DE IMUNIZAÇAO")</f>
        <v>GERENCIA DO PROGRAMA MUNICIPAL DE IMUNIZAÇAO</v>
      </c>
      <c r="G1246" s="11" t="str">
        <f>IFERROR(__xludf.DUMMYFUNCTION("""COMPUTED_VALUE"""),"GERENCIA DO PROGRAMA MUNICIPAL DE IMUNIZAÇAO")</f>
        <v>GERENCIA DO PROGRAMA MUNICIPAL DE IMUNIZAÇAO</v>
      </c>
      <c r="H1246" s="11"/>
      <c r="I1246" s="11"/>
      <c r="J1246" s="11"/>
      <c r="K1246" s="11"/>
      <c r="L1246" s="11"/>
      <c r="M1246" s="11"/>
      <c r="N1246" s="11"/>
      <c r="O1246" s="11">
        <f>IFERROR(__xludf.DUMMYFUNCTION("""COMPUTED_VALUE"""),74704028887)</f>
        <v>74704028887</v>
      </c>
      <c r="P1246" s="11"/>
      <c r="Q1246" s="11"/>
      <c r="R1246" s="11"/>
      <c r="S1246" s="11"/>
      <c r="T1246" s="11"/>
      <c r="U1246" s="11"/>
      <c r="V1246" s="11"/>
      <c r="W1246" s="11"/>
      <c r="X1246" s="11"/>
      <c r="Y1246" s="11"/>
      <c r="Z1246" s="11"/>
    </row>
    <row r="1247" customHeight="1" spans="1:26">
      <c r="A1247" s="11" t="str">
        <f>IFERROR(__xludf.DUMMYFUNCTION("""COMPUTED_VALUE"""),"VALERIA MARIA B B CARVALHO")</f>
        <v>VALERIA MARIA B B CARVALHO</v>
      </c>
      <c r="B1247" s="11"/>
      <c r="C1247" s="11"/>
      <c r="D1247" s="11" t="str">
        <f>IFERROR(__xludf.DUMMYFUNCTION("""COMPUTED_VALUE"""),"ENFERMEIRO 30H")</f>
        <v>ENFERMEIRO 30H</v>
      </c>
      <c r="E1247" s="11"/>
      <c r="F1247" s="11" t="str">
        <f>IFERROR(__xludf.DUMMYFUNCTION("""COMPUTED_VALUE"""),"GERENCIA GERAL DE REGULACAO EM SAUDE")</f>
        <v>GERENCIA GERAL DE REGULACAO EM SAUDE</v>
      </c>
      <c r="G1247" s="11" t="str">
        <f>IFERROR(__xludf.DUMMYFUNCTION("""COMPUTED_VALUE"""),"GERENCIA GERAL DE REGULACAO EM SAUDE")</f>
        <v>GERENCIA GERAL DE REGULACAO EM SAUDE</v>
      </c>
      <c r="H1247" s="11"/>
      <c r="I1247" s="11"/>
      <c r="J1247" s="11"/>
      <c r="K1247" s="11"/>
      <c r="L1247" s="11"/>
      <c r="M1247" s="11"/>
      <c r="N1247" s="11"/>
      <c r="O1247" s="11">
        <f>IFERROR(__xludf.DUMMYFUNCTION("""COMPUTED_VALUE"""),61254487468)</f>
        <v>61254487468</v>
      </c>
      <c r="P1247" s="11"/>
      <c r="Q1247" s="11"/>
      <c r="R1247" s="11"/>
      <c r="S1247" s="11"/>
      <c r="T1247" s="11"/>
      <c r="U1247" s="11"/>
      <c r="V1247" s="11"/>
      <c r="W1247" s="11"/>
      <c r="X1247" s="11"/>
      <c r="Y1247" s="11"/>
      <c r="Z1247" s="11"/>
    </row>
    <row r="1248" customHeight="1" spans="1:26">
      <c r="A1248" s="11" t="str">
        <f>IFERROR(__xludf.DUMMYFUNCTION("""COMPUTED_VALUE"""),"MARIA ADELIA ROMEIRA PALACIO")</f>
        <v>MARIA ADELIA ROMEIRA PALACIO</v>
      </c>
      <c r="B1248" s="11"/>
      <c r="C1248" s="11"/>
      <c r="D1248" s="11" t="str">
        <f>IFERROR(__xludf.DUMMYFUNCTION("""COMPUTED_VALUE"""),"ENFERMEIRO 30H")</f>
        <v>ENFERMEIRO 30H</v>
      </c>
      <c r="E1248" s="11"/>
      <c r="F1248" s="11" t="str">
        <f>IFERROR(__xludf.DUMMYFUNCTION("""COMPUTED_VALUE"""),"GERENCIA DE AUDITORIA ASSISTENCIAL")</f>
        <v>GERENCIA DE AUDITORIA ASSISTENCIAL</v>
      </c>
      <c r="G1248" s="11" t="str">
        <f>IFERROR(__xludf.DUMMYFUNCTION("""COMPUTED_VALUE"""),"GERENCIA DE AUDITORIA ASSISTENCIAL")</f>
        <v>GERENCIA DE AUDITORIA ASSISTENCIAL</v>
      </c>
      <c r="H1248" s="11"/>
      <c r="I1248" s="11"/>
      <c r="J1248" s="11"/>
      <c r="K1248" s="11"/>
      <c r="L1248" s="11"/>
      <c r="M1248" s="11"/>
      <c r="N1248" s="11"/>
      <c r="O1248" s="11">
        <f>IFERROR(__xludf.DUMMYFUNCTION("""COMPUTED_VALUE"""),22378162472)</f>
        <v>22378162472</v>
      </c>
      <c r="P1248" s="11"/>
      <c r="Q1248" s="11"/>
      <c r="R1248" s="11"/>
      <c r="S1248" s="11"/>
      <c r="T1248" s="11"/>
      <c r="U1248" s="11"/>
      <c r="V1248" s="11"/>
      <c r="W1248" s="11"/>
      <c r="X1248" s="11"/>
      <c r="Y1248" s="11"/>
      <c r="Z1248" s="11"/>
    </row>
    <row r="1249" customHeight="1" spans="1:26">
      <c r="A1249" s="11" t="str">
        <f>IFERROR(__xludf.DUMMYFUNCTION("""COMPUTED_VALUE"""),"CLAUDIA SOARES M R FREITAS")</f>
        <v>CLAUDIA SOARES M R FREITAS</v>
      </c>
      <c r="B1249" s="11"/>
      <c r="C1249" s="11"/>
      <c r="D1249" s="11" t="str">
        <f>IFERROR(__xludf.DUMMYFUNCTION("""COMPUTED_VALUE"""),"ENFERMEIRO 30H")</f>
        <v>ENFERMEIRO 30H</v>
      </c>
      <c r="E1249" s="11"/>
      <c r="F1249" s="11" t="str">
        <f>IFERROR(__xludf.DUMMYFUNCTION("""COMPUTED_VALUE"""),"GERENCIA GERAL DE MONITORAMENTO DE GESTAO DISTRITAL ")</f>
        <v>GERENCIA GERAL DE MONITORAMENTO DE GESTAO DISTRITAL </v>
      </c>
      <c r="G1249" s="11" t="str">
        <f>IFERROR(__xludf.DUMMYFUNCTION("""COMPUTED_VALUE"""),"GERENCIA GERAL DE MONITORAMENTO DE GESTAO DISTRITAL ")</f>
        <v>GERENCIA GERAL DE MONITORAMENTO DE GESTAO DISTRITAL </v>
      </c>
      <c r="H1249" s="11"/>
      <c r="I1249" s="11"/>
      <c r="J1249" s="11"/>
      <c r="K1249" s="11"/>
      <c r="L1249" s="11"/>
      <c r="M1249" s="11"/>
      <c r="N1249" s="11"/>
      <c r="O1249" s="11">
        <f>IFERROR(__xludf.DUMMYFUNCTION("""COMPUTED_VALUE"""),3056364485)</f>
        <v>3056364485</v>
      </c>
      <c r="P1249" s="11"/>
      <c r="Q1249" s="11"/>
      <c r="R1249" s="11"/>
      <c r="S1249" s="11"/>
      <c r="T1249" s="11"/>
      <c r="U1249" s="11"/>
      <c r="V1249" s="11"/>
      <c r="W1249" s="11"/>
      <c r="X1249" s="11"/>
      <c r="Y1249" s="11"/>
      <c r="Z1249" s="11"/>
    </row>
    <row r="1250" customHeight="1" spans="1:26">
      <c r="A1250" s="11" t="str">
        <f>IFERROR(__xludf.DUMMYFUNCTION("""COMPUTED_VALUE"""),"CLAUDIA SOARES M R FREITAS")</f>
        <v>CLAUDIA SOARES M R FREITAS</v>
      </c>
      <c r="B1250" s="11"/>
      <c r="C1250" s="11"/>
      <c r="D1250" s="11" t="str">
        <f>IFERROR(__xludf.DUMMYFUNCTION("""COMPUTED_VALUE"""),"ENFERMEIRO 40H")</f>
        <v>ENFERMEIRO 40H</v>
      </c>
      <c r="E1250" s="11"/>
      <c r="F1250" s="11" t="str">
        <f>IFERROR(__xludf.DUMMYFUNCTION("""COMPUTED_VALUE"""),"GERENCIA GERAL DE MONITORAMENTO DE GESTAO DISTRITAL ")</f>
        <v>GERENCIA GERAL DE MONITORAMENTO DE GESTAO DISTRITAL </v>
      </c>
      <c r="G1250" s="11" t="str">
        <f>IFERROR(__xludf.DUMMYFUNCTION("""COMPUTED_VALUE"""),"GERENCIA GERAL DE MONITORAMENTO DE GESTAO DISTRITAL ")</f>
        <v>GERENCIA GERAL DE MONITORAMENTO DE GESTAO DISTRITAL </v>
      </c>
      <c r="H1250" s="11"/>
      <c r="I1250" s="11"/>
      <c r="J1250" s="11"/>
      <c r="K1250" s="11"/>
      <c r="L1250" s="11"/>
      <c r="M1250" s="11"/>
      <c r="N1250" s="11"/>
      <c r="O1250" s="11">
        <f>IFERROR(__xludf.DUMMYFUNCTION("""COMPUTED_VALUE"""),3056364485)</f>
        <v>3056364485</v>
      </c>
      <c r="P1250" s="11"/>
      <c r="Q1250" s="11"/>
      <c r="R1250" s="11"/>
      <c r="S1250" s="11"/>
      <c r="T1250" s="11"/>
      <c r="U1250" s="11"/>
      <c r="V1250" s="11"/>
      <c r="W1250" s="11"/>
      <c r="X1250" s="11"/>
      <c r="Y1250" s="11"/>
      <c r="Z1250" s="11"/>
    </row>
    <row r="1251" customHeight="1" spans="1:26">
      <c r="A1251" s="11" t="str">
        <f>IFERROR(__xludf.DUMMYFUNCTION("""COMPUTED_VALUE"""),"SILVANA HELENA DANTAS MOREIRA")</f>
        <v>SILVANA HELENA DANTAS MOREIRA</v>
      </c>
      <c r="B1251" s="11"/>
      <c r="C1251" s="11"/>
      <c r="D1251" s="11" t="str">
        <f>IFERROR(__xludf.DUMMYFUNCTION("""COMPUTED_VALUE"""),"ENFERMEIRO 40H")</f>
        <v>ENFERMEIRO 40H</v>
      </c>
      <c r="E1251" s="11"/>
      <c r="F1251" s="11" t="str">
        <f>IFERROR(__xludf.DUMMYFUNCTION("""COMPUTED_VALUE"""),"GERENCIA GERAL DE MONITORAMENTO DE GESTAO DISTRITAL")</f>
        <v>GERENCIA GERAL DE MONITORAMENTO DE GESTAO DISTRITAL</v>
      </c>
      <c r="G1251" s="11" t="str">
        <f>IFERROR(__xludf.DUMMYFUNCTION("""COMPUTED_VALUE"""),"GERENCIA GERAL DE MONITORAMENTO DE GESTAO DISTRITAL")</f>
        <v>GERENCIA GERAL DE MONITORAMENTO DE GESTAO DISTRITAL</v>
      </c>
      <c r="H1251" s="11"/>
      <c r="I1251" s="11"/>
      <c r="J1251" s="11"/>
      <c r="K1251" s="11"/>
      <c r="L1251" s="11"/>
      <c r="M1251" s="11"/>
      <c r="N1251" s="11"/>
      <c r="O1251" s="11">
        <f>IFERROR(__xludf.DUMMYFUNCTION("""COMPUTED_VALUE"""),62516850425)</f>
        <v>62516850425</v>
      </c>
      <c r="P1251" s="11"/>
      <c r="Q1251" s="11"/>
      <c r="R1251" s="11"/>
      <c r="S1251" s="11"/>
      <c r="T1251" s="11"/>
      <c r="U1251" s="11"/>
      <c r="V1251" s="11"/>
      <c r="W1251" s="11"/>
      <c r="X1251" s="11"/>
      <c r="Y1251" s="11"/>
      <c r="Z1251" s="11"/>
    </row>
    <row r="1252" customHeight="1" spans="1:26">
      <c r="A1252" s="11" t="str">
        <f>IFERROR(__xludf.DUMMYFUNCTION("""COMPUTED_VALUE"""),"JULIANA LEAO PONTES")</f>
        <v>JULIANA LEAO PONTES</v>
      </c>
      <c r="B1252" s="11"/>
      <c r="C1252" s="11"/>
      <c r="D1252" s="11" t="str">
        <f>IFERROR(__xludf.DUMMYFUNCTION("""COMPUTED_VALUE"""),"ENFERMEIRO 30H")</f>
        <v>ENFERMEIRO 30H</v>
      </c>
      <c r="E1252" s="11"/>
      <c r="F1252" s="11" t="str">
        <f>IFERROR(__xludf.DUMMYFUNCTION("""COMPUTED_VALUE"""),"SERMAC")</f>
        <v>SERMAC</v>
      </c>
      <c r="G1252" s="11" t="str">
        <f>IFERROR(__xludf.DUMMYFUNCTION("""COMPUTED_VALUE"""),"SERMAC")</f>
        <v>SERMAC</v>
      </c>
      <c r="H1252" s="11"/>
      <c r="I1252" s="11"/>
      <c r="J1252" s="11"/>
      <c r="K1252" s="11"/>
      <c r="L1252" s="11"/>
      <c r="M1252" s="11"/>
      <c r="N1252" s="11"/>
      <c r="O1252" s="11">
        <f>IFERROR(__xludf.DUMMYFUNCTION("""COMPUTED_VALUE"""),6413203455)</f>
        <v>6413203455</v>
      </c>
      <c r="P1252" s="11"/>
      <c r="Q1252" s="11"/>
      <c r="R1252" s="11"/>
      <c r="S1252" s="11"/>
      <c r="T1252" s="11"/>
      <c r="U1252" s="11"/>
      <c r="V1252" s="11"/>
      <c r="W1252" s="11"/>
      <c r="X1252" s="11"/>
      <c r="Y1252" s="11"/>
      <c r="Z1252" s="11"/>
    </row>
    <row r="1253" customHeight="1" spans="1:26">
      <c r="A1253" s="11" t="str">
        <f>IFERROR(__xludf.DUMMYFUNCTION("""COMPUTED_VALUE"""),"ARIANE CRISTINA B S MARTINS")</f>
        <v>ARIANE CRISTINA B S MARTINS</v>
      </c>
      <c r="B1253" s="11"/>
      <c r="C1253" s="11"/>
      <c r="D1253" s="11" t="str">
        <f>IFERROR(__xludf.DUMMYFUNCTION("""COMPUTED_VALUE"""),"ENFERMEIRO 30H")</f>
        <v>ENFERMEIRO 30H</v>
      </c>
      <c r="E1253" s="11"/>
      <c r="F1253" s="11" t="str">
        <f>IFERROR(__xludf.DUMMYFUNCTION("""COMPUTED_VALUE"""),"GERENCIA GERAL DE MONITORAMENTO DE GESTAO DISTRITAL ")</f>
        <v>GERENCIA GERAL DE MONITORAMENTO DE GESTAO DISTRITAL </v>
      </c>
      <c r="G1253" s="11" t="str">
        <f>IFERROR(__xludf.DUMMYFUNCTION("""COMPUTED_VALUE"""),"GERENCIA GERAL DE MONITORAMENTO DE GESTAO DISTRITAL ")</f>
        <v>GERENCIA GERAL DE MONITORAMENTO DE GESTAO DISTRITAL </v>
      </c>
      <c r="H1253" s="11"/>
      <c r="I1253" s="11"/>
      <c r="J1253" s="11"/>
      <c r="K1253" s="11"/>
      <c r="L1253" s="11"/>
      <c r="M1253" s="11"/>
      <c r="N1253" s="11"/>
      <c r="O1253" s="11">
        <f>IFERROR(__xludf.DUMMYFUNCTION("""COMPUTED_VALUE"""),1214793401)</f>
        <v>1214793401</v>
      </c>
      <c r="P1253" s="11"/>
      <c r="Q1253" s="11"/>
      <c r="R1253" s="11"/>
      <c r="S1253" s="11"/>
      <c r="T1253" s="11"/>
      <c r="U1253" s="11"/>
      <c r="V1253" s="11"/>
      <c r="W1253" s="11"/>
      <c r="X1253" s="11"/>
      <c r="Y1253" s="11"/>
      <c r="Z1253" s="11"/>
    </row>
    <row r="1254" customHeight="1" spans="1:26">
      <c r="A1254" s="11" t="str">
        <f>IFERROR(__xludf.DUMMYFUNCTION("""COMPUTED_VALUE"""),"LORENA RIBEIRO DE A BERINGUEL")</f>
        <v>LORENA RIBEIRO DE A BERINGUEL</v>
      </c>
      <c r="B1254" s="11"/>
      <c r="C1254" s="11"/>
      <c r="D1254" s="11" t="str">
        <f>IFERROR(__xludf.DUMMYFUNCTION("""COMPUTED_VALUE"""),"ENFERMEIRO 40H")</f>
        <v>ENFERMEIRO 40H</v>
      </c>
      <c r="E1254" s="11"/>
      <c r="F1254" s="11" t="str">
        <f>IFERROR(__xludf.DUMMYFUNCTION("""COMPUTED_VALUE"""),"GERENCIA GERAL DE MONITORAMENTO DE GESTAO DISTRITAL")</f>
        <v>GERENCIA GERAL DE MONITORAMENTO DE GESTAO DISTRITAL</v>
      </c>
      <c r="G1254" s="11" t="str">
        <f>IFERROR(__xludf.DUMMYFUNCTION("""COMPUTED_VALUE"""),"GERENCIA GERAL DE MONITORAMENTO DE GESTAO DISTRITAL")</f>
        <v>GERENCIA GERAL DE MONITORAMENTO DE GESTAO DISTRITAL</v>
      </c>
      <c r="H1254" s="27">
        <f>IFERROR(__xludf.DUMMYFUNCTION("""COMPUTED_VALUE"""),81996738859)</f>
        <v>81996738859</v>
      </c>
      <c r="I1254" s="11"/>
      <c r="J1254" s="11"/>
      <c r="K1254" s="11"/>
      <c r="L1254" s="11"/>
      <c r="M1254" s="11"/>
      <c r="N1254" s="11"/>
      <c r="O1254" s="11">
        <f>IFERROR(__xludf.DUMMYFUNCTION("""COMPUTED_VALUE"""),7681419403)</f>
        <v>7681419403</v>
      </c>
      <c r="P1254" s="11"/>
      <c r="Q1254" s="11"/>
      <c r="R1254" s="11"/>
      <c r="S1254" s="11"/>
      <c r="T1254" s="11"/>
      <c r="U1254" s="11"/>
      <c r="V1254" s="11"/>
      <c r="W1254" s="11"/>
      <c r="X1254" s="11"/>
      <c r="Y1254" s="11"/>
      <c r="Z1254" s="11"/>
    </row>
    <row r="1255" customHeight="1" spans="1:26">
      <c r="A1255" s="11" t="str">
        <f>IFERROR(__xludf.DUMMYFUNCTION("""COMPUTED_VALUE"""),"ANA MARIA DE ARAUJO LOIOLA")</f>
        <v>ANA MARIA DE ARAUJO LOIOLA</v>
      </c>
      <c r="B1255" s="11"/>
      <c r="C1255" s="11"/>
      <c r="D1255" s="11" t="str">
        <f>IFERROR(__xludf.DUMMYFUNCTION("""COMPUTED_VALUE"""),"SERV OUT ORGAOS - REG PROPRIO")</f>
        <v>SERV OUT ORGAOS - REG PROPRIO</v>
      </c>
      <c r="E1255" s="11"/>
      <c r="F1255" s="11" t="str">
        <f>IFERROR(__xludf.DUMMYFUNCTION("""COMPUTED_VALUE"""),"SEPMAD")</f>
        <v>SEPMAD</v>
      </c>
      <c r="G1255" s="11" t="str">
        <f>IFERROR(__xludf.DUMMYFUNCTION("""COMPUTED_VALUE"""),"SEPMAD")</f>
        <v>SEPMAD</v>
      </c>
      <c r="H1255" s="11"/>
      <c r="I1255" s="11"/>
      <c r="J1255" s="11"/>
      <c r="K1255" s="11"/>
      <c r="L1255" s="11"/>
      <c r="M1255" s="11"/>
      <c r="N1255" s="11"/>
      <c r="O1255" s="11">
        <f>IFERROR(__xludf.DUMMYFUNCTION("""COMPUTED_VALUE"""),10443688451)</f>
        <v>10443688451</v>
      </c>
      <c r="P1255" s="11"/>
      <c r="Q1255" s="11"/>
      <c r="R1255" s="11"/>
      <c r="S1255" s="11"/>
      <c r="T1255" s="11"/>
      <c r="U1255" s="11"/>
      <c r="V1255" s="11"/>
      <c r="W1255" s="11"/>
      <c r="X1255" s="11"/>
      <c r="Y1255" s="11"/>
      <c r="Z1255" s="11"/>
    </row>
    <row r="1256" customHeight="1" spans="1:26">
      <c r="A1256" s="11" t="str">
        <f>IFERROR(__xludf.DUMMYFUNCTION("""COMPUTED_VALUE"""),"CYNTHIA RESQUE DE BARROS VASCONCELOS")</f>
        <v>CYNTHIA RESQUE DE BARROS VASCONCELOS</v>
      </c>
      <c r="B1256" s="11"/>
      <c r="C1256" s="11"/>
      <c r="D1256" s="11" t="str">
        <f>IFERROR(__xludf.DUMMYFUNCTION("""COMPUTED_VALUE"""),"ENFERMEIRO 40H")</f>
        <v>ENFERMEIRO 40H</v>
      </c>
      <c r="E1256" s="11"/>
      <c r="F1256" s="11" t="str">
        <f>IFERROR(__xludf.DUMMYFUNCTION("""COMPUTED_VALUE"""),"")</f>
        <v/>
      </c>
      <c r="G1256" s="11" t="str">
        <f>IFERROR(__xludf.DUMMYFUNCTION("""COMPUTED_VALUE"""),"")</f>
        <v/>
      </c>
      <c r="H1256" s="11"/>
      <c r="I1256" s="11"/>
      <c r="J1256" s="11"/>
      <c r="K1256" s="11"/>
      <c r="L1256" s="11"/>
      <c r="M1256" s="11"/>
      <c r="N1256" s="11"/>
      <c r="O1256" s="11"/>
      <c r="P1256" s="11"/>
      <c r="Q1256" s="11"/>
      <c r="R1256" s="11"/>
      <c r="S1256" s="11"/>
      <c r="T1256" s="11"/>
      <c r="U1256" s="11"/>
      <c r="V1256" s="11"/>
      <c r="W1256" s="11"/>
      <c r="X1256" s="11"/>
      <c r="Y1256" s="11"/>
      <c r="Z1256" s="11"/>
    </row>
    <row r="1257" customHeight="1" spans="1:26">
      <c r="A1257" s="11" t="str">
        <f>IFERROR(__xludf.DUMMYFUNCTION("""COMPUTED_VALUE"""),"MARIANA OLIVEIRA DE ALENCAR RAMALHO")</f>
        <v>MARIANA OLIVEIRA DE ALENCAR RAMALHO</v>
      </c>
      <c r="B1257" s="11"/>
      <c r="C1257" s="11"/>
      <c r="D1257" s="11" t="str">
        <f>IFERROR(__xludf.DUMMYFUNCTION("""COMPUTED_VALUE"""),"ENFERMEIRO 40H")</f>
        <v>ENFERMEIRO 40H</v>
      </c>
      <c r="E1257" s="11"/>
      <c r="F1257" s="11" t="str">
        <f>IFERROR(__xludf.DUMMYFUNCTION("""COMPUTED_VALUE"""),"")</f>
        <v/>
      </c>
      <c r="G1257" s="11" t="str">
        <f>IFERROR(__xludf.DUMMYFUNCTION("""COMPUTED_VALUE"""),"")</f>
        <v/>
      </c>
      <c r="H1257" s="11"/>
      <c r="I1257" s="11"/>
      <c r="J1257" s="11"/>
      <c r="K1257" s="11"/>
      <c r="L1257" s="11"/>
      <c r="M1257" s="11"/>
      <c r="N1257" s="11"/>
      <c r="O1257" s="11"/>
      <c r="P1257" s="11"/>
      <c r="Q1257" s="11"/>
      <c r="R1257" s="11"/>
      <c r="S1257" s="11"/>
      <c r="T1257" s="11"/>
      <c r="U1257" s="11"/>
      <c r="V1257" s="11"/>
      <c r="W1257" s="11"/>
      <c r="X1257" s="11"/>
      <c r="Y1257" s="11"/>
      <c r="Z1257" s="11"/>
    </row>
    <row r="1258" customHeight="1" spans="1:26">
      <c r="A1258" s="11" t="str">
        <f>IFERROR(__xludf.DUMMYFUNCTION("""COMPUTED_VALUE"""),"ANA PAULA MARINHO DA SILVA")</f>
        <v>ANA PAULA MARINHO DA SILVA</v>
      </c>
      <c r="B1258" s="11"/>
      <c r="C1258" s="11"/>
      <c r="D1258" s="11" t="str">
        <f>IFERROR(__xludf.DUMMYFUNCTION("""COMPUTED_VALUE"""),"SERV DE ORGAO MUNICIPALIZ RP")</f>
        <v>SERV DE ORGAO MUNICIPALIZ RP</v>
      </c>
      <c r="E1258" s="11"/>
      <c r="F1258" s="11" t="str">
        <f>IFERROR(__xludf.DUMMYFUNCTION("""COMPUTED_VALUE"""),"US_163 HOSPITAL DE PEDIATRIA HELENA MOURA")</f>
        <v>US_163 HOSPITAL DE PEDIATRIA HELENA MOURA</v>
      </c>
      <c r="G1258" s="11" t="str">
        <f>IFERROR(__xludf.DUMMYFUNCTION("""COMPUTED_VALUE"""),"US_163 HOSPITAL DE PEDIATRIA HELENA MOURA")</f>
        <v>US_163 HOSPITAL DE PEDIATRIA HELENA MOURA</v>
      </c>
      <c r="H1258" s="11"/>
      <c r="I1258" s="11"/>
      <c r="J1258" s="11"/>
      <c r="K1258" s="11"/>
      <c r="L1258" s="11"/>
      <c r="M1258" s="11"/>
      <c r="N1258" s="11"/>
      <c r="O1258" s="11">
        <f>IFERROR(__xludf.DUMMYFUNCTION("""COMPUTED_VALUE"""),50898329434)</f>
        <v>50898329434</v>
      </c>
      <c r="P1258" s="11"/>
      <c r="Q1258" s="11"/>
      <c r="R1258" s="11"/>
      <c r="S1258" s="11"/>
      <c r="T1258" s="11"/>
      <c r="U1258" s="11"/>
      <c r="V1258" s="11"/>
      <c r="W1258" s="11"/>
      <c r="X1258" s="11"/>
      <c r="Y1258" s="11"/>
      <c r="Z1258" s="11"/>
    </row>
    <row r="1259" customHeight="1" spans="1:26">
      <c r="A1259" s="11" t="str">
        <f>IFERROR(__xludf.DUMMYFUNCTION("""COMPUTED_VALUE"""),"DENAIDE SOARES VASCONCELOS")</f>
        <v>DENAIDE SOARES VASCONCELOS</v>
      </c>
      <c r="B1259" s="11"/>
      <c r="C1259" s="11"/>
      <c r="D1259" s="11" t="str">
        <f>IFERROR(__xludf.DUMMYFUNCTION("""COMPUTED_VALUE"""),"ENFERMEIRO 30H")</f>
        <v>ENFERMEIRO 30H</v>
      </c>
      <c r="E1259" s="11"/>
      <c r="F1259" s="11" t="str">
        <f>IFERROR(__xludf.DUMMYFUNCTION("""COMPUTED_VALUE"""),"US_163 HOSPITAL DE PEDIATRIA HELENA MOURA")</f>
        <v>US_163 HOSPITAL DE PEDIATRIA HELENA MOURA</v>
      </c>
      <c r="G1259" s="11" t="str">
        <f>IFERROR(__xludf.DUMMYFUNCTION("""COMPUTED_VALUE"""),"US_163 HOSPITAL DE PEDIATRIA HELENA MOURA")</f>
        <v>US_163 HOSPITAL DE PEDIATRIA HELENA MOURA</v>
      </c>
      <c r="H1259" s="11"/>
      <c r="I1259" s="11"/>
      <c r="J1259" s="11"/>
      <c r="K1259" s="11"/>
      <c r="L1259" s="11"/>
      <c r="M1259" s="11"/>
      <c r="N1259" s="11"/>
      <c r="O1259" s="11">
        <f>IFERROR(__xludf.DUMMYFUNCTION("""COMPUTED_VALUE"""),49394738487)</f>
        <v>49394738487</v>
      </c>
      <c r="P1259" s="11"/>
      <c r="Q1259" s="11"/>
      <c r="R1259" s="11"/>
      <c r="S1259" s="11"/>
      <c r="T1259" s="11"/>
      <c r="U1259" s="11"/>
      <c r="V1259" s="11"/>
      <c r="W1259" s="11"/>
      <c r="X1259" s="11"/>
      <c r="Y1259" s="11"/>
      <c r="Z1259" s="11"/>
    </row>
    <row r="1260" customHeight="1" spans="1:26">
      <c r="A1260" s="11" t="str">
        <f>IFERROR(__xludf.DUMMYFUNCTION("""COMPUTED_VALUE"""),"VANIA CHAGAS DA COSTA")</f>
        <v>VANIA CHAGAS DA COSTA</v>
      </c>
      <c r="B1260" s="11"/>
      <c r="C1260" s="11"/>
      <c r="D1260" s="11" t="str">
        <f>IFERROR(__xludf.DUMMYFUNCTION("""COMPUTED_VALUE"""),"ENFERMEIRO 30H")</f>
        <v>ENFERMEIRO 30H</v>
      </c>
      <c r="E1260" s="11"/>
      <c r="F1260" s="11" t="str">
        <f>IFERROR(__xludf.DUMMYFUNCTION("""COMPUTED_VALUE"""),"US_163 HOSPITAL DE PEDIATRIA HELENA MOURA")</f>
        <v>US_163 HOSPITAL DE PEDIATRIA HELENA MOURA</v>
      </c>
      <c r="G1260" s="11" t="str">
        <f>IFERROR(__xludf.DUMMYFUNCTION("""COMPUTED_VALUE"""),"US_163 HOSPITAL DE PEDIATRIA HELENA MOURA")</f>
        <v>US_163 HOSPITAL DE PEDIATRIA HELENA MOURA</v>
      </c>
      <c r="H1260" s="11"/>
      <c r="I1260" s="11"/>
      <c r="J1260" s="11"/>
      <c r="K1260" s="11"/>
      <c r="L1260" s="11"/>
      <c r="M1260" s="11"/>
      <c r="N1260" s="11"/>
      <c r="O1260" s="11">
        <f>IFERROR(__xludf.DUMMYFUNCTION("""COMPUTED_VALUE"""),1861350414)</f>
        <v>1861350414</v>
      </c>
      <c r="P1260" s="11"/>
      <c r="Q1260" s="11"/>
      <c r="R1260" s="11"/>
      <c r="S1260" s="11"/>
      <c r="T1260" s="11"/>
      <c r="U1260" s="11"/>
      <c r="V1260" s="11"/>
      <c r="W1260" s="11"/>
      <c r="X1260" s="11"/>
      <c r="Y1260" s="11"/>
      <c r="Z1260" s="11"/>
    </row>
    <row r="1261" customHeight="1" spans="1:26">
      <c r="A1261" s="11" t="str">
        <f>IFERROR(__xludf.DUMMYFUNCTION("""COMPUTED_VALUE"""),"PATRICIA FERRER DE OLIVEIRA")</f>
        <v>PATRICIA FERRER DE OLIVEIRA</v>
      </c>
      <c r="B1261" s="11"/>
      <c r="C1261" s="11"/>
      <c r="D1261" s="11" t="str">
        <f>IFERROR(__xludf.DUMMYFUNCTION("""COMPUTED_VALUE"""),"ENFERMEIRO 30H")</f>
        <v>ENFERMEIRO 30H</v>
      </c>
      <c r="E1261" s="11"/>
      <c r="F1261" s="11" t="str">
        <f>IFERROR(__xludf.DUMMYFUNCTION("""COMPUTED_VALUE"""),"US_164 CENTRO DE REIDRATACAO E URG PED M CRAVO GAMA")</f>
        <v>US_164 CENTRO DE REIDRATACAO E URG PED M CRAVO GAMA</v>
      </c>
      <c r="G1261" s="11" t="str">
        <f>IFERROR(__xludf.DUMMYFUNCTION("""COMPUTED_VALUE"""),"US_164 CENTRO DE REIDRATACAO E URG PED M CRAVO GAMA")</f>
        <v>US_164 CENTRO DE REIDRATACAO E URG PED M CRAVO GAMA</v>
      </c>
      <c r="H1261" s="11"/>
      <c r="I1261" s="11"/>
      <c r="J1261" s="11"/>
      <c r="K1261" s="11"/>
      <c r="L1261" s="11"/>
      <c r="M1261" s="11"/>
      <c r="N1261" s="11"/>
      <c r="O1261" s="11">
        <f>IFERROR(__xludf.DUMMYFUNCTION("""COMPUTED_VALUE"""),91923743449)</f>
        <v>91923743449</v>
      </c>
      <c r="P1261" s="11"/>
      <c r="Q1261" s="11"/>
      <c r="R1261" s="11"/>
      <c r="S1261" s="11"/>
      <c r="T1261" s="11"/>
      <c r="U1261" s="11"/>
      <c r="V1261" s="11"/>
      <c r="W1261" s="11"/>
      <c r="X1261" s="11"/>
      <c r="Y1261" s="11"/>
      <c r="Z1261" s="11"/>
    </row>
    <row r="1262" customHeight="1" spans="1:26">
      <c r="A1262" s="11" t="str">
        <f>IFERROR(__xludf.DUMMYFUNCTION("""COMPUTED_VALUE"""),"AURICILIA SANTOS DE OLIVEIRA")</f>
        <v>AURICILIA SANTOS DE OLIVEIRA</v>
      </c>
      <c r="B1262" s="11"/>
      <c r="C1262" s="11"/>
      <c r="D1262" s="11" t="str">
        <f>IFERROR(__xludf.DUMMYFUNCTION("""COMPUTED_VALUE"""),"ENFERMEIRO 30H")</f>
        <v>ENFERMEIRO 30H</v>
      </c>
      <c r="E1262" s="11"/>
      <c r="F1262" s="11" t="str">
        <f>IFERROR(__xludf.DUMMYFUNCTION("""COMPUTED_VALUE"""),"US_164 CENTRO DE REIDRATACAO E URG PED M CRAVO GAMA")</f>
        <v>US_164 CENTRO DE REIDRATACAO E URG PED M CRAVO GAMA</v>
      </c>
      <c r="G1262" s="11" t="str">
        <f>IFERROR(__xludf.DUMMYFUNCTION("""COMPUTED_VALUE"""),"US_164 CENTRO DE REIDRATACAO E URG PED M CRAVO GAMA")</f>
        <v>US_164 CENTRO DE REIDRATACAO E URG PED M CRAVO GAMA</v>
      </c>
      <c r="H1262" s="11"/>
      <c r="I1262" s="11"/>
      <c r="J1262" s="11"/>
      <c r="K1262" s="11"/>
      <c r="L1262" s="11"/>
      <c r="M1262" s="11"/>
      <c r="N1262" s="11"/>
      <c r="O1262" s="11">
        <f>IFERROR(__xludf.DUMMYFUNCTION("""COMPUTED_VALUE"""),88064921449)</f>
        <v>88064921449</v>
      </c>
      <c r="P1262" s="11"/>
      <c r="Q1262" s="11"/>
      <c r="R1262" s="11"/>
      <c r="S1262" s="11"/>
      <c r="T1262" s="11"/>
      <c r="U1262" s="11"/>
      <c r="V1262" s="11"/>
      <c r="W1262" s="11"/>
      <c r="X1262" s="11"/>
      <c r="Y1262" s="11"/>
      <c r="Z1262" s="11"/>
    </row>
    <row r="1263" customHeight="1" spans="1:26">
      <c r="A1263" s="11" t="str">
        <f>IFERROR(__xludf.DUMMYFUNCTION("""COMPUTED_VALUE"""),"ROSANE MARIA CALLOU P LEMOS")</f>
        <v>ROSANE MARIA CALLOU P LEMOS</v>
      </c>
      <c r="B1263" s="11"/>
      <c r="C1263" s="11"/>
      <c r="D1263" s="11" t="str">
        <f>IFERROR(__xludf.DUMMYFUNCTION("""COMPUTED_VALUE"""),"ENFERMEIRO 30H")</f>
        <v>ENFERMEIRO 30H</v>
      </c>
      <c r="E1263" s="11"/>
      <c r="F1263" s="11" t="str">
        <f>IFERROR(__xludf.DUMMYFUNCTION("""COMPUTED_VALUE"""),"US_163 HOSPITAL DE PEDIATRIA HELENA MOURA")</f>
        <v>US_163 HOSPITAL DE PEDIATRIA HELENA MOURA</v>
      </c>
      <c r="G1263" s="11" t="str">
        <f>IFERROR(__xludf.DUMMYFUNCTION("""COMPUTED_VALUE"""),"US_163 HOSPITAL DE PEDIATRIA HELENA MOURA")</f>
        <v>US_163 HOSPITAL DE PEDIATRIA HELENA MOURA</v>
      </c>
      <c r="H1263" s="11"/>
      <c r="I1263" s="11"/>
      <c r="J1263" s="11"/>
      <c r="K1263" s="11"/>
      <c r="L1263" s="11"/>
      <c r="M1263" s="11"/>
      <c r="N1263" s="11"/>
      <c r="O1263" s="11">
        <f>IFERROR(__xludf.DUMMYFUNCTION("""COMPUTED_VALUE"""),32625014334)</f>
        <v>32625014334</v>
      </c>
      <c r="P1263" s="11"/>
      <c r="Q1263" s="11"/>
      <c r="R1263" s="11"/>
      <c r="S1263" s="11"/>
      <c r="T1263" s="11"/>
      <c r="U1263" s="11"/>
      <c r="V1263" s="11"/>
      <c r="W1263" s="11"/>
      <c r="X1263" s="11"/>
      <c r="Y1263" s="11"/>
      <c r="Z1263" s="11"/>
    </row>
    <row r="1264" customHeight="1" spans="1:26">
      <c r="A1264" s="11" t="str">
        <f>IFERROR(__xludf.DUMMYFUNCTION("""COMPUTED_VALUE"""),"MIRIAM BATISTA DE MOURA")</f>
        <v>MIRIAM BATISTA DE MOURA</v>
      </c>
      <c r="B1264" s="11"/>
      <c r="C1264" s="11"/>
      <c r="D1264" s="11" t="str">
        <f>IFERROR(__xludf.DUMMYFUNCTION("""COMPUTED_VALUE"""),"ENFERMEIRO 30H")</f>
        <v>ENFERMEIRO 30H</v>
      </c>
      <c r="E1264" s="11"/>
      <c r="F1264" s="11" t="str">
        <f>IFERROR(__xludf.DUMMYFUNCTION("""COMPUTED_VALUE"""),"US_164 CENTRO DE REIDRATACAO E URG PED M CRAVO GAMA")</f>
        <v>US_164 CENTRO DE REIDRATACAO E URG PED M CRAVO GAMA</v>
      </c>
      <c r="G1264" s="11" t="str">
        <f>IFERROR(__xludf.DUMMYFUNCTION("""COMPUTED_VALUE"""),"US_164 CENTRO DE REIDRATACAO E URG PED M CRAVO GAMA")</f>
        <v>US_164 CENTRO DE REIDRATACAO E URG PED M CRAVO GAMA</v>
      </c>
      <c r="H1264" s="11"/>
      <c r="I1264" s="11"/>
      <c r="J1264" s="11"/>
      <c r="K1264" s="11"/>
      <c r="L1264" s="11"/>
      <c r="M1264" s="11"/>
      <c r="N1264" s="11"/>
      <c r="O1264" s="11">
        <f>IFERROR(__xludf.DUMMYFUNCTION("""COMPUTED_VALUE"""),42816556468)</f>
        <v>42816556468</v>
      </c>
      <c r="P1264" s="11"/>
      <c r="Q1264" s="11"/>
      <c r="R1264" s="11"/>
      <c r="S1264" s="11"/>
      <c r="T1264" s="11"/>
      <c r="U1264" s="11"/>
      <c r="V1264" s="11"/>
      <c r="W1264" s="11"/>
      <c r="X1264" s="11"/>
      <c r="Y1264" s="11"/>
      <c r="Z1264" s="11"/>
    </row>
    <row r="1265" customHeight="1" spans="1:26">
      <c r="A1265" s="11" t="str">
        <f>IFERROR(__xludf.DUMMYFUNCTION("""COMPUTED_VALUE"""),"ANA PAULA NARIO VASCONCELOS")</f>
        <v>ANA PAULA NARIO VASCONCELOS</v>
      </c>
      <c r="B1265" s="11"/>
      <c r="C1265" s="11"/>
      <c r="D1265" s="11" t="str">
        <f>IFERROR(__xludf.DUMMYFUNCTION("""COMPUTED_VALUE"""),"ENFERMEIRO 30H")</f>
        <v>ENFERMEIRO 30H</v>
      </c>
      <c r="E1265" s="11"/>
      <c r="F1265" s="11" t="str">
        <f>IFERROR(__xludf.DUMMYFUNCTION("""COMPUTED_VALUE"""),"US_163 HOSPITAL DE PEDIATRIA HELENA MOURA")</f>
        <v>US_163 HOSPITAL DE PEDIATRIA HELENA MOURA</v>
      </c>
      <c r="G1265" s="11" t="str">
        <f>IFERROR(__xludf.DUMMYFUNCTION("""COMPUTED_VALUE"""),"US_163 HOSPITAL DE PEDIATRIA HELENA MOURA")</f>
        <v>US_163 HOSPITAL DE PEDIATRIA HELENA MOURA</v>
      </c>
      <c r="H1265" s="11"/>
      <c r="I1265" s="11"/>
      <c r="J1265" s="11"/>
      <c r="K1265" s="11"/>
      <c r="L1265" s="11"/>
      <c r="M1265" s="11"/>
      <c r="N1265" s="11"/>
      <c r="O1265" s="11">
        <f>IFERROR(__xludf.DUMMYFUNCTION("""COMPUTED_VALUE"""),68655096415)</f>
        <v>68655096415</v>
      </c>
      <c r="P1265" s="11"/>
      <c r="Q1265" s="11"/>
      <c r="R1265" s="11"/>
      <c r="S1265" s="11"/>
      <c r="T1265" s="11"/>
      <c r="U1265" s="11"/>
      <c r="V1265" s="11"/>
      <c r="W1265" s="11"/>
      <c r="X1265" s="11"/>
      <c r="Y1265" s="11"/>
      <c r="Z1265" s="11"/>
    </row>
    <row r="1266" customHeight="1" spans="1:26">
      <c r="A1266" s="11" t="str">
        <f>IFERROR(__xludf.DUMMYFUNCTION("""COMPUTED_VALUE"""),"SILVANA ALVES DE OLIVEIRA")</f>
        <v>SILVANA ALVES DE OLIVEIRA</v>
      </c>
      <c r="B1266" s="11"/>
      <c r="C1266" s="11"/>
      <c r="D1266" s="11" t="str">
        <f>IFERROR(__xludf.DUMMYFUNCTION("""COMPUTED_VALUE"""),"ENFERMEIRO 30H")</f>
        <v>ENFERMEIRO 30H</v>
      </c>
      <c r="E1266" s="11"/>
      <c r="F1266" s="11" t="str">
        <f>IFERROR(__xludf.DUMMYFUNCTION("""COMPUTED_VALUE"""),"US_164 CENTRO DE REIDRATACAO E URG PED M CRAVO GAMA")</f>
        <v>US_164 CENTRO DE REIDRATACAO E URG PED M CRAVO GAMA</v>
      </c>
      <c r="G1266" s="11" t="str">
        <f>IFERROR(__xludf.DUMMYFUNCTION("""COMPUTED_VALUE"""),"US_164 CENTRO DE REIDRATACAO E URG PED M CRAVO GAMA")</f>
        <v>US_164 CENTRO DE REIDRATACAO E URG PED M CRAVO GAMA</v>
      </c>
      <c r="H1266" s="11"/>
      <c r="I1266" s="11"/>
      <c r="J1266" s="11"/>
      <c r="K1266" s="11"/>
      <c r="L1266" s="11"/>
      <c r="M1266" s="11"/>
      <c r="N1266" s="11"/>
      <c r="O1266" s="11">
        <f>IFERROR(__xludf.DUMMYFUNCTION("""COMPUTED_VALUE"""),49765876491)</f>
        <v>49765876491</v>
      </c>
      <c r="P1266" s="11"/>
      <c r="Q1266" s="11"/>
      <c r="R1266" s="11"/>
      <c r="S1266" s="11"/>
      <c r="T1266" s="11"/>
      <c r="U1266" s="11"/>
      <c r="V1266" s="11"/>
      <c r="W1266" s="11"/>
      <c r="X1266" s="11"/>
      <c r="Y1266" s="11"/>
      <c r="Z1266" s="11"/>
    </row>
    <row r="1267" customHeight="1" spans="1:26">
      <c r="A1267" s="11" t="str">
        <f>IFERROR(__xludf.DUMMYFUNCTION("""COMPUTED_VALUE"""),"ISOLDA MARIA DIAS PRADO")</f>
        <v>ISOLDA MARIA DIAS PRADO</v>
      </c>
      <c r="B1267" s="11"/>
      <c r="C1267" s="11"/>
      <c r="D1267" s="11" t="str">
        <f>IFERROR(__xludf.DUMMYFUNCTION("""COMPUTED_VALUE"""),"ENFERMEIRO 30H")</f>
        <v>ENFERMEIRO 30H</v>
      </c>
      <c r="E1267" s="11"/>
      <c r="F1267" s="11" t="str">
        <f>IFERROR(__xludf.DUMMYFUNCTION("""COMPUTED_VALUE"""),"US_163 HOSPITAL DE PEDIATRIA HELENA MOURA")</f>
        <v>US_163 HOSPITAL DE PEDIATRIA HELENA MOURA</v>
      </c>
      <c r="G1267" s="11" t="str">
        <f>IFERROR(__xludf.DUMMYFUNCTION("""COMPUTED_VALUE"""),"US_163 HOSPITAL DE PEDIATRIA HELENA MOURA")</f>
        <v>US_163 HOSPITAL DE PEDIATRIA HELENA MOURA</v>
      </c>
      <c r="H1267" s="11"/>
      <c r="I1267" s="11"/>
      <c r="J1267" s="11"/>
      <c r="K1267" s="11"/>
      <c r="L1267" s="11"/>
      <c r="M1267" s="11"/>
      <c r="N1267" s="11"/>
      <c r="O1267" s="11">
        <f>IFERROR(__xludf.DUMMYFUNCTION("""COMPUTED_VALUE"""),29171601449)</f>
        <v>29171601449</v>
      </c>
      <c r="P1267" s="11"/>
      <c r="Q1267" s="11"/>
      <c r="R1267" s="11"/>
      <c r="S1267" s="11"/>
      <c r="T1267" s="11"/>
      <c r="U1267" s="11"/>
      <c r="V1267" s="11"/>
      <c r="W1267" s="11"/>
      <c r="X1267" s="11"/>
      <c r="Y1267" s="11"/>
      <c r="Z1267" s="11"/>
    </row>
    <row r="1268" customHeight="1" spans="1:26">
      <c r="A1268" s="11" t="str">
        <f>IFERROR(__xludf.DUMMYFUNCTION("""COMPUTED_VALUE"""),"CLAUDIA MARTINS G DA SILVA")</f>
        <v>CLAUDIA MARTINS G DA SILVA</v>
      </c>
      <c r="B1268" s="11"/>
      <c r="C1268" s="11"/>
      <c r="D1268" s="11" t="str">
        <f>IFERROR(__xludf.DUMMYFUNCTION("""COMPUTED_VALUE"""),"ENFERMEIRO 30H")</f>
        <v>ENFERMEIRO 30H</v>
      </c>
      <c r="E1268" s="11"/>
      <c r="F1268" s="11" t="str">
        <f>IFERROR(__xludf.DUMMYFUNCTION("""COMPUTED_VALUE"""),"US_163 HOSPITAL DE PEDIATRIA HELENA MOURA")</f>
        <v>US_163 HOSPITAL DE PEDIATRIA HELENA MOURA</v>
      </c>
      <c r="G1268" s="11" t="str">
        <f>IFERROR(__xludf.DUMMYFUNCTION("""COMPUTED_VALUE"""),"US_163 HOSPITAL DE PEDIATRIA HELENA MOURA")</f>
        <v>US_163 HOSPITAL DE PEDIATRIA HELENA MOURA</v>
      </c>
      <c r="H1268" s="11"/>
      <c r="I1268" s="11"/>
      <c r="J1268" s="11"/>
      <c r="K1268" s="11"/>
      <c r="L1268" s="11"/>
      <c r="M1268" s="11"/>
      <c r="N1268" s="11"/>
      <c r="O1268" s="11">
        <f>IFERROR(__xludf.DUMMYFUNCTION("""COMPUTED_VALUE"""),35860189400)</f>
        <v>35860189400</v>
      </c>
      <c r="P1268" s="11"/>
      <c r="Q1268" s="11"/>
      <c r="R1268" s="11"/>
      <c r="S1268" s="11"/>
      <c r="T1268" s="11"/>
      <c r="U1268" s="11"/>
      <c r="V1268" s="11"/>
      <c r="W1268" s="11"/>
      <c r="X1268" s="11"/>
      <c r="Y1268" s="11"/>
      <c r="Z1268" s="11"/>
    </row>
    <row r="1269" customHeight="1" spans="1:26">
      <c r="A1269" s="11" t="str">
        <f>IFERROR(__xludf.DUMMYFUNCTION("""COMPUTED_VALUE"""),"ROSEANE FERRAZ LIMA")</f>
        <v>ROSEANE FERRAZ LIMA</v>
      </c>
      <c r="B1269" s="11"/>
      <c r="C1269" s="11"/>
      <c r="D1269" s="11" t="str">
        <f>IFERROR(__xludf.DUMMYFUNCTION("""COMPUTED_VALUE"""),"ENFERMEIRO 30H")</f>
        <v>ENFERMEIRO 30H</v>
      </c>
      <c r="E1269" s="11"/>
      <c r="F1269" s="11" t="str">
        <f>IFERROR(__xludf.DUMMYFUNCTION("""COMPUTED_VALUE"""),"US_163 HOSPITAL DE PEDIATRIA HELENA MOURA")</f>
        <v>US_163 HOSPITAL DE PEDIATRIA HELENA MOURA</v>
      </c>
      <c r="G1269" s="11" t="str">
        <f>IFERROR(__xludf.DUMMYFUNCTION("""COMPUTED_VALUE"""),"US_163 HOSPITAL DE PEDIATRIA HELENA MOURA")</f>
        <v>US_163 HOSPITAL DE PEDIATRIA HELENA MOURA</v>
      </c>
      <c r="H1269" s="11"/>
      <c r="I1269" s="11"/>
      <c r="J1269" s="11"/>
      <c r="K1269" s="11"/>
      <c r="L1269" s="11"/>
      <c r="M1269" s="11"/>
      <c r="N1269" s="11"/>
      <c r="O1269" s="11">
        <f>IFERROR(__xludf.DUMMYFUNCTION("""COMPUTED_VALUE"""),49376136420)</f>
        <v>49376136420</v>
      </c>
      <c r="P1269" s="11"/>
      <c r="Q1269" s="11"/>
      <c r="R1269" s="11"/>
      <c r="S1269" s="11"/>
      <c r="T1269" s="11"/>
      <c r="U1269" s="11"/>
      <c r="V1269" s="11"/>
      <c r="W1269" s="11"/>
      <c r="X1269" s="11"/>
      <c r="Y1269" s="11"/>
      <c r="Z1269" s="11"/>
    </row>
    <row r="1270" customHeight="1" spans="1:26">
      <c r="A1270" s="11" t="str">
        <f>IFERROR(__xludf.DUMMYFUNCTION("""COMPUTED_VALUE"""),"GEANE RODRIGUES CHAVES")</f>
        <v>GEANE RODRIGUES CHAVES</v>
      </c>
      <c r="B1270" s="11"/>
      <c r="C1270" s="11"/>
      <c r="D1270" s="11" t="str">
        <f>IFERROR(__xludf.DUMMYFUNCTION("""COMPUTED_VALUE"""),"ENFERMEIRO 30H")</f>
        <v>ENFERMEIRO 30H</v>
      </c>
      <c r="E1270" s="11"/>
      <c r="F1270" s="11" t="str">
        <f>IFERROR(__xludf.DUMMYFUNCTION("""COMPUTED_VALUE"""),"US_164 CENTRO DE REIDRATACAO E URG PED M CRAVO GAMA")</f>
        <v>US_164 CENTRO DE REIDRATACAO E URG PED M CRAVO GAMA</v>
      </c>
      <c r="G1270" s="11" t="str">
        <f>IFERROR(__xludf.DUMMYFUNCTION("""COMPUTED_VALUE"""),"US_164 CENTRO DE REIDRATACAO E URG PED M CRAVO GAMA")</f>
        <v>US_164 CENTRO DE REIDRATACAO E URG PED M CRAVO GAMA</v>
      </c>
      <c r="H1270" s="11"/>
      <c r="I1270" s="11"/>
      <c r="J1270" s="11"/>
      <c r="K1270" s="11"/>
      <c r="L1270" s="11"/>
      <c r="M1270" s="11"/>
      <c r="N1270" s="11"/>
      <c r="O1270" s="11">
        <f>IFERROR(__xludf.DUMMYFUNCTION("""COMPUTED_VALUE"""),49998820430)</f>
        <v>49998820430</v>
      </c>
      <c r="P1270" s="11"/>
      <c r="Q1270" s="11"/>
      <c r="R1270" s="11"/>
      <c r="S1270" s="11"/>
      <c r="T1270" s="11"/>
      <c r="U1270" s="11"/>
      <c r="V1270" s="11"/>
      <c r="W1270" s="11"/>
      <c r="X1270" s="11"/>
      <c r="Y1270" s="11"/>
      <c r="Z1270" s="11"/>
    </row>
    <row r="1271" customHeight="1" spans="1:26">
      <c r="A1271" s="11" t="str">
        <f>IFERROR(__xludf.DUMMYFUNCTION("""COMPUTED_VALUE"""),"SILVIA CRISTINA BARBOSA FARIAS")</f>
        <v>SILVIA CRISTINA BARBOSA FARIAS</v>
      </c>
      <c r="B1271" s="11"/>
      <c r="C1271" s="11"/>
      <c r="D1271" s="11" t="str">
        <f>IFERROR(__xludf.DUMMYFUNCTION("""COMPUTED_VALUE"""),"ENFERMEIRO 30H")</f>
        <v>ENFERMEIRO 30H</v>
      </c>
      <c r="E1271" s="11"/>
      <c r="F1271" s="11" t="str">
        <f>IFERROR(__xludf.DUMMYFUNCTION("""COMPUTED_VALUE"""),"US_164 CENTRO DE REIDRATACAO E URG PED M CRAVO GAMA")</f>
        <v>US_164 CENTRO DE REIDRATACAO E URG PED M CRAVO GAMA</v>
      </c>
      <c r="G1271" s="11" t="str">
        <f>IFERROR(__xludf.DUMMYFUNCTION("""COMPUTED_VALUE"""),"US_164 CENTRO DE REIDRATACAO E URG PED M CRAVO GAMA")</f>
        <v>US_164 CENTRO DE REIDRATACAO E URG PED M CRAVO GAMA</v>
      </c>
      <c r="H1271" s="11"/>
      <c r="I1271" s="11"/>
      <c r="J1271" s="11"/>
      <c r="K1271" s="11"/>
      <c r="L1271" s="11"/>
      <c r="M1271" s="11"/>
      <c r="N1271" s="11"/>
      <c r="O1271" s="11">
        <f>IFERROR(__xludf.DUMMYFUNCTION("""COMPUTED_VALUE"""),2255157411)</f>
        <v>2255157411</v>
      </c>
      <c r="P1271" s="11"/>
      <c r="Q1271" s="11"/>
      <c r="R1271" s="11"/>
      <c r="S1271" s="11"/>
      <c r="T1271" s="11"/>
      <c r="U1271" s="11"/>
      <c r="V1271" s="11"/>
      <c r="W1271" s="11"/>
      <c r="X1271" s="11"/>
      <c r="Y1271" s="11"/>
      <c r="Z1271" s="11"/>
    </row>
    <row r="1272" customHeight="1" spans="1:26">
      <c r="A1272" s="11" t="str">
        <f>IFERROR(__xludf.DUMMYFUNCTION("""COMPUTED_VALUE"""),"KICYANNA SILVA LACERDA")</f>
        <v>KICYANNA SILVA LACERDA</v>
      </c>
      <c r="B1272" s="11"/>
      <c r="C1272" s="11"/>
      <c r="D1272" s="11" t="str">
        <f>IFERROR(__xludf.DUMMYFUNCTION("""COMPUTED_VALUE"""),"ENFERMEIRO 30H")</f>
        <v>ENFERMEIRO 30H</v>
      </c>
      <c r="E1272" s="11"/>
      <c r="F1272" s="11" t="str">
        <f>IFERROR(__xludf.DUMMYFUNCTION("""COMPUTED_VALUE"""),"US_163 HOSPITAL DE PEDIATRIA HELENA MOURA")</f>
        <v>US_163 HOSPITAL DE PEDIATRIA HELENA MOURA</v>
      </c>
      <c r="G1272" s="11" t="str">
        <f>IFERROR(__xludf.DUMMYFUNCTION("""COMPUTED_VALUE"""),"US_163 HOSPITAL DE PEDIATRIA HELENA MOURA")</f>
        <v>US_163 HOSPITAL DE PEDIATRIA HELENA MOURA</v>
      </c>
      <c r="H1272" s="11"/>
      <c r="I1272" s="11"/>
      <c r="J1272" s="11"/>
      <c r="K1272" s="11"/>
      <c r="L1272" s="11"/>
      <c r="M1272" s="11"/>
      <c r="N1272" s="11"/>
      <c r="O1272" s="11">
        <f>IFERROR(__xludf.DUMMYFUNCTION("""COMPUTED_VALUE"""),5156778410)</f>
        <v>5156778410</v>
      </c>
      <c r="P1272" s="11"/>
      <c r="Q1272" s="11"/>
      <c r="R1272" s="11"/>
      <c r="S1272" s="11"/>
      <c r="T1272" s="11"/>
      <c r="U1272" s="11"/>
      <c r="V1272" s="11"/>
      <c r="W1272" s="11"/>
      <c r="X1272" s="11"/>
      <c r="Y1272" s="11"/>
      <c r="Z1272" s="11"/>
    </row>
    <row r="1273" customHeight="1" spans="1:26">
      <c r="A1273" s="11" t="str">
        <f>IFERROR(__xludf.DUMMYFUNCTION("""COMPUTED_VALUE"""),"ALCICLEIDE ALEXANDRE DA SILVA")</f>
        <v>ALCICLEIDE ALEXANDRE DA SILVA</v>
      </c>
      <c r="B1273" s="11"/>
      <c r="C1273" s="11"/>
      <c r="D1273" s="11" t="str">
        <f>IFERROR(__xludf.DUMMYFUNCTION("""COMPUTED_VALUE"""),"ENFERMEIRO 30H")</f>
        <v>ENFERMEIRO 30H</v>
      </c>
      <c r="E1273" s="11"/>
      <c r="F1273" s="11" t="str">
        <f>IFERROR(__xludf.DUMMYFUNCTION("""COMPUTED_VALUE"""),"US_164 CENTRO DE REIDRATACAO E URG PED M CRAVO GAMA")</f>
        <v>US_164 CENTRO DE REIDRATACAO E URG PED M CRAVO GAMA</v>
      </c>
      <c r="G1273" s="11" t="str">
        <f>IFERROR(__xludf.DUMMYFUNCTION("""COMPUTED_VALUE"""),"US_164 CENTRO DE REIDRATACAO E URG PED M CRAVO GAMA")</f>
        <v>US_164 CENTRO DE REIDRATACAO E URG PED M CRAVO GAMA</v>
      </c>
      <c r="H1273" s="11"/>
      <c r="I1273" s="11"/>
      <c r="J1273" s="11"/>
      <c r="K1273" s="11"/>
      <c r="L1273" s="11"/>
      <c r="M1273" s="11"/>
      <c r="N1273" s="11"/>
      <c r="O1273" s="11">
        <f>IFERROR(__xludf.DUMMYFUNCTION("""COMPUTED_VALUE"""),98903845404)</f>
        <v>98903845404</v>
      </c>
      <c r="P1273" s="11"/>
      <c r="Q1273" s="11"/>
      <c r="R1273" s="11"/>
      <c r="S1273" s="11"/>
      <c r="T1273" s="11"/>
      <c r="U1273" s="11"/>
      <c r="V1273" s="11"/>
      <c r="W1273" s="11"/>
      <c r="X1273" s="11"/>
      <c r="Y1273" s="11"/>
      <c r="Z1273" s="11"/>
    </row>
    <row r="1274" customHeight="1" spans="1:26">
      <c r="A1274" s="11" t="str">
        <f>IFERROR(__xludf.DUMMYFUNCTION("""COMPUTED_VALUE"""),"ELLEN TAMIRA ALVES DE LIMA")</f>
        <v>ELLEN TAMIRA ALVES DE LIMA</v>
      </c>
      <c r="B1274" s="11"/>
      <c r="C1274" s="11"/>
      <c r="D1274" s="11" t="str">
        <f>IFERROR(__xludf.DUMMYFUNCTION("""COMPUTED_VALUE"""),"ENFERMEIRO 30H")</f>
        <v>ENFERMEIRO 30H</v>
      </c>
      <c r="E1274" s="11"/>
      <c r="F1274" s="11" t="str">
        <f>IFERROR(__xludf.DUMMYFUNCTION("""COMPUTED_VALUE"""),"US_164 CENTRO DE REIDRATACAO E URG PED M CRAVO GAMA")</f>
        <v>US_164 CENTRO DE REIDRATACAO E URG PED M CRAVO GAMA</v>
      </c>
      <c r="G1274" s="11" t="str">
        <f>IFERROR(__xludf.DUMMYFUNCTION("""COMPUTED_VALUE"""),"US_164 CENTRO DE REIDRATACAO E URG PED M CRAVO GAMA")</f>
        <v>US_164 CENTRO DE REIDRATACAO E URG PED M CRAVO GAMA</v>
      </c>
      <c r="H1274" s="11"/>
      <c r="I1274" s="11"/>
      <c r="J1274" s="11"/>
      <c r="K1274" s="11"/>
      <c r="L1274" s="11"/>
      <c r="M1274" s="11"/>
      <c r="N1274" s="11"/>
      <c r="O1274" s="11">
        <f>IFERROR(__xludf.DUMMYFUNCTION("""COMPUTED_VALUE"""),5727292433)</f>
        <v>5727292433</v>
      </c>
      <c r="P1274" s="11"/>
      <c r="Q1274" s="11"/>
      <c r="R1274" s="11"/>
      <c r="S1274" s="11"/>
      <c r="T1274" s="11"/>
      <c r="U1274" s="11"/>
      <c r="V1274" s="11"/>
      <c r="W1274" s="11"/>
      <c r="X1274" s="11"/>
      <c r="Y1274" s="11"/>
      <c r="Z1274" s="11"/>
    </row>
    <row r="1275" customHeight="1" spans="1:26">
      <c r="A1275" s="11" t="str">
        <f>IFERROR(__xludf.DUMMYFUNCTION("""COMPUTED_VALUE"""),"TATIANA DA C R F CLEMENTINO")</f>
        <v>TATIANA DA C R F CLEMENTINO</v>
      </c>
      <c r="B1275" s="11"/>
      <c r="C1275" s="11"/>
      <c r="D1275" s="11" t="str">
        <f>IFERROR(__xludf.DUMMYFUNCTION("""COMPUTED_VALUE"""),"ENFERMEIRO 30H")</f>
        <v>ENFERMEIRO 30H</v>
      </c>
      <c r="E1275" s="11"/>
      <c r="F1275" s="11" t="str">
        <f>IFERROR(__xludf.DUMMYFUNCTION("""COMPUTED_VALUE"""),"US_164 CENTRO DE REIDRATACAO E URG PED M CRAVO GAMA")</f>
        <v>US_164 CENTRO DE REIDRATACAO E URG PED M CRAVO GAMA</v>
      </c>
      <c r="G1275" s="11" t="str">
        <f>IFERROR(__xludf.DUMMYFUNCTION("""COMPUTED_VALUE"""),"US_164 CENTRO DE REIDRATACAO E URG PED M CRAVO GAMA")</f>
        <v>US_164 CENTRO DE REIDRATACAO E URG PED M CRAVO GAMA</v>
      </c>
      <c r="H1275" s="11"/>
      <c r="I1275" s="11"/>
      <c r="J1275" s="11"/>
      <c r="K1275" s="11"/>
      <c r="L1275" s="11"/>
      <c r="M1275" s="11"/>
      <c r="N1275" s="11"/>
      <c r="O1275" s="11">
        <f>IFERROR(__xludf.DUMMYFUNCTION("""COMPUTED_VALUE"""),95385550400)</f>
        <v>95385550400</v>
      </c>
      <c r="P1275" s="11"/>
      <c r="Q1275" s="11"/>
      <c r="R1275" s="11"/>
      <c r="S1275" s="11"/>
      <c r="T1275" s="11"/>
      <c r="U1275" s="11"/>
      <c r="V1275" s="11"/>
      <c r="W1275" s="11"/>
      <c r="X1275" s="11"/>
      <c r="Y1275" s="11"/>
      <c r="Z1275" s="11"/>
    </row>
    <row r="1276" customHeight="1" spans="1:26">
      <c r="A1276" s="11" t="str">
        <f>IFERROR(__xludf.DUMMYFUNCTION("""COMPUTED_VALUE"""),"ANA CLAUDIA DE S CASTRO")</f>
        <v>ANA CLAUDIA DE S CASTRO</v>
      </c>
      <c r="B1276" s="11"/>
      <c r="C1276" s="11"/>
      <c r="D1276" s="11" t="str">
        <f>IFERROR(__xludf.DUMMYFUNCTION("""COMPUTED_VALUE"""),"ENFERMEIRO 30H")</f>
        <v>ENFERMEIRO 30H</v>
      </c>
      <c r="E1276" s="11"/>
      <c r="F1276" s="11" t="str">
        <f>IFERROR(__xludf.DUMMYFUNCTION("""COMPUTED_VALUE"""),"US_163 HOSPITAL DE PEDIATRIA HELENA MOURA")</f>
        <v>US_163 HOSPITAL DE PEDIATRIA HELENA MOURA</v>
      </c>
      <c r="G1276" s="11" t="str">
        <f>IFERROR(__xludf.DUMMYFUNCTION("""COMPUTED_VALUE"""),"US_163 HOSPITAL DE PEDIATRIA HELENA MOURA")</f>
        <v>US_163 HOSPITAL DE PEDIATRIA HELENA MOURA</v>
      </c>
      <c r="H1276" s="11"/>
      <c r="I1276" s="11"/>
      <c r="J1276" s="11"/>
      <c r="K1276" s="11"/>
      <c r="L1276" s="11"/>
      <c r="M1276" s="11"/>
      <c r="N1276" s="11"/>
      <c r="O1276" s="11">
        <f>IFERROR(__xludf.DUMMYFUNCTION("""COMPUTED_VALUE"""),4740399431)</f>
        <v>4740399431</v>
      </c>
      <c r="P1276" s="11"/>
      <c r="Q1276" s="11"/>
      <c r="R1276" s="11"/>
      <c r="S1276" s="11"/>
      <c r="T1276" s="11"/>
      <c r="U1276" s="11"/>
      <c r="V1276" s="11"/>
      <c r="W1276" s="11"/>
      <c r="X1276" s="11"/>
      <c r="Y1276" s="11"/>
      <c r="Z1276" s="11"/>
    </row>
    <row r="1277" customHeight="1" spans="1:26">
      <c r="A1277" s="11" t="str">
        <f>IFERROR(__xludf.DUMMYFUNCTION("""COMPUTED_VALUE"""),"MARIANA BARROS COSTA")</f>
        <v>MARIANA BARROS COSTA</v>
      </c>
      <c r="B1277" s="11"/>
      <c r="C1277" s="11"/>
      <c r="D1277" s="11" t="str">
        <f>IFERROR(__xludf.DUMMYFUNCTION("""COMPUTED_VALUE"""),"ENFERMEIRO 30H")</f>
        <v>ENFERMEIRO 30H</v>
      </c>
      <c r="E1277" s="11"/>
      <c r="F1277" s="11" t="str">
        <f>IFERROR(__xludf.DUMMYFUNCTION("""COMPUTED_VALUE"""),"US_164 CENTRO DE REIDRATACAO E URG PED M CRAVO GAMA")</f>
        <v>US_164 CENTRO DE REIDRATACAO E URG PED M CRAVO GAMA</v>
      </c>
      <c r="G1277" s="11" t="str">
        <f>IFERROR(__xludf.DUMMYFUNCTION("""COMPUTED_VALUE"""),"US_164 CENTRO DE REIDRATACAO E URG PED M CRAVO GAMA")</f>
        <v>US_164 CENTRO DE REIDRATACAO E URG PED M CRAVO GAMA</v>
      </c>
      <c r="H1277" s="11"/>
      <c r="I1277" s="11"/>
      <c r="J1277" s="11"/>
      <c r="K1277" s="11"/>
      <c r="L1277" s="11"/>
      <c r="M1277" s="11"/>
      <c r="N1277" s="11"/>
      <c r="O1277" s="11">
        <f>IFERROR(__xludf.DUMMYFUNCTION("""COMPUTED_VALUE"""),3945072409)</f>
        <v>3945072409</v>
      </c>
      <c r="P1277" s="11"/>
      <c r="Q1277" s="11"/>
      <c r="R1277" s="11"/>
      <c r="S1277" s="11"/>
      <c r="T1277" s="11"/>
      <c r="U1277" s="11"/>
      <c r="V1277" s="11"/>
      <c r="W1277" s="11"/>
      <c r="X1277" s="11"/>
      <c r="Y1277" s="11"/>
      <c r="Z1277" s="11"/>
    </row>
    <row r="1278" customHeight="1" spans="1:26">
      <c r="A1278" s="11" t="str">
        <f>IFERROR(__xludf.DUMMYFUNCTION("""COMPUTED_VALUE"""),"FLAVIANA DE CARVALHO")</f>
        <v>FLAVIANA DE CARVALHO</v>
      </c>
      <c r="B1278" s="11"/>
      <c r="C1278" s="11"/>
      <c r="D1278" s="11" t="str">
        <f>IFERROR(__xludf.DUMMYFUNCTION("""COMPUTED_VALUE"""),"ENFERMEIRO 30H")</f>
        <v>ENFERMEIRO 30H</v>
      </c>
      <c r="E1278" s="11"/>
      <c r="F1278" s="11" t="str">
        <f>IFERROR(__xludf.DUMMYFUNCTION("""COMPUTED_VALUE"""),"US_164 CENTRO DE REIDRATACAO E URG PED M CRAVO GAMA")</f>
        <v>US_164 CENTRO DE REIDRATACAO E URG PED M CRAVO GAMA</v>
      </c>
      <c r="G1278" s="11" t="str">
        <f>IFERROR(__xludf.DUMMYFUNCTION("""COMPUTED_VALUE"""),"US_164 CENTRO DE REIDRATACAO E URG PED M CRAVO GAMA")</f>
        <v>US_164 CENTRO DE REIDRATACAO E URG PED M CRAVO GAMA</v>
      </c>
      <c r="H1278" s="11"/>
      <c r="I1278" s="11"/>
      <c r="J1278" s="11"/>
      <c r="K1278" s="11"/>
      <c r="L1278" s="11"/>
      <c r="M1278" s="11"/>
      <c r="N1278" s="11"/>
      <c r="O1278" s="11">
        <f>IFERROR(__xludf.DUMMYFUNCTION("""COMPUTED_VALUE"""),3161409450)</f>
        <v>3161409450</v>
      </c>
      <c r="P1278" s="11"/>
      <c r="Q1278" s="11"/>
      <c r="R1278" s="11"/>
      <c r="S1278" s="11"/>
      <c r="T1278" s="11"/>
      <c r="U1278" s="11"/>
      <c r="V1278" s="11"/>
      <c r="W1278" s="11"/>
      <c r="X1278" s="11"/>
      <c r="Y1278" s="11"/>
      <c r="Z1278" s="11"/>
    </row>
    <row r="1279" customHeight="1" spans="1:26">
      <c r="A1279" s="11" t="str">
        <f>IFERROR(__xludf.DUMMYFUNCTION("""COMPUTED_VALUE"""),"CAROLINA DE OLIVEIRA BARROS")</f>
        <v>CAROLINA DE OLIVEIRA BARROS</v>
      </c>
      <c r="B1279" s="11"/>
      <c r="C1279" s="11"/>
      <c r="D1279" s="11" t="str">
        <f>IFERROR(__xludf.DUMMYFUNCTION("""COMPUTED_VALUE"""),"ENFERMEIRO 30H")</f>
        <v>ENFERMEIRO 30H</v>
      </c>
      <c r="E1279" s="11"/>
      <c r="F1279" s="11" t="str">
        <f>IFERROR(__xludf.DUMMYFUNCTION("""COMPUTED_VALUE"""),"US_164 CENTRO DE REIDRATACAO E URG PED M CRAVO GAMA")</f>
        <v>US_164 CENTRO DE REIDRATACAO E URG PED M CRAVO GAMA</v>
      </c>
      <c r="G1279" s="11" t="str">
        <f>IFERROR(__xludf.DUMMYFUNCTION("""COMPUTED_VALUE"""),"US_164 CENTRO DE REIDRATACAO E URG PED M CRAVO GAMA")</f>
        <v>US_164 CENTRO DE REIDRATACAO E URG PED M CRAVO GAMA</v>
      </c>
      <c r="H1279" s="11"/>
      <c r="I1279" s="11"/>
      <c r="J1279" s="11"/>
      <c r="K1279" s="11"/>
      <c r="L1279" s="11"/>
      <c r="M1279" s="11"/>
      <c r="N1279" s="11"/>
      <c r="O1279" s="11">
        <f>IFERROR(__xludf.DUMMYFUNCTION("""COMPUTED_VALUE"""),6106069484)</f>
        <v>6106069484</v>
      </c>
      <c r="P1279" s="11"/>
      <c r="Q1279" s="11"/>
      <c r="R1279" s="11"/>
      <c r="S1279" s="11"/>
      <c r="T1279" s="11"/>
      <c r="U1279" s="11"/>
      <c r="V1279" s="11"/>
      <c r="W1279" s="11"/>
      <c r="X1279" s="11"/>
      <c r="Y1279" s="11"/>
      <c r="Z1279" s="11"/>
    </row>
    <row r="1280" customHeight="1" spans="1:26">
      <c r="A1280" s="11" t="str">
        <f>IFERROR(__xludf.DUMMYFUNCTION("""COMPUTED_VALUE"""),"ERLLEY RAQUEL A NOBREGA")</f>
        <v>ERLLEY RAQUEL A NOBREGA</v>
      </c>
      <c r="B1280" s="11"/>
      <c r="C1280" s="11"/>
      <c r="D1280" s="11" t="str">
        <f>IFERROR(__xludf.DUMMYFUNCTION("""COMPUTED_VALUE"""),"ENFERMEIRO 30H")</f>
        <v>ENFERMEIRO 30H</v>
      </c>
      <c r="E1280" s="11"/>
      <c r="F1280" s="11" t="str">
        <f>IFERROR(__xludf.DUMMYFUNCTION("""COMPUTED_VALUE"""),"US_163 HOSPITAL DE PEDIATRIA HELENA MOURA")</f>
        <v>US_163 HOSPITAL DE PEDIATRIA HELENA MOURA</v>
      </c>
      <c r="G1280" s="11" t="str">
        <f>IFERROR(__xludf.DUMMYFUNCTION("""COMPUTED_VALUE"""),"US_163 HOSPITAL DE PEDIATRIA HELENA MOURA")</f>
        <v>US_163 HOSPITAL DE PEDIATRIA HELENA MOURA</v>
      </c>
      <c r="H1280" s="11"/>
      <c r="I1280" s="11"/>
      <c r="J1280" s="11"/>
      <c r="K1280" s="11"/>
      <c r="L1280" s="11"/>
      <c r="M1280" s="11"/>
      <c r="N1280" s="11"/>
      <c r="O1280" s="11">
        <f>IFERROR(__xludf.DUMMYFUNCTION("""COMPUTED_VALUE"""),2844777457)</f>
        <v>2844777457</v>
      </c>
      <c r="P1280" s="11"/>
      <c r="Q1280" s="11"/>
      <c r="R1280" s="11"/>
      <c r="S1280" s="11"/>
      <c r="T1280" s="11"/>
      <c r="U1280" s="11"/>
      <c r="V1280" s="11"/>
      <c r="W1280" s="11"/>
      <c r="X1280" s="11"/>
      <c r="Y1280" s="11"/>
      <c r="Z1280" s="11"/>
    </row>
    <row r="1281" customHeight="1" spans="1:26">
      <c r="A1281" s="11" t="str">
        <f>IFERROR(__xludf.DUMMYFUNCTION("""COMPUTED_VALUE"""),"LIANA CRISTINA E ALENCAR")</f>
        <v>LIANA CRISTINA E ALENCAR</v>
      </c>
      <c r="B1281" s="11"/>
      <c r="C1281" s="11"/>
      <c r="D1281" s="11" t="str">
        <f>IFERROR(__xludf.DUMMYFUNCTION("""COMPUTED_VALUE"""),"ENFERMEIRO 30H")</f>
        <v>ENFERMEIRO 30H</v>
      </c>
      <c r="E1281" s="11"/>
      <c r="F1281" s="11" t="str">
        <f>IFERROR(__xludf.DUMMYFUNCTION("""COMPUTED_VALUE"""),"US_164 CENTRO DE REIDRATACAO E URG PED M CRAVO GAMA")</f>
        <v>US_164 CENTRO DE REIDRATACAO E URG PED M CRAVO GAMA</v>
      </c>
      <c r="G1281" s="11" t="str">
        <f>IFERROR(__xludf.DUMMYFUNCTION("""COMPUTED_VALUE"""),"US_164 CENTRO DE REIDRATACAO E URG PED M CRAVO GAMA")</f>
        <v>US_164 CENTRO DE REIDRATACAO E URG PED M CRAVO GAMA</v>
      </c>
      <c r="H1281" s="11"/>
      <c r="I1281" s="11"/>
      <c r="J1281" s="11"/>
      <c r="K1281" s="11"/>
      <c r="L1281" s="11"/>
      <c r="M1281" s="11"/>
      <c r="N1281" s="11"/>
      <c r="O1281" s="11">
        <f>IFERROR(__xludf.DUMMYFUNCTION("""COMPUTED_VALUE"""),76998991304)</f>
        <v>76998991304</v>
      </c>
      <c r="P1281" s="11"/>
      <c r="Q1281" s="11"/>
      <c r="R1281" s="11"/>
      <c r="S1281" s="11"/>
      <c r="T1281" s="11"/>
      <c r="U1281" s="11"/>
      <c r="V1281" s="11"/>
      <c r="W1281" s="11"/>
      <c r="X1281" s="11"/>
      <c r="Y1281" s="11"/>
      <c r="Z1281" s="11"/>
    </row>
    <row r="1282" customHeight="1" spans="1:26">
      <c r="A1282" s="11" t="str">
        <f>IFERROR(__xludf.DUMMYFUNCTION("""COMPUTED_VALUE"""),"SILVANA SIQUEIRA DA SILVA")</f>
        <v>SILVANA SIQUEIRA DA SILVA</v>
      </c>
      <c r="B1282" s="11"/>
      <c r="C1282" s="11"/>
      <c r="D1282" s="11" t="str">
        <f>IFERROR(__xludf.DUMMYFUNCTION("""COMPUTED_VALUE"""),"ENFERMEIRO 30H")</f>
        <v>ENFERMEIRO 30H</v>
      </c>
      <c r="E1282" s="11"/>
      <c r="F1282" s="11" t="str">
        <f>IFERROR(__xludf.DUMMYFUNCTION("""COMPUTED_VALUE"""),"US_163 HOSPITAL DE PEDIATRIA HELENA MOURA")</f>
        <v>US_163 HOSPITAL DE PEDIATRIA HELENA MOURA</v>
      </c>
      <c r="G1282" s="11" t="str">
        <f>IFERROR(__xludf.DUMMYFUNCTION("""COMPUTED_VALUE"""),"US_163 HOSPITAL DE PEDIATRIA HELENA MOURA")</f>
        <v>US_163 HOSPITAL DE PEDIATRIA HELENA MOURA</v>
      </c>
      <c r="H1282" s="11"/>
      <c r="I1282" s="11"/>
      <c r="J1282" s="11"/>
      <c r="K1282" s="11"/>
      <c r="L1282" s="11"/>
      <c r="M1282" s="11"/>
      <c r="N1282" s="11"/>
      <c r="O1282" s="11">
        <f>IFERROR(__xludf.DUMMYFUNCTION("""COMPUTED_VALUE"""),58464549415)</f>
        <v>58464549415</v>
      </c>
      <c r="P1282" s="11"/>
      <c r="Q1282" s="11"/>
      <c r="R1282" s="11"/>
      <c r="S1282" s="11"/>
      <c r="T1282" s="11"/>
      <c r="U1282" s="11"/>
      <c r="V1282" s="11"/>
      <c r="W1282" s="11"/>
      <c r="X1282" s="11"/>
      <c r="Y1282" s="11"/>
      <c r="Z1282" s="11"/>
    </row>
    <row r="1283" customHeight="1" spans="1:26">
      <c r="A1283" s="11" t="str">
        <f>IFERROR(__xludf.DUMMYFUNCTION("""COMPUTED_VALUE"""),"CRISTIANE RIBEIRO V DA SILVA")</f>
        <v>CRISTIANE RIBEIRO V DA SILVA</v>
      </c>
      <c r="B1283" s="11"/>
      <c r="C1283" s="11"/>
      <c r="D1283" s="11" t="str">
        <f>IFERROR(__xludf.DUMMYFUNCTION("""COMPUTED_VALUE"""),"ENFERMEIRO 30H")</f>
        <v>ENFERMEIRO 30H</v>
      </c>
      <c r="E1283" s="11"/>
      <c r="F1283" s="11" t="str">
        <f>IFERROR(__xludf.DUMMYFUNCTION("""COMPUTED_VALUE"""),"US_163 HOSPITAL DE PEDIATRIA HELENA MOURA")</f>
        <v>US_163 HOSPITAL DE PEDIATRIA HELENA MOURA</v>
      </c>
      <c r="G1283" s="11" t="str">
        <f>IFERROR(__xludf.DUMMYFUNCTION("""COMPUTED_VALUE"""),"US_163 HOSPITAL DE PEDIATRIA HELENA MOURA")</f>
        <v>US_163 HOSPITAL DE PEDIATRIA HELENA MOURA</v>
      </c>
      <c r="H1283" s="11"/>
      <c r="I1283" s="11"/>
      <c r="J1283" s="11"/>
      <c r="K1283" s="11"/>
      <c r="L1283" s="11"/>
      <c r="M1283" s="11"/>
      <c r="N1283" s="11"/>
      <c r="O1283" s="11">
        <f>IFERROR(__xludf.DUMMYFUNCTION("""COMPUTED_VALUE"""),999179470)</f>
        <v>999179470</v>
      </c>
      <c r="P1283" s="11"/>
      <c r="Q1283" s="11"/>
      <c r="R1283" s="11"/>
      <c r="S1283" s="11"/>
      <c r="T1283" s="11"/>
      <c r="U1283" s="11"/>
      <c r="V1283" s="11"/>
      <c r="W1283" s="11"/>
      <c r="X1283" s="11"/>
      <c r="Y1283" s="11"/>
      <c r="Z1283" s="11"/>
    </row>
    <row r="1284" customHeight="1" spans="1:26">
      <c r="A1284" s="11" t="str">
        <f>IFERROR(__xludf.DUMMYFUNCTION("""COMPUTED_VALUE"""),"LORENA DE FATIMA L ALMEIDA")</f>
        <v>LORENA DE FATIMA L ALMEIDA</v>
      </c>
      <c r="B1284" s="11"/>
      <c r="C1284" s="11"/>
      <c r="D1284" s="11" t="str">
        <f>IFERROR(__xludf.DUMMYFUNCTION("""COMPUTED_VALUE"""),"ENFERMEIRO 30H")</f>
        <v>ENFERMEIRO 30H</v>
      </c>
      <c r="E1284" s="11"/>
      <c r="F1284" s="11" t="str">
        <f>IFERROR(__xludf.DUMMYFUNCTION("""COMPUTED_VALUE"""),"US_163 HOSPITAL DE PEDIATRIA HELENA MOURA")</f>
        <v>US_163 HOSPITAL DE PEDIATRIA HELENA MOURA</v>
      </c>
      <c r="G1284" s="11" t="str">
        <f>IFERROR(__xludf.DUMMYFUNCTION("""COMPUTED_VALUE"""),"US_163 HOSPITAL DE PEDIATRIA HELENA MOURA")</f>
        <v>US_163 HOSPITAL DE PEDIATRIA HELENA MOURA</v>
      </c>
      <c r="H1284" s="11"/>
      <c r="I1284" s="11"/>
      <c r="J1284" s="11"/>
      <c r="K1284" s="11"/>
      <c r="L1284" s="11"/>
      <c r="M1284" s="11"/>
      <c r="N1284" s="11"/>
      <c r="O1284" s="11">
        <f>IFERROR(__xludf.DUMMYFUNCTION("""COMPUTED_VALUE"""),6045386426)</f>
        <v>6045386426</v>
      </c>
      <c r="P1284" s="11"/>
      <c r="Q1284" s="11"/>
      <c r="R1284" s="11"/>
      <c r="S1284" s="11"/>
      <c r="T1284" s="11"/>
      <c r="U1284" s="11"/>
      <c r="V1284" s="11"/>
      <c r="W1284" s="11"/>
      <c r="X1284" s="11"/>
      <c r="Y1284" s="11"/>
      <c r="Z1284" s="11"/>
    </row>
    <row r="1285" customHeight="1" spans="1:26">
      <c r="A1285" s="11" t="str">
        <f>IFERROR(__xludf.DUMMYFUNCTION("""COMPUTED_VALUE"""),"THAIS SILVA DE OLIVEIRA")</f>
        <v>THAIS SILVA DE OLIVEIRA</v>
      </c>
      <c r="B1285" s="11"/>
      <c r="C1285" s="11"/>
      <c r="D1285" s="11" t="str">
        <f>IFERROR(__xludf.DUMMYFUNCTION("""COMPUTED_VALUE"""),"ENFERMEIRO 30H")</f>
        <v>ENFERMEIRO 30H</v>
      </c>
      <c r="E1285" s="11"/>
      <c r="F1285" s="11" t="str">
        <f>IFERROR(__xludf.DUMMYFUNCTION("""COMPUTED_VALUE"""),"US_163 HOSPITAL DE PEDIATRIA HELENA MOURA")</f>
        <v>US_163 HOSPITAL DE PEDIATRIA HELENA MOURA</v>
      </c>
      <c r="G1285" s="11" t="str">
        <f>IFERROR(__xludf.DUMMYFUNCTION("""COMPUTED_VALUE"""),"US_163 HOSPITAL DE PEDIATRIA HELENA MOURA")</f>
        <v>US_163 HOSPITAL DE PEDIATRIA HELENA MOURA</v>
      </c>
      <c r="H1285" s="11"/>
      <c r="I1285" s="11"/>
      <c r="J1285" s="11"/>
      <c r="K1285" s="11"/>
      <c r="L1285" s="11"/>
      <c r="M1285" s="11"/>
      <c r="N1285" s="11"/>
      <c r="O1285" s="11">
        <f>IFERROR(__xludf.DUMMYFUNCTION("""COMPUTED_VALUE"""),4545423485)</f>
        <v>4545423485</v>
      </c>
      <c r="P1285" s="11"/>
      <c r="Q1285" s="11"/>
      <c r="R1285" s="11"/>
      <c r="S1285" s="11"/>
      <c r="T1285" s="11"/>
      <c r="U1285" s="11"/>
      <c r="V1285" s="11"/>
      <c r="W1285" s="11"/>
      <c r="X1285" s="11"/>
      <c r="Y1285" s="11"/>
      <c r="Z1285" s="11"/>
    </row>
    <row r="1286" customHeight="1" spans="1:26">
      <c r="A1286" s="11" t="str">
        <f>IFERROR(__xludf.DUMMYFUNCTION("""COMPUTED_VALUE"""),"ADRIANA MAIA DE ARAUJO")</f>
        <v>ADRIANA MAIA DE ARAUJO</v>
      </c>
      <c r="B1286" s="11"/>
      <c r="C1286" s="11"/>
      <c r="D1286" s="11" t="str">
        <f>IFERROR(__xludf.DUMMYFUNCTION("""COMPUTED_VALUE"""),"ENFERMEIRO 30H")</f>
        <v>ENFERMEIRO 30H</v>
      </c>
      <c r="E1286" s="11"/>
      <c r="F1286" s="11" t="str">
        <f>IFERROR(__xludf.DUMMYFUNCTION("""COMPUTED_VALUE"""),"US_164 CENTRO DE REIDRATACAO E URG PED M CRAVO GAMA")</f>
        <v>US_164 CENTRO DE REIDRATACAO E URG PED M CRAVO GAMA</v>
      </c>
      <c r="G1286" s="11" t="str">
        <f>IFERROR(__xludf.DUMMYFUNCTION("""COMPUTED_VALUE"""),"US_164 CENTRO DE REIDRATACAO E URG PED M CRAVO GAMA")</f>
        <v>US_164 CENTRO DE REIDRATACAO E URG PED M CRAVO GAMA</v>
      </c>
      <c r="H1286" s="11"/>
      <c r="I1286" s="11"/>
      <c r="J1286" s="11"/>
      <c r="K1286" s="11"/>
      <c r="L1286" s="11"/>
      <c r="M1286" s="11"/>
      <c r="N1286" s="11"/>
      <c r="O1286" s="11">
        <f>IFERROR(__xludf.DUMMYFUNCTION("""COMPUTED_VALUE"""),77553454400)</f>
        <v>77553454400</v>
      </c>
      <c r="P1286" s="11"/>
      <c r="Q1286" s="11"/>
      <c r="R1286" s="11"/>
      <c r="S1286" s="11"/>
      <c r="T1286" s="11"/>
      <c r="U1286" s="11"/>
      <c r="V1286" s="11"/>
      <c r="W1286" s="11"/>
      <c r="X1286" s="11"/>
      <c r="Y1286" s="11"/>
      <c r="Z1286" s="11"/>
    </row>
    <row r="1287" customHeight="1" spans="1:26">
      <c r="A1287" s="11" t="str">
        <f>IFERROR(__xludf.DUMMYFUNCTION("""COMPUTED_VALUE"""),"EDILMA PEREIRA DE MORAIS")</f>
        <v>EDILMA PEREIRA DE MORAIS</v>
      </c>
      <c r="B1287" s="11"/>
      <c r="C1287" s="11"/>
      <c r="D1287" s="11" t="str">
        <f>IFERROR(__xludf.DUMMYFUNCTION("""COMPUTED_VALUE"""),"ENFERMEIRO 30H")</f>
        <v>ENFERMEIRO 30H</v>
      </c>
      <c r="E1287" s="11"/>
      <c r="F1287" s="11" t="str">
        <f>IFERROR(__xludf.DUMMYFUNCTION("""COMPUTED_VALUE"""),"US_163 HOSPITAL DE PEDIATRIA HELENA MOURA")</f>
        <v>US_163 HOSPITAL DE PEDIATRIA HELENA MOURA</v>
      </c>
      <c r="G1287" s="11" t="str">
        <f>IFERROR(__xludf.DUMMYFUNCTION("""COMPUTED_VALUE"""),"US_163 HOSPITAL DE PEDIATRIA HELENA MOURA")</f>
        <v>US_163 HOSPITAL DE PEDIATRIA HELENA MOURA</v>
      </c>
      <c r="H1287" s="11"/>
      <c r="I1287" s="11"/>
      <c r="J1287" s="11"/>
      <c r="K1287" s="11"/>
      <c r="L1287" s="11"/>
      <c r="M1287" s="11"/>
      <c r="N1287" s="11"/>
      <c r="O1287" s="11">
        <f>IFERROR(__xludf.DUMMYFUNCTION("""COMPUTED_VALUE"""),86416642468)</f>
        <v>86416642468</v>
      </c>
      <c r="P1287" s="11"/>
      <c r="Q1287" s="11"/>
      <c r="R1287" s="11"/>
      <c r="S1287" s="11"/>
      <c r="T1287" s="11"/>
      <c r="U1287" s="11"/>
      <c r="V1287" s="11"/>
      <c r="W1287" s="11"/>
      <c r="X1287" s="11"/>
      <c r="Y1287" s="11"/>
      <c r="Z1287" s="11"/>
    </row>
    <row r="1288" customHeight="1" spans="1:26">
      <c r="A1288" s="11" t="str">
        <f>IFERROR(__xludf.DUMMYFUNCTION("""COMPUTED_VALUE"""),"CRISTIANE MARIA DA SILVA")</f>
        <v>CRISTIANE MARIA DA SILVA</v>
      </c>
      <c r="B1288" s="11"/>
      <c r="C1288" s="11"/>
      <c r="D1288" s="11" t="str">
        <f>IFERROR(__xludf.DUMMYFUNCTION("""COMPUTED_VALUE"""),"ENFERMEIRO 30H")</f>
        <v>ENFERMEIRO 30H</v>
      </c>
      <c r="E1288" s="11"/>
      <c r="F1288" s="11" t="str">
        <f>IFERROR(__xludf.DUMMYFUNCTION("""COMPUTED_VALUE"""),"US_163 HOSPITAL DE PEDIATRIA HELENA MOURA")</f>
        <v>US_163 HOSPITAL DE PEDIATRIA HELENA MOURA</v>
      </c>
      <c r="G1288" s="11" t="str">
        <f>IFERROR(__xludf.DUMMYFUNCTION("""COMPUTED_VALUE"""),"US_163 HOSPITAL DE PEDIATRIA HELENA MOURA")</f>
        <v>US_163 HOSPITAL DE PEDIATRIA HELENA MOURA</v>
      </c>
      <c r="H1288" s="11"/>
      <c r="I1288" s="11"/>
      <c r="J1288" s="11"/>
      <c r="K1288" s="11"/>
      <c r="L1288" s="11"/>
      <c r="M1288" s="11"/>
      <c r="N1288" s="11"/>
      <c r="O1288" s="11">
        <f>IFERROR(__xludf.DUMMYFUNCTION("""COMPUTED_VALUE"""),3070708404)</f>
        <v>3070708404</v>
      </c>
      <c r="P1288" s="11"/>
      <c r="Q1288" s="11"/>
      <c r="R1288" s="11"/>
      <c r="S1288" s="11"/>
      <c r="T1288" s="11"/>
      <c r="U1288" s="11"/>
      <c r="V1288" s="11"/>
      <c r="W1288" s="11"/>
      <c r="X1288" s="11"/>
      <c r="Y1288" s="11"/>
      <c r="Z1288" s="11"/>
    </row>
    <row r="1289" customHeight="1" spans="1:26">
      <c r="A1289" s="11" t="str">
        <f>IFERROR(__xludf.DUMMYFUNCTION("""COMPUTED_VALUE"""),"DENAIDE SOARES VASCONCELOS")</f>
        <v>DENAIDE SOARES VASCONCELOS</v>
      </c>
      <c r="B1289" s="11"/>
      <c r="C1289" s="11"/>
      <c r="D1289" s="11" t="str">
        <f>IFERROR(__xludf.DUMMYFUNCTION("""COMPUTED_VALUE"""),"SERV DE ORGAO MUNICIPALIZ RP")</f>
        <v>SERV DE ORGAO MUNICIPALIZ RP</v>
      </c>
      <c r="E1289" s="11"/>
      <c r="F1289" s="11" t="str">
        <f>IFERROR(__xludf.DUMMYFUNCTION("""COMPUTED_VALUE"""),"US_163 HOSPITAL DE PEDIATRIA HELENA MOURA")</f>
        <v>US_163 HOSPITAL DE PEDIATRIA HELENA MOURA</v>
      </c>
      <c r="G1289" s="11" t="str">
        <f>IFERROR(__xludf.DUMMYFUNCTION("""COMPUTED_VALUE"""),"US_163 HOSPITAL DE PEDIATRIA HELENA MOURA")</f>
        <v>US_163 HOSPITAL DE PEDIATRIA HELENA MOURA</v>
      </c>
      <c r="H1289" s="11"/>
      <c r="I1289" s="11"/>
      <c r="J1289" s="11"/>
      <c r="K1289" s="11"/>
      <c r="L1289" s="11"/>
      <c r="M1289" s="11"/>
      <c r="N1289" s="11"/>
      <c r="O1289" s="11">
        <f>IFERROR(__xludf.DUMMYFUNCTION("""COMPUTED_VALUE"""),49394738487)</f>
        <v>49394738487</v>
      </c>
      <c r="P1289" s="11"/>
      <c r="Q1289" s="11"/>
      <c r="R1289" s="11"/>
      <c r="S1289" s="11"/>
      <c r="T1289" s="11"/>
      <c r="U1289" s="11"/>
      <c r="V1289" s="11"/>
      <c r="W1289" s="11"/>
      <c r="X1289" s="11"/>
      <c r="Y1289" s="11"/>
      <c r="Z1289" s="11"/>
    </row>
    <row r="1290" customHeight="1" spans="1:26">
      <c r="A1290" s="11" t="str">
        <f>IFERROR(__xludf.DUMMYFUNCTION("""COMPUTED_VALUE"""),"LUCIANA DA SILVA M NUNES")</f>
        <v>LUCIANA DA SILVA M NUNES</v>
      </c>
      <c r="B1290" s="11"/>
      <c r="C1290" s="11"/>
      <c r="D1290" s="11" t="str">
        <f>IFERROR(__xludf.DUMMYFUNCTION("""COMPUTED_VALUE"""),"ENFERMEIRO 30H")</f>
        <v>ENFERMEIRO 30H</v>
      </c>
      <c r="E1290" s="11"/>
      <c r="F1290" s="11" t="str">
        <f>IFERROR(__xludf.DUMMYFUNCTION("""COMPUTED_VALUE"""),"US_163 HOSPITAL DE PEDIATRIA HELENA MOURA")</f>
        <v>US_163 HOSPITAL DE PEDIATRIA HELENA MOURA</v>
      </c>
      <c r="G1290" s="11" t="str">
        <f>IFERROR(__xludf.DUMMYFUNCTION("""COMPUTED_VALUE"""),"US_163 HOSPITAL DE PEDIATRIA HELENA MOURA")</f>
        <v>US_163 HOSPITAL DE PEDIATRIA HELENA MOURA</v>
      </c>
      <c r="H1290" s="11"/>
      <c r="I1290" s="11"/>
      <c r="J1290" s="11"/>
      <c r="K1290" s="11"/>
      <c r="L1290" s="11"/>
      <c r="M1290" s="11"/>
      <c r="N1290" s="11"/>
      <c r="O1290" s="11">
        <f>IFERROR(__xludf.DUMMYFUNCTION("""COMPUTED_VALUE"""),5192464463)</f>
        <v>5192464463</v>
      </c>
      <c r="P1290" s="11"/>
      <c r="Q1290" s="11"/>
      <c r="R1290" s="11"/>
      <c r="S1290" s="11"/>
      <c r="T1290" s="11"/>
      <c r="U1290" s="11"/>
      <c r="V1290" s="11"/>
      <c r="W1290" s="11"/>
      <c r="X1290" s="11"/>
      <c r="Y1290" s="11"/>
      <c r="Z1290" s="11"/>
    </row>
    <row r="1291" customHeight="1" spans="1:26">
      <c r="A1291" s="11" t="str">
        <f>IFERROR(__xludf.DUMMYFUNCTION("""COMPUTED_VALUE"""),"FABIANA DE PAULA RAELI")</f>
        <v>FABIANA DE PAULA RAELI</v>
      </c>
      <c r="B1291" s="11"/>
      <c r="C1291" s="11"/>
      <c r="D1291" s="11" t="str">
        <f>IFERROR(__xludf.DUMMYFUNCTION("""COMPUTED_VALUE"""),"ENFERMEIRO 30H")</f>
        <v>ENFERMEIRO 30H</v>
      </c>
      <c r="E1291" s="11"/>
      <c r="F1291" s="11" t="str">
        <f>IFERROR(__xludf.DUMMYFUNCTION("""COMPUTED_VALUE"""),"US_163 HOSPITAL DE PEDIATRIA HELENA MOURA")</f>
        <v>US_163 HOSPITAL DE PEDIATRIA HELENA MOURA</v>
      </c>
      <c r="G1291" s="11" t="str">
        <f>IFERROR(__xludf.DUMMYFUNCTION("""COMPUTED_VALUE"""),"US_163 HOSPITAL DE PEDIATRIA HELENA MOURA")</f>
        <v>US_163 HOSPITAL DE PEDIATRIA HELENA MOURA</v>
      </c>
      <c r="H1291" s="11"/>
      <c r="I1291" s="11"/>
      <c r="J1291" s="11"/>
      <c r="K1291" s="11"/>
      <c r="L1291" s="11"/>
      <c r="M1291" s="11"/>
      <c r="N1291" s="11"/>
      <c r="O1291" s="11">
        <f>IFERROR(__xludf.DUMMYFUNCTION("""COMPUTED_VALUE"""),61979007420)</f>
        <v>61979007420</v>
      </c>
      <c r="P1291" s="11"/>
      <c r="Q1291" s="11"/>
      <c r="R1291" s="11"/>
      <c r="S1291" s="11"/>
      <c r="T1291" s="11"/>
      <c r="U1291" s="11"/>
      <c r="V1291" s="11"/>
      <c r="W1291" s="11"/>
      <c r="X1291" s="11"/>
      <c r="Y1291" s="11"/>
      <c r="Z1291" s="11"/>
    </row>
    <row r="1292" customHeight="1" spans="1:26">
      <c r="A1292" s="11" t="str">
        <f>IFERROR(__xludf.DUMMYFUNCTION("""COMPUTED_VALUE"""),"DAMARIZ BARROS DE ALBUQUERQUE")</f>
        <v>DAMARIZ BARROS DE ALBUQUERQUE</v>
      </c>
      <c r="B1292" s="11"/>
      <c r="C1292" s="11"/>
      <c r="D1292" s="11" t="str">
        <f>IFERROR(__xludf.DUMMYFUNCTION("""COMPUTED_VALUE"""),"ENFERMEIRO 30H - PLANTONISTA")</f>
        <v>ENFERMEIRO 30H - PLANTONISTA</v>
      </c>
      <c r="E1292" s="11"/>
      <c r="F1292" s="11" t="str">
        <f>IFERROR(__xludf.DUMMYFUNCTION("""COMPUTED_VALUE"""),"US_163 HOSPITAL DE PEDIATRIA HELENA MOURA")</f>
        <v>US_163 HOSPITAL DE PEDIATRIA HELENA MOURA</v>
      </c>
      <c r="G1292" s="11" t="str">
        <f>IFERROR(__xludf.DUMMYFUNCTION("""COMPUTED_VALUE"""),"US_163 HOSPITAL DE PEDIATRIA HELENA MOURA")</f>
        <v>US_163 HOSPITAL DE PEDIATRIA HELENA MOURA</v>
      </c>
      <c r="H1292" s="11"/>
      <c r="I1292" s="11"/>
      <c r="J1292" s="11"/>
      <c r="K1292" s="11"/>
      <c r="L1292" s="11"/>
      <c r="M1292" s="11"/>
      <c r="N1292" s="11"/>
      <c r="O1292" s="11">
        <f>IFERROR(__xludf.DUMMYFUNCTION("""COMPUTED_VALUE"""),11811634710)</f>
        <v>11811634710</v>
      </c>
      <c r="P1292" s="11"/>
      <c r="Q1292" s="11"/>
      <c r="R1292" s="11"/>
      <c r="S1292" s="11"/>
      <c r="T1292" s="11"/>
      <c r="U1292" s="11"/>
      <c r="V1292" s="11"/>
      <c r="W1292" s="11"/>
      <c r="X1292" s="11"/>
      <c r="Y1292" s="11"/>
      <c r="Z1292" s="11"/>
    </row>
    <row r="1293" customHeight="1" spans="1:26">
      <c r="A1293" s="11" t="str">
        <f>IFERROR(__xludf.DUMMYFUNCTION("""COMPUTED_VALUE"""),"ADRIANA LEITE DOS SANTOS")</f>
        <v>ADRIANA LEITE DOS SANTOS</v>
      </c>
      <c r="B1293" s="11"/>
      <c r="C1293" s="11"/>
      <c r="D1293" s="11" t="str">
        <f>IFERROR(__xludf.DUMMYFUNCTION("""COMPUTED_VALUE"""),"ENFERMEIRO 30H - PLANTONISTA")</f>
        <v>ENFERMEIRO 30H - PLANTONISTA</v>
      </c>
      <c r="E1293" s="11"/>
      <c r="F1293" s="11" t="str">
        <f>IFERROR(__xludf.DUMMYFUNCTION("""COMPUTED_VALUE"""),"US_163 HOSPITAL DE PEDIATRIA HELENA MOURA")</f>
        <v>US_163 HOSPITAL DE PEDIATRIA HELENA MOURA</v>
      </c>
      <c r="G1293" s="11" t="str">
        <f>IFERROR(__xludf.DUMMYFUNCTION("""COMPUTED_VALUE"""),"US_163 HOSPITAL DE PEDIATRIA HELENA MOURA")</f>
        <v>US_163 HOSPITAL DE PEDIATRIA HELENA MOURA</v>
      </c>
      <c r="H1293" s="11"/>
      <c r="I1293" s="11"/>
      <c r="J1293" s="11"/>
      <c r="K1293" s="11"/>
      <c r="L1293" s="11"/>
      <c r="M1293" s="11"/>
      <c r="N1293" s="11"/>
      <c r="O1293" s="11">
        <f>IFERROR(__xludf.DUMMYFUNCTION("""COMPUTED_VALUE"""),4893939424)</f>
        <v>4893939424</v>
      </c>
      <c r="P1293" s="11"/>
      <c r="Q1293" s="11"/>
      <c r="R1293" s="11"/>
      <c r="S1293" s="11"/>
      <c r="T1293" s="11"/>
      <c r="U1293" s="11"/>
      <c r="V1293" s="11"/>
      <c r="W1293" s="11"/>
      <c r="X1293" s="11"/>
      <c r="Y1293" s="11"/>
      <c r="Z1293" s="11"/>
    </row>
    <row r="1294" customHeight="1" spans="1:26">
      <c r="A1294" s="11" t="str">
        <f>IFERROR(__xludf.DUMMYFUNCTION("""COMPUTED_VALUE"""),"JOAO VICTOR BATISTA CABRAL")</f>
        <v>JOAO VICTOR BATISTA CABRAL</v>
      </c>
      <c r="B1294" s="11"/>
      <c r="C1294" s="11"/>
      <c r="D1294" s="11" t="str">
        <f>IFERROR(__xludf.DUMMYFUNCTION("""COMPUTED_VALUE"""),"ENFERMEIRO 30H - PLANTONISTA")</f>
        <v>ENFERMEIRO 30H - PLANTONISTA</v>
      </c>
      <c r="E1294" s="11"/>
      <c r="F1294" s="11" t="str">
        <f>IFERROR(__xludf.DUMMYFUNCTION("""COMPUTED_VALUE"""),"US_163 HOSPITAL DE PEDIATRIA HELENA MOURA")</f>
        <v>US_163 HOSPITAL DE PEDIATRIA HELENA MOURA</v>
      </c>
      <c r="G1294" s="11" t="str">
        <f>IFERROR(__xludf.DUMMYFUNCTION("""COMPUTED_VALUE"""),"US_163 HOSPITAL DE PEDIATRIA HELENA MOURA")</f>
        <v>US_163 HOSPITAL DE PEDIATRIA HELENA MOURA</v>
      </c>
      <c r="H1294" s="11"/>
      <c r="I1294" s="11"/>
      <c r="J1294" s="11"/>
      <c r="K1294" s="11"/>
      <c r="L1294" s="11"/>
      <c r="M1294" s="11"/>
      <c r="N1294" s="11"/>
      <c r="O1294" s="11">
        <f>IFERROR(__xludf.DUMMYFUNCTION("""COMPUTED_VALUE"""),9605904470)</f>
        <v>9605904470</v>
      </c>
      <c r="P1294" s="11"/>
      <c r="Q1294" s="11"/>
      <c r="R1294" s="11"/>
      <c r="S1294" s="11"/>
      <c r="T1294" s="11"/>
      <c r="U1294" s="11"/>
      <c r="V1294" s="11"/>
      <c r="W1294" s="11"/>
      <c r="X1294" s="11"/>
      <c r="Y1294" s="11"/>
      <c r="Z1294" s="11"/>
    </row>
    <row r="1295" customHeight="1" spans="1:26">
      <c r="A1295" s="11" t="str">
        <f>IFERROR(__xludf.DUMMYFUNCTION("""COMPUTED_VALUE"""),"FABIA MARIA SANTOS PINTO")</f>
        <v>FABIA MARIA SANTOS PINTO</v>
      </c>
      <c r="B1295" s="11"/>
      <c r="C1295" s="11"/>
      <c r="D1295" s="11" t="str">
        <f>IFERROR(__xludf.DUMMYFUNCTION("""COMPUTED_VALUE"""),"ENFERMEIRO 30H - PLANTONISTA")</f>
        <v>ENFERMEIRO 30H - PLANTONISTA</v>
      </c>
      <c r="E1295" s="11"/>
      <c r="F1295" s="11" t="str">
        <f>IFERROR(__xludf.DUMMYFUNCTION("""COMPUTED_VALUE"""),"US_163 HOSPITAL DE PEDIATRIA HELENA MOURA")</f>
        <v>US_163 HOSPITAL DE PEDIATRIA HELENA MOURA</v>
      </c>
      <c r="G1295" s="11" t="str">
        <f>IFERROR(__xludf.DUMMYFUNCTION("""COMPUTED_VALUE"""),"US_163 HOSPITAL DE PEDIATRIA HELENA MOURA")</f>
        <v>US_163 HOSPITAL DE PEDIATRIA HELENA MOURA</v>
      </c>
      <c r="H1295" s="11"/>
      <c r="I1295" s="11"/>
      <c r="J1295" s="11"/>
      <c r="K1295" s="11"/>
      <c r="L1295" s="11"/>
      <c r="M1295" s="11"/>
      <c r="N1295" s="11"/>
      <c r="O1295" s="11">
        <f>IFERROR(__xludf.DUMMYFUNCTION("""COMPUTED_VALUE"""),1058855417)</f>
        <v>1058855417</v>
      </c>
      <c r="P1295" s="11"/>
      <c r="Q1295" s="11"/>
      <c r="R1295" s="11"/>
      <c r="S1295" s="11"/>
      <c r="T1295" s="11"/>
      <c r="U1295" s="11"/>
      <c r="V1295" s="11"/>
      <c r="W1295" s="11"/>
      <c r="X1295" s="11"/>
      <c r="Y1295" s="11"/>
      <c r="Z1295" s="11"/>
    </row>
    <row r="1296" customHeight="1" spans="1:26">
      <c r="A1296" s="11" t="str">
        <f>IFERROR(__xludf.DUMMYFUNCTION("""COMPUTED_VALUE"""),"TASSIA REGINE DE MORAIS ALVES")</f>
        <v>TASSIA REGINE DE MORAIS ALVES</v>
      </c>
      <c r="B1296" s="11"/>
      <c r="C1296" s="11"/>
      <c r="D1296" s="11" t="str">
        <f>IFERROR(__xludf.DUMMYFUNCTION("""COMPUTED_VALUE"""),"ENFERMEIRO 30H - PLANTONISTA")</f>
        <v>ENFERMEIRO 30H - PLANTONISTA</v>
      </c>
      <c r="E1296" s="11"/>
      <c r="F1296" s="11" t="str">
        <f>IFERROR(__xludf.DUMMYFUNCTION("""COMPUTED_VALUE"""),"US_163 HOSPITAL DE PEDIATRIA HELENA MOURA")</f>
        <v>US_163 HOSPITAL DE PEDIATRIA HELENA MOURA</v>
      </c>
      <c r="G1296" s="11" t="str">
        <f>IFERROR(__xludf.DUMMYFUNCTION("""COMPUTED_VALUE"""),"US_163 HOSPITAL DE PEDIATRIA HELENA MOURA")</f>
        <v>US_163 HOSPITAL DE PEDIATRIA HELENA MOURA</v>
      </c>
      <c r="H1296" s="11"/>
      <c r="I1296" s="11"/>
      <c r="J1296" s="11"/>
      <c r="K1296" s="11"/>
      <c r="L1296" s="11"/>
      <c r="M1296" s="11"/>
      <c r="N1296" s="11"/>
      <c r="O1296" s="11">
        <f>IFERROR(__xludf.DUMMYFUNCTION("""COMPUTED_VALUE"""),6987310424)</f>
        <v>6987310424</v>
      </c>
      <c r="P1296" s="11"/>
      <c r="Q1296" s="11"/>
      <c r="R1296" s="11"/>
      <c r="S1296" s="11"/>
      <c r="T1296" s="11"/>
      <c r="U1296" s="11"/>
      <c r="V1296" s="11"/>
      <c r="W1296" s="11"/>
      <c r="X1296" s="11"/>
      <c r="Y1296" s="11"/>
      <c r="Z1296" s="11"/>
    </row>
    <row r="1297" customHeight="1" spans="1:26">
      <c r="A1297" s="11" t="str">
        <f>IFERROR(__xludf.DUMMYFUNCTION("""COMPUTED_VALUE"""),"ANA CAROLINA BEZERRA DE LIMA")</f>
        <v>ANA CAROLINA BEZERRA DE LIMA</v>
      </c>
      <c r="B1297" s="11"/>
      <c r="C1297" s="11"/>
      <c r="D1297" s="11" t="str">
        <f>IFERROR(__xludf.DUMMYFUNCTION("""COMPUTED_VALUE"""),"ENFERMEIRO 30H - PLANTONISTA")</f>
        <v>ENFERMEIRO 30H - PLANTONISTA</v>
      </c>
      <c r="E1297" s="11"/>
      <c r="F1297" s="11" t="str">
        <f>IFERROR(__xludf.DUMMYFUNCTION("""COMPUTED_VALUE"""),"US_163 HOSPITAL DE PEDIATRIA HELENA MOURA")</f>
        <v>US_163 HOSPITAL DE PEDIATRIA HELENA MOURA</v>
      </c>
      <c r="G1297" s="11" t="str">
        <f>IFERROR(__xludf.DUMMYFUNCTION("""COMPUTED_VALUE"""),"US_163 HOSPITAL DE PEDIATRIA HELENA MOURA")</f>
        <v>US_163 HOSPITAL DE PEDIATRIA HELENA MOURA</v>
      </c>
      <c r="H1297" s="11"/>
      <c r="I1297" s="11"/>
      <c r="J1297" s="11"/>
      <c r="K1297" s="11"/>
      <c r="L1297" s="11"/>
      <c r="M1297" s="11"/>
      <c r="N1297" s="11"/>
      <c r="O1297" s="11">
        <f>IFERROR(__xludf.DUMMYFUNCTION("""COMPUTED_VALUE"""),7698699471)</f>
        <v>7698699471</v>
      </c>
      <c r="P1297" s="11"/>
      <c r="Q1297" s="11"/>
      <c r="R1297" s="11"/>
      <c r="S1297" s="11"/>
      <c r="T1297" s="11"/>
      <c r="U1297" s="11"/>
      <c r="V1297" s="11"/>
      <c r="W1297" s="11"/>
      <c r="X1297" s="11"/>
      <c r="Y1297" s="11"/>
      <c r="Z1297" s="11"/>
    </row>
    <row r="1298" customHeight="1" spans="1:26">
      <c r="A1298" s="11" t="str">
        <f>IFERROR(__xludf.DUMMYFUNCTION("""COMPUTED_VALUE"""),"MARIA IZABEL TAVARES DE SOUSA")</f>
        <v>MARIA IZABEL TAVARES DE SOUSA</v>
      </c>
      <c r="B1298" s="11"/>
      <c r="C1298" s="11"/>
      <c r="D1298" s="11" t="str">
        <f>IFERROR(__xludf.DUMMYFUNCTION("""COMPUTED_VALUE"""),"ENFERMEIRO 30H - PLANTONISTA")</f>
        <v>ENFERMEIRO 30H - PLANTONISTA</v>
      </c>
      <c r="E1298" s="11"/>
      <c r="F1298" s="11" t="str">
        <f>IFERROR(__xludf.DUMMYFUNCTION("""COMPUTED_VALUE"""),"US_163 HOSPITAL DE PEDIATRIA HELENA MOURA")</f>
        <v>US_163 HOSPITAL DE PEDIATRIA HELENA MOURA</v>
      </c>
      <c r="G1298" s="11" t="str">
        <f>IFERROR(__xludf.DUMMYFUNCTION("""COMPUTED_VALUE"""),"US_163 HOSPITAL DE PEDIATRIA HELENA MOURA")</f>
        <v>US_163 HOSPITAL DE PEDIATRIA HELENA MOURA</v>
      </c>
      <c r="H1298" s="11"/>
      <c r="I1298" s="11"/>
      <c r="J1298" s="11"/>
      <c r="K1298" s="11"/>
      <c r="L1298" s="11"/>
      <c r="M1298" s="11"/>
      <c r="N1298" s="11"/>
      <c r="O1298" s="11">
        <f>IFERROR(__xludf.DUMMYFUNCTION("""COMPUTED_VALUE"""),6356410469)</f>
        <v>6356410469</v>
      </c>
      <c r="P1298" s="11"/>
      <c r="Q1298" s="11"/>
      <c r="R1298" s="11"/>
      <c r="S1298" s="11"/>
      <c r="T1298" s="11"/>
      <c r="U1298" s="11"/>
      <c r="V1298" s="11"/>
      <c r="W1298" s="11"/>
      <c r="X1298" s="11"/>
      <c r="Y1298" s="11"/>
      <c r="Z1298" s="11"/>
    </row>
    <row r="1299" customHeight="1" spans="1:26">
      <c r="A1299" s="11" t="str">
        <f>IFERROR(__xludf.DUMMYFUNCTION("""COMPUTED_VALUE"""),"MÁRCIA CRISTINA MARTINS DOS SANTOS")</f>
        <v>MÁRCIA CRISTINA MARTINS DOS SANTOS</v>
      </c>
      <c r="B1299" s="11"/>
      <c r="C1299" s="11"/>
      <c r="D1299" s="11" t="str">
        <f>IFERROR(__xludf.DUMMYFUNCTION("""COMPUTED_VALUE"""),"ENFERMEIRO 30H - PLANTONISTA")</f>
        <v>ENFERMEIRO 30H - PLANTONISTA</v>
      </c>
      <c r="E1299" s="11"/>
      <c r="F1299" s="11" t="str">
        <f>IFERROR(__xludf.DUMMYFUNCTION("""COMPUTED_VALUE"""),"")</f>
        <v/>
      </c>
      <c r="G1299" s="11" t="str">
        <f>IFERROR(__xludf.DUMMYFUNCTION("""COMPUTED_VALUE"""),"")</f>
        <v/>
      </c>
      <c r="H1299" s="11"/>
      <c r="I1299" s="11"/>
      <c r="J1299" s="11"/>
      <c r="K1299" s="11"/>
      <c r="L1299" s="11"/>
      <c r="M1299" s="11"/>
      <c r="N1299" s="11"/>
      <c r="O1299" s="11"/>
      <c r="P1299" s="11"/>
      <c r="Q1299" s="11"/>
      <c r="R1299" s="11"/>
      <c r="S1299" s="11"/>
      <c r="T1299" s="11"/>
      <c r="U1299" s="11"/>
      <c r="V1299" s="11"/>
      <c r="W1299" s="11"/>
      <c r="X1299" s="11"/>
      <c r="Y1299" s="11"/>
      <c r="Z1299" s="11"/>
    </row>
    <row r="1300" customHeight="1" spans="1:26">
      <c r="A1300" s="11" t="str">
        <f>IFERROR(__xludf.DUMMYFUNCTION("""COMPUTED_VALUE"""),"VANESSA VIEIRA FRANÇA")</f>
        <v>VANESSA VIEIRA FRANÇA</v>
      </c>
      <c r="B1300" s="11"/>
      <c r="C1300" s="11"/>
      <c r="D1300" s="11" t="str">
        <f>IFERROR(__xludf.DUMMYFUNCTION("""COMPUTED_VALUE"""),"ENFERMEIRO 30H - PLANTONISTA")</f>
        <v>ENFERMEIRO 30H - PLANTONISTA</v>
      </c>
      <c r="E1300" s="11"/>
      <c r="F1300" s="11" t="str">
        <f>IFERROR(__xludf.DUMMYFUNCTION("""COMPUTED_VALUE"""),"")</f>
        <v/>
      </c>
      <c r="G1300" s="11" t="str">
        <f>IFERROR(__xludf.DUMMYFUNCTION("""COMPUTED_VALUE"""),"")</f>
        <v/>
      </c>
      <c r="H1300" s="11"/>
      <c r="I1300" s="11"/>
      <c r="J1300" s="11"/>
      <c r="K1300" s="11"/>
      <c r="L1300" s="11"/>
      <c r="M1300" s="11"/>
      <c r="N1300" s="11"/>
      <c r="O1300" s="11"/>
      <c r="P1300" s="11"/>
      <c r="Q1300" s="11"/>
      <c r="R1300" s="11"/>
      <c r="S1300" s="11"/>
      <c r="T1300" s="11"/>
      <c r="U1300" s="11"/>
      <c r="V1300" s="11"/>
      <c r="W1300" s="11"/>
      <c r="X1300" s="11"/>
      <c r="Y1300" s="11"/>
      <c r="Z1300" s="11"/>
    </row>
    <row r="1301" customHeight="1" spans="1:26">
      <c r="A1301" s="11" t="str">
        <f>IFERROR(__xludf.DUMMYFUNCTION("""COMPUTED_VALUE"""),"FRANCISCA EDNA DO NASCIMENTO")</f>
        <v>FRANCISCA EDNA DO NASCIMENTO</v>
      </c>
      <c r="B1301" s="11"/>
      <c r="C1301" s="11"/>
      <c r="D1301" s="11" t="str">
        <f>IFERROR(__xludf.DUMMYFUNCTION("""COMPUTED_VALUE"""),"ENFERMEIRO 30H")</f>
        <v>ENFERMEIRO 30H</v>
      </c>
      <c r="E1301" s="11"/>
      <c r="F1301" s="11" t="str">
        <f>IFERROR(__xludf.DUMMYFUNCTION("""COMPUTED_VALUE"""),"LICENÇA SEM VENCIMENTOS")</f>
        <v>LICENÇA SEM VENCIMENTOS</v>
      </c>
      <c r="G1301" s="11" t="str">
        <f>IFERROR(__xludf.DUMMYFUNCTION("""COMPUTED_VALUE"""),"LICENÇA SEM VENCIMENTOS")</f>
        <v>LICENÇA SEM VENCIMENTOS</v>
      </c>
      <c r="H1301" s="11"/>
      <c r="I1301" s="11"/>
      <c r="J1301" s="11"/>
      <c r="K1301" s="11"/>
      <c r="L1301" s="11"/>
      <c r="M1301" s="11"/>
      <c r="N1301" s="11"/>
      <c r="O1301" s="11">
        <f>IFERROR(__xludf.DUMMYFUNCTION("""COMPUTED_VALUE"""),72633140378)</f>
        <v>72633140378</v>
      </c>
      <c r="P1301" s="11"/>
      <c r="Q1301" s="11"/>
      <c r="R1301" s="11"/>
      <c r="S1301" s="11"/>
      <c r="T1301" s="11"/>
      <c r="U1301" s="11"/>
      <c r="V1301" s="11"/>
      <c r="W1301" s="11"/>
      <c r="X1301" s="11"/>
      <c r="Y1301" s="11"/>
      <c r="Z1301" s="11"/>
    </row>
    <row r="1302" customHeight="1" spans="1:26">
      <c r="A1302" s="11" t="str">
        <f>IFERROR(__xludf.DUMMYFUNCTION("""COMPUTED_VALUE"""),"VIVIANE JULIANA DA SILVA")</f>
        <v>VIVIANE JULIANA DA SILVA</v>
      </c>
      <c r="B1302" s="11"/>
      <c r="C1302" s="11"/>
      <c r="D1302" s="11" t="str">
        <f>IFERROR(__xludf.DUMMYFUNCTION("""COMPUTED_VALUE"""),"ENFERMEIRO 40H")</f>
        <v>ENFERMEIRO 40H</v>
      </c>
      <c r="E1302" s="11"/>
      <c r="F1302" s="11" t="str">
        <f>IFERROR(__xludf.DUMMYFUNCTION("""COMPUTED_VALUE"""),"")</f>
        <v/>
      </c>
      <c r="G1302" s="11" t="str">
        <f>IFERROR(__xludf.DUMMYFUNCTION("""COMPUTED_VALUE"""),"US_228 USF UPINHA DIA DES JOSE MANOEL DE FREITAS UR 4UR 5")</f>
        <v>US_228 USF UPINHA DIA DES JOSE MANOEL DE FREITAS UR 4UR 5</v>
      </c>
      <c r="H1302" s="27">
        <f>IFERROR(__xludf.DUMMYFUNCTION("""COMPUTED_VALUE"""),81985427465)</f>
        <v>81985427465</v>
      </c>
      <c r="I1302" s="11"/>
      <c r="J1302" s="11"/>
      <c r="K1302" s="24">
        <f>IFERROR(__xludf.DUMMYFUNCTION("""COMPUTED_VALUE"""),45406)</f>
        <v>45406</v>
      </c>
      <c r="L1302" s="11"/>
      <c r="M1302" s="11"/>
      <c r="N1302" s="11"/>
      <c r="O1302" s="11"/>
      <c r="P1302" s="11"/>
      <c r="Q1302" s="11"/>
      <c r="R1302" s="11"/>
      <c r="S1302" s="11"/>
      <c r="T1302" s="11"/>
      <c r="U1302" s="11"/>
      <c r="V1302" s="11"/>
      <c r="W1302" s="11"/>
      <c r="X1302" s="11"/>
      <c r="Y1302" s="11"/>
      <c r="Z1302" s="11"/>
    </row>
    <row r="1303" customHeight="1" spans="1:26">
      <c r="A1303" s="11" t="str">
        <f>IFERROR(__xludf.DUMMYFUNCTION("""COMPUTED_VALUE"""),"CECILIA JESSICA A DA SILVA")</f>
        <v>CECILIA JESSICA A DA SILVA</v>
      </c>
      <c r="B1303" s="11"/>
      <c r="C1303" s="11"/>
      <c r="D1303" s="11" t="str">
        <f>IFERROR(__xludf.DUMMYFUNCTION("""COMPUTED_VALUE"""),"ENFERMEIRO 40H")</f>
        <v>ENFERMEIRO 40H</v>
      </c>
      <c r="E1303" s="11"/>
      <c r="F1303" s="11" t="str">
        <f>IFERROR(__xludf.DUMMYFUNCTION("""COMPUTED_VALUE"""),"US_228 USF UPINHA DIA DES JOSE MANOEL DE FREITAS UR 4UR 5")</f>
        <v>US_228 USF UPINHA DIA DES JOSE MANOEL DE FREITAS UR 4UR 5</v>
      </c>
      <c r="G1303" s="11" t="str">
        <f>IFERROR(__xludf.DUMMYFUNCTION("""COMPUTED_VALUE"""),"US_228 USF UPINHA DIA DES JOSE MANOEL DE FREITAS UR 4UR 5")</f>
        <v>US_228 USF UPINHA DIA DES JOSE MANOEL DE FREITAS UR 4UR 5</v>
      </c>
      <c r="H1303" s="11"/>
      <c r="I1303" s="11"/>
      <c r="J1303" s="11"/>
      <c r="K1303" s="11"/>
      <c r="L1303" s="11"/>
      <c r="M1303" s="11"/>
      <c r="N1303" s="11"/>
      <c r="O1303" s="11">
        <f>IFERROR(__xludf.DUMMYFUNCTION("""COMPUTED_VALUE"""),8605894474)</f>
        <v>8605894474</v>
      </c>
      <c r="P1303" s="11"/>
      <c r="Q1303" s="11"/>
      <c r="R1303" s="11"/>
      <c r="S1303" s="11"/>
      <c r="T1303" s="11"/>
      <c r="U1303" s="11"/>
      <c r="V1303" s="11"/>
      <c r="W1303" s="11"/>
      <c r="X1303" s="11"/>
      <c r="Y1303" s="11"/>
      <c r="Z1303" s="11"/>
    </row>
    <row r="1304" customHeight="1" spans="1:26">
      <c r="A1304" s="11" t="str">
        <f>IFERROR(__xludf.DUMMYFUNCTION("""COMPUTED_VALUE"""),"PATRICIA PEREIRA VASCONCELOS")</f>
        <v>PATRICIA PEREIRA VASCONCELOS</v>
      </c>
      <c r="B1304" s="11"/>
      <c r="C1304" s="11"/>
      <c r="D1304" s="11" t="str">
        <f>IFERROR(__xludf.DUMMYFUNCTION("""COMPUTED_VALUE"""),"ENFERMEIRO 40H")</f>
        <v>ENFERMEIRO 40H</v>
      </c>
      <c r="E1304" s="11"/>
      <c r="F1304" s="11" t="str">
        <f>IFERROR(__xludf.DUMMYFUNCTION("""COMPUTED_VALUE"""),"US_117 CS GASPAR REGUEIRA COSTA")</f>
        <v>US_117 CS GASPAR REGUEIRA COSTA</v>
      </c>
      <c r="G1304" s="11" t="str">
        <f>IFERROR(__xludf.DUMMYFUNCTION("""COMPUTED_VALUE"""),"US_117 CS GASPAR REGUEIRA COSTA")</f>
        <v>US_117 CS GASPAR REGUEIRA COSTA</v>
      </c>
      <c r="H1304" s="11"/>
      <c r="I1304" s="11"/>
      <c r="J1304" s="11"/>
      <c r="K1304" s="11"/>
      <c r="L1304" s="11"/>
      <c r="M1304" s="11"/>
      <c r="N1304" s="11"/>
      <c r="O1304" s="11">
        <f>IFERROR(__xludf.DUMMYFUNCTION("""COMPUTED_VALUE"""),10408387408)</f>
        <v>10408387408</v>
      </c>
      <c r="P1304" s="11"/>
      <c r="Q1304" s="11"/>
      <c r="R1304" s="11"/>
      <c r="S1304" s="11"/>
      <c r="T1304" s="11"/>
      <c r="U1304" s="11"/>
      <c r="V1304" s="11"/>
      <c r="W1304" s="11"/>
      <c r="X1304" s="11"/>
      <c r="Y1304" s="11"/>
      <c r="Z1304" s="11"/>
    </row>
    <row r="1305" customHeight="1" spans="1:26">
      <c r="A1305" s="11" t="str">
        <f>IFERROR(__xludf.DUMMYFUNCTION("""COMPUTED_VALUE"""),"LIANDRA R PINHO DA C COUTINHO")</f>
        <v>LIANDRA R PINHO DA C COUTINHO</v>
      </c>
      <c r="B1305" s="11"/>
      <c r="C1305" s="11"/>
      <c r="D1305" s="11" t="str">
        <f>IFERROR(__xludf.DUMMYFUNCTION("""COMPUTED_VALUE"""),"ENFERMEIRO 40H")</f>
        <v>ENFERMEIRO 40H</v>
      </c>
      <c r="E1305" s="11"/>
      <c r="F1305" s="11" t="str">
        <f>IFERROR(__xludf.DUMMYFUNCTION("""COMPUTED_VALUE"""),"US_400 USF UPINHA DIA DOM HELDER")</f>
        <v>US_400 USF UPINHA DIA DOM HELDER</v>
      </c>
      <c r="G1305" s="11" t="str">
        <f>IFERROR(__xludf.DUMMYFUNCTION("""COMPUTED_VALUE"""),"US_400 USF UPINHA DIA DOM HELDER")</f>
        <v>US_400 USF UPINHA DIA DOM HELDER</v>
      </c>
      <c r="H1305" s="11"/>
      <c r="I1305" s="11"/>
      <c r="J1305" s="11"/>
      <c r="K1305" s="11"/>
      <c r="L1305" s="11"/>
      <c r="M1305" s="11"/>
      <c r="N1305" s="11"/>
      <c r="O1305" s="11">
        <f>IFERROR(__xludf.DUMMYFUNCTION("""COMPUTED_VALUE"""),9718954490)</f>
        <v>9718954490</v>
      </c>
      <c r="P1305" s="11"/>
      <c r="Q1305" s="11"/>
      <c r="R1305" s="11"/>
      <c r="S1305" s="11"/>
      <c r="T1305" s="11"/>
      <c r="U1305" s="11"/>
      <c r="V1305" s="11"/>
      <c r="W1305" s="11"/>
      <c r="X1305" s="11"/>
      <c r="Y1305" s="11"/>
      <c r="Z1305" s="11"/>
    </row>
    <row r="1306" customHeight="1" spans="1:26">
      <c r="A1306" s="11" t="str">
        <f>IFERROR(__xludf.DUMMYFUNCTION("""COMPUTED_VALUE"""),"KADJA DE FATIMA P F DA SILVA")</f>
        <v>KADJA DE FATIMA P F DA SILVA</v>
      </c>
      <c r="B1306" s="11"/>
      <c r="C1306" s="11"/>
      <c r="D1306" s="11" t="str">
        <f>IFERROR(__xludf.DUMMYFUNCTION("""COMPUTED_VALUE"""),"ENFERMEIRO 40H")</f>
        <v>ENFERMEIRO 40H</v>
      </c>
      <c r="E1306" s="11"/>
      <c r="F1306" s="11" t="str">
        <f>IFERROR(__xludf.DUMMYFUNCTION("""COMPUTED_VALUE"""),"US_397 USF UPINHA DIA ACS MARIA RITA DA SILVA /CORREGO DO EUCLIDES")</f>
        <v>US_397 USF UPINHA DIA ACS MARIA RITA DA SILVA /CORREGO DO EUCLIDES</v>
      </c>
      <c r="G1306" s="11" t="str">
        <f>IFERROR(__xludf.DUMMYFUNCTION("""COMPUTED_VALUE"""),"US_397 USF UPINHA DIA ACS MARIA RITA DA SILVA /CORREGO DO EUCLIDES")</f>
        <v>US_397 USF UPINHA DIA ACS MARIA RITA DA SILVA /CORREGO DO EUCLIDES</v>
      </c>
      <c r="H1306" s="11"/>
      <c r="I1306" s="11"/>
      <c r="J1306" s="11"/>
      <c r="K1306" s="11"/>
      <c r="L1306" s="11"/>
      <c r="M1306" s="11"/>
      <c r="N1306" s="11"/>
      <c r="O1306" s="11">
        <f>IFERROR(__xludf.DUMMYFUNCTION("""COMPUTED_VALUE"""),9068705423)</f>
        <v>9068705423</v>
      </c>
      <c r="P1306" s="11"/>
      <c r="Q1306" s="11"/>
      <c r="R1306" s="11"/>
      <c r="S1306" s="11"/>
      <c r="T1306" s="11"/>
      <c r="U1306" s="11"/>
      <c r="V1306" s="11"/>
      <c r="W1306" s="11"/>
      <c r="X1306" s="11"/>
      <c r="Y1306" s="11"/>
      <c r="Z1306" s="11"/>
    </row>
    <row r="1307" customHeight="1" spans="1:26">
      <c r="A1307" s="11" t="str">
        <f>IFERROR(__xludf.DUMMYFUNCTION("""COMPUTED_VALUE"""),"IARA FARIAS SANTANA")</f>
        <v>IARA FARIAS SANTANA</v>
      </c>
      <c r="B1307" s="11"/>
      <c r="C1307" s="11"/>
      <c r="D1307" s="11" t="str">
        <f>IFERROR(__xludf.DUMMYFUNCTION("""COMPUTED_VALUE"""),"ENFERMEIRO 40H")</f>
        <v>ENFERMEIRO 40H</v>
      </c>
      <c r="E1307" s="11"/>
      <c r="F1307" s="11" t="str">
        <f>IFERROR(__xludf.DUMMYFUNCTION("""COMPUTED_VALUE"""),"US_263 CAPS JOSE CARLOS SOUTO")</f>
        <v>US_263 CAPS JOSE CARLOS SOUTO</v>
      </c>
      <c r="G1307" s="11" t="str">
        <f>IFERROR(__xludf.DUMMYFUNCTION("""COMPUTED_VALUE"""),"US_263 CAPS JOSE CARLOS SOUTO")</f>
        <v>US_263 CAPS JOSE CARLOS SOUTO</v>
      </c>
      <c r="H1307" s="11"/>
      <c r="I1307" s="11"/>
      <c r="J1307" s="11"/>
      <c r="K1307" s="11"/>
      <c r="L1307" s="11"/>
      <c r="M1307" s="11"/>
      <c r="N1307" s="11"/>
      <c r="O1307" s="11">
        <f>IFERROR(__xludf.DUMMYFUNCTION("""COMPUTED_VALUE"""),1692846388)</f>
        <v>1692846388</v>
      </c>
      <c r="P1307" s="11"/>
      <c r="Q1307" s="11"/>
      <c r="R1307" s="11"/>
      <c r="S1307" s="11"/>
      <c r="T1307" s="11"/>
      <c r="U1307" s="11"/>
      <c r="V1307" s="11"/>
      <c r="W1307" s="11"/>
      <c r="X1307" s="11"/>
      <c r="Y1307" s="11"/>
      <c r="Z1307" s="11"/>
    </row>
    <row r="1308" customHeight="1" spans="1:26">
      <c r="A1308" s="11" t="str">
        <f>IFERROR(__xludf.DUMMYFUNCTION("""COMPUTED_VALUE"""),"EDVANIA JERONIMO DOS SANTOS")</f>
        <v>EDVANIA JERONIMO DOS SANTOS</v>
      </c>
      <c r="B1308" s="11"/>
      <c r="C1308" s="11"/>
      <c r="D1308" s="11" t="str">
        <f>IFERROR(__xludf.DUMMYFUNCTION("""COMPUTED_VALUE"""),"ENFERMEIRO 40H")</f>
        <v>ENFERMEIRO 40H</v>
      </c>
      <c r="E1308" s="11"/>
      <c r="F1308" s="11" t="str">
        <f>IFERROR(__xludf.DUMMYFUNCTION("""COMPUTED_VALUE"""),"US_442 USF UPINHA DIA SANTA LUZIA EMOCY KRAUSE")</f>
        <v>US_442 USF UPINHA DIA SANTA LUZIA EMOCY KRAUSE</v>
      </c>
      <c r="G1308" s="11" t="str">
        <f>IFERROR(__xludf.DUMMYFUNCTION("""COMPUTED_VALUE"""),"US_442 USF UPINHA DIA SANTA LUZIA EMOCY KRAUSE")</f>
        <v>US_442 USF UPINHA DIA SANTA LUZIA EMOCY KRAUSE</v>
      </c>
      <c r="H1308" s="11"/>
      <c r="I1308" s="11"/>
      <c r="J1308" s="11"/>
      <c r="K1308" s="11"/>
      <c r="L1308" s="11"/>
      <c r="M1308" s="11"/>
      <c r="N1308" s="11"/>
      <c r="O1308" s="11">
        <f>IFERROR(__xludf.DUMMYFUNCTION("""COMPUTED_VALUE"""),3276437490)</f>
        <v>3276437490</v>
      </c>
      <c r="P1308" s="11"/>
      <c r="Q1308" s="11"/>
      <c r="R1308" s="11"/>
      <c r="S1308" s="11"/>
      <c r="T1308" s="11"/>
      <c r="U1308" s="11"/>
      <c r="V1308" s="11"/>
      <c r="W1308" s="11"/>
      <c r="X1308" s="11"/>
      <c r="Y1308" s="11"/>
      <c r="Z1308" s="11"/>
    </row>
    <row r="1309" customHeight="1" spans="1:26">
      <c r="A1309" s="11" t="str">
        <f>IFERROR(__xludf.DUMMYFUNCTION("""COMPUTED_VALUE"""),"JESSICA FERREIRA DE M PEREIRA")</f>
        <v>JESSICA FERREIRA DE M PEREIRA</v>
      </c>
      <c r="B1309" s="11"/>
      <c r="C1309" s="11"/>
      <c r="D1309" s="11" t="str">
        <f>IFERROR(__xludf.DUMMYFUNCTION("""COMPUTED_VALUE"""),"ENFERMEIRO 40H")</f>
        <v>ENFERMEIRO 40H</v>
      </c>
      <c r="E1309" s="11"/>
      <c r="F1309" s="11" t="str">
        <f>IFERROR(__xludf.DUMMYFUNCTION("""COMPUTED_VALUE"""),"US_352 USF UPINHA 24H DR HELIO MENDONCA COR DO JENIPAPO")</f>
        <v>US_352 USF UPINHA 24H DR HELIO MENDONCA COR DO JENIPAPO</v>
      </c>
      <c r="G1309" s="11" t="str">
        <f>IFERROR(__xludf.DUMMYFUNCTION("""COMPUTED_VALUE"""),"US_352 USF UPINHA 24H DR HELIO MENDONCA COR DO JENIPAPO")</f>
        <v>US_352 USF UPINHA 24H DR HELIO MENDONCA COR DO JENIPAPO</v>
      </c>
      <c r="H1309" s="11"/>
      <c r="I1309" s="11"/>
      <c r="J1309" s="11"/>
      <c r="K1309" s="11"/>
      <c r="L1309" s="11"/>
      <c r="M1309" s="11"/>
      <c r="N1309" s="11"/>
      <c r="O1309" s="11">
        <f>IFERROR(__xludf.DUMMYFUNCTION("""COMPUTED_VALUE"""),9662732497)</f>
        <v>9662732497</v>
      </c>
      <c r="P1309" s="11"/>
      <c r="Q1309" s="11"/>
      <c r="R1309" s="11"/>
      <c r="S1309" s="11"/>
      <c r="T1309" s="11"/>
      <c r="U1309" s="11"/>
      <c r="V1309" s="11"/>
      <c r="W1309" s="11"/>
      <c r="X1309" s="11"/>
      <c r="Y1309" s="11"/>
      <c r="Z1309" s="11"/>
    </row>
    <row r="1310" customHeight="1" spans="1:26">
      <c r="A1310" s="11" t="str">
        <f>IFERROR(__xludf.DUMMYFUNCTION("""COMPUTED_VALUE"""),"FERNANDA DE MEDEIROS LEONIDAS")</f>
        <v>FERNANDA DE MEDEIROS LEONIDAS</v>
      </c>
      <c r="B1310" s="11"/>
      <c r="C1310" s="11"/>
      <c r="D1310" s="11" t="str">
        <f>IFERROR(__xludf.DUMMYFUNCTION("""COMPUTED_VALUE"""),"ENFERMEIRO 40H")</f>
        <v>ENFERMEIRO 40H</v>
      </c>
      <c r="E1310" s="11"/>
      <c r="F1310" s="11" t="str">
        <f>IFERROR(__xludf.DUMMYFUNCTION("""COMPUTED_VALUE"""),"US_152 CS INA ROSA BORGES")</f>
        <v>US_152 CS INA ROSA BORGES</v>
      </c>
      <c r="G1310" s="11" t="str">
        <f>IFERROR(__xludf.DUMMYFUNCTION("""COMPUTED_VALUE"""),"US_152 CS INA ROSA BORGES")</f>
        <v>US_152 CS INA ROSA BORGES</v>
      </c>
      <c r="H1310" s="11"/>
      <c r="I1310" s="11"/>
      <c r="J1310" s="11"/>
      <c r="K1310" s="11"/>
      <c r="L1310" s="11"/>
      <c r="M1310" s="11"/>
      <c r="N1310" s="11"/>
      <c r="O1310" s="11">
        <f>IFERROR(__xludf.DUMMYFUNCTION("""COMPUTED_VALUE"""),7961865454)</f>
        <v>7961865454</v>
      </c>
      <c r="P1310" s="11"/>
      <c r="Q1310" s="11"/>
      <c r="R1310" s="11"/>
      <c r="S1310" s="11"/>
      <c r="T1310" s="11"/>
      <c r="U1310" s="11"/>
      <c r="V1310" s="11"/>
      <c r="W1310" s="11"/>
      <c r="X1310" s="11"/>
      <c r="Y1310" s="11"/>
      <c r="Z1310" s="11"/>
    </row>
    <row r="1311" customHeight="1" spans="1:26">
      <c r="A1311" s="11" t="str">
        <f>IFERROR(__xludf.DUMMYFUNCTION("""COMPUTED_VALUE"""),"POLIANA GERMANO BEZERRA DE SÁ SIQUEIRA")</f>
        <v>POLIANA GERMANO BEZERRA DE SÁ SIQUEIRA</v>
      </c>
      <c r="B1311" s="11"/>
      <c r="C1311" s="11"/>
      <c r="D1311" s="11" t="str">
        <f>IFERROR(__xludf.DUMMYFUNCTION("""COMPUTED_VALUE"""),"ENFERMEIRO 40H")</f>
        <v>ENFERMEIRO 40H</v>
      </c>
      <c r="E1311" s="11"/>
      <c r="F1311" s="11" t="str">
        <f>IFERROR(__xludf.DUMMYFUNCTION("""COMPUTED_VALUE"""),"")</f>
        <v/>
      </c>
      <c r="G1311" s="11" t="str">
        <f>IFERROR(__xludf.DUMMYFUNCTION("""COMPUTED_VALUE"""),"")</f>
        <v/>
      </c>
      <c r="H1311" s="11"/>
      <c r="I1311" s="11"/>
      <c r="J1311" s="11"/>
      <c r="K1311" s="11"/>
      <c r="L1311" s="11"/>
      <c r="M1311" s="11"/>
      <c r="N1311" s="11"/>
      <c r="O1311" s="11"/>
      <c r="P1311" s="11"/>
      <c r="Q1311" s="11"/>
      <c r="R1311" s="11"/>
      <c r="S1311" s="11"/>
      <c r="T1311" s="11"/>
      <c r="U1311" s="11"/>
      <c r="V1311" s="11"/>
      <c r="W1311" s="11"/>
      <c r="X1311" s="11"/>
      <c r="Y1311" s="11"/>
      <c r="Z1311" s="11"/>
    </row>
    <row r="1312" customHeight="1" spans="1:26">
      <c r="A1312" s="11" t="str">
        <f>IFERROR(__xludf.DUMMYFUNCTION("""COMPUTED_VALUE"""),"ANGELA MARIA OLEGARIO")</f>
        <v>ANGELA MARIA OLEGARIO</v>
      </c>
      <c r="B1312" s="11"/>
      <c r="C1312" s="11"/>
      <c r="D1312" s="11" t="str">
        <f>IFERROR(__xludf.DUMMYFUNCTION("""COMPUTED_VALUE"""),"ENFERMEIRO 30H")</f>
        <v>ENFERMEIRO 30H</v>
      </c>
      <c r="E1312" s="11"/>
      <c r="F1312" s="11" t="str">
        <f>IFERROR(__xludf.DUMMYFUNCTION("""COMPUTED_VALUE"""),"PACS CLEMENTINO FRAGA")</f>
        <v>PACS CLEMENTINO FRAGA</v>
      </c>
      <c r="G1312" s="11" t="str">
        <f>IFERROR(__xludf.DUMMYFUNCTION("""COMPUTED_VALUE"""),"PACS CLEMENTINO FRAGA")</f>
        <v>PACS CLEMENTINO FRAGA</v>
      </c>
      <c r="H1312" s="11"/>
      <c r="I1312" s="11"/>
      <c r="J1312" s="11"/>
      <c r="K1312" s="11"/>
      <c r="L1312" s="11"/>
      <c r="M1312" s="11"/>
      <c r="N1312" s="11"/>
      <c r="O1312" s="11">
        <f>IFERROR(__xludf.DUMMYFUNCTION("""COMPUTED_VALUE"""),13970763568)</f>
        <v>13970763568</v>
      </c>
      <c r="P1312" s="11"/>
      <c r="Q1312" s="11"/>
      <c r="R1312" s="11"/>
      <c r="S1312" s="11"/>
      <c r="T1312" s="11"/>
      <c r="U1312" s="11"/>
      <c r="V1312" s="11"/>
      <c r="W1312" s="11"/>
      <c r="X1312" s="11"/>
      <c r="Y1312" s="11"/>
      <c r="Z1312" s="11"/>
    </row>
    <row r="1313" customHeight="1" spans="1:26">
      <c r="A1313" s="11" t="str">
        <f>IFERROR(__xludf.DUMMYFUNCTION("""COMPUTED_VALUE"""),"CASSIA DE FATIMA DE OLIVEIRA")</f>
        <v>CASSIA DE FATIMA DE OLIVEIRA</v>
      </c>
      <c r="B1313" s="11"/>
      <c r="C1313" s="11"/>
      <c r="D1313" s="11" t="str">
        <f>IFERROR(__xludf.DUMMYFUNCTION("""COMPUTED_VALUE"""),"ENFERMEIRO 40H")</f>
        <v>ENFERMEIRO 40H</v>
      </c>
      <c r="E1313" s="11"/>
      <c r="F1313" s="11" t="str">
        <f>IFERROR(__xludf.DUMMYFUNCTION("""COMPUTED_VALUE"""),"PACS UR 01")</f>
        <v>PACS UR 01</v>
      </c>
      <c r="G1313" s="11" t="str">
        <f>IFERROR(__xludf.DUMMYFUNCTION("""COMPUTED_VALUE"""),"PACS UR 01")</f>
        <v>PACS UR 01</v>
      </c>
      <c r="H1313" s="11"/>
      <c r="I1313" s="11"/>
      <c r="J1313" s="11"/>
      <c r="K1313" s="11"/>
      <c r="L1313" s="11"/>
      <c r="M1313" s="11"/>
      <c r="N1313" s="11"/>
      <c r="O1313" s="11">
        <f>IFERROR(__xludf.DUMMYFUNCTION("""COMPUTED_VALUE"""),3177752435)</f>
        <v>3177752435</v>
      </c>
      <c r="P1313" s="11"/>
      <c r="Q1313" s="11"/>
      <c r="R1313" s="11"/>
      <c r="S1313" s="11"/>
      <c r="T1313" s="11"/>
      <c r="U1313" s="11"/>
      <c r="V1313" s="11"/>
      <c r="W1313" s="11"/>
      <c r="X1313" s="11"/>
      <c r="Y1313" s="11"/>
      <c r="Z1313" s="11"/>
    </row>
    <row r="1314" customHeight="1" spans="1:26">
      <c r="A1314" s="11" t="str">
        <f>IFERROR(__xludf.DUMMYFUNCTION("""COMPUTED_VALUE"""),"CRISTIANE A R DE ALBUQUERQUE")</f>
        <v>CRISTIANE A R DE ALBUQUERQUE</v>
      </c>
      <c r="B1314" s="11"/>
      <c r="C1314" s="11"/>
      <c r="D1314" s="11" t="str">
        <f>IFERROR(__xludf.DUMMYFUNCTION("""COMPUTED_VALUE"""),"ENFERMEIRO 30H")</f>
        <v>ENFERMEIRO 30H</v>
      </c>
      <c r="E1314" s="11"/>
      <c r="F1314" s="34" t="str">
        <f>IFERROR(__xludf.DUMMYFUNCTION("""COMPUTED_VALUE"""),"PACS 5.3")</f>
        <v>PACS 5.3</v>
      </c>
      <c r="G1314" s="11" t="str">
        <f>IFERROR(__xludf.DUMMYFUNCTION("""COMPUTED_VALUE"""),"PACS 5.3")</f>
        <v>PACS 5.3</v>
      </c>
      <c r="H1314" s="11"/>
      <c r="I1314" s="11"/>
      <c r="J1314" s="11"/>
      <c r="K1314" s="11"/>
      <c r="L1314" s="11"/>
      <c r="M1314" s="11"/>
      <c r="N1314" s="11"/>
      <c r="O1314" s="11">
        <f>IFERROR(__xludf.DUMMYFUNCTION("""COMPUTED_VALUE"""),61135003491)</f>
        <v>61135003491</v>
      </c>
      <c r="P1314" s="11"/>
      <c r="Q1314" s="11"/>
      <c r="R1314" s="11"/>
      <c r="S1314" s="11"/>
      <c r="T1314" s="11"/>
      <c r="U1314" s="11"/>
      <c r="V1314" s="11"/>
      <c r="W1314" s="11"/>
      <c r="X1314" s="11"/>
      <c r="Y1314" s="11"/>
      <c r="Z1314" s="11"/>
    </row>
    <row r="1315" customHeight="1" spans="1:26">
      <c r="A1315" s="11" t="str">
        <f>IFERROR(__xludf.DUMMYFUNCTION("""COMPUTED_VALUE"""),"KASSIA KATARINE DE LIMA GOMES")</f>
        <v>KASSIA KATARINE DE LIMA GOMES</v>
      </c>
      <c r="B1315" s="11"/>
      <c r="C1315" s="11"/>
      <c r="D1315" s="11" t="str">
        <f>IFERROR(__xludf.DUMMYFUNCTION("""COMPUTED_VALUE"""),"ENFERMEIRO 40H - USF")</f>
        <v>ENFERMEIRO 40H - USF</v>
      </c>
      <c r="E1315" s="11"/>
      <c r="F1315" s="11" t="str">
        <f>IFERROR(__xludf.DUMMYFUNCTION("""COMPUTED_VALUE"""),"PACS PROF. BRUNO MAIA")</f>
        <v>PACS PROF. BRUNO MAIA</v>
      </c>
      <c r="G1315" s="11" t="str">
        <f>IFERROR(__xludf.DUMMYFUNCTION("""COMPUTED_VALUE"""),"PACS PROF. BRUNO MAIA")</f>
        <v>PACS PROF. BRUNO MAIA</v>
      </c>
      <c r="H1315" s="11"/>
      <c r="I1315" s="11"/>
      <c r="J1315" s="11"/>
      <c r="K1315" s="11"/>
      <c r="L1315" s="11"/>
      <c r="M1315" s="11"/>
      <c r="N1315" s="11"/>
      <c r="O1315" s="11">
        <f>IFERROR(__xludf.DUMMYFUNCTION("""COMPUTED_VALUE"""),7388486461)</f>
        <v>7388486461</v>
      </c>
      <c r="P1315" s="11"/>
      <c r="Q1315" s="11"/>
      <c r="R1315" s="11"/>
      <c r="S1315" s="11"/>
      <c r="T1315" s="11"/>
      <c r="U1315" s="11"/>
      <c r="V1315" s="11"/>
      <c r="W1315" s="11"/>
      <c r="X1315" s="11"/>
      <c r="Y1315" s="11"/>
      <c r="Z1315" s="11"/>
    </row>
    <row r="1316" customHeight="1" spans="1:26">
      <c r="A1316" s="11" t="str">
        <f>IFERROR(__xludf.DUMMYFUNCTION("""COMPUTED_VALUE"""),"ANNE EVELYN GOMES SERRA")</f>
        <v>ANNE EVELYN GOMES SERRA</v>
      </c>
      <c r="B1316" s="11"/>
      <c r="C1316" s="11"/>
      <c r="D1316" s="11" t="str">
        <f>IFERROR(__xludf.DUMMYFUNCTION("""COMPUTED_VALUE"""),"ENFERMEIRO 40H - USF")</f>
        <v>ENFERMEIRO 40H - USF</v>
      </c>
      <c r="E1316" s="11"/>
      <c r="F1316" s="11" t="str">
        <f>IFERROR(__xludf.DUMMYFUNCTION("""COMPUTED_VALUE"""),"PACS PINA I")</f>
        <v>PACS PINA I</v>
      </c>
      <c r="G1316" s="11" t="str">
        <f>IFERROR(__xludf.DUMMYFUNCTION("""COMPUTED_VALUE"""),"PACS PINA I")</f>
        <v>PACS PINA I</v>
      </c>
      <c r="H1316" s="27">
        <f>IFERROR(__xludf.DUMMYFUNCTION("""COMPUTED_VALUE"""),81996364956)</f>
        <v>81996364956</v>
      </c>
      <c r="I1316" s="11"/>
      <c r="J1316" s="11"/>
      <c r="K1316" s="11"/>
      <c r="L1316" s="11"/>
      <c r="M1316" s="11"/>
      <c r="N1316" s="11"/>
      <c r="O1316" s="11">
        <f>IFERROR(__xludf.DUMMYFUNCTION("""COMPUTED_VALUE"""),1391265386)</f>
        <v>1391265386</v>
      </c>
      <c r="P1316" s="11"/>
      <c r="Q1316" s="11"/>
      <c r="R1316" s="11"/>
      <c r="S1316" s="11"/>
      <c r="T1316" s="11"/>
      <c r="U1316" s="11"/>
      <c r="V1316" s="11"/>
      <c r="W1316" s="11"/>
      <c r="X1316" s="11"/>
      <c r="Y1316" s="11"/>
      <c r="Z1316" s="11"/>
    </row>
    <row r="1317" customHeight="1" spans="1:26">
      <c r="A1317" s="11" t="str">
        <f>IFERROR(__xludf.DUMMYFUNCTION("""COMPUTED_VALUE"""),"JULIANA RIBEIRO DA SILVA")</f>
        <v>JULIANA RIBEIRO DA SILVA</v>
      </c>
      <c r="B1317" s="11"/>
      <c r="C1317" s="11"/>
      <c r="D1317" s="11" t="str">
        <f>IFERROR(__xludf.DUMMYFUNCTION("""COMPUTED_VALUE"""),"ENFERMEIRO 40H - USF")</f>
        <v>ENFERMEIRO 40H - USF</v>
      </c>
      <c r="E1317" s="11"/>
      <c r="F1317" s="11" t="str">
        <f>IFERROR(__xludf.DUMMYFUNCTION("""COMPUTED_VALUE"""),"PACS CLEMENTINO FRAGA")</f>
        <v>PACS CLEMENTINO FRAGA</v>
      </c>
      <c r="G1317" s="11" t="str">
        <f>IFERROR(__xludf.DUMMYFUNCTION("""COMPUTED_VALUE"""),"PACS CLEMENTINO FRAGA")</f>
        <v>PACS CLEMENTINO FRAGA</v>
      </c>
      <c r="H1317" s="27">
        <f>IFERROR(__xludf.DUMMYFUNCTION("""COMPUTED_VALUE"""),81985475356)</f>
        <v>81985475356</v>
      </c>
      <c r="I1317" s="27">
        <f>IFERROR(__xludf.DUMMYFUNCTION("""COMPUTED_VALUE"""),8194696796)</f>
        <v>8194696796</v>
      </c>
      <c r="J1317" s="11"/>
      <c r="K1317" s="33">
        <f>IFERROR(__xludf.DUMMYFUNCTION("""COMPUTED_VALUE"""),45229)</f>
        <v>45229</v>
      </c>
      <c r="L1317" s="11"/>
      <c r="M1317" s="11"/>
      <c r="N1317" s="11"/>
      <c r="O1317" s="11">
        <f>IFERROR(__xludf.DUMMYFUNCTION("""COMPUTED_VALUE"""),3569309479)</f>
        <v>3569309479</v>
      </c>
      <c r="P1317" s="11"/>
      <c r="Q1317" s="11"/>
      <c r="R1317" s="11"/>
      <c r="S1317" s="11"/>
      <c r="T1317" s="11"/>
      <c r="U1317" s="11"/>
      <c r="V1317" s="11"/>
      <c r="W1317" s="11"/>
      <c r="X1317" s="11"/>
      <c r="Y1317" s="11"/>
      <c r="Z1317" s="11"/>
    </row>
    <row r="1318" customHeight="1" spans="1:26">
      <c r="A1318" s="11" t="str">
        <f>IFERROR(__xludf.DUMMYFUNCTION("""COMPUTED_VALUE"""),"PAMELLA THAYRYNNE O L DE SOUZA")</f>
        <v>PAMELLA THAYRYNNE O L DE SOUZA</v>
      </c>
      <c r="B1318" s="11"/>
      <c r="C1318" s="11"/>
      <c r="D1318" s="11" t="str">
        <f>IFERROR(__xludf.DUMMYFUNCTION("""COMPUTED_VALUE"""),"ENFERMEIRO 40H - USF")</f>
        <v>ENFERMEIRO 40H - USF</v>
      </c>
      <c r="E1318" s="11"/>
      <c r="F1318" s="11" t="str">
        <f>IFERROR(__xludf.DUMMYFUNCTION("""COMPUTED_VALUE"""),"PACS DOIS RIOS")</f>
        <v>PACS DOIS RIOS</v>
      </c>
      <c r="G1318" s="11" t="str">
        <f>IFERROR(__xludf.DUMMYFUNCTION("""COMPUTED_VALUE"""),"PACS DOIS RIOS")</f>
        <v>PACS DOIS RIOS</v>
      </c>
      <c r="H1318" s="11"/>
      <c r="I1318" s="11"/>
      <c r="J1318" s="11"/>
      <c r="K1318" s="11"/>
      <c r="L1318" s="11"/>
      <c r="M1318" s="11"/>
      <c r="N1318" s="11"/>
      <c r="O1318" s="11">
        <f>IFERROR(__xludf.DUMMYFUNCTION("""COMPUTED_VALUE"""),9534665401)</f>
        <v>9534665401</v>
      </c>
      <c r="P1318" s="11"/>
      <c r="Q1318" s="11"/>
      <c r="R1318" s="11"/>
      <c r="S1318" s="11"/>
      <c r="T1318" s="11"/>
      <c r="U1318" s="11"/>
      <c r="V1318" s="11"/>
      <c r="W1318" s="11"/>
      <c r="X1318" s="11"/>
      <c r="Y1318" s="11"/>
      <c r="Z1318" s="11"/>
    </row>
    <row r="1319" customHeight="1" spans="1:26">
      <c r="A1319" s="11" t="str">
        <f>IFERROR(__xludf.DUMMYFUNCTION("""COMPUTED_VALUE"""),"MICHELLINE B DAS C ALBUQUERQUE")</f>
        <v>MICHELLINE B DAS C ALBUQUERQUE</v>
      </c>
      <c r="B1319" s="11"/>
      <c r="C1319" s="11"/>
      <c r="D1319" s="11" t="str">
        <f>IFERROR(__xludf.DUMMYFUNCTION("""COMPUTED_VALUE"""),"ENFERMEIRO 40H - USF")</f>
        <v>ENFERMEIRO 40H - USF</v>
      </c>
      <c r="E1319" s="11"/>
      <c r="F1319" s="11" t="str">
        <f>IFERROR(__xludf.DUMMYFUNCTION("""COMPUTED_VALUE"""),"PACS INA ROSA BORGES")</f>
        <v>PACS INA ROSA BORGES</v>
      </c>
      <c r="G1319" s="11" t="str">
        <f>IFERROR(__xludf.DUMMYFUNCTION("""COMPUTED_VALUE"""),"PACS INA ROSA BORGES")</f>
        <v>PACS INA ROSA BORGES</v>
      </c>
      <c r="H1319" s="27">
        <f>IFERROR(__xludf.DUMMYFUNCTION("""COMPUTED_VALUE"""),81989209360)</f>
        <v>81989209360</v>
      </c>
      <c r="I1319" s="11"/>
      <c r="J1319" s="11"/>
      <c r="K1319" s="11"/>
      <c r="L1319" s="11"/>
      <c r="M1319" s="11"/>
      <c r="N1319" s="11"/>
      <c r="O1319" s="11">
        <f>IFERROR(__xludf.DUMMYFUNCTION("""COMPUTED_VALUE"""),3171041448)</f>
        <v>3171041448</v>
      </c>
      <c r="P1319" s="11"/>
      <c r="Q1319" s="11"/>
      <c r="R1319" s="11"/>
      <c r="S1319" s="11"/>
      <c r="T1319" s="11"/>
      <c r="U1319" s="11"/>
      <c r="V1319" s="11"/>
      <c r="W1319" s="11"/>
      <c r="X1319" s="11"/>
      <c r="Y1319" s="11"/>
      <c r="Z1319" s="11"/>
    </row>
    <row r="1320" customHeight="1" spans="1:26">
      <c r="A1320" s="11" t="str">
        <f>IFERROR(__xludf.DUMMYFUNCTION("""COMPUTED_VALUE"""),"ALINE ALMEIDA DANTAS")</f>
        <v>ALINE ALMEIDA DANTAS</v>
      </c>
      <c r="B1320" s="11"/>
      <c r="C1320" s="11"/>
      <c r="D1320" s="11" t="str">
        <f>IFERROR(__xludf.DUMMYFUNCTION("""COMPUTED_VALUE"""),"ENFERMEIRO 40H - USF")</f>
        <v>ENFERMEIRO 40H - USF</v>
      </c>
      <c r="E1320" s="11"/>
      <c r="F1320" s="11" t="str">
        <f>IFERROR(__xludf.DUMMYFUNCTION("""COMPUTED_VALUE"""),"PACS CAJUEIRO")</f>
        <v>PACS CAJUEIRO</v>
      </c>
      <c r="G1320" s="11" t="str">
        <f>IFERROR(__xludf.DUMMYFUNCTION("""COMPUTED_VALUE"""),"PACS CAJUEIRO")</f>
        <v>PACS CAJUEIRO</v>
      </c>
      <c r="H1320" s="11"/>
      <c r="I1320" s="11"/>
      <c r="J1320" s="11"/>
      <c r="K1320" s="11"/>
      <c r="L1320" s="11"/>
      <c r="M1320" s="11"/>
      <c r="N1320" s="11"/>
      <c r="O1320" s="11">
        <f>IFERROR(__xludf.DUMMYFUNCTION("""COMPUTED_VALUE"""),2925652590)</f>
        <v>2925652590</v>
      </c>
      <c r="P1320" s="11"/>
      <c r="Q1320" s="11"/>
      <c r="R1320" s="11"/>
      <c r="S1320" s="11"/>
      <c r="T1320" s="11"/>
      <c r="U1320" s="11"/>
      <c r="V1320" s="11"/>
      <c r="W1320" s="11"/>
      <c r="X1320" s="11"/>
      <c r="Y1320" s="11"/>
      <c r="Z1320" s="11"/>
    </row>
    <row r="1321" customHeight="1" spans="1:26">
      <c r="A1321" s="11" t="str">
        <f>IFERROR(__xludf.DUMMYFUNCTION("""COMPUTED_VALUE"""),"AMANDA JULIA MONTEIRO")</f>
        <v>AMANDA JULIA MONTEIRO</v>
      </c>
      <c r="B1321" s="11"/>
      <c r="C1321" s="11"/>
      <c r="D1321" s="11" t="str">
        <f>IFERROR(__xludf.DUMMYFUNCTION("""COMPUTED_VALUE"""),"ENFERMEIRO 40H - USF")</f>
        <v>ENFERMEIRO 40H - USF</v>
      </c>
      <c r="E1321" s="11"/>
      <c r="F1321" s="11" t="str">
        <f>IFERROR(__xludf.DUMMYFUNCTION("""COMPUTED_VALUE"""),"")</f>
        <v/>
      </c>
      <c r="G1321" s="11" t="str">
        <f>IFERROR(__xludf.DUMMYFUNCTION("""COMPUTED_VALUE"""),"")</f>
        <v/>
      </c>
      <c r="H1321" s="27">
        <f>IFERROR(__xludf.DUMMYFUNCTION("""COMPUTED_VALUE"""),82996704040)</f>
        <v>82996704040</v>
      </c>
      <c r="I1321" s="11"/>
      <c r="J1321" s="11"/>
      <c r="K1321" s="11"/>
      <c r="L1321" s="11"/>
      <c r="M1321" s="11"/>
      <c r="N1321" s="11"/>
      <c r="O1321" s="11"/>
      <c r="P1321" s="11"/>
      <c r="Q1321" s="11"/>
      <c r="R1321" s="11"/>
      <c r="S1321" s="11"/>
      <c r="T1321" s="11"/>
      <c r="U1321" s="11"/>
      <c r="V1321" s="11"/>
      <c r="W1321" s="11"/>
      <c r="X1321" s="11"/>
      <c r="Y1321" s="11"/>
      <c r="Z1321" s="11"/>
    </row>
    <row r="1322" customHeight="1" spans="1:26">
      <c r="A1322" s="11" t="str">
        <f>IFERROR(__xludf.DUMMYFUNCTION("""COMPUTED_VALUE"""),"CIRLENE GRANGEIRO M DE FARIAS")</f>
        <v>CIRLENE GRANGEIRO M DE FARIAS</v>
      </c>
      <c r="B1322" s="11"/>
      <c r="C1322" s="11"/>
      <c r="D1322" s="11" t="str">
        <f>IFERROR(__xludf.DUMMYFUNCTION("""COMPUTED_VALUE"""),"ENFERMEIRO 30H")</f>
        <v>ENFERMEIRO 30H</v>
      </c>
      <c r="E1322" s="11"/>
      <c r="F1322" s="11" t="str">
        <f>IFERROR(__xludf.DUMMYFUNCTION("""COMPUTED_VALUE"""),"US_159 POLICLINICA AGAMENON MAGALHAES")</f>
        <v>US_159 POLICLINICA AGAMENON MAGALHAES</v>
      </c>
      <c r="G1322" s="11" t="str">
        <f>IFERROR(__xludf.DUMMYFUNCTION("""COMPUTED_VALUE"""),"US_159 POLICLINICA AGAMENON MAGALHAES")</f>
        <v>US_159 POLICLINICA AGAMENON MAGALHAES</v>
      </c>
      <c r="H1322" s="11"/>
      <c r="I1322" s="11"/>
      <c r="J1322" s="11"/>
      <c r="K1322" s="11"/>
      <c r="L1322" s="11"/>
      <c r="M1322" s="11"/>
      <c r="N1322" s="11"/>
      <c r="O1322" s="11">
        <f>IFERROR(__xludf.DUMMYFUNCTION("""COMPUTED_VALUE"""),63327279420)</f>
        <v>63327279420</v>
      </c>
      <c r="P1322" s="11"/>
      <c r="Q1322" s="11"/>
      <c r="R1322" s="11"/>
      <c r="S1322" s="11"/>
      <c r="T1322" s="11"/>
      <c r="U1322" s="11"/>
      <c r="V1322" s="11"/>
      <c r="W1322" s="11"/>
      <c r="X1322" s="11"/>
      <c r="Y1322" s="11"/>
      <c r="Z1322" s="11"/>
    </row>
    <row r="1323" customHeight="1" spans="1:26">
      <c r="A1323" s="11" t="str">
        <f>IFERROR(__xludf.DUMMYFUNCTION("""COMPUTED_VALUE"""),"ESTELITA DE A PINHEIRO")</f>
        <v>ESTELITA DE A PINHEIRO</v>
      </c>
      <c r="B1323" s="11"/>
      <c r="C1323" s="11"/>
      <c r="D1323" s="11" t="str">
        <f>IFERROR(__xludf.DUMMYFUNCTION("""COMPUTED_VALUE"""),"ENFERMEIRO 30H")</f>
        <v>ENFERMEIRO 30H</v>
      </c>
      <c r="E1323" s="11"/>
      <c r="F1323" s="11" t="str">
        <f>IFERROR(__xludf.DUMMYFUNCTION("""COMPUTED_VALUE"""),"US_159 POLICLINICA AGAMENON MAGALHAES")</f>
        <v>US_159 POLICLINICA AGAMENON MAGALHAES</v>
      </c>
      <c r="G1323" s="11" t="str">
        <f>IFERROR(__xludf.DUMMYFUNCTION("""COMPUTED_VALUE"""),"US_159 POLICLINICA AGAMENON MAGALHAES")</f>
        <v>US_159 POLICLINICA AGAMENON MAGALHAES</v>
      </c>
      <c r="H1323" s="11"/>
      <c r="I1323" s="11"/>
      <c r="J1323" s="11"/>
      <c r="K1323" s="11"/>
      <c r="L1323" s="11"/>
      <c r="M1323" s="11"/>
      <c r="N1323" s="11"/>
      <c r="O1323" s="11">
        <f>IFERROR(__xludf.DUMMYFUNCTION("""COMPUTED_VALUE"""),61268089400)</f>
        <v>61268089400</v>
      </c>
      <c r="P1323" s="11"/>
      <c r="Q1323" s="11"/>
      <c r="R1323" s="11"/>
      <c r="S1323" s="11"/>
      <c r="T1323" s="11"/>
      <c r="U1323" s="11"/>
      <c r="V1323" s="11"/>
      <c r="W1323" s="11"/>
      <c r="X1323" s="11"/>
      <c r="Y1323" s="11"/>
      <c r="Z1323" s="11"/>
    </row>
    <row r="1324" customHeight="1" spans="1:26">
      <c r="A1324" s="11" t="str">
        <f>IFERROR(__xludf.DUMMYFUNCTION("""COMPUTED_VALUE"""),"FERNANDO ANTONIO W DO O")</f>
        <v>FERNANDO ANTONIO W DO O</v>
      </c>
      <c r="B1324" s="11"/>
      <c r="C1324" s="11"/>
      <c r="D1324" s="11" t="str">
        <f>IFERROR(__xludf.DUMMYFUNCTION("""COMPUTED_VALUE"""),"ENFERMEIRO 30H")</f>
        <v>ENFERMEIRO 30H</v>
      </c>
      <c r="E1324" s="11"/>
      <c r="F1324" s="11" t="str">
        <f>IFERROR(__xludf.DUMMYFUNCTION("""COMPUTED_VALUE"""),"US_169 POLICLINICA AMAURY COUTINHO")</f>
        <v>US_169 POLICLINICA AMAURY COUTINHO</v>
      </c>
      <c r="G1324" s="11" t="str">
        <f>IFERROR(__xludf.DUMMYFUNCTION("""COMPUTED_VALUE"""),"US_169 POLICLINICA AMAURY COUTINHO")</f>
        <v>US_169 POLICLINICA AMAURY COUTINHO</v>
      </c>
      <c r="H1324" s="11"/>
      <c r="I1324" s="11"/>
      <c r="J1324" s="11"/>
      <c r="K1324" s="11"/>
      <c r="L1324" s="11"/>
      <c r="M1324" s="11"/>
      <c r="N1324" s="11"/>
      <c r="O1324" s="11">
        <f>IFERROR(__xludf.DUMMYFUNCTION("""COMPUTED_VALUE"""),31946585491)</f>
        <v>31946585491</v>
      </c>
      <c r="P1324" s="11"/>
      <c r="Q1324" s="11"/>
      <c r="R1324" s="11"/>
      <c r="S1324" s="11"/>
      <c r="T1324" s="11"/>
      <c r="U1324" s="11"/>
      <c r="V1324" s="11"/>
      <c r="W1324" s="11"/>
      <c r="X1324" s="11"/>
      <c r="Y1324" s="11"/>
      <c r="Z1324" s="11"/>
    </row>
    <row r="1325" customHeight="1" spans="1:26">
      <c r="A1325" s="11" t="str">
        <f>IFERROR(__xludf.DUMMYFUNCTION("""COMPUTED_VALUE"""),"EDIENE CAVALCANTE DA SILVA")</f>
        <v>EDIENE CAVALCANTE DA SILVA</v>
      </c>
      <c r="B1325" s="11"/>
      <c r="C1325" s="11"/>
      <c r="D1325" s="11" t="str">
        <f>IFERROR(__xludf.DUMMYFUNCTION("""COMPUTED_VALUE"""),"ENFERMEIRO 30H")</f>
        <v>ENFERMEIRO 30H</v>
      </c>
      <c r="E1325" s="11"/>
      <c r="F1325" s="11" t="str">
        <f>IFERROR(__xludf.DUMMYFUNCTION("""COMPUTED_VALUE"""),"US_159 POLICLINICA AGAMENON MAGALHAES")</f>
        <v>US_159 POLICLINICA AGAMENON MAGALHAES</v>
      </c>
      <c r="G1325" s="11" t="str">
        <f>IFERROR(__xludf.DUMMYFUNCTION("""COMPUTED_VALUE"""),"US_159 POLICLINICA AGAMENON MAGALHAES")</f>
        <v>US_159 POLICLINICA AGAMENON MAGALHAES</v>
      </c>
      <c r="H1325" s="11"/>
      <c r="I1325" s="11"/>
      <c r="J1325" s="11"/>
      <c r="K1325" s="11"/>
      <c r="L1325" s="11"/>
      <c r="M1325" s="11"/>
      <c r="N1325" s="11"/>
      <c r="O1325" s="11">
        <f>IFERROR(__xludf.DUMMYFUNCTION("""COMPUTED_VALUE"""),46818367453)</f>
        <v>46818367453</v>
      </c>
      <c r="P1325" s="11"/>
      <c r="Q1325" s="11"/>
      <c r="R1325" s="11"/>
      <c r="S1325" s="11"/>
      <c r="T1325" s="11"/>
      <c r="U1325" s="11"/>
      <c r="V1325" s="11"/>
      <c r="W1325" s="11"/>
      <c r="X1325" s="11"/>
      <c r="Y1325" s="11"/>
      <c r="Z1325" s="11"/>
    </row>
    <row r="1326" customHeight="1" spans="1:26">
      <c r="A1326" s="11" t="str">
        <f>IFERROR(__xludf.DUMMYFUNCTION("""COMPUTED_VALUE"""),"MARIVALDA LICARIAO DE S MELO")</f>
        <v>MARIVALDA LICARIAO DE S MELO</v>
      </c>
      <c r="B1326" s="11"/>
      <c r="C1326" s="11"/>
      <c r="D1326" s="11" t="str">
        <f>IFERROR(__xludf.DUMMYFUNCTION("""COMPUTED_VALUE"""),"SERV DE ORGAO MUNICIPALIZ RP")</f>
        <v>SERV DE ORGAO MUNICIPALIZ RP</v>
      </c>
      <c r="E1326" s="11"/>
      <c r="F1326" s="11" t="str">
        <f>IFERROR(__xludf.DUMMYFUNCTION("""COMPUTED_VALUE"""),"US_159 POLICLINICA AGAMENON MAGALHAES")</f>
        <v>US_159 POLICLINICA AGAMENON MAGALHAES</v>
      </c>
      <c r="G1326" s="11" t="str">
        <f>IFERROR(__xludf.DUMMYFUNCTION("""COMPUTED_VALUE"""),"US_159 POLICLINICA AGAMENON MAGALHAES")</f>
        <v>US_159 POLICLINICA AGAMENON MAGALHAES</v>
      </c>
      <c r="H1326" s="11"/>
      <c r="I1326" s="11"/>
      <c r="J1326" s="11"/>
      <c r="K1326" s="11"/>
      <c r="L1326" s="11"/>
      <c r="M1326" s="11"/>
      <c r="N1326" s="11"/>
      <c r="O1326" s="11">
        <f>IFERROR(__xludf.DUMMYFUNCTION("""COMPUTED_VALUE"""),28364287400)</f>
        <v>28364287400</v>
      </c>
      <c r="P1326" s="11"/>
      <c r="Q1326" s="11"/>
      <c r="R1326" s="11"/>
      <c r="S1326" s="11"/>
      <c r="T1326" s="11"/>
      <c r="U1326" s="11"/>
      <c r="V1326" s="11"/>
      <c r="W1326" s="11"/>
      <c r="X1326" s="11"/>
      <c r="Y1326" s="11"/>
      <c r="Z1326" s="11"/>
    </row>
    <row r="1327" customHeight="1" spans="1:26">
      <c r="A1327" s="11" t="str">
        <f>IFERROR(__xludf.DUMMYFUNCTION("""COMPUTED_VALUE"""),"NEILDA MOURA LEITAO SILVA")</f>
        <v>NEILDA MOURA LEITAO SILVA</v>
      </c>
      <c r="B1327" s="11"/>
      <c r="C1327" s="11"/>
      <c r="D1327" s="11" t="str">
        <f>IFERROR(__xludf.DUMMYFUNCTION("""COMPUTED_VALUE"""),"SERV DE ORGAO MUNICIPALIZ RP")</f>
        <v>SERV DE ORGAO MUNICIPALIZ RP</v>
      </c>
      <c r="E1327" s="11"/>
      <c r="F1327" s="11" t="str">
        <f>IFERROR(__xludf.DUMMYFUNCTION("""COMPUTED_VALUE"""),"US_159 POLICLINICA AGAMENON MAGALHAES")</f>
        <v>US_159 POLICLINICA AGAMENON MAGALHAES</v>
      </c>
      <c r="G1327" s="11" t="str">
        <f>IFERROR(__xludf.DUMMYFUNCTION("""COMPUTED_VALUE"""),"US_159 POLICLINICA AGAMENON MAGALHAES")</f>
        <v>US_159 POLICLINICA AGAMENON MAGALHAES</v>
      </c>
      <c r="H1327" s="11"/>
      <c r="I1327" s="11"/>
      <c r="J1327" s="11"/>
      <c r="K1327" s="11"/>
      <c r="L1327" s="11"/>
      <c r="M1327" s="11"/>
      <c r="N1327" s="11"/>
      <c r="O1327" s="11">
        <f>IFERROR(__xludf.DUMMYFUNCTION("""COMPUTED_VALUE"""),37386050453)</f>
        <v>37386050453</v>
      </c>
      <c r="P1327" s="11"/>
      <c r="Q1327" s="11"/>
      <c r="R1327" s="11"/>
      <c r="S1327" s="11"/>
      <c r="T1327" s="11"/>
      <c r="U1327" s="11"/>
      <c r="V1327" s="11"/>
      <c r="W1327" s="11"/>
      <c r="X1327" s="11"/>
      <c r="Y1327" s="11"/>
      <c r="Z1327" s="11"/>
    </row>
    <row r="1328" customHeight="1" spans="1:26">
      <c r="A1328" s="11" t="str">
        <f>IFERROR(__xludf.DUMMYFUNCTION("""COMPUTED_VALUE"""),"ROSEMARY MUNIZ M FIGUEIREDO")</f>
        <v>ROSEMARY MUNIZ M FIGUEIREDO</v>
      </c>
      <c r="B1328" s="11"/>
      <c r="C1328" s="11"/>
      <c r="D1328" s="11" t="str">
        <f>IFERROR(__xludf.DUMMYFUNCTION("""COMPUTED_VALUE"""),"SERV DE ORGAO MUNICIPALIZ RP")</f>
        <v>SERV DE ORGAO MUNICIPALIZ RP</v>
      </c>
      <c r="E1328" s="11"/>
      <c r="F1328" s="11" t="str">
        <f>IFERROR(__xludf.DUMMYFUNCTION("""COMPUTED_VALUE"""),"US_159 POLICLINICA AGAMENON MAGALHAES")</f>
        <v>US_159 POLICLINICA AGAMENON MAGALHAES</v>
      </c>
      <c r="G1328" s="11" t="str">
        <f>IFERROR(__xludf.DUMMYFUNCTION("""COMPUTED_VALUE"""),"US_159 POLICLINICA AGAMENON MAGALHAES")</f>
        <v>US_159 POLICLINICA AGAMENON MAGALHAES</v>
      </c>
      <c r="H1328" s="11"/>
      <c r="I1328" s="11"/>
      <c r="J1328" s="11"/>
      <c r="K1328" s="11"/>
      <c r="L1328" s="11"/>
      <c r="M1328" s="11"/>
      <c r="N1328" s="11"/>
      <c r="O1328" s="11">
        <f>IFERROR(__xludf.DUMMYFUNCTION("""COMPUTED_VALUE"""),45631662434)</f>
        <v>45631662434</v>
      </c>
      <c r="P1328" s="11"/>
      <c r="Q1328" s="11"/>
      <c r="R1328" s="11"/>
      <c r="S1328" s="11"/>
      <c r="T1328" s="11"/>
      <c r="U1328" s="11"/>
      <c r="V1328" s="11"/>
      <c r="W1328" s="11"/>
      <c r="X1328" s="11"/>
      <c r="Y1328" s="11"/>
      <c r="Z1328" s="11"/>
    </row>
    <row r="1329" customHeight="1" spans="1:26">
      <c r="A1329" s="11" t="str">
        <f>IFERROR(__xludf.DUMMYFUNCTION("""COMPUTED_VALUE"""),"EDILENE DE LIRA NASCIMENTO")</f>
        <v>EDILENE DE LIRA NASCIMENTO</v>
      </c>
      <c r="B1329" s="11"/>
      <c r="C1329" s="11"/>
      <c r="D1329" s="11" t="str">
        <f>IFERROR(__xludf.DUMMYFUNCTION("""COMPUTED_VALUE"""),"ENFERMEIRO 30H")</f>
        <v>ENFERMEIRO 30H</v>
      </c>
      <c r="E1329" s="11"/>
      <c r="F1329" s="11" t="str">
        <f>IFERROR(__xludf.DUMMYFUNCTION("""COMPUTED_VALUE"""),"US_169 POLICLINICA AMAURY COUTINHO")</f>
        <v>US_169 POLICLINICA AMAURY COUTINHO</v>
      </c>
      <c r="G1329" s="11" t="str">
        <f>IFERROR(__xludf.DUMMYFUNCTION("""COMPUTED_VALUE"""),"US_169 POLICLINICA AMAURY COUTINHO")</f>
        <v>US_169 POLICLINICA AMAURY COUTINHO</v>
      </c>
      <c r="H1329" s="11"/>
      <c r="I1329" s="11"/>
      <c r="J1329" s="11"/>
      <c r="K1329" s="11"/>
      <c r="L1329" s="11"/>
      <c r="M1329" s="11"/>
      <c r="N1329" s="11"/>
      <c r="O1329" s="11">
        <f>IFERROR(__xludf.DUMMYFUNCTION("""COMPUTED_VALUE"""),36823260491)</f>
        <v>36823260491</v>
      </c>
      <c r="P1329" s="11"/>
      <c r="Q1329" s="11"/>
      <c r="R1329" s="11"/>
      <c r="S1329" s="11"/>
      <c r="T1329" s="11"/>
      <c r="U1329" s="11"/>
      <c r="V1329" s="11"/>
      <c r="W1329" s="11"/>
      <c r="X1329" s="11"/>
      <c r="Y1329" s="11"/>
      <c r="Z1329" s="11"/>
    </row>
    <row r="1330" customHeight="1" spans="1:26">
      <c r="A1330" s="11" t="str">
        <f>IFERROR(__xludf.DUMMYFUNCTION("""COMPUTED_VALUE"""),"ROSANA DOS SANTOS NUNES")</f>
        <v>ROSANA DOS SANTOS NUNES</v>
      </c>
      <c r="B1330" s="11"/>
      <c r="C1330" s="11"/>
      <c r="D1330" s="11" t="str">
        <f>IFERROR(__xludf.DUMMYFUNCTION("""COMPUTED_VALUE"""),"ENFERMEIRO 30H")</f>
        <v>ENFERMEIRO 30H</v>
      </c>
      <c r="E1330" s="11"/>
      <c r="F1330" s="11" t="str">
        <f>IFERROR(__xludf.DUMMYFUNCTION("""COMPUTED_VALUE"""),"US_169 POLICLINICA AMAURY COUTINHO")</f>
        <v>US_169 POLICLINICA AMAURY COUTINHO</v>
      </c>
      <c r="G1330" s="11" t="str">
        <f>IFERROR(__xludf.DUMMYFUNCTION("""COMPUTED_VALUE"""),"US_169 POLICLINICA AMAURY COUTINHO")</f>
        <v>US_169 POLICLINICA AMAURY COUTINHO</v>
      </c>
      <c r="H1330" s="11"/>
      <c r="I1330" s="11"/>
      <c r="J1330" s="11"/>
      <c r="K1330" s="11"/>
      <c r="L1330" s="11"/>
      <c r="M1330" s="11"/>
      <c r="N1330" s="11"/>
      <c r="O1330" s="11">
        <f>IFERROR(__xludf.DUMMYFUNCTION("""COMPUTED_VALUE"""),37274902415)</f>
        <v>37274902415</v>
      </c>
      <c r="P1330" s="11"/>
      <c r="Q1330" s="11"/>
      <c r="R1330" s="11"/>
      <c r="S1330" s="11"/>
      <c r="T1330" s="11"/>
      <c r="U1330" s="11"/>
      <c r="V1330" s="11"/>
      <c r="W1330" s="11"/>
      <c r="X1330" s="11"/>
      <c r="Y1330" s="11"/>
      <c r="Z1330" s="11"/>
    </row>
    <row r="1331" customHeight="1" spans="1:26">
      <c r="A1331" s="11" t="str">
        <f>IFERROR(__xludf.DUMMYFUNCTION("""COMPUTED_VALUE"""),"LUCINEIDE B DE ALBUQUERQUE")</f>
        <v>LUCINEIDE B DE ALBUQUERQUE</v>
      </c>
      <c r="B1331" s="11"/>
      <c r="C1331" s="11"/>
      <c r="D1331" s="11" t="str">
        <f>IFERROR(__xludf.DUMMYFUNCTION("""COMPUTED_VALUE"""),"ENFERMEIRO 30H")</f>
        <v>ENFERMEIRO 30H</v>
      </c>
      <c r="E1331" s="11"/>
      <c r="F1331" s="11" t="str">
        <f>IFERROR(__xludf.DUMMYFUNCTION("""COMPUTED_VALUE"""),"US_169 POLICLINICA AMAURY COUTINHO")</f>
        <v>US_169 POLICLINICA AMAURY COUTINHO</v>
      </c>
      <c r="G1331" s="11" t="str">
        <f>IFERROR(__xludf.DUMMYFUNCTION("""COMPUTED_VALUE"""),"US_169 POLICLINICA AMAURY COUTINHO")</f>
        <v>US_169 POLICLINICA AMAURY COUTINHO</v>
      </c>
      <c r="H1331" s="11"/>
      <c r="I1331" s="11"/>
      <c r="J1331" s="11"/>
      <c r="K1331" s="11"/>
      <c r="L1331" s="11"/>
      <c r="M1331" s="11"/>
      <c r="N1331" s="11"/>
      <c r="O1331" s="11">
        <f>IFERROR(__xludf.DUMMYFUNCTION("""COMPUTED_VALUE"""),76756394487)</f>
        <v>76756394487</v>
      </c>
      <c r="P1331" s="11"/>
      <c r="Q1331" s="11"/>
      <c r="R1331" s="11"/>
      <c r="S1331" s="11"/>
      <c r="T1331" s="11"/>
      <c r="U1331" s="11"/>
      <c r="V1331" s="11"/>
      <c r="W1331" s="11"/>
      <c r="X1331" s="11"/>
      <c r="Y1331" s="11"/>
      <c r="Z1331" s="11"/>
    </row>
    <row r="1332" customHeight="1" spans="1:26">
      <c r="A1332" s="11" t="str">
        <f>IFERROR(__xludf.DUMMYFUNCTION("""COMPUTED_VALUE"""),"GIUDITTE CALDAS CAVALCANTI")</f>
        <v>GIUDITTE CALDAS CAVALCANTI</v>
      </c>
      <c r="B1332" s="11"/>
      <c r="C1332" s="11"/>
      <c r="D1332" s="11" t="str">
        <f>IFERROR(__xludf.DUMMYFUNCTION("""COMPUTED_VALUE"""),"ENFERMEIRO 30H")</f>
        <v>ENFERMEIRO 30H</v>
      </c>
      <c r="E1332" s="11"/>
      <c r="F1332" s="11" t="str">
        <f>IFERROR(__xludf.DUMMYFUNCTION("""COMPUTED_VALUE"""),"US_169 POLICLINICA AMAURY COUTINHO")</f>
        <v>US_169 POLICLINICA AMAURY COUTINHO</v>
      </c>
      <c r="G1332" s="11" t="str">
        <f>IFERROR(__xludf.DUMMYFUNCTION("""COMPUTED_VALUE"""),"US_169 POLICLINICA AMAURY COUTINHO")</f>
        <v>US_169 POLICLINICA AMAURY COUTINHO</v>
      </c>
      <c r="H1332" s="11"/>
      <c r="I1332" s="11"/>
      <c r="J1332" s="11"/>
      <c r="K1332" s="11"/>
      <c r="L1332" s="11"/>
      <c r="M1332" s="11"/>
      <c r="N1332" s="11"/>
      <c r="O1332" s="11">
        <f>IFERROR(__xludf.DUMMYFUNCTION("""COMPUTED_VALUE"""),49363883434)</f>
        <v>49363883434</v>
      </c>
      <c r="P1332" s="11"/>
      <c r="Q1332" s="11"/>
      <c r="R1332" s="11"/>
      <c r="S1332" s="11"/>
      <c r="T1332" s="11"/>
      <c r="U1332" s="11"/>
      <c r="V1332" s="11"/>
      <c r="W1332" s="11"/>
      <c r="X1332" s="11"/>
      <c r="Y1332" s="11"/>
      <c r="Z1332" s="11"/>
    </row>
    <row r="1333" customHeight="1" spans="1:26">
      <c r="A1333" s="11" t="str">
        <f>IFERROR(__xludf.DUMMYFUNCTION("""COMPUTED_VALUE"""),"MARY CARMO DA SILVA")</f>
        <v>MARY CARMO DA SILVA</v>
      </c>
      <c r="B1333" s="11"/>
      <c r="C1333" s="11"/>
      <c r="D1333" s="11" t="str">
        <f>IFERROR(__xludf.DUMMYFUNCTION("""COMPUTED_VALUE"""),"ENFERMEIRO 30H")</f>
        <v>ENFERMEIRO 30H</v>
      </c>
      <c r="E1333" s="11"/>
      <c r="F1333" s="11" t="str">
        <f>IFERROR(__xludf.DUMMYFUNCTION("""COMPUTED_VALUE"""),"US_159 POLICLINICA AGAMENON MAGALHAES")</f>
        <v>US_159 POLICLINICA AGAMENON MAGALHAES</v>
      </c>
      <c r="G1333" s="11" t="str">
        <f>IFERROR(__xludf.DUMMYFUNCTION("""COMPUTED_VALUE"""),"US_159 POLICLINICA AGAMENON MAGALHAES")</f>
        <v>US_159 POLICLINICA AGAMENON MAGALHAES</v>
      </c>
      <c r="H1333" s="11"/>
      <c r="I1333" s="11"/>
      <c r="J1333" s="11"/>
      <c r="K1333" s="11"/>
      <c r="L1333" s="11"/>
      <c r="M1333" s="11"/>
      <c r="N1333" s="11"/>
      <c r="O1333" s="11">
        <f>IFERROR(__xludf.DUMMYFUNCTION("""COMPUTED_VALUE"""),68479026472)</f>
        <v>68479026472</v>
      </c>
      <c r="P1333" s="11"/>
      <c r="Q1333" s="11"/>
      <c r="R1333" s="11"/>
      <c r="S1333" s="11"/>
      <c r="T1333" s="11"/>
      <c r="U1333" s="11"/>
      <c r="V1333" s="11"/>
      <c r="W1333" s="11"/>
      <c r="X1333" s="11"/>
      <c r="Y1333" s="11"/>
      <c r="Z1333" s="11"/>
    </row>
    <row r="1334" customHeight="1" spans="1:26">
      <c r="A1334" s="11" t="str">
        <f>IFERROR(__xludf.DUMMYFUNCTION("""COMPUTED_VALUE"""),"SHEILA PEREIRA DE OLIVEIRA")</f>
        <v>SHEILA PEREIRA DE OLIVEIRA</v>
      </c>
      <c r="B1334" s="11"/>
      <c r="C1334" s="11"/>
      <c r="D1334" s="11" t="str">
        <f>IFERROR(__xludf.DUMMYFUNCTION("""COMPUTED_VALUE"""),"ENFERMEIRO 30H")</f>
        <v>ENFERMEIRO 30H</v>
      </c>
      <c r="E1334" s="11"/>
      <c r="F1334" s="11" t="str">
        <f>IFERROR(__xludf.DUMMYFUNCTION("""COMPUTED_VALUE"""),"US_319 CAPS ESPACO AZUL")</f>
        <v>US_319 CAPS ESPACO AZUL</v>
      </c>
      <c r="G1334" s="11" t="str">
        <f>IFERROR(__xludf.DUMMYFUNCTION("""COMPUTED_VALUE"""),"US_319 CAPS ESPACO AZUL")</f>
        <v>US_319 CAPS ESPACO AZUL</v>
      </c>
      <c r="H1334" s="11"/>
      <c r="I1334" s="11"/>
      <c r="J1334" s="11"/>
      <c r="K1334" s="11"/>
      <c r="L1334" s="11"/>
      <c r="M1334" s="11"/>
      <c r="N1334" s="11"/>
      <c r="O1334" s="11">
        <f>IFERROR(__xludf.DUMMYFUNCTION("""COMPUTED_VALUE"""),91858461472)</f>
        <v>91858461472</v>
      </c>
      <c r="P1334" s="11"/>
      <c r="Q1334" s="11"/>
      <c r="R1334" s="11"/>
      <c r="S1334" s="11"/>
      <c r="T1334" s="11"/>
      <c r="U1334" s="11"/>
      <c r="V1334" s="11"/>
      <c r="W1334" s="11"/>
      <c r="X1334" s="11"/>
      <c r="Y1334" s="11"/>
      <c r="Z1334" s="11"/>
    </row>
    <row r="1335" customHeight="1" spans="1:26">
      <c r="A1335" s="11" t="str">
        <f>IFERROR(__xludf.DUMMYFUNCTION("""COMPUTED_VALUE"""),"WAGNER DE LIMA CORDEIRO")</f>
        <v>WAGNER DE LIMA CORDEIRO</v>
      </c>
      <c r="B1335" s="11"/>
      <c r="C1335" s="11"/>
      <c r="D1335" s="11" t="str">
        <f>IFERROR(__xludf.DUMMYFUNCTION("""COMPUTED_VALUE"""),"ENFERMEIRO 30H")</f>
        <v>ENFERMEIRO 30H</v>
      </c>
      <c r="E1335" s="11"/>
      <c r="F1335" s="11" t="str">
        <f>IFERROR(__xludf.DUMMYFUNCTION("""COMPUTED_VALUE"""),"US_169 POLICLINICA AMAURY COUTINHO")</f>
        <v>US_169 POLICLINICA AMAURY COUTINHO</v>
      </c>
      <c r="G1335" s="11" t="str">
        <f>IFERROR(__xludf.DUMMYFUNCTION("""COMPUTED_VALUE"""),"US_169 POLICLINICA AMAURY COUTINHO")</f>
        <v>US_169 POLICLINICA AMAURY COUTINHO</v>
      </c>
      <c r="H1335" s="11"/>
      <c r="I1335" s="11"/>
      <c r="J1335" s="11"/>
      <c r="K1335" s="11"/>
      <c r="L1335" s="11"/>
      <c r="M1335" s="11"/>
      <c r="N1335" s="11"/>
      <c r="O1335" s="11">
        <f>IFERROR(__xludf.DUMMYFUNCTION("""COMPUTED_VALUE"""),2970544490)</f>
        <v>2970544490</v>
      </c>
      <c r="P1335" s="11"/>
      <c r="Q1335" s="11"/>
      <c r="R1335" s="11"/>
      <c r="S1335" s="11"/>
      <c r="T1335" s="11"/>
      <c r="U1335" s="11"/>
      <c r="V1335" s="11"/>
      <c r="W1335" s="11"/>
      <c r="X1335" s="11"/>
      <c r="Y1335" s="11"/>
      <c r="Z1335" s="11"/>
    </row>
    <row r="1336" customHeight="1" spans="1:26">
      <c r="A1336" s="11" t="str">
        <f>IFERROR(__xludf.DUMMYFUNCTION("""COMPUTED_VALUE"""),"VALERIA GERMANA DE O.MENEZES")</f>
        <v>VALERIA GERMANA DE O.MENEZES</v>
      </c>
      <c r="B1336" s="11"/>
      <c r="C1336" s="11"/>
      <c r="D1336" s="11" t="str">
        <f>IFERROR(__xludf.DUMMYFUNCTION("""COMPUTED_VALUE"""),"ENFERMEIRO 30H")</f>
        <v>ENFERMEIRO 30H</v>
      </c>
      <c r="E1336" s="11"/>
      <c r="F1336" s="11" t="str">
        <f>IFERROR(__xludf.DUMMYFUNCTION("""COMPUTED_VALUE"""),"US_159 POLICLINICA AGAMENON MAGALHAES")</f>
        <v>US_159 POLICLINICA AGAMENON MAGALHAES</v>
      </c>
      <c r="G1336" s="11" t="str">
        <f>IFERROR(__xludf.DUMMYFUNCTION("""COMPUTED_VALUE"""),"US_159 POLICLINICA AGAMENON MAGALHAES")</f>
        <v>US_159 POLICLINICA AGAMENON MAGALHAES</v>
      </c>
      <c r="H1336" s="11"/>
      <c r="I1336" s="11"/>
      <c r="J1336" s="11"/>
      <c r="K1336" s="11"/>
      <c r="L1336" s="11"/>
      <c r="M1336" s="11"/>
      <c r="N1336" s="11"/>
      <c r="O1336" s="11">
        <f>IFERROR(__xludf.DUMMYFUNCTION("""COMPUTED_VALUE"""),80452493404)</f>
        <v>80452493404</v>
      </c>
      <c r="P1336" s="11"/>
      <c r="Q1336" s="11"/>
      <c r="R1336" s="11"/>
      <c r="S1336" s="11"/>
      <c r="T1336" s="11"/>
      <c r="U1336" s="11"/>
      <c r="V1336" s="11"/>
      <c r="W1336" s="11"/>
      <c r="X1336" s="11"/>
      <c r="Y1336" s="11"/>
      <c r="Z1336" s="11"/>
    </row>
    <row r="1337" customHeight="1" spans="1:26">
      <c r="A1337" s="11" t="str">
        <f>IFERROR(__xludf.DUMMYFUNCTION("""COMPUTED_VALUE"""),"ANA PAULA ZENI")</f>
        <v>ANA PAULA ZENI</v>
      </c>
      <c r="B1337" s="11"/>
      <c r="C1337" s="11"/>
      <c r="D1337" s="11" t="str">
        <f>IFERROR(__xludf.DUMMYFUNCTION("""COMPUTED_VALUE"""),"ENFERMEIRO 30H")</f>
        <v>ENFERMEIRO 30H</v>
      </c>
      <c r="E1337" s="11"/>
      <c r="F1337" s="11" t="str">
        <f>IFERROR(__xludf.DUMMYFUNCTION("""COMPUTED_VALUE"""),"US_159 POLICLINICA AGAMENON MAGALHAES")</f>
        <v>US_159 POLICLINICA AGAMENON MAGALHAES</v>
      </c>
      <c r="G1337" s="11" t="str">
        <f>IFERROR(__xludf.DUMMYFUNCTION("""COMPUTED_VALUE"""),"US_159 POLICLINICA AGAMENON MAGALHAES")</f>
        <v>US_159 POLICLINICA AGAMENON MAGALHAES</v>
      </c>
      <c r="H1337" s="11"/>
      <c r="I1337" s="11"/>
      <c r="J1337" s="11"/>
      <c r="K1337" s="11"/>
      <c r="L1337" s="11"/>
      <c r="M1337" s="11"/>
      <c r="N1337" s="11"/>
      <c r="O1337" s="11">
        <f>IFERROR(__xludf.DUMMYFUNCTION("""COMPUTED_VALUE"""),736995439)</f>
        <v>736995439</v>
      </c>
      <c r="P1337" s="11"/>
      <c r="Q1337" s="11"/>
      <c r="R1337" s="11"/>
      <c r="S1337" s="11"/>
      <c r="T1337" s="11"/>
      <c r="U1337" s="11"/>
      <c r="V1337" s="11"/>
      <c r="W1337" s="11"/>
      <c r="X1337" s="11"/>
      <c r="Y1337" s="11"/>
      <c r="Z1337" s="11"/>
    </row>
    <row r="1338" customHeight="1" spans="1:26">
      <c r="A1338" s="11" t="str">
        <f>IFERROR(__xludf.DUMMYFUNCTION("""COMPUTED_VALUE"""),"DONIZETE MATIAS DA CRUZ")</f>
        <v>DONIZETE MATIAS DA CRUZ</v>
      </c>
      <c r="B1338" s="11"/>
      <c r="C1338" s="11"/>
      <c r="D1338" s="11" t="str">
        <f>IFERROR(__xludf.DUMMYFUNCTION("""COMPUTED_VALUE"""),"ENFERMEIRO 30H")</f>
        <v>ENFERMEIRO 30H</v>
      </c>
      <c r="E1338" s="11"/>
      <c r="F1338" s="11" t="str">
        <f>IFERROR(__xludf.DUMMYFUNCTION("""COMPUTED_VALUE"""),"US_169 POLICLINICA AMAURY COUTINHO")</f>
        <v>US_169 POLICLINICA AMAURY COUTINHO</v>
      </c>
      <c r="G1338" s="11" t="str">
        <f>IFERROR(__xludf.DUMMYFUNCTION("""COMPUTED_VALUE"""),"US_169 POLICLINICA AMAURY COUTINHO")</f>
        <v>US_169 POLICLINICA AMAURY COUTINHO</v>
      </c>
      <c r="H1338" s="11"/>
      <c r="I1338" s="11"/>
      <c r="J1338" s="11"/>
      <c r="K1338" s="11"/>
      <c r="L1338" s="11"/>
      <c r="M1338" s="11"/>
      <c r="N1338" s="11"/>
      <c r="O1338" s="11">
        <f>IFERROR(__xludf.DUMMYFUNCTION("""COMPUTED_VALUE"""),12550108434)</f>
        <v>12550108434</v>
      </c>
      <c r="P1338" s="11"/>
      <c r="Q1338" s="11"/>
      <c r="R1338" s="11"/>
      <c r="S1338" s="11"/>
      <c r="T1338" s="11"/>
      <c r="U1338" s="11"/>
      <c r="V1338" s="11"/>
      <c r="W1338" s="11"/>
      <c r="X1338" s="11"/>
      <c r="Y1338" s="11"/>
      <c r="Z1338" s="11"/>
    </row>
    <row r="1339" customHeight="1" spans="1:26">
      <c r="A1339" s="11" t="str">
        <f>IFERROR(__xludf.DUMMYFUNCTION("""COMPUTED_VALUE"""),"UIRAJANE CRISTINA DA S ALMEIDA")</f>
        <v>UIRAJANE CRISTINA DA S ALMEIDA</v>
      </c>
      <c r="B1339" s="11"/>
      <c r="C1339" s="11"/>
      <c r="D1339" s="11" t="str">
        <f>IFERROR(__xludf.DUMMYFUNCTION("""COMPUTED_VALUE"""),"ENFERMEIRO 30H")</f>
        <v>ENFERMEIRO 30H</v>
      </c>
      <c r="E1339" s="11"/>
      <c r="F1339" s="11" t="str">
        <f>IFERROR(__xludf.DUMMYFUNCTION("""COMPUTED_VALUE"""),"US_159 POLICLINICA AGAMENON MAGALHAES")</f>
        <v>US_159 POLICLINICA AGAMENON MAGALHAES</v>
      </c>
      <c r="G1339" s="11" t="str">
        <f>IFERROR(__xludf.DUMMYFUNCTION("""COMPUTED_VALUE"""),"US_159 POLICLINICA AGAMENON MAGALHAES")</f>
        <v>US_159 POLICLINICA AGAMENON MAGALHAES</v>
      </c>
      <c r="H1339" s="11"/>
      <c r="I1339" s="11"/>
      <c r="J1339" s="11"/>
      <c r="K1339" s="11"/>
      <c r="L1339" s="11"/>
      <c r="M1339" s="11"/>
      <c r="N1339" s="11"/>
      <c r="O1339" s="11">
        <f>IFERROR(__xludf.DUMMYFUNCTION("""COMPUTED_VALUE"""),37512668449)</f>
        <v>37512668449</v>
      </c>
      <c r="P1339" s="11"/>
      <c r="Q1339" s="11"/>
      <c r="R1339" s="11"/>
      <c r="S1339" s="11"/>
      <c r="T1339" s="11"/>
      <c r="U1339" s="11"/>
      <c r="V1339" s="11"/>
      <c r="W1339" s="11"/>
      <c r="X1339" s="11"/>
      <c r="Y1339" s="11"/>
      <c r="Z1339" s="11"/>
    </row>
    <row r="1340" customHeight="1" spans="1:26">
      <c r="A1340" s="11" t="str">
        <f>IFERROR(__xludf.DUMMYFUNCTION("""COMPUTED_VALUE"""),"ROSIMEIRE FERREIRA ROCHA")</f>
        <v>ROSIMEIRE FERREIRA ROCHA</v>
      </c>
      <c r="B1340" s="11"/>
      <c r="C1340" s="11"/>
      <c r="D1340" s="11" t="str">
        <f>IFERROR(__xludf.DUMMYFUNCTION("""COMPUTED_VALUE"""),"ENFERMEIRO 30H")</f>
        <v>ENFERMEIRO 30H</v>
      </c>
      <c r="E1340" s="11"/>
      <c r="F1340" s="11" t="str">
        <f>IFERROR(__xludf.DUMMYFUNCTION("""COMPUTED_VALUE"""),"US_169 POLICLINICA AMAURY COUTINHO")</f>
        <v>US_169 POLICLINICA AMAURY COUTINHO</v>
      </c>
      <c r="G1340" s="11" t="str">
        <f>IFERROR(__xludf.DUMMYFUNCTION("""COMPUTED_VALUE"""),"US_169 POLICLINICA AMAURY COUTINHO")</f>
        <v>US_169 POLICLINICA AMAURY COUTINHO</v>
      </c>
      <c r="H1340" s="11"/>
      <c r="I1340" s="11"/>
      <c r="J1340" s="11"/>
      <c r="K1340" s="11"/>
      <c r="L1340" s="11"/>
      <c r="M1340" s="11"/>
      <c r="N1340" s="11"/>
      <c r="O1340" s="11">
        <f>IFERROR(__xludf.DUMMYFUNCTION("""COMPUTED_VALUE"""),42743265434)</f>
        <v>42743265434</v>
      </c>
      <c r="P1340" s="11"/>
      <c r="Q1340" s="11"/>
      <c r="R1340" s="11"/>
      <c r="S1340" s="11"/>
      <c r="T1340" s="11"/>
      <c r="U1340" s="11"/>
      <c r="V1340" s="11"/>
      <c r="W1340" s="11"/>
      <c r="X1340" s="11"/>
      <c r="Y1340" s="11"/>
      <c r="Z1340" s="11"/>
    </row>
    <row r="1341" customHeight="1" spans="1:26">
      <c r="A1341" s="11" t="str">
        <f>IFERROR(__xludf.DUMMYFUNCTION("""COMPUTED_VALUE"""),"OSINEZ BARBOSA DE OLIVEIRA")</f>
        <v>OSINEZ BARBOSA DE OLIVEIRA</v>
      </c>
      <c r="B1341" s="11"/>
      <c r="C1341" s="11"/>
      <c r="D1341" s="11" t="str">
        <f>IFERROR(__xludf.DUMMYFUNCTION("""COMPUTED_VALUE"""),"ENFERMEIRO 30H")</f>
        <v>ENFERMEIRO 30H</v>
      </c>
      <c r="E1341" s="11"/>
      <c r="F1341" s="11" t="str">
        <f>IFERROR(__xludf.DUMMYFUNCTION("""COMPUTED_VALUE"""),"US_169 POLICLINICA AMAURY COUTINHO")</f>
        <v>US_169 POLICLINICA AMAURY COUTINHO</v>
      </c>
      <c r="G1341" s="11" t="str">
        <f>IFERROR(__xludf.DUMMYFUNCTION("""COMPUTED_VALUE"""),"US_169 POLICLINICA AMAURY COUTINHO")</f>
        <v>US_169 POLICLINICA AMAURY COUTINHO</v>
      </c>
      <c r="H1341" s="11"/>
      <c r="I1341" s="11"/>
      <c r="J1341" s="11"/>
      <c r="K1341" s="11"/>
      <c r="L1341" s="11"/>
      <c r="M1341" s="11"/>
      <c r="N1341" s="11"/>
      <c r="O1341" s="11">
        <f>IFERROR(__xludf.DUMMYFUNCTION("""COMPUTED_VALUE"""),80340237449)</f>
        <v>80340237449</v>
      </c>
      <c r="P1341" s="11"/>
      <c r="Q1341" s="11"/>
      <c r="R1341" s="11"/>
      <c r="S1341" s="11"/>
      <c r="T1341" s="11"/>
      <c r="U1341" s="11"/>
      <c r="V1341" s="11"/>
      <c r="W1341" s="11"/>
      <c r="X1341" s="11"/>
      <c r="Y1341" s="11"/>
      <c r="Z1341" s="11"/>
    </row>
    <row r="1342" customHeight="1" spans="1:26">
      <c r="A1342" s="11" t="str">
        <f>IFERROR(__xludf.DUMMYFUNCTION("""COMPUTED_VALUE"""),"ITALA MANGHI F LIMA GALDINO")</f>
        <v>ITALA MANGHI F LIMA GALDINO</v>
      </c>
      <c r="B1342" s="11"/>
      <c r="C1342" s="11"/>
      <c r="D1342" s="11" t="str">
        <f>IFERROR(__xludf.DUMMYFUNCTION("""COMPUTED_VALUE"""),"ENFERMEIRO 30H")</f>
        <v>ENFERMEIRO 30H</v>
      </c>
      <c r="E1342" s="11"/>
      <c r="F1342" s="11" t="str">
        <f>IFERROR(__xludf.DUMMYFUNCTION("""COMPUTED_VALUE"""),"US_159 POLICLINICA AGAMENON MAGALHAES")</f>
        <v>US_159 POLICLINICA AGAMENON MAGALHAES</v>
      </c>
      <c r="G1342" s="11" t="str">
        <f>IFERROR(__xludf.DUMMYFUNCTION("""COMPUTED_VALUE"""),"US_159 POLICLINICA AGAMENON MAGALHAES")</f>
        <v>US_159 POLICLINICA AGAMENON MAGALHAES</v>
      </c>
      <c r="H1342" s="11"/>
      <c r="I1342" s="11"/>
      <c r="J1342" s="11"/>
      <c r="K1342" s="11"/>
      <c r="L1342" s="11"/>
      <c r="M1342" s="11"/>
      <c r="N1342" s="11"/>
      <c r="O1342" s="11">
        <f>IFERROR(__xludf.DUMMYFUNCTION("""COMPUTED_VALUE"""),3624968467)</f>
        <v>3624968467</v>
      </c>
      <c r="P1342" s="11"/>
      <c r="Q1342" s="11"/>
      <c r="R1342" s="11"/>
      <c r="S1342" s="11"/>
      <c r="T1342" s="11"/>
      <c r="U1342" s="11"/>
      <c r="V1342" s="11"/>
      <c r="W1342" s="11"/>
      <c r="X1342" s="11"/>
      <c r="Y1342" s="11"/>
      <c r="Z1342" s="11"/>
    </row>
    <row r="1343" customHeight="1" spans="1:26">
      <c r="A1343" s="11" t="str">
        <f>IFERROR(__xludf.DUMMYFUNCTION("""COMPUTED_VALUE"""),"JULIANA CRISTINA A B DE MORAIS")</f>
        <v>JULIANA CRISTINA A B DE MORAIS</v>
      </c>
      <c r="B1343" s="11"/>
      <c r="C1343" s="11"/>
      <c r="D1343" s="11" t="str">
        <f>IFERROR(__xludf.DUMMYFUNCTION("""COMPUTED_VALUE"""),"ENFERMEIRO 30H")</f>
        <v>ENFERMEIRO 30H</v>
      </c>
      <c r="E1343" s="11"/>
      <c r="F1343" s="11" t="str">
        <f>IFERROR(__xludf.DUMMYFUNCTION("""COMPUTED_VALUE"""),"US_169 POLICLINICA AMAURY COUTINHO")</f>
        <v>US_169 POLICLINICA AMAURY COUTINHO</v>
      </c>
      <c r="G1343" s="11" t="str">
        <f>IFERROR(__xludf.DUMMYFUNCTION("""COMPUTED_VALUE"""),"US_169 POLICLINICA AMAURY COUTINHO")</f>
        <v>US_169 POLICLINICA AMAURY COUTINHO</v>
      </c>
      <c r="H1343" s="11"/>
      <c r="I1343" s="11"/>
      <c r="J1343" s="11"/>
      <c r="K1343" s="11"/>
      <c r="L1343" s="11"/>
      <c r="M1343" s="11"/>
      <c r="N1343" s="11"/>
      <c r="O1343" s="11">
        <f>IFERROR(__xludf.DUMMYFUNCTION("""COMPUTED_VALUE"""),5931097406)</f>
        <v>5931097406</v>
      </c>
      <c r="P1343" s="11"/>
      <c r="Q1343" s="11"/>
      <c r="R1343" s="11"/>
      <c r="S1343" s="11"/>
      <c r="T1343" s="11"/>
      <c r="U1343" s="11"/>
      <c r="V1343" s="11"/>
      <c r="W1343" s="11"/>
      <c r="X1343" s="11"/>
      <c r="Y1343" s="11"/>
      <c r="Z1343" s="11"/>
    </row>
    <row r="1344" customHeight="1" spans="1:26">
      <c r="A1344" s="11" t="str">
        <f>IFERROR(__xludf.DUMMYFUNCTION("""COMPUTED_VALUE"""),"PATRICIA DANTAS DE OLIVEIRA")</f>
        <v>PATRICIA DANTAS DE OLIVEIRA</v>
      </c>
      <c r="B1344" s="11"/>
      <c r="C1344" s="11"/>
      <c r="D1344" s="11" t="str">
        <f>IFERROR(__xludf.DUMMYFUNCTION("""COMPUTED_VALUE"""),"ENFERMEIRO 30H")</f>
        <v>ENFERMEIRO 30H</v>
      </c>
      <c r="E1344" s="11"/>
      <c r="F1344" s="11" t="str">
        <f>IFERROR(__xludf.DUMMYFUNCTION("""COMPUTED_VALUE"""),"US_159 POLICLINICA AGAMENON MAGALHAES")</f>
        <v>US_159 POLICLINICA AGAMENON MAGALHAES</v>
      </c>
      <c r="G1344" s="11" t="str">
        <f>IFERROR(__xludf.DUMMYFUNCTION("""COMPUTED_VALUE"""),"US_159 POLICLINICA AGAMENON MAGALHAES")</f>
        <v>US_159 POLICLINICA AGAMENON MAGALHAES</v>
      </c>
      <c r="H1344" s="11"/>
      <c r="I1344" s="11"/>
      <c r="J1344" s="11"/>
      <c r="K1344" s="11"/>
      <c r="L1344" s="11"/>
      <c r="M1344" s="11"/>
      <c r="N1344" s="11"/>
      <c r="O1344" s="11">
        <f>IFERROR(__xludf.DUMMYFUNCTION("""COMPUTED_VALUE"""),68597797487)</f>
        <v>68597797487</v>
      </c>
      <c r="P1344" s="11"/>
      <c r="Q1344" s="11"/>
      <c r="R1344" s="11"/>
      <c r="S1344" s="11"/>
      <c r="T1344" s="11"/>
      <c r="U1344" s="11"/>
      <c r="V1344" s="11"/>
      <c r="W1344" s="11"/>
      <c r="X1344" s="11"/>
      <c r="Y1344" s="11"/>
      <c r="Z1344" s="11"/>
    </row>
    <row r="1345" customHeight="1" spans="1:26">
      <c r="A1345" s="11" t="str">
        <f>IFERROR(__xludf.DUMMYFUNCTION("""COMPUTED_VALUE"""),"ANDREA SOUZA LOPES D LEMOS")</f>
        <v>ANDREA SOUZA LOPES D LEMOS</v>
      </c>
      <c r="B1345" s="11"/>
      <c r="C1345" s="11"/>
      <c r="D1345" s="11" t="str">
        <f>IFERROR(__xludf.DUMMYFUNCTION("""COMPUTED_VALUE"""),"ENFERMEIRO 30H")</f>
        <v>ENFERMEIRO 30H</v>
      </c>
      <c r="E1345" s="11"/>
      <c r="F1345" s="11" t="str">
        <f>IFERROR(__xludf.DUMMYFUNCTION("""COMPUTED_VALUE"""),"US_169 POLICLINICA AMAURY COUTINHO")</f>
        <v>US_169 POLICLINICA AMAURY COUTINHO</v>
      </c>
      <c r="G1345" s="11" t="str">
        <f>IFERROR(__xludf.DUMMYFUNCTION("""COMPUTED_VALUE"""),"US_169 POLICLINICA AMAURY COUTINHO")</f>
        <v>US_169 POLICLINICA AMAURY COUTINHO</v>
      </c>
      <c r="H1345" s="11"/>
      <c r="I1345" s="11"/>
      <c r="J1345" s="11"/>
      <c r="K1345" s="11"/>
      <c r="L1345" s="11"/>
      <c r="M1345" s="11"/>
      <c r="N1345" s="11"/>
      <c r="O1345" s="11">
        <f>IFERROR(__xludf.DUMMYFUNCTION("""COMPUTED_VALUE"""),3948079447)</f>
        <v>3948079447</v>
      </c>
      <c r="P1345" s="11"/>
      <c r="Q1345" s="11"/>
      <c r="R1345" s="11"/>
      <c r="S1345" s="11"/>
      <c r="T1345" s="11"/>
      <c r="U1345" s="11"/>
      <c r="V1345" s="11"/>
      <c r="W1345" s="11"/>
      <c r="X1345" s="11"/>
      <c r="Y1345" s="11"/>
      <c r="Z1345" s="11"/>
    </row>
    <row r="1346" customHeight="1" spans="1:26">
      <c r="A1346" s="11" t="str">
        <f>IFERROR(__xludf.DUMMYFUNCTION("""COMPUTED_VALUE"""),"ROBSON PINHEIRO DA SILVA")</f>
        <v>ROBSON PINHEIRO DA SILVA</v>
      </c>
      <c r="B1346" s="11"/>
      <c r="C1346" s="11"/>
      <c r="D1346" s="11" t="str">
        <f>IFERROR(__xludf.DUMMYFUNCTION("""COMPUTED_VALUE"""),"ENFERMEIRO 30H")</f>
        <v>ENFERMEIRO 30H</v>
      </c>
      <c r="E1346" s="11"/>
      <c r="F1346" s="11" t="str">
        <f>IFERROR(__xludf.DUMMYFUNCTION("""COMPUTED_VALUE"""),"US_169 POLICLINICA AMAURY COUTINHO")</f>
        <v>US_169 POLICLINICA AMAURY COUTINHO</v>
      </c>
      <c r="G1346" s="11" t="str">
        <f>IFERROR(__xludf.DUMMYFUNCTION("""COMPUTED_VALUE"""),"US_169 POLICLINICA AMAURY COUTINHO")</f>
        <v>US_169 POLICLINICA AMAURY COUTINHO</v>
      </c>
      <c r="H1346" s="11"/>
      <c r="I1346" s="11"/>
      <c r="J1346" s="11"/>
      <c r="K1346" s="11"/>
      <c r="L1346" s="11"/>
      <c r="M1346" s="11"/>
      <c r="N1346" s="11"/>
      <c r="O1346" s="11">
        <f>IFERROR(__xludf.DUMMYFUNCTION("""COMPUTED_VALUE"""),3962808469)</f>
        <v>3962808469</v>
      </c>
      <c r="P1346" s="11"/>
      <c r="Q1346" s="11"/>
      <c r="R1346" s="11"/>
      <c r="S1346" s="11"/>
      <c r="T1346" s="11"/>
      <c r="U1346" s="11"/>
      <c r="V1346" s="11"/>
      <c r="W1346" s="11"/>
      <c r="X1346" s="11"/>
      <c r="Y1346" s="11"/>
      <c r="Z1346" s="11"/>
    </row>
    <row r="1347" customHeight="1" spans="1:26">
      <c r="A1347" s="11" t="str">
        <f>IFERROR(__xludf.DUMMYFUNCTION("""COMPUTED_VALUE"""),"RAFAELA MARIA DE L M MONTEIRO")</f>
        <v>RAFAELA MARIA DE L M MONTEIRO</v>
      </c>
      <c r="B1347" s="11"/>
      <c r="C1347" s="11"/>
      <c r="D1347" s="11" t="str">
        <f>IFERROR(__xludf.DUMMYFUNCTION("""COMPUTED_VALUE"""),"ENFERMEIRO 30H")</f>
        <v>ENFERMEIRO 30H</v>
      </c>
      <c r="E1347" s="11"/>
      <c r="F1347" s="11" t="str">
        <f>IFERROR(__xludf.DUMMYFUNCTION("""COMPUTED_VALUE"""),"US_169 POLICLINICA AMAURY COUTINHO")</f>
        <v>US_169 POLICLINICA AMAURY COUTINHO</v>
      </c>
      <c r="G1347" s="11" t="str">
        <f>IFERROR(__xludf.DUMMYFUNCTION("""COMPUTED_VALUE"""),"US_169 POLICLINICA AMAURY COUTINHO")</f>
        <v>US_169 POLICLINICA AMAURY COUTINHO</v>
      </c>
      <c r="H1347" s="11"/>
      <c r="I1347" s="11"/>
      <c r="J1347" s="11"/>
      <c r="K1347" s="11"/>
      <c r="L1347" s="11"/>
      <c r="M1347" s="11"/>
      <c r="N1347" s="11"/>
      <c r="O1347" s="11">
        <f>IFERROR(__xludf.DUMMYFUNCTION("""COMPUTED_VALUE"""),4336219400)</f>
        <v>4336219400</v>
      </c>
      <c r="P1347" s="11"/>
      <c r="Q1347" s="11"/>
      <c r="R1347" s="11"/>
      <c r="S1347" s="11"/>
      <c r="T1347" s="11"/>
      <c r="U1347" s="11"/>
      <c r="V1347" s="11"/>
      <c r="W1347" s="11"/>
      <c r="X1347" s="11"/>
      <c r="Y1347" s="11"/>
      <c r="Z1347" s="11"/>
    </row>
    <row r="1348" customHeight="1" spans="1:26">
      <c r="A1348" s="11" t="str">
        <f>IFERROR(__xludf.DUMMYFUNCTION("""COMPUTED_VALUE"""),"ALEXANDRINO C DA SILVA JUNIOR")</f>
        <v>ALEXANDRINO C DA SILVA JUNIOR</v>
      </c>
      <c r="B1348" s="11"/>
      <c r="C1348" s="11"/>
      <c r="D1348" s="11" t="str">
        <f>IFERROR(__xludf.DUMMYFUNCTION("""COMPUTED_VALUE"""),"ENFERMEIRO 30H")</f>
        <v>ENFERMEIRO 30H</v>
      </c>
      <c r="E1348" s="11"/>
      <c r="F1348" s="11" t="str">
        <f>IFERROR(__xludf.DUMMYFUNCTION("""COMPUTED_VALUE"""),"US_169 POLICLINICA AMAURY COUTINHO")</f>
        <v>US_169 POLICLINICA AMAURY COUTINHO</v>
      </c>
      <c r="G1348" s="11" t="str">
        <f>IFERROR(__xludf.DUMMYFUNCTION("""COMPUTED_VALUE"""),"US_169 POLICLINICA AMAURY COUTINHO")</f>
        <v>US_169 POLICLINICA AMAURY COUTINHO</v>
      </c>
      <c r="H1348" s="11"/>
      <c r="I1348" s="11"/>
      <c r="J1348" s="11"/>
      <c r="K1348" s="11"/>
      <c r="L1348" s="11"/>
      <c r="M1348" s="11"/>
      <c r="N1348" s="11"/>
      <c r="O1348" s="11">
        <f>IFERROR(__xludf.DUMMYFUNCTION("""COMPUTED_VALUE"""),2483609490)</f>
        <v>2483609490</v>
      </c>
      <c r="P1348" s="11"/>
      <c r="Q1348" s="11"/>
      <c r="R1348" s="11"/>
      <c r="S1348" s="11"/>
      <c r="T1348" s="11"/>
      <c r="U1348" s="11"/>
      <c r="V1348" s="11"/>
      <c r="W1348" s="11"/>
      <c r="X1348" s="11"/>
      <c r="Y1348" s="11"/>
      <c r="Z1348" s="11"/>
    </row>
    <row r="1349" customHeight="1" spans="1:26">
      <c r="A1349" s="11" t="str">
        <f>IFERROR(__xludf.DUMMYFUNCTION("""COMPUTED_VALUE"""),"REBECA DA SILVA PINA MOURA")</f>
        <v>REBECA DA SILVA PINA MOURA</v>
      </c>
      <c r="B1349" s="11"/>
      <c r="C1349" s="11"/>
      <c r="D1349" s="11" t="str">
        <f>IFERROR(__xludf.DUMMYFUNCTION("""COMPUTED_VALUE"""),"ENFERMEIRO 30H")</f>
        <v>ENFERMEIRO 30H</v>
      </c>
      <c r="E1349" s="11"/>
      <c r="F1349" s="11" t="str">
        <f>IFERROR(__xludf.DUMMYFUNCTION("""COMPUTED_VALUE"""),"US_159 POLICLINICA AGAMENON MAGALHAES")</f>
        <v>US_159 POLICLINICA AGAMENON MAGALHAES</v>
      </c>
      <c r="G1349" s="11" t="str">
        <f>IFERROR(__xludf.DUMMYFUNCTION("""COMPUTED_VALUE"""),"US_159 POLICLINICA AGAMENON MAGALHAES")</f>
        <v>US_159 POLICLINICA AGAMENON MAGALHAES</v>
      </c>
      <c r="H1349" s="11"/>
      <c r="I1349" s="11"/>
      <c r="J1349" s="11"/>
      <c r="K1349" s="11"/>
      <c r="L1349" s="11"/>
      <c r="M1349" s="11"/>
      <c r="N1349" s="11"/>
      <c r="O1349" s="11">
        <f>IFERROR(__xludf.DUMMYFUNCTION("""COMPUTED_VALUE"""),1339180413)</f>
        <v>1339180413</v>
      </c>
      <c r="P1349" s="11"/>
      <c r="Q1349" s="11"/>
      <c r="R1349" s="11"/>
      <c r="S1349" s="11"/>
      <c r="T1349" s="11"/>
      <c r="U1349" s="11"/>
      <c r="V1349" s="11"/>
      <c r="W1349" s="11"/>
      <c r="X1349" s="11"/>
      <c r="Y1349" s="11"/>
      <c r="Z1349" s="11"/>
    </row>
    <row r="1350" customHeight="1" spans="1:26">
      <c r="A1350" s="11" t="str">
        <f>IFERROR(__xludf.DUMMYFUNCTION("""COMPUTED_VALUE"""),"CLAUDIA REGINA F DE OLIVEIRA")</f>
        <v>CLAUDIA REGINA F DE OLIVEIRA</v>
      </c>
      <c r="B1350" s="11"/>
      <c r="C1350" s="11"/>
      <c r="D1350" s="11" t="str">
        <f>IFERROR(__xludf.DUMMYFUNCTION("""COMPUTED_VALUE"""),"ENFERMEIRO 30H")</f>
        <v>ENFERMEIRO 30H</v>
      </c>
      <c r="E1350" s="11"/>
      <c r="F1350" s="11" t="str">
        <f>IFERROR(__xludf.DUMMYFUNCTION("""COMPUTED_VALUE"""),"US_169 POLICLINICA AMAURY COUTINHO")</f>
        <v>US_169 POLICLINICA AMAURY COUTINHO</v>
      </c>
      <c r="G1350" s="11" t="str">
        <f>IFERROR(__xludf.DUMMYFUNCTION("""COMPUTED_VALUE"""),"US_169 POLICLINICA AMAURY COUTINHO")</f>
        <v>US_169 POLICLINICA AMAURY COUTINHO</v>
      </c>
      <c r="H1350" s="11"/>
      <c r="I1350" s="11"/>
      <c r="J1350" s="11"/>
      <c r="K1350" s="11"/>
      <c r="L1350" s="11"/>
      <c r="M1350" s="11"/>
      <c r="N1350" s="11"/>
      <c r="O1350" s="11">
        <f>IFERROR(__xludf.DUMMYFUNCTION("""COMPUTED_VALUE"""),51982137487)</f>
        <v>51982137487</v>
      </c>
      <c r="P1350" s="11"/>
      <c r="Q1350" s="11"/>
      <c r="R1350" s="11"/>
      <c r="S1350" s="11"/>
      <c r="T1350" s="11"/>
      <c r="U1350" s="11"/>
      <c r="V1350" s="11"/>
      <c r="W1350" s="11"/>
      <c r="X1350" s="11"/>
      <c r="Y1350" s="11"/>
      <c r="Z1350" s="11"/>
    </row>
    <row r="1351" customHeight="1" spans="1:26">
      <c r="A1351" s="11" t="str">
        <f>IFERROR(__xludf.DUMMYFUNCTION("""COMPUTED_VALUE"""),"ALEXSANDRA BERNARDO DE M LIMA")</f>
        <v>ALEXSANDRA BERNARDO DE M LIMA</v>
      </c>
      <c r="B1351" s="11"/>
      <c r="C1351" s="11"/>
      <c r="D1351" s="11" t="str">
        <f>IFERROR(__xludf.DUMMYFUNCTION("""COMPUTED_VALUE"""),"ENFERMEIRO 30H")</f>
        <v>ENFERMEIRO 30H</v>
      </c>
      <c r="E1351" s="11"/>
      <c r="F1351" s="11" t="str">
        <f>IFERROR(__xludf.DUMMYFUNCTION("""COMPUTED_VALUE"""),"US_169 POLICLINICA AMAURY COUTINHO")</f>
        <v>US_169 POLICLINICA AMAURY COUTINHO</v>
      </c>
      <c r="G1351" s="11" t="str">
        <f>IFERROR(__xludf.DUMMYFUNCTION("""COMPUTED_VALUE"""),"US_169 POLICLINICA AMAURY COUTINHO")</f>
        <v>US_169 POLICLINICA AMAURY COUTINHO</v>
      </c>
      <c r="H1351" s="11"/>
      <c r="I1351" s="11"/>
      <c r="J1351" s="11"/>
      <c r="K1351" s="11"/>
      <c r="L1351" s="11"/>
      <c r="M1351" s="11"/>
      <c r="N1351" s="11"/>
      <c r="O1351" s="11">
        <f>IFERROR(__xludf.DUMMYFUNCTION("""COMPUTED_VALUE"""),84729732472)</f>
        <v>84729732472</v>
      </c>
      <c r="P1351" s="11"/>
      <c r="Q1351" s="11"/>
      <c r="R1351" s="11"/>
      <c r="S1351" s="11"/>
      <c r="T1351" s="11"/>
      <c r="U1351" s="11"/>
      <c r="V1351" s="11"/>
      <c r="W1351" s="11"/>
      <c r="X1351" s="11"/>
      <c r="Y1351" s="11"/>
      <c r="Z1351" s="11"/>
    </row>
    <row r="1352" customHeight="1" spans="1:26">
      <c r="A1352" s="11" t="str">
        <f>IFERROR(__xludf.DUMMYFUNCTION("""COMPUTED_VALUE"""),"ERICKA MARIA DO NASCIMENTO")</f>
        <v>ERICKA MARIA DO NASCIMENTO</v>
      </c>
      <c r="B1352" s="11"/>
      <c r="C1352" s="11"/>
      <c r="D1352" s="11" t="str">
        <f>IFERROR(__xludf.DUMMYFUNCTION("""COMPUTED_VALUE"""),"ENFERMEIRO 30H")</f>
        <v>ENFERMEIRO 30H</v>
      </c>
      <c r="E1352" s="11"/>
      <c r="F1352" s="11" t="str">
        <f>IFERROR(__xludf.DUMMYFUNCTION("""COMPUTED_VALUE"""),"US_159 POLICLINICA AGAMENON MAGALHAES")</f>
        <v>US_159 POLICLINICA AGAMENON MAGALHAES</v>
      </c>
      <c r="G1352" s="11" t="str">
        <f>IFERROR(__xludf.DUMMYFUNCTION("""COMPUTED_VALUE"""),"US_159 POLICLINICA AGAMENON MAGALHAES")</f>
        <v>US_159 POLICLINICA AGAMENON MAGALHAES</v>
      </c>
      <c r="H1352" s="11"/>
      <c r="I1352" s="11"/>
      <c r="J1352" s="11"/>
      <c r="K1352" s="11"/>
      <c r="L1352" s="11"/>
      <c r="M1352" s="11"/>
      <c r="N1352" s="11"/>
      <c r="O1352" s="11">
        <f>IFERROR(__xludf.DUMMYFUNCTION("""COMPUTED_VALUE"""),4934753460)</f>
        <v>4934753460</v>
      </c>
      <c r="P1352" s="11"/>
      <c r="Q1352" s="11"/>
      <c r="R1352" s="11"/>
      <c r="S1352" s="11"/>
      <c r="T1352" s="11"/>
      <c r="U1352" s="11"/>
      <c r="V1352" s="11"/>
      <c r="W1352" s="11"/>
      <c r="X1352" s="11"/>
      <c r="Y1352" s="11"/>
      <c r="Z1352" s="11"/>
    </row>
    <row r="1353" customHeight="1" spans="1:26">
      <c r="A1353" s="11" t="str">
        <f>IFERROR(__xludf.DUMMYFUNCTION("""COMPUTED_VALUE"""),"ELISANGELA NASCIMENTO SEGUNDO")</f>
        <v>ELISANGELA NASCIMENTO SEGUNDO</v>
      </c>
      <c r="B1353" s="11"/>
      <c r="C1353" s="11"/>
      <c r="D1353" s="11" t="str">
        <f>IFERROR(__xludf.DUMMYFUNCTION("""COMPUTED_VALUE"""),"ENFERMEIRO 30H")</f>
        <v>ENFERMEIRO 30H</v>
      </c>
      <c r="E1353" s="11"/>
      <c r="F1353" s="11" t="str">
        <f>IFERROR(__xludf.DUMMYFUNCTION("""COMPUTED_VALUE"""),"US_169 POLICLINICA AMAURY COUTINHO")</f>
        <v>US_169 POLICLINICA AMAURY COUTINHO</v>
      </c>
      <c r="G1353" s="11" t="str">
        <f>IFERROR(__xludf.DUMMYFUNCTION("""COMPUTED_VALUE"""),"US_169 POLICLINICA AMAURY COUTINHO")</f>
        <v>US_169 POLICLINICA AMAURY COUTINHO</v>
      </c>
      <c r="H1353" s="11"/>
      <c r="I1353" s="11"/>
      <c r="J1353" s="11"/>
      <c r="K1353" s="11"/>
      <c r="L1353" s="11"/>
      <c r="M1353" s="11"/>
      <c r="N1353" s="11"/>
      <c r="O1353" s="11">
        <f>IFERROR(__xludf.DUMMYFUNCTION("""COMPUTED_VALUE"""),2707813400)</f>
        <v>2707813400</v>
      </c>
      <c r="P1353" s="11"/>
      <c r="Q1353" s="11"/>
      <c r="R1353" s="11"/>
      <c r="S1353" s="11"/>
      <c r="T1353" s="11"/>
      <c r="U1353" s="11"/>
      <c r="V1353" s="11"/>
      <c r="W1353" s="11"/>
      <c r="X1353" s="11"/>
      <c r="Y1353" s="11"/>
      <c r="Z1353" s="11"/>
    </row>
    <row r="1354" customHeight="1" spans="1:26">
      <c r="A1354" s="11" t="str">
        <f>IFERROR(__xludf.DUMMYFUNCTION("""COMPUTED_VALUE"""),"SUELEN BRITO DE AZEVEDO")</f>
        <v>SUELEN BRITO DE AZEVEDO</v>
      </c>
      <c r="B1354" s="11"/>
      <c r="C1354" s="11"/>
      <c r="D1354" s="11" t="str">
        <f>IFERROR(__xludf.DUMMYFUNCTION("""COMPUTED_VALUE"""),"SERV OUT ORGAOS - REG PROPRIO")</f>
        <v>SERV OUT ORGAOS - REG PROPRIO</v>
      </c>
      <c r="E1354" s="11"/>
      <c r="F1354" s="11" t="str">
        <f>IFERROR(__xludf.DUMMYFUNCTION("""COMPUTED_VALUE"""),"US_159 POLICLINICA AGAMENON MAGALHAES")</f>
        <v>US_159 POLICLINICA AGAMENON MAGALHAES</v>
      </c>
      <c r="G1354" s="11" t="str">
        <f>IFERROR(__xludf.DUMMYFUNCTION("""COMPUTED_VALUE"""),"US_159 POLICLINICA AGAMENON MAGALHAES")</f>
        <v>US_159 POLICLINICA AGAMENON MAGALHAES</v>
      </c>
      <c r="H1354" s="11"/>
      <c r="I1354" s="11"/>
      <c r="J1354" s="11"/>
      <c r="K1354" s="11"/>
      <c r="L1354" s="11"/>
      <c r="M1354" s="11"/>
      <c r="N1354" s="11"/>
      <c r="O1354" s="11">
        <f>IFERROR(__xludf.DUMMYFUNCTION("""COMPUTED_VALUE"""),4867443450)</f>
        <v>4867443450</v>
      </c>
      <c r="P1354" s="11"/>
      <c r="Q1354" s="11"/>
      <c r="R1354" s="11"/>
      <c r="S1354" s="11"/>
      <c r="T1354" s="11"/>
      <c r="U1354" s="11"/>
      <c r="V1354" s="11"/>
      <c r="W1354" s="11"/>
      <c r="X1354" s="11"/>
      <c r="Y1354" s="11"/>
      <c r="Z1354" s="11"/>
    </row>
    <row r="1355" customHeight="1" spans="1:26">
      <c r="A1355" s="11" t="str">
        <f>IFERROR(__xludf.DUMMYFUNCTION("""COMPUTED_VALUE"""),"MARIO CESAR C DE SANTANA")</f>
        <v>MARIO CESAR C DE SANTANA</v>
      </c>
      <c r="B1355" s="11"/>
      <c r="C1355" s="11"/>
      <c r="D1355" s="11" t="str">
        <f>IFERROR(__xludf.DUMMYFUNCTION("""COMPUTED_VALUE"""),"ENFERMEIRO 30H - POLICLINICA / MATERNIDADE - PLANTONISTA")</f>
        <v>ENFERMEIRO 30H - POLICLINICA / MATERNIDADE - PLANTONISTA</v>
      </c>
      <c r="E1355" s="11"/>
      <c r="F1355" s="11" t="str">
        <f>IFERROR(__xludf.DUMMYFUNCTION("""COMPUTED_VALUE"""),"US_159 POLICLINICA AGAMENON MAGALHAES")</f>
        <v>US_159 POLICLINICA AGAMENON MAGALHAES</v>
      </c>
      <c r="G1355" s="11" t="str">
        <f>IFERROR(__xludf.DUMMYFUNCTION("""COMPUTED_VALUE"""),"US_159 POLICLINICA AGAMENON MAGALHAES")</f>
        <v>US_159 POLICLINICA AGAMENON MAGALHAES</v>
      </c>
      <c r="H1355" s="11"/>
      <c r="I1355" s="11"/>
      <c r="J1355" s="11"/>
      <c r="K1355" s="11"/>
      <c r="L1355" s="11"/>
      <c r="M1355" s="11"/>
      <c r="N1355" s="11"/>
      <c r="O1355" s="11">
        <f>IFERROR(__xludf.DUMMYFUNCTION("""COMPUTED_VALUE"""),2487830506)</f>
        <v>2487830506</v>
      </c>
      <c r="P1355" s="11"/>
      <c r="Q1355" s="11"/>
      <c r="R1355" s="11"/>
      <c r="S1355" s="11"/>
      <c r="T1355" s="11"/>
      <c r="U1355" s="11"/>
      <c r="V1355" s="11"/>
      <c r="W1355" s="11"/>
      <c r="X1355" s="11"/>
      <c r="Y1355" s="11"/>
      <c r="Z1355" s="11"/>
    </row>
    <row r="1356" customHeight="1" spans="1:26">
      <c r="A1356" s="11" t="str">
        <f>IFERROR(__xludf.DUMMYFUNCTION("""COMPUTED_VALUE"""),"TAISA FIGUEIROA SILVA")</f>
        <v>TAISA FIGUEIROA SILVA</v>
      </c>
      <c r="B1356" s="11"/>
      <c r="C1356" s="11"/>
      <c r="D1356" s="11" t="str">
        <f>IFERROR(__xludf.DUMMYFUNCTION("""COMPUTED_VALUE"""),"ENFERMEIRO 30H - POLICLINICA / MATERNIDADE - PLANTONISTA")</f>
        <v>ENFERMEIRO 30H - POLICLINICA / MATERNIDADE - PLANTONISTA</v>
      </c>
      <c r="E1356" s="11"/>
      <c r="F1356" s="11" t="str">
        <f>IFERROR(__xludf.DUMMYFUNCTION("""COMPUTED_VALUE"""),"US_159 POLICLINICA AGAMENON MAGALHAES")</f>
        <v>US_159 POLICLINICA AGAMENON MAGALHAES</v>
      </c>
      <c r="G1356" s="11" t="str">
        <f>IFERROR(__xludf.DUMMYFUNCTION("""COMPUTED_VALUE"""),"US_159 POLICLINICA AGAMENON MAGALHAES")</f>
        <v>US_159 POLICLINICA AGAMENON MAGALHAES</v>
      </c>
      <c r="H1356" s="11"/>
      <c r="I1356" s="11"/>
      <c r="J1356" s="11"/>
      <c r="K1356" s="11"/>
      <c r="L1356" s="11"/>
      <c r="M1356" s="11"/>
      <c r="N1356" s="11"/>
      <c r="O1356" s="11">
        <f>IFERROR(__xludf.DUMMYFUNCTION("""COMPUTED_VALUE"""),9725403428)</f>
        <v>9725403428</v>
      </c>
      <c r="P1356" s="11"/>
      <c r="Q1356" s="11"/>
      <c r="R1356" s="11"/>
      <c r="S1356" s="11"/>
      <c r="T1356" s="11"/>
      <c r="U1356" s="11"/>
      <c r="V1356" s="11"/>
      <c r="W1356" s="11"/>
      <c r="X1356" s="11"/>
      <c r="Y1356" s="11"/>
      <c r="Z1356" s="11"/>
    </row>
    <row r="1357" customHeight="1" spans="1:26">
      <c r="A1357" s="11" t="str">
        <f>IFERROR(__xludf.DUMMYFUNCTION("""COMPUTED_VALUE"""),"JOSECLEIDE M DO NASCIMENTO")</f>
        <v>JOSECLEIDE M DO NASCIMENTO</v>
      </c>
      <c r="B1357" s="11"/>
      <c r="C1357" s="11"/>
      <c r="D1357" s="11" t="str">
        <f>IFERROR(__xludf.DUMMYFUNCTION("""COMPUTED_VALUE"""),"ENFERMEIRO 30H - PLANTONISTA")</f>
        <v>ENFERMEIRO 30H - PLANTONISTA</v>
      </c>
      <c r="E1357" s="11"/>
      <c r="F1357" s="11" t="str">
        <f>IFERROR(__xludf.DUMMYFUNCTION("""COMPUTED_VALUE"""),"US_159 POLICLINICA AGAMENON MAGALHAES")</f>
        <v>US_159 POLICLINICA AGAMENON MAGALHAES</v>
      </c>
      <c r="G1357" s="11" t="str">
        <f>IFERROR(__xludf.DUMMYFUNCTION("""COMPUTED_VALUE"""),"US_159 POLICLINICA AGAMENON MAGALHAES")</f>
        <v>US_159 POLICLINICA AGAMENON MAGALHAES</v>
      </c>
      <c r="H1357" s="11"/>
      <c r="I1357" s="11"/>
      <c r="J1357" s="11"/>
      <c r="K1357" s="11"/>
      <c r="L1357" s="11"/>
      <c r="M1357" s="11"/>
      <c r="N1357" s="11"/>
      <c r="O1357" s="11">
        <f>IFERROR(__xludf.DUMMYFUNCTION("""COMPUTED_VALUE"""),6367047425)</f>
        <v>6367047425</v>
      </c>
      <c r="P1357" s="11"/>
      <c r="Q1357" s="11"/>
      <c r="R1357" s="11"/>
      <c r="S1357" s="11"/>
      <c r="T1357" s="11"/>
      <c r="U1357" s="11"/>
      <c r="V1357" s="11"/>
      <c r="W1357" s="11"/>
      <c r="X1357" s="11"/>
      <c r="Y1357" s="11"/>
      <c r="Z1357" s="11"/>
    </row>
    <row r="1358" customHeight="1" spans="1:26">
      <c r="A1358" s="11" t="str">
        <f>IFERROR(__xludf.DUMMYFUNCTION("""COMPUTED_VALUE"""),"JULIANA DA ROCHA CABRAL")</f>
        <v>JULIANA DA ROCHA CABRAL</v>
      </c>
      <c r="B1358" s="11"/>
      <c r="C1358" s="11"/>
      <c r="D1358" s="11" t="str">
        <f>IFERROR(__xludf.DUMMYFUNCTION("""COMPUTED_VALUE"""),"ENFERMEIRO 30H - DIARISTA")</f>
        <v>ENFERMEIRO 30H - DIARISTA</v>
      </c>
      <c r="E1358" s="11"/>
      <c r="F1358" s="11" t="str">
        <f>IFERROR(__xludf.DUMMYFUNCTION("""COMPUTED_VALUE"""),"US_159 POLICLINICA AGAMENON MAGALHAES")</f>
        <v>US_159 POLICLINICA AGAMENON MAGALHAES</v>
      </c>
      <c r="G1358" s="11" t="str">
        <f>IFERROR(__xludf.DUMMYFUNCTION("""COMPUTED_VALUE"""),"US_159 POLICLINICA AGAMENON MAGALHAES")</f>
        <v>US_159 POLICLINICA AGAMENON MAGALHAES</v>
      </c>
      <c r="H1358" s="11"/>
      <c r="I1358" s="11"/>
      <c r="J1358" s="11"/>
      <c r="K1358" s="11"/>
      <c r="L1358" s="11"/>
      <c r="M1358" s="11"/>
      <c r="N1358" s="11"/>
      <c r="O1358" s="11">
        <f>IFERROR(__xludf.DUMMYFUNCTION("""COMPUTED_VALUE"""),5449269439)</f>
        <v>5449269439</v>
      </c>
      <c r="P1358" s="11"/>
      <c r="Q1358" s="11"/>
      <c r="R1358" s="11"/>
      <c r="S1358" s="11"/>
      <c r="T1358" s="11"/>
      <c r="U1358" s="11"/>
      <c r="V1358" s="11"/>
      <c r="W1358" s="11"/>
      <c r="X1358" s="11"/>
      <c r="Y1358" s="11"/>
      <c r="Z1358" s="11"/>
    </row>
    <row r="1359" customHeight="1" spans="1:26">
      <c r="A1359" s="11" t="str">
        <f>IFERROR(__xludf.DUMMYFUNCTION("""COMPUTED_VALUE"""),"KELANE RODRIGUES DE LIMA")</f>
        <v>KELANE RODRIGUES DE LIMA</v>
      </c>
      <c r="B1359" s="11"/>
      <c r="C1359" s="11"/>
      <c r="D1359" s="11" t="str">
        <f>IFERROR(__xludf.DUMMYFUNCTION("""COMPUTED_VALUE"""),"ENFERMEIRO 30H - PLANTONISTA")</f>
        <v>ENFERMEIRO 30H - PLANTONISTA</v>
      </c>
      <c r="E1359" s="11"/>
      <c r="F1359" s="11" t="str">
        <f>IFERROR(__xludf.DUMMYFUNCTION("""COMPUTED_VALUE"""),"US_159 POLICLINICA AGAMENON MAGALHAES")</f>
        <v>US_159 POLICLINICA AGAMENON MAGALHAES</v>
      </c>
      <c r="G1359" s="11" t="str">
        <f>IFERROR(__xludf.DUMMYFUNCTION("""COMPUTED_VALUE"""),"US_159 POLICLINICA AGAMENON MAGALHAES")</f>
        <v>US_159 POLICLINICA AGAMENON MAGALHAES</v>
      </c>
      <c r="H1359" s="11"/>
      <c r="I1359" s="11"/>
      <c r="J1359" s="11"/>
      <c r="K1359" s="11"/>
      <c r="L1359" s="11"/>
      <c r="M1359" s="11"/>
      <c r="N1359" s="11"/>
      <c r="O1359" s="11">
        <f>IFERROR(__xludf.DUMMYFUNCTION("""COMPUTED_VALUE"""),4813827470)</f>
        <v>4813827470</v>
      </c>
      <c r="P1359" s="11"/>
      <c r="Q1359" s="11"/>
      <c r="R1359" s="11"/>
      <c r="S1359" s="11"/>
      <c r="T1359" s="11"/>
      <c r="U1359" s="11"/>
      <c r="V1359" s="11"/>
      <c r="W1359" s="11"/>
      <c r="X1359" s="11"/>
      <c r="Y1359" s="11"/>
      <c r="Z1359" s="11"/>
    </row>
    <row r="1360" customHeight="1" spans="1:26">
      <c r="A1360" s="11" t="str">
        <f>IFERROR(__xludf.DUMMYFUNCTION("""COMPUTED_VALUE"""),"MARIA EDUARDA S DE A FRAGOSO")</f>
        <v>MARIA EDUARDA S DE A FRAGOSO</v>
      </c>
      <c r="B1360" s="11"/>
      <c r="C1360" s="11"/>
      <c r="D1360" s="11" t="str">
        <f>IFERROR(__xludf.DUMMYFUNCTION("""COMPUTED_VALUE"""),"ENFERMEIRO 30H - PLANTONISTA")</f>
        <v>ENFERMEIRO 30H - PLANTONISTA</v>
      </c>
      <c r="E1360" s="11"/>
      <c r="F1360" s="11" t="str">
        <f>IFERROR(__xludf.DUMMYFUNCTION("""COMPUTED_VALUE"""),"US_159 POLICLINICA AGAMENON MAGALHAES")</f>
        <v>US_159 POLICLINICA AGAMENON MAGALHAES</v>
      </c>
      <c r="G1360" s="11" t="str">
        <f>IFERROR(__xludf.DUMMYFUNCTION("""COMPUTED_VALUE"""),"US_159 POLICLINICA AGAMENON MAGALHAES")</f>
        <v>US_159 POLICLINICA AGAMENON MAGALHAES</v>
      </c>
      <c r="H1360" s="11"/>
      <c r="I1360" s="11"/>
      <c r="J1360" s="11"/>
      <c r="K1360" s="11"/>
      <c r="L1360" s="11"/>
      <c r="M1360" s="11"/>
      <c r="N1360" s="11"/>
      <c r="O1360" s="11">
        <f>IFERROR(__xludf.DUMMYFUNCTION("""COMPUTED_VALUE"""),11003705448)</f>
        <v>11003705448</v>
      </c>
      <c r="P1360" s="11"/>
      <c r="Q1360" s="11"/>
      <c r="R1360" s="11"/>
      <c r="S1360" s="11"/>
      <c r="T1360" s="11"/>
      <c r="U1360" s="11"/>
      <c r="V1360" s="11"/>
      <c r="W1360" s="11"/>
      <c r="X1360" s="11"/>
      <c r="Y1360" s="11"/>
      <c r="Z1360" s="11"/>
    </row>
    <row r="1361" customHeight="1" spans="1:26">
      <c r="A1361" s="11" t="str">
        <f>IFERROR(__xludf.DUMMYFUNCTION("""COMPUTED_VALUE"""),"MIKAEL LIMA BRASIL")</f>
        <v>MIKAEL LIMA BRASIL</v>
      </c>
      <c r="B1361" s="11"/>
      <c r="C1361" s="11"/>
      <c r="D1361" s="11" t="str">
        <f>IFERROR(__xludf.DUMMYFUNCTION("""COMPUTED_VALUE"""),"ENFERMEIRO 30H - DIARISTA")</f>
        <v>ENFERMEIRO 30H - DIARISTA</v>
      </c>
      <c r="E1361" s="11"/>
      <c r="F1361" s="11" t="str">
        <f>IFERROR(__xludf.DUMMYFUNCTION("""COMPUTED_VALUE"""),"US_159 POLICLINICA AGAMENON MAGALHAES")</f>
        <v>US_159 POLICLINICA AGAMENON MAGALHAES</v>
      </c>
      <c r="G1361" s="11" t="str">
        <f>IFERROR(__xludf.DUMMYFUNCTION("""COMPUTED_VALUE"""),"US_159 POLICLINICA AGAMENON MAGALHAES")</f>
        <v>US_159 POLICLINICA AGAMENON MAGALHAES</v>
      </c>
      <c r="H1361" s="11"/>
      <c r="I1361" s="11"/>
      <c r="J1361" s="11"/>
      <c r="K1361" s="11"/>
      <c r="L1361" s="11"/>
      <c r="M1361" s="11"/>
      <c r="N1361" s="11"/>
      <c r="O1361" s="11">
        <f>IFERROR(__xludf.DUMMYFUNCTION("""COMPUTED_VALUE"""),8926529428)</f>
        <v>8926529428</v>
      </c>
      <c r="P1361" s="11"/>
      <c r="Q1361" s="11"/>
      <c r="R1361" s="11"/>
      <c r="S1361" s="11"/>
      <c r="T1361" s="11"/>
      <c r="U1361" s="11"/>
      <c r="V1361" s="11"/>
      <c r="W1361" s="11"/>
      <c r="X1361" s="11"/>
      <c r="Y1361" s="11"/>
      <c r="Z1361" s="11"/>
    </row>
    <row r="1362" customHeight="1" spans="1:26">
      <c r="A1362" s="11" t="str">
        <f>IFERROR(__xludf.DUMMYFUNCTION("""COMPUTED_VALUE"""),"MIKAEL LIMA BRASIL")</f>
        <v>MIKAEL LIMA BRASIL</v>
      </c>
      <c r="B1362" s="11"/>
      <c r="C1362" s="11"/>
      <c r="D1362" s="11" t="str">
        <f>IFERROR(__xludf.DUMMYFUNCTION("""COMPUTED_VALUE"""),"ENFERMEIRO 30H - PLANTONISTA")</f>
        <v>ENFERMEIRO 30H - PLANTONISTA</v>
      </c>
      <c r="E1362" s="11"/>
      <c r="F1362" s="11" t="str">
        <f>IFERROR(__xludf.DUMMYFUNCTION("""COMPUTED_VALUE"""),"US_159 POLICLINICA AGAMENON MAGALHAES")</f>
        <v>US_159 POLICLINICA AGAMENON MAGALHAES</v>
      </c>
      <c r="G1362" s="11" t="str">
        <f>IFERROR(__xludf.DUMMYFUNCTION("""COMPUTED_VALUE"""),"US_159 POLICLINICA AGAMENON MAGALHAES")</f>
        <v>US_159 POLICLINICA AGAMENON MAGALHAES</v>
      </c>
      <c r="H1362" s="11"/>
      <c r="I1362" s="11"/>
      <c r="J1362" s="11"/>
      <c r="K1362" s="11"/>
      <c r="L1362" s="11"/>
      <c r="M1362" s="11"/>
      <c r="N1362" s="11"/>
      <c r="O1362" s="11">
        <f>IFERROR(__xludf.DUMMYFUNCTION("""COMPUTED_VALUE"""),8926529428)</f>
        <v>8926529428</v>
      </c>
      <c r="P1362" s="11"/>
      <c r="Q1362" s="11"/>
      <c r="R1362" s="11"/>
      <c r="S1362" s="11"/>
      <c r="T1362" s="11"/>
      <c r="U1362" s="11"/>
      <c r="V1362" s="11"/>
      <c r="W1362" s="11"/>
      <c r="X1362" s="11"/>
      <c r="Y1362" s="11"/>
      <c r="Z1362" s="11"/>
    </row>
    <row r="1363" customHeight="1" spans="1:26">
      <c r="A1363" s="11" t="str">
        <f>IFERROR(__xludf.DUMMYFUNCTION("""COMPUTED_VALUE"""),"WILLAMS HENRIQUE DA C MAYNART")</f>
        <v>WILLAMS HENRIQUE DA C MAYNART</v>
      </c>
      <c r="B1363" s="11"/>
      <c r="C1363" s="11"/>
      <c r="D1363" s="11" t="str">
        <f>IFERROR(__xludf.DUMMYFUNCTION("""COMPUTED_VALUE"""),"ENFERMEIRO 30H - PLANTONISTA")</f>
        <v>ENFERMEIRO 30H - PLANTONISTA</v>
      </c>
      <c r="E1363" s="11"/>
      <c r="F1363" s="11" t="str">
        <f>IFERROR(__xludf.DUMMYFUNCTION("""COMPUTED_VALUE"""),"US_159 POLICLINICA AGAMENON MAGALHAES")</f>
        <v>US_159 POLICLINICA AGAMENON MAGALHAES</v>
      </c>
      <c r="G1363" s="11" t="str">
        <f>IFERROR(__xludf.DUMMYFUNCTION("""COMPUTED_VALUE"""),"US_159 POLICLINICA AGAMENON MAGALHAES")</f>
        <v>US_159 POLICLINICA AGAMENON MAGALHAES</v>
      </c>
      <c r="H1363" s="11"/>
      <c r="I1363" s="11"/>
      <c r="J1363" s="11"/>
      <c r="K1363" s="11"/>
      <c r="L1363" s="11"/>
      <c r="M1363" s="11"/>
      <c r="N1363" s="11"/>
      <c r="O1363" s="11">
        <f>IFERROR(__xludf.DUMMYFUNCTION("""COMPUTED_VALUE"""),5927652450)</f>
        <v>5927652450</v>
      </c>
      <c r="P1363" s="11"/>
      <c r="Q1363" s="11"/>
      <c r="R1363" s="11"/>
      <c r="S1363" s="11"/>
      <c r="T1363" s="11"/>
      <c r="U1363" s="11"/>
      <c r="V1363" s="11"/>
      <c r="W1363" s="11"/>
      <c r="X1363" s="11"/>
      <c r="Y1363" s="11"/>
      <c r="Z1363" s="11"/>
    </row>
    <row r="1364" customHeight="1" spans="1:26">
      <c r="A1364" s="11" t="str">
        <f>IFERROR(__xludf.DUMMYFUNCTION("""COMPUTED_VALUE"""),"CLAUDIA ZIPORIANA DE O ARAUJO")</f>
        <v>CLAUDIA ZIPORIANA DE O ARAUJO</v>
      </c>
      <c r="B1364" s="11"/>
      <c r="C1364" s="11"/>
      <c r="D1364" s="11" t="str">
        <f>IFERROR(__xludf.DUMMYFUNCTION("""COMPUTED_VALUE"""),"ENFERMEIRO 30H - PLANTONISTA")</f>
        <v>ENFERMEIRO 30H - PLANTONISTA</v>
      </c>
      <c r="E1364" s="11"/>
      <c r="F1364" s="11" t="str">
        <f>IFERROR(__xludf.DUMMYFUNCTION("""COMPUTED_VALUE"""),"US_169 POLICLINICA AMAURY COUTINHO")</f>
        <v>US_169 POLICLINICA AMAURY COUTINHO</v>
      </c>
      <c r="G1364" s="11" t="str">
        <f>IFERROR(__xludf.DUMMYFUNCTION("""COMPUTED_VALUE"""),"US_169 POLICLINICA AMAURY COUTINHO")</f>
        <v>US_169 POLICLINICA AMAURY COUTINHO</v>
      </c>
      <c r="H1364" s="11"/>
      <c r="I1364" s="11"/>
      <c r="J1364" s="11"/>
      <c r="K1364" s="11"/>
      <c r="L1364" s="11"/>
      <c r="M1364" s="11"/>
      <c r="N1364" s="11"/>
      <c r="O1364" s="11">
        <f>IFERROR(__xludf.DUMMYFUNCTION("""COMPUTED_VALUE"""),4311806442)</f>
        <v>4311806442</v>
      </c>
      <c r="P1364" s="11"/>
      <c r="Q1364" s="11"/>
      <c r="R1364" s="11"/>
      <c r="S1364" s="11"/>
      <c r="T1364" s="11"/>
      <c r="U1364" s="11"/>
      <c r="V1364" s="11"/>
      <c r="W1364" s="11"/>
      <c r="X1364" s="11"/>
      <c r="Y1364" s="11"/>
      <c r="Z1364" s="11"/>
    </row>
    <row r="1365" customHeight="1" spans="1:26">
      <c r="A1365" s="11" t="str">
        <f>IFERROR(__xludf.DUMMYFUNCTION("""COMPUTED_VALUE"""),"DANIELA MARIA DOS SANTOS")</f>
        <v>DANIELA MARIA DOS SANTOS</v>
      </c>
      <c r="B1365" s="11"/>
      <c r="C1365" s="11"/>
      <c r="D1365" s="11" t="str">
        <f>IFERROR(__xludf.DUMMYFUNCTION("""COMPUTED_VALUE"""),"ENFERMEIRO 30H - DIARISTA")</f>
        <v>ENFERMEIRO 30H - DIARISTA</v>
      </c>
      <c r="E1365" s="11"/>
      <c r="F1365" s="11" t="str">
        <f>IFERROR(__xludf.DUMMYFUNCTION("""COMPUTED_VALUE"""),"US_169 POLICLINICA AMAURY COUTINHO")</f>
        <v>US_169 POLICLINICA AMAURY COUTINHO</v>
      </c>
      <c r="G1365" s="11" t="str">
        <f>IFERROR(__xludf.DUMMYFUNCTION("""COMPUTED_VALUE"""),"US_169 POLICLINICA AMAURY COUTINHO")</f>
        <v>US_169 POLICLINICA AMAURY COUTINHO</v>
      </c>
      <c r="H1365" s="11"/>
      <c r="I1365" s="11"/>
      <c r="J1365" s="11"/>
      <c r="K1365" s="11"/>
      <c r="L1365" s="11"/>
      <c r="M1365" s="11"/>
      <c r="N1365" s="11"/>
      <c r="O1365" s="11">
        <f>IFERROR(__xludf.DUMMYFUNCTION("""COMPUTED_VALUE"""),2739299419)</f>
        <v>2739299419</v>
      </c>
      <c r="P1365" s="11"/>
      <c r="Q1365" s="11"/>
      <c r="R1365" s="11"/>
      <c r="S1365" s="11"/>
      <c r="T1365" s="11"/>
      <c r="U1365" s="11"/>
      <c r="V1365" s="11"/>
      <c r="W1365" s="11"/>
      <c r="X1365" s="11"/>
      <c r="Y1365" s="11"/>
      <c r="Z1365" s="11"/>
    </row>
    <row r="1366" customHeight="1" spans="1:26">
      <c r="A1366" s="11" t="str">
        <f>IFERROR(__xludf.DUMMYFUNCTION("""COMPUTED_VALUE"""),"JAVANNA LACERDA G DA S FREITAS")</f>
        <v>JAVANNA LACERDA G DA S FREITAS</v>
      </c>
      <c r="B1366" s="11"/>
      <c r="C1366" s="11"/>
      <c r="D1366" s="11" t="str">
        <f>IFERROR(__xludf.DUMMYFUNCTION("""COMPUTED_VALUE"""),"ENFERMEIRO 30H - PLANTONISTA")</f>
        <v>ENFERMEIRO 30H - PLANTONISTA</v>
      </c>
      <c r="E1366" s="11"/>
      <c r="F1366" s="11" t="str">
        <f>IFERROR(__xludf.DUMMYFUNCTION("""COMPUTED_VALUE"""),"US_169 POLICLINICA AMAURY COUTINHO")</f>
        <v>US_169 POLICLINICA AMAURY COUTINHO</v>
      </c>
      <c r="G1366" s="11" t="str">
        <f>IFERROR(__xludf.DUMMYFUNCTION("""COMPUTED_VALUE"""),"US_169 POLICLINICA AMAURY COUTINHO")</f>
        <v>US_169 POLICLINICA AMAURY COUTINHO</v>
      </c>
      <c r="H1366" s="11"/>
      <c r="I1366" s="11"/>
      <c r="J1366" s="11"/>
      <c r="K1366" s="11"/>
      <c r="L1366" s="11"/>
      <c r="M1366" s="11"/>
      <c r="N1366" s="11"/>
      <c r="O1366" s="11">
        <f>IFERROR(__xludf.DUMMYFUNCTION("""COMPUTED_VALUE"""),7073732474)</f>
        <v>7073732474</v>
      </c>
      <c r="P1366" s="11"/>
      <c r="Q1366" s="11"/>
      <c r="R1366" s="11"/>
      <c r="S1366" s="11"/>
      <c r="T1366" s="11"/>
      <c r="U1366" s="11"/>
      <c r="V1366" s="11"/>
      <c r="W1366" s="11"/>
      <c r="X1366" s="11"/>
      <c r="Y1366" s="11"/>
      <c r="Z1366" s="11"/>
    </row>
    <row r="1367" customHeight="1" spans="1:26">
      <c r="A1367" s="11" t="str">
        <f>IFERROR(__xludf.DUMMYFUNCTION("""COMPUTED_VALUE"""),"MAGDA DOMINGOS BARBOSA")</f>
        <v>MAGDA DOMINGOS BARBOSA</v>
      </c>
      <c r="B1367" s="11"/>
      <c r="C1367" s="11"/>
      <c r="D1367" s="11" t="str">
        <f>IFERROR(__xludf.DUMMYFUNCTION("""COMPUTED_VALUE"""),"ENFERMEIRO 30H - PLANTONISTA")</f>
        <v>ENFERMEIRO 30H - PLANTONISTA</v>
      </c>
      <c r="E1367" s="11"/>
      <c r="F1367" s="11" t="str">
        <f>IFERROR(__xludf.DUMMYFUNCTION("""COMPUTED_VALUE"""),"US_169 POLICLINICA AMAURY COUTINHO")</f>
        <v>US_169 POLICLINICA AMAURY COUTINHO</v>
      </c>
      <c r="G1367" s="11" t="str">
        <f>IFERROR(__xludf.DUMMYFUNCTION("""COMPUTED_VALUE"""),"US_169 POLICLINICA AMAURY COUTINHO")</f>
        <v>US_169 POLICLINICA AMAURY COUTINHO</v>
      </c>
      <c r="H1367" s="11"/>
      <c r="I1367" s="11"/>
      <c r="J1367" s="11"/>
      <c r="K1367" s="11"/>
      <c r="L1367" s="11"/>
      <c r="M1367" s="11"/>
      <c r="N1367" s="11"/>
      <c r="O1367" s="11">
        <f>IFERROR(__xludf.DUMMYFUNCTION("""COMPUTED_VALUE"""),7390884673)</f>
        <v>7390884673</v>
      </c>
      <c r="P1367" s="11"/>
      <c r="Q1367" s="11"/>
      <c r="R1367" s="11"/>
      <c r="S1367" s="11"/>
      <c r="T1367" s="11"/>
      <c r="U1367" s="11"/>
      <c r="V1367" s="11"/>
      <c r="W1367" s="11"/>
      <c r="X1367" s="11"/>
      <c r="Y1367" s="11"/>
      <c r="Z1367" s="11"/>
    </row>
    <row r="1368" customHeight="1" spans="1:26">
      <c r="A1368" s="11" t="str">
        <f>IFERROR(__xludf.DUMMYFUNCTION("""COMPUTED_VALUE"""),"HELANE KARINA DE LIMA PEDROSA")</f>
        <v>HELANE KARINA DE LIMA PEDROSA</v>
      </c>
      <c r="B1368" s="11"/>
      <c r="C1368" s="11"/>
      <c r="D1368" s="11" t="str">
        <f>IFERROR(__xludf.DUMMYFUNCTION("""COMPUTED_VALUE"""),"ENFERMEIRO 30H - PLANTONISTA")</f>
        <v>ENFERMEIRO 30H - PLANTONISTA</v>
      </c>
      <c r="E1368" s="11"/>
      <c r="F1368" s="11" t="str">
        <f>IFERROR(__xludf.DUMMYFUNCTION("""COMPUTED_VALUE"""),"US_169 POLICLINICA AMAURY COUTINHO")</f>
        <v>US_169 POLICLINICA AMAURY COUTINHO</v>
      </c>
      <c r="G1368" s="11" t="str">
        <f>IFERROR(__xludf.DUMMYFUNCTION("""COMPUTED_VALUE"""),"US_169 POLICLINICA AMAURY COUTINHO")</f>
        <v>US_169 POLICLINICA AMAURY COUTINHO</v>
      </c>
      <c r="H1368" s="11"/>
      <c r="I1368" s="11"/>
      <c r="J1368" s="11"/>
      <c r="K1368" s="11"/>
      <c r="L1368" s="11"/>
      <c r="M1368" s="11"/>
      <c r="N1368" s="11"/>
      <c r="O1368" s="11">
        <f>IFERROR(__xludf.DUMMYFUNCTION("""COMPUTED_VALUE"""),92000355404)</f>
        <v>92000355404</v>
      </c>
      <c r="P1368" s="11"/>
      <c r="Q1368" s="11"/>
      <c r="R1368" s="11"/>
      <c r="S1368" s="11"/>
      <c r="T1368" s="11"/>
      <c r="U1368" s="11"/>
      <c r="V1368" s="11"/>
      <c r="W1368" s="11"/>
      <c r="X1368" s="11"/>
      <c r="Y1368" s="11"/>
      <c r="Z1368" s="11"/>
    </row>
    <row r="1369" customHeight="1" spans="1:26">
      <c r="A1369" s="11" t="str">
        <f>IFERROR(__xludf.DUMMYFUNCTION("""COMPUTED_VALUE"""),"WALLISON PEREIRA DOS SANTOS")</f>
        <v>WALLISON PEREIRA DOS SANTOS</v>
      </c>
      <c r="B1369" s="11"/>
      <c r="C1369" s="11"/>
      <c r="D1369" s="11" t="str">
        <f>IFERROR(__xludf.DUMMYFUNCTION("""COMPUTED_VALUE"""),"ENFERMEIRO 30H - PLANTONISTA")</f>
        <v>ENFERMEIRO 30H - PLANTONISTA</v>
      </c>
      <c r="E1369" s="11"/>
      <c r="F1369" s="11" t="str">
        <f>IFERROR(__xludf.DUMMYFUNCTION("""COMPUTED_VALUE"""),"US_169 POLICLINICA AMAURY COUTINHO")</f>
        <v>US_169 POLICLINICA AMAURY COUTINHO</v>
      </c>
      <c r="G1369" s="11" t="str">
        <f>IFERROR(__xludf.DUMMYFUNCTION("""COMPUTED_VALUE"""),"US_169 POLICLINICA AMAURY COUTINHO")</f>
        <v>US_169 POLICLINICA AMAURY COUTINHO</v>
      </c>
      <c r="H1369" s="11"/>
      <c r="I1369" s="11"/>
      <c r="J1369" s="11"/>
      <c r="K1369" s="11"/>
      <c r="L1369" s="11"/>
      <c r="M1369" s="11"/>
      <c r="N1369" s="11"/>
      <c r="O1369" s="11">
        <f>IFERROR(__xludf.DUMMYFUNCTION("""COMPUTED_VALUE"""),10773157409)</f>
        <v>10773157409</v>
      </c>
      <c r="P1369" s="11"/>
      <c r="Q1369" s="11"/>
      <c r="R1369" s="11"/>
      <c r="S1369" s="11"/>
      <c r="T1369" s="11"/>
      <c r="U1369" s="11"/>
      <c r="V1369" s="11"/>
      <c r="W1369" s="11"/>
      <c r="X1369" s="11"/>
      <c r="Y1369" s="11"/>
      <c r="Z1369" s="11"/>
    </row>
    <row r="1370" customHeight="1" spans="1:26">
      <c r="A1370" s="11" t="str">
        <f>IFERROR(__xludf.DUMMYFUNCTION("""COMPUTED_VALUE"""),"ALEX BERNARDO DA SILVA")</f>
        <v>ALEX BERNARDO DA SILVA</v>
      </c>
      <c r="B1370" s="11"/>
      <c r="C1370" s="11"/>
      <c r="D1370" s="11" t="str">
        <f>IFERROR(__xludf.DUMMYFUNCTION("""COMPUTED_VALUE"""),"ENFERMEIRO 30H - PLANTONISTA")</f>
        <v>ENFERMEIRO 30H - PLANTONISTA</v>
      </c>
      <c r="E1370" s="11"/>
      <c r="F1370" s="11" t="str">
        <f>IFERROR(__xludf.DUMMYFUNCTION("""COMPUTED_VALUE"""),"US_169 POLICLINICA AMAURY COUTINHO")</f>
        <v>US_169 POLICLINICA AMAURY COUTINHO</v>
      </c>
      <c r="G1370" s="11" t="str">
        <f>IFERROR(__xludf.DUMMYFUNCTION("""COMPUTED_VALUE"""),"US_169 POLICLINICA AMAURY COUTINHO")</f>
        <v>US_169 POLICLINICA AMAURY COUTINHO</v>
      </c>
      <c r="H1370" s="11"/>
      <c r="I1370" s="11"/>
      <c r="J1370" s="11"/>
      <c r="K1370" s="11"/>
      <c r="L1370" s="11"/>
      <c r="M1370" s="11"/>
      <c r="N1370" s="11"/>
      <c r="O1370" s="11">
        <f>IFERROR(__xludf.DUMMYFUNCTION("""COMPUTED_VALUE"""),2155197446)</f>
        <v>2155197446</v>
      </c>
      <c r="P1370" s="11"/>
      <c r="Q1370" s="11"/>
      <c r="R1370" s="11"/>
      <c r="S1370" s="11"/>
      <c r="T1370" s="11"/>
      <c r="U1370" s="11"/>
      <c r="V1370" s="11"/>
      <c r="W1370" s="11"/>
      <c r="X1370" s="11"/>
      <c r="Y1370" s="11"/>
      <c r="Z1370" s="11"/>
    </row>
    <row r="1371" customHeight="1" spans="1:26">
      <c r="A1371" s="11" t="str">
        <f>IFERROR(__xludf.DUMMYFUNCTION("""COMPUTED_VALUE"""),"LUCIANA SOUZA DE MELO AZEDO")</f>
        <v>LUCIANA SOUZA DE MELO AZEDO</v>
      </c>
      <c r="B1371" s="11"/>
      <c r="C1371" s="11"/>
      <c r="D1371" s="11" t="str">
        <f>IFERROR(__xludf.DUMMYFUNCTION("""COMPUTED_VALUE"""),"ENFERMEIRO 30H - PLANTONISTA")</f>
        <v>ENFERMEIRO 30H - PLANTONISTA</v>
      </c>
      <c r="E1371" s="11"/>
      <c r="F1371" s="11" t="str">
        <f>IFERROR(__xludf.DUMMYFUNCTION("""COMPUTED_VALUE"""),"US_159 POLICLINICA AGAMENON MAGALHAES")</f>
        <v>US_159 POLICLINICA AGAMENON MAGALHAES</v>
      </c>
      <c r="G1371" s="11" t="str">
        <f>IFERROR(__xludf.DUMMYFUNCTION("""COMPUTED_VALUE"""),"US_159 POLICLINICA AGAMENON MAGALHAES")</f>
        <v>US_159 POLICLINICA AGAMENON MAGALHAES</v>
      </c>
      <c r="H1371" s="11"/>
      <c r="I1371" s="11"/>
      <c r="J1371" s="11"/>
      <c r="K1371" s="11"/>
      <c r="L1371" s="11"/>
      <c r="M1371" s="11"/>
      <c r="N1371" s="11"/>
      <c r="O1371" s="11">
        <f>IFERROR(__xludf.DUMMYFUNCTION("""COMPUTED_VALUE"""),6117672446)</f>
        <v>6117672446</v>
      </c>
      <c r="P1371" s="11"/>
      <c r="Q1371" s="11"/>
      <c r="R1371" s="11"/>
      <c r="S1371" s="11"/>
      <c r="T1371" s="11"/>
      <c r="U1371" s="11"/>
      <c r="V1371" s="11"/>
      <c r="W1371" s="11"/>
      <c r="X1371" s="11"/>
      <c r="Y1371" s="11"/>
      <c r="Z1371" s="11"/>
    </row>
    <row r="1372" customHeight="1" spans="1:26">
      <c r="A1372" s="11" t="str">
        <f>IFERROR(__xludf.DUMMYFUNCTION("""COMPUTED_VALUE"""),"WAGNER MACIEL SARMENTO")</f>
        <v>WAGNER MACIEL SARMENTO</v>
      </c>
      <c r="B1372" s="11"/>
      <c r="C1372" s="11"/>
      <c r="D1372" s="11" t="str">
        <f>IFERROR(__xludf.DUMMYFUNCTION("""COMPUTED_VALUE"""),"ENFERMEIRO 30H - PLANTONISTA")</f>
        <v>ENFERMEIRO 30H - PLANTONISTA</v>
      </c>
      <c r="E1372" s="11"/>
      <c r="F1372" s="11" t="str">
        <f>IFERROR(__xludf.DUMMYFUNCTION("""COMPUTED_VALUE"""),"US_335 CAPS AD ESTACAO VICENTE ARAUJO")</f>
        <v>US_335 CAPS AD ESTACAO VICENTE ARAUJO</v>
      </c>
      <c r="G1372" s="11" t="str">
        <f>IFERROR(__xludf.DUMMYFUNCTION("""COMPUTED_VALUE"""),"US_335 CAPS AD ESTACAO VICENTE ARAUJO")</f>
        <v>US_335 CAPS AD ESTACAO VICENTE ARAUJO</v>
      </c>
      <c r="H1372" s="11"/>
      <c r="I1372" s="11"/>
      <c r="J1372" s="11"/>
      <c r="K1372" s="11"/>
      <c r="L1372" s="11"/>
      <c r="M1372" s="11"/>
      <c r="N1372" s="11"/>
      <c r="O1372" s="11">
        <f>IFERROR(__xludf.DUMMYFUNCTION("""COMPUTED_VALUE"""),10717333469)</f>
        <v>10717333469</v>
      </c>
      <c r="P1372" s="11"/>
      <c r="Q1372" s="11"/>
      <c r="R1372" s="11"/>
      <c r="S1372" s="11"/>
      <c r="T1372" s="11"/>
      <c r="U1372" s="11"/>
      <c r="V1372" s="11"/>
      <c r="W1372" s="11"/>
      <c r="X1372" s="11"/>
      <c r="Y1372" s="11"/>
      <c r="Z1372" s="11"/>
    </row>
    <row r="1373" customHeight="1" spans="1:26">
      <c r="A1373" s="11" t="str">
        <f>IFERROR(__xludf.DUMMYFUNCTION("""COMPUTED_VALUE"""),"MONIQUE WANDERLEY DA S DAVI")</f>
        <v>MONIQUE WANDERLEY DA S DAVI</v>
      </c>
      <c r="B1373" s="11"/>
      <c r="C1373" s="11"/>
      <c r="D1373" s="11" t="str">
        <f>IFERROR(__xludf.DUMMYFUNCTION("""COMPUTED_VALUE"""),"ENFERMEIRO 30H - PLANTONISTA")</f>
        <v>ENFERMEIRO 30H - PLANTONISTA</v>
      </c>
      <c r="E1373" s="11"/>
      <c r="F1373" s="11" t="str">
        <f>IFERROR(__xludf.DUMMYFUNCTION("""COMPUTED_VALUE"""),"US_169 POLICLINICA AMAURY COUTINHO")</f>
        <v>US_169 POLICLINICA AMAURY COUTINHO</v>
      </c>
      <c r="G1373" s="11" t="str">
        <f>IFERROR(__xludf.DUMMYFUNCTION("""COMPUTED_VALUE"""),"US_169 POLICLINICA AMAURY COUTINHO")</f>
        <v>US_169 POLICLINICA AMAURY COUTINHO</v>
      </c>
      <c r="H1373" s="11"/>
      <c r="I1373" s="11"/>
      <c r="J1373" s="11"/>
      <c r="K1373" s="11"/>
      <c r="L1373" s="11"/>
      <c r="M1373" s="11"/>
      <c r="N1373" s="11"/>
      <c r="O1373" s="11">
        <f>IFERROR(__xludf.DUMMYFUNCTION("""COMPUTED_VALUE"""),4871736431)</f>
        <v>4871736431</v>
      </c>
      <c r="P1373" s="11"/>
      <c r="Q1373" s="11"/>
      <c r="R1373" s="11"/>
      <c r="S1373" s="11"/>
      <c r="T1373" s="11"/>
      <c r="U1373" s="11"/>
      <c r="V1373" s="11"/>
      <c r="W1373" s="11"/>
      <c r="X1373" s="11"/>
      <c r="Y1373" s="11"/>
      <c r="Z1373" s="11"/>
    </row>
    <row r="1374" customHeight="1" spans="1:26">
      <c r="A1374" s="11" t="str">
        <f>IFERROR(__xludf.DUMMYFUNCTION("""COMPUTED_VALUE"""),"LUCIANA PRISCILA DE A S SILVA")</f>
        <v>LUCIANA PRISCILA DE A S SILVA</v>
      </c>
      <c r="B1374" s="11"/>
      <c r="C1374" s="11"/>
      <c r="D1374" s="11" t="str">
        <f>IFERROR(__xludf.DUMMYFUNCTION("""COMPUTED_VALUE"""),"ENFERMEIRO 30H - PLANTONISTA")</f>
        <v>ENFERMEIRO 30H - PLANTONISTA</v>
      </c>
      <c r="E1374" s="11"/>
      <c r="F1374" s="11" t="str">
        <f>IFERROR(__xludf.DUMMYFUNCTION("""COMPUTED_VALUE"""),"US_169 POLICLINICA AMAURY COUTINHO")</f>
        <v>US_169 POLICLINICA AMAURY COUTINHO</v>
      </c>
      <c r="G1374" s="11" t="str">
        <f>IFERROR(__xludf.DUMMYFUNCTION("""COMPUTED_VALUE"""),"US_169 POLICLINICA AMAURY COUTINHO")</f>
        <v>US_169 POLICLINICA AMAURY COUTINHO</v>
      </c>
      <c r="H1374" s="11"/>
      <c r="I1374" s="11"/>
      <c r="J1374" s="11"/>
      <c r="K1374" s="11"/>
      <c r="L1374" s="11"/>
      <c r="M1374" s="11"/>
      <c r="N1374" s="11"/>
      <c r="O1374" s="11">
        <f>IFERROR(__xludf.DUMMYFUNCTION("""COMPUTED_VALUE"""),7422653400)</f>
        <v>7422653400</v>
      </c>
      <c r="P1374" s="11"/>
      <c r="Q1374" s="11"/>
      <c r="R1374" s="11"/>
      <c r="S1374" s="11"/>
      <c r="T1374" s="11"/>
      <c r="U1374" s="11"/>
      <c r="V1374" s="11"/>
      <c r="W1374" s="11"/>
      <c r="X1374" s="11"/>
      <c r="Y1374" s="11"/>
      <c r="Z1374" s="11"/>
    </row>
    <row r="1375" customHeight="1" spans="1:26">
      <c r="A1375" s="11" t="str">
        <f>IFERROR(__xludf.DUMMYFUNCTION("""COMPUTED_VALUE"""),"RENATA MARIA DE LIMA MONTEIRO")</f>
        <v>RENATA MARIA DE LIMA MONTEIRO</v>
      </c>
      <c r="B1375" s="11"/>
      <c r="C1375" s="11"/>
      <c r="D1375" s="11" t="str">
        <f>IFERROR(__xludf.DUMMYFUNCTION("""COMPUTED_VALUE"""),"ENFERMEIRO 30H - PLANTONISTA")</f>
        <v>ENFERMEIRO 30H - PLANTONISTA</v>
      </c>
      <c r="E1375" s="11"/>
      <c r="F1375" s="11" t="str">
        <f>IFERROR(__xludf.DUMMYFUNCTION("""COMPUTED_VALUE"""),"US_169 POLICLINICA AMAURY COUTINHO")</f>
        <v>US_169 POLICLINICA AMAURY COUTINHO</v>
      </c>
      <c r="G1375" s="11" t="str">
        <f>IFERROR(__xludf.DUMMYFUNCTION("""COMPUTED_VALUE"""),"US_169 POLICLINICA AMAURY COUTINHO")</f>
        <v>US_169 POLICLINICA AMAURY COUTINHO</v>
      </c>
      <c r="H1375" s="11"/>
      <c r="I1375" s="11"/>
      <c r="J1375" s="11"/>
      <c r="K1375" s="11"/>
      <c r="L1375" s="11"/>
      <c r="M1375" s="11"/>
      <c r="N1375" s="11"/>
      <c r="O1375" s="11">
        <f>IFERROR(__xludf.DUMMYFUNCTION("""COMPUTED_VALUE"""),9806501438)</f>
        <v>9806501438</v>
      </c>
      <c r="P1375" s="11"/>
      <c r="Q1375" s="11"/>
      <c r="R1375" s="11"/>
      <c r="S1375" s="11"/>
      <c r="T1375" s="11"/>
      <c r="U1375" s="11"/>
      <c r="V1375" s="11"/>
      <c r="W1375" s="11"/>
      <c r="X1375" s="11"/>
      <c r="Y1375" s="11"/>
      <c r="Z1375" s="11"/>
    </row>
    <row r="1376" customHeight="1" spans="1:26">
      <c r="A1376" s="11" t="str">
        <f>IFERROR(__xludf.DUMMYFUNCTION("""COMPUTED_VALUE"""),"LUCIANA HELENA M G FIGUEIREDO")</f>
        <v>LUCIANA HELENA M G FIGUEIREDO</v>
      </c>
      <c r="B1376" s="11"/>
      <c r="C1376" s="11"/>
      <c r="D1376" s="11" t="str">
        <f>IFERROR(__xludf.DUMMYFUNCTION("""COMPUTED_VALUE"""),"ENFERMEIRO 30H - PLANTONISTA")</f>
        <v>ENFERMEIRO 30H - PLANTONISTA</v>
      </c>
      <c r="E1376" s="11"/>
      <c r="F1376" s="11" t="str">
        <f>IFERROR(__xludf.DUMMYFUNCTION("""COMPUTED_VALUE"""),"US_169 POLICLINICA AMAURY COUTINHO")</f>
        <v>US_169 POLICLINICA AMAURY COUTINHO</v>
      </c>
      <c r="G1376" s="11" t="str">
        <f>IFERROR(__xludf.DUMMYFUNCTION("""COMPUTED_VALUE"""),"US_169 POLICLINICA AMAURY COUTINHO")</f>
        <v>US_169 POLICLINICA AMAURY COUTINHO</v>
      </c>
      <c r="H1376" s="11"/>
      <c r="I1376" s="11"/>
      <c r="J1376" s="11"/>
      <c r="K1376" s="11"/>
      <c r="L1376" s="11"/>
      <c r="M1376" s="11"/>
      <c r="N1376" s="11"/>
      <c r="O1376" s="11">
        <f>IFERROR(__xludf.DUMMYFUNCTION("""COMPUTED_VALUE"""),8000538423)</f>
        <v>8000538423</v>
      </c>
      <c r="P1376" s="11"/>
      <c r="Q1376" s="11"/>
      <c r="R1376" s="11"/>
      <c r="S1376" s="11"/>
      <c r="T1376" s="11"/>
      <c r="U1376" s="11"/>
      <c r="V1376" s="11"/>
      <c r="W1376" s="11"/>
      <c r="X1376" s="11"/>
      <c r="Y1376" s="11"/>
      <c r="Z1376" s="11"/>
    </row>
    <row r="1377" customHeight="1" spans="1:26">
      <c r="A1377" s="11" t="str">
        <f>IFERROR(__xludf.DUMMYFUNCTION("""COMPUTED_VALUE"""),"LETICIA DE SANTANA SILVA")</f>
        <v>LETICIA DE SANTANA SILVA</v>
      </c>
      <c r="B1377" s="11"/>
      <c r="C1377" s="11"/>
      <c r="D1377" s="11" t="str">
        <f>IFERROR(__xludf.DUMMYFUNCTION("""COMPUTED_VALUE"""),"ENFERMEIRO 30H - PLANTONISTA")</f>
        <v>ENFERMEIRO 30H - PLANTONISTA</v>
      </c>
      <c r="E1377" s="11"/>
      <c r="F1377" s="11" t="str">
        <f>IFERROR(__xludf.DUMMYFUNCTION("""COMPUTED_VALUE"""),"US_159 POLICLINICA AGAMENON MAGALHAES")</f>
        <v>US_159 POLICLINICA AGAMENON MAGALHAES</v>
      </c>
      <c r="G1377" s="11" t="str">
        <f>IFERROR(__xludf.DUMMYFUNCTION("""COMPUTED_VALUE"""),"US_159 POLICLINICA AGAMENON MAGALHAES")</f>
        <v>US_159 POLICLINICA AGAMENON MAGALHAES</v>
      </c>
      <c r="H1377" s="11"/>
      <c r="I1377" s="11"/>
      <c r="J1377" s="11"/>
      <c r="K1377" s="11"/>
      <c r="L1377" s="11"/>
      <c r="M1377" s="11"/>
      <c r="N1377" s="11"/>
      <c r="O1377" s="11">
        <f>IFERROR(__xludf.DUMMYFUNCTION("""COMPUTED_VALUE"""),9589655440)</f>
        <v>9589655440</v>
      </c>
      <c r="P1377" s="11"/>
      <c r="Q1377" s="11"/>
      <c r="R1377" s="11"/>
      <c r="S1377" s="11"/>
      <c r="T1377" s="11"/>
      <c r="U1377" s="11"/>
      <c r="V1377" s="11"/>
      <c r="W1377" s="11"/>
      <c r="X1377" s="11"/>
      <c r="Y1377" s="11"/>
      <c r="Z1377" s="11"/>
    </row>
    <row r="1378" customHeight="1" spans="1:26">
      <c r="A1378" s="11" t="str">
        <f>IFERROR(__xludf.DUMMYFUNCTION("""COMPUTED_VALUE"""),"CLAUDIA FERNANDA T SILVA")</f>
        <v>CLAUDIA FERNANDA T SILVA</v>
      </c>
      <c r="B1378" s="11"/>
      <c r="C1378" s="11"/>
      <c r="D1378" s="11" t="str">
        <f>IFERROR(__xludf.DUMMYFUNCTION("""COMPUTED_VALUE"""),"ENFERMEIRO 30H - PLANTONISTA")</f>
        <v>ENFERMEIRO 30H - PLANTONISTA</v>
      </c>
      <c r="E1378" s="11"/>
      <c r="F1378" s="11" t="str">
        <f>IFERROR(__xludf.DUMMYFUNCTION("""COMPUTED_VALUE"""),"US_159 POLICLINICA AGAMENON MAGALHAES")</f>
        <v>US_159 POLICLINICA AGAMENON MAGALHAES</v>
      </c>
      <c r="G1378" s="11" t="str">
        <f>IFERROR(__xludf.DUMMYFUNCTION("""COMPUTED_VALUE"""),"US_159 POLICLINICA AGAMENON MAGALHAES")</f>
        <v>US_159 POLICLINICA AGAMENON MAGALHAES</v>
      </c>
      <c r="H1378" s="11"/>
      <c r="I1378" s="11"/>
      <c r="J1378" s="11"/>
      <c r="K1378" s="11"/>
      <c r="L1378" s="11"/>
      <c r="M1378" s="11"/>
      <c r="N1378" s="11"/>
      <c r="O1378" s="11">
        <f>IFERROR(__xludf.DUMMYFUNCTION("""COMPUTED_VALUE"""),3290717500)</f>
        <v>3290717500</v>
      </c>
      <c r="P1378" s="11"/>
      <c r="Q1378" s="11"/>
      <c r="R1378" s="11"/>
      <c r="S1378" s="11"/>
      <c r="T1378" s="11"/>
      <c r="U1378" s="11"/>
      <c r="V1378" s="11"/>
      <c r="W1378" s="11"/>
      <c r="X1378" s="11"/>
      <c r="Y1378" s="11"/>
      <c r="Z1378" s="11"/>
    </row>
    <row r="1379" customHeight="1" spans="1:26">
      <c r="A1379" s="11" t="str">
        <f>IFERROR(__xludf.DUMMYFUNCTION("""COMPUTED_VALUE"""),"AMANDA TAVARES XAVIER")</f>
        <v>AMANDA TAVARES XAVIER</v>
      </c>
      <c r="B1379" s="11"/>
      <c r="C1379" s="11"/>
      <c r="D1379" s="11" t="str">
        <f>IFERROR(__xludf.DUMMYFUNCTION("""COMPUTED_VALUE"""),"ENFERMEIRO 30H - DIARISTA")</f>
        <v>ENFERMEIRO 30H - DIARISTA</v>
      </c>
      <c r="E1379" s="11"/>
      <c r="F1379" s="11" t="str">
        <f>IFERROR(__xludf.DUMMYFUNCTION("""COMPUTED_VALUE"""),"US_169 POLICLINICA AMAURY COUTINHO")</f>
        <v>US_169 POLICLINICA AMAURY COUTINHO</v>
      </c>
      <c r="G1379" s="11" t="str">
        <f>IFERROR(__xludf.DUMMYFUNCTION("""COMPUTED_VALUE"""),"US_169 POLICLINICA AMAURY COUTINHO")</f>
        <v>US_169 POLICLINICA AMAURY COUTINHO</v>
      </c>
      <c r="H1379" s="11"/>
      <c r="I1379" s="11"/>
      <c r="J1379" s="11"/>
      <c r="K1379" s="11"/>
      <c r="L1379" s="11"/>
      <c r="M1379" s="11"/>
      <c r="N1379" s="11"/>
      <c r="O1379" s="11">
        <f>IFERROR(__xludf.DUMMYFUNCTION("""COMPUTED_VALUE"""),8910856459)</f>
        <v>8910856459</v>
      </c>
      <c r="P1379" s="11"/>
      <c r="Q1379" s="11"/>
      <c r="R1379" s="11"/>
      <c r="S1379" s="11"/>
      <c r="T1379" s="11"/>
      <c r="U1379" s="11"/>
      <c r="V1379" s="11"/>
      <c r="W1379" s="11"/>
      <c r="X1379" s="11"/>
      <c r="Y1379" s="11"/>
      <c r="Z1379" s="11"/>
    </row>
    <row r="1380" customHeight="1" spans="1:26">
      <c r="A1380" s="11" t="str">
        <f>IFERROR(__xludf.DUMMYFUNCTION("""COMPUTED_VALUE"""),"AMANDA TAVARES XAVIER")</f>
        <v>AMANDA TAVARES XAVIER</v>
      </c>
      <c r="B1380" s="11"/>
      <c r="C1380" s="11"/>
      <c r="D1380" s="11" t="str">
        <f>IFERROR(__xludf.DUMMYFUNCTION("""COMPUTED_VALUE"""),"ENFERMEIRO 30H - DIARISTA")</f>
        <v>ENFERMEIRO 30H - DIARISTA</v>
      </c>
      <c r="E1380" s="11"/>
      <c r="F1380" s="11" t="str">
        <f>IFERROR(__xludf.DUMMYFUNCTION("""COMPUTED_VALUE"""),"US_169 POLICLINICA AMAURY COUTINHO")</f>
        <v>US_169 POLICLINICA AMAURY COUTINHO</v>
      </c>
      <c r="G1380" s="11" t="str">
        <f>IFERROR(__xludf.DUMMYFUNCTION("""COMPUTED_VALUE"""),"US_169 POLICLINICA AMAURY COUTINHO")</f>
        <v>US_169 POLICLINICA AMAURY COUTINHO</v>
      </c>
      <c r="H1380" s="11"/>
      <c r="I1380" s="11"/>
      <c r="J1380" s="11"/>
      <c r="K1380" s="11"/>
      <c r="L1380" s="11"/>
      <c r="M1380" s="11"/>
      <c r="N1380" s="11"/>
      <c r="O1380" s="11">
        <f>IFERROR(__xludf.DUMMYFUNCTION("""COMPUTED_VALUE"""),8910856459)</f>
        <v>8910856459</v>
      </c>
      <c r="P1380" s="11"/>
      <c r="Q1380" s="11"/>
      <c r="R1380" s="11"/>
      <c r="S1380" s="11"/>
      <c r="T1380" s="11"/>
      <c r="U1380" s="11"/>
      <c r="V1380" s="11"/>
      <c r="W1380" s="11"/>
      <c r="X1380" s="11"/>
      <c r="Y1380" s="11"/>
      <c r="Z1380" s="11"/>
    </row>
    <row r="1381" customHeight="1" spans="1:26">
      <c r="A1381" s="11" t="str">
        <f>IFERROR(__xludf.DUMMYFUNCTION("""COMPUTED_VALUE"""),"JULIANA KELLY BATISTA DA SILVA")</f>
        <v>JULIANA KELLY BATISTA DA SILVA</v>
      </c>
      <c r="B1381" s="11"/>
      <c r="C1381" s="11"/>
      <c r="D1381" s="11" t="str">
        <f>IFERROR(__xludf.DUMMYFUNCTION("""COMPUTED_VALUE"""),"ENFERMEIRO 30H - PLANTONISTA")</f>
        <v>ENFERMEIRO 30H - PLANTONISTA</v>
      </c>
      <c r="E1381" s="11"/>
      <c r="F1381" s="11" t="str">
        <f>IFERROR(__xludf.DUMMYFUNCTION("""COMPUTED_VALUE"""),"US_169 POLICLINICA AMAURY COUTINHO")</f>
        <v>US_169 POLICLINICA AMAURY COUTINHO</v>
      </c>
      <c r="G1381" s="11" t="str">
        <f>IFERROR(__xludf.DUMMYFUNCTION("""COMPUTED_VALUE"""),"US_169 POLICLINICA AMAURY COUTINHO")</f>
        <v>US_169 POLICLINICA AMAURY COUTINHO</v>
      </c>
      <c r="H1381" s="11"/>
      <c r="I1381" s="11"/>
      <c r="J1381" s="11"/>
      <c r="K1381" s="11"/>
      <c r="L1381" s="11"/>
      <c r="M1381" s="11"/>
      <c r="N1381" s="11"/>
      <c r="O1381" s="11">
        <f>IFERROR(__xludf.DUMMYFUNCTION("""COMPUTED_VALUE"""),9556620443)</f>
        <v>9556620443</v>
      </c>
      <c r="P1381" s="11"/>
      <c r="Q1381" s="11"/>
      <c r="R1381" s="11"/>
      <c r="S1381" s="11"/>
      <c r="T1381" s="11"/>
      <c r="U1381" s="11"/>
      <c r="V1381" s="11"/>
      <c r="W1381" s="11"/>
      <c r="X1381" s="11"/>
      <c r="Y1381" s="11"/>
      <c r="Z1381" s="11"/>
    </row>
    <row r="1382" customHeight="1" spans="1:26">
      <c r="A1382" s="11" t="str">
        <f>IFERROR(__xludf.DUMMYFUNCTION("""COMPUTED_VALUE"""),"CELIA CRISTINA DE LIMA")</f>
        <v>CELIA CRISTINA DE LIMA</v>
      </c>
      <c r="B1382" s="11"/>
      <c r="C1382" s="11"/>
      <c r="D1382" s="11" t="str">
        <f>IFERROR(__xludf.DUMMYFUNCTION("""COMPUTED_VALUE"""),"ENFERMEIRO 30H - PLANTONISTA")</f>
        <v>ENFERMEIRO 30H - PLANTONISTA</v>
      </c>
      <c r="E1382" s="11"/>
      <c r="F1382" s="11" t="str">
        <f>IFERROR(__xludf.DUMMYFUNCTION("""COMPUTED_VALUE"""),"")</f>
        <v/>
      </c>
      <c r="G1382" s="11" t="str">
        <f>IFERROR(__xludf.DUMMYFUNCTION("""COMPUTED_VALUE"""),"")</f>
        <v/>
      </c>
      <c r="H1382" s="34">
        <f>IFERROR(__xludf.DUMMYFUNCTION("""COMPUTED_VALUE"""),81997274315)</f>
        <v>81997274315</v>
      </c>
      <c r="I1382" s="27">
        <f>IFERROR(__xludf.DUMMYFUNCTION("""COMPUTED_VALUE"""),81997274315)</f>
        <v>81997274315</v>
      </c>
      <c r="J1382" s="11"/>
      <c r="K1382" s="11"/>
      <c r="L1382" s="11"/>
      <c r="M1382" s="11"/>
      <c r="N1382" s="11"/>
      <c r="O1382" s="11"/>
      <c r="P1382" s="11"/>
      <c r="Q1382" s="11"/>
      <c r="R1382" s="11"/>
      <c r="S1382" s="11"/>
      <c r="T1382" s="11"/>
      <c r="U1382" s="11"/>
      <c r="V1382" s="11"/>
      <c r="W1382" s="11"/>
      <c r="X1382" s="11"/>
      <c r="Y1382" s="11"/>
      <c r="Z1382" s="11"/>
    </row>
    <row r="1383" customHeight="1" spans="1:26">
      <c r="A1383" s="11" t="str">
        <f>IFERROR(__xludf.DUMMYFUNCTION("""COMPUTED_VALUE"""),"ROSA EMILIA CERQUINHO BEZERRA")</f>
        <v>ROSA EMILIA CERQUINHO BEZERRA</v>
      </c>
      <c r="B1383" s="11"/>
      <c r="C1383" s="11"/>
      <c r="D1383" s="11" t="str">
        <f>IFERROR(__xludf.DUMMYFUNCTION("""COMPUTED_VALUE"""),"ENFERMEIRO 30H")</f>
        <v>ENFERMEIRO 30H</v>
      </c>
      <c r="E1383" s="11"/>
      <c r="F1383" s="11" t="str">
        <f>IFERROR(__xludf.DUMMYFUNCTION("""COMPUTED_VALUE"""),"US_162 POLICLINICA ALBERT SABIN")</f>
        <v>US_162 POLICLINICA ALBERT SABIN</v>
      </c>
      <c r="G1383" s="11" t="str">
        <f>IFERROR(__xludf.DUMMYFUNCTION("""COMPUTED_VALUE"""),"US_162 POLICLINICA ALBERT SABIN")</f>
        <v>US_162 POLICLINICA ALBERT SABIN</v>
      </c>
      <c r="H1383" s="11"/>
      <c r="I1383" s="11"/>
      <c r="J1383" s="11"/>
      <c r="K1383" s="11"/>
      <c r="L1383" s="11"/>
      <c r="M1383" s="11"/>
      <c r="N1383" s="11"/>
      <c r="O1383" s="11">
        <f>IFERROR(__xludf.DUMMYFUNCTION("""COMPUTED_VALUE"""),65991761434)</f>
        <v>65991761434</v>
      </c>
      <c r="P1383" s="11"/>
      <c r="Q1383" s="11"/>
      <c r="R1383" s="11"/>
      <c r="S1383" s="11"/>
      <c r="T1383" s="11"/>
      <c r="U1383" s="11"/>
      <c r="V1383" s="11"/>
      <c r="W1383" s="11"/>
      <c r="X1383" s="11"/>
      <c r="Y1383" s="11"/>
      <c r="Z1383" s="11"/>
    </row>
    <row r="1384" customHeight="1" spans="1:26">
      <c r="A1384" s="11" t="str">
        <f>IFERROR(__xludf.DUMMYFUNCTION("""COMPUTED_VALUE"""),"MARIA DO CARMO GOMES DE ARAUJO")</f>
        <v>MARIA DO CARMO GOMES DE ARAUJO</v>
      </c>
      <c r="B1384" s="11"/>
      <c r="C1384" s="11"/>
      <c r="D1384" s="11" t="str">
        <f>IFERROR(__xludf.DUMMYFUNCTION("""COMPUTED_VALUE"""),"ENFERMEIRO 30H")</f>
        <v>ENFERMEIRO 30H</v>
      </c>
      <c r="E1384" s="11"/>
      <c r="F1384" s="11" t="str">
        <f>IFERROR(__xludf.DUMMYFUNCTION("""COMPUTED_VALUE"""),"US_128 POLICLINICA LESSA DE ANDRADE")</f>
        <v>US_128 POLICLINICA LESSA DE ANDRADE</v>
      </c>
      <c r="G1384" s="11" t="str">
        <f>IFERROR(__xludf.DUMMYFUNCTION("""COMPUTED_VALUE"""),"US_128 POLICLINICA LESSA DE ANDRADE")</f>
        <v>US_128 POLICLINICA LESSA DE ANDRADE</v>
      </c>
      <c r="H1384" s="11"/>
      <c r="I1384" s="11"/>
      <c r="J1384" s="11"/>
      <c r="K1384" s="11"/>
      <c r="L1384" s="11"/>
      <c r="M1384" s="11"/>
      <c r="N1384" s="11"/>
      <c r="O1384" s="11">
        <f>IFERROR(__xludf.DUMMYFUNCTION("""COMPUTED_VALUE"""),9773037487)</f>
        <v>9773037487</v>
      </c>
      <c r="P1384" s="11"/>
      <c r="Q1384" s="11"/>
      <c r="R1384" s="11"/>
      <c r="S1384" s="11"/>
      <c r="T1384" s="11"/>
      <c r="U1384" s="11"/>
      <c r="V1384" s="11"/>
      <c r="W1384" s="11"/>
      <c r="X1384" s="11"/>
      <c r="Y1384" s="11"/>
      <c r="Z1384" s="11"/>
    </row>
    <row r="1385" customHeight="1" spans="1:26">
      <c r="A1385" s="11" t="str">
        <f>IFERROR(__xludf.DUMMYFUNCTION("""COMPUTED_VALUE"""),"MARIA DE FATIMA MELO VICTOR")</f>
        <v>MARIA DE FATIMA MELO VICTOR</v>
      </c>
      <c r="B1385" s="11"/>
      <c r="C1385" s="11"/>
      <c r="D1385" s="11" t="str">
        <f>IFERROR(__xludf.DUMMYFUNCTION("""COMPUTED_VALUE"""),"ENFERMEIRO 30H")</f>
        <v>ENFERMEIRO 30H</v>
      </c>
      <c r="E1385" s="11"/>
      <c r="F1385" s="11" t="str">
        <f>IFERROR(__xludf.DUMMYFUNCTION("""COMPUTED_VALUE"""),"US_160 POLICLINICA GOUVEIA DE BARROS")</f>
        <v>US_160 POLICLINICA GOUVEIA DE BARROS</v>
      </c>
      <c r="G1385" s="11" t="str">
        <f>IFERROR(__xludf.DUMMYFUNCTION("""COMPUTED_VALUE"""),"US_160 POLICLINICA GOUVEIA DE BARROS")</f>
        <v>US_160 POLICLINICA GOUVEIA DE BARROS</v>
      </c>
      <c r="H1385" s="11"/>
      <c r="I1385" s="11"/>
      <c r="J1385" s="11"/>
      <c r="K1385" s="11"/>
      <c r="L1385" s="11"/>
      <c r="M1385" s="11"/>
      <c r="N1385" s="11"/>
      <c r="O1385" s="11">
        <f>IFERROR(__xludf.DUMMYFUNCTION("""COMPUTED_VALUE"""),12843750482)</f>
        <v>12843750482</v>
      </c>
      <c r="P1385" s="11"/>
      <c r="Q1385" s="11"/>
      <c r="R1385" s="11"/>
      <c r="S1385" s="11"/>
      <c r="T1385" s="11"/>
      <c r="U1385" s="11"/>
      <c r="V1385" s="11"/>
      <c r="W1385" s="11"/>
      <c r="X1385" s="11"/>
      <c r="Y1385" s="11"/>
      <c r="Z1385" s="11"/>
    </row>
    <row r="1386" customHeight="1" spans="1:26">
      <c r="A1386" s="11" t="str">
        <f>IFERROR(__xludf.DUMMYFUNCTION("""COMPUTED_VALUE"""),"MARCIA MARIA DE F SILVA")</f>
        <v>MARCIA MARIA DE F SILVA</v>
      </c>
      <c r="B1386" s="11"/>
      <c r="C1386" s="11"/>
      <c r="D1386" s="11" t="str">
        <f>IFERROR(__xludf.DUMMYFUNCTION("""COMPUTED_VALUE"""),"ENFERMEIRO 30H")</f>
        <v>ENFERMEIRO 30H</v>
      </c>
      <c r="E1386" s="11"/>
      <c r="F1386" s="11" t="str">
        <f>IFERROR(__xludf.DUMMYFUNCTION("""COMPUTED_VALUE"""),"US_128 POLICLINICA LESSA DE ANDRADE")</f>
        <v>US_128 POLICLINICA LESSA DE ANDRADE</v>
      </c>
      <c r="G1386" s="11" t="str">
        <f>IFERROR(__xludf.DUMMYFUNCTION("""COMPUTED_VALUE"""),"US_128 POLICLINICA LESSA DE ANDRADE")</f>
        <v>US_128 POLICLINICA LESSA DE ANDRADE</v>
      </c>
      <c r="H1386" s="11"/>
      <c r="I1386" s="11"/>
      <c r="J1386" s="11"/>
      <c r="K1386" s="11"/>
      <c r="L1386" s="11"/>
      <c r="M1386" s="11"/>
      <c r="N1386" s="11"/>
      <c r="O1386" s="11">
        <f>IFERROR(__xludf.DUMMYFUNCTION("""COMPUTED_VALUE"""),24823953487)</f>
        <v>24823953487</v>
      </c>
      <c r="P1386" s="11"/>
      <c r="Q1386" s="11"/>
      <c r="R1386" s="11"/>
      <c r="S1386" s="11"/>
      <c r="T1386" s="11"/>
      <c r="U1386" s="11"/>
      <c r="V1386" s="11"/>
      <c r="W1386" s="11"/>
      <c r="X1386" s="11"/>
      <c r="Y1386" s="11"/>
      <c r="Z1386" s="11"/>
    </row>
    <row r="1387" customHeight="1" spans="1:26">
      <c r="A1387" s="11" t="str">
        <f>IFERROR(__xludf.DUMMYFUNCTION("""COMPUTED_VALUE"""),"LUCIANA REGINA DE B PINHEIRO")</f>
        <v>LUCIANA REGINA DE B PINHEIRO</v>
      </c>
      <c r="B1387" s="11"/>
      <c r="C1387" s="11"/>
      <c r="D1387" s="11" t="str">
        <f>IFERROR(__xludf.DUMMYFUNCTION("""COMPUTED_VALUE"""),"ENFERMEIRO 30H")</f>
        <v>ENFERMEIRO 30H</v>
      </c>
      <c r="E1387" s="11"/>
      <c r="F1387" s="11" t="str">
        <f>IFERROR(__xludf.DUMMYFUNCTION("""COMPUTED_VALUE"""),"US_128 POLICLINICA LESSA DE ANDRADE")</f>
        <v>US_128 POLICLINICA LESSA DE ANDRADE</v>
      </c>
      <c r="G1387" s="11" t="str">
        <f>IFERROR(__xludf.DUMMYFUNCTION("""COMPUTED_VALUE"""),"US_128 POLICLINICA LESSA DE ANDRADE")</f>
        <v>US_128 POLICLINICA LESSA DE ANDRADE</v>
      </c>
      <c r="H1387" s="11"/>
      <c r="I1387" s="11"/>
      <c r="J1387" s="11"/>
      <c r="K1387" s="11"/>
      <c r="L1387" s="11"/>
      <c r="M1387" s="11"/>
      <c r="N1387" s="11"/>
      <c r="O1387" s="11">
        <f>IFERROR(__xludf.DUMMYFUNCTION("""COMPUTED_VALUE"""),79420389472)</f>
        <v>79420389472</v>
      </c>
      <c r="P1387" s="11"/>
      <c r="Q1387" s="11"/>
      <c r="R1387" s="11"/>
      <c r="S1387" s="11"/>
      <c r="T1387" s="11"/>
      <c r="U1387" s="11"/>
      <c r="V1387" s="11"/>
      <c r="W1387" s="11"/>
      <c r="X1387" s="11"/>
      <c r="Y1387" s="11"/>
      <c r="Z1387" s="11"/>
    </row>
    <row r="1388" customHeight="1" spans="1:26">
      <c r="A1388" s="11" t="str">
        <f>IFERROR(__xludf.DUMMYFUNCTION("""COMPUTED_VALUE"""),"MARIA ANGELITA DE LUCENA")</f>
        <v>MARIA ANGELITA DE LUCENA</v>
      </c>
      <c r="B1388" s="11"/>
      <c r="C1388" s="11"/>
      <c r="D1388" s="11" t="str">
        <f>IFERROR(__xludf.DUMMYFUNCTION("""COMPUTED_VALUE"""),"ENFERMEIRO 30H")</f>
        <v>ENFERMEIRO 30H</v>
      </c>
      <c r="E1388" s="11"/>
      <c r="F1388" s="11" t="str">
        <f>IFERROR(__xludf.DUMMYFUNCTION("""COMPUTED_VALUE"""),"US_376 POLICLINICA SALOMAO KELNER")</f>
        <v>US_376 POLICLINICA SALOMAO KELNER</v>
      </c>
      <c r="G1388" s="11" t="str">
        <f>IFERROR(__xludf.DUMMYFUNCTION("""COMPUTED_VALUE"""),"US_376 POLICLINICA SALOMAO KELNER")</f>
        <v>US_376 POLICLINICA SALOMAO KELNER</v>
      </c>
      <c r="H1388" s="11"/>
      <c r="I1388" s="11"/>
      <c r="J1388" s="11"/>
      <c r="K1388" s="11"/>
      <c r="L1388" s="11"/>
      <c r="M1388" s="11"/>
      <c r="N1388" s="11"/>
      <c r="O1388" s="11">
        <f>IFERROR(__xludf.DUMMYFUNCTION("""COMPUTED_VALUE"""),82222347491)</f>
        <v>82222347491</v>
      </c>
      <c r="P1388" s="11"/>
      <c r="Q1388" s="11"/>
      <c r="R1388" s="11"/>
      <c r="S1388" s="11"/>
      <c r="T1388" s="11"/>
      <c r="U1388" s="11"/>
      <c r="V1388" s="11"/>
      <c r="W1388" s="11"/>
      <c r="X1388" s="11"/>
      <c r="Y1388" s="11"/>
      <c r="Z1388" s="11"/>
    </row>
    <row r="1389" customHeight="1" spans="1:26">
      <c r="A1389" s="11" t="str">
        <f>IFERROR(__xludf.DUMMYFUNCTION("""COMPUTED_VALUE"""),"MARILIA DE LIMA ESPINDOLA")</f>
        <v>MARILIA DE LIMA ESPINDOLA</v>
      </c>
      <c r="B1389" s="11"/>
      <c r="C1389" s="11"/>
      <c r="D1389" s="11" t="str">
        <f>IFERROR(__xludf.DUMMYFUNCTION("""COMPUTED_VALUE"""),"ENFERMEIRO 30H")</f>
        <v>ENFERMEIRO 30H</v>
      </c>
      <c r="E1389" s="11"/>
      <c r="F1389" s="11" t="str">
        <f>IFERROR(__xludf.DUMMYFUNCTION("""COMPUTED_VALUE"""),"US_160 POLICLINICA GOUVEIA DE BARROS")</f>
        <v>US_160 POLICLINICA GOUVEIA DE BARROS</v>
      </c>
      <c r="G1389" s="11" t="str">
        <f>IFERROR(__xludf.DUMMYFUNCTION("""COMPUTED_VALUE"""),"US_160 POLICLINICA GOUVEIA DE BARROS")</f>
        <v>US_160 POLICLINICA GOUVEIA DE BARROS</v>
      </c>
      <c r="H1389" s="11"/>
      <c r="I1389" s="11"/>
      <c r="J1389" s="11"/>
      <c r="K1389" s="11"/>
      <c r="L1389" s="11"/>
      <c r="M1389" s="11"/>
      <c r="N1389" s="11"/>
      <c r="O1389" s="11">
        <f>IFERROR(__xludf.DUMMYFUNCTION("""COMPUTED_VALUE"""),88764737420)</f>
        <v>88764737420</v>
      </c>
      <c r="P1389" s="11"/>
      <c r="Q1389" s="11"/>
      <c r="R1389" s="11"/>
      <c r="S1389" s="11"/>
      <c r="T1389" s="11"/>
      <c r="U1389" s="11"/>
      <c r="V1389" s="11"/>
      <c r="W1389" s="11"/>
      <c r="X1389" s="11"/>
      <c r="Y1389" s="11"/>
      <c r="Z1389" s="11"/>
    </row>
    <row r="1390" customHeight="1" spans="1:26">
      <c r="A1390" s="11" t="str">
        <f>IFERROR(__xludf.DUMMYFUNCTION("""COMPUTED_VALUE"""),"JOSE ALEXANDRE DE A FERREIRA")</f>
        <v>JOSE ALEXANDRE DE A FERREIRA</v>
      </c>
      <c r="B1390" s="11"/>
      <c r="C1390" s="11"/>
      <c r="D1390" s="11" t="str">
        <f>IFERROR(__xludf.DUMMYFUNCTION("""COMPUTED_VALUE"""),"ENFERMEIRO 30H")</f>
        <v>ENFERMEIRO 30H</v>
      </c>
      <c r="E1390" s="11"/>
      <c r="F1390" s="11" t="str">
        <f>IFERROR(__xludf.DUMMYFUNCTION("""COMPUTED_VALUE"""),"US_160 POLICLINICA GOUVEIA DE BARROS")</f>
        <v>US_160 POLICLINICA GOUVEIA DE BARROS</v>
      </c>
      <c r="G1390" s="11" t="str">
        <f>IFERROR(__xludf.DUMMYFUNCTION("""COMPUTED_VALUE"""),"US_160 POLICLINICA GOUVEIA DE BARROS")</f>
        <v>US_160 POLICLINICA GOUVEIA DE BARROS</v>
      </c>
      <c r="H1390" s="11"/>
      <c r="I1390" s="11"/>
      <c r="J1390" s="11"/>
      <c r="K1390" s="11"/>
      <c r="L1390" s="11"/>
      <c r="M1390" s="11"/>
      <c r="N1390" s="11"/>
      <c r="O1390" s="11">
        <f>IFERROR(__xludf.DUMMYFUNCTION("""COMPUTED_VALUE"""),63347342453)</f>
        <v>63347342453</v>
      </c>
      <c r="P1390" s="11"/>
      <c r="Q1390" s="11"/>
      <c r="R1390" s="11"/>
      <c r="S1390" s="11"/>
      <c r="T1390" s="11"/>
      <c r="U1390" s="11"/>
      <c r="V1390" s="11"/>
      <c r="W1390" s="11"/>
      <c r="X1390" s="11"/>
      <c r="Y1390" s="11"/>
      <c r="Z1390" s="11"/>
    </row>
    <row r="1391" customHeight="1" spans="1:26">
      <c r="A1391" s="11" t="str">
        <f>IFERROR(__xludf.DUMMYFUNCTION("""COMPUTED_VALUE"""),"VIVIANE ALUZI F S MONTENEGRO")</f>
        <v>VIVIANE ALUZI F S MONTENEGRO</v>
      </c>
      <c r="B1391" s="11"/>
      <c r="C1391" s="11"/>
      <c r="D1391" s="11" t="str">
        <f>IFERROR(__xludf.DUMMYFUNCTION("""COMPUTED_VALUE"""),"ENFERMEIRO 30H")</f>
        <v>ENFERMEIRO 30H</v>
      </c>
      <c r="E1391" s="11"/>
      <c r="F1391" s="11" t="str">
        <f>IFERROR(__xludf.DUMMYFUNCTION("""COMPUTED_VALUE"""),"US_128 POLICLINICA LESSA DE ANDRADE")</f>
        <v>US_128 POLICLINICA LESSA DE ANDRADE</v>
      </c>
      <c r="G1391" s="11" t="str">
        <f>IFERROR(__xludf.DUMMYFUNCTION("""COMPUTED_VALUE"""),"US_128 POLICLINICA LESSA DE ANDRADE")</f>
        <v>US_128 POLICLINICA LESSA DE ANDRADE</v>
      </c>
      <c r="H1391" s="11"/>
      <c r="I1391" s="11"/>
      <c r="J1391" s="11"/>
      <c r="K1391" s="11"/>
      <c r="L1391" s="11"/>
      <c r="M1391" s="11"/>
      <c r="N1391" s="11"/>
      <c r="O1391" s="11">
        <f>IFERROR(__xludf.DUMMYFUNCTION("""COMPUTED_VALUE"""),56167083304)</f>
        <v>56167083304</v>
      </c>
      <c r="P1391" s="11"/>
      <c r="Q1391" s="11"/>
      <c r="R1391" s="11"/>
      <c r="S1391" s="11"/>
      <c r="T1391" s="11"/>
      <c r="U1391" s="11"/>
      <c r="V1391" s="11"/>
      <c r="W1391" s="11"/>
      <c r="X1391" s="11"/>
      <c r="Y1391" s="11"/>
      <c r="Z1391" s="11"/>
    </row>
    <row r="1392" customHeight="1" spans="1:26">
      <c r="A1392" s="11" t="str">
        <f>IFERROR(__xludf.DUMMYFUNCTION("""COMPUTED_VALUE"""),"MARIA INEZ DA SILVA")</f>
        <v>MARIA INEZ DA SILVA</v>
      </c>
      <c r="B1392" s="11"/>
      <c r="C1392" s="11"/>
      <c r="D1392" s="11" t="str">
        <f>IFERROR(__xludf.DUMMYFUNCTION("""COMPUTED_VALUE"""),"ENFERMEIRO 30H")</f>
        <v>ENFERMEIRO 30H</v>
      </c>
      <c r="E1392" s="11"/>
      <c r="F1392" s="11" t="str">
        <f>IFERROR(__xludf.DUMMYFUNCTION("""COMPUTED_VALUE"""),"US_128 POLICLINICA LESSA DE ANDRADE")</f>
        <v>US_128 POLICLINICA LESSA DE ANDRADE</v>
      </c>
      <c r="G1392" s="11" t="str">
        <f>IFERROR(__xludf.DUMMYFUNCTION("""COMPUTED_VALUE"""),"US_128 POLICLINICA LESSA DE ANDRADE")</f>
        <v>US_128 POLICLINICA LESSA DE ANDRADE</v>
      </c>
      <c r="H1392" s="11"/>
      <c r="I1392" s="11"/>
      <c r="J1392" s="11"/>
      <c r="K1392" s="11"/>
      <c r="L1392" s="11"/>
      <c r="M1392" s="11"/>
      <c r="N1392" s="11"/>
      <c r="O1392" s="11">
        <f>IFERROR(__xludf.DUMMYFUNCTION("""COMPUTED_VALUE"""),29781752491)</f>
        <v>29781752491</v>
      </c>
      <c r="P1392" s="11"/>
      <c r="Q1392" s="11"/>
      <c r="R1392" s="11"/>
      <c r="S1392" s="11"/>
      <c r="T1392" s="11"/>
      <c r="U1392" s="11"/>
      <c r="V1392" s="11"/>
      <c r="W1392" s="11"/>
      <c r="X1392" s="11"/>
      <c r="Y1392" s="11"/>
      <c r="Z1392" s="11"/>
    </row>
    <row r="1393" customHeight="1" spans="1:26">
      <c r="A1393" s="11" t="str">
        <f>IFERROR(__xludf.DUMMYFUNCTION("""COMPUTED_VALUE"""),"FABIANA GOMES DA SILVA COELHO")</f>
        <v>FABIANA GOMES DA SILVA COELHO</v>
      </c>
      <c r="B1393" s="11"/>
      <c r="C1393" s="11"/>
      <c r="D1393" s="11" t="str">
        <f>IFERROR(__xludf.DUMMYFUNCTION("""COMPUTED_VALUE"""),"ENFERMEIRO 40H")</f>
        <v>ENFERMEIRO 40H</v>
      </c>
      <c r="E1393" s="11"/>
      <c r="F1393" s="11" t="str">
        <f>IFERROR(__xludf.DUMMYFUNCTION("""COMPUTED_VALUE"""),"SEDE DISTRITO SANITARIO I")</f>
        <v>SEDE DISTRITO SANITARIO I</v>
      </c>
      <c r="G1393" s="11" t="str">
        <f>IFERROR(__xludf.DUMMYFUNCTION("""COMPUTED_VALUE"""),"SEDE DISTRITO SANITARIO I")</f>
        <v>SEDE DISTRITO SANITARIO I</v>
      </c>
      <c r="H1393" s="11"/>
      <c r="I1393" s="11"/>
      <c r="J1393" s="11"/>
      <c r="K1393" s="11"/>
      <c r="L1393" s="11"/>
      <c r="M1393" s="11"/>
      <c r="N1393" s="11"/>
      <c r="O1393" s="11">
        <f>IFERROR(__xludf.DUMMYFUNCTION("""COMPUTED_VALUE"""),2810693447)</f>
        <v>2810693447</v>
      </c>
      <c r="P1393" s="11"/>
      <c r="Q1393" s="11"/>
      <c r="R1393" s="11"/>
      <c r="S1393" s="11"/>
      <c r="T1393" s="11"/>
      <c r="U1393" s="11"/>
      <c r="V1393" s="11"/>
      <c r="W1393" s="11"/>
      <c r="X1393" s="11"/>
      <c r="Y1393" s="11"/>
      <c r="Z1393" s="11"/>
    </row>
    <row r="1394" customHeight="1" spans="1:26">
      <c r="A1394" s="11" t="str">
        <f>IFERROR(__xludf.DUMMYFUNCTION("""COMPUTED_VALUE"""),"MARIA ANGELITA DE LUCENA")</f>
        <v>MARIA ANGELITA DE LUCENA</v>
      </c>
      <c r="B1394" s="11"/>
      <c r="C1394" s="11"/>
      <c r="D1394" s="11" t="str">
        <f>IFERROR(__xludf.DUMMYFUNCTION("""COMPUTED_VALUE"""),"ENFERMEIRO 40H")</f>
        <v>ENFERMEIRO 40H</v>
      </c>
      <c r="E1394" s="11"/>
      <c r="F1394" s="11" t="str">
        <f>IFERROR(__xludf.DUMMYFUNCTION("""COMPUTED_VALUE"""),"US_376 POLICLINICA SALOMAO KELNER")</f>
        <v>US_376 POLICLINICA SALOMAO KELNER</v>
      </c>
      <c r="G1394" s="11" t="str">
        <f>IFERROR(__xludf.DUMMYFUNCTION("""COMPUTED_VALUE"""),"US_376 POLICLINICA SALOMAO KELNER")</f>
        <v>US_376 POLICLINICA SALOMAO KELNER</v>
      </c>
      <c r="H1394" s="11"/>
      <c r="I1394" s="11"/>
      <c r="J1394" s="11"/>
      <c r="K1394" s="11"/>
      <c r="L1394" s="11"/>
      <c r="M1394" s="11"/>
      <c r="N1394" s="11"/>
      <c r="O1394" s="11">
        <f>IFERROR(__xludf.DUMMYFUNCTION("""COMPUTED_VALUE"""),82222347491)</f>
        <v>82222347491</v>
      </c>
      <c r="P1394" s="11"/>
      <c r="Q1394" s="11"/>
      <c r="R1394" s="11"/>
      <c r="S1394" s="11"/>
      <c r="T1394" s="11"/>
      <c r="U1394" s="11"/>
      <c r="V1394" s="11"/>
      <c r="W1394" s="11"/>
      <c r="X1394" s="11"/>
      <c r="Y1394" s="11"/>
      <c r="Z1394" s="11"/>
    </row>
    <row r="1395" customHeight="1" spans="1:26">
      <c r="A1395" s="11" t="str">
        <f>IFERROR(__xludf.DUMMYFUNCTION("""COMPUTED_VALUE"""),"JANAINA MARIA S VIEIRA")</f>
        <v>JANAINA MARIA S VIEIRA</v>
      </c>
      <c r="B1395" s="11"/>
      <c r="C1395" s="11"/>
      <c r="D1395" s="11" t="str">
        <f>IFERROR(__xludf.DUMMYFUNCTION("""COMPUTED_VALUE"""),"ENFERMEIRO 30H")</f>
        <v>ENFERMEIRO 30H</v>
      </c>
      <c r="E1395" s="11"/>
      <c r="F1395" s="11" t="str">
        <f>IFERROR(__xludf.DUMMYFUNCTION("""COMPUTED_VALUE"""),"US_128 POLICLINICA LESSA DE ANDRADE")</f>
        <v>US_128 POLICLINICA LESSA DE ANDRADE</v>
      </c>
      <c r="G1395" s="11" t="str">
        <f>IFERROR(__xludf.DUMMYFUNCTION("""COMPUTED_VALUE"""),"US_128 POLICLINICA LESSA DE ANDRADE")</f>
        <v>US_128 POLICLINICA LESSA DE ANDRADE</v>
      </c>
      <c r="H1395" s="11"/>
      <c r="I1395" s="11"/>
      <c r="J1395" s="11"/>
      <c r="K1395" s="11"/>
      <c r="L1395" s="11"/>
      <c r="M1395" s="11"/>
      <c r="N1395" s="11"/>
      <c r="O1395" s="11">
        <f>IFERROR(__xludf.DUMMYFUNCTION("""COMPUTED_VALUE"""),3454986400)</f>
        <v>3454986400</v>
      </c>
      <c r="P1395" s="11"/>
      <c r="Q1395" s="11"/>
      <c r="R1395" s="11"/>
      <c r="S1395" s="11"/>
      <c r="T1395" s="11"/>
      <c r="U1395" s="11"/>
      <c r="V1395" s="11"/>
      <c r="W1395" s="11"/>
      <c r="X1395" s="11"/>
      <c r="Y1395" s="11"/>
      <c r="Z1395" s="11"/>
    </row>
    <row r="1396" customHeight="1" spans="1:26">
      <c r="A1396" s="11" t="str">
        <f>IFERROR(__xludf.DUMMYFUNCTION("""COMPUTED_VALUE"""),"VALERIA CRISTINA SARAIVA LINS")</f>
        <v>VALERIA CRISTINA SARAIVA LINS</v>
      </c>
      <c r="B1396" s="11"/>
      <c r="C1396" s="11"/>
      <c r="D1396" s="11" t="str">
        <f>IFERROR(__xludf.DUMMYFUNCTION("""COMPUTED_VALUE"""),"ENFERMEIRO 30H")</f>
        <v>ENFERMEIRO 30H</v>
      </c>
      <c r="E1396" s="11"/>
      <c r="F1396" s="11" t="str">
        <f>IFERROR(__xludf.DUMMYFUNCTION("""COMPUTED_VALUE"""),"US_101 POLICLINICA PROF WALDEMAR DE OLIVEIRA")</f>
        <v>US_101 POLICLINICA PROF WALDEMAR DE OLIVEIRA</v>
      </c>
      <c r="G1396" s="11" t="str">
        <f>IFERROR(__xludf.DUMMYFUNCTION("""COMPUTED_VALUE"""),"US_101 POLICLINICA PROF WALDEMAR DE OLIVEIRA")</f>
        <v>US_101 POLICLINICA PROF WALDEMAR DE OLIVEIRA</v>
      </c>
      <c r="H1396" s="11"/>
      <c r="I1396" s="11"/>
      <c r="J1396" s="11"/>
      <c r="K1396" s="11"/>
      <c r="L1396" s="11"/>
      <c r="M1396" s="11"/>
      <c r="N1396" s="11"/>
      <c r="O1396" s="11">
        <f>IFERROR(__xludf.DUMMYFUNCTION("""COMPUTED_VALUE"""),3028043408)</f>
        <v>3028043408</v>
      </c>
      <c r="P1396" s="11"/>
      <c r="Q1396" s="11"/>
      <c r="R1396" s="11"/>
      <c r="S1396" s="11"/>
      <c r="T1396" s="11"/>
      <c r="U1396" s="11"/>
      <c r="V1396" s="11"/>
      <c r="W1396" s="11"/>
      <c r="X1396" s="11"/>
      <c r="Y1396" s="11"/>
      <c r="Z1396" s="11"/>
    </row>
    <row r="1397" customHeight="1" spans="1:26">
      <c r="A1397" s="11" t="str">
        <f>IFERROR(__xludf.DUMMYFUNCTION("""COMPUTED_VALUE"""),"SILVIA MARQUES DE MORAIS")</f>
        <v>SILVIA MARQUES DE MORAIS</v>
      </c>
      <c r="B1397" s="11"/>
      <c r="C1397" s="11"/>
      <c r="D1397" s="11" t="str">
        <f>IFERROR(__xludf.DUMMYFUNCTION("""COMPUTED_VALUE"""),"ENFERMEIRO 30H")</f>
        <v>ENFERMEIRO 30H</v>
      </c>
      <c r="E1397" s="11"/>
      <c r="F1397" s="11" t="str">
        <f>IFERROR(__xludf.DUMMYFUNCTION("""COMPUTED_VALUE"""),"US_128 POLICLINICA LESSA DE ANDRADE")</f>
        <v>US_128 POLICLINICA LESSA DE ANDRADE</v>
      </c>
      <c r="G1397" s="11" t="str">
        <f>IFERROR(__xludf.DUMMYFUNCTION("""COMPUTED_VALUE"""),"US_128 POLICLINICA LESSA DE ANDRADE")</f>
        <v>US_128 POLICLINICA LESSA DE ANDRADE</v>
      </c>
      <c r="H1397" s="11"/>
      <c r="I1397" s="11"/>
      <c r="J1397" s="11"/>
      <c r="K1397" s="11"/>
      <c r="L1397" s="11"/>
      <c r="M1397" s="11"/>
      <c r="N1397" s="11"/>
      <c r="O1397" s="11">
        <f>IFERROR(__xludf.DUMMYFUNCTION("""COMPUTED_VALUE"""),62463381353)</f>
        <v>62463381353</v>
      </c>
      <c r="P1397" s="11"/>
      <c r="Q1397" s="11"/>
      <c r="R1397" s="11"/>
      <c r="S1397" s="11"/>
      <c r="T1397" s="11"/>
      <c r="U1397" s="11"/>
      <c r="V1397" s="11"/>
      <c r="W1397" s="11"/>
      <c r="X1397" s="11"/>
      <c r="Y1397" s="11"/>
      <c r="Z1397" s="11"/>
    </row>
    <row r="1398" customHeight="1" spans="1:26">
      <c r="A1398" s="11" t="str">
        <f>IFERROR(__xludf.DUMMYFUNCTION("""COMPUTED_VALUE"""),"ANA CAROLINA GUERRA C ALVES")</f>
        <v>ANA CAROLINA GUERRA C ALVES</v>
      </c>
      <c r="B1398" s="11"/>
      <c r="C1398" s="11"/>
      <c r="D1398" s="11" t="str">
        <f>IFERROR(__xludf.DUMMYFUNCTION("""COMPUTED_VALUE"""),"ENFERMEIRO 30H")</f>
        <v>ENFERMEIRO 30H</v>
      </c>
      <c r="E1398" s="11"/>
      <c r="F1398" s="11" t="str">
        <f>IFERROR(__xludf.DUMMYFUNCTION("""COMPUTED_VALUE"""),"US_128 POLICLINICA LESSA DE ANDRADE")</f>
        <v>US_128 POLICLINICA LESSA DE ANDRADE</v>
      </c>
      <c r="G1398" s="11" t="str">
        <f>IFERROR(__xludf.DUMMYFUNCTION("""COMPUTED_VALUE"""),"US_128 POLICLINICA LESSA DE ANDRADE")</f>
        <v>US_128 POLICLINICA LESSA DE ANDRADE</v>
      </c>
      <c r="H1398" s="11"/>
      <c r="I1398" s="11"/>
      <c r="J1398" s="11"/>
      <c r="K1398" s="11"/>
      <c r="L1398" s="11"/>
      <c r="M1398" s="11"/>
      <c r="N1398" s="11"/>
      <c r="O1398" s="11">
        <f>IFERROR(__xludf.DUMMYFUNCTION("""COMPUTED_VALUE"""),3274434485)</f>
        <v>3274434485</v>
      </c>
      <c r="P1398" s="11"/>
      <c r="Q1398" s="11"/>
      <c r="R1398" s="11"/>
      <c r="S1398" s="11"/>
      <c r="T1398" s="11"/>
      <c r="U1398" s="11"/>
      <c r="V1398" s="11"/>
      <c r="W1398" s="11"/>
      <c r="X1398" s="11"/>
      <c r="Y1398" s="11"/>
      <c r="Z1398" s="11"/>
    </row>
    <row r="1399" customHeight="1" spans="1:26">
      <c r="A1399" s="11" t="str">
        <f>IFERROR(__xludf.DUMMYFUNCTION("""COMPUTED_VALUE"""),"KATIA MARIA ALVES DA SILVA")</f>
        <v>KATIA MARIA ALVES DA SILVA</v>
      </c>
      <c r="B1399" s="11"/>
      <c r="C1399" s="11"/>
      <c r="D1399" s="11" t="str">
        <f>IFERROR(__xludf.DUMMYFUNCTION("""COMPUTED_VALUE"""),"ENFERMEIRO 30H")</f>
        <v>ENFERMEIRO 30H</v>
      </c>
      <c r="E1399" s="11"/>
      <c r="F1399" s="11" t="str">
        <f>IFERROR(__xludf.DUMMYFUNCTION("""COMPUTED_VALUE"""),"US_128 POLICLINICA LESSA DE ANDRADE")</f>
        <v>US_128 POLICLINICA LESSA DE ANDRADE</v>
      </c>
      <c r="G1399" s="11" t="str">
        <f>IFERROR(__xludf.DUMMYFUNCTION("""COMPUTED_VALUE"""),"US_128 POLICLINICA LESSA DE ANDRADE")</f>
        <v>US_128 POLICLINICA LESSA DE ANDRADE</v>
      </c>
      <c r="H1399" s="11"/>
      <c r="I1399" s="11"/>
      <c r="J1399" s="11"/>
      <c r="K1399" s="11"/>
      <c r="L1399" s="11"/>
      <c r="M1399" s="11"/>
      <c r="N1399" s="11"/>
      <c r="O1399" s="11">
        <f>IFERROR(__xludf.DUMMYFUNCTION("""COMPUTED_VALUE"""),33493430400)</f>
        <v>33493430400</v>
      </c>
      <c r="P1399" s="11"/>
      <c r="Q1399" s="11"/>
      <c r="R1399" s="11"/>
      <c r="S1399" s="11"/>
      <c r="T1399" s="11"/>
      <c r="U1399" s="11"/>
      <c r="V1399" s="11"/>
      <c r="W1399" s="11"/>
      <c r="X1399" s="11"/>
      <c r="Y1399" s="11"/>
      <c r="Z1399" s="11"/>
    </row>
    <row r="1400" customHeight="1" spans="1:26">
      <c r="A1400" s="11" t="str">
        <f>IFERROR(__xludf.DUMMYFUNCTION("""COMPUTED_VALUE"""),"MILENE MONTEIRO MARQUES")</f>
        <v>MILENE MONTEIRO MARQUES</v>
      </c>
      <c r="B1400" s="11"/>
      <c r="C1400" s="11"/>
      <c r="D1400" s="11" t="str">
        <f>IFERROR(__xludf.DUMMYFUNCTION("""COMPUTED_VALUE"""),"ENFERMEIRO 30H")</f>
        <v>ENFERMEIRO 30H</v>
      </c>
      <c r="E1400" s="11"/>
      <c r="F1400" s="11" t="str">
        <f>IFERROR(__xludf.DUMMYFUNCTION("""COMPUTED_VALUE"""),"US_128 POLICLINICA LESSA DE ANDRADE")</f>
        <v>US_128 POLICLINICA LESSA DE ANDRADE</v>
      </c>
      <c r="G1400" s="11" t="str">
        <f>IFERROR(__xludf.DUMMYFUNCTION("""COMPUTED_VALUE"""),"US_128 POLICLINICA LESSA DE ANDRADE")</f>
        <v>US_128 POLICLINICA LESSA DE ANDRADE</v>
      </c>
      <c r="H1400" s="11"/>
      <c r="I1400" s="11"/>
      <c r="J1400" s="11"/>
      <c r="K1400" s="11"/>
      <c r="L1400" s="11"/>
      <c r="M1400" s="11"/>
      <c r="N1400" s="11"/>
      <c r="O1400" s="11">
        <f>IFERROR(__xludf.DUMMYFUNCTION("""COMPUTED_VALUE"""),39951456472)</f>
        <v>39951456472</v>
      </c>
      <c r="P1400" s="11"/>
      <c r="Q1400" s="11"/>
      <c r="R1400" s="11"/>
      <c r="S1400" s="11"/>
      <c r="T1400" s="11"/>
      <c r="U1400" s="11"/>
      <c r="V1400" s="11"/>
      <c r="W1400" s="11"/>
      <c r="X1400" s="11"/>
      <c r="Y1400" s="11"/>
      <c r="Z1400" s="11"/>
    </row>
    <row r="1401" customHeight="1" spans="1:26">
      <c r="A1401" s="11" t="str">
        <f>IFERROR(__xludf.DUMMYFUNCTION("""COMPUTED_VALUE"""),"APARECIDA VIRGINIA S TELES")</f>
        <v>APARECIDA VIRGINIA S TELES</v>
      </c>
      <c r="B1401" s="11"/>
      <c r="C1401" s="11"/>
      <c r="D1401" s="11" t="str">
        <f>IFERROR(__xludf.DUMMYFUNCTION("""COMPUTED_VALUE"""),"ENFERMEIRO 30H")</f>
        <v>ENFERMEIRO 30H</v>
      </c>
      <c r="E1401" s="11"/>
      <c r="F1401" s="11" t="str">
        <f>IFERROR(__xludf.DUMMYFUNCTION("""COMPUTED_VALUE"""),"US_101 POLICLINICA PROF WALDEMAR DE OLIVEIRA ")</f>
        <v>US_101 POLICLINICA PROF WALDEMAR DE OLIVEIRA </v>
      </c>
      <c r="G1401" s="11" t="str">
        <f>IFERROR(__xludf.DUMMYFUNCTION("""COMPUTED_VALUE"""),"US_101 POLICLINICA PROF WALDEMAR DE OLIVEIRA ")</f>
        <v>US_101 POLICLINICA PROF WALDEMAR DE OLIVEIRA </v>
      </c>
      <c r="H1401" s="11"/>
      <c r="I1401" s="11"/>
      <c r="J1401" s="11"/>
      <c r="K1401" s="11"/>
      <c r="L1401" s="11"/>
      <c r="M1401" s="11"/>
      <c r="N1401" s="11"/>
      <c r="O1401" s="11">
        <f>IFERROR(__xludf.DUMMYFUNCTION("""COMPUTED_VALUE"""),5546145455)</f>
        <v>5546145455</v>
      </c>
      <c r="P1401" s="11"/>
      <c r="Q1401" s="11"/>
      <c r="R1401" s="11"/>
      <c r="S1401" s="11"/>
      <c r="T1401" s="11"/>
      <c r="U1401" s="11"/>
      <c r="V1401" s="11"/>
      <c r="W1401" s="11"/>
      <c r="X1401" s="11"/>
      <c r="Y1401" s="11"/>
      <c r="Z1401" s="11"/>
    </row>
    <row r="1402" customHeight="1" spans="1:26">
      <c r="A1402" s="11" t="str">
        <f>IFERROR(__xludf.DUMMYFUNCTION("""COMPUTED_VALUE"""),"SANDRA DE AZEVEDO ANHAIA")</f>
        <v>SANDRA DE AZEVEDO ANHAIA</v>
      </c>
      <c r="B1402" s="11"/>
      <c r="C1402" s="11"/>
      <c r="D1402" s="11" t="str">
        <f>IFERROR(__xludf.DUMMYFUNCTION("""COMPUTED_VALUE"""),"ENFERMEIRO 30H")</f>
        <v>ENFERMEIRO 30H</v>
      </c>
      <c r="E1402" s="11"/>
      <c r="F1402" s="11" t="str">
        <f>IFERROR(__xludf.DUMMYFUNCTION("""COMPUTED_VALUE"""),"US_128 POLICLINICA LESSA DE ANDRADE")</f>
        <v>US_128 POLICLINICA LESSA DE ANDRADE</v>
      </c>
      <c r="G1402" s="11" t="str">
        <f>IFERROR(__xludf.DUMMYFUNCTION("""COMPUTED_VALUE"""),"US_128 POLICLINICA LESSA DE ANDRADE")</f>
        <v>US_128 POLICLINICA LESSA DE ANDRADE</v>
      </c>
      <c r="H1402" s="11"/>
      <c r="I1402" s="11"/>
      <c r="J1402" s="11"/>
      <c r="K1402" s="11"/>
      <c r="L1402" s="11"/>
      <c r="M1402" s="11"/>
      <c r="N1402" s="11"/>
      <c r="O1402" s="11">
        <f>IFERROR(__xludf.DUMMYFUNCTION("""COMPUTED_VALUE"""),3430764467)</f>
        <v>3430764467</v>
      </c>
      <c r="P1402" s="11"/>
      <c r="Q1402" s="11"/>
      <c r="R1402" s="11"/>
      <c r="S1402" s="11"/>
      <c r="T1402" s="11"/>
      <c r="U1402" s="11"/>
      <c r="V1402" s="11"/>
      <c r="W1402" s="11"/>
      <c r="X1402" s="11"/>
      <c r="Y1402" s="11"/>
      <c r="Z1402" s="11"/>
    </row>
    <row r="1403" customHeight="1" spans="1:26">
      <c r="A1403" s="11" t="str">
        <f>IFERROR(__xludf.DUMMYFUNCTION("""COMPUTED_VALUE"""),"CIBELE LIMA DE OLIVEIRA")</f>
        <v>CIBELE LIMA DE OLIVEIRA</v>
      </c>
      <c r="B1403" s="11"/>
      <c r="C1403" s="11"/>
      <c r="D1403" s="11" t="str">
        <f>IFERROR(__xludf.DUMMYFUNCTION("""COMPUTED_VALUE"""),"ENFERMEIRO 30H")</f>
        <v>ENFERMEIRO 30H</v>
      </c>
      <c r="E1403" s="11"/>
      <c r="F1403" s="11" t="str">
        <f>IFERROR(__xludf.DUMMYFUNCTION("""COMPUTED_VALUE"""),"US_162 POLICLINICA ALBERT SABIN")</f>
        <v>US_162 POLICLINICA ALBERT SABIN</v>
      </c>
      <c r="G1403" s="11" t="str">
        <f>IFERROR(__xludf.DUMMYFUNCTION("""COMPUTED_VALUE"""),"US_162 POLICLINICA ALBERT SABIN")</f>
        <v>US_162 POLICLINICA ALBERT SABIN</v>
      </c>
      <c r="H1403" s="11"/>
      <c r="I1403" s="11"/>
      <c r="J1403" s="11"/>
      <c r="K1403" s="11"/>
      <c r="L1403" s="11"/>
      <c r="M1403" s="11"/>
      <c r="N1403" s="11"/>
      <c r="O1403" s="11">
        <f>IFERROR(__xludf.DUMMYFUNCTION("""COMPUTED_VALUE"""),2528945450)</f>
        <v>2528945450</v>
      </c>
      <c r="P1403" s="11"/>
      <c r="Q1403" s="11"/>
      <c r="R1403" s="11"/>
      <c r="S1403" s="11"/>
      <c r="T1403" s="11"/>
      <c r="U1403" s="11"/>
      <c r="V1403" s="11"/>
      <c r="W1403" s="11"/>
      <c r="X1403" s="11"/>
      <c r="Y1403" s="11"/>
      <c r="Z1403" s="11"/>
    </row>
    <row r="1404" customHeight="1" spans="1:26">
      <c r="A1404" s="11" t="str">
        <f>IFERROR(__xludf.DUMMYFUNCTION("""COMPUTED_VALUE"""),"ROSELI BARBOSA DE MELO")</f>
        <v>ROSELI BARBOSA DE MELO</v>
      </c>
      <c r="B1404" s="11"/>
      <c r="C1404" s="11"/>
      <c r="D1404" s="11" t="str">
        <f>IFERROR(__xludf.DUMMYFUNCTION("""COMPUTED_VALUE"""),"ENFERMEIRO 30H")</f>
        <v>ENFERMEIRO 30H</v>
      </c>
      <c r="E1404" s="11"/>
      <c r="F1404" s="11" t="str">
        <f>IFERROR(__xludf.DUMMYFUNCTION("""COMPUTED_VALUE"""),"US_144 POLICLINICA CLEMENTINO FRAGA")</f>
        <v>US_144 POLICLINICA CLEMENTINO FRAGA</v>
      </c>
      <c r="G1404" s="11" t="str">
        <f>IFERROR(__xludf.DUMMYFUNCTION("""COMPUTED_VALUE"""),"US_144 POLICLINICA CLEMENTINO FRAGA")</f>
        <v>US_144 POLICLINICA CLEMENTINO FRAGA</v>
      </c>
      <c r="H1404" s="11"/>
      <c r="I1404" s="11"/>
      <c r="J1404" s="11"/>
      <c r="K1404" s="11"/>
      <c r="L1404" s="11"/>
      <c r="M1404" s="11"/>
      <c r="N1404" s="11"/>
      <c r="O1404" s="11">
        <f>IFERROR(__xludf.DUMMYFUNCTION("""COMPUTED_VALUE"""),81962479404)</f>
        <v>81962479404</v>
      </c>
      <c r="P1404" s="11"/>
      <c r="Q1404" s="11"/>
      <c r="R1404" s="11"/>
      <c r="S1404" s="11"/>
      <c r="T1404" s="11"/>
      <c r="U1404" s="11"/>
      <c r="V1404" s="11"/>
      <c r="W1404" s="11"/>
      <c r="X1404" s="11"/>
      <c r="Y1404" s="11"/>
      <c r="Z1404" s="11"/>
    </row>
    <row r="1405" customHeight="1" spans="1:26">
      <c r="A1405" s="11" t="str">
        <f>IFERROR(__xludf.DUMMYFUNCTION("""COMPUTED_VALUE"""),"MARIA DAS NEVES DE LIMA SILVA")</f>
        <v>MARIA DAS NEVES DE LIMA SILVA</v>
      </c>
      <c r="B1405" s="11"/>
      <c r="C1405" s="11"/>
      <c r="D1405" s="11" t="str">
        <f>IFERROR(__xludf.DUMMYFUNCTION("""COMPUTED_VALUE"""),"ENFERMEIRO 30H")</f>
        <v>ENFERMEIRO 30H</v>
      </c>
      <c r="E1405" s="11"/>
      <c r="F1405" s="11" t="str">
        <f>IFERROR(__xludf.DUMMYFUNCTION("""COMPUTED_VALUE"""),"US_166 POLICLINICA CENTRO")</f>
        <v>US_166 POLICLINICA CENTRO</v>
      </c>
      <c r="G1405" s="11" t="str">
        <f>IFERROR(__xludf.DUMMYFUNCTION("""COMPUTED_VALUE"""),"US_166 POLICLINICA CENTRO")</f>
        <v>US_166 POLICLINICA CENTRO</v>
      </c>
      <c r="H1405" s="11"/>
      <c r="I1405" s="11"/>
      <c r="J1405" s="11"/>
      <c r="K1405" s="11"/>
      <c r="L1405" s="11"/>
      <c r="M1405" s="11"/>
      <c r="N1405" s="11"/>
      <c r="O1405" s="11">
        <f>IFERROR(__xludf.DUMMYFUNCTION("""COMPUTED_VALUE"""),49665456415)</f>
        <v>49665456415</v>
      </c>
      <c r="P1405" s="11"/>
      <c r="Q1405" s="11"/>
      <c r="R1405" s="11"/>
      <c r="S1405" s="11"/>
      <c r="T1405" s="11"/>
      <c r="U1405" s="11"/>
      <c r="V1405" s="11"/>
      <c r="W1405" s="11"/>
      <c r="X1405" s="11"/>
      <c r="Y1405" s="11"/>
      <c r="Z1405" s="11"/>
    </row>
    <row r="1406" customHeight="1" spans="1:26">
      <c r="A1406" s="11" t="str">
        <f>IFERROR(__xludf.DUMMYFUNCTION("""COMPUTED_VALUE"""),"ELISANGELA MUNIZ M TAVARES")</f>
        <v>ELISANGELA MUNIZ M TAVARES</v>
      </c>
      <c r="B1406" s="11"/>
      <c r="C1406" s="11"/>
      <c r="D1406" s="11" t="str">
        <f>IFERROR(__xludf.DUMMYFUNCTION("""COMPUTED_VALUE"""),"ENFERMEIRO 30H")</f>
        <v>ENFERMEIRO 30H</v>
      </c>
      <c r="E1406" s="11"/>
      <c r="F1406" s="11" t="str">
        <f>IFERROR(__xludf.DUMMYFUNCTION("""COMPUTED_VALUE"""),"US_101 POLICLINICA PROF WALDEMAR DE OLIVEIRA ")</f>
        <v>US_101 POLICLINICA PROF WALDEMAR DE OLIVEIRA </v>
      </c>
      <c r="G1406" s="11" t="str">
        <f>IFERROR(__xludf.DUMMYFUNCTION("""COMPUTED_VALUE"""),"US_101 POLICLINICA PROF WALDEMAR DE OLIVEIRA ")</f>
        <v>US_101 POLICLINICA PROF WALDEMAR DE OLIVEIRA </v>
      </c>
      <c r="H1406" s="11"/>
      <c r="I1406" s="11"/>
      <c r="J1406" s="11"/>
      <c r="K1406" s="11"/>
      <c r="L1406" s="11"/>
      <c r="M1406" s="11"/>
      <c r="N1406" s="11"/>
      <c r="O1406" s="11">
        <f>IFERROR(__xludf.DUMMYFUNCTION("""COMPUTED_VALUE"""),78171989420)</f>
        <v>78171989420</v>
      </c>
      <c r="P1406" s="11"/>
      <c r="Q1406" s="11"/>
      <c r="R1406" s="11"/>
      <c r="S1406" s="11"/>
      <c r="T1406" s="11"/>
      <c r="U1406" s="11"/>
      <c r="V1406" s="11"/>
      <c r="W1406" s="11"/>
      <c r="X1406" s="11"/>
      <c r="Y1406" s="11"/>
      <c r="Z1406" s="11"/>
    </row>
    <row r="1407" customHeight="1" spans="1:26">
      <c r="A1407" s="11" t="str">
        <f>IFERROR(__xludf.DUMMYFUNCTION("""COMPUTED_VALUE"""),"NARA GOMES DA SILVA")</f>
        <v>NARA GOMES DA SILVA</v>
      </c>
      <c r="B1407" s="11"/>
      <c r="C1407" s="11"/>
      <c r="D1407" s="11" t="str">
        <f>IFERROR(__xludf.DUMMYFUNCTION("""COMPUTED_VALUE"""),"ENFERMEIRO 30H")</f>
        <v>ENFERMEIRO 30H</v>
      </c>
      <c r="E1407" s="11"/>
      <c r="F1407" s="11" t="str">
        <f>IFERROR(__xludf.DUMMYFUNCTION("""COMPUTED_VALUE"""),"US_164 CENTRO DE REIDRATACAO E URG PED M CRAVO GAMA")</f>
        <v>US_164 CENTRO DE REIDRATACAO E URG PED M CRAVO GAMA</v>
      </c>
      <c r="G1407" s="11" t="str">
        <f>IFERROR(__xludf.DUMMYFUNCTION("""COMPUTED_VALUE"""),"US_164 CENTRO DE REIDRATACAO E URG PED M CRAVO GAMA")</f>
        <v>US_164 CENTRO DE REIDRATACAO E URG PED M CRAVO GAMA</v>
      </c>
      <c r="H1407" s="11"/>
      <c r="I1407" s="11"/>
      <c r="J1407" s="11"/>
      <c r="K1407" s="11"/>
      <c r="L1407" s="11"/>
      <c r="M1407" s="11"/>
      <c r="N1407" s="11"/>
      <c r="O1407" s="11">
        <f>IFERROR(__xludf.DUMMYFUNCTION("""COMPUTED_VALUE"""),6193615490)</f>
        <v>6193615490</v>
      </c>
      <c r="P1407" s="11"/>
      <c r="Q1407" s="11"/>
      <c r="R1407" s="11"/>
      <c r="S1407" s="11"/>
      <c r="T1407" s="11"/>
      <c r="U1407" s="11"/>
      <c r="V1407" s="11"/>
      <c r="W1407" s="11"/>
      <c r="X1407" s="11"/>
      <c r="Y1407" s="11"/>
      <c r="Z1407" s="11"/>
    </row>
    <row r="1408" customHeight="1" spans="1:26">
      <c r="A1408" s="11" t="str">
        <f>IFERROR(__xludf.DUMMYFUNCTION("""COMPUTED_VALUE"""),"MARIA ISADORA SOARES BARBOSA")</f>
        <v>MARIA ISADORA SOARES BARBOSA</v>
      </c>
      <c r="B1408" s="11"/>
      <c r="C1408" s="11"/>
      <c r="D1408" s="11" t="str">
        <f>IFERROR(__xludf.DUMMYFUNCTION("""COMPUTED_VALUE"""),"ENFERMEIRO 30H")</f>
        <v>ENFERMEIRO 30H</v>
      </c>
      <c r="E1408" s="11"/>
      <c r="F1408" s="11" t="str">
        <f>IFERROR(__xludf.DUMMYFUNCTION("""COMPUTED_VALUE"""),"US_166 POLICLINICA CENTRO")</f>
        <v>US_166 POLICLINICA CENTRO</v>
      </c>
      <c r="G1408" s="11" t="str">
        <f>IFERROR(__xludf.DUMMYFUNCTION("""COMPUTED_VALUE"""),"US_166 POLICLINICA CENTRO")</f>
        <v>US_166 POLICLINICA CENTRO</v>
      </c>
      <c r="H1408" s="11"/>
      <c r="I1408" s="11"/>
      <c r="J1408" s="11"/>
      <c r="K1408" s="11"/>
      <c r="L1408" s="11"/>
      <c r="M1408" s="11"/>
      <c r="N1408" s="11"/>
      <c r="O1408" s="11">
        <f>IFERROR(__xludf.DUMMYFUNCTION("""COMPUTED_VALUE"""),7315919414)</f>
        <v>7315919414</v>
      </c>
      <c r="P1408" s="11"/>
      <c r="Q1408" s="11"/>
      <c r="R1408" s="11"/>
      <c r="S1408" s="11"/>
      <c r="T1408" s="11"/>
      <c r="U1408" s="11"/>
      <c r="V1408" s="11"/>
      <c r="W1408" s="11"/>
      <c r="X1408" s="11"/>
      <c r="Y1408" s="11"/>
      <c r="Z1408" s="11"/>
    </row>
    <row r="1409" customHeight="1" spans="1:26">
      <c r="A1409" s="11" t="str">
        <f>IFERROR(__xludf.DUMMYFUNCTION("""COMPUTED_VALUE"""),"ALINE KELLEN XAVIER RODRIGUES")</f>
        <v>ALINE KELLEN XAVIER RODRIGUES</v>
      </c>
      <c r="B1409" s="11"/>
      <c r="C1409" s="11"/>
      <c r="D1409" s="11" t="str">
        <f>IFERROR(__xludf.DUMMYFUNCTION("""COMPUTED_VALUE"""),"ENFERMEIRO 30H")</f>
        <v>ENFERMEIRO 30H</v>
      </c>
      <c r="E1409" s="11"/>
      <c r="F1409" s="11" t="str">
        <f>IFERROR(__xludf.DUMMYFUNCTION("""COMPUTED_VALUE"""),"US_144 POLICLINICA CLEMENTINO FRAGA")</f>
        <v>US_144 POLICLINICA CLEMENTINO FRAGA</v>
      </c>
      <c r="G1409" s="11" t="str">
        <f>IFERROR(__xludf.DUMMYFUNCTION("""COMPUTED_VALUE"""),"US_144 POLICLINICA CLEMENTINO FRAGA")</f>
        <v>US_144 POLICLINICA CLEMENTINO FRAGA</v>
      </c>
      <c r="H1409" s="11"/>
      <c r="I1409" s="11"/>
      <c r="J1409" s="11"/>
      <c r="K1409" s="11"/>
      <c r="L1409" s="11"/>
      <c r="M1409" s="11"/>
      <c r="N1409" s="11"/>
      <c r="O1409" s="11">
        <f>IFERROR(__xludf.DUMMYFUNCTION("""COMPUTED_VALUE"""),9661524416)</f>
        <v>9661524416</v>
      </c>
      <c r="P1409" s="11"/>
      <c r="Q1409" s="11"/>
      <c r="R1409" s="11"/>
      <c r="S1409" s="11"/>
      <c r="T1409" s="11"/>
      <c r="U1409" s="11"/>
      <c r="V1409" s="11"/>
      <c r="W1409" s="11"/>
      <c r="X1409" s="11"/>
      <c r="Y1409" s="11"/>
      <c r="Z1409" s="11"/>
    </row>
    <row r="1410" customHeight="1" spans="1:26">
      <c r="A1410" s="11" t="str">
        <f>IFERROR(__xludf.DUMMYFUNCTION("""COMPUTED_VALUE"""),"DEBORA MIRIA DO N MACEDO LINS")</f>
        <v>DEBORA MIRIA DO N MACEDO LINS</v>
      </c>
      <c r="B1410" s="11"/>
      <c r="C1410" s="11"/>
      <c r="D1410" s="11" t="str">
        <f>IFERROR(__xludf.DUMMYFUNCTION("""COMPUTED_VALUE"""),"ENFERMEIRO 40H")</f>
        <v>ENFERMEIRO 40H</v>
      </c>
      <c r="E1410" s="11"/>
      <c r="F1410" s="11" t="str">
        <f>IFERROR(__xludf.DUMMYFUNCTION("""COMPUTED_VALUE"""),"US_144 POLICLINICA CLEMENTINO FRAGA")</f>
        <v>US_144 POLICLINICA CLEMENTINO FRAGA</v>
      </c>
      <c r="G1410" s="11" t="str">
        <f>IFERROR(__xludf.DUMMYFUNCTION("""COMPUTED_VALUE"""),"US_144 POLICLINICA CLEMENTINO FRAGA")</f>
        <v>US_144 POLICLINICA CLEMENTINO FRAGA</v>
      </c>
      <c r="H1410" s="11"/>
      <c r="I1410" s="11"/>
      <c r="J1410" s="11"/>
      <c r="K1410" s="11"/>
      <c r="L1410" s="11"/>
      <c r="M1410" s="11"/>
      <c r="N1410" s="11"/>
      <c r="O1410" s="11">
        <f>IFERROR(__xludf.DUMMYFUNCTION("""COMPUTED_VALUE"""),7657231408)</f>
        <v>7657231408</v>
      </c>
      <c r="P1410" s="11"/>
      <c r="Q1410" s="11"/>
      <c r="R1410" s="11"/>
      <c r="S1410" s="11"/>
      <c r="T1410" s="11"/>
      <c r="U1410" s="11"/>
      <c r="V1410" s="11"/>
      <c r="W1410" s="11"/>
      <c r="X1410" s="11"/>
      <c r="Y1410" s="11"/>
      <c r="Z1410" s="11"/>
    </row>
    <row r="1411" customHeight="1" spans="1:26">
      <c r="A1411" s="11" t="str">
        <f>IFERROR(__xludf.DUMMYFUNCTION("""COMPUTED_VALUE"""),"BETTY WILMA DA COSTA ROCHA")</f>
        <v>BETTY WILMA DA COSTA ROCHA</v>
      </c>
      <c r="B1411" s="11"/>
      <c r="C1411" s="11"/>
      <c r="D1411" s="11" t="str">
        <f>IFERROR(__xludf.DUMMYFUNCTION("""COMPUTED_VALUE"""),"ENFERMEIRO 30H - DIARISTA")</f>
        <v>ENFERMEIRO 30H - DIARISTA</v>
      </c>
      <c r="E1411" s="11"/>
      <c r="F1411" s="11" t="str">
        <f>IFERROR(__xludf.DUMMYFUNCTION("""COMPUTED_VALUE"""),"US_128 POLICLINICA LESSA DE ANDRADE")</f>
        <v>US_128 POLICLINICA LESSA DE ANDRADE</v>
      </c>
      <c r="G1411" s="11" t="str">
        <f>IFERROR(__xludf.DUMMYFUNCTION("""COMPUTED_VALUE"""),"US_128 POLICLINICA LESSA DE ANDRADE")</f>
        <v>US_128 POLICLINICA LESSA DE ANDRADE</v>
      </c>
      <c r="H1411" s="11"/>
      <c r="I1411" s="11"/>
      <c r="J1411" s="11"/>
      <c r="K1411" s="11"/>
      <c r="L1411" s="11"/>
      <c r="M1411" s="11"/>
      <c r="N1411" s="11"/>
      <c r="O1411" s="11">
        <f>IFERROR(__xludf.DUMMYFUNCTION("""COMPUTED_VALUE"""),1293721450)</f>
        <v>1293721450</v>
      </c>
      <c r="P1411" s="11"/>
      <c r="Q1411" s="11"/>
      <c r="R1411" s="11"/>
      <c r="S1411" s="11"/>
      <c r="T1411" s="11"/>
      <c r="U1411" s="11"/>
      <c r="V1411" s="11"/>
      <c r="W1411" s="11"/>
      <c r="X1411" s="11"/>
      <c r="Y1411" s="11"/>
      <c r="Z1411" s="11"/>
    </row>
    <row r="1412" customHeight="1" spans="1:26">
      <c r="A1412" s="11" t="str">
        <f>IFERROR(__xludf.DUMMYFUNCTION("""COMPUTED_VALUE"""),"ANA CRISTIANE CAMILO DE BRITO")</f>
        <v>ANA CRISTIANE CAMILO DE BRITO</v>
      </c>
      <c r="B1412" s="11"/>
      <c r="C1412" s="11"/>
      <c r="D1412" s="11" t="str">
        <f>IFERROR(__xludf.DUMMYFUNCTION("""COMPUTED_VALUE"""),"ENFERMEIRO 30H - PLANTONISTA")</f>
        <v>ENFERMEIRO 30H - PLANTONISTA</v>
      </c>
      <c r="E1412" s="11"/>
      <c r="F1412" s="11" t="str">
        <f>IFERROR(__xludf.DUMMYFUNCTION("""COMPUTED_VALUE"""),"US_101 POLICLINICA PROF WALDEMAR DE OLIVEIRA")</f>
        <v>US_101 POLICLINICA PROF WALDEMAR DE OLIVEIRA</v>
      </c>
      <c r="G1412" s="11" t="str">
        <f>IFERROR(__xludf.DUMMYFUNCTION("""COMPUTED_VALUE"""),"US_101 POLICLINICA PROF WALDEMAR DE OLIVEIRA")</f>
        <v>US_101 POLICLINICA PROF WALDEMAR DE OLIVEIRA</v>
      </c>
      <c r="H1412" s="11"/>
      <c r="I1412" s="11"/>
      <c r="J1412" s="11"/>
      <c r="K1412" s="11"/>
      <c r="L1412" s="11"/>
      <c r="M1412" s="11"/>
      <c r="N1412" s="11"/>
      <c r="O1412" s="11">
        <f>IFERROR(__xludf.DUMMYFUNCTION("""COMPUTED_VALUE"""),65349261487)</f>
        <v>65349261487</v>
      </c>
      <c r="P1412" s="11"/>
      <c r="Q1412" s="11"/>
      <c r="R1412" s="11"/>
      <c r="S1412" s="11"/>
      <c r="T1412" s="11"/>
      <c r="U1412" s="11"/>
      <c r="V1412" s="11"/>
      <c r="W1412" s="11"/>
      <c r="X1412" s="11"/>
      <c r="Y1412" s="11"/>
      <c r="Z1412" s="11"/>
    </row>
    <row r="1413" customHeight="1" spans="1:26">
      <c r="A1413" s="11" t="str">
        <f>IFERROR(__xludf.DUMMYFUNCTION("""COMPUTED_VALUE"""),"MARCIA MARIA DA SILVA")</f>
        <v>MARCIA MARIA DA SILVA</v>
      </c>
      <c r="B1413" s="11"/>
      <c r="C1413" s="11"/>
      <c r="D1413" s="11" t="str">
        <f>IFERROR(__xludf.DUMMYFUNCTION("""COMPUTED_VALUE"""),"ENFERMEIRO 30H - DIARISTA")</f>
        <v>ENFERMEIRO 30H - DIARISTA</v>
      </c>
      <c r="E1413" s="11"/>
      <c r="F1413" s="11" t="str">
        <f>IFERROR(__xludf.DUMMYFUNCTION("""COMPUTED_VALUE"""),"US_376 POLICLINICA SALOMAO KELNER")</f>
        <v>US_376 POLICLINICA SALOMAO KELNER</v>
      </c>
      <c r="G1413" s="11" t="str">
        <f>IFERROR(__xludf.DUMMYFUNCTION("""COMPUTED_VALUE"""),"US_376 POLICLINICA SALOMAO KELNER")</f>
        <v>US_376 POLICLINICA SALOMAO KELNER</v>
      </c>
      <c r="H1413" s="11"/>
      <c r="I1413" s="11"/>
      <c r="J1413" s="11"/>
      <c r="K1413" s="11"/>
      <c r="L1413" s="11"/>
      <c r="M1413" s="11"/>
      <c r="N1413" s="11"/>
      <c r="O1413" s="11">
        <f>IFERROR(__xludf.DUMMYFUNCTION("""COMPUTED_VALUE"""),81674791453)</f>
        <v>81674791453</v>
      </c>
      <c r="P1413" s="11"/>
      <c r="Q1413" s="11"/>
      <c r="R1413" s="11"/>
      <c r="S1413" s="11"/>
      <c r="T1413" s="11"/>
      <c r="U1413" s="11"/>
      <c r="V1413" s="11"/>
      <c r="W1413" s="11"/>
      <c r="X1413" s="11"/>
      <c r="Y1413" s="11"/>
      <c r="Z1413" s="11"/>
    </row>
    <row r="1414" customHeight="1" spans="1:26">
      <c r="A1414" s="11" t="str">
        <f>IFERROR(__xludf.DUMMYFUNCTION("""COMPUTED_VALUE"""),"DANIELY LIRA FLORENCIO")</f>
        <v>DANIELY LIRA FLORENCIO</v>
      </c>
      <c r="B1414" s="11"/>
      <c r="C1414" s="11"/>
      <c r="D1414" s="11" t="str">
        <f>IFERROR(__xludf.DUMMYFUNCTION("""COMPUTED_VALUE"""),"ENFERMEIRO 30H - DIARISTA")</f>
        <v>ENFERMEIRO 30H - DIARISTA</v>
      </c>
      <c r="E1414" s="11"/>
      <c r="F1414" s="11" t="str">
        <f>IFERROR(__xludf.DUMMYFUNCTION("""COMPUTED_VALUE"""),"US_128 POLICLINICA LESSA DE ANDRADE")</f>
        <v>US_128 POLICLINICA LESSA DE ANDRADE</v>
      </c>
      <c r="G1414" s="11" t="str">
        <f>IFERROR(__xludf.DUMMYFUNCTION("""COMPUTED_VALUE"""),"US_128 POLICLINICA LESSA DE ANDRADE")</f>
        <v>US_128 POLICLINICA LESSA DE ANDRADE</v>
      </c>
      <c r="H1414" s="11"/>
      <c r="I1414" s="11"/>
      <c r="J1414" s="11"/>
      <c r="K1414" s="11"/>
      <c r="L1414" s="11"/>
      <c r="M1414" s="11"/>
      <c r="N1414" s="11"/>
      <c r="O1414" s="11">
        <f>IFERROR(__xludf.DUMMYFUNCTION("""COMPUTED_VALUE"""),7832046473)</f>
        <v>7832046473</v>
      </c>
      <c r="P1414" s="11"/>
      <c r="Q1414" s="11"/>
      <c r="R1414" s="11"/>
      <c r="S1414" s="11"/>
      <c r="T1414" s="11"/>
      <c r="U1414" s="11"/>
      <c r="V1414" s="11"/>
      <c r="W1414" s="11"/>
      <c r="X1414" s="11"/>
      <c r="Y1414" s="11"/>
      <c r="Z1414" s="11"/>
    </row>
    <row r="1415" customHeight="1" spans="1:26">
      <c r="A1415" s="11" t="str">
        <f>IFERROR(__xludf.DUMMYFUNCTION("""COMPUTED_VALUE"""),"BARBARA PESSOA R FERNANDES")</f>
        <v>BARBARA PESSOA R FERNANDES</v>
      </c>
      <c r="B1415" s="11"/>
      <c r="C1415" s="11"/>
      <c r="D1415" s="11" t="str">
        <f>IFERROR(__xludf.DUMMYFUNCTION("""COMPUTED_VALUE"""),"ENFERMEIRO 40H")</f>
        <v>ENFERMEIRO 40H</v>
      </c>
      <c r="E1415" s="11"/>
      <c r="F1415" s="11" t="str">
        <f>IFERROR(__xludf.DUMMYFUNCTION("""COMPUTED_VALUE"""),"US_101 POLICLINICA PROF WALDEMAR DE OLIVEIRA")</f>
        <v>US_101 POLICLINICA PROF WALDEMAR DE OLIVEIRA</v>
      </c>
      <c r="G1415" s="11" t="str">
        <f>IFERROR(__xludf.DUMMYFUNCTION("""COMPUTED_VALUE"""),"US_101 POLICLINICA PROF WALDEMAR DE OLIVEIRA")</f>
        <v>US_101 POLICLINICA PROF WALDEMAR DE OLIVEIRA</v>
      </c>
      <c r="H1415" s="11"/>
      <c r="I1415" s="11"/>
      <c r="J1415" s="11"/>
      <c r="K1415" s="11"/>
      <c r="L1415" s="11"/>
      <c r="M1415" s="11"/>
      <c r="N1415" s="11"/>
      <c r="O1415" s="11">
        <f>IFERROR(__xludf.DUMMYFUNCTION("""COMPUTED_VALUE"""),7193186450)</f>
        <v>7193186450</v>
      </c>
      <c r="P1415" s="11"/>
      <c r="Q1415" s="11"/>
      <c r="R1415" s="11"/>
      <c r="S1415" s="11"/>
      <c r="T1415" s="11"/>
      <c r="U1415" s="11"/>
      <c r="V1415" s="11"/>
      <c r="W1415" s="11"/>
      <c r="X1415" s="11"/>
      <c r="Y1415" s="11"/>
      <c r="Z1415" s="11"/>
    </row>
    <row r="1416" customHeight="1" spans="1:26">
      <c r="A1416" s="11" t="str">
        <f>IFERROR(__xludf.DUMMYFUNCTION("""COMPUTED_VALUE"""),"DEYSE QUEIROZ NOGUEIRA")</f>
        <v>DEYSE QUEIROZ NOGUEIRA</v>
      </c>
      <c r="B1416" s="11"/>
      <c r="C1416" s="11"/>
      <c r="D1416" s="11" t="str">
        <f>IFERROR(__xludf.DUMMYFUNCTION("""COMPUTED_VALUE"""),"ENFERMEIRO 30H - DIARISTA")</f>
        <v>ENFERMEIRO 30H - DIARISTA</v>
      </c>
      <c r="E1416" s="11"/>
      <c r="F1416" s="11" t="str">
        <f>IFERROR(__xludf.DUMMYFUNCTION("""COMPUTED_VALUE"""),"US_101 POLICLINICA PROF WALDEMAR DE OLIVEIRA")</f>
        <v>US_101 POLICLINICA PROF WALDEMAR DE OLIVEIRA</v>
      </c>
      <c r="G1416" s="11" t="str">
        <f>IFERROR(__xludf.DUMMYFUNCTION("""COMPUTED_VALUE"""),"US_101 POLICLINICA PROF WALDEMAR DE OLIVEIRA")</f>
        <v>US_101 POLICLINICA PROF WALDEMAR DE OLIVEIRA</v>
      </c>
      <c r="H1416" s="11"/>
      <c r="I1416" s="11"/>
      <c r="J1416" s="11"/>
      <c r="K1416" s="11"/>
      <c r="L1416" s="11"/>
      <c r="M1416" s="11"/>
      <c r="N1416" s="11"/>
      <c r="O1416" s="11">
        <f>IFERROR(__xludf.DUMMYFUNCTION("""COMPUTED_VALUE"""),5344830467)</f>
        <v>5344830467</v>
      </c>
      <c r="P1416" s="11"/>
      <c r="Q1416" s="11"/>
      <c r="R1416" s="11"/>
      <c r="S1416" s="11"/>
      <c r="T1416" s="11"/>
      <c r="U1416" s="11"/>
      <c r="V1416" s="11"/>
      <c r="W1416" s="11"/>
      <c r="X1416" s="11"/>
      <c r="Y1416" s="11"/>
      <c r="Z1416" s="11"/>
    </row>
    <row r="1417" customHeight="1" spans="1:26">
      <c r="A1417" s="11" t="str">
        <f>IFERROR(__xludf.DUMMYFUNCTION("""COMPUTED_VALUE"""),"BRUNA RAMOS BARROS MACEDO")</f>
        <v>BRUNA RAMOS BARROS MACEDO</v>
      </c>
      <c r="B1417" s="11"/>
      <c r="C1417" s="11"/>
      <c r="D1417" s="11" t="str">
        <f>IFERROR(__xludf.DUMMYFUNCTION("""COMPUTED_VALUE"""),"ENFERMEIRO 30H - DIARISTA")</f>
        <v>ENFERMEIRO 30H - DIARISTA</v>
      </c>
      <c r="E1417" s="11"/>
      <c r="F1417" s="11" t="str">
        <f>IFERROR(__xludf.DUMMYFUNCTION("""COMPUTED_VALUE"""),"US_160 POLICLINICA GOUVEIA DE BARROS")</f>
        <v>US_160 POLICLINICA GOUVEIA DE BARROS</v>
      </c>
      <c r="G1417" s="11" t="str">
        <f>IFERROR(__xludf.DUMMYFUNCTION("""COMPUTED_VALUE"""),"US_160 POLICLINICA GOUVEIA DE BARROS")</f>
        <v>US_160 POLICLINICA GOUVEIA DE BARROS</v>
      </c>
      <c r="H1417" s="11"/>
      <c r="I1417" s="11"/>
      <c r="J1417" s="11"/>
      <c r="K1417" s="11"/>
      <c r="L1417" s="11"/>
      <c r="M1417" s="11"/>
      <c r="N1417" s="11"/>
      <c r="O1417" s="11">
        <f>IFERROR(__xludf.DUMMYFUNCTION("""COMPUTED_VALUE"""),9285905420)</f>
        <v>9285905420</v>
      </c>
      <c r="P1417" s="11"/>
      <c r="Q1417" s="11"/>
      <c r="R1417" s="11"/>
      <c r="S1417" s="11"/>
      <c r="T1417" s="11"/>
      <c r="U1417" s="11"/>
      <c r="V1417" s="11"/>
      <c r="W1417" s="11"/>
      <c r="X1417" s="11"/>
      <c r="Y1417" s="11"/>
      <c r="Z1417" s="11"/>
    </row>
    <row r="1418" customHeight="1" spans="1:26">
      <c r="A1418" s="11" t="str">
        <f>IFERROR(__xludf.DUMMYFUNCTION("""COMPUTED_VALUE"""),"ANDREIA PEREIRA RODRIGUES")</f>
        <v>ANDREIA PEREIRA RODRIGUES</v>
      </c>
      <c r="B1418" s="11"/>
      <c r="C1418" s="11"/>
      <c r="D1418" s="11" t="str">
        <f>IFERROR(__xludf.DUMMYFUNCTION("""COMPUTED_VALUE"""),"ENFERMEIRO 40H")</f>
        <v>ENFERMEIRO 40H</v>
      </c>
      <c r="E1418" s="11"/>
      <c r="F1418" s="11" t="str">
        <f>IFERROR(__xludf.DUMMYFUNCTION("""COMPUTED_VALUE"""),"US_376 POLICLINICA SALOMAO KELNER")</f>
        <v>US_376 POLICLINICA SALOMAO KELNER</v>
      </c>
      <c r="G1418" s="11" t="str">
        <f>IFERROR(__xludf.DUMMYFUNCTION("""COMPUTED_VALUE"""),"US_376 POLICLINICA SALOMAO KELNER")</f>
        <v>US_376 POLICLINICA SALOMAO KELNER</v>
      </c>
      <c r="H1418" s="11"/>
      <c r="I1418" s="11"/>
      <c r="J1418" s="11"/>
      <c r="K1418" s="11"/>
      <c r="L1418" s="11"/>
      <c r="M1418" s="11"/>
      <c r="N1418" s="11"/>
      <c r="O1418" s="11">
        <f>IFERROR(__xludf.DUMMYFUNCTION("""COMPUTED_VALUE"""),2846376379)</f>
        <v>2846376379</v>
      </c>
      <c r="P1418" s="11"/>
      <c r="Q1418" s="11"/>
      <c r="R1418" s="11"/>
      <c r="S1418" s="11"/>
      <c r="T1418" s="11"/>
      <c r="U1418" s="11"/>
      <c r="V1418" s="11"/>
      <c r="W1418" s="11"/>
      <c r="X1418" s="11"/>
      <c r="Y1418" s="11"/>
      <c r="Z1418" s="11"/>
    </row>
    <row r="1419" customHeight="1" spans="1:26">
      <c r="A1419" s="11" t="str">
        <f>IFERROR(__xludf.DUMMYFUNCTION("""COMPUTED_VALUE"""),"IRACEMA DE JESUS A A JACQUES")</f>
        <v>IRACEMA DE JESUS A A JACQUES</v>
      </c>
      <c r="B1419" s="11"/>
      <c r="C1419" s="11"/>
      <c r="D1419" s="11" t="str">
        <f>IFERROR(__xludf.DUMMYFUNCTION("""COMPUTED_VALUE"""),"ENFERMEIRO 30H - DIARISTA")</f>
        <v>ENFERMEIRO 30H - DIARISTA</v>
      </c>
      <c r="E1419" s="11"/>
      <c r="F1419" s="11" t="str">
        <f>IFERROR(__xludf.DUMMYFUNCTION("""COMPUTED_VALUE"""),"US_128 POLICLINICA LESSA DE ANDRADE")</f>
        <v>US_128 POLICLINICA LESSA DE ANDRADE</v>
      </c>
      <c r="G1419" s="11" t="str">
        <f>IFERROR(__xludf.DUMMYFUNCTION("""COMPUTED_VALUE"""),"US_128 POLICLINICA LESSA DE ANDRADE")</f>
        <v>US_128 POLICLINICA LESSA DE ANDRADE</v>
      </c>
      <c r="H1419" s="11"/>
      <c r="I1419" s="11"/>
      <c r="J1419" s="11"/>
      <c r="K1419" s="11"/>
      <c r="L1419" s="11"/>
      <c r="M1419" s="11"/>
      <c r="N1419" s="11"/>
      <c r="O1419" s="11">
        <f>IFERROR(__xludf.DUMMYFUNCTION("""COMPUTED_VALUE"""),8161073430)</f>
        <v>8161073430</v>
      </c>
      <c r="P1419" s="11"/>
      <c r="Q1419" s="11"/>
      <c r="R1419" s="11"/>
      <c r="S1419" s="11"/>
      <c r="T1419" s="11"/>
      <c r="U1419" s="11"/>
      <c r="V1419" s="11"/>
      <c r="W1419" s="11"/>
      <c r="X1419" s="11"/>
      <c r="Y1419" s="11"/>
      <c r="Z1419" s="11"/>
    </row>
    <row r="1420" customHeight="1" spans="1:26">
      <c r="A1420" s="11" t="str">
        <f>IFERROR(__xludf.DUMMYFUNCTION("""COMPUTED_VALUE"""),"CAROLINA GOMES DIAS")</f>
        <v>CAROLINA GOMES DIAS</v>
      </c>
      <c r="B1420" s="11"/>
      <c r="C1420" s="11"/>
      <c r="D1420" s="11" t="str">
        <f>IFERROR(__xludf.DUMMYFUNCTION("""COMPUTED_VALUE"""),"ENFERMEIRO 30H - DIARISTA")</f>
        <v>ENFERMEIRO 30H - DIARISTA</v>
      </c>
      <c r="E1420" s="11"/>
      <c r="F1420" s="11" t="str">
        <f>IFERROR(__xludf.DUMMYFUNCTION("""COMPUTED_VALUE"""),"US_128 POLICLINICA LESSA DE ANDRADE")</f>
        <v>US_128 POLICLINICA LESSA DE ANDRADE</v>
      </c>
      <c r="G1420" s="11" t="str">
        <f>IFERROR(__xludf.DUMMYFUNCTION("""COMPUTED_VALUE"""),"US_128 POLICLINICA LESSA DE ANDRADE")</f>
        <v>US_128 POLICLINICA LESSA DE ANDRADE</v>
      </c>
      <c r="H1420" s="11"/>
      <c r="I1420" s="11"/>
      <c r="J1420" s="11"/>
      <c r="K1420" s="11"/>
      <c r="L1420" s="11"/>
      <c r="M1420" s="11"/>
      <c r="N1420" s="11"/>
      <c r="O1420" s="11">
        <f>IFERROR(__xludf.DUMMYFUNCTION("""COMPUTED_VALUE"""),7391729485)</f>
        <v>7391729485</v>
      </c>
      <c r="P1420" s="11"/>
      <c r="Q1420" s="11"/>
      <c r="R1420" s="11"/>
      <c r="S1420" s="11"/>
      <c r="T1420" s="11"/>
      <c r="U1420" s="11"/>
      <c r="V1420" s="11"/>
      <c r="W1420" s="11"/>
      <c r="X1420" s="11"/>
      <c r="Y1420" s="11"/>
      <c r="Z1420" s="11"/>
    </row>
    <row r="1421" customHeight="1" spans="1:26">
      <c r="A1421" s="11" t="str">
        <f>IFERROR(__xludf.DUMMYFUNCTION("""COMPUTED_VALUE"""),"LAIS CARINE GUIMARAES V CANCIO")</f>
        <v>LAIS CARINE GUIMARAES V CANCIO</v>
      </c>
      <c r="B1421" s="11"/>
      <c r="C1421" s="11"/>
      <c r="D1421" s="11" t="str">
        <f>IFERROR(__xludf.DUMMYFUNCTION("""COMPUTED_VALUE"""),"ENFERMEIRO 30H - DIARISTA")</f>
        <v>ENFERMEIRO 30H - DIARISTA</v>
      </c>
      <c r="E1421" s="11"/>
      <c r="F1421" s="11" t="str">
        <f>IFERROR(__xludf.DUMMYFUNCTION("""COMPUTED_VALUE"""),"US_101 POLICLINICA PROF WALDEMAR DE OLIVEIRA")</f>
        <v>US_101 POLICLINICA PROF WALDEMAR DE OLIVEIRA</v>
      </c>
      <c r="G1421" s="11" t="str">
        <f>IFERROR(__xludf.DUMMYFUNCTION("""COMPUTED_VALUE"""),"US_101 POLICLINICA PROF WALDEMAR DE OLIVEIRA")</f>
        <v>US_101 POLICLINICA PROF WALDEMAR DE OLIVEIRA</v>
      </c>
      <c r="H1421" s="11"/>
      <c r="I1421" s="11"/>
      <c r="J1421" s="11"/>
      <c r="K1421" s="11"/>
      <c r="L1421" s="11"/>
      <c r="M1421" s="11"/>
      <c r="N1421" s="11"/>
      <c r="O1421" s="11">
        <f>IFERROR(__xludf.DUMMYFUNCTION("""COMPUTED_VALUE"""),9810823436)</f>
        <v>9810823436</v>
      </c>
      <c r="P1421" s="11"/>
      <c r="Q1421" s="11"/>
      <c r="R1421" s="11"/>
      <c r="S1421" s="11"/>
      <c r="T1421" s="11"/>
      <c r="U1421" s="11"/>
      <c r="V1421" s="11"/>
      <c r="W1421" s="11"/>
      <c r="X1421" s="11"/>
      <c r="Y1421" s="11"/>
      <c r="Z1421" s="11"/>
    </row>
    <row r="1422" customHeight="1" spans="1:26">
      <c r="A1422" s="11" t="str">
        <f>IFERROR(__xludf.DUMMYFUNCTION("""COMPUTED_VALUE"""),"FRANCISCO FERNANDES A MAGUEIRA")</f>
        <v>FRANCISCO FERNANDES A MAGUEIRA</v>
      </c>
      <c r="B1422" s="11"/>
      <c r="C1422" s="11"/>
      <c r="D1422" s="11" t="str">
        <f>IFERROR(__xludf.DUMMYFUNCTION("""COMPUTED_VALUE"""),"ENFERMEIRO 30H - DIARISTA")</f>
        <v>ENFERMEIRO 30H - DIARISTA</v>
      </c>
      <c r="E1422" s="11"/>
      <c r="F1422" s="11" t="str">
        <f>IFERROR(__xludf.DUMMYFUNCTION("""COMPUTED_VALUE"""),"US_160 POLICLINICA GOUVEIA DE BARROS")</f>
        <v>US_160 POLICLINICA GOUVEIA DE BARROS</v>
      </c>
      <c r="G1422" s="11" t="str">
        <f>IFERROR(__xludf.DUMMYFUNCTION("""COMPUTED_VALUE"""),"US_160 POLICLINICA GOUVEIA DE BARROS")</f>
        <v>US_160 POLICLINICA GOUVEIA DE BARROS</v>
      </c>
      <c r="H1422" s="11"/>
      <c r="I1422" s="11"/>
      <c r="J1422" s="11"/>
      <c r="K1422" s="11"/>
      <c r="L1422" s="11"/>
      <c r="M1422" s="11"/>
      <c r="N1422" s="11"/>
      <c r="O1422" s="11">
        <f>IFERROR(__xludf.DUMMYFUNCTION("""COMPUTED_VALUE"""),1405395494)</f>
        <v>1405395494</v>
      </c>
      <c r="P1422" s="11"/>
      <c r="Q1422" s="11"/>
      <c r="R1422" s="11"/>
      <c r="S1422" s="11"/>
      <c r="T1422" s="11"/>
      <c r="U1422" s="11"/>
      <c r="V1422" s="11"/>
      <c r="W1422" s="11"/>
      <c r="X1422" s="11"/>
      <c r="Y1422" s="11"/>
      <c r="Z1422" s="11"/>
    </row>
    <row r="1423" customHeight="1" spans="1:26">
      <c r="A1423" s="11" t="str">
        <f>IFERROR(__xludf.DUMMYFUNCTION("""COMPUTED_VALUE"""),"MARIA MARIANA B M DA SILVEIRA")</f>
        <v>MARIA MARIANA B M DA SILVEIRA</v>
      </c>
      <c r="B1423" s="11"/>
      <c r="C1423" s="11"/>
      <c r="D1423" s="11" t="str">
        <f>IFERROR(__xludf.DUMMYFUNCTION("""COMPUTED_VALUE"""),"ENFERMEIRO 30H - DIARISTA")</f>
        <v>ENFERMEIRO 30H - DIARISTA</v>
      </c>
      <c r="E1423" s="11"/>
      <c r="F1423" s="11" t="str">
        <f>IFERROR(__xludf.DUMMYFUNCTION("""COMPUTED_VALUE"""),"US_376 POLICLINICA SALOMAO KELNER")</f>
        <v>US_376 POLICLINICA SALOMAO KELNER</v>
      </c>
      <c r="G1423" s="11" t="str">
        <f>IFERROR(__xludf.DUMMYFUNCTION("""COMPUTED_VALUE"""),"US_376 POLICLINICA SALOMAO KELNER")</f>
        <v>US_376 POLICLINICA SALOMAO KELNER</v>
      </c>
      <c r="H1423" s="11"/>
      <c r="I1423" s="11"/>
      <c r="J1423" s="11"/>
      <c r="K1423" s="11"/>
      <c r="L1423" s="11"/>
      <c r="M1423" s="11"/>
      <c r="N1423" s="11"/>
      <c r="O1423" s="11">
        <f>IFERROR(__xludf.DUMMYFUNCTION("""COMPUTED_VALUE"""),9359431451)</f>
        <v>9359431451</v>
      </c>
      <c r="P1423" s="11"/>
      <c r="Q1423" s="11"/>
      <c r="R1423" s="11"/>
      <c r="S1423" s="11"/>
      <c r="T1423" s="11"/>
      <c r="U1423" s="11"/>
      <c r="V1423" s="11"/>
      <c r="W1423" s="11"/>
      <c r="X1423" s="11"/>
      <c r="Y1423" s="11"/>
      <c r="Z1423" s="11"/>
    </row>
    <row r="1424" customHeight="1" spans="1:26">
      <c r="A1424" s="11" t="str">
        <f>IFERROR(__xludf.DUMMYFUNCTION("""COMPUTED_VALUE"""),"MILENA DUARTE DE MACEDO")</f>
        <v>MILENA DUARTE DE MACEDO</v>
      </c>
      <c r="B1424" s="11"/>
      <c r="C1424" s="11"/>
      <c r="D1424" s="11" t="str">
        <f>IFERROR(__xludf.DUMMYFUNCTION("""COMPUTED_VALUE"""),"ENFERMEIRO 30H - DIARISTA")</f>
        <v>ENFERMEIRO 30H - DIARISTA</v>
      </c>
      <c r="E1424" s="11"/>
      <c r="F1424" s="11" t="str">
        <f>IFERROR(__xludf.DUMMYFUNCTION("""COMPUTED_VALUE"""),"US_376 POLICLINICA SALOMAO KELNER")</f>
        <v>US_376 POLICLINICA SALOMAO KELNER</v>
      </c>
      <c r="G1424" s="11" t="str">
        <f>IFERROR(__xludf.DUMMYFUNCTION("""COMPUTED_VALUE"""),"US_376 POLICLINICA SALOMAO KELNER")</f>
        <v>US_376 POLICLINICA SALOMAO KELNER</v>
      </c>
      <c r="H1424" s="11"/>
      <c r="I1424" s="11"/>
      <c r="J1424" s="11"/>
      <c r="K1424" s="11"/>
      <c r="L1424" s="11"/>
      <c r="M1424" s="11"/>
      <c r="N1424" s="11"/>
      <c r="O1424" s="11">
        <f>IFERROR(__xludf.DUMMYFUNCTION("""COMPUTED_VALUE"""),8968636460)</f>
        <v>8968636460</v>
      </c>
      <c r="P1424" s="11"/>
      <c r="Q1424" s="11"/>
      <c r="R1424" s="11"/>
      <c r="S1424" s="11"/>
      <c r="T1424" s="11"/>
      <c r="U1424" s="11"/>
      <c r="V1424" s="11"/>
      <c r="W1424" s="11"/>
      <c r="X1424" s="11"/>
      <c r="Y1424" s="11"/>
      <c r="Z1424" s="11"/>
    </row>
    <row r="1425" customHeight="1" spans="1:26">
      <c r="A1425" s="11" t="str">
        <f>IFERROR(__xludf.DUMMYFUNCTION("""COMPUTED_VALUE"""),"ANDREIA SOARES DA SILVA")</f>
        <v>ANDREIA SOARES DA SILVA</v>
      </c>
      <c r="B1425" s="11"/>
      <c r="C1425" s="11"/>
      <c r="D1425" s="11" t="str">
        <f>IFERROR(__xludf.DUMMYFUNCTION("""COMPUTED_VALUE"""),"ENFERMEIRO 30H - DIARISTA")</f>
        <v>ENFERMEIRO 30H - DIARISTA</v>
      </c>
      <c r="E1425" s="11"/>
      <c r="F1425" s="11" t="str">
        <f>IFERROR(__xludf.DUMMYFUNCTION("""COMPUTED_VALUE"""),"US_376 POLICLINICA SALOMAO KELNER")</f>
        <v>US_376 POLICLINICA SALOMAO KELNER</v>
      </c>
      <c r="G1425" s="11" t="str">
        <f>IFERROR(__xludf.DUMMYFUNCTION("""COMPUTED_VALUE"""),"US_376 POLICLINICA SALOMAO KELNER")</f>
        <v>US_376 POLICLINICA SALOMAO KELNER</v>
      </c>
      <c r="H1425" s="11"/>
      <c r="I1425" s="11"/>
      <c r="J1425" s="11"/>
      <c r="K1425" s="11"/>
      <c r="L1425" s="11"/>
      <c r="M1425" s="11"/>
      <c r="N1425" s="11"/>
      <c r="O1425" s="11">
        <f>IFERROR(__xludf.DUMMYFUNCTION("""COMPUTED_VALUE"""),8144522486)</f>
        <v>8144522486</v>
      </c>
      <c r="P1425" s="11"/>
      <c r="Q1425" s="11"/>
      <c r="R1425" s="11"/>
      <c r="S1425" s="11"/>
      <c r="T1425" s="11"/>
      <c r="U1425" s="11"/>
      <c r="V1425" s="11"/>
      <c r="W1425" s="11"/>
      <c r="X1425" s="11"/>
      <c r="Y1425" s="11"/>
      <c r="Z1425" s="11"/>
    </row>
    <row r="1426" customHeight="1" spans="1:26">
      <c r="A1426" s="11" t="str">
        <f>IFERROR(__xludf.DUMMYFUNCTION("""COMPUTED_VALUE"""),"FLÁVIO PEREIRA BRANDÃO")</f>
        <v>FLÁVIO PEREIRA BRANDÃO</v>
      </c>
      <c r="B1426" s="11"/>
      <c r="C1426" s="11"/>
      <c r="D1426" s="11" t="str">
        <f>IFERROR(__xludf.DUMMYFUNCTION("""COMPUTED_VALUE"""),"ENFERMEIRO 30H - DIARISTA")</f>
        <v>ENFERMEIRO 30H - DIARISTA</v>
      </c>
      <c r="E1426" s="11"/>
      <c r="F1426" s="11" t="str">
        <f>IFERROR(__xludf.DUMMYFUNCTION("""COMPUTED_VALUE"""),"")</f>
        <v/>
      </c>
      <c r="G1426" s="11" t="str">
        <f>IFERROR(__xludf.DUMMYFUNCTION("""COMPUTED_VALUE"""),"")</f>
        <v/>
      </c>
      <c r="H1426" s="11"/>
      <c r="I1426" s="11"/>
      <c r="J1426" s="11"/>
      <c r="K1426" s="11"/>
      <c r="L1426" s="11"/>
      <c r="M1426" s="11"/>
      <c r="N1426" s="11"/>
      <c r="O1426" s="11"/>
      <c r="P1426" s="11"/>
      <c r="Q1426" s="11"/>
      <c r="R1426" s="11"/>
      <c r="S1426" s="11"/>
      <c r="T1426" s="11"/>
      <c r="U1426" s="11"/>
      <c r="V1426" s="11"/>
      <c r="W1426" s="11"/>
      <c r="X1426" s="11"/>
      <c r="Y1426" s="11"/>
      <c r="Z1426" s="11"/>
    </row>
    <row r="1427" customHeight="1" spans="1:26">
      <c r="A1427" s="11" t="str">
        <f>IFERROR(__xludf.DUMMYFUNCTION("""COMPUTED_VALUE"""),"MAIARA SALLES FERREIRA DE FREITAS")</f>
        <v>MAIARA SALLES FERREIRA DE FREITAS</v>
      </c>
      <c r="B1427" s="11"/>
      <c r="C1427" s="11"/>
      <c r="D1427" s="11" t="str">
        <f>IFERROR(__xludf.DUMMYFUNCTION("""COMPUTED_VALUE"""),"ENFERMEIRO 30H - DIARISTA")</f>
        <v>ENFERMEIRO 30H - DIARISTA</v>
      </c>
      <c r="E1427" s="11"/>
      <c r="F1427" s="11" t="str">
        <f>IFERROR(__xludf.DUMMYFUNCTION("""COMPUTED_VALUE"""),"")</f>
        <v/>
      </c>
      <c r="G1427" s="11" t="str">
        <f>IFERROR(__xludf.DUMMYFUNCTION("""COMPUTED_VALUE"""),"")</f>
        <v/>
      </c>
      <c r="H1427" s="11"/>
      <c r="I1427" s="11"/>
      <c r="J1427" s="11"/>
      <c r="K1427" s="11"/>
      <c r="L1427" s="11"/>
      <c r="M1427" s="11"/>
      <c r="N1427" s="11"/>
      <c r="O1427" s="11"/>
      <c r="P1427" s="11"/>
      <c r="Q1427" s="11"/>
      <c r="R1427" s="11"/>
      <c r="S1427" s="11"/>
      <c r="T1427" s="11"/>
      <c r="U1427" s="11"/>
      <c r="V1427" s="11"/>
      <c r="W1427" s="11"/>
      <c r="X1427" s="11"/>
      <c r="Y1427" s="11"/>
      <c r="Z1427" s="11"/>
    </row>
    <row r="1428" customHeight="1" spans="1:26">
      <c r="A1428" s="11" t="str">
        <f>IFERROR(__xludf.DUMMYFUNCTION("""COMPUTED_VALUE"""),"MARIA DO SOCORRO C PEDROSA")</f>
        <v>MARIA DO SOCORRO C PEDROSA</v>
      </c>
      <c r="B1428" s="11"/>
      <c r="C1428" s="11"/>
      <c r="D1428" s="11" t="str">
        <f>IFERROR(__xludf.DUMMYFUNCTION("""COMPUTED_VALUE"""),"ENFERMEIRO 30H")</f>
        <v>ENFERMEIRO 30H</v>
      </c>
      <c r="E1428" s="11"/>
      <c r="F1428" s="11" t="str">
        <f>IFERROR(__xludf.DUMMYFUNCTION("""COMPUTED_VALUE"""),"US_165 MATERNIDADE BANDEIRA FILHO")</f>
        <v>US_165 MATERNIDADE BANDEIRA FILHO</v>
      </c>
      <c r="G1428" s="11" t="str">
        <f>IFERROR(__xludf.DUMMYFUNCTION("""COMPUTED_VALUE"""),"US_165 MATERNIDADE BANDEIRA FILHO")</f>
        <v>US_165 MATERNIDADE BANDEIRA FILHO</v>
      </c>
      <c r="H1428" s="11"/>
      <c r="I1428" s="11"/>
      <c r="J1428" s="11"/>
      <c r="K1428" s="11"/>
      <c r="L1428" s="11"/>
      <c r="M1428" s="11"/>
      <c r="N1428" s="11"/>
      <c r="O1428" s="11">
        <f>IFERROR(__xludf.DUMMYFUNCTION("""COMPUTED_VALUE"""),12614793434)</f>
        <v>12614793434</v>
      </c>
      <c r="P1428" s="11"/>
      <c r="Q1428" s="11"/>
      <c r="R1428" s="11"/>
      <c r="S1428" s="11"/>
      <c r="T1428" s="11"/>
      <c r="U1428" s="11"/>
      <c r="V1428" s="11"/>
      <c r="W1428" s="11"/>
      <c r="X1428" s="11"/>
      <c r="Y1428" s="11"/>
      <c r="Z1428" s="11"/>
    </row>
    <row r="1429" customHeight="1" spans="1:26">
      <c r="A1429" s="11" t="str">
        <f>IFERROR(__xludf.DUMMYFUNCTION("""COMPUTED_VALUE"""),"CACILDA SANTANA DA SILVA")</f>
        <v>CACILDA SANTANA DA SILVA</v>
      </c>
      <c r="B1429" s="11"/>
      <c r="C1429" s="11"/>
      <c r="D1429" s="11" t="str">
        <f>IFERROR(__xludf.DUMMYFUNCTION("""COMPUTED_VALUE"""),"ENFERMEIRO 30H")</f>
        <v>ENFERMEIRO 30H</v>
      </c>
      <c r="E1429" s="11"/>
      <c r="F1429" s="11" t="str">
        <f>IFERROR(__xludf.DUMMYFUNCTION("""COMPUTED_VALUE"""),"US_165 MATERNIDADE BANDEIRA FILHO")</f>
        <v>US_165 MATERNIDADE BANDEIRA FILHO</v>
      </c>
      <c r="G1429" s="11" t="str">
        <f>IFERROR(__xludf.DUMMYFUNCTION("""COMPUTED_VALUE"""),"US_165 MATERNIDADE BANDEIRA FILHO")</f>
        <v>US_165 MATERNIDADE BANDEIRA FILHO</v>
      </c>
      <c r="H1429" s="11"/>
      <c r="I1429" s="11"/>
      <c r="J1429" s="11"/>
      <c r="K1429" s="11"/>
      <c r="L1429" s="11"/>
      <c r="M1429" s="11"/>
      <c r="N1429" s="11"/>
      <c r="O1429" s="11">
        <f>IFERROR(__xludf.DUMMYFUNCTION("""COMPUTED_VALUE"""),4257690895)</f>
        <v>4257690895</v>
      </c>
      <c r="P1429" s="11"/>
      <c r="Q1429" s="11"/>
      <c r="R1429" s="11"/>
      <c r="S1429" s="11"/>
      <c r="T1429" s="11"/>
      <c r="U1429" s="11"/>
      <c r="V1429" s="11"/>
      <c r="W1429" s="11"/>
      <c r="X1429" s="11"/>
      <c r="Y1429" s="11"/>
      <c r="Z1429" s="11"/>
    </row>
    <row r="1430" customHeight="1" spans="1:26">
      <c r="A1430" s="11" t="str">
        <f>IFERROR(__xludf.DUMMYFUNCTION("""COMPUTED_VALUE"""),"MARIA DO SOCORRO DA SILVA")</f>
        <v>MARIA DO SOCORRO DA SILVA</v>
      </c>
      <c r="B1430" s="11"/>
      <c r="C1430" s="11"/>
      <c r="D1430" s="11" t="str">
        <f>IFERROR(__xludf.DUMMYFUNCTION("""COMPUTED_VALUE"""),"ENFERMEIRO 30H")</f>
        <v>ENFERMEIRO 30H</v>
      </c>
      <c r="E1430" s="11"/>
      <c r="F1430" s="11" t="str">
        <f>IFERROR(__xludf.DUMMYFUNCTION("""COMPUTED_VALUE"""),"US_165 MATERNIDADE BANDEIRA FILHO")</f>
        <v>US_165 MATERNIDADE BANDEIRA FILHO</v>
      </c>
      <c r="G1430" s="11" t="str">
        <f>IFERROR(__xludf.DUMMYFUNCTION("""COMPUTED_VALUE"""),"US_165 MATERNIDADE BANDEIRA FILHO")</f>
        <v>US_165 MATERNIDADE BANDEIRA FILHO</v>
      </c>
      <c r="H1430" s="11"/>
      <c r="I1430" s="11"/>
      <c r="J1430" s="11"/>
      <c r="K1430" s="11"/>
      <c r="L1430" s="11"/>
      <c r="M1430" s="11"/>
      <c r="N1430" s="11"/>
      <c r="O1430" s="11">
        <f>IFERROR(__xludf.DUMMYFUNCTION("""COMPUTED_VALUE"""),41532600453)</f>
        <v>41532600453</v>
      </c>
      <c r="P1430" s="11"/>
      <c r="Q1430" s="11"/>
      <c r="R1430" s="11"/>
      <c r="S1430" s="11"/>
      <c r="T1430" s="11"/>
      <c r="U1430" s="11"/>
      <c r="V1430" s="11"/>
      <c r="W1430" s="11"/>
      <c r="X1430" s="11"/>
      <c r="Y1430" s="11"/>
      <c r="Z1430" s="11"/>
    </row>
    <row r="1431" customHeight="1" spans="1:26">
      <c r="A1431" s="11" t="str">
        <f>IFERROR(__xludf.DUMMYFUNCTION("""COMPUTED_VALUE"""),"VILMA LUIZA MELO DE SOUZA")</f>
        <v>VILMA LUIZA MELO DE SOUZA</v>
      </c>
      <c r="B1431" s="11"/>
      <c r="C1431" s="11"/>
      <c r="D1431" s="11" t="str">
        <f>IFERROR(__xludf.DUMMYFUNCTION("""COMPUTED_VALUE"""),"ENFERMEIRO 30H")</f>
        <v>ENFERMEIRO 30H</v>
      </c>
      <c r="E1431" s="11"/>
      <c r="F1431" s="11" t="str">
        <f>IFERROR(__xludf.DUMMYFUNCTION("""COMPUTED_VALUE"""),"US_153 POLICLINICA E MATERNIDADE ARNALDO MARQUES")</f>
        <v>US_153 POLICLINICA E MATERNIDADE ARNALDO MARQUES</v>
      </c>
      <c r="G1431" s="11" t="str">
        <f>IFERROR(__xludf.DUMMYFUNCTION("""COMPUTED_VALUE"""),"US_153 POLICLINICA E MATERNIDADE ARNALDO MARQUES")</f>
        <v>US_153 POLICLINICA E MATERNIDADE ARNALDO MARQUES</v>
      </c>
      <c r="H1431" s="11"/>
      <c r="I1431" s="11"/>
      <c r="J1431" s="11"/>
      <c r="K1431" s="11"/>
      <c r="L1431" s="11"/>
      <c r="M1431" s="11"/>
      <c r="N1431" s="11"/>
      <c r="O1431" s="11">
        <f>IFERROR(__xludf.DUMMYFUNCTION("""COMPUTED_VALUE"""),40019004400)</f>
        <v>40019004400</v>
      </c>
      <c r="P1431" s="11"/>
      <c r="Q1431" s="11"/>
      <c r="R1431" s="11"/>
      <c r="S1431" s="11"/>
      <c r="T1431" s="11"/>
      <c r="U1431" s="11"/>
      <c r="V1431" s="11"/>
      <c r="W1431" s="11"/>
      <c r="X1431" s="11"/>
      <c r="Y1431" s="11"/>
      <c r="Z1431" s="11"/>
    </row>
    <row r="1432" customHeight="1" spans="1:26">
      <c r="A1432" s="11" t="str">
        <f>IFERROR(__xludf.DUMMYFUNCTION("""COMPUTED_VALUE"""),"MARIA LUCIA NETO DE MENEZES")</f>
        <v>MARIA LUCIA NETO DE MENEZES</v>
      </c>
      <c r="B1432" s="11"/>
      <c r="C1432" s="11"/>
      <c r="D1432" s="11" t="str">
        <f>IFERROR(__xludf.DUMMYFUNCTION("""COMPUTED_VALUE"""),"SERV DE ORGAO MUNICIPALIZ RP")</f>
        <v>SERV DE ORGAO MUNICIPALIZ RP</v>
      </c>
      <c r="E1432" s="11"/>
      <c r="F1432" s="11" t="str">
        <f>IFERROR(__xludf.DUMMYFUNCTION("""COMPUTED_VALUE"""),"US_167 POLICLINICA E MATERNIDADE PROFESSOR BARROS LIMA")</f>
        <v>US_167 POLICLINICA E MATERNIDADE PROFESSOR BARROS LIMA</v>
      </c>
      <c r="G1432" s="11" t="str">
        <f>IFERROR(__xludf.DUMMYFUNCTION("""COMPUTED_VALUE"""),"US_167 POLICLINICA E MATERNIDADE PROFESSOR BARROS LIMA")</f>
        <v>US_167 POLICLINICA E MATERNIDADE PROFESSOR BARROS LIMA</v>
      </c>
      <c r="H1432" s="11"/>
      <c r="I1432" s="11"/>
      <c r="J1432" s="11"/>
      <c r="K1432" s="11"/>
      <c r="L1432" s="11"/>
      <c r="M1432" s="11"/>
      <c r="N1432" s="11"/>
      <c r="O1432" s="11">
        <f>IFERROR(__xludf.DUMMYFUNCTION("""COMPUTED_VALUE"""),75446464400)</f>
        <v>75446464400</v>
      </c>
      <c r="P1432" s="11"/>
      <c r="Q1432" s="11"/>
      <c r="R1432" s="11"/>
      <c r="S1432" s="11"/>
      <c r="T1432" s="11"/>
      <c r="U1432" s="11"/>
      <c r="V1432" s="11"/>
      <c r="W1432" s="11"/>
      <c r="X1432" s="11"/>
      <c r="Y1432" s="11"/>
      <c r="Z1432" s="11"/>
    </row>
    <row r="1433" customHeight="1" spans="1:26">
      <c r="A1433" s="11" t="str">
        <f>IFERROR(__xludf.DUMMYFUNCTION("""COMPUTED_VALUE"""),"ALDENICE DE ASSIS SILVA")</f>
        <v>ALDENICE DE ASSIS SILVA</v>
      </c>
      <c r="B1433" s="11"/>
      <c r="C1433" s="11"/>
      <c r="D1433" s="11" t="str">
        <f>IFERROR(__xludf.DUMMYFUNCTION("""COMPUTED_VALUE"""),"ENFERMEIRO 30H")</f>
        <v>ENFERMEIRO 30H</v>
      </c>
      <c r="E1433" s="11"/>
      <c r="F1433" s="11" t="str">
        <f>IFERROR(__xludf.DUMMYFUNCTION("""COMPUTED_VALUE"""),"US_153 POLICLINICA E MATERNIDADE ARNALDO MARQUES")</f>
        <v>US_153 POLICLINICA E MATERNIDADE ARNALDO MARQUES</v>
      </c>
      <c r="G1433" s="11" t="str">
        <f>IFERROR(__xludf.DUMMYFUNCTION("""COMPUTED_VALUE"""),"US_153 POLICLINICA E MATERNIDADE ARNALDO MARQUES")</f>
        <v>US_153 POLICLINICA E MATERNIDADE ARNALDO MARQUES</v>
      </c>
      <c r="H1433" s="11"/>
      <c r="I1433" s="11"/>
      <c r="J1433" s="11"/>
      <c r="K1433" s="11"/>
      <c r="L1433" s="11"/>
      <c r="M1433" s="11"/>
      <c r="N1433" s="11"/>
      <c r="O1433" s="11">
        <f>IFERROR(__xludf.DUMMYFUNCTION("""COMPUTED_VALUE"""),40048047449)</f>
        <v>40048047449</v>
      </c>
      <c r="P1433" s="11"/>
      <c r="Q1433" s="11"/>
      <c r="R1433" s="11"/>
      <c r="S1433" s="11"/>
      <c r="T1433" s="11"/>
      <c r="U1433" s="11"/>
      <c r="V1433" s="11"/>
      <c r="W1433" s="11"/>
      <c r="X1433" s="11"/>
      <c r="Y1433" s="11"/>
      <c r="Z1433" s="11"/>
    </row>
    <row r="1434" customHeight="1" spans="1:26">
      <c r="A1434" s="11" t="str">
        <f>IFERROR(__xludf.DUMMYFUNCTION("""COMPUTED_VALUE"""),"FERNANDA CANADAS FERREIRA")</f>
        <v>FERNANDA CANADAS FERREIRA</v>
      </c>
      <c r="B1434" s="11"/>
      <c r="C1434" s="11"/>
      <c r="D1434" s="11" t="str">
        <f>IFERROR(__xludf.DUMMYFUNCTION("""COMPUTED_VALUE"""),"ENFERMEIRO 30H")</f>
        <v>ENFERMEIRO 30H</v>
      </c>
      <c r="E1434" s="11"/>
      <c r="F1434" s="11" t="str">
        <f>IFERROR(__xludf.DUMMYFUNCTION("""COMPUTED_VALUE"""),"US_153 POLICLINICA E MATERNIDADE ARNALDO MARQUES")</f>
        <v>US_153 POLICLINICA E MATERNIDADE ARNALDO MARQUES</v>
      </c>
      <c r="G1434" s="11" t="str">
        <f>IFERROR(__xludf.DUMMYFUNCTION("""COMPUTED_VALUE"""),"US_153 POLICLINICA E MATERNIDADE ARNALDO MARQUES")</f>
        <v>US_153 POLICLINICA E MATERNIDADE ARNALDO MARQUES</v>
      </c>
      <c r="H1434" s="11"/>
      <c r="I1434" s="11"/>
      <c r="J1434" s="11"/>
      <c r="K1434" s="11"/>
      <c r="L1434" s="11"/>
      <c r="M1434" s="11"/>
      <c r="N1434" s="11"/>
      <c r="O1434" s="11">
        <f>IFERROR(__xludf.DUMMYFUNCTION("""COMPUTED_VALUE"""),42543819487)</f>
        <v>42543819487</v>
      </c>
      <c r="P1434" s="11"/>
      <c r="Q1434" s="11"/>
      <c r="R1434" s="11"/>
      <c r="S1434" s="11"/>
      <c r="T1434" s="11"/>
      <c r="U1434" s="11"/>
      <c r="V1434" s="11"/>
      <c r="W1434" s="11"/>
      <c r="X1434" s="11"/>
      <c r="Y1434" s="11"/>
      <c r="Z1434" s="11"/>
    </row>
    <row r="1435" customHeight="1" spans="1:26">
      <c r="A1435" s="11" t="str">
        <f>IFERROR(__xludf.DUMMYFUNCTION("""COMPUTED_VALUE"""),"ADRIANA MARIA CORREA ALVES")</f>
        <v>ADRIANA MARIA CORREA ALVES</v>
      </c>
      <c r="B1435" s="11"/>
      <c r="C1435" s="11"/>
      <c r="D1435" s="11" t="str">
        <f>IFERROR(__xludf.DUMMYFUNCTION("""COMPUTED_VALUE"""),"ENFERMEIRO 30H")</f>
        <v>ENFERMEIRO 30H</v>
      </c>
      <c r="E1435" s="11"/>
      <c r="F1435" s="11" t="str">
        <f>IFERROR(__xludf.DUMMYFUNCTION("""COMPUTED_VALUE"""),"US_165 MATERNIDADE BANDEIRA FILHO")</f>
        <v>US_165 MATERNIDADE BANDEIRA FILHO</v>
      </c>
      <c r="G1435" s="11" t="str">
        <f>IFERROR(__xludf.DUMMYFUNCTION("""COMPUTED_VALUE"""),"US_165 MATERNIDADE BANDEIRA FILHO")</f>
        <v>US_165 MATERNIDADE BANDEIRA FILHO</v>
      </c>
      <c r="H1435" s="11"/>
      <c r="I1435" s="11"/>
      <c r="J1435" s="11"/>
      <c r="K1435" s="11"/>
      <c r="L1435" s="11"/>
      <c r="M1435" s="11"/>
      <c r="N1435" s="11"/>
      <c r="O1435" s="11">
        <f>IFERROR(__xludf.DUMMYFUNCTION("""COMPUTED_VALUE"""),16809483420)</f>
        <v>16809483420</v>
      </c>
      <c r="P1435" s="11"/>
      <c r="Q1435" s="11"/>
      <c r="R1435" s="11"/>
      <c r="S1435" s="11"/>
      <c r="T1435" s="11"/>
      <c r="U1435" s="11"/>
      <c r="V1435" s="11"/>
      <c r="W1435" s="11"/>
      <c r="X1435" s="11"/>
      <c r="Y1435" s="11"/>
      <c r="Z1435" s="11"/>
    </row>
    <row r="1436" customHeight="1" spans="1:26">
      <c r="A1436" s="11" t="str">
        <f>IFERROR(__xludf.DUMMYFUNCTION("""COMPUTED_VALUE"""),"ELDA SOARES DOS SANTOS ALVES")</f>
        <v>ELDA SOARES DOS SANTOS ALVES</v>
      </c>
      <c r="B1436" s="11"/>
      <c r="C1436" s="11"/>
      <c r="D1436" s="11" t="str">
        <f>IFERROR(__xludf.DUMMYFUNCTION("""COMPUTED_VALUE"""),"ENFERMEIRO 30H")</f>
        <v>ENFERMEIRO 30H</v>
      </c>
      <c r="E1436" s="11"/>
      <c r="F1436" s="11" t="str">
        <f>IFERROR(__xludf.DUMMYFUNCTION("""COMPUTED_VALUE"""),"US_165 MATERNIDADE BANDEIRA FILHO")</f>
        <v>US_165 MATERNIDADE BANDEIRA FILHO</v>
      </c>
      <c r="G1436" s="11" t="str">
        <f>IFERROR(__xludf.DUMMYFUNCTION("""COMPUTED_VALUE"""),"US_165 MATERNIDADE BANDEIRA FILHO")</f>
        <v>US_165 MATERNIDADE BANDEIRA FILHO</v>
      </c>
      <c r="H1436" s="11"/>
      <c r="I1436" s="11"/>
      <c r="J1436" s="11"/>
      <c r="K1436" s="11"/>
      <c r="L1436" s="11"/>
      <c r="M1436" s="11"/>
      <c r="N1436" s="11"/>
      <c r="O1436" s="11">
        <f>IFERROR(__xludf.DUMMYFUNCTION("""COMPUTED_VALUE"""),68541910415)</f>
        <v>68541910415</v>
      </c>
      <c r="P1436" s="11"/>
      <c r="Q1436" s="11"/>
      <c r="R1436" s="11"/>
      <c r="S1436" s="11"/>
      <c r="T1436" s="11"/>
      <c r="U1436" s="11"/>
      <c r="V1436" s="11"/>
      <c r="W1436" s="11"/>
      <c r="X1436" s="11"/>
      <c r="Y1436" s="11"/>
      <c r="Z1436" s="11"/>
    </row>
    <row r="1437" customHeight="1" spans="1:26">
      <c r="A1437" s="11" t="str">
        <f>IFERROR(__xludf.DUMMYFUNCTION("""COMPUTED_VALUE"""),"LILIAN MACHADO DA SILVA")</f>
        <v>LILIAN MACHADO DA SILVA</v>
      </c>
      <c r="B1437" s="11"/>
      <c r="C1437" s="11"/>
      <c r="D1437" s="11" t="str">
        <f>IFERROR(__xludf.DUMMYFUNCTION("""COMPUTED_VALUE"""),"SERV DE ORGAO MUNICIPALIZ RP")</f>
        <v>SERV DE ORGAO MUNICIPALIZ RP</v>
      </c>
      <c r="E1437" s="11"/>
      <c r="F1437" s="11" t="str">
        <f>IFERROR(__xludf.DUMMYFUNCTION("""COMPUTED_VALUE"""),"US_165 MATERNIDADE BANDEIRA FILHO")</f>
        <v>US_165 MATERNIDADE BANDEIRA FILHO</v>
      </c>
      <c r="G1437" s="11" t="str">
        <f>IFERROR(__xludf.DUMMYFUNCTION("""COMPUTED_VALUE"""),"US_165 MATERNIDADE BANDEIRA FILHO")</f>
        <v>US_165 MATERNIDADE BANDEIRA FILHO</v>
      </c>
      <c r="H1437" s="11"/>
      <c r="I1437" s="11"/>
      <c r="J1437" s="11"/>
      <c r="K1437" s="11"/>
      <c r="L1437" s="11"/>
      <c r="M1437" s="11"/>
      <c r="N1437" s="11"/>
      <c r="O1437" s="11">
        <f>IFERROR(__xludf.DUMMYFUNCTION("""COMPUTED_VALUE"""),51186179449)</f>
        <v>51186179449</v>
      </c>
      <c r="P1437" s="11"/>
      <c r="Q1437" s="11"/>
      <c r="R1437" s="11"/>
      <c r="S1437" s="11"/>
      <c r="T1437" s="11"/>
      <c r="U1437" s="11"/>
      <c r="V1437" s="11"/>
      <c r="W1437" s="11"/>
      <c r="X1437" s="11"/>
      <c r="Y1437" s="11"/>
      <c r="Z1437" s="11"/>
    </row>
    <row r="1438" customHeight="1" spans="1:26">
      <c r="A1438" s="11" t="str">
        <f>IFERROR(__xludf.DUMMYFUNCTION("""COMPUTED_VALUE"""),"NESTOR BARROS BRAGA")</f>
        <v>NESTOR BARROS BRAGA</v>
      </c>
      <c r="B1438" s="11"/>
      <c r="C1438" s="11"/>
      <c r="D1438" s="11" t="str">
        <f>IFERROR(__xludf.DUMMYFUNCTION("""COMPUTED_VALUE"""),"ENFERMEIRO 30H")</f>
        <v>ENFERMEIRO 30H</v>
      </c>
      <c r="E1438" s="11"/>
      <c r="F1438" s="11" t="str">
        <f>IFERROR(__xludf.DUMMYFUNCTION("""COMPUTED_VALUE"""),"US_153 POLICLINICA E MATERNIDADE ARNALDO MARQUES")</f>
        <v>US_153 POLICLINICA E MATERNIDADE ARNALDO MARQUES</v>
      </c>
      <c r="G1438" s="11" t="str">
        <f>IFERROR(__xludf.DUMMYFUNCTION("""COMPUTED_VALUE"""),"US_153 POLICLINICA E MATERNIDADE ARNALDO MARQUES")</f>
        <v>US_153 POLICLINICA E MATERNIDADE ARNALDO MARQUES</v>
      </c>
      <c r="H1438" s="11"/>
      <c r="I1438" s="11"/>
      <c r="J1438" s="11"/>
      <c r="K1438" s="11"/>
      <c r="L1438" s="11"/>
      <c r="M1438" s="11"/>
      <c r="N1438" s="11"/>
      <c r="O1438" s="11">
        <f>IFERROR(__xludf.DUMMYFUNCTION("""COMPUTED_VALUE"""),12753530459)</f>
        <v>12753530459</v>
      </c>
      <c r="P1438" s="11"/>
      <c r="Q1438" s="11"/>
      <c r="R1438" s="11"/>
      <c r="S1438" s="11"/>
      <c r="T1438" s="11"/>
      <c r="U1438" s="11"/>
      <c r="V1438" s="11"/>
      <c r="W1438" s="11"/>
      <c r="X1438" s="11"/>
      <c r="Y1438" s="11"/>
      <c r="Z1438" s="11"/>
    </row>
    <row r="1439" customHeight="1" spans="1:26">
      <c r="A1439" s="11" t="str">
        <f>IFERROR(__xludf.DUMMYFUNCTION("""COMPUTED_VALUE"""),"CLAITIA CRISTINA JOSINO V NOVA")</f>
        <v>CLAITIA CRISTINA JOSINO V NOVA</v>
      </c>
      <c r="B1439" s="11"/>
      <c r="C1439" s="11"/>
      <c r="D1439" s="11" t="str">
        <f>IFERROR(__xludf.DUMMYFUNCTION("""COMPUTED_VALUE"""),"ENFERMEIRO 30H")</f>
        <v>ENFERMEIRO 30H</v>
      </c>
      <c r="E1439" s="11"/>
      <c r="F1439" s="11" t="str">
        <f>IFERROR(__xludf.DUMMYFUNCTION("""COMPUTED_VALUE"""),"US_165 MATERNIDADE BANDEIRA FILHO")</f>
        <v>US_165 MATERNIDADE BANDEIRA FILHO</v>
      </c>
      <c r="G1439" s="11" t="str">
        <f>IFERROR(__xludf.DUMMYFUNCTION("""COMPUTED_VALUE"""),"US_165 MATERNIDADE BANDEIRA FILHO")</f>
        <v>US_165 MATERNIDADE BANDEIRA FILHO</v>
      </c>
      <c r="H1439" s="11"/>
      <c r="I1439" s="11"/>
      <c r="J1439" s="11"/>
      <c r="K1439" s="11"/>
      <c r="L1439" s="11"/>
      <c r="M1439" s="11"/>
      <c r="N1439" s="11"/>
      <c r="O1439" s="11">
        <f>IFERROR(__xludf.DUMMYFUNCTION("""COMPUTED_VALUE"""),46308105449)</f>
        <v>46308105449</v>
      </c>
      <c r="P1439" s="11"/>
      <c r="Q1439" s="11"/>
      <c r="R1439" s="11"/>
      <c r="S1439" s="11"/>
      <c r="T1439" s="11"/>
      <c r="U1439" s="11"/>
      <c r="V1439" s="11"/>
      <c r="W1439" s="11"/>
      <c r="X1439" s="11"/>
      <c r="Y1439" s="11"/>
      <c r="Z1439" s="11"/>
    </row>
    <row r="1440" customHeight="1" spans="1:26">
      <c r="A1440" s="11" t="str">
        <f>IFERROR(__xludf.DUMMYFUNCTION("""COMPUTED_VALUE"""),"KARLA DA SILVA RAMOS")</f>
        <v>KARLA DA SILVA RAMOS</v>
      </c>
      <c r="B1440" s="11"/>
      <c r="C1440" s="11"/>
      <c r="D1440" s="11" t="str">
        <f>IFERROR(__xludf.DUMMYFUNCTION("""COMPUTED_VALUE"""),"SERV DE ORGAO MUNICIPALIZ RP")</f>
        <v>SERV DE ORGAO MUNICIPALIZ RP</v>
      </c>
      <c r="E1440" s="11"/>
      <c r="F1440" s="11" t="str">
        <f>IFERROR(__xludf.DUMMYFUNCTION("""COMPUTED_VALUE"""),"US_167 POLICLINICA E MATERNIDADE PROFESSOR BARROS LIMA")</f>
        <v>US_167 POLICLINICA E MATERNIDADE PROFESSOR BARROS LIMA</v>
      </c>
      <c r="G1440" s="11" t="str">
        <f>IFERROR(__xludf.DUMMYFUNCTION("""COMPUTED_VALUE"""),"US_167 POLICLINICA E MATERNIDADE PROFESSOR BARROS LIMA")</f>
        <v>US_167 POLICLINICA E MATERNIDADE PROFESSOR BARROS LIMA</v>
      </c>
      <c r="H1440" s="11"/>
      <c r="I1440" s="11"/>
      <c r="J1440" s="11"/>
      <c r="K1440" s="11"/>
      <c r="L1440" s="11"/>
      <c r="M1440" s="11"/>
      <c r="N1440" s="11"/>
      <c r="O1440" s="11">
        <f>IFERROR(__xludf.DUMMYFUNCTION("""COMPUTED_VALUE"""),58979328400)</f>
        <v>58979328400</v>
      </c>
      <c r="P1440" s="11"/>
      <c r="Q1440" s="11"/>
      <c r="R1440" s="11"/>
      <c r="S1440" s="11"/>
      <c r="T1440" s="11"/>
      <c r="U1440" s="11"/>
      <c r="V1440" s="11"/>
      <c r="W1440" s="11"/>
      <c r="X1440" s="11"/>
      <c r="Y1440" s="11"/>
      <c r="Z1440" s="11"/>
    </row>
    <row r="1441" customHeight="1" spans="1:26">
      <c r="A1441" s="11" t="str">
        <f>IFERROR(__xludf.DUMMYFUNCTION("""COMPUTED_VALUE"""),"MARIA DO SOCORRO S L PADILHA")</f>
        <v>MARIA DO SOCORRO S L PADILHA</v>
      </c>
      <c r="B1441" s="11"/>
      <c r="C1441" s="11"/>
      <c r="D1441" s="11" t="str">
        <f>IFERROR(__xludf.DUMMYFUNCTION("""COMPUTED_VALUE"""),"SERV DE ORGAO MUNICIPALIZ RP")</f>
        <v>SERV DE ORGAO MUNICIPALIZ RP</v>
      </c>
      <c r="E1441" s="11"/>
      <c r="F1441" s="11" t="str">
        <f>IFERROR(__xludf.DUMMYFUNCTION("""COMPUTED_VALUE"""),"US_167 POLICLINICA E MATERNIDADE PROFESSOR BARROS LIMA")</f>
        <v>US_167 POLICLINICA E MATERNIDADE PROFESSOR BARROS LIMA</v>
      </c>
      <c r="G1441" s="11" t="str">
        <f>IFERROR(__xludf.DUMMYFUNCTION("""COMPUTED_VALUE"""),"US_167 POLICLINICA E MATERNIDADE PROFESSOR BARROS LIMA")</f>
        <v>US_167 POLICLINICA E MATERNIDADE PROFESSOR BARROS LIMA</v>
      </c>
      <c r="H1441" s="11"/>
      <c r="I1441" s="11"/>
      <c r="J1441" s="11"/>
      <c r="K1441" s="11"/>
      <c r="L1441" s="11"/>
      <c r="M1441" s="11"/>
      <c r="N1441" s="11"/>
      <c r="O1441" s="11">
        <f>IFERROR(__xludf.DUMMYFUNCTION("""COMPUTED_VALUE"""),31257500406)</f>
        <v>31257500406</v>
      </c>
      <c r="P1441" s="11"/>
      <c r="Q1441" s="11"/>
      <c r="R1441" s="11"/>
      <c r="S1441" s="11"/>
      <c r="T1441" s="11"/>
      <c r="U1441" s="11"/>
      <c r="V1441" s="11"/>
      <c r="W1441" s="11"/>
      <c r="X1441" s="11"/>
      <c r="Y1441" s="11"/>
      <c r="Z1441" s="11"/>
    </row>
    <row r="1442" customHeight="1" spans="1:26">
      <c r="A1442" s="11" t="str">
        <f>IFERROR(__xludf.DUMMYFUNCTION("""COMPUTED_VALUE"""),"MARILENA DANTAS DE MEDEIROS")</f>
        <v>MARILENA DANTAS DE MEDEIROS</v>
      </c>
      <c r="B1442" s="11"/>
      <c r="C1442" s="11"/>
      <c r="D1442" s="11" t="str">
        <f>IFERROR(__xludf.DUMMYFUNCTION("""COMPUTED_VALUE"""),"SERV DE ORGAO MUNICIPALIZ RP")</f>
        <v>SERV DE ORGAO MUNICIPALIZ RP</v>
      </c>
      <c r="E1442" s="11"/>
      <c r="F1442" s="11" t="str">
        <f>IFERROR(__xludf.DUMMYFUNCTION("""COMPUTED_VALUE"""),"US_167 POLICLINICA E MATERNIDADE PROFESSOR BARROS LIMA")</f>
        <v>US_167 POLICLINICA E MATERNIDADE PROFESSOR BARROS LIMA</v>
      </c>
      <c r="G1442" s="11" t="str">
        <f>IFERROR(__xludf.DUMMYFUNCTION("""COMPUTED_VALUE"""),"US_167 POLICLINICA E MATERNIDADE PROFESSOR BARROS LIMA")</f>
        <v>US_167 POLICLINICA E MATERNIDADE PROFESSOR BARROS LIMA</v>
      </c>
      <c r="H1442" s="11"/>
      <c r="I1442" s="11"/>
      <c r="J1442" s="11"/>
      <c r="K1442" s="11"/>
      <c r="L1442" s="11"/>
      <c r="M1442" s="11"/>
      <c r="N1442" s="11"/>
      <c r="O1442" s="11">
        <f>IFERROR(__xludf.DUMMYFUNCTION("""COMPUTED_VALUE"""),37520334449)</f>
        <v>37520334449</v>
      </c>
      <c r="P1442" s="11"/>
      <c r="Q1442" s="11"/>
      <c r="R1442" s="11"/>
      <c r="S1442" s="11"/>
      <c r="T1442" s="11"/>
      <c r="U1442" s="11"/>
      <c r="V1442" s="11"/>
      <c r="W1442" s="11"/>
      <c r="X1442" s="11"/>
      <c r="Y1442" s="11"/>
      <c r="Z1442" s="11"/>
    </row>
    <row r="1443" customHeight="1" spans="1:26">
      <c r="A1443" s="11" t="str">
        <f>IFERROR(__xludf.DUMMYFUNCTION("""COMPUTED_VALUE"""),"MARIA DE FATIMA SOARES GUERRA")</f>
        <v>MARIA DE FATIMA SOARES GUERRA</v>
      </c>
      <c r="B1443" s="11"/>
      <c r="C1443" s="11"/>
      <c r="D1443" s="11" t="str">
        <f>IFERROR(__xludf.DUMMYFUNCTION("""COMPUTED_VALUE"""),"ENFERMEIRO 30H")</f>
        <v>ENFERMEIRO 30H</v>
      </c>
      <c r="E1443" s="11"/>
      <c r="F1443" s="11" t="str">
        <f>IFERROR(__xludf.DUMMYFUNCTION("""COMPUTED_VALUE"""),"US_165 MATERNIDADE BANDEIRA FILHO")</f>
        <v>US_165 MATERNIDADE BANDEIRA FILHO</v>
      </c>
      <c r="G1443" s="11" t="str">
        <f>IFERROR(__xludf.DUMMYFUNCTION("""COMPUTED_VALUE"""),"US_165 MATERNIDADE BANDEIRA FILHO")</f>
        <v>US_165 MATERNIDADE BANDEIRA FILHO</v>
      </c>
      <c r="H1443" s="11"/>
      <c r="I1443" s="11"/>
      <c r="J1443" s="11"/>
      <c r="K1443" s="11"/>
      <c r="L1443" s="11"/>
      <c r="M1443" s="11"/>
      <c r="N1443" s="11"/>
      <c r="O1443" s="11">
        <f>IFERROR(__xludf.DUMMYFUNCTION("""COMPUTED_VALUE"""),40802221491)</f>
        <v>40802221491</v>
      </c>
      <c r="P1443" s="11"/>
      <c r="Q1443" s="11"/>
      <c r="R1443" s="11"/>
      <c r="S1443" s="11"/>
      <c r="T1443" s="11"/>
      <c r="U1443" s="11"/>
      <c r="V1443" s="11"/>
      <c r="W1443" s="11"/>
      <c r="X1443" s="11"/>
      <c r="Y1443" s="11"/>
      <c r="Z1443" s="11"/>
    </row>
    <row r="1444" customHeight="1" spans="1:26">
      <c r="A1444" s="11" t="str">
        <f>IFERROR(__xludf.DUMMYFUNCTION("""COMPUTED_VALUE"""),"MARCINILZE MARIA DE J NATAL")</f>
        <v>MARCINILZE MARIA DE J NATAL</v>
      </c>
      <c r="B1444" s="11"/>
      <c r="C1444" s="11"/>
      <c r="D1444" s="11" t="str">
        <f>IFERROR(__xludf.DUMMYFUNCTION("""COMPUTED_VALUE"""),"ENFERMEIRO 30H")</f>
        <v>ENFERMEIRO 30H</v>
      </c>
      <c r="E1444" s="11"/>
      <c r="F1444" s="11" t="str">
        <f>IFERROR(__xludf.DUMMYFUNCTION("""COMPUTED_VALUE"""),"US_167 POLICLINICA E MATERNIDADE PROFESSOR BARROS LIMA")</f>
        <v>US_167 POLICLINICA E MATERNIDADE PROFESSOR BARROS LIMA</v>
      </c>
      <c r="G1444" s="11" t="str">
        <f>IFERROR(__xludf.DUMMYFUNCTION("""COMPUTED_VALUE"""),"US_167 POLICLINICA E MATERNIDADE PROFESSOR BARROS LIMA")</f>
        <v>US_167 POLICLINICA E MATERNIDADE PROFESSOR BARROS LIMA</v>
      </c>
      <c r="H1444" s="11"/>
      <c r="I1444" s="11"/>
      <c r="J1444" s="11"/>
      <c r="K1444" s="11"/>
      <c r="L1444" s="11"/>
      <c r="M1444" s="11"/>
      <c r="N1444" s="11"/>
      <c r="O1444" s="11">
        <f>IFERROR(__xludf.DUMMYFUNCTION("""COMPUTED_VALUE"""),51398613487)</f>
        <v>51398613487</v>
      </c>
      <c r="P1444" s="11"/>
      <c r="Q1444" s="11"/>
      <c r="R1444" s="11"/>
      <c r="S1444" s="11"/>
      <c r="T1444" s="11"/>
      <c r="U1444" s="11"/>
      <c r="V1444" s="11"/>
      <c r="W1444" s="11"/>
      <c r="X1444" s="11"/>
      <c r="Y1444" s="11"/>
      <c r="Z1444" s="11"/>
    </row>
    <row r="1445" customHeight="1" spans="1:26">
      <c r="A1445" s="11" t="str">
        <f>IFERROR(__xludf.DUMMYFUNCTION("""COMPUTED_VALUE"""),"PATRICIA MARIA A U CARVALHO")</f>
        <v>PATRICIA MARIA A U CARVALHO</v>
      </c>
      <c r="B1445" s="11"/>
      <c r="C1445" s="11"/>
      <c r="D1445" s="11" t="str">
        <f>IFERROR(__xludf.DUMMYFUNCTION("""COMPUTED_VALUE"""),"ENFERMEIRO 30H")</f>
        <v>ENFERMEIRO 30H</v>
      </c>
      <c r="E1445" s="11"/>
      <c r="F1445" s="11" t="str">
        <f>IFERROR(__xludf.DUMMYFUNCTION("""COMPUTED_VALUE"""),"US_167 POLICLINICA E MATERNIDADE PROFESSOR BARROS LIMA")</f>
        <v>US_167 POLICLINICA E MATERNIDADE PROFESSOR BARROS LIMA</v>
      </c>
      <c r="G1445" s="11" t="str">
        <f>IFERROR(__xludf.DUMMYFUNCTION("""COMPUTED_VALUE"""),"US_167 POLICLINICA E MATERNIDADE PROFESSOR BARROS LIMA")</f>
        <v>US_167 POLICLINICA E MATERNIDADE PROFESSOR BARROS LIMA</v>
      </c>
      <c r="H1445" s="11"/>
      <c r="I1445" s="11"/>
      <c r="J1445" s="11"/>
      <c r="K1445" s="11"/>
      <c r="L1445" s="11"/>
      <c r="M1445" s="11"/>
      <c r="N1445" s="11"/>
      <c r="O1445" s="11">
        <f>IFERROR(__xludf.DUMMYFUNCTION("""COMPUTED_VALUE"""),75504502420)</f>
        <v>75504502420</v>
      </c>
      <c r="P1445" s="11"/>
      <c r="Q1445" s="11"/>
      <c r="R1445" s="11"/>
      <c r="S1445" s="11"/>
      <c r="T1445" s="11"/>
      <c r="U1445" s="11"/>
      <c r="V1445" s="11"/>
      <c r="W1445" s="11"/>
      <c r="X1445" s="11"/>
      <c r="Y1445" s="11"/>
      <c r="Z1445" s="11"/>
    </row>
    <row r="1446" customHeight="1" spans="1:26">
      <c r="A1446" s="11" t="str">
        <f>IFERROR(__xludf.DUMMYFUNCTION("""COMPUTED_VALUE"""),"ROSSANA ALMEIDA P DO NASCIMENT")</f>
        <v>ROSSANA ALMEIDA P DO NASCIMENT</v>
      </c>
      <c r="B1446" s="11"/>
      <c r="C1446" s="11"/>
      <c r="D1446" s="11" t="str">
        <f>IFERROR(__xludf.DUMMYFUNCTION("""COMPUTED_VALUE"""),"SERV OUT ORGAOS - REG PROPRIO")</f>
        <v>SERV OUT ORGAOS - REG PROPRIO</v>
      </c>
      <c r="E1446" s="11"/>
      <c r="F1446" s="11" t="str">
        <f>IFERROR(__xludf.DUMMYFUNCTION("""COMPUTED_VALUE"""),"US_167 POLICLINICA E MATERNIDADE PROFESSOR BARROS LIMA")</f>
        <v>US_167 POLICLINICA E MATERNIDADE PROFESSOR BARROS LIMA</v>
      </c>
      <c r="G1446" s="11" t="str">
        <f>IFERROR(__xludf.DUMMYFUNCTION("""COMPUTED_VALUE"""),"US_167 POLICLINICA E MATERNIDADE PROFESSOR BARROS LIMA")</f>
        <v>US_167 POLICLINICA E MATERNIDADE PROFESSOR BARROS LIMA</v>
      </c>
      <c r="H1446" s="11"/>
      <c r="I1446" s="11"/>
      <c r="J1446" s="11"/>
      <c r="K1446" s="11"/>
      <c r="L1446" s="11"/>
      <c r="M1446" s="11"/>
      <c r="N1446" s="11"/>
      <c r="O1446" s="11">
        <f>IFERROR(__xludf.DUMMYFUNCTION("""COMPUTED_VALUE"""),16033558472)</f>
        <v>16033558472</v>
      </c>
      <c r="P1446" s="11"/>
      <c r="Q1446" s="11"/>
      <c r="R1446" s="11"/>
      <c r="S1446" s="11"/>
      <c r="T1446" s="11"/>
      <c r="U1446" s="11"/>
      <c r="V1446" s="11"/>
      <c r="W1446" s="11"/>
      <c r="X1446" s="11"/>
      <c r="Y1446" s="11"/>
      <c r="Z1446" s="11"/>
    </row>
    <row r="1447" customHeight="1" spans="1:26">
      <c r="A1447" s="11" t="str">
        <f>IFERROR(__xludf.DUMMYFUNCTION("""COMPUTED_VALUE"""),"CLENIO ROBERTO RIBEIRO DE LIMA")</f>
        <v>CLENIO ROBERTO RIBEIRO DE LIMA</v>
      </c>
      <c r="B1447" s="11"/>
      <c r="C1447" s="11"/>
      <c r="D1447" s="11" t="str">
        <f>IFERROR(__xludf.DUMMYFUNCTION("""COMPUTED_VALUE"""),"ENFERMEIRO 30H")</f>
        <v>ENFERMEIRO 30H</v>
      </c>
      <c r="E1447" s="11"/>
      <c r="F1447" s="11" t="str">
        <f>IFERROR(__xludf.DUMMYFUNCTION("""COMPUTED_VALUE"""),"US_153 POLICLINICA E MATERNIDADE ARNALDO MARQUES")</f>
        <v>US_153 POLICLINICA E MATERNIDADE ARNALDO MARQUES</v>
      </c>
      <c r="G1447" s="11" t="str">
        <f>IFERROR(__xludf.DUMMYFUNCTION("""COMPUTED_VALUE"""),"US_153 POLICLINICA E MATERNIDADE ARNALDO MARQUES")</f>
        <v>US_153 POLICLINICA E MATERNIDADE ARNALDO MARQUES</v>
      </c>
      <c r="H1447" s="11"/>
      <c r="I1447" s="11"/>
      <c r="J1447" s="11"/>
      <c r="K1447" s="11"/>
      <c r="L1447" s="11"/>
      <c r="M1447" s="11"/>
      <c r="N1447" s="11"/>
      <c r="O1447" s="11">
        <f>IFERROR(__xludf.DUMMYFUNCTION("""COMPUTED_VALUE"""),71640436472)</f>
        <v>71640436472</v>
      </c>
      <c r="P1447" s="11"/>
      <c r="Q1447" s="11"/>
      <c r="R1447" s="11"/>
      <c r="S1447" s="11"/>
      <c r="T1447" s="11"/>
      <c r="U1447" s="11"/>
      <c r="V1447" s="11"/>
      <c r="W1447" s="11"/>
      <c r="X1447" s="11"/>
      <c r="Y1447" s="11"/>
      <c r="Z1447" s="11"/>
    </row>
    <row r="1448" customHeight="1" spans="1:26">
      <c r="A1448" s="11" t="str">
        <f>IFERROR(__xludf.DUMMYFUNCTION("""COMPUTED_VALUE"""),"MARIA GILDETE DE F ARAUJO")</f>
        <v>MARIA GILDETE DE F ARAUJO</v>
      </c>
      <c r="B1448" s="11"/>
      <c r="C1448" s="11"/>
      <c r="D1448" s="11" t="str">
        <f>IFERROR(__xludf.DUMMYFUNCTION("""COMPUTED_VALUE"""),"ENFERMEIRO 30H")</f>
        <v>ENFERMEIRO 30H</v>
      </c>
      <c r="E1448" s="11"/>
      <c r="F1448" s="11" t="str">
        <f>IFERROR(__xludf.DUMMYFUNCTION("""COMPUTED_VALUE"""),"US_167 POLICLINICA E MATERNIDADE PROFESSOR BARROS LIMA")</f>
        <v>US_167 POLICLINICA E MATERNIDADE PROFESSOR BARROS LIMA</v>
      </c>
      <c r="G1448" s="11" t="str">
        <f>IFERROR(__xludf.DUMMYFUNCTION("""COMPUTED_VALUE"""),"US_167 POLICLINICA E MATERNIDADE PROFESSOR BARROS LIMA")</f>
        <v>US_167 POLICLINICA E MATERNIDADE PROFESSOR BARROS LIMA</v>
      </c>
      <c r="H1448" s="11"/>
      <c r="I1448" s="11"/>
      <c r="J1448" s="11"/>
      <c r="K1448" s="11"/>
      <c r="L1448" s="11"/>
      <c r="M1448" s="11"/>
      <c r="N1448" s="11"/>
      <c r="O1448" s="11">
        <f>IFERROR(__xludf.DUMMYFUNCTION("""COMPUTED_VALUE"""),52617742687)</f>
        <v>52617742687</v>
      </c>
      <c r="P1448" s="11"/>
      <c r="Q1448" s="11"/>
      <c r="R1448" s="11"/>
      <c r="S1448" s="11"/>
      <c r="T1448" s="11"/>
      <c r="U1448" s="11"/>
      <c r="V1448" s="11"/>
      <c r="W1448" s="11"/>
      <c r="X1448" s="11"/>
      <c r="Y1448" s="11"/>
      <c r="Z1448" s="11"/>
    </row>
    <row r="1449" customHeight="1" spans="1:26">
      <c r="A1449" s="11" t="str">
        <f>IFERROR(__xludf.DUMMYFUNCTION("""COMPUTED_VALUE"""),"IRIS CALADO DE ALMEIDA COSTA")</f>
        <v>IRIS CALADO DE ALMEIDA COSTA</v>
      </c>
      <c r="B1449" s="11"/>
      <c r="C1449" s="11"/>
      <c r="D1449" s="11" t="str">
        <f>IFERROR(__xludf.DUMMYFUNCTION("""COMPUTED_VALUE"""),"ENFERMEIRO 30H")</f>
        <v>ENFERMEIRO 30H</v>
      </c>
      <c r="E1449" s="11"/>
      <c r="F1449" s="11" t="str">
        <f>IFERROR(__xludf.DUMMYFUNCTION("""COMPUTED_VALUE"""),"US_153 POLICLINICA E MATERNIDADE ARNALDO MARQUES")</f>
        <v>US_153 POLICLINICA E MATERNIDADE ARNALDO MARQUES</v>
      </c>
      <c r="G1449" s="11" t="str">
        <f>IFERROR(__xludf.DUMMYFUNCTION("""COMPUTED_VALUE"""),"US_153 POLICLINICA E MATERNIDADE ARNALDO MARQUES")</f>
        <v>US_153 POLICLINICA E MATERNIDADE ARNALDO MARQUES</v>
      </c>
      <c r="H1449" s="11"/>
      <c r="I1449" s="11"/>
      <c r="J1449" s="11"/>
      <c r="K1449" s="11"/>
      <c r="L1449" s="11"/>
      <c r="M1449" s="11"/>
      <c r="N1449" s="11"/>
      <c r="O1449" s="11">
        <f>IFERROR(__xludf.DUMMYFUNCTION("""COMPUTED_VALUE"""),79504450415)</f>
        <v>79504450415</v>
      </c>
      <c r="P1449" s="11"/>
      <c r="Q1449" s="11"/>
      <c r="R1449" s="11"/>
      <c r="S1449" s="11"/>
      <c r="T1449" s="11"/>
      <c r="U1449" s="11"/>
      <c r="V1449" s="11"/>
      <c r="W1449" s="11"/>
      <c r="X1449" s="11"/>
      <c r="Y1449" s="11"/>
      <c r="Z1449" s="11"/>
    </row>
    <row r="1450" customHeight="1" spans="1:26">
      <c r="A1450" s="11" t="str">
        <f>IFERROR(__xludf.DUMMYFUNCTION("""COMPUTED_VALUE"""),"MIRNA SILVA DE VASCONCELOS")</f>
        <v>MIRNA SILVA DE VASCONCELOS</v>
      </c>
      <c r="B1450" s="11"/>
      <c r="C1450" s="11"/>
      <c r="D1450" s="11" t="str">
        <f>IFERROR(__xludf.DUMMYFUNCTION("""COMPUTED_VALUE"""),"ENFERMEIRO 30H")</f>
        <v>ENFERMEIRO 30H</v>
      </c>
      <c r="E1450" s="11"/>
      <c r="F1450" s="11" t="str">
        <f>IFERROR(__xludf.DUMMYFUNCTION("""COMPUTED_VALUE"""),"US_153 POLICLINICA E MATERNIDADE ARNALDO MARQUES")</f>
        <v>US_153 POLICLINICA E MATERNIDADE ARNALDO MARQUES</v>
      </c>
      <c r="G1450" s="11" t="str">
        <f>IFERROR(__xludf.DUMMYFUNCTION("""COMPUTED_VALUE"""),"US_153 POLICLINICA E MATERNIDADE ARNALDO MARQUES")</f>
        <v>US_153 POLICLINICA E MATERNIDADE ARNALDO MARQUES</v>
      </c>
      <c r="H1450" s="11"/>
      <c r="I1450" s="11"/>
      <c r="J1450" s="11"/>
      <c r="K1450" s="11"/>
      <c r="L1450" s="11"/>
      <c r="M1450" s="11"/>
      <c r="N1450" s="11"/>
      <c r="O1450" s="11">
        <f>IFERROR(__xludf.DUMMYFUNCTION("""COMPUTED_VALUE"""),48423076415)</f>
        <v>48423076415</v>
      </c>
      <c r="P1450" s="11"/>
      <c r="Q1450" s="11"/>
      <c r="R1450" s="11"/>
      <c r="S1450" s="11"/>
      <c r="T1450" s="11"/>
      <c r="U1450" s="11"/>
      <c r="V1450" s="11"/>
      <c r="W1450" s="11"/>
      <c r="X1450" s="11"/>
      <c r="Y1450" s="11"/>
      <c r="Z1450" s="11"/>
    </row>
    <row r="1451" customHeight="1" spans="1:26">
      <c r="A1451" s="11" t="str">
        <f>IFERROR(__xludf.DUMMYFUNCTION("""COMPUTED_VALUE"""),"AILANA CARLA SAMPAIO NOBLAT")</f>
        <v>AILANA CARLA SAMPAIO NOBLAT</v>
      </c>
      <c r="B1451" s="11"/>
      <c r="C1451" s="11"/>
      <c r="D1451" s="11" t="str">
        <f>IFERROR(__xludf.DUMMYFUNCTION("""COMPUTED_VALUE"""),"ENFERMEIRO 30H")</f>
        <v>ENFERMEIRO 30H</v>
      </c>
      <c r="E1451" s="11"/>
      <c r="F1451" s="11" t="str">
        <f>IFERROR(__xludf.DUMMYFUNCTION("""COMPUTED_VALUE"""),"US_153 POLICLINICA E MATERNIDADE ARNALDO MARQUES")</f>
        <v>US_153 POLICLINICA E MATERNIDADE ARNALDO MARQUES</v>
      </c>
      <c r="G1451" s="11" t="str">
        <f>IFERROR(__xludf.DUMMYFUNCTION("""COMPUTED_VALUE"""),"US_153 POLICLINICA E MATERNIDADE ARNALDO MARQUES")</f>
        <v>US_153 POLICLINICA E MATERNIDADE ARNALDO MARQUES</v>
      </c>
      <c r="H1451" s="11"/>
      <c r="I1451" s="11"/>
      <c r="J1451" s="11"/>
      <c r="K1451" s="11"/>
      <c r="L1451" s="11"/>
      <c r="M1451" s="11"/>
      <c r="N1451" s="11"/>
      <c r="O1451" s="11">
        <f>IFERROR(__xludf.DUMMYFUNCTION("""COMPUTED_VALUE"""),89275799415)</f>
        <v>89275799415</v>
      </c>
      <c r="P1451" s="11"/>
      <c r="Q1451" s="11"/>
      <c r="R1451" s="11"/>
      <c r="S1451" s="11"/>
      <c r="T1451" s="11"/>
      <c r="U1451" s="11"/>
      <c r="V1451" s="11"/>
      <c r="W1451" s="11"/>
      <c r="X1451" s="11"/>
      <c r="Y1451" s="11"/>
      <c r="Z1451" s="11"/>
    </row>
    <row r="1452" customHeight="1" spans="1:26">
      <c r="A1452" s="11" t="str">
        <f>IFERROR(__xludf.DUMMYFUNCTION("""COMPUTED_VALUE"""),"EDNARA RODRIGUES DA SILVA")</f>
        <v>EDNARA RODRIGUES DA SILVA</v>
      </c>
      <c r="B1452" s="11"/>
      <c r="C1452" s="11"/>
      <c r="D1452" s="11" t="str">
        <f>IFERROR(__xludf.DUMMYFUNCTION("""COMPUTED_VALUE"""),"ENFERMEIRO 30H")</f>
        <v>ENFERMEIRO 30H</v>
      </c>
      <c r="E1452" s="11"/>
      <c r="F1452" s="11" t="str">
        <f>IFERROR(__xludf.DUMMYFUNCTION("""COMPUTED_VALUE"""),"US_153 POLICLINICA E MATERNIDADE ARNALDO MARQUES")</f>
        <v>US_153 POLICLINICA E MATERNIDADE ARNALDO MARQUES</v>
      </c>
      <c r="G1452" s="11" t="str">
        <f>IFERROR(__xludf.DUMMYFUNCTION("""COMPUTED_VALUE"""),"US_153 POLICLINICA E MATERNIDADE ARNALDO MARQUES")</f>
        <v>US_153 POLICLINICA E MATERNIDADE ARNALDO MARQUES</v>
      </c>
      <c r="H1452" s="11"/>
      <c r="I1452" s="11"/>
      <c r="J1452" s="11"/>
      <c r="K1452" s="11"/>
      <c r="L1452" s="11"/>
      <c r="M1452" s="11"/>
      <c r="N1452" s="11"/>
      <c r="O1452" s="11">
        <f>IFERROR(__xludf.DUMMYFUNCTION("""COMPUTED_VALUE"""),47055766400)</f>
        <v>47055766400</v>
      </c>
      <c r="P1452" s="11"/>
      <c r="Q1452" s="11"/>
      <c r="R1452" s="11"/>
      <c r="S1452" s="11"/>
      <c r="T1452" s="11"/>
      <c r="U1452" s="11"/>
      <c r="V1452" s="11"/>
      <c r="W1452" s="11"/>
      <c r="X1452" s="11"/>
      <c r="Y1452" s="11"/>
      <c r="Z1452" s="11"/>
    </row>
    <row r="1453" customHeight="1" spans="1:26">
      <c r="A1453" s="11" t="str">
        <f>IFERROR(__xludf.DUMMYFUNCTION("""COMPUTED_VALUE"""),"MARIA R DE F DA S DIAS VIEIRA")</f>
        <v>MARIA R DE F DA S DIAS VIEIRA</v>
      </c>
      <c r="B1453" s="11"/>
      <c r="C1453" s="11"/>
      <c r="D1453" s="11" t="str">
        <f>IFERROR(__xludf.DUMMYFUNCTION("""COMPUTED_VALUE"""),"ENFERMEIRO 30H")</f>
        <v>ENFERMEIRO 30H</v>
      </c>
      <c r="E1453" s="11"/>
      <c r="F1453" s="11" t="str">
        <f>IFERROR(__xludf.DUMMYFUNCTION("""COMPUTED_VALUE"""),"US_167 POLICLINICA E MATERNIDADE PROFESSOR BARROS LIMA")</f>
        <v>US_167 POLICLINICA E MATERNIDADE PROFESSOR BARROS LIMA</v>
      </c>
      <c r="G1453" s="11" t="str">
        <f>IFERROR(__xludf.DUMMYFUNCTION("""COMPUTED_VALUE"""),"US_167 POLICLINICA E MATERNIDADE PROFESSOR BARROS LIMA")</f>
        <v>US_167 POLICLINICA E MATERNIDADE PROFESSOR BARROS LIMA</v>
      </c>
      <c r="H1453" s="11"/>
      <c r="I1453" s="11"/>
      <c r="J1453" s="11"/>
      <c r="K1453" s="11"/>
      <c r="L1453" s="11"/>
      <c r="M1453" s="11"/>
      <c r="N1453" s="11"/>
      <c r="O1453" s="11">
        <f>IFERROR(__xludf.DUMMYFUNCTION("""COMPUTED_VALUE"""),1876025492)</f>
        <v>1876025492</v>
      </c>
      <c r="P1453" s="11"/>
      <c r="Q1453" s="11"/>
      <c r="R1453" s="11"/>
      <c r="S1453" s="11"/>
      <c r="T1453" s="11"/>
      <c r="U1453" s="11"/>
      <c r="V1453" s="11"/>
      <c r="W1453" s="11"/>
      <c r="X1453" s="11"/>
      <c r="Y1453" s="11"/>
      <c r="Z1453" s="11"/>
    </row>
    <row r="1454" customHeight="1" spans="1:26">
      <c r="A1454" s="11" t="str">
        <f>IFERROR(__xludf.DUMMYFUNCTION("""COMPUTED_VALUE"""),"ELAINE CRISTINA B FERREIRA")</f>
        <v>ELAINE CRISTINA B FERREIRA</v>
      </c>
      <c r="B1454" s="11"/>
      <c r="C1454" s="11"/>
      <c r="D1454" s="11" t="str">
        <f>IFERROR(__xludf.DUMMYFUNCTION("""COMPUTED_VALUE"""),"ENFERMEIRO 30H")</f>
        <v>ENFERMEIRO 30H</v>
      </c>
      <c r="E1454" s="11"/>
      <c r="F1454" s="11" t="str">
        <f>IFERROR(__xludf.DUMMYFUNCTION("""COMPUTED_VALUE"""),"US_153 POLICLINICA E MATERNIDADE ARNALDO MARQUES")</f>
        <v>US_153 POLICLINICA E MATERNIDADE ARNALDO MARQUES</v>
      </c>
      <c r="G1454" s="11" t="str">
        <f>IFERROR(__xludf.DUMMYFUNCTION("""COMPUTED_VALUE"""),"US_153 POLICLINICA E MATERNIDADE ARNALDO MARQUES")</f>
        <v>US_153 POLICLINICA E MATERNIDADE ARNALDO MARQUES</v>
      </c>
      <c r="H1454" s="11"/>
      <c r="I1454" s="11"/>
      <c r="J1454" s="11"/>
      <c r="K1454" s="11"/>
      <c r="L1454" s="11"/>
      <c r="M1454" s="11"/>
      <c r="N1454" s="11"/>
      <c r="O1454" s="11">
        <f>IFERROR(__xludf.DUMMYFUNCTION("""COMPUTED_VALUE"""),2213384460)</f>
        <v>2213384460</v>
      </c>
      <c r="P1454" s="11"/>
      <c r="Q1454" s="11"/>
      <c r="R1454" s="11"/>
      <c r="S1454" s="11"/>
      <c r="T1454" s="11"/>
      <c r="U1454" s="11"/>
      <c r="V1454" s="11"/>
      <c r="W1454" s="11"/>
      <c r="X1454" s="11"/>
      <c r="Y1454" s="11"/>
      <c r="Z1454" s="11"/>
    </row>
    <row r="1455" customHeight="1" spans="1:26">
      <c r="A1455" s="11" t="str">
        <f>IFERROR(__xludf.DUMMYFUNCTION("""COMPUTED_VALUE"""),"ALESSANDRA BASTOS DA CRUZ")</f>
        <v>ALESSANDRA BASTOS DA CRUZ</v>
      </c>
      <c r="B1455" s="11"/>
      <c r="C1455" s="11"/>
      <c r="D1455" s="11" t="str">
        <f>IFERROR(__xludf.DUMMYFUNCTION("""COMPUTED_VALUE"""),"ENFERMEIRO 30H")</f>
        <v>ENFERMEIRO 30H</v>
      </c>
      <c r="E1455" s="11"/>
      <c r="F1455" s="11" t="str">
        <f>IFERROR(__xludf.DUMMYFUNCTION("""COMPUTED_VALUE"""),"US_153 POLICLINICA E MATERNIDADE ARNALDO MARQUES")</f>
        <v>US_153 POLICLINICA E MATERNIDADE ARNALDO MARQUES</v>
      </c>
      <c r="G1455" s="11" t="str">
        <f>IFERROR(__xludf.DUMMYFUNCTION("""COMPUTED_VALUE"""),"US_153 POLICLINICA E MATERNIDADE ARNALDO MARQUES")</f>
        <v>US_153 POLICLINICA E MATERNIDADE ARNALDO MARQUES</v>
      </c>
      <c r="H1455" s="11"/>
      <c r="I1455" s="11"/>
      <c r="J1455" s="11"/>
      <c r="K1455" s="11"/>
      <c r="L1455" s="11"/>
      <c r="M1455" s="11"/>
      <c r="N1455" s="11"/>
      <c r="O1455" s="11">
        <f>IFERROR(__xludf.DUMMYFUNCTION("""COMPUTED_VALUE"""),56697317353)</f>
        <v>56697317353</v>
      </c>
      <c r="P1455" s="11"/>
      <c r="Q1455" s="11"/>
      <c r="R1455" s="11"/>
      <c r="S1455" s="11"/>
      <c r="T1455" s="11"/>
      <c r="U1455" s="11"/>
      <c r="V1455" s="11"/>
      <c r="W1455" s="11"/>
      <c r="X1455" s="11"/>
      <c r="Y1455" s="11"/>
      <c r="Z1455" s="11"/>
    </row>
    <row r="1456" customHeight="1" spans="1:26">
      <c r="A1456" s="11" t="str">
        <f>IFERROR(__xludf.DUMMYFUNCTION("""COMPUTED_VALUE"""),"CACILDA SANTANA DA SILVA")</f>
        <v>CACILDA SANTANA DA SILVA</v>
      </c>
      <c r="B1456" s="11"/>
      <c r="C1456" s="11"/>
      <c r="D1456" s="11" t="str">
        <f>IFERROR(__xludf.DUMMYFUNCTION("""COMPUTED_VALUE"""),"ENFERMEIRO 30H")</f>
        <v>ENFERMEIRO 30H</v>
      </c>
      <c r="E1456" s="11"/>
      <c r="F1456" s="11" t="str">
        <f>IFERROR(__xludf.DUMMYFUNCTION("""COMPUTED_VALUE"""),"US_165 MATERNIDADE BANDEIRA FILHO")</f>
        <v>US_165 MATERNIDADE BANDEIRA FILHO</v>
      </c>
      <c r="G1456" s="11" t="str">
        <f>IFERROR(__xludf.DUMMYFUNCTION("""COMPUTED_VALUE"""),"US_165 MATERNIDADE BANDEIRA FILHO")</f>
        <v>US_165 MATERNIDADE BANDEIRA FILHO</v>
      </c>
      <c r="H1456" s="11"/>
      <c r="I1456" s="11"/>
      <c r="J1456" s="11"/>
      <c r="K1456" s="11"/>
      <c r="L1456" s="11"/>
      <c r="M1456" s="11"/>
      <c r="N1456" s="11"/>
      <c r="O1456" s="11">
        <f>IFERROR(__xludf.DUMMYFUNCTION("""COMPUTED_VALUE"""),4257690895)</f>
        <v>4257690895</v>
      </c>
      <c r="P1456" s="11"/>
      <c r="Q1456" s="11"/>
      <c r="R1456" s="11"/>
      <c r="S1456" s="11"/>
      <c r="T1456" s="11"/>
      <c r="U1456" s="11"/>
      <c r="V1456" s="11"/>
      <c r="W1456" s="11"/>
      <c r="X1456" s="11"/>
      <c r="Y1456" s="11"/>
      <c r="Z1456" s="11"/>
    </row>
    <row r="1457" customHeight="1" spans="1:26">
      <c r="A1457" s="11" t="str">
        <f>IFERROR(__xludf.DUMMYFUNCTION("""COMPUTED_VALUE"""),"RODRIGO XIMENES DE BARROS")</f>
        <v>RODRIGO XIMENES DE BARROS</v>
      </c>
      <c r="B1457" s="11"/>
      <c r="C1457" s="11"/>
      <c r="D1457" s="11" t="str">
        <f>IFERROR(__xludf.DUMMYFUNCTION("""COMPUTED_VALUE"""),"ENFERMEIRO 30H")</f>
        <v>ENFERMEIRO 30H</v>
      </c>
      <c r="E1457" s="11"/>
      <c r="F1457" s="11" t="str">
        <f>IFERROR(__xludf.DUMMYFUNCTION("""COMPUTED_VALUE"""),"US_153 POLICLINICA E MATERNIDADE ARNALDO MARQUES")</f>
        <v>US_153 POLICLINICA E MATERNIDADE ARNALDO MARQUES</v>
      </c>
      <c r="G1457" s="11" t="str">
        <f>IFERROR(__xludf.DUMMYFUNCTION("""COMPUTED_VALUE"""),"US_153 POLICLINICA E MATERNIDADE ARNALDO MARQUES")</f>
        <v>US_153 POLICLINICA E MATERNIDADE ARNALDO MARQUES</v>
      </c>
      <c r="H1457" s="11"/>
      <c r="I1457" s="11"/>
      <c r="J1457" s="11"/>
      <c r="K1457" s="11"/>
      <c r="L1457" s="11"/>
      <c r="M1457" s="11"/>
      <c r="N1457" s="11"/>
      <c r="O1457" s="11">
        <f>IFERROR(__xludf.DUMMYFUNCTION("""COMPUTED_VALUE"""),82003718400)</f>
        <v>82003718400</v>
      </c>
      <c r="P1457" s="11"/>
      <c r="Q1457" s="11"/>
      <c r="R1457" s="11"/>
      <c r="S1457" s="11"/>
      <c r="T1457" s="11"/>
      <c r="U1457" s="11"/>
      <c r="V1457" s="11"/>
      <c r="W1457" s="11"/>
      <c r="X1457" s="11"/>
      <c r="Y1457" s="11"/>
      <c r="Z1457" s="11"/>
    </row>
    <row r="1458" customHeight="1" spans="1:26">
      <c r="A1458" s="11" t="str">
        <f>IFERROR(__xludf.DUMMYFUNCTION("""COMPUTED_VALUE"""),"ADRIANA CORREIA DE C ANDRADE")</f>
        <v>ADRIANA CORREIA DE C ANDRADE</v>
      </c>
      <c r="B1458" s="11"/>
      <c r="C1458" s="11"/>
      <c r="D1458" s="11" t="str">
        <f>IFERROR(__xludf.DUMMYFUNCTION("""COMPUTED_VALUE"""),"ENFERMEIRO 30H")</f>
        <v>ENFERMEIRO 30H</v>
      </c>
      <c r="E1458" s="11"/>
      <c r="F1458" s="11" t="str">
        <f>IFERROR(__xludf.DUMMYFUNCTION("""COMPUTED_VALUE"""),"US_153 POLICLINICA E MATERNIDADE ARNALDO MARQUES")</f>
        <v>US_153 POLICLINICA E MATERNIDADE ARNALDO MARQUES</v>
      </c>
      <c r="G1458" s="11" t="str">
        <f>IFERROR(__xludf.DUMMYFUNCTION("""COMPUTED_VALUE"""),"US_153 POLICLINICA E MATERNIDADE ARNALDO MARQUES")</f>
        <v>US_153 POLICLINICA E MATERNIDADE ARNALDO MARQUES</v>
      </c>
      <c r="H1458" s="11"/>
      <c r="I1458" s="11"/>
      <c r="J1458" s="11"/>
      <c r="K1458" s="11"/>
      <c r="L1458" s="11"/>
      <c r="M1458" s="11"/>
      <c r="N1458" s="11"/>
      <c r="O1458" s="11">
        <f>IFERROR(__xludf.DUMMYFUNCTION("""COMPUTED_VALUE"""),54740460491)</f>
        <v>54740460491</v>
      </c>
      <c r="P1458" s="11"/>
      <c r="Q1458" s="11"/>
      <c r="R1458" s="11"/>
      <c r="S1458" s="11"/>
      <c r="T1458" s="11"/>
      <c r="U1458" s="11"/>
      <c r="V1458" s="11"/>
      <c r="W1458" s="11"/>
      <c r="X1458" s="11"/>
      <c r="Y1458" s="11"/>
      <c r="Z1458" s="11"/>
    </row>
    <row r="1459" customHeight="1" spans="1:26">
      <c r="A1459" s="11" t="str">
        <f>IFERROR(__xludf.DUMMYFUNCTION("""COMPUTED_VALUE"""),"VIVIANE LIMA PINTO")</f>
        <v>VIVIANE LIMA PINTO</v>
      </c>
      <c r="B1459" s="11"/>
      <c r="C1459" s="11"/>
      <c r="D1459" s="11" t="str">
        <f>IFERROR(__xludf.DUMMYFUNCTION("""COMPUTED_VALUE"""),"ENFERMEIRO 30H")</f>
        <v>ENFERMEIRO 30H</v>
      </c>
      <c r="E1459" s="11"/>
      <c r="F1459" s="11" t="str">
        <f>IFERROR(__xludf.DUMMYFUNCTION("""COMPUTED_VALUE"""),"US_165 MATERNIDADE BANDEIRA FILHO")</f>
        <v>US_165 MATERNIDADE BANDEIRA FILHO</v>
      </c>
      <c r="G1459" s="11" t="str">
        <f>IFERROR(__xludf.DUMMYFUNCTION("""COMPUTED_VALUE"""),"US_165 MATERNIDADE BANDEIRA FILHO")</f>
        <v>US_165 MATERNIDADE BANDEIRA FILHO</v>
      </c>
      <c r="H1459" s="11"/>
      <c r="I1459" s="11"/>
      <c r="J1459" s="11"/>
      <c r="K1459" s="11"/>
      <c r="L1459" s="11"/>
      <c r="M1459" s="11"/>
      <c r="N1459" s="11"/>
      <c r="O1459" s="11">
        <f>IFERROR(__xludf.DUMMYFUNCTION("""COMPUTED_VALUE"""),79413110468)</f>
        <v>79413110468</v>
      </c>
      <c r="P1459" s="11"/>
      <c r="Q1459" s="11"/>
      <c r="R1459" s="11"/>
      <c r="S1459" s="11"/>
      <c r="T1459" s="11"/>
      <c r="U1459" s="11"/>
      <c r="V1459" s="11"/>
      <c r="W1459" s="11"/>
      <c r="X1459" s="11"/>
      <c r="Y1459" s="11"/>
      <c r="Z1459" s="11"/>
    </row>
    <row r="1460" customHeight="1" spans="1:26">
      <c r="A1460" s="11" t="str">
        <f>IFERROR(__xludf.DUMMYFUNCTION("""COMPUTED_VALUE"""),"LUCIANA MARQUES ANDRETO")</f>
        <v>LUCIANA MARQUES ANDRETO</v>
      </c>
      <c r="B1460" s="11"/>
      <c r="C1460" s="11"/>
      <c r="D1460" s="11" t="str">
        <f>IFERROR(__xludf.DUMMYFUNCTION("""COMPUTED_VALUE"""),"ENFERMEIRO 30H")</f>
        <v>ENFERMEIRO 30H</v>
      </c>
      <c r="E1460" s="11"/>
      <c r="F1460" s="11" t="str">
        <f>IFERROR(__xludf.DUMMYFUNCTION("""COMPUTED_VALUE"""),"US_165 MATERNIDADE BANDEIRA FILHO")</f>
        <v>US_165 MATERNIDADE BANDEIRA FILHO</v>
      </c>
      <c r="G1460" s="11" t="str">
        <f>IFERROR(__xludf.DUMMYFUNCTION("""COMPUTED_VALUE"""),"US_165 MATERNIDADE BANDEIRA FILHO")</f>
        <v>US_165 MATERNIDADE BANDEIRA FILHO</v>
      </c>
      <c r="H1460" s="11"/>
      <c r="I1460" s="11"/>
      <c r="J1460" s="11"/>
      <c r="K1460" s="11"/>
      <c r="L1460" s="11"/>
      <c r="M1460" s="11"/>
      <c r="N1460" s="11"/>
      <c r="O1460" s="11">
        <f>IFERROR(__xludf.DUMMYFUNCTION("""COMPUTED_VALUE"""),2122738413)</f>
        <v>2122738413</v>
      </c>
      <c r="P1460" s="11"/>
      <c r="Q1460" s="11"/>
      <c r="R1460" s="11"/>
      <c r="S1460" s="11"/>
      <c r="T1460" s="11"/>
      <c r="U1460" s="11"/>
      <c r="V1460" s="11"/>
      <c r="W1460" s="11"/>
      <c r="X1460" s="11"/>
      <c r="Y1460" s="11"/>
      <c r="Z1460" s="11"/>
    </row>
    <row r="1461" customHeight="1" spans="1:26">
      <c r="A1461" s="11" t="str">
        <f>IFERROR(__xludf.DUMMYFUNCTION("""COMPUTED_VALUE"""),"MARIA LUCIA DE SOUZA MONTEIRO")</f>
        <v>MARIA LUCIA DE SOUZA MONTEIRO</v>
      </c>
      <c r="B1461" s="11"/>
      <c r="C1461" s="11"/>
      <c r="D1461" s="11" t="str">
        <f>IFERROR(__xludf.DUMMYFUNCTION("""COMPUTED_VALUE"""),"ENFERMEIRO 30H")</f>
        <v>ENFERMEIRO 30H</v>
      </c>
      <c r="E1461" s="11"/>
      <c r="F1461" s="11" t="str">
        <f>IFERROR(__xludf.DUMMYFUNCTION("""COMPUTED_VALUE"""),"US_153 POLICLINICA E MATERNIDADE ARNALDO MARQUES")</f>
        <v>US_153 POLICLINICA E MATERNIDADE ARNALDO MARQUES</v>
      </c>
      <c r="G1461" s="11" t="str">
        <f>IFERROR(__xludf.DUMMYFUNCTION("""COMPUTED_VALUE"""),"US_153 POLICLINICA E MATERNIDADE ARNALDO MARQUES")</f>
        <v>US_153 POLICLINICA E MATERNIDADE ARNALDO MARQUES</v>
      </c>
      <c r="H1461" s="11"/>
      <c r="I1461" s="11"/>
      <c r="J1461" s="11"/>
      <c r="K1461" s="11"/>
      <c r="L1461" s="11"/>
      <c r="M1461" s="11"/>
      <c r="N1461" s="11"/>
      <c r="O1461" s="11">
        <f>IFERROR(__xludf.DUMMYFUNCTION("""COMPUTED_VALUE"""),28985869434)</f>
        <v>28985869434</v>
      </c>
      <c r="P1461" s="11"/>
      <c r="Q1461" s="11"/>
      <c r="R1461" s="11"/>
      <c r="S1461" s="11"/>
      <c r="T1461" s="11"/>
      <c r="U1461" s="11"/>
      <c r="V1461" s="11"/>
      <c r="W1461" s="11"/>
      <c r="X1461" s="11"/>
      <c r="Y1461" s="11"/>
      <c r="Z1461" s="11"/>
    </row>
    <row r="1462" customHeight="1" spans="1:26">
      <c r="A1462" s="11" t="str">
        <f>IFERROR(__xludf.DUMMYFUNCTION("""COMPUTED_VALUE"""),"PATRICIA MADRUGA REGO BARROS")</f>
        <v>PATRICIA MADRUGA REGO BARROS</v>
      </c>
      <c r="B1462" s="11"/>
      <c r="C1462" s="11"/>
      <c r="D1462" s="11" t="str">
        <f>IFERROR(__xludf.DUMMYFUNCTION("""COMPUTED_VALUE"""),"ENFERMEIRO 30H")</f>
        <v>ENFERMEIRO 30H</v>
      </c>
      <c r="E1462" s="11"/>
      <c r="F1462" s="11" t="str">
        <f>IFERROR(__xludf.DUMMYFUNCTION("""COMPUTED_VALUE"""),"US_167 POLICLINICA E MATERNIDADE PROFESSOR BARROS LIMA")</f>
        <v>US_167 POLICLINICA E MATERNIDADE PROFESSOR BARROS LIMA</v>
      </c>
      <c r="G1462" s="11" t="str">
        <f>IFERROR(__xludf.DUMMYFUNCTION("""COMPUTED_VALUE"""),"US_167 POLICLINICA E MATERNIDADE PROFESSOR BARROS LIMA")</f>
        <v>US_167 POLICLINICA E MATERNIDADE PROFESSOR BARROS LIMA</v>
      </c>
      <c r="H1462" s="11"/>
      <c r="I1462" s="11"/>
      <c r="J1462" s="11"/>
      <c r="K1462" s="11"/>
      <c r="L1462" s="11"/>
      <c r="M1462" s="11"/>
      <c r="N1462" s="11"/>
      <c r="O1462" s="11">
        <f>IFERROR(__xludf.DUMMYFUNCTION("""COMPUTED_VALUE"""),2190412455)</f>
        <v>2190412455</v>
      </c>
      <c r="P1462" s="11"/>
      <c r="Q1462" s="11"/>
      <c r="R1462" s="11"/>
      <c r="S1462" s="11"/>
      <c r="T1462" s="11"/>
      <c r="U1462" s="11"/>
      <c r="V1462" s="11"/>
      <c r="W1462" s="11"/>
      <c r="X1462" s="11"/>
      <c r="Y1462" s="11"/>
      <c r="Z1462" s="11"/>
    </row>
    <row r="1463" customHeight="1" spans="1:26">
      <c r="A1463" s="11" t="str">
        <f>IFERROR(__xludf.DUMMYFUNCTION("""COMPUTED_VALUE"""),"ELAINE SANDRES DO NASCIMENTO")</f>
        <v>ELAINE SANDRES DO NASCIMENTO</v>
      </c>
      <c r="B1463" s="11"/>
      <c r="C1463" s="11"/>
      <c r="D1463" s="11" t="str">
        <f>IFERROR(__xludf.DUMMYFUNCTION("""COMPUTED_VALUE"""),"ENFERMEIRO 30H")</f>
        <v>ENFERMEIRO 30H</v>
      </c>
      <c r="E1463" s="11"/>
      <c r="F1463" s="11" t="str">
        <f>IFERROR(__xludf.DUMMYFUNCTION("""COMPUTED_VALUE"""),"US_167 POLICLINICA E MATERNIDADE PROFESSOR BARROS LIMA")</f>
        <v>US_167 POLICLINICA E MATERNIDADE PROFESSOR BARROS LIMA</v>
      </c>
      <c r="G1463" s="11" t="str">
        <f>IFERROR(__xludf.DUMMYFUNCTION("""COMPUTED_VALUE"""),"US_167 POLICLINICA E MATERNIDADE PROFESSOR BARROS LIMA")</f>
        <v>US_167 POLICLINICA E MATERNIDADE PROFESSOR BARROS LIMA</v>
      </c>
      <c r="H1463" s="11"/>
      <c r="I1463" s="11"/>
      <c r="J1463" s="11"/>
      <c r="K1463" s="11"/>
      <c r="L1463" s="11"/>
      <c r="M1463" s="11"/>
      <c r="N1463" s="11"/>
      <c r="O1463" s="11">
        <f>IFERROR(__xludf.DUMMYFUNCTION("""COMPUTED_VALUE"""),94827788472)</f>
        <v>94827788472</v>
      </c>
      <c r="P1463" s="11"/>
      <c r="Q1463" s="11"/>
      <c r="R1463" s="11"/>
      <c r="S1463" s="11"/>
      <c r="T1463" s="11"/>
      <c r="U1463" s="11"/>
      <c r="V1463" s="11"/>
      <c r="W1463" s="11"/>
      <c r="X1463" s="11"/>
      <c r="Y1463" s="11"/>
      <c r="Z1463" s="11"/>
    </row>
    <row r="1464" customHeight="1" spans="1:26">
      <c r="A1464" s="11" t="str">
        <f>IFERROR(__xludf.DUMMYFUNCTION("""COMPUTED_VALUE"""),"KARLA ROMANA FERREIRA DE SOUZA")</f>
        <v>KARLA ROMANA FERREIRA DE SOUZA</v>
      </c>
      <c r="B1464" s="11"/>
      <c r="C1464" s="11"/>
      <c r="D1464" s="11" t="str">
        <f>IFERROR(__xludf.DUMMYFUNCTION("""COMPUTED_VALUE"""),"ENFERMEIRO 30H")</f>
        <v>ENFERMEIRO 30H</v>
      </c>
      <c r="E1464" s="11"/>
      <c r="F1464" s="11" t="str">
        <f>IFERROR(__xludf.DUMMYFUNCTION("""COMPUTED_VALUE"""),"US_165 MATERNIDADE BANDEIRA FILHO")</f>
        <v>US_165 MATERNIDADE BANDEIRA FILHO</v>
      </c>
      <c r="G1464" s="11" t="str">
        <f>IFERROR(__xludf.DUMMYFUNCTION("""COMPUTED_VALUE"""),"US_165 MATERNIDADE BANDEIRA FILHO")</f>
        <v>US_165 MATERNIDADE BANDEIRA FILHO</v>
      </c>
      <c r="H1464" s="11"/>
      <c r="I1464" s="11"/>
      <c r="J1464" s="11"/>
      <c r="K1464" s="11"/>
      <c r="L1464" s="11"/>
      <c r="M1464" s="11"/>
      <c r="N1464" s="11"/>
      <c r="O1464" s="11">
        <f>IFERROR(__xludf.DUMMYFUNCTION("""COMPUTED_VALUE"""),91978130449)</f>
        <v>91978130449</v>
      </c>
      <c r="P1464" s="11"/>
      <c r="Q1464" s="11"/>
      <c r="R1464" s="11"/>
      <c r="S1464" s="11"/>
      <c r="T1464" s="11"/>
      <c r="U1464" s="11"/>
      <c r="V1464" s="11"/>
      <c r="W1464" s="11"/>
      <c r="X1464" s="11"/>
      <c r="Y1464" s="11"/>
      <c r="Z1464" s="11"/>
    </row>
    <row r="1465" customHeight="1" spans="1:26">
      <c r="A1465" s="11" t="str">
        <f>IFERROR(__xludf.DUMMYFUNCTION("""COMPUTED_VALUE"""),"MIRIAM ROBERTA C F DE ANDRADE")</f>
        <v>MIRIAM ROBERTA C F DE ANDRADE</v>
      </c>
      <c r="B1465" s="11"/>
      <c r="C1465" s="11"/>
      <c r="D1465" s="11" t="str">
        <f>IFERROR(__xludf.DUMMYFUNCTION("""COMPUTED_VALUE"""),"SERV OUT ORGAOS - REG PROPRIO")</f>
        <v>SERV OUT ORGAOS - REG PROPRIO</v>
      </c>
      <c r="E1465" s="11"/>
      <c r="F1465" s="11" t="str">
        <f>IFERROR(__xludf.DUMMYFUNCTION("""COMPUTED_VALUE"""),"US_167 POLICLINICA E MATERNIDADE PROFESSOR BARROS LIMA")</f>
        <v>US_167 POLICLINICA E MATERNIDADE PROFESSOR BARROS LIMA</v>
      </c>
      <c r="G1465" s="11" t="str">
        <f>IFERROR(__xludf.DUMMYFUNCTION("""COMPUTED_VALUE"""),"US_167 POLICLINICA E MATERNIDADE PROFESSOR BARROS LIMA")</f>
        <v>US_167 POLICLINICA E MATERNIDADE PROFESSOR BARROS LIMA</v>
      </c>
      <c r="H1465" s="11"/>
      <c r="I1465" s="11"/>
      <c r="J1465" s="11"/>
      <c r="K1465" s="11"/>
      <c r="L1465" s="11"/>
      <c r="M1465" s="11"/>
      <c r="N1465" s="11"/>
      <c r="O1465" s="11">
        <f>IFERROR(__xludf.DUMMYFUNCTION("""COMPUTED_VALUE"""),33158975491)</f>
        <v>33158975491</v>
      </c>
      <c r="P1465" s="11"/>
      <c r="Q1465" s="11"/>
      <c r="R1465" s="11"/>
      <c r="S1465" s="11"/>
      <c r="T1465" s="11"/>
      <c r="U1465" s="11"/>
      <c r="V1465" s="11"/>
      <c r="W1465" s="11"/>
      <c r="X1465" s="11"/>
      <c r="Y1465" s="11"/>
      <c r="Z1465" s="11"/>
    </row>
    <row r="1466" customHeight="1" spans="1:26">
      <c r="A1466" s="11" t="str">
        <f>IFERROR(__xludf.DUMMYFUNCTION("""COMPUTED_VALUE"""),"ELISABETE MARIA DE SANTANA")</f>
        <v>ELISABETE MARIA DE SANTANA</v>
      </c>
      <c r="B1466" s="11"/>
      <c r="C1466" s="11"/>
      <c r="D1466" s="11" t="str">
        <f>IFERROR(__xludf.DUMMYFUNCTION("""COMPUTED_VALUE"""),"SERV DE ORGAO MUNICIPALIZ RP")</f>
        <v>SERV DE ORGAO MUNICIPALIZ RP</v>
      </c>
      <c r="E1466" s="11"/>
      <c r="F1466" s="11" t="str">
        <f>IFERROR(__xludf.DUMMYFUNCTION("""COMPUTED_VALUE"""),"US_167 POLICLINICA E MATERNIDADE PROFESSOR BARROS LIMA")</f>
        <v>US_167 POLICLINICA E MATERNIDADE PROFESSOR BARROS LIMA</v>
      </c>
      <c r="G1466" s="11" t="str">
        <f>IFERROR(__xludf.DUMMYFUNCTION("""COMPUTED_VALUE"""),"US_167 POLICLINICA E MATERNIDADE PROFESSOR BARROS LIMA")</f>
        <v>US_167 POLICLINICA E MATERNIDADE PROFESSOR BARROS LIMA</v>
      </c>
      <c r="H1466" s="11"/>
      <c r="I1466" s="11"/>
      <c r="J1466" s="11"/>
      <c r="K1466" s="11"/>
      <c r="L1466" s="11"/>
      <c r="M1466" s="11"/>
      <c r="N1466" s="11"/>
      <c r="O1466" s="11">
        <f>IFERROR(__xludf.DUMMYFUNCTION("""COMPUTED_VALUE"""),16511662420)</f>
        <v>16511662420</v>
      </c>
      <c r="P1466" s="11"/>
      <c r="Q1466" s="11"/>
      <c r="R1466" s="11"/>
      <c r="S1466" s="11"/>
      <c r="T1466" s="11"/>
      <c r="U1466" s="11"/>
      <c r="V1466" s="11"/>
      <c r="W1466" s="11"/>
      <c r="X1466" s="11"/>
      <c r="Y1466" s="11"/>
      <c r="Z1466" s="11"/>
    </row>
    <row r="1467" customHeight="1" spans="1:26">
      <c r="A1467" s="11" t="str">
        <f>IFERROR(__xludf.DUMMYFUNCTION("""COMPUTED_VALUE"""),"MAGNA SEVERINA T MAGALHAES")</f>
        <v>MAGNA SEVERINA T MAGALHAES</v>
      </c>
      <c r="B1467" s="11"/>
      <c r="C1467" s="11"/>
      <c r="D1467" s="11" t="str">
        <f>IFERROR(__xludf.DUMMYFUNCTION("""COMPUTED_VALUE"""),"ENFERMEIRO 30H")</f>
        <v>ENFERMEIRO 30H</v>
      </c>
      <c r="E1467" s="11"/>
      <c r="F1467" s="11" t="str">
        <f>IFERROR(__xludf.DUMMYFUNCTION("""COMPUTED_VALUE"""),"US_153 POLICLINICA E MATERNIDADE ARNALDO MARQUES")</f>
        <v>US_153 POLICLINICA E MATERNIDADE ARNALDO MARQUES</v>
      </c>
      <c r="G1467" s="11" t="str">
        <f>IFERROR(__xludf.DUMMYFUNCTION("""COMPUTED_VALUE"""),"US_153 POLICLINICA E MATERNIDADE ARNALDO MARQUES")</f>
        <v>US_153 POLICLINICA E MATERNIDADE ARNALDO MARQUES</v>
      </c>
      <c r="H1467" s="11"/>
      <c r="I1467" s="11"/>
      <c r="J1467" s="11"/>
      <c r="K1467" s="11"/>
      <c r="L1467" s="11"/>
      <c r="M1467" s="11"/>
      <c r="N1467" s="11"/>
      <c r="O1467" s="11">
        <f>IFERROR(__xludf.DUMMYFUNCTION("""COMPUTED_VALUE"""),63154900420)</f>
        <v>63154900420</v>
      </c>
      <c r="P1467" s="11"/>
      <c r="Q1467" s="11"/>
      <c r="R1467" s="11"/>
      <c r="S1467" s="11"/>
      <c r="T1467" s="11"/>
      <c r="U1467" s="11"/>
      <c r="V1467" s="11"/>
      <c r="W1467" s="11"/>
      <c r="X1467" s="11"/>
      <c r="Y1467" s="11"/>
      <c r="Z1467" s="11"/>
    </row>
    <row r="1468" customHeight="1" spans="1:26">
      <c r="A1468" s="11" t="str">
        <f>IFERROR(__xludf.DUMMYFUNCTION("""COMPUTED_VALUE"""),"MARIA DE FATIMA N DE SOUZA")</f>
        <v>MARIA DE FATIMA N DE SOUZA</v>
      </c>
      <c r="B1468" s="11"/>
      <c r="C1468" s="11"/>
      <c r="D1468" s="11" t="str">
        <f>IFERROR(__xludf.DUMMYFUNCTION("""COMPUTED_VALUE"""),"ENFERMEIRO 30H")</f>
        <v>ENFERMEIRO 30H</v>
      </c>
      <c r="E1468" s="11"/>
      <c r="F1468" s="11" t="str">
        <f>IFERROR(__xludf.DUMMYFUNCTION("""COMPUTED_VALUE"""),"US_153 POLICLINICA E MATERNIDADE ARNALDO MARQUES")</f>
        <v>US_153 POLICLINICA E MATERNIDADE ARNALDO MARQUES</v>
      </c>
      <c r="G1468" s="11" t="str">
        <f>IFERROR(__xludf.DUMMYFUNCTION("""COMPUTED_VALUE"""),"US_153 POLICLINICA E MATERNIDADE ARNALDO MARQUES")</f>
        <v>US_153 POLICLINICA E MATERNIDADE ARNALDO MARQUES</v>
      </c>
      <c r="H1468" s="11"/>
      <c r="I1468" s="11"/>
      <c r="J1468" s="11"/>
      <c r="K1468" s="11"/>
      <c r="L1468" s="11"/>
      <c r="M1468" s="11"/>
      <c r="N1468" s="11"/>
      <c r="O1468" s="11">
        <f>IFERROR(__xludf.DUMMYFUNCTION("""COMPUTED_VALUE"""),52952452415)</f>
        <v>52952452415</v>
      </c>
      <c r="P1468" s="11"/>
      <c r="Q1468" s="11"/>
      <c r="R1468" s="11"/>
      <c r="S1468" s="11"/>
      <c r="T1468" s="11"/>
      <c r="U1468" s="11"/>
      <c r="V1468" s="11"/>
      <c r="W1468" s="11"/>
      <c r="X1468" s="11"/>
      <c r="Y1468" s="11"/>
      <c r="Z1468" s="11"/>
    </row>
    <row r="1469" customHeight="1" spans="1:26">
      <c r="A1469" s="11" t="str">
        <f>IFERROR(__xludf.DUMMYFUNCTION("""COMPUTED_VALUE"""),"AURINETE MARIA DE VASCONCELOS")</f>
        <v>AURINETE MARIA DE VASCONCELOS</v>
      </c>
      <c r="B1469" s="11"/>
      <c r="C1469" s="11"/>
      <c r="D1469" s="11" t="str">
        <f>IFERROR(__xludf.DUMMYFUNCTION("""COMPUTED_VALUE"""),"ENFERMEIRO 30H")</f>
        <v>ENFERMEIRO 30H</v>
      </c>
      <c r="E1469" s="11"/>
      <c r="F1469" s="11" t="str">
        <f>IFERROR(__xludf.DUMMYFUNCTION("""COMPUTED_VALUE"""),"US_167 POLICLINICA E MATERNIDADE PROFESSOR BARROS LIMA")</f>
        <v>US_167 POLICLINICA E MATERNIDADE PROFESSOR BARROS LIMA</v>
      </c>
      <c r="G1469" s="11" t="str">
        <f>IFERROR(__xludf.DUMMYFUNCTION("""COMPUTED_VALUE"""),"US_167 POLICLINICA E MATERNIDADE PROFESSOR BARROS LIMA")</f>
        <v>US_167 POLICLINICA E MATERNIDADE PROFESSOR BARROS LIMA</v>
      </c>
      <c r="H1469" s="11"/>
      <c r="I1469" s="11"/>
      <c r="J1469" s="11"/>
      <c r="K1469" s="11"/>
      <c r="L1469" s="11"/>
      <c r="M1469" s="11"/>
      <c r="N1469" s="11"/>
      <c r="O1469" s="11">
        <f>IFERROR(__xludf.DUMMYFUNCTION("""COMPUTED_VALUE"""),52003329404)</f>
        <v>52003329404</v>
      </c>
      <c r="P1469" s="11"/>
      <c r="Q1469" s="11"/>
      <c r="R1469" s="11"/>
      <c r="S1469" s="11"/>
      <c r="T1469" s="11"/>
      <c r="U1469" s="11"/>
      <c r="V1469" s="11"/>
      <c r="W1469" s="11"/>
      <c r="X1469" s="11"/>
      <c r="Y1469" s="11"/>
      <c r="Z1469" s="11"/>
    </row>
    <row r="1470" customHeight="1" spans="1:26">
      <c r="A1470" s="11" t="str">
        <f>IFERROR(__xludf.DUMMYFUNCTION("""COMPUTED_VALUE"""),"ROBERTA GOMES DA SILVA")</f>
        <v>ROBERTA GOMES DA SILVA</v>
      </c>
      <c r="B1470" s="11"/>
      <c r="C1470" s="11"/>
      <c r="D1470" s="11" t="str">
        <f>IFERROR(__xludf.DUMMYFUNCTION("""COMPUTED_VALUE"""),"ENFERMEIRO 30H")</f>
        <v>ENFERMEIRO 30H</v>
      </c>
      <c r="E1470" s="11"/>
      <c r="F1470" s="11" t="str">
        <f>IFERROR(__xludf.DUMMYFUNCTION("""COMPUTED_VALUE"""),"US_167 POLICLINICA E MATERNIDADE PROFESSOR BARROS LIMA")</f>
        <v>US_167 POLICLINICA E MATERNIDADE PROFESSOR BARROS LIMA</v>
      </c>
      <c r="G1470" s="11" t="str">
        <f>IFERROR(__xludf.DUMMYFUNCTION("""COMPUTED_VALUE"""),"US_167 POLICLINICA E MATERNIDADE PROFESSOR BARROS LIMA")</f>
        <v>US_167 POLICLINICA E MATERNIDADE PROFESSOR BARROS LIMA</v>
      </c>
      <c r="H1470" s="11"/>
      <c r="I1470" s="11"/>
      <c r="J1470" s="11"/>
      <c r="K1470" s="11"/>
      <c r="L1470" s="11"/>
      <c r="M1470" s="11"/>
      <c r="N1470" s="11"/>
      <c r="O1470" s="11">
        <f>IFERROR(__xludf.DUMMYFUNCTION("""COMPUTED_VALUE"""),50912674415)</f>
        <v>50912674415</v>
      </c>
      <c r="P1470" s="11"/>
      <c r="Q1470" s="11"/>
      <c r="R1470" s="11"/>
      <c r="S1470" s="11"/>
      <c r="T1470" s="11"/>
      <c r="U1470" s="11"/>
      <c r="V1470" s="11"/>
      <c r="W1470" s="11"/>
      <c r="X1470" s="11"/>
      <c r="Y1470" s="11"/>
      <c r="Z1470" s="11"/>
    </row>
    <row r="1471" customHeight="1" spans="1:26">
      <c r="A1471" s="11" t="str">
        <f>IFERROR(__xludf.DUMMYFUNCTION("""COMPUTED_VALUE"""),"LANA TEREZINHA CESAR TAVARES")</f>
        <v>LANA TEREZINHA CESAR TAVARES</v>
      </c>
      <c r="B1471" s="11"/>
      <c r="C1471" s="11"/>
      <c r="D1471" s="11" t="str">
        <f>IFERROR(__xludf.DUMMYFUNCTION("""COMPUTED_VALUE"""),"ENFERMEIRO 30H")</f>
        <v>ENFERMEIRO 30H</v>
      </c>
      <c r="E1471" s="11"/>
      <c r="F1471" s="11" t="str">
        <f>IFERROR(__xludf.DUMMYFUNCTION("""COMPUTED_VALUE"""),"US_165 MATERNIDADE BANDEIRA FILHO")</f>
        <v>US_165 MATERNIDADE BANDEIRA FILHO</v>
      </c>
      <c r="G1471" s="11" t="str">
        <f>IFERROR(__xludf.DUMMYFUNCTION("""COMPUTED_VALUE"""),"US_165 MATERNIDADE BANDEIRA FILHO")</f>
        <v>US_165 MATERNIDADE BANDEIRA FILHO</v>
      </c>
      <c r="H1471" s="11"/>
      <c r="I1471" s="11"/>
      <c r="J1471" s="11"/>
      <c r="K1471" s="11"/>
      <c r="L1471" s="11"/>
      <c r="M1471" s="11"/>
      <c r="N1471" s="11"/>
      <c r="O1471" s="11">
        <f>IFERROR(__xludf.DUMMYFUNCTION("""COMPUTED_VALUE"""),66049369453)</f>
        <v>66049369453</v>
      </c>
      <c r="P1471" s="11"/>
      <c r="Q1471" s="11"/>
      <c r="R1471" s="11"/>
      <c r="S1471" s="11"/>
      <c r="T1471" s="11"/>
      <c r="U1471" s="11"/>
      <c r="V1471" s="11"/>
      <c r="W1471" s="11"/>
      <c r="X1471" s="11"/>
      <c r="Y1471" s="11"/>
      <c r="Z1471" s="11"/>
    </row>
    <row r="1472" customHeight="1" spans="1:26">
      <c r="A1472" s="11" t="str">
        <f>IFERROR(__xludf.DUMMYFUNCTION("""COMPUTED_VALUE"""),"ELIZABETH DE ANDRADE VANDERLEI")</f>
        <v>ELIZABETH DE ANDRADE VANDERLEI</v>
      </c>
      <c r="B1472" s="11"/>
      <c r="C1472" s="11"/>
      <c r="D1472" s="11" t="str">
        <f>IFERROR(__xludf.DUMMYFUNCTION("""COMPUTED_VALUE"""),"ENFERMEIRO 30H")</f>
        <v>ENFERMEIRO 30H</v>
      </c>
      <c r="E1472" s="11"/>
      <c r="F1472" s="11" t="str">
        <f>IFERROR(__xludf.DUMMYFUNCTION("""COMPUTED_VALUE"""),"US_153 POLICLINICA E MATERNIDADE ARNALDO MARQUES")</f>
        <v>US_153 POLICLINICA E MATERNIDADE ARNALDO MARQUES</v>
      </c>
      <c r="G1472" s="11" t="str">
        <f>IFERROR(__xludf.DUMMYFUNCTION("""COMPUTED_VALUE"""),"US_153 POLICLINICA E MATERNIDADE ARNALDO MARQUES")</f>
        <v>US_153 POLICLINICA E MATERNIDADE ARNALDO MARQUES</v>
      </c>
      <c r="H1472" s="11"/>
      <c r="I1472" s="11"/>
      <c r="J1472" s="11"/>
      <c r="K1472" s="11"/>
      <c r="L1472" s="11"/>
      <c r="M1472" s="11"/>
      <c r="N1472" s="11"/>
      <c r="O1472" s="11">
        <f>IFERROR(__xludf.DUMMYFUNCTION("""COMPUTED_VALUE"""),70621616400)</f>
        <v>70621616400</v>
      </c>
      <c r="P1472" s="11"/>
      <c r="Q1472" s="11"/>
      <c r="R1472" s="11"/>
      <c r="S1472" s="11"/>
      <c r="T1472" s="11"/>
      <c r="U1472" s="11"/>
      <c r="V1472" s="11"/>
      <c r="W1472" s="11"/>
      <c r="X1472" s="11"/>
      <c r="Y1472" s="11"/>
      <c r="Z1472" s="11"/>
    </row>
    <row r="1473" customHeight="1" spans="1:26">
      <c r="A1473" s="11" t="str">
        <f>IFERROR(__xludf.DUMMYFUNCTION("""COMPUTED_VALUE"""),"LUCIA AZEVEDO DO R C PRAGANA")</f>
        <v>LUCIA AZEVEDO DO R C PRAGANA</v>
      </c>
      <c r="B1473" s="11"/>
      <c r="C1473" s="11"/>
      <c r="D1473" s="11" t="str">
        <f>IFERROR(__xludf.DUMMYFUNCTION("""COMPUTED_VALUE"""),"ENFERMEIRO 30H")</f>
        <v>ENFERMEIRO 30H</v>
      </c>
      <c r="E1473" s="11"/>
      <c r="F1473" s="11" t="str">
        <f>IFERROR(__xludf.DUMMYFUNCTION("""COMPUTED_VALUE"""),"US_165 MATERNIDADE BANDEIRA FILHO")</f>
        <v>US_165 MATERNIDADE BANDEIRA FILHO</v>
      </c>
      <c r="G1473" s="11" t="str">
        <f>IFERROR(__xludf.DUMMYFUNCTION("""COMPUTED_VALUE"""),"US_165 MATERNIDADE BANDEIRA FILHO")</f>
        <v>US_165 MATERNIDADE BANDEIRA FILHO</v>
      </c>
      <c r="H1473" s="11"/>
      <c r="I1473" s="11"/>
      <c r="J1473" s="11"/>
      <c r="K1473" s="11"/>
      <c r="L1473" s="11"/>
      <c r="M1473" s="11"/>
      <c r="N1473" s="11"/>
      <c r="O1473" s="11">
        <f>IFERROR(__xludf.DUMMYFUNCTION("""COMPUTED_VALUE"""),13819275487)</f>
        <v>13819275487</v>
      </c>
      <c r="P1473" s="11"/>
      <c r="Q1473" s="11"/>
      <c r="R1473" s="11"/>
      <c r="S1473" s="11"/>
      <c r="T1473" s="11"/>
      <c r="U1473" s="11"/>
      <c r="V1473" s="11"/>
      <c r="W1473" s="11"/>
      <c r="X1473" s="11"/>
      <c r="Y1473" s="11"/>
      <c r="Z1473" s="11"/>
    </row>
    <row r="1474" customHeight="1" spans="1:26">
      <c r="A1474" s="11" t="str">
        <f>IFERROR(__xludf.DUMMYFUNCTION("""COMPUTED_VALUE"""),"SUZANA OLIVEIRA DE S.SANTANA")</f>
        <v>SUZANA OLIVEIRA DE S.SANTANA</v>
      </c>
      <c r="B1474" s="11"/>
      <c r="C1474" s="11"/>
      <c r="D1474" s="11" t="str">
        <f>IFERROR(__xludf.DUMMYFUNCTION("""COMPUTED_VALUE"""),"ENFERMEIRO 30H")</f>
        <v>ENFERMEIRO 30H</v>
      </c>
      <c r="E1474" s="11"/>
      <c r="F1474" s="11" t="str">
        <f>IFERROR(__xludf.DUMMYFUNCTION("""COMPUTED_VALUE"""),"US_165 MATERNIDADE BANDEIRA FILHO")</f>
        <v>US_165 MATERNIDADE BANDEIRA FILHO</v>
      </c>
      <c r="G1474" s="11" t="str">
        <f>IFERROR(__xludf.DUMMYFUNCTION("""COMPUTED_VALUE"""),"US_165 MATERNIDADE BANDEIRA FILHO")</f>
        <v>US_165 MATERNIDADE BANDEIRA FILHO</v>
      </c>
      <c r="H1474" s="11"/>
      <c r="I1474" s="11"/>
      <c r="J1474" s="11"/>
      <c r="K1474" s="11"/>
      <c r="L1474" s="11"/>
      <c r="M1474" s="11"/>
      <c r="N1474" s="11"/>
      <c r="O1474" s="11">
        <f>IFERROR(__xludf.DUMMYFUNCTION("""COMPUTED_VALUE"""),2760496406)</f>
        <v>2760496406</v>
      </c>
      <c r="P1474" s="11"/>
      <c r="Q1474" s="11"/>
      <c r="R1474" s="11"/>
      <c r="S1474" s="11"/>
      <c r="T1474" s="11"/>
      <c r="U1474" s="11"/>
      <c r="V1474" s="11"/>
      <c r="W1474" s="11"/>
      <c r="X1474" s="11"/>
      <c r="Y1474" s="11"/>
      <c r="Z1474" s="11"/>
    </row>
    <row r="1475" customHeight="1" spans="1:26">
      <c r="A1475" s="11" t="str">
        <f>IFERROR(__xludf.DUMMYFUNCTION("""COMPUTED_VALUE"""),"AVANI ALVES CAVALCANTI")</f>
        <v>AVANI ALVES CAVALCANTI</v>
      </c>
      <c r="B1475" s="11"/>
      <c r="C1475" s="11"/>
      <c r="D1475" s="11" t="str">
        <f>IFERROR(__xludf.DUMMYFUNCTION("""COMPUTED_VALUE"""),"ENFERMEIRO 30H")</f>
        <v>ENFERMEIRO 30H</v>
      </c>
      <c r="E1475" s="11"/>
      <c r="F1475" s="11" t="str">
        <f>IFERROR(__xludf.DUMMYFUNCTION("""COMPUTED_VALUE"""),"US_165 MATERNIDADE BANDEIRA FILHO")</f>
        <v>US_165 MATERNIDADE BANDEIRA FILHO</v>
      </c>
      <c r="G1475" s="11" t="str">
        <f>IFERROR(__xludf.DUMMYFUNCTION("""COMPUTED_VALUE"""),"US_165 MATERNIDADE BANDEIRA FILHO")</f>
        <v>US_165 MATERNIDADE BANDEIRA FILHO</v>
      </c>
      <c r="H1475" s="11"/>
      <c r="I1475" s="11"/>
      <c r="J1475" s="11"/>
      <c r="K1475" s="11"/>
      <c r="L1475" s="11"/>
      <c r="M1475" s="11"/>
      <c r="N1475" s="11"/>
      <c r="O1475" s="11">
        <f>IFERROR(__xludf.DUMMYFUNCTION("""COMPUTED_VALUE"""),18350569468)</f>
        <v>18350569468</v>
      </c>
      <c r="P1475" s="11"/>
      <c r="Q1475" s="11"/>
      <c r="R1475" s="11"/>
      <c r="S1475" s="11"/>
      <c r="T1475" s="11"/>
      <c r="U1475" s="11"/>
      <c r="V1475" s="11"/>
      <c r="W1475" s="11"/>
      <c r="X1475" s="11"/>
      <c r="Y1475" s="11"/>
      <c r="Z1475" s="11"/>
    </row>
    <row r="1476" customHeight="1" spans="1:26">
      <c r="A1476" s="11" t="str">
        <f>IFERROR(__xludf.DUMMYFUNCTION("""COMPUTED_VALUE"""),"AURELUCIA FRANCISCA DOS SANTOS")</f>
        <v>AURELUCIA FRANCISCA DOS SANTOS</v>
      </c>
      <c r="B1476" s="11"/>
      <c r="C1476" s="11"/>
      <c r="D1476" s="11" t="str">
        <f>IFERROR(__xludf.DUMMYFUNCTION("""COMPUTED_VALUE"""),"ENFERMEIRO 30H")</f>
        <v>ENFERMEIRO 30H</v>
      </c>
      <c r="E1476" s="11"/>
      <c r="F1476" s="11" t="str">
        <f>IFERROR(__xludf.DUMMYFUNCTION("""COMPUTED_VALUE"""),"US_167 POLICLINICA E MATERNIDADE PROFESSOR BARROS LIMA")</f>
        <v>US_167 POLICLINICA E MATERNIDADE PROFESSOR BARROS LIMA</v>
      </c>
      <c r="G1476" s="11" t="str">
        <f>IFERROR(__xludf.DUMMYFUNCTION("""COMPUTED_VALUE"""),"US_167 POLICLINICA E MATERNIDADE PROFESSOR BARROS LIMA")</f>
        <v>US_167 POLICLINICA E MATERNIDADE PROFESSOR BARROS LIMA</v>
      </c>
      <c r="H1476" s="11"/>
      <c r="I1476" s="11"/>
      <c r="J1476" s="11"/>
      <c r="K1476" s="11"/>
      <c r="L1476" s="11"/>
      <c r="M1476" s="11"/>
      <c r="N1476" s="11"/>
      <c r="O1476" s="11">
        <f>IFERROR(__xludf.DUMMYFUNCTION("""COMPUTED_VALUE"""),1868311457)</f>
        <v>1868311457</v>
      </c>
      <c r="P1476" s="11"/>
      <c r="Q1476" s="11"/>
      <c r="R1476" s="11"/>
      <c r="S1476" s="11"/>
      <c r="T1476" s="11"/>
      <c r="U1476" s="11"/>
      <c r="V1476" s="11"/>
      <c r="W1476" s="11"/>
      <c r="X1476" s="11"/>
      <c r="Y1476" s="11"/>
      <c r="Z1476" s="11"/>
    </row>
    <row r="1477" customHeight="1" spans="1:26">
      <c r="A1477" s="11" t="str">
        <f>IFERROR(__xludf.DUMMYFUNCTION("""COMPUTED_VALUE"""),"LILIANE MARIA F JANUARIO")</f>
        <v>LILIANE MARIA F JANUARIO</v>
      </c>
      <c r="B1477" s="11"/>
      <c r="C1477" s="11"/>
      <c r="D1477" s="11" t="str">
        <f>IFERROR(__xludf.DUMMYFUNCTION("""COMPUTED_VALUE"""),"ENFERMEIRO 30H")</f>
        <v>ENFERMEIRO 30H</v>
      </c>
      <c r="E1477" s="11"/>
      <c r="F1477" s="11" t="str">
        <f>IFERROR(__xludf.DUMMYFUNCTION("""COMPUTED_VALUE"""),"US_153 POLICLINICA E MATERNIDADE ARNALDO MARQUES")</f>
        <v>US_153 POLICLINICA E MATERNIDADE ARNALDO MARQUES</v>
      </c>
      <c r="G1477" s="11" t="str">
        <f>IFERROR(__xludf.DUMMYFUNCTION("""COMPUTED_VALUE"""),"US_153 POLICLINICA E MATERNIDADE ARNALDO MARQUES")</f>
        <v>US_153 POLICLINICA E MATERNIDADE ARNALDO MARQUES</v>
      </c>
      <c r="H1477" s="11"/>
      <c r="I1477" s="11"/>
      <c r="J1477" s="11"/>
      <c r="K1477" s="11"/>
      <c r="L1477" s="11"/>
      <c r="M1477" s="11"/>
      <c r="N1477" s="11"/>
      <c r="O1477" s="11">
        <f>IFERROR(__xludf.DUMMYFUNCTION("""COMPUTED_VALUE"""),748744460)</f>
        <v>748744460</v>
      </c>
      <c r="P1477" s="11"/>
      <c r="Q1477" s="11"/>
      <c r="R1477" s="11"/>
      <c r="S1477" s="11"/>
      <c r="T1477" s="11"/>
      <c r="U1477" s="11"/>
      <c r="V1477" s="11"/>
      <c r="W1477" s="11"/>
      <c r="X1477" s="11"/>
      <c r="Y1477" s="11"/>
      <c r="Z1477" s="11"/>
    </row>
    <row r="1478" customHeight="1" spans="1:26">
      <c r="A1478" s="11" t="str">
        <f>IFERROR(__xludf.DUMMYFUNCTION("""COMPUTED_VALUE"""),"DIACUY BERNARDINO BORBA")</f>
        <v>DIACUY BERNARDINO BORBA</v>
      </c>
      <c r="B1478" s="11"/>
      <c r="C1478" s="11"/>
      <c r="D1478" s="11" t="str">
        <f>IFERROR(__xludf.DUMMYFUNCTION("""COMPUTED_VALUE"""),"ENFERMEIRO 30H")</f>
        <v>ENFERMEIRO 30H</v>
      </c>
      <c r="E1478" s="11"/>
      <c r="F1478" s="11" t="str">
        <f>IFERROR(__xludf.DUMMYFUNCTION("""COMPUTED_VALUE"""),"US_167 POLICLINICA E MATERNIDADE PROFESSOR BARROS LIMA")</f>
        <v>US_167 POLICLINICA E MATERNIDADE PROFESSOR BARROS LIMA</v>
      </c>
      <c r="G1478" s="11" t="str">
        <f>IFERROR(__xludf.DUMMYFUNCTION("""COMPUTED_VALUE"""),"US_167 POLICLINICA E MATERNIDADE PROFESSOR BARROS LIMA")</f>
        <v>US_167 POLICLINICA E MATERNIDADE PROFESSOR BARROS LIMA</v>
      </c>
      <c r="H1478" s="11"/>
      <c r="I1478" s="11"/>
      <c r="J1478" s="11"/>
      <c r="K1478" s="11"/>
      <c r="L1478" s="11"/>
      <c r="M1478" s="11"/>
      <c r="N1478" s="11"/>
      <c r="O1478" s="11">
        <f>IFERROR(__xludf.DUMMYFUNCTION("""COMPUTED_VALUE"""),92222811449)</f>
        <v>92222811449</v>
      </c>
      <c r="P1478" s="11"/>
      <c r="Q1478" s="11"/>
      <c r="R1478" s="11"/>
      <c r="S1478" s="11"/>
      <c r="T1478" s="11"/>
      <c r="U1478" s="11"/>
      <c r="V1478" s="11"/>
      <c r="W1478" s="11"/>
      <c r="X1478" s="11"/>
      <c r="Y1478" s="11"/>
      <c r="Z1478" s="11"/>
    </row>
    <row r="1479" customHeight="1" spans="1:26">
      <c r="A1479" s="11" t="str">
        <f>IFERROR(__xludf.DUMMYFUNCTION("""COMPUTED_VALUE"""),"ADRIANA GABRIEL DE O VILAR")</f>
        <v>ADRIANA GABRIEL DE O VILAR</v>
      </c>
      <c r="B1479" s="11"/>
      <c r="C1479" s="11"/>
      <c r="D1479" s="11" t="str">
        <f>IFERROR(__xludf.DUMMYFUNCTION("""COMPUTED_VALUE"""),"ENFERMEIRO 30H")</f>
        <v>ENFERMEIRO 30H</v>
      </c>
      <c r="E1479" s="11"/>
      <c r="F1479" s="11" t="str">
        <f>IFERROR(__xludf.DUMMYFUNCTION("""COMPUTED_VALUE"""),"US_167 POLICLINICA E MATERNIDADE PROFESSOR BARROS LIMA")</f>
        <v>US_167 POLICLINICA E MATERNIDADE PROFESSOR BARROS LIMA</v>
      </c>
      <c r="G1479" s="11" t="str">
        <f>IFERROR(__xludf.DUMMYFUNCTION("""COMPUTED_VALUE"""),"US_167 POLICLINICA E MATERNIDADE PROFESSOR BARROS LIMA")</f>
        <v>US_167 POLICLINICA E MATERNIDADE PROFESSOR BARROS LIMA</v>
      </c>
      <c r="H1479" s="11"/>
      <c r="I1479" s="11"/>
      <c r="J1479" s="11"/>
      <c r="K1479" s="11"/>
      <c r="L1479" s="11"/>
      <c r="M1479" s="11"/>
      <c r="N1479" s="11"/>
      <c r="O1479" s="11">
        <f>IFERROR(__xludf.DUMMYFUNCTION("""COMPUTED_VALUE"""),2697472495)</f>
        <v>2697472495</v>
      </c>
      <c r="P1479" s="11"/>
      <c r="Q1479" s="11"/>
      <c r="R1479" s="11"/>
      <c r="S1479" s="11"/>
      <c r="T1479" s="11"/>
      <c r="U1479" s="11"/>
      <c r="V1479" s="11"/>
      <c r="W1479" s="11"/>
      <c r="X1479" s="11"/>
      <c r="Y1479" s="11"/>
      <c r="Z1479" s="11"/>
    </row>
    <row r="1480" customHeight="1" spans="1:26">
      <c r="A1480" s="11" t="str">
        <f>IFERROR(__xludf.DUMMYFUNCTION("""COMPUTED_VALUE"""),"FERNANDA LOPES DE A RODRIGUES")</f>
        <v>FERNANDA LOPES DE A RODRIGUES</v>
      </c>
      <c r="B1480" s="11"/>
      <c r="C1480" s="11"/>
      <c r="D1480" s="11" t="str">
        <f>IFERROR(__xludf.DUMMYFUNCTION("""COMPUTED_VALUE"""),"ENFERMEIRO 30H")</f>
        <v>ENFERMEIRO 30H</v>
      </c>
      <c r="E1480" s="11"/>
      <c r="F1480" s="11" t="str">
        <f>IFERROR(__xludf.DUMMYFUNCTION("""COMPUTED_VALUE"""),"US_167 POLICLINICA E MATERNIDADE PROFESSOR BARROS LIMA")</f>
        <v>US_167 POLICLINICA E MATERNIDADE PROFESSOR BARROS LIMA</v>
      </c>
      <c r="G1480" s="11" t="str">
        <f>IFERROR(__xludf.DUMMYFUNCTION("""COMPUTED_VALUE"""),"US_167 POLICLINICA E MATERNIDADE PROFESSOR BARROS LIMA")</f>
        <v>US_167 POLICLINICA E MATERNIDADE PROFESSOR BARROS LIMA</v>
      </c>
      <c r="H1480" s="11"/>
      <c r="I1480" s="11"/>
      <c r="J1480" s="11"/>
      <c r="K1480" s="11"/>
      <c r="L1480" s="11"/>
      <c r="M1480" s="11"/>
      <c r="N1480" s="11"/>
      <c r="O1480" s="11">
        <f>IFERROR(__xludf.DUMMYFUNCTION("""COMPUTED_VALUE"""),2991452471)</f>
        <v>2991452471</v>
      </c>
      <c r="P1480" s="11"/>
      <c r="Q1480" s="11"/>
      <c r="R1480" s="11"/>
      <c r="S1480" s="11"/>
      <c r="T1480" s="11"/>
      <c r="U1480" s="11"/>
      <c r="V1480" s="11"/>
      <c r="W1480" s="11"/>
      <c r="X1480" s="11"/>
      <c r="Y1480" s="11"/>
      <c r="Z1480" s="11"/>
    </row>
    <row r="1481" customHeight="1" spans="1:26">
      <c r="A1481" s="11" t="str">
        <f>IFERROR(__xludf.DUMMYFUNCTION("""COMPUTED_VALUE"""),"ANDREA MARIA DE LIMA")</f>
        <v>ANDREA MARIA DE LIMA</v>
      </c>
      <c r="B1481" s="11"/>
      <c r="C1481" s="11"/>
      <c r="D1481" s="11" t="str">
        <f>IFERROR(__xludf.DUMMYFUNCTION("""COMPUTED_VALUE"""),"ENFERMEIRO 30H")</f>
        <v>ENFERMEIRO 30H</v>
      </c>
      <c r="E1481" s="11"/>
      <c r="F1481" s="11" t="str">
        <f>IFERROR(__xludf.DUMMYFUNCTION("""COMPUTED_VALUE"""),"US_167 POLICLINICA E MATERNIDADE PROFESSOR BARROS LIMA")</f>
        <v>US_167 POLICLINICA E MATERNIDADE PROFESSOR BARROS LIMA</v>
      </c>
      <c r="G1481" s="11" t="str">
        <f>IFERROR(__xludf.DUMMYFUNCTION("""COMPUTED_VALUE"""),"US_167 POLICLINICA E MATERNIDADE PROFESSOR BARROS LIMA")</f>
        <v>US_167 POLICLINICA E MATERNIDADE PROFESSOR BARROS LIMA</v>
      </c>
      <c r="H1481" s="11"/>
      <c r="I1481" s="11"/>
      <c r="J1481" s="11"/>
      <c r="K1481" s="11"/>
      <c r="L1481" s="11"/>
      <c r="M1481" s="11"/>
      <c r="N1481" s="11"/>
      <c r="O1481" s="11">
        <f>IFERROR(__xludf.DUMMYFUNCTION("""COMPUTED_VALUE"""),45994579491)</f>
        <v>45994579491</v>
      </c>
      <c r="P1481" s="11"/>
      <c r="Q1481" s="11"/>
      <c r="R1481" s="11"/>
      <c r="S1481" s="11"/>
      <c r="T1481" s="11"/>
      <c r="U1481" s="11"/>
      <c r="V1481" s="11"/>
      <c r="W1481" s="11"/>
      <c r="X1481" s="11"/>
      <c r="Y1481" s="11"/>
      <c r="Z1481" s="11"/>
    </row>
    <row r="1482" customHeight="1" spans="1:26">
      <c r="A1482" s="11" t="str">
        <f>IFERROR(__xludf.DUMMYFUNCTION("""COMPUTED_VALUE"""),"MARIA MACIEL ROCHA DOS ANJOS")</f>
        <v>MARIA MACIEL ROCHA DOS ANJOS</v>
      </c>
      <c r="B1482" s="11"/>
      <c r="C1482" s="11"/>
      <c r="D1482" s="11" t="str">
        <f>IFERROR(__xludf.DUMMYFUNCTION("""COMPUTED_VALUE"""),"ENFERMEIRO 40H")</f>
        <v>ENFERMEIRO 40H</v>
      </c>
      <c r="E1482" s="11"/>
      <c r="F1482" s="11" t="str">
        <f>IFERROR(__xludf.DUMMYFUNCTION("""COMPUTED_VALUE"""),"US_165 MATERNIDADE BANDEIRA FILHO")</f>
        <v>US_165 MATERNIDADE BANDEIRA FILHO</v>
      </c>
      <c r="G1482" s="11" t="str">
        <f>IFERROR(__xludf.DUMMYFUNCTION("""COMPUTED_VALUE"""),"US_165 MATERNIDADE BANDEIRA FILHO")</f>
        <v>US_165 MATERNIDADE BANDEIRA FILHO</v>
      </c>
      <c r="H1482" s="11"/>
      <c r="I1482" s="11"/>
      <c r="J1482" s="11"/>
      <c r="K1482" s="11"/>
      <c r="L1482" s="11"/>
      <c r="M1482" s="11"/>
      <c r="N1482" s="11"/>
      <c r="O1482" s="11">
        <f>IFERROR(__xludf.DUMMYFUNCTION("""COMPUTED_VALUE"""),27238525801)</f>
        <v>27238525801</v>
      </c>
      <c r="P1482" s="11"/>
      <c r="Q1482" s="11"/>
      <c r="R1482" s="11"/>
      <c r="S1482" s="11"/>
      <c r="T1482" s="11"/>
      <c r="U1482" s="11"/>
      <c r="V1482" s="11"/>
      <c r="W1482" s="11"/>
      <c r="X1482" s="11"/>
      <c r="Y1482" s="11"/>
      <c r="Z1482" s="11"/>
    </row>
    <row r="1483" customHeight="1" spans="1:26">
      <c r="A1483" s="11"/>
      <c r="B1483" s="11"/>
      <c r="C1483" s="11"/>
      <c r="D1483" s="11"/>
      <c r="E1483" s="11"/>
      <c r="F1483" s="11"/>
      <c r="G1483" s="11"/>
      <c r="H1483" s="11"/>
      <c r="I1483" s="11"/>
      <c r="J1483" s="11"/>
      <c r="K1483" s="11"/>
      <c r="L1483" s="11"/>
      <c r="M1483" s="11"/>
      <c r="N1483" s="11"/>
      <c r="O1483" s="11"/>
      <c r="P1483" s="11"/>
      <c r="Q1483" s="11"/>
      <c r="R1483" s="11"/>
      <c r="S1483" s="11"/>
      <c r="T1483" s="11"/>
      <c r="U1483" s="11"/>
      <c r="V1483" s="11"/>
      <c r="W1483" s="11"/>
      <c r="X1483" s="11"/>
      <c r="Y1483" s="11"/>
      <c r="Z1483" s="11"/>
    </row>
    <row r="1484" customHeight="1" spans="1:26">
      <c r="A1484" s="11" t="str">
        <f>IFERROR(__xludf.DUMMYFUNCTION("""COMPUTED_VALUE"""),"ALEXANDRO GUIMARAES BRAGA")</f>
        <v>ALEXANDRO GUIMARAES BRAGA</v>
      </c>
      <c r="B1484" s="11"/>
      <c r="C1484" s="11"/>
      <c r="D1484" s="11" t="str">
        <f>IFERROR(__xludf.DUMMYFUNCTION("""COMPUTED_VALUE"""),"ENFERMEIRO 40H")</f>
        <v>ENFERMEIRO 40H</v>
      </c>
      <c r="E1484" s="11"/>
      <c r="F1484" s="11" t="str">
        <f>IFERROR(__xludf.DUMMYFUNCTION("""COMPUTED_VALUE"""),"US_165 MATERNIDADE BANDEIRA FILHO")</f>
        <v>US_165 MATERNIDADE BANDEIRA FILHO</v>
      </c>
      <c r="G1484" s="11" t="str">
        <f>IFERROR(__xludf.DUMMYFUNCTION("""COMPUTED_VALUE"""),"US_165 MATERNIDADE BANDEIRA FILHO")</f>
        <v>US_165 MATERNIDADE BANDEIRA FILHO</v>
      </c>
      <c r="H1484" s="11"/>
      <c r="I1484" s="11"/>
      <c r="J1484" s="11"/>
      <c r="K1484" s="11"/>
      <c r="L1484" s="11"/>
      <c r="M1484" s="11"/>
      <c r="N1484" s="11"/>
      <c r="O1484" s="11">
        <f>IFERROR(__xludf.DUMMYFUNCTION("""COMPUTED_VALUE"""),94915440559)</f>
        <v>94915440559</v>
      </c>
      <c r="P1484" s="11"/>
      <c r="Q1484" s="11"/>
      <c r="R1484" s="11"/>
      <c r="S1484" s="11"/>
      <c r="T1484" s="11"/>
      <c r="U1484" s="11"/>
      <c r="V1484" s="11"/>
      <c r="W1484" s="11"/>
      <c r="X1484" s="11"/>
      <c r="Y1484" s="11"/>
      <c r="Z1484" s="11"/>
    </row>
    <row r="1485" customHeight="1" spans="1:26">
      <c r="A1485" s="11" t="str">
        <f>IFERROR(__xludf.DUMMYFUNCTION("""COMPUTED_VALUE"""),"DANIELLA ARAUJO DE SOUSA")</f>
        <v>DANIELLA ARAUJO DE SOUSA</v>
      </c>
      <c r="B1485" s="11"/>
      <c r="C1485" s="11"/>
      <c r="D1485" s="11" t="str">
        <f>IFERROR(__xludf.DUMMYFUNCTION("""COMPUTED_VALUE"""),"ENFERMEIRO 40H")</f>
        <v>ENFERMEIRO 40H</v>
      </c>
      <c r="E1485" s="11"/>
      <c r="F1485" s="11" t="str">
        <f>IFERROR(__xludf.DUMMYFUNCTION("""COMPUTED_VALUE"""),"US_153 POLICLINICA E MATERNIDADE ARNALDO MARQUES")</f>
        <v>US_153 POLICLINICA E MATERNIDADE ARNALDO MARQUES</v>
      </c>
      <c r="G1485" s="11" t="str">
        <f>IFERROR(__xludf.DUMMYFUNCTION("""COMPUTED_VALUE"""),"US_153 POLICLINICA E MATERNIDADE ARNALDO MARQUES")</f>
        <v>US_153 POLICLINICA E MATERNIDADE ARNALDO MARQUES</v>
      </c>
      <c r="H1485" s="11"/>
      <c r="I1485" s="11"/>
      <c r="J1485" s="11"/>
      <c r="K1485" s="11"/>
      <c r="L1485" s="11"/>
      <c r="M1485" s="11"/>
      <c r="N1485" s="11"/>
      <c r="O1485" s="11">
        <f>IFERROR(__xludf.DUMMYFUNCTION("""COMPUTED_VALUE"""),3531819437)</f>
        <v>3531819437</v>
      </c>
      <c r="P1485" s="11"/>
      <c r="Q1485" s="11"/>
      <c r="R1485" s="11"/>
      <c r="S1485" s="11"/>
      <c r="T1485" s="11"/>
      <c r="U1485" s="11"/>
      <c r="V1485" s="11"/>
      <c r="W1485" s="11"/>
      <c r="X1485" s="11"/>
      <c r="Y1485" s="11"/>
      <c r="Z1485" s="11"/>
    </row>
    <row r="1486" customHeight="1" spans="1:26">
      <c r="A1486" s="11" t="str">
        <f>IFERROR(__xludf.DUMMYFUNCTION("""COMPUTED_VALUE"""),"ANA PAULA LIMA DINIZ")</f>
        <v>ANA PAULA LIMA DINIZ</v>
      </c>
      <c r="B1486" s="11"/>
      <c r="C1486" s="11"/>
      <c r="D1486" s="11" t="str">
        <f>IFERROR(__xludf.DUMMYFUNCTION("""COMPUTED_VALUE"""),"ENFERMEIRO 30H")</f>
        <v>ENFERMEIRO 30H</v>
      </c>
      <c r="E1486" s="11"/>
      <c r="F1486" s="11" t="str">
        <f>IFERROR(__xludf.DUMMYFUNCTION("""COMPUTED_VALUE"""),"US_167 POLICLINICA E MATERNIDADE PROFESSOR BARROS LIMA")</f>
        <v>US_167 POLICLINICA E MATERNIDADE PROFESSOR BARROS LIMA</v>
      </c>
      <c r="G1486" s="11" t="str">
        <f>IFERROR(__xludf.DUMMYFUNCTION("""COMPUTED_VALUE"""),"US_167 POLICLINICA E MATERNIDADE PROFESSOR BARROS LIMA")</f>
        <v>US_167 POLICLINICA E MATERNIDADE PROFESSOR BARROS LIMA</v>
      </c>
      <c r="H1486" s="11"/>
      <c r="I1486" s="11"/>
      <c r="J1486" s="11"/>
      <c r="K1486" s="11"/>
      <c r="L1486" s="11"/>
      <c r="M1486" s="11"/>
      <c r="N1486" s="11"/>
      <c r="O1486" s="11">
        <f>IFERROR(__xludf.DUMMYFUNCTION("""COMPUTED_VALUE"""),81712871404)</f>
        <v>81712871404</v>
      </c>
      <c r="P1486" s="11"/>
      <c r="Q1486" s="11"/>
      <c r="R1486" s="11"/>
      <c r="S1486" s="11"/>
      <c r="T1486" s="11"/>
      <c r="U1486" s="11"/>
      <c r="V1486" s="11"/>
      <c r="W1486" s="11"/>
      <c r="X1486" s="11"/>
      <c r="Y1486" s="11"/>
      <c r="Z1486" s="11"/>
    </row>
    <row r="1487" customHeight="1" spans="1:26">
      <c r="A1487" s="11" t="str">
        <f>IFERROR(__xludf.DUMMYFUNCTION("""COMPUTED_VALUE"""),"SUZY TENORIO DA ALBUQUERQUE")</f>
        <v>SUZY TENORIO DA ALBUQUERQUE</v>
      </c>
      <c r="B1487" s="11"/>
      <c r="C1487" s="11"/>
      <c r="D1487" s="11" t="str">
        <f>IFERROR(__xludf.DUMMYFUNCTION("""COMPUTED_VALUE"""),"ENFERMEIRO 40H")</f>
        <v>ENFERMEIRO 40H</v>
      </c>
      <c r="E1487" s="11"/>
      <c r="F1487" s="11" t="str">
        <f>IFERROR(__xludf.DUMMYFUNCTION("""COMPUTED_VALUE"""),"US_165 MATERNIDADE BANDEIRA FILHO")</f>
        <v>US_165 MATERNIDADE BANDEIRA FILHO</v>
      </c>
      <c r="G1487" s="11" t="str">
        <f>IFERROR(__xludf.DUMMYFUNCTION("""COMPUTED_VALUE"""),"US_165 MATERNIDADE BANDEIRA FILHO")</f>
        <v>US_165 MATERNIDADE BANDEIRA FILHO</v>
      </c>
      <c r="H1487" s="11"/>
      <c r="I1487" s="11"/>
      <c r="J1487" s="11"/>
      <c r="K1487" s="11"/>
      <c r="L1487" s="11"/>
      <c r="M1487" s="11"/>
      <c r="N1487" s="11"/>
      <c r="O1487" s="11">
        <f>IFERROR(__xludf.DUMMYFUNCTION("""COMPUTED_VALUE"""),83092358449)</f>
        <v>83092358449</v>
      </c>
      <c r="P1487" s="11"/>
      <c r="Q1487" s="11"/>
      <c r="R1487" s="11"/>
      <c r="S1487" s="11"/>
      <c r="T1487" s="11"/>
      <c r="U1487" s="11"/>
      <c r="V1487" s="11"/>
      <c r="W1487" s="11"/>
      <c r="X1487" s="11"/>
      <c r="Y1487" s="11"/>
      <c r="Z1487" s="11"/>
    </row>
    <row r="1488" customHeight="1" spans="1:26">
      <c r="A1488" s="11" t="str">
        <f>IFERROR(__xludf.DUMMYFUNCTION("""COMPUTED_VALUE"""),"BRUNA ROBERTA ALVES LINS")</f>
        <v>BRUNA ROBERTA ALVES LINS</v>
      </c>
      <c r="B1488" s="11"/>
      <c r="C1488" s="11"/>
      <c r="D1488" s="11" t="str">
        <f>IFERROR(__xludf.DUMMYFUNCTION("""COMPUTED_VALUE"""),"ENFERMEIRO 30H")</f>
        <v>ENFERMEIRO 30H</v>
      </c>
      <c r="E1488" s="11"/>
      <c r="F1488" s="11" t="str">
        <f>IFERROR(__xludf.DUMMYFUNCTION("""COMPUTED_VALUE"""),"US_165 MATERNIDADE BANDEIRA FILHO")</f>
        <v>US_165 MATERNIDADE BANDEIRA FILHO</v>
      </c>
      <c r="G1488" s="11" t="str">
        <f>IFERROR(__xludf.DUMMYFUNCTION("""COMPUTED_VALUE"""),"US_165 MATERNIDADE BANDEIRA FILHO")</f>
        <v>US_165 MATERNIDADE BANDEIRA FILHO</v>
      </c>
      <c r="H1488" s="11"/>
      <c r="I1488" s="11"/>
      <c r="J1488" s="11"/>
      <c r="K1488" s="11"/>
      <c r="L1488" s="11"/>
      <c r="M1488" s="11"/>
      <c r="N1488" s="11"/>
      <c r="O1488" s="11">
        <f>IFERROR(__xludf.DUMMYFUNCTION("""COMPUTED_VALUE"""),3527012427)</f>
        <v>3527012427</v>
      </c>
      <c r="P1488" s="11"/>
      <c r="Q1488" s="11"/>
      <c r="R1488" s="11"/>
      <c r="S1488" s="11"/>
      <c r="T1488" s="11"/>
      <c r="U1488" s="11"/>
      <c r="V1488" s="11"/>
      <c r="W1488" s="11"/>
      <c r="X1488" s="11"/>
      <c r="Y1488" s="11"/>
      <c r="Z1488" s="11"/>
    </row>
    <row r="1489" customHeight="1" spans="1:26">
      <c r="A1489" s="11" t="str">
        <f>IFERROR(__xludf.DUMMYFUNCTION("""COMPUTED_VALUE"""),"AMANDA BEZERRA DE ARAUJO")</f>
        <v>AMANDA BEZERRA DE ARAUJO</v>
      </c>
      <c r="B1489" s="11"/>
      <c r="C1489" s="11"/>
      <c r="D1489" s="11" t="str">
        <f>IFERROR(__xludf.DUMMYFUNCTION("""COMPUTED_VALUE"""),"ENFERMEIRO 30H")</f>
        <v>ENFERMEIRO 30H</v>
      </c>
      <c r="E1489" s="11"/>
      <c r="F1489" s="11" t="str">
        <f>IFERROR(__xludf.DUMMYFUNCTION("""COMPUTED_VALUE"""),"US_167 POLICLINICA E MATERNIDADE PROFESSOR BARROS LIMA")</f>
        <v>US_167 POLICLINICA E MATERNIDADE PROFESSOR BARROS LIMA</v>
      </c>
      <c r="G1489" s="11" t="str">
        <f>IFERROR(__xludf.DUMMYFUNCTION("""COMPUTED_VALUE"""),"US_167 POLICLINICA E MATERNIDADE PROFESSOR BARROS LIMA")</f>
        <v>US_167 POLICLINICA E MATERNIDADE PROFESSOR BARROS LIMA</v>
      </c>
      <c r="H1489" s="11"/>
      <c r="I1489" s="11"/>
      <c r="J1489" s="11"/>
      <c r="K1489" s="11"/>
      <c r="L1489" s="11"/>
      <c r="M1489" s="11"/>
      <c r="N1489" s="11"/>
      <c r="O1489" s="11">
        <f>IFERROR(__xludf.DUMMYFUNCTION("""COMPUTED_VALUE"""),3659167495)</f>
        <v>3659167495</v>
      </c>
      <c r="P1489" s="11"/>
      <c r="Q1489" s="11"/>
      <c r="R1489" s="11"/>
      <c r="S1489" s="11"/>
      <c r="T1489" s="11"/>
      <c r="U1489" s="11"/>
      <c r="V1489" s="11"/>
      <c r="W1489" s="11"/>
      <c r="X1489" s="11"/>
      <c r="Y1489" s="11"/>
      <c r="Z1489" s="11"/>
    </row>
    <row r="1490" customHeight="1" spans="1:26">
      <c r="A1490" s="11" t="str">
        <f>IFERROR(__xludf.DUMMYFUNCTION("""COMPUTED_VALUE"""),"NOEMIA L DE MELO FILHA")</f>
        <v>NOEMIA L DE MELO FILHA</v>
      </c>
      <c r="B1490" s="11"/>
      <c r="C1490" s="11"/>
      <c r="D1490" s="11" t="str">
        <f>IFERROR(__xludf.DUMMYFUNCTION("""COMPUTED_VALUE"""),"ENFERMEIRO 30H")</f>
        <v>ENFERMEIRO 30H</v>
      </c>
      <c r="E1490" s="11"/>
      <c r="F1490" s="11" t="str">
        <f>IFERROR(__xludf.DUMMYFUNCTION("""COMPUTED_VALUE"""),"US_165 MATERNIDADE BANDEIRA FILHO")</f>
        <v>US_165 MATERNIDADE BANDEIRA FILHO</v>
      </c>
      <c r="G1490" s="11" t="str">
        <f>IFERROR(__xludf.DUMMYFUNCTION("""COMPUTED_VALUE"""),"US_165 MATERNIDADE BANDEIRA FILHO")</f>
        <v>US_165 MATERNIDADE BANDEIRA FILHO</v>
      </c>
      <c r="H1490" s="11"/>
      <c r="I1490" s="11"/>
      <c r="J1490" s="11"/>
      <c r="K1490" s="11"/>
      <c r="L1490" s="11"/>
      <c r="M1490" s="11"/>
      <c r="N1490" s="11"/>
      <c r="O1490" s="11">
        <f>IFERROR(__xludf.DUMMYFUNCTION("""COMPUTED_VALUE"""),3671091401)</f>
        <v>3671091401</v>
      </c>
      <c r="P1490" s="11"/>
      <c r="Q1490" s="11"/>
      <c r="R1490" s="11"/>
      <c r="S1490" s="11"/>
      <c r="T1490" s="11"/>
      <c r="U1490" s="11"/>
      <c r="V1490" s="11"/>
      <c r="W1490" s="11"/>
      <c r="X1490" s="11"/>
      <c r="Y1490" s="11"/>
      <c r="Z1490" s="11"/>
    </row>
    <row r="1491" customHeight="1" spans="1:26">
      <c r="A1491" s="11" t="str">
        <f>IFERROR(__xludf.DUMMYFUNCTION("""COMPUTED_VALUE"""),"KATIUSCIA MILKA DE OLIVEIRA")</f>
        <v>KATIUSCIA MILKA DE OLIVEIRA</v>
      </c>
      <c r="B1491" s="11"/>
      <c r="C1491" s="11"/>
      <c r="D1491" s="11" t="str">
        <f>IFERROR(__xludf.DUMMYFUNCTION("""COMPUTED_VALUE"""),"ENFERMEIRO 30H")</f>
        <v>ENFERMEIRO 30H</v>
      </c>
      <c r="E1491" s="11"/>
      <c r="F1491" s="11" t="str">
        <f>IFERROR(__xludf.DUMMYFUNCTION("""COMPUTED_VALUE"""),"US_167 POLICLINICA E MATERNIDADE PROFESSOR BARROS LIMA")</f>
        <v>US_167 POLICLINICA E MATERNIDADE PROFESSOR BARROS LIMA</v>
      </c>
      <c r="G1491" s="11" t="str">
        <f>IFERROR(__xludf.DUMMYFUNCTION("""COMPUTED_VALUE"""),"US_167 POLICLINICA E MATERNIDADE PROFESSOR BARROS LIMA")</f>
        <v>US_167 POLICLINICA E MATERNIDADE PROFESSOR BARROS LIMA</v>
      </c>
      <c r="H1491" s="11"/>
      <c r="I1491" s="11"/>
      <c r="J1491" s="11"/>
      <c r="K1491" s="11"/>
      <c r="L1491" s="11"/>
      <c r="M1491" s="11"/>
      <c r="N1491" s="11"/>
      <c r="O1491" s="11">
        <f>IFERROR(__xludf.DUMMYFUNCTION("""COMPUTED_VALUE"""),3607480400)</f>
        <v>3607480400</v>
      </c>
      <c r="P1491" s="11"/>
      <c r="Q1491" s="11"/>
      <c r="R1491" s="11"/>
      <c r="S1491" s="11"/>
      <c r="T1491" s="11"/>
      <c r="U1491" s="11"/>
      <c r="V1491" s="11"/>
      <c r="W1491" s="11"/>
      <c r="X1491" s="11"/>
      <c r="Y1491" s="11"/>
      <c r="Z1491" s="11"/>
    </row>
    <row r="1492" customHeight="1" spans="1:26">
      <c r="A1492" s="11" t="str">
        <f>IFERROR(__xludf.DUMMYFUNCTION("""COMPUTED_VALUE"""),"VALERIO SEVERINO DA SILVA")</f>
        <v>VALERIO SEVERINO DA SILVA</v>
      </c>
      <c r="B1492" s="11"/>
      <c r="C1492" s="11"/>
      <c r="D1492" s="11" t="str">
        <f>IFERROR(__xludf.DUMMYFUNCTION("""COMPUTED_VALUE"""),"ENFERMEIRO 30H")</f>
        <v>ENFERMEIRO 30H</v>
      </c>
      <c r="E1492" s="11"/>
      <c r="F1492" s="11" t="str">
        <f>IFERROR(__xludf.DUMMYFUNCTION("""COMPUTED_VALUE"""),"US_153 POLICLINICA E MATERNIDADE ARNALDO MARQUES")</f>
        <v>US_153 POLICLINICA E MATERNIDADE ARNALDO MARQUES</v>
      </c>
      <c r="G1492" s="11" t="str">
        <f>IFERROR(__xludf.DUMMYFUNCTION("""COMPUTED_VALUE"""),"US_153 POLICLINICA E MATERNIDADE ARNALDO MARQUES")</f>
        <v>US_153 POLICLINICA E MATERNIDADE ARNALDO MARQUES</v>
      </c>
      <c r="H1492" s="11"/>
      <c r="I1492" s="11"/>
      <c r="J1492" s="11"/>
      <c r="K1492" s="11"/>
      <c r="L1492" s="11"/>
      <c r="M1492" s="11"/>
      <c r="N1492" s="11"/>
      <c r="O1492" s="11">
        <f>IFERROR(__xludf.DUMMYFUNCTION("""COMPUTED_VALUE"""),3039845462)</f>
        <v>3039845462</v>
      </c>
      <c r="P1492" s="11"/>
      <c r="Q1492" s="11"/>
      <c r="R1492" s="11"/>
      <c r="S1492" s="11"/>
      <c r="T1492" s="11"/>
      <c r="U1492" s="11"/>
      <c r="V1492" s="11"/>
      <c r="W1492" s="11"/>
      <c r="X1492" s="11"/>
      <c r="Y1492" s="11"/>
      <c r="Z1492" s="11"/>
    </row>
    <row r="1493" customHeight="1" spans="1:26">
      <c r="A1493" s="11" t="str">
        <f>IFERROR(__xludf.DUMMYFUNCTION("""COMPUTED_VALUE"""),"JOANA DARC D DE B XISTO")</f>
        <v>JOANA DARC D DE B XISTO</v>
      </c>
      <c r="B1493" s="11"/>
      <c r="C1493" s="11"/>
      <c r="D1493" s="11" t="str">
        <f>IFERROR(__xludf.DUMMYFUNCTION("""COMPUTED_VALUE"""),"ENFERMEIRO 30H")</f>
        <v>ENFERMEIRO 30H</v>
      </c>
      <c r="E1493" s="11"/>
      <c r="F1493" s="11" t="str">
        <f>IFERROR(__xludf.DUMMYFUNCTION("""COMPUTED_VALUE"""),"US_167 POLICLINICA E MATERNIDADE PROFESSOR BARROS LIMA")</f>
        <v>US_167 POLICLINICA E MATERNIDADE PROFESSOR BARROS LIMA</v>
      </c>
      <c r="G1493" s="11" t="str">
        <f>IFERROR(__xludf.DUMMYFUNCTION("""COMPUTED_VALUE"""),"US_167 POLICLINICA E MATERNIDADE PROFESSOR BARROS LIMA")</f>
        <v>US_167 POLICLINICA E MATERNIDADE PROFESSOR BARROS LIMA</v>
      </c>
      <c r="H1493" s="11"/>
      <c r="I1493" s="11"/>
      <c r="J1493" s="11"/>
      <c r="K1493" s="11"/>
      <c r="L1493" s="11"/>
      <c r="M1493" s="11"/>
      <c r="N1493" s="11"/>
      <c r="O1493" s="11">
        <f>IFERROR(__xludf.DUMMYFUNCTION("""COMPUTED_VALUE"""),3960685459)</f>
        <v>3960685459</v>
      </c>
      <c r="P1493" s="11"/>
      <c r="Q1493" s="11"/>
      <c r="R1493" s="11"/>
      <c r="S1493" s="11"/>
      <c r="T1493" s="11"/>
      <c r="U1493" s="11"/>
      <c r="V1493" s="11"/>
      <c r="W1493" s="11"/>
      <c r="X1493" s="11"/>
      <c r="Y1493" s="11"/>
      <c r="Z1493" s="11"/>
    </row>
    <row r="1494" customHeight="1" spans="1:26">
      <c r="A1494" s="11" t="str">
        <f>IFERROR(__xludf.DUMMYFUNCTION("""COMPUTED_VALUE"""),"EVELLIN BEZERRA DA SILVA")</f>
        <v>EVELLIN BEZERRA DA SILVA</v>
      </c>
      <c r="B1494" s="11"/>
      <c r="C1494" s="11"/>
      <c r="D1494" s="11" t="str">
        <f>IFERROR(__xludf.DUMMYFUNCTION("""COMPUTED_VALUE"""),"ENFERMEIRO 30H")</f>
        <v>ENFERMEIRO 30H</v>
      </c>
      <c r="E1494" s="11"/>
      <c r="F1494" s="11" t="str">
        <f>IFERROR(__xludf.DUMMYFUNCTION("""COMPUTED_VALUE"""),"US_167 POLICLINICA E MATERNIDADE PROFESSOR BARROS LIMA")</f>
        <v>US_167 POLICLINICA E MATERNIDADE PROFESSOR BARROS LIMA</v>
      </c>
      <c r="G1494" s="11" t="str">
        <f>IFERROR(__xludf.DUMMYFUNCTION("""COMPUTED_VALUE"""),"US_167 POLICLINICA E MATERNIDADE PROFESSOR BARROS LIMA")</f>
        <v>US_167 POLICLINICA E MATERNIDADE PROFESSOR BARROS LIMA</v>
      </c>
      <c r="H1494" s="11"/>
      <c r="I1494" s="11"/>
      <c r="J1494" s="11"/>
      <c r="K1494" s="11"/>
      <c r="L1494" s="11"/>
      <c r="M1494" s="11"/>
      <c r="N1494" s="11"/>
      <c r="O1494" s="11">
        <f>IFERROR(__xludf.DUMMYFUNCTION("""COMPUTED_VALUE"""),4590550466)</f>
        <v>4590550466</v>
      </c>
      <c r="P1494" s="11"/>
      <c r="Q1494" s="11"/>
      <c r="R1494" s="11"/>
      <c r="S1494" s="11"/>
      <c r="T1494" s="11"/>
      <c r="U1494" s="11"/>
      <c r="V1494" s="11"/>
      <c r="W1494" s="11"/>
      <c r="X1494" s="11"/>
      <c r="Y1494" s="11"/>
      <c r="Z1494" s="11"/>
    </row>
    <row r="1495" customHeight="1" spans="1:26">
      <c r="A1495" s="11" t="str">
        <f>IFERROR(__xludf.DUMMYFUNCTION("""COMPUTED_VALUE"""),"VALERIA EMILIA DINIZ SANTANA")</f>
        <v>VALERIA EMILIA DINIZ SANTANA</v>
      </c>
      <c r="B1495" s="11"/>
      <c r="C1495" s="11"/>
      <c r="D1495" s="11" t="str">
        <f>IFERROR(__xludf.DUMMYFUNCTION("""COMPUTED_VALUE"""),"ENFERMEIRO 30H")</f>
        <v>ENFERMEIRO 30H</v>
      </c>
      <c r="E1495" s="11"/>
      <c r="F1495" s="11" t="str">
        <f>IFERROR(__xludf.DUMMYFUNCTION("""COMPUTED_VALUE"""),"US_153 POLICLINICA E MATERNIDADE ARNALDO MARQUES")</f>
        <v>US_153 POLICLINICA E MATERNIDADE ARNALDO MARQUES</v>
      </c>
      <c r="G1495" s="11" t="str">
        <f>IFERROR(__xludf.DUMMYFUNCTION("""COMPUTED_VALUE"""),"US_153 POLICLINICA E MATERNIDADE ARNALDO MARQUES")</f>
        <v>US_153 POLICLINICA E MATERNIDADE ARNALDO MARQUES</v>
      </c>
      <c r="H1495" s="11"/>
      <c r="I1495" s="11"/>
      <c r="J1495" s="11"/>
      <c r="K1495" s="11"/>
      <c r="L1495" s="11"/>
      <c r="M1495" s="11"/>
      <c r="N1495" s="11"/>
      <c r="O1495" s="11">
        <f>IFERROR(__xludf.DUMMYFUNCTION("""COMPUTED_VALUE"""),4498108442)</f>
        <v>4498108442</v>
      </c>
      <c r="P1495" s="11"/>
      <c r="Q1495" s="11"/>
      <c r="R1495" s="11"/>
      <c r="S1495" s="11"/>
      <c r="T1495" s="11"/>
      <c r="U1495" s="11"/>
      <c r="V1495" s="11"/>
      <c r="W1495" s="11"/>
      <c r="X1495" s="11"/>
      <c r="Y1495" s="11"/>
      <c r="Z1495" s="11"/>
    </row>
    <row r="1496" customHeight="1" spans="1:26">
      <c r="A1496" s="11" t="str">
        <f>IFERROR(__xludf.DUMMYFUNCTION("""COMPUTED_VALUE"""),"CYNARA DE O NASCIMENTO")</f>
        <v>CYNARA DE O NASCIMENTO</v>
      </c>
      <c r="B1496" s="11"/>
      <c r="C1496" s="11"/>
      <c r="D1496" s="11" t="str">
        <f>IFERROR(__xludf.DUMMYFUNCTION("""COMPUTED_VALUE"""),"ENFERMEIRO 30H")</f>
        <v>ENFERMEIRO 30H</v>
      </c>
      <c r="E1496" s="11"/>
      <c r="F1496" s="11" t="str">
        <f>IFERROR(__xludf.DUMMYFUNCTION("""COMPUTED_VALUE"""),"US_167 POLICLINICA E MATERNIDADE PROFESSOR BARROS LIMA")</f>
        <v>US_167 POLICLINICA E MATERNIDADE PROFESSOR BARROS LIMA</v>
      </c>
      <c r="G1496" s="11" t="str">
        <f>IFERROR(__xludf.DUMMYFUNCTION("""COMPUTED_VALUE"""),"US_167 POLICLINICA E MATERNIDADE PROFESSOR BARROS LIMA")</f>
        <v>US_167 POLICLINICA E MATERNIDADE PROFESSOR BARROS LIMA</v>
      </c>
      <c r="H1496" s="11"/>
      <c r="I1496" s="11"/>
      <c r="J1496" s="11"/>
      <c r="K1496" s="11"/>
      <c r="L1496" s="11"/>
      <c r="M1496" s="11"/>
      <c r="N1496" s="11"/>
      <c r="O1496" s="11">
        <f>IFERROR(__xludf.DUMMYFUNCTION("""COMPUTED_VALUE"""),3263276492)</f>
        <v>3263276492</v>
      </c>
      <c r="P1496" s="11"/>
      <c r="Q1496" s="11"/>
      <c r="R1496" s="11"/>
      <c r="S1496" s="11"/>
      <c r="T1496" s="11"/>
      <c r="U1496" s="11"/>
      <c r="V1496" s="11"/>
      <c r="W1496" s="11"/>
      <c r="X1496" s="11"/>
      <c r="Y1496" s="11"/>
      <c r="Z1496" s="11"/>
    </row>
    <row r="1497" customHeight="1" spans="1:26">
      <c r="A1497" s="11" t="str">
        <f>IFERROR(__xludf.DUMMYFUNCTION("""COMPUTED_VALUE"""),"MARIA ELANNE M DA SILVA")</f>
        <v>MARIA ELANNE M DA SILVA</v>
      </c>
      <c r="B1497" s="11"/>
      <c r="C1497" s="11"/>
      <c r="D1497" s="11" t="str">
        <f>IFERROR(__xludf.DUMMYFUNCTION("""COMPUTED_VALUE"""),"ENFERMEIRO 30H")</f>
        <v>ENFERMEIRO 30H</v>
      </c>
      <c r="E1497" s="11"/>
      <c r="F1497" s="11" t="str">
        <f>IFERROR(__xludf.DUMMYFUNCTION("""COMPUTED_VALUE"""),"US_167 POLICLINICA E MATERNIDADE PROFESSOR BARROS LIMA")</f>
        <v>US_167 POLICLINICA E MATERNIDADE PROFESSOR BARROS LIMA</v>
      </c>
      <c r="G1497" s="11" t="str">
        <f>IFERROR(__xludf.DUMMYFUNCTION("""COMPUTED_VALUE"""),"US_167 POLICLINICA E MATERNIDADE PROFESSOR BARROS LIMA")</f>
        <v>US_167 POLICLINICA E MATERNIDADE PROFESSOR BARROS LIMA</v>
      </c>
      <c r="H1497" s="11"/>
      <c r="I1497" s="11"/>
      <c r="J1497" s="11"/>
      <c r="K1497" s="11"/>
      <c r="L1497" s="11"/>
      <c r="M1497" s="11"/>
      <c r="N1497" s="11"/>
      <c r="O1497" s="11">
        <f>IFERROR(__xludf.DUMMYFUNCTION("""COMPUTED_VALUE"""),1343642442)</f>
        <v>1343642442</v>
      </c>
      <c r="P1497" s="11"/>
      <c r="Q1497" s="11"/>
      <c r="R1497" s="11"/>
      <c r="S1497" s="11"/>
      <c r="T1497" s="11"/>
      <c r="U1497" s="11"/>
      <c r="V1497" s="11"/>
      <c r="W1497" s="11"/>
      <c r="X1497" s="11"/>
      <c r="Y1497" s="11"/>
      <c r="Z1497" s="11"/>
    </row>
    <row r="1498" customHeight="1" spans="1:26">
      <c r="A1498" s="11" t="str">
        <f>IFERROR(__xludf.DUMMYFUNCTION("""COMPUTED_VALUE"""),"ALDA MARIA FERREIRA DA SILVA")</f>
        <v>ALDA MARIA FERREIRA DA SILVA</v>
      </c>
      <c r="B1498" s="11"/>
      <c r="C1498" s="11"/>
      <c r="D1498" s="11" t="str">
        <f>IFERROR(__xludf.DUMMYFUNCTION("""COMPUTED_VALUE"""),"ENFERMEIRO 30H")</f>
        <v>ENFERMEIRO 30H</v>
      </c>
      <c r="E1498" s="11"/>
      <c r="F1498" s="11" t="str">
        <f>IFERROR(__xludf.DUMMYFUNCTION("""COMPUTED_VALUE"""),"US_153 POLICLINICA E MATERNIDADE ARNALDO MARQUES")</f>
        <v>US_153 POLICLINICA E MATERNIDADE ARNALDO MARQUES</v>
      </c>
      <c r="G1498" s="11" t="str">
        <f>IFERROR(__xludf.DUMMYFUNCTION("""COMPUTED_VALUE"""),"US_153 POLICLINICA E MATERNIDADE ARNALDO MARQUES")</f>
        <v>US_153 POLICLINICA E MATERNIDADE ARNALDO MARQUES</v>
      </c>
      <c r="H1498" s="11"/>
      <c r="I1498" s="11"/>
      <c r="J1498" s="11"/>
      <c r="K1498" s="11"/>
      <c r="L1498" s="11"/>
      <c r="M1498" s="11"/>
      <c r="N1498" s="11"/>
      <c r="O1498" s="11">
        <f>IFERROR(__xludf.DUMMYFUNCTION("""COMPUTED_VALUE"""),89577051472)</f>
        <v>89577051472</v>
      </c>
      <c r="P1498" s="11"/>
      <c r="Q1498" s="11"/>
      <c r="R1498" s="11"/>
      <c r="S1498" s="11"/>
      <c r="T1498" s="11"/>
      <c r="U1498" s="11"/>
      <c r="V1498" s="11"/>
      <c r="W1498" s="11"/>
      <c r="X1498" s="11"/>
      <c r="Y1498" s="11"/>
      <c r="Z1498" s="11"/>
    </row>
    <row r="1499" customHeight="1" spans="1:26">
      <c r="A1499" s="11" t="str">
        <f>IFERROR(__xludf.DUMMYFUNCTION("""COMPUTED_VALUE"""),"ANA CRISTINA T DE ALBUQUERQUE")</f>
        <v>ANA CRISTINA T DE ALBUQUERQUE</v>
      </c>
      <c r="B1499" s="11"/>
      <c r="C1499" s="11"/>
      <c r="D1499" s="11" t="str">
        <f>IFERROR(__xludf.DUMMYFUNCTION("""COMPUTED_VALUE"""),"ENFERMEIRO 30H")</f>
        <v>ENFERMEIRO 30H</v>
      </c>
      <c r="E1499" s="11"/>
      <c r="F1499" s="11" t="str">
        <f>IFERROR(__xludf.DUMMYFUNCTION("""COMPUTED_VALUE"""),"US_167 POLICLINICA E MATERNIDADE PROFESSOR BARROS LIMA")</f>
        <v>US_167 POLICLINICA E MATERNIDADE PROFESSOR BARROS LIMA</v>
      </c>
      <c r="G1499" s="11" t="str">
        <f>IFERROR(__xludf.DUMMYFUNCTION("""COMPUTED_VALUE"""),"US_167 POLICLINICA E MATERNIDADE PROFESSOR BARROS LIMA")</f>
        <v>US_167 POLICLINICA E MATERNIDADE PROFESSOR BARROS LIMA</v>
      </c>
      <c r="H1499" s="11"/>
      <c r="I1499" s="11"/>
      <c r="J1499" s="11"/>
      <c r="K1499" s="11"/>
      <c r="L1499" s="11"/>
      <c r="M1499" s="11"/>
      <c r="N1499" s="11"/>
      <c r="O1499" s="11">
        <f>IFERROR(__xludf.DUMMYFUNCTION("""COMPUTED_VALUE"""),43527922415)</f>
        <v>43527922415</v>
      </c>
      <c r="P1499" s="11"/>
      <c r="Q1499" s="11"/>
      <c r="R1499" s="11"/>
      <c r="S1499" s="11"/>
      <c r="T1499" s="11"/>
      <c r="U1499" s="11"/>
      <c r="V1499" s="11"/>
      <c r="W1499" s="11"/>
      <c r="X1499" s="11"/>
      <c r="Y1499" s="11"/>
      <c r="Z1499" s="11"/>
    </row>
    <row r="1500" customHeight="1" spans="1:26">
      <c r="A1500" s="11" t="str">
        <f>IFERROR(__xludf.DUMMYFUNCTION("""COMPUTED_VALUE"""),"MARIA DE LOURDES DIAS PRAZERES")</f>
        <v>MARIA DE LOURDES DIAS PRAZERES</v>
      </c>
      <c r="B1500" s="11"/>
      <c r="C1500" s="11"/>
      <c r="D1500" s="11" t="str">
        <f>IFERROR(__xludf.DUMMYFUNCTION("""COMPUTED_VALUE"""),"ENFERMEIRO 30H")</f>
        <v>ENFERMEIRO 30H</v>
      </c>
      <c r="E1500" s="11"/>
      <c r="F1500" s="11" t="str">
        <f>IFERROR(__xludf.DUMMYFUNCTION("""COMPUTED_VALUE"""),"SEDE DISTRITO SANITARIO VI")</f>
        <v>SEDE DISTRITO SANITARIO VI</v>
      </c>
      <c r="G1500" s="11" t="str">
        <f>IFERROR(__xludf.DUMMYFUNCTION("""COMPUTED_VALUE"""),"SEDE DISTRITO SANITARIO VI")</f>
        <v>SEDE DISTRITO SANITARIO VI</v>
      </c>
      <c r="H1500" s="11"/>
      <c r="I1500" s="11"/>
      <c r="J1500" s="11"/>
      <c r="K1500" s="11"/>
      <c r="L1500" s="11"/>
      <c r="M1500" s="11"/>
      <c r="N1500" s="11"/>
      <c r="O1500" s="11">
        <f>IFERROR(__xludf.DUMMYFUNCTION("""COMPUTED_VALUE"""),69895180497)</f>
        <v>69895180497</v>
      </c>
      <c r="P1500" s="11"/>
      <c r="Q1500" s="11"/>
      <c r="R1500" s="11"/>
      <c r="S1500" s="11"/>
      <c r="T1500" s="11"/>
      <c r="U1500" s="11"/>
      <c r="V1500" s="11"/>
      <c r="W1500" s="11"/>
      <c r="X1500" s="11"/>
      <c r="Y1500" s="11"/>
      <c r="Z1500" s="11"/>
    </row>
    <row r="1501" customHeight="1" spans="1:26">
      <c r="A1501" s="11" t="str">
        <f>IFERROR(__xludf.DUMMYFUNCTION("""COMPUTED_VALUE"""),"TALITA LAGIEWKA MARTINS")</f>
        <v>TALITA LAGIEWKA MARTINS</v>
      </c>
      <c r="B1501" s="11"/>
      <c r="C1501" s="11"/>
      <c r="D1501" s="11" t="str">
        <f>IFERROR(__xludf.DUMMYFUNCTION("""COMPUTED_VALUE"""),"ENFERMEIRO 30H")</f>
        <v>ENFERMEIRO 30H</v>
      </c>
      <c r="E1501" s="11"/>
      <c r="F1501" s="11" t="str">
        <f>IFERROR(__xludf.DUMMYFUNCTION("""COMPUTED_VALUE"""),"US_165 MATERNIDADE BANDEIRA FILHO")</f>
        <v>US_165 MATERNIDADE BANDEIRA FILHO</v>
      </c>
      <c r="G1501" s="11" t="str">
        <f>IFERROR(__xludf.DUMMYFUNCTION("""COMPUTED_VALUE"""),"US_165 MATERNIDADE BANDEIRA FILHO")</f>
        <v>US_165 MATERNIDADE BANDEIRA FILHO</v>
      </c>
      <c r="H1501" s="11"/>
      <c r="I1501" s="11"/>
      <c r="J1501" s="11"/>
      <c r="K1501" s="11"/>
      <c r="L1501" s="11"/>
      <c r="M1501" s="11"/>
      <c r="N1501" s="11"/>
      <c r="O1501" s="11">
        <f>IFERROR(__xludf.DUMMYFUNCTION("""COMPUTED_VALUE"""),3578832413)</f>
        <v>3578832413</v>
      </c>
      <c r="P1501" s="11"/>
      <c r="Q1501" s="11"/>
      <c r="R1501" s="11"/>
      <c r="S1501" s="11"/>
      <c r="T1501" s="11"/>
      <c r="U1501" s="11"/>
      <c r="V1501" s="11"/>
      <c r="W1501" s="11"/>
      <c r="X1501" s="11"/>
      <c r="Y1501" s="11"/>
      <c r="Z1501" s="11"/>
    </row>
    <row r="1502" customHeight="1" spans="1:26">
      <c r="A1502" s="11" t="str">
        <f>IFERROR(__xludf.DUMMYFUNCTION("""COMPUTED_VALUE"""),"PATRICIA REJANE B GONCALVES")</f>
        <v>PATRICIA REJANE B GONCALVES</v>
      </c>
      <c r="B1502" s="11"/>
      <c r="C1502" s="11"/>
      <c r="D1502" s="11" t="str">
        <f>IFERROR(__xludf.DUMMYFUNCTION("""COMPUTED_VALUE"""),"ENFERMEIRO 30H")</f>
        <v>ENFERMEIRO 30H</v>
      </c>
      <c r="E1502" s="11"/>
      <c r="F1502" s="11" t="str">
        <f>IFERROR(__xludf.DUMMYFUNCTION("""COMPUTED_VALUE"""),"US_167 POLICLINICA E MATERNIDADE PROFESSOR BARROS LIMA")</f>
        <v>US_167 POLICLINICA E MATERNIDADE PROFESSOR BARROS LIMA</v>
      </c>
      <c r="G1502" s="11" t="str">
        <f>IFERROR(__xludf.DUMMYFUNCTION("""COMPUTED_VALUE"""),"US_167 POLICLINICA E MATERNIDADE PROFESSOR BARROS LIMA")</f>
        <v>US_167 POLICLINICA E MATERNIDADE PROFESSOR BARROS LIMA</v>
      </c>
      <c r="H1502" s="11"/>
      <c r="I1502" s="11"/>
      <c r="J1502" s="11"/>
      <c r="K1502" s="11"/>
      <c r="L1502" s="11"/>
      <c r="M1502" s="11"/>
      <c r="N1502" s="11"/>
      <c r="O1502" s="11">
        <f>IFERROR(__xludf.DUMMYFUNCTION("""COMPUTED_VALUE"""),3149894476)</f>
        <v>3149894476</v>
      </c>
      <c r="P1502" s="11"/>
      <c r="Q1502" s="11"/>
      <c r="R1502" s="11"/>
      <c r="S1502" s="11"/>
      <c r="T1502" s="11"/>
      <c r="U1502" s="11"/>
      <c r="V1502" s="11"/>
      <c r="W1502" s="11"/>
      <c r="X1502" s="11"/>
      <c r="Y1502" s="11"/>
      <c r="Z1502" s="11"/>
    </row>
    <row r="1503" customHeight="1" spans="1:26">
      <c r="A1503" s="11" t="str">
        <f>IFERROR(__xludf.DUMMYFUNCTION("""COMPUTED_VALUE"""),"ERIKA DE OLIVEIRA P MENEZES")</f>
        <v>ERIKA DE OLIVEIRA P MENEZES</v>
      </c>
      <c r="B1503" s="11"/>
      <c r="C1503" s="11"/>
      <c r="D1503" s="11" t="str">
        <f>IFERROR(__xludf.DUMMYFUNCTION("""COMPUTED_VALUE"""),"ENFERMEIRO 30H")</f>
        <v>ENFERMEIRO 30H</v>
      </c>
      <c r="E1503" s="11"/>
      <c r="F1503" s="11" t="str">
        <f>IFERROR(__xludf.DUMMYFUNCTION("""COMPUTED_VALUE"""),"US_167 POLICLINICA E MATERNIDADE PROFESSOR BARROS LIMA")</f>
        <v>US_167 POLICLINICA E MATERNIDADE PROFESSOR BARROS LIMA</v>
      </c>
      <c r="G1503" s="11" t="str">
        <f>IFERROR(__xludf.DUMMYFUNCTION("""COMPUTED_VALUE"""),"US_167 POLICLINICA E MATERNIDADE PROFESSOR BARROS LIMA")</f>
        <v>US_167 POLICLINICA E MATERNIDADE PROFESSOR BARROS LIMA</v>
      </c>
      <c r="H1503" s="11"/>
      <c r="I1503" s="11"/>
      <c r="J1503" s="11"/>
      <c r="K1503" s="11"/>
      <c r="L1503" s="11"/>
      <c r="M1503" s="11"/>
      <c r="N1503" s="11"/>
      <c r="O1503" s="11">
        <f>IFERROR(__xludf.DUMMYFUNCTION("""COMPUTED_VALUE"""),2245715403)</f>
        <v>2245715403</v>
      </c>
      <c r="P1503" s="11"/>
      <c r="Q1503" s="11"/>
      <c r="R1503" s="11"/>
      <c r="S1503" s="11"/>
      <c r="T1503" s="11"/>
      <c r="U1503" s="11"/>
      <c r="V1503" s="11"/>
      <c r="W1503" s="11"/>
      <c r="X1503" s="11"/>
      <c r="Y1503" s="11"/>
      <c r="Z1503" s="11"/>
    </row>
    <row r="1504" customHeight="1" spans="1:26">
      <c r="A1504" s="11" t="str">
        <f>IFERROR(__xludf.DUMMYFUNCTION("""COMPUTED_VALUE"""),"THIAGO JOSE ALBUQUERQUE SANDES")</f>
        <v>THIAGO JOSE ALBUQUERQUE SANDES</v>
      </c>
      <c r="B1504" s="11"/>
      <c r="C1504" s="11"/>
      <c r="D1504" s="11" t="str">
        <f>IFERROR(__xludf.DUMMYFUNCTION("""COMPUTED_VALUE"""),"ENFERMEIRO 30H")</f>
        <v>ENFERMEIRO 30H</v>
      </c>
      <c r="E1504" s="11"/>
      <c r="F1504" s="11" t="str">
        <f>IFERROR(__xludf.DUMMYFUNCTION("""COMPUTED_VALUE"""),"US_153 POLICLINICA E MATERNIDADE ARNALDO MARQUES")</f>
        <v>US_153 POLICLINICA E MATERNIDADE ARNALDO MARQUES</v>
      </c>
      <c r="G1504" s="11" t="str">
        <f>IFERROR(__xludf.DUMMYFUNCTION("""COMPUTED_VALUE"""),"US_153 POLICLINICA E MATERNIDADE ARNALDO MARQUES")</f>
        <v>US_153 POLICLINICA E MATERNIDADE ARNALDO MARQUES</v>
      </c>
      <c r="H1504" s="27">
        <f>IFERROR(__xludf.DUMMYFUNCTION("""COMPUTED_VALUE"""),81988941309)</f>
        <v>81988941309</v>
      </c>
      <c r="I1504" s="11"/>
      <c r="J1504" s="11"/>
      <c r="K1504" s="11"/>
      <c r="L1504" s="11"/>
      <c r="M1504" s="11"/>
      <c r="N1504" s="11"/>
      <c r="O1504" s="11">
        <f>IFERROR(__xludf.DUMMYFUNCTION("""COMPUTED_VALUE"""),3394119455)</f>
        <v>3394119455</v>
      </c>
      <c r="P1504" s="11"/>
      <c r="Q1504" s="11"/>
      <c r="R1504" s="11"/>
      <c r="S1504" s="11"/>
      <c r="T1504" s="11"/>
      <c r="U1504" s="11"/>
      <c r="V1504" s="11"/>
      <c r="W1504" s="11"/>
      <c r="X1504" s="11"/>
      <c r="Y1504" s="11"/>
      <c r="Z1504" s="11"/>
    </row>
    <row r="1505" customHeight="1" spans="1:26">
      <c r="A1505" s="11" t="str">
        <f>IFERROR(__xludf.DUMMYFUNCTION("""COMPUTED_VALUE"""),"ANA CLARA SILVA CARVALHO")</f>
        <v>ANA CLARA SILVA CARVALHO</v>
      </c>
      <c r="B1505" s="11"/>
      <c r="C1505" s="11"/>
      <c r="D1505" s="11" t="str">
        <f>IFERROR(__xludf.DUMMYFUNCTION("""COMPUTED_VALUE"""),"ENFERMEIRO 30H")</f>
        <v>ENFERMEIRO 30H</v>
      </c>
      <c r="E1505" s="11"/>
      <c r="F1505" s="11" t="str">
        <f>IFERROR(__xludf.DUMMYFUNCTION("""COMPUTED_VALUE"""),"US_165 MATERNIDADE BANDEIRA FILHO")</f>
        <v>US_165 MATERNIDADE BANDEIRA FILHO</v>
      </c>
      <c r="G1505" s="11" t="str">
        <f>IFERROR(__xludf.DUMMYFUNCTION("""COMPUTED_VALUE"""),"US_165 MATERNIDADE BANDEIRA FILHO")</f>
        <v>US_165 MATERNIDADE BANDEIRA FILHO</v>
      </c>
      <c r="H1505" s="11"/>
      <c r="I1505" s="11"/>
      <c r="J1505" s="11"/>
      <c r="K1505" s="11"/>
      <c r="L1505" s="11"/>
      <c r="M1505" s="11"/>
      <c r="N1505" s="11"/>
      <c r="O1505" s="11">
        <f>IFERROR(__xludf.DUMMYFUNCTION("""COMPUTED_VALUE"""),5403411429)</f>
        <v>5403411429</v>
      </c>
      <c r="P1505" s="11"/>
      <c r="Q1505" s="11"/>
      <c r="R1505" s="11"/>
      <c r="S1505" s="11"/>
      <c r="T1505" s="11"/>
      <c r="U1505" s="11"/>
      <c r="V1505" s="11"/>
      <c r="W1505" s="11"/>
      <c r="X1505" s="11"/>
      <c r="Y1505" s="11"/>
      <c r="Z1505" s="11"/>
    </row>
    <row r="1506" customHeight="1" spans="1:26">
      <c r="A1506" s="11" t="str">
        <f>IFERROR(__xludf.DUMMYFUNCTION("""COMPUTED_VALUE"""),"IARA JANE SALSA B DE MENEZES")</f>
        <v>IARA JANE SALSA B DE MENEZES</v>
      </c>
      <c r="B1506" s="11"/>
      <c r="C1506" s="11"/>
      <c r="D1506" s="11" t="str">
        <f>IFERROR(__xludf.DUMMYFUNCTION("""COMPUTED_VALUE"""),"ENFERMEIRO 30H")</f>
        <v>ENFERMEIRO 30H</v>
      </c>
      <c r="E1506" s="11"/>
      <c r="F1506" s="11" t="str">
        <f>IFERROR(__xludf.DUMMYFUNCTION("""COMPUTED_VALUE"""),"US_165 MATERNIDADE BANDEIRA FILHO")</f>
        <v>US_165 MATERNIDADE BANDEIRA FILHO</v>
      </c>
      <c r="G1506" s="11" t="str">
        <f>IFERROR(__xludf.DUMMYFUNCTION("""COMPUTED_VALUE"""),"US_165 MATERNIDADE BANDEIRA FILHO")</f>
        <v>US_165 MATERNIDADE BANDEIRA FILHO</v>
      </c>
      <c r="H1506" s="11"/>
      <c r="I1506" s="11"/>
      <c r="J1506" s="11"/>
      <c r="K1506" s="11"/>
      <c r="L1506" s="11"/>
      <c r="M1506" s="11"/>
      <c r="N1506" s="11"/>
      <c r="O1506" s="11">
        <f>IFERROR(__xludf.DUMMYFUNCTION("""COMPUTED_VALUE"""),3532740460)</f>
        <v>3532740460</v>
      </c>
      <c r="P1506" s="11"/>
      <c r="Q1506" s="11"/>
      <c r="R1506" s="11"/>
      <c r="S1506" s="11"/>
      <c r="T1506" s="11"/>
      <c r="U1506" s="11"/>
      <c r="V1506" s="11"/>
      <c r="W1506" s="11"/>
      <c r="X1506" s="11"/>
      <c r="Y1506" s="11"/>
      <c r="Z1506" s="11"/>
    </row>
    <row r="1507" customHeight="1" spans="1:26">
      <c r="A1507" s="11" t="str">
        <f>IFERROR(__xludf.DUMMYFUNCTION("""COMPUTED_VALUE"""),"SYMONE DE M BRECKENFELD")</f>
        <v>SYMONE DE M BRECKENFELD</v>
      </c>
      <c r="B1507" s="11"/>
      <c r="C1507" s="11"/>
      <c r="D1507" s="11" t="str">
        <f>IFERROR(__xludf.DUMMYFUNCTION("""COMPUTED_VALUE"""),"ENFERMEIRO 30H")</f>
        <v>ENFERMEIRO 30H</v>
      </c>
      <c r="E1507" s="11"/>
      <c r="F1507" s="11" t="str">
        <f>IFERROR(__xludf.DUMMYFUNCTION("""COMPUTED_VALUE"""),"US_153 POLICLINICA E MATERNIDADE ARNALDO MARQUES")</f>
        <v>US_153 POLICLINICA E MATERNIDADE ARNALDO MARQUES</v>
      </c>
      <c r="G1507" s="11" t="str">
        <f>IFERROR(__xludf.DUMMYFUNCTION("""COMPUTED_VALUE"""),"US_153 POLICLINICA E MATERNIDADE ARNALDO MARQUES")</f>
        <v>US_153 POLICLINICA E MATERNIDADE ARNALDO MARQUES</v>
      </c>
      <c r="H1507" s="11"/>
      <c r="I1507" s="11"/>
      <c r="J1507" s="11"/>
      <c r="K1507" s="11"/>
      <c r="L1507" s="11"/>
      <c r="M1507" s="11"/>
      <c r="N1507" s="11"/>
      <c r="O1507" s="11">
        <f>IFERROR(__xludf.DUMMYFUNCTION("""COMPUTED_VALUE"""),58907017468)</f>
        <v>58907017468</v>
      </c>
      <c r="P1507" s="11"/>
      <c r="Q1507" s="11"/>
      <c r="R1507" s="11"/>
      <c r="S1507" s="11"/>
      <c r="T1507" s="11"/>
      <c r="U1507" s="11"/>
      <c r="V1507" s="11"/>
      <c r="W1507" s="11"/>
      <c r="X1507" s="11"/>
      <c r="Y1507" s="11"/>
      <c r="Z1507" s="11"/>
    </row>
    <row r="1508" customHeight="1" spans="1:26">
      <c r="A1508" s="11" t="str">
        <f>IFERROR(__xludf.DUMMYFUNCTION("""COMPUTED_VALUE"""),"SUELI SOUSA CAVALCANTI")</f>
        <v>SUELI SOUSA CAVALCANTI</v>
      </c>
      <c r="B1508" s="11"/>
      <c r="C1508" s="11"/>
      <c r="D1508" s="11" t="str">
        <f>IFERROR(__xludf.DUMMYFUNCTION("""COMPUTED_VALUE"""),"ENFERMEIRO 30H")</f>
        <v>ENFERMEIRO 30H</v>
      </c>
      <c r="E1508" s="11"/>
      <c r="F1508" s="11" t="str">
        <f>IFERROR(__xludf.DUMMYFUNCTION("""COMPUTED_VALUE"""),"US_153 POLICLINICA E MATERNIDADE ARNALDO MARQUES")</f>
        <v>US_153 POLICLINICA E MATERNIDADE ARNALDO MARQUES</v>
      </c>
      <c r="G1508" s="11" t="str">
        <f>IFERROR(__xludf.DUMMYFUNCTION("""COMPUTED_VALUE"""),"US_153 POLICLINICA E MATERNIDADE ARNALDO MARQUES")</f>
        <v>US_153 POLICLINICA E MATERNIDADE ARNALDO MARQUES</v>
      </c>
      <c r="H1508" s="11"/>
      <c r="I1508" s="11"/>
      <c r="J1508" s="11"/>
      <c r="K1508" s="11"/>
      <c r="L1508" s="11"/>
      <c r="M1508" s="11"/>
      <c r="N1508" s="11"/>
      <c r="O1508" s="11">
        <f>IFERROR(__xludf.DUMMYFUNCTION("""COMPUTED_VALUE"""),61669105415)</f>
        <v>61669105415</v>
      </c>
      <c r="P1508" s="11"/>
      <c r="Q1508" s="11"/>
      <c r="R1508" s="11"/>
      <c r="S1508" s="11"/>
      <c r="T1508" s="11"/>
      <c r="U1508" s="11"/>
      <c r="V1508" s="11"/>
      <c r="W1508" s="11"/>
      <c r="X1508" s="11"/>
      <c r="Y1508" s="11"/>
      <c r="Z1508" s="11"/>
    </row>
    <row r="1509" customHeight="1" spans="1:26">
      <c r="A1509" s="11" t="str">
        <f>IFERROR(__xludf.DUMMYFUNCTION("""COMPUTED_VALUE"""),"SILVANIA REGINA B PEREIRA")</f>
        <v>SILVANIA REGINA B PEREIRA</v>
      </c>
      <c r="B1509" s="11"/>
      <c r="C1509" s="11"/>
      <c r="D1509" s="11" t="str">
        <f>IFERROR(__xludf.DUMMYFUNCTION("""COMPUTED_VALUE"""),"ENFERMEIRO 30H")</f>
        <v>ENFERMEIRO 30H</v>
      </c>
      <c r="E1509" s="11"/>
      <c r="F1509" s="11" t="str">
        <f>IFERROR(__xludf.DUMMYFUNCTION("""COMPUTED_VALUE"""),"US_153 POLICLINICA E MATERNIDADE ARNALDO MARQUES")</f>
        <v>US_153 POLICLINICA E MATERNIDADE ARNALDO MARQUES</v>
      </c>
      <c r="G1509" s="11" t="str">
        <f>IFERROR(__xludf.DUMMYFUNCTION("""COMPUTED_VALUE"""),"US_153 POLICLINICA E MATERNIDADE ARNALDO MARQUES")</f>
        <v>US_153 POLICLINICA E MATERNIDADE ARNALDO MARQUES</v>
      </c>
      <c r="H1509" s="11"/>
      <c r="I1509" s="11"/>
      <c r="J1509" s="11"/>
      <c r="K1509" s="11"/>
      <c r="L1509" s="11"/>
      <c r="M1509" s="11"/>
      <c r="N1509" s="11"/>
      <c r="O1509" s="11">
        <f>IFERROR(__xludf.DUMMYFUNCTION("""COMPUTED_VALUE"""),71038655404)</f>
        <v>71038655404</v>
      </c>
      <c r="P1509" s="11"/>
      <c r="Q1509" s="11"/>
      <c r="R1509" s="11"/>
      <c r="S1509" s="11"/>
      <c r="T1509" s="11"/>
      <c r="U1509" s="11"/>
      <c r="V1509" s="11"/>
      <c r="W1509" s="11"/>
      <c r="X1509" s="11"/>
      <c r="Y1509" s="11"/>
      <c r="Z1509" s="11"/>
    </row>
    <row r="1510" customHeight="1" spans="1:26">
      <c r="A1510" s="11" t="str">
        <f>IFERROR(__xludf.DUMMYFUNCTION("""COMPUTED_VALUE"""),"LUIZIANE SOUZA V DE LIMA")</f>
        <v>LUIZIANE SOUZA V DE LIMA</v>
      </c>
      <c r="B1510" s="11"/>
      <c r="C1510" s="11"/>
      <c r="D1510" s="11" t="str">
        <f>IFERROR(__xludf.DUMMYFUNCTION("""COMPUTED_VALUE"""),"ENFERMEIRO 30H")</f>
        <v>ENFERMEIRO 30H</v>
      </c>
      <c r="E1510" s="11"/>
      <c r="F1510" s="11" t="str">
        <f>IFERROR(__xludf.DUMMYFUNCTION("""COMPUTED_VALUE"""),"US_153 POLICLINICA E MATERNIDADE ARNALDO MARQUES")</f>
        <v>US_153 POLICLINICA E MATERNIDADE ARNALDO MARQUES</v>
      </c>
      <c r="G1510" s="11" t="str">
        <f>IFERROR(__xludf.DUMMYFUNCTION("""COMPUTED_VALUE"""),"US_153 POLICLINICA E MATERNIDADE ARNALDO MARQUES")</f>
        <v>US_153 POLICLINICA E MATERNIDADE ARNALDO MARQUES</v>
      </c>
      <c r="H1510" s="11"/>
      <c r="I1510" s="11"/>
      <c r="J1510" s="11"/>
      <c r="K1510" s="11"/>
      <c r="L1510" s="11"/>
      <c r="M1510" s="11"/>
      <c r="N1510" s="11"/>
      <c r="O1510" s="11">
        <f>IFERROR(__xludf.DUMMYFUNCTION("""COMPUTED_VALUE"""),3613228440)</f>
        <v>3613228440</v>
      </c>
      <c r="P1510" s="11"/>
      <c r="Q1510" s="11"/>
      <c r="R1510" s="11"/>
      <c r="S1510" s="11"/>
      <c r="T1510" s="11"/>
      <c r="U1510" s="11"/>
      <c r="V1510" s="11"/>
      <c r="W1510" s="11"/>
      <c r="X1510" s="11"/>
      <c r="Y1510" s="11"/>
      <c r="Z1510" s="11"/>
    </row>
    <row r="1511" customHeight="1" spans="1:26">
      <c r="A1511" s="11" t="str">
        <f>IFERROR(__xludf.DUMMYFUNCTION("""COMPUTED_VALUE"""),"ZUILA ELAINE S DE OLIVEIRA")</f>
        <v>ZUILA ELAINE S DE OLIVEIRA</v>
      </c>
      <c r="B1511" s="11"/>
      <c r="C1511" s="11"/>
      <c r="D1511" s="11" t="str">
        <f>IFERROR(__xludf.DUMMYFUNCTION("""COMPUTED_VALUE"""),"ENFERMEIRO 30H")</f>
        <v>ENFERMEIRO 30H</v>
      </c>
      <c r="E1511" s="11"/>
      <c r="F1511" s="11" t="str">
        <f>IFERROR(__xludf.DUMMYFUNCTION("""COMPUTED_VALUE"""),"US_167 POLICLINICA E MATERNIDADE PROFESSOR BARROS LIMA")</f>
        <v>US_167 POLICLINICA E MATERNIDADE PROFESSOR BARROS LIMA</v>
      </c>
      <c r="G1511" s="11" t="str">
        <f>IFERROR(__xludf.DUMMYFUNCTION("""COMPUTED_VALUE"""),"US_167 POLICLINICA E MATERNIDADE PROFESSOR BARROS LIMA")</f>
        <v>US_167 POLICLINICA E MATERNIDADE PROFESSOR BARROS LIMA</v>
      </c>
      <c r="H1511" s="11"/>
      <c r="I1511" s="11"/>
      <c r="J1511" s="11"/>
      <c r="K1511" s="11"/>
      <c r="L1511" s="11"/>
      <c r="M1511" s="11"/>
      <c r="N1511" s="11"/>
      <c r="O1511" s="11">
        <f>IFERROR(__xludf.DUMMYFUNCTION("""COMPUTED_VALUE"""),76870170304)</f>
        <v>76870170304</v>
      </c>
      <c r="P1511" s="11"/>
      <c r="Q1511" s="11"/>
      <c r="R1511" s="11"/>
      <c r="S1511" s="11"/>
      <c r="T1511" s="11"/>
      <c r="U1511" s="11"/>
      <c r="V1511" s="11"/>
      <c r="W1511" s="11"/>
      <c r="X1511" s="11"/>
      <c r="Y1511" s="11"/>
      <c r="Z1511" s="11"/>
    </row>
    <row r="1512" customHeight="1" spans="1:26">
      <c r="A1512" s="11" t="str">
        <f>IFERROR(__xludf.DUMMYFUNCTION("""COMPUTED_VALUE"""),"MARIA R DE F DA S DIAS VIEIRA")</f>
        <v>MARIA R DE F DA S DIAS VIEIRA</v>
      </c>
      <c r="B1512" s="11"/>
      <c r="C1512" s="11"/>
      <c r="D1512" s="11" t="str">
        <f>IFERROR(__xludf.DUMMYFUNCTION("""COMPUTED_VALUE"""),"ENFERMEIRO 30H")</f>
        <v>ENFERMEIRO 30H</v>
      </c>
      <c r="E1512" s="11"/>
      <c r="F1512" s="11" t="str">
        <f>IFERROR(__xludf.DUMMYFUNCTION("""COMPUTED_VALUE"""),"US_167 POLICLINICA E MATERNIDADE PROFESSOR BARROS LIMA")</f>
        <v>US_167 POLICLINICA E MATERNIDADE PROFESSOR BARROS LIMA</v>
      </c>
      <c r="G1512" s="11" t="str">
        <f>IFERROR(__xludf.DUMMYFUNCTION("""COMPUTED_VALUE"""),"US_167 POLICLINICA E MATERNIDADE PROFESSOR BARROS LIMA")</f>
        <v>US_167 POLICLINICA E MATERNIDADE PROFESSOR BARROS LIMA</v>
      </c>
      <c r="H1512" s="11"/>
      <c r="I1512" s="11"/>
      <c r="J1512" s="11"/>
      <c r="K1512" s="11"/>
      <c r="L1512" s="11"/>
      <c r="M1512" s="11"/>
      <c r="N1512" s="11"/>
      <c r="O1512" s="11">
        <f>IFERROR(__xludf.DUMMYFUNCTION("""COMPUTED_VALUE"""),1876025492)</f>
        <v>1876025492</v>
      </c>
      <c r="P1512" s="11"/>
      <c r="Q1512" s="11"/>
      <c r="R1512" s="11"/>
      <c r="S1512" s="11"/>
      <c r="T1512" s="11"/>
      <c r="U1512" s="11"/>
      <c r="V1512" s="11"/>
      <c r="W1512" s="11"/>
      <c r="X1512" s="11"/>
      <c r="Y1512" s="11"/>
      <c r="Z1512" s="11"/>
    </row>
    <row r="1513" customHeight="1" spans="1:26">
      <c r="A1513" s="11" t="str">
        <f>IFERROR(__xludf.DUMMYFUNCTION("""COMPUTED_VALUE"""),"DELMILENA MARIA F DE AQUINO")</f>
        <v>DELMILENA MARIA F DE AQUINO</v>
      </c>
      <c r="B1513" s="11"/>
      <c r="C1513" s="11"/>
      <c r="D1513" s="11" t="str">
        <f>IFERROR(__xludf.DUMMYFUNCTION("""COMPUTED_VALUE"""),"ENFERMEIRO 30H")</f>
        <v>ENFERMEIRO 30H</v>
      </c>
      <c r="E1513" s="11"/>
      <c r="F1513" s="11" t="str">
        <f>IFERROR(__xludf.DUMMYFUNCTION("""COMPUTED_VALUE"""),"US_153 POLICLINICA E MATERNIDADE ARNALDO MARQUES")</f>
        <v>US_153 POLICLINICA E MATERNIDADE ARNALDO MARQUES</v>
      </c>
      <c r="G1513" s="11" t="str">
        <f>IFERROR(__xludf.DUMMYFUNCTION("""COMPUTED_VALUE"""),"US_153 POLICLINICA E MATERNIDADE ARNALDO MARQUES")</f>
        <v>US_153 POLICLINICA E MATERNIDADE ARNALDO MARQUES</v>
      </c>
      <c r="H1513" s="11"/>
      <c r="I1513" s="11"/>
      <c r="J1513" s="11"/>
      <c r="K1513" s="11"/>
      <c r="L1513" s="11"/>
      <c r="M1513" s="11"/>
      <c r="N1513" s="11"/>
      <c r="O1513" s="11">
        <f>IFERROR(__xludf.DUMMYFUNCTION("""COMPUTED_VALUE"""),2137723450)</f>
        <v>2137723450</v>
      </c>
      <c r="P1513" s="11"/>
      <c r="Q1513" s="11"/>
      <c r="R1513" s="11"/>
      <c r="S1513" s="11"/>
      <c r="T1513" s="11"/>
      <c r="U1513" s="11"/>
      <c r="V1513" s="11"/>
      <c r="W1513" s="11"/>
      <c r="X1513" s="11"/>
      <c r="Y1513" s="11"/>
      <c r="Z1513" s="11"/>
    </row>
    <row r="1514" customHeight="1" spans="1:26">
      <c r="A1514" s="11" t="str">
        <f>IFERROR(__xludf.DUMMYFUNCTION("""COMPUTED_VALUE"""),"LARISSE CALOU PINHEIRO DE MELO")</f>
        <v>LARISSE CALOU PINHEIRO DE MELO</v>
      </c>
      <c r="B1514" s="11"/>
      <c r="C1514" s="11"/>
      <c r="D1514" s="11" t="str">
        <f>IFERROR(__xludf.DUMMYFUNCTION("""COMPUTED_VALUE"""),"ENFERMEIRO 30H")</f>
        <v>ENFERMEIRO 30H</v>
      </c>
      <c r="E1514" s="11"/>
      <c r="F1514" s="11" t="str">
        <f>IFERROR(__xludf.DUMMYFUNCTION("""COMPUTED_VALUE"""),"US_167 POLICLINICA E MATERNIDADE PROFESSOR BARROS LIMA")</f>
        <v>US_167 POLICLINICA E MATERNIDADE PROFESSOR BARROS LIMA</v>
      </c>
      <c r="G1514" s="11" t="str">
        <f>IFERROR(__xludf.DUMMYFUNCTION("""COMPUTED_VALUE"""),"US_167 POLICLINICA E MATERNIDADE PROFESSOR BARROS LIMA")</f>
        <v>US_167 POLICLINICA E MATERNIDADE PROFESSOR BARROS LIMA</v>
      </c>
      <c r="H1514" s="11"/>
      <c r="I1514" s="11"/>
      <c r="J1514" s="11"/>
      <c r="K1514" s="11"/>
      <c r="L1514" s="11"/>
      <c r="M1514" s="11"/>
      <c r="N1514" s="11"/>
      <c r="O1514" s="11">
        <f>IFERROR(__xludf.DUMMYFUNCTION("""COMPUTED_VALUE"""),1700698346)</f>
        <v>1700698346</v>
      </c>
      <c r="P1514" s="11"/>
      <c r="Q1514" s="11"/>
      <c r="R1514" s="11"/>
      <c r="S1514" s="11"/>
      <c r="T1514" s="11"/>
      <c r="U1514" s="11"/>
      <c r="V1514" s="11"/>
      <c r="W1514" s="11"/>
      <c r="X1514" s="11"/>
      <c r="Y1514" s="11"/>
      <c r="Z1514" s="11"/>
    </row>
    <row r="1515" customHeight="1" spans="1:26">
      <c r="A1515" s="11" t="str">
        <f>IFERROR(__xludf.DUMMYFUNCTION("""COMPUTED_VALUE"""),"VIVIANE RODRIGUES DE SOUZA")</f>
        <v>VIVIANE RODRIGUES DE SOUZA</v>
      </c>
      <c r="B1515" s="11"/>
      <c r="C1515" s="11"/>
      <c r="D1515" s="11" t="str">
        <f>IFERROR(__xludf.DUMMYFUNCTION("""COMPUTED_VALUE"""),"ENFERMEIRO 30H")</f>
        <v>ENFERMEIRO 30H</v>
      </c>
      <c r="E1515" s="11"/>
      <c r="F1515" s="11" t="str">
        <f>IFERROR(__xludf.DUMMYFUNCTION("""COMPUTED_VALUE"""),"US_167 POLICLINICA E MATERNIDADE PROFESSOR BARROS LIMA")</f>
        <v>US_167 POLICLINICA E MATERNIDADE PROFESSOR BARROS LIMA</v>
      </c>
      <c r="G1515" s="11" t="str">
        <f>IFERROR(__xludf.DUMMYFUNCTION("""COMPUTED_VALUE"""),"US_167 POLICLINICA E MATERNIDADE PROFESSOR BARROS LIMA")</f>
        <v>US_167 POLICLINICA E MATERNIDADE PROFESSOR BARROS LIMA</v>
      </c>
      <c r="H1515" s="11"/>
      <c r="I1515" s="11"/>
      <c r="J1515" s="11"/>
      <c r="K1515" s="11"/>
      <c r="L1515" s="11"/>
      <c r="M1515" s="11"/>
      <c r="N1515" s="11"/>
      <c r="O1515" s="11">
        <f>IFERROR(__xludf.DUMMYFUNCTION("""COMPUTED_VALUE"""),84604999449)</f>
        <v>84604999449</v>
      </c>
      <c r="P1515" s="11"/>
      <c r="Q1515" s="11"/>
      <c r="R1515" s="11"/>
      <c r="S1515" s="11"/>
      <c r="T1515" s="11"/>
      <c r="U1515" s="11"/>
      <c r="V1515" s="11"/>
      <c r="W1515" s="11"/>
      <c r="X1515" s="11"/>
      <c r="Y1515" s="11"/>
      <c r="Z1515" s="11"/>
    </row>
    <row r="1516" customHeight="1" spans="1:26">
      <c r="A1516" s="11" t="str">
        <f>IFERROR(__xludf.DUMMYFUNCTION("""COMPUTED_VALUE"""),"REBECA FERNANDA G DE SIQUEIRA")</f>
        <v>REBECA FERNANDA G DE SIQUEIRA</v>
      </c>
      <c r="B1516" s="11"/>
      <c r="C1516" s="11"/>
      <c r="D1516" s="11" t="str">
        <f>IFERROR(__xludf.DUMMYFUNCTION("""COMPUTED_VALUE"""),"ENFERMEIRO 30H")</f>
        <v>ENFERMEIRO 30H</v>
      </c>
      <c r="E1516" s="11"/>
      <c r="F1516" s="11" t="str">
        <f>IFERROR(__xludf.DUMMYFUNCTION("""COMPUTED_VALUE"""),"US_153 POLICLINICA E MATERNIDADE ARNALDO MARQUES")</f>
        <v>US_153 POLICLINICA E MATERNIDADE ARNALDO MARQUES</v>
      </c>
      <c r="G1516" s="11" t="str">
        <f>IFERROR(__xludf.DUMMYFUNCTION("""COMPUTED_VALUE"""),"US_153 POLICLINICA E MATERNIDADE ARNALDO MARQUES")</f>
        <v>US_153 POLICLINICA E MATERNIDADE ARNALDO MARQUES</v>
      </c>
      <c r="H1516" s="11"/>
      <c r="I1516" s="11"/>
      <c r="J1516" s="11"/>
      <c r="K1516" s="11"/>
      <c r="L1516" s="11"/>
      <c r="M1516" s="11"/>
      <c r="N1516" s="11"/>
      <c r="O1516" s="11">
        <f>IFERROR(__xludf.DUMMYFUNCTION("""COMPUTED_VALUE"""),3440200450)</f>
        <v>3440200450</v>
      </c>
      <c r="P1516" s="11"/>
      <c r="Q1516" s="11"/>
      <c r="R1516" s="11"/>
      <c r="S1516" s="11"/>
      <c r="T1516" s="11"/>
      <c r="U1516" s="11"/>
      <c r="V1516" s="11"/>
      <c r="W1516" s="11"/>
      <c r="X1516" s="11"/>
      <c r="Y1516" s="11"/>
      <c r="Z1516" s="11"/>
    </row>
    <row r="1517" customHeight="1" spans="1:26">
      <c r="A1517" s="11" t="str">
        <f>IFERROR(__xludf.DUMMYFUNCTION("""COMPUTED_VALUE"""),"ELYSANGELA A S DE M FALCAO")</f>
        <v>ELYSANGELA A S DE M FALCAO</v>
      </c>
      <c r="B1517" s="11"/>
      <c r="C1517" s="11"/>
      <c r="D1517" s="11" t="str">
        <f>IFERROR(__xludf.DUMMYFUNCTION("""COMPUTED_VALUE"""),"ENFERMEIRO 30H")</f>
        <v>ENFERMEIRO 30H</v>
      </c>
      <c r="E1517" s="11"/>
      <c r="F1517" s="11" t="str">
        <f>IFERROR(__xludf.DUMMYFUNCTION("""COMPUTED_VALUE"""),"US_153 POLICLINICA E MATERNIDADE ARNALDO MARQUES")</f>
        <v>US_153 POLICLINICA E MATERNIDADE ARNALDO MARQUES</v>
      </c>
      <c r="G1517" s="11" t="str">
        <f>IFERROR(__xludf.DUMMYFUNCTION("""COMPUTED_VALUE"""),"US_153 POLICLINICA E MATERNIDADE ARNALDO MARQUES")</f>
        <v>US_153 POLICLINICA E MATERNIDADE ARNALDO MARQUES</v>
      </c>
      <c r="H1517" s="11"/>
      <c r="I1517" s="11"/>
      <c r="J1517" s="11"/>
      <c r="K1517" s="11"/>
      <c r="L1517" s="11"/>
      <c r="M1517" s="11"/>
      <c r="N1517" s="11"/>
      <c r="O1517" s="11">
        <f>IFERROR(__xludf.DUMMYFUNCTION("""COMPUTED_VALUE"""),93203659468)</f>
        <v>93203659468</v>
      </c>
      <c r="P1517" s="11"/>
      <c r="Q1517" s="11"/>
      <c r="R1517" s="11"/>
      <c r="S1517" s="11"/>
      <c r="T1517" s="11"/>
      <c r="U1517" s="11"/>
      <c r="V1517" s="11"/>
      <c r="W1517" s="11"/>
      <c r="X1517" s="11"/>
      <c r="Y1517" s="11"/>
      <c r="Z1517" s="11"/>
    </row>
    <row r="1518" customHeight="1" spans="1:26">
      <c r="A1518" s="11" t="str">
        <f>IFERROR(__xludf.DUMMYFUNCTION("""COMPUTED_VALUE"""),"LUCIA CORREIA BISPO")</f>
        <v>LUCIA CORREIA BISPO</v>
      </c>
      <c r="B1518" s="11"/>
      <c r="C1518" s="11"/>
      <c r="D1518" s="11" t="str">
        <f>IFERROR(__xludf.DUMMYFUNCTION("""COMPUTED_VALUE"""),"ENFERMEIRO 30H")</f>
        <v>ENFERMEIRO 30H</v>
      </c>
      <c r="E1518" s="11"/>
      <c r="F1518" s="11" t="str">
        <f>IFERROR(__xludf.DUMMYFUNCTION("""COMPUTED_VALUE"""),"US_153 POLICLINICA E MATERNIDADE ARNALDO MARQUES")</f>
        <v>US_153 POLICLINICA E MATERNIDADE ARNALDO MARQUES</v>
      </c>
      <c r="G1518" s="11" t="str">
        <f>IFERROR(__xludf.DUMMYFUNCTION("""COMPUTED_VALUE"""),"US_153 POLICLINICA E MATERNIDADE ARNALDO MARQUES")</f>
        <v>US_153 POLICLINICA E MATERNIDADE ARNALDO MARQUES</v>
      </c>
      <c r="H1518" s="11"/>
      <c r="I1518" s="11"/>
      <c r="J1518" s="11"/>
      <c r="K1518" s="11"/>
      <c r="L1518" s="11"/>
      <c r="M1518" s="11"/>
      <c r="N1518" s="11"/>
      <c r="O1518" s="11">
        <f>IFERROR(__xludf.DUMMYFUNCTION("""COMPUTED_VALUE"""),43179231491)</f>
        <v>43179231491</v>
      </c>
      <c r="P1518" s="11"/>
      <c r="Q1518" s="11"/>
      <c r="R1518" s="11"/>
      <c r="S1518" s="11"/>
      <c r="T1518" s="11"/>
      <c r="U1518" s="11"/>
      <c r="V1518" s="11"/>
      <c r="W1518" s="11"/>
      <c r="X1518" s="11"/>
      <c r="Y1518" s="11"/>
      <c r="Z1518" s="11"/>
    </row>
    <row r="1519" customHeight="1" spans="1:26">
      <c r="A1519" s="11" t="str">
        <f>IFERROR(__xludf.DUMMYFUNCTION("""COMPUTED_VALUE"""),"SARA REBECA DE O LESSA MENDES")</f>
        <v>SARA REBECA DE O LESSA MENDES</v>
      </c>
      <c r="B1519" s="11"/>
      <c r="C1519" s="11"/>
      <c r="D1519" s="11" t="str">
        <f>IFERROR(__xludf.DUMMYFUNCTION("""COMPUTED_VALUE"""),"ENFERMEIRO 30H")</f>
        <v>ENFERMEIRO 30H</v>
      </c>
      <c r="E1519" s="11"/>
      <c r="F1519" s="11" t="str">
        <f>IFERROR(__xludf.DUMMYFUNCTION("""COMPUTED_VALUE"""),"US_167 POLICLINICA E MATERNIDADE PROFESSOR BARROS LIMA")</f>
        <v>US_167 POLICLINICA E MATERNIDADE PROFESSOR BARROS LIMA</v>
      </c>
      <c r="G1519" s="11" t="str">
        <f>IFERROR(__xludf.DUMMYFUNCTION("""COMPUTED_VALUE"""),"US_167 POLICLINICA E MATERNIDADE PROFESSOR BARROS LIMA")</f>
        <v>US_167 POLICLINICA E MATERNIDADE PROFESSOR BARROS LIMA</v>
      </c>
      <c r="H1519" s="11"/>
      <c r="I1519" s="11"/>
      <c r="J1519" s="11"/>
      <c r="K1519" s="11"/>
      <c r="L1519" s="11"/>
      <c r="M1519" s="11"/>
      <c r="N1519" s="11"/>
      <c r="O1519" s="11">
        <f>IFERROR(__xludf.DUMMYFUNCTION("""COMPUTED_VALUE"""),92545700282)</f>
        <v>92545700282</v>
      </c>
      <c r="P1519" s="11"/>
      <c r="Q1519" s="11"/>
      <c r="R1519" s="11"/>
      <c r="S1519" s="11"/>
      <c r="T1519" s="11"/>
      <c r="U1519" s="11"/>
      <c r="V1519" s="11"/>
      <c r="W1519" s="11"/>
      <c r="X1519" s="11"/>
      <c r="Y1519" s="11"/>
      <c r="Z1519" s="11"/>
    </row>
    <row r="1520" customHeight="1" spans="1:26">
      <c r="A1520" s="11" t="str">
        <f>IFERROR(__xludf.DUMMYFUNCTION("""COMPUTED_VALUE"""),"ELAINE WERBENA DE A FREIRE")</f>
        <v>ELAINE WERBENA DE A FREIRE</v>
      </c>
      <c r="B1520" s="11"/>
      <c r="C1520" s="11"/>
      <c r="D1520" s="11" t="str">
        <f>IFERROR(__xludf.DUMMYFUNCTION("""COMPUTED_VALUE"""),"ENFERMEIRO 30H")</f>
        <v>ENFERMEIRO 30H</v>
      </c>
      <c r="E1520" s="11"/>
      <c r="F1520" s="11" t="str">
        <f>IFERROR(__xludf.DUMMYFUNCTION("""COMPUTED_VALUE"""),"US_153 POLICLINICA E MATERNIDADE ARNALDO MARQUES")</f>
        <v>US_153 POLICLINICA E MATERNIDADE ARNALDO MARQUES</v>
      </c>
      <c r="G1520" s="11" t="str">
        <f>IFERROR(__xludf.DUMMYFUNCTION("""COMPUTED_VALUE"""),"US_153 POLICLINICA E MATERNIDADE ARNALDO MARQUES")</f>
        <v>US_153 POLICLINICA E MATERNIDADE ARNALDO MARQUES</v>
      </c>
      <c r="H1520" s="11"/>
      <c r="I1520" s="11"/>
      <c r="J1520" s="11"/>
      <c r="K1520" s="11"/>
      <c r="L1520" s="11"/>
      <c r="M1520" s="11"/>
      <c r="N1520" s="11"/>
      <c r="O1520" s="11">
        <f>IFERROR(__xludf.DUMMYFUNCTION("""COMPUTED_VALUE"""),5353085400)</f>
        <v>5353085400</v>
      </c>
      <c r="P1520" s="11"/>
      <c r="Q1520" s="11"/>
      <c r="R1520" s="11"/>
      <c r="S1520" s="11"/>
      <c r="T1520" s="11"/>
      <c r="U1520" s="11"/>
      <c r="V1520" s="11"/>
      <c r="W1520" s="11"/>
      <c r="X1520" s="11"/>
      <c r="Y1520" s="11"/>
      <c r="Z1520" s="11"/>
    </row>
    <row r="1521" customHeight="1" spans="1:26">
      <c r="A1521" s="11" t="str">
        <f>IFERROR(__xludf.DUMMYFUNCTION("""COMPUTED_VALUE"""),"ITAMISIN C SANTOS DA S FREITAS")</f>
        <v>ITAMISIN C SANTOS DA S FREITAS</v>
      </c>
      <c r="B1521" s="11"/>
      <c r="C1521" s="11"/>
      <c r="D1521" s="11" t="str">
        <f>IFERROR(__xludf.DUMMYFUNCTION("""COMPUTED_VALUE"""),"ENFERMEIRO 30H")</f>
        <v>ENFERMEIRO 30H</v>
      </c>
      <c r="E1521" s="11"/>
      <c r="F1521" s="11" t="str">
        <f>IFERROR(__xludf.DUMMYFUNCTION("""COMPUTED_VALUE"""),"US_153 POLICLINICA E MATERNIDADE ARNALDO MARQUES")</f>
        <v>US_153 POLICLINICA E MATERNIDADE ARNALDO MARQUES</v>
      </c>
      <c r="G1521" s="11" t="str">
        <f>IFERROR(__xludf.DUMMYFUNCTION("""COMPUTED_VALUE"""),"US_153 POLICLINICA E MATERNIDADE ARNALDO MARQUES")</f>
        <v>US_153 POLICLINICA E MATERNIDADE ARNALDO MARQUES</v>
      </c>
      <c r="H1521" s="11"/>
      <c r="I1521" s="11"/>
      <c r="J1521" s="11"/>
      <c r="K1521" s="11"/>
      <c r="L1521" s="11"/>
      <c r="M1521" s="11"/>
      <c r="N1521" s="11"/>
      <c r="O1521" s="11">
        <f>IFERROR(__xludf.DUMMYFUNCTION("""COMPUTED_VALUE"""),3890452418)</f>
        <v>3890452418</v>
      </c>
      <c r="P1521" s="11"/>
      <c r="Q1521" s="11"/>
      <c r="R1521" s="11"/>
      <c r="S1521" s="11"/>
      <c r="T1521" s="11"/>
      <c r="U1521" s="11"/>
      <c r="V1521" s="11"/>
      <c r="W1521" s="11"/>
      <c r="X1521" s="11"/>
      <c r="Y1521" s="11"/>
      <c r="Z1521" s="11"/>
    </row>
    <row r="1522" customHeight="1" spans="1:26">
      <c r="A1522" s="11" t="str">
        <f>IFERROR(__xludf.DUMMYFUNCTION("""COMPUTED_VALUE"""),"MARIA H H P DE O A GONZAGA")</f>
        <v>MARIA H H P DE O A GONZAGA</v>
      </c>
      <c r="B1522" s="11"/>
      <c r="C1522" s="11"/>
      <c r="D1522" s="11" t="str">
        <f>IFERROR(__xludf.DUMMYFUNCTION("""COMPUTED_VALUE"""),"ENFERMEIRO 30H")</f>
        <v>ENFERMEIRO 30H</v>
      </c>
      <c r="E1522" s="11"/>
      <c r="F1522" s="11" t="str">
        <f>IFERROR(__xludf.DUMMYFUNCTION("""COMPUTED_VALUE"""),"US_153 POLICLINICA E MATERNIDADE ARNALDO MARQUES")</f>
        <v>US_153 POLICLINICA E MATERNIDADE ARNALDO MARQUES</v>
      </c>
      <c r="G1522" s="11" t="str">
        <f>IFERROR(__xludf.DUMMYFUNCTION("""COMPUTED_VALUE"""),"US_153 POLICLINICA E MATERNIDADE ARNALDO MARQUES")</f>
        <v>US_153 POLICLINICA E MATERNIDADE ARNALDO MARQUES</v>
      </c>
      <c r="H1522" s="11"/>
      <c r="I1522" s="11"/>
      <c r="J1522" s="11"/>
      <c r="K1522" s="11"/>
      <c r="L1522" s="11"/>
      <c r="M1522" s="11"/>
      <c r="N1522" s="11"/>
      <c r="O1522" s="11">
        <f>IFERROR(__xludf.DUMMYFUNCTION("""COMPUTED_VALUE"""),10331920409)</f>
        <v>10331920409</v>
      </c>
      <c r="P1522" s="11"/>
      <c r="Q1522" s="11"/>
      <c r="R1522" s="11"/>
      <c r="S1522" s="11"/>
      <c r="T1522" s="11"/>
      <c r="U1522" s="11"/>
      <c r="V1522" s="11"/>
      <c r="W1522" s="11"/>
      <c r="X1522" s="11"/>
      <c r="Y1522" s="11"/>
      <c r="Z1522" s="11"/>
    </row>
    <row r="1523" customHeight="1" spans="1:26">
      <c r="A1523" s="11" t="str">
        <f>IFERROR(__xludf.DUMMYFUNCTION("""COMPUTED_VALUE"""),"GESSICA DE ALBUQUERQUE MOURA")</f>
        <v>GESSICA DE ALBUQUERQUE MOURA</v>
      </c>
      <c r="B1523" s="11"/>
      <c r="C1523" s="11"/>
      <c r="D1523" s="11" t="str">
        <f>IFERROR(__xludf.DUMMYFUNCTION("""COMPUTED_VALUE"""),"ENFERMEIRO 30H - POLICLINICA / MATERNIDADE - PLANTONISTA")</f>
        <v>ENFERMEIRO 30H - POLICLINICA / MATERNIDADE - PLANTONISTA</v>
      </c>
      <c r="E1523" s="11"/>
      <c r="F1523" s="11" t="str">
        <f>IFERROR(__xludf.DUMMYFUNCTION("""COMPUTED_VALUE"""),"US_167 POLICLINICA E MATERNIDADE PROFESSOR BARROS LIMA")</f>
        <v>US_167 POLICLINICA E MATERNIDADE PROFESSOR BARROS LIMA</v>
      </c>
      <c r="G1523" s="11" t="str">
        <f>IFERROR(__xludf.DUMMYFUNCTION("""COMPUTED_VALUE"""),"US_167 POLICLINICA E MATERNIDADE PROFESSOR BARROS LIMA")</f>
        <v>US_167 POLICLINICA E MATERNIDADE PROFESSOR BARROS LIMA</v>
      </c>
      <c r="H1523" s="11"/>
      <c r="I1523" s="11"/>
      <c r="J1523" s="11"/>
      <c r="K1523" s="11"/>
      <c r="L1523" s="11"/>
      <c r="M1523" s="11"/>
      <c r="N1523" s="11"/>
      <c r="O1523" s="11">
        <f>IFERROR(__xludf.DUMMYFUNCTION("""COMPUTED_VALUE"""),9682359481)</f>
        <v>9682359481</v>
      </c>
      <c r="P1523" s="11"/>
      <c r="Q1523" s="11"/>
      <c r="R1523" s="11"/>
      <c r="S1523" s="11"/>
      <c r="T1523" s="11"/>
      <c r="U1523" s="11"/>
      <c r="V1523" s="11"/>
      <c r="W1523" s="11"/>
      <c r="X1523" s="11"/>
      <c r="Y1523" s="11"/>
      <c r="Z1523" s="11"/>
    </row>
    <row r="1524" customHeight="1" spans="1:26">
      <c r="A1524" s="11" t="str">
        <f>IFERROR(__xludf.DUMMYFUNCTION("""COMPUTED_VALUE"""),"MONICA ALICE SANTOS DA SILVA")</f>
        <v>MONICA ALICE SANTOS DA SILVA</v>
      </c>
      <c r="B1524" s="11"/>
      <c r="C1524" s="11"/>
      <c r="D1524" s="11" t="str">
        <f>IFERROR(__xludf.DUMMYFUNCTION("""COMPUTED_VALUE"""),"ENFERMEIRO 30H - PLANTONISTA")</f>
        <v>ENFERMEIRO 30H - PLANTONISTA</v>
      </c>
      <c r="E1524" s="11"/>
      <c r="F1524" s="11" t="str">
        <f>IFERROR(__xludf.DUMMYFUNCTION("""COMPUTED_VALUE"""),"US_153 POLICLINICA E MATERNIDADE ARNALDO MARQUES")</f>
        <v>US_153 POLICLINICA E MATERNIDADE ARNALDO MARQUES</v>
      </c>
      <c r="G1524" s="11" t="str">
        <f>IFERROR(__xludf.DUMMYFUNCTION("""COMPUTED_VALUE"""),"US_153 POLICLINICA E MATERNIDADE ARNALDO MARQUES")</f>
        <v>US_153 POLICLINICA E MATERNIDADE ARNALDO MARQUES</v>
      </c>
      <c r="H1524" s="11"/>
      <c r="I1524" s="11"/>
      <c r="J1524" s="11"/>
      <c r="K1524" s="11"/>
      <c r="L1524" s="11"/>
      <c r="M1524" s="11"/>
      <c r="N1524" s="11"/>
      <c r="O1524" s="11">
        <f>IFERROR(__xludf.DUMMYFUNCTION("""COMPUTED_VALUE"""),4858815439)</f>
        <v>4858815439</v>
      </c>
      <c r="P1524" s="11"/>
      <c r="Q1524" s="11"/>
      <c r="R1524" s="11"/>
      <c r="S1524" s="11"/>
      <c r="T1524" s="11"/>
      <c r="U1524" s="11"/>
      <c r="V1524" s="11"/>
      <c r="W1524" s="11"/>
      <c r="X1524" s="11"/>
      <c r="Y1524" s="11"/>
      <c r="Z1524" s="11"/>
    </row>
    <row r="1525" customHeight="1" spans="1:26">
      <c r="A1525" s="11" t="str">
        <f>IFERROR(__xludf.DUMMYFUNCTION("""COMPUTED_VALUE"""),"MORGANA VALESCA DE M BEZERRA")</f>
        <v>MORGANA VALESCA DE M BEZERRA</v>
      </c>
      <c r="B1525" s="11"/>
      <c r="C1525" s="11"/>
      <c r="D1525" s="11" t="str">
        <f>IFERROR(__xludf.DUMMYFUNCTION("""COMPUTED_VALUE"""),"ENFERMEIRO 30H - PLANTONISTA")</f>
        <v>ENFERMEIRO 30H - PLANTONISTA</v>
      </c>
      <c r="E1525" s="11"/>
      <c r="F1525" s="11" t="str">
        <f>IFERROR(__xludf.DUMMYFUNCTION("""COMPUTED_VALUE"""),"US_153 POLICLINICA E MATERNIDADE ARNALDO MARQUES")</f>
        <v>US_153 POLICLINICA E MATERNIDADE ARNALDO MARQUES</v>
      </c>
      <c r="G1525" s="11" t="str">
        <f>IFERROR(__xludf.DUMMYFUNCTION("""COMPUTED_VALUE"""),"US_153 POLICLINICA E MATERNIDADE ARNALDO MARQUES")</f>
        <v>US_153 POLICLINICA E MATERNIDADE ARNALDO MARQUES</v>
      </c>
      <c r="H1525" s="11"/>
      <c r="I1525" s="11"/>
      <c r="J1525" s="11"/>
      <c r="K1525" s="11"/>
      <c r="L1525" s="11"/>
      <c r="M1525" s="11"/>
      <c r="N1525" s="11"/>
      <c r="O1525" s="11">
        <f>IFERROR(__xludf.DUMMYFUNCTION("""COMPUTED_VALUE"""),8544404456)</f>
        <v>8544404456</v>
      </c>
      <c r="P1525" s="11"/>
      <c r="Q1525" s="11"/>
      <c r="R1525" s="11"/>
      <c r="S1525" s="11"/>
      <c r="T1525" s="11"/>
      <c r="U1525" s="11"/>
      <c r="V1525" s="11"/>
      <c r="W1525" s="11"/>
      <c r="X1525" s="11"/>
      <c r="Y1525" s="11"/>
      <c r="Z1525" s="11"/>
    </row>
    <row r="1526" customHeight="1" spans="1:26">
      <c r="A1526" s="11" t="str">
        <f>IFERROR(__xludf.DUMMYFUNCTION("""COMPUTED_VALUE"""),"THAYANA ROSE DE ARAUJO DANTAS")</f>
        <v>THAYANA ROSE DE ARAUJO DANTAS</v>
      </c>
      <c r="B1526" s="11"/>
      <c r="C1526" s="11"/>
      <c r="D1526" s="11" t="str">
        <f>IFERROR(__xludf.DUMMYFUNCTION("""COMPUTED_VALUE"""),"ENFERMEIRO 30H - PLANTONISTA")</f>
        <v>ENFERMEIRO 30H - PLANTONISTA</v>
      </c>
      <c r="E1526" s="11"/>
      <c r="F1526" s="11" t="str">
        <f>IFERROR(__xludf.DUMMYFUNCTION("""COMPUTED_VALUE"""),"US_153 POLICLINICA E MATERNIDADE ARNALDO MARQUES")</f>
        <v>US_153 POLICLINICA E MATERNIDADE ARNALDO MARQUES</v>
      </c>
      <c r="G1526" s="11" t="str">
        <f>IFERROR(__xludf.DUMMYFUNCTION("""COMPUTED_VALUE"""),"US_153 POLICLINICA E MATERNIDADE ARNALDO MARQUES")</f>
        <v>US_153 POLICLINICA E MATERNIDADE ARNALDO MARQUES</v>
      </c>
      <c r="H1526" s="11"/>
      <c r="I1526" s="11"/>
      <c r="J1526" s="11"/>
      <c r="K1526" s="11"/>
      <c r="L1526" s="11"/>
      <c r="M1526" s="11"/>
      <c r="N1526" s="11"/>
      <c r="O1526" s="11">
        <f>IFERROR(__xludf.DUMMYFUNCTION("""COMPUTED_VALUE"""),7672038443)</f>
        <v>7672038443</v>
      </c>
      <c r="P1526" s="11"/>
      <c r="Q1526" s="11"/>
      <c r="R1526" s="11"/>
      <c r="S1526" s="11"/>
      <c r="T1526" s="11"/>
      <c r="U1526" s="11"/>
      <c r="V1526" s="11"/>
      <c r="W1526" s="11"/>
      <c r="X1526" s="11"/>
      <c r="Y1526" s="11"/>
      <c r="Z1526" s="11"/>
    </row>
    <row r="1527" customHeight="1" spans="1:26">
      <c r="A1527" s="11" t="str">
        <f>IFERROR(__xludf.DUMMYFUNCTION("""COMPUTED_VALUE"""),"YASMIM TALITA DE MORAES RAMOS")</f>
        <v>YASMIM TALITA DE MORAES RAMOS</v>
      </c>
      <c r="B1527" s="11"/>
      <c r="C1527" s="11"/>
      <c r="D1527" s="11" t="str">
        <f>IFERROR(__xludf.DUMMYFUNCTION("""COMPUTED_VALUE"""),"ENFERMEIRO 30H - DIARISTA")</f>
        <v>ENFERMEIRO 30H - DIARISTA</v>
      </c>
      <c r="E1527" s="11"/>
      <c r="F1527" s="11" t="str">
        <f>IFERROR(__xludf.DUMMYFUNCTION("""COMPUTED_VALUE"""),"US_153 POLICLINICA E MATERNIDADE ARNALDO MARQUES")</f>
        <v>US_153 POLICLINICA E MATERNIDADE ARNALDO MARQUES</v>
      </c>
      <c r="G1527" s="11" t="str">
        <f>IFERROR(__xludf.DUMMYFUNCTION("""COMPUTED_VALUE"""),"US_153 POLICLINICA E MATERNIDADE ARNALDO MARQUES")</f>
        <v>US_153 POLICLINICA E MATERNIDADE ARNALDO MARQUES</v>
      </c>
      <c r="H1527" s="11"/>
      <c r="I1527" s="11"/>
      <c r="J1527" s="11"/>
      <c r="K1527" s="11"/>
      <c r="L1527" s="11"/>
      <c r="M1527" s="11"/>
      <c r="N1527" s="11"/>
      <c r="O1527" s="11">
        <f>IFERROR(__xludf.DUMMYFUNCTION("""COMPUTED_VALUE"""),9658790461)</f>
        <v>9658790461</v>
      </c>
      <c r="P1527" s="11"/>
      <c r="Q1527" s="11"/>
      <c r="R1527" s="11"/>
      <c r="S1527" s="11"/>
      <c r="T1527" s="11"/>
      <c r="U1527" s="11"/>
      <c r="V1527" s="11"/>
      <c r="W1527" s="11"/>
      <c r="X1527" s="11"/>
      <c r="Y1527" s="11"/>
      <c r="Z1527" s="11"/>
    </row>
    <row r="1528" customHeight="1" spans="1:26">
      <c r="A1528" s="11" t="str">
        <f>IFERROR(__xludf.DUMMYFUNCTION("""COMPUTED_VALUE"""),"YASMIM TALITA DE MORAES RAMOS")</f>
        <v>YASMIM TALITA DE MORAES RAMOS</v>
      </c>
      <c r="B1528" s="11"/>
      <c r="C1528" s="11"/>
      <c r="D1528" s="11" t="str">
        <f>IFERROR(__xludf.DUMMYFUNCTION("""COMPUTED_VALUE"""),"ENFERMEIRO 30H - PLANTONISTA")</f>
        <v>ENFERMEIRO 30H - PLANTONISTA</v>
      </c>
      <c r="E1528" s="11"/>
      <c r="F1528" s="11" t="str">
        <f>IFERROR(__xludf.DUMMYFUNCTION("""COMPUTED_VALUE"""),"US_153 POLICLINICA E MATERNIDADE ARNALDO MARQUES")</f>
        <v>US_153 POLICLINICA E MATERNIDADE ARNALDO MARQUES</v>
      </c>
      <c r="G1528" s="11" t="str">
        <f>IFERROR(__xludf.DUMMYFUNCTION("""COMPUTED_VALUE"""),"US_153 POLICLINICA E MATERNIDADE ARNALDO MARQUES")</f>
        <v>US_153 POLICLINICA E MATERNIDADE ARNALDO MARQUES</v>
      </c>
      <c r="H1528" s="11"/>
      <c r="I1528" s="11"/>
      <c r="J1528" s="11"/>
      <c r="K1528" s="11"/>
      <c r="L1528" s="11"/>
      <c r="M1528" s="11"/>
      <c r="N1528" s="11"/>
      <c r="O1528" s="11">
        <f>IFERROR(__xludf.DUMMYFUNCTION("""COMPUTED_VALUE"""),9658790461)</f>
        <v>9658790461</v>
      </c>
      <c r="P1528" s="11"/>
      <c r="Q1528" s="11"/>
      <c r="R1528" s="11"/>
      <c r="S1528" s="11"/>
      <c r="T1528" s="11"/>
      <c r="U1528" s="11"/>
      <c r="V1528" s="11"/>
      <c r="W1528" s="11"/>
      <c r="X1528" s="11"/>
      <c r="Y1528" s="11"/>
      <c r="Z1528" s="11"/>
    </row>
    <row r="1529" customHeight="1" spans="1:26">
      <c r="A1529" s="11" t="str">
        <f>IFERROR(__xludf.DUMMYFUNCTION("""COMPUTED_VALUE"""),"DAIANNY DE PAULA SANTOS")</f>
        <v>DAIANNY DE PAULA SANTOS</v>
      </c>
      <c r="B1529" s="11"/>
      <c r="C1529" s="11"/>
      <c r="D1529" s="11" t="str">
        <f>IFERROR(__xludf.DUMMYFUNCTION("""COMPUTED_VALUE"""),"ENFERMEIRO 30H - PLANTONISTA")</f>
        <v>ENFERMEIRO 30H - PLANTONISTA</v>
      </c>
      <c r="E1529" s="11"/>
      <c r="F1529" s="11" t="str">
        <f>IFERROR(__xludf.DUMMYFUNCTION("""COMPUTED_VALUE"""),"US_153 POLICLINICA E MATERNIDADE ARNALDO MARQUES")</f>
        <v>US_153 POLICLINICA E MATERNIDADE ARNALDO MARQUES</v>
      </c>
      <c r="G1529" s="11" t="str">
        <f>IFERROR(__xludf.DUMMYFUNCTION("""COMPUTED_VALUE"""),"US_153 POLICLINICA E MATERNIDADE ARNALDO MARQUES")</f>
        <v>US_153 POLICLINICA E MATERNIDADE ARNALDO MARQUES</v>
      </c>
      <c r="H1529" s="11"/>
      <c r="I1529" s="11"/>
      <c r="J1529" s="11"/>
      <c r="K1529" s="11"/>
      <c r="L1529" s="11"/>
      <c r="M1529" s="11"/>
      <c r="N1529" s="11"/>
      <c r="O1529" s="11">
        <f>IFERROR(__xludf.DUMMYFUNCTION("""COMPUTED_VALUE"""),6554817450)</f>
        <v>6554817450</v>
      </c>
      <c r="P1529" s="11"/>
      <c r="Q1529" s="11"/>
      <c r="R1529" s="11"/>
      <c r="S1529" s="11"/>
      <c r="T1529" s="11"/>
      <c r="U1529" s="11"/>
      <c r="V1529" s="11"/>
      <c r="W1529" s="11"/>
      <c r="X1529" s="11"/>
      <c r="Y1529" s="11"/>
      <c r="Z1529" s="11"/>
    </row>
    <row r="1530" customHeight="1" spans="1:26">
      <c r="A1530" s="11" t="str">
        <f>IFERROR(__xludf.DUMMYFUNCTION("""COMPUTED_VALUE"""),"WYLNA HEDDY DE M REGO LIMA")</f>
        <v>WYLNA HEDDY DE M REGO LIMA</v>
      </c>
      <c r="B1530" s="11"/>
      <c r="C1530" s="11"/>
      <c r="D1530" s="11" t="str">
        <f>IFERROR(__xludf.DUMMYFUNCTION("""COMPUTED_VALUE"""),"ENFERMEIRO 30H - PLANTONISTA")</f>
        <v>ENFERMEIRO 30H - PLANTONISTA</v>
      </c>
      <c r="E1530" s="11"/>
      <c r="F1530" s="11" t="str">
        <f>IFERROR(__xludf.DUMMYFUNCTION("""COMPUTED_VALUE"""),"US_167 POLICLINICA E MATERNIDADE PROFESSOR BARROS LIMA")</f>
        <v>US_167 POLICLINICA E MATERNIDADE PROFESSOR BARROS LIMA</v>
      </c>
      <c r="G1530" s="11" t="str">
        <f>IFERROR(__xludf.DUMMYFUNCTION("""COMPUTED_VALUE"""),"US_167 POLICLINICA E MATERNIDADE PROFESSOR BARROS LIMA")</f>
        <v>US_167 POLICLINICA E MATERNIDADE PROFESSOR BARROS LIMA</v>
      </c>
      <c r="H1530" s="11"/>
      <c r="I1530" s="11"/>
      <c r="J1530" s="11"/>
      <c r="K1530" s="11"/>
      <c r="L1530" s="11"/>
      <c r="M1530" s="11"/>
      <c r="N1530" s="11"/>
      <c r="O1530" s="11">
        <f>IFERROR(__xludf.DUMMYFUNCTION("""COMPUTED_VALUE"""),70621926434)</f>
        <v>70621926434</v>
      </c>
      <c r="P1530" s="11"/>
      <c r="Q1530" s="11"/>
      <c r="R1530" s="11"/>
      <c r="S1530" s="11"/>
      <c r="T1530" s="11"/>
      <c r="U1530" s="11"/>
      <c r="V1530" s="11"/>
      <c r="W1530" s="11"/>
      <c r="X1530" s="11"/>
      <c r="Y1530" s="11"/>
      <c r="Z1530" s="11"/>
    </row>
    <row r="1531" customHeight="1" spans="1:26">
      <c r="A1531" s="11" t="str">
        <f>IFERROR(__xludf.DUMMYFUNCTION("""COMPUTED_VALUE"""),"MATEUS CARNEIRO VICENTE")</f>
        <v>MATEUS CARNEIRO VICENTE</v>
      </c>
      <c r="B1531" s="11"/>
      <c r="C1531" s="11"/>
      <c r="D1531" s="11" t="str">
        <f>IFERROR(__xludf.DUMMYFUNCTION("""COMPUTED_VALUE"""),"ENFERMEIRO 30H - DIARISTA")</f>
        <v>ENFERMEIRO 30H - DIARISTA</v>
      </c>
      <c r="E1531" s="11"/>
      <c r="F1531" s="11" t="str">
        <f>IFERROR(__xludf.DUMMYFUNCTION("""COMPUTED_VALUE"""),"US_167 POLICLINICA E MATERNIDADE PROFESSOR BARROS LIMA")</f>
        <v>US_167 POLICLINICA E MATERNIDADE PROFESSOR BARROS LIMA</v>
      </c>
      <c r="G1531" s="11" t="str">
        <f>IFERROR(__xludf.DUMMYFUNCTION("""COMPUTED_VALUE"""),"US_167 POLICLINICA E MATERNIDADE PROFESSOR BARROS LIMA")</f>
        <v>US_167 POLICLINICA E MATERNIDADE PROFESSOR BARROS LIMA</v>
      </c>
      <c r="H1531" s="11"/>
      <c r="I1531" s="11"/>
      <c r="J1531" s="11"/>
      <c r="K1531" s="11"/>
      <c r="L1531" s="11"/>
      <c r="M1531" s="11"/>
      <c r="N1531" s="11"/>
      <c r="O1531" s="11">
        <f>IFERROR(__xludf.DUMMYFUNCTION("""COMPUTED_VALUE"""),10601085426)</f>
        <v>10601085426</v>
      </c>
      <c r="P1531" s="11"/>
      <c r="Q1531" s="11"/>
      <c r="R1531" s="11"/>
      <c r="S1531" s="11"/>
      <c r="T1531" s="11"/>
      <c r="U1531" s="11"/>
      <c r="V1531" s="11"/>
      <c r="W1531" s="11"/>
      <c r="X1531" s="11"/>
      <c r="Y1531" s="11"/>
      <c r="Z1531" s="11"/>
    </row>
    <row r="1532" customHeight="1" spans="1:26">
      <c r="A1532" s="11" t="str">
        <f>IFERROR(__xludf.DUMMYFUNCTION("""COMPUTED_VALUE"""),"THAISA REMIGIO FIGUEIREDO")</f>
        <v>THAISA REMIGIO FIGUEIREDO</v>
      </c>
      <c r="B1532" s="11"/>
      <c r="C1532" s="11"/>
      <c r="D1532" s="11" t="str">
        <f>IFERROR(__xludf.DUMMYFUNCTION("""COMPUTED_VALUE"""),"ENFERMEIRO 30H - DIARISTA")</f>
        <v>ENFERMEIRO 30H - DIARISTA</v>
      </c>
      <c r="E1532" s="11"/>
      <c r="F1532" s="11" t="str">
        <f>IFERROR(__xludf.DUMMYFUNCTION("""COMPUTED_VALUE"""),"US_167 POLICLINICA E MATERNIDADE PROFESSOR BARROS LIMA")</f>
        <v>US_167 POLICLINICA E MATERNIDADE PROFESSOR BARROS LIMA</v>
      </c>
      <c r="G1532" s="11" t="str">
        <f>IFERROR(__xludf.DUMMYFUNCTION("""COMPUTED_VALUE"""),"US_167 POLICLINICA E MATERNIDADE PROFESSOR BARROS LIMA")</f>
        <v>US_167 POLICLINICA E MATERNIDADE PROFESSOR BARROS LIMA</v>
      </c>
      <c r="H1532" s="11"/>
      <c r="I1532" s="11"/>
      <c r="J1532" s="11"/>
      <c r="K1532" s="11"/>
      <c r="L1532" s="11"/>
      <c r="M1532" s="11"/>
      <c r="N1532" s="11"/>
      <c r="O1532" s="11">
        <f>IFERROR(__xludf.DUMMYFUNCTION("""COMPUTED_VALUE"""),8228192444)</f>
        <v>8228192444</v>
      </c>
      <c r="P1532" s="11"/>
      <c r="Q1532" s="11"/>
      <c r="R1532" s="11"/>
      <c r="S1532" s="11"/>
      <c r="T1532" s="11"/>
      <c r="U1532" s="11"/>
      <c r="V1532" s="11"/>
      <c r="W1532" s="11"/>
      <c r="X1532" s="11"/>
      <c r="Y1532" s="11"/>
      <c r="Z1532" s="11"/>
    </row>
    <row r="1533" customHeight="1" spans="1:26">
      <c r="A1533" s="11" t="str">
        <f>IFERROR(__xludf.DUMMYFUNCTION("""COMPUTED_VALUE"""),"ISABELLE DE M BEZERRA MENDONCA")</f>
        <v>ISABELLE DE M BEZERRA MENDONCA</v>
      </c>
      <c r="B1533" s="11"/>
      <c r="C1533" s="11"/>
      <c r="D1533" s="11" t="str">
        <f>IFERROR(__xludf.DUMMYFUNCTION("""COMPUTED_VALUE"""),"ENFERMEIRO 30H - PLANTONISTA")</f>
        <v>ENFERMEIRO 30H - PLANTONISTA</v>
      </c>
      <c r="E1533" s="11"/>
      <c r="F1533" s="11" t="str">
        <f>IFERROR(__xludf.DUMMYFUNCTION("""COMPUTED_VALUE"""),"US_167 POLICLINICA E MATERNIDADE PROFESSOR BARROS LIMA")</f>
        <v>US_167 POLICLINICA E MATERNIDADE PROFESSOR BARROS LIMA</v>
      </c>
      <c r="G1533" s="11" t="str">
        <f>IFERROR(__xludf.DUMMYFUNCTION("""COMPUTED_VALUE"""),"US_167 POLICLINICA E MATERNIDADE PROFESSOR BARROS LIMA")</f>
        <v>US_167 POLICLINICA E MATERNIDADE PROFESSOR BARROS LIMA</v>
      </c>
      <c r="H1533" s="11"/>
      <c r="I1533" s="11"/>
      <c r="J1533" s="11"/>
      <c r="K1533" s="11"/>
      <c r="L1533" s="11"/>
      <c r="M1533" s="11"/>
      <c r="N1533" s="11"/>
      <c r="O1533" s="11">
        <f>IFERROR(__xludf.DUMMYFUNCTION("""COMPUTED_VALUE"""),7181776495)</f>
        <v>7181776495</v>
      </c>
      <c r="P1533" s="11"/>
      <c r="Q1533" s="11"/>
      <c r="R1533" s="11"/>
      <c r="S1533" s="11"/>
      <c r="T1533" s="11"/>
      <c r="U1533" s="11"/>
      <c r="V1533" s="11"/>
      <c r="W1533" s="11"/>
      <c r="X1533" s="11"/>
      <c r="Y1533" s="11"/>
      <c r="Z1533" s="11"/>
    </row>
    <row r="1534" customHeight="1" spans="1:26">
      <c r="A1534" s="11" t="str">
        <f>IFERROR(__xludf.DUMMYFUNCTION("""COMPUTED_VALUE"""),"CLEANTO FURTADO BEZERRA")</f>
        <v>CLEANTO FURTADO BEZERRA</v>
      </c>
      <c r="B1534" s="11"/>
      <c r="C1534" s="11"/>
      <c r="D1534" s="11" t="str">
        <f>IFERROR(__xludf.DUMMYFUNCTION("""COMPUTED_VALUE"""),"ENFERMEIRO 30H - PLANTONISTA")</f>
        <v>ENFERMEIRO 30H - PLANTONISTA</v>
      </c>
      <c r="E1534" s="11"/>
      <c r="F1534" s="11" t="str">
        <f>IFERROR(__xludf.DUMMYFUNCTION("""COMPUTED_VALUE"""),"US_153 POLICLINICA E MATERNIDADE ARNALDO MARQUES")</f>
        <v>US_153 POLICLINICA E MATERNIDADE ARNALDO MARQUES</v>
      </c>
      <c r="G1534" s="11" t="str">
        <f>IFERROR(__xludf.DUMMYFUNCTION("""COMPUTED_VALUE"""),"US_153 POLICLINICA E MATERNIDADE ARNALDO MARQUES")</f>
        <v>US_153 POLICLINICA E MATERNIDADE ARNALDO MARQUES</v>
      </c>
      <c r="H1534" s="11"/>
      <c r="I1534" s="11"/>
      <c r="J1534" s="11"/>
      <c r="K1534" s="11"/>
      <c r="L1534" s="11"/>
      <c r="M1534" s="11"/>
      <c r="N1534" s="11"/>
      <c r="O1534" s="11">
        <f>IFERROR(__xludf.DUMMYFUNCTION("""COMPUTED_VALUE"""),5000844327)</f>
        <v>5000844327</v>
      </c>
      <c r="P1534" s="11"/>
      <c r="Q1534" s="11"/>
      <c r="R1534" s="11"/>
      <c r="S1534" s="11"/>
      <c r="T1534" s="11"/>
      <c r="U1534" s="11"/>
      <c r="V1534" s="11"/>
      <c r="W1534" s="11"/>
      <c r="X1534" s="11"/>
      <c r="Y1534" s="11"/>
      <c r="Z1534" s="11"/>
    </row>
    <row r="1535" customHeight="1" spans="1:26">
      <c r="A1535" s="11" t="str">
        <f>IFERROR(__xludf.DUMMYFUNCTION("""COMPUTED_VALUE"""),"GEOSIA DARC PEREIRA BARRETO")</f>
        <v>GEOSIA DARC PEREIRA BARRETO</v>
      </c>
      <c r="B1535" s="11"/>
      <c r="C1535" s="11"/>
      <c r="D1535" s="11" t="str">
        <f>IFERROR(__xludf.DUMMYFUNCTION("""COMPUTED_VALUE"""),"ENFERMEIRO 30H - PLANTONISTA")</f>
        <v>ENFERMEIRO 30H - PLANTONISTA</v>
      </c>
      <c r="E1535" s="11"/>
      <c r="F1535" s="11" t="str">
        <f>IFERROR(__xludf.DUMMYFUNCTION("""COMPUTED_VALUE"""),"US_153 POLICLINICA E MATERNIDADE ARNALDO MARQUES")</f>
        <v>US_153 POLICLINICA E MATERNIDADE ARNALDO MARQUES</v>
      </c>
      <c r="G1535" s="11" t="str">
        <f>IFERROR(__xludf.DUMMYFUNCTION("""COMPUTED_VALUE"""),"US_153 POLICLINICA E MATERNIDADE ARNALDO MARQUES")</f>
        <v>US_153 POLICLINICA E MATERNIDADE ARNALDO MARQUES</v>
      </c>
      <c r="H1535" s="11"/>
      <c r="I1535" s="11"/>
      <c r="J1535" s="11"/>
      <c r="K1535" s="11"/>
      <c r="L1535" s="11"/>
      <c r="M1535" s="11"/>
      <c r="N1535" s="11"/>
      <c r="O1535" s="11">
        <f>IFERROR(__xludf.DUMMYFUNCTION("""COMPUTED_VALUE"""),1368807461)</f>
        <v>1368807461</v>
      </c>
      <c r="P1535" s="11"/>
      <c r="Q1535" s="11"/>
      <c r="R1535" s="11"/>
      <c r="S1535" s="11"/>
      <c r="T1535" s="11"/>
      <c r="U1535" s="11"/>
      <c r="V1535" s="11"/>
      <c r="W1535" s="11"/>
      <c r="X1535" s="11"/>
      <c r="Y1535" s="11"/>
      <c r="Z1535" s="11"/>
    </row>
    <row r="1536" customHeight="1" spans="1:26">
      <c r="A1536" s="11" t="str">
        <f>IFERROR(__xludf.DUMMYFUNCTION("""COMPUTED_VALUE"""),"KYARA AMARAL VILELA DUARTE")</f>
        <v>KYARA AMARAL VILELA DUARTE</v>
      </c>
      <c r="B1536" s="11"/>
      <c r="C1536" s="11"/>
      <c r="D1536" s="11" t="str">
        <f>IFERROR(__xludf.DUMMYFUNCTION("""COMPUTED_VALUE"""),"ENFERMEIRO 30H - PLANTONISTA")</f>
        <v>ENFERMEIRO 30H - PLANTONISTA</v>
      </c>
      <c r="E1536" s="11"/>
      <c r="F1536" s="11" t="str">
        <f>IFERROR(__xludf.DUMMYFUNCTION("""COMPUTED_VALUE"""),"US_153 POLICLINICA E MATERNIDADE ARNALDO MARQUES")</f>
        <v>US_153 POLICLINICA E MATERNIDADE ARNALDO MARQUES</v>
      </c>
      <c r="G1536" s="11" t="str">
        <f>IFERROR(__xludf.DUMMYFUNCTION("""COMPUTED_VALUE"""),"US_153 POLICLINICA E MATERNIDADE ARNALDO MARQUES")</f>
        <v>US_153 POLICLINICA E MATERNIDADE ARNALDO MARQUES</v>
      </c>
      <c r="H1536" s="11"/>
      <c r="I1536" s="11"/>
      <c r="J1536" s="11"/>
      <c r="K1536" s="11"/>
      <c r="L1536" s="11"/>
      <c r="M1536" s="11"/>
      <c r="N1536" s="11"/>
      <c r="O1536" s="11">
        <f>IFERROR(__xludf.DUMMYFUNCTION("""COMPUTED_VALUE"""),8925342499)</f>
        <v>8925342499</v>
      </c>
      <c r="P1536" s="11"/>
      <c r="Q1536" s="11"/>
      <c r="R1536" s="11"/>
      <c r="S1536" s="11"/>
      <c r="T1536" s="11"/>
      <c r="U1536" s="11"/>
      <c r="V1536" s="11"/>
      <c r="W1536" s="11"/>
      <c r="X1536" s="11"/>
      <c r="Y1536" s="11"/>
      <c r="Z1536" s="11"/>
    </row>
    <row r="1537" customHeight="1" spans="1:26">
      <c r="A1537" s="11" t="str">
        <f>IFERROR(__xludf.DUMMYFUNCTION("""COMPUTED_VALUE"""),"MARIA ERICA DA SILVA GALVAO")</f>
        <v>MARIA ERICA DA SILVA GALVAO</v>
      </c>
      <c r="B1537" s="11"/>
      <c r="C1537" s="11"/>
      <c r="D1537" s="11" t="str">
        <f>IFERROR(__xludf.DUMMYFUNCTION("""COMPUTED_VALUE"""),"ENFERMEIRO 30H - PLANTONISTA")</f>
        <v>ENFERMEIRO 30H - PLANTONISTA</v>
      </c>
      <c r="E1537" s="11"/>
      <c r="F1537" s="11" t="str">
        <f>IFERROR(__xludf.DUMMYFUNCTION("""COMPUTED_VALUE"""),"US_153 POLICLINICA E MATERNIDADE ARNALDO MARQUES")</f>
        <v>US_153 POLICLINICA E MATERNIDADE ARNALDO MARQUES</v>
      </c>
      <c r="G1537" s="11" t="str">
        <f>IFERROR(__xludf.DUMMYFUNCTION("""COMPUTED_VALUE"""),"US_153 POLICLINICA E MATERNIDADE ARNALDO MARQUES")</f>
        <v>US_153 POLICLINICA E MATERNIDADE ARNALDO MARQUES</v>
      </c>
      <c r="H1537" s="11"/>
      <c r="I1537" s="11"/>
      <c r="J1537" s="11"/>
      <c r="K1537" s="11"/>
      <c r="L1537" s="11"/>
      <c r="M1537" s="11"/>
      <c r="N1537" s="11"/>
      <c r="O1537" s="11">
        <f>IFERROR(__xludf.DUMMYFUNCTION("""COMPUTED_VALUE"""),2502101425)</f>
        <v>2502101425</v>
      </c>
      <c r="P1537" s="11"/>
      <c r="Q1537" s="11"/>
      <c r="R1537" s="11"/>
      <c r="S1537" s="11"/>
      <c r="T1537" s="11"/>
      <c r="U1537" s="11"/>
      <c r="V1537" s="11"/>
      <c r="W1537" s="11"/>
      <c r="X1537" s="11"/>
      <c r="Y1537" s="11"/>
      <c r="Z1537" s="11"/>
    </row>
    <row r="1538" customHeight="1" spans="1:26">
      <c r="A1538" s="11" t="str">
        <f>IFERROR(__xludf.DUMMYFUNCTION("""COMPUTED_VALUE"""),"ADRIANA ELOI DE LIMA OLIVEIRA")</f>
        <v>ADRIANA ELOI DE LIMA OLIVEIRA</v>
      </c>
      <c r="B1538" s="11"/>
      <c r="C1538" s="11"/>
      <c r="D1538" s="11" t="str">
        <f>IFERROR(__xludf.DUMMYFUNCTION("""COMPUTED_VALUE"""),"ENFERMEIRO 30H - PLANTONISTA")</f>
        <v>ENFERMEIRO 30H - PLANTONISTA</v>
      </c>
      <c r="E1538" s="11"/>
      <c r="F1538" s="11" t="str">
        <f>IFERROR(__xludf.DUMMYFUNCTION("""COMPUTED_VALUE"""),"US_153 POLICLINICA E MATERNIDADE ARNALDO MARQUES")</f>
        <v>US_153 POLICLINICA E MATERNIDADE ARNALDO MARQUES</v>
      </c>
      <c r="G1538" s="11" t="str">
        <f>IFERROR(__xludf.DUMMYFUNCTION("""COMPUTED_VALUE"""),"US_153 POLICLINICA E MATERNIDADE ARNALDO MARQUES")</f>
        <v>US_153 POLICLINICA E MATERNIDADE ARNALDO MARQUES</v>
      </c>
      <c r="H1538" s="11"/>
      <c r="I1538" s="11"/>
      <c r="J1538" s="11"/>
      <c r="K1538" s="11"/>
      <c r="L1538" s="11"/>
      <c r="M1538" s="11"/>
      <c r="N1538" s="11"/>
      <c r="O1538" s="11">
        <f>IFERROR(__xludf.DUMMYFUNCTION("""COMPUTED_VALUE"""),88025586472)</f>
        <v>88025586472</v>
      </c>
      <c r="P1538" s="11"/>
      <c r="Q1538" s="11"/>
      <c r="R1538" s="11"/>
      <c r="S1538" s="11"/>
      <c r="T1538" s="11"/>
      <c r="U1538" s="11"/>
      <c r="V1538" s="11"/>
      <c r="W1538" s="11"/>
      <c r="X1538" s="11"/>
      <c r="Y1538" s="11"/>
      <c r="Z1538" s="11"/>
    </row>
    <row r="1539" customHeight="1" spans="1:26">
      <c r="A1539" s="11" t="str">
        <f>IFERROR(__xludf.DUMMYFUNCTION("""COMPUTED_VALUE"""),"JEDISON FELICIANO SILVA")</f>
        <v>JEDISON FELICIANO SILVA</v>
      </c>
      <c r="B1539" s="11"/>
      <c r="C1539" s="11"/>
      <c r="D1539" s="11" t="str">
        <f>IFERROR(__xludf.DUMMYFUNCTION("""COMPUTED_VALUE"""),"ENFERMEIRO 30H - DIARISTA")</f>
        <v>ENFERMEIRO 30H - DIARISTA</v>
      </c>
      <c r="E1539" s="11"/>
      <c r="F1539" s="11" t="str">
        <f>IFERROR(__xludf.DUMMYFUNCTION("""COMPUTED_VALUE"""),"US_153 POLICLINICA E MATERNIDADE ARNALDO MARQUES")</f>
        <v>US_153 POLICLINICA E MATERNIDADE ARNALDO MARQUES</v>
      </c>
      <c r="G1539" s="11" t="str">
        <f>IFERROR(__xludf.DUMMYFUNCTION("""COMPUTED_VALUE"""),"US_153 POLICLINICA E MATERNIDADE ARNALDO MARQUES")</f>
        <v>US_153 POLICLINICA E MATERNIDADE ARNALDO MARQUES</v>
      </c>
      <c r="H1539" s="11"/>
      <c r="I1539" s="11"/>
      <c r="J1539" s="11"/>
      <c r="K1539" s="11"/>
      <c r="L1539" s="11"/>
      <c r="M1539" s="11"/>
      <c r="N1539" s="11"/>
      <c r="O1539" s="11">
        <f>IFERROR(__xludf.DUMMYFUNCTION("""COMPUTED_VALUE"""),4748272406)</f>
        <v>4748272406</v>
      </c>
      <c r="P1539" s="11"/>
      <c r="Q1539" s="11"/>
      <c r="R1539" s="11"/>
      <c r="S1539" s="11"/>
      <c r="T1539" s="11"/>
      <c r="U1539" s="11"/>
      <c r="V1539" s="11"/>
      <c r="W1539" s="11"/>
      <c r="X1539" s="11"/>
      <c r="Y1539" s="11"/>
      <c r="Z1539" s="11"/>
    </row>
    <row r="1540" customHeight="1" spans="1:26">
      <c r="A1540" s="11" t="str">
        <f>IFERROR(__xludf.DUMMYFUNCTION("""COMPUTED_VALUE"""),"LEANDRO BATISTA WANDERLEY")</f>
        <v>LEANDRO BATISTA WANDERLEY</v>
      </c>
      <c r="B1540" s="11"/>
      <c r="C1540" s="11"/>
      <c r="D1540" s="11" t="str">
        <f>IFERROR(__xludf.DUMMYFUNCTION("""COMPUTED_VALUE"""),"ENFERMEIRO 30H - PLANTONISTA")</f>
        <v>ENFERMEIRO 30H - PLANTONISTA</v>
      </c>
      <c r="E1540" s="11"/>
      <c r="F1540" s="11" t="str">
        <f>IFERROR(__xludf.DUMMYFUNCTION("""COMPUTED_VALUE"""),"US_153 POLICLINICA E MATERNIDADE ARNALDO MARQUES")</f>
        <v>US_153 POLICLINICA E MATERNIDADE ARNALDO MARQUES</v>
      </c>
      <c r="G1540" s="11" t="str">
        <f>IFERROR(__xludf.DUMMYFUNCTION("""COMPUTED_VALUE"""),"US_153 POLICLINICA E MATERNIDADE ARNALDO MARQUES")</f>
        <v>US_153 POLICLINICA E MATERNIDADE ARNALDO MARQUES</v>
      </c>
      <c r="H1540" s="11"/>
      <c r="I1540" s="11"/>
      <c r="J1540" s="11"/>
      <c r="K1540" s="11"/>
      <c r="L1540" s="11"/>
      <c r="M1540" s="11"/>
      <c r="N1540" s="11"/>
      <c r="O1540" s="11">
        <f>IFERROR(__xludf.DUMMYFUNCTION("""COMPUTED_VALUE"""),7658635456)</f>
        <v>7658635456</v>
      </c>
      <c r="P1540" s="11"/>
      <c r="Q1540" s="11"/>
      <c r="R1540" s="11"/>
      <c r="S1540" s="11"/>
      <c r="T1540" s="11"/>
      <c r="U1540" s="11"/>
      <c r="V1540" s="11"/>
      <c r="W1540" s="11"/>
      <c r="X1540" s="11"/>
      <c r="Y1540" s="11"/>
      <c r="Z1540" s="11"/>
    </row>
    <row r="1541" customHeight="1" spans="1:26">
      <c r="A1541" s="11" t="str">
        <f>IFERROR(__xludf.DUMMYFUNCTION("""COMPUTED_VALUE"""),"ALYNE FERNANDES B DE ANDRADE")</f>
        <v>ALYNE FERNANDES B DE ANDRADE</v>
      </c>
      <c r="B1541" s="11"/>
      <c r="C1541" s="11"/>
      <c r="D1541" s="11" t="str">
        <f>IFERROR(__xludf.DUMMYFUNCTION("""COMPUTED_VALUE"""),"ENFERMEIRO 30H - PLANTONISTA")</f>
        <v>ENFERMEIRO 30H - PLANTONISTA</v>
      </c>
      <c r="E1541" s="11"/>
      <c r="F1541" s="11" t="str">
        <f>IFERROR(__xludf.DUMMYFUNCTION("""COMPUTED_VALUE"""),"US_153 POLICLINICA E MATERNIDADE ARNALDO MARQUES")</f>
        <v>US_153 POLICLINICA E MATERNIDADE ARNALDO MARQUES</v>
      </c>
      <c r="G1541" s="11" t="str">
        <f>IFERROR(__xludf.DUMMYFUNCTION("""COMPUTED_VALUE"""),"US_153 POLICLINICA E MATERNIDADE ARNALDO MARQUES")</f>
        <v>US_153 POLICLINICA E MATERNIDADE ARNALDO MARQUES</v>
      </c>
      <c r="H1541" s="11"/>
      <c r="I1541" s="11"/>
      <c r="J1541" s="11"/>
      <c r="K1541" s="11"/>
      <c r="L1541" s="11"/>
      <c r="M1541" s="11"/>
      <c r="N1541" s="11"/>
      <c r="O1541" s="11">
        <f>IFERROR(__xludf.DUMMYFUNCTION("""COMPUTED_VALUE"""),1435594436)</f>
        <v>1435594436</v>
      </c>
      <c r="P1541" s="11"/>
      <c r="Q1541" s="11"/>
      <c r="R1541" s="11"/>
      <c r="S1541" s="11"/>
      <c r="T1541" s="11"/>
      <c r="U1541" s="11"/>
      <c r="V1541" s="11"/>
      <c r="W1541" s="11"/>
      <c r="X1541" s="11"/>
      <c r="Y1541" s="11"/>
      <c r="Z1541" s="11"/>
    </row>
    <row r="1542" customHeight="1" spans="1:26">
      <c r="A1542" s="11" t="str">
        <f>IFERROR(__xludf.DUMMYFUNCTION("""COMPUTED_VALUE"""),"CAROLINE MONTE CALDAS")</f>
        <v>CAROLINE MONTE CALDAS</v>
      </c>
      <c r="B1542" s="11"/>
      <c r="C1542" s="11"/>
      <c r="D1542" s="11" t="str">
        <f>IFERROR(__xludf.DUMMYFUNCTION("""COMPUTED_VALUE"""),"ENFERMEIRO 30H - PLANTONISTA")</f>
        <v>ENFERMEIRO 30H - PLANTONISTA</v>
      </c>
      <c r="E1542" s="11"/>
      <c r="F1542" s="11" t="str">
        <f>IFERROR(__xludf.DUMMYFUNCTION("""COMPUTED_VALUE"""),"US_153 POLICLINICA E MATERNIDADE ARNALDO MARQUES")</f>
        <v>US_153 POLICLINICA E MATERNIDADE ARNALDO MARQUES</v>
      </c>
      <c r="G1542" s="11" t="str">
        <f>IFERROR(__xludf.DUMMYFUNCTION("""COMPUTED_VALUE"""),"US_153 POLICLINICA E MATERNIDADE ARNALDO MARQUES")</f>
        <v>US_153 POLICLINICA E MATERNIDADE ARNALDO MARQUES</v>
      </c>
      <c r="H1542" s="11"/>
      <c r="I1542" s="11"/>
      <c r="J1542" s="11"/>
      <c r="K1542" s="11"/>
      <c r="L1542" s="11"/>
      <c r="M1542" s="11"/>
      <c r="N1542" s="11"/>
      <c r="O1542" s="11">
        <f>IFERROR(__xludf.DUMMYFUNCTION("""COMPUTED_VALUE"""),5847027443)</f>
        <v>5847027443</v>
      </c>
      <c r="P1542" s="11"/>
      <c r="Q1542" s="11"/>
      <c r="R1542" s="11"/>
      <c r="S1542" s="11"/>
      <c r="T1542" s="11"/>
      <c r="U1542" s="11"/>
      <c r="V1542" s="11"/>
      <c r="W1542" s="11"/>
      <c r="X1542" s="11"/>
      <c r="Y1542" s="11"/>
      <c r="Z1542" s="11"/>
    </row>
    <row r="1543" customHeight="1" spans="1:26">
      <c r="A1543" s="11" t="str">
        <f>IFERROR(__xludf.DUMMYFUNCTION("""COMPUTED_VALUE"""),"ERIKA DE MATOS NUNES")</f>
        <v>ERIKA DE MATOS NUNES</v>
      </c>
      <c r="B1543" s="11"/>
      <c r="C1543" s="11"/>
      <c r="D1543" s="11" t="str">
        <f>IFERROR(__xludf.DUMMYFUNCTION("""COMPUTED_VALUE"""),"ENFERMEIRO 30H - PLANTONISTA")</f>
        <v>ENFERMEIRO 30H - PLANTONISTA</v>
      </c>
      <c r="E1543" s="11"/>
      <c r="F1543" s="11" t="str">
        <f>IFERROR(__xludf.DUMMYFUNCTION("""COMPUTED_VALUE"""),"US_153 POLICLINICA E MATERNIDADE ARNALDO MARQUES")</f>
        <v>US_153 POLICLINICA E MATERNIDADE ARNALDO MARQUES</v>
      </c>
      <c r="G1543" s="11" t="str">
        <f>IFERROR(__xludf.DUMMYFUNCTION("""COMPUTED_VALUE"""),"US_153 POLICLINICA E MATERNIDADE ARNALDO MARQUES")</f>
        <v>US_153 POLICLINICA E MATERNIDADE ARNALDO MARQUES</v>
      </c>
      <c r="H1543" s="11"/>
      <c r="I1543" s="11"/>
      <c r="J1543" s="11"/>
      <c r="K1543" s="11"/>
      <c r="L1543" s="11"/>
      <c r="M1543" s="11"/>
      <c r="N1543" s="11"/>
      <c r="O1543" s="11">
        <f>IFERROR(__xludf.DUMMYFUNCTION("""COMPUTED_VALUE"""),3035486492)</f>
        <v>3035486492</v>
      </c>
      <c r="P1543" s="11"/>
      <c r="Q1543" s="11"/>
      <c r="R1543" s="11"/>
      <c r="S1543" s="11"/>
      <c r="T1543" s="11"/>
      <c r="U1543" s="11"/>
      <c r="V1543" s="11"/>
      <c r="W1543" s="11"/>
      <c r="X1543" s="11"/>
      <c r="Y1543" s="11"/>
      <c r="Z1543" s="11"/>
    </row>
    <row r="1544" customHeight="1" spans="1:26">
      <c r="A1544" s="11" t="str">
        <f>IFERROR(__xludf.DUMMYFUNCTION("""COMPUTED_VALUE"""),"TARCIANA BORBA G GUERRA")</f>
        <v>TARCIANA BORBA G GUERRA</v>
      </c>
      <c r="B1544" s="11"/>
      <c r="C1544" s="11"/>
      <c r="D1544" s="11" t="str">
        <f>IFERROR(__xludf.DUMMYFUNCTION("""COMPUTED_VALUE"""),"ENFERMEIRO 30H - PLANTONISTA")</f>
        <v>ENFERMEIRO 30H - PLANTONISTA</v>
      </c>
      <c r="E1544" s="11"/>
      <c r="F1544" s="11" t="str">
        <f>IFERROR(__xludf.DUMMYFUNCTION("""COMPUTED_VALUE"""),"US_153 POLICLINICA E MATERNIDADE ARNALDO MARQUES")</f>
        <v>US_153 POLICLINICA E MATERNIDADE ARNALDO MARQUES</v>
      </c>
      <c r="G1544" s="11" t="str">
        <f>IFERROR(__xludf.DUMMYFUNCTION("""COMPUTED_VALUE"""),"US_153 POLICLINICA E MATERNIDADE ARNALDO MARQUES")</f>
        <v>US_153 POLICLINICA E MATERNIDADE ARNALDO MARQUES</v>
      </c>
      <c r="H1544" s="11"/>
      <c r="I1544" s="11"/>
      <c r="J1544" s="11"/>
      <c r="K1544" s="11"/>
      <c r="L1544" s="11"/>
      <c r="M1544" s="11"/>
      <c r="N1544" s="11"/>
      <c r="O1544" s="11">
        <f>IFERROR(__xludf.DUMMYFUNCTION("""COMPUTED_VALUE"""),84621770497)</f>
        <v>84621770497</v>
      </c>
      <c r="P1544" s="11"/>
      <c r="Q1544" s="11"/>
      <c r="R1544" s="11"/>
      <c r="S1544" s="11"/>
      <c r="T1544" s="11"/>
      <c r="U1544" s="11"/>
      <c r="V1544" s="11"/>
      <c r="W1544" s="11"/>
      <c r="X1544" s="11"/>
      <c r="Y1544" s="11"/>
      <c r="Z1544" s="11"/>
    </row>
    <row r="1545" customHeight="1" spans="1:26">
      <c r="A1545" s="11" t="str">
        <f>IFERROR(__xludf.DUMMYFUNCTION("""COMPUTED_VALUE"""),"RAFAELA TRAVASSOS F M LEITE")</f>
        <v>RAFAELA TRAVASSOS F M LEITE</v>
      </c>
      <c r="B1545" s="11"/>
      <c r="C1545" s="11"/>
      <c r="D1545" s="11" t="str">
        <f>IFERROR(__xludf.DUMMYFUNCTION("""COMPUTED_VALUE"""),"ENFERMEIRO 30H - PLANTONISTA")</f>
        <v>ENFERMEIRO 30H - PLANTONISTA</v>
      </c>
      <c r="E1545" s="11"/>
      <c r="F1545" s="11" t="str">
        <f>IFERROR(__xludf.DUMMYFUNCTION("""COMPUTED_VALUE"""),"US_167 POLICLINICA E MATERNIDADE PROFESSOR BARROS LIMA")</f>
        <v>US_167 POLICLINICA E MATERNIDADE PROFESSOR BARROS LIMA</v>
      </c>
      <c r="G1545" s="11" t="str">
        <f>IFERROR(__xludf.DUMMYFUNCTION("""COMPUTED_VALUE"""),"US_167 POLICLINICA E MATERNIDADE PROFESSOR BARROS LIMA")</f>
        <v>US_167 POLICLINICA E MATERNIDADE PROFESSOR BARROS LIMA</v>
      </c>
      <c r="H1545" s="11"/>
      <c r="I1545" s="11"/>
      <c r="J1545" s="11"/>
      <c r="K1545" s="11"/>
      <c r="L1545" s="11"/>
      <c r="M1545" s="11"/>
      <c r="N1545" s="11"/>
      <c r="O1545" s="11">
        <f>IFERROR(__xludf.DUMMYFUNCTION("""COMPUTED_VALUE"""),9530643446)</f>
        <v>9530643446</v>
      </c>
      <c r="P1545" s="11"/>
      <c r="Q1545" s="11"/>
      <c r="R1545" s="11"/>
      <c r="S1545" s="11"/>
      <c r="T1545" s="11"/>
      <c r="U1545" s="11"/>
      <c r="V1545" s="11"/>
      <c r="W1545" s="11"/>
      <c r="X1545" s="11"/>
      <c r="Y1545" s="11"/>
      <c r="Z1545" s="11"/>
    </row>
    <row r="1546" customHeight="1" spans="1:26">
      <c r="A1546" s="11" t="str">
        <f>IFERROR(__xludf.DUMMYFUNCTION("""COMPUTED_VALUE"""),"ANALINE DE SOUZA B CORREIA")</f>
        <v>ANALINE DE SOUZA B CORREIA</v>
      </c>
      <c r="B1546" s="11"/>
      <c r="C1546" s="11"/>
      <c r="D1546" s="11" t="str">
        <f>IFERROR(__xludf.DUMMYFUNCTION("""COMPUTED_VALUE"""),"ENFERMEIRO 30H - PLANTONISTA")</f>
        <v>ENFERMEIRO 30H - PLANTONISTA</v>
      </c>
      <c r="E1546" s="11"/>
      <c r="F1546" s="11" t="str">
        <f>IFERROR(__xludf.DUMMYFUNCTION("""COMPUTED_VALUE"""),"US_167 POLICLINICA E MATERNIDADE PROFESSOR BARROS LIMA")</f>
        <v>US_167 POLICLINICA E MATERNIDADE PROFESSOR BARROS LIMA</v>
      </c>
      <c r="G1546" s="11" t="str">
        <f>IFERROR(__xludf.DUMMYFUNCTION("""COMPUTED_VALUE"""),"US_167 POLICLINICA E MATERNIDADE PROFESSOR BARROS LIMA")</f>
        <v>US_167 POLICLINICA E MATERNIDADE PROFESSOR BARROS LIMA</v>
      </c>
      <c r="H1546" s="11"/>
      <c r="I1546" s="11"/>
      <c r="J1546" s="11"/>
      <c r="K1546" s="11"/>
      <c r="L1546" s="11"/>
      <c r="M1546" s="11"/>
      <c r="N1546" s="11"/>
      <c r="O1546" s="11">
        <f>IFERROR(__xludf.DUMMYFUNCTION("""COMPUTED_VALUE"""),7557945409)</f>
        <v>7557945409</v>
      </c>
      <c r="P1546" s="11"/>
      <c r="Q1546" s="11"/>
      <c r="R1546" s="11"/>
      <c r="S1546" s="11"/>
      <c r="T1546" s="11"/>
      <c r="U1546" s="11"/>
      <c r="V1546" s="11"/>
      <c r="W1546" s="11"/>
      <c r="X1546" s="11"/>
      <c r="Y1546" s="11"/>
      <c r="Z1546" s="11"/>
    </row>
    <row r="1547" customHeight="1" spans="1:26">
      <c r="A1547" s="11" t="str">
        <f>IFERROR(__xludf.DUMMYFUNCTION("""COMPUTED_VALUE"""),"POLIANA COSTA DE ALBUQUERQUE")</f>
        <v>POLIANA COSTA DE ALBUQUERQUE</v>
      </c>
      <c r="B1547" s="11"/>
      <c r="C1547" s="11"/>
      <c r="D1547" s="11" t="str">
        <f>IFERROR(__xludf.DUMMYFUNCTION("""COMPUTED_VALUE"""),"ENFERMEIRO 30H - PLANTONISTA")</f>
        <v>ENFERMEIRO 30H - PLANTONISTA</v>
      </c>
      <c r="E1547" s="11"/>
      <c r="F1547" s="11" t="str">
        <f>IFERROR(__xludf.DUMMYFUNCTION("""COMPUTED_VALUE"""),"US_167 POLICLINICA E MATERNIDADE PROFESSOR BARROS LIMA")</f>
        <v>US_167 POLICLINICA E MATERNIDADE PROFESSOR BARROS LIMA</v>
      </c>
      <c r="G1547" s="11" t="str">
        <f>IFERROR(__xludf.DUMMYFUNCTION("""COMPUTED_VALUE"""),"US_167 POLICLINICA E MATERNIDADE PROFESSOR BARROS LIMA")</f>
        <v>US_167 POLICLINICA E MATERNIDADE PROFESSOR BARROS LIMA</v>
      </c>
      <c r="H1547" s="11"/>
      <c r="I1547" s="11"/>
      <c r="J1547" s="11"/>
      <c r="K1547" s="11"/>
      <c r="L1547" s="11"/>
      <c r="M1547" s="11"/>
      <c r="N1547" s="11"/>
      <c r="O1547" s="11">
        <f>IFERROR(__xludf.DUMMYFUNCTION("""COMPUTED_VALUE"""),5474832443)</f>
        <v>5474832443</v>
      </c>
      <c r="P1547" s="11"/>
      <c r="Q1547" s="11"/>
      <c r="R1547" s="11"/>
      <c r="S1547" s="11"/>
      <c r="T1547" s="11"/>
      <c r="U1547" s="11"/>
      <c r="V1547" s="11"/>
      <c r="W1547" s="11"/>
      <c r="X1547" s="11"/>
      <c r="Y1547" s="11"/>
      <c r="Z1547" s="11"/>
    </row>
    <row r="1548" customHeight="1" spans="1:26">
      <c r="A1548" s="11" t="str">
        <f>IFERROR(__xludf.DUMMYFUNCTION("""COMPUTED_VALUE"""),"THAISA WANESSA DA SILVA")</f>
        <v>THAISA WANESSA DA SILVA</v>
      </c>
      <c r="B1548" s="11"/>
      <c r="C1548" s="11"/>
      <c r="D1548" s="11" t="str">
        <f>IFERROR(__xludf.DUMMYFUNCTION("""COMPUTED_VALUE"""),"ENFERMEIRO 30H - PLANTONISTA")</f>
        <v>ENFERMEIRO 30H - PLANTONISTA</v>
      </c>
      <c r="E1548" s="11"/>
      <c r="F1548" s="11" t="str">
        <f>IFERROR(__xludf.DUMMYFUNCTION("""COMPUTED_VALUE"""),"US_167 POLICLINICA E MATERNIDADE PROFESSOR BARROS LIMA")</f>
        <v>US_167 POLICLINICA E MATERNIDADE PROFESSOR BARROS LIMA</v>
      </c>
      <c r="G1548" s="11" t="str">
        <f>IFERROR(__xludf.DUMMYFUNCTION("""COMPUTED_VALUE"""),"US_167 POLICLINICA E MATERNIDADE PROFESSOR BARROS LIMA")</f>
        <v>US_167 POLICLINICA E MATERNIDADE PROFESSOR BARROS LIMA</v>
      </c>
      <c r="H1548" s="11"/>
      <c r="I1548" s="11"/>
      <c r="J1548" s="11"/>
      <c r="K1548" s="11"/>
      <c r="L1548" s="11"/>
      <c r="M1548" s="11"/>
      <c r="N1548" s="11"/>
      <c r="O1548" s="11">
        <f>IFERROR(__xludf.DUMMYFUNCTION("""COMPUTED_VALUE"""),7830817405)</f>
        <v>7830817405</v>
      </c>
      <c r="P1548" s="11"/>
      <c r="Q1548" s="11"/>
      <c r="R1548" s="11"/>
      <c r="S1548" s="11"/>
      <c r="T1548" s="11"/>
      <c r="U1548" s="11"/>
      <c r="V1548" s="11"/>
      <c r="W1548" s="11"/>
      <c r="X1548" s="11"/>
      <c r="Y1548" s="11"/>
      <c r="Z1548" s="11"/>
    </row>
    <row r="1549" customHeight="1" spans="1:26">
      <c r="A1549" s="11" t="str">
        <f>IFERROR(__xludf.DUMMYFUNCTION("""COMPUTED_VALUE"""),"VIRGINIA MENEZES COUTINHO")</f>
        <v>VIRGINIA MENEZES COUTINHO</v>
      </c>
      <c r="B1549" s="11"/>
      <c r="C1549" s="11"/>
      <c r="D1549" s="11" t="str">
        <f>IFERROR(__xludf.DUMMYFUNCTION("""COMPUTED_VALUE"""),"ENFERMEIRO 30H - PLANTONISTA")</f>
        <v>ENFERMEIRO 30H - PLANTONISTA</v>
      </c>
      <c r="E1549" s="11"/>
      <c r="F1549" s="11" t="str">
        <f>IFERROR(__xludf.DUMMYFUNCTION("""COMPUTED_VALUE"""),"US_165 MATERNIDADE BANDEIRA FILHO")</f>
        <v>US_165 MATERNIDADE BANDEIRA FILHO</v>
      </c>
      <c r="G1549" s="11" t="str">
        <f>IFERROR(__xludf.DUMMYFUNCTION("""COMPUTED_VALUE"""),"US_165 MATERNIDADE BANDEIRA FILHO")</f>
        <v>US_165 MATERNIDADE BANDEIRA FILHO</v>
      </c>
      <c r="H1549" s="11"/>
      <c r="I1549" s="11"/>
      <c r="J1549" s="11"/>
      <c r="K1549" s="11"/>
      <c r="L1549" s="11"/>
      <c r="M1549" s="11"/>
      <c r="N1549" s="11"/>
      <c r="O1549" s="11">
        <f>IFERROR(__xludf.DUMMYFUNCTION("""COMPUTED_VALUE"""),1173117407)</f>
        <v>1173117407</v>
      </c>
      <c r="P1549" s="11"/>
      <c r="Q1549" s="11"/>
      <c r="R1549" s="11"/>
      <c r="S1549" s="11"/>
      <c r="T1549" s="11"/>
      <c r="U1549" s="11"/>
      <c r="V1549" s="11"/>
      <c r="W1549" s="11"/>
      <c r="X1549" s="11"/>
      <c r="Y1549" s="11"/>
      <c r="Z1549" s="11"/>
    </row>
    <row r="1550" customHeight="1" spans="1:26">
      <c r="A1550" s="11" t="str">
        <f>IFERROR(__xludf.DUMMYFUNCTION("""COMPUTED_VALUE"""),"MARINA ALVES DA SILVA")</f>
        <v>MARINA ALVES DA SILVA</v>
      </c>
      <c r="B1550" s="11"/>
      <c r="C1550" s="11"/>
      <c r="D1550" s="11" t="str">
        <f>IFERROR(__xludf.DUMMYFUNCTION("""COMPUTED_VALUE"""),"ENFERMEIRO 40H - OBSTETRA/SAUDE DA MULHER - DIARISTA")</f>
        <v>ENFERMEIRO 40H - OBSTETRA/SAUDE DA MULHER - DIARISTA</v>
      </c>
      <c r="E1550" s="11"/>
      <c r="F1550" s="11" t="str">
        <f>IFERROR(__xludf.DUMMYFUNCTION("""COMPUTED_VALUE"""),"US_167 POLICLINICA E MATERNIDADE PROFESSOR BARROS LIMA")</f>
        <v>US_167 POLICLINICA E MATERNIDADE PROFESSOR BARROS LIMA</v>
      </c>
      <c r="G1550" s="11" t="str">
        <f>IFERROR(__xludf.DUMMYFUNCTION("""COMPUTED_VALUE"""),"US_167 POLICLINICA E MATERNIDADE PROFESSOR BARROS LIMA")</f>
        <v>US_167 POLICLINICA E MATERNIDADE PROFESSOR BARROS LIMA</v>
      </c>
      <c r="H1550" s="11"/>
      <c r="I1550" s="11"/>
      <c r="J1550" s="11"/>
      <c r="K1550" s="11"/>
      <c r="L1550" s="11"/>
      <c r="M1550" s="11"/>
      <c r="N1550" s="11"/>
      <c r="O1550" s="11">
        <f>IFERROR(__xludf.DUMMYFUNCTION("""COMPUTED_VALUE"""),7808484466)</f>
        <v>7808484466</v>
      </c>
      <c r="P1550" s="11"/>
      <c r="Q1550" s="11"/>
      <c r="R1550" s="11"/>
      <c r="S1550" s="11"/>
      <c r="T1550" s="11"/>
      <c r="U1550" s="11"/>
      <c r="V1550" s="11"/>
      <c r="W1550" s="11"/>
      <c r="X1550" s="11"/>
      <c r="Y1550" s="11"/>
      <c r="Z1550" s="11"/>
    </row>
    <row r="1551" customHeight="1" spans="1:26">
      <c r="A1551" s="11" t="str">
        <f>IFERROR(__xludf.DUMMYFUNCTION("""COMPUTED_VALUE"""),"ALYNE FERNANDES B DE ANDRADE")</f>
        <v>ALYNE FERNANDES B DE ANDRADE</v>
      </c>
      <c r="B1551" s="11"/>
      <c r="C1551" s="11"/>
      <c r="D1551" s="11" t="str">
        <f>IFERROR(__xludf.DUMMYFUNCTION("""COMPUTED_VALUE"""),"ENFERMEIRO 30H - DIARISTA")</f>
        <v>ENFERMEIRO 30H - DIARISTA</v>
      </c>
      <c r="E1551" s="11"/>
      <c r="F1551" s="11" t="str">
        <f>IFERROR(__xludf.DUMMYFUNCTION("""COMPUTED_VALUE"""),"US_153 POLICLINICA E MATERNIDADE ARNALDO MARQUES")</f>
        <v>US_153 POLICLINICA E MATERNIDADE ARNALDO MARQUES</v>
      </c>
      <c r="G1551" s="11" t="str">
        <f>IFERROR(__xludf.DUMMYFUNCTION("""COMPUTED_VALUE"""),"US_153 POLICLINICA E MATERNIDADE ARNALDO MARQUES")</f>
        <v>US_153 POLICLINICA E MATERNIDADE ARNALDO MARQUES</v>
      </c>
      <c r="H1551" s="11"/>
      <c r="I1551" s="11"/>
      <c r="J1551" s="11"/>
      <c r="K1551" s="11"/>
      <c r="L1551" s="11"/>
      <c r="M1551" s="11"/>
      <c r="N1551" s="11"/>
      <c r="O1551" s="11">
        <f>IFERROR(__xludf.DUMMYFUNCTION("""COMPUTED_VALUE"""),1435594436)</f>
        <v>1435594436</v>
      </c>
      <c r="P1551" s="11"/>
      <c r="Q1551" s="11"/>
      <c r="R1551" s="11"/>
      <c r="S1551" s="11"/>
      <c r="T1551" s="11"/>
      <c r="U1551" s="11"/>
      <c r="V1551" s="11"/>
      <c r="W1551" s="11"/>
      <c r="X1551" s="11"/>
      <c r="Y1551" s="11"/>
      <c r="Z1551" s="11"/>
    </row>
    <row r="1552" customHeight="1" spans="1:26">
      <c r="A1552" s="11" t="str">
        <f>IFERROR(__xludf.DUMMYFUNCTION("""COMPUTED_VALUE"""),"STEFFANY DE ALMEIDA FERREIRA")</f>
        <v>STEFFANY DE ALMEIDA FERREIRA</v>
      </c>
      <c r="B1552" s="11"/>
      <c r="C1552" s="11"/>
      <c r="D1552" s="11" t="str">
        <f>IFERROR(__xludf.DUMMYFUNCTION("""COMPUTED_VALUE"""),"ENFERMEIRO 30H - PLANTONISTA")</f>
        <v>ENFERMEIRO 30H - PLANTONISTA</v>
      </c>
      <c r="E1552" s="11"/>
      <c r="F1552" s="11" t="str">
        <f>IFERROR(__xludf.DUMMYFUNCTION("""COMPUTED_VALUE"""),"US_153 POLICLINICA E MATERNIDADE ARNALDO MARQUES")</f>
        <v>US_153 POLICLINICA E MATERNIDADE ARNALDO MARQUES</v>
      </c>
      <c r="G1552" s="11" t="str">
        <f>IFERROR(__xludf.DUMMYFUNCTION("""COMPUTED_VALUE"""),"US_153 POLICLINICA E MATERNIDADE ARNALDO MARQUES")</f>
        <v>US_153 POLICLINICA E MATERNIDADE ARNALDO MARQUES</v>
      </c>
      <c r="H1552" s="11"/>
      <c r="I1552" s="11"/>
      <c r="J1552" s="11"/>
      <c r="K1552" s="11"/>
      <c r="L1552" s="11"/>
      <c r="M1552" s="11"/>
      <c r="N1552" s="11"/>
      <c r="O1552" s="11">
        <f>IFERROR(__xludf.DUMMYFUNCTION("""COMPUTED_VALUE"""),5854901471)</f>
        <v>5854901471</v>
      </c>
      <c r="P1552" s="11"/>
      <c r="Q1552" s="11"/>
      <c r="R1552" s="11"/>
      <c r="S1552" s="11"/>
      <c r="T1552" s="11"/>
      <c r="U1552" s="11"/>
      <c r="V1552" s="11"/>
      <c r="W1552" s="11"/>
      <c r="X1552" s="11"/>
      <c r="Y1552" s="11"/>
      <c r="Z1552" s="11"/>
    </row>
    <row r="1553" customHeight="1" spans="1:26">
      <c r="A1553" s="11" t="str">
        <f>IFERROR(__xludf.DUMMYFUNCTION("""COMPUTED_VALUE"""),"JESSICA FONSECA MOTA")</f>
        <v>JESSICA FONSECA MOTA</v>
      </c>
      <c r="B1553" s="11"/>
      <c r="C1553" s="11"/>
      <c r="D1553" s="11" t="str">
        <f>IFERROR(__xludf.DUMMYFUNCTION("""COMPUTED_VALUE"""),"ENFERMEIRO 30H - OBSTETRA - PLANTONISTA")</f>
        <v>ENFERMEIRO 30H - OBSTETRA - PLANTONISTA</v>
      </c>
      <c r="E1553" s="11"/>
      <c r="F1553" s="11" t="str">
        <f>IFERROR(__xludf.DUMMYFUNCTION("""COMPUTED_VALUE"""),"US_167 POLICLINICA E MATERNIDADE PROFESSOR BARROS LIMA")</f>
        <v>US_167 POLICLINICA E MATERNIDADE PROFESSOR BARROS LIMA</v>
      </c>
      <c r="G1553" s="11" t="str">
        <f>IFERROR(__xludf.DUMMYFUNCTION("""COMPUTED_VALUE"""),"US_167 POLICLINICA E MATERNIDADE PROFESSOR BARROS LIMA")</f>
        <v>US_167 POLICLINICA E MATERNIDADE PROFESSOR BARROS LIMA</v>
      </c>
      <c r="H1553" s="11"/>
      <c r="I1553" s="11"/>
      <c r="J1553" s="11"/>
      <c r="K1553" s="11"/>
      <c r="L1553" s="11"/>
      <c r="M1553" s="11"/>
      <c r="N1553" s="11"/>
      <c r="O1553" s="11">
        <f>IFERROR(__xludf.DUMMYFUNCTION("""COMPUTED_VALUE"""),4822634582)</f>
        <v>4822634582</v>
      </c>
      <c r="P1553" s="11"/>
      <c r="Q1553" s="11"/>
      <c r="R1553" s="11"/>
      <c r="S1553" s="11"/>
      <c r="T1553" s="11"/>
      <c r="U1553" s="11"/>
      <c r="V1553" s="11"/>
      <c r="W1553" s="11"/>
      <c r="X1553" s="11"/>
      <c r="Y1553" s="11"/>
      <c r="Z1553" s="11"/>
    </row>
    <row r="1554" customHeight="1" spans="1:26">
      <c r="A1554" s="11" t="str">
        <f>IFERROR(__xludf.DUMMYFUNCTION("""COMPUTED_VALUE"""),"LETICIA DE SANTANA SILVA")</f>
        <v>LETICIA DE SANTANA SILVA</v>
      </c>
      <c r="B1554" s="11"/>
      <c r="C1554" s="11"/>
      <c r="D1554" s="11" t="str">
        <f>IFERROR(__xludf.DUMMYFUNCTION("""COMPUTED_VALUE"""),"ENFERMEIRO 30H - OBSTETRA - PLANTONISTA")</f>
        <v>ENFERMEIRO 30H - OBSTETRA - PLANTONISTA</v>
      </c>
      <c r="E1554" s="11"/>
      <c r="F1554" s="11" t="str">
        <f>IFERROR(__xludf.DUMMYFUNCTION("""COMPUTED_VALUE"""),"US_159 POLICLINICA AGAMENON MAGALHAES")</f>
        <v>US_159 POLICLINICA AGAMENON MAGALHAES</v>
      </c>
      <c r="G1554" s="11" t="str">
        <f>IFERROR(__xludf.DUMMYFUNCTION("""COMPUTED_VALUE"""),"US_159 POLICLINICA AGAMENON MAGALHAES")</f>
        <v>US_159 POLICLINICA AGAMENON MAGALHAES</v>
      </c>
      <c r="H1554" s="11"/>
      <c r="I1554" s="11"/>
      <c r="J1554" s="11"/>
      <c r="K1554" s="11"/>
      <c r="L1554" s="11"/>
      <c r="M1554" s="11"/>
      <c r="N1554" s="11"/>
      <c r="O1554" s="11">
        <f>IFERROR(__xludf.DUMMYFUNCTION("""COMPUTED_VALUE"""),9589655440)</f>
        <v>9589655440</v>
      </c>
      <c r="P1554" s="11"/>
      <c r="Q1554" s="11"/>
      <c r="R1554" s="11"/>
      <c r="S1554" s="11"/>
      <c r="T1554" s="11"/>
      <c r="U1554" s="11"/>
      <c r="V1554" s="11"/>
      <c r="W1554" s="11"/>
      <c r="X1554" s="11"/>
      <c r="Y1554" s="11"/>
      <c r="Z1554" s="11"/>
    </row>
    <row r="1555" customHeight="1" spans="1:26">
      <c r="A1555" s="11" t="str">
        <f>IFERROR(__xludf.DUMMYFUNCTION("""COMPUTED_VALUE"""),"MARAYSA JESSYCA DE O VIEIRA")</f>
        <v>MARAYSA JESSYCA DE O VIEIRA</v>
      </c>
      <c r="B1555" s="11"/>
      <c r="C1555" s="11"/>
      <c r="D1555" s="11" t="str">
        <f>IFERROR(__xludf.DUMMYFUNCTION("""COMPUTED_VALUE"""),"ENFERMEIRO 30H - OBSTETRA - PLANTONISTA")</f>
        <v>ENFERMEIRO 30H - OBSTETRA - PLANTONISTA</v>
      </c>
      <c r="E1555" s="11"/>
      <c r="F1555" s="11" t="str">
        <f>IFERROR(__xludf.DUMMYFUNCTION("""COMPUTED_VALUE"""),"US_165 MATERNIDADE BANDEIRA FILHO")</f>
        <v>US_165 MATERNIDADE BANDEIRA FILHO</v>
      </c>
      <c r="G1555" s="11" t="str">
        <f>IFERROR(__xludf.DUMMYFUNCTION("""COMPUTED_VALUE"""),"US_165 MATERNIDADE BANDEIRA FILHO")</f>
        <v>US_165 MATERNIDADE BANDEIRA FILHO</v>
      </c>
      <c r="H1555" s="11"/>
      <c r="I1555" s="11"/>
      <c r="J1555" s="11"/>
      <c r="K1555" s="11"/>
      <c r="L1555" s="11"/>
      <c r="M1555" s="11"/>
      <c r="N1555" s="11"/>
      <c r="O1555" s="11">
        <f>IFERROR(__xludf.DUMMYFUNCTION("""COMPUTED_VALUE"""),1150441402)</f>
        <v>1150441402</v>
      </c>
      <c r="P1555" s="11"/>
      <c r="Q1555" s="11"/>
      <c r="R1555" s="11"/>
      <c r="S1555" s="11"/>
      <c r="T1555" s="11"/>
      <c r="U1555" s="11"/>
      <c r="V1555" s="11"/>
      <c r="W1555" s="11"/>
      <c r="X1555" s="11"/>
      <c r="Y1555" s="11"/>
      <c r="Z1555" s="11"/>
    </row>
    <row r="1556" customHeight="1" spans="1:26">
      <c r="A1556" s="11" t="str">
        <f>IFERROR(__xludf.DUMMYFUNCTION("""COMPUTED_VALUE"""),"MAIJJOSE NIVEA SILVA SALVADOR")</f>
        <v>MAIJJOSE NIVEA SILVA SALVADOR</v>
      </c>
      <c r="B1556" s="11"/>
      <c r="C1556" s="11"/>
      <c r="D1556" s="11" t="str">
        <f>IFERROR(__xludf.DUMMYFUNCTION("""COMPUTED_VALUE"""),"ENFERMEIRO 30H - OBSTETRA - PLANTONISTA")</f>
        <v>ENFERMEIRO 30H - OBSTETRA - PLANTONISTA</v>
      </c>
      <c r="E1556" s="11"/>
      <c r="F1556" s="11" t="str">
        <f>IFERROR(__xludf.DUMMYFUNCTION("""COMPUTED_VALUE"""),"US_153 POLICLINICA E MATERNIDADE ARNALDO MARQUES")</f>
        <v>US_153 POLICLINICA E MATERNIDADE ARNALDO MARQUES</v>
      </c>
      <c r="G1556" s="11" t="str">
        <f>IFERROR(__xludf.DUMMYFUNCTION("""COMPUTED_VALUE"""),"US_153 POLICLINICA E MATERNIDADE ARNALDO MARQUES")</f>
        <v>US_153 POLICLINICA E MATERNIDADE ARNALDO MARQUES</v>
      </c>
      <c r="H1556" s="11"/>
      <c r="I1556" s="11"/>
      <c r="J1556" s="11"/>
      <c r="K1556" s="11"/>
      <c r="L1556" s="11"/>
      <c r="M1556" s="11"/>
      <c r="N1556" s="11"/>
      <c r="O1556" s="11">
        <f>IFERROR(__xludf.DUMMYFUNCTION("""COMPUTED_VALUE"""),3257939485)</f>
        <v>3257939485</v>
      </c>
      <c r="P1556" s="11"/>
      <c r="Q1556" s="11"/>
      <c r="R1556" s="11"/>
      <c r="S1556" s="11"/>
      <c r="T1556" s="11"/>
      <c r="U1556" s="11"/>
      <c r="V1556" s="11"/>
      <c r="W1556" s="11"/>
      <c r="X1556" s="11"/>
      <c r="Y1556" s="11"/>
      <c r="Z1556" s="11"/>
    </row>
    <row r="1557" customHeight="1" spans="1:26">
      <c r="A1557" s="11" t="str">
        <f>IFERROR(__xludf.DUMMYFUNCTION("""COMPUTED_VALUE"""),"GLEYCE VIVIANE DIAS NICACIO")</f>
        <v>GLEYCE VIVIANE DIAS NICACIO</v>
      </c>
      <c r="B1557" s="11"/>
      <c r="C1557" s="11"/>
      <c r="D1557" s="11" t="str">
        <f>IFERROR(__xludf.DUMMYFUNCTION("""COMPUTED_VALUE"""),"ENFERMEIRO 30H - OBSTETRA - PLANTONISTA")</f>
        <v>ENFERMEIRO 30H - OBSTETRA - PLANTONISTA</v>
      </c>
      <c r="E1557" s="11"/>
      <c r="F1557" s="11" t="str">
        <f>IFERROR(__xludf.DUMMYFUNCTION("""COMPUTED_VALUE"""),"US_167 POLICLINICA E MATERNIDADE PROFESSOR BARROS LIMA")</f>
        <v>US_167 POLICLINICA E MATERNIDADE PROFESSOR BARROS LIMA</v>
      </c>
      <c r="G1557" s="11" t="str">
        <f>IFERROR(__xludf.DUMMYFUNCTION("""COMPUTED_VALUE"""),"US_167 POLICLINICA E MATERNIDADE PROFESSOR BARROS LIMA")</f>
        <v>US_167 POLICLINICA E MATERNIDADE PROFESSOR BARROS LIMA</v>
      </c>
      <c r="H1557" s="11"/>
      <c r="I1557" s="11"/>
      <c r="J1557" s="11"/>
      <c r="K1557" s="11"/>
      <c r="L1557" s="11"/>
      <c r="M1557" s="11"/>
      <c r="N1557" s="11"/>
      <c r="O1557" s="11">
        <f>IFERROR(__xludf.DUMMYFUNCTION("""COMPUTED_VALUE"""),8975185435)</f>
        <v>8975185435</v>
      </c>
      <c r="P1557" s="11"/>
      <c r="Q1557" s="11"/>
      <c r="R1557" s="11"/>
      <c r="S1557" s="11"/>
      <c r="T1557" s="11"/>
      <c r="U1557" s="11"/>
      <c r="V1557" s="11"/>
      <c r="W1557" s="11"/>
      <c r="X1557" s="11"/>
      <c r="Y1557" s="11"/>
      <c r="Z1557" s="11"/>
    </row>
    <row r="1558" customHeight="1" spans="1:26">
      <c r="A1558" s="11" t="str">
        <f>IFERROR(__xludf.DUMMYFUNCTION("""COMPUTED_VALUE"""),"ISADORA BATISTA DE OLIVEIRA")</f>
        <v>ISADORA BATISTA DE OLIVEIRA</v>
      </c>
      <c r="B1558" s="11"/>
      <c r="C1558" s="11"/>
      <c r="D1558" s="11" t="str">
        <f>IFERROR(__xludf.DUMMYFUNCTION("""COMPUTED_VALUE"""),"ENFERMEIRO 30H - OBSTETRA - PLANTONISTA")</f>
        <v>ENFERMEIRO 30H - OBSTETRA - PLANTONISTA</v>
      </c>
      <c r="E1558" s="11"/>
      <c r="F1558" s="11" t="str">
        <f>IFERROR(__xludf.DUMMYFUNCTION("""COMPUTED_VALUE"""),"US_153 POLICLINICA E MATERNIDADE ARNALDO MARQUES")</f>
        <v>US_153 POLICLINICA E MATERNIDADE ARNALDO MARQUES</v>
      </c>
      <c r="G1558" s="11" t="str">
        <f>IFERROR(__xludf.DUMMYFUNCTION("""COMPUTED_VALUE"""),"US_153 POLICLINICA E MATERNIDADE ARNALDO MARQUES")</f>
        <v>US_153 POLICLINICA E MATERNIDADE ARNALDO MARQUES</v>
      </c>
      <c r="H1558" s="11"/>
      <c r="I1558" s="11"/>
      <c r="J1558" s="11"/>
      <c r="K1558" s="11"/>
      <c r="L1558" s="11"/>
      <c r="M1558" s="11"/>
      <c r="N1558" s="11"/>
      <c r="O1558" s="11">
        <f>IFERROR(__xludf.DUMMYFUNCTION("""COMPUTED_VALUE"""),9569821400)</f>
        <v>9569821400</v>
      </c>
      <c r="P1558" s="11"/>
      <c r="Q1558" s="11"/>
      <c r="R1558" s="11"/>
      <c r="S1558" s="11"/>
      <c r="T1558" s="11"/>
      <c r="U1558" s="11"/>
      <c r="V1558" s="11"/>
      <c r="W1558" s="11"/>
      <c r="X1558" s="11"/>
      <c r="Y1558" s="11"/>
      <c r="Z1558" s="11"/>
    </row>
    <row r="1559" customHeight="1" spans="1:26">
      <c r="A1559" s="11" t="str">
        <f>IFERROR(__xludf.DUMMYFUNCTION("""COMPUTED_VALUE"""),"CAMILA FERNANDES DA S CARVALHO")</f>
        <v>CAMILA FERNANDES DA S CARVALHO</v>
      </c>
      <c r="B1559" s="11"/>
      <c r="C1559" s="11"/>
      <c r="D1559" s="11" t="str">
        <f>IFERROR(__xludf.DUMMYFUNCTION("""COMPUTED_VALUE"""),"ENFERMEIRO 30H - OBSTETRA - PLANTONISTA")</f>
        <v>ENFERMEIRO 30H - OBSTETRA - PLANTONISTA</v>
      </c>
      <c r="E1559" s="11"/>
      <c r="F1559" s="11" t="str">
        <f>IFERROR(__xludf.DUMMYFUNCTION("""COMPUTED_VALUE"""),"US_165 MATERNIDADE BANDEIRA FILHO")</f>
        <v>US_165 MATERNIDADE BANDEIRA FILHO</v>
      </c>
      <c r="G1559" s="11" t="str">
        <f>IFERROR(__xludf.DUMMYFUNCTION("""COMPUTED_VALUE"""),"US_165 MATERNIDADE BANDEIRA FILHO")</f>
        <v>US_165 MATERNIDADE BANDEIRA FILHO</v>
      </c>
      <c r="H1559" s="11"/>
      <c r="I1559" s="11"/>
      <c r="J1559" s="11"/>
      <c r="K1559" s="11"/>
      <c r="L1559" s="11"/>
      <c r="M1559" s="11"/>
      <c r="N1559" s="11"/>
      <c r="O1559" s="11">
        <f>IFERROR(__xludf.DUMMYFUNCTION("""COMPUTED_VALUE"""),7899863457)</f>
        <v>7899863457</v>
      </c>
      <c r="P1559" s="11"/>
      <c r="Q1559" s="11"/>
      <c r="R1559" s="11"/>
      <c r="S1559" s="11"/>
      <c r="T1559" s="11"/>
      <c r="U1559" s="11"/>
      <c r="V1559" s="11"/>
      <c r="W1559" s="11"/>
      <c r="X1559" s="11"/>
      <c r="Y1559" s="11"/>
      <c r="Z1559" s="11"/>
    </row>
    <row r="1560" customHeight="1" spans="1:26">
      <c r="A1560" s="11" t="str">
        <f>IFERROR(__xludf.DUMMYFUNCTION("""COMPUTED_VALUE"""),"DAYSEANE CINTIA DE F S MACEDO")</f>
        <v>DAYSEANE CINTIA DE F S MACEDO</v>
      </c>
      <c r="B1560" s="11"/>
      <c r="C1560" s="11"/>
      <c r="D1560" s="11" t="str">
        <f>IFERROR(__xludf.DUMMYFUNCTION("""COMPUTED_VALUE"""),"ENFERMEIRO 30H - OBSTETRA - PLANTONISTA")</f>
        <v>ENFERMEIRO 30H - OBSTETRA - PLANTONISTA</v>
      </c>
      <c r="E1560" s="11"/>
      <c r="F1560" s="11" t="str">
        <f>IFERROR(__xludf.DUMMYFUNCTION("""COMPUTED_VALUE"""),"US_153 POLICLINICA E MATERNIDADE ARNALDO MARQUES")</f>
        <v>US_153 POLICLINICA E MATERNIDADE ARNALDO MARQUES</v>
      </c>
      <c r="G1560" s="11" t="str">
        <f>IFERROR(__xludf.DUMMYFUNCTION("""COMPUTED_VALUE"""),"US_153 POLICLINICA E MATERNIDADE ARNALDO MARQUES")</f>
        <v>US_153 POLICLINICA E MATERNIDADE ARNALDO MARQUES</v>
      </c>
      <c r="H1560" s="11"/>
      <c r="I1560" s="11"/>
      <c r="J1560" s="11"/>
      <c r="K1560" s="11"/>
      <c r="L1560" s="11"/>
      <c r="M1560" s="11"/>
      <c r="N1560" s="11"/>
      <c r="O1560" s="11">
        <f>IFERROR(__xludf.DUMMYFUNCTION("""COMPUTED_VALUE"""),11064305733)</f>
        <v>11064305733</v>
      </c>
      <c r="P1560" s="11"/>
      <c r="Q1560" s="11"/>
      <c r="R1560" s="11"/>
      <c r="S1560" s="11"/>
      <c r="T1560" s="11"/>
      <c r="U1560" s="11"/>
      <c r="V1560" s="11"/>
      <c r="W1560" s="11"/>
      <c r="X1560" s="11"/>
      <c r="Y1560" s="11"/>
      <c r="Z1560" s="11"/>
    </row>
    <row r="1561" customHeight="1" spans="1:26">
      <c r="A1561" s="11" t="str">
        <f>IFERROR(__xludf.DUMMYFUNCTION("""COMPUTED_VALUE"""),"SUELANY CLAUDINO DE S COSTA")</f>
        <v>SUELANY CLAUDINO DE S COSTA</v>
      </c>
      <c r="B1561" s="11"/>
      <c r="C1561" s="11"/>
      <c r="D1561" s="11" t="str">
        <f>IFERROR(__xludf.DUMMYFUNCTION("""COMPUTED_VALUE"""),"ENFERMEIRO 30H - OBSTETRA - PLANTONISTA")</f>
        <v>ENFERMEIRO 30H - OBSTETRA - PLANTONISTA</v>
      </c>
      <c r="E1561" s="11"/>
      <c r="F1561" s="11" t="str">
        <f>IFERROR(__xludf.DUMMYFUNCTION("""COMPUTED_VALUE"""),"US_153 POLICLINICA E MATERNIDADE ARNALDO MARQUES")</f>
        <v>US_153 POLICLINICA E MATERNIDADE ARNALDO MARQUES</v>
      </c>
      <c r="G1561" s="11" t="str">
        <f>IFERROR(__xludf.DUMMYFUNCTION("""COMPUTED_VALUE"""),"US_153 POLICLINICA E MATERNIDADE ARNALDO MARQUES")</f>
        <v>US_153 POLICLINICA E MATERNIDADE ARNALDO MARQUES</v>
      </c>
      <c r="H1561" s="11"/>
      <c r="I1561" s="11"/>
      <c r="J1561" s="11"/>
      <c r="K1561" s="11"/>
      <c r="L1561" s="11"/>
      <c r="M1561" s="11"/>
      <c r="N1561" s="11"/>
      <c r="O1561" s="11">
        <f>IFERROR(__xludf.DUMMYFUNCTION("""COMPUTED_VALUE"""),5489541431)</f>
        <v>5489541431</v>
      </c>
      <c r="P1561" s="11"/>
      <c r="Q1561" s="11"/>
      <c r="R1561" s="11"/>
      <c r="S1561" s="11"/>
      <c r="T1561" s="11"/>
      <c r="U1561" s="11"/>
      <c r="V1561" s="11"/>
      <c r="W1561" s="11"/>
      <c r="X1561" s="11"/>
      <c r="Y1561" s="11"/>
      <c r="Z1561" s="11"/>
    </row>
    <row r="1562" customHeight="1" spans="1:26">
      <c r="A1562" s="11" t="str">
        <f>IFERROR(__xludf.DUMMYFUNCTION("""COMPUTED_VALUE"""),"WANUBIA SANTOS NASCIMENTO")</f>
        <v>WANUBIA SANTOS NASCIMENTO</v>
      </c>
      <c r="B1562" s="11"/>
      <c r="C1562" s="11"/>
      <c r="D1562" s="11" t="str">
        <f>IFERROR(__xludf.DUMMYFUNCTION("""COMPUTED_VALUE"""),"ENFERMEIRO 30H - OBSTETRA - PLANTONISTA")</f>
        <v>ENFERMEIRO 30H - OBSTETRA - PLANTONISTA</v>
      </c>
      <c r="E1562" s="11"/>
      <c r="F1562" s="11" t="str">
        <f>IFERROR(__xludf.DUMMYFUNCTION("""COMPUTED_VALUE"""),"US_165 MATERNIDADE BANDEIRA FILHO")</f>
        <v>US_165 MATERNIDADE BANDEIRA FILHO</v>
      </c>
      <c r="G1562" s="11" t="str">
        <f>IFERROR(__xludf.DUMMYFUNCTION("""COMPUTED_VALUE"""),"US_165 MATERNIDADE BANDEIRA FILHO")</f>
        <v>US_165 MATERNIDADE BANDEIRA FILHO</v>
      </c>
      <c r="H1562" s="11"/>
      <c r="I1562" s="11"/>
      <c r="J1562" s="11"/>
      <c r="K1562" s="11"/>
      <c r="L1562" s="11"/>
      <c r="M1562" s="11"/>
      <c r="N1562" s="11"/>
      <c r="O1562" s="11">
        <f>IFERROR(__xludf.DUMMYFUNCTION("""COMPUTED_VALUE"""),8452766467)</f>
        <v>8452766467</v>
      </c>
      <c r="P1562" s="11"/>
      <c r="Q1562" s="11"/>
      <c r="R1562" s="11"/>
      <c r="S1562" s="11"/>
      <c r="T1562" s="11"/>
      <c r="U1562" s="11"/>
      <c r="V1562" s="11"/>
      <c r="W1562" s="11"/>
      <c r="X1562" s="11"/>
      <c r="Y1562" s="11"/>
      <c r="Z1562" s="11"/>
    </row>
    <row r="1563" customHeight="1" spans="1:26">
      <c r="A1563" s="11" t="str">
        <f>IFERROR(__xludf.DUMMYFUNCTION("""COMPUTED_VALUE"""),"LUCAS LEONARDO DE LIMA SILVA")</f>
        <v>LUCAS LEONARDO DE LIMA SILVA</v>
      </c>
      <c r="B1563" s="11"/>
      <c r="C1563" s="11"/>
      <c r="D1563" s="11" t="str">
        <f>IFERROR(__xludf.DUMMYFUNCTION("""COMPUTED_VALUE"""),"ENFERMEIRO 30H - OBSTETRA - PLANTONISTA")</f>
        <v>ENFERMEIRO 30H - OBSTETRA - PLANTONISTA</v>
      </c>
      <c r="E1563" s="11"/>
      <c r="F1563" s="11" t="str">
        <f>IFERROR(__xludf.DUMMYFUNCTION("""COMPUTED_VALUE"""),"US_153 POLICLINICA E MATERNIDADE ARNALDO MARQUES")</f>
        <v>US_153 POLICLINICA E MATERNIDADE ARNALDO MARQUES</v>
      </c>
      <c r="G1563" s="11" t="str">
        <f>IFERROR(__xludf.DUMMYFUNCTION("""COMPUTED_VALUE"""),"US_153 POLICLINICA E MATERNIDADE ARNALDO MARQUES")</f>
        <v>US_153 POLICLINICA E MATERNIDADE ARNALDO MARQUES</v>
      </c>
      <c r="H1563" s="11"/>
      <c r="I1563" s="11"/>
      <c r="J1563" s="11"/>
      <c r="K1563" s="11"/>
      <c r="L1563" s="11"/>
      <c r="M1563" s="11"/>
      <c r="N1563" s="11"/>
      <c r="O1563" s="11">
        <f>IFERROR(__xludf.DUMMYFUNCTION("""COMPUTED_VALUE"""),9957507427)</f>
        <v>9957507427</v>
      </c>
      <c r="P1563" s="11"/>
      <c r="Q1563" s="11"/>
      <c r="R1563" s="11"/>
      <c r="S1563" s="11"/>
      <c r="T1563" s="11"/>
      <c r="U1563" s="11"/>
      <c r="V1563" s="11"/>
      <c r="W1563" s="11"/>
      <c r="X1563" s="11"/>
      <c r="Y1563" s="11"/>
      <c r="Z1563" s="11"/>
    </row>
    <row r="1564" customHeight="1" spans="1:26">
      <c r="A1564" s="11" t="str">
        <f>IFERROR(__xludf.DUMMYFUNCTION("""COMPUTED_VALUE"""),"PRISCYLA DE OLIVEIRA N ANDRADE")</f>
        <v>PRISCYLA DE OLIVEIRA N ANDRADE</v>
      </c>
      <c r="B1564" s="11"/>
      <c r="C1564" s="11"/>
      <c r="D1564" s="11" t="str">
        <f>IFERROR(__xludf.DUMMYFUNCTION("""COMPUTED_VALUE"""),"ENFERMEIRO 30H - OBSTETRA - PLANTONISTA")</f>
        <v>ENFERMEIRO 30H - OBSTETRA - PLANTONISTA</v>
      </c>
      <c r="E1564" s="11"/>
      <c r="F1564" s="11" t="str">
        <f>IFERROR(__xludf.DUMMYFUNCTION("""COMPUTED_VALUE"""),"US_153 POLICLINICA E MATERNIDADE ARNALDO MARQUES")</f>
        <v>US_153 POLICLINICA E MATERNIDADE ARNALDO MARQUES</v>
      </c>
      <c r="G1564" s="11" t="str">
        <f>IFERROR(__xludf.DUMMYFUNCTION("""COMPUTED_VALUE"""),"US_153 POLICLINICA E MATERNIDADE ARNALDO MARQUES")</f>
        <v>US_153 POLICLINICA E MATERNIDADE ARNALDO MARQUES</v>
      </c>
      <c r="H1564" s="11"/>
      <c r="I1564" s="11"/>
      <c r="J1564" s="11"/>
      <c r="K1564" s="11"/>
      <c r="L1564" s="11"/>
      <c r="M1564" s="11"/>
      <c r="N1564" s="11"/>
      <c r="O1564" s="11">
        <f>IFERROR(__xludf.DUMMYFUNCTION("""COMPUTED_VALUE"""),8389183447)</f>
        <v>8389183447</v>
      </c>
      <c r="P1564" s="11"/>
      <c r="Q1564" s="11"/>
      <c r="R1564" s="11"/>
      <c r="S1564" s="11"/>
      <c r="T1564" s="11"/>
      <c r="U1564" s="11"/>
      <c r="V1564" s="11"/>
      <c r="W1564" s="11"/>
      <c r="X1564" s="11"/>
      <c r="Y1564" s="11"/>
      <c r="Z1564" s="11"/>
    </row>
    <row r="1565" customHeight="1" spans="1:26">
      <c r="A1565" s="11" t="str">
        <f>IFERROR(__xludf.DUMMYFUNCTION("""COMPUTED_VALUE"""),"LEILA PAES LANDIM")</f>
        <v>LEILA PAES LANDIM</v>
      </c>
      <c r="B1565" s="11"/>
      <c r="C1565" s="11"/>
      <c r="D1565" s="11" t="str">
        <f>IFERROR(__xludf.DUMMYFUNCTION("""COMPUTED_VALUE"""),"ENFERMEIRO 30H - OBSTETRA - PLANTONISTA")</f>
        <v>ENFERMEIRO 30H - OBSTETRA - PLANTONISTA</v>
      </c>
      <c r="E1565" s="11"/>
      <c r="F1565" s="11" t="str">
        <f>IFERROR(__xludf.DUMMYFUNCTION("""COMPUTED_VALUE"""),"US_153 POLICLINICA E MATERNIDADE ARNALDO MARQUES")</f>
        <v>US_153 POLICLINICA E MATERNIDADE ARNALDO MARQUES</v>
      </c>
      <c r="G1565" s="11" t="str">
        <f>IFERROR(__xludf.DUMMYFUNCTION("""COMPUTED_VALUE"""),"US_153 POLICLINICA E MATERNIDADE ARNALDO MARQUES")</f>
        <v>US_153 POLICLINICA E MATERNIDADE ARNALDO MARQUES</v>
      </c>
      <c r="H1565" s="11"/>
      <c r="I1565" s="11"/>
      <c r="J1565" s="11"/>
      <c r="K1565" s="11"/>
      <c r="L1565" s="11"/>
      <c r="M1565" s="11"/>
      <c r="N1565" s="11"/>
      <c r="O1565" s="11">
        <f>IFERROR(__xludf.DUMMYFUNCTION("""COMPUTED_VALUE"""),5558060492)</f>
        <v>5558060492</v>
      </c>
      <c r="P1565" s="11"/>
      <c r="Q1565" s="11"/>
      <c r="R1565" s="11"/>
      <c r="S1565" s="11"/>
      <c r="T1565" s="11"/>
      <c r="U1565" s="11"/>
      <c r="V1565" s="11"/>
      <c r="W1565" s="11"/>
      <c r="X1565" s="11"/>
      <c r="Y1565" s="11"/>
      <c r="Z1565" s="11"/>
    </row>
    <row r="1566" customHeight="1" spans="1:26">
      <c r="A1566" s="11" t="str">
        <f>IFERROR(__xludf.DUMMYFUNCTION("""COMPUTED_VALUE"""),"ANIETE CINTIA DE M GUIMARAES")</f>
        <v>ANIETE CINTIA DE M GUIMARAES</v>
      </c>
      <c r="B1566" s="11"/>
      <c r="C1566" s="11"/>
      <c r="D1566" s="11" t="str">
        <f>IFERROR(__xludf.DUMMYFUNCTION("""COMPUTED_VALUE"""),"ENFERMEIRO 30H - OBSTETRA - PLANTONISTA")</f>
        <v>ENFERMEIRO 30H - OBSTETRA - PLANTONISTA</v>
      </c>
      <c r="E1566" s="11"/>
      <c r="F1566" s="11" t="str">
        <f>IFERROR(__xludf.DUMMYFUNCTION("""COMPUTED_VALUE"""),"US_153 POLICLINICA E MATERNIDADE ARNALDO MARQUES")</f>
        <v>US_153 POLICLINICA E MATERNIDADE ARNALDO MARQUES</v>
      </c>
      <c r="G1566" s="11" t="str">
        <f>IFERROR(__xludf.DUMMYFUNCTION("""COMPUTED_VALUE"""),"US_153 POLICLINICA E MATERNIDADE ARNALDO MARQUES")</f>
        <v>US_153 POLICLINICA E MATERNIDADE ARNALDO MARQUES</v>
      </c>
      <c r="H1566" s="11"/>
      <c r="I1566" s="11"/>
      <c r="J1566" s="11"/>
      <c r="K1566" s="11"/>
      <c r="L1566" s="11"/>
      <c r="M1566" s="11"/>
      <c r="N1566" s="11"/>
      <c r="O1566" s="11">
        <f>IFERROR(__xludf.DUMMYFUNCTION("""COMPUTED_VALUE"""),7297689459)</f>
        <v>7297689459</v>
      </c>
      <c r="P1566" s="11"/>
      <c r="Q1566" s="11"/>
      <c r="R1566" s="11"/>
      <c r="S1566" s="11"/>
      <c r="T1566" s="11"/>
      <c r="U1566" s="11"/>
      <c r="V1566" s="11"/>
      <c r="W1566" s="11"/>
      <c r="X1566" s="11"/>
      <c r="Y1566" s="11"/>
      <c r="Z1566" s="11"/>
    </row>
    <row r="1567" customHeight="1" spans="1:26">
      <c r="A1567" s="11" t="str">
        <f>IFERROR(__xludf.DUMMYFUNCTION("""COMPUTED_VALUE"""),"MILENE DOS SANTOS N DE SOUZA")</f>
        <v>MILENE DOS SANTOS N DE SOUZA</v>
      </c>
      <c r="B1567" s="11"/>
      <c r="C1567" s="11"/>
      <c r="D1567" s="11" t="str">
        <f>IFERROR(__xludf.DUMMYFUNCTION("""COMPUTED_VALUE"""),"ENFERMEIRO 30H - OBSTETRA - PLANTONISTA")</f>
        <v>ENFERMEIRO 30H - OBSTETRA - PLANTONISTA</v>
      </c>
      <c r="E1567" s="11"/>
      <c r="F1567" s="11" t="str">
        <f>IFERROR(__xludf.DUMMYFUNCTION("""COMPUTED_VALUE"""),"US_167 POLICLINICA E MATERNIDADE PROFESSOR BARROS LIMA")</f>
        <v>US_167 POLICLINICA E MATERNIDADE PROFESSOR BARROS LIMA</v>
      </c>
      <c r="G1567" s="11" t="str">
        <f>IFERROR(__xludf.DUMMYFUNCTION("""COMPUTED_VALUE"""),"US_167 POLICLINICA E MATERNIDADE PROFESSOR BARROS LIMA")</f>
        <v>US_167 POLICLINICA E MATERNIDADE PROFESSOR BARROS LIMA</v>
      </c>
      <c r="H1567" s="11"/>
      <c r="I1567" s="11"/>
      <c r="J1567" s="11"/>
      <c r="K1567" s="11"/>
      <c r="L1567" s="11"/>
      <c r="M1567" s="11"/>
      <c r="N1567" s="11"/>
      <c r="O1567" s="11">
        <f>IFERROR(__xludf.DUMMYFUNCTION("""COMPUTED_VALUE"""),4859222580)</f>
        <v>4859222580</v>
      </c>
      <c r="P1567" s="11"/>
      <c r="Q1567" s="11"/>
      <c r="R1567" s="11"/>
      <c r="S1567" s="11"/>
      <c r="T1567" s="11"/>
      <c r="U1567" s="11"/>
      <c r="V1567" s="11"/>
      <c r="W1567" s="11"/>
      <c r="X1567" s="11"/>
      <c r="Y1567" s="11"/>
      <c r="Z1567" s="11"/>
    </row>
    <row r="1568" customHeight="1" spans="1:26">
      <c r="A1568" s="11" t="str">
        <f>IFERROR(__xludf.DUMMYFUNCTION("""COMPUTED_VALUE"""),"MARIA RAFAELA AMORIM DE ARAUJO")</f>
        <v>MARIA RAFAELA AMORIM DE ARAUJO</v>
      </c>
      <c r="B1568" s="11"/>
      <c r="C1568" s="11"/>
      <c r="D1568" s="11" t="str">
        <f>IFERROR(__xludf.DUMMYFUNCTION("""COMPUTED_VALUE"""),"ENFERMEIRO 30H - OBSTETRA - PLANTONISTA")</f>
        <v>ENFERMEIRO 30H - OBSTETRA - PLANTONISTA</v>
      </c>
      <c r="E1568" s="11"/>
      <c r="F1568" s="11" t="str">
        <f>IFERROR(__xludf.DUMMYFUNCTION("""COMPUTED_VALUE"""),"US_167 POLICLINICA E MATERNIDADE PROFESSOR BARROS LIMA")</f>
        <v>US_167 POLICLINICA E MATERNIDADE PROFESSOR BARROS LIMA</v>
      </c>
      <c r="G1568" s="11" t="str">
        <f>IFERROR(__xludf.DUMMYFUNCTION("""COMPUTED_VALUE"""),"US_167 POLICLINICA E MATERNIDADE PROFESSOR BARROS LIMA")</f>
        <v>US_167 POLICLINICA E MATERNIDADE PROFESSOR BARROS LIMA</v>
      </c>
      <c r="H1568" s="11"/>
      <c r="I1568" s="11"/>
      <c r="J1568" s="11"/>
      <c r="K1568" s="11"/>
      <c r="L1568" s="11"/>
      <c r="M1568" s="11"/>
      <c r="N1568" s="11"/>
      <c r="O1568" s="11">
        <f>IFERROR(__xludf.DUMMYFUNCTION("""COMPUTED_VALUE"""),10688125409)</f>
        <v>10688125409</v>
      </c>
      <c r="P1568" s="11"/>
      <c r="Q1568" s="11"/>
      <c r="R1568" s="11"/>
      <c r="S1568" s="11"/>
      <c r="T1568" s="11"/>
      <c r="U1568" s="11"/>
      <c r="V1568" s="11"/>
      <c r="W1568" s="11"/>
      <c r="X1568" s="11"/>
      <c r="Y1568" s="11"/>
      <c r="Z1568" s="11"/>
    </row>
    <row r="1569" customHeight="1" spans="1:26">
      <c r="A1569" s="11" t="str">
        <f>IFERROR(__xludf.DUMMYFUNCTION("""COMPUTED_VALUE"""),"FERNANDA DE MEDEIROS LEONIDAS")</f>
        <v>FERNANDA DE MEDEIROS LEONIDAS</v>
      </c>
      <c r="B1569" s="11"/>
      <c r="C1569" s="11"/>
      <c r="D1569" s="11" t="str">
        <f>IFERROR(__xludf.DUMMYFUNCTION("""COMPUTED_VALUE"""),"ENFERMEIRO 30H - PLANTONISTA")</f>
        <v>ENFERMEIRO 30H - PLANTONISTA</v>
      </c>
      <c r="E1569" s="11"/>
      <c r="F1569" s="11" t="str">
        <f>IFERROR(__xludf.DUMMYFUNCTION("""COMPUTED_VALUE"""),"US_152 CS INA ROSA BORGES")</f>
        <v>US_152 CS INA ROSA BORGES</v>
      </c>
      <c r="G1569" s="11" t="str">
        <f>IFERROR(__xludf.DUMMYFUNCTION("""COMPUTED_VALUE"""),"US_152 CS INA ROSA BORGES")</f>
        <v>US_152 CS INA ROSA BORGES</v>
      </c>
      <c r="H1569" s="11"/>
      <c r="I1569" s="11"/>
      <c r="J1569" s="11"/>
      <c r="K1569" s="11"/>
      <c r="L1569" s="11"/>
      <c r="M1569" s="11"/>
      <c r="N1569" s="11"/>
      <c r="O1569" s="11">
        <f>IFERROR(__xludf.DUMMYFUNCTION("""COMPUTED_VALUE"""),7961865454)</f>
        <v>7961865454</v>
      </c>
      <c r="P1569" s="11"/>
      <c r="Q1569" s="11"/>
      <c r="R1569" s="11"/>
      <c r="S1569" s="11"/>
      <c r="T1569" s="11"/>
      <c r="U1569" s="11"/>
      <c r="V1569" s="11"/>
      <c r="W1569" s="11"/>
      <c r="X1569" s="11"/>
      <c r="Y1569" s="11"/>
      <c r="Z1569" s="11"/>
    </row>
    <row r="1570" customHeight="1" spans="1:26">
      <c r="A1570" s="11" t="str">
        <f>IFERROR(__xludf.DUMMYFUNCTION("""COMPUTED_VALUE"""),"MARIA H H P DE O A GONZAGA")</f>
        <v>MARIA H H P DE O A GONZAGA</v>
      </c>
      <c r="B1570" s="11"/>
      <c r="C1570" s="11"/>
      <c r="D1570" s="11" t="str">
        <f>IFERROR(__xludf.DUMMYFUNCTION("""COMPUTED_VALUE"""),"ENFERMEIRO 30H - PLANTONISTA")</f>
        <v>ENFERMEIRO 30H - PLANTONISTA</v>
      </c>
      <c r="E1570" s="11"/>
      <c r="F1570" s="11" t="str">
        <f>IFERROR(__xludf.DUMMYFUNCTION("""COMPUTED_VALUE"""),"US_153 POLICLINICA E MATERNIDADE ARNALDO MARQUES")</f>
        <v>US_153 POLICLINICA E MATERNIDADE ARNALDO MARQUES</v>
      </c>
      <c r="G1570" s="11" t="str">
        <f>IFERROR(__xludf.DUMMYFUNCTION("""COMPUTED_VALUE"""),"US_153 POLICLINICA E MATERNIDADE ARNALDO MARQUES")</f>
        <v>US_153 POLICLINICA E MATERNIDADE ARNALDO MARQUES</v>
      </c>
      <c r="H1570" s="11"/>
      <c r="I1570" s="11"/>
      <c r="J1570" s="11"/>
      <c r="K1570" s="11"/>
      <c r="L1570" s="11"/>
      <c r="M1570" s="11"/>
      <c r="N1570" s="11"/>
      <c r="O1570" s="11">
        <f>IFERROR(__xludf.DUMMYFUNCTION("""COMPUTED_VALUE"""),10331920409)</f>
        <v>10331920409</v>
      </c>
      <c r="P1570" s="11"/>
      <c r="Q1570" s="11"/>
      <c r="R1570" s="11"/>
      <c r="S1570" s="11"/>
      <c r="T1570" s="11"/>
      <c r="U1570" s="11"/>
      <c r="V1570" s="11"/>
      <c r="W1570" s="11"/>
      <c r="X1570" s="11"/>
      <c r="Y1570" s="11"/>
      <c r="Z1570" s="11"/>
    </row>
    <row r="1571" customHeight="1" spans="1:26">
      <c r="A1571" s="11" t="str">
        <f>IFERROR(__xludf.DUMMYFUNCTION("""COMPUTED_VALUE"""),"HERIKA DANTAS MODESTO PINHEIRO")</f>
        <v>HERIKA DANTAS MODESTO PINHEIRO</v>
      </c>
      <c r="B1571" s="11"/>
      <c r="C1571" s="11"/>
      <c r="D1571" s="11" t="str">
        <f>IFERROR(__xludf.DUMMYFUNCTION("""COMPUTED_VALUE"""),"ENFERMEIRO 30H - OBSTETRA - PLANTONISTA")</f>
        <v>ENFERMEIRO 30H - OBSTETRA - PLANTONISTA</v>
      </c>
      <c r="E1571" s="11"/>
      <c r="F1571" s="11" t="str">
        <f>IFERROR(__xludf.DUMMYFUNCTION("""COMPUTED_VALUE"""),"US_167 POLICLINICA E MATERNIDADE PROFESSOR BARROS LIMA")</f>
        <v>US_167 POLICLINICA E MATERNIDADE PROFESSOR BARROS LIMA</v>
      </c>
      <c r="G1571" s="11" t="str">
        <f>IFERROR(__xludf.DUMMYFUNCTION("""COMPUTED_VALUE"""),"US_167 POLICLINICA E MATERNIDADE PROFESSOR BARROS LIMA")</f>
        <v>US_167 POLICLINICA E MATERNIDADE PROFESSOR BARROS LIMA</v>
      </c>
      <c r="H1571" s="11"/>
      <c r="I1571" s="11"/>
      <c r="J1571" s="11"/>
      <c r="K1571" s="11"/>
      <c r="L1571" s="11"/>
      <c r="M1571" s="11"/>
      <c r="N1571" s="11"/>
      <c r="O1571" s="11">
        <f>IFERROR(__xludf.DUMMYFUNCTION("""COMPUTED_VALUE"""),3937320458)</f>
        <v>3937320458</v>
      </c>
      <c r="P1571" s="11"/>
      <c r="Q1571" s="11"/>
      <c r="R1571" s="11"/>
      <c r="S1571" s="11"/>
      <c r="T1571" s="11"/>
      <c r="U1571" s="11"/>
      <c r="V1571" s="11"/>
      <c r="W1571" s="11"/>
      <c r="X1571" s="11"/>
      <c r="Y1571" s="11"/>
      <c r="Z1571" s="11"/>
    </row>
    <row r="1572" customHeight="1" spans="1:26">
      <c r="A1572" s="11" t="str">
        <f>IFERROR(__xludf.DUMMYFUNCTION("""COMPUTED_VALUE"""),"JOEDSON FELIPE DA SILVA")</f>
        <v>JOEDSON FELIPE DA SILVA</v>
      </c>
      <c r="B1572" s="11"/>
      <c r="C1572" s="11"/>
      <c r="D1572" s="11" t="str">
        <f>IFERROR(__xludf.DUMMYFUNCTION("""COMPUTED_VALUE"""),"ENFERMEIRO 30H - PLANTONISTA")</f>
        <v>ENFERMEIRO 30H - PLANTONISTA</v>
      </c>
      <c r="E1572" s="11"/>
      <c r="F1572" s="11" t="str">
        <f>IFERROR(__xludf.DUMMYFUNCTION("""COMPUTED_VALUE"""),"US_167 POLICLINICA E MATERNIDADE PROFESSOR BARROS LIMA")</f>
        <v>US_167 POLICLINICA E MATERNIDADE PROFESSOR BARROS LIMA</v>
      </c>
      <c r="G1572" s="11" t="str">
        <f>IFERROR(__xludf.DUMMYFUNCTION("""COMPUTED_VALUE"""),"US_167 POLICLINICA E MATERNIDADE PROFESSOR BARROS LIMA")</f>
        <v>US_167 POLICLINICA E MATERNIDADE PROFESSOR BARROS LIMA</v>
      </c>
      <c r="H1572" s="11"/>
      <c r="I1572" s="11"/>
      <c r="J1572" s="11"/>
      <c r="K1572" s="11"/>
      <c r="L1572" s="11"/>
      <c r="M1572" s="11"/>
      <c r="N1572" s="11"/>
      <c r="O1572" s="11">
        <f>IFERROR(__xludf.DUMMYFUNCTION("""COMPUTED_VALUE"""),8862520409)</f>
        <v>8862520409</v>
      </c>
      <c r="P1572" s="11"/>
      <c r="Q1572" s="11"/>
      <c r="R1572" s="11"/>
      <c r="S1572" s="11"/>
      <c r="T1572" s="11"/>
      <c r="U1572" s="11"/>
      <c r="V1572" s="11"/>
      <c r="W1572" s="11"/>
      <c r="X1572" s="11"/>
      <c r="Y1572" s="11"/>
      <c r="Z1572" s="11"/>
    </row>
    <row r="1573" customHeight="1" spans="1:26">
      <c r="A1573" s="11" t="str">
        <f>IFERROR(__xludf.DUMMYFUNCTION("""COMPUTED_VALUE"""),"LAYANE GABRIELY ALVES DA SILVA")</f>
        <v>LAYANE GABRIELY ALVES DA SILVA</v>
      </c>
      <c r="B1573" s="11"/>
      <c r="C1573" s="11"/>
      <c r="D1573" s="11" t="str">
        <f>IFERROR(__xludf.DUMMYFUNCTION("""COMPUTED_VALUE"""),"ENFERMEIRO 30H - OBSTETRA - PLANTONISTA")</f>
        <v>ENFERMEIRO 30H - OBSTETRA - PLANTONISTA</v>
      </c>
      <c r="E1573" s="11"/>
      <c r="F1573" s="11" t="str">
        <f>IFERROR(__xludf.DUMMYFUNCTION("""COMPUTED_VALUE"""),"US_167 POLICLINICA E MATERNIDADE PROFESSOR BARROS LIMA")</f>
        <v>US_167 POLICLINICA E MATERNIDADE PROFESSOR BARROS LIMA</v>
      </c>
      <c r="G1573" s="11" t="str">
        <f>IFERROR(__xludf.DUMMYFUNCTION("""COMPUTED_VALUE"""),"US_167 POLICLINICA E MATERNIDADE PROFESSOR BARROS LIMA")</f>
        <v>US_167 POLICLINICA E MATERNIDADE PROFESSOR BARROS LIMA</v>
      </c>
      <c r="H1573" s="11"/>
      <c r="I1573" s="11"/>
      <c r="J1573" s="11"/>
      <c r="K1573" s="11"/>
      <c r="L1573" s="11"/>
      <c r="M1573" s="11"/>
      <c r="N1573" s="11"/>
      <c r="O1573" s="11">
        <f>IFERROR(__xludf.DUMMYFUNCTION("""COMPUTED_VALUE"""),7402934438)</f>
        <v>7402934438</v>
      </c>
      <c r="P1573" s="11"/>
      <c r="Q1573" s="11"/>
      <c r="R1573" s="11"/>
      <c r="S1573" s="11"/>
      <c r="T1573" s="11"/>
      <c r="U1573" s="11"/>
      <c r="V1573" s="11"/>
      <c r="W1573" s="11"/>
      <c r="X1573" s="11"/>
      <c r="Y1573" s="11"/>
      <c r="Z1573" s="11"/>
    </row>
    <row r="1574" customHeight="1" spans="1:26">
      <c r="A1574" s="11" t="str">
        <f>IFERROR(__xludf.DUMMYFUNCTION("""COMPUTED_VALUE"""),"BARBARA PESSOA R FERNANDES")</f>
        <v>BARBARA PESSOA R FERNANDES</v>
      </c>
      <c r="B1574" s="11"/>
      <c r="C1574" s="11"/>
      <c r="D1574" s="11" t="str">
        <f>IFERROR(__xludf.DUMMYFUNCTION("""COMPUTED_VALUE"""),"ENFERMEIRO 30H - PLANTONISTA")</f>
        <v>ENFERMEIRO 30H - PLANTONISTA</v>
      </c>
      <c r="E1574" s="11"/>
      <c r="F1574" s="11" t="str">
        <f>IFERROR(__xludf.DUMMYFUNCTION("""COMPUTED_VALUE"""),"US_101 POLICLINICA PROF WALDEMAR DE OLIVEIRA")</f>
        <v>US_101 POLICLINICA PROF WALDEMAR DE OLIVEIRA</v>
      </c>
      <c r="G1574" s="11" t="str">
        <f>IFERROR(__xludf.DUMMYFUNCTION("""COMPUTED_VALUE"""),"US_101 POLICLINICA PROF WALDEMAR DE OLIVEIRA")</f>
        <v>US_101 POLICLINICA PROF WALDEMAR DE OLIVEIRA</v>
      </c>
      <c r="H1574" s="11"/>
      <c r="I1574" s="11"/>
      <c r="J1574" s="11"/>
      <c r="K1574" s="11"/>
      <c r="L1574" s="11"/>
      <c r="M1574" s="11"/>
      <c r="N1574" s="11"/>
      <c r="O1574" s="11">
        <f>IFERROR(__xludf.DUMMYFUNCTION("""COMPUTED_VALUE"""),7193186450)</f>
        <v>7193186450</v>
      </c>
      <c r="P1574" s="11"/>
      <c r="Q1574" s="11"/>
      <c r="R1574" s="11"/>
      <c r="S1574" s="11"/>
      <c r="T1574" s="11"/>
      <c r="U1574" s="11"/>
      <c r="V1574" s="11"/>
      <c r="W1574" s="11"/>
      <c r="X1574" s="11"/>
      <c r="Y1574" s="11"/>
      <c r="Z1574" s="11"/>
    </row>
    <row r="1575" customHeight="1" spans="1:26">
      <c r="A1575" s="11" t="str">
        <f>IFERROR(__xludf.DUMMYFUNCTION("""COMPUTED_VALUE"""),"JESSICA FONSECA MOTA")</f>
        <v>JESSICA FONSECA MOTA</v>
      </c>
      <c r="B1575" s="11"/>
      <c r="C1575" s="11"/>
      <c r="D1575" s="11" t="str">
        <f>IFERROR(__xludf.DUMMYFUNCTION("""COMPUTED_VALUE"""),"ENFERMEIRO 30H - PLANTONISTA")</f>
        <v>ENFERMEIRO 30H - PLANTONISTA</v>
      </c>
      <c r="E1575" s="11"/>
      <c r="F1575" s="11" t="str">
        <f>IFERROR(__xludf.DUMMYFUNCTION("""COMPUTED_VALUE"""),"US_167 POLICLINICA E MATERNIDADE PROFESSOR BARROS LIMA")</f>
        <v>US_167 POLICLINICA E MATERNIDADE PROFESSOR BARROS LIMA</v>
      </c>
      <c r="G1575" s="11" t="str">
        <f>IFERROR(__xludf.DUMMYFUNCTION("""COMPUTED_VALUE"""),"US_167 POLICLINICA E MATERNIDADE PROFESSOR BARROS LIMA")</f>
        <v>US_167 POLICLINICA E MATERNIDADE PROFESSOR BARROS LIMA</v>
      </c>
      <c r="H1575" s="11"/>
      <c r="I1575" s="11"/>
      <c r="J1575" s="11"/>
      <c r="K1575" s="11"/>
      <c r="L1575" s="11"/>
      <c r="M1575" s="11"/>
      <c r="N1575" s="11"/>
      <c r="O1575" s="11">
        <f>IFERROR(__xludf.DUMMYFUNCTION("""COMPUTED_VALUE"""),4822634582)</f>
        <v>4822634582</v>
      </c>
      <c r="P1575" s="11"/>
      <c r="Q1575" s="11"/>
      <c r="R1575" s="11"/>
      <c r="S1575" s="11"/>
      <c r="T1575" s="11"/>
      <c r="U1575" s="11"/>
      <c r="V1575" s="11"/>
      <c r="W1575" s="11"/>
      <c r="X1575" s="11"/>
      <c r="Y1575" s="11"/>
      <c r="Z1575" s="11"/>
    </row>
    <row r="1576" customHeight="1" spans="1:26">
      <c r="A1576" s="11" t="str">
        <f>IFERROR(__xludf.DUMMYFUNCTION("""COMPUTED_VALUE"""),"LIANDRA R PINHO DA C COUTINHO")</f>
        <v>LIANDRA R PINHO DA C COUTINHO</v>
      </c>
      <c r="B1576" s="11"/>
      <c r="C1576" s="11"/>
      <c r="D1576" s="11" t="str">
        <f>IFERROR(__xludf.DUMMYFUNCTION("""COMPUTED_VALUE"""),"ENFERMEIRO 30H - PLANTONISTA")</f>
        <v>ENFERMEIRO 30H - PLANTONISTA</v>
      </c>
      <c r="E1576" s="11"/>
      <c r="F1576" s="11" t="str">
        <f>IFERROR(__xludf.DUMMYFUNCTION("""COMPUTED_VALUE"""),"US_400 USF UPINHA DIA DOM HELDER")</f>
        <v>US_400 USF UPINHA DIA DOM HELDER</v>
      </c>
      <c r="G1576" s="11" t="str">
        <f>IFERROR(__xludf.DUMMYFUNCTION("""COMPUTED_VALUE"""),"US_400 USF UPINHA DIA DOM HELDER")</f>
        <v>US_400 USF UPINHA DIA DOM HELDER</v>
      </c>
      <c r="H1576" s="11"/>
      <c r="I1576" s="11"/>
      <c r="J1576" s="11"/>
      <c r="K1576" s="11"/>
      <c r="L1576" s="11"/>
      <c r="M1576" s="11"/>
      <c r="N1576" s="11"/>
      <c r="O1576" s="11">
        <f>IFERROR(__xludf.DUMMYFUNCTION("""COMPUTED_VALUE"""),9718954490)</f>
        <v>9718954490</v>
      </c>
      <c r="P1576" s="11"/>
      <c r="Q1576" s="11"/>
      <c r="R1576" s="11"/>
      <c r="S1576" s="11"/>
      <c r="T1576" s="11"/>
      <c r="U1576" s="11"/>
      <c r="V1576" s="11"/>
      <c r="W1576" s="11"/>
      <c r="X1576" s="11"/>
      <c r="Y1576" s="11"/>
      <c r="Z1576" s="11"/>
    </row>
    <row r="1577" customHeight="1" spans="1:26">
      <c r="A1577" s="11" t="str">
        <f>IFERROR(__xludf.DUMMYFUNCTION("""COMPUTED_VALUE"""),"MICHELLE INGRID C DA SILVA")</f>
        <v>MICHELLE INGRID C DA SILVA</v>
      </c>
      <c r="B1577" s="11"/>
      <c r="C1577" s="11"/>
      <c r="D1577" s="11" t="str">
        <f>IFERROR(__xludf.DUMMYFUNCTION("""COMPUTED_VALUE"""),"ENFERMEIRO 30H - OBSTETRA - PLANTONISTA")</f>
        <v>ENFERMEIRO 30H - OBSTETRA - PLANTONISTA</v>
      </c>
      <c r="E1577" s="11"/>
      <c r="F1577" s="11" t="str">
        <f>IFERROR(__xludf.DUMMYFUNCTION("""COMPUTED_VALUE"""),"US_306 CAPS AD PROF LUIZ CERQUEIRA")</f>
        <v>US_306 CAPS AD PROF LUIZ CERQUEIRA</v>
      </c>
      <c r="G1577" s="11" t="str">
        <f>IFERROR(__xludf.DUMMYFUNCTION("""COMPUTED_VALUE"""),"US_306 CAPS AD PROF LUIZ CERQUEIRA")</f>
        <v>US_306 CAPS AD PROF LUIZ CERQUEIRA</v>
      </c>
      <c r="H1577" s="11"/>
      <c r="I1577" s="11"/>
      <c r="J1577" s="11"/>
      <c r="K1577" s="11"/>
      <c r="L1577" s="11"/>
      <c r="M1577" s="11"/>
      <c r="N1577" s="11"/>
      <c r="O1577" s="11">
        <f>IFERROR(__xludf.DUMMYFUNCTION("""COMPUTED_VALUE"""),9764326412)</f>
        <v>9764326412</v>
      </c>
      <c r="P1577" s="11"/>
      <c r="Q1577" s="11"/>
      <c r="R1577" s="11"/>
      <c r="S1577" s="11"/>
      <c r="T1577" s="11"/>
      <c r="U1577" s="11"/>
      <c r="V1577" s="11"/>
      <c r="W1577" s="11"/>
      <c r="X1577" s="11"/>
      <c r="Y1577" s="11"/>
      <c r="Z1577" s="11"/>
    </row>
    <row r="1578" customHeight="1" spans="1:26">
      <c r="A1578" s="11" t="str">
        <f>IFERROR(__xludf.DUMMYFUNCTION("""COMPUTED_VALUE"""),"RENATA DE MIRANDA CORREIA")</f>
        <v>RENATA DE MIRANDA CORREIA</v>
      </c>
      <c r="B1578" s="11"/>
      <c r="C1578" s="11"/>
      <c r="D1578" s="11" t="str">
        <f>IFERROR(__xludf.DUMMYFUNCTION("""COMPUTED_VALUE"""),"ENFERMEIRO 30H - OBSTETRA - PLANTONISTA")</f>
        <v>ENFERMEIRO 30H - OBSTETRA - PLANTONISTA</v>
      </c>
      <c r="E1578" s="11"/>
      <c r="F1578" s="11" t="str">
        <f>IFERROR(__xludf.DUMMYFUNCTION("""COMPUTED_VALUE"""),"US_167 POLICLINICA E MATERNIDADE PROFESSOR BARROS LIMA")</f>
        <v>US_167 POLICLINICA E MATERNIDADE PROFESSOR BARROS LIMA</v>
      </c>
      <c r="G1578" s="11" t="str">
        <f>IFERROR(__xludf.DUMMYFUNCTION("""COMPUTED_VALUE"""),"US_167 POLICLINICA E MATERNIDADE PROFESSOR BARROS LIMA")</f>
        <v>US_167 POLICLINICA E MATERNIDADE PROFESSOR BARROS LIMA</v>
      </c>
      <c r="H1578" s="11"/>
      <c r="I1578" s="11"/>
      <c r="J1578" s="11"/>
      <c r="K1578" s="11"/>
      <c r="L1578" s="11"/>
      <c r="M1578" s="11"/>
      <c r="N1578" s="11"/>
      <c r="O1578" s="11">
        <f>IFERROR(__xludf.DUMMYFUNCTION("""COMPUTED_VALUE"""),9790863705)</f>
        <v>9790863705</v>
      </c>
      <c r="P1578" s="11"/>
      <c r="Q1578" s="11"/>
      <c r="R1578" s="11"/>
      <c r="S1578" s="11"/>
      <c r="T1578" s="11"/>
      <c r="U1578" s="11"/>
      <c r="V1578" s="11"/>
      <c r="W1578" s="11"/>
      <c r="X1578" s="11"/>
      <c r="Y1578" s="11"/>
      <c r="Z1578" s="11"/>
    </row>
    <row r="1579" customHeight="1" spans="1:26">
      <c r="A1579" s="11" t="str">
        <f>IFERROR(__xludf.DUMMYFUNCTION("""COMPUTED_VALUE"""),"MONIQUE MARIA DE SOUZA BALTAR")</f>
        <v>MONIQUE MARIA DE SOUZA BALTAR</v>
      </c>
      <c r="B1579" s="11"/>
      <c r="C1579" s="11"/>
      <c r="D1579" s="11" t="str">
        <f>IFERROR(__xludf.DUMMYFUNCTION("""COMPUTED_VALUE"""),"ENFERMEIRO 30H - OBSTETRA - PLANTONISTA")</f>
        <v>ENFERMEIRO 30H - OBSTETRA - PLANTONISTA</v>
      </c>
      <c r="E1579" s="11"/>
      <c r="F1579" s="11" t="str">
        <f>IFERROR(__xludf.DUMMYFUNCTION("""COMPUTED_VALUE"""),"US_165 MATERNIDADE BANDEIRA FILHO")</f>
        <v>US_165 MATERNIDADE BANDEIRA FILHO</v>
      </c>
      <c r="G1579" s="11" t="str">
        <f>IFERROR(__xludf.DUMMYFUNCTION("""COMPUTED_VALUE"""),"US_165 MATERNIDADE BANDEIRA FILHO")</f>
        <v>US_165 MATERNIDADE BANDEIRA FILHO</v>
      </c>
      <c r="H1579" s="11"/>
      <c r="I1579" s="11"/>
      <c r="J1579" s="11"/>
      <c r="K1579" s="11"/>
      <c r="L1579" s="11"/>
      <c r="M1579" s="11"/>
      <c r="N1579" s="11"/>
      <c r="O1579" s="11">
        <f>IFERROR(__xludf.DUMMYFUNCTION("""COMPUTED_VALUE"""),9292355414)</f>
        <v>9292355414</v>
      </c>
      <c r="P1579" s="11"/>
      <c r="Q1579" s="11"/>
      <c r="R1579" s="11"/>
      <c r="S1579" s="11"/>
      <c r="T1579" s="11"/>
      <c r="U1579" s="11"/>
      <c r="V1579" s="11"/>
      <c r="W1579" s="11"/>
      <c r="X1579" s="11"/>
      <c r="Y1579" s="11"/>
      <c r="Z1579" s="11"/>
    </row>
    <row r="1580" customHeight="1" spans="1:26">
      <c r="A1580" s="11" t="str">
        <f>IFERROR(__xludf.DUMMYFUNCTION("""COMPUTED_VALUE"""),"PRISCILA AZEVEDO DE MELO")</f>
        <v>PRISCILA AZEVEDO DE MELO</v>
      </c>
      <c r="B1580" s="11"/>
      <c r="C1580" s="11"/>
      <c r="D1580" s="11" t="str">
        <f>IFERROR(__xludf.DUMMYFUNCTION("""COMPUTED_VALUE"""),"ENFERMEIRO 30H - OBSTETRA - PLANTONISTA")</f>
        <v>ENFERMEIRO 30H - OBSTETRA - PLANTONISTA</v>
      </c>
      <c r="E1580" s="11"/>
      <c r="F1580" s="11" t="str">
        <f>IFERROR(__xludf.DUMMYFUNCTION("""COMPUTED_VALUE"""),"US_167 POLICLINICA E MATERNIDADE PROFESSOR BARROS LIMA")</f>
        <v>US_167 POLICLINICA E MATERNIDADE PROFESSOR BARROS LIMA</v>
      </c>
      <c r="G1580" s="11" t="str">
        <f>IFERROR(__xludf.DUMMYFUNCTION("""COMPUTED_VALUE"""),"US_167 POLICLINICA E MATERNIDADE PROFESSOR BARROS LIMA")</f>
        <v>US_167 POLICLINICA E MATERNIDADE PROFESSOR BARROS LIMA</v>
      </c>
      <c r="H1580" s="11"/>
      <c r="I1580" s="11"/>
      <c r="J1580" s="11"/>
      <c r="K1580" s="11"/>
      <c r="L1580" s="11"/>
      <c r="M1580" s="11"/>
      <c r="N1580" s="11"/>
      <c r="O1580" s="11">
        <f>IFERROR(__xludf.DUMMYFUNCTION("""COMPUTED_VALUE"""),9454941496)</f>
        <v>9454941496</v>
      </c>
      <c r="P1580" s="11"/>
      <c r="Q1580" s="11"/>
      <c r="R1580" s="11"/>
      <c r="S1580" s="11"/>
      <c r="T1580" s="11"/>
      <c r="U1580" s="11"/>
      <c r="V1580" s="11"/>
      <c r="W1580" s="11"/>
      <c r="X1580" s="11"/>
      <c r="Y1580" s="11"/>
      <c r="Z1580" s="11"/>
    </row>
    <row r="1581" customHeight="1" spans="1:26">
      <c r="A1581" s="11" t="str">
        <f>IFERROR(__xludf.DUMMYFUNCTION("""COMPUTED_VALUE"""),"RACHEL CAROLINE ALVES LEITE")</f>
        <v>RACHEL CAROLINE ALVES LEITE</v>
      </c>
      <c r="B1581" s="11"/>
      <c r="C1581" s="11"/>
      <c r="D1581" s="11" t="str">
        <f>IFERROR(__xludf.DUMMYFUNCTION("""COMPUTED_VALUE"""),"ENFERMEIRO 30H - OBSTETRA - PLANTONISTA")</f>
        <v>ENFERMEIRO 30H - OBSTETRA - PLANTONISTA</v>
      </c>
      <c r="E1581" s="11"/>
      <c r="F1581" s="11" t="str">
        <f>IFERROR(__xludf.DUMMYFUNCTION("""COMPUTED_VALUE"""),"US_167 POLICLINICA E MATERNIDADE PROFESSOR BARROS LIMA")</f>
        <v>US_167 POLICLINICA E MATERNIDADE PROFESSOR BARROS LIMA</v>
      </c>
      <c r="G1581" s="11" t="str">
        <f>IFERROR(__xludf.DUMMYFUNCTION("""COMPUTED_VALUE"""),"US_167 POLICLINICA E MATERNIDADE PROFESSOR BARROS LIMA")</f>
        <v>US_167 POLICLINICA E MATERNIDADE PROFESSOR BARROS LIMA</v>
      </c>
      <c r="H1581" s="11"/>
      <c r="I1581" s="11"/>
      <c r="J1581" s="11"/>
      <c r="K1581" s="11"/>
      <c r="L1581" s="11"/>
      <c r="M1581" s="11"/>
      <c r="N1581" s="11"/>
      <c r="O1581" s="11">
        <f>IFERROR(__xludf.DUMMYFUNCTION("""COMPUTED_VALUE"""),5507095418)</f>
        <v>5507095418</v>
      </c>
      <c r="P1581" s="11"/>
      <c r="Q1581" s="11"/>
      <c r="R1581" s="11"/>
      <c r="S1581" s="11"/>
      <c r="T1581" s="11"/>
      <c r="U1581" s="11"/>
      <c r="V1581" s="11"/>
      <c r="W1581" s="11"/>
      <c r="X1581" s="11"/>
      <c r="Y1581" s="11"/>
      <c r="Z1581" s="11"/>
    </row>
    <row r="1582" customHeight="1" spans="1:26">
      <c r="A1582" s="11" t="str">
        <f>IFERROR(__xludf.DUMMYFUNCTION("""COMPUTED_VALUE"""),"MONIQUE OLIVEIRA DO NASCIMENTO")</f>
        <v>MONIQUE OLIVEIRA DO NASCIMENTO</v>
      </c>
      <c r="B1582" s="11"/>
      <c r="C1582" s="11"/>
      <c r="D1582" s="11" t="str">
        <f>IFERROR(__xludf.DUMMYFUNCTION("""COMPUTED_VALUE"""),"ENFERMEIRO 30H - PLANTONISTA")</f>
        <v>ENFERMEIRO 30H - PLANTONISTA</v>
      </c>
      <c r="E1582" s="11"/>
      <c r="F1582" s="11" t="str">
        <f>IFERROR(__xludf.DUMMYFUNCTION("""COMPUTED_VALUE"""),"US_253 CAPS ESPACO VIDA")</f>
        <v>US_253 CAPS ESPACO VIDA</v>
      </c>
      <c r="G1582" s="11" t="str">
        <f>IFERROR(__xludf.DUMMYFUNCTION("""COMPUTED_VALUE"""),"US_253 CAPS ESPACO VIDA")</f>
        <v>US_253 CAPS ESPACO VIDA</v>
      </c>
      <c r="H1582" s="11"/>
      <c r="I1582" s="11"/>
      <c r="J1582" s="11"/>
      <c r="K1582" s="11"/>
      <c r="L1582" s="11"/>
      <c r="M1582" s="11"/>
      <c r="N1582" s="11"/>
      <c r="O1582" s="11">
        <f>IFERROR(__xludf.DUMMYFUNCTION("""COMPUTED_VALUE"""),8681290460)</f>
        <v>8681290460</v>
      </c>
      <c r="P1582" s="11"/>
      <c r="Q1582" s="11"/>
      <c r="R1582" s="11"/>
      <c r="S1582" s="11"/>
      <c r="T1582" s="11"/>
      <c r="U1582" s="11"/>
      <c r="V1582" s="11"/>
      <c r="W1582" s="11"/>
      <c r="X1582" s="11"/>
      <c r="Y1582" s="11"/>
      <c r="Z1582" s="11"/>
    </row>
    <row r="1583" customHeight="1" spans="1:26">
      <c r="A1583" s="11" t="str">
        <f>IFERROR(__xludf.DUMMYFUNCTION("""COMPUTED_VALUE"""),"KARLA MARLY SOARES MARTINS")</f>
        <v>KARLA MARLY SOARES MARTINS</v>
      </c>
      <c r="B1583" s="11"/>
      <c r="C1583" s="11"/>
      <c r="D1583" s="11" t="str">
        <f>IFERROR(__xludf.DUMMYFUNCTION("""COMPUTED_VALUE"""),"ENFERMEIRO 30H - PLANTONISTA")</f>
        <v>ENFERMEIRO 30H - PLANTONISTA</v>
      </c>
      <c r="E1583" s="11"/>
      <c r="F1583" s="11" t="str">
        <f>IFERROR(__xludf.DUMMYFUNCTION("""COMPUTED_VALUE"""),"US_167 POLICLINICA E MATERNIDADE PROFESSOR BARROS LIMA")</f>
        <v>US_167 POLICLINICA E MATERNIDADE PROFESSOR BARROS LIMA</v>
      </c>
      <c r="G1583" s="11" t="str">
        <f>IFERROR(__xludf.DUMMYFUNCTION("""COMPUTED_VALUE"""),"US_167 POLICLINICA E MATERNIDADE PROFESSOR BARROS LIMA")</f>
        <v>US_167 POLICLINICA E MATERNIDADE PROFESSOR BARROS LIMA</v>
      </c>
      <c r="H1583" s="11"/>
      <c r="I1583" s="11"/>
      <c r="J1583" s="11"/>
      <c r="K1583" s="11"/>
      <c r="L1583" s="11"/>
      <c r="M1583" s="11"/>
      <c r="N1583" s="11"/>
      <c r="O1583" s="11">
        <f>IFERROR(__xludf.DUMMYFUNCTION("""COMPUTED_VALUE"""),6427851470)</f>
        <v>6427851470</v>
      </c>
      <c r="P1583" s="11"/>
      <c r="Q1583" s="11"/>
      <c r="R1583" s="11"/>
      <c r="S1583" s="11"/>
      <c r="T1583" s="11"/>
      <c r="U1583" s="11"/>
      <c r="V1583" s="11"/>
      <c r="W1583" s="11"/>
      <c r="X1583" s="11"/>
      <c r="Y1583" s="11"/>
      <c r="Z1583" s="11"/>
    </row>
    <row r="1584" customHeight="1" spans="1:26">
      <c r="A1584" s="11" t="str">
        <f>IFERROR(__xludf.DUMMYFUNCTION("""COMPUTED_VALUE"""),"NATHALIA MEDEIROS MARTINS")</f>
        <v>NATHALIA MEDEIROS MARTINS</v>
      </c>
      <c r="B1584" s="11"/>
      <c r="C1584" s="11"/>
      <c r="D1584" s="11" t="str">
        <f>IFERROR(__xludf.DUMMYFUNCTION("""COMPUTED_VALUE"""),"ENFERMEIRO 30H - PLANTONISTA")</f>
        <v>ENFERMEIRO 30H - PLANTONISTA</v>
      </c>
      <c r="E1584" s="11"/>
      <c r="F1584" s="11" t="str">
        <f>IFERROR(__xludf.DUMMYFUNCTION("""COMPUTED_VALUE"""),"US_153 POLICLINICA E MATERNIDADE ARNALDO MARQUES")</f>
        <v>US_153 POLICLINICA E MATERNIDADE ARNALDO MARQUES</v>
      </c>
      <c r="G1584" s="11" t="str">
        <f>IFERROR(__xludf.DUMMYFUNCTION("""COMPUTED_VALUE"""),"US_153 POLICLINICA E MATERNIDADE ARNALDO MARQUES")</f>
        <v>US_153 POLICLINICA E MATERNIDADE ARNALDO MARQUES</v>
      </c>
      <c r="H1584" s="11"/>
      <c r="I1584" s="11"/>
      <c r="J1584" s="11"/>
      <c r="K1584" s="11"/>
      <c r="L1584" s="11"/>
      <c r="M1584" s="11"/>
      <c r="N1584" s="11"/>
      <c r="O1584" s="11">
        <f>IFERROR(__xludf.DUMMYFUNCTION("""COMPUTED_VALUE"""),5673073445)</f>
        <v>5673073445</v>
      </c>
      <c r="P1584" s="11"/>
      <c r="Q1584" s="11"/>
      <c r="R1584" s="11"/>
      <c r="S1584" s="11"/>
      <c r="T1584" s="11"/>
      <c r="U1584" s="11"/>
      <c r="V1584" s="11"/>
      <c r="W1584" s="11"/>
      <c r="X1584" s="11"/>
      <c r="Y1584" s="11"/>
      <c r="Z1584" s="11"/>
    </row>
    <row r="1585" customHeight="1" spans="1:26">
      <c r="A1585" s="11" t="str">
        <f>IFERROR(__xludf.DUMMYFUNCTION("""COMPUTED_VALUE"""),"RENATA LAISE DE MOURA BARROS")</f>
        <v>RENATA LAISE DE MOURA BARROS</v>
      </c>
      <c r="B1585" s="11"/>
      <c r="C1585" s="11"/>
      <c r="D1585" s="11" t="str">
        <f>IFERROR(__xludf.DUMMYFUNCTION("""COMPUTED_VALUE"""),"ENFERMEIRO 30H - PLANTONISTA")</f>
        <v>ENFERMEIRO 30H - PLANTONISTA</v>
      </c>
      <c r="E1585" s="11"/>
      <c r="F1585" s="11" t="str">
        <f>IFERROR(__xludf.DUMMYFUNCTION("""COMPUTED_VALUE"""),"US_167 POLICLINICA E MATERNIDADE PROFESSOR BARROS LIMA")</f>
        <v>US_167 POLICLINICA E MATERNIDADE PROFESSOR BARROS LIMA</v>
      </c>
      <c r="G1585" s="11" t="str">
        <f>IFERROR(__xludf.DUMMYFUNCTION("""COMPUTED_VALUE"""),"US_167 POLICLINICA E MATERNIDADE PROFESSOR BARROS LIMA")</f>
        <v>US_167 POLICLINICA E MATERNIDADE PROFESSOR BARROS LIMA</v>
      </c>
      <c r="H1585" s="11"/>
      <c r="I1585" s="11"/>
      <c r="J1585" s="11"/>
      <c r="K1585" s="11"/>
      <c r="L1585" s="11"/>
      <c r="M1585" s="11"/>
      <c r="N1585" s="11"/>
      <c r="O1585" s="11">
        <f>IFERROR(__xludf.DUMMYFUNCTION("""COMPUTED_VALUE"""),5236981433)</f>
        <v>5236981433</v>
      </c>
      <c r="P1585" s="11"/>
      <c r="Q1585" s="11"/>
      <c r="R1585" s="11"/>
      <c r="S1585" s="11"/>
      <c r="T1585" s="11"/>
      <c r="U1585" s="11"/>
      <c r="V1585" s="11"/>
      <c r="W1585" s="11"/>
      <c r="X1585" s="11"/>
      <c r="Y1585" s="11"/>
      <c r="Z1585" s="11"/>
    </row>
    <row r="1586" customHeight="1" spans="1:26">
      <c r="A1586" s="11" t="str">
        <f>IFERROR(__xludf.DUMMYFUNCTION("""COMPUTED_VALUE"""),"MIRELLA PEREIRA DA SILVA")</f>
        <v>MIRELLA PEREIRA DA SILVA</v>
      </c>
      <c r="B1586" s="11"/>
      <c r="C1586" s="11"/>
      <c r="D1586" s="11" t="str">
        <f>IFERROR(__xludf.DUMMYFUNCTION("""COMPUTED_VALUE"""),"ENFERMEIRO 30H - PLANTONISTA")</f>
        <v>ENFERMEIRO 30H - PLANTONISTA</v>
      </c>
      <c r="E1586" s="11"/>
      <c r="F1586" s="11" t="str">
        <f>IFERROR(__xludf.DUMMYFUNCTION("""COMPUTED_VALUE"""),"US_167 POLICLINICA E MATERNIDADE PROFESSOR BARROS LIMA")</f>
        <v>US_167 POLICLINICA E MATERNIDADE PROFESSOR BARROS LIMA</v>
      </c>
      <c r="G1586" s="11" t="str">
        <f>IFERROR(__xludf.DUMMYFUNCTION("""COMPUTED_VALUE"""),"US_167 POLICLINICA E MATERNIDADE PROFESSOR BARROS LIMA")</f>
        <v>US_167 POLICLINICA E MATERNIDADE PROFESSOR BARROS LIMA</v>
      </c>
      <c r="H1586" s="11"/>
      <c r="I1586" s="11"/>
      <c r="J1586" s="11"/>
      <c r="K1586" s="11"/>
      <c r="L1586" s="11"/>
      <c r="M1586" s="11"/>
      <c r="N1586" s="11"/>
      <c r="O1586" s="11">
        <f>IFERROR(__xludf.DUMMYFUNCTION("""COMPUTED_VALUE"""),6191882432)</f>
        <v>6191882432</v>
      </c>
      <c r="P1586" s="11"/>
      <c r="Q1586" s="11"/>
      <c r="R1586" s="11"/>
      <c r="S1586" s="11"/>
      <c r="T1586" s="11"/>
      <c r="U1586" s="11"/>
      <c r="V1586" s="11"/>
      <c r="W1586" s="11"/>
      <c r="X1586" s="11"/>
      <c r="Y1586" s="11"/>
      <c r="Z1586" s="11"/>
    </row>
    <row r="1587" customHeight="1" spans="1:26">
      <c r="A1587" s="11" t="str">
        <f>IFERROR(__xludf.DUMMYFUNCTION("""COMPUTED_VALUE"""),"ELIANE MARIA PEREIRA")</f>
        <v>ELIANE MARIA PEREIRA</v>
      </c>
      <c r="B1587" s="11"/>
      <c r="C1587" s="11"/>
      <c r="D1587" s="11" t="str">
        <f>IFERROR(__xludf.DUMMYFUNCTION("""COMPUTED_VALUE"""),"ENFERMEIRO 30H - OBSTETRA - PLANTONISTA")</f>
        <v>ENFERMEIRO 30H - OBSTETRA - PLANTONISTA</v>
      </c>
      <c r="E1587" s="11"/>
      <c r="F1587" s="11" t="str">
        <f>IFERROR(__xludf.DUMMYFUNCTION("""COMPUTED_VALUE"""),"US_167 POLICLINICA E MATERNIDADE PROFESSOR BARROS LIMA")</f>
        <v>US_167 POLICLINICA E MATERNIDADE PROFESSOR BARROS LIMA</v>
      </c>
      <c r="G1587" s="11" t="str">
        <f>IFERROR(__xludf.DUMMYFUNCTION("""COMPUTED_VALUE"""),"US_167 POLICLINICA E MATERNIDADE PROFESSOR BARROS LIMA")</f>
        <v>US_167 POLICLINICA E MATERNIDADE PROFESSOR BARROS LIMA</v>
      </c>
      <c r="H1587" s="11"/>
      <c r="I1587" s="11"/>
      <c r="J1587" s="11"/>
      <c r="K1587" s="11"/>
      <c r="L1587" s="11"/>
      <c r="M1587" s="11"/>
      <c r="N1587" s="11"/>
      <c r="O1587" s="11">
        <f>IFERROR(__xludf.DUMMYFUNCTION("""COMPUTED_VALUE"""),4350856463)</f>
        <v>4350856463</v>
      </c>
      <c r="P1587" s="11"/>
      <c r="Q1587" s="11"/>
      <c r="R1587" s="11"/>
      <c r="S1587" s="11"/>
      <c r="T1587" s="11"/>
      <c r="U1587" s="11"/>
      <c r="V1587" s="11"/>
      <c r="W1587" s="11"/>
      <c r="X1587" s="11"/>
      <c r="Y1587" s="11"/>
      <c r="Z1587" s="11"/>
    </row>
    <row r="1588" customHeight="1" spans="1:26">
      <c r="A1588" s="11" t="str">
        <f>IFERROR(__xludf.DUMMYFUNCTION("""COMPUTED_VALUE"""),"THACIA BEZERRA T DE OLIVEIRA")</f>
        <v>THACIA BEZERRA T DE OLIVEIRA</v>
      </c>
      <c r="B1588" s="11"/>
      <c r="C1588" s="11"/>
      <c r="D1588" s="11" t="str">
        <f>IFERROR(__xludf.DUMMYFUNCTION("""COMPUTED_VALUE"""),"ENFERMEIRO 30H - OBSTETRA - PLANTONISTA")</f>
        <v>ENFERMEIRO 30H - OBSTETRA - PLANTONISTA</v>
      </c>
      <c r="E1588" s="11"/>
      <c r="F1588" s="11" t="str">
        <f>IFERROR(__xludf.DUMMYFUNCTION("""COMPUTED_VALUE"""),"US_165 MATERNIDADE BANDEIRA FILHO")</f>
        <v>US_165 MATERNIDADE BANDEIRA FILHO</v>
      </c>
      <c r="G1588" s="11" t="str">
        <f>IFERROR(__xludf.DUMMYFUNCTION("""COMPUTED_VALUE"""),"US_165 MATERNIDADE BANDEIRA FILHO")</f>
        <v>US_165 MATERNIDADE BANDEIRA FILHO</v>
      </c>
      <c r="H1588" s="11"/>
      <c r="I1588" s="11"/>
      <c r="J1588" s="11"/>
      <c r="K1588" s="11"/>
      <c r="L1588" s="11"/>
      <c r="M1588" s="11"/>
      <c r="N1588" s="11"/>
      <c r="O1588" s="11">
        <f>IFERROR(__xludf.DUMMYFUNCTION("""COMPUTED_VALUE"""),5439726403)</f>
        <v>5439726403</v>
      </c>
      <c r="P1588" s="11"/>
      <c r="Q1588" s="11"/>
      <c r="R1588" s="11"/>
      <c r="S1588" s="11"/>
      <c r="T1588" s="11"/>
      <c r="U1588" s="11"/>
      <c r="V1588" s="11"/>
      <c r="W1588" s="11"/>
      <c r="X1588" s="11"/>
      <c r="Y1588" s="11"/>
      <c r="Z1588" s="11"/>
    </row>
    <row r="1589" customHeight="1" spans="1:26">
      <c r="A1589" s="11" t="str">
        <f>IFERROR(__xludf.DUMMYFUNCTION("""COMPUTED_VALUE"""),"JOANA CARVALHO DE JESUS")</f>
        <v>JOANA CARVALHO DE JESUS</v>
      </c>
      <c r="B1589" s="11"/>
      <c r="C1589" s="11"/>
      <c r="D1589" s="11" t="str">
        <f>IFERROR(__xludf.DUMMYFUNCTION("""COMPUTED_VALUE"""),"ENFERMEIRO 30H - OBSTETRA - PLANTONISTA")</f>
        <v>ENFERMEIRO 30H - OBSTETRA - PLANTONISTA</v>
      </c>
      <c r="E1589" s="11"/>
      <c r="F1589" s="11" t="str">
        <f>IFERROR(__xludf.DUMMYFUNCTION("""COMPUTED_VALUE"""),"US_165 MATERNIDADE BANDEIRA FILHO")</f>
        <v>US_165 MATERNIDADE BANDEIRA FILHO</v>
      </c>
      <c r="G1589" s="11" t="str">
        <f>IFERROR(__xludf.DUMMYFUNCTION("""COMPUTED_VALUE"""),"US_165 MATERNIDADE BANDEIRA FILHO")</f>
        <v>US_165 MATERNIDADE BANDEIRA FILHO</v>
      </c>
      <c r="H1589" s="11"/>
      <c r="I1589" s="11"/>
      <c r="J1589" s="11"/>
      <c r="K1589" s="11"/>
      <c r="L1589" s="11"/>
      <c r="M1589" s="11"/>
      <c r="N1589" s="11"/>
      <c r="O1589" s="11">
        <f>IFERROR(__xludf.DUMMYFUNCTION("""COMPUTED_VALUE"""),3653031516)</f>
        <v>3653031516</v>
      </c>
      <c r="P1589" s="11"/>
      <c r="Q1589" s="11"/>
      <c r="R1589" s="11"/>
      <c r="S1589" s="11"/>
      <c r="T1589" s="11"/>
      <c r="U1589" s="11"/>
      <c r="V1589" s="11"/>
      <c r="W1589" s="11"/>
      <c r="X1589" s="11"/>
      <c r="Y1589" s="11"/>
      <c r="Z1589" s="11"/>
    </row>
    <row r="1590" customHeight="1" spans="1:26">
      <c r="A1590" s="11" t="str">
        <f>IFERROR(__xludf.DUMMYFUNCTION("""COMPUTED_VALUE"""),"ANA CAROLINA CRISTOVAO SILVA")</f>
        <v>ANA CAROLINA CRISTOVAO SILVA</v>
      </c>
      <c r="B1590" s="11"/>
      <c r="C1590" s="11"/>
      <c r="D1590" s="11" t="str">
        <f>IFERROR(__xludf.DUMMYFUNCTION("""COMPUTED_VALUE"""),"ENFERMEIRO 30H - OBSTETRA - PLANTONISTA")</f>
        <v>ENFERMEIRO 30H - OBSTETRA - PLANTONISTA</v>
      </c>
      <c r="E1590" s="11"/>
      <c r="F1590" s="11" t="str">
        <f>IFERROR(__xludf.DUMMYFUNCTION("""COMPUTED_VALUE"""),"US_167 POLICLINICA E MATERNIDADE PROFESSOR BARROS LIMA")</f>
        <v>US_167 POLICLINICA E MATERNIDADE PROFESSOR BARROS LIMA</v>
      </c>
      <c r="G1590" s="11" t="str">
        <f>IFERROR(__xludf.DUMMYFUNCTION("""COMPUTED_VALUE"""),"US_167 POLICLINICA E MATERNIDADE PROFESSOR BARROS LIMA")</f>
        <v>US_167 POLICLINICA E MATERNIDADE PROFESSOR BARROS LIMA</v>
      </c>
      <c r="H1590" s="11"/>
      <c r="I1590" s="11"/>
      <c r="J1590" s="11"/>
      <c r="K1590" s="11"/>
      <c r="L1590" s="11"/>
      <c r="M1590" s="11"/>
      <c r="N1590" s="11"/>
      <c r="O1590" s="11">
        <f>IFERROR(__xludf.DUMMYFUNCTION("""COMPUTED_VALUE"""),7957136494)</f>
        <v>7957136494</v>
      </c>
      <c r="P1590" s="11"/>
      <c r="Q1590" s="11"/>
      <c r="R1590" s="11"/>
      <c r="S1590" s="11"/>
      <c r="T1590" s="11"/>
      <c r="U1590" s="11"/>
      <c r="V1590" s="11"/>
      <c r="W1590" s="11"/>
      <c r="X1590" s="11"/>
      <c r="Y1590" s="11"/>
      <c r="Z1590" s="11"/>
    </row>
    <row r="1591" customHeight="1" spans="1:26">
      <c r="A1591" s="11" t="str">
        <f>IFERROR(__xludf.DUMMYFUNCTION("""COMPUTED_VALUE"""),"JOANNA FRANCYNE S DE BARROS")</f>
        <v>JOANNA FRANCYNE S DE BARROS</v>
      </c>
      <c r="B1591" s="11"/>
      <c r="C1591" s="11"/>
      <c r="D1591" s="11" t="str">
        <f>IFERROR(__xludf.DUMMYFUNCTION("""COMPUTED_VALUE"""),"ENFERMEIRO 30H - OBSTETRA - PLANTONISTA")</f>
        <v>ENFERMEIRO 30H - OBSTETRA - PLANTONISTA</v>
      </c>
      <c r="E1591" s="11"/>
      <c r="F1591" s="11" t="str">
        <f>IFERROR(__xludf.DUMMYFUNCTION("""COMPUTED_VALUE"""),"US_165 MATERNIDADE BANDEIRA FILHO")</f>
        <v>US_165 MATERNIDADE BANDEIRA FILHO</v>
      </c>
      <c r="G1591" s="11" t="str">
        <f>IFERROR(__xludf.DUMMYFUNCTION("""COMPUTED_VALUE"""),"US_165 MATERNIDADE BANDEIRA FILHO")</f>
        <v>US_165 MATERNIDADE BANDEIRA FILHO</v>
      </c>
      <c r="H1591" s="11"/>
      <c r="I1591" s="11"/>
      <c r="J1591" s="11"/>
      <c r="K1591" s="11"/>
      <c r="L1591" s="11"/>
      <c r="M1591" s="11"/>
      <c r="N1591" s="11"/>
      <c r="O1591" s="11">
        <f>IFERROR(__xludf.DUMMYFUNCTION("""COMPUTED_VALUE"""),9633061466)</f>
        <v>9633061466</v>
      </c>
      <c r="P1591" s="11"/>
      <c r="Q1591" s="11"/>
      <c r="R1591" s="11"/>
      <c r="S1591" s="11"/>
      <c r="T1591" s="11"/>
      <c r="U1591" s="11"/>
      <c r="V1591" s="11"/>
      <c r="W1591" s="11"/>
      <c r="X1591" s="11"/>
      <c r="Y1591" s="11"/>
      <c r="Z1591" s="11"/>
    </row>
    <row r="1592" customHeight="1" spans="1:26">
      <c r="A1592" s="11" t="str">
        <f>IFERROR(__xludf.DUMMYFUNCTION("""COMPUTED_VALUE"""),"ELAINE CARMO DA SILVA")</f>
        <v>ELAINE CARMO DA SILVA</v>
      </c>
      <c r="B1592" s="11"/>
      <c r="C1592" s="11"/>
      <c r="D1592" s="11" t="str">
        <f>IFERROR(__xludf.DUMMYFUNCTION("""COMPUTED_VALUE"""),"ENFERMEIRO 30H - OBSTETRA - PLANTONISTA")</f>
        <v>ENFERMEIRO 30H - OBSTETRA - PLANTONISTA</v>
      </c>
      <c r="E1592" s="11"/>
      <c r="F1592" s="11" t="str">
        <f>IFERROR(__xludf.DUMMYFUNCTION("""COMPUTED_VALUE"""),"US_167 POLICLINICA E MATERNIDADE PROFESSOR BARROS LIMA")</f>
        <v>US_167 POLICLINICA E MATERNIDADE PROFESSOR BARROS LIMA</v>
      </c>
      <c r="G1592" s="11" t="str">
        <f>IFERROR(__xludf.DUMMYFUNCTION("""COMPUTED_VALUE"""),"US_167 POLICLINICA E MATERNIDADE PROFESSOR BARROS LIMA")</f>
        <v>US_167 POLICLINICA E MATERNIDADE PROFESSOR BARROS LIMA</v>
      </c>
      <c r="H1592" s="11"/>
      <c r="I1592" s="11"/>
      <c r="J1592" s="11"/>
      <c r="K1592" s="11"/>
      <c r="L1592" s="11"/>
      <c r="M1592" s="11"/>
      <c r="N1592" s="11"/>
      <c r="O1592" s="11">
        <f>IFERROR(__xludf.DUMMYFUNCTION("""COMPUTED_VALUE"""),6080974460)</f>
        <v>6080974460</v>
      </c>
      <c r="P1592" s="11"/>
      <c r="Q1592" s="11"/>
      <c r="R1592" s="11"/>
      <c r="S1592" s="11"/>
      <c r="T1592" s="11"/>
      <c r="U1592" s="11"/>
      <c r="V1592" s="11"/>
      <c r="W1592" s="11"/>
      <c r="X1592" s="11"/>
      <c r="Y1592" s="11"/>
      <c r="Z1592" s="11"/>
    </row>
    <row r="1593" customHeight="1" spans="1:26">
      <c r="A1593" s="11" t="str">
        <f>IFERROR(__xludf.DUMMYFUNCTION("""COMPUTED_VALUE"""),"EMMANUELA PRISCILA DE L VIEIRA")</f>
        <v>EMMANUELA PRISCILA DE L VIEIRA</v>
      </c>
      <c r="B1593" s="11"/>
      <c r="C1593" s="11"/>
      <c r="D1593" s="11" t="str">
        <f>IFERROR(__xludf.DUMMYFUNCTION("""COMPUTED_VALUE"""),"ENFERMEIRO 30H - OBSTETRA - PLANTONISTA")</f>
        <v>ENFERMEIRO 30H - OBSTETRA - PLANTONISTA</v>
      </c>
      <c r="E1593" s="11"/>
      <c r="F1593" s="11" t="str">
        <f>IFERROR(__xludf.DUMMYFUNCTION("""COMPUTED_VALUE"""),"US_170 CAPS DR GALDINO LORETO")</f>
        <v>US_170 CAPS DR GALDINO LORETO</v>
      </c>
      <c r="G1593" s="11" t="str">
        <f>IFERROR(__xludf.DUMMYFUNCTION("""COMPUTED_VALUE"""),"US_170 CAPS DR GALDINO LORETO")</f>
        <v>US_170 CAPS DR GALDINO LORETO</v>
      </c>
      <c r="H1593" s="11"/>
      <c r="I1593" s="11"/>
      <c r="J1593" s="11"/>
      <c r="K1593" s="11"/>
      <c r="L1593" s="11"/>
      <c r="M1593" s="11"/>
      <c r="N1593" s="11"/>
      <c r="O1593" s="11">
        <f>IFERROR(__xludf.DUMMYFUNCTION("""COMPUTED_VALUE"""),5183252459)</f>
        <v>5183252459</v>
      </c>
      <c r="P1593" s="11"/>
      <c r="Q1593" s="11"/>
      <c r="R1593" s="11"/>
      <c r="S1593" s="11"/>
      <c r="T1593" s="11"/>
      <c r="U1593" s="11"/>
      <c r="V1593" s="11"/>
      <c r="W1593" s="11"/>
      <c r="X1593" s="11"/>
      <c r="Y1593" s="11"/>
      <c r="Z1593" s="11"/>
    </row>
    <row r="1594" customHeight="1" spans="1:26">
      <c r="A1594" s="11" t="str">
        <f>IFERROR(__xludf.DUMMYFUNCTION("""COMPUTED_VALUE"""),"LAURA MARIA TENORIO R PINTO")</f>
        <v>LAURA MARIA TENORIO R PINTO</v>
      </c>
      <c r="B1594" s="11"/>
      <c r="C1594" s="11"/>
      <c r="D1594" s="11" t="str">
        <f>IFERROR(__xludf.DUMMYFUNCTION("""COMPUTED_VALUE"""),"ENFERMEIRO 30H - OBSTETRA - PLANTONISTA")</f>
        <v>ENFERMEIRO 30H - OBSTETRA - PLANTONISTA</v>
      </c>
      <c r="E1594" s="11"/>
      <c r="F1594" s="11" t="str">
        <f>IFERROR(__xludf.DUMMYFUNCTION("""COMPUTED_VALUE"""),"US_165 MATERNIDADE BANDEIRA FILHO")</f>
        <v>US_165 MATERNIDADE BANDEIRA FILHO</v>
      </c>
      <c r="G1594" s="11" t="str">
        <f>IFERROR(__xludf.DUMMYFUNCTION("""COMPUTED_VALUE"""),"US_165 MATERNIDADE BANDEIRA FILHO")</f>
        <v>US_165 MATERNIDADE BANDEIRA FILHO</v>
      </c>
      <c r="H1594" s="11"/>
      <c r="I1594" s="11"/>
      <c r="J1594" s="11"/>
      <c r="K1594" s="11"/>
      <c r="L1594" s="11"/>
      <c r="M1594" s="11"/>
      <c r="N1594" s="11"/>
      <c r="O1594" s="11">
        <f>IFERROR(__xludf.DUMMYFUNCTION("""COMPUTED_VALUE"""),6799342438)</f>
        <v>6799342438</v>
      </c>
      <c r="P1594" s="11"/>
      <c r="Q1594" s="11"/>
      <c r="R1594" s="11"/>
      <c r="S1594" s="11"/>
      <c r="T1594" s="11"/>
      <c r="U1594" s="11"/>
      <c r="V1594" s="11"/>
      <c r="W1594" s="11"/>
      <c r="X1594" s="11"/>
      <c r="Y1594" s="11"/>
      <c r="Z1594" s="11"/>
    </row>
    <row r="1595" customHeight="1" spans="1:26">
      <c r="A1595" s="11" t="str">
        <f>IFERROR(__xludf.DUMMYFUNCTION("""COMPUTED_VALUE"""),"MONIQUE CRISTINE DA SILVA")</f>
        <v>MONIQUE CRISTINE DA SILVA</v>
      </c>
      <c r="B1595" s="11"/>
      <c r="C1595" s="11"/>
      <c r="D1595" s="11" t="str">
        <f>IFERROR(__xludf.DUMMYFUNCTION("""COMPUTED_VALUE"""),"ENFERMEIRO 30H - OBSTETRA - PLANTONISTA")</f>
        <v>ENFERMEIRO 30H - OBSTETRA - PLANTONISTA</v>
      </c>
      <c r="E1595" s="11"/>
      <c r="F1595" s="11" t="str">
        <f>IFERROR(__xludf.DUMMYFUNCTION("""COMPUTED_VALUE"""),"US_167 POLICLINICA E MATERNIDADE PROFESSOR BARROS LIMA")</f>
        <v>US_167 POLICLINICA E MATERNIDADE PROFESSOR BARROS LIMA</v>
      </c>
      <c r="G1595" s="11" t="str">
        <f>IFERROR(__xludf.DUMMYFUNCTION("""COMPUTED_VALUE"""),"US_167 POLICLINICA E MATERNIDADE PROFESSOR BARROS LIMA")</f>
        <v>US_167 POLICLINICA E MATERNIDADE PROFESSOR BARROS LIMA</v>
      </c>
      <c r="H1595" s="11"/>
      <c r="I1595" s="11"/>
      <c r="J1595" s="11"/>
      <c r="K1595" s="11"/>
      <c r="L1595" s="11"/>
      <c r="M1595" s="11"/>
      <c r="N1595" s="11"/>
      <c r="O1595" s="11">
        <f>IFERROR(__xludf.DUMMYFUNCTION("""COMPUTED_VALUE"""),9559481428)</f>
        <v>9559481428</v>
      </c>
      <c r="P1595" s="11"/>
      <c r="Q1595" s="11"/>
      <c r="R1595" s="11"/>
      <c r="S1595" s="11"/>
      <c r="T1595" s="11"/>
      <c r="U1595" s="11"/>
      <c r="V1595" s="11"/>
      <c r="W1595" s="11"/>
      <c r="X1595" s="11"/>
      <c r="Y1595" s="11"/>
      <c r="Z1595" s="11"/>
    </row>
    <row r="1596" customHeight="1" spans="1:26">
      <c r="A1596" s="11" t="str">
        <f>IFERROR(__xludf.DUMMYFUNCTION("""COMPUTED_VALUE"""),"NATALIA DAIANA L DE S VIEIRA")</f>
        <v>NATALIA DAIANA L DE S VIEIRA</v>
      </c>
      <c r="B1596" s="11"/>
      <c r="C1596" s="11"/>
      <c r="D1596" s="11" t="str">
        <f>IFERROR(__xludf.DUMMYFUNCTION("""COMPUTED_VALUE"""),"ENFERMEIRO 30H - OBSTETRA - PLANTONISTA")</f>
        <v>ENFERMEIRO 30H - OBSTETRA - PLANTONISTA</v>
      </c>
      <c r="E1596" s="11"/>
      <c r="F1596" s="11" t="str">
        <f>IFERROR(__xludf.DUMMYFUNCTION("""COMPUTED_VALUE"""),"US_167 POLICLINICA E MATERNIDADE PROFESSOR BARROS LIMA")</f>
        <v>US_167 POLICLINICA E MATERNIDADE PROFESSOR BARROS LIMA</v>
      </c>
      <c r="G1596" s="11" t="str">
        <f>IFERROR(__xludf.DUMMYFUNCTION("""COMPUTED_VALUE"""),"US_167 POLICLINICA E MATERNIDADE PROFESSOR BARROS LIMA")</f>
        <v>US_167 POLICLINICA E MATERNIDADE PROFESSOR BARROS LIMA</v>
      </c>
      <c r="H1596" s="11"/>
      <c r="I1596" s="11"/>
      <c r="J1596" s="11"/>
      <c r="K1596" s="11"/>
      <c r="L1596" s="11"/>
      <c r="M1596" s="11"/>
      <c r="N1596" s="11"/>
      <c r="O1596" s="11">
        <f>IFERROR(__xludf.DUMMYFUNCTION("""COMPUTED_VALUE"""),1719275327)</f>
        <v>1719275327</v>
      </c>
      <c r="P1596" s="11"/>
      <c r="Q1596" s="11"/>
      <c r="R1596" s="11"/>
      <c r="S1596" s="11"/>
      <c r="T1596" s="11"/>
      <c r="U1596" s="11"/>
      <c r="V1596" s="11"/>
      <c r="W1596" s="11"/>
      <c r="X1596" s="11"/>
      <c r="Y1596" s="11"/>
      <c r="Z1596" s="11"/>
    </row>
    <row r="1597" customHeight="1" spans="1:26">
      <c r="A1597" s="11" t="str">
        <f>IFERROR(__xludf.DUMMYFUNCTION("""COMPUTED_VALUE"""),"CYNTHIA DANTAS VICENTE")</f>
        <v>CYNTHIA DANTAS VICENTE</v>
      </c>
      <c r="B1597" s="11"/>
      <c r="C1597" s="11"/>
      <c r="D1597" s="11" t="str">
        <f>IFERROR(__xludf.DUMMYFUNCTION("""COMPUTED_VALUE"""),"ENFERMEIRO 30H - OBSTETRA - PLANTONISTA")</f>
        <v>ENFERMEIRO 30H - OBSTETRA - PLANTONISTA</v>
      </c>
      <c r="E1597" s="11"/>
      <c r="F1597" s="11" t="str">
        <f>IFERROR(__xludf.DUMMYFUNCTION("""COMPUTED_VALUE"""),"US_167 POLICLINICA E MATERNIDADE PROFESSOR BARROS LIMA")</f>
        <v>US_167 POLICLINICA E MATERNIDADE PROFESSOR BARROS LIMA</v>
      </c>
      <c r="G1597" s="11" t="str">
        <f>IFERROR(__xludf.DUMMYFUNCTION("""COMPUTED_VALUE"""),"US_167 POLICLINICA E MATERNIDADE PROFESSOR BARROS LIMA")</f>
        <v>US_167 POLICLINICA E MATERNIDADE PROFESSOR BARROS LIMA</v>
      </c>
      <c r="H1597" s="11"/>
      <c r="I1597" s="11"/>
      <c r="J1597" s="11"/>
      <c r="K1597" s="11"/>
      <c r="L1597" s="11"/>
      <c r="M1597" s="11"/>
      <c r="N1597" s="11"/>
      <c r="O1597" s="11">
        <f>IFERROR(__xludf.DUMMYFUNCTION("""COMPUTED_VALUE"""),9492228440)</f>
        <v>9492228440</v>
      </c>
      <c r="P1597" s="11"/>
      <c r="Q1597" s="11"/>
      <c r="R1597" s="11"/>
      <c r="S1597" s="11"/>
      <c r="T1597" s="11"/>
      <c r="U1597" s="11"/>
      <c r="V1597" s="11"/>
      <c r="W1597" s="11"/>
      <c r="X1597" s="11"/>
      <c r="Y1597" s="11"/>
      <c r="Z1597" s="11"/>
    </row>
    <row r="1598" customHeight="1" spans="1:26">
      <c r="A1598" s="11" t="str">
        <f>IFERROR(__xludf.DUMMYFUNCTION("""COMPUTED_VALUE"""),"MARCIA DE SOUZA GOMES")</f>
        <v>MARCIA DE SOUZA GOMES</v>
      </c>
      <c r="B1598" s="11"/>
      <c r="C1598" s="11"/>
      <c r="D1598" s="11" t="str">
        <f>IFERROR(__xludf.DUMMYFUNCTION("""COMPUTED_VALUE"""),"ENFERMEIRO 30H - OBSTETRA - PLANTONISTA")</f>
        <v>ENFERMEIRO 30H - OBSTETRA - PLANTONISTA</v>
      </c>
      <c r="E1598" s="11"/>
      <c r="F1598" s="11" t="str">
        <f>IFERROR(__xludf.DUMMYFUNCTION("""COMPUTED_VALUE"""),"US_167 POLICLINICA E MATERNIDADE PROFESSOR BARROS LIMA")</f>
        <v>US_167 POLICLINICA E MATERNIDADE PROFESSOR BARROS LIMA</v>
      </c>
      <c r="G1598" s="11" t="str">
        <f>IFERROR(__xludf.DUMMYFUNCTION("""COMPUTED_VALUE"""),"US_167 POLICLINICA E MATERNIDADE PROFESSOR BARROS LIMA")</f>
        <v>US_167 POLICLINICA E MATERNIDADE PROFESSOR BARROS LIMA</v>
      </c>
      <c r="H1598" s="11"/>
      <c r="I1598" s="11"/>
      <c r="J1598" s="11"/>
      <c r="K1598" s="11"/>
      <c r="L1598" s="11"/>
      <c r="M1598" s="11"/>
      <c r="N1598" s="11"/>
      <c r="O1598" s="11">
        <f>IFERROR(__xludf.DUMMYFUNCTION("""COMPUTED_VALUE"""),9574029450)</f>
        <v>9574029450</v>
      </c>
      <c r="P1598" s="11"/>
      <c r="Q1598" s="11"/>
      <c r="R1598" s="11"/>
      <c r="S1598" s="11"/>
      <c r="T1598" s="11"/>
      <c r="U1598" s="11"/>
      <c r="V1598" s="11"/>
      <c r="W1598" s="11"/>
      <c r="X1598" s="11"/>
      <c r="Y1598" s="11"/>
      <c r="Z1598" s="11"/>
    </row>
    <row r="1599" customHeight="1" spans="1:26">
      <c r="A1599" s="11" t="str">
        <f>IFERROR(__xludf.DUMMYFUNCTION("""COMPUTED_VALUE"""),"DAYANA ROBERTA DA C FERREIRA")</f>
        <v>DAYANA ROBERTA DA C FERREIRA</v>
      </c>
      <c r="B1599" s="11"/>
      <c r="C1599" s="11"/>
      <c r="D1599" s="11" t="str">
        <f>IFERROR(__xludf.DUMMYFUNCTION("""COMPUTED_VALUE"""),"ENFERMEIRO 30H - OBSTETRA - PLANTONISTA")</f>
        <v>ENFERMEIRO 30H - OBSTETRA - PLANTONISTA</v>
      </c>
      <c r="E1599" s="11"/>
      <c r="F1599" s="11" t="str">
        <f>IFERROR(__xludf.DUMMYFUNCTION("""COMPUTED_VALUE"""),"US_167 POLICLINICA E MATERNIDADE PROFESSOR BARROS LIMA")</f>
        <v>US_167 POLICLINICA E MATERNIDADE PROFESSOR BARROS LIMA</v>
      </c>
      <c r="G1599" s="11" t="str">
        <f>IFERROR(__xludf.DUMMYFUNCTION("""COMPUTED_VALUE"""),"US_167 POLICLINICA E MATERNIDADE PROFESSOR BARROS LIMA")</f>
        <v>US_167 POLICLINICA E MATERNIDADE PROFESSOR BARROS LIMA</v>
      </c>
      <c r="H1599" s="11"/>
      <c r="I1599" s="11"/>
      <c r="J1599" s="11"/>
      <c r="K1599" s="11"/>
      <c r="L1599" s="11"/>
      <c r="M1599" s="11"/>
      <c r="N1599" s="11"/>
      <c r="O1599" s="11">
        <f>IFERROR(__xludf.DUMMYFUNCTION("""COMPUTED_VALUE"""),7389807490)</f>
        <v>7389807490</v>
      </c>
      <c r="P1599" s="11"/>
      <c r="Q1599" s="11"/>
      <c r="R1599" s="11"/>
      <c r="S1599" s="11"/>
      <c r="T1599" s="11"/>
      <c r="U1599" s="11"/>
      <c r="V1599" s="11"/>
      <c r="W1599" s="11"/>
      <c r="X1599" s="11"/>
      <c r="Y1599" s="11"/>
      <c r="Z1599" s="11"/>
    </row>
    <row r="1600" customHeight="1" spans="1:26">
      <c r="A1600" s="11" t="str">
        <f>IFERROR(__xludf.DUMMYFUNCTION("""COMPUTED_VALUE"""),"ALINE PRISCILA R DE CARVALHO")</f>
        <v>ALINE PRISCILA R DE CARVALHO</v>
      </c>
      <c r="B1600" s="11"/>
      <c r="C1600" s="11"/>
      <c r="D1600" s="11" t="str">
        <f>IFERROR(__xludf.DUMMYFUNCTION("""COMPUTED_VALUE"""),"ENFERMEIRO 30H - OBSTETRA - PLANTONISTA")</f>
        <v>ENFERMEIRO 30H - OBSTETRA - PLANTONISTA</v>
      </c>
      <c r="E1600" s="11"/>
      <c r="F1600" s="11" t="str">
        <f>IFERROR(__xludf.DUMMYFUNCTION("""COMPUTED_VALUE"""),"US_167 POLICLINICA E MATERNIDADE PROFESSOR BARROS LIMA")</f>
        <v>US_167 POLICLINICA E MATERNIDADE PROFESSOR BARROS LIMA</v>
      </c>
      <c r="G1600" s="11" t="str">
        <f>IFERROR(__xludf.DUMMYFUNCTION("""COMPUTED_VALUE"""),"US_167 POLICLINICA E MATERNIDADE PROFESSOR BARROS LIMA")</f>
        <v>US_167 POLICLINICA E MATERNIDADE PROFESSOR BARROS LIMA</v>
      </c>
      <c r="H1600" s="11"/>
      <c r="I1600" s="11"/>
      <c r="J1600" s="11"/>
      <c r="K1600" s="11"/>
      <c r="L1600" s="11"/>
      <c r="M1600" s="11"/>
      <c r="N1600" s="11"/>
      <c r="O1600" s="11">
        <f>IFERROR(__xludf.DUMMYFUNCTION("""COMPUTED_VALUE"""),5067402423)</f>
        <v>5067402423</v>
      </c>
      <c r="P1600" s="11"/>
      <c r="Q1600" s="11"/>
      <c r="R1600" s="11"/>
      <c r="S1600" s="11"/>
      <c r="T1600" s="11"/>
      <c r="U1600" s="11"/>
      <c r="V1600" s="11"/>
      <c r="W1600" s="11"/>
      <c r="X1600" s="11"/>
      <c r="Y1600" s="11"/>
      <c r="Z1600" s="11"/>
    </row>
    <row r="1601" customHeight="1" spans="1:26">
      <c r="A1601" s="11" t="str">
        <f>IFERROR(__xludf.DUMMYFUNCTION("""COMPUTED_VALUE"""),"THAISE TORRES DE ALBUQUERQUE")</f>
        <v>THAISE TORRES DE ALBUQUERQUE</v>
      </c>
      <c r="B1601" s="11"/>
      <c r="C1601" s="11"/>
      <c r="D1601" s="11" t="str">
        <f>IFERROR(__xludf.DUMMYFUNCTION("""COMPUTED_VALUE"""),"ENFERMEIRO 30H - OBSTETRA - PLANTONISTA")</f>
        <v>ENFERMEIRO 30H - OBSTETRA - PLANTONISTA</v>
      </c>
      <c r="E1601" s="11"/>
      <c r="F1601" s="11" t="str">
        <f>IFERROR(__xludf.DUMMYFUNCTION("""COMPUTED_VALUE"""),"US_167 POLICLINICA E MATERNIDADE PROFESSOR BARROS LIMA")</f>
        <v>US_167 POLICLINICA E MATERNIDADE PROFESSOR BARROS LIMA</v>
      </c>
      <c r="G1601" s="11" t="str">
        <f>IFERROR(__xludf.DUMMYFUNCTION("""COMPUTED_VALUE"""),"US_167 POLICLINICA E MATERNIDADE PROFESSOR BARROS LIMA")</f>
        <v>US_167 POLICLINICA E MATERNIDADE PROFESSOR BARROS LIMA</v>
      </c>
      <c r="H1601" s="11"/>
      <c r="I1601" s="11"/>
      <c r="J1601" s="11"/>
      <c r="K1601" s="11"/>
      <c r="L1601" s="11"/>
      <c r="M1601" s="11"/>
      <c r="N1601" s="11"/>
      <c r="O1601" s="11">
        <f>IFERROR(__xludf.DUMMYFUNCTION("""COMPUTED_VALUE"""),5705855460)</f>
        <v>5705855460</v>
      </c>
      <c r="P1601" s="11"/>
      <c r="Q1601" s="11"/>
      <c r="R1601" s="11"/>
      <c r="S1601" s="11"/>
      <c r="T1601" s="11"/>
      <c r="U1601" s="11"/>
      <c r="V1601" s="11"/>
      <c r="W1601" s="11"/>
      <c r="X1601" s="11"/>
      <c r="Y1601" s="11"/>
      <c r="Z1601" s="11"/>
    </row>
    <row r="1602" customHeight="1" spans="1:26">
      <c r="A1602" s="11" t="str">
        <f>IFERROR(__xludf.DUMMYFUNCTION("""COMPUTED_VALUE"""),"CAROLINA LUIZA B S W BARBOSA")</f>
        <v>CAROLINA LUIZA B S W BARBOSA</v>
      </c>
      <c r="B1602" s="11"/>
      <c r="C1602" s="11"/>
      <c r="D1602" s="11" t="str">
        <f>IFERROR(__xludf.DUMMYFUNCTION("""COMPUTED_VALUE"""),"ENFERMEIRO 40H - OBSTETRA/SAUDE DA MULHER - DIARISTA")</f>
        <v>ENFERMEIRO 40H - OBSTETRA/SAUDE DA MULHER - DIARISTA</v>
      </c>
      <c r="E1602" s="11"/>
      <c r="F1602" s="11" t="str">
        <f>IFERROR(__xludf.DUMMYFUNCTION("""COMPUTED_VALUE"""),"US_167 POLICLINICA E MATERNIDADE PROFESSOR BARROS LIMA")</f>
        <v>US_167 POLICLINICA E MATERNIDADE PROFESSOR BARROS LIMA</v>
      </c>
      <c r="G1602" s="11" t="str">
        <f>IFERROR(__xludf.DUMMYFUNCTION("""COMPUTED_VALUE"""),"US_167 POLICLINICA E MATERNIDADE PROFESSOR BARROS LIMA")</f>
        <v>US_167 POLICLINICA E MATERNIDADE PROFESSOR BARROS LIMA</v>
      </c>
      <c r="H1602" s="11"/>
      <c r="I1602" s="11"/>
      <c r="J1602" s="11"/>
      <c r="K1602" s="11"/>
      <c r="L1602" s="11"/>
      <c r="M1602" s="11"/>
      <c r="N1602" s="11"/>
      <c r="O1602" s="11">
        <f>IFERROR(__xludf.DUMMYFUNCTION("""COMPUTED_VALUE"""),9685849420)</f>
        <v>9685849420</v>
      </c>
      <c r="P1602" s="11"/>
      <c r="Q1602" s="11"/>
      <c r="R1602" s="11"/>
      <c r="S1602" s="11"/>
      <c r="T1602" s="11"/>
      <c r="U1602" s="11"/>
      <c r="V1602" s="11"/>
      <c r="W1602" s="11"/>
      <c r="X1602" s="11"/>
      <c r="Y1602" s="11"/>
      <c r="Z1602" s="11"/>
    </row>
    <row r="1603" customHeight="1" spans="1:26">
      <c r="A1603" s="11" t="str">
        <f>IFERROR(__xludf.DUMMYFUNCTION("""COMPUTED_VALUE"""),"JULIA UCHOA C C DE OLIVEIRA")</f>
        <v>JULIA UCHOA C C DE OLIVEIRA</v>
      </c>
      <c r="B1603" s="11"/>
      <c r="C1603" s="11"/>
      <c r="D1603" s="11" t="str">
        <f>IFERROR(__xludf.DUMMYFUNCTION("""COMPUTED_VALUE"""),"ENFERMEIRO 40H - OBSTETRA/SAUDE DA MULHER - DIARISTA")</f>
        <v>ENFERMEIRO 40H - OBSTETRA/SAUDE DA MULHER - DIARISTA</v>
      </c>
      <c r="E1603" s="11"/>
      <c r="F1603" s="11" t="str">
        <f>IFERROR(__xludf.DUMMYFUNCTION("""COMPUTED_VALUE"""),"US_167 POLICLINICA E MATERNIDADE PROFESSOR BARROS LIMA")</f>
        <v>US_167 POLICLINICA E MATERNIDADE PROFESSOR BARROS LIMA</v>
      </c>
      <c r="G1603" s="11" t="str">
        <f>IFERROR(__xludf.DUMMYFUNCTION("""COMPUTED_VALUE"""),"US_167 POLICLINICA E MATERNIDADE PROFESSOR BARROS LIMA")</f>
        <v>US_167 POLICLINICA E MATERNIDADE PROFESSOR BARROS LIMA</v>
      </c>
      <c r="H1603" s="11"/>
      <c r="I1603" s="11"/>
      <c r="J1603" s="11"/>
      <c r="K1603" s="11"/>
      <c r="L1603" s="11"/>
      <c r="M1603" s="11"/>
      <c r="N1603" s="11"/>
      <c r="O1603" s="11">
        <f>IFERROR(__xludf.DUMMYFUNCTION("""COMPUTED_VALUE"""),1415570442)</f>
        <v>1415570442</v>
      </c>
      <c r="P1603" s="11"/>
      <c r="Q1603" s="11"/>
      <c r="R1603" s="11"/>
      <c r="S1603" s="11"/>
      <c r="T1603" s="11"/>
      <c r="U1603" s="11"/>
      <c r="V1603" s="11"/>
      <c r="W1603" s="11"/>
      <c r="X1603" s="11"/>
      <c r="Y1603" s="11"/>
      <c r="Z1603" s="11"/>
    </row>
    <row r="1604" customHeight="1" spans="1:26">
      <c r="A1604" s="11" t="str">
        <f>IFERROR(__xludf.DUMMYFUNCTION("""COMPUTED_VALUE"""),"AMILTON ROBERTO DE O JUNIOR")</f>
        <v>AMILTON ROBERTO DE O JUNIOR</v>
      </c>
      <c r="B1604" s="11"/>
      <c r="C1604" s="11"/>
      <c r="D1604" s="11" t="str">
        <f>IFERROR(__xludf.DUMMYFUNCTION("""COMPUTED_VALUE"""),"ENFERMEIRO 30H - OBSTETRA - PLANTONISTA")</f>
        <v>ENFERMEIRO 30H - OBSTETRA - PLANTONISTA</v>
      </c>
      <c r="E1604" s="11"/>
      <c r="F1604" s="11" t="str">
        <f>IFERROR(__xludf.DUMMYFUNCTION("""COMPUTED_VALUE"""),"US_153 POLICLINICA E MATERNIDADE ARNALDO MARQUES")</f>
        <v>US_153 POLICLINICA E MATERNIDADE ARNALDO MARQUES</v>
      </c>
      <c r="G1604" s="11" t="str">
        <f>IFERROR(__xludf.DUMMYFUNCTION("""COMPUTED_VALUE"""),"US_153 POLICLINICA E MATERNIDADE ARNALDO MARQUES")</f>
        <v>US_153 POLICLINICA E MATERNIDADE ARNALDO MARQUES</v>
      </c>
      <c r="H1604" s="11"/>
      <c r="I1604" s="11"/>
      <c r="J1604" s="11"/>
      <c r="K1604" s="11"/>
      <c r="L1604" s="11"/>
      <c r="M1604" s="11"/>
      <c r="N1604" s="11"/>
      <c r="O1604" s="11">
        <f>IFERROR(__xludf.DUMMYFUNCTION("""COMPUTED_VALUE"""),6891916429)</f>
        <v>6891916429</v>
      </c>
      <c r="P1604" s="11"/>
      <c r="Q1604" s="11"/>
      <c r="R1604" s="11"/>
      <c r="S1604" s="11"/>
      <c r="T1604" s="11"/>
      <c r="U1604" s="11"/>
      <c r="V1604" s="11"/>
      <c r="W1604" s="11"/>
      <c r="X1604" s="11"/>
      <c r="Y1604" s="11"/>
      <c r="Z1604" s="11"/>
    </row>
    <row r="1605" customHeight="1" spans="1:26">
      <c r="A1605" s="11" t="str">
        <f>IFERROR(__xludf.DUMMYFUNCTION("""COMPUTED_VALUE"""),"POLIANA DA SILVA LUCIO")</f>
        <v>POLIANA DA SILVA LUCIO</v>
      </c>
      <c r="B1605" s="11"/>
      <c r="C1605" s="11"/>
      <c r="D1605" s="11" t="str">
        <f>IFERROR(__xludf.DUMMYFUNCTION("""COMPUTED_VALUE"""),"ENFERMEIRO 30H - OBSTETRA - PLANTONISTA")</f>
        <v>ENFERMEIRO 30H - OBSTETRA - PLANTONISTA</v>
      </c>
      <c r="E1605" s="11"/>
      <c r="F1605" s="11" t="str">
        <f>IFERROR(__xludf.DUMMYFUNCTION("""COMPUTED_VALUE"""),"US_167 POLICLINICA E MATERNIDADE PROFESSOR BARROS LIMA")</f>
        <v>US_167 POLICLINICA E MATERNIDADE PROFESSOR BARROS LIMA</v>
      </c>
      <c r="G1605" s="11" t="str">
        <f>IFERROR(__xludf.DUMMYFUNCTION("""COMPUTED_VALUE"""),"US_167 POLICLINICA E MATERNIDADE PROFESSOR BARROS LIMA")</f>
        <v>US_167 POLICLINICA E MATERNIDADE PROFESSOR BARROS LIMA</v>
      </c>
      <c r="H1605" s="11"/>
      <c r="I1605" s="11"/>
      <c r="J1605" s="11"/>
      <c r="K1605" s="11"/>
      <c r="L1605" s="11"/>
      <c r="M1605" s="11"/>
      <c r="N1605" s="11"/>
      <c r="O1605" s="11">
        <f>IFERROR(__xludf.DUMMYFUNCTION("""COMPUTED_VALUE"""),879910470)</f>
        <v>879910470</v>
      </c>
      <c r="P1605" s="11"/>
      <c r="Q1605" s="11"/>
      <c r="R1605" s="11"/>
      <c r="S1605" s="11"/>
      <c r="T1605" s="11"/>
      <c r="U1605" s="11"/>
      <c r="V1605" s="11"/>
      <c r="W1605" s="11"/>
      <c r="X1605" s="11"/>
      <c r="Y1605" s="11"/>
      <c r="Z1605" s="11"/>
    </row>
    <row r="1606" customHeight="1" spans="1:26">
      <c r="A1606" s="11" t="str">
        <f>IFERROR(__xludf.DUMMYFUNCTION("""COMPUTED_VALUE"""),"CAMILA EMANOELA DE LIMA FARIAS")</f>
        <v>CAMILA EMANOELA DE LIMA FARIAS</v>
      </c>
      <c r="B1606" s="11"/>
      <c r="C1606" s="11"/>
      <c r="D1606" s="11" t="str">
        <f>IFERROR(__xludf.DUMMYFUNCTION("""COMPUTED_VALUE"""),"ENFERMEIRO 30H - OBSTETRA - PLANTONISTA")</f>
        <v>ENFERMEIRO 30H - OBSTETRA - PLANTONISTA</v>
      </c>
      <c r="E1606" s="11"/>
      <c r="F1606" s="11" t="str">
        <f>IFERROR(__xludf.DUMMYFUNCTION("""COMPUTED_VALUE"""),"US_167 POLICLINICA E MATERNIDADE PROFESSOR BARROS LIMA")</f>
        <v>US_167 POLICLINICA E MATERNIDADE PROFESSOR BARROS LIMA</v>
      </c>
      <c r="G1606" s="11" t="str">
        <f>IFERROR(__xludf.DUMMYFUNCTION("""COMPUTED_VALUE"""),"US_167 POLICLINICA E MATERNIDADE PROFESSOR BARROS LIMA")</f>
        <v>US_167 POLICLINICA E MATERNIDADE PROFESSOR BARROS LIMA</v>
      </c>
      <c r="H1606" s="11"/>
      <c r="I1606" s="11"/>
      <c r="J1606" s="11"/>
      <c r="K1606" s="11"/>
      <c r="L1606" s="11"/>
      <c r="M1606" s="11"/>
      <c r="N1606" s="11"/>
      <c r="O1606" s="11">
        <f>IFERROR(__xludf.DUMMYFUNCTION("""COMPUTED_VALUE"""),8365222493)</f>
        <v>8365222493</v>
      </c>
      <c r="P1606" s="11"/>
      <c r="Q1606" s="11"/>
      <c r="R1606" s="11"/>
      <c r="S1606" s="11"/>
      <c r="T1606" s="11"/>
      <c r="U1606" s="11"/>
      <c r="V1606" s="11"/>
      <c r="W1606" s="11"/>
      <c r="X1606" s="11"/>
      <c r="Y1606" s="11"/>
      <c r="Z1606" s="11"/>
    </row>
    <row r="1607" customHeight="1" spans="1:26">
      <c r="A1607" s="11" t="str">
        <f>IFERROR(__xludf.DUMMYFUNCTION("""COMPUTED_VALUE"""),"ANDRESSA SILVA DE SOUZA LIMA")</f>
        <v>ANDRESSA SILVA DE SOUZA LIMA</v>
      </c>
      <c r="B1607" s="11"/>
      <c r="C1607" s="11"/>
      <c r="D1607" s="11" t="str">
        <f>IFERROR(__xludf.DUMMYFUNCTION("""COMPUTED_VALUE"""),"ENFERMEIRO 30H - OBSTETRA - PLANTONISTA")</f>
        <v>ENFERMEIRO 30H - OBSTETRA - PLANTONISTA</v>
      </c>
      <c r="E1607" s="11"/>
      <c r="F1607" s="11" t="str">
        <f>IFERROR(__xludf.DUMMYFUNCTION("""COMPUTED_VALUE"""),"US_167 POLICLINICA E MATERNIDADE PROFESSOR BARROS LIMA")</f>
        <v>US_167 POLICLINICA E MATERNIDADE PROFESSOR BARROS LIMA</v>
      </c>
      <c r="G1607" s="11" t="str">
        <f>IFERROR(__xludf.DUMMYFUNCTION("""COMPUTED_VALUE"""),"US_167 POLICLINICA E MATERNIDADE PROFESSOR BARROS LIMA")</f>
        <v>US_167 POLICLINICA E MATERNIDADE PROFESSOR BARROS LIMA</v>
      </c>
      <c r="H1607" s="11"/>
      <c r="I1607" s="11"/>
      <c r="J1607" s="11"/>
      <c r="K1607" s="11"/>
      <c r="L1607" s="11"/>
      <c r="M1607" s="11"/>
      <c r="N1607" s="11"/>
      <c r="O1607" s="11">
        <f>IFERROR(__xludf.DUMMYFUNCTION("""COMPUTED_VALUE"""),7586023409)</f>
        <v>7586023409</v>
      </c>
      <c r="P1607" s="11"/>
      <c r="Q1607" s="11"/>
      <c r="R1607" s="11"/>
      <c r="S1607" s="11"/>
      <c r="T1607" s="11"/>
      <c r="U1607" s="11"/>
      <c r="V1607" s="11"/>
      <c r="W1607" s="11"/>
      <c r="X1607" s="11"/>
      <c r="Y1607" s="11"/>
      <c r="Z1607" s="11"/>
    </row>
    <row r="1608" customHeight="1" spans="1:26">
      <c r="A1608" s="11" t="str">
        <f>IFERROR(__xludf.DUMMYFUNCTION("""COMPUTED_VALUE"""),"KELLIDA MOREIRA ALVES FEITOSA")</f>
        <v>KELLIDA MOREIRA ALVES FEITOSA</v>
      </c>
      <c r="B1608" s="11"/>
      <c r="C1608" s="11"/>
      <c r="D1608" s="11" t="str">
        <f>IFERROR(__xludf.DUMMYFUNCTION("""COMPUTED_VALUE"""),"ENFERMEIRO 30H - OBSTETRA - PLANTONISTA")</f>
        <v>ENFERMEIRO 30H - OBSTETRA - PLANTONISTA</v>
      </c>
      <c r="E1608" s="11"/>
      <c r="F1608" s="11" t="str">
        <f>IFERROR(__xludf.DUMMYFUNCTION("""COMPUTED_VALUE"""),"US_165 MATERNIDADE BANDEIRA FILHO")</f>
        <v>US_165 MATERNIDADE BANDEIRA FILHO</v>
      </c>
      <c r="G1608" s="11" t="str">
        <f>IFERROR(__xludf.DUMMYFUNCTION("""COMPUTED_VALUE"""),"US_165 MATERNIDADE BANDEIRA FILHO")</f>
        <v>US_165 MATERNIDADE BANDEIRA FILHO</v>
      </c>
      <c r="H1608" s="11"/>
      <c r="I1608" s="11"/>
      <c r="J1608" s="11"/>
      <c r="K1608" s="11"/>
      <c r="L1608" s="11"/>
      <c r="M1608" s="11"/>
      <c r="N1608" s="11"/>
      <c r="O1608" s="11">
        <f>IFERROR(__xludf.DUMMYFUNCTION("""COMPUTED_VALUE"""),5193943489)</f>
        <v>5193943489</v>
      </c>
      <c r="P1608" s="11"/>
      <c r="Q1608" s="11"/>
      <c r="R1608" s="11"/>
      <c r="S1608" s="11"/>
      <c r="T1608" s="11"/>
      <c r="U1608" s="11"/>
      <c r="V1608" s="11"/>
      <c r="W1608" s="11"/>
      <c r="X1608" s="11"/>
      <c r="Y1608" s="11"/>
      <c r="Z1608" s="11"/>
    </row>
    <row r="1609" customHeight="1" spans="1:26">
      <c r="A1609" s="11" t="str">
        <f>IFERROR(__xludf.DUMMYFUNCTION("""COMPUTED_VALUE"""),"AMANDA RIBEIRO FIGUEIREDO")</f>
        <v>AMANDA RIBEIRO FIGUEIREDO</v>
      </c>
      <c r="B1609" s="11"/>
      <c r="C1609" s="11"/>
      <c r="D1609" s="11" t="str">
        <f>IFERROR(__xludf.DUMMYFUNCTION("""COMPUTED_VALUE"""),"ENFERMEIRO 30H - OBSTETRA - PLANTONISTA")</f>
        <v>ENFERMEIRO 30H - OBSTETRA - PLANTONISTA</v>
      </c>
      <c r="E1609" s="11"/>
      <c r="F1609" s="11" t="str">
        <f>IFERROR(__xludf.DUMMYFUNCTION("""COMPUTED_VALUE"""),"US_165 MATERNIDADE BANDEIRA FILHO")</f>
        <v>US_165 MATERNIDADE BANDEIRA FILHO</v>
      </c>
      <c r="G1609" s="11" t="str">
        <f>IFERROR(__xludf.DUMMYFUNCTION("""COMPUTED_VALUE"""),"US_165 MATERNIDADE BANDEIRA FILHO")</f>
        <v>US_165 MATERNIDADE BANDEIRA FILHO</v>
      </c>
      <c r="H1609" s="11"/>
      <c r="I1609" s="11"/>
      <c r="J1609" s="11"/>
      <c r="K1609" s="11"/>
      <c r="L1609" s="11"/>
      <c r="M1609" s="11"/>
      <c r="N1609" s="11"/>
      <c r="O1609" s="11">
        <f>IFERROR(__xludf.DUMMYFUNCTION("""COMPUTED_VALUE"""),9687464461)</f>
        <v>9687464461</v>
      </c>
      <c r="P1609" s="11"/>
      <c r="Q1609" s="11"/>
      <c r="R1609" s="11"/>
      <c r="S1609" s="11"/>
      <c r="T1609" s="11"/>
      <c r="U1609" s="11"/>
      <c r="V1609" s="11"/>
      <c r="W1609" s="11"/>
      <c r="X1609" s="11"/>
      <c r="Y1609" s="11"/>
      <c r="Z1609" s="11"/>
    </row>
    <row r="1610" customHeight="1" spans="1:26">
      <c r="A1610" s="11" t="str">
        <f>IFERROR(__xludf.DUMMYFUNCTION("""COMPUTED_VALUE"""),"ETIENE MARIA BEZERRA DA SILVA")</f>
        <v>ETIENE MARIA BEZERRA DA SILVA</v>
      </c>
      <c r="B1610" s="11"/>
      <c r="C1610" s="11"/>
      <c r="D1610" s="11" t="str">
        <f>IFERROR(__xludf.DUMMYFUNCTION("""COMPUTED_VALUE"""),"ENFERMEIRO 30H - OBSTETRA - PLANTONISTA")</f>
        <v>ENFERMEIRO 30H - OBSTETRA - PLANTONISTA</v>
      </c>
      <c r="E1610" s="11"/>
      <c r="F1610" s="11" t="str">
        <f>IFERROR(__xludf.DUMMYFUNCTION("""COMPUTED_VALUE"""),"US_167 POLICLINICA E MATERNIDADE PROFESSOR BARROS LIMA")</f>
        <v>US_167 POLICLINICA E MATERNIDADE PROFESSOR BARROS LIMA</v>
      </c>
      <c r="G1610" s="11" t="str">
        <f>IFERROR(__xludf.DUMMYFUNCTION("""COMPUTED_VALUE"""),"US_167 POLICLINICA E MATERNIDADE PROFESSOR BARROS LIMA")</f>
        <v>US_167 POLICLINICA E MATERNIDADE PROFESSOR BARROS LIMA</v>
      </c>
      <c r="H1610" s="11"/>
      <c r="I1610" s="11"/>
      <c r="J1610" s="11"/>
      <c r="K1610" s="11"/>
      <c r="L1610" s="11"/>
      <c r="M1610" s="11"/>
      <c r="N1610" s="11"/>
      <c r="O1610" s="11">
        <f>IFERROR(__xludf.DUMMYFUNCTION("""COMPUTED_VALUE"""),7640174465)</f>
        <v>7640174465</v>
      </c>
      <c r="P1610" s="11"/>
      <c r="Q1610" s="11"/>
      <c r="R1610" s="11"/>
      <c r="S1610" s="11"/>
      <c r="T1610" s="11"/>
      <c r="U1610" s="11"/>
      <c r="V1610" s="11"/>
      <c r="W1610" s="11"/>
      <c r="X1610" s="11"/>
      <c r="Y1610" s="11"/>
      <c r="Z1610" s="11"/>
    </row>
    <row r="1611" customHeight="1" spans="1:26">
      <c r="A1611" s="11" t="str">
        <f>IFERROR(__xludf.DUMMYFUNCTION("""COMPUTED_VALUE"""),"AYSLA KALLINY DOS REIS")</f>
        <v>AYSLA KALLINY DOS REIS</v>
      </c>
      <c r="B1611" s="11"/>
      <c r="C1611" s="11"/>
      <c r="D1611" s="11" t="str">
        <f>IFERROR(__xludf.DUMMYFUNCTION("""COMPUTED_VALUE"""),"ENFERMEIRO 30H - OBSTETRA - PLANTONISTA")</f>
        <v>ENFERMEIRO 30H - OBSTETRA - PLANTONISTA</v>
      </c>
      <c r="E1611" s="11"/>
      <c r="F1611" s="11" t="str">
        <f>IFERROR(__xludf.DUMMYFUNCTION("""COMPUTED_VALUE"""),"US_165 MATERNIDADE BANDEIRA FILHO")</f>
        <v>US_165 MATERNIDADE BANDEIRA FILHO</v>
      </c>
      <c r="G1611" s="11" t="str">
        <f>IFERROR(__xludf.DUMMYFUNCTION("""COMPUTED_VALUE"""),"US_165 MATERNIDADE BANDEIRA FILHO")</f>
        <v>US_165 MATERNIDADE BANDEIRA FILHO</v>
      </c>
      <c r="H1611" s="11"/>
      <c r="I1611" s="11"/>
      <c r="J1611" s="11"/>
      <c r="K1611" s="11"/>
      <c r="L1611" s="11"/>
      <c r="M1611" s="11"/>
      <c r="N1611" s="11"/>
      <c r="O1611" s="11">
        <f>IFERROR(__xludf.DUMMYFUNCTION("""COMPUTED_VALUE"""),8624689490)</f>
        <v>8624689490</v>
      </c>
      <c r="P1611" s="11"/>
      <c r="Q1611" s="11"/>
      <c r="R1611" s="11"/>
      <c r="S1611" s="11"/>
      <c r="T1611" s="11"/>
      <c r="U1611" s="11"/>
      <c r="V1611" s="11"/>
      <c r="W1611" s="11"/>
      <c r="X1611" s="11"/>
      <c r="Y1611" s="11"/>
      <c r="Z1611" s="11"/>
    </row>
    <row r="1612" customHeight="1" spans="1:26">
      <c r="A1612" s="11" t="str">
        <f>IFERROR(__xludf.DUMMYFUNCTION("""COMPUTED_VALUE"""),"ANDRESSA JULIANNY L DA SILVA")</f>
        <v>ANDRESSA JULIANNY L DA SILVA</v>
      </c>
      <c r="B1612" s="11"/>
      <c r="C1612" s="11"/>
      <c r="D1612" s="11" t="str">
        <f>IFERROR(__xludf.DUMMYFUNCTION("""COMPUTED_VALUE"""),"ENFERMEIRO 30H - OBSTETRA - PLANTONISTA")</f>
        <v>ENFERMEIRO 30H - OBSTETRA - PLANTONISTA</v>
      </c>
      <c r="E1612" s="11"/>
      <c r="F1612" s="11" t="str">
        <f>IFERROR(__xludf.DUMMYFUNCTION("""COMPUTED_VALUE"""),"US_165 MATERNIDADE BANDEIRA FILHO")</f>
        <v>US_165 MATERNIDADE BANDEIRA FILHO</v>
      </c>
      <c r="G1612" s="11" t="str">
        <f>IFERROR(__xludf.DUMMYFUNCTION("""COMPUTED_VALUE"""),"US_165 MATERNIDADE BANDEIRA FILHO")</f>
        <v>US_165 MATERNIDADE BANDEIRA FILHO</v>
      </c>
      <c r="H1612" s="11"/>
      <c r="I1612" s="11"/>
      <c r="J1612" s="11"/>
      <c r="K1612" s="11"/>
      <c r="L1612" s="11"/>
      <c r="M1612" s="11"/>
      <c r="N1612" s="11"/>
      <c r="O1612" s="11">
        <f>IFERROR(__xludf.DUMMYFUNCTION("""COMPUTED_VALUE"""),6648464402)</f>
        <v>6648464402</v>
      </c>
      <c r="P1612" s="11"/>
      <c r="Q1612" s="11"/>
      <c r="R1612" s="11"/>
      <c r="S1612" s="11"/>
      <c r="T1612" s="11"/>
      <c r="U1612" s="11"/>
      <c r="V1612" s="11"/>
      <c r="W1612" s="11"/>
      <c r="X1612" s="11"/>
      <c r="Y1612" s="11"/>
      <c r="Z1612" s="11"/>
    </row>
    <row r="1613" customHeight="1" spans="1:26">
      <c r="A1613" s="11" t="str">
        <f>IFERROR(__xludf.DUMMYFUNCTION("""COMPUTED_VALUE"""),"RENATA KIZZIS DE B RIBEIRO")</f>
        <v>RENATA KIZZIS DE B RIBEIRO</v>
      </c>
      <c r="B1613" s="11"/>
      <c r="C1613" s="11"/>
      <c r="D1613" s="11" t="str">
        <f>IFERROR(__xludf.DUMMYFUNCTION("""COMPUTED_VALUE"""),"ENFERMEIRO 30H - OBSTETRA - PLANTONISTA")</f>
        <v>ENFERMEIRO 30H - OBSTETRA - PLANTONISTA</v>
      </c>
      <c r="E1613" s="11"/>
      <c r="F1613" s="11" t="str">
        <f>IFERROR(__xludf.DUMMYFUNCTION("""COMPUTED_VALUE"""),"US_153 POLICLINICA E MATERNIDADE ARNALDO MARQUES")</f>
        <v>US_153 POLICLINICA E MATERNIDADE ARNALDO MARQUES</v>
      </c>
      <c r="G1613" s="11" t="str">
        <f>IFERROR(__xludf.DUMMYFUNCTION("""COMPUTED_VALUE"""),"US_153 POLICLINICA E MATERNIDADE ARNALDO MARQUES")</f>
        <v>US_153 POLICLINICA E MATERNIDADE ARNALDO MARQUES</v>
      </c>
      <c r="H1613" s="11"/>
      <c r="I1613" s="11"/>
      <c r="J1613" s="11"/>
      <c r="K1613" s="11"/>
      <c r="L1613" s="11"/>
      <c r="M1613" s="11"/>
      <c r="N1613" s="11"/>
      <c r="O1613" s="11">
        <f>IFERROR(__xludf.DUMMYFUNCTION("""COMPUTED_VALUE"""),7259205482)</f>
        <v>7259205482</v>
      </c>
      <c r="P1613" s="11"/>
      <c r="Q1613" s="11"/>
      <c r="R1613" s="11"/>
      <c r="S1613" s="11"/>
      <c r="T1613" s="11"/>
      <c r="U1613" s="11"/>
      <c r="V1613" s="11"/>
      <c r="W1613" s="11"/>
      <c r="X1613" s="11"/>
      <c r="Y1613" s="11"/>
      <c r="Z1613" s="11"/>
    </row>
    <row r="1614" customHeight="1" spans="1:26">
      <c r="A1614" s="11" t="str">
        <f>IFERROR(__xludf.DUMMYFUNCTION("""COMPUTED_VALUE"""),"BARBARA BRUNA F DE ANDRADE")</f>
        <v>BARBARA BRUNA F DE ANDRADE</v>
      </c>
      <c r="B1614" s="11"/>
      <c r="C1614" s="11"/>
      <c r="D1614" s="11" t="str">
        <f>IFERROR(__xludf.DUMMYFUNCTION("""COMPUTED_VALUE"""),"ENFERMEIRO 30H - OBSTETRA - PLANTONISTA")</f>
        <v>ENFERMEIRO 30H - OBSTETRA - PLANTONISTA</v>
      </c>
      <c r="E1614" s="11"/>
      <c r="F1614" s="11" t="str">
        <f>IFERROR(__xludf.DUMMYFUNCTION("""COMPUTED_VALUE"""),"US_165 MATERNIDADE BANDEIRA FILHO")</f>
        <v>US_165 MATERNIDADE BANDEIRA FILHO</v>
      </c>
      <c r="G1614" s="11" t="str">
        <f>IFERROR(__xludf.DUMMYFUNCTION("""COMPUTED_VALUE"""),"US_165 MATERNIDADE BANDEIRA FILHO")</f>
        <v>US_165 MATERNIDADE BANDEIRA FILHO</v>
      </c>
      <c r="H1614" s="11"/>
      <c r="I1614" s="11"/>
      <c r="J1614" s="11"/>
      <c r="K1614" s="11"/>
      <c r="L1614" s="11"/>
      <c r="M1614" s="11"/>
      <c r="N1614" s="11"/>
      <c r="O1614" s="11">
        <f>IFERROR(__xludf.DUMMYFUNCTION("""COMPUTED_VALUE"""),4362521550)</f>
        <v>4362521550</v>
      </c>
      <c r="P1614" s="11"/>
      <c r="Q1614" s="11"/>
      <c r="R1614" s="11"/>
      <c r="S1614" s="11"/>
      <c r="T1614" s="11"/>
      <c r="U1614" s="11"/>
      <c r="V1614" s="11"/>
      <c r="W1614" s="11"/>
      <c r="X1614" s="11"/>
      <c r="Y1614" s="11"/>
      <c r="Z1614" s="11"/>
    </row>
    <row r="1615" customHeight="1" spans="1:26">
      <c r="A1615" s="11" t="str">
        <f>IFERROR(__xludf.DUMMYFUNCTION("""COMPUTED_VALUE"""),"FERNANDA ROCHA APOLONIO LEAO")</f>
        <v>FERNANDA ROCHA APOLONIO LEAO</v>
      </c>
      <c r="B1615" s="11"/>
      <c r="C1615" s="11"/>
      <c r="D1615" s="11" t="str">
        <f>IFERROR(__xludf.DUMMYFUNCTION("""COMPUTED_VALUE"""),"ENFERMEIRO 30H - OBSTETRA - PLANTONISTA")</f>
        <v>ENFERMEIRO 30H - OBSTETRA - PLANTONISTA</v>
      </c>
      <c r="E1615" s="11"/>
      <c r="F1615" s="11" t="str">
        <f>IFERROR(__xludf.DUMMYFUNCTION("""COMPUTED_VALUE"""),"US_165 MATERNIDADE BANDEIRA FILHO")</f>
        <v>US_165 MATERNIDADE BANDEIRA FILHO</v>
      </c>
      <c r="G1615" s="11" t="str">
        <f>IFERROR(__xludf.DUMMYFUNCTION("""COMPUTED_VALUE"""),"US_165 MATERNIDADE BANDEIRA FILHO")</f>
        <v>US_165 MATERNIDADE BANDEIRA FILHO</v>
      </c>
      <c r="H1615" s="11"/>
      <c r="I1615" s="11"/>
      <c r="J1615" s="11"/>
      <c r="K1615" s="11"/>
      <c r="L1615" s="11"/>
      <c r="M1615" s="11"/>
      <c r="N1615" s="11"/>
      <c r="O1615" s="11">
        <f>IFERROR(__xludf.DUMMYFUNCTION("""COMPUTED_VALUE"""),8960556475)</f>
        <v>8960556475</v>
      </c>
      <c r="P1615" s="11"/>
      <c r="Q1615" s="11"/>
      <c r="R1615" s="11"/>
      <c r="S1615" s="11"/>
      <c r="T1615" s="11"/>
      <c r="U1615" s="11"/>
      <c r="V1615" s="11"/>
      <c r="W1615" s="11"/>
      <c r="X1615" s="11"/>
      <c r="Y1615" s="11"/>
      <c r="Z1615" s="11"/>
    </row>
    <row r="1616" customHeight="1" spans="1:26">
      <c r="A1616" s="11" t="str">
        <f>IFERROR(__xludf.DUMMYFUNCTION("""COMPUTED_VALUE"""),"RHAYZA RHAVENIA R JORDAO")</f>
        <v>RHAYZA RHAVENIA R JORDAO</v>
      </c>
      <c r="B1616" s="11"/>
      <c r="C1616" s="11"/>
      <c r="D1616" s="11" t="str">
        <f>IFERROR(__xludf.DUMMYFUNCTION("""COMPUTED_VALUE"""),"ENFERMEIRO 30H - OBSTETRA - PLANTONISTA")</f>
        <v>ENFERMEIRO 30H - OBSTETRA - PLANTONISTA</v>
      </c>
      <c r="E1616" s="11"/>
      <c r="F1616" s="11" t="str">
        <f>IFERROR(__xludf.DUMMYFUNCTION("""COMPUTED_VALUE"""),"US_165 MATERNIDADE BANDEIRA FILHO")</f>
        <v>US_165 MATERNIDADE BANDEIRA FILHO</v>
      </c>
      <c r="G1616" s="11" t="str">
        <f>IFERROR(__xludf.DUMMYFUNCTION("""COMPUTED_VALUE"""),"US_165 MATERNIDADE BANDEIRA FILHO")</f>
        <v>US_165 MATERNIDADE BANDEIRA FILHO</v>
      </c>
      <c r="H1616" s="11"/>
      <c r="I1616" s="11"/>
      <c r="J1616" s="11"/>
      <c r="K1616" s="11"/>
      <c r="L1616" s="11"/>
      <c r="M1616" s="11"/>
      <c r="N1616" s="11"/>
      <c r="O1616" s="11">
        <f>IFERROR(__xludf.DUMMYFUNCTION("""COMPUTED_VALUE"""),9293564467)</f>
        <v>9293564467</v>
      </c>
      <c r="P1616" s="11"/>
      <c r="Q1616" s="11"/>
      <c r="R1616" s="11"/>
      <c r="S1616" s="11"/>
      <c r="T1616" s="11"/>
      <c r="U1616" s="11"/>
      <c r="V1616" s="11"/>
      <c r="W1616" s="11"/>
      <c r="X1616" s="11"/>
      <c r="Y1616" s="11"/>
      <c r="Z1616" s="11"/>
    </row>
    <row r="1617" customHeight="1" spans="1:26">
      <c r="A1617" s="11" t="str">
        <f>IFERROR(__xludf.DUMMYFUNCTION("""COMPUTED_VALUE"""),"JULIANA CRISTINA CRUZ CALAZANS")</f>
        <v>JULIANA CRISTINA CRUZ CALAZANS</v>
      </c>
      <c r="B1617" s="11"/>
      <c r="C1617" s="11"/>
      <c r="D1617" s="11" t="str">
        <f>IFERROR(__xludf.DUMMYFUNCTION("""COMPUTED_VALUE"""),"ENFERMEIRO 30H - OBSTETRA - PLANTONISTA")</f>
        <v>ENFERMEIRO 30H - OBSTETRA - PLANTONISTA</v>
      </c>
      <c r="E1617" s="11"/>
      <c r="F1617" s="11" t="str">
        <f>IFERROR(__xludf.DUMMYFUNCTION("""COMPUTED_VALUE"""),"US_165 MATERNIDADE BANDEIRA FILHO")</f>
        <v>US_165 MATERNIDADE BANDEIRA FILHO</v>
      </c>
      <c r="G1617" s="11" t="str">
        <f>IFERROR(__xludf.DUMMYFUNCTION("""COMPUTED_VALUE"""),"US_165 MATERNIDADE BANDEIRA FILHO")</f>
        <v>US_165 MATERNIDADE BANDEIRA FILHO</v>
      </c>
      <c r="H1617" s="11"/>
      <c r="I1617" s="11"/>
      <c r="J1617" s="11"/>
      <c r="K1617" s="11"/>
      <c r="L1617" s="11"/>
      <c r="M1617" s="11"/>
      <c r="N1617" s="11"/>
      <c r="O1617" s="11">
        <f>IFERROR(__xludf.DUMMYFUNCTION("""COMPUTED_VALUE"""),8942612407)</f>
        <v>8942612407</v>
      </c>
      <c r="P1617" s="11"/>
      <c r="Q1617" s="11"/>
      <c r="R1617" s="11"/>
      <c r="S1617" s="11"/>
      <c r="T1617" s="11"/>
      <c r="U1617" s="11"/>
      <c r="V1617" s="11"/>
      <c r="W1617" s="11"/>
      <c r="X1617" s="11"/>
      <c r="Y1617" s="11"/>
      <c r="Z1617" s="11"/>
    </row>
    <row r="1618" customHeight="1" spans="1:26">
      <c r="A1618" s="11" t="str">
        <f>IFERROR(__xludf.DUMMYFUNCTION("""COMPUTED_VALUE"""),"KENIA BARBOSA RODRIGUES")</f>
        <v>KENIA BARBOSA RODRIGUES</v>
      </c>
      <c r="B1618" s="11"/>
      <c r="C1618" s="11"/>
      <c r="D1618" s="11" t="str">
        <f>IFERROR(__xludf.DUMMYFUNCTION("""COMPUTED_VALUE"""),"ENFERMEIRO 30H - OBSTETRA - PLANTONISTA")</f>
        <v>ENFERMEIRO 30H - OBSTETRA - PLANTONISTA</v>
      </c>
      <c r="E1618" s="11"/>
      <c r="F1618" s="11" t="str">
        <f>IFERROR(__xludf.DUMMYFUNCTION("""COMPUTED_VALUE"""),"US_165 MATERNIDADE BANDEIRA FILHO")</f>
        <v>US_165 MATERNIDADE BANDEIRA FILHO</v>
      </c>
      <c r="G1618" s="11" t="str">
        <f>IFERROR(__xludf.DUMMYFUNCTION("""COMPUTED_VALUE"""),"US_165 MATERNIDADE BANDEIRA FILHO")</f>
        <v>US_165 MATERNIDADE BANDEIRA FILHO</v>
      </c>
      <c r="H1618" s="11"/>
      <c r="I1618" s="11"/>
      <c r="J1618" s="11"/>
      <c r="K1618" s="11"/>
      <c r="L1618" s="11"/>
      <c r="M1618" s="11"/>
      <c r="N1618" s="11"/>
      <c r="O1618" s="11">
        <f>IFERROR(__xludf.DUMMYFUNCTION("""COMPUTED_VALUE"""),2219898547)</f>
        <v>2219898547</v>
      </c>
      <c r="P1618" s="11"/>
      <c r="Q1618" s="11"/>
      <c r="R1618" s="11"/>
      <c r="S1618" s="11"/>
      <c r="T1618" s="11"/>
      <c r="U1618" s="11"/>
      <c r="V1618" s="11"/>
      <c r="W1618" s="11"/>
      <c r="X1618" s="11"/>
      <c r="Y1618" s="11"/>
      <c r="Z1618" s="11"/>
    </row>
    <row r="1619" customHeight="1" spans="1:26">
      <c r="A1619" s="11" t="str">
        <f>IFERROR(__xludf.DUMMYFUNCTION("""COMPUTED_VALUE"""),"LISLANY MARLETE DE Q LIRA")</f>
        <v>LISLANY MARLETE DE Q LIRA</v>
      </c>
      <c r="B1619" s="11"/>
      <c r="C1619" s="11"/>
      <c r="D1619" s="11" t="str">
        <f>IFERROR(__xludf.DUMMYFUNCTION("""COMPUTED_VALUE"""),"ENFERMEIRO 30H - OBSTETRA - PLANTONISTA")</f>
        <v>ENFERMEIRO 30H - OBSTETRA - PLANTONISTA</v>
      </c>
      <c r="E1619" s="11"/>
      <c r="F1619" s="11" t="str">
        <f>IFERROR(__xludf.DUMMYFUNCTION("""COMPUTED_VALUE"""),"US_153 POLICLINICA E MATERNIDADE ARNALDO MARQUES")</f>
        <v>US_153 POLICLINICA E MATERNIDADE ARNALDO MARQUES</v>
      </c>
      <c r="G1619" s="11" t="str">
        <f>IFERROR(__xludf.DUMMYFUNCTION("""COMPUTED_VALUE"""),"US_153 POLICLINICA E MATERNIDADE ARNALDO MARQUES")</f>
        <v>US_153 POLICLINICA E MATERNIDADE ARNALDO MARQUES</v>
      </c>
      <c r="H1619" s="11"/>
      <c r="I1619" s="11"/>
      <c r="J1619" s="11"/>
      <c r="K1619" s="11"/>
      <c r="L1619" s="11"/>
      <c r="M1619" s="11"/>
      <c r="N1619" s="11"/>
      <c r="O1619" s="11">
        <f>IFERROR(__xludf.DUMMYFUNCTION("""COMPUTED_VALUE"""),8759237473)</f>
        <v>8759237473</v>
      </c>
      <c r="P1619" s="11"/>
      <c r="Q1619" s="11"/>
      <c r="R1619" s="11"/>
      <c r="S1619" s="11"/>
      <c r="T1619" s="11"/>
      <c r="U1619" s="11"/>
      <c r="V1619" s="11"/>
      <c r="W1619" s="11"/>
      <c r="X1619" s="11"/>
      <c r="Y1619" s="11"/>
      <c r="Z1619" s="11"/>
    </row>
    <row r="1620" customHeight="1" spans="1:26">
      <c r="A1620" s="11" t="str">
        <f>IFERROR(__xludf.DUMMYFUNCTION("""COMPUTED_VALUE"""),"DANNIELI DE SOUSA S RODRIGUES")</f>
        <v>DANNIELI DE SOUSA S RODRIGUES</v>
      </c>
      <c r="B1620" s="11"/>
      <c r="C1620" s="11"/>
      <c r="D1620" s="11" t="str">
        <f>IFERROR(__xludf.DUMMYFUNCTION("""COMPUTED_VALUE"""),"ENFERMEIRO 30H - OBSTETRA - PLANTONISTA")</f>
        <v>ENFERMEIRO 30H - OBSTETRA - PLANTONISTA</v>
      </c>
      <c r="E1620" s="11"/>
      <c r="F1620" s="11" t="str">
        <f>IFERROR(__xludf.DUMMYFUNCTION("""COMPUTED_VALUE"""),"US_165 MATERNIDADE BANDEIRA FILHO")</f>
        <v>US_165 MATERNIDADE BANDEIRA FILHO</v>
      </c>
      <c r="G1620" s="11" t="str">
        <f>IFERROR(__xludf.DUMMYFUNCTION("""COMPUTED_VALUE"""),"US_165 MATERNIDADE BANDEIRA FILHO")</f>
        <v>US_165 MATERNIDADE BANDEIRA FILHO</v>
      </c>
      <c r="H1620" s="11"/>
      <c r="I1620" s="11"/>
      <c r="J1620" s="11"/>
      <c r="K1620" s="11"/>
      <c r="L1620" s="11"/>
      <c r="M1620" s="11"/>
      <c r="N1620" s="11"/>
      <c r="O1620" s="11">
        <f>IFERROR(__xludf.DUMMYFUNCTION("""COMPUTED_VALUE"""),65698827320)</f>
        <v>65698827320</v>
      </c>
      <c r="P1620" s="11"/>
      <c r="Q1620" s="11"/>
      <c r="R1620" s="11"/>
      <c r="S1620" s="11"/>
      <c r="T1620" s="11"/>
      <c r="U1620" s="11"/>
      <c r="V1620" s="11"/>
      <c r="W1620" s="11"/>
      <c r="X1620" s="11"/>
      <c r="Y1620" s="11"/>
      <c r="Z1620" s="11"/>
    </row>
    <row r="1621" customHeight="1" spans="1:26">
      <c r="A1621" s="11" t="str">
        <f>IFERROR(__xludf.DUMMYFUNCTION("""COMPUTED_VALUE"""),"SIMONY LINS DE OLIVEIRA")</f>
        <v>SIMONY LINS DE OLIVEIRA</v>
      </c>
      <c r="B1621" s="11"/>
      <c r="C1621" s="11"/>
      <c r="D1621" s="11" t="str">
        <f>IFERROR(__xludf.DUMMYFUNCTION("""COMPUTED_VALUE"""),"ENFERMEIRO 30H - OBSTETRA - PLANTONISTA")</f>
        <v>ENFERMEIRO 30H - OBSTETRA - PLANTONISTA</v>
      </c>
      <c r="E1621" s="11"/>
      <c r="F1621" s="11" t="str">
        <f>IFERROR(__xludf.DUMMYFUNCTION("""COMPUTED_VALUE"""),"US_165 MATERNIDADE BANDEIRA FILHO")</f>
        <v>US_165 MATERNIDADE BANDEIRA FILHO</v>
      </c>
      <c r="G1621" s="11" t="str">
        <f>IFERROR(__xludf.DUMMYFUNCTION("""COMPUTED_VALUE"""),"US_165 MATERNIDADE BANDEIRA FILHO")</f>
        <v>US_165 MATERNIDADE BANDEIRA FILHO</v>
      </c>
      <c r="H1621" s="11"/>
      <c r="I1621" s="11"/>
      <c r="J1621" s="11"/>
      <c r="K1621" s="11"/>
      <c r="L1621" s="11"/>
      <c r="M1621" s="11"/>
      <c r="N1621" s="11"/>
      <c r="O1621" s="11">
        <f>IFERROR(__xludf.DUMMYFUNCTION("""COMPUTED_VALUE"""),7680440492)</f>
        <v>7680440492</v>
      </c>
      <c r="P1621" s="11"/>
      <c r="Q1621" s="11"/>
      <c r="R1621" s="11"/>
      <c r="S1621" s="11"/>
      <c r="T1621" s="11"/>
      <c r="U1621" s="11"/>
      <c r="V1621" s="11"/>
      <c r="W1621" s="11"/>
      <c r="X1621" s="11"/>
      <c r="Y1621" s="11"/>
      <c r="Z1621" s="11"/>
    </row>
    <row r="1622" customHeight="1" spans="1:26">
      <c r="A1622" s="11" t="str">
        <f>IFERROR(__xludf.DUMMYFUNCTION("""COMPUTED_VALUE"""),"RAISSA LORENNA DOS S DANTAS")</f>
        <v>RAISSA LORENNA DOS S DANTAS</v>
      </c>
      <c r="B1622" s="11"/>
      <c r="C1622" s="11"/>
      <c r="D1622" s="11" t="str">
        <f>IFERROR(__xludf.DUMMYFUNCTION("""COMPUTED_VALUE"""),"ENFERMEIRO 30H - OBSTETRA - PLANTONISTA")</f>
        <v>ENFERMEIRO 30H - OBSTETRA - PLANTONISTA</v>
      </c>
      <c r="E1622" s="11"/>
      <c r="F1622" s="11" t="str">
        <f>IFERROR(__xludf.DUMMYFUNCTION("""COMPUTED_VALUE"""),"US_153 POLICLINICA E MATERNIDADE ARNALDO MARQUES")</f>
        <v>US_153 POLICLINICA E MATERNIDADE ARNALDO MARQUES</v>
      </c>
      <c r="G1622" s="11" t="str">
        <f>IFERROR(__xludf.DUMMYFUNCTION("""COMPUTED_VALUE"""),"US_153 POLICLINICA E MATERNIDADE ARNALDO MARQUES")</f>
        <v>US_153 POLICLINICA E MATERNIDADE ARNALDO MARQUES</v>
      </c>
      <c r="H1622" s="11"/>
      <c r="I1622" s="11"/>
      <c r="J1622" s="11"/>
      <c r="K1622" s="11"/>
      <c r="L1622" s="11"/>
      <c r="M1622" s="11"/>
      <c r="N1622" s="11"/>
      <c r="O1622" s="11">
        <f>IFERROR(__xludf.DUMMYFUNCTION("""COMPUTED_VALUE"""),9047422457)</f>
        <v>9047422457</v>
      </c>
      <c r="P1622" s="11"/>
      <c r="Q1622" s="11"/>
      <c r="R1622" s="11"/>
      <c r="S1622" s="11"/>
      <c r="T1622" s="11"/>
      <c r="U1622" s="11"/>
      <c r="V1622" s="11"/>
      <c r="W1622" s="11"/>
      <c r="X1622" s="11"/>
      <c r="Y1622" s="11"/>
      <c r="Z1622" s="11"/>
    </row>
    <row r="1623" customHeight="1" spans="1:26">
      <c r="A1623" s="11" t="str">
        <f>IFERROR(__xludf.DUMMYFUNCTION("""COMPUTED_VALUE"""),"JULIA DE FARIA O BEZERRA")</f>
        <v>JULIA DE FARIA O BEZERRA</v>
      </c>
      <c r="B1623" s="11"/>
      <c r="C1623" s="11"/>
      <c r="D1623" s="11" t="str">
        <f>IFERROR(__xludf.DUMMYFUNCTION("""COMPUTED_VALUE"""),"ENFERMEIRO 30H - OBSTETRA - PLANTONISTA")</f>
        <v>ENFERMEIRO 30H - OBSTETRA - PLANTONISTA</v>
      </c>
      <c r="E1623" s="11"/>
      <c r="F1623" s="11" t="str">
        <f>IFERROR(__xludf.DUMMYFUNCTION("""COMPUTED_VALUE"""),"US_153 POLICLINICA E MATERNIDADE ARNALDO MARQUES")</f>
        <v>US_153 POLICLINICA E MATERNIDADE ARNALDO MARQUES</v>
      </c>
      <c r="G1623" s="11" t="str">
        <f>IFERROR(__xludf.DUMMYFUNCTION("""COMPUTED_VALUE"""),"US_153 POLICLINICA E MATERNIDADE ARNALDO MARQUES")</f>
        <v>US_153 POLICLINICA E MATERNIDADE ARNALDO MARQUES</v>
      </c>
      <c r="H1623" s="11"/>
      <c r="I1623" s="11"/>
      <c r="J1623" s="11"/>
      <c r="K1623" s="11"/>
      <c r="L1623" s="11"/>
      <c r="M1623" s="11"/>
      <c r="N1623" s="11"/>
      <c r="O1623" s="11">
        <f>IFERROR(__xludf.DUMMYFUNCTION("""COMPUTED_VALUE"""),6088753412)</f>
        <v>6088753412</v>
      </c>
      <c r="P1623" s="11"/>
      <c r="Q1623" s="11"/>
      <c r="R1623" s="11"/>
      <c r="S1623" s="11"/>
      <c r="T1623" s="11"/>
      <c r="U1623" s="11"/>
      <c r="V1623" s="11"/>
      <c r="W1623" s="11"/>
      <c r="X1623" s="11"/>
      <c r="Y1623" s="11"/>
      <c r="Z1623" s="11"/>
    </row>
    <row r="1624" customHeight="1" spans="1:26">
      <c r="A1624" s="11" t="str">
        <f>IFERROR(__xludf.DUMMYFUNCTION("""COMPUTED_VALUE"""),"VIVIANE LIRA CAVALCANTE")</f>
        <v>VIVIANE LIRA CAVALCANTE</v>
      </c>
      <c r="B1624" s="11"/>
      <c r="C1624" s="11"/>
      <c r="D1624" s="11" t="str">
        <f>IFERROR(__xludf.DUMMYFUNCTION("""COMPUTED_VALUE"""),"ENFERMEIRO 30H - OBSTETRA - PLANTONISTA")</f>
        <v>ENFERMEIRO 30H - OBSTETRA - PLANTONISTA</v>
      </c>
      <c r="E1624" s="11"/>
      <c r="F1624" s="11" t="str">
        <f>IFERROR(__xludf.DUMMYFUNCTION("""COMPUTED_VALUE"""),"US_153 POLICLINICA E MATERNIDADE ARNALDO MARQUES")</f>
        <v>US_153 POLICLINICA E MATERNIDADE ARNALDO MARQUES</v>
      </c>
      <c r="G1624" s="11" t="str">
        <f>IFERROR(__xludf.DUMMYFUNCTION("""COMPUTED_VALUE"""),"US_153 POLICLINICA E MATERNIDADE ARNALDO MARQUES")</f>
        <v>US_153 POLICLINICA E MATERNIDADE ARNALDO MARQUES</v>
      </c>
      <c r="H1624" s="11"/>
      <c r="I1624" s="11"/>
      <c r="J1624" s="11"/>
      <c r="K1624" s="11"/>
      <c r="L1624" s="11"/>
      <c r="M1624" s="11"/>
      <c r="N1624" s="11"/>
      <c r="O1624" s="11">
        <f>IFERROR(__xludf.DUMMYFUNCTION("""COMPUTED_VALUE"""),4931387497)</f>
        <v>4931387497</v>
      </c>
      <c r="P1624" s="11"/>
      <c r="Q1624" s="11"/>
      <c r="R1624" s="11"/>
      <c r="S1624" s="11"/>
      <c r="T1624" s="11"/>
      <c r="U1624" s="11"/>
      <c r="V1624" s="11"/>
      <c r="W1624" s="11"/>
      <c r="X1624" s="11"/>
      <c r="Y1624" s="11"/>
      <c r="Z1624" s="11"/>
    </row>
    <row r="1625" customHeight="1" spans="1:26">
      <c r="A1625" s="11" t="str">
        <f>IFERROR(__xludf.DUMMYFUNCTION("""COMPUTED_VALUE"""),"MYKAELLE ALMEIDA SALGADO")</f>
        <v>MYKAELLE ALMEIDA SALGADO</v>
      </c>
      <c r="B1625" s="11"/>
      <c r="C1625" s="11"/>
      <c r="D1625" s="11" t="str">
        <f>IFERROR(__xludf.DUMMYFUNCTION("""COMPUTED_VALUE"""),"ENFERMEIRO 40H - OBSTETRA/SAUDE DA MULHER - DIARISTA")</f>
        <v>ENFERMEIRO 40H - OBSTETRA/SAUDE DA MULHER - DIARISTA</v>
      </c>
      <c r="E1625" s="11"/>
      <c r="F1625" s="11" t="str">
        <f>IFERROR(__xludf.DUMMYFUNCTION("""COMPUTED_VALUE"""),"US_167 POLICLINICA E MATERNIDADE PROFESSOR BARROS LIMA")</f>
        <v>US_167 POLICLINICA E MATERNIDADE PROFESSOR BARROS LIMA</v>
      </c>
      <c r="G1625" s="11" t="str">
        <f>IFERROR(__xludf.DUMMYFUNCTION("""COMPUTED_VALUE"""),"US_167 POLICLINICA E MATERNIDADE PROFESSOR BARROS LIMA")</f>
        <v>US_167 POLICLINICA E MATERNIDADE PROFESSOR BARROS LIMA</v>
      </c>
      <c r="H1625" s="11"/>
      <c r="I1625" s="11"/>
      <c r="J1625" s="11"/>
      <c r="K1625" s="11"/>
      <c r="L1625" s="11"/>
      <c r="M1625" s="11"/>
      <c r="N1625" s="11"/>
      <c r="O1625" s="11">
        <f>IFERROR(__xludf.DUMMYFUNCTION("""COMPUTED_VALUE"""),3297049588)</f>
        <v>3297049588</v>
      </c>
      <c r="P1625" s="11"/>
      <c r="Q1625" s="11"/>
      <c r="R1625" s="11"/>
      <c r="S1625" s="11"/>
      <c r="T1625" s="11"/>
      <c r="U1625" s="11"/>
      <c r="V1625" s="11"/>
      <c r="W1625" s="11"/>
      <c r="X1625" s="11"/>
      <c r="Y1625" s="11"/>
      <c r="Z1625" s="11"/>
    </row>
    <row r="1626" customHeight="1" spans="1:26">
      <c r="A1626" s="11" t="str">
        <f>IFERROR(__xludf.DUMMYFUNCTION("""COMPUTED_VALUE"""),"MARCELE GUERREIRO ANDRADE")</f>
        <v>MARCELE GUERREIRO ANDRADE</v>
      </c>
      <c r="B1626" s="11"/>
      <c r="C1626" s="11"/>
      <c r="D1626" s="11" t="str">
        <f>IFERROR(__xludf.DUMMYFUNCTION("""COMPUTED_VALUE"""),"ENFERMEIRO 30H - OBSTETRA - PLANTONISTA")</f>
        <v>ENFERMEIRO 30H - OBSTETRA - PLANTONISTA</v>
      </c>
      <c r="E1626" s="11"/>
      <c r="F1626" s="11" t="str">
        <f>IFERROR(__xludf.DUMMYFUNCTION("""COMPUTED_VALUE"""),"US_167 POLICLINICA E MATERNIDADE PROFESSOR BARROS LIMA")</f>
        <v>US_167 POLICLINICA E MATERNIDADE PROFESSOR BARROS LIMA</v>
      </c>
      <c r="G1626" s="11" t="str">
        <f>IFERROR(__xludf.DUMMYFUNCTION("""COMPUTED_VALUE"""),"US_167 POLICLINICA E MATERNIDADE PROFESSOR BARROS LIMA")</f>
        <v>US_167 POLICLINICA E MATERNIDADE PROFESSOR BARROS LIMA</v>
      </c>
      <c r="H1626" s="11"/>
      <c r="I1626" s="11"/>
      <c r="J1626" s="11"/>
      <c r="K1626" s="11"/>
      <c r="L1626" s="11"/>
      <c r="M1626" s="11"/>
      <c r="N1626" s="11"/>
      <c r="O1626" s="11">
        <f>IFERROR(__xludf.DUMMYFUNCTION("""COMPUTED_VALUE"""),4415054579)</f>
        <v>4415054579</v>
      </c>
      <c r="P1626" s="11"/>
      <c r="Q1626" s="11"/>
      <c r="R1626" s="11"/>
      <c r="S1626" s="11"/>
      <c r="T1626" s="11"/>
      <c r="U1626" s="11"/>
      <c r="V1626" s="11"/>
      <c r="W1626" s="11"/>
      <c r="X1626" s="11"/>
      <c r="Y1626" s="11"/>
      <c r="Z1626" s="11"/>
    </row>
    <row r="1627" customHeight="1" spans="1:26">
      <c r="A1627" s="11" t="str">
        <f>IFERROR(__xludf.DUMMYFUNCTION("""COMPUTED_VALUE"""),"BRUNA RODRIGUES MONTEIRO")</f>
        <v>BRUNA RODRIGUES MONTEIRO</v>
      </c>
      <c r="B1627" s="11"/>
      <c r="C1627" s="11"/>
      <c r="D1627" s="11" t="str">
        <f>IFERROR(__xludf.DUMMYFUNCTION("""COMPUTED_VALUE"""),"ENFERMEIRO 30H - OBSTETRA - PLANTONISTA")</f>
        <v>ENFERMEIRO 30H - OBSTETRA - PLANTONISTA</v>
      </c>
      <c r="E1627" s="11"/>
      <c r="F1627" s="11" t="str">
        <f>IFERROR(__xludf.DUMMYFUNCTION("""COMPUTED_VALUE"""),"US_153 POLICLINICA E MATERNIDADE ARNALDO MARQUES")</f>
        <v>US_153 POLICLINICA E MATERNIDADE ARNALDO MARQUES</v>
      </c>
      <c r="G1627" s="11" t="str">
        <f>IFERROR(__xludf.DUMMYFUNCTION("""COMPUTED_VALUE"""),"US_153 POLICLINICA E MATERNIDADE ARNALDO MARQUES")</f>
        <v>US_153 POLICLINICA E MATERNIDADE ARNALDO MARQUES</v>
      </c>
      <c r="H1627" s="11"/>
      <c r="I1627" s="11"/>
      <c r="J1627" s="11"/>
      <c r="K1627" s="11"/>
      <c r="L1627" s="11"/>
      <c r="M1627" s="11"/>
      <c r="N1627" s="11"/>
      <c r="O1627" s="11">
        <f>IFERROR(__xludf.DUMMYFUNCTION("""COMPUTED_VALUE"""),9910133440)</f>
        <v>9910133440</v>
      </c>
      <c r="P1627" s="11"/>
      <c r="Q1627" s="11"/>
      <c r="R1627" s="11"/>
      <c r="S1627" s="11"/>
      <c r="T1627" s="11"/>
      <c r="U1627" s="11"/>
      <c r="V1627" s="11"/>
      <c r="W1627" s="11"/>
      <c r="X1627" s="11"/>
      <c r="Y1627" s="11"/>
      <c r="Z1627" s="11"/>
    </row>
    <row r="1628" customHeight="1" spans="1:26">
      <c r="A1628" s="11" t="str">
        <f>IFERROR(__xludf.DUMMYFUNCTION("""COMPUTED_VALUE"""),"MARIANA ROSA DE ALMEIDA")</f>
        <v>MARIANA ROSA DE ALMEIDA</v>
      </c>
      <c r="B1628" s="11"/>
      <c r="C1628" s="11"/>
      <c r="D1628" s="11" t="str">
        <f>IFERROR(__xludf.DUMMYFUNCTION("""COMPUTED_VALUE"""),"ENFERMEIRO 30H - OBSTETRA - PLANTONISTA")</f>
        <v>ENFERMEIRO 30H - OBSTETRA - PLANTONISTA</v>
      </c>
      <c r="E1628" s="11"/>
      <c r="F1628" s="11" t="str">
        <f>IFERROR(__xludf.DUMMYFUNCTION("""COMPUTED_VALUE"""),"US_167 POLICLINICA E MATERNIDADE PROFESSOR BARROS LIMA")</f>
        <v>US_167 POLICLINICA E MATERNIDADE PROFESSOR BARROS LIMA</v>
      </c>
      <c r="G1628" s="11" t="str">
        <f>IFERROR(__xludf.DUMMYFUNCTION("""COMPUTED_VALUE"""),"US_167 POLICLINICA E MATERNIDADE PROFESSOR BARROS LIMA")</f>
        <v>US_167 POLICLINICA E MATERNIDADE PROFESSOR BARROS LIMA</v>
      </c>
      <c r="H1628" s="11"/>
      <c r="I1628" s="11"/>
      <c r="J1628" s="11"/>
      <c r="K1628" s="11"/>
      <c r="L1628" s="11"/>
      <c r="M1628" s="11"/>
      <c r="N1628" s="11"/>
      <c r="O1628" s="11">
        <f>IFERROR(__xludf.DUMMYFUNCTION("""COMPUTED_VALUE"""),1421711583)</f>
        <v>1421711583</v>
      </c>
      <c r="P1628" s="11"/>
      <c r="Q1628" s="11"/>
      <c r="R1628" s="11"/>
      <c r="S1628" s="11"/>
      <c r="T1628" s="11"/>
      <c r="U1628" s="11"/>
      <c r="V1628" s="11"/>
      <c r="W1628" s="11"/>
      <c r="X1628" s="11"/>
      <c r="Y1628" s="11"/>
      <c r="Z1628" s="11"/>
    </row>
    <row r="1629" customHeight="1" spans="1:26">
      <c r="A1629" s="11" t="str">
        <f>IFERROR(__xludf.DUMMYFUNCTION("""COMPUTED_VALUE"""),"MARIA DE FATIMA S DA CONCEICAO")</f>
        <v>MARIA DE FATIMA S DA CONCEICAO</v>
      </c>
      <c r="B1629" s="11"/>
      <c r="C1629" s="11"/>
      <c r="D1629" s="11" t="str">
        <f>IFERROR(__xludf.DUMMYFUNCTION("""COMPUTED_VALUE"""),"ENFERMEIRO 30H - OBSTETRA - PLANTONISTA")</f>
        <v>ENFERMEIRO 30H - OBSTETRA - PLANTONISTA</v>
      </c>
      <c r="E1629" s="11"/>
      <c r="F1629" s="11" t="str">
        <f>IFERROR(__xludf.DUMMYFUNCTION("""COMPUTED_VALUE"""),"US_165 MATERNIDADE BANDEIRA FILHO")</f>
        <v>US_165 MATERNIDADE BANDEIRA FILHO</v>
      </c>
      <c r="G1629" s="11" t="str">
        <f>IFERROR(__xludf.DUMMYFUNCTION("""COMPUTED_VALUE"""),"US_165 MATERNIDADE BANDEIRA FILHO")</f>
        <v>US_165 MATERNIDADE BANDEIRA FILHO</v>
      </c>
      <c r="H1629" s="11"/>
      <c r="I1629" s="11"/>
      <c r="J1629" s="11"/>
      <c r="K1629" s="11"/>
      <c r="L1629" s="11"/>
      <c r="M1629" s="11"/>
      <c r="N1629" s="11"/>
      <c r="O1629" s="11">
        <f>IFERROR(__xludf.DUMMYFUNCTION("""COMPUTED_VALUE"""),3074766425)</f>
        <v>3074766425</v>
      </c>
      <c r="P1629" s="11"/>
      <c r="Q1629" s="11"/>
      <c r="R1629" s="11"/>
      <c r="S1629" s="11"/>
      <c r="T1629" s="11"/>
      <c r="U1629" s="11"/>
      <c r="V1629" s="11"/>
      <c r="W1629" s="11"/>
      <c r="X1629" s="11"/>
      <c r="Y1629" s="11"/>
      <c r="Z1629" s="11"/>
    </row>
    <row r="1630" customHeight="1" spans="1:26">
      <c r="A1630" s="11" t="str">
        <f>IFERROR(__xludf.DUMMYFUNCTION("""COMPUTED_VALUE"""),"MAILA LORENA DE CARVALHO SOUSA")</f>
        <v>MAILA LORENA DE CARVALHO SOUSA</v>
      </c>
      <c r="B1630" s="11"/>
      <c r="C1630" s="11"/>
      <c r="D1630" s="11" t="str">
        <f>IFERROR(__xludf.DUMMYFUNCTION("""COMPUTED_VALUE"""),"ENFERMEIRO 30H - OBSTETRA - PLANTONISTA")</f>
        <v>ENFERMEIRO 30H - OBSTETRA - PLANTONISTA</v>
      </c>
      <c r="E1630" s="11"/>
      <c r="F1630" s="11" t="str">
        <f>IFERROR(__xludf.DUMMYFUNCTION("""COMPUTED_VALUE"""),"US_165 MATERNIDADE BANDEIRA FILHO")</f>
        <v>US_165 MATERNIDADE BANDEIRA FILHO</v>
      </c>
      <c r="G1630" s="11" t="str">
        <f>IFERROR(__xludf.DUMMYFUNCTION("""COMPUTED_VALUE"""),"US_165 MATERNIDADE BANDEIRA FILHO")</f>
        <v>US_165 MATERNIDADE BANDEIRA FILHO</v>
      </c>
      <c r="H1630" s="11"/>
      <c r="I1630" s="11"/>
      <c r="J1630" s="11"/>
      <c r="K1630" s="11"/>
      <c r="L1630" s="11"/>
      <c r="M1630" s="11"/>
      <c r="N1630" s="11"/>
      <c r="O1630" s="11">
        <f>IFERROR(__xludf.DUMMYFUNCTION("""COMPUTED_VALUE"""),2552733395)</f>
        <v>2552733395</v>
      </c>
      <c r="P1630" s="11"/>
      <c r="Q1630" s="11"/>
      <c r="R1630" s="11"/>
      <c r="S1630" s="11"/>
      <c r="T1630" s="11"/>
      <c r="U1630" s="11"/>
      <c r="V1630" s="11"/>
      <c r="W1630" s="11"/>
      <c r="X1630" s="11"/>
      <c r="Y1630" s="11"/>
      <c r="Z1630" s="11"/>
    </row>
    <row r="1631" customHeight="1" spans="1:26">
      <c r="A1631" s="11" t="str">
        <f>IFERROR(__xludf.DUMMYFUNCTION("""COMPUTED_VALUE"""),"ANDREZA RODRIGUES SILVA")</f>
        <v>ANDREZA RODRIGUES SILVA</v>
      </c>
      <c r="B1631" s="11"/>
      <c r="C1631" s="11"/>
      <c r="D1631" s="11" t="str">
        <f>IFERROR(__xludf.DUMMYFUNCTION("""COMPUTED_VALUE"""),"ENFERMEIRO 30H - PLANTONISTA")</f>
        <v>ENFERMEIRO 30H - PLANTONISTA</v>
      </c>
      <c r="E1631" s="11"/>
      <c r="F1631" s="11" t="str">
        <f>IFERROR(__xludf.DUMMYFUNCTION("""COMPUTED_VALUE"""),"US_165 MATERNIDADE BANDEIRA FILHO")</f>
        <v>US_165 MATERNIDADE BANDEIRA FILHO</v>
      </c>
      <c r="G1631" s="11" t="str">
        <f>IFERROR(__xludf.DUMMYFUNCTION("""COMPUTED_VALUE"""),"US_165 MATERNIDADE BANDEIRA FILHO")</f>
        <v>US_165 MATERNIDADE BANDEIRA FILHO</v>
      </c>
      <c r="H1631" s="11"/>
      <c r="I1631" s="11"/>
      <c r="J1631" s="11"/>
      <c r="K1631" s="11"/>
      <c r="L1631" s="11"/>
      <c r="M1631" s="11"/>
      <c r="N1631" s="11"/>
      <c r="O1631" s="11">
        <f>IFERROR(__xludf.DUMMYFUNCTION("""COMPUTED_VALUE"""),5142251490)</f>
        <v>5142251490</v>
      </c>
      <c r="P1631" s="11"/>
      <c r="Q1631" s="11"/>
      <c r="R1631" s="11"/>
      <c r="S1631" s="11"/>
      <c r="T1631" s="11"/>
      <c r="U1631" s="11"/>
      <c r="V1631" s="11"/>
      <c r="W1631" s="11"/>
      <c r="X1631" s="11"/>
      <c r="Y1631" s="11"/>
      <c r="Z1631" s="11"/>
    </row>
    <row r="1632" customHeight="1" spans="1:26">
      <c r="A1632" s="11" t="str">
        <f>IFERROR(__xludf.DUMMYFUNCTION("""COMPUTED_VALUE"""),"KARLAYNE REYNAUX V DE OLIVEIRA")</f>
        <v>KARLAYNE REYNAUX V DE OLIVEIRA</v>
      </c>
      <c r="B1632" s="11"/>
      <c r="C1632" s="11"/>
      <c r="D1632" s="11" t="str">
        <f>IFERROR(__xludf.DUMMYFUNCTION("""COMPUTED_VALUE"""),"ENFERMEIRO 30H - PLANTONISTA")</f>
        <v>ENFERMEIRO 30H - PLANTONISTA</v>
      </c>
      <c r="E1632" s="11"/>
      <c r="F1632" s="11" t="str">
        <f>IFERROR(__xludf.DUMMYFUNCTION("""COMPUTED_VALUE"""),"US_153 POLICLINICA E MATERNIDADE ARNALDO MARQUES")</f>
        <v>US_153 POLICLINICA E MATERNIDADE ARNALDO MARQUES</v>
      </c>
      <c r="G1632" s="11" t="str">
        <f>IFERROR(__xludf.DUMMYFUNCTION("""COMPUTED_VALUE"""),"US_153 POLICLINICA E MATERNIDADE ARNALDO MARQUES")</f>
        <v>US_153 POLICLINICA E MATERNIDADE ARNALDO MARQUES</v>
      </c>
      <c r="H1632" s="11"/>
      <c r="I1632" s="11"/>
      <c r="J1632" s="11"/>
      <c r="K1632" s="11"/>
      <c r="L1632" s="11"/>
      <c r="M1632" s="11"/>
      <c r="N1632" s="11"/>
      <c r="O1632" s="11">
        <f>IFERROR(__xludf.DUMMYFUNCTION("""COMPUTED_VALUE"""),5825748466)</f>
        <v>5825748466</v>
      </c>
      <c r="P1632" s="11"/>
      <c r="Q1632" s="11"/>
      <c r="R1632" s="11"/>
      <c r="S1632" s="11"/>
      <c r="T1632" s="11"/>
      <c r="U1632" s="11"/>
      <c r="V1632" s="11"/>
      <c r="W1632" s="11"/>
      <c r="X1632" s="11"/>
      <c r="Y1632" s="11"/>
      <c r="Z1632" s="11"/>
    </row>
    <row r="1633" customHeight="1" spans="1:26">
      <c r="A1633" s="11" t="str">
        <f>IFERROR(__xludf.DUMMYFUNCTION("""COMPUTED_VALUE"""),"MARIA EDUARDA LIMA DE CARVALHO")</f>
        <v>MARIA EDUARDA LIMA DE CARVALHO</v>
      </c>
      <c r="B1633" s="11"/>
      <c r="C1633" s="11"/>
      <c r="D1633" s="11" t="str">
        <f>IFERROR(__xludf.DUMMYFUNCTION("""COMPUTED_VALUE"""),"ENFERMEIRO 30H - PLANTONISTA")</f>
        <v>ENFERMEIRO 30H - PLANTONISTA</v>
      </c>
      <c r="E1633" s="11"/>
      <c r="F1633" s="11" t="str">
        <f>IFERROR(__xludf.DUMMYFUNCTION("""COMPUTED_VALUE"""),"US_165 MATERNIDADE BANDEIRA FILHO")</f>
        <v>US_165 MATERNIDADE BANDEIRA FILHO</v>
      </c>
      <c r="G1633" s="11" t="str">
        <f>IFERROR(__xludf.DUMMYFUNCTION("""COMPUTED_VALUE"""),"US_165 MATERNIDADE BANDEIRA FILHO")</f>
        <v>US_165 MATERNIDADE BANDEIRA FILHO</v>
      </c>
      <c r="H1633" s="11"/>
      <c r="I1633" s="11"/>
      <c r="J1633" s="11"/>
      <c r="K1633" s="11"/>
      <c r="L1633" s="11"/>
      <c r="M1633" s="11"/>
      <c r="N1633" s="11"/>
      <c r="O1633" s="11">
        <f>IFERROR(__xludf.DUMMYFUNCTION("""COMPUTED_VALUE"""),7507421430)</f>
        <v>7507421430</v>
      </c>
      <c r="P1633" s="11"/>
      <c r="Q1633" s="11"/>
      <c r="R1633" s="11"/>
      <c r="S1633" s="11"/>
      <c r="T1633" s="11"/>
      <c r="U1633" s="11"/>
      <c r="V1633" s="11"/>
      <c r="W1633" s="11"/>
      <c r="X1633" s="11"/>
      <c r="Y1633" s="11"/>
      <c r="Z1633" s="11"/>
    </row>
    <row r="1634" customHeight="1" spans="1:26">
      <c r="A1634" s="11" t="str">
        <f>IFERROR(__xludf.DUMMYFUNCTION("""COMPUTED_VALUE"""),"GLEICY KELLY GOIS DA SILVA")</f>
        <v>GLEICY KELLY GOIS DA SILVA</v>
      </c>
      <c r="B1634" s="11"/>
      <c r="C1634" s="11"/>
      <c r="D1634" s="11" t="str">
        <f>IFERROR(__xludf.DUMMYFUNCTION("""COMPUTED_VALUE"""),"ENFERMEIRO 40H - OBSTETRA/SAUDE DA MULHER - DIARISTA")</f>
        <v>ENFERMEIRO 40H - OBSTETRA/SAUDE DA MULHER - DIARISTA</v>
      </c>
      <c r="E1634" s="11"/>
      <c r="F1634" s="11" t="str">
        <f>IFERROR(__xludf.DUMMYFUNCTION("""COMPUTED_VALUE"""),"US_153 POLICLINICA E MATERNIDADE ARNALDO MARQUES")</f>
        <v>US_153 POLICLINICA E MATERNIDADE ARNALDO MARQUES</v>
      </c>
      <c r="G1634" s="11" t="str">
        <f>IFERROR(__xludf.DUMMYFUNCTION("""COMPUTED_VALUE"""),"US_153 POLICLINICA E MATERNIDADE ARNALDO MARQUES")</f>
        <v>US_153 POLICLINICA E MATERNIDADE ARNALDO MARQUES</v>
      </c>
      <c r="H1634" s="11"/>
      <c r="I1634" s="11"/>
      <c r="J1634" s="11"/>
      <c r="K1634" s="11"/>
      <c r="L1634" s="11"/>
      <c r="M1634" s="11"/>
      <c r="N1634" s="11"/>
      <c r="O1634" s="11">
        <f>IFERROR(__xludf.DUMMYFUNCTION("""COMPUTED_VALUE"""),3595276558)</f>
        <v>3595276558</v>
      </c>
      <c r="P1634" s="11"/>
      <c r="Q1634" s="11"/>
      <c r="R1634" s="11"/>
      <c r="S1634" s="11"/>
      <c r="T1634" s="11"/>
      <c r="U1634" s="11"/>
      <c r="V1634" s="11"/>
      <c r="W1634" s="11"/>
      <c r="X1634" s="11"/>
      <c r="Y1634" s="11"/>
      <c r="Z1634" s="11"/>
    </row>
    <row r="1635" customHeight="1" spans="1:26">
      <c r="A1635" s="11" t="str">
        <f>IFERROR(__xludf.DUMMYFUNCTION("""COMPUTED_VALUE"""),"MATEUS CARNEIRO VICENTE")</f>
        <v>MATEUS CARNEIRO VICENTE</v>
      </c>
      <c r="B1635" s="11"/>
      <c r="C1635" s="11"/>
      <c r="D1635" s="11" t="str">
        <f>IFERROR(__xludf.DUMMYFUNCTION("""COMPUTED_VALUE"""),"ENFERMEIRO 30H - PLANTONISTA")</f>
        <v>ENFERMEIRO 30H - PLANTONISTA</v>
      </c>
      <c r="E1635" s="11"/>
      <c r="F1635" s="11" t="str">
        <f>IFERROR(__xludf.DUMMYFUNCTION("""COMPUTED_VALUE"""),"US_167 POLICLINICA E MATERNIDADE PROFESSOR BARROS LIMA")</f>
        <v>US_167 POLICLINICA E MATERNIDADE PROFESSOR BARROS LIMA</v>
      </c>
      <c r="G1635" s="11" t="str">
        <f>IFERROR(__xludf.DUMMYFUNCTION("""COMPUTED_VALUE"""),"US_167 POLICLINICA E MATERNIDADE PROFESSOR BARROS LIMA")</f>
        <v>US_167 POLICLINICA E MATERNIDADE PROFESSOR BARROS LIMA</v>
      </c>
      <c r="H1635" s="11"/>
      <c r="I1635" s="11"/>
      <c r="J1635" s="11"/>
      <c r="K1635" s="11"/>
      <c r="L1635" s="11"/>
      <c r="M1635" s="11"/>
      <c r="N1635" s="11"/>
      <c r="O1635" s="11">
        <f>IFERROR(__xludf.DUMMYFUNCTION("""COMPUTED_VALUE"""),10601085426)</f>
        <v>10601085426</v>
      </c>
      <c r="P1635" s="11"/>
      <c r="Q1635" s="11"/>
      <c r="R1635" s="11"/>
      <c r="S1635" s="11"/>
      <c r="T1635" s="11"/>
      <c r="U1635" s="11"/>
      <c r="V1635" s="11"/>
      <c r="W1635" s="11"/>
      <c r="X1635" s="11"/>
      <c r="Y1635" s="11"/>
      <c r="Z1635" s="11"/>
    </row>
    <row r="1636" customHeight="1" spans="1:26">
      <c r="A1636" s="11" t="str">
        <f>IFERROR(__xludf.DUMMYFUNCTION("""COMPUTED_VALUE"""),"CAROLINE TENORIO G DE ALMEIDA")</f>
        <v>CAROLINE TENORIO G DE ALMEIDA</v>
      </c>
      <c r="B1636" s="11"/>
      <c r="C1636" s="11"/>
      <c r="D1636" s="11" t="str">
        <f>IFERROR(__xludf.DUMMYFUNCTION("""COMPUTED_VALUE"""),"ENFERMEIRO 30H - OBSTETRA - PLANTONISTA")</f>
        <v>ENFERMEIRO 30H - OBSTETRA - PLANTONISTA</v>
      </c>
      <c r="E1636" s="11"/>
      <c r="F1636" s="11" t="str">
        <f>IFERROR(__xludf.DUMMYFUNCTION("""COMPUTED_VALUE"""),"US_165 MATERNIDADE BANDEIRA FILHO")</f>
        <v>US_165 MATERNIDADE BANDEIRA FILHO</v>
      </c>
      <c r="G1636" s="11" t="str">
        <f>IFERROR(__xludf.DUMMYFUNCTION("""COMPUTED_VALUE"""),"US_165 MATERNIDADE BANDEIRA FILHO")</f>
        <v>US_165 MATERNIDADE BANDEIRA FILHO</v>
      </c>
      <c r="H1636" s="11"/>
      <c r="I1636" s="11"/>
      <c r="J1636" s="11"/>
      <c r="K1636" s="11"/>
      <c r="L1636" s="11"/>
      <c r="M1636" s="11"/>
      <c r="N1636" s="11"/>
      <c r="O1636" s="11">
        <f>IFERROR(__xludf.DUMMYFUNCTION("""COMPUTED_VALUE"""),7693980490)</f>
        <v>7693980490</v>
      </c>
      <c r="P1636" s="11"/>
      <c r="Q1636" s="11"/>
      <c r="R1636" s="11"/>
      <c r="S1636" s="11"/>
      <c r="T1636" s="11"/>
      <c r="U1636" s="11"/>
      <c r="V1636" s="11"/>
      <c r="W1636" s="11"/>
      <c r="X1636" s="11"/>
      <c r="Y1636" s="11"/>
      <c r="Z1636" s="11"/>
    </row>
    <row r="1637" customHeight="1" spans="1:26">
      <c r="A1637" s="11" t="str">
        <f>IFERROR(__xludf.DUMMYFUNCTION("""COMPUTED_VALUE"""),"WANUBIA SANTOS NASCIMENTO")</f>
        <v>WANUBIA SANTOS NASCIMENTO</v>
      </c>
      <c r="B1637" s="11"/>
      <c r="C1637" s="11"/>
      <c r="D1637" s="11" t="str">
        <f>IFERROR(__xludf.DUMMYFUNCTION("""COMPUTED_VALUE"""),"ENFERMEIRO 30H - PLANTONISTA")</f>
        <v>ENFERMEIRO 30H - PLANTONISTA</v>
      </c>
      <c r="E1637" s="11"/>
      <c r="F1637" s="11" t="str">
        <f>IFERROR(__xludf.DUMMYFUNCTION("""COMPUTED_VALUE"""),"US_165 MATERNIDADE BANDEIRA FILHO")</f>
        <v>US_165 MATERNIDADE BANDEIRA FILHO</v>
      </c>
      <c r="G1637" s="11" t="str">
        <f>IFERROR(__xludf.DUMMYFUNCTION("""COMPUTED_VALUE"""),"US_165 MATERNIDADE BANDEIRA FILHO")</f>
        <v>US_165 MATERNIDADE BANDEIRA FILHO</v>
      </c>
      <c r="H1637" s="11"/>
      <c r="I1637" s="11"/>
      <c r="J1637" s="11"/>
      <c r="K1637" s="11"/>
      <c r="L1637" s="11"/>
      <c r="M1637" s="11"/>
      <c r="N1637" s="11"/>
      <c r="O1637" s="11">
        <f>IFERROR(__xludf.DUMMYFUNCTION("""COMPUTED_VALUE"""),8452766467)</f>
        <v>8452766467</v>
      </c>
      <c r="P1637" s="11"/>
      <c r="Q1637" s="11"/>
      <c r="R1637" s="11"/>
      <c r="S1637" s="11"/>
      <c r="T1637" s="11"/>
      <c r="U1637" s="11"/>
      <c r="V1637" s="11"/>
      <c r="W1637" s="11"/>
      <c r="X1637" s="11"/>
      <c r="Y1637" s="11"/>
      <c r="Z1637" s="11"/>
    </row>
    <row r="1638" customHeight="1" spans="1:26">
      <c r="A1638" s="11" t="str">
        <f>IFERROR(__xludf.DUMMYFUNCTION("""COMPUTED_VALUE"""),"BRUNA GABRIELA C DE LIMA")</f>
        <v>BRUNA GABRIELA C DE LIMA</v>
      </c>
      <c r="B1638" s="11"/>
      <c r="C1638" s="11"/>
      <c r="D1638" s="11" t="str">
        <f>IFERROR(__xludf.DUMMYFUNCTION("""COMPUTED_VALUE"""),"ENFERMEIRO 30H - PLANTONISTA")</f>
        <v>ENFERMEIRO 30H - PLANTONISTA</v>
      </c>
      <c r="E1638" s="11"/>
      <c r="F1638" s="11" t="str">
        <f>IFERROR(__xludf.DUMMYFUNCTION("""COMPUTED_VALUE"""),"US_153 POLICLINICA E MATERNIDADE ARNALDO MARQUES")</f>
        <v>US_153 POLICLINICA E MATERNIDADE ARNALDO MARQUES</v>
      </c>
      <c r="G1638" s="11" t="str">
        <f>IFERROR(__xludf.DUMMYFUNCTION("""COMPUTED_VALUE"""),"US_153 POLICLINICA E MATERNIDADE ARNALDO MARQUES")</f>
        <v>US_153 POLICLINICA E MATERNIDADE ARNALDO MARQUES</v>
      </c>
      <c r="H1638" s="11"/>
      <c r="I1638" s="11"/>
      <c r="J1638" s="11"/>
      <c r="K1638" s="11"/>
      <c r="L1638" s="11"/>
      <c r="M1638" s="11"/>
      <c r="N1638" s="11"/>
      <c r="O1638" s="11">
        <f>IFERROR(__xludf.DUMMYFUNCTION("""COMPUTED_VALUE"""),8953575427)</f>
        <v>8953575427</v>
      </c>
      <c r="P1638" s="11"/>
      <c r="Q1638" s="11"/>
      <c r="R1638" s="11"/>
      <c r="S1638" s="11"/>
      <c r="T1638" s="11"/>
      <c r="U1638" s="11"/>
      <c r="V1638" s="11"/>
      <c r="W1638" s="11"/>
      <c r="X1638" s="11"/>
      <c r="Y1638" s="11"/>
      <c r="Z1638" s="11"/>
    </row>
    <row r="1639" customHeight="1" spans="1:26">
      <c r="A1639" s="11" t="str">
        <f>IFERROR(__xludf.DUMMYFUNCTION("""COMPUTED_VALUE"""),"ANIETE CINTIA DE M GUIMARAES")</f>
        <v>ANIETE CINTIA DE M GUIMARAES</v>
      </c>
      <c r="B1639" s="11"/>
      <c r="C1639" s="11"/>
      <c r="D1639" s="11" t="str">
        <f>IFERROR(__xludf.DUMMYFUNCTION("""COMPUTED_VALUE"""),"ENFERMEIRO 30H - PLANTONISTA")</f>
        <v>ENFERMEIRO 30H - PLANTONISTA</v>
      </c>
      <c r="E1639" s="11"/>
      <c r="F1639" s="11" t="str">
        <f>IFERROR(__xludf.DUMMYFUNCTION("""COMPUTED_VALUE"""),"US_153 POLICLINICA E MATERNIDADE ARNALDO MARQUES")</f>
        <v>US_153 POLICLINICA E MATERNIDADE ARNALDO MARQUES</v>
      </c>
      <c r="G1639" s="11" t="str">
        <f>IFERROR(__xludf.DUMMYFUNCTION("""COMPUTED_VALUE"""),"US_153 POLICLINICA E MATERNIDADE ARNALDO MARQUES")</f>
        <v>US_153 POLICLINICA E MATERNIDADE ARNALDO MARQUES</v>
      </c>
      <c r="H1639" s="11"/>
      <c r="I1639" s="11"/>
      <c r="J1639" s="11"/>
      <c r="K1639" s="11"/>
      <c r="L1639" s="11"/>
      <c r="M1639" s="11"/>
      <c r="N1639" s="11"/>
      <c r="O1639" s="11">
        <f>IFERROR(__xludf.DUMMYFUNCTION("""COMPUTED_VALUE"""),7297689459)</f>
        <v>7297689459</v>
      </c>
      <c r="P1639" s="11"/>
      <c r="Q1639" s="11"/>
      <c r="R1639" s="11"/>
      <c r="S1639" s="11"/>
      <c r="T1639" s="11"/>
      <c r="U1639" s="11"/>
      <c r="V1639" s="11"/>
      <c r="W1639" s="11"/>
      <c r="X1639" s="11"/>
      <c r="Y1639" s="11"/>
      <c r="Z1639" s="11"/>
    </row>
    <row r="1640" customHeight="1" spans="1:26">
      <c r="A1640" s="11" t="str">
        <f>IFERROR(__xludf.DUMMYFUNCTION("""COMPUTED_VALUE"""),"CLARISSA CAVALCANTE VALENCA")</f>
        <v>CLARISSA CAVALCANTE VALENCA</v>
      </c>
      <c r="B1640" s="11"/>
      <c r="C1640" s="11"/>
      <c r="D1640" s="11" t="str">
        <f>IFERROR(__xludf.DUMMYFUNCTION("""COMPUTED_VALUE"""),"ENFERMEIRO 40H - OBSTETRA/SAUDE DA MULHER - DIARISTA")</f>
        <v>ENFERMEIRO 40H - OBSTETRA/SAUDE DA MULHER - DIARISTA</v>
      </c>
      <c r="E1640" s="11"/>
      <c r="F1640" s="11" t="str">
        <f>IFERROR(__xludf.DUMMYFUNCTION("""COMPUTED_VALUE"""),"US_165 MATERNIDADE BANDEIRA FILHO")</f>
        <v>US_165 MATERNIDADE BANDEIRA FILHO</v>
      </c>
      <c r="G1640" s="11" t="str">
        <f>IFERROR(__xludf.DUMMYFUNCTION("""COMPUTED_VALUE"""),"US_165 MATERNIDADE BANDEIRA FILHO")</f>
        <v>US_165 MATERNIDADE BANDEIRA FILHO</v>
      </c>
      <c r="H1640" s="11"/>
      <c r="I1640" s="11"/>
      <c r="J1640" s="11"/>
      <c r="K1640" s="11"/>
      <c r="L1640" s="11"/>
      <c r="M1640" s="11"/>
      <c r="N1640" s="11"/>
      <c r="O1640" s="11">
        <f>IFERROR(__xludf.DUMMYFUNCTION("""COMPUTED_VALUE"""),5702825438)</f>
        <v>5702825438</v>
      </c>
      <c r="P1640" s="11"/>
      <c r="Q1640" s="11"/>
      <c r="R1640" s="11"/>
      <c r="S1640" s="11"/>
      <c r="T1640" s="11"/>
      <c r="U1640" s="11"/>
      <c r="V1640" s="11"/>
      <c r="W1640" s="11"/>
      <c r="X1640" s="11"/>
      <c r="Y1640" s="11"/>
      <c r="Z1640" s="11"/>
    </row>
    <row r="1641" customHeight="1" spans="1:26">
      <c r="A1641" s="11" t="str">
        <f>IFERROR(__xludf.DUMMYFUNCTION("""COMPUTED_VALUE"""),"JULIANA DE ALCANTARA ROSSITER")</f>
        <v>JULIANA DE ALCANTARA ROSSITER</v>
      </c>
      <c r="B1641" s="11"/>
      <c r="C1641" s="11"/>
      <c r="D1641" s="11" t="str">
        <f>IFERROR(__xludf.DUMMYFUNCTION("""COMPUTED_VALUE"""),"ENFERMEIRO 40H - OBSTETRA/SAUDE DA MULHER - DIARISTA")</f>
        <v>ENFERMEIRO 40H - OBSTETRA/SAUDE DA MULHER - DIARISTA</v>
      </c>
      <c r="E1641" s="11"/>
      <c r="F1641" s="11" t="str">
        <f>IFERROR(__xludf.DUMMYFUNCTION("""COMPUTED_VALUE"""),"US_165 MATERNIDADE BANDEIRA FILHO")</f>
        <v>US_165 MATERNIDADE BANDEIRA FILHO</v>
      </c>
      <c r="G1641" s="11" t="str">
        <f>IFERROR(__xludf.DUMMYFUNCTION("""COMPUTED_VALUE"""),"US_165 MATERNIDADE BANDEIRA FILHO")</f>
        <v>US_165 MATERNIDADE BANDEIRA FILHO</v>
      </c>
      <c r="H1641" s="11"/>
      <c r="I1641" s="11"/>
      <c r="J1641" s="11"/>
      <c r="K1641" s="11"/>
      <c r="L1641" s="11"/>
      <c r="M1641" s="11"/>
      <c r="N1641" s="11"/>
      <c r="O1641" s="11">
        <f>IFERROR(__xludf.DUMMYFUNCTION("""COMPUTED_VALUE"""),7799422483)</f>
        <v>7799422483</v>
      </c>
      <c r="P1641" s="11"/>
      <c r="Q1641" s="11"/>
      <c r="R1641" s="11"/>
      <c r="S1641" s="11"/>
      <c r="T1641" s="11"/>
      <c r="U1641" s="11"/>
      <c r="V1641" s="11"/>
      <c r="W1641" s="11"/>
      <c r="X1641" s="11"/>
      <c r="Y1641" s="11"/>
      <c r="Z1641" s="11"/>
    </row>
    <row r="1642" customHeight="1" spans="1:26">
      <c r="A1642" s="11" t="str">
        <f>IFERROR(__xludf.DUMMYFUNCTION("""COMPUTED_VALUE"""),"AGELY MARIA PEREIRA FIRMINO")</f>
        <v>AGELY MARIA PEREIRA FIRMINO</v>
      </c>
      <c r="B1642" s="11"/>
      <c r="C1642" s="11"/>
      <c r="D1642" s="11" t="str">
        <f>IFERROR(__xludf.DUMMYFUNCTION("""COMPUTED_VALUE"""),"ENFERMEIRO 30H - OBSTETRA - PLANTONISTA")</f>
        <v>ENFERMEIRO 30H - OBSTETRA - PLANTONISTA</v>
      </c>
      <c r="E1642" s="11"/>
      <c r="F1642" s="11" t="str">
        <f>IFERROR(__xludf.DUMMYFUNCTION("""COMPUTED_VALUE"""),"US_165 MATERNIDADE BANDEIRA FILHO")</f>
        <v>US_165 MATERNIDADE BANDEIRA FILHO</v>
      </c>
      <c r="G1642" s="11" t="str">
        <f>IFERROR(__xludf.DUMMYFUNCTION("""COMPUTED_VALUE"""),"US_165 MATERNIDADE BANDEIRA FILHO")</f>
        <v>US_165 MATERNIDADE BANDEIRA FILHO</v>
      </c>
      <c r="H1642" s="11"/>
      <c r="I1642" s="11"/>
      <c r="J1642" s="11"/>
      <c r="K1642" s="11"/>
      <c r="L1642" s="11"/>
      <c r="M1642" s="11"/>
      <c r="N1642" s="11"/>
      <c r="O1642" s="11">
        <f>IFERROR(__xludf.DUMMYFUNCTION("""COMPUTED_VALUE"""),3061080465)</f>
        <v>3061080465</v>
      </c>
      <c r="P1642" s="11"/>
      <c r="Q1642" s="11"/>
      <c r="R1642" s="11"/>
      <c r="S1642" s="11"/>
      <c r="T1642" s="11"/>
      <c r="U1642" s="11"/>
      <c r="V1642" s="11"/>
      <c r="W1642" s="11"/>
      <c r="X1642" s="11"/>
      <c r="Y1642" s="11"/>
      <c r="Z1642" s="11"/>
    </row>
    <row r="1643" customHeight="1" spans="1:26">
      <c r="A1643" s="11" t="str">
        <f>IFERROR(__xludf.DUMMYFUNCTION("""COMPUTED_VALUE"""),"KARINA COSTA DE SANT ANA")</f>
        <v>KARINA COSTA DE SANT ANA</v>
      </c>
      <c r="B1643" s="11"/>
      <c r="C1643" s="11"/>
      <c r="D1643" s="11" t="str">
        <f>IFERROR(__xludf.DUMMYFUNCTION("""COMPUTED_VALUE"""),"ENFERMEIRO 30H - OBSTETRA - PLANTONISTA")</f>
        <v>ENFERMEIRO 30H - OBSTETRA - PLANTONISTA</v>
      </c>
      <c r="E1643" s="11"/>
      <c r="F1643" s="11" t="str">
        <f>IFERROR(__xludf.DUMMYFUNCTION("""COMPUTED_VALUE"""),"US_165 MATERNIDADE BANDEIRA FILHO")</f>
        <v>US_165 MATERNIDADE BANDEIRA FILHO</v>
      </c>
      <c r="G1643" s="11" t="str">
        <f>IFERROR(__xludf.DUMMYFUNCTION("""COMPUTED_VALUE"""),"US_165 MATERNIDADE BANDEIRA FILHO")</f>
        <v>US_165 MATERNIDADE BANDEIRA FILHO</v>
      </c>
      <c r="H1643" s="11"/>
      <c r="I1643" s="11"/>
      <c r="J1643" s="11"/>
      <c r="K1643" s="11"/>
      <c r="L1643" s="11"/>
      <c r="M1643" s="11"/>
      <c r="N1643" s="11"/>
      <c r="O1643" s="11">
        <f>IFERROR(__xludf.DUMMYFUNCTION("""COMPUTED_VALUE"""),1369993447)</f>
        <v>1369993447</v>
      </c>
      <c r="P1643" s="11"/>
      <c r="Q1643" s="11"/>
      <c r="R1643" s="11"/>
      <c r="S1643" s="11"/>
      <c r="T1643" s="11"/>
      <c r="U1643" s="11"/>
      <c r="V1643" s="11"/>
      <c r="W1643" s="11"/>
      <c r="X1643" s="11"/>
      <c r="Y1643" s="11"/>
      <c r="Z1643" s="11"/>
    </row>
    <row r="1644" customHeight="1" spans="1:26">
      <c r="A1644" s="11" t="str">
        <f>IFERROR(__xludf.DUMMYFUNCTION("""COMPUTED_VALUE"""),"DJAILMA CINTHIA ERNESTRO SILVA")</f>
        <v>DJAILMA CINTHIA ERNESTRO SILVA</v>
      </c>
      <c r="B1644" s="11"/>
      <c r="C1644" s="11"/>
      <c r="D1644" s="11" t="str">
        <f>IFERROR(__xludf.DUMMYFUNCTION("""COMPUTED_VALUE"""),"ENFERMEIRO 30H - OBSTETRA - PLANTONISTA")</f>
        <v>ENFERMEIRO 30H - OBSTETRA - PLANTONISTA</v>
      </c>
      <c r="E1644" s="11"/>
      <c r="F1644" s="11" t="str">
        <f>IFERROR(__xludf.DUMMYFUNCTION("""COMPUTED_VALUE"""),"US_165 MATERNIDADE BANDEIRA FILHO")</f>
        <v>US_165 MATERNIDADE BANDEIRA FILHO</v>
      </c>
      <c r="G1644" s="11" t="str">
        <f>IFERROR(__xludf.DUMMYFUNCTION("""COMPUTED_VALUE"""),"US_165 MATERNIDADE BANDEIRA FILHO")</f>
        <v>US_165 MATERNIDADE BANDEIRA FILHO</v>
      </c>
      <c r="H1644" s="11"/>
      <c r="I1644" s="11"/>
      <c r="J1644" s="11"/>
      <c r="K1644" s="11"/>
      <c r="L1644" s="11"/>
      <c r="M1644" s="11"/>
      <c r="N1644" s="11"/>
      <c r="O1644" s="11">
        <f>IFERROR(__xludf.DUMMYFUNCTION("""COMPUTED_VALUE"""),10751878421)</f>
        <v>10751878421</v>
      </c>
      <c r="P1644" s="11"/>
      <c r="Q1644" s="11"/>
      <c r="R1644" s="11"/>
      <c r="S1644" s="11"/>
      <c r="T1644" s="11"/>
      <c r="U1644" s="11"/>
      <c r="V1644" s="11"/>
      <c r="W1644" s="11"/>
      <c r="X1644" s="11"/>
      <c r="Y1644" s="11"/>
      <c r="Z1644" s="11"/>
    </row>
    <row r="1645" customHeight="1" spans="1:26">
      <c r="A1645" s="11" t="str">
        <f>IFERROR(__xludf.DUMMYFUNCTION("""COMPUTED_VALUE"""),"NARA SILVA PRADO")</f>
        <v>NARA SILVA PRADO</v>
      </c>
      <c r="B1645" s="11"/>
      <c r="C1645" s="11"/>
      <c r="D1645" s="11" t="str">
        <f>IFERROR(__xludf.DUMMYFUNCTION("""COMPUTED_VALUE"""),"ENFERMEIRO 40H - OBSTETRA/SAUDE DA MULHER - DIARISTA")</f>
        <v>ENFERMEIRO 40H - OBSTETRA/SAUDE DA MULHER - DIARISTA</v>
      </c>
      <c r="E1645" s="11"/>
      <c r="F1645" s="11" t="str">
        <f>IFERROR(__xludf.DUMMYFUNCTION("""COMPUTED_VALUE"""),"")</f>
        <v/>
      </c>
      <c r="G1645" s="11" t="str">
        <f>IFERROR(__xludf.DUMMYFUNCTION("""COMPUTED_VALUE"""),"")</f>
        <v/>
      </c>
      <c r="H1645" s="11"/>
      <c r="I1645" s="11"/>
      <c r="J1645" s="11"/>
      <c r="K1645" s="11"/>
      <c r="L1645" s="11"/>
      <c r="M1645" s="11"/>
      <c r="N1645" s="11"/>
      <c r="O1645" s="11"/>
      <c r="P1645" s="11"/>
      <c r="Q1645" s="11"/>
      <c r="R1645" s="11"/>
      <c r="S1645" s="11"/>
      <c r="T1645" s="11"/>
      <c r="U1645" s="11"/>
      <c r="V1645" s="11"/>
      <c r="W1645" s="11"/>
      <c r="X1645" s="11"/>
      <c r="Y1645" s="11"/>
      <c r="Z1645" s="11"/>
    </row>
    <row r="1646" customHeight="1" spans="1:26">
      <c r="A1646" s="11" t="str">
        <f>IFERROR(__xludf.DUMMYFUNCTION("""COMPUTED_VALUE"""),"BEATRIZ SANTANA DE SOUZA LIMA")</f>
        <v>BEATRIZ SANTANA DE SOUZA LIMA</v>
      </c>
      <c r="B1646" s="11"/>
      <c r="C1646" s="11"/>
      <c r="D1646" s="11" t="str">
        <f>IFERROR(__xludf.DUMMYFUNCTION("""COMPUTED_VALUE"""),"ENFERMEIRO 30H - PLANTONISTA")</f>
        <v>ENFERMEIRO 30H - PLANTONISTA</v>
      </c>
      <c r="E1646" s="11"/>
      <c r="F1646" s="11" t="str">
        <f>IFERROR(__xludf.DUMMYFUNCTION("""COMPUTED_VALUE"""),"")</f>
        <v/>
      </c>
      <c r="G1646" s="11" t="str">
        <f>IFERROR(__xludf.DUMMYFUNCTION("""COMPUTED_VALUE"""),"")</f>
        <v/>
      </c>
      <c r="H1646" s="11"/>
      <c r="I1646" s="11"/>
      <c r="J1646" s="11"/>
      <c r="K1646" s="11"/>
      <c r="L1646" s="11"/>
      <c r="M1646" s="11"/>
      <c r="N1646" s="11"/>
      <c r="O1646" s="11"/>
      <c r="P1646" s="11"/>
      <c r="Q1646" s="11"/>
      <c r="R1646" s="11"/>
      <c r="S1646" s="11"/>
      <c r="T1646" s="11"/>
      <c r="U1646" s="11"/>
      <c r="V1646" s="11"/>
      <c r="W1646" s="11"/>
      <c r="X1646" s="11"/>
      <c r="Y1646" s="11"/>
      <c r="Z1646" s="11"/>
    </row>
    <row r="1647" customHeight="1" spans="1:26">
      <c r="A1647" s="11" t="str">
        <f>IFERROR(__xludf.DUMMYFUNCTION("""COMPUTED_VALUE"""),"LUANNA SILVA BRAGA")</f>
        <v>LUANNA SILVA BRAGA</v>
      </c>
      <c r="B1647" s="11"/>
      <c r="C1647" s="11"/>
      <c r="D1647" s="11" t="str">
        <f>IFERROR(__xludf.DUMMYFUNCTION("""COMPUTED_VALUE"""),"ENFERMEIRO 30H - OBSTETRA - PLANTONISTA")</f>
        <v>ENFERMEIRO 30H - OBSTETRA - PLANTONISTA</v>
      </c>
      <c r="E1647" s="11"/>
      <c r="F1647" s="11" t="str">
        <f>IFERROR(__xludf.DUMMYFUNCTION("""COMPUTED_VALUE"""),"")</f>
        <v/>
      </c>
      <c r="G1647" s="11" t="str">
        <f>IFERROR(__xludf.DUMMYFUNCTION("""COMPUTED_VALUE"""),"")</f>
        <v/>
      </c>
      <c r="H1647" s="11"/>
      <c r="I1647" s="11"/>
      <c r="J1647" s="11"/>
      <c r="K1647" s="11"/>
      <c r="L1647" s="11"/>
      <c r="M1647" s="11"/>
      <c r="N1647" s="11"/>
      <c r="O1647" s="11"/>
      <c r="P1647" s="11"/>
      <c r="Q1647" s="11"/>
      <c r="R1647" s="11"/>
      <c r="S1647" s="11"/>
      <c r="T1647" s="11"/>
      <c r="U1647" s="11"/>
      <c r="V1647" s="11"/>
      <c r="W1647" s="11"/>
      <c r="X1647" s="11"/>
      <c r="Y1647" s="11"/>
      <c r="Z1647" s="11"/>
    </row>
    <row r="1648" customHeight="1" spans="1:26">
      <c r="A1648" s="11" t="str">
        <f>IFERROR(__xludf.DUMMYFUNCTION("""COMPUTED_VALUE"""),"THALITA DA SILVA PEREIRA")</f>
        <v>THALITA DA SILVA PEREIRA</v>
      </c>
      <c r="B1648" s="11"/>
      <c r="C1648" s="11"/>
      <c r="D1648" s="11" t="str">
        <f>IFERROR(__xludf.DUMMYFUNCTION("""COMPUTED_VALUE"""),"ENFERMEIRO 30H - PLANTONISTA")</f>
        <v>ENFERMEIRO 30H - PLANTONISTA</v>
      </c>
      <c r="E1648" s="11"/>
      <c r="F1648" s="11" t="str">
        <f>IFERROR(__xludf.DUMMYFUNCTION("""COMPUTED_VALUE"""),"")</f>
        <v/>
      </c>
      <c r="G1648" s="11" t="str">
        <f>IFERROR(__xludf.DUMMYFUNCTION("""COMPUTED_VALUE"""),"")</f>
        <v/>
      </c>
      <c r="H1648" s="11"/>
      <c r="I1648" s="11"/>
      <c r="J1648" s="11"/>
      <c r="K1648" s="11"/>
      <c r="L1648" s="11"/>
      <c r="M1648" s="11"/>
      <c r="N1648" s="11"/>
      <c r="O1648" s="11"/>
      <c r="P1648" s="11"/>
      <c r="Q1648" s="11"/>
      <c r="R1648" s="11"/>
      <c r="S1648" s="11"/>
      <c r="T1648" s="11"/>
      <c r="U1648" s="11"/>
      <c r="V1648" s="11"/>
      <c r="W1648" s="11"/>
      <c r="X1648" s="11"/>
      <c r="Y1648" s="11"/>
      <c r="Z1648" s="11"/>
    </row>
    <row r="1649" customHeight="1" spans="1:26">
      <c r="A1649" s="11" t="str">
        <f>IFERROR(__xludf.DUMMYFUNCTION("""COMPUTED_VALUE"""),"ISADORA PEREIRA FARIAS")</f>
        <v>ISADORA PEREIRA FARIAS</v>
      </c>
      <c r="B1649" s="11"/>
      <c r="C1649" s="11"/>
      <c r="D1649" s="11" t="str">
        <f>IFERROR(__xludf.DUMMYFUNCTION("""COMPUTED_VALUE"""),"ENFERMEIRO 30H - PLANTONISTA")</f>
        <v>ENFERMEIRO 30H - PLANTONISTA</v>
      </c>
      <c r="E1649" s="11"/>
      <c r="F1649" s="11" t="str">
        <f>IFERROR(__xludf.DUMMYFUNCTION("""COMPUTED_VALUE"""),"")</f>
        <v/>
      </c>
      <c r="G1649" s="11" t="str">
        <f>IFERROR(__xludf.DUMMYFUNCTION("""COMPUTED_VALUE"""),"")</f>
        <v/>
      </c>
      <c r="H1649" s="11"/>
      <c r="I1649" s="11"/>
      <c r="J1649" s="11"/>
      <c r="K1649" s="11"/>
      <c r="L1649" s="11"/>
      <c r="M1649" s="11"/>
      <c r="N1649" s="11"/>
      <c r="O1649" s="11"/>
      <c r="P1649" s="11"/>
      <c r="Q1649" s="11"/>
      <c r="R1649" s="11"/>
      <c r="S1649" s="11"/>
      <c r="T1649" s="11"/>
      <c r="U1649" s="11"/>
      <c r="V1649" s="11"/>
      <c r="W1649" s="11"/>
      <c r="X1649" s="11"/>
      <c r="Y1649" s="11"/>
      <c r="Z1649" s="11"/>
    </row>
    <row r="1650" customHeight="1" spans="1:26">
      <c r="A1650" s="11" t="str">
        <f>IFERROR(__xludf.DUMMYFUNCTION("""COMPUTED_VALUE"""),"SHIRLEY MAGALIYGOMES DA SILVA")</f>
        <v>SHIRLEY MAGALIYGOMES DA SILVA</v>
      </c>
      <c r="B1650" s="11"/>
      <c r="C1650" s="11"/>
      <c r="D1650" s="11" t="str">
        <f>IFERROR(__xludf.DUMMYFUNCTION("""COMPUTED_VALUE"""),"ENFERMEIRO 30H")</f>
        <v>ENFERMEIRO 30H</v>
      </c>
      <c r="E1650" s="11"/>
      <c r="F1650" s="11" t="str">
        <f>IFERROR(__xludf.DUMMYFUNCTION("""COMPUTED_VALUE"""),"US_180 CENTRAL DE REGULACAO MEDICA SAMU METROPOLITANO RECIFE")</f>
        <v>US_180 CENTRAL DE REGULACAO MEDICA SAMU METROPOLITANO RECIFE</v>
      </c>
      <c r="G1650" s="11" t="str">
        <f>IFERROR(__xludf.DUMMYFUNCTION("""COMPUTED_VALUE"""),"US_180 CENTRAL DE REGULACAO MEDICA SAMU METROPOLITANO RECIFE")</f>
        <v>US_180 CENTRAL DE REGULACAO MEDICA SAMU METROPOLITANO RECIFE</v>
      </c>
      <c r="H1650" s="11"/>
      <c r="I1650" s="11"/>
      <c r="J1650" s="11"/>
      <c r="K1650" s="11"/>
      <c r="L1650" s="11"/>
      <c r="M1650" s="11"/>
      <c r="N1650" s="11"/>
      <c r="O1650" s="11">
        <f>IFERROR(__xludf.DUMMYFUNCTION("""COMPUTED_VALUE"""),59450703434)</f>
        <v>59450703434</v>
      </c>
      <c r="P1650" s="11"/>
      <c r="Q1650" s="11"/>
      <c r="R1650" s="11"/>
      <c r="S1650" s="11"/>
      <c r="T1650" s="11"/>
      <c r="U1650" s="11"/>
      <c r="V1650" s="11"/>
      <c r="W1650" s="11"/>
      <c r="X1650" s="11"/>
      <c r="Y1650" s="11"/>
      <c r="Z1650" s="11"/>
    </row>
    <row r="1651" customHeight="1" spans="1:26">
      <c r="A1651" s="11" t="str">
        <f>IFERROR(__xludf.DUMMYFUNCTION("""COMPUTED_VALUE"""),"ELYSANGELA A S DE M FALCAO")</f>
        <v>ELYSANGELA A S DE M FALCAO</v>
      </c>
      <c r="B1651" s="11"/>
      <c r="C1651" s="11"/>
      <c r="D1651" s="11" t="str">
        <f>IFERROR(__xludf.DUMMYFUNCTION("""COMPUTED_VALUE"""),"ENFERMEIRO 30H")</f>
        <v>ENFERMEIRO 30H</v>
      </c>
      <c r="E1651" s="11"/>
      <c r="F1651" s="11" t="str">
        <f>IFERROR(__xludf.DUMMYFUNCTION("""COMPUTED_VALUE"""),"US_153 POLICLINICA E MATERNIDADE ARNALDO MARQUES")</f>
        <v>US_153 POLICLINICA E MATERNIDADE ARNALDO MARQUES</v>
      </c>
      <c r="G1651" s="11" t="str">
        <f>IFERROR(__xludf.DUMMYFUNCTION("""COMPUTED_VALUE"""),"US_153 POLICLINICA E MATERNIDADE ARNALDO MARQUES")</f>
        <v>US_153 POLICLINICA E MATERNIDADE ARNALDO MARQUES</v>
      </c>
      <c r="H1651" s="11"/>
      <c r="I1651" s="11"/>
      <c r="J1651" s="11"/>
      <c r="K1651" s="11"/>
      <c r="L1651" s="11"/>
      <c r="M1651" s="11"/>
      <c r="N1651" s="11"/>
      <c r="O1651" s="11">
        <f>IFERROR(__xludf.DUMMYFUNCTION("""COMPUTED_VALUE"""),93203659468)</f>
        <v>93203659468</v>
      </c>
      <c r="P1651" s="11"/>
      <c r="Q1651" s="11"/>
      <c r="R1651" s="11"/>
      <c r="S1651" s="11"/>
      <c r="T1651" s="11"/>
      <c r="U1651" s="11"/>
      <c r="V1651" s="11"/>
      <c r="W1651" s="11"/>
      <c r="X1651" s="11"/>
      <c r="Y1651" s="11"/>
      <c r="Z1651" s="11"/>
    </row>
    <row r="1652" customHeight="1" spans="1:26">
      <c r="A1652" s="11" t="str">
        <f>IFERROR(__xludf.DUMMYFUNCTION("""COMPUTED_VALUE"""),"ANA TERESA DE BRITO CASTRO")</f>
        <v>ANA TERESA DE BRITO CASTRO</v>
      </c>
      <c r="B1652" s="11"/>
      <c r="C1652" s="11"/>
      <c r="D1652" s="11" t="str">
        <f>IFERROR(__xludf.DUMMYFUNCTION("""COMPUTED_VALUE"""),"ENFERMEIRO 30H")</f>
        <v>ENFERMEIRO 30H</v>
      </c>
      <c r="E1652" s="11"/>
      <c r="F1652" s="11" t="str">
        <f>IFERROR(__xludf.DUMMYFUNCTION("""COMPUTED_VALUE"""),"US_180 CENTRAL DE REGULACAO MEDICA SAMU METROPOLITANO RECIFE")</f>
        <v>US_180 CENTRAL DE REGULACAO MEDICA SAMU METROPOLITANO RECIFE</v>
      </c>
      <c r="G1652" s="11" t="str">
        <f>IFERROR(__xludf.DUMMYFUNCTION("""COMPUTED_VALUE"""),"US_180 CENTRAL DE REGULACAO MEDICA SAMU METROPOLITANO RECIFE")</f>
        <v>US_180 CENTRAL DE REGULACAO MEDICA SAMU METROPOLITANO RECIFE</v>
      </c>
      <c r="H1652" s="11"/>
      <c r="I1652" s="11"/>
      <c r="J1652" s="11"/>
      <c r="K1652" s="11"/>
      <c r="L1652" s="11"/>
      <c r="M1652" s="11"/>
      <c r="N1652" s="11"/>
      <c r="O1652" s="11">
        <f>IFERROR(__xludf.DUMMYFUNCTION("""COMPUTED_VALUE"""),40975606468)</f>
        <v>40975606468</v>
      </c>
      <c r="P1652" s="11"/>
      <c r="Q1652" s="11"/>
      <c r="R1652" s="11"/>
      <c r="S1652" s="11"/>
      <c r="T1652" s="11"/>
      <c r="U1652" s="11"/>
      <c r="V1652" s="11"/>
      <c r="W1652" s="11"/>
      <c r="X1652" s="11"/>
      <c r="Y1652" s="11"/>
      <c r="Z1652" s="11"/>
    </row>
    <row r="1653" customHeight="1" spans="1:26">
      <c r="A1653" s="11" t="str">
        <f>IFERROR(__xludf.DUMMYFUNCTION("""COMPUTED_VALUE"""),"TEREZA CRISTINA PEREIRA")</f>
        <v>TEREZA CRISTINA PEREIRA</v>
      </c>
      <c r="B1653" s="11"/>
      <c r="C1653" s="11"/>
      <c r="D1653" s="11" t="str">
        <f>IFERROR(__xludf.DUMMYFUNCTION("""COMPUTED_VALUE"""),"ENFERMEIRO 30H")</f>
        <v>ENFERMEIRO 30H</v>
      </c>
      <c r="E1653" s="11"/>
      <c r="F1653" s="11" t="str">
        <f>IFERROR(__xludf.DUMMYFUNCTION("""COMPUTED_VALUE"""),"US_180 CENTRAL DE REGULACAO MEDICA SAMU METROPOLITANO RECIFE")</f>
        <v>US_180 CENTRAL DE REGULACAO MEDICA SAMU METROPOLITANO RECIFE</v>
      </c>
      <c r="G1653" s="11" t="str">
        <f>IFERROR(__xludf.DUMMYFUNCTION("""COMPUTED_VALUE"""),"US_180 CENTRAL DE REGULACAO MEDICA SAMU METROPOLITANO RECIFE")</f>
        <v>US_180 CENTRAL DE REGULACAO MEDICA SAMU METROPOLITANO RECIFE</v>
      </c>
      <c r="H1653" s="11"/>
      <c r="I1653" s="11"/>
      <c r="J1653" s="11"/>
      <c r="K1653" s="11"/>
      <c r="L1653" s="11"/>
      <c r="M1653" s="11"/>
      <c r="N1653" s="11"/>
      <c r="O1653" s="11">
        <f>IFERROR(__xludf.DUMMYFUNCTION("""COMPUTED_VALUE"""),39937682487)</f>
        <v>39937682487</v>
      </c>
      <c r="P1653" s="11"/>
      <c r="Q1653" s="11"/>
      <c r="R1653" s="11"/>
      <c r="S1653" s="11"/>
      <c r="T1653" s="11"/>
      <c r="U1653" s="11"/>
      <c r="V1653" s="11"/>
      <c r="W1653" s="11"/>
      <c r="X1653" s="11"/>
      <c r="Y1653" s="11"/>
      <c r="Z1653" s="11"/>
    </row>
    <row r="1654" customHeight="1" spans="1:26">
      <c r="A1654" s="11" t="str">
        <f>IFERROR(__xludf.DUMMYFUNCTION("""COMPUTED_VALUE"""),"ERICA MARIA ALVES DA SILVA")</f>
        <v>ERICA MARIA ALVES DA SILVA</v>
      </c>
      <c r="B1654" s="11"/>
      <c r="C1654" s="11"/>
      <c r="D1654" s="11" t="str">
        <f>IFERROR(__xludf.DUMMYFUNCTION("""COMPUTED_VALUE"""),"ENFERMEIRO 30H")</f>
        <v>ENFERMEIRO 30H</v>
      </c>
      <c r="E1654" s="11"/>
      <c r="F1654" s="11" t="str">
        <f>IFERROR(__xludf.DUMMYFUNCTION("""COMPUTED_VALUE"""),"US_180 CENTRAL DE REGULACAO MEDICA SAMU METROPOLITANO RECIFE")</f>
        <v>US_180 CENTRAL DE REGULACAO MEDICA SAMU METROPOLITANO RECIFE</v>
      </c>
      <c r="G1654" s="11" t="str">
        <f>IFERROR(__xludf.DUMMYFUNCTION("""COMPUTED_VALUE"""),"US_180 CENTRAL DE REGULACAO MEDICA SAMU METROPOLITANO RECIFE")</f>
        <v>US_180 CENTRAL DE REGULACAO MEDICA SAMU METROPOLITANO RECIFE</v>
      </c>
      <c r="H1654" s="11"/>
      <c r="I1654" s="11"/>
      <c r="J1654" s="11"/>
      <c r="K1654" s="11"/>
      <c r="L1654" s="11"/>
      <c r="M1654" s="11"/>
      <c r="N1654" s="11"/>
      <c r="O1654" s="11">
        <f>IFERROR(__xludf.DUMMYFUNCTION("""COMPUTED_VALUE"""),47997168400)</f>
        <v>47997168400</v>
      </c>
      <c r="P1654" s="11"/>
      <c r="Q1654" s="11"/>
      <c r="R1654" s="11"/>
      <c r="S1654" s="11"/>
      <c r="T1654" s="11"/>
      <c r="U1654" s="11"/>
      <c r="V1654" s="11"/>
      <c r="W1654" s="11"/>
      <c r="X1654" s="11"/>
      <c r="Y1654" s="11"/>
      <c r="Z1654" s="11"/>
    </row>
    <row r="1655" customHeight="1" spans="1:26">
      <c r="A1655" s="11" t="str">
        <f>IFERROR(__xludf.DUMMYFUNCTION("""COMPUTED_VALUE"""),"GERLUCE ARAUJO S DE S MONTEIRO")</f>
        <v>GERLUCE ARAUJO S DE S MONTEIRO</v>
      </c>
      <c r="B1655" s="11"/>
      <c r="C1655" s="11"/>
      <c r="D1655" s="11" t="str">
        <f>IFERROR(__xludf.DUMMYFUNCTION("""COMPUTED_VALUE"""),"ENFERMEIRO 30H")</f>
        <v>ENFERMEIRO 30H</v>
      </c>
      <c r="E1655" s="11"/>
      <c r="F1655" s="11" t="str">
        <f>IFERROR(__xludf.DUMMYFUNCTION("""COMPUTED_VALUE"""),"US_180 CENTRAL DE REGULACAO MEDICA SAMU METROPOLITANO RECIFE")</f>
        <v>US_180 CENTRAL DE REGULACAO MEDICA SAMU METROPOLITANO RECIFE</v>
      </c>
      <c r="G1655" s="11" t="str">
        <f>IFERROR(__xludf.DUMMYFUNCTION("""COMPUTED_VALUE"""),"US_180 CENTRAL DE REGULACAO MEDICA SAMU METROPOLITANO RECIFE")</f>
        <v>US_180 CENTRAL DE REGULACAO MEDICA SAMU METROPOLITANO RECIFE</v>
      </c>
      <c r="H1655" s="11"/>
      <c r="I1655" s="11"/>
      <c r="J1655" s="11"/>
      <c r="K1655" s="11"/>
      <c r="L1655" s="11"/>
      <c r="M1655" s="11"/>
      <c r="N1655" s="11"/>
      <c r="O1655" s="11">
        <f>IFERROR(__xludf.DUMMYFUNCTION("""COMPUTED_VALUE"""),59375540430)</f>
        <v>59375540430</v>
      </c>
      <c r="P1655" s="11"/>
      <c r="Q1655" s="11"/>
      <c r="R1655" s="11"/>
      <c r="S1655" s="11"/>
      <c r="T1655" s="11"/>
      <c r="U1655" s="11"/>
      <c r="V1655" s="11"/>
      <c r="W1655" s="11"/>
      <c r="X1655" s="11"/>
      <c r="Y1655" s="11"/>
      <c r="Z1655" s="11"/>
    </row>
    <row r="1656" customHeight="1" spans="1:26">
      <c r="A1656" s="11" t="str">
        <f>IFERROR(__xludf.DUMMYFUNCTION("""COMPUTED_VALUE"""),"HERMINA SOUZA M DE ALMEIDA")</f>
        <v>HERMINA SOUZA M DE ALMEIDA</v>
      </c>
      <c r="B1656" s="11"/>
      <c r="C1656" s="11"/>
      <c r="D1656" s="11" t="str">
        <f>IFERROR(__xludf.DUMMYFUNCTION("""COMPUTED_VALUE"""),"ENFERMEIRO 30H")</f>
        <v>ENFERMEIRO 30H</v>
      </c>
      <c r="E1656" s="11"/>
      <c r="F1656" s="11" t="str">
        <f>IFERROR(__xludf.DUMMYFUNCTION("""COMPUTED_VALUE"""),"US_180 CENTRAL DE REGULACAO MEDICA SAMU METROPOLITANO RECIFE")</f>
        <v>US_180 CENTRAL DE REGULACAO MEDICA SAMU METROPOLITANO RECIFE</v>
      </c>
      <c r="G1656" s="11" t="str">
        <f>IFERROR(__xludf.DUMMYFUNCTION("""COMPUTED_VALUE"""),"US_180 CENTRAL DE REGULACAO MEDICA SAMU METROPOLITANO RECIFE")</f>
        <v>US_180 CENTRAL DE REGULACAO MEDICA SAMU METROPOLITANO RECIFE</v>
      </c>
      <c r="H1656" s="11"/>
      <c r="I1656" s="11"/>
      <c r="J1656" s="11"/>
      <c r="K1656" s="11"/>
      <c r="L1656" s="11"/>
      <c r="M1656" s="11"/>
      <c r="N1656" s="11"/>
      <c r="O1656" s="11">
        <f>IFERROR(__xludf.DUMMYFUNCTION("""COMPUTED_VALUE"""),68565186415)</f>
        <v>68565186415</v>
      </c>
      <c r="P1656" s="11"/>
      <c r="Q1656" s="11"/>
      <c r="R1656" s="11"/>
      <c r="S1656" s="11"/>
      <c r="T1656" s="11"/>
      <c r="U1656" s="11"/>
      <c r="V1656" s="11"/>
      <c r="W1656" s="11"/>
      <c r="X1656" s="11"/>
      <c r="Y1656" s="11"/>
      <c r="Z1656" s="11"/>
    </row>
    <row r="1657" customHeight="1" spans="1:26">
      <c r="A1657" s="11" t="str">
        <f>IFERROR(__xludf.DUMMYFUNCTION("""COMPUTED_VALUE"""),"SILVANA DA SILVA FERNANDES")</f>
        <v>SILVANA DA SILVA FERNANDES</v>
      </c>
      <c r="B1657" s="11"/>
      <c r="C1657" s="11"/>
      <c r="D1657" s="11" t="str">
        <f>IFERROR(__xludf.DUMMYFUNCTION("""COMPUTED_VALUE"""),"ENFERMEIRO 30H")</f>
        <v>ENFERMEIRO 30H</v>
      </c>
      <c r="E1657" s="11"/>
      <c r="F1657" s="11" t="str">
        <f>IFERROR(__xludf.DUMMYFUNCTION("""COMPUTED_VALUE"""),"US_180 CENTRAL DE REGULACAO MEDICA SAMU METROPOLITANO RECIFE")</f>
        <v>US_180 CENTRAL DE REGULACAO MEDICA SAMU METROPOLITANO RECIFE</v>
      </c>
      <c r="G1657" s="11" t="str">
        <f>IFERROR(__xludf.DUMMYFUNCTION("""COMPUTED_VALUE"""),"US_180 CENTRAL DE REGULACAO MEDICA SAMU METROPOLITANO RECIFE")</f>
        <v>US_180 CENTRAL DE REGULACAO MEDICA SAMU METROPOLITANO RECIFE</v>
      </c>
      <c r="H1657" s="11"/>
      <c r="I1657" s="11"/>
      <c r="J1657" s="11"/>
      <c r="K1657" s="11"/>
      <c r="L1657" s="11"/>
      <c r="M1657" s="11"/>
      <c r="N1657" s="11"/>
      <c r="O1657" s="11">
        <f>IFERROR(__xludf.DUMMYFUNCTION("""COMPUTED_VALUE"""),50000381420)</f>
        <v>50000381420</v>
      </c>
      <c r="P1657" s="11"/>
      <c r="Q1657" s="11"/>
      <c r="R1657" s="11"/>
      <c r="S1657" s="11"/>
      <c r="T1657" s="11"/>
      <c r="U1657" s="11"/>
      <c r="V1657" s="11"/>
      <c r="W1657" s="11"/>
      <c r="X1657" s="11"/>
      <c r="Y1657" s="11"/>
      <c r="Z1657" s="11"/>
    </row>
    <row r="1658" customHeight="1" spans="1:26">
      <c r="A1658" s="11" t="str">
        <f>IFERROR(__xludf.DUMMYFUNCTION("""COMPUTED_VALUE"""),"JANISE CLAUDIA M SALGUEIRO")</f>
        <v>JANISE CLAUDIA M SALGUEIRO</v>
      </c>
      <c r="B1658" s="11"/>
      <c r="C1658" s="11"/>
      <c r="D1658" s="11" t="str">
        <f>IFERROR(__xludf.DUMMYFUNCTION("""COMPUTED_VALUE"""),"ENFERMEIRO 30H")</f>
        <v>ENFERMEIRO 30H</v>
      </c>
      <c r="E1658" s="11"/>
      <c r="F1658" s="11" t="str">
        <f>IFERROR(__xludf.DUMMYFUNCTION("""COMPUTED_VALUE"""),"US_180 CENTRAL DE REGULACAO MEDICA SAMU METROPOLITANO RECIFE")</f>
        <v>US_180 CENTRAL DE REGULACAO MEDICA SAMU METROPOLITANO RECIFE</v>
      </c>
      <c r="G1658" s="11" t="str">
        <f>IFERROR(__xludf.DUMMYFUNCTION("""COMPUTED_VALUE"""),"US_180 CENTRAL DE REGULACAO MEDICA SAMU METROPOLITANO RECIFE")</f>
        <v>US_180 CENTRAL DE REGULACAO MEDICA SAMU METROPOLITANO RECIFE</v>
      </c>
      <c r="H1658" s="11"/>
      <c r="I1658" s="11"/>
      <c r="J1658" s="11"/>
      <c r="K1658" s="11"/>
      <c r="L1658" s="11"/>
      <c r="M1658" s="11"/>
      <c r="N1658" s="11"/>
      <c r="O1658" s="11">
        <f>IFERROR(__xludf.DUMMYFUNCTION("""COMPUTED_VALUE"""),88094324449)</f>
        <v>88094324449</v>
      </c>
      <c r="P1658" s="11"/>
      <c r="Q1658" s="11"/>
      <c r="R1658" s="11"/>
      <c r="S1658" s="11"/>
      <c r="T1658" s="11"/>
      <c r="U1658" s="11"/>
      <c r="V1658" s="11"/>
      <c r="W1658" s="11"/>
      <c r="X1658" s="11"/>
      <c r="Y1658" s="11"/>
      <c r="Z1658" s="11"/>
    </row>
    <row r="1659" customHeight="1" spans="1:26">
      <c r="A1659" s="11" t="str">
        <f>IFERROR(__xludf.DUMMYFUNCTION("""COMPUTED_VALUE"""),"EDNA MARIA SANTOS DE M COSTA")</f>
        <v>EDNA MARIA SANTOS DE M COSTA</v>
      </c>
      <c r="B1659" s="11"/>
      <c r="C1659" s="11"/>
      <c r="D1659" s="11" t="str">
        <f>IFERROR(__xludf.DUMMYFUNCTION("""COMPUTED_VALUE"""),"ENFERMEIRO 30H")</f>
        <v>ENFERMEIRO 30H</v>
      </c>
      <c r="E1659" s="11"/>
      <c r="F1659" s="11" t="str">
        <f>IFERROR(__xludf.DUMMYFUNCTION("""COMPUTED_VALUE"""),"US_180 CENTRAL DE REGULACAO MEDICA SAMU METROPOLITANO RECIFE")</f>
        <v>US_180 CENTRAL DE REGULACAO MEDICA SAMU METROPOLITANO RECIFE</v>
      </c>
      <c r="G1659" s="11" t="str">
        <f>IFERROR(__xludf.DUMMYFUNCTION("""COMPUTED_VALUE"""),"US_180 CENTRAL DE REGULACAO MEDICA SAMU METROPOLITANO RECIFE")</f>
        <v>US_180 CENTRAL DE REGULACAO MEDICA SAMU METROPOLITANO RECIFE</v>
      </c>
      <c r="H1659" s="11"/>
      <c r="I1659" s="11"/>
      <c r="J1659" s="11"/>
      <c r="K1659" s="11"/>
      <c r="L1659" s="11"/>
      <c r="M1659" s="11"/>
      <c r="N1659" s="11"/>
      <c r="O1659" s="11">
        <f>IFERROR(__xludf.DUMMYFUNCTION("""COMPUTED_VALUE"""),70797412468)</f>
        <v>70797412468</v>
      </c>
      <c r="P1659" s="11"/>
      <c r="Q1659" s="11"/>
      <c r="R1659" s="11"/>
      <c r="S1659" s="11"/>
      <c r="T1659" s="11"/>
      <c r="U1659" s="11"/>
      <c r="V1659" s="11"/>
      <c r="W1659" s="11"/>
      <c r="X1659" s="11"/>
      <c r="Y1659" s="11"/>
      <c r="Z1659" s="11"/>
    </row>
    <row r="1660" customHeight="1" spans="1:26">
      <c r="A1660" s="11" t="str">
        <f>IFERROR(__xludf.DUMMYFUNCTION("""COMPUTED_VALUE"""),"CIBELE DE LIMA SOUZA")</f>
        <v>CIBELE DE LIMA SOUZA</v>
      </c>
      <c r="B1660" s="11"/>
      <c r="C1660" s="11"/>
      <c r="D1660" s="11" t="str">
        <f>IFERROR(__xludf.DUMMYFUNCTION("""COMPUTED_VALUE"""),"ENFERMEIRO 30H")</f>
        <v>ENFERMEIRO 30H</v>
      </c>
      <c r="E1660" s="11"/>
      <c r="F1660" s="11" t="str">
        <f>IFERROR(__xludf.DUMMYFUNCTION("""COMPUTED_VALUE"""),"US_180 CENTRAL DE REGULACAO MEDICA SAMU METROPOLITANO RECIFE")</f>
        <v>US_180 CENTRAL DE REGULACAO MEDICA SAMU METROPOLITANO RECIFE</v>
      </c>
      <c r="G1660" s="11" t="str">
        <f>IFERROR(__xludf.DUMMYFUNCTION("""COMPUTED_VALUE"""),"US_180 CENTRAL DE REGULACAO MEDICA SAMU METROPOLITANO RECIFE")</f>
        <v>US_180 CENTRAL DE REGULACAO MEDICA SAMU METROPOLITANO RECIFE</v>
      </c>
      <c r="H1660" s="11"/>
      <c r="I1660" s="11"/>
      <c r="J1660" s="11"/>
      <c r="K1660" s="11"/>
      <c r="L1660" s="11"/>
      <c r="M1660" s="11"/>
      <c r="N1660" s="11"/>
      <c r="O1660" s="11">
        <f>IFERROR(__xludf.DUMMYFUNCTION("""COMPUTED_VALUE"""),66675340468)</f>
        <v>66675340468</v>
      </c>
      <c r="P1660" s="11"/>
      <c r="Q1660" s="11"/>
      <c r="R1660" s="11"/>
      <c r="S1660" s="11"/>
      <c r="T1660" s="11"/>
      <c r="U1660" s="11"/>
      <c r="V1660" s="11"/>
      <c r="W1660" s="11"/>
      <c r="X1660" s="11"/>
      <c r="Y1660" s="11"/>
      <c r="Z1660" s="11"/>
    </row>
    <row r="1661" customHeight="1" spans="1:26">
      <c r="A1661" s="11" t="str">
        <f>IFERROR(__xludf.DUMMYFUNCTION("""COMPUTED_VALUE"""),"WALKELUCIA DOS S F RAIMUNDO")</f>
        <v>WALKELUCIA DOS S F RAIMUNDO</v>
      </c>
      <c r="B1661" s="11"/>
      <c r="C1661" s="11"/>
      <c r="D1661" s="11" t="str">
        <f>IFERROR(__xludf.DUMMYFUNCTION("""COMPUTED_VALUE"""),"ENFERMEIRO 30H")</f>
        <v>ENFERMEIRO 30H</v>
      </c>
      <c r="E1661" s="11"/>
      <c r="F1661" s="11" t="str">
        <f>IFERROR(__xludf.DUMMYFUNCTION("""COMPUTED_VALUE"""),"US_180 CENTRAL DE REGULACAO MEDICA SAMU METROPOLITANO RECIFE")</f>
        <v>US_180 CENTRAL DE REGULACAO MEDICA SAMU METROPOLITANO RECIFE</v>
      </c>
      <c r="G1661" s="11" t="str">
        <f>IFERROR(__xludf.DUMMYFUNCTION("""COMPUTED_VALUE"""),"US_180 CENTRAL DE REGULACAO MEDICA SAMU METROPOLITANO RECIFE")</f>
        <v>US_180 CENTRAL DE REGULACAO MEDICA SAMU METROPOLITANO RECIFE</v>
      </c>
      <c r="H1661" s="11"/>
      <c r="I1661" s="11"/>
      <c r="J1661" s="11"/>
      <c r="K1661" s="11"/>
      <c r="L1661" s="11"/>
      <c r="M1661" s="11"/>
      <c r="N1661" s="11"/>
      <c r="O1661" s="11">
        <f>IFERROR(__xludf.DUMMYFUNCTION("""COMPUTED_VALUE"""),85865290444)</f>
        <v>85865290444</v>
      </c>
      <c r="P1661" s="11"/>
      <c r="Q1661" s="11"/>
      <c r="R1661" s="11"/>
      <c r="S1661" s="11"/>
      <c r="T1661" s="11"/>
      <c r="U1661" s="11"/>
      <c r="V1661" s="11"/>
      <c r="W1661" s="11"/>
      <c r="X1661" s="11"/>
      <c r="Y1661" s="11"/>
      <c r="Z1661" s="11"/>
    </row>
    <row r="1662" customHeight="1" spans="1:26">
      <c r="A1662" s="11" t="str">
        <f>IFERROR(__xludf.DUMMYFUNCTION("""COMPUTED_VALUE"""),"ELAINE MARIA DE CARVALHO")</f>
        <v>ELAINE MARIA DE CARVALHO</v>
      </c>
      <c r="B1662" s="11"/>
      <c r="C1662" s="11"/>
      <c r="D1662" s="11" t="str">
        <f>IFERROR(__xludf.DUMMYFUNCTION("""COMPUTED_VALUE"""),"ENFERMEIRO 30H")</f>
        <v>ENFERMEIRO 30H</v>
      </c>
      <c r="E1662" s="11"/>
      <c r="F1662" s="11" t="str">
        <f>IFERROR(__xludf.DUMMYFUNCTION("""COMPUTED_VALUE"""),"US_180 CENTRAL DE REGULACAO MEDICA SAMU METROPOLITANO RECIFE")</f>
        <v>US_180 CENTRAL DE REGULACAO MEDICA SAMU METROPOLITANO RECIFE</v>
      </c>
      <c r="G1662" s="11" t="str">
        <f>IFERROR(__xludf.DUMMYFUNCTION("""COMPUTED_VALUE"""),"US_180 CENTRAL DE REGULACAO MEDICA SAMU METROPOLITANO RECIFE")</f>
        <v>US_180 CENTRAL DE REGULACAO MEDICA SAMU METROPOLITANO RECIFE</v>
      </c>
      <c r="H1662" s="11"/>
      <c r="I1662" s="11"/>
      <c r="J1662" s="11"/>
      <c r="K1662" s="11"/>
      <c r="L1662" s="11"/>
      <c r="M1662" s="11"/>
      <c r="N1662" s="11"/>
      <c r="O1662" s="11">
        <f>IFERROR(__xludf.DUMMYFUNCTION("""COMPUTED_VALUE"""),83363335415)</f>
        <v>83363335415</v>
      </c>
      <c r="P1662" s="11"/>
      <c r="Q1662" s="11"/>
      <c r="R1662" s="11"/>
      <c r="S1662" s="11"/>
      <c r="T1662" s="11"/>
      <c r="U1662" s="11"/>
      <c r="V1662" s="11"/>
      <c r="W1662" s="11"/>
      <c r="X1662" s="11"/>
      <c r="Y1662" s="11"/>
      <c r="Z1662" s="11"/>
    </row>
    <row r="1663" customHeight="1" spans="1:26">
      <c r="A1663" s="11" t="str">
        <f>IFERROR(__xludf.DUMMYFUNCTION("""COMPUTED_VALUE"""),"GIVANILDO CANDIDO DA SILVA")</f>
        <v>GIVANILDO CANDIDO DA SILVA</v>
      </c>
      <c r="B1663" s="11"/>
      <c r="C1663" s="11"/>
      <c r="D1663" s="11" t="str">
        <f>IFERROR(__xludf.DUMMYFUNCTION("""COMPUTED_VALUE"""),"ENFERMEIRO 30H")</f>
        <v>ENFERMEIRO 30H</v>
      </c>
      <c r="E1663" s="11"/>
      <c r="F1663" s="11" t="str">
        <f>IFERROR(__xludf.DUMMYFUNCTION("""COMPUTED_VALUE"""),"US_180 CENTRAL DE REGULACAO MEDICA SAMU METROPOLITANO RECIFE")</f>
        <v>US_180 CENTRAL DE REGULACAO MEDICA SAMU METROPOLITANO RECIFE</v>
      </c>
      <c r="G1663" s="11" t="str">
        <f>IFERROR(__xludf.DUMMYFUNCTION("""COMPUTED_VALUE"""),"US_180 CENTRAL DE REGULACAO MEDICA SAMU METROPOLITANO RECIFE")</f>
        <v>US_180 CENTRAL DE REGULACAO MEDICA SAMU METROPOLITANO RECIFE</v>
      </c>
      <c r="H1663" s="11"/>
      <c r="I1663" s="11"/>
      <c r="J1663" s="11"/>
      <c r="K1663" s="11"/>
      <c r="L1663" s="11"/>
      <c r="M1663" s="11"/>
      <c r="N1663" s="11"/>
      <c r="O1663" s="11">
        <f>IFERROR(__xludf.DUMMYFUNCTION("""COMPUTED_VALUE"""),70730652491)</f>
        <v>70730652491</v>
      </c>
      <c r="P1663" s="11"/>
      <c r="Q1663" s="11"/>
      <c r="R1663" s="11"/>
      <c r="S1663" s="11"/>
      <c r="T1663" s="11"/>
      <c r="U1663" s="11"/>
      <c r="V1663" s="11"/>
      <c r="W1663" s="11"/>
      <c r="X1663" s="11"/>
      <c r="Y1663" s="11"/>
      <c r="Z1663" s="11"/>
    </row>
    <row r="1664" customHeight="1" spans="1:26">
      <c r="A1664" s="11" t="str">
        <f>IFERROR(__xludf.DUMMYFUNCTION("""COMPUTED_VALUE"""),"MABEL ALEXIA FEITOSA FERRAZ")</f>
        <v>MABEL ALEXIA FEITOSA FERRAZ</v>
      </c>
      <c r="B1664" s="11"/>
      <c r="C1664" s="11"/>
      <c r="D1664" s="11" t="str">
        <f>IFERROR(__xludf.DUMMYFUNCTION("""COMPUTED_VALUE"""),"ENFERMEIRO 30H")</f>
        <v>ENFERMEIRO 30H</v>
      </c>
      <c r="E1664" s="11"/>
      <c r="F1664" s="11" t="str">
        <f>IFERROR(__xludf.DUMMYFUNCTION("""COMPUTED_VALUE"""),"US_180 CENTRAL DE REGULACAO MEDICA SAMU METROPOLITANO RECIFE")</f>
        <v>US_180 CENTRAL DE REGULACAO MEDICA SAMU METROPOLITANO RECIFE</v>
      </c>
      <c r="G1664" s="11" t="str">
        <f>IFERROR(__xludf.DUMMYFUNCTION("""COMPUTED_VALUE"""),"US_180 CENTRAL DE REGULACAO MEDICA SAMU METROPOLITANO RECIFE")</f>
        <v>US_180 CENTRAL DE REGULACAO MEDICA SAMU METROPOLITANO RECIFE</v>
      </c>
      <c r="H1664" s="11"/>
      <c r="I1664" s="11"/>
      <c r="J1664" s="11"/>
      <c r="K1664" s="11"/>
      <c r="L1664" s="11"/>
      <c r="M1664" s="11"/>
      <c r="N1664" s="11"/>
      <c r="O1664" s="11">
        <f>IFERROR(__xludf.DUMMYFUNCTION("""COMPUTED_VALUE"""),66628881415)</f>
        <v>66628881415</v>
      </c>
      <c r="P1664" s="11"/>
      <c r="Q1664" s="11"/>
      <c r="R1664" s="11"/>
      <c r="S1664" s="11"/>
      <c r="T1664" s="11"/>
      <c r="U1664" s="11"/>
      <c r="V1664" s="11"/>
      <c r="W1664" s="11"/>
      <c r="X1664" s="11"/>
      <c r="Y1664" s="11"/>
      <c r="Z1664" s="11"/>
    </row>
    <row r="1665" customHeight="1" spans="1:26">
      <c r="A1665" s="11" t="str">
        <f>IFERROR(__xludf.DUMMYFUNCTION("""COMPUTED_VALUE"""),"DANIELLE KARINE GOMES")</f>
        <v>DANIELLE KARINE GOMES</v>
      </c>
      <c r="B1665" s="11"/>
      <c r="C1665" s="11"/>
      <c r="D1665" s="11" t="str">
        <f>IFERROR(__xludf.DUMMYFUNCTION("""COMPUTED_VALUE"""),"ENFERMEIRO 30H")</f>
        <v>ENFERMEIRO 30H</v>
      </c>
      <c r="E1665" s="11"/>
      <c r="F1665" s="11" t="str">
        <f>IFERROR(__xludf.DUMMYFUNCTION("""COMPUTED_VALUE"""),"US_180 CENTRAL DE REGULACAO MEDICA SAMU METROPOLITANO RECIFE")</f>
        <v>US_180 CENTRAL DE REGULACAO MEDICA SAMU METROPOLITANO RECIFE</v>
      </c>
      <c r="G1665" s="11" t="str">
        <f>IFERROR(__xludf.DUMMYFUNCTION("""COMPUTED_VALUE"""),"US_180 CENTRAL DE REGULACAO MEDICA SAMU METROPOLITANO RECIFE")</f>
        <v>US_180 CENTRAL DE REGULACAO MEDICA SAMU METROPOLITANO RECIFE</v>
      </c>
      <c r="H1665" s="11"/>
      <c r="I1665" s="11"/>
      <c r="J1665" s="11"/>
      <c r="K1665" s="11"/>
      <c r="L1665" s="11"/>
      <c r="M1665" s="11"/>
      <c r="N1665" s="11"/>
      <c r="O1665" s="11">
        <f>IFERROR(__xludf.DUMMYFUNCTION("""COMPUTED_VALUE"""),30631432)</f>
        <v>30631432</v>
      </c>
      <c r="P1665" s="11"/>
      <c r="Q1665" s="11"/>
      <c r="R1665" s="11"/>
      <c r="S1665" s="11"/>
      <c r="T1665" s="11"/>
      <c r="U1665" s="11"/>
      <c r="V1665" s="11"/>
      <c r="W1665" s="11"/>
      <c r="X1665" s="11"/>
      <c r="Y1665" s="11"/>
      <c r="Z1665" s="11"/>
    </row>
    <row r="1666" customHeight="1" spans="1:26">
      <c r="A1666" s="11" t="str">
        <f>IFERROR(__xludf.DUMMYFUNCTION("""COMPUTED_VALUE"""),"FATIMA ROSANE F DO NASCIMENTO")</f>
        <v>FATIMA ROSANE F DO NASCIMENTO</v>
      </c>
      <c r="B1666" s="11"/>
      <c r="C1666" s="11"/>
      <c r="D1666" s="11" t="str">
        <f>IFERROR(__xludf.DUMMYFUNCTION("""COMPUTED_VALUE"""),"ENFERMEIRO 30H")</f>
        <v>ENFERMEIRO 30H</v>
      </c>
      <c r="E1666" s="11"/>
      <c r="F1666" s="11" t="str">
        <f>IFERROR(__xludf.DUMMYFUNCTION("""COMPUTED_VALUE"""),"US_180 CENTRAL DE REGULACAO MEDICA SAMU METROPOLITANO RECIFE")</f>
        <v>US_180 CENTRAL DE REGULACAO MEDICA SAMU METROPOLITANO RECIFE</v>
      </c>
      <c r="G1666" s="11" t="str">
        <f>IFERROR(__xludf.DUMMYFUNCTION("""COMPUTED_VALUE"""),"US_180 CENTRAL DE REGULACAO MEDICA SAMU METROPOLITANO RECIFE")</f>
        <v>US_180 CENTRAL DE REGULACAO MEDICA SAMU METROPOLITANO RECIFE</v>
      </c>
      <c r="H1666" s="11"/>
      <c r="I1666" s="11"/>
      <c r="J1666" s="11"/>
      <c r="K1666" s="11"/>
      <c r="L1666" s="11"/>
      <c r="M1666" s="11"/>
      <c r="N1666" s="11"/>
      <c r="O1666" s="11">
        <f>IFERROR(__xludf.DUMMYFUNCTION("""COMPUTED_VALUE"""),2382254459)</f>
        <v>2382254459</v>
      </c>
      <c r="P1666" s="11"/>
      <c r="Q1666" s="11"/>
      <c r="R1666" s="11"/>
      <c r="S1666" s="11"/>
      <c r="T1666" s="11"/>
      <c r="U1666" s="11"/>
      <c r="V1666" s="11"/>
      <c r="W1666" s="11"/>
      <c r="X1666" s="11"/>
      <c r="Y1666" s="11"/>
      <c r="Z1666" s="11"/>
    </row>
    <row r="1667" customHeight="1" spans="1:26">
      <c r="A1667" s="11" t="str">
        <f>IFERROR(__xludf.DUMMYFUNCTION("""COMPUTED_VALUE"""),"SONIA MARQUES DE OLIVEIRA")</f>
        <v>SONIA MARQUES DE OLIVEIRA</v>
      </c>
      <c r="B1667" s="11"/>
      <c r="C1667" s="11"/>
      <c r="D1667" s="11" t="str">
        <f>IFERROR(__xludf.DUMMYFUNCTION("""COMPUTED_VALUE"""),"ENFERMEIRO 30H")</f>
        <v>ENFERMEIRO 30H</v>
      </c>
      <c r="E1667" s="11"/>
      <c r="F1667" s="11" t="str">
        <f>IFERROR(__xludf.DUMMYFUNCTION("""COMPUTED_VALUE"""),"US_180 CENTRAL DE REGULACAO MEDICA SAMU METROPOLITANO RECIFE")</f>
        <v>US_180 CENTRAL DE REGULACAO MEDICA SAMU METROPOLITANO RECIFE</v>
      </c>
      <c r="G1667" s="11" t="str">
        <f>IFERROR(__xludf.DUMMYFUNCTION("""COMPUTED_VALUE"""),"US_180 CENTRAL DE REGULACAO MEDICA SAMU METROPOLITANO RECIFE")</f>
        <v>US_180 CENTRAL DE REGULACAO MEDICA SAMU METROPOLITANO RECIFE</v>
      </c>
      <c r="H1667" s="11"/>
      <c r="I1667" s="11"/>
      <c r="J1667" s="11"/>
      <c r="K1667" s="11"/>
      <c r="L1667" s="11"/>
      <c r="M1667" s="11"/>
      <c r="N1667" s="11"/>
      <c r="O1667" s="11">
        <f>IFERROR(__xludf.DUMMYFUNCTION("""COMPUTED_VALUE"""),24621790463)</f>
        <v>24621790463</v>
      </c>
      <c r="P1667" s="11"/>
      <c r="Q1667" s="11"/>
      <c r="R1667" s="11"/>
      <c r="S1667" s="11"/>
      <c r="T1667" s="11"/>
      <c r="U1667" s="11"/>
      <c r="V1667" s="11"/>
      <c r="W1667" s="11"/>
      <c r="X1667" s="11"/>
      <c r="Y1667" s="11"/>
      <c r="Z1667" s="11"/>
    </row>
    <row r="1668" customHeight="1" spans="1:26">
      <c r="A1668" s="11" t="str">
        <f>IFERROR(__xludf.DUMMYFUNCTION("""COMPUTED_VALUE"""),"GLENYA PESSOA SILVA DE ARAUJO")</f>
        <v>GLENYA PESSOA SILVA DE ARAUJO</v>
      </c>
      <c r="B1668" s="11"/>
      <c r="C1668" s="11"/>
      <c r="D1668" s="11" t="str">
        <f>IFERROR(__xludf.DUMMYFUNCTION("""COMPUTED_VALUE"""),"ENFERMEIRO 30H")</f>
        <v>ENFERMEIRO 30H</v>
      </c>
      <c r="E1668" s="11"/>
      <c r="F1668" s="11" t="str">
        <f>IFERROR(__xludf.DUMMYFUNCTION("""COMPUTED_VALUE"""),"US_180 CENTRAL DE REGULACAO MEDICA SAMU METROPOLITANO RECIFE")</f>
        <v>US_180 CENTRAL DE REGULACAO MEDICA SAMU METROPOLITANO RECIFE</v>
      </c>
      <c r="G1668" s="11" t="str">
        <f>IFERROR(__xludf.DUMMYFUNCTION("""COMPUTED_VALUE"""),"US_180 CENTRAL DE REGULACAO MEDICA SAMU METROPOLITANO RECIFE")</f>
        <v>US_180 CENTRAL DE REGULACAO MEDICA SAMU METROPOLITANO RECIFE</v>
      </c>
      <c r="H1668" s="11"/>
      <c r="I1668" s="11"/>
      <c r="J1668" s="11"/>
      <c r="K1668" s="11"/>
      <c r="L1668" s="11"/>
      <c r="M1668" s="11"/>
      <c r="N1668" s="11"/>
      <c r="O1668" s="11">
        <f>IFERROR(__xludf.DUMMYFUNCTION("""COMPUTED_VALUE"""),89513886468)</f>
        <v>89513886468</v>
      </c>
      <c r="P1668" s="11"/>
      <c r="Q1668" s="11"/>
      <c r="R1668" s="11"/>
      <c r="S1668" s="11"/>
      <c r="T1668" s="11"/>
      <c r="U1668" s="11"/>
      <c r="V1668" s="11"/>
      <c r="W1668" s="11"/>
      <c r="X1668" s="11"/>
      <c r="Y1668" s="11"/>
      <c r="Z1668" s="11"/>
    </row>
    <row r="1669" customHeight="1" spans="1:26">
      <c r="A1669" s="11" t="str">
        <f>IFERROR(__xludf.DUMMYFUNCTION("""COMPUTED_VALUE"""),"SANDRA INES LINS DE A MENDES")</f>
        <v>SANDRA INES LINS DE A MENDES</v>
      </c>
      <c r="B1669" s="11"/>
      <c r="C1669" s="11"/>
      <c r="D1669" s="11" t="str">
        <f>IFERROR(__xludf.DUMMYFUNCTION("""COMPUTED_VALUE"""),"ENFERMEIRO 30H")</f>
        <v>ENFERMEIRO 30H</v>
      </c>
      <c r="E1669" s="11"/>
      <c r="F1669" s="11" t="str">
        <f>IFERROR(__xludf.DUMMYFUNCTION("""COMPUTED_VALUE"""),"US_180 CENTRAL DE REGULACAO MEDICA SAMU METROPOLITANO RECIFE")</f>
        <v>US_180 CENTRAL DE REGULACAO MEDICA SAMU METROPOLITANO RECIFE</v>
      </c>
      <c r="G1669" s="11" t="str">
        <f>IFERROR(__xludf.DUMMYFUNCTION("""COMPUTED_VALUE"""),"US_180 CENTRAL DE REGULACAO MEDICA SAMU METROPOLITANO RECIFE")</f>
        <v>US_180 CENTRAL DE REGULACAO MEDICA SAMU METROPOLITANO RECIFE</v>
      </c>
      <c r="H1669" s="11"/>
      <c r="I1669" s="11"/>
      <c r="J1669" s="11"/>
      <c r="K1669" s="11"/>
      <c r="L1669" s="11"/>
      <c r="M1669" s="11"/>
      <c r="N1669" s="11"/>
      <c r="O1669" s="11">
        <f>IFERROR(__xludf.DUMMYFUNCTION("""COMPUTED_VALUE"""),43705510487)</f>
        <v>43705510487</v>
      </c>
      <c r="P1669" s="11"/>
      <c r="Q1669" s="11"/>
      <c r="R1669" s="11"/>
      <c r="S1669" s="11"/>
      <c r="T1669" s="11"/>
      <c r="U1669" s="11"/>
      <c r="V1669" s="11"/>
      <c r="W1669" s="11"/>
      <c r="X1669" s="11"/>
      <c r="Y1669" s="11"/>
      <c r="Z1669" s="11"/>
    </row>
    <row r="1670" customHeight="1" spans="1:26">
      <c r="A1670" s="11" t="str">
        <f>IFERROR(__xludf.DUMMYFUNCTION("""COMPUTED_VALUE"""),"MARIA AUXILIADORA DA S DE LIMA")</f>
        <v>MARIA AUXILIADORA DA S DE LIMA</v>
      </c>
      <c r="B1670" s="11"/>
      <c r="C1670" s="11"/>
      <c r="D1670" s="11" t="str">
        <f>IFERROR(__xludf.DUMMYFUNCTION("""COMPUTED_VALUE"""),"ENFERMEIRO 30H")</f>
        <v>ENFERMEIRO 30H</v>
      </c>
      <c r="E1670" s="11"/>
      <c r="F1670" s="11" t="str">
        <f>IFERROR(__xludf.DUMMYFUNCTION("""COMPUTED_VALUE"""),"US_180 CENTRAL DE REGULACAO MEDICA SAMU METROPOLITANO RECIFE")</f>
        <v>US_180 CENTRAL DE REGULACAO MEDICA SAMU METROPOLITANO RECIFE</v>
      </c>
      <c r="G1670" s="11" t="str">
        <f>IFERROR(__xludf.DUMMYFUNCTION("""COMPUTED_VALUE"""),"US_180 CENTRAL DE REGULACAO MEDICA SAMU METROPOLITANO RECIFE")</f>
        <v>US_180 CENTRAL DE REGULACAO MEDICA SAMU METROPOLITANO RECIFE</v>
      </c>
      <c r="H1670" s="11"/>
      <c r="I1670" s="11"/>
      <c r="J1670" s="11"/>
      <c r="K1670" s="11"/>
      <c r="L1670" s="11"/>
      <c r="M1670" s="11"/>
      <c r="N1670" s="11"/>
      <c r="O1670" s="11">
        <f>IFERROR(__xludf.DUMMYFUNCTION("""COMPUTED_VALUE"""),17377153415)</f>
        <v>17377153415</v>
      </c>
      <c r="P1670" s="11"/>
      <c r="Q1670" s="11"/>
      <c r="R1670" s="11"/>
      <c r="S1670" s="11"/>
      <c r="T1670" s="11"/>
      <c r="U1670" s="11"/>
      <c r="V1670" s="11"/>
      <c r="W1670" s="11"/>
      <c r="X1670" s="11"/>
      <c r="Y1670" s="11"/>
      <c r="Z1670" s="11"/>
    </row>
    <row r="1671" customHeight="1" spans="1:26">
      <c r="A1671" s="11" t="str">
        <f>IFERROR(__xludf.DUMMYFUNCTION("""COMPUTED_VALUE"""),"VALFREDO C  ALBUQUERQUE JUNIOR")</f>
        <v>VALFREDO C  ALBUQUERQUE JUNIOR</v>
      </c>
      <c r="B1671" s="11"/>
      <c r="C1671" s="11"/>
      <c r="D1671" s="11" t="str">
        <f>IFERROR(__xludf.DUMMYFUNCTION("""COMPUTED_VALUE"""),"ENFERMEIRO 30H")</f>
        <v>ENFERMEIRO 30H</v>
      </c>
      <c r="E1671" s="11"/>
      <c r="F1671" s="11" t="str">
        <f>IFERROR(__xludf.DUMMYFUNCTION("""COMPUTED_VALUE"""),"US_180 CENTRAL DE REGULACAO MEDICA SAMU METROPOLITANO RECIFE")</f>
        <v>US_180 CENTRAL DE REGULACAO MEDICA SAMU METROPOLITANO RECIFE</v>
      </c>
      <c r="G1671" s="11" t="str">
        <f>IFERROR(__xludf.DUMMYFUNCTION("""COMPUTED_VALUE"""),"US_180 CENTRAL DE REGULACAO MEDICA SAMU METROPOLITANO RECIFE")</f>
        <v>US_180 CENTRAL DE REGULACAO MEDICA SAMU METROPOLITANO RECIFE</v>
      </c>
      <c r="H1671" s="11"/>
      <c r="I1671" s="11"/>
      <c r="J1671" s="11"/>
      <c r="K1671" s="11"/>
      <c r="L1671" s="11"/>
      <c r="M1671" s="11"/>
      <c r="N1671" s="11"/>
      <c r="O1671" s="11">
        <f>IFERROR(__xludf.DUMMYFUNCTION("""COMPUTED_VALUE"""),61123420491)</f>
        <v>61123420491</v>
      </c>
      <c r="P1671" s="11"/>
      <c r="Q1671" s="11"/>
      <c r="R1671" s="11"/>
      <c r="S1671" s="11"/>
      <c r="T1671" s="11"/>
      <c r="U1671" s="11"/>
      <c r="V1671" s="11"/>
      <c r="W1671" s="11"/>
      <c r="X1671" s="11"/>
      <c r="Y1671" s="11"/>
      <c r="Z1671" s="11"/>
    </row>
    <row r="1672" customHeight="1" spans="1:26">
      <c r="A1672" s="11" t="str">
        <f>IFERROR(__xludf.DUMMYFUNCTION("""COMPUTED_VALUE"""),"LENILDE MARIA DE LIMA")</f>
        <v>LENILDE MARIA DE LIMA</v>
      </c>
      <c r="B1672" s="11"/>
      <c r="C1672" s="11"/>
      <c r="D1672" s="11" t="str">
        <f>IFERROR(__xludf.DUMMYFUNCTION("""COMPUTED_VALUE"""),"ENFERMEIRO 30H")</f>
        <v>ENFERMEIRO 30H</v>
      </c>
      <c r="E1672" s="11"/>
      <c r="F1672" s="11" t="str">
        <f>IFERROR(__xludf.DUMMYFUNCTION("""COMPUTED_VALUE"""),"US_180 CENTRAL DE REGULACAO MEDICA SAMU METROPOLITANO RECIFE")</f>
        <v>US_180 CENTRAL DE REGULACAO MEDICA SAMU METROPOLITANO RECIFE</v>
      </c>
      <c r="G1672" s="11" t="str">
        <f>IFERROR(__xludf.DUMMYFUNCTION("""COMPUTED_VALUE"""),"US_180 CENTRAL DE REGULACAO MEDICA SAMU METROPOLITANO RECIFE")</f>
        <v>US_180 CENTRAL DE REGULACAO MEDICA SAMU METROPOLITANO RECIFE</v>
      </c>
      <c r="H1672" s="11"/>
      <c r="I1672" s="11"/>
      <c r="J1672" s="11"/>
      <c r="K1672" s="11"/>
      <c r="L1672" s="11"/>
      <c r="M1672" s="11"/>
      <c r="N1672" s="11"/>
      <c r="O1672" s="11">
        <f>IFERROR(__xludf.DUMMYFUNCTION("""COMPUTED_VALUE"""),45960011468)</f>
        <v>45960011468</v>
      </c>
      <c r="P1672" s="11"/>
      <c r="Q1672" s="11"/>
      <c r="R1672" s="11"/>
      <c r="S1672" s="11"/>
      <c r="T1672" s="11"/>
      <c r="U1672" s="11"/>
      <c r="V1672" s="11"/>
      <c r="W1672" s="11"/>
      <c r="X1672" s="11"/>
      <c r="Y1672" s="11"/>
      <c r="Z1672" s="11"/>
    </row>
    <row r="1673" customHeight="1" spans="1:26">
      <c r="A1673" s="11" t="str">
        <f>IFERROR(__xludf.DUMMYFUNCTION("""COMPUTED_VALUE"""),"ANA LUCIA ANTONIA BARBOSA")</f>
        <v>ANA LUCIA ANTONIA BARBOSA</v>
      </c>
      <c r="B1673" s="11"/>
      <c r="C1673" s="11"/>
      <c r="D1673" s="11" t="str">
        <f>IFERROR(__xludf.DUMMYFUNCTION("""COMPUTED_VALUE"""),"ENFERMEIRO 30H")</f>
        <v>ENFERMEIRO 30H</v>
      </c>
      <c r="E1673" s="11"/>
      <c r="F1673" s="11" t="str">
        <f>IFERROR(__xludf.DUMMYFUNCTION("""COMPUTED_VALUE"""),"US_180 CENTRAL DE REGULACAO MEDICA SAMU METROPOLITANO RECIFE")</f>
        <v>US_180 CENTRAL DE REGULACAO MEDICA SAMU METROPOLITANO RECIFE</v>
      </c>
      <c r="G1673" s="11" t="str">
        <f>IFERROR(__xludf.DUMMYFUNCTION("""COMPUTED_VALUE"""),"US_180 CENTRAL DE REGULACAO MEDICA SAMU METROPOLITANO RECIFE")</f>
        <v>US_180 CENTRAL DE REGULACAO MEDICA SAMU METROPOLITANO RECIFE</v>
      </c>
      <c r="H1673" s="11"/>
      <c r="I1673" s="11"/>
      <c r="J1673" s="11"/>
      <c r="K1673" s="11"/>
      <c r="L1673" s="11"/>
      <c r="M1673" s="11"/>
      <c r="N1673" s="11"/>
      <c r="O1673" s="11">
        <f>IFERROR(__xludf.DUMMYFUNCTION("""COMPUTED_VALUE"""),53583671449)</f>
        <v>53583671449</v>
      </c>
      <c r="P1673" s="11"/>
      <c r="Q1673" s="11"/>
      <c r="R1673" s="11"/>
      <c r="S1673" s="11"/>
      <c r="T1673" s="11"/>
      <c r="U1673" s="11"/>
      <c r="V1673" s="11"/>
      <c r="W1673" s="11"/>
      <c r="X1673" s="11"/>
      <c r="Y1673" s="11"/>
      <c r="Z1673" s="11"/>
    </row>
    <row r="1674" customHeight="1" spans="1:26">
      <c r="A1674" s="11" t="str">
        <f>IFERROR(__xludf.DUMMYFUNCTION("""COMPUTED_VALUE"""),"JOSE ROBERTO ROCHA DA SILVA")</f>
        <v>JOSE ROBERTO ROCHA DA SILVA</v>
      </c>
      <c r="B1674" s="11"/>
      <c r="C1674" s="11"/>
      <c r="D1674" s="11" t="str">
        <f>IFERROR(__xludf.DUMMYFUNCTION("""COMPUTED_VALUE"""),"ENFERMEIRO 30H")</f>
        <v>ENFERMEIRO 30H</v>
      </c>
      <c r="E1674" s="11"/>
      <c r="F1674" s="11" t="str">
        <f>IFERROR(__xludf.DUMMYFUNCTION("""COMPUTED_VALUE"""),"US_180 CENTRAL DE REGULACAO MEDICA SAMU METROPOLITANO RECIFE")</f>
        <v>US_180 CENTRAL DE REGULACAO MEDICA SAMU METROPOLITANO RECIFE</v>
      </c>
      <c r="G1674" s="11" t="str">
        <f>IFERROR(__xludf.DUMMYFUNCTION("""COMPUTED_VALUE"""),"US_180 CENTRAL DE REGULACAO MEDICA SAMU METROPOLITANO RECIFE")</f>
        <v>US_180 CENTRAL DE REGULACAO MEDICA SAMU METROPOLITANO RECIFE</v>
      </c>
      <c r="H1674" s="11"/>
      <c r="I1674" s="11"/>
      <c r="J1674" s="11"/>
      <c r="K1674" s="11"/>
      <c r="L1674" s="11"/>
      <c r="M1674" s="11"/>
      <c r="N1674" s="11"/>
      <c r="O1674" s="11">
        <f>IFERROR(__xludf.DUMMYFUNCTION("""COMPUTED_VALUE"""),4255696403)</f>
        <v>4255696403</v>
      </c>
      <c r="P1674" s="11"/>
      <c r="Q1674" s="11"/>
      <c r="R1674" s="11"/>
      <c r="S1674" s="11"/>
      <c r="T1674" s="11"/>
      <c r="U1674" s="11"/>
      <c r="V1674" s="11"/>
      <c r="W1674" s="11"/>
      <c r="X1674" s="11"/>
      <c r="Y1674" s="11"/>
      <c r="Z1674" s="11"/>
    </row>
    <row r="1675" customHeight="1" spans="1:26">
      <c r="A1675" s="11" t="str">
        <f>IFERROR(__xludf.DUMMYFUNCTION("""COMPUTED_VALUE"""),"KARINA JOELMA ALVES FERREIRA")</f>
        <v>KARINA JOELMA ALVES FERREIRA</v>
      </c>
      <c r="B1675" s="11"/>
      <c r="C1675" s="11"/>
      <c r="D1675" s="11" t="str">
        <f>IFERROR(__xludf.DUMMYFUNCTION("""COMPUTED_VALUE"""),"ENFERMEIRO 30H")</f>
        <v>ENFERMEIRO 30H</v>
      </c>
      <c r="E1675" s="11"/>
      <c r="F1675" s="11" t="str">
        <f>IFERROR(__xludf.DUMMYFUNCTION("""COMPUTED_VALUE"""),"US_180 CENTRAL DE REGULACAO MEDICA SAMU METROPOLITANO RECIFE")</f>
        <v>US_180 CENTRAL DE REGULACAO MEDICA SAMU METROPOLITANO RECIFE</v>
      </c>
      <c r="G1675" s="11" t="str">
        <f>IFERROR(__xludf.DUMMYFUNCTION("""COMPUTED_VALUE"""),"US_180 CENTRAL DE REGULACAO MEDICA SAMU METROPOLITANO RECIFE")</f>
        <v>US_180 CENTRAL DE REGULACAO MEDICA SAMU METROPOLITANO RECIFE</v>
      </c>
      <c r="H1675" s="11"/>
      <c r="I1675" s="11"/>
      <c r="J1675" s="11"/>
      <c r="K1675" s="11"/>
      <c r="L1675" s="11"/>
      <c r="M1675" s="11"/>
      <c r="N1675" s="11"/>
      <c r="O1675" s="11">
        <f>IFERROR(__xludf.DUMMYFUNCTION("""COMPUTED_VALUE"""),69528829449)</f>
        <v>69528829449</v>
      </c>
      <c r="P1675" s="11"/>
      <c r="Q1675" s="11"/>
      <c r="R1675" s="11"/>
      <c r="S1675" s="11"/>
      <c r="T1675" s="11"/>
      <c r="U1675" s="11"/>
      <c r="V1675" s="11"/>
      <c r="W1675" s="11"/>
      <c r="X1675" s="11"/>
      <c r="Y1675" s="11"/>
      <c r="Z1675" s="11"/>
    </row>
    <row r="1676" customHeight="1" spans="1:26">
      <c r="A1676" s="11" t="str">
        <f>IFERROR(__xludf.DUMMYFUNCTION("""COMPUTED_VALUE"""),"ANDREA LOUREIRO ROGES")</f>
        <v>ANDREA LOUREIRO ROGES</v>
      </c>
      <c r="B1676" s="11"/>
      <c r="C1676" s="11"/>
      <c r="D1676" s="11" t="str">
        <f>IFERROR(__xludf.DUMMYFUNCTION("""COMPUTED_VALUE"""),"ENFERMEIRO 30H")</f>
        <v>ENFERMEIRO 30H</v>
      </c>
      <c r="E1676" s="11"/>
      <c r="F1676" s="11" t="str">
        <f>IFERROR(__xludf.DUMMYFUNCTION("""COMPUTED_VALUE"""),"US_180 CENTRAL DE REGULACAO MEDICA SAMU METROPOLITANO RECIFE")</f>
        <v>US_180 CENTRAL DE REGULACAO MEDICA SAMU METROPOLITANO RECIFE</v>
      </c>
      <c r="G1676" s="11" t="str">
        <f>IFERROR(__xludf.DUMMYFUNCTION("""COMPUTED_VALUE"""),"US_180 CENTRAL DE REGULACAO MEDICA SAMU METROPOLITANO RECIFE")</f>
        <v>US_180 CENTRAL DE REGULACAO MEDICA SAMU METROPOLITANO RECIFE</v>
      </c>
      <c r="H1676" s="11"/>
      <c r="I1676" s="11"/>
      <c r="J1676" s="11"/>
      <c r="K1676" s="11"/>
      <c r="L1676" s="11"/>
      <c r="M1676" s="11"/>
      <c r="N1676" s="11"/>
      <c r="O1676" s="11">
        <f>IFERROR(__xludf.DUMMYFUNCTION("""COMPUTED_VALUE"""),2896937480)</f>
        <v>2896937480</v>
      </c>
      <c r="P1676" s="11"/>
      <c r="Q1676" s="11"/>
      <c r="R1676" s="11"/>
      <c r="S1676" s="11"/>
      <c r="T1676" s="11"/>
      <c r="U1676" s="11"/>
      <c r="V1676" s="11"/>
      <c r="W1676" s="11"/>
      <c r="X1676" s="11"/>
      <c r="Y1676" s="11"/>
      <c r="Z1676" s="11"/>
    </row>
    <row r="1677" customHeight="1" spans="1:26">
      <c r="A1677" s="11" t="str">
        <f>IFERROR(__xludf.DUMMYFUNCTION("""COMPUTED_VALUE"""),"JIZANY TAVARES CLEMENTE PAES")</f>
        <v>JIZANY TAVARES CLEMENTE PAES</v>
      </c>
      <c r="B1677" s="11"/>
      <c r="C1677" s="11"/>
      <c r="D1677" s="11" t="str">
        <f>IFERROR(__xludf.DUMMYFUNCTION("""COMPUTED_VALUE"""),"ENFERMEIRO 30H")</f>
        <v>ENFERMEIRO 30H</v>
      </c>
      <c r="E1677" s="11"/>
      <c r="F1677" s="11" t="str">
        <f>IFERROR(__xludf.DUMMYFUNCTION("""COMPUTED_VALUE"""),"US_180 CENTRAL DE REGULACAO MEDICA SAMU METROPOLITANO RECIFE")</f>
        <v>US_180 CENTRAL DE REGULACAO MEDICA SAMU METROPOLITANO RECIFE</v>
      </c>
      <c r="G1677" s="11" t="str">
        <f>IFERROR(__xludf.DUMMYFUNCTION("""COMPUTED_VALUE"""),"US_180 CENTRAL DE REGULACAO MEDICA SAMU METROPOLITANO RECIFE")</f>
        <v>US_180 CENTRAL DE REGULACAO MEDICA SAMU METROPOLITANO RECIFE</v>
      </c>
      <c r="H1677" s="11"/>
      <c r="I1677" s="11"/>
      <c r="J1677" s="11"/>
      <c r="K1677" s="11"/>
      <c r="L1677" s="11"/>
      <c r="M1677" s="11"/>
      <c r="N1677" s="11"/>
      <c r="O1677" s="11">
        <f>IFERROR(__xludf.DUMMYFUNCTION("""COMPUTED_VALUE"""),3436173401)</f>
        <v>3436173401</v>
      </c>
      <c r="P1677" s="11"/>
      <c r="Q1677" s="11"/>
      <c r="R1677" s="11"/>
      <c r="S1677" s="11"/>
      <c r="T1677" s="11"/>
      <c r="U1677" s="11"/>
      <c r="V1677" s="11"/>
      <c r="W1677" s="11"/>
      <c r="X1677" s="11"/>
      <c r="Y1677" s="11"/>
      <c r="Z1677" s="11"/>
    </row>
    <row r="1678" customHeight="1" spans="1:26">
      <c r="A1678" s="11" t="str">
        <f>IFERROR(__xludf.DUMMYFUNCTION("""COMPUTED_VALUE"""),"FLAVIA CAROLINE D PINHEIRO")</f>
        <v>FLAVIA CAROLINE D PINHEIRO</v>
      </c>
      <c r="B1678" s="11"/>
      <c r="C1678" s="11"/>
      <c r="D1678" s="11" t="str">
        <f>IFERROR(__xludf.DUMMYFUNCTION("""COMPUTED_VALUE"""),"ENFERMEIRO 40H")</f>
        <v>ENFERMEIRO 40H</v>
      </c>
      <c r="E1678" s="11"/>
      <c r="F1678" s="11" t="str">
        <f>IFERROR(__xludf.DUMMYFUNCTION("""COMPUTED_VALUE"""),"US_180 CENTRAL DE REGULACAO MEDICA SAMU METROPOLITANO RECIFE")</f>
        <v>US_180 CENTRAL DE REGULACAO MEDICA SAMU METROPOLITANO RECIFE</v>
      </c>
      <c r="G1678" s="11" t="str">
        <f>IFERROR(__xludf.DUMMYFUNCTION("""COMPUTED_VALUE"""),"US_180 CENTRAL DE REGULACAO MEDICA SAMU METROPOLITANO RECIFE")</f>
        <v>US_180 CENTRAL DE REGULACAO MEDICA SAMU METROPOLITANO RECIFE</v>
      </c>
      <c r="H1678" s="11"/>
      <c r="I1678" s="11"/>
      <c r="J1678" s="11"/>
      <c r="K1678" s="11"/>
      <c r="L1678" s="11"/>
      <c r="M1678" s="11"/>
      <c r="N1678" s="11"/>
      <c r="O1678" s="11">
        <f>IFERROR(__xludf.DUMMYFUNCTION("""COMPUTED_VALUE"""),4443340416)</f>
        <v>4443340416</v>
      </c>
      <c r="P1678" s="11"/>
      <c r="Q1678" s="11"/>
      <c r="R1678" s="11"/>
      <c r="S1678" s="11"/>
      <c r="T1678" s="11"/>
      <c r="U1678" s="11"/>
      <c r="V1678" s="11"/>
      <c r="W1678" s="11"/>
      <c r="X1678" s="11"/>
      <c r="Y1678" s="11"/>
      <c r="Z1678" s="11"/>
    </row>
    <row r="1679" customHeight="1" spans="1:26">
      <c r="A1679" s="11" t="str">
        <f>IFERROR(__xludf.DUMMYFUNCTION("""COMPUTED_VALUE"""),"CLARA MARIA CORTES")</f>
        <v>CLARA MARIA CORTES</v>
      </c>
      <c r="B1679" s="11"/>
      <c r="C1679" s="11"/>
      <c r="D1679" s="11" t="str">
        <f>IFERROR(__xludf.DUMMYFUNCTION("""COMPUTED_VALUE"""),"ENFERMEIRO 30H")</f>
        <v>ENFERMEIRO 30H</v>
      </c>
      <c r="E1679" s="11"/>
      <c r="F1679" s="11" t="str">
        <f>IFERROR(__xludf.DUMMYFUNCTION("""COMPUTED_VALUE"""),"US_180 CENTRAL DE REGULACAO MEDICA SAMU METROPOLITANO RECIFE")</f>
        <v>US_180 CENTRAL DE REGULACAO MEDICA SAMU METROPOLITANO RECIFE</v>
      </c>
      <c r="G1679" s="11" t="str">
        <f>IFERROR(__xludf.DUMMYFUNCTION("""COMPUTED_VALUE"""),"US_180 CENTRAL DE REGULACAO MEDICA SAMU METROPOLITANO RECIFE")</f>
        <v>US_180 CENTRAL DE REGULACAO MEDICA SAMU METROPOLITANO RECIFE</v>
      </c>
      <c r="H1679" s="11"/>
      <c r="I1679" s="11"/>
      <c r="J1679" s="11"/>
      <c r="K1679" s="11"/>
      <c r="L1679" s="11"/>
      <c r="M1679" s="11"/>
      <c r="N1679" s="11"/>
      <c r="O1679" s="11">
        <f>IFERROR(__xludf.DUMMYFUNCTION("""COMPUTED_VALUE"""),4749594490)</f>
        <v>4749594490</v>
      </c>
      <c r="P1679" s="11"/>
      <c r="Q1679" s="11"/>
      <c r="R1679" s="11"/>
      <c r="S1679" s="11"/>
      <c r="T1679" s="11"/>
      <c r="U1679" s="11"/>
      <c r="V1679" s="11"/>
      <c r="W1679" s="11"/>
      <c r="X1679" s="11"/>
      <c r="Y1679" s="11"/>
      <c r="Z1679" s="11"/>
    </row>
    <row r="1680" customHeight="1" spans="1:26">
      <c r="A1680" s="11" t="str">
        <f>IFERROR(__xludf.DUMMYFUNCTION("""COMPUTED_VALUE"""),"MANUELA A PETER P DE A CUNHA")</f>
        <v>MANUELA A PETER P DE A CUNHA</v>
      </c>
      <c r="B1680" s="11"/>
      <c r="C1680" s="11"/>
      <c r="D1680" s="11" t="str">
        <f>IFERROR(__xludf.DUMMYFUNCTION("""COMPUTED_VALUE"""),"ENFERMEIRO 30H")</f>
        <v>ENFERMEIRO 30H</v>
      </c>
      <c r="E1680" s="11"/>
      <c r="F1680" s="11" t="str">
        <f>IFERROR(__xludf.DUMMYFUNCTION("""COMPUTED_VALUE"""),"US_180 CENTRAL DE REGULACAO MEDICA SAMU METROPOLITANO RECIFE")</f>
        <v>US_180 CENTRAL DE REGULACAO MEDICA SAMU METROPOLITANO RECIFE</v>
      </c>
      <c r="G1680" s="11" t="str">
        <f>IFERROR(__xludf.DUMMYFUNCTION("""COMPUTED_VALUE"""),"US_180 CENTRAL DE REGULACAO MEDICA SAMU METROPOLITANO RECIFE")</f>
        <v>US_180 CENTRAL DE REGULACAO MEDICA SAMU METROPOLITANO RECIFE</v>
      </c>
      <c r="H1680" s="11"/>
      <c r="I1680" s="11"/>
      <c r="J1680" s="11"/>
      <c r="K1680" s="11"/>
      <c r="L1680" s="11"/>
      <c r="M1680" s="11"/>
      <c r="N1680" s="11"/>
      <c r="O1680" s="11">
        <f>IFERROR(__xludf.DUMMYFUNCTION("""COMPUTED_VALUE"""),3089794438)</f>
        <v>3089794438</v>
      </c>
      <c r="P1680" s="11"/>
      <c r="Q1680" s="11"/>
      <c r="R1680" s="11"/>
      <c r="S1680" s="11"/>
      <c r="T1680" s="11"/>
      <c r="U1680" s="11"/>
      <c r="V1680" s="11"/>
      <c r="W1680" s="11"/>
      <c r="X1680" s="11"/>
      <c r="Y1680" s="11"/>
      <c r="Z1680" s="11"/>
    </row>
    <row r="1681" customHeight="1" spans="1:26">
      <c r="A1681" s="11" t="str">
        <f>IFERROR(__xludf.DUMMYFUNCTION("""COMPUTED_VALUE"""),"VALERIA DA SILVA GOMES")</f>
        <v>VALERIA DA SILVA GOMES</v>
      </c>
      <c r="B1681" s="11"/>
      <c r="C1681" s="11"/>
      <c r="D1681" s="11" t="str">
        <f>IFERROR(__xludf.DUMMYFUNCTION("""COMPUTED_VALUE"""),"ENFERMEIRO 30H")</f>
        <v>ENFERMEIRO 30H</v>
      </c>
      <c r="E1681" s="11"/>
      <c r="F1681" s="11" t="str">
        <f>IFERROR(__xludf.DUMMYFUNCTION("""COMPUTED_VALUE"""),"US_180 CENTRAL DE REGULACAO MEDICA SAMU METROPOLITANO RECIFE")</f>
        <v>US_180 CENTRAL DE REGULACAO MEDICA SAMU METROPOLITANO RECIFE</v>
      </c>
      <c r="G1681" s="11" t="str">
        <f>IFERROR(__xludf.DUMMYFUNCTION("""COMPUTED_VALUE"""),"US_180 CENTRAL DE REGULACAO MEDICA SAMU METROPOLITANO RECIFE")</f>
        <v>US_180 CENTRAL DE REGULACAO MEDICA SAMU METROPOLITANO RECIFE</v>
      </c>
      <c r="H1681" s="11"/>
      <c r="I1681" s="11"/>
      <c r="J1681" s="11"/>
      <c r="K1681" s="11"/>
      <c r="L1681" s="11"/>
      <c r="M1681" s="11"/>
      <c r="N1681" s="11"/>
      <c r="O1681" s="11">
        <f>IFERROR(__xludf.DUMMYFUNCTION("""COMPUTED_VALUE"""),5534589493)</f>
        <v>5534589493</v>
      </c>
      <c r="P1681" s="11"/>
      <c r="Q1681" s="11"/>
      <c r="R1681" s="11"/>
      <c r="S1681" s="11"/>
      <c r="T1681" s="11"/>
      <c r="U1681" s="11"/>
      <c r="V1681" s="11"/>
      <c r="W1681" s="11"/>
      <c r="X1681" s="11"/>
      <c r="Y1681" s="11"/>
      <c r="Z1681" s="11"/>
    </row>
    <row r="1682" customHeight="1" spans="1:26">
      <c r="A1682" s="11" t="str">
        <f>IFERROR(__xludf.DUMMYFUNCTION("""COMPUTED_VALUE"""),"LEANDRA FRANCISCA ALVES")</f>
        <v>LEANDRA FRANCISCA ALVES</v>
      </c>
      <c r="B1682" s="11"/>
      <c r="C1682" s="11"/>
      <c r="D1682" s="11" t="str">
        <f>IFERROR(__xludf.DUMMYFUNCTION("""COMPUTED_VALUE"""),"ENFERMEIRO 40H")</f>
        <v>ENFERMEIRO 40H</v>
      </c>
      <c r="E1682" s="11"/>
      <c r="F1682" s="11" t="str">
        <f>IFERROR(__xludf.DUMMYFUNCTION("""COMPUTED_VALUE"""),"US_180 CENTRAL DE REGULACAO MEDICA SAMU METROPOLITANO RECIFE")</f>
        <v>US_180 CENTRAL DE REGULACAO MEDICA SAMU METROPOLITANO RECIFE</v>
      </c>
      <c r="G1682" s="11" t="str">
        <f>IFERROR(__xludf.DUMMYFUNCTION("""COMPUTED_VALUE"""),"US_180 CENTRAL DE REGULACAO MEDICA SAMU METROPOLITANO RECIFE")</f>
        <v>US_180 CENTRAL DE REGULACAO MEDICA SAMU METROPOLITANO RECIFE</v>
      </c>
      <c r="H1682" s="11"/>
      <c r="I1682" s="11"/>
      <c r="J1682" s="11"/>
      <c r="K1682" s="11"/>
      <c r="L1682" s="11"/>
      <c r="M1682" s="11"/>
      <c r="N1682" s="11"/>
      <c r="O1682" s="11">
        <f>IFERROR(__xludf.DUMMYFUNCTION("""COMPUTED_VALUE"""),1514810751)</f>
        <v>1514810751</v>
      </c>
      <c r="P1682" s="11"/>
      <c r="Q1682" s="11"/>
      <c r="R1682" s="11"/>
      <c r="S1682" s="11"/>
      <c r="T1682" s="11"/>
      <c r="U1682" s="11"/>
      <c r="V1682" s="11"/>
      <c r="W1682" s="11"/>
      <c r="X1682" s="11"/>
      <c r="Y1682" s="11"/>
      <c r="Z1682" s="11"/>
    </row>
    <row r="1683" customHeight="1" spans="1:26">
      <c r="A1683" s="11" t="str">
        <f>IFERROR(__xludf.DUMMYFUNCTION("""COMPUTED_VALUE"""),"TATIANA MARQUES DA SILVA GOMES")</f>
        <v>TATIANA MARQUES DA SILVA GOMES</v>
      </c>
      <c r="B1683" s="11"/>
      <c r="C1683" s="11"/>
      <c r="D1683" s="11" t="str">
        <f>IFERROR(__xludf.DUMMYFUNCTION("""COMPUTED_VALUE"""),"ENFERMEIRO 30H")</f>
        <v>ENFERMEIRO 30H</v>
      </c>
      <c r="E1683" s="11"/>
      <c r="F1683" s="11" t="str">
        <f>IFERROR(__xludf.DUMMYFUNCTION("""COMPUTED_VALUE"""),"US_180 CENTRAL DE REGULACAO MEDICA SAMU METROPOLITANO RECIFE")</f>
        <v>US_180 CENTRAL DE REGULACAO MEDICA SAMU METROPOLITANO RECIFE</v>
      </c>
      <c r="G1683" s="11" t="str">
        <f>IFERROR(__xludf.DUMMYFUNCTION("""COMPUTED_VALUE"""),"US_180 CENTRAL DE REGULACAO MEDICA SAMU METROPOLITANO RECIFE")</f>
        <v>US_180 CENTRAL DE REGULACAO MEDICA SAMU METROPOLITANO RECIFE</v>
      </c>
      <c r="H1683" s="11"/>
      <c r="I1683" s="11"/>
      <c r="J1683" s="11"/>
      <c r="K1683" s="11"/>
      <c r="L1683" s="11"/>
      <c r="M1683" s="11"/>
      <c r="N1683" s="11"/>
      <c r="O1683" s="11">
        <f>IFERROR(__xludf.DUMMYFUNCTION("""COMPUTED_VALUE"""),3982458439)</f>
        <v>3982458439</v>
      </c>
      <c r="P1683" s="11"/>
      <c r="Q1683" s="11"/>
      <c r="R1683" s="11"/>
      <c r="S1683" s="11"/>
      <c r="T1683" s="11"/>
      <c r="U1683" s="11"/>
      <c r="V1683" s="11"/>
      <c r="W1683" s="11"/>
      <c r="X1683" s="11"/>
      <c r="Y1683" s="11"/>
      <c r="Z1683" s="11"/>
    </row>
    <row r="1684" customHeight="1" spans="1:26">
      <c r="A1684" s="11" t="str">
        <f>IFERROR(__xludf.DUMMYFUNCTION("""COMPUTED_VALUE"""),"ANA ELIZABETH L DE CARVALHO")</f>
        <v>ANA ELIZABETH L DE CARVALHO</v>
      </c>
      <c r="B1684" s="11"/>
      <c r="C1684" s="11"/>
      <c r="D1684" s="11" t="str">
        <f>IFERROR(__xludf.DUMMYFUNCTION("""COMPUTED_VALUE"""),"ENFERMEIRO 30H")</f>
        <v>ENFERMEIRO 30H</v>
      </c>
      <c r="E1684" s="11"/>
      <c r="F1684" s="11" t="str">
        <f>IFERROR(__xludf.DUMMYFUNCTION("""COMPUTED_VALUE"""),"US_180 CENTRAL DE REGULACAO MEDICA SAMU METROPOLITANO RECIFE")</f>
        <v>US_180 CENTRAL DE REGULACAO MEDICA SAMU METROPOLITANO RECIFE</v>
      </c>
      <c r="G1684" s="11" t="str">
        <f>IFERROR(__xludf.DUMMYFUNCTION("""COMPUTED_VALUE"""),"US_180 CENTRAL DE REGULACAO MEDICA SAMU METROPOLITANO RECIFE")</f>
        <v>US_180 CENTRAL DE REGULACAO MEDICA SAMU METROPOLITANO RECIFE</v>
      </c>
      <c r="H1684" s="11"/>
      <c r="I1684" s="11"/>
      <c r="J1684" s="11"/>
      <c r="K1684" s="11"/>
      <c r="L1684" s="11"/>
      <c r="M1684" s="11"/>
      <c r="N1684" s="11"/>
      <c r="O1684" s="11">
        <f>IFERROR(__xludf.DUMMYFUNCTION("""COMPUTED_VALUE"""),3397387400)</f>
        <v>3397387400</v>
      </c>
      <c r="P1684" s="11"/>
      <c r="Q1684" s="11"/>
      <c r="R1684" s="11"/>
      <c r="S1684" s="11"/>
      <c r="T1684" s="11"/>
      <c r="U1684" s="11"/>
      <c r="V1684" s="11"/>
      <c r="W1684" s="11"/>
      <c r="X1684" s="11"/>
      <c r="Y1684" s="11"/>
      <c r="Z1684" s="11"/>
    </row>
    <row r="1685" customHeight="1" spans="1:26">
      <c r="A1685" s="11" t="str">
        <f>IFERROR(__xludf.DUMMYFUNCTION("""COMPUTED_VALUE"""),"CHRISTIANE W F DE AZEVEDO")</f>
        <v>CHRISTIANE W F DE AZEVEDO</v>
      </c>
      <c r="B1685" s="11"/>
      <c r="C1685" s="11"/>
      <c r="D1685" s="11" t="str">
        <f>IFERROR(__xludf.DUMMYFUNCTION("""COMPUTED_VALUE"""),"ENFERMEIRO 30H")</f>
        <v>ENFERMEIRO 30H</v>
      </c>
      <c r="E1685" s="11"/>
      <c r="F1685" s="11" t="str">
        <f>IFERROR(__xludf.DUMMYFUNCTION("""COMPUTED_VALUE"""),"SEDE DISTRITO SANITARIO VII")</f>
        <v>SEDE DISTRITO SANITARIO VII</v>
      </c>
      <c r="G1685" s="11" t="str">
        <f>IFERROR(__xludf.DUMMYFUNCTION("""COMPUTED_VALUE"""),"SEDE DISTRITO SANITARIO VII")</f>
        <v>SEDE DISTRITO SANITARIO VII</v>
      </c>
      <c r="H1685" s="11"/>
      <c r="I1685" s="11"/>
      <c r="J1685" s="11"/>
      <c r="K1685" s="11"/>
      <c r="L1685" s="11"/>
      <c r="M1685" s="11"/>
      <c r="N1685" s="11"/>
      <c r="O1685" s="11">
        <f>IFERROR(__xludf.DUMMYFUNCTION("""COMPUTED_VALUE"""),1937140431)</f>
        <v>1937140431</v>
      </c>
      <c r="P1685" s="11"/>
      <c r="Q1685" s="11"/>
      <c r="R1685" s="11"/>
      <c r="S1685" s="11"/>
      <c r="T1685" s="11"/>
      <c r="U1685" s="11"/>
      <c r="V1685" s="11"/>
      <c r="W1685" s="11"/>
      <c r="X1685" s="11"/>
      <c r="Y1685" s="11"/>
      <c r="Z1685" s="11"/>
    </row>
    <row r="1686" customHeight="1" spans="1:26">
      <c r="A1686" s="11" t="str">
        <f>IFERROR(__xludf.DUMMYFUNCTION("""COMPUTED_VALUE"""),"VANESSA A COSTA DE ALBUQUERQUE")</f>
        <v>VANESSA A COSTA DE ALBUQUERQUE</v>
      </c>
      <c r="B1686" s="11"/>
      <c r="C1686" s="11"/>
      <c r="D1686" s="11" t="str">
        <f>IFERROR(__xludf.DUMMYFUNCTION("""COMPUTED_VALUE"""),"ENFERMEIRO 30H")</f>
        <v>ENFERMEIRO 30H</v>
      </c>
      <c r="E1686" s="11"/>
      <c r="F1686" s="11" t="str">
        <f>IFERROR(__xludf.DUMMYFUNCTION("""COMPUTED_VALUE"""),"US_180 CENTRAL DE REGULACAO MEDICA SAMU METROPOLITANO RECIFE")</f>
        <v>US_180 CENTRAL DE REGULACAO MEDICA SAMU METROPOLITANO RECIFE</v>
      </c>
      <c r="G1686" s="11" t="str">
        <f>IFERROR(__xludf.DUMMYFUNCTION("""COMPUTED_VALUE"""),"US_180 CENTRAL DE REGULACAO MEDICA SAMU METROPOLITANO RECIFE")</f>
        <v>US_180 CENTRAL DE REGULACAO MEDICA SAMU METROPOLITANO RECIFE</v>
      </c>
      <c r="H1686" s="11"/>
      <c r="I1686" s="11"/>
      <c r="J1686" s="11"/>
      <c r="K1686" s="11"/>
      <c r="L1686" s="11"/>
      <c r="M1686" s="11"/>
      <c r="N1686" s="11"/>
      <c r="O1686" s="11">
        <f>IFERROR(__xludf.DUMMYFUNCTION("""COMPUTED_VALUE"""),4134266459)</f>
        <v>4134266459</v>
      </c>
      <c r="P1686" s="11"/>
      <c r="Q1686" s="11"/>
      <c r="R1686" s="11"/>
      <c r="S1686" s="11"/>
      <c r="T1686" s="11"/>
      <c r="U1686" s="11"/>
      <c r="V1686" s="11"/>
      <c r="W1686" s="11"/>
      <c r="X1686" s="11"/>
      <c r="Y1686" s="11"/>
      <c r="Z1686" s="11"/>
    </row>
    <row r="1687" customHeight="1" spans="1:26">
      <c r="A1687" s="11" t="str">
        <f>IFERROR(__xludf.DUMMYFUNCTION("""COMPUTED_VALUE"""),"LIVIA MARA DE SOUSA MARTINS")</f>
        <v>LIVIA MARA DE SOUSA MARTINS</v>
      </c>
      <c r="B1687" s="11"/>
      <c r="C1687" s="11"/>
      <c r="D1687" s="11" t="str">
        <f>IFERROR(__xludf.DUMMYFUNCTION("""COMPUTED_VALUE"""),"ENFERMEIRO 30H")</f>
        <v>ENFERMEIRO 30H</v>
      </c>
      <c r="E1687" s="11"/>
      <c r="F1687" s="11" t="str">
        <f>IFERROR(__xludf.DUMMYFUNCTION("""COMPUTED_VALUE"""),"US_180 CENTRAL DE REGULACAO MEDICA SAMU METROPOLITANO RECIFE")</f>
        <v>US_180 CENTRAL DE REGULACAO MEDICA SAMU METROPOLITANO RECIFE</v>
      </c>
      <c r="G1687" s="11" t="str">
        <f>IFERROR(__xludf.DUMMYFUNCTION("""COMPUTED_VALUE"""),"US_180 CENTRAL DE REGULACAO MEDICA SAMU METROPOLITANO RECIFE")</f>
        <v>US_180 CENTRAL DE REGULACAO MEDICA SAMU METROPOLITANO RECIFE</v>
      </c>
      <c r="H1687" s="11"/>
      <c r="I1687" s="11"/>
      <c r="J1687" s="11"/>
      <c r="K1687" s="11"/>
      <c r="L1687" s="11"/>
      <c r="M1687" s="11"/>
      <c r="N1687" s="11"/>
      <c r="O1687" s="11">
        <f>IFERROR(__xludf.DUMMYFUNCTION("""COMPUTED_VALUE"""),1297077407)</f>
        <v>1297077407</v>
      </c>
      <c r="P1687" s="11"/>
      <c r="Q1687" s="11"/>
      <c r="R1687" s="11"/>
      <c r="S1687" s="11"/>
      <c r="T1687" s="11"/>
      <c r="U1687" s="11"/>
      <c r="V1687" s="11"/>
      <c r="W1687" s="11"/>
      <c r="X1687" s="11"/>
      <c r="Y1687" s="11"/>
      <c r="Z1687" s="11"/>
    </row>
    <row r="1688" customHeight="1" spans="1:26">
      <c r="A1688" s="11" t="str">
        <f>IFERROR(__xludf.DUMMYFUNCTION("""COMPUTED_VALUE"""),"MARIA DA CONCEICAO F CAMPOS")</f>
        <v>MARIA DA CONCEICAO F CAMPOS</v>
      </c>
      <c r="B1688" s="11"/>
      <c r="C1688" s="11"/>
      <c r="D1688" s="11" t="str">
        <f>IFERROR(__xludf.DUMMYFUNCTION("""COMPUTED_VALUE"""),"ENFERMEIRO 30H")</f>
        <v>ENFERMEIRO 30H</v>
      </c>
      <c r="E1688" s="11"/>
      <c r="F1688" s="11" t="str">
        <f>IFERROR(__xludf.DUMMYFUNCTION("""COMPUTED_VALUE"""),"US_180 CENTRAL DE REGULACAO MEDICA SAMU METROPOLITANO RECIFE")</f>
        <v>US_180 CENTRAL DE REGULACAO MEDICA SAMU METROPOLITANO RECIFE</v>
      </c>
      <c r="G1688" s="11" t="str">
        <f>IFERROR(__xludf.DUMMYFUNCTION("""COMPUTED_VALUE"""),"US_180 CENTRAL DE REGULACAO MEDICA SAMU METROPOLITANO RECIFE")</f>
        <v>US_180 CENTRAL DE REGULACAO MEDICA SAMU METROPOLITANO RECIFE</v>
      </c>
      <c r="H1688" s="11"/>
      <c r="I1688" s="11"/>
      <c r="J1688" s="11"/>
      <c r="K1688" s="11"/>
      <c r="L1688" s="11"/>
      <c r="M1688" s="11"/>
      <c r="N1688" s="11"/>
      <c r="O1688" s="11">
        <f>IFERROR(__xludf.DUMMYFUNCTION("""COMPUTED_VALUE"""),79270468453)</f>
        <v>79270468453</v>
      </c>
      <c r="P1688" s="11"/>
      <c r="Q1688" s="11"/>
      <c r="R1688" s="11"/>
      <c r="S1688" s="11"/>
      <c r="T1688" s="11"/>
      <c r="U1688" s="11"/>
      <c r="V1688" s="11"/>
      <c r="W1688" s="11"/>
      <c r="X1688" s="11"/>
      <c r="Y1688" s="11"/>
      <c r="Z1688" s="11"/>
    </row>
    <row r="1689" customHeight="1" spans="1:26">
      <c r="A1689" s="11" t="str">
        <f>IFERROR(__xludf.DUMMYFUNCTION("""COMPUTED_VALUE"""),"MAURICIA FIGUEIROA DA SILVA")</f>
        <v>MAURICIA FIGUEIROA DA SILVA</v>
      </c>
      <c r="B1689" s="11"/>
      <c r="C1689" s="11"/>
      <c r="D1689" s="11" t="str">
        <f>IFERROR(__xludf.DUMMYFUNCTION("""COMPUTED_VALUE"""),"ENFERMEIRO 40H")</f>
        <v>ENFERMEIRO 40H</v>
      </c>
      <c r="E1689" s="11"/>
      <c r="F1689" s="11" t="str">
        <f>IFERROR(__xludf.DUMMYFUNCTION("""COMPUTED_VALUE"""),"US_180 CENTRAL DE REGULACAO MEDICA SAMU METROPOLITANO RECIFE")</f>
        <v>US_180 CENTRAL DE REGULACAO MEDICA SAMU METROPOLITANO RECIFE</v>
      </c>
      <c r="G1689" s="11" t="str">
        <f>IFERROR(__xludf.DUMMYFUNCTION("""COMPUTED_VALUE"""),"USF ALTO DO CAPITÃO")</f>
        <v>USF ALTO DO CAPITÃO</v>
      </c>
      <c r="H1689" s="27">
        <f>IFERROR(__xludf.DUMMYFUNCTION("""COMPUTED_VALUE"""),81992845125)</f>
        <v>81992845125</v>
      </c>
      <c r="I1689" s="11"/>
      <c r="J1689" s="11"/>
      <c r="K1689" s="24">
        <f>IFERROR(__xludf.DUMMYFUNCTION("""COMPUTED_VALUE"""),45435)</f>
        <v>45435</v>
      </c>
      <c r="L1689" s="11"/>
      <c r="M1689" s="11"/>
      <c r="N1689" s="11"/>
      <c r="O1689" s="11">
        <f>IFERROR(__xludf.DUMMYFUNCTION("""COMPUTED_VALUE"""),2465629433)</f>
        <v>2465629433</v>
      </c>
      <c r="P1689" s="11"/>
      <c r="Q1689" s="11"/>
      <c r="R1689" s="11"/>
      <c r="S1689" s="11"/>
      <c r="T1689" s="11"/>
      <c r="U1689" s="11"/>
      <c r="V1689" s="11"/>
      <c r="W1689" s="11"/>
      <c r="X1689" s="11"/>
      <c r="Y1689" s="11"/>
      <c r="Z1689" s="11"/>
    </row>
    <row r="1690" customHeight="1" spans="1:26">
      <c r="A1690" s="11" t="str">
        <f>IFERROR(__xludf.DUMMYFUNCTION("""COMPUTED_VALUE"""),"MAILTON ALVES ALBUQUERQUE")</f>
        <v>MAILTON ALVES ALBUQUERQUE</v>
      </c>
      <c r="B1690" s="11"/>
      <c r="C1690" s="11"/>
      <c r="D1690" s="11" t="str">
        <f>IFERROR(__xludf.DUMMYFUNCTION("""COMPUTED_VALUE"""),"ENFERMEIRO 40H")</f>
        <v>ENFERMEIRO 40H</v>
      </c>
      <c r="E1690" s="11"/>
      <c r="F1690" s="11" t="str">
        <f>IFERROR(__xludf.DUMMYFUNCTION("""COMPUTED_VALUE"""),"US_180 CENTRAL DE REGULACAO MEDICA SAMU METROPOLITANO RECIFE")</f>
        <v>US_180 CENTRAL DE REGULACAO MEDICA SAMU METROPOLITANO RECIFE</v>
      </c>
      <c r="G1690" s="11" t="str">
        <f>IFERROR(__xludf.DUMMYFUNCTION("""COMPUTED_VALUE"""),"US_180 CENTRAL DE REGULACAO MEDICA SAMU METROPOLITANO RECIFE")</f>
        <v>US_180 CENTRAL DE REGULACAO MEDICA SAMU METROPOLITANO RECIFE</v>
      </c>
      <c r="H1690" s="11"/>
      <c r="I1690" s="11"/>
      <c r="J1690" s="11"/>
      <c r="K1690" s="11"/>
      <c r="L1690" s="11"/>
      <c r="M1690" s="11"/>
      <c r="N1690" s="11"/>
      <c r="O1690" s="11">
        <f>IFERROR(__xludf.DUMMYFUNCTION("""COMPUTED_VALUE"""),98024205491)</f>
        <v>98024205491</v>
      </c>
      <c r="P1690" s="11"/>
      <c r="Q1690" s="11"/>
      <c r="R1690" s="11"/>
      <c r="S1690" s="11"/>
      <c r="T1690" s="11"/>
      <c r="U1690" s="11"/>
      <c r="V1690" s="11"/>
      <c r="W1690" s="11"/>
      <c r="X1690" s="11"/>
      <c r="Y1690" s="11"/>
      <c r="Z1690" s="11"/>
    </row>
    <row r="1691" customHeight="1" spans="1:26">
      <c r="A1691" s="11" t="str">
        <f>IFERROR(__xludf.DUMMYFUNCTION("""COMPUTED_VALUE"""),"SANDRA MARIA GOMES F FERNANDES")</f>
        <v>SANDRA MARIA GOMES F FERNANDES</v>
      </c>
      <c r="B1691" s="11"/>
      <c r="C1691" s="11"/>
      <c r="D1691" s="11" t="str">
        <f>IFERROR(__xludf.DUMMYFUNCTION("""COMPUTED_VALUE"""),"ENFERMEIRO 40H")</f>
        <v>ENFERMEIRO 40H</v>
      </c>
      <c r="E1691" s="11"/>
      <c r="F1691" s="11" t="str">
        <f>IFERROR(__xludf.DUMMYFUNCTION("""COMPUTED_VALUE"""),"US_180 CENTRAL DE REGULACAO MEDICA SAMU METROPOLITANO RECIFE")</f>
        <v>US_180 CENTRAL DE REGULACAO MEDICA SAMU METROPOLITANO RECIFE</v>
      </c>
      <c r="G1691" s="11" t="str">
        <f>IFERROR(__xludf.DUMMYFUNCTION("""COMPUTED_VALUE"""),"US_180 CENTRAL DE REGULACAO MEDICA SAMU METROPOLITANO RECIFE")</f>
        <v>US_180 CENTRAL DE REGULACAO MEDICA SAMU METROPOLITANO RECIFE</v>
      </c>
      <c r="H1691" s="11"/>
      <c r="I1691" s="11"/>
      <c r="J1691" s="11"/>
      <c r="K1691" s="11"/>
      <c r="L1691" s="11"/>
      <c r="M1691" s="11"/>
      <c r="N1691" s="11"/>
      <c r="O1691" s="11">
        <f>IFERROR(__xludf.DUMMYFUNCTION("""COMPUTED_VALUE"""),878443460)</f>
        <v>878443460</v>
      </c>
      <c r="P1691" s="11"/>
      <c r="Q1691" s="11"/>
      <c r="R1691" s="11"/>
      <c r="S1691" s="11"/>
      <c r="T1691" s="11"/>
      <c r="U1691" s="11"/>
      <c r="V1691" s="11"/>
      <c r="W1691" s="11"/>
      <c r="X1691" s="11"/>
      <c r="Y1691" s="11"/>
      <c r="Z1691" s="11"/>
    </row>
    <row r="1692" customHeight="1" spans="1:26">
      <c r="A1692" s="11" t="str">
        <f>IFERROR(__xludf.DUMMYFUNCTION("""COMPUTED_VALUE"""),"ANDREA LOUREIRO ROGES")</f>
        <v>ANDREA LOUREIRO ROGES</v>
      </c>
      <c r="B1692" s="11"/>
      <c r="C1692" s="11"/>
      <c r="D1692" s="11" t="str">
        <f>IFERROR(__xludf.DUMMYFUNCTION("""COMPUTED_VALUE"""),"SERV DE ORGAO MUNICIPALIZ RP")</f>
        <v>SERV DE ORGAO MUNICIPALIZ RP</v>
      </c>
      <c r="E1692" s="11"/>
      <c r="F1692" s="11" t="str">
        <f>IFERROR(__xludf.DUMMYFUNCTION("""COMPUTED_VALUE"""),"US_180 CENTRAL DE REGULACAO MEDICA SAMU METROPOLITANO RECIFE")</f>
        <v>US_180 CENTRAL DE REGULACAO MEDICA SAMU METROPOLITANO RECIFE</v>
      </c>
      <c r="G1692" s="11" t="str">
        <f>IFERROR(__xludf.DUMMYFUNCTION("""COMPUTED_VALUE"""),"US_180 CENTRAL DE REGULACAO MEDICA SAMU METROPOLITANO RECIFE")</f>
        <v>US_180 CENTRAL DE REGULACAO MEDICA SAMU METROPOLITANO RECIFE</v>
      </c>
      <c r="H1692" s="11"/>
      <c r="I1692" s="11"/>
      <c r="J1692" s="11"/>
      <c r="K1692" s="11"/>
      <c r="L1692" s="11"/>
      <c r="M1692" s="11"/>
      <c r="N1692" s="11"/>
      <c r="O1692" s="11">
        <f>IFERROR(__xludf.DUMMYFUNCTION("""COMPUTED_VALUE"""),2896937480)</f>
        <v>2896937480</v>
      </c>
      <c r="P1692" s="11"/>
      <c r="Q1692" s="11"/>
      <c r="R1692" s="11"/>
      <c r="S1692" s="11"/>
      <c r="T1692" s="11"/>
      <c r="U1692" s="11"/>
      <c r="V1692" s="11"/>
      <c r="W1692" s="11"/>
      <c r="X1692" s="11"/>
      <c r="Y1692" s="11"/>
      <c r="Z1692" s="11"/>
    </row>
    <row r="1693" customHeight="1" spans="1:26">
      <c r="A1693" s="11" t="str">
        <f>IFERROR(__xludf.DUMMYFUNCTION("""COMPUTED_VALUE"""),"FATIMA ROSANE F DO NASCIMENTO")</f>
        <v>FATIMA ROSANE F DO NASCIMENTO</v>
      </c>
      <c r="B1693" s="11"/>
      <c r="C1693" s="11"/>
      <c r="D1693" s="11" t="str">
        <f>IFERROR(__xludf.DUMMYFUNCTION("""COMPUTED_VALUE"""),"SERV OUT ORGAOS - REG PROPRIO")</f>
        <v>SERV OUT ORGAOS - REG PROPRIO</v>
      </c>
      <c r="E1693" s="11"/>
      <c r="F1693" s="11" t="str">
        <f>IFERROR(__xludf.DUMMYFUNCTION("""COMPUTED_VALUE"""),"US_180 CENTRAL DE REGULACAO MEDICA SAMU METROPOLITANO RECIFE")</f>
        <v>US_180 CENTRAL DE REGULACAO MEDICA SAMU METROPOLITANO RECIFE</v>
      </c>
      <c r="G1693" s="11" t="str">
        <f>IFERROR(__xludf.DUMMYFUNCTION("""COMPUTED_VALUE"""),"US_180 CENTRAL DE REGULACAO MEDICA SAMU METROPOLITANO RECIFE")</f>
        <v>US_180 CENTRAL DE REGULACAO MEDICA SAMU METROPOLITANO RECIFE</v>
      </c>
      <c r="H1693" s="11"/>
      <c r="I1693" s="11"/>
      <c r="J1693" s="11"/>
      <c r="K1693" s="11"/>
      <c r="L1693" s="11"/>
      <c r="M1693" s="11"/>
      <c r="N1693" s="11"/>
      <c r="O1693" s="11">
        <f>IFERROR(__xludf.DUMMYFUNCTION("""COMPUTED_VALUE"""),2382254459)</f>
        <v>2382254459</v>
      </c>
      <c r="P1693" s="11"/>
      <c r="Q1693" s="11"/>
      <c r="R1693" s="11"/>
      <c r="S1693" s="11"/>
      <c r="T1693" s="11"/>
      <c r="U1693" s="11"/>
      <c r="V1693" s="11"/>
      <c r="W1693" s="11"/>
      <c r="X1693" s="11"/>
      <c r="Y1693" s="11"/>
      <c r="Z1693" s="11"/>
    </row>
    <row r="1694" customHeight="1" spans="1:26">
      <c r="A1694" s="11" t="str">
        <f>IFERROR(__xludf.DUMMYFUNCTION("""COMPUTED_VALUE"""),"ANA CAROLINA BEZERRA DE LIMA")</f>
        <v>ANA CAROLINA BEZERRA DE LIMA</v>
      </c>
      <c r="B1694" s="11"/>
      <c r="C1694" s="11"/>
      <c r="D1694" s="11" t="str">
        <f>IFERROR(__xludf.DUMMYFUNCTION("""COMPUTED_VALUE"""),"ENFERMEIRO 30H URGENCIA E EMERGENCIA SAMU - PLANTONISTA")</f>
        <v>ENFERMEIRO 30H URGENCIA E EMERGENCIA SAMU - PLANTONISTA</v>
      </c>
      <c r="E1694" s="11"/>
      <c r="F1694" s="11" t="str">
        <f>IFERROR(__xludf.DUMMYFUNCTION("""COMPUTED_VALUE"""),"US_163 HOSPITAL DE PEDIATRIA HELENA MOURA")</f>
        <v>US_163 HOSPITAL DE PEDIATRIA HELENA MOURA</v>
      </c>
      <c r="G1694" s="11" t="str">
        <f>IFERROR(__xludf.DUMMYFUNCTION("""COMPUTED_VALUE"""),"US_163 HOSPITAL DE PEDIATRIA HELENA MOURA")</f>
        <v>US_163 HOSPITAL DE PEDIATRIA HELENA MOURA</v>
      </c>
      <c r="H1694" s="11"/>
      <c r="I1694" s="11"/>
      <c r="J1694" s="11"/>
      <c r="K1694" s="11"/>
      <c r="L1694" s="11"/>
      <c r="M1694" s="11"/>
      <c r="N1694" s="11"/>
      <c r="O1694" s="11">
        <f>IFERROR(__xludf.DUMMYFUNCTION("""COMPUTED_VALUE"""),7698699471)</f>
        <v>7698699471</v>
      </c>
      <c r="P1694" s="11"/>
      <c r="Q1694" s="11"/>
      <c r="R1694" s="11"/>
      <c r="S1694" s="11"/>
      <c r="T1694" s="11"/>
      <c r="U1694" s="11"/>
      <c r="V1694" s="11"/>
      <c r="W1694" s="11"/>
      <c r="X1694" s="11"/>
      <c r="Y1694" s="11"/>
      <c r="Z1694" s="11"/>
    </row>
    <row r="1695" customHeight="1" spans="1:26">
      <c r="A1695" s="11" t="str">
        <f>IFERROR(__xludf.DUMMYFUNCTION("""COMPUTED_VALUE"""),"RENATA MARIA DE LIMA MONTEIRO")</f>
        <v>RENATA MARIA DE LIMA MONTEIRO</v>
      </c>
      <c r="B1695" s="11"/>
      <c r="C1695" s="11"/>
      <c r="D1695" s="11" t="str">
        <f>IFERROR(__xludf.DUMMYFUNCTION("""COMPUTED_VALUE"""),"ENFERMEIRO 30H URGENCIA E EMERGENCIA SAMU - PLANTONISTA")</f>
        <v>ENFERMEIRO 30H URGENCIA E EMERGENCIA SAMU - PLANTONISTA</v>
      </c>
      <c r="E1695" s="11"/>
      <c r="F1695" s="11" t="str">
        <f>IFERROR(__xludf.DUMMYFUNCTION("""COMPUTED_VALUE"""),"US_169 POLICLINICA AMAURY COUTINHO")</f>
        <v>US_169 POLICLINICA AMAURY COUTINHO</v>
      </c>
      <c r="G1695" s="11" t="str">
        <f>IFERROR(__xludf.DUMMYFUNCTION("""COMPUTED_VALUE"""),"US_169 POLICLINICA AMAURY COUTINHO")</f>
        <v>US_169 POLICLINICA AMAURY COUTINHO</v>
      </c>
      <c r="H1695" s="11"/>
      <c r="I1695" s="11"/>
      <c r="J1695" s="11"/>
      <c r="K1695" s="11"/>
      <c r="L1695" s="11"/>
      <c r="M1695" s="11"/>
      <c r="N1695" s="11"/>
      <c r="O1695" s="11">
        <f>IFERROR(__xludf.DUMMYFUNCTION("""COMPUTED_VALUE"""),9806501438)</f>
        <v>9806501438</v>
      </c>
      <c r="P1695" s="11"/>
      <c r="Q1695" s="11"/>
      <c r="R1695" s="11"/>
      <c r="S1695" s="11"/>
      <c r="T1695" s="11"/>
      <c r="U1695" s="11"/>
      <c r="V1695" s="11"/>
      <c r="W1695" s="11"/>
      <c r="X1695" s="11"/>
      <c r="Y1695" s="11"/>
      <c r="Z1695" s="11"/>
    </row>
    <row r="1696" customHeight="1" spans="1:26">
      <c r="A1696" s="11" t="str">
        <f>IFERROR(__xludf.DUMMYFUNCTION("""COMPUTED_VALUE"""),"RALESSANDRA MOREIRA DA SILVA")</f>
        <v>RALESSANDRA MOREIRA DA SILVA</v>
      </c>
      <c r="B1696" s="11"/>
      <c r="C1696" s="11"/>
      <c r="D1696" s="11" t="str">
        <f>IFERROR(__xludf.DUMMYFUNCTION("""COMPUTED_VALUE"""),"ENFERMEIRO 30H URGENCIA E EMERGENCIA SAMU - PLANTONISTA")</f>
        <v>ENFERMEIRO 30H URGENCIA E EMERGENCIA SAMU - PLANTONISTA</v>
      </c>
      <c r="E1696" s="11"/>
      <c r="F1696" s="11" t="str">
        <f>IFERROR(__xludf.DUMMYFUNCTION("""COMPUTED_VALUE"""),"US_180 CENTRAL DE REGULACAO MEDICA SAMU METROPOLITANO RECIFE")</f>
        <v>US_180 CENTRAL DE REGULACAO MEDICA SAMU METROPOLITANO RECIFE</v>
      </c>
      <c r="G1696" s="11" t="str">
        <f>IFERROR(__xludf.DUMMYFUNCTION("""COMPUTED_VALUE"""),"US_180 CENTRAL DE REGULACAO MEDICA SAMU METROPOLITANO RECIFE")</f>
        <v>US_180 CENTRAL DE REGULACAO MEDICA SAMU METROPOLITANO RECIFE</v>
      </c>
      <c r="H1696" s="11"/>
      <c r="I1696" s="11"/>
      <c r="J1696" s="11"/>
      <c r="K1696" s="11"/>
      <c r="L1696" s="11"/>
      <c r="M1696" s="11"/>
      <c r="N1696" s="11"/>
      <c r="O1696" s="11">
        <f>IFERROR(__xludf.DUMMYFUNCTION("""COMPUTED_VALUE"""),5171109460)</f>
        <v>5171109460</v>
      </c>
      <c r="P1696" s="11"/>
      <c r="Q1696" s="11"/>
      <c r="R1696" s="11"/>
      <c r="S1696" s="11"/>
      <c r="T1696" s="11"/>
      <c r="U1696" s="11"/>
      <c r="V1696" s="11"/>
      <c r="W1696" s="11"/>
      <c r="X1696" s="11"/>
      <c r="Y1696" s="11"/>
      <c r="Z1696" s="11"/>
    </row>
    <row r="1697" customHeight="1" spans="1:26">
      <c r="A1697" s="11" t="str">
        <f>IFERROR(__xludf.DUMMYFUNCTION("""COMPUTED_VALUE"""),"GLISSIA OLIVEIRA P E SILVA")</f>
        <v>GLISSIA OLIVEIRA P E SILVA</v>
      </c>
      <c r="B1697" s="11"/>
      <c r="C1697" s="11"/>
      <c r="D1697" s="11" t="str">
        <f>IFERROR(__xludf.DUMMYFUNCTION("""COMPUTED_VALUE"""),"ENFERMEIRO 30H URGENCIA E EMERGENCIA SAMU - PLANTONISTA")</f>
        <v>ENFERMEIRO 30H URGENCIA E EMERGENCIA SAMU - PLANTONISTA</v>
      </c>
      <c r="E1697" s="11"/>
      <c r="F1697" s="11" t="str">
        <f>IFERROR(__xludf.DUMMYFUNCTION("""COMPUTED_VALUE"""),"US_180 CENTRAL DE REGULACAO MEDICA SAMU METROPOLITANO RECIFE")</f>
        <v>US_180 CENTRAL DE REGULACAO MEDICA SAMU METROPOLITANO RECIFE</v>
      </c>
      <c r="G1697" s="11" t="str">
        <f>IFERROR(__xludf.DUMMYFUNCTION("""COMPUTED_VALUE"""),"US_180 CENTRAL DE REGULACAO MEDICA SAMU METROPOLITANO RECIFE")</f>
        <v>US_180 CENTRAL DE REGULACAO MEDICA SAMU METROPOLITANO RECIFE</v>
      </c>
      <c r="H1697" s="11"/>
      <c r="I1697" s="11"/>
      <c r="J1697" s="11"/>
      <c r="K1697" s="11"/>
      <c r="L1697" s="11"/>
      <c r="M1697" s="11"/>
      <c r="N1697" s="11"/>
      <c r="O1697" s="11">
        <f>IFERROR(__xludf.DUMMYFUNCTION("""COMPUTED_VALUE"""),4925403494)</f>
        <v>4925403494</v>
      </c>
      <c r="P1697" s="11"/>
      <c r="Q1697" s="11"/>
      <c r="R1697" s="11"/>
      <c r="S1697" s="11"/>
      <c r="T1697" s="11"/>
      <c r="U1697" s="11"/>
      <c r="V1697" s="11"/>
      <c r="W1697" s="11"/>
      <c r="X1697" s="11"/>
      <c r="Y1697" s="11"/>
      <c r="Z1697" s="11"/>
    </row>
    <row r="1698" customHeight="1" spans="1:26">
      <c r="A1698" s="11" t="str">
        <f>IFERROR(__xludf.DUMMYFUNCTION("""COMPUTED_VALUE"""),"CLEANTO FURTADO BEZERRA")</f>
        <v>CLEANTO FURTADO BEZERRA</v>
      </c>
      <c r="B1698" s="11"/>
      <c r="C1698" s="11"/>
      <c r="D1698" s="11" t="str">
        <f>IFERROR(__xludf.DUMMYFUNCTION("""COMPUTED_VALUE"""),"ENFERMEIRO 30H URGENCIA E EMERGENCIA SAMU - PLANTONISTA")</f>
        <v>ENFERMEIRO 30H URGENCIA E EMERGENCIA SAMU - PLANTONISTA</v>
      </c>
      <c r="E1698" s="11"/>
      <c r="F1698" s="11" t="str">
        <f>IFERROR(__xludf.DUMMYFUNCTION("""COMPUTED_VALUE"""),"US_153 POLICLINICA E MATERNIDADE ARNALDO MARQUES")</f>
        <v>US_153 POLICLINICA E MATERNIDADE ARNALDO MARQUES</v>
      </c>
      <c r="G1698" s="11" t="str">
        <f>IFERROR(__xludf.DUMMYFUNCTION("""COMPUTED_VALUE"""),"US_153 POLICLINICA E MATERNIDADE ARNALDO MARQUES")</f>
        <v>US_153 POLICLINICA E MATERNIDADE ARNALDO MARQUES</v>
      </c>
      <c r="H1698" s="11"/>
      <c r="I1698" s="11"/>
      <c r="J1698" s="11"/>
      <c r="K1698" s="11"/>
      <c r="L1698" s="11"/>
      <c r="M1698" s="11"/>
      <c r="N1698" s="11"/>
      <c r="O1698" s="11">
        <f>IFERROR(__xludf.DUMMYFUNCTION("""COMPUTED_VALUE"""),5000844327)</f>
        <v>5000844327</v>
      </c>
      <c r="P1698" s="11"/>
      <c r="Q1698" s="11"/>
      <c r="R1698" s="11"/>
      <c r="S1698" s="11"/>
      <c r="T1698" s="11"/>
      <c r="U1698" s="11"/>
      <c r="V1698" s="11"/>
      <c r="W1698" s="11"/>
      <c r="X1698" s="11"/>
      <c r="Y1698" s="11"/>
      <c r="Z1698" s="11"/>
    </row>
    <row r="1699" customHeight="1" spans="1:26">
      <c r="A1699" s="11" t="str">
        <f>IFERROR(__xludf.DUMMYFUNCTION("""COMPUTED_VALUE"""),"JOZIVALDA V CAITANO DOS SANTOS")</f>
        <v>JOZIVALDA V CAITANO DOS SANTOS</v>
      </c>
      <c r="B1699" s="11"/>
      <c r="C1699" s="11"/>
      <c r="D1699" s="11" t="str">
        <f>IFERROR(__xludf.DUMMYFUNCTION("""COMPUTED_VALUE"""),"ENFERMEIRO 30H URGENCIA E EMERGENCIA SAMU - PLANTONISTA")</f>
        <v>ENFERMEIRO 30H URGENCIA E EMERGENCIA SAMU - PLANTONISTA</v>
      </c>
      <c r="E1699" s="11"/>
      <c r="F1699" s="11" t="str">
        <f>IFERROR(__xludf.DUMMYFUNCTION("""COMPUTED_VALUE"""),"US_180 CENTRAL DE REGULACAO MEDICA SAMU METROPOLITANO RECIFE")</f>
        <v>US_180 CENTRAL DE REGULACAO MEDICA SAMU METROPOLITANO RECIFE</v>
      </c>
      <c r="G1699" s="11" t="str">
        <f>IFERROR(__xludf.DUMMYFUNCTION("""COMPUTED_VALUE"""),"US_180 CENTRAL DE REGULACAO MEDICA SAMU METROPOLITANO RECIFE")</f>
        <v>US_180 CENTRAL DE REGULACAO MEDICA SAMU METROPOLITANO RECIFE</v>
      </c>
      <c r="H1699" s="11"/>
      <c r="I1699" s="11"/>
      <c r="J1699" s="11"/>
      <c r="K1699" s="11"/>
      <c r="L1699" s="11"/>
      <c r="M1699" s="11"/>
      <c r="N1699" s="11"/>
      <c r="O1699" s="11">
        <f>IFERROR(__xludf.DUMMYFUNCTION("""COMPUTED_VALUE"""),5356993447)</f>
        <v>5356993447</v>
      </c>
      <c r="P1699" s="11"/>
      <c r="Q1699" s="11"/>
      <c r="R1699" s="11"/>
      <c r="S1699" s="11"/>
      <c r="T1699" s="11"/>
      <c r="U1699" s="11"/>
      <c r="V1699" s="11"/>
      <c r="W1699" s="11"/>
      <c r="X1699" s="11"/>
      <c r="Y1699" s="11"/>
      <c r="Z1699" s="11"/>
    </row>
    <row r="1700" customHeight="1" spans="1:26">
      <c r="A1700" s="11" t="str">
        <f>IFERROR(__xludf.DUMMYFUNCTION("""COMPUTED_VALUE"""),"SINDY ARIANA SANTOS FERREIRA")</f>
        <v>SINDY ARIANA SANTOS FERREIRA</v>
      </c>
      <c r="B1700" s="11"/>
      <c r="C1700" s="11"/>
      <c r="D1700" s="11" t="str">
        <f>IFERROR(__xludf.DUMMYFUNCTION("""COMPUTED_VALUE"""),"ENFERMEIRO 30H URGENCIA E EMERGENCIA SAMU - PLANTONISTA")</f>
        <v>ENFERMEIRO 30H URGENCIA E EMERGENCIA SAMU - PLANTONISTA</v>
      </c>
      <c r="E1700" s="11"/>
      <c r="F1700" s="11" t="str">
        <f>IFERROR(__xludf.DUMMYFUNCTION("""COMPUTED_VALUE"""),"US_180 CENTRAL DE REGULACAO MEDICA SAMU METROPOLITANO RECIFE")</f>
        <v>US_180 CENTRAL DE REGULACAO MEDICA SAMU METROPOLITANO RECIFE</v>
      </c>
      <c r="G1700" s="11" t="str">
        <f>IFERROR(__xludf.DUMMYFUNCTION("""COMPUTED_VALUE"""),"US_180 CENTRAL DE REGULACAO MEDICA SAMU METROPOLITANO RECIFE")</f>
        <v>US_180 CENTRAL DE REGULACAO MEDICA SAMU METROPOLITANO RECIFE</v>
      </c>
      <c r="H1700" s="11"/>
      <c r="I1700" s="11"/>
      <c r="J1700" s="11"/>
      <c r="K1700" s="11"/>
      <c r="L1700" s="11"/>
      <c r="M1700" s="11"/>
      <c r="N1700" s="11"/>
      <c r="O1700" s="11">
        <f>IFERROR(__xludf.DUMMYFUNCTION("""COMPUTED_VALUE"""),6834646477)</f>
        <v>6834646477</v>
      </c>
      <c r="P1700" s="11"/>
      <c r="Q1700" s="11"/>
      <c r="R1700" s="11"/>
      <c r="S1700" s="11"/>
      <c r="T1700" s="11"/>
      <c r="U1700" s="11"/>
      <c r="V1700" s="11"/>
      <c r="W1700" s="11"/>
      <c r="X1700" s="11"/>
      <c r="Y1700" s="11"/>
      <c r="Z1700" s="11"/>
    </row>
    <row r="1701" customHeight="1" spans="1:26">
      <c r="A1701" s="11" t="str">
        <f>IFERROR(__xludf.DUMMYFUNCTION("""COMPUTED_VALUE"""),"MONICA ALICE SANTOS DA SILVA")</f>
        <v>MONICA ALICE SANTOS DA SILVA</v>
      </c>
      <c r="B1701" s="11"/>
      <c r="C1701" s="11"/>
      <c r="D1701" s="11" t="str">
        <f>IFERROR(__xludf.DUMMYFUNCTION("""COMPUTED_VALUE"""),"ENFERMEIRO 30H URGENCIA E EMERGENCIA SAMU - PLANTONISTA")</f>
        <v>ENFERMEIRO 30H URGENCIA E EMERGENCIA SAMU - PLANTONISTA</v>
      </c>
      <c r="E1701" s="11"/>
      <c r="F1701" s="11" t="str">
        <f>IFERROR(__xludf.DUMMYFUNCTION("""COMPUTED_VALUE"""),"US_153 POLICLINICA E MATERNIDADE ARNALDO MARQUES")</f>
        <v>US_153 POLICLINICA E MATERNIDADE ARNALDO MARQUES</v>
      </c>
      <c r="G1701" s="11" t="str">
        <f>IFERROR(__xludf.DUMMYFUNCTION("""COMPUTED_VALUE"""),"US_153 POLICLINICA E MATERNIDADE ARNALDO MARQUES")</f>
        <v>US_153 POLICLINICA E MATERNIDADE ARNALDO MARQUES</v>
      </c>
      <c r="H1701" s="11"/>
      <c r="I1701" s="11"/>
      <c r="J1701" s="11"/>
      <c r="K1701" s="11"/>
      <c r="L1701" s="11"/>
      <c r="M1701" s="11"/>
      <c r="N1701" s="11"/>
      <c r="O1701" s="11">
        <f>IFERROR(__xludf.DUMMYFUNCTION("""COMPUTED_VALUE"""),4858815439)</f>
        <v>4858815439</v>
      </c>
      <c r="P1701" s="11"/>
      <c r="Q1701" s="11"/>
      <c r="R1701" s="11"/>
      <c r="S1701" s="11"/>
      <c r="T1701" s="11"/>
      <c r="U1701" s="11"/>
      <c r="V1701" s="11"/>
      <c r="W1701" s="11"/>
      <c r="X1701" s="11"/>
      <c r="Y1701" s="11"/>
      <c r="Z1701" s="11"/>
    </row>
    <row r="1702" customHeight="1" spans="1:26">
      <c r="A1702" s="11" t="str">
        <f>IFERROR(__xludf.DUMMYFUNCTION("""COMPUTED_VALUE"""),"TATIANA MARQUES DA SILVA GOMES")</f>
        <v>TATIANA MARQUES DA SILVA GOMES</v>
      </c>
      <c r="B1702" s="11"/>
      <c r="C1702" s="11"/>
      <c r="D1702" s="11" t="str">
        <f>IFERROR(__xludf.DUMMYFUNCTION("""COMPUTED_VALUE"""),"ENFERMEIRO 30H URGENCIA E EMERGENCIA SAMU - PLANTONISTA")</f>
        <v>ENFERMEIRO 30H URGENCIA E EMERGENCIA SAMU - PLANTONISTA</v>
      </c>
      <c r="E1702" s="11"/>
      <c r="F1702" s="11" t="str">
        <f>IFERROR(__xludf.DUMMYFUNCTION("""COMPUTED_VALUE"""),"US_180 CENTRAL DE REGULACAO MEDICA SAMU METROPOLITANO RECIFE")</f>
        <v>US_180 CENTRAL DE REGULACAO MEDICA SAMU METROPOLITANO RECIFE</v>
      </c>
      <c r="G1702" s="11" t="str">
        <f>IFERROR(__xludf.DUMMYFUNCTION("""COMPUTED_VALUE"""),"US_180 CENTRAL DE REGULACAO MEDICA SAMU METROPOLITANO RECIFE")</f>
        <v>US_180 CENTRAL DE REGULACAO MEDICA SAMU METROPOLITANO RECIFE</v>
      </c>
      <c r="H1702" s="11"/>
      <c r="I1702" s="11"/>
      <c r="J1702" s="11"/>
      <c r="K1702" s="11"/>
      <c r="L1702" s="11"/>
      <c r="M1702" s="11"/>
      <c r="N1702" s="11"/>
      <c r="O1702" s="11">
        <f>IFERROR(__xludf.DUMMYFUNCTION("""COMPUTED_VALUE"""),3982458439)</f>
        <v>3982458439</v>
      </c>
      <c r="P1702" s="11"/>
      <c r="Q1702" s="11"/>
      <c r="R1702" s="11"/>
      <c r="S1702" s="11"/>
      <c r="T1702" s="11"/>
      <c r="U1702" s="11"/>
      <c r="V1702" s="11"/>
      <c r="W1702" s="11"/>
      <c r="X1702" s="11"/>
      <c r="Y1702" s="11"/>
      <c r="Z1702" s="11"/>
    </row>
    <row r="1703" customHeight="1" spans="1:26">
      <c r="A1703" s="11" t="str">
        <f>IFERROR(__xludf.DUMMYFUNCTION("""COMPUTED_VALUE"""),"LEONARDO WANDERLEY CAVALCANTE")</f>
        <v>LEONARDO WANDERLEY CAVALCANTE</v>
      </c>
      <c r="B1703" s="11"/>
      <c r="C1703" s="11"/>
      <c r="D1703" s="11" t="str">
        <f>IFERROR(__xludf.DUMMYFUNCTION("""COMPUTED_VALUE"""),"ENFERMEIRO 30H URGENCIA E EMERGENCIA SAMU - PLANTONISTA")</f>
        <v>ENFERMEIRO 30H URGENCIA E EMERGENCIA SAMU - PLANTONISTA</v>
      </c>
      <c r="E1703" s="11"/>
      <c r="F1703" s="11" t="str">
        <f>IFERROR(__xludf.DUMMYFUNCTION("""COMPUTED_VALUE"""),"US_180 CENTRAL DE REGULACAO MEDICA SAMU METROPOLITANO RECIFE")</f>
        <v>US_180 CENTRAL DE REGULACAO MEDICA SAMU METROPOLITANO RECIFE</v>
      </c>
      <c r="G1703" s="11" t="str">
        <f>IFERROR(__xludf.DUMMYFUNCTION("""COMPUTED_VALUE"""),"US_180 CENTRAL DE REGULACAO MEDICA SAMU METROPOLITANO RECIFE")</f>
        <v>US_180 CENTRAL DE REGULACAO MEDICA SAMU METROPOLITANO RECIFE</v>
      </c>
      <c r="H1703" s="11"/>
      <c r="I1703" s="11"/>
      <c r="J1703" s="11"/>
      <c r="K1703" s="11"/>
      <c r="L1703" s="11"/>
      <c r="M1703" s="11"/>
      <c r="N1703" s="11"/>
      <c r="O1703" s="11">
        <f>IFERROR(__xludf.DUMMYFUNCTION("""COMPUTED_VALUE"""),1350647322)</f>
        <v>1350647322</v>
      </c>
      <c r="P1703" s="11"/>
      <c r="Q1703" s="11"/>
      <c r="R1703" s="11"/>
      <c r="S1703" s="11"/>
      <c r="T1703" s="11"/>
      <c r="U1703" s="11"/>
      <c r="V1703" s="11"/>
      <c r="W1703" s="11"/>
      <c r="X1703" s="11"/>
      <c r="Y1703" s="11"/>
      <c r="Z1703" s="11"/>
    </row>
    <row r="1704" customHeight="1" spans="1:26">
      <c r="A1704" s="11" t="str">
        <f>IFERROR(__xludf.DUMMYFUNCTION("""COMPUTED_VALUE"""),"SAMYLA CITO PEDROSA")</f>
        <v>SAMYLA CITO PEDROSA</v>
      </c>
      <c r="B1704" s="11"/>
      <c r="C1704" s="11"/>
      <c r="D1704" s="11" t="str">
        <f>IFERROR(__xludf.DUMMYFUNCTION("""COMPUTED_VALUE"""),"ENFERMEIRO 30H URGENCIA E EMERGENCIA SAMU - PLANTONISTA")</f>
        <v>ENFERMEIRO 30H URGENCIA E EMERGENCIA SAMU - PLANTONISTA</v>
      </c>
      <c r="E1704" s="11"/>
      <c r="F1704" s="11" t="str">
        <f>IFERROR(__xludf.DUMMYFUNCTION("""COMPUTED_VALUE"""),"US_180 CENTRAL DE REGULACAO MEDICA SAMU METROPOLITANO RECIFE")</f>
        <v>US_180 CENTRAL DE REGULACAO MEDICA SAMU METROPOLITANO RECIFE</v>
      </c>
      <c r="G1704" s="11" t="str">
        <f>IFERROR(__xludf.DUMMYFUNCTION("""COMPUTED_VALUE"""),"US_180 CENTRAL DE REGULACAO MEDICA SAMU METROPOLITANO RECIFE")</f>
        <v>US_180 CENTRAL DE REGULACAO MEDICA SAMU METROPOLITANO RECIFE</v>
      </c>
      <c r="H1704" s="11"/>
      <c r="I1704" s="11"/>
      <c r="J1704" s="11"/>
      <c r="K1704" s="11"/>
      <c r="L1704" s="11"/>
      <c r="M1704" s="11"/>
      <c r="N1704" s="11"/>
      <c r="O1704" s="11">
        <f>IFERROR(__xludf.DUMMYFUNCTION("""COMPUTED_VALUE"""),3349467350)</f>
        <v>3349467350</v>
      </c>
      <c r="P1704" s="11"/>
      <c r="Q1704" s="11"/>
      <c r="R1704" s="11"/>
      <c r="S1704" s="11"/>
      <c r="T1704" s="11"/>
      <c r="U1704" s="11"/>
      <c r="V1704" s="11"/>
      <c r="W1704" s="11"/>
      <c r="X1704" s="11"/>
      <c r="Y1704" s="11"/>
      <c r="Z1704" s="11"/>
    </row>
    <row r="1705" customHeight="1" spans="1:26">
      <c r="A1705" s="11" t="str">
        <f>IFERROR(__xludf.DUMMYFUNCTION("""COMPUTED_VALUE"""),"ANA JESSICA CASSIMIRO DA SILVA")</f>
        <v>ANA JESSICA CASSIMIRO DA SILVA</v>
      </c>
      <c r="B1705" s="11"/>
      <c r="C1705" s="11"/>
      <c r="D1705" s="11" t="str">
        <f>IFERROR(__xludf.DUMMYFUNCTION("""COMPUTED_VALUE"""),"ENFERMEIRO 30H URGENCIA E EMERGENCIA SAMU - PLANTONISTA")</f>
        <v>ENFERMEIRO 30H URGENCIA E EMERGENCIA SAMU - PLANTONISTA</v>
      </c>
      <c r="E1705" s="11"/>
      <c r="F1705" s="11" t="str">
        <f>IFERROR(__xludf.DUMMYFUNCTION("""COMPUTED_VALUE"""),"US_180 CENTRAL DE REGULACAO MEDICA SAMU METROPOLITANO RECIFE")</f>
        <v>US_180 CENTRAL DE REGULACAO MEDICA SAMU METROPOLITANO RECIFE</v>
      </c>
      <c r="G1705" s="11" t="str">
        <f>IFERROR(__xludf.DUMMYFUNCTION("""COMPUTED_VALUE"""),"US_180 CENTRAL DE REGULACAO MEDICA SAMU METROPOLITANO RECIFE")</f>
        <v>US_180 CENTRAL DE REGULACAO MEDICA SAMU METROPOLITANO RECIFE</v>
      </c>
      <c r="H1705" s="11"/>
      <c r="I1705" s="11"/>
      <c r="J1705" s="11"/>
      <c r="K1705" s="11"/>
      <c r="L1705" s="11"/>
      <c r="M1705" s="11"/>
      <c r="N1705" s="11"/>
      <c r="O1705" s="11">
        <f>IFERROR(__xludf.DUMMYFUNCTION("""COMPUTED_VALUE"""),8255309462)</f>
        <v>8255309462</v>
      </c>
      <c r="P1705" s="11"/>
      <c r="Q1705" s="11"/>
      <c r="R1705" s="11"/>
      <c r="S1705" s="11"/>
      <c r="T1705" s="11"/>
      <c r="U1705" s="11"/>
      <c r="V1705" s="11"/>
      <c r="W1705" s="11"/>
      <c r="X1705" s="11"/>
      <c r="Y1705" s="11"/>
      <c r="Z1705" s="11"/>
    </row>
    <row r="1706" customHeight="1" spans="1:26">
      <c r="A1706" s="11" t="str">
        <f>IFERROR(__xludf.DUMMYFUNCTION("""COMPUTED_VALUE"""),"DANUSIA RODRIGUES DA SILVA")</f>
        <v>DANUSIA RODRIGUES DA SILVA</v>
      </c>
      <c r="B1706" s="11"/>
      <c r="C1706" s="11"/>
      <c r="D1706" s="11" t="str">
        <f>IFERROR(__xludf.DUMMYFUNCTION("""COMPUTED_VALUE"""),"ENFERMEIRO 30H URGENCIA E EMERGENCIA SAMU - PLANTONISTA")</f>
        <v>ENFERMEIRO 30H URGENCIA E EMERGENCIA SAMU - PLANTONISTA</v>
      </c>
      <c r="E1706" s="11"/>
      <c r="F1706" s="11" t="str">
        <f>IFERROR(__xludf.DUMMYFUNCTION("""COMPUTED_VALUE"""),"US_180 CENTRAL DE REGULACAO MEDICA SAMU METROPOLITANO RECIFE")</f>
        <v>US_180 CENTRAL DE REGULACAO MEDICA SAMU METROPOLITANO RECIFE</v>
      </c>
      <c r="G1706" s="11" t="str">
        <f>IFERROR(__xludf.DUMMYFUNCTION("""COMPUTED_VALUE"""),"US_180 CENTRAL DE REGULACAO MEDICA SAMU METROPOLITANO RECIFE")</f>
        <v>US_180 CENTRAL DE REGULACAO MEDICA SAMU METROPOLITANO RECIFE</v>
      </c>
      <c r="H1706" s="11"/>
      <c r="I1706" s="11"/>
      <c r="J1706" s="11"/>
      <c r="K1706" s="11"/>
      <c r="L1706" s="11"/>
      <c r="M1706" s="11"/>
      <c r="N1706" s="11"/>
      <c r="O1706" s="11">
        <f>IFERROR(__xludf.DUMMYFUNCTION("""COMPUTED_VALUE"""),1048492311)</f>
        <v>1048492311</v>
      </c>
      <c r="P1706" s="11"/>
      <c r="Q1706" s="11"/>
      <c r="R1706" s="11"/>
      <c r="S1706" s="11"/>
      <c r="T1706" s="11"/>
      <c r="U1706" s="11"/>
      <c r="V1706" s="11"/>
      <c r="W1706" s="11"/>
      <c r="X1706" s="11"/>
      <c r="Y1706" s="11"/>
      <c r="Z1706" s="11"/>
    </row>
    <row r="1707" customHeight="1" spans="1:26">
      <c r="A1707" s="11" t="str">
        <f>IFERROR(__xludf.DUMMYFUNCTION("""COMPUTED_VALUE"""),"FELIPE CARVALHO FARIAS")</f>
        <v>FELIPE CARVALHO FARIAS</v>
      </c>
      <c r="B1707" s="11"/>
      <c r="C1707" s="11"/>
      <c r="D1707" s="11" t="str">
        <f>IFERROR(__xludf.DUMMYFUNCTION("""COMPUTED_VALUE"""),"ENFERMEIRO 30H URGENCIA E EMERGENCIA SAMU - PLANTONISTA")</f>
        <v>ENFERMEIRO 30H URGENCIA E EMERGENCIA SAMU - PLANTONISTA</v>
      </c>
      <c r="E1707" s="11"/>
      <c r="F1707" s="11" t="str">
        <f>IFERROR(__xludf.DUMMYFUNCTION("""COMPUTED_VALUE"""),"US_180 CENTRAL DE REGULACAO MEDICA SAMU METROPOLITANO RECIFE")</f>
        <v>US_180 CENTRAL DE REGULACAO MEDICA SAMU METROPOLITANO RECIFE</v>
      </c>
      <c r="G1707" s="11" t="str">
        <f>IFERROR(__xludf.DUMMYFUNCTION("""COMPUTED_VALUE"""),"US_180 CENTRAL DE REGULACAO MEDICA SAMU METROPOLITANO RECIFE")</f>
        <v>US_180 CENTRAL DE REGULACAO MEDICA SAMU METROPOLITANO RECIFE</v>
      </c>
      <c r="H1707" s="11"/>
      <c r="I1707" s="11"/>
      <c r="J1707" s="11"/>
      <c r="K1707" s="11"/>
      <c r="L1707" s="11"/>
      <c r="M1707" s="11"/>
      <c r="N1707" s="11"/>
      <c r="O1707" s="11">
        <f>IFERROR(__xludf.DUMMYFUNCTION("""COMPUTED_VALUE"""),9201065442)</f>
        <v>9201065442</v>
      </c>
      <c r="P1707" s="11"/>
      <c r="Q1707" s="11"/>
      <c r="R1707" s="11"/>
      <c r="S1707" s="11"/>
      <c r="T1707" s="11"/>
      <c r="U1707" s="11"/>
      <c r="V1707" s="11"/>
      <c r="W1707" s="11"/>
      <c r="X1707" s="11"/>
      <c r="Y1707" s="11"/>
      <c r="Z1707" s="11"/>
    </row>
    <row r="1708" customHeight="1" spans="1:26">
      <c r="A1708" s="11" t="str">
        <f>IFERROR(__xludf.DUMMYFUNCTION("""COMPUTED_VALUE"""),"TAMIRES DE CASSIA PONTES")</f>
        <v>TAMIRES DE CASSIA PONTES</v>
      </c>
      <c r="B1708" s="11"/>
      <c r="C1708" s="11"/>
      <c r="D1708" s="11" t="str">
        <f>IFERROR(__xludf.DUMMYFUNCTION("""COMPUTED_VALUE"""),"ENFERMEIRO 30H URGENCIA E EMERGENCIA SAMU - PLANTONISTA")</f>
        <v>ENFERMEIRO 30H URGENCIA E EMERGENCIA SAMU - PLANTONISTA</v>
      </c>
      <c r="E1708" s="11"/>
      <c r="F1708" s="11" t="str">
        <f>IFERROR(__xludf.DUMMYFUNCTION("""COMPUTED_VALUE"""),"US_180 CENTRAL DE REGULACAO MEDICA SAMU METROPOLITANO RECIFE")</f>
        <v>US_180 CENTRAL DE REGULACAO MEDICA SAMU METROPOLITANO RECIFE</v>
      </c>
      <c r="G1708" s="11" t="str">
        <f>IFERROR(__xludf.DUMMYFUNCTION("""COMPUTED_VALUE"""),"US_180 CENTRAL DE REGULACAO MEDICA SAMU METROPOLITANO RECIFE")</f>
        <v>US_180 CENTRAL DE REGULACAO MEDICA SAMU METROPOLITANO RECIFE</v>
      </c>
      <c r="H1708" s="11"/>
      <c r="I1708" s="11"/>
      <c r="J1708" s="11"/>
      <c r="K1708" s="11"/>
      <c r="L1708" s="11"/>
      <c r="M1708" s="11"/>
      <c r="N1708" s="11"/>
      <c r="O1708" s="11">
        <f>IFERROR(__xludf.DUMMYFUNCTION("""COMPUTED_VALUE"""),8340786431)</f>
        <v>8340786431</v>
      </c>
      <c r="P1708" s="11"/>
      <c r="Q1708" s="11"/>
      <c r="R1708" s="11"/>
      <c r="S1708" s="11"/>
      <c r="T1708" s="11"/>
      <c r="U1708" s="11"/>
      <c r="V1708" s="11"/>
      <c r="W1708" s="11"/>
      <c r="X1708" s="11"/>
      <c r="Y1708" s="11"/>
      <c r="Z1708" s="11"/>
    </row>
    <row r="1709" customHeight="1" spans="1:26">
      <c r="A1709" s="11" t="str">
        <f>IFERROR(__xludf.DUMMYFUNCTION("""COMPUTED_VALUE"""),"ROBERTA FRANCHI DE SOUZA")</f>
        <v>ROBERTA FRANCHI DE SOUZA</v>
      </c>
      <c r="B1709" s="11"/>
      <c r="C1709" s="11"/>
      <c r="D1709" s="11" t="str">
        <f>IFERROR(__xludf.DUMMYFUNCTION("""COMPUTED_VALUE"""),"ENFERMEIRO 30H URGENCIA E EMERGENCIA SAMU - PLANTONISTA")</f>
        <v>ENFERMEIRO 30H URGENCIA E EMERGENCIA SAMU - PLANTONISTA</v>
      </c>
      <c r="E1709" s="11"/>
      <c r="F1709" s="11" t="str">
        <f>IFERROR(__xludf.DUMMYFUNCTION("""COMPUTED_VALUE"""),"US_180 CENTRAL DE REGULACAO MEDICA SAMU METROPOLITANO RECIFE")</f>
        <v>US_180 CENTRAL DE REGULACAO MEDICA SAMU METROPOLITANO RECIFE</v>
      </c>
      <c r="G1709" s="11" t="str">
        <f>IFERROR(__xludf.DUMMYFUNCTION("""COMPUTED_VALUE"""),"US_180 CENTRAL DE REGULACAO MEDICA SAMU METROPOLITANO RECIFE")</f>
        <v>US_180 CENTRAL DE REGULACAO MEDICA SAMU METROPOLITANO RECIFE</v>
      </c>
      <c r="H1709" s="11"/>
      <c r="I1709" s="11"/>
      <c r="J1709" s="11"/>
      <c r="K1709" s="11"/>
      <c r="L1709" s="11"/>
      <c r="M1709" s="11"/>
      <c r="N1709" s="11"/>
      <c r="O1709" s="11">
        <f>IFERROR(__xludf.DUMMYFUNCTION("""COMPUTED_VALUE"""),5187123467)</f>
        <v>5187123467</v>
      </c>
      <c r="P1709" s="11"/>
      <c r="Q1709" s="11"/>
      <c r="R1709" s="11"/>
      <c r="S1709" s="11"/>
      <c r="T1709" s="11"/>
      <c r="U1709" s="11"/>
      <c r="V1709" s="11"/>
      <c r="W1709" s="11"/>
      <c r="X1709" s="11"/>
      <c r="Y1709" s="11"/>
      <c r="Z1709" s="11"/>
    </row>
    <row r="1710" customHeight="1" spans="1:26">
      <c r="A1710" s="11" t="str">
        <f>IFERROR(__xludf.DUMMYFUNCTION("""COMPUTED_VALUE"""),"ELIGLEIDSON JOSE V DE OLIVEIRA")</f>
        <v>ELIGLEIDSON JOSE V DE OLIVEIRA</v>
      </c>
      <c r="B1710" s="11"/>
      <c r="C1710" s="11"/>
      <c r="D1710" s="11" t="str">
        <f>IFERROR(__xludf.DUMMYFUNCTION("""COMPUTED_VALUE"""),"ENFERMEIRO 30H URGENCIA E EMERGENCIA SAMU - PLANTONISTA")</f>
        <v>ENFERMEIRO 30H URGENCIA E EMERGENCIA SAMU - PLANTONISTA</v>
      </c>
      <c r="E1710" s="11"/>
      <c r="F1710" s="11" t="str">
        <f>IFERROR(__xludf.DUMMYFUNCTION("""COMPUTED_VALUE"""),"US_180 CENTRAL DE REGULACAO MEDICA SAMU METROPOLITANO RECIFE")</f>
        <v>US_180 CENTRAL DE REGULACAO MEDICA SAMU METROPOLITANO RECIFE</v>
      </c>
      <c r="G1710" s="11" t="str">
        <f>IFERROR(__xludf.DUMMYFUNCTION("""COMPUTED_VALUE"""),"US_180 CENTRAL DE REGULACAO MEDICA SAMU METROPOLITANO RECIFE")</f>
        <v>US_180 CENTRAL DE REGULACAO MEDICA SAMU METROPOLITANO RECIFE</v>
      </c>
      <c r="H1710" s="11"/>
      <c r="I1710" s="11"/>
      <c r="J1710" s="11"/>
      <c r="K1710" s="11"/>
      <c r="L1710" s="11"/>
      <c r="M1710" s="11"/>
      <c r="N1710" s="11"/>
      <c r="O1710" s="11">
        <f>IFERROR(__xludf.DUMMYFUNCTION("""COMPUTED_VALUE"""),1164890492)</f>
        <v>1164890492</v>
      </c>
      <c r="P1710" s="11"/>
      <c r="Q1710" s="11"/>
      <c r="R1710" s="11"/>
      <c r="S1710" s="11"/>
      <c r="T1710" s="11"/>
      <c r="U1710" s="11"/>
      <c r="V1710" s="11"/>
      <c r="W1710" s="11"/>
      <c r="X1710" s="11"/>
      <c r="Y1710" s="11"/>
      <c r="Z1710" s="11"/>
    </row>
    <row r="1711" customHeight="1" spans="1:26">
      <c r="A1711" s="11" t="str">
        <f>IFERROR(__xludf.DUMMYFUNCTION("""COMPUTED_VALUE"""),"JAQUELINE CORREIA S CARDOSO")</f>
        <v>JAQUELINE CORREIA S CARDOSO</v>
      </c>
      <c r="B1711" s="11"/>
      <c r="C1711" s="11"/>
      <c r="D1711" s="11" t="str">
        <f>IFERROR(__xludf.DUMMYFUNCTION("""COMPUTED_VALUE"""),"ENFERMEIRO 30H - PLANTONISTA")</f>
        <v>ENFERMEIRO 30H - PLANTONISTA</v>
      </c>
      <c r="E1711" s="11"/>
      <c r="F1711" s="11" t="str">
        <f>IFERROR(__xludf.DUMMYFUNCTION("""COMPUTED_VALUE"""),"US_180 CENTRAL DE REGULACAO MEDICA SAMU METROPOLITANO RECIFE")</f>
        <v>US_180 CENTRAL DE REGULACAO MEDICA SAMU METROPOLITANO RECIFE</v>
      </c>
      <c r="G1711" s="11" t="str">
        <f>IFERROR(__xludf.DUMMYFUNCTION("""COMPUTED_VALUE"""),"US_180 CENTRAL DE REGULACAO MEDICA SAMU METROPOLITANO RECIFE")</f>
        <v>US_180 CENTRAL DE REGULACAO MEDICA SAMU METROPOLITANO RECIFE</v>
      </c>
      <c r="H1711" s="11"/>
      <c r="I1711" s="11"/>
      <c r="J1711" s="11"/>
      <c r="K1711" s="11"/>
      <c r="L1711" s="11"/>
      <c r="M1711" s="11"/>
      <c r="N1711" s="11"/>
      <c r="O1711" s="11">
        <f>IFERROR(__xludf.DUMMYFUNCTION("""COMPUTED_VALUE"""),6662681423)</f>
        <v>6662681423</v>
      </c>
      <c r="P1711" s="11"/>
      <c r="Q1711" s="11"/>
      <c r="R1711" s="11"/>
      <c r="S1711" s="11"/>
      <c r="T1711" s="11"/>
      <c r="U1711" s="11"/>
      <c r="V1711" s="11"/>
      <c r="W1711" s="11"/>
      <c r="X1711" s="11"/>
      <c r="Y1711" s="11"/>
      <c r="Z1711" s="11"/>
    </row>
    <row r="1712" customHeight="1" spans="1:26">
      <c r="A1712" s="11" t="str">
        <f>IFERROR(__xludf.DUMMYFUNCTION("""COMPUTED_VALUE"""),"JOEDSON FELIPE DA SILVA")</f>
        <v>JOEDSON FELIPE DA SILVA</v>
      </c>
      <c r="B1712" s="11"/>
      <c r="C1712" s="11"/>
      <c r="D1712" s="11" t="str">
        <f>IFERROR(__xludf.DUMMYFUNCTION("""COMPUTED_VALUE"""),"ENFERMEIRO 30H URGENCIA E EMERGENCIA SAMU - PLANTONISTA")</f>
        <v>ENFERMEIRO 30H URGENCIA E EMERGENCIA SAMU - PLANTONISTA</v>
      </c>
      <c r="E1712" s="11"/>
      <c r="F1712" s="11" t="str">
        <f>IFERROR(__xludf.DUMMYFUNCTION("""COMPUTED_VALUE"""),"US_167 POLICLINICA E MATERNIDADE PROFESSOR BARROS LIMA")</f>
        <v>US_167 POLICLINICA E MATERNIDADE PROFESSOR BARROS LIMA</v>
      </c>
      <c r="G1712" s="11" t="str">
        <f>IFERROR(__xludf.DUMMYFUNCTION("""COMPUTED_VALUE"""),"US_167 POLICLINICA E MATERNIDADE PROFESSOR BARROS LIMA")</f>
        <v>US_167 POLICLINICA E MATERNIDADE PROFESSOR BARROS LIMA</v>
      </c>
      <c r="H1712" s="11"/>
      <c r="I1712" s="11"/>
      <c r="J1712" s="11"/>
      <c r="K1712" s="11"/>
      <c r="L1712" s="11"/>
      <c r="M1712" s="11"/>
      <c r="N1712" s="11"/>
      <c r="O1712" s="11">
        <f>IFERROR(__xludf.DUMMYFUNCTION("""COMPUTED_VALUE"""),8862520409)</f>
        <v>8862520409</v>
      </c>
      <c r="P1712" s="11"/>
      <c r="Q1712" s="11"/>
      <c r="R1712" s="11"/>
      <c r="S1712" s="11"/>
      <c r="T1712" s="11"/>
      <c r="U1712" s="11"/>
      <c r="V1712" s="11"/>
      <c r="W1712" s="11"/>
      <c r="X1712" s="11"/>
      <c r="Y1712" s="11"/>
      <c r="Z1712" s="11"/>
    </row>
    <row r="1713" customHeight="1" spans="1:26">
      <c r="A1713" s="11" t="str">
        <f>IFERROR(__xludf.DUMMYFUNCTION("""COMPUTED_VALUE"""),"ARAN ROLIM MENDES DE ALMEIDA")</f>
        <v>ARAN ROLIM MENDES DE ALMEIDA</v>
      </c>
      <c r="B1713" s="11"/>
      <c r="C1713" s="11"/>
      <c r="D1713" s="11" t="str">
        <f>IFERROR(__xludf.DUMMYFUNCTION("""COMPUTED_VALUE"""),"ENFERMEIRO 30H URGENCIA E EMERGENCIA SAMU - PLANTONISTA")</f>
        <v>ENFERMEIRO 30H URGENCIA E EMERGENCIA SAMU - PLANTONISTA</v>
      </c>
      <c r="E1713" s="11"/>
      <c r="F1713" s="11" t="str">
        <f>IFERROR(__xludf.DUMMYFUNCTION("""COMPUTED_VALUE"""),"")</f>
        <v/>
      </c>
      <c r="G1713" s="11" t="str">
        <f>IFERROR(__xludf.DUMMYFUNCTION("""COMPUTED_VALUE"""),"")</f>
        <v/>
      </c>
      <c r="H1713" s="11"/>
      <c r="I1713" s="11"/>
      <c r="J1713" s="11"/>
      <c r="K1713" s="11"/>
      <c r="L1713" s="11"/>
      <c r="M1713" s="11"/>
      <c r="N1713" s="11"/>
      <c r="O1713" s="11"/>
      <c r="P1713" s="11"/>
      <c r="Q1713" s="11"/>
      <c r="R1713" s="11"/>
      <c r="S1713" s="11"/>
      <c r="T1713" s="11"/>
      <c r="U1713" s="11"/>
      <c r="V1713" s="11"/>
      <c r="W1713" s="11"/>
      <c r="X1713" s="11"/>
      <c r="Y1713" s="11"/>
      <c r="Z1713" s="11"/>
    </row>
    <row r="1714" customHeight="1" spans="1:26">
      <c r="A1714" s="11" t="str">
        <f>IFERROR(__xludf.DUMMYFUNCTION("""COMPUTED_VALUE"""),"TACIANA MIRELLA B DOS SANTOS")</f>
        <v>TACIANA MIRELLA B DOS SANTOS</v>
      </c>
      <c r="B1714" s="11"/>
      <c r="C1714" s="11"/>
      <c r="D1714" s="11" t="str">
        <f>IFERROR(__xludf.DUMMYFUNCTION("""COMPUTED_VALUE"""),"ENFERMEIRO 30H")</f>
        <v>ENFERMEIRO 30H</v>
      </c>
      <c r="E1714" s="11"/>
      <c r="F1714" s="11" t="str">
        <f>IFERROR(__xludf.DUMMYFUNCTION("""COMPUTED_VALUE"""),"US_275 CEREST RECIFE")</f>
        <v>US_275 CEREST RECIFE</v>
      </c>
      <c r="G1714" s="11" t="str">
        <f>IFERROR(__xludf.DUMMYFUNCTION("""COMPUTED_VALUE"""),"US_275 CEREST RECIFE")</f>
        <v>US_275 CEREST RECIFE</v>
      </c>
      <c r="H1714" s="11"/>
      <c r="I1714" s="11"/>
      <c r="J1714" s="11"/>
      <c r="K1714" s="11"/>
      <c r="L1714" s="11"/>
      <c r="M1714" s="11"/>
      <c r="N1714" s="11"/>
      <c r="O1714" s="11">
        <f>IFERROR(__xludf.DUMMYFUNCTION("""COMPUTED_VALUE"""),3383373428)</f>
        <v>3383373428</v>
      </c>
      <c r="P1714" s="11"/>
      <c r="Q1714" s="11"/>
      <c r="R1714" s="11"/>
      <c r="S1714" s="11"/>
      <c r="T1714" s="11"/>
      <c r="U1714" s="11"/>
      <c r="V1714" s="11"/>
      <c r="W1714" s="11"/>
      <c r="X1714" s="11"/>
      <c r="Y1714" s="11"/>
      <c r="Z1714" s="11"/>
    </row>
    <row r="1715" customHeight="1" spans="1:26">
      <c r="A1715" s="11" t="str">
        <f>IFERROR(__xludf.DUMMYFUNCTION("""COMPUTED_VALUE"""),"GILVAN G DOS SANTOS JUNIOR")</f>
        <v>GILVAN G DOS SANTOS JUNIOR</v>
      </c>
      <c r="B1715" s="11"/>
      <c r="C1715" s="11"/>
      <c r="D1715" s="11" t="str">
        <f>IFERROR(__xludf.DUMMYFUNCTION("""COMPUTED_VALUE"""),"ENFERMEIRO 30H")</f>
        <v>ENFERMEIRO 30H</v>
      </c>
      <c r="E1715" s="11"/>
      <c r="F1715" s="11" t="str">
        <f>IFERROR(__xludf.DUMMYFUNCTION("""COMPUTED_VALUE"""),"US_275 CEREST RECIFE")</f>
        <v>US_275 CEREST RECIFE</v>
      </c>
      <c r="G1715" s="11" t="str">
        <f>IFERROR(__xludf.DUMMYFUNCTION("""COMPUTED_VALUE"""),"US_275 CEREST RECIFE")</f>
        <v>US_275 CEREST RECIFE</v>
      </c>
      <c r="H1715" s="11"/>
      <c r="I1715" s="11"/>
      <c r="J1715" s="11"/>
      <c r="K1715" s="11"/>
      <c r="L1715" s="11"/>
      <c r="M1715" s="11"/>
      <c r="N1715" s="11"/>
      <c r="O1715" s="11">
        <f>IFERROR(__xludf.DUMMYFUNCTION("""COMPUTED_VALUE"""),2148476408)</f>
        <v>2148476408</v>
      </c>
      <c r="P1715" s="11"/>
      <c r="Q1715" s="11"/>
      <c r="R1715" s="11"/>
      <c r="S1715" s="11"/>
      <c r="T1715" s="11"/>
      <c r="U1715" s="11"/>
      <c r="V1715" s="11"/>
      <c r="W1715" s="11"/>
      <c r="X1715" s="11"/>
      <c r="Y1715" s="11"/>
      <c r="Z1715" s="11"/>
    </row>
    <row r="1716" customHeight="1" spans="1:26">
      <c r="A1716" s="11" t="str">
        <f>IFERROR(__xludf.DUMMYFUNCTION("""COMPUTED_VALUE"""),"ROSSANA PAULA HAIMENIS")</f>
        <v>ROSSANA PAULA HAIMENIS</v>
      </c>
      <c r="B1716" s="11"/>
      <c r="C1716" s="11"/>
      <c r="D1716" s="11" t="str">
        <f>IFERROR(__xludf.DUMMYFUNCTION("""COMPUTED_VALUE"""),"ENFERMEIRO 30H")</f>
        <v>ENFERMEIRO 30H</v>
      </c>
      <c r="E1716" s="11"/>
      <c r="F1716" s="11" t="str">
        <f>IFERROR(__xludf.DUMMYFUNCTION("""COMPUTED_VALUE"""),"SEGTES")</f>
        <v>SEGTES</v>
      </c>
      <c r="G1716" s="11" t="str">
        <f>IFERROR(__xludf.DUMMYFUNCTION("""COMPUTED_VALUE"""),"SEGTES")</f>
        <v>SEGTES</v>
      </c>
      <c r="H1716" s="11"/>
      <c r="I1716" s="11"/>
      <c r="J1716" s="11"/>
      <c r="K1716" s="11"/>
      <c r="L1716" s="11"/>
      <c r="M1716" s="11"/>
      <c r="N1716" s="11"/>
      <c r="O1716" s="11">
        <f>IFERROR(__xludf.DUMMYFUNCTION("""COMPUTED_VALUE"""),89680995453)</f>
        <v>89680995453</v>
      </c>
      <c r="P1716" s="11"/>
      <c r="Q1716" s="11"/>
      <c r="R1716" s="11"/>
      <c r="S1716" s="11"/>
      <c r="T1716" s="11"/>
      <c r="U1716" s="11"/>
      <c r="V1716" s="11"/>
      <c r="W1716" s="11"/>
      <c r="X1716" s="11"/>
      <c r="Y1716" s="11"/>
      <c r="Z1716" s="11"/>
    </row>
    <row r="1717" customHeight="1" spans="1:26">
      <c r="A1717" s="11" t="str">
        <f>IFERROR(__xludf.DUMMYFUNCTION("""COMPUTED_VALUE"""),"MAURICEA MARIA DE SANTANA")</f>
        <v>MAURICEA MARIA DE SANTANA</v>
      </c>
      <c r="B1717" s="11"/>
      <c r="C1717" s="11"/>
      <c r="D1717" s="11" t="str">
        <f>IFERROR(__xludf.DUMMYFUNCTION("""COMPUTED_VALUE"""),"ENFERMEIRO 40H")</f>
        <v>ENFERMEIRO 40H</v>
      </c>
      <c r="E1717" s="11"/>
      <c r="F1717" s="11" t="str">
        <f>IFERROR(__xludf.DUMMYFUNCTION("""COMPUTED_VALUE"""),"SEGTES")</f>
        <v>SEGTES</v>
      </c>
      <c r="G1717" s="11" t="str">
        <f>IFERROR(__xludf.DUMMYFUNCTION("""COMPUTED_VALUE"""),"SEGTES")</f>
        <v>SEGTES</v>
      </c>
      <c r="H1717" s="11"/>
      <c r="I1717" s="11"/>
      <c r="J1717" s="11"/>
      <c r="K1717" s="11"/>
      <c r="L1717" s="11"/>
      <c r="M1717" s="11"/>
      <c r="N1717" s="11"/>
      <c r="O1717" s="11">
        <f>IFERROR(__xludf.DUMMYFUNCTION("""COMPUTED_VALUE"""),45030685472)</f>
        <v>45030685472</v>
      </c>
      <c r="P1717" s="11"/>
      <c r="Q1717" s="11"/>
      <c r="R1717" s="11"/>
      <c r="S1717" s="11"/>
      <c r="T1717" s="11"/>
      <c r="U1717" s="11"/>
      <c r="V1717" s="11"/>
      <c r="W1717" s="11"/>
      <c r="X1717" s="11"/>
      <c r="Y1717" s="11"/>
      <c r="Z1717" s="11"/>
    </row>
    <row r="1718" customHeight="1" spans="1:26">
      <c r="A1718" s="11" t="str">
        <f>IFERROR(__xludf.DUMMYFUNCTION("""COMPUTED_VALUE"""),"KELLY C GOMES DE L VERISSIMO")</f>
        <v>KELLY C GOMES DE L VERISSIMO</v>
      </c>
      <c r="B1718" s="11"/>
      <c r="C1718" s="11"/>
      <c r="D1718" s="11" t="str">
        <f>IFERROR(__xludf.DUMMYFUNCTION("""COMPUTED_VALUE"""),"ENFERMEIRO 30H")</f>
        <v>ENFERMEIRO 30H</v>
      </c>
      <c r="E1718" s="11"/>
      <c r="F1718" s="11" t="str">
        <f>IFERROR(__xludf.DUMMYFUNCTION("""COMPUTED_VALUE"""),"SERMAC")</f>
        <v>SERMAC</v>
      </c>
      <c r="G1718" s="11" t="str">
        <f>IFERROR(__xludf.DUMMYFUNCTION("""COMPUTED_VALUE"""),"SERMAC")</f>
        <v>SERMAC</v>
      </c>
      <c r="H1718" s="11"/>
      <c r="I1718" s="11"/>
      <c r="J1718" s="11"/>
      <c r="K1718" s="11"/>
      <c r="L1718" s="11"/>
      <c r="M1718" s="11"/>
      <c r="N1718" s="11"/>
      <c r="O1718" s="11">
        <f>IFERROR(__xludf.DUMMYFUNCTION("""COMPUTED_VALUE"""),2986584454)</f>
        <v>2986584454</v>
      </c>
      <c r="P1718" s="11"/>
      <c r="Q1718" s="11"/>
      <c r="R1718" s="11"/>
      <c r="S1718" s="11"/>
      <c r="T1718" s="11"/>
      <c r="U1718" s="11"/>
      <c r="V1718" s="11"/>
      <c r="W1718" s="11"/>
      <c r="X1718" s="11"/>
      <c r="Y1718" s="11"/>
      <c r="Z1718" s="11"/>
    </row>
    <row r="1719" customHeight="1" spans="1:26">
      <c r="A1719" s="11" t="str">
        <f>IFERROR(__xludf.DUMMYFUNCTION("""COMPUTED_VALUE"""),"JULIANA DA SILVA N CARVALHO")</f>
        <v>JULIANA DA SILVA N CARVALHO</v>
      </c>
      <c r="B1719" s="11"/>
      <c r="C1719" s="11"/>
      <c r="D1719" s="11" t="str">
        <f>IFERROR(__xludf.DUMMYFUNCTION("""COMPUTED_VALUE"""),"ENFERMEIRO 30H")</f>
        <v>ENFERMEIRO 30H</v>
      </c>
      <c r="E1719" s="11"/>
      <c r="F1719" s="11" t="str">
        <f>IFERROR(__xludf.DUMMYFUNCTION("""COMPUTED_VALUE"""),"SEGTES")</f>
        <v>SEGTES</v>
      </c>
      <c r="G1719" s="11" t="str">
        <f>IFERROR(__xludf.DUMMYFUNCTION("""COMPUTED_VALUE"""),"SEGTES")</f>
        <v>SEGTES</v>
      </c>
      <c r="H1719" s="11"/>
      <c r="I1719" s="11"/>
      <c r="J1719" s="11"/>
      <c r="K1719" s="11"/>
      <c r="L1719" s="11"/>
      <c r="M1719" s="11"/>
      <c r="N1719" s="11"/>
      <c r="O1719" s="11">
        <f>IFERROR(__xludf.DUMMYFUNCTION("""COMPUTED_VALUE"""),3938074442)</f>
        <v>3938074442</v>
      </c>
      <c r="P1719" s="11"/>
      <c r="Q1719" s="11"/>
      <c r="R1719" s="11"/>
      <c r="S1719" s="11"/>
      <c r="T1719" s="11"/>
      <c r="U1719" s="11"/>
      <c r="V1719" s="11"/>
      <c r="W1719" s="11"/>
      <c r="X1719" s="11"/>
      <c r="Y1719" s="11"/>
      <c r="Z1719" s="11"/>
    </row>
    <row r="1720" customHeight="1" spans="1:26">
      <c r="A1720" s="11" t="str">
        <f>IFERROR(__xludf.DUMMYFUNCTION("""COMPUTED_VALUE"""),"ADRIANA CARLA DE LUNA RIBEIRO")</f>
        <v>ADRIANA CARLA DE LUNA RIBEIRO</v>
      </c>
      <c r="B1720" s="11"/>
      <c r="C1720" s="11"/>
      <c r="D1720" s="11" t="str">
        <f>IFERROR(__xludf.DUMMYFUNCTION("""COMPUTED_VALUE"""),"ENFERMEIRO 30H")</f>
        <v>ENFERMEIRO 30H</v>
      </c>
      <c r="E1720" s="11"/>
      <c r="F1720" s="11" t="str">
        <f>IFERROR(__xludf.DUMMYFUNCTION("""COMPUTED_VALUE"""),"SEVS")</f>
        <v>SEVS</v>
      </c>
      <c r="G1720" s="11" t="str">
        <f>IFERROR(__xludf.DUMMYFUNCTION("""COMPUTED_VALUE"""),"SEVS")</f>
        <v>SEVS</v>
      </c>
      <c r="H1720" s="11"/>
      <c r="I1720" s="11"/>
      <c r="J1720" s="11"/>
      <c r="K1720" s="11"/>
      <c r="L1720" s="11"/>
      <c r="M1720" s="11"/>
      <c r="N1720" s="11"/>
      <c r="O1720" s="11">
        <f>IFERROR(__xludf.DUMMYFUNCTION("""COMPUTED_VALUE"""),4029298451)</f>
        <v>4029298451</v>
      </c>
      <c r="P1720" s="11"/>
      <c r="Q1720" s="11"/>
      <c r="R1720" s="11"/>
      <c r="S1720" s="11"/>
      <c r="T1720" s="11"/>
      <c r="U1720" s="11"/>
      <c r="V1720" s="11"/>
      <c r="W1720" s="11"/>
      <c r="X1720" s="11"/>
      <c r="Y1720" s="11"/>
      <c r="Z1720" s="11"/>
    </row>
    <row r="1721" customHeight="1" spans="1:26">
      <c r="A1721" s="11" t="str">
        <f>IFERROR(__xludf.DUMMYFUNCTION("""COMPUTED_VALUE"""),"JULIANA FERREIRA ROZAL")</f>
        <v>JULIANA FERREIRA ROZAL</v>
      </c>
      <c r="B1721" s="11"/>
      <c r="C1721" s="11"/>
      <c r="D1721" s="11" t="str">
        <f>IFERROR(__xludf.DUMMYFUNCTION("""COMPUTED_VALUE"""),"ENFERMEIRO 30H")</f>
        <v>ENFERMEIRO 30H</v>
      </c>
      <c r="E1721" s="11"/>
      <c r="F1721" s="11" t="str">
        <f>IFERROR(__xludf.DUMMYFUNCTION("""COMPUTED_VALUE"""),"SEGTES")</f>
        <v>SEGTES</v>
      </c>
      <c r="G1721" s="11" t="str">
        <f>IFERROR(__xludf.DUMMYFUNCTION("""COMPUTED_VALUE"""),"SEGTES")</f>
        <v>SEGTES</v>
      </c>
      <c r="H1721" s="11"/>
      <c r="I1721" s="11"/>
      <c r="J1721" s="11"/>
      <c r="K1721" s="11"/>
      <c r="L1721" s="11"/>
      <c r="M1721" s="11"/>
      <c r="N1721" s="11"/>
      <c r="O1721" s="11">
        <f>IFERROR(__xludf.DUMMYFUNCTION("""COMPUTED_VALUE"""),5264408483)</f>
        <v>5264408483</v>
      </c>
      <c r="P1721" s="11"/>
      <c r="Q1721" s="11"/>
      <c r="R1721" s="11"/>
      <c r="S1721" s="11"/>
      <c r="T1721" s="11"/>
      <c r="U1721" s="11"/>
      <c r="V1721" s="11"/>
      <c r="W1721" s="11"/>
      <c r="X1721" s="11"/>
      <c r="Y1721" s="11"/>
      <c r="Z1721" s="11"/>
    </row>
    <row r="1722" customHeight="1" spans="1:26">
      <c r="A1722" s="11" t="str">
        <f>IFERROR(__xludf.DUMMYFUNCTION("""COMPUTED_VALUE"""),"VALDEREZ RIBEIRO DE ANDRADE")</f>
        <v>VALDEREZ RIBEIRO DE ANDRADE</v>
      </c>
      <c r="B1722" s="11"/>
      <c r="C1722" s="11"/>
      <c r="D1722" s="11" t="str">
        <f>IFERROR(__xludf.DUMMYFUNCTION("""COMPUTED_VALUE"""),"SERV OUT ORGAOS - REG PROPRIO")</f>
        <v>SERV OUT ORGAOS - REG PROPRIO</v>
      </c>
      <c r="E1722" s="11"/>
      <c r="F1722" s="11" t="str">
        <f>IFERROR(__xludf.DUMMYFUNCTION("""COMPUTED_VALUE"""),"SEGTES")</f>
        <v>SEGTES</v>
      </c>
      <c r="G1722" s="11" t="str">
        <f>IFERROR(__xludf.DUMMYFUNCTION("""COMPUTED_VALUE"""),"SEGTES")</f>
        <v>SEGTES</v>
      </c>
      <c r="H1722" s="11"/>
      <c r="I1722" s="11"/>
      <c r="J1722" s="11"/>
      <c r="K1722" s="11"/>
      <c r="L1722" s="11"/>
      <c r="M1722" s="11"/>
      <c r="N1722" s="11"/>
      <c r="O1722" s="11">
        <f>IFERROR(__xludf.DUMMYFUNCTION("""COMPUTED_VALUE"""),32998872468)</f>
        <v>32998872468</v>
      </c>
      <c r="P1722" s="11"/>
      <c r="Q1722" s="11"/>
      <c r="R1722" s="11"/>
      <c r="S1722" s="11"/>
      <c r="T1722" s="11"/>
      <c r="U1722" s="11"/>
      <c r="V1722" s="11"/>
      <c r="W1722" s="11"/>
      <c r="X1722" s="11"/>
      <c r="Y1722" s="11"/>
      <c r="Z1722" s="11"/>
    </row>
    <row r="1723" customHeight="1" spans="1:26">
      <c r="A1723" s="11" t="str">
        <f>IFERROR(__xludf.DUMMYFUNCTION("""COMPUTED_VALUE"""),"JULIANA FERREIRA ROZAL")</f>
        <v>JULIANA FERREIRA ROZAL</v>
      </c>
      <c r="B1723" s="11"/>
      <c r="C1723" s="11"/>
      <c r="D1723" s="11" t="str">
        <f>IFERROR(__xludf.DUMMYFUNCTION("""COMPUTED_VALUE"""),"SERV OUT ORGAOS - REG PROPRIO")</f>
        <v>SERV OUT ORGAOS - REG PROPRIO</v>
      </c>
      <c r="E1723" s="11"/>
      <c r="F1723" s="11" t="str">
        <f>IFERROR(__xludf.DUMMYFUNCTION("""COMPUTED_VALUE"""),"SEGTES")</f>
        <v>SEGTES</v>
      </c>
      <c r="G1723" s="11" t="str">
        <f>IFERROR(__xludf.DUMMYFUNCTION("""COMPUTED_VALUE"""),"SEGTES")</f>
        <v>SEGTES</v>
      </c>
      <c r="H1723" s="11"/>
      <c r="I1723" s="11"/>
      <c r="J1723" s="11"/>
      <c r="K1723" s="11"/>
      <c r="L1723" s="11"/>
      <c r="M1723" s="11"/>
      <c r="N1723" s="11"/>
      <c r="O1723" s="11">
        <f>IFERROR(__xludf.DUMMYFUNCTION("""COMPUTED_VALUE"""),5264408483)</f>
        <v>5264408483</v>
      </c>
      <c r="P1723" s="11"/>
      <c r="Q1723" s="11"/>
      <c r="R1723" s="11"/>
      <c r="S1723" s="11"/>
      <c r="T1723" s="11"/>
      <c r="U1723" s="11"/>
      <c r="V1723" s="11"/>
      <c r="W1723" s="11"/>
      <c r="X1723" s="11"/>
      <c r="Y1723" s="11"/>
      <c r="Z1723" s="11"/>
    </row>
    <row r="1724" customHeight="1" spans="1:26">
      <c r="A1724" s="11" t="str">
        <f>IFERROR(__xludf.DUMMYFUNCTION("""COMPUTED_VALUE"""),"MARIA EDUARDA LIMA DE CARVALHO")</f>
        <v>MARIA EDUARDA LIMA DE CARVALHO</v>
      </c>
      <c r="B1724" s="11"/>
      <c r="C1724" s="11"/>
      <c r="D1724" s="11" t="str">
        <f>IFERROR(__xludf.DUMMYFUNCTION("""COMPUTED_VALUE"""),"ENFERMEIRO 30H - DIARISTA")</f>
        <v>ENFERMEIRO 30H - DIARISTA</v>
      </c>
      <c r="E1724" s="11"/>
      <c r="F1724" s="11" t="str">
        <f>IFERROR(__xludf.DUMMYFUNCTION("""COMPUTED_VALUE"""),"US_165 MATERNIDADE BANDEIRA FILHO")</f>
        <v>US_165 MATERNIDADE BANDEIRA FILHO</v>
      </c>
      <c r="G1724" s="11" t="str">
        <f>IFERROR(__xludf.DUMMYFUNCTION("""COMPUTED_VALUE"""),"US_165 MATERNIDADE BANDEIRA FILHO")</f>
        <v>US_165 MATERNIDADE BANDEIRA FILHO</v>
      </c>
      <c r="H1724" s="11"/>
      <c r="I1724" s="11"/>
      <c r="J1724" s="11"/>
      <c r="K1724" s="11"/>
      <c r="L1724" s="11"/>
      <c r="M1724" s="11"/>
      <c r="N1724" s="11"/>
      <c r="O1724" s="11">
        <f>IFERROR(__xludf.DUMMYFUNCTION("""COMPUTED_VALUE"""),7507421430)</f>
        <v>7507421430</v>
      </c>
      <c r="P1724" s="11"/>
      <c r="Q1724" s="11"/>
      <c r="R1724" s="11"/>
      <c r="S1724" s="11"/>
      <c r="T1724" s="11"/>
      <c r="U1724" s="11"/>
      <c r="V1724" s="11"/>
      <c r="W1724" s="11"/>
      <c r="X1724" s="11"/>
      <c r="Y1724" s="11"/>
      <c r="Z1724" s="11"/>
    </row>
    <row r="1725" customHeight="1" spans="1:26">
      <c r="A1725" s="11" t="str">
        <f>IFERROR(__xludf.DUMMYFUNCTION("""COMPUTED_VALUE"""),"ALANY BEZERRA DA ROCHA ALVES")</f>
        <v>ALANY BEZERRA DA ROCHA ALVES</v>
      </c>
      <c r="B1725" s="11"/>
      <c r="C1725" s="11"/>
      <c r="D1725" s="11" t="str">
        <f>IFERROR(__xludf.DUMMYFUNCTION("""COMPUTED_VALUE"""),"ENFERMEIRO 40H")</f>
        <v>ENFERMEIRO 40H</v>
      </c>
      <c r="E1725" s="11"/>
      <c r="F1725" s="11" t="str">
        <f>IFERROR(__xludf.DUMMYFUNCTION("""COMPUTED_VALUE"""),"SEPMAD")</f>
        <v>SEPMAD</v>
      </c>
      <c r="G1725" s="11" t="str">
        <f>IFERROR(__xludf.DUMMYFUNCTION("""COMPUTED_VALUE"""),"SEPMAD")</f>
        <v>SEPMAD</v>
      </c>
      <c r="H1725" s="27">
        <f>IFERROR(__xludf.DUMMYFUNCTION("""COMPUTED_VALUE"""),83996213483)</f>
        <v>83996213483</v>
      </c>
      <c r="I1725" s="11"/>
      <c r="J1725" s="11"/>
      <c r="K1725" s="33">
        <f>IFERROR(__xludf.DUMMYFUNCTION("""COMPUTED_VALUE"""),45218)</f>
        <v>45218</v>
      </c>
      <c r="L1725" s="11"/>
      <c r="M1725" s="11"/>
      <c r="N1725" s="11"/>
      <c r="O1725" s="11">
        <f>IFERROR(__xludf.DUMMYFUNCTION("""COMPUTED_VALUE"""),9693822439)</f>
        <v>9693822439</v>
      </c>
      <c r="P1725" s="11"/>
      <c r="Q1725" s="11"/>
      <c r="R1725" s="11"/>
      <c r="S1725" s="11"/>
      <c r="T1725" s="11"/>
      <c r="U1725" s="11"/>
      <c r="V1725" s="11"/>
      <c r="W1725" s="11"/>
      <c r="X1725" s="11"/>
      <c r="Y1725" s="11"/>
      <c r="Z1725" s="11"/>
    </row>
    <row r="1726" customHeight="1" spans="1:26">
      <c r="A1726" s="11" t="str">
        <f>IFERROR(__xludf.DUMMYFUNCTION("""COMPUTED_VALUE"""),"DANIELLA CALDAS CLEMENTINO")</f>
        <v>DANIELLA CALDAS CLEMENTINO</v>
      </c>
      <c r="B1726" s="11"/>
      <c r="C1726" s="11"/>
      <c r="D1726" s="11" t="str">
        <f>IFERROR(__xludf.DUMMYFUNCTION("""COMPUTED_VALUE"""),"ENFERMEIRO 40H")</f>
        <v>ENFERMEIRO 40H</v>
      </c>
      <c r="E1726" s="11"/>
      <c r="F1726" s="11" t="str">
        <f>IFERROR(__xludf.DUMMYFUNCTION("""COMPUTED_VALUE"""),"SEPMAD")</f>
        <v>SEPMAD</v>
      </c>
      <c r="G1726" s="11" t="str">
        <f>IFERROR(__xludf.DUMMYFUNCTION("""COMPUTED_VALUE"""),"SEPMAD")</f>
        <v>SEPMAD</v>
      </c>
      <c r="H1726" s="27">
        <f>IFERROR(__xludf.DUMMYFUNCTION("""COMPUTED_VALUE"""),81987008175)</f>
        <v>81987008175</v>
      </c>
      <c r="I1726" s="11"/>
      <c r="J1726" s="11"/>
      <c r="K1726" s="33">
        <f>IFERROR(__xludf.DUMMYFUNCTION("""COMPUTED_VALUE"""),45259)</f>
        <v>45259</v>
      </c>
      <c r="L1726" s="11"/>
      <c r="M1726" s="11"/>
      <c r="N1726" s="11"/>
      <c r="O1726" s="11">
        <f>IFERROR(__xludf.DUMMYFUNCTION("""COMPUTED_VALUE"""),8989688442)</f>
        <v>8989688442</v>
      </c>
      <c r="P1726" s="11"/>
      <c r="Q1726" s="11"/>
      <c r="R1726" s="11"/>
      <c r="S1726" s="11"/>
      <c r="T1726" s="11"/>
      <c r="U1726" s="11"/>
      <c r="V1726" s="11"/>
      <c r="W1726" s="11"/>
      <c r="X1726" s="11"/>
      <c r="Y1726" s="11"/>
      <c r="Z1726" s="11"/>
    </row>
    <row r="1727" customHeight="1" spans="1:26">
      <c r="A1727" s="11" t="str">
        <f>IFERROR(__xludf.DUMMYFUNCTION("""COMPUTED_VALUE"""),"EMILLY ANNE CARDOSO MORENO DE LIMA")</f>
        <v>EMILLY ANNE CARDOSO MORENO DE LIMA</v>
      </c>
      <c r="B1727" s="11"/>
      <c r="C1727" s="11"/>
      <c r="D1727" s="11" t="str">
        <f>IFERROR(__xludf.DUMMYFUNCTION("""COMPUTED_VALUE"""),"ENFERMEIRO 40H")</f>
        <v>ENFERMEIRO 40H</v>
      </c>
      <c r="E1727" s="11"/>
      <c r="F1727" s="11" t="str">
        <f>IFERROR(__xludf.DUMMYFUNCTION("""COMPUTED_VALUE"""),"")</f>
        <v/>
      </c>
      <c r="G1727" s="11" t="str">
        <f>IFERROR(__xludf.DUMMYFUNCTION("""COMPUTED_VALUE"""),"")</f>
        <v/>
      </c>
      <c r="H1727" s="11"/>
      <c r="I1727" s="11"/>
      <c r="J1727" s="11"/>
      <c r="K1727" s="11"/>
      <c r="L1727" s="11"/>
      <c r="M1727" s="11"/>
      <c r="N1727" s="11"/>
      <c r="O1727" s="11"/>
      <c r="P1727" s="11"/>
      <c r="Q1727" s="11"/>
      <c r="R1727" s="11"/>
      <c r="S1727" s="11"/>
      <c r="T1727" s="11"/>
      <c r="U1727" s="11"/>
      <c r="V1727" s="11"/>
      <c r="W1727" s="11"/>
      <c r="X1727" s="11"/>
      <c r="Y1727" s="11"/>
      <c r="Z1727" s="11"/>
    </row>
    <row r="1728" customHeight="1" spans="1:26">
      <c r="A1728" s="11" t="str">
        <f>IFERROR(__xludf.DUMMYFUNCTION("""COMPUTED_VALUE"""),"FATIMA ROSANE B DE JESUS")</f>
        <v>FATIMA ROSANE B DE JESUS</v>
      </c>
      <c r="B1728" s="11"/>
      <c r="C1728" s="11"/>
      <c r="D1728" s="11" t="str">
        <f>IFERROR(__xludf.DUMMYFUNCTION("""COMPUTED_VALUE"""),"ENFERMEIRO 30H")</f>
        <v>ENFERMEIRO 30H</v>
      </c>
      <c r="E1728" s="11"/>
      <c r="F1728" s="11" t="str">
        <f>IFERROR(__xludf.DUMMYFUNCTION("""COMPUTED_VALUE"""),"US_113 CS DR ARISTARCO AZEVEDO")</f>
        <v>US_113 CS DR ARISTARCO AZEVEDO</v>
      </c>
      <c r="G1728" s="11" t="str">
        <f>IFERROR(__xludf.DUMMYFUNCTION("""COMPUTED_VALUE"""),"US_113 CS DR ARISTARCO AZEVEDO")</f>
        <v>US_113 CS DR ARISTARCO AZEVEDO</v>
      </c>
      <c r="H1728" s="11"/>
      <c r="I1728" s="11"/>
      <c r="J1728" s="11"/>
      <c r="K1728" s="11"/>
      <c r="L1728" s="11"/>
      <c r="M1728" s="11"/>
      <c r="N1728" s="11"/>
      <c r="O1728" s="11">
        <f>IFERROR(__xludf.DUMMYFUNCTION("""COMPUTED_VALUE"""),47706139034)</f>
        <v>47706139034</v>
      </c>
      <c r="P1728" s="11"/>
      <c r="Q1728" s="11"/>
      <c r="R1728" s="11"/>
      <c r="S1728" s="11"/>
      <c r="T1728" s="11"/>
      <c r="U1728" s="11"/>
      <c r="V1728" s="11"/>
      <c r="W1728" s="11"/>
      <c r="X1728" s="11"/>
      <c r="Y1728" s="11"/>
      <c r="Z1728" s="11"/>
    </row>
    <row r="1729" customHeight="1" spans="1:26">
      <c r="A1729" s="11" t="str">
        <f>IFERROR(__xludf.DUMMYFUNCTION("""COMPUTED_VALUE"""),"MARIA CLARA G DE ANDRADE")</f>
        <v>MARIA CLARA G DE ANDRADE</v>
      </c>
      <c r="B1729" s="11"/>
      <c r="C1729" s="11"/>
      <c r="D1729" s="11" t="str">
        <f>IFERROR(__xludf.DUMMYFUNCTION("""COMPUTED_VALUE"""),"ENFERMEIRO 30H")</f>
        <v>ENFERMEIRO 30H</v>
      </c>
      <c r="E1729" s="11"/>
      <c r="F1729" s="11" t="str">
        <f>IFERROR(__xludf.DUMMYFUNCTION("""COMPUTED_VALUE"""),"US_104 CS SEBASTIAO IVO RABELO")</f>
        <v>US_104 CS SEBASTIAO IVO RABELO</v>
      </c>
      <c r="G1729" s="11" t="str">
        <f>IFERROR(__xludf.DUMMYFUNCTION("""COMPUTED_VALUE"""),"US_104 CS SEBASTIAO IVO RABELO")</f>
        <v>US_104 CS SEBASTIAO IVO RABELO</v>
      </c>
      <c r="H1729" s="11"/>
      <c r="I1729" s="11"/>
      <c r="J1729" s="11"/>
      <c r="K1729" s="11"/>
      <c r="L1729" s="11"/>
      <c r="M1729" s="11"/>
      <c r="N1729" s="11"/>
      <c r="O1729" s="11">
        <f>IFERROR(__xludf.DUMMYFUNCTION("""COMPUTED_VALUE"""),32685874453)</f>
        <v>32685874453</v>
      </c>
      <c r="P1729" s="11"/>
      <c r="Q1729" s="11"/>
      <c r="R1729" s="11"/>
      <c r="S1729" s="11"/>
      <c r="T1729" s="11"/>
      <c r="U1729" s="11"/>
      <c r="V1729" s="11"/>
      <c r="W1729" s="11"/>
      <c r="X1729" s="11"/>
      <c r="Y1729" s="11"/>
      <c r="Z1729" s="11"/>
    </row>
    <row r="1730" customHeight="1" spans="1:26">
      <c r="A1730" s="11" t="str">
        <f>IFERROR(__xludf.DUMMYFUNCTION("""COMPUTED_VALUE"""),"ANDREIA DE C T DE ALBUQUERQUE")</f>
        <v>ANDREIA DE C T DE ALBUQUERQUE</v>
      </c>
      <c r="B1730" s="11"/>
      <c r="C1730" s="11"/>
      <c r="D1730" s="11" t="str">
        <f>IFERROR(__xludf.DUMMYFUNCTION("""COMPUTED_VALUE"""),"ENFERMEIRO 30H")</f>
        <v>ENFERMEIRO 30H</v>
      </c>
      <c r="E1730" s="11"/>
      <c r="F1730" s="11" t="str">
        <f>IFERROR(__xludf.DUMMYFUNCTION("""COMPUTED_VALUE"""),"US_117 CS GASPAR REGUEIRA COSTA")</f>
        <v>US_117 CS GASPAR REGUEIRA COSTA</v>
      </c>
      <c r="G1730" s="11" t="str">
        <f>IFERROR(__xludf.DUMMYFUNCTION("""COMPUTED_VALUE"""),"US_117 CS GASPAR REGUEIRA COSTA")</f>
        <v>US_117 CS GASPAR REGUEIRA COSTA</v>
      </c>
      <c r="H1730" s="11"/>
      <c r="I1730" s="11"/>
      <c r="J1730" s="11"/>
      <c r="K1730" s="11"/>
      <c r="L1730" s="11"/>
      <c r="M1730" s="11"/>
      <c r="N1730" s="11"/>
      <c r="O1730" s="11">
        <f>IFERROR(__xludf.DUMMYFUNCTION("""COMPUTED_VALUE"""),2510441493)</f>
        <v>2510441493</v>
      </c>
      <c r="P1730" s="11"/>
      <c r="Q1730" s="11"/>
      <c r="R1730" s="11"/>
      <c r="S1730" s="11"/>
      <c r="T1730" s="11"/>
      <c r="U1730" s="11"/>
      <c r="V1730" s="11"/>
      <c r="W1730" s="11"/>
      <c r="X1730" s="11"/>
      <c r="Y1730" s="11"/>
      <c r="Z1730" s="11"/>
    </row>
    <row r="1731" customHeight="1" spans="1:26">
      <c r="A1731" s="11" t="str">
        <f>IFERROR(__xludf.DUMMYFUNCTION("""COMPUTED_VALUE"""),"KIWISUNNY G FRANZOI")</f>
        <v>KIWISUNNY G FRANZOI</v>
      </c>
      <c r="B1731" s="11"/>
      <c r="C1731" s="11"/>
      <c r="D1731" s="11" t="str">
        <f>IFERROR(__xludf.DUMMYFUNCTION("""COMPUTED_VALUE"""),"ENFERMEIRO 30H")</f>
        <v>ENFERMEIRO 30H</v>
      </c>
      <c r="E1731" s="11"/>
      <c r="F1731" s="11" t="str">
        <f>IFERROR(__xludf.DUMMYFUNCTION("""COMPUTED_VALUE"""),"US_104 CS SEBASTIAO IVO RABELO")</f>
        <v>US_104 CS SEBASTIAO IVO RABELO</v>
      </c>
      <c r="G1731" s="11" t="str">
        <f>IFERROR(__xludf.DUMMYFUNCTION("""COMPUTED_VALUE"""),"US_104 CS SEBASTIAO IVO RABELO")</f>
        <v>US_104 CS SEBASTIAO IVO RABELO</v>
      </c>
      <c r="H1731" s="11"/>
      <c r="I1731" s="11"/>
      <c r="J1731" s="11"/>
      <c r="K1731" s="11"/>
      <c r="L1731" s="11"/>
      <c r="M1731" s="11"/>
      <c r="N1731" s="11"/>
      <c r="O1731" s="11">
        <f>IFERROR(__xludf.DUMMYFUNCTION("""COMPUTED_VALUE"""),2530846448)</f>
        <v>2530846448</v>
      </c>
      <c r="P1731" s="11"/>
      <c r="Q1731" s="11"/>
      <c r="R1731" s="11"/>
      <c r="S1731" s="11"/>
      <c r="T1731" s="11"/>
      <c r="U1731" s="11"/>
      <c r="V1731" s="11"/>
      <c r="W1731" s="11"/>
      <c r="X1731" s="11"/>
      <c r="Y1731" s="11"/>
      <c r="Z1731" s="11"/>
    </row>
    <row r="1732" customHeight="1" spans="1:26">
      <c r="A1732" s="11" t="str">
        <f>IFERROR(__xludf.DUMMYFUNCTION("""COMPUTED_VALUE"""),"DIANA NEVES ALVES")</f>
        <v>DIANA NEVES ALVES</v>
      </c>
      <c r="B1732" s="11"/>
      <c r="C1732" s="11"/>
      <c r="D1732" s="11" t="str">
        <f>IFERROR(__xludf.DUMMYFUNCTION("""COMPUTED_VALUE"""),"ENFERMEIRO 40H")</f>
        <v>ENFERMEIRO 40H</v>
      </c>
      <c r="E1732" s="11"/>
      <c r="F1732" s="11" t="str">
        <f>IFERROR(__xludf.DUMMYFUNCTION("""COMPUTED_VALUE"""),"US_117 CS GASPAR REGUEIRA COSTA")</f>
        <v>US_117 CS GASPAR REGUEIRA COSTA</v>
      </c>
      <c r="G1732" s="11" t="str">
        <f>IFERROR(__xludf.DUMMYFUNCTION("""COMPUTED_VALUE"""),"US_117 CS GASPAR REGUEIRA COSTA")</f>
        <v>US_117 CS GASPAR REGUEIRA COSTA</v>
      </c>
      <c r="H1732" s="11"/>
      <c r="I1732" s="11"/>
      <c r="J1732" s="11"/>
      <c r="K1732" s="11"/>
      <c r="L1732" s="11"/>
      <c r="M1732" s="11"/>
      <c r="N1732" s="11"/>
      <c r="O1732" s="11">
        <f>IFERROR(__xludf.DUMMYFUNCTION("""COMPUTED_VALUE"""),7606686475)</f>
        <v>7606686475</v>
      </c>
      <c r="P1732" s="11"/>
      <c r="Q1732" s="11"/>
      <c r="R1732" s="11"/>
      <c r="S1732" s="11"/>
      <c r="T1732" s="11"/>
      <c r="U1732" s="11"/>
      <c r="V1732" s="11"/>
      <c r="W1732" s="11"/>
      <c r="X1732" s="11"/>
      <c r="Y1732" s="11"/>
      <c r="Z1732" s="11"/>
    </row>
    <row r="1733" customHeight="1" spans="1:26">
      <c r="A1733" s="11" t="str">
        <f>IFERROR(__xludf.DUMMYFUNCTION("""COMPUTED_VALUE"""),"LIVIA TELINO BAUDEL DE LACERDA")</f>
        <v>LIVIA TELINO BAUDEL DE LACERDA</v>
      </c>
      <c r="B1733" s="11"/>
      <c r="C1733" s="11"/>
      <c r="D1733" s="11" t="str">
        <f>IFERROR(__xludf.DUMMYFUNCTION("""COMPUTED_VALUE"""),"MÉDICA")</f>
        <v>MÉDICA</v>
      </c>
      <c r="E1733" s="11"/>
      <c r="F1733" s="11" t="str">
        <f>IFERROR(__xludf.DUMMYFUNCTION("""COMPUTED_VALUE"""),"")</f>
        <v/>
      </c>
      <c r="G1733" s="11" t="str">
        <f>IFERROR(__xludf.DUMMYFUNCTION("""COMPUTED_VALUE"""),"US_112 CS DR JOSE DUSTAN CARVALHO SOARES	")</f>
        <v>US_112 CS DR JOSE DUSTAN CARVALHO SOARES	</v>
      </c>
      <c r="H1733" s="27">
        <f>IFERROR(__xludf.DUMMYFUNCTION("""COMPUTED_VALUE"""),81985012522)</f>
        <v>81985012522</v>
      </c>
      <c r="I1733" s="11"/>
      <c r="J1733" s="11"/>
      <c r="K1733" s="24">
        <f>IFERROR(__xludf.DUMMYFUNCTION("""COMPUTED_VALUE"""),45356)</f>
        <v>45356</v>
      </c>
      <c r="L1733" s="11"/>
      <c r="M1733" s="11"/>
      <c r="N1733" s="11"/>
      <c r="O1733" s="11"/>
      <c r="P1733" s="11"/>
      <c r="Q1733" s="11"/>
      <c r="R1733" s="11"/>
      <c r="S1733" s="11"/>
      <c r="T1733" s="11"/>
      <c r="U1733" s="11"/>
      <c r="V1733" s="11"/>
      <c r="W1733" s="11"/>
      <c r="X1733" s="11"/>
      <c r="Y1733" s="11"/>
      <c r="Z1733" s="11"/>
    </row>
    <row r="1734" customHeight="1" spans="1:26">
      <c r="A1734" s="11" t="str">
        <f>IFERROR(__xludf.DUMMYFUNCTION("""COMPUTED_VALUE"""),"ANA IRENE COELHO NUNES")</f>
        <v>ANA IRENE COELHO NUNES</v>
      </c>
      <c r="B1734" s="11"/>
      <c r="C1734" s="11"/>
      <c r="D1734" s="11" t="str">
        <f>IFERROR(__xludf.DUMMYFUNCTION("""COMPUTED_VALUE"""),"ENFERMEIRO 30H - DIARISTA")</f>
        <v>ENFERMEIRO 30H - DIARISTA</v>
      </c>
      <c r="E1734" s="11"/>
      <c r="F1734" s="11" t="str">
        <f>IFERROR(__xludf.DUMMYFUNCTION("""COMPUTED_VALUE"""),"US_112 CS DR JOSE DUSTAN CARVALHO SOARES	")</f>
        <v>US_112 CS DR JOSE DUSTAN CARVALHO SOARES	</v>
      </c>
      <c r="G1734" s="11" t="str">
        <f>IFERROR(__xludf.DUMMYFUNCTION("""COMPUTED_VALUE"""),"US_112 CS DR JOSE DUSTAN CARVALHO SOARES	")</f>
        <v>US_112 CS DR JOSE DUSTAN CARVALHO SOARES	</v>
      </c>
      <c r="H1734" s="11"/>
      <c r="I1734" s="11"/>
      <c r="J1734" s="11"/>
      <c r="K1734" s="11"/>
      <c r="L1734" s="11"/>
      <c r="M1734" s="11"/>
      <c r="N1734" s="11"/>
      <c r="O1734" s="11">
        <f>IFERROR(__xludf.DUMMYFUNCTION("""COMPUTED_VALUE"""),1354117425)</f>
        <v>1354117425</v>
      </c>
      <c r="P1734" s="11"/>
      <c r="Q1734" s="11"/>
      <c r="R1734" s="11"/>
      <c r="S1734" s="11"/>
      <c r="T1734" s="11"/>
      <c r="U1734" s="11"/>
      <c r="V1734" s="11"/>
      <c r="W1734" s="11"/>
      <c r="X1734" s="11"/>
      <c r="Y1734" s="11"/>
      <c r="Z1734" s="11"/>
    </row>
    <row r="1735" customHeight="1" spans="1:26">
      <c r="A1735" s="11" t="str">
        <f>IFERROR(__xludf.DUMMYFUNCTION("""COMPUTED_VALUE"""),"CELIA CRISTINA DE LIMA")</f>
        <v>CELIA CRISTINA DE LIMA</v>
      </c>
      <c r="B1735" s="11"/>
      <c r="C1735" s="11"/>
      <c r="D1735" s="11" t="str">
        <f>IFERROR(__xludf.DUMMYFUNCTION("""COMPUTED_VALUE"""),"ENFERMEIRO 30H - DIARISTA")</f>
        <v>ENFERMEIRO 30H - DIARISTA</v>
      </c>
      <c r="E1735" s="11"/>
      <c r="F1735" s="11" t="str">
        <f>IFERROR(__xludf.DUMMYFUNCTION("""COMPUTED_VALUE"""),"US_112 CS DR JOSE DUSTAN CARVALHO SOARES	")</f>
        <v>US_112 CS DR JOSE DUSTAN CARVALHO SOARES	</v>
      </c>
      <c r="G1735" s="11" t="str">
        <f>IFERROR(__xludf.DUMMYFUNCTION("""COMPUTED_VALUE"""),"US_112 CS DR JOSE DUSTAN CARVALHO SOARES	")</f>
        <v>US_112 CS DR JOSE DUSTAN CARVALHO SOARES	</v>
      </c>
      <c r="H1735" s="11"/>
      <c r="I1735" s="11"/>
      <c r="J1735" s="11"/>
      <c r="K1735" s="11"/>
      <c r="L1735" s="11"/>
      <c r="M1735" s="11"/>
      <c r="N1735" s="11"/>
      <c r="O1735" s="11">
        <f>IFERROR(__xludf.DUMMYFUNCTION("""COMPUTED_VALUE"""),70551090430)</f>
        <v>70551090430</v>
      </c>
      <c r="P1735" s="11"/>
      <c r="Q1735" s="11"/>
      <c r="R1735" s="11"/>
      <c r="S1735" s="11"/>
      <c r="T1735" s="11"/>
      <c r="U1735" s="11"/>
      <c r="V1735" s="11"/>
      <c r="W1735" s="11"/>
      <c r="X1735" s="11"/>
      <c r="Y1735" s="11"/>
      <c r="Z1735" s="11"/>
    </row>
    <row r="1736" customHeight="1" spans="1:26">
      <c r="A1736" s="11" t="str">
        <f>IFERROR(__xludf.DUMMYFUNCTION("""COMPUTED_VALUE"""),"CINTHIA VENTURA N TEIXEIRA")</f>
        <v>CINTHIA VENTURA N TEIXEIRA</v>
      </c>
      <c r="B1736" s="11"/>
      <c r="C1736" s="11"/>
      <c r="D1736" s="11" t="str">
        <f>IFERROR(__xludf.DUMMYFUNCTION("""COMPUTED_VALUE"""),"ENFERMEIRO 30H - DIARISTA")</f>
        <v>ENFERMEIRO 30H - DIARISTA</v>
      </c>
      <c r="E1736" s="11"/>
      <c r="F1736" s="11" t="str">
        <f>IFERROR(__xludf.DUMMYFUNCTION("""COMPUTED_VALUE"""),"US_113 CS DR ARISTARCO AZEVEDO")</f>
        <v>US_113 CS DR ARISTARCO AZEVEDO</v>
      </c>
      <c r="G1736" s="11" t="str">
        <f>IFERROR(__xludf.DUMMYFUNCTION("""COMPUTED_VALUE"""),"US_113 CS DR ARISTARCO AZEVEDO")</f>
        <v>US_113 CS DR ARISTARCO AZEVEDO</v>
      </c>
      <c r="H1736" s="27">
        <f>IFERROR(__xludf.DUMMYFUNCTION("""COMPUTED_VALUE"""),81994291948)</f>
        <v>81994291948</v>
      </c>
      <c r="I1736" s="11"/>
      <c r="J1736" s="11"/>
      <c r="K1736" s="24">
        <f>IFERROR(__xludf.DUMMYFUNCTION("""COMPUTED_VALUE"""),45077)</f>
        <v>45077</v>
      </c>
      <c r="L1736" s="11"/>
      <c r="M1736" s="11"/>
      <c r="N1736" s="11"/>
      <c r="O1736" s="11">
        <f>IFERROR(__xludf.DUMMYFUNCTION("""COMPUTED_VALUE"""),1267335467)</f>
        <v>1267335467</v>
      </c>
      <c r="P1736" s="11"/>
      <c r="Q1736" s="11"/>
      <c r="R1736" s="11"/>
      <c r="S1736" s="11"/>
      <c r="T1736" s="11"/>
      <c r="U1736" s="11"/>
      <c r="V1736" s="11"/>
      <c r="W1736" s="11"/>
      <c r="X1736" s="11"/>
      <c r="Y1736" s="11"/>
      <c r="Z1736" s="11"/>
    </row>
    <row r="1737" customHeight="1" spans="1:26">
      <c r="A1737" s="11" t="str">
        <f>IFERROR(__xludf.DUMMYFUNCTION("""COMPUTED_VALUE"""),"KELLY CRISTINE ROCHA LEMOS")</f>
        <v>KELLY CRISTINE ROCHA LEMOS</v>
      </c>
      <c r="B1737" s="11"/>
      <c r="C1737" s="11"/>
      <c r="D1737" s="11" t="str">
        <f>IFERROR(__xludf.DUMMYFUNCTION("""COMPUTED_VALUE"""),"ENFERMEIRO 30H - DIARISTA")</f>
        <v>ENFERMEIRO 30H - DIARISTA</v>
      </c>
      <c r="E1737" s="11"/>
      <c r="F1737" s="11" t="str">
        <f>IFERROR(__xludf.DUMMYFUNCTION("""COMPUTED_VALUE"""),"US_106 CS PROF JOAQUIM CAVALCANTE	")</f>
        <v>US_106 CS PROF JOAQUIM CAVALCANTE	</v>
      </c>
      <c r="G1737" s="11" t="str">
        <f>IFERROR(__xludf.DUMMYFUNCTION("""COMPUTED_VALUE"""),"US_106 CS PROF JOAQUIM CAVALCANTE	")</f>
        <v>US_106 CS PROF JOAQUIM CAVALCANTE	</v>
      </c>
      <c r="H1737" s="27">
        <f>IFERROR(__xludf.DUMMYFUNCTION("""COMPUTED_VALUE"""),8199437331)</f>
        <v>8199437331</v>
      </c>
      <c r="I1737" s="11"/>
      <c r="J1737" s="11"/>
      <c r="K1737" s="24">
        <f>IFERROR(__xludf.DUMMYFUNCTION("""COMPUTED_VALUE"""),45408)</f>
        <v>45408</v>
      </c>
      <c r="L1737" s="11"/>
      <c r="M1737" s="11"/>
      <c r="N1737" s="11"/>
      <c r="O1737" s="11">
        <f>IFERROR(__xludf.DUMMYFUNCTION("""COMPUTED_VALUE"""),2650461497)</f>
        <v>2650461497</v>
      </c>
      <c r="P1737" s="11"/>
      <c r="Q1737" s="11"/>
      <c r="R1737" s="11"/>
      <c r="S1737" s="11"/>
      <c r="T1737" s="11"/>
      <c r="U1737" s="11"/>
      <c r="V1737" s="11"/>
      <c r="W1737" s="11"/>
      <c r="X1737" s="11"/>
      <c r="Y1737" s="11"/>
      <c r="Z1737" s="11"/>
    </row>
    <row r="1738" customHeight="1" spans="1:26">
      <c r="A1738" s="11" t="str">
        <f>IFERROR(__xludf.DUMMYFUNCTION("""COMPUTED_VALUE"""),"RENATA CÉLIA DE LIRA NEVES OLIVEIRA ")</f>
        <v>RENATA CÉLIA DE LIRA NEVES OLIVEIRA </v>
      </c>
      <c r="B1738" s="11"/>
      <c r="C1738" s="11"/>
      <c r="D1738" s="11" t="str">
        <f>IFERROR(__xludf.DUMMYFUNCTION("""COMPUTED_VALUE"""),"ENFERMEIRA")</f>
        <v>ENFERMEIRA</v>
      </c>
      <c r="E1738" s="11"/>
      <c r="F1738" s="11" t="str">
        <f>IFERROR(__xludf.DUMMYFUNCTION("""COMPUTED_VALUE"""),"")</f>
        <v/>
      </c>
      <c r="G1738" s="11" t="str">
        <f>IFERROR(__xludf.DUMMYFUNCTION("""COMPUTED_VALUE"""),"US_148 CS DOM MIGUEL DE LIMA VALVERDE")</f>
        <v>US_148 CS DOM MIGUEL DE LIMA VALVERDE</v>
      </c>
      <c r="H1738" s="27">
        <f>IFERROR(__xludf.DUMMYFUNCTION("""COMPUTED_VALUE"""),81997215345)</f>
        <v>81997215345</v>
      </c>
      <c r="I1738" s="11"/>
      <c r="J1738" s="11"/>
      <c r="K1738" s="24">
        <f>IFERROR(__xludf.DUMMYFUNCTION("""COMPUTED_VALUE"""),45293)</f>
        <v>45293</v>
      </c>
      <c r="L1738" s="11"/>
      <c r="M1738" s="11"/>
      <c r="N1738" s="11"/>
      <c r="O1738" s="11"/>
      <c r="P1738" s="11"/>
      <c r="Q1738" s="11"/>
      <c r="R1738" s="11"/>
      <c r="S1738" s="11"/>
      <c r="T1738" s="11"/>
      <c r="U1738" s="11"/>
      <c r="V1738" s="11"/>
      <c r="W1738" s="11"/>
      <c r="X1738" s="11"/>
      <c r="Y1738" s="11"/>
      <c r="Z1738" s="11"/>
    </row>
    <row r="1739" customHeight="1" spans="1:26">
      <c r="A1739" s="11" t="str">
        <f>IFERROR(__xludf.DUMMYFUNCTION("""COMPUTED_VALUE"""),"GRIZIELLE SANDRINE DE A ROCHA")</f>
        <v>GRIZIELLE SANDRINE DE A ROCHA</v>
      </c>
      <c r="B1739" s="11"/>
      <c r="C1739" s="11"/>
      <c r="D1739" s="11" t="str">
        <f>IFERROR(__xludf.DUMMYFUNCTION("""COMPUTED_VALUE"""),"ENFERMEIRO 30H - DIARISTA")</f>
        <v>ENFERMEIRO 30H - DIARISTA</v>
      </c>
      <c r="E1739" s="11"/>
      <c r="F1739" s="11" t="str">
        <f>IFERROR(__xludf.DUMMYFUNCTION("""COMPUTED_VALUE"""),"US_148 CS DOM MIGUEL DE LIMA VALVERDE")</f>
        <v>US_148 CS DOM MIGUEL DE LIMA VALVERDE</v>
      </c>
      <c r="G1739" s="11" t="str">
        <f>IFERROR(__xludf.DUMMYFUNCTION("""COMPUTED_VALUE"""),"US_148 CS DOM MIGUEL DE LIMA VALVERDE")</f>
        <v>US_148 CS DOM MIGUEL DE LIMA VALVERDE</v>
      </c>
      <c r="H1739" s="11"/>
      <c r="I1739" s="11"/>
      <c r="J1739" s="11"/>
      <c r="K1739" s="11"/>
      <c r="L1739" s="11"/>
      <c r="M1739" s="11"/>
      <c r="N1739" s="11"/>
      <c r="O1739" s="11">
        <f>IFERROR(__xludf.DUMMYFUNCTION("""COMPUTED_VALUE"""),4111408419)</f>
        <v>4111408419</v>
      </c>
      <c r="P1739" s="11"/>
      <c r="Q1739" s="11"/>
      <c r="R1739" s="11"/>
      <c r="S1739" s="11"/>
      <c r="T1739" s="11"/>
      <c r="U1739" s="11"/>
      <c r="V1739" s="11"/>
      <c r="W1739" s="11"/>
      <c r="X1739" s="11"/>
      <c r="Y1739" s="11"/>
      <c r="Z1739" s="11"/>
    </row>
    <row r="1740" customHeight="1" spans="1:26">
      <c r="A1740" s="11" t="str">
        <f>IFERROR(__xludf.DUMMYFUNCTION("""COMPUTED_VALUE"""),"ALANA CIBELLY DE A F CABRAL")</f>
        <v>ALANA CIBELLY DE A F CABRAL</v>
      </c>
      <c r="B1740" s="11"/>
      <c r="C1740" s="11"/>
      <c r="D1740" s="11" t="str">
        <f>IFERROR(__xludf.DUMMYFUNCTION("""COMPUTED_VALUE"""),"ENFERMEIRO 30H - DIARISTA")</f>
        <v>ENFERMEIRO 30H - DIARISTA</v>
      </c>
      <c r="E1740" s="11"/>
      <c r="F1740" s="11" t="str">
        <f>IFERROR(__xludf.DUMMYFUNCTION("""COMPUTED_VALUE"""),"US_119 CS PROF JOSE CARNEIRO LEAO")</f>
        <v>US_119 CS PROF JOSE CARNEIRO LEAO</v>
      </c>
      <c r="G1740" s="11" t="str">
        <f>IFERROR(__xludf.DUMMYFUNCTION("""COMPUTED_VALUE"""),"US_119 CS PROF JOSE CARNEIRO LEAO")</f>
        <v>US_119 CS PROF JOSE CARNEIRO LEAO</v>
      </c>
      <c r="H1740" s="27">
        <f>IFERROR(__xludf.DUMMYFUNCTION("""COMPUTED_VALUE"""),8396309177)</f>
        <v>8396309177</v>
      </c>
      <c r="I1740" s="11"/>
      <c r="J1740" s="11"/>
      <c r="K1740" s="11"/>
      <c r="L1740" s="11"/>
      <c r="M1740" s="11"/>
      <c r="N1740" s="11"/>
      <c r="O1740" s="11">
        <f>IFERROR(__xludf.DUMMYFUNCTION("""COMPUTED_VALUE"""),8266908400)</f>
        <v>8266908400</v>
      </c>
      <c r="P1740" s="11"/>
      <c r="Q1740" s="11"/>
      <c r="R1740" s="11"/>
      <c r="S1740" s="11"/>
      <c r="T1740" s="11"/>
      <c r="U1740" s="11"/>
      <c r="V1740" s="11"/>
      <c r="W1740" s="11"/>
      <c r="X1740" s="11"/>
      <c r="Y1740" s="11"/>
      <c r="Z1740" s="11"/>
    </row>
    <row r="1741" customHeight="1" spans="1:26">
      <c r="A1741" s="11" t="str">
        <f>IFERROR(__xludf.DUMMYFUNCTION("""COMPUTED_VALUE"""),"CINTIA RAQUEL B DE A SOUZA")</f>
        <v>CINTIA RAQUEL B DE A SOUZA</v>
      </c>
      <c r="B1741" s="11"/>
      <c r="C1741" s="11"/>
      <c r="D1741" s="11" t="str">
        <f>IFERROR(__xludf.DUMMYFUNCTION("""COMPUTED_VALUE"""),"ENFERMEIRO 30H - DIARISTA")</f>
        <v>ENFERMEIRO 30H - DIARISTA</v>
      </c>
      <c r="E1741" s="11"/>
      <c r="F1741" s="11" t="str">
        <f>IFERROR(__xludf.DUMMYFUNCTION("""COMPUTED_VALUE"""),"UBT - US 137 CS PROF DJAIR BRINDEIRO")</f>
        <v>UBT - US 137 CS PROF DJAIR BRINDEIRO</v>
      </c>
      <c r="G1741" s="11" t="str">
        <f>IFERROR(__xludf.DUMMYFUNCTION("""COMPUTED_VALUE"""),"UBT - US 137 CS PROF DJAIR BRINDEIRO")</f>
        <v>UBT - US 137 CS PROF DJAIR BRINDEIRO</v>
      </c>
      <c r="H1741" s="11"/>
      <c r="I1741" s="11"/>
      <c r="J1741" s="11"/>
      <c r="K1741" s="11"/>
      <c r="L1741" s="11"/>
      <c r="M1741" s="11"/>
      <c r="N1741" s="11"/>
      <c r="O1741" s="11">
        <f>IFERROR(__xludf.DUMMYFUNCTION("""COMPUTED_VALUE"""),6441764407)</f>
        <v>6441764407</v>
      </c>
      <c r="P1741" s="11"/>
      <c r="Q1741" s="11"/>
      <c r="R1741" s="11"/>
      <c r="S1741" s="11"/>
      <c r="T1741" s="11"/>
      <c r="U1741" s="11"/>
      <c r="V1741" s="11"/>
      <c r="W1741" s="11"/>
      <c r="X1741" s="11"/>
      <c r="Y1741" s="11"/>
      <c r="Z1741" s="11"/>
    </row>
    <row r="1742" customHeight="1" spans="1:26">
      <c r="A1742" s="11" t="str">
        <f>IFERROR(__xludf.DUMMYFUNCTION("""COMPUTED_VALUE"""),"LARYSSA PRISCILLA M DOS S ALVE")</f>
        <v>LARYSSA PRISCILLA M DOS S ALVE</v>
      </c>
      <c r="B1742" s="11"/>
      <c r="C1742" s="11"/>
      <c r="D1742" s="11" t="str">
        <f>IFERROR(__xludf.DUMMYFUNCTION("""COMPUTED_VALUE"""),"ENFERMEIRO 30H - DIARISTA")</f>
        <v>ENFERMEIRO 30H - DIARISTA</v>
      </c>
      <c r="E1742" s="11"/>
      <c r="F1742" s="11" t="str">
        <f>IFERROR(__xludf.DUMMYFUNCTION("""COMPUTED_VALUE"""),"US_112 CS DR JOSE DUSTAN CARVALHO SOARES	")</f>
        <v>US_112 CS DR JOSE DUSTAN CARVALHO SOARES	</v>
      </c>
      <c r="G1742" s="11" t="str">
        <f>IFERROR(__xludf.DUMMYFUNCTION("""COMPUTED_VALUE"""),"US_112 CS DR JOSE DUSTAN CARVALHO SOARES	")</f>
        <v>US_112 CS DR JOSE DUSTAN CARVALHO SOARES	</v>
      </c>
      <c r="H1742" s="27">
        <f>IFERROR(__xludf.DUMMYFUNCTION("""COMPUTED_VALUE"""),81999467394)</f>
        <v>81999467394</v>
      </c>
      <c r="I1742" s="11"/>
      <c r="J1742" s="11"/>
      <c r="K1742" s="11"/>
      <c r="L1742" s="11"/>
      <c r="M1742" s="11"/>
      <c r="N1742" s="11"/>
      <c r="O1742" s="11">
        <f>IFERROR(__xludf.DUMMYFUNCTION("""COMPUTED_VALUE"""),9686484442)</f>
        <v>9686484442</v>
      </c>
      <c r="P1742" s="11"/>
      <c r="Q1742" s="11"/>
      <c r="R1742" s="11"/>
      <c r="S1742" s="11"/>
      <c r="T1742" s="11"/>
      <c r="U1742" s="11"/>
      <c r="V1742" s="11"/>
      <c r="W1742" s="11"/>
      <c r="X1742" s="11"/>
      <c r="Y1742" s="11"/>
      <c r="Z1742" s="11"/>
    </row>
    <row r="1743" customHeight="1" spans="1:26">
      <c r="A1743" s="11" t="str">
        <f>IFERROR(__xludf.DUMMYFUNCTION("""COMPUTED_VALUE"""),"ELISANDRA C DE SOUZA BARBOZA")</f>
        <v>ELISANDRA C DE SOUZA BARBOZA</v>
      </c>
      <c r="B1743" s="11"/>
      <c r="C1743" s="11"/>
      <c r="D1743" s="11" t="str">
        <f>IFERROR(__xludf.DUMMYFUNCTION("""COMPUTED_VALUE"""),"ENFERMEIRO 30H - DIARISTA")</f>
        <v>ENFERMEIRO 30H - DIARISTA</v>
      </c>
      <c r="E1743" s="11"/>
      <c r="F1743" s="11" t="str">
        <f>IFERROR(__xludf.DUMMYFUNCTION("""COMPUTED_VALUE"""),"US_104 CS SEBASTIAO IVO RABELO")</f>
        <v>US_104 CS SEBASTIAO IVO RABELO</v>
      </c>
      <c r="G1743" s="11" t="str">
        <f>IFERROR(__xludf.DUMMYFUNCTION("""COMPUTED_VALUE"""),"US_104 CS SEBASTIAO IVO RABELO")</f>
        <v>US_104 CS SEBASTIAO IVO RABELO</v>
      </c>
      <c r="H1743" s="11"/>
      <c r="I1743" s="11"/>
      <c r="J1743" s="11"/>
      <c r="K1743" s="11"/>
      <c r="L1743" s="11"/>
      <c r="M1743" s="11"/>
      <c r="N1743" s="11"/>
      <c r="O1743" s="11">
        <f>IFERROR(__xludf.DUMMYFUNCTION("""COMPUTED_VALUE"""),8872916437)</f>
        <v>8872916437</v>
      </c>
      <c r="P1743" s="11"/>
      <c r="Q1743" s="11"/>
      <c r="R1743" s="11"/>
      <c r="S1743" s="11"/>
      <c r="T1743" s="11"/>
      <c r="U1743" s="11"/>
      <c r="V1743" s="11"/>
      <c r="W1743" s="11"/>
      <c r="X1743" s="11"/>
      <c r="Y1743" s="11"/>
      <c r="Z1743" s="11"/>
    </row>
    <row r="1744" customHeight="1" spans="1:26">
      <c r="A1744" s="11" t="str">
        <f>IFERROR(__xludf.DUMMYFUNCTION("""COMPUTED_VALUE"""),"KILDERS MITSHEL L DE OLIVEIRA")</f>
        <v>KILDERS MITSHEL L DE OLIVEIRA</v>
      </c>
      <c r="B1744" s="11"/>
      <c r="C1744" s="11"/>
      <c r="D1744" s="11" t="str">
        <f>IFERROR(__xludf.DUMMYFUNCTION("""COMPUTED_VALUE"""),"ENFERMEIRO 30H - DIARISTA")</f>
        <v>ENFERMEIRO 30H - DIARISTA</v>
      </c>
      <c r="E1744" s="11"/>
      <c r="F1744" s="11" t="str">
        <f>IFERROR(__xludf.DUMMYFUNCTION("""COMPUTED_VALUE"""),"US_112 CS DR JOSE DUSTAN CARVALHO SOARES	")</f>
        <v>US_112 CS DR JOSE DUSTAN CARVALHO SOARES	</v>
      </c>
      <c r="G1744" s="11" t="str">
        <f>IFERROR(__xludf.DUMMYFUNCTION("""COMPUTED_VALUE"""),"US_112 CS DR JOSE DUSTAN CARVALHO SOARES	")</f>
        <v>US_112 CS DR JOSE DUSTAN CARVALHO SOARES	</v>
      </c>
      <c r="H1744" s="11"/>
      <c r="I1744" s="11"/>
      <c r="J1744" s="11"/>
      <c r="K1744" s="11"/>
      <c r="L1744" s="11"/>
      <c r="M1744" s="11"/>
      <c r="N1744" s="11"/>
      <c r="O1744" s="11">
        <f>IFERROR(__xludf.DUMMYFUNCTION("""COMPUTED_VALUE"""),9528751440)</f>
        <v>9528751440</v>
      </c>
      <c r="P1744" s="11"/>
      <c r="Q1744" s="11"/>
      <c r="R1744" s="11"/>
      <c r="S1744" s="11"/>
      <c r="T1744" s="11"/>
      <c r="U1744" s="11"/>
      <c r="V1744" s="11"/>
      <c r="W1744" s="11"/>
      <c r="X1744" s="11"/>
      <c r="Y1744" s="11"/>
      <c r="Z1744" s="11"/>
    </row>
    <row r="1745" customHeight="1" spans="1:26">
      <c r="A1745" s="11" t="str">
        <f>IFERROR(__xludf.DUMMYFUNCTION("""COMPUTED_VALUE"""),"EVELYNE NASCIMENTO PEDROSA")</f>
        <v>EVELYNE NASCIMENTO PEDROSA</v>
      </c>
      <c r="B1745" s="11"/>
      <c r="C1745" s="11"/>
      <c r="D1745" s="11" t="str">
        <f>IFERROR(__xludf.DUMMYFUNCTION("""COMPUTED_VALUE"""),"ENFERMEIRO 30H - DIARISTA")</f>
        <v>ENFERMEIRO 30H - DIARISTA</v>
      </c>
      <c r="E1745" s="11"/>
      <c r="F1745" s="11" t="str">
        <f>IFERROR(__xludf.DUMMYFUNCTION("""COMPUTED_VALUE"""),"US_150 CS PROFESSOR FERNANDES FIGUEIRAS")</f>
        <v>US_150 CS PROFESSOR FERNANDES FIGUEIRAS</v>
      </c>
      <c r="G1745" s="11" t="str">
        <f>IFERROR(__xludf.DUMMYFUNCTION("""COMPUTED_VALUE"""),"US_150 CS PROFESSOR FERNANDES FIGUEIRAS")</f>
        <v>US_150 CS PROFESSOR FERNANDES FIGUEIRAS</v>
      </c>
      <c r="H1745" s="27">
        <f>IFERROR(__xludf.DUMMYFUNCTION("""COMPUTED_VALUE"""),81992342370)</f>
        <v>81992342370</v>
      </c>
      <c r="I1745" s="11"/>
      <c r="J1745" s="11"/>
      <c r="K1745" s="11"/>
      <c r="L1745" s="11"/>
      <c r="M1745" s="11"/>
      <c r="N1745" s="11"/>
      <c r="O1745" s="11">
        <f>IFERROR(__xludf.DUMMYFUNCTION("""COMPUTED_VALUE"""),5261820405)</f>
        <v>5261820405</v>
      </c>
      <c r="P1745" s="11"/>
      <c r="Q1745" s="11"/>
      <c r="R1745" s="11"/>
      <c r="S1745" s="11"/>
      <c r="T1745" s="11"/>
      <c r="U1745" s="11"/>
      <c r="V1745" s="11"/>
      <c r="W1745" s="11"/>
      <c r="X1745" s="11"/>
      <c r="Y1745" s="11"/>
      <c r="Z1745" s="11"/>
    </row>
    <row r="1746" customHeight="1" spans="1:26">
      <c r="A1746" s="11" t="str">
        <f>IFERROR(__xludf.DUMMYFUNCTION("""COMPUTED_VALUE"""),"TATIANA DA SILVA GENEROSO")</f>
        <v>TATIANA DA SILVA GENEROSO</v>
      </c>
      <c r="B1746" s="11"/>
      <c r="C1746" s="11"/>
      <c r="D1746" s="11" t="str">
        <f>IFERROR(__xludf.DUMMYFUNCTION("""COMPUTED_VALUE"""),"ENFERMEIRO 30H - DIARISTA")</f>
        <v>ENFERMEIRO 30H - DIARISTA</v>
      </c>
      <c r="E1746" s="11"/>
      <c r="F1746" s="11" t="str">
        <f>IFERROR(__xludf.DUMMYFUNCTION("""COMPUTED_VALUE"""),"US_155 CS PROF MONTEIRO DE MORAIS")</f>
        <v>US_155 CS PROF MONTEIRO DE MORAIS</v>
      </c>
      <c r="G1746" s="11" t="str">
        <f>IFERROR(__xludf.DUMMYFUNCTION("""COMPUTED_VALUE"""),"US_155 CS PROF MONTEIRO DE MORAIS")</f>
        <v>US_155 CS PROF MONTEIRO DE MORAIS</v>
      </c>
      <c r="H1746" s="11"/>
      <c r="I1746" s="11"/>
      <c r="J1746" s="11"/>
      <c r="K1746" s="11"/>
      <c r="L1746" s="11"/>
      <c r="M1746" s="11"/>
      <c r="N1746" s="11"/>
      <c r="O1746" s="11">
        <f>IFERROR(__xludf.DUMMYFUNCTION("""COMPUTED_VALUE"""),8556559760)</f>
        <v>8556559760</v>
      </c>
      <c r="P1746" s="11"/>
      <c r="Q1746" s="11"/>
      <c r="R1746" s="11"/>
      <c r="S1746" s="11"/>
      <c r="T1746" s="11"/>
      <c r="U1746" s="11"/>
      <c r="V1746" s="11"/>
      <c r="W1746" s="11"/>
      <c r="X1746" s="11"/>
      <c r="Y1746" s="11"/>
      <c r="Z1746" s="11"/>
    </row>
    <row r="1747" customHeight="1" spans="1:26">
      <c r="A1747" s="11" t="str">
        <f>IFERROR(__xludf.DUMMYFUNCTION("""COMPUTED_VALUE"""),"CAMILA SILVA BARROS")</f>
        <v>CAMILA SILVA BARROS</v>
      </c>
      <c r="B1747" s="11"/>
      <c r="C1747" s="11"/>
      <c r="D1747" s="11" t="str">
        <f>IFERROR(__xludf.DUMMYFUNCTION("""COMPUTED_VALUE"""),"ENFERMEIRO 30H - DIARISTA")</f>
        <v>ENFERMEIRO 30H - DIARISTA</v>
      </c>
      <c r="E1747" s="11"/>
      <c r="F1747" s="11" t="str">
        <f>IFERROR(__xludf.DUMMYFUNCTION("""COMPUTED_VALUE"""),"US_104 CS SEBASTIAO IVO RABELO")</f>
        <v>US_104 CS SEBASTIAO IVO RABELO</v>
      </c>
      <c r="G1747" s="11" t="str">
        <f>IFERROR(__xludf.DUMMYFUNCTION("""COMPUTED_VALUE"""),"US_104 CS SEBASTIAO IVO RABELO")</f>
        <v>US_104 CS SEBASTIAO IVO RABELO</v>
      </c>
      <c r="H1747" s="11"/>
      <c r="I1747" s="11"/>
      <c r="J1747" s="11"/>
      <c r="K1747" s="11"/>
      <c r="L1747" s="11"/>
      <c r="M1747" s="11"/>
      <c r="N1747" s="11"/>
      <c r="O1747" s="11">
        <f>IFERROR(__xludf.DUMMYFUNCTION("""COMPUTED_VALUE"""),4492281428)</f>
        <v>4492281428</v>
      </c>
      <c r="P1747" s="11"/>
      <c r="Q1747" s="11"/>
      <c r="R1747" s="11"/>
      <c r="S1747" s="11"/>
      <c r="T1747" s="11"/>
      <c r="U1747" s="11"/>
      <c r="V1747" s="11"/>
      <c r="W1747" s="11"/>
      <c r="X1747" s="11"/>
      <c r="Y1747" s="11"/>
      <c r="Z1747" s="11"/>
    </row>
    <row r="1748" customHeight="1" spans="1:26">
      <c r="A1748" s="11" t="str">
        <f>IFERROR(__xludf.DUMMYFUNCTION("""COMPUTED_VALUE"""),"MARIA ROSICLEIDE MOREIRA")</f>
        <v>MARIA ROSICLEIDE MOREIRA</v>
      </c>
      <c r="B1748" s="11"/>
      <c r="C1748" s="11"/>
      <c r="D1748" s="11" t="str">
        <f>IFERROR(__xludf.DUMMYFUNCTION("""COMPUTED_VALUE"""),"ENFERMEIRO 30H - DIARISTA")</f>
        <v>ENFERMEIRO 30H - DIARISTA</v>
      </c>
      <c r="E1748" s="11"/>
      <c r="F1748" s="11" t="str">
        <f>IFERROR(__xludf.DUMMYFUNCTION("""COMPUTED_VALUE"""),"US_155 CS PROF MONTEIRO DE MORAIS")</f>
        <v>US_155 CS PROF MONTEIRO DE MORAIS</v>
      </c>
      <c r="G1748" s="11" t="str">
        <f>IFERROR(__xludf.DUMMYFUNCTION("""COMPUTED_VALUE"""),"US_155 CS PROF MONTEIRO DE MORAIS")</f>
        <v>US_155 CS PROF MONTEIRO DE MORAIS</v>
      </c>
      <c r="H1748" s="11"/>
      <c r="I1748" s="11"/>
      <c r="J1748" s="11"/>
      <c r="K1748" s="11"/>
      <c r="L1748" s="11"/>
      <c r="M1748" s="11"/>
      <c r="N1748" s="11"/>
      <c r="O1748" s="11">
        <f>IFERROR(__xludf.DUMMYFUNCTION("""COMPUTED_VALUE"""),65145976453)</f>
        <v>65145976453</v>
      </c>
      <c r="P1748" s="11"/>
      <c r="Q1748" s="11"/>
      <c r="R1748" s="11"/>
      <c r="S1748" s="11"/>
      <c r="T1748" s="11"/>
      <c r="U1748" s="11"/>
      <c r="V1748" s="11"/>
      <c r="W1748" s="11"/>
      <c r="X1748" s="11"/>
      <c r="Y1748" s="11"/>
      <c r="Z1748" s="11"/>
    </row>
    <row r="1749" customHeight="1" spans="1:26">
      <c r="A1749" s="11" t="str">
        <f>IFERROR(__xludf.DUMMYFUNCTION("""COMPUTED_VALUE"""),"SANDOR KINDELAN")</f>
        <v>SANDOR KINDELAN</v>
      </c>
      <c r="B1749" s="11"/>
      <c r="C1749" s="11"/>
      <c r="D1749" s="11"/>
      <c r="E1749" s="11"/>
      <c r="F1749" s="11" t="str">
        <f>IFERROR(__xludf.DUMMYFUNCTION("""COMPUTED_VALUE"""),"")</f>
        <v/>
      </c>
      <c r="G1749" s="11" t="str">
        <f>IFERROR(__xludf.DUMMYFUNCTION("""COMPUTED_VALUE"""),"US_117 CS GASPAR REGUEIRA COSTA")</f>
        <v>US_117 CS GASPAR REGUEIRA COSTA</v>
      </c>
      <c r="H1749" s="27">
        <f>IFERROR(__xludf.DUMMYFUNCTION("""COMPUTED_VALUE"""),81979152033)</f>
        <v>81979152033</v>
      </c>
      <c r="I1749" s="11"/>
      <c r="J1749" s="11"/>
      <c r="K1749" s="24">
        <f>IFERROR(__xludf.DUMMYFUNCTION("""COMPUTED_VALUE"""),45301)</f>
        <v>45301</v>
      </c>
      <c r="L1749" s="11"/>
      <c r="M1749" s="11"/>
      <c r="N1749" s="11"/>
      <c r="O1749" s="11"/>
      <c r="P1749" s="11"/>
      <c r="Q1749" s="11"/>
      <c r="R1749" s="11"/>
      <c r="S1749" s="11"/>
      <c r="T1749" s="11"/>
      <c r="U1749" s="11"/>
      <c r="V1749" s="11"/>
      <c r="W1749" s="11"/>
      <c r="X1749" s="11"/>
      <c r="Y1749" s="11"/>
      <c r="Z1749" s="11"/>
    </row>
    <row r="1750" customHeight="1" spans="1:26">
      <c r="A1750" s="11" t="str">
        <f>IFERROR(__xludf.DUMMYFUNCTION("""COMPUTED_VALUE"""),"SEVERINA L DAS CANDEIAS")</f>
        <v>SEVERINA L DAS CANDEIAS</v>
      </c>
      <c r="B1750" s="11"/>
      <c r="C1750" s="11"/>
      <c r="D1750" s="11" t="str">
        <f>IFERROR(__xludf.DUMMYFUNCTION("""COMPUTED_VALUE"""),"ENFERMEIRO 30H - DIARISTA")</f>
        <v>ENFERMEIRO 30H - DIARISTA</v>
      </c>
      <c r="E1750" s="11"/>
      <c r="F1750" s="11" t="str">
        <f>IFERROR(__xludf.DUMMYFUNCTION("""COMPUTED_VALUE"""),"US_117 CS GASPAR REGUEIRA COSTA")</f>
        <v>US_117 CS GASPAR REGUEIRA COSTA</v>
      </c>
      <c r="G1750" s="11" t="str">
        <f>IFERROR(__xludf.DUMMYFUNCTION("""COMPUTED_VALUE"""),"US_117 CS GASPAR REGUEIRA COSTA")</f>
        <v>US_117 CS GASPAR REGUEIRA COSTA</v>
      </c>
      <c r="H1750" s="11"/>
      <c r="I1750" s="11"/>
      <c r="J1750" s="11"/>
      <c r="K1750" s="11"/>
      <c r="L1750" s="11"/>
      <c r="M1750" s="11"/>
      <c r="N1750" s="11"/>
      <c r="O1750" s="11">
        <f>IFERROR(__xludf.DUMMYFUNCTION("""COMPUTED_VALUE"""),40190471468)</f>
        <v>40190471468</v>
      </c>
      <c r="P1750" s="11"/>
      <c r="Q1750" s="11"/>
      <c r="R1750" s="11"/>
      <c r="S1750" s="11"/>
      <c r="T1750" s="11"/>
      <c r="U1750" s="11"/>
      <c r="V1750" s="11"/>
      <c r="W1750" s="11"/>
      <c r="X1750" s="11"/>
      <c r="Y1750" s="11"/>
      <c r="Z1750" s="11"/>
    </row>
    <row r="1751" customHeight="1" spans="1:26">
      <c r="A1751" s="11" t="str">
        <f>IFERROR(__xludf.DUMMYFUNCTION("""COMPUTED_VALUE"""),"ELIZABETH CRISTINA M GOMES")</f>
        <v>ELIZABETH CRISTINA M GOMES</v>
      </c>
      <c r="B1751" s="11"/>
      <c r="C1751" s="11"/>
      <c r="D1751" s="11" t="str">
        <f>IFERROR(__xludf.DUMMYFUNCTION("""COMPUTED_VALUE"""),"ENFERMEIRO 40H")</f>
        <v>ENFERMEIRO 40H</v>
      </c>
      <c r="E1751" s="11"/>
      <c r="F1751" s="11" t="str">
        <f>IFERROR(__xludf.DUMMYFUNCTION("""COMPUTED_VALUE"""),"US_123 CS PROF CESAR MONTEZUMA")</f>
        <v>US_123 CS PROF CESAR MONTEZUMA</v>
      </c>
      <c r="G1751" s="11" t="str">
        <f>IFERROR(__xludf.DUMMYFUNCTION("""COMPUTED_VALUE"""),"US_123 CS PROF CESAR MONTEZUMA")</f>
        <v>US_123 CS PROF CESAR MONTEZUMA</v>
      </c>
      <c r="H1751" s="11"/>
      <c r="I1751" s="11"/>
      <c r="J1751" s="11"/>
      <c r="K1751" s="11"/>
      <c r="L1751" s="11"/>
      <c r="M1751" s="11"/>
      <c r="N1751" s="11"/>
      <c r="O1751" s="11">
        <f>IFERROR(__xludf.DUMMYFUNCTION("""COMPUTED_VALUE"""),8137392416)</f>
        <v>8137392416</v>
      </c>
      <c r="P1751" s="11"/>
      <c r="Q1751" s="11"/>
      <c r="R1751" s="11"/>
      <c r="S1751" s="11"/>
      <c r="T1751" s="11"/>
      <c r="U1751" s="11"/>
      <c r="V1751" s="11"/>
      <c r="W1751" s="11"/>
      <c r="X1751" s="11"/>
      <c r="Y1751" s="11"/>
      <c r="Z1751" s="11"/>
    </row>
    <row r="1752" customHeight="1" spans="1:26">
      <c r="A1752" s="11" t="str">
        <f>IFERROR(__xludf.DUMMYFUNCTION("""COMPUTED_VALUE"""),"RAFAELA TRAVASSOS F M LEITE")</f>
        <v>RAFAELA TRAVASSOS F M LEITE</v>
      </c>
      <c r="B1752" s="11"/>
      <c r="C1752" s="11"/>
      <c r="D1752" s="11" t="str">
        <f>IFERROR(__xludf.DUMMYFUNCTION("""COMPUTED_VALUE"""),"ENFERMEIRO 30H - DIARISTA")</f>
        <v>ENFERMEIRO 30H - DIARISTA</v>
      </c>
      <c r="E1752" s="11"/>
      <c r="F1752" s="11" t="str">
        <f>IFERROR(__xludf.DUMMYFUNCTION("""COMPUTED_VALUE"""),"US_167 POLICLINICA E MATERNIDADE PROFESSOR BARROS LIMA")</f>
        <v>US_167 POLICLINICA E MATERNIDADE PROFESSOR BARROS LIMA</v>
      </c>
      <c r="G1752" s="11" t="str">
        <f>IFERROR(__xludf.DUMMYFUNCTION("""COMPUTED_VALUE"""),"US_167 POLICLINICA E MATERNIDADE PROFESSOR BARROS LIMA")</f>
        <v>US_167 POLICLINICA E MATERNIDADE PROFESSOR BARROS LIMA</v>
      </c>
      <c r="H1752" s="11"/>
      <c r="I1752" s="11"/>
      <c r="J1752" s="11"/>
      <c r="K1752" s="11"/>
      <c r="L1752" s="11"/>
      <c r="M1752" s="11"/>
      <c r="N1752" s="11"/>
      <c r="O1752" s="11">
        <f>IFERROR(__xludf.DUMMYFUNCTION("""COMPUTED_VALUE"""),9530643446)</f>
        <v>9530643446</v>
      </c>
      <c r="P1752" s="11"/>
      <c r="Q1752" s="11"/>
      <c r="R1752" s="11"/>
      <c r="S1752" s="11"/>
      <c r="T1752" s="11"/>
      <c r="U1752" s="11"/>
      <c r="V1752" s="11"/>
      <c r="W1752" s="11"/>
      <c r="X1752" s="11"/>
      <c r="Y1752" s="11"/>
      <c r="Z1752" s="11"/>
    </row>
    <row r="1753" customHeight="1" spans="1:26">
      <c r="A1753" s="11" t="str">
        <f>IFERROR(__xludf.DUMMYFUNCTION("""COMPUTED_VALUE"""),"ANDERSON CLEBER DOS S FRAZAO")</f>
        <v>ANDERSON CLEBER DOS S FRAZAO</v>
      </c>
      <c r="B1753" s="11"/>
      <c r="C1753" s="11"/>
      <c r="D1753" s="11" t="str">
        <f>IFERROR(__xludf.DUMMYFUNCTION("""COMPUTED_VALUE"""),"ENFERMEIRO 30H - DIARISTA")</f>
        <v>ENFERMEIRO 30H - DIARISTA</v>
      </c>
      <c r="E1753" s="11"/>
      <c r="F1753" s="11" t="str">
        <f>IFERROR(__xludf.DUMMYFUNCTION("""COMPUTED_VALUE"""),"US_112 CS DR JOSE DUSTAN CARVALHO SOARES	")</f>
        <v>US_112 CS DR JOSE DUSTAN CARVALHO SOARES	</v>
      </c>
      <c r="G1753" s="11" t="str">
        <f>IFERROR(__xludf.DUMMYFUNCTION("""COMPUTED_VALUE"""),"US_112 CS DR JOSE DUSTAN CARVALHO SOARES	")</f>
        <v>US_112 CS DR JOSE DUSTAN CARVALHO SOARES	</v>
      </c>
      <c r="H1753" s="27">
        <f>IFERROR(__xludf.DUMMYFUNCTION("""COMPUTED_VALUE"""),81996501126)</f>
        <v>81996501126</v>
      </c>
      <c r="I1753" s="11"/>
      <c r="J1753" s="11"/>
      <c r="K1753" s="33">
        <f>IFERROR(__xludf.DUMMYFUNCTION("""COMPUTED_VALUE"""),45281)</f>
        <v>45281</v>
      </c>
      <c r="L1753" s="11"/>
      <c r="M1753" s="11"/>
      <c r="N1753" s="11"/>
      <c r="O1753" s="11">
        <f>IFERROR(__xludf.DUMMYFUNCTION("""COMPUTED_VALUE"""),4670134469)</f>
        <v>4670134469</v>
      </c>
      <c r="P1753" s="11"/>
      <c r="Q1753" s="11"/>
      <c r="R1753" s="11"/>
      <c r="S1753" s="11"/>
      <c r="T1753" s="11"/>
      <c r="U1753" s="11"/>
      <c r="V1753" s="11"/>
      <c r="W1753" s="11"/>
      <c r="X1753" s="11"/>
      <c r="Y1753" s="11"/>
      <c r="Z1753" s="11"/>
    </row>
    <row r="1754" customHeight="1" spans="1:26">
      <c r="A1754" s="11" t="str">
        <f>IFERROR(__xludf.DUMMYFUNCTION("""COMPUTED_VALUE"""),"SCARLET BIANCA SANTANA DOS SANTOS")</f>
        <v>SCARLET BIANCA SANTANA DOS SANTOS</v>
      </c>
      <c r="B1754" s="11"/>
      <c r="C1754" s="11"/>
      <c r="D1754" s="11" t="str">
        <f>IFERROR(__xludf.DUMMYFUNCTION("""COMPUTED_VALUE"""),"ENFERMEIRO 30H - DIARISTA")</f>
        <v>ENFERMEIRO 30H - DIARISTA</v>
      </c>
      <c r="E1754" s="11"/>
      <c r="F1754" s="11" t="str">
        <f>IFERROR(__xludf.DUMMYFUNCTION("""COMPUTED_VALUE"""),"")</f>
        <v/>
      </c>
      <c r="G1754" s="11" t="str">
        <f>IFERROR(__xludf.DUMMYFUNCTION("""COMPUTED_VALUE"""),"")</f>
        <v/>
      </c>
      <c r="H1754" s="11"/>
      <c r="I1754" s="11"/>
      <c r="J1754" s="11"/>
      <c r="K1754" s="11"/>
      <c r="L1754" s="11"/>
      <c r="M1754" s="11"/>
      <c r="N1754" s="11"/>
      <c r="O1754" s="11"/>
      <c r="P1754" s="11"/>
      <c r="Q1754" s="11"/>
      <c r="R1754" s="11"/>
      <c r="S1754" s="11"/>
      <c r="T1754" s="11"/>
      <c r="U1754" s="11"/>
      <c r="V1754" s="11"/>
      <c r="W1754" s="11"/>
      <c r="X1754" s="11"/>
      <c r="Y1754" s="11"/>
      <c r="Z1754" s="11"/>
    </row>
    <row r="1755" customHeight="1" spans="1:26">
      <c r="A1755" s="11" t="str">
        <f>IFERROR(__xludf.DUMMYFUNCTION("""COMPUTED_VALUE"""),"VERA LUCIA MACEDO DE SOUZA")</f>
        <v>VERA LUCIA MACEDO DE SOUZA</v>
      </c>
      <c r="B1755" s="11"/>
      <c r="C1755" s="11"/>
      <c r="D1755" s="11" t="str">
        <f>IFERROR(__xludf.DUMMYFUNCTION("""COMPUTED_VALUE"""),"ENFERMEIRO 40H")</f>
        <v>ENFERMEIRO 40H</v>
      </c>
      <c r="E1755" s="11"/>
      <c r="F1755" s="11" t="str">
        <f>IFERROR(__xludf.DUMMYFUNCTION("""COMPUTED_VALUE"""),"US_322 UNIDADE DE CUIDADOS INTEGRAIS GUILHERME ABATH")</f>
        <v>US_322 UNIDADE DE CUIDADOS INTEGRAIS GUILHERME ABATH</v>
      </c>
      <c r="G1755" s="11" t="str">
        <f>IFERROR(__xludf.DUMMYFUNCTION("""COMPUTED_VALUE"""),"US_322 UNIDADE DE CUIDADOS INTEGRAIS GUILHERME ABATH")</f>
        <v>US_322 UNIDADE DE CUIDADOS INTEGRAIS GUILHERME ABATH</v>
      </c>
      <c r="H1755" s="11"/>
      <c r="I1755" s="11"/>
      <c r="J1755" s="11"/>
      <c r="K1755" s="11"/>
      <c r="L1755" s="11"/>
      <c r="M1755" s="11"/>
      <c r="N1755" s="11"/>
      <c r="O1755" s="11">
        <f>IFERROR(__xludf.DUMMYFUNCTION("""COMPUTED_VALUE"""),16596170306)</f>
        <v>16596170306</v>
      </c>
      <c r="P1755" s="11"/>
      <c r="Q1755" s="11"/>
      <c r="R1755" s="11"/>
      <c r="S1755" s="11"/>
      <c r="T1755" s="11"/>
      <c r="U1755" s="11"/>
      <c r="V1755" s="11"/>
      <c r="W1755" s="11"/>
      <c r="X1755" s="11"/>
      <c r="Y1755" s="11"/>
      <c r="Z1755" s="11"/>
    </row>
    <row r="1756" customHeight="1" spans="1:26">
      <c r="A1756" s="11" t="str">
        <f>IFERROR(__xludf.DUMMYFUNCTION("""COMPUTED_VALUE"""),"JUSSARA MEDEIROS MARTINS MEIRA")</f>
        <v>JUSSARA MEDEIROS MARTINS MEIRA</v>
      </c>
      <c r="B1756" s="11"/>
      <c r="C1756" s="11"/>
      <c r="D1756" s="11" t="str">
        <f>IFERROR(__xludf.DUMMYFUNCTION("""COMPUTED_VALUE"""),"ENFERMEIRO 30H")</f>
        <v>ENFERMEIRO 30H</v>
      </c>
      <c r="E1756" s="11"/>
      <c r="F1756" s="11" t="str">
        <f>IFERROR(__xludf.DUMMYFUNCTION("""COMPUTED_VALUE"""),"US_255 USF UPINHA 24H VILA ARRAES	")</f>
        <v>US_255 USF UPINHA 24H VILA ARRAES	</v>
      </c>
      <c r="G1756" s="11" t="str">
        <f>IFERROR(__xludf.DUMMYFUNCTION("""COMPUTED_VALUE"""),"US_255 USF UPINHA 24H VILA ARRAES	")</f>
        <v>US_255 USF UPINHA 24H VILA ARRAES	</v>
      </c>
      <c r="H1756" s="11"/>
      <c r="I1756" s="11"/>
      <c r="J1756" s="11"/>
      <c r="K1756" s="11"/>
      <c r="L1756" s="11"/>
      <c r="M1756" s="11"/>
      <c r="N1756" s="11"/>
      <c r="O1756" s="11">
        <f>IFERROR(__xludf.DUMMYFUNCTION("""COMPUTED_VALUE"""),43222420491)</f>
        <v>43222420491</v>
      </c>
      <c r="P1756" s="11"/>
      <c r="Q1756" s="11"/>
      <c r="R1756" s="11"/>
      <c r="S1756" s="11"/>
      <c r="T1756" s="11"/>
      <c r="U1756" s="11"/>
      <c r="V1756" s="11"/>
      <c r="W1756" s="11"/>
      <c r="X1756" s="11"/>
      <c r="Y1756" s="11"/>
      <c r="Z1756" s="11"/>
    </row>
    <row r="1757" customHeight="1" spans="1:26">
      <c r="A1757" s="11" t="str">
        <f>IFERROR(__xludf.DUMMYFUNCTION("""COMPUTED_VALUE"""),"LUDMILLA ANGELO F L DA SILVA")</f>
        <v>LUDMILLA ANGELO F L DA SILVA</v>
      </c>
      <c r="B1757" s="11"/>
      <c r="C1757" s="11"/>
      <c r="D1757" s="11" t="str">
        <f>IFERROR(__xludf.DUMMYFUNCTION("""COMPUTED_VALUE"""),"ENFERMEIRO 30H")</f>
        <v>ENFERMEIRO 30H</v>
      </c>
      <c r="E1757" s="11"/>
      <c r="F1757" s="11" t="str">
        <f>IFERROR(__xludf.DUMMYFUNCTION("""COMPUTED_VALUE"""),"US_218 USF COQUE")</f>
        <v>US_218 USF COQUE</v>
      </c>
      <c r="G1757" s="11" t="str">
        <f>IFERROR(__xludf.DUMMYFUNCTION("""COMPUTED_VALUE"""),"US_218 USF COQUE")</f>
        <v>US_218 USF COQUE</v>
      </c>
      <c r="H1757" s="27">
        <f>IFERROR(__xludf.DUMMYFUNCTION("""COMPUTED_VALUE"""),81997400300)</f>
        <v>81997400300</v>
      </c>
      <c r="I1757" s="11"/>
      <c r="J1757" s="11"/>
      <c r="K1757" s="33">
        <f>IFERROR(__xludf.DUMMYFUNCTION("""COMPUTED_VALUE"""),45260)</f>
        <v>45260</v>
      </c>
      <c r="L1757" s="11"/>
      <c r="M1757" s="11"/>
      <c r="N1757" s="11"/>
      <c r="O1757" s="11">
        <f>IFERROR(__xludf.DUMMYFUNCTION("""COMPUTED_VALUE"""),83393005472)</f>
        <v>83393005472</v>
      </c>
      <c r="P1757" s="11"/>
      <c r="Q1757" s="11"/>
      <c r="R1757" s="11"/>
      <c r="S1757" s="11"/>
      <c r="T1757" s="11"/>
      <c r="U1757" s="11"/>
      <c r="V1757" s="11"/>
      <c r="W1757" s="11"/>
      <c r="X1757" s="11"/>
      <c r="Y1757" s="11"/>
      <c r="Z1757" s="11"/>
    </row>
    <row r="1758" customHeight="1" spans="1:26">
      <c r="A1758" s="11" t="str">
        <f>IFERROR(__xludf.DUMMYFUNCTION("""COMPUTED_VALUE"""),"ROBECIA MORAIS DE ASSUNCAO")</f>
        <v>ROBECIA MORAIS DE ASSUNCAO</v>
      </c>
      <c r="B1758" s="11"/>
      <c r="C1758" s="11"/>
      <c r="D1758" s="11" t="str">
        <f>IFERROR(__xludf.DUMMYFUNCTION("""COMPUTED_VALUE"""),"ENFERMEIRO 30H")</f>
        <v>ENFERMEIRO 30H</v>
      </c>
      <c r="E1758" s="11"/>
      <c r="F1758" s="11" t="str">
        <f>IFERROR(__xludf.DUMMYFUNCTION("""COMPUTED_VALUE"""),"US_174 USF SITIO GRANDE")</f>
        <v>US_174 USF SITIO GRANDE</v>
      </c>
      <c r="G1758" s="11" t="str">
        <f>IFERROR(__xludf.DUMMYFUNCTION("""COMPUTED_VALUE"""),"US_174 USF SITIO GRANDE")</f>
        <v>US_174 USF SITIO GRANDE</v>
      </c>
      <c r="H1758" s="11"/>
      <c r="I1758" s="11"/>
      <c r="J1758" s="11"/>
      <c r="K1758" s="11"/>
      <c r="L1758" s="11"/>
      <c r="M1758" s="11"/>
      <c r="N1758" s="11"/>
      <c r="O1758" s="11">
        <f>IFERROR(__xludf.DUMMYFUNCTION("""COMPUTED_VALUE"""),93608985468)</f>
        <v>93608985468</v>
      </c>
      <c r="P1758" s="11"/>
      <c r="Q1758" s="11"/>
      <c r="R1758" s="11"/>
      <c r="S1758" s="11"/>
      <c r="T1758" s="11"/>
      <c r="U1758" s="11"/>
      <c r="V1758" s="11"/>
      <c r="W1758" s="11"/>
      <c r="X1758" s="11"/>
      <c r="Y1758" s="11"/>
      <c r="Z1758" s="11"/>
    </row>
    <row r="1759" customHeight="1" spans="1:26">
      <c r="A1759" s="11" t="str">
        <f>IFERROR(__xludf.DUMMYFUNCTION("""COMPUTED_VALUE"""),"JOSETTI GOMES DE ALMEIDA")</f>
        <v>JOSETTI GOMES DE ALMEIDA</v>
      </c>
      <c r="B1759" s="11"/>
      <c r="C1759" s="11"/>
      <c r="D1759" s="11" t="str">
        <f>IFERROR(__xludf.DUMMYFUNCTION("""COMPUTED_VALUE"""),"ENFERMEIRO 30H")</f>
        <v>ENFERMEIRO 30H</v>
      </c>
      <c r="E1759" s="11"/>
      <c r="F1759" s="11" t="str">
        <f>IFERROR(__xludf.DUMMYFUNCTION("""COMPUTED_VALUE"""),"US_349 USF CASARAO DO CORDEIRO")</f>
        <v>US_349 USF CASARAO DO CORDEIRO</v>
      </c>
      <c r="G1759" s="11" t="str">
        <f>IFERROR(__xludf.DUMMYFUNCTION("""COMPUTED_VALUE"""),"US_349 USF CASARAO DO CORDEIRO")</f>
        <v>US_349 USF CASARAO DO CORDEIRO</v>
      </c>
      <c r="H1759" s="11"/>
      <c r="I1759" s="11"/>
      <c r="J1759" s="11"/>
      <c r="K1759" s="11"/>
      <c r="L1759" s="11"/>
      <c r="M1759" s="11"/>
      <c r="N1759" s="11"/>
      <c r="O1759" s="11">
        <f>IFERROR(__xludf.DUMMYFUNCTION("""COMPUTED_VALUE"""),85781550410)</f>
        <v>85781550410</v>
      </c>
      <c r="P1759" s="11"/>
      <c r="Q1759" s="11"/>
      <c r="R1759" s="11"/>
      <c r="S1759" s="11"/>
      <c r="T1759" s="11"/>
      <c r="U1759" s="11"/>
      <c r="V1759" s="11"/>
      <c r="W1759" s="11"/>
      <c r="X1759" s="11"/>
      <c r="Y1759" s="11"/>
      <c r="Z1759" s="11"/>
    </row>
    <row r="1760" customHeight="1" spans="1:26">
      <c r="A1760" s="11" t="str">
        <f>IFERROR(__xludf.DUMMYFUNCTION("""COMPUTED_VALUE"""),"ANDREA DOLORES B T MOUTINHO")</f>
        <v>ANDREA DOLORES B T MOUTINHO</v>
      </c>
      <c r="B1760" s="11"/>
      <c r="C1760" s="11"/>
      <c r="D1760" s="11" t="str">
        <f>IFERROR(__xludf.DUMMYFUNCTION("""COMPUTED_VALUE"""),"ENFERMEIRO 40H")</f>
        <v>ENFERMEIRO 40H</v>
      </c>
      <c r="E1760" s="11"/>
      <c r="F1760" s="11" t="str">
        <f>IFERROR(__xludf.DUMMYFUNCTION("""COMPUTED_VALUE"""),"US_404 USF SANTO AMARO III	")</f>
        <v>US_404 USF SANTO AMARO III	</v>
      </c>
      <c r="G1760" s="11" t="str">
        <f>IFERROR(__xludf.DUMMYFUNCTION("""COMPUTED_VALUE"""),"US_404 USF SANTO AMARO III	")</f>
        <v>US_404 USF SANTO AMARO III	</v>
      </c>
      <c r="H1760" s="27">
        <f>IFERROR(__xludf.DUMMYFUNCTION("""COMPUTED_VALUE"""),8196330209)</f>
        <v>8196330209</v>
      </c>
      <c r="I1760" s="11"/>
      <c r="J1760" s="11"/>
      <c r="K1760" s="24">
        <f>IFERROR(__xludf.DUMMYFUNCTION("""COMPUTED_VALUE"""),45301)</f>
        <v>45301</v>
      </c>
      <c r="L1760" s="11"/>
      <c r="M1760" s="11"/>
      <c r="N1760" s="11"/>
      <c r="O1760" s="11">
        <f>IFERROR(__xludf.DUMMYFUNCTION("""COMPUTED_VALUE"""),47896868334)</f>
        <v>47896868334</v>
      </c>
      <c r="P1760" s="11"/>
      <c r="Q1760" s="11"/>
      <c r="R1760" s="11"/>
      <c r="S1760" s="11"/>
      <c r="T1760" s="11"/>
      <c r="U1760" s="11"/>
      <c r="V1760" s="11"/>
      <c r="W1760" s="11"/>
      <c r="X1760" s="11"/>
      <c r="Y1760" s="11"/>
      <c r="Z1760" s="11"/>
    </row>
    <row r="1761" customHeight="1" spans="1:26">
      <c r="A1761" s="11" t="str">
        <f>IFERROR(__xludf.DUMMYFUNCTION("""COMPUTED_VALUE"""),"ALINETE NUNES DE ALENCAR")</f>
        <v>ALINETE NUNES DE ALENCAR</v>
      </c>
      <c r="B1761" s="11"/>
      <c r="C1761" s="11"/>
      <c r="D1761" s="11" t="str">
        <f>IFERROR(__xludf.DUMMYFUNCTION("""COMPUTED_VALUE"""),"ENFERMEIRO 40H")</f>
        <v>ENFERMEIRO 40H</v>
      </c>
      <c r="E1761" s="11"/>
      <c r="F1761" s="11" t="str">
        <f>IFERROR(__xludf.DUMMYFUNCTION("""COMPUTED_VALUE"""),"USF - US 155 USF ALTO DOS COQUEIROS II / BEBERIBE / PROF. MONTEIRO DE MORAIS")</f>
        <v>USF - US 155 USF ALTO DOS COQUEIROS II / BEBERIBE / PROF. MONTEIRO DE MORAIS</v>
      </c>
      <c r="G1761" s="11" t="str">
        <f>IFERROR(__xludf.DUMMYFUNCTION("""COMPUTED_VALUE"""),"USF - US 155 USF ALTO DOS COQUEIROS II / BEBERIBE / PROF. MONTEIRO DE MORAIS")</f>
        <v>USF - US 155 USF ALTO DOS COQUEIROS II / BEBERIBE / PROF. MONTEIRO DE MORAIS</v>
      </c>
      <c r="H1761" s="11"/>
      <c r="I1761" s="11"/>
      <c r="J1761" s="11"/>
      <c r="K1761" s="11"/>
      <c r="L1761" s="11"/>
      <c r="M1761" s="11"/>
      <c r="N1761" s="11"/>
      <c r="O1761" s="11">
        <f>IFERROR(__xludf.DUMMYFUNCTION("""COMPUTED_VALUE"""),17873754472)</f>
        <v>17873754472</v>
      </c>
      <c r="P1761" s="11"/>
      <c r="Q1761" s="11"/>
      <c r="R1761" s="11"/>
      <c r="S1761" s="11"/>
      <c r="T1761" s="11"/>
      <c r="U1761" s="11"/>
      <c r="V1761" s="11"/>
      <c r="W1761" s="11"/>
      <c r="X1761" s="11"/>
      <c r="Y1761" s="11"/>
      <c r="Z1761" s="11"/>
    </row>
    <row r="1762" customHeight="1" spans="1:26">
      <c r="A1762" s="11" t="str">
        <f>IFERROR(__xludf.DUMMYFUNCTION("""COMPUTED_VALUE"""),"SILVANA MARIA FARIA ROCHA")</f>
        <v>SILVANA MARIA FARIA ROCHA</v>
      </c>
      <c r="B1762" s="11"/>
      <c r="C1762" s="11"/>
      <c r="D1762" s="11" t="str">
        <f>IFERROR(__xludf.DUMMYFUNCTION("""COMPUTED_VALUE"""),"ENFERMEIRO 40H")</f>
        <v>ENFERMEIRO 40H</v>
      </c>
      <c r="E1762" s="11"/>
      <c r="F1762" s="11" t="str">
        <f>IFERROR(__xludf.DUMMYFUNCTION("""COMPUTED_VALUE"""),"US_287 USF ALTO JOSE DO PINHO")</f>
        <v>US_287 USF ALTO JOSE DO PINHO</v>
      </c>
      <c r="G1762" s="11" t="str">
        <f>IFERROR(__xludf.DUMMYFUNCTION("""COMPUTED_VALUE"""),"US_287 USF ALTO JOSE DO PINHO")</f>
        <v>US_287 USF ALTO JOSE DO PINHO</v>
      </c>
      <c r="H1762" s="11"/>
      <c r="I1762" s="11"/>
      <c r="J1762" s="11"/>
      <c r="K1762" s="11"/>
      <c r="L1762" s="11"/>
      <c r="M1762" s="11"/>
      <c r="N1762" s="11"/>
      <c r="O1762" s="11">
        <f>IFERROR(__xludf.DUMMYFUNCTION("""COMPUTED_VALUE"""),42909830497)</f>
        <v>42909830497</v>
      </c>
      <c r="P1762" s="11"/>
      <c r="Q1762" s="11"/>
      <c r="R1762" s="11"/>
      <c r="S1762" s="11"/>
      <c r="T1762" s="11"/>
      <c r="U1762" s="11"/>
      <c r="V1762" s="11"/>
      <c r="W1762" s="11"/>
      <c r="X1762" s="11"/>
      <c r="Y1762" s="11"/>
      <c r="Z1762" s="11"/>
    </row>
    <row r="1763" customHeight="1" spans="1:26">
      <c r="A1763" s="11" t="str">
        <f>IFERROR(__xludf.DUMMYFUNCTION("""COMPUTED_VALUE"""),"FABIOLA CARNEIRO F DOS SANTOS")</f>
        <v>FABIOLA CARNEIRO F DOS SANTOS</v>
      </c>
      <c r="B1763" s="11"/>
      <c r="C1763" s="11"/>
      <c r="D1763" s="11" t="str">
        <f>IFERROR(__xludf.DUMMYFUNCTION("""COMPUTED_VALUE"""),"ENFERMEIRO 30H")</f>
        <v>ENFERMEIRO 30H</v>
      </c>
      <c r="E1763" s="11"/>
      <c r="F1763" s="11" t="str">
        <f>IFERROR(__xludf.DUMMYFUNCTION("""COMPUTED_VALUE"""),"US_216 USF APIPUCOS")</f>
        <v>US_216 USF APIPUCOS</v>
      </c>
      <c r="G1763" s="11" t="str">
        <f>IFERROR(__xludf.DUMMYFUNCTION("""COMPUTED_VALUE"""),"US_216 USF APIPUCOS")</f>
        <v>US_216 USF APIPUCOS</v>
      </c>
      <c r="H1763" s="11"/>
      <c r="I1763" s="11"/>
      <c r="J1763" s="11"/>
      <c r="K1763" s="11"/>
      <c r="L1763" s="11"/>
      <c r="M1763" s="11"/>
      <c r="N1763" s="11"/>
      <c r="O1763" s="11">
        <f>IFERROR(__xludf.DUMMYFUNCTION("""COMPUTED_VALUE"""),3775207481)</f>
        <v>3775207481</v>
      </c>
      <c r="P1763" s="11"/>
      <c r="Q1763" s="11"/>
      <c r="R1763" s="11"/>
      <c r="S1763" s="11"/>
      <c r="T1763" s="11"/>
      <c r="U1763" s="11"/>
      <c r="V1763" s="11"/>
      <c r="W1763" s="11"/>
      <c r="X1763" s="11"/>
      <c r="Y1763" s="11"/>
      <c r="Z1763" s="11"/>
    </row>
    <row r="1764" customHeight="1" spans="1:26">
      <c r="A1764" s="11" t="str">
        <f>IFERROR(__xludf.DUMMYFUNCTION("""COMPUTED_VALUE"""),"RENATA DUARTE GOMES")</f>
        <v>RENATA DUARTE GOMES</v>
      </c>
      <c r="B1764" s="11"/>
      <c r="C1764" s="11"/>
      <c r="D1764" s="11" t="str">
        <f>IFERROR(__xludf.DUMMYFUNCTION("""COMPUTED_VALUE"""),"ENFERMEIRO 30H")</f>
        <v>ENFERMEIRO 30H</v>
      </c>
      <c r="E1764" s="11"/>
      <c r="F1764" s="11" t="str">
        <f>IFERROR(__xludf.DUMMYFUNCTION("""COMPUTED_VALUE"""),"US_279 USF PASSARINHO ALTO")</f>
        <v>US_279 USF PASSARINHO ALTO</v>
      </c>
      <c r="G1764" s="11" t="str">
        <f>IFERROR(__xludf.DUMMYFUNCTION("""COMPUTED_VALUE"""),"US_279 USF PASSARINHO ALTO")</f>
        <v>US_279 USF PASSARINHO ALTO</v>
      </c>
      <c r="H1764" s="11"/>
      <c r="I1764" s="11"/>
      <c r="J1764" s="11"/>
      <c r="K1764" s="11"/>
      <c r="L1764" s="11"/>
      <c r="M1764" s="11"/>
      <c r="N1764" s="11"/>
      <c r="O1764" s="11">
        <f>IFERROR(__xludf.DUMMYFUNCTION("""COMPUTED_VALUE"""),2462234489)</f>
        <v>2462234489</v>
      </c>
      <c r="P1764" s="11"/>
      <c r="Q1764" s="11"/>
      <c r="R1764" s="11"/>
      <c r="S1764" s="11"/>
      <c r="T1764" s="11"/>
      <c r="U1764" s="11"/>
      <c r="V1764" s="11"/>
      <c r="W1764" s="11"/>
      <c r="X1764" s="11"/>
      <c r="Y1764" s="11"/>
      <c r="Z1764" s="11"/>
    </row>
    <row r="1765" customHeight="1" spans="1:26">
      <c r="A1765" s="11" t="str">
        <f>IFERROR(__xludf.DUMMYFUNCTION("""COMPUTED_VALUE"""),"LILIANY VIEIRA DA SILVA")</f>
        <v>LILIANY VIEIRA DA SILVA</v>
      </c>
      <c r="B1765" s="11"/>
      <c r="C1765" s="11"/>
      <c r="D1765" s="11" t="str">
        <f>IFERROR(__xludf.DUMMYFUNCTION("""COMPUTED_VALUE"""),"ENFERMEIRO 40H")</f>
        <v>ENFERMEIRO 40H</v>
      </c>
      <c r="E1765" s="11"/>
      <c r="F1765" s="11" t="str">
        <f>IFERROR(__xludf.DUMMYFUNCTION("""COMPUTED_VALUE"""),"US_172 USF TRES CARNEIROS ALTO  / JORGE LOBO")</f>
        <v>US_172 USF TRES CARNEIROS ALTO  / JORGE LOBO</v>
      </c>
      <c r="G1765" s="11" t="str">
        <f>IFERROR(__xludf.DUMMYFUNCTION("""COMPUTED_VALUE"""),"US_172 USF TRES CARNEIROS ALTO  / JORGE LOBO")</f>
        <v>US_172 USF TRES CARNEIROS ALTO  / JORGE LOBO</v>
      </c>
      <c r="H1765" s="11"/>
      <c r="I1765" s="11"/>
      <c r="J1765" s="11"/>
      <c r="K1765" s="11"/>
      <c r="L1765" s="11"/>
      <c r="M1765" s="11"/>
      <c r="N1765" s="11"/>
      <c r="O1765" s="11">
        <f>IFERROR(__xludf.DUMMYFUNCTION("""COMPUTED_VALUE"""),2804850420)</f>
        <v>2804850420</v>
      </c>
      <c r="P1765" s="11"/>
      <c r="Q1765" s="11"/>
      <c r="R1765" s="11"/>
      <c r="S1765" s="11"/>
      <c r="T1765" s="11"/>
      <c r="U1765" s="11"/>
      <c r="V1765" s="11"/>
      <c r="W1765" s="11"/>
      <c r="X1765" s="11"/>
      <c r="Y1765" s="11"/>
      <c r="Z1765" s="11"/>
    </row>
    <row r="1766" customHeight="1" spans="1:26">
      <c r="A1766" s="11" t="str">
        <f>IFERROR(__xludf.DUMMYFUNCTION("""COMPUTED_VALUE"""),"ROSANGELA CRISTINA Q MARINHO")</f>
        <v>ROSANGELA CRISTINA Q MARINHO</v>
      </c>
      <c r="B1766" s="11"/>
      <c r="C1766" s="11"/>
      <c r="D1766" s="11" t="str">
        <f>IFERROR(__xludf.DUMMYFUNCTION("""COMPUTED_VALUE"""),"SERV OUT ORGAOS - REG PROPRIO")</f>
        <v>SERV OUT ORGAOS - REG PROPRIO</v>
      </c>
      <c r="E1766" s="11"/>
      <c r="F1766" s="11" t="str">
        <f>IFERROR(__xludf.DUMMYFUNCTION("""COMPUTED_VALUE"""),"US_278 USF NOSSA SRA DO PILAR BAIRRO DO RECIFE")</f>
        <v>US_278 USF NOSSA SRA DO PILAR BAIRRO DO RECIFE</v>
      </c>
      <c r="G1766" s="11" t="str">
        <f>IFERROR(__xludf.DUMMYFUNCTION("""COMPUTED_VALUE"""),"US_278 USF NOSSA SRA DO PILAR BAIRRO DO RECIFE")</f>
        <v>US_278 USF NOSSA SRA DO PILAR BAIRRO DO RECIFE</v>
      </c>
      <c r="H1766" s="27">
        <f>IFERROR(__xludf.DUMMYFUNCTION("""COMPUTED_VALUE"""),81989010111)</f>
        <v>81989010111</v>
      </c>
      <c r="I1766" s="11"/>
      <c r="J1766" s="11" t="str">
        <f>IFERROR(__xludf.DUMMYFUNCTION("""COMPUTED_VALUE"""),"81989010111")</f>
        <v>81989010111</v>
      </c>
      <c r="K1766" s="24">
        <f>IFERROR(__xludf.DUMMYFUNCTION("""COMPUTED_VALUE"""),45078)</f>
        <v>45078</v>
      </c>
      <c r="L1766" s="11"/>
      <c r="M1766" s="11"/>
      <c r="N1766" s="11"/>
      <c r="O1766" s="11">
        <f>IFERROR(__xludf.DUMMYFUNCTION("""COMPUTED_VALUE"""),40445470410)</f>
        <v>40445470410</v>
      </c>
      <c r="P1766" s="11"/>
      <c r="Q1766" s="11"/>
      <c r="R1766" s="11"/>
      <c r="S1766" s="11"/>
      <c r="T1766" s="11"/>
      <c r="U1766" s="11"/>
      <c r="V1766" s="11"/>
      <c r="W1766" s="11"/>
      <c r="X1766" s="11"/>
      <c r="Y1766" s="11"/>
      <c r="Z1766" s="11"/>
    </row>
    <row r="1767" customHeight="1" spans="1:26">
      <c r="A1767" s="11" t="str">
        <f>IFERROR(__xludf.DUMMYFUNCTION("""COMPUTED_VALUE"""),"EDIMARA OLIVEIRA MENEZES")</f>
        <v>EDIMARA OLIVEIRA MENEZES</v>
      </c>
      <c r="B1767" s="11"/>
      <c r="C1767" s="11"/>
      <c r="D1767" s="11" t="str">
        <f>IFERROR(__xludf.DUMMYFUNCTION("""COMPUTED_VALUE"""),"ENFERMEIRO 40H")</f>
        <v>ENFERMEIRO 40H</v>
      </c>
      <c r="E1767" s="11"/>
      <c r="F1767" s="11" t="str">
        <f>IFERROR(__xludf.DUMMYFUNCTION("""COMPUTED_VALUE"""),"US_255 USF UPINHA 24H VILA ARRAES	")</f>
        <v>US_255 USF UPINHA 24H VILA ARRAES	</v>
      </c>
      <c r="G1767" s="11" t="str">
        <f>IFERROR(__xludf.DUMMYFUNCTION("""COMPUTED_VALUE"""),"US_255 USF UPINHA 24H VILA ARRAES	")</f>
        <v>US_255 USF UPINHA 24H VILA ARRAES	</v>
      </c>
      <c r="H1767" s="27">
        <f>IFERROR(__xludf.DUMMYFUNCTION("""COMPUTED_VALUE"""),8694069901)</f>
        <v>8694069901</v>
      </c>
      <c r="I1767" s="11"/>
      <c r="J1767" s="11"/>
      <c r="K1767" s="24">
        <f>IFERROR(__xludf.DUMMYFUNCTION("""COMPUTED_VALUE"""),45415)</f>
        <v>45415</v>
      </c>
      <c r="L1767" s="11"/>
      <c r="M1767" s="11"/>
      <c r="N1767" s="11"/>
      <c r="O1767" s="11">
        <f>IFERROR(__xludf.DUMMYFUNCTION("""COMPUTED_VALUE"""),4914312360)</f>
        <v>4914312360</v>
      </c>
      <c r="P1767" s="11"/>
      <c r="Q1767" s="11"/>
      <c r="R1767" s="11"/>
      <c r="S1767" s="11"/>
      <c r="T1767" s="11"/>
      <c r="U1767" s="11"/>
      <c r="V1767" s="11"/>
      <c r="W1767" s="11"/>
      <c r="X1767" s="11"/>
      <c r="Y1767" s="11"/>
      <c r="Z1767" s="11"/>
    </row>
    <row r="1768" customHeight="1" spans="1:26">
      <c r="A1768" s="11" t="str">
        <f>IFERROR(__xludf.DUMMYFUNCTION("""COMPUTED_VALUE"""),"KESIA VALENTIM DO N DUARTE")</f>
        <v>KESIA VALENTIM DO N DUARTE</v>
      </c>
      <c r="B1768" s="11"/>
      <c r="C1768" s="11"/>
      <c r="D1768" s="11" t="str">
        <f>IFERROR(__xludf.DUMMYFUNCTION("""COMPUTED_VALUE"""),"ENFERMEIRO 40H")</f>
        <v>ENFERMEIRO 40H</v>
      </c>
      <c r="E1768" s="11"/>
      <c r="F1768" s="11" t="str">
        <f>IFERROR(__xludf.DUMMYFUNCTION("""COMPUTED_VALUE"""),"US_255 USF UPINHA 24H VILA ARRAES	")</f>
        <v>US_255 USF UPINHA 24H VILA ARRAES	</v>
      </c>
      <c r="G1768" s="11" t="str">
        <f>IFERROR(__xludf.DUMMYFUNCTION("""COMPUTED_VALUE"""),"US_255 USF UPINHA 24H VILA ARRAES	")</f>
        <v>US_255 USF UPINHA 24H VILA ARRAES	</v>
      </c>
      <c r="H1768" s="27">
        <f>IFERROR(__xludf.DUMMYFUNCTION("""COMPUTED_VALUE"""),8196213505)</f>
        <v>8196213505</v>
      </c>
      <c r="I1768" s="11"/>
      <c r="J1768" s="11"/>
      <c r="K1768" s="24">
        <f>IFERROR(__xludf.DUMMYFUNCTION("""COMPUTED_VALUE"""),45279)</f>
        <v>45279</v>
      </c>
      <c r="L1768" s="11"/>
      <c r="M1768" s="11"/>
      <c r="N1768" s="11"/>
      <c r="O1768" s="11">
        <f>IFERROR(__xludf.DUMMYFUNCTION("""COMPUTED_VALUE"""),8558527474)</f>
        <v>8558527474</v>
      </c>
      <c r="P1768" s="11"/>
      <c r="Q1768" s="11"/>
      <c r="R1768" s="11"/>
      <c r="S1768" s="11"/>
      <c r="T1768" s="11"/>
      <c r="U1768" s="11"/>
      <c r="V1768" s="11"/>
      <c r="W1768" s="11"/>
      <c r="X1768" s="11"/>
      <c r="Y1768" s="11"/>
      <c r="Z1768" s="11"/>
    </row>
    <row r="1769" customHeight="1" spans="1:26">
      <c r="A1769" s="11" t="str">
        <f>IFERROR(__xludf.DUMMYFUNCTION("""COMPUTED_VALUE"""),"CRISTHIANO NEIVA S BARBOSA")</f>
        <v>CRISTHIANO NEIVA S BARBOSA</v>
      </c>
      <c r="B1769" s="11"/>
      <c r="C1769" s="11"/>
      <c r="D1769" s="11" t="str">
        <f>IFERROR(__xludf.DUMMYFUNCTION("""COMPUTED_VALUE"""),"ENFERMEIRO 40H - USF")</f>
        <v>ENFERMEIRO 40H - USF</v>
      </c>
      <c r="E1769" s="11"/>
      <c r="F1769" s="11" t="str">
        <f>IFERROR(__xludf.DUMMYFUNCTION("""COMPUTED_VALUE"""),"US_265 USF MANGUEIRA I")</f>
        <v>US_265 USF MANGUEIRA I</v>
      </c>
      <c r="G1769" s="11" t="str">
        <f>IFERROR(__xludf.DUMMYFUNCTION("""COMPUTED_VALUE"""),"US_265 USF MANGUEIRA I")</f>
        <v>US_265 USF MANGUEIRA I</v>
      </c>
      <c r="H1769" s="11"/>
      <c r="I1769" s="11"/>
      <c r="J1769" s="11"/>
      <c r="K1769" s="11"/>
      <c r="L1769" s="11"/>
      <c r="M1769" s="11"/>
      <c r="N1769" s="11"/>
      <c r="O1769" s="11">
        <f>IFERROR(__xludf.DUMMYFUNCTION("""COMPUTED_VALUE"""),3282098308)</f>
        <v>3282098308</v>
      </c>
      <c r="P1769" s="11"/>
      <c r="Q1769" s="11"/>
      <c r="R1769" s="11"/>
      <c r="S1769" s="11"/>
      <c r="T1769" s="11"/>
      <c r="U1769" s="11"/>
      <c r="V1769" s="11"/>
      <c r="W1769" s="11"/>
      <c r="X1769" s="11"/>
      <c r="Y1769" s="11"/>
      <c r="Z1769" s="11"/>
    </row>
    <row r="1770" customHeight="1" spans="1:26">
      <c r="A1770" s="11" t="str">
        <f>IFERROR(__xludf.DUMMYFUNCTION("""COMPUTED_VALUE"""),"JULIANA CHAVES CABRAL")</f>
        <v>JULIANA CHAVES CABRAL</v>
      </c>
      <c r="B1770" s="11"/>
      <c r="C1770" s="11"/>
      <c r="D1770" s="11" t="str">
        <f>IFERROR(__xludf.DUMMYFUNCTION("""COMPUTED_VALUE"""),"MÉDICA")</f>
        <v>MÉDICA</v>
      </c>
      <c r="E1770" s="11"/>
      <c r="F1770" s="11"/>
      <c r="G1770" s="11" t="str">
        <f>IFERROR(__xludf.DUMMYFUNCTION("""COMPUTED_VALUE"""),"US_231 USF CORREGO DA BICA / MARIA EDUARDA CESSE")</f>
        <v>US_231 USF CORREGO DA BICA / MARIA EDUARDA CESSE</v>
      </c>
      <c r="H1770" s="27">
        <f>IFERROR(__xludf.DUMMYFUNCTION("""COMPUTED_VALUE"""),81985319555)</f>
        <v>81985319555</v>
      </c>
      <c r="I1770" s="11"/>
      <c r="J1770" s="11"/>
      <c r="K1770" s="11"/>
      <c r="L1770" s="11"/>
      <c r="M1770" s="11"/>
      <c r="N1770" s="11"/>
      <c r="O1770" s="11"/>
      <c r="P1770" s="11"/>
      <c r="Q1770" s="11"/>
      <c r="R1770" s="11"/>
      <c r="S1770" s="11"/>
      <c r="T1770" s="11"/>
      <c r="U1770" s="11"/>
      <c r="V1770" s="11"/>
      <c r="W1770" s="11"/>
      <c r="X1770" s="11"/>
      <c r="Y1770" s="11"/>
      <c r="Z1770" s="11"/>
    </row>
    <row r="1771" customHeight="1" spans="1:26">
      <c r="A1771" s="11" t="str">
        <f>IFERROR(__xludf.DUMMYFUNCTION("""COMPUTED_VALUE"""),"SUELLEN DAYSE DE MOURA R NERIS")</f>
        <v>SUELLEN DAYSE DE MOURA R NERIS</v>
      </c>
      <c r="B1771" s="11"/>
      <c r="C1771" s="11"/>
      <c r="D1771" s="11" t="str">
        <f>IFERROR(__xludf.DUMMYFUNCTION("""COMPUTED_VALUE"""),"ENFERMEIRO 40H - USF")</f>
        <v>ENFERMEIRO 40H - USF</v>
      </c>
      <c r="E1771" s="11"/>
      <c r="F1771" s="11" t="str">
        <f>IFERROR(__xludf.DUMMYFUNCTION("""COMPUTED_VALUE"""),"US_231 USF CORREGO DA BICA / MARIA EDUARDA CESSE")</f>
        <v>US_231 USF CORREGO DA BICA / MARIA EDUARDA CESSE</v>
      </c>
      <c r="G1771" s="11" t="str">
        <f>IFERROR(__xludf.DUMMYFUNCTION("""COMPUTED_VALUE"""),"US_231 USF CORREGO DA BICA / MARIA EDUARDA CESSE")</f>
        <v>US_231 USF CORREGO DA BICA / MARIA EDUARDA CESSE</v>
      </c>
      <c r="H1771" s="27">
        <f>IFERROR(__xludf.DUMMYFUNCTION("""COMPUTED_VALUE"""),81982803703)</f>
        <v>81982803703</v>
      </c>
      <c r="I1771" s="11"/>
      <c r="J1771" s="11"/>
      <c r="K1771" s="24">
        <f>IFERROR(__xludf.DUMMYFUNCTION("""COMPUTED_VALUE"""),45238)</f>
        <v>45238</v>
      </c>
      <c r="L1771" s="11"/>
      <c r="M1771" s="11"/>
      <c r="N1771" s="11"/>
      <c r="O1771" s="11">
        <f>IFERROR(__xludf.DUMMYFUNCTION("""COMPUTED_VALUE"""),6887869446)</f>
        <v>6887869446</v>
      </c>
      <c r="P1771" s="11"/>
      <c r="Q1771" s="11"/>
      <c r="R1771" s="11"/>
      <c r="S1771" s="11"/>
      <c r="T1771" s="11"/>
      <c r="U1771" s="11"/>
      <c r="V1771" s="11"/>
      <c r="W1771" s="11"/>
      <c r="X1771" s="11"/>
      <c r="Y1771" s="11"/>
      <c r="Z1771" s="11"/>
    </row>
    <row r="1772" customHeight="1" spans="1:26">
      <c r="A1772" s="11" t="str">
        <f>IFERROR(__xludf.DUMMYFUNCTION("""COMPUTED_VALUE"""),"BRUNNO STEPHANY LIMA DE PAULA")</f>
        <v>BRUNNO STEPHANY LIMA DE PAULA</v>
      </c>
      <c r="B1772" s="11"/>
      <c r="C1772" s="11"/>
      <c r="D1772" s="11" t="str">
        <f>IFERROR(__xludf.DUMMYFUNCTION("""COMPUTED_VALUE"""),"ENFERMEIRO 30H - PLANTONISTA")</f>
        <v>ENFERMEIRO 30H - PLANTONISTA</v>
      </c>
      <c r="E1772" s="11"/>
      <c r="F1772" s="11" t="str">
        <f>IFERROR(__xludf.DUMMYFUNCTION("""COMPUTED_VALUE"""),"US_255 USF UPINHA 24H VILA ARRAES	")</f>
        <v>US_255 USF UPINHA 24H VILA ARRAES	</v>
      </c>
      <c r="G1772" s="11" t="str">
        <f>IFERROR(__xludf.DUMMYFUNCTION("""COMPUTED_VALUE"""),"US_255 USF UPINHA 24H VILA ARRAES	")</f>
        <v>US_255 USF UPINHA 24H VILA ARRAES	</v>
      </c>
      <c r="H1772" s="11"/>
      <c r="I1772" s="11"/>
      <c r="J1772" s="11"/>
      <c r="K1772" s="11"/>
      <c r="L1772" s="11"/>
      <c r="M1772" s="11"/>
      <c r="N1772" s="11"/>
      <c r="O1772" s="11">
        <f>IFERROR(__xludf.DUMMYFUNCTION("""COMPUTED_VALUE"""),6401844485)</f>
        <v>6401844485</v>
      </c>
      <c r="P1772" s="11"/>
      <c r="Q1772" s="11"/>
      <c r="R1772" s="11"/>
      <c r="S1772" s="11"/>
      <c r="T1772" s="11"/>
      <c r="U1772" s="11"/>
      <c r="V1772" s="11"/>
      <c r="W1772" s="11"/>
      <c r="X1772" s="11"/>
      <c r="Y1772" s="11"/>
      <c r="Z1772" s="11"/>
    </row>
    <row r="1773" customHeight="1" spans="1:26">
      <c r="A1773" s="11" t="str">
        <f>IFERROR(__xludf.DUMMYFUNCTION("""COMPUTED_VALUE"""),"SIMONE VELEZ GONCALVES")</f>
        <v>SIMONE VELEZ GONCALVES</v>
      </c>
      <c r="B1773" s="11"/>
      <c r="C1773" s="11"/>
      <c r="D1773" s="11" t="str">
        <f>IFERROR(__xludf.DUMMYFUNCTION("""COMPUTED_VALUE"""),"ENFERMEIRO 30H - PLANTONISTA")</f>
        <v>ENFERMEIRO 30H - PLANTONISTA</v>
      </c>
      <c r="E1773" s="11"/>
      <c r="F1773" s="11" t="str">
        <f>IFERROR(__xludf.DUMMYFUNCTION("""COMPUTED_VALUE"""),"US_255 USF UPINHA 24H VILA ARRAES	")</f>
        <v>US_255 USF UPINHA 24H VILA ARRAES	</v>
      </c>
      <c r="G1773" s="11" t="str">
        <f>IFERROR(__xludf.DUMMYFUNCTION("""COMPUTED_VALUE"""),"US_255 USF UPINHA 24H VILA ARRAES	")</f>
        <v>US_255 USF UPINHA 24H VILA ARRAES	</v>
      </c>
      <c r="H1773" s="11"/>
      <c r="I1773" s="11"/>
      <c r="J1773" s="11"/>
      <c r="K1773" s="11"/>
      <c r="L1773" s="11"/>
      <c r="M1773" s="11"/>
      <c r="N1773" s="11"/>
      <c r="O1773" s="11">
        <f>IFERROR(__xludf.DUMMYFUNCTION("""COMPUTED_VALUE"""),3383340414)</f>
        <v>3383340414</v>
      </c>
      <c r="P1773" s="11"/>
      <c r="Q1773" s="11"/>
      <c r="R1773" s="11"/>
      <c r="S1773" s="11"/>
      <c r="T1773" s="11"/>
      <c r="U1773" s="11"/>
      <c r="V1773" s="11"/>
      <c r="W1773" s="11"/>
      <c r="X1773" s="11"/>
      <c r="Y1773" s="11"/>
      <c r="Z1773" s="11"/>
    </row>
    <row r="1774" customHeight="1" spans="1:26">
      <c r="A1774" s="11" t="str">
        <f>IFERROR(__xludf.DUMMYFUNCTION("""COMPUTED_VALUE"""),"MICHELLY E DE ANDRADE FAGUNDES")</f>
        <v>MICHELLY E DE ANDRADE FAGUNDES</v>
      </c>
      <c r="B1774" s="11"/>
      <c r="C1774" s="11"/>
      <c r="D1774" s="11" t="str">
        <f>IFERROR(__xludf.DUMMYFUNCTION("""COMPUTED_VALUE"""),"ENFERMEIRO 40H - USF")</f>
        <v>ENFERMEIRO 40H - USF</v>
      </c>
      <c r="E1774" s="11"/>
      <c r="F1774" s="11" t="str">
        <f>IFERROR(__xludf.DUMMYFUNCTION("""COMPUTED_VALUE"""),"US_347 USF PARQUE DOS MILAGRES")</f>
        <v>US_347 USF PARQUE DOS MILAGRES</v>
      </c>
      <c r="G1774" s="11" t="str">
        <f>IFERROR(__xludf.DUMMYFUNCTION("""COMPUTED_VALUE"""),"US 347 USF PARQUE DOS MILAGRES")</f>
        <v>US 347 USF PARQUE DOS MILAGRES</v>
      </c>
      <c r="H1774" s="27">
        <f>IFERROR(__xludf.DUMMYFUNCTION("""COMPUTED_VALUE"""),81995253225)</f>
        <v>81995253225</v>
      </c>
      <c r="I1774" s="11"/>
      <c r="J1774" s="11"/>
      <c r="K1774" s="24">
        <f>IFERROR(__xludf.DUMMYFUNCTION("""COMPUTED_VALUE"""),45134)</f>
        <v>45134</v>
      </c>
      <c r="L1774" s="11"/>
      <c r="M1774" s="11"/>
      <c r="N1774" s="11"/>
      <c r="O1774" s="11">
        <f>IFERROR(__xludf.DUMMYFUNCTION("""COMPUTED_VALUE"""),6075956476)</f>
        <v>6075956476</v>
      </c>
      <c r="P1774" s="11"/>
      <c r="Q1774" s="11"/>
      <c r="R1774" s="11"/>
      <c r="S1774" s="11"/>
      <c r="T1774" s="11"/>
      <c r="U1774" s="11"/>
      <c r="V1774" s="11"/>
      <c r="W1774" s="11"/>
      <c r="X1774" s="11"/>
      <c r="Y1774" s="11"/>
      <c r="Z1774" s="11"/>
    </row>
    <row r="1775" customHeight="1" spans="1:26">
      <c r="A1775" s="11" t="str">
        <f>IFERROR(__xludf.DUMMYFUNCTION("""COMPUTED_VALUE"""),"ALISSE MARIA C DE LIMA PEIXOTO")</f>
        <v>ALISSE MARIA C DE LIMA PEIXOTO</v>
      </c>
      <c r="B1775" s="11"/>
      <c r="C1775" s="11"/>
      <c r="D1775" s="11" t="str">
        <f>IFERROR(__xludf.DUMMYFUNCTION("""COMPUTED_VALUE"""),"ENFERMEIRO 40H - USF")</f>
        <v>ENFERMEIRO 40H - USF</v>
      </c>
      <c r="E1775" s="11"/>
      <c r="F1775" s="11" t="str">
        <f>IFERROR(__xludf.DUMMYFUNCTION("""COMPUTED_VALUE"""),"US_274 USF TIA REGINA/CORREGO DO DEODATO")</f>
        <v>US_274 USF TIA REGINA/CORREGO DO DEODATO</v>
      </c>
      <c r="G1775" s="11" t="str">
        <f>IFERROR(__xludf.DUMMYFUNCTION("""COMPUTED_VALUE"""),"US_274 USF TIA REGINA/CORREGO DO DEODATO")</f>
        <v>US_274 USF TIA REGINA/CORREGO DO DEODATO</v>
      </c>
      <c r="H1775" s="27">
        <f>IFERROR(__xludf.DUMMYFUNCTION("""COMPUTED_VALUE"""),81995028998)</f>
        <v>81995028998</v>
      </c>
      <c r="I1775" s="11"/>
      <c r="J1775" s="11"/>
      <c r="K1775" s="11"/>
      <c r="L1775" s="11"/>
      <c r="M1775" s="11"/>
      <c r="N1775" s="11"/>
      <c r="O1775" s="11">
        <f>IFERROR(__xludf.DUMMYFUNCTION("""COMPUTED_VALUE"""),10210568470)</f>
        <v>10210568470</v>
      </c>
      <c r="P1775" s="11"/>
      <c r="Q1775" s="11"/>
      <c r="R1775" s="11"/>
      <c r="S1775" s="11"/>
      <c r="T1775" s="11"/>
      <c r="U1775" s="11"/>
      <c r="V1775" s="11"/>
      <c r="W1775" s="11"/>
      <c r="X1775" s="11"/>
      <c r="Y1775" s="11"/>
      <c r="Z1775" s="11"/>
    </row>
    <row r="1776" customHeight="1" spans="1:26">
      <c r="A1776" s="11" t="str">
        <f>IFERROR(__xludf.DUMMYFUNCTION("""COMPUTED_VALUE"""),"CARLA CAROLINA A V DA SILVA")</f>
        <v>CARLA CAROLINA A V DA SILVA</v>
      </c>
      <c r="B1776" s="11"/>
      <c r="C1776" s="11"/>
      <c r="D1776" s="11" t="str">
        <f>IFERROR(__xludf.DUMMYFUNCTION("""COMPUTED_VALUE"""),"ENFERMEIRO 40H - USF")</f>
        <v>ENFERMEIRO 40H - USF</v>
      </c>
      <c r="E1776" s="11"/>
      <c r="F1776" s="11" t="str">
        <f>IFERROR(__xludf.DUMMYFUNCTION("""COMPUTED_VALUE"""),"US_234 USF RODA DE FOGO COSIROF")</f>
        <v>US_234 USF RODA DE FOGO COSIROF</v>
      </c>
      <c r="G1776" s="11" t="str">
        <f>IFERROR(__xludf.DUMMYFUNCTION("""COMPUTED_VALUE"""),"US_234 USF RODA DE FOGO COSIROF")</f>
        <v>US_234 USF RODA DE FOGO COSIROF</v>
      </c>
      <c r="H1776" s="11"/>
      <c r="I1776" s="11"/>
      <c r="J1776" s="11"/>
      <c r="K1776" s="11"/>
      <c r="L1776" s="11"/>
      <c r="M1776" s="11"/>
      <c r="N1776" s="11"/>
      <c r="O1776" s="11">
        <f>IFERROR(__xludf.DUMMYFUNCTION("""COMPUTED_VALUE"""),6585489489)</f>
        <v>6585489489</v>
      </c>
      <c r="P1776" s="11"/>
      <c r="Q1776" s="11"/>
      <c r="R1776" s="11"/>
      <c r="S1776" s="11"/>
      <c r="T1776" s="11"/>
      <c r="U1776" s="11"/>
      <c r="V1776" s="11"/>
      <c r="W1776" s="11"/>
      <c r="X1776" s="11"/>
      <c r="Y1776" s="11"/>
      <c r="Z1776" s="11"/>
    </row>
    <row r="1777" customHeight="1" spans="1:26">
      <c r="A1777" s="11" t="str">
        <f>IFERROR(__xludf.DUMMYFUNCTION("""COMPUTED_VALUE"""),"ALBA VALERIA AZEVEDO SANTOS")</f>
        <v>ALBA VALERIA AZEVEDO SANTOS</v>
      </c>
      <c r="B1777" s="11"/>
      <c r="C1777" s="11"/>
      <c r="D1777" s="11" t="str">
        <f>IFERROR(__xludf.DUMMYFUNCTION("""COMPUTED_VALUE"""),"ENFERMEIRO 40H - USF")</f>
        <v>ENFERMEIRO 40H - USF</v>
      </c>
      <c r="E1777" s="11"/>
      <c r="F1777" s="11" t="str">
        <f>IFERROR(__xludf.DUMMYFUNCTION("""COMPUTED_VALUE"""),"US_172 USF TRES CARNEIROS ALTO  / JORGE LOBO")</f>
        <v>US_172 USF TRES CARNEIROS ALTO  / JORGE LOBO</v>
      </c>
      <c r="G1777" s="11" t="str">
        <f>IFERROR(__xludf.DUMMYFUNCTION("""COMPUTED_VALUE"""),"US_172 USF TRES CARNEIROS ALTO  / JORGE LOBO")</f>
        <v>US_172 USF TRES CARNEIROS ALTO  / JORGE LOBO</v>
      </c>
      <c r="H1777" s="11"/>
      <c r="I1777" s="11"/>
      <c r="J1777" s="11"/>
      <c r="K1777" s="11"/>
      <c r="L1777" s="11"/>
      <c r="M1777" s="11"/>
      <c r="N1777" s="11"/>
      <c r="O1777" s="11">
        <f>IFERROR(__xludf.DUMMYFUNCTION("""COMPUTED_VALUE"""),77049110400)</f>
        <v>77049110400</v>
      </c>
      <c r="P1777" s="11"/>
      <c r="Q1777" s="11"/>
      <c r="R1777" s="11"/>
      <c r="S1777" s="11"/>
      <c r="T1777" s="11"/>
      <c r="U1777" s="11"/>
      <c r="V1777" s="11"/>
      <c r="W1777" s="11"/>
      <c r="X1777" s="11"/>
      <c r="Y1777" s="11"/>
      <c r="Z1777" s="11"/>
    </row>
    <row r="1778" customHeight="1" spans="1:26">
      <c r="A1778" s="11" t="str">
        <f>IFERROR(__xludf.DUMMYFUNCTION("""COMPUTED_VALUE"""),"MAYANE SOUSA M DE ALBUQUERQUE")</f>
        <v>MAYANE SOUSA M DE ALBUQUERQUE</v>
      </c>
      <c r="B1778" s="11"/>
      <c r="C1778" s="11"/>
      <c r="D1778" s="11" t="str">
        <f>IFERROR(__xludf.DUMMYFUNCTION("""COMPUTED_VALUE"""),"ENFERMEIRO 40H - USF")</f>
        <v>ENFERMEIRO 40H - USF</v>
      </c>
      <c r="E1778" s="11"/>
      <c r="F1778" s="11" t="str">
        <f>IFERROR(__xludf.DUMMYFUNCTION("""COMPUTED_VALUE"""),"US_121 CS PROF BRUNO MAIA")</f>
        <v>US_121 CS PROF BRUNO MAIA</v>
      </c>
      <c r="G1778" s="11" t="str">
        <f>IFERROR(__xludf.DUMMYFUNCTION("""COMPUTED_VALUE"""),"US_121 CS PROF BRUNO MAIA")</f>
        <v>US_121 CS PROF BRUNO MAIA</v>
      </c>
      <c r="H1778" s="11"/>
      <c r="I1778" s="11"/>
      <c r="J1778" s="11"/>
      <c r="K1778" s="11"/>
      <c r="L1778" s="11"/>
      <c r="M1778" s="11"/>
      <c r="N1778" s="11"/>
      <c r="O1778" s="11">
        <f>IFERROR(__xludf.DUMMYFUNCTION("""COMPUTED_VALUE"""),9143151450)</f>
        <v>9143151450</v>
      </c>
      <c r="P1778" s="11"/>
      <c r="Q1778" s="11"/>
      <c r="R1778" s="11"/>
      <c r="S1778" s="11"/>
      <c r="T1778" s="11"/>
      <c r="U1778" s="11"/>
      <c r="V1778" s="11"/>
      <c r="W1778" s="11"/>
      <c r="X1778" s="11"/>
      <c r="Y1778" s="11"/>
      <c r="Z1778" s="11"/>
    </row>
    <row r="1779" customHeight="1" spans="1:26">
      <c r="A1779" s="11" t="str">
        <f>IFERROR(__xludf.DUMMYFUNCTION("""COMPUTED_VALUE"""),"CAROLLINE C S DE MELO TAVARES")</f>
        <v>CAROLLINE C S DE MELO TAVARES</v>
      </c>
      <c r="B1779" s="11"/>
      <c r="C1779" s="11"/>
      <c r="D1779" s="11" t="str">
        <f>IFERROR(__xludf.DUMMYFUNCTION("""COMPUTED_VALUE"""),"ENFERMEIRO 40H - USF")</f>
        <v>ENFERMEIRO 40H - USF</v>
      </c>
      <c r="E1779" s="11"/>
      <c r="F1779" s="11" t="str">
        <f>IFERROR(__xludf.DUMMYFUNCTION("""COMPUTED_VALUE"""),"US_274 USF TIA REGINA/CORREGO DO DEODATO")</f>
        <v>US_274 USF TIA REGINA/CORREGO DO DEODATO</v>
      </c>
      <c r="G1779" s="11" t="str">
        <f>IFERROR(__xludf.DUMMYFUNCTION("""COMPUTED_VALUE"""),"US_274 USF TIA REGINA/CORREGO DO DEODATO")</f>
        <v>US_274 USF TIA REGINA/CORREGO DO DEODATO</v>
      </c>
      <c r="H1779" s="11"/>
      <c r="I1779" s="11"/>
      <c r="J1779" s="11"/>
      <c r="K1779" s="11"/>
      <c r="L1779" s="11"/>
      <c r="M1779" s="11"/>
      <c r="N1779" s="11"/>
      <c r="O1779" s="11">
        <f>IFERROR(__xludf.DUMMYFUNCTION("""COMPUTED_VALUE"""),8472751406)</f>
        <v>8472751406</v>
      </c>
      <c r="P1779" s="11"/>
      <c r="Q1779" s="11"/>
      <c r="R1779" s="11"/>
      <c r="S1779" s="11"/>
      <c r="T1779" s="11"/>
      <c r="U1779" s="11"/>
      <c r="V1779" s="11"/>
      <c r="W1779" s="11"/>
      <c r="X1779" s="11"/>
      <c r="Y1779" s="11"/>
      <c r="Z1779" s="11"/>
    </row>
    <row r="1780" customHeight="1" spans="1:26">
      <c r="A1780" s="11" t="str">
        <f>IFERROR(__xludf.DUMMYFUNCTION("""COMPUTED_VALUE"""),"IRACY KARINA DE A CARRENHO")</f>
        <v>IRACY KARINA DE A CARRENHO</v>
      </c>
      <c r="B1780" s="11"/>
      <c r="C1780" s="11"/>
      <c r="D1780" s="11" t="str">
        <f>IFERROR(__xludf.DUMMYFUNCTION("""COMPUTED_VALUE"""),"ENFERMEIRO 40H - USF")</f>
        <v>ENFERMEIRO 40H - USF</v>
      </c>
      <c r="E1780" s="11"/>
      <c r="F1780" s="11" t="str">
        <f>IFERROR(__xludf.DUMMYFUNCTION("""COMPUTED_VALUE"""),"US_217 CENTRO MEDICO SEN JOSE ERMIRIO DE MORAES")</f>
        <v>US_217 CENTRO MEDICO SEN JOSE ERMIRIO DE MORAES</v>
      </c>
      <c r="G1780" s="11" t="str">
        <f>IFERROR(__xludf.DUMMYFUNCTION("""COMPUTED_VALUE"""),"US_217 CENTRO MEDICO SEN JOSE ERMIRIO DE MORAES")</f>
        <v>US_217 CENTRO MEDICO SEN JOSE ERMIRIO DE MORAES</v>
      </c>
      <c r="H1780" s="27">
        <f>IFERROR(__xludf.DUMMYFUNCTION("""COMPUTED_VALUE"""),81991899191)</f>
        <v>81991899191</v>
      </c>
      <c r="I1780" s="11"/>
      <c r="J1780" s="11"/>
      <c r="K1780" s="24">
        <f>IFERROR(__xludf.DUMMYFUNCTION("""COMPUTED_VALUE"""),45307)</f>
        <v>45307</v>
      </c>
      <c r="L1780" s="11"/>
      <c r="M1780" s="11"/>
      <c r="N1780" s="11"/>
      <c r="O1780" s="11">
        <f>IFERROR(__xludf.DUMMYFUNCTION("""COMPUTED_VALUE"""),4822869466)</f>
        <v>4822869466</v>
      </c>
      <c r="P1780" s="11"/>
      <c r="Q1780" s="11"/>
      <c r="R1780" s="11"/>
      <c r="S1780" s="11"/>
      <c r="T1780" s="11"/>
      <c r="U1780" s="11"/>
      <c r="V1780" s="11"/>
      <c r="W1780" s="11"/>
      <c r="X1780" s="11"/>
      <c r="Y1780" s="11"/>
      <c r="Z1780" s="11"/>
    </row>
    <row r="1781" customHeight="1" spans="1:26">
      <c r="A1781" s="11" t="str">
        <f>IFERROR(__xludf.DUMMYFUNCTION("""COMPUTED_VALUE"""),"ALINE VIEIRA DA SILVA")</f>
        <v>ALINE VIEIRA DA SILVA</v>
      </c>
      <c r="B1781" s="11"/>
      <c r="C1781" s="11"/>
      <c r="D1781" s="11" t="str">
        <f>IFERROR(__xludf.DUMMYFUNCTION("""COMPUTED_VALUE"""),"ENFERMEIRO 40H - USF")</f>
        <v>ENFERMEIRO 40H - USF</v>
      </c>
      <c r="E1781" s="11"/>
      <c r="F1781" s="11" t="str">
        <f>IFERROR(__xludf.DUMMYFUNCTION("""COMPUTED_VALUE"""),"US_248 USF BARREIRAS	")</f>
        <v>US_248 USF BARREIRAS	</v>
      </c>
      <c r="G1781" s="11" t="str">
        <f>IFERROR(__xludf.DUMMYFUNCTION("""COMPUTED_VALUE"""),"US_248 USF BARREIRAS	")</f>
        <v>US_248 USF BARREIRAS	</v>
      </c>
      <c r="H1781" s="27">
        <f>IFERROR(__xludf.DUMMYFUNCTION("""COMPUTED_VALUE"""),81996205249)</f>
        <v>81996205249</v>
      </c>
      <c r="I1781" s="11"/>
      <c r="J1781" s="11"/>
      <c r="K1781" s="11"/>
      <c r="L1781" s="11"/>
      <c r="M1781" s="11"/>
      <c r="N1781" s="11"/>
      <c r="O1781" s="11">
        <f>IFERROR(__xludf.DUMMYFUNCTION("""COMPUTED_VALUE"""),748441484)</f>
        <v>748441484</v>
      </c>
      <c r="P1781" s="11"/>
      <c r="Q1781" s="11"/>
      <c r="R1781" s="11"/>
      <c r="S1781" s="11"/>
      <c r="T1781" s="11"/>
      <c r="U1781" s="11"/>
      <c r="V1781" s="11"/>
      <c r="W1781" s="11"/>
      <c r="X1781" s="11"/>
      <c r="Y1781" s="11"/>
      <c r="Z1781" s="11"/>
    </row>
    <row r="1782" customHeight="1" spans="1:26">
      <c r="A1782" s="11" t="str">
        <f>IFERROR(__xludf.DUMMYFUNCTION("""COMPUTED_VALUE"""),"EMILIA INACIO M DA FONSECA")</f>
        <v>EMILIA INACIO M DA FONSECA</v>
      </c>
      <c r="B1782" s="11"/>
      <c r="C1782" s="11"/>
      <c r="D1782" s="11" t="str">
        <f>IFERROR(__xludf.DUMMYFUNCTION("""COMPUTED_VALUE"""),"ENFERMEIRO 40H - USF")</f>
        <v>ENFERMEIRO 40H - USF</v>
      </c>
      <c r="E1782" s="11"/>
      <c r="F1782" s="11" t="str">
        <f>IFERROR(__xludf.DUMMYFUNCTION("""COMPUTED_VALUE"""),"US_314 USF RIO DA PRATA")</f>
        <v>US_314 USF RIO DA PRATA</v>
      </c>
      <c r="G1782" s="11" t="str">
        <f>IFERROR(__xludf.DUMMYFUNCTION("""COMPUTED_VALUE"""),"US_314 USF RIO DA PRATA")</f>
        <v>US_314 USF RIO DA PRATA</v>
      </c>
      <c r="H1782" s="11"/>
      <c r="I1782" s="11"/>
      <c r="J1782" s="11"/>
      <c r="K1782" s="11"/>
      <c r="L1782" s="11"/>
      <c r="M1782" s="11"/>
      <c r="N1782" s="11"/>
      <c r="O1782" s="11">
        <f>IFERROR(__xludf.DUMMYFUNCTION("""COMPUTED_VALUE"""),7166272481)</f>
        <v>7166272481</v>
      </c>
      <c r="P1782" s="11"/>
      <c r="Q1782" s="11"/>
      <c r="R1782" s="11"/>
      <c r="S1782" s="11"/>
      <c r="T1782" s="11"/>
      <c r="U1782" s="11"/>
      <c r="V1782" s="11"/>
      <c r="W1782" s="11"/>
      <c r="X1782" s="11"/>
      <c r="Y1782" s="11"/>
      <c r="Z1782" s="11"/>
    </row>
    <row r="1783" customHeight="1" spans="1:26">
      <c r="A1783" s="11" t="str">
        <f>IFERROR(__xludf.DUMMYFUNCTION("""COMPUTED_VALUE"""),"ANA CRISTINA LIMA CARVALHO")</f>
        <v>ANA CRISTINA LIMA CARVALHO</v>
      </c>
      <c r="B1783" s="11"/>
      <c r="C1783" s="11"/>
      <c r="D1783" s="11" t="str">
        <f>IFERROR(__xludf.DUMMYFUNCTION("""COMPUTED_VALUE"""),"ENFERMEIRO 40H - USF")</f>
        <v>ENFERMEIRO 40H - USF</v>
      </c>
      <c r="E1783" s="11"/>
      <c r="F1783" s="11" t="str">
        <f>IFERROR(__xludf.DUMMYFUNCTION("""COMPUTED_VALUE"""),"US_302 USF BYRON SARINHO	")</f>
        <v>US_302 USF BYRON SARINHO	</v>
      </c>
      <c r="G1783" s="11" t="str">
        <f>IFERROR(__xludf.DUMMYFUNCTION("""COMPUTED_VALUE"""),"US_302 USF BYRON SARINHO	")</f>
        <v>US_302 USF BYRON SARINHO	</v>
      </c>
      <c r="H1783" s="11"/>
      <c r="I1783" s="11"/>
      <c r="J1783" s="11"/>
      <c r="K1783" s="11"/>
      <c r="L1783" s="11"/>
      <c r="M1783" s="11"/>
      <c r="N1783" s="11"/>
      <c r="O1783" s="11">
        <f>IFERROR(__xludf.DUMMYFUNCTION("""COMPUTED_VALUE"""),3733201329)</f>
        <v>3733201329</v>
      </c>
      <c r="P1783" s="11"/>
      <c r="Q1783" s="11"/>
      <c r="R1783" s="11"/>
      <c r="S1783" s="11"/>
      <c r="T1783" s="11"/>
      <c r="U1783" s="11"/>
      <c r="V1783" s="11"/>
      <c r="W1783" s="11"/>
      <c r="X1783" s="11"/>
      <c r="Y1783" s="11"/>
      <c r="Z1783" s="11"/>
    </row>
    <row r="1784" customHeight="1" spans="1:26">
      <c r="A1784" s="11" t="str">
        <f>IFERROR(__xludf.DUMMYFUNCTION("""COMPUTED_VALUE"""),"LUZIMARA GOMES MELO")</f>
        <v>LUZIMARA GOMES MELO</v>
      </c>
      <c r="B1784" s="11"/>
      <c r="C1784" s="11"/>
      <c r="D1784" s="11" t="str">
        <f>IFERROR(__xludf.DUMMYFUNCTION("""COMPUTED_VALUE"""),"ENFERMEIRO 40H - USF")</f>
        <v>ENFERMEIRO 40H - USF</v>
      </c>
      <c r="E1784" s="11"/>
      <c r="F1784" s="11" t="str">
        <f>IFERROR(__xludf.DUMMYFUNCTION("""COMPUTED_VALUE"""),"US_323 USF MUSTARDINHA")</f>
        <v>US_323 USF MUSTARDINHA</v>
      </c>
      <c r="G1784" s="11" t="str">
        <f>IFERROR(__xludf.DUMMYFUNCTION("""COMPUTED_VALUE"""),"US_323 USF MUSTARDINHA")</f>
        <v>US_323 USF MUSTARDINHA</v>
      </c>
      <c r="H1784" s="11"/>
      <c r="I1784" s="11"/>
      <c r="J1784" s="11"/>
      <c r="K1784" s="11"/>
      <c r="L1784" s="11"/>
      <c r="M1784" s="11"/>
      <c r="N1784" s="11"/>
      <c r="O1784" s="11">
        <f>IFERROR(__xludf.DUMMYFUNCTION("""COMPUTED_VALUE"""),4632164585)</f>
        <v>4632164585</v>
      </c>
      <c r="P1784" s="11"/>
      <c r="Q1784" s="11"/>
      <c r="R1784" s="11"/>
      <c r="S1784" s="11"/>
      <c r="T1784" s="11"/>
      <c r="U1784" s="11"/>
      <c r="V1784" s="11"/>
      <c r="W1784" s="11"/>
      <c r="X1784" s="11"/>
      <c r="Y1784" s="11"/>
      <c r="Z1784" s="11"/>
    </row>
    <row r="1785" customHeight="1" spans="1:26">
      <c r="A1785" s="11" t="str">
        <f>IFERROR(__xludf.DUMMYFUNCTION("""COMPUTED_VALUE"""),"ADRIENNY NUNES DA S TAVARES")</f>
        <v>ADRIENNY NUNES DA S TAVARES</v>
      </c>
      <c r="B1785" s="11"/>
      <c r="C1785" s="11"/>
      <c r="D1785" s="11" t="str">
        <f>IFERROR(__xludf.DUMMYFUNCTION("""COMPUTED_VALUE"""),"ENFERMEIRO 40H - USF")</f>
        <v>ENFERMEIRO 40H - USF</v>
      </c>
      <c r="E1785" s="11"/>
      <c r="F1785" s="11" t="str">
        <f>IFERROR(__xludf.DUMMYFUNCTION("""COMPUTED_VALUE"""),"US_317 USF ALTO DA BELA VISTA")</f>
        <v>US_317 USF ALTO DA BELA VISTA</v>
      </c>
      <c r="G1785" s="11" t="str">
        <f>IFERROR(__xludf.DUMMYFUNCTION("""COMPUTED_VALUE"""),"US_317 USF ALTO DA BELA VISTA")</f>
        <v>US_317 USF ALTO DA BELA VISTA</v>
      </c>
      <c r="H1785" s="27">
        <f>IFERROR(__xludf.DUMMYFUNCTION("""COMPUTED_VALUE"""),81997341325)</f>
        <v>81997341325</v>
      </c>
      <c r="I1785" s="11"/>
      <c r="J1785" s="11"/>
      <c r="K1785" s="11"/>
      <c r="L1785" s="11"/>
      <c r="M1785" s="11"/>
      <c r="N1785" s="11"/>
      <c r="O1785" s="11">
        <f>IFERROR(__xludf.DUMMYFUNCTION("""COMPUTED_VALUE"""),6585355440)</f>
        <v>6585355440</v>
      </c>
      <c r="P1785" s="11"/>
      <c r="Q1785" s="11"/>
      <c r="R1785" s="11"/>
      <c r="S1785" s="11"/>
      <c r="T1785" s="11"/>
      <c r="U1785" s="11"/>
      <c r="V1785" s="11"/>
      <c r="W1785" s="11"/>
      <c r="X1785" s="11"/>
      <c r="Y1785" s="11"/>
      <c r="Z1785" s="11"/>
    </row>
    <row r="1786" customHeight="1" spans="1:26">
      <c r="A1786" s="11" t="str">
        <f>IFERROR(__xludf.DUMMYFUNCTION("""COMPUTED_VALUE"""),"JAENE DE ARAUJO BARBOSA DA LUZ")</f>
        <v>JAENE DE ARAUJO BARBOSA DA LUZ</v>
      </c>
      <c r="B1786" s="11"/>
      <c r="C1786" s="11"/>
      <c r="D1786" s="11" t="str">
        <f>IFERROR(__xludf.DUMMYFUNCTION("""COMPUTED_VALUE"""),"ENFERMEIRO 40H - USF")</f>
        <v>ENFERMEIRO 40H - USF</v>
      </c>
      <c r="E1786" s="11"/>
      <c r="F1786" s="11" t="str">
        <f>IFERROR(__xludf.DUMMYFUNCTION("""COMPUTED_VALUE"""),"US_252 USF ENGENHO DO MEIO	")</f>
        <v>US_252 USF ENGENHO DO MEIO	</v>
      </c>
      <c r="G1786" s="11" t="str">
        <f>IFERROR(__xludf.DUMMYFUNCTION("""COMPUTED_VALUE"""),"US_252 USF ENGENHO DO MEIO	")</f>
        <v>US_252 USF ENGENHO DO MEIO	</v>
      </c>
      <c r="H1786" s="27">
        <f>IFERROR(__xludf.DUMMYFUNCTION("""COMPUTED_VALUE"""),81999856648)</f>
        <v>81999856648</v>
      </c>
      <c r="I1786" s="11"/>
      <c r="J1786" s="11"/>
      <c r="K1786" s="24">
        <f>IFERROR(__xludf.DUMMYFUNCTION("""COMPUTED_VALUE"""),45275)</f>
        <v>45275</v>
      </c>
      <c r="L1786" s="11"/>
      <c r="M1786" s="11"/>
      <c r="N1786" s="11"/>
      <c r="O1786" s="11">
        <f>IFERROR(__xludf.DUMMYFUNCTION("""COMPUTED_VALUE"""),9468600416)</f>
        <v>9468600416</v>
      </c>
      <c r="P1786" s="11"/>
      <c r="Q1786" s="11"/>
      <c r="R1786" s="11"/>
      <c r="S1786" s="11"/>
      <c r="T1786" s="11"/>
      <c r="U1786" s="11"/>
      <c r="V1786" s="11"/>
      <c r="W1786" s="11"/>
      <c r="X1786" s="11"/>
      <c r="Y1786" s="11"/>
      <c r="Z1786" s="11"/>
    </row>
    <row r="1787" customHeight="1" spans="1:26">
      <c r="A1787" s="11" t="str">
        <f>IFERROR(__xludf.DUMMYFUNCTION("""COMPUTED_VALUE"""),"TAMIRES MARIA PEREIRA")</f>
        <v>TAMIRES MARIA PEREIRA</v>
      </c>
      <c r="B1787" s="11"/>
      <c r="C1787" s="11"/>
      <c r="D1787" s="11" t="str">
        <f>IFERROR(__xludf.DUMMYFUNCTION("""COMPUTED_VALUE"""),"ENFERMEIRO 40H - USF")</f>
        <v>ENFERMEIRO 40H - USF</v>
      </c>
      <c r="E1787" s="11" t="str">
        <f>IFERROR(__xludf.DUMMYFUNCTION("""COMPUTED_VALUE"""),"VIII")</f>
        <v>VIII</v>
      </c>
      <c r="F1787" s="11" t="str">
        <f>IFERROR(__xludf.DUMMYFUNCTION("""COMPUTED_VALUE"""),"US_373 USF CIDADE OPERARIA")</f>
        <v>US_373 USF CIDADE OPERARIA</v>
      </c>
      <c r="G1787" s="11" t="str">
        <f>IFERROR(__xludf.DUMMYFUNCTION("""COMPUTED_VALUE"""),"US_373 USF CIDADE OPERARIA")</f>
        <v>US_373 USF CIDADE OPERARIA</v>
      </c>
      <c r="H1787" s="11"/>
      <c r="I1787" s="11"/>
      <c r="J1787" s="11"/>
      <c r="K1787" s="11"/>
      <c r="L1787" s="11"/>
      <c r="M1787" s="11"/>
      <c r="N1787" s="11"/>
      <c r="O1787" s="11">
        <f>IFERROR(__xludf.DUMMYFUNCTION("""COMPUTED_VALUE"""),6810495452)</f>
        <v>6810495452</v>
      </c>
      <c r="P1787" s="11"/>
      <c r="Q1787" s="11"/>
      <c r="R1787" s="11"/>
      <c r="S1787" s="11"/>
      <c r="T1787" s="11"/>
      <c r="U1787" s="11"/>
      <c r="V1787" s="11"/>
      <c r="W1787" s="11"/>
      <c r="X1787" s="11"/>
      <c r="Y1787" s="11"/>
      <c r="Z1787" s="11"/>
    </row>
    <row r="1788" customHeight="1" spans="1:26">
      <c r="A1788" s="11" t="str">
        <f>IFERROR(__xludf.DUMMYFUNCTION("""COMPUTED_VALUE"""),"SHAYANE BEZERRA DOS SANTOS")</f>
        <v>SHAYANE BEZERRA DOS SANTOS</v>
      </c>
      <c r="B1788" s="11"/>
      <c r="C1788" s="11"/>
      <c r="D1788" s="11" t="str">
        <f>IFERROR(__xludf.DUMMYFUNCTION("""COMPUTED_VALUE"""),"ENFERMEIRO 40H - USF")</f>
        <v>ENFERMEIRO 40H - USF</v>
      </c>
      <c r="E1788" s="11"/>
      <c r="F1788" s="11" t="str">
        <f>IFERROR(__xludf.DUMMYFUNCTION("""COMPUTED_VALUE"""),"US_233 USF VIETNA")</f>
        <v>US_233 USF VIETNA</v>
      </c>
      <c r="G1788" s="11" t="str">
        <f>IFERROR(__xludf.DUMMYFUNCTION("""COMPUTED_VALUE"""),"US_233 USF VIETNA")</f>
        <v>US_233 USF VIETNA</v>
      </c>
      <c r="H1788" s="11">
        <f>IFERROR(__xludf.DUMMYFUNCTION("""COMPUTED_VALUE"""),81995473141)</f>
        <v>81995473141</v>
      </c>
      <c r="I1788" s="11"/>
      <c r="J1788" s="11"/>
      <c r="K1788" s="24">
        <f>IFERROR(__xludf.DUMMYFUNCTION("""COMPUTED_VALUE"""),45142)</f>
        <v>45142</v>
      </c>
      <c r="L1788" s="11"/>
      <c r="M1788" s="11"/>
      <c r="N1788" s="11"/>
      <c r="O1788" s="11">
        <f>IFERROR(__xludf.DUMMYFUNCTION("""COMPUTED_VALUE"""),4211153358)</f>
        <v>4211153358</v>
      </c>
      <c r="P1788" s="11"/>
      <c r="Q1788" s="11"/>
      <c r="R1788" s="11"/>
      <c r="S1788" s="11"/>
      <c r="T1788" s="11"/>
      <c r="U1788" s="11"/>
      <c r="V1788" s="11"/>
      <c r="W1788" s="11"/>
      <c r="X1788" s="11"/>
      <c r="Y1788" s="11"/>
      <c r="Z1788" s="11"/>
    </row>
    <row r="1789" customHeight="1" spans="1:26">
      <c r="A1789" s="11" t="str">
        <f>IFERROR(__xludf.DUMMYFUNCTION("""COMPUTED_VALUE"""),"DENISE DA SILVA MELO")</f>
        <v>DENISE DA SILVA MELO</v>
      </c>
      <c r="B1789" s="11"/>
      <c r="C1789" s="11"/>
      <c r="D1789" s="11" t="str">
        <f>IFERROR(__xludf.DUMMYFUNCTION("""COMPUTED_VALUE"""),"ENFERMEIRO 40H - USF")</f>
        <v>ENFERMEIRO 40H - USF</v>
      </c>
      <c r="E1789" s="11"/>
      <c r="F1789" s="11" t="str">
        <f>IFERROR(__xludf.DUMMYFUNCTION("""COMPUTED_VALUE"""),"US_350 USF CORREGO DO EUCALIPTO")</f>
        <v>US_350 USF CORREGO DO EUCALIPTO</v>
      </c>
      <c r="G1789" s="11" t="str">
        <f>IFERROR(__xludf.DUMMYFUNCTION("""COMPUTED_VALUE"""),"US_350 USF CORREGO DO EUCALIPTO")</f>
        <v>US_350 USF CORREGO DO EUCALIPTO</v>
      </c>
      <c r="H1789" s="11"/>
      <c r="I1789" s="11"/>
      <c r="J1789" s="11"/>
      <c r="K1789" s="11"/>
      <c r="L1789" s="11"/>
      <c r="M1789" s="11"/>
      <c r="N1789" s="11"/>
      <c r="O1789" s="11">
        <f>IFERROR(__xludf.DUMMYFUNCTION("""COMPUTED_VALUE"""),4820869477)</f>
        <v>4820869477</v>
      </c>
      <c r="P1789" s="11"/>
      <c r="Q1789" s="11"/>
      <c r="R1789" s="11"/>
      <c r="S1789" s="11"/>
      <c r="T1789" s="11"/>
      <c r="U1789" s="11"/>
      <c r="V1789" s="11"/>
      <c r="W1789" s="11"/>
      <c r="X1789" s="11"/>
      <c r="Y1789" s="11"/>
      <c r="Z1789" s="11"/>
    </row>
    <row r="1790" customHeight="1" spans="1:26">
      <c r="A1790" s="11" t="str">
        <f>IFERROR(__xludf.DUMMYFUNCTION("""COMPUTED_VALUE"""),"ANGELA CATARINA INÁCIO COSTA DE ANDRADE")</f>
        <v>ANGELA CATARINA INÁCIO COSTA DE ANDRADE</v>
      </c>
      <c r="B1790" s="11"/>
      <c r="C1790" s="11"/>
      <c r="D1790" s="11" t="str">
        <f>IFERROR(__xludf.DUMMYFUNCTION("""COMPUTED_VALUE"""),"ENFERMEIRO 40H - USF")</f>
        <v>ENFERMEIRO 40H - USF</v>
      </c>
      <c r="E1790" s="11"/>
      <c r="F1790" s="11" t="str">
        <f>IFERROR(__xludf.DUMMYFUNCTION("""COMPUTED_VALUE"""),"US_274 USF TIA REGINA/CORREGO DO DEODATO")</f>
        <v>US_274 USF TIA REGINA/CORREGO DO DEODATO</v>
      </c>
      <c r="G1790" s="11" t="str">
        <f>IFERROR(__xludf.DUMMYFUNCTION("""COMPUTED_VALUE"""),"US 274 USF TIA REGINA/CORREGO DO DEODATO")</f>
        <v>US 274 USF TIA REGINA/CORREGO DO DEODATO</v>
      </c>
      <c r="H1790" s="27">
        <f>IFERROR(__xludf.DUMMYFUNCTION("""COMPUTED_VALUE"""),81973154314)</f>
        <v>81973154314</v>
      </c>
      <c r="I1790" s="11"/>
      <c r="J1790" s="11"/>
      <c r="K1790" s="24">
        <f>IFERROR(__xludf.DUMMYFUNCTION("""COMPUTED_VALUE"""),45293)</f>
        <v>45293</v>
      </c>
      <c r="L1790" s="11"/>
      <c r="M1790" s="11"/>
      <c r="N1790" s="11"/>
      <c r="O1790" s="11">
        <f>IFERROR(__xludf.DUMMYFUNCTION("""COMPUTED_VALUE"""),6468801443)</f>
        <v>6468801443</v>
      </c>
      <c r="P1790" s="11"/>
      <c r="Q1790" s="11"/>
      <c r="R1790" s="11"/>
      <c r="S1790" s="11"/>
      <c r="T1790" s="11"/>
      <c r="U1790" s="11"/>
      <c r="V1790" s="11"/>
      <c r="W1790" s="11"/>
      <c r="X1790" s="11"/>
      <c r="Y1790" s="11"/>
      <c r="Z1790" s="11"/>
    </row>
    <row r="1791" customHeight="1" spans="1:26">
      <c r="A1791" s="11" t="str">
        <f>IFERROR(__xludf.DUMMYFUNCTION("""COMPUTED_VALUE"""),"JASLENE CARLOS DA SILVA")</f>
        <v>JASLENE CARLOS DA SILVA</v>
      </c>
      <c r="B1791" s="11"/>
      <c r="C1791" s="11"/>
      <c r="D1791" s="11" t="str">
        <f>IFERROR(__xludf.DUMMYFUNCTION("""COMPUTED_VALUE"""),"ENFERMEIRO 40H - USF")</f>
        <v>ENFERMEIRO 40H - USF</v>
      </c>
      <c r="E1791" s="11"/>
      <c r="F1791" s="11" t="str">
        <f>IFERROR(__xludf.DUMMYFUNCTION("""COMPUTED_VALUE"""),"US_350 USF CORREGO DO EUCALIPTO")</f>
        <v>US_350 USF CORREGO DO EUCALIPTO</v>
      </c>
      <c r="G1791" s="11" t="str">
        <f>IFERROR(__xludf.DUMMYFUNCTION("""COMPUTED_VALUE"""),"US_350 USF CORREGO DO EUCALIPTO")</f>
        <v>US_350 USF CORREGO DO EUCALIPTO</v>
      </c>
      <c r="H1791" s="34">
        <f>IFERROR(__xludf.DUMMYFUNCTION("""COMPUTED_VALUE"""),81998124929)</f>
        <v>81998124929</v>
      </c>
      <c r="I1791" s="11"/>
      <c r="J1791" s="11"/>
      <c r="K1791" s="11"/>
      <c r="L1791" s="11"/>
      <c r="M1791" s="11"/>
      <c r="N1791" s="11"/>
      <c r="O1791" s="11">
        <f>IFERROR(__xludf.DUMMYFUNCTION("""COMPUTED_VALUE"""),8613807461)</f>
        <v>8613807461</v>
      </c>
      <c r="P1791" s="11"/>
      <c r="Q1791" s="11"/>
      <c r="R1791" s="11"/>
      <c r="S1791" s="11"/>
      <c r="T1791" s="11"/>
      <c r="U1791" s="11"/>
      <c r="V1791" s="11"/>
      <c r="W1791" s="11"/>
      <c r="X1791" s="11"/>
      <c r="Y1791" s="11"/>
      <c r="Z1791" s="11"/>
    </row>
    <row r="1792" customHeight="1" spans="1:26">
      <c r="A1792" s="11" t="str">
        <f>IFERROR(__xludf.DUMMYFUNCTION("""COMPUTED_VALUE"""),"LIGIA ARAUJO SA")</f>
        <v>LIGIA ARAUJO SA</v>
      </c>
      <c r="B1792" s="11"/>
      <c r="C1792" s="11"/>
      <c r="D1792" s="11" t="str">
        <f>IFERROR(__xludf.DUMMYFUNCTION("""COMPUTED_VALUE"""),"ENFERMEIRO 40H - USF")</f>
        <v>ENFERMEIRO 40H - USF</v>
      </c>
      <c r="E1792" s="11"/>
      <c r="F1792" s="11" t="str">
        <f>IFERROR(__xludf.DUMMYFUNCTION("""COMPUTED_VALUE"""),"US_261 USF ALTO DO EUCALIPTO/ EDNALDO VASCONCELOS")</f>
        <v>US_261 USF ALTO DO EUCALIPTO/ EDNALDO VASCONCELOS</v>
      </c>
      <c r="G1792" s="11" t="str">
        <f>IFERROR(__xludf.DUMMYFUNCTION("""COMPUTED_VALUE"""),"US_261 USF ALTO DO EUCALIPTO/ EDNALDO VASCONCELOS")</f>
        <v>US_261 USF ALTO DO EUCALIPTO/ EDNALDO VASCONCELOS</v>
      </c>
      <c r="H1792" s="11"/>
      <c r="I1792" s="11"/>
      <c r="J1792" s="11"/>
      <c r="K1792" s="11"/>
      <c r="L1792" s="11"/>
      <c r="M1792" s="11"/>
      <c r="N1792" s="11"/>
      <c r="O1792" s="11">
        <f>IFERROR(__xludf.DUMMYFUNCTION("""COMPUTED_VALUE"""),3529127400)</f>
        <v>3529127400</v>
      </c>
      <c r="P1792" s="11"/>
      <c r="Q1792" s="11"/>
      <c r="R1792" s="11"/>
      <c r="S1792" s="11"/>
      <c r="T1792" s="11"/>
      <c r="U1792" s="11"/>
      <c r="V1792" s="11"/>
      <c r="W1792" s="11"/>
      <c r="X1792" s="11"/>
      <c r="Y1792" s="11"/>
      <c r="Z1792" s="11"/>
    </row>
    <row r="1793" customHeight="1" spans="1:26">
      <c r="A1793" s="11" t="str">
        <f>IFERROR(__xludf.DUMMYFUNCTION("""COMPUTED_VALUE"""),"MILENNA AZEVEDO M FERREIRA")</f>
        <v>MILENNA AZEVEDO M FERREIRA</v>
      </c>
      <c r="B1793" s="11"/>
      <c r="C1793" s="11"/>
      <c r="D1793" s="11" t="str">
        <f>IFERROR(__xludf.DUMMYFUNCTION("""COMPUTED_VALUE"""),"ENFERMEIRO 40H - USF")</f>
        <v>ENFERMEIRO 40H - USF</v>
      </c>
      <c r="E1793" s="11"/>
      <c r="F1793" s="11" t="str">
        <f>IFERROR(__xludf.DUMMYFUNCTION("""COMPUTED_VALUE"""),"US_281 USF VILA DOS MILAGRES")</f>
        <v>US_281 USF VILA DOS MILAGRES</v>
      </c>
      <c r="G1793" s="11" t="str">
        <f>IFERROR(__xludf.DUMMYFUNCTION("""COMPUTED_VALUE"""),"US_281 USF VILA DOS MILAGRES")</f>
        <v>US_281 USF VILA DOS MILAGRES</v>
      </c>
      <c r="H1793" s="11"/>
      <c r="I1793" s="11"/>
      <c r="J1793" s="11"/>
      <c r="K1793" s="11"/>
      <c r="L1793" s="11"/>
      <c r="M1793" s="11"/>
      <c r="N1793" s="11"/>
      <c r="O1793" s="11">
        <f>IFERROR(__xludf.DUMMYFUNCTION("""COMPUTED_VALUE"""),3641586461)</f>
        <v>3641586461</v>
      </c>
      <c r="P1793" s="11"/>
      <c r="Q1793" s="11"/>
      <c r="R1793" s="11"/>
      <c r="S1793" s="11"/>
      <c r="T1793" s="11"/>
      <c r="U1793" s="11"/>
      <c r="V1793" s="11"/>
      <c r="W1793" s="11"/>
      <c r="X1793" s="11"/>
      <c r="Y1793" s="11"/>
      <c r="Z1793" s="11"/>
    </row>
    <row r="1794" customHeight="1" spans="1:26">
      <c r="A1794" s="11" t="str">
        <f>IFERROR(__xludf.DUMMYFUNCTION("""COMPUTED_VALUE"""),"CLEIDIANE DA CONCEIÇÃO ALVES")</f>
        <v>CLEIDIANE DA CONCEIÇÃO ALVES</v>
      </c>
      <c r="B1794" s="11"/>
      <c r="C1794" s="11"/>
      <c r="D1794" s="11" t="str">
        <f>IFERROR(__xludf.DUMMYFUNCTION("""COMPUTED_VALUE"""),"ENFERMEIRO 40H - USF")</f>
        <v>ENFERMEIRO 40H - USF</v>
      </c>
      <c r="E1794" s="11"/>
      <c r="F1794" s="11" t="str">
        <f>IFERROR(__xludf.DUMMYFUNCTION("""COMPUTED_VALUE"""),"")</f>
        <v/>
      </c>
      <c r="G1794" s="11" t="str">
        <f>IFERROR(__xludf.DUMMYFUNCTION("""COMPUTED_VALUE"""),"")</f>
        <v/>
      </c>
      <c r="H1794" s="27">
        <f>IFERROR(__xludf.DUMMYFUNCTION("""COMPUTED_VALUE"""),88996099921)</f>
        <v>88996099921</v>
      </c>
      <c r="I1794" s="11"/>
      <c r="J1794" s="11"/>
      <c r="K1794" s="11"/>
      <c r="L1794" s="11"/>
      <c r="M1794" s="11"/>
      <c r="N1794" s="11"/>
      <c r="O1794" s="11"/>
      <c r="P1794" s="11"/>
      <c r="Q1794" s="11"/>
      <c r="R1794" s="11"/>
      <c r="S1794" s="11"/>
      <c r="T1794" s="11"/>
      <c r="U1794" s="11"/>
      <c r="V1794" s="11"/>
      <c r="W1794" s="11"/>
      <c r="X1794" s="11"/>
      <c r="Y1794" s="11"/>
      <c r="Z1794" s="11"/>
    </row>
    <row r="1795" customHeight="1" spans="1:26">
      <c r="A1795" s="11" t="str">
        <f>IFERROR(__xludf.DUMMYFUNCTION("""COMPUTED_VALUE"""),"JULIANE TAISA PRIMO DE CARVALHO")</f>
        <v>JULIANE TAISA PRIMO DE CARVALHO</v>
      </c>
      <c r="B1795" s="11"/>
      <c r="C1795" s="11"/>
      <c r="D1795" s="11" t="str">
        <f>IFERROR(__xludf.DUMMYFUNCTION("""COMPUTED_VALUE"""),"ENFERMEIRO 40H - USF")</f>
        <v>ENFERMEIRO 40H - USF</v>
      </c>
      <c r="E1795" s="11"/>
      <c r="F1795" s="11" t="str">
        <f>IFERROR(__xludf.DUMMYFUNCTION("""COMPUTED_VALUE"""),"")</f>
        <v/>
      </c>
      <c r="G1795" s="11" t="str">
        <f>IFERROR(__xludf.DUMMYFUNCTION("""COMPUTED_VALUE"""),"")</f>
        <v/>
      </c>
      <c r="H1795" s="11"/>
      <c r="I1795" s="11"/>
      <c r="J1795" s="11"/>
      <c r="K1795" s="11"/>
      <c r="L1795" s="11"/>
      <c r="M1795" s="11"/>
      <c r="N1795" s="11"/>
      <c r="O1795" s="11"/>
      <c r="P1795" s="11"/>
      <c r="Q1795" s="11"/>
      <c r="R1795" s="11"/>
      <c r="S1795" s="11"/>
      <c r="T1795" s="11"/>
      <c r="U1795" s="11"/>
      <c r="V1795" s="11"/>
      <c r="W1795" s="11"/>
      <c r="X1795" s="11"/>
      <c r="Y1795" s="11"/>
      <c r="Z1795" s="11"/>
    </row>
    <row r="1796" customHeight="1" spans="1:26">
      <c r="A1796" s="11" t="str">
        <f>IFERROR(__xludf.DUMMYFUNCTION("""COMPUTED_VALUE"""),"MISAEL ALVES DE ARAUJO")</f>
        <v>MISAEL ALVES DE ARAUJO</v>
      </c>
      <c r="B1796" s="11"/>
      <c r="C1796" s="11"/>
      <c r="D1796" s="11" t="str">
        <f>IFERROR(__xludf.DUMMYFUNCTION("""COMPUTED_VALUE"""),"ENFERMEIRO 40H")</f>
        <v>ENFERMEIRO 40H</v>
      </c>
      <c r="E1796" s="11"/>
      <c r="F1796" s="11" t="str">
        <f>IFERROR(__xludf.DUMMYFUNCTION("""COMPUTED_VALUE"""),"US_401 USF UPINHA 24H GOVERNADOR EDUARDO CAMPOS")</f>
        <v>US_401 USF UPINHA 24H GOVERNADOR EDUARDO CAMPOS</v>
      </c>
      <c r="G1796" s="11" t="str">
        <f>IFERROR(__xludf.DUMMYFUNCTION("""COMPUTED_VALUE"""),"US_401 USF UPINHA 24H GOVERNADOR EDUARDO CAMPOS")</f>
        <v>US_401 USF UPINHA 24H GOVERNADOR EDUARDO CAMPOS</v>
      </c>
      <c r="H1796" s="11"/>
      <c r="I1796" s="11"/>
      <c r="J1796" s="11"/>
      <c r="K1796" s="11"/>
      <c r="L1796" s="11"/>
      <c r="M1796" s="11"/>
      <c r="N1796" s="11"/>
      <c r="O1796" s="11">
        <f>IFERROR(__xludf.DUMMYFUNCTION("""COMPUTED_VALUE"""),44710437491)</f>
        <v>44710437491</v>
      </c>
      <c r="P1796" s="11"/>
      <c r="Q1796" s="11"/>
      <c r="R1796" s="11"/>
      <c r="S1796" s="11"/>
      <c r="T1796" s="11"/>
      <c r="U1796" s="11"/>
      <c r="V1796" s="11"/>
      <c r="W1796" s="11"/>
      <c r="X1796" s="11"/>
      <c r="Y1796" s="11"/>
      <c r="Z1796" s="11"/>
    </row>
    <row r="1797" customHeight="1" spans="1:26">
      <c r="A1797" s="11" t="str">
        <f>IFERROR(__xludf.DUMMYFUNCTION("""COMPUTED_VALUE"""),"ANA PAULA NARIO VASCONCELOS")</f>
        <v>ANA PAULA NARIO VASCONCELOS</v>
      </c>
      <c r="B1797" s="11"/>
      <c r="C1797" s="11"/>
      <c r="D1797" s="11" t="str">
        <f>IFERROR(__xludf.DUMMYFUNCTION("""COMPUTED_VALUE"""),"ENFERMEIRO 40H")</f>
        <v>ENFERMEIRO 40H</v>
      </c>
      <c r="E1797" s="11"/>
      <c r="F1797" s="11" t="str">
        <f>IFERROR(__xludf.DUMMYFUNCTION("""COMPUTED_VALUE"""),"US_163 HOSPITAL DE PEDIATRIA HELENA MOURA")</f>
        <v>US_163 HOSPITAL DE PEDIATRIA HELENA MOURA</v>
      </c>
      <c r="G1797" s="11" t="str">
        <f>IFERROR(__xludf.DUMMYFUNCTION("""COMPUTED_VALUE"""),"US_163 HOSPITAL DE PEDIATRIA HELENA MOURA")</f>
        <v>US_163 HOSPITAL DE PEDIATRIA HELENA MOURA</v>
      </c>
      <c r="H1797" s="11"/>
      <c r="I1797" s="11"/>
      <c r="J1797" s="11"/>
      <c r="K1797" s="11"/>
      <c r="L1797" s="11"/>
      <c r="M1797" s="11"/>
      <c r="N1797" s="11"/>
      <c r="O1797" s="11">
        <f>IFERROR(__xludf.DUMMYFUNCTION("""COMPUTED_VALUE"""),68655096415)</f>
        <v>68655096415</v>
      </c>
      <c r="P1797" s="11"/>
      <c r="Q1797" s="11"/>
      <c r="R1797" s="11"/>
      <c r="S1797" s="11"/>
      <c r="T1797" s="11"/>
      <c r="U1797" s="11"/>
      <c r="V1797" s="11"/>
      <c r="W1797" s="11"/>
      <c r="X1797" s="11"/>
      <c r="Y1797" s="11"/>
      <c r="Z1797" s="11"/>
    </row>
    <row r="1798" customHeight="1" spans="1:26">
      <c r="A1798" s="11" t="str">
        <f>IFERROR(__xludf.DUMMYFUNCTION("""COMPUTED_VALUE"""),"ROMERO NOGUEIRA DE S MENDES")</f>
        <v>ROMERO NOGUEIRA DE S MENDES</v>
      </c>
      <c r="B1798" s="11"/>
      <c r="C1798" s="11"/>
      <c r="D1798" s="11" t="str">
        <f>IFERROR(__xludf.DUMMYFUNCTION("""COMPUTED_VALUE"""),"ENFERMEIRO 30H")</f>
        <v>ENFERMEIRO 30H</v>
      </c>
      <c r="E1798" s="11"/>
      <c r="F1798" s="11" t="str">
        <f>IFERROR(__xludf.DUMMYFUNCTION("""COMPUTED_VALUE"""),"SEDE DISTRITO SANITARIO II")</f>
        <v>SEDE DISTRITO SANITARIO II</v>
      </c>
      <c r="G1798" s="11" t="str">
        <f>IFERROR(__xludf.DUMMYFUNCTION("""COMPUTED_VALUE"""),"SEDE DISTRITO SANITARIO II")</f>
        <v>SEDE DISTRITO SANITARIO II</v>
      </c>
      <c r="H1798" s="11"/>
      <c r="I1798" s="11"/>
      <c r="J1798" s="11"/>
      <c r="K1798" s="11"/>
      <c r="L1798" s="11"/>
      <c r="M1798" s="11"/>
      <c r="N1798" s="11"/>
      <c r="O1798" s="11">
        <f>IFERROR(__xludf.DUMMYFUNCTION("""COMPUTED_VALUE"""),3952166480)</f>
        <v>3952166480</v>
      </c>
      <c r="P1798" s="11"/>
      <c r="Q1798" s="11"/>
      <c r="R1798" s="11"/>
      <c r="S1798" s="11"/>
      <c r="T1798" s="11"/>
      <c r="U1798" s="11"/>
      <c r="V1798" s="11"/>
      <c r="W1798" s="11"/>
      <c r="X1798" s="11"/>
      <c r="Y1798" s="11"/>
      <c r="Z1798" s="11"/>
    </row>
    <row r="1799" customHeight="1" spans="1:26">
      <c r="A1799" s="11" t="str">
        <f>IFERROR(__xludf.DUMMYFUNCTION("""COMPUTED_VALUE"""),"MARCLETA SIMPLICIO C E SA")</f>
        <v>MARCLETA SIMPLICIO C E SA</v>
      </c>
      <c r="B1799" s="11"/>
      <c r="C1799" s="11"/>
      <c r="D1799" s="11" t="str">
        <f>IFERROR(__xludf.DUMMYFUNCTION("""COMPUTED_VALUE"""),"SERV OUT ORGAOS - REG PROPRIO")</f>
        <v>SERV OUT ORGAOS - REG PROPRIO</v>
      </c>
      <c r="E1799" s="11"/>
      <c r="F1799" s="11" t="str">
        <f>IFERROR(__xludf.DUMMYFUNCTION("""COMPUTED_VALUE"""),"SEDE DISTRITO SANITARIO II")</f>
        <v>SEDE DISTRITO SANITARIO II</v>
      </c>
      <c r="G1799" s="11" t="str">
        <f>IFERROR(__xludf.DUMMYFUNCTION("""COMPUTED_VALUE"""),"SEDE DISTRITO SANITARIO II")</f>
        <v>SEDE DISTRITO SANITARIO II</v>
      </c>
      <c r="H1799" s="11"/>
      <c r="I1799" s="11"/>
      <c r="J1799" s="11"/>
      <c r="K1799" s="11"/>
      <c r="L1799" s="11"/>
      <c r="M1799" s="11"/>
      <c r="N1799" s="11"/>
      <c r="O1799" s="11">
        <f>IFERROR(__xludf.DUMMYFUNCTION("""COMPUTED_VALUE"""),46242392453)</f>
        <v>46242392453</v>
      </c>
      <c r="P1799" s="11"/>
      <c r="Q1799" s="11"/>
      <c r="R1799" s="11"/>
      <c r="S1799" s="11"/>
      <c r="T1799" s="11"/>
      <c r="U1799" s="11"/>
      <c r="V1799" s="11"/>
      <c r="W1799" s="11"/>
      <c r="X1799" s="11"/>
      <c r="Y1799" s="11"/>
      <c r="Z1799" s="11"/>
    </row>
    <row r="1800" customHeight="1" spans="1:26">
      <c r="A1800" s="11" t="str">
        <f>IFERROR(__xludf.DUMMYFUNCTION("""COMPUTED_VALUE"""),"GABRIELLE PESSOA DA SILVA")</f>
        <v>GABRIELLE PESSOA DA SILVA</v>
      </c>
      <c r="B1800" s="11"/>
      <c r="C1800" s="11"/>
      <c r="D1800" s="11" t="str">
        <f>IFERROR(__xludf.DUMMYFUNCTION("""COMPUTED_VALUE"""),"ENFERMEIRO 40H")</f>
        <v>ENFERMEIRO 40H</v>
      </c>
      <c r="E1800" s="11"/>
      <c r="F1800" s="11" t="str">
        <f>IFERROR(__xludf.DUMMYFUNCTION("""COMPUTED_VALUE"""),"US_304 CAPS DAVID CAPISTRANO")</f>
        <v>US_304 CAPS DAVID CAPISTRANO</v>
      </c>
      <c r="G1800" s="11" t="str">
        <f>IFERROR(__xludf.DUMMYFUNCTION("""COMPUTED_VALUE"""),"US_304 CAPS DAVID CAPISTRANO")</f>
        <v>US_304 CAPS DAVID CAPISTRANO</v>
      </c>
      <c r="H1800" s="27">
        <f>IFERROR(__xludf.DUMMYFUNCTION("""COMPUTED_VALUE"""),81988547455)</f>
        <v>81988547455</v>
      </c>
      <c r="I1800" s="11"/>
      <c r="J1800" s="11"/>
      <c r="K1800" s="24">
        <f>IFERROR(__xludf.DUMMYFUNCTION("""COMPUTED_VALUE"""),45359)</f>
        <v>45359</v>
      </c>
      <c r="L1800" s="11"/>
      <c r="M1800" s="11"/>
      <c r="N1800" s="11"/>
      <c r="O1800" s="11">
        <f>IFERROR(__xludf.DUMMYFUNCTION("""COMPUTED_VALUE"""),1427111448)</f>
        <v>1427111448</v>
      </c>
      <c r="P1800" s="11"/>
      <c r="Q1800" s="11"/>
      <c r="R1800" s="11"/>
      <c r="S1800" s="11"/>
      <c r="T1800" s="11"/>
      <c r="U1800" s="11"/>
      <c r="V1800" s="11"/>
      <c r="W1800" s="11"/>
      <c r="X1800" s="11"/>
      <c r="Y1800" s="11"/>
      <c r="Z1800" s="11"/>
    </row>
    <row r="1801" customHeight="1" spans="1:26">
      <c r="A1801" s="11" t="str">
        <f>IFERROR(__xludf.DUMMYFUNCTION("""COMPUTED_VALUE"""),"ANNY SUELLEN ROCHA DE MELO")</f>
        <v>ANNY SUELLEN ROCHA DE MELO</v>
      </c>
      <c r="B1801" s="11"/>
      <c r="C1801" s="11"/>
      <c r="D1801" s="11" t="str">
        <f>IFERROR(__xludf.DUMMYFUNCTION("""COMPUTED_VALUE"""),"ENFERMEIRO 40H")</f>
        <v>ENFERMEIRO 40H</v>
      </c>
      <c r="E1801" s="11"/>
      <c r="F1801" s="11" t="str">
        <f>IFERROR(__xludf.DUMMYFUNCTION("""COMPUTED_VALUE"""),"US_395 USF UPINHA 24H DR FERNANDA WANDERLEY")</f>
        <v>US_395 USF UPINHA 24H DR FERNANDA WANDERLEY</v>
      </c>
      <c r="G1801" s="11" t="str">
        <f>IFERROR(__xludf.DUMMYFUNCTION("""COMPUTED_VALUE"""),"US_395 USF UPINHA 24H DR FERNANDA WANDERLEY")</f>
        <v>US_395 USF UPINHA 24H DR FERNANDA WANDERLEY</v>
      </c>
      <c r="H1801" s="11"/>
      <c r="I1801" s="11"/>
      <c r="J1801" s="11"/>
      <c r="K1801" s="11"/>
      <c r="L1801" s="11"/>
      <c r="M1801" s="11"/>
      <c r="N1801" s="11"/>
      <c r="O1801" s="11">
        <f>IFERROR(__xludf.DUMMYFUNCTION("""COMPUTED_VALUE"""),8748021482)</f>
        <v>8748021482</v>
      </c>
      <c r="P1801" s="11"/>
      <c r="Q1801" s="11"/>
      <c r="R1801" s="11"/>
      <c r="S1801" s="11"/>
      <c r="T1801" s="11"/>
      <c r="U1801" s="11"/>
      <c r="V1801" s="11"/>
      <c r="W1801" s="11"/>
      <c r="X1801" s="11"/>
      <c r="Y1801" s="11"/>
      <c r="Z1801" s="11"/>
    </row>
    <row r="1802" customHeight="1" spans="1:26">
      <c r="A1802" s="11" t="str">
        <f>IFERROR(__xludf.DUMMYFUNCTION("""COMPUTED_VALUE"""),"PAMELLA THAYRYNNE O L DE SOUZA")</f>
        <v>PAMELLA THAYRYNNE O L DE SOUZA</v>
      </c>
      <c r="B1802" s="11"/>
      <c r="C1802" s="11"/>
      <c r="D1802" s="11" t="str">
        <f>IFERROR(__xludf.DUMMYFUNCTION("""COMPUTED_VALUE"""),"ENFERMEIRO 40H")</f>
        <v>ENFERMEIRO 40H</v>
      </c>
      <c r="E1802" s="11"/>
      <c r="F1802" s="11" t="str">
        <f>IFERROR(__xludf.DUMMYFUNCTION("""COMPUTED_VALUE"""),"PACS DOIS RIOS")</f>
        <v>PACS DOIS RIOS</v>
      </c>
      <c r="G1802" s="11" t="str">
        <f>IFERROR(__xludf.DUMMYFUNCTION("""COMPUTED_VALUE"""),"PACS DOIS RIOS")</f>
        <v>PACS DOIS RIOS</v>
      </c>
      <c r="H1802" s="11"/>
      <c r="I1802" s="11"/>
      <c r="J1802" s="11"/>
      <c r="K1802" s="11"/>
      <c r="L1802" s="11"/>
      <c r="M1802" s="11"/>
      <c r="N1802" s="11"/>
      <c r="O1802" s="11">
        <f>IFERROR(__xludf.DUMMYFUNCTION("""COMPUTED_VALUE"""),9534665401)</f>
        <v>9534665401</v>
      </c>
      <c r="P1802" s="11"/>
      <c r="Q1802" s="11"/>
      <c r="R1802" s="11"/>
      <c r="S1802" s="11"/>
      <c r="T1802" s="11"/>
      <c r="U1802" s="11"/>
      <c r="V1802" s="11"/>
      <c r="W1802" s="11"/>
      <c r="X1802" s="11"/>
      <c r="Y1802" s="11"/>
      <c r="Z1802" s="11"/>
    </row>
    <row r="1803" customHeight="1" spans="1:26">
      <c r="A1803" s="11" t="str">
        <f>IFERROR(__xludf.DUMMYFUNCTION("""COMPUTED_VALUE"""),"DANIEL SANTANA DO N JUNIOR")</f>
        <v>DANIEL SANTANA DO N JUNIOR</v>
      </c>
      <c r="B1803" s="11"/>
      <c r="C1803" s="11"/>
      <c r="D1803" s="11" t="str">
        <f>IFERROR(__xludf.DUMMYFUNCTION("""COMPUTED_VALUE"""),"ENFERMEIRO 40H")</f>
        <v>ENFERMEIRO 40H</v>
      </c>
      <c r="E1803" s="11"/>
      <c r="F1803" s="11" t="str">
        <f>IFERROR(__xludf.DUMMYFUNCTION("""COMPUTED_VALUE"""),"US_306 CAPS AD PROF LUIZ CERQUEIRA")</f>
        <v>US_306 CAPS AD PROF LUIZ CERQUEIRA</v>
      </c>
      <c r="G1803" s="11" t="str">
        <f>IFERROR(__xludf.DUMMYFUNCTION("""COMPUTED_VALUE"""),"US_306 CAPS AD PROF LUIZ CERQUEIRA")</f>
        <v>US_306 CAPS AD PROF LUIZ CERQUEIRA</v>
      </c>
      <c r="H1803" s="11"/>
      <c r="I1803" s="11"/>
      <c r="J1803" s="11"/>
      <c r="K1803" s="11"/>
      <c r="L1803" s="11"/>
      <c r="M1803" s="11"/>
      <c r="N1803" s="11"/>
      <c r="O1803" s="11">
        <f>IFERROR(__xludf.DUMMYFUNCTION("""COMPUTED_VALUE"""),61880116391)</f>
        <v>61880116391</v>
      </c>
      <c r="P1803" s="11"/>
      <c r="Q1803" s="11"/>
      <c r="R1803" s="11"/>
      <c r="S1803" s="11"/>
      <c r="T1803" s="11"/>
      <c r="U1803" s="11"/>
      <c r="V1803" s="11"/>
      <c r="W1803" s="11"/>
      <c r="X1803" s="11"/>
      <c r="Y1803" s="11"/>
      <c r="Z1803" s="11"/>
    </row>
    <row r="1804" customHeight="1" spans="1:26">
      <c r="A1804" s="11" t="str">
        <f>IFERROR(__xludf.DUMMYFUNCTION("""COMPUTED_VALUE"""),"SUELLEN DAYSE DE MOURA R NERIS")</f>
        <v>SUELLEN DAYSE DE MOURA R NERIS</v>
      </c>
      <c r="B1804" s="11"/>
      <c r="C1804" s="11"/>
      <c r="D1804" s="11" t="str">
        <f>IFERROR(__xludf.DUMMYFUNCTION("""COMPUTED_VALUE"""),"ENFERMEIRO 40H")</f>
        <v>ENFERMEIRO 40H</v>
      </c>
      <c r="E1804" s="11"/>
      <c r="F1804" s="11" t="str">
        <f>IFERROR(__xludf.DUMMYFUNCTION("""COMPUTED_VALUE"""),"US_231 USF CORREGO DA BICA / MARIA EDUARDA CESSE")</f>
        <v>US_231 USF CORREGO DA BICA / MARIA EDUARDA CESSE</v>
      </c>
      <c r="G1804" s="11" t="str">
        <f>IFERROR(__xludf.DUMMYFUNCTION("""COMPUTED_VALUE"""),"US_231 USF CORREGO DA BICA / MARIA EDUARDA CESSE")</f>
        <v>US_231 USF CORREGO DA BICA / MARIA EDUARDA CESSE</v>
      </c>
      <c r="H1804" s="11"/>
      <c r="I1804" s="11"/>
      <c r="J1804" s="11"/>
      <c r="K1804" s="11"/>
      <c r="L1804" s="11"/>
      <c r="M1804" s="11"/>
      <c r="N1804" s="11"/>
      <c r="O1804" s="11">
        <f>IFERROR(__xludf.DUMMYFUNCTION("""COMPUTED_VALUE"""),6887869446)</f>
        <v>6887869446</v>
      </c>
      <c r="P1804" s="11"/>
      <c r="Q1804" s="11"/>
      <c r="R1804" s="11"/>
      <c r="S1804" s="11"/>
      <c r="T1804" s="11"/>
      <c r="U1804" s="11"/>
      <c r="V1804" s="11"/>
      <c r="W1804" s="11"/>
      <c r="X1804" s="11"/>
      <c r="Y1804" s="11"/>
      <c r="Z1804" s="11"/>
    </row>
    <row r="1805" customHeight="1" spans="1:26">
      <c r="A1805" s="11" t="str">
        <f>IFERROR(__xludf.DUMMYFUNCTION("""COMPUTED_VALUE"""),"MILENNA AZEVEDO M FERREIRA")</f>
        <v>MILENNA AZEVEDO M FERREIRA</v>
      </c>
      <c r="B1805" s="11"/>
      <c r="C1805" s="11"/>
      <c r="D1805" s="11" t="str">
        <f>IFERROR(__xludf.DUMMYFUNCTION("""COMPUTED_VALUE"""),"ENFERMEIRO 40H")</f>
        <v>ENFERMEIRO 40H</v>
      </c>
      <c r="E1805" s="11"/>
      <c r="F1805" s="11" t="str">
        <f>IFERROR(__xludf.DUMMYFUNCTION("""COMPUTED_VALUE"""),"US_281 USF VILA DOS MILAGRES")</f>
        <v>US_281 USF VILA DOS MILAGRES</v>
      </c>
      <c r="G1805" s="11" t="str">
        <f>IFERROR(__xludf.DUMMYFUNCTION("""COMPUTED_VALUE"""),"US_281 USF VILA DOS MILAGRES")</f>
        <v>US_281 USF VILA DOS MILAGRES</v>
      </c>
      <c r="H1805" s="11"/>
      <c r="I1805" s="11"/>
      <c r="J1805" s="11"/>
      <c r="K1805" s="11"/>
      <c r="L1805" s="11"/>
      <c r="M1805" s="11"/>
      <c r="N1805" s="11"/>
      <c r="O1805" s="11">
        <f>IFERROR(__xludf.DUMMYFUNCTION("""COMPUTED_VALUE"""),3641586461)</f>
        <v>3641586461</v>
      </c>
      <c r="P1805" s="11"/>
      <c r="Q1805" s="11"/>
      <c r="R1805" s="11"/>
      <c r="S1805" s="11"/>
      <c r="T1805" s="11"/>
      <c r="U1805" s="11"/>
      <c r="V1805" s="11"/>
      <c r="W1805" s="11"/>
      <c r="X1805" s="11"/>
      <c r="Y1805" s="11"/>
      <c r="Z1805" s="11"/>
    </row>
    <row r="1806" customHeight="1" spans="1:26">
      <c r="A1806" s="11" t="str">
        <f>IFERROR(__xludf.DUMMYFUNCTION("""COMPUTED_VALUE"""),"PATRICIA PEREIRA VASCONCELOS")</f>
        <v>PATRICIA PEREIRA VASCONCELOS</v>
      </c>
      <c r="B1806" s="11"/>
      <c r="C1806" s="11"/>
      <c r="D1806" s="11" t="str">
        <f>IFERROR(__xludf.DUMMYFUNCTION("""COMPUTED_VALUE"""),"ENFERMEIRO 30H - PLANTONISTA")</f>
        <v>ENFERMEIRO 30H - PLANTONISTA</v>
      </c>
      <c r="E1806" s="11"/>
      <c r="F1806" s="11" t="str">
        <f>IFERROR(__xludf.DUMMYFUNCTION("""COMPUTED_VALUE"""),"US_117 CS GASPAR REGUEIRA COSTA")</f>
        <v>US_117 CS GASPAR REGUEIRA COSTA</v>
      </c>
      <c r="G1806" s="11" t="str">
        <f>IFERROR(__xludf.DUMMYFUNCTION("""COMPUTED_VALUE"""),"US_117 CS GASPAR REGUEIRA COSTA")</f>
        <v>US_117 CS GASPAR REGUEIRA COSTA</v>
      </c>
      <c r="H1806" s="11"/>
      <c r="I1806" s="11"/>
      <c r="J1806" s="11"/>
      <c r="K1806" s="11"/>
      <c r="L1806" s="11"/>
      <c r="M1806" s="11"/>
      <c r="N1806" s="11"/>
      <c r="O1806" s="11">
        <f>IFERROR(__xludf.DUMMYFUNCTION("""COMPUTED_VALUE"""),10408387408)</f>
        <v>10408387408</v>
      </c>
      <c r="P1806" s="11"/>
      <c r="Q1806" s="11"/>
      <c r="R1806" s="11"/>
      <c r="S1806" s="11"/>
      <c r="T1806" s="11"/>
      <c r="U1806" s="11"/>
      <c r="V1806" s="11"/>
      <c r="W1806" s="11"/>
      <c r="X1806" s="11"/>
      <c r="Y1806" s="11"/>
      <c r="Z1806" s="11"/>
    </row>
    <row r="1807" customHeight="1" spans="1:26">
      <c r="A1807" s="11" t="str">
        <f>IFERROR(__xludf.DUMMYFUNCTION("""COMPUTED_VALUE"""),"JANAINA HERMINIO DA SILVA")</f>
        <v>JANAINA HERMINIO DA SILVA</v>
      </c>
      <c r="B1807" s="11"/>
      <c r="C1807" s="11"/>
      <c r="D1807" s="11" t="str">
        <f>IFERROR(__xludf.DUMMYFUNCTION("""COMPUTED_VALUE"""),"ENFERMEIRO 30H - PLANTONISTA")</f>
        <v>ENFERMEIRO 30H - PLANTONISTA</v>
      </c>
      <c r="E1807" s="11"/>
      <c r="F1807" s="11" t="str">
        <f>IFERROR(__xludf.DUMMYFUNCTION("""COMPUTED_VALUE"""),"US_401 USF UPINHA 24H GOVERNADOR EDUARDO CAMPOS")</f>
        <v>US_401 USF UPINHA 24H GOVERNADOR EDUARDO CAMPOS</v>
      </c>
      <c r="G1807" s="11" t="str">
        <f>IFERROR(__xludf.DUMMYFUNCTION("""COMPUTED_VALUE"""),"US_401 USF UPINHA 24H GOVERNADOR EDUARDO CAMPOS")</f>
        <v>US_401 USF UPINHA 24H GOVERNADOR EDUARDO CAMPOS</v>
      </c>
      <c r="H1807" s="11"/>
      <c r="I1807" s="11"/>
      <c r="J1807" s="11"/>
      <c r="K1807" s="11"/>
      <c r="L1807" s="11"/>
      <c r="M1807" s="11"/>
      <c r="N1807" s="11"/>
      <c r="O1807" s="11">
        <f>IFERROR(__xludf.DUMMYFUNCTION("""COMPUTED_VALUE"""),7397487424)</f>
        <v>7397487424</v>
      </c>
      <c r="P1807" s="11"/>
      <c r="Q1807" s="11"/>
      <c r="R1807" s="11"/>
      <c r="S1807" s="11"/>
      <c r="T1807" s="11"/>
      <c r="U1807" s="11"/>
      <c r="V1807" s="11"/>
      <c r="W1807" s="11"/>
      <c r="X1807" s="11"/>
      <c r="Y1807" s="11"/>
      <c r="Z1807" s="11"/>
    </row>
    <row r="1808" customHeight="1" spans="1:26">
      <c r="A1808" s="11" t="str">
        <f>IFERROR(__xludf.DUMMYFUNCTION("""COMPUTED_VALUE"""),"MONIQUE FEITOSA DE SOUZA")</f>
        <v>MONIQUE FEITOSA DE SOUZA</v>
      </c>
      <c r="B1808" s="11"/>
      <c r="C1808" s="11"/>
      <c r="D1808" s="11" t="str">
        <f>IFERROR(__xludf.DUMMYFUNCTION("""COMPUTED_VALUE"""),"ENFERMEIRO 40H - USF")</f>
        <v>ENFERMEIRO 40H - USF</v>
      </c>
      <c r="E1808" s="11"/>
      <c r="F1808" s="11" t="str">
        <f>IFERROR(__xludf.DUMMYFUNCTION("""COMPUTED_VALUE"""),"US_352 USF UPINHA 24H DR HELIO MENDONCA COR DO JENIPAPO")</f>
        <v>US_352 USF UPINHA 24H DR HELIO MENDONCA COR DO JENIPAPO</v>
      </c>
      <c r="G1808" s="11" t="str">
        <f>IFERROR(__xludf.DUMMYFUNCTION("""COMPUTED_VALUE"""),"US_352 USF UPINHA 24H DR HELIO MENDONCA COR DO JENIPAPO")</f>
        <v>US_352 USF UPINHA 24H DR HELIO MENDONCA COR DO JENIPAPO</v>
      </c>
      <c r="H1808" s="34">
        <f>IFERROR(__xludf.DUMMYFUNCTION("""COMPUTED_VALUE"""),81996082979)</f>
        <v>81996082979</v>
      </c>
      <c r="I1808" s="11"/>
      <c r="J1808" s="11"/>
      <c r="K1808" s="11"/>
      <c r="L1808" s="11"/>
      <c r="M1808" s="11"/>
      <c r="N1808" s="11"/>
      <c r="O1808" s="11">
        <f>IFERROR(__xludf.DUMMYFUNCTION("""COMPUTED_VALUE"""),4439445470)</f>
        <v>4439445470</v>
      </c>
      <c r="P1808" s="11"/>
      <c r="Q1808" s="11"/>
      <c r="R1808" s="11"/>
      <c r="S1808" s="11"/>
      <c r="T1808" s="11"/>
      <c r="U1808" s="11"/>
      <c r="V1808" s="11"/>
      <c r="W1808" s="11"/>
      <c r="X1808" s="11"/>
      <c r="Y1808" s="11"/>
      <c r="Z1808" s="11"/>
    </row>
    <row r="1809" customHeight="1" spans="1:26">
      <c r="A1809" s="11" t="str">
        <f>IFERROR(__xludf.DUMMYFUNCTION("""COMPUTED_VALUE"""),"ANA CAROLINE N SOARES")</f>
        <v>ANA CAROLINE N SOARES</v>
      </c>
      <c r="B1809" s="11"/>
      <c r="C1809" s="11"/>
      <c r="D1809" s="11" t="str">
        <f>IFERROR(__xludf.DUMMYFUNCTION("""COMPUTED_VALUE"""),"ENFERMEIRO 40H")</f>
        <v>ENFERMEIRO 40H</v>
      </c>
      <c r="E1809" s="11"/>
      <c r="F1809" s="11" t="str">
        <f>IFERROR(__xludf.DUMMYFUNCTION("""COMPUTED_VALUE"""),"US_182 UPINHA UNIDADE DE SAUDE DA FAMILIA PADRE JOSE EDWALDO GOMES")</f>
        <v>US_182 UPINHA UNIDADE DE SAUDE DA FAMILIA PADRE JOSE EDWALDO GOMES</v>
      </c>
      <c r="G1809" s="11" t="str">
        <f>IFERROR(__xludf.DUMMYFUNCTION("""COMPUTED_VALUE"""),"US_182 UPINHA UNIDADE DE SAUDE DA FAMILIA PADRE JOSE EDWALDO GOMES")</f>
        <v>US_182 UPINHA UNIDADE DE SAUDE DA FAMILIA PADRE JOSE EDWALDO GOMES</v>
      </c>
      <c r="H1809" s="34">
        <f>IFERROR(__xludf.DUMMYFUNCTION("""COMPUTED_VALUE"""),8199592297)</f>
        <v>8199592297</v>
      </c>
      <c r="I1809" s="11"/>
      <c r="J1809" s="11"/>
      <c r="K1809" s="11"/>
      <c r="L1809" s="11"/>
      <c r="M1809" s="11"/>
      <c r="N1809" s="11"/>
      <c r="O1809" s="11">
        <f>IFERROR(__xludf.DUMMYFUNCTION("""COMPUTED_VALUE"""),2866751450)</f>
        <v>2866751450</v>
      </c>
      <c r="P1809" s="11"/>
      <c r="Q1809" s="11"/>
      <c r="R1809" s="11"/>
      <c r="S1809" s="11"/>
      <c r="T1809" s="11"/>
      <c r="U1809" s="11"/>
      <c r="V1809" s="11"/>
      <c r="W1809" s="11"/>
      <c r="X1809" s="11"/>
      <c r="Y1809" s="11"/>
      <c r="Z1809" s="11"/>
    </row>
    <row r="1810" customHeight="1" spans="1:26">
      <c r="A1810" s="11" t="str">
        <f>IFERROR(__xludf.DUMMYFUNCTION("""COMPUTED_VALUE"""),"JULIA DE ARAUJO VIANNA")</f>
        <v>JULIA DE ARAUJO VIANNA</v>
      </c>
      <c r="B1810" s="11"/>
      <c r="C1810" s="11"/>
      <c r="D1810" s="11" t="str">
        <f>IFERROR(__xludf.DUMMYFUNCTION("""COMPUTED_VALUE"""),"MÉDICA")</f>
        <v>MÉDICA</v>
      </c>
      <c r="E1810" s="11"/>
      <c r="F1810" s="11"/>
      <c r="G1810" s="11" t="str">
        <f>IFERROR(__xludf.DUMMYFUNCTION("""COMPUTED_VALUE"""),"US_338 USF UPINHA DIA JARDIM SAO PAULO")</f>
        <v>US_338 USF UPINHA DIA JARDIM SAO PAULO</v>
      </c>
      <c r="H1810" s="27">
        <f>IFERROR(__xludf.DUMMYFUNCTION("""COMPUTED_VALUE"""),81998980236)</f>
        <v>81998980236</v>
      </c>
      <c r="I1810" s="11"/>
      <c r="J1810" s="11"/>
      <c r="K1810" s="24">
        <f>IFERROR(__xludf.DUMMYFUNCTION("""COMPUTED_VALUE"""),45434)</f>
        <v>45434</v>
      </c>
      <c r="L1810" s="11"/>
      <c r="M1810" s="11"/>
      <c r="N1810" s="11"/>
      <c r="O1810" s="11"/>
      <c r="P1810" s="11"/>
      <c r="Q1810" s="11"/>
      <c r="R1810" s="11"/>
      <c r="S1810" s="11"/>
      <c r="T1810" s="11"/>
      <c r="U1810" s="11"/>
      <c r="V1810" s="11"/>
      <c r="W1810" s="11"/>
      <c r="X1810" s="11"/>
      <c r="Y1810" s="11"/>
      <c r="Z1810" s="11"/>
    </row>
    <row r="1811" customHeight="1" spans="1:26">
      <c r="A1811" s="11" t="str">
        <f>IFERROR(__xludf.DUMMYFUNCTION("""COMPUTED_VALUE"""),"VIVIANE AMORIM FERREIRA")</f>
        <v>VIVIANE AMORIM FERREIRA</v>
      </c>
      <c r="B1811" s="11"/>
      <c r="C1811" s="11"/>
      <c r="D1811" s="11" t="str">
        <f>IFERROR(__xludf.DUMMYFUNCTION("""COMPUTED_VALUE"""),"SERV OUT ORGAOS - REG PROPRIO")</f>
        <v>SERV OUT ORGAOS - REG PROPRIO</v>
      </c>
      <c r="E1811" s="11"/>
      <c r="F1811" s="11" t="str">
        <f>IFERROR(__xludf.DUMMYFUNCTION("""COMPUTED_VALUE"""),"US_338 USF UPINHA DIA JARDIM SAO PAULO")</f>
        <v>US_338 USF UPINHA DIA JARDIM SAO PAULO</v>
      </c>
      <c r="G1811" s="11" t="str">
        <f>IFERROR(__xludf.DUMMYFUNCTION("""COMPUTED_VALUE"""),"US_338 USF UPINHA DIA JARDIM SAO PAULO")</f>
        <v>US_338 USF UPINHA DIA JARDIM SAO PAULO</v>
      </c>
      <c r="H1811" s="11"/>
      <c r="I1811" s="11"/>
      <c r="J1811" s="11"/>
      <c r="K1811" s="11"/>
      <c r="L1811" s="11"/>
      <c r="M1811" s="11"/>
      <c r="N1811" s="11"/>
      <c r="O1811" s="11">
        <f>IFERROR(__xludf.DUMMYFUNCTION("""COMPUTED_VALUE"""),85667471434)</f>
        <v>85667471434</v>
      </c>
      <c r="P1811" s="11"/>
      <c r="Q1811" s="11"/>
      <c r="R1811" s="11"/>
      <c r="S1811" s="11"/>
      <c r="T1811" s="11"/>
      <c r="U1811" s="11"/>
      <c r="V1811" s="11"/>
      <c r="W1811" s="11"/>
      <c r="X1811" s="11"/>
      <c r="Y1811" s="11"/>
      <c r="Z1811" s="11"/>
    </row>
    <row r="1812" customHeight="1" spans="1:26">
      <c r="A1812" s="11" t="str">
        <f>IFERROR(__xludf.DUMMYFUNCTION("""COMPUTED_VALUE"""),"DEISYELLE MAGALHAES BARBOSA")</f>
        <v>DEISYELLE MAGALHAES BARBOSA</v>
      </c>
      <c r="B1812" s="11"/>
      <c r="C1812" s="11"/>
      <c r="D1812" s="11" t="str">
        <f>IFERROR(__xludf.DUMMYFUNCTION("""COMPUTED_VALUE"""),"ENFERMEIRO 40H - USF")</f>
        <v>ENFERMEIRO 40H - USF</v>
      </c>
      <c r="E1812" s="11"/>
      <c r="F1812" s="11" t="str">
        <f>IFERROR(__xludf.DUMMYFUNCTION("""COMPUTED_VALUE"""),"US_400 USF UPINHA DIA DOM HELDER")</f>
        <v>US_400 USF UPINHA DIA DOM HELDER</v>
      </c>
      <c r="G1812" s="11" t="str">
        <f>IFERROR(__xludf.DUMMYFUNCTION("""COMPUTED_VALUE"""),"US_400 USF UPINHA DIA DOM HELDER")</f>
        <v>US_400 USF UPINHA DIA DOM HELDER</v>
      </c>
      <c r="H1812" s="11"/>
      <c r="I1812" s="11"/>
      <c r="J1812" s="11"/>
      <c r="K1812" s="11"/>
      <c r="L1812" s="11"/>
      <c r="M1812" s="11"/>
      <c r="N1812" s="11"/>
      <c r="O1812" s="11">
        <f>IFERROR(__xludf.DUMMYFUNCTION("""COMPUTED_VALUE"""),8019416447)</f>
        <v>8019416447</v>
      </c>
      <c r="P1812" s="11"/>
      <c r="Q1812" s="11"/>
      <c r="R1812" s="11"/>
      <c r="S1812" s="11"/>
      <c r="T1812" s="11"/>
      <c r="U1812" s="11"/>
      <c r="V1812" s="11"/>
      <c r="W1812" s="11"/>
      <c r="X1812" s="11"/>
      <c r="Y1812" s="11"/>
      <c r="Z1812" s="11"/>
    </row>
    <row r="1813" customHeight="1" spans="1:26">
      <c r="A1813" s="11" t="str">
        <f>IFERROR(__xludf.DUMMYFUNCTION("""COMPUTED_VALUE"""),"EVA MONALISA ARAGAO ARRAIS")</f>
        <v>EVA MONALISA ARAGAO ARRAIS</v>
      </c>
      <c r="B1813" s="11"/>
      <c r="C1813" s="11"/>
      <c r="D1813" s="11" t="str">
        <f>IFERROR(__xludf.DUMMYFUNCTION("""COMPUTED_VALUE"""),"ENFERMEIRO 40H - USF")</f>
        <v>ENFERMEIRO 40H - USF</v>
      </c>
      <c r="E1813" s="11"/>
      <c r="F1813" s="11" t="str">
        <f>IFERROR(__xludf.DUMMYFUNCTION("""COMPUTED_VALUE"""),"US_276 USF UPINHA DIA ALTO DO PASCOAL	")</f>
        <v>US_276 USF UPINHA DIA ALTO DO PASCOAL	</v>
      </c>
      <c r="G1813" s="11" t="str">
        <f>IFERROR(__xludf.DUMMYFUNCTION("""COMPUTED_VALUE"""),"US_276 USF UPINHA DIA ALTO DO PASCOAL	")</f>
        <v>US_276 USF UPINHA DIA ALTO DO PASCOAL	</v>
      </c>
      <c r="H1813" s="27">
        <f>IFERROR(__xludf.DUMMYFUNCTION("""COMPUTED_VALUE"""),86981161016)</f>
        <v>86981161016</v>
      </c>
      <c r="I1813" s="11"/>
      <c r="J1813" s="11"/>
      <c r="K1813" s="11"/>
      <c r="L1813" s="11"/>
      <c r="M1813" s="11"/>
      <c r="N1813" s="11"/>
      <c r="O1813" s="11">
        <f>IFERROR(__xludf.DUMMYFUNCTION("""COMPUTED_VALUE"""),3791186370)</f>
        <v>3791186370</v>
      </c>
      <c r="P1813" s="11"/>
      <c r="Q1813" s="11"/>
      <c r="R1813" s="11"/>
      <c r="S1813" s="11"/>
      <c r="T1813" s="11"/>
      <c r="U1813" s="11"/>
      <c r="V1813" s="11"/>
      <c r="W1813" s="11"/>
      <c r="X1813" s="11"/>
      <c r="Y1813" s="11"/>
      <c r="Z1813" s="11"/>
    </row>
    <row r="1814" customHeight="1" spans="1:26">
      <c r="A1814" s="11" t="str">
        <f>IFERROR(__xludf.DUMMYFUNCTION("""COMPUTED_VALUE"""),"LUZICLEIA CAROLINA DE M SILVA")</f>
        <v>LUZICLEIA CAROLINA DE M SILVA</v>
      </c>
      <c r="B1814" s="11"/>
      <c r="C1814" s="11"/>
      <c r="D1814" s="11" t="str">
        <f>IFERROR(__xludf.DUMMYFUNCTION("""COMPUTED_VALUE"""),"ENFERMEIRO 40H - USF")</f>
        <v>ENFERMEIRO 40H - USF</v>
      </c>
      <c r="E1814" s="11"/>
      <c r="F1814" s="11" t="str">
        <f>IFERROR(__xludf.DUMMYFUNCTION("""COMPUTED_VALUE"""),"US_442 USF UPINHA DIA SANTA LUZIA EMOCY KRAUSE")</f>
        <v>US_442 USF UPINHA DIA SANTA LUZIA EMOCY KRAUSE</v>
      </c>
      <c r="G1814" s="11" t="str">
        <f>IFERROR(__xludf.DUMMYFUNCTION("""COMPUTED_VALUE"""),"US_442 USF UPINHA DIA SANTA LUZIA EMOCY KRAUSE")</f>
        <v>US_442 USF UPINHA DIA SANTA LUZIA EMOCY KRAUSE</v>
      </c>
      <c r="H1814" s="11"/>
      <c r="I1814" s="11"/>
      <c r="J1814" s="11"/>
      <c r="K1814" s="11"/>
      <c r="L1814" s="11"/>
      <c r="M1814" s="11"/>
      <c r="N1814" s="11"/>
      <c r="O1814" s="11">
        <f>IFERROR(__xludf.DUMMYFUNCTION("""COMPUTED_VALUE"""),4077479401)</f>
        <v>4077479401</v>
      </c>
      <c r="P1814" s="11"/>
      <c r="Q1814" s="11"/>
      <c r="R1814" s="11"/>
      <c r="S1814" s="11"/>
      <c r="T1814" s="11"/>
      <c r="U1814" s="11"/>
      <c r="V1814" s="11"/>
      <c r="W1814" s="11"/>
      <c r="X1814" s="11"/>
      <c r="Y1814" s="11"/>
      <c r="Z1814" s="11"/>
    </row>
    <row r="1815" customHeight="1" spans="1:26">
      <c r="A1815" s="11" t="str">
        <f>IFERROR(__xludf.DUMMYFUNCTION("""COMPUTED_VALUE"""),"MARIANA GUABIRABA FRANCELINO PEREIRA")</f>
        <v>MARIANA GUABIRABA FRANCELINO PEREIRA</v>
      </c>
      <c r="B1815" s="11"/>
      <c r="C1815" s="11"/>
      <c r="D1815" s="11" t="str">
        <f>IFERROR(__xludf.DUMMYFUNCTION("""COMPUTED_VALUE"""),"ENFERMEIRO 40H - USF")</f>
        <v>ENFERMEIRO 40H - USF</v>
      </c>
      <c r="E1815" s="11"/>
      <c r="F1815" s="11" t="str">
        <f>IFERROR(__xludf.DUMMYFUNCTION("""COMPUTED_VALUE"""),"")</f>
        <v/>
      </c>
      <c r="G1815" s="11" t="str">
        <f>IFERROR(__xludf.DUMMYFUNCTION("""COMPUTED_VALUE"""),"")</f>
        <v/>
      </c>
      <c r="H1815" s="11"/>
      <c r="I1815" s="11"/>
      <c r="J1815" s="11"/>
      <c r="K1815" s="11"/>
      <c r="L1815" s="11"/>
      <c r="M1815" s="11"/>
      <c r="N1815" s="11"/>
      <c r="O1815" s="11"/>
      <c r="P1815" s="11"/>
      <c r="Q1815" s="11"/>
      <c r="R1815" s="11"/>
      <c r="S1815" s="11"/>
      <c r="T1815" s="11"/>
      <c r="U1815" s="11"/>
      <c r="V1815" s="11"/>
      <c r="W1815" s="11"/>
      <c r="X1815" s="11"/>
      <c r="Y1815" s="11"/>
      <c r="Z1815" s="11"/>
    </row>
    <row r="1816" customHeight="1" spans="1:26">
      <c r="A1816" s="11" t="str">
        <f>IFERROR(__xludf.DUMMYFUNCTION("""COMPUTED_VALUE"""),"UEMEMSON SILVA SOARES")</f>
        <v>UEMEMSON SILVA SOARES</v>
      </c>
      <c r="B1816" s="11"/>
      <c r="C1816" s="11"/>
      <c r="D1816" s="11" t="str">
        <f>IFERROR(__xludf.DUMMYFUNCTION("""COMPUTED_VALUE"""),"ENFERMEIRO 40H")</f>
        <v>ENFERMEIRO 40H</v>
      </c>
      <c r="E1816" s="11"/>
      <c r="F1816" s="11" t="str">
        <f>IFERROR(__xludf.DUMMYFUNCTION("""COMPUTED_VALUE"""),"US_103 CS PROF MARIO RAMOS")</f>
        <v>US_103 CS PROF MARIO RAMOS</v>
      </c>
      <c r="G1816" s="11" t="str">
        <f>IFERROR(__xludf.DUMMYFUNCTION("""COMPUTED_VALUE"""),"US_103 CS PROF MARIO RAMOS")</f>
        <v>US_103 CS PROF MARIO RAMOS</v>
      </c>
      <c r="H1816" s="11"/>
      <c r="I1816" s="11"/>
      <c r="J1816" s="11"/>
      <c r="K1816" s="11"/>
      <c r="L1816" s="11"/>
      <c r="M1816" s="11"/>
      <c r="N1816" s="11"/>
      <c r="O1816" s="11">
        <f>IFERROR(__xludf.DUMMYFUNCTION("""COMPUTED_VALUE"""),2706159545)</f>
        <v>2706159545</v>
      </c>
      <c r="P1816" s="11"/>
      <c r="Q1816" s="11"/>
      <c r="R1816" s="11"/>
      <c r="S1816" s="11"/>
      <c r="T1816" s="11"/>
      <c r="U1816" s="11"/>
      <c r="V1816" s="11"/>
      <c r="W1816" s="11"/>
      <c r="X1816" s="11"/>
      <c r="Y1816" s="11"/>
      <c r="Z1816" s="11"/>
    </row>
    <row r="1817" customHeight="1" spans="1:26">
      <c r="A1817" s="11" t="str">
        <f>IFERROR(__xludf.DUMMYFUNCTION("""COMPUTED_VALUE"""),"MARIANA COUTINHO MACHADO DE SOUZA")</f>
        <v>MARIANA COUTINHO MACHADO DE SOUZA</v>
      </c>
      <c r="B1817" s="11"/>
      <c r="C1817" s="11"/>
      <c r="D1817" s="11" t="str">
        <f>IFERROR(__xludf.DUMMYFUNCTION("""COMPUTED_VALUE"""),"MÉDICA")</f>
        <v>MÉDICA</v>
      </c>
      <c r="E1817" s="11"/>
      <c r="F1817" s="11"/>
      <c r="G1817" s="11" t="str">
        <f>IFERROR(__xludf.DUMMYFUNCTION("""COMPUTED_VALUE"""),"US_255 USF UPINHA 24H VILA ARRAES	")</f>
        <v>US_255 USF UPINHA 24H VILA ARRAES	</v>
      </c>
      <c r="H1817" s="27">
        <f>IFERROR(__xludf.DUMMYFUNCTION("""COMPUTED_VALUE"""),81988327043)</f>
        <v>81988327043</v>
      </c>
      <c r="I1817" s="11"/>
      <c r="J1817" s="11"/>
      <c r="K1817" s="11"/>
      <c r="L1817" s="30" t="str">
        <f>IFERROR(__xludf.DUMMYFUNCTION("""COMPUTED_VALUE"""),"19/04/2024")</f>
        <v>19/04/2024</v>
      </c>
      <c r="M1817" s="11"/>
      <c r="N1817" s="30" t="str">
        <f>IFERROR(__xludf.DUMMYFUNCTION("""COMPUTED_VALUE"""),"marianavilaarraes@gmail.com")</f>
        <v>marianavilaarraes@gmail.com</v>
      </c>
      <c r="O1817" s="11"/>
      <c r="P1817" s="11"/>
      <c r="Q1817" s="11"/>
      <c r="R1817" s="11"/>
      <c r="S1817" s="11"/>
      <c r="T1817" s="11"/>
      <c r="U1817" s="11"/>
      <c r="V1817" s="11"/>
      <c r="W1817" s="11"/>
      <c r="X1817" s="11"/>
      <c r="Y1817" s="11"/>
      <c r="Z1817" s="11"/>
    </row>
    <row r="1818" customHeight="1" spans="1:26">
      <c r="A1818" s="11" t="str">
        <f>IFERROR(__xludf.DUMMYFUNCTION("""COMPUTED_VALUE"""),"KAROLAYNE VIEIRA DE SOUZA")</f>
        <v>KAROLAYNE VIEIRA DE SOUZA</v>
      </c>
      <c r="B1818" s="11"/>
      <c r="C1818" s="11"/>
      <c r="D1818" s="11" t="str">
        <f>IFERROR(__xludf.DUMMYFUNCTION("""COMPUTED_VALUE"""),"ENFERMEIRO 30H - PLANTONISTA")</f>
        <v>ENFERMEIRO 30H - PLANTONISTA</v>
      </c>
      <c r="E1818" s="11"/>
      <c r="F1818" s="11" t="str">
        <f>IFERROR(__xludf.DUMMYFUNCTION("""COMPUTED_VALUE"""),"US_255 USF UPINHA 24H VILA ARRAES	")</f>
        <v>US_255 USF UPINHA 24H VILA ARRAES	</v>
      </c>
      <c r="G1818" s="11" t="str">
        <f>IFERROR(__xludf.DUMMYFUNCTION("""COMPUTED_VALUE"""),"US_255 USF UPINHA 24H VILA ARRAES	")</f>
        <v>US_255 USF UPINHA 24H VILA ARRAES	</v>
      </c>
      <c r="H1818" s="11"/>
      <c r="I1818" s="11"/>
      <c r="J1818" s="11"/>
      <c r="K1818" s="11"/>
      <c r="L1818" s="11"/>
      <c r="M1818" s="11"/>
      <c r="N1818" s="11"/>
      <c r="O1818" s="11">
        <f>IFERROR(__xludf.DUMMYFUNCTION("""COMPUTED_VALUE"""),9745727482)</f>
        <v>9745727482</v>
      </c>
      <c r="P1818" s="11"/>
      <c r="Q1818" s="11"/>
      <c r="R1818" s="11"/>
      <c r="S1818" s="11"/>
      <c r="T1818" s="11"/>
      <c r="U1818" s="11"/>
      <c r="V1818" s="11"/>
      <c r="W1818" s="11"/>
      <c r="X1818" s="11"/>
      <c r="Y1818" s="11"/>
      <c r="Z1818" s="11"/>
    </row>
    <row r="1819" customHeight="1" spans="1:26">
      <c r="A1819" s="11" t="str">
        <f>IFERROR(__xludf.DUMMYFUNCTION("""COMPUTED_VALUE"""),"ALESSANDRA NOGUEIRA SANTOS")</f>
        <v>ALESSANDRA NOGUEIRA SANTOS</v>
      </c>
      <c r="B1819" s="11"/>
      <c r="C1819" s="11"/>
      <c r="D1819" s="11" t="str">
        <f>IFERROR(__xludf.DUMMYFUNCTION("""COMPUTED_VALUE"""),"ENFERMEIRO 30H - PLANTONISTA")</f>
        <v>ENFERMEIRO 30H - PLANTONISTA</v>
      </c>
      <c r="E1819" s="11"/>
      <c r="F1819" s="11" t="str">
        <f>IFERROR(__xludf.DUMMYFUNCTION("""COMPUTED_VALUE"""),"US_103 CS PROF MARIO RAMOS")</f>
        <v>US_103 CS PROF MARIO RAMOS</v>
      </c>
      <c r="G1819" s="11" t="str">
        <f>IFERROR(__xludf.DUMMYFUNCTION("""COMPUTED_VALUE"""),"US_103 CS PROF MARIO RAMOS")</f>
        <v>US_103 CS PROF MARIO RAMOS</v>
      </c>
      <c r="H1819" s="11"/>
      <c r="I1819" s="11"/>
      <c r="J1819" s="11"/>
      <c r="K1819" s="11"/>
      <c r="L1819" s="11"/>
      <c r="M1819" s="11"/>
      <c r="N1819" s="11"/>
      <c r="O1819" s="11">
        <f>IFERROR(__xludf.DUMMYFUNCTION("""COMPUTED_VALUE"""),6507685402)</f>
        <v>6507685402</v>
      </c>
      <c r="P1819" s="11"/>
      <c r="Q1819" s="11"/>
      <c r="R1819" s="11"/>
      <c r="S1819" s="11"/>
      <c r="T1819" s="11"/>
      <c r="U1819" s="11"/>
      <c r="V1819" s="11"/>
      <c r="W1819" s="11"/>
      <c r="X1819" s="11"/>
      <c r="Y1819" s="11"/>
      <c r="Z1819" s="11"/>
    </row>
    <row r="1820" customHeight="1" spans="1:26">
      <c r="A1820" s="11" t="str">
        <f>IFERROR(__xludf.DUMMYFUNCTION("""COMPUTED_VALUE"""),"CLARISSA MOURAO PINHO")</f>
        <v>CLARISSA MOURAO PINHO</v>
      </c>
      <c r="B1820" s="11"/>
      <c r="C1820" s="11"/>
      <c r="D1820" s="11" t="str">
        <f>IFERROR(__xludf.DUMMYFUNCTION("""COMPUTED_VALUE"""),"ENFERMEIRO 30H - PLANTONISTA")</f>
        <v>ENFERMEIRO 30H - PLANTONISTA</v>
      </c>
      <c r="E1820" s="11"/>
      <c r="F1820" s="11" t="str">
        <f>IFERROR(__xludf.DUMMYFUNCTION("""COMPUTED_VALUE"""),"US_394 USF UPINHA 24H DR MOACYR ANDRE GOMES")</f>
        <v>US_394 USF UPINHA 24H DR MOACYR ANDRE GOMES</v>
      </c>
      <c r="G1820" s="11" t="str">
        <f>IFERROR(__xludf.DUMMYFUNCTION("""COMPUTED_VALUE"""),"US_394 USF UPINHA 24H DR MOACYR ANDRE GOMES")</f>
        <v>US_394 USF UPINHA 24H DR MOACYR ANDRE GOMES</v>
      </c>
      <c r="H1820" s="11"/>
      <c r="I1820" s="11"/>
      <c r="J1820" s="11"/>
      <c r="K1820" s="11"/>
      <c r="L1820" s="11"/>
      <c r="M1820" s="11"/>
      <c r="N1820" s="11"/>
      <c r="O1820" s="11">
        <f>IFERROR(__xludf.DUMMYFUNCTION("""COMPUTED_VALUE"""),6589289450)</f>
        <v>6589289450</v>
      </c>
      <c r="P1820" s="11"/>
      <c r="Q1820" s="11"/>
      <c r="R1820" s="11"/>
      <c r="S1820" s="11"/>
      <c r="T1820" s="11"/>
      <c r="U1820" s="11"/>
      <c r="V1820" s="11"/>
      <c r="W1820" s="11"/>
      <c r="X1820" s="11"/>
      <c r="Y1820" s="11"/>
      <c r="Z1820" s="11"/>
    </row>
    <row r="1821" customHeight="1" spans="1:26">
      <c r="A1821" s="11" t="str">
        <f>IFERROR(__xludf.DUMMYFUNCTION("""COMPUTED_VALUE"""),"MARIA GABRIELLY M DE MELO")</f>
        <v>MARIA GABRIELLY M DE MELO</v>
      </c>
      <c r="B1821" s="11"/>
      <c r="C1821" s="11"/>
      <c r="D1821" s="11" t="str">
        <f>IFERROR(__xludf.DUMMYFUNCTION("""COMPUTED_VALUE"""),"ENFERMEIRO 30H - PLANTONISTA")</f>
        <v>ENFERMEIRO 30H - PLANTONISTA</v>
      </c>
      <c r="E1821" s="11"/>
      <c r="F1821" s="11" t="str">
        <f>IFERROR(__xludf.DUMMYFUNCTION("""COMPUTED_VALUE"""),"US_161 CS PROF ROMERO MARQUES / IPIRANGA")</f>
        <v>US_161 CS PROF ROMERO MARQUES / IPIRANGA</v>
      </c>
      <c r="G1821" s="11" t="str">
        <f>IFERROR(__xludf.DUMMYFUNCTION("""COMPUTED_VALUE"""),"US_161 CS PROF ROMERO MARQUES / IPIRANGA")</f>
        <v>US_161 CS PROF ROMERO MARQUES / IPIRANGA</v>
      </c>
      <c r="H1821" s="11"/>
      <c r="I1821" s="11"/>
      <c r="J1821" s="11"/>
      <c r="K1821" s="11"/>
      <c r="L1821" s="11"/>
      <c r="M1821" s="11"/>
      <c r="N1821" s="11"/>
      <c r="O1821" s="11">
        <f>IFERROR(__xludf.DUMMYFUNCTION("""COMPUTED_VALUE"""),6738134444)</f>
        <v>6738134444</v>
      </c>
      <c r="P1821" s="11"/>
      <c r="Q1821" s="11"/>
      <c r="R1821" s="11"/>
      <c r="S1821" s="11"/>
      <c r="T1821" s="11"/>
      <c r="U1821" s="11"/>
      <c r="V1821" s="11"/>
      <c r="W1821" s="11"/>
      <c r="X1821" s="11"/>
      <c r="Y1821" s="11"/>
      <c r="Z1821" s="11"/>
    </row>
    <row r="1822" customHeight="1" spans="1:26">
      <c r="A1822" s="11" t="str">
        <f>IFERROR(__xludf.DUMMYFUNCTION("""COMPUTED_VALUE"""),"BRENNA CAVALCANTI M MODESTO")</f>
        <v>BRENNA CAVALCANTI M MODESTO</v>
      </c>
      <c r="B1822" s="11"/>
      <c r="C1822" s="11"/>
      <c r="D1822" s="11" t="str">
        <f>IFERROR(__xludf.DUMMYFUNCTION("""COMPUTED_VALUE"""),"ENFERMEIRO 30H - PLANTONISTA")</f>
        <v>ENFERMEIRO 30H - PLANTONISTA</v>
      </c>
      <c r="E1822" s="11"/>
      <c r="F1822" s="11" t="str">
        <f>IFERROR(__xludf.DUMMYFUNCTION("""COMPUTED_VALUE"""),"US_394 USF UPINHA 24H DR MOACYR ANDRE GOMES")</f>
        <v>US_394 USF UPINHA 24H DR MOACYR ANDRE GOMES</v>
      </c>
      <c r="G1822" s="11" t="str">
        <f>IFERROR(__xludf.DUMMYFUNCTION("""COMPUTED_VALUE"""),"US_394 USF UPINHA 24H DR MOACYR ANDRE GOMES")</f>
        <v>US_394 USF UPINHA 24H DR MOACYR ANDRE GOMES</v>
      </c>
      <c r="H1822" s="11"/>
      <c r="I1822" s="11"/>
      <c r="J1822" s="11"/>
      <c r="K1822" s="11"/>
      <c r="L1822" s="11"/>
      <c r="M1822" s="11"/>
      <c r="N1822" s="11"/>
      <c r="O1822" s="11">
        <f>IFERROR(__xludf.DUMMYFUNCTION("""COMPUTED_VALUE"""),8674593445)</f>
        <v>8674593445</v>
      </c>
      <c r="P1822" s="11"/>
      <c r="Q1822" s="11"/>
      <c r="R1822" s="11"/>
      <c r="S1822" s="11"/>
      <c r="T1822" s="11"/>
      <c r="U1822" s="11"/>
      <c r="V1822" s="11"/>
      <c r="W1822" s="11"/>
      <c r="X1822" s="11"/>
      <c r="Y1822" s="11"/>
      <c r="Z1822" s="11"/>
    </row>
    <row r="1823" customHeight="1" spans="1:26">
      <c r="A1823" s="11" t="str">
        <f>IFERROR(__xludf.DUMMYFUNCTION("""COMPUTED_VALUE"""),"FRANCIMEIRE BEZERRA RODRIGUES")</f>
        <v>FRANCIMEIRE BEZERRA RODRIGUES</v>
      </c>
      <c r="B1823" s="11"/>
      <c r="C1823" s="11"/>
      <c r="D1823" s="11" t="str">
        <f>IFERROR(__xludf.DUMMYFUNCTION("""COMPUTED_VALUE"""),"ENFERMEIRO 30H - PLANTONISTA")</f>
        <v>ENFERMEIRO 30H - PLANTONISTA</v>
      </c>
      <c r="E1823" s="11"/>
      <c r="F1823" s="24" t="str">
        <f>IFERROR(__xludf.DUMMYFUNCTION("""COMPUTED_VALUE"""),"UNIDADE DE VACINAÇAO COVID-19 | DS - V")</f>
        <v>UNIDADE DE VACINAÇAO COVID-19 | DS - V</v>
      </c>
      <c r="G1823" s="11" t="str">
        <f>IFERROR(__xludf.DUMMYFUNCTION("""COMPUTED_VALUE"""),"UNIDADE DE VACINAÇAO COVID-19 | DS - V")</f>
        <v>UNIDADE DE VACINAÇAO COVID-19 | DS - V</v>
      </c>
      <c r="H1823" s="11"/>
      <c r="I1823" s="11"/>
      <c r="J1823" s="11"/>
      <c r="K1823" s="11"/>
      <c r="L1823" s="11"/>
      <c r="M1823" s="11"/>
      <c r="N1823" s="11"/>
      <c r="O1823" s="11">
        <f>IFERROR(__xludf.DUMMYFUNCTION("""COMPUTED_VALUE"""),91796792420)</f>
        <v>91796792420</v>
      </c>
      <c r="P1823" s="11"/>
      <c r="Q1823" s="11"/>
      <c r="R1823" s="11"/>
      <c r="S1823" s="11"/>
      <c r="T1823" s="11"/>
      <c r="U1823" s="11"/>
      <c r="V1823" s="11"/>
      <c r="W1823" s="11"/>
      <c r="X1823" s="11"/>
      <c r="Y1823" s="11"/>
      <c r="Z1823" s="11"/>
    </row>
    <row r="1824" customHeight="1" spans="1:26">
      <c r="A1824" s="11" t="str">
        <f>IFERROR(__xludf.DUMMYFUNCTION("""COMPUTED_VALUE"""),"BEATRIZ SANTANA DE SOUZA LIMA")</f>
        <v>BEATRIZ SANTANA DE SOUZA LIMA</v>
      </c>
      <c r="B1824" s="11"/>
      <c r="C1824" s="11"/>
      <c r="D1824" s="11" t="str">
        <f>IFERROR(__xludf.DUMMYFUNCTION("""COMPUTED_VALUE"""),"ENFERMEIRO 30H - PLANTONISTA")</f>
        <v>ENFERMEIRO 30H - PLANTONISTA</v>
      </c>
      <c r="E1824" s="11"/>
      <c r="F1824" s="24" t="str">
        <f>IFERROR(__xludf.DUMMYFUNCTION("""COMPUTED_VALUE"""),"UNIDADE DE VACINAÇAO COVID-19 | DS - VI")</f>
        <v>UNIDADE DE VACINAÇAO COVID-19 | DS - VI</v>
      </c>
      <c r="G1824" s="11" t="str">
        <f>IFERROR(__xludf.DUMMYFUNCTION("""COMPUTED_VALUE"""),"UNIDADE DE VACINAÇAO COVID-19 | DS - VI")</f>
        <v>UNIDADE DE VACINAÇAO COVID-19 | DS - VI</v>
      </c>
      <c r="H1824" s="11"/>
      <c r="I1824" s="11"/>
      <c r="J1824" s="11"/>
      <c r="K1824" s="11"/>
      <c r="L1824" s="11"/>
      <c r="M1824" s="11"/>
      <c r="N1824" s="11"/>
      <c r="O1824" s="11">
        <f>IFERROR(__xludf.DUMMYFUNCTION("""COMPUTED_VALUE"""),2326220510)</f>
        <v>2326220510</v>
      </c>
      <c r="P1824" s="11"/>
      <c r="Q1824" s="11"/>
      <c r="R1824" s="11"/>
      <c r="S1824" s="11"/>
      <c r="T1824" s="11"/>
      <c r="U1824" s="11"/>
      <c r="V1824" s="11"/>
      <c r="W1824" s="11"/>
      <c r="X1824" s="11"/>
      <c r="Y1824" s="11"/>
      <c r="Z1824" s="11"/>
    </row>
    <row r="1825" customHeight="1" spans="1:26">
      <c r="A1825" s="11" t="str">
        <f>IFERROR(__xludf.DUMMYFUNCTION("""COMPUTED_VALUE"""),"VANEZKA BRITO FERREIRA")</f>
        <v>VANEZKA BRITO FERREIRA</v>
      </c>
      <c r="B1825" s="11"/>
      <c r="C1825" s="11"/>
      <c r="D1825" s="11" t="str">
        <f>IFERROR(__xludf.DUMMYFUNCTION("""COMPUTED_VALUE"""),"ENFERMEIRO 30H - PLANTONISTA")</f>
        <v>ENFERMEIRO 30H - PLANTONISTA</v>
      </c>
      <c r="E1825" s="11"/>
      <c r="F1825" s="24" t="str">
        <f>IFERROR(__xludf.DUMMYFUNCTION("""COMPUTED_VALUE"""),"UNIDADE DE VACINAÇAO COVID-19 | DS - VIII")</f>
        <v>UNIDADE DE VACINAÇAO COVID-19 | DS - VIII</v>
      </c>
      <c r="G1825" s="11" t="str">
        <f>IFERROR(__xludf.DUMMYFUNCTION("""COMPUTED_VALUE"""),"UNIDADE DE VACINAÇAO COVID-19 | DS - VIII")</f>
        <v>UNIDADE DE VACINAÇAO COVID-19 | DS - VIII</v>
      </c>
      <c r="H1825" s="11"/>
      <c r="I1825" s="11"/>
      <c r="J1825" s="11"/>
      <c r="K1825" s="11"/>
      <c r="L1825" s="11"/>
      <c r="M1825" s="11"/>
      <c r="N1825" s="11"/>
      <c r="O1825" s="11">
        <f>IFERROR(__xludf.DUMMYFUNCTION("""COMPUTED_VALUE"""),2696439583)</f>
        <v>2696439583</v>
      </c>
      <c r="P1825" s="11"/>
      <c r="Q1825" s="11"/>
      <c r="R1825" s="11"/>
      <c r="S1825" s="11"/>
      <c r="T1825" s="11"/>
      <c r="U1825" s="11"/>
      <c r="V1825" s="11"/>
      <c r="W1825" s="11"/>
      <c r="X1825" s="11"/>
      <c r="Y1825" s="11"/>
      <c r="Z1825" s="11"/>
    </row>
    <row r="1826" customHeight="1" spans="1:26">
      <c r="A1826" s="11" t="str">
        <f>IFERROR(__xludf.DUMMYFUNCTION("""COMPUTED_VALUE"""),"EDUARDO LUCENA COLATINO")</f>
        <v>EDUARDO LUCENA COLATINO</v>
      </c>
      <c r="B1826" s="11"/>
      <c r="C1826" s="11"/>
      <c r="D1826" s="11" t="str">
        <f>IFERROR(__xludf.DUMMYFUNCTION("""COMPUTED_VALUE"""),"ENFERMEIRO 30H - PLANTONISTA")</f>
        <v>ENFERMEIRO 30H - PLANTONISTA</v>
      </c>
      <c r="E1826" s="11"/>
      <c r="F1826" s="24" t="str">
        <f>IFERROR(__xludf.DUMMYFUNCTION("""COMPUTED_VALUE"""),"UNIDADE DE VACINAÇAO COVID-19 | DS - VII")</f>
        <v>UNIDADE DE VACINAÇAO COVID-19 | DS - VII</v>
      </c>
      <c r="G1826" s="11" t="str">
        <f>IFERROR(__xludf.DUMMYFUNCTION("""COMPUTED_VALUE"""),"UNIDADE DE VACINAÇAO COVID-19 | DS - VII")</f>
        <v>UNIDADE DE VACINAÇAO COVID-19 | DS - VII</v>
      </c>
      <c r="H1826" s="11"/>
      <c r="I1826" s="11"/>
      <c r="J1826" s="11"/>
      <c r="K1826" s="11"/>
      <c r="L1826" s="11"/>
      <c r="M1826" s="11"/>
      <c r="N1826" s="11"/>
      <c r="O1826" s="11">
        <f>IFERROR(__xludf.DUMMYFUNCTION("""COMPUTED_VALUE"""),5551489477)</f>
        <v>5551489477</v>
      </c>
      <c r="P1826" s="11"/>
      <c r="Q1826" s="11"/>
      <c r="R1826" s="11"/>
      <c r="S1826" s="11"/>
      <c r="T1826" s="11"/>
      <c r="U1826" s="11"/>
      <c r="V1826" s="11"/>
      <c r="W1826" s="11"/>
      <c r="X1826" s="11"/>
      <c r="Y1826" s="11"/>
      <c r="Z1826" s="11"/>
    </row>
    <row r="1827" customHeight="1" spans="1:26">
      <c r="A1827" s="11" t="str">
        <f>IFERROR(__xludf.DUMMYFUNCTION("""COMPUTED_VALUE"""),"ALINE FRANCO DA SILVA")</f>
        <v>ALINE FRANCO DA SILVA</v>
      </c>
      <c r="B1827" s="11"/>
      <c r="C1827" s="11"/>
      <c r="D1827" s="11" t="str">
        <f>IFERROR(__xludf.DUMMYFUNCTION("""COMPUTED_VALUE"""),"ENFERMEIRO 30H - PLANTONISTA")</f>
        <v>ENFERMEIRO 30H - PLANTONISTA</v>
      </c>
      <c r="E1827" s="11"/>
      <c r="F1827" s="24" t="str">
        <f>IFERROR(__xludf.DUMMYFUNCTION("""COMPUTED_VALUE"""),"UNIDADE DE VACINAÇAO COVID-19 | DS - VII")</f>
        <v>UNIDADE DE VACINAÇAO COVID-19 | DS - VII</v>
      </c>
      <c r="G1827" s="11" t="str">
        <f>IFERROR(__xludf.DUMMYFUNCTION("""COMPUTED_VALUE"""),"UNIDADE DE VACINAÇAO COVID-19 | DS - VII")</f>
        <v>UNIDADE DE VACINAÇAO COVID-19 | DS - VII</v>
      </c>
      <c r="H1827" s="11"/>
      <c r="I1827" s="11"/>
      <c r="J1827" s="11"/>
      <c r="K1827" s="11"/>
      <c r="L1827" s="11"/>
      <c r="M1827" s="11"/>
      <c r="N1827" s="11"/>
      <c r="O1827" s="11">
        <f>IFERROR(__xludf.DUMMYFUNCTION("""COMPUTED_VALUE"""),4943005403)</f>
        <v>4943005403</v>
      </c>
      <c r="P1827" s="11"/>
      <c r="Q1827" s="11"/>
      <c r="R1827" s="11"/>
      <c r="S1827" s="11"/>
      <c r="T1827" s="11"/>
      <c r="U1827" s="11"/>
      <c r="V1827" s="11"/>
      <c r="W1827" s="11"/>
      <c r="X1827" s="11"/>
      <c r="Y1827" s="11"/>
      <c r="Z1827" s="11"/>
    </row>
    <row r="1828" customHeight="1" spans="1:26">
      <c r="A1828" s="11" t="str">
        <f>IFERROR(__xludf.DUMMYFUNCTION("""COMPUTED_VALUE"""),"LEVITEMBERG DA COSTA A MORAES")</f>
        <v>LEVITEMBERG DA COSTA A MORAES</v>
      </c>
      <c r="B1828" s="11"/>
      <c r="C1828" s="11"/>
      <c r="D1828" s="11" t="str">
        <f>IFERROR(__xludf.DUMMYFUNCTION("""COMPUTED_VALUE"""),"ENFERMEIRO 30H - PLANTONISTA")</f>
        <v>ENFERMEIRO 30H - PLANTONISTA</v>
      </c>
      <c r="E1828" s="11"/>
      <c r="F1828" s="11" t="str">
        <f>IFERROR(__xludf.DUMMYFUNCTION("""COMPUTED_VALUE"""),"UNIDADE DE VACINAÇAO COVID-19 | DS - V")</f>
        <v>UNIDADE DE VACINAÇAO COVID-19 | DS - V</v>
      </c>
      <c r="G1828" s="11" t="str">
        <f>IFERROR(__xludf.DUMMYFUNCTION("""COMPUTED_VALUE"""),"UNIDADE DE VACINAÇAO COVID-19 | DS - V")</f>
        <v>UNIDADE DE VACINAÇAO COVID-19 | DS - V</v>
      </c>
      <c r="H1828" s="11"/>
      <c r="I1828" s="11"/>
      <c r="J1828" s="11"/>
      <c r="K1828" s="11"/>
      <c r="L1828" s="11"/>
      <c r="M1828" s="11"/>
      <c r="N1828" s="11"/>
      <c r="O1828" s="11">
        <f>IFERROR(__xludf.DUMMYFUNCTION("""COMPUTED_VALUE"""),4837166342)</f>
        <v>4837166342</v>
      </c>
      <c r="P1828" s="11"/>
      <c r="Q1828" s="11"/>
      <c r="R1828" s="11"/>
      <c r="S1828" s="11"/>
      <c r="T1828" s="11"/>
      <c r="U1828" s="11"/>
      <c r="V1828" s="11"/>
      <c r="W1828" s="11"/>
      <c r="X1828" s="11"/>
      <c r="Y1828" s="11"/>
      <c r="Z1828" s="11"/>
    </row>
    <row r="1829" customHeight="1" spans="1:26">
      <c r="A1829" s="11" t="str">
        <f>IFERROR(__xludf.DUMMYFUNCTION("""COMPUTED_VALUE"""),"JULIA RAQUEL GOMES PEREIRA")</f>
        <v>JULIA RAQUEL GOMES PEREIRA</v>
      </c>
      <c r="B1829" s="11"/>
      <c r="C1829" s="11"/>
      <c r="D1829" s="11" t="str">
        <f>IFERROR(__xludf.DUMMYFUNCTION("""COMPUTED_VALUE"""),"ENFERMEIRO 30H - PLANTONISTA")</f>
        <v>ENFERMEIRO 30H - PLANTONISTA</v>
      </c>
      <c r="E1829" s="11"/>
      <c r="F1829" s="24" t="str">
        <f>IFERROR(__xludf.DUMMYFUNCTION("""COMPUTED_VALUE"""),"UNIDADE DE VACINAÇAO COVID-19 | DS - VIII")</f>
        <v>UNIDADE DE VACINAÇAO COVID-19 | DS - VIII</v>
      </c>
      <c r="G1829" s="11" t="str">
        <f>IFERROR(__xludf.DUMMYFUNCTION("""COMPUTED_VALUE"""),"UNIDADE DE VACINAÇAO COVID-19 | DS - VIII")</f>
        <v>UNIDADE DE VACINAÇAO COVID-19 | DS - VIII</v>
      </c>
      <c r="H1829" s="11"/>
      <c r="I1829" s="11"/>
      <c r="J1829" s="11"/>
      <c r="K1829" s="11"/>
      <c r="L1829" s="11"/>
      <c r="M1829" s="11"/>
      <c r="N1829" s="11"/>
      <c r="O1829" s="11">
        <f>IFERROR(__xludf.DUMMYFUNCTION("""COMPUTED_VALUE"""),8908458409)</f>
        <v>8908458409</v>
      </c>
      <c r="P1829" s="11"/>
      <c r="Q1829" s="11"/>
      <c r="R1829" s="11"/>
      <c r="S1829" s="11"/>
      <c r="T1829" s="11"/>
      <c r="U1829" s="11"/>
      <c r="V1829" s="11"/>
      <c r="W1829" s="11"/>
      <c r="X1829" s="11"/>
      <c r="Y1829" s="11"/>
      <c r="Z1829" s="11"/>
    </row>
    <row r="1830" customHeight="1" spans="1:26">
      <c r="A1830" s="11" t="str">
        <f>IFERROR(__xludf.DUMMYFUNCTION("""COMPUTED_VALUE"""),"KEYLA DANIELLE O M DE BARROS")</f>
        <v>KEYLA DANIELLE O M DE BARROS</v>
      </c>
      <c r="B1830" s="11"/>
      <c r="C1830" s="11"/>
      <c r="D1830" s="11" t="str">
        <f>IFERROR(__xludf.DUMMYFUNCTION("""COMPUTED_VALUE"""),"ENFERMEIRO 30H - PLANTONISTA")</f>
        <v>ENFERMEIRO 30H - PLANTONISTA</v>
      </c>
      <c r="E1830" s="11"/>
      <c r="F1830" s="24" t="str">
        <f>IFERROR(__xludf.DUMMYFUNCTION("""COMPUTED_VALUE"""),"UNIDADE DE VACINAÇAO COVID-19 | DS - VI")</f>
        <v>UNIDADE DE VACINAÇAO COVID-19 | DS - VI</v>
      </c>
      <c r="G1830" s="11" t="str">
        <f>IFERROR(__xludf.DUMMYFUNCTION("""COMPUTED_VALUE"""),"UNIDADE DE VACINAÇAO COVID-19 | DS - VI")</f>
        <v>UNIDADE DE VACINAÇAO COVID-19 | DS - VI</v>
      </c>
      <c r="H1830" s="11"/>
      <c r="I1830" s="11"/>
      <c r="J1830" s="11"/>
      <c r="K1830" s="11"/>
      <c r="L1830" s="11"/>
      <c r="M1830" s="11"/>
      <c r="N1830" s="11"/>
      <c r="O1830" s="11">
        <f>IFERROR(__xludf.DUMMYFUNCTION("""COMPUTED_VALUE"""),8448716485)</f>
        <v>8448716485</v>
      </c>
      <c r="P1830" s="11"/>
      <c r="Q1830" s="11"/>
      <c r="R1830" s="11"/>
      <c r="S1830" s="11"/>
      <c r="T1830" s="11"/>
      <c r="U1830" s="11"/>
      <c r="V1830" s="11"/>
      <c r="W1830" s="11"/>
      <c r="X1830" s="11"/>
      <c r="Y1830" s="11"/>
      <c r="Z1830" s="11"/>
    </row>
    <row r="1831" customHeight="1" spans="1:26">
      <c r="A1831" s="11" t="str">
        <f>IFERROR(__xludf.DUMMYFUNCTION("""COMPUTED_VALUE"""),"GIOVANNA CARVALHO MARTINS")</f>
        <v>GIOVANNA CARVALHO MARTINS</v>
      </c>
      <c r="B1831" s="11"/>
      <c r="C1831" s="11"/>
      <c r="D1831" s="11" t="str">
        <f>IFERROR(__xludf.DUMMYFUNCTION("""COMPUTED_VALUE"""),"ENFERMEIRO 30H - PLANTONISTA")</f>
        <v>ENFERMEIRO 30H - PLANTONISTA</v>
      </c>
      <c r="E1831" s="11"/>
      <c r="F1831" s="24" t="str">
        <f>IFERROR(__xludf.DUMMYFUNCTION("""COMPUTED_VALUE"""),"UNIDADE DE VACINAÇAO COVID-19 | DS - VIII")</f>
        <v>UNIDADE DE VACINAÇAO COVID-19 | DS - VIII</v>
      </c>
      <c r="G1831" s="11" t="str">
        <f>IFERROR(__xludf.DUMMYFUNCTION("""COMPUTED_VALUE"""),"UNIDADE DE VACINAÇAO COVID-19 | DS - VIII")</f>
        <v>UNIDADE DE VACINAÇAO COVID-19 | DS - VIII</v>
      </c>
      <c r="H1831" s="11"/>
      <c r="I1831" s="11"/>
      <c r="J1831" s="11"/>
      <c r="K1831" s="11"/>
      <c r="L1831" s="11"/>
      <c r="M1831" s="11"/>
      <c r="N1831" s="11"/>
      <c r="O1831" s="11">
        <f>IFERROR(__xludf.DUMMYFUNCTION("""COMPUTED_VALUE"""),8714007401)</f>
        <v>8714007401</v>
      </c>
      <c r="P1831" s="11"/>
      <c r="Q1831" s="11"/>
      <c r="R1831" s="11"/>
      <c r="S1831" s="11"/>
      <c r="T1831" s="11"/>
      <c r="U1831" s="11"/>
      <c r="V1831" s="11"/>
      <c r="W1831" s="11"/>
      <c r="X1831" s="11"/>
      <c r="Y1831" s="11"/>
      <c r="Z1831" s="11"/>
    </row>
    <row r="1832" customHeight="1" spans="1:26">
      <c r="A1832" s="11" t="str">
        <f>IFERROR(__xludf.DUMMYFUNCTION("""COMPUTED_VALUE"""),"JESSICA FERREIRA DE M PEREIRA")</f>
        <v>JESSICA FERREIRA DE M PEREIRA</v>
      </c>
      <c r="B1832" s="11"/>
      <c r="C1832" s="11"/>
      <c r="D1832" s="11" t="str">
        <f>IFERROR(__xludf.DUMMYFUNCTION("""COMPUTED_VALUE"""),"ENFERMEIRO 30H - PLANTONISTA")</f>
        <v>ENFERMEIRO 30H - PLANTONISTA</v>
      </c>
      <c r="E1832" s="11"/>
      <c r="F1832" s="11" t="str">
        <f>IFERROR(__xludf.DUMMYFUNCTION("""COMPUTED_VALUE"""),"US_352 USF UPINHA 24H DR HELIO MENDONCA COR DO JENIPAPO")</f>
        <v>US_352 USF UPINHA 24H DR HELIO MENDONCA COR DO JENIPAPO</v>
      </c>
      <c r="G1832" s="11" t="str">
        <f>IFERROR(__xludf.DUMMYFUNCTION("""COMPUTED_VALUE"""),"US_352 USF UPINHA 24H DR HELIO MENDONCA COR DO JENIPAPO")</f>
        <v>US_352 USF UPINHA 24H DR HELIO MENDONCA COR DO JENIPAPO</v>
      </c>
      <c r="H1832" s="11"/>
      <c r="I1832" s="11"/>
      <c r="J1832" s="11"/>
      <c r="K1832" s="11"/>
      <c r="L1832" s="11"/>
      <c r="M1832" s="11"/>
      <c r="N1832" s="11"/>
      <c r="O1832" s="11">
        <f>IFERROR(__xludf.DUMMYFUNCTION("""COMPUTED_VALUE"""),9662732497)</f>
        <v>9662732497</v>
      </c>
      <c r="P1832" s="11"/>
      <c r="Q1832" s="11"/>
      <c r="R1832" s="11"/>
      <c r="S1832" s="11"/>
      <c r="T1832" s="11"/>
      <c r="U1832" s="11"/>
      <c r="V1832" s="11"/>
      <c r="W1832" s="11"/>
      <c r="X1832" s="11"/>
      <c r="Y1832" s="11"/>
      <c r="Z1832" s="11"/>
    </row>
    <row r="1833" customHeight="1" spans="1:26">
      <c r="A1833" s="11" t="str">
        <f>IFERROR(__xludf.DUMMYFUNCTION("""COMPUTED_VALUE"""),"BIANCA VERISSIMO DE OLIVEIRA")</f>
        <v>BIANCA VERISSIMO DE OLIVEIRA</v>
      </c>
      <c r="B1833" s="11"/>
      <c r="C1833" s="11"/>
      <c r="D1833" s="11" t="str">
        <f>IFERROR(__xludf.DUMMYFUNCTION("""COMPUTED_VALUE"""),"ENFERMEIRO 30H - PLANTONISTA")</f>
        <v>ENFERMEIRO 30H - PLANTONISTA</v>
      </c>
      <c r="E1833" s="11"/>
      <c r="F1833" s="24" t="str">
        <f>IFERROR(__xludf.DUMMYFUNCTION("""COMPUTED_VALUE"""),"UNIDADE DE VACINAÇAO COVID-19 | DS - IV")</f>
        <v>UNIDADE DE VACINAÇAO COVID-19 | DS - IV</v>
      </c>
      <c r="G1833" s="11" t="str">
        <f>IFERROR(__xludf.DUMMYFUNCTION("""COMPUTED_VALUE"""),"UNIDADE DE VACINAÇAO COVID-19 | DS - IV")</f>
        <v>UNIDADE DE VACINAÇAO COVID-19 | DS - IV</v>
      </c>
      <c r="H1833" s="11"/>
      <c r="I1833" s="11"/>
      <c r="J1833" s="11"/>
      <c r="K1833" s="11"/>
      <c r="L1833" s="11"/>
      <c r="M1833" s="11"/>
      <c r="N1833" s="11"/>
      <c r="O1833" s="11">
        <f>IFERROR(__xludf.DUMMYFUNCTION("""COMPUTED_VALUE"""),9321509429)</f>
        <v>9321509429</v>
      </c>
      <c r="P1833" s="11"/>
      <c r="Q1833" s="11"/>
      <c r="R1833" s="11"/>
      <c r="S1833" s="11"/>
      <c r="T1833" s="11"/>
      <c r="U1833" s="11"/>
      <c r="V1833" s="11"/>
      <c r="W1833" s="11"/>
      <c r="X1833" s="11"/>
      <c r="Y1833" s="11"/>
      <c r="Z1833" s="11"/>
    </row>
    <row r="1834" customHeight="1" spans="1:26">
      <c r="A1834" s="11" t="str">
        <f>IFERROR(__xludf.DUMMYFUNCTION("""COMPUTED_VALUE"""),"GABRIELLA TEIXEIRA FROTA")</f>
        <v>GABRIELLA TEIXEIRA FROTA</v>
      </c>
      <c r="B1834" s="11"/>
      <c r="C1834" s="11"/>
      <c r="D1834" s="11" t="str">
        <f>IFERROR(__xludf.DUMMYFUNCTION("""COMPUTED_VALUE"""),"ENFERMEIRO 30H - PLANTONISTA")</f>
        <v>ENFERMEIRO 30H - PLANTONISTA</v>
      </c>
      <c r="E1834" s="11"/>
      <c r="F1834" s="11" t="str">
        <f>IFERROR(__xludf.DUMMYFUNCTION("""COMPUTED_VALUE"""),"UNIDADE DE VACINAÇAO COVID-19 | DS - VII")</f>
        <v>UNIDADE DE VACINAÇAO COVID-19 | DS - VII</v>
      </c>
      <c r="G1834" s="11" t="str">
        <f>IFERROR(__xludf.DUMMYFUNCTION("""COMPUTED_VALUE"""),"UNIDADE DE VACINAÇAO COVID-19 | DS - VII")</f>
        <v>UNIDADE DE VACINAÇAO COVID-19 | DS - VII</v>
      </c>
      <c r="H1834" s="11"/>
      <c r="I1834" s="11"/>
      <c r="J1834" s="11"/>
      <c r="K1834" s="11"/>
      <c r="L1834" s="11"/>
      <c r="M1834" s="11"/>
      <c r="N1834" s="11"/>
      <c r="O1834" s="11">
        <f>IFERROR(__xludf.DUMMYFUNCTION("""COMPUTED_VALUE"""),10111725429)</f>
        <v>10111725429</v>
      </c>
      <c r="P1834" s="11"/>
      <c r="Q1834" s="11"/>
      <c r="R1834" s="11"/>
      <c r="S1834" s="11"/>
      <c r="T1834" s="11"/>
      <c r="U1834" s="11"/>
      <c r="V1834" s="11"/>
      <c r="W1834" s="11"/>
      <c r="X1834" s="11"/>
      <c r="Y1834" s="11"/>
      <c r="Z1834" s="11"/>
    </row>
    <row r="1835" customHeight="1" spans="1:26">
      <c r="A1835" s="11" t="str">
        <f>IFERROR(__xludf.DUMMYFUNCTION("""COMPUTED_VALUE"""),"MARILIA DE OLIVEIRA CRISPIM")</f>
        <v>MARILIA DE OLIVEIRA CRISPIM</v>
      </c>
      <c r="B1835" s="11"/>
      <c r="C1835" s="11"/>
      <c r="D1835" s="11" t="str">
        <f>IFERROR(__xludf.DUMMYFUNCTION("""COMPUTED_VALUE"""),"ENFERMEIRO 30H - PLANTONISTA")</f>
        <v>ENFERMEIRO 30H - PLANTONISTA</v>
      </c>
      <c r="E1835" s="11"/>
      <c r="F1835" s="24" t="str">
        <f>IFERROR(__xludf.DUMMYFUNCTION("""COMPUTED_VALUE"""),"UNIDADE DE VACINAÇAO COVID-19 | DS - IV")</f>
        <v>UNIDADE DE VACINAÇAO COVID-19 | DS - IV</v>
      </c>
      <c r="G1835" s="11" t="str">
        <f>IFERROR(__xludf.DUMMYFUNCTION("""COMPUTED_VALUE"""),"UNIDADE DE VACINAÇAO COVID-19 | DS - IV")</f>
        <v>UNIDADE DE VACINAÇAO COVID-19 | DS - IV</v>
      </c>
      <c r="H1835" s="11"/>
      <c r="I1835" s="11"/>
      <c r="J1835" s="11"/>
      <c r="K1835" s="11"/>
      <c r="L1835" s="11"/>
      <c r="M1835" s="11"/>
      <c r="N1835" s="11"/>
      <c r="O1835" s="11">
        <f>IFERROR(__xludf.DUMMYFUNCTION("""COMPUTED_VALUE"""),5820206460)</f>
        <v>5820206460</v>
      </c>
      <c r="P1835" s="11"/>
      <c r="Q1835" s="11"/>
      <c r="R1835" s="11"/>
      <c r="S1835" s="11"/>
      <c r="T1835" s="11"/>
      <c r="U1835" s="11"/>
      <c r="V1835" s="11"/>
      <c r="W1835" s="11"/>
      <c r="X1835" s="11"/>
      <c r="Y1835" s="11"/>
      <c r="Z1835" s="11"/>
    </row>
    <row r="1836" customHeight="1" spans="1:26">
      <c r="A1836" s="11" t="str">
        <f>IFERROR(__xludf.DUMMYFUNCTION("""COMPUTED_VALUE"""),"IDALINA SENA PESSOA")</f>
        <v>IDALINA SENA PESSOA</v>
      </c>
      <c r="B1836" s="11"/>
      <c r="C1836" s="11"/>
      <c r="D1836" s="11" t="str">
        <f>IFERROR(__xludf.DUMMYFUNCTION("""COMPUTED_VALUE"""),"ENFERMEIRO 30H - PLANTONISTA")</f>
        <v>ENFERMEIRO 30H - PLANTONISTA</v>
      </c>
      <c r="E1836" s="11"/>
      <c r="F1836" s="11" t="str">
        <f>IFERROR(__xludf.DUMMYFUNCTION("""COMPUTED_VALUE"""),"UNIDADE DE VACINAÇAO COVID-19 | DS - VII")</f>
        <v>UNIDADE DE VACINAÇAO COVID-19 | DS - VII</v>
      </c>
      <c r="G1836" s="11" t="str">
        <f>IFERROR(__xludf.DUMMYFUNCTION("""COMPUTED_VALUE"""),"UNIDADE DE VACINAÇAO COVID-19 | DS - VII")</f>
        <v>UNIDADE DE VACINAÇAO COVID-19 | DS - VII</v>
      </c>
      <c r="H1836" s="11"/>
      <c r="I1836" s="11"/>
      <c r="J1836" s="11"/>
      <c r="K1836" s="11"/>
      <c r="L1836" s="11"/>
      <c r="M1836" s="11"/>
      <c r="N1836" s="11"/>
      <c r="O1836" s="11">
        <f>IFERROR(__xludf.DUMMYFUNCTION("""COMPUTED_VALUE"""),8583388407)</f>
        <v>8583388407</v>
      </c>
      <c r="P1836" s="11"/>
      <c r="Q1836" s="11"/>
      <c r="R1836" s="11"/>
      <c r="S1836" s="11"/>
      <c r="T1836" s="11"/>
      <c r="U1836" s="11"/>
      <c r="V1836" s="11"/>
      <c r="W1836" s="11"/>
      <c r="X1836" s="11"/>
      <c r="Y1836" s="11"/>
      <c r="Z1836" s="11"/>
    </row>
    <row r="1837" customHeight="1" spans="1:26">
      <c r="A1837" s="11" t="str">
        <f>IFERROR(__xludf.DUMMYFUNCTION("""COMPUTED_VALUE"""),"PRICILA ANGELINA  V DE A SILVA")</f>
        <v>PRICILA ANGELINA  V DE A SILVA</v>
      </c>
      <c r="B1837" s="11"/>
      <c r="C1837" s="11"/>
      <c r="D1837" s="11" t="str">
        <f>IFERROR(__xludf.DUMMYFUNCTION("""COMPUTED_VALUE"""),"ENFERMEIRO 30H - PLANTONISTA")</f>
        <v>ENFERMEIRO 30H - PLANTONISTA</v>
      </c>
      <c r="E1837" s="11"/>
      <c r="F1837" s="24" t="str">
        <f>IFERROR(__xludf.DUMMYFUNCTION("""COMPUTED_VALUE"""),"UNIDADE DE VACINAÇAO COVID-19 | DS - VI")</f>
        <v>UNIDADE DE VACINAÇAO COVID-19 | DS - VI</v>
      </c>
      <c r="G1837" s="11" t="str">
        <f>IFERROR(__xludf.DUMMYFUNCTION("""COMPUTED_VALUE"""),"UNIDADE DE VACINAÇAO COVID-19 | DS - VI")</f>
        <v>UNIDADE DE VACINAÇAO COVID-19 | DS - VI</v>
      </c>
      <c r="H1837" s="11"/>
      <c r="I1837" s="11"/>
      <c r="J1837" s="11"/>
      <c r="K1837" s="11"/>
      <c r="L1837" s="11"/>
      <c r="M1837" s="11"/>
      <c r="N1837" s="11"/>
      <c r="O1837" s="11">
        <f>IFERROR(__xludf.DUMMYFUNCTION("""COMPUTED_VALUE"""),7249924486)</f>
        <v>7249924486</v>
      </c>
      <c r="P1837" s="11"/>
      <c r="Q1837" s="11"/>
      <c r="R1837" s="11"/>
      <c r="S1837" s="11"/>
      <c r="T1837" s="11"/>
      <c r="U1837" s="11"/>
      <c r="V1837" s="11"/>
      <c r="W1837" s="11"/>
      <c r="X1837" s="11"/>
      <c r="Y1837" s="11"/>
      <c r="Z1837" s="11"/>
    </row>
    <row r="1838" customHeight="1" spans="1:26">
      <c r="A1838" s="11" t="str">
        <f>IFERROR(__xludf.DUMMYFUNCTION("""COMPUTED_VALUE"""),"ALEXANDRA BARROS DE SANTANA")</f>
        <v>ALEXANDRA BARROS DE SANTANA</v>
      </c>
      <c r="B1838" s="11"/>
      <c r="C1838" s="11"/>
      <c r="D1838" s="11" t="str">
        <f>IFERROR(__xludf.DUMMYFUNCTION("""COMPUTED_VALUE"""),"ENFERMEIRO 30H - PLANTONISTA")</f>
        <v>ENFERMEIRO 30H - PLANTONISTA</v>
      </c>
      <c r="E1838" s="11"/>
      <c r="F1838" s="24" t="str">
        <f>IFERROR(__xludf.DUMMYFUNCTION("""COMPUTED_VALUE"""),"UNIDADE DE VACINAÇAO COVID-19 | DS - V")</f>
        <v>UNIDADE DE VACINAÇAO COVID-19 | DS - V</v>
      </c>
      <c r="G1838" s="11" t="str">
        <f>IFERROR(__xludf.DUMMYFUNCTION("""COMPUTED_VALUE"""),"UNIDADE DE VACINAÇAO COVID-19 | DS - V")</f>
        <v>UNIDADE DE VACINAÇAO COVID-19 | DS - V</v>
      </c>
      <c r="H1838" s="11"/>
      <c r="I1838" s="11"/>
      <c r="J1838" s="11"/>
      <c r="K1838" s="11"/>
      <c r="L1838" s="11"/>
      <c r="M1838" s="11"/>
      <c r="N1838" s="11"/>
      <c r="O1838" s="11">
        <f>IFERROR(__xludf.DUMMYFUNCTION("""COMPUTED_VALUE"""),4802212437)</f>
        <v>4802212437</v>
      </c>
      <c r="P1838" s="11"/>
      <c r="Q1838" s="11"/>
      <c r="R1838" s="11"/>
      <c r="S1838" s="11"/>
      <c r="T1838" s="11"/>
      <c r="U1838" s="11"/>
      <c r="V1838" s="11"/>
      <c r="W1838" s="11"/>
      <c r="X1838" s="11"/>
      <c r="Y1838" s="11"/>
      <c r="Z1838" s="11"/>
    </row>
    <row r="1839" customHeight="1" spans="1:26">
      <c r="A1839" s="11" t="str">
        <f>IFERROR(__xludf.DUMMYFUNCTION("""COMPUTED_VALUE"""),"MELINA MAIA CANTIDIO")</f>
        <v>MELINA MAIA CANTIDIO</v>
      </c>
      <c r="B1839" s="11"/>
      <c r="C1839" s="11"/>
      <c r="D1839" s="11" t="str">
        <f>IFERROR(__xludf.DUMMYFUNCTION("""COMPUTED_VALUE"""),"ENFERMEIRO 30H - PLANTONISTA")</f>
        <v>ENFERMEIRO 30H - PLANTONISTA</v>
      </c>
      <c r="E1839" s="11"/>
      <c r="F1839" s="24" t="str">
        <f>IFERROR(__xludf.DUMMYFUNCTION("""COMPUTED_VALUE"""),"UNIDADE DE VACINAÇAO COVID-19 | DS - VI")</f>
        <v>UNIDADE DE VACINAÇAO COVID-19 | DS - VI</v>
      </c>
      <c r="G1839" s="11" t="str">
        <f>IFERROR(__xludf.DUMMYFUNCTION("""COMPUTED_VALUE"""),"UNIDADE DE VACINAÇAO COVID-19 | DS - VI")</f>
        <v>UNIDADE DE VACINAÇAO COVID-19 | DS - VI</v>
      </c>
      <c r="H1839" s="11"/>
      <c r="I1839" s="11"/>
      <c r="J1839" s="11"/>
      <c r="K1839" s="11"/>
      <c r="L1839" s="11"/>
      <c r="M1839" s="11"/>
      <c r="N1839" s="11"/>
      <c r="O1839" s="11">
        <f>IFERROR(__xludf.DUMMYFUNCTION("""COMPUTED_VALUE"""),56767897434)</f>
        <v>56767897434</v>
      </c>
      <c r="P1839" s="11"/>
      <c r="Q1839" s="11"/>
      <c r="R1839" s="11"/>
      <c r="S1839" s="11"/>
      <c r="T1839" s="11"/>
      <c r="U1839" s="11"/>
      <c r="V1839" s="11"/>
      <c r="W1839" s="11"/>
      <c r="X1839" s="11"/>
      <c r="Y1839" s="11"/>
      <c r="Z1839" s="11"/>
    </row>
    <row r="1840" customHeight="1" spans="1:26">
      <c r="A1840" s="11" t="str">
        <f>IFERROR(__xludf.DUMMYFUNCTION("""COMPUTED_VALUE"""),"NAYALA ANATALIA DE L GALINDO")</f>
        <v>NAYALA ANATALIA DE L GALINDO</v>
      </c>
      <c r="B1840" s="11"/>
      <c r="C1840" s="11"/>
      <c r="D1840" s="11" t="str">
        <f>IFERROR(__xludf.DUMMYFUNCTION("""COMPUTED_VALUE"""),"ENFERMEIRO 30H - PLANTONISTA")</f>
        <v>ENFERMEIRO 30H - PLANTONISTA</v>
      </c>
      <c r="E1840" s="11"/>
      <c r="F1840" s="24" t="str">
        <f>IFERROR(__xludf.DUMMYFUNCTION("""COMPUTED_VALUE"""),"UNIDADE DE VACINAÇAO COVID-19 | DS - VI")</f>
        <v>UNIDADE DE VACINAÇAO COVID-19 | DS - VI</v>
      </c>
      <c r="G1840" s="11" t="str">
        <f>IFERROR(__xludf.DUMMYFUNCTION("""COMPUTED_VALUE"""),"UNIDADE DE VACINAÇAO COVID-19 | DS - VI")</f>
        <v>UNIDADE DE VACINAÇAO COVID-19 | DS - VI</v>
      </c>
      <c r="H1840" s="11"/>
      <c r="I1840" s="11"/>
      <c r="J1840" s="11"/>
      <c r="K1840" s="11"/>
      <c r="L1840" s="11"/>
      <c r="M1840" s="11"/>
      <c r="N1840" s="11"/>
      <c r="O1840" s="11">
        <f>IFERROR(__xludf.DUMMYFUNCTION("""COMPUTED_VALUE"""),10013618490)</f>
        <v>10013618490</v>
      </c>
      <c r="P1840" s="11"/>
      <c r="Q1840" s="11"/>
      <c r="R1840" s="11"/>
      <c r="S1840" s="11"/>
      <c r="T1840" s="11"/>
      <c r="U1840" s="11"/>
      <c r="V1840" s="11"/>
      <c r="W1840" s="11"/>
      <c r="X1840" s="11"/>
      <c r="Y1840" s="11"/>
      <c r="Z1840" s="11"/>
    </row>
    <row r="1841" customHeight="1" spans="1:26">
      <c r="A1841" s="11" t="str">
        <f>IFERROR(__xludf.DUMMYFUNCTION("""COMPUTED_VALUE"""),"MARILIA ARAUJO SANTANA ROSAS")</f>
        <v>MARILIA ARAUJO SANTANA ROSAS</v>
      </c>
      <c r="B1841" s="11"/>
      <c r="C1841" s="11"/>
      <c r="D1841" s="11" t="str">
        <f>IFERROR(__xludf.DUMMYFUNCTION("""COMPUTED_VALUE"""),"ENFERMEIRO 30H - PLANTONISTA")</f>
        <v>ENFERMEIRO 30H - PLANTONISTA</v>
      </c>
      <c r="E1841" s="11"/>
      <c r="F1841" s="24" t="str">
        <f>IFERROR(__xludf.DUMMYFUNCTION("""COMPUTED_VALUE"""),"UNIDADE DE VACINAÇAO COVID-19 | DS - VI")</f>
        <v>UNIDADE DE VACINAÇAO COVID-19 | DS - VI</v>
      </c>
      <c r="G1841" s="11" t="str">
        <f>IFERROR(__xludf.DUMMYFUNCTION("""COMPUTED_VALUE"""),"UNIDADE DE VACINAÇAO COVID-19 | DS - VI")</f>
        <v>UNIDADE DE VACINAÇAO COVID-19 | DS - VI</v>
      </c>
      <c r="H1841" s="11"/>
      <c r="I1841" s="11"/>
      <c r="J1841" s="11"/>
      <c r="K1841" s="11"/>
      <c r="L1841" s="11"/>
      <c r="M1841" s="11"/>
      <c r="N1841" s="11"/>
      <c r="O1841" s="11">
        <f>IFERROR(__xludf.DUMMYFUNCTION("""COMPUTED_VALUE"""),8083751480)</f>
        <v>8083751480</v>
      </c>
      <c r="P1841" s="11"/>
      <c r="Q1841" s="11"/>
      <c r="R1841" s="11"/>
      <c r="S1841" s="11"/>
      <c r="T1841" s="11"/>
      <c r="U1841" s="11"/>
      <c r="V1841" s="11"/>
      <c r="W1841" s="11"/>
      <c r="X1841" s="11"/>
      <c r="Y1841" s="11"/>
      <c r="Z1841" s="11"/>
    </row>
    <row r="1842" customHeight="1" spans="1:26">
      <c r="A1842" s="11" t="str">
        <f>IFERROR(__xludf.DUMMYFUNCTION("""COMPUTED_VALUE"""),"GEISE MARLE DE CASTRO SILVA")</f>
        <v>GEISE MARLE DE CASTRO SILVA</v>
      </c>
      <c r="B1842" s="11"/>
      <c r="C1842" s="11"/>
      <c r="D1842" s="11" t="str">
        <f>IFERROR(__xludf.DUMMYFUNCTION("""COMPUTED_VALUE"""),"ENFERMEIRO 30H - PLANTONISTA")</f>
        <v>ENFERMEIRO 30H - PLANTONISTA</v>
      </c>
      <c r="E1842" s="11"/>
      <c r="F1842" s="24" t="str">
        <f>IFERROR(__xludf.DUMMYFUNCTION("""COMPUTED_VALUE"""),"UNIDADE DE VACINAÇAO COVID-19 | DS - VI")</f>
        <v>UNIDADE DE VACINAÇAO COVID-19 | DS - VI</v>
      </c>
      <c r="G1842" s="11" t="str">
        <f>IFERROR(__xludf.DUMMYFUNCTION("""COMPUTED_VALUE"""),"UNIDADE DE VACINAÇAO COVID-19 | DS - VI")</f>
        <v>UNIDADE DE VACINAÇAO COVID-19 | DS - VI</v>
      </c>
      <c r="H1842" s="11"/>
      <c r="I1842" s="11"/>
      <c r="J1842" s="11"/>
      <c r="K1842" s="11"/>
      <c r="L1842" s="11"/>
      <c r="M1842" s="11"/>
      <c r="N1842" s="11"/>
      <c r="O1842" s="11">
        <f>IFERROR(__xludf.DUMMYFUNCTION("""COMPUTED_VALUE"""),81461615534)</f>
        <v>81461615534</v>
      </c>
      <c r="P1842" s="11"/>
      <c r="Q1842" s="11"/>
      <c r="R1842" s="11"/>
      <c r="S1842" s="11"/>
      <c r="T1842" s="11"/>
      <c r="U1842" s="11"/>
      <c r="V1842" s="11"/>
      <c r="W1842" s="11"/>
      <c r="X1842" s="11"/>
      <c r="Y1842" s="11"/>
      <c r="Z1842" s="11"/>
    </row>
    <row r="1843" customHeight="1" spans="1:26">
      <c r="A1843" s="11" t="str">
        <f>IFERROR(__xludf.DUMMYFUNCTION("""COMPUTED_VALUE"""),"EVILY THALITA DA S ESPINDOLA")</f>
        <v>EVILY THALITA DA S ESPINDOLA</v>
      </c>
      <c r="B1843" s="11"/>
      <c r="C1843" s="11"/>
      <c r="D1843" s="11" t="str">
        <f>IFERROR(__xludf.DUMMYFUNCTION("""COMPUTED_VALUE"""),"ENFERMEIRO 30H - PLANTONISTA")</f>
        <v>ENFERMEIRO 30H - PLANTONISTA</v>
      </c>
      <c r="E1843" s="11"/>
      <c r="F1843" s="24" t="str">
        <f>IFERROR(__xludf.DUMMYFUNCTION("""COMPUTED_VALUE"""),"UNIDADE DE VACINAÇAO COVID-19 | DS - V")</f>
        <v>UNIDADE DE VACINAÇAO COVID-19 | DS - V</v>
      </c>
      <c r="G1843" s="11" t="str">
        <f>IFERROR(__xludf.DUMMYFUNCTION("""COMPUTED_VALUE"""),"UNIDADE DE VACINAÇAO COVID-19 | DS - V")</f>
        <v>UNIDADE DE VACINAÇAO COVID-19 | DS - V</v>
      </c>
      <c r="H1843" s="11"/>
      <c r="I1843" s="11"/>
      <c r="J1843" s="11"/>
      <c r="K1843" s="11"/>
      <c r="L1843" s="11"/>
      <c r="M1843" s="11"/>
      <c r="N1843" s="11"/>
      <c r="O1843" s="11">
        <f>IFERROR(__xludf.DUMMYFUNCTION("""COMPUTED_VALUE"""),10784067406)</f>
        <v>10784067406</v>
      </c>
      <c r="P1843" s="11"/>
      <c r="Q1843" s="11"/>
      <c r="R1843" s="11"/>
      <c r="S1843" s="11"/>
      <c r="T1843" s="11"/>
      <c r="U1843" s="11"/>
      <c r="V1843" s="11"/>
      <c r="W1843" s="11"/>
      <c r="X1843" s="11"/>
      <c r="Y1843" s="11"/>
      <c r="Z1843" s="11"/>
    </row>
    <row r="1844" customHeight="1" spans="1:26">
      <c r="A1844" s="11" t="str">
        <f>IFERROR(__xludf.DUMMYFUNCTION("""COMPUTED_VALUE"""),"ANA CLAUDIA SANTOS DA PAZ")</f>
        <v>ANA CLAUDIA SANTOS DA PAZ</v>
      </c>
      <c r="B1844" s="11"/>
      <c r="C1844" s="11"/>
      <c r="D1844" s="11" t="str">
        <f>IFERROR(__xludf.DUMMYFUNCTION("""COMPUTED_VALUE"""),"ENFERMEIRO 30H - PLANTONISTA")</f>
        <v>ENFERMEIRO 30H - PLANTONISTA</v>
      </c>
      <c r="E1844" s="11"/>
      <c r="F1844" s="24" t="str">
        <f>IFERROR(__xludf.DUMMYFUNCTION("""COMPUTED_VALUE"""),"UNIDADE DE VACINAÇAO COVID-19 | DS - V")</f>
        <v>UNIDADE DE VACINAÇAO COVID-19 | DS - V</v>
      </c>
      <c r="G1844" s="11" t="str">
        <f>IFERROR(__xludf.DUMMYFUNCTION("""COMPUTED_VALUE"""),"UNIDADE DE VACINAÇAO COVID-19 | DS - V")</f>
        <v>UNIDADE DE VACINAÇAO COVID-19 | DS - V</v>
      </c>
      <c r="H1844" s="11"/>
      <c r="I1844" s="11"/>
      <c r="J1844" s="11"/>
      <c r="K1844" s="11"/>
      <c r="L1844" s="11"/>
      <c r="M1844" s="11"/>
      <c r="N1844" s="11"/>
      <c r="O1844" s="11">
        <f>IFERROR(__xludf.DUMMYFUNCTION("""COMPUTED_VALUE"""),8038113497)</f>
        <v>8038113497</v>
      </c>
      <c r="P1844" s="11"/>
      <c r="Q1844" s="11"/>
      <c r="R1844" s="11"/>
      <c r="S1844" s="11"/>
      <c r="T1844" s="11"/>
      <c r="U1844" s="11"/>
      <c r="V1844" s="11"/>
      <c r="W1844" s="11"/>
      <c r="X1844" s="11"/>
      <c r="Y1844" s="11"/>
      <c r="Z1844" s="11"/>
    </row>
    <row r="1845" customHeight="1" spans="1:26">
      <c r="A1845" s="11" t="str">
        <f>IFERROR(__xludf.DUMMYFUNCTION("""COMPUTED_VALUE"""),"NATHALIA B J C DE FIGUEIREDO")</f>
        <v>NATHALIA B J C DE FIGUEIREDO</v>
      </c>
      <c r="B1845" s="11"/>
      <c r="C1845" s="11"/>
      <c r="D1845" s="11" t="str">
        <f>IFERROR(__xludf.DUMMYFUNCTION("""COMPUTED_VALUE"""),"ENFERMEIRO 30H - PLANTONISTA")</f>
        <v>ENFERMEIRO 30H - PLANTONISTA</v>
      </c>
      <c r="E1845" s="11"/>
      <c r="F1845" s="24" t="str">
        <f>IFERROR(__xludf.DUMMYFUNCTION("""COMPUTED_VALUE"""),"UNIDADE DE VACINAÇAO COVID-19 | DS - VI")</f>
        <v>UNIDADE DE VACINAÇAO COVID-19 | DS - VI</v>
      </c>
      <c r="G1845" s="11" t="str">
        <f>IFERROR(__xludf.DUMMYFUNCTION("""COMPUTED_VALUE"""),"UNIDADE DE VACINAÇAO COVID-19 | DS - VI")</f>
        <v>UNIDADE DE VACINAÇAO COVID-19 | DS - VI</v>
      </c>
      <c r="H1845" s="11"/>
      <c r="I1845" s="11"/>
      <c r="J1845" s="11"/>
      <c r="K1845" s="11"/>
      <c r="L1845" s="11"/>
      <c r="M1845" s="11"/>
      <c r="N1845" s="11"/>
      <c r="O1845" s="11">
        <f>IFERROR(__xludf.DUMMYFUNCTION("""COMPUTED_VALUE"""),7401047489)</f>
        <v>7401047489</v>
      </c>
      <c r="P1845" s="11"/>
      <c r="Q1845" s="11"/>
      <c r="R1845" s="11"/>
      <c r="S1845" s="11"/>
      <c r="T1845" s="11"/>
      <c r="U1845" s="11"/>
      <c r="V1845" s="11"/>
      <c r="W1845" s="11"/>
      <c r="X1845" s="11"/>
      <c r="Y1845" s="11"/>
      <c r="Z1845" s="11"/>
    </row>
    <row r="1846" customHeight="1" spans="1:26">
      <c r="A1846" s="11" t="str">
        <f>IFERROR(__xludf.DUMMYFUNCTION("""COMPUTED_VALUE"""),"LUDMILA MEDEIROS OUTTES ALVES")</f>
        <v>LUDMILA MEDEIROS OUTTES ALVES</v>
      </c>
      <c r="B1846" s="11"/>
      <c r="C1846" s="11"/>
      <c r="D1846" s="11" t="str">
        <f>IFERROR(__xludf.DUMMYFUNCTION("""COMPUTED_VALUE"""),"ENFERMEIRO 30H - PLANTONISTA")</f>
        <v>ENFERMEIRO 30H - PLANTONISTA</v>
      </c>
      <c r="E1846" s="11"/>
      <c r="F1846" s="24" t="str">
        <f>IFERROR(__xludf.DUMMYFUNCTION("""COMPUTED_VALUE"""),"UNIDADE DE VACINAÇAO COVID-19 | DS - I")</f>
        <v>UNIDADE DE VACINAÇAO COVID-19 | DS - I</v>
      </c>
      <c r="G1846" s="11" t="str">
        <f>IFERROR(__xludf.DUMMYFUNCTION("""COMPUTED_VALUE"""),"UNIDADE DE VACINAÇAO COVID-19 | DS - I")</f>
        <v>UNIDADE DE VACINAÇAO COVID-19 | DS - I</v>
      </c>
      <c r="H1846" s="11"/>
      <c r="I1846" s="11"/>
      <c r="J1846" s="11"/>
      <c r="K1846" s="11"/>
      <c r="L1846" s="11"/>
      <c r="M1846" s="11"/>
      <c r="N1846" s="11"/>
      <c r="O1846" s="11">
        <f>IFERROR(__xludf.DUMMYFUNCTION("""COMPUTED_VALUE"""),1435321464)</f>
        <v>1435321464</v>
      </c>
      <c r="P1846" s="11"/>
      <c r="Q1846" s="11"/>
      <c r="R1846" s="11"/>
      <c r="S1846" s="11"/>
      <c r="T1846" s="11"/>
      <c r="U1846" s="11"/>
      <c r="V1846" s="11"/>
      <c r="W1846" s="11"/>
      <c r="X1846" s="11"/>
      <c r="Y1846" s="11"/>
      <c r="Z1846" s="11"/>
    </row>
    <row r="1847" customHeight="1" spans="1:26">
      <c r="A1847" s="11" t="str">
        <f>IFERROR(__xludf.DUMMYFUNCTION("""COMPUTED_VALUE"""),"CAMILA VIEIRA S DE O GONCALVES")</f>
        <v>CAMILA VIEIRA S DE O GONCALVES</v>
      </c>
      <c r="B1847" s="11"/>
      <c r="C1847" s="11"/>
      <c r="D1847" s="11" t="str">
        <f>IFERROR(__xludf.DUMMYFUNCTION("""COMPUTED_VALUE"""),"ENFERMEIRO 30H - PLANTONISTA")</f>
        <v>ENFERMEIRO 30H - PLANTONISTA</v>
      </c>
      <c r="E1847" s="11"/>
      <c r="F1847" s="11" t="str">
        <f>IFERROR(__xludf.DUMMYFUNCTION("""COMPUTED_VALUE"""),"UNIDADE DE VACINAÇAO COVID-19 | DS - VII")</f>
        <v>UNIDADE DE VACINAÇAO COVID-19 | DS - VII</v>
      </c>
      <c r="G1847" s="11" t="str">
        <f>IFERROR(__xludf.DUMMYFUNCTION("""COMPUTED_VALUE"""),"UNIDADE DE VACINAÇAO COVID-19 | DS - VII")</f>
        <v>UNIDADE DE VACINAÇAO COVID-19 | DS - VII</v>
      </c>
      <c r="H1847" s="11"/>
      <c r="I1847" s="11"/>
      <c r="J1847" s="11"/>
      <c r="K1847" s="11"/>
      <c r="L1847" s="11"/>
      <c r="M1847" s="11"/>
      <c r="N1847" s="11"/>
      <c r="O1847" s="11">
        <f>IFERROR(__xludf.DUMMYFUNCTION("""COMPUTED_VALUE"""),8164300470)</f>
        <v>8164300470</v>
      </c>
      <c r="P1847" s="11"/>
      <c r="Q1847" s="11"/>
      <c r="R1847" s="11"/>
      <c r="S1847" s="11"/>
      <c r="T1847" s="11"/>
      <c r="U1847" s="11"/>
      <c r="V1847" s="11"/>
      <c r="W1847" s="11"/>
      <c r="X1847" s="11"/>
      <c r="Y1847" s="11"/>
      <c r="Z1847" s="11"/>
    </row>
    <row r="1848" customHeight="1" spans="1:26">
      <c r="A1848" s="11" t="str">
        <f>IFERROR(__xludf.DUMMYFUNCTION("""COMPUTED_VALUE"""),"FERNANDA PAULA SENA COLARES")</f>
        <v>FERNANDA PAULA SENA COLARES</v>
      </c>
      <c r="B1848" s="11"/>
      <c r="C1848" s="11"/>
      <c r="D1848" s="11" t="str">
        <f>IFERROR(__xludf.DUMMYFUNCTION("""COMPUTED_VALUE"""),"ENFERMEIRO 30H - PLANTONISTA")</f>
        <v>ENFERMEIRO 30H - PLANTONISTA</v>
      </c>
      <c r="E1848" s="11"/>
      <c r="F1848" s="24" t="str">
        <f>IFERROR(__xludf.DUMMYFUNCTION("""COMPUTED_VALUE"""),"UNIDADE DE VACINAÇAO COVID-19 | DS - VI")</f>
        <v>UNIDADE DE VACINAÇAO COVID-19 | DS - VI</v>
      </c>
      <c r="G1848" s="11" t="str">
        <f>IFERROR(__xludf.DUMMYFUNCTION("""COMPUTED_VALUE"""),"UNIDADE DE VACINAÇAO COVID-19 | DS - VI")</f>
        <v>UNIDADE DE VACINAÇAO COVID-19 | DS - VI</v>
      </c>
      <c r="H1848" s="11"/>
      <c r="I1848" s="11"/>
      <c r="J1848" s="11"/>
      <c r="K1848" s="11"/>
      <c r="L1848" s="11"/>
      <c r="M1848" s="11"/>
      <c r="N1848" s="11"/>
      <c r="O1848" s="11">
        <f>IFERROR(__xludf.DUMMYFUNCTION("""COMPUTED_VALUE"""),3370430436)</f>
        <v>3370430436</v>
      </c>
      <c r="P1848" s="11"/>
      <c r="Q1848" s="11"/>
      <c r="R1848" s="11"/>
      <c r="S1848" s="11"/>
      <c r="T1848" s="11"/>
      <c r="U1848" s="11"/>
      <c r="V1848" s="11"/>
      <c r="W1848" s="11"/>
      <c r="X1848" s="11"/>
      <c r="Y1848" s="11"/>
      <c r="Z1848" s="11"/>
    </row>
    <row r="1849" customHeight="1" spans="1:26">
      <c r="A1849" s="11" t="str">
        <f>IFERROR(__xludf.DUMMYFUNCTION("""COMPUTED_VALUE"""),"AGELY MARIA PEREIRA FIRMINO")</f>
        <v>AGELY MARIA PEREIRA FIRMINO</v>
      </c>
      <c r="B1849" s="11"/>
      <c r="C1849" s="11"/>
      <c r="D1849" s="11" t="str">
        <f>IFERROR(__xludf.DUMMYFUNCTION("""COMPUTED_VALUE"""),"ENFERMEIRO 30H - PLANTONISTA")</f>
        <v>ENFERMEIRO 30H - PLANTONISTA</v>
      </c>
      <c r="E1849" s="11"/>
      <c r="F1849" s="11" t="str">
        <f>IFERROR(__xludf.DUMMYFUNCTION("""COMPUTED_VALUE"""),"US_165 MATERNIDADE BANDEIRA FILHO")</f>
        <v>US_165 MATERNIDADE BANDEIRA FILHO</v>
      </c>
      <c r="G1849" s="11" t="str">
        <f>IFERROR(__xludf.DUMMYFUNCTION("""COMPUTED_VALUE"""),"US_165 MATERNIDADE BANDEIRA FILHO")</f>
        <v>US_165 MATERNIDADE BANDEIRA FILHO</v>
      </c>
      <c r="H1849" s="11"/>
      <c r="I1849" s="11"/>
      <c r="J1849" s="11"/>
      <c r="K1849" s="11"/>
      <c r="L1849" s="11"/>
      <c r="M1849" s="11"/>
      <c r="N1849" s="11"/>
      <c r="O1849" s="11">
        <f>IFERROR(__xludf.DUMMYFUNCTION("""COMPUTED_VALUE"""),3061080465)</f>
        <v>3061080465</v>
      </c>
      <c r="P1849" s="11"/>
      <c r="Q1849" s="11"/>
      <c r="R1849" s="11"/>
      <c r="S1849" s="11"/>
      <c r="T1849" s="11"/>
      <c r="U1849" s="11"/>
      <c r="V1849" s="11"/>
      <c r="W1849" s="11"/>
      <c r="X1849" s="11"/>
      <c r="Y1849" s="11"/>
      <c r="Z1849" s="11"/>
    </row>
    <row r="1850" customHeight="1" spans="1:26">
      <c r="A1850" s="11" t="str">
        <f>IFERROR(__xludf.DUMMYFUNCTION("""COMPUTED_VALUE"""),"KELLY REGINA MACHADO DE LIMA")</f>
        <v>KELLY REGINA MACHADO DE LIMA</v>
      </c>
      <c r="B1850" s="11"/>
      <c r="C1850" s="11"/>
      <c r="D1850" s="11" t="str">
        <f>IFERROR(__xludf.DUMMYFUNCTION("""COMPUTED_VALUE"""),"ENFERMEIRO 30H - PLANTONISTA")</f>
        <v>ENFERMEIRO 30H - PLANTONISTA</v>
      </c>
      <c r="E1850" s="11"/>
      <c r="F1850" s="24" t="str">
        <f>IFERROR(__xludf.DUMMYFUNCTION("""COMPUTED_VALUE"""),"UNIDADE DE VACINAÇAO COVID-19 | DS - V")</f>
        <v>UNIDADE DE VACINAÇAO COVID-19 | DS - V</v>
      </c>
      <c r="G1850" s="11" t="str">
        <f>IFERROR(__xludf.DUMMYFUNCTION("""COMPUTED_VALUE"""),"UNIDADE DE VACINAÇAO COVID-19 | DS - V")</f>
        <v>UNIDADE DE VACINAÇAO COVID-19 | DS - V</v>
      </c>
      <c r="H1850" s="11"/>
      <c r="I1850" s="11"/>
      <c r="J1850" s="11"/>
      <c r="K1850" s="11"/>
      <c r="L1850" s="11"/>
      <c r="M1850" s="11"/>
      <c r="N1850" s="11"/>
      <c r="O1850" s="11">
        <f>IFERROR(__xludf.DUMMYFUNCTION("""COMPUTED_VALUE"""),9707186402)</f>
        <v>9707186402</v>
      </c>
      <c r="P1850" s="11"/>
      <c r="Q1850" s="11"/>
      <c r="R1850" s="11"/>
      <c r="S1850" s="11"/>
      <c r="T1850" s="11"/>
      <c r="U1850" s="11"/>
      <c r="V1850" s="11"/>
      <c r="W1850" s="11"/>
      <c r="X1850" s="11"/>
      <c r="Y1850" s="11"/>
      <c r="Z1850" s="11"/>
    </row>
    <row r="1851" customHeight="1" spans="1:26">
      <c r="A1851" s="11" t="str">
        <f>IFERROR(__xludf.DUMMYFUNCTION("""COMPUTED_VALUE"""),"ALDERLAN DA COSTA SILVA")</f>
        <v>ALDERLAN DA COSTA SILVA</v>
      </c>
      <c r="B1851" s="11"/>
      <c r="C1851" s="11"/>
      <c r="D1851" s="11" t="str">
        <f>IFERROR(__xludf.DUMMYFUNCTION("""COMPUTED_VALUE"""),"ENFERMEIRO 30H - PLANTONISTA")</f>
        <v>ENFERMEIRO 30H - PLANTONISTA</v>
      </c>
      <c r="E1851" s="11"/>
      <c r="F1851" s="24" t="str">
        <f>IFERROR(__xludf.DUMMYFUNCTION("""COMPUTED_VALUE"""),"UNIDADE DE VACINAÇAO COVID-19 | DS - VI")</f>
        <v>UNIDADE DE VACINAÇAO COVID-19 | DS - VI</v>
      </c>
      <c r="G1851" s="11" t="str">
        <f>IFERROR(__xludf.DUMMYFUNCTION("""COMPUTED_VALUE"""),"UNIDADE DE VACINAÇAO COVID-19 | DS - VI")</f>
        <v>UNIDADE DE VACINAÇAO COVID-19 | DS - VI</v>
      </c>
      <c r="H1851" s="11"/>
      <c r="I1851" s="11"/>
      <c r="J1851" s="11"/>
      <c r="K1851" s="11"/>
      <c r="L1851" s="11"/>
      <c r="M1851" s="11"/>
      <c r="N1851" s="11"/>
      <c r="O1851" s="11">
        <f>IFERROR(__xludf.DUMMYFUNCTION("""COMPUTED_VALUE"""),8834729455)</f>
        <v>8834729455</v>
      </c>
      <c r="P1851" s="11"/>
      <c r="Q1851" s="11"/>
      <c r="R1851" s="11"/>
      <c r="S1851" s="11"/>
      <c r="T1851" s="11"/>
      <c r="U1851" s="11"/>
      <c r="V1851" s="11"/>
      <c r="W1851" s="11"/>
      <c r="X1851" s="11"/>
      <c r="Y1851" s="11"/>
      <c r="Z1851" s="11"/>
    </row>
    <row r="1852" customHeight="1" spans="1:26">
      <c r="A1852" s="11" t="str">
        <f>IFERROR(__xludf.DUMMYFUNCTION("""COMPUTED_VALUE"""),"FABIANA DE MEDEIROS")</f>
        <v>FABIANA DE MEDEIROS</v>
      </c>
      <c r="B1852" s="11"/>
      <c r="C1852" s="11"/>
      <c r="D1852" s="11" t="str">
        <f>IFERROR(__xludf.DUMMYFUNCTION("""COMPUTED_VALUE"""),"ENFERMEIRO 30H")</f>
        <v>ENFERMEIRO 30H</v>
      </c>
      <c r="E1852" s="11"/>
      <c r="F1852" s="11" t="str">
        <f>IFERROR(__xludf.DUMMYFUNCTION("""COMPUTED_VALUE"""),"UNIDADE DE VACINAÇAO COVID-19 | DS - VII")</f>
        <v>UNIDADE DE VACINAÇAO COVID-19 | DS - VII</v>
      </c>
      <c r="G1852" s="11" t="str">
        <f>IFERROR(__xludf.DUMMYFUNCTION("""COMPUTED_VALUE"""),"UNIDADE DE VACINAÇAO COVID-19 | DS - VII")</f>
        <v>UNIDADE DE VACINAÇAO COVID-19 | DS - VII</v>
      </c>
      <c r="H1852" s="11"/>
      <c r="I1852" s="11"/>
      <c r="J1852" s="11"/>
      <c r="K1852" s="11"/>
      <c r="L1852" s="11"/>
      <c r="M1852" s="11"/>
      <c r="N1852" s="11"/>
      <c r="O1852" s="11">
        <f>IFERROR(__xludf.DUMMYFUNCTION("""COMPUTED_VALUE"""),25908222860)</f>
        <v>25908222860</v>
      </c>
      <c r="P1852" s="11"/>
      <c r="Q1852" s="11"/>
      <c r="R1852" s="11"/>
      <c r="S1852" s="11"/>
      <c r="T1852" s="11"/>
      <c r="U1852" s="11"/>
      <c r="V1852" s="11"/>
      <c r="W1852" s="11"/>
      <c r="X1852" s="11"/>
      <c r="Y1852" s="11"/>
      <c r="Z1852" s="11"/>
    </row>
    <row r="1853" customHeight="1" spans="1:26">
      <c r="A1853" s="11" t="str">
        <f>IFERROR(__xludf.DUMMYFUNCTION("""COMPUTED_VALUE"""),"ROMANA CELLY VARELA M BEZERRA")</f>
        <v>ROMANA CELLY VARELA M BEZERRA</v>
      </c>
      <c r="B1853" s="11"/>
      <c r="C1853" s="11"/>
      <c r="D1853" s="11" t="str">
        <f>IFERROR(__xludf.DUMMYFUNCTION("""COMPUTED_VALUE"""),"ENFERMEIRO 30H - PLANTONISTA")</f>
        <v>ENFERMEIRO 30H - PLANTONISTA</v>
      </c>
      <c r="E1853" s="11"/>
      <c r="F1853" s="24" t="str">
        <f>IFERROR(__xludf.DUMMYFUNCTION("""COMPUTED_VALUE"""),"UNIDADE DE VACINAÇAO COVID-19 | DS - VI")</f>
        <v>UNIDADE DE VACINAÇAO COVID-19 | DS - VI</v>
      </c>
      <c r="G1853" s="11" t="str">
        <f>IFERROR(__xludf.DUMMYFUNCTION("""COMPUTED_VALUE"""),"UNIDADE DE VACINAÇAO COVID-19 | DS - VI")</f>
        <v>UNIDADE DE VACINAÇAO COVID-19 | DS - VI</v>
      </c>
      <c r="H1853" s="11"/>
      <c r="I1853" s="11"/>
      <c r="J1853" s="11"/>
      <c r="K1853" s="11"/>
      <c r="L1853" s="11"/>
      <c r="M1853" s="11"/>
      <c r="N1853" s="11"/>
      <c r="O1853" s="11">
        <f>IFERROR(__xludf.DUMMYFUNCTION("""COMPUTED_VALUE"""),8196943474)</f>
        <v>8196943474</v>
      </c>
      <c r="P1853" s="11"/>
      <c r="Q1853" s="11"/>
      <c r="R1853" s="11"/>
      <c r="S1853" s="11"/>
      <c r="T1853" s="11"/>
      <c r="U1853" s="11"/>
      <c r="V1853" s="11"/>
      <c r="W1853" s="11"/>
      <c r="X1853" s="11"/>
      <c r="Y1853" s="11"/>
      <c r="Z1853" s="11"/>
    </row>
    <row r="1854" customHeight="1" spans="1:26">
      <c r="A1854" s="11" t="str">
        <f>IFERROR(__xludf.DUMMYFUNCTION("""COMPUTED_VALUE"""),"LYDIA FLORENTINA BEUTTENMULLER")</f>
        <v>LYDIA FLORENTINA BEUTTENMULLER</v>
      </c>
      <c r="B1854" s="11"/>
      <c r="C1854" s="11"/>
      <c r="D1854" s="11" t="str">
        <f>IFERROR(__xludf.DUMMYFUNCTION("""COMPUTED_VALUE"""),"ENFERMEIRO 30H - PLANTONISTA")</f>
        <v>ENFERMEIRO 30H - PLANTONISTA</v>
      </c>
      <c r="E1854" s="11"/>
      <c r="F1854" s="24" t="str">
        <f>IFERROR(__xludf.DUMMYFUNCTION("""COMPUTED_VALUE"""),"UNIDADE DE VACINAÇAO COVID-19 | DS - III")</f>
        <v>UNIDADE DE VACINAÇAO COVID-19 | DS - III</v>
      </c>
      <c r="G1854" s="11" t="str">
        <f>IFERROR(__xludf.DUMMYFUNCTION("""COMPUTED_VALUE"""),"UNIDADE DE VACINAÇAO COVID-19 | DS - III")</f>
        <v>UNIDADE DE VACINAÇAO COVID-19 | DS - III</v>
      </c>
      <c r="H1854" s="11"/>
      <c r="I1854" s="11"/>
      <c r="J1854" s="11"/>
      <c r="K1854" s="11"/>
      <c r="L1854" s="11"/>
      <c r="M1854" s="11"/>
      <c r="N1854" s="11"/>
      <c r="O1854" s="11">
        <f>IFERROR(__xludf.DUMMYFUNCTION("""COMPUTED_VALUE"""),4146462401)</f>
        <v>4146462401</v>
      </c>
      <c r="P1854" s="11"/>
      <c r="Q1854" s="11"/>
      <c r="R1854" s="11"/>
      <c r="S1854" s="11"/>
      <c r="T1854" s="11"/>
      <c r="U1854" s="11"/>
      <c r="V1854" s="11"/>
      <c r="W1854" s="11"/>
      <c r="X1854" s="11"/>
      <c r="Y1854" s="11"/>
      <c r="Z1854" s="11"/>
    </row>
    <row r="1855" customHeight="1" spans="1:26">
      <c r="A1855" s="11" t="str">
        <f>IFERROR(__xludf.DUMMYFUNCTION("""COMPUTED_VALUE"""),"ANDREIA MARIA DA SILVA")</f>
        <v>ANDREIA MARIA DA SILVA</v>
      </c>
      <c r="B1855" s="11"/>
      <c r="C1855" s="11"/>
      <c r="D1855" s="11" t="str">
        <f>IFERROR(__xludf.DUMMYFUNCTION("""COMPUTED_VALUE"""),"ENFERMEIRO 30H - PLANTONISTA")</f>
        <v>ENFERMEIRO 30H - PLANTONISTA</v>
      </c>
      <c r="E1855" s="11"/>
      <c r="F1855" s="24" t="str">
        <f>IFERROR(__xludf.DUMMYFUNCTION("""COMPUTED_VALUE"""),"UNIDADE DE VACINAÇAO COVID-19 | DS - VIII")</f>
        <v>UNIDADE DE VACINAÇAO COVID-19 | DS - VIII</v>
      </c>
      <c r="G1855" s="11" t="str">
        <f>IFERROR(__xludf.DUMMYFUNCTION("""COMPUTED_VALUE"""),"UNIDADE DE VACINAÇAO COVID-19 | DS - VIII")</f>
        <v>UNIDADE DE VACINAÇAO COVID-19 | DS - VIII</v>
      </c>
      <c r="H1855" s="11"/>
      <c r="I1855" s="11"/>
      <c r="J1855" s="11"/>
      <c r="K1855" s="11"/>
      <c r="L1855" s="11"/>
      <c r="M1855" s="11"/>
      <c r="N1855" s="11"/>
      <c r="O1855" s="11">
        <f>IFERROR(__xludf.DUMMYFUNCTION("""COMPUTED_VALUE"""),4054747418)</f>
        <v>4054747418</v>
      </c>
      <c r="P1855" s="11"/>
      <c r="Q1855" s="11"/>
      <c r="R1855" s="11"/>
      <c r="S1855" s="11"/>
      <c r="T1855" s="11"/>
      <c r="U1855" s="11"/>
      <c r="V1855" s="11"/>
      <c r="W1855" s="11"/>
      <c r="X1855" s="11"/>
      <c r="Y1855" s="11"/>
      <c r="Z1855" s="11"/>
    </row>
    <row r="1856" customHeight="1" spans="1:26">
      <c r="A1856" s="11" t="str">
        <f>IFERROR(__xludf.DUMMYFUNCTION("""COMPUTED_VALUE"""),"BARBARA REGINA B DE O VIEIRA")</f>
        <v>BARBARA REGINA B DE O VIEIRA</v>
      </c>
      <c r="B1856" s="11"/>
      <c r="C1856" s="11"/>
      <c r="D1856" s="11" t="str">
        <f>IFERROR(__xludf.DUMMYFUNCTION("""COMPUTED_VALUE"""),"ENFERMEIRO 30H - PLANTONISTA")</f>
        <v>ENFERMEIRO 30H - PLANTONISTA</v>
      </c>
      <c r="E1856" s="11"/>
      <c r="F1856" s="24" t="str">
        <f>IFERROR(__xludf.DUMMYFUNCTION("""COMPUTED_VALUE"""),"UNIDADE DE VACINAÇAO COVID-19 | DS - VI")</f>
        <v>UNIDADE DE VACINAÇAO COVID-19 | DS - VI</v>
      </c>
      <c r="G1856" s="11" t="str">
        <f>IFERROR(__xludf.DUMMYFUNCTION("""COMPUTED_VALUE"""),"UNIDADE DE VACINAÇAO COVID-19 | DS - VI")</f>
        <v>UNIDADE DE VACINAÇAO COVID-19 | DS - VI</v>
      </c>
      <c r="H1856" s="11"/>
      <c r="I1856" s="11"/>
      <c r="J1856" s="11"/>
      <c r="K1856" s="11"/>
      <c r="L1856" s="11"/>
      <c r="M1856" s="11"/>
      <c r="N1856" s="11"/>
      <c r="O1856" s="11">
        <f>IFERROR(__xludf.DUMMYFUNCTION("""COMPUTED_VALUE"""),5822431577)</f>
        <v>5822431577</v>
      </c>
      <c r="P1856" s="11"/>
      <c r="Q1856" s="11"/>
      <c r="R1856" s="11"/>
      <c r="S1856" s="11"/>
      <c r="T1856" s="11"/>
      <c r="U1856" s="11"/>
      <c r="V1856" s="11"/>
      <c r="W1856" s="11"/>
      <c r="X1856" s="11"/>
      <c r="Y1856" s="11"/>
      <c r="Z1856" s="11"/>
    </row>
    <row r="1857" customHeight="1" spans="1:26">
      <c r="A1857" s="11" t="str">
        <f>IFERROR(__xludf.DUMMYFUNCTION("""COMPUTED_VALUE"""),"ROSELANIA ALBINA DE L SANTOS")</f>
        <v>ROSELANIA ALBINA DE L SANTOS</v>
      </c>
      <c r="B1857" s="11"/>
      <c r="C1857" s="11"/>
      <c r="D1857" s="11" t="str">
        <f>IFERROR(__xludf.DUMMYFUNCTION("""COMPUTED_VALUE"""),"ENFERMEIRO 30H - PLANTONISTA")</f>
        <v>ENFERMEIRO 30H - PLANTONISTA</v>
      </c>
      <c r="E1857" s="11"/>
      <c r="F1857" s="24" t="str">
        <f>IFERROR(__xludf.DUMMYFUNCTION("""COMPUTED_VALUE"""),"UNIDADE DE VACINAÇAO COVID-19 | DS - VII")</f>
        <v>UNIDADE DE VACINAÇAO COVID-19 | DS - VII</v>
      </c>
      <c r="G1857" s="11" t="str">
        <f>IFERROR(__xludf.DUMMYFUNCTION("""COMPUTED_VALUE"""),"UNIDADE DE VACINAÇAO COVID-19 | DS - VII")</f>
        <v>UNIDADE DE VACINAÇAO COVID-19 | DS - VII</v>
      </c>
      <c r="H1857" s="11"/>
      <c r="I1857" s="11"/>
      <c r="J1857" s="11"/>
      <c r="K1857" s="11"/>
      <c r="L1857" s="11"/>
      <c r="M1857" s="11"/>
      <c r="N1857" s="11"/>
      <c r="O1857" s="11">
        <f>IFERROR(__xludf.DUMMYFUNCTION("""COMPUTED_VALUE"""),6174407438)</f>
        <v>6174407438</v>
      </c>
      <c r="P1857" s="11"/>
      <c r="Q1857" s="11"/>
      <c r="R1857" s="11"/>
      <c r="S1857" s="11"/>
      <c r="T1857" s="11"/>
      <c r="U1857" s="11"/>
      <c r="V1857" s="11"/>
      <c r="W1857" s="11"/>
      <c r="X1857" s="11"/>
      <c r="Y1857" s="11"/>
      <c r="Z1857" s="11"/>
    </row>
    <row r="1858" customHeight="1" spans="1:26">
      <c r="A1858" s="11" t="str">
        <f>IFERROR(__xludf.DUMMYFUNCTION("""COMPUTED_VALUE"""),"THAIS CAROLLYNE DE F SILVA")</f>
        <v>THAIS CAROLLYNE DE F SILVA</v>
      </c>
      <c r="B1858" s="11"/>
      <c r="C1858" s="11"/>
      <c r="D1858" s="11" t="str">
        <f>IFERROR(__xludf.DUMMYFUNCTION("""COMPUTED_VALUE"""),"ENFERMEIRO 30H - PLANTONISTA")</f>
        <v>ENFERMEIRO 30H - PLANTONISTA</v>
      </c>
      <c r="E1858" s="11"/>
      <c r="F1858" s="11" t="str">
        <f>IFERROR(__xludf.DUMMYFUNCTION("""COMPUTED_VALUE"""),"UNIDADE DE VACINAÇAO COVID-19 | DS - IV")</f>
        <v>UNIDADE DE VACINAÇAO COVID-19 | DS - IV</v>
      </c>
      <c r="G1858" s="11" t="str">
        <f>IFERROR(__xludf.DUMMYFUNCTION("""COMPUTED_VALUE"""),"UNIDADE DE VACINAÇAO COVID-19 | DS - IV")</f>
        <v>UNIDADE DE VACINAÇAO COVID-19 | DS - IV</v>
      </c>
      <c r="H1858" s="11"/>
      <c r="I1858" s="11"/>
      <c r="J1858" s="11"/>
      <c r="K1858" s="11"/>
      <c r="L1858" s="11"/>
      <c r="M1858" s="11"/>
      <c r="N1858" s="11"/>
      <c r="O1858" s="11">
        <f>IFERROR(__xludf.DUMMYFUNCTION("""COMPUTED_VALUE"""),10041590481)</f>
        <v>10041590481</v>
      </c>
      <c r="P1858" s="11"/>
      <c r="Q1858" s="11"/>
      <c r="R1858" s="11"/>
      <c r="S1858" s="11"/>
      <c r="T1858" s="11"/>
      <c r="U1858" s="11"/>
      <c r="V1858" s="11"/>
      <c r="W1858" s="11"/>
      <c r="X1858" s="11"/>
      <c r="Y1858" s="11"/>
      <c r="Z1858" s="11"/>
    </row>
    <row r="1859" customHeight="1" spans="1:26">
      <c r="A1859" s="11" t="str">
        <f>IFERROR(__xludf.DUMMYFUNCTION("""COMPUTED_VALUE"""),"PRISCILA ARAUJO SANTOS SILVA")</f>
        <v>PRISCILA ARAUJO SANTOS SILVA</v>
      </c>
      <c r="B1859" s="11"/>
      <c r="C1859" s="11"/>
      <c r="D1859" s="11" t="str">
        <f>IFERROR(__xludf.DUMMYFUNCTION("""COMPUTED_VALUE"""),"ENFERMEIRO 30H - PLANTONISTA")</f>
        <v>ENFERMEIRO 30H - PLANTONISTA</v>
      </c>
      <c r="E1859" s="11"/>
      <c r="F1859" s="11" t="str">
        <f>IFERROR(__xludf.DUMMYFUNCTION("""COMPUTED_VALUE"""),"UNIDADE DE VACINAÇAO COVID-19 | DS - II")</f>
        <v>UNIDADE DE VACINAÇAO COVID-19 | DS - II</v>
      </c>
      <c r="G1859" s="11" t="str">
        <f>IFERROR(__xludf.DUMMYFUNCTION("""COMPUTED_VALUE"""),"UNIDADE DE VACINAÇAO COVID-19 | DS - II")</f>
        <v>UNIDADE DE VACINAÇAO COVID-19 | DS - II</v>
      </c>
      <c r="H1859" s="11"/>
      <c r="I1859" s="11"/>
      <c r="J1859" s="11"/>
      <c r="K1859" s="11"/>
      <c r="L1859" s="11"/>
      <c r="M1859" s="11"/>
      <c r="N1859" s="11"/>
      <c r="O1859" s="11">
        <f>IFERROR(__xludf.DUMMYFUNCTION("""COMPUTED_VALUE"""),9762918436)</f>
        <v>9762918436</v>
      </c>
      <c r="P1859" s="11"/>
      <c r="Q1859" s="11"/>
      <c r="R1859" s="11"/>
      <c r="S1859" s="11"/>
      <c r="T1859" s="11"/>
      <c r="U1859" s="11"/>
      <c r="V1859" s="11"/>
      <c r="W1859" s="11"/>
      <c r="X1859" s="11"/>
      <c r="Y1859" s="11"/>
      <c r="Z1859" s="11"/>
    </row>
    <row r="1860" customHeight="1" spans="1:26">
      <c r="A1860" s="11" t="str">
        <f>IFERROR(__xludf.DUMMYFUNCTION("""COMPUTED_VALUE"""),"LUCIANA REGINA DE B PINHEIRO")</f>
        <v>LUCIANA REGINA DE B PINHEIRO</v>
      </c>
      <c r="B1860" s="11"/>
      <c r="C1860" s="11"/>
      <c r="D1860" s="11" t="str">
        <f>IFERROR(__xludf.DUMMYFUNCTION("""COMPUTED_VALUE"""),"SERV OUT ORGAOS - REG PROPRIO")</f>
        <v>SERV OUT ORGAOS - REG PROPRIO</v>
      </c>
      <c r="E1860" s="11"/>
      <c r="F1860" s="11" t="str">
        <f>IFERROR(__xludf.DUMMYFUNCTION("""COMPUTED_VALUE"""),"US_128 POLICLINICA LESSA DE ANDRADE")</f>
        <v>US_128 POLICLINICA LESSA DE ANDRADE</v>
      </c>
      <c r="G1860" s="11" t="str">
        <f>IFERROR(__xludf.DUMMYFUNCTION("""COMPUTED_VALUE"""),"US_128 POLICLINICA LESSA DE ANDRADE")</f>
        <v>US_128 POLICLINICA LESSA DE ANDRADE</v>
      </c>
      <c r="H1860" s="11"/>
      <c r="I1860" s="11"/>
      <c r="J1860" s="11"/>
      <c r="K1860" s="11"/>
      <c r="L1860" s="11"/>
      <c r="M1860" s="11"/>
      <c r="N1860" s="11"/>
      <c r="O1860" s="11">
        <f>IFERROR(__xludf.DUMMYFUNCTION("""COMPUTED_VALUE"""),79420389472)</f>
        <v>79420389472</v>
      </c>
      <c r="P1860" s="11"/>
      <c r="Q1860" s="11"/>
      <c r="R1860" s="11"/>
      <c r="S1860" s="11"/>
      <c r="T1860" s="11"/>
      <c r="U1860" s="11"/>
      <c r="V1860" s="11"/>
      <c r="W1860" s="11"/>
      <c r="X1860" s="11"/>
      <c r="Y1860" s="11"/>
      <c r="Z1860" s="11"/>
    </row>
    <row r="1861" customHeight="1" spans="1:26">
      <c r="A1861" s="11" t="str">
        <f>IFERROR(__xludf.DUMMYFUNCTION("""COMPUTED_VALUE"""),"KATYA MARIA DE MORAIS ARAUJO")</f>
        <v>KATYA MARIA DE MORAIS ARAUJO</v>
      </c>
      <c r="B1861" s="11"/>
      <c r="C1861" s="11"/>
      <c r="D1861" s="11" t="str">
        <f>IFERROR(__xludf.DUMMYFUNCTION("""COMPUTED_VALUE"""),"ENFERMEIRO 30H - DIARISTA")</f>
        <v>ENFERMEIRO 30H - DIARISTA</v>
      </c>
      <c r="E1861" s="11"/>
      <c r="F1861" s="24" t="str">
        <f>IFERROR(__xludf.DUMMYFUNCTION("""COMPUTED_VALUE"""),"UNIDADE DE VACINAÇAO COVID-19 | DS - II")</f>
        <v>UNIDADE DE VACINAÇAO COVID-19 | DS - II</v>
      </c>
      <c r="G1861" s="11" t="str">
        <f>IFERROR(__xludf.DUMMYFUNCTION("""COMPUTED_VALUE"""),"UNIDADE DE VACINAÇAO COVID-19 | DS - II")</f>
        <v>UNIDADE DE VACINAÇAO COVID-19 | DS - II</v>
      </c>
      <c r="H1861" s="11"/>
      <c r="I1861" s="11"/>
      <c r="J1861" s="11"/>
      <c r="K1861" s="11"/>
      <c r="L1861" s="11"/>
      <c r="M1861" s="11"/>
      <c r="N1861" s="11"/>
      <c r="O1861" s="11">
        <f>IFERROR(__xludf.DUMMYFUNCTION("""COMPUTED_VALUE"""),81910410497)</f>
        <v>81910410497</v>
      </c>
      <c r="P1861" s="11"/>
      <c r="Q1861" s="11"/>
      <c r="R1861" s="11"/>
      <c r="S1861" s="11"/>
      <c r="T1861" s="11"/>
      <c r="U1861" s="11"/>
      <c r="V1861" s="11"/>
      <c r="W1861" s="11"/>
      <c r="X1861" s="11"/>
      <c r="Y1861" s="11"/>
      <c r="Z1861" s="11"/>
    </row>
    <row r="1862" customHeight="1" spans="1:26">
      <c r="A1862" s="11" t="str">
        <f>IFERROR(__xludf.DUMMYFUNCTION("""COMPUTED_VALUE"""),"MICHELLE ESPINOLA DE ANDRADE")</f>
        <v>MICHELLE ESPINOLA DE ANDRADE</v>
      </c>
      <c r="B1862" s="11"/>
      <c r="C1862" s="11"/>
      <c r="D1862" s="11" t="str">
        <f>IFERROR(__xludf.DUMMYFUNCTION("""COMPUTED_VALUE"""),"ENFERMEIRO 30H - DIARISTA")</f>
        <v>ENFERMEIRO 30H - DIARISTA</v>
      </c>
      <c r="E1862" s="11"/>
      <c r="F1862" s="24" t="str">
        <f>IFERROR(__xludf.DUMMYFUNCTION("""COMPUTED_VALUE"""),"UNIDADE DE VACINAÇAO COVID-19 | DS - IV")</f>
        <v>UNIDADE DE VACINAÇAO COVID-19 | DS - IV</v>
      </c>
      <c r="G1862" s="11" t="str">
        <f>IFERROR(__xludf.DUMMYFUNCTION("""COMPUTED_VALUE"""),"UNIDADE DE VACINAÇAO COVID-19 | DS - IV")</f>
        <v>UNIDADE DE VACINAÇAO COVID-19 | DS - IV</v>
      </c>
      <c r="H1862" s="11"/>
      <c r="I1862" s="11"/>
      <c r="J1862" s="11"/>
      <c r="K1862" s="11"/>
      <c r="L1862" s="11"/>
      <c r="M1862" s="11"/>
      <c r="N1862" s="11"/>
      <c r="O1862" s="11">
        <f>IFERROR(__xludf.DUMMYFUNCTION("""COMPUTED_VALUE"""),3027213474)</f>
        <v>3027213474</v>
      </c>
      <c r="P1862" s="11"/>
      <c r="Q1862" s="11"/>
      <c r="R1862" s="11"/>
      <c r="S1862" s="11"/>
      <c r="T1862" s="11"/>
      <c r="U1862" s="11"/>
      <c r="V1862" s="11"/>
      <c r="W1862" s="11"/>
      <c r="X1862" s="11"/>
      <c r="Y1862" s="11"/>
      <c r="Z1862" s="11"/>
    </row>
    <row r="1863" customHeight="1" spans="1:26">
      <c r="A1863" s="11" t="str">
        <f>IFERROR(__xludf.DUMMYFUNCTION("""COMPUTED_VALUE"""),"MARIA GORETTI DE M M BARBOSA")</f>
        <v>MARIA GORETTI DE M M BARBOSA</v>
      </c>
      <c r="B1863" s="11"/>
      <c r="C1863" s="11"/>
      <c r="D1863" s="11" t="str">
        <f>IFERROR(__xludf.DUMMYFUNCTION("""COMPUTED_VALUE"""),"ENFERMEIRO 30H")</f>
        <v>ENFERMEIRO 30H</v>
      </c>
      <c r="E1863" s="11"/>
      <c r="F1863" s="11" t="str">
        <f>IFERROR(__xludf.DUMMYFUNCTION("""COMPUTED_VALUE"""),"SEVS")</f>
        <v>SEVS</v>
      </c>
      <c r="G1863" s="11" t="str">
        <f>IFERROR(__xludf.DUMMYFUNCTION("""COMPUTED_VALUE"""),"SEVS")</f>
        <v>SEVS</v>
      </c>
      <c r="H1863" s="11"/>
      <c r="I1863" s="11"/>
      <c r="J1863" s="11"/>
      <c r="K1863" s="11"/>
      <c r="L1863" s="11"/>
      <c r="M1863" s="11"/>
      <c r="N1863" s="11"/>
      <c r="O1863" s="11">
        <f>IFERROR(__xludf.DUMMYFUNCTION("""COMPUTED_VALUE"""),18181120434)</f>
        <v>18181120434</v>
      </c>
      <c r="P1863" s="11"/>
      <c r="Q1863" s="11"/>
      <c r="R1863" s="11"/>
      <c r="S1863" s="11"/>
      <c r="T1863" s="11"/>
      <c r="U1863" s="11"/>
      <c r="V1863" s="11"/>
      <c r="W1863" s="11"/>
      <c r="X1863" s="11"/>
      <c r="Y1863" s="11"/>
      <c r="Z1863" s="11"/>
    </row>
    <row r="1864" customHeight="1" spans="1:26">
      <c r="A1864" s="11" t="str">
        <f>IFERROR(__xludf.DUMMYFUNCTION("""COMPUTED_VALUE"""),"DAISY MARIA DA SILVA SANTOS")</f>
        <v>DAISY MARIA DA SILVA SANTOS</v>
      </c>
      <c r="B1864" s="11"/>
      <c r="C1864" s="11"/>
      <c r="D1864" s="11" t="str">
        <f>IFERROR(__xludf.DUMMYFUNCTION("""COMPUTED_VALUE"""),"ENFERMEIRO 30H")</f>
        <v>ENFERMEIRO 30H</v>
      </c>
      <c r="E1864" s="11"/>
      <c r="F1864" s="11" t="str">
        <f>IFERROR(__xludf.DUMMYFUNCTION("""COMPUTED_VALUE"""),"SEVS")</f>
        <v>SEVS</v>
      </c>
      <c r="G1864" s="11" t="str">
        <f>IFERROR(__xludf.DUMMYFUNCTION("""COMPUTED_VALUE"""),"SEVS")</f>
        <v>SEVS</v>
      </c>
      <c r="H1864" s="11"/>
      <c r="I1864" s="11"/>
      <c r="J1864" s="11"/>
      <c r="K1864" s="11"/>
      <c r="L1864" s="11"/>
      <c r="M1864" s="11"/>
      <c r="N1864" s="11"/>
      <c r="O1864" s="11">
        <f>IFERROR(__xludf.DUMMYFUNCTION("""COMPUTED_VALUE"""),39962466415)</f>
        <v>39962466415</v>
      </c>
      <c r="P1864" s="11"/>
      <c r="Q1864" s="11"/>
      <c r="R1864" s="11"/>
      <c r="S1864" s="11"/>
      <c r="T1864" s="11"/>
      <c r="U1864" s="11"/>
      <c r="V1864" s="11"/>
      <c r="W1864" s="11"/>
      <c r="X1864" s="11"/>
      <c r="Y1864" s="11"/>
      <c r="Z1864" s="11"/>
    </row>
    <row r="1865" customHeight="1" spans="1:26">
      <c r="A1865" s="11" t="str">
        <f>IFERROR(__xludf.DUMMYFUNCTION("""COMPUTED_VALUE"""),"EDILENE MARIA DOS SANTOS")</f>
        <v>EDILENE MARIA DOS SANTOS</v>
      </c>
      <c r="B1865" s="11"/>
      <c r="C1865" s="11"/>
      <c r="D1865" s="11" t="str">
        <f>IFERROR(__xludf.DUMMYFUNCTION("""COMPUTED_VALUE"""),"ENFERMEIRO 30H")</f>
        <v>ENFERMEIRO 30H</v>
      </c>
      <c r="E1865" s="11"/>
      <c r="F1865" s="11" t="str">
        <f>IFERROR(__xludf.DUMMYFUNCTION("""COMPUTED_VALUE"""),"SEVS")</f>
        <v>SEVS</v>
      </c>
      <c r="G1865" s="11" t="str">
        <f>IFERROR(__xludf.DUMMYFUNCTION("""COMPUTED_VALUE"""),"SEVS")</f>
        <v>SEVS</v>
      </c>
      <c r="H1865" s="11"/>
      <c r="I1865" s="11"/>
      <c r="J1865" s="11"/>
      <c r="K1865" s="11"/>
      <c r="L1865" s="11"/>
      <c r="M1865" s="11"/>
      <c r="N1865" s="11"/>
      <c r="O1865" s="11">
        <f>IFERROR(__xludf.DUMMYFUNCTION("""COMPUTED_VALUE"""),45980144404)</f>
        <v>45980144404</v>
      </c>
      <c r="P1865" s="11"/>
      <c r="Q1865" s="11"/>
      <c r="R1865" s="11"/>
      <c r="S1865" s="11"/>
      <c r="T1865" s="11"/>
      <c r="U1865" s="11"/>
      <c r="V1865" s="11"/>
      <c r="W1865" s="11"/>
      <c r="X1865" s="11"/>
      <c r="Y1865" s="11"/>
      <c r="Z1865" s="11"/>
    </row>
    <row r="1866" customHeight="1" spans="1:26">
      <c r="A1866" s="11" t="str">
        <f>IFERROR(__xludf.DUMMYFUNCTION("""COMPUTED_VALUE"""),"ANVETE LEAL DE ALBUQUERQUE")</f>
        <v>ANVETE LEAL DE ALBUQUERQUE</v>
      </c>
      <c r="B1866" s="11"/>
      <c r="C1866" s="11"/>
      <c r="D1866" s="11" t="str">
        <f>IFERROR(__xludf.DUMMYFUNCTION("""COMPUTED_VALUE"""),"ENFERMEIRO 30H")</f>
        <v>ENFERMEIRO 30H</v>
      </c>
      <c r="E1866" s="11"/>
      <c r="F1866" s="11" t="str">
        <f>IFERROR(__xludf.DUMMYFUNCTION("""COMPUTED_VALUE"""),"SEVS")</f>
        <v>SEVS</v>
      </c>
      <c r="G1866" s="11" t="str">
        <f>IFERROR(__xludf.DUMMYFUNCTION("""COMPUTED_VALUE"""),"SEVS")</f>
        <v>SEVS</v>
      </c>
      <c r="H1866" s="11"/>
      <c r="I1866" s="11"/>
      <c r="J1866" s="11"/>
      <c r="K1866" s="11"/>
      <c r="L1866" s="11"/>
      <c r="M1866" s="11"/>
      <c r="N1866" s="11"/>
      <c r="O1866" s="11">
        <f>IFERROR(__xludf.DUMMYFUNCTION("""COMPUTED_VALUE"""),74629360468)</f>
        <v>74629360468</v>
      </c>
      <c r="P1866" s="11"/>
      <c r="Q1866" s="11"/>
      <c r="R1866" s="11"/>
      <c r="S1866" s="11"/>
      <c r="T1866" s="11"/>
      <c r="U1866" s="11"/>
      <c r="V1866" s="11"/>
      <c r="W1866" s="11"/>
      <c r="X1866" s="11"/>
      <c r="Y1866" s="11"/>
      <c r="Z1866" s="11"/>
    </row>
    <row r="1867" customHeight="1" spans="1:26">
      <c r="A1867" s="11" t="str">
        <f>IFERROR(__xludf.DUMMYFUNCTION("""COMPUTED_VALUE"""),"SHEILA JANAINA OLIVEIRA A LIMA")</f>
        <v>SHEILA JANAINA OLIVEIRA A LIMA</v>
      </c>
      <c r="B1867" s="11"/>
      <c r="C1867" s="11"/>
      <c r="D1867" s="11" t="str">
        <f>IFERROR(__xludf.DUMMYFUNCTION("""COMPUTED_VALUE"""),"ENFERMEIRO 30H")</f>
        <v>ENFERMEIRO 30H</v>
      </c>
      <c r="E1867" s="11"/>
      <c r="F1867" s="11" t="str">
        <f>IFERROR(__xludf.DUMMYFUNCTION("""COMPUTED_VALUE"""),"SEVS")</f>
        <v>SEVS</v>
      </c>
      <c r="G1867" s="11" t="str">
        <f>IFERROR(__xludf.DUMMYFUNCTION("""COMPUTED_VALUE"""),"SEVS")</f>
        <v>SEVS</v>
      </c>
      <c r="H1867" s="11"/>
      <c r="I1867" s="11"/>
      <c r="J1867" s="11"/>
      <c r="K1867" s="11"/>
      <c r="L1867" s="11"/>
      <c r="M1867" s="11"/>
      <c r="N1867" s="11"/>
      <c r="O1867" s="11">
        <f>IFERROR(__xludf.DUMMYFUNCTION("""COMPUTED_VALUE"""),2559380471)</f>
        <v>2559380471</v>
      </c>
      <c r="P1867" s="11"/>
      <c r="Q1867" s="11"/>
      <c r="R1867" s="11"/>
      <c r="S1867" s="11"/>
      <c r="T1867" s="11"/>
      <c r="U1867" s="11"/>
      <c r="V1867" s="11"/>
      <c r="W1867" s="11"/>
      <c r="X1867" s="11"/>
      <c r="Y1867" s="11"/>
      <c r="Z1867" s="11"/>
    </row>
    <row r="1868" customHeight="1" spans="1:26">
      <c r="A1868" s="11" t="str">
        <f>IFERROR(__xludf.DUMMYFUNCTION("""COMPUTED_VALUE"""),"ROSANGELA CHRISTINA B BASTOS")</f>
        <v>ROSANGELA CHRISTINA B BASTOS</v>
      </c>
      <c r="B1868" s="11"/>
      <c r="C1868" s="11"/>
      <c r="D1868" s="11" t="str">
        <f>IFERROR(__xludf.DUMMYFUNCTION("""COMPUTED_VALUE"""),"ENFERMEIRO 30H")</f>
        <v>ENFERMEIRO 30H</v>
      </c>
      <c r="E1868" s="11"/>
      <c r="F1868" s="11" t="str">
        <f>IFERROR(__xludf.DUMMYFUNCTION("""COMPUTED_VALUE"""),"SEVS")</f>
        <v>SEVS</v>
      </c>
      <c r="G1868" s="11" t="str">
        <f>IFERROR(__xludf.DUMMYFUNCTION("""COMPUTED_VALUE"""),"SEVS")</f>
        <v>SEVS</v>
      </c>
      <c r="H1868" s="11"/>
      <c r="I1868" s="11"/>
      <c r="J1868" s="11"/>
      <c r="K1868" s="11"/>
      <c r="L1868" s="11"/>
      <c r="M1868" s="11"/>
      <c r="N1868" s="11"/>
      <c r="O1868" s="11">
        <f>IFERROR(__xludf.DUMMYFUNCTION("""COMPUTED_VALUE"""),764716409)</f>
        <v>764716409</v>
      </c>
      <c r="P1868" s="11"/>
      <c r="Q1868" s="11"/>
      <c r="R1868" s="11"/>
      <c r="S1868" s="11"/>
      <c r="T1868" s="11"/>
      <c r="U1868" s="11"/>
      <c r="V1868" s="11"/>
      <c r="W1868" s="11"/>
      <c r="X1868" s="11"/>
      <c r="Y1868" s="11"/>
      <c r="Z1868" s="11"/>
    </row>
    <row r="1869" customHeight="1" spans="1:26">
      <c r="A1869" s="11" t="str">
        <f>IFERROR(__xludf.DUMMYFUNCTION("""COMPUTED_VALUE"""),"PETRONIO GUSMAO VASCONCELOS")</f>
        <v>PETRONIO GUSMAO VASCONCELOS</v>
      </c>
      <c r="B1869" s="11"/>
      <c r="C1869" s="11"/>
      <c r="D1869" s="11" t="str">
        <f>IFERROR(__xludf.DUMMYFUNCTION("""COMPUTED_VALUE"""),"ENFERMEIRO 30H")</f>
        <v>ENFERMEIRO 30H</v>
      </c>
      <c r="E1869" s="11"/>
      <c r="F1869" s="11" t="str">
        <f>IFERROR(__xludf.DUMMYFUNCTION("""COMPUTED_VALUE"""),"SEVS")</f>
        <v>SEVS</v>
      </c>
      <c r="G1869" s="11" t="str">
        <f>IFERROR(__xludf.DUMMYFUNCTION("""COMPUTED_VALUE"""),"SEVS")</f>
        <v>SEVS</v>
      </c>
      <c r="H1869" s="11"/>
      <c r="I1869" s="11"/>
      <c r="J1869" s="11"/>
      <c r="K1869" s="11"/>
      <c r="L1869" s="11"/>
      <c r="M1869" s="11"/>
      <c r="N1869" s="11"/>
      <c r="O1869" s="11">
        <f>IFERROR(__xludf.DUMMYFUNCTION("""COMPUTED_VALUE"""),35179953472)</f>
        <v>35179953472</v>
      </c>
      <c r="P1869" s="11"/>
      <c r="Q1869" s="11"/>
      <c r="R1869" s="11"/>
      <c r="S1869" s="11"/>
      <c r="T1869" s="11"/>
      <c r="U1869" s="11"/>
      <c r="V1869" s="11"/>
      <c r="W1869" s="11"/>
      <c r="X1869" s="11"/>
      <c r="Y1869" s="11"/>
      <c r="Z1869" s="11"/>
    </row>
    <row r="1870" customHeight="1" spans="1:26">
      <c r="A1870" s="11" t="str">
        <f>IFERROR(__xludf.DUMMYFUNCTION("""COMPUTED_VALUE"""),"LEIDIANE FRANCIS DE A COSTA")</f>
        <v>LEIDIANE FRANCIS DE A COSTA</v>
      </c>
      <c r="B1870" s="11"/>
      <c r="C1870" s="11"/>
      <c r="D1870" s="11" t="str">
        <f>IFERROR(__xludf.DUMMYFUNCTION("""COMPUTED_VALUE"""),"ENFERMEIRO 40H")</f>
        <v>ENFERMEIRO 40H</v>
      </c>
      <c r="E1870" s="11"/>
      <c r="F1870" s="11" t="str">
        <f>IFERROR(__xludf.DUMMYFUNCTION("""COMPUTED_VALUE"""),"SEVS")</f>
        <v>SEVS</v>
      </c>
      <c r="G1870" s="11" t="str">
        <f>IFERROR(__xludf.DUMMYFUNCTION("""COMPUTED_VALUE"""),"SEVS")</f>
        <v>SEVS</v>
      </c>
      <c r="H1870" s="11"/>
      <c r="I1870" s="11"/>
      <c r="J1870" s="11"/>
      <c r="K1870" s="11"/>
      <c r="L1870" s="11"/>
      <c r="M1870" s="11"/>
      <c r="N1870" s="11"/>
      <c r="O1870" s="11">
        <f>IFERROR(__xludf.DUMMYFUNCTION("""COMPUTED_VALUE"""),5093964450)</f>
        <v>5093964450</v>
      </c>
      <c r="P1870" s="11"/>
      <c r="Q1870" s="11"/>
      <c r="R1870" s="11"/>
      <c r="S1870" s="11"/>
      <c r="T1870" s="11"/>
      <c r="U1870" s="11"/>
      <c r="V1870" s="11"/>
      <c r="W1870" s="11"/>
      <c r="X1870" s="11"/>
      <c r="Y1870" s="11"/>
      <c r="Z1870" s="11"/>
    </row>
    <row r="1871" customHeight="1" spans="1:26">
      <c r="A1871" s="11" t="str">
        <f>IFERROR(__xludf.DUMMYFUNCTION("""COMPUTED_VALUE"""),"ISABELLE SOUZA DE MELO SILVA")</f>
        <v>ISABELLE SOUZA DE MELO SILVA</v>
      </c>
      <c r="B1871" s="11"/>
      <c r="C1871" s="11"/>
      <c r="D1871" s="11" t="str">
        <f>IFERROR(__xludf.DUMMYFUNCTION("""COMPUTED_VALUE"""),"ENFERMEIRO 40H")</f>
        <v>ENFERMEIRO 40H</v>
      </c>
      <c r="E1871" s="11"/>
      <c r="F1871" s="11" t="str">
        <f>IFERROR(__xludf.DUMMYFUNCTION("""COMPUTED_VALUE"""),"SEVS")</f>
        <v>SEVS</v>
      </c>
      <c r="G1871" s="11" t="str">
        <f>IFERROR(__xludf.DUMMYFUNCTION("""COMPUTED_VALUE"""),"SEVS")</f>
        <v>SEVS</v>
      </c>
      <c r="H1871" s="11"/>
      <c r="I1871" s="11"/>
      <c r="J1871" s="11"/>
      <c r="K1871" s="11"/>
      <c r="L1871" s="11"/>
      <c r="M1871" s="11"/>
      <c r="N1871" s="11"/>
      <c r="O1871" s="11">
        <f>IFERROR(__xludf.DUMMYFUNCTION("""COMPUTED_VALUE"""),1201124506)</f>
        <v>1201124506</v>
      </c>
      <c r="P1871" s="11"/>
      <c r="Q1871" s="11"/>
      <c r="R1871" s="11"/>
      <c r="S1871" s="11"/>
      <c r="T1871" s="11"/>
      <c r="U1871" s="11"/>
      <c r="V1871" s="11"/>
      <c r="W1871" s="11"/>
      <c r="X1871" s="11"/>
      <c r="Y1871" s="11"/>
      <c r="Z1871" s="11"/>
    </row>
    <row r="1872" customHeight="1" spans="1:26">
      <c r="A1872" s="11" t="str">
        <f>IFERROR(__xludf.DUMMYFUNCTION("""COMPUTED_VALUE"""),"INDIANARA MARIA DE B CANUTO")</f>
        <v>INDIANARA MARIA DE B CANUTO</v>
      </c>
      <c r="B1872" s="11"/>
      <c r="C1872" s="11"/>
      <c r="D1872" s="11" t="str">
        <f>IFERROR(__xludf.DUMMYFUNCTION("""COMPUTED_VALUE"""),"ENFERMEIRO 40H")</f>
        <v>ENFERMEIRO 40H</v>
      </c>
      <c r="E1872" s="11"/>
      <c r="F1872" s="24" t="str">
        <f>IFERROR(__xludf.DUMMYFUNCTION("""COMPUTED_VALUE"""),"SEVS")</f>
        <v>SEVS</v>
      </c>
      <c r="G1872" s="11" t="str">
        <f>IFERROR(__xludf.DUMMYFUNCTION("""COMPUTED_VALUE"""),"SEVS")</f>
        <v>SEVS</v>
      </c>
      <c r="H1872" s="11"/>
      <c r="I1872" s="11"/>
      <c r="J1872" s="11"/>
      <c r="K1872" s="11"/>
      <c r="L1872" s="11"/>
      <c r="M1872" s="11"/>
      <c r="N1872" s="11"/>
      <c r="O1872" s="11">
        <f>IFERROR(__xludf.DUMMYFUNCTION("""COMPUTED_VALUE"""),8942185495)</f>
        <v>8942185495</v>
      </c>
      <c r="P1872" s="11"/>
      <c r="Q1872" s="11"/>
      <c r="R1872" s="11"/>
      <c r="S1872" s="11"/>
      <c r="T1872" s="11"/>
      <c r="U1872" s="11"/>
      <c r="V1872" s="11"/>
      <c r="W1872" s="11"/>
      <c r="X1872" s="11"/>
      <c r="Y1872" s="11"/>
      <c r="Z1872" s="11"/>
    </row>
    <row r="1873" customHeight="1" spans="1:26">
      <c r="A1873" s="11" t="str">
        <f>IFERROR(__xludf.DUMMYFUNCTION("""COMPUTED_VALUE"""),"IDALACY DE CARVALHO BARRETO")</f>
        <v>IDALACY DE CARVALHO BARRETO</v>
      </c>
      <c r="B1873" s="11"/>
      <c r="C1873" s="11"/>
      <c r="D1873" s="11" t="str">
        <f>IFERROR(__xludf.DUMMYFUNCTION("""COMPUTED_VALUE"""),"ENFERMEIRO 30H - DIARISTA")</f>
        <v>ENFERMEIRO 30H - DIARISTA</v>
      </c>
      <c r="E1873" s="11"/>
      <c r="F1873" s="11" t="str">
        <f>IFERROR(__xludf.DUMMYFUNCTION("""COMPUTED_VALUE"""),"SEVS")</f>
        <v>SEVS</v>
      </c>
      <c r="G1873" s="11" t="str">
        <f>IFERROR(__xludf.DUMMYFUNCTION("""COMPUTED_VALUE"""),"SEVS")</f>
        <v>SEVS</v>
      </c>
      <c r="H1873" s="11"/>
      <c r="I1873" s="11"/>
      <c r="J1873" s="11"/>
      <c r="K1873" s="11"/>
      <c r="L1873" s="11"/>
      <c r="M1873" s="11"/>
      <c r="N1873" s="11"/>
      <c r="O1873" s="11">
        <f>IFERROR(__xludf.DUMMYFUNCTION("""COMPUTED_VALUE"""),1029235406)</f>
        <v>1029235406</v>
      </c>
      <c r="P1873" s="11"/>
      <c r="Q1873" s="11"/>
      <c r="R1873" s="11"/>
      <c r="S1873" s="11"/>
      <c r="T1873" s="11"/>
      <c r="U1873" s="11"/>
      <c r="V1873" s="11"/>
      <c r="W1873" s="11"/>
      <c r="X1873" s="11"/>
      <c r="Y1873" s="11"/>
      <c r="Z1873" s="11"/>
    </row>
    <row r="1874" customHeight="1" spans="1:26">
      <c r="A1874" s="11" t="str">
        <f>IFERROR(__xludf.DUMMYFUNCTION("""COMPUTED_VALUE"""),"MANUELLA KARINA GOMES DA SILVA")</f>
        <v>MANUELLA KARINA GOMES DA SILVA</v>
      </c>
      <c r="B1874" s="11"/>
      <c r="C1874" s="11"/>
      <c r="D1874" s="11" t="str">
        <f>IFERROR(__xludf.DUMMYFUNCTION("""COMPUTED_VALUE"""),"ENFERMEIRO 40H")</f>
        <v>ENFERMEIRO 40H</v>
      </c>
      <c r="E1874" s="11"/>
      <c r="F1874" s="11" t="str">
        <f>IFERROR(__xludf.DUMMYFUNCTION("""COMPUTED_VALUE"""),"SEVS")</f>
        <v>SEVS</v>
      </c>
      <c r="G1874" s="11" t="str">
        <f>IFERROR(__xludf.DUMMYFUNCTION("""COMPUTED_VALUE"""),"SEVS")</f>
        <v>SEVS</v>
      </c>
      <c r="H1874" s="11"/>
      <c r="I1874" s="11"/>
      <c r="J1874" s="11"/>
      <c r="K1874" s="11"/>
      <c r="L1874" s="11"/>
      <c r="M1874" s="11"/>
      <c r="N1874" s="11"/>
      <c r="O1874" s="11">
        <f>IFERROR(__xludf.DUMMYFUNCTION("""COMPUTED_VALUE"""),7960860440)</f>
        <v>7960860440</v>
      </c>
      <c r="P1874" s="11"/>
      <c r="Q1874" s="11"/>
      <c r="R1874" s="11"/>
      <c r="S1874" s="11"/>
      <c r="T1874" s="11"/>
      <c r="U1874" s="11"/>
      <c r="V1874" s="11"/>
      <c r="W1874" s="11"/>
      <c r="X1874" s="11"/>
      <c r="Y1874" s="11"/>
      <c r="Z1874" s="11"/>
    </row>
    <row r="1875" customHeight="1" spans="1:26">
      <c r="A1875" s="11" t="str">
        <f>IFERROR(__xludf.DUMMYFUNCTION("""COMPUTED_VALUE"""),"REBECA VALENTIM LEITE")</f>
        <v>REBECA VALENTIM LEITE</v>
      </c>
      <c r="B1875" s="11"/>
      <c r="C1875" s="11"/>
      <c r="D1875" s="11" t="str">
        <f>IFERROR(__xludf.DUMMYFUNCTION("""COMPUTED_VALUE"""),"ENFERMEIRO 40H")</f>
        <v>ENFERMEIRO 40H</v>
      </c>
      <c r="E1875" s="11"/>
      <c r="F1875" s="11" t="str">
        <f>IFERROR(__xludf.DUMMYFUNCTION("""COMPUTED_VALUE"""),"")</f>
        <v/>
      </c>
      <c r="G1875" s="11" t="str">
        <f>IFERROR(__xludf.DUMMYFUNCTION("""COMPUTED_VALUE"""),"")</f>
        <v/>
      </c>
      <c r="H1875" s="11"/>
      <c r="I1875" s="11"/>
      <c r="J1875" s="11"/>
      <c r="K1875" s="11"/>
      <c r="L1875" s="11"/>
      <c r="M1875" s="11"/>
      <c r="N1875" s="11"/>
      <c r="O1875" s="11"/>
      <c r="P1875" s="11"/>
      <c r="Q1875" s="11"/>
      <c r="R1875" s="11"/>
      <c r="S1875" s="11"/>
      <c r="T1875" s="11"/>
      <c r="U1875" s="11"/>
      <c r="V1875" s="11"/>
      <c r="W1875" s="11"/>
      <c r="X1875" s="11"/>
      <c r="Y1875" s="11"/>
      <c r="Z1875" s="11"/>
    </row>
    <row r="1876" customHeight="1" spans="1:26">
      <c r="A1876" s="11" t="str">
        <f>IFERROR(__xludf.DUMMYFUNCTION("""COMPUTED_VALUE"""),"ROBERTA ANDRADE BELTRÃO")</f>
        <v>ROBERTA ANDRADE BELTRÃO</v>
      </c>
      <c r="B1876" s="11"/>
      <c r="C1876" s="11"/>
      <c r="D1876" s="11" t="str">
        <f>IFERROR(__xludf.DUMMYFUNCTION("""COMPUTED_VALUE"""),"ENFERMEIRO 40H")</f>
        <v>ENFERMEIRO 40H</v>
      </c>
      <c r="E1876" s="11"/>
      <c r="F1876" s="11" t="str">
        <f>IFERROR(__xludf.DUMMYFUNCTION("""COMPUTED_VALUE"""),"")</f>
        <v/>
      </c>
      <c r="G1876" s="11" t="str">
        <f>IFERROR(__xludf.DUMMYFUNCTION("""COMPUTED_VALUE"""),"")</f>
        <v/>
      </c>
      <c r="H1876" s="11"/>
      <c r="I1876" s="11"/>
      <c r="J1876" s="11"/>
      <c r="K1876" s="11"/>
      <c r="L1876" s="11"/>
      <c r="M1876" s="11"/>
      <c r="N1876" s="11"/>
      <c r="O1876" s="11"/>
      <c r="P1876" s="11"/>
      <c r="Q1876" s="11"/>
      <c r="R1876" s="11"/>
      <c r="S1876" s="11"/>
      <c r="T1876" s="11"/>
      <c r="U1876" s="11"/>
      <c r="V1876" s="11"/>
      <c r="W1876" s="11"/>
      <c r="X1876" s="11"/>
      <c r="Y1876" s="11"/>
      <c r="Z1876" s="11"/>
    </row>
    <row r="1877" customHeight="1" spans="1:26">
      <c r="A1877" s="11" t="str">
        <f>IFERROR(__xludf.DUMMYFUNCTION("""COMPUTED_VALUE"""),"NATALIA GONCALVES M BARROS")</f>
        <v>NATALIA GONCALVES M BARROS</v>
      </c>
      <c r="B1877" s="11"/>
      <c r="C1877" s="11"/>
      <c r="D1877" s="11" t="str">
        <f>IFERROR(__xludf.DUMMYFUNCTION("""COMPUTED_VALUE"""),"ENFERMEIRO 30H")</f>
        <v>ENFERMEIRO 30H</v>
      </c>
      <c r="E1877" s="11"/>
      <c r="F1877" s="11" t="str">
        <f>IFERROR(__xludf.DUMMYFUNCTION("""COMPUTED_VALUE"""),"SEVS")</f>
        <v>SEVS</v>
      </c>
      <c r="G1877" s="11" t="str">
        <f>IFERROR(__xludf.DUMMYFUNCTION("""COMPUTED_VALUE"""),"SEVS")</f>
        <v>SEVS</v>
      </c>
      <c r="H1877" s="11"/>
      <c r="I1877" s="11"/>
      <c r="J1877" s="11"/>
      <c r="K1877" s="11"/>
      <c r="L1877" s="11"/>
      <c r="M1877" s="11"/>
      <c r="N1877" s="11"/>
      <c r="O1877" s="11">
        <f>IFERROR(__xludf.DUMMYFUNCTION("""COMPUTED_VALUE"""),4789996409)</f>
        <v>4789996409</v>
      </c>
      <c r="P1877" s="11"/>
      <c r="Q1877" s="11"/>
      <c r="R1877" s="11"/>
      <c r="S1877" s="11"/>
      <c r="T1877" s="11"/>
      <c r="U1877" s="11"/>
      <c r="V1877" s="11"/>
      <c r="W1877" s="11"/>
      <c r="X1877" s="11"/>
      <c r="Y1877" s="11"/>
      <c r="Z1877" s="11"/>
    </row>
    <row r="1878" customHeight="1" spans="1:26">
      <c r="A1878" s="11" t="str">
        <f>IFERROR(__xludf.DUMMYFUNCTION("""COMPUTED_VALUE"""),"LENIZANE VANDERLEI C DA SILVA")</f>
        <v>LENIZANE VANDERLEI C DA SILVA</v>
      </c>
      <c r="B1878" s="11"/>
      <c r="C1878" s="11"/>
      <c r="D1878" s="11" t="str">
        <f>IFERROR(__xludf.DUMMYFUNCTION("""COMPUTED_VALUE"""),"ENFERMEIRO 30H - DIARISTA")</f>
        <v>ENFERMEIRO 30H - DIARISTA</v>
      </c>
      <c r="E1878" s="11"/>
      <c r="F1878" s="24" t="str">
        <f>IFERROR(__xludf.DUMMYFUNCTION("""COMPUTED_VALUE"""),"GERENCIA DE VIGILANCIA EPIDEMIOLOGICA - GEVEPI")</f>
        <v>GERENCIA DE VIGILANCIA EPIDEMIOLOGICA - GEVEPI</v>
      </c>
      <c r="G1878" s="11" t="str">
        <f>IFERROR(__xludf.DUMMYFUNCTION("""COMPUTED_VALUE"""),"GERENCIA DE VIGILANCIA EPIDEMIOLOGICA - GEVEPI")</f>
        <v>GERENCIA DE VIGILANCIA EPIDEMIOLOGICA - GEVEPI</v>
      </c>
      <c r="H1878" s="11"/>
      <c r="I1878" s="11"/>
      <c r="J1878" s="11"/>
      <c r="K1878" s="11"/>
      <c r="L1878" s="11"/>
      <c r="M1878" s="11"/>
      <c r="N1878" s="11"/>
      <c r="O1878" s="11">
        <f>IFERROR(__xludf.DUMMYFUNCTION("""COMPUTED_VALUE"""),8422218402)</f>
        <v>8422218402</v>
      </c>
      <c r="P1878" s="11"/>
      <c r="Q1878" s="11"/>
      <c r="R1878" s="11"/>
      <c r="S1878" s="11"/>
      <c r="T1878" s="11"/>
      <c r="U1878" s="11"/>
      <c r="V1878" s="11"/>
      <c r="W1878" s="11"/>
      <c r="X1878" s="11"/>
      <c r="Y1878" s="11"/>
      <c r="Z1878" s="11"/>
    </row>
    <row r="1879" customHeight="1" spans="1:26">
      <c r="A1879" s="11" t="str">
        <f>IFERROR(__xludf.DUMMYFUNCTION("""COMPUTED_VALUE"""),"MARCIANA FELICIANO")</f>
        <v>MARCIANA FELICIANO</v>
      </c>
      <c r="B1879" s="11"/>
      <c r="C1879" s="11"/>
      <c r="D1879" s="11" t="str">
        <f>IFERROR(__xludf.DUMMYFUNCTION("""COMPUTED_VALUE"""),"ENFERMEIRO 30H - DIARISTA")</f>
        <v>ENFERMEIRO 30H - DIARISTA</v>
      </c>
      <c r="E1879" s="11"/>
      <c r="F1879" s="24" t="str">
        <f>IFERROR(__xludf.DUMMYFUNCTION("""COMPUTED_VALUE"""),"GERENCIA DE VIGILANCIA EPIDEMIOLOGICA - GEVEPI")</f>
        <v>GERENCIA DE VIGILANCIA EPIDEMIOLOGICA - GEVEPI</v>
      </c>
      <c r="G1879" s="11" t="str">
        <f>IFERROR(__xludf.DUMMYFUNCTION("""COMPUTED_VALUE"""),"GERENCIA DE VIGILANCIA EPIDEMIOLOGICA - GEVEPI")</f>
        <v>GERENCIA DE VIGILANCIA EPIDEMIOLOGICA - GEVEPI</v>
      </c>
      <c r="H1879" s="11"/>
      <c r="I1879" s="11"/>
      <c r="J1879" s="11"/>
      <c r="K1879" s="11"/>
      <c r="L1879" s="11"/>
      <c r="M1879" s="11"/>
      <c r="N1879" s="11"/>
      <c r="O1879" s="11">
        <f>IFERROR(__xludf.DUMMYFUNCTION("""COMPUTED_VALUE"""),1397002344)</f>
        <v>1397002344</v>
      </c>
      <c r="P1879" s="11"/>
      <c r="Q1879" s="11"/>
      <c r="R1879" s="11"/>
      <c r="S1879" s="11"/>
      <c r="T1879" s="11"/>
      <c r="U1879" s="11"/>
      <c r="V1879" s="11"/>
      <c r="W1879" s="11"/>
      <c r="X1879" s="11"/>
      <c r="Y1879" s="11"/>
      <c r="Z1879" s="11"/>
    </row>
    <row r="1880" customHeight="1" spans="1:26">
      <c r="A1880" s="11" t="str">
        <f>IFERROR(__xludf.DUMMYFUNCTION("""COMPUTED_VALUE"""),"ALDA TEIXEIRA SANTOS")</f>
        <v>ALDA TEIXEIRA SANTOS</v>
      </c>
      <c r="B1880" s="11"/>
      <c r="C1880" s="11"/>
      <c r="D1880" s="11" t="str">
        <f>IFERROR(__xludf.DUMMYFUNCTION("""COMPUTED_VALUE"""),"ENFERMEIRO 30H - DIARISTA")</f>
        <v>ENFERMEIRO 30H - DIARISTA</v>
      </c>
      <c r="E1880" s="11"/>
      <c r="F1880" s="24" t="str">
        <f>IFERROR(__xludf.DUMMYFUNCTION("""COMPUTED_VALUE"""),"GERENCIA DE VIGILANCIA EPIDEMIOLOGICA - GEVEPI")</f>
        <v>GERENCIA DE VIGILANCIA EPIDEMIOLOGICA - GEVEPI</v>
      </c>
      <c r="G1880" s="11" t="str">
        <f>IFERROR(__xludf.DUMMYFUNCTION("""COMPUTED_VALUE"""),"GERENCIA DE VIGILANCIA EPIDEMIOLOGICA - GEVEPI")</f>
        <v>GERENCIA DE VIGILANCIA EPIDEMIOLOGICA - GEVEPI</v>
      </c>
      <c r="H1880" s="11"/>
      <c r="I1880" s="11"/>
      <c r="J1880" s="11"/>
      <c r="K1880" s="11"/>
      <c r="L1880" s="11"/>
      <c r="M1880" s="11"/>
      <c r="N1880" s="11"/>
      <c r="O1880" s="11">
        <f>IFERROR(__xludf.DUMMYFUNCTION("""COMPUTED_VALUE"""),5382658412)</f>
        <v>5382658412</v>
      </c>
      <c r="P1880" s="11"/>
      <c r="Q1880" s="11"/>
      <c r="R1880" s="11"/>
      <c r="S1880" s="11"/>
      <c r="T1880" s="11"/>
      <c r="U1880" s="11"/>
      <c r="V1880" s="11"/>
      <c r="W1880" s="11"/>
      <c r="X1880" s="11"/>
      <c r="Y1880" s="11"/>
      <c r="Z1880" s="11"/>
    </row>
    <row r="1881" customHeight="1" spans="1:26">
      <c r="A1881" s="11" t="str">
        <f>IFERROR(__xludf.DUMMYFUNCTION("""COMPUTED_VALUE"""),"HASSYLA MARIA DE CARVALHO BEZERRA")</f>
        <v>HASSYLA MARIA DE CARVALHO BEZERRA</v>
      </c>
      <c r="B1881" s="11"/>
      <c r="C1881" s="11"/>
      <c r="D1881" s="11" t="str">
        <f>IFERROR(__xludf.DUMMYFUNCTION("""COMPUTED_VALUE"""),"ENFERMEIRO 40H")</f>
        <v>ENFERMEIRO 40H</v>
      </c>
      <c r="E1881" s="11"/>
      <c r="F1881" s="11" t="str">
        <f>IFERROR(__xludf.DUMMYFUNCTION("""COMPUTED_VALUE"""),"")</f>
        <v/>
      </c>
      <c r="G1881" s="11" t="str">
        <f>IFERROR(__xludf.DUMMYFUNCTION("""COMPUTED_VALUE"""),"")</f>
        <v/>
      </c>
      <c r="H1881" s="11"/>
      <c r="I1881" s="11"/>
      <c r="J1881" s="11"/>
      <c r="K1881" s="11"/>
      <c r="L1881" s="11"/>
      <c r="M1881" s="11"/>
      <c r="N1881" s="11"/>
      <c r="O1881" s="11"/>
      <c r="P1881" s="11"/>
      <c r="Q1881" s="11"/>
      <c r="R1881" s="11"/>
      <c r="S1881" s="11"/>
      <c r="T1881" s="11"/>
      <c r="U1881" s="11"/>
      <c r="V1881" s="11"/>
      <c r="W1881" s="11"/>
      <c r="X1881" s="11"/>
      <c r="Y1881" s="11"/>
      <c r="Z1881" s="11"/>
    </row>
    <row r="1882" customHeight="1" spans="1:26">
      <c r="A1882" s="11" t="str">
        <f>IFERROR(__xludf.DUMMYFUNCTION("""COMPUTED_VALUE"""),"MARIANA PINTO ARAÚJO")</f>
        <v>MARIANA PINTO ARAÚJO</v>
      </c>
      <c r="B1882" s="11"/>
      <c r="C1882" s="11"/>
      <c r="D1882" s="11" t="str">
        <f>IFERROR(__xludf.DUMMYFUNCTION("""COMPUTED_VALUE"""),"ENFERMEIRO 40H")</f>
        <v>ENFERMEIRO 40H</v>
      </c>
      <c r="E1882" s="11"/>
      <c r="F1882" s="11" t="str">
        <f>IFERROR(__xludf.DUMMYFUNCTION("""COMPUTED_VALUE"""),"USF SÍTIO WANDERLEY")</f>
        <v>USF SÍTIO WANDERLEY</v>
      </c>
      <c r="G1882" s="11" t="str">
        <f>IFERROR(__xludf.DUMMYFUNCTION("""COMPUTED_VALUE"""),"")</f>
        <v/>
      </c>
      <c r="H1882" s="27">
        <f>IFERROR(__xludf.DUMMYFUNCTION("""COMPUTED_VALUE"""),83996264226)</f>
        <v>83996264226</v>
      </c>
      <c r="I1882" s="11"/>
      <c r="J1882" s="11"/>
      <c r="K1882" s="11"/>
      <c r="L1882" s="11"/>
      <c r="M1882" s="11"/>
      <c r="N1882" s="30" t="str">
        <f>IFERROR(__xludf.DUMMYFUNCTION("""COMPUTED_VALUE"""),"marianapiinto@hotmail.com")</f>
        <v>marianapiinto@hotmail.com</v>
      </c>
      <c r="O1882" s="11"/>
      <c r="P1882" s="11"/>
      <c r="Q1882" s="11"/>
      <c r="R1882" s="11"/>
      <c r="S1882" s="11"/>
      <c r="T1882" s="11"/>
      <c r="U1882" s="11"/>
      <c r="V1882" s="11"/>
      <c r="W1882" s="11"/>
      <c r="X1882" s="11"/>
      <c r="Y1882" s="11"/>
      <c r="Z1882" s="11"/>
    </row>
    <row r="1883" customHeight="1" spans="1:26">
      <c r="A1883" s="11"/>
      <c r="B1883" s="11"/>
      <c r="C1883" s="11"/>
      <c r="D1883" s="11"/>
      <c r="E1883" s="11"/>
      <c r="F1883" s="11"/>
      <c r="G1883" s="11"/>
      <c r="H1883" s="11"/>
      <c r="I1883" s="11"/>
      <c r="J1883" s="11"/>
      <c r="K1883" s="11"/>
      <c r="L1883" s="11"/>
      <c r="M1883" s="11"/>
      <c r="N1883" s="11"/>
      <c r="O1883" s="11"/>
      <c r="P1883" s="11"/>
      <c r="Q1883" s="11"/>
      <c r="R1883" s="11"/>
      <c r="S1883" s="11"/>
      <c r="T1883" s="11"/>
      <c r="U1883" s="11"/>
      <c r="V1883" s="11"/>
      <c r="W1883" s="11"/>
      <c r="X1883" s="11"/>
      <c r="Y1883" s="11"/>
      <c r="Z1883" s="11"/>
    </row>
    <row r="1884" customHeight="1" spans="1:26">
      <c r="A1884" s="11"/>
      <c r="B1884" s="11"/>
      <c r="C1884" s="11"/>
      <c r="D1884" s="11"/>
      <c r="E1884" s="11"/>
      <c r="F1884" s="11"/>
      <c r="G1884" s="11"/>
      <c r="H1884" s="11"/>
      <c r="I1884" s="11"/>
      <c r="J1884" s="11"/>
      <c r="K1884" s="11"/>
      <c r="L1884" s="11"/>
      <c r="M1884" s="11"/>
      <c r="N1884" s="11"/>
      <c r="O1884" s="11"/>
      <c r="P1884" s="11"/>
      <c r="Q1884" s="11"/>
      <c r="R1884" s="11"/>
      <c r="S1884" s="11"/>
      <c r="T1884" s="11"/>
      <c r="U1884" s="11"/>
      <c r="V1884" s="11"/>
      <c r="W1884" s="11"/>
      <c r="X1884" s="11"/>
      <c r="Y1884" s="11"/>
      <c r="Z1884" s="11"/>
    </row>
    <row r="1885" customHeight="1" spans="1:26">
      <c r="A1885" s="11"/>
      <c r="B1885" s="11"/>
      <c r="C1885" s="11"/>
      <c r="D1885" s="11"/>
      <c r="E1885" s="11"/>
      <c r="F1885" s="11" t="str">
        <f>IFERROR(__xludf.DUMMYFUNCTION("""COMPUTED_VALUE"""),"")</f>
        <v/>
      </c>
      <c r="G1885" s="11" t="str">
        <f>IFERROR(__xludf.DUMMYFUNCTION("""COMPUTED_VALUE"""),"")</f>
        <v/>
      </c>
      <c r="H1885" s="11"/>
      <c r="I1885" s="11"/>
      <c r="J1885" s="11"/>
      <c r="K1885" s="11"/>
      <c r="L1885" s="11"/>
      <c r="M1885" s="11"/>
      <c r="N1885" s="11"/>
      <c r="O1885" s="11"/>
      <c r="P1885" s="11"/>
      <c r="Q1885" s="11"/>
      <c r="R1885" s="11"/>
      <c r="S1885" s="11"/>
      <c r="T1885" s="11"/>
      <c r="U1885" s="11"/>
      <c r="V1885" s="11"/>
      <c r="W1885" s="11"/>
      <c r="X1885" s="11"/>
      <c r="Y1885" s="11"/>
      <c r="Z1885" s="11"/>
    </row>
    <row r="1886" customHeight="1" spans="1:26">
      <c r="A1886" s="11" t="str">
        <f>IFERROR(__xludf.DUMMYFUNCTION("""COMPUTED_VALUE"""),"ILIANA LINS QUIDUTE FREIRE")</f>
        <v>ILIANA LINS QUIDUTE FREIRE</v>
      </c>
      <c r="B1886" s="11"/>
      <c r="C1886" s="11"/>
      <c r="D1886" s="11" t="str">
        <f>IFERROR(__xludf.DUMMYFUNCTION("""COMPUTED_VALUE"""),"CIRURGIAO DENTISTA 20H")</f>
        <v>CIRURGIAO DENTISTA 20H</v>
      </c>
      <c r="E1886" s="11"/>
      <c r="F1886" s="11" t="str">
        <f>IFERROR(__xludf.DUMMYFUNCTION("""COMPUTED_VALUE"""),"US_101 POLICLINICA PROF WALDEMAR DE OLIVEIRA ")</f>
        <v>US_101 POLICLINICA PROF WALDEMAR DE OLIVEIRA </v>
      </c>
      <c r="G1886" s="11" t="str">
        <f>IFERROR(__xludf.DUMMYFUNCTION("""COMPUTED_VALUE"""),"US_101 POLICLINICA PROF WALDEMAR DE OLIVEIRA ")</f>
        <v>US_101 POLICLINICA PROF WALDEMAR DE OLIVEIRA </v>
      </c>
      <c r="H1886" s="11"/>
      <c r="I1886" s="11"/>
      <c r="J1886" s="11"/>
      <c r="K1886" s="11"/>
      <c r="L1886" s="11"/>
      <c r="M1886" s="11"/>
      <c r="N1886" s="11"/>
      <c r="O1886" s="11">
        <f>IFERROR(__xludf.DUMMYFUNCTION("""COMPUTED_VALUE"""),75905957134)</f>
        <v>75905957134</v>
      </c>
      <c r="P1886" s="11"/>
      <c r="Q1886" s="11"/>
      <c r="R1886" s="11"/>
      <c r="S1886" s="11"/>
      <c r="T1886" s="11"/>
      <c r="U1886" s="11"/>
      <c r="V1886" s="11"/>
      <c r="W1886" s="11"/>
      <c r="X1886" s="11"/>
      <c r="Y1886" s="11"/>
      <c r="Z1886" s="11"/>
    </row>
    <row r="1887" customHeight="1" spans="1:26">
      <c r="A1887" s="11" t="str">
        <f>IFERROR(__xludf.DUMMYFUNCTION("""COMPUTED_VALUE"""),"DAVI SILVA CARVALHO CURI")</f>
        <v>DAVI SILVA CARVALHO CURI</v>
      </c>
      <c r="B1887" s="11"/>
      <c r="C1887" s="11"/>
      <c r="D1887" s="11" t="str">
        <f>IFERROR(__xludf.DUMMYFUNCTION("""COMPUTED_VALUE"""),"CIRURGIAO DENTISTA 20H")</f>
        <v>CIRURGIAO DENTISTA 20H</v>
      </c>
      <c r="E1887" s="11"/>
      <c r="F1887" s="11" t="str">
        <f>IFERROR(__xludf.DUMMYFUNCTION("""COMPUTED_VALUE"""),"")</f>
        <v/>
      </c>
      <c r="G1887" s="11" t="str">
        <f>IFERROR(__xludf.DUMMYFUNCTION("""COMPUTED_VALUE"""),"")</f>
        <v/>
      </c>
      <c r="H1887" s="11"/>
      <c r="I1887" s="11"/>
      <c r="J1887" s="11"/>
      <c r="K1887" s="11"/>
      <c r="L1887" s="11"/>
      <c r="M1887" s="11"/>
      <c r="N1887" s="11"/>
      <c r="O1887" s="11"/>
      <c r="P1887" s="11"/>
      <c r="Q1887" s="11"/>
      <c r="R1887" s="11"/>
      <c r="S1887" s="11"/>
      <c r="T1887" s="11"/>
      <c r="U1887" s="11"/>
      <c r="V1887" s="11"/>
      <c r="W1887" s="11"/>
      <c r="X1887" s="11"/>
      <c r="Y1887" s="11"/>
      <c r="Z1887" s="11"/>
    </row>
    <row r="1888" customHeight="1" spans="1:26">
      <c r="A1888" s="11" t="str">
        <f>IFERROR(__xludf.DUMMYFUNCTION("""COMPUTED_VALUE"""),"MARIA DO SOCORRO A DE ALMEIDA")</f>
        <v>MARIA DO SOCORRO A DE ALMEIDA</v>
      </c>
      <c r="B1888" s="11"/>
      <c r="C1888" s="11"/>
      <c r="D1888" s="11" t="str">
        <f>IFERROR(__xludf.DUMMYFUNCTION("""COMPUTED_VALUE"""),"CIRURGIAO DENTISTA 20H")</f>
        <v>CIRURGIAO DENTISTA 20H</v>
      </c>
      <c r="E1888" s="11"/>
      <c r="F1888" s="11" t="str">
        <f>IFERROR(__xludf.DUMMYFUNCTION("""COMPUTED_VALUE"""),"US_278 USF NOSSA SRA DO PILAR BAIRRO DO RECIFE")</f>
        <v>US_278 USF NOSSA SRA DO PILAR BAIRRO DO RECIFE</v>
      </c>
      <c r="G1888" s="11" t="str">
        <f>IFERROR(__xludf.DUMMYFUNCTION("""COMPUTED_VALUE"""),"US_278 USF NOSSA SRA DO PILAR BAIRRO DO RECIFE")</f>
        <v>US_278 USF NOSSA SRA DO PILAR BAIRRO DO RECIFE</v>
      </c>
      <c r="H1888" s="11"/>
      <c r="I1888" s="11"/>
      <c r="J1888" s="11"/>
      <c r="K1888" s="11"/>
      <c r="L1888" s="11"/>
      <c r="M1888" s="11"/>
      <c r="N1888" s="11"/>
      <c r="O1888" s="11">
        <f>IFERROR(__xludf.DUMMYFUNCTION("""COMPUTED_VALUE"""),22040021434)</f>
        <v>22040021434</v>
      </c>
      <c r="P1888" s="11"/>
      <c r="Q1888" s="11"/>
      <c r="R1888" s="11"/>
      <c r="S1888" s="11"/>
      <c r="T1888" s="11"/>
      <c r="U1888" s="11"/>
      <c r="V1888" s="11"/>
      <c r="W1888" s="11"/>
      <c r="X1888" s="11"/>
      <c r="Y1888" s="11"/>
      <c r="Z1888" s="11"/>
    </row>
    <row r="1889" customHeight="1" spans="1:26">
      <c r="A1889" s="11" t="str">
        <f>IFERROR(__xludf.DUMMYFUNCTION("""COMPUTED_VALUE"""),"SIONE APARECIDA DE ASSIS")</f>
        <v>SIONE APARECIDA DE ASSIS</v>
      </c>
      <c r="B1889" s="11"/>
      <c r="C1889" s="11"/>
      <c r="D1889" s="11" t="str">
        <f>IFERROR(__xludf.DUMMYFUNCTION("""COMPUTED_VALUE"""),"CIRURGIAO DENTISTA 40H")</f>
        <v>CIRURGIAO DENTISTA 40H</v>
      </c>
      <c r="E1889" s="11"/>
      <c r="F1889" s="11" t="str">
        <f>IFERROR(__xludf.DUMMYFUNCTION("""COMPUTED_VALUE"""),"US_269 USF BEIRA DO RIO COMUNIDADE BOA VIAGEM")</f>
        <v>US_269 USF BEIRA DO RIO COMUNIDADE BOA VIAGEM</v>
      </c>
      <c r="G1889" s="11" t="str">
        <f>IFERROR(__xludf.DUMMYFUNCTION("""COMPUTED_VALUE"""),"US_269 USF BEIRA DO RIO COMUNIDADE BOA VIAGEM")</f>
        <v>US_269 USF BEIRA DO RIO COMUNIDADE BOA VIAGEM</v>
      </c>
      <c r="H1889" s="11"/>
      <c r="I1889" s="11"/>
      <c r="J1889" s="11"/>
      <c r="K1889" s="11"/>
      <c r="L1889" s="11"/>
      <c r="M1889" s="11"/>
      <c r="N1889" s="11"/>
      <c r="O1889" s="11">
        <f>IFERROR(__xludf.DUMMYFUNCTION("""COMPUTED_VALUE"""),72653884615)</f>
        <v>72653884615</v>
      </c>
      <c r="P1889" s="11"/>
      <c r="Q1889" s="11"/>
      <c r="R1889" s="11"/>
      <c r="S1889" s="11"/>
      <c r="T1889" s="11"/>
      <c r="U1889" s="11"/>
      <c r="V1889" s="11"/>
      <c r="W1889" s="11"/>
      <c r="X1889" s="11"/>
      <c r="Y1889" s="11"/>
      <c r="Z1889" s="11"/>
    </row>
    <row r="1890" customHeight="1" spans="1:26">
      <c r="A1890" s="11" t="str">
        <f>IFERROR(__xludf.DUMMYFUNCTION("""COMPUTED_VALUE"""),"BETANIA F LIMA DE O GONCALVES")</f>
        <v>BETANIA F LIMA DE O GONCALVES</v>
      </c>
      <c r="B1890" s="11"/>
      <c r="C1890" s="11"/>
      <c r="D1890" s="11" t="str">
        <f>IFERROR(__xludf.DUMMYFUNCTION("""COMPUTED_VALUE"""),"CIRURGIAO DENTISTA 40H")</f>
        <v>CIRURGIAO DENTISTA 40H</v>
      </c>
      <c r="E1890" s="11"/>
      <c r="F1890" s="11" t="str">
        <f>IFERROR(__xludf.DUMMYFUNCTION("""COMPUTED_VALUE"""),"US_349 USF CASARAO DO CORDEIRO")</f>
        <v>US_349 USF CASARAO DO CORDEIRO</v>
      </c>
      <c r="G1890" s="11" t="str">
        <f>IFERROR(__xludf.DUMMYFUNCTION("""COMPUTED_VALUE"""),"US_349 USF CASARAO DO CORDEIRO")</f>
        <v>US_349 USF CASARAO DO CORDEIRO</v>
      </c>
      <c r="H1890" s="11"/>
      <c r="I1890" s="11"/>
      <c r="J1890" s="11"/>
      <c r="K1890" s="11"/>
      <c r="L1890" s="11"/>
      <c r="M1890" s="11"/>
      <c r="N1890" s="11"/>
      <c r="O1890" s="11">
        <f>IFERROR(__xludf.DUMMYFUNCTION("""COMPUTED_VALUE"""),4491366470)</f>
        <v>4491366470</v>
      </c>
      <c r="P1890" s="11"/>
      <c r="Q1890" s="11"/>
      <c r="R1890" s="11"/>
      <c r="S1890" s="11"/>
      <c r="T1890" s="11"/>
      <c r="U1890" s="11"/>
      <c r="V1890" s="11"/>
      <c r="W1890" s="11"/>
      <c r="X1890" s="11"/>
      <c r="Y1890" s="11"/>
      <c r="Z1890" s="11"/>
    </row>
    <row r="1891" customHeight="1" spans="1:26">
      <c r="A1891" s="11" t="str">
        <f>IFERROR(__xludf.DUMMYFUNCTION("""COMPUTED_VALUE"""),"FERNANDA FRANCISCA DE CARVALHO LIMA MOURA")</f>
        <v>FERNANDA FRANCISCA DE CARVALHO LIMA MOURA</v>
      </c>
      <c r="B1891" s="11"/>
      <c r="C1891" s="11"/>
      <c r="D1891" s="11" t="str">
        <f>IFERROR(__xludf.DUMMYFUNCTION("""COMPUTED_VALUE"""),"CIRURGIAO DENTISTA 40H")</f>
        <v>CIRURGIAO DENTISTA 40H</v>
      </c>
      <c r="E1891" s="11"/>
      <c r="F1891" s="11" t="str">
        <f>IFERROR(__xludf.DUMMYFUNCTION("""COMPUTED_VALUE"""),"")</f>
        <v/>
      </c>
      <c r="G1891" s="11" t="str">
        <f>IFERROR(__xludf.DUMMYFUNCTION("""COMPUTED_VALUE"""),"")</f>
        <v/>
      </c>
      <c r="H1891" s="11"/>
      <c r="I1891" s="11"/>
      <c r="J1891" s="11"/>
      <c r="K1891" s="11"/>
      <c r="L1891" s="11"/>
      <c r="M1891" s="11"/>
      <c r="N1891" s="11"/>
      <c r="O1891" s="11"/>
      <c r="P1891" s="11"/>
      <c r="Q1891" s="11"/>
      <c r="R1891" s="11"/>
      <c r="S1891" s="11"/>
      <c r="T1891" s="11"/>
      <c r="U1891" s="11"/>
      <c r="V1891" s="11"/>
      <c r="W1891" s="11"/>
      <c r="X1891" s="11"/>
      <c r="Y1891" s="11"/>
      <c r="Z1891" s="11"/>
    </row>
    <row r="1892" customHeight="1" spans="1:26">
      <c r="A1892" s="11" t="str">
        <f>IFERROR(__xludf.DUMMYFUNCTION("""COMPUTED_VALUE"""),"LUCIA PEREIRA DE ANDRADE")</f>
        <v>LUCIA PEREIRA DE ANDRADE</v>
      </c>
      <c r="B1892" s="11"/>
      <c r="C1892" s="11"/>
      <c r="D1892" s="11" t="str">
        <f>IFERROR(__xludf.DUMMYFUNCTION("""COMPUTED_VALUE"""),"CIRURGIAO DENTISTA 20H")</f>
        <v>CIRURGIAO DENTISTA 20H</v>
      </c>
      <c r="E1892" s="11"/>
      <c r="F1892" s="11" t="str">
        <f>IFERROR(__xludf.DUMMYFUNCTION("""COMPUTED_VALUE"""),"SEDE DISTRITO SANITARIO VIII")</f>
        <v>SEDE DISTRITO SANITARIO VIII</v>
      </c>
      <c r="G1892" s="11" t="str">
        <f>IFERROR(__xludf.DUMMYFUNCTION("""COMPUTED_VALUE"""),"SEDE DISTRITO SANITARIO VIII")</f>
        <v>SEDE DISTRITO SANITARIO VIII</v>
      </c>
      <c r="H1892" s="11"/>
      <c r="I1892" s="11"/>
      <c r="J1892" s="11"/>
      <c r="K1892" s="11"/>
      <c r="L1892" s="11"/>
      <c r="M1892" s="11"/>
      <c r="N1892" s="11"/>
      <c r="O1892" s="11">
        <f>IFERROR(__xludf.DUMMYFUNCTION("""COMPUTED_VALUE"""),49634720404)</f>
        <v>49634720404</v>
      </c>
      <c r="P1892" s="11"/>
      <c r="Q1892" s="11"/>
      <c r="R1892" s="11"/>
      <c r="S1892" s="11"/>
      <c r="T1892" s="11"/>
      <c r="U1892" s="11"/>
      <c r="V1892" s="11"/>
      <c r="W1892" s="11"/>
      <c r="X1892" s="11"/>
      <c r="Y1892" s="11"/>
      <c r="Z1892" s="11"/>
    </row>
    <row r="1893" customHeight="1" spans="1:26">
      <c r="A1893" s="11" t="str">
        <f>IFERROR(__xludf.DUMMYFUNCTION("""COMPUTED_VALUE"""),"JORGE ANTONIO DA COSTA PEREIRA")</f>
        <v>JORGE ANTONIO DA COSTA PEREIRA</v>
      </c>
      <c r="B1893" s="11"/>
      <c r="C1893" s="11"/>
      <c r="D1893" s="11" t="str">
        <f>IFERROR(__xludf.DUMMYFUNCTION("""COMPUTED_VALUE"""),"CIRURGIAO DENTISTA 40H")</f>
        <v>CIRURGIAO DENTISTA 40H</v>
      </c>
      <c r="E1893" s="11"/>
      <c r="F1893" s="11" t="str">
        <f>IFERROR(__xludf.DUMMYFUNCTION("""COMPUTED_VALUE"""),"SEDE DISTRITO SANITARIO I")</f>
        <v>SEDE DISTRITO SANITARIO I</v>
      </c>
      <c r="G1893" s="11" t="str">
        <f>IFERROR(__xludf.DUMMYFUNCTION("""COMPUTED_VALUE"""),"SEDE DISTRITO SANITARIO I")</f>
        <v>SEDE DISTRITO SANITARIO I</v>
      </c>
      <c r="H1893" s="11"/>
      <c r="I1893" s="11"/>
      <c r="J1893" s="11"/>
      <c r="K1893" s="11"/>
      <c r="L1893" s="11"/>
      <c r="M1893" s="11"/>
      <c r="N1893" s="11"/>
      <c r="O1893" s="11">
        <f>IFERROR(__xludf.DUMMYFUNCTION("""COMPUTED_VALUE"""),2676363425)</f>
        <v>2676363425</v>
      </c>
      <c r="P1893" s="11"/>
      <c r="Q1893" s="11"/>
      <c r="R1893" s="11"/>
      <c r="S1893" s="11"/>
      <c r="T1893" s="11"/>
      <c r="U1893" s="11"/>
      <c r="V1893" s="11"/>
      <c r="W1893" s="11"/>
      <c r="X1893" s="11"/>
      <c r="Y1893" s="11"/>
      <c r="Z1893" s="11"/>
    </row>
    <row r="1894" customHeight="1" spans="1:26">
      <c r="A1894" s="11" t="str">
        <f>IFERROR(__xludf.DUMMYFUNCTION("""COMPUTED_VALUE"""),"JOSEANE DELFINO DE A CANTO")</f>
        <v>JOSEANE DELFINO DE A CANTO</v>
      </c>
      <c r="B1894" s="11"/>
      <c r="C1894" s="11"/>
      <c r="D1894" s="11" t="str">
        <f>IFERROR(__xludf.DUMMYFUNCTION("""COMPUTED_VALUE"""),"CIRURGIAO DENTISTA 40H")</f>
        <v>CIRURGIAO DENTISTA 40H</v>
      </c>
      <c r="E1894" s="11"/>
      <c r="F1894" s="11" t="str">
        <f>IFERROR(__xludf.DUMMYFUNCTION("""COMPUTED_VALUE"""),"SEDE DISTRITO SANITARIO IV")</f>
        <v>SEDE DISTRITO SANITARIO IV</v>
      </c>
      <c r="G1894" s="11" t="str">
        <f>IFERROR(__xludf.DUMMYFUNCTION("""COMPUTED_VALUE"""),"SEDE DISTRITO SANITARIO IV")</f>
        <v>SEDE DISTRITO SANITARIO IV</v>
      </c>
      <c r="H1894" s="11"/>
      <c r="I1894" s="11"/>
      <c r="J1894" s="11"/>
      <c r="K1894" s="11"/>
      <c r="L1894" s="11"/>
      <c r="M1894" s="11"/>
      <c r="N1894" s="11"/>
      <c r="O1894" s="11">
        <f>IFERROR(__xludf.DUMMYFUNCTION("""COMPUTED_VALUE"""),86879340415)</f>
        <v>86879340415</v>
      </c>
      <c r="P1894" s="11"/>
      <c r="Q1894" s="11"/>
      <c r="R1894" s="11"/>
      <c r="S1894" s="11"/>
      <c r="T1894" s="11"/>
      <c r="U1894" s="11"/>
      <c r="V1894" s="11"/>
      <c r="W1894" s="11"/>
      <c r="X1894" s="11"/>
      <c r="Y1894" s="11"/>
      <c r="Z1894" s="11"/>
    </row>
    <row r="1895" customHeight="1" spans="1:26">
      <c r="A1895" s="11" t="str">
        <f>IFERROR(__xludf.DUMMYFUNCTION("""COMPUTED_VALUE"""),"ROBERTA NATALIE DE A SANTOS")</f>
        <v>ROBERTA NATALIE DE A SANTOS</v>
      </c>
      <c r="B1895" s="11"/>
      <c r="C1895" s="11"/>
      <c r="D1895" s="11" t="str">
        <f>IFERROR(__xludf.DUMMYFUNCTION("""COMPUTED_VALUE"""),"CIRURGIAO DENTISTA 40H")</f>
        <v>CIRURGIAO DENTISTA 40H</v>
      </c>
      <c r="E1895" s="11"/>
      <c r="F1895" s="11" t="str">
        <f>IFERROR(__xludf.DUMMYFUNCTION("""COMPUTED_VALUE"""),"SEDE DISTRITO SANITARIO V")</f>
        <v>SEDE DISTRITO SANITARIO V</v>
      </c>
      <c r="G1895" s="11" t="str">
        <f>IFERROR(__xludf.DUMMYFUNCTION("""COMPUTED_VALUE"""),"SEDE DISTRITO SANITARIO V")</f>
        <v>SEDE DISTRITO SANITARIO V</v>
      </c>
      <c r="H1895" s="11"/>
      <c r="I1895" s="11"/>
      <c r="J1895" s="11"/>
      <c r="K1895" s="11"/>
      <c r="L1895" s="11"/>
      <c r="M1895" s="11"/>
      <c r="N1895" s="11"/>
      <c r="O1895" s="11">
        <f>IFERROR(__xludf.DUMMYFUNCTION("""COMPUTED_VALUE"""),5345959447)</f>
        <v>5345959447</v>
      </c>
      <c r="P1895" s="11"/>
      <c r="Q1895" s="11"/>
      <c r="R1895" s="11"/>
      <c r="S1895" s="11"/>
      <c r="T1895" s="11"/>
      <c r="U1895" s="11"/>
      <c r="V1895" s="11"/>
      <c r="W1895" s="11"/>
      <c r="X1895" s="11"/>
      <c r="Y1895" s="11"/>
      <c r="Z1895" s="11"/>
    </row>
    <row r="1896" customHeight="1" spans="1:26">
      <c r="A1896" s="11" t="str">
        <f>IFERROR(__xludf.DUMMYFUNCTION("""COMPUTED_VALUE"""),"ANA CLAUDIA ALVES E LUNA")</f>
        <v>ANA CLAUDIA ALVES E LUNA</v>
      </c>
      <c r="B1896" s="11"/>
      <c r="C1896" s="11"/>
      <c r="D1896" s="11" t="str">
        <f>IFERROR(__xludf.DUMMYFUNCTION("""COMPUTED_VALUE"""),"CIRURGIAO DENTISTA 40H")</f>
        <v>CIRURGIAO DENTISTA 40H</v>
      </c>
      <c r="E1896" s="11"/>
      <c r="F1896" s="11" t="str">
        <f>IFERROR(__xludf.DUMMYFUNCTION("""COMPUTED_VALUE"""),"SEDE DISTRITO SANITARIO II")</f>
        <v>SEDE DISTRITO SANITARIO II</v>
      </c>
      <c r="G1896" s="11" t="str">
        <f>IFERROR(__xludf.DUMMYFUNCTION("""COMPUTED_VALUE"""),"SEDE DISTRITO SANITARIO II")</f>
        <v>SEDE DISTRITO SANITARIO II</v>
      </c>
      <c r="H1896" s="11"/>
      <c r="I1896" s="11"/>
      <c r="J1896" s="11"/>
      <c r="K1896" s="11"/>
      <c r="L1896" s="11"/>
      <c r="M1896" s="11"/>
      <c r="N1896" s="11"/>
      <c r="O1896" s="11">
        <f>IFERROR(__xludf.DUMMYFUNCTION("""COMPUTED_VALUE"""),3812036460)</f>
        <v>3812036460</v>
      </c>
      <c r="P1896" s="11"/>
      <c r="Q1896" s="11"/>
      <c r="R1896" s="11"/>
      <c r="S1896" s="11"/>
      <c r="T1896" s="11"/>
      <c r="U1896" s="11"/>
      <c r="V1896" s="11"/>
      <c r="W1896" s="11"/>
      <c r="X1896" s="11"/>
      <c r="Y1896" s="11"/>
      <c r="Z1896" s="11"/>
    </row>
    <row r="1897" customHeight="1" spans="1:26">
      <c r="A1897" s="11" t="str">
        <f>IFERROR(__xludf.DUMMYFUNCTION("""COMPUTED_VALUE"""),"PATRICIA DE CARVALHO BEZERRA")</f>
        <v>PATRICIA DE CARVALHO BEZERRA</v>
      </c>
      <c r="B1897" s="11"/>
      <c r="C1897" s="11"/>
      <c r="D1897" s="11" t="str">
        <f>IFERROR(__xludf.DUMMYFUNCTION("""COMPUTED_VALUE"""),"CIRURGIAO DENTISTA 40H")</f>
        <v>CIRURGIAO DENTISTA 40H</v>
      </c>
      <c r="E1897" s="11"/>
      <c r="F1897" s="11" t="str">
        <f>IFERROR(__xludf.DUMMYFUNCTION("""COMPUTED_VALUE"""),"SEDE DISTRITO SANITARIO I")</f>
        <v>SEDE DISTRITO SANITARIO I</v>
      </c>
      <c r="G1897" s="11" t="str">
        <f>IFERROR(__xludf.DUMMYFUNCTION("""COMPUTED_VALUE"""),"SEDE DISTRITO SANITARIO I")</f>
        <v>SEDE DISTRITO SANITARIO I</v>
      </c>
      <c r="H1897" s="11"/>
      <c r="I1897" s="11"/>
      <c r="J1897" s="11"/>
      <c r="K1897" s="11"/>
      <c r="L1897" s="11"/>
      <c r="M1897" s="11"/>
      <c r="N1897" s="11"/>
      <c r="O1897" s="11">
        <f>IFERROR(__xludf.DUMMYFUNCTION("""COMPUTED_VALUE"""),2447174438)</f>
        <v>2447174438</v>
      </c>
      <c r="P1897" s="11"/>
      <c r="Q1897" s="11"/>
      <c r="R1897" s="11"/>
      <c r="S1897" s="11"/>
      <c r="T1897" s="11"/>
      <c r="U1897" s="11"/>
      <c r="V1897" s="11"/>
      <c r="W1897" s="11"/>
      <c r="X1897" s="11"/>
      <c r="Y1897" s="11"/>
      <c r="Z1897" s="11"/>
    </row>
    <row r="1898" customHeight="1" spans="1:26">
      <c r="A1898" s="11" t="str">
        <f>IFERROR(__xludf.DUMMYFUNCTION("""COMPUTED_VALUE"""),"SANDRA LUCIA VIEIRA DA PAIXAO")</f>
        <v>SANDRA LUCIA VIEIRA DA PAIXAO</v>
      </c>
      <c r="B1898" s="11"/>
      <c r="C1898" s="11"/>
      <c r="D1898" s="11" t="str">
        <f>IFERROR(__xludf.DUMMYFUNCTION("""COMPUTED_VALUE"""),"CIRURGIAO DENTISTA 40H")</f>
        <v>CIRURGIAO DENTISTA 40H</v>
      </c>
      <c r="E1898" s="11"/>
      <c r="F1898" s="11" t="str">
        <f>IFERROR(__xludf.DUMMYFUNCTION("""COMPUTED_VALUE"""),"SEDE DISTRITO SANITARIO VI")</f>
        <v>SEDE DISTRITO SANITARIO VI</v>
      </c>
      <c r="G1898" s="11" t="str">
        <f>IFERROR(__xludf.DUMMYFUNCTION("""COMPUTED_VALUE"""),"SEDE DISTRITO SANITARIO VI")</f>
        <v>SEDE DISTRITO SANITARIO VI</v>
      </c>
      <c r="H1898" s="11"/>
      <c r="I1898" s="11"/>
      <c r="J1898" s="11"/>
      <c r="K1898" s="11"/>
      <c r="L1898" s="11"/>
      <c r="M1898" s="11"/>
      <c r="N1898" s="11"/>
      <c r="O1898" s="11">
        <f>IFERROR(__xludf.DUMMYFUNCTION("""COMPUTED_VALUE"""),45590834449)</f>
        <v>45590834449</v>
      </c>
      <c r="P1898" s="11"/>
      <c r="Q1898" s="11"/>
      <c r="R1898" s="11"/>
      <c r="S1898" s="11"/>
      <c r="T1898" s="11"/>
      <c r="U1898" s="11"/>
      <c r="V1898" s="11"/>
      <c r="W1898" s="11"/>
      <c r="X1898" s="11"/>
      <c r="Y1898" s="11"/>
      <c r="Z1898" s="11"/>
    </row>
    <row r="1899" customHeight="1" spans="1:26">
      <c r="A1899" s="11" t="str">
        <f>IFERROR(__xludf.DUMMYFUNCTION("""COMPUTED_VALUE"""),"CRISTIANE ARAUJO SIMOES")</f>
        <v>CRISTIANE ARAUJO SIMOES</v>
      </c>
      <c r="B1899" s="11"/>
      <c r="C1899" s="11"/>
      <c r="D1899" s="11" t="str">
        <f>IFERROR(__xludf.DUMMYFUNCTION("""COMPUTED_VALUE"""),"CIRURGIAO DENTISTA 20H")</f>
        <v>CIRURGIAO DENTISTA 20H</v>
      </c>
      <c r="E1899" s="11"/>
      <c r="F1899" s="11" t="str">
        <f>IFERROR(__xludf.DUMMYFUNCTION("""COMPUTED_VALUE"""),"SEDE DISTRITO SANITARIO III")</f>
        <v>SEDE DISTRITO SANITARIO III</v>
      </c>
      <c r="G1899" s="11" t="str">
        <f>IFERROR(__xludf.DUMMYFUNCTION("""COMPUTED_VALUE"""),"SEDE DISTRITO SANITARIO III")</f>
        <v>SEDE DISTRITO SANITARIO III</v>
      </c>
      <c r="H1899" s="11"/>
      <c r="I1899" s="11"/>
      <c r="J1899" s="11"/>
      <c r="K1899" s="11"/>
      <c r="L1899" s="11"/>
      <c r="M1899" s="11"/>
      <c r="N1899" s="11"/>
      <c r="O1899" s="11">
        <f>IFERROR(__xludf.DUMMYFUNCTION("""COMPUTED_VALUE"""),4922192492)</f>
        <v>4922192492</v>
      </c>
      <c r="P1899" s="11"/>
      <c r="Q1899" s="11"/>
      <c r="R1899" s="11"/>
      <c r="S1899" s="11"/>
      <c r="T1899" s="11"/>
      <c r="U1899" s="11"/>
      <c r="V1899" s="11"/>
      <c r="W1899" s="11"/>
      <c r="X1899" s="11"/>
      <c r="Y1899" s="11"/>
      <c r="Z1899" s="11"/>
    </row>
    <row r="1900" customHeight="1" spans="1:26">
      <c r="A1900" s="11" t="str">
        <f>IFERROR(__xludf.DUMMYFUNCTION("""COMPUTED_VALUE"""),"LUCAS ALEXANDRE DE M SANTOS")</f>
        <v>LUCAS ALEXANDRE DE M SANTOS</v>
      </c>
      <c r="B1900" s="11"/>
      <c r="C1900" s="11"/>
      <c r="D1900" s="11" t="str">
        <f>IFERROR(__xludf.DUMMYFUNCTION("""COMPUTED_VALUE"""),"CIRURGIAO DENTISTA 20H")</f>
        <v>CIRURGIAO DENTISTA 20H</v>
      </c>
      <c r="E1900" s="11"/>
      <c r="F1900" s="11" t="str">
        <f>IFERROR(__xludf.DUMMYFUNCTION("""COMPUTED_VALUE"""),"GERENCIA GERAL DE REGULACAO EM SAUDE")</f>
        <v>GERENCIA GERAL DE REGULACAO EM SAUDE</v>
      </c>
      <c r="G1900" s="11" t="str">
        <f>IFERROR(__xludf.DUMMYFUNCTION("""COMPUTED_VALUE"""),"GERENCIA GERAL DE REGULACAO EM SAUDE")</f>
        <v>GERENCIA GERAL DE REGULACAO EM SAUDE</v>
      </c>
      <c r="H1900" s="11"/>
      <c r="I1900" s="11"/>
      <c r="J1900" s="11"/>
      <c r="K1900" s="11"/>
      <c r="L1900" s="11"/>
      <c r="M1900" s="11"/>
      <c r="N1900" s="11"/>
      <c r="O1900" s="11">
        <f>IFERROR(__xludf.DUMMYFUNCTION("""COMPUTED_VALUE"""),2957944456)</f>
        <v>2957944456</v>
      </c>
      <c r="P1900" s="11"/>
      <c r="Q1900" s="11"/>
      <c r="R1900" s="11"/>
      <c r="S1900" s="11"/>
      <c r="T1900" s="11"/>
      <c r="U1900" s="11"/>
      <c r="V1900" s="11"/>
      <c r="W1900" s="11"/>
      <c r="X1900" s="11"/>
      <c r="Y1900" s="11"/>
      <c r="Z1900" s="11"/>
    </row>
    <row r="1901" customHeight="1" spans="1:26">
      <c r="A1901" s="11" t="str">
        <f>IFERROR(__xludf.DUMMYFUNCTION("""COMPUTED_VALUE"""),"REBECA FERRAZ DE MENEZES")</f>
        <v>REBECA FERRAZ DE MENEZES</v>
      </c>
      <c r="B1901" s="11"/>
      <c r="C1901" s="11"/>
      <c r="D1901" s="11" t="str">
        <f>IFERROR(__xludf.DUMMYFUNCTION("""COMPUTED_VALUE"""),"CIRURGIAO DENTISTA 20H")</f>
        <v>CIRURGIAO DENTISTA 20H</v>
      </c>
      <c r="E1901" s="11"/>
      <c r="F1901" s="11" t="str">
        <f>IFERROR(__xludf.DUMMYFUNCTION("""COMPUTED_VALUE"""),"LICENÇA SEM VENCIMENTOS")</f>
        <v>LICENÇA SEM VENCIMENTOS</v>
      </c>
      <c r="G1901" s="11" t="str">
        <f>IFERROR(__xludf.DUMMYFUNCTION("""COMPUTED_VALUE"""),"LICENÇA SEM VENCIMENTOS")</f>
        <v>LICENÇA SEM VENCIMENTOS</v>
      </c>
      <c r="H1901" s="11"/>
      <c r="I1901" s="11"/>
      <c r="J1901" s="11"/>
      <c r="K1901" s="11"/>
      <c r="L1901" s="11"/>
      <c r="M1901" s="11"/>
      <c r="N1901" s="11"/>
      <c r="O1901" s="11">
        <f>IFERROR(__xludf.DUMMYFUNCTION("""COMPUTED_VALUE"""),6849114425)</f>
        <v>6849114425</v>
      </c>
      <c r="P1901" s="11"/>
      <c r="Q1901" s="11"/>
      <c r="R1901" s="11"/>
      <c r="S1901" s="11"/>
      <c r="T1901" s="11"/>
      <c r="U1901" s="11"/>
      <c r="V1901" s="11"/>
      <c r="W1901" s="11"/>
      <c r="X1901" s="11"/>
      <c r="Y1901" s="11"/>
      <c r="Z1901" s="11"/>
    </row>
    <row r="1902" customHeight="1" spans="1:26">
      <c r="A1902" s="11" t="str">
        <f>IFERROR(__xludf.DUMMYFUNCTION("""COMPUTED_VALUE"""),"PAULO GUILHERME O C GONDIM")</f>
        <v>PAULO GUILHERME O C GONDIM</v>
      </c>
      <c r="B1902" s="11"/>
      <c r="C1902" s="11"/>
      <c r="D1902" s="11" t="str">
        <f>IFERROR(__xludf.DUMMYFUNCTION("""COMPUTED_VALUE"""),"CIRURGIAO DENTISTA 20H")</f>
        <v>CIRURGIAO DENTISTA 20H</v>
      </c>
      <c r="E1902" s="11"/>
      <c r="F1902" s="11" t="str">
        <f>IFERROR(__xludf.DUMMYFUNCTION("""COMPUTED_VALUE"""),"US_169 POLICLINICA AMAURY COUTINHO")</f>
        <v>US_169 POLICLINICA AMAURY COUTINHO</v>
      </c>
      <c r="G1902" s="11" t="str">
        <f>IFERROR(__xludf.DUMMYFUNCTION("""COMPUTED_VALUE"""),"US_169 POLICLINICA AMAURY COUTINHO")</f>
        <v>US_169 POLICLINICA AMAURY COUTINHO</v>
      </c>
      <c r="H1902" s="11"/>
      <c r="I1902" s="11"/>
      <c r="J1902" s="11"/>
      <c r="K1902" s="11"/>
      <c r="L1902" s="11"/>
      <c r="M1902" s="11"/>
      <c r="N1902" s="11"/>
      <c r="O1902" s="11">
        <f>IFERROR(__xludf.DUMMYFUNCTION("""COMPUTED_VALUE"""),31130097404)</f>
        <v>31130097404</v>
      </c>
      <c r="P1902" s="11"/>
      <c r="Q1902" s="11"/>
      <c r="R1902" s="11"/>
      <c r="S1902" s="11"/>
      <c r="T1902" s="11"/>
      <c r="U1902" s="11"/>
      <c r="V1902" s="11"/>
      <c r="W1902" s="11"/>
      <c r="X1902" s="11"/>
      <c r="Y1902" s="11"/>
      <c r="Z1902" s="11"/>
    </row>
    <row r="1903" customHeight="1" spans="1:26">
      <c r="A1903" s="11" t="str">
        <f>IFERROR(__xludf.DUMMYFUNCTION("""COMPUTED_VALUE"""),"ISANILDE FERREIRA CRUZ")</f>
        <v>ISANILDE FERREIRA CRUZ</v>
      </c>
      <c r="B1903" s="11"/>
      <c r="C1903" s="11"/>
      <c r="D1903" s="11" t="str">
        <f>IFERROR(__xludf.DUMMYFUNCTION("""COMPUTED_VALUE"""),"CIRURGIAO DENTISTA 20H")</f>
        <v>CIRURGIAO DENTISTA 20H</v>
      </c>
      <c r="E1903" s="11"/>
      <c r="F1903" s="11" t="str">
        <f>IFERROR(__xludf.DUMMYFUNCTION("""COMPUTED_VALUE"""),"US_169 POLICLINICA AMAURY COUTINHO")</f>
        <v>US_169 POLICLINICA AMAURY COUTINHO</v>
      </c>
      <c r="G1903" s="11" t="str">
        <f>IFERROR(__xludf.DUMMYFUNCTION("""COMPUTED_VALUE"""),"US_169 POLICLINICA AMAURY COUTINHO")</f>
        <v>US_169 POLICLINICA AMAURY COUTINHO</v>
      </c>
      <c r="H1903" s="11"/>
      <c r="I1903" s="11"/>
      <c r="J1903" s="11"/>
      <c r="K1903" s="11"/>
      <c r="L1903" s="11"/>
      <c r="M1903" s="11"/>
      <c r="N1903" s="11"/>
      <c r="O1903" s="11">
        <f>IFERROR(__xludf.DUMMYFUNCTION("""COMPUTED_VALUE"""),12418161404)</f>
        <v>12418161404</v>
      </c>
      <c r="P1903" s="11"/>
      <c r="Q1903" s="11"/>
      <c r="R1903" s="11"/>
      <c r="S1903" s="11"/>
      <c r="T1903" s="11"/>
      <c r="U1903" s="11"/>
      <c r="V1903" s="11"/>
      <c r="W1903" s="11"/>
      <c r="X1903" s="11"/>
      <c r="Y1903" s="11"/>
      <c r="Z1903" s="11"/>
    </row>
    <row r="1904" customHeight="1" spans="1:26">
      <c r="A1904" s="11" t="str">
        <f>IFERROR(__xludf.DUMMYFUNCTION("""COMPUTED_VALUE"""),"ALFREDO ROMULO ARAUJO PEREIRA")</f>
        <v>ALFREDO ROMULO ARAUJO PEREIRA</v>
      </c>
      <c r="B1904" s="11"/>
      <c r="C1904" s="11"/>
      <c r="D1904" s="11" t="str">
        <f>IFERROR(__xludf.DUMMYFUNCTION("""COMPUTED_VALUE"""),"CIRURGIAO DENTISTA 20H")</f>
        <v>CIRURGIAO DENTISTA 20H</v>
      </c>
      <c r="E1904" s="11"/>
      <c r="F1904" s="11" t="str">
        <f>IFERROR(__xludf.DUMMYFUNCTION("""COMPUTED_VALUE"""),"US_159 POLICLINICA AGAMENON MAGALHAES")</f>
        <v>US_159 POLICLINICA AGAMENON MAGALHAES</v>
      </c>
      <c r="G1904" s="11" t="str">
        <f>IFERROR(__xludf.DUMMYFUNCTION("""COMPUTED_VALUE"""),"US_159 POLICLINICA AGAMENON MAGALHAES")</f>
        <v>US_159 POLICLINICA AGAMENON MAGALHAES</v>
      </c>
      <c r="H1904" s="11"/>
      <c r="I1904" s="11"/>
      <c r="J1904" s="11"/>
      <c r="K1904" s="11"/>
      <c r="L1904" s="11"/>
      <c r="M1904" s="11"/>
      <c r="N1904" s="11"/>
      <c r="O1904" s="11">
        <f>IFERROR(__xludf.DUMMYFUNCTION("""COMPUTED_VALUE"""),22504966415)</f>
        <v>22504966415</v>
      </c>
      <c r="P1904" s="11"/>
      <c r="Q1904" s="11"/>
      <c r="R1904" s="11"/>
      <c r="S1904" s="11"/>
      <c r="T1904" s="11"/>
      <c r="U1904" s="11"/>
      <c r="V1904" s="11"/>
      <c r="W1904" s="11"/>
      <c r="X1904" s="11"/>
      <c r="Y1904" s="11"/>
      <c r="Z1904" s="11"/>
    </row>
    <row r="1905" customHeight="1" spans="1:26">
      <c r="A1905" s="11" t="str">
        <f>IFERROR(__xludf.DUMMYFUNCTION("""COMPUTED_VALUE"""),"CLAUDIO MANUEL CANTO P DE LUNA")</f>
        <v>CLAUDIO MANUEL CANTO P DE LUNA</v>
      </c>
      <c r="B1905" s="11"/>
      <c r="C1905" s="11"/>
      <c r="D1905" s="11" t="str">
        <f>IFERROR(__xludf.DUMMYFUNCTION("""COMPUTED_VALUE"""),"SERV DE ORGAO MUNICIPALIZ RP")</f>
        <v>SERV DE ORGAO MUNICIPALIZ RP</v>
      </c>
      <c r="E1905" s="11"/>
      <c r="F1905" s="11" t="str">
        <f>IFERROR(__xludf.DUMMYFUNCTION("""COMPUTED_VALUE"""),"US_169 POLICLINICA AMAURY COUTINHO")</f>
        <v>US_169 POLICLINICA AMAURY COUTINHO</v>
      </c>
      <c r="G1905" s="11" t="str">
        <f>IFERROR(__xludf.DUMMYFUNCTION("""COMPUTED_VALUE"""),"US_169 POLICLINICA AMAURY COUTINHO")</f>
        <v>US_169 POLICLINICA AMAURY COUTINHO</v>
      </c>
      <c r="H1905" s="11"/>
      <c r="I1905" s="11"/>
      <c r="J1905" s="11"/>
      <c r="K1905" s="11"/>
      <c r="L1905" s="11"/>
      <c r="M1905" s="11"/>
      <c r="N1905" s="11"/>
      <c r="O1905" s="11">
        <f>IFERROR(__xludf.DUMMYFUNCTION("""COMPUTED_VALUE"""),11441194487)</f>
        <v>11441194487</v>
      </c>
      <c r="P1905" s="11"/>
      <c r="Q1905" s="11"/>
      <c r="R1905" s="11"/>
      <c r="S1905" s="11"/>
      <c r="T1905" s="11"/>
      <c r="U1905" s="11"/>
      <c r="V1905" s="11"/>
      <c r="W1905" s="11"/>
      <c r="X1905" s="11"/>
      <c r="Y1905" s="11"/>
      <c r="Z1905" s="11"/>
    </row>
    <row r="1906" customHeight="1" spans="1:26">
      <c r="A1906" s="11" t="str">
        <f>IFERROR(__xludf.DUMMYFUNCTION("""COMPUTED_VALUE"""),"CLEUMA CLIVIA M FERREIRA")</f>
        <v>CLEUMA CLIVIA M FERREIRA</v>
      </c>
      <c r="B1906" s="11"/>
      <c r="C1906" s="11"/>
      <c r="D1906" s="11" t="str">
        <f>IFERROR(__xludf.DUMMYFUNCTION("""COMPUTED_VALUE"""),"SERV DE ORGAO MUNICIPALIZ RP")</f>
        <v>SERV DE ORGAO MUNICIPALIZ RP</v>
      </c>
      <c r="E1906" s="11"/>
      <c r="F1906" s="11" t="str">
        <f>IFERROR(__xludf.DUMMYFUNCTION("""COMPUTED_VALUE"""),"US_159 POLICLINICA AGAMENON MAGALHAES")</f>
        <v>US_159 POLICLINICA AGAMENON MAGALHAES</v>
      </c>
      <c r="G1906" s="11" t="str">
        <f>IFERROR(__xludf.DUMMYFUNCTION("""COMPUTED_VALUE"""),"US_159 POLICLINICA AGAMENON MAGALHAES")</f>
        <v>US_159 POLICLINICA AGAMENON MAGALHAES</v>
      </c>
      <c r="H1906" s="11"/>
      <c r="I1906" s="11"/>
      <c r="J1906" s="11"/>
      <c r="K1906" s="11"/>
      <c r="L1906" s="11"/>
      <c r="M1906" s="11"/>
      <c r="N1906" s="11"/>
      <c r="O1906" s="11">
        <f>IFERROR(__xludf.DUMMYFUNCTION("""COMPUTED_VALUE"""),7831340459)</f>
        <v>7831340459</v>
      </c>
      <c r="P1906" s="11"/>
      <c r="Q1906" s="11"/>
      <c r="R1906" s="11"/>
      <c r="S1906" s="11"/>
      <c r="T1906" s="11"/>
      <c r="U1906" s="11"/>
      <c r="V1906" s="11"/>
      <c r="W1906" s="11"/>
      <c r="X1906" s="11"/>
      <c r="Y1906" s="11"/>
      <c r="Z1906" s="11"/>
    </row>
    <row r="1907" customHeight="1" spans="1:26">
      <c r="A1907" s="11" t="str">
        <f>IFERROR(__xludf.DUMMYFUNCTION("""COMPUTED_VALUE"""),"LILIAN TORRES A BARROS")</f>
        <v>LILIAN TORRES A BARROS</v>
      </c>
      <c r="B1907" s="11"/>
      <c r="C1907" s="11"/>
      <c r="D1907" s="11" t="str">
        <f>IFERROR(__xludf.DUMMYFUNCTION("""COMPUTED_VALUE"""),"SERV OUT ORGAOS - REG PROPRIO")</f>
        <v>SERV OUT ORGAOS - REG PROPRIO</v>
      </c>
      <c r="E1907" s="11"/>
      <c r="F1907" s="11" t="str">
        <f>IFERROR(__xludf.DUMMYFUNCTION("""COMPUTED_VALUE"""),"US_159 POLICLINICA AGAMENON MAGALHAES")</f>
        <v>US_159 POLICLINICA AGAMENON MAGALHAES</v>
      </c>
      <c r="G1907" s="11" t="str">
        <f>IFERROR(__xludf.DUMMYFUNCTION("""COMPUTED_VALUE"""),"US_159 POLICLINICA AGAMENON MAGALHAES")</f>
        <v>US_159 POLICLINICA AGAMENON MAGALHAES</v>
      </c>
      <c r="H1907" s="11"/>
      <c r="I1907" s="11"/>
      <c r="J1907" s="11"/>
      <c r="K1907" s="11"/>
      <c r="L1907" s="11"/>
      <c r="M1907" s="11"/>
      <c r="N1907" s="11"/>
      <c r="O1907" s="11">
        <f>IFERROR(__xludf.DUMMYFUNCTION("""COMPUTED_VALUE"""),31369944420)</f>
        <v>31369944420</v>
      </c>
      <c r="P1907" s="11"/>
      <c r="Q1907" s="11"/>
      <c r="R1907" s="11"/>
      <c r="S1907" s="11"/>
      <c r="T1907" s="11"/>
      <c r="U1907" s="11"/>
      <c r="V1907" s="11"/>
      <c r="W1907" s="11"/>
      <c r="X1907" s="11"/>
      <c r="Y1907" s="11"/>
      <c r="Z1907" s="11"/>
    </row>
    <row r="1908" customHeight="1" spans="1:26">
      <c r="A1908" s="11" t="str">
        <f>IFERROR(__xludf.DUMMYFUNCTION("""COMPUTED_VALUE"""),"LUIZ FELIX DOS SANTOS")</f>
        <v>LUIZ FELIX DOS SANTOS</v>
      </c>
      <c r="B1908" s="11"/>
      <c r="C1908" s="11"/>
      <c r="D1908" s="11" t="str">
        <f>IFERROR(__xludf.DUMMYFUNCTION("""COMPUTED_VALUE"""),"SERV DE ORGAO MUNICIPALIZ RP")</f>
        <v>SERV DE ORGAO MUNICIPALIZ RP</v>
      </c>
      <c r="E1908" s="11"/>
      <c r="F1908" s="11" t="str">
        <f>IFERROR(__xludf.DUMMYFUNCTION("""COMPUTED_VALUE"""),"US_159 POLICLINICA AGAMENON MAGALHAES")</f>
        <v>US_159 POLICLINICA AGAMENON MAGALHAES</v>
      </c>
      <c r="G1908" s="11" t="str">
        <f>IFERROR(__xludf.DUMMYFUNCTION("""COMPUTED_VALUE"""),"US_159 POLICLINICA AGAMENON MAGALHAES")</f>
        <v>US_159 POLICLINICA AGAMENON MAGALHAES</v>
      </c>
      <c r="H1908" s="11"/>
      <c r="I1908" s="11"/>
      <c r="J1908" s="11"/>
      <c r="K1908" s="11"/>
      <c r="L1908" s="11"/>
      <c r="M1908" s="11"/>
      <c r="N1908" s="11"/>
      <c r="O1908" s="11">
        <f>IFERROR(__xludf.DUMMYFUNCTION("""COMPUTED_VALUE"""),8536740434)</f>
        <v>8536740434</v>
      </c>
      <c r="P1908" s="11"/>
      <c r="Q1908" s="11"/>
      <c r="R1908" s="11"/>
      <c r="S1908" s="11"/>
      <c r="T1908" s="11"/>
      <c r="U1908" s="11"/>
      <c r="V1908" s="11"/>
      <c r="W1908" s="11"/>
      <c r="X1908" s="11"/>
      <c r="Y1908" s="11"/>
      <c r="Z1908" s="11"/>
    </row>
    <row r="1909" customHeight="1" spans="1:26">
      <c r="A1909" s="11" t="str">
        <f>IFERROR(__xludf.DUMMYFUNCTION("""COMPUTED_VALUE"""),"MARIA LUCIA SANTOS RAMOS")</f>
        <v>MARIA LUCIA SANTOS RAMOS</v>
      </c>
      <c r="B1909" s="11"/>
      <c r="C1909" s="11"/>
      <c r="D1909" s="11" t="str">
        <f>IFERROR(__xludf.DUMMYFUNCTION("""COMPUTED_VALUE"""),"SERV DE ORGAO MUNICIPALIZ RP")</f>
        <v>SERV DE ORGAO MUNICIPALIZ RP</v>
      </c>
      <c r="E1909" s="11"/>
      <c r="F1909" s="11" t="str">
        <f>IFERROR(__xludf.DUMMYFUNCTION("""COMPUTED_VALUE"""),"US_159 POLICLINICA AGAMENON MAGALHAES")</f>
        <v>US_159 POLICLINICA AGAMENON MAGALHAES</v>
      </c>
      <c r="G1909" s="11" t="str">
        <f>IFERROR(__xludf.DUMMYFUNCTION("""COMPUTED_VALUE"""),"US_159 POLICLINICA AGAMENON MAGALHAES")</f>
        <v>US_159 POLICLINICA AGAMENON MAGALHAES</v>
      </c>
      <c r="H1909" s="11"/>
      <c r="I1909" s="11"/>
      <c r="J1909" s="11"/>
      <c r="K1909" s="11"/>
      <c r="L1909" s="11"/>
      <c r="M1909" s="11"/>
      <c r="N1909" s="11"/>
      <c r="O1909" s="11">
        <f>IFERROR(__xludf.DUMMYFUNCTION("""COMPUTED_VALUE"""),59242540463)</f>
        <v>59242540463</v>
      </c>
      <c r="P1909" s="11"/>
      <c r="Q1909" s="11"/>
      <c r="R1909" s="11"/>
      <c r="S1909" s="11"/>
      <c r="T1909" s="11"/>
      <c r="U1909" s="11"/>
      <c r="V1909" s="11"/>
      <c r="W1909" s="11"/>
      <c r="X1909" s="11"/>
      <c r="Y1909" s="11"/>
      <c r="Z1909" s="11"/>
    </row>
    <row r="1910" customHeight="1" spans="1:26">
      <c r="A1910" s="11" t="str">
        <f>IFERROR(__xludf.DUMMYFUNCTION("""COMPUTED_VALUE"""),"SUZANA A GALVAO")</f>
        <v>SUZANA A GALVAO</v>
      </c>
      <c r="B1910" s="11"/>
      <c r="C1910" s="11"/>
      <c r="D1910" s="11" t="str">
        <f>IFERROR(__xludf.DUMMYFUNCTION("""COMPUTED_VALUE"""),"SERV DE ORGAO MUNICIPALIZ RP")</f>
        <v>SERV DE ORGAO MUNICIPALIZ RP</v>
      </c>
      <c r="E1910" s="11"/>
      <c r="F1910" s="11" t="str">
        <f>IFERROR(__xludf.DUMMYFUNCTION("""COMPUTED_VALUE"""),"US_159 POLICLINICA AGAMENON MAGALHAES")</f>
        <v>US_159 POLICLINICA AGAMENON MAGALHAES</v>
      </c>
      <c r="G1910" s="11" t="str">
        <f>IFERROR(__xludf.DUMMYFUNCTION("""COMPUTED_VALUE"""),"US_159 POLICLINICA AGAMENON MAGALHAES")</f>
        <v>US_159 POLICLINICA AGAMENON MAGALHAES</v>
      </c>
      <c r="H1910" s="11"/>
      <c r="I1910" s="11"/>
      <c r="J1910" s="11"/>
      <c r="K1910" s="11"/>
      <c r="L1910" s="11"/>
      <c r="M1910" s="11"/>
      <c r="N1910" s="11"/>
      <c r="O1910" s="11">
        <f>IFERROR(__xludf.DUMMYFUNCTION("""COMPUTED_VALUE"""),19572468472)</f>
        <v>19572468472</v>
      </c>
      <c r="P1910" s="11"/>
      <c r="Q1910" s="11"/>
      <c r="R1910" s="11"/>
      <c r="S1910" s="11"/>
      <c r="T1910" s="11"/>
      <c r="U1910" s="11"/>
      <c r="V1910" s="11"/>
      <c r="W1910" s="11"/>
      <c r="X1910" s="11"/>
      <c r="Y1910" s="11"/>
      <c r="Z1910" s="11"/>
    </row>
    <row r="1911" customHeight="1" spans="1:26">
      <c r="A1911" s="11" t="str">
        <f>IFERROR(__xludf.DUMMYFUNCTION("""COMPUTED_VALUE"""),"MONICA MARIA M DOS R MARQUES")</f>
        <v>MONICA MARIA M DOS R MARQUES</v>
      </c>
      <c r="B1911" s="11"/>
      <c r="C1911" s="11"/>
      <c r="D1911" s="11" t="str">
        <f>IFERROR(__xludf.DUMMYFUNCTION("""COMPUTED_VALUE"""),"CIRURGIAO DENTISTA 20H")</f>
        <v>CIRURGIAO DENTISTA 20H</v>
      </c>
      <c r="E1911" s="11"/>
      <c r="F1911" s="11" t="str">
        <f>IFERROR(__xludf.DUMMYFUNCTION("""COMPUTED_VALUE"""),"US_159 POLICLINICA AGAMENON MAGALHAES")</f>
        <v>US_159 POLICLINICA AGAMENON MAGALHAES</v>
      </c>
      <c r="G1911" s="11" t="str">
        <f>IFERROR(__xludf.DUMMYFUNCTION("""COMPUTED_VALUE"""),"US_159 POLICLINICA AGAMENON MAGALHAES")</f>
        <v>US_159 POLICLINICA AGAMENON MAGALHAES</v>
      </c>
      <c r="H1911" s="11"/>
      <c r="I1911" s="11"/>
      <c r="J1911" s="11"/>
      <c r="K1911" s="11"/>
      <c r="L1911" s="11"/>
      <c r="M1911" s="11"/>
      <c r="N1911" s="11"/>
      <c r="O1911" s="11">
        <f>IFERROR(__xludf.DUMMYFUNCTION("""COMPUTED_VALUE"""),55142508653)</f>
        <v>55142508653</v>
      </c>
      <c r="P1911" s="11"/>
      <c r="Q1911" s="11"/>
      <c r="R1911" s="11"/>
      <c r="S1911" s="11"/>
      <c r="T1911" s="11"/>
      <c r="U1911" s="11"/>
      <c r="V1911" s="11"/>
      <c r="W1911" s="11"/>
      <c r="X1911" s="11"/>
      <c r="Y1911" s="11"/>
      <c r="Z1911" s="11"/>
    </row>
    <row r="1912" customHeight="1" spans="1:26">
      <c r="A1912" s="11" t="str">
        <f>IFERROR(__xludf.DUMMYFUNCTION("""COMPUTED_VALUE"""),"JOSE FERNANDO B DA SILVA FILHO")</f>
        <v>JOSE FERNANDO B DA SILVA FILHO</v>
      </c>
      <c r="B1912" s="11"/>
      <c r="C1912" s="11"/>
      <c r="D1912" s="11" t="str">
        <f>IFERROR(__xludf.DUMMYFUNCTION("""COMPUTED_VALUE"""),"CIRURGIAO DENTISTA 20H")</f>
        <v>CIRURGIAO DENTISTA 20H</v>
      </c>
      <c r="E1912" s="11"/>
      <c r="F1912" s="11" t="str">
        <f>IFERROR(__xludf.DUMMYFUNCTION("""COMPUTED_VALUE"""),"US_169 POLICLINICA AMAURY COUTINHO")</f>
        <v>US_169 POLICLINICA AMAURY COUTINHO</v>
      </c>
      <c r="G1912" s="11" t="str">
        <f>IFERROR(__xludf.DUMMYFUNCTION("""COMPUTED_VALUE"""),"US_169 POLICLINICA AMAURY COUTINHO")</f>
        <v>US_169 POLICLINICA AMAURY COUTINHO</v>
      </c>
      <c r="H1912" s="11"/>
      <c r="I1912" s="11"/>
      <c r="J1912" s="11"/>
      <c r="K1912" s="11"/>
      <c r="L1912" s="11"/>
      <c r="M1912" s="11"/>
      <c r="N1912" s="11"/>
      <c r="O1912" s="11">
        <f>IFERROR(__xludf.DUMMYFUNCTION("""COMPUTED_VALUE"""),42901707491)</f>
        <v>42901707491</v>
      </c>
      <c r="P1912" s="11"/>
      <c r="Q1912" s="11"/>
      <c r="R1912" s="11"/>
      <c r="S1912" s="11"/>
      <c r="T1912" s="11"/>
      <c r="U1912" s="11"/>
      <c r="V1912" s="11"/>
      <c r="W1912" s="11"/>
      <c r="X1912" s="11"/>
      <c r="Y1912" s="11"/>
      <c r="Z1912" s="11"/>
    </row>
    <row r="1913" customHeight="1" spans="1:26">
      <c r="A1913" s="11" t="str">
        <f>IFERROR(__xludf.DUMMYFUNCTION("""COMPUTED_VALUE"""),"PATRICIA DE OLIVEIRA B PORTO")</f>
        <v>PATRICIA DE OLIVEIRA B PORTO</v>
      </c>
      <c r="B1913" s="11"/>
      <c r="C1913" s="11"/>
      <c r="D1913" s="11" t="str">
        <f>IFERROR(__xludf.DUMMYFUNCTION("""COMPUTED_VALUE"""),"CIRURGIAO DENTISTA 20H")</f>
        <v>CIRURGIAO DENTISTA 20H</v>
      </c>
      <c r="E1913" s="11"/>
      <c r="F1913" s="11" t="str">
        <f>IFERROR(__xludf.DUMMYFUNCTION("""COMPUTED_VALUE"""),"US_159 POLICLINICA AGAMENON MAGALHAES")</f>
        <v>US_159 POLICLINICA AGAMENON MAGALHAES</v>
      </c>
      <c r="G1913" s="11" t="str">
        <f>IFERROR(__xludf.DUMMYFUNCTION("""COMPUTED_VALUE"""),"US_159 POLICLINICA AGAMENON MAGALHAES")</f>
        <v>US_159 POLICLINICA AGAMENON MAGALHAES</v>
      </c>
      <c r="H1913" s="11"/>
      <c r="I1913" s="11"/>
      <c r="J1913" s="11"/>
      <c r="K1913" s="11"/>
      <c r="L1913" s="11"/>
      <c r="M1913" s="11"/>
      <c r="N1913" s="11"/>
      <c r="O1913" s="11">
        <f>IFERROR(__xludf.DUMMYFUNCTION("""COMPUTED_VALUE"""),95034838400)</f>
        <v>95034838400</v>
      </c>
      <c r="P1913" s="11"/>
      <c r="Q1913" s="11"/>
      <c r="R1913" s="11"/>
      <c r="S1913" s="11"/>
      <c r="T1913" s="11"/>
      <c r="U1913" s="11"/>
      <c r="V1913" s="11"/>
      <c r="W1913" s="11"/>
      <c r="X1913" s="11"/>
      <c r="Y1913" s="11"/>
      <c r="Z1913" s="11"/>
    </row>
    <row r="1914" customHeight="1" spans="1:26">
      <c r="A1914" s="11" t="str">
        <f>IFERROR(__xludf.DUMMYFUNCTION("""COMPUTED_VALUE"""),"ARTUR C DE ALBUQUERQUE")</f>
        <v>ARTUR C DE ALBUQUERQUE</v>
      </c>
      <c r="B1914" s="11"/>
      <c r="C1914" s="11"/>
      <c r="D1914" s="11" t="str">
        <f>IFERROR(__xludf.DUMMYFUNCTION("""COMPUTED_VALUE"""),"CIRURGIAO DENTISTA 20H")</f>
        <v>CIRURGIAO DENTISTA 20H</v>
      </c>
      <c r="E1914" s="11"/>
      <c r="F1914" s="11" t="str">
        <f>IFERROR(__xludf.DUMMYFUNCTION("""COMPUTED_VALUE"""),"US_159 POLICLINICA AGAMENON MAGALHAES")</f>
        <v>US_159 POLICLINICA AGAMENON MAGALHAES</v>
      </c>
      <c r="G1914" s="11" t="str">
        <f>IFERROR(__xludf.DUMMYFUNCTION("""COMPUTED_VALUE"""),"US_159 POLICLINICA AGAMENON MAGALHAES")</f>
        <v>US_159 POLICLINICA AGAMENON MAGALHAES</v>
      </c>
      <c r="H1914" s="11"/>
      <c r="I1914" s="11"/>
      <c r="J1914" s="11"/>
      <c r="K1914" s="11"/>
      <c r="L1914" s="11"/>
      <c r="M1914" s="11"/>
      <c r="N1914" s="11"/>
      <c r="O1914" s="11">
        <f>IFERROR(__xludf.DUMMYFUNCTION("""COMPUTED_VALUE"""),19220898420)</f>
        <v>19220898420</v>
      </c>
      <c r="P1914" s="11"/>
      <c r="Q1914" s="11"/>
      <c r="R1914" s="11"/>
      <c r="S1914" s="11"/>
      <c r="T1914" s="11"/>
      <c r="U1914" s="11"/>
      <c r="V1914" s="11"/>
      <c r="W1914" s="11"/>
      <c r="X1914" s="11"/>
      <c r="Y1914" s="11"/>
      <c r="Z1914" s="11"/>
    </row>
    <row r="1915" customHeight="1" spans="1:26">
      <c r="A1915" s="11" t="str">
        <f>IFERROR(__xludf.DUMMYFUNCTION("""COMPUTED_VALUE"""),"FERNANDO ANTONIO FREITAS LINS")</f>
        <v>FERNANDO ANTONIO FREITAS LINS</v>
      </c>
      <c r="B1915" s="11"/>
      <c r="C1915" s="11"/>
      <c r="D1915" s="11" t="str">
        <f>IFERROR(__xludf.DUMMYFUNCTION("""COMPUTED_VALUE"""),"SERV DE ORGAO MUNICIPALIZ RP")</f>
        <v>SERV DE ORGAO MUNICIPALIZ RP</v>
      </c>
      <c r="E1915" s="11"/>
      <c r="F1915" s="11" t="str">
        <f>IFERROR(__xludf.DUMMYFUNCTION("""COMPUTED_VALUE"""),"US_159 POLICLINICA AGAMENON MAGALHAES")</f>
        <v>US_159 POLICLINICA AGAMENON MAGALHAES</v>
      </c>
      <c r="G1915" s="11" t="str">
        <f>IFERROR(__xludf.DUMMYFUNCTION("""COMPUTED_VALUE"""),"US_159 POLICLINICA AGAMENON MAGALHAES")</f>
        <v>US_159 POLICLINICA AGAMENON MAGALHAES</v>
      </c>
      <c r="H1915" s="11"/>
      <c r="I1915" s="11"/>
      <c r="J1915" s="11"/>
      <c r="K1915" s="11"/>
      <c r="L1915" s="11"/>
      <c r="M1915" s="11"/>
      <c r="N1915" s="11"/>
      <c r="O1915" s="11">
        <f>IFERROR(__xludf.DUMMYFUNCTION("""COMPUTED_VALUE"""),11440384487)</f>
        <v>11440384487</v>
      </c>
      <c r="P1915" s="11"/>
      <c r="Q1915" s="11"/>
      <c r="R1915" s="11"/>
      <c r="S1915" s="11"/>
      <c r="T1915" s="11"/>
      <c r="U1915" s="11"/>
      <c r="V1915" s="11"/>
      <c r="W1915" s="11"/>
      <c r="X1915" s="11"/>
      <c r="Y1915" s="11"/>
      <c r="Z1915" s="11"/>
    </row>
    <row r="1916" customHeight="1" spans="1:26">
      <c r="A1916" s="11" t="str">
        <f>IFERROR(__xludf.DUMMYFUNCTION("""COMPUTED_VALUE"""),"EDNA MARIA CARVALHO P DA SILVA")</f>
        <v>EDNA MARIA CARVALHO P DA SILVA</v>
      </c>
      <c r="B1916" s="11"/>
      <c r="C1916" s="11"/>
      <c r="D1916" s="11" t="str">
        <f>IFERROR(__xludf.DUMMYFUNCTION("""COMPUTED_VALUE"""),"SERV DE ORGAO MUNICIPALIZ RP")</f>
        <v>SERV DE ORGAO MUNICIPALIZ RP</v>
      </c>
      <c r="E1916" s="11"/>
      <c r="F1916" s="11" t="str">
        <f>IFERROR(__xludf.DUMMYFUNCTION("""COMPUTED_VALUE"""),"US_169 POLICLINICA AMAURY COUTINHO")</f>
        <v>US_169 POLICLINICA AMAURY COUTINHO</v>
      </c>
      <c r="G1916" s="11" t="str">
        <f>IFERROR(__xludf.DUMMYFUNCTION("""COMPUTED_VALUE"""),"US_169 POLICLINICA AMAURY COUTINHO")</f>
        <v>US_169 POLICLINICA AMAURY COUTINHO</v>
      </c>
      <c r="H1916" s="11"/>
      <c r="I1916" s="11"/>
      <c r="J1916" s="11"/>
      <c r="K1916" s="11"/>
      <c r="L1916" s="11"/>
      <c r="M1916" s="11"/>
      <c r="N1916" s="11"/>
      <c r="O1916" s="11">
        <f>IFERROR(__xludf.DUMMYFUNCTION("""COMPUTED_VALUE"""),12840203472)</f>
        <v>12840203472</v>
      </c>
      <c r="P1916" s="11"/>
      <c r="Q1916" s="11"/>
      <c r="R1916" s="11"/>
      <c r="S1916" s="11"/>
      <c r="T1916" s="11"/>
      <c r="U1916" s="11"/>
      <c r="V1916" s="11"/>
      <c r="W1916" s="11"/>
      <c r="X1916" s="11"/>
      <c r="Y1916" s="11"/>
      <c r="Z1916" s="11"/>
    </row>
    <row r="1917" customHeight="1" spans="1:26">
      <c r="A1917" s="11" t="str">
        <f>IFERROR(__xludf.DUMMYFUNCTION("""COMPUTED_VALUE"""),"AECIO BEZERRA DE MORAES")</f>
        <v>AECIO BEZERRA DE MORAES</v>
      </c>
      <c r="B1917" s="11"/>
      <c r="C1917" s="11"/>
      <c r="D1917" s="11" t="str">
        <f>IFERROR(__xludf.DUMMYFUNCTION("""COMPUTED_VALUE"""),"SERV DE ORGAO MUNICIPALIZ RP")</f>
        <v>SERV DE ORGAO MUNICIPALIZ RP</v>
      </c>
      <c r="E1917" s="11"/>
      <c r="F1917" s="11" t="str">
        <f>IFERROR(__xludf.DUMMYFUNCTION("""COMPUTED_VALUE"""),"US_169 POLICLINICA AMAURY COUTINHO")</f>
        <v>US_169 POLICLINICA AMAURY COUTINHO</v>
      </c>
      <c r="G1917" s="11" t="str">
        <f>IFERROR(__xludf.DUMMYFUNCTION("""COMPUTED_VALUE"""),"US_169 POLICLINICA AMAURY COUTINHO")</f>
        <v>US_169 POLICLINICA AMAURY COUTINHO</v>
      </c>
      <c r="H1917" s="11"/>
      <c r="I1917" s="11"/>
      <c r="J1917" s="11"/>
      <c r="K1917" s="11"/>
      <c r="L1917" s="11"/>
      <c r="M1917" s="11"/>
      <c r="N1917" s="11"/>
      <c r="O1917" s="11">
        <f>IFERROR(__xludf.DUMMYFUNCTION("""COMPUTED_VALUE"""),16659538453)</f>
        <v>16659538453</v>
      </c>
      <c r="P1917" s="11"/>
      <c r="Q1917" s="11"/>
      <c r="R1917" s="11"/>
      <c r="S1917" s="11"/>
      <c r="T1917" s="11"/>
      <c r="U1917" s="11"/>
      <c r="V1917" s="11"/>
      <c r="W1917" s="11"/>
      <c r="X1917" s="11"/>
      <c r="Y1917" s="11"/>
      <c r="Z1917" s="11"/>
    </row>
    <row r="1918" customHeight="1" spans="1:26">
      <c r="A1918" s="11" t="str">
        <f>IFERROR(__xludf.DUMMYFUNCTION("""COMPUTED_VALUE"""),"ANDRE RICARDO DE SOUZA E SILVA")</f>
        <v>ANDRE RICARDO DE SOUZA E SILVA</v>
      </c>
      <c r="B1918" s="11"/>
      <c r="C1918" s="11"/>
      <c r="D1918" s="11" t="str">
        <f>IFERROR(__xludf.DUMMYFUNCTION("""COMPUTED_VALUE"""),"SERV DE ORGAO MUNICIPALIZ RP")</f>
        <v>SERV DE ORGAO MUNICIPALIZ RP</v>
      </c>
      <c r="E1918" s="11"/>
      <c r="F1918" s="11" t="str">
        <f>IFERROR(__xludf.DUMMYFUNCTION("""COMPUTED_VALUE"""),"US_169 POLICLINICA AMAURY COUTINHO")</f>
        <v>US_169 POLICLINICA AMAURY COUTINHO</v>
      </c>
      <c r="G1918" s="11" t="str">
        <f>IFERROR(__xludf.DUMMYFUNCTION("""COMPUTED_VALUE"""),"US_169 POLICLINICA AMAURY COUTINHO")</f>
        <v>US_169 POLICLINICA AMAURY COUTINHO</v>
      </c>
      <c r="H1918" s="11"/>
      <c r="I1918" s="11"/>
      <c r="J1918" s="11"/>
      <c r="K1918" s="11"/>
      <c r="L1918" s="11"/>
      <c r="M1918" s="11"/>
      <c r="N1918" s="11"/>
      <c r="O1918" s="11">
        <f>IFERROR(__xludf.DUMMYFUNCTION("""COMPUTED_VALUE"""),65907884487)</f>
        <v>65907884487</v>
      </c>
      <c r="P1918" s="11"/>
      <c r="Q1918" s="11"/>
      <c r="R1918" s="11"/>
      <c r="S1918" s="11"/>
      <c r="T1918" s="11"/>
      <c r="U1918" s="11"/>
      <c r="V1918" s="11"/>
      <c r="W1918" s="11"/>
      <c r="X1918" s="11"/>
      <c r="Y1918" s="11"/>
      <c r="Z1918" s="11"/>
    </row>
    <row r="1919" customHeight="1" spans="1:26">
      <c r="A1919" s="11" t="str">
        <f>IFERROR(__xludf.DUMMYFUNCTION("""COMPUTED_VALUE"""),"CARLOS EDUARDO COUTINHO PINTO")</f>
        <v>CARLOS EDUARDO COUTINHO PINTO</v>
      </c>
      <c r="B1919" s="11"/>
      <c r="C1919" s="11"/>
      <c r="D1919" s="11" t="str">
        <f>IFERROR(__xludf.DUMMYFUNCTION("""COMPUTED_VALUE"""),"SERV DE ORGAO MUNICIPALIZ RP")</f>
        <v>SERV DE ORGAO MUNICIPALIZ RP</v>
      </c>
      <c r="E1919" s="11"/>
      <c r="F1919" s="11" t="str">
        <f>IFERROR(__xludf.DUMMYFUNCTION("""COMPUTED_VALUE"""),"US_169 POLICLINICA AMAURY COUTINHO")</f>
        <v>US_169 POLICLINICA AMAURY COUTINHO</v>
      </c>
      <c r="G1919" s="11" t="str">
        <f>IFERROR(__xludf.DUMMYFUNCTION("""COMPUTED_VALUE"""),"US_169 POLICLINICA AMAURY COUTINHO")</f>
        <v>US_169 POLICLINICA AMAURY COUTINHO</v>
      </c>
      <c r="H1919" s="11"/>
      <c r="I1919" s="11"/>
      <c r="J1919" s="11"/>
      <c r="K1919" s="11"/>
      <c r="L1919" s="11"/>
      <c r="M1919" s="11"/>
      <c r="N1919" s="11"/>
      <c r="O1919" s="11">
        <f>IFERROR(__xludf.DUMMYFUNCTION("""COMPUTED_VALUE"""),12714038468)</f>
        <v>12714038468</v>
      </c>
      <c r="P1919" s="11"/>
      <c r="Q1919" s="11"/>
      <c r="R1919" s="11"/>
      <c r="S1919" s="11"/>
      <c r="T1919" s="11"/>
      <c r="U1919" s="11"/>
      <c r="V1919" s="11"/>
      <c r="W1919" s="11"/>
      <c r="X1919" s="11"/>
      <c r="Y1919" s="11"/>
      <c r="Z1919" s="11"/>
    </row>
    <row r="1920" customHeight="1" spans="1:26">
      <c r="A1920" s="11" t="str">
        <f>IFERROR(__xludf.DUMMYFUNCTION("""COMPUTED_VALUE"""),"DEBORA BRITO CORREIA")</f>
        <v>DEBORA BRITO CORREIA</v>
      </c>
      <c r="B1920" s="11"/>
      <c r="C1920" s="11"/>
      <c r="D1920" s="11" t="str">
        <f>IFERROR(__xludf.DUMMYFUNCTION("""COMPUTED_VALUE"""),"SERV DE ORGAO MUNICIPALIZ RP")</f>
        <v>SERV DE ORGAO MUNICIPALIZ RP</v>
      </c>
      <c r="E1920" s="11"/>
      <c r="F1920" s="11" t="str">
        <f>IFERROR(__xludf.DUMMYFUNCTION("""COMPUTED_VALUE"""),"US_169 POLICLINICA AMAURY COUTINHO")</f>
        <v>US_169 POLICLINICA AMAURY COUTINHO</v>
      </c>
      <c r="G1920" s="11" t="str">
        <f>IFERROR(__xludf.DUMMYFUNCTION("""COMPUTED_VALUE"""),"US_169 POLICLINICA AMAURY COUTINHO")</f>
        <v>US_169 POLICLINICA AMAURY COUTINHO</v>
      </c>
      <c r="H1920" s="11"/>
      <c r="I1920" s="11"/>
      <c r="J1920" s="11"/>
      <c r="K1920" s="11"/>
      <c r="L1920" s="11"/>
      <c r="M1920" s="11"/>
      <c r="N1920" s="11"/>
      <c r="O1920" s="11">
        <f>IFERROR(__xludf.DUMMYFUNCTION("""COMPUTED_VALUE"""),57770760410)</f>
        <v>57770760410</v>
      </c>
      <c r="P1920" s="11"/>
      <c r="Q1920" s="11"/>
      <c r="R1920" s="11"/>
      <c r="S1920" s="11"/>
      <c r="T1920" s="11"/>
      <c r="U1920" s="11"/>
      <c r="V1920" s="11"/>
      <c r="W1920" s="11"/>
      <c r="X1920" s="11"/>
      <c r="Y1920" s="11"/>
      <c r="Z1920" s="11"/>
    </row>
    <row r="1921" customHeight="1" spans="1:26">
      <c r="A1921" s="11" t="str">
        <f>IFERROR(__xludf.DUMMYFUNCTION("""COMPUTED_VALUE"""),"ALBINO FERREIRA D FILHO")</f>
        <v>ALBINO FERREIRA D FILHO</v>
      </c>
      <c r="B1921" s="11"/>
      <c r="C1921" s="11"/>
      <c r="D1921" s="11" t="str">
        <f>IFERROR(__xludf.DUMMYFUNCTION("""COMPUTED_VALUE"""),"SERV DE ORGAO MUNICIPALIZ RP")</f>
        <v>SERV DE ORGAO MUNICIPALIZ RP</v>
      </c>
      <c r="E1921" s="11"/>
      <c r="F1921" s="11" t="str">
        <f>IFERROR(__xludf.DUMMYFUNCTION("""COMPUTED_VALUE"""),"US_169 POLICLINICA AMAURY COUTINHO")</f>
        <v>US_169 POLICLINICA AMAURY COUTINHO</v>
      </c>
      <c r="G1921" s="11" t="str">
        <f>IFERROR(__xludf.DUMMYFUNCTION("""COMPUTED_VALUE"""),"US_169 POLICLINICA AMAURY COUTINHO")</f>
        <v>US_169 POLICLINICA AMAURY COUTINHO</v>
      </c>
      <c r="H1921" s="11"/>
      <c r="I1921" s="11"/>
      <c r="J1921" s="11"/>
      <c r="K1921" s="11"/>
      <c r="L1921" s="11"/>
      <c r="M1921" s="11"/>
      <c r="N1921" s="11"/>
      <c r="O1921" s="11">
        <f>IFERROR(__xludf.DUMMYFUNCTION("""COMPUTED_VALUE"""),21810052491)</f>
        <v>21810052491</v>
      </c>
      <c r="P1921" s="11"/>
      <c r="Q1921" s="11"/>
      <c r="R1921" s="11"/>
      <c r="S1921" s="11"/>
      <c r="T1921" s="11"/>
      <c r="U1921" s="11"/>
      <c r="V1921" s="11"/>
      <c r="W1921" s="11"/>
      <c r="X1921" s="11"/>
      <c r="Y1921" s="11"/>
      <c r="Z1921" s="11"/>
    </row>
    <row r="1922" customHeight="1" spans="1:26">
      <c r="A1922" s="11" t="str">
        <f>IFERROR(__xludf.DUMMYFUNCTION("""COMPUTED_VALUE"""),"MARIA DAS G F DE FIGUEIREDO")</f>
        <v>MARIA DAS G F DE FIGUEIREDO</v>
      </c>
      <c r="B1922" s="11"/>
      <c r="C1922" s="11"/>
      <c r="D1922" s="11" t="str">
        <f>IFERROR(__xludf.DUMMYFUNCTION("""COMPUTED_VALUE"""),"SERV DE ORGAO MUNICIPALIZ RP")</f>
        <v>SERV DE ORGAO MUNICIPALIZ RP</v>
      </c>
      <c r="E1922" s="11"/>
      <c r="F1922" s="11" t="str">
        <f>IFERROR(__xludf.DUMMYFUNCTION("""COMPUTED_VALUE"""),"US_169 POLICLINICA AMAURY COUTINHO")</f>
        <v>US_169 POLICLINICA AMAURY COUTINHO</v>
      </c>
      <c r="G1922" s="11" t="str">
        <f>IFERROR(__xludf.DUMMYFUNCTION("""COMPUTED_VALUE"""),"US_169 POLICLINICA AMAURY COUTINHO")</f>
        <v>US_169 POLICLINICA AMAURY COUTINHO</v>
      </c>
      <c r="H1922" s="11"/>
      <c r="I1922" s="11"/>
      <c r="J1922" s="11"/>
      <c r="K1922" s="11"/>
      <c r="L1922" s="11"/>
      <c r="M1922" s="11"/>
      <c r="N1922" s="11"/>
      <c r="O1922" s="11">
        <f>IFERROR(__xludf.DUMMYFUNCTION("""COMPUTED_VALUE"""),21020230363)</f>
        <v>21020230363</v>
      </c>
      <c r="P1922" s="11"/>
      <c r="Q1922" s="11"/>
      <c r="R1922" s="11"/>
      <c r="S1922" s="11"/>
      <c r="T1922" s="11"/>
      <c r="U1922" s="11"/>
      <c r="V1922" s="11"/>
      <c r="W1922" s="11"/>
      <c r="X1922" s="11"/>
      <c r="Y1922" s="11"/>
      <c r="Z1922" s="11"/>
    </row>
    <row r="1923" customHeight="1" spans="1:26">
      <c r="A1923" s="11" t="str">
        <f>IFERROR(__xludf.DUMMYFUNCTION("""COMPUTED_VALUE"""),"VALDJA MARIA DA COSTA GOMES")</f>
        <v>VALDJA MARIA DA COSTA GOMES</v>
      </c>
      <c r="B1923" s="11"/>
      <c r="C1923" s="11"/>
      <c r="D1923" s="11" t="str">
        <f>IFERROR(__xludf.DUMMYFUNCTION("""COMPUTED_VALUE"""),"SERV DE ORGAO MUNICIPALIZ RP")</f>
        <v>SERV DE ORGAO MUNICIPALIZ RP</v>
      </c>
      <c r="E1923" s="11"/>
      <c r="F1923" s="11" t="str">
        <f>IFERROR(__xludf.DUMMYFUNCTION("""COMPUTED_VALUE"""),"US_169 POLICLINICA AMAURY COUTINHO")</f>
        <v>US_169 POLICLINICA AMAURY COUTINHO</v>
      </c>
      <c r="G1923" s="11" t="str">
        <f>IFERROR(__xludf.DUMMYFUNCTION("""COMPUTED_VALUE"""),"US_169 POLICLINICA AMAURY COUTINHO")</f>
        <v>US_169 POLICLINICA AMAURY COUTINHO</v>
      </c>
      <c r="H1923" s="11"/>
      <c r="I1923" s="11"/>
      <c r="J1923" s="11"/>
      <c r="K1923" s="11"/>
      <c r="L1923" s="11"/>
      <c r="M1923" s="11"/>
      <c r="N1923" s="11"/>
      <c r="O1923" s="11">
        <f>IFERROR(__xludf.DUMMYFUNCTION("""COMPUTED_VALUE"""),19299206449)</f>
        <v>19299206449</v>
      </c>
      <c r="P1923" s="11"/>
      <c r="Q1923" s="11"/>
      <c r="R1923" s="11"/>
      <c r="S1923" s="11"/>
      <c r="T1923" s="11"/>
      <c r="U1923" s="11"/>
      <c r="V1923" s="11"/>
      <c r="W1923" s="11"/>
      <c r="X1923" s="11"/>
      <c r="Y1923" s="11"/>
      <c r="Z1923" s="11"/>
    </row>
    <row r="1924" customHeight="1" spans="1:26">
      <c r="A1924" s="11" t="str">
        <f>IFERROR(__xludf.DUMMYFUNCTION("""COMPUTED_VALUE"""),"KENIA SA BARRETO D A LINS")</f>
        <v>KENIA SA BARRETO D A LINS</v>
      </c>
      <c r="B1924" s="11"/>
      <c r="C1924" s="11"/>
      <c r="D1924" s="11" t="str">
        <f>IFERROR(__xludf.DUMMYFUNCTION("""COMPUTED_VALUE"""),"SERV OUT ORGAOS - REG PROPRIO")</f>
        <v>SERV OUT ORGAOS - REG PROPRIO</v>
      </c>
      <c r="E1924" s="11"/>
      <c r="F1924" s="11" t="str">
        <f>IFERROR(__xludf.DUMMYFUNCTION("""COMPUTED_VALUE"""),"US_169 POLICLINICA AMAURY COUTINHO")</f>
        <v>US_169 POLICLINICA AMAURY COUTINHO</v>
      </c>
      <c r="G1924" s="11" t="str">
        <f>IFERROR(__xludf.DUMMYFUNCTION("""COMPUTED_VALUE"""),"US_169 POLICLINICA AMAURY COUTINHO")</f>
        <v>US_169 POLICLINICA AMAURY COUTINHO</v>
      </c>
      <c r="H1924" s="11"/>
      <c r="I1924" s="11"/>
      <c r="J1924" s="11"/>
      <c r="K1924" s="11"/>
      <c r="L1924" s="11"/>
      <c r="M1924" s="11"/>
      <c r="N1924" s="11"/>
      <c r="O1924" s="11">
        <f>IFERROR(__xludf.DUMMYFUNCTION("""COMPUTED_VALUE"""),49360507415)</f>
        <v>49360507415</v>
      </c>
      <c r="P1924" s="11"/>
      <c r="Q1924" s="11"/>
      <c r="R1924" s="11"/>
      <c r="S1924" s="11"/>
      <c r="T1924" s="11"/>
      <c r="U1924" s="11"/>
      <c r="V1924" s="11"/>
      <c r="W1924" s="11"/>
      <c r="X1924" s="11"/>
      <c r="Y1924" s="11"/>
      <c r="Z1924" s="11"/>
    </row>
    <row r="1925" customHeight="1" spans="1:26">
      <c r="A1925" s="11" t="str">
        <f>IFERROR(__xludf.DUMMYFUNCTION("""COMPUTED_VALUE"""),"MARCIA MARIA R DE FIGUEIREDO")</f>
        <v>MARCIA MARIA R DE FIGUEIREDO</v>
      </c>
      <c r="B1925" s="11"/>
      <c r="C1925" s="11"/>
      <c r="D1925" s="11" t="str">
        <f>IFERROR(__xludf.DUMMYFUNCTION("""COMPUTED_VALUE"""),"SERV DE ORGAO MUNICIPALIZ RP")</f>
        <v>SERV DE ORGAO MUNICIPALIZ RP</v>
      </c>
      <c r="E1925" s="11"/>
      <c r="F1925" s="11" t="str">
        <f>IFERROR(__xludf.DUMMYFUNCTION("""COMPUTED_VALUE"""),"US_169 POLICLINICA AMAURY COUTINHO")</f>
        <v>US_169 POLICLINICA AMAURY COUTINHO</v>
      </c>
      <c r="G1925" s="11" t="str">
        <f>IFERROR(__xludf.DUMMYFUNCTION("""COMPUTED_VALUE"""),"US_169 POLICLINICA AMAURY COUTINHO")</f>
        <v>US_169 POLICLINICA AMAURY COUTINHO</v>
      </c>
      <c r="H1925" s="11"/>
      <c r="I1925" s="11"/>
      <c r="J1925" s="11"/>
      <c r="K1925" s="11"/>
      <c r="L1925" s="11"/>
      <c r="M1925" s="11"/>
      <c r="N1925" s="11"/>
      <c r="O1925" s="11">
        <f>IFERROR(__xludf.DUMMYFUNCTION("""COMPUTED_VALUE"""),31842755404)</f>
        <v>31842755404</v>
      </c>
      <c r="P1925" s="11"/>
      <c r="Q1925" s="11"/>
      <c r="R1925" s="11"/>
      <c r="S1925" s="11"/>
      <c r="T1925" s="11"/>
      <c r="U1925" s="11"/>
      <c r="V1925" s="11"/>
      <c r="W1925" s="11"/>
      <c r="X1925" s="11"/>
      <c r="Y1925" s="11"/>
      <c r="Z1925" s="11"/>
    </row>
    <row r="1926" customHeight="1" spans="1:26">
      <c r="A1926" s="11" t="str">
        <f>IFERROR(__xludf.DUMMYFUNCTION("""COMPUTED_VALUE"""),"ROBERTA DE CASSIA S DE SOUZA")</f>
        <v>ROBERTA DE CASSIA S DE SOUZA</v>
      </c>
      <c r="B1926" s="11"/>
      <c r="C1926" s="11"/>
      <c r="D1926" s="11" t="str">
        <f>IFERROR(__xludf.DUMMYFUNCTION("""COMPUTED_VALUE"""),"CIRURGIAO DENTISTA 40H")</f>
        <v>CIRURGIAO DENTISTA 40H</v>
      </c>
      <c r="E1926" s="11"/>
      <c r="F1926" s="11" t="str">
        <f>IFERROR(__xludf.DUMMYFUNCTION("""COMPUTED_VALUE"""),"US_159 POLICLINICA AGAMENON MAGALHAES")</f>
        <v>US_159 POLICLINICA AGAMENON MAGALHAES</v>
      </c>
      <c r="G1926" s="11" t="str">
        <f>IFERROR(__xludf.DUMMYFUNCTION("""COMPUTED_VALUE"""),"US_159 POLICLINICA AGAMENON MAGALHAES")</f>
        <v>US_159 POLICLINICA AGAMENON MAGALHAES</v>
      </c>
      <c r="H1926" s="11"/>
      <c r="I1926" s="11"/>
      <c r="J1926" s="11"/>
      <c r="K1926" s="11"/>
      <c r="L1926" s="11"/>
      <c r="M1926" s="11"/>
      <c r="N1926" s="11"/>
      <c r="O1926" s="11">
        <f>IFERROR(__xludf.DUMMYFUNCTION("""COMPUTED_VALUE"""),3335170407)</f>
        <v>3335170407</v>
      </c>
      <c r="P1926" s="11"/>
      <c r="Q1926" s="11"/>
      <c r="R1926" s="11"/>
      <c r="S1926" s="11"/>
      <c r="T1926" s="11"/>
      <c r="U1926" s="11"/>
      <c r="V1926" s="11"/>
      <c r="W1926" s="11"/>
      <c r="X1926" s="11"/>
      <c r="Y1926" s="11"/>
      <c r="Z1926" s="11"/>
    </row>
    <row r="1927" customHeight="1" spans="1:26">
      <c r="A1927" s="11" t="str">
        <f>IFERROR(__xludf.DUMMYFUNCTION("""COMPUTED_VALUE"""),"DILNA MARIA DE CARVALHO FERRAZ")</f>
        <v>DILNA MARIA DE CARVALHO FERRAZ</v>
      </c>
      <c r="B1927" s="11"/>
      <c r="C1927" s="11"/>
      <c r="D1927" s="11" t="str">
        <f>IFERROR(__xludf.DUMMYFUNCTION("""COMPUTED_VALUE"""),"SERV DE ORGAO MUNICIPALIZ RP")</f>
        <v>SERV DE ORGAO MUNICIPALIZ RP</v>
      </c>
      <c r="E1927" s="11"/>
      <c r="F1927" s="11" t="str">
        <f>IFERROR(__xludf.DUMMYFUNCTION("""COMPUTED_VALUE"""),"US_169 POLICLINICA AMAURY COUTINHO")</f>
        <v>US_169 POLICLINICA AMAURY COUTINHO</v>
      </c>
      <c r="G1927" s="11" t="str">
        <f>IFERROR(__xludf.DUMMYFUNCTION("""COMPUTED_VALUE"""),"US_169 POLICLINICA AMAURY COUTINHO")</f>
        <v>US_169 POLICLINICA AMAURY COUTINHO</v>
      </c>
      <c r="H1927" s="11"/>
      <c r="I1927" s="11"/>
      <c r="J1927" s="11"/>
      <c r="K1927" s="11"/>
      <c r="L1927" s="11"/>
      <c r="M1927" s="11"/>
      <c r="N1927" s="11"/>
      <c r="O1927" s="11">
        <f>IFERROR(__xludf.DUMMYFUNCTION("""COMPUTED_VALUE"""),14579391420)</f>
        <v>14579391420</v>
      </c>
      <c r="P1927" s="11"/>
      <c r="Q1927" s="11"/>
      <c r="R1927" s="11"/>
      <c r="S1927" s="11"/>
      <c r="T1927" s="11"/>
      <c r="U1927" s="11"/>
      <c r="V1927" s="11"/>
      <c r="W1927" s="11"/>
      <c r="X1927" s="11"/>
      <c r="Y1927" s="11"/>
      <c r="Z1927" s="11"/>
    </row>
    <row r="1928" customHeight="1" spans="1:26">
      <c r="A1928" s="11" t="str">
        <f>IFERROR(__xludf.DUMMYFUNCTION("""COMPUTED_VALUE"""),"SANDRA SANTOS B VOLPATO")</f>
        <v>SANDRA SANTOS B VOLPATO</v>
      </c>
      <c r="B1928" s="11"/>
      <c r="C1928" s="11"/>
      <c r="D1928" s="11" t="str">
        <f>IFERROR(__xludf.DUMMYFUNCTION("""COMPUTED_VALUE"""),"CIRURGIAO DENTISTA 40H")</f>
        <v>CIRURGIAO DENTISTA 40H</v>
      </c>
      <c r="E1928" s="11"/>
      <c r="F1928" s="11" t="str">
        <f>IFERROR(__xludf.DUMMYFUNCTION("""COMPUTED_VALUE"""),"US_159 POLICLINICA AGAMENON MAGALHAES")</f>
        <v>US_159 POLICLINICA AGAMENON MAGALHAES</v>
      </c>
      <c r="G1928" s="11" t="str">
        <f>IFERROR(__xludf.DUMMYFUNCTION("""COMPUTED_VALUE"""),"US_159 POLICLINICA AGAMENON MAGALHAES")</f>
        <v>US_159 POLICLINICA AGAMENON MAGALHAES</v>
      </c>
      <c r="H1928" s="11"/>
      <c r="I1928" s="11"/>
      <c r="J1928" s="11"/>
      <c r="K1928" s="11"/>
      <c r="L1928" s="11"/>
      <c r="M1928" s="11"/>
      <c r="N1928" s="11"/>
      <c r="O1928" s="11">
        <f>IFERROR(__xludf.DUMMYFUNCTION("""COMPUTED_VALUE"""),43580971468)</f>
        <v>43580971468</v>
      </c>
      <c r="P1928" s="11"/>
      <c r="Q1928" s="11"/>
      <c r="R1928" s="11"/>
      <c r="S1928" s="11"/>
      <c r="T1928" s="11"/>
      <c r="U1928" s="11"/>
      <c r="V1928" s="11"/>
      <c r="W1928" s="11"/>
      <c r="X1928" s="11"/>
      <c r="Y1928" s="11"/>
      <c r="Z1928" s="11"/>
    </row>
    <row r="1929" customHeight="1" spans="1:26">
      <c r="A1929" s="11" t="str">
        <f>IFERROR(__xludf.DUMMYFUNCTION("""COMPUTED_VALUE"""),"ANDREZA VERUSKA LIRA CORREIA")</f>
        <v>ANDREZA VERUSKA LIRA CORREIA</v>
      </c>
      <c r="B1929" s="11"/>
      <c r="C1929" s="11"/>
      <c r="D1929" s="11" t="str">
        <f>IFERROR(__xludf.DUMMYFUNCTION("""COMPUTED_VALUE"""),"CIRURGIAO DENTISTA 20H")</f>
        <v>CIRURGIAO DENTISTA 20H</v>
      </c>
      <c r="E1929" s="11"/>
      <c r="F1929" s="11" t="str">
        <f>IFERROR(__xludf.DUMMYFUNCTION("""COMPUTED_VALUE"""),"US_169 POLICLINICA AMAURY COUTINHO")</f>
        <v>US_169 POLICLINICA AMAURY COUTINHO</v>
      </c>
      <c r="G1929" s="11" t="str">
        <f>IFERROR(__xludf.DUMMYFUNCTION("""COMPUTED_VALUE"""),"US_169 POLICLINICA AMAURY COUTINHO")</f>
        <v>US_169 POLICLINICA AMAURY COUTINHO</v>
      </c>
      <c r="H1929" s="11"/>
      <c r="I1929" s="11"/>
      <c r="J1929" s="11"/>
      <c r="K1929" s="11"/>
      <c r="L1929" s="11"/>
      <c r="M1929" s="11"/>
      <c r="N1929" s="11"/>
      <c r="O1929" s="11">
        <f>IFERROR(__xludf.DUMMYFUNCTION("""COMPUTED_VALUE"""),3432798431)</f>
        <v>3432798431</v>
      </c>
      <c r="P1929" s="11"/>
      <c r="Q1929" s="11"/>
      <c r="R1929" s="11"/>
      <c r="S1929" s="11"/>
      <c r="T1929" s="11"/>
      <c r="U1929" s="11"/>
      <c r="V1929" s="11"/>
      <c r="W1929" s="11"/>
      <c r="X1929" s="11"/>
      <c r="Y1929" s="11"/>
      <c r="Z1929" s="11"/>
    </row>
    <row r="1930" customHeight="1" spans="1:26">
      <c r="A1930" s="11" t="str">
        <f>IFERROR(__xludf.DUMMYFUNCTION("""COMPUTED_VALUE"""),"MARIA ISABEL J A OLIVEIRA")</f>
        <v>MARIA ISABEL J A OLIVEIRA</v>
      </c>
      <c r="B1930" s="11"/>
      <c r="C1930" s="11"/>
      <c r="D1930" s="11" t="str">
        <f>IFERROR(__xludf.DUMMYFUNCTION("""COMPUTED_VALUE"""),"CIRURGIAO DENTISTA 20H")</f>
        <v>CIRURGIAO DENTISTA 20H</v>
      </c>
      <c r="E1930" s="11"/>
      <c r="F1930" s="11" t="str">
        <f>IFERROR(__xludf.DUMMYFUNCTION("""COMPUTED_VALUE"""),"US_159 POLICLINICA AGAMENON MAGALHAES")</f>
        <v>US_159 POLICLINICA AGAMENON MAGALHAES</v>
      </c>
      <c r="G1930" s="11" t="str">
        <f>IFERROR(__xludf.DUMMYFUNCTION("""COMPUTED_VALUE"""),"US_159 POLICLINICA AGAMENON MAGALHAES")</f>
        <v>US_159 POLICLINICA AGAMENON MAGALHAES</v>
      </c>
      <c r="H1930" s="11"/>
      <c r="I1930" s="11"/>
      <c r="J1930" s="11"/>
      <c r="K1930" s="11"/>
      <c r="L1930" s="11"/>
      <c r="M1930" s="11"/>
      <c r="N1930" s="11"/>
      <c r="O1930" s="11">
        <f>IFERROR(__xludf.DUMMYFUNCTION("""COMPUTED_VALUE"""),5995553437)</f>
        <v>5995553437</v>
      </c>
      <c r="P1930" s="11"/>
      <c r="Q1930" s="11"/>
      <c r="R1930" s="11"/>
      <c r="S1930" s="11"/>
      <c r="T1930" s="11"/>
      <c r="U1930" s="11"/>
      <c r="V1930" s="11"/>
      <c r="W1930" s="11"/>
      <c r="X1930" s="11"/>
      <c r="Y1930" s="11"/>
      <c r="Z1930" s="11"/>
    </row>
    <row r="1931" customHeight="1" spans="1:26">
      <c r="A1931" s="11" t="str">
        <f>IFERROR(__xludf.DUMMYFUNCTION("""COMPUTED_VALUE"""),"PAULO MAURICIO R DE MELO JR")</f>
        <v>PAULO MAURICIO R DE MELO JR</v>
      </c>
      <c r="B1931" s="11"/>
      <c r="C1931" s="11"/>
      <c r="D1931" s="11" t="str">
        <f>IFERROR(__xludf.DUMMYFUNCTION("""COMPUTED_VALUE"""),"CIRURGIAO DENTISTA 20H")</f>
        <v>CIRURGIAO DENTISTA 20H</v>
      </c>
      <c r="E1931" s="11"/>
      <c r="F1931" s="11" t="str">
        <f>IFERROR(__xludf.DUMMYFUNCTION("""COMPUTED_VALUE"""),"US_159 POLICLINICA AGAMENON MAGALHAES")</f>
        <v>US_159 POLICLINICA AGAMENON MAGALHAES</v>
      </c>
      <c r="G1931" s="11" t="str">
        <f>IFERROR(__xludf.DUMMYFUNCTION("""COMPUTED_VALUE"""),"US_159 POLICLINICA AGAMENON MAGALHAES")</f>
        <v>US_159 POLICLINICA AGAMENON MAGALHAES</v>
      </c>
      <c r="H1931" s="11"/>
      <c r="I1931" s="11"/>
      <c r="J1931" s="11"/>
      <c r="K1931" s="11"/>
      <c r="L1931" s="11"/>
      <c r="M1931" s="11"/>
      <c r="N1931" s="11"/>
      <c r="O1931" s="11">
        <f>IFERROR(__xludf.DUMMYFUNCTION("""COMPUTED_VALUE"""),89021290472)</f>
        <v>89021290472</v>
      </c>
      <c r="P1931" s="11"/>
      <c r="Q1931" s="11"/>
      <c r="R1931" s="11"/>
      <c r="S1931" s="11"/>
      <c r="T1931" s="11"/>
      <c r="U1931" s="11"/>
      <c r="V1931" s="11"/>
      <c r="W1931" s="11"/>
      <c r="X1931" s="11"/>
      <c r="Y1931" s="11"/>
      <c r="Z1931" s="11"/>
    </row>
    <row r="1932" customHeight="1" spans="1:26">
      <c r="A1932" s="11" t="str">
        <f>IFERROR(__xludf.DUMMYFUNCTION("""COMPUTED_VALUE"""),"JANE ALBUQUERQUE DE O MENEZES")</f>
        <v>JANE ALBUQUERQUE DE O MENEZES</v>
      </c>
      <c r="B1932" s="11"/>
      <c r="C1932" s="11"/>
      <c r="D1932" s="11" t="str">
        <f>IFERROR(__xludf.DUMMYFUNCTION("""COMPUTED_VALUE"""),"CIRURGIAO DENTISTA 20H")</f>
        <v>CIRURGIAO DENTISTA 20H</v>
      </c>
      <c r="E1932" s="11"/>
      <c r="F1932" s="11" t="str">
        <f>IFERROR(__xludf.DUMMYFUNCTION("""COMPUTED_VALUE"""),"US_166 POLICLINICA CENTRO")</f>
        <v>US_166 POLICLINICA CENTRO</v>
      </c>
      <c r="G1932" s="11" t="str">
        <f>IFERROR(__xludf.DUMMYFUNCTION("""COMPUTED_VALUE"""),"US_166 POLICLINICA CENTRO")</f>
        <v>US_166 POLICLINICA CENTRO</v>
      </c>
      <c r="H1932" s="11"/>
      <c r="I1932" s="11"/>
      <c r="J1932" s="11"/>
      <c r="K1932" s="11"/>
      <c r="L1932" s="11"/>
      <c r="M1932" s="11"/>
      <c r="N1932" s="11"/>
      <c r="O1932" s="11">
        <f>IFERROR(__xludf.DUMMYFUNCTION("""COMPUTED_VALUE"""),17907683491)</f>
        <v>17907683491</v>
      </c>
      <c r="P1932" s="11"/>
      <c r="Q1932" s="11"/>
      <c r="R1932" s="11"/>
      <c r="S1932" s="11"/>
      <c r="T1932" s="11"/>
      <c r="U1932" s="11"/>
      <c r="V1932" s="11"/>
      <c r="W1932" s="11"/>
      <c r="X1932" s="11"/>
      <c r="Y1932" s="11"/>
      <c r="Z1932" s="11"/>
    </row>
    <row r="1933" customHeight="1" spans="1:26">
      <c r="A1933" s="11" t="str">
        <f>IFERROR(__xludf.DUMMYFUNCTION("""COMPUTED_VALUE"""),"Amanda Costa de Sousa")</f>
        <v>Amanda Costa de Sousa</v>
      </c>
      <c r="B1933" s="11"/>
      <c r="C1933" s="11"/>
      <c r="D1933" s="11"/>
      <c r="E1933" s="11"/>
      <c r="F1933" s="11"/>
      <c r="G1933" s="11"/>
      <c r="H1933" s="11"/>
      <c r="I1933" s="11"/>
      <c r="J1933" s="11"/>
      <c r="K1933" s="11"/>
      <c r="L1933" s="11"/>
      <c r="M1933" s="11"/>
      <c r="N1933" s="11"/>
      <c r="O1933" s="11"/>
      <c r="P1933" s="11"/>
      <c r="Q1933" s="11"/>
      <c r="R1933" s="11"/>
      <c r="S1933" s="11"/>
      <c r="T1933" s="11"/>
      <c r="U1933" s="11"/>
      <c r="V1933" s="11"/>
      <c r="W1933" s="11"/>
      <c r="X1933" s="11"/>
      <c r="Y1933" s="11"/>
      <c r="Z1933" s="11"/>
    </row>
    <row r="1934" customHeight="1" spans="1:26">
      <c r="A1934" s="11" t="str">
        <f>IFERROR(__xludf.DUMMYFUNCTION("""COMPUTED_VALUE"""),"SUIANE SANTOS LEMOS")</f>
        <v>SUIANE SANTOS LEMOS</v>
      </c>
      <c r="B1934" s="11"/>
      <c r="C1934" s="11"/>
      <c r="D1934" s="11" t="str">
        <f>IFERROR(__xludf.DUMMYFUNCTION("""COMPUTED_VALUE"""),"CIRURGIAO DENTISTA 20H")</f>
        <v>CIRURGIAO DENTISTA 20H</v>
      </c>
      <c r="E1934" s="11"/>
      <c r="F1934" s="11" t="str">
        <f>IFERROR(__xludf.DUMMYFUNCTION("""COMPUTED_VALUE"""),"US_376 POLICLINICA SALOMAO KELNER")</f>
        <v>US_376 POLICLINICA SALOMAO KELNER</v>
      </c>
      <c r="G1934" s="11" t="str">
        <f>IFERROR(__xludf.DUMMYFUNCTION("""COMPUTED_VALUE"""),"US_376 POLICLINICA SALOMAO KELNER")</f>
        <v>US_376 POLICLINICA SALOMAO KELNER</v>
      </c>
      <c r="H1934" s="11"/>
      <c r="I1934" s="11"/>
      <c r="J1934" s="11"/>
      <c r="K1934" s="11"/>
      <c r="L1934" s="11"/>
      <c r="M1934" s="11"/>
      <c r="N1934" s="11"/>
      <c r="O1934" s="11">
        <f>IFERROR(__xludf.DUMMYFUNCTION("""COMPUTED_VALUE"""),23573287468)</f>
        <v>23573287468</v>
      </c>
      <c r="P1934" s="11"/>
      <c r="Q1934" s="11"/>
      <c r="R1934" s="11"/>
      <c r="S1934" s="11"/>
      <c r="T1934" s="11"/>
      <c r="U1934" s="11"/>
      <c r="V1934" s="11"/>
      <c r="W1934" s="11"/>
      <c r="X1934" s="11"/>
      <c r="Y1934" s="11"/>
      <c r="Z1934" s="11"/>
    </row>
    <row r="1935" customHeight="1" spans="1:26">
      <c r="A1935" s="11" t="str">
        <f>IFERROR(__xludf.DUMMYFUNCTION("""COMPUTED_VALUE"""),"LUCIA MARIA VANDERLEI")</f>
        <v>LUCIA MARIA VANDERLEI</v>
      </c>
      <c r="B1935" s="11"/>
      <c r="C1935" s="11"/>
      <c r="D1935" s="11" t="str">
        <f>IFERROR(__xludf.DUMMYFUNCTION("""COMPUTED_VALUE"""),"CIRURGIAO DENTISTA 20H")</f>
        <v>CIRURGIAO DENTISTA 20H</v>
      </c>
      <c r="E1935" s="11"/>
      <c r="F1935" s="11" t="str">
        <f>IFERROR(__xludf.DUMMYFUNCTION("""COMPUTED_VALUE"""),"US_128 POLICLINICA LESSA DE ANDRADE")</f>
        <v>US_128 POLICLINICA LESSA DE ANDRADE</v>
      </c>
      <c r="G1935" s="11" t="str">
        <f>IFERROR(__xludf.DUMMYFUNCTION("""COMPUTED_VALUE"""),"US_128 POLICLINICA LESSA DE ANDRADE")</f>
        <v>US_128 POLICLINICA LESSA DE ANDRADE</v>
      </c>
      <c r="H1935" s="11"/>
      <c r="I1935" s="11"/>
      <c r="J1935" s="11"/>
      <c r="K1935" s="11"/>
      <c r="L1935" s="11"/>
      <c r="M1935" s="11"/>
      <c r="N1935" s="11"/>
      <c r="O1935" s="11">
        <f>IFERROR(__xludf.DUMMYFUNCTION("""COMPUTED_VALUE"""),27439631404)</f>
        <v>27439631404</v>
      </c>
      <c r="P1935" s="11"/>
      <c r="Q1935" s="11"/>
      <c r="R1935" s="11"/>
      <c r="S1935" s="11"/>
      <c r="T1935" s="11"/>
      <c r="U1935" s="11"/>
      <c r="V1935" s="11"/>
      <c r="W1935" s="11"/>
      <c r="X1935" s="11"/>
      <c r="Y1935" s="11"/>
      <c r="Z1935" s="11"/>
    </row>
    <row r="1936" customHeight="1" spans="1:26">
      <c r="A1936" s="11" t="str">
        <f>IFERROR(__xludf.DUMMYFUNCTION("""COMPUTED_VALUE"""),"JULIO GOMES SALGUEIRO NETO")</f>
        <v>JULIO GOMES SALGUEIRO NETO</v>
      </c>
      <c r="B1936" s="11"/>
      <c r="C1936" s="11"/>
      <c r="D1936" s="11" t="str">
        <f>IFERROR(__xludf.DUMMYFUNCTION("""COMPUTED_VALUE"""),"CIRURGIAO DENTISTA 20H")</f>
        <v>CIRURGIAO DENTISTA 20H</v>
      </c>
      <c r="E1936" s="11"/>
      <c r="F1936" s="11" t="str">
        <f>IFERROR(__xludf.DUMMYFUNCTION("""COMPUTED_VALUE"""),"US_293 POLICLINICA DO PINA -  PROFESSORA NAIDE REGUEIRA TEODOSIO")</f>
        <v>US_293 POLICLINICA DO PINA -  PROFESSORA NAIDE REGUEIRA TEODOSIO</v>
      </c>
      <c r="G1936" s="11" t="str">
        <f>IFERROR(__xludf.DUMMYFUNCTION("""COMPUTED_VALUE"""),"US_293 POLICLINICA DO PINA -  PROFESSORA NAIDE REGUEIRA TEODOSIO")</f>
        <v>US_293 POLICLINICA DO PINA -  PROFESSORA NAIDE REGUEIRA TEODOSIO</v>
      </c>
      <c r="H1936" s="11"/>
      <c r="I1936" s="11"/>
      <c r="J1936" s="11"/>
      <c r="K1936" s="11"/>
      <c r="L1936" s="11"/>
      <c r="M1936" s="11"/>
      <c r="N1936" s="11"/>
      <c r="O1936" s="11">
        <f>IFERROR(__xludf.DUMMYFUNCTION("""COMPUTED_VALUE"""),31781675449)</f>
        <v>31781675449</v>
      </c>
      <c r="P1936" s="11"/>
      <c r="Q1936" s="11"/>
      <c r="R1936" s="11"/>
      <c r="S1936" s="11"/>
      <c r="T1936" s="11"/>
      <c r="U1936" s="11"/>
      <c r="V1936" s="11"/>
      <c r="W1936" s="11"/>
      <c r="X1936" s="11"/>
      <c r="Y1936" s="11"/>
      <c r="Z1936" s="11"/>
    </row>
    <row r="1937" customHeight="1" spans="1:26">
      <c r="A1937" s="11" t="str">
        <f>IFERROR(__xludf.DUMMYFUNCTION("""COMPUTED_VALUE"""),"ALEXANDRE DE BARROS CAVALCANTI")</f>
        <v>ALEXANDRE DE BARROS CAVALCANTI</v>
      </c>
      <c r="B1937" s="11"/>
      <c r="C1937" s="11"/>
      <c r="D1937" s="11" t="str">
        <f>IFERROR(__xludf.DUMMYFUNCTION("""COMPUTED_VALUE"""),"CIRURGIAO DENTISTA 20H")</f>
        <v>CIRURGIAO DENTISTA 20H</v>
      </c>
      <c r="E1937" s="11"/>
      <c r="F1937" s="11" t="str">
        <f>IFERROR(__xludf.DUMMYFUNCTION("""COMPUTED_VALUE"""),"US_293 POLICLINICA DO PINA -  PROFESSORA NAIDE REGUEIRA TEODOSIO")</f>
        <v>US_293 POLICLINICA DO PINA -  PROFESSORA NAIDE REGUEIRA TEODOSIO</v>
      </c>
      <c r="G1937" s="11" t="str">
        <f>IFERROR(__xludf.DUMMYFUNCTION("""COMPUTED_VALUE"""),"US_293 POLICLINICA DO PINA -  PROFESSORA NAIDE REGUEIRA TEODOSIO")</f>
        <v>US_293 POLICLINICA DO PINA -  PROFESSORA NAIDE REGUEIRA TEODOSIO</v>
      </c>
      <c r="H1937" s="11"/>
      <c r="I1937" s="11"/>
      <c r="J1937" s="11"/>
      <c r="K1937" s="11"/>
      <c r="L1937" s="11"/>
      <c r="M1937" s="11"/>
      <c r="N1937" s="11"/>
      <c r="O1937" s="11">
        <f>IFERROR(__xludf.DUMMYFUNCTION("""COMPUTED_VALUE"""),75460572487)</f>
        <v>75460572487</v>
      </c>
      <c r="P1937" s="11"/>
      <c r="Q1937" s="11"/>
      <c r="R1937" s="11"/>
      <c r="S1937" s="11"/>
      <c r="T1937" s="11"/>
      <c r="U1937" s="11"/>
      <c r="V1937" s="11"/>
      <c r="W1937" s="11"/>
      <c r="X1937" s="11"/>
      <c r="Y1937" s="11"/>
      <c r="Z1937" s="11"/>
    </row>
    <row r="1938" customHeight="1" spans="1:26">
      <c r="A1938" s="11" t="str">
        <f>IFERROR(__xludf.DUMMYFUNCTION("""COMPUTED_VALUE"""),"VERONICA DE FATIMA DA S SANTOS")</f>
        <v>VERONICA DE FATIMA DA S SANTOS</v>
      </c>
      <c r="B1938" s="11"/>
      <c r="C1938" s="11"/>
      <c r="D1938" s="11" t="str">
        <f>IFERROR(__xludf.DUMMYFUNCTION("""COMPUTED_VALUE"""),"CIRURGIAO DENTISTA 20H")</f>
        <v>CIRURGIAO DENTISTA 20H</v>
      </c>
      <c r="E1938" s="11"/>
      <c r="F1938" s="11" t="str">
        <f>IFERROR(__xludf.DUMMYFUNCTION("""COMPUTED_VALUE"""),"US_128 POLICLINICA LESSA DE ANDRADE")</f>
        <v>US_128 POLICLINICA LESSA DE ANDRADE</v>
      </c>
      <c r="G1938" s="11" t="str">
        <f>IFERROR(__xludf.DUMMYFUNCTION("""COMPUTED_VALUE"""),"US_128 POLICLINICA LESSA DE ANDRADE")</f>
        <v>US_128 POLICLINICA LESSA DE ANDRADE</v>
      </c>
      <c r="H1938" s="11"/>
      <c r="I1938" s="11"/>
      <c r="J1938" s="11"/>
      <c r="K1938" s="11"/>
      <c r="L1938" s="11"/>
      <c r="M1938" s="11"/>
      <c r="N1938" s="11"/>
      <c r="O1938" s="11">
        <f>IFERROR(__xludf.DUMMYFUNCTION("""COMPUTED_VALUE"""),85630799487)</f>
        <v>85630799487</v>
      </c>
      <c r="P1938" s="11"/>
      <c r="Q1938" s="11"/>
      <c r="R1938" s="11"/>
      <c r="S1938" s="11"/>
      <c r="T1938" s="11"/>
      <c r="U1938" s="11"/>
      <c r="V1938" s="11"/>
      <c r="W1938" s="11"/>
      <c r="X1938" s="11"/>
      <c r="Y1938" s="11"/>
      <c r="Z1938" s="11"/>
    </row>
    <row r="1939" customHeight="1" spans="1:26">
      <c r="A1939" s="11" t="str">
        <f>IFERROR(__xludf.DUMMYFUNCTION("""COMPUTED_VALUE"""),"ANA CLAUDIA BARRETTO U FREITAS")</f>
        <v>ANA CLAUDIA BARRETTO U FREITAS</v>
      </c>
      <c r="B1939" s="11"/>
      <c r="C1939" s="11"/>
      <c r="D1939" s="11" t="str">
        <f>IFERROR(__xludf.DUMMYFUNCTION("""COMPUTED_VALUE"""),"CIRURGIAO DENTISTA 20H")</f>
        <v>CIRURGIAO DENTISTA 20H</v>
      </c>
      <c r="E1939" s="11"/>
      <c r="F1939" s="11" t="str">
        <f>IFERROR(__xludf.DUMMYFUNCTION("""COMPUTED_VALUE"""),"US_144 POLICLINICA CLEMENTINO FRAGA")</f>
        <v>US_144 POLICLINICA CLEMENTINO FRAGA</v>
      </c>
      <c r="G1939" s="11" t="str">
        <f>IFERROR(__xludf.DUMMYFUNCTION("""COMPUTED_VALUE"""),"US_144 POLICLINICA CLEMENTINO FRAGA")</f>
        <v>US_144 POLICLINICA CLEMENTINO FRAGA</v>
      </c>
      <c r="H1939" s="11"/>
      <c r="I1939" s="11"/>
      <c r="J1939" s="11"/>
      <c r="K1939" s="11"/>
      <c r="L1939" s="11"/>
      <c r="M1939" s="11"/>
      <c r="N1939" s="11"/>
      <c r="O1939" s="11">
        <f>IFERROR(__xludf.DUMMYFUNCTION("""COMPUTED_VALUE"""),89140087468)</f>
        <v>89140087468</v>
      </c>
      <c r="P1939" s="11"/>
      <c r="Q1939" s="11"/>
      <c r="R1939" s="11"/>
      <c r="S1939" s="11"/>
      <c r="T1939" s="11"/>
      <c r="U1939" s="11"/>
      <c r="V1939" s="11"/>
      <c r="W1939" s="11"/>
      <c r="X1939" s="11"/>
      <c r="Y1939" s="11"/>
      <c r="Z1939" s="11"/>
    </row>
    <row r="1940" customHeight="1" spans="1:26">
      <c r="A1940" s="11" t="str">
        <f>IFERROR(__xludf.DUMMYFUNCTION("""COMPUTED_VALUE"""),"MARIA JUDITH CABRAL SIQUEIRA")</f>
        <v>MARIA JUDITH CABRAL SIQUEIRA</v>
      </c>
      <c r="B1940" s="11"/>
      <c r="C1940" s="11"/>
      <c r="D1940" s="11" t="str">
        <f>IFERROR(__xludf.DUMMYFUNCTION("""COMPUTED_VALUE"""),"SERV DE ORGAO MUNICIPALIZ RP")</f>
        <v>SERV DE ORGAO MUNICIPALIZ RP</v>
      </c>
      <c r="E1940" s="11"/>
      <c r="F1940" s="11" t="str">
        <f>IFERROR(__xludf.DUMMYFUNCTION("""COMPUTED_VALUE"""),"US_166 POLICLINICA CENTRO")</f>
        <v>US_166 POLICLINICA CENTRO</v>
      </c>
      <c r="G1940" s="11" t="str">
        <f>IFERROR(__xludf.DUMMYFUNCTION("""COMPUTED_VALUE"""),"US_166 POLICLINICA CENTRO")</f>
        <v>US_166 POLICLINICA CENTRO</v>
      </c>
      <c r="H1940" s="11"/>
      <c r="I1940" s="11"/>
      <c r="J1940" s="11"/>
      <c r="K1940" s="11"/>
      <c r="L1940" s="11"/>
      <c r="M1940" s="11"/>
      <c r="N1940" s="11"/>
      <c r="O1940" s="11">
        <f>IFERROR(__xludf.DUMMYFUNCTION("""COMPUTED_VALUE"""),27332322404)</f>
        <v>27332322404</v>
      </c>
      <c r="P1940" s="11"/>
      <c r="Q1940" s="11"/>
      <c r="R1940" s="11"/>
      <c r="S1940" s="11"/>
      <c r="T1940" s="11"/>
      <c r="U1940" s="11"/>
      <c r="V1940" s="11"/>
      <c r="W1940" s="11"/>
      <c r="X1940" s="11"/>
      <c r="Y1940" s="11"/>
      <c r="Z1940" s="11"/>
    </row>
    <row r="1941" customHeight="1" spans="1:26">
      <c r="A1941" s="11" t="str">
        <f>IFERROR(__xludf.DUMMYFUNCTION("""COMPUTED_VALUE"""),"CARLOS ROBERTO BRAGA DIAS")</f>
        <v>CARLOS ROBERTO BRAGA DIAS</v>
      </c>
      <c r="B1941" s="11"/>
      <c r="C1941" s="11"/>
      <c r="D1941" s="11" t="str">
        <f>IFERROR(__xludf.DUMMYFUNCTION("""COMPUTED_VALUE"""),"CIRURGIAO DENTISTA 20H")</f>
        <v>CIRURGIAO DENTISTA 20H</v>
      </c>
      <c r="E1941" s="11"/>
      <c r="F1941" s="11" t="str">
        <f>IFERROR(__xludf.DUMMYFUNCTION("""COMPUTED_VALUE"""),"US_162 POLICLINICA ALBERT SABIN")</f>
        <v>US_162 POLICLINICA ALBERT SABIN</v>
      </c>
      <c r="G1941" s="11" t="str">
        <f>IFERROR(__xludf.DUMMYFUNCTION("""COMPUTED_VALUE"""),"US_162 POLICLINICA ALBERT SABIN")</f>
        <v>US_162 POLICLINICA ALBERT SABIN</v>
      </c>
      <c r="H1941" s="11"/>
      <c r="I1941" s="11"/>
      <c r="J1941" s="11"/>
      <c r="K1941" s="11"/>
      <c r="L1941" s="11"/>
      <c r="M1941" s="11"/>
      <c r="N1941" s="11"/>
      <c r="O1941" s="11">
        <f>IFERROR(__xludf.DUMMYFUNCTION("""COMPUTED_VALUE"""),70726426415)</f>
        <v>70726426415</v>
      </c>
      <c r="P1941" s="11"/>
      <c r="Q1941" s="11"/>
      <c r="R1941" s="11"/>
      <c r="S1941" s="11"/>
      <c r="T1941" s="11"/>
      <c r="U1941" s="11"/>
      <c r="V1941" s="11"/>
      <c r="W1941" s="11"/>
      <c r="X1941" s="11"/>
      <c r="Y1941" s="11"/>
      <c r="Z1941" s="11"/>
    </row>
    <row r="1942" customHeight="1" spans="1:26">
      <c r="A1942" s="11" t="str">
        <f>IFERROR(__xludf.DUMMYFUNCTION("""COMPUTED_VALUE"""),"ADRIANA FREITAS LINS P SILVA")</f>
        <v>ADRIANA FREITAS LINS P SILVA</v>
      </c>
      <c r="B1942" s="11"/>
      <c r="C1942" s="11"/>
      <c r="D1942" s="11" t="str">
        <f>IFERROR(__xludf.DUMMYFUNCTION("""COMPUTED_VALUE"""),"CIRURGIAO DENTISTA 20H")</f>
        <v>CIRURGIAO DENTISTA 20H</v>
      </c>
      <c r="E1942" s="11"/>
      <c r="F1942" s="11" t="str">
        <f>IFERROR(__xludf.DUMMYFUNCTION("""COMPUTED_VALUE"""),"US_376 POLICLINICA SALOMAO KELNER")</f>
        <v>US_376 POLICLINICA SALOMAO KELNER</v>
      </c>
      <c r="G1942" s="11" t="str">
        <f>IFERROR(__xludf.DUMMYFUNCTION("""COMPUTED_VALUE"""),"US_376 POLICLINICA SALOMAO KELNER")</f>
        <v>US_376 POLICLINICA SALOMAO KELNER</v>
      </c>
      <c r="H1942" s="11"/>
      <c r="I1942" s="11"/>
      <c r="J1942" s="11"/>
      <c r="K1942" s="11"/>
      <c r="L1942" s="11"/>
      <c r="M1942" s="11"/>
      <c r="N1942" s="11"/>
      <c r="O1942" s="11">
        <f>IFERROR(__xludf.DUMMYFUNCTION("""COMPUTED_VALUE"""),85525391449)</f>
        <v>85525391449</v>
      </c>
      <c r="P1942" s="11"/>
      <c r="Q1942" s="11"/>
      <c r="R1942" s="11"/>
      <c r="S1942" s="11"/>
      <c r="T1942" s="11"/>
      <c r="U1942" s="11"/>
      <c r="V1942" s="11"/>
      <c r="W1942" s="11"/>
      <c r="X1942" s="11"/>
      <c r="Y1942" s="11"/>
      <c r="Z1942" s="11"/>
    </row>
    <row r="1943" customHeight="1" spans="1:26">
      <c r="A1943" s="11" t="str">
        <f>IFERROR(__xludf.DUMMYFUNCTION("""COMPUTED_VALUE"""),"FABIANA MOURA DA M SILVEIRA")</f>
        <v>FABIANA MOURA DA M SILVEIRA</v>
      </c>
      <c r="B1943" s="11"/>
      <c r="C1943" s="11"/>
      <c r="D1943" s="11" t="str">
        <f>IFERROR(__xludf.DUMMYFUNCTION("""COMPUTED_VALUE"""),"CIRURGIAO DENTISTA 20H")</f>
        <v>CIRURGIAO DENTISTA 20H</v>
      </c>
      <c r="E1943" s="11"/>
      <c r="F1943" s="11" t="str">
        <f>IFERROR(__xludf.DUMMYFUNCTION("""COMPUTED_VALUE"""),"US_144 POLICLINICA CLEMENTINO FRAGA")</f>
        <v>US_144 POLICLINICA CLEMENTINO FRAGA</v>
      </c>
      <c r="G1943" s="11" t="str">
        <f>IFERROR(__xludf.DUMMYFUNCTION("""COMPUTED_VALUE"""),"US_144 POLICLINICA CLEMENTINO FRAGA")</f>
        <v>US_144 POLICLINICA CLEMENTINO FRAGA</v>
      </c>
      <c r="H1943" s="11"/>
      <c r="I1943" s="11"/>
      <c r="J1943" s="11"/>
      <c r="K1943" s="11"/>
      <c r="L1943" s="11"/>
      <c r="M1943" s="11"/>
      <c r="N1943" s="11"/>
      <c r="O1943" s="11">
        <f>IFERROR(__xludf.DUMMYFUNCTION("""COMPUTED_VALUE"""),88016722415)</f>
        <v>88016722415</v>
      </c>
      <c r="P1943" s="11"/>
      <c r="Q1943" s="11"/>
      <c r="R1943" s="11"/>
      <c r="S1943" s="11"/>
      <c r="T1943" s="11"/>
      <c r="U1943" s="11"/>
      <c r="V1943" s="11"/>
      <c r="W1943" s="11"/>
      <c r="X1943" s="11"/>
      <c r="Y1943" s="11"/>
      <c r="Z1943" s="11"/>
    </row>
    <row r="1944" customHeight="1" spans="1:26">
      <c r="A1944" s="11" t="str">
        <f>IFERROR(__xludf.DUMMYFUNCTION("""COMPUTED_VALUE"""),"BRENO DELANO S DE OLIVEIRA")</f>
        <v>BRENO DELANO S DE OLIVEIRA</v>
      </c>
      <c r="B1944" s="11"/>
      <c r="C1944" s="11"/>
      <c r="D1944" s="11" t="str">
        <f>IFERROR(__xludf.DUMMYFUNCTION("""COMPUTED_VALUE"""),"CIRURGIAO DENTISTA 20H")</f>
        <v>CIRURGIAO DENTISTA 20H</v>
      </c>
      <c r="E1944" s="11"/>
      <c r="F1944" s="11" t="str">
        <f>IFERROR(__xludf.DUMMYFUNCTION("""COMPUTED_VALUE"""),"US_293 POLICLINICA DO PINA -  PROFESSORA NAIDE REGUEIRA TEODOSIO")</f>
        <v>US_293 POLICLINICA DO PINA -  PROFESSORA NAIDE REGUEIRA TEODOSIO</v>
      </c>
      <c r="G1944" s="11" t="str">
        <f>IFERROR(__xludf.DUMMYFUNCTION("""COMPUTED_VALUE"""),"US_293 POLICLINICA DO PINA -  PROFESSORA NAIDE REGUEIRA TEODOSIO")</f>
        <v>US_293 POLICLINICA DO PINA -  PROFESSORA NAIDE REGUEIRA TEODOSIO</v>
      </c>
      <c r="H1944" s="11"/>
      <c r="I1944" s="11"/>
      <c r="J1944" s="11"/>
      <c r="K1944" s="11"/>
      <c r="L1944" s="11"/>
      <c r="M1944" s="11"/>
      <c r="N1944" s="11"/>
      <c r="O1944" s="11">
        <f>IFERROR(__xludf.DUMMYFUNCTION("""COMPUTED_VALUE"""),74681893404)</f>
        <v>74681893404</v>
      </c>
      <c r="P1944" s="11"/>
      <c r="Q1944" s="11"/>
      <c r="R1944" s="11"/>
      <c r="S1944" s="11"/>
      <c r="T1944" s="11"/>
      <c r="U1944" s="11"/>
      <c r="V1944" s="11"/>
      <c r="W1944" s="11"/>
      <c r="X1944" s="11"/>
      <c r="Y1944" s="11"/>
      <c r="Z1944" s="11"/>
    </row>
    <row r="1945" customHeight="1" spans="1:26">
      <c r="A1945" s="11" t="str">
        <f>IFERROR(__xludf.DUMMYFUNCTION("""COMPUTED_VALUE"""),"ADRIANA MACHADO ZARZAR")</f>
        <v>ADRIANA MACHADO ZARZAR</v>
      </c>
      <c r="B1945" s="11"/>
      <c r="C1945" s="11"/>
      <c r="D1945" s="11" t="str">
        <f>IFERROR(__xludf.DUMMYFUNCTION("""COMPUTED_VALUE"""),"CIRURGIAO DENTISTA 20H")</f>
        <v>CIRURGIAO DENTISTA 20H</v>
      </c>
      <c r="E1945" s="11"/>
      <c r="F1945" s="11" t="str">
        <f>IFERROR(__xludf.DUMMYFUNCTION("""COMPUTED_VALUE"""),"US_293 POLICLINICA DO PINA -  PROFESSORA NAIDE REGUEIRA TEODOSIO")</f>
        <v>US_293 POLICLINICA DO PINA -  PROFESSORA NAIDE REGUEIRA TEODOSIO</v>
      </c>
      <c r="G1945" s="11" t="str">
        <f>IFERROR(__xludf.DUMMYFUNCTION("""COMPUTED_VALUE"""),"US_293 POLICLINICA DO PINA -  PROFESSORA NAIDE REGUEIRA TEODOSIO")</f>
        <v>US_293 POLICLINICA DO PINA -  PROFESSORA NAIDE REGUEIRA TEODOSIO</v>
      </c>
      <c r="H1945" s="11"/>
      <c r="I1945" s="11"/>
      <c r="J1945" s="11"/>
      <c r="K1945" s="11"/>
      <c r="L1945" s="11"/>
      <c r="M1945" s="11"/>
      <c r="N1945" s="11"/>
      <c r="O1945" s="11">
        <f>IFERROR(__xludf.DUMMYFUNCTION("""COMPUTED_VALUE"""),70935564420)</f>
        <v>70935564420</v>
      </c>
      <c r="P1945" s="11"/>
      <c r="Q1945" s="11"/>
      <c r="R1945" s="11"/>
      <c r="S1945" s="11"/>
      <c r="T1945" s="11"/>
      <c r="U1945" s="11"/>
      <c r="V1945" s="11"/>
      <c r="W1945" s="11"/>
      <c r="X1945" s="11"/>
      <c r="Y1945" s="11"/>
      <c r="Z1945" s="11"/>
    </row>
    <row r="1946" customHeight="1" spans="1:26">
      <c r="A1946" s="11" t="str">
        <f>IFERROR(__xludf.DUMMYFUNCTION("""COMPUTED_VALUE"""),"KARLA GLEIDE A DE OLIVEIRA")</f>
        <v>KARLA GLEIDE A DE OLIVEIRA</v>
      </c>
      <c r="B1946" s="11"/>
      <c r="C1946" s="11"/>
      <c r="D1946" s="11" t="str">
        <f>IFERROR(__xludf.DUMMYFUNCTION("""COMPUTED_VALUE"""),"CIRURGIAO DENTISTA 20H")</f>
        <v>CIRURGIAO DENTISTA 20H</v>
      </c>
      <c r="E1946" s="11"/>
      <c r="F1946" s="11" t="str">
        <f>IFERROR(__xludf.DUMMYFUNCTION("""COMPUTED_VALUE"""),"US_128 POLICLINICA LESSA DE ANDRADE")</f>
        <v>US_128 POLICLINICA LESSA DE ANDRADE</v>
      </c>
      <c r="G1946" s="11" t="str">
        <f>IFERROR(__xludf.DUMMYFUNCTION("""COMPUTED_VALUE"""),"US_128 POLICLINICA LESSA DE ANDRADE")</f>
        <v>US_128 POLICLINICA LESSA DE ANDRADE</v>
      </c>
      <c r="H1946" s="11"/>
      <c r="I1946" s="11"/>
      <c r="J1946" s="11"/>
      <c r="K1946" s="11"/>
      <c r="L1946" s="11"/>
      <c r="M1946" s="11"/>
      <c r="N1946" s="11"/>
      <c r="O1946" s="11">
        <f>IFERROR(__xludf.DUMMYFUNCTION("""COMPUTED_VALUE"""),72887222449)</f>
        <v>72887222449</v>
      </c>
      <c r="P1946" s="11"/>
      <c r="Q1946" s="11"/>
      <c r="R1946" s="11"/>
      <c r="S1946" s="11"/>
      <c r="T1946" s="11"/>
      <c r="U1946" s="11"/>
      <c r="V1946" s="11"/>
      <c r="W1946" s="11"/>
      <c r="X1946" s="11"/>
      <c r="Y1946" s="11"/>
      <c r="Z1946" s="11"/>
    </row>
    <row r="1947" customHeight="1" spans="1:26">
      <c r="A1947" s="11" t="str">
        <f>IFERROR(__xludf.DUMMYFUNCTION("""COMPUTED_VALUE"""),"KARINA MARIA P C DA COSTA")</f>
        <v>KARINA MARIA P C DA COSTA</v>
      </c>
      <c r="B1947" s="11"/>
      <c r="C1947" s="11"/>
      <c r="D1947" s="11" t="str">
        <f>IFERROR(__xludf.DUMMYFUNCTION("""COMPUTED_VALUE"""),"CIRURGIAO DENTISTA 20H")</f>
        <v>CIRURGIAO DENTISTA 20H</v>
      </c>
      <c r="E1947" s="11"/>
      <c r="F1947" s="11" t="str">
        <f>IFERROR(__xludf.DUMMYFUNCTION("""COMPUTED_VALUE"""),"US_144 POLICLINICA CLEMENTINO FRAGA")</f>
        <v>US_144 POLICLINICA CLEMENTINO FRAGA</v>
      </c>
      <c r="G1947" s="11" t="str">
        <f>IFERROR(__xludf.DUMMYFUNCTION("""COMPUTED_VALUE"""),"US_144 POLICLINICA CLEMENTINO FRAGA")</f>
        <v>US_144 POLICLINICA CLEMENTINO FRAGA</v>
      </c>
      <c r="H1947" s="11"/>
      <c r="I1947" s="11"/>
      <c r="J1947" s="11"/>
      <c r="K1947" s="11"/>
      <c r="L1947" s="11"/>
      <c r="M1947" s="11"/>
      <c r="N1947" s="11"/>
      <c r="O1947" s="11">
        <f>IFERROR(__xludf.DUMMYFUNCTION("""COMPUTED_VALUE"""),77190866434)</f>
        <v>77190866434</v>
      </c>
      <c r="P1947" s="11"/>
      <c r="Q1947" s="11"/>
      <c r="R1947" s="11"/>
      <c r="S1947" s="11"/>
      <c r="T1947" s="11"/>
      <c r="U1947" s="11"/>
      <c r="V1947" s="11"/>
      <c r="W1947" s="11"/>
      <c r="X1947" s="11"/>
      <c r="Y1947" s="11"/>
      <c r="Z1947" s="11"/>
    </row>
    <row r="1948" customHeight="1" spans="1:26">
      <c r="A1948" s="11" t="str">
        <f>IFERROR(__xludf.DUMMYFUNCTION("""COMPUTED_VALUE"""),"ADELIA DE TOLEDO MORAES")</f>
        <v>ADELIA DE TOLEDO MORAES</v>
      </c>
      <c r="B1948" s="11"/>
      <c r="C1948" s="11"/>
      <c r="D1948" s="11" t="str">
        <f>IFERROR(__xludf.DUMMYFUNCTION("""COMPUTED_VALUE"""),"CIRURGIAO DENTISTA 20H")</f>
        <v>CIRURGIAO DENTISTA 20H</v>
      </c>
      <c r="E1948" s="11"/>
      <c r="F1948" s="11" t="str">
        <f>IFERROR(__xludf.DUMMYFUNCTION("""COMPUTED_VALUE"""),"US_166 POLICLINICA CENTRO")</f>
        <v>US_166 POLICLINICA CENTRO</v>
      </c>
      <c r="G1948" s="11" t="str">
        <f>IFERROR(__xludf.DUMMYFUNCTION("""COMPUTED_VALUE"""),"US_166 POLICLINICA CENTRO")</f>
        <v>US_166 POLICLINICA CENTRO</v>
      </c>
      <c r="H1948" s="11"/>
      <c r="I1948" s="11"/>
      <c r="J1948" s="11"/>
      <c r="K1948" s="11"/>
      <c r="L1948" s="11"/>
      <c r="M1948" s="11"/>
      <c r="N1948" s="11"/>
      <c r="O1948" s="11">
        <f>IFERROR(__xludf.DUMMYFUNCTION("""COMPUTED_VALUE"""),3278876806)</f>
        <v>3278876806</v>
      </c>
      <c r="P1948" s="11"/>
      <c r="Q1948" s="11"/>
      <c r="R1948" s="11"/>
      <c r="S1948" s="11"/>
      <c r="T1948" s="11"/>
      <c r="U1948" s="11"/>
      <c r="V1948" s="11"/>
      <c r="W1948" s="11"/>
      <c r="X1948" s="11"/>
      <c r="Y1948" s="11"/>
      <c r="Z1948" s="11"/>
    </row>
    <row r="1949" customHeight="1" spans="1:26">
      <c r="A1949" s="11" t="str">
        <f>IFERROR(__xludf.DUMMYFUNCTION("""COMPUTED_VALUE"""),"LUCIENE ALVES PERDIGAO")</f>
        <v>LUCIENE ALVES PERDIGAO</v>
      </c>
      <c r="B1949" s="11"/>
      <c r="C1949" s="11"/>
      <c r="D1949" s="11" t="str">
        <f>IFERROR(__xludf.DUMMYFUNCTION("""COMPUTED_VALUE"""),"CIRURGIAO DENTISTA 20H")</f>
        <v>CIRURGIAO DENTISTA 20H</v>
      </c>
      <c r="E1949" s="11"/>
      <c r="F1949" s="11" t="str">
        <f>IFERROR(__xludf.DUMMYFUNCTION("""COMPUTED_VALUE"""),"US_376 POLICLINICA SALOMAO KELNER")</f>
        <v>US_376 POLICLINICA SALOMAO KELNER</v>
      </c>
      <c r="G1949" s="11" t="str">
        <f>IFERROR(__xludf.DUMMYFUNCTION("""COMPUTED_VALUE"""),"US_376 POLICLINICA SALOMAO KELNER")</f>
        <v>US_376 POLICLINICA SALOMAO KELNER</v>
      </c>
      <c r="H1949" s="11"/>
      <c r="I1949" s="11"/>
      <c r="J1949" s="11"/>
      <c r="K1949" s="11"/>
      <c r="L1949" s="11"/>
      <c r="M1949" s="11"/>
      <c r="N1949" s="11"/>
      <c r="O1949" s="11">
        <f>IFERROR(__xludf.DUMMYFUNCTION("""COMPUTED_VALUE"""),68343019415)</f>
        <v>68343019415</v>
      </c>
      <c r="P1949" s="11"/>
      <c r="Q1949" s="11"/>
      <c r="R1949" s="11"/>
      <c r="S1949" s="11"/>
      <c r="T1949" s="11"/>
      <c r="U1949" s="11"/>
      <c r="V1949" s="11"/>
      <c r="W1949" s="11"/>
      <c r="X1949" s="11"/>
      <c r="Y1949" s="11"/>
      <c r="Z1949" s="11"/>
    </row>
    <row r="1950" customHeight="1" spans="1:26">
      <c r="A1950" s="11" t="str">
        <f>IFERROR(__xludf.DUMMYFUNCTION("""COMPUTED_VALUE"""),"VANESSA TORRES DE F LIMA")</f>
        <v>VANESSA TORRES DE F LIMA</v>
      </c>
      <c r="B1950" s="11"/>
      <c r="C1950" s="11"/>
      <c r="D1950" s="11" t="str">
        <f>IFERROR(__xludf.DUMMYFUNCTION("""COMPUTED_VALUE"""),"CIRURGIAO DENTISTA 20H")</f>
        <v>CIRURGIAO DENTISTA 20H</v>
      </c>
      <c r="E1950" s="11"/>
      <c r="F1950" s="11" t="str">
        <f>IFERROR(__xludf.DUMMYFUNCTION("""COMPUTED_VALUE"""),"US_162 POLICLINICA ALBERT SABIN")</f>
        <v>US_162 POLICLINICA ALBERT SABIN</v>
      </c>
      <c r="G1950" s="11" t="str">
        <f>IFERROR(__xludf.DUMMYFUNCTION("""COMPUTED_VALUE"""),"US_162 POLICLINICA ALBERT SABIN")</f>
        <v>US_162 POLICLINICA ALBERT SABIN</v>
      </c>
      <c r="H1950" s="11"/>
      <c r="I1950" s="11"/>
      <c r="J1950" s="11"/>
      <c r="K1950" s="11"/>
      <c r="L1950" s="11"/>
      <c r="M1950" s="11"/>
      <c r="N1950" s="11"/>
      <c r="O1950" s="11">
        <f>IFERROR(__xludf.DUMMYFUNCTION("""COMPUTED_VALUE"""),90589262491)</f>
        <v>90589262491</v>
      </c>
      <c r="P1950" s="11"/>
      <c r="Q1950" s="11"/>
      <c r="R1950" s="11"/>
      <c r="S1950" s="11"/>
      <c r="T1950" s="11"/>
      <c r="U1950" s="11"/>
      <c r="V1950" s="11"/>
      <c r="W1950" s="11"/>
      <c r="X1950" s="11"/>
      <c r="Y1950" s="11"/>
      <c r="Z1950" s="11"/>
    </row>
    <row r="1951" customHeight="1" spans="1:26">
      <c r="A1951" s="11" t="str">
        <f>IFERROR(__xludf.DUMMYFUNCTION("""COMPUTED_VALUE"""),"ISABELLA L R DE H CAVALCANTI")</f>
        <v>ISABELLA L R DE H CAVALCANTI</v>
      </c>
      <c r="B1951" s="11"/>
      <c r="C1951" s="11"/>
      <c r="D1951" s="11" t="str">
        <f>IFERROR(__xludf.DUMMYFUNCTION("""COMPUTED_VALUE"""),"CIRURGIAO DENTISTA 20H")</f>
        <v>CIRURGIAO DENTISTA 20H</v>
      </c>
      <c r="E1951" s="11"/>
      <c r="F1951" s="11" t="str">
        <f>IFERROR(__xludf.DUMMYFUNCTION("""COMPUTED_VALUE"""),"US_128 POLICLINICA LESSA DE ANDRADE")</f>
        <v>US_128 POLICLINICA LESSA DE ANDRADE</v>
      </c>
      <c r="G1951" s="11" t="str">
        <f>IFERROR(__xludf.DUMMYFUNCTION("""COMPUTED_VALUE"""),"US_128 POLICLINICA LESSA DE ANDRADE")</f>
        <v>US_128 POLICLINICA LESSA DE ANDRADE</v>
      </c>
      <c r="H1951" s="11"/>
      <c r="I1951" s="11"/>
      <c r="J1951" s="11"/>
      <c r="K1951" s="11"/>
      <c r="L1951" s="11"/>
      <c r="M1951" s="11"/>
      <c r="N1951" s="11"/>
      <c r="O1951" s="11">
        <f>IFERROR(__xludf.DUMMYFUNCTION("""COMPUTED_VALUE"""),81897090463)</f>
        <v>81897090463</v>
      </c>
      <c r="P1951" s="11"/>
      <c r="Q1951" s="11"/>
      <c r="R1951" s="11"/>
      <c r="S1951" s="11"/>
      <c r="T1951" s="11"/>
      <c r="U1951" s="11"/>
      <c r="V1951" s="11"/>
      <c r="W1951" s="11"/>
      <c r="X1951" s="11"/>
      <c r="Y1951" s="11"/>
      <c r="Z1951" s="11"/>
    </row>
    <row r="1952" customHeight="1" spans="1:26">
      <c r="A1952" s="11" t="str">
        <f>IFERROR(__xludf.DUMMYFUNCTION("""COMPUTED_VALUE"""),"ISA FLAVIA DE AZEVEDO BARROS")</f>
        <v>ISA FLAVIA DE AZEVEDO BARROS</v>
      </c>
      <c r="B1952" s="11"/>
      <c r="C1952" s="11"/>
      <c r="D1952" s="11" t="str">
        <f>IFERROR(__xludf.DUMMYFUNCTION("""COMPUTED_VALUE"""),"CIRURGIAO DENTISTA 20H")</f>
        <v>CIRURGIAO DENTISTA 20H</v>
      </c>
      <c r="E1952" s="11"/>
      <c r="F1952" s="11" t="str">
        <f>IFERROR(__xludf.DUMMYFUNCTION("""COMPUTED_VALUE"""),"US_376 POLICLINICA SALOMAO KELNER")</f>
        <v>US_376 POLICLINICA SALOMAO KELNER</v>
      </c>
      <c r="G1952" s="11" t="str">
        <f>IFERROR(__xludf.DUMMYFUNCTION("""COMPUTED_VALUE"""),"US_376 POLICLINICA SALOMAO KELNER")</f>
        <v>US_376 POLICLINICA SALOMAO KELNER</v>
      </c>
      <c r="H1952" s="11"/>
      <c r="I1952" s="11"/>
      <c r="J1952" s="11"/>
      <c r="K1952" s="11"/>
      <c r="L1952" s="11"/>
      <c r="M1952" s="11"/>
      <c r="N1952" s="11"/>
      <c r="O1952" s="11">
        <f>IFERROR(__xludf.DUMMYFUNCTION("""COMPUTED_VALUE"""),1972045466)</f>
        <v>1972045466</v>
      </c>
      <c r="P1952" s="11"/>
      <c r="Q1952" s="11"/>
      <c r="R1952" s="11"/>
      <c r="S1952" s="11"/>
      <c r="T1952" s="11"/>
      <c r="U1952" s="11"/>
      <c r="V1952" s="11"/>
      <c r="W1952" s="11"/>
      <c r="X1952" s="11"/>
      <c r="Y1952" s="11"/>
      <c r="Z1952" s="11"/>
    </row>
    <row r="1953" customHeight="1" spans="1:26">
      <c r="A1953" s="11" t="str">
        <f>IFERROR(__xludf.DUMMYFUNCTION("""COMPUTED_VALUE"""),"MARIA BERENICE MASSA RAMALHO")</f>
        <v>MARIA BERENICE MASSA RAMALHO</v>
      </c>
      <c r="B1953" s="11"/>
      <c r="C1953" s="11"/>
      <c r="D1953" s="11" t="str">
        <f>IFERROR(__xludf.DUMMYFUNCTION("""COMPUTED_VALUE"""),"CIRURGIAO DENTISTA 20H")</f>
        <v>CIRURGIAO DENTISTA 20H</v>
      </c>
      <c r="E1953" s="11"/>
      <c r="F1953" s="11" t="str">
        <f>IFERROR(__xludf.DUMMYFUNCTION("""COMPUTED_VALUE"""),"US_144 POLICLINICA CLEMENTINO FRAGA")</f>
        <v>US_144 POLICLINICA CLEMENTINO FRAGA</v>
      </c>
      <c r="G1953" s="11" t="str">
        <f>IFERROR(__xludf.DUMMYFUNCTION("""COMPUTED_VALUE"""),"US_144 POLICLINICA CLEMENTINO FRAGA")</f>
        <v>US_144 POLICLINICA CLEMENTINO FRAGA</v>
      </c>
      <c r="H1953" s="11"/>
      <c r="I1953" s="11"/>
      <c r="J1953" s="11"/>
      <c r="K1953" s="11"/>
      <c r="L1953" s="11"/>
      <c r="M1953" s="11"/>
      <c r="N1953" s="11"/>
      <c r="O1953" s="11">
        <f>IFERROR(__xludf.DUMMYFUNCTION("""COMPUTED_VALUE"""),68876114491)</f>
        <v>68876114491</v>
      </c>
      <c r="P1953" s="11"/>
      <c r="Q1953" s="11"/>
      <c r="R1953" s="11"/>
      <c r="S1953" s="11"/>
      <c r="T1953" s="11"/>
      <c r="U1953" s="11"/>
      <c r="V1953" s="11"/>
      <c r="W1953" s="11"/>
      <c r="X1953" s="11"/>
      <c r="Y1953" s="11"/>
      <c r="Z1953" s="11"/>
    </row>
    <row r="1954" customHeight="1" spans="1:26">
      <c r="A1954" s="11" t="str">
        <f>IFERROR(__xludf.DUMMYFUNCTION("""COMPUTED_VALUE"""),"ANDRE GUSTAVO COSTA R BARBOSA")</f>
        <v>ANDRE GUSTAVO COSTA R BARBOSA</v>
      </c>
      <c r="B1954" s="11"/>
      <c r="C1954" s="11"/>
      <c r="D1954" s="11" t="str">
        <f>IFERROR(__xludf.DUMMYFUNCTION("""COMPUTED_VALUE"""),"CIRURGIAO DENTISTA 20H")</f>
        <v>CIRURGIAO DENTISTA 20H</v>
      </c>
      <c r="E1954" s="11"/>
      <c r="F1954" s="11" t="str">
        <f>IFERROR(__xludf.DUMMYFUNCTION("""COMPUTED_VALUE"""),"US_376 POLICLINICA SALOMAO KELNER")</f>
        <v>US_376 POLICLINICA SALOMAO KELNER</v>
      </c>
      <c r="G1954" s="11" t="str">
        <f>IFERROR(__xludf.DUMMYFUNCTION("""COMPUTED_VALUE"""),"US_376 POLICLINICA SALOMAO KELNER")</f>
        <v>US_376 POLICLINICA SALOMAO KELNER</v>
      </c>
      <c r="H1954" s="11"/>
      <c r="I1954" s="11"/>
      <c r="J1954" s="11"/>
      <c r="K1954" s="11"/>
      <c r="L1954" s="11"/>
      <c r="M1954" s="11"/>
      <c r="N1954" s="11"/>
      <c r="O1954" s="11">
        <f>IFERROR(__xludf.DUMMYFUNCTION("""COMPUTED_VALUE"""),78139651400)</f>
        <v>78139651400</v>
      </c>
      <c r="P1954" s="11"/>
      <c r="Q1954" s="11"/>
      <c r="R1954" s="11"/>
      <c r="S1954" s="11"/>
      <c r="T1954" s="11"/>
      <c r="U1954" s="11"/>
      <c r="V1954" s="11"/>
      <c r="W1954" s="11"/>
      <c r="X1954" s="11"/>
      <c r="Y1954" s="11"/>
      <c r="Z1954" s="11"/>
    </row>
    <row r="1955" customHeight="1" spans="1:26">
      <c r="A1955" s="11" t="str">
        <f>IFERROR(__xludf.DUMMYFUNCTION("""COMPUTED_VALUE"""),"LAIS DANZI FRIEDHEIM")</f>
        <v>LAIS DANZI FRIEDHEIM</v>
      </c>
      <c r="B1955" s="11"/>
      <c r="C1955" s="11"/>
      <c r="D1955" s="11" t="str">
        <f>IFERROR(__xludf.DUMMYFUNCTION("""COMPUTED_VALUE"""),"CIRURGIAO DENTISTA 20H")</f>
        <v>CIRURGIAO DENTISTA 20H</v>
      </c>
      <c r="E1955" s="11"/>
      <c r="F1955" s="11" t="str">
        <f>IFERROR(__xludf.DUMMYFUNCTION("""COMPUTED_VALUE"""),"US_128 POLICLINICA LESSA DE ANDRADE")</f>
        <v>US_128 POLICLINICA LESSA DE ANDRADE</v>
      </c>
      <c r="G1955" s="11" t="str">
        <f>IFERROR(__xludf.DUMMYFUNCTION("""COMPUTED_VALUE"""),"US_128 POLICLINICA LESSA DE ANDRADE")</f>
        <v>US_128 POLICLINICA LESSA DE ANDRADE</v>
      </c>
      <c r="H1955" s="11"/>
      <c r="I1955" s="11"/>
      <c r="J1955" s="11"/>
      <c r="K1955" s="11"/>
      <c r="L1955" s="11"/>
      <c r="M1955" s="11"/>
      <c r="N1955" s="11"/>
      <c r="O1955" s="11">
        <f>IFERROR(__xludf.DUMMYFUNCTION("""COMPUTED_VALUE"""),2386066436)</f>
        <v>2386066436</v>
      </c>
      <c r="P1955" s="11"/>
      <c r="Q1955" s="11"/>
      <c r="R1955" s="11"/>
      <c r="S1955" s="11"/>
      <c r="T1955" s="11"/>
      <c r="U1955" s="11"/>
      <c r="V1955" s="11"/>
      <c r="W1955" s="11"/>
      <c r="X1955" s="11"/>
      <c r="Y1955" s="11"/>
      <c r="Z1955" s="11"/>
    </row>
    <row r="1956" customHeight="1" spans="1:26">
      <c r="A1956" s="11" t="str">
        <f>IFERROR(__xludf.DUMMYFUNCTION("""COMPUTED_VALUE"""),"CRISTINA DA CUNHA CANTO LOPES")</f>
        <v>CRISTINA DA CUNHA CANTO LOPES</v>
      </c>
      <c r="B1956" s="11"/>
      <c r="C1956" s="11"/>
      <c r="D1956" s="11" t="str">
        <f>IFERROR(__xludf.DUMMYFUNCTION("""COMPUTED_VALUE"""),"CIRURGIAO DENTISTA 20H")</f>
        <v>CIRURGIAO DENTISTA 20H</v>
      </c>
      <c r="E1956" s="11"/>
      <c r="F1956" s="11" t="str">
        <f>IFERROR(__xludf.DUMMYFUNCTION("""COMPUTED_VALUE"""),"US_144 POLICLINICA CLEMENTINO FRAGA")</f>
        <v>US_144 POLICLINICA CLEMENTINO FRAGA</v>
      </c>
      <c r="G1956" s="11" t="str">
        <f>IFERROR(__xludf.DUMMYFUNCTION("""COMPUTED_VALUE"""),"US_144 POLICLINICA CLEMENTINO FRAGA")</f>
        <v>US_144 POLICLINICA CLEMENTINO FRAGA</v>
      </c>
      <c r="H1956" s="11"/>
      <c r="I1956" s="11"/>
      <c r="J1956" s="11"/>
      <c r="K1956" s="11"/>
      <c r="L1956" s="11"/>
      <c r="M1956" s="11"/>
      <c r="N1956" s="11"/>
      <c r="O1956" s="11">
        <f>IFERROR(__xludf.DUMMYFUNCTION("""COMPUTED_VALUE"""),28496922120)</f>
        <v>28496922120</v>
      </c>
      <c r="P1956" s="11"/>
      <c r="Q1956" s="11"/>
      <c r="R1956" s="11"/>
      <c r="S1956" s="11"/>
      <c r="T1956" s="11"/>
      <c r="U1956" s="11"/>
      <c r="V1956" s="11"/>
      <c r="W1956" s="11"/>
      <c r="X1956" s="11"/>
      <c r="Y1956" s="11"/>
      <c r="Z1956" s="11"/>
    </row>
    <row r="1957" customHeight="1" spans="1:26">
      <c r="A1957" s="11" t="str">
        <f>IFERROR(__xludf.DUMMYFUNCTION("""COMPUTED_VALUE"""),"SILVANA MARIA FERNANDES ROCHA")</f>
        <v>SILVANA MARIA FERNANDES ROCHA</v>
      </c>
      <c r="B1957" s="11"/>
      <c r="C1957" s="11"/>
      <c r="D1957" s="11" t="str">
        <f>IFERROR(__xludf.DUMMYFUNCTION("""COMPUTED_VALUE"""),"CIRURGIAO DENTISTA 20H")</f>
        <v>CIRURGIAO DENTISTA 20H</v>
      </c>
      <c r="E1957" s="11"/>
      <c r="F1957" s="11" t="str">
        <f>IFERROR(__xludf.DUMMYFUNCTION("""COMPUTED_VALUE"""),"US_293 POLICLINICA DO PINA -  PROFESSORA NAIDE REGUEIRA TEODOSIO")</f>
        <v>US_293 POLICLINICA DO PINA -  PROFESSORA NAIDE REGUEIRA TEODOSIO</v>
      </c>
      <c r="G1957" s="11" t="str">
        <f>IFERROR(__xludf.DUMMYFUNCTION("""COMPUTED_VALUE"""),"US_293 POLICLINICA DO PINA -  PROFESSORA NAIDE REGUEIRA TEODOSIO")</f>
        <v>US_293 POLICLINICA DO PINA -  PROFESSORA NAIDE REGUEIRA TEODOSIO</v>
      </c>
      <c r="H1957" s="11"/>
      <c r="I1957" s="11"/>
      <c r="J1957" s="11"/>
      <c r="K1957" s="11"/>
      <c r="L1957" s="11"/>
      <c r="M1957" s="11"/>
      <c r="N1957" s="11"/>
      <c r="O1957" s="11">
        <f>IFERROR(__xludf.DUMMYFUNCTION("""COMPUTED_VALUE"""),54483220420)</f>
        <v>54483220420</v>
      </c>
      <c r="P1957" s="11"/>
      <c r="Q1957" s="11"/>
      <c r="R1957" s="11"/>
      <c r="S1957" s="11"/>
      <c r="T1957" s="11"/>
      <c r="U1957" s="11"/>
      <c r="V1957" s="11"/>
      <c r="W1957" s="11"/>
      <c r="X1957" s="11"/>
      <c r="Y1957" s="11"/>
      <c r="Z1957" s="11"/>
    </row>
    <row r="1958" customHeight="1" spans="1:26">
      <c r="A1958" s="11" t="str">
        <f>IFERROR(__xludf.DUMMYFUNCTION("""COMPUTED_VALUE"""),"ALEX FERNANDES MARINHO CORREIA")</f>
        <v>ALEX FERNANDES MARINHO CORREIA</v>
      </c>
      <c r="B1958" s="11"/>
      <c r="C1958" s="11"/>
      <c r="D1958" s="11" t="str">
        <f>IFERROR(__xludf.DUMMYFUNCTION("""COMPUTED_VALUE"""),"CIRURGIAO DENTISTA 40H")</f>
        <v>CIRURGIAO DENTISTA 40H</v>
      </c>
      <c r="E1958" s="11"/>
      <c r="F1958" s="11" t="str">
        <f>IFERROR(__xludf.DUMMYFUNCTION("""COMPUTED_VALUE"""),"US_376 POLICLINICA SALOMAO KELNER")</f>
        <v>US_376 POLICLINICA SALOMAO KELNER</v>
      </c>
      <c r="G1958" s="11" t="str">
        <f>IFERROR(__xludf.DUMMYFUNCTION("""COMPUTED_VALUE"""),"US_376 POLICLINICA SALOMAO KELNER")</f>
        <v>US_376 POLICLINICA SALOMAO KELNER</v>
      </c>
      <c r="H1958" s="11"/>
      <c r="I1958" s="11"/>
      <c r="J1958" s="11"/>
      <c r="K1958" s="11"/>
      <c r="L1958" s="11"/>
      <c r="M1958" s="11"/>
      <c r="N1958" s="11"/>
      <c r="O1958" s="11">
        <f>IFERROR(__xludf.DUMMYFUNCTION("""COMPUTED_VALUE"""),2430847493)</f>
        <v>2430847493</v>
      </c>
      <c r="P1958" s="11"/>
      <c r="Q1958" s="11"/>
      <c r="R1958" s="11"/>
      <c r="S1958" s="11"/>
      <c r="T1958" s="11"/>
      <c r="U1958" s="11"/>
      <c r="V1958" s="11"/>
      <c r="W1958" s="11"/>
      <c r="X1958" s="11"/>
      <c r="Y1958" s="11"/>
      <c r="Z1958" s="11"/>
    </row>
    <row r="1959" customHeight="1" spans="1:26">
      <c r="A1959" s="11" t="str">
        <f>IFERROR(__xludf.DUMMYFUNCTION("""COMPUTED_VALUE"""),"Mª AUXILIADORA GOMES COSTA")</f>
        <v>Mª AUXILIADORA GOMES COSTA</v>
      </c>
      <c r="B1959" s="11"/>
      <c r="C1959" s="11"/>
      <c r="D1959" s="11" t="str">
        <f>IFERROR(__xludf.DUMMYFUNCTION("""COMPUTED_VALUE"""),"SERV DE ORGAO MUNICIPALIZ RP")</f>
        <v>SERV DE ORGAO MUNICIPALIZ RP</v>
      </c>
      <c r="E1959" s="11"/>
      <c r="F1959" s="11" t="str">
        <f>IFERROR(__xludf.DUMMYFUNCTION("""COMPUTED_VALUE"""),"US_128 POLICLINICA LESSA DE ANDRADE")</f>
        <v>US_128 POLICLINICA LESSA DE ANDRADE</v>
      </c>
      <c r="G1959" s="11" t="str">
        <f>IFERROR(__xludf.DUMMYFUNCTION("""COMPUTED_VALUE"""),"US_128 POLICLINICA LESSA DE ANDRADE")</f>
        <v>US_128 POLICLINICA LESSA DE ANDRADE</v>
      </c>
      <c r="H1959" s="11"/>
      <c r="I1959" s="11"/>
      <c r="J1959" s="11"/>
      <c r="K1959" s="11"/>
      <c r="L1959" s="11"/>
      <c r="M1959" s="11"/>
      <c r="N1959" s="11"/>
      <c r="O1959" s="11">
        <f>IFERROR(__xludf.DUMMYFUNCTION("""COMPUTED_VALUE"""),26499207420)</f>
        <v>26499207420</v>
      </c>
      <c r="P1959" s="11"/>
      <c r="Q1959" s="11"/>
      <c r="R1959" s="11"/>
      <c r="S1959" s="11"/>
      <c r="T1959" s="11"/>
      <c r="U1959" s="11"/>
      <c r="V1959" s="11"/>
      <c r="W1959" s="11"/>
      <c r="X1959" s="11"/>
      <c r="Y1959" s="11"/>
      <c r="Z1959" s="11"/>
    </row>
    <row r="1960" customHeight="1" spans="1:26">
      <c r="A1960" s="11" t="str">
        <f>IFERROR(__xludf.DUMMYFUNCTION("""COMPUTED_VALUE"""),"IVANA WANDERLEY FIGUEIROA")</f>
        <v>IVANA WANDERLEY FIGUEIROA</v>
      </c>
      <c r="B1960" s="11"/>
      <c r="C1960" s="11"/>
      <c r="D1960" s="11" t="str">
        <f>IFERROR(__xludf.DUMMYFUNCTION("""COMPUTED_VALUE"""),"CIRURGIAO DENTISTA 20H")</f>
        <v>CIRURGIAO DENTISTA 20H</v>
      </c>
      <c r="E1960" s="11"/>
      <c r="F1960" s="11" t="str">
        <f>IFERROR(__xludf.DUMMYFUNCTION("""COMPUTED_VALUE"""),"US_144 POLICLINICA CLEMENTINO FRAGA")</f>
        <v>US_144 POLICLINICA CLEMENTINO FRAGA</v>
      </c>
      <c r="G1960" s="11" t="str">
        <f>IFERROR(__xludf.DUMMYFUNCTION("""COMPUTED_VALUE"""),"US_144 POLICLINICA CLEMENTINO FRAGA")</f>
        <v>US_144 POLICLINICA CLEMENTINO FRAGA</v>
      </c>
      <c r="H1960" s="11"/>
      <c r="I1960" s="11"/>
      <c r="J1960" s="11"/>
      <c r="K1960" s="11"/>
      <c r="L1960" s="11"/>
      <c r="M1960" s="11"/>
      <c r="N1960" s="11"/>
      <c r="O1960" s="11">
        <f>IFERROR(__xludf.DUMMYFUNCTION("""COMPUTED_VALUE"""),77965949415)</f>
        <v>77965949415</v>
      </c>
      <c r="P1960" s="11"/>
      <c r="Q1960" s="11"/>
      <c r="R1960" s="11"/>
      <c r="S1960" s="11"/>
      <c r="T1960" s="11"/>
      <c r="U1960" s="11"/>
      <c r="V1960" s="11"/>
      <c r="W1960" s="11"/>
      <c r="X1960" s="11"/>
      <c r="Y1960" s="11"/>
      <c r="Z1960" s="11"/>
    </row>
    <row r="1961" customHeight="1" spans="1:26">
      <c r="A1961" s="11" t="str">
        <f>IFERROR(__xludf.DUMMYFUNCTION("""COMPUTED_VALUE"""),"THAISA DE CARVALHO MACIEL")</f>
        <v>THAISA DE CARVALHO MACIEL</v>
      </c>
      <c r="B1961" s="11"/>
      <c r="C1961" s="11"/>
      <c r="D1961" s="11" t="str">
        <f>IFERROR(__xludf.DUMMYFUNCTION("""COMPUTED_VALUE"""),"CIRURGIAO DENTISTA 20H")</f>
        <v>CIRURGIAO DENTISTA 20H</v>
      </c>
      <c r="E1961" s="11"/>
      <c r="F1961" s="11" t="str">
        <f>IFERROR(__xludf.DUMMYFUNCTION("""COMPUTED_VALUE"""),"US_376 POLICLINICA SALOMAO KELNER")</f>
        <v>US_376 POLICLINICA SALOMAO KELNER</v>
      </c>
      <c r="G1961" s="11" t="str">
        <f>IFERROR(__xludf.DUMMYFUNCTION("""COMPUTED_VALUE"""),"US_376 POLICLINICA SALOMAO KELNER")</f>
        <v>US_376 POLICLINICA SALOMAO KELNER</v>
      </c>
      <c r="H1961" s="11"/>
      <c r="I1961" s="11"/>
      <c r="J1961" s="11"/>
      <c r="K1961" s="11"/>
      <c r="L1961" s="11"/>
      <c r="M1961" s="11"/>
      <c r="N1961" s="11"/>
      <c r="O1961" s="11">
        <f>IFERROR(__xludf.DUMMYFUNCTION("""COMPUTED_VALUE"""),5526334457)</f>
        <v>5526334457</v>
      </c>
      <c r="P1961" s="11"/>
      <c r="Q1961" s="11"/>
      <c r="R1961" s="11"/>
      <c r="S1961" s="11"/>
      <c r="T1961" s="11"/>
      <c r="U1961" s="11"/>
      <c r="V1961" s="11"/>
      <c r="W1961" s="11"/>
      <c r="X1961" s="11"/>
      <c r="Y1961" s="11"/>
      <c r="Z1961" s="11"/>
    </row>
    <row r="1962" customHeight="1" spans="1:26">
      <c r="A1962" s="11" t="str">
        <f>IFERROR(__xludf.DUMMYFUNCTION("""COMPUTED_VALUE"""),"ISABELA MARIA SANTIAGO JAEGGER")</f>
        <v>ISABELA MARIA SANTIAGO JAEGGER</v>
      </c>
      <c r="B1962" s="11"/>
      <c r="C1962" s="11"/>
      <c r="D1962" s="11" t="str">
        <f>IFERROR(__xludf.DUMMYFUNCTION("""COMPUTED_VALUE"""),"CIRURGIAO DENTISTA 20H")</f>
        <v>CIRURGIAO DENTISTA 20H</v>
      </c>
      <c r="E1962" s="11"/>
      <c r="F1962" s="11" t="str">
        <f>IFERROR(__xludf.DUMMYFUNCTION("""COMPUTED_VALUE"""),"US_144 POLICLINICA CLEMENTINO FRAGA")</f>
        <v>US_144 POLICLINICA CLEMENTINO FRAGA</v>
      </c>
      <c r="G1962" s="11" t="str">
        <f>IFERROR(__xludf.DUMMYFUNCTION("""COMPUTED_VALUE"""),"US_144 POLICLINICA CLEMENTINO FRAGA")</f>
        <v>US_144 POLICLINICA CLEMENTINO FRAGA</v>
      </c>
      <c r="H1962" s="11"/>
      <c r="I1962" s="11"/>
      <c r="J1962" s="11"/>
      <c r="K1962" s="11"/>
      <c r="L1962" s="11"/>
      <c r="M1962" s="11"/>
      <c r="N1962" s="11"/>
      <c r="O1962" s="11">
        <f>IFERROR(__xludf.DUMMYFUNCTION("""COMPUTED_VALUE"""),1074689488)</f>
        <v>1074689488</v>
      </c>
      <c r="P1962" s="11"/>
      <c r="Q1962" s="11"/>
      <c r="R1962" s="11"/>
      <c r="S1962" s="11"/>
      <c r="T1962" s="11"/>
      <c r="U1962" s="11"/>
      <c r="V1962" s="11"/>
      <c r="W1962" s="11"/>
      <c r="X1962" s="11"/>
      <c r="Y1962" s="11"/>
      <c r="Z1962" s="11"/>
    </row>
    <row r="1963" customHeight="1" spans="1:26">
      <c r="A1963" s="11" t="str">
        <f>IFERROR(__xludf.DUMMYFUNCTION("""COMPUTED_VALUE"""),"POLLIANA VILACA SILVA")</f>
        <v>POLLIANA VILACA SILVA</v>
      </c>
      <c r="B1963" s="11"/>
      <c r="C1963" s="11"/>
      <c r="D1963" s="11" t="str">
        <f>IFERROR(__xludf.DUMMYFUNCTION("""COMPUTED_VALUE"""),"CIRURGIAO DENTISTA 20H")</f>
        <v>CIRURGIAO DENTISTA 20H</v>
      </c>
      <c r="E1963" s="11"/>
      <c r="F1963" s="11" t="str">
        <f>IFERROR(__xludf.DUMMYFUNCTION("""COMPUTED_VALUE"""),"US_144 POLICLINICA CLEMENTINO FRAGA")</f>
        <v>US_144 POLICLINICA CLEMENTINO FRAGA</v>
      </c>
      <c r="G1963" s="11" t="str">
        <f>IFERROR(__xludf.DUMMYFUNCTION("""COMPUTED_VALUE"""),"US_144 POLICLINICA CLEMENTINO FRAGA")</f>
        <v>US_144 POLICLINICA CLEMENTINO FRAGA</v>
      </c>
      <c r="H1963" s="11"/>
      <c r="I1963" s="11"/>
      <c r="J1963" s="11"/>
      <c r="K1963" s="11"/>
      <c r="L1963" s="11"/>
      <c r="M1963" s="11"/>
      <c r="N1963" s="11"/>
      <c r="O1963" s="11">
        <f>IFERROR(__xludf.DUMMYFUNCTION("""COMPUTED_VALUE"""),3547115477)</f>
        <v>3547115477</v>
      </c>
      <c r="P1963" s="11"/>
      <c r="Q1963" s="11"/>
      <c r="R1963" s="11"/>
      <c r="S1963" s="11"/>
      <c r="T1963" s="11"/>
      <c r="U1963" s="11"/>
      <c r="V1963" s="11"/>
      <c r="W1963" s="11"/>
      <c r="X1963" s="11"/>
      <c r="Y1963" s="11"/>
      <c r="Z1963" s="11"/>
    </row>
    <row r="1964" customHeight="1" spans="1:26">
      <c r="A1964" s="11" t="str">
        <f>IFERROR(__xludf.DUMMYFUNCTION("""COMPUTED_VALUE"""),"RENATA GABRIELA O CAVALCANTI")</f>
        <v>RENATA GABRIELA O CAVALCANTI</v>
      </c>
      <c r="B1964" s="11"/>
      <c r="C1964" s="11"/>
      <c r="D1964" s="11" t="str">
        <f>IFERROR(__xludf.DUMMYFUNCTION("""COMPUTED_VALUE"""),"CIRURGIAO DENTISTA 20H")</f>
        <v>CIRURGIAO DENTISTA 20H</v>
      </c>
      <c r="E1964" s="11"/>
      <c r="F1964" s="11" t="str">
        <f>IFERROR(__xludf.DUMMYFUNCTION("""COMPUTED_VALUE"""),"US_128 POLICLINICA LESSA DE ANDRADE")</f>
        <v>US_128 POLICLINICA LESSA DE ANDRADE</v>
      </c>
      <c r="G1964" s="11" t="str">
        <f>IFERROR(__xludf.DUMMYFUNCTION("""COMPUTED_VALUE"""),"US_128 POLICLINICA LESSA DE ANDRADE")</f>
        <v>US_128 POLICLINICA LESSA DE ANDRADE</v>
      </c>
      <c r="H1964" s="11"/>
      <c r="I1964" s="11"/>
      <c r="J1964" s="11"/>
      <c r="K1964" s="11"/>
      <c r="L1964" s="11"/>
      <c r="M1964" s="11"/>
      <c r="N1964" s="11"/>
      <c r="O1964" s="11">
        <f>IFERROR(__xludf.DUMMYFUNCTION("""COMPUTED_VALUE"""),6741265481)</f>
        <v>6741265481</v>
      </c>
      <c r="P1964" s="11"/>
      <c r="Q1964" s="11"/>
      <c r="R1964" s="11"/>
      <c r="S1964" s="11"/>
      <c r="T1964" s="11"/>
      <c r="U1964" s="11"/>
      <c r="V1964" s="11"/>
      <c r="W1964" s="11"/>
      <c r="X1964" s="11"/>
      <c r="Y1964" s="11"/>
      <c r="Z1964" s="11"/>
    </row>
    <row r="1965" customHeight="1" spans="1:26">
      <c r="A1965" s="11" t="str">
        <f>IFERROR(__xludf.DUMMYFUNCTION("""COMPUTED_VALUE"""),"KEYLLA MARINHO A B M CAMPOS")</f>
        <v>KEYLLA MARINHO A B M CAMPOS</v>
      </c>
      <c r="B1965" s="11"/>
      <c r="C1965" s="11"/>
      <c r="D1965" s="11" t="str">
        <f>IFERROR(__xludf.DUMMYFUNCTION("""COMPUTED_VALUE"""),"CIRURGIAO DENTISTA 20H")</f>
        <v>CIRURGIAO DENTISTA 20H</v>
      </c>
      <c r="E1965" s="11"/>
      <c r="F1965" s="11" t="str">
        <f>IFERROR(__xludf.DUMMYFUNCTION("""COMPUTED_VALUE"""),"US_128 POLICLINICA LESSA DE ANDRADE")</f>
        <v>US_128 POLICLINICA LESSA DE ANDRADE</v>
      </c>
      <c r="G1965" s="11" t="str">
        <f>IFERROR(__xludf.DUMMYFUNCTION("""COMPUTED_VALUE"""),"US_128 POLICLINICA LESSA DE ANDRADE")</f>
        <v>US_128 POLICLINICA LESSA DE ANDRADE</v>
      </c>
      <c r="H1965" s="11"/>
      <c r="I1965" s="11"/>
      <c r="J1965" s="11"/>
      <c r="K1965" s="11"/>
      <c r="L1965" s="11"/>
      <c r="M1965" s="11"/>
      <c r="N1965" s="11"/>
      <c r="O1965" s="11">
        <f>IFERROR(__xludf.DUMMYFUNCTION("""COMPUTED_VALUE"""),4553911493)</f>
        <v>4553911493</v>
      </c>
      <c r="P1965" s="11"/>
      <c r="Q1965" s="11"/>
      <c r="R1965" s="11"/>
      <c r="S1965" s="11"/>
      <c r="T1965" s="11"/>
      <c r="U1965" s="11"/>
      <c r="V1965" s="11"/>
      <c r="W1965" s="11"/>
      <c r="X1965" s="11"/>
      <c r="Y1965" s="11"/>
      <c r="Z1965" s="11"/>
    </row>
    <row r="1966" customHeight="1" spans="1:26">
      <c r="A1966" s="11" t="str">
        <f>IFERROR(__xludf.DUMMYFUNCTION("""COMPUTED_VALUE"""),"IVSON SOUZA CATUNDA")</f>
        <v>IVSON SOUZA CATUNDA</v>
      </c>
      <c r="B1966" s="11"/>
      <c r="C1966" s="11"/>
      <c r="D1966" s="11" t="str">
        <f>IFERROR(__xludf.DUMMYFUNCTION("""COMPUTED_VALUE"""),"CIRURGIAO DENTISTA 20H")</f>
        <v>CIRURGIAO DENTISTA 20H</v>
      </c>
      <c r="E1966" s="11"/>
      <c r="F1966" s="11" t="str">
        <f>IFERROR(__xludf.DUMMYFUNCTION("""COMPUTED_VALUE"""),"US_293 POLICLINICA DO PINA -  PROFESSORA NAIDE REGUEIRA TEODOSIO")</f>
        <v>US_293 POLICLINICA DO PINA -  PROFESSORA NAIDE REGUEIRA TEODOSIO</v>
      </c>
      <c r="G1966" s="11" t="str">
        <f>IFERROR(__xludf.DUMMYFUNCTION("""COMPUTED_VALUE"""),"US_293 POLICLINICA DO PINA -  PROFESSORA NAIDE REGUEIRA TEODOSIO")</f>
        <v>US_293 POLICLINICA DO PINA -  PROFESSORA NAIDE REGUEIRA TEODOSIO</v>
      </c>
      <c r="H1966" s="11"/>
      <c r="I1966" s="11"/>
      <c r="J1966" s="11"/>
      <c r="K1966" s="11"/>
      <c r="L1966" s="11"/>
      <c r="M1966" s="11"/>
      <c r="N1966" s="11"/>
      <c r="O1966" s="11">
        <f>IFERROR(__xludf.DUMMYFUNCTION("""COMPUTED_VALUE"""),4035503436)</f>
        <v>4035503436</v>
      </c>
      <c r="P1966" s="11"/>
      <c r="Q1966" s="11"/>
      <c r="R1966" s="11"/>
      <c r="S1966" s="11"/>
      <c r="T1966" s="11"/>
      <c r="U1966" s="11"/>
      <c r="V1966" s="11"/>
      <c r="W1966" s="11"/>
      <c r="X1966" s="11"/>
      <c r="Y1966" s="11"/>
      <c r="Z1966" s="11"/>
    </row>
    <row r="1967" customHeight="1" spans="1:26">
      <c r="A1967" s="11" t="str">
        <f>IFERROR(__xludf.DUMMYFUNCTION("""COMPUTED_VALUE"""),"RENATA DE A CAVALCANTI ALMEIDA")</f>
        <v>RENATA DE A CAVALCANTI ALMEIDA</v>
      </c>
      <c r="B1967" s="11"/>
      <c r="C1967" s="11"/>
      <c r="D1967" s="11" t="str">
        <f>IFERROR(__xludf.DUMMYFUNCTION("""COMPUTED_VALUE"""),"CIRURGIAO DENTISTA 20H")</f>
        <v>CIRURGIAO DENTISTA 20H</v>
      </c>
      <c r="E1967" s="11"/>
      <c r="F1967" s="11" t="str">
        <f>IFERROR(__xludf.DUMMYFUNCTION("""COMPUTED_VALUE"""),"US_128 POLICLINICA LESSA DE ANDRADE")</f>
        <v>US_128 POLICLINICA LESSA DE ANDRADE</v>
      </c>
      <c r="G1967" s="11" t="str">
        <f>IFERROR(__xludf.DUMMYFUNCTION("""COMPUTED_VALUE"""),"US_128 POLICLINICA LESSA DE ANDRADE")</f>
        <v>US_128 POLICLINICA LESSA DE ANDRADE</v>
      </c>
      <c r="H1967" s="11"/>
      <c r="I1967" s="11"/>
      <c r="J1967" s="11"/>
      <c r="K1967" s="11"/>
      <c r="L1967" s="11"/>
      <c r="M1967" s="11"/>
      <c r="N1967" s="11"/>
      <c r="O1967" s="11">
        <f>IFERROR(__xludf.DUMMYFUNCTION("""COMPUTED_VALUE"""),3952057436)</f>
        <v>3952057436</v>
      </c>
      <c r="P1967" s="11"/>
      <c r="Q1967" s="11"/>
      <c r="R1967" s="11"/>
      <c r="S1967" s="11"/>
      <c r="T1967" s="11"/>
      <c r="U1967" s="11"/>
      <c r="V1967" s="11"/>
      <c r="W1967" s="11"/>
      <c r="X1967" s="11"/>
      <c r="Y1967" s="11"/>
      <c r="Z1967" s="11"/>
    </row>
    <row r="1968" customHeight="1" spans="1:26">
      <c r="A1968" s="11" t="str">
        <f>IFERROR(__xludf.DUMMYFUNCTION("""COMPUTED_VALUE"""),"ANNA BEATRIZ ALVES B NETTO")</f>
        <v>ANNA BEATRIZ ALVES B NETTO</v>
      </c>
      <c r="B1968" s="11"/>
      <c r="C1968" s="11"/>
      <c r="D1968" s="11" t="str">
        <f>IFERROR(__xludf.DUMMYFUNCTION("""COMPUTED_VALUE"""),"CIRURGIAO DENTISTA 20H")</f>
        <v>CIRURGIAO DENTISTA 20H</v>
      </c>
      <c r="E1968" s="11"/>
      <c r="F1968" s="11" t="str">
        <f>IFERROR(__xludf.DUMMYFUNCTION("""COMPUTED_VALUE"""),"US_293 POLICLINICA DO PINA -  PROFESSORA NAIDE REGUEIRA TEODOSIO")</f>
        <v>US_293 POLICLINICA DO PINA -  PROFESSORA NAIDE REGUEIRA TEODOSIO</v>
      </c>
      <c r="G1968" s="11" t="str">
        <f>IFERROR(__xludf.DUMMYFUNCTION("""COMPUTED_VALUE"""),"US_293 POLICLINICA DO PINA -  PROFESSORA NAIDE REGUEIRA TEODOSIO")</f>
        <v>US_293 POLICLINICA DO PINA -  PROFESSORA NAIDE REGUEIRA TEODOSIO</v>
      </c>
      <c r="H1968" s="11"/>
      <c r="I1968" s="11"/>
      <c r="J1968" s="11"/>
      <c r="K1968" s="11"/>
      <c r="L1968" s="11"/>
      <c r="M1968" s="11"/>
      <c r="N1968" s="11"/>
      <c r="O1968" s="11">
        <f>IFERROR(__xludf.DUMMYFUNCTION("""COMPUTED_VALUE"""),2564883478)</f>
        <v>2564883478</v>
      </c>
      <c r="P1968" s="11"/>
      <c r="Q1968" s="11"/>
      <c r="R1968" s="11"/>
      <c r="S1968" s="11"/>
      <c r="T1968" s="11"/>
      <c r="U1968" s="11"/>
      <c r="V1968" s="11"/>
      <c r="W1968" s="11"/>
      <c r="X1968" s="11"/>
      <c r="Y1968" s="11"/>
      <c r="Z1968" s="11"/>
    </row>
    <row r="1969" customHeight="1" spans="1:26">
      <c r="A1969" s="11" t="str">
        <f>IFERROR(__xludf.DUMMYFUNCTION("""COMPUTED_VALUE"""),"JULIANA FREIRE DE O E SILVA")</f>
        <v>JULIANA FREIRE DE O E SILVA</v>
      </c>
      <c r="B1969" s="11"/>
      <c r="C1969" s="11"/>
      <c r="D1969" s="11" t="str">
        <f>IFERROR(__xludf.DUMMYFUNCTION("""COMPUTED_VALUE"""),"CIRURGIAO DENTISTA 20H")</f>
        <v>CIRURGIAO DENTISTA 20H</v>
      </c>
      <c r="E1969" s="11"/>
      <c r="F1969" s="11" t="str">
        <f>IFERROR(__xludf.DUMMYFUNCTION("""COMPUTED_VALUE"""),"US_293 POLICLINICA DO PINA -  PROFESSORA NAIDE REGUEIRA TEODOSIO")</f>
        <v>US_293 POLICLINICA DO PINA -  PROFESSORA NAIDE REGUEIRA TEODOSIO</v>
      </c>
      <c r="G1969" s="11" t="str">
        <f>IFERROR(__xludf.DUMMYFUNCTION("""COMPUTED_VALUE"""),"US_293 POLICLINICA DO PINA -  PROFESSORA NAIDE REGUEIRA TEODOSIO")</f>
        <v>US_293 POLICLINICA DO PINA -  PROFESSORA NAIDE REGUEIRA TEODOSIO</v>
      </c>
      <c r="H1969" s="11"/>
      <c r="I1969" s="11"/>
      <c r="J1969" s="11"/>
      <c r="K1969" s="11"/>
      <c r="L1969" s="11"/>
      <c r="M1969" s="11"/>
      <c r="N1969" s="11"/>
      <c r="O1969" s="11">
        <f>IFERROR(__xludf.DUMMYFUNCTION("""COMPUTED_VALUE"""),86559346404)</f>
        <v>86559346404</v>
      </c>
      <c r="P1969" s="11"/>
      <c r="Q1969" s="11"/>
      <c r="R1969" s="11"/>
      <c r="S1969" s="11"/>
      <c r="T1969" s="11"/>
      <c r="U1969" s="11"/>
      <c r="V1969" s="11"/>
      <c r="W1969" s="11"/>
      <c r="X1969" s="11"/>
      <c r="Y1969" s="11"/>
      <c r="Z1969" s="11"/>
    </row>
    <row r="1970" customHeight="1" spans="1:26">
      <c r="A1970" s="11" t="str">
        <f>IFERROR(__xludf.DUMMYFUNCTION("""COMPUTED_VALUE"""),"ALLINE LINS DE LUNA")</f>
        <v>ALLINE LINS DE LUNA</v>
      </c>
      <c r="B1970" s="11"/>
      <c r="C1970" s="11"/>
      <c r="D1970" s="11" t="str">
        <f>IFERROR(__xludf.DUMMYFUNCTION("""COMPUTED_VALUE"""),"CIRURGIAO DENTISTA 20H")</f>
        <v>CIRURGIAO DENTISTA 20H</v>
      </c>
      <c r="E1970" s="11"/>
      <c r="F1970" s="11" t="str">
        <f>IFERROR(__xludf.DUMMYFUNCTION("""COMPUTED_VALUE"""),"US_128 POLICLINICA LESSA DE ANDRADE")</f>
        <v>US_128 POLICLINICA LESSA DE ANDRADE</v>
      </c>
      <c r="G1970" s="11" t="str">
        <f>IFERROR(__xludf.DUMMYFUNCTION("""COMPUTED_VALUE"""),"US_128 POLICLINICA LESSA DE ANDRADE")</f>
        <v>US_128 POLICLINICA LESSA DE ANDRADE</v>
      </c>
      <c r="H1970" s="11"/>
      <c r="I1970" s="11"/>
      <c r="J1970" s="11"/>
      <c r="K1970" s="11"/>
      <c r="L1970" s="11"/>
      <c r="M1970" s="11"/>
      <c r="N1970" s="11"/>
      <c r="O1970" s="11">
        <f>IFERROR(__xludf.DUMMYFUNCTION("""COMPUTED_VALUE"""),5158340412)</f>
        <v>5158340412</v>
      </c>
      <c r="P1970" s="11"/>
      <c r="Q1970" s="11"/>
      <c r="R1970" s="11"/>
      <c r="S1970" s="11"/>
      <c r="T1970" s="11"/>
      <c r="U1970" s="11"/>
      <c r="V1970" s="11"/>
      <c r="W1970" s="11"/>
      <c r="X1970" s="11"/>
      <c r="Y1970" s="11"/>
      <c r="Z1970" s="11"/>
    </row>
    <row r="1971" customHeight="1" spans="1:26">
      <c r="A1971" s="11" t="str">
        <f>IFERROR(__xludf.DUMMYFUNCTION("""COMPUTED_VALUE"""),"GISELLE BARBOSA DE CARVALHO")</f>
        <v>GISELLE BARBOSA DE CARVALHO</v>
      </c>
      <c r="B1971" s="11"/>
      <c r="C1971" s="11"/>
      <c r="D1971" s="11" t="str">
        <f>IFERROR(__xludf.DUMMYFUNCTION("""COMPUTED_VALUE"""),"CIRURGIAO DENTISTA 40H")</f>
        <v>CIRURGIAO DENTISTA 40H</v>
      </c>
      <c r="E1971" s="11"/>
      <c r="F1971" s="11" t="str">
        <f>IFERROR(__xludf.DUMMYFUNCTION("""COMPUTED_VALUE"""),"US_376 POLICLINICA SALOMAO KELNER")</f>
        <v>US_376 POLICLINICA SALOMAO KELNER</v>
      </c>
      <c r="G1971" s="11" t="str">
        <f>IFERROR(__xludf.DUMMYFUNCTION("""COMPUTED_VALUE"""),"US_376 POLICLINICA SALOMAO KELNER")</f>
        <v>US_376 POLICLINICA SALOMAO KELNER</v>
      </c>
      <c r="H1971" s="11"/>
      <c r="I1971" s="11"/>
      <c r="J1971" s="11"/>
      <c r="K1971" s="11"/>
      <c r="L1971" s="11"/>
      <c r="M1971" s="11"/>
      <c r="N1971" s="11"/>
      <c r="O1971" s="11">
        <f>IFERROR(__xludf.DUMMYFUNCTION("""COMPUTED_VALUE"""),4580347463)</f>
        <v>4580347463</v>
      </c>
      <c r="P1971" s="11"/>
      <c r="Q1971" s="11"/>
      <c r="R1971" s="11"/>
      <c r="S1971" s="11"/>
      <c r="T1971" s="11"/>
      <c r="U1971" s="11"/>
      <c r="V1971" s="11"/>
      <c r="W1971" s="11"/>
      <c r="X1971" s="11"/>
      <c r="Y1971" s="11"/>
      <c r="Z1971" s="11"/>
    </row>
    <row r="1972" customHeight="1" spans="1:26">
      <c r="A1972" s="11" t="str">
        <f>IFERROR(__xludf.DUMMYFUNCTION("""COMPUTED_VALUE"""),"NEY PIMENTEL DE LIMA")</f>
        <v>NEY PIMENTEL DE LIMA</v>
      </c>
      <c r="B1972" s="11"/>
      <c r="C1972" s="11"/>
      <c r="D1972" s="11" t="str">
        <f>IFERROR(__xludf.DUMMYFUNCTION("""COMPUTED_VALUE"""),"CIRURGIAO DENTISTA 20H")</f>
        <v>CIRURGIAO DENTISTA 20H</v>
      </c>
      <c r="E1972" s="11"/>
      <c r="F1972" s="11" t="str">
        <f>IFERROR(__xludf.DUMMYFUNCTION("""COMPUTED_VALUE"""),"US_293 POLICLINICA DO PINA -  PROFESSORA NAIDE REGUEIRA TEODOSIO")</f>
        <v>US_293 POLICLINICA DO PINA -  PROFESSORA NAIDE REGUEIRA TEODOSIO</v>
      </c>
      <c r="G1972" s="11" t="str">
        <f>IFERROR(__xludf.DUMMYFUNCTION("""COMPUTED_VALUE"""),"US_293 POLICLINICA DO PINA -  PROFESSORA NAIDE REGUEIRA TEODOSIO")</f>
        <v>US_293 POLICLINICA DO PINA -  PROFESSORA NAIDE REGUEIRA TEODOSIO</v>
      </c>
      <c r="H1972" s="11"/>
      <c r="I1972" s="11"/>
      <c r="J1972" s="11"/>
      <c r="K1972" s="11"/>
      <c r="L1972" s="11"/>
      <c r="M1972" s="11"/>
      <c r="N1972" s="11"/>
      <c r="O1972" s="11">
        <f>IFERROR(__xludf.DUMMYFUNCTION("""COMPUTED_VALUE"""),66667232449)</f>
        <v>66667232449</v>
      </c>
      <c r="P1972" s="11"/>
      <c r="Q1972" s="11"/>
      <c r="R1972" s="11"/>
      <c r="S1972" s="11"/>
      <c r="T1972" s="11"/>
      <c r="U1972" s="11"/>
      <c r="V1972" s="11"/>
      <c r="W1972" s="11"/>
      <c r="X1972" s="11"/>
      <c r="Y1972" s="11"/>
      <c r="Z1972" s="11"/>
    </row>
    <row r="1973" customHeight="1" spans="1:26">
      <c r="A1973" s="11" t="str">
        <f>IFERROR(__xludf.DUMMYFUNCTION("""COMPUTED_VALUE"""),"CLARYSSA XIMENES DE M ARAUJO")</f>
        <v>CLARYSSA XIMENES DE M ARAUJO</v>
      </c>
      <c r="B1973" s="11"/>
      <c r="C1973" s="11"/>
      <c r="D1973" s="11" t="str">
        <f>IFERROR(__xludf.DUMMYFUNCTION("""COMPUTED_VALUE"""),"CIRURGIAO DENTISTA 20H")</f>
        <v>CIRURGIAO DENTISTA 20H</v>
      </c>
      <c r="E1973" s="11"/>
      <c r="F1973" s="11" t="str">
        <f>IFERROR(__xludf.DUMMYFUNCTION("""COMPUTED_VALUE"""),"US_162 POLICLINICA ALBERT SABIN")</f>
        <v>US_162 POLICLINICA ALBERT SABIN</v>
      </c>
      <c r="G1973" s="11" t="str">
        <f>IFERROR(__xludf.DUMMYFUNCTION("""COMPUTED_VALUE"""),"US_162 POLICLINICA ALBERT SABIN")</f>
        <v>US_162 POLICLINICA ALBERT SABIN</v>
      </c>
      <c r="H1973" s="11"/>
      <c r="I1973" s="11"/>
      <c r="J1973" s="11"/>
      <c r="K1973" s="11"/>
      <c r="L1973" s="11"/>
      <c r="M1973" s="11"/>
      <c r="N1973" s="11"/>
      <c r="O1973" s="11">
        <f>IFERROR(__xludf.DUMMYFUNCTION("""COMPUTED_VALUE"""),4907834497)</f>
        <v>4907834497</v>
      </c>
      <c r="P1973" s="11"/>
      <c r="Q1973" s="11"/>
      <c r="R1973" s="11"/>
      <c r="S1973" s="11"/>
      <c r="T1973" s="11"/>
      <c r="U1973" s="11"/>
      <c r="V1973" s="11"/>
      <c r="W1973" s="11"/>
      <c r="X1973" s="11"/>
      <c r="Y1973" s="11"/>
      <c r="Z1973" s="11"/>
    </row>
    <row r="1974" customHeight="1" spans="1:26">
      <c r="A1974" s="11" t="str">
        <f>IFERROR(__xludf.DUMMYFUNCTION("""COMPUTED_VALUE"""),"VIVIANE REGO PINTO CAVALCANTI")</f>
        <v>VIVIANE REGO PINTO CAVALCANTI</v>
      </c>
      <c r="B1974" s="11"/>
      <c r="C1974" s="11"/>
      <c r="D1974" s="11" t="str">
        <f>IFERROR(__xludf.DUMMYFUNCTION("""COMPUTED_VALUE"""),"CIRURGIAO DENTISTA 20H")</f>
        <v>CIRURGIAO DENTISTA 20H</v>
      </c>
      <c r="E1974" s="11"/>
      <c r="F1974" s="11" t="str">
        <f>IFERROR(__xludf.DUMMYFUNCTION("""COMPUTED_VALUE"""),"US_144 POLICLINICA CLEMENTINO FRAGA")</f>
        <v>US_144 POLICLINICA CLEMENTINO FRAGA</v>
      </c>
      <c r="G1974" s="11" t="str">
        <f>IFERROR(__xludf.DUMMYFUNCTION("""COMPUTED_VALUE"""),"US_144 POLICLINICA CLEMENTINO FRAGA")</f>
        <v>US_144 POLICLINICA CLEMENTINO FRAGA</v>
      </c>
      <c r="H1974" s="11"/>
      <c r="I1974" s="11"/>
      <c r="J1974" s="11"/>
      <c r="K1974" s="11"/>
      <c r="L1974" s="11"/>
      <c r="M1974" s="11"/>
      <c r="N1974" s="11"/>
      <c r="O1974" s="11">
        <f>IFERROR(__xludf.DUMMYFUNCTION("""COMPUTED_VALUE"""),5787984412)</f>
        <v>5787984412</v>
      </c>
      <c r="P1974" s="11"/>
      <c r="Q1974" s="11"/>
      <c r="R1974" s="11"/>
      <c r="S1974" s="11"/>
      <c r="T1974" s="11"/>
      <c r="U1974" s="11"/>
      <c r="V1974" s="11"/>
      <c r="W1974" s="11"/>
      <c r="X1974" s="11"/>
      <c r="Y1974" s="11"/>
      <c r="Z1974" s="11"/>
    </row>
    <row r="1975" customHeight="1" spans="1:26">
      <c r="A1975" s="11" t="str">
        <f>IFERROR(__xludf.DUMMYFUNCTION("""COMPUTED_VALUE"""),"BRUNA OLIVEIRA LOPES GASPAR")</f>
        <v>BRUNA OLIVEIRA LOPES GASPAR</v>
      </c>
      <c r="B1975" s="11"/>
      <c r="C1975" s="11"/>
      <c r="D1975" s="11" t="str">
        <f>IFERROR(__xludf.DUMMYFUNCTION("""COMPUTED_VALUE"""),"CIRURGIAO DENTISTA 20H")</f>
        <v>CIRURGIAO DENTISTA 20H</v>
      </c>
      <c r="E1975" s="11"/>
      <c r="F1975" s="11" t="str">
        <f>IFERROR(__xludf.DUMMYFUNCTION("""COMPUTED_VALUE"""),"US_162 POLICLINICA ALBERT SABIN")</f>
        <v>US_162 POLICLINICA ALBERT SABIN</v>
      </c>
      <c r="G1975" s="11" t="str">
        <f>IFERROR(__xludf.DUMMYFUNCTION("""COMPUTED_VALUE"""),"US_162 POLICLINICA ALBERT SABIN")</f>
        <v>US_162 POLICLINICA ALBERT SABIN</v>
      </c>
      <c r="H1975" s="11"/>
      <c r="I1975" s="11"/>
      <c r="J1975" s="11"/>
      <c r="K1975" s="11"/>
      <c r="L1975" s="11"/>
      <c r="M1975" s="11"/>
      <c r="N1975" s="11"/>
      <c r="O1975" s="11">
        <f>IFERROR(__xludf.DUMMYFUNCTION("""COMPUTED_VALUE"""),875355480)</f>
        <v>875355480</v>
      </c>
      <c r="P1975" s="11"/>
      <c r="Q1975" s="11"/>
      <c r="R1975" s="11"/>
      <c r="S1975" s="11"/>
      <c r="T1975" s="11"/>
      <c r="U1975" s="11"/>
      <c r="V1975" s="11"/>
      <c r="W1975" s="11"/>
      <c r="X1975" s="11"/>
      <c r="Y1975" s="11"/>
      <c r="Z1975" s="11"/>
    </row>
    <row r="1976" customHeight="1" spans="1:26">
      <c r="A1976" s="11" t="str">
        <f>IFERROR(__xludf.DUMMYFUNCTION("""COMPUTED_VALUE"""),"ANTONIO B DE VASCONCELOS NETO")</f>
        <v>ANTONIO B DE VASCONCELOS NETO</v>
      </c>
      <c r="B1976" s="11"/>
      <c r="C1976" s="11"/>
      <c r="D1976" s="11" t="str">
        <f>IFERROR(__xludf.DUMMYFUNCTION("""COMPUTED_VALUE"""),"CIRURGIAO DENTISTA 20H")</f>
        <v>CIRURGIAO DENTISTA 20H</v>
      </c>
      <c r="E1976" s="11"/>
      <c r="F1976" s="11" t="str">
        <f>IFERROR(__xludf.DUMMYFUNCTION("""COMPUTED_VALUE"""),"US_162 POLICLINICA ALBERT SABIN")</f>
        <v>US_162 POLICLINICA ALBERT SABIN</v>
      </c>
      <c r="G1976" s="11" t="str">
        <f>IFERROR(__xludf.DUMMYFUNCTION("""COMPUTED_VALUE"""),"US_162 POLICLINICA ALBERT SABIN")</f>
        <v>US_162 POLICLINICA ALBERT SABIN</v>
      </c>
      <c r="H1976" s="11"/>
      <c r="I1976" s="11"/>
      <c r="J1976" s="11"/>
      <c r="K1976" s="11"/>
      <c r="L1976" s="11"/>
      <c r="M1976" s="11"/>
      <c r="N1976" s="11"/>
      <c r="O1976" s="11">
        <f>IFERROR(__xludf.DUMMYFUNCTION("""COMPUTED_VALUE"""),5420576465)</f>
        <v>5420576465</v>
      </c>
      <c r="P1976" s="11"/>
      <c r="Q1976" s="11"/>
      <c r="R1976" s="11"/>
      <c r="S1976" s="11"/>
      <c r="T1976" s="11"/>
      <c r="U1976" s="11"/>
      <c r="V1976" s="11"/>
      <c r="W1976" s="11"/>
      <c r="X1976" s="11"/>
      <c r="Y1976" s="11"/>
      <c r="Z1976" s="11"/>
    </row>
    <row r="1977" customHeight="1" spans="1:26">
      <c r="A1977" s="11" t="str">
        <f>IFERROR(__xludf.DUMMYFUNCTION("""COMPUTED_VALUE"""),"BRUNO GAMA MAGALHAES")</f>
        <v>BRUNO GAMA MAGALHAES</v>
      </c>
      <c r="B1977" s="11"/>
      <c r="C1977" s="11"/>
      <c r="D1977" s="11" t="str">
        <f>IFERROR(__xludf.DUMMYFUNCTION("""COMPUTED_VALUE"""),"CIRURGIAO DENTISTA 20H")</f>
        <v>CIRURGIAO DENTISTA 20H</v>
      </c>
      <c r="E1977" s="11"/>
      <c r="F1977" s="11" t="str">
        <f>IFERROR(__xludf.DUMMYFUNCTION("""COMPUTED_VALUE"""),"US_101 POLICLINICA PROF WALDEMAR DE OLIVEIRA")</f>
        <v>US_101 POLICLINICA PROF WALDEMAR DE OLIVEIRA</v>
      </c>
      <c r="G1977" s="11" t="str">
        <f>IFERROR(__xludf.DUMMYFUNCTION("""COMPUTED_VALUE"""),"US_101 POLICLINICA PROF WALDEMAR DE OLIVEIRA")</f>
        <v>US_101 POLICLINICA PROF WALDEMAR DE OLIVEIRA</v>
      </c>
      <c r="H1977" s="11"/>
      <c r="I1977" s="11"/>
      <c r="J1977" s="11"/>
      <c r="K1977" s="11"/>
      <c r="L1977" s="11"/>
      <c r="M1977" s="11"/>
      <c r="N1977" s="11"/>
      <c r="O1977" s="11">
        <f>IFERROR(__xludf.DUMMYFUNCTION("""COMPUTED_VALUE"""),5158465460)</f>
        <v>5158465460</v>
      </c>
      <c r="P1977" s="11"/>
      <c r="Q1977" s="11"/>
      <c r="R1977" s="11"/>
      <c r="S1977" s="11"/>
      <c r="T1977" s="11"/>
      <c r="U1977" s="11"/>
      <c r="V1977" s="11"/>
      <c r="W1977" s="11"/>
      <c r="X1977" s="11"/>
      <c r="Y1977" s="11"/>
      <c r="Z1977" s="11"/>
    </row>
    <row r="1978" customHeight="1" spans="1:26">
      <c r="A1978" s="11" t="str">
        <f>IFERROR(__xludf.DUMMYFUNCTION("""COMPUTED_VALUE"""),"MANUELA PERNAMBUCO G TIBURCIO")</f>
        <v>MANUELA PERNAMBUCO G TIBURCIO</v>
      </c>
      <c r="B1978" s="11"/>
      <c r="C1978" s="11"/>
      <c r="D1978" s="11" t="str">
        <f>IFERROR(__xludf.DUMMYFUNCTION("""COMPUTED_VALUE"""),"CIRURGIAO DENTISTA 20H")</f>
        <v>CIRURGIAO DENTISTA 20H</v>
      </c>
      <c r="E1978" s="11"/>
      <c r="F1978" s="11" t="str">
        <f>IFERROR(__xludf.DUMMYFUNCTION("""COMPUTED_VALUE"""),"US_162 POLICLINICA ALBERT SABIN")</f>
        <v>US_162 POLICLINICA ALBERT SABIN</v>
      </c>
      <c r="G1978" s="11" t="str">
        <f>IFERROR(__xludf.DUMMYFUNCTION("""COMPUTED_VALUE"""),"US_162 POLICLINICA ALBERT SABIN")</f>
        <v>US_162 POLICLINICA ALBERT SABIN</v>
      </c>
      <c r="H1978" s="11"/>
      <c r="I1978" s="11"/>
      <c r="J1978" s="11"/>
      <c r="K1978" s="11"/>
      <c r="L1978" s="11"/>
      <c r="M1978" s="11"/>
      <c r="N1978" s="11"/>
      <c r="O1978" s="11">
        <f>IFERROR(__xludf.DUMMYFUNCTION("""COMPUTED_VALUE"""),5797422450)</f>
        <v>5797422450</v>
      </c>
      <c r="P1978" s="11"/>
      <c r="Q1978" s="11"/>
      <c r="R1978" s="11"/>
      <c r="S1978" s="11"/>
      <c r="T1978" s="11"/>
      <c r="U1978" s="11"/>
      <c r="V1978" s="11"/>
      <c r="W1978" s="11"/>
      <c r="X1978" s="11"/>
      <c r="Y1978" s="11"/>
      <c r="Z1978" s="11"/>
    </row>
    <row r="1979" customHeight="1" spans="1:26">
      <c r="A1979" s="11" t="str">
        <f>IFERROR(__xludf.DUMMYFUNCTION("""COMPUTED_VALUE"""),"MILENA FERRAO DE O DE ALMEIDA")</f>
        <v>MILENA FERRAO DE O DE ALMEIDA</v>
      </c>
      <c r="B1979" s="11"/>
      <c r="C1979" s="11"/>
      <c r="D1979" s="11" t="str">
        <f>IFERROR(__xludf.DUMMYFUNCTION("""COMPUTED_VALUE"""),"CIRURGIAO DENTISTA 20H")</f>
        <v>CIRURGIAO DENTISTA 20H</v>
      </c>
      <c r="E1979" s="11"/>
      <c r="F1979" s="11" t="str">
        <f>IFERROR(__xludf.DUMMYFUNCTION("""COMPUTED_VALUE"""),"US_128 POLICLINICA LESSA DE ANDRADE")</f>
        <v>US_128 POLICLINICA LESSA DE ANDRADE</v>
      </c>
      <c r="G1979" s="11" t="str">
        <f>IFERROR(__xludf.DUMMYFUNCTION("""COMPUTED_VALUE"""),"US_128 POLICLINICA LESSA DE ANDRADE")</f>
        <v>US_128 POLICLINICA LESSA DE ANDRADE</v>
      </c>
      <c r="H1979" s="11"/>
      <c r="I1979" s="11"/>
      <c r="J1979" s="11"/>
      <c r="K1979" s="11"/>
      <c r="L1979" s="11"/>
      <c r="M1979" s="11"/>
      <c r="N1979" s="11"/>
      <c r="O1979" s="11">
        <f>IFERROR(__xludf.DUMMYFUNCTION("""COMPUTED_VALUE"""),5204736476)</f>
        <v>5204736476</v>
      </c>
      <c r="P1979" s="11"/>
      <c r="Q1979" s="11"/>
      <c r="R1979" s="11"/>
      <c r="S1979" s="11"/>
      <c r="T1979" s="11"/>
      <c r="U1979" s="11"/>
      <c r="V1979" s="11"/>
      <c r="W1979" s="11"/>
      <c r="X1979" s="11"/>
      <c r="Y1979" s="11"/>
      <c r="Z1979" s="11"/>
    </row>
    <row r="1980" customHeight="1" spans="1:26">
      <c r="A1980" s="11" t="str">
        <f>IFERROR(__xludf.DUMMYFUNCTION("""COMPUTED_VALUE"""),"RUI MEDEIROS JUNIOR")</f>
        <v>RUI MEDEIROS JUNIOR</v>
      </c>
      <c r="B1980" s="11"/>
      <c r="C1980" s="11"/>
      <c r="D1980" s="11" t="str">
        <f>IFERROR(__xludf.DUMMYFUNCTION("""COMPUTED_VALUE"""),"CIRURGIAO DENTISTA 20H")</f>
        <v>CIRURGIAO DENTISTA 20H</v>
      </c>
      <c r="E1980" s="11"/>
      <c r="F1980" s="11" t="str">
        <f>IFERROR(__xludf.DUMMYFUNCTION("""COMPUTED_VALUE"""),"US_162 POLICLINICA ALBERT SABIN")</f>
        <v>US_162 POLICLINICA ALBERT SABIN</v>
      </c>
      <c r="G1980" s="11" t="str">
        <f>IFERROR(__xludf.DUMMYFUNCTION("""COMPUTED_VALUE"""),"US_162 POLICLINICA ALBERT SABIN")</f>
        <v>US_162 POLICLINICA ALBERT SABIN</v>
      </c>
      <c r="H1980" s="11"/>
      <c r="I1980" s="11"/>
      <c r="J1980" s="11"/>
      <c r="K1980" s="11"/>
      <c r="L1980" s="11"/>
      <c r="M1980" s="11"/>
      <c r="N1980" s="11"/>
      <c r="O1980" s="11">
        <f>IFERROR(__xludf.DUMMYFUNCTION("""COMPUTED_VALUE"""),1057173479)</f>
        <v>1057173479</v>
      </c>
      <c r="P1980" s="11"/>
      <c r="Q1980" s="11"/>
      <c r="R1980" s="11"/>
      <c r="S1980" s="11"/>
      <c r="T1980" s="11"/>
      <c r="U1980" s="11"/>
      <c r="V1980" s="11"/>
      <c r="W1980" s="11"/>
      <c r="X1980" s="11"/>
      <c r="Y1980" s="11"/>
      <c r="Z1980" s="11"/>
    </row>
    <row r="1981" customHeight="1" spans="1:26">
      <c r="A1981" s="11" t="str">
        <f>IFERROR(__xludf.DUMMYFUNCTION("""COMPUTED_VALUE"""),"SUELEN DO NASCIMENTO R PEREIRA")</f>
        <v>SUELEN DO NASCIMENTO R PEREIRA</v>
      </c>
      <c r="B1981" s="11"/>
      <c r="C1981" s="11"/>
      <c r="D1981" s="11" t="str">
        <f>IFERROR(__xludf.DUMMYFUNCTION("""COMPUTED_VALUE"""),"CIRURGIAO DENTISTA 20H")</f>
        <v>CIRURGIAO DENTISTA 20H</v>
      </c>
      <c r="E1981" s="11"/>
      <c r="F1981" s="11" t="str">
        <f>IFERROR(__xludf.DUMMYFUNCTION("""COMPUTED_VALUE"""),"US_162 POLICLINICA ALBERT SABIN")</f>
        <v>US_162 POLICLINICA ALBERT SABIN</v>
      </c>
      <c r="G1981" s="11" t="str">
        <f>IFERROR(__xludf.DUMMYFUNCTION("""COMPUTED_VALUE"""),"US_162 POLICLINICA ALBERT SABIN")</f>
        <v>US_162 POLICLINICA ALBERT SABIN</v>
      </c>
      <c r="H1981" s="11"/>
      <c r="I1981" s="11"/>
      <c r="J1981" s="11"/>
      <c r="K1981" s="11"/>
      <c r="L1981" s="11"/>
      <c r="M1981" s="11"/>
      <c r="N1981" s="11"/>
      <c r="O1981" s="11">
        <f>IFERROR(__xludf.DUMMYFUNCTION("""COMPUTED_VALUE"""),5749114481)</f>
        <v>5749114481</v>
      </c>
      <c r="P1981" s="11"/>
      <c r="Q1981" s="11"/>
      <c r="R1981" s="11"/>
      <c r="S1981" s="11"/>
      <c r="T1981" s="11"/>
      <c r="U1981" s="11"/>
      <c r="V1981" s="11"/>
      <c r="W1981" s="11"/>
      <c r="X1981" s="11"/>
      <c r="Y1981" s="11"/>
      <c r="Z1981" s="11"/>
    </row>
    <row r="1982" customHeight="1" spans="1:26">
      <c r="A1982" s="11" t="str">
        <f>IFERROR(__xludf.DUMMYFUNCTION("""COMPUTED_VALUE"""),"BIANCA MOURA DE CARVALHO GRIZZ")</f>
        <v>BIANCA MOURA DE CARVALHO GRIZZ</v>
      </c>
      <c r="B1982" s="11"/>
      <c r="C1982" s="11"/>
      <c r="D1982" s="11" t="str">
        <f>IFERROR(__xludf.DUMMYFUNCTION("""COMPUTED_VALUE"""),"SERV DE ORGAO MUNICIPALIZ RP")</f>
        <v>SERV DE ORGAO MUNICIPALIZ RP</v>
      </c>
      <c r="E1982" s="11"/>
      <c r="F1982" s="11" t="str">
        <f>IFERROR(__xludf.DUMMYFUNCTION("""COMPUTED_VALUE"""),"US_153 POLICLINICA E MATERNIDADE ARNALDO MARQUES")</f>
        <v>US_153 POLICLINICA E MATERNIDADE ARNALDO MARQUES</v>
      </c>
      <c r="G1982" s="11" t="str">
        <f>IFERROR(__xludf.DUMMYFUNCTION("""COMPUTED_VALUE"""),"US_153 POLICLINICA E MATERNIDADE ARNALDO MARQUES")</f>
        <v>US_153 POLICLINICA E MATERNIDADE ARNALDO MARQUES</v>
      </c>
      <c r="H1982" s="11"/>
      <c r="I1982" s="11"/>
      <c r="J1982" s="11"/>
      <c r="K1982" s="11"/>
      <c r="L1982" s="11"/>
      <c r="M1982" s="11"/>
      <c r="N1982" s="11"/>
      <c r="O1982" s="11">
        <f>IFERROR(__xludf.DUMMYFUNCTION("""COMPUTED_VALUE"""),34995668420)</f>
        <v>34995668420</v>
      </c>
      <c r="P1982" s="11"/>
      <c r="Q1982" s="11"/>
      <c r="R1982" s="11"/>
      <c r="S1982" s="11"/>
      <c r="T1982" s="11"/>
      <c r="U1982" s="11"/>
      <c r="V1982" s="11"/>
      <c r="W1982" s="11"/>
      <c r="X1982" s="11"/>
      <c r="Y1982" s="11"/>
      <c r="Z1982" s="11"/>
    </row>
    <row r="1983" customHeight="1" spans="1:26">
      <c r="A1983" s="11" t="str">
        <f>IFERROR(__xludf.DUMMYFUNCTION("""COMPUTED_VALUE"""),"DAYN MOREIRA XENOFONTE")</f>
        <v>DAYN MOREIRA XENOFONTE</v>
      </c>
      <c r="B1983" s="11"/>
      <c r="C1983" s="11"/>
      <c r="D1983" s="11" t="str">
        <f>IFERROR(__xludf.DUMMYFUNCTION("""COMPUTED_VALUE"""),"CIRURGIAO DENTISTA 40H")</f>
        <v>CIRURGIAO DENTISTA 40H</v>
      </c>
      <c r="E1983" s="11"/>
      <c r="F1983" s="11" t="str">
        <f>IFERROR(__xludf.DUMMYFUNCTION("""COMPUTED_VALUE"""),"US_153 POLICLINICA E MATERNIDADE ARNALDO MARQUES")</f>
        <v>US_153 POLICLINICA E MATERNIDADE ARNALDO MARQUES</v>
      </c>
      <c r="G1983" s="11" t="str">
        <f>IFERROR(__xludf.DUMMYFUNCTION("""COMPUTED_VALUE"""),"US_153 POLICLINICA E MATERNIDADE ARNALDO MARQUES")</f>
        <v>US_153 POLICLINICA E MATERNIDADE ARNALDO MARQUES</v>
      </c>
      <c r="H1983" s="11"/>
      <c r="I1983" s="11"/>
      <c r="J1983" s="11"/>
      <c r="K1983" s="11"/>
      <c r="L1983" s="11"/>
      <c r="M1983" s="11"/>
      <c r="N1983" s="11"/>
      <c r="O1983" s="11">
        <f>IFERROR(__xludf.DUMMYFUNCTION("""COMPUTED_VALUE"""),61509329315)</f>
        <v>61509329315</v>
      </c>
      <c r="P1983" s="11"/>
      <c r="Q1983" s="11"/>
      <c r="R1983" s="11"/>
      <c r="S1983" s="11"/>
      <c r="T1983" s="11"/>
      <c r="U1983" s="11"/>
      <c r="V1983" s="11"/>
      <c r="W1983" s="11"/>
      <c r="X1983" s="11"/>
      <c r="Y1983" s="11"/>
      <c r="Z1983" s="11"/>
    </row>
    <row r="1984" customHeight="1" spans="1:26">
      <c r="A1984" s="11" t="str">
        <f>IFERROR(__xludf.DUMMYFUNCTION("""COMPUTED_VALUE"""),"AUGUSTO ALFREDO DAVILA SALTOS")</f>
        <v>AUGUSTO ALFREDO DAVILA SALTOS</v>
      </c>
      <c r="B1984" s="11"/>
      <c r="C1984" s="11"/>
      <c r="D1984" s="11" t="str">
        <f>IFERROR(__xludf.DUMMYFUNCTION("""COMPUTED_VALUE"""),"SERV DE ORGAO MUNICIPALIZ RP")</f>
        <v>SERV DE ORGAO MUNICIPALIZ RP</v>
      </c>
      <c r="E1984" s="11"/>
      <c r="F1984" s="11" t="str">
        <f>IFERROR(__xludf.DUMMYFUNCTION("""COMPUTED_VALUE"""),"US_153 POLICLINICA E MATERNIDADE ARNALDO MARQUES")</f>
        <v>US_153 POLICLINICA E MATERNIDADE ARNALDO MARQUES</v>
      </c>
      <c r="G1984" s="11" t="str">
        <f>IFERROR(__xludf.DUMMYFUNCTION("""COMPUTED_VALUE"""),"US_153 POLICLINICA E MATERNIDADE ARNALDO MARQUES")</f>
        <v>US_153 POLICLINICA E MATERNIDADE ARNALDO MARQUES</v>
      </c>
      <c r="H1984" s="11"/>
      <c r="I1984" s="11"/>
      <c r="J1984" s="11"/>
      <c r="K1984" s="11"/>
      <c r="L1984" s="11"/>
      <c r="M1984" s="11"/>
      <c r="N1984" s="11"/>
      <c r="O1984" s="11">
        <f>IFERROR(__xludf.DUMMYFUNCTION("""COMPUTED_VALUE"""),3693899487)</f>
        <v>3693899487</v>
      </c>
      <c r="P1984" s="11"/>
      <c r="Q1984" s="11"/>
      <c r="R1984" s="11"/>
      <c r="S1984" s="11"/>
      <c r="T1984" s="11"/>
      <c r="U1984" s="11"/>
      <c r="V1984" s="11"/>
      <c r="W1984" s="11"/>
      <c r="X1984" s="11"/>
      <c r="Y1984" s="11"/>
      <c r="Z1984" s="11"/>
    </row>
    <row r="1985" customHeight="1" spans="1:26">
      <c r="A1985" s="11" t="str">
        <f>IFERROR(__xludf.DUMMYFUNCTION("""COMPUTED_VALUE"""),"IGOR HENRIQUE MORAIS SILVA")</f>
        <v>IGOR HENRIQUE MORAIS SILVA</v>
      </c>
      <c r="B1985" s="11"/>
      <c r="C1985" s="11"/>
      <c r="D1985" s="11" t="str">
        <f>IFERROR(__xludf.DUMMYFUNCTION("""COMPUTED_VALUE"""),"CIRURGIAO DENTISTA 40H")</f>
        <v>CIRURGIAO DENTISTA 40H</v>
      </c>
      <c r="E1985" s="11"/>
      <c r="F1985" s="11" t="str">
        <f>IFERROR(__xludf.DUMMYFUNCTION("""COMPUTED_VALUE"""),"US_153 POLICLINICA E MATERNIDADE ARNALDO MARQUES")</f>
        <v>US_153 POLICLINICA E MATERNIDADE ARNALDO MARQUES</v>
      </c>
      <c r="G1985" s="11" t="str">
        <f>IFERROR(__xludf.DUMMYFUNCTION("""COMPUTED_VALUE"""),"US_153 POLICLINICA E MATERNIDADE ARNALDO MARQUES")</f>
        <v>US_153 POLICLINICA E MATERNIDADE ARNALDO MARQUES</v>
      </c>
      <c r="H1985" s="11"/>
      <c r="I1985" s="11"/>
      <c r="J1985" s="11"/>
      <c r="K1985" s="11"/>
      <c r="L1985" s="11"/>
      <c r="M1985" s="11"/>
      <c r="N1985" s="11"/>
      <c r="O1985" s="11">
        <f>IFERROR(__xludf.DUMMYFUNCTION("""COMPUTED_VALUE"""),2897308486)</f>
        <v>2897308486</v>
      </c>
      <c r="P1985" s="11"/>
      <c r="Q1985" s="11"/>
      <c r="R1985" s="11"/>
      <c r="S1985" s="11"/>
      <c r="T1985" s="11"/>
      <c r="U1985" s="11"/>
      <c r="V1985" s="11"/>
      <c r="W1985" s="11"/>
      <c r="X1985" s="11"/>
      <c r="Y1985" s="11"/>
      <c r="Z1985" s="11"/>
    </row>
    <row r="1986" customHeight="1" spans="1:26">
      <c r="A1986" s="11" t="str">
        <f>IFERROR(__xludf.DUMMYFUNCTION("""COMPUTED_VALUE"""),"SIONE APARECIDA DE ASSIS")</f>
        <v>SIONE APARECIDA DE ASSIS</v>
      </c>
      <c r="B1986" s="11"/>
      <c r="C1986" s="11"/>
      <c r="D1986" s="11" t="str">
        <f>IFERROR(__xludf.DUMMYFUNCTION("""COMPUTED_VALUE"""),"CIRURGIAO DENTISTA 20H")</f>
        <v>CIRURGIAO DENTISTA 20H</v>
      </c>
      <c r="E1986" s="11"/>
      <c r="F1986" s="11" t="str">
        <f>IFERROR(__xludf.DUMMYFUNCTION("""COMPUTED_VALUE"""),"")</f>
        <v/>
      </c>
      <c r="G1986" s="11" t="str">
        <f>IFERROR(__xludf.DUMMYFUNCTION("""COMPUTED_VALUE"""),"")</f>
        <v/>
      </c>
      <c r="H1986" s="11"/>
      <c r="I1986" s="11"/>
      <c r="J1986" s="11"/>
      <c r="K1986" s="11"/>
      <c r="L1986" s="11"/>
      <c r="M1986" s="11"/>
      <c r="N1986" s="11"/>
      <c r="O1986" s="11"/>
      <c r="P1986" s="11"/>
      <c r="Q1986" s="11"/>
      <c r="R1986" s="11"/>
      <c r="S1986" s="11"/>
      <c r="T1986" s="11"/>
      <c r="U1986" s="11"/>
      <c r="V1986" s="11"/>
      <c r="W1986" s="11"/>
      <c r="X1986" s="11"/>
      <c r="Y1986" s="11"/>
      <c r="Z1986" s="11"/>
    </row>
    <row r="1987" customHeight="1" spans="1:26">
      <c r="A1987" s="11" t="str">
        <f>IFERROR(__xludf.DUMMYFUNCTION("""COMPUTED_VALUE"""),"IVE DA SILVA MONTEIRO")</f>
        <v>IVE DA SILVA MONTEIRO</v>
      </c>
      <c r="B1987" s="11"/>
      <c r="C1987" s="11"/>
      <c r="D1987" s="11" t="str">
        <f>IFERROR(__xludf.DUMMYFUNCTION("""COMPUTED_VALUE"""),"CIRURGIAO DENTISTA 40H")</f>
        <v>CIRURGIAO DENTISTA 40H</v>
      </c>
      <c r="E1987" s="11"/>
      <c r="F1987" s="11" t="str">
        <f>IFERROR(__xludf.DUMMYFUNCTION("""COMPUTED_VALUE"""),"SEGTES")</f>
        <v>SEGTES</v>
      </c>
      <c r="G1987" s="11" t="str">
        <f>IFERROR(__xludf.DUMMYFUNCTION("""COMPUTED_VALUE"""),"SEGTES")</f>
        <v>SEGTES</v>
      </c>
      <c r="H1987" s="11"/>
      <c r="I1987" s="11"/>
      <c r="J1987" s="11"/>
      <c r="K1987" s="11"/>
      <c r="L1987" s="11"/>
      <c r="M1987" s="11"/>
      <c r="N1987" s="11"/>
      <c r="O1987" s="11">
        <f>IFERROR(__xludf.DUMMYFUNCTION("""COMPUTED_VALUE"""),3946972438)</f>
        <v>3946972438</v>
      </c>
      <c r="P1987" s="11"/>
      <c r="Q1987" s="11"/>
      <c r="R1987" s="11"/>
      <c r="S1987" s="11"/>
      <c r="T1987" s="11"/>
      <c r="U1987" s="11"/>
      <c r="V1987" s="11"/>
      <c r="W1987" s="11"/>
      <c r="X1987" s="11"/>
      <c r="Y1987" s="11"/>
      <c r="Z1987" s="11"/>
    </row>
    <row r="1988" customHeight="1" spans="1:26">
      <c r="A1988" s="11" t="str">
        <f>IFERROR(__xludf.DUMMYFUNCTION("""COMPUTED_VALUE"""),"ANDREZA BARKOKEBAS S DE FARIA")</f>
        <v>ANDREZA BARKOKEBAS S DE FARIA</v>
      </c>
      <c r="B1988" s="11"/>
      <c r="C1988" s="11"/>
      <c r="D1988" s="11" t="str">
        <f>IFERROR(__xludf.DUMMYFUNCTION("""COMPUTED_VALUE"""),"CIRURGIAO DENTISTA 40H")</f>
        <v>CIRURGIAO DENTISTA 40H</v>
      </c>
      <c r="E1988" s="11"/>
      <c r="F1988" s="11" t="str">
        <f>IFERROR(__xludf.DUMMYFUNCTION("""COMPUTED_VALUE"""),"SEGTES")</f>
        <v>SEGTES</v>
      </c>
      <c r="G1988" s="11" t="str">
        <f>IFERROR(__xludf.DUMMYFUNCTION("""COMPUTED_VALUE"""),"SEGTES")</f>
        <v>SEGTES</v>
      </c>
      <c r="H1988" s="11"/>
      <c r="I1988" s="11"/>
      <c r="J1988" s="11"/>
      <c r="K1988" s="11"/>
      <c r="L1988" s="11"/>
      <c r="M1988" s="11"/>
      <c r="N1988" s="11"/>
      <c r="O1988" s="11">
        <f>IFERROR(__xludf.DUMMYFUNCTION("""COMPUTED_VALUE"""),3339710430)</f>
        <v>3339710430</v>
      </c>
      <c r="P1988" s="11"/>
      <c r="Q1988" s="11"/>
      <c r="R1988" s="11"/>
      <c r="S1988" s="11"/>
      <c r="T1988" s="11"/>
      <c r="U1988" s="11"/>
      <c r="V1988" s="11"/>
      <c r="W1988" s="11"/>
      <c r="X1988" s="11"/>
      <c r="Y1988" s="11"/>
      <c r="Z1988" s="11"/>
    </row>
    <row r="1989" customHeight="1" spans="1:26">
      <c r="A1989" s="11" t="str">
        <f>IFERROR(__xludf.DUMMYFUNCTION("""COMPUTED_VALUE"""),"JULIANA MARIA O DE OLIVEIRA")</f>
        <v>JULIANA MARIA O DE OLIVEIRA</v>
      </c>
      <c r="B1989" s="11"/>
      <c r="C1989" s="11"/>
      <c r="D1989" s="11" t="str">
        <f>IFERROR(__xludf.DUMMYFUNCTION("""COMPUTED_VALUE"""),"CIRURGIAO DENTISTA 40H")</f>
        <v>CIRURGIAO DENTISTA 40H</v>
      </c>
      <c r="E1989" s="11"/>
      <c r="F1989" s="11" t="str">
        <f>IFERROR(__xludf.DUMMYFUNCTION("""COMPUTED_VALUE"""),"SEPMAD")</f>
        <v>SEPMAD</v>
      </c>
      <c r="G1989" s="11" t="str">
        <f>IFERROR(__xludf.DUMMYFUNCTION("""COMPUTED_VALUE"""),"SEPMAD")</f>
        <v>SEPMAD</v>
      </c>
      <c r="H1989" s="11"/>
      <c r="I1989" s="11"/>
      <c r="J1989" s="11"/>
      <c r="K1989" s="11"/>
      <c r="L1989" s="11"/>
      <c r="M1989" s="11"/>
      <c r="N1989" s="11"/>
      <c r="O1989" s="11">
        <f>IFERROR(__xludf.DUMMYFUNCTION("""COMPUTED_VALUE"""),5013458412)</f>
        <v>5013458412</v>
      </c>
      <c r="P1989" s="11"/>
      <c r="Q1989" s="11"/>
      <c r="R1989" s="11"/>
      <c r="S1989" s="11"/>
      <c r="T1989" s="11"/>
      <c r="U1989" s="11"/>
      <c r="V1989" s="11"/>
      <c r="W1989" s="11"/>
      <c r="X1989" s="11"/>
      <c r="Y1989" s="11"/>
      <c r="Z1989" s="11"/>
    </row>
    <row r="1990" customHeight="1" spans="1:26">
      <c r="A1990" s="11" t="str">
        <f>IFERROR(__xludf.DUMMYFUNCTION("""COMPUTED_VALUE"""),"JOSE ANDERSON DE BARROS MATOS")</f>
        <v>JOSE ANDERSON DE BARROS MATOS</v>
      </c>
      <c r="B1990" s="11"/>
      <c r="C1990" s="11"/>
      <c r="D1990" s="11" t="str">
        <f>IFERROR(__xludf.DUMMYFUNCTION("""COMPUTED_VALUE"""),"CIRURGIAO DENTISTA 40H")</f>
        <v>CIRURGIAO DENTISTA 40H</v>
      </c>
      <c r="E1990" s="11"/>
      <c r="F1990" s="11" t="str">
        <f>IFERROR(__xludf.DUMMYFUNCTION("""COMPUTED_VALUE"""),"SEAB")</f>
        <v>SEAB</v>
      </c>
      <c r="G1990" s="11" t="str">
        <f>IFERROR(__xludf.DUMMYFUNCTION("""COMPUTED_VALUE"""),"SEAB")</f>
        <v>SEAB</v>
      </c>
      <c r="H1990" s="11"/>
      <c r="I1990" s="11"/>
      <c r="J1990" s="11"/>
      <c r="K1990" s="11"/>
      <c r="L1990" s="11"/>
      <c r="M1990" s="11"/>
      <c r="N1990" s="11"/>
      <c r="O1990" s="11">
        <f>IFERROR(__xludf.DUMMYFUNCTION("""COMPUTED_VALUE"""),6292096424)</f>
        <v>6292096424</v>
      </c>
      <c r="P1990" s="11"/>
      <c r="Q1990" s="11"/>
      <c r="R1990" s="11"/>
      <c r="S1990" s="11"/>
      <c r="T1990" s="11"/>
      <c r="U1990" s="11"/>
      <c r="V1990" s="11"/>
      <c r="W1990" s="11"/>
      <c r="X1990" s="11"/>
      <c r="Y1990" s="11"/>
      <c r="Z1990" s="11"/>
    </row>
    <row r="1991" customHeight="1" spans="1:26">
      <c r="A1991" s="11" t="str">
        <f>IFERROR(__xludf.DUMMYFUNCTION("""COMPUTED_VALUE"""),"JACQUELINE R DE OLIVEIRA")</f>
        <v>JACQUELINE R DE OLIVEIRA</v>
      </c>
      <c r="B1991" s="11"/>
      <c r="C1991" s="11"/>
      <c r="D1991" s="11" t="str">
        <f>IFERROR(__xludf.DUMMYFUNCTION("""COMPUTED_VALUE"""),"CIRURGIAO DENTISTA 20H")</f>
        <v>CIRURGIAO DENTISTA 20H</v>
      </c>
      <c r="E1991" s="11"/>
      <c r="F1991" s="11" t="str">
        <f>IFERROR(__xludf.DUMMYFUNCTION("""COMPUTED_VALUE"""),"US_126 CS VER ROMILDO GOMES")</f>
        <v>US_126 CS VER ROMILDO GOMES</v>
      </c>
      <c r="G1991" s="11" t="str">
        <f>IFERROR(__xludf.DUMMYFUNCTION("""COMPUTED_VALUE"""),"US_126 CS VER ROMILDO GOMES")</f>
        <v>US_126 CS VER ROMILDO GOMES</v>
      </c>
      <c r="H1991" s="11"/>
      <c r="I1991" s="11"/>
      <c r="J1991" s="11"/>
      <c r="K1991" s="11"/>
      <c r="L1991" s="11"/>
      <c r="M1991" s="11"/>
      <c r="N1991" s="11"/>
      <c r="O1991" s="11">
        <f>IFERROR(__xludf.DUMMYFUNCTION("""COMPUTED_VALUE"""),57272573449)</f>
        <v>57272573449</v>
      </c>
      <c r="P1991" s="11"/>
      <c r="Q1991" s="11"/>
      <c r="R1991" s="11"/>
      <c r="S1991" s="11"/>
      <c r="T1991" s="11"/>
      <c r="U1991" s="11"/>
      <c r="V1991" s="11"/>
      <c r="W1991" s="11"/>
      <c r="X1991" s="11"/>
      <c r="Y1991" s="11"/>
      <c r="Z1991" s="11"/>
    </row>
    <row r="1992" customHeight="1" spans="1:26">
      <c r="A1992" s="11" t="str">
        <f>IFERROR(__xludf.DUMMYFUNCTION("""COMPUTED_VALUE"""),"WILMA GONCALVES DE OLIVEIRA")</f>
        <v>WILMA GONCALVES DE OLIVEIRA</v>
      </c>
      <c r="B1992" s="11"/>
      <c r="C1992" s="11"/>
      <c r="D1992" s="11" t="str">
        <f>IFERROR(__xludf.DUMMYFUNCTION("""COMPUTED_VALUE"""),"SERV DE ORGAO MUNICIPALIZ RP")</f>
        <v>SERV DE ORGAO MUNICIPALIZ RP</v>
      </c>
      <c r="E1992" s="11"/>
      <c r="F1992" s="11" t="str">
        <f>IFERROR(__xludf.DUMMYFUNCTION("""COMPUTED_VALUE"""),"US_103 CS PROF MARIO RAMOS")</f>
        <v>US_103 CS PROF MARIO RAMOS</v>
      </c>
      <c r="G1992" s="11" t="str">
        <f>IFERROR(__xludf.DUMMYFUNCTION("""COMPUTED_VALUE"""),"US_103 CS PROF MARIO RAMOS")</f>
        <v>US_103 CS PROF MARIO RAMOS</v>
      </c>
      <c r="H1992" s="11"/>
      <c r="I1992" s="11"/>
      <c r="J1992" s="11"/>
      <c r="K1992" s="11"/>
      <c r="L1992" s="11"/>
      <c r="M1992" s="11"/>
      <c r="N1992" s="11"/>
      <c r="O1992" s="11">
        <f>IFERROR(__xludf.DUMMYFUNCTION("""COMPUTED_VALUE"""),12923460430)</f>
        <v>12923460430</v>
      </c>
      <c r="P1992" s="11"/>
      <c r="Q1992" s="11"/>
      <c r="R1992" s="11"/>
      <c r="S1992" s="11"/>
      <c r="T1992" s="11"/>
      <c r="U1992" s="11"/>
      <c r="V1992" s="11"/>
      <c r="W1992" s="11"/>
      <c r="X1992" s="11"/>
      <c r="Y1992" s="11"/>
      <c r="Z1992" s="11"/>
    </row>
    <row r="1993" customHeight="1" spans="1:26">
      <c r="A1993" s="11" t="str">
        <f>IFERROR(__xludf.DUMMYFUNCTION("""COMPUTED_VALUE"""),"ANGELA MARIA BRITO FERREIRA")</f>
        <v>ANGELA MARIA BRITO FERREIRA</v>
      </c>
      <c r="B1993" s="11"/>
      <c r="C1993" s="11"/>
      <c r="D1993" s="11" t="str">
        <f>IFERROR(__xludf.DUMMYFUNCTION("""COMPUTED_VALUE"""),"SERV DE ORGAO MUNICIPALIZ RP")</f>
        <v>SERV DE ORGAO MUNICIPALIZ RP</v>
      </c>
      <c r="E1993" s="11"/>
      <c r="F1993" s="11" t="str">
        <f>IFERROR(__xludf.DUMMYFUNCTION("""COMPUTED_VALUE"""),"US_117 CS GASPAR REGUEIRA COSTA")</f>
        <v>US_117 CS GASPAR REGUEIRA COSTA</v>
      </c>
      <c r="G1993" s="11" t="str">
        <f>IFERROR(__xludf.DUMMYFUNCTION("""COMPUTED_VALUE"""),"US_117 CS GASPAR REGUEIRA COSTA")</f>
        <v>US_117 CS GASPAR REGUEIRA COSTA</v>
      </c>
      <c r="H1993" s="11"/>
      <c r="I1993" s="11"/>
      <c r="J1993" s="11"/>
      <c r="K1993" s="11"/>
      <c r="L1993" s="11"/>
      <c r="M1993" s="11"/>
      <c r="N1993" s="11"/>
      <c r="O1993" s="11">
        <f>IFERROR(__xludf.DUMMYFUNCTION("""COMPUTED_VALUE"""),21481202391)</f>
        <v>21481202391</v>
      </c>
      <c r="P1993" s="11"/>
      <c r="Q1993" s="11"/>
      <c r="R1993" s="11"/>
      <c r="S1993" s="11"/>
      <c r="T1993" s="11"/>
      <c r="U1993" s="11"/>
      <c r="V1993" s="11"/>
      <c r="W1993" s="11"/>
      <c r="X1993" s="11"/>
      <c r="Y1993" s="11"/>
      <c r="Z1993" s="11"/>
    </row>
    <row r="1994" customHeight="1" spans="1:26">
      <c r="A1994" s="11" t="str">
        <f>IFERROR(__xludf.DUMMYFUNCTION("""COMPUTED_VALUE"""),"JOSE ROBERTO DA ROCHA FARIAS")</f>
        <v>JOSE ROBERTO DA ROCHA FARIAS</v>
      </c>
      <c r="B1994" s="11"/>
      <c r="C1994" s="11"/>
      <c r="D1994" s="11" t="str">
        <f>IFERROR(__xludf.DUMMYFUNCTION("""COMPUTED_VALUE"""),"CIRURGIAO DENTISTA 20H")</f>
        <v>CIRURGIAO DENTISTA 20H</v>
      </c>
      <c r="E1994" s="11"/>
      <c r="F1994" s="11" t="str">
        <f>IFERROR(__xludf.DUMMYFUNCTION("""COMPUTED_VALUE"""),"US_119 CS PROF JOSE CARNEIRO LEAO")</f>
        <v>US_119 CS PROF JOSE CARNEIRO LEAO</v>
      </c>
      <c r="G1994" s="11" t="str">
        <f>IFERROR(__xludf.DUMMYFUNCTION("""COMPUTED_VALUE"""),"US_119 CS PROF JOSE CARNEIRO LEAO")</f>
        <v>US_119 CS PROF JOSE CARNEIRO LEAO</v>
      </c>
      <c r="H1994" s="11"/>
      <c r="I1994" s="11"/>
      <c r="J1994" s="11"/>
      <c r="K1994" s="11"/>
      <c r="L1994" s="11"/>
      <c r="M1994" s="11"/>
      <c r="N1994" s="11"/>
      <c r="O1994" s="11">
        <f>IFERROR(__xludf.DUMMYFUNCTION("""COMPUTED_VALUE"""),21804885487)</f>
        <v>21804885487</v>
      </c>
      <c r="P1994" s="11"/>
      <c r="Q1994" s="11"/>
      <c r="R1994" s="11"/>
      <c r="S1994" s="11"/>
      <c r="T1994" s="11"/>
      <c r="U1994" s="11"/>
      <c r="V1994" s="11"/>
      <c r="W1994" s="11"/>
      <c r="X1994" s="11"/>
      <c r="Y1994" s="11"/>
      <c r="Z1994" s="11"/>
    </row>
    <row r="1995" customHeight="1" spans="1:26">
      <c r="A1995" s="11" t="str">
        <f>IFERROR(__xludf.DUMMYFUNCTION("""COMPUTED_VALUE"""),"TACIANA COSTA ARTEIRO")</f>
        <v>TACIANA COSTA ARTEIRO</v>
      </c>
      <c r="B1995" s="11"/>
      <c r="C1995" s="11"/>
      <c r="D1995" s="11" t="str">
        <f>IFERROR(__xludf.DUMMYFUNCTION("""COMPUTED_VALUE"""),"CIRURGIAO DENTISTA 20H")</f>
        <v>CIRURGIAO DENTISTA 20H</v>
      </c>
      <c r="E1995" s="11"/>
      <c r="F1995" s="11" t="str">
        <f>IFERROR(__xludf.DUMMYFUNCTION("""COMPUTED_VALUE"""),"US_161 CS PROF ROMERO MARQUES / IPIRANGA")</f>
        <v>US_161 CS PROF ROMERO MARQUES / IPIRANGA</v>
      </c>
      <c r="G1995" s="11" t="str">
        <f>IFERROR(__xludf.DUMMYFUNCTION("""COMPUTED_VALUE"""),"US_161 CS PROF ROMERO MARQUES / IPIRANGA")</f>
        <v>US_161 CS PROF ROMERO MARQUES / IPIRANGA</v>
      </c>
      <c r="H1995" s="11"/>
      <c r="I1995" s="11"/>
      <c r="J1995" s="11"/>
      <c r="K1995" s="11"/>
      <c r="L1995" s="11"/>
      <c r="M1995" s="11"/>
      <c r="N1995" s="11"/>
      <c r="O1995" s="11">
        <f>IFERROR(__xludf.DUMMYFUNCTION("""COMPUTED_VALUE"""),77974603453)</f>
        <v>77974603453</v>
      </c>
      <c r="P1995" s="11"/>
      <c r="Q1995" s="11"/>
      <c r="R1995" s="11"/>
      <c r="S1995" s="11"/>
      <c r="T1995" s="11"/>
      <c r="U1995" s="11"/>
      <c r="V1995" s="11"/>
      <c r="W1995" s="11"/>
      <c r="X1995" s="11"/>
      <c r="Y1995" s="11"/>
      <c r="Z1995" s="11"/>
    </row>
    <row r="1996" customHeight="1" spans="1:26">
      <c r="A1996" s="11" t="str">
        <f>IFERROR(__xludf.DUMMYFUNCTION("""COMPUTED_VALUE"""),"ADALGISA GOES DA R PEIXOTO")</f>
        <v>ADALGISA GOES DA R PEIXOTO</v>
      </c>
      <c r="B1996" s="11"/>
      <c r="C1996" s="11"/>
      <c r="D1996" s="11" t="str">
        <f>IFERROR(__xludf.DUMMYFUNCTION("""COMPUTED_VALUE"""),"SERV OUT ORGAOS - REG PROPRIO")</f>
        <v>SERV OUT ORGAOS - REG PROPRIO</v>
      </c>
      <c r="E1996" s="11"/>
      <c r="F1996" s="11" t="str">
        <f>IFERROR(__xludf.DUMMYFUNCTION("""COMPUTED_VALUE"""),"US_119 CS PROF JOSE CARNEIRO LEAO")</f>
        <v>US_119 CS PROF JOSE CARNEIRO LEAO</v>
      </c>
      <c r="G1996" s="11" t="str">
        <f>IFERROR(__xludf.DUMMYFUNCTION("""COMPUTED_VALUE"""),"US_119 CS PROF JOSE CARNEIRO LEAO")</f>
        <v>US_119 CS PROF JOSE CARNEIRO LEAO</v>
      </c>
      <c r="H1996" s="11"/>
      <c r="I1996" s="11"/>
      <c r="J1996" s="11"/>
      <c r="K1996" s="11"/>
      <c r="L1996" s="11"/>
      <c r="M1996" s="11"/>
      <c r="N1996" s="11"/>
      <c r="O1996" s="11">
        <f>IFERROR(__xludf.DUMMYFUNCTION("""COMPUTED_VALUE"""),29583330434)</f>
        <v>29583330434</v>
      </c>
      <c r="P1996" s="11"/>
      <c r="Q1996" s="11"/>
      <c r="R1996" s="11"/>
      <c r="S1996" s="11"/>
      <c r="T1996" s="11"/>
      <c r="U1996" s="11"/>
      <c r="V1996" s="11"/>
      <c r="W1996" s="11"/>
      <c r="X1996" s="11"/>
      <c r="Y1996" s="11"/>
      <c r="Z1996" s="11"/>
    </row>
    <row r="1997" customHeight="1" spans="1:26">
      <c r="A1997" s="11" t="str">
        <f>IFERROR(__xludf.DUMMYFUNCTION("""COMPUTED_VALUE"""),"MARIA LUCIA PIMENTEL P SOUZA")</f>
        <v>MARIA LUCIA PIMENTEL P SOUZA</v>
      </c>
      <c r="B1997" s="11"/>
      <c r="C1997" s="11"/>
      <c r="D1997" s="11" t="str">
        <f>IFERROR(__xludf.DUMMYFUNCTION("""COMPUTED_VALUE"""),"SERV DE ORGAO MUNICIPALIZ RP")</f>
        <v>SERV DE ORGAO MUNICIPALIZ RP</v>
      </c>
      <c r="E1997" s="11"/>
      <c r="F1997" s="11" t="str">
        <f>IFERROR(__xludf.DUMMYFUNCTION("""COMPUTED_VALUE"""),"US_109 CS FRANCISCO PIGNATARI")</f>
        <v>US_109 CS FRANCISCO PIGNATARI</v>
      </c>
      <c r="G1997" s="11" t="str">
        <f>IFERROR(__xludf.DUMMYFUNCTION("""COMPUTED_VALUE"""),"US_109 CS FRANCISCO PIGNATARI")</f>
        <v>US_109 CS FRANCISCO PIGNATARI</v>
      </c>
      <c r="H1997" s="11"/>
      <c r="I1997" s="11"/>
      <c r="J1997" s="11"/>
      <c r="K1997" s="11"/>
      <c r="L1997" s="11"/>
      <c r="M1997" s="11"/>
      <c r="N1997" s="11"/>
      <c r="O1997" s="11">
        <f>IFERROR(__xludf.DUMMYFUNCTION("""COMPUTED_VALUE"""),39914518400)</f>
        <v>39914518400</v>
      </c>
      <c r="P1997" s="11"/>
      <c r="Q1997" s="11"/>
      <c r="R1997" s="11"/>
      <c r="S1997" s="11"/>
      <c r="T1997" s="11"/>
      <c r="U1997" s="11"/>
      <c r="V1997" s="11"/>
      <c r="W1997" s="11"/>
      <c r="X1997" s="11"/>
      <c r="Y1997" s="11"/>
      <c r="Z1997" s="11"/>
    </row>
    <row r="1998" customHeight="1" spans="1:26">
      <c r="A1998" s="11" t="str">
        <f>IFERROR(__xludf.DUMMYFUNCTION("""COMPUTED_VALUE"""),"ITALENE BARROS VIANA")</f>
        <v>ITALENE BARROS VIANA</v>
      </c>
      <c r="B1998" s="11"/>
      <c r="C1998" s="11"/>
      <c r="D1998" s="11" t="str">
        <f>IFERROR(__xludf.DUMMYFUNCTION("""COMPUTED_VALUE"""),"CIRURGIAO DENTISTA 20H")</f>
        <v>CIRURGIAO DENTISTA 20H</v>
      </c>
      <c r="E1998" s="11"/>
      <c r="F1998" s="11" t="str">
        <f>IFERROR(__xludf.DUMMYFUNCTION("""COMPUTED_VALUE"""),"US_104 CS SEBASTIAO IVO RABELO")</f>
        <v>US_104 CS SEBASTIAO IVO RABELO</v>
      </c>
      <c r="G1998" s="11" t="str">
        <f>IFERROR(__xludf.DUMMYFUNCTION("""COMPUTED_VALUE"""),"US_104 CS SEBASTIAO IVO RABELO")</f>
        <v>US_104 CS SEBASTIAO IVO RABELO</v>
      </c>
      <c r="H1998" s="11"/>
      <c r="I1998" s="11"/>
      <c r="J1998" s="11"/>
      <c r="K1998" s="11"/>
      <c r="L1998" s="11"/>
      <c r="M1998" s="11"/>
      <c r="N1998" s="11"/>
      <c r="O1998" s="11">
        <f>IFERROR(__xludf.DUMMYFUNCTION("""COMPUTED_VALUE"""),2883263426)</f>
        <v>2883263426</v>
      </c>
      <c r="P1998" s="11"/>
      <c r="Q1998" s="11"/>
      <c r="R1998" s="11"/>
      <c r="S1998" s="11"/>
      <c r="T1998" s="11"/>
      <c r="U1998" s="11"/>
      <c r="V1998" s="11"/>
      <c r="W1998" s="11"/>
      <c r="X1998" s="11"/>
      <c r="Y1998" s="11"/>
      <c r="Z1998" s="11"/>
    </row>
    <row r="1999" customHeight="1" spans="1:26">
      <c r="A1999" s="11" t="str">
        <f>IFERROR(__xludf.DUMMYFUNCTION("""COMPUTED_VALUE"""),"PAULO HENRIQUE P CAVALCANTI")</f>
        <v>PAULO HENRIQUE P CAVALCANTI</v>
      </c>
      <c r="B1999" s="11"/>
      <c r="C1999" s="11"/>
      <c r="D1999" s="11" t="str">
        <f>IFERROR(__xludf.DUMMYFUNCTION("""COMPUTED_VALUE"""),"CIRURGIAO DENTISTA 20H")</f>
        <v>CIRURGIAO DENTISTA 20H</v>
      </c>
      <c r="E1999" s="11"/>
      <c r="F1999" s="11" t="str">
        <f>IFERROR(__xludf.DUMMYFUNCTION("""COMPUTED_VALUE"""),"US_126 CS VER ROMILDO GOMES")</f>
        <v>US_126 CS VER ROMILDO GOMES</v>
      </c>
      <c r="G1999" s="11" t="str">
        <f>IFERROR(__xludf.DUMMYFUNCTION("""COMPUTED_VALUE"""),"US_126 CS VER ROMILDO GOMES")</f>
        <v>US_126 CS VER ROMILDO GOMES</v>
      </c>
      <c r="H1999" s="11"/>
      <c r="I1999" s="11"/>
      <c r="J1999" s="11"/>
      <c r="K1999" s="11"/>
      <c r="L1999" s="11"/>
      <c r="M1999" s="11"/>
      <c r="N1999" s="11"/>
      <c r="O1999" s="11">
        <f>IFERROR(__xludf.DUMMYFUNCTION("""COMPUTED_VALUE"""),5086546451)</f>
        <v>5086546451</v>
      </c>
      <c r="P1999" s="11"/>
      <c r="Q1999" s="11"/>
      <c r="R1999" s="11"/>
      <c r="S1999" s="11"/>
      <c r="T1999" s="11"/>
      <c r="U1999" s="11"/>
      <c r="V1999" s="11"/>
      <c r="W1999" s="11"/>
      <c r="X1999" s="11"/>
      <c r="Y1999" s="11"/>
      <c r="Z1999" s="11"/>
    </row>
    <row r="2000" customHeight="1" spans="1:26">
      <c r="A2000" s="11" t="str">
        <f>IFERROR(__xludf.DUMMYFUNCTION("""COMPUTED_VALUE"""),"KAMILA AZOUBEL BARRETO")</f>
        <v>KAMILA AZOUBEL BARRETO</v>
      </c>
      <c r="B2000" s="11"/>
      <c r="C2000" s="11"/>
      <c r="D2000" s="11" t="str">
        <f>IFERROR(__xludf.DUMMYFUNCTION("""COMPUTED_VALUE"""),"CIRURGIAO DENTISTA 20H")</f>
        <v>CIRURGIAO DENTISTA 20H</v>
      </c>
      <c r="E2000" s="11" t="str">
        <f>IFERROR(__xludf.DUMMYFUNCTION("""COMPUTED_VALUE"""),"V")</f>
        <v>V</v>
      </c>
      <c r="F2000" s="11" t="str">
        <f>IFERROR(__xludf.DUMMYFUNCTION("""COMPUTED_VALUE"""),"US_158 CS PAM CEASA")</f>
        <v>US_158 CS PAM CEASA</v>
      </c>
      <c r="G2000" s="11" t="str">
        <f>IFERROR(__xludf.DUMMYFUNCTION("""COMPUTED_VALUE"""),"US_158 CS PAM CEASA")</f>
        <v>US_158 CS PAM CEASA</v>
      </c>
      <c r="H2000" s="11"/>
      <c r="I2000" s="11"/>
      <c r="J2000" s="11"/>
      <c r="K2000" s="11"/>
      <c r="L2000" s="11"/>
      <c r="M2000" s="11"/>
      <c r="N2000" s="11"/>
      <c r="O2000" s="11">
        <f>IFERROR(__xludf.DUMMYFUNCTION("""COMPUTED_VALUE"""),6911372429)</f>
        <v>6911372429</v>
      </c>
      <c r="P2000" s="11"/>
      <c r="Q2000" s="11"/>
      <c r="R2000" s="11"/>
      <c r="S2000" s="11"/>
      <c r="T2000" s="11"/>
      <c r="U2000" s="11"/>
      <c r="V2000" s="11"/>
      <c r="W2000" s="11"/>
      <c r="X2000" s="11"/>
      <c r="Y2000" s="11"/>
      <c r="Z2000" s="11"/>
    </row>
    <row r="2001" customHeight="1" spans="1:26">
      <c r="A2001" s="11" t="str">
        <f>IFERROR(__xludf.DUMMYFUNCTION("""COMPUTED_VALUE"""),"FELLIPE JOSE L DE S DE MELO")</f>
        <v>FELLIPE JOSE L DE S DE MELO</v>
      </c>
      <c r="B2001" s="11"/>
      <c r="C2001" s="11"/>
      <c r="D2001" s="11" t="str">
        <f>IFERROR(__xludf.DUMMYFUNCTION("""COMPUTED_VALUE"""),"CIRURGIAO DENTISTA 20H")</f>
        <v>CIRURGIAO DENTISTA 20H</v>
      </c>
      <c r="E2001" s="11"/>
      <c r="F2001" s="11" t="str">
        <f>IFERROR(__xludf.DUMMYFUNCTION("""COMPUTED_VALUE"""),"US_112 CS DR JOSE DUSTAN CARVALHO SOARES	")</f>
        <v>US_112 CS DR JOSE DUSTAN CARVALHO SOARES	</v>
      </c>
      <c r="G2001" s="11" t="str">
        <f>IFERROR(__xludf.DUMMYFUNCTION("""COMPUTED_VALUE"""),"US_112 CS DR JOSE DUSTAN CARVALHO SOARES	")</f>
        <v>US_112 CS DR JOSE DUSTAN CARVALHO SOARES	</v>
      </c>
      <c r="H2001" s="11"/>
      <c r="I2001" s="11"/>
      <c r="J2001" s="11"/>
      <c r="K2001" s="11"/>
      <c r="L2001" s="11"/>
      <c r="M2001" s="11"/>
      <c r="N2001" s="11"/>
      <c r="O2001" s="11">
        <f>IFERROR(__xludf.DUMMYFUNCTION("""COMPUTED_VALUE"""),8939031407)</f>
        <v>8939031407</v>
      </c>
      <c r="P2001" s="11"/>
      <c r="Q2001" s="11"/>
      <c r="R2001" s="11"/>
      <c r="S2001" s="11"/>
      <c r="T2001" s="11"/>
      <c r="U2001" s="11"/>
      <c r="V2001" s="11"/>
      <c r="W2001" s="11"/>
      <c r="X2001" s="11"/>
      <c r="Y2001" s="11"/>
      <c r="Z2001" s="11"/>
    </row>
    <row r="2002" customHeight="1" spans="1:26">
      <c r="A2002" s="11" t="str">
        <f>IFERROR(__xludf.DUMMYFUNCTION("""COMPUTED_VALUE"""),"ELZA FLORENCIO DE MOURA")</f>
        <v>ELZA FLORENCIO DE MOURA</v>
      </c>
      <c r="B2002" s="11"/>
      <c r="C2002" s="11"/>
      <c r="D2002" s="11" t="str">
        <f>IFERROR(__xludf.DUMMYFUNCTION("""COMPUTED_VALUE"""),"SERV DE ORGAO MUNICIPALIZ RP")</f>
        <v>SERV DE ORGAO MUNICIPALIZ RP</v>
      </c>
      <c r="E2002" s="11"/>
      <c r="F2002" s="11" t="str">
        <f>IFERROR(__xludf.DUMMYFUNCTION("""COMPUTED_VALUE"""),"US_287 USF ALTO JOSE DO PINHO")</f>
        <v>US_287 USF ALTO JOSE DO PINHO</v>
      </c>
      <c r="G2002" s="11" t="str">
        <f>IFERROR(__xludf.DUMMYFUNCTION("""COMPUTED_VALUE"""),"US_287 USF ALTO JOSE DO PINHO")</f>
        <v>US_287 USF ALTO JOSE DO PINHO</v>
      </c>
      <c r="H2002" s="11"/>
      <c r="I2002" s="11"/>
      <c r="J2002" s="11"/>
      <c r="K2002" s="11"/>
      <c r="L2002" s="11"/>
      <c r="M2002" s="11"/>
      <c r="N2002" s="11"/>
      <c r="O2002" s="11">
        <f>IFERROR(__xludf.DUMMYFUNCTION("""COMPUTED_VALUE"""),7514417400)</f>
        <v>7514417400</v>
      </c>
      <c r="P2002" s="11"/>
      <c r="Q2002" s="11"/>
      <c r="R2002" s="11"/>
      <c r="S2002" s="11"/>
      <c r="T2002" s="11"/>
      <c r="U2002" s="11"/>
      <c r="V2002" s="11"/>
      <c r="W2002" s="11"/>
      <c r="X2002" s="11"/>
      <c r="Y2002" s="11"/>
      <c r="Z2002" s="11"/>
    </row>
    <row r="2003" customHeight="1" spans="1:26">
      <c r="A2003" s="11" t="str">
        <f>IFERROR(__xludf.DUMMYFUNCTION("""COMPUTED_VALUE"""),"MARCIA TORRES DE C NUNES COSTA")</f>
        <v>MARCIA TORRES DE C NUNES COSTA</v>
      </c>
      <c r="B2003" s="11"/>
      <c r="C2003" s="11"/>
      <c r="D2003" s="11" t="str">
        <f>IFERROR(__xludf.DUMMYFUNCTION("""COMPUTED_VALUE"""),"SERV DE ORGAO MUNICIPALIZ RP")</f>
        <v>SERV DE ORGAO MUNICIPALIZ RP</v>
      </c>
      <c r="E2003" s="11"/>
      <c r="F2003" s="11" t="str">
        <f>IFERROR(__xludf.DUMMYFUNCTION("""COMPUTED_VALUE"""),"US_258 USF SITIO DOS PINTOS / DR. ANTONIO LUCAS")</f>
        <v>US_258 USF SITIO DOS PINTOS / DR. ANTONIO LUCAS</v>
      </c>
      <c r="G2003" s="11" t="str">
        <f>IFERROR(__xludf.DUMMYFUNCTION("""COMPUTED_VALUE"""),"US_258 USF SITIO DOS PINTOS / DR. ANTONIO LUCAS")</f>
        <v>US_258 USF SITIO DOS PINTOS / DR. ANTONIO LUCAS</v>
      </c>
      <c r="H2003" s="11"/>
      <c r="I2003" s="11"/>
      <c r="J2003" s="11"/>
      <c r="K2003" s="11"/>
      <c r="L2003" s="11"/>
      <c r="M2003" s="11"/>
      <c r="N2003" s="11"/>
      <c r="O2003" s="11">
        <f>IFERROR(__xludf.DUMMYFUNCTION("""COMPUTED_VALUE"""),46084509487)</f>
        <v>46084509487</v>
      </c>
      <c r="P2003" s="11"/>
      <c r="Q2003" s="11"/>
      <c r="R2003" s="11"/>
      <c r="S2003" s="11"/>
      <c r="T2003" s="11"/>
      <c r="U2003" s="11"/>
      <c r="V2003" s="11"/>
      <c r="W2003" s="11"/>
      <c r="X2003" s="11"/>
      <c r="Y2003" s="11"/>
      <c r="Z2003" s="11"/>
    </row>
    <row r="2004" customHeight="1" spans="1:26">
      <c r="A2004" s="11" t="str">
        <f>IFERROR(__xludf.DUMMYFUNCTION("""COMPUTED_VALUE"""),"GEORGE MARIO DE A SILVA GUSMAO")</f>
        <v>GEORGE MARIO DE A SILVA GUSMAO</v>
      </c>
      <c r="B2004" s="11"/>
      <c r="C2004" s="11"/>
      <c r="D2004" s="11" t="str">
        <f>IFERROR(__xludf.DUMMYFUNCTION("""COMPUTED_VALUE"""),"CIRURGIAO DENTISTA 40H")</f>
        <v>CIRURGIAO DENTISTA 40H</v>
      </c>
      <c r="E2004" s="11"/>
      <c r="F2004" s="11" t="str">
        <f>IFERROR(__xludf.DUMMYFUNCTION("""COMPUTED_VALUE"""),"US_312 USF VILA DO SESI")</f>
        <v>US_312 USF VILA DO SESI</v>
      </c>
      <c r="G2004" s="11" t="str">
        <f>IFERROR(__xludf.DUMMYFUNCTION("""COMPUTED_VALUE"""),"US_312 USF VILA DO SESI")</f>
        <v>US_312 USF VILA DO SESI</v>
      </c>
      <c r="H2004" s="11"/>
      <c r="I2004" s="11"/>
      <c r="J2004" s="11"/>
      <c r="K2004" s="11"/>
      <c r="L2004" s="11"/>
      <c r="M2004" s="11"/>
      <c r="N2004" s="11"/>
      <c r="O2004" s="11">
        <f>IFERROR(__xludf.DUMMYFUNCTION("""COMPUTED_VALUE"""),65755537453)</f>
        <v>65755537453</v>
      </c>
      <c r="P2004" s="11"/>
      <c r="Q2004" s="11"/>
      <c r="R2004" s="11"/>
      <c r="S2004" s="11"/>
      <c r="T2004" s="11"/>
      <c r="U2004" s="11"/>
      <c r="V2004" s="11"/>
      <c r="W2004" s="11"/>
      <c r="X2004" s="11"/>
      <c r="Y2004" s="11"/>
      <c r="Z2004" s="11"/>
    </row>
    <row r="2005" customHeight="1" spans="1:26">
      <c r="A2005" s="11" t="str">
        <f>IFERROR(__xludf.DUMMYFUNCTION("""COMPUTED_VALUE"""),"KARINE MARIA DO REGO B SANTOS")</f>
        <v>KARINE MARIA DO REGO B SANTOS</v>
      </c>
      <c r="B2005" s="11"/>
      <c r="C2005" s="11"/>
      <c r="D2005" s="11" t="str">
        <f>IFERROR(__xludf.DUMMYFUNCTION("""COMPUTED_VALUE"""),"CIRURGIAO DENTISTA 40H")</f>
        <v>CIRURGIAO DENTISTA 40H</v>
      </c>
      <c r="E2005" s="11"/>
      <c r="F2005" s="11" t="str">
        <f>IFERROR(__xludf.DUMMYFUNCTION("""COMPUTED_VALUE"""),"US_177 USF CHICO MENDES - XIMBORE")</f>
        <v>US_177 USF CHICO MENDES - XIMBORE</v>
      </c>
      <c r="G2005" s="11" t="str">
        <f>IFERROR(__xludf.DUMMYFUNCTION("""COMPUTED_VALUE"""),"US_177 USF CHICO MENDES - XIMBORE")</f>
        <v>US_177 USF CHICO MENDES - XIMBORE</v>
      </c>
      <c r="H2005" s="11"/>
      <c r="I2005" s="11"/>
      <c r="J2005" s="11"/>
      <c r="K2005" s="11"/>
      <c r="L2005" s="11"/>
      <c r="M2005" s="11"/>
      <c r="N2005" s="11"/>
      <c r="O2005" s="11">
        <f>IFERROR(__xludf.DUMMYFUNCTION("""COMPUTED_VALUE"""),3817192436)</f>
        <v>3817192436</v>
      </c>
      <c r="P2005" s="11"/>
      <c r="Q2005" s="11"/>
      <c r="R2005" s="11"/>
      <c r="S2005" s="11"/>
      <c r="T2005" s="11"/>
      <c r="U2005" s="11"/>
      <c r="V2005" s="11"/>
      <c r="W2005" s="11"/>
      <c r="X2005" s="11"/>
      <c r="Y2005" s="11"/>
      <c r="Z2005" s="11"/>
    </row>
    <row r="2006" customHeight="1" spans="1:26">
      <c r="A2006" s="11" t="str">
        <f>IFERROR(__xludf.DUMMYFUNCTION("""COMPUTED_VALUE"""),"MARIA DO ROSARIO M R DE BRITO")</f>
        <v>MARIA DO ROSARIO M R DE BRITO</v>
      </c>
      <c r="B2006" s="11"/>
      <c r="C2006" s="11"/>
      <c r="D2006" s="11" t="str">
        <f>IFERROR(__xludf.DUMMYFUNCTION("""COMPUTED_VALUE"""),"CIRURGIAO DENTISTA 40H")</f>
        <v>CIRURGIAO DENTISTA 40H</v>
      </c>
      <c r="E2006" s="11"/>
      <c r="F2006" s="11" t="str">
        <f>IFERROR(__xludf.DUMMYFUNCTION("""COMPUTED_VALUE"""),"US_300 USF DR GERALDO BARRETO CAMPELO SAN MARTIN")</f>
        <v>US_300 USF DR GERALDO BARRETO CAMPELO SAN MARTIN</v>
      </c>
      <c r="G2006" s="11" t="str">
        <f>IFERROR(__xludf.DUMMYFUNCTION("""COMPUTED_VALUE"""),"US_300 USF DR GERALDO BARRETO CAMPELO SAN MARTIN")</f>
        <v>US_300 USF DR GERALDO BARRETO CAMPELO SAN MARTIN</v>
      </c>
      <c r="H2006" s="11"/>
      <c r="I2006" s="11"/>
      <c r="J2006" s="11"/>
      <c r="K2006" s="11"/>
      <c r="L2006" s="11"/>
      <c r="M2006" s="11"/>
      <c r="N2006" s="11"/>
      <c r="O2006" s="11">
        <f>IFERROR(__xludf.DUMMYFUNCTION("""COMPUTED_VALUE"""),17992320425)</f>
        <v>17992320425</v>
      </c>
      <c r="P2006" s="11"/>
      <c r="Q2006" s="11"/>
      <c r="R2006" s="11"/>
      <c r="S2006" s="11"/>
      <c r="T2006" s="11"/>
      <c r="U2006" s="11"/>
      <c r="V2006" s="11"/>
      <c r="W2006" s="11"/>
      <c r="X2006" s="11"/>
      <c r="Y2006" s="11"/>
      <c r="Z2006" s="11"/>
    </row>
    <row r="2007" customHeight="1" spans="1:26">
      <c r="A2007" s="11" t="str">
        <f>IFERROR(__xludf.DUMMYFUNCTION("""COMPUTED_VALUE"""),"MARCELO CALDAS DOS SANTOS")</f>
        <v>MARCELO CALDAS DOS SANTOS</v>
      </c>
      <c r="B2007" s="11"/>
      <c r="C2007" s="11"/>
      <c r="D2007" s="11" t="str">
        <f>IFERROR(__xludf.DUMMYFUNCTION("""COMPUTED_VALUE"""),"CIRURGIAO DENTISTA 40H")</f>
        <v>CIRURGIAO DENTISTA 40H</v>
      </c>
      <c r="E2007" s="11"/>
      <c r="F2007" s="11" t="str">
        <f>IFERROR(__xludf.DUMMYFUNCTION("""COMPUTED_VALUE"""),"USF - US 155 USF ALTO DOS COQUEIROS II / BEBERIBE / PROF. MONTEIRO DE MORAIS")</f>
        <v>USF - US 155 USF ALTO DOS COQUEIROS II / BEBERIBE / PROF. MONTEIRO DE MORAIS</v>
      </c>
      <c r="G2007" s="11" t="str">
        <f>IFERROR(__xludf.DUMMYFUNCTION("""COMPUTED_VALUE"""),"USF - US 155 USF ALTO DOS COQUEIROS II / BEBERIBE / PROF. MONTEIRO DE MORAIS")</f>
        <v>USF - US 155 USF ALTO DOS COQUEIROS II / BEBERIBE / PROF. MONTEIRO DE MORAIS</v>
      </c>
      <c r="H2007" s="11"/>
      <c r="I2007" s="11"/>
      <c r="J2007" s="11"/>
      <c r="K2007" s="11"/>
      <c r="L2007" s="11"/>
      <c r="M2007" s="11"/>
      <c r="N2007" s="11"/>
      <c r="O2007" s="11">
        <f>IFERROR(__xludf.DUMMYFUNCTION("""COMPUTED_VALUE"""),17035512810)</f>
        <v>17035512810</v>
      </c>
      <c r="P2007" s="11"/>
      <c r="Q2007" s="11"/>
      <c r="R2007" s="11"/>
      <c r="S2007" s="11"/>
      <c r="T2007" s="11"/>
      <c r="U2007" s="11"/>
      <c r="V2007" s="11"/>
      <c r="W2007" s="11"/>
      <c r="X2007" s="11"/>
      <c r="Y2007" s="11"/>
      <c r="Z2007" s="11"/>
    </row>
    <row r="2008" customHeight="1" spans="1:26">
      <c r="A2008" s="11" t="str">
        <f>IFERROR(__xludf.DUMMYFUNCTION("""COMPUTED_VALUE"""),"MARIANA SOUSA P DE Q CAMPOS")</f>
        <v>MARIANA SOUSA P DE Q CAMPOS</v>
      </c>
      <c r="B2008" s="11"/>
      <c r="C2008" s="11"/>
      <c r="D2008" s="11" t="str">
        <f>IFERROR(__xludf.DUMMYFUNCTION("""COMPUTED_VALUE"""),"CIRURGIAO DENTISTA 40H")</f>
        <v>CIRURGIAO DENTISTA 40H</v>
      </c>
      <c r="E2008" s="11"/>
      <c r="F2008" s="11" t="str">
        <f>IFERROR(__xludf.DUMMYFUNCTION("""COMPUTED_VALUE"""),"US_344 USF JIQUIA I E II")</f>
        <v>US_344 USF JIQUIA I E II</v>
      </c>
      <c r="G2008" s="11" t="str">
        <f>IFERROR(__xludf.DUMMYFUNCTION("""COMPUTED_VALUE"""),"US_344 USF JIQUIA I E II")</f>
        <v>US_344 USF JIQUIA I E II</v>
      </c>
      <c r="H2008" s="11"/>
      <c r="I2008" s="11"/>
      <c r="J2008" s="11"/>
      <c r="K2008" s="11"/>
      <c r="L2008" s="11"/>
      <c r="M2008" s="11"/>
      <c r="N2008" s="11"/>
      <c r="O2008" s="11">
        <f>IFERROR(__xludf.DUMMYFUNCTION("""COMPUTED_VALUE"""),3800909456)</f>
        <v>3800909456</v>
      </c>
      <c r="P2008" s="11"/>
      <c r="Q2008" s="11"/>
      <c r="R2008" s="11"/>
      <c r="S2008" s="11"/>
      <c r="T2008" s="11"/>
      <c r="U2008" s="11"/>
      <c r="V2008" s="11"/>
      <c r="W2008" s="11"/>
      <c r="X2008" s="11"/>
      <c r="Y2008" s="11"/>
      <c r="Z2008" s="11"/>
    </row>
    <row r="2009" customHeight="1" spans="1:26">
      <c r="A2009" s="11" t="str">
        <f>IFERROR(__xludf.DUMMYFUNCTION("""COMPUTED_VALUE"""),"SIMONE SILVA REGO F PINTO")</f>
        <v>SIMONE SILVA REGO F PINTO</v>
      </c>
      <c r="B2009" s="11"/>
      <c r="C2009" s="11"/>
      <c r="D2009" s="11" t="str">
        <f>IFERROR(__xludf.DUMMYFUNCTION("""COMPUTED_VALUE"""),"CIRURGIAO DENTISTA 40H")</f>
        <v>CIRURGIAO DENTISTA 40H</v>
      </c>
      <c r="E2009" s="11"/>
      <c r="F2009" s="11" t="str">
        <f>IFERROR(__xludf.DUMMYFUNCTION("""COMPUTED_VALUE"""),"US_284 USF VILA SAO MIGUEL MARROM GLACE")</f>
        <v>US_284 USF VILA SAO MIGUEL MARROM GLACE</v>
      </c>
      <c r="G2009" s="11" t="str">
        <f>IFERROR(__xludf.DUMMYFUNCTION("""COMPUTED_VALUE"""),"US_284 USF VILA SAO MIGUEL MARROM GLACE")</f>
        <v>US_284 USF VILA SAO MIGUEL MARROM GLACE</v>
      </c>
      <c r="H2009" s="11"/>
      <c r="I2009" s="11"/>
      <c r="J2009" s="11"/>
      <c r="K2009" s="11"/>
      <c r="L2009" s="11"/>
      <c r="M2009" s="11"/>
      <c r="N2009" s="11"/>
      <c r="O2009" s="11">
        <f>IFERROR(__xludf.DUMMYFUNCTION("""COMPUTED_VALUE"""),84697890400)</f>
        <v>84697890400</v>
      </c>
      <c r="P2009" s="11"/>
      <c r="Q2009" s="11"/>
      <c r="R2009" s="11"/>
      <c r="S2009" s="11"/>
      <c r="T2009" s="11"/>
      <c r="U2009" s="11"/>
      <c r="V2009" s="11"/>
      <c r="W2009" s="11"/>
      <c r="X2009" s="11"/>
      <c r="Y2009" s="11"/>
      <c r="Z2009" s="11"/>
    </row>
    <row r="2010" customHeight="1" spans="1:26">
      <c r="A2010" s="11" t="str">
        <f>IFERROR(__xludf.DUMMYFUNCTION("""COMPUTED_VALUE"""),"ITALENE BARROS VIANA")</f>
        <v>ITALENE BARROS VIANA</v>
      </c>
      <c r="B2010" s="11"/>
      <c r="C2010" s="11"/>
      <c r="D2010" s="11" t="str">
        <f>IFERROR(__xludf.DUMMYFUNCTION("""COMPUTED_VALUE"""),"CIRURGIAO DENTISTA 40H")</f>
        <v>CIRURGIAO DENTISTA 40H</v>
      </c>
      <c r="E2010" s="11"/>
      <c r="F2010" s="11" t="str">
        <f>IFERROR(__xludf.DUMMYFUNCTION("""COMPUTED_VALUE"""),"US_104 CS SEBASTIAO IVO RABELO")</f>
        <v>US_104 CS SEBASTIAO IVO RABELO</v>
      </c>
      <c r="G2010" s="11" t="str">
        <f>IFERROR(__xludf.DUMMYFUNCTION("""COMPUTED_VALUE"""),"US_104 CS SEBASTIAO IVO RABELO")</f>
        <v>US_104 CS SEBASTIAO IVO RABELO</v>
      </c>
      <c r="H2010" s="11"/>
      <c r="I2010" s="11"/>
      <c r="J2010" s="11"/>
      <c r="K2010" s="11"/>
      <c r="L2010" s="11"/>
      <c r="M2010" s="11"/>
      <c r="N2010" s="11"/>
      <c r="O2010" s="11">
        <f>IFERROR(__xludf.DUMMYFUNCTION("""COMPUTED_VALUE"""),2883263426)</f>
        <v>2883263426</v>
      </c>
      <c r="P2010" s="11"/>
      <c r="Q2010" s="11"/>
      <c r="R2010" s="11"/>
      <c r="S2010" s="11"/>
      <c r="T2010" s="11"/>
      <c r="U2010" s="11"/>
      <c r="V2010" s="11"/>
      <c r="W2010" s="11"/>
      <c r="X2010" s="11"/>
      <c r="Y2010" s="11"/>
      <c r="Z2010" s="11"/>
    </row>
    <row r="2011" customHeight="1" spans="1:26">
      <c r="A2011" s="11" t="str">
        <f>IFERROR(__xludf.DUMMYFUNCTION("""COMPUTED_VALUE"""),"MARIA CECILIA S N GUEIROS")</f>
        <v>MARIA CECILIA S N GUEIROS</v>
      </c>
      <c r="B2011" s="11"/>
      <c r="C2011" s="11"/>
      <c r="D2011" s="11" t="str">
        <f>IFERROR(__xludf.DUMMYFUNCTION("""COMPUTED_VALUE"""),"CIRURGIAO DENTISTA 40H")</f>
        <v>CIRURGIAO DENTISTA 40H</v>
      </c>
      <c r="E2011" s="11"/>
      <c r="F2011" s="11" t="str">
        <f>IFERROR(__xludf.DUMMYFUNCTION("""COMPUTED_VALUE"""),"US_238 USF IRAQUE")</f>
        <v>US_238 USF IRAQUE</v>
      </c>
      <c r="G2011" s="11" t="str">
        <f>IFERROR(__xludf.DUMMYFUNCTION("""COMPUTED_VALUE"""),"US_238 USF IRAQUE")</f>
        <v>US_238 USF IRAQUE</v>
      </c>
      <c r="H2011" s="11"/>
      <c r="I2011" s="11"/>
      <c r="J2011" s="11"/>
      <c r="K2011" s="11"/>
      <c r="L2011" s="11"/>
      <c r="M2011" s="11"/>
      <c r="N2011" s="11"/>
      <c r="O2011" s="11">
        <f>IFERROR(__xludf.DUMMYFUNCTION("""COMPUTED_VALUE"""),3878912420)</f>
        <v>3878912420</v>
      </c>
      <c r="P2011" s="11"/>
      <c r="Q2011" s="11"/>
      <c r="R2011" s="11"/>
      <c r="S2011" s="11"/>
      <c r="T2011" s="11"/>
      <c r="U2011" s="11"/>
      <c r="V2011" s="11"/>
      <c r="W2011" s="11"/>
      <c r="X2011" s="11"/>
      <c r="Y2011" s="11"/>
      <c r="Z2011" s="11"/>
    </row>
    <row r="2012" customHeight="1" spans="1:26">
      <c r="A2012" s="11" t="str">
        <f>IFERROR(__xludf.DUMMYFUNCTION("""COMPUTED_VALUE"""),"MARIA DA CONCEICAO G DE MATOS")</f>
        <v>MARIA DA CONCEICAO G DE MATOS</v>
      </c>
      <c r="B2012" s="11"/>
      <c r="C2012" s="11"/>
      <c r="D2012" s="11" t="str">
        <f>IFERROR(__xludf.DUMMYFUNCTION("""COMPUTED_VALUE"""),"CIRURGIAO DENTISTA 40H")</f>
        <v>CIRURGIAO DENTISTA 40H</v>
      </c>
      <c r="E2012" s="11"/>
      <c r="F2012" s="11" t="str">
        <f>IFERROR(__xludf.DUMMYFUNCTION("""COMPUTED_VALUE"""),"US_265 USF MANGUEIRA I")</f>
        <v>US_265 USF MANGUEIRA I</v>
      </c>
      <c r="G2012" s="11" t="str">
        <f>IFERROR(__xludf.DUMMYFUNCTION("""COMPUTED_VALUE"""),"US_265 USF MANGUEIRA I")</f>
        <v>US_265 USF MANGUEIRA I</v>
      </c>
      <c r="H2012" s="11"/>
      <c r="I2012" s="11"/>
      <c r="J2012" s="11"/>
      <c r="K2012" s="11"/>
      <c r="L2012" s="11"/>
      <c r="M2012" s="11"/>
      <c r="N2012" s="11"/>
      <c r="O2012" s="11">
        <f>IFERROR(__xludf.DUMMYFUNCTION("""COMPUTED_VALUE"""),35217405449)</f>
        <v>35217405449</v>
      </c>
      <c r="P2012" s="11"/>
      <c r="Q2012" s="11"/>
      <c r="R2012" s="11"/>
      <c r="S2012" s="11"/>
      <c r="T2012" s="11"/>
      <c r="U2012" s="11"/>
      <c r="V2012" s="11"/>
      <c r="W2012" s="11"/>
      <c r="X2012" s="11"/>
      <c r="Y2012" s="11"/>
      <c r="Z2012" s="11"/>
    </row>
    <row r="2013" customHeight="1" spans="1:26">
      <c r="A2013" s="11" t="str">
        <f>IFERROR(__xludf.DUMMYFUNCTION("""COMPUTED_VALUE"""),"MANOELA GABRIEL MARTINS")</f>
        <v>MANOELA GABRIEL MARTINS</v>
      </c>
      <c r="B2013" s="11"/>
      <c r="C2013" s="11"/>
      <c r="D2013" s="11" t="str">
        <f>IFERROR(__xludf.DUMMYFUNCTION("""COMPUTED_VALUE"""),"CIRURGIAO DENTISTA 40H")</f>
        <v>CIRURGIAO DENTISTA 40H</v>
      </c>
      <c r="E2013" s="11"/>
      <c r="F2013" s="11" t="str">
        <f>IFERROR(__xludf.DUMMYFUNCTION("""COMPUTED_VALUE"""),"US_404 USF SANTO AMARO III	")</f>
        <v>US_404 USF SANTO AMARO III	</v>
      </c>
      <c r="G2013" s="11" t="str">
        <f>IFERROR(__xludf.DUMMYFUNCTION("""COMPUTED_VALUE"""),"US_404 USF SANTO AMARO III	")</f>
        <v>US_404 USF SANTO AMARO III	</v>
      </c>
      <c r="H2013" s="27">
        <f>IFERROR(__xludf.DUMMYFUNCTION("""COMPUTED_VALUE"""),81991974990)</f>
        <v>81991974990</v>
      </c>
      <c r="I2013" s="11"/>
      <c r="J2013" s="11"/>
      <c r="K2013" s="11"/>
      <c r="L2013" s="11"/>
      <c r="M2013" s="11"/>
      <c r="N2013" s="11"/>
      <c r="O2013" s="11">
        <f>IFERROR(__xludf.DUMMYFUNCTION("""COMPUTED_VALUE"""),5179571405)</f>
        <v>5179571405</v>
      </c>
      <c r="P2013" s="11"/>
      <c r="Q2013" s="11"/>
      <c r="R2013" s="11"/>
      <c r="S2013" s="11"/>
      <c r="T2013" s="11"/>
      <c r="U2013" s="11"/>
      <c r="V2013" s="11"/>
      <c r="W2013" s="11"/>
      <c r="X2013" s="11"/>
      <c r="Y2013" s="11"/>
      <c r="Z2013" s="11"/>
    </row>
    <row r="2014" customHeight="1" spans="1:26">
      <c r="A2014" s="11" t="str">
        <f>IFERROR(__xludf.DUMMYFUNCTION("""COMPUTED_VALUE"""),"JORGE DE ABREU D CAMARA")</f>
        <v>JORGE DE ABREU D CAMARA</v>
      </c>
      <c r="B2014" s="11"/>
      <c r="C2014" s="11"/>
      <c r="D2014" s="11" t="str">
        <f>IFERROR(__xludf.DUMMYFUNCTION("""COMPUTED_VALUE"""),"SERV OUT ORGAOS - REG PROPRIO")</f>
        <v>SERV OUT ORGAOS - REG PROPRIO</v>
      </c>
      <c r="E2014" s="11"/>
      <c r="F2014" s="11" t="str">
        <f>IFERROR(__xludf.DUMMYFUNCTION("""COMPUTED_VALUE"""),"US_255 USF UPINHA 24H VILA ARRAES	")</f>
        <v>US_255 USF UPINHA 24H VILA ARRAES	</v>
      </c>
      <c r="G2014" s="11" t="str">
        <f>IFERROR(__xludf.DUMMYFUNCTION("""COMPUTED_VALUE"""),"US_255 USF UPINHA 24H VILA ARRAES	")</f>
        <v>US_255 USF UPINHA 24H VILA ARRAES	</v>
      </c>
      <c r="H2014" s="11"/>
      <c r="I2014" s="11"/>
      <c r="J2014" s="11"/>
      <c r="K2014" s="11"/>
      <c r="L2014" s="11"/>
      <c r="M2014" s="11"/>
      <c r="N2014" s="11"/>
      <c r="O2014" s="11">
        <f>IFERROR(__xludf.DUMMYFUNCTION("""COMPUTED_VALUE"""),12708828487)</f>
        <v>12708828487</v>
      </c>
      <c r="P2014" s="11"/>
      <c r="Q2014" s="11"/>
      <c r="R2014" s="11"/>
      <c r="S2014" s="11"/>
      <c r="T2014" s="11"/>
      <c r="U2014" s="11"/>
      <c r="V2014" s="11"/>
      <c r="W2014" s="11"/>
      <c r="X2014" s="11"/>
      <c r="Y2014" s="11"/>
      <c r="Z2014" s="11"/>
    </row>
    <row r="2015" customHeight="1" spans="1:26">
      <c r="A2015" s="11" t="str">
        <f>IFERROR(__xludf.DUMMYFUNCTION("""COMPUTED_VALUE"""),"JOAO HENRIQUE C RANGEL")</f>
        <v>JOAO HENRIQUE C RANGEL</v>
      </c>
      <c r="B2015" s="11"/>
      <c r="C2015" s="11"/>
      <c r="D2015" s="11" t="str">
        <f>IFERROR(__xludf.DUMMYFUNCTION("""COMPUTED_VALUE"""),"SERV OUT ORGAOS - REG PROPRIO")</f>
        <v>SERV OUT ORGAOS - REG PROPRIO</v>
      </c>
      <c r="E2015" s="11"/>
      <c r="F2015" s="11" t="str">
        <f>IFERROR(__xludf.DUMMYFUNCTION("""COMPUTED_VALUE"""),"US_287 USF ALTO JOSE DO PINHO")</f>
        <v>US_287 USF ALTO JOSE DO PINHO</v>
      </c>
      <c r="G2015" s="11" t="str">
        <f>IFERROR(__xludf.DUMMYFUNCTION("""COMPUTED_VALUE"""),"US_287 USF ALTO JOSE DO PINHO")</f>
        <v>US_287 USF ALTO JOSE DO PINHO</v>
      </c>
      <c r="H2015" s="11"/>
      <c r="I2015" s="11"/>
      <c r="J2015" s="11"/>
      <c r="K2015" s="11"/>
      <c r="L2015" s="11"/>
      <c r="M2015" s="11"/>
      <c r="N2015" s="11"/>
      <c r="O2015" s="11">
        <f>IFERROR(__xludf.DUMMYFUNCTION("""COMPUTED_VALUE"""),33159700410)</f>
        <v>33159700410</v>
      </c>
      <c r="P2015" s="11"/>
      <c r="Q2015" s="11"/>
      <c r="R2015" s="11"/>
      <c r="S2015" s="11"/>
      <c r="T2015" s="11"/>
      <c r="U2015" s="11"/>
      <c r="V2015" s="11"/>
      <c r="W2015" s="11"/>
      <c r="X2015" s="11"/>
      <c r="Y2015" s="11"/>
      <c r="Z2015" s="11"/>
    </row>
    <row r="2016" customHeight="1" spans="1:26">
      <c r="A2016" s="11" t="str">
        <f>IFERROR(__xludf.DUMMYFUNCTION("""COMPUTED_VALUE"""),"SUELEN DO NASCIMENTO R PEREIRA")</f>
        <v>SUELEN DO NASCIMENTO R PEREIRA</v>
      </c>
      <c r="B2016" s="11"/>
      <c r="C2016" s="11"/>
      <c r="D2016" s="11" t="str">
        <f>IFERROR(__xludf.DUMMYFUNCTION("""COMPUTED_VALUE"""),"CIRURGIAO DENTISTA 40H")</f>
        <v>CIRURGIAO DENTISTA 40H</v>
      </c>
      <c r="E2016" s="11"/>
      <c r="F2016" s="11" t="str">
        <f>IFERROR(__xludf.DUMMYFUNCTION("""COMPUTED_VALUE"""),"US_162 POLICLINICA ALBERT SABIN")</f>
        <v>US_162 POLICLINICA ALBERT SABIN</v>
      </c>
      <c r="G2016" s="11" t="str">
        <f>IFERROR(__xludf.DUMMYFUNCTION("""COMPUTED_VALUE"""),"US_162 POLICLINICA ALBERT SABIN")</f>
        <v>US_162 POLICLINICA ALBERT SABIN</v>
      </c>
      <c r="H2016" s="11"/>
      <c r="I2016" s="11"/>
      <c r="J2016" s="11"/>
      <c r="K2016" s="11"/>
      <c r="L2016" s="11"/>
      <c r="M2016" s="11"/>
      <c r="N2016" s="11"/>
      <c r="O2016" s="11">
        <f>IFERROR(__xludf.DUMMYFUNCTION("""COMPUTED_VALUE"""),5749114481)</f>
        <v>5749114481</v>
      </c>
      <c r="P2016" s="11"/>
      <c r="Q2016" s="11"/>
      <c r="R2016" s="11"/>
      <c r="S2016" s="11"/>
      <c r="T2016" s="11"/>
      <c r="U2016" s="11"/>
      <c r="V2016" s="11"/>
      <c r="W2016" s="11"/>
      <c r="X2016" s="11"/>
      <c r="Y2016" s="11"/>
      <c r="Z2016" s="11"/>
    </row>
    <row r="2017" customHeight="1" spans="1:26">
      <c r="A2017" s="11" t="str">
        <f>IFERROR(__xludf.DUMMYFUNCTION("""COMPUTED_VALUE"""),"MARILIA LINS E SILVA")</f>
        <v>MARILIA LINS E SILVA</v>
      </c>
      <c r="B2017" s="11"/>
      <c r="C2017" s="11"/>
      <c r="D2017" s="11" t="str">
        <f>IFERROR(__xludf.DUMMYFUNCTION("""COMPUTED_VALUE"""),"CIRURGIAO DENTISTA 40H")</f>
        <v>CIRURGIAO DENTISTA 40H</v>
      </c>
      <c r="E2017" s="11"/>
      <c r="F2017" s="11" t="str">
        <f>IFERROR(__xludf.DUMMYFUNCTION("""COMPUTED_VALUE"""),"US_184 USF VILA UNIAO / AIRTON SENA")</f>
        <v>US_184 USF VILA UNIAO / AIRTON SENA</v>
      </c>
      <c r="G2017" s="11" t="str">
        <f>IFERROR(__xludf.DUMMYFUNCTION("""COMPUTED_VALUE"""),"US_184 USF VILA UNIAO / AIRTON SENA")</f>
        <v>US_184 USF VILA UNIAO / AIRTON SENA</v>
      </c>
      <c r="H2017" s="11"/>
      <c r="I2017" s="11"/>
      <c r="J2017" s="11"/>
      <c r="K2017" s="11"/>
      <c r="L2017" s="11"/>
      <c r="M2017" s="11"/>
      <c r="N2017" s="11"/>
      <c r="O2017" s="11">
        <f>IFERROR(__xludf.DUMMYFUNCTION("""COMPUTED_VALUE"""),7385113400)</f>
        <v>7385113400</v>
      </c>
      <c r="P2017" s="11"/>
      <c r="Q2017" s="11"/>
      <c r="R2017" s="11"/>
      <c r="S2017" s="11"/>
      <c r="T2017" s="11"/>
      <c r="U2017" s="11"/>
      <c r="V2017" s="11"/>
      <c r="W2017" s="11"/>
      <c r="X2017" s="11"/>
      <c r="Y2017" s="11"/>
      <c r="Z2017" s="11"/>
    </row>
    <row r="2018" customHeight="1" spans="1:26">
      <c r="A2018" s="11" t="str">
        <f>IFERROR(__xludf.DUMMYFUNCTION("""COMPUTED_VALUE"""),"Diego Angeiras de Souza")</f>
        <v>Diego Angeiras de Souza</v>
      </c>
      <c r="B2018" s="11"/>
      <c r="C2018" s="11"/>
      <c r="D2018" s="11" t="str">
        <f>IFERROR(__xludf.DUMMYFUNCTION("""COMPUTED_VALUE"""),"Médico Residente")</f>
        <v>Médico Residente</v>
      </c>
      <c r="E2018" s="11"/>
      <c r="F2018" s="11"/>
      <c r="G2018" s="11" t="str">
        <f>IFERROR(__xludf.DUMMYFUNCTION("""COMPUTED_VALUE"""),"US 295 USF COSME E DAMIAO")</f>
        <v>US 295 USF COSME E DAMIAO</v>
      </c>
      <c r="H2018" s="27">
        <f>IFERROR(__xludf.DUMMYFUNCTION("""COMPUTED_VALUE"""),81997588111)</f>
        <v>81997588111</v>
      </c>
      <c r="I2018" s="11"/>
      <c r="J2018" s="11"/>
      <c r="K2018" s="24">
        <f>IFERROR(__xludf.DUMMYFUNCTION("""COMPUTED_VALUE"""),45400)</f>
        <v>45400</v>
      </c>
      <c r="L2018" s="11"/>
      <c r="M2018" s="11"/>
      <c r="N2018" s="11"/>
      <c r="O2018" s="11"/>
      <c r="P2018" s="11"/>
      <c r="Q2018" s="11"/>
      <c r="R2018" s="11"/>
      <c r="S2018" s="11"/>
      <c r="T2018" s="11"/>
      <c r="U2018" s="11"/>
      <c r="V2018" s="11"/>
      <c r="W2018" s="11"/>
      <c r="X2018" s="11"/>
      <c r="Y2018" s="11"/>
      <c r="Z2018" s="11"/>
    </row>
    <row r="2019" customHeight="1" spans="1:26">
      <c r="A2019" s="11" t="str">
        <f>IFERROR(__xludf.DUMMYFUNCTION("""COMPUTED_VALUE"""),"DEBORA MAXIMO DAS NEVES LUNA")</f>
        <v>DEBORA MAXIMO DAS NEVES LUNA</v>
      </c>
      <c r="B2019" s="11"/>
      <c r="C2019" s="11"/>
      <c r="D2019" s="11" t="str">
        <f>IFERROR(__xludf.DUMMYFUNCTION("""COMPUTED_VALUE"""),"CIRURGIAO DENTISTA 40H")</f>
        <v>CIRURGIAO DENTISTA 40H</v>
      </c>
      <c r="E2019" s="11"/>
      <c r="F2019" s="11" t="str">
        <f>IFERROR(__xludf.DUMMYFUNCTION("""COMPUTED_VALUE"""),"US_295 USF COSME E DAMIAO	")</f>
        <v>US_295 USF COSME E DAMIAO	</v>
      </c>
      <c r="G2019" s="11" t="str">
        <f>IFERROR(__xludf.DUMMYFUNCTION("""COMPUTED_VALUE"""),"US_295 USF COSME E DAMIAO	")</f>
        <v>US_295 USF COSME E DAMIAO	</v>
      </c>
      <c r="H2019" s="27">
        <f>IFERROR(__xludf.DUMMYFUNCTION("""COMPUTED_VALUE"""),81996548243)</f>
        <v>81996548243</v>
      </c>
      <c r="I2019" s="11"/>
      <c r="J2019" s="11"/>
      <c r="K2019" s="24">
        <f>IFERROR(__xludf.DUMMYFUNCTION("""COMPUTED_VALUE"""),45317)</f>
        <v>45317</v>
      </c>
      <c r="L2019" s="11"/>
      <c r="M2019" s="11"/>
      <c r="N2019" s="11"/>
      <c r="O2019" s="11">
        <f>IFERROR(__xludf.DUMMYFUNCTION("""COMPUTED_VALUE"""),5832097424)</f>
        <v>5832097424</v>
      </c>
      <c r="P2019" s="11"/>
      <c r="Q2019" s="11"/>
      <c r="R2019" s="11"/>
      <c r="S2019" s="11"/>
      <c r="T2019" s="11"/>
      <c r="U2019" s="11"/>
      <c r="V2019" s="11"/>
      <c r="W2019" s="11"/>
      <c r="X2019" s="11"/>
      <c r="Y2019" s="11"/>
      <c r="Z2019" s="11"/>
    </row>
    <row r="2020" customHeight="1" spans="1:26">
      <c r="A2020" s="11" t="str">
        <f>IFERROR(__xludf.DUMMYFUNCTION("""COMPUTED_VALUE"""),"ISABELA MARIA SANTIAGO JAEGGER")</f>
        <v>ISABELA MARIA SANTIAGO JAEGGER</v>
      </c>
      <c r="B2020" s="11"/>
      <c r="C2020" s="11"/>
      <c r="D2020" s="11" t="str">
        <f>IFERROR(__xludf.DUMMYFUNCTION("""COMPUTED_VALUE"""),"CIRURGIAO DENTISTA 40H")</f>
        <v>CIRURGIAO DENTISTA 40H</v>
      </c>
      <c r="E2020" s="11"/>
      <c r="F2020" s="11" t="str">
        <f>IFERROR(__xludf.DUMMYFUNCTION("""COMPUTED_VALUE"""),"US_144 POLICLINICA CLEMENTINO FRAGA")</f>
        <v>US_144 POLICLINICA CLEMENTINO FRAGA</v>
      </c>
      <c r="G2020" s="11" t="str">
        <f>IFERROR(__xludf.DUMMYFUNCTION("""COMPUTED_VALUE"""),"US_144 POLICLINICA CLEMENTINO FRAGA")</f>
        <v>US_144 POLICLINICA CLEMENTINO FRAGA</v>
      </c>
      <c r="H2020" s="11"/>
      <c r="I2020" s="11"/>
      <c r="J2020" s="11"/>
      <c r="K2020" s="11"/>
      <c r="L2020" s="11"/>
      <c r="M2020" s="11"/>
      <c r="N2020" s="11"/>
      <c r="O2020" s="11">
        <f>IFERROR(__xludf.DUMMYFUNCTION("""COMPUTED_VALUE"""),1074689488)</f>
        <v>1074689488</v>
      </c>
      <c r="P2020" s="11"/>
      <c r="Q2020" s="11"/>
      <c r="R2020" s="11"/>
      <c r="S2020" s="11"/>
      <c r="T2020" s="11"/>
      <c r="U2020" s="11"/>
      <c r="V2020" s="11"/>
      <c r="W2020" s="11"/>
      <c r="X2020" s="11"/>
      <c r="Y2020" s="11"/>
      <c r="Z2020" s="11"/>
    </row>
    <row r="2021" customHeight="1" spans="1:26">
      <c r="A2021" s="11" t="str">
        <f>IFERROR(__xludf.DUMMYFUNCTION("""COMPUTED_VALUE"""),"DANIELLE CRISTINE C D VIEIRA")</f>
        <v>DANIELLE CRISTINE C D VIEIRA</v>
      </c>
      <c r="B2021" s="11"/>
      <c r="C2021" s="11"/>
      <c r="D2021" s="11" t="str">
        <f>IFERROR(__xludf.DUMMYFUNCTION("""COMPUTED_VALUE"""),"CIRURGIAO DENTISTA 40H")</f>
        <v>CIRURGIAO DENTISTA 40H</v>
      </c>
      <c r="E2021" s="11"/>
      <c r="F2021" s="11" t="str">
        <f>IFERROR(__xludf.DUMMYFUNCTION("""COMPUTED_VALUE"""),"US_226 USF CHAO DE ESTRELAS")</f>
        <v>US_226 USF CHAO DE ESTRELAS</v>
      </c>
      <c r="G2021" s="11" t="str">
        <f>IFERROR(__xludf.DUMMYFUNCTION("""COMPUTED_VALUE"""),"US_226 USF CHAO DE ESTRELAS")</f>
        <v>US_226 USF CHAO DE ESTRELAS</v>
      </c>
      <c r="H2021" s="11"/>
      <c r="I2021" s="11"/>
      <c r="J2021" s="11"/>
      <c r="K2021" s="11"/>
      <c r="L2021" s="11"/>
      <c r="M2021" s="11"/>
      <c r="N2021" s="11"/>
      <c r="O2021" s="11">
        <f>IFERROR(__xludf.DUMMYFUNCTION("""COMPUTED_VALUE"""),2964974527)</f>
        <v>2964974527</v>
      </c>
      <c r="P2021" s="11"/>
      <c r="Q2021" s="11"/>
      <c r="R2021" s="11"/>
      <c r="S2021" s="11"/>
      <c r="T2021" s="11"/>
      <c r="U2021" s="11"/>
      <c r="V2021" s="11"/>
      <c r="W2021" s="11"/>
      <c r="X2021" s="11"/>
      <c r="Y2021" s="11"/>
      <c r="Z2021" s="11"/>
    </row>
    <row r="2022" customHeight="1" spans="1:26">
      <c r="A2022" s="11" t="str">
        <f>IFERROR(__xludf.DUMMYFUNCTION("""COMPUTED_VALUE"""),"VITOR CARLOS MARQUES S MAIOR")</f>
        <v>VITOR CARLOS MARQUES S MAIOR</v>
      </c>
      <c r="B2022" s="11"/>
      <c r="C2022" s="11"/>
      <c r="D2022" s="11" t="str">
        <f>IFERROR(__xludf.DUMMYFUNCTION("""COMPUTED_VALUE"""),"CIRURGIAO DENTISTA 40H")</f>
        <v>CIRURGIAO DENTISTA 40H</v>
      </c>
      <c r="E2022" s="11"/>
      <c r="F2022" s="11" t="str">
        <f>IFERROR(__xludf.DUMMYFUNCTION("""COMPUTED_VALUE"""),"US_266 USF MANGUEIRA II")</f>
        <v>US_266 USF MANGUEIRA II</v>
      </c>
      <c r="G2022" s="11" t="str">
        <f>IFERROR(__xludf.DUMMYFUNCTION("""COMPUTED_VALUE"""),"US_266 USF MANGUEIRA II")</f>
        <v>US_266 USF MANGUEIRA II</v>
      </c>
      <c r="H2022" s="11"/>
      <c r="I2022" s="11"/>
      <c r="J2022" s="11"/>
      <c r="K2022" s="11"/>
      <c r="L2022" s="11"/>
      <c r="M2022" s="11"/>
      <c r="N2022" s="11"/>
      <c r="O2022" s="11">
        <f>IFERROR(__xludf.DUMMYFUNCTION("""COMPUTED_VALUE"""),5693694445)</f>
        <v>5693694445</v>
      </c>
      <c r="P2022" s="11"/>
      <c r="Q2022" s="11"/>
      <c r="R2022" s="11"/>
      <c r="S2022" s="11"/>
      <c r="T2022" s="11"/>
      <c r="U2022" s="11"/>
      <c r="V2022" s="11"/>
      <c r="W2022" s="11"/>
      <c r="X2022" s="11"/>
      <c r="Y2022" s="11"/>
      <c r="Z2022" s="11"/>
    </row>
    <row r="2023" customHeight="1" spans="1:26">
      <c r="A2023" s="11" t="str">
        <f>IFERROR(__xludf.DUMMYFUNCTION("""COMPUTED_VALUE"""),"DANIELLE CORDEIRO LOIOLA")</f>
        <v>DANIELLE CORDEIRO LOIOLA</v>
      </c>
      <c r="B2023" s="11"/>
      <c r="C2023" s="11"/>
      <c r="D2023" s="11" t="str">
        <f>IFERROR(__xludf.DUMMYFUNCTION("""COMPUTED_VALUE"""),"CIRURGIAO DENTISTA 40H")</f>
        <v>CIRURGIAO DENTISTA 40H</v>
      </c>
      <c r="E2023" s="11"/>
      <c r="F2023" s="11" t="str">
        <f>IFERROR(__xludf.DUMMYFUNCTION("""COMPUTED_VALUE"""),"US_218 USF COQUE")</f>
        <v>US_218 USF COQUE</v>
      </c>
      <c r="G2023" s="11" t="str">
        <f>IFERROR(__xludf.DUMMYFUNCTION("""COMPUTED_VALUE"""),"US_218 USF COQUE")</f>
        <v>US_218 USF COQUE</v>
      </c>
      <c r="H2023" s="11"/>
      <c r="I2023" s="11"/>
      <c r="J2023" s="11"/>
      <c r="K2023" s="11"/>
      <c r="L2023" s="11"/>
      <c r="M2023" s="11"/>
      <c r="N2023" s="11"/>
      <c r="O2023" s="11">
        <f>IFERROR(__xludf.DUMMYFUNCTION("""COMPUTED_VALUE"""),3689659370)</f>
        <v>3689659370</v>
      </c>
      <c r="P2023" s="11"/>
      <c r="Q2023" s="11"/>
      <c r="R2023" s="11"/>
      <c r="S2023" s="11"/>
      <c r="T2023" s="11"/>
      <c r="U2023" s="11"/>
      <c r="V2023" s="11"/>
      <c r="W2023" s="11"/>
      <c r="X2023" s="11"/>
      <c r="Y2023" s="11"/>
      <c r="Z2023" s="11"/>
    </row>
    <row r="2024" customHeight="1" spans="1:26">
      <c r="A2024" s="11" t="str">
        <f>IFERROR(__xludf.DUMMYFUNCTION("""COMPUTED_VALUE"""),"LITIAN OLIVEIRA DE LIMA BARROS")</f>
        <v>LITIAN OLIVEIRA DE LIMA BARROS</v>
      </c>
      <c r="B2024" s="11"/>
      <c r="C2024" s="11"/>
      <c r="D2024" s="11" t="str">
        <f>IFERROR(__xludf.DUMMYFUNCTION("""COMPUTED_VALUE"""),"CIRURGIAO DENTISTA 40H")</f>
        <v>CIRURGIAO DENTISTA 40H</v>
      </c>
      <c r="E2024" s="11"/>
      <c r="F2024" s="11" t="str">
        <f>IFERROR(__xludf.DUMMYFUNCTION("""COMPUTED_VALUE"""),"US_259 USF SITIO SAO BRAZ	")</f>
        <v>US_259 USF SITIO SAO BRAZ	</v>
      </c>
      <c r="G2024" s="11" t="str">
        <f>IFERROR(__xludf.DUMMYFUNCTION("""COMPUTED_VALUE"""),"US_259 USF SITIO SAO BRAZ	")</f>
        <v>US_259 USF SITIO SAO BRAZ	</v>
      </c>
      <c r="H2024" s="11"/>
      <c r="I2024" s="11"/>
      <c r="J2024" s="11"/>
      <c r="K2024" s="11"/>
      <c r="L2024" s="11"/>
      <c r="M2024" s="11"/>
      <c r="N2024" s="11"/>
      <c r="O2024" s="11">
        <f>IFERROR(__xludf.DUMMYFUNCTION("""COMPUTED_VALUE"""),5642856413)</f>
        <v>5642856413</v>
      </c>
      <c r="P2024" s="11"/>
      <c r="Q2024" s="11"/>
      <c r="R2024" s="11"/>
      <c r="S2024" s="11"/>
      <c r="T2024" s="11"/>
      <c r="U2024" s="11"/>
      <c r="V2024" s="11"/>
      <c r="W2024" s="11"/>
      <c r="X2024" s="11"/>
      <c r="Y2024" s="11"/>
      <c r="Z2024" s="11"/>
    </row>
    <row r="2025" customHeight="1" spans="1:26">
      <c r="A2025" s="11" t="str">
        <f>IFERROR(__xludf.DUMMYFUNCTION("""COMPUTED_VALUE"""),"KAMILLA KARLA MAURICIO PASSOS")</f>
        <v>KAMILLA KARLA MAURICIO PASSOS</v>
      </c>
      <c r="B2025" s="11"/>
      <c r="C2025" s="11"/>
      <c r="D2025" s="11" t="str">
        <f>IFERROR(__xludf.DUMMYFUNCTION("""COMPUTED_VALUE"""),"CIRURGIAO DENTISTA 40H")</f>
        <v>CIRURGIAO DENTISTA 40H</v>
      </c>
      <c r="E2025" s="11"/>
      <c r="F2025" s="11" t="str">
        <f>IFERROR(__xludf.DUMMYFUNCTION("""COMPUTED_VALUE"""),"US_171 CS JOAQUIM COSTA CARVALHO/ALTO DO MANDU")</f>
        <v>US_171 CS JOAQUIM COSTA CARVALHO/ALTO DO MANDU</v>
      </c>
      <c r="G2025" s="11" t="str">
        <f>IFERROR(__xludf.DUMMYFUNCTION("""COMPUTED_VALUE"""),"US_171 CS JOAQUIM COSTA CARVALHO/ALTO DO MANDU")</f>
        <v>US_171 CS JOAQUIM COSTA CARVALHO/ALTO DO MANDU</v>
      </c>
      <c r="H2025" s="11"/>
      <c r="I2025" s="11"/>
      <c r="J2025" s="11"/>
      <c r="K2025" s="11"/>
      <c r="L2025" s="11"/>
      <c r="M2025" s="11"/>
      <c r="N2025" s="11"/>
      <c r="O2025" s="11">
        <f>IFERROR(__xludf.DUMMYFUNCTION("""COMPUTED_VALUE"""),7397464483)</f>
        <v>7397464483</v>
      </c>
      <c r="P2025" s="11"/>
      <c r="Q2025" s="11"/>
      <c r="R2025" s="11"/>
      <c r="S2025" s="11"/>
      <c r="T2025" s="11"/>
      <c r="U2025" s="11"/>
      <c r="V2025" s="11"/>
      <c r="W2025" s="11"/>
      <c r="X2025" s="11"/>
      <c r="Y2025" s="11"/>
      <c r="Z2025" s="11"/>
    </row>
    <row r="2026" customHeight="1" spans="1:26">
      <c r="A2026" s="11" t="str">
        <f>IFERROR(__xludf.DUMMYFUNCTION("""COMPUTED_VALUE"""),"JOSELI NUNES DA SILVA LIRA")</f>
        <v>JOSELI NUNES DA SILVA LIRA</v>
      </c>
      <c r="B2026" s="11"/>
      <c r="C2026" s="11"/>
      <c r="D2026" s="11" t="str">
        <f>IFERROR(__xludf.DUMMYFUNCTION("""COMPUTED_VALUE"""),"CIRURGIAO DENTISTA 40H")</f>
        <v>CIRURGIAO DENTISTA 40H</v>
      </c>
      <c r="E2026" s="11"/>
      <c r="F2026" s="11" t="str">
        <f>IFERROR(__xludf.DUMMYFUNCTION("""COMPUTED_VALUE"""),"US_331 USF PROF AMAURY DE MEDEIROS")</f>
        <v>US_331 USF PROF AMAURY DE MEDEIROS</v>
      </c>
      <c r="G2026" s="11" t="str">
        <f>IFERROR(__xludf.DUMMYFUNCTION("""COMPUTED_VALUE"""),"US_331 USF PROF AMAURY DE MEDEIROS")</f>
        <v>US_331 USF PROF AMAURY DE MEDEIROS</v>
      </c>
      <c r="H2026" s="11"/>
      <c r="I2026" s="11"/>
      <c r="J2026" s="11"/>
      <c r="K2026" s="11"/>
      <c r="L2026" s="11"/>
      <c r="M2026" s="11"/>
      <c r="N2026" s="11"/>
      <c r="O2026" s="11">
        <f>IFERROR(__xludf.DUMMYFUNCTION("""COMPUTED_VALUE"""),8892280430)</f>
        <v>8892280430</v>
      </c>
      <c r="P2026" s="11"/>
      <c r="Q2026" s="11"/>
      <c r="R2026" s="11"/>
      <c r="S2026" s="11"/>
      <c r="T2026" s="11"/>
      <c r="U2026" s="11"/>
      <c r="V2026" s="11"/>
      <c r="W2026" s="11"/>
      <c r="X2026" s="11"/>
      <c r="Y2026" s="11"/>
      <c r="Z2026" s="11"/>
    </row>
    <row r="2027" customHeight="1" spans="1:26">
      <c r="A2027" s="11" t="str">
        <f>IFERROR(__xludf.DUMMYFUNCTION("""COMPUTED_VALUE"""),"KATARINA ADRIANA F LEITE SALES")</f>
        <v>KATARINA ADRIANA F LEITE SALES</v>
      </c>
      <c r="B2027" s="11"/>
      <c r="C2027" s="11"/>
      <c r="D2027" s="11" t="str">
        <f>IFERROR(__xludf.DUMMYFUNCTION("""COMPUTED_VALUE"""),"CIRURGIAO DENTISTA 40H")</f>
        <v>CIRURGIAO DENTISTA 40H</v>
      </c>
      <c r="E2027" s="11"/>
      <c r="F2027" s="11" t="str">
        <f>IFERROR(__xludf.DUMMYFUNCTION("""COMPUTED_VALUE"""),"US_305 USF DA MACAXEIRA")</f>
        <v>US_305 USF DA MACAXEIRA</v>
      </c>
      <c r="G2027" s="11" t="str">
        <f>IFERROR(__xludf.DUMMYFUNCTION("""COMPUTED_VALUE"""),"US_305 USF DA MACAXEIRA")</f>
        <v>US_305 USF DA MACAXEIRA</v>
      </c>
      <c r="H2027" s="11"/>
      <c r="I2027" s="11"/>
      <c r="J2027" s="11"/>
      <c r="K2027" s="11"/>
      <c r="L2027" s="11"/>
      <c r="M2027" s="11"/>
      <c r="N2027" s="11"/>
      <c r="O2027" s="11">
        <f>IFERROR(__xludf.DUMMYFUNCTION("""COMPUTED_VALUE"""),3999032405)</f>
        <v>3999032405</v>
      </c>
      <c r="P2027" s="11"/>
      <c r="Q2027" s="11"/>
      <c r="R2027" s="11"/>
      <c r="S2027" s="11"/>
      <c r="T2027" s="11"/>
      <c r="U2027" s="11"/>
      <c r="V2027" s="11"/>
      <c r="W2027" s="11"/>
      <c r="X2027" s="11"/>
      <c r="Y2027" s="11"/>
      <c r="Z2027" s="11"/>
    </row>
    <row r="2028" customHeight="1" spans="1:26">
      <c r="A2028" s="11" t="str">
        <f>IFERROR(__xludf.DUMMYFUNCTION("""COMPUTED_VALUE"""),"CAMILA SOARES DE CARVALHO")</f>
        <v>CAMILA SOARES DE CARVALHO</v>
      </c>
      <c r="B2028" s="11"/>
      <c r="C2028" s="11"/>
      <c r="D2028" s="11" t="str">
        <f>IFERROR(__xludf.DUMMYFUNCTION("""COMPUTED_VALUE"""),"CIRURGIAO DENTISTA 40H")</f>
        <v>CIRURGIAO DENTISTA 40H</v>
      </c>
      <c r="E2028" s="11"/>
      <c r="F2028" s="11" t="str">
        <f>IFERROR(__xludf.DUMMYFUNCTION("""COMPUTED_VALUE"""),"US_278 USF NOSSA SRA DO PILAR BAIRRO DO RECIFE")</f>
        <v>US_278 USF NOSSA SRA DO PILAR BAIRRO DO RECIFE</v>
      </c>
      <c r="G2028" s="11" t="str">
        <f>IFERROR(__xludf.DUMMYFUNCTION("""COMPUTED_VALUE"""),"US_278 USF NOSSA SRA DO PILAR BAIRRO DO RECIFE")</f>
        <v>US_278 USF NOSSA SRA DO PILAR BAIRRO DO RECIFE</v>
      </c>
      <c r="H2028" s="11"/>
      <c r="I2028" s="11"/>
      <c r="J2028" s="11"/>
      <c r="K2028" s="11"/>
      <c r="L2028" s="11"/>
      <c r="M2028" s="11"/>
      <c r="N2028" s="11"/>
      <c r="O2028" s="11">
        <f>IFERROR(__xludf.DUMMYFUNCTION("""COMPUTED_VALUE"""),8420188409)</f>
        <v>8420188409</v>
      </c>
      <c r="P2028" s="11"/>
      <c r="Q2028" s="11"/>
      <c r="R2028" s="11"/>
      <c r="S2028" s="11"/>
      <c r="T2028" s="11"/>
      <c r="U2028" s="11"/>
      <c r="V2028" s="11"/>
      <c r="W2028" s="11"/>
      <c r="X2028" s="11"/>
      <c r="Y2028" s="11"/>
      <c r="Z2028" s="11"/>
    </row>
    <row r="2029" customHeight="1" spans="1:26">
      <c r="A2029" s="11" t="str">
        <f>IFERROR(__xludf.DUMMYFUNCTION("""COMPUTED_VALUE"""),"FELLIPE JOSE L DE S DE MELO")</f>
        <v>FELLIPE JOSE L DE S DE MELO</v>
      </c>
      <c r="B2029" s="11"/>
      <c r="C2029" s="11"/>
      <c r="D2029" s="11" t="str">
        <f>IFERROR(__xludf.DUMMYFUNCTION("""COMPUTED_VALUE"""),"CIRURGIAO DENTISTA 40H")</f>
        <v>CIRURGIAO DENTISTA 40H</v>
      </c>
      <c r="E2029" s="11"/>
      <c r="F2029" s="11" t="str">
        <f>IFERROR(__xludf.DUMMYFUNCTION("""COMPUTED_VALUE"""),"US_112 CS DR JOSE DUSTAN CARVALHO SOARES	")</f>
        <v>US_112 CS DR JOSE DUSTAN CARVALHO SOARES	</v>
      </c>
      <c r="G2029" s="11" t="str">
        <f>IFERROR(__xludf.DUMMYFUNCTION("""COMPUTED_VALUE"""),"US_112 CS DR JOSE DUSTAN CARVALHO SOARES	")</f>
        <v>US_112 CS DR JOSE DUSTAN CARVALHO SOARES	</v>
      </c>
      <c r="H2029" s="11"/>
      <c r="I2029" s="11"/>
      <c r="J2029" s="11"/>
      <c r="K2029" s="11"/>
      <c r="L2029" s="11"/>
      <c r="M2029" s="11"/>
      <c r="N2029" s="11"/>
      <c r="O2029" s="11">
        <f>IFERROR(__xludf.DUMMYFUNCTION("""COMPUTED_VALUE"""),8939031407)</f>
        <v>8939031407</v>
      </c>
      <c r="P2029" s="11"/>
      <c r="Q2029" s="11"/>
      <c r="R2029" s="11"/>
      <c r="S2029" s="11"/>
      <c r="T2029" s="11"/>
      <c r="U2029" s="11"/>
      <c r="V2029" s="11"/>
      <c r="W2029" s="11"/>
      <c r="X2029" s="11"/>
      <c r="Y2029" s="11"/>
      <c r="Z2029" s="11"/>
    </row>
    <row r="2030" customHeight="1" spans="1:26">
      <c r="A2030" s="11" t="str">
        <f>IFERROR(__xludf.DUMMYFUNCTION("""COMPUTED_VALUE"""),"AMANDA WANDERLEY L G GONZAGA")</f>
        <v>AMANDA WANDERLEY L G GONZAGA</v>
      </c>
      <c r="B2030" s="11"/>
      <c r="C2030" s="11"/>
      <c r="D2030" s="11" t="str">
        <f>IFERROR(__xludf.DUMMYFUNCTION("""COMPUTED_VALUE"""),"CIRURGIAO DENTISTA 40H")</f>
        <v>CIRURGIAO DENTISTA 40H</v>
      </c>
      <c r="E2030" s="11"/>
      <c r="F2030" s="11" t="str">
        <f>IFERROR(__xludf.DUMMYFUNCTION("""COMPUTED_VALUE"""),"US_226 USF CHAO DE ESTRELAS")</f>
        <v>US_226 USF CHAO DE ESTRELAS</v>
      </c>
      <c r="G2030" s="11" t="str">
        <f>IFERROR(__xludf.DUMMYFUNCTION("""COMPUTED_VALUE"""),"US_226 USF CHAO DE ESTRELAS")</f>
        <v>US_226 USF CHAO DE ESTRELAS</v>
      </c>
      <c r="H2030" s="11"/>
      <c r="I2030" s="11"/>
      <c r="J2030" s="11"/>
      <c r="K2030" s="11"/>
      <c r="L2030" s="11"/>
      <c r="M2030" s="11"/>
      <c r="N2030" s="11"/>
      <c r="O2030" s="11">
        <f>IFERROR(__xludf.DUMMYFUNCTION("""COMPUTED_VALUE"""),6385429440)</f>
        <v>6385429440</v>
      </c>
      <c r="P2030" s="11"/>
      <c r="Q2030" s="11"/>
      <c r="R2030" s="11"/>
      <c r="S2030" s="11"/>
      <c r="T2030" s="11"/>
      <c r="U2030" s="11"/>
      <c r="V2030" s="11"/>
      <c r="W2030" s="11"/>
      <c r="X2030" s="11"/>
      <c r="Y2030" s="11"/>
      <c r="Z2030" s="11"/>
    </row>
    <row r="2031" customHeight="1" spans="1:26">
      <c r="A2031" s="11" t="str">
        <f>IFERROR(__xludf.DUMMYFUNCTION("""COMPUTED_VALUE"""),"MARIA FERNANDA MUNIZ ARAUJO")</f>
        <v>MARIA FERNANDA MUNIZ ARAUJO</v>
      </c>
      <c r="B2031" s="11"/>
      <c r="C2031" s="11"/>
      <c r="D2031" s="11" t="str">
        <f>IFERROR(__xludf.DUMMYFUNCTION("""COMPUTED_VALUE"""),"CIRURGIAO DENTISTA 40H")</f>
        <v>CIRURGIAO DENTISTA 40H</v>
      </c>
      <c r="E2031" s="11"/>
      <c r="F2031" s="11" t="str">
        <f>IFERROR(__xludf.DUMMYFUNCTION("""COMPUTED_VALUE"""),"US_274 USF TIA REGINA/CORREGO DO DEODATO")</f>
        <v>US_274 USF TIA REGINA/CORREGO DO DEODATO</v>
      </c>
      <c r="G2031" s="11" t="str">
        <f>IFERROR(__xludf.DUMMYFUNCTION("""COMPUTED_VALUE"""),"US_274 USF TIA REGINA/CORREGO DO DEODATO")</f>
        <v>US_274 USF TIA REGINA/CORREGO DO DEODATO</v>
      </c>
      <c r="H2031" s="11"/>
      <c r="I2031" s="11"/>
      <c r="J2031" s="11"/>
      <c r="K2031" s="11"/>
      <c r="L2031" s="11"/>
      <c r="M2031" s="11"/>
      <c r="N2031" s="11"/>
      <c r="O2031" s="11">
        <f>IFERROR(__xludf.DUMMYFUNCTION("""COMPUTED_VALUE"""),8358716494)</f>
        <v>8358716494</v>
      </c>
      <c r="P2031" s="11"/>
      <c r="Q2031" s="11"/>
      <c r="R2031" s="11"/>
      <c r="S2031" s="11"/>
      <c r="T2031" s="11"/>
      <c r="U2031" s="11"/>
      <c r="V2031" s="11"/>
      <c r="W2031" s="11"/>
      <c r="X2031" s="11"/>
      <c r="Y2031" s="11"/>
      <c r="Z2031" s="11"/>
    </row>
    <row r="2032" customHeight="1" spans="1:26">
      <c r="A2032" s="11" t="str">
        <f>IFERROR(__xludf.DUMMYFUNCTION("""COMPUTED_VALUE"""),"RAYANNE SORAIA A DE MELO DIAS")</f>
        <v>RAYANNE SORAIA A DE MELO DIAS</v>
      </c>
      <c r="B2032" s="11"/>
      <c r="C2032" s="11"/>
      <c r="D2032" s="11" t="str">
        <f>IFERROR(__xludf.DUMMYFUNCTION("""COMPUTED_VALUE"""),"CIRURGIAO DENTISTA 40H")</f>
        <v>CIRURGIAO DENTISTA 40H</v>
      </c>
      <c r="E2032" s="11"/>
      <c r="F2032" s="11" t="str">
        <f>IFERROR(__xludf.DUMMYFUNCTION("""COMPUTED_VALUE"""),"US_250 USF UR12 UR5 3 ETAPA")</f>
        <v>US_250 USF UR12 UR5 3 ETAPA</v>
      </c>
      <c r="G2032" s="11" t="str">
        <f>IFERROR(__xludf.DUMMYFUNCTION("""COMPUTED_VALUE"""),"US_250 USF UR12 UR5 3 ETAPA")</f>
        <v>US_250 USF UR12 UR5 3 ETAPA</v>
      </c>
      <c r="H2032" s="11"/>
      <c r="I2032" s="11"/>
      <c r="J2032" s="11"/>
      <c r="K2032" s="11"/>
      <c r="L2032" s="11"/>
      <c r="M2032" s="11"/>
      <c r="N2032" s="11"/>
      <c r="O2032" s="11">
        <f>IFERROR(__xludf.DUMMYFUNCTION("""COMPUTED_VALUE"""),6422957432)</f>
        <v>6422957432</v>
      </c>
      <c r="P2032" s="11"/>
      <c r="Q2032" s="11"/>
      <c r="R2032" s="11"/>
      <c r="S2032" s="11"/>
      <c r="T2032" s="11"/>
      <c r="U2032" s="11"/>
      <c r="V2032" s="11"/>
      <c r="W2032" s="11"/>
      <c r="X2032" s="11"/>
      <c r="Y2032" s="11"/>
      <c r="Z2032" s="11"/>
    </row>
    <row r="2033" customHeight="1" spans="1:26">
      <c r="A2033" s="11" t="str">
        <f>IFERROR(__xludf.DUMMYFUNCTION("""COMPUTED_VALUE"""),"ELAINE CARLA V MENDES CARVALHO")</f>
        <v>ELAINE CARLA V MENDES CARVALHO</v>
      </c>
      <c r="B2033" s="11"/>
      <c r="C2033" s="11"/>
      <c r="D2033" s="11" t="str">
        <f>IFERROR(__xludf.DUMMYFUNCTION("""COMPUTED_VALUE"""),"CIRURGIAO DENTISTA 40H")</f>
        <v>CIRURGIAO DENTISTA 40H</v>
      </c>
      <c r="E2033" s="11"/>
      <c r="F2033" s="11" t="str">
        <f>IFERROR(__xludf.DUMMYFUNCTION("""COMPUTED_VALUE"""),"US_121 CS PROF BRUNO MAIA")</f>
        <v>US_121 CS PROF BRUNO MAIA</v>
      </c>
      <c r="G2033" s="11" t="str">
        <f>IFERROR(__xludf.DUMMYFUNCTION("""COMPUTED_VALUE"""),"US_121 CS PROF BRUNO MAIA")</f>
        <v>US_121 CS PROF BRUNO MAIA</v>
      </c>
      <c r="H2033" s="11"/>
      <c r="I2033" s="11"/>
      <c r="J2033" s="11"/>
      <c r="K2033" s="11"/>
      <c r="L2033" s="11"/>
      <c r="M2033" s="11"/>
      <c r="N2033" s="11"/>
      <c r="O2033" s="11">
        <f>IFERROR(__xludf.DUMMYFUNCTION("""COMPUTED_VALUE"""),3307210467)</f>
        <v>3307210467</v>
      </c>
      <c r="P2033" s="11"/>
      <c r="Q2033" s="11"/>
      <c r="R2033" s="11"/>
      <c r="S2033" s="11"/>
      <c r="T2033" s="11"/>
      <c r="U2033" s="11"/>
      <c r="V2033" s="11"/>
      <c r="W2033" s="11"/>
      <c r="X2033" s="11"/>
      <c r="Y2033" s="11"/>
      <c r="Z2033" s="11"/>
    </row>
    <row r="2034" customHeight="1" spans="1:26">
      <c r="A2034" s="11" t="str">
        <f>IFERROR(__xludf.DUMMYFUNCTION("""COMPUTED_VALUE"""),"PAULO ROBERTO DE M CARVALHO")</f>
        <v>PAULO ROBERTO DE M CARVALHO</v>
      </c>
      <c r="B2034" s="11"/>
      <c r="C2034" s="11"/>
      <c r="D2034" s="11" t="str">
        <f>IFERROR(__xludf.DUMMYFUNCTION("""COMPUTED_VALUE"""),"CIRURGIAO DENTISTA 40H")</f>
        <v>CIRURGIAO DENTISTA 40H</v>
      </c>
      <c r="E2034" s="11"/>
      <c r="F2034" s="11" t="str">
        <f>IFERROR(__xludf.DUMMYFUNCTION("""COMPUTED_VALUE"""),"US_251 USF DA GUABIRABA	")</f>
        <v>US_251 USF DA GUABIRABA	</v>
      </c>
      <c r="G2034" s="11" t="str">
        <f>IFERROR(__xludf.DUMMYFUNCTION("""COMPUTED_VALUE"""),"US_251 USF DA GUABIRABA	")</f>
        <v>US_251 USF DA GUABIRABA	</v>
      </c>
      <c r="H2034" s="11"/>
      <c r="I2034" s="11"/>
      <c r="J2034" s="11"/>
      <c r="K2034" s="11"/>
      <c r="L2034" s="11"/>
      <c r="M2034" s="11"/>
      <c r="N2034" s="11"/>
      <c r="O2034" s="11">
        <f>IFERROR(__xludf.DUMMYFUNCTION("""COMPUTED_VALUE"""),47066083334)</f>
        <v>47066083334</v>
      </c>
      <c r="P2034" s="11"/>
      <c r="Q2034" s="11"/>
      <c r="R2034" s="11"/>
      <c r="S2034" s="11"/>
      <c r="T2034" s="11"/>
      <c r="U2034" s="11"/>
      <c r="V2034" s="11"/>
      <c r="W2034" s="11"/>
      <c r="X2034" s="11"/>
      <c r="Y2034" s="11"/>
      <c r="Z2034" s="11"/>
    </row>
    <row r="2035" customHeight="1" spans="1:26">
      <c r="A2035" s="11" t="str">
        <f>IFERROR(__xludf.DUMMYFUNCTION("""COMPUTED_VALUE"""),"GLAUCE VIEIRA SOBREIRA DE SA")</f>
        <v>GLAUCE VIEIRA SOBREIRA DE SA</v>
      </c>
      <c r="B2035" s="11"/>
      <c r="C2035" s="11"/>
      <c r="D2035" s="11" t="str">
        <f>IFERROR(__xludf.DUMMYFUNCTION("""COMPUTED_VALUE"""),"CIRURGIAO DENTISTA 40H")</f>
        <v>CIRURGIAO DENTISTA 40H</v>
      </c>
      <c r="E2035" s="11"/>
      <c r="F2035" s="11" t="str">
        <f>IFERROR(__xludf.DUMMYFUNCTION("""COMPUTED_VALUE"""),"US_327 USF CLUBE DOS DELEGADOS / VISCONDE DE GARRET")</f>
        <v>US_327 USF CLUBE DOS DELEGADOS / VISCONDE DE GARRET</v>
      </c>
      <c r="G2035" s="11" t="str">
        <f>IFERROR(__xludf.DUMMYFUNCTION("""COMPUTED_VALUE"""),"US_327 USF CLUBE DOS DELEGADOS / VISCONDE DE GARRET")</f>
        <v>US_327 USF CLUBE DOS DELEGADOS / VISCONDE DE GARRET</v>
      </c>
      <c r="H2035" s="11"/>
      <c r="I2035" s="11"/>
      <c r="J2035" s="11"/>
      <c r="K2035" s="11"/>
      <c r="L2035" s="11"/>
      <c r="M2035" s="11"/>
      <c r="N2035" s="11"/>
      <c r="O2035" s="11">
        <f>IFERROR(__xludf.DUMMYFUNCTION("""COMPUTED_VALUE"""),3043458494)</f>
        <v>3043458494</v>
      </c>
      <c r="P2035" s="11"/>
      <c r="Q2035" s="11"/>
      <c r="R2035" s="11"/>
      <c r="S2035" s="11"/>
      <c r="T2035" s="11"/>
      <c r="U2035" s="11"/>
      <c r="V2035" s="11"/>
      <c r="W2035" s="11"/>
      <c r="X2035" s="11"/>
      <c r="Y2035" s="11"/>
      <c r="Z2035" s="11"/>
    </row>
    <row r="2036" customHeight="1" spans="1:26">
      <c r="A2036" s="11" t="str">
        <f>IFERROR(__xludf.DUMMYFUNCTION("""COMPUTED_VALUE"""),"LIBANIA SANTOS MARQUES DE SA")</f>
        <v>LIBANIA SANTOS MARQUES DE SA</v>
      </c>
      <c r="B2036" s="11"/>
      <c r="C2036" s="11"/>
      <c r="D2036" s="11" t="str">
        <f>IFERROR(__xludf.DUMMYFUNCTION("""COMPUTED_VALUE"""),"CIRURGIAO DENTISTA 40H")</f>
        <v>CIRURGIAO DENTISTA 40H</v>
      </c>
      <c r="E2036" s="11"/>
      <c r="F2036" s="11" t="str">
        <f>IFERROR(__xludf.DUMMYFUNCTION("""COMPUTED_VALUE"""),"US_245 USF PLANETA DOS MACACOS II")</f>
        <v>US_245 USF PLANETA DOS MACACOS II</v>
      </c>
      <c r="G2036" s="11" t="str">
        <f>IFERROR(__xludf.DUMMYFUNCTION("""COMPUTED_VALUE"""),"US_245 USF PLANETA DOS MACACOS II")</f>
        <v>US_245 USF PLANETA DOS MACACOS II</v>
      </c>
      <c r="H2036" s="27">
        <f>IFERROR(__xludf.DUMMYFUNCTION("""COMPUTED_VALUE"""),81995828515)</f>
        <v>81995828515</v>
      </c>
      <c r="I2036" s="11"/>
      <c r="J2036" s="11"/>
      <c r="K2036" s="11"/>
      <c r="L2036" s="11"/>
      <c r="M2036" s="11"/>
      <c r="N2036" s="11"/>
      <c r="O2036" s="11">
        <f>IFERROR(__xludf.DUMMYFUNCTION("""COMPUTED_VALUE"""),3955863484)</f>
        <v>3955863484</v>
      </c>
      <c r="P2036" s="11"/>
      <c r="Q2036" s="11"/>
      <c r="R2036" s="11"/>
      <c r="S2036" s="11"/>
      <c r="T2036" s="11"/>
      <c r="U2036" s="11"/>
      <c r="V2036" s="11"/>
      <c r="W2036" s="11"/>
      <c r="X2036" s="11"/>
      <c r="Y2036" s="11"/>
      <c r="Z2036" s="11"/>
    </row>
    <row r="2037" customHeight="1" spans="1:26">
      <c r="A2037" s="11" t="str">
        <f>IFERROR(__xludf.DUMMYFUNCTION("""COMPUTED_VALUE"""),"LUMA DE VASCONCELOS MENEZES")</f>
        <v>LUMA DE VASCONCELOS MENEZES</v>
      </c>
      <c r="B2037" s="11"/>
      <c r="C2037" s="11"/>
      <c r="D2037" s="11" t="str">
        <f>IFERROR(__xludf.DUMMYFUNCTION("""COMPUTED_VALUE"""),"CIRURGIAO DENTISTA 40H")</f>
        <v>CIRURGIAO DENTISTA 40H</v>
      </c>
      <c r="E2037" s="11"/>
      <c r="F2037" s="11" t="str">
        <f>IFERROR(__xludf.DUMMYFUNCTION("""COMPUTED_VALUE"""),"US_341 USF PROF FERNANDES FIGUEIRA PANTANAL")</f>
        <v>US_341 USF PROF FERNANDES FIGUEIRA PANTANAL</v>
      </c>
      <c r="G2037" s="11" t="str">
        <f>IFERROR(__xludf.DUMMYFUNCTION("""COMPUTED_VALUE"""),"US_341 USF PROF FERNANDES FIGUEIRA PANTANAL")</f>
        <v>US_341 USF PROF FERNANDES FIGUEIRA PANTANAL</v>
      </c>
      <c r="H2037" s="11"/>
      <c r="I2037" s="11"/>
      <c r="J2037" s="11"/>
      <c r="K2037" s="11"/>
      <c r="L2037" s="11"/>
      <c r="M2037" s="11"/>
      <c r="N2037" s="11"/>
      <c r="O2037" s="11">
        <f>IFERROR(__xludf.DUMMYFUNCTION("""COMPUTED_VALUE"""),1173675167)</f>
        <v>1173675167</v>
      </c>
      <c r="P2037" s="11"/>
      <c r="Q2037" s="11"/>
      <c r="R2037" s="11"/>
      <c r="S2037" s="11"/>
      <c r="T2037" s="11"/>
      <c r="U2037" s="11"/>
      <c r="V2037" s="11"/>
      <c r="W2037" s="11"/>
      <c r="X2037" s="11"/>
      <c r="Y2037" s="11"/>
      <c r="Z2037" s="11"/>
    </row>
    <row r="2038" customHeight="1" spans="1:26">
      <c r="A2038" s="11" t="str">
        <f>IFERROR(__xludf.DUMMYFUNCTION("""COMPUTED_VALUE"""),"PAULO HENRIQUE FILGUEIRAS LISB")</f>
        <v>PAULO HENRIQUE FILGUEIRAS LISB</v>
      </c>
      <c r="B2038" s="11"/>
      <c r="C2038" s="11"/>
      <c r="D2038" s="11" t="str">
        <f>IFERROR(__xludf.DUMMYFUNCTION("""COMPUTED_VALUE"""),"CIRURGIAO DENTISTA 40H")</f>
        <v>CIRURGIAO DENTISTA 40H</v>
      </c>
      <c r="E2038" s="11"/>
      <c r="F2038" s="11" t="str">
        <f>IFERROR(__xludf.DUMMYFUNCTION("""COMPUTED_VALUE"""),"US_218 USF COQUE")</f>
        <v>US_218 USF COQUE</v>
      </c>
      <c r="G2038" s="11" t="str">
        <f>IFERROR(__xludf.DUMMYFUNCTION("""COMPUTED_VALUE"""),"US_218 USF COQUE")</f>
        <v>US_218 USF COQUE</v>
      </c>
      <c r="H2038" s="11"/>
      <c r="I2038" s="11"/>
      <c r="J2038" s="11"/>
      <c r="K2038" s="11"/>
      <c r="L2038" s="11"/>
      <c r="M2038" s="11"/>
      <c r="N2038" s="11"/>
      <c r="O2038" s="11">
        <f>IFERROR(__xludf.DUMMYFUNCTION("""COMPUTED_VALUE"""),38043026882)</f>
        <v>38043026882</v>
      </c>
      <c r="P2038" s="11"/>
      <c r="Q2038" s="11"/>
      <c r="R2038" s="11"/>
      <c r="S2038" s="11"/>
      <c r="T2038" s="11"/>
      <c r="U2038" s="11"/>
      <c r="V2038" s="11"/>
      <c r="W2038" s="11"/>
      <c r="X2038" s="11"/>
      <c r="Y2038" s="11"/>
      <c r="Z2038" s="11"/>
    </row>
    <row r="2039" customHeight="1" spans="1:26">
      <c r="A2039" s="11" t="str">
        <f>IFERROR(__xludf.DUMMYFUNCTION("""COMPUTED_VALUE"""),"EDVALDO FLORENCIO DE A FILHO")</f>
        <v>EDVALDO FLORENCIO DE A FILHO</v>
      </c>
      <c r="B2039" s="11"/>
      <c r="C2039" s="11"/>
      <c r="D2039" s="11" t="str">
        <f>IFERROR(__xludf.DUMMYFUNCTION("""COMPUTED_VALUE"""),"CIRURGIAO DENTISTA 40H")</f>
        <v>CIRURGIAO DENTISTA 40H</v>
      </c>
      <c r="E2039" s="11"/>
      <c r="F2039" s="11" t="str">
        <f>IFERROR(__xludf.DUMMYFUNCTION("""COMPUTED_VALUE"""),"US_373 USF CIDADE OPERARIA")</f>
        <v>US_373 USF CIDADE OPERARIA</v>
      </c>
      <c r="G2039" s="11" t="str">
        <f>IFERROR(__xludf.DUMMYFUNCTION("""COMPUTED_VALUE"""),"US_373 USF CIDADE OPERARIA")</f>
        <v>US_373 USF CIDADE OPERARIA</v>
      </c>
      <c r="H2039" s="11"/>
      <c r="I2039" s="11"/>
      <c r="J2039" s="11"/>
      <c r="K2039" s="11"/>
      <c r="L2039" s="11"/>
      <c r="M2039" s="11"/>
      <c r="N2039" s="11"/>
      <c r="O2039" s="11">
        <f>IFERROR(__xludf.DUMMYFUNCTION("""COMPUTED_VALUE"""),5467939408)</f>
        <v>5467939408</v>
      </c>
      <c r="P2039" s="11"/>
      <c r="Q2039" s="11"/>
      <c r="R2039" s="11"/>
      <c r="S2039" s="11"/>
      <c r="T2039" s="11"/>
      <c r="U2039" s="11"/>
      <c r="V2039" s="11"/>
      <c r="W2039" s="11"/>
      <c r="X2039" s="11"/>
      <c r="Y2039" s="11"/>
      <c r="Z2039" s="11"/>
    </row>
    <row r="2040" customHeight="1" spans="1:26">
      <c r="A2040" s="11" t="str">
        <f>IFERROR(__xludf.DUMMYFUNCTION("""COMPUTED_VALUE"""),"RAFAELLA DE SOUZA LIMA")</f>
        <v>RAFAELLA DE SOUZA LIMA</v>
      </c>
      <c r="B2040" s="11"/>
      <c r="C2040" s="11"/>
      <c r="D2040" s="11" t="str">
        <f>IFERROR(__xludf.DUMMYFUNCTION("""COMPUTED_VALUE"""),"CIRURGIAO DENTISTA 40H")</f>
        <v>CIRURGIAO DENTISTA 40H</v>
      </c>
      <c r="E2040" s="11"/>
      <c r="F2040" s="11" t="str">
        <f>IFERROR(__xludf.DUMMYFUNCTION("""COMPUTED_VALUE"""),"US_347 USF PARQUE DOS MILAGRES")</f>
        <v>US_347 USF PARQUE DOS MILAGRES</v>
      </c>
      <c r="G2040" s="11" t="str">
        <f>IFERROR(__xludf.DUMMYFUNCTION("""COMPUTED_VALUE"""),"US_347 USF PARQUE DOS MILAGRES")</f>
        <v>US_347 USF PARQUE DOS MILAGRES</v>
      </c>
      <c r="H2040" s="11"/>
      <c r="I2040" s="11"/>
      <c r="J2040" s="11"/>
      <c r="K2040" s="11"/>
      <c r="L2040" s="11"/>
      <c r="M2040" s="11"/>
      <c r="N2040" s="11"/>
      <c r="O2040" s="11">
        <f>IFERROR(__xludf.DUMMYFUNCTION("""COMPUTED_VALUE"""),3572523494)</f>
        <v>3572523494</v>
      </c>
      <c r="P2040" s="11"/>
      <c r="Q2040" s="11"/>
      <c r="R2040" s="11"/>
      <c r="S2040" s="11"/>
      <c r="T2040" s="11"/>
      <c r="U2040" s="11"/>
      <c r="V2040" s="11"/>
      <c r="W2040" s="11"/>
      <c r="X2040" s="11"/>
      <c r="Y2040" s="11"/>
      <c r="Z2040" s="11"/>
    </row>
    <row r="2041" customHeight="1" spans="1:26">
      <c r="A2041" s="11" t="str">
        <f>IFERROR(__xludf.DUMMYFUNCTION("""COMPUTED_VALUE"""),"KAMILA AZOUBEL BARRETO")</f>
        <v>KAMILA AZOUBEL BARRETO</v>
      </c>
      <c r="B2041" s="11"/>
      <c r="C2041" s="11"/>
      <c r="D2041" s="11" t="str">
        <f>IFERROR(__xludf.DUMMYFUNCTION("""COMPUTED_VALUE"""),"CIRURGIAO DENTISTA 40H")</f>
        <v>CIRURGIAO DENTISTA 40H</v>
      </c>
      <c r="E2041" s="11" t="str">
        <f>IFERROR(__xludf.DUMMYFUNCTION("""COMPUTED_VALUE"""),"V")</f>
        <v>V</v>
      </c>
      <c r="F2041" s="11" t="str">
        <f>IFERROR(__xludf.DUMMYFUNCTION("""COMPUTED_VALUE"""),"US_158 CS PAM CEASA")</f>
        <v>US_158 CS PAM CEASA</v>
      </c>
      <c r="G2041" s="11" t="str">
        <f>IFERROR(__xludf.DUMMYFUNCTION("""COMPUTED_VALUE"""),"US_158 CS PAM CEASA")</f>
        <v>US_158 CS PAM CEASA</v>
      </c>
      <c r="H2041" s="11"/>
      <c r="I2041" s="11"/>
      <c r="J2041" s="11"/>
      <c r="K2041" s="11"/>
      <c r="L2041" s="11"/>
      <c r="M2041" s="11"/>
      <c r="N2041" s="11"/>
      <c r="O2041" s="11">
        <f>IFERROR(__xludf.DUMMYFUNCTION("""COMPUTED_VALUE"""),6911372429)</f>
        <v>6911372429</v>
      </c>
      <c r="P2041" s="11"/>
      <c r="Q2041" s="11"/>
      <c r="R2041" s="11"/>
      <c r="S2041" s="11"/>
      <c r="T2041" s="11"/>
      <c r="U2041" s="11"/>
      <c r="V2041" s="11"/>
      <c r="W2041" s="11"/>
      <c r="X2041" s="11"/>
      <c r="Y2041" s="11"/>
      <c r="Z2041" s="11"/>
    </row>
    <row r="2042" customHeight="1" spans="1:26">
      <c r="A2042" s="11" t="str">
        <f>IFERROR(__xludf.DUMMYFUNCTION("""COMPUTED_VALUE"""),"LAURA MILENA FORTUNATO CHAVES")</f>
        <v>LAURA MILENA FORTUNATO CHAVES</v>
      </c>
      <c r="B2042" s="11"/>
      <c r="C2042" s="11"/>
      <c r="D2042" s="11" t="str">
        <f>IFERROR(__xludf.DUMMYFUNCTION("""COMPUTED_VALUE"""),"CIRURGIAO DENTISTA 40H")</f>
        <v>CIRURGIAO DENTISTA 40H</v>
      </c>
      <c r="E2042" s="11"/>
      <c r="F2042" s="11" t="str">
        <f>IFERROR(__xludf.DUMMYFUNCTION("""COMPUTED_VALUE"""),"US_282 USF VILA DAS AEROMOCAS")</f>
        <v>US_282 USF VILA DAS AEROMOCAS</v>
      </c>
      <c r="G2042" s="11" t="str">
        <f>IFERROR(__xludf.DUMMYFUNCTION("""COMPUTED_VALUE"""),"US_282 USF VILA DAS AEROMOCAS")</f>
        <v>US_282 USF VILA DAS AEROMOCAS</v>
      </c>
      <c r="H2042" s="11"/>
      <c r="I2042" s="11"/>
      <c r="J2042" s="11"/>
      <c r="K2042" s="11"/>
      <c r="L2042" s="11"/>
      <c r="M2042" s="11"/>
      <c r="N2042" s="11"/>
      <c r="O2042" s="11">
        <f>IFERROR(__xludf.DUMMYFUNCTION("""COMPUTED_VALUE"""),5238801467)</f>
        <v>5238801467</v>
      </c>
      <c r="P2042" s="11"/>
      <c r="Q2042" s="11"/>
      <c r="R2042" s="11"/>
      <c r="S2042" s="11"/>
      <c r="T2042" s="11"/>
      <c r="U2042" s="11"/>
      <c r="V2042" s="11"/>
      <c r="W2042" s="11"/>
      <c r="X2042" s="11"/>
      <c r="Y2042" s="11"/>
      <c r="Z2042" s="11"/>
    </row>
    <row r="2043" customHeight="1" spans="1:26">
      <c r="A2043" s="11" t="str">
        <f>IFERROR(__xludf.DUMMYFUNCTION("""COMPUTED_VALUE"""),"POLYANA MATOS ALCANTARA")</f>
        <v>POLYANA MATOS ALCANTARA</v>
      </c>
      <c r="B2043" s="11"/>
      <c r="C2043" s="11"/>
      <c r="D2043" s="11" t="str">
        <f>IFERROR(__xludf.DUMMYFUNCTION("""COMPUTED_VALUE"""),"CIRURGIAO DENTISTA 40H")</f>
        <v>CIRURGIAO DENTISTA 40H</v>
      </c>
      <c r="E2043" s="11"/>
      <c r="F2043" s="11" t="str">
        <f>IFERROR(__xludf.DUMMYFUNCTION("""COMPUTED_VALUE"""),"US_378 USF JARDIM TERESOPOLIS")</f>
        <v>US_378 USF JARDIM TERESOPOLIS</v>
      </c>
      <c r="G2043" s="11" t="str">
        <f>IFERROR(__xludf.DUMMYFUNCTION("""COMPUTED_VALUE"""),"US_378 USF JARDIM TERESOPOLIS")</f>
        <v>US_378 USF JARDIM TERESOPOLIS</v>
      </c>
      <c r="H2043" s="11"/>
      <c r="I2043" s="11"/>
      <c r="J2043" s="11"/>
      <c r="K2043" s="11"/>
      <c r="L2043" s="11"/>
      <c r="M2043" s="11"/>
      <c r="N2043" s="11"/>
      <c r="O2043" s="11">
        <f>IFERROR(__xludf.DUMMYFUNCTION("""COMPUTED_VALUE"""),10211928640)</f>
        <v>10211928640</v>
      </c>
      <c r="P2043" s="11"/>
      <c r="Q2043" s="11"/>
      <c r="R2043" s="11"/>
      <c r="S2043" s="11"/>
      <c r="T2043" s="11"/>
      <c r="U2043" s="11"/>
      <c r="V2043" s="11"/>
      <c r="W2043" s="11"/>
      <c r="X2043" s="11"/>
      <c r="Y2043" s="11"/>
      <c r="Z2043" s="11"/>
    </row>
    <row r="2044" customHeight="1" spans="1:26">
      <c r="A2044" s="11" t="str">
        <f>IFERROR(__xludf.DUMMYFUNCTION("""COMPUTED_VALUE"""),"NATHALIA TORRES BARBOSA")</f>
        <v>NATHALIA TORRES BARBOSA</v>
      </c>
      <c r="B2044" s="11"/>
      <c r="C2044" s="11"/>
      <c r="D2044" s="11" t="str">
        <f>IFERROR(__xludf.DUMMYFUNCTION("""COMPUTED_VALUE"""),"CIRURGIAO DENTISTA 40H")</f>
        <v>CIRURGIAO DENTISTA 40H</v>
      </c>
      <c r="E2044" s="11"/>
      <c r="F2044" s="11" t="str">
        <f>IFERROR(__xludf.DUMMYFUNCTION("""COMPUTED_VALUE"""),"")</f>
        <v/>
      </c>
      <c r="G2044" s="11" t="str">
        <f>IFERROR(__xludf.DUMMYFUNCTION("""COMPUTED_VALUE"""),"")</f>
        <v/>
      </c>
      <c r="H2044" s="11"/>
      <c r="I2044" s="11"/>
      <c r="J2044" s="11"/>
      <c r="K2044" s="11"/>
      <c r="L2044" s="11"/>
      <c r="M2044" s="11"/>
      <c r="N2044" s="11"/>
      <c r="O2044" s="11"/>
      <c r="P2044" s="11"/>
      <c r="Q2044" s="11"/>
      <c r="R2044" s="11"/>
      <c r="S2044" s="11"/>
      <c r="T2044" s="11"/>
      <c r="U2044" s="11"/>
      <c r="V2044" s="11"/>
      <c r="W2044" s="11"/>
      <c r="X2044" s="11"/>
      <c r="Y2044" s="11"/>
      <c r="Z2044" s="11"/>
    </row>
    <row r="2045" customHeight="1" spans="1:26">
      <c r="A2045" s="11" t="str">
        <f>IFERROR(__xludf.DUMMYFUNCTION("""COMPUTED_VALUE"""),"RAFAELA CARDOSO MENDES CAMPELO DA PAZ")</f>
        <v>RAFAELA CARDOSO MENDES CAMPELO DA PAZ</v>
      </c>
      <c r="B2045" s="11"/>
      <c r="C2045" s="11"/>
      <c r="D2045" s="11" t="str">
        <f>IFERROR(__xludf.DUMMYFUNCTION("""COMPUTED_VALUE"""),"CIRURGIAO DENTISTA 40H")</f>
        <v>CIRURGIAO DENTISTA 40H</v>
      </c>
      <c r="E2045" s="11"/>
      <c r="F2045" s="11" t="str">
        <f>IFERROR(__xludf.DUMMYFUNCTION("""COMPUTED_VALUE"""),"")</f>
        <v/>
      </c>
      <c r="G2045" s="11" t="str">
        <f>IFERROR(__xludf.DUMMYFUNCTION("""COMPUTED_VALUE"""),"")</f>
        <v/>
      </c>
      <c r="H2045" s="11"/>
      <c r="I2045" s="11"/>
      <c r="J2045" s="11"/>
      <c r="K2045" s="11"/>
      <c r="L2045" s="11"/>
      <c r="M2045" s="11"/>
      <c r="N2045" s="11"/>
      <c r="O2045" s="11"/>
      <c r="P2045" s="11"/>
      <c r="Q2045" s="11"/>
      <c r="R2045" s="11"/>
      <c r="S2045" s="11"/>
      <c r="T2045" s="11"/>
      <c r="U2045" s="11"/>
      <c r="V2045" s="11"/>
      <c r="W2045" s="11"/>
      <c r="X2045" s="11"/>
      <c r="Y2045" s="11"/>
      <c r="Z2045" s="11"/>
    </row>
    <row r="2046" customHeight="1" spans="1:26">
      <c r="A2046" s="11" t="str">
        <f>IFERROR(__xludf.DUMMYFUNCTION("""COMPUTED_VALUE"""),"MABEL CRISTINA P M DA SILVA")</f>
        <v>MABEL CRISTINA P M DA SILVA</v>
      </c>
      <c r="B2046" s="11"/>
      <c r="C2046" s="11"/>
      <c r="D2046" s="11" t="str">
        <f>IFERROR(__xludf.DUMMYFUNCTION("""COMPUTED_VALUE"""),"CIRURGIAO DENTISTA 40H")</f>
        <v>CIRURGIAO DENTISTA 40H</v>
      </c>
      <c r="E2046" s="11"/>
      <c r="F2046" s="11" t="str">
        <f>IFERROR(__xludf.DUMMYFUNCTION("""COMPUTED_VALUE"""),"US_395 USF UPINHA 24H DR FERNANDA WANDERLEY")</f>
        <v>US_395 USF UPINHA 24H DR FERNANDA WANDERLEY</v>
      </c>
      <c r="G2046" s="11" t="str">
        <f>IFERROR(__xludf.DUMMYFUNCTION("""COMPUTED_VALUE"""),"US_395 USF UPINHA 24H DR FERNANDA WANDERLEY")</f>
        <v>US_395 USF UPINHA 24H DR FERNANDA WANDERLEY</v>
      </c>
      <c r="H2046" s="11"/>
      <c r="I2046" s="11"/>
      <c r="J2046" s="11"/>
      <c r="K2046" s="11"/>
      <c r="L2046" s="11"/>
      <c r="M2046" s="11"/>
      <c r="N2046" s="11"/>
      <c r="O2046" s="11">
        <f>IFERROR(__xludf.DUMMYFUNCTION("""COMPUTED_VALUE"""),6266318407)</f>
        <v>6266318407</v>
      </c>
      <c r="P2046" s="11"/>
      <c r="Q2046" s="11"/>
      <c r="R2046" s="11"/>
      <c r="S2046" s="11"/>
      <c r="T2046" s="11"/>
      <c r="U2046" s="11"/>
      <c r="V2046" s="11"/>
      <c r="W2046" s="11"/>
      <c r="X2046" s="11"/>
      <c r="Y2046" s="11"/>
      <c r="Z2046" s="11"/>
    </row>
    <row r="2047" customHeight="1" spans="1:26">
      <c r="A2047" s="11" t="str">
        <f>IFERROR(__xludf.DUMMYFUNCTION("""COMPUTED_VALUE"""),"AMANDA PACHECO DE CARVALHO")</f>
        <v>AMANDA PACHECO DE CARVALHO</v>
      </c>
      <c r="B2047" s="11"/>
      <c r="C2047" s="11"/>
      <c r="D2047" s="11" t="str">
        <f>IFERROR(__xludf.DUMMYFUNCTION("""COMPUTED_VALUE"""),"CIRURGIAO DENTISTA 40H")</f>
        <v>CIRURGIAO DENTISTA 40H</v>
      </c>
      <c r="E2047" s="11"/>
      <c r="F2047" s="11" t="str">
        <f>IFERROR(__xludf.DUMMYFUNCTION("""COMPUTED_VALUE"""),"US_401 USF UPINHA 24H GOVERNADOR EDUARDO CAMPOS")</f>
        <v>US_401 USF UPINHA 24H GOVERNADOR EDUARDO CAMPOS</v>
      </c>
      <c r="G2047" s="11" t="str">
        <f>IFERROR(__xludf.DUMMYFUNCTION("""COMPUTED_VALUE"""),"US_401 USF UPINHA 24H GOVERNADOR EDUARDO CAMPOS")</f>
        <v>US_401 USF UPINHA 24H GOVERNADOR EDUARDO CAMPOS</v>
      </c>
      <c r="H2047" s="11"/>
      <c r="I2047" s="11"/>
      <c r="J2047" s="11"/>
      <c r="K2047" s="11"/>
      <c r="L2047" s="11"/>
      <c r="M2047" s="11"/>
      <c r="N2047" s="11"/>
      <c r="O2047" s="11">
        <f>IFERROR(__xludf.DUMMYFUNCTION("""COMPUTED_VALUE"""),7249028480)</f>
        <v>7249028480</v>
      </c>
      <c r="P2047" s="11"/>
      <c r="Q2047" s="11"/>
      <c r="R2047" s="11"/>
      <c r="S2047" s="11"/>
      <c r="T2047" s="11"/>
      <c r="U2047" s="11"/>
      <c r="V2047" s="11"/>
      <c r="W2047" s="11"/>
      <c r="X2047" s="11"/>
      <c r="Y2047" s="11"/>
      <c r="Z2047" s="11"/>
    </row>
    <row r="2048" customHeight="1" spans="1:26">
      <c r="A2048" s="11" t="str">
        <f>IFERROR(__xludf.DUMMYFUNCTION("""COMPUTED_VALUE"""),"CAROLINA ASCHOFF D S TERTO")</f>
        <v>CAROLINA ASCHOFF D S TERTO</v>
      </c>
      <c r="B2048" s="11"/>
      <c r="C2048" s="11"/>
      <c r="D2048" s="11" t="str">
        <f>IFERROR(__xludf.DUMMYFUNCTION("""COMPUTED_VALUE"""),"CIRURGIAO DENTISTA 40H")</f>
        <v>CIRURGIAO DENTISTA 40H</v>
      </c>
      <c r="E2048" s="11"/>
      <c r="F2048" s="11" t="str">
        <f>IFERROR(__xludf.DUMMYFUNCTION("""COMPUTED_VALUE"""),"US_395 USF UPINHA 24H DR FERNANDA WANDERLEY")</f>
        <v>US_395 USF UPINHA 24H DR FERNANDA WANDERLEY</v>
      </c>
      <c r="G2048" s="11" t="str">
        <f>IFERROR(__xludf.DUMMYFUNCTION("""COMPUTED_VALUE"""),"US_395 USF UPINHA 24H DR FERNANDA WANDERLEY")</f>
        <v>US_395 USF UPINHA 24H DR FERNANDA WANDERLEY</v>
      </c>
      <c r="H2048" s="11"/>
      <c r="I2048" s="11"/>
      <c r="J2048" s="11"/>
      <c r="K2048" s="11"/>
      <c r="L2048" s="11"/>
      <c r="M2048" s="11"/>
      <c r="N2048" s="11"/>
      <c r="O2048" s="11">
        <f>IFERROR(__xludf.DUMMYFUNCTION("""COMPUTED_VALUE"""),7141154442)</f>
        <v>7141154442</v>
      </c>
      <c r="P2048" s="11"/>
      <c r="Q2048" s="11"/>
      <c r="R2048" s="11"/>
      <c r="S2048" s="11"/>
      <c r="T2048" s="11"/>
      <c r="U2048" s="11"/>
      <c r="V2048" s="11"/>
      <c r="W2048" s="11"/>
      <c r="X2048" s="11"/>
      <c r="Y2048" s="11"/>
      <c r="Z2048" s="11"/>
    </row>
    <row r="2049" customHeight="1" spans="1:26">
      <c r="A2049" s="11" t="str">
        <f>IFERROR(__xludf.DUMMYFUNCTION("""COMPUTED_VALUE"""),"CECYLIA ROBERTA F DE OLIVEIRA")</f>
        <v>CECYLIA ROBERTA F DE OLIVEIRA</v>
      </c>
      <c r="B2049" s="11"/>
      <c r="C2049" s="11"/>
      <c r="D2049" s="11" t="str">
        <f>IFERROR(__xludf.DUMMYFUNCTION("""COMPUTED_VALUE"""),"CIRURGIAO DENTISTA 40H")</f>
        <v>CIRURGIAO DENTISTA 40H</v>
      </c>
      <c r="E2049" s="11"/>
      <c r="F2049" s="11" t="str">
        <f>IFERROR(__xludf.DUMMYFUNCTION("""COMPUTED_VALUE"""),"US_395 USF UPINHA 24H DR FERNANDA WANDERLEY")</f>
        <v>US_395 USF UPINHA 24H DR FERNANDA WANDERLEY</v>
      </c>
      <c r="G2049" s="11" t="str">
        <f>IFERROR(__xludf.DUMMYFUNCTION("""COMPUTED_VALUE"""),"US_395 USF UPINHA 24H DR FERNANDA WANDERLEY")</f>
        <v>US_395 USF UPINHA 24H DR FERNANDA WANDERLEY</v>
      </c>
      <c r="H2049" s="11"/>
      <c r="I2049" s="11"/>
      <c r="J2049" s="11"/>
      <c r="K2049" s="11"/>
      <c r="L2049" s="11"/>
      <c r="M2049" s="11"/>
      <c r="N2049" s="11"/>
      <c r="O2049" s="11">
        <f>IFERROR(__xludf.DUMMYFUNCTION("""COMPUTED_VALUE"""),7557784480)</f>
        <v>7557784480</v>
      </c>
      <c r="P2049" s="11"/>
      <c r="Q2049" s="11"/>
      <c r="R2049" s="11"/>
      <c r="S2049" s="11"/>
      <c r="T2049" s="11"/>
      <c r="U2049" s="11"/>
      <c r="V2049" s="11"/>
      <c r="W2049" s="11"/>
      <c r="X2049" s="11"/>
      <c r="Y2049" s="11"/>
      <c r="Z2049" s="11"/>
    </row>
    <row r="2050" customHeight="1" spans="1:26">
      <c r="A2050" s="11" t="str">
        <f>IFERROR(__xludf.DUMMYFUNCTION("""COMPUTED_VALUE"""),"YURI COELHO DIAS")</f>
        <v>YURI COELHO DIAS</v>
      </c>
      <c r="B2050" s="11"/>
      <c r="C2050" s="11"/>
      <c r="D2050" s="11" t="str">
        <f>IFERROR(__xludf.DUMMYFUNCTION("""COMPUTED_VALUE"""),"CIRURGIAO DENTISTA 40H")</f>
        <v>CIRURGIAO DENTISTA 40H</v>
      </c>
      <c r="E2050" s="11"/>
      <c r="F2050" s="11" t="str">
        <f>IFERROR(__xludf.DUMMYFUNCTION("""COMPUTED_VALUE"""),"US_394 USF UPINHA 24H DR MOACYR ANDRE GOMES")</f>
        <v>US_394 USF UPINHA 24H DR MOACYR ANDRE GOMES</v>
      </c>
      <c r="G2050" s="11" t="str">
        <f>IFERROR(__xludf.DUMMYFUNCTION("""COMPUTED_VALUE"""),"US_394 USF UPINHA 24H DR MOACYR ANDRE GOMES")</f>
        <v>US_394 USF UPINHA 24H DR MOACYR ANDRE GOMES</v>
      </c>
      <c r="H2050" s="11"/>
      <c r="I2050" s="11"/>
      <c r="J2050" s="11"/>
      <c r="K2050" s="11"/>
      <c r="L2050" s="11"/>
      <c r="M2050" s="11"/>
      <c r="N2050" s="11"/>
      <c r="O2050" s="11">
        <f>IFERROR(__xludf.DUMMYFUNCTION("""COMPUTED_VALUE"""),736908480)</f>
        <v>736908480</v>
      </c>
      <c r="P2050" s="11"/>
      <c r="Q2050" s="11"/>
      <c r="R2050" s="11"/>
      <c r="S2050" s="11"/>
      <c r="T2050" s="11"/>
      <c r="U2050" s="11"/>
      <c r="V2050" s="11"/>
      <c r="W2050" s="11"/>
      <c r="X2050" s="11"/>
      <c r="Y2050" s="11"/>
      <c r="Z2050" s="11"/>
    </row>
    <row r="2051" customHeight="1" spans="1:26">
      <c r="A2051" s="11" t="str">
        <f>IFERROR(__xludf.DUMMYFUNCTION("""COMPUTED_VALUE"""),"REJANE NASCIMENTO DOURADO")</f>
        <v>REJANE NASCIMENTO DOURADO</v>
      </c>
      <c r="B2051" s="11"/>
      <c r="C2051" s="11"/>
      <c r="D2051" s="11" t="str">
        <f>IFERROR(__xludf.DUMMYFUNCTION("""COMPUTED_VALUE"""),"SERV OUT ORGAOS - REG PROPRIO")</f>
        <v>SERV OUT ORGAOS - REG PROPRIO</v>
      </c>
      <c r="E2051" s="11"/>
      <c r="F2051" s="11" t="str">
        <f>IFERROR(__xludf.DUMMYFUNCTION("""COMPUTED_VALUE"""),"US_400 USF UPINHA DIA DOM HELDER")</f>
        <v>US_400 USF UPINHA DIA DOM HELDER</v>
      </c>
      <c r="G2051" s="11" t="str">
        <f>IFERROR(__xludf.DUMMYFUNCTION("""COMPUTED_VALUE"""),"US_400 USF UPINHA DIA DOM HELDER")</f>
        <v>US_400 USF UPINHA DIA DOM HELDER</v>
      </c>
      <c r="H2051" s="11"/>
      <c r="I2051" s="11"/>
      <c r="J2051" s="11"/>
      <c r="K2051" s="11"/>
      <c r="L2051" s="11"/>
      <c r="M2051" s="11"/>
      <c r="N2051" s="11"/>
      <c r="O2051" s="11">
        <f>IFERROR(__xludf.DUMMYFUNCTION("""COMPUTED_VALUE"""),37290207491)</f>
        <v>37290207491</v>
      </c>
      <c r="P2051" s="11"/>
      <c r="Q2051" s="11"/>
      <c r="R2051" s="11"/>
      <c r="S2051" s="11"/>
      <c r="T2051" s="11"/>
      <c r="U2051" s="11"/>
      <c r="V2051" s="11"/>
      <c r="W2051" s="11"/>
      <c r="X2051" s="11"/>
      <c r="Y2051" s="11"/>
      <c r="Z2051" s="11"/>
    </row>
    <row r="2052" customHeight="1" spans="1:26">
      <c r="A2052" s="11" t="str">
        <f>IFERROR(__xludf.DUMMYFUNCTION("""COMPUTED_VALUE"""),"JOAO CORREIA VASCONCELLOS FO")</f>
        <v>JOAO CORREIA VASCONCELLOS FO</v>
      </c>
      <c r="B2052" s="11"/>
      <c r="C2052" s="11"/>
      <c r="D2052" s="11" t="str">
        <f>IFERROR(__xludf.DUMMYFUNCTION("""COMPUTED_VALUE"""),"SERV DE ORGAO MUNICIPALIZ RP")</f>
        <v>SERV DE ORGAO MUNICIPALIZ RP</v>
      </c>
      <c r="E2052" s="11"/>
      <c r="F2052" s="11" t="str">
        <f>IFERROR(__xludf.DUMMYFUNCTION("""COMPUTED_VALUE"""),"US_276 USF UPINHA DIA ALTO DO PASCOAL	")</f>
        <v>US_276 USF UPINHA DIA ALTO DO PASCOAL	</v>
      </c>
      <c r="G2052" s="11" t="str">
        <f>IFERROR(__xludf.DUMMYFUNCTION("""COMPUTED_VALUE"""),"US_276 USF UPINHA DIA ALTO DO PASCOAL	")</f>
        <v>US_276 USF UPINHA DIA ALTO DO PASCOAL	</v>
      </c>
      <c r="H2052" s="11"/>
      <c r="I2052" s="11"/>
      <c r="J2052" s="11"/>
      <c r="K2052" s="11"/>
      <c r="L2052" s="11"/>
      <c r="M2052" s="11"/>
      <c r="N2052" s="11"/>
      <c r="O2052" s="11">
        <f>IFERROR(__xludf.DUMMYFUNCTION("""COMPUTED_VALUE"""),7661827468)</f>
        <v>7661827468</v>
      </c>
      <c r="P2052" s="11"/>
      <c r="Q2052" s="11"/>
      <c r="R2052" s="11"/>
      <c r="S2052" s="11"/>
      <c r="T2052" s="11"/>
      <c r="U2052" s="11"/>
      <c r="V2052" s="11"/>
      <c r="W2052" s="11"/>
      <c r="X2052" s="11"/>
      <c r="Y2052" s="11"/>
      <c r="Z2052" s="11"/>
    </row>
    <row r="2053" customHeight="1" spans="1:26">
      <c r="A2053" s="11" t="str">
        <f>IFERROR(__xludf.DUMMYFUNCTION("""COMPUTED_VALUE"""),"MONICA MARIA M DOS R MARQUES")</f>
        <v>MONICA MARIA M DOS R MARQUES</v>
      </c>
      <c r="B2053" s="11"/>
      <c r="C2053" s="11"/>
      <c r="D2053" s="11" t="str">
        <f>IFERROR(__xludf.DUMMYFUNCTION("""COMPUTED_VALUE"""),"CIRURGIAO DENTISTA 40H")</f>
        <v>CIRURGIAO DENTISTA 40H</v>
      </c>
      <c r="E2053" s="11"/>
      <c r="F2053" s="11" t="str">
        <f>IFERROR(__xludf.DUMMYFUNCTION("""COMPUTED_VALUE"""),"US_159 POLICLINICA AGAMENON MAGALHAES")</f>
        <v>US_159 POLICLINICA AGAMENON MAGALHAES</v>
      </c>
      <c r="G2053" s="11" t="str">
        <f>IFERROR(__xludf.DUMMYFUNCTION("""COMPUTED_VALUE"""),"US_159 POLICLINICA AGAMENON MAGALHAES")</f>
        <v>US_159 POLICLINICA AGAMENON MAGALHAES</v>
      </c>
      <c r="H2053" s="11"/>
      <c r="I2053" s="11"/>
      <c r="J2053" s="11"/>
      <c r="K2053" s="11"/>
      <c r="L2053" s="11"/>
      <c r="M2053" s="11"/>
      <c r="N2053" s="11"/>
      <c r="O2053" s="11">
        <f>IFERROR(__xludf.DUMMYFUNCTION("""COMPUTED_VALUE"""),55142508653)</f>
        <v>55142508653</v>
      </c>
      <c r="P2053" s="11"/>
      <c r="Q2053" s="11"/>
      <c r="R2053" s="11"/>
      <c r="S2053" s="11"/>
      <c r="T2053" s="11"/>
      <c r="U2053" s="11"/>
      <c r="V2053" s="11"/>
      <c r="W2053" s="11"/>
      <c r="X2053" s="11"/>
      <c r="Y2053" s="11"/>
      <c r="Z2053" s="11"/>
    </row>
    <row r="2054" customHeight="1" spans="1:26">
      <c r="A2054" s="11" t="str">
        <f>IFERROR(__xludf.DUMMYFUNCTION("""COMPUTED_VALUE"""),"KILDERY EDUARDO T FERREIRA")</f>
        <v>KILDERY EDUARDO T FERREIRA</v>
      </c>
      <c r="B2054" s="11"/>
      <c r="C2054" s="11"/>
      <c r="D2054" s="11" t="str">
        <f>IFERROR(__xludf.DUMMYFUNCTION("""COMPUTED_VALUE"""),"CIRURGIAO DENTISTA 40H")</f>
        <v>CIRURGIAO DENTISTA 40H</v>
      </c>
      <c r="E2054" s="11"/>
      <c r="F2054" s="11" t="str">
        <f>IFERROR(__xludf.DUMMYFUNCTION("""COMPUTED_VALUE"""),"US_393 USF UPINHA DIA BONGI NOVO PRADO")</f>
        <v>US_393 USF UPINHA DIA BONGI NOVO PRADO</v>
      </c>
      <c r="G2054" s="11" t="str">
        <f>IFERROR(__xludf.DUMMYFUNCTION("""COMPUTED_VALUE"""),"US_393 USF UPINHA DIA BONGI NOVO PRADO")</f>
        <v>US_393 USF UPINHA DIA BONGI NOVO PRADO</v>
      </c>
      <c r="H2054" s="11"/>
      <c r="I2054" s="11"/>
      <c r="J2054" s="11"/>
      <c r="K2054" s="11"/>
      <c r="L2054" s="11"/>
      <c r="M2054" s="11"/>
      <c r="N2054" s="11"/>
      <c r="O2054" s="11">
        <f>IFERROR(__xludf.DUMMYFUNCTION("""COMPUTED_VALUE"""),83232443400)</f>
        <v>83232443400</v>
      </c>
      <c r="P2054" s="11"/>
      <c r="Q2054" s="11"/>
      <c r="R2054" s="11"/>
      <c r="S2054" s="11"/>
      <c r="T2054" s="11"/>
      <c r="U2054" s="11"/>
      <c r="V2054" s="11"/>
      <c r="W2054" s="11"/>
      <c r="X2054" s="11"/>
      <c r="Y2054" s="11"/>
      <c r="Z2054" s="11"/>
    </row>
    <row r="2055" customHeight="1" spans="1:26">
      <c r="A2055" s="11" t="str">
        <f>IFERROR(__xludf.DUMMYFUNCTION("""COMPUTED_VALUE"""),"JOAS DE ARAUJO TEIXEIRA")</f>
        <v>JOAS DE ARAUJO TEIXEIRA</v>
      </c>
      <c r="B2055" s="11"/>
      <c r="C2055" s="11"/>
      <c r="D2055" s="11" t="str">
        <f>IFERROR(__xludf.DUMMYFUNCTION("""COMPUTED_VALUE"""),"CIRURGIAO DENTISTA 40H")</f>
        <v>CIRURGIAO DENTISTA 40H</v>
      </c>
      <c r="E2055" s="11"/>
      <c r="F2055" s="11" t="str">
        <f>IFERROR(__xludf.DUMMYFUNCTION("""COMPUTED_VALUE"""),"US_442 USF UPINHA DIA SANTA LUZIA EMOCY KRAUSE")</f>
        <v>US_442 USF UPINHA DIA SANTA LUZIA EMOCY KRAUSE</v>
      </c>
      <c r="G2055" s="11" t="str">
        <f>IFERROR(__xludf.DUMMYFUNCTION("""COMPUTED_VALUE"""),"US_442 USF UPINHA DIA SANTA LUZIA EMOCY KRAUSE")</f>
        <v>US_442 USF UPINHA DIA SANTA LUZIA EMOCY KRAUSE</v>
      </c>
      <c r="H2055" s="11"/>
      <c r="I2055" s="11"/>
      <c r="J2055" s="11"/>
      <c r="K2055" s="11"/>
      <c r="L2055" s="11"/>
      <c r="M2055" s="11"/>
      <c r="N2055" s="11"/>
      <c r="O2055" s="11">
        <f>IFERROR(__xludf.DUMMYFUNCTION("""COMPUTED_VALUE"""),83792147491)</f>
        <v>83792147491</v>
      </c>
      <c r="P2055" s="11"/>
      <c r="Q2055" s="11"/>
      <c r="R2055" s="11"/>
      <c r="S2055" s="11"/>
      <c r="T2055" s="11"/>
      <c r="U2055" s="11"/>
      <c r="V2055" s="11"/>
      <c r="W2055" s="11"/>
      <c r="X2055" s="11"/>
      <c r="Y2055" s="11"/>
      <c r="Z2055" s="11"/>
    </row>
    <row r="2056" customHeight="1" spans="1:26">
      <c r="A2056" s="11" t="str">
        <f>IFERROR(__xludf.DUMMYFUNCTION("""COMPUTED_VALUE"""),"FABIANA MARIA B.DE LUCENA")</f>
        <v>FABIANA MARIA B.DE LUCENA</v>
      </c>
      <c r="B2056" s="11"/>
      <c r="C2056" s="11"/>
      <c r="D2056" s="11" t="str">
        <f>IFERROR(__xludf.DUMMYFUNCTION("""COMPUTED_VALUE"""),"CIRURGIAO DENTISTA 40H")</f>
        <v>CIRURGIAO DENTISTA 40H</v>
      </c>
      <c r="E2056" s="11"/>
      <c r="F2056" s="11" t="str">
        <f>IFERROR(__xludf.DUMMYFUNCTION("""COMPUTED_VALUE"""),"US_338 USF UPINHA DIA JARDIM SAO PAULO")</f>
        <v>US_338 USF UPINHA DIA JARDIM SAO PAULO</v>
      </c>
      <c r="G2056" s="11" t="str">
        <f>IFERROR(__xludf.DUMMYFUNCTION("""COMPUTED_VALUE"""),"US_338 USF UPINHA DIA JARDIM SAO PAULO")</f>
        <v>US_338 USF UPINHA DIA JARDIM SAO PAULO</v>
      </c>
      <c r="H2056" s="11"/>
      <c r="I2056" s="11"/>
      <c r="J2056" s="11"/>
      <c r="K2056" s="11"/>
      <c r="L2056" s="11"/>
      <c r="M2056" s="11"/>
      <c r="N2056" s="11"/>
      <c r="O2056" s="11">
        <f>IFERROR(__xludf.DUMMYFUNCTION("""COMPUTED_VALUE"""),3178499482)</f>
        <v>3178499482</v>
      </c>
      <c r="P2056" s="11"/>
      <c r="Q2056" s="11"/>
      <c r="R2056" s="11"/>
      <c r="S2056" s="11"/>
      <c r="T2056" s="11"/>
      <c r="U2056" s="11"/>
      <c r="V2056" s="11"/>
      <c r="W2056" s="11"/>
      <c r="X2056" s="11"/>
      <c r="Y2056" s="11"/>
      <c r="Z2056" s="11"/>
    </row>
    <row r="2057" customHeight="1" spans="1:26">
      <c r="A2057" s="11" t="str">
        <f>IFERROR(__xludf.DUMMYFUNCTION("""COMPUTED_VALUE"""),"CARLOS GERMANO OLIVEIRA CAMARA")</f>
        <v>CARLOS GERMANO OLIVEIRA CAMARA</v>
      </c>
      <c r="B2057" s="11"/>
      <c r="C2057" s="11"/>
      <c r="D2057" s="11" t="str">
        <f>IFERROR(__xludf.DUMMYFUNCTION("""COMPUTED_VALUE"""),"CIRURGIAO DENTISTA 40H")</f>
        <v>CIRURGIAO DENTISTA 40H</v>
      </c>
      <c r="E2057" s="11"/>
      <c r="F2057" s="11" t="str">
        <f>IFERROR(__xludf.DUMMYFUNCTION("""COMPUTED_VALUE"""),"US_399 USF UPINHA DIA NOVO JIQUIA")</f>
        <v>US_399 USF UPINHA DIA NOVO JIQUIA</v>
      </c>
      <c r="G2057" s="11" t="str">
        <f>IFERROR(__xludf.DUMMYFUNCTION("""COMPUTED_VALUE"""),"US_399 USF UPINHA DIA NOVO JIQUIA")</f>
        <v>US_399 USF UPINHA DIA NOVO JIQUIA</v>
      </c>
      <c r="H2057" s="27">
        <f>IFERROR(__xludf.DUMMYFUNCTION("""COMPUTED_VALUE"""),81985452566)</f>
        <v>81985452566</v>
      </c>
      <c r="I2057" s="11"/>
      <c r="J2057" s="11"/>
      <c r="K2057" s="24">
        <f>IFERROR(__xludf.DUMMYFUNCTION("""COMPUTED_VALUE"""),45433)</f>
        <v>45433</v>
      </c>
      <c r="L2057" s="11"/>
      <c r="M2057" s="11"/>
      <c r="N2057" s="11"/>
      <c r="O2057" s="11">
        <f>IFERROR(__xludf.DUMMYFUNCTION("""COMPUTED_VALUE"""),987967479)</f>
        <v>987967479</v>
      </c>
      <c r="P2057" s="11"/>
      <c r="Q2057" s="11"/>
      <c r="R2057" s="11"/>
      <c r="S2057" s="11"/>
      <c r="T2057" s="11"/>
      <c r="U2057" s="11"/>
      <c r="V2057" s="11"/>
      <c r="W2057" s="11"/>
      <c r="X2057" s="11"/>
      <c r="Y2057" s="11"/>
      <c r="Z2057" s="11"/>
    </row>
    <row r="2058" customHeight="1" spans="1:26">
      <c r="A2058" s="11" t="str">
        <f>IFERROR(__xludf.DUMMYFUNCTION("""COMPUTED_VALUE"""),"ADRIANA BEZERRA L DE AGUIAR")</f>
        <v>ADRIANA BEZERRA L DE AGUIAR</v>
      </c>
      <c r="B2058" s="11"/>
      <c r="C2058" s="11"/>
      <c r="D2058" s="11" t="str">
        <f>IFERROR(__xludf.DUMMYFUNCTION("""COMPUTED_VALUE"""),"CIRURGIAO DENTISTA 40H")</f>
        <v>CIRURGIAO DENTISTA 40H</v>
      </c>
      <c r="E2058" s="11"/>
      <c r="F2058" s="11" t="str">
        <f>IFERROR(__xludf.DUMMYFUNCTION("""COMPUTED_VALUE"""),"US_338 USF UPINHA DIA JARDIM SAO PAULO")</f>
        <v>US_338 USF UPINHA DIA JARDIM SAO PAULO</v>
      </c>
      <c r="G2058" s="11" t="str">
        <f>IFERROR(__xludf.DUMMYFUNCTION("""COMPUTED_VALUE"""),"US_338 USF UPINHA DIA JARDIM SAO PAULO")</f>
        <v>US_338 USF UPINHA DIA JARDIM SAO PAULO</v>
      </c>
      <c r="H2058" s="11"/>
      <c r="I2058" s="11"/>
      <c r="J2058" s="11"/>
      <c r="K2058" s="11"/>
      <c r="L2058" s="11"/>
      <c r="M2058" s="11"/>
      <c r="N2058" s="11"/>
      <c r="O2058" s="11">
        <f>IFERROR(__xludf.DUMMYFUNCTION("""COMPUTED_VALUE"""),5429476412)</f>
        <v>5429476412</v>
      </c>
      <c r="P2058" s="11"/>
      <c r="Q2058" s="11"/>
      <c r="R2058" s="11"/>
      <c r="S2058" s="11"/>
      <c r="T2058" s="11"/>
      <c r="U2058" s="11"/>
      <c r="V2058" s="11"/>
      <c r="W2058" s="11"/>
      <c r="X2058" s="11"/>
      <c r="Y2058" s="11"/>
      <c r="Z2058" s="11"/>
    </row>
    <row r="2059" customHeight="1" spans="1:26">
      <c r="A2059" s="11" t="str">
        <f>IFERROR(__xludf.DUMMYFUNCTION("""COMPUTED_VALUE"""),"JOANA MARCELA C DOS SANTOS")</f>
        <v>JOANA MARCELA C DOS SANTOS</v>
      </c>
      <c r="B2059" s="11"/>
      <c r="C2059" s="11"/>
      <c r="D2059" s="11" t="str">
        <f>IFERROR(__xludf.DUMMYFUNCTION("""COMPUTED_VALUE"""),"CIRURGIAO DENTISTA 40H")</f>
        <v>CIRURGIAO DENTISTA 40H</v>
      </c>
      <c r="E2059" s="11"/>
      <c r="F2059" s="11" t="str">
        <f>IFERROR(__xludf.DUMMYFUNCTION("""COMPUTED_VALUE"""),"US_400 USF UPINHA DIA DOM HELDER")</f>
        <v>US_400 USF UPINHA DIA DOM HELDER</v>
      </c>
      <c r="G2059" s="11" t="str">
        <f>IFERROR(__xludf.DUMMYFUNCTION("""COMPUTED_VALUE"""),"US_400 USF UPINHA DIA DOM HELDER")</f>
        <v>US_400 USF UPINHA DIA DOM HELDER</v>
      </c>
      <c r="H2059" s="11"/>
      <c r="I2059" s="11"/>
      <c r="J2059" s="11"/>
      <c r="K2059" s="11"/>
      <c r="L2059" s="11"/>
      <c r="M2059" s="11"/>
      <c r="N2059" s="11"/>
      <c r="O2059" s="11">
        <f>IFERROR(__xludf.DUMMYFUNCTION("""COMPUTED_VALUE"""),5526439470)</f>
        <v>5526439470</v>
      </c>
      <c r="P2059" s="11"/>
      <c r="Q2059" s="11"/>
      <c r="R2059" s="11"/>
      <c r="S2059" s="11"/>
      <c r="T2059" s="11"/>
      <c r="U2059" s="11"/>
      <c r="V2059" s="11"/>
      <c r="W2059" s="11"/>
      <c r="X2059" s="11"/>
      <c r="Y2059" s="11"/>
      <c r="Z2059" s="11"/>
    </row>
    <row r="2060" customHeight="1" spans="1:26">
      <c r="A2060" s="11" t="str">
        <f>IFERROR(__xludf.DUMMYFUNCTION("""COMPUTED_VALUE"""),"THUANNY SILVA DE MACEDO")</f>
        <v>THUANNY SILVA DE MACEDO</v>
      </c>
      <c r="B2060" s="11"/>
      <c r="C2060" s="11"/>
      <c r="D2060" s="11" t="str">
        <f>IFERROR(__xludf.DUMMYFUNCTION("""COMPUTED_VALUE"""),"CIRURGIAO DENTISTA 40H")</f>
        <v>CIRURGIAO DENTISTA 40H</v>
      </c>
      <c r="E2060" s="11"/>
      <c r="F2060" s="11" t="str">
        <f>IFERROR(__xludf.DUMMYFUNCTION("""COMPUTED_VALUE"""),"US_276 USF UPINHA DIA ALTO DO PASCOAL	")</f>
        <v>US_276 USF UPINHA DIA ALTO DO PASCOAL	</v>
      </c>
      <c r="G2060" s="11" t="str">
        <f>IFERROR(__xludf.DUMMYFUNCTION("""COMPUTED_VALUE"""),"US_276 USF UPINHA DIA ALTO DO PASCOAL	")</f>
        <v>US_276 USF UPINHA DIA ALTO DO PASCOAL	</v>
      </c>
      <c r="H2060" s="11"/>
      <c r="I2060" s="11"/>
      <c r="J2060" s="11"/>
      <c r="K2060" s="11"/>
      <c r="L2060" s="11"/>
      <c r="M2060" s="11"/>
      <c r="N2060" s="11"/>
      <c r="O2060" s="11">
        <f>IFERROR(__xludf.DUMMYFUNCTION("""COMPUTED_VALUE"""),5369501483)</f>
        <v>5369501483</v>
      </c>
      <c r="P2060" s="11"/>
      <c r="Q2060" s="11"/>
      <c r="R2060" s="11"/>
      <c r="S2060" s="11"/>
      <c r="T2060" s="11"/>
      <c r="U2060" s="11"/>
      <c r="V2060" s="11"/>
      <c r="W2060" s="11"/>
      <c r="X2060" s="11"/>
      <c r="Y2060" s="11"/>
      <c r="Z2060" s="11"/>
    </row>
    <row r="2061" customHeight="1" spans="1:26">
      <c r="A2061" s="11" t="str">
        <f>IFERROR(__xludf.DUMMYFUNCTION("""COMPUTED_VALUE"""),"JULIANA JOB DE OLIVEIRA")</f>
        <v>JULIANA JOB DE OLIVEIRA</v>
      </c>
      <c r="B2061" s="11"/>
      <c r="C2061" s="11"/>
      <c r="D2061" s="11" t="str">
        <f>IFERROR(__xludf.DUMMYFUNCTION("""COMPUTED_VALUE"""),"CIRURGIAO DENTISTA 40H")</f>
        <v>CIRURGIAO DENTISTA 40H</v>
      </c>
      <c r="E2061" s="11"/>
      <c r="F2061" s="11" t="str">
        <f>IFERROR(__xludf.DUMMYFUNCTION("""COMPUTED_VALUE"""),"US_276 USF UPINHA DIA ALTO DO PASCOAL	")</f>
        <v>US_276 USF UPINHA DIA ALTO DO PASCOAL	</v>
      </c>
      <c r="G2061" s="11" t="str">
        <f>IFERROR(__xludf.DUMMYFUNCTION("""COMPUTED_VALUE"""),"US_276 USF UPINHA DIA ALTO DO PASCOAL	")</f>
        <v>US_276 USF UPINHA DIA ALTO DO PASCOAL	</v>
      </c>
      <c r="H2061" s="11"/>
      <c r="I2061" s="11"/>
      <c r="J2061" s="11"/>
      <c r="K2061" s="11"/>
      <c r="L2061" s="11"/>
      <c r="M2061" s="11"/>
      <c r="N2061" s="11"/>
      <c r="O2061" s="11">
        <f>IFERROR(__xludf.DUMMYFUNCTION("""COMPUTED_VALUE"""),51369087349)</f>
        <v>51369087349</v>
      </c>
      <c r="P2061" s="11"/>
      <c r="Q2061" s="11"/>
      <c r="R2061" s="11"/>
      <c r="S2061" s="11"/>
      <c r="T2061" s="11"/>
      <c r="U2061" s="11"/>
      <c r="V2061" s="11"/>
      <c r="W2061" s="11"/>
      <c r="X2061" s="11"/>
      <c r="Y2061" s="11"/>
      <c r="Z2061" s="11"/>
    </row>
    <row r="2062" customHeight="1" spans="1:26">
      <c r="A2062" s="11" t="str">
        <f>IFERROR(__xludf.DUMMYFUNCTION("""COMPUTED_VALUE"""),"FLAVIA DUARTE M CAVALCANTI")</f>
        <v>FLAVIA DUARTE M CAVALCANTI</v>
      </c>
      <c r="B2062" s="11"/>
      <c r="C2062" s="11"/>
      <c r="D2062" s="11" t="str">
        <f>IFERROR(__xludf.DUMMYFUNCTION("""COMPUTED_VALUE"""),"CIRURGIAO DENTISTA 40H")</f>
        <v>CIRURGIAO DENTISTA 40H</v>
      </c>
      <c r="E2062" s="11"/>
      <c r="F2062" s="11" t="str">
        <f>IFERROR(__xludf.DUMMYFUNCTION("""COMPUTED_VALUE"""),"US_154 USF UPINHA DIA RIO DA PRATA")</f>
        <v>US_154 USF UPINHA DIA RIO DA PRATA</v>
      </c>
      <c r="G2062" s="11" t="str">
        <f>IFERROR(__xludf.DUMMYFUNCTION("""COMPUTED_VALUE"""),"US_154 USF UPINHA DIA RIO DA PRATA")</f>
        <v>US_154 USF UPINHA DIA RIO DA PRATA</v>
      </c>
      <c r="H2062" s="11"/>
      <c r="I2062" s="11"/>
      <c r="J2062" s="11"/>
      <c r="K2062" s="11"/>
      <c r="L2062" s="11"/>
      <c r="M2062" s="11"/>
      <c r="N2062" s="11"/>
      <c r="O2062" s="11">
        <f>IFERROR(__xludf.DUMMYFUNCTION("""COMPUTED_VALUE"""),3805958420)</f>
        <v>3805958420</v>
      </c>
      <c r="P2062" s="11"/>
      <c r="Q2062" s="11"/>
      <c r="R2062" s="11"/>
      <c r="S2062" s="11"/>
      <c r="T2062" s="11"/>
      <c r="U2062" s="11"/>
      <c r="V2062" s="11"/>
      <c r="W2062" s="11"/>
      <c r="X2062" s="11"/>
      <c r="Y2062" s="11"/>
      <c r="Z2062" s="11"/>
    </row>
    <row r="2063" customHeight="1" spans="1:26">
      <c r="A2063" s="11" t="str">
        <f>IFERROR(__xludf.DUMMYFUNCTION("""COMPUTED_VALUE"""),"LUCIANA LINS BEZERRA MAIA")</f>
        <v>LUCIANA LINS BEZERRA MAIA</v>
      </c>
      <c r="B2063" s="11"/>
      <c r="C2063" s="11"/>
      <c r="D2063" s="11" t="str">
        <f>IFERROR(__xludf.DUMMYFUNCTION("""COMPUTED_VALUE"""),"CIRURGIAO DENTISTA 40H")</f>
        <v>CIRURGIAO DENTISTA 40H</v>
      </c>
      <c r="E2063" s="11"/>
      <c r="F2063" s="11" t="str">
        <f>IFERROR(__xludf.DUMMYFUNCTION("""COMPUTED_VALUE"""),"US_228 USF UPINHA DIA DES JOSE MANOEL DE FREITAS UR 4UR 5")</f>
        <v>US_228 USF UPINHA DIA DES JOSE MANOEL DE FREITAS UR 4UR 5</v>
      </c>
      <c r="G2063" s="11" t="str">
        <f>IFERROR(__xludf.DUMMYFUNCTION("""COMPUTED_VALUE"""),"US_228 USF UPINHA DIA DES JOSE MANOEL DE FREITAS UR 4UR 5")</f>
        <v>US_228 USF UPINHA DIA DES JOSE MANOEL DE FREITAS UR 4UR 5</v>
      </c>
      <c r="H2063" s="11"/>
      <c r="I2063" s="11"/>
      <c r="J2063" s="11"/>
      <c r="K2063" s="11"/>
      <c r="L2063" s="11"/>
      <c r="M2063" s="11"/>
      <c r="N2063" s="11"/>
      <c r="O2063" s="11">
        <f>IFERROR(__xludf.DUMMYFUNCTION("""COMPUTED_VALUE"""),4177873403)</f>
        <v>4177873403</v>
      </c>
      <c r="P2063" s="11"/>
      <c r="Q2063" s="11"/>
      <c r="R2063" s="11"/>
      <c r="S2063" s="11"/>
      <c r="T2063" s="11"/>
      <c r="U2063" s="11"/>
      <c r="V2063" s="11"/>
      <c r="W2063" s="11"/>
      <c r="X2063" s="11"/>
      <c r="Y2063" s="11"/>
      <c r="Z2063" s="11"/>
    </row>
    <row r="2064" customHeight="1" spans="1:26">
      <c r="A2064" s="11" t="str">
        <f>IFERROR(__xludf.DUMMYFUNCTION("""COMPUTED_VALUE"""),"SHIRLEY MACHADO BATISTA")</f>
        <v>SHIRLEY MACHADO BATISTA</v>
      </c>
      <c r="B2064" s="11"/>
      <c r="C2064" s="11"/>
      <c r="D2064" s="11" t="str">
        <f>IFERROR(__xludf.DUMMYFUNCTION("""COMPUTED_VALUE"""),"CIRURGIAO DENTISTA 40H")</f>
        <v>CIRURGIAO DENTISTA 40H</v>
      </c>
      <c r="E2064" s="11"/>
      <c r="F2064" s="11" t="str">
        <f>IFERROR(__xludf.DUMMYFUNCTION("""COMPUTED_VALUE"""),"US_154 USF UPINHA DIA RIO DA PRATA")</f>
        <v>US_154 USF UPINHA DIA RIO DA PRATA</v>
      </c>
      <c r="G2064" s="11" t="str">
        <f>IFERROR(__xludf.DUMMYFUNCTION("""COMPUTED_VALUE"""),"US_154 USF UPINHA DIA RIO DA PRATA")</f>
        <v>US_154 USF UPINHA DIA RIO DA PRATA</v>
      </c>
      <c r="H2064" s="11"/>
      <c r="I2064" s="11"/>
      <c r="J2064" s="11"/>
      <c r="K2064" s="11"/>
      <c r="L2064" s="11"/>
      <c r="M2064" s="11"/>
      <c r="N2064" s="11"/>
      <c r="O2064" s="11">
        <f>IFERROR(__xludf.DUMMYFUNCTION("""COMPUTED_VALUE"""),6034346495)</f>
        <v>6034346495</v>
      </c>
      <c r="P2064" s="11"/>
      <c r="Q2064" s="11"/>
      <c r="R2064" s="11"/>
      <c r="S2064" s="11"/>
      <c r="T2064" s="11"/>
      <c r="U2064" s="11"/>
      <c r="V2064" s="11"/>
      <c r="W2064" s="11"/>
      <c r="X2064" s="11"/>
      <c r="Y2064" s="11"/>
      <c r="Z2064" s="11"/>
    </row>
    <row r="2065" customHeight="1" spans="1:26">
      <c r="A2065" s="11" t="str">
        <f>IFERROR(__xludf.DUMMYFUNCTION("""COMPUTED_VALUE"""),"ANDREZA BARKOKEBAS S DE FARIA")</f>
        <v>ANDREZA BARKOKEBAS S DE FARIA</v>
      </c>
      <c r="B2065" s="11"/>
      <c r="C2065" s="11"/>
      <c r="D2065" s="11" t="str">
        <f>IFERROR(__xludf.DUMMYFUNCTION("""COMPUTED_VALUE"""),"CIRURGIAO DENTISTA 20H")</f>
        <v>CIRURGIAO DENTISTA 20H</v>
      </c>
      <c r="E2065" s="11"/>
      <c r="F2065" s="11" t="str">
        <f>IFERROR(__xludf.DUMMYFUNCTION("""COMPUTED_VALUE"""),"SEGTES")</f>
        <v>SEGTES</v>
      </c>
      <c r="G2065" s="11" t="str">
        <f>IFERROR(__xludf.DUMMYFUNCTION("""COMPUTED_VALUE"""),"SEGTES")</f>
        <v>SEGTES</v>
      </c>
      <c r="H2065" s="11"/>
      <c r="I2065" s="11"/>
      <c r="J2065" s="11"/>
      <c r="K2065" s="11"/>
      <c r="L2065" s="11"/>
      <c r="M2065" s="11"/>
      <c r="N2065" s="11"/>
      <c r="O2065" s="11">
        <f>IFERROR(__xludf.DUMMYFUNCTION("""COMPUTED_VALUE"""),3339710430)</f>
        <v>3339710430</v>
      </c>
      <c r="P2065" s="11"/>
      <c r="Q2065" s="11"/>
      <c r="R2065" s="11"/>
      <c r="S2065" s="11"/>
      <c r="T2065" s="11"/>
      <c r="U2065" s="11"/>
      <c r="V2065" s="11"/>
      <c r="W2065" s="11"/>
      <c r="X2065" s="11"/>
      <c r="Y2065" s="11"/>
      <c r="Z2065" s="11"/>
    </row>
    <row r="2066" customHeight="1" spans="1:26">
      <c r="A2066" s="11"/>
      <c r="B2066" s="11"/>
      <c r="C2066" s="11"/>
      <c r="D2066" s="11"/>
      <c r="E2066" s="11"/>
      <c r="F2066" s="11" t="str">
        <f>IFERROR(__xludf.DUMMYFUNCTION("""COMPUTED_VALUE"""),"")</f>
        <v/>
      </c>
      <c r="G2066" s="11" t="str">
        <f>IFERROR(__xludf.DUMMYFUNCTION("""COMPUTED_VALUE"""),"")</f>
        <v/>
      </c>
      <c r="H2066" s="11"/>
      <c r="I2066" s="11"/>
      <c r="J2066" s="11"/>
      <c r="K2066" s="11"/>
      <c r="L2066" s="11"/>
      <c r="M2066" s="11"/>
      <c r="N2066" s="11"/>
      <c r="O2066" s="11"/>
      <c r="P2066" s="11"/>
      <c r="Q2066" s="11"/>
      <c r="R2066" s="11"/>
      <c r="S2066" s="11"/>
      <c r="T2066" s="11"/>
      <c r="U2066" s="11"/>
      <c r="V2066" s="11"/>
      <c r="W2066" s="11"/>
      <c r="X2066" s="11"/>
      <c r="Y2066" s="11"/>
      <c r="Z2066" s="11"/>
    </row>
    <row r="2067" customHeight="1" spans="1:26">
      <c r="A2067" s="11"/>
      <c r="B2067" s="11"/>
      <c r="C2067" s="11"/>
      <c r="D2067" s="11"/>
      <c r="E2067" s="11"/>
      <c r="F2067" s="11" t="str">
        <f>IFERROR(__xludf.DUMMYFUNCTION("""COMPUTED_VALUE"""),"")</f>
        <v/>
      </c>
      <c r="G2067" s="11" t="str">
        <f>IFERROR(__xludf.DUMMYFUNCTION("""COMPUTED_VALUE"""),"")</f>
        <v/>
      </c>
      <c r="H2067" s="11"/>
      <c r="I2067" s="11"/>
      <c r="J2067" s="11"/>
      <c r="K2067" s="11"/>
      <c r="L2067" s="11"/>
      <c r="M2067" s="11"/>
      <c r="N2067" s="11"/>
      <c r="O2067" s="11"/>
      <c r="P2067" s="11"/>
      <c r="Q2067" s="11"/>
      <c r="R2067" s="11"/>
      <c r="S2067" s="11"/>
      <c r="T2067" s="11"/>
      <c r="U2067" s="11"/>
      <c r="V2067" s="11"/>
      <c r="W2067" s="11"/>
      <c r="X2067" s="11"/>
      <c r="Y2067" s="11"/>
      <c r="Z2067" s="11"/>
    </row>
    <row r="2068" customHeight="1" spans="1:26">
      <c r="A2068" s="11"/>
      <c r="B2068" s="11"/>
      <c r="C2068" s="11"/>
      <c r="D2068" s="11"/>
      <c r="E2068" s="11"/>
      <c r="F2068" s="11" t="str">
        <f>IFERROR(__xludf.DUMMYFUNCTION("""COMPUTED_VALUE"""),"")</f>
        <v/>
      </c>
      <c r="G2068" s="11" t="str">
        <f>IFERROR(__xludf.DUMMYFUNCTION("""COMPUTED_VALUE"""),"")</f>
        <v/>
      </c>
      <c r="H2068" s="11"/>
      <c r="I2068" s="11"/>
      <c r="J2068" s="11"/>
      <c r="K2068" s="11"/>
      <c r="L2068" s="11"/>
      <c r="M2068" s="11"/>
      <c r="N2068" s="11"/>
      <c r="O2068" s="11"/>
      <c r="P2068" s="11"/>
      <c r="Q2068" s="11"/>
      <c r="R2068" s="11"/>
      <c r="S2068" s="11"/>
      <c r="T2068" s="11"/>
      <c r="U2068" s="11"/>
      <c r="V2068" s="11"/>
      <c r="W2068" s="11"/>
      <c r="X2068" s="11"/>
      <c r="Y2068" s="11"/>
      <c r="Z2068" s="11"/>
    </row>
    <row r="2069" customHeight="1" spans="1:26">
      <c r="A2069" s="11"/>
      <c r="B2069" s="11"/>
      <c r="C2069" s="11"/>
      <c r="D2069" s="11"/>
      <c r="E2069" s="11"/>
      <c r="F2069" s="11" t="str">
        <f>IFERROR(__xludf.DUMMYFUNCTION("""COMPUTED_VALUE"""),"")</f>
        <v/>
      </c>
      <c r="G2069" s="11" t="str">
        <f>IFERROR(__xludf.DUMMYFUNCTION("""COMPUTED_VALUE"""),"")</f>
        <v/>
      </c>
      <c r="H2069" s="11"/>
      <c r="I2069" s="11"/>
      <c r="J2069" s="11"/>
      <c r="K2069" s="11"/>
      <c r="L2069" s="11"/>
      <c r="M2069" s="11"/>
      <c r="N2069" s="11"/>
      <c r="O2069" s="11"/>
      <c r="P2069" s="11"/>
      <c r="Q2069" s="11"/>
      <c r="R2069" s="11"/>
      <c r="S2069" s="11"/>
      <c r="T2069" s="11"/>
      <c r="U2069" s="11"/>
      <c r="V2069" s="11"/>
      <c r="W2069" s="11"/>
      <c r="X2069" s="11"/>
      <c r="Y2069" s="11"/>
      <c r="Z2069" s="11"/>
    </row>
    <row r="2070" customHeight="1" spans="1:26">
      <c r="A2070" s="11"/>
      <c r="B2070" s="11"/>
      <c r="C2070" s="11"/>
      <c r="D2070" s="11"/>
      <c r="E2070" s="11"/>
      <c r="F2070" s="11" t="str">
        <f>IFERROR(__xludf.DUMMYFUNCTION("""COMPUTED_VALUE"""),"")</f>
        <v/>
      </c>
      <c r="G2070" s="11" t="str">
        <f>IFERROR(__xludf.DUMMYFUNCTION("""COMPUTED_VALUE"""),"")</f>
        <v/>
      </c>
      <c r="H2070" s="11"/>
      <c r="I2070" s="11"/>
      <c r="J2070" s="11"/>
      <c r="K2070" s="11"/>
      <c r="L2070" s="11"/>
      <c r="M2070" s="11"/>
      <c r="N2070" s="11"/>
      <c r="O2070" s="11"/>
      <c r="P2070" s="11"/>
      <c r="Q2070" s="11"/>
      <c r="R2070" s="11"/>
      <c r="S2070" s="11"/>
      <c r="T2070" s="11"/>
      <c r="U2070" s="11"/>
      <c r="V2070" s="11"/>
      <c r="W2070" s="11"/>
      <c r="X2070" s="11"/>
      <c r="Y2070" s="11"/>
      <c r="Z2070" s="11"/>
    </row>
    <row r="2071" customHeight="1" spans="1:26">
      <c r="A2071" s="11" t="str">
        <f>IFERROR(__xludf.DUMMYFUNCTION("""COMPUTED_VALUE"""),"médicos novos")</f>
        <v>médicos novos</v>
      </c>
      <c r="B2071" s="11"/>
      <c r="C2071" s="11"/>
      <c r="D2071" s="11"/>
      <c r="E2071" s="11"/>
      <c r="F2071" s="11" t="str">
        <f>IFERROR(__xludf.DUMMYFUNCTION("""COMPUTED_VALUE"""),"")</f>
        <v/>
      </c>
      <c r="G2071" s="11" t="str">
        <f>IFERROR(__xludf.DUMMYFUNCTION("""COMPUTED_VALUE"""),"")</f>
        <v/>
      </c>
      <c r="H2071" s="11"/>
      <c r="I2071" s="11"/>
      <c r="J2071" s="11"/>
      <c r="K2071" s="11"/>
      <c r="L2071" s="11"/>
      <c r="M2071" s="11"/>
      <c r="N2071" s="11"/>
      <c r="O2071" s="11"/>
      <c r="P2071" s="11"/>
      <c r="Q2071" s="11"/>
      <c r="R2071" s="11"/>
      <c r="S2071" s="11"/>
      <c r="T2071" s="11"/>
      <c r="U2071" s="11"/>
      <c r="V2071" s="11"/>
      <c r="W2071" s="11"/>
      <c r="X2071" s="11"/>
      <c r="Y2071" s="11"/>
      <c r="Z2071" s="11"/>
    </row>
    <row r="2072" customHeight="1" spans="1:26">
      <c r="A2072" s="11" t="str">
        <f>IFERROR(__xludf.DUMMYFUNCTION("""COMPUTED_VALUE"""),"CINTHIA MARIA DE O LIMA KOMURO")</f>
        <v>CINTHIA MARIA DE O LIMA KOMURO</v>
      </c>
      <c r="B2072" s="11"/>
      <c r="C2072" s="11"/>
      <c r="D2072" s="11" t="str">
        <f>IFERROR(__xludf.DUMMYFUNCTION("""COMPUTED_VALUE"""),"NAO INFORMADO")</f>
        <v>NAO INFORMADO</v>
      </c>
      <c r="E2072" s="11"/>
      <c r="F2072" s="11" t="str">
        <f>IFERROR(__xludf.DUMMYFUNCTION("""COMPUTED_VALUE"""),"AGUARDANDO LOTAÇAO")</f>
        <v>AGUARDANDO LOTAÇAO</v>
      </c>
      <c r="G2072" s="11" t="str">
        <f>IFERROR(__xludf.DUMMYFUNCTION("""COMPUTED_VALUE"""),"AGUARDANDO LOTAÇAO")</f>
        <v>AGUARDANDO LOTAÇAO</v>
      </c>
      <c r="H2072" s="11"/>
      <c r="I2072" s="11"/>
      <c r="J2072" s="11"/>
      <c r="K2072" s="11"/>
      <c r="L2072" s="11"/>
      <c r="M2072" s="11"/>
      <c r="N2072" s="30" t="str">
        <f>IFERROR(__xludf.DUMMYFUNCTION("""COMPUTED_VALUE"""),"CINTHIAKOMURO@GMAIL.COM")</f>
        <v>CINTHIAKOMURO@GMAIL.COM</v>
      </c>
      <c r="O2072" s="11">
        <f>IFERROR(__xludf.DUMMYFUNCTION("""COMPUTED_VALUE"""),77443560478)</f>
        <v>77443560478</v>
      </c>
      <c r="P2072" s="11"/>
      <c r="Q2072" s="11"/>
      <c r="R2072" s="11"/>
      <c r="S2072" s="11"/>
      <c r="T2072" s="11"/>
      <c r="U2072" s="11"/>
      <c r="V2072" s="11"/>
      <c r="W2072" s="11"/>
      <c r="X2072" s="11"/>
      <c r="Y2072" s="11"/>
      <c r="Z2072" s="11"/>
    </row>
    <row r="2073" customHeight="1" spans="1:26">
      <c r="A2073" s="11" t="str">
        <f>IFERROR(__xludf.DUMMYFUNCTION("""COMPUTED_VALUE"""),"ANNA CAROLINA DE OLIVEIRA BRAZ")</f>
        <v>ANNA CAROLINA DE OLIVEIRA BRAZ</v>
      </c>
      <c r="B2073" s="11"/>
      <c r="C2073" s="11"/>
      <c r="D2073" s="11" t="str">
        <f>IFERROR(__xludf.DUMMYFUNCTION("""COMPUTED_VALUE"""),"CIRURGIA GERAL")</f>
        <v>CIRURGIA GERAL</v>
      </c>
      <c r="E2073" s="11"/>
      <c r="F2073" s="11" t="str">
        <f>IFERROR(__xludf.DUMMYFUNCTION("""COMPUTED_VALUE"""),"ATENDE EM CASA")</f>
        <v>ATENDE EM CASA</v>
      </c>
      <c r="G2073" s="11" t="str">
        <f>IFERROR(__xludf.DUMMYFUNCTION("""COMPUTED_VALUE"""),"ATENDE EM CASA")</f>
        <v>ATENDE EM CASA</v>
      </c>
      <c r="H2073" s="11"/>
      <c r="I2073" s="11"/>
      <c r="J2073" s="11"/>
      <c r="K2073" s="11"/>
      <c r="L2073" s="11"/>
      <c r="M2073" s="11"/>
      <c r="N2073" s="30" t="str">
        <f>IFERROR(__xludf.DUMMYFUNCTION("""COMPUTED_VALUE"""),"annamedica@terra.com.br                                ")</f>
        <v>annamedica@terra.com.br                                </v>
      </c>
      <c r="O2073" s="11">
        <f>IFERROR(__xludf.DUMMYFUNCTION("""COMPUTED_VALUE"""),1840314435)</f>
        <v>1840314435</v>
      </c>
      <c r="P2073" s="11"/>
      <c r="Q2073" s="11"/>
      <c r="R2073" s="11"/>
      <c r="S2073" s="11"/>
      <c r="T2073" s="11"/>
      <c r="U2073" s="11"/>
      <c r="V2073" s="11"/>
      <c r="W2073" s="11"/>
      <c r="X2073" s="11"/>
      <c r="Y2073" s="11"/>
      <c r="Z2073" s="11"/>
    </row>
    <row r="2074" customHeight="1" spans="1:26">
      <c r="A2074" s="11" t="str">
        <f>IFERROR(__xludf.DUMMYFUNCTION("""COMPUTED_VALUE"""),"ANA PAULA BRAZ DE A CAVALCANTE")</f>
        <v>ANA PAULA BRAZ DE A CAVALCANTE</v>
      </c>
      <c r="B2074" s="11"/>
      <c r="C2074" s="11"/>
      <c r="D2074" s="11" t="str">
        <f>IFERROR(__xludf.DUMMYFUNCTION("""COMPUTED_VALUE"""),"CLINICA MEDICA")</f>
        <v>CLINICA MEDICA</v>
      </c>
      <c r="E2074" s="11"/>
      <c r="F2074" s="11" t="str">
        <f>IFERROR(__xludf.DUMMYFUNCTION("""COMPUTED_VALUE"""),"ATENDE EM CASA")</f>
        <v>ATENDE EM CASA</v>
      </c>
      <c r="G2074" s="11" t="str">
        <f>IFERROR(__xludf.DUMMYFUNCTION("""COMPUTED_VALUE"""),"ATENDE EM CASA")</f>
        <v>ATENDE EM CASA</v>
      </c>
      <c r="H2074" s="11"/>
      <c r="I2074" s="11"/>
      <c r="J2074" s="11"/>
      <c r="K2074" s="11"/>
      <c r="L2074" s="11"/>
      <c r="M2074" s="11"/>
      <c r="N2074" s="30" t="str">
        <f>IFERROR(__xludf.DUMMYFUNCTION("""COMPUTED_VALUE"""),"apbalmeida76@hotmail.com")</f>
        <v>apbalmeida76@hotmail.com</v>
      </c>
      <c r="O2074" s="11">
        <f>IFERROR(__xludf.DUMMYFUNCTION("""COMPUTED_VALUE"""),2560757435)</f>
        <v>2560757435</v>
      </c>
      <c r="P2074" s="11"/>
      <c r="Q2074" s="11"/>
      <c r="R2074" s="11"/>
      <c r="S2074" s="11"/>
      <c r="T2074" s="11"/>
      <c r="U2074" s="11"/>
      <c r="V2074" s="11"/>
      <c r="W2074" s="11"/>
      <c r="X2074" s="11"/>
      <c r="Y2074" s="11"/>
      <c r="Z2074" s="11"/>
    </row>
    <row r="2075" customHeight="1" spans="1:26">
      <c r="A2075" s="11" t="str">
        <f>IFERROR(__xludf.DUMMYFUNCTION("""COMPUTED_VALUE"""),"DANIELA DE OLIVEIRA B GUIDO")</f>
        <v>DANIELA DE OLIVEIRA B GUIDO</v>
      </c>
      <c r="B2075" s="11"/>
      <c r="C2075" s="11"/>
      <c r="D2075" s="11" t="str">
        <f>IFERROR(__xludf.DUMMYFUNCTION("""COMPUTED_VALUE"""),"ANESTESIOLOGIA")</f>
        <v>ANESTESIOLOGIA</v>
      </c>
      <c r="E2075" s="11"/>
      <c r="F2075" s="11" t="str">
        <f>IFERROR(__xludf.DUMMYFUNCTION("""COMPUTED_VALUE"""),"ATENDE EM CASA")</f>
        <v>ATENDE EM CASA</v>
      </c>
      <c r="G2075" s="11" t="str">
        <f>IFERROR(__xludf.DUMMYFUNCTION("""COMPUTED_VALUE"""),"ATENDE EM CASA")</f>
        <v>ATENDE EM CASA</v>
      </c>
      <c r="H2075" s="11"/>
      <c r="I2075" s="11"/>
      <c r="J2075" s="11"/>
      <c r="K2075" s="11"/>
      <c r="L2075" s="11"/>
      <c r="M2075" s="11"/>
      <c r="N2075" s="30" t="str">
        <f>IFERROR(__xludf.DUMMYFUNCTION("""COMPUTED_VALUE"""),"danibarros83@hotmail.com")</f>
        <v>danibarros83@hotmail.com</v>
      </c>
      <c r="O2075" s="11">
        <f>IFERROR(__xludf.DUMMYFUNCTION("""COMPUTED_VALUE"""),5335320435)</f>
        <v>5335320435</v>
      </c>
      <c r="P2075" s="11"/>
      <c r="Q2075" s="11"/>
      <c r="R2075" s="11"/>
      <c r="S2075" s="11"/>
      <c r="T2075" s="11"/>
      <c r="U2075" s="11"/>
      <c r="V2075" s="11"/>
      <c r="W2075" s="11"/>
      <c r="X2075" s="11"/>
      <c r="Y2075" s="11"/>
      <c r="Z2075" s="11"/>
    </row>
    <row r="2076" customHeight="1" spans="1:26">
      <c r="A2076" s="11" t="str">
        <f>IFERROR(__xludf.DUMMYFUNCTION("""COMPUTED_VALUE"""),"JANAISE MARQUES DE OLIVEIRA")</f>
        <v>JANAISE MARQUES DE OLIVEIRA</v>
      </c>
      <c r="B2076" s="11"/>
      <c r="C2076" s="11"/>
      <c r="D2076" s="11" t="str">
        <f>IFERROR(__xludf.DUMMYFUNCTION("""COMPUTED_VALUE"""),"CLINICA GERAL")</f>
        <v>CLINICA GERAL</v>
      </c>
      <c r="E2076" s="11"/>
      <c r="F2076" s="11" t="str">
        <f>IFERROR(__xludf.DUMMYFUNCTION("""COMPUTED_VALUE"""),"ATENDE EM CASA")</f>
        <v>ATENDE EM CASA</v>
      </c>
      <c r="G2076" s="11" t="str">
        <f>IFERROR(__xludf.DUMMYFUNCTION("""COMPUTED_VALUE"""),"ATENDE EM CASA")</f>
        <v>ATENDE EM CASA</v>
      </c>
      <c r="H2076" s="11"/>
      <c r="I2076" s="11"/>
      <c r="J2076" s="11"/>
      <c r="K2076" s="11"/>
      <c r="L2076" s="11"/>
      <c r="M2076" s="11"/>
      <c r="N2076" s="30" t="str">
        <f>IFERROR(__xludf.DUMMYFUNCTION("""COMPUTED_VALUE"""),"janaise.marques@gmail.com")</f>
        <v>janaise.marques@gmail.com</v>
      </c>
      <c r="O2076" s="11">
        <f>IFERROR(__xludf.DUMMYFUNCTION("""COMPUTED_VALUE"""),5640255420)</f>
        <v>5640255420</v>
      </c>
      <c r="P2076" s="11"/>
      <c r="Q2076" s="11"/>
      <c r="R2076" s="11"/>
      <c r="S2076" s="11"/>
      <c r="T2076" s="11"/>
      <c r="U2076" s="11"/>
      <c r="V2076" s="11"/>
      <c r="W2076" s="11"/>
      <c r="X2076" s="11"/>
      <c r="Y2076" s="11"/>
      <c r="Z2076" s="11"/>
    </row>
    <row r="2077" customHeight="1" spans="1:26">
      <c r="A2077" s="11" t="str">
        <f>IFERROR(__xludf.DUMMYFUNCTION("""COMPUTED_VALUE"""),"TASSIA FERNANDA C DE ANDRADE")</f>
        <v>TASSIA FERNANDA C DE ANDRADE</v>
      </c>
      <c r="B2077" s="11"/>
      <c r="C2077" s="11"/>
      <c r="D2077" s="11" t="str">
        <f>IFERROR(__xludf.DUMMYFUNCTION("""COMPUTED_VALUE"""),"MEDICINA DE FAMILIA E COMUNIDADE")</f>
        <v>MEDICINA DE FAMILIA E COMUNIDADE</v>
      </c>
      <c r="E2077" s="11"/>
      <c r="F2077" s="11" t="str">
        <f>IFERROR(__xludf.DUMMYFUNCTION("""COMPUTED_VALUE"""),"ATENDE EM CASA")</f>
        <v>ATENDE EM CASA</v>
      </c>
      <c r="G2077" s="11" t="str">
        <f>IFERROR(__xludf.DUMMYFUNCTION("""COMPUTED_VALUE"""),"ATENDE EM CASA")</f>
        <v>ATENDE EM CASA</v>
      </c>
      <c r="H2077" s="27">
        <f>IFERROR(__xludf.DUMMYFUNCTION("""COMPUTED_VALUE"""),81982501733)</f>
        <v>81982501733</v>
      </c>
      <c r="I2077" s="11"/>
      <c r="J2077" s="11"/>
      <c r="K2077" s="11"/>
      <c r="L2077" s="11"/>
      <c r="M2077" s="11"/>
      <c r="N2077" s="30" t="str">
        <f>IFERROR(__xludf.DUMMYFUNCTION("""COMPUTED_VALUE"""),"tassiacarneiro@hotmail.com")</f>
        <v>tassiacarneiro@hotmail.com</v>
      </c>
      <c r="O2077" s="11">
        <f>IFERROR(__xludf.DUMMYFUNCTION("""COMPUTED_VALUE"""),2683538596)</f>
        <v>2683538596</v>
      </c>
      <c r="P2077" s="11"/>
      <c r="Q2077" s="11"/>
      <c r="R2077" s="11"/>
      <c r="S2077" s="11"/>
      <c r="T2077" s="11"/>
      <c r="U2077" s="11"/>
      <c r="V2077" s="11"/>
      <c r="W2077" s="11"/>
      <c r="X2077" s="11"/>
      <c r="Y2077" s="11"/>
      <c r="Z2077" s="11"/>
    </row>
    <row r="2078" customHeight="1" spans="1:26">
      <c r="A2078" s="11" t="str">
        <f>IFERROR(__xludf.DUMMYFUNCTION("""COMPUTED_VALUE"""),"ARIANNA BARRETO DE S CHACON")</f>
        <v>ARIANNA BARRETO DE S CHACON</v>
      </c>
      <c r="B2078" s="11"/>
      <c r="C2078" s="11"/>
      <c r="D2078" s="11" t="str">
        <f>IFERROR(__xludf.DUMMYFUNCTION("""COMPUTED_VALUE"""),"ENDOCRINOLOGIA E METABOLOGIA")</f>
        <v>ENDOCRINOLOGIA E METABOLOGIA</v>
      </c>
      <c r="E2078" s="11"/>
      <c r="F2078" s="11" t="str">
        <f>IFERROR(__xludf.DUMMYFUNCTION("""COMPUTED_VALUE"""),"ATENDE EM CASA")</f>
        <v>ATENDE EM CASA</v>
      </c>
      <c r="G2078" s="11" t="str">
        <f>IFERROR(__xludf.DUMMYFUNCTION("""COMPUTED_VALUE"""),"ATENDE EM CASA")</f>
        <v>ATENDE EM CASA</v>
      </c>
      <c r="H2078" s="11"/>
      <c r="I2078" s="11"/>
      <c r="J2078" s="11"/>
      <c r="K2078" s="11"/>
      <c r="L2078" s="11"/>
      <c r="M2078" s="11"/>
      <c r="N2078" s="30" t="str">
        <f>IFERROR(__xludf.DUMMYFUNCTION("""COMPUTED_VALUE"""),"ARIANNABARRETO@GMAIL.COM")</f>
        <v>ARIANNABARRETO@GMAIL.COM</v>
      </c>
      <c r="O2078" s="11">
        <f>IFERROR(__xludf.DUMMYFUNCTION("""COMPUTED_VALUE"""),7412970437)</f>
        <v>7412970437</v>
      </c>
      <c r="P2078" s="11"/>
      <c r="Q2078" s="11"/>
      <c r="R2078" s="11"/>
      <c r="S2078" s="11"/>
      <c r="T2078" s="11"/>
      <c r="U2078" s="11"/>
      <c r="V2078" s="11"/>
      <c r="W2078" s="11"/>
      <c r="X2078" s="11"/>
      <c r="Y2078" s="11"/>
      <c r="Z2078" s="11"/>
    </row>
    <row r="2079" customHeight="1" spans="1:26">
      <c r="A2079" s="11" t="str">
        <f>IFERROR(__xludf.DUMMYFUNCTION("""COMPUTED_VALUE"""),"MARIA ISABEL L M C DE ALMEIDA")</f>
        <v>MARIA ISABEL L M C DE ALMEIDA</v>
      </c>
      <c r="B2079" s="11"/>
      <c r="C2079" s="11"/>
      <c r="D2079" s="11" t="str">
        <f>IFERROR(__xludf.DUMMYFUNCTION("""COMPUTED_VALUE"""),"PEDIATRIA")</f>
        <v>PEDIATRIA</v>
      </c>
      <c r="E2079" s="11"/>
      <c r="F2079" s="11" t="str">
        <f>IFERROR(__xludf.DUMMYFUNCTION("""COMPUTED_VALUE"""),"ATENDE EM CASA")</f>
        <v>ATENDE EM CASA</v>
      </c>
      <c r="G2079" s="11" t="str">
        <f>IFERROR(__xludf.DUMMYFUNCTION("""COMPUTED_VALUE"""),"ATENDE EM CASA")</f>
        <v>ATENDE EM CASA</v>
      </c>
      <c r="H2079" s="11"/>
      <c r="I2079" s="11"/>
      <c r="J2079" s="11"/>
      <c r="K2079" s="11"/>
      <c r="L2079" s="11"/>
      <c r="M2079" s="11"/>
      <c r="N2079" s="30" t="str">
        <f>IFERROR(__xludf.DUMMYFUNCTION("""COMPUTED_VALUE"""),"MARIAISABEL_LUCENA@YAHOO.COM.BR")</f>
        <v>MARIAISABEL_LUCENA@YAHOO.COM.BR</v>
      </c>
      <c r="O2079" s="11">
        <f>IFERROR(__xludf.DUMMYFUNCTION("""COMPUTED_VALUE"""),7398308485)</f>
        <v>7398308485</v>
      </c>
      <c r="P2079" s="11"/>
      <c r="Q2079" s="11"/>
      <c r="R2079" s="11"/>
      <c r="S2079" s="11"/>
      <c r="T2079" s="11"/>
      <c r="U2079" s="11"/>
      <c r="V2079" s="11"/>
      <c r="W2079" s="11"/>
      <c r="X2079" s="11"/>
      <c r="Y2079" s="11"/>
      <c r="Z2079" s="11"/>
    </row>
    <row r="2080" customHeight="1" spans="1:26">
      <c r="A2080" s="11" t="str">
        <f>IFERROR(__xludf.DUMMYFUNCTION("""COMPUTED_VALUE"""),"PRISCILA DA SILVA LOPES")</f>
        <v>PRISCILA DA SILVA LOPES</v>
      </c>
      <c r="B2080" s="11"/>
      <c r="C2080" s="11"/>
      <c r="D2080" s="11" t="str">
        <f>IFERROR(__xludf.DUMMYFUNCTION("""COMPUTED_VALUE"""),"CIRURGIA GERAL")</f>
        <v>CIRURGIA GERAL</v>
      </c>
      <c r="E2080" s="11"/>
      <c r="F2080" s="11" t="str">
        <f>IFERROR(__xludf.DUMMYFUNCTION("""COMPUTED_VALUE"""),"ATENDE EM CASA")</f>
        <v>ATENDE EM CASA</v>
      </c>
      <c r="G2080" s="11" t="str">
        <f>IFERROR(__xludf.DUMMYFUNCTION("""COMPUTED_VALUE"""),"ATENDE EM CASA")</f>
        <v>ATENDE EM CASA</v>
      </c>
      <c r="H2080" s="11"/>
      <c r="I2080" s="11"/>
      <c r="J2080" s="11"/>
      <c r="K2080" s="11"/>
      <c r="L2080" s="11"/>
      <c r="M2080" s="11"/>
      <c r="N2080" s="30" t="str">
        <f>IFERROR(__xludf.DUMMYFUNCTION("""COMPUTED_VALUE"""),"PRISCILALOPESCP@GMAIL.COM")</f>
        <v>PRISCILALOPESCP@GMAIL.COM</v>
      </c>
      <c r="O2080" s="11">
        <f>IFERROR(__xludf.DUMMYFUNCTION("""COMPUTED_VALUE"""),5365060431)</f>
        <v>5365060431</v>
      </c>
      <c r="P2080" s="11"/>
      <c r="Q2080" s="11"/>
      <c r="R2080" s="11"/>
      <c r="S2080" s="11"/>
      <c r="T2080" s="11"/>
      <c r="U2080" s="11"/>
      <c r="V2080" s="11"/>
      <c r="W2080" s="11"/>
      <c r="X2080" s="11"/>
      <c r="Y2080" s="11"/>
      <c r="Z2080" s="11"/>
    </row>
    <row r="2081" customHeight="1" spans="1:26">
      <c r="A2081" s="11" t="str">
        <f>IFERROR(__xludf.DUMMYFUNCTION("""COMPUTED_VALUE"""),"SUSANA NEVES DE ALBUQUERQUE")</f>
        <v>SUSANA NEVES DE ALBUQUERQUE</v>
      </c>
      <c r="B2081" s="11"/>
      <c r="C2081" s="11"/>
      <c r="D2081" s="11" t="str">
        <f>IFERROR(__xludf.DUMMYFUNCTION("""COMPUTED_VALUE"""),"CIRURGIA GERAL")</f>
        <v>CIRURGIA GERAL</v>
      </c>
      <c r="E2081" s="11"/>
      <c r="F2081" s="11" t="str">
        <f>IFERROR(__xludf.DUMMYFUNCTION("""COMPUTED_VALUE"""),"ATENDE EM CASA")</f>
        <v>ATENDE EM CASA</v>
      </c>
      <c r="G2081" s="11" t="str">
        <f>IFERROR(__xludf.DUMMYFUNCTION("""COMPUTED_VALUE"""),"ATENDE EM CASA")</f>
        <v>ATENDE EM CASA</v>
      </c>
      <c r="H2081" s="11"/>
      <c r="I2081" s="11"/>
      <c r="J2081" s="11"/>
      <c r="K2081" s="11"/>
      <c r="L2081" s="11"/>
      <c r="M2081" s="11"/>
      <c r="N2081" s="30" t="str">
        <f>IFERROR(__xludf.DUMMYFUNCTION("""COMPUTED_VALUE"""),"SUSANA_PI1@HOTMAIL.COM")</f>
        <v>SUSANA_PI1@HOTMAIL.COM</v>
      </c>
      <c r="O2081" s="11">
        <f>IFERROR(__xludf.DUMMYFUNCTION("""COMPUTED_VALUE"""),3992054462)</f>
        <v>3992054462</v>
      </c>
      <c r="P2081" s="11"/>
      <c r="Q2081" s="11"/>
      <c r="R2081" s="11"/>
      <c r="S2081" s="11"/>
      <c r="T2081" s="11"/>
      <c r="U2081" s="11"/>
      <c r="V2081" s="11"/>
      <c r="W2081" s="11"/>
      <c r="X2081" s="11"/>
      <c r="Y2081" s="11"/>
      <c r="Z2081" s="11"/>
    </row>
    <row r="2082" customHeight="1" spans="1:26">
      <c r="A2082" s="11" t="str">
        <f>IFERROR(__xludf.DUMMYFUNCTION("""COMPUTED_VALUE"""),"LISSANDRA PINTO DE MOURA")</f>
        <v>LISSANDRA PINTO DE MOURA</v>
      </c>
      <c r="B2082" s="11"/>
      <c r="C2082" s="11"/>
      <c r="D2082" s="11" t="str">
        <f>IFERROR(__xludf.DUMMYFUNCTION("""COMPUTED_VALUE"""),"PEDIATRIA")</f>
        <v>PEDIATRIA</v>
      </c>
      <c r="E2082" s="11"/>
      <c r="F2082" s="11" t="str">
        <f>IFERROR(__xludf.DUMMYFUNCTION("""COMPUTED_VALUE"""),"ATENDE EM CASA")</f>
        <v>ATENDE EM CASA</v>
      </c>
      <c r="G2082" s="11" t="str">
        <f>IFERROR(__xludf.DUMMYFUNCTION("""COMPUTED_VALUE"""),"ATENDE EM CASA")</f>
        <v>ATENDE EM CASA</v>
      </c>
      <c r="H2082" s="11"/>
      <c r="I2082" s="11"/>
      <c r="J2082" s="11"/>
      <c r="K2082" s="11"/>
      <c r="L2082" s="11"/>
      <c r="M2082" s="11"/>
      <c r="N2082" s="30" t="str">
        <f>IFERROR(__xludf.DUMMYFUNCTION("""COMPUTED_VALUE"""),"LISSANDRA.MOURA@HOTMAIL.COM")</f>
        <v>LISSANDRA.MOURA@HOTMAIL.COM</v>
      </c>
      <c r="O2082" s="11">
        <f>IFERROR(__xludf.DUMMYFUNCTION("""COMPUTED_VALUE"""),4981695454)</f>
        <v>4981695454</v>
      </c>
      <c r="P2082" s="11"/>
      <c r="Q2082" s="11"/>
      <c r="R2082" s="11"/>
      <c r="S2082" s="11"/>
      <c r="T2082" s="11"/>
      <c r="U2082" s="11"/>
      <c r="V2082" s="11"/>
      <c r="W2082" s="11"/>
      <c r="X2082" s="11"/>
      <c r="Y2082" s="11"/>
      <c r="Z2082" s="11"/>
    </row>
    <row r="2083" customHeight="1" spans="1:26">
      <c r="A2083" s="11" t="str">
        <f>IFERROR(__xludf.DUMMYFUNCTION("""COMPUTED_VALUE"""),"EDMUNDO JOSE M DA SILVA")</f>
        <v>EDMUNDO JOSE M DA SILVA</v>
      </c>
      <c r="B2083" s="11"/>
      <c r="C2083" s="11"/>
      <c r="D2083" s="11" t="str">
        <f>IFERROR(__xludf.DUMMYFUNCTION("""COMPUTED_VALUE"""),"GINECOLOGIA E OBSTETRICIA")</f>
        <v>GINECOLOGIA E OBSTETRICIA</v>
      </c>
      <c r="E2083" s="11"/>
      <c r="F2083" s="11" t="str">
        <f>IFERROR(__xludf.DUMMYFUNCTION("""COMPUTED_VALUE"""),"ATENDE EM CASA")</f>
        <v>ATENDE EM CASA</v>
      </c>
      <c r="G2083" s="11" t="str">
        <f>IFERROR(__xludf.DUMMYFUNCTION("""COMPUTED_VALUE"""),"ATENDE EM CASA")</f>
        <v>ATENDE EM CASA</v>
      </c>
      <c r="H2083" s="11"/>
      <c r="I2083" s="11"/>
      <c r="J2083" s="11"/>
      <c r="K2083" s="11"/>
      <c r="L2083" s="11"/>
      <c r="M2083" s="11"/>
      <c r="N2083" s="30" t="str">
        <f>IFERROR(__xludf.DUMMYFUNCTION("""COMPUTED_VALUE"""),"0")</f>
        <v>0</v>
      </c>
      <c r="O2083" s="11">
        <f>IFERROR(__xludf.DUMMYFUNCTION("""COMPUTED_VALUE"""),8358559453)</f>
        <v>8358559453</v>
      </c>
      <c r="P2083" s="11"/>
      <c r="Q2083" s="11"/>
      <c r="R2083" s="11"/>
      <c r="S2083" s="11"/>
      <c r="T2083" s="11"/>
      <c r="U2083" s="11"/>
      <c r="V2083" s="11"/>
      <c r="W2083" s="11"/>
      <c r="X2083" s="11"/>
      <c r="Y2083" s="11"/>
      <c r="Z2083" s="11"/>
    </row>
    <row r="2084" customHeight="1" spans="1:26">
      <c r="A2084" s="11" t="str">
        <f>IFERROR(__xludf.DUMMYFUNCTION("""COMPUTED_VALUE"""),"MICHELLE VAREJAO L DA S ARAUJO")</f>
        <v>MICHELLE VAREJAO L DA S ARAUJO</v>
      </c>
      <c r="B2084" s="11"/>
      <c r="C2084" s="11"/>
      <c r="D2084" s="11" t="str">
        <f>IFERROR(__xludf.DUMMYFUNCTION("""COMPUTED_VALUE"""),"CLINICA GERAL")</f>
        <v>CLINICA GERAL</v>
      </c>
      <c r="E2084" s="11"/>
      <c r="F2084" s="11" t="str">
        <f>IFERROR(__xludf.DUMMYFUNCTION("""COMPUTED_VALUE"""),"ATENDE EM CASA")</f>
        <v>ATENDE EM CASA</v>
      </c>
      <c r="G2084" s="11" t="str">
        <f>IFERROR(__xludf.DUMMYFUNCTION("""COMPUTED_VALUE"""),"ATENDE EM CASA")</f>
        <v>ATENDE EM CASA</v>
      </c>
      <c r="H2084" s="27">
        <f>IFERROR(__xludf.DUMMYFUNCTION("""COMPUTED_VALUE"""),81982000410)</f>
        <v>81982000410</v>
      </c>
      <c r="I2084" s="11"/>
      <c r="J2084" s="11"/>
      <c r="K2084" s="24">
        <f>IFERROR(__xludf.DUMMYFUNCTION("""COMPUTED_VALUE"""),45089)</f>
        <v>45089</v>
      </c>
      <c r="L2084" s="11"/>
      <c r="M2084" s="11"/>
      <c r="N2084" s="30" t="str">
        <f>IFERROR(__xludf.DUMMYFUNCTION("""COMPUTED_VALUE"""),"michellevarejao@hotmail.com")</f>
        <v>michellevarejao@hotmail.com</v>
      </c>
      <c r="O2084" s="11">
        <f>IFERROR(__xludf.DUMMYFUNCTION("""COMPUTED_VALUE"""),5112050403)</f>
        <v>5112050403</v>
      </c>
      <c r="P2084" s="11"/>
      <c r="Q2084" s="11"/>
      <c r="R2084" s="11"/>
      <c r="S2084" s="11"/>
      <c r="T2084" s="11"/>
      <c r="U2084" s="11"/>
      <c r="V2084" s="11"/>
      <c r="W2084" s="11"/>
      <c r="X2084" s="11"/>
      <c r="Y2084" s="11"/>
      <c r="Z2084" s="11"/>
    </row>
    <row r="2085" customHeight="1" spans="1:26">
      <c r="A2085" s="11" t="str">
        <f>IFERROR(__xludf.DUMMYFUNCTION("""COMPUTED_VALUE"""),"LUCIANA VALENCA GARCIA")</f>
        <v>LUCIANA VALENCA GARCIA</v>
      </c>
      <c r="B2085" s="11"/>
      <c r="C2085" s="11"/>
      <c r="D2085" s="11" t="str">
        <f>IFERROR(__xludf.DUMMYFUNCTION("""COMPUTED_VALUE"""),"PSIQUIATRIA")</f>
        <v>PSIQUIATRIA</v>
      </c>
      <c r="E2085" s="11"/>
      <c r="F2085" s="11" t="str">
        <f>IFERROR(__xludf.DUMMYFUNCTION("""COMPUTED_VALUE"""),"ATENDE EM CASA")</f>
        <v>ATENDE EM CASA</v>
      </c>
      <c r="G2085" s="11" t="str">
        <f>IFERROR(__xludf.DUMMYFUNCTION("""COMPUTED_VALUE"""),"ATENDE EM CASA")</f>
        <v>ATENDE EM CASA</v>
      </c>
      <c r="H2085" s="11"/>
      <c r="I2085" s="11"/>
      <c r="J2085" s="11"/>
      <c r="K2085" s="11"/>
      <c r="L2085" s="11"/>
      <c r="M2085" s="11"/>
      <c r="N2085" s="30" t="str">
        <f>IFERROR(__xludf.DUMMYFUNCTION("""COMPUTED_VALUE"""),"lucianavalencagarcia@gmail.com")</f>
        <v>lucianavalencagarcia@gmail.com</v>
      </c>
      <c r="O2085" s="11">
        <f>IFERROR(__xludf.DUMMYFUNCTION("""COMPUTED_VALUE"""),7704299476)</f>
        <v>7704299476</v>
      </c>
      <c r="P2085" s="11"/>
      <c r="Q2085" s="11"/>
      <c r="R2085" s="11"/>
      <c r="S2085" s="11"/>
      <c r="T2085" s="11"/>
      <c r="U2085" s="11"/>
      <c r="V2085" s="11"/>
      <c r="W2085" s="11"/>
      <c r="X2085" s="11"/>
      <c r="Y2085" s="11"/>
      <c r="Z2085" s="11"/>
    </row>
    <row r="2086" customHeight="1" spans="1:26">
      <c r="A2086" s="11" t="str">
        <f>IFERROR(__xludf.DUMMYFUNCTION("""COMPUTED_VALUE"""),"CAMILA DE A M C DE ALBUQUERQUE")</f>
        <v>CAMILA DE A M C DE ALBUQUERQUE</v>
      </c>
      <c r="B2086" s="11"/>
      <c r="C2086" s="11"/>
      <c r="D2086" s="11" t="str">
        <f>IFERROR(__xludf.DUMMYFUNCTION("""COMPUTED_VALUE"""),"GINECOLOGIA E OBSTETRICIA")</f>
        <v>GINECOLOGIA E OBSTETRICIA</v>
      </c>
      <c r="E2086" s="11"/>
      <c r="F2086" s="11" t="str">
        <f>IFERROR(__xludf.DUMMYFUNCTION("""COMPUTED_VALUE"""),"ATENDE EM CASA")</f>
        <v>ATENDE EM CASA</v>
      </c>
      <c r="G2086" s="11" t="str">
        <f>IFERROR(__xludf.DUMMYFUNCTION("""COMPUTED_VALUE"""),"ATENDE EM CASA")</f>
        <v>ATENDE EM CASA</v>
      </c>
      <c r="H2086" s="11"/>
      <c r="I2086" s="11"/>
      <c r="J2086" s="11"/>
      <c r="K2086" s="11"/>
      <c r="L2086" s="11"/>
      <c r="M2086" s="11"/>
      <c r="N2086" s="30" t="str">
        <f>IFERROR(__xludf.DUMMYFUNCTION("""COMPUTED_VALUE"""),"camila.med2016@gmail.com")</f>
        <v>camila.med2016@gmail.com</v>
      </c>
      <c r="O2086" s="11">
        <f>IFERROR(__xludf.DUMMYFUNCTION("""COMPUTED_VALUE"""),6466734404)</f>
        <v>6466734404</v>
      </c>
      <c r="P2086" s="11"/>
      <c r="Q2086" s="11"/>
      <c r="R2086" s="11"/>
      <c r="S2086" s="11"/>
      <c r="T2086" s="11"/>
      <c r="U2086" s="11"/>
      <c r="V2086" s="11"/>
      <c r="W2086" s="11"/>
      <c r="X2086" s="11"/>
      <c r="Y2086" s="11"/>
      <c r="Z2086" s="11"/>
    </row>
    <row r="2087" customHeight="1" spans="1:26">
      <c r="A2087" s="11" t="str">
        <f>IFERROR(__xludf.DUMMYFUNCTION("""COMPUTED_VALUE"""),"MARIANA CAVALCANTI C SODRE")</f>
        <v>MARIANA CAVALCANTI C SODRE</v>
      </c>
      <c r="B2087" s="11"/>
      <c r="C2087" s="11"/>
      <c r="D2087" s="11" t="str">
        <f>IFERROR(__xludf.DUMMYFUNCTION("""COMPUTED_VALUE"""),"CLINICA MEDICA")</f>
        <v>CLINICA MEDICA</v>
      </c>
      <c r="E2087" s="11"/>
      <c r="F2087" s="11" t="str">
        <f>IFERROR(__xludf.DUMMYFUNCTION("""COMPUTED_VALUE"""),"ATENDE EM CASA")</f>
        <v>ATENDE EM CASA</v>
      </c>
      <c r="G2087" s="11" t="str">
        <f>IFERROR(__xludf.DUMMYFUNCTION("""COMPUTED_VALUE"""),"ATENDE EM CASA")</f>
        <v>ATENDE EM CASA</v>
      </c>
      <c r="H2087" s="27">
        <f>IFERROR(__xludf.DUMMYFUNCTION("""COMPUTED_VALUE"""),81996265600)</f>
        <v>81996265600</v>
      </c>
      <c r="I2087" s="11"/>
      <c r="J2087" s="11"/>
      <c r="K2087" s="11"/>
      <c r="L2087" s="11"/>
      <c r="M2087" s="11"/>
      <c r="N2087" s="30" t="str">
        <f>IFERROR(__xludf.DUMMYFUNCTION("""COMPUTED_VALUE"""),"marianaccsodre@gmail.com")</f>
        <v>marianaccsodre@gmail.com</v>
      </c>
      <c r="O2087" s="11">
        <f>IFERROR(__xludf.DUMMYFUNCTION("""COMPUTED_VALUE"""),4761521430)</f>
        <v>4761521430</v>
      </c>
      <c r="P2087" s="11"/>
      <c r="Q2087" s="11"/>
      <c r="R2087" s="11"/>
      <c r="S2087" s="11"/>
      <c r="T2087" s="11"/>
      <c r="U2087" s="11"/>
      <c r="V2087" s="11"/>
      <c r="W2087" s="11"/>
      <c r="X2087" s="11"/>
      <c r="Y2087" s="11"/>
      <c r="Z2087" s="11"/>
    </row>
    <row r="2088" customHeight="1" spans="1:26">
      <c r="A2088" s="11" t="str">
        <f>IFERROR(__xludf.DUMMYFUNCTION("""COMPUTED_VALUE"""),"GABRIELA REGIS SPINELLI")</f>
        <v>GABRIELA REGIS SPINELLI</v>
      </c>
      <c r="B2088" s="11"/>
      <c r="C2088" s="11"/>
      <c r="D2088" s="11" t="str">
        <f>IFERROR(__xludf.DUMMYFUNCTION("""COMPUTED_VALUE"""),"CLINICA MEDICA")</f>
        <v>CLINICA MEDICA</v>
      </c>
      <c r="E2088" s="11"/>
      <c r="F2088" s="11" t="str">
        <f>IFERROR(__xludf.DUMMYFUNCTION("""COMPUTED_VALUE"""),"ATENDE EM CASA")</f>
        <v>ATENDE EM CASA</v>
      </c>
      <c r="G2088" s="11" t="str">
        <f>IFERROR(__xludf.DUMMYFUNCTION("""COMPUTED_VALUE"""),"ATENDE EM CASA")</f>
        <v>ATENDE EM CASA</v>
      </c>
      <c r="H2088" s="11"/>
      <c r="I2088" s="11"/>
      <c r="J2088" s="11"/>
      <c r="K2088" s="11"/>
      <c r="L2088" s="11"/>
      <c r="M2088" s="11"/>
      <c r="N2088" s="30" t="str">
        <f>IFERROR(__xludf.DUMMYFUNCTION("""COMPUTED_VALUE"""),"gabiregisspinelli@gmail.com")</f>
        <v>gabiregisspinelli@gmail.com</v>
      </c>
      <c r="O2088" s="11">
        <f>IFERROR(__xludf.DUMMYFUNCTION("""COMPUTED_VALUE"""),6397718409)</f>
        <v>6397718409</v>
      </c>
      <c r="P2088" s="11"/>
      <c r="Q2088" s="11"/>
      <c r="R2088" s="11"/>
      <c r="S2088" s="11"/>
      <c r="T2088" s="11"/>
      <c r="U2088" s="11"/>
      <c r="V2088" s="11"/>
      <c r="W2088" s="11"/>
      <c r="X2088" s="11"/>
      <c r="Y2088" s="11"/>
      <c r="Z2088" s="11"/>
    </row>
    <row r="2089" customHeight="1" spans="1:26">
      <c r="A2089" s="11" t="str">
        <f>IFERROR(__xludf.DUMMYFUNCTION("""COMPUTED_VALUE"""),"EDUARDA CERQUEIRA RUSSO")</f>
        <v>EDUARDA CERQUEIRA RUSSO</v>
      </c>
      <c r="B2089" s="11"/>
      <c r="C2089" s="11"/>
      <c r="D2089" s="11" t="str">
        <f>IFERROR(__xludf.DUMMYFUNCTION("""COMPUTED_VALUE"""),"CLINICA MEDICA")</f>
        <v>CLINICA MEDICA</v>
      </c>
      <c r="E2089" s="11"/>
      <c r="F2089" s="11" t="str">
        <f>IFERROR(__xludf.DUMMYFUNCTION("""COMPUTED_VALUE"""),"ATENDE EM CASA")</f>
        <v>ATENDE EM CASA</v>
      </c>
      <c r="G2089" s="11" t="str">
        <f>IFERROR(__xludf.DUMMYFUNCTION("""COMPUTED_VALUE"""),"ATENDE EM CASA")</f>
        <v>ATENDE EM CASA</v>
      </c>
      <c r="H2089" s="27">
        <f>IFERROR(__xludf.DUMMYFUNCTION("""COMPUTED_VALUE"""),81994379967)</f>
        <v>81994379967</v>
      </c>
      <c r="I2089" s="11"/>
      <c r="J2089" s="11"/>
      <c r="K2089" s="11"/>
      <c r="L2089" s="11"/>
      <c r="M2089" s="11"/>
      <c r="N2089" s="30" t="str">
        <f>IFERROR(__xludf.DUMMYFUNCTION("""COMPUTED_VALUE"""),"eduarda.crusso@gmail.com")</f>
        <v>eduarda.crusso@gmail.com</v>
      </c>
      <c r="O2089" s="11">
        <f>IFERROR(__xludf.DUMMYFUNCTION("""COMPUTED_VALUE"""),8315588494)</f>
        <v>8315588494</v>
      </c>
      <c r="P2089" s="11"/>
      <c r="Q2089" s="11"/>
      <c r="R2089" s="11"/>
      <c r="S2089" s="11"/>
      <c r="T2089" s="11"/>
      <c r="U2089" s="11"/>
      <c r="V2089" s="11"/>
      <c r="W2089" s="11"/>
      <c r="X2089" s="11"/>
      <c r="Y2089" s="11"/>
      <c r="Z2089" s="11"/>
    </row>
    <row r="2090" customHeight="1" spans="1:26">
      <c r="A2090" s="11" t="str">
        <f>IFERROR(__xludf.DUMMYFUNCTION("""COMPUTED_VALUE"""),"SERGIO RICARDO DE LIMA ANDRADE")</f>
        <v>SERGIO RICARDO DE LIMA ANDRADE</v>
      </c>
      <c r="B2090" s="11"/>
      <c r="C2090" s="11"/>
      <c r="D2090" s="11" t="str">
        <f>IFERROR(__xludf.DUMMYFUNCTION("""COMPUTED_VALUE"""),"CLINICA MEDICA")</f>
        <v>CLINICA MEDICA</v>
      </c>
      <c r="E2090" s="11"/>
      <c r="F2090" s="11" t="str">
        <f>IFERROR(__xludf.DUMMYFUNCTION("""COMPUTED_VALUE"""),"ATENDE EM CASA")</f>
        <v>ATENDE EM CASA</v>
      </c>
      <c r="G2090" s="11" t="str">
        <f>IFERROR(__xludf.DUMMYFUNCTION("""COMPUTED_VALUE"""),"ATENDE EM CASA")</f>
        <v>ATENDE EM CASA</v>
      </c>
      <c r="H2090" s="27">
        <f>IFERROR(__xludf.DUMMYFUNCTION("""COMPUTED_VALUE"""),8198789898)</f>
        <v>8198789898</v>
      </c>
      <c r="I2090" s="11"/>
      <c r="J2090" s="11"/>
      <c r="K2090" s="11"/>
      <c r="L2090" s="11"/>
      <c r="M2090" s="11"/>
      <c r="N2090" s="30" t="str">
        <f>IFERROR(__xludf.DUMMYFUNCTION("""COMPUTED_VALUE"""),"sergiolimandrade96@gmail.com")</f>
        <v>sergiolimandrade96@gmail.com</v>
      </c>
      <c r="O2090" s="11">
        <f>IFERROR(__xludf.DUMMYFUNCTION("""COMPUTED_VALUE"""),67137857353)</f>
        <v>67137857353</v>
      </c>
      <c r="P2090" s="11"/>
      <c r="Q2090" s="11"/>
      <c r="R2090" s="11"/>
      <c r="S2090" s="11"/>
      <c r="T2090" s="11"/>
      <c r="U2090" s="11"/>
      <c r="V2090" s="11"/>
      <c r="W2090" s="11"/>
      <c r="X2090" s="11"/>
      <c r="Y2090" s="11"/>
      <c r="Z2090" s="11"/>
    </row>
    <row r="2091" customHeight="1" spans="1:26">
      <c r="A2091" s="11" t="str">
        <f>IFERROR(__xludf.DUMMYFUNCTION("""COMPUTED_VALUE"""),"PATRICIA CARLA U C VASCONCELOS")</f>
        <v>PATRICIA CARLA U C VASCONCELOS</v>
      </c>
      <c r="B2091" s="11"/>
      <c r="C2091" s="11"/>
      <c r="D2091" s="11" t="str">
        <f>IFERROR(__xludf.DUMMYFUNCTION("""COMPUTED_VALUE"""),"PEDIATRIA")</f>
        <v>PEDIATRIA</v>
      </c>
      <c r="E2091" s="11"/>
      <c r="F2091" s="11" t="str">
        <f>IFERROR(__xludf.DUMMYFUNCTION("""COMPUTED_VALUE"""),"BLOQUEIO DE PAGAMENTO - EM EFETIVO EXERCICIO")</f>
        <v>BLOQUEIO DE PAGAMENTO - EM EFETIVO EXERCICIO</v>
      </c>
      <c r="G2091" s="11" t="str">
        <f>IFERROR(__xludf.DUMMYFUNCTION("""COMPUTED_VALUE"""),"BLOQUEIO DE PAGAMENTO - EM EFETIVO EXERCICIO")</f>
        <v>BLOQUEIO DE PAGAMENTO - EM EFETIVO EXERCICIO</v>
      </c>
      <c r="H2091" s="11"/>
      <c r="I2091" s="11"/>
      <c r="J2091" s="11"/>
      <c r="K2091" s="11"/>
      <c r="L2091" s="11"/>
      <c r="M2091" s="11"/>
      <c r="N2091" s="11"/>
      <c r="O2091" s="11">
        <f>IFERROR(__xludf.DUMMYFUNCTION("""COMPUTED_VALUE"""),62113534487)</f>
        <v>62113534487</v>
      </c>
      <c r="P2091" s="11"/>
      <c r="Q2091" s="11"/>
      <c r="R2091" s="11"/>
      <c r="S2091" s="11"/>
      <c r="T2091" s="11"/>
      <c r="U2091" s="11"/>
      <c r="V2091" s="11"/>
      <c r="W2091" s="11"/>
      <c r="X2091" s="11"/>
      <c r="Y2091" s="11"/>
      <c r="Z2091" s="11"/>
    </row>
    <row r="2092" customHeight="1" spans="1:26">
      <c r="A2092" s="11" t="str">
        <f>IFERROR(__xludf.DUMMYFUNCTION("""COMPUTED_VALUE"""),"ANE GLEICE W DOS SANTOS SILVA")</f>
        <v>ANE GLEICE W DOS SANTOS SILVA</v>
      </c>
      <c r="B2092" s="11"/>
      <c r="C2092" s="11"/>
      <c r="D2092" s="11" t="str">
        <f>IFERROR(__xludf.DUMMYFUNCTION("""COMPUTED_VALUE"""),"NEUROLOGIA PEDIATRICA")</f>
        <v>NEUROLOGIA PEDIATRICA</v>
      </c>
      <c r="E2092" s="11"/>
      <c r="F2092" s="11" t="str">
        <f>IFERROR(__xludf.DUMMYFUNCTION("""COMPUTED_VALUE"""),"BLOQUEIO DE PAGAMENTO - EM EFETIVO EXERCICIO")</f>
        <v>BLOQUEIO DE PAGAMENTO - EM EFETIVO EXERCICIO</v>
      </c>
      <c r="G2092" s="11" t="str">
        <f>IFERROR(__xludf.DUMMYFUNCTION("""COMPUTED_VALUE"""),"BLOQUEIO DE PAGAMENTO - EM EFETIVO EXERCICIO")</f>
        <v>BLOQUEIO DE PAGAMENTO - EM EFETIVO EXERCICIO</v>
      </c>
      <c r="H2092" s="11"/>
      <c r="I2092" s="11"/>
      <c r="J2092" s="11"/>
      <c r="K2092" s="11"/>
      <c r="L2092" s="11"/>
      <c r="M2092" s="11"/>
      <c r="N2092" s="11"/>
      <c r="O2092" s="11">
        <f>IFERROR(__xludf.DUMMYFUNCTION("""COMPUTED_VALUE"""),66796512472)</f>
        <v>66796512472</v>
      </c>
      <c r="P2092" s="11"/>
      <c r="Q2092" s="11"/>
      <c r="R2092" s="11"/>
      <c r="S2092" s="11"/>
      <c r="T2092" s="11"/>
      <c r="U2092" s="11"/>
      <c r="V2092" s="11"/>
      <c r="W2092" s="11"/>
      <c r="X2092" s="11"/>
      <c r="Y2092" s="11"/>
      <c r="Z2092" s="11"/>
    </row>
    <row r="2093" customHeight="1" spans="1:26">
      <c r="A2093" s="11" t="str">
        <f>IFERROR(__xludf.DUMMYFUNCTION("""COMPUTED_VALUE"""),"CARLA NOVAES CARVALHO")</f>
        <v>CARLA NOVAES CARVALHO</v>
      </c>
      <c r="B2093" s="11"/>
      <c r="C2093" s="11"/>
      <c r="D2093" s="11" t="str">
        <f>IFERROR(__xludf.DUMMYFUNCTION("""COMPUTED_VALUE"""),"PSIQUIATRIA")</f>
        <v>PSIQUIATRIA</v>
      </c>
      <c r="E2093" s="11"/>
      <c r="F2093" s="11" t="str">
        <f>IFERROR(__xludf.DUMMYFUNCTION("""COMPUTED_VALUE"""),"US_319 CAPS ESPACO AZUL")</f>
        <v>US_319 CAPS ESPACO AZUL</v>
      </c>
      <c r="G2093" s="11" t="str">
        <f>IFERROR(__xludf.DUMMYFUNCTION("""COMPUTED_VALUE"""),"US_319 CAPS ESPACO AZUL")</f>
        <v>US_319 CAPS ESPACO AZUL</v>
      </c>
      <c r="H2093" s="11"/>
      <c r="I2093" s="11"/>
      <c r="J2093" s="11"/>
      <c r="K2093" s="11"/>
      <c r="L2093" s="11"/>
      <c r="M2093" s="11"/>
      <c r="N2093" s="30" t="str">
        <f>IFERROR(__xludf.DUMMYFUNCTION("""COMPUTED_VALUE"""),"carlancarvalho@yahoo.com.br")</f>
        <v>carlancarvalho@yahoo.com.br</v>
      </c>
      <c r="O2093" s="11">
        <f>IFERROR(__xludf.DUMMYFUNCTION("""COMPUTED_VALUE"""),83234926468)</f>
        <v>83234926468</v>
      </c>
      <c r="P2093" s="11"/>
      <c r="Q2093" s="11"/>
      <c r="R2093" s="11"/>
      <c r="S2093" s="11"/>
      <c r="T2093" s="11"/>
      <c r="U2093" s="11"/>
      <c r="V2093" s="11"/>
      <c r="W2093" s="11"/>
      <c r="X2093" s="11"/>
      <c r="Y2093" s="11"/>
      <c r="Z2093" s="11"/>
    </row>
    <row r="2094" customHeight="1" spans="1:26">
      <c r="A2094" s="11" t="str">
        <f>IFERROR(__xludf.DUMMYFUNCTION("""COMPUTED_VALUE"""),"EDSON CESAR C DA SILVA")</f>
        <v>EDSON CESAR C DA SILVA</v>
      </c>
      <c r="B2094" s="11"/>
      <c r="C2094" s="11"/>
      <c r="D2094" s="11" t="str">
        <f>IFERROR(__xludf.DUMMYFUNCTION("""COMPUTED_VALUE"""),"PSIQUIATRIA")</f>
        <v>PSIQUIATRIA</v>
      </c>
      <c r="E2094" s="11"/>
      <c r="F2094" s="11" t="str">
        <f>IFERROR(__xludf.DUMMYFUNCTION("""COMPUTED_VALUE"""),"US_304 CAPS DAVID CAPISTRANO")</f>
        <v>US_304 CAPS DAVID CAPISTRANO</v>
      </c>
      <c r="G2094" s="11" t="str">
        <f>IFERROR(__xludf.DUMMYFUNCTION("""COMPUTED_VALUE"""),"US_304 CAPS DAVID CAPISTRANO")</f>
        <v>US_304 CAPS DAVID CAPISTRANO</v>
      </c>
      <c r="H2094" s="11"/>
      <c r="I2094" s="11"/>
      <c r="J2094" s="11"/>
      <c r="K2094" s="11"/>
      <c r="L2094" s="11"/>
      <c r="M2094" s="11"/>
      <c r="N2094" s="30" t="str">
        <f>IFERROR(__xludf.DUMMYFUNCTION("""COMPUTED_VALUE"""),"ecesar@ig.com.br                                       ")</f>
        <v>ecesar@ig.com.br                                       </v>
      </c>
      <c r="O2094" s="11">
        <f>IFERROR(__xludf.DUMMYFUNCTION("""COMPUTED_VALUE"""),781663490)</f>
        <v>781663490</v>
      </c>
      <c r="P2094" s="11"/>
      <c r="Q2094" s="11"/>
      <c r="R2094" s="11"/>
      <c r="S2094" s="11"/>
      <c r="T2094" s="11"/>
      <c r="U2094" s="11"/>
      <c r="V2094" s="11"/>
      <c r="W2094" s="11"/>
      <c r="X2094" s="11"/>
      <c r="Y2094" s="11"/>
      <c r="Z2094" s="11"/>
    </row>
    <row r="2095" customHeight="1" spans="1:26">
      <c r="A2095" s="11" t="str">
        <f>IFERROR(__xludf.DUMMYFUNCTION("""COMPUTED_VALUE"""),"MARTA GOUVEIA RAMOS")</f>
        <v>MARTA GOUVEIA RAMOS</v>
      </c>
      <c r="B2095" s="11"/>
      <c r="C2095" s="11"/>
      <c r="D2095" s="11" t="str">
        <f>IFERROR(__xludf.DUMMYFUNCTION("""COMPUTED_VALUE"""),"PSIQUIATRIA")</f>
        <v>PSIQUIATRIA</v>
      </c>
      <c r="E2095" s="11"/>
      <c r="F2095" s="11" t="str">
        <f>IFERROR(__xludf.DUMMYFUNCTION("""COMPUTED_VALUE"""),"US_319 CAPS ESPACO AZUL")</f>
        <v>US_319 CAPS ESPACO AZUL</v>
      </c>
      <c r="G2095" s="11" t="str">
        <f>IFERROR(__xludf.DUMMYFUNCTION("""COMPUTED_VALUE"""),"US_319 CAPS ESPACO AZUL")</f>
        <v>US_319 CAPS ESPACO AZUL</v>
      </c>
      <c r="H2095" s="11"/>
      <c r="I2095" s="11"/>
      <c r="J2095" s="11"/>
      <c r="K2095" s="11"/>
      <c r="L2095" s="11"/>
      <c r="M2095" s="11"/>
      <c r="N2095" s="30" t="str">
        <f>IFERROR(__xludf.DUMMYFUNCTION("""COMPUTED_VALUE"""),"martagouveiarr@hotmail.com")</f>
        <v>martagouveiarr@hotmail.com</v>
      </c>
      <c r="O2095" s="11">
        <f>IFERROR(__xludf.DUMMYFUNCTION("""COMPUTED_VALUE"""),62146807415)</f>
        <v>62146807415</v>
      </c>
      <c r="P2095" s="11"/>
      <c r="Q2095" s="11"/>
      <c r="R2095" s="11"/>
      <c r="S2095" s="11"/>
      <c r="T2095" s="11"/>
      <c r="U2095" s="11"/>
      <c r="V2095" s="11"/>
      <c r="W2095" s="11"/>
      <c r="X2095" s="11"/>
      <c r="Y2095" s="11"/>
      <c r="Z2095" s="11"/>
    </row>
    <row r="2096" customHeight="1" spans="1:26">
      <c r="A2096" s="11" t="str">
        <f>IFERROR(__xludf.DUMMYFUNCTION("""COMPUTED_VALUE"""),"REINALDO BARROS DE MENDONCA")</f>
        <v>REINALDO BARROS DE MENDONCA</v>
      </c>
      <c r="B2096" s="11"/>
      <c r="C2096" s="11"/>
      <c r="D2096" s="11" t="str">
        <f>IFERROR(__xludf.DUMMYFUNCTION("""COMPUTED_VALUE"""),"PSIQUIATRIA")</f>
        <v>PSIQUIATRIA</v>
      </c>
      <c r="E2096" s="11"/>
      <c r="F2096" s="11" t="str">
        <f>IFERROR(__xludf.DUMMYFUNCTION("""COMPUTED_VALUE"""),"US_319 CAPS ESPACO AZUL")</f>
        <v>US_319 CAPS ESPACO AZUL</v>
      </c>
      <c r="G2096" s="11" t="str">
        <f>IFERROR(__xludf.DUMMYFUNCTION("""COMPUTED_VALUE"""),"US_319 CAPS ESPACO AZUL")</f>
        <v>US_319 CAPS ESPACO AZUL</v>
      </c>
      <c r="H2096" s="11"/>
      <c r="I2096" s="11"/>
      <c r="J2096" s="11"/>
      <c r="K2096" s="11"/>
      <c r="L2096" s="11"/>
      <c r="M2096" s="11"/>
      <c r="N2096" s="30" t="str">
        <f>IFERROR(__xludf.DUMMYFUNCTION("""COMPUTED_VALUE"""),"REINALDO.MEN@HOTMAIL.COM")</f>
        <v>REINALDO.MEN@HOTMAIL.COM</v>
      </c>
      <c r="O2096" s="11">
        <f>IFERROR(__xludf.DUMMYFUNCTION("""COMPUTED_VALUE"""),13857584491)</f>
        <v>13857584491</v>
      </c>
      <c r="P2096" s="11"/>
      <c r="Q2096" s="11"/>
      <c r="R2096" s="11"/>
      <c r="S2096" s="11"/>
      <c r="T2096" s="11"/>
      <c r="U2096" s="11"/>
      <c r="V2096" s="11"/>
      <c r="W2096" s="11"/>
      <c r="X2096" s="11"/>
      <c r="Y2096" s="11"/>
      <c r="Z2096" s="11"/>
    </row>
    <row r="2097" customHeight="1" spans="1:26">
      <c r="A2097" s="11" t="str">
        <f>IFERROR(__xludf.DUMMYFUNCTION("""COMPUTED_VALUE"""),"ROMULO GOMES DE M DE MESQUITA")</f>
        <v>ROMULO GOMES DE M DE MESQUITA</v>
      </c>
      <c r="B2097" s="11"/>
      <c r="C2097" s="11"/>
      <c r="D2097" s="11" t="str">
        <f>IFERROR(__xludf.DUMMYFUNCTION("""COMPUTED_VALUE"""),"CLINICA GERAL")</f>
        <v>CLINICA GERAL</v>
      </c>
      <c r="E2097" s="11"/>
      <c r="F2097" s="11" t="str">
        <f>IFERROR(__xludf.DUMMYFUNCTION("""COMPUTED_VALUE"""),"US_318 CAPS CPTRA CENTRO DE PREV TRAT E REAB DE ALCOOLISMO")</f>
        <v>US_318 CAPS CPTRA CENTRO DE PREV TRAT E REAB DE ALCOOLISMO</v>
      </c>
      <c r="G2097" s="11" t="str">
        <f>IFERROR(__xludf.DUMMYFUNCTION("""COMPUTED_VALUE"""),"US_318 CAPS CPTRA CENTRO DE PREV TRAT E REAB DE ALCOOLISMO")</f>
        <v>US_318 CAPS CPTRA CENTRO DE PREV TRAT E REAB DE ALCOOLISMO</v>
      </c>
      <c r="H2097" s="11"/>
      <c r="I2097" s="11"/>
      <c r="J2097" s="11"/>
      <c r="K2097" s="11"/>
      <c r="L2097" s="11"/>
      <c r="M2097" s="11"/>
      <c r="N2097" s="11"/>
      <c r="O2097" s="11">
        <f>IFERROR(__xludf.DUMMYFUNCTION("""COMPUTED_VALUE"""),29137233491)</f>
        <v>29137233491</v>
      </c>
      <c r="P2097" s="11"/>
      <c r="Q2097" s="11"/>
      <c r="R2097" s="11"/>
      <c r="S2097" s="11"/>
      <c r="T2097" s="11"/>
      <c r="U2097" s="11"/>
      <c r="V2097" s="11"/>
      <c r="W2097" s="11"/>
      <c r="X2097" s="11"/>
      <c r="Y2097" s="11"/>
      <c r="Z2097" s="11"/>
    </row>
    <row r="2098" customHeight="1" spans="1:26">
      <c r="A2098" s="11" t="str">
        <f>IFERROR(__xludf.DUMMYFUNCTION("""COMPUTED_VALUE"""),"MARIA DO SOCORRO B AMORIM")</f>
        <v>MARIA DO SOCORRO B AMORIM</v>
      </c>
      <c r="B2098" s="11"/>
      <c r="C2098" s="11"/>
      <c r="D2098" s="11" t="str">
        <f>IFERROR(__xludf.DUMMYFUNCTION("""COMPUTED_VALUE"""),"PSIQUIATRIA")</f>
        <v>PSIQUIATRIA</v>
      </c>
      <c r="E2098" s="11"/>
      <c r="F2098" s="11" t="str">
        <f>IFERROR(__xludf.DUMMYFUNCTION("""COMPUTED_VALUE"""),"US_343 CAPS CEMPI CENTRO MEDICO PSICO PEDAGOGICO INFANTIL")</f>
        <v>US_343 CAPS CEMPI CENTRO MEDICO PSICO PEDAGOGICO INFANTIL</v>
      </c>
      <c r="G2098" s="11" t="str">
        <f>IFERROR(__xludf.DUMMYFUNCTION("""COMPUTED_VALUE"""),"US_343 CAPS CEMPI CENTRO MEDICO PSICO PEDAGOGICO INFANTIL")</f>
        <v>US_343 CAPS CEMPI CENTRO MEDICO PSICO PEDAGOGICO INFANTIL</v>
      </c>
      <c r="H2098" s="11"/>
      <c r="I2098" s="11"/>
      <c r="J2098" s="11"/>
      <c r="K2098" s="11"/>
      <c r="L2098" s="11"/>
      <c r="M2098" s="11"/>
      <c r="N2098" s="30" t="str">
        <f>IFERROR(__xludf.DUMMYFUNCTION("""COMPUTED_VALUE"""),"SOCORROBAMORIM@HOTMAIL.COM")</f>
        <v>SOCORROBAMORIM@HOTMAIL.COM</v>
      </c>
      <c r="O2098" s="11">
        <f>IFERROR(__xludf.DUMMYFUNCTION("""COMPUTED_VALUE"""),16847113472)</f>
        <v>16847113472</v>
      </c>
      <c r="P2098" s="11"/>
      <c r="Q2098" s="11"/>
      <c r="R2098" s="11"/>
      <c r="S2098" s="11"/>
      <c r="T2098" s="11"/>
      <c r="U2098" s="11"/>
      <c r="V2098" s="11"/>
      <c r="W2098" s="11"/>
      <c r="X2098" s="11"/>
      <c r="Y2098" s="11"/>
      <c r="Z2098" s="11"/>
    </row>
    <row r="2099" customHeight="1" spans="1:26">
      <c r="A2099" s="11" t="str">
        <f>IFERROR(__xludf.DUMMYFUNCTION("""COMPUTED_VALUE"""),"MYRIAN PIMENTEL DE M G PONTES")</f>
        <v>MYRIAN PIMENTEL DE M G PONTES</v>
      </c>
      <c r="B2099" s="11"/>
      <c r="C2099" s="11"/>
      <c r="D2099" s="11" t="str">
        <f>IFERROR(__xludf.DUMMYFUNCTION("""COMPUTED_VALUE"""),"PSIQUIATRIA")</f>
        <v>PSIQUIATRIA</v>
      </c>
      <c r="E2099" s="11"/>
      <c r="F2099" s="11" t="str">
        <f>IFERROR(__xludf.DUMMYFUNCTION("""COMPUTED_VALUE"""),"US_340 CAPS CLEA LACET")</f>
        <v>US_340 CAPS CLEA LACET</v>
      </c>
      <c r="G2099" s="11" t="str">
        <f>IFERROR(__xludf.DUMMYFUNCTION("""COMPUTED_VALUE"""),"US_340 CAPS CLEA LACET")</f>
        <v>US_340 CAPS CLEA LACET</v>
      </c>
      <c r="H2099" s="11"/>
      <c r="I2099" s="11"/>
      <c r="J2099" s="11"/>
      <c r="K2099" s="11"/>
      <c r="L2099" s="11"/>
      <c r="M2099" s="11"/>
      <c r="N2099" s="30" t="str">
        <f>IFERROR(__xludf.DUMMYFUNCTION("""COMPUTED_VALUE"""),"PIMENTELPONTES@GMAIL.COM")</f>
        <v>PIMENTELPONTES@GMAIL.COM</v>
      </c>
      <c r="O2099" s="11">
        <f>IFERROR(__xludf.DUMMYFUNCTION("""COMPUTED_VALUE"""),14860210425)</f>
        <v>14860210425</v>
      </c>
      <c r="P2099" s="11"/>
      <c r="Q2099" s="11"/>
      <c r="R2099" s="11"/>
      <c r="S2099" s="11"/>
      <c r="T2099" s="11"/>
      <c r="U2099" s="11"/>
      <c r="V2099" s="11"/>
      <c r="W2099" s="11"/>
      <c r="X2099" s="11"/>
      <c r="Y2099" s="11"/>
      <c r="Z2099" s="11"/>
    </row>
    <row r="2100" customHeight="1" spans="1:26">
      <c r="A2100" s="11" t="str">
        <f>IFERROR(__xludf.DUMMYFUNCTION("""COMPUTED_VALUE"""),"JOSE ROBERTO DE A CORREIA")</f>
        <v>JOSE ROBERTO DE A CORREIA</v>
      </c>
      <c r="B2100" s="11"/>
      <c r="C2100" s="11"/>
      <c r="D2100" s="11" t="str">
        <f>IFERROR(__xludf.DUMMYFUNCTION("""COMPUTED_VALUE"""),"PSIQUIATRIA")</f>
        <v>PSIQUIATRIA</v>
      </c>
      <c r="E2100" s="11"/>
      <c r="F2100" s="11" t="str">
        <f>IFERROR(__xludf.DUMMYFUNCTION("""COMPUTED_VALUE"""),"US_343 CAPS CEMPI CENTRO MEDICO PSICO PEDAGOGICO INFANTIL")</f>
        <v>US_343 CAPS CEMPI CENTRO MEDICO PSICO PEDAGOGICO INFANTIL</v>
      </c>
      <c r="G2100" s="11" t="str">
        <f>IFERROR(__xludf.DUMMYFUNCTION("""COMPUTED_VALUE"""),"US_343 CAPS CEMPI CENTRO MEDICO PSICO PEDAGOGICO INFANTIL")</f>
        <v>US_343 CAPS CEMPI CENTRO MEDICO PSICO PEDAGOGICO INFANTIL</v>
      </c>
      <c r="H2100" s="11"/>
      <c r="I2100" s="11"/>
      <c r="J2100" s="11"/>
      <c r="K2100" s="11"/>
      <c r="L2100" s="11"/>
      <c r="M2100" s="11"/>
      <c r="N2100" s="30" t="str">
        <f>IFERROR(__xludf.DUMMYFUNCTION("""COMPUTED_VALUE"""),"jrdeacorreia@gmail.com")</f>
        <v>jrdeacorreia@gmail.com</v>
      </c>
      <c r="O2100" s="11">
        <f>IFERROR(__xludf.DUMMYFUNCTION("""COMPUTED_VALUE"""),10245502491)</f>
        <v>10245502491</v>
      </c>
      <c r="P2100" s="11"/>
      <c r="Q2100" s="11"/>
      <c r="R2100" s="11"/>
      <c r="S2100" s="11"/>
      <c r="T2100" s="11"/>
      <c r="U2100" s="11"/>
      <c r="V2100" s="11"/>
      <c r="W2100" s="11"/>
      <c r="X2100" s="11"/>
      <c r="Y2100" s="11"/>
      <c r="Z2100" s="11"/>
    </row>
    <row r="2101" customHeight="1" spans="1:26">
      <c r="A2101" s="11" t="str">
        <f>IFERROR(__xludf.DUMMYFUNCTION("""COMPUTED_VALUE"""),"ADRIANA MARIA S C V HECKSHER")</f>
        <v>ADRIANA MARIA S C V HECKSHER</v>
      </c>
      <c r="B2101" s="11"/>
      <c r="C2101" s="11"/>
      <c r="D2101" s="11" t="str">
        <f>IFERROR(__xludf.DUMMYFUNCTION("""COMPUTED_VALUE"""),"CLINICA GERAL")</f>
        <v>CLINICA GERAL</v>
      </c>
      <c r="E2101" s="11"/>
      <c r="F2101" s="11" t="str">
        <f>IFERROR(__xludf.DUMMYFUNCTION("""COMPUTED_VALUE"""),"US_335 CAPS AD ESTACAO VICENTE ARAUJO")</f>
        <v>US_335 CAPS AD ESTACAO VICENTE ARAUJO</v>
      </c>
      <c r="G2101" s="11" t="str">
        <f>IFERROR(__xludf.DUMMYFUNCTION("""COMPUTED_VALUE"""),"US_335 CAPS AD ESTACAO VICENTE ARAUJO")</f>
        <v>US_335 CAPS AD ESTACAO VICENTE ARAUJO</v>
      </c>
      <c r="H2101" s="11"/>
      <c r="I2101" s="11"/>
      <c r="J2101" s="11"/>
      <c r="K2101" s="11"/>
      <c r="L2101" s="11"/>
      <c r="M2101" s="11"/>
      <c r="N2101" s="30" t="str">
        <f>IFERROR(__xludf.DUMMYFUNCTION("""COMPUTED_VALUE"""),"adrianahecksher@hotmail.com                            ")</f>
        <v>adrianahecksher@hotmail.com                            </v>
      </c>
      <c r="O2101" s="11">
        <f>IFERROR(__xludf.DUMMYFUNCTION("""COMPUTED_VALUE"""),88134849415)</f>
        <v>88134849415</v>
      </c>
      <c r="P2101" s="11"/>
      <c r="Q2101" s="11"/>
      <c r="R2101" s="11"/>
      <c r="S2101" s="11"/>
      <c r="T2101" s="11"/>
      <c r="U2101" s="11"/>
      <c r="V2101" s="11"/>
      <c r="W2101" s="11"/>
      <c r="X2101" s="11"/>
      <c r="Y2101" s="11"/>
      <c r="Z2101" s="11"/>
    </row>
    <row r="2102" customHeight="1" spans="1:26">
      <c r="A2102" s="11" t="str">
        <f>IFERROR(__xludf.DUMMYFUNCTION("""COMPUTED_VALUE"""),"RUTH BONOW THEIL")</f>
        <v>RUTH BONOW THEIL</v>
      </c>
      <c r="B2102" s="11"/>
      <c r="C2102" s="11"/>
      <c r="D2102" s="11" t="str">
        <f>IFERROR(__xludf.DUMMYFUNCTION("""COMPUTED_VALUE"""),"PSIQUIATRIA")</f>
        <v>PSIQUIATRIA</v>
      </c>
      <c r="E2102" s="11"/>
      <c r="F2102" s="11" t="str">
        <f>IFERROR(__xludf.DUMMYFUNCTION("""COMPUTED_VALUE"""),"US_310 CAPS AD PROF JOSE LUCENA")</f>
        <v>US_310 CAPS AD PROF JOSE LUCENA</v>
      </c>
      <c r="G2102" s="11" t="str">
        <f>IFERROR(__xludf.DUMMYFUNCTION("""COMPUTED_VALUE"""),"US_310 CAPS AD PROF JOSE LUCENA")</f>
        <v>US_310 CAPS AD PROF JOSE LUCENA</v>
      </c>
      <c r="H2102" s="11"/>
      <c r="I2102" s="11"/>
      <c r="J2102" s="11"/>
      <c r="K2102" s="11"/>
      <c r="L2102" s="11"/>
      <c r="M2102" s="11"/>
      <c r="N2102" s="30" t="str">
        <f>IFERROR(__xludf.DUMMYFUNCTION("""COMPUTED_VALUE"""),"RUTHBONOW@GMAIL.COM")</f>
        <v>RUTHBONOW@GMAIL.COM</v>
      </c>
      <c r="O2102" s="11">
        <f>IFERROR(__xludf.DUMMYFUNCTION("""COMPUTED_VALUE"""),46667075068)</f>
        <v>46667075068</v>
      </c>
      <c r="P2102" s="11"/>
      <c r="Q2102" s="11"/>
      <c r="R2102" s="11"/>
      <c r="S2102" s="11"/>
      <c r="T2102" s="11"/>
      <c r="U2102" s="11"/>
      <c r="V2102" s="11"/>
      <c r="W2102" s="11"/>
      <c r="X2102" s="11"/>
      <c r="Y2102" s="11"/>
      <c r="Z2102" s="11"/>
    </row>
    <row r="2103" customHeight="1" spans="1:26">
      <c r="A2103" s="11" t="str">
        <f>IFERROR(__xludf.DUMMYFUNCTION("""COMPUTED_VALUE"""),"VERONICA DE O DIAS P CARREIRO")</f>
        <v>VERONICA DE O DIAS P CARREIRO</v>
      </c>
      <c r="B2103" s="11"/>
      <c r="C2103" s="11"/>
      <c r="D2103" s="11" t="str">
        <f>IFERROR(__xludf.DUMMYFUNCTION("""COMPUTED_VALUE"""),"PSIQUIATRIA")</f>
        <v>PSIQUIATRIA</v>
      </c>
      <c r="E2103" s="11"/>
      <c r="F2103" s="11" t="str">
        <f>IFERROR(__xludf.DUMMYFUNCTION("""COMPUTED_VALUE"""),"US_304 CAPS DAVID CAPISTRANO")</f>
        <v>US_304 CAPS DAVID CAPISTRANO</v>
      </c>
      <c r="G2103" s="11" t="str">
        <f>IFERROR(__xludf.DUMMYFUNCTION("""COMPUTED_VALUE"""),"US_304 CAPS DAVID CAPISTRANO")</f>
        <v>US_304 CAPS DAVID CAPISTRANO</v>
      </c>
      <c r="H2103" s="11"/>
      <c r="I2103" s="11"/>
      <c r="J2103" s="11"/>
      <c r="K2103" s="11"/>
      <c r="L2103" s="11"/>
      <c r="M2103" s="11"/>
      <c r="N2103" s="30" t="str">
        <f>IFERROR(__xludf.DUMMYFUNCTION("""COMPUTED_VALUE"""),"veronicacarreiro@yahoo.com.br                          ")</f>
        <v>veronicacarreiro@yahoo.com.br                          </v>
      </c>
      <c r="O2103" s="11">
        <f>IFERROR(__xludf.DUMMYFUNCTION("""COMPUTED_VALUE"""),2631779479)</f>
        <v>2631779479</v>
      </c>
      <c r="P2103" s="11"/>
      <c r="Q2103" s="11"/>
      <c r="R2103" s="11"/>
      <c r="S2103" s="11"/>
      <c r="T2103" s="11"/>
      <c r="U2103" s="11"/>
      <c r="V2103" s="11"/>
      <c r="W2103" s="11"/>
      <c r="X2103" s="11"/>
      <c r="Y2103" s="11"/>
      <c r="Z2103" s="11"/>
    </row>
    <row r="2104" customHeight="1" spans="1:26">
      <c r="A2104" s="11" t="str">
        <f>IFERROR(__xludf.DUMMYFUNCTION("""COMPUTED_VALUE"""),"JULIANA DE OLIVEIRA C DA CUNHA")</f>
        <v>JULIANA DE OLIVEIRA C DA CUNHA</v>
      </c>
      <c r="B2104" s="11"/>
      <c r="C2104" s="11"/>
      <c r="D2104" s="11" t="str">
        <f>IFERROR(__xludf.DUMMYFUNCTION("""COMPUTED_VALUE"""),"PSIQUIATRIA")</f>
        <v>PSIQUIATRIA</v>
      </c>
      <c r="E2104" s="11"/>
      <c r="F2104" s="11" t="str">
        <f>IFERROR(__xludf.DUMMYFUNCTION("""COMPUTED_VALUE"""),"US_277 CAPS ESPERANCA")</f>
        <v>US_277 CAPS ESPERANCA</v>
      </c>
      <c r="G2104" s="11" t="str">
        <f>IFERROR(__xludf.DUMMYFUNCTION("""COMPUTED_VALUE"""),"US_277 CAPS ESPERANCA")</f>
        <v>US_277 CAPS ESPERANCA</v>
      </c>
      <c r="H2104" s="11"/>
      <c r="I2104" s="11"/>
      <c r="J2104" s="11"/>
      <c r="K2104" s="11"/>
      <c r="L2104" s="11"/>
      <c r="M2104" s="11"/>
      <c r="N2104" s="30" t="str">
        <f>IFERROR(__xludf.DUMMYFUNCTION("""COMPUTED_VALUE"""),"julianaocc@gmail.com                                   ")</f>
        <v>julianaocc@gmail.com                                   </v>
      </c>
      <c r="O2104" s="11">
        <f>IFERROR(__xludf.DUMMYFUNCTION("""COMPUTED_VALUE"""),2445813476)</f>
        <v>2445813476</v>
      </c>
      <c r="P2104" s="11"/>
      <c r="Q2104" s="11"/>
      <c r="R2104" s="11"/>
      <c r="S2104" s="11"/>
      <c r="T2104" s="11"/>
      <c r="U2104" s="11"/>
      <c r="V2104" s="11"/>
      <c r="W2104" s="11"/>
      <c r="X2104" s="11"/>
      <c r="Y2104" s="11"/>
      <c r="Z2104" s="11"/>
    </row>
    <row r="2105" customHeight="1" spans="1:26">
      <c r="A2105" s="11" t="str">
        <f>IFERROR(__xludf.DUMMYFUNCTION("""COMPUTED_VALUE"""),"LUCIANA C M DOS SANTOS")</f>
        <v>LUCIANA C M DOS SANTOS</v>
      </c>
      <c r="B2105" s="11"/>
      <c r="C2105" s="11"/>
      <c r="D2105" s="11" t="str">
        <f>IFERROR(__xludf.DUMMYFUNCTION("""COMPUTED_VALUE"""),"PSIQUIATRIA")</f>
        <v>PSIQUIATRIA</v>
      </c>
      <c r="E2105" s="11"/>
      <c r="F2105" s="11" t="str">
        <f>IFERROR(__xludf.DUMMYFUNCTION("""COMPUTED_VALUE"""),"US_318 CAPS CPTRA CENTRO DE PREV TRAT E REAB DE ALCOOLISMO")</f>
        <v>US_318 CAPS CPTRA CENTRO DE PREV TRAT E REAB DE ALCOOLISMO</v>
      </c>
      <c r="G2105" s="11" t="str">
        <f>IFERROR(__xludf.DUMMYFUNCTION("""COMPUTED_VALUE"""),"US_318 CAPS CPTRA CENTRO DE PREV TRAT E REAB DE ALCOOLISMO")</f>
        <v>US_318 CAPS CPTRA CENTRO DE PREV TRAT E REAB DE ALCOOLISMO</v>
      </c>
      <c r="H2105" s="11"/>
      <c r="I2105" s="11"/>
      <c r="J2105" s="11"/>
      <c r="K2105" s="11"/>
      <c r="L2105" s="11"/>
      <c r="M2105" s="11"/>
      <c r="N2105" s="11"/>
      <c r="O2105" s="11">
        <f>IFERROR(__xludf.DUMMYFUNCTION("""COMPUTED_VALUE"""),2957976498)</f>
        <v>2957976498</v>
      </c>
      <c r="P2105" s="11"/>
      <c r="Q2105" s="11"/>
      <c r="R2105" s="11"/>
      <c r="S2105" s="11"/>
      <c r="T2105" s="11"/>
      <c r="U2105" s="11"/>
      <c r="V2105" s="11"/>
      <c r="W2105" s="11"/>
      <c r="X2105" s="11"/>
      <c r="Y2105" s="11"/>
      <c r="Z2105" s="11"/>
    </row>
    <row r="2106" customHeight="1" spans="1:26">
      <c r="A2106" s="11" t="str">
        <f>IFERROR(__xludf.DUMMYFUNCTION("""COMPUTED_VALUE"""),"JEOVAH CANDIDO DE SOUZA")</f>
        <v>JEOVAH CANDIDO DE SOUZA</v>
      </c>
      <c r="B2106" s="11"/>
      <c r="C2106" s="11"/>
      <c r="D2106" s="11" t="str">
        <f>IFERROR(__xludf.DUMMYFUNCTION("""COMPUTED_VALUE"""),"PSIQUIATRIA")</f>
        <v>PSIQUIATRIA</v>
      </c>
      <c r="E2106" s="11"/>
      <c r="F2106" s="11" t="str">
        <f>IFERROR(__xludf.DUMMYFUNCTION("""COMPUTED_VALUE"""),"US_320 CAPS CENTRO EULAMPIO CORDEIRO DE RECUPERACAO HUMANA")</f>
        <v>US_320 CAPS CENTRO EULAMPIO CORDEIRO DE RECUPERACAO HUMANA</v>
      </c>
      <c r="G2106" s="11" t="str">
        <f>IFERROR(__xludf.DUMMYFUNCTION("""COMPUTED_VALUE"""),"US_320 CAPS CENTRO EULAMPIO CORDEIRO DE RECUPERACAO HUMANA")</f>
        <v>US_320 CAPS CENTRO EULAMPIO CORDEIRO DE RECUPERACAO HUMANA</v>
      </c>
      <c r="H2106" s="11"/>
      <c r="I2106" s="11"/>
      <c r="J2106" s="11"/>
      <c r="K2106" s="11"/>
      <c r="L2106" s="11"/>
      <c r="M2106" s="11"/>
      <c r="N2106" s="30" t="str">
        <f>IFERROR(__xludf.DUMMYFUNCTION("""COMPUTED_VALUE"""),"jeosouza@uol.com.br")</f>
        <v>jeosouza@uol.com.br</v>
      </c>
      <c r="O2106" s="11">
        <f>IFERROR(__xludf.DUMMYFUNCTION("""COMPUTED_VALUE"""),18937519453)</f>
        <v>18937519453</v>
      </c>
      <c r="P2106" s="11"/>
      <c r="Q2106" s="11"/>
      <c r="R2106" s="11"/>
      <c r="S2106" s="11"/>
      <c r="T2106" s="11"/>
      <c r="U2106" s="11"/>
      <c r="V2106" s="11"/>
      <c r="W2106" s="11"/>
      <c r="X2106" s="11"/>
      <c r="Y2106" s="11"/>
      <c r="Z2106" s="11"/>
    </row>
    <row r="2107" customHeight="1" spans="1:26">
      <c r="A2107" s="11" t="str">
        <f>IFERROR(__xludf.DUMMYFUNCTION("""COMPUTED_VALUE"""),"MARIA DAS NEVES SILVA")</f>
        <v>MARIA DAS NEVES SILVA</v>
      </c>
      <c r="B2107" s="11"/>
      <c r="C2107" s="11"/>
      <c r="D2107" s="11" t="str">
        <f>IFERROR(__xludf.DUMMYFUNCTION("""COMPUTED_VALUE"""),"PSIQUIATRIA")</f>
        <v>PSIQUIATRIA</v>
      </c>
      <c r="E2107" s="11"/>
      <c r="F2107" s="11" t="str">
        <f>IFERROR(__xludf.DUMMYFUNCTION("""COMPUTED_VALUE"""),"US_303 CAPS AD ESPACO TRAVESSIA RENE RIBEIRO")</f>
        <v>US_303 CAPS AD ESPACO TRAVESSIA RENE RIBEIRO</v>
      </c>
      <c r="G2107" s="11" t="str">
        <f>IFERROR(__xludf.DUMMYFUNCTION("""COMPUTED_VALUE"""),"US_303 CAPS AD ESPACO TRAVESSIA RENE RIBEIRO")</f>
        <v>US_303 CAPS AD ESPACO TRAVESSIA RENE RIBEIRO</v>
      </c>
      <c r="H2107" s="11"/>
      <c r="I2107" s="11"/>
      <c r="J2107" s="11"/>
      <c r="K2107" s="11"/>
      <c r="L2107" s="11"/>
      <c r="M2107" s="11"/>
      <c r="N2107" s="30" t="str">
        <f>IFERROR(__xludf.DUMMYFUNCTION("""COMPUTED_VALUE"""),"dasnevessilvamaria@gmail.com")</f>
        <v>dasnevessilvamaria@gmail.com</v>
      </c>
      <c r="O2107" s="11">
        <f>IFERROR(__xludf.DUMMYFUNCTION("""COMPUTED_VALUE"""),10151508453)</f>
        <v>10151508453</v>
      </c>
      <c r="P2107" s="11"/>
      <c r="Q2107" s="11"/>
      <c r="R2107" s="11"/>
      <c r="S2107" s="11"/>
      <c r="T2107" s="11"/>
      <c r="U2107" s="11"/>
      <c r="V2107" s="11"/>
      <c r="W2107" s="11"/>
      <c r="X2107" s="11"/>
      <c r="Y2107" s="11"/>
      <c r="Z2107" s="11"/>
    </row>
    <row r="2108" customHeight="1" spans="1:26">
      <c r="A2108" s="11" t="str">
        <f>IFERROR(__xludf.DUMMYFUNCTION("""COMPUTED_VALUE"""),"CARLA OLIVEIRA DA SILVA BRAGA")</f>
        <v>CARLA OLIVEIRA DA SILVA BRAGA</v>
      </c>
      <c r="B2108" s="11"/>
      <c r="C2108" s="11"/>
      <c r="D2108" s="11" t="str">
        <f>IFERROR(__xludf.DUMMYFUNCTION("""COMPUTED_VALUE"""),"PSIQUIATRIA")</f>
        <v>PSIQUIATRIA</v>
      </c>
      <c r="E2108" s="11"/>
      <c r="F2108" s="11" t="str">
        <f>IFERROR(__xludf.DUMMYFUNCTION("""COMPUTED_VALUE"""),"US_343 CAPS CEMPI CENTRO MEDICO PSICO PEDAGOGICO INFANTIL")</f>
        <v>US_343 CAPS CEMPI CENTRO MEDICO PSICO PEDAGOGICO INFANTIL</v>
      </c>
      <c r="G2108" s="11" t="str">
        <f>IFERROR(__xludf.DUMMYFUNCTION("""COMPUTED_VALUE"""),"US_343 CAPS CEMPI CENTRO MEDICO PSICO PEDAGOGICO INFANTIL")</f>
        <v>US_343 CAPS CEMPI CENTRO MEDICO PSICO PEDAGOGICO INFANTIL</v>
      </c>
      <c r="H2108" s="11"/>
      <c r="I2108" s="11"/>
      <c r="J2108" s="11"/>
      <c r="K2108" s="11"/>
      <c r="L2108" s="11"/>
      <c r="M2108" s="11"/>
      <c r="N2108" s="30" t="str">
        <f>IFERROR(__xludf.DUMMYFUNCTION("""COMPUTED_VALUE"""),"CARLABRAGA97@HOTMAIL.COM")</f>
        <v>CARLABRAGA97@HOTMAIL.COM</v>
      </c>
      <c r="O2108" s="11">
        <f>IFERROR(__xludf.DUMMYFUNCTION("""COMPUTED_VALUE"""),43488722449)</f>
        <v>43488722449</v>
      </c>
      <c r="P2108" s="11"/>
      <c r="Q2108" s="11"/>
      <c r="R2108" s="11"/>
      <c r="S2108" s="11"/>
      <c r="T2108" s="11"/>
      <c r="U2108" s="11"/>
      <c r="V2108" s="11"/>
      <c r="W2108" s="11"/>
      <c r="X2108" s="11"/>
      <c r="Y2108" s="11"/>
      <c r="Z2108" s="11"/>
    </row>
    <row r="2109" customHeight="1" spans="1:26">
      <c r="A2109" s="11" t="str">
        <f>IFERROR(__xludf.DUMMYFUNCTION("""COMPUTED_VALUE"""),"EDDA HALULI JANO COSTA MACEDO")</f>
        <v>EDDA HALULI JANO COSTA MACEDO</v>
      </c>
      <c r="B2109" s="11"/>
      <c r="C2109" s="11"/>
      <c r="D2109" s="11" t="str">
        <f>IFERROR(__xludf.DUMMYFUNCTION("""COMPUTED_VALUE"""),"CLINICA GERAL")</f>
        <v>CLINICA GERAL</v>
      </c>
      <c r="E2109" s="11"/>
      <c r="F2109" s="11" t="str">
        <f>IFERROR(__xludf.DUMMYFUNCTION("""COMPUTED_VALUE"""),"US_335 CAPS AD ESTACAO VICENTE ARAUJO")</f>
        <v>US_335 CAPS AD ESTACAO VICENTE ARAUJO</v>
      </c>
      <c r="G2109" s="11" t="str">
        <f>IFERROR(__xludf.DUMMYFUNCTION("""COMPUTED_VALUE"""),"US_335 CAPS AD ESTACAO VICENTE ARAUJO")</f>
        <v>US_335 CAPS AD ESTACAO VICENTE ARAUJO</v>
      </c>
      <c r="H2109" s="11"/>
      <c r="I2109" s="11"/>
      <c r="J2109" s="11"/>
      <c r="K2109" s="11"/>
      <c r="L2109" s="11"/>
      <c r="M2109" s="11"/>
      <c r="N2109" s="30" t="str">
        <f>IFERROR(__xludf.DUMMYFUNCTION("""COMPUTED_VALUE"""),"eddacmacedo@gmail.com")</f>
        <v>eddacmacedo@gmail.com</v>
      </c>
      <c r="O2109" s="11">
        <f>IFERROR(__xludf.DUMMYFUNCTION("""COMPUTED_VALUE"""),23158212404)</f>
        <v>23158212404</v>
      </c>
      <c r="P2109" s="11"/>
      <c r="Q2109" s="11"/>
      <c r="R2109" s="11"/>
      <c r="S2109" s="11"/>
      <c r="T2109" s="11"/>
      <c r="U2109" s="11"/>
      <c r="V2109" s="11"/>
      <c r="W2109" s="11"/>
      <c r="X2109" s="11"/>
      <c r="Y2109" s="11"/>
      <c r="Z2109" s="11"/>
    </row>
    <row r="2110" customHeight="1" spans="1:26">
      <c r="A2110" s="11" t="str">
        <f>IFERROR(__xludf.DUMMYFUNCTION("""COMPUTED_VALUE"""),"PAHOLA FERREIRA DA LUZ VALENCA")</f>
        <v>PAHOLA FERREIRA DA LUZ VALENCA</v>
      </c>
      <c r="B2110" s="11"/>
      <c r="C2110" s="11"/>
      <c r="D2110" s="11" t="str">
        <f>IFERROR(__xludf.DUMMYFUNCTION("""COMPUTED_VALUE"""),"PSIQUIATRIA")</f>
        <v>PSIQUIATRIA</v>
      </c>
      <c r="E2110" s="11"/>
      <c r="F2110" s="11" t="str">
        <f>IFERROR(__xludf.DUMMYFUNCTION("""COMPUTED_VALUE"""),"US_348 CAPS BOA VISTA ")</f>
        <v>US_348 CAPS BOA VISTA </v>
      </c>
      <c r="G2110" s="11" t="str">
        <f>IFERROR(__xludf.DUMMYFUNCTION("""COMPUTED_VALUE"""),"US_348 CAPS BOA VISTA ")</f>
        <v>US_348 CAPS BOA VISTA </v>
      </c>
      <c r="H2110" s="11"/>
      <c r="I2110" s="11"/>
      <c r="J2110" s="11"/>
      <c r="K2110" s="11"/>
      <c r="L2110" s="11"/>
      <c r="M2110" s="11"/>
      <c r="N2110" s="30" t="str">
        <f>IFERROR(__xludf.DUMMYFUNCTION("""COMPUTED_VALUE"""),"paholaluz@hotmail.com")</f>
        <v>paholaluz@hotmail.com</v>
      </c>
      <c r="O2110" s="11">
        <f>IFERROR(__xludf.DUMMYFUNCTION("""COMPUTED_VALUE"""),3760810403)</f>
        <v>3760810403</v>
      </c>
      <c r="P2110" s="11"/>
      <c r="Q2110" s="11"/>
      <c r="R2110" s="11"/>
      <c r="S2110" s="11"/>
      <c r="T2110" s="11"/>
      <c r="U2110" s="11"/>
      <c r="V2110" s="11"/>
      <c r="W2110" s="11"/>
      <c r="X2110" s="11"/>
      <c r="Y2110" s="11"/>
      <c r="Z2110" s="11"/>
    </row>
    <row r="2111" customHeight="1" spans="1:26">
      <c r="A2111" s="11" t="str">
        <f>IFERROR(__xludf.DUMMYFUNCTION("""COMPUTED_VALUE"""),"SILVIA MARIA DONATO L DANTAS")</f>
        <v>SILVIA MARIA DONATO L DANTAS</v>
      </c>
      <c r="B2111" s="11"/>
      <c r="C2111" s="11"/>
      <c r="D2111" s="11" t="str">
        <f>IFERROR(__xludf.DUMMYFUNCTION("""COMPUTED_VALUE"""),"PSIQUIATRIA")</f>
        <v>PSIQUIATRIA</v>
      </c>
      <c r="E2111" s="11"/>
      <c r="F2111" s="11" t="str">
        <f>IFERROR(__xludf.DUMMYFUNCTION("""COMPUTED_VALUE"""),"US_335 CAPS AD ESTACAO VICENTE ARAUJO")</f>
        <v>US_335 CAPS AD ESTACAO VICENTE ARAUJO</v>
      </c>
      <c r="G2111" s="11" t="str">
        <f>IFERROR(__xludf.DUMMYFUNCTION("""COMPUTED_VALUE"""),"US_335 CAPS AD ESTACAO VICENTE ARAUJO")</f>
        <v>US_335 CAPS AD ESTACAO VICENTE ARAUJO</v>
      </c>
      <c r="H2111" s="11"/>
      <c r="I2111" s="11"/>
      <c r="J2111" s="11"/>
      <c r="K2111" s="11"/>
      <c r="L2111" s="11"/>
      <c r="M2111" s="11"/>
      <c r="N2111" s="30" t="str">
        <f>IFERROR(__xludf.DUMMYFUNCTION("""COMPUTED_VALUE"""),"vinhadonato@gmail.com")</f>
        <v>vinhadonato@gmail.com</v>
      </c>
      <c r="O2111" s="11">
        <f>IFERROR(__xludf.DUMMYFUNCTION("""COMPUTED_VALUE"""),1924031418)</f>
        <v>1924031418</v>
      </c>
      <c r="P2111" s="11"/>
      <c r="Q2111" s="11"/>
      <c r="R2111" s="11"/>
      <c r="S2111" s="11"/>
      <c r="T2111" s="11"/>
      <c r="U2111" s="11"/>
      <c r="V2111" s="11"/>
      <c r="W2111" s="11"/>
      <c r="X2111" s="11"/>
      <c r="Y2111" s="11"/>
      <c r="Z2111" s="11"/>
    </row>
    <row r="2112" customHeight="1" spans="1:26">
      <c r="A2112" s="11" t="str">
        <f>IFERROR(__xludf.DUMMYFUNCTION("""COMPUTED_VALUE"""),"SIMONE R CATARELLI")</f>
        <v>SIMONE R CATARELLI</v>
      </c>
      <c r="B2112" s="11"/>
      <c r="C2112" s="11"/>
      <c r="D2112" s="11" t="str">
        <f>IFERROR(__xludf.DUMMYFUNCTION("""COMPUTED_VALUE"""),"PSIQUIATRIA")</f>
        <v>PSIQUIATRIA</v>
      </c>
      <c r="E2112" s="11"/>
      <c r="F2112" s="11" t="str">
        <f>IFERROR(__xludf.DUMMYFUNCTION("""COMPUTED_VALUE"""),"US_340 CAPS CLEA LACET")</f>
        <v>US_340 CAPS CLEA LACET</v>
      </c>
      <c r="G2112" s="11" t="str">
        <f>IFERROR(__xludf.DUMMYFUNCTION("""COMPUTED_VALUE"""),"US_340 CAPS CLEA LACET")</f>
        <v>US_340 CAPS CLEA LACET</v>
      </c>
      <c r="H2112" s="11"/>
      <c r="I2112" s="11"/>
      <c r="J2112" s="11"/>
      <c r="K2112" s="11"/>
      <c r="L2112" s="11"/>
      <c r="M2112" s="11"/>
      <c r="N2112" s="30" t="str">
        <f>IFERROR(__xludf.DUMMYFUNCTION("""COMPUTED_VALUE"""),"sicanta@gmail.com")</f>
        <v>sicanta@gmail.com</v>
      </c>
      <c r="O2112" s="11">
        <f>IFERROR(__xludf.DUMMYFUNCTION("""COMPUTED_VALUE"""),33307180487)</f>
        <v>33307180487</v>
      </c>
      <c r="P2112" s="11"/>
      <c r="Q2112" s="11"/>
      <c r="R2112" s="11"/>
      <c r="S2112" s="11"/>
      <c r="T2112" s="11"/>
      <c r="U2112" s="11"/>
      <c r="V2112" s="11"/>
      <c r="W2112" s="11"/>
      <c r="X2112" s="11"/>
      <c r="Y2112" s="11"/>
      <c r="Z2112" s="11"/>
    </row>
    <row r="2113" customHeight="1" spans="1:26">
      <c r="A2113" s="11" t="str">
        <f>IFERROR(__xludf.DUMMYFUNCTION("""COMPUTED_VALUE"""),"MATEUS DA COSTA M RIOS")</f>
        <v>MATEUS DA COSTA M RIOS</v>
      </c>
      <c r="B2113" s="11"/>
      <c r="C2113" s="11"/>
      <c r="D2113" s="11" t="str">
        <f>IFERROR(__xludf.DUMMYFUNCTION("""COMPUTED_VALUE"""),"CLINICA GERAL")</f>
        <v>CLINICA GERAL</v>
      </c>
      <c r="E2113" s="11"/>
      <c r="F2113" s="11" t="str">
        <f>IFERROR(__xludf.DUMMYFUNCTION("""COMPUTED_VALUE"""),"US_320 CAPS CENTRO EULAMPIO CORDEIRO DE RECUPERACAO HUMANA")</f>
        <v>US_320 CAPS CENTRO EULAMPIO CORDEIRO DE RECUPERACAO HUMANA</v>
      </c>
      <c r="G2113" s="11" t="str">
        <f>IFERROR(__xludf.DUMMYFUNCTION("""COMPUTED_VALUE"""),"US_320 CAPS CENTRO EULAMPIO CORDEIRO DE RECUPERACAO HUMANA")</f>
        <v>US_320 CAPS CENTRO EULAMPIO CORDEIRO DE RECUPERACAO HUMANA</v>
      </c>
      <c r="H2113" s="11"/>
      <c r="I2113" s="11"/>
      <c r="J2113" s="11"/>
      <c r="K2113" s="11"/>
      <c r="L2113" s="11"/>
      <c r="M2113" s="11"/>
      <c r="N2113" s="30" t="str">
        <f>IFERROR(__xludf.DUMMYFUNCTION("""COMPUTED_VALUE"""),"mateuscmr@hotmail.com")</f>
        <v>mateuscmr@hotmail.com</v>
      </c>
      <c r="O2113" s="11">
        <f>IFERROR(__xludf.DUMMYFUNCTION("""COMPUTED_VALUE"""),747876401)</f>
        <v>747876401</v>
      </c>
      <c r="P2113" s="11"/>
      <c r="Q2113" s="11"/>
      <c r="R2113" s="11"/>
      <c r="S2113" s="11"/>
      <c r="T2113" s="11"/>
      <c r="U2113" s="11"/>
      <c r="V2113" s="11"/>
      <c r="W2113" s="11"/>
      <c r="X2113" s="11"/>
      <c r="Y2113" s="11"/>
      <c r="Z2113" s="11"/>
    </row>
    <row r="2114" customHeight="1" spans="1:26">
      <c r="A2114" s="11" t="str">
        <f>IFERROR(__xludf.DUMMYFUNCTION("""COMPUTED_VALUE"""),"ANA CLAUDIA GONCALVES")</f>
        <v>ANA CLAUDIA GONCALVES</v>
      </c>
      <c r="B2114" s="11"/>
      <c r="C2114" s="11"/>
      <c r="D2114" s="11" t="str">
        <f>IFERROR(__xludf.DUMMYFUNCTION("""COMPUTED_VALUE"""),"PSIQUIATRIA")</f>
        <v>PSIQUIATRIA</v>
      </c>
      <c r="E2114" s="11"/>
      <c r="F2114" s="11" t="str">
        <f>IFERROR(__xludf.DUMMYFUNCTION("""COMPUTED_VALUE"""),"US_304 CAPS DAVID CAPISTRANO")</f>
        <v>US_304 CAPS DAVID CAPISTRANO</v>
      </c>
      <c r="G2114" s="11" t="str">
        <f>IFERROR(__xludf.DUMMYFUNCTION("""COMPUTED_VALUE"""),"US_304 CAPS DAVID CAPISTRANO")</f>
        <v>US_304 CAPS DAVID CAPISTRANO</v>
      </c>
      <c r="H2114" s="11"/>
      <c r="I2114" s="11"/>
      <c r="J2114" s="11"/>
      <c r="K2114" s="11"/>
      <c r="L2114" s="11"/>
      <c r="M2114" s="11"/>
      <c r="N2114" s="30" t="str">
        <f>IFERROR(__xludf.DUMMYFUNCTION("""COMPUTED_VALUE"""),"anaclaudiahsmm@gmail.com")</f>
        <v>anaclaudiahsmm@gmail.com</v>
      </c>
      <c r="O2114" s="11">
        <f>IFERROR(__xludf.DUMMYFUNCTION("""COMPUTED_VALUE"""),2709273446)</f>
        <v>2709273446</v>
      </c>
      <c r="P2114" s="11"/>
      <c r="Q2114" s="11"/>
      <c r="R2114" s="11"/>
      <c r="S2114" s="11"/>
      <c r="T2114" s="11"/>
      <c r="U2114" s="11"/>
      <c r="V2114" s="11"/>
      <c r="W2114" s="11"/>
      <c r="X2114" s="11"/>
      <c r="Y2114" s="11"/>
      <c r="Z2114" s="11"/>
    </row>
    <row r="2115" customHeight="1" spans="1:26">
      <c r="A2115" s="11" t="str">
        <f>IFERROR(__xludf.DUMMYFUNCTION("""COMPUTED_VALUE"""),"HUDSON SILVA MEDEIROS DE LIMA")</f>
        <v>HUDSON SILVA MEDEIROS DE LIMA</v>
      </c>
      <c r="B2115" s="11"/>
      <c r="C2115" s="11"/>
      <c r="D2115" s="11" t="str">
        <f>IFERROR(__xludf.DUMMYFUNCTION("""COMPUTED_VALUE"""),"PSIQUIATRIA")</f>
        <v>PSIQUIATRIA</v>
      </c>
      <c r="E2115" s="11"/>
      <c r="F2115" s="11" t="str">
        <f>IFERROR(__xludf.DUMMYFUNCTION("""COMPUTED_VALUE"""),"US_330 CAPS ESPACO LIVREMENTE")</f>
        <v>US_330 CAPS ESPACO LIVREMENTE</v>
      </c>
      <c r="G2115" s="11" t="str">
        <f>IFERROR(__xludf.DUMMYFUNCTION("""COMPUTED_VALUE"""),"US_330 CAPS ESPACO LIVREMENTE")</f>
        <v>US_330 CAPS ESPACO LIVREMENTE</v>
      </c>
      <c r="H2115" s="11"/>
      <c r="I2115" s="11"/>
      <c r="J2115" s="11"/>
      <c r="K2115" s="11"/>
      <c r="L2115" s="11"/>
      <c r="M2115" s="11"/>
      <c r="N2115" s="30" t="str">
        <f>IFERROR(__xludf.DUMMYFUNCTION("""COMPUTED_VALUE"""),"hudsonsml@hotmail.com")</f>
        <v>hudsonsml@hotmail.com</v>
      </c>
      <c r="O2115" s="11">
        <f>IFERROR(__xludf.DUMMYFUNCTION("""COMPUTED_VALUE"""),6023734413)</f>
        <v>6023734413</v>
      </c>
      <c r="P2115" s="11"/>
      <c r="Q2115" s="11"/>
      <c r="R2115" s="11"/>
      <c r="S2115" s="11"/>
      <c r="T2115" s="11"/>
      <c r="U2115" s="11"/>
      <c r="V2115" s="11"/>
      <c r="W2115" s="11"/>
      <c r="X2115" s="11"/>
      <c r="Y2115" s="11"/>
      <c r="Z2115" s="11"/>
    </row>
    <row r="2116" customHeight="1" spans="1:26">
      <c r="A2116" s="11" t="str">
        <f>IFERROR(__xludf.DUMMYFUNCTION("""COMPUTED_VALUE"""),"JOSE HENRIQUE R FIALHO JUNIOR")</f>
        <v>JOSE HENRIQUE R FIALHO JUNIOR</v>
      </c>
      <c r="B2116" s="11"/>
      <c r="C2116" s="11"/>
      <c r="D2116" s="11" t="str">
        <f>IFERROR(__xludf.DUMMYFUNCTION("""COMPUTED_VALUE"""),"CLINICA GERAL")</f>
        <v>CLINICA GERAL</v>
      </c>
      <c r="E2116" s="11"/>
      <c r="F2116" s="11" t="str">
        <f>IFERROR(__xludf.DUMMYFUNCTION("""COMPUTED_VALUE"""),"US_320 CAPS CENTRO EULAMPIO CORDEIRO DE RECUPERACAO HUMANA")</f>
        <v>US_320 CAPS CENTRO EULAMPIO CORDEIRO DE RECUPERACAO HUMANA</v>
      </c>
      <c r="G2116" s="11" t="str">
        <f>IFERROR(__xludf.DUMMYFUNCTION("""COMPUTED_VALUE"""),"US_320 CAPS CENTRO EULAMPIO CORDEIRO DE RECUPERACAO HUMANA")</f>
        <v>US_320 CAPS CENTRO EULAMPIO CORDEIRO DE RECUPERACAO HUMANA</v>
      </c>
      <c r="H2116" s="11"/>
      <c r="I2116" s="11"/>
      <c r="J2116" s="11"/>
      <c r="K2116" s="11"/>
      <c r="L2116" s="11"/>
      <c r="M2116" s="11"/>
      <c r="N2116" s="30" t="str">
        <f>IFERROR(__xludf.DUMMYFUNCTION("""COMPUTED_VALUE"""),"jhenriquefialho@yahoo.com.br")</f>
        <v>jhenriquefialho@yahoo.com.br</v>
      </c>
      <c r="O2116" s="11">
        <f>IFERROR(__xludf.DUMMYFUNCTION("""COMPUTED_VALUE"""),3153656410)</f>
        <v>3153656410</v>
      </c>
      <c r="P2116" s="11"/>
      <c r="Q2116" s="11"/>
      <c r="R2116" s="11"/>
      <c r="S2116" s="11"/>
      <c r="T2116" s="11"/>
      <c r="U2116" s="11"/>
      <c r="V2116" s="11"/>
      <c r="W2116" s="11"/>
      <c r="X2116" s="11"/>
      <c r="Y2116" s="11"/>
      <c r="Z2116" s="11"/>
    </row>
    <row r="2117" customHeight="1" spans="1:26">
      <c r="A2117" s="11" t="str">
        <f>IFERROR(__xludf.DUMMYFUNCTION("""COMPUTED_VALUE"""),"HELTON ALEXSANDRO F CAVALCANTI")</f>
        <v>HELTON ALEXSANDRO F CAVALCANTI</v>
      </c>
      <c r="B2117" s="11"/>
      <c r="C2117" s="11"/>
      <c r="D2117" s="11" t="str">
        <f>IFERROR(__xludf.DUMMYFUNCTION("""COMPUTED_VALUE"""),"PSIQUIATRIA")</f>
        <v>PSIQUIATRIA</v>
      </c>
      <c r="E2117" s="11"/>
      <c r="F2117" s="11" t="str">
        <f>IFERROR(__xludf.DUMMYFUNCTION("""COMPUTED_VALUE"""),"US_263 CAPS JOSE CARLOS SOUTO")</f>
        <v>US_263 CAPS JOSE CARLOS SOUTO</v>
      </c>
      <c r="G2117" s="11" t="str">
        <f>IFERROR(__xludf.DUMMYFUNCTION("""COMPUTED_VALUE"""),"US_263 CAPS JOSE CARLOS SOUTO")</f>
        <v>US_263 CAPS JOSE CARLOS SOUTO</v>
      </c>
      <c r="H2117" s="11"/>
      <c r="I2117" s="11"/>
      <c r="J2117" s="11"/>
      <c r="K2117" s="11"/>
      <c r="L2117" s="11"/>
      <c r="M2117" s="11"/>
      <c r="N2117" s="30" t="str">
        <f>IFERROR(__xludf.DUMMYFUNCTION("""COMPUTED_VALUE"""),"heltoncavalcanti@hotmail.com")</f>
        <v>heltoncavalcanti@hotmail.com</v>
      </c>
      <c r="O2117" s="11">
        <f>IFERROR(__xludf.DUMMYFUNCTION("""COMPUTED_VALUE"""),7396540470)</f>
        <v>7396540470</v>
      </c>
      <c r="P2117" s="11"/>
      <c r="Q2117" s="11"/>
      <c r="R2117" s="11"/>
      <c r="S2117" s="11"/>
      <c r="T2117" s="11"/>
      <c r="U2117" s="11"/>
      <c r="V2117" s="11"/>
      <c r="W2117" s="11"/>
      <c r="X2117" s="11"/>
      <c r="Y2117" s="11"/>
      <c r="Z2117" s="11"/>
    </row>
    <row r="2118" customHeight="1" spans="1:26">
      <c r="A2118" s="11" t="str">
        <f>IFERROR(__xludf.DUMMYFUNCTION("""COMPUTED_VALUE"""),"RAFAEL MENDES MARTINS")</f>
        <v>RAFAEL MENDES MARTINS</v>
      </c>
      <c r="B2118" s="11"/>
      <c r="C2118" s="11"/>
      <c r="D2118" s="11" t="str">
        <f>IFERROR(__xludf.DUMMYFUNCTION("""COMPUTED_VALUE"""),"PSIQUIATRIA")</f>
        <v>PSIQUIATRIA</v>
      </c>
      <c r="E2118" s="11"/>
      <c r="F2118" s="11" t="str">
        <f>IFERROR(__xludf.DUMMYFUNCTION("""COMPUTED_VALUE"""),"US_320 CAPS CENTRO EULAMPIO CORDEIRO DE RECUPERACAO HUMANA")</f>
        <v>US_320 CAPS CENTRO EULAMPIO CORDEIRO DE RECUPERACAO HUMANA</v>
      </c>
      <c r="G2118" s="11" t="str">
        <f>IFERROR(__xludf.DUMMYFUNCTION("""COMPUTED_VALUE"""),"US_320 CAPS CENTRO EULAMPIO CORDEIRO DE RECUPERACAO HUMANA")</f>
        <v>US_320 CAPS CENTRO EULAMPIO CORDEIRO DE RECUPERACAO HUMANA</v>
      </c>
      <c r="H2118" s="11"/>
      <c r="I2118" s="11"/>
      <c r="J2118" s="11"/>
      <c r="K2118" s="11"/>
      <c r="L2118" s="11"/>
      <c r="M2118" s="11"/>
      <c r="N2118" s="30" t="str">
        <f>IFERROR(__xludf.DUMMYFUNCTION("""COMPUTED_VALUE"""),"RAFAELSAUDEMENTAL@MC.COM")</f>
        <v>RAFAELSAUDEMENTAL@MC.COM</v>
      </c>
      <c r="O2118" s="11">
        <f>IFERROR(__xludf.DUMMYFUNCTION("""COMPUTED_VALUE"""),91842328387)</f>
        <v>91842328387</v>
      </c>
      <c r="P2118" s="11"/>
      <c r="Q2118" s="11"/>
      <c r="R2118" s="11"/>
      <c r="S2118" s="11"/>
      <c r="T2118" s="11"/>
      <c r="U2118" s="11"/>
      <c r="V2118" s="11"/>
      <c r="W2118" s="11"/>
      <c r="X2118" s="11"/>
      <c r="Y2118" s="11"/>
      <c r="Z2118" s="11"/>
    </row>
    <row r="2119" customHeight="1" spans="1:26">
      <c r="A2119" s="11" t="str">
        <f>IFERROR(__xludf.DUMMYFUNCTION("""COMPUTED_VALUE"""),"ALINE BRANDAO DE ARAUJO A LIMA")</f>
        <v>ALINE BRANDAO DE ARAUJO A LIMA</v>
      </c>
      <c r="B2119" s="11"/>
      <c r="C2119" s="11"/>
      <c r="D2119" s="11" t="str">
        <f>IFERROR(__xludf.DUMMYFUNCTION("""COMPUTED_VALUE"""),"CLINICA GERAL")</f>
        <v>CLINICA GERAL</v>
      </c>
      <c r="E2119" s="11"/>
      <c r="F2119" s="11" t="str">
        <f>IFERROR(__xludf.DUMMYFUNCTION("""COMPUTED_VALUE"""),"US_303 CAPS AD ESPACO TRAVESSIA RENE RIBEIRO")</f>
        <v>US_303 CAPS AD ESPACO TRAVESSIA RENE RIBEIRO</v>
      </c>
      <c r="G2119" s="11" t="str">
        <f>IFERROR(__xludf.DUMMYFUNCTION("""COMPUTED_VALUE"""),"US_303 CAPS AD ESPACO TRAVESSIA RENE RIBEIRO")</f>
        <v>US_303 CAPS AD ESPACO TRAVESSIA RENE RIBEIRO</v>
      </c>
      <c r="H2119" s="11"/>
      <c r="I2119" s="11"/>
      <c r="J2119" s="11"/>
      <c r="K2119" s="11"/>
      <c r="L2119" s="11"/>
      <c r="M2119" s="11"/>
      <c r="N2119" s="30" t="str">
        <f>IFERROR(__xludf.DUMMYFUNCTION("""COMPUTED_VALUE"""),"liu.brandao@bol.com.br")</f>
        <v>liu.brandao@bol.com.br</v>
      </c>
      <c r="O2119" s="11">
        <f>IFERROR(__xludf.DUMMYFUNCTION("""COMPUTED_VALUE"""),4265621430)</f>
        <v>4265621430</v>
      </c>
      <c r="P2119" s="11"/>
      <c r="Q2119" s="11"/>
      <c r="R2119" s="11"/>
      <c r="S2119" s="11"/>
      <c r="T2119" s="11"/>
      <c r="U2119" s="11"/>
      <c r="V2119" s="11"/>
      <c r="W2119" s="11"/>
      <c r="X2119" s="11"/>
      <c r="Y2119" s="11"/>
      <c r="Z2119" s="11"/>
    </row>
    <row r="2120" customHeight="1" spans="1:26">
      <c r="A2120" s="11" t="str">
        <f>IFERROR(__xludf.DUMMYFUNCTION("""COMPUTED_VALUE"""),"REBEKA C MORAES CRONEMBERGUER")</f>
        <v>REBEKA C MORAES CRONEMBERGUER</v>
      </c>
      <c r="B2120" s="11"/>
      <c r="C2120" s="11"/>
      <c r="D2120" s="11" t="str">
        <f>IFERROR(__xludf.DUMMYFUNCTION("""COMPUTED_VALUE"""),"CLINICA GERAL")</f>
        <v>CLINICA GERAL</v>
      </c>
      <c r="E2120" s="11"/>
      <c r="F2120" s="11" t="str">
        <f>IFERROR(__xludf.DUMMYFUNCTION("""COMPUTED_VALUE"""),"US_303 CAPS AD ESPACO TRAVESSIA RENE RIBEIRO")</f>
        <v>US_303 CAPS AD ESPACO TRAVESSIA RENE RIBEIRO</v>
      </c>
      <c r="G2120" s="11" t="str">
        <f>IFERROR(__xludf.DUMMYFUNCTION("""COMPUTED_VALUE"""),"US_303 CAPS AD ESPACO TRAVESSIA RENE RIBEIRO")</f>
        <v>US_303 CAPS AD ESPACO TRAVESSIA RENE RIBEIRO</v>
      </c>
      <c r="H2120" s="11"/>
      <c r="I2120" s="11"/>
      <c r="J2120" s="11"/>
      <c r="K2120" s="11"/>
      <c r="L2120" s="11"/>
      <c r="M2120" s="11"/>
      <c r="N2120" s="30" t="str">
        <f>IFERROR(__xludf.DUMMYFUNCTION("""COMPUTED_VALUE"""),"rebeka_moraes@yahoo.com.br")</f>
        <v>rebeka_moraes@yahoo.com.br</v>
      </c>
      <c r="O2120" s="11">
        <f>IFERROR(__xludf.DUMMYFUNCTION("""COMPUTED_VALUE"""),4063448410)</f>
        <v>4063448410</v>
      </c>
      <c r="P2120" s="11"/>
      <c r="Q2120" s="11"/>
      <c r="R2120" s="11"/>
      <c r="S2120" s="11"/>
      <c r="T2120" s="11"/>
      <c r="U2120" s="11"/>
      <c r="V2120" s="11"/>
      <c r="W2120" s="11"/>
      <c r="X2120" s="11"/>
      <c r="Y2120" s="11"/>
      <c r="Z2120" s="11"/>
    </row>
    <row r="2121" customHeight="1" spans="1:26">
      <c r="A2121" s="11" t="str">
        <f>IFERROR(__xludf.DUMMYFUNCTION("""COMPUTED_VALUE"""),"MICHELLE LOURENCO FONTENELE")</f>
        <v>MICHELLE LOURENCO FONTENELE</v>
      </c>
      <c r="B2121" s="11"/>
      <c r="C2121" s="11"/>
      <c r="D2121" s="11" t="str">
        <f>IFERROR(__xludf.DUMMYFUNCTION("""COMPUTED_VALUE"""),"PSIQUIATRIA")</f>
        <v>PSIQUIATRIA</v>
      </c>
      <c r="E2121" s="11"/>
      <c r="F2121" s="11" t="str">
        <f>IFERROR(__xludf.DUMMYFUNCTION("""COMPUTED_VALUE"""),"US_310 CAPS AD PROF JOSE LUCENA")</f>
        <v>US_310 CAPS AD PROF JOSE LUCENA</v>
      </c>
      <c r="G2121" s="11" t="str">
        <f>IFERROR(__xludf.DUMMYFUNCTION("""COMPUTED_VALUE"""),"US_310 CAPS AD PROF JOSE LUCENA")</f>
        <v>US_310 CAPS AD PROF JOSE LUCENA</v>
      </c>
      <c r="H2121" s="11"/>
      <c r="I2121" s="11"/>
      <c r="J2121" s="11"/>
      <c r="K2121" s="11"/>
      <c r="L2121" s="11"/>
      <c r="M2121" s="11"/>
      <c r="N2121" s="30" t="str">
        <f>IFERROR(__xludf.DUMMYFUNCTION("""COMPUTED_VALUE"""),"michellefontenele@yahoo.com.br")</f>
        <v>michellefontenele@yahoo.com.br</v>
      </c>
      <c r="O2121" s="11">
        <f>IFERROR(__xludf.DUMMYFUNCTION("""COMPUTED_VALUE"""),91213304334)</f>
        <v>91213304334</v>
      </c>
      <c r="P2121" s="11"/>
      <c r="Q2121" s="11"/>
      <c r="R2121" s="11"/>
      <c r="S2121" s="11"/>
      <c r="T2121" s="11"/>
      <c r="U2121" s="11"/>
      <c r="V2121" s="11"/>
      <c r="W2121" s="11"/>
      <c r="X2121" s="11"/>
      <c r="Y2121" s="11"/>
      <c r="Z2121" s="11"/>
    </row>
    <row r="2122" customHeight="1" spans="1:26">
      <c r="A2122" s="11" t="str">
        <f>IFERROR(__xludf.DUMMYFUNCTION("""COMPUTED_VALUE"""),"MARIA C PESSOA DE M MONTENEGRO")</f>
        <v>MARIA C PESSOA DE M MONTENEGRO</v>
      </c>
      <c r="B2122" s="11"/>
      <c r="C2122" s="11"/>
      <c r="D2122" s="11" t="str">
        <f>IFERROR(__xludf.DUMMYFUNCTION("""COMPUTED_VALUE"""),"CLINICA GERAL")</f>
        <v>CLINICA GERAL</v>
      </c>
      <c r="E2122" s="11"/>
      <c r="F2122" s="11" t="str">
        <f>IFERROR(__xludf.DUMMYFUNCTION("""COMPUTED_VALUE"""),"US_335 CAPS AD ESTACAO VICENTE ARAUJO")</f>
        <v>US_335 CAPS AD ESTACAO VICENTE ARAUJO</v>
      </c>
      <c r="G2122" s="11" t="str">
        <f>IFERROR(__xludf.DUMMYFUNCTION("""COMPUTED_VALUE"""),"US_335 CAPS AD ESTACAO VICENTE ARAUJO")</f>
        <v>US_335 CAPS AD ESTACAO VICENTE ARAUJO</v>
      </c>
      <c r="H2122" s="11"/>
      <c r="I2122" s="11"/>
      <c r="J2122" s="11"/>
      <c r="K2122" s="11"/>
      <c r="L2122" s="11"/>
      <c r="M2122" s="11"/>
      <c r="N2122" s="30" t="str">
        <f>IFERROR(__xludf.DUMMYFUNCTION("""COMPUTED_VALUE"""),"mariac_montenegro@yahoo.com.br")</f>
        <v>mariac_montenegro@yahoo.com.br</v>
      </c>
      <c r="O2122" s="11">
        <f>IFERROR(__xludf.DUMMYFUNCTION("""COMPUTED_VALUE"""),4943458459)</f>
        <v>4943458459</v>
      </c>
      <c r="P2122" s="11"/>
      <c r="Q2122" s="11"/>
      <c r="R2122" s="11"/>
      <c r="S2122" s="11"/>
      <c r="T2122" s="11"/>
      <c r="U2122" s="11"/>
      <c r="V2122" s="11"/>
      <c r="W2122" s="11"/>
      <c r="X2122" s="11"/>
      <c r="Y2122" s="11"/>
      <c r="Z2122" s="11"/>
    </row>
    <row r="2123" customHeight="1" spans="1:26">
      <c r="A2123" s="11" t="str">
        <f>IFERROR(__xludf.DUMMYFUNCTION("""COMPUTED_VALUE"""),"PAULA DE NOVAIS C CAVALCANTI")</f>
        <v>PAULA DE NOVAIS C CAVALCANTI</v>
      </c>
      <c r="B2123" s="11"/>
      <c r="C2123" s="11"/>
      <c r="D2123" s="11" t="str">
        <f>IFERROR(__xludf.DUMMYFUNCTION("""COMPUTED_VALUE"""),"PSIQUIATRIA")</f>
        <v>PSIQUIATRIA</v>
      </c>
      <c r="E2123" s="11"/>
      <c r="F2123" s="11" t="str">
        <f>IFERROR(__xludf.DUMMYFUNCTION("""COMPUTED_VALUE"""),"US_310 CAPS AD PROF JOSE LUCENA")</f>
        <v>US_310 CAPS AD PROF JOSE LUCENA</v>
      </c>
      <c r="G2123" s="11" t="str">
        <f>IFERROR(__xludf.DUMMYFUNCTION("""COMPUTED_VALUE"""),"US_310 CAPS AD PROF JOSE LUCENA")</f>
        <v>US_310 CAPS AD PROF JOSE LUCENA</v>
      </c>
      <c r="H2123" s="11"/>
      <c r="I2123" s="11"/>
      <c r="J2123" s="11"/>
      <c r="K2123" s="11"/>
      <c r="L2123" s="11"/>
      <c r="M2123" s="11"/>
      <c r="N2123" s="30" t="str">
        <f>IFERROR(__xludf.DUMMYFUNCTION("""COMPUTED_VALUE"""),"paulancabral@yahoo.com.br")</f>
        <v>paulancabral@yahoo.com.br</v>
      </c>
      <c r="O2123" s="11">
        <f>IFERROR(__xludf.DUMMYFUNCTION("""COMPUTED_VALUE"""),4586489499)</f>
        <v>4586489499</v>
      </c>
      <c r="P2123" s="11"/>
      <c r="Q2123" s="11"/>
      <c r="R2123" s="11"/>
      <c r="S2123" s="11"/>
      <c r="T2123" s="11"/>
      <c r="U2123" s="11"/>
      <c r="V2123" s="11"/>
      <c r="W2123" s="11"/>
      <c r="X2123" s="11"/>
      <c r="Y2123" s="11"/>
      <c r="Z2123" s="11"/>
    </row>
    <row r="2124" customHeight="1" spans="1:26">
      <c r="A2124" s="11" t="str">
        <f>IFERROR(__xludf.DUMMYFUNCTION("""COMPUTED_VALUE"""),"FLAVIA CECILIA C V ALMEIDA")</f>
        <v>FLAVIA CECILIA C V ALMEIDA</v>
      </c>
      <c r="B2124" s="11"/>
      <c r="C2124" s="11"/>
      <c r="D2124" s="11" t="str">
        <f>IFERROR(__xludf.DUMMYFUNCTION("""COMPUTED_VALUE"""),"CLINICA GERAL")</f>
        <v>CLINICA GERAL</v>
      </c>
      <c r="E2124" s="11"/>
      <c r="F2124" s="11" t="str">
        <f>IFERROR(__xludf.DUMMYFUNCTION("""COMPUTED_VALUE"""),"US_318 CAPS CPTRA CENTRO DE PREV TRAT E REAB DE ALCOOLISMO")</f>
        <v>US_318 CAPS CPTRA CENTRO DE PREV TRAT E REAB DE ALCOOLISMO</v>
      </c>
      <c r="G2124" s="11" t="str">
        <f>IFERROR(__xludf.DUMMYFUNCTION("""COMPUTED_VALUE"""),"US_318 CAPS CPTRA CENTRO DE PREV TRAT E REAB DE ALCOOLISMO")</f>
        <v>US_318 CAPS CPTRA CENTRO DE PREV TRAT E REAB DE ALCOOLISMO</v>
      </c>
      <c r="H2124" s="11"/>
      <c r="I2124" s="11"/>
      <c r="J2124" s="11"/>
      <c r="K2124" s="11"/>
      <c r="L2124" s="11"/>
      <c r="M2124" s="11"/>
      <c r="N2124" s="30" t="str">
        <f>IFERROR(__xludf.DUMMYFUNCTION("""COMPUTED_VALUE"""),"FLAVIACCV@YAHOO.COM.BR")</f>
        <v>FLAVIACCV@YAHOO.COM.BR</v>
      </c>
      <c r="O2124" s="11">
        <f>IFERROR(__xludf.DUMMYFUNCTION("""COMPUTED_VALUE"""),792982495)</f>
        <v>792982495</v>
      </c>
      <c r="P2124" s="11"/>
      <c r="Q2124" s="11"/>
      <c r="R2124" s="11"/>
      <c r="S2124" s="11"/>
      <c r="T2124" s="11"/>
      <c r="U2124" s="11"/>
      <c r="V2124" s="11"/>
      <c r="W2124" s="11"/>
      <c r="X2124" s="11"/>
      <c r="Y2124" s="11"/>
      <c r="Z2124" s="11"/>
    </row>
    <row r="2125" customHeight="1" spans="1:26">
      <c r="A2125" s="11" t="str">
        <f>IFERROR(__xludf.DUMMYFUNCTION("""COMPUTED_VALUE"""),"DENNYS LAPENDA FAGUNDES")</f>
        <v>DENNYS LAPENDA FAGUNDES</v>
      </c>
      <c r="B2125" s="11"/>
      <c r="C2125" s="11"/>
      <c r="D2125" s="11" t="str">
        <f>IFERROR(__xludf.DUMMYFUNCTION("""COMPUTED_VALUE"""),"PSIQUIATRIA")</f>
        <v>PSIQUIATRIA</v>
      </c>
      <c r="E2125" s="11"/>
      <c r="F2125" s="11" t="str">
        <f>IFERROR(__xludf.DUMMYFUNCTION("""COMPUTED_VALUE"""),"US_318 CAPS CPTRA CENTRO DE PREV TRAT E REAB DE ALCOOLISMO")</f>
        <v>US_318 CAPS CPTRA CENTRO DE PREV TRAT E REAB DE ALCOOLISMO</v>
      </c>
      <c r="G2125" s="11" t="str">
        <f>IFERROR(__xludf.DUMMYFUNCTION("""COMPUTED_VALUE"""),"US_318 CAPS CPTRA CENTRO DE PREV TRAT E REAB DE ALCOOLISMO")</f>
        <v>US_318 CAPS CPTRA CENTRO DE PREV TRAT E REAB DE ALCOOLISMO</v>
      </c>
      <c r="H2125" s="11"/>
      <c r="I2125" s="11"/>
      <c r="J2125" s="11"/>
      <c r="K2125" s="11"/>
      <c r="L2125" s="11"/>
      <c r="M2125" s="11"/>
      <c r="N2125" s="30" t="str">
        <f>IFERROR(__xludf.DUMMYFUNCTION("""COMPUTED_VALUE"""),"DENNYSLAPENDAFAGUNDE@GMAIL.COM")</f>
        <v>DENNYSLAPENDAFAGUNDE@GMAIL.COM</v>
      </c>
      <c r="O2125" s="11">
        <f>IFERROR(__xludf.DUMMYFUNCTION("""COMPUTED_VALUE"""),811968499)</f>
        <v>811968499</v>
      </c>
      <c r="P2125" s="11"/>
      <c r="Q2125" s="11"/>
      <c r="R2125" s="11"/>
      <c r="S2125" s="11"/>
      <c r="T2125" s="11"/>
      <c r="U2125" s="11"/>
      <c r="V2125" s="11"/>
      <c r="W2125" s="11"/>
      <c r="X2125" s="11"/>
      <c r="Y2125" s="11"/>
      <c r="Z2125" s="11"/>
    </row>
    <row r="2126" customHeight="1" spans="1:26">
      <c r="A2126" s="11" t="str">
        <f>IFERROR(__xludf.DUMMYFUNCTION("""COMPUTED_VALUE"""),"MARIA C PESSOA DE M MONTENEGRO")</f>
        <v>MARIA C PESSOA DE M MONTENEGRO</v>
      </c>
      <c r="B2126" s="11"/>
      <c r="C2126" s="11"/>
      <c r="D2126" s="11" t="str">
        <f>IFERROR(__xludf.DUMMYFUNCTION("""COMPUTED_VALUE"""),"PSIQUIATRIA")</f>
        <v>PSIQUIATRIA</v>
      </c>
      <c r="E2126" s="11"/>
      <c r="F2126" s="11" t="str">
        <f>IFERROR(__xludf.DUMMYFUNCTION("""COMPUTED_VALUE"""),"US_335 CAPS AD ESTACAO VICENTE ARAUJO")</f>
        <v>US_335 CAPS AD ESTACAO VICENTE ARAUJO</v>
      </c>
      <c r="G2126" s="11" t="str">
        <f>IFERROR(__xludf.DUMMYFUNCTION("""COMPUTED_VALUE"""),"US_335 CAPS AD ESTACAO VICENTE ARAUJO")</f>
        <v>US_335 CAPS AD ESTACAO VICENTE ARAUJO</v>
      </c>
      <c r="H2126" s="11"/>
      <c r="I2126" s="11"/>
      <c r="J2126" s="11"/>
      <c r="K2126" s="11"/>
      <c r="L2126" s="11"/>
      <c r="M2126" s="11"/>
      <c r="N2126" s="30" t="str">
        <f>IFERROR(__xludf.DUMMYFUNCTION("""COMPUTED_VALUE"""),"mariac_montenegro@yahoo.com.br")</f>
        <v>mariac_montenegro@yahoo.com.br</v>
      </c>
      <c r="O2126" s="11">
        <f>IFERROR(__xludf.DUMMYFUNCTION("""COMPUTED_VALUE"""),4943458459)</f>
        <v>4943458459</v>
      </c>
      <c r="P2126" s="11"/>
      <c r="Q2126" s="11"/>
      <c r="R2126" s="11"/>
      <c r="S2126" s="11"/>
      <c r="T2126" s="11"/>
      <c r="U2126" s="11"/>
      <c r="V2126" s="11"/>
      <c r="W2126" s="11"/>
      <c r="X2126" s="11"/>
      <c r="Y2126" s="11"/>
      <c r="Z2126" s="11"/>
    </row>
    <row r="2127" customHeight="1" spans="1:26">
      <c r="A2127" s="11" t="str">
        <f>IFERROR(__xludf.DUMMYFUNCTION("""COMPUTED_VALUE"""),"MAYARA DE BARROS ALVES")</f>
        <v>MAYARA DE BARROS ALVES</v>
      </c>
      <c r="B2127" s="11"/>
      <c r="C2127" s="11"/>
      <c r="D2127" s="11" t="str">
        <f>IFERROR(__xludf.DUMMYFUNCTION("""COMPUTED_VALUE"""),"PSIQUIATRIA")</f>
        <v>PSIQUIATRIA</v>
      </c>
      <c r="E2127" s="11"/>
      <c r="F2127" s="11" t="str">
        <f>IFERROR(__xludf.DUMMYFUNCTION("""COMPUTED_VALUE"""),"US_306 CAPS AD PROF LUIZ CERQUEIRA")</f>
        <v>US_306 CAPS AD PROF LUIZ CERQUEIRA</v>
      </c>
      <c r="G2127" s="11" t="str">
        <f>IFERROR(__xludf.DUMMYFUNCTION("""COMPUTED_VALUE"""),"US_306 CAPS AD PROF LUIZ CERQUEIRA")</f>
        <v>US_306 CAPS AD PROF LUIZ CERQUEIRA</v>
      </c>
      <c r="H2127" s="11"/>
      <c r="I2127" s="11"/>
      <c r="J2127" s="11"/>
      <c r="K2127" s="11"/>
      <c r="L2127" s="11"/>
      <c r="M2127" s="11"/>
      <c r="N2127" s="30" t="str">
        <f>IFERROR(__xludf.DUMMYFUNCTION("""COMPUTED_VALUE"""),"mayara_barros@hotmail.com")</f>
        <v>mayara_barros@hotmail.com</v>
      </c>
      <c r="O2127" s="11">
        <f>IFERROR(__xludf.DUMMYFUNCTION("""COMPUTED_VALUE"""),7046264465)</f>
        <v>7046264465</v>
      </c>
      <c r="P2127" s="11"/>
      <c r="Q2127" s="11"/>
      <c r="R2127" s="11"/>
      <c r="S2127" s="11"/>
      <c r="T2127" s="11"/>
      <c r="U2127" s="11"/>
      <c r="V2127" s="11"/>
      <c r="W2127" s="11"/>
      <c r="X2127" s="11"/>
      <c r="Y2127" s="11"/>
      <c r="Z2127" s="11"/>
    </row>
    <row r="2128" customHeight="1" spans="1:26">
      <c r="A2128" s="11" t="str">
        <f>IFERROR(__xludf.DUMMYFUNCTION("""COMPUTED_VALUE"""),"DANIELA TELES DA SILVA")</f>
        <v>DANIELA TELES DA SILVA</v>
      </c>
      <c r="B2128" s="11"/>
      <c r="C2128" s="11"/>
      <c r="D2128" s="11" t="str">
        <f>IFERROR(__xludf.DUMMYFUNCTION("""COMPUTED_VALUE"""),"PSIQUIATRIA")</f>
        <v>PSIQUIATRIA</v>
      </c>
      <c r="E2128" s="11"/>
      <c r="F2128" s="11" t="str">
        <f>IFERROR(__xludf.DUMMYFUNCTION("""COMPUTED_VALUE"""),"US_348 CAPS BOA VISTA ")</f>
        <v>US_348 CAPS BOA VISTA </v>
      </c>
      <c r="G2128" s="11" t="str">
        <f>IFERROR(__xludf.DUMMYFUNCTION("""COMPUTED_VALUE"""),"US_348 CAPS BOA VISTA ")</f>
        <v>US_348 CAPS BOA VISTA </v>
      </c>
      <c r="H2128" s="11"/>
      <c r="I2128" s="11"/>
      <c r="J2128" s="11"/>
      <c r="K2128" s="11"/>
      <c r="L2128" s="11"/>
      <c r="M2128" s="11"/>
      <c r="N2128" s="30" t="str">
        <f>IFERROR(__xludf.DUMMYFUNCTION("""COMPUTED_VALUE"""),"DANITELESMF@GMAIL.COM")</f>
        <v>DANITELESMF@GMAIL.COM</v>
      </c>
      <c r="O2128" s="11">
        <f>IFERROR(__xludf.DUMMYFUNCTION("""COMPUTED_VALUE"""),3780111462)</f>
        <v>3780111462</v>
      </c>
      <c r="P2128" s="11"/>
      <c r="Q2128" s="11"/>
      <c r="R2128" s="11"/>
      <c r="S2128" s="11"/>
      <c r="T2128" s="11"/>
      <c r="U2128" s="11"/>
      <c r="V2128" s="11"/>
      <c r="W2128" s="11"/>
      <c r="X2128" s="11"/>
      <c r="Y2128" s="11"/>
      <c r="Z2128" s="11"/>
    </row>
    <row r="2129" customHeight="1" spans="1:26">
      <c r="A2129" s="11" t="str">
        <f>IFERROR(__xludf.DUMMYFUNCTION("""COMPUTED_VALUE"""),"MAITE DE SOUZA E SILVA")</f>
        <v>MAITE DE SOUZA E SILVA</v>
      </c>
      <c r="B2129" s="11"/>
      <c r="C2129" s="11"/>
      <c r="D2129" s="11" t="str">
        <f>IFERROR(__xludf.DUMMYFUNCTION("""COMPUTED_VALUE"""),"CLINICA GERAL")</f>
        <v>CLINICA GERAL</v>
      </c>
      <c r="E2129" s="11"/>
      <c r="F2129" s="11" t="str">
        <f>IFERROR(__xludf.DUMMYFUNCTION("""COMPUTED_VALUE"""),"US_306 CAPS AD PROF LUIZ CERQUEIRA")</f>
        <v>US_306 CAPS AD PROF LUIZ CERQUEIRA</v>
      </c>
      <c r="G2129" s="11" t="str">
        <f>IFERROR(__xludf.DUMMYFUNCTION("""COMPUTED_VALUE"""),"US_306 CAPS AD PROF LUIZ CERQUEIRA")</f>
        <v>US_306 CAPS AD PROF LUIZ CERQUEIRA</v>
      </c>
      <c r="H2129" s="11"/>
      <c r="I2129" s="11"/>
      <c r="J2129" s="11"/>
      <c r="K2129" s="11"/>
      <c r="L2129" s="11"/>
      <c r="M2129" s="11"/>
      <c r="N2129" s="30" t="str">
        <f>IFERROR(__xludf.DUMMYFUNCTION("""COMPUTED_VALUE"""),"MAITESOUZAMED@HOTMAIL.COM")</f>
        <v>MAITESOUZAMED@HOTMAIL.COM</v>
      </c>
      <c r="O2129" s="11">
        <f>IFERROR(__xludf.DUMMYFUNCTION("""COMPUTED_VALUE"""),6769293463)</f>
        <v>6769293463</v>
      </c>
      <c r="P2129" s="11"/>
      <c r="Q2129" s="11"/>
      <c r="R2129" s="11"/>
      <c r="S2129" s="11"/>
      <c r="T2129" s="11"/>
      <c r="U2129" s="11"/>
      <c r="V2129" s="11"/>
      <c r="W2129" s="11"/>
      <c r="X2129" s="11"/>
      <c r="Y2129" s="11"/>
      <c r="Z2129" s="11"/>
    </row>
    <row r="2130" customHeight="1" spans="1:26">
      <c r="A2130" s="11" t="str">
        <f>IFERROR(__xludf.DUMMYFUNCTION("""COMPUTED_VALUE"""),"SIDNEY ROMULO DE A OLIVEIRA")</f>
        <v>SIDNEY ROMULO DE A OLIVEIRA</v>
      </c>
      <c r="B2130" s="11"/>
      <c r="C2130" s="11"/>
      <c r="D2130" s="11" t="str">
        <f>IFERROR(__xludf.DUMMYFUNCTION("""COMPUTED_VALUE"""),"PSIQUIATRIA")</f>
        <v>PSIQUIATRIA</v>
      </c>
      <c r="E2130" s="11"/>
      <c r="F2130" s="11" t="str">
        <f>IFERROR(__xludf.DUMMYFUNCTION("""COMPUTED_VALUE"""),"US_170 CAPS DR GALDINO LORETO")</f>
        <v>US_170 CAPS DR GALDINO LORETO</v>
      </c>
      <c r="G2130" s="11" t="str">
        <f>IFERROR(__xludf.DUMMYFUNCTION("""COMPUTED_VALUE"""),"US_170 CAPS DR GALDINO LORETO")</f>
        <v>US_170 CAPS DR GALDINO LORETO</v>
      </c>
      <c r="H2130" s="11"/>
      <c r="I2130" s="11"/>
      <c r="J2130" s="11"/>
      <c r="K2130" s="11"/>
      <c r="L2130" s="11"/>
      <c r="M2130" s="11"/>
      <c r="N2130" s="30" t="str">
        <f>IFERROR(__xludf.DUMMYFUNCTION("""COMPUTED_VALUE"""),"DRROMULO31@GMAIL.COM")</f>
        <v>DRROMULO31@GMAIL.COM</v>
      </c>
      <c r="O2130" s="11">
        <f>IFERROR(__xludf.DUMMYFUNCTION("""COMPUTED_VALUE"""),7344792478)</f>
        <v>7344792478</v>
      </c>
      <c r="P2130" s="11"/>
      <c r="Q2130" s="11"/>
      <c r="R2130" s="11"/>
      <c r="S2130" s="11"/>
      <c r="T2130" s="11"/>
      <c r="U2130" s="11"/>
      <c r="V2130" s="11"/>
      <c r="W2130" s="11"/>
      <c r="X2130" s="11"/>
      <c r="Y2130" s="11"/>
      <c r="Z2130" s="11"/>
    </row>
    <row r="2131" customHeight="1" spans="1:26">
      <c r="A2131" s="11" t="str">
        <f>IFERROR(__xludf.DUMMYFUNCTION("""COMPUTED_VALUE"""),"ALINE CRISTINA DA S CALIXTO")</f>
        <v>ALINE CRISTINA DA S CALIXTO</v>
      </c>
      <c r="B2131" s="11"/>
      <c r="C2131" s="11"/>
      <c r="D2131" s="11" t="str">
        <f>IFERROR(__xludf.DUMMYFUNCTION("""COMPUTED_VALUE"""),"PSIQUIATRIA")</f>
        <v>PSIQUIATRIA</v>
      </c>
      <c r="E2131" s="11"/>
      <c r="F2131" s="11" t="str">
        <f>IFERROR(__xludf.DUMMYFUNCTION("""COMPUTED_VALUE"""),"US_318 CAPS CPTRA CENTRO DE PREV TRAT E REAB DE ALCOOLISMO")</f>
        <v>US_318 CAPS CPTRA CENTRO DE PREV TRAT E REAB DE ALCOOLISMO</v>
      </c>
      <c r="G2131" s="11" t="str">
        <f>IFERROR(__xludf.DUMMYFUNCTION("""COMPUTED_VALUE"""),"US_318 CAPS CPTRA CENTRO DE PREV TRAT E REAB DE ALCOOLISMO")</f>
        <v>US_318 CAPS CPTRA CENTRO DE PREV TRAT E REAB DE ALCOOLISMO</v>
      </c>
      <c r="H2131" s="11"/>
      <c r="I2131" s="11"/>
      <c r="J2131" s="11"/>
      <c r="K2131" s="11"/>
      <c r="L2131" s="11"/>
      <c r="M2131" s="11"/>
      <c r="N2131" s="30" t="str">
        <f>IFERROR(__xludf.DUMMYFUNCTION("""COMPUTED_VALUE"""),"DRA.ALINECALIXTO@GMAIL.COM")</f>
        <v>DRA.ALINECALIXTO@GMAIL.COM</v>
      </c>
      <c r="O2131" s="11">
        <f>IFERROR(__xludf.DUMMYFUNCTION("""COMPUTED_VALUE"""),2934152421)</f>
        <v>2934152421</v>
      </c>
      <c r="P2131" s="11"/>
      <c r="Q2131" s="11"/>
      <c r="R2131" s="11"/>
      <c r="S2131" s="11"/>
      <c r="T2131" s="11"/>
      <c r="U2131" s="11"/>
      <c r="V2131" s="11"/>
      <c r="W2131" s="11"/>
      <c r="X2131" s="11"/>
      <c r="Y2131" s="11"/>
      <c r="Z2131" s="11"/>
    </row>
    <row r="2132" customHeight="1" spans="1:26">
      <c r="A2132" s="11" t="str">
        <f>IFERROR(__xludf.DUMMYFUNCTION("""COMPUTED_VALUE"""),"CARLA PINHEIRO MACIEL")</f>
        <v>CARLA PINHEIRO MACIEL</v>
      </c>
      <c r="B2132" s="11"/>
      <c r="C2132" s="11"/>
      <c r="D2132" s="11" t="str">
        <f>IFERROR(__xludf.DUMMYFUNCTION("""COMPUTED_VALUE"""),"PSIQUIATRIA")</f>
        <v>PSIQUIATRIA</v>
      </c>
      <c r="E2132" s="11"/>
      <c r="F2132" s="11" t="str">
        <f>IFERROR(__xludf.DUMMYFUNCTION("""COMPUTED_VALUE"""),"US_170 CAPS DR GALDINO LORETO")</f>
        <v>US_170 CAPS DR GALDINO LORETO</v>
      </c>
      <c r="G2132" s="11" t="str">
        <f>IFERROR(__xludf.DUMMYFUNCTION("""COMPUTED_VALUE"""),"US_170 CAPS DR GALDINO LORETO")</f>
        <v>US_170 CAPS DR GALDINO LORETO</v>
      </c>
      <c r="H2132" s="11"/>
      <c r="I2132" s="11"/>
      <c r="J2132" s="11"/>
      <c r="K2132" s="11"/>
      <c r="L2132" s="11"/>
      <c r="M2132" s="11"/>
      <c r="N2132" s="30" t="str">
        <f>IFERROR(__xludf.DUMMYFUNCTION("""COMPUTED_VALUE"""),"CARLA.MACIEL@GMAIL.COM")</f>
        <v>CARLA.MACIEL@GMAIL.COM</v>
      </c>
      <c r="O2132" s="11">
        <f>IFERROR(__xludf.DUMMYFUNCTION("""COMPUTED_VALUE"""),60013416308)</f>
        <v>60013416308</v>
      </c>
      <c r="P2132" s="11"/>
      <c r="Q2132" s="11"/>
      <c r="R2132" s="11"/>
      <c r="S2132" s="11"/>
      <c r="T2132" s="11"/>
      <c r="U2132" s="11"/>
      <c r="V2132" s="11"/>
      <c r="W2132" s="11"/>
      <c r="X2132" s="11"/>
      <c r="Y2132" s="11"/>
      <c r="Z2132" s="11"/>
    </row>
    <row r="2133" customHeight="1" spans="1:26">
      <c r="A2133" s="11" t="str">
        <f>IFERROR(__xludf.DUMMYFUNCTION("""COMPUTED_VALUE"""),"MARIANA DE ALBUQUERQUE LEAO")</f>
        <v>MARIANA DE ALBUQUERQUE LEAO</v>
      </c>
      <c r="B2133" s="11"/>
      <c r="C2133" s="11"/>
      <c r="D2133" s="11" t="str">
        <f>IFERROR(__xludf.DUMMYFUNCTION("""COMPUTED_VALUE"""),"PSIQUIATRIA")</f>
        <v>PSIQUIATRIA</v>
      </c>
      <c r="E2133" s="11"/>
      <c r="F2133" s="11" t="str">
        <f>IFERROR(__xludf.DUMMYFUNCTION("""COMPUTED_VALUE"""),"US_308 CAPS PROF ZALDO ROCHA")</f>
        <v>US_308 CAPS PROF ZALDO ROCHA</v>
      </c>
      <c r="G2133" s="11" t="str">
        <f>IFERROR(__xludf.DUMMYFUNCTION("""COMPUTED_VALUE"""),"US_308 CAPS PROF ZALDO ROCHA")</f>
        <v>US_308 CAPS PROF ZALDO ROCHA</v>
      </c>
      <c r="H2133" s="11"/>
      <c r="I2133" s="11"/>
      <c r="J2133" s="11"/>
      <c r="K2133" s="11"/>
      <c r="L2133" s="11"/>
      <c r="M2133" s="11"/>
      <c r="N2133" s="11"/>
      <c r="O2133" s="11">
        <f>IFERROR(__xludf.DUMMYFUNCTION("""COMPUTED_VALUE"""),8805102423)</f>
        <v>8805102423</v>
      </c>
      <c r="P2133" s="11"/>
      <c r="Q2133" s="11"/>
      <c r="R2133" s="11"/>
      <c r="S2133" s="11"/>
      <c r="T2133" s="11"/>
      <c r="U2133" s="11"/>
      <c r="V2133" s="11"/>
      <c r="W2133" s="11"/>
      <c r="X2133" s="11"/>
      <c r="Y2133" s="11"/>
      <c r="Z2133" s="11"/>
    </row>
    <row r="2134" customHeight="1" spans="1:26">
      <c r="A2134" s="11" t="str">
        <f>IFERROR(__xludf.DUMMYFUNCTION("""COMPUTED_VALUE"""),"ANA CAROLINA DE SOUZA PIERETTI")</f>
        <v>ANA CAROLINA DE SOUZA PIERETTI</v>
      </c>
      <c r="B2134" s="11"/>
      <c r="C2134" s="11"/>
      <c r="D2134" s="11" t="str">
        <f>IFERROR(__xludf.DUMMYFUNCTION("""COMPUTED_VALUE"""),"PSIQUIATRIA")</f>
        <v>PSIQUIATRIA</v>
      </c>
      <c r="E2134" s="11"/>
      <c r="F2134" s="11" t="str">
        <f>IFERROR(__xludf.DUMMYFUNCTION("""COMPUTED_VALUE"""),"US_277 CAPS ESPERANCA")</f>
        <v>US_277 CAPS ESPERANCA</v>
      </c>
      <c r="G2134" s="11" t="str">
        <f>IFERROR(__xludf.DUMMYFUNCTION("""COMPUTED_VALUE"""),"US_277 CAPS ESPERANCA")</f>
        <v>US_277 CAPS ESPERANCA</v>
      </c>
      <c r="H2134" s="11"/>
      <c r="I2134" s="11"/>
      <c r="J2134" s="11"/>
      <c r="K2134" s="11"/>
      <c r="L2134" s="11"/>
      <c r="M2134" s="11"/>
      <c r="N2134" s="30" t="str">
        <f>IFERROR(__xludf.DUMMYFUNCTION("""COMPUTED_VALUE"""),"contatodacarol@gmail.com")</f>
        <v>contatodacarol@gmail.com</v>
      </c>
      <c r="O2134" s="11">
        <f>IFERROR(__xludf.DUMMYFUNCTION("""COMPUTED_VALUE"""),5156691480)</f>
        <v>5156691480</v>
      </c>
      <c r="P2134" s="11"/>
      <c r="Q2134" s="11"/>
      <c r="R2134" s="11"/>
      <c r="S2134" s="11"/>
      <c r="T2134" s="11"/>
      <c r="U2134" s="11"/>
      <c r="V2134" s="11"/>
      <c r="W2134" s="11"/>
      <c r="X2134" s="11"/>
      <c r="Y2134" s="11"/>
      <c r="Z2134" s="11"/>
    </row>
    <row r="2135" customHeight="1" spans="1:26">
      <c r="A2135" s="11" t="str">
        <f>IFERROR(__xludf.DUMMYFUNCTION("""COMPUTED_VALUE"""),"WELLINGTON JORGE NUNES FILHO")</f>
        <v>WELLINGTON JORGE NUNES FILHO</v>
      </c>
      <c r="B2135" s="11"/>
      <c r="C2135" s="11"/>
      <c r="D2135" s="11" t="str">
        <f>IFERROR(__xludf.DUMMYFUNCTION("""COMPUTED_VALUE"""),"PSIQUIATRIA")</f>
        <v>PSIQUIATRIA</v>
      </c>
      <c r="E2135" s="11"/>
      <c r="F2135" s="11" t="str">
        <f>IFERROR(__xludf.DUMMYFUNCTION("""COMPUTED_VALUE"""),"US_170 CAPS DR GALDINO LORETO")</f>
        <v>US_170 CAPS DR GALDINO LORETO</v>
      </c>
      <c r="G2135" s="11" t="str">
        <f>IFERROR(__xludf.DUMMYFUNCTION("""COMPUTED_VALUE"""),"US_170 CAPS DR GALDINO LORETO")</f>
        <v>US_170 CAPS DR GALDINO LORETO</v>
      </c>
      <c r="H2135" s="11"/>
      <c r="I2135" s="11"/>
      <c r="J2135" s="11"/>
      <c r="K2135" s="11"/>
      <c r="L2135" s="11"/>
      <c r="M2135" s="11"/>
      <c r="N2135" s="30" t="str">
        <f>IFERROR(__xludf.DUMMYFUNCTION("""COMPUTED_VALUE"""),"wjfilho@hotmail.com")</f>
        <v>wjfilho@hotmail.com</v>
      </c>
      <c r="O2135" s="11">
        <f>IFERROR(__xludf.DUMMYFUNCTION("""COMPUTED_VALUE"""),7413593408)</f>
        <v>7413593408</v>
      </c>
      <c r="P2135" s="11"/>
      <c r="Q2135" s="11"/>
      <c r="R2135" s="11"/>
      <c r="S2135" s="11"/>
      <c r="T2135" s="11"/>
      <c r="U2135" s="11"/>
      <c r="V2135" s="11"/>
      <c r="W2135" s="11"/>
      <c r="X2135" s="11"/>
      <c r="Y2135" s="11"/>
      <c r="Z2135" s="11"/>
    </row>
    <row r="2136" customHeight="1" spans="1:26">
      <c r="A2136" s="11" t="str">
        <f>IFERROR(__xludf.DUMMYFUNCTION("""COMPUTED_VALUE"""),"MILTON TELES DE M JUNIOR")</f>
        <v>MILTON TELES DE M JUNIOR</v>
      </c>
      <c r="B2136" s="11"/>
      <c r="C2136" s="11"/>
      <c r="D2136" s="11" t="str">
        <f>IFERROR(__xludf.DUMMYFUNCTION("""COMPUTED_VALUE"""),"PSIQUIATRIA")</f>
        <v>PSIQUIATRIA</v>
      </c>
      <c r="E2136" s="11"/>
      <c r="F2136" s="11" t="str">
        <f>IFERROR(__xludf.DUMMYFUNCTION("""COMPUTED_VALUE"""),"US_330 CAPS ESPACO LIVREMENTE")</f>
        <v>US_330 CAPS ESPACO LIVREMENTE</v>
      </c>
      <c r="G2136" s="11" t="str">
        <f>IFERROR(__xludf.DUMMYFUNCTION("""COMPUTED_VALUE"""),"US_330 CAPS ESPACO LIVREMENTE")</f>
        <v>US_330 CAPS ESPACO LIVREMENTE</v>
      </c>
      <c r="H2136" s="11"/>
      <c r="I2136" s="11"/>
      <c r="J2136" s="11"/>
      <c r="K2136" s="11"/>
      <c r="L2136" s="11"/>
      <c r="M2136" s="11"/>
      <c r="N2136" s="30" t="str">
        <f>IFERROR(__xludf.DUMMYFUNCTION("""COMPUTED_VALUE"""),"miltonjuniorkyrios@gmail.com")</f>
        <v>miltonjuniorkyrios@gmail.com</v>
      </c>
      <c r="O2136" s="11">
        <f>IFERROR(__xludf.DUMMYFUNCTION("""COMPUTED_VALUE"""),5746010405)</f>
        <v>5746010405</v>
      </c>
      <c r="P2136" s="11"/>
      <c r="Q2136" s="11"/>
      <c r="R2136" s="11"/>
      <c r="S2136" s="11"/>
      <c r="T2136" s="11"/>
      <c r="U2136" s="11"/>
      <c r="V2136" s="11"/>
      <c r="W2136" s="11"/>
      <c r="X2136" s="11"/>
      <c r="Y2136" s="11"/>
      <c r="Z2136" s="11"/>
    </row>
    <row r="2137" customHeight="1" spans="1:26">
      <c r="A2137" s="11" t="str">
        <f>IFERROR(__xludf.DUMMYFUNCTION("""COMPUTED_VALUE"""),"ANDRE FELIPE DA SILVA MACEDO")</f>
        <v>ANDRE FELIPE DA SILVA MACEDO</v>
      </c>
      <c r="B2137" s="11"/>
      <c r="C2137" s="11"/>
      <c r="D2137" s="11" t="str">
        <f>IFERROR(__xludf.DUMMYFUNCTION("""COMPUTED_VALUE"""),"CLINICA GERAL")</f>
        <v>CLINICA GERAL</v>
      </c>
      <c r="E2137" s="11"/>
      <c r="F2137" s="11" t="str">
        <f>IFERROR(__xludf.DUMMYFUNCTION("""COMPUTED_VALUE"""),"US_306 CAPS AD PROF LUIZ CERQUEIRA")</f>
        <v>US_306 CAPS AD PROF LUIZ CERQUEIRA</v>
      </c>
      <c r="G2137" s="11" t="str">
        <f>IFERROR(__xludf.DUMMYFUNCTION("""COMPUTED_VALUE"""),"US_306 CAPS AD PROF LUIZ CERQUEIRA")</f>
        <v>US_306 CAPS AD PROF LUIZ CERQUEIRA</v>
      </c>
      <c r="H2137" s="11"/>
      <c r="I2137" s="11"/>
      <c r="J2137" s="11"/>
      <c r="K2137" s="11"/>
      <c r="L2137" s="11"/>
      <c r="M2137" s="11"/>
      <c r="N2137" s="30" t="str">
        <f>IFERROR(__xludf.DUMMYFUNCTION("""COMPUTED_VALUE"""),"andremacedo_@hotmail.com")</f>
        <v>andremacedo_@hotmail.com</v>
      </c>
      <c r="O2137" s="11">
        <f>IFERROR(__xludf.DUMMYFUNCTION("""COMPUTED_VALUE"""),8973127403)</f>
        <v>8973127403</v>
      </c>
      <c r="P2137" s="11"/>
      <c r="Q2137" s="11"/>
      <c r="R2137" s="11"/>
      <c r="S2137" s="11"/>
      <c r="T2137" s="11"/>
      <c r="U2137" s="11"/>
      <c r="V2137" s="11"/>
      <c r="W2137" s="11"/>
      <c r="X2137" s="11"/>
      <c r="Y2137" s="11"/>
      <c r="Z2137" s="11"/>
    </row>
    <row r="2138" customHeight="1" spans="1:26">
      <c r="A2138" s="11" t="str">
        <f>IFERROR(__xludf.DUMMYFUNCTION("""COMPUTED_VALUE"""),"RAQUEL DE SANTANA PRINCIPE")</f>
        <v>RAQUEL DE SANTANA PRINCIPE</v>
      </c>
      <c r="B2138" s="11"/>
      <c r="C2138" s="11"/>
      <c r="D2138" s="11" t="str">
        <f>IFERROR(__xludf.DUMMYFUNCTION("""COMPUTED_VALUE"""),"PSIQUIATRIA DA INFANCIA E ADOLESCENCIA")</f>
        <v>PSIQUIATRIA DA INFANCIA E ADOLESCENCIA</v>
      </c>
      <c r="E2138" s="11"/>
      <c r="F2138" s="11" t="str">
        <f>IFERROR(__xludf.DUMMYFUNCTION("""COMPUTED_VALUE"""),"US_343 CAPS CEMPI CENTRO MEDICO PSICO PEDAGOGICO INFANTIL")</f>
        <v>US_343 CAPS CEMPI CENTRO MEDICO PSICO PEDAGOGICO INFANTIL</v>
      </c>
      <c r="G2138" s="11" t="str">
        <f>IFERROR(__xludf.DUMMYFUNCTION("""COMPUTED_VALUE"""),"US_343 CAPS CEMPI CENTRO MEDICO PSICO PEDAGOGICO INFANTIL")</f>
        <v>US_343 CAPS CEMPI CENTRO MEDICO PSICO PEDAGOGICO INFANTIL</v>
      </c>
      <c r="H2138" s="11"/>
      <c r="I2138" s="11"/>
      <c r="J2138" s="11"/>
      <c r="K2138" s="11"/>
      <c r="L2138" s="11"/>
      <c r="M2138" s="11"/>
      <c r="N2138" s="30" t="str">
        <f>IFERROR(__xludf.DUMMYFUNCTION("""COMPUTED_VALUE"""),"raquelsprincipe@gmail.com")</f>
        <v>raquelsprincipe@gmail.com</v>
      </c>
      <c r="O2138" s="11">
        <f>IFERROR(__xludf.DUMMYFUNCTION("""COMPUTED_VALUE"""),5544634408)</f>
        <v>5544634408</v>
      </c>
      <c r="P2138" s="11"/>
      <c r="Q2138" s="11"/>
      <c r="R2138" s="11"/>
      <c r="S2138" s="11"/>
      <c r="T2138" s="11"/>
      <c r="U2138" s="11"/>
      <c r="V2138" s="11"/>
      <c r="W2138" s="11"/>
      <c r="X2138" s="11"/>
      <c r="Y2138" s="11"/>
      <c r="Z2138" s="11"/>
    </row>
    <row r="2139" customHeight="1" spans="1:26">
      <c r="A2139" s="11" t="str">
        <f>IFERROR(__xludf.DUMMYFUNCTION("""COMPUTED_VALUE"""),"CAROLINA VIEIRA ROLIM")</f>
        <v>CAROLINA VIEIRA ROLIM</v>
      </c>
      <c r="B2139" s="11"/>
      <c r="C2139" s="11"/>
      <c r="D2139" s="11" t="str">
        <f>IFERROR(__xludf.DUMMYFUNCTION("""COMPUTED_VALUE"""),"PSIQUIATRIA DA INFANCIA E ADOLESCENCIA")</f>
        <v>PSIQUIATRIA DA INFANCIA E ADOLESCENCIA</v>
      </c>
      <c r="E2139" s="11"/>
      <c r="F2139" s="11" t="str">
        <f>IFERROR(__xludf.DUMMYFUNCTION("""COMPUTED_VALUE"""),"US_308 CAPS PROF ZALDO ROCHA")</f>
        <v>US_308 CAPS PROF ZALDO ROCHA</v>
      </c>
      <c r="G2139" s="11" t="str">
        <f>IFERROR(__xludf.DUMMYFUNCTION("""COMPUTED_VALUE"""),"US_308 CAPS PROF ZALDO ROCHA")</f>
        <v>US_308 CAPS PROF ZALDO ROCHA</v>
      </c>
      <c r="H2139" s="11"/>
      <c r="I2139" s="11"/>
      <c r="J2139" s="11"/>
      <c r="K2139" s="11"/>
      <c r="L2139" s="11"/>
      <c r="M2139" s="11"/>
      <c r="N2139" s="30" t="str">
        <f>IFERROR(__xludf.DUMMYFUNCTION("""COMPUTED_VALUE"""),"carolina_rolim@hotmail.com")</f>
        <v>carolina_rolim@hotmail.com</v>
      </c>
      <c r="O2139" s="11">
        <f>IFERROR(__xludf.DUMMYFUNCTION("""COMPUTED_VALUE"""),8847106451)</f>
        <v>8847106451</v>
      </c>
      <c r="P2139" s="11"/>
      <c r="Q2139" s="11"/>
      <c r="R2139" s="11"/>
      <c r="S2139" s="11"/>
      <c r="T2139" s="11"/>
      <c r="U2139" s="11"/>
      <c r="V2139" s="11"/>
      <c r="W2139" s="11"/>
      <c r="X2139" s="11"/>
      <c r="Y2139" s="11"/>
      <c r="Z2139" s="11"/>
    </row>
    <row r="2140" customHeight="1" spans="1:26">
      <c r="A2140" s="11" t="str">
        <f>IFERROR(__xludf.DUMMYFUNCTION("""COMPUTED_VALUE"""),"TALITA CASTRO DE O E SILVA")</f>
        <v>TALITA CASTRO DE O E SILVA</v>
      </c>
      <c r="B2140" s="11"/>
      <c r="C2140" s="11"/>
      <c r="D2140" s="11" t="str">
        <f>IFERROR(__xludf.DUMMYFUNCTION("""COMPUTED_VALUE"""),"PSIQUIATRIA")</f>
        <v>PSIQUIATRIA</v>
      </c>
      <c r="E2140" s="11"/>
      <c r="F2140" s="11" t="str">
        <f>IFERROR(__xludf.DUMMYFUNCTION("""COMPUTED_VALUE"""),"US_330 CAPS ESPACO LIVREMENTE")</f>
        <v>US_330 CAPS ESPACO LIVREMENTE</v>
      </c>
      <c r="G2140" s="11" t="str">
        <f>IFERROR(__xludf.DUMMYFUNCTION("""COMPUTED_VALUE"""),"US_330 CAPS ESPACO LIVREMENTE")</f>
        <v>US_330 CAPS ESPACO LIVREMENTE</v>
      </c>
      <c r="H2140" s="11"/>
      <c r="I2140" s="11"/>
      <c r="J2140" s="11"/>
      <c r="K2140" s="11"/>
      <c r="L2140" s="11"/>
      <c r="M2140" s="11"/>
      <c r="N2140" s="30" t="str">
        <f>IFERROR(__xludf.DUMMYFUNCTION("""COMPUTED_VALUE"""),"talitacastroos@gmail.com")</f>
        <v>talitacastroos@gmail.com</v>
      </c>
      <c r="O2140" s="11">
        <f>IFERROR(__xludf.DUMMYFUNCTION("""COMPUTED_VALUE"""),8420176400)</f>
        <v>8420176400</v>
      </c>
      <c r="P2140" s="11"/>
      <c r="Q2140" s="11"/>
      <c r="R2140" s="11"/>
      <c r="S2140" s="11"/>
      <c r="T2140" s="11"/>
      <c r="U2140" s="11"/>
      <c r="V2140" s="11"/>
      <c r="W2140" s="11"/>
      <c r="X2140" s="11"/>
      <c r="Y2140" s="11"/>
      <c r="Z2140" s="11"/>
    </row>
    <row r="2141" customHeight="1" spans="1:26">
      <c r="A2141" s="11" t="str">
        <f>IFERROR(__xludf.DUMMYFUNCTION("""COMPUTED_VALUE"""),"LUANA FREIRE GOES LIMA")</f>
        <v>LUANA FREIRE GOES LIMA</v>
      </c>
      <c r="B2141" s="11"/>
      <c r="C2141" s="11"/>
      <c r="D2141" s="11" t="str">
        <f>IFERROR(__xludf.DUMMYFUNCTION("""COMPUTED_VALUE"""),"PEDIATRIA")</f>
        <v>PEDIATRIA</v>
      </c>
      <c r="E2141" s="11"/>
      <c r="F2141" s="11" t="str">
        <f>IFERROR(__xludf.DUMMYFUNCTION("""COMPUTED_VALUE"""),"US_308 CAPS PROF ZALDO ROCHA")</f>
        <v>US_308 CAPS PROF ZALDO ROCHA</v>
      </c>
      <c r="G2141" s="11" t="str">
        <f>IFERROR(__xludf.DUMMYFUNCTION("""COMPUTED_VALUE"""),"US_308 CAPS PROF ZALDO ROCHA")</f>
        <v>US_308 CAPS PROF ZALDO ROCHA</v>
      </c>
      <c r="H2141" s="11"/>
      <c r="I2141" s="11"/>
      <c r="J2141" s="11"/>
      <c r="K2141" s="11"/>
      <c r="L2141" s="11"/>
      <c r="M2141" s="11"/>
      <c r="N2141" s="30" t="str">
        <f>IFERROR(__xludf.DUMMYFUNCTION("""COMPUTED_VALUE"""),"luana_goes@hotmail.com")</f>
        <v>luana_goes@hotmail.com</v>
      </c>
      <c r="O2141" s="11">
        <f>IFERROR(__xludf.DUMMYFUNCTION("""COMPUTED_VALUE"""),8479749440)</f>
        <v>8479749440</v>
      </c>
      <c r="P2141" s="11"/>
      <c r="Q2141" s="11"/>
      <c r="R2141" s="11"/>
      <c r="S2141" s="11"/>
      <c r="T2141" s="11"/>
      <c r="U2141" s="11"/>
      <c r="V2141" s="11"/>
      <c r="W2141" s="11"/>
      <c r="X2141" s="11"/>
      <c r="Y2141" s="11"/>
      <c r="Z2141" s="11"/>
    </row>
    <row r="2142" customHeight="1" spans="1:26">
      <c r="A2142" s="11" t="str">
        <f>IFERROR(__xludf.DUMMYFUNCTION("""COMPUTED_VALUE"""),"KARINA FARIAS FERRAZ")</f>
        <v>KARINA FARIAS FERRAZ</v>
      </c>
      <c r="B2142" s="11"/>
      <c r="C2142" s="11"/>
      <c r="D2142" s="11" t="str">
        <f>IFERROR(__xludf.DUMMYFUNCTION("""COMPUTED_VALUE"""),"PSIQUIATRIA")</f>
        <v>PSIQUIATRIA</v>
      </c>
      <c r="E2142" s="11"/>
      <c r="F2142" s="11" t="str">
        <f>IFERROR(__xludf.DUMMYFUNCTION("""COMPUTED_VALUE"""),"US_343 CAPS CEMPI CENTRO MEDICO PSICO PEDAGOGICO INFANTIL")</f>
        <v>US_343 CAPS CEMPI CENTRO MEDICO PSICO PEDAGOGICO INFANTIL</v>
      </c>
      <c r="G2142" s="11" t="str">
        <f>IFERROR(__xludf.DUMMYFUNCTION("""COMPUTED_VALUE"""),"US_343 CAPS CEMPI CENTRO MEDICO PSICO PEDAGOGICO INFANTIL")</f>
        <v>US_343 CAPS CEMPI CENTRO MEDICO PSICO PEDAGOGICO INFANTIL</v>
      </c>
      <c r="H2142" s="11"/>
      <c r="I2142" s="11"/>
      <c r="J2142" s="11"/>
      <c r="K2142" s="11"/>
      <c r="L2142" s="11"/>
      <c r="M2142" s="11"/>
      <c r="N2142" s="30" t="str">
        <f>IFERROR(__xludf.DUMMYFUNCTION("""COMPUTED_VALUE"""),"kafafe13@gmail.com")</f>
        <v>kafafe13@gmail.com</v>
      </c>
      <c r="O2142" s="11">
        <f>IFERROR(__xludf.DUMMYFUNCTION("""COMPUTED_VALUE"""),6357140430)</f>
        <v>6357140430</v>
      </c>
      <c r="P2142" s="11"/>
      <c r="Q2142" s="11"/>
      <c r="R2142" s="11"/>
      <c r="S2142" s="11"/>
      <c r="T2142" s="11"/>
      <c r="U2142" s="11"/>
      <c r="V2142" s="11"/>
      <c r="W2142" s="11"/>
      <c r="X2142" s="11"/>
      <c r="Y2142" s="11"/>
      <c r="Z2142" s="11"/>
    </row>
    <row r="2143" customHeight="1" spans="1:26">
      <c r="A2143" s="11" t="str">
        <f>IFERROR(__xludf.DUMMYFUNCTION("""COMPUTED_VALUE"""),"ALINE BORGES BEZERRA")</f>
        <v>ALINE BORGES BEZERRA</v>
      </c>
      <c r="B2143" s="11"/>
      <c r="C2143" s="11"/>
      <c r="D2143" s="11" t="str">
        <f>IFERROR(__xludf.DUMMYFUNCTION("""COMPUTED_VALUE"""),"PSIQUIATRIA")</f>
        <v>PSIQUIATRIA</v>
      </c>
      <c r="E2143" s="11"/>
      <c r="F2143" s="11" t="str">
        <f>IFERROR(__xludf.DUMMYFUNCTION("""COMPUTED_VALUE"""),"US_253 CAPS ESPACO VIDA")</f>
        <v>US_253 CAPS ESPACO VIDA</v>
      </c>
      <c r="G2143" s="11" t="str">
        <f>IFERROR(__xludf.DUMMYFUNCTION("""COMPUTED_VALUE"""),"US_253 CAPS ESPACO VIDA")</f>
        <v>US_253 CAPS ESPACO VIDA</v>
      </c>
      <c r="H2143" s="11"/>
      <c r="I2143" s="11"/>
      <c r="J2143" s="11"/>
      <c r="K2143" s="11"/>
      <c r="L2143" s="11"/>
      <c r="M2143" s="11"/>
      <c r="N2143" s="30" t="str">
        <f>IFERROR(__xludf.DUMMYFUNCTION("""COMPUTED_VALUE"""),"Alineborgesb@hotmail.com")</f>
        <v>Alineborgesb@hotmail.com</v>
      </c>
      <c r="O2143" s="11">
        <f>IFERROR(__xludf.DUMMYFUNCTION("""COMPUTED_VALUE"""),8126570474)</f>
        <v>8126570474</v>
      </c>
      <c r="P2143" s="11"/>
      <c r="Q2143" s="11"/>
      <c r="R2143" s="11"/>
      <c r="S2143" s="11"/>
      <c r="T2143" s="11"/>
      <c r="U2143" s="11"/>
      <c r="V2143" s="11"/>
      <c r="W2143" s="11"/>
      <c r="X2143" s="11"/>
      <c r="Y2143" s="11"/>
      <c r="Z2143" s="11"/>
    </row>
    <row r="2144" customHeight="1" spans="1:26">
      <c r="A2144" s="11" t="str">
        <f>IFERROR(__xludf.DUMMYFUNCTION("""COMPUTED_VALUE"""),"MICAELLE MARIA B DE OLIVEIRA")</f>
        <v>MICAELLE MARIA B DE OLIVEIRA</v>
      </c>
      <c r="B2144" s="11"/>
      <c r="C2144" s="11"/>
      <c r="D2144" s="11" t="str">
        <f>IFERROR(__xludf.DUMMYFUNCTION("""COMPUTED_VALUE"""),"PSIQUIATRIA")</f>
        <v>PSIQUIATRIA</v>
      </c>
      <c r="E2144" s="11"/>
      <c r="F2144" s="11" t="str">
        <f>IFERROR(__xludf.DUMMYFUNCTION("""COMPUTED_VALUE"""),"US_306 CAPS AD PROF LUIZ CERQUEIRA")</f>
        <v>US_306 CAPS AD PROF LUIZ CERQUEIRA</v>
      </c>
      <c r="G2144" s="11" t="str">
        <f>IFERROR(__xludf.DUMMYFUNCTION("""COMPUTED_VALUE"""),"US_306 CAPS AD PROF LUIZ CERQUEIRA")</f>
        <v>US_306 CAPS AD PROF LUIZ CERQUEIRA</v>
      </c>
      <c r="H2144" s="11"/>
      <c r="I2144" s="11"/>
      <c r="J2144" s="11"/>
      <c r="K2144" s="11"/>
      <c r="L2144" s="11"/>
      <c r="M2144" s="11"/>
      <c r="N2144" s="30" t="str">
        <f>IFERROR(__xludf.DUMMYFUNCTION("""COMPUTED_VALUE"""),"mica.elle@hotmail.com")</f>
        <v>mica.elle@hotmail.com</v>
      </c>
      <c r="O2144" s="11">
        <f>IFERROR(__xludf.DUMMYFUNCTION("""COMPUTED_VALUE"""),2592420126)</f>
        <v>2592420126</v>
      </c>
      <c r="P2144" s="11"/>
      <c r="Q2144" s="11"/>
      <c r="R2144" s="11"/>
      <c r="S2144" s="11"/>
      <c r="T2144" s="11"/>
      <c r="U2144" s="11"/>
      <c r="V2144" s="11"/>
      <c r="W2144" s="11"/>
      <c r="X2144" s="11"/>
      <c r="Y2144" s="11"/>
      <c r="Z2144" s="11"/>
    </row>
    <row r="2145" customHeight="1" spans="1:26">
      <c r="A2145" s="11" t="str">
        <f>IFERROR(__xludf.DUMMYFUNCTION("""COMPUTED_VALUE"""),"THIAGO VIEIRA NOBREGA DA MOTTA")</f>
        <v>THIAGO VIEIRA NOBREGA DA MOTTA</v>
      </c>
      <c r="B2145" s="11"/>
      <c r="C2145" s="11"/>
      <c r="D2145" s="11" t="str">
        <f>IFERROR(__xludf.DUMMYFUNCTION("""COMPUTED_VALUE"""),"PSIQUIATRIA")</f>
        <v>PSIQUIATRIA</v>
      </c>
      <c r="E2145" s="11"/>
      <c r="F2145" s="11" t="str">
        <f>IFERROR(__xludf.DUMMYFUNCTION("""COMPUTED_VALUE"""),"US_263 CAPS JOSE CARLOS SOUTO")</f>
        <v>US_263 CAPS JOSE CARLOS SOUTO</v>
      </c>
      <c r="G2145" s="11" t="str">
        <f>IFERROR(__xludf.DUMMYFUNCTION("""COMPUTED_VALUE"""),"US_263 CAPS JOSE CARLOS SOUTO")</f>
        <v>US_263 CAPS JOSE CARLOS SOUTO</v>
      </c>
      <c r="H2145" s="11"/>
      <c r="I2145" s="11"/>
      <c r="J2145" s="11"/>
      <c r="K2145" s="11"/>
      <c r="L2145" s="11"/>
      <c r="M2145" s="11"/>
      <c r="N2145" s="30" t="str">
        <f>IFERROR(__xludf.DUMMYFUNCTION("""COMPUTED_VALUE"""),"vieiramotta@hotmail.com")</f>
        <v>vieiramotta@hotmail.com</v>
      </c>
      <c r="O2145" s="11">
        <f>IFERROR(__xludf.DUMMYFUNCTION("""COMPUTED_VALUE"""),8496044602)</f>
        <v>8496044602</v>
      </c>
      <c r="P2145" s="11"/>
      <c r="Q2145" s="11"/>
      <c r="R2145" s="11"/>
      <c r="S2145" s="11"/>
      <c r="T2145" s="11"/>
      <c r="U2145" s="11"/>
      <c r="V2145" s="11"/>
      <c r="W2145" s="11"/>
      <c r="X2145" s="11"/>
      <c r="Y2145" s="11"/>
      <c r="Z2145" s="11"/>
    </row>
    <row r="2146" customHeight="1" spans="1:26">
      <c r="A2146" s="11" t="str">
        <f>IFERROR(__xludf.DUMMYFUNCTION("""COMPUTED_VALUE"""),"LUIZ ANTONIO V DOS SANTOS")</f>
        <v>LUIZ ANTONIO V DOS SANTOS</v>
      </c>
      <c r="B2146" s="11"/>
      <c r="C2146" s="11"/>
      <c r="D2146" s="11" t="str">
        <f>IFERROR(__xludf.DUMMYFUNCTION("""COMPUTED_VALUE"""),"PSIQUIATRIA")</f>
        <v>PSIQUIATRIA</v>
      </c>
      <c r="E2146" s="11"/>
      <c r="F2146" s="11" t="str">
        <f>IFERROR(__xludf.DUMMYFUNCTION("""COMPUTED_VALUE"""),"US_330 CAPS ESPACO LIVREMENTE")</f>
        <v>US_330 CAPS ESPACO LIVREMENTE</v>
      </c>
      <c r="G2146" s="11" t="str">
        <f>IFERROR(__xludf.DUMMYFUNCTION("""COMPUTED_VALUE"""),"US_330 CAPS ESPACO LIVREMENTE")</f>
        <v>US_330 CAPS ESPACO LIVREMENTE</v>
      </c>
      <c r="H2146" s="11"/>
      <c r="I2146" s="11"/>
      <c r="J2146" s="11"/>
      <c r="K2146" s="11"/>
      <c r="L2146" s="11"/>
      <c r="M2146" s="11"/>
      <c r="N2146" s="30" t="str">
        <f>IFERROR(__xludf.DUMMYFUNCTION("""COMPUTED_VALUE"""),"luizantonio.santos87@gmail.com")</f>
        <v>luizantonio.santos87@gmail.com</v>
      </c>
      <c r="O2146" s="11">
        <f>IFERROR(__xludf.DUMMYFUNCTION("""COMPUTED_VALUE"""),1381576427)</f>
        <v>1381576427</v>
      </c>
      <c r="P2146" s="11"/>
      <c r="Q2146" s="11"/>
      <c r="R2146" s="11"/>
      <c r="S2146" s="11"/>
      <c r="T2146" s="11"/>
      <c r="U2146" s="11"/>
      <c r="V2146" s="11"/>
      <c r="W2146" s="11"/>
      <c r="X2146" s="11"/>
      <c r="Y2146" s="11"/>
      <c r="Z2146" s="11"/>
    </row>
    <row r="2147" customHeight="1" spans="1:26">
      <c r="A2147" s="11" t="str">
        <f>IFERROR(__xludf.DUMMYFUNCTION("""COMPUTED_VALUE"""),"MONICA CORTEZ GOMES DA SILVA")</f>
        <v>MONICA CORTEZ GOMES DA SILVA</v>
      </c>
      <c r="B2147" s="11"/>
      <c r="C2147" s="11"/>
      <c r="D2147" s="11" t="str">
        <f>IFERROR(__xludf.DUMMYFUNCTION("""COMPUTED_VALUE"""),"CLINICA MEDICA")</f>
        <v>CLINICA MEDICA</v>
      </c>
      <c r="E2147" s="11"/>
      <c r="F2147" s="11" t="str">
        <f>IFERROR(__xludf.DUMMYFUNCTION("""COMPUTED_VALUE"""),"US_306 CAPS AD PROF LUIZ CERQUEIRA")</f>
        <v>US_306 CAPS AD PROF LUIZ CERQUEIRA</v>
      </c>
      <c r="G2147" s="11" t="str">
        <f>IFERROR(__xludf.DUMMYFUNCTION("""COMPUTED_VALUE"""),"US_306 CAPS AD PROF LUIZ CERQUEIRA")</f>
        <v>US_306 CAPS AD PROF LUIZ CERQUEIRA</v>
      </c>
      <c r="H2147" s="11"/>
      <c r="I2147" s="11"/>
      <c r="J2147" s="11"/>
      <c r="K2147" s="11"/>
      <c r="L2147" s="11"/>
      <c r="M2147" s="11"/>
      <c r="N2147" s="30" t="str">
        <f>IFERROR(__xludf.DUMMYFUNCTION("""COMPUTED_VALUE"""),"cortez.monica@gmail.com")</f>
        <v>cortez.monica@gmail.com</v>
      </c>
      <c r="O2147" s="11">
        <f>IFERROR(__xludf.DUMMYFUNCTION("""COMPUTED_VALUE"""),5286440410)</f>
        <v>5286440410</v>
      </c>
      <c r="P2147" s="11"/>
      <c r="Q2147" s="11"/>
      <c r="R2147" s="11"/>
      <c r="S2147" s="11"/>
      <c r="T2147" s="11"/>
      <c r="U2147" s="11"/>
      <c r="V2147" s="11"/>
      <c r="W2147" s="11"/>
      <c r="X2147" s="11"/>
      <c r="Y2147" s="11"/>
      <c r="Z2147" s="11"/>
    </row>
    <row r="2148" customHeight="1" spans="1:26">
      <c r="A2148" s="11" t="str">
        <f>IFERROR(__xludf.DUMMYFUNCTION("""COMPUTED_VALUE"""),"DAVID PINHEIRO")</f>
        <v>DAVID PINHEIRO</v>
      </c>
      <c r="B2148" s="11"/>
      <c r="C2148" s="11"/>
      <c r="D2148" s="11" t="str">
        <f>IFERROR(__xludf.DUMMYFUNCTION("""COMPUTED_VALUE"""),"PSIQUIATRIA")</f>
        <v>PSIQUIATRIA</v>
      </c>
      <c r="E2148" s="11"/>
      <c r="F2148" s="11" t="str">
        <f>IFERROR(__xludf.DUMMYFUNCTION("""COMPUTED_VALUE"""),"US_320 CAPS CENTRO EULAMPIO CORDEIRO DE RECUPERACAO HUMANA")</f>
        <v>US_320 CAPS CENTRO EULAMPIO CORDEIRO DE RECUPERACAO HUMANA</v>
      </c>
      <c r="G2148" s="11" t="str">
        <f>IFERROR(__xludf.DUMMYFUNCTION("""COMPUTED_VALUE"""),"US_320 CAPS CENTRO EULAMPIO CORDEIRO DE RECUPERACAO HUMANA")</f>
        <v>US_320 CAPS CENTRO EULAMPIO CORDEIRO DE RECUPERACAO HUMANA</v>
      </c>
      <c r="H2148" s="11"/>
      <c r="I2148" s="11"/>
      <c r="J2148" s="11"/>
      <c r="K2148" s="11"/>
      <c r="L2148" s="11"/>
      <c r="M2148" s="11"/>
      <c r="N2148" s="30" t="str">
        <f>IFERROR(__xludf.DUMMYFUNCTION("""COMPUTED_VALUE"""),"david_ufc@yahoo.com.br")</f>
        <v>david_ufc@yahoo.com.br</v>
      </c>
      <c r="O2148" s="11">
        <f>IFERROR(__xludf.DUMMYFUNCTION("""COMPUTED_VALUE"""),238343316)</f>
        <v>238343316</v>
      </c>
      <c r="P2148" s="11"/>
      <c r="Q2148" s="11"/>
      <c r="R2148" s="11"/>
      <c r="S2148" s="11"/>
      <c r="T2148" s="11"/>
      <c r="U2148" s="11"/>
      <c r="V2148" s="11"/>
      <c r="W2148" s="11"/>
      <c r="X2148" s="11"/>
      <c r="Y2148" s="11"/>
      <c r="Z2148" s="11"/>
    </row>
    <row r="2149" customHeight="1" spans="1:26">
      <c r="A2149" s="11" t="str">
        <f>IFERROR(__xludf.DUMMYFUNCTION("""COMPUTED_VALUE"""),"CLARENCE SILVA RAMOS")</f>
        <v>CLARENCE SILVA RAMOS</v>
      </c>
      <c r="B2149" s="11"/>
      <c r="C2149" s="11"/>
      <c r="D2149" s="11" t="str">
        <f>IFERROR(__xludf.DUMMYFUNCTION("""COMPUTED_VALUE"""),"PSIQUIATRIA")</f>
        <v>PSIQUIATRIA</v>
      </c>
      <c r="E2149" s="11"/>
      <c r="F2149" s="11" t="str">
        <f>IFERROR(__xludf.DUMMYFUNCTION("""COMPUTED_VALUE"""),"US_348 CAPS BOA VISTA ")</f>
        <v>US_348 CAPS BOA VISTA </v>
      </c>
      <c r="G2149" s="11" t="str">
        <f>IFERROR(__xludf.DUMMYFUNCTION("""COMPUTED_VALUE"""),"US_348 CAPS BOA VISTA ")</f>
        <v>US_348 CAPS BOA VISTA </v>
      </c>
      <c r="H2149" s="11"/>
      <c r="I2149" s="11"/>
      <c r="J2149" s="11"/>
      <c r="K2149" s="11"/>
      <c r="L2149" s="11"/>
      <c r="M2149" s="11"/>
      <c r="N2149" s="30" t="str">
        <f>IFERROR(__xludf.DUMMYFUNCTION("""COMPUTED_VALUE"""),"clarenceramos15@hotmail.com")</f>
        <v>clarenceramos15@hotmail.com</v>
      </c>
      <c r="O2149" s="11">
        <f>IFERROR(__xludf.DUMMYFUNCTION("""COMPUTED_VALUE"""),3606649380)</f>
        <v>3606649380</v>
      </c>
      <c r="P2149" s="11"/>
      <c r="Q2149" s="11"/>
      <c r="R2149" s="11"/>
      <c r="S2149" s="11"/>
      <c r="T2149" s="11"/>
      <c r="U2149" s="11"/>
      <c r="V2149" s="11"/>
      <c r="W2149" s="11"/>
      <c r="X2149" s="11"/>
      <c r="Y2149" s="11"/>
      <c r="Z2149" s="11"/>
    </row>
    <row r="2150" customHeight="1" spans="1:26">
      <c r="A2150" s="11" t="str">
        <f>IFERROR(__xludf.DUMMYFUNCTION("""COMPUTED_VALUE"""),"HELENA FERREIRA CERQUEIRA")</f>
        <v>HELENA FERREIRA CERQUEIRA</v>
      </c>
      <c r="B2150" s="11"/>
      <c r="C2150" s="11"/>
      <c r="D2150" s="11" t="str">
        <f>IFERROR(__xludf.DUMMYFUNCTION("""COMPUTED_VALUE"""),"PSIQUIATRIA")</f>
        <v>PSIQUIATRIA</v>
      </c>
      <c r="E2150" s="11"/>
      <c r="F2150" s="11" t="str">
        <f>IFERROR(__xludf.DUMMYFUNCTION("""COMPUTED_VALUE"""),"US_263 CAPS JOSE CARLOS SOUTO")</f>
        <v>US_263 CAPS JOSE CARLOS SOUTO</v>
      </c>
      <c r="G2150" s="11" t="str">
        <f>IFERROR(__xludf.DUMMYFUNCTION("""COMPUTED_VALUE"""),"US_263 CAPS JOSE CARLOS SOUTO")</f>
        <v>US_263 CAPS JOSE CARLOS SOUTO</v>
      </c>
      <c r="H2150" s="11"/>
      <c r="I2150" s="11"/>
      <c r="J2150" s="11"/>
      <c r="K2150" s="11"/>
      <c r="L2150" s="11"/>
      <c r="M2150" s="11"/>
      <c r="N2150" s="30" t="str">
        <f>IFERROR(__xludf.DUMMYFUNCTION("""COMPUTED_VALUE"""),"helenafcerqueira@gmail.com")</f>
        <v>helenafcerqueira@gmail.com</v>
      </c>
      <c r="O2150" s="11">
        <f>IFERROR(__xludf.DUMMYFUNCTION("""COMPUTED_VALUE"""),6389354665)</f>
        <v>6389354665</v>
      </c>
      <c r="P2150" s="11"/>
      <c r="Q2150" s="11"/>
      <c r="R2150" s="11"/>
      <c r="S2150" s="11"/>
      <c r="T2150" s="11"/>
      <c r="U2150" s="11"/>
      <c r="V2150" s="11"/>
      <c r="W2150" s="11"/>
      <c r="X2150" s="11"/>
      <c r="Y2150" s="11"/>
      <c r="Z2150" s="11"/>
    </row>
    <row r="2151" customHeight="1" spans="1:26">
      <c r="A2151" s="11" t="str">
        <f>IFERROR(__xludf.DUMMYFUNCTION("""COMPUTED_VALUE"""),"RAFAEL LISBOA SOUZA FERREIRA")</f>
        <v>RAFAEL LISBOA SOUZA FERREIRA</v>
      </c>
      <c r="B2151" s="11"/>
      <c r="C2151" s="11"/>
      <c r="D2151" s="11" t="str">
        <f>IFERROR(__xludf.DUMMYFUNCTION("""COMPUTED_VALUE"""),"PSIQUIATRIA")</f>
        <v>PSIQUIATRIA</v>
      </c>
      <c r="E2151" s="11"/>
      <c r="F2151" s="11" t="str">
        <f>IFERROR(__xludf.DUMMYFUNCTION("""COMPUTED_VALUE"""),"US_304 CAPS DAVID CAPISTRANO")</f>
        <v>US_304 CAPS DAVID CAPISTRANO</v>
      </c>
      <c r="G2151" s="11" t="str">
        <f>IFERROR(__xludf.DUMMYFUNCTION("""COMPUTED_VALUE"""),"US_304 CAPS DAVID CAPISTRANO")</f>
        <v>US_304 CAPS DAVID CAPISTRANO</v>
      </c>
      <c r="H2151" s="11"/>
      <c r="I2151" s="11"/>
      <c r="J2151" s="11"/>
      <c r="K2151" s="11"/>
      <c r="L2151" s="11"/>
      <c r="M2151" s="11"/>
      <c r="N2151" s="30" t="str">
        <f>IFERROR(__xludf.DUMMYFUNCTION("""COMPUTED_VALUE"""),"rafael.lisboa.sr@gmail.com")</f>
        <v>rafael.lisboa.sr@gmail.com</v>
      </c>
      <c r="O2151" s="11">
        <f>IFERROR(__xludf.DUMMYFUNCTION("""COMPUTED_VALUE"""),5008806467)</f>
        <v>5008806467</v>
      </c>
      <c r="P2151" s="11"/>
      <c r="Q2151" s="11"/>
      <c r="R2151" s="11"/>
      <c r="S2151" s="11"/>
      <c r="T2151" s="11"/>
      <c r="U2151" s="11"/>
      <c r="V2151" s="11"/>
      <c r="W2151" s="11"/>
      <c r="X2151" s="11"/>
      <c r="Y2151" s="11"/>
      <c r="Z2151" s="11"/>
    </row>
    <row r="2152" customHeight="1" spans="1:26">
      <c r="A2152" s="11" t="str">
        <f>IFERROR(__xludf.DUMMYFUNCTION("""COMPUTED_VALUE"""),"ANA CARLA LOPES DE ALBUQUERQUE")</f>
        <v>ANA CARLA LOPES DE ALBUQUERQUE</v>
      </c>
      <c r="B2152" s="11"/>
      <c r="C2152" s="11"/>
      <c r="D2152" s="11" t="str">
        <f>IFERROR(__xludf.DUMMYFUNCTION("""COMPUTED_VALUE"""),"PSIQUIATRIA")</f>
        <v>PSIQUIATRIA</v>
      </c>
      <c r="E2152" s="11"/>
      <c r="F2152" s="11" t="str">
        <f>IFERROR(__xludf.DUMMYFUNCTION("""COMPUTED_VALUE"""),"US_318 CAPS CPTRA CENTRO DE PREV TRAT E REAB DE ALCOOLISMO")</f>
        <v>US_318 CAPS CPTRA CENTRO DE PREV TRAT E REAB DE ALCOOLISMO</v>
      </c>
      <c r="G2152" s="11" t="str">
        <f>IFERROR(__xludf.DUMMYFUNCTION("""COMPUTED_VALUE"""),"US_318 CAPS CPTRA CENTRO DE PREV TRAT E REAB DE ALCOOLISMO")</f>
        <v>US_318 CAPS CPTRA CENTRO DE PREV TRAT E REAB DE ALCOOLISMO</v>
      </c>
      <c r="H2152" s="11"/>
      <c r="I2152" s="11"/>
      <c r="J2152" s="11"/>
      <c r="K2152" s="11"/>
      <c r="L2152" s="11"/>
      <c r="M2152" s="11"/>
      <c r="N2152" s="30" t="str">
        <f>IFERROR(__xludf.DUMMYFUNCTION("""COMPUTED_VALUE"""),"anaclda@yahoo.com.br")</f>
        <v>anaclda@yahoo.com.br</v>
      </c>
      <c r="O2152" s="11">
        <f>IFERROR(__xludf.DUMMYFUNCTION("""COMPUTED_VALUE"""),4879905445)</f>
        <v>4879905445</v>
      </c>
      <c r="P2152" s="11"/>
      <c r="Q2152" s="11"/>
      <c r="R2152" s="11"/>
      <c r="S2152" s="11"/>
      <c r="T2152" s="11"/>
      <c r="U2152" s="11"/>
      <c r="V2152" s="11"/>
      <c r="W2152" s="11"/>
      <c r="X2152" s="11"/>
      <c r="Y2152" s="11"/>
      <c r="Z2152" s="11"/>
    </row>
    <row r="2153" customHeight="1" spans="1:26">
      <c r="A2153" s="11" t="str">
        <f>IFERROR(__xludf.DUMMYFUNCTION("""COMPUTED_VALUE"""),"GEORGIA MARIA A DE PAULA LOPES")</f>
        <v>GEORGIA MARIA A DE PAULA LOPES</v>
      </c>
      <c r="B2153" s="11"/>
      <c r="C2153" s="11"/>
      <c r="D2153" s="11" t="str">
        <f>IFERROR(__xludf.DUMMYFUNCTION("""COMPUTED_VALUE"""),"PSIQUIATRIA")</f>
        <v>PSIQUIATRIA</v>
      </c>
      <c r="E2153" s="11"/>
      <c r="F2153" s="11" t="str">
        <f>IFERROR(__xludf.DUMMYFUNCTION("""COMPUTED_VALUE"""),"US_318 CAPS CPTRA CENTRO DE PREV TRAT E REAB DE ALCOOLISMO")</f>
        <v>US_318 CAPS CPTRA CENTRO DE PREV TRAT E REAB DE ALCOOLISMO</v>
      </c>
      <c r="G2153" s="11" t="str">
        <f>IFERROR(__xludf.DUMMYFUNCTION("""COMPUTED_VALUE"""),"US_318 CAPS CPTRA CENTRO DE PREV TRAT E REAB DE ALCOOLISMO")</f>
        <v>US_318 CAPS CPTRA CENTRO DE PREV TRAT E REAB DE ALCOOLISMO</v>
      </c>
      <c r="H2153" s="11"/>
      <c r="I2153" s="11"/>
      <c r="J2153" s="11"/>
      <c r="K2153" s="11"/>
      <c r="L2153" s="11"/>
      <c r="M2153" s="11"/>
      <c r="N2153" s="30" t="str">
        <f>IFERROR(__xludf.DUMMYFUNCTION("""COMPUTED_VALUE"""),"georgialopes67@gmail.com")</f>
        <v>georgialopes67@gmail.com</v>
      </c>
      <c r="O2153" s="11">
        <f>IFERROR(__xludf.DUMMYFUNCTION("""COMPUTED_VALUE"""),52873781491)</f>
        <v>52873781491</v>
      </c>
      <c r="P2153" s="11"/>
      <c r="Q2153" s="11"/>
      <c r="R2153" s="11"/>
      <c r="S2153" s="11"/>
      <c r="T2153" s="11"/>
      <c r="U2153" s="11"/>
      <c r="V2153" s="11"/>
      <c r="W2153" s="11"/>
      <c r="X2153" s="11"/>
      <c r="Y2153" s="11"/>
      <c r="Z2153" s="11"/>
    </row>
    <row r="2154" customHeight="1" spans="1:26">
      <c r="A2154" s="11" t="str">
        <f>IFERROR(__xludf.DUMMYFUNCTION("""COMPUTED_VALUE"""),"ANA TEREZA C C DE ALBUQUERQUE")</f>
        <v>ANA TEREZA C C DE ALBUQUERQUE</v>
      </c>
      <c r="B2154" s="11"/>
      <c r="C2154" s="11"/>
      <c r="D2154" s="11" t="str">
        <f>IFERROR(__xludf.DUMMYFUNCTION("""COMPUTED_VALUE"""),"NEFROLOGIA")</f>
        <v>NEFROLOGIA</v>
      </c>
      <c r="E2154" s="11"/>
      <c r="F2154" s="11" t="str">
        <f>IFERROR(__xludf.DUMMYFUNCTION("""COMPUTED_VALUE"""),"US_217 CENTRO MEDICO SEN JOSE ERMIRIO DE MORAES")</f>
        <v>US_217 CENTRO MEDICO SEN JOSE ERMIRIO DE MORAES</v>
      </c>
      <c r="G2154" s="11" t="str">
        <f>IFERROR(__xludf.DUMMYFUNCTION("""COMPUTED_VALUE"""),"US_217 CENTRO MEDICO SEN JOSE ERMIRIO DE MORAES")</f>
        <v>US_217 CENTRO MEDICO SEN JOSE ERMIRIO DE MORAES</v>
      </c>
      <c r="H2154" s="11"/>
      <c r="I2154" s="11"/>
      <c r="J2154" s="11"/>
      <c r="K2154" s="11"/>
      <c r="L2154" s="11"/>
      <c r="M2154" s="11"/>
      <c r="N2154" s="30" t="str">
        <f>IFERROR(__xludf.DUMMYFUNCTION("""COMPUTED_VALUE"""),"anacalb@terra.com.br")</f>
        <v>anacalb@terra.com.br</v>
      </c>
      <c r="O2154" s="11">
        <f>IFERROR(__xludf.DUMMYFUNCTION("""COMPUTED_VALUE"""),45575088472)</f>
        <v>45575088472</v>
      </c>
      <c r="P2154" s="11"/>
      <c r="Q2154" s="11"/>
      <c r="R2154" s="11"/>
      <c r="S2154" s="11"/>
      <c r="T2154" s="11"/>
      <c r="U2154" s="11"/>
      <c r="V2154" s="11"/>
      <c r="W2154" s="11"/>
      <c r="X2154" s="11"/>
      <c r="Y2154" s="11"/>
      <c r="Z2154" s="11"/>
    </row>
    <row r="2155" customHeight="1" spans="1:26">
      <c r="A2155" s="11" t="str">
        <f>IFERROR(__xludf.DUMMYFUNCTION("""COMPUTED_VALUE"""),"SERGIO ROMERO DE ALMEIDA GOMES")</f>
        <v>SERGIO ROMERO DE ALMEIDA GOMES</v>
      </c>
      <c r="B2155" s="11"/>
      <c r="C2155" s="11"/>
      <c r="D2155" s="11" t="str">
        <f>IFERROR(__xludf.DUMMYFUNCTION("""COMPUTED_VALUE"""),"CARDIOLOGIA")</f>
        <v>CARDIOLOGIA</v>
      </c>
      <c r="E2155" s="11"/>
      <c r="F2155" s="11" t="str">
        <f>IFERROR(__xludf.DUMMYFUNCTION("""COMPUTED_VALUE"""),"US_217 CENTRO MEDICO SEN JOSE ERMIRIO DE MORAES")</f>
        <v>US_217 CENTRO MEDICO SEN JOSE ERMIRIO DE MORAES</v>
      </c>
      <c r="G2155" s="11" t="str">
        <f>IFERROR(__xludf.DUMMYFUNCTION("""COMPUTED_VALUE"""),"US_217 CENTRO MEDICO SEN JOSE ERMIRIO DE MORAES")</f>
        <v>US_217 CENTRO MEDICO SEN JOSE ERMIRIO DE MORAES</v>
      </c>
      <c r="H2155" s="11"/>
      <c r="I2155" s="11"/>
      <c r="J2155" s="11"/>
      <c r="K2155" s="11"/>
      <c r="L2155" s="11"/>
      <c r="M2155" s="11"/>
      <c r="N2155" s="30" t="str">
        <f>IFERROR(__xludf.DUMMYFUNCTION("""COMPUTED_VALUE"""),"sgomes@cardiol.br")</f>
        <v>sgomes@cardiol.br</v>
      </c>
      <c r="O2155" s="11">
        <f>IFERROR(__xludf.DUMMYFUNCTION("""COMPUTED_VALUE"""),13832085491)</f>
        <v>13832085491</v>
      </c>
      <c r="P2155" s="11"/>
      <c r="Q2155" s="11"/>
      <c r="R2155" s="11"/>
      <c r="S2155" s="11"/>
      <c r="T2155" s="11"/>
      <c r="U2155" s="11"/>
      <c r="V2155" s="11"/>
      <c r="W2155" s="11"/>
      <c r="X2155" s="11"/>
      <c r="Y2155" s="11"/>
      <c r="Z2155" s="11"/>
    </row>
    <row r="2156" customHeight="1" spans="1:26">
      <c r="A2156" s="11" t="str">
        <f>IFERROR(__xludf.DUMMYFUNCTION("""COMPUTED_VALUE"""),"MAYARD CARDOSO XAVIER")</f>
        <v>MAYARD CARDOSO XAVIER</v>
      </c>
      <c r="B2156" s="11"/>
      <c r="C2156" s="11"/>
      <c r="D2156" s="11" t="str">
        <f>IFERROR(__xludf.DUMMYFUNCTION("""COMPUTED_VALUE"""),"GINECOLOGIA")</f>
        <v>GINECOLOGIA</v>
      </c>
      <c r="E2156" s="11"/>
      <c r="F2156" s="11" t="str">
        <f>IFERROR(__xludf.DUMMYFUNCTION("""COMPUTED_VALUE"""),"US_129 AMEM AMBULATORIO ESPECIALIZADO DA MULHER")</f>
        <v>US_129 AMEM AMBULATORIO ESPECIALIZADO DA MULHER</v>
      </c>
      <c r="G2156" s="11" t="str">
        <f>IFERROR(__xludf.DUMMYFUNCTION("""COMPUTED_VALUE"""),"US_129 AMEM AMBULATORIO ESPECIALIZADO DA MULHER")</f>
        <v>US_129 AMEM AMBULATORIO ESPECIALIZADO DA MULHER</v>
      </c>
      <c r="H2156" s="27">
        <f>IFERROR(__xludf.DUMMYFUNCTION("""COMPUTED_VALUE"""),81999892211)</f>
        <v>81999892211</v>
      </c>
      <c r="I2156" s="11"/>
      <c r="J2156" s="11"/>
      <c r="K2156" s="11"/>
      <c r="L2156" s="11"/>
      <c r="M2156" s="11"/>
      <c r="N2156" s="30" t="str">
        <f>IFERROR(__xludf.DUMMYFUNCTION("""COMPUTED_VALUE"""),"mayardxavier@gmail.com")</f>
        <v>mayardxavier@gmail.com</v>
      </c>
      <c r="O2156" s="11">
        <f>IFERROR(__xludf.DUMMYFUNCTION("""COMPUTED_VALUE"""),13804383491)</f>
        <v>13804383491</v>
      </c>
      <c r="P2156" s="11"/>
      <c r="Q2156" s="11"/>
      <c r="R2156" s="11"/>
      <c r="S2156" s="11"/>
      <c r="T2156" s="11"/>
      <c r="U2156" s="11"/>
      <c r="V2156" s="11"/>
      <c r="W2156" s="11"/>
      <c r="X2156" s="11"/>
      <c r="Y2156" s="11"/>
      <c r="Z2156" s="11"/>
    </row>
    <row r="2157" customHeight="1" spans="1:26">
      <c r="A2157" s="11" t="str">
        <f>IFERROR(__xludf.DUMMYFUNCTION("""COMPUTED_VALUE"""),"JACQUELINE ROSANGELA DE ARAUJO")</f>
        <v>JACQUELINE ROSANGELA DE ARAUJO</v>
      </c>
      <c r="B2157" s="11"/>
      <c r="C2157" s="11"/>
      <c r="D2157" s="11" t="str">
        <f>IFERROR(__xludf.DUMMYFUNCTION("""COMPUTED_VALUE"""),"ENDOCRINOLOGIA E METABOLOGIA")</f>
        <v>ENDOCRINOLOGIA E METABOLOGIA</v>
      </c>
      <c r="E2157" s="11"/>
      <c r="F2157" s="11" t="str">
        <f>IFERROR(__xludf.DUMMYFUNCTION("""COMPUTED_VALUE"""),"US_217 CENTRO MEDICO SEN JOSE ERMIRIO DE MORAES")</f>
        <v>US_217 CENTRO MEDICO SEN JOSE ERMIRIO DE MORAES</v>
      </c>
      <c r="G2157" s="11" t="str">
        <f>IFERROR(__xludf.DUMMYFUNCTION("""COMPUTED_VALUE"""),"US_217 CENTRO MEDICO SEN JOSE ERMIRIO DE MORAES")</f>
        <v>US_217 CENTRO MEDICO SEN JOSE ERMIRIO DE MORAES</v>
      </c>
      <c r="H2157" s="11"/>
      <c r="I2157" s="11"/>
      <c r="J2157" s="11"/>
      <c r="K2157" s="11"/>
      <c r="L2157" s="11"/>
      <c r="M2157" s="11"/>
      <c r="N2157" s="30" t="str">
        <f>IFERROR(__xludf.DUMMYFUNCTION("""COMPUTED_VALUE"""),"jacqueline.araujo@gmail.com")</f>
        <v>jacqueline.araujo@gmail.com</v>
      </c>
      <c r="O2157" s="11">
        <f>IFERROR(__xludf.DUMMYFUNCTION("""COMPUTED_VALUE"""),25692313391)</f>
        <v>25692313391</v>
      </c>
      <c r="P2157" s="11"/>
      <c r="Q2157" s="11"/>
      <c r="R2157" s="11"/>
      <c r="S2157" s="11"/>
      <c r="T2157" s="11"/>
      <c r="U2157" s="11"/>
      <c r="V2157" s="11"/>
      <c r="W2157" s="11"/>
      <c r="X2157" s="11"/>
      <c r="Y2157" s="11"/>
      <c r="Z2157" s="11"/>
    </row>
    <row r="2158" customHeight="1" spans="1:26">
      <c r="A2158" s="11" t="str">
        <f>IFERROR(__xludf.DUMMYFUNCTION("""COMPUTED_VALUE"""),"THAIS DE SOUZA CAMPOS SILVEIRA")</f>
        <v>THAIS DE SOUZA CAMPOS SILVEIRA</v>
      </c>
      <c r="B2158" s="11"/>
      <c r="C2158" s="11"/>
      <c r="D2158" s="11" t="str">
        <f>IFERROR(__xludf.DUMMYFUNCTION("""COMPUTED_VALUE"""),"ENDOCRINOLOGIA E METABOLOGIA")</f>
        <v>ENDOCRINOLOGIA E METABOLOGIA</v>
      </c>
      <c r="E2158" s="11"/>
      <c r="F2158" s="11" t="str">
        <f>IFERROR(__xludf.DUMMYFUNCTION("""COMPUTED_VALUE"""),"US_217 CENTRO MEDICO SEN JOSE ERMIRIO DE MORAES")</f>
        <v>US_217 CENTRO MEDICO SEN JOSE ERMIRIO DE MORAES</v>
      </c>
      <c r="G2158" s="11" t="str">
        <f>IFERROR(__xludf.DUMMYFUNCTION("""COMPUTED_VALUE"""),"US_217 CENTRO MEDICO SEN JOSE ERMIRIO DE MORAES")</f>
        <v>US_217 CENTRO MEDICO SEN JOSE ERMIRIO DE MORAES</v>
      </c>
      <c r="H2158" s="11"/>
      <c r="I2158" s="11"/>
      <c r="J2158" s="11"/>
      <c r="K2158" s="11"/>
      <c r="L2158" s="11"/>
      <c r="M2158" s="11"/>
      <c r="N2158" s="30" t="str">
        <f>IFERROR(__xludf.DUMMYFUNCTION("""COMPUTED_VALUE"""),"thaisscsilveira@gmail.com")</f>
        <v>thaisscsilveira@gmail.com</v>
      </c>
      <c r="O2158" s="11">
        <f>IFERROR(__xludf.DUMMYFUNCTION("""COMPUTED_VALUE"""),48880183400)</f>
        <v>48880183400</v>
      </c>
      <c r="P2158" s="11"/>
      <c r="Q2158" s="11"/>
      <c r="R2158" s="11"/>
      <c r="S2158" s="11"/>
      <c r="T2158" s="11"/>
      <c r="U2158" s="11"/>
      <c r="V2158" s="11"/>
      <c r="W2158" s="11"/>
      <c r="X2158" s="11"/>
      <c r="Y2158" s="11"/>
      <c r="Z2158" s="11"/>
    </row>
    <row r="2159" customHeight="1" spans="1:26">
      <c r="A2159" s="11" t="str">
        <f>IFERROR(__xludf.DUMMYFUNCTION("""COMPUTED_VALUE"""),"DARCI GUEDES ALCOFORADO")</f>
        <v>DARCI GUEDES ALCOFORADO</v>
      </c>
      <c r="B2159" s="11"/>
      <c r="C2159" s="11"/>
      <c r="D2159" s="11" t="str">
        <f>IFERROR(__xludf.DUMMYFUNCTION("""COMPUTED_VALUE"""),"CARDIOLOGIA")</f>
        <v>CARDIOLOGIA</v>
      </c>
      <c r="E2159" s="11"/>
      <c r="F2159" s="11" t="str">
        <f>IFERROR(__xludf.DUMMYFUNCTION("""COMPUTED_VALUE"""),"US_217 CENTRO MEDICO SEN JOSE ERMIRIO DE MORAES")</f>
        <v>US_217 CENTRO MEDICO SEN JOSE ERMIRIO DE MORAES</v>
      </c>
      <c r="G2159" s="11" t="str">
        <f>IFERROR(__xludf.DUMMYFUNCTION("""COMPUTED_VALUE"""),"US_217 CENTRO MEDICO SEN JOSE ERMIRIO DE MORAES")</f>
        <v>US_217 CENTRO MEDICO SEN JOSE ERMIRIO DE MORAES</v>
      </c>
      <c r="H2159" s="11"/>
      <c r="I2159" s="11"/>
      <c r="J2159" s="11"/>
      <c r="K2159" s="11"/>
      <c r="L2159" s="11"/>
      <c r="M2159" s="11"/>
      <c r="N2159" s="30" t="str">
        <f>IFERROR(__xludf.DUMMYFUNCTION("""COMPUTED_VALUE"""),"darci.alcoforado@gmail.com                             ")</f>
        <v>darci.alcoforado@gmail.com                             </v>
      </c>
      <c r="O2159" s="11">
        <f>IFERROR(__xludf.DUMMYFUNCTION("""COMPUTED_VALUE"""),77988736868)</f>
        <v>77988736868</v>
      </c>
      <c r="P2159" s="11"/>
      <c r="Q2159" s="11"/>
      <c r="R2159" s="11"/>
      <c r="S2159" s="11"/>
      <c r="T2159" s="11"/>
      <c r="U2159" s="11"/>
      <c r="V2159" s="11"/>
      <c r="W2159" s="11"/>
      <c r="X2159" s="11"/>
      <c r="Y2159" s="11"/>
      <c r="Z2159" s="11"/>
    </row>
    <row r="2160" customHeight="1" spans="1:26">
      <c r="A2160" s="11" t="str">
        <f>IFERROR(__xludf.DUMMYFUNCTION("""COMPUTED_VALUE"""),"MARIA DE F SAO M DE Q BARBOSA")</f>
        <v>MARIA DE F SAO M DE Q BARBOSA</v>
      </c>
      <c r="B2160" s="11"/>
      <c r="C2160" s="11"/>
      <c r="D2160" s="11" t="str">
        <f>IFERROR(__xludf.DUMMYFUNCTION("""COMPUTED_VALUE"""),"CLIMATERIO / PRE NATAL ALTO RISCO")</f>
        <v>CLIMATERIO / PRE NATAL ALTO RISCO</v>
      </c>
      <c r="E2160" s="11"/>
      <c r="F2160" s="11" t="str">
        <f>IFERROR(__xludf.DUMMYFUNCTION("""COMPUTED_VALUE"""),"US_129 AMEM AMBULATORIO ESPECIALIZADO DA MULHER")</f>
        <v>US_129 AMEM AMBULATORIO ESPECIALIZADO DA MULHER</v>
      </c>
      <c r="G2160" s="11" t="str">
        <f>IFERROR(__xludf.DUMMYFUNCTION("""COMPUTED_VALUE"""),"US_129 AMEM AMBULATORIO ESPECIALIZADO DA MULHER")</f>
        <v>US_129 AMEM AMBULATORIO ESPECIALIZADO DA MULHER</v>
      </c>
      <c r="H2160" s="11"/>
      <c r="I2160" s="11"/>
      <c r="J2160" s="11"/>
      <c r="K2160" s="11"/>
      <c r="L2160" s="11"/>
      <c r="M2160" s="11"/>
      <c r="N2160" s="30" t="str">
        <f>IFERROR(__xludf.DUMMYFUNCTION("""COMPUTED_VALUE"""),"FATIMASAOMARCOS@HOTMAIL.COM")</f>
        <v>FATIMASAOMARCOS@HOTMAIL.COM</v>
      </c>
      <c r="O2160" s="11">
        <f>IFERROR(__xludf.DUMMYFUNCTION("""COMPUTED_VALUE"""),37195964434)</f>
        <v>37195964434</v>
      </c>
      <c r="P2160" s="11"/>
      <c r="Q2160" s="11"/>
      <c r="R2160" s="11"/>
      <c r="S2160" s="11"/>
      <c r="T2160" s="11"/>
      <c r="U2160" s="11"/>
      <c r="V2160" s="11"/>
      <c r="W2160" s="11"/>
      <c r="X2160" s="11"/>
      <c r="Y2160" s="11"/>
      <c r="Z2160" s="11"/>
    </row>
    <row r="2161" customHeight="1" spans="1:26">
      <c r="A2161" s="11" t="str">
        <f>IFERROR(__xludf.DUMMYFUNCTION("""COMPUTED_VALUE"""),"ROSANGELA DE MELO QUEIROS")</f>
        <v>ROSANGELA DE MELO QUEIROS</v>
      </c>
      <c r="B2161" s="11"/>
      <c r="C2161" s="11"/>
      <c r="D2161" s="11" t="str">
        <f>IFERROR(__xludf.DUMMYFUNCTION("""COMPUTED_VALUE"""),"PNEUMOLOGIA")</f>
        <v>PNEUMOLOGIA</v>
      </c>
      <c r="E2161" s="11"/>
      <c r="F2161" s="11" t="str">
        <f>IFERROR(__xludf.DUMMYFUNCTION("""COMPUTED_VALUE"""),"US_321 CENTRAL DE ALERGOLOGIA")</f>
        <v>US_321 CENTRAL DE ALERGOLOGIA</v>
      </c>
      <c r="G2161" s="11" t="str">
        <f>IFERROR(__xludf.DUMMYFUNCTION("""COMPUTED_VALUE"""),"US_321 CENTRAL DE ALERGOLOGIA")</f>
        <v>US_321 CENTRAL DE ALERGOLOGIA</v>
      </c>
      <c r="H2161" s="11"/>
      <c r="I2161" s="11"/>
      <c r="J2161" s="11"/>
      <c r="K2161" s="11"/>
      <c r="L2161" s="11"/>
      <c r="M2161" s="11"/>
      <c r="N2161" s="30" t="str">
        <f>IFERROR(__xludf.DUMMYFUNCTION("""COMPUTED_VALUE"""),"queirozrm@yahoo.com.br")</f>
        <v>queirozrm@yahoo.com.br</v>
      </c>
      <c r="O2161" s="11">
        <f>IFERROR(__xludf.DUMMYFUNCTION("""COMPUTED_VALUE"""),86478621472)</f>
        <v>86478621472</v>
      </c>
      <c r="P2161" s="11"/>
      <c r="Q2161" s="11"/>
      <c r="R2161" s="11"/>
      <c r="S2161" s="11"/>
      <c r="T2161" s="11"/>
      <c r="U2161" s="11"/>
      <c r="V2161" s="11"/>
      <c r="W2161" s="11"/>
      <c r="X2161" s="11"/>
      <c r="Y2161" s="11"/>
      <c r="Z2161" s="11"/>
    </row>
    <row r="2162" customHeight="1" spans="1:26">
      <c r="A2162" s="11" t="str">
        <f>IFERROR(__xludf.DUMMYFUNCTION("""COMPUTED_VALUE"""),"ANA PATRICIA V DE OLIVEIRA")</f>
        <v>ANA PATRICIA V DE OLIVEIRA</v>
      </c>
      <c r="B2162" s="11"/>
      <c r="C2162" s="11"/>
      <c r="D2162" s="11" t="str">
        <f>IFERROR(__xludf.DUMMYFUNCTION("""COMPUTED_VALUE"""),"ENDOCRINOLOGIA E METABOLOGIA")</f>
        <v>ENDOCRINOLOGIA E METABOLOGIA</v>
      </c>
      <c r="E2162" s="11"/>
      <c r="F2162" s="11" t="str">
        <f>IFERROR(__xludf.DUMMYFUNCTION("""COMPUTED_VALUE"""),"US_217 CENTRO MEDICO SEN JOSE ERMIRIO DE MORAES")</f>
        <v>US_217 CENTRO MEDICO SEN JOSE ERMIRIO DE MORAES</v>
      </c>
      <c r="G2162" s="11" t="str">
        <f>IFERROR(__xludf.DUMMYFUNCTION("""COMPUTED_VALUE"""),"US_217 CENTRO MEDICO SEN JOSE ERMIRIO DE MORAES")</f>
        <v>US_217 CENTRO MEDICO SEN JOSE ERMIRIO DE MORAES</v>
      </c>
      <c r="H2162" s="11"/>
      <c r="I2162" s="11"/>
      <c r="J2162" s="11"/>
      <c r="K2162" s="11"/>
      <c r="L2162" s="11"/>
      <c r="M2162" s="11"/>
      <c r="N2162" s="30" t="str">
        <f>IFERROR(__xludf.DUMMYFUNCTION("""COMPUTED_VALUE"""),"anapvoli@yahoo.com.br")</f>
        <v>anapvoli@yahoo.com.br</v>
      </c>
      <c r="O2162" s="11">
        <f>IFERROR(__xludf.DUMMYFUNCTION("""COMPUTED_VALUE"""),33961077487)</f>
        <v>33961077487</v>
      </c>
      <c r="P2162" s="11"/>
      <c r="Q2162" s="11"/>
      <c r="R2162" s="11"/>
      <c r="S2162" s="11"/>
      <c r="T2162" s="11"/>
      <c r="U2162" s="11"/>
      <c r="V2162" s="11"/>
      <c r="W2162" s="11"/>
      <c r="X2162" s="11"/>
      <c r="Y2162" s="11"/>
      <c r="Z2162" s="11"/>
    </row>
    <row r="2163" customHeight="1" spans="1:26">
      <c r="A2163" s="11" t="str">
        <f>IFERROR(__xludf.DUMMYFUNCTION("""COMPUTED_VALUE"""),"IZIS COELY DO AMARAL S PESSOA")</f>
        <v>IZIS COELY DO AMARAL S PESSOA</v>
      </c>
      <c r="B2163" s="11"/>
      <c r="C2163" s="11"/>
      <c r="D2163" s="11" t="str">
        <f>IFERROR(__xludf.DUMMYFUNCTION("""COMPUTED_VALUE"""),"ENDOCRINOLOGIA E METABOLOGIA")</f>
        <v>ENDOCRINOLOGIA E METABOLOGIA</v>
      </c>
      <c r="E2163" s="11"/>
      <c r="F2163" s="11" t="str">
        <f>IFERROR(__xludf.DUMMYFUNCTION("""COMPUTED_VALUE"""),"US_217 CENTRO MEDICO SEN JOSE ERMIRIO DE MORAES")</f>
        <v>US_217 CENTRO MEDICO SEN JOSE ERMIRIO DE MORAES</v>
      </c>
      <c r="G2163" s="11" t="str">
        <f>IFERROR(__xludf.DUMMYFUNCTION("""COMPUTED_VALUE"""),"US_217 CENTRO MEDICO SEN JOSE ERMIRIO DE MORAES")</f>
        <v>US_217 CENTRO MEDICO SEN JOSE ERMIRIO DE MORAES</v>
      </c>
      <c r="H2163" s="11"/>
      <c r="I2163" s="11"/>
      <c r="J2163" s="11"/>
      <c r="K2163" s="11"/>
      <c r="L2163" s="11"/>
      <c r="M2163" s="11"/>
      <c r="N2163" s="30" t="str">
        <f>IFERROR(__xludf.DUMMYFUNCTION("""COMPUTED_VALUE"""),"ANDERSONIZIS@IG.COM.BR")</f>
        <v>ANDERSONIZIS@IG.COM.BR</v>
      </c>
      <c r="O2163" s="11">
        <f>IFERROR(__xludf.DUMMYFUNCTION("""COMPUTED_VALUE"""),44087233472)</f>
        <v>44087233472</v>
      </c>
      <c r="P2163" s="11"/>
      <c r="Q2163" s="11"/>
      <c r="R2163" s="11"/>
      <c r="S2163" s="11"/>
      <c r="T2163" s="11"/>
      <c r="U2163" s="11"/>
      <c r="V2163" s="11"/>
      <c r="W2163" s="11"/>
      <c r="X2163" s="11"/>
      <c r="Y2163" s="11"/>
      <c r="Z2163" s="11"/>
    </row>
    <row r="2164" customHeight="1" spans="1:26">
      <c r="A2164" s="11" t="str">
        <f>IFERROR(__xludf.DUMMYFUNCTION("""COMPUTED_VALUE"""),"MARTA CEDRIM PITUBA")</f>
        <v>MARTA CEDRIM PITUBA</v>
      </c>
      <c r="B2164" s="11"/>
      <c r="C2164" s="11"/>
      <c r="D2164" s="11" t="str">
        <f>IFERROR(__xludf.DUMMYFUNCTION("""COMPUTED_VALUE"""),"GINECOLOGIA E OBSTETRICIA")</f>
        <v>GINECOLOGIA E OBSTETRICIA</v>
      </c>
      <c r="E2164" s="11"/>
      <c r="F2164" s="11" t="str">
        <f>IFERROR(__xludf.DUMMYFUNCTION("""COMPUTED_VALUE"""),"US_217 CENTRO MEDICO SEN JOSE ERMIRIO DE MORAES")</f>
        <v>US_217 CENTRO MEDICO SEN JOSE ERMIRIO DE MORAES</v>
      </c>
      <c r="G2164" s="11" t="str">
        <f>IFERROR(__xludf.DUMMYFUNCTION("""COMPUTED_VALUE"""),"US_217 CENTRO MEDICO SEN JOSE ERMIRIO DE MORAES")</f>
        <v>US_217 CENTRO MEDICO SEN JOSE ERMIRIO DE MORAES</v>
      </c>
      <c r="H2164" s="11"/>
      <c r="I2164" s="11"/>
      <c r="J2164" s="11"/>
      <c r="K2164" s="11"/>
      <c r="L2164" s="11"/>
      <c r="M2164" s="11"/>
      <c r="N2164" s="30" t="str">
        <f>IFERROR(__xludf.DUMMYFUNCTION("""COMPUTED_VALUE"""),"martapituba@ig.com.br")</f>
        <v>martapituba@ig.com.br</v>
      </c>
      <c r="O2164" s="11">
        <f>IFERROR(__xludf.DUMMYFUNCTION("""COMPUTED_VALUE"""),74132741400)</f>
        <v>74132741400</v>
      </c>
      <c r="P2164" s="11"/>
      <c r="Q2164" s="11"/>
      <c r="R2164" s="11"/>
      <c r="S2164" s="11"/>
      <c r="T2164" s="11"/>
      <c r="U2164" s="11"/>
      <c r="V2164" s="11"/>
      <c r="W2164" s="11"/>
      <c r="X2164" s="11"/>
      <c r="Y2164" s="11"/>
      <c r="Z2164" s="11"/>
    </row>
    <row r="2165" customHeight="1" spans="1:26">
      <c r="A2165" s="11" t="str">
        <f>IFERROR(__xludf.DUMMYFUNCTION("""COMPUTED_VALUE"""),"KATHERINE SALES MACHADO")</f>
        <v>KATHERINE SALES MACHADO</v>
      </c>
      <c r="B2165" s="11"/>
      <c r="C2165" s="11"/>
      <c r="D2165" s="11" t="str">
        <f>IFERROR(__xludf.DUMMYFUNCTION("""COMPUTED_VALUE"""),"OFTALMOLOGIA")</f>
        <v>OFTALMOLOGIA</v>
      </c>
      <c r="E2165" s="11"/>
      <c r="F2165" s="11" t="str">
        <f>IFERROR(__xludf.DUMMYFUNCTION("""COMPUTED_VALUE"""),"US_217 CENTRO MEDICO SEN JOSE ERMIRIO DE MORAES")</f>
        <v>US_217 CENTRO MEDICO SEN JOSE ERMIRIO DE MORAES</v>
      </c>
      <c r="G2165" s="11" t="str">
        <f>IFERROR(__xludf.DUMMYFUNCTION("""COMPUTED_VALUE"""),"US_217 CENTRO MEDICO SEN JOSE ERMIRIO DE MORAES")</f>
        <v>US_217 CENTRO MEDICO SEN JOSE ERMIRIO DE MORAES</v>
      </c>
      <c r="H2165" s="11"/>
      <c r="I2165" s="11"/>
      <c r="J2165" s="11"/>
      <c r="K2165" s="11"/>
      <c r="L2165" s="11"/>
      <c r="M2165" s="11"/>
      <c r="N2165" s="30" t="str">
        <f>IFERROR(__xludf.DUMMYFUNCTION("""COMPUTED_VALUE"""),"katherinesales64@gmail.com")</f>
        <v>katherinesales64@gmail.com</v>
      </c>
      <c r="O2165" s="11">
        <f>IFERROR(__xludf.DUMMYFUNCTION("""COMPUTED_VALUE"""),66589762449)</f>
        <v>66589762449</v>
      </c>
      <c r="P2165" s="11"/>
      <c r="Q2165" s="11"/>
      <c r="R2165" s="11"/>
      <c r="S2165" s="11"/>
      <c r="T2165" s="11"/>
      <c r="U2165" s="11"/>
      <c r="V2165" s="11"/>
      <c r="W2165" s="11"/>
      <c r="X2165" s="11"/>
      <c r="Y2165" s="11"/>
      <c r="Z2165" s="11"/>
    </row>
    <row r="2166" customHeight="1" spans="1:26">
      <c r="A2166" s="11" t="str">
        <f>IFERROR(__xludf.DUMMYFUNCTION("""COMPUTED_VALUE"""),"DIOGO FILIPE GOMES SANDE")</f>
        <v>DIOGO FILIPE GOMES SANDE</v>
      </c>
      <c r="B2166" s="11"/>
      <c r="C2166" s="11"/>
      <c r="D2166" s="11" t="str">
        <f>IFERROR(__xludf.DUMMYFUNCTION("""COMPUTED_VALUE"""),"CARDIOLOGIA")</f>
        <v>CARDIOLOGIA</v>
      </c>
      <c r="E2166" s="11"/>
      <c r="F2166" s="11" t="str">
        <f>IFERROR(__xludf.DUMMYFUNCTION("""COMPUTED_VALUE"""),"US_217 CENTRO MEDICO SEN JOSE ERMIRIO DE MORAES")</f>
        <v>US_217 CENTRO MEDICO SEN JOSE ERMIRIO DE MORAES</v>
      </c>
      <c r="G2166" s="11" t="str">
        <f>IFERROR(__xludf.DUMMYFUNCTION("""COMPUTED_VALUE"""),"US_217 CENTRO MEDICO SEN JOSE ERMIRIO DE MORAES")</f>
        <v>US_217 CENTRO MEDICO SEN JOSE ERMIRIO DE MORAES</v>
      </c>
      <c r="H2166" s="11"/>
      <c r="I2166" s="11"/>
      <c r="J2166" s="11"/>
      <c r="K2166" s="11"/>
      <c r="L2166" s="11"/>
      <c r="M2166" s="11"/>
      <c r="N2166" s="30" t="str">
        <f>IFERROR(__xludf.DUMMYFUNCTION("""COMPUTED_VALUE"""),"diogosande@yahoo.com.br")</f>
        <v>diogosande@yahoo.com.br</v>
      </c>
      <c r="O2166" s="11">
        <f>IFERROR(__xludf.DUMMYFUNCTION("""COMPUTED_VALUE"""),61663077487)</f>
        <v>61663077487</v>
      </c>
      <c r="P2166" s="11"/>
      <c r="Q2166" s="11"/>
      <c r="R2166" s="11"/>
      <c r="S2166" s="11"/>
      <c r="T2166" s="11"/>
      <c r="U2166" s="11"/>
      <c r="V2166" s="11"/>
      <c r="W2166" s="11"/>
      <c r="X2166" s="11"/>
      <c r="Y2166" s="11"/>
      <c r="Z2166" s="11"/>
    </row>
    <row r="2167" customHeight="1" spans="1:26">
      <c r="A2167" s="11" t="str">
        <f>IFERROR(__xludf.DUMMYFUNCTION("""COMPUTED_VALUE"""),"MARIA ELBA BANDEIRA DE FARIAS")</f>
        <v>MARIA ELBA BANDEIRA DE FARIAS</v>
      </c>
      <c r="B2167" s="11"/>
      <c r="C2167" s="11"/>
      <c r="D2167" s="11" t="str">
        <f>IFERROR(__xludf.DUMMYFUNCTION("""COMPUTED_VALUE"""),"ENDOCRINOLOGIA E METABOLOGIA")</f>
        <v>ENDOCRINOLOGIA E METABOLOGIA</v>
      </c>
      <c r="E2167" s="11"/>
      <c r="F2167" s="11" t="str">
        <f>IFERROR(__xludf.DUMMYFUNCTION("""COMPUTED_VALUE"""),"US_217 CENTRO MEDICO SEN JOSE ERMIRIO DE MORAES")</f>
        <v>US_217 CENTRO MEDICO SEN JOSE ERMIRIO DE MORAES</v>
      </c>
      <c r="G2167" s="11" t="str">
        <f>IFERROR(__xludf.DUMMYFUNCTION("""COMPUTED_VALUE"""),"US_217 CENTRO MEDICO SEN JOSE ERMIRIO DE MORAES")</f>
        <v>US_217 CENTRO MEDICO SEN JOSE ERMIRIO DE MORAES</v>
      </c>
      <c r="H2167" s="11"/>
      <c r="I2167" s="11"/>
      <c r="J2167" s="11"/>
      <c r="K2167" s="11"/>
      <c r="L2167" s="11"/>
      <c r="M2167" s="11"/>
      <c r="N2167" s="30" t="str">
        <f>IFERROR(__xludf.DUMMYFUNCTION("""COMPUTED_VALUE"""),"elbabandeira@yahoo.com.br")</f>
        <v>elbabandeira@yahoo.com.br</v>
      </c>
      <c r="O2167" s="11">
        <f>IFERROR(__xludf.DUMMYFUNCTION("""COMPUTED_VALUE"""),58776435415)</f>
        <v>58776435415</v>
      </c>
      <c r="P2167" s="11"/>
      <c r="Q2167" s="11"/>
      <c r="R2167" s="11"/>
      <c r="S2167" s="11"/>
      <c r="T2167" s="11"/>
      <c r="U2167" s="11"/>
      <c r="V2167" s="11"/>
      <c r="W2167" s="11"/>
      <c r="X2167" s="11"/>
      <c r="Y2167" s="11"/>
      <c r="Z2167" s="11"/>
    </row>
    <row r="2168" customHeight="1" spans="1:26">
      <c r="A2168" s="11" t="str">
        <f>IFERROR(__xludf.DUMMYFUNCTION("""COMPUTED_VALUE"""),"MARIA JOSE MARQUES C E SOUZA")</f>
        <v>MARIA JOSE MARQUES C E SOUZA</v>
      </c>
      <c r="B2168" s="11"/>
      <c r="C2168" s="11"/>
      <c r="D2168" s="11" t="str">
        <f>IFERROR(__xludf.DUMMYFUNCTION("""COMPUTED_VALUE"""),"ENDOCRINOLOGIA E METABOLOGIA")</f>
        <v>ENDOCRINOLOGIA E METABOLOGIA</v>
      </c>
      <c r="E2168" s="11"/>
      <c r="F2168" s="11" t="str">
        <f>IFERROR(__xludf.DUMMYFUNCTION("""COMPUTED_VALUE"""),"US_217 CENTRO MEDICO SEN JOSE ERMIRIO DE MORAES")</f>
        <v>US_217 CENTRO MEDICO SEN JOSE ERMIRIO DE MORAES</v>
      </c>
      <c r="G2168" s="11" t="str">
        <f>IFERROR(__xludf.DUMMYFUNCTION("""COMPUTED_VALUE"""),"US_217 CENTRO MEDICO SEN JOSE ERMIRIO DE MORAES")</f>
        <v>US_217 CENTRO MEDICO SEN JOSE ERMIRIO DE MORAES</v>
      </c>
      <c r="H2168" s="11"/>
      <c r="I2168" s="11"/>
      <c r="J2168" s="11"/>
      <c r="K2168" s="11"/>
      <c r="L2168" s="11"/>
      <c r="M2168" s="11"/>
      <c r="N2168" s="30" t="str">
        <f>IFERROR(__xludf.DUMMYFUNCTION("""COMPUTED_VALUE"""),"mariajcout@terra.com.br")</f>
        <v>mariajcout@terra.com.br</v>
      </c>
      <c r="O2168" s="11">
        <f>IFERROR(__xludf.DUMMYFUNCTION("""COMPUTED_VALUE"""),58216391404)</f>
        <v>58216391404</v>
      </c>
      <c r="P2168" s="11"/>
      <c r="Q2168" s="11"/>
      <c r="R2168" s="11"/>
      <c r="S2168" s="11"/>
      <c r="T2168" s="11"/>
      <c r="U2168" s="11"/>
      <c r="V2168" s="11"/>
      <c r="W2168" s="11"/>
      <c r="X2168" s="11"/>
      <c r="Y2168" s="11"/>
      <c r="Z2168" s="11"/>
    </row>
    <row r="2169" customHeight="1" spans="1:26">
      <c r="A2169" s="11" t="str">
        <f>IFERROR(__xludf.DUMMYFUNCTION("""COMPUTED_VALUE"""),"SILVIA MARINHO MARTINS ALVES")</f>
        <v>SILVIA MARINHO MARTINS ALVES</v>
      </c>
      <c r="B2169" s="11"/>
      <c r="C2169" s="11"/>
      <c r="D2169" s="11" t="str">
        <f>IFERROR(__xludf.DUMMYFUNCTION("""COMPUTED_VALUE"""),"CARDIOLOGIA")</f>
        <v>CARDIOLOGIA</v>
      </c>
      <c r="E2169" s="11"/>
      <c r="F2169" s="11" t="str">
        <f>IFERROR(__xludf.DUMMYFUNCTION("""COMPUTED_VALUE"""),"US_217 CENTRO MEDICO SEN JOSE ERMIRIO DE MORAES")</f>
        <v>US_217 CENTRO MEDICO SEN JOSE ERMIRIO DE MORAES</v>
      </c>
      <c r="G2169" s="11" t="str">
        <f>IFERROR(__xludf.DUMMYFUNCTION("""COMPUTED_VALUE"""),"US_217 CENTRO MEDICO SEN JOSE ERMIRIO DE MORAES")</f>
        <v>US_217 CENTRO MEDICO SEN JOSE ERMIRIO DE MORAES</v>
      </c>
      <c r="H2169" s="11"/>
      <c r="I2169" s="11"/>
      <c r="J2169" s="11"/>
      <c r="K2169" s="11"/>
      <c r="L2169" s="11"/>
      <c r="M2169" s="11"/>
      <c r="N2169" s="30" t="str">
        <f>IFERROR(__xludf.DUMMYFUNCTION("""COMPUTED_VALUE"""),"s.m.martins@uol.com.br")</f>
        <v>s.m.martins@uol.com.br</v>
      </c>
      <c r="O2169" s="11">
        <f>IFERROR(__xludf.DUMMYFUNCTION("""COMPUTED_VALUE"""),47227370453)</f>
        <v>47227370453</v>
      </c>
      <c r="P2169" s="11"/>
      <c r="Q2169" s="11"/>
      <c r="R2169" s="11"/>
      <c r="S2169" s="11"/>
      <c r="T2169" s="11"/>
      <c r="U2169" s="11"/>
      <c r="V2169" s="11"/>
      <c r="W2169" s="11"/>
      <c r="X2169" s="11"/>
      <c r="Y2169" s="11"/>
      <c r="Z2169" s="11"/>
    </row>
    <row r="2170" customHeight="1" spans="1:26">
      <c r="A2170" s="11" t="str">
        <f>IFERROR(__xludf.DUMMYFUNCTION("""COMPUTED_VALUE"""),"SILVIO HOCK DE PAFFER FILHO")</f>
        <v>SILVIO HOCK DE PAFFER FILHO</v>
      </c>
      <c r="B2170" s="11"/>
      <c r="C2170" s="11"/>
      <c r="D2170" s="11" t="str">
        <f>IFERROR(__xludf.DUMMYFUNCTION("""COMPUTED_VALUE"""),"CARDIOLOGIA")</f>
        <v>CARDIOLOGIA</v>
      </c>
      <c r="E2170" s="11"/>
      <c r="F2170" s="11" t="str">
        <f>IFERROR(__xludf.DUMMYFUNCTION("""COMPUTED_VALUE"""),"US_217 CENTRO MEDICO SEN JOSE ERMIRIO DE MORAES")</f>
        <v>US_217 CENTRO MEDICO SEN JOSE ERMIRIO DE MORAES</v>
      </c>
      <c r="G2170" s="11" t="str">
        <f>IFERROR(__xludf.DUMMYFUNCTION("""COMPUTED_VALUE"""),"US_217 CENTRO MEDICO SEN JOSE ERMIRIO DE MORAES")</f>
        <v>US_217 CENTRO MEDICO SEN JOSE ERMIRIO DE MORAES</v>
      </c>
      <c r="H2170" s="11"/>
      <c r="I2170" s="11"/>
      <c r="J2170" s="11"/>
      <c r="K2170" s="11"/>
      <c r="L2170" s="11"/>
      <c r="M2170" s="11"/>
      <c r="N2170" s="30" t="str">
        <f>IFERROR(__xludf.DUMMYFUNCTION("""COMPUTED_VALUE"""),"silviopaffer@gmail.com                                 ")</f>
        <v>silviopaffer@gmail.com                                 </v>
      </c>
      <c r="O2170" s="11">
        <f>IFERROR(__xludf.DUMMYFUNCTION("""COMPUTED_VALUE"""),54462576420)</f>
        <v>54462576420</v>
      </c>
      <c r="P2170" s="11"/>
      <c r="Q2170" s="11"/>
      <c r="R2170" s="11"/>
      <c r="S2170" s="11"/>
      <c r="T2170" s="11"/>
      <c r="U2170" s="11"/>
      <c r="V2170" s="11"/>
      <c r="W2170" s="11"/>
      <c r="X2170" s="11"/>
      <c r="Y2170" s="11"/>
      <c r="Z2170" s="11"/>
    </row>
    <row r="2171" customHeight="1" spans="1:26">
      <c r="A2171" s="11" t="str">
        <f>IFERROR(__xludf.DUMMYFUNCTION("""COMPUTED_VALUE"""),"MANOEL C DE ANDRADE JUNIOR")</f>
        <v>MANOEL C DE ANDRADE JUNIOR</v>
      </c>
      <c r="B2171" s="11"/>
      <c r="C2171" s="11"/>
      <c r="D2171" s="11" t="str">
        <f>IFERROR(__xludf.DUMMYFUNCTION("""COMPUTED_VALUE"""),"OFTALMOLOGIA")</f>
        <v>OFTALMOLOGIA</v>
      </c>
      <c r="E2171" s="11"/>
      <c r="F2171" s="11" t="str">
        <f>IFERROR(__xludf.DUMMYFUNCTION("""COMPUTED_VALUE"""),"US_217 CENTRO MEDICO SEN JOSE ERMIRIO DE MORAES")</f>
        <v>US_217 CENTRO MEDICO SEN JOSE ERMIRIO DE MORAES</v>
      </c>
      <c r="G2171" s="11" t="str">
        <f>IFERROR(__xludf.DUMMYFUNCTION("""COMPUTED_VALUE"""),"US_217 CENTRO MEDICO SEN JOSE ERMIRIO DE MORAES")</f>
        <v>US_217 CENTRO MEDICO SEN JOSE ERMIRIO DE MORAES</v>
      </c>
      <c r="H2171" s="11"/>
      <c r="I2171" s="11"/>
      <c r="J2171" s="11"/>
      <c r="K2171" s="11"/>
      <c r="L2171" s="11"/>
      <c r="M2171" s="11"/>
      <c r="N2171" s="30" t="str">
        <f>IFERROR(__xludf.DUMMYFUNCTION("""COMPUTED_VALUE"""),"manoelcarreiro@globo.com")</f>
        <v>manoelcarreiro@globo.com</v>
      </c>
      <c r="O2171" s="11">
        <f>IFERROR(__xludf.DUMMYFUNCTION("""COMPUTED_VALUE"""),75448807453)</f>
        <v>75448807453</v>
      </c>
      <c r="P2171" s="11"/>
      <c r="Q2171" s="11"/>
      <c r="R2171" s="11"/>
      <c r="S2171" s="11"/>
      <c r="T2171" s="11"/>
      <c r="U2171" s="11"/>
      <c r="V2171" s="11"/>
      <c r="W2171" s="11"/>
      <c r="X2171" s="11"/>
      <c r="Y2171" s="11"/>
      <c r="Z2171" s="11"/>
    </row>
    <row r="2172" customHeight="1" spans="1:26">
      <c r="A2172" s="11" t="str">
        <f>IFERROR(__xludf.DUMMYFUNCTION("""COMPUTED_VALUE"""),"CARLOS AUGUSTO DO COUTO COSTA")</f>
        <v>CARLOS AUGUSTO DO COUTO COSTA</v>
      </c>
      <c r="B2172" s="11"/>
      <c r="C2172" s="11"/>
      <c r="D2172" s="11" t="str">
        <f>IFERROR(__xludf.DUMMYFUNCTION("""COMPUTED_VALUE"""),"ENDOCRINOLOGIA E METABOLOGIA")</f>
        <v>ENDOCRINOLOGIA E METABOLOGIA</v>
      </c>
      <c r="E2172" s="11"/>
      <c r="F2172" s="11" t="str">
        <f>IFERROR(__xludf.DUMMYFUNCTION("""COMPUTED_VALUE"""),"US_217 CENTRO MEDICO SEN JOSE ERMIRIO DE MORAES")</f>
        <v>US_217 CENTRO MEDICO SEN JOSE ERMIRIO DE MORAES</v>
      </c>
      <c r="G2172" s="11" t="str">
        <f>IFERROR(__xludf.DUMMYFUNCTION("""COMPUTED_VALUE"""),"US_217 CENTRO MEDICO SEN JOSE ERMIRIO DE MORAES")</f>
        <v>US_217 CENTRO MEDICO SEN JOSE ERMIRIO DE MORAES</v>
      </c>
      <c r="H2172" s="11"/>
      <c r="I2172" s="11"/>
      <c r="J2172" s="11"/>
      <c r="K2172" s="11"/>
      <c r="L2172" s="11"/>
      <c r="M2172" s="11"/>
      <c r="N2172" s="30" t="str">
        <f>IFERROR(__xludf.DUMMYFUNCTION("""COMPUTED_VALUE"""),"costa.augusto.carlos@gmail.com")</f>
        <v>costa.augusto.carlos@gmail.com</v>
      </c>
      <c r="O2172" s="11">
        <f>IFERROR(__xludf.DUMMYFUNCTION("""COMPUTED_VALUE"""),71065768400)</f>
        <v>71065768400</v>
      </c>
      <c r="P2172" s="11"/>
      <c r="Q2172" s="11"/>
      <c r="R2172" s="11"/>
      <c r="S2172" s="11"/>
      <c r="T2172" s="11"/>
      <c r="U2172" s="11"/>
      <c r="V2172" s="11"/>
      <c r="W2172" s="11"/>
      <c r="X2172" s="11"/>
      <c r="Y2172" s="11"/>
      <c r="Z2172" s="11"/>
    </row>
    <row r="2173" customHeight="1" spans="1:26">
      <c r="A2173" s="11" t="str">
        <f>IFERROR(__xludf.DUMMYFUNCTION("""COMPUTED_VALUE"""),"MARTHA GERMANA AGUIAR DO MONTE")</f>
        <v>MARTHA GERMANA AGUIAR DO MONTE</v>
      </c>
      <c r="B2173" s="11"/>
      <c r="C2173" s="11"/>
      <c r="D2173" s="11" t="str">
        <f>IFERROR(__xludf.DUMMYFUNCTION("""COMPUTED_VALUE"""),"OFTALMOLOGIA")</f>
        <v>OFTALMOLOGIA</v>
      </c>
      <c r="E2173" s="11"/>
      <c r="F2173" s="11" t="str">
        <f>IFERROR(__xludf.DUMMYFUNCTION("""COMPUTED_VALUE"""),"US_217 CENTRO MEDICO SEN JOSE ERMIRIO DE MORAES")</f>
        <v>US_217 CENTRO MEDICO SEN JOSE ERMIRIO DE MORAES</v>
      </c>
      <c r="G2173" s="11" t="str">
        <f>IFERROR(__xludf.DUMMYFUNCTION("""COMPUTED_VALUE"""),"US_217 CENTRO MEDICO SEN JOSE ERMIRIO DE MORAES")</f>
        <v>US_217 CENTRO MEDICO SEN JOSE ERMIRIO DE MORAES</v>
      </c>
      <c r="H2173" s="11"/>
      <c r="I2173" s="11"/>
      <c r="J2173" s="11"/>
      <c r="K2173" s="11"/>
      <c r="L2173" s="11"/>
      <c r="M2173" s="11"/>
      <c r="N2173" s="30" t="str">
        <f>IFERROR(__xludf.DUMMYFUNCTION("""COMPUTED_VALUE"""),"marthagamonte@gmail.com")</f>
        <v>marthagamonte@gmail.com</v>
      </c>
      <c r="O2173" s="11">
        <f>IFERROR(__xludf.DUMMYFUNCTION("""COMPUTED_VALUE"""),66603447487)</f>
        <v>66603447487</v>
      </c>
      <c r="P2173" s="11"/>
      <c r="Q2173" s="11"/>
      <c r="R2173" s="11"/>
      <c r="S2173" s="11"/>
      <c r="T2173" s="11"/>
      <c r="U2173" s="11"/>
      <c r="V2173" s="11"/>
      <c r="W2173" s="11"/>
      <c r="X2173" s="11"/>
      <c r="Y2173" s="11"/>
      <c r="Z2173" s="11"/>
    </row>
    <row r="2174" customHeight="1" spans="1:26">
      <c r="A2174" s="11" t="str">
        <f>IFERROR(__xludf.DUMMYFUNCTION("""COMPUTED_VALUE"""),"GILDO CESAR BANDEIRA GALINDO")</f>
        <v>GILDO CESAR BANDEIRA GALINDO</v>
      </c>
      <c r="B2174" s="11"/>
      <c r="C2174" s="11"/>
      <c r="D2174" s="11" t="str">
        <f>IFERROR(__xludf.DUMMYFUNCTION("""COMPUTED_VALUE"""),"OFTALMOLOGIA")</f>
        <v>OFTALMOLOGIA</v>
      </c>
      <c r="E2174" s="11"/>
      <c r="F2174" s="11" t="str">
        <f>IFERROR(__xludf.DUMMYFUNCTION("""COMPUTED_VALUE"""),"US_217 CENTRO MEDICO SEN JOSE ERMIRIO DE MORAES")</f>
        <v>US_217 CENTRO MEDICO SEN JOSE ERMIRIO DE MORAES</v>
      </c>
      <c r="G2174" s="11" t="str">
        <f>IFERROR(__xludf.DUMMYFUNCTION("""COMPUTED_VALUE"""),"US_217 CENTRO MEDICO SEN JOSE ERMIRIO DE MORAES")</f>
        <v>US_217 CENTRO MEDICO SEN JOSE ERMIRIO DE MORAES</v>
      </c>
      <c r="H2174" s="11"/>
      <c r="I2174" s="11"/>
      <c r="J2174" s="11"/>
      <c r="K2174" s="11"/>
      <c r="L2174" s="11"/>
      <c r="M2174" s="11"/>
      <c r="N2174" s="30" t="str">
        <f>IFERROR(__xludf.DUMMYFUNCTION("""COMPUTED_VALUE"""),"gcbgalindo@yahoo.com.br")</f>
        <v>gcbgalindo@yahoo.com.br</v>
      </c>
      <c r="O2174" s="11">
        <f>IFERROR(__xludf.DUMMYFUNCTION("""COMPUTED_VALUE"""),78388899449)</f>
        <v>78388899449</v>
      </c>
      <c r="P2174" s="11"/>
      <c r="Q2174" s="11"/>
      <c r="R2174" s="11"/>
      <c r="S2174" s="11"/>
      <c r="T2174" s="11"/>
      <c r="U2174" s="11"/>
      <c r="V2174" s="11"/>
      <c r="W2174" s="11"/>
      <c r="X2174" s="11"/>
      <c r="Y2174" s="11"/>
      <c r="Z2174" s="11"/>
    </row>
    <row r="2175" customHeight="1" spans="1:26">
      <c r="A2175" s="11" t="str">
        <f>IFERROR(__xludf.DUMMYFUNCTION("""COMPUTED_VALUE"""),"RINALVA TENORIO VAZ")</f>
        <v>RINALVA TENORIO VAZ</v>
      </c>
      <c r="B2175" s="11"/>
      <c r="C2175" s="11"/>
      <c r="D2175" s="11" t="str">
        <f>IFERROR(__xludf.DUMMYFUNCTION("""COMPUTED_VALUE"""),"OFTALMOLOGIA")</f>
        <v>OFTALMOLOGIA</v>
      </c>
      <c r="E2175" s="11"/>
      <c r="F2175" s="11" t="str">
        <f>IFERROR(__xludf.DUMMYFUNCTION("""COMPUTED_VALUE"""),"US_217 CENTRO MEDICO SEN JOSE ERMIRIO DE MORAES")</f>
        <v>US_217 CENTRO MEDICO SEN JOSE ERMIRIO DE MORAES</v>
      </c>
      <c r="G2175" s="11" t="str">
        <f>IFERROR(__xludf.DUMMYFUNCTION("""COMPUTED_VALUE"""),"US_217 CENTRO MEDICO SEN JOSE ERMIRIO DE MORAES")</f>
        <v>US_217 CENTRO MEDICO SEN JOSE ERMIRIO DE MORAES</v>
      </c>
      <c r="H2175" s="11"/>
      <c r="I2175" s="11"/>
      <c r="J2175" s="11"/>
      <c r="K2175" s="11"/>
      <c r="L2175" s="11"/>
      <c r="M2175" s="11"/>
      <c r="N2175" s="30" t="str">
        <f>IFERROR(__xludf.DUMMYFUNCTION("""COMPUTED_VALUE"""),"rtvaz2@hotmail.com")</f>
        <v>rtvaz2@hotmail.com</v>
      </c>
      <c r="O2175" s="11">
        <f>IFERROR(__xludf.DUMMYFUNCTION("""COMPUTED_VALUE"""),77443756453)</f>
        <v>77443756453</v>
      </c>
      <c r="P2175" s="11"/>
      <c r="Q2175" s="11"/>
      <c r="R2175" s="11"/>
      <c r="S2175" s="11"/>
      <c r="T2175" s="11"/>
      <c r="U2175" s="11"/>
      <c r="V2175" s="11"/>
      <c r="W2175" s="11"/>
      <c r="X2175" s="11"/>
      <c r="Y2175" s="11"/>
      <c r="Z2175" s="11"/>
    </row>
    <row r="2176" customHeight="1" spans="1:26">
      <c r="A2176" s="11" t="str">
        <f>IFERROR(__xludf.DUMMYFUNCTION("""COMPUTED_VALUE"""),"JUDITH CASTRO MORAES GONCALVES")</f>
        <v>JUDITH CASTRO MORAES GONCALVES</v>
      </c>
      <c r="B2176" s="11"/>
      <c r="C2176" s="11"/>
      <c r="D2176" s="11" t="str">
        <f>IFERROR(__xludf.DUMMYFUNCTION("""COMPUTED_VALUE"""),"OFTALMOLOGIA")</f>
        <v>OFTALMOLOGIA</v>
      </c>
      <c r="E2176" s="11"/>
      <c r="F2176" s="11" t="str">
        <f>IFERROR(__xludf.DUMMYFUNCTION("""COMPUTED_VALUE"""),"US_217 CENTRO MEDICO SEN JOSE ERMIRIO DE MORAES")</f>
        <v>US_217 CENTRO MEDICO SEN JOSE ERMIRIO DE MORAES</v>
      </c>
      <c r="G2176" s="11" t="str">
        <f>IFERROR(__xludf.DUMMYFUNCTION("""COMPUTED_VALUE"""),"US_217 CENTRO MEDICO SEN JOSE ERMIRIO DE MORAES")</f>
        <v>US_217 CENTRO MEDICO SEN JOSE ERMIRIO DE MORAES</v>
      </c>
      <c r="H2176" s="11"/>
      <c r="I2176" s="11"/>
      <c r="J2176" s="11"/>
      <c r="K2176" s="11"/>
      <c r="L2176" s="11"/>
      <c r="M2176" s="11"/>
      <c r="N2176" s="30" t="str">
        <f>IFERROR(__xludf.DUMMYFUNCTION("""COMPUTED_VALUE"""),"jcdubeux@gmail.com")</f>
        <v>jcdubeux@gmail.com</v>
      </c>
      <c r="O2176" s="11">
        <f>IFERROR(__xludf.DUMMYFUNCTION("""COMPUTED_VALUE"""),78470510444)</f>
        <v>78470510444</v>
      </c>
      <c r="P2176" s="11"/>
      <c r="Q2176" s="11"/>
      <c r="R2176" s="11"/>
      <c r="S2176" s="11"/>
      <c r="T2176" s="11"/>
      <c r="U2176" s="11"/>
      <c r="V2176" s="11"/>
      <c r="W2176" s="11"/>
      <c r="X2176" s="11"/>
      <c r="Y2176" s="11"/>
      <c r="Z2176" s="11"/>
    </row>
    <row r="2177" customHeight="1" spans="1:26">
      <c r="A2177" s="11" t="str">
        <f>IFERROR(__xludf.DUMMYFUNCTION("""COMPUTED_VALUE"""),"EDUARDO ALVES MOREIRA")</f>
        <v>EDUARDO ALVES MOREIRA</v>
      </c>
      <c r="B2177" s="11"/>
      <c r="C2177" s="11"/>
      <c r="D2177" s="11" t="str">
        <f>IFERROR(__xludf.DUMMYFUNCTION("""COMPUTED_VALUE"""),"GINECOLOGIA E OBSTETRICIA")</f>
        <v>GINECOLOGIA E OBSTETRICIA</v>
      </c>
      <c r="E2177" s="11"/>
      <c r="F2177" s="11" t="str">
        <f>IFERROR(__xludf.DUMMYFUNCTION("""COMPUTED_VALUE"""),"US_217 CENTRO MEDICO SEN JOSE ERMIRIO DE MORAES")</f>
        <v>US_217 CENTRO MEDICO SEN JOSE ERMIRIO DE MORAES</v>
      </c>
      <c r="G2177" s="11" t="str">
        <f>IFERROR(__xludf.DUMMYFUNCTION("""COMPUTED_VALUE"""),"US_217 CENTRO MEDICO SEN JOSE ERMIRIO DE MORAES")</f>
        <v>US_217 CENTRO MEDICO SEN JOSE ERMIRIO DE MORAES</v>
      </c>
      <c r="H2177" s="11"/>
      <c r="I2177" s="11"/>
      <c r="J2177" s="11"/>
      <c r="K2177" s="11"/>
      <c r="L2177" s="11"/>
      <c r="M2177" s="11"/>
      <c r="N2177" s="30" t="str">
        <f>IFERROR(__xludf.DUMMYFUNCTION("""COMPUTED_VALUE"""),"eduardomoreira1969@gmail.com")</f>
        <v>eduardomoreira1969@gmail.com</v>
      </c>
      <c r="O2177" s="11">
        <f>IFERROR(__xludf.DUMMYFUNCTION("""COMPUTED_VALUE"""),66153603491)</f>
        <v>66153603491</v>
      </c>
      <c r="P2177" s="11"/>
      <c r="Q2177" s="11"/>
      <c r="R2177" s="11"/>
      <c r="S2177" s="11"/>
      <c r="T2177" s="11"/>
      <c r="U2177" s="11"/>
      <c r="V2177" s="11"/>
      <c r="W2177" s="11"/>
      <c r="X2177" s="11"/>
      <c r="Y2177" s="11"/>
      <c r="Z2177" s="11"/>
    </row>
    <row r="2178" customHeight="1" spans="1:26">
      <c r="A2178" s="11" t="str">
        <f>IFERROR(__xludf.DUMMYFUNCTION("""COMPUTED_VALUE"""),"HUMBERTO LUIZ LEAL")</f>
        <v>HUMBERTO LUIZ LEAL</v>
      </c>
      <c r="B2178" s="11"/>
      <c r="C2178" s="11"/>
      <c r="D2178" s="11" t="str">
        <f>IFERROR(__xludf.DUMMYFUNCTION("""COMPUTED_VALUE"""),"CARDIOLOGIA")</f>
        <v>CARDIOLOGIA</v>
      </c>
      <c r="E2178" s="11"/>
      <c r="F2178" s="11" t="str">
        <f>IFERROR(__xludf.DUMMYFUNCTION("""COMPUTED_VALUE"""),"US_217 CENTRO MEDICO SEN JOSE ERMIRIO DE MORAES")</f>
        <v>US_217 CENTRO MEDICO SEN JOSE ERMIRIO DE MORAES</v>
      </c>
      <c r="G2178" s="11" t="str">
        <f>IFERROR(__xludf.DUMMYFUNCTION("""COMPUTED_VALUE"""),"US_217 CENTRO MEDICO SEN JOSE ERMIRIO DE MORAES")</f>
        <v>US_217 CENTRO MEDICO SEN JOSE ERMIRIO DE MORAES</v>
      </c>
      <c r="H2178" s="11"/>
      <c r="I2178" s="11"/>
      <c r="J2178" s="11"/>
      <c r="K2178" s="11"/>
      <c r="L2178" s="11"/>
      <c r="M2178" s="11"/>
      <c r="N2178" s="30" t="str">
        <f>IFERROR(__xludf.DUMMYFUNCTION("""COMPUTED_VALUE"""),"humbertoluizleal@yahoo.com.br")</f>
        <v>humbertoluizleal@yahoo.com.br</v>
      </c>
      <c r="O2178" s="11">
        <f>IFERROR(__xludf.DUMMYFUNCTION("""COMPUTED_VALUE"""),29761255700)</f>
        <v>29761255700</v>
      </c>
      <c r="P2178" s="11"/>
      <c r="Q2178" s="11"/>
      <c r="R2178" s="11"/>
      <c r="S2178" s="11"/>
      <c r="T2178" s="11"/>
      <c r="U2178" s="11"/>
      <c r="V2178" s="11"/>
      <c r="W2178" s="11"/>
      <c r="X2178" s="11"/>
      <c r="Y2178" s="11"/>
      <c r="Z2178" s="11"/>
    </row>
    <row r="2179" customHeight="1" spans="1:26">
      <c r="A2179" s="11" t="str">
        <f>IFERROR(__xludf.DUMMYFUNCTION("""COMPUTED_VALUE"""),"SERGIO SOUTINHO FIGUEIROA")</f>
        <v>SERGIO SOUTINHO FIGUEIROA</v>
      </c>
      <c r="B2179" s="11"/>
      <c r="C2179" s="11"/>
      <c r="D2179" s="11" t="str">
        <f>IFERROR(__xludf.DUMMYFUNCTION("""COMPUTED_VALUE"""),"OFTALMOLOGIA")</f>
        <v>OFTALMOLOGIA</v>
      </c>
      <c r="E2179" s="11"/>
      <c r="F2179" s="11" t="str">
        <f>IFERROR(__xludf.DUMMYFUNCTION("""COMPUTED_VALUE"""),"US_217 CENTRO MEDICO SEN JOSE ERMIRIO DE MORAES")</f>
        <v>US_217 CENTRO MEDICO SEN JOSE ERMIRIO DE MORAES</v>
      </c>
      <c r="G2179" s="11" t="str">
        <f>IFERROR(__xludf.DUMMYFUNCTION("""COMPUTED_VALUE"""),"US_217 CENTRO MEDICO SEN JOSE ERMIRIO DE MORAES")</f>
        <v>US_217 CENTRO MEDICO SEN JOSE ERMIRIO DE MORAES</v>
      </c>
      <c r="H2179" s="11"/>
      <c r="I2179" s="11"/>
      <c r="J2179" s="11"/>
      <c r="K2179" s="11"/>
      <c r="L2179" s="11"/>
      <c r="M2179" s="11"/>
      <c r="N2179" s="30" t="str">
        <f>IFERROR(__xludf.DUMMYFUNCTION("""COMPUTED_VALUE"""),"SERGIOSOUTINHO@HOTMAIL.COM")</f>
        <v>SERGIOSOUTINHO@HOTMAIL.COM</v>
      </c>
      <c r="O2179" s="11">
        <f>IFERROR(__xludf.DUMMYFUNCTION("""COMPUTED_VALUE"""),16654307453)</f>
        <v>16654307453</v>
      </c>
      <c r="P2179" s="11"/>
      <c r="Q2179" s="11"/>
      <c r="R2179" s="11"/>
      <c r="S2179" s="11"/>
      <c r="T2179" s="11"/>
      <c r="U2179" s="11"/>
      <c r="V2179" s="11"/>
      <c r="W2179" s="11"/>
      <c r="X2179" s="11"/>
      <c r="Y2179" s="11"/>
      <c r="Z2179" s="11"/>
    </row>
    <row r="2180" customHeight="1" spans="1:26">
      <c r="A2180" s="11" t="str">
        <f>IFERROR(__xludf.DUMMYFUNCTION("""COMPUTED_VALUE"""),"ALDO JOSE FERNANDES COSTA")</f>
        <v>ALDO JOSE FERNANDES COSTA</v>
      </c>
      <c r="B2180" s="11"/>
      <c r="C2180" s="11"/>
      <c r="D2180" s="11" t="str">
        <f>IFERROR(__xludf.DUMMYFUNCTION("""COMPUTED_VALUE"""),"PNEUMOLOGIA")</f>
        <v>PNEUMOLOGIA</v>
      </c>
      <c r="E2180" s="11"/>
      <c r="F2180" s="11" t="str">
        <f>IFERROR(__xludf.DUMMYFUNCTION("""COMPUTED_VALUE"""),"US_321 CENTRAL DE ALERGOLOGIA")</f>
        <v>US_321 CENTRAL DE ALERGOLOGIA</v>
      </c>
      <c r="G2180" s="11" t="str">
        <f>IFERROR(__xludf.DUMMYFUNCTION("""COMPUTED_VALUE"""),"US_321 CENTRAL DE ALERGOLOGIA")</f>
        <v>US_321 CENTRAL DE ALERGOLOGIA</v>
      </c>
      <c r="H2180" s="11"/>
      <c r="I2180" s="11"/>
      <c r="J2180" s="11"/>
      <c r="K2180" s="11"/>
      <c r="L2180" s="11"/>
      <c r="M2180" s="11"/>
      <c r="N2180" s="30" t="str">
        <f>IFERROR(__xludf.DUMMYFUNCTION("""COMPUTED_VALUE"""),"aldojfcosta@gmail.com")</f>
        <v>aldojfcosta@gmail.com</v>
      </c>
      <c r="O2180" s="11">
        <f>IFERROR(__xludf.DUMMYFUNCTION("""COMPUTED_VALUE"""),64803481415)</f>
        <v>64803481415</v>
      </c>
      <c r="P2180" s="11"/>
      <c r="Q2180" s="11"/>
      <c r="R2180" s="11"/>
      <c r="S2180" s="11"/>
      <c r="T2180" s="11"/>
      <c r="U2180" s="11"/>
      <c r="V2180" s="11"/>
      <c r="W2180" s="11"/>
      <c r="X2180" s="11"/>
      <c r="Y2180" s="11"/>
      <c r="Z2180" s="11"/>
    </row>
    <row r="2181" customHeight="1" spans="1:26">
      <c r="A2181" s="11" t="str">
        <f>IFERROR(__xludf.DUMMYFUNCTION("""COMPUTED_VALUE"""),"MARCIA REGINA SOARES GALINDO")</f>
        <v>MARCIA REGINA SOARES GALINDO</v>
      </c>
      <c r="B2181" s="11"/>
      <c r="C2181" s="11"/>
      <c r="D2181" s="11" t="str">
        <f>IFERROR(__xludf.DUMMYFUNCTION("""COMPUTED_VALUE"""),"CARDIOLOGIA")</f>
        <v>CARDIOLOGIA</v>
      </c>
      <c r="E2181" s="11"/>
      <c r="F2181" s="11" t="str">
        <f>IFERROR(__xludf.DUMMYFUNCTION("""COMPUTED_VALUE"""),"US_217 CENTRO MEDICO SEN JOSE ERMIRIO DE MORAES")</f>
        <v>US_217 CENTRO MEDICO SEN JOSE ERMIRIO DE MORAES</v>
      </c>
      <c r="G2181" s="11" t="str">
        <f>IFERROR(__xludf.DUMMYFUNCTION("""COMPUTED_VALUE"""),"US_217 CENTRO MEDICO SEN JOSE ERMIRIO DE MORAES")</f>
        <v>US_217 CENTRO MEDICO SEN JOSE ERMIRIO DE MORAES</v>
      </c>
      <c r="H2181" s="11"/>
      <c r="I2181" s="11"/>
      <c r="J2181" s="11"/>
      <c r="K2181" s="11"/>
      <c r="L2181" s="11"/>
      <c r="M2181" s="11"/>
      <c r="N2181" s="30" t="str">
        <f>IFERROR(__xludf.DUMMYFUNCTION("""COMPUTED_VALUE"""),"msgallindo@yahoo.com.br")</f>
        <v>msgallindo@yahoo.com.br</v>
      </c>
      <c r="O2181" s="11">
        <f>IFERROR(__xludf.DUMMYFUNCTION("""COMPUTED_VALUE"""),34206833320)</f>
        <v>34206833320</v>
      </c>
      <c r="P2181" s="11"/>
      <c r="Q2181" s="11"/>
      <c r="R2181" s="11"/>
      <c r="S2181" s="11"/>
      <c r="T2181" s="11"/>
      <c r="U2181" s="11"/>
      <c r="V2181" s="11"/>
      <c r="W2181" s="11"/>
      <c r="X2181" s="11"/>
      <c r="Y2181" s="11"/>
      <c r="Z2181" s="11"/>
    </row>
    <row r="2182" customHeight="1" spans="1:26">
      <c r="A2182" s="11" t="str">
        <f>IFERROR(__xludf.DUMMYFUNCTION("""COMPUTED_VALUE"""),"FLAVIO JUVENAL DA SILVA")</f>
        <v>FLAVIO JUVENAL DA SILVA</v>
      </c>
      <c r="B2182" s="11"/>
      <c r="C2182" s="11"/>
      <c r="D2182" s="11" t="str">
        <f>IFERROR(__xludf.DUMMYFUNCTION("""COMPUTED_VALUE"""),"MASTOLOGIA")</f>
        <v>MASTOLOGIA</v>
      </c>
      <c r="E2182" s="11"/>
      <c r="F2182" s="11" t="str">
        <f>IFERROR(__xludf.DUMMYFUNCTION("""COMPUTED_VALUE"""),"US_129 AMEM AMBULATORIO ESPECIALIZADO DA MULHER")</f>
        <v>US_129 AMEM AMBULATORIO ESPECIALIZADO DA MULHER</v>
      </c>
      <c r="G2182" s="11" t="str">
        <f>IFERROR(__xludf.DUMMYFUNCTION("""COMPUTED_VALUE"""),"US_129 AMEM AMBULATORIO ESPECIALIZADO DA MULHER")</f>
        <v>US_129 AMEM AMBULATORIO ESPECIALIZADO DA MULHER</v>
      </c>
      <c r="H2182" s="11"/>
      <c r="I2182" s="11"/>
      <c r="J2182" s="11"/>
      <c r="K2182" s="11"/>
      <c r="L2182" s="11"/>
      <c r="M2182" s="11"/>
      <c r="N2182" s="30" t="str">
        <f>IFERROR(__xludf.DUMMYFUNCTION("""COMPUTED_VALUE"""),"flavioj@elogica.com.br")</f>
        <v>flavioj@elogica.com.br</v>
      </c>
      <c r="O2182" s="11">
        <f>IFERROR(__xludf.DUMMYFUNCTION("""COMPUTED_VALUE"""),41047273420)</f>
        <v>41047273420</v>
      </c>
      <c r="P2182" s="11"/>
      <c r="Q2182" s="11"/>
      <c r="R2182" s="11"/>
      <c r="S2182" s="11"/>
      <c r="T2182" s="11"/>
      <c r="U2182" s="11"/>
      <c r="V2182" s="11"/>
      <c r="W2182" s="11"/>
      <c r="X2182" s="11"/>
      <c r="Y2182" s="11"/>
      <c r="Z2182" s="11"/>
    </row>
    <row r="2183" customHeight="1" spans="1:26">
      <c r="A2183" s="11" t="str">
        <f>IFERROR(__xludf.DUMMYFUNCTION("""COMPUTED_VALUE"""),"IZIS COELY DO AMARAL S PESSOA")</f>
        <v>IZIS COELY DO AMARAL S PESSOA</v>
      </c>
      <c r="B2183" s="11"/>
      <c r="C2183" s="11"/>
      <c r="D2183" s="11" t="str">
        <f>IFERROR(__xludf.DUMMYFUNCTION("""COMPUTED_VALUE"""),"ENDOCRINOLOGIA E METABOLOGIA")</f>
        <v>ENDOCRINOLOGIA E METABOLOGIA</v>
      </c>
      <c r="E2183" s="11"/>
      <c r="F2183" s="11" t="str">
        <f>IFERROR(__xludf.DUMMYFUNCTION("""COMPUTED_VALUE"""),"US_217 CENTRO MEDICO SEN JOSE ERMIRIO DE MORAES")</f>
        <v>US_217 CENTRO MEDICO SEN JOSE ERMIRIO DE MORAES</v>
      </c>
      <c r="G2183" s="11" t="str">
        <f>IFERROR(__xludf.DUMMYFUNCTION("""COMPUTED_VALUE"""),"US_217 CENTRO MEDICO SEN JOSE ERMIRIO DE MORAES")</f>
        <v>US_217 CENTRO MEDICO SEN JOSE ERMIRIO DE MORAES</v>
      </c>
      <c r="H2183" s="11"/>
      <c r="I2183" s="11"/>
      <c r="J2183" s="11"/>
      <c r="K2183" s="11"/>
      <c r="L2183" s="11"/>
      <c r="M2183" s="11"/>
      <c r="N2183" s="30" t="str">
        <f>IFERROR(__xludf.DUMMYFUNCTION("""COMPUTED_VALUE"""),"ANDERSONIZIS@IG.COM.BR")</f>
        <v>ANDERSONIZIS@IG.COM.BR</v>
      </c>
      <c r="O2183" s="11">
        <f>IFERROR(__xludf.DUMMYFUNCTION("""COMPUTED_VALUE"""),44087233472)</f>
        <v>44087233472</v>
      </c>
      <c r="P2183" s="11"/>
      <c r="Q2183" s="11"/>
      <c r="R2183" s="11"/>
      <c r="S2183" s="11"/>
      <c r="T2183" s="11"/>
      <c r="U2183" s="11"/>
      <c r="V2183" s="11"/>
      <c r="W2183" s="11"/>
      <c r="X2183" s="11"/>
      <c r="Y2183" s="11"/>
      <c r="Z2183" s="11"/>
    </row>
    <row r="2184" customHeight="1" spans="1:26">
      <c r="A2184" s="11" t="str">
        <f>IFERROR(__xludf.DUMMYFUNCTION("""COMPUTED_VALUE"""),"VALDEMIR RODRIGUES DA SILVA")</f>
        <v>VALDEMIR RODRIGUES DA SILVA</v>
      </c>
      <c r="B2184" s="11"/>
      <c r="C2184" s="11"/>
      <c r="D2184" s="11" t="str">
        <f>IFERROR(__xludf.DUMMYFUNCTION("""COMPUTED_VALUE"""),"ULTRASSONOGRAFIA")</f>
        <v>ULTRASSONOGRAFIA</v>
      </c>
      <c r="E2184" s="11"/>
      <c r="F2184" s="11" t="str">
        <f>IFERROR(__xludf.DUMMYFUNCTION("""COMPUTED_VALUE"""),"US_217 CENTRO MEDICO SEN JOSE ERMIRIO DE MORAES")</f>
        <v>US_217 CENTRO MEDICO SEN JOSE ERMIRIO DE MORAES</v>
      </c>
      <c r="G2184" s="11" t="str">
        <f>IFERROR(__xludf.DUMMYFUNCTION("""COMPUTED_VALUE"""),"US_217 CENTRO MEDICO SEN JOSE ERMIRIO DE MORAES")</f>
        <v>US_217 CENTRO MEDICO SEN JOSE ERMIRIO DE MORAES</v>
      </c>
      <c r="H2184" s="11"/>
      <c r="I2184" s="11"/>
      <c r="J2184" s="11"/>
      <c r="K2184" s="11"/>
      <c r="L2184" s="11"/>
      <c r="M2184" s="11"/>
      <c r="N2184" s="30" t="str">
        <f>IFERROR(__xludf.DUMMYFUNCTION("""COMPUTED_VALUE"""),"valsrodrigues@uol.com.br")</f>
        <v>valsrodrigues@uol.com.br</v>
      </c>
      <c r="O2184" s="11">
        <f>IFERROR(__xludf.DUMMYFUNCTION("""COMPUTED_VALUE"""),38535068449)</f>
        <v>38535068449</v>
      </c>
      <c r="P2184" s="11"/>
      <c r="Q2184" s="11"/>
      <c r="R2184" s="11"/>
      <c r="S2184" s="11"/>
      <c r="T2184" s="11"/>
      <c r="U2184" s="11"/>
      <c r="V2184" s="11"/>
      <c r="W2184" s="11"/>
      <c r="X2184" s="11"/>
      <c r="Y2184" s="11"/>
      <c r="Z2184" s="11"/>
    </row>
    <row r="2185" customHeight="1" spans="1:26">
      <c r="A2185" s="11" t="str">
        <f>IFERROR(__xludf.DUMMYFUNCTION("""COMPUTED_VALUE"""),"MARCELA MARIA BARBOSA DA SILVA")</f>
        <v>MARCELA MARIA BARBOSA DA SILVA</v>
      </c>
      <c r="B2185" s="11"/>
      <c r="C2185" s="11"/>
      <c r="D2185" s="11" t="str">
        <f>IFERROR(__xludf.DUMMYFUNCTION("""COMPUTED_VALUE"""),"ENDOCRINOLOGIA PEDIATRICA")</f>
        <v>ENDOCRINOLOGIA PEDIATRICA</v>
      </c>
      <c r="E2185" s="11"/>
      <c r="F2185" s="11" t="str">
        <f>IFERROR(__xludf.DUMMYFUNCTION("""COMPUTED_VALUE"""),"US_217 CENTRO MEDICO SEN JOSE ERMIRIO DE MORAES")</f>
        <v>US_217 CENTRO MEDICO SEN JOSE ERMIRIO DE MORAES</v>
      </c>
      <c r="G2185" s="11" t="str">
        <f>IFERROR(__xludf.DUMMYFUNCTION("""COMPUTED_VALUE"""),"US_217 CENTRO MEDICO SEN JOSE ERMIRIO DE MORAES")</f>
        <v>US_217 CENTRO MEDICO SEN JOSE ERMIRIO DE MORAES</v>
      </c>
      <c r="H2185" s="11"/>
      <c r="I2185" s="11"/>
      <c r="J2185" s="11"/>
      <c r="K2185" s="11"/>
      <c r="L2185" s="11"/>
      <c r="M2185" s="11"/>
      <c r="N2185" s="30" t="str">
        <f>IFERROR(__xludf.DUMMYFUNCTION("""COMPUTED_VALUE"""),"marcelambs@uol.com.br                                  ")</f>
        <v>marcelambs@uol.com.br                                  </v>
      </c>
      <c r="O2185" s="11">
        <f>IFERROR(__xludf.DUMMYFUNCTION("""COMPUTED_VALUE"""),84677775400)</f>
        <v>84677775400</v>
      </c>
      <c r="P2185" s="11"/>
      <c r="Q2185" s="11"/>
      <c r="R2185" s="11"/>
      <c r="S2185" s="11"/>
      <c r="T2185" s="11"/>
      <c r="U2185" s="11"/>
      <c r="V2185" s="11"/>
      <c r="W2185" s="11"/>
      <c r="X2185" s="11"/>
      <c r="Y2185" s="11"/>
      <c r="Z2185" s="11"/>
    </row>
    <row r="2186" customHeight="1" spans="1:26">
      <c r="A2186" s="11" t="str">
        <f>IFERROR(__xludf.DUMMYFUNCTION("""COMPUTED_VALUE"""),"ARNALDO KREIMER")</f>
        <v>ARNALDO KREIMER</v>
      </c>
      <c r="B2186" s="11"/>
      <c r="C2186" s="11"/>
      <c r="D2186" s="11" t="str">
        <f>IFERROR(__xludf.DUMMYFUNCTION("""COMPUTED_VALUE"""),"CARDIOLOGIA")</f>
        <v>CARDIOLOGIA</v>
      </c>
      <c r="E2186" s="11"/>
      <c r="F2186" s="11" t="str">
        <f>IFERROR(__xludf.DUMMYFUNCTION("""COMPUTED_VALUE"""),"US_217 CENTRO MEDICO SEN JOSE ERMIRIO DE MORAES")</f>
        <v>US_217 CENTRO MEDICO SEN JOSE ERMIRIO DE MORAES</v>
      </c>
      <c r="G2186" s="11" t="str">
        <f>IFERROR(__xludf.DUMMYFUNCTION("""COMPUTED_VALUE"""),"US_217 CENTRO MEDICO SEN JOSE ERMIRIO DE MORAES")</f>
        <v>US_217 CENTRO MEDICO SEN JOSE ERMIRIO DE MORAES</v>
      </c>
      <c r="H2186" s="11"/>
      <c r="I2186" s="11"/>
      <c r="J2186" s="11"/>
      <c r="K2186" s="11"/>
      <c r="L2186" s="11"/>
      <c r="M2186" s="11"/>
      <c r="N2186" s="30" t="str">
        <f>IFERROR(__xludf.DUMMYFUNCTION("""COMPUTED_VALUE"""),"akreimer@hotmail.com")</f>
        <v>akreimer@hotmail.com</v>
      </c>
      <c r="O2186" s="11">
        <f>IFERROR(__xludf.DUMMYFUNCTION("""COMPUTED_VALUE"""),79404405434)</f>
        <v>79404405434</v>
      </c>
      <c r="P2186" s="11"/>
      <c r="Q2186" s="11"/>
      <c r="R2186" s="11"/>
      <c r="S2186" s="11"/>
      <c r="T2186" s="11"/>
      <c r="U2186" s="11"/>
      <c r="V2186" s="11"/>
      <c r="W2186" s="11"/>
      <c r="X2186" s="11"/>
      <c r="Y2186" s="11"/>
      <c r="Z2186" s="11"/>
    </row>
    <row r="2187" customHeight="1" spans="1:26">
      <c r="A2187" s="11" t="str">
        <f>IFERROR(__xludf.DUMMYFUNCTION("""COMPUTED_VALUE"""),"CARLA DAISY COSTA ALBUQUERQUE")</f>
        <v>CARLA DAISY COSTA ALBUQUERQUE</v>
      </c>
      <c r="B2187" s="11"/>
      <c r="C2187" s="11"/>
      <c r="D2187" s="11" t="str">
        <f>IFERROR(__xludf.DUMMYFUNCTION("""COMPUTED_VALUE"""),"GINECOLOGIA")</f>
        <v>GINECOLOGIA</v>
      </c>
      <c r="E2187" s="11"/>
      <c r="F2187" s="11" t="str">
        <f>IFERROR(__xludf.DUMMYFUNCTION("""COMPUTED_VALUE"""),"US_129 AMEM AMBULATORIO ESPECIALIZADO DA MULHER")</f>
        <v>US_129 AMEM AMBULATORIO ESPECIALIZADO DA MULHER</v>
      </c>
      <c r="G2187" s="11" t="str">
        <f>IFERROR(__xludf.DUMMYFUNCTION("""COMPUTED_VALUE"""),"US_129 AMEM AMBULATORIO ESPECIALIZADO DA MULHER")</f>
        <v>US_129 AMEM AMBULATORIO ESPECIALIZADO DA MULHER</v>
      </c>
      <c r="H2187" s="11"/>
      <c r="I2187" s="11"/>
      <c r="J2187" s="11"/>
      <c r="K2187" s="11"/>
      <c r="L2187" s="11"/>
      <c r="M2187" s="11"/>
      <c r="N2187" s="30" t="str">
        <f>IFERROR(__xludf.DUMMYFUNCTION("""COMPUTED_VALUE"""),"CARLADCALBU@GMAIL.COM")</f>
        <v>CARLADCALBU@GMAIL.COM</v>
      </c>
      <c r="O2187" s="11">
        <f>IFERROR(__xludf.DUMMYFUNCTION("""COMPUTED_VALUE"""),7464533453)</f>
        <v>7464533453</v>
      </c>
      <c r="P2187" s="11"/>
      <c r="Q2187" s="11"/>
      <c r="R2187" s="11"/>
      <c r="S2187" s="11"/>
      <c r="T2187" s="11"/>
      <c r="U2187" s="11"/>
      <c r="V2187" s="11"/>
      <c r="W2187" s="11"/>
      <c r="X2187" s="11"/>
      <c r="Y2187" s="11"/>
      <c r="Z2187" s="11"/>
    </row>
    <row r="2188" customHeight="1" spans="1:26">
      <c r="A2188" s="11" t="str">
        <f>IFERROR(__xludf.DUMMYFUNCTION("""COMPUTED_VALUE"""),"RUBEM AUGUSTO F DE LIMA")</f>
        <v>RUBEM AUGUSTO F DE LIMA</v>
      </c>
      <c r="B2188" s="11"/>
      <c r="C2188" s="11"/>
      <c r="D2188" s="11" t="str">
        <f>IFERROR(__xludf.DUMMYFUNCTION("""COMPUTED_VALUE"""),"OFTALMOLOGIA")</f>
        <v>OFTALMOLOGIA</v>
      </c>
      <c r="E2188" s="11"/>
      <c r="F2188" s="11" t="str">
        <f>IFERROR(__xludf.DUMMYFUNCTION("""COMPUTED_VALUE"""),"US_217 CENTRO MEDICO SEN JOSE ERMIRIO DE MORAES")</f>
        <v>US_217 CENTRO MEDICO SEN JOSE ERMIRIO DE MORAES</v>
      </c>
      <c r="G2188" s="11" t="str">
        <f>IFERROR(__xludf.DUMMYFUNCTION("""COMPUTED_VALUE"""),"US_217 CENTRO MEDICO SEN JOSE ERMIRIO DE MORAES")</f>
        <v>US_217 CENTRO MEDICO SEN JOSE ERMIRIO DE MORAES</v>
      </c>
      <c r="H2188" s="11"/>
      <c r="I2188" s="11"/>
      <c r="J2188" s="11"/>
      <c r="K2188" s="11"/>
      <c r="L2188" s="11"/>
      <c r="M2188" s="11"/>
      <c r="N2188" s="30" t="str">
        <f>IFERROR(__xludf.DUMMYFUNCTION("""COMPUTED_VALUE"""),"rubemflima@hotmail.com")</f>
        <v>rubemflima@hotmail.com</v>
      </c>
      <c r="O2188" s="11">
        <f>IFERROR(__xludf.DUMMYFUNCTION("""COMPUTED_VALUE"""),90555759415)</f>
        <v>90555759415</v>
      </c>
      <c r="P2188" s="11"/>
      <c r="Q2188" s="11"/>
      <c r="R2188" s="11"/>
      <c r="S2188" s="11"/>
      <c r="T2188" s="11"/>
      <c r="U2188" s="11"/>
      <c r="V2188" s="11"/>
      <c r="W2188" s="11"/>
      <c r="X2188" s="11"/>
      <c r="Y2188" s="11"/>
      <c r="Z2188" s="11"/>
    </row>
    <row r="2189" customHeight="1" spans="1:26">
      <c r="A2189" s="11" t="str">
        <f>IFERROR(__xludf.DUMMYFUNCTION("""COMPUTED_VALUE"""),"CRISTIANE DE SA A DE ANDRADE")</f>
        <v>CRISTIANE DE SA A DE ANDRADE</v>
      </c>
      <c r="B2189" s="11"/>
      <c r="C2189" s="11"/>
      <c r="D2189" s="11" t="str">
        <f>IFERROR(__xludf.DUMMYFUNCTION("""COMPUTED_VALUE"""),"OFTALMOLOGIA")</f>
        <v>OFTALMOLOGIA</v>
      </c>
      <c r="E2189" s="11"/>
      <c r="F2189" s="11" t="str">
        <f>IFERROR(__xludf.DUMMYFUNCTION("""COMPUTED_VALUE"""),"US_217 CENTRO MEDICO SEN JOSE ERMIRIO DE MORAES")</f>
        <v>US_217 CENTRO MEDICO SEN JOSE ERMIRIO DE MORAES</v>
      </c>
      <c r="G2189" s="11" t="str">
        <f>IFERROR(__xludf.DUMMYFUNCTION("""COMPUTED_VALUE"""),"US_217 CENTRO MEDICO SEN JOSE ERMIRIO DE MORAES")</f>
        <v>US_217 CENTRO MEDICO SEN JOSE ERMIRIO DE MORAES</v>
      </c>
      <c r="H2189" s="11"/>
      <c r="I2189" s="11"/>
      <c r="J2189" s="11"/>
      <c r="K2189" s="11"/>
      <c r="L2189" s="11"/>
      <c r="M2189" s="11"/>
      <c r="N2189" s="30" t="str">
        <f>IFERROR(__xludf.DUMMYFUNCTION("""COMPUTED_VALUE"""),"dracrisamaral@hotmail.com                              ")</f>
        <v>dracrisamaral@hotmail.com                              </v>
      </c>
      <c r="O2189" s="11">
        <f>IFERROR(__xludf.DUMMYFUNCTION("""COMPUTED_VALUE"""),91925053415)</f>
        <v>91925053415</v>
      </c>
      <c r="P2189" s="11"/>
      <c r="Q2189" s="11"/>
      <c r="R2189" s="11"/>
      <c r="S2189" s="11"/>
      <c r="T2189" s="11"/>
      <c r="U2189" s="11"/>
      <c r="V2189" s="11"/>
      <c r="W2189" s="11"/>
      <c r="X2189" s="11"/>
      <c r="Y2189" s="11"/>
      <c r="Z2189" s="11"/>
    </row>
    <row r="2190" customHeight="1" spans="1:26">
      <c r="A2190" s="11" t="str">
        <f>IFERROR(__xludf.DUMMYFUNCTION("""COMPUTED_VALUE"""),"LUCIANA MACHADO DIAS R LUZ")</f>
        <v>LUCIANA MACHADO DIAS R LUZ</v>
      </c>
      <c r="B2190" s="11"/>
      <c r="C2190" s="11"/>
      <c r="D2190" s="11" t="str">
        <f>IFERROR(__xludf.DUMMYFUNCTION("""COMPUTED_VALUE"""),"ALERGIA E IMUNOLOGIA")</f>
        <v>ALERGIA E IMUNOLOGIA</v>
      </c>
      <c r="E2190" s="11"/>
      <c r="F2190" s="11" t="str">
        <f>IFERROR(__xludf.DUMMYFUNCTION("""COMPUTED_VALUE"""),"US_321 CENTRAL DE ALERGOLOGIA")</f>
        <v>US_321 CENTRAL DE ALERGOLOGIA</v>
      </c>
      <c r="G2190" s="11" t="str">
        <f>IFERROR(__xludf.DUMMYFUNCTION("""COMPUTED_VALUE"""),"US_321 CENTRAL DE ALERGOLOGIA")</f>
        <v>US_321 CENTRAL DE ALERGOLOGIA</v>
      </c>
      <c r="H2190" s="11"/>
      <c r="I2190" s="11"/>
      <c r="J2190" s="11"/>
      <c r="K2190" s="11"/>
      <c r="L2190" s="11"/>
      <c r="M2190" s="11"/>
      <c r="N2190" s="30" t="str">
        <f>IFERROR(__xludf.DUMMYFUNCTION("""COMPUTED_VALUE"""),"luz_luciana@hotmail.com")</f>
        <v>luz_luciana@hotmail.com</v>
      </c>
      <c r="O2190" s="11">
        <f>IFERROR(__xludf.DUMMYFUNCTION("""COMPUTED_VALUE"""),82024081487)</f>
        <v>82024081487</v>
      </c>
      <c r="P2190" s="11"/>
      <c r="Q2190" s="11"/>
      <c r="R2190" s="11"/>
      <c r="S2190" s="11"/>
      <c r="T2190" s="11"/>
      <c r="U2190" s="11"/>
      <c r="V2190" s="11"/>
      <c r="W2190" s="11"/>
      <c r="X2190" s="11"/>
      <c r="Y2190" s="11"/>
      <c r="Z2190" s="11"/>
    </row>
    <row r="2191" customHeight="1" spans="1:26">
      <c r="A2191" s="11" t="str">
        <f>IFERROR(__xludf.DUMMYFUNCTION("""COMPUTED_VALUE"""),"MARIA DA CONCEICAO F S MAIOR")</f>
        <v>MARIA DA CONCEICAO F S MAIOR</v>
      </c>
      <c r="B2191" s="11"/>
      <c r="C2191" s="11"/>
      <c r="D2191" s="11" t="str">
        <f>IFERROR(__xludf.DUMMYFUNCTION("""COMPUTED_VALUE"""),"GINECOLOGIA")</f>
        <v>GINECOLOGIA</v>
      </c>
      <c r="E2191" s="11"/>
      <c r="F2191" s="11" t="str">
        <f>IFERROR(__xludf.DUMMYFUNCTION("""COMPUTED_VALUE"""),"US_129 AMEM AMBULATORIO ESPECIALIZADO DA MULHER")</f>
        <v>US_129 AMEM AMBULATORIO ESPECIALIZADO DA MULHER</v>
      </c>
      <c r="G2191" s="11" t="str">
        <f>IFERROR(__xludf.DUMMYFUNCTION("""COMPUTED_VALUE"""),"US_129 AMEM AMBULATORIO ESPECIALIZADO DA MULHER")</f>
        <v>US_129 AMEM AMBULATORIO ESPECIALIZADO DA MULHER</v>
      </c>
      <c r="H2191" s="11"/>
      <c r="I2191" s="11"/>
      <c r="J2191" s="11"/>
      <c r="K2191" s="11"/>
      <c r="L2191" s="11"/>
      <c r="M2191" s="11"/>
      <c r="N2191" s="30" t="str">
        <f>IFERROR(__xludf.DUMMYFUNCTION("""COMPUTED_VALUE"""),"conceicaosoutomaior@gmail.com                          ")</f>
        <v>conceicaosoutomaior@gmail.com                          </v>
      </c>
      <c r="O2191" s="11">
        <f>IFERROR(__xludf.DUMMYFUNCTION("""COMPUTED_VALUE"""),2015907432)</f>
        <v>2015907432</v>
      </c>
      <c r="P2191" s="11"/>
      <c r="Q2191" s="11"/>
      <c r="R2191" s="11"/>
      <c r="S2191" s="11"/>
      <c r="T2191" s="11"/>
      <c r="U2191" s="11"/>
      <c r="V2191" s="11"/>
      <c r="W2191" s="11"/>
      <c r="X2191" s="11"/>
      <c r="Y2191" s="11"/>
      <c r="Z2191" s="11"/>
    </row>
    <row r="2192" customHeight="1" spans="1:26">
      <c r="A2192" s="11" t="str">
        <f>IFERROR(__xludf.DUMMYFUNCTION("""COMPUTED_VALUE"""),"ALDENICE SALES FERREIRA SOUSA")</f>
        <v>ALDENICE SALES FERREIRA SOUSA</v>
      </c>
      <c r="B2192" s="11"/>
      <c r="C2192" s="11"/>
      <c r="D2192" s="11" t="str">
        <f>IFERROR(__xludf.DUMMYFUNCTION("""COMPUTED_VALUE"""),"GINECOLOGIA E OBSTETRICIA")</f>
        <v>GINECOLOGIA E OBSTETRICIA</v>
      </c>
      <c r="E2192" s="11"/>
      <c r="F2192" s="11" t="str">
        <f>IFERROR(__xludf.DUMMYFUNCTION("""COMPUTED_VALUE"""),"US_217 CENTRO MEDICO SEN JOSE ERMIRIO DE MORAES")</f>
        <v>US_217 CENTRO MEDICO SEN JOSE ERMIRIO DE MORAES</v>
      </c>
      <c r="G2192" s="11" t="str">
        <f>IFERROR(__xludf.DUMMYFUNCTION("""COMPUTED_VALUE"""),"US_217 CENTRO MEDICO SEN JOSE ERMIRIO DE MORAES")</f>
        <v>US_217 CENTRO MEDICO SEN JOSE ERMIRIO DE MORAES</v>
      </c>
      <c r="H2192" s="11"/>
      <c r="I2192" s="11"/>
      <c r="J2192" s="11"/>
      <c r="K2192" s="11"/>
      <c r="L2192" s="11"/>
      <c r="M2192" s="11"/>
      <c r="N2192" s="30" t="str">
        <f>IFERROR(__xludf.DUMMYFUNCTION("""COMPUTED_VALUE"""),"aldeniceferreira@yahoo.com.br                          ")</f>
        <v>aldeniceferreira@yahoo.com.br                          </v>
      </c>
      <c r="O2192" s="11">
        <f>IFERROR(__xludf.DUMMYFUNCTION("""COMPUTED_VALUE"""),51529637368)</f>
        <v>51529637368</v>
      </c>
      <c r="P2192" s="11"/>
      <c r="Q2192" s="11"/>
      <c r="R2192" s="11"/>
      <c r="S2192" s="11"/>
      <c r="T2192" s="11"/>
      <c r="U2192" s="11"/>
      <c r="V2192" s="11"/>
      <c r="W2192" s="11"/>
      <c r="X2192" s="11"/>
      <c r="Y2192" s="11"/>
      <c r="Z2192" s="11"/>
    </row>
    <row r="2193" customHeight="1" spans="1:26">
      <c r="A2193" s="11" t="str">
        <f>IFERROR(__xludf.DUMMYFUNCTION("""COMPUTED_VALUE"""),"MONICA DE MORAES CHAVES BECKER")</f>
        <v>MONICA DE MORAES CHAVES BECKER</v>
      </c>
      <c r="B2193" s="11"/>
      <c r="C2193" s="11"/>
      <c r="D2193" s="11" t="str">
        <f>IFERROR(__xludf.DUMMYFUNCTION("""COMPUTED_VALUE"""),"CARDIOLOGIA")</f>
        <v>CARDIOLOGIA</v>
      </c>
      <c r="E2193" s="11"/>
      <c r="F2193" s="11" t="str">
        <f>IFERROR(__xludf.DUMMYFUNCTION("""COMPUTED_VALUE"""),"US_217 CENTRO MEDICO SEN JOSE ERMIRIO DE MORAES")</f>
        <v>US_217 CENTRO MEDICO SEN JOSE ERMIRIO DE MORAES</v>
      </c>
      <c r="G2193" s="11" t="str">
        <f>IFERROR(__xludf.DUMMYFUNCTION("""COMPUTED_VALUE"""),"US_217 CENTRO MEDICO SEN JOSE ERMIRIO DE MORAES")</f>
        <v>US_217 CENTRO MEDICO SEN JOSE ERMIRIO DE MORAES</v>
      </c>
      <c r="H2193" s="11"/>
      <c r="I2193" s="11"/>
      <c r="J2193" s="11"/>
      <c r="K2193" s="11"/>
      <c r="L2193" s="11"/>
      <c r="M2193" s="11"/>
      <c r="N2193" s="30" t="str">
        <f>IFERROR(__xludf.DUMMYFUNCTION("""COMPUTED_VALUE"""),"monicabecker1@gmail.com")</f>
        <v>monicabecker1@gmail.com</v>
      </c>
      <c r="O2193" s="11">
        <f>IFERROR(__xludf.DUMMYFUNCTION("""COMPUTED_VALUE"""),81899653449)</f>
        <v>81899653449</v>
      </c>
      <c r="P2193" s="11"/>
      <c r="Q2193" s="11"/>
      <c r="R2193" s="11"/>
      <c r="S2193" s="11"/>
      <c r="T2193" s="11"/>
      <c r="U2193" s="11"/>
      <c r="V2193" s="11"/>
      <c r="W2193" s="11"/>
      <c r="X2193" s="11"/>
      <c r="Y2193" s="11"/>
      <c r="Z2193" s="11"/>
    </row>
    <row r="2194" customHeight="1" spans="1:26">
      <c r="A2194" s="11" t="str">
        <f>IFERROR(__xludf.DUMMYFUNCTION("""COMPUTED_VALUE"""),"JANE MARTINS DOS S ANDRADE")</f>
        <v>JANE MARTINS DOS S ANDRADE</v>
      </c>
      <c r="B2194" s="11"/>
      <c r="C2194" s="11"/>
      <c r="D2194" s="11" t="str">
        <f>IFERROR(__xludf.DUMMYFUNCTION("""COMPUTED_VALUE"""),"CLINICA GERAL")</f>
        <v>CLINICA GERAL</v>
      </c>
      <c r="E2194" s="11"/>
      <c r="F2194" s="11" t="str">
        <f>IFERROR(__xludf.DUMMYFUNCTION("""COMPUTED_VALUE"""),"US_321 CENTRAL DE ALERGOLOGIA")</f>
        <v>US_321 CENTRAL DE ALERGOLOGIA</v>
      </c>
      <c r="G2194" s="11" t="str">
        <f>IFERROR(__xludf.DUMMYFUNCTION("""COMPUTED_VALUE"""),"US_321 CENTRAL DE ALERGOLOGIA")</f>
        <v>US_321 CENTRAL DE ALERGOLOGIA</v>
      </c>
      <c r="H2194" s="11"/>
      <c r="I2194" s="11"/>
      <c r="J2194" s="11"/>
      <c r="K2194" s="11"/>
      <c r="L2194" s="11"/>
      <c r="M2194" s="11"/>
      <c r="N2194" s="30" t="str">
        <f>IFERROR(__xludf.DUMMYFUNCTION("""COMPUTED_VALUE"""),"JANEDERMO@YAHOO.COM.BR")</f>
        <v>JANEDERMO@YAHOO.COM.BR</v>
      </c>
      <c r="O2194" s="11">
        <f>IFERROR(__xludf.DUMMYFUNCTION("""COMPUTED_VALUE"""),61850578400)</f>
        <v>61850578400</v>
      </c>
      <c r="P2194" s="11"/>
      <c r="Q2194" s="11"/>
      <c r="R2194" s="11"/>
      <c r="S2194" s="11"/>
      <c r="T2194" s="11"/>
      <c r="U2194" s="11"/>
      <c r="V2194" s="11"/>
      <c r="W2194" s="11"/>
      <c r="X2194" s="11"/>
      <c r="Y2194" s="11"/>
      <c r="Z2194" s="11"/>
    </row>
    <row r="2195" customHeight="1" spans="1:26">
      <c r="A2195" s="11" t="str">
        <f>IFERROR(__xludf.DUMMYFUNCTION("""COMPUTED_VALUE"""),"RAQUEL ESTELITA BELTRAO")</f>
        <v>RAQUEL ESTELITA BELTRAO</v>
      </c>
      <c r="B2195" s="11"/>
      <c r="C2195" s="11"/>
      <c r="D2195" s="11" t="str">
        <f>IFERROR(__xludf.DUMMYFUNCTION("""COMPUTED_VALUE"""),"CLINICA GERAL")</f>
        <v>CLINICA GERAL</v>
      </c>
      <c r="E2195" s="11"/>
      <c r="F2195" s="11" t="str">
        <f>IFERROR(__xludf.DUMMYFUNCTION("""COMPUTED_VALUE"""),"US_321 CENTRAL DE ALERGOLOGIA")</f>
        <v>US_321 CENTRAL DE ALERGOLOGIA</v>
      </c>
      <c r="G2195" s="11" t="str">
        <f>IFERROR(__xludf.DUMMYFUNCTION("""COMPUTED_VALUE"""),"US_321 CENTRAL DE ALERGOLOGIA")</f>
        <v>US_321 CENTRAL DE ALERGOLOGIA</v>
      </c>
      <c r="H2195" s="11"/>
      <c r="I2195" s="11"/>
      <c r="J2195" s="11"/>
      <c r="K2195" s="11"/>
      <c r="L2195" s="11"/>
      <c r="M2195" s="11"/>
      <c r="N2195" s="30" t="str">
        <f>IFERROR(__xludf.DUMMYFUNCTION("""COMPUTED_VALUE"""),"MGSANDRADE001@YAHOO.COM.BR")</f>
        <v>MGSANDRADE001@YAHOO.COM.BR</v>
      </c>
      <c r="O2195" s="11">
        <f>IFERROR(__xludf.DUMMYFUNCTION("""COMPUTED_VALUE"""),49629808404)</f>
        <v>49629808404</v>
      </c>
      <c r="P2195" s="11"/>
      <c r="Q2195" s="11"/>
      <c r="R2195" s="11"/>
      <c r="S2195" s="11"/>
      <c r="T2195" s="11"/>
      <c r="U2195" s="11"/>
      <c r="V2195" s="11"/>
      <c r="W2195" s="11"/>
      <c r="X2195" s="11"/>
      <c r="Y2195" s="11"/>
      <c r="Z2195" s="11"/>
    </row>
    <row r="2196" customHeight="1" spans="1:26">
      <c r="A2196" s="11" t="str">
        <f>IFERROR(__xludf.DUMMYFUNCTION("""COMPUTED_VALUE"""),"DALMACIA SEMANE DA S BATISTA")</f>
        <v>DALMACIA SEMANE DA S BATISTA</v>
      </c>
      <c r="B2196" s="11"/>
      <c r="C2196" s="11"/>
      <c r="D2196" s="11" t="str">
        <f>IFERROR(__xludf.DUMMYFUNCTION("""COMPUTED_VALUE"""),"GINECOLOGIA / COLPOSCOPIA")</f>
        <v>GINECOLOGIA / COLPOSCOPIA</v>
      </c>
      <c r="E2196" s="11"/>
      <c r="F2196" s="11" t="str">
        <f>IFERROR(__xludf.DUMMYFUNCTION("""COMPUTED_VALUE"""),"US_129 AMEM AMBULATORIO ESPECIALIZADO DA MULHER")</f>
        <v>US_129 AMEM AMBULATORIO ESPECIALIZADO DA MULHER</v>
      </c>
      <c r="G2196" s="11" t="str">
        <f>IFERROR(__xludf.DUMMYFUNCTION("""COMPUTED_VALUE"""),"US_129 AMEM AMBULATORIO ESPECIALIZADO DA MULHER")</f>
        <v>US_129 AMEM AMBULATORIO ESPECIALIZADO DA MULHER</v>
      </c>
      <c r="H2196" s="11"/>
      <c r="I2196" s="11"/>
      <c r="J2196" s="11"/>
      <c r="K2196" s="11"/>
      <c r="L2196" s="11"/>
      <c r="M2196" s="11"/>
      <c r="N2196" s="30" t="str">
        <f>IFERROR(__xludf.DUMMYFUNCTION("""COMPUTED_VALUE"""),"dalmaciasemane@hotmail.com")</f>
        <v>dalmaciasemane@hotmail.com</v>
      </c>
      <c r="O2196" s="11">
        <f>IFERROR(__xludf.DUMMYFUNCTION("""COMPUTED_VALUE"""),96201444491)</f>
        <v>96201444491</v>
      </c>
      <c r="P2196" s="11"/>
      <c r="Q2196" s="11"/>
      <c r="R2196" s="11"/>
      <c r="S2196" s="11"/>
      <c r="T2196" s="11"/>
      <c r="U2196" s="11"/>
      <c r="V2196" s="11"/>
      <c r="W2196" s="11"/>
      <c r="X2196" s="11"/>
      <c r="Y2196" s="11"/>
      <c r="Z2196" s="11"/>
    </row>
    <row r="2197" customHeight="1" spans="1:26">
      <c r="A2197" s="11" t="str">
        <f>IFERROR(__xludf.DUMMYFUNCTION("""COMPUTED_VALUE"""),"GRAZIELA CATUNDA LUNA")</f>
        <v>GRAZIELA CATUNDA LUNA</v>
      </c>
      <c r="B2197" s="11"/>
      <c r="C2197" s="11"/>
      <c r="D2197" s="11" t="str">
        <f>IFERROR(__xludf.DUMMYFUNCTION("""COMPUTED_VALUE"""),"OFTALMOLOGIA")</f>
        <v>OFTALMOLOGIA</v>
      </c>
      <c r="E2197" s="11"/>
      <c r="F2197" s="11" t="str">
        <f>IFERROR(__xludf.DUMMYFUNCTION("""COMPUTED_VALUE"""),"US_217 CENTRO MEDICO SEN JOSE ERMIRIO DE MORAES")</f>
        <v>US_217 CENTRO MEDICO SEN JOSE ERMIRIO DE MORAES</v>
      </c>
      <c r="G2197" s="11" t="str">
        <f>IFERROR(__xludf.DUMMYFUNCTION("""COMPUTED_VALUE"""),"US_217 CENTRO MEDICO SEN JOSE ERMIRIO DE MORAES")</f>
        <v>US_217 CENTRO MEDICO SEN JOSE ERMIRIO DE MORAES</v>
      </c>
      <c r="H2197" s="11"/>
      <c r="I2197" s="11"/>
      <c r="J2197" s="11"/>
      <c r="K2197" s="11"/>
      <c r="L2197" s="11"/>
      <c r="M2197" s="11"/>
      <c r="N2197" s="30" t="str">
        <f>IFERROR(__xludf.DUMMYFUNCTION("""COMPUTED_VALUE"""),"grazielaluna@hotmail.com")</f>
        <v>grazielaluna@hotmail.com</v>
      </c>
      <c r="O2197" s="11">
        <f>IFERROR(__xludf.DUMMYFUNCTION("""COMPUTED_VALUE"""),2831493455)</f>
        <v>2831493455</v>
      </c>
      <c r="P2197" s="11"/>
      <c r="Q2197" s="11"/>
      <c r="R2197" s="11"/>
      <c r="S2197" s="11"/>
      <c r="T2197" s="11"/>
      <c r="U2197" s="11"/>
      <c r="V2197" s="11"/>
      <c r="W2197" s="11"/>
      <c r="X2197" s="11"/>
      <c r="Y2197" s="11"/>
      <c r="Z2197" s="11"/>
    </row>
    <row r="2198" customHeight="1" spans="1:26">
      <c r="A2198" s="11" t="str">
        <f>IFERROR(__xludf.DUMMYFUNCTION("""COMPUTED_VALUE"""),"LEDY ODERAY MONTENEGRO VILELA")</f>
        <v>LEDY ODERAY MONTENEGRO VILELA</v>
      </c>
      <c r="B2198" s="11"/>
      <c r="C2198" s="11"/>
      <c r="D2198" s="11" t="str">
        <f>IFERROR(__xludf.DUMMYFUNCTION("""COMPUTED_VALUE"""),"CARDIOLOGIA")</f>
        <v>CARDIOLOGIA</v>
      </c>
      <c r="E2198" s="11"/>
      <c r="F2198" s="11" t="str">
        <f>IFERROR(__xludf.DUMMYFUNCTION("""COMPUTED_VALUE"""),"US_217 CENTRO MEDICO SEN JOSE ERMIRIO DE MORAES")</f>
        <v>US_217 CENTRO MEDICO SEN JOSE ERMIRIO DE MORAES</v>
      </c>
      <c r="G2198" s="11" t="str">
        <f>IFERROR(__xludf.DUMMYFUNCTION("""COMPUTED_VALUE"""),"US_217 CENTRO MEDICO SEN JOSE ERMIRIO DE MORAES")</f>
        <v>US_217 CENTRO MEDICO SEN JOSE ERMIRIO DE MORAES</v>
      </c>
      <c r="H2198" s="11"/>
      <c r="I2198" s="11"/>
      <c r="J2198" s="11"/>
      <c r="K2198" s="11"/>
      <c r="L2198" s="11"/>
      <c r="M2198" s="11"/>
      <c r="N2198" s="30" t="str">
        <f>IFERROR(__xludf.DUMMYFUNCTION("""COMPUTED_VALUE"""),"ledy.montenegrovilela9@gmail.com")</f>
        <v>ledy.montenegrovilela9@gmail.com</v>
      </c>
      <c r="O2198" s="11">
        <f>IFERROR(__xludf.DUMMYFUNCTION("""COMPUTED_VALUE"""),45702756487)</f>
        <v>45702756487</v>
      </c>
      <c r="P2198" s="11"/>
      <c r="Q2198" s="11"/>
      <c r="R2198" s="11"/>
      <c r="S2198" s="11"/>
      <c r="T2198" s="11"/>
      <c r="U2198" s="11"/>
      <c r="V2198" s="11"/>
      <c r="W2198" s="11"/>
      <c r="X2198" s="11"/>
      <c r="Y2198" s="11"/>
      <c r="Z2198" s="11"/>
    </row>
    <row r="2199" customHeight="1" spans="1:26">
      <c r="A2199" s="11" t="str">
        <f>IFERROR(__xludf.DUMMYFUNCTION("""COMPUTED_VALUE"""),"JANAINA HELENA D B MARIANO")</f>
        <v>JANAINA HELENA D B MARIANO</v>
      </c>
      <c r="B2199" s="11"/>
      <c r="C2199" s="11"/>
      <c r="D2199" s="11" t="str">
        <f>IFERROR(__xludf.DUMMYFUNCTION("""COMPUTED_VALUE"""),"ALERGIA E IMUNOLOGIA")</f>
        <v>ALERGIA E IMUNOLOGIA</v>
      </c>
      <c r="E2199" s="11"/>
      <c r="F2199" s="11" t="str">
        <f>IFERROR(__xludf.DUMMYFUNCTION("""COMPUTED_VALUE"""),"US_321 CENTRAL DE ALERGOLOGIA")</f>
        <v>US_321 CENTRAL DE ALERGOLOGIA</v>
      </c>
      <c r="G2199" s="11" t="str">
        <f>IFERROR(__xludf.DUMMYFUNCTION("""COMPUTED_VALUE"""),"US_321 CENTRAL DE ALERGOLOGIA")</f>
        <v>US_321 CENTRAL DE ALERGOLOGIA</v>
      </c>
      <c r="H2199" s="11"/>
      <c r="I2199" s="11"/>
      <c r="J2199" s="11"/>
      <c r="K2199" s="11"/>
      <c r="L2199" s="11"/>
      <c r="M2199" s="11"/>
      <c r="N2199" s="30" t="str">
        <f>IFERROR(__xludf.DUMMYFUNCTION("""COMPUTED_VALUE"""),"jana_mariano@hotmail.com")</f>
        <v>jana_mariano@hotmail.com</v>
      </c>
      <c r="O2199" s="11">
        <f>IFERROR(__xludf.DUMMYFUNCTION("""COMPUTED_VALUE"""),2514756464)</f>
        <v>2514756464</v>
      </c>
      <c r="P2199" s="11"/>
      <c r="Q2199" s="11"/>
      <c r="R2199" s="11"/>
      <c r="S2199" s="11"/>
      <c r="T2199" s="11"/>
      <c r="U2199" s="11"/>
      <c r="V2199" s="11"/>
      <c r="W2199" s="11"/>
      <c r="X2199" s="11"/>
      <c r="Y2199" s="11"/>
      <c r="Z2199" s="11"/>
    </row>
    <row r="2200" customHeight="1" spans="1:26">
      <c r="A2200" s="11" t="str">
        <f>IFERROR(__xludf.DUMMYFUNCTION("""COMPUTED_VALUE"""),"MIRIA NEVES DE SA")</f>
        <v>MIRIA NEVES DE SA</v>
      </c>
      <c r="B2200" s="11"/>
      <c r="C2200" s="11"/>
      <c r="D2200" s="11" t="str">
        <f>IFERROR(__xludf.DUMMYFUNCTION("""COMPUTED_VALUE"""),"ENDOCRINOLOGIA E METABOLOGIA")</f>
        <v>ENDOCRINOLOGIA E METABOLOGIA</v>
      </c>
      <c r="E2200" s="11"/>
      <c r="F2200" s="11" t="str">
        <f>IFERROR(__xludf.DUMMYFUNCTION("""COMPUTED_VALUE"""),"US_217 CENTRO MEDICO SEN JOSE ERMIRIO DE MORAES")</f>
        <v>US_217 CENTRO MEDICO SEN JOSE ERMIRIO DE MORAES</v>
      </c>
      <c r="G2200" s="11" t="str">
        <f>IFERROR(__xludf.DUMMYFUNCTION("""COMPUTED_VALUE"""),"US_217 CENTRO MEDICO SEN JOSE ERMIRIO DE MORAES")</f>
        <v>US_217 CENTRO MEDICO SEN JOSE ERMIRIO DE MORAES</v>
      </c>
      <c r="H2200" s="11"/>
      <c r="I2200" s="11"/>
      <c r="J2200" s="11"/>
      <c r="K2200" s="11"/>
      <c r="L2200" s="11"/>
      <c r="M2200" s="11"/>
      <c r="N2200" s="30" t="str">
        <f>IFERROR(__xludf.DUMMYFUNCTION("""COMPUTED_VALUE"""),"miriasa2611@gmail.com")</f>
        <v>miriasa2611@gmail.com</v>
      </c>
      <c r="O2200" s="11">
        <f>IFERROR(__xludf.DUMMYFUNCTION("""COMPUTED_VALUE"""),30808960334)</f>
        <v>30808960334</v>
      </c>
      <c r="P2200" s="11"/>
      <c r="Q2200" s="11"/>
      <c r="R2200" s="11"/>
      <c r="S2200" s="11"/>
      <c r="T2200" s="11"/>
      <c r="U2200" s="11"/>
      <c r="V2200" s="11"/>
      <c r="W2200" s="11"/>
      <c r="X2200" s="11"/>
      <c r="Y2200" s="11"/>
      <c r="Z2200" s="11"/>
    </row>
    <row r="2201" customHeight="1" spans="1:26">
      <c r="A2201" s="11" t="str">
        <f>IFERROR(__xludf.DUMMYFUNCTION("""COMPUTED_VALUE"""),"CHRISTIANE TEODOSIO MARCELINO")</f>
        <v>CHRISTIANE TEODOSIO MARCELINO</v>
      </c>
      <c r="B2201" s="11"/>
      <c r="C2201" s="11"/>
      <c r="D2201" s="11" t="str">
        <f>IFERROR(__xludf.DUMMYFUNCTION("""COMPUTED_VALUE"""),"ENDOCRINOLOGIA E METABOLOGIA")</f>
        <v>ENDOCRINOLOGIA E METABOLOGIA</v>
      </c>
      <c r="E2201" s="11"/>
      <c r="F2201" s="11" t="str">
        <f>IFERROR(__xludf.DUMMYFUNCTION("""COMPUTED_VALUE"""),"US_217 CENTRO MEDICO SEN JOSE ERMIRIO DE MORAES")</f>
        <v>US_217 CENTRO MEDICO SEN JOSE ERMIRIO DE MORAES</v>
      </c>
      <c r="G2201" s="11" t="str">
        <f>IFERROR(__xludf.DUMMYFUNCTION("""COMPUTED_VALUE"""),"US_217 CENTRO MEDICO SEN JOSE ERMIRIO DE MORAES")</f>
        <v>US_217 CENTRO MEDICO SEN JOSE ERMIRIO DE MORAES</v>
      </c>
      <c r="H2201" s="11"/>
      <c r="I2201" s="11"/>
      <c r="J2201" s="11"/>
      <c r="K2201" s="11"/>
      <c r="L2201" s="11"/>
      <c r="M2201" s="11"/>
      <c r="N2201" s="30" t="str">
        <f>IFERROR(__xludf.DUMMYFUNCTION("""COMPUTED_VALUE"""),"christeodosio@bol.com.br")</f>
        <v>christeodosio@bol.com.br</v>
      </c>
      <c r="O2201" s="11">
        <f>IFERROR(__xludf.DUMMYFUNCTION("""COMPUTED_VALUE"""),74302620404)</f>
        <v>74302620404</v>
      </c>
      <c r="P2201" s="11"/>
      <c r="Q2201" s="11"/>
      <c r="R2201" s="11"/>
      <c r="S2201" s="11"/>
      <c r="T2201" s="11"/>
      <c r="U2201" s="11"/>
      <c r="V2201" s="11"/>
      <c r="W2201" s="11"/>
      <c r="X2201" s="11"/>
      <c r="Y2201" s="11"/>
      <c r="Z2201" s="11"/>
    </row>
    <row r="2202" customHeight="1" spans="1:26">
      <c r="A2202" s="11" t="str">
        <f>IFERROR(__xludf.DUMMYFUNCTION("""COMPUTED_VALUE"""),"GILDO CESAR BANDEIRA GALINDO")</f>
        <v>GILDO CESAR BANDEIRA GALINDO</v>
      </c>
      <c r="B2202" s="11"/>
      <c r="C2202" s="11"/>
      <c r="D2202" s="11" t="str">
        <f>IFERROR(__xludf.DUMMYFUNCTION("""COMPUTED_VALUE"""),"OFTALMOLOGIA")</f>
        <v>OFTALMOLOGIA</v>
      </c>
      <c r="E2202" s="11"/>
      <c r="F2202" s="11" t="str">
        <f>IFERROR(__xludf.DUMMYFUNCTION("""COMPUTED_VALUE"""),"US_217 CENTRO MEDICO SEN JOSE ERMIRIO DE MORAES")</f>
        <v>US_217 CENTRO MEDICO SEN JOSE ERMIRIO DE MORAES</v>
      </c>
      <c r="G2202" s="11" t="str">
        <f>IFERROR(__xludf.DUMMYFUNCTION("""COMPUTED_VALUE"""),"US_217 CENTRO MEDICO SEN JOSE ERMIRIO DE MORAES")</f>
        <v>US_217 CENTRO MEDICO SEN JOSE ERMIRIO DE MORAES</v>
      </c>
      <c r="H2202" s="11"/>
      <c r="I2202" s="11"/>
      <c r="J2202" s="11"/>
      <c r="K2202" s="11"/>
      <c r="L2202" s="11"/>
      <c r="M2202" s="11"/>
      <c r="N2202" s="30" t="str">
        <f>IFERROR(__xludf.DUMMYFUNCTION("""COMPUTED_VALUE"""),"gcbgalindo@yahoo.com.br")</f>
        <v>gcbgalindo@yahoo.com.br</v>
      </c>
      <c r="O2202" s="11">
        <f>IFERROR(__xludf.DUMMYFUNCTION("""COMPUTED_VALUE"""),78388899449)</f>
        <v>78388899449</v>
      </c>
      <c r="P2202" s="11"/>
      <c r="Q2202" s="11"/>
      <c r="R2202" s="11"/>
      <c r="S2202" s="11"/>
      <c r="T2202" s="11"/>
      <c r="U2202" s="11"/>
      <c r="V2202" s="11"/>
      <c r="W2202" s="11"/>
      <c r="X2202" s="11"/>
      <c r="Y2202" s="11"/>
      <c r="Z2202" s="11"/>
    </row>
    <row r="2203" customHeight="1" spans="1:26">
      <c r="A2203" s="11" t="str">
        <f>IFERROR(__xludf.DUMMYFUNCTION("""COMPUTED_VALUE"""),"ANA CATARINA DELGADO DE SOUZA")</f>
        <v>ANA CATARINA DELGADO DE SOUZA</v>
      </c>
      <c r="B2203" s="11"/>
      <c r="C2203" s="11"/>
      <c r="D2203" s="11" t="str">
        <f>IFERROR(__xludf.DUMMYFUNCTION("""COMPUTED_VALUE"""),"OFTALMOLOGIA")</f>
        <v>OFTALMOLOGIA</v>
      </c>
      <c r="E2203" s="11"/>
      <c r="F2203" s="11" t="str">
        <f>IFERROR(__xludf.DUMMYFUNCTION("""COMPUTED_VALUE"""),"US_217 CENTRO MEDICO SEN JOSE ERMIRIO DE MORAES")</f>
        <v>US_217 CENTRO MEDICO SEN JOSE ERMIRIO DE MORAES</v>
      </c>
      <c r="G2203" s="11" t="str">
        <f>IFERROR(__xludf.DUMMYFUNCTION("""COMPUTED_VALUE"""),"US_217 CENTRO MEDICO SEN JOSE ERMIRIO DE MORAES")</f>
        <v>US_217 CENTRO MEDICO SEN JOSE ERMIRIO DE MORAES</v>
      </c>
      <c r="H2203" s="11"/>
      <c r="I2203" s="11"/>
      <c r="J2203" s="11"/>
      <c r="K2203" s="11"/>
      <c r="L2203" s="11"/>
      <c r="M2203" s="11"/>
      <c r="N2203" s="30" t="str">
        <f>IFERROR(__xludf.DUMMYFUNCTION("""COMPUTED_VALUE"""),"delgadoanac@gmail.com")</f>
        <v>delgadoanac@gmail.com</v>
      </c>
      <c r="O2203" s="11">
        <f>IFERROR(__xludf.DUMMYFUNCTION("""COMPUTED_VALUE"""),86609416400)</f>
        <v>86609416400</v>
      </c>
      <c r="P2203" s="11"/>
      <c r="Q2203" s="11"/>
      <c r="R2203" s="11"/>
      <c r="S2203" s="11"/>
      <c r="T2203" s="11"/>
      <c r="U2203" s="11"/>
      <c r="V2203" s="11"/>
      <c r="W2203" s="11"/>
      <c r="X2203" s="11"/>
      <c r="Y2203" s="11"/>
      <c r="Z2203" s="11"/>
    </row>
    <row r="2204" customHeight="1" spans="1:26">
      <c r="A2204" s="11" t="str">
        <f>IFERROR(__xludf.DUMMYFUNCTION("""COMPUTED_VALUE"""),"RICARDO CORREIA DE ARAUJO")</f>
        <v>RICARDO CORREIA DE ARAUJO</v>
      </c>
      <c r="B2204" s="11"/>
      <c r="C2204" s="11"/>
      <c r="D2204" s="11" t="str">
        <f>IFERROR(__xludf.DUMMYFUNCTION("""COMPUTED_VALUE"""),"OFTALMOLOGIA")</f>
        <v>OFTALMOLOGIA</v>
      </c>
      <c r="E2204" s="11"/>
      <c r="F2204" s="11" t="str">
        <f>IFERROR(__xludf.DUMMYFUNCTION("""COMPUTED_VALUE"""),"US_217 CENTRO MEDICO SEN JOSE ERMIRIO DE MORAES")</f>
        <v>US_217 CENTRO MEDICO SEN JOSE ERMIRIO DE MORAES</v>
      </c>
      <c r="G2204" s="11" t="str">
        <f>IFERROR(__xludf.DUMMYFUNCTION("""COMPUTED_VALUE"""),"US_217 CENTRO MEDICO SEN JOSE ERMIRIO DE MORAES")</f>
        <v>US_217 CENTRO MEDICO SEN JOSE ERMIRIO DE MORAES</v>
      </c>
      <c r="H2204" s="11"/>
      <c r="I2204" s="11"/>
      <c r="J2204" s="11"/>
      <c r="K2204" s="11"/>
      <c r="L2204" s="11"/>
      <c r="M2204" s="11"/>
      <c r="N2204" s="30" t="str">
        <f>IFERROR(__xludf.DUMMYFUNCTION("""COMPUTED_VALUE"""),"ricardo.cda@oi.com.br")</f>
        <v>ricardo.cda@oi.com.br</v>
      </c>
      <c r="O2204" s="11">
        <f>IFERROR(__xludf.DUMMYFUNCTION("""COMPUTED_VALUE"""),71559396415)</f>
        <v>71559396415</v>
      </c>
      <c r="P2204" s="11"/>
      <c r="Q2204" s="11"/>
      <c r="R2204" s="11"/>
      <c r="S2204" s="11"/>
      <c r="T2204" s="11"/>
      <c r="U2204" s="11"/>
      <c r="V2204" s="11"/>
      <c r="W2204" s="11"/>
      <c r="X2204" s="11"/>
      <c r="Y2204" s="11"/>
      <c r="Z2204" s="11"/>
    </row>
    <row r="2205" customHeight="1" spans="1:26">
      <c r="A2205" s="11" t="str">
        <f>IFERROR(__xludf.DUMMYFUNCTION("""COMPUTED_VALUE"""),"RILCON LUIZ BARBOSA COELHO")</f>
        <v>RILCON LUIZ BARBOSA COELHO</v>
      </c>
      <c r="B2205" s="11"/>
      <c r="C2205" s="11"/>
      <c r="D2205" s="11" t="str">
        <f>IFERROR(__xludf.DUMMYFUNCTION("""COMPUTED_VALUE"""),"OFTALMOLOGIA")</f>
        <v>OFTALMOLOGIA</v>
      </c>
      <c r="E2205" s="11"/>
      <c r="F2205" s="11" t="str">
        <f>IFERROR(__xludf.DUMMYFUNCTION("""COMPUTED_VALUE"""),"US_217 CENTRO MEDICO SEN JOSE ERMIRIO DE MORAES")</f>
        <v>US_217 CENTRO MEDICO SEN JOSE ERMIRIO DE MORAES</v>
      </c>
      <c r="G2205" s="11" t="str">
        <f>IFERROR(__xludf.DUMMYFUNCTION("""COMPUTED_VALUE"""),"US_217 CENTRO MEDICO SEN JOSE ERMIRIO DE MORAES")</f>
        <v>US_217 CENTRO MEDICO SEN JOSE ERMIRIO DE MORAES</v>
      </c>
      <c r="H2205" s="11"/>
      <c r="I2205" s="11"/>
      <c r="J2205" s="11"/>
      <c r="K2205" s="11"/>
      <c r="L2205" s="11"/>
      <c r="M2205" s="11"/>
      <c r="N2205" s="30" t="str">
        <f>IFERROR(__xludf.DUMMYFUNCTION("""COMPUTED_VALUE"""),"rilcon@ig.com.br                                       ")</f>
        <v>rilcon@ig.com.br                                       </v>
      </c>
      <c r="O2205" s="11">
        <f>IFERROR(__xludf.DUMMYFUNCTION("""COMPUTED_VALUE"""),85657263472)</f>
        <v>85657263472</v>
      </c>
      <c r="P2205" s="11"/>
      <c r="Q2205" s="11"/>
      <c r="R2205" s="11"/>
      <c r="S2205" s="11"/>
      <c r="T2205" s="11"/>
      <c r="U2205" s="11"/>
      <c r="V2205" s="11"/>
      <c r="W2205" s="11"/>
      <c r="X2205" s="11"/>
      <c r="Y2205" s="11"/>
      <c r="Z2205" s="11"/>
    </row>
    <row r="2206" customHeight="1" spans="1:26">
      <c r="A2206" s="11" t="str">
        <f>IFERROR(__xludf.DUMMYFUNCTION("""COMPUTED_VALUE"""),"LILLIAN OLIVEIRA C COSENTINO")</f>
        <v>LILLIAN OLIVEIRA C COSENTINO</v>
      </c>
      <c r="B2206" s="11"/>
      <c r="C2206" s="11"/>
      <c r="D2206" s="11" t="str">
        <f>IFERROR(__xludf.DUMMYFUNCTION("""COMPUTED_VALUE"""),"ENDOCRINOLOGIA E METABOLOGIA")</f>
        <v>ENDOCRINOLOGIA E METABOLOGIA</v>
      </c>
      <c r="E2206" s="11"/>
      <c r="F2206" s="11" t="str">
        <f>IFERROR(__xludf.DUMMYFUNCTION("""COMPUTED_VALUE"""),"US_217 CENTRO MEDICO SEN JOSE ERMIRIO DE MORAES")</f>
        <v>US_217 CENTRO MEDICO SEN JOSE ERMIRIO DE MORAES</v>
      </c>
      <c r="G2206" s="11" t="str">
        <f>IFERROR(__xludf.DUMMYFUNCTION("""COMPUTED_VALUE"""),"US_217 CENTRO MEDICO SEN JOSE ERMIRIO DE MORAES")</f>
        <v>US_217 CENTRO MEDICO SEN JOSE ERMIRIO DE MORAES</v>
      </c>
      <c r="H2206" s="11"/>
      <c r="I2206" s="11"/>
      <c r="J2206" s="11"/>
      <c r="K2206" s="11"/>
      <c r="L2206" s="11"/>
      <c r="M2206" s="11"/>
      <c r="N2206" s="30" t="str">
        <f>IFERROR(__xludf.DUMMYFUNCTION("""COMPUTED_VALUE"""),"LOCORDEIRO@YAHOO.COM.BR")</f>
        <v>LOCORDEIRO@YAHOO.COM.BR</v>
      </c>
      <c r="O2206" s="11">
        <f>IFERROR(__xludf.DUMMYFUNCTION("""COMPUTED_VALUE"""),2722600455)</f>
        <v>2722600455</v>
      </c>
      <c r="P2206" s="11"/>
      <c r="Q2206" s="11"/>
      <c r="R2206" s="11"/>
      <c r="S2206" s="11"/>
      <c r="T2206" s="11"/>
      <c r="U2206" s="11"/>
      <c r="V2206" s="11"/>
      <c r="W2206" s="11"/>
      <c r="X2206" s="11"/>
      <c r="Y2206" s="11"/>
      <c r="Z2206" s="11"/>
    </row>
    <row r="2207" customHeight="1" spans="1:26">
      <c r="A2207" s="11" t="str">
        <f>IFERROR(__xludf.DUMMYFUNCTION("""COMPUTED_VALUE"""),"DEBORAH SCHOR")</f>
        <v>DEBORAH SCHOR</v>
      </c>
      <c r="B2207" s="11"/>
      <c r="C2207" s="11"/>
      <c r="D2207" s="11" t="str">
        <f>IFERROR(__xludf.DUMMYFUNCTION("""COMPUTED_VALUE"""),"ALERGIA E IMUNOLOGIA")</f>
        <v>ALERGIA E IMUNOLOGIA</v>
      </c>
      <c r="E2207" s="11"/>
      <c r="F2207" s="11" t="str">
        <f>IFERROR(__xludf.DUMMYFUNCTION("""COMPUTED_VALUE"""),"US_321 CENTRAL DE ALERGOLOGIA")</f>
        <v>US_321 CENTRAL DE ALERGOLOGIA</v>
      </c>
      <c r="G2207" s="11" t="str">
        <f>IFERROR(__xludf.DUMMYFUNCTION("""COMPUTED_VALUE"""),"US_321 CENTRAL DE ALERGOLOGIA")</f>
        <v>US_321 CENTRAL DE ALERGOLOGIA</v>
      </c>
      <c r="H2207" s="11"/>
      <c r="I2207" s="11"/>
      <c r="J2207" s="11"/>
      <c r="K2207" s="11"/>
      <c r="L2207" s="11"/>
      <c r="M2207" s="11"/>
      <c r="N2207" s="30" t="str">
        <f>IFERROR(__xludf.DUMMYFUNCTION("""COMPUTED_VALUE"""),"deborah.schor@gmail.com")</f>
        <v>deborah.schor@gmail.com</v>
      </c>
      <c r="O2207" s="11">
        <f>IFERROR(__xludf.DUMMYFUNCTION("""COMPUTED_VALUE"""),48205672415)</f>
        <v>48205672415</v>
      </c>
      <c r="P2207" s="11"/>
      <c r="Q2207" s="11"/>
      <c r="R2207" s="11"/>
      <c r="S2207" s="11"/>
      <c r="T2207" s="11"/>
      <c r="U2207" s="11"/>
      <c r="V2207" s="11"/>
      <c r="W2207" s="11"/>
      <c r="X2207" s="11"/>
      <c r="Y2207" s="11"/>
      <c r="Z2207" s="11"/>
    </row>
    <row r="2208" customHeight="1" spans="1:26">
      <c r="A2208" s="11" t="str">
        <f>IFERROR(__xludf.DUMMYFUNCTION("""COMPUTED_VALUE"""),"ALEXANDRE PAASHAUS DA C PINTO")</f>
        <v>ALEXANDRE PAASHAUS DA C PINTO</v>
      </c>
      <c r="B2208" s="11"/>
      <c r="C2208" s="11"/>
      <c r="D2208" s="11" t="str">
        <f>IFERROR(__xludf.DUMMYFUNCTION("""COMPUTED_VALUE"""),"OFTALMOLOGIA")</f>
        <v>OFTALMOLOGIA</v>
      </c>
      <c r="E2208" s="11"/>
      <c r="F2208" s="11" t="str">
        <f>IFERROR(__xludf.DUMMYFUNCTION("""COMPUTED_VALUE"""),"US_217 CENTRO MEDICO SEN JOSE ERMIRIO DE MORAES")</f>
        <v>US_217 CENTRO MEDICO SEN JOSE ERMIRIO DE MORAES</v>
      </c>
      <c r="G2208" s="11" t="str">
        <f>IFERROR(__xludf.DUMMYFUNCTION("""COMPUTED_VALUE"""),"US_217 CENTRO MEDICO SEN JOSE ERMIRIO DE MORAES")</f>
        <v>US_217 CENTRO MEDICO SEN JOSE ERMIRIO DE MORAES</v>
      </c>
      <c r="H2208" s="11"/>
      <c r="I2208" s="11"/>
      <c r="J2208" s="11"/>
      <c r="K2208" s="11"/>
      <c r="L2208" s="11"/>
      <c r="M2208" s="11"/>
      <c r="N2208" s="30" t="str">
        <f>IFERROR(__xludf.DUMMYFUNCTION("""COMPUTED_VALUE"""),"alexandrepaashaus@hotmail.com")</f>
        <v>alexandrepaashaus@hotmail.com</v>
      </c>
      <c r="O2208" s="11">
        <f>IFERROR(__xludf.DUMMYFUNCTION("""COMPUTED_VALUE"""),76519503487)</f>
        <v>76519503487</v>
      </c>
      <c r="P2208" s="11"/>
      <c r="Q2208" s="11"/>
      <c r="R2208" s="11"/>
      <c r="S2208" s="11"/>
      <c r="T2208" s="11"/>
      <c r="U2208" s="11"/>
      <c r="V2208" s="11"/>
      <c r="W2208" s="11"/>
      <c r="X2208" s="11"/>
      <c r="Y2208" s="11"/>
      <c r="Z2208" s="11"/>
    </row>
    <row r="2209" customHeight="1" spans="1:26">
      <c r="A2209" s="11" t="str">
        <f>IFERROR(__xludf.DUMMYFUNCTION("""COMPUTED_VALUE"""),"FREDERICO B EVANGELISTA")</f>
        <v>FREDERICO B EVANGELISTA</v>
      </c>
      <c r="B2209" s="11"/>
      <c r="C2209" s="11"/>
      <c r="D2209" s="11" t="str">
        <f>IFERROR(__xludf.DUMMYFUNCTION("""COMPUTED_VALUE"""),"ANGIOLOGIA")</f>
        <v>ANGIOLOGIA</v>
      </c>
      <c r="E2209" s="11"/>
      <c r="F2209" s="11" t="str">
        <f>IFERROR(__xludf.DUMMYFUNCTION("""COMPUTED_VALUE"""),"US_217 CENTRO MEDICO SEN JOSE ERMIRIO DE MORAES")</f>
        <v>US_217 CENTRO MEDICO SEN JOSE ERMIRIO DE MORAES</v>
      </c>
      <c r="G2209" s="11" t="str">
        <f>IFERROR(__xludf.DUMMYFUNCTION("""COMPUTED_VALUE"""),"US_217 CENTRO MEDICO SEN JOSE ERMIRIO DE MORAES")</f>
        <v>US_217 CENTRO MEDICO SEN JOSE ERMIRIO DE MORAES</v>
      </c>
      <c r="H2209" s="11"/>
      <c r="I2209" s="11"/>
      <c r="J2209" s="11"/>
      <c r="K2209" s="11"/>
      <c r="L2209" s="11"/>
      <c r="M2209" s="11"/>
      <c r="N2209" s="30" t="str">
        <f>IFERROR(__xludf.DUMMYFUNCTION("""COMPUTED_VALUE"""),"barcelos.frederico@hotmail.com")</f>
        <v>barcelos.frederico@hotmail.com</v>
      </c>
      <c r="O2209" s="11">
        <f>IFERROR(__xludf.DUMMYFUNCTION("""COMPUTED_VALUE"""),1211775640)</f>
        <v>1211775640</v>
      </c>
      <c r="P2209" s="11"/>
      <c r="Q2209" s="11"/>
      <c r="R2209" s="11"/>
      <c r="S2209" s="11"/>
      <c r="T2209" s="11"/>
      <c r="U2209" s="11"/>
      <c r="V2209" s="11"/>
      <c r="W2209" s="11"/>
      <c r="X2209" s="11"/>
      <c r="Y2209" s="11"/>
      <c r="Z2209" s="11"/>
    </row>
    <row r="2210" customHeight="1" spans="1:26">
      <c r="A2210" s="11" t="str">
        <f>IFERROR(__xludf.DUMMYFUNCTION("""COMPUTED_VALUE"""),"ALDO JOSE FERNANDES COSTA")</f>
        <v>ALDO JOSE FERNANDES COSTA</v>
      </c>
      <c r="B2210" s="11"/>
      <c r="C2210" s="11"/>
      <c r="D2210" s="11" t="str">
        <f>IFERROR(__xludf.DUMMYFUNCTION("""COMPUTED_VALUE"""),"PNEUMOLOGIA / PEDIATRIA")</f>
        <v>PNEUMOLOGIA / PEDIATRIA</v>
      </c>
      <c r="E2210" s="11"/>
      <c r="F2210" s="11" t="str">
        <f>IFERROR(__xludf.DUMMYFUNCTION("""COMPUTED_VALUE"""),"US_321 CENTRAL DE ALERGOLOGIA")</f>
        <v>US_321 CENTRAL DE ALERGOLOGIA</v>
      </c>
      <c r="G2210" s="11" t="str">
        <f>IFERROR(__xludf.DUMMYFUNCTION("""COMPUTED_VALUE"""),"US_321 CENTRAL DE ALERGOLOGIA")</f>
        <v>US_321 CENTRAL DE ALERGOLOGIA</v>
      </c>
      <c r="H2210" s="11"/>
      <c r="I2210" s="11"/>
      <c r="J2210" s="11"/>
      <c r="K2210" s="11"/>
      <c r="L2210" s="11"/>
      <c r="M2210" s="11"/>
      <c r="N2210" s="30" t="str">
        <f>IFERROR(__xludf.DUMMYFUNCTION("""COMPUTED_VALUE"""),"ALDOJFCOSTA@GMAIL.COM")</f>
        <v>ALDOJFCOSTA@GMAIL.COM</v>
      </c>
      <c r="O2210" s="11">
        <f>IFERROR(__xludf.DUMMYFUNCTION("""COMPUTED_VALUE"""),64803481415)</f>
        <v>64803481415</v>
      </c>
      <c r="P2210" s="11"/>
      <c r="Q2210" s="11"/>
      <c r="R2210" s="11"/>
      <c r="S2210" s="11"/>
      <c r="T2210" s="11"/>
      <c r="U2210" s="11"/>
      <c r="V2210" s="11"/>
      <c r="W2210" s="11"/>
      <c r="X2210" s="11"/>
      <c r="Y2210" s="11"/>
      <c r="Z2210" s="11"/>
    </row>
    <row r="2211" customHeight="1" spans="1:26">
      <c r="A2211" s="11" t="str">
        <f>IFERROR(__xludf.DUMMYFUNCTION("""COMPUTED_VALUE"""),"SERGIO SOUTINHO FIGUEIROA")</f>
        <v>SERGIO SOUTINHO FIGUEIROA</v>
      </c>
      <c r="B2211" s="11"/>
      <c r="C2211" s="11"/>
      <c r="D2211" s="11" t="str">
        <f>IFERROR(__xludf.DUMMYFUNCTION("""COMPUTED_VALUE"""),"OFTALMOLOGIA")</f>
        <v>OFTALMOLOGIA</v>
      </c>
      <c r="E2211" s="11"/>
      <c r="F2211" s="11" t="str">
        <f>IFERROR(__xludf.DUMMYFUNCTION("""COMPUTED_VALUE"""),"US_217 CENTRO MEDICO SEN JOSE ERMIRIO DE MORAES")</f>
        <v>US_217 CENTRO MEDICO SEN JOSE ERMIRIO DE MORAES</v>
      </c>
      <c r="G2211" s="11" t="str">
        <f>IFERROR(__xludf.DUMMYFUNCTION("""COMPUTED_VALUE"""),"US_217 CENTRO MEDICO SEN JOSE ERMIRIO DE MORAES")</f>
        <v>US_217 CENTRO MEDICO SEN JOSE ERMIRIO DE MORAES</v>
      </c>
      <c r="H2211" s="11"/>
      <c r="I2211" s="11"/>
      <c r="J2211" s="11"/>
      <c r="K2211" s="11"/>
      <c r="L2211" s="11"/>
      <c r="M2211" s="11"/>
      <c r="N2211" s="30" t="str">
        <f>IFERROR(__xludf.DUMMYFUNCTION("""COMPUTED_VALUE"""),"SERGIOSOUTINHO@HOTMAIL.COM")</f>
        <v>SERGIOSOUTINHO@HOTMAIL.COM</v>
      </c>
      <c r="O2211" s="11">
        <f>IFERROR(__xludf.DUMMYFUNCTION("""COMPUTED_VALUE"""),16654307453)</f>
        <v>16654307453</v>
      </c>
      <c r="P2211" s="11"/>
      <c r="Q2211" s="11"/>
      <c r="R2211" s="11"/>
      <c r="S2211" s="11"/>
      <c r="T2211" s="11"/>
      <c r="U2211" s="11"/>
      <c r="V2211" s="11"/>
      <c r="W2211" s="11"/>
      <c r="X2211" s="11"/>
      <c r="Y2211" s="11"/>
      <c r="Z2211" s="11"/>
    </row>
    <row r="2212" customHeight="1" spans="1:26">
      <c r="A2212" s="11" t="str">
        <f>IFERROR(__xludf.DUMMYFUNCTION("""COMPUTED_VALUE"""),"CAROLINE DE PAULA C V DE LIRA")</f>
        <v>CAROLINE DE PAULA C V DE LIRA</v>
      </c>
      <c r="B2212" s="11"/>
      <c r="C2212" s="11"/>
      <c r="D2212" s="11" t="str">
        <f>IFERROR(__xludf.DUMMYFUNCTION("""COMPUTED_VALUE"""),"CARDIOLOGIA")</f>
        <v>CARDIOLOGIA</v>
      </c>
      <c r="E2212" s="11"/>
      <c r="F2212" s="11" t="str">
        <f>IFERROR(__xludf.DUMMYFUNCTION("""COMPUTED_VALUE"""),"US_217 CENTRO MEDICO SEN JOSE ERMIRIO DE MORAES")</f>
        <v>US_217 CENTRO MEDICO SEN JOSE ERMIRIO DE MORAES</v>
      </c>
      <c r="G2212" s="11" t="str">
        <f>IFERROR(__xludf.DUMMYFUNCTION("""COMPUTED_VALUE"""),"US_217 CENTRO MEDICO SEN JOSE ERMIRIO DE MORAES")</f>
        <v>US_217 CENTRO MEDICO SEN JOSE ERMIRIO DE MORAES</v>
      </c>
      <c r="H2212" s="11"/>
      <c r="I2212" s="11"/>
      <c r="J2212" s="11"/>
      <c r="K2212" s="11"/>
      <c r="L2212" s="11"/>
      <c r="M2212" s="11"/>
      <c r="N2212" s="30" t="str">
        <f>IFERROR(__xludf.DUMMYFUNCTION("""COMPUTED_VALUE"""),"carolinedepaula@yahoo.com.br")</f>
        <v>carolinedepaula@yahoo.com.br</v>
      </c>
      <c r="O2212" s="11">
        <f>IFERROR(__xludf.DUMMYFUNCTION("""COMPUTED_VALUE"""),3132524409)</f>
        <v>3132524409</v>
      </c>
      <c r="P2212" s="11"/>
      <c r="Q2212" s="11"/>
      <c r="R2212" s="11"/>
      <c r="S2212" s="11"/>
      <c r="T2212" s="11"/>
      <c r="U2212" s="11"/>
      <c r="V2212" s="11"/>
      <c r="W2212" s="11"/>
      <c r="X2212" s="11"/>
      <c r="Y2212" s="11"/>
      <c r="Z2212" s="11"/>
    </row>
    <row r="2213" customHeight="1" spans="1:26">
      <c r="A2213" s="11" t="str">
        <f>IFERROR(__xludf.DUMMYFUNCTION("""COMPUTED_VALUE"""),"THIAGO DE BARROS SARAIVA LEAO")</f>
        <v>THIAGO DE BARROS SARAIVA LEAO</v>
      </c>
      <c r="B2213" s="11"/>
      <c r="C2213" s="11"/>
      <c r="D2213" s="11" t="str">
        <f>IFERROR(__xludf.DUMMYFUNCTION("""COMPUTED_VALUE"""),"CARDIOLOGIA")</f>
        <v>CARDIOLOGIA</v>
      </c>
      <c r="E2213" s="11"/>
      <c r="F2213" s="11" t="str">
        <f>IFERROR(__xludf.DUMMYFUNCTION("""COMPUTED_VALUE"""),"US_217 CENTRO MEDICO SEN JOSE ERMIRIO DE MORAES")</f>
        <v>US_217 CENTRO MEDICO SEN JOSE ERMIRIO DE MORAES</v>
      </c>
      <c r="G2213" s="11" t="str">
        <f>IFERROR(__xludf.DUMMYFUNCTION("""COMPUTED_VALUE"""),"US_217 CENTRO MEDICO SEN JOSE ERMIRIO DE MORAES")</f>
        <v>US_217 CENTRO MEDICO SEN JOSE ERMIRIO DE MORAES</v>
      </c>
      <c r="H2213" s="11"/>
      <c r="I2213" s="11"/>
      <c r="J2213" s="11"/>
      <c r="K2213" s="11"/>
      <c r="L2213" s="11"/>
      <c r="M2213" s="11"/>
      <c r="N2213" s="30" t="str">
        <f>IFERROR(__xludf.DUMMYFUNCTION("""COMPUTED_VALUE"""),"thiagosaraivaleao@gmail.com")</f>
        <v>thiagosaraivaleao@gmail.com</v>
      </c>
      <c r="O2213" s="11">
        <f>IFERROR(__xludf.DUMMYFUNCTION("""COMPUTED_VALUE"""),2574285425)</f>
        <v>2574285425</v>
      </c>
      <c r="P2213" s="11"/>
      <c r="Q2213" s="11"/>
      <c r="R2213" s="11"/>
      <c r="S2213" s="11"/>
      <c r="T2213" s="11"/>
      <c r="U2213" s="11"/>
      <c r="V2213" s="11"/>
      <c r="W2213" s="11"/>
      <c r="X2213" s="11"/>
      <c r="Y2213" s="11"/>
      <c r="Z2213" s="11"/>
    </row>
    <row r="2214" customHeight="1" spans="1:26">
      <c r="A2214" s="11" t="str">
        <f>IFERROR(__xludf.DUMMYFUNCTION("""COMPUTED_VALUE"""),"HELADE SOUTO MAIOR FREITAS")</f>
        <v>HELADE SOUTO MAIOR FREITAS</v>
      </c>
      <c r="B2214" s="11"/>
      <c r="C2214" s="11"/>
      <c r="D2214" s="11" t="str">
        <f>IFERROR(__xludf.DUMMYFUNCTION("""COMPUTED_VALUE"""),"INFECTOLOGIA")</f>
        <v>INFECTOLOGIA</v>
      </c>
      <c r="E2214" s="11"/>
      <c r="F2214" s="11" t="str">
        <f>IFERROR(__xludf.DUMMYFUNCTION("""COMPUTED_VALUE"""),"US_168 CTA CENTRO DE TESTAGEM E ACONSELHAMENTO")</f>
        <v>US_168 CTA CENTRO DE TESTAGEM E ACONSELHAMENTO</v>
      </c>
      <c r="G2214" s="11" t="str">
        <f>IFERROR(__xludf.DUMMYFUNCTION("""COMPUTED_VALUE"""),"US_168 CTA CENTRO DE TESTAGEM E ACONSELHAMENTO")</f>
        <v>US_168 CTA CENTRO DE TESTAGEM E ACONSELHAMENTO</v>
      </c>
      <c r="H2214" s="11"/>
      <c r="I2214" s="11"/>
      <c r="J2214" s="11"/>
      <c r="K2214" s="11"/>
      <c r="L2214" s="11"/>
      <c r="M2214" s="11"/>
      <c r="N2214" s="30" t="str">
        <f>IFERROR(__xludf.DUMMYFUNCTION("""COMPUTED_VALUE"""),"HELADE@IG.COM.BR")</f>
        <v>HELADE@IG.COM.BR</v>
      </c>
      <c r="O2214" s="11">
        <f>IFERROR(__xludf.DUMMYFUNCTION("""COMPUTED_VALUE"""),2415575429)</f>
        <v>2415575429</v>
      </c>
      <c r="P2214" s="11"/>
      <c r="Q2214" s="11"/>
      <c r="R2214" s="11"/>
      <c r="S2214" s="11"/>
      <c r="T2214" s="11"/>
      <c r="U2214" s="11"/>
      <c r="V2214" s="11"/>
      <c r="W2214" s="11"/>
      <c r="X2214" s="11"/>
      <c r="Y2214" s="11"/>
      <c r="Z2214" s="11"/>
    </row>
    <row r="2215" customHeight="1" spans="1:26">
      <c r="A2215" s="11" t="str">
        <f>IFERROR(__xludf.DUMMYFUNCTION("""COMPUTED_VALUE"""),"FILIPE WANICK SARINHO")</f>
        <v>FILIPE WANICK SARINHO</v>
      </c>
      <c r="B2215" s="11"/>
      <c r="C2215" s="11"/>
      <c r="D2215" s="11" t="str">
        <f>IFERROR(__xludf.DUMMYFUNCTION("""COMPUTED_VALUE"""),"ALERGIA E IMUNOLOGIA")</f>
        <v>ALERGIA E IMUNOLOGIA</v>
      </c>
      <c r="E2215" s="11"/>
      <c r="F2215" s="11" t="str">
        <f>IFERROR(__xludf.DUMMYFUNCTION("""COMPUTED_VALUE"""),"US_321 CENTRAL DE ALERGOLOGIA")</f>
        <v>US_321 CENTRAL DE ALERGOLOGIA</v>
      </c>
      <c r="G2215" s="11" t="str">
        <f>IFERROR(__xludf.DUMMYFUNCTION("""COMPUTED_VALUE"""),"US_321 CENTRAL DE ALERGOLOGIA")</f>
        <v>US_321 CENTRAL DE ALERGOLOGIA</v>
      </c>
      <c r="H2215" s="11"/>
      <c r="I2215" s="11"/>
      <c r="J2215" s="11"/>
      <c r="K2215" s="11"/>
      <c r="L2215" s="11"/>
      <c r="M2215" s="11"/>
      <c r="N2215" s="30" t="str">
        <f>IFERROR(__xludf.DUMMYFUNCTION("""COMPUTED_VALUE"""),"FILIPEWS@GMAIL.COM")</f>
        <v>FILIPEWS@GMAIL.COM</v>
      </c>
      <c r="O2215" s="11">
        <f>IFERROR(__xludf.DUMMYFUNCTION("""COMPUTED_VALUE"""),5650273448)</f>
        <v>5650273448</v>
      </c>
      <c r="P2215" s="11"/>
      <c r="Q2215" s="11"/>
      <c r="R2215" s="11"/>
      <c r="S2215" s="11"/>
      <c r="T2215" s="11"/>
      <c r="U2215" s="11"/>
      <c r="V2215" s="11"/>
      <c r="W2215" s="11"/>
      <c r="X2215" s="11"/>
      <c r="Y2215" s="11"/>
      <c r="Z2215" s="11"/>
    </row>
    <row r="2216" customHeight="1" spans="1:26">
      <c r="A2216" s="11" t="str">
        <f>IFERROR(__xludf.DUMMYFUNCTION("""COMPUTED_VALUE"""),"FERNANDA DOS PASSOS E S LEITE")</f>
        <v>FERNANDA DOS PASSOS E S LEITE</v>
      </c>
      <c r="B2216" s="11"/>
      <c r="C2216" s="11"/>
      <c r="D2216" s="11" t="str">
        <f>IFERROR(__xludf.DUMMYFUNCTION("""COMPUTED_VALUE"""),"GINECOLOGIA E OBSTETRICIA")</f>
        <v>GINECOLOGIA E OBSTETRICIA</v>
      </c>
      <c r="E2216" s="11"/>
      <c r="F2216" s="11" t="str">
        <f>IFERROR(__xludf.DUMMYFUNCTION("""COMPUTED_VALUE"""),"US_129 AMEM AMBULATORIO ESPECIALIZADO DA MULHER")</f>
        <v>US_129 AMEM AMBULATORIO ESPECIALIZADO DA MULHER</v>
      </c>
      <c r="G2216" s="11" t="str">
        <f>IFERROR(__xludf.DUMMYFUNCTION("""COMPUTED_VALUE"""),"US_129 AMEM AMBULATORIO ESPECIALIZADO DA MULHER")</f>
        <v>US_129 AMEM AMBULATORIO ESPECIALIZADO DA MULHER</v>
      </c>
      <c r="H2216" s="11"/>
      <c r="I2216" s="11"/>
      <c r="J2216" s="11"/>
      <c r="K2216" s="11"/>
      <c r="L2216" s="11"/>
      <c r="M2216" s="11"/>
      <c r="N2216" s="30" t="str">
        <f>IFERROR(__xludf.DUMMYFUNCTION("""COMPUTED_VALUE"""),"nandapsleite@gmail.com")</f>
        <v>nandapsleite@gmail.com</v>
      </c>
      <c r="O2216" s="11">
        <f>IFERROR(__xludf.DUMMYFUNCTION("""COMPUTED_VALUE"""),6452196499)</f>
        <v>6452196499</v>
      </c>
      <c r="P2216" s="11"/>
      <c r="Q2216" s="11"/>
      <c r="R2216" s="11"/>
      <c r="S2216" s="11"/>
      <c r="T2216" s="11"/>
      <c r="U2216" s="11"/>
      <c r="V2216" s="11"/>
      <c r="W2216" s="11"/>
      <c r="X2216" s="11"/>
      <c r="Y2216" s="11"/>
      <c r="Z2216" s="11"/>
    </row>
    <row r="2217" customHeight="1" spans="1:26">
      <c r="A2217" s="11" t="str">
        <f>IFERROR(__xludf.DUMMYFUNCTION("""COMPUTED_VALUE"""),"GISELLE FERREIRA DE OLIVEIRA")</f>
        <v>GISELLE FERREIRA DE OLIVEIRA</v>
      </c>
      <c r="B2217" s="11"/>
      <c r="C2217" s="11"/>
      <c r="D2217" s="11" t="str">
        <f>IFERROR(__xludf.DUMMYFUNCTION("""COMPUTED_VALUE"""),"OFTALMOLOGIA")</f>
        <v>OFTALMOLOGIA</v>
      </c>
      <c r="E2217" s="11"/>
      <c r="F2217" s="11" t="str">
        <f>IFERROR(__xludf.DUMMYFUNCTION("""COMPUTED_VALUE"""),"US_217 CENTRO MEDICO SEN JOSE ERMIRIO DE MORAES")</f>
        <v>US_217 CENTRO MEDICO SEN JOSE ERMIRIO DE MORAES</v>
      </c>
      <c r="G2217" s="11" t="str">
        <f>IFERROR(__xludf.DUMMYFUNCTION("""COMPUTED_VALUE"""),"US_217 CENTRO MEDICO SEN JOSE ERMIRIO DE MORAES")</f>
        <v>US_217 CENTRO MEDICO SEN JOSE ERMIRIO DE MORAES</v>
      </c>
      <c r="H2217" s="11"/>
      <c r="I2217" s="11"/>
      <c r="J2217" s="11"/>
      <c r="K2217" s="11"/>
      <c r="L2217" s="11"/>
      <c r="M2217" s="11"/>
      <c r="N2217" s="30" t="str">
        <f>IFERROR(__xludf.DUMMYFUNCTION("""COMPUTED_VALUE"""),"GISELLEF.OLIVEIRA@HOTMAIL.COM")</f>
        <v>GISELLEF.OLIVEIRA@HOTMAIL.COM</v>
      </c>
      <c r="O2217" s="11">
        <f>IFERROR(__xludf.DUMMYFUNCTION("""COMPUTED_VALUE"""),5497338410)</f>
        <v>5497338410</v>
      </c>
      <c r="P2217" s="11"/>
      <c r="Q2217" s="11"/>
      <c r="R2217" s="11"/>
      <c r="S2217" s="11"/>
      <c r="T2217" s="11"/>
      <c r="U2217" s="11"/>
      <c r="V2217" s="11"/>
      <c r="W2217" s="11"/>
      <c r="X2217" s="11"/>
      <c r="Y2217" s="11"/>
      <c r="Z2217" s="11"/>
    </row>
    <row r="2218" customHeight="1" spans="1:26">
      <c r="A2218" s="11" t="str">
        <f>IFERROR(__xludf.DUMMYFUNCTION("""COMPUTED_VALUE"""),"NEIMA VASCONCELOS DE OLIVEIRA")</f>
        <v>NEIMA VASCONCELOS DE OLIVEIRA</v>
      </c>
      <c r="B2218" s="11"/>
      <c r="C2218" s="11"/>
      <c r="D2218" s="11" t="str">
        <f>IFERROR(__xludf.DUMMYFUNCTION("""COMPUTED_VALUE"""),"OFTALMOLOGIA")</f>
        <v>OFTALMOLOGIA</v>
      </c>
      <c r="E2218" s="11"/>
      <c r="F2218" s="11" t="str">
        <f>IFERROR(__xludf.DUMMYFUNCTION("""COMPUTED_VALUE"""),"US_217 CENTRO MEDICO SEN JOSE ERMIRIO DE MORAES")</f>
        <v>US_217 CENTRO MEDICO SEN JOSE ERMIRIO DE MORAES</v>
      </c>
      <c r="G2218" s="11" t="str">
        <f>IFERROR(__xludf.DUMMYFUNCTION("""COMPUTED_VALUE"""),"US_217 CENTRO MEDICO SEN JOSE ERMIRIO DE MORAES")</f>
        <v>US_217 CENTRO MEDICO SEN JOSE ERMIRIO DE MORAES</v>
      </c>
      <c r="H2218" s="11"/>
      <c r="I2218" s="11"/>
      <c r="J2218" s="11"/>
      <c r="K2218" s="11"/>
      <c r="L2218" s="11"/>
      <c r="M2218" s="11"/>
      <c r="N2218" s="30" t="str">
        <f>IFERROR(__xludf.DUMMYFUNCTION("""COMPUTED_VALUE"""),"neimavasconcelos10@gmail.com")</f>
        <v>neimavasconcelos10@gmail.com</v>
      </c>
      <c r="O2218" s="11">
        <f>IFERROR(__xludf.DUMMYFUNCTION("""COMPUTED_VALUE"""),3616978564)</f>
        <v>3616978564</v>
      </c>
      <c r="P2218" s="11"/>
      <c r="Q2218" s="11"/>
      <c r="R2218" s="11"/>
      <c r="S2218" s="11"/>
      <c r="T2218" s="11"/>
      <c r="U2218" s="11"/>
      <c r="V2218" s="11"/>
      <c r="W2218" s="11"/>
      <c r="X2218" s="11"/>
      <c r="Y2218" s="11"/>
      <c r="Z2218" s="11"/>
    </row>
    <row r="2219" customHeight="1" spans="1:26">
      <c r="A2219" s="11" t="str">
        <f>IFERROR(__xludf.DUMMYFUNCTION("""COMPUTED_VALUE"""),"LUIZY DELCA F L P DE LIMA")</f>
        <v>LUIZY DELCA F L P DE LIMA</v>
      </c>
      <c r="B2219" s="11"/>
      <c r="C2219" s="11"/>
      <c r="D2219" s="11" t="str">
        <f>IFERROR(__xludf.DUMMYFUNCTION("""COMPUTED_VALUE"""),"GINECOLOGIA E OBSTETRICIA")</f>
        <v>GINECOLOGIA E OBSTETRICIA</v>
      </c>
      <c r="E2219" s="11"/>
      <c r="F2219" s="11" t="str">
        <f>IFERROR(__xludf.DUMMYFUNCTION("""COMPUTED_VALUE"""),"US_129 AMEM AMBULATORIO ESPECIALIZADO DA MULHER")</f>
        <v>US_129 AMEM AMBULATORIO ESPECIALIZADO DA MULHER</v>
      </c>
      <c r="G2219" s="11" t="str">
        <f>IFERROR(__xludf.DUMMYFUNCTION("""COMPUTED_VALUE"""),"US_129 AMEM AMBULATORIO ESPECIALIZADO DA MULHER")</f>
        <v>US_129 AMEM AMBULATORIO ESPECIALIZADO DA MULHER</v>
      </c>
      <c r="H2219" s="11"/>
      <c r="I2219" s="11"/>
      <c r="J2219" s="11"/>
      <c r="K2219" s="11"/>
      <c r="L2219" s="11"/>
      <c r="M2219" s="11"/>
      <c r="N2219" s="30" t="str">
        <f>IFERROR(__xludf.DUMMYFUNCTION("""COMPUTED_VALUE"""),"luizydelca@gmail.com")</f>
        <v>luizydelca@gmail.com</v>
      </c>
      <c r="O2219" s="11">
        <f>IFERROR(__xludf.DUMMYFUNCTION("""COMPUTED_VALUE"""),5805750473)</f>
        <v>5805750473</v>
      </c>
      <c r="P2219" s="11"/>
      <c r="Q2219" s="11"/>
      <c r="R2219" s="11"/>
      <c r="S2219" s="11"/>
      <c r="T2219" s="11"/>
      <c r="U2219" s="11"/>
      <c r="V2219" s="11"/>
      <c r="W2219" s="11"/>
      <c r="X2219" s="11"/>
      <c r="Y2219" s="11"/>
      <c r="Z2219" s="11"/>
    </row>
    <row r="2220" customHeight="1" spans="1:26">
      <c r="A2220" s="11" t="str">
        <f>IFERROR(__xludf.DUMMYFUNCTION("""COMPUTED_VALUE"""),"BARBARA DE CARVALHO F S MOURA")</f>
        <v>BARBARA DE CARVALHO F S MOURA</v>
      </c>
      <c r="B2220" s="11"/>
      <c r="C2220" s="11"/>
      <c r="D2220" s="11" t="str">
        <f>IFERROR(__xludf.DUMMYFUNCTION("""COMPUTED_VALUE"""),"OFTALMOLOGIA")</f>
        <v>OFTALMOLOGIA</v>
      </c>
      <c r="E2220" s="11"/>
      <c r="F2220" s="11" t="str">
        <f>IFERROR(__xludf.DUMMYFUNCTION("""COMPUTED_VALUE"""),"US_217 CENTRO MEDICO SEN JOSE ERMIRIO DE MORAES")</f>
        <v>US_217 CENTRO MEDICO SEN JOSE ERMIRIO DE MORAES</v>
      </c>
      <c r="G2220" s="11" t="str">
        <f>IFERROR(__xludf.DUMMYFUNCTION("""COMPUTED_VALUE"""),"US_217 CENTRO MEDICO SEN JOSE ERMIRIO DE MORAES")</f>
        <v>US_217 CENTRO MEDICO SEN JOSE ERMIRIO DE MORAES</v>
      </c>
      <c r="H2220" s="11"/>
      <c r="I2220" s="11"/>
      <c r="J2220" s="11"/>
      <c r="K2220" s="11"/>
      <c r="L2220" s="11"/>
      <c r="M2220" s="11"/>
      <c r="N2220" s="30" t="str">
        <f>IFERROR(__xludf.DUMMYFUNCTION("""COMPUTED_VALUE"""),"barbaracarvalhofreire@gmail.com")</f>
        <v>barbaracarvalhofreire@gmail.com</v>
      </c>
      <c r="O2220" s="11">
        <f>IFERROR(__xludf.DUMMYFUNCTION("""COMPUTED_VALUE"""),7626524462)</f>
        <v>7626524462</v>
      </c>
      <c r="P2220" s="11"/>
      <c r="Q2220" s="11"/>
      <c r="R2220" s="11"/>
      <c r="S2220" s="11"/>
      <c r="T2220" s="11"/>
      <c r="U2220" s="11"/>
      <c r="V2220" s="11"/>
      <c r="W2220" s="11"/>
      <c r="X2220" s="11"/>
      <c r="Y2220" s="11"/>
      <c r="Z2220" s="11"/>
    </row>
    <row r="2221" customHeight="1" spans="1:26">
      <c r="A2221" s="11" t="str">
        <f>IFERROR(__xludf.DUMMYFUNCTION("""COMPUTED_VALUE"""),"MARCIO LEONARDO DE C MENEZES")</f>
        <v>MARCIO LEONARDO DE C MENEZES</v>
      </c>
      <c r="B2221" s="11"/>
      <c r="C2221" s="11"/>
      <c r="D2221" s="11" t="str">
        <f>IFERROR(__xludf.DUMMYFUNCTION("""COMPUTED_VALUE"""),"OFTALMOLOGIA")</f>
        <v>OFTALMOLOGIA</v>
      </c>
      <c r="E2221" s="11"/>
      <c r="F2221" s="11" t="str">
        <f>IFERROR(__xludf.DUMMYFUNCTION("""COMPUTED_VALUE"""),"US_217 CENTRO MEDICO SEN JOSE ERMIRIO DE MORAES")</f>
        <v>US_217 CENTRO MEDICO SEN JOSE ERMIRIO DE MORAES</v>
      </c>
      <c r="G2221" s="11" t="str">
        <f>IFERROR(__xludf.DUMMYFUNCTION("""COMPUTED_VALUE"""),"US_217 CENTRO MEDICO SEN JOSE ERMIRIO DE MORAES")</f>
        <v>US_217 CENTRO MEDICO SEN JOSE ERMIRIO DE MORAES</v>
      </c>
      <c r="H2221" s="11"/>
      <c r="I2221" s="11"/>
      <c r="J2221" s="11"/>
      <c r="K2221" s="11"/>
      <c r="L2221" s="11"/>
      <c r="M2221" s="11"/>
      <c r="N2221" s="30" t="str">
        <f>IFERROR(__xludf.DUMMYFUNCTION("""COMPUTED_VALUE"""),"marcioleonardo@yahoo.com.br")</f>
        <v>marcioleonardo@yahoo.com.br</v>
      </c>
      <c r="O2221" s="11">
        <f>IFERROR(__xludf.DUMMYFUNCTION("""COMPUTED_VALUE"""),2511651408)</f>
        <v>2511651408</v>
      </c>
      <c r="P2221" s="11"/>
      <c r="Q2221" s="11"/>
      <c r="R2221" s="11"/>
      <c r="S2221" s="11"/>
      <c r="T2221" s="11"/>
      <c r="U2221" s="11"/>
      <c r="V2221" s="11"/>
      <c r="W2221" s="11"/>
      <c r="X2221" s="11"/>
      <c r="Y2221" s="11"/>
      <c r="Z2221" s="11"/>
    </row>
    <row r="2222" customHeight="1" spans="1:26">
      <c r="A2222" s="11" t="str">
        <f>IFERROR(__xludf.DUMMYFUNCTION("""COMPUTED_VALUE"""),"HUGO FLÁVIO MACIEL DE ALMEIDA")</f>
        <v>HUGO FLÁVIO MACIEL DE ALMEIDA</v>
      </c>
      <c r="B2222" s="11"/>
      <c r="C2222" s="11"/>
      <c r="D2222" s="11" t="str">
        <f>IFERROR(__xludf.DUMMYFUNCTION("""COMPUTED_VALUE"""),"CARDIOLOGIA")</f>
        <v>CARDIOLOGIA</v>
      </c>
      <c r="E2222" s="11"/>
      <c r="F2222" s="11" t="str">
        <f>IFERROR(__xludf.DUMMYFUNCTION("""COMPUTED_VALUE"""),"")</f>
        <v/>
      </c>
      <c r="G2222" s="11" t="str">
        <f>IFERROR(__xludf.DUMMYFUNCTION("""COMPUTED_VALUE"""),"")</f>
        <v/>
      </c>
      <c r="H2222" s="11"/>
      <c r="I2222" s="11"/>
      <c r="J2222" s="11"/>
      <c r="K2222" s="11"/>
      <c r="L2222" s="11"/>
      <c r="M2222" s="11"/>
      <c r="N2222" s="11"/>
      <c r="O2222" s="11"/>
      <c r="P2222" s="11"/>
      <c r="Q2222" s="11"/>
      <c r="R2222" s="11"/>
      <c r="S2222" s="11"/>
      <c r="T2222" s="11"/>
      <c r="U2222" s="11"/>
      <c r="V2222" s="11"/>
      <c r="W2222" s="11"/>
      <c r="X2222" s="11"/>
      <c r="Y2222" s="11"/>
      <c r="Z2222" s="11"/>
    </row>
    <row r="2223" customHeight="1" spans="1:26">
      <c r="A2223" s="11" t="str">
        <f>IFERROR(__xludf.DUMMYFUNCTION("""COMPUTED_VALUE"""),"ARTHUR ARCOVERDE PERRIER")</f>
        <v>ARTHUR ARCOVERDE PERRIER</v>
      </c>
      <c r="B2223" s="11"/>
      <c r="C2223" s="11"/>
      <c r="D2223" s="11" t="str">
        <f>IFERROR(__xludf.DUMMYFUNCTION("""COMPUTED_VALUE"""),"CARDIOLOGIA")</f>
        <v>CARDIOLOGIA</v>
      </c>
      <c r="E2223" s="11"/>
      <c r="F2223" s="11" t="str">
        <f>IFERROR(__xludf.DUMMYFUNCTION("""COMPUTED_VALUE"""),"")</f>
        <v/>
      </c>
      <c r="G2223" s="11" t="str">
        <f>IFERROR(__xludf.DUMMYFUNCTION("""COMPUTED_VALUE"""),"")</f>
        <v/>
      </c>
      <c r="H2223" s="11"/>
      <c r="I2223" s="11"/>
      <c r="J2223" s="11"/>
      <c r="K2223" s="11"/>
      <c r="L2223" s="11"/>
      <c r="M2223" s="11"/>
      <c r="N2223" s="11"/>
      <c r="O2223" s="11"/>
      <c r="P2223" s="11"/>
      <c r="Q2223" s="11"/>
      <c r="R2223" s="11"/>
      <c r="S2223" s="11"/>
      <c r="T2223" s="11"/>
      <c r="U2223" s="11"/>
      <c r="V2223" s="11"/>
      <c r="W2223" s="11"/>
      <c r="X2223" s="11"/>
      <c r="Y2223" s="11"/>
      <c r="Z2223" s="11"/>
    </row>
    <row r="2224" customHeight="1" spans="1:26">
      <c r="A2224" s="11" t="str">
        <f>IFERROR(__xludf.DUMMYFUNCTION("""COMPUTED_VALUE"""),"LUISE PALOMA SOUZA SILVA")</f>
        <v>LUISE PALOMA SOUZA SILVA</v>
      </c>
      <c r="B2224" s="11"/>
      <c r="C2224" s="11"/>
      <c r="D2224" s="11" t="str">
        <f>IFERROR(__xludf.DUMMYFUNCTION("""COMPUTED_VALUE"""),"MEDICINA DE FAMILIA E COMUNIDADE")</f>
        <v>MEDICINA DE FAMILIA E COMUNIDADE</v>
      </c>
      <c r="E2224" s="11"/>
      <c r="F2224" s="11" t="str">
        <f>IFERROR(__xludf.DUMMYFUNCTION("""COMPUTED_VALUE"""),"")</f>
        <v/>
      </c>
      <c r="G2224" s="11" t="str">
        <f>IFERROR(__xludf.DUMMYFUNCTION("""COMPUTED_VALUE"""),"")</f>
        <v/>
      </c>
      <c r="H2224" s="11"/>
      <c r="I2224" s="11"/>
      <c r="J2224" s="11"/>
      <c r="K2224" s="11"/>
      <c r="L2224" s="11"/>
      <c r="M2224" s="11"/>
      <c r="N2224" s="30" t="str">
        <f>IFERROR(__xludf.DUMMYFUNCTION("""COMPUTED_VALUE"""),"ISESOUZA23@GMAIL.COM")</f>
        <v>ISESOUZA23@GMAIL.COM</v>
      </c>
      <c r="O2224" s="11"/>
      <c r="P2224" s="11"/>
      <c r="Q2224" s="11"/>
      <c r="R2224" s="11"/>
      <c r="S2224" s="11"/>
      <c r="T2224" s="11"/>
      <c r="U2224" s="11"/>
      <c r="V2224" s="11"/>
      <c r="W2224" s="11"/>
      <c r="X2224" s="11"/>
      <c r="Y2224" s="11"/>
      <c r="Z2224" s="11"/>
    </row>
    <row r="2225" customHeight="1" spans="1:26">
      <c r="A2225" s="11" t="str">
        <f>IFERROR(__xludf.DUMMYFUNCTION("""COMPUTED_VALUE"""),"MARIA HORTENCIA C DA ROCHA")</f>
        <v>MARIA HORTENCIA C DA ROCHA</v>
      </c>
      <c r="B2225" s="11"/>
      <c r="C2225" s="11"/>
      <c r="D2225" s="11" t="str">
        <f>IFERROR(__xludf.DUMMYFUNCTION("""COMPUTED_VALUE"""),"CLINICA GERAL")</f>
        <v>CLINICA GERAL</v>
      </c>
      <c r="E2225" s="11"/>
      <c r="F2225" s="11" t="str">
        <f>IFERROR(__xludf.DUMMYFUNCTION("""COMPUTED_VALUE"""),"SEDE DISTRITO SANITARIO II")</f>
        <v>SEDE DISTRITO SANITARIO II</v>
      </c>
      <c r="G2225" s="11" t="str">
        <f>IFERROR(__xludf.DUMMYFUNCTION("""COMPUTED_VALUE"""),"SEDE DISTRITO SANITARIO II")</f>
        <v>SEDE DISTRITO SANITARIO II</v>
      </c>
      <c r="H2225" s="11"/>
      <c r="I2225" s="11"/>
      <c r="J2225" s="11"/>
      <c r="K2225" s="11"/>
      <c r="L2225" s="11"/>
      <c r="M2225" s="11"/>
      <c r="N2225" s="30" t="str">
        <f>IFERROR(__xludf.DUMMYFUNCTION("""COMPUTED_VALUE"""),"MHORTENCIACR@BOL.COM.BR")</f>
        <v>MHORTENCIACR@BOL.COM.BR</v>
      </c>
      <c r="O2225" s="11">
        <f>IFERROR(__xludf.DUMMYFUNCTION("""COMPUTED_VALUE"""),12630209415)</f>
        <v>12630209415</v>
      </c>
      <c r="P2225" s="11"/>
      <c r="Q2225" s="11"/>
      <c r="R2225" s="11"/>
      <c r="S2225" s="11"/>
      <c r="T2225" s="11"/>
      <c r="U2225" s="11"/>
      <c r="V2225" s="11"/>
      <c r="W2225" s="11"/>
      <c r="X2225" s="11"/>
      <c r="Y2225" s="11"/>
      <c r="Z2225" s="11"/>
    </row>
    <row r="2226" customHeight="1" spans="1:26">
      <c r="A2226" s="11" t="str">
        <f>IFERROR(__xludf.DUMMYFUNCTION("""COMPUTED_VALUE"""),"ANA CLAUDIA DE PINHO MONTEIRO")</f>
        <v>ANA CLAUDIA DE PINHO MONTEIRO</v>
      </c>
      <c r="B2226" s="11"/>
      <c r="C2226" s="11"/>
      <c r="D2226" s="11" t="str">
        <f>IFERROR(__xludf.DUMMYFUNCTION("""COMPUTED_VALUE"""),"PEDIATRIA")</f>
        <v>PEDIATRIA</v>
      </c>
      <c r="E2226" s="11"/>
      <c r="F2226" s="11" t="str">
        <f>IFERROR(__xludf.DUMMYFUNCTION("""COMPUTED_VALUE"""),"SEDE DISTRITO SANITARIO I")</f>
        <v>SEDE DISTRITO SANITARIO I</v>
      </c>
      <c r="G2226" s="11" t="str">
        <f>IFERROR(__xludf.DUMMYFUNCTION("""COMPUTED_VALUE"""),"SEDE DISTRITO SANITARIO I")</f>
        <v>SEDE DISTRITO SANITARIO I</v>
      </c>
      <c r="H2226" s="11"/>
      <c r="I2226" s="11"/>
      <c r="J2226" s="11"/>
      <c r="K2226" s="11"/>
      <c r="L2226" s="11"/>
      <c r="M2226" s="11"/>
      <c r="N2226" s="30" t="str">
        <f>IFERROR(__xludf.DUMMYFUNCTION("""COMPUTED_VALUE"""),"cacai@br.inter.net")</f>
        <v>cacai@br.inter.net</v>
      </c>
      <c r="O2226" s="11">
        <f>IFERROR(__xludf.DUMMYFUNCTION("""COMPUTED_VALUE"""),71865861472)</f>
        <v>71865861472</v>
      </c>
      <c r="P2226" s="11"/>
      <c r="Q2226" s="11"/>
      <c r="R2226" s="11"/>
      <c r="S2226" s="11"/>
      <c r="T2226" s="11"/>
      <c r="U2226" s="11"/>
      <c r="V2226" s="11"/>
      <c r="W2226" s="11"/>
      <c r="X2226" s="11"/>
      <c r="Y2226" s="11"/>
      <c r="Z2226" s="11"/>
    </row>
    <row r="2227" customHeight="1" spans="1:26">
      <c r="A2227" s="11" t="str">
        <f>IFERROR(__xludf.DUMMYFUNCTION("""COMPUTED_VALUE"""),"PAULA F COSTA DE L FURTADO")</f>
        <v>PAULA F COSTA DE L FURTADO</v>
      </c>
      <c r="B2227" s="11"/>
      <c r="C2227" s="11"/>
      <c r="D2227" s="11" t="str">
        <f>IFERROR(__xludf.DUMMYFUNCTION("""COMPUTED_VALUE"""),"SANITARISTA")</f>
        <v>SANITARISTA</v>
      </c>
      <c r="E2227" s="11"/>
      <c r="F2227" s="11" t="str">
        <f>IFERROR(__xludf.DUMMYFUNCTION("""COMPUTED_VALUE"""),"SEDE DISTRITO SANITARIO VI")</f>
        <v>SEDE DISTRITO SANITARIO VI</v>
      </c>
      <c r="G2227" s="11" t="str">
        <f>IFERROR(__xludf.DUMMYFUNCTION("""COMPUTED_VALUE"""),"SEDE DISTRITO SANITARIO VI")</f>
        <v>SEDE DISTRITO SANITARIO VI</v>
      </c>
      <c r="H2227" s="11"/>
      <c r="I2227" s="11"/>
      <c r="J2227" s="11"/>
      <c r="K2227" s="11"/>
      <c r="L2227" s="11"/>
      <c r="M2227" s="11"/>
      <c r="N2227" s="30" t="str">
        <f>IFERROR(__xludf.DUMMYFUNCTION("""COMPUTED_VALUE"""),"paulaffurtado@yahoo.com.br")</f>
        <v>paulaffurtado@yahoo.com.br</v>
      </c>
      <c r="O2227" s="11">
        <f>IFERROR(__xludf.DUMMYFUNCTION("""COMPUTED_VALUE"""),19836090487)</f>
        <v>19836090487</v>
      </c>
      <c r="P2227" s="11"/>
      <c r="Q2227" s="11"/>
      <c r="R2227" s="11"/>
      <c r="S2227" s="11"/>
      <c r="T2227" s="11"/>
      <c r="U2227" s="11"/>
      <c r="V2227" s="11"/>
      <c r="W2227" s="11"/>
      <c r="X2227" s="11"/>
      <c r="Y2227" s="11"/>
      <c r="Z2227" s="11"/>
    </row>
    <row r="2228" customHeight="1" spans="1:26">
      <c r="A2228" s="11" t="str">
        <f>IFERROR(__xludf.DUMMYFUNCTION("""COMPUTED_VALUE"""),"MONICA DE MORAIS GUEIROS")</f>
        <v>MONICA DE MORAIS GUEIROS</v>
      </c>
      <c r="B2228" s="11"/>
      <c r="C2228" s="11"/>
      <c r="D2228" s="11" t="str">
        <f>IFERROR(__xludf.DUMMYFUNCTION("""COMPUTED_VALUE"""),"MEDICINA DE FAMILIA E COMUNIDADE")</f>
        <v>MEDICINA DE FAMILIA E COMUNIDADE</v>
      </c>
      <c r="E2228" s="11"/>
      <c r="F2228" s="11" t="str">
        <f>IFERROR(__xludf.DUMMYFUNCTION("""COMPUTED_VALUE"""),"SEDE DISTRITO SANITARIO I")</f>
        <v>SEDE DISTRITO SANITARIO I</v>
      </c>
      <c r="G2228" s="11" t="str">
        <f>IFERROR(__xludf.DUMMYFUNCTION("""COMPUTED_VALUE"""),"SEDE DISTRITO SANITARIO I")</f>
        <v>SEDE DISTRITO SANITARIO I</v>
      </c>
      <c r="H2228" s="11"/>
      <c r="I2228" s="11"/>
      <c r="J2228" s="11"/>
      <c r="K2228" s="11"/>
      <c r="L2228" s="11"/>
      <c r="M2228" s="11"/>
      <c r="N2228" s="30" t="str">
        <f>IFERROR(__xludf.DUMMYFUNCTION("""COMPUTED_VALUE"""),"monica.gueiros@gmail.com")</f>
        <v>monica.gueiros@gmail.com</v>
      </c>
      <c r="O2228" s="11">
        <f>IFERROR(__xludf.DUMMYFUNCTION("""COMPUTED_VALUE"""),16670191472)</f>
        <v>16670191472</v>
      </c>
      <c r="P2228" s="11"/>
      <c r="Q2228" s="11"/>
      <c r="R2228" s="11"/>
      <c r="S2228" s="11"/>
      <c r="T2228" s="11"/>
      <c r="U2228" s="11"/>
      <c r="V2228" s="11"/>
      <c r="W2228" s="11"/>
      <c r="X2228" s="11"/>
      <c r="Y2228" s="11"/>
      <c r="Z2228" s="11"/>
    </row>
    <row r="2229" customHeight="1" spans="1:26">
      <c r="A2229" s="11" t="str">
        <f>IFERROR(__xludf.DUMMYFUNCTION("""COMPUTED_VALUE"""),"GERCIANE QUEIROGA CAPISTRANO")</f>
        <v>GERCIANE QUEIROGA CAPISTRANO</v>
      </c>
      <c r="B2229" s="11"/>
      <c r="C2229" s="11"/>
      <c r="D2229" s="11" t="str">
        <f>IFERROR(__xludf.DUMMYFUNCTION("""COMPUTED_VALUE"""),"MEDICINA DE FAMILIA E COMUNIDADE")</f>
        <v>MEDICINA DE FAMILIA E COMUNIDADE</v>
      </c>
      <c r="E2229" s="11"/>
      <c r="F2229" s="11" t="str">
        <f>IFERROR(__xludf.DUMMYFUNCTION("""COMPUTED_VALUE"""),"SEDE DISTRITO SANITARIO II")</f>
        <v>SEDE DISTRITO SANITARIO II</v>
      </c>
      <c r="G2229" s="11" t="str">
        <f>IFERROR(__xludf.DUMMYFUNCTION("""COMPUTED_VALUE"""),"SEDE DISTRITO SANITARIO II")</f>
        <v>SEDE DISTRITO SANITARIO II</v>
      </c>
      <c r="H2229" s="11"/>
      <c r="I2229" s="11"/>
      <c r="J2229" s="11"/>
      <c r="K2229" s="11"/>
      <c r="L2229" s="11"/>
      <c r="M2229" s="11"/>
      <c r="N2229" s="30" t="str">
        <f>IFERROR(__xludf.DUMMYFUNCTION("""COMPUTED_VALUE"""),"GERCIANEQUEIROGA@GMAIL.COM")</f>
        <v>GERCIANEQUEIROGA@GMAIL.COM</v>
      </c>
      <c r="O2229" s="11">
        <f>IFERROR(__xludf.DUMMYFUNCTION("""COMPUTED_VALUE"""),36055344491)</f>
        <v>36055344491</v>
      </c>
      <c r="P2229" s="11"/>
      <c r="Q2229" s="11"/>
      <c r="R2229" s="11"/>
      <c r="S2229" s="11"/>
      <c r="T2229" s="11"/>
      <c r="U2229" s="11"/>
      <c r="V2229" s="11"/>
      <c r="W2229" s="11"/>
      <c r="X2229" s="11"/>
      <c r="Y2229" s="11"/>
      <c r="Z2229" s="11"/>
    </row>
    <row r="2230" customHeight="1" spans="1:26">
      <c r="A2230" s="11" t="str">
        <f>IFERROR(__xludf.DUMMYFUNCTION("""COMPUTED_VALUE"""),"CARLA REZENDE DE ARAUJO")</f>
        <v>CARLA REZENDE DE ARAUJO</v>
      </c>
      <c r="B2230" s="11"/>
      <c r="C2230" s="11"/>
      <c r="D2230" s="11" t="str">
        <f>IFERROR(__xludf.DUMMYFUNCTION("""COMPUTED_VALUE"""),"CLINICA GERAL")</f>
        <v>CLINICA GERAL</v>
      </c>
      <c r="E2230" s="11"/>
      <c r="F2230" s="11" t="str">
        <f>IFERROR(__xludf.DUMMYFUNCTION("""COMPUTED_VALUE"""),"SEDE DISTRITO SANITARIO IV")</f>
        <v>SEDE DISTRITO SANITARIO IV</v>
      </c>
      <c r="G2230" s="11" t="str">
        <f>IFERROR(__xludf.DUMMYFUNCTION("""COMPUTED_VALUE"""),"SEDE DISTRITO SANITARIO IV")</f>
        <v>SEDE DISTRITO SANITARIO IV</v>
      </c>
      <c r="H2230" s="11"/>
      <c r="I2230" s="11"/>
      <c r="J2230" s="11"/>
      <c r="K2230" s="11"/>
      <c r="L2230" s="11"/>
      <c r="M2230" s="11"/>
      <c r="N2230" s="30" t="str">
        <f>IFERROR(__xludf.DUMMYFUNCTION("""COMPUTED_VALUE"""),"carlinha_rezende@hotmail.com                           ")</f>
        <v>carlinha_rezende@hotmail.com                           </v>
      </c>
      <c r="O2230" s="11">
        <f>IFERROR(__xludf.DUMMYFUNCTION("""COMPUTED_VALUE"""),1854334484)</f>
        <v>1854334484</v>
      </c>
      <c r="P2230" s="11"/>
      <c r="Q2230" s="11"/>
      <c r="R2230" s="11"/>
      <c r="S2230" s="11"/>
      <c r="T2230" s="11"/>
      <c r="U2230" s="11"/>
      <c r="V2230" s="11"/>
      <c r="W2230" s="11"/>
      <c r="X2230" s="11"/>
      <c r="Y2230" s="11"/>
      <c r="Z2230" s="11"/>
    </row>
    <row r="2231" customHeight="1" spans="1:26">
      <c r="A2231" s="11" t="str">
        <f>IFERROR(__xludf.DUMMYFUNCTION("""COMPUTED_VALUE"""),"MARIA DE LARA HAZIN PIRES")</f>
        <v>MARIA DE LARA HAZIN PIRES</v>
      </c>
      <c r="B2231" s="11"/>
      <c r="C2231" s="11"/>
      <c r="D2231" s="11" t="str">
        <f>IFERROR(__xludf.DUMMYFUNCTION("""COMPUTED_VALUE"""),"MEDICINA DE FAMILIA E COMUNIDADE")</f>
        <v>MEDICINA DE FAMILIA E COMUNIDADE</v>
      </c>
      <c r="E2231" s="11"/>
      <c r="F2231" s="11" t="str">
        <f>IFERROR(__xludf.DUMMYFUNCTION("""COMPUTED_VALUE"""),"SEDE DISTRITO SANITARIO III")</f>
        <v>SEDE DISTRITO SANITARIO III</v>
      </c>
      <c r="G2231" s="11" t="str">
        <f>IFERROR(__xludf.DUMMYFUNCTION("""COMPUTED_VALUE"""),"SEDE DISTRITO SANITARIO III")</f>
        <v>SEDE DISTRITO SANITARIO III</v>
      </c>
      <c r="H2231" s="11"/>
      <c r="I2231" s="11"/>
      <c r="J2231" s="11"/>
      <c r="K2231" s="11"/>
      <c r="L2231" s="11"/>
      <c r="M2231" s="11"/>
      <c r="N2231" s="30" t="str">
        <f>IFERROR(__xludf.DUMMYFUNCTION("""COMPUTED_VALUE"""),"larahazin@hotmail.com")</f>
        <v>larahazin@hotmail.com</v>
      </c>
      <c r="O2231" s="11">
        <f>IFERROR(__xludf.DUMMYFUNCTION("""COMPUTED_VALUE"""),2356683461)</f>
        <v>2356683461</v>
      </c>
      <c r="P2231" s="11"/>
      <c r="Q2231" s="11"/>
      <c r="R2231" s="11"/>
      <c r="S2231" s="11"/>
      <c r="T2231" s="11"/>
      <c r="U2231" s="11"/>
      <c r="V2231" s="11"/>
      <c r="W2231" s="11"/>
      <c r="X2231" s="11"/>
      <c r="Y2231" s="11"/>
      <c r="Z2231" s="11"/>
    </row>
    <row r="2232" customHeight="1" spans="1:26">
      <c r="A2232" s="11" t="str">
        <f>IFERROR(__xludf.DUMMYFUNCTION("""COMPUTED_VALUE"""),"HUMBERTO TAVARES GONCALVES")</f>
        <v>HUMBERTO TAVARES GONCALVES</v>
      </c>
      <c r="B2232" s="11"/>
      <c r="C2232" s="11"/>
      <c r="D2232" s="11" t="str">
        <f>IFERROR(__xludf.DUMMYFUNCTION("""COMPUTED_VALUE"""),"MEDICINA DE FAMILIA E COMUNIDADE")</f>
        <v>MEDICINA DE FAMILIA E COMUNIDADE</v>
      </c>
      <c r="E2232" s="11"/>
      <c r="F2232" s="11" t="str">
        <f>IFERROR(__xludf.DUMMYFUNCTION("""COMPUTED_VALUE"""),"SEDE DISTRITO SANITARIO VII")</f>
        <v>SEDE DISTRITO SANITARIO VII</v>
      </c>
      <c r="G2232" s="11" t="str">
        <f>IFERROR(__xludf.DUMMYFUNCTION("""COMPUTED_VALUE"""),"SEDE DISTRITO SANITARIO VII")</f>
        <v>SEDE DISTRITO SANITARIO VII</v>
      </c>
      <c r="H2232" s="27">
        <f>IFERROR(__xludf.DUMMYFUNCTION("""COMPUTED_VALUE"""),81971150524)</f>
        <v>81971150524</v>
      </c>
      <c r="I2232" s="11"/>
      <c r="J2232" s="11"/>
      <c r="K2232" s="24">
        <f>IFERROR(__xludf.DUMMYFUNCTION("""COMPUTED_VALUE"""),45187)</f>
        <v>45187</v>
      </c>
      <c r="L2232" s="11"/>
      <c r="M2232" s="11"/>
      <c r="N2232" s="30" t="str">
        <f>IFERROR(__xludf.DUMMYFUNCTION("""COMPUTED_VALUE"""),"humbertosirc@gmail.com")</f>
        <v>humbertosirc@gmail.com</v>
      </c>
      <c r="O2232" s="11">
        <f>IFERROR(__xludf.DUMMYFUNCTION("""COMPUTED_VALUE"""),1054218390)</f>
        <v>1054218390</v>
      </c>
      <c r="P2232" s="11"/>
      <c r="Q2232" s="11"/>
      <c r="R2232" s="11"/>
      <c r="S2232" s="11"/>
      <c r="T2232" s="11"/>
      <c r="U2232" s="11"/>
      <c r="V2232" s="11"/>
      <c r="W2232" s="11"/>
      <c r="X2232" s="11"/>
      <c r="Y2232" s="11"/>
      <c r="Z2232" s="11"/>
    </row>
    <row r="2233" customHeight="1" spans="1:26">
      <c r="A2233" s="11" t="str">
        <f>IFERROR(__xludf.DUMMYFUNCTION("""COMPUTED_VALUE"""),"CICERO PEREIRA BATISTA")</f>
        <v>CICERO PEREIRA BATISTA</v>
      </c>
      <c r="B2233" s="11"/>
      <c r="C2233" s="11"/>
      <c r="D2233" s="11" t="str">
        <f>IFERROR(__xludf.DUMMYFUNCTION("""COMPUTED_VALUE"""),"MEDICINA DE FAMILIA E COMUNIDADE")</f>
        <v>MEDICINA DE FAMILIA E COMUNIDADE</v>
      </c>
      <c r="E2233" s="11"/>
      <c r="F2233" s="11" t="str">
        <f>IFERROR(__xludf.DUMMYFUNCTION("""COMPUTED_VALUE"""),"SEDE DISTRITO SANITARIO VI")</f>
        <v>SEDE DISTRITO SANITARIO VI</v>
      </c>
      <c r="G2233" s="11" t="str">
        <f>IFERROR(__xludf.DUMMYFUNCTION("""COMPUTED_VALUE"""),"SEDE DISTRITO SANITARIO VI")</f>
        <v>SEDE DISTRITO SANITARIO VI</v>
      </c>
      <c r="H2233" s="11"/>
      <c r="I2233" s="11"/>
      <c r="J2233" s="11"/>
      <c r="K2233" s="11"/>
      <c r="L2233" s="11"/>
      <c r="M2233" s="11"/>
      <c r="N2233" s="30" t="str">
        <f>IFERROR(__xludf.DUMMYFUNCTION("""COMPUTED_VALUE"""),"oicicero@hotmail.com")</f>
        <v>oicicero@hotmail.com</v>
      </c>
      <c r="O2233" s="11">
        <f>IFERROR(__xludf.DUMMYFUNCTION("""COMPUTED_VALUE"""),72394196149)</f>
        <v>72394196149</v>
      </c>
      <c r="P2233" s="11"/>
      <c r="Q2233" s="11"/>
      <c r="R2233" s="11"/>
      <c r="S2233" s="11"/>
      <c r="T2233" s="11"/>
      <c r="U2233" s="11"/>
      <c r="V2233" s="11"/>
      <c r="W2233" s="11"/>
      <c r="X2233" s="11"/>
      <c r="Y2233" s="11"/>
      <c r="Z2233" s="11"/>
    </row>
    <row r="2234" customHeight="1" spans="1:26">
      <c r="A2234" s="11" t="str">
        <f>IFERROR(__xludf.DUMMYFUNCTION("""COMPUTED_VALUE"""),"CAMILLA LUNA ARAUJO")</f>
        <v>CAMILLA LUNA ARAUJO</v>
      </c>
      <c r="B2234" s="11"/>
      <c r="C2234" s="11"/>
      <c r="D2234" s="11" t="str">
        <f>IFERROR(__xludf.DUMMYFUNCTION("""COMPUTED_VALUE"""),"MEDICINA DE FAMILIA E COMUNIDADE")</f>
        <v>MEDICINA DE FAMILIA E COMUNIDADE</v>
      </c>
      <c r="E2234" s="11"/>
      <c r="F2234" s="11" t="str">
        <f>IFERROR(__xludf.DUMMYFUNCTION("""COMPUTED_VALUE"""),"SEDE DISTRITO SANITARIO IV")</f>
        <v>SEDE DISTRITO SANITARIO IV</v>
      </c>
      <c r="G2234" s="11" t="str">
        <f>IFERROR(__xludf.DUMMYFUNCTION("""COMPUTED_VALUE"""),"SEDE DISTRITO SANITARIO IV")</f>
        <v>SEDE DISTRITO SANITARIO IV</v>
      </c>
      <c r="H2234" s="11"/>
      <c r="I2234" s="11"/>
      <c r="J2234" s="11"/>
      <c r="K2234" s="11"/>
      <c r="L2234" s="11"/>
      <c r="M2234" s="11"/>
      <c r="N2234" s="30" t="str">
        <f>IFERROR(__xludf.DUMMYFUNCTION("""COMPUTED_VALUE"""),"CMILLALUNA@HOTMAIL.COM")</f>
        <v>CMILLALUNA@HOTMAIL.COM</v>
      </c>
      <c r="O2234" s="11">
        <f>IFERROR(__xludf.DUMMYFUNCTION("""COMPUTED_VALUE"""),7229023440)</f>
        <v>7229023440</v>
      </c>
      <c r="P2234" s="11"/>
      <c r="Q2234" s="11"/>
      <c r="R2234" s="11"/>
      <c r="S2234" s="11"/>
      <c r="T2234" s="11"/>
      <c r="U2234" s="11"/>
      <c r="V2234" s="11"/>
      <c r="W2234" s="11"/>
      <c r="X2234" s="11"/>
      <c r="Y2234" s="11"/>
      <c r="Z2234" s="11"/>
    </row>
    <row r="2235" customHeight="1" spans="1:26">
      <c r="A2235" s="11" t="str">
        <f>IFERROR(__xludf.DUMMYFUNCTION("""COMPUTED_VALUE"""),"ANTONIO CARLOS DOS S FIGUEIRA")</f>
        <v>ANTONIO CARLOS DOS S FIGUEIRA</v>
      </c>
      <c r="B2235" s="11"/>
      <c r="C2235" s="11"/>
      <c r="D2235" s="11" t="str">
        <f>IFERROR(__xludf.DUMMYFUNCTION("""COMPUTED_VALUE"""),"NAO INFORMADO")</f>
        <v>NAO INFORMADO</v>
      </c>
      <c r="E2235" s="11"/>
      <c r="F2235" s="11" t="str">
        <f>IFERROR(__xludf.DUMMYFUNCTION("""COMPUTED_VALUE"""),"US_141 SECRETARIA MUNICIPAL DE SAUDE DO RECIFE")</f>
        <v>US_141 SECRETARIA MUNICIPAL DE SAUDE DO RECIFE</v>
      </c>
      <c r="G2235" s="11" t="str">
        <f>IFERROR(__xludf.DUMMYFUNCTION("""COMPUTED_VALUE"""),"US_141 SECRETARIA MUNICIPAL DE SAUDE DO RECIFE")</f>
        <v>US_141 SECRETARIA MUNICIPAL DE SAUDE DO RECIFE</v>
      </c>
      <c r="H2235" s="11"/>
      <c r="I2235" s="11"/>
      <c r="J2235" s="11"/>
      <c r="K2235" s="11"/>
      <c r="L2235" s="11"/>
      <c r="M2235" s="11"/>
      <c r="N2235" s="30" t="str">
        <f>IFERROR(__xludf.DUMMYFUNCTION("""COMPUTED_VALUE"""),"ACSFIGUEIRA1@GMAIL.COM")</f>
        <v>ACSFIGUEIRA1@GMAIL.COM</v>
      </c>
      <c r="O2235" s="11">
        <f>IFERROR(__xludf.DUMMYFUNCTION("""COMPUTED_VALUE"""),30239699491)</f>
        <v>30239699491</v>
      </c>
      <c r="P2235" s="11"/>
      <c r="Q2235" s="11"/>
      <c r="R2235" s="11"/>
      <c r="S2235" s="11"/>
      <c r="T2235" s="11"/>
      <c r="U2235" s="11"/>
      <c r="V2235" s="11"/>
      <c r="W2235" s="11"/>
      <c r="X2235" s="11"/>
      <c r="Y2235" s="11"/>
      <c r="Z2235" s="11"/>
    </row>
    <row r="2236" customHeight="1" spans="1:26">
      <c r="A2236" s="11" t="str">
        <f>IFERROR(__xludf.DUMMYFUNCTION("""COMPUTED_VALUE"""),"VERA LUCIA LOPES VIEIRA")</f>
        <v>VERA LUCIA LOPES VIEIRA</v>
      </c>
      <c r="B2236" s="11"/>
      <c r="C2236" s="11"/>
      <c r="D2236" s="11" t="str">
        <f>IFERROR(__xludf.DUMMYFUNCTION("""COMPUTED_VALUE"""),"MEDICINA DE FAMILIA E COMUNIDADE")</f>
        <v>MEDICINA DE FAMILIA E COMUNIDADE</v>
      </c>
      <c r="E2236" s="11"/>
      <c r="F2236" s="11" t="str">
        <f>IFERROR(__xludf.DUMMYFUNCTION("""COMPUTED_VALUE"""),"US_141 SECRETARIA MUNICIPAL DE SAUDE DO RECIFE")</f>
        <v>US_141 SECRETARIA MUNICIPAL DE SAUDE DO RECIFE</v>
      </c>
      <c r="G2236" s="11" t="str">
        <f>IFERROR(__xludf.DUMMYFUNCTION("""COMPUTED_VALUE"""),"US_141 SECRETARIA MUNICIPAL DE SAUDE DO RECIFE")</f>
        <v>US_141 SECRETARIA MUNICIPAL DE SAUDE DO RECIFE</v>
      </c>
      <c r="H2236" s="11"/>
      <c r="I2236" s="11"/>
      <c r="J2236" s="11"/>
      <c r="K2236" s="11"/>
      <c r="L2236" s="11"/>
      <c r="M2236" s="11"/>
      <c r="N2236" s="11"/>
      <c r="O2236" s="11">
        <f>IFERROR(__xludf.DUMMYFUNCTION("""COMPUTED_VALUE"""),16596374491)</f>
        <v>16596374491</v>
      </c>
      <c r="P2236" s="11"/>
      <c r="Q2236" s="11"/>
      <c r="R2236" s="11"/>
      <c r="S2236" s="11"/>
      <c r="T2236" s="11"/>
      <c r="U2236" s="11"/>
      <c r="V2236" s="11"/>
      <c r="W2236" s="11"/>
      <c r="X2236" s="11"/>
      <c r="Y2236" s="11"/>
      <c r="Z2236" s="11"/>
    </row>
    <row r="2237" customHeight="1" spans="1:26">
      <c r="A2237" s="11" t="str">
        <f>IFERROR(__xludf.DUMMYFUNCTION("""COMPUTED_VALUE"""),"LUCIA MARIA VERAS T SANTOS")</f>
        <v>LUCIA MARIA VERAS T SANTOS</v>
      </c>
      <c r="B2237" s="11"/>
      <c r="C2237" s="11"/>
      <c r="D2237" s="11" t="str">
        <f>IFERROR(__xludf.DUMMYFUNCTION("""COMPUTED_VALUE"""),"PEDIATRIA / NEONATOLOGIA")</f>
        <v>PEDIATRIA / NEONATOLOGIA</v>
      </c>
      <c r="E2237" s="11"/>
      <c r="F2237" s="11" t="str">
        <f>IFERROR(__xludf.DUMMYFUNCTION("""COMPUTED_VALUE"""),"GERENCIA GERAL DE ATENCAO INTEGRAL A SAUDE")</f>
        <v>GERENCIA GERAL DE ATENCAO INTEGRAL A SAUDE</v>
      </c>
      <c r="G2237" s="11" t="str">
        <f>IFERROR(__xludf.DUMMYFUNCTION("""COMPUTED_VALUE"""),"GERENCIA GERAL DE ATENCAO INTEGRAL A SAUDE")</f>
        <v>GERENCIA GERAL DE ATENCAO INTEGRAL A SAUDE</v>
      </c>
      <c r="H2237" s="11"/>
      <c r="I2237" s="11"/>
      <c r="J2237" s="11"/>
      <c r="K2237" s="11"/>
      <c r="L2237" s="11"/>
      <c r="M2237" s="11"/>
      <c r="N2237" s="30" t="str">
        <f>IFERROR(__xludf.DUMMYFUNCTION("""COMPUTED_VALUE"""),"LTRAJANO2@GMAIL.COM")</f>
        <v>LTRAJANO2@GMAIL.COM</v>
      </c>
      <c r="O2237" s="11">
        <f>IFERROR(__xludf.DUMMYFUNCTION("""COMPUTED_VALUE"""),19008228491)</f>
        <v>19008228491</v>
      </c>
      <c r="P2237" s="11"/>
      <c r="Q2237" s="11"/>
      <c r="R2237" s="11"/>
      <c r="S2237" s="11"/>
      <c r="T2237" s="11"/>
      <c r="U2237" s="11"/>
      <c r="V2237" s="11"/>
      <c r="W2237" s="11"/>
      <c r="X2237" s="11"/>
      <c r="Y2237" s="11"/>
      <c r="Z2237" s="11"/>
    </row>
    <row r="2238" customHeight="1" spans="1:26">
      <c r="A2238" s="11" t="str">
        <f>IFERROR(__xludf.DUMMYFUNCTION("""COMPUTED_VALUE"""),"IVANA CRISTINA B FERNANDES")</f>
        <v>IVANA CRISTINA B FERNANDES</v>
      </c>
      <c r="B2238" s="11"/>
      <c r="C2238" s="11"/>
      <c r="D2238" s="11" t="str">
        <f>IFERROR(__xludf.DUMMYFUNCTION("""COMPUTED_VALUE"""),"ANGIOLOGIA")</f>
        <v>ANGIOLOGIA</v>
      </c>
      <c r="E2238" s="11"/>
      <c r="F2238" s="11" t="str">
        <f>IFERROR(__xludf.DUMMYFUNCTION("""COMPUTED_VALUE"""),"GERENCIA GERAL DE REGULACAO EM SAUDE")</f>
        <v>GERENCIA GERAL DE REGULACAO EM SAUDE</v>
      </c>
      <c r="G2238" s="11" t="str">
        <f>IFERROR(__xludf.DUMMYFUNCTION("""COMPUTED_VALUE"""),"GERENCIA GERAL DE REGULACAO EM SAUDE")</f>
        <v>GERENCIA GERAL DE REGULACAO EM SAUDE</v>
      </c>
      <c r="H2238" s="11"/>
      <c r="I2238" s="11"/>
      <c r="J2238" s="11"/>
      <c r="K2238" s="11"/>
      <c r="L2238" s="11"/>
      <c r="M2238" s="11"/>
      <c r="N2238" s="30" t="str">
        <f>IFERROR(__xludf.DUMMYFUNCTION("""COMPUTED_VALUE"""),"ivanacbfernandes@oi.com.br")</f>
        <v>ivanacbfernandes@oi.com.br</v>
      </c>
      <c r="O2238" s="11">
        <f>IFERROR(__xludf.DUMMYFUNCTION("""COMPUTED_VALUE"""),62014552487)</f>
        <v>62014552487</v>
      </c>
      <c r="P2238" s="11"/>
      <c r="Q2238" s="11"/>
      <c r="R2238" s="11"/>
      <c r="S2238" s="11"/>
      <c r="T2238" s="11"/>
      <c r="U2238" s="11"/>
      <c r="V2238" s="11"/>
      <c r="W2238" s="11"/>
      <c r="X2238" s="11"/>
      <c r="Y2238" s="11"/>
      <c r="Z2238" s="11"/>
    </row>
    <row r="2239" customHeight="1" spans="1:26">
      <c r="A2239" s="11" t="str">
        <f>IFERROR(__xludf.DUMMYFUNCTION("""COMPUTED_VALUE"""),"ANA CHRISTINA DE O F GALVAO")</f>
        <v>ANA CHRISTINA DE O F GALVAO</v>
      </c>
      <c r="B2239" s="11"/>
      <c r="C2239" s="11"/>
      <c r="D2239" s="11" t="str">
        <f>IFERROR(__xludf.DUMMYFUNCTION("""COMPUTED_VALUE"""),"PEDIATRIA")</f>
        <v>PEDIATRIA</v>
      </c>
      <c r="E2239" s="11"/>
      <c r="F2239" s="11" t="str">
        <f>IFERROR(__xludf.DUMMYFUNCTION("""COMPUTED_VALUE"""),"GERENCIA GERAL DE MONITORAMENTO DE GESTAO DISTRITAL ")</f>
        <v>GERENCIA GERAL DE MONITORAMENTO DE GESTAO DISTRITAL </v>
      </c>
      <c r="G2239" s="11" t="str">
        <f>IFERROR(__xludf.DUMMYFUNCTION("""COMPUTED_VALUE"""),"GERENCIA GERAL DE MONITORAMENTO DE GESTAO DISTRITAL ")</f>
        <v>GERENCIA GERAL DE MONITORAMENTO DE GESTAO DISTRITAL </v>
      </c>
      <c r="H2239" s="11"/>
      <c r="I2239" s="11"/>
      <c r="J2239" s="11"/>
      <c r="K2239" s="11"/>
      <c r="L2239" s="11"/>
      <c r="M2239" s="11"/>
      <c r="N2239" s="30" t="str">
        <f>IFERROR(__xludf.DUMMYFUNCTION("""COMPUTED_VALUE"""),"anachristinagalvao@icloud.com")</f>
        <v>anachristinagalvao@icloud.com</v>
      </c>
      <c r="O2239" s="11">
        <f>IFERROR(__xludf.DUMMYFUNCTION("""COMPUTED_VALUE"""),83013440406)</f>
        <v>83013440406</v>
      </c>
      <c r="P2239" s="11"/>
      <c r="Q2239" s="11"/>
      <c r="R2239" s="11"/>
      <c r="S2239" s="11"/>
      <c r="T2239" s="11"/>
      <c r="U2239" s="11"/>
      <c r="V2239" s="11"/>
      <c r="W2239" s="11"/>
      <c r="X2239" s="11"/>
      <c r="Y2239" s="11"/>
      <c r="Z2239" s="11"/>
    </row>
    <row r="2240" customHeight="1" spans="1:26">
      <c r="A2240" s="11" t="str">
        <f>IFERROR(__xludf.DUMMYFUNCTION("""COMPUTED_VALUE"""),"CYNTHIA COELHO M DE CARVALHO")</f>
        <v>CYNTHIA COELHO M DE CARVALHO</v>
      </c>
      <c r="B2240" s="11"/>
      <c r="C2240" s="11"/>
      <c r="D2240" s="11" t="str">
        <f>IFERROR(__xludf.DUMMYFUNCTION("""COMPUTED_VALUE"""),"GINECOLOGIA")</f>
        <v>GINECOLOGIA</v>
      </c>
      <c r="E2240" s="11"/>
      <c r="F2240" s="11" t="str">
        <f>IFERROR(__xludf.DUMMYFUNCTION("""COMPUTED_VALUE"""),"GERENCIA GERAL DE REGULACAO EM SAUDE")</f>
        <v>GERENCIA GERAL DE REGULACAO EM SAUDE</v>
      </c>
      <c r="G2240" s="11" t="str">
        <f>IFERROR(__xludf.DUMMYFUNCTION("""COMPUTED_VALUE"""),"GERENCIA GERAL DE REGULACAO EM SAUDE")</f>
        <v>GERENCIA GERAL DE REGULACAO EM SAUDE</v>
      </c>
      <c r="H2240" s="11"/>
      <c r="I2240" s="11"/>
      <c r="J2240" s="11"/>
      <c r="K2240" s="11"/>
      <c r="L2240" s="11"/>
      <c r="M2240" s="11"/>
      <c r="N2240" s="30" t="str">
        <f>IFERROR(__xludf.DUMMYFUNCTION("""COMPUTED_VALUE"""),"cynthiacoelhom@gmail.com                               ")</f>
        <v>cynthiacoelhom@gmail.com                               </v>
      </c>
      <c r="O2240" s="11">
        <f>IFERROR(__xludf.DUMMYFUNCTION("""COMPUTED_VALUE"""),94818070459)</f>
        <v>94818070459</v>
      </c>
      <c r="P2240" s="11"/>
      <c r="Q2240" s="11"/>
      <c r="R2240" s="11"/>
      <c r="S2240" s="11"/>
      <c r="T2240" s="11"/>
      <c r="U2240" s="11"/>
      <c r="V2240" s="11"/>
      <c r="W2240" s="11"/>
      <c r="X2240" s="11"/>
      <c r="Y2240" s="11"/>
      <c r="Z2240" s="11"/>
    </row>
    <row r="2241" customHeight="1" spans="1:26">
      <c r="A2241" s="11" t="str">
        <f>IFERROR(__xludf.DUMMYFUNCTION("""COMPUTED_VALUE"""),"KLEUBER ARAUJO DE FARIAS")</f>
        <v>KLEUBER ARAUJO DE FARIAS</v>
      </c>
      <c r="B2241" s="11"/>
      <c r="C2241" s="11"/>
      <c r="D2241" s="11" t="str">
        <f>IFERROR(__xludf.DUMMYFUNCTION("""COMPUTED_VALUE"""),"OFTALMOLOGIA")</f>
        <v>OFTALMOLOGIA</v>
      </c>
      <c r="E2241" s="11"/>
      <c r="F2241" s="11" t="str">
        <f>IFERROR(__xludf.DUMMYFUNCTION("""COMPUTED_VALUE"""),"GERENCIA GERAL DE REGULACAO EM SAUDE")</f>
        <v>GERENCIA GERAL DE REGULACAO EM SAUDE</v>
      </c>
      <c r="G2241" s="11" t="str">
        <f>IFERROR(__xludf.DUMMYFUNCTION("""COMPUTED_VALUE"""),"GERENCIA GERAL DE REGULACAO EM SAUDE")</f>
        <v>GERENCIA GERAL DE REGULACAO EM SAUDE</v>
      </c>
      <c r="H2241" s="11"/>
      <c r="I2241" s="11"/>
      <c r="J2241" s="11"/>
      <c r="K2241" s="11"/>
      <c r="L2241" s="11"/>
      <c r="M2241" s="11"/>
      <c r="N2241" s="30" t="str">
        <f>IFERROR(__xludf.DUMMYFUNCTION("""COMPUTED_VALUE"""),"kleuber.farias@gmail.com                               ")</f>
        <v>kleuber.farias@gmail.com                               </v>
      </c>
      <c r="O2241" s="11">
        <f>IFERROR(__xludf.DUMMYFUNCTION("""COMPUTED_VALUE"""),1903472440)</f>
        <v>1903472440</v>
      </c>
      <c r="P2241" s="11"/>
      <c r="Q2241" s="11"/>
      <c r="R2241" s="11"/>
      <c r="S2241" s="11"/>
      <c r="T2241" s="11"/>
      <c r="U2241" s="11"/>
      <c r="V2241" s="11"/>
      <c r="W2241" s="11"/>
      <c r="X2241" s="11"/>
      <c r="Y2241" s="11"/>
      <c r="Z2241" s="11"/>
    </row>
    <row r="2242" customHeight="1" spans="1:26">
      <c r="A2242" s="11" t="str">
        <f>IFERROR(__xludf.DUMMYFUNCTION("""COMPUTED_VALUE"""),"MARIA DE FATIMA M NEPOMUCENO")</f>
        <v>MARIA DE FATIMA M NEPOMUCENO</v>
      </c>
      <c r="B2242" s="11"/>
      <c r="C2242" s="11"/>
      <c r="D2242" s="11" t="str">
        <f>IFERROR(__xludf.DUMMYFUNCTION("""COMPUTED_VALUE"""),"MEDICINA DE FAMILIA E COMUNIDADE")</f>
        <v>MEDICINA DE FAMILIA E COMUNIDADE</v>
      </c>
      <c r="E2242" s="11"/>
      <c r="F2242" s="11" t="str">
        <f>IFERROR(__xludf.DUMMYFUNCTION("""COMPUTED_VALUE"""),"GERENCIA GERAL DE MONITORAMENTO DE GESTAO DISTRITAL ")</f>
        <v>GERENCIA GERAL DE MONITORAMENTO DE GESTAO DISTRITAL </v>
      </c>
      <c r="G2242" s="11" t="str">
        <f>IFERROR(__xludf.DUMMYFUNCTION("""COMPUTED_VALUE"""),"GERENCIA GERAL DE MONITORAMENTO DE GESTAO DISTRITAL ")</f>
        <v>GERENCIA GERAL DE MONITORAMENTO DE GESTAO DISTRITAL </v>
      </c>
      <c r="H2242" s="11"/>
      <c r="I2242" s="11"/>
      <c r="J2242" s="11"/>
      <c r="K2242" s="11"/>
      <c r="L2242" s="11"/>
      <c r="M2242" s="11"/>
      <c r="N2242" s="30" t="str">
        <f>IFERROR(__xludf.DUMMYFUNCTION("""COMPUTED_VALUE"""),"mfnepomuceno@terra.com.br                              ")</f>
        <v>mfnepomuceno@terra.com.br                              </v>
      </c>
      <c r="O2242" s="11">
        <f>IFERROR(__xludf.DUMMYFUNCTION("""COMPUTED_VALUE"""),19449720487)</f>
        <v>19449720487</v>
      </c>
      <c r="P2242" s="11"/>
      <c r="Q2242" s="11"/>
      <c r="R2242" s="11"/>
      <c r="S2242" s="11"/>
      <c r="T2242" s="11"/>
      <c r="U2242" s="11"/>
      <c r="V2242" s="11"/>
      <c r="W2242" s="11"/>
      <c r="X2242" s="11"/>
      <c r="Y2242" s="11"/>
      <c r="Z2242" s="11"/>
    </row>
    <row r="2243" customHeight="1" spans="1:26">
      <c r="A2243" s="11" t="str">
        <f>IFERROR(__xludf.DUMMYFUNCTION("""COMPUTED_VALUE"""),"LELIA MARIA CAVALCANTI MOREIRA")</f>
        <v>LELIA MARIA CAVALCANTI MOREIRA</v>
      </c>
      <c r="B2243" s="11"/>
      <c r="C2243" s="11"/>
      <c r="D2243" s="11" t="str">
        <f>IFERROR(__xludf.DUMMYFUNCTION("""COMPUTED_VALUE"""),"MEDICINA DE FAMILIA E COMUNIDADE")</f>
        <v>MEDICINA DE FAMILIA E COMUNIDADE</v>
      </c>
      <c r="E2243" s="11"/>
      <c r="F2243" s="11" t="str">
        <f>IFERROR(__xludf.DUMMYFUNCTION("""COMPUTED_VALUE"""),"GERENCIA GERAL DE MONITORAMENTO DE GESTAO DISTRITAL ")</f>
        <v>GERENCIA GERAL DE MONITORAMENTO DE GESTAO DISTRITAL </v>
      </c>
      <c r="G2243" s="11" t="str">
        <f>IFERROR(__xludf.DUMMYFUNCTION("""COMPUTED_VALUE"""),"GERENCIA GERAL DE MONITORAMENTO DE GESTAO DISTRITAL ")</f>
        <v>GERENCIA GERAL DE MONITORAMENTO DE GESTAO DISTRITAL </v>
      </c>
      <c r="H2243" s="11"/>
      <c r="I2243" s="11"/>
      <c r="J2243" s="11"/>
      <c r="K2243" s="11"/>
      <c r="L2243" s="11"/>
      <c r="M2243" s="11"/>
      <c r="N2243" s="30" t="str">
        <f>IFERROR(__xludf.DUMMYFUNCTION("""COMPUTED_VALUE"""),"leliammoreira@recife.pe.gov.br                         ")</f>
        <v>leliammoreira@recife.pe.gov.br                         </v>
      </c>
      <c r="O2243" s="11">
        <f>IFERROR(__xludf.DUMMYFUNCTION("""COMPUTED_VALUE"""),16686497487)</f>
        <v>16686497487</v>
      </c>
      <c r="P2243" s="11"/>
      <c r="Q2243" s="11"/>
      <c r="R2243" s="11"/>
      <c r="S2243" s="11"/>
      <c r="T2243" s="11"/>
      <c r="U2243" s="11"/>
      <c r="V2243" s="11"/>
      <c r="W2243" s="11"/>
      <c r="X2243" s="11"/>
      <c r="Y2243" s="11"/>
      <c r="Z2243" s="11"/>
    </row>
    <row r="2244" customHeight="1" spans="1:26">
      <c r="A2244" s="11" t="str">
        <f>IFERROR(__xludf.DUMMYFUNCTION("""COMPUTED_VALUE"""),"SANDRO ROBERTO LOPES")</f>
        <v>SANDRO ROBERTO LOPES</v>
      </c>
      <c r="B2244" s="11"/>
      <c r="C2244" s="11"/>
      <c r="D2244" s="11" t="str">
        <f>IFERROR(__xludf.DUMMYFUNCTION("""COMPUTED_VALUE"""),"MEDICINA DE FAMILIA E COMUNIDADE")</f>
        <v>MEDICINA DE FAMILIA E COMUNIDADE</v>
      </c>
      <c r="E2244" s="11"/>
      <c r="F2244" s="11" t="str">
        <f>IFERROR(__xludf.DUMMYFUNCTION("""COMPUTED_VALUE"""),"GERENCIA GERAL DE REGULACAO EM SAUDE")</f>
        <v>GERENCIA GERAL DE REGULACAO EM SAUDE</v>
      </c>
      <c r="G2244" s="11" t="str">
        <f>IFERROR(__xludf.DUMMYFUNCTION("""COMPUTED_VALUE"""),"GERENCIA GERAL DE REGULACAO EM SAUDE")</f>
        <v>GERENCIA GERAL DE REGULACAO EM SAUDE</v>
      </c>
      <c r="H2244" s="11"/>
      <c r="I2244" s="11"/>
      <c r="J2244" s="11"/>
      <c r="K2244" s="11"/>
      <c r="L2244" s="11"/>
      <c r="M2244" s="11"/>
      <c r="N2244" s="30" t="str">
        <f>IFERROR(__xludf.DUMMYFUNCTION("""COMPUTED_VALUE"""),"SANDROLOPES2005@GMAIL.COM")</f>
        <v>SANDROLOPES2005@GMAIL.COM</v>
      </c>
      <c r="O2244" s="11">
        <f>IFERROR(__xludf.DUMMYFUNCTION("""COMPUTED_VALUE"""),47531835487)</f>
        <v>47531835487</v>
      </c>
      <c r="P2244" s="11"/>
      <c r="Q2244" s="11"/>
      <c r="R2244" s="11"/>
      <c r="S2244" s="11"/>
      <c r="T2244" s="11"/>
      <c r="U2244" s="11"/>
      <c r="V2244" s="11"/>
      <c r="W2244" s="11"/>
      <c r="X2244" s="11"/>
      <c r="Y2244" s="11"/>
      <c r="Z2244" s="11"/>
    </row>
    <row r="2245" customHeight="1" spans="1:26">
      <c r="A2245" s="11" t="str">
        <f>IFERROR(__xludf.DUMMYFUNCTION("""COMPUTED_VALUE"""),"TATIELEM NATACHA LIMA")</f>
        <v>TATIELEM NATACHA LIMA</v>
      </c>
      <c r="B2245" s="11"/>
      <c r="C2245" s="11"/>
      <c r="D2245" s="11" t="str">
        <f>IFERROR(__xludf.DUMMYFUNCTION("""COMPUTED_VALUE"""),"MEDICINA DE FAMILIA E COMUNIDADE")</f>
        <v>MEDICINA DE FAMILIA E COMUNIDADE</v>
      </c>
      <c r="E2245" s="11"/>
      <c r="F2245" s="11" t="str">
        <f>IFERROR(__xludf.DUMMYFUNCTION("""COMPUTED_VALUE"""),"GERENCIA GERAL DE REGULACAO EM SAUDE")</f>
        <v>GERENCIA GERAL DE REGULACAO EM SAUDE</v>
      </c>
      <c r="G2245" s="11" t="str">
        <f>IFERROR(__xludf.DUMMYFUNCTION("""COMPUTED_VALUE"""),"GERENCIA GERAL DE REGULACAO EM SAUDE")</f>
        <v>GERENCIA GERAL DE REGULACAO EM SAUDE</v>
      </c>
      <c r="H2245" s="11"/>
      <c r="I2245" s="11"/>
      <c r="J2245" s="11"/>
      <c r="K2245" s="11"/>
      <c r="L2245" s="11"/>
      <c r="M2245" s="11"/>
      <c r="N2245" s="30" t="str">
        <f>IFERROR(__xludf.DUMMYFUNCTION("""COMPUTED_VALUE"""),"natachalima@bol.com.br                                 ")</f>
        <v>natachalima@bol.com.br                                 </v>
      </c>
      <c r="O2245" s="11">
        <f>IFERROR(__xludf.DUMMYFUNCTION("""COMPUTED_VALUE"""),824327403)</f>
        <v>824327403</v>
      </c>
      <c r="P2245" s="11"/>
      <c r="Q2245" s="11"/>
      <c r="R2245" s="11"/>
      <c r="S2245" s="11"/>
      <c r="T2245" s="11"/>
      <c r="U2245" s="11"/>
      <c r="V2245" s="11"/>
      <c r="W2245" s="11"/>
      <c r="X2245" s="11"/>
      <c r="Y2245" s="11"/>
      <c r="Z2245" s="11"/>
    </row>
    <row r="2246" customHeight="1" spans="1:26">
      <c r="A2246" s="11" t="str">
        <f>IFERROR(__xludf.DUMMYFUNCTION("""COMPUTED_VALUE"""),"LUCIANA SCHULER D.F.FERREIRA")</f>
        <v>LUCIANA SCHULER D.F.FERREIRA</v>
      </c>
      <c r="B2246" s="11"/>
      <c r="C2246" s="11"/>
      <c r="D2246" s="11" t="str">
        <f>IFERROR(__xludf.DUMMYFUNCTION("""COMPUTED_VALUE"""),"GINECOLOGIA E OBSTETRICIA")</f>
        <v>GINECOLOGIA E OBSTETRICIA</v>
      </c>
      <c r="E2246" s="11"/>
      <c r="F2246" s="11" t="str">
        <f>IFERROR(__xludf.DUMMYFUNCTION("""COMPUTED_VALUE"""),"GERENCIA GERAL DE MONITORAMENTO DE GESTAO DISTRITAL ")</f>
        <v>GERENCIA GERAL DE MONITORAMENTO DE GESTAO DISTRITAL </v>
      </c>
      <c r="G2246" s="11" t="str">
        <f>IFERROR(__xludf.DUMMYFUNCTION("""COMPUTED_VALUE"""),"GERENCIA GERAL DE MONITORAMENTO DE GESTAO DISTRITAL ")</f>
        <v>GERENCIA GERAL DE MONITORAMENTO DE GESTAO DISTRITAL </v>
      </c>
      <c r="H2246" s="11"/>
      <c r="I2246" s="11"/>
      <c r="J2246" s="11"/>
      <c r="K2246" s="11"/>
      <c r="L2246" s="11"/>
      <c r="M2246" s="11"/>
      <c r="N2246" s="30" t="str">
        <f>IFERROR(__xludf.DUMMYFUNCTION("""COMPUTED_VALUE"""),"LUCIANA.SCHULERDIAS@GMAIL.COM")</f>
        <v>LUCIANA.SCHULERDIAS@GMAIL.COM</v>
      </c>
      <c r="O2246" s="11">
        <f>IFERROR(__xludf.DUMMYFUNCTION("""COMPUTED_VALUE"""),91593301472)</f>
        <v>91593301472</v>
      </c>
      <c r="P2246" s="11"/>
      <c r="Q2246" s="11"/>
      <c r="R2246" s="11"/>
      <c r="S2246" s="11"/>
      <c r="T2246" s="11"/>
      <c r="U2246" s="11"/>
      <c r="V2246" s="11"/>
      <c r="W2246" s="11"/>
      <c r="X2246" s="11"/>
      <c r="Y2246" s="11"/>
      <c r="Z2246" s="11"/>
    </row>
    <row r="2247" customHeight="1" spans="1:26">
      <c r="A2247" s="11" t="str">
        <f>IFERROR(__xludf.DUMMYFUNCTION("""COMPUTED_VALUE"""),"ALBERT TENÓRIO")</f>
        <v>ALBERT TENÓRIO</v>
      </c>
      <c r="B2247" s="11"/>
      <c r="C2247" s="11"/>
      <c r="D2247" s="11"/>
      <c r="E2247" s="11"/>
      <c r="F2247" s="11"/>
      <c r="G2247" s="11" t="str">
        <f>IFERROR(__xludf.DUMMYFUNCTION("""COMPUTED_VALUE"""),"USF ALTO DO MANDU")</f>
        <v>USF ALTO DO MANDU</v>
      </c>
      <c r="H2247" s="27">
        <f>IFERROR(__xludf.DUMMYFUNCTION("""COMPUTED_VALUE"""),81979094000)</f>
        <v>81979094000</v>
      </c>
      <c r="I2247" s="11"/>
      <c r="J2247" s="11"/>
      <c r="K2247" s="24">
        <f>IFERROR(__xludf.DUMMYFUNCTION("""COMPUTED_VALUE"""),45370)</f>
        <v>45370</v>
      </c>
      <c r="L2247" s="11"/>
      <c r="M2247" s="11"/>
      <c r="N2247" s="11"/>
      <c r="O2247" s="11"/>
      <c r="P2247" s="11"/>
      <c r="Q2247" s="11"/>
      <c r="R2247" s="11"/>
      <c r="S2247" s="11"/>
      <c r="T2247" s="11"/>
      <c r="U2247" s="11"/>
      <c r="V2247" s="11"/>
      <c r="W2247" s="11"/>
      <c r="X2247" s="11"/>
      <c r="Y2247" s="11"/>
      <c r="Z2247" s="11"/>
    </row>
    <row r="2248" customHeight="1" spans="1:26">
      <c r="A2248" s="11" t="str">
        <f>IFERROR(__xludf.DUMMYFUNCTION("""COMPUTED_VALUE"""),"ERIKA SIQUEIRA DA SILVA")</f>
        <v>ERIKA SIQUEIRA DA SILVA</v>
      </c>
      <c r="B2248" s="11"/>
      <c r="C2248" s="11"/>
      <c r="D2248" s="11" t="str">
        <f>IFERROR(__xludf.DUMMYFUNCTION("""COMPUTED_VALUE"""),"MEDICINA DE FAMILIA E COMUNIDADE")</f>
        <v>MEDICINA DE FAMILIA E COMUNIDADE</v>
      </c>
      <c r="E2248" s="11"/>
      <c r="F2248" s="11" t="str">
        <f>IFERROR(__xludf.DUMMYFUNCTION("""COMPUTED_VALUE"""),"SERMAC")</f>
        <v>SERMAC</v>
      </c>
      <c r="G2248" s="11" t="str">
        <f>IFERROR(__xludf.DUMMYFUNCTION("""COMPUTED_VALUE"""),"USF ALTO DO MANDU")</f>
        <v>USF ALTO DO MANDU</v>
      </c>
      <c r="H2248" s="27">
        <f>IFERROR(__xludf.DUMMYFUNCTION("""COMPUTED_VALUE"""),81996498464)</f>
        <v>81996498464</v>
      </c>
      <c r="I2248" s="11"/>
      <c r="J2248" s="11"/>
      <c r="K2248" s="11"/>
      <c r="L2248" s="11"/>
      <c r="M2248" s="11"/>
      <c r="N2248" s="30" t="str">
        <f>IFERROR(__xludf.DUMMYFUNCTION("""COMPUTED_VALUE"""),"siqerika@hotmail.com")</f>
        <v>siqerika@hotmail.com</v>
      </c>
      <c r="O2248" s="11">
        <f>IFERROR(__xludf.DUMMYFUNCTION("""COMPUTED_VALUE"""),4900783463)</f>
        <v>4900783463</v>
      </c>
      <c r="P2248" s="11"/>
      <c r="Q2248" s="11"/>
      <c r="R2248" s="11"/>
      <c r="S2248" s="11"/>
      <c r="T2248" s="11"/>
      <c r="U2248" s="11"/>
      <c r="V2248" s="11"/>
      <c r="W2248" s="11"/>
      <c r="X2248" s="11"/>
      <c r="Y2248" s="11"/>
      <c r="Z2248" s="11"/>
    </row>
    <row r="2249" customHeight="1" spans="1:26">
      <c r="A2249" s="11" t="str">
        <f>IFERROR(__xludf.DUMMYFUNCTION("""COMPUTED_VALUE"""),"LORENA MACHADO MOREIRA")</f>
        <v>LORENA MACHADO MOREIRA</v>
      </c>
      <c r="B2249" s="11"/>
      <c r="C2249" s="11"/>
      <c r="D2249" s="11" t="str">
        <f>IFERROR(__xludf.DUMMYFUNCTION("""COMPUTED_VALUE"""),"CLINICA GERAL")</f>
        <v>CLINICA GERAL</v>
      </c>
      <c r="E2249" s="11"/>
      <c r="F2249" s="11" t="str">
        <f>IFERROR(__xludf.DUMMYFUNCTION("""COMPUTED_VALUE"""),"GERENCIA GERAL DE REGULACAO EM SAUDE")</f>
        <v>GERENCIA GERAL DE REGULACAO EM SAUDE</v>
      </c>
      <c r="G2249" s="11" t="str">
        <f>IFERROR(__xludf.DUMMYFUNCTION("""COMPUTED_VALUE"""),"GERENCIA GERAL DE REGULACAO EM SAUDE")</f>
        <v>GERENCIA GERAL DE REGULACAO EM SAUDE</v>
      </c>
      <c r="H2249" s="11"/>
      <c r="I2249" s="11"/>
      <c r="J2249" s="11"/>
      <c r="K2249" s="11"/>
      <c r="L2249" s="11"/>
      <c r="M2249" s="11"/>
      <c r="N2249" s="30" t="str">
        <f>IFERROR(__xludf.DUMMYFUNCTION("""COMPUTED_VALUE"""),"lorenammpe@gmail.com")</f>
        <v>lorenammpe@gmail.com</v>
      </c>
      <c r="O2249" s="11">
        <f>IFERROR(__xludf.DUMMYFUNCTION("""COMPUTED_VALUE"""),3878328400)</f>
        <v>3878328400</v>
      </c>
      <c r="P2249" s="11"/>
      <c r="Q2249" s="11"/>
      <c r="R2249" s="11"/>
      <c r="S2249" s="11"/>
      <c r="T2249" s="11"/>
      <c r="U2249" s="11"/>
      <c r="V2249" s="11"/>
      <c r="W2249" s="11"/>
      <c r="X2249" s="11"/>
      <c r="Y2249" s="11"/>
      <c r="Z2249" s="11"/>
    </row>
    <row r="2250" customHeight="1" spans="1:26">
      <c r="A2250" s="11" t="str">
        <f>IFERROR(__xludf.DUMMYFUNCTION("""COMPUTED_VALUE"""),"MARIA DAS GRACAS S CAVALCANTE")</f>
        <v>MARIA DAS GRACAS S CAVALCANTE</v>
      </c>
      <c r="B2250" s="11"/>
      <c r="C2250" s="11"/>
      <c r="D2250" s="11" t="str">
        <f>IFERROR(__xludf.DUMMYFUNCTION("""COMPUTED_VALUE"""),"MEDICINA DE FAMILIA E COMUNIDADE")</f>
        <v>MEDICINA DE FAMILIA E COMUNIDADE</v>
      </c>
      <c r="E2250" s="11"/>
      <c r="F2250" s="11" t="str">
        <f>IFERROR(__xludf.DUMMYFUNCTION("""COMPUTED_VALUE"""),"GERENCIA GERAL DE MONITORAMENTO DE GESTAO DISTRITAL ")</f>
        <v>GERENCIA GERAL DE MONITORAMENTO DE GESTAO DISTRITAL </v>
      </c>
      <c r="G2250" s="11" t="str">
        <f>IFERROR(__xludf.DUMMYFUNCTION("""COMPUTED_VALUE"""),"GERENCIA GERAL DE MONITORAMENTO DE GESTAO DISTRITAL ")</f>
        <v>GERENCIA GERAL DE MONITORAMENTO DE GESTAO DISTRITAL </v>
      </c>
      <c r="H2250" s="11"/>
      <c r="I2250" s="11"/>
      <c r="J2250" s="11"/>
      <c r="K2250" s="11"/>
      <c r="L2250" s="11"/>
      <c r="M2250" s="11"/>
      <c r="N2250" s="30" t="str">
        <f>IFERROR(__xludf.DUMMYFUNCTION("""COMPUTED_VALUE"""),"mgsc1207@gmail.com")</f>
        <v>mgsc1207@gmail.com</v>
      </c>
      <c r="O2250" s="11">
        <f>IFERROR(__xludf.DUMMYFUNCTION("""COMPUTED_VALUE"""),10224092472)</f>
        <v>10224092472</v>
      </c>
      <c r="P2250" s="11"/>
      <c r="Q2250" s="11"/>
      <c r="R2250" s="11"/>
      <c r="S2250" s="11"/>
      <c r="T2250" s="11"/>
      <c r="U2250" s="11"/>
      <c r="V2250" s="11"/>
      <c r="W2250" s="11"/>
      <c r="X2250" s="11"/>
      <c r="Y2250" s="11"/>
      <c r="Z2250" s="11"/>
    </row>
    <row r="2251" customHeight="1" spans="1:26">
      <c r="A2251" s="11" t="str">
        <f>IFERROR(__xludf.DUMMYFUNCTION("""COMPUTED_VALUE"""),"HAYANA M DO A R DE ALCANTARA")</f>
        <v>HAYANA M DO A R DE ALCANTARA</v>
      </c>
      <c r="B2251" s="11"/>
      <c r="C2251" s="11"/>
      <c r="D2251" s="11" t="str">
        <f>IFERROR(__xludf.DUMMYFUNCTION("""COMPUTED_VALUE"""),"OFTALMOLOGIA")</f>
        <v>OFTALMOLOGIA</v>
      </c>
      <c r="E2251" s="11"/>
      <c r="F2251" s="11" t="str">
        <f>IFERROR(__xludf.DUMMYFUNCTION("""COMPUTED_VALUE"""),"GERENCIA GERAL DE REGULACAO EM SAUDE")</f>
        <v>GERENCIA GERAL DE REGULACAO EM SAUDE</v>
      </c>
      <c r="G2251" s="11" t="str">
        <f>IFERROR(__xludf.DUMMYFUNCTION("""COMPUTED_VALUE"""),"GERENCIA GERAL DE REGULACAO EM SAUDE")</f>
        <v>GERENCIA GERAL DE REGULACAO EM SAUDE</v>
      </c>
      <c r="H2251" s="11"/>
      <c r="I2251" s="11"/>
      <c r="J2251" s="11"/>
      <c r="K2251" s="11"/>
      <c r="L2251" s="11"/>
      <c r="M2251" s="11"/>
      <c r="N2251" s="30" t="str">
        <f>IFERROR(__xludf.DUMMYFUNCTION("""COMPUTED_VALUE"""),"HAYANARANGEL@YAHOO.COM.BR")</f>
        <v>HAYANARANGEL@YAHOO.COM.BR</v>
      </c>
      <c r="O2251" s="11">
        <f>IFERROR(__xludf.DUMMYFUNCTION("""COMPUTED_VALUE"""),5552670400)</f>
        <v>5552670400</v>
      </c>
      <c r="P2251" s="11"/>
      <c r="Q2251" s="11"/>
      <c r="R2251" s="11"/>
      <c r="S2251" s="11"/>
      <c r="T2251" s="11"/>
      <c r="U2251" s="11"/>
      <c r="V2251" s="11"/>
      <c r="W2251" s="11"/>
      <c r="X2251" s="11"/>
      <c r="Y2251" s="11"/>
      <c r="Z2251" s="11"/>
    </row>
    <row r="2252" customHeight="1" spans="1:26">
      <c r="A2252" s="11" t="str">
        <f>IFERROR(__xludf.DUMMYFUNCTION("""COMPUTED_VALUE"""),"ANA PAULA BRAZ DE A CAVALCANTE")</f>
        <v>ANA PAULA BRAZ DE A CAVALCANTE</v>
      </c>
      <c r="B2252" s="11"/>
      <c r="C2252" s="11"/>
      <c r="D2252" s="11" t="str">
        <f>IFERROR(__xludf.DUMMYFUNCTION("""COMPUTED_VALUE"""),"CLINICA MEDICA")</f>
        <v>CLINICA MEDICA</v>
      </c>
      <c r="E2252" s="11"/>
      <c r="F2252" s="11" t="str">
        <f>IFERROR(__xludf.DUMMYFUNCTION("""COMPUTED_VALUE"""),"ATENDE EM CASA")</f>
        <v>ATENDE EM CASA</v>
      </c>
      <c r="G2252" s="11" t="str">
        <f>IFERROR(__xludf.DUMMYFUNCTION("""COMPUTED_VALUE"""),"ATENDE EM CASA")</f>
        <v>ATENDE EM CASA</v>
      </c>
      <c r="H2252" s="11"/>
      <c r="I2252" s="11"/>
      <c r="J2252" s="11"/>
      <c r="K2252" s="11"/>
      <c r="L2252" s="11"/>
      <c r="M2252" s="11"/>
      <c r="N2252" s="30" t="str">
        <f>IFERROR(__xludf.DUMMYFUNCTION("""COMPUTED_VALUE"""),"APBALMEIDA76@HOTMAIL.COM")</f>
        <v>APBALMEIDA76@HOTMAIL.COM</v>
      </c>
      <c r="O2252" s="11">
        <f>IFERROR(__xludf.DUMMYFUNCTION("""COMPUTED_VALUE"""),2560757435)</f>
        <v>2560757435</v>
      </c>
      <c r="P2252" s="11"/>
      <c r="Q2252" s="11"/>
      <c r="R2252" s="11"/>
      <c r="S2252" s="11"/>
      <c r="T2252" s="11"/>
      <c r="U2252" s="11"/>
      <c r="V2252" s="11"/>
      <c r="W2252" s="11"/>
      <c r="X2252" s="11"/>
      <c r="Y2252" s="11"/>
      <c r="Z2252" s="11"/>
    </row>
    <row r="2253" customHeight="1" spans="1:26">
      <c r="A2253" s="11" t="str">
        <f>IFERROR(__xludf.DUMMYFUNCTION("""COMPUTED_VALUE"""),"LORENA MACHADO MOREIRA")</f>
        <v>LORENA MACHADO MOREIRA</v>
      </c>
      <c r="B2253" s="11"/>
      <c r="C2253" s="11"/>
      <c r="D2253" s="11" t="str">
        <f>IFERROR(__xludf.DUMMYFUNCTION("""COMPUTED_VALUE"""),"CLINICA MEDICA")</f>
        <v>CLINICA MEDICA</v>
      </c>
      <c r="E2253" s="11"/>
      <c r="F2253" s="11" t="str">
        <f>IFERROR(__xludf.DUMMYFUNCTION("""COMPUTED_VALUE"""),"GERENCIA GERAL DE REGULACAO EM SAUDE")</f>
        <v>GERENCIA GERAL DE REGULACAO EM SAUDE</v>
      </c>
      <c r="G2253" s="11" t="str">
        <f>IFERROR(__xludf.DUMMYFUNCTION("""COMPUTED_VALUE"""),"GERENCIA GERAL DE REGULACAO EM SAUDE")</f>
        <v>GERENCIA GERAL DE REGULACAO EM SAUDE</v>
      </c>
      <c r="H2253" s="11"/>
      <c r="I2253" s="11"/>
      <c r="J2253" s="11"/>
      <c r="K2253" s="11"/>
      <c r="L2253" s="11"/>
      <c r="M2253" s="11"/>
      <c r="N2253" s="30" t="str">
        <f>IFERROR(__xludf.DUMMYFUNCTION("""COMPUTED_VALUE"""),"lorenammpe@gmail.com")</f>
        <v>lorenammpe@gmail.com</v>
      </c>
      <c r="O2253" s="11">
        <f>IFERROR(__xludf.DUMMYFUNCTION("""COMPUTED_VALUE"""),3878328400)</f>
        <v>3878328400</v>
      </c>
      <c r="P2253" s="11"/>
      <c r="Q2253" s="11"/>
      <c r="R2253" s="11"/>
      <c r="S2253" s="11"/>
      <c r="T2253" s="11"/>
      <c r="U2253" s="11"/>
      <c r="V2253" s="11"/>
      <c r="W2253" s="11"/>
      <c r="X2253" s="11"/>
      <c r="Y2253" s="11"/>
      <c r="Z2253" s="11"/>
    </row>
    <row r="2254" customHeight="1" spans="1:26">
      <c r="A2254" s="11" t="str">
        <f>IFERROR(__xludf.DUMMYFUNCTION("""COMPUTED_VALUE"""),"ANA IVIDY ANDRADA DINIZ")</f>
        <v>ANA IVIDY ANDRADA DINIZ</v>
      </c>
      <c r="B2254" s="11"/>
      <c r="C2254" s="11"/>
      <c r="D2254" s="11" t="str">
        <f>IFERROR(__xludf.DUMMYFUNCTION("""COMPUTED_VALUE"""),"CLINICA MEDICA")</f>
        <v>CLINICA MEDICA</v>
      </c>
      <c r="E2254" s="11"/>
      <c r="F2254" s="11" t="str">
        <f>IFERROR(__xludf.DUMMYFUNCTION("""COMPUTED_VALUE"""),"")</f>
        <v/>
      </c>
      <c r="G2254" s="11" t="str">
        <f>IFERROR(__xludf.DUMMYFUNCTION("""COMPUTED_VALUE"""),"")</f>
        <v/>
      </c>
      <c r="H2254" s="11"/>
      <c r="I2254" s="11"/>
      <c r="J2254" s="11"/>
      <c r="K2254" s="11"/>
      <c r="L2254" s="11"/>
      <c r="M2254" s="11"/>
      <c r="N2254" s="11"/>
      <c r="O2254" s="11"/>
      <c r="P2254" s="11"/>
      <c r="Q2254" s="11"/>
      <c r="R2254" s="11"/>
      <c r="S2254" s="11"/>
      <c r="T2254" s="11"/>
      <c r="U2254" s="11"/>
      <c r="V2254" s="11"/>
      <c r="W2254" s="11"/>
      <c r="X2254" s="11"/>
      <c r="Y2254" s="11"/>
      <c r="Z2254" s="11"/>
    </row>
    <row r="2255" customHeight="1" spans="1:26">
      <c r="A2255" s="11" t="str">
        <f>IFERROR(__xludf.DUMMYFUNCTION("""COMPUTED_VALUE"""),"CAROLINA ARRUDA ASFORA")</f>
        <v>CAROLINA ARRUDA ASFORA</v>
      </c>
      <c r="B2255" s="11"/>
      <c r="C2255" s="11"/>
      <c r="D2255" s="11" t="str">
        <f>IFERROR(__xludf.DUMMYFUNCTION("""COMPUTED_VALUE"""),"CLINICA MEDICA")</f>
        <v>CLINICA MEDICA</v>
      </c>
      <c r="E2255" s="11"/>
      <c r="F2255" s="11" t="str">
        <f>IFERROR(__xludf.DUMMYFUNCTION("""COMPUTED_VALUE"""),"")</f>
        <v/>
      </c>
      <c r="G2255" s="11" t="str">
        <f>IFERROR(__xludf.DUMMYFUNCTION("""COMPUTED_VALUE"""),"")</f>
        <v/>
      </c>
      <c r="H2255" s="11"/>
      <c r="I2255" s="11"/>
      <c r="J2255" s="11"/>
      <c r="K2255" s="11"/>
      <c r="L2255" s="11"/>
      <c r="M2255" s="11"/>
      <c r="N2255" s="11"/>
      <c r="O2255" s="11"/>
      <c r="P2255" s="11"/>
      <c r="Q2255" s="11"/>
      <c r="R2255" s="11"/>
      <c r="S2255" s="11"/>
      <c r="T2255" s="11"/>
      <c r="U2255" s="11"/>
      <c r="V2255" s="11"/>
      <c r="W2255" s="11"/>
      <c r="X2255" s="11"/>
      <c r="Y2255" s="11"/>
      <c r="Z2255" s="11"/>
    </row>
    <row r="2256" customHeight="1" spans="1:26">
      <c r="A2256" s="11" t="str">
        <f>IFERROR(__xludf.DUMMYFUNCTION("""COMPUTED_VALUE"""),"CARLOS EDUARDO JERONIMO DA SILVA")</f>
        <v>CARLOS EDUARDO JERONIMO DA SILVA</v>
      </c>
      <c r="B2256" s="11"/>
      <c r="C2256" s="11"/>
      <c r="D2256" s="11" t="str">
        <f>IFERROR(__xludf.DUMMYFUNCTION("""COMPUTED_VALUE"""),"CLINICA MEDICA")</f>
        <v>CLINICA MEDICA</v>
      </c>
      <c r="E2256" s="11"/>
      <c r="F2256" s="11" t="str">
        <f>IFERROR(__xludf.DUMMYFUNCTION("""COMPUTED_VALUE"""),"")</f>
        <v/>
      </c>
      <c r="G2256" s="11" t="str">
        <f>IFERROR(__xludf.DUMMYFUNCTION("""COMPUTED_VALUE"""),"")</f>
        <v/>
      </c>
      <c r="H2256" s="11"/>
      <c r="I2256" s="11"/>
      <c r="J2256" s="11"/>
      <c r="K2256" s="11"/>
      <c r="L2256" s="11"/>
      <c r="M2256" s="11"/>
      <c r="N2256" s="11"/>
      <c r="O2256" s="11"/>
      <c r="P2256" s="11"/>
      <c r="Q2256" s="11"/>
      <c r="R2256" s="11"/>
      <c r="S2256" s="11"/>
      <c r="T2256" s="11"/>
      <c r="U2256" s="11"/>
      <c r="V2256" s="11"/>
      <c r="W2256" s="11"/>
      <c r="X2256" s="11"/>
      <c r="Y2256" s="11"/>
      <c r="Z2256" s="11"/>
    </row>
    <row r="2257" customHeight="1" spans="1:26">
      <c r="A2257" s="11" t="str">
        <f>IFERROR(__xludf.DUMMYFUNCTION("""COMPUTED_VALUE"""),"LUCAS MEDEIROS DE ARAÚJO LIRA")</f>
        <v>LUCAS MEDEIROS DE ARAÚJO LIRA</v>
      </c>
      <c r="B2257" s="11"/>
      <c r="C2257" s="11"/>
      <c r="D2257" s="11" t="str">
        <f>IFERROR(__xludf.DUMMYFUNCTION("""COMPUTED_VALUE"""),"CLINICA MEDICA")</f>
        <v>CLINICA MEDICA</v>
      </c>
      <c r="E2257" s="11"/>
      <c r="F2257" s="11" t="str">
        <f>IFERROR(__xludf.DUMMYFUNCTION("""COMPUTED_VALUE"""),"")</f>
        <v/>
      </c>
      <c r="G2257" s="11" t="str">
        <f>IFERROR(__xludf.DUMMYFUNCTION("""COMPUTED_VALUE"""),"")</f>
        <v/>
      </c>
      <c r="H2257" s="11"/>
      <c r="I2257" s="11"/>
      <c r="J2257" s="11"/>
      <c r="K2257" s="11"/>
      <c r="L2257" s="11"/>
      <c r="M2257" s="11"/>
      <c r="N2257" s="11"/>
      <c r="O2257" s="11"/>
      <c r="P2257" s="11"/>
      <c r="Q2257" s="11"/>
      <c r="R2257" s="11"/>
      <c r="S2257" s="11"/>
      <c r="T2257" s="11"/>
      <c r="U2257" s="11"/>
      <c r="V2257" s="11"/>
      <c r="W2257" s="11"/>
      <c r="X2257" s="11"/>
      <c r="Y2257" s="11"/>
      <c r="Z2257" s="11"/>
    </row>
    <row r="2258" customHeight="1" spans="1:26">
      <c r="A2258" s="11" t="str">
        <f>IFERROR(__xludf.DUMMYFUNCTION("""COMPUTED_VALUE"""),"MARÍLIA ALBUQUERQUE CASTRO")</f>
        <v>MARÍLIA ALBUQUERQUE CASTRO</v>
      </c>
      <c r="B2258" s="11"/>
      <c r="C2258" s="11"/>
      <c r="D2258" s="11" t="str">
        <f>IFERROR(__xludf.DUMMYFUNCTION("""COMPUTED_VALUE"""),"CLINICA MEDICA")</f>
        <v>CLINICA MEDICA</v>
      </c>
      <c r="E2258" s="11"/>
      <c r="F2258" s="11" t="str">
        <f>IFERROR(__xludf.DUMMYFUNCTION("""COMPUTED_VALUE"""),"")</f>
        <v/>
      </c>
      <c r="G2258" s="11" t="str">
        <f>IFERROR(__xludf.DUMMYFUNCTION("""COMPUTED_VALUE"""),"")</f>
        <v/>
      </c>
      <c r="H2258" s="11"/>
      <c r="I2258" s="11"/>
      <c r="J2258" s="11"/>
      <c r="K2258" s="11"/>
      <c r="L2258" s="11"/>
      <c r="M2258" s="11"/>
      <c r="N2258" s="11"/>
      <c r="O2258" s="11"/>
      <c r="P2258" s="11"/>
      <c r="Q2258" s="11"/>
      <c r="R2258" s="11"/>
      <c r="S2258" s="11"/>
      <c r="T2258" s="11"/>
      <c r="U2258" s="11"/>
      <c r="V2258" s="11"/>
      <c r="W2258" s="11"/>
      <c r="X2258" s="11"/>
      <c r="Y2258" s="11"/>
      <c r="Z2258" s="11"/>
    </row>
    <row r="2259" customHeight="1" spans="1:26">
      <c r="A2259" s="11" t="str">
        <f>IFERROR(__xludf.DUMMYFUNCTION("""COMPUTED_VALUE"""),"PATRICIA BEZERRA NEGROMONTE")</f>
        <v>PATRICIA BEZERRA NEGROMONTE</v>
      </c>
      <c r="B2259" s="11"/>
      <c r="C2259" s="11"/>
      <c r="D2259" s="11" t="str">
        <f>IFERROR(__xludf.DUMMYFUNCTION("""COMPUTED_VALUE"""),"PEDIATRIA")</f>
        <v>PEDIATRIA</v>
      </c>
      <c r="E2259" s="11"/>
      <c r="F2259" s="11" t="str">
        <f>IFERROR(__xludf.DUMMYFUNCTION("""COMPUTED_VALUE"""),"US_163 HOSPITAL DE PEDIATRIA HELENA MOURA")</f>
        <v>US_163 HOSPITAL DE PEDIATRIA HELENA MOURA</v>
      </c>
      <c r="G2259" s="11" t="str">
        <f>IFERROR(__xludf.DUMMYFUNCTION("""COMPUTED_VALUE"""),"US_163 HOSPITAL DE PEDIATRIA HELENA MOURA")</f>
        <v>US_163 HOSPITAL DE PEDIATRIA HELENA MOURA</v>
      </c>
      <c r="H2259" s="11"/>
      <c r="I2259" s="11"/>
      <c r="J2259" s="11"/>
      <c r="K2259" s="11"/>
      <c r="L2259" s="11"/>
      <c r="M2259" s="11"/>
      <c r="N2259" s="30" t="str">
        <f>IFERROR(__xludf.DUMMYFUNCTION("""COMPUTED_VALUE"""),"patricianegromonte@hotmail.com")</f>
        <v>patricianegromonte@hotmail.com</v>
      </c>
      <c r="O2259" s="11">
        <f>IFERROR(__xludf.DUMMYFUNCTION("""COMPUTED_VALUE"""),75417782491)</f>
        <v>75417782491</v>
      </c>
      <c r="P2259" s="11"/>
      <c r="Q2259" s="11"/>
      <c r="R2259" s="11"/>
      <c r="S2259" s="11"/>
      <c r="T2259" s="11"/>
      <c r="U2259" s="11"/>
      <c r="V2259" s="11"/>
      <c r="W2259" s="11"/>
      <c r="X2259" s="11"/>
      <c r="Y2259" s="11"/>
      <c r="Z2259" s="11"/>
    </row>
    <row r="2260" customHeight="1" spans="1:26">
      <c r="A2260" s="11" t="str">
        <f>IFERROR(__xludf.DUMMYFUNCTION("""COMPUTED_VALUE"""),"DILMA TORRES")</f>
        <v>DILMA TORRES</v>
      </c>
      <c r="B2260" s="11"/>
      <c r="C2260" s="11"/>
      <c r="D2260" s="11" t="str">
        <f>IFERROR(__xludf.DUMMYFUNCTION("""COMPUTED_VALUE"""),"RADIOLOGIA E DIAGNOSTICO POR IMAGEM")</f>
        <v>RADIOLOGIA E DIAGNOSTICO POR IMAGEM</v>
      </c>
      <c r="E2260" s="11"/>
      <c r="F2260" s="11" t="str">
        <f>IFERROR(__xludf.DUMMYFUNCTION("""COMPUTED_VALUE"""),"US_163 HOSPITAL DE PEDIATRIA HELENA MOURA")</f>
        <v>US_163 HOSPITAL DE PEDIATRIA HELENA MOURA</v>
      </c>
      <c r="G2260" s="11" t="str">
        <f>IFERROR(__xludf.DUMMYFUNCTION("""COMPUTED_VALUE"""),"US_162 POLICLINICA ALBERT SABIN")</f>
        <v>US_162 POLICLINICA ALBERT SABIN</v>
      </c>
      <c r="H2260" s="11"/>
      <c r="I2260" s="11"/>
      <c r="J2260" s="11"/>
      <c r="K2260" s="11"/>
      <c r="L2260" s="11"/>
      <c r="M2260" s="11"/>
      <c r="N2260" s="30" t="str">
        <f>IFERROR(__xludf.DUMMYFUNCTION("""COMPUTED_VALUE"""),"torres.dilma1@gmail.com")</f>
        <v>torres.dilma1@gmail.com</v>
      </c>
      <c r="O2260" s="11">
        <f>IFERROR(__xludf.DUMMYFUNCTION("""COMPUTED_VALUE"""),73320889400)</f>
        <v>73320889400</v>
      </c>
      <c r="P2260" s="11"/>
      <c r="Q2260" s="11"/>
      <c r="R2260" s="11"/>
      <c r="S2260" s="11"/>
      <c r="T2260" s="11"/>
      <c r="U2260" s="11"/>
      <c r="V2260" s="11"/>
      <c r="W2260" s="11"/>
      <c r="X2260" s="11"/>
      <c r="Y2260" s="11"/>
      <c r="Z2260" s="11"/>
    </row>
    <row r="2261" customHeight="1" spans="1:26">
      <c r="A2261" s="11" t="str">
        <f>IFERROR(__xludf.DUMMYFUNCTION("""COMPUTED_VALUE"""),"MARCIO FERNANDO T DE SOUZA")</f>
        <v>MARCIO FERNANDO T DE SOUZA</v>
      </c>
      <c r="B2261" s="11"/>
      <c r="C2261" s="11"/>
      <c r="D2261" s="11" t="str">
        <f>IFERROR(__xludf.DUMMYFUNCTION("""COMPUTED_VALUE"""),"PEDIATRIA")</f>
        <v>PEDIATRIA</v>
      </c>
      <c r="E2261" s="11"/>
      <c r="F2261" s="11" t="str">
        <f>IFERROR(__xludf.DUMMYFUNCTION("""COMPUTED_VALUE"""),"US_163 HOSPITAL DE PEDIATRIA HELENA MOURA")</f>
        <v>US_163 HOSPITAL DE PEDIATRIA HELENA MOURA</v>
      </c>
      <c r="G2261" s="11" t="str">
        <f>IFERROR(__xludf.DUMMYFUNCTION("""COMPUTED_VALUE"""),"US_162 POLICLINICA ALBERT SABIN")</f>
        <v>US_162 POLICLINICA ALBERT SABIN</v>
      </c>
      <c r="H2261" s="11"/>
      <c r="I2261" s="11"/>
      <c r="J2261" s="11"/>
      <c r="K2261" s="11"/>
      <c r="L2261" s="11"/>
      <c r="M2261" s="11"/>
      <c r="N2261" s="30" t="str">
        <f>IFERROR(__xludf.DUMMYFUNCTION("""COMPUTED_VALUE"""),"marciotsouza@gmail.com")</f>
        <v>marciotsouza@gmail.com</v>
      </c>
      <c r="O2261" s="11">
        <f>IFERROR(__xludf.DUMMYFUNCTION("""COMPUTED_VALUE"""),46258116434)</f>
        <v>46258116434</v>
      </c>
      <c r="P2261" s="11"/>
      <c r="Q2261" s="11"/>
      <c r="R2261" s="11"/>
      <c r="S2261" s="11"/>
      <c r="T2261" s="11"/>
      <c r="U2261" s="11"/>
      <c r="V2261" s="11"/>
      <c r="W2261" s="11"/>
      <c r="X2261" s="11"/>
      <c r="Y2261" s="11"/>
      <c r="Z2261" s="11"/>
    </row>
    <row r="2262" customHeight="1" spans="1:26">
      <c r="A2262" s="11" t="str">
        <f>IFERROR(__xludf.DUMMYFUNCTION("""COMPUTED_VALUE"""),"SERGIO DENIZARD SA B BARROS")</f>
        <v>SERGIO DENIZARD SA B BARROS</v>
      </c>
      <c r="B2262" s="11"/>
      <c r="C2262" s="11"/>
      <c r="D2262" s="11" t="str">
        <f>IFERROR(__xludf.DUMMYFUNCTION("""COMPUTED_VALUE"""),"PEDIATRIA")</f>
        <v>PEDIATRIA</v>
      </c>
      <c r="E2262" s="11"/>
      <c r="F2262" s="11" t="str">
        <f>IFERROR(__xludf.DUMMYFUNCTION("""COMPUTED_VALUE"""),"US_163 HOSPITAL DE PEDIATRIA HELENA MOURA")</f>
        <v>US_163 HOSPITAL DE PEDIATRIA HELENA MOURA</v>
      </c>
      <c r="G2262" s="11" t="str">
        <f>IFERROR(__xludf.DUMMYFUNCTION("""COMPUTED_VALUE"""),"US_153 POLICLINICA E MATERNIDADE ARNALDO MARQUES")</f>
        <v>US_153 POLICLINICA E MATERNIDADE ARNALDO MARQUES</v>
      </c>
      <c r="H2262" s="11"/>
      <c r="I2262" s="11"/>
      <c r="J2262" s="11"/>
      <c r="K2262" s="11"/>
      <c r="L2262" s="11"/>
      <c r="M2262" s="11"/>
      <c r="N2262" s="30" t="str">
        <f>IFERROR(__xludf.DUMMYFUNCTION("""COMPUTED_VALUE"""),"SERGIODENIZARD@BOL.COM.BR")</f>
        <v>SERGIODENIZARD@BOL.COM.BR</v>
      </c>
      <c r="O2262" s="11">
        <f>IFERROR(__xludf.DUMMYFUNCTION("""COMPUTED_VALUE"""),6206220400)</f>
        <v>6206220400</v>
      </c>
      <c r="P2262" s="11"/>
      <c r="Q2262" s="11"/>
      <c r="R2262" s="11"/>
      <c r="S2262" s="11"/>
      <c r="T2262" s="11"/>
      <c r="U2262" s="11"/>
      <c r="V2262" s="11"/>
      <c r="W2262" s="11"/>
      <c r="X2262" s="11"/>
      <c r="Y2262" s="11"/>
      <c r="Z2262" s="11"/>
    </row>
    <row r="2263" customHeight="1" spans="1:26">
      <c r="A2263" s="11" t="str">
        <f>IFERROR(__xludf.DUMMYFUNCTION("""COMPUTED_VALUE"""),"IONETE DE FATIMA M PESSOA")</f>
        <v>IONETE DE FATIMA M PESSOA</v>
      </c>
      <c r="B2263" s="11"/>
      <c r="C2263" s="11"/>
      <c r="D2263" s="11" t="str">
        <f>IFERROR(__xludf.DUMMYFUNCTION("""COMPUTED_VALUE"""),"PEDIATRIA")</f>
        <v>PEDIATRIA</v>
      </c>
      <c r="E2263" s="11"/>
      <c r="F2263" s="11" t="str">
        <f>IFERROR(__xludf.DUMMYFUNCTION("""COMPUTED_VALUE"""),"US_163 HOSPITAL DE PEDIATRIA HELENA MOURA")</f>
        <v>US_163 HOSPITAL DE PEDIATRIA HELENA MOURA</v>
      </c>
      <c r="G2263" s="11" t="str">
        <f>IFERROR(__xludf.DUMMYFUNCTION("""COMPUTED_VALUE"""),"US_153 POLICLINICA E MATERNIDADE ARNALDO MARQUES")</f>
        <v>US_153 POLICLINICA E MATERNIDADE ARNALDO MARQUES</v>
      </c>
      <c r="H2263" s="11"/>
      <c r="I2263" s="11"/>
      <c r="J2263" s="11"/>
      <c r="K2263" s="11"/>
      <c r="L2263" s="11"/>
      <c r="M2263" s="11"/>
      <c r="N2263" s="30" t="str">
        <f>IFERROR(__xludf.DUMMYFUNCTION("""COMPUTED_VALUE"""),"ifatimapessoa@hotmail.com                              ")</f>
        <v>ifatimapessoa@hotmail.com                              </v>
      </c>
      <c r="O2263" s="11">
        <f>IFERROR(__xludf.DUMMYFUNCTION("""COMPUTED_VALUE"""),13850520404)</f>
        <v>13850520404</v>
      </c>
      <c r="P2263" s="11"/>
      <c r="Q2263" s="11"/>
      <c r="R2263" s="11"/>
      <c r="S2263" s="11"/>
      <c r="T2263" s="11"/>
      <c r="U2263" s="11"/>
      <c r="V2263" s="11"/>
      <c r="W2263" s="11"/>
      <c r="X2263" s="11"/>
      <c r="Y2263" s="11"/>
      <c r="Z2263" s="11"/>
    </row>
    <row r="2264" customHeight="1" spans="1:26">
      <c r="A2264" s="11" t="str">
        <f>IFERROR(__xludf.DUMMYFUNCTION("""COMPUTED_VALUE"""),"MARIA LUCIA RODRIGUES MACHADO")</f>
        <v>MARIA LUCIA RODRIGUES MACHADO</v>
      </c>
      <c r="B2264" s="11"/>
      <c r="C2264" s="11"/>
      <c r="D2264" s="11" t="str">
        <f>IFERROR(__xludf.DUMMYFUNCTION("""COMPUTED_VALUE"""),"NEUROLOGIA PEDIATRICA")</f>
        <v>NEUROLOGIA PEDIATRICA</v>
      </c>
      <c r="E2264" s="11"/>
      <c r="F2264" s="11" t="str">
        <f>IFERROR(__xludf.DUMMYFUNCTION("""COMPUTED_VALUE"""),"US_163 HOSPITAL DE PEDIATRIA HELENA MOURA")</f>
        <v>US_163 HOSPITAL DE PEDIATRIA HELENA MOURA</v>
      </c>
      <c r="G2264" s="11" t="str">
        <f>IFERROR(__xludf.DUMMYFUNCTION("""COMPUTED_VALUE"""),"US_153 POLICLINICA E MATERNIDADE ARNALDO MARQUES")</f>
        <v>US_153 POLICLINICA E MATERNIDADE ARNALDO MARQUES</v>
      </c>
      <c r="H2264" s="11"/>
      <c r="I2264" s="11"/>
      <c r="J2264" s="11"/>
      <c r="K2264" s="11"/>
      <c r="L2264" s="11"/>
      <c r="M2264" s="11"/>
      <c r="N2264" s="30" t="str">
        <f>IFERROR(__xludf.DUMMYFUNCTION("""COMPUTED_VALUE"""),"MLUCIAMACHADO@OUTLOOK.COM")</f>
        <v>MLUCIAMACHADO@OUTLOOK.COM</v>
      </c>
      <c r="O2264" s="11">
        <f>IFERROR(__xludf.DUMMYFUNCTION("""COMPUTED_VALUE"""),17373484468)</f>
        <v>17373484468</v>
      </c>
      <c r="P2264" s="11"/>
      <c r="Q2264" s="11"/>
      <c r="R2264" s="11"/>
      <c r="S2264" s="11"/>
      <c r="T2264" s="11"/>
      <c r="U2264" s="11"/>
      <c r="V2264" s="11"/>
      <c r="W2264" s="11"/>
      <c r="X2264" s="11"/>
      <c r="Y2264" s="11"/>
      <c r="Z2264" s="11"/>
    </row>
    <row r="2265" customHeight="1" spans="1:26">
      <c r="A2265" s="11" t="str">
        <f>IFERROR(__xludf.DUMMYFUNCTION("""COMPUTED_VALUE"""),"SEMIRAMES S B DE CARVALHO")</f>
        <v>SEMIRAMES S B DE CARVALHO</v>
      </c>
      <c r="B2265" s="11"/>
      <c r="C2265" s="11"/>
      <c r="D2265" s="11" t="str">
        <f>IFERROR(__xludf.DUMMYFUNCTION("""COMPUTED_VALUE"""),"PEDIATRIA")</f>
        <v>PEDIATRIA</v>
      </c>
      <c r="E2265" s="11"/>
      <c r="F2265" s="11" t="str">
        <f>IFERROR(__xludf.DUMMYFUNCTION("""COMPUTED_VALUE"""),"US_163 HOSPITAL DE PEDIATRIA HELENA MOURA")</f>
        <v>US_163 HOSPITAL DE PEDIATRIA HELENA MOURA</v>
      </c>
      <c r="G2265" s="11" t="str">
        <f>IFERROR(__xludf.DUMMYFUNCTION("""COMPUTED_VALUE"""),"US_153 POLICLINICA E MATERNIDADE ARNALDO MARQUES")</f>
        <v>US_153 POLICLINICA E MATERNIDADE ARNALDO MARQUES</v>
      </c>
      <c r="H2265" s="11"/>
      <c r="I2265" s="11"/>
      <c r="J2265" s="11"/>
      <c r="K2265" s="11"/>
      <c r="L2265" s="11"/>
      <c r="M2265" s="11"/>
      <c r="N2265" s="30" t="str">
        <f>IFERROR(__xludf.DUMMYFUNCTION("""COMPUTED_VALUE"""),"semiramescarvalho@hotmail.com")</f>
        <v>semiramescarvalho@hotmail.com</v>
      </c>
      <c r="O2265" s="11">
        <f>IFERROR(__xludf.DUMMYFUNCTION("""COMPUTED_VALUE"""),34068490406)</f>
        <v>34068490406</v>
      </c>
      <c r="P2265" s="11"/>
      <c r="Q2265" s="11"/>
      <c r="R2265" s="11"/>
      <c r="S2265" s="11"/>
      <c r="T2265" s="11"/>
      <c r="U2265" s="11"/>
      <c r="V2265" s="11"/>
      <c r="W2265" s="11"/>
      <c r="X2265" s="11"/>
      <c r="Y2265" s="11"/>
      <c r="Z2265" s="11"/>
    </row>
    <row r="2266" customHeight="1" spans="1:26">
      <c r="A2266" s="11" t="str">
        <f>IFERROR(__xludf.DUMMYFUNCTION("""COMPUTED_VALUE"""),"RENATA MARIA F DA CARVALHEIRA")</f>
        <v>RENATA MARIA F DA CARVALHEIRA</v>
      </c>
      <c r="B2266" s="11"/>
      <c r="C2266" s="11"/>
      <c r="D2266" s="11" t="str">
        <f>IFERROR(__xludf.DUMMYFUNCTION("""COMPUTED_VALUE"""),"PEDIATRIA")</f>
        <v>PEDIATRIA</v>
      </c>
      <c r="E2266" s="11"/>
      <c r="F2266" s="11" t="str">
        <f>IFERROR(__xludf.DUMMYFUNCTION("""COMPUTED_VALUE"""),"US_163 HOSPITAL DE PEDIATRIA HELENA MOURA")</f>
        <v>US_163 HOSPITAL DE PEDIATRIA HELENA MOURA</v>
      </c>
      <c r="G2266" s="11" t="str">
        <f>IFERROR(__xludf.DUMMYFUNCTION("""COMPUTED_VALUE"""),"")</f>
        <v/>
      </c>
      <c r="H2266" s="11"/>
      <c r="I2266" s="11"/>
      <c r="J2266" s="11"/>
      <c r="K2266" s="11"/>
      <c r="L2266" s="11"/>
      <c r="M2266" s="11"/>
      <c r="N2266" s="30" t="str">
        <f>IFERROR(__xludf.DUMMYFUNCTION("""COMPUTED_VALUE"""),"renatacarvalheira47@gmail.com                          ")</f>
        <v>renatacarvalheira47@gmail.com                          </v>
      </c>
      <c r="O2266" s="11">
        <f>IFERROR(__xludf.DUMMYFUNCTION("""COMPUTED_VALUE"""),51018047468)</f>
        <v>51018047468</v>
      </c>
      <c r="P2266" s="11"/>
      <c r="Q2266" s="11"/>
      <c r="R2266" s="11"/>
      <c r="S2266" s="11"/>
      <c r="T2266" s="11"/>
      <c r="U2266" s="11"/>
      <c r="V2266" s="11"/>
      <c r="W2266" s="11"/>
      <c r="X2266" s="11"/>
      <c r="Y2266" s="11"/>
      <c r="Z2266" s="11"/>
    </row>
    <row r="2267" customHeight="1" spans="1:26">
      <c r="A2267" s="11" t="str">
        <f>IFERROR(__xludf.DUMMYFUNCTION("""COMPUTED_VALUE"""),"FATIMA MARIA F DE SANTANA")</f>
        <v>FATIMA MARIA F DE SANTANA</v>
      </c>
      <c r="B2267" s="11"/>
      <c r="C2267" s="11"/>
      <c r="D2267" s="11" t="str">
        <f>IFERROR(__xludf.DUMMYFUNCTION("""COMPUTED_VALUE"""),"NEONATOLOGIA")</f>
        <v>NEONATOLOGIA</v>
      </c>
      <c r="E2267" s="11"/>
      <c r="F2267" s="11" t="str">
        <f>IFERROR(__xludf.DUMMYFUNCTION("""COMPUTED_VALUE"""),"US_163 HOSPITAL DE PEDIATRIA HELENA MOURA")</f>
        <v>US_163 HOSPITAL DE PEDIATRIA HELENA MOURA</v>
      </c>
      <c r="G2267" s="11" t="str">
        <f>IFERROR(__xludf.DUMMYFUNCTION("""COMPUTED_VALUE"""),"SEGTES")</f>
        <v>SEGTES</v>
      </c>
      <c r="H2267" s="11"/>
      <c r="I2267" s="11"/>
      <c r="J2267" s="11"/>
      <c r="K2267" s="11"/>
      <c r="L2267" s="11"/>
      <c r="M2267" s="11"/>
      <c r="N2267" s="30" t="str">
        <f>IFERROR(__xludf.DUMMYFUNCTION("""COMPUTED_VALUE"""),"fernando-jorge@uol.com.br                              ")</f>
        <v>fernando-jorge@uol.com.br                              </v>
      </c>
      <c r="O2267" s="11">
        <f>IFERROR(__xludf.DUMMYFUNCTION("""COMPUTED_VALUE"""),71210830434)</f>
        <v>71210830434</v>
      </c>
      <c r="P2267" s="11"/>
      <c r="Q2267" s="11"/>
      <c r="R2267" s="11"/>
      <c r="S2267" s="11"/>
      <c r="T2267" s="11"/>
      <c r="U2267" s="11"/>
      <c r="V2267" s="11"/>
      <c r="W2267" s="11"/>
      <c r="X2267" s="11"/>
      <c r="Y2267" s="11"/>
      <c r="Z2267" s="11"/>
    </row>
    <row r="2268" customHeight="1" spans="1:26">
      <c r="A2268" s="11" t="str">
        <f>IFERROR(__xludf.DUMMYFUNCTION("""COMPUTED_VALUE"""),"LUCIANA BELLO DIAS PEREIRA")</f>
        <v>LUCIANA BELLO DIAS PEREIRA</v>
      </c>
      <c r="B2268" s="11"/>
      <c r="C2268" s="11"/>
      <c r="D2268" s="11" t="str">
        <f>IFERROR(__xludf.DUMMYFUNCTION("""COMPUTED_VALUE"""),"PEDIATRIA")</f>
        <v>PEDIATRIA</v>
      </c>
      <c r="E2268" s="11"/>
      <c r="F2268" s="11" t="str">
        <f>IFERROR(__xludf.DUMMYFUNCTION("""COMPUTED_VALUE"""),"US_163 HOSPITAL DE PEDIATRIA HELENA MOURA")</f>
        <v>US_163 HOSPITAL DE PEDIATRIA HELENA MOURA</v>
      </c>
      <c r="G2268" s="11" t="str">
        <f>IFERROR(__xludf.DUMMYFUNCTION("""COMPUTED_VALUE"""),"SEGTES")</f>
        <v>SEGTES</v>
      </c>
      <c r="H2268" s="11"/>
      <c r="I2268" s="11"/>
      <c r="J2268" s="11"/>
      <c r="K2268" s="11"/>
      <c r="L2268" s="11"/>
      <c r="M2268" s="11"/>
      <c r="N2268" s="30" t="str">
        <f>IFERROR(__xludf.DUMMYFUNCTION("""COMPUTED_VALUE"""),"lucianabello@globo.com")</f>
        <v>lucianabello@globo.com</v>
      </c>
      <c r="O2268" s="11">
        <f>IFERROR(__xludf.DUMMYFUNCTION("""COMPUTED_VALUE"""),65347129468)</f>
        <v>65347129468</v>
      </c>
      <c r="P2268" s="11"/>
      <c r="Q2268" s="11"/>
      <c r="R2268" s="11"/>
      <c r="S2268" s="11"/>
      <c r="T2268" s="11"/>
      <c r="U2268" s="11"/>
      <c r="V2268" s="11"/>
      <c r="W2268" s="11"/>
      <c r="X2268" s="11"/>
      <c r="Y2268" s="11"/>
      <c r="Z2268" s="11"/>
    </row>
    <row r="2269" customHeight="1" spans="1:26">
      <c r="A2269" s="11" t="str">
        <f>IFERROR(__xludf.DUMMYFUNCTION("""COMPUTED_VALUE"""),"THERESA CHRISTINA P PADILHA")</f>
        <v>THERESA CHRISTINA P PADILHA</v>
      </c>
      <c r="B2269" s="11"/>
      <c r="C2269" s="11"/>
      <c r="D2269" s="11" t="str">
        <f>IFERROR(__xludf.DUMMYFUNCTION("""COMPUTED_VALUE"""),"NEONATOLOGIA")</f>
        <v>NEONATOLOGIA</v>
      </c>
      <c r="E2269" s="11"/>
      <c r="F2269" s="11" t="str">
        <f>IFERROR(__xludf.DUMMYFUNCTION("""COMPUTED_VALUE"""),"US_163 HOSPITAL DE PEDIATRIA HELENA MOURA")</f>
        <v>US_163 HOSPITAL DE PEDIATRIA HELENA MOURA</v>
      </c>
      <c r="G2269" s="11" t="str">
        <f>IFERROR(__xludf.DUMMYFUNCTION("""COMPUTED_VALUE"""),"SEPMAD")</f>
        <v>SEPMAD</v>
      </c>
      <c r="H2269" s="11"/>
      <c r="I2269" s="11"/>
      <c r="J2269" s="11"/>
      <c r="K2269" s="11"/>
      <c r="L2269" s="11"/>
      <c r="M2269" s="11"/>
      <c r="N2269" s="30" t="str">
        <f>IFERROR(__xludf.DUMMYFUNCTION("""COMPUTED_VALUE"""),"theresapadilha@gmail.com")</f>
        <v>theresapadilha@gmail.com</v>
      </c>
      <c r="O2269" s="11">
        <f>IFERROR(__xludf.DUMMYFUNCTION("""COMPUTED_VALUE"""),46534040468)</f>
        <v>46534040468</v>
      </c>
      <c r="P2269" s="11"/>
      <c r="Q2269" s="11"/>
      <c r="R2269" s="11"/>
      <c r="S2269" s="11"/>
      <c r="T2269" s="11"/>
      <c r="U2269" s="11"/>
      <c r="V2269" s="11"/>
      <c r="W2269" s="11"/>
      <c r="X2269" s="11"/>
      <c r="Y2269" s="11"/>
      <c r="Z2269" s="11"/>
    </row>
    <row r="2270" customHeight="1" spans="1:26">
      <c r="A2270" s="11" t="str">
        <f>IFERROR(__xludf.DUMMYFUNCTION("""COMPUTED_VALUE"""),"ANNA KARENINE C PORTO")</f>
        <v>ANNA KARENINE C PORTO</v>
      </c>
      <c r="B2270" s="11"/>
      <c r="C2270" s="11"/>
      <c r="D2270" s="11" t="str">
        <f>IFERROR(__xludf.DUMMYFUNCTION("""COMPUTED_VALUE"""),"PEDIATRIA")</f>
        <v>PEDIATRIA</v>
      </c>
      <c r="E2270" s="11"/>
      <c r="F2270" s="11" t="str">
        <f>IFERROR(__xludf.DUMMYFUNCTION("""COMPUTED_VALUE"""),"US_163 HOSPITAL DE PEDIATRIA HELENA MOURA")</f>
        <v>US_163 HOSPITAL DE PEDIATRIA HELENA MOURA</v>
      </c>
      <c r="G2270" s="11" t="str">
        <f>IFERROR(__xludf.DUMMYFUNCTION("""COMPUTED_VALUE"""),"SEAB")</f>
        <v>SEAB</v>
      </c>
      <c r="H2270" s="11"/>
      <c r="I2270" s="11"/>
      <c r="J2270" s="11"/>
      <c r="K2270" s="11"/>
      <c r="L2270" s="11"/>
      <c r="M2270" s="11"/>
      <c r="N2270" s="30" t="str">
        <f>IFERROR(__xludf.DUMMYFUNCTION("""COMPUTED_VALUE"""),"annakarenine@gmail.com")</f>
        <v>annakarenine@gmail.com</v>
      </c>
      <c r="O2270" s="11">
        <f>IFERROR(__xludf.DUMMYFUNCTION("""COMPUTED_VALUE"""),66590477434)</f>
        <v>66590477434</v>
      </c>
      <c r="P2270" s="11"/>
      <c r="Q2270" s="11"/>
      <c r="R2270" s="11"/>
      <c r="S2270" s="11"/>
      <c r="T2270" s="11"/>
      <c r="U2270" s="11"/>
      <c r="V2270" s="11"/>
      <c r="W2270" s="11"/>
      <c r="X2270" s="11"/>
      <c r="Y2270" s="11"/>
      <c r="Z2270" s="11"/>
    </row>
    <row r="2271" customHeight="1" spans="1:26">
      <c r="A2271" s="11" t="str">
        <f>IFERROR(__xludf.DUMMYFUNCTION("""COMPUTED_VALUE"""),"LUCIA DE FATIMA C DE SOUZA")</f>
        <v>LUCIA DE FATIMA C DE SOUZA</v>
      </c>
      <c r="B2271" s="11"/>
      <c r="C2271" s="11"/>
      <c r="D2271" s="11" t="str">
        <f>IFERROR(__xludf.DUMMYFUNCTION("""COMPUTED_VALUE"""),"PEDIATRIA")</f>
        <v>PEDIATRIA</v>
      </c>
      <c r="E2271" s="11"/>
      <c r="F2271" s="11" t="str">
        <f>IFERROR(__xludf.DUMMYFUNCTION("""COMPUTED_VALUE"""),"US_163 HOSPITAL DE PEDIATRIA HELENA MOURA")</f>
        <v>US_163 HOSPITAL DE PEDIATRIA HELENA MOURA</v>
      </c>
      <c r="G2271" s="11" t="str">
        <f>IFERROR(__xludf.DUMMYFUNCTION("""COMPUTED_VALUE"""),"US_126 CS VER ROMILDO GOMES")</f>
        <v>US_126 CS VER ROMILDO GOMES</v>
      </c>
      <c r="H2271" s="11"/>
      <c r="I2271" s="11"/>
      <c r="J2271" s="11"/>
      <c r="K2271" s="11"/>
      <c r="L2271" s="11"/>
      <c r="M2271" s="11"/>
      <c r="N2271" s="30" t="str">
        <f>IFERROR(__xludf.DUMMYFUNCTION("""COMPUTED_VALUE"""),"luciacamelosouza@yahoo.com.br")</f>
        <v>luciacamelosouza@yahoo.com.br</v>
      </c>
      <c r="O2271" s="11">
        <f>IFERROR(__xludf.DUMMYFUNCTION("""COMPUTED_VALUE"""),59146451404)</f>
        <v>59146451404</v>
      </c>
      <c r="P2271" s="11"/>
      <c r="Q2271" s="11"/>
      <c r="R2271" s="11"/>
      <c r="S2271" s="11"/>
      <c r="T2271" s="11"/>
      <c r="U2271" s="11"/>
      <c r="V2271" s="11"/>
      <c r="W2271" s="11"/>
      <c r="X2271" s="11"/>
      <c r="Y2271" s="11"/>
      <c r="Z2271" s="11"/>
    </row>
    <row r="2272" customHeight="1" spans="1:26">
      <c r="A2272" s="11" t="str">
        <f>IFERROR(__xludf.DUMMYFUNCTION("""COMPUTED_VALUE"""),"ADRIANA RODRIGUES GUERRA")</f>
        <v>ADRIANA RODRIGUES GUERRA</v>
      </c>
      <c r="B2272" s="11"/>
      <c r="C2272" s="11"/>
      <c r="D2272" s="11" t="str">
        <f>IFERROR(__xludf.DUMMYFUNCTION("""COMPUTED_VALUE"""),"PEDIATRIA")</f>
        <v>PEDIATRIA</v>
      </c>
      <c r="E2272" s="11"/>
      <c r="F2272" s="11" t="str">
        <f>IFERROR(__xludf.DUMMYFUNCTION("""COMPUTED_VALUE"""),"US_163 HOSPITAL DE PEDIATRIA HELENA MOURA")</f>
        <v>US_163 HOSPITAL DE PEDIATRIA HELENA MOURA</v>
      </c>
      <c r="G2272" s="11" t="str">
        <f>IFERROR(__xludf.DUMMYFUNCTION("""COMPUTED_VALUE"""),"US_103 CS PROF MARIO RAMOS")</f>
        <v>US_103 CS PROF MARIO RAMOS</v>
      </c>
      <c r="H2272" s="11"/>
      <c r="I2272" s="11"/>
      <c r="J2272" s="11"/>
      <c r="K2272" s="11"/>
      <c r="L2272" s="11"/>
      <c r="M2272" s="11"/>
      <c r="N2272" s="30" t="str">
        <f>IFERROR(__xludf.DUMMYFUNCTION("""COMPUTED_VALUE"""),"adrirguerra@hotmail.com")</f>
        <v>adrirguerra@hotmail.com</v>
      </c>
      <c r="O2272" s="11">
        <f>IFERROR(__xludf.DUMMYFUNCTION("""COMPUTED_VALUE"""),71866302434)</f>
        <v>71866302434</v>
      </c>
      <c r="P2272" s="11"/>
      <c r="Q2272" s="11"/>
      <c r="R2272" s="11"/>
      <c r="S2272" s="11"/>
      <c r="T2272" s="11"/>
      <c r="U2272" s="11"/>
      <c r="V2272" s="11"/>
      <c r="W2272" s="11"/>
      <c r="X2272" s="11"/>
      <c r="Y2272" s="11"/>
      <c r="Z2272" s="11"/>
    </row>
    <row r="2273" customHeight="1" spans="1:26">
      <c r="A2273" s="11" t="str">
        <f>IFERROR(__xludf.DUMMYFUNCTION("""COMPUTED_VALUE"""),"MARIA HELENA D DE LIRA")</f>
        <v>MARIA HELENA D DE LIRA</v>
      </c>
      <c r="B2273" s="11"/>
      <c r="C2273" s="11"/>
      <c r="D2273" s="11" t="str">
        <f>IFERROR(__xludf.DUMMYFUNCTION("""COMPUTED_VALUE"""),"PEDIATRIA")</f>
        <v>PEDIATRIA</v>
      </c>
      <c r="E2273" s="11"/>
      <c r="F2273" s="11" t="str">
        <f>IFERROR(__xludf.DUMMYFUNCTION("""COMPUTED_VALUE"""),"US_164 CENTRO DE REIDRATACAO E URG PED M CRAVO GAMA")</f>
        <v>US_164 CENTRO DE REIDRATACAO E URG PED M CRAVO GAMA</v>
      </c>
      <c r="G2273" s="11" t="str">
        <f>IFERROR(__xludf.DUMMYFUNCTION("""COMPUTED_VALUE"""),"US_117 CS GASPAR REGUEIRA COSTA")</f>
        <v>US_117 CS GASPAR REGUEIRA COSTA</v>
      </c>
      <c r="H2273" s="11"/>
      <c r="I2273" s="11"/>
      <c r="J2273" s="11"/>
      <c r="K2273" s="11"/>
      <c r="L2273" s="11"/>
      <c r="M2273" s="11"/>
      <c r="N2273" s="30" t="str">
        <f>IFERROR(__xludf.DUMMYFUNCTION("""COMPUTED_VALUE"""),"mhdomingos@hotmail.com                                 ")</f>
        <v>mhdomingos@hotmail.com                                 </v>
      </c>
      <c r="O2273" s="11">
        <f>IFERROR(__xludf.DUMMYFUNCTION("""COMPUTED_VALUE"""),59008288400)</f>
        <v>59008288400</v>
      </c>
      <c r="P2273" s="11"/>
      <c r="Q2273" s="11"/>
      <c r="R2273" s="11"/>
      <c r="S2273" s="11"/>
      <c r="T2273" s="11"/>
      <c r="U2273" s="11"/>
      <c r="V2273" s="11"/>
      <c r="W2273" s="11"/>
      <c r="X2273" s="11"/>
      <c r="Y2273" s="11"/>
      <c r="Z2273" s="11"/>
    </row>
    <row r="2274" customHeight="1" spans="1:26">
      <c r="A2274" s="11" t="str">
        <f>IFERROR(__xludf.DUMMYFUNCTION("""COMPUTED_VALUE"""),"ANA ELIZABETH DE V GOES")</f>
        <v>ANA ELIZABETH DE V GOES</v>
      </c>
      <c r="B2274" s="11"/>
      <c r="C2274" s="11"/>
      <c r="D2274" s="11" t="str">
        <f>IFERROR(__xludf.DUMMYFUNCTION("""COMPUTED_VALUE"""),"PEDIATRIA")</f>
        <v>PEDIATRIA</v>
      </c>
      <c r="E2274" s="11"/>
      <c r="F2274" s="11" t="str">
        <f>IFERROR(__xludf.DUMMYFUNCTION("""COMPUTED_VALUE"""),"US_164 CENTRO DE REIDRATACAO E URG PED M CRAVO GAMA")</f>
        <v>US_164 CENTRO DE REIDRATACAO E URG PED M CRAVO GAMA</v>
      </c>
      <c r="G2274" s="11" t="str">
        <f>IFERROR(__xludf.DUMMYFUNCTION("""COMPUTED_VALUE"""),"US_119 CS PROF JOSE CARNEIRO LEAO")</f>
        <v>US_119 CS PROF JOSE CARNEIRO LEAO</v>
      </c>
      <c r="H2274" s="11"/>
      <c r="I2274" s="11"/>
      <c r="J2274" s="11"/>
      <c r="K2274" s="11"/>
      <c r="L2274" s="11"/>
      <c r="M2274" s="11"/>
      <c r="N2274" s="30" t="str">
        <f>IFERROR(__xludf.DUMMYFUNCTION("""COMPUTED_VALUE"""),"anaelizabeth1@msn.com")</f>
        <v>anaelizabeth1@msn.com</v>
      </c>
      <c r="O2274" s="11">
        <f>IFERROR(__xludf.DUMMYFUNCTION("""COMPUTED_VALUE"""),73119776491)</f>
        <v>73119776491</v>
      </c>
      <c r="P2274" s="11"/>
      <c r="Q2274" s="11"/>
      <c r="R2274" s="11"/>
      <c r="S2274" s="11"/>
      <c r="T2274" s="11"/>
      <c r="U2274" s="11"/>
      <c r="V2274" s="11"/>
      <c r="W2274" s="11"/>
      <c r="X2274" s="11"/>
      <c r="Y2274" s="11"/>
      <c r="Z2274" s="11"/>
    </row>
    <row r="2275" customHeight="1" spans="1:26">
      <c r="A2275" s="11" t="str">
        <f>IFERROR(__xludf.DUMMYFUNCTION("""COMPUTED_VALUE"""),"SONIA MARIA SARAIVA LANDIM")</f>
        <v>SONIA MARIA SARAIVA LANDIM</v>
      </c>
      <c r="B2275" s="11"/>
      <c r="C2275" s="11"/>
      <c r="D2275" s="11" t="str">
        <f>IFERROR(__xludf.DUMMYFUNCTION("""COMPUTED_VALUE"""),"NEONATOLOGIA")</f>
        <v>NEONATOLOGIA</v>
      </c>
      <c r="E2275" s="11"/>
      <c r="F2275" s="11" t="str">
        <f>IFERROR(__xludf.DUMMYFUNCTION("""COMPUTED_VALUE"""),"US_163 HOSPITAL DE PEDIATRIA HELENA MOURA")</f>
        <v>US_163 HOSPITAL DE PEDIATRIA HELENA MOURA</v>
      </c>
      <c r="G2275" s="11" t="str">
        <f>IFERROR(__xludf.DUMMYFUNCTION("""COMPUTED_VALUE"""),"US_161 CS PROF ROMERO MARQUES / IPIRANGA")</f>
        <v>US_161 CS PROF ROMERO MARQUES / IPIRANGA</v>
      </c>
      <c r="H2275" s="11"/>
      <c r="I2275" s="11"/>
      <c r="J2275" s="11"/>
      <c r="K2275" s="11"/>
      <c r="L2275" s="11"/>
      <c r="M2275" s="11"/>
      <c r="N2275" s="30" t="str">
        <f>IFERROR(__xludf.DUMMYFUNCTION("""COMPUTED_VALUE"""),"soniamslandim@hotmail.com                              ")</f>
        <v>soniamslandim@hotmail.com                              </v>
      </c>
      <c r="O2275" s="11">
        <f>IFERROR(__xludf.DUMMYFUNCTION("""COMPUTED_VALUE"""),216176433)</f>
        <v>216176433</v>
      </c>
      <c r="P2275" s="11"/>
      <c r="Q2275" s="11"/>
      <c r="R2275" s="11"/>
      <c r="S2275" s="11"/>
      <c r="T2275" s="11"/>
      <c r="U2275" s="11"/>
      <c r="V2275" s="11"/>
      <c r="W2275" s="11"/>
      <c r="X2275" s="11"/>
      <c r="Y2275" s="11"/>
      <c r="Z2275" s="11"/>
    </row>
    <row r="2276" customHeight="1" spans="1:26">
      <c r="A2276" s="11" t="str">
        <f>IFERROR(__xludf.DUMMYFUNCTION("""COMPUTED_VALUE"""),"GABRIELA FERRAZ LEAL")</f>
        <v>GABRIELA FERRAZ LEAL</v>
      </c>
      <c r="B2276" s="11"/>
      <c r="C2276" s="11"/>
      <c r="D2276" s="11" t="str">
        <f>IFERROR(__xludf.DUMMYFUNCTION("""COMPUTED_VALUE"""),"PEDIATRIA")</f>
        <v>PEDIATRIA</v>
      </c>
      <c r="E2276" s="11"/>
      <c r="F2276" s="11" t="str">
        <f>IFERROR(__xludf.DUMMYFUNCTION("""COMPUTED_VALUE"""),"US_163 HOSPITAL DE PEDIATRIA HELENA MOURA")</f>
        <v>US_163 HOSPITAL DE PEDIATRIA HELENA MOURA</v>
      </c>
      <c r="G2276" s="11" t="str">
        <f>IFERROR(__xludf.DUMMYFUNCTION("""COMPUTED_VALUE"""),"US_119 CS PROF JOSE CARNEIRO LEAO")</f>
        <v>US_119 CS PROF JOSE CARNEIRO LEAO</v>
      </c>
      <c r="H2276" s="11"/>
      <c r="I2276" s="11"/>
      <c r="J2276" s="11"/>
      <c r="K2276" s="11"/>
      <c r="L2276" s="11"/>
      <c r="M2276" s="11"/>
      <c r="N2276" s="30" t="str">
        <f>IFERROR(__xludf.DUMMYFUNCTION("""COMPUTED_VALUE"""),"GABFERRAZ@GMAIL.COM")</f>
        <v>GABFERRAZ@GMAIL.COM</v>
      </c>
      <c r="O2276" s="11">
        <f>IFERROR(__xludf.DUMMYFUNCTION("""COMPUTED_VALUE"""),61661511449)</f>
        <v>61661511449</v>
      </c>
      <c r="P2276" s="11"/>
      <c r="Q2276" s="11"/>
      <c r="R2276" s="11"/>
      <c r="S2276" s="11"/>
      <c r="T2276" s="11"/>
      <c r="U2276" s="11"/>
      <c r="V2276" s="11"/>
      <c r="W2276" s="11"/>
      <c r="X2276" s="11"/>
      <c r="Y2276" s="11"/>
      <c r="Z2276" s="11"/>
    </row>
    <row r="2277" customHeight="1" spans="1:26">
      <c r="A2277" s="11" t="str">
        <f>IFERROR(__xludf.DUMMYFUNCTION("""COMPUTED_VALUE"""),"MARCIA VERONICA A DE BRITO")</f>
        <v>MARCIA VERONICA A DE BRITO</v>
      </c>
      <c r="B2277" s="11"/>
      <c r="C2277" s="11"/>
      <c r="D2277" s="11" t="str">
        <f>IFERROR(__xludf.DUMMYFUNCTION("""COMPUTED_VALUE"""),"PEDIATRIA")</f>
        <v>PEDIATRIA</v>
      </c>
      <c r="E2277" s="11"/>
      <c r="F2277" s="11" t="str">
        <f>IFERROR(__xludf.DUMMYFUNCTION("""COMPUTED_VALUE"""),"US_163 HOSPITAL DE PEDIATRIA HELENA MOURA")</f>
        <v>US_163 HOSPITAL DE PEDIATRIA HELENA MOURA</v>
      </c>
      <c r="G2277" s="11" t="str">
        <f>IFERROR(__xludf.DUMMYFUNCTION("""COMPUTED_VALUE"""),"US_109 CS FRANCISCO PIGNATARI")</f>
        <v>US_109 CS FRANCISCO PIGNATARI</v>
      </c>
      <c r="H2277" s="11"/>
      <c r="I2277" s="11"/>
      <c r="J2277" s="11"/>
      <c r="K2277" s="11"/>
      <c r="L2277" s="11"/>
      <c r="M2277" s="11"/>
      <c r="N2277" s="30" t="str">
        <f>IFERROR(__xludf.DUMMYFUNCTION("""COMPUTED_VALUE"""),"marcia.brito54@gmail.com                               ")</f>
        <v>marcia.brito54@gmail.com                               </v>
      </c>
      <c r="O2277" s="11">
        <f>IFERROR(__xludf.DUMMYFUNCTION("""COMPUTED_VALUE"""),23396873491)</f>
        <v>23396873491</v>
      </c>
      <c r="P2277" s="11"/>
      <c r="Q2277" s="11"/>
      <c r="R2277" s="11"/>
      <c r="S2277" s="11"/>
      <c r="T2277" s="11"/>
      <c r="U2277" s="11"/>
      <c r="V2277" s="11"/>
      <c r="W2277" s="11"/>
      <c r="X2277" s="11"/>
      <c r="Y2277" s="11"/>
      <c r="Z2277" s="11"/>
    </row>
    <row r="2278" customHeight="1" spans="1:26">
      <c r="A2278" s="11" t="str">
        <f>IFERROR(__xludf.DUMMYFUNCTION("""COMPUTED_VALUE"""),"ROBERTA SOUZA DA COSTA PINTO")</f>
        <v>ROBERTA SOUZA DA COSTA PINTO</v>
      </c>
      <c r="B2278" s="11"/>
      <c r="C2278" s="11"/>
      <c r="D2278" s="11" t="str">
        <f>IFERROR(__xludf.DUMMYFUNCTION("""COMPUTED_VALUE"""),"PEDIATRIA")</f>
        <v>PEDIATRIA</v>
      </c>
      <c r="E2278" s="11"/>
      <c r="F2278" s="11" t="str">
        <f>IFERROR(__xludf.DUMMYFUNCTION("""COMPUTED_VALUE"""),"US_163 HOSPITAL DE PEDIATRIA HELENA MOURA")</f>
        <v>US_163 HOSPITAL DE PEDIATRIA HELENA MOURA</v>
      </c>
      <c r="G2278" s="11" t="str">
        <f>IFERROR(__xludf.DUMMYFUNCTION("""COMPUTED_VALUE"""),"US_104 CS SEBASTIAO IVO RABELO")</f>
        <v>US_104 CS SEBASTIAO IVO RABELO</v>
      </c>
      <c r="H2278" s="11"/>
      <c r="I2278" s="11"/>
      <c r="J2278" s="11"/>
      <c r="K2278" s="11"/>
      <c r="L2278" s="11"/>
      <c r="M2278" s="11"/>
      <c r="N2278" s="30" t="str">
        <f>IFERROR(__xludf.DUMMYFUNCTION("""COMPUTED_VALUE"""),"betacpm@yahoo.com.br                                   ")</f>
        <v>betacpm@yahoo.com.br                                   </v>
      </c>
      <c r="O2278" s="11">
        <f>IFERROR(__xludf.DUMMYFUNCTION("""COMPUTED_VALUE"""),76724840449)</f>
        <v>76724840449</v>
      </c>
      <c r="P2278" s="11"/>
      <c r="Q2278" s="11"/>
      <c r="R2278" s="11"/>
      <c r="S2278" s="11"/>
      <c r="T2278" s="11"/>
      <c r="U2278" s="11"/>
      <c r="V2278" s="11"/>
      <c r="W2278" s="11"/>
      <c r="X2278" s="11"/>
      <c r="Y2278" s="11"/>
      <c r="Z2278" s="11"/>
    </row>
    <row r="2279" customHeight="1" spans="1:26">
      <c r="A2279" s="11" t="str">
        <f>IFERROR(__xludf.DUMMYFUNCTION("""COMPUTED_VALUE"""),"ALBA VALERIA N NOGUEIRA")</f>
        <v>ALBA VALERIA N NOGUEIRA</v>
      </c>
      <c r="B2279" s="11"/>
      <c r="C2279" s="11"/>
      <c r="D2279" s="11" t="str">
        <f>IFERROR(__xludf.DUMMYFUNCTION("""COMPUTED_VALUE"""),"PEDIATRIA")</f>
        <v>PEDIATRIA</v>
      </c>
      <c r="E2279" s="11"/>
      <c r="F2279" s="11" t="str">
        <f>IFERROR(__xludf.DUMMYFUNCTION("""COMPUTED_VALUE"""),"US_163 HOSPITAL DE PEDIATRIA HELENA MOURA")</f>
        <v>US_163 HOSPITAL DE PEDIATRIA HELENA MOURA</v>
      </c>
      <c r="G2279" s="11" t="str">
        <f>IFERROR(__xludf.DUMMYFUNCTION("""COMPUTED_VALUE"""),"US_126 CS VER ROMILDO GOMES")</f>
        <v>US_126 CS VER ROMILDO GOMES</v>
      </c>
      <c r="H2279" s="11"/>
      <c r="I2279" s="11"/>
      <c r="J2279" s="11"/>
      <c r="K2279" s="11"/>
      <c r="L2279" s="11"/>
      <c r="M2279" s="11"/>
      <c r="N2279" s="30" t="str">
        <f>IFERROR(__xludf.DUMMYFUNCTION("""COMPUTED_VALUE"""),"albanegromonte@gmail.com")</f>
        <v>albanegromonte@gmail.com</v>
      </c>
      <c r="O2279" s="11">
        <f>IFERROR(__xludf.DUMMYFUNCTION("""COMPUTED_VALUE"""),39169251487)</f>
        <v>39169251487</v>
      </c>
      <c r="P2279" s="11"/>
      <c r="Q2279" s="11"/>
      <c r="R2279" s="11"/>
      <c r="S2279" s="11"/>
      <c r="T2279" s="11"/>
      <c r="U2279" s="11"/>
      <c r="V2279" s="11"/>
      <c r="W2279" s="11"/>
      <c r="X2279" s="11"/>
      <c r="Y2279" s="11"/>
      <c r="Z2279" s="11"/>
    </row>
    <row r="2280" customHeight="1" spans="1:26">
      <c r="A2280" s="11" t="str">
        <f>IFERROR(__xludf.DUMMYFUNCTION("""COMPUTED_VALUE"""),"SUELI FREITAS MELO DA SILVA")</f>
        <v>SUELI FREITAS MELO DA SILVA</v>
      </c>
      <c r="B2280" s="11"/>
      <c r="C2280" s="11"/>
      <c r="D2280" s="11" t="str">
        <f>IFERROR(__xludf.DUMMYFUNCTION("""COMPUTED_VALUE"""),"PEDIATRIA")</f>
        <v>PEDIATRIA</v>
      </c>
      <c r="E2280" s="11"/>
      <c r="F2280" s="11" t="str">
        <f>IFERROR(__xludf.DUMMYFUNCTION("""COMPUTED_VALUE"""),"US_163 HOSPITAL DE PEDIATRIA HELENA MOURA")</f>
        <v>US_163 HOSPITAL DE PEDIATRIA HELENA MOURA</v>
      </c>
      <c r="G2280" s="11" t="str">
        <f>IFERROR(__xludf.DUMMYFUNCTION("""COMPUTED_VALUE"""),"US_158 CS PAM CEASA")</f>
        <v>US_158 CS PAM CEASA</v>
      </c>
      <c r="H2280" s="11"/>
      <c r="I2280" s="11"/>
      <c r="J2280" s="11"/>
      <c r="K2280" s="11"/>
      <c r="L2280" s="11"/>
      <c r="M2280" s="11"/>
      <c r="N2280" s="30" t="str">
        <f>IFERROR(__xludf.DUMMYFUNCTION("""COMPUTED_VALUE"""),"suelidas@recife.pe.gov.br")</f>
        <v>suelidas@recife.pe.gov.br</v>
      </c>
      <c r="O2280" s="11">
        <f>IFERROR(__xludf.DUMMYFUNCTION("""COMPUTED_VALUE"""),27876624472)</f>
        <v>27876624472</v>
      </c>
      <c r="P2280" s="11"/>
      <c r="Q2280" s="11"/>
      <c r="R2280" s="11"/>
      <c r="S2280" s="11"/>
      <c r="T2280" s="11"/>
      <c r="U2280" s="11"/>
      <c r="V2280" s="11"/>
      <c r="W2280" s="11"/>
      <c r="X2280" s="11"/>
      <c r="Y2280" s="11"/>
      <c r="Z2280" s="11"/>
    </row>
    <row r="2281" customHeight="1" spans="1:26">
      <c r="A2281" s="11" t="str">
        <f>IFERROR(__xludf.DUMMYFUNCTION("""COMPUTED_VALUE"""),"JULIANA LIMA MARQUES MARTINS")</f>
        <v>JULIANA LIMA MARQUES MARTINS</v>
      </c>
      <c r="B2281" s="11"/>
      <c r="C2281" s="11"/>
      <c r="D2281" s="11" t="str">
        <f>IFERROR(__xludf.DUMMYFUNCTION("""COMPUTED_VALUE"""),"PEDIATRIA")</f>
        <v>PEDIATRIA</v>
      </c>
      <c r="E2281" s="11"/>
      <c r="F2281" s="11" t="str">
        <f>IFERROR(__xludf.DUMMYFUNCTION("""COMPUTED_VALUE"""),"US_163 HOSPITAL DE PEDIATRIA HELENA MOURA")</f>
        <v>US_163 HOSPITAL DE PEDIATRIA HELENA MOURA</v>
      </c>
      <c r="G2281" s="11" t="str">
        <f>IFERROR(__xludf.DUMMYFUNCTION("""COMPUTED_VALUE"""),"US_112 CS DR JOSE DUSTAN CARVALHO SOARES	")</f>
        <v>US_112 CS DR JOSE DUSTAN CARVALHO SOARES	</v>
      </c>
      <c r="H2281" s="11"/>
      <c r="I2281" s="11"/>
      <c r="J2281" s="11"/>
      <c r="K2281" s="11"/>
      <c r="L2281" s="11"/>
      <c r="M2281" s="11"/>
      <c r="N2281" s="30" t="str">
        <f>IFERROR(__xludf.DUMMYFUNCTION("""COMPUTED_VALUE"""),"JULIANALIMAMS@GMAIL.COM")</f>
        <v>JULIANALIMAMS@GMAIL.COM</v>
      </c>
      <c r="O2281" s="11">
        <f>IFERROR(__xludf.DUMMYFUNCTION("""COMPUTED_VALUE"""),2808193408)</f>
        <v>2808193408</v>
      </c>
      <c r="P2281" s="11"/>
      <c r="Q2281" s="11"/>
      <c r="R2281" s="11"/>
      <c r="S2281" s="11"/>
      <c r="T2281" s="11"/>
      <c r="U2281" s="11"/>
      <c r="V2281" s="11"/>
      <c r="W2281" s="11"/>
      <c r="X2281" s="11"/>
      <c r="Y2281" s="11"/>
      <c r="Z2281" s="11"/>
    </row>
    <row r="2282" customHeight="1" spans="1:26">
      <c r="A2282" s="11" t="str">
        <f>IFERROR(__xludf.DUMMYFUNCTION("""COMPUTED_VALUE"""),"MARCIA BEZERRA RAMOS")</f>
        <v>MARCIA BEZERRA RAMOS</v>
      </c>
      <c r="B2282" s="11"/>
      <c r="C2282" s="11"/>
      <c r="D2282" s="11" t="str">
        <f>IFERROR(__xludf.DUMMYFUNCTION("""COMPUTED_VALUE"""),"PEDIATRIA")</f>
        <v>PEDIATRIA</v>
      </c>
      <c r="E2282" s="11"/>
      <c r="F2282" s="11" t="str">
        <f>IFERROR(__xludf.DUMMYFUNCTION("""COMPUTED_VALUE"""),"US_164 CENTRO DE REIDRATACAO E URG PED M CRAVO GAMA")</f>
        <v>US_164 CENTRO DE REIDRATACAO E URG PED M CRAVO GAMA</v>
      </c>
      <c r="G2282" s="11" t="str">
        <f>IFERROR(__xludf.DUMMYFUNCTION("""COMPUTED_VALUE"""),"US_287 USF ALTO JOSE DO PINHO")</f>
        <v>US_287 USF ALTO JOSE DO PINHO</v>
      </c>
      <c r="H2282" s="11"/>
      <c r="I2282" s="11"/>
      <c r="J2282" s="11"/>
      <c r="K2282" s="11"/>
      <c r="L2282" s="11"/>
      <c r="M2282" s="11"/>
      <c r="N2282" s="30" t="str">
        <f>IFERROR(__xludf.DUMMYFUNCTION("""COMPUTED_VALUE"""),"marrcia.50@gmail.com")</f>
        <v>marrcia.50@gmail.com</v>
      </c>
      <c r="O2282" s="11">
        <f>IFERROR(__xludf.DUMMYFUNCTION("""COMPUTED_VALUE"""),43595707400)</f>
        <v>43595707400</v>
      </c>
      <c r="P2282" s="11"/>
      <c r="Q2282" s="11"/>
      <c r="R2282" s="11"/>
      <c r="S2282" s="11"/>
      <c r="T2282" s="11"/>
      <c r="U2282" s="11"/>
      <c r="V2282" s="11"/>
      <c r="W2282" s="11"/>
      <c r="X2282" s="11"/>
      <c r="Y2282" s="11"/>
      <c r="Z2282" s="11"/>
    </row>
    <row r="2283" customHeight="1" spans="1:26">
      <c r="A2283" s="11" t="str">
        <f>IFERROR(__xludf.DUMMYFUNCTION("""COMPUTED_VALUE"""),"MANUELA CARVALHO DE A E LIMA")</f>
        <v>MANUELA CARVALHO DE A E LIMA</v>
      </c>
      <c r="B2283" s="11"/>
      <c r="C2283" s="11"/>
      <c r="D2283" s="11" t="str">
        <f>IFERROR(__xludf.DUMMYFUNCTION("""COMPUTED_VALUE"""),"NEONATOLOGIA")</f>
        <v>NEONATOLOGIA</v>
      </c>
      <c r="E2283" s="11"/>
      <c r="F2283" s="11" t="str">
        <f>IFERROR(__xludf.DUMMYFUNCTION("""COMPUTED_VALUE"""),"US_163 HOSPITAL DE PEDIATRIA HELENA MOURA")</f>
        <v>US_163 HOSPITAL DE PEDIATRIA HELENA MOURA</v>
      </c>
      <c r="G2283" s="11" t="str">
        <f>IFERROR(__xludf.DUMMYFUNCTION("""COMPUTED_VALUE"""),"US_258 USF SITIO DOS PINTOS / DR. ANTONIO LUCAS")</f>
        <v>US_258 USF SITIO DOS PINTOS / DR. ANTONIO LUCAS</v>
      </c>
      <c r="H2283" s="11"/>
      <c r="I2283" s="11"/>
      <c r="J2283" s="11"/>
      <c r="K2283" s="11"/>
      <c r="L2283" s="11"/>
      <c r="M2283" s="11"/>
      <c r="N2283" s="30" t="str">
        <f>IFERROR(__xludf.DUMMYFUNCTION("""COMPUTED_VALUE"""),"manu.abreuelima@gmail.com")</f>
        <v>manu.abreuelima@gmail.com</v>
      </c>
      <c r="O2283" s="11">
        <f>IFERROR(__xludf.DUMMYFUNCTION("""COMPUTED_VALUE"""),904288463)</f>
        <v>904288463</v>
      </c>
      <c r="P2283" s="11"/>
      <c r="Q2283" s="11"/>
      <c r="R2283" s="11"/>
      <c r="S2283" s="11"/>
      <c r="T2283" s="11"/>
      <c r="U2283" s="11"/>
      <c r="V2283" s="11"/>
      <c r="W2283" s="11"/>
      <c r="X2283" s="11"/>
      <c r="Y2283" s="11"/>
      <c r="Z2283" s="11"/>
    </row>
    <row r="2284" customHeight="1" spans="1:26">
      <c r="A2284" s="11" t="str">
        <f>IFERROR(__xludf.DUMMYFUNCTION("""COMPUTED_VALUE"""),"GLILMA CARLA DE FARIA FONSECA")</f>
        <v>GLILMA CARLA DE FARIA FONSECA</v>
      </c>
      <c r="B2284" s="11"/>
      <c r="C2284" s="11"/>
      <c r="D2284" s="11" t="str">
        <f>IFERROR(__xludf.DUMMYFUNCTION("""COMPUTED_VALUE"""),"NEONATOLOGIA")</f>
        <v>NEONATOLOGIA</v>
      </c>
      <c r="E2284" s="11"/>
      <c r="F2284" s="11" t="str">
        <f>IFERROR(__xludf.DUMMYFUNCTION("""COMPUTED_VALUE"""),"US_163 HOSPITAL DE PEDIATRIA HELENA MOURA")</f>
        <v>US_163 HOSPITAL DE PEDIATRIA HELENA MOURA</v>
      </c>
      <c r="G2284" s="11" t="str">
        <f>IFERROR(__xludf.DUMMYFUNCTION("""COMPUTED_VALUE"""),"US_312 USF VILA DO SESI")</f>
        <v>US_312 USF VILA DO SESI</v>
      </c>
      <c r="H2284" s="11"/>
      <c r="I2284" s="11"/>
      <c r="J2284" s="11"/>
      <c r="K2284" s="11"/>
      <c r="L2284" s="11"/>
      <c r="M2284" s="11"/>
      <c r="N2284" s="30" t="str">
        <f>IFERROR(__xludf.DUMMYFUNCTION("""COMPUTED_VALUE"""),"glilma@hotmail.com                                     ")</f>
        <v>glilma@hotmail.com                                     </v>
      </c>
      <c r="O2284" s="11">
        <f>IFERROR(__xludf.DUMMYFUNCTION("""COMPUTED_VALUE"""),83255990491)</f>
        <v>83255990491</v>
      </c>
      <c r="P2284" s="11"/>
      <c r="Q2284" s="11"/>
      <c r="R2284" s="11"/>
      <c r="S2284" s="11"/>
      <c r="T2284" s="11"/>
      <c r="U2284" s="11"/>
      <c r="V2284" s="11"/>
      <c r="W2284" s="11"/>
      <c r="X2284" s="11"/>
      <c r="Y2284" s="11"/>
      <c r="Z2284" s="11"/>
    </row>
    <row r="2285" customHeight="1" spans="1:26">
      <c r="A2285" s="11" t="str">
        <f>IFERROR(__xludf.DUMMYFUNCTION("""COMPUTED_VALUE"""),"SORAYA AOUN DAHER")</f>
        <v>SORAYA AOUN DAHER</v>
      </c>
      <c r="B2285" s="11"/>
      <c r="C2285" s="11"/>
      <c r="D2285" s="11" t="str">
        <f>IFERROR(__xludf.DUMMYFUNCTION("""COMPUTED_VALUE"""),"GINECOLOGIA E OBSTETRICIA")</f>
        <v>GINECOLOGIA E OBSTETRICIA</v>
      </c>
      <c r="E2285" s="11"/>
      <c r="F2285" s="11" t="str">
        <f>IFERROR(__xludf.DUMMYFUNCTION("""COMPUTED_VALUE"""),"US_163 HOSPITAL DE PEDIATRIA HELENA MOURA")</f>
        <v>US_163 HOSPITAL DE PEDIATRIA HELENA MOURA</v>
      </c>
      <c r="G2285" s="11" t="str">
        <f>IFERROR(__xludf.DUMMYFUNCTION("""COMPUTED_VALUE"""),"US_177 USF CHICO MENDES - XIMBORE")</f>
        <v>US_177 USF CHICO MENDES - XIMBORE</v>
      </c>
      <c r="H2285" s="11"/>
      <c r="I2285" s="11"/>
      <c r="J2285" s="11"/>
      <c r="K2285" s="11"/>
      <c r="L2285" s="11"/>
      <c r="M2285" s="11"/>
      <c r="N2285" s="30" t="str">
        <f>IFERROR(__xludf.DUMMYFUNCTION("""COMPUTED_VALUE"""),"sorayaadaher@hotmail.com                               ")</f>
        <v>sorayaadaher@hotmail.com                               </v>
      </c>
      <c r="O2285" s="11">
        <f>IFERROR(__xludf.DUMMYFUNCTION("""COMPUTED_VALUE"""),83112804449)</f>
        <v>83112804449</v>
      </c>
      <c r="P2285" s="11"/>
      <c r="Q2285" s="11"/>
      <c r="R2285" s="11"/>
      <c r="S2285" s="11"/>
      <c r="T2285" s="11"/>
      <c r="U2285" s="11"/>
      <c r="V2285" s="11"/>
      <c r="W2285" s="11"/>
      <c r="X2285" s="11"/>
      <c r="Y2285" s="11"/>
      <c r="Z2285" s="11"/>
    </row>
    <row r="2286" customHeight="1" spans="1:26">
      <c r="A2286" s="11" t="str">
        <f>IFERROR(__xludf.DUMMYFUNCTION("""COMPUTED_VALUE"""),"MARCIO FERNANDO T DE SOUZA")</f>
        <v>MARCIO FERNANDO T DE SOUZA</v>
      </c>
      <c r="B2286" s="11"/>
      <c r="C2286" s="11"/>
      <c r="D2286" s="11" t="str">
        <f>IFERROR(__xludf.DUMMYFUNCTION("""COMPUTED_VALUE"""),"PEDIATRIA")</f>
        <v>PEDIATRIA</v>
      </c>
      <c r="E2286" s="11"/>
      <c r="F2286" s="11" t="str">
        <f>IFERROR(__xludf.DUMMYFUNCTION("""COMPUTED_VALUE"""),"US_163 HOSPITAL DE PEDIATRIA HELENA MOURA")</f>
        <v>US_163 HOSPITAL DE PEDIATRIA HELENA MOURA</v>
      </c>
      <c r="G2286" s="11" t="str">
        <f>IFERROR(__xludf.DUMMYFUNCTION("""COMPUTED_VALUE"""),"US_300 USF DR GERALDO BARRETO CAMPELO SAN MARTIN")</f>
        <v>US_300 USF DR GERALDO BARRETO CAMPELO SAN MARTIN</v>
      </c>
      <c r="H2286" s="11"/>
      <c r="I2286" s="11"/>
      <c r="J2286" s="11"/>
      <c r="K2286" s="11"/>
      <c r="L2286" s="11"/>
      <c r="M2286" s="11"/>
      <c r="N2286" s="30" t="str">
        <f>IFERROR(__xludf.DUMMYFUNCTION("""COMPUTED_VALUE"""),"marciotsouza@gmail.com")</f>
        <v>marciotsouza@gmail.com</v>
      </c>
      <c r="O2286" s="11">
        <f>IFERROR(__xludf.DUMMYFUNCTION("""COMPUTED_VALUE"""),46258116434)</f>
        <v>46258116434</v>
      </c>
      <c r="P2286" s="11"/>
      <c r="Q2286" s="11"/>
      <c r="R2286" s="11"/>
      <c r="S2286" s="11"/>
      <c r="T2286" s="11"/>
      <c r="U2286" s="11"/>
      <c r="V2286" s="11"/>
      <c r="W2286" s="11"/>
      <c r="X2286" s="11"/>
      <c r="Y2286" s="11"/>
      <c r="Z2286" s="11"/>
    </row>
    <row r="2287" customHeight="1" spans="1:26">
      <c r="A2287" s="11" t="str">
        <f>IFERROR(__xludf.DUMMYFUNCTION("""COMPUTED_VALUE"""),"MARIA DAS GRACAS T S BRITO")</f>
        <v>MARIA DAS GRACAS T S BRITO</v>
      </c>
      <c r="B2287" s="11"/>
      <c r="C2287" s="11"/>
      <c r="D2287" s="11" t="str">
        <f>IFERROR(__xludf.DUMMYFUNCTION("""COMPUTED_VALUE"""),"NEONATOLOGIA")</f>
        <v>NEONATOLOGIA</v>
      </c>
      <c r="E2287" s="11"/>
      <c r="F2287" s="11" t="str">
        <f>IFERROR(__xludf.DUMMYFUNCTION("""COMPUTED_VALUE"""),"US_163 HOSPITAL DE PEDIATRIA HELENA MOURA")</f>
        <v>US_163 HOSPITAL DE PEDIATRIA HELENA MOURA</v>
      </c>
      <c r="G2287" s="11" t="str">
        <f>IFERROR(__xludf.DUMMYFUNCTION("""COMPUTED_VALUE"""),"USF - US 155 USF ALTO DOS COQUEIROS II / BEBERIBE / PROF. MONTEIRO DE MORAIS")</f>
        <v>USF - US 155 USF ALTO DOS COQUEIROS II / BEBERIBE / PROF. MONTEIRO DE MORAIS</v>
      </c>
      <c r="H2287" s="11"/>
      <c r="I2287" s="11"/>
      <c r="J2287" s="11"/>
      <c r="K2287" s="11"/>
      <c r="L2287" s="11"/>
      <c r="M2287" s="11"/>
      <c r="N2287" s="30" t="str">
        <f>IFERROR(__xludf.DUMMYFUNCTION("""COMPUTED_VALUE"""),"graca.toscanobrito@gmail.com")</f>
        <v>graca.toscanobrito@gmail.com</v>
      </c>
      <c r="O2287" s="11">
        <f>IFERROR(__xludf.DUMMYFUNCTION("""COMPUTED_VALUE"""),6213030468)</f>
        <v>6213030468</v>
      </c>
      <c r="P2287" s="11"/>
      <c r="Q2287" s="11"/>
      <c r="R2287" s="11"/>
      <c r="S2287" s="11"/>
      <c r="T2287" s="11"/>
      <c r="U2287" s="11"/>
      <c r="V2287" s="11"/>
      <c r="W2287" s="11"/>
      <c r="X2287" s="11"/>
      <c r="Y2287" s="11"/>
      <c r="Z2287" s="11"/>
    </row>
    <row r="2288" customHeight="1" spans="1:26">
      <c r="A2288" s="11" t="str">
        <f>IFERROR(__xludf.DUMMYFUNCTION("""COMPUTED_VALUE"""),"NICODEMOS TELES DE P NETO")</f>
        <v>NICODEMOS TELES DE P NETO</v>
      </c>
      <c r="B2288" s="11"/>
      <c r="C2288" s="11"/>
      <c r="D2288" s="11" t="str">
        <f>IFERROR(__xludf.DUMMYFUNCTION("""COMPUTED_VALUE"""),"NEONATOLOGIA")</f>
        <v>NEONATOLOGIA</v>
      </c>
      <c r="E2288" s="11"/>
      <c r="F2288" s="11" t="str">
        <f>IFERROR(__xludf.DUMMYFUNCTION("""COMPUTED_VALUE"""),"US_163 HOSPITAL DE PEDIATRIA HELENA MOURA")</f>
        <v>US_163 HOSPITAL DE PEDIATRIA HELENA MOURA</v>
      </c>
      <c r="G2288" s="11" t="str">
        <f>IFERROR(__xludf.DUMMYFUNCTION("""COMPUTED_VALUE"""),"US_344 USF JIQUIA I E II")</f>
        <v>US_344 USF JIQUIA I E II</v>
      </c>
      <c r="H2288" s="11"/>
      <c r="I2288" s="11"/>
      <c r="J2288" s="11"/>
      <c r="K2288" s="11"/>
      <c r="L2288" s="11"/>
      <c r="M2288" s="11"/>
      <c r="N2288" s="30" t="str">
        <f>IFERROR(__xludf.DUMMYFUNCTION("""COMPUTED_VALUE"""),"nicopontes@gmail.com                                   ")</f>
        <v>nicopontes@gmail.com                                   </v>
      </c>
      <c r="O2288" s="11">
        <f>IFERROR(__xludf.DUMMYFUNCTION("""COMPUTED_VALUE"""),89033868415)</f>
        <v>89033868415</v>
      </c>
      <c r="P2288" s="11"/>
      <c r="Q2288" s="11"/>
      <c r="R2288" s="11"/>
      <c r="S2288" s="11"/>
      <c r="T2288" s="11"/>
      <c r="U2288" s="11"/>
      <c r="V2288" s="11"/>
      <c r="W2288" s="11"/>
      <c r="X2288" s="11"/>
      <c r="Y2288" s="11"/>
      <c r="Z2288" s="11"/>
    </row>
    <row r="2289" customHeight="1" spans="1:26">
      <c r="A2289" s="11" t="str">
        <f>IFERROR(__xludf.DUMMYFUNCTION("""COMPUTED_VALUE"""),"ANGELA KARINE DE Q E SILVA")</f>
        <v>ANGELA KARINE DE Q E SILVA</v>
      </c>
      <c r="B2289" s="11"/>
      <c r="C2289" s="11"/>
      <c r="D2289" s="11" t="str">
        <f>IFERROR(__xludf.DUMMYFUNCTION("""COMPUTED_VALUE"""),"PEDIATRIA")</f>
        <v>PEDIATRIA</v>
      </c>
      <c r="E2289" s="11"/>
      <c r="F2289" s="11" t="str">
        <f>IFERROR(__xludf.DUMMYFUNCTION("""COMPUTED_VALUE"""),"US_164 CENTRO DE REIDRATACAO E URG PED M CRAVO GAMA")</f>
        <v>US_164 CENTRO DE REIDRATACAO E URG PED M CRAVO GAMA</v>
      </c>
      <c r="G2289" s="11" t="str">
        <f>IFERROR(__xludf.DUMMYFUNCTION("""COMPUTED_VALUE"""),"US_284 USF VILA SAO MIGUEL MARROM GLACE")</f>
        <v>US_284 USF VILA SAO MIGUEL MARROM GLACE</v>
      </c>
      <c r="H2289" s="11"/>
      <c r="I2289" s="11"/>
      <c r="J2289" s="11"/>
      <c r="K2289" s="11"/>
      <c r="L2289" s="11"/>
      <c r="M2289" s="11"/>
      <c r="N2289" s="30" t="str">
        <f>IFERROR(__xludf.DUMMYFUNCTION("""COMPUTED_VALUE"""),"angiekarine2016@gmail.com")</f>
        <v>angiekarine2016@gmail.com</v>
      </c>
      <c r="O2289" s="11">
        <f>IFERROR(__xludf.DUMMYFUNCTION("""COMPUTED_VALUE"""),83024808434)</f>
        <v>83024808434</v>
      </c>
      <c r="P2289" s="11"/>
      <c r="Q2289" s="11"/>
      <c r="R2289" s="11"/>
      <c r="S2289" s="11"/>
      <c r="T2289" s="11"/>
      <c r="U2289" s="11"/>
      <c r="V2289" s="11"/>
      <c r="W2289" s="11"/>
      <c r="X2289" s="11"/>
      <c r="Y2289" s="11"/>
      <c r="Z2289" s="11"/>
    </row>
    <row r="2290" customHeight="1" spans="1:26">
      <c r="A2290" s="11" t="str">
        <f>IFERROR(__xludf.DUMMYFUNCTION("""COMPUTED_VALUE"""),"GLEINE PINHEIRO SANTOS BARROS")</f>
        <v>GLEINE PINHEIRO SANTOS BARROS</v>
      </c>
      <c r="B2290" s="11"/>
      <c r="C2290" s="11"/>
      <c r="D2290" s="11" t="str">
        <f>IFERROR(__xludf.DUMMYFUNCTION("""COMPUTED_VALUE"""),"PEDIATRIA")</f>
        <v>PEDIATRIA</v>
      </c>
      <c r="E2290" s="11"/>
      <c r="F2290" s="11" t="str">
        <f>IFERROR(__xludf.DUMMYFUNCTION("""COMPUTED_VALUE"""),"US_163 HOSPITAL DE PEDIATRIA HELENA MOURA")</f>
        <v>US_163 HOSPITAL DE PEDIATRIA HELENA MOURA</v>
      </c>
      <c r="G2290" s="11" t="str">
        <f>IFERROR(__xludf.DUMMYFUNCTION("""COMPUTED_VALUE"""),"US_104 CS SEBASTIAO IVO RABELO")</f>
        <v>US_104 CS SEBASTIAO IVO RABELO</v>
      </c>
      <c r="H2290" s="11"/>
      <c r="I2290" s="11"/>
      <c r="J2290" s="11"/>
      <c r="K2290" s="11"/>
      <c r="L2290" s="11"/>
      <c r="M2290" s="11"/>
      <c r="N2290" s="30" t="str">
        <f>IFERROR(__xludf.DUMMYFUNCTION("""COMPUTED_VALUE"""),"gleinepinheiros@hotmail.com")</f>
        <v>gleinepinheiros@hotmail.com</v>
      </c>
      <c r="O2290" s="11">
        <f>IFERROR(__xludf.DUMMYFUNCTION("""COMPUTED_VALUE"""),57587833404)</f>
        <v>57587833404</v>
      </c>
      <c r="P2290" s="11"/>
      <c r="Q2290" s="11"/>
      <c r="R2290" s="11"/>
      <c r="S2290" s="11"/>
      <c r="T2290" s="11"/>
      <c r="U2290" s="11"/>
      <c r="V2290" s="11"/>
      <c r="W2290" s="11"/>
      <c r="X2290" s="11"/>
      <c r="Y2290" s="11"/>
      <c r="Z2290" s="11"/>
    </row>
    <row r="2291" customHeight="1" spans="1:26">
      <c r="A2291" s="11" t="str">
        <f>IFERROR(__xludf.DUMMYFUNCTION("""COMPUTED_VALUE"""),"RAQUEL MARIA DE FRANCA GOMES")</f>
        <v>RAQUEL MARIA DE FRANCA GOMES</v>
      </c>
      <c r="B2291" s="11"/>
      <c r="C2291" s="11"/>
      <c r="D2291" s="11" t="str">
        <f>IFERROR(__xludf.DUMMYFUNCTION("""COMPUTED_VALUE"""),"PEDIATRIA")</f>
        <v>PEDIATRIA</v>
      </c>
      <c r="E2291" s="11"/>
      <c r="F2291" s="11" t="str">
        <f>IFERROR(__xludf.DUMMYFUNCTION("""COMPUTED_VALUE"""),"US_163 HOSPITAL DE PEDIATRIA HELENA MOURA")</f>
        <v>US_163 HOSPITAL DE PEDIATRIA HELENA MOURA</v>
      </c>
      <c r="G2291" s="11" t="str">
        <f>IFERROR(__xludf.DUMMYFUNCTION("""COMPUTED_VALUE"""),"US_238 USF IRAQUE")</f>
        <v>US_238 USF IRAQUE</v>
      </c>
      <c r="H2291" s="11"/>
      <c r="I2291" s="11"/>
      <c r="J2291" s="11"/>
      <c r="K2291" s="11"/>
      <c r="L2291" s="11"/>
      <c r="M2291" s="11"/>
      <c r="N2291" s="30" t="str">
        <f>IFERROR(__xludf.DUMMYFUNCTION("""COMPUTED_VALUE"""),"RAQUELFRANCAGOMES@GMAIL.COM")</f>
        <v>RAQUELFRANCAGOMES@GMAIL.COM</v>
      </c>
      <c r="O2291" s="11">
        <f>IFERROR(__xludf.DUMMYFUNCTION("""COMPUTED_VALUE"""),12836672404)</f>
        <v>12836672404</v>
      </c>
      <c r="P2291" s="11"/>
      <c r="Q2291" s="11"/>
      <c r="R2291" s="11"/>
      <c r="S2291" s="11"/>
      <c r="T2291" s="11"/>
      <c r="U2291" s="11"/>
      <c r="V2291" s="11"/>
      <c r="W2291" s="11"/>
      <c r="X2291" s="11"/>
      <c r="Y2291" s="11"/>
      <c r="Z2291" s="11"/>
    </row>
    <row r="2292" customHeight="1" spans="1:26">
      <c r="A2292" s="11" t="str">
        <f>IFERROR(__xludf.DUMMYFUNCTION("""COMPUTED_VALUE"""),"VERA MARIA DA LUZ DA SILVA")</f>
        <v>VERA MARIA DA LUZ DA SILVA</v>
      </c>
      <c r="B2292" s="11"/>
      <c r="C2292" s="11"/>
      <c r="D2292" s="11" t="str">
        <f>IFERROR(__xludf.DUMMYFUNCTION("""COMPUTED_VALUE"""),"PEDIATRIA")</f>
        <v>PEDIATRIA</v>
      </c>
      <c r="E2292" s="11"/>
      <c r="F2292" s="11" t="str">
        <f>IFERROR(__xludf.DUMMYFUNCTION("""COMPUTED_VALUE"""),"US_163 HOSPITAL DE PEDIATRIA HELENA MOURA")</f>
        <v>US_163 HOSPITAL DE PEDIATRIA HELENA MOURA</v>
      </c>
      <c r="G2292" s="11" t="str">
        <f>IFERROR(__xludf.DUMMYFUNCTION("""COMPUTED_VALUE"""),"US_265 USF MANGUEIRA I")</f>
        <v>US_265 USF MANGUEIRA I</v>
      </c>
      <c r="H2292" s="11"/>
      <c r="I2292" s="11"/>
      <c r="J2292" s="11"/>
      <c r="K2292" s="11"/>
      <c r="L2292" s="11"/>
      <c r="M2292" s="11"/>
      <c r="N2292" s="30" t="str">
        <f>IFERROR(__xludf.DUMMYFUNCTION("""COMPUTED_VALUE"""),"vera.luz.silva84@gmail.com                             ")</f>
        <v>vera.luz.silva84@gmail.com                             </v>
      </c>
      <c r="O2292" s="11">
        <f>IFERROR(__xludf.DUMMYFUNCTION("""COMPUTED_VALUE"""),13810294420)</f>
        <v>13810294420</v>
      </c>
      <c r="P2292" s="11"/>
      <c r="Q2292" s="11"/>
      <c r="R2292" s="11"/>
      <c r="S2292" s="11"/>
      <c r="T2292" s="11"/>
      <c r="U2292" s="11"/>
      <c r="V2292" s="11"/>
      <c r="W2292" s="11"/>
      <c r="X2292" s="11"/>
      <c r="Y2292" s="11"/>
      <c r="Z2292" s="11"/>
    </row>
    <row r="2293" customHeight="1" spans="1:26">
      <c r="A2293" s="11" t="str">
        <f>IFERROR(__xludf.DUMMYFUNCTION("""COMPUTED_VALUE"""),"ELIZABETE ALMEIDA CASTRO")</f>
        <v>ELIZABETE ALMEIDA CASTRO</v>
      </c>
      <c r="B2293" s="11"/>
      <c r="C2293" s="11"/>
      <c r="D2293" s="11" t="str">
        <f>IFERROR(__xludf.DUMMYFUNCTION("""COMPUTED_VALUE"""),"PEDIATRIA")</f>
        <v>PEDIATRIA</v>
      </c>
      <c r="E2293" s="11"/>
      <c r="F2293" s="11" t="str">
        <f>IFERROR(__xludf.DUMMYFUNCTION("""COMPUTED_VALUE"""),"US_164 CENTRO DE REIDRATACAO E URG PED M CRAVO GAMA")</f>
        <v>US_164 CENTRO DE REIDRATACAO E URG PED M CRAVO GAMA</v>
      </c>
      <c r="G2293" s="11" t="str">
        <f>IFERROR(__xludf.DUMMYFUNCTION("""COMPUTED_VALUE"""),"US_404 USF SANTO AMARO III	")</f>
        <v>US_404 USF SANTO AMARO III	</v>
      </c>
      <c r="H2293" s="11"/>
      <c r="I2293" s="11"/>
      <c r="J2293" s="11"/>
      <c r="K2293" s="11"/>
      <c r="L2293" s="11"/>
      <c r="M2293" s="11"/>
      <c r="N2293" s="30" t="str">
        <f>IFERROR(__xludf.DUMMYFUNCTION("""COMPUTED_VALUE"""),"elizabetecastro@hotmail.com")</f>
        <v>elizabetecastro@hotmail.com</v>
      </c>
      <c r="O2293" s="11">
        <f>IFERROR(__xludf.DUMMYFUNCTION("""COMPUTED_VALUE"""),79961592468)</f>
        <v>79961592468</v>
      </c>
      <c r="P2293" s="11"/>
      <c r="Q2293" s="11"/>
      <c r="R2293" s="11"/>
      <c r="S2293" s="11"/>
      <c r="T2293" s="11"/>
      <c r="U2293" s="11"/>
      <c r="V2293" s="11"/>
      <c r="W2293" s="11"/>
      <c r="X2293" s="11"/>
      <c r="Y2293" s="11"/>
      <c r="Z2293" s="11"/>
    </row>
    <row r="2294" customHeight="1" spans="1:26">
      <c r="A2294" s="11" t="str">
        <f>IFERROR(__xludf.DUMMYFUNCTION("""COMPUTED_VALUE"""),"RENATA MARIA F DA CARVALHEIRA")</f>
        <v>RENATA MARIA F DA CARVALHEIRA</v>
      </c>
      <c r="B2294" s="11"/>
      <c r="C2294" s="11"/>
      <c r="D2294" s="11" t="str">
        <f>IFERROR(__xludf.DUMMYFUNCTION("""COMPUTED_VALUE"""),"PEDIATRIA")</f>
        <v>PEDIATRIA</v>
      </c>
      <c r="E2294" s="11"/>
      <c r="F2294" s="11" t="str">
        <f>IFERROR(__xludf.DUMMYFUNCTION("""COMPUTED_VALUE"""),"US_163 HOSPITAL DE PEDIATRIA HELENA MOURA")</f>
        <v>US_163 HOSPITAL DE PEDIATRIA HELENA MOURA</v>
      </c>
      <c r="G2294" s="11" t="str">
        <f>IFERROR(__xludf.DUMMYFUNCTION("""COMPUTED_VALUE"""),"US_255 USF UPINHA 24H VILA ARRAES	")</f>
        <v>US_255 USF UPINHA 24H VILA ARRAES	</v>
      </c>
      <c r="H2294" s="11"/>
      <c r="I2294" s="11"/>
      <c r="J2294" s="11"/>
      <c r="K2294" s="11"/>
      <c r="L2294" s="11"/>
      <c r="M2294" s="11"/>
      <c r="N2294" s="30" t="str">
        <f>IFERROR(__xludf.DUMMYFUNCTION("""COMPUTED_VALUE"""),"renatacarvalheira47@gmail.com                          ")</f>
        <v>renatacarvalheira47@gmail.com                          </v>
      </c>
      <c r="O2294" s="11">
        <f>IFERROR(__xludf.DUMMYFUNCTION("""COMPUTED_VALUE"""),51018047468)</f>
        <v>51018047468</v>
      </c>
      <c r="P2294" s="11"/>
      <c r="Q2294" s="11"/>
      <c r="R2294" s="11"/>
      <c r="S2294" s="11"/>
      <c r="T2294" s="11"/>
      <c r="U2294" s="11"/>
      <c r="V2294" s="11"/>
      <c r="W2294" s="11"/>
      <c r="X2294" s="11"/>
      <c r="Y2294" s="11"/>
      <c r="Z2294" s="11"/>
    </row>
    <row r="2295" customHeight="1" spans="1:26">
      <c r="A2295" s="11" t="str">
        <f>IFERROR(__xludf.DUMMYFUNCTION("""COMPUTED_VALUE"""),"CHRISTINE AUDET DE ALMEIDA")</f>
        <v>CHRISTINE AUDET DE ALMEIDA</v>
      </c>
      <c r="B2295" s="11"/>
      <c r="C2295" s="11"/>
      <c r="D2295" s="11" t="str">
        <f>IFERROR(__xludf.DUMMYFUNCTION("""COMPUTED_VALUE"""),"PEDIATRIA")</f>
        <v>PEDIATRIA</v>
      </c>
      <c r="E2295" s="11"/>
      <c r="F2295" s="11" t="str">
        <f>IFERROR(__xludf.DUMMYFUNCTION("""COMPUTED_VALUE"""),"US_163 HOSPITAL DE PEDIATRIA HELENA MOURA")</f>
        <v>US_163 HOSPITAL DE PEDIATRIA HELENA MOURA</v>
      </c>
      <c r="G2295" s="11" t="str">
        <f>IFERROR(__xludf.DUMMYFUNCTION("""COMPUTED_VALUE"""),"US_287 USF ALTO JOSE DO PINHO")</f>
        <v>US_287 USF ALTO JOSE DO PINHO</v>
      </c>
      <c r="H2295" s="11"/>
      <c r="I2295" s="11"/>
      <c r="J2295" s="11"/>
      <c r="K2295" s="11"/>
      <c r="L2295" s="11"/>
      <c r="M2295" s="11"/>
      <c r="N2295" s="30" t="str">
        <f>IFERROR(__xludf.DUMMYFUNCTION("""COMPUTED_VALUE"""),"christineaudet@uol.com.br                              ")</f>
        <v>christineaudet@uol.com.br                              </v>
      </c>
      <c r="O2295" s="11">
        <f>IFERROR(__xludf.DUMMYFUNCTION("""COMPUTED_VALUE"""),78116902415)</f>
        <v>78116902415</v>
      </c>
      <c r="P2295" s="11"/>
      <c r="Q2295" s="11"/>
      <c r="R2295" s="11"/>
      <c r="S2295" s="11"/>
      <c r="T2295" s="11"/>
      <c r="U2295" s="11"/>
      <c r="V2295" s="11"/>
      <c r="W2295" s="11"/>
      <c r="X2295" s="11"/>
      <c r="Y2295" s="11"/>
      <c r="Z2295" s="11"/>
    </row>
    <row r="2296" customHeight="1" spans="1:26">
      <c r="A2296" s="11" t="str">
        <f>IFERROR(__xludf.DUMMYFUNCTION("""COMPUTED_VALUE"""),"ELIZANGELA PESSOA DE MELO")</f>
        <v>ELIZANGELA PESSOA DE MELO</v>
      </c>
      <c r="B2296" s="11"/>
      <c r="C2296" s="11"/>
      <c r="D2296" s="11" t="str">
        <f>IFERROR(__xludf.DUMMYFUNCTION("""COMPUTED_VALUE"""),"PEDIATRIA")</f>
        <v>PEDIATRIA</v>
      </c>
      <c r="E2296" s="11"/>
      <c r="F2296" s="11" t="str">
        <f>IFERROR(__xludf.DUMMYFUNCTION("""COMPUTED_VALUE"""),"US_164 CENTRO DE REIDRATACAO E URG PED M CRAVO GAMA")</f>
        <v>US_164 CENTRO DE REIDRATACAO E URG PED M CRAVO GAMA</v>
      </c>
      <c r="G2296" s="11" t="str">
        <f>IFERROR(__xludf.DUMMYFUNCTION("""COMPUTED_VALUE"""),"US_162 POLICLINICA ALBERT SABIN")</f>
        <v>US_162 POLICLINICA ALBERT SABIN</v>
      </c>
      <c r="H2296" s="11"/>
      <c r="I2296" s="11"/>
      <c r="J2296" s="11"/>
      <c r="K2296" s="11"/>
      <c r="L2296" s="11"/>
      <c r="M2296" s="11"/>
      <c r="N2296" s="30" t="str">
        <f>IFERROR(__xludf.DUMMYFUNCTION("""COMPUTED_VALUE"""),"lizpmelo@gmail.com")</f>
        <v>lizpmelo@gmail.com</v>
      </c>
      <c r="O2296" s="11">
        <f>IFERROR(__xludf.DUMMYFUNCTION("""COMPUTED_VALUE"""),2147659460)</f>
        <v>2147659460</v>
      </c>
      <c r="P2296" s="11"/>
      <c r="Q2296" s="11"/>
      <c r="R2296" s="11"/>
      <c r="S2296" s="11"/>
      <c r="T2296" s="11"/>
      <c r="U2296" s="11"/>
      <c r="V2296" s="11"/>
      <c r="W2296" s="11"/>
      <c r="X2296" s="11"/>
      <c r="Y2296" s="11"/>
      <c r="Z2296" s="11"/>
    </row>
    <row r="2297" customHeight="1" spans="1:26">
      <c r="A2297" s="11" t="str">
        <f>IFERROR(__xludf.DUMMYFUNCTION("""COMPUTED_VALUE"""),"MARIA DE FATIMA W NOROES")</f>
        <v>MARIA DE FATIMA W NOROES</v>
      </c>
      <c r="B2297" s="11"/>
      <c r="C2297" s="11"/>
      <c r="D2297" s="11" t="str">
        <f>IFERROR(__xludf.DUMMYFUNCTION("""COMPUTED_VALUE"""),"PEDIATRIA")</f>
        <v>PEDIATRIA</v>
      </c>
      <c r="E2297" s="11"/>
      <c r="F2297" s="11" t="str">
        <f>IFERROR(__xludf.DUMMYFUNCTION("""COMPUTED_VALUE"""),"US_163 HOSPITAL DE PEDIATRIA HELENA MOURA")</f>
        <v>US_163 HOSPITAL DE PEDIATRIA HELENA MOURA</v>
      </c>
      <c r="G2297" s="11" t="str">
        <f>IFERROR(__xludf.DUMMYFUNCTION("""COMPUTED_VALUE"""),"US_184 USF VILA UNIAO / AIRTON SENA")</f>
        <v>US_184 USF VILA UNIAO / AIRTON SENA</v>
      </c>
      <c r="H2297" s="11"/>
      <c r="I2297" s="11"/>
      <c r="J2297" s="11"/>
      <c r="K2297" s="11"/>
      <c r="L2297" s="11"/>
      <c r="M2297" s="11"/>
      <c r="N2297" s="30" t="str">
        <f>IFERROR(__xludf.DUMMYFUNCTION("""COMPUTED_VALUE"""),"mfwestphalen@gmail.com")</f>
        <v>mfwestphalen@gmail.com</v>
      </c>
      <c r="O2297" s="11">
        <f>IFERROR(__xludf.DUMMYFUNCTION("""COMPUTED_VALUE"""),12882259468)</f>
        <v>12882259468</v>
      </c>
      <c r="P2297" s="11"/>
      <c r="Q2297" s="11"/>
      <c r="R2297" s="11"/>
      <c r="S2297" s="11"/>
      <c r="T2297" s="11"/>
      <c r="U2297" s="11"/>
      <c r="V2297" s="11"/>
      <c r="W2297" s="11"/>
      <c r="X2297" s="11"/>
      <c r="Y2297" s="11"/>
      <c r="Z2297" s="11"/>
    </row>
    <row r="2298" customHeight="1" spans="1:26">
      <c r="A2298" s="11" t="str">
        <f>IFERROR(__xludf.DUMMYFUNCTION("""COMPUTED_VALUE"""),"PAULA GUIMARAES G DOS SANTOS")</f>
        <v>PAULA GUIMARAES G DOS SANTOS</v>
      </c>
      <c r="B2298" s="11"/>
      <c r="C2298" s="11"/>
      <c r="D2298" s="11" t="str">
        <f>IFERROR(__xludf.DUMMYFUNCTION("""COMPUTED_VALUE"""),"PEDIATRIA")</f>
        <v>PEDIATRIA</v>
      </c>
      <c r="E2298" s="11"/>
      <c r="F2298" s="11" t="str">
        <f>IFERROR(__xludf.DUMMYFUNCTION("""COMPUTED_VALUE"""),"US_164 CENTRO DE REIDRATACAO E URG PED M CRAVO GAMA")</f>
        <v>US_164 CENTRO DE REIDRATACAO E URG PED M CRAVO GAMA</v>
      </c>
      <c r="G2298" s="11" t="str">
        <f>IFERROR(__xludf.DUMMYFUNCTION("""COMPUTED_VALUE"""),"US_295 USF COSME E DAMIAO	")</f>
        <v>US_295 USF COSME E DAMIAO	</v>
      </c>
      <c r="H2298" s="11"/>
      <c r="I2298" s="11"/>
      <c r="J2298" s="11"/>
      <c r="K2298" s="11"/>
      <c r="L2298" s="11"/>
      <c r="M2298" s="11"/>
      <c r="N2298" s="30" t="str">
        <f>IFERROR(__xludf.DUMMYFUNCTION("""COMPUTED_VALUE"""),"pagu12@hotmail.com")</f>
        <v>pagu12@hotmail.com</v>
      </c>
      <c r="O2298" s="11">
        <f>IFERROR(__xludf.DUMMYFUNCTION("""COMPUTED_VALUE"""),3282978448)</f>
        <v>3282978448</v>
      </c>
      <c r="P2298" s="11"/>
      <c r="Q2298" s="11"/>
      <c r="R2298" s="11"/>
      <c r="S2298" s="11"/>
      <c r="T2298" s="11"/>
      <c r="U2298" s="11"/>
      <c r="V2298" s="11"/>
      <c r="W2298" s="11"/>
      <c r="X2298" s="11"/>
      <c r="Y2298" s="11"/>
      <c r="Z2298" s="11"/>
    </row>
    <row r="2299" customHeight="1" spans="1:26">
      <c r="A2299" s="11" t="str">
        <f>IFERROR(__xludf.DUMMYFUNCTION("""COMPUTED_VALUE"""),"ANA MARIA FERREIRA CUNHA")</f>
        <v>ANA MARIA FERREIRA CUNHA</v>
      </c>
      <c r="B2299" s="11"/>
      <c r="C2299" s="11"/>
      <c r="D2299" s="11" t="str">
        <f>IFERROR(__xludf.DUMMYFUNCTION("""COMPUTED_VALUE"""),"PEDIATRIA")</f>
        <v>PEDIATRIA</v>
      </c>
      <c r="E2299" s="11"/>
      <c r="F2299" s="11" t="str">
        <f>IFERROR(__xludf.DUMMYFUNCTION("""COMPUTED_VALUE"""),"US_163 HOSPITAL DE PEDIATRIA HELENA MOURA")</f>
        <v>US_163 HOSPITAL DE PEDIATRIA HELENA MOURA</v>
      </c>
      <c r="G2299" s="11" t="str">
        <f>IFERROR(__xludf.DUMMYFUNCTION("""COMPUTED_VALUE"""),"US_144 POLICLINICA CLEMENTINO FRAGA")</f>
        <v>US_144 POLICLINICA CLEMENTINO FRAGA</v>
      </c>
      <c r="H2299" s="11"/>
      <c r="I2299" s="11"/>
      <c r="J2299" s="11"/>
      <c r="K2299" s="11"/>
      <c r="L2299" s="11"/>
      <c r="M2299" s="11"/>
      <c r="N2299" s="30" t="str">
        <f>IFERROR(__xludf.DUMMYFUNCTION("""COMPUTED_VALUE"""),"amfcunha2005@hotmail.com                               ")</f>
        <v>amfcunha2005@hotmail.com                               </v>
      </c>
      <c r="O2299" s="11">
        <f>IFERROR(__xludf.DUMMYFUNCTION("""COMPUTED_VALUE"""),50197452353)</f>
        <v>50197452353</v>
      </c>
      <c r="P2299" s="11"/>
      <c r="Q2299" s="11"/>
      <c r="R2299" s="11"/>
      <c r="S2299" s="11"/>
      <c r="T2299" s="11"/>
      <c r="U2299" s="11"/>
      <c r="V2299" s="11"/>
      <c r="W2299" s="11"/>
      <c r="X2299" s="11"/>
      <c r="Y2299" s="11"/>
      <c r="Z2299" s="11"/>
    </row>
    <row r="2300" customHeight="1" spans="1:26">
      <c r="A2300" s="11" t="str">
        <f>IFERROR(__xludf.DUMMYFUNCTION("""COMPUTED_VALUE"""),"ANDREA CANAVARRO LACERDA")</f>
        <v>ANDREA CANAVARRO LACERDA</v>
      </c>
      <c r="B2300" s="11"/>
      <c r="C2300" s="11"/>
      <c r="D2300" s="11" t="str">
        <f>IFERROR(__xludf.DUMMYFUNCTION("""COMPUTED_VALUE"""),"PEDIATRIA")</f>
        <v>PEDIATRIA</v>
      </c>
      <c r="E2300" s="11"/>
      <c r="F2300" s="11" t="str">
        <f>IFERROR(__xludf.DUMMYFUNCTION("""COMPUTED_VALUE"""),"US_163 HOSPITAL DE PEDIATRIA HELENA MOURA")</f>
        <v>US_163 HOSPITAL DE PEDIATRIA HELENA MOURA</v>
      </c>
      <c r="G2300" s="11" t="str">
        <f>IFERROR(__xludf.DUMMYFUNCTION("""COMPUTED_VALUE"""),"US_226 USF CHAO DE ESTRELAS")</f>
        <v>US_226 USF CHAO DE ESTRELAS</v>
      </c>
      <c r="H2300" s="11"/>
      <c r="I2300" s="11"/>
      <c r="J2300" s="11"/>
      <c r="K2300" s="11"/>
      <c r="L2300" s="11"/>
      <c r="M2300" s="11"/>
      <c r="N2300" s="30" t="str">
        <f>IFERROR(__xludf.DUMMYFUNCTION("""COMPUTED_VALUE"""),"andrealacerda28@hotmail.com                            ")</f>
        <v>andrealacerda28@hotmail.com                            </v>
      </c>
      <c r="O2300" s="11">
        <f>IFERROR(__xludf.DUMMYFUNCTION("""COMPUTED_VALUE"""),2953016430)</f>
        <v>2953016430</v>
      </c>
      <c r="P2300" s="11"/>
      <c r="Q2300" s="11"/>
      <c r="R2300" s="11"/>
      <c r="S2300" s="11"/>
      <c r="T2300" s="11"/>
      <c r="U2300" s="11"/>
      <c r="V2300" s="11"/>
      <c r="W2300" s="11"/>
      <c r="X2300" s="11"/>
      <c r="Y2300" s="11"/>
      <c r="Z2300" s="11"/>
    </row>
    <row r="2301" customHeight="1" spans="1:26">
      <c r="A2301" s="11" t="str">
        <f>IFERROR(__xludf.DUMMYFUNCTION("""COMPUTED_VALUE"""),"PATRICIA F DE M GONCALVES")</f>
        <v>PATRICIA F DE M GONCALVES</v>
      </c>
      <c r="B2301" s="11"/>
      <c r="C2301" s="11"/>
      <c r="D2301" s="11" t="str">
        <f>IFERROR(__xludf.DUMMYFUNCTION("""COMPUTED_VALUE"""),"NEONATOLOGIA")</f>
        <v>NEONATOLOGIA</v>
      </c>
      <c r="E2301" s="11"/>
      <c r="F2301" s="11" t="str">
        <f>IFERROR(__xludf.DUMMYFUNCTION("""COMPUTED_VALUE"""),"US_163 HOSPITAL DE PEDIATRIA HELENA MOURA")</f>
        <v>US_163 HOSPITAL DE PEDIATRIA HELENA MOURA</v>
      </c>
      <c r="G2301" s="11" t="str">
        <f>IFERROR(__xludf.DUMMYFUNCTION("""COMPUTED_VALUE"""),"US_266 USF MANGUEIRA II")</f>
        <v>US_266 USF MANGUEIRA II</v>
      </c>
      <c r="H2301" s="11"/>
      <c r="I2301" s="11"/>
      <c r="J2301" s="11"/>
      <c r="K2301" s="11"/>
      <c r="L2301" s="11"/>
      <c r="M2301" s="11"/>
      <c r="N2301" s="30" t="str">
        <f>IFERROR(__xludf.DUMMYFUNCTION("""COMPUTED_VALUE"""),"patriciafmg@hotmail.com")</f>
        <v>patriciafmg@hotmail.com</v>
      </c>
      <c r="O2301" s="11">
        <f>IFERROR(__xludf.DUMMYFUNCTION("""COMPUTED_VALUE"""),2170774475)</f>
        <v>2170774475</v>
      </c>
      <c r="P2301" s="11"/>
      <c r="Q2301" s="11"/>
      <c r="R2301" s="11"/>
      <c r="S2301" s="11"/>
      <c r="T2301" s="11"/>
      <c r="U2301" s="11"/>
      <c r="V2301" s="11"/>
      <c r="W2301" s="11"/>
      <c r="X2301" s="11"/>
      <c r="Y2301" s="11"/>
      <c r="Z2301" s="11"/>
    </row>
    <row r="2302" customHeight="1" spans="1:26">
      <c r="A2302" s="11" t="str">
        <f>IFERROR(__xludf.DUMMYFUNCTION("""COMPUTED_VALUE"""),"SANDRA ROBERTA C DA CUNHA")</f>
        <v>SANDRA ROBERTA C DA CUNHA</v>
      </c>
      <c r="B2302" s="11"/>
      <c r="C2302" s="11"/>
      <c r="D2302" s="11" t="str">
        <f>IFERROR(__xludf.DUMMYFUNCTION("""COMPUTED_VALUE"""),"PEDIATRIA")</f>
        <v>PEDIATRIA</v>
      </c>
      <c r="E2302" s="11"/>
      <c r="F2302" s="11" t="str">
        <f>IFERROR(__xludf.DUMMYFUNCTION("""COMPUTED_VALUE"""),"US_163 HOSPITAL DE PEDIATRIA HELENA MOURA")</f>
        <v>US_163 HOSPITAL DE PEDIATRIA HELENA MOURA</v>
      </c>
      <c r="G2302" s="11" t="str">
        <f>IFERROR(__xludf.DUMMYFUNCTION("""COMPUTED_VALUE"""),"US_218 USF COQUE")</f>
        <v>US_218 USF COQUE</v>
      </c>
      <c r="H2302" s="11"/>
      <c r="I2302" s="11"/>
      <c r="J2302" s="11"/>
      <c r="K2302" s="11"/>
      <c r="L2302" s="11"/>
      <c r="M2302" s="11"/>
      <c r="N2302" s="30" t="str">
        <f>IFERROR(__xludf.DUMMYFUNCTION("""COMPUTED_VALUE"""),"sbetinha75@hotmail.com                                 ")</f>
        <v>sbetinha75@hotmail.com                                 </v>
      </c>
      <c r="O2302" s="11">
        <f>IFERROR(__xludf.DUMMYFUNCTION("""COMPUTED_VALUE"""),2693611466)</f>
        <v>2693611466</v>
      </c>
      <c r="P2302" s="11"/>
      <c r="Q2302" s="11"/>
      <c r="R2302" s="11"/>
      <c r="S2302" s="11"/>
      <c r="T2302" s="11"/>
      <c r="U2302" s="11"/>
      <c r="V2302" s="11"/>
      <c r="W2302" s="11"/>
      <c r="X2302" s="11"/>
      <c r="Y2302" s="11"/>
      <c r="Z2302" s="11"/>
    </row>
    <row r="2303" customHeight="1" spans="1:26">
      <c r="A2303" s="11" t="str">
        <f>IFERROR(__xludf.DUMMYFUNCTION("""COMPUTED_VALUE"""),"MARCIA CRISTINA C B LOUREIRO")</f>
        <v>MARCIA CRISTINA C B LOUREIRO</v>
      </c>
      <c r="B2303" s="11"/>
      <c r="C2303" s="11"/>
      <c r="D2303" s="11" t="str">
        <f>IFERROR(__xludf.DUMMYFUNCTION("""COMPUTED_VALUE"""),"PEDIATRIA")</f>
        <v>PEDIATRIA</v>
      </c>
      <c r="E2303" s="11"/>
      <c r="F2303" s="11" t="str">
        <f>IFERROR(__xludf.DUMMYFUNCTION("""COMPUTED_VALUE"""),"US_163 HOSPITAL DE PEDIATRIA HELENA MOURA")</f>
        <v>US_163 HOSPITAL DE PEDIATRIA HELENA MOURA</v>
      </c>
      <c r="G2303" s="11" t="str">
        <f>IFERROR(__xludf.DUMMYFUNCTION("""COMPUTED_VALUE"""),"US_259 USF SITIO SAO BRAZ	")</f>
        <v>US_259 USF SITIO SAO BRAZ	</v>
      </c>
      <c r="H2303" s="11"/>
      <c r="I2303" s="11"/>
      <c r="J2303" s="11"/>
      <c r="K2303" s="11"/>
      <c r="L2303" s="11"/>
      <c r="M2303" s="11"/>
      <c r="N2303" s="30" t="str">
        <f>IFERROR(__xludf.DUMMYFUNCTION("""COMPUTED_VALUE"""),"mccbrandao12@yahoo.com.br")</f>
        <v>mccbrandao12@yahoo.com.br</v>
      </c>
      <c r="O2303" s="11">
        <f>IFERROR(__xludf.DUMMYFUNCTION("""COMPUTED_VALUE"""),88999190463)</f>
        <v>88999190463</v>
      </c>
      <c r="P2303" s="11"/>
      <c r="Q2303" s="11"/>
      <c r="R2303" s="11"/>
      <c r="S2303" s="11"/>
      <c r="T2303" s="11"/>
      <c r="U2303" s="11"/>
      <c r="V2303" s="11"/>
      <c r="W2303" s="11"/>
      <c r="X2303" s="11"/>
      <c r="Y2303" s="11"/>
      <c r="Z2303" s="11"/>
    </row>
    <row r="2304" customHeight="1" spans="1:26">
      <c r="A2304" s="11" t="str">
        <f>IFERROR(__xludf.DUMMYFUNCTION("""COMPUTED_VALUE"""),"TACIANA BARBOSA GOMES VALENCA")</f>
        <v>TACIANA BARBOSA GOMES VALENCA</v>
      </c>
      <c r="B2304" s="11"/>
      <c r="C2304" s="11"/>
      <c r="D2304" s="11" t="str">
        <f>IFERROR(__xludf.DUMMYFUNCTION("""COMPUTED_VALUE"""),"PEDIATRIA")</f>
        <v>PEDIATRIA</v>
      </c>
      <c r="E2304" s="11"/>
      <c r="F2304" s="11" t="str">
        <f>IFERROR(__xludf.DUMMYFUNCTION("""COMPUTED_VALUE"""),"US_163 HOSPITAL DE PEDIATRIA HELENA MOURA")</f>
        <v>US_163 HOSPITAL DE PEDIATRIA HELENA MOURA</v>
      </c>
      <c r="G2304" s="11" t="str">
        <f>IFERROR(__xludf.DUMMYFUNCTION("""COMPUTED_VALUE"""),"US_171 CS JOAQUIM COSTA CARVALHO/ALTO DO MANDU")</f>
        <v>US_171 CS JOAQUIM COSTA CARVALHO/ALTO DO MANDU</v>
      </c>
      <c r="H2304" s="11"/>
      <c r="I2304" s="11"/>
      <c r="J2304" s="11"/>
      <c r="K2304" s="11"/>
      <c r="L2304" s="11"/>
      <c r="M2304" s="11"/>
      <c r="N2304" s="30" t="str">
        <f>IFERROR(__xludf.DUMMYFUNCTION("""COMPUTED_VALUE"""),"tacigomes@hotmail.com                                  ")</f>
        <v>tacigomes@hotmail.com                                  </v>
      </c>
      <c r="O2304" s="11">
        <f>IFERROR(__xludf.DUMMYFUNCTION("""COMPUTED_VALUE"""),813534488)</f>
        <v>813534488</v>
      </c>
      <c r="P2304" s="11"/>
      <c r="Q2304" s="11"/>
      <c r="R2304" s="11"/>
      <c r="S2304" s="11"/>
      <c r="T2304" s="11"/>
      <c r="U2304" s="11"/>
      <c r="V2304" s="11"/>
      <c r="W2304" s="11"/>
      <c r="X2304" s="11"/>
      <c r="Y2304" s="11"/>
      <c r="Z2304" s="11"/>
    </row>
    <row r="2305" customHeight="1" spans="1:26">
      <c r="A2305" s="11" t="str">
        <f>IFERROR(__xludf.DUMMYFUNCTION("""COMPUTED_VALUE"""),"EULALIA MARIA MOURA DE SORDI")</f>
        <v>EULALIA MARIA MOURA DE SORDI</v>
      </c>
      <c r="B2305" s="11"/>
      <c r="C2305" s="11"/>
      <c r="D2305" s="11" t="str">
        <f>IFERROR(__xludf.DUMMYFUNCTION("""COMPUTED_VALUE"""),"PEDIATRIA")</f>
        <v>PEDIATRIA</v>
      </c>
      <c r="E2305" s="11"/>
      <c r="F2305" s="11" t="str">
        <f>IFERROR(__xludf.DUMMYFUNCTION("""COMPUTED_VALUE"""),"US_163 HOSPITAL DE PEDIATRIA HELENA MOURA")</f>
        <v>US_163 HOSPITAL DE PEDIATRIA HELENA MOURA</v>
      </c>
      <c r="G2305" s="11" t="str">
        <f>IFERROR(__xludf.DUMMYFUNCTION("""COMPUTED_VALUE"""),"US_331 USF PROF AMAURY DE MEDEIROS")</f>
        <v>US_331 USF PROF AMAURY DE MEDEIROS</v>
      </c>
      <c r="H2305" s="11"/>
      <c r="I2305" s="11"/>
      <c r="J2305" s="11"/>
      <c r="K2305" s="11"/>
      <c r="L2305" s="11"/>
      <c r="M2305" s="11"/>
      <c r="N2305" s="30" t="str">
        <f>IFERROR(__xludf.DUMMYFUNCTION("""COMPUTED_VALUE"""),"eulaliammn@hotmail.com")</f>
        <v>eulaliammn@hotmail.com</v>
      </c>
      <c r="O2305" s="11">
        <f>IFERROR(__xludf.DUMMYFUNCTION("""COMPUTED_VALUE"""),2915148473)</f>
        <v>2915148473</v>
      </c>
      <c r="P2305" s="11"/>
      <c r="Q2305" s="11"/>
      <c r="R2305" s="11"/>
      <c r="S2305" s="11"/>
      <c r="T2305" s="11"/>
      <c r="U2305" s="11"/>
      <c r="V2305" s="11"/>
      <c r="W2305" s="11"/>
      <c r="X2305" s="11"/>
      <c r="Y2305" s="11"/>
      <c r="Z2305" s="11"/>
    </row>
    <row r="2306" customHeight="1" spans="1:26">
      <c r="A2306" s="11" t="str">
        <f>IFERROR(__xludf.DUMMYFUNCTION("""COMPUTED_VALUE"""),"ELDA CARMEM ALVES M TORRES")</f>
        <v>ELDA CARMEM ALVES M TORRES</v>
      </c>
      <c r="B2306" s="11"/>
      <c r="C2306" s="11"/>
      <c r="D2306" s="11" t="str">
        <f>IFERROR(__xludf.DUMMYFUNCTION("""COMPUTED_VALUE"""),"PEDIATRIA")</f>
        <v>PEDIATRIA</v>
      </c>
      <c r="E2306" s="11"/>
      <c r="F2306" s="11" t="str">
        <f>IFERROR(__xludf.DUMMYFUNCTION("""COMPUTED_VALUE"""),"US_164 CENTRO DE REIDRATACAO E URG PED M CRAVO GAMA")</f>
        <v>US_164 CENTRO DE REIDRATACAO E URG PED M CRAVO GAMA</v>
      </c>
      <c r="G2306" s="11" t="str">
        <f>IFERROR(__xludf.DUMMYFUNCTION("""COMPUTED_VALUE"""),"US_305 USF DA MACAXEIRA")</f>
        <v>US_305 USF DA MACAXEIRA</v>
      </c>
      <c r="H2306" s="11"/>
      <c r="I2306" s="11"/>
      <c r="J2306" s="11"/>
      <c r="K2306" s="11"/>
      <c r="L2306" s="11"/>
      <c r="M2306" s="11"/>
      <c r="N2306" s="30" t="str">
        <f>IFERROR(__xludf.DUMMYFUNCTION("""COMPUTED_VALUE"""),"eldamtorres@hotmail.com")</f>
        <v>eldamtorres@hotmail.com</v>
      </c>
      <c r="O2306" s="11">
        <f>IFERROR(__xludf.DUMMYFUNCTION("""COMPUTED_VALUE"""),71802657487)</f>
        <v>71802657487</v>
      </c>
      <c r="P2306" s="11"/>
      <c r="Q2306" s="11"/>
      <c r="R2306" s="11"/>
      <c r="S2306" s="11"/>
      <c r="T2306" s="11"/>
      <c r="U2306" s="11"/>
      <c r="V2306" s="11"/>
      <c r="W2306" s="11"/>
      <c r="X2306" s="11"/>
      <c r="Y2306" s="11"/>
      <c r="Z2306" s="11"/>
    </row>
    <row r="2307" customHeight="1" spans="1:26">
      <c r="A2307" s="11" t="str">
        <f>IFERROR(__xludf.DUMMYFUNCTION("""COMPUTED_VALUE"""),"IRIA MARIA GUEDES B BELFORT")</f>
        <v>IRIA MARIA GUEDES B BELFORT</v>
      </c>
      <c r="B2307" s="11"/>
      <c r="C2307" s="11"/>
      <c r="D2307" s="11" t="str">
        <f>IFERROR(__xludf.DUMMYFUNCTION("""COMPUTED_VALUE"""),"PEDIATRIA")</f>
        <v>PEDIATRIA</v>
      </c>
      <c r="E2307" s="11"/>
      <c r="F2307" s="11" t="str">
        <f>IFERROR(__xludf.DUMMYFUNCTION("""COMPUTED_VALUE"""),"US_163 HOSPITAL DE PEDIATRIA HELENA MOURA")</f>
        <v>US_163 HOSPITAL DE PEDIATRIA HELENA MOURA</v>
      </c>
      <c r="G2307" s="11" t="str">
        <f>IFERROR(__xludf.DUMMYFUNCTION("""COMPUTED_VALUE"""),"US_278 USF NOSSA SRA DO PILAR BAIRRO DO RECIFE")</f>
        <v>US_278 USF NOSSA SRA DO PILAR BAIRRO DO RECIFE</v>
      </c>
      <c r="H2307" s="11"/>
      <c r="I2307" s="11"/>
      <c r="J2307" s="11"/>
      <c r="K2307" s="11"/>
      <c r="L2307" s="11"/>
      <c r="M2307" s="11"/>
      <c r="N2307" s="30" t="str">
        <f>IFERROR(__xludf.DUMMYFUNCTION("""COMPUTED_VALUE"""),"iriagb@yahoo.com.br")</f>
        <v>iriagb@yahoo.com.br</v>
      </c>
      <c r="O2307" s="11">
        <f>IFERROR(__xludf.DUMMYFUNCTION("""COMPUTED_VALUE"""),8922497491)</f>
        <v>8922497491</v>
      </c>
      <c r="P2307" s="11"/>
      <c r="Q2307" s="11"/>
      <c r="R2307" s="11"/>
      <c r="S2307" s="11"/>
      <c r="T2307" s="11"/>
      <c r="U2307" s="11"/>
      <c r="V2307" s="11"/>
      <c r="W2307" s="11"/>
      <c r="X2307" s="11"/>
      <c r="Y2307" s="11"/>
      <c r="Z2307" s="11"/>
    </row>
    <row r="2308" customHeight="1" spans="1:26">
      <c r="A2308" s="11" t="str">
        <f>IFERROR(__xludf.DUMMYFUNCTION("""COMPUTED_VALUE"""),"HEBER VIEIRA COUTINHO JUNIOR")</f>
        <v>HEBER VIEIRA COUTINHO JUNIOR</v>
      </c>
      <c r="B2308" s="11"/>
      <c r="C2308" s="11"/>
      <c r="D2308" s="11" t="str">
        <f>IFERROR(__xludf.DUMMYFUNCTION("""COMPUTED_VALUE"""),"PEDIATRIA")</f>
        <v>PEDIATRIA</v>
      </c>
      <c r="E2308" s="11"/>
      <c r="F2308" s="11" t="str">
        <f>IFERROR(__xludf.DUMMYFUNCTION("""COMPUTED_VALUE"""),"US_164 CENTRO DE REIDRATACAO E URG PED M CRAVO GAMA")</f>
        <v>US_164 CENTRO DE REIDRATACAO E URG PED M CRAVO GAMA</v>
      </c>
      <c r="G2308" s="11" t="str">
        <f>IFERROR(__xludf.DUMMYFUNCTION("""COMPUTED_VALUE"""),"US_112 CS DR JOSE DUSTAN CARVALHO SOARES	")</f>
        <v>US_112 CS DR JOSE DUSTAN CARVALHO SOARES	</v>
      </c>
      <c r="H2308" s="11"/>
      <c r="I2308" s="11"/>
      <c r="J2308" s="11"/>
      <c r="K2308" s="11"/>
      <c r="L2308" s="11"/>
      <c r="M2308" s="11"/>
      <c r="N2308" s="30" t="str">
        <f>IFERROR(__xludf.DUMMYFUNCTION("""COMPUTED_VALUE"""),"hebercoutinho@gmail.com")</f>
        <v>hebercoutinho@gmail.com</v>
      </c>
      <c r="O2308" s="11">
        <f>IFERROR(__xludf.DUMMYFUNCTION("""COMPUTED_VALUE"""),8028527779)</f>
        <v>8028527779</v>
      </c>
      <c r="P2308" s="11"/>
      <c r="Q2308" s="11"/>
      <c r="R2308" s="11"/>
      <c r="S2308" s="11"/>
      <c r="T2308" s="11"/>
      <c r="U2308" s="11"/>
      <c r="V2308" s="11"/>
      <c r="W2308" s="11"/>
      <c r="X2308" s="11"/>
      <c r="Y2308" s="11"/>
      <c r="Z2308" s="11"/>
    </row>
    <row r="2309" customHeight="1" spans="1:26">
      <c r="A2309" s="11" t="str">
        <f>IFERROR(__xludf.DUMMYFUNCTION("""COMPUTED_VALUE"""),"EDILENE MARIA DE C SILVESTRE")</f>
        <v>EDILENE MARIA DE C SILVESTRE</v>
      </c>
      <c r="B2309" s="11"/>
      <c r="C2309" s="11"/>
      <c r="D2309" s="11" t="str">
        <f>IFERROR(__xludf.DUMMYFUNCTION("""COMPUTED_VALUE"""),"NEONATOLOGIA")</f>
        <v>NEONATOLOGIA</v>
      </c>
      <c r="E2309" s="11"/>
      <c r="F2309" s="11" t="str">
        <f>IFERROR(__xludf.DUMMYFUNCTION("""COMPUTED_VALUE"""),"US_163 HOSPITAL DE PEDIATRIA HELENA MOURA")</f>
        <v>US_163 HOSPITAL DE PEDIATRIA HELENA MOURA</v>
      </c>
      <c r="G2309" s="11" t="str">
        <f>IFERROR(__xludf.DUMMYFUNCTION("""COMPUTED_VALUE"""),"US_226 USF CHAO DE ESTRELAS")</f>
        <v>US_226 USF CHAO DE ESTRELAS</v>
      </c>
      <c r="H2309" s="11"/>
      <c r="I2309" s="11"/>
      <c r="J2309" s="11"/>
      <c r="K2309" s="11"/>
      <c r="L2309" s="11"/>
      <c r="M2309" s="11"/>
      <c r="N2309" s="30" t="str">
        <f>IFERROR(__xludf.DUMMYFUNCTION("""COMPUTED_VALUE"""),"edilene.castro.s@gmail.com")</f>
        <v>edilene.castro.s@gmail.com</v>
      </c>
      <c r="O2309" s="11">
        <f>IFERROR(__xludf.DUMMYFUNCTION("""COMPUTED_VALUE"""),69525986420)</f>
        <v>69525986420</v>
      </c>
      <c r="P2309" s="11"/>
      <c r="Q2309" s="11"/>
      <c r="R2309" s="11"/>
      <c r="S2309" s="11"/>
      <c r="T2309" s="11"/>
      <c r="U2309" s="11"/>
      <c r="V2309" s="11"/>
      <c r="W2309" s="11"/>
      <c r="X2309" s="11"/>
      <c r="Y2309" s="11"/>
      <c r="Z2309" s="11"/>
    </row>
    <row r="2310" customHeight="1" spans="1:26">
      <c r="A2310" s="11" t="str">
        <f>IFERROR(__xludf.DUMMYFUNCTION("""COMPUTED_VALUE"""),"MARIANA SANTANA F DE MENDONCA")</f>
        <v>MARIANA SANTANA F DE MENDONCA</v>
      </c>
      <c r="B2310" s="11"/>
      <c r="C2310" s="11"/>
      <c r="D2310" s="11" t="str">
        <f>IFERROR(__xludf.DUMMYFUNCTION("""COMPUTED_VALUE"""),"PEDIATRIA")</f>
        <v>PEDIATRIA</v>
      </c>
      <c r="E2310" s="11"/>
      <c r="F2310" s="11" t="str">
        <f>IFERROR(__xludf.DUMMYFUNCTION("""COMPUTED_VALUE"""),"US_163 HOSPITAL DE PEDIATRIA HELENA MOURA")</f>
        <v>US_163 HOSPITAL DE PEDIATRIA HELENA MOURA</v>
      </c>
      <c r="G2310" s="11" t="str">
        <f>IFERROR(__xludf.DUMMYFUNCTION("""COMPUTED_VALUE"""),"US_274 USF TIA REGINA/CORREGO DO DEODATO")</f>
        <v>US_274 USF TIA REGINA/CORREGO DO DEODATO</v>
      </c>
      <c r="H2310" s="11"/>
      <c r="I2310" s="11"/>
      <c r="J2310" s="11"/>
      <c r="K2310" s="11"/>
      <c r="L2310" s="11"/>
      <c r="M2310" s="11"/>
      <c r="N2310" s="30" t="str">
        <f>IFERROR(__xludf.DUMMYFUNCTION("""COMPUTED_VALUE"""),"maroca_m@hotmail.com")</f>
        <v>maroca_m@hotmail.com</v>
      </c>
      <c r="O2310" s="11">
        <f>IFERROR(__xludf.DUMMYFUNCTION("""COMPUTED_VALUE"""),5239627460)</f>
        <v>5239627460</v>
      </c>
      <c r="P2310" s="11"/>
      <c r="Q2310" s="11"/>
      <c r="R2310" s="11"/>
      <c r="S2310" s="11"/>
      <c r="T2310" s="11"/>
      <c r="U2310" s="11"/>
      <c r="V2310" s="11"/>
      <c r="W2310" s="11"/>
      <c r="X2310" s="11"/>
      <c r="Y2310" s="11"/>
      <c r="Z2310" s="11"/>
    </row>
    <row r="2311" customHeight="1" spans="1:26">
      <c r="A2311" s="11" t="str">
        <f>IFERROR(__xludf.DUMMYFUNCTION("""COMPUTED_VALUE"""),"MARIANA PIRES JOVINO MARQUES")</f>
        <v>MARIANA PIRES JOVINO MARQUES</v>
      </c>
      <c r="B2311" s="11"/>
      <c r="C2311" s="11"/>
      <c r="D2311" s="11" t="str">
        <f>IFERROR(__xludf.DUMMYFUNCTION("""COMPUTED_VALUE"""),"PEDIATRIA")</f>
        <v>PEDIATRIA</v>
      </c>
      <c r="E2311" s="11"/>
      <c r="F2311" s="11" t="str">
        <f>IFERROR(__xludf.DUMMYFUNCTION("""COMPUTED_VALUE"""),"US_163 HOSPITAL DE PEDIATRIA HELENA MOURA")</f>
        <v>US_163 HOSPITAL DE PEDIATRIA HELENA MOURA</v>
      </c>
      <c r="G2311" s="11" t="str">
        <f>IFERROR(__xludf.DUMMYFUNCTION("""COMPUTED_VALUE"""),"US_250 USF UR12 UR5 3 ETAPA")</f>
        <v>US_250 USF UR12 UR5 3 ETAPA</v>
      </c>
      <c r="H2311" s="11"/>
      <c r="I2311" s="11"/>
      <c r="J2311" s="11"/>
      <c r="K2311" s="11"/>
      <c r="L2311" s="11"/>
      <c r="M2311" s="11"/>
      <c r="N2311" s="30" t="str">
        <f>IFERROR(__xludf.DUMMYFUNCTION("""COMPUTED_VALUE"""),"mariana_pires@yahoo.com")</f>
        <v>mariana_pires@yahoo.com</v>
      </c>
      <c r="O2311" s="11">
        <f>IFERROR(__xludf.DUMMYFUNCTION("""COMPUTED_VALUE"""),4869475480)</f>
        <v>4869475480</v>
      </c>
      <c r="P2311" s="11"/>
      <c r="Q2311" s="11"/>
      <c r="R2311" s="11"/>
      <c r="S2311" s="11"/>
      <c r="T2311" s="11"/>
      <c r="U2311" s="11"/>
      <c r="V2311" s="11"/>
      <c r="W2311" s="11"/>
      <c r="X2311" s="11"/>
      <c r="Y2311" s="11"/>
      <c r="Z2311" s="11"/>
    </row>
    <row r="2312" customHeight="1" spans="1:26">
      <c r="A2312" s="11" t="str">
        <f>IFERROR(__xludf.DUMMYFUNCTION("""COMPUTED_VALUE"""),"ANA ANGELICA MARIA MOURA")</f>
        <v>ANA ANGELICA MARIA MOURA</v>
      </c>
      <c r="B2312" s="11"/>
      <c r="C2312" s="11"/>
      <c r="D2312" s="11" t="str">
        <f>IFERROR(__xludf.DUMMYFUNCTION("""COMPUTED_VALUE"""),"PEDIATRIA")</f>
        <v>PEDIATRIA</v>
      </c>
      <c r="E2312" s="11"/>
      <c r="F2312" s="11" t="str">
        <f>IFERROR(__xludf.DUMMYFUNCTION("""COMPUTED_VALUE"""),"US_163 HOSPITAL DE PEDIATRIA HELENA MOURA")</f>
        <v>US_163 HOSPITAL DE PEDIATRIA HELENA MOURA</v>
      </c>
      <c r="G2312" s="11" t="str">
        <f>IFERROR(__xludf.DUMMYFUNCTION("""COMPUTED_VALUE"""),"US_121 CS PROF BRUNO MAIA")</f>
        <v>US_121 CS PROF BRUNO MAIA</v>
      </c>
      <c r="H2312" s="11"/>
      <c r="I2312" s="11"/>
      <c r="J2312" s="11"/>
      <c r="K2312" s="11"/>
      <c r="L2312" s="11"/>
      <c r="M2312" s="11"/>
      <c r="N2312" s="30" t="str">
        <f>IFERROR(__xludf.DUMMYFUNCTION("""COMPUTED_VALUE"""),"anaammoura@hotmail.com")</f>
        <v>anaammoura@hotmail.com</v>
      </c>
      <c r="O2312" s="11">
        <f>IFERROR(__xludf.DUMMYFUNCTION("""COMPUTED_VALUE"""),64298051315)</f>
        <v>64298051315</v>
      </c>
      <c r="P2312" s="11"/>
      <c r="Q2312" s="11"/>
      <c r="R2312" s="11"/>
      <c r="S2312" s="11"/>
      <c r="T2312" s="11"/>
      <c r="U2312" s="11"/>
      <c r="V2312" s="11"/>
      <c r="W2312" s="11"/>
      <c r="X2312" s="11"/>
      <c r="Y2312" s="11"/>
      <c r="Z2312" s="11"/>
    </row>
    <row r="2313" customHeight="1" spans="1:26">
      <c r="A2313" s="11" t="str">
        <f>IFERROR(__xludf.DUMMYFUNCTION("""COMPUTED_VALUE"""),"VANESSA LEAO DE M FABRINO")</f>
        <v>VANESSA LEAO DE M FABRINO</v>
      </c>
      <c r="B2313" s="11"/>
      <c r="C2313" s="11"/>
      <c r="D2313" s="11" t="str">
        <f>IFERROR(__xludf.DUMMYFUNCTION("""COMPUTED_VALUE"""),"PEDIATRIA")</f>
        <v>PEDIATRIA</v>
      </c>
      <c r="E2313" s="11"/>
      <c r="F2313" s="11" t="str">
        <f>IFERROR(__xludf.DUMMYFUNCTION("""COMPUTED_VALUE"""),"US_163 HOSPITAL DE PEDIATRIA HELENA MOURA")</f>
        <v>US_163 HOSPITAL DE PEDIATRIA HELENA MOURA</v>
      </c>
      <c r="G2313" s="11" t="str">
        <f>IFERROR(__xludf.DUMMYFUNCTION("""COMPUTED_VALUE"""),"US_251 USF DA GUABIRABA	")</f>
        <v>US_251 USF DA GUABIRABA	</v>
      </c>
      <c r="H2313" s="11"/>
      <c r="I2313" s="11"/>
      <c r="J2313" s="11"/>
      <c r="K2313" s="11"/>
      <c r="L2313" s="11"/>
      <c r="M2313" s="11"/>
      <c r="N2313" s="30" t="str">
        <f>IFERROR(__xludf.DUMMYFUNCTION("""COMPUTED_VALUE"""),"vanessaleao_m@hotmail.com")</f>
        <v>vanessaleao_m@hotmail.com</v>
      </c>
      <c r="O2313" s="11">
        <f>IFERROR(__xludf.DUMMYFUNCTION("""COMPUTED_VALUE"""),5701423425)</f>
        <v>5701423425</v>
      </c>
      <c r="P2313" s="11"/>
      <c r="Q2313" s="11"/>
      <c r="R2313" s="11"/>
      <c r="S2313" s="11"/>
      <c r="T2313" s="11"/>
      <c r="U2313" s="11"/>
      <c r="V2313" s="11"/>
      <c r="W2313" s="11"/>
      <c r="X2313" s="11"/>
      <c r="Y2313" s="11"/>
      <c r="Z2313" s="11"/>
    </row>
    <row r="2314" customHeight="1" spans="1:26">
      <c r="A2314" s="11" t="str">
        <f>IFERROR(__xludf.DUMMYFUNCTION("""COMPUTED_VALUE"""),"GIULLIANNA E DE L B E SOUZA")</f>
        <v>GIULLIANNA E DE L B E SOUZA</v>
      </c>
      <c r="B2314" s="11"/>
      <c r="C2314" s="11"/>
      <c r="D2314" s="11" t="str">
        <f>IFERROR(__xludf.DUMMYFUNCTION("""COMPUTED_VALUE"""),"PEDIATRIA")</f>
        <v>PEDIATRIA</v>
      </c>
      <c r="E2314" s="11"/>
      <c r="F2314" s="11" t="str">
        <f>IFERROR(__xludf.DUMMYFUNCTION("""COMPUTED_VALUE"""),"US_163 HOSPITAL DE PEDIATRIA HELENA MOURA")</f>
        <v>US_163 HOSPITAL DE PEDIATRIA HELENA MOURA</v>
      </c>
      <c r="G2314" s="11" t="str">
        <f>IFERROR(__xludf.DUMMYFUNCTION("""COMPUTED_VALUE"""),"US_327 USF CLUBE DOS DELEGADOS / VISCONDE DE GARRET")</f>
        <v>US_327 USF CLUBE DOS DELEGADOS / VISCONDE DE GARRET</v>
      </c>
      <c r="H2314" s="11"/>
      <c r="I2314" s="11"/>
      <c r="J2314" s="11"/>
      <c r="K2314" s="11"/>
      <c r="L2314" s="11"/>
      <c r="M2314" s="11"/>
      <c r="N2314" s="30" t="str">
        <f>IFERROR(__xludf.DUMMYFUNCTION("""COMPUTED_VALUE"""),"giulliannalima@yahoo.com.br")</f>
        <v>giulliannalima@yahoo.com.br</v>
      </c>
      <c r="O2314" s="11">
        <f>IFERROR(__xludf.DUMMYFUNCTION("""COMPUTED_VALUE"""),747146438)</f>
        <v>747146438</v>
      </c>
      <c r="P2314" s="11"/>
      <c r="Q2314" s="11"/>
      <c r="R2314" s="11"/>
      <c r="S2314" s="11"/>
      <c r="T2314" s="11"/>
      <c r="U2314" s="11"/>
      <c r="V2314" s="11"/>
      <c r="W2314" s="11"/>
      <c r="X2314" s="11"/>
      <c r="Y2314" s="11"/>
      <c r="Z2314" s="11"/>
    </row>
    <row r="2315" customHeight="1" spans="1:26">
      <c r="A2315" s="11" t="str">
        <f>IFERROR(__xludf.DUMMYFUNCTION("""COMPUTED_VALUE"""),"NEYLA KELEN DE SOUZA G SABINO")</f>
        <v>NEYLA KELEN DE SOUZA G SABINO</v>
      </c>
      <c r="B2315" s="11"/>
      <c r="C2315" s="11"/>
      <c r="D2315" s="11" t="str">
        <f>IFERROR(__xludf.DUMMYFUNCTION("""COMPUTED_VALUE"""),"PEDIATRIA")</f>
        <v>PEDIATRIA</v>
      </c>
      <c r="E2315" s="11"/>
      <c r="F2315" s="11" t="str">
        <f>IFERROR(__xludf.DUMMYFUNCTION("""COMPUTED_VALUE"""),"US_163 HOSPITAL DE PEDIATRIA HELENA MOURA")</f>
        <v>US_163 HOSPITAL DE PEDIATRIA HELENA MOURA</v>
      </c>
      <c r="G2315" s="11" t="str">
        <f>IFERROR(__xludf.DUMMYFUNCTION("""COMPUTED_VALUE"""),"US_245 USF PLANETA DOS MACACOS II")</f>
        <v>US_245 USF PLANETA DOS MACACOS II</v>
      </c>
      <c r="H2315" s="11"/>
      <c r="I2315" s="11"/>
      <c r="J2315" s="11"/>
      <c r="K2315" s="11"/>
      <c r="L2315" s="11"/>
      <c r="M2315" s="11"/>
      <c r="N2315" s="30" t="str">
        <f>IFERROR(__xludf.DUMMYFUNCTION("""COMPUTED_VALUE"""),"NEYLAMEDK@HOTMAIL.COM")</f>
        <v>NEYLAMEDK@HOTMAIL.COM</v>
      </c>
      <c r="O2315" s="11">
        <f>IFERROR(__xludf.DUMMYFUNCTION("""COMPUTED_VALUE"""),3268441475)</f>
        <v>3268441475</v>
      </c>
      <c r="P2315" s="11"/>
      <c r="Q2315" s="11"/>
      <c r="R2315" s="11"/>
      <c r="S2315" s="11"/>
      <c r="T2315" s="11"/>
      <c r="U2315" s="11"/>
      <c r="V2315" s="11"/>
      <c r="W2315" s="11"/>
      <c r="X2315" s="11"/>
      <c r="Y2315" s="11"/>
      <c r="Z2315" s="11"/>
    </row>
    <row r="2316" customHeight="1" spans="1:26">
      <c r="A2316" s="11" t="str">
        <f>IFERROR(__xludf.DUMMYFUNCTION("""COMPUTED_VALUE"""),"MARIA CRISTINA M DOS SANTOS")</f>
        <v>MARIA CRISTINA M DOS SANTOS</v>
      </c>
      <c r="B2316" s="11"/>
      <c r="C2316" s="11"/>
      <c r="D2316" s="11" t="str">
        <f>IFERROR(__xludf.DUMMYFUNCTION("""COMPUTED_VALUE"""),"PEDIATRIA")</f>
        <v>PEDIATRIA</v>
      </c>
      <c r="E2316" s="11"/>
      <c r="F2316" s="11" t="str">
        <f>IFERROR(__xludf.DUMMYFUNCTION("""COMPUTED_VALUE"""),"US_163 HOSPITAL DE PEDIATRIA HELENA MOURA")</f>
        <v>US_163 HOSPITAL DE PEDIATRIA HELENA MOURA</v>
      </c>
      <c r="G2316" s="11" t="str">
        <f>IFERROR(__xludf.DUMMYFUNCTION("""COMPUTED_VALUE"""),"US_341 USF PROF FERNANDES FIGUEIRA PANTANAL")</f>
        <v>US_341 USF PROF FERNANDES FIGUEIRA PANTANAL</v>
      </c>
      <c r="H2316" s="11"/>
      <c r="I2316" s="11"/>
      <c r="J2316" s="11"/>
      <c r="K2316" s="11"/>
      <c r="L2316" s="11"/>
      <c r="M2316" s="11"/>
      <c r="N2316" s="30" t="str">
        <f>IFERROR(__xludf.DUMMYFUNCTION("""COMPUTED_VALUE"""),"tiacrismoreira@hotmail.com")</f>
        <v>tiacrismoreira@hotmail.com</v>
      </c>
      <c r="O2316" s="11">
        <f>IFERROR(__xludf.DUMMYFUNCTION("""COMPUTED_VALUE"""),11318589487)</f>
        <v>11318589487</v>
      </c>
      <c r="P2316" s="11"/>
      <c r="Q2316" s="11"/>
      <c r="R2316" s="11"/>
      <c r="S2316" s="11"/>
      <c r="T2316" s="11"/>
      <c r="U2316" s="11"/>
      <c r="V2316" s="11"/>
      <c r="W2316" s="11"/>
      <c r="X2316" s="11"/>
      <c r="Y2316" s="11"/>
      <c r="Z2316" s="11"/>
    </row>
    <row r="2317" customHeight="1" spans="1:26">
      <c r="A2317" s="11" t="str">
        <f>IFERROR(__xludf.DUMMYFUNCTION("""COMPUTED_VALUE"""),"DEBORAH GOIS AMORIM LAFAYETTE")</f>
        <v>DEBORAH GOIS AMORIM LAFAYETTE</v>
      </c>
      <c r="B2317" s="11"/>
      <c r="C2317" s="11"/>
      <c r="D2317" s="11" t="str">
        <f>IFERROR(__xludf.DUMMYFUNCTION("""COMPUTED_VALUE"""),"PEDIATRIA")</f>
        <v>PEDIATRIA</v>
      </c>
      <c r="E2317" s="11"/>
      <c r="F2317" s="11" t="str">
        <f>IFERROR(__xludf.DUMMYFUNCTION("""COMPUTED_VALUE"""),"US_163 HOSPITAL DE PEDIATRIA HELENA MOURA")</f>
        <v>US_163 HOSPITAL DE PEDIATRIA HELENA MOURA</v>
      </c>
      <c r="G2317" s="11" t="str">
        <f>IFERROR(__xludf.DUMMYFUNCTION("""COMPUTED_VALUE"""),"US_218 USF COQUE")</f>
        <v>US_218 USF COQUE</v>
      </c>
      <c r="H2317" s="11"/>
      <c r="I2317" s="11"/>
      <c r="J2317" s="11"/>
      <c r="K2317" s="11"/>
      <c r="L2317" s="11"/>
      <c r="M2317" s="11"/>
      <c r="N2317" s="30" t="str">
        <f>IFERROR(__xludf.DUMMYFUNCTION("""COMPUTED_VALUE"""),"deborahgois@gmail.com")</f>
        <v>deborahgois@gmail.com</v>
      </c>
      <c r="O2317" s="11">
        <f>IFERROR(__xludf.DUMMYFUNCTION("""COMPUTED_VALUE"""),6730895411)</f>
        <v>6730895411</v>
      </c>
      <c r="P2317" s="11"/>
      <c r="Q2317" s="11"/>
      <c r="R2317" s="11"/>
      <c r="S2317" s="11"/>
      <c r="T2317" s="11"/>
      <c r="U2317" s="11"/>
      <c r="V2317" s="11"/>
      <c r="W2317" s="11"/>
      <c r="X2317" s="11"/>
      <c r="Y2317" s="11"/>
      <c r="Z2317" s="11"/>
    </row>
    <row r="2318" customHeight="1" spans="1:26">
      <c r="A2318" s="11" t="str">
        <f>IFERROR(__xludf.DUMMYFUNCTION("""COMPUTED_VALUE"""),"RAISSA BELTRAO SAMPAIO")</f>
        <v>RAISSA BELTRAO SAMPAIO</v>
      </c>
      <c r="B2318" s="11"/>
      <c r="C2318" s="11"/>
      <c r="D2318" s="11" t="str">
        <f>IFERROR(__xludf.DUMMYFUNCTION("""COMPUTED_VALUE"""),"PEDIATRIA")</f>
        <v>PEDIATRIA</v>
      </c>
      <c r="E2318" s="11"/>
      <c r="F2318" s="11" t="str">
        <f>IFERROR(__xludf.DUMMYFUNCTION("""COMPUTED_VALUE"""),"US_163 HOSPITAL DE PEDIATRIA HELENA MOURA")</f>
        <v>US_163 HOSPITAL DE PEDIATRIA HELENA MOURA</v>
      </c>
      <c r="G2318" s="11" t="str">
        <f>IFERROR(__xludf.DUMMYFUNCTION("""COMPUTED_VALUE"""),"US_373 USF CIDADE OPERARIA")</f>
        <v>US_373 USF CIDADE OPERARIA</v>
      </c>
      <c r="H2318" s="11"/>
      <c r="I2318" s="11"/>
      <c r="J2318" s="11"/>
      <c r="K2318" s="11"/>
      <c r="L2318" s="11"/>
      <c r="M2318" s="11"/>
      <c r="N2318" s="30" t="str">
        <f>IFERROR(__xludf.DUMMYFUNCTION("""COMPUTED_VALUE"""),"rai_sampaio@hotmail.com")</f>
        <v>rai_sampaio@hotmail.com</v>
      </c>
      <c r="O2318" s="11">
        <f>IFERROR(__xludf.DUMMYFUNCTION("""COMPUTED_VALUE"""),6878582407)</f>
        <v>6878582407</v>
      </c>
      <c r="P2318" s="11"/>
      <c r="Q2318" s="11"/>
      <c r="R2318" s="11"/>
      <c r="S2318" s="11"/>
      <c r="T2318" s="11"/>
      <c r="U2318" s="11"/>
      <c r="V2318" s="11"/>
      <c r="W2318" s="11"/>
      <c r="X2318" s="11"/>
      <c r="Y2318" s="11"/>
      <c r="Z2318" s="11"/>
    </row>
    <row r="2319" customHeight="1" spans="1:26">
      <c r="A2319" s="11" t="str">
        <f>IFERROR(__xludf.DUMMYFUNCTION("""COMPUTED_VALUE"""),"MONICA JUDITH H DE O FREIRE")</f>
        <v>MONICA JUDITH H DE O FREIRE</v>
      </c>
      <c r="B2319" s="11"/>
      <c r="C2319" s="11"/>
      <c r="D2319" s="11" t="str">
        <f>IFERROR(__xludf.DUMMYFUNCTION("""COMPUTED_VALUE"""),"PEDIATRIA")</f>
        <v>PEDIATRIA</v>
      </c>
      <c r="E2319" s="11"/>
      <c r="F2319" s="11" t="str">
        <f>IFERROR(__xludf.DUMMYFUNCTION("""COMPUTED_VALUE"""),"US_163 HOSPITAL DE PEDIATRIA HELENA MOURA")</f>
        <v>US_163 HOSPITAL DE PEDIATRIA HELENA MOURA</v>
      </c>
      <c r="G2319" s="11" t="str">
        <f>IFERROR(__xludf.DUMMYFUNCTION("""COMPUTED_VALUE"""),"US_347 USF PARQUE DOS MILAGRES")</f>
        <v>US_347 USF PARQUE DOS MILAGRES</v>
      </c>
      <c r="H2319" s="11"/>
      <c r="I2319" s="11"/>
      <c r="J2319" s="11"/>
      <c r="K2319" s="11"/>
      <c r="L2319" s="11"/>
      <c r="M2319" s="11"/>
      <c r="N2319" s="30" t="str">
        <f>IFERROR(__xludf.DUMMYFUNCTION("""COMPUTED_VALUE"""),"MHFREIRE11@HOTMAIL.COM")</f>
        <v>MHFREIRE11@HOTMAIL.COM</v>
      </c>
      <c r="O2319" s="11">
        <f>IFERROR(__xludf.DUMMYFUNCTION("""COMPUTED_VALUE"""),54500028404)</f>
        <v>54500028404</v>
      </c>
      <c r="P2319" s="11"/>
      <c r="Q2319" s="11"/>
      <c r="R2319" s="11"/>
      <c r="S2319" s="11"/>
      <c r="T2319" s="11"/>
      <c r="U2319" s="11"/>
      <c r="V2319" s="11"/>
      <c r="W2319" s="11"/>
      <c r="X2319" s="11"/>
      <c r="Y2319" s="11"/>
      <c r="Z2319" s="11"/>
    </row>
    <row r="2320" customHeight="1" spans="1:26">
      <c r="A2320" s="11" t="str">
        <f>IFERROR(__xludf.DUMMYFUNCTION("""COMPUTED_VALUE"""),"MONICK MARIZ PASSOS GONZALES")</f>
        <v>MONICK MARIZ PASSOS GONZALES</v>
      </c>
      <c r="B2320" s="11"/>
      <c r="C2320" s="11"/>
      <c r="D2320" s="11" t="str">
        <f>IFERROR(__xludf.DUMMYFUNCTION("""COMPUTED_VALUE"""),"PEDIATRIA")</f>
        <v>PEDIATRIA</v>
      </c>
      <c r="E2320" s="11"/>
      <c r="F2320" s="11" t="str">
        <f>IFERROR(__xludf.DUMMYFUNCTION("""COMPUTED_VALUE"""),"US_163 HOSPITAL DE PEDIATRIA HELENA MOURA")</f>
        <v>US_163 HOSPITAL DE PEDIATRIA HELENA MOURA</v>
      </c>
      <c r="G2320" s="11" t="str">
        <f>IFERROR(__xludf.DUMMYFUNCTION("""COMPUTED_VALUE"""),"US_158 CS PAM CEASA")</f>
        <v>US_158 CS PAM CEASA</v>
      </c>
      <c r="H2320" s="11"/>
      <c r="I2320" s="11"/>
      <c r="J2320" s="11"/>
      <c r="K2320" s="11"/>
      <c r="L2320" s="11"/>
      <c r="M2320" s="11"/>
      <c r="N2320" s="30" t="str">
        <f>IFERROR(__xludf.DUMMYFUNCTION("""COMPUTED_VALUE"""),"PASSOSMARIZ@HOTMAIL.COM")</f>
        <v>PASSOSMARIZ@HOTMAIL.COM</v>
      </c>
      <c r="O2320" s="11">
        <f>IFERROR(__xludf.DUMMYFUNCTION("""COMPUTED_VALUE"""),5283045420)</f>
        <v>5283045420</v>
      </c>
      <c r="P2320" s="11"/>
      <c r="Q2320" s="11"/>
      <c r="R2320" s="11"/>
      <c r="S2320" s="11"/>
      <c r="T2320" s="11"/>
      <c r="U2320" s="11"/>
      <c r="V2320" s="11"/>
      <c r="W2320" s="11"/>
      <c r="X2320" s="11"/>
      <c r="Y2320" s="11"/>
      <c r="Z2320" s="11"/>
    </row>
    <row r="2321" customHeight="1" spans="1:26">
      <c r="A2321" s="11" t="str">
        <f>IFERROR(__xludf.DUMMYFUNCTION("""COMPUTED_VALUE"""),"RITA DE CASSIA CRUZ ARAUJO")</f>
        <v>RITA DE CASSIA CRUZ ARAUJO</v>
      </c>
      <c r="B2321" s="11"/>
      <c r="C2321" s="11"/>
      <c r="D2321" s="11" t="str">
        <f>IFERROR(__xludf.DUMMYFUNCTION("""COMPUTED_VALUE"""),"PEDIATRIA")</f>
        <v>PEDIATRIA</v>
      </c>
      <c r="E2321" s="11"/>
      <c r="F2321" s="11" t="str">
        <f>IFERROR(__xludf.DUMMYFUNCTION("""COMPUTED_VALUE"""),"US_163 HOSPITAL DE PEDIATRIA HELENA MOURA")</f>
        <v>US_163 HOSPITAL DE PEDIATRIA HELENA MOURA</v>
      </c>
      <c r="G2321" s="11" t="str">
        <f>IFERROR(__xludf.DUMMYFUNCTION("""COMPUTED_VALUE"""),"US_282 USF VILA DAS AEROMOCAS")</f>
        <v>US_282 USF VILA DAS AEROMOCAS</v>
      </c>
      <c r="H2321" s="11"/>
      <c r="I2321" s="11"/>
      <c r="J2321" s="11"/>
      <c r="K2321" s="11"/>
      <c r="L2321" s="11"/>
      <c r="M2321" s="11"/>
      <c r="N2321" s="30" t="str">
        <f>IFERROR(__xludf.DUMMYFUNCTION("""COMPUTED_VALUE"""),"ritaccaraujo@yahoo.com.br")</f>
        <v>ritaccaraujo@yahoo.com.br</v>
      </c>
      <c r="O2321" s="11">
        <f>IFERROR(__xludf.DUMMYFUNCTION("""COMPUTED_VALUE"""),3679508476)</f>
        <v>3679508476</v>
      </c>
      <c r="P2321" s="11"/>
      <c r="Q2321" s="11"/>
      <c r="R2321" s="11"/>
      <c r="S2321" s="11"/>
      <c r="T2321" s="11"/>
      <c r="U2321" s="11"/>
      <c r="V2321" s="11"/>
      <c r="W2321" s="11"/>
      <c r="X2321" s="11"/>
      <c r="Y2321" s="11"/>
      <c r="Z2321" s="11"/>
    </row>
    <row r="2322" customHeight="1" spans="1:26">
      <c r="A2322" s="11" t="str">
        <f>IFERROR(__xludf.DUMMYFUNCTION("""COMPUTED_VALUE"""),"ANA CECILIA M DE SIQUEIRA")</f>
        <v>ANA CECILIA M DE SIQUEIRA</v>
      </c>
      <c r="B2322" s="11"/>
      <c r="C2322" s="11"/>
      <c r="D2322" s="11" t="str">
        <f>IFERROR(__xludf.DUMMYFUNCTION("""COMPUTED_VALUE"""),"PEDIATRIA")</f>
        <v>PEDIATRIA</v>
      </c>
      <c r="E2322" s="11"/>
      <c r="F2322" s="11" t="str">
        <f>IFERROR(__xludf.DUMMYFUNCTION("""COMPUTED_VALUE"""),"US_163 HOSPITAL DE PEDIATRIA HELENA MOURA")</f>
        <v>US_163 HOSPITAL DE PEDIATRIA HELENA MOURA</v>
      </c>
      <c r="G2322" s="11" t="str">
        <f>IFERROR(__xludf.DUMMYFUNCTION("""COMPUTED_VALUE"""),"US_378 USF JARDIM TERESOPOLIS")</f>
        <v>US_378 USF JARDIM TERESOPOLIS</v>
      </c>
      <c r="H2322" s="11"/>
      <c r="I2322" s="11"/>
      <c r="J2322" s="11"/>
      <c r="K2322" s="11"/>
      <c r="L2322" s="11"/>
      <c r="M2322" s="11"/>
      <c r="N2322" s="30" t="str">
        <f>IFERROR(__xludf.DUMMYFUNCTION("""COMPUTED_VALUE"""),"ANACECIL@BOL.COM.BR")</f>
        <v>ANACECIL@BOL.COM.BR</v>
      </c>
      <c r="O2322" s="11">
        <f>IFERROR(__xludf.DUMMYFUNCTION("""COMPUTED_VALUE"""),77442822487)</f>
        <v>77442822487</v>
      </c>
      <c r="P2322" s="11"/>
      <c r="Q2322" s="11"/>
      <c r="R2322" s="11"/>
      <c r="S2322" s="11"/>
      <c r="T2322" s="11"/>
      <c r="U2322" s="11"/>
      <c r="V2322" s="11"/>
      <c r="W2322" s="11"/>
      <c r="X2322" s="11"/>
      <c r="Y2322" s="11"/>
      <c r="Z2322" s="11"/>
    </row>
    <row r="2323" customHeight="1" spans="1:26">
      <c r="A2323" s="11" t="str">
        <f>IFERROR(__xludf.DUMMYFUNCTION("""COMPUTED_VALUE"""),"VALESKA QUIRINO RAMOS GALVAO")</f>
        <v>VALESKA QUIRINO RAMOS GALVAO</v>
      </c>
      <c r="B2323" s="11"/>
      <c r="C2323" s="11"/>
      <c r="D2323" s="11" t="str">
        <f>IFERROR(__xludf.DUMMYFUNCTION("""COMPUTED_VALUE"""),"PEDIATRIA")</f>
        <v>PEDIATRIA</v>
      </c>
      <c r="E2323" s="11"/>
      <c r="F2323" s="11" t="str">
        <f>IFERROR(__xludf.DUMMYFUNCTION("""COMPUTED_VALUE"""),"US_164 CENTRO DE REIDRATACAO E URG PED M CRAVO GAMA")</f>
        <v>US_164 CENTRO DE REIDRATACAO E URG PED M CRAVO GAMA</v>
      </c>
      <c r="G2323" s="11" t="str">
        <f>IFERROR(__xludf.DUMMYFUNCTION("""COMPUTED_VALUE"""),"")</f>
        <v/>
      </c>
      <c r="H2323" s="11"/>
      <c r="I2323" s="11"/>
      <c r="J2323" s="11"/>
      <c r="K2323" s="11"/>
      <c r="L2323" s="11"/>
      <c r="M2323" s="11"/>
      <c r="N2323" s="30" t="str">
        <f>IFERROR(__xludf.DUMMYFUNCTION("""COMPUTED_VALUE"""),"VALESKAGALVAO24@YAHOO.COM.BR")</f>
        <v>VALESKAGALVAO24@YAHOO.COM.BR</v>
      </c>
      <c r="O2323" s="11">
        <f>IFERROR(__xludf.DUMMYFUNCTION("""COMPUTED_VALUE"""),84856572415)</f>
        <v>84856572415</v>
      </c>
      <c r="P2323" s="11"/>
      <c r="Q2323" s="11"/>
      <c r="R2323" s="11"/>
      <c r="S2323" s="11"/>
      <c r="T2323" s="11"/>
      <c r="U2323" s="11"/>
      <c r="V2323" s="11"/>
      <c r="W2323" s="11"/>
      <c r="X2323" s="11"/>
      <c r="Y2323" s="11"/>
      <c r="Z2323" s="11"/>
    </row>
    <row r="2324" customHeight="1" spans="1:26">
      <c r="A2324" s="11" t="str">
        <f>IFERROR(__xludf.DUMMYFUNCTION("""COMPUTED_VALUE"""),"ANA LUIZA BELTRAO SAMPAIO")</f>
        <v>ANA LUIZA BELTRAO SAMPAIO</v>
      </c>
      <c r="B2324" s="11"/>
      <c r="C2324" s="11"/>
      <c r="D2324" s="11" t="str">
        <f>IFERROR(__xludf.DUMMYFUNCTION("""COMPUTED_VALUE"""),"PEDIATRIA")</f>
        <v>PEDIATRIA</v>
      </c>
      <c r="E2324" s="11"/>
      <c r="F2324" s="11" t="str">
        <f>IFERROR(__xludf.DUMMYFUNCTION("""COMPUTED_VALUE"""),"US_163 HOSPITAL DE PEDIATRIA HELENA MOURA")</f>
        <v>US_163 HOSPITAL DE PEDIATRIA HELENA MOURA</v>
      </c>
      <c r="G2324" s="11" t="str">
        <f>IFERROR(__xludf.DUMMYFUNCTION("""COMPUTED_VALUE"""),"")</f>
        <v/>
      </c>
      <c r="H2324" s="11"/>
      <c r="I2324" s="11"/>
      <c r="J2324" s="11"/>
      <c r="K2324" s="11"/>
      <c r="L2324" s="11"/>
      <c r="M2324" s="11"/>
      <c r="N2324" s="30" t="str">
        <f>IFERROR(__xludf.DUMMYFUNCTION("""COMPUTED_VALUE"""),"ANASAMPAIO21@HOTMAIL.COM")</f>
        <v>ANASAMPAIO21@HOTMAIL.COM</v>
      </c>
      <c r="O2324" s="11">
        <f>IFERROR(__xludf.DUMMYFUNCTION("""COMPUTED_VALUE"""),5177439496)</f>
        <v>5177439496</v>
      </c>
      <c r="P2324" s="11"/>
      <c r="Q2324" s="11"/>
      <c r="R2324" s="11"/>
      <c r="S2324" s="11"/>
      <c r="T2324" s="11"/>
      <c r="U2324" s="11"/>
      <c r="V2324" s="11"/>
      <c r="W2324" s="11"/>
      <c r="X2324" s="11"/>
      <c r="Y2324" s="11"/>
      <c r="Z2324" s="11"/>
    </row>
    <row r="2325" customHeight="1" spans="1:26">
      <c r="A2325" s="11" t="str">
        <f>IFERROR(__xludf.DUMMYFUNCTION("""COMPUTED_VALUE"""),"KAROLINA S S DE A MENDONCA")</f>
        <v>KAROLINA S S DE A MENDONCA</v>
      </c>
      <c r="B2325" s="11"/>
      <c r="C2325" s="11"/>
      <c r="D2325" s="11" t="str">
        <f>IFERROR(__xludf.DUMMYFUNCTION("""COMPUTED_VALUE"""),"PEDIATRIA")</f>
        <v>PEDIATRIA</v>
      </c>
      <c r="E2325" s="11"/>
      <c r="F2325" s="11" t="str">
        <f>IFERROR(__xludf.DUMMYFUNCTION("""COMPUTED_VALUE"""),"US_163 HOSPITAL DE PEDIATRIA HELENA MOURA")</f>
        <v>US_163 HOSPITAL DE PEDIATRIA HELENA MOURA</v>
      </c>
      <c r="G2325" s="11" t="str">
        <f>IFERROR(__xludf.DUMMYFUNCTION("""COMPUTED_VALUE"""),"US_395 USF UPINHA 24H DR FERNANDA WANDERLEY")</f>
        <v>US_395 USF UPINHA 24H DR FERNANDA WANDERLEY</v>
      </c>
      <c r="H2325" s="11"/>
      <c r="I2325" s="11"/>
      <c r="J2325" s="11"/>
      <c r="K2325" s="11"/>
      <c r="L2325" s="11"/>
      <c r="M2325" s="11"/>
      <c r="N2325" s="30" t="str">
        <f>IFERROR(__xludf.DUMMYFUNCTION("""COMPUTED_VALUE"""),"KAROL__SANTOS@HOTMAIL.COM")</f>
        <v>KAROL__SANTOS@HOTMAIL.COM</v>
      </c>
      <c r="O2325" s="11">
        <f>IFERROR(__xludf.DUMMYFUNCTION("""COMPUTED_VALUE"""),6393898488)</f>
        <v>6393898488</v>
      </c>
      <c r="P2325" s="11"/>
      <c r="Q2325" s="11"/>
      <c r="R2325" s="11"/>
      <c r="S2325" s="11"/>
      <c r="T2325" s="11"/>
      <c r="U2325" s="11"/>
      <c r="V2325" s="11"/>
      <c r="W2325" s="11"/>
      <c r="X2325" s="11"/>
      <c r="Y2325" s="11"/>
      <c r="Z2325" s="11"/>
    </row>
    <row r="2326" customHeight="1" spans="1:26">
      <c r="A2326" s="11" t="str">
        <f>IFERROR(__xludf.DUMMYFUNCTION("""COMPUTED_VALUE"""),"KATARINA GOMES MELO")</f>
        <v>KATARINA GOMES MELO</v>
      </c>
      <c r="B2326" s="11"/>
      <c r="C2326" s="11"/>
      <c r="D2326" s="11" t="str">
        <f>IFERROR(__xludf.DUMMYFUNCTION("""COMPUTED_VALUE"""),"PEDIATRIA")</f>
        <v>PEDIATRIA</v>
      </c>
      <c r="E2326" s="11"/>
      <c r="F2326" s="11" t="str">
        <f>IFERROR(__xludf.DUMMYFUNCTION("""COMPUTED_VALUE"""),"US_163 HOSPITAL DE PEDIATRIA HELENA MOURA")</f>
        <v>US_163 HOSPITAL DE PEDIATRIA HELENA MOURA</v>
      </c>
      <c r="G2326" s="11" t="str">
        <f>IFERROR(__xludf.DUMMYFUNCTION("""COMPUTED_VALUE"""),"US_401 USF UPINHA 24H GOVERNADOR EDUARDO CAMPOS")</f>
        <v>US_401 USF UPINHA 24H GOVERNADOR EDUARDO CAMPOS</v>
      </c>
      <c r="H2326" s="11"/>
      <c r="I2326" s="11"/>
      <c r="J2326" s="11"/>
      <c r="K2326" s="11"/>
      <c r="L2326" s="11"/>
      <c r="M2326" s="11"/>
      <c r="N2326" s="30" t="str">
        <f>IFERROR(__xludf.DUMMYFUNCTION("""COMPUTED_VALUE"""),"KATARINAMELO@HOTMAIL.COM")</f>
        <v>KATARINAMELO@HOTMAIL.COM</v>
      </c>
      <c r="O2326" s="11">
        <f>IFERROR(__xludf.DUMMYFUNCTION("""COMPUTED_VALUE"""),84636408420)</f>
        <v>84636408420</v>
      </c>
      <c r="P2326" s="11"/>
      <c r="Q2326" s="11"/>
      <c r="R2326" s="11"/>
      <c r="S2326" s="11"/>
      <c r="T2326" s="11"/>
      <c r="U2326" s="11"/>
      <c r="V2326" s="11"/>
      <c r="W2326" s="11"/>
      <c r="X2326" s="11"/>
      <c r="Y2326" s="11"/>
      <c r="Z2326" s="11"/>
    </row>
    <row r="2327" customHeight="1" spans="1:26">
      <c r="A2327" s="11" t="str">
        <f>IFERROR(__xludf.DUMMYFUNCTION("""COMPUTED_VALUE"""),"MATEUS MORAIS AIRES CAMARA")</f>
        <v>MATEUS MORAIS AIRES CAMARA</v>
      </c>
      <c r="B2327" s="11"/>
      <c r="C2327" s="11"/>
      <c r="D2327" s="11" t="str">
        <f>IFERROR(__xludf.DUMMYFUNCTION("""COMPUTED_VALUE"""),"PEDIATRIA")</f>
        <v>PEDIATRIA</v>
      </c>
      <c r="E2327" s="11"/>
      <c r="F2327" s="11" t="str">
        <f>IFERROR(__xludf.DUMMYFUNCTION("""COMPUTED_VALUE"""),"US_163 HOSPITAL DE PEDIATRIA HELENA MOURA")</f>
        <v>US_163 HOSPITAL DE PEDIATRIA HELENA MOURA</v>
      </c>
      <c r="G2327" s="11" t="str">
        <f>IFERROR(__xludf.DUMMYFUNCTION("""COMPUTED_VALUE"""),"US_395 USF UPINHA 24H DR FERNANDA WANDERLEY")</f>
        <v>US_395 USF UPINHA 24H DR FERNANDA WANDERLEY</v>
      </c>
      <c r="H2327" s="11"/>
      <c r="I2327" s="11"/>
      <c r="J2327" s="11"/>
      <c r="K2327" s="11"/>
      <c r="L2327" s="11"/>
      <c r="M2327" s="11"/>
      <c r="N2327" s="30" t="str">
        <f>IFERROR(__xludf.DUMMYFUNCTION("""COMPUTED_VALUE"""),"MAIRESUFPE@GMAIL.COM")</f>
        <v>MAIRESUFPE@GMAIL.COM</v>
      </c>
      <c r="O2327" s="11">
        <f>IFERROR(__xludf.DUMMYFUNCTION("""COMPUTED_VALUE"""),6701670458)</f>
        <v>6701670458</v>
      </c>
      <c r="P2327" s="11"/>
      <c r="Q2327" s="11"/>
      <c r="R2327" s="11"/>
      <c r="S2327" s="11"/>
      <c r="T2327" s="11"/>
      <c r="U2327" s="11"/>
      <c r="V2327" s="11"/>
      <c r="W2327" s="11"/>
      <c r="X2327" s="11"/>
      <c r="Y2327" s="11"/>
      <c r="Z2327" s="11"/>
    </row>
    <row r="2328" customHeight="1" spans="1:26">
      <c r="A2328" s="11" t="str">
        <f>IFERROR(__xludf.DUMMYFUNCTION("""COMPUTED_VALUE"""),"ANNE KEROLLINE DE SA VALGUEIRO")</f>
        <v>ANNE KEROLLINE DE SA VALGUEIRO</v>
      </c>
      <c r="B2328" s="11"/>
      <c r="C2328" s="11"/>
      <c r="D2328" s="11" t="str">
        <f>IFERROR(__xludf.DUMMYFUNCTION("""COMPUTED_VALUE"""),"PEDIATRIA")</f>
        <v>PEDIATRIA</v>
      </c>
      <c r="E2328" s="11"/>
      <c r="F2328" s="11" t="str">
        <f>IFERROR(__xludf.DUMMYFUNCTION("""COMPUTED_VALUE"""),"US_163 HOSPITAL DE PEDIATRIA HELENA MOURA")</f>
        <v>US_163 HOSPITAL DE PEDIATRIA HELENA MOURA</v>
      </c>
      <c r="G2328" s="11" t="str">
        <f>IFERROR(__xludf.DUMMYFUNCTION("""COMPUTED_VALUE"""),"US_395 USF UPINHA 24H DR FERNANDA WANDERLEY")</f>
        <v>US_395 USF UPINHA 24H DR FERNANDA WANDERLEY</v>
      </c>
      <c r="H2328" s="11"/>
      <c r="I2328" s="11"/>
      <c r="J2328" s="11"/>
      <c r="K2328" s="11"/>
      <c r="L2328" s="11"/>
      <c r="M2328" s="11"/>
      <c r="N2328" s="30" t="str">
        <f>IFERROR(__xludf.DUMMYFUNCTION("""COMPUTED_VALUE"""),"ANNE_KAROLLINE@HOTMAIL.COM")</f>
        <v>ANNE_KAROLLINE@HOTMAIL.COM</v>
      </c>
      <c r="O2328" s="11">
        <f>IFERROR(__xludf.DUMMYFUNCTION("""COMPUTED_VALUE"""),8393973481)</f>
        <v>8393973481</v>
      </c>
      <c r="P2328" s="11"/>
      <c r="Q2328" s="11"/>
      <c r="R2328" s="11"/>
      <c r="S2328" s="11"/>
      <c r="T2328" s="11"/>
      <c r="U2328" s="11"/>
      <c r="V2328" s="11"/>
      <c r="W2328" s="11"/>
      <c r="X2328" s="11"/>
      <c r="Y2328" s="11"/>
      <c r="Z2328" s="11"/>
    </row>
    <row r="2329" customHeight="1" spans="1:26">
      <c r="A2329" s="11" t="str">
        <f>IFERROR(__xludf.DUMMYFUNCTION("""COMPUTED_VALUE"""),"YASMIN TOMAZZIA M DE MORAES")</f>
        <v>YASMIN TOMAZZIA M DE MORAES</v>
      </c>
      <c r="B2329" s="11"/>
      <c r="C2329" s="11"/>
      <c r="D2329" s="11" t="str">
        <f>IFERROR(__xludf.DUMMYFUNCTION("""COMPUTED_VALUE"""),"PEDIATRIA")</f>
        <v>PEDIATRIA</v>
      </c>
      <c r="E2329" s="11"/>
      <c r="F2329" s="11" t="str">
        <f>IFERROR(__xludf.DUMMYFUNCTION("""COMPUTED_VALUE"""),"US_163 HOSPITAL DE PEDIATRIA HELENA MOURA")</f>
        <v>US_163 HOSPITAL DE PEDIATRIA HELENA MOURA</v>
      </c>
      <c r="G2329" s="11" t="str">
        <f>IFERROR(__xludf.DUMMYFUNCTION("""COMPUTED_VALUE"""),"US_394 USF UPINHA 24H DR MOACYR ANDRE GOMES")</f>
        <v>US_394 USF UPINHA 24H DR MOACYR ANDRE GOMES</v>
      </c>
      <c r="H2329" s="11"/>
      <c r="I2329" s="11"/>
      <c r="J2329" s="11"/>
      <c r="K2329" s="11"/>
      <c r="L2329" s="11"/>
      <c r="M2329" s="11"/>
      <c r="N2329" s="30" t="str">
        <f>IFERROR(__xludf.DUMMYFUNCTION("""COMPUTED_VALUE"""),"YASMINTOMAZZIAMM@GMAIL.COM")</f>
        <v>YASMINTOMAZZIAMM@GMAIL.COM</v>
      </c>
      <c r="O2329" s="11">
        <f>IFERROR(__xludf.DUMMYFUNCTION("""COMPUTED_VALUE"""),9979389435)</f>
        <v>9979389435</v>
      </c>
      <c r="P2329" s="11"/>
      <c r="Q2329" s="11"/>
      <c r="R2329" s="11"/>
      <c r="S2329" s="11"/>
      <c r="T2329" s="11"/>
      <c r="U2329" s="11"/>
      <c r="V2329" s="11"/>
      <c r="W2329" s="11"/>
      <c r="X2329" s="11"/>
      <c r="Y2329" s="11"/>
      <c r="Z2329" s="11"/>
    </row>
    <row r="2330" customHeight="1" spans="1:26">
      <c r="A2330" s="11" t="str">
        <f>IFERROR(__xludf.DUMMYFUNCTION("""COMPUTED_VALUE"""),"KARLA RENALY DA SILVA PONTES")</f>
        <v>KARLA RENALY DA SILVA PONTES</v>
      </c>
      <c r="B2330" s="11"/>
      <c r="C2330" s="11"/>
      <c r="D2330" s="11" t="str">
        <f>IFERROR(__xludf.DUMMYFUNCTION("""COMPUTED_VALUE"""),"PEDIATRIA")</f>
        <v>PEDIATRIA</v>
      </c>
      <c r="E2330" s="11"/>
      <c r="F2330" s="11" t="str">
        <f>IFERROR(__xludf.DUMMYFUNCTION("""COMPUTED_VALUE"""),"US_163 HOSPITAL DE PEDIATRIA HELENA MOURA")</f>
        <v>US_163 HOSPITAL DE PEDIATRIA HELENA MOURA</v>
      </c>
      <c r="G2330" s="11" t="str">
        <f>IFERROR(__xludf.DUMMYFUNCTION("""COMPUTED_VALUE"""),"US_400 USF UPINHA DIA DOM HELDER")</f>
        <v>US_400 USF UPINHA DIA DOM HELDER</v>
      </c>
      <c r="H2330" s="11"/>
      <c r="I2330" s="11"/>
      <c r="J2330" s="11"/>
      <c r="K2330" s="11"/>
      <c r="L2330" s="11"/>
      <c r="M2330" s="11"/>
      <c r="N2330" s="30" t="str">
        <f>IFERROR(__xludf.DUMMYFUNCTION("""COMPUTED_VALUE"""),"KARLARENALY@HOTMAIL.COM")</f>
        <v>KARLARENALY@HOTMAIL.COM</v>
      </c>
      <c r="O2330" s="11">
        <f>IFERROR(__xludf.DUMMYFUNCTION("""COMPUTED_VALUE"""),6161791463)</f>
        <v>6161791463</v>
      </c>
      <c r="P2330" s="11"/>
      <c r="Q2330" s="11"/>
      <c r="R2330" s="11"/>
      <c r="S2330" s="11"/>
      <c r="T2330" s="11"/>
      <c r="U2330" s="11"/>
      <c r="V2330" s="11"/>
      <c r="W2330" s="11"/>
      <c r="X2330" s="11"/>
      <c r="Y2330" s="11"/>
      <c r="Z2330" s="11"/>
    </row>
    <row r="2331" customHeight="1" spans="1:26">
      <c r="A2331" s="11" t="str">
        <f>IFERROR(__xludf.DUMMYFUNCTION("""COMPUTED_VALUE"""),"DENISE CORREIA LEAL")</f>
        <v>DENISE CORREIA LEAL</v>
      </c>
      <c r="B2331" s="11"/>
      <c r="C2331" s="11"/>
      <c r="D2331" s="11" t="str">
        <f>IFERROR(__xludf.DUMMYFUNCTION("""COMPUTED_VALUE"""),"PEDIATRIA")</f>
        <v>PEDIATRIA</v>
      </c>
      <c r="E2331" s="11"/>
      <c r="F2331" s="11" t="str">
        <f>IFERROR(__xludf.DUMMYFUNCTION("""COMPUTED_VALUE"""),"US_163 HOSPITAL DE PEDIATRIA HELENA MOURA")</f>
        <v>US_163 HOSPITAL DE PEDIATRIA HELENA MOURA</v>
      </c>
      <c r="G2331" s="11" t="str">
        <f>IFERROR(__xludf.DUMMYFUNCTION("""COMPUTED_VALUE"""),"US_276 USF UPINHA DIA ALTO DO PASCOAL	")</f>
        <v>US_276 USF UPINHA DIA ALTO DO PASCOAL	</v>
      </c>
      <c r="H2331" s="11"/>
      <c r="I2331" s="11"/>
      <c r="J2331" s="11"/>
      <c r="K2331" s="11"/>
      <c r="L2331" s="11"/>
      <c r="M2331" s="11"/>
      <c r="N2331" s="30" t="str">
        <f>IFERROR(__xludf.DUMMYFUNCTION("""COMPUTED_VALUE"""),"DENISECL1984@HOTMAIL.COM")</f>
        <v>DENISECL1984@HOTMAIL.COM</v>
      </c>
      <c r="O2331" s="11">
        <f>IFERROR(__xludf.DUMMYFUNCTION("""COMPUTED_VALUE"""),4892069485)</f>
        <v>4892069485</v>
      </c>
      <c r="P2331" s="11"/>
      <c r="Q2331" s="11"/>
      <c r="R2331" s="11"/>
      <c r="S2331" s="11"/>
      <c r="T2331" s="11"/>
      <c r="U2331" s="11"/>
      <c r="V2331" s="11"/>
      <c r="W2331" s="11"/>
      <c r="X2331" s="11"/>
      <c r="Y2331" s="11"/>
      <c r="Z2331" s="11"/>
    </row>
    <row r="2332" customHeight="1" spans="1:26">
      <c r="A2332" s="11" t="str">
        <f>IFERROR(__xludf.DUMMYFUNCTION("""COMPUTED_VALUE"""),"MARIA GABRIELA P DE M PEREIRA")</f>
        <v>MARIA GABRIELA P DE M PEREIRA</v>
      </c>
      <c r="B2332" s="11"/>
      <c r="C2332" s="11"/>
      <c r="D2332" s="11" t="str">
        <f>IFERROR(__xludf.DUMMYFUNCTION("""COMPUTED_VALUE"""),"PEDIATRIA")</f>
        <v>PEDIATRIA</v>
      </c>
      <c r="E2332" s="11"/>
      <c r="F2332" s="11" t="str">
        <f>IFERROR(__xludf.DUMMYFUNCTION("""COMPUTED_VALUE"""),"US_163 HOSPITAL DE PEDIATRIA HELENA MOURA")</f>
        <v>US_163 HOSPITAL DE PEDIATRIA HELENA MOURA</v>
      </c>
      <c r="G2332" s="11" t="str">
        <f>IFERROR(__xludf.DUMMYFUNCTION("""COMPUTED_VALUE"""),"US_159 POLICLINICA AGAMENON MAGALHAES")</f>
        <v>US_159 POLICLINICA AGAMENON MAGALHAES</v>
      </c>
      <c r="H2332" s="11"/>
      <c r="I2332" s="11"/>
      <c r="J2332" s="11"/>
      <c r="K2332" s="11"/>
      <c r="L2332" s="11"/>
      <c r="M2332" s="11"/>
      <c r="N2332" s="30" t="str">
        <f>IFERROR(__xludf.DUMMYFUNCTION("""COMPUTED_VALUE"""),"GABIPMO@GMAIL.COM")</f>
        <v>GABIPMO@GMAIL.COM</v>
      </c>
      <c r="O2332" s="11">
        <f>IFERROR(__xludf.DUMMYFUNCTION("""COMPUTED_VALUE"""),7367223437)</f>
        <v>7367223437</v>
      </c>
      <c r="P2332" s="11"/>
      <c r="Q2332" s="11"/>
      <c r="R2332" s="11"/>
      <c r="S2332" s="11"/>
      <c r="T2332" s="11"/>
      <c r="U2332" s="11"/>
      <c r="V2332" s="11"/>
      <c r="W2332" s="11"/>
      <c r="X2332" s="11"/>
      <c r="Y2332" s="11"/>
      <c r="Z2332" s="11"/>
    </row>
    <row r="2333" customHeight="1" spans="1:26">
      <c r="A2333" s="11" t="str">
        <f>IFERROR(__xludf.DUMMYFUNCTION("""COMPUTED_VALUE"""),"LIVIA CRISTINA GOMES SILVA")</f>
        <v>LIVIA CRISTINA GOMES SILVA</v>
      </c>
      <c r="B2333" s="11"/>
      <c r="C2333" s="11"/>
      <c r="D2333" s="11" t="str">
        <f>IFERROR(__xludf.DUMMYFUNCTION("""COMPUTED_VALUE"""),"NEONATOLOGIA")</f>
        <v>NEONATOLOGIA</v>
      </c>
      <c r="E2333" s="11"/>
      <c r="F2333" s="11" t="str">
        <f>IFERROR(__xludf.DUMMYFUNCTION("""COMPUTED_VALUE"""),"US_163 HOSPITAL DE PEDIATRIA HELENA MOURA")</f>
        <v>US_163 HOSPITAL DE PEDIATRIA HELENA MOURA</v>
      </c>
      <c r="G2333" s="11" t="str">
        <f>IFERROR(__xludf.DUMMYFUNCTION("""COMPUTED_VALUE"""),"US_393 USF UPINHA DIA BONGI NOVO PRADO")</f>
        <v>US_393 USF UPINHA DIA BONGI NOVO PRADO</v>
      </c>
      <c r="H2333" s="11"/>
      <c r="I2333" s="11"/>
      <c r="J2333" s="11"/>
      <c r="K2333" s="11"/>
      <c r="L2333" s="11"/>
      <c r="M2333" s="11"/>
      <c r="N2333" s="30" t="str">
        <f>IFERROR(__xludf.DUMMYFUNCTION("""COMPUTED_VALUE"""),"LIVIAGOMES@GMAIL.COM")</f>
        <v>LIVIAGOMES@GMAIL.COM</v>
      </c>
      <c r="O2333" s="11">
        <f>IFERROR(__xludf.DUMMYFUNCTION("""COMPUTED_VALUE"""),5591391443)</f>
        <v>5591391443</v>
      </c>
      <c r="P2333" s="11"/>
      <c r="Q2333" s="11"/>
      <c r="R2333" s="11"/>
      <c r="S2333" s="11"/>
      <c r="T2333" s="11"/>
      <c r="U2333" s="11"/>
      <c r="V2333" s="11"/>
      <c r="W2333" s="11"/>
      <c r="X2333" s="11"/>
      <c r="Y2333" s="11"/>
      <c r="Z2333" s="11"/>
    </row>
    <row r="2334" customHeight="1" spans="1:26">
      <c r="A2334" s="11" t="str">
        <f>IFERROR(__xludf.DUMMYFUNCTION("""COMPUTED_VALUE"""),"MARCOS ANTONIO PIRES V LUSTOSA")</f>
        <v>MARCOS ANTONIO PIRES V LUSTOSA</v>
      </c>
      <c r="B2334" s="11"/>
      <c r="C2334" s="11"/>
      <c r="D2334" s="11" t="str">
        <f>IFERROR(__xludf.DUMMYFUNCTION("""COMPUTED_VALUE"""),"PEDIATRIA")</f>
        <v>PEDIATRIA</v>
      </c>
      <c r="E2334" s="11"/>
      <c r="F2334" s="11" t="str">
        <f>IFERROR(__xludf.DUMMYFUNCTION("""COMPUTED_VALUE"""),"US_163 HOSPITAL DE PEDIATRIA HELENA MOURA")</f>
        <v>US_163 HOSPITAL DE PEDIATRIA HELENA MOURA</v>
      </c>
      <c r="G2334" s="11" t="str">
        <f>IFERROR(__xludf.DUMMYFUNCTION("""COMPUTED_VALUE"""),"US_442 USF UPINHA DIA SANTA LUZIA EMOCY KRAUSE")</f>
        <v>US_442 USF UPINHA DIA SANTA LUZIA EMOCY KRAUSE</v>
      </c>
      <c r="H2334" s="11"/>
      <c r="I2334" s="11"/>
      <c r="J2334" s="11"/>
      <c r="K2334" s="11"/>
      <c r="L2334" s="11"/>
      <c r="M2334" s="11"/>
      <c r="N2334" s="30" t="str">
        <f>IFERROR(__xludf.DUMMYFUNCTION("""COMPUTED_VALUE"""),"MARCOSVALADARESLUSTOSA@YAHOO.COM.BR")</f>
        <v>MARCOSVALADARESLUSTOSA@YAHOO.COM.BR</v>
      </c>
      <c r="O2334" s="11">
        <f>IFERROR(__xludf.DUMMYFUNCTION("""COMPUTED_VALUE"""),2967637483)</f>
        <v>2967637483</v>
      </c>
      <c r="P2334" s="11"/>
      <c r="Q2334" s="11"/>
      <c r="R2334" s="11"/>
      <c r="S2334" s="11"/>
      <c r="T2334" s="11"/>
      <c r="U2334" s="11"/>
      <c r="V2334" s="11"/>
      <c r="W2334" s="11"/>
      <c r="X2334" s="11"/>
      <c r="Y2334" s="11"/>
      <c r="Z2334" s="11"/>
    </row>
    <row r="2335" customHeight="1" spans="1:26">
      <c r="A2335" s="11" t="str">
        <f>IFERROR(__xludf.DUMMYFUNCTION("""COMPUTED_VALUE"""),"NATALIA DE OLIVEIRA VALENCA")</f>
        <v>NATALIA DE OLIVEIRA VALENCA</v>
      </c>
      <c r="B2335" s="11"/>
      <c r="C2335" s="11"/>
      <c r="D2335" s="11" t="str">
        <f>IFERROR(__xludf.DUMMYFUNCTION("""COMPUTED_VALUE"""),"PEDIATRIA")</f>
        <v>PEDIATRIA</v>
      </c>
      <c r="E2335" s="11"/>
      <c r="F2335" s="11" t="str">
        <f>IFERROR(__xludf.DUMMYFUNCTION("""COMPUTED_VALUE"""),"US_163 HOSPITAL DE PEDIATRIA HELENA MOURA")</f>
        <v>US_163 HOSPITAL DE PEDIATRIA HELENA MOURA</v>
      </c>
      <c r="G2335" s="11" t="str">
        <f>IFERROR(__xludf.DUMMYFUNCTION("""COMPUTED_VALUE"""),"US_338 USF UPINHA DIA JARDIM SAO PAULO")</f>
        <v>US_338 USF UPINHA DIA JARDIM SAO PAULO</v>
      </c>
      <c r="H2335" s="11"/>
      <c r="I2335" s="11"/>
      <c r="J2335" s="11"/>
      <c r="K2335" s="11"/>
      <c r="L2335" s="11"/>
      <c r="M2335" s="11"/>
      <c r="N2335" s="30" t="str">
        <f>IFERROR(__xludf.DUMMYFUNCTION("""COMPUTED_VALUE"""),"NATH_VALENCA@HOTMAIL.COM")</f>
        <v>NATH_VALENCA@HOTMAIL.COM</v>
      </c>
      <c r="O2335" s="11">
        <f>IFERROR(__xludf.DUMMYFUNCTION("""COMPUTED_VALUE"""),7697312441)</f>
        <v>7697312441</v>
      </c>
      <c r="P2335" s="11"/>
      <c r="Q2335" s="11"/>
      <c r="R2335" s="11"/>
      <c r="S2335" s="11"/>
      <c r="T2335" s="11"/>
      <c r="U2335" s="11"/>
      <c r="V2335" s="11"/>
      <c r="W2335" s="11"/>
      <c r="X2335" s="11"/>
      <c r="Y2335" s="11"/>
      <c r="Z2335" s="11"/>
    </row>
    <row r="2336" customHeight="1" spans="1:26">
      <c r="A2336" s="11" t="str">
        <f>IFERROR(__xludf.DUMMYFUNCTION("""COMPUTED_VALUE"""),"MAYRA DIAS CARVALHO")</f>
        <v>MAYRA DIAS CARVALHO</v>
      </c>
      <c r="B2336" s="11"/>
      <c r="C2336" s="11"/>
      <c r="D2336" s="11" t="str">
        <f>IFERROR(__xludf.DUMMYFUNCTION("""COMPUTED_VALUE"""),"PEDIATRIA")</f>
        <v>PEDIATRIA</v>
      </c>
      <c r="E2336" s="11"/>
      <c r="F2336" s="11" t="str">
        <f>IFERROR(__xludf.DUMMYFUNCTION("""COMPUTED_VALUE"""),"US_163 HOSPITAL DE PEDIATRIA HELENA MOURA")</f>
        <v>US_163 HOSPITAL DE PEDIATRIA HELENA MOURA</v>
      </c>
      <c r="G2336" s="11" t="str">
        <f>IFERROR(__xludf.DUMMYFUNCTION("""COMPUTED_VALUE"""),"US_399 USF UPINHA DIA NOVO JIQUIA")</f>
        <v>US_399 USF UPINHA DIA NOVO JIQUIA</v>
      </c>
      <c r="H2336" s="11"/>
      <c r="I2336" s="11"/>
      <c r="J2336" s="11"/>
      <c r="K2336" s="11"/>
      <c r="L2336" s="11"/>
      <c r="M2336" s="11"/>
      <c r="N2336" s="30" t="str">
        <f>IFERROR(__xludf.DUMMYFUNCTION("""COMPUTED_VALUE"""),"MAYRADECARVALHO@GMAIL.COM")</f>
        <v>MAYRADECARVALHO@GMAIL.COM</v>
      </c>
      <c r="O2336" s="11">
        <f>IFERROR(__xludf.DUMMYFUNCTION("""COMPUTED_VALUE"""),9629295490)</f>
        <v>9629295490</v>
      </c>
      <c r="P2336" s="11"/>
      <c r="Q2336" s="11"/>
      <c r="R2336" s="11"/>
      <c r="S2336" s="11"/>
      <c r="T2336" s="11"/>
      <c r="U2336" s="11"/>
      <c r="V2336" s="11"/>
      <c r="W2336" s="11"/>
      <c r="X2336" s="11"/>
      <c r="Y2336" s="11"/>
      <c r="Z2336" s="11"/>
    </row>
    <row r="2337" customHeight="1" spans="1:26">
      <c r="A2337" s="11" t="str">
        <f>IFERROR(__xludf.DUMMYFUNCTION("""COMPUTED_VALUE"""),"PETRA BRISSANTT SILVA")</f>
        <v>PETRA BRISSANTT SILVA</v>
      </c>
      <c r="B2337" s="11"/>
      <c r="C2337" s="11"/>
      <c r="D2337" s="11" t="str">
        <f>IFERROR(__xludf.DUMMYFUNCTION("""COMPUTED_VALUE"""),"NEONATOLOGIA")</f>
        <v>NEONATOLOGIA</v>
      </c>
      <c r="E2337" s="11"/>
      <c r="F2337" s="11" t="str">
        <f>IFERROR(__xludf.DUMMYFUNCTION("""COMPUTED_VALUE"""),"US_163 HOSPITAL DE PEDIATRIA HELENA MOURA")</f>
        <v>US_163 HOSPITAL DE PEDIATRIA HELENA MOURA</v>
      </c>
      <c r="G2337" s="11" t="str">
        <f>IFERROR(__xludf.DUMMYFUNCTION("""COMPUTED_VALUE"""),"US_338 USF UPINHA DIA JARDIM SAO PAULO")</f>
        <v>US_338 USF UPINHA DIA JARDIM SAO PAULO</v>
      </c>
      <c r="H2337" s="11"/>
      <c r="I2337" s="11"/>
      <c r="J2337" s="11"/>
      <c r="K2337" s="11"/>
      <c r="L2337" s="11"/>
      <c r="M2337" s="11"/>
      <c r="N2337" s="30" t="str">
        <f>IFERROR(__xludf.DUMMYFUNCTION("""COMPUTED_VALUE"""),"PETRABRISSANTT@GMAIL.COM")</f>
        <v>PETRABRISSANTT@GMAIL.COM</v>
      </c>
      <c r="O2337" s="11">
        <f>IFERROR(__xludf.DUMMYFUNCTION("""COMPUTED_VALUE"""),4393086406)</f>
        <v>4393086406</v>
      </c>
      <c r="P2337" s="11"/>
      <c r="Q2337" s="11"/>
      <c r="R2337" s="11"/>
      <c r="S2337" s="11"/>
      <c r="T2337" s="11"/>
      <c r="U2337" s="11"/>
      <c r="V2337" s="11"/>
      <c r="W2337" s="11"/>
      <c r="X2337" s="11"/>
      <c r="Y2337" s="11"/>
      <c r="Z2337" s="11"/>
    </row>
    <row r="2338" customHeight="1" spans="1:26">
      <c r="A2338" s="11" t="str">
        <f>IFERROR(__xludf.DUMMYFUNCTION("""COMPUTED_VALUE"""),"LEONARDO DIAS D AMORIM")</f>
        <v>LEONARDO DIAS D AMORIM</v>
      </c>
      <c r="B2338" s="11"/>
      <c r="C2338" s="11"/>
      <c r="D2338" s="11" t="str">
        <f>IFERROR(__xludf.DUMMYFUNCTION("""COMPUTED_VALUE"""),"PEDIATRIA")</f>
        <v>PEDIATRIA</v>
      </c>
      <c r="E2338" s="11"/>
      <c r="F2338" s="11" t="str">
        <f>IFERROR(__xludf.DUMMYFUNCTION("""COMPUTED_VALUE"""),"US_163 HOSPITAL DE PEDIATRIA HELENA MOURA")</f>
        <v>US_163 HOSPITAL DE PEDIATRIA HELENA MOURA</v>
      </c>
      <c r="G2338" s="11" t="str">
        <f>IFERROR(__xludf.DUMMYFUNCTION("""COMPUTED_VALUE"""),"US_400 USF UPINHA DIA DOM HELDER")</f>
        <v>US_400 USF UPINHA DIA DOM HELDER</v>
      </c>
      <c r="H2338" s="11"/>
      <c r="I2338" s="11"/>
      <c r="J2338" s="11"/>
      <c r="K2338" s="11"/>
      <c r="L2338" s="11"/>
      <c r="M2338" s="11"/>
      <c r="N2338" s="11"/>
      <c r="O2338" s="11">
        <f>IFERROR(__xludf.DUMMYFUNCTION("""COMPUTED_VALUE"""),4027667417)</f>
        <v>4027667417</v>
      </c>
      <c r="P2338" s="11"/>
      <c r="Q2338" s="11"/>
      <c r="R2338" s="11"/>
      <c r="S2338" s="11"/>
      <c r="T2338" s="11"/>
      <c r="U2338" s="11"/>
      <c r="V2338" s="11"/>
      <c r="W2338" s="11"/>
      <c r="X2338" s="11"/>
      <c r="Y2338" s="11"/>
      <c r="Z2338" s="11"/>
    </row>
    <row r="2339" customHeight="1" spans="1:26">
      <c r="A2339" s="11" t="str">
        <f>IFERROR(__xludf.DUMMYFUNCTION("""COMPUTED_VALUE"""),"DEBORAH GOIS AMORIM LAFAYETTE")</f>
        <v>DEBORAH GOIS AMORIM LAFAYETTE</v>
      </c>
      <c r="B2339" s="11"/>
      <c r="C2339" s="11"/>
      <c r="D2339" s="11" t="str">
        <f>IFERROR(__xludf.DUMMYFUNCTION("""COMPUTED_VALUE"""),"PEDIATRIA")</f>
        <v>PEDIATRIA</v>
      </c>
      <c r="E2339" s="11"/>
      <c r="F2339" s="11" t="str">
        <f>IFERROR(__xludf.DUMMYFUNCTION("""COMPUTED_VALUE"""),"US_163 HOSPITAL DE PEDIATRIA HELENA MOURA")</f>
        <v>US_163 HOSPITAL DE PEDIATRIA HELENA MOURA</v>
      </c>
      <c r="G2339" s="11" t="str">
        <f>IFERROR(__xludf.DUMMYFUNCTION("""COMPUTED_VALUE"""),"US_276 USF UPINHA DIA ALTO DO PASCOAL	")</f>
        <v>US_276 USF UPINHA DIA ALTO DO PASCOAL	</v>
      </c>
      <c r="H2339" s="11"/>
      <c r="I2339" s="11"/>
      <c r="J2339" s="11"/>
      <c r="K2339" s="11"/>
      <c r="L2339" s="11"/>
      <c r="M2339" s="11"/>
      <c r="N2339" s="30" t="str">
        <f>IFERROR(__xludf.DUMMYFUNCTION("""COMPUTED_VALUE"""),"deborahgois@gmail.com")</f>
        <v>deborahgois@gmail.com</v>
      </c>
      <c r="O2339" s="11">
        <f>IFERROR(__xludf.DUMMYFUNCTION("""COMPUTED_VALUE"""),6730895411)</f>
        <v>6730895411</v>
      </c>
      <c r="P2339" s="11"/>
      <c r="Q2339" s="11"/>
      <c r="R2339" s="11"/>
      <c r="S2339" s="11"/>
      <c r="T2339" s="11"/>
      <c r="U2339" s="11"/>
      <c r="V2339" s="11"/>
      <c r="W2339" s="11"/>
      <c r="X2339" s="11"/>
      <c r="Y2339" s="11"/>
      <c r="Z2339" s="11"/>
    </row>
    <row r="2340" customHeight="1" spans="1:26">
      <c r="A2340" s="11" t="str">
        <f>IFERROR(__xludf.DUMMYFUNCTION("""COMPUTED_VALUE"""),"DEBORA AVILA ACIOLY")</f>
        <v>DEBORA AVILA ACIOLY</v>
      </c>
      <c r="B2340" s="11"/>
      <c r="C2340" s="11"/>
      <c r="D2340" s="11" t="str">
        <f>IFERROR(__xludf.DUMMYFUNCTION("""COMPUTED_VALUE"""),"PEDIATRIA")</f>
        <v>PEDIATRIA</v>
      </c>
      <c r="E2340" s="11"/>
      <c r="F2340" s="11" t="str">
        <f>IFERROR(__xludf.DUMMYFUNCTION("""COMPUTED_VALUE"""),"US_164 CENTRO DE REIDRATACAO E URG PED M CRAVO GAMA")</f>
        <v>US_164 CENTRO DE REIDRATACAO E URG PED M CRAVO GAMA</v>
      </c>
      <c r="G2340" s="11" t="str">
        <f>IFERROR(__xludf.DUMMYFUNCTION("""COMPUTED_VALUE"""),"US_276 USF UPINHA DIA ALTO DO PASCOAL	")</f>
        <v>US_276 USF UPINHA DIA ALTO DO PASCOAL	</v>
      </c>
      <c r="H2340" s="11"/>
      <c r="I2340" s="11"/>
      <c r="J2340" s="11"/>
      <c r="K2340" s="11"/>
      <c r="L2340" s="11"/>
      <c r="M2340" s="11"/>
      <c r="N2340" s="30" t="str">
        <f>IFERROR(__xludf.DUMMYFUNCTION("""COMPUTED_VALUE"""),"deborahacioly@hotmail.com")</f>
        <v>deborahacioly@hotmail.com</v>
      </c>
      <c r="O2340" s="11">
        <f>IFERROR(__xludf.DUMMYFUNCTION("""COMPUTED_VALUE"""),983443408)</f>
        <v>983443408</v>
      </c>
      <c r="P2340" s="11"/>
      <c r="Q2340" s="11"/>
      <c r="R2340" s="11"/>
      <c r="S2340" s="11"/>
      <c r="T2340" s="11"/>
      <c r="U2340" s="11"/>
      <c r="V2340" s="11"/>
      <c r="W2340" s="11"/>
      <c r="X2340" s="11"/>
      <c r="Y2340" s="11"/>
      <c r="Z2340" s="11"/>
    </row>
    <row r="2341" customHeight="1" spans="1:26">
      <c r="A2341" s="11" t="str">
        <f>IFERROR(__xludf.DUMMYFUNCTION("""COMPUTED_VALUE"""),"DALILA CARLA MAIA E SILVA")</f>
        <v>DALILA CARLA MAIA E SILVA</v>
      </c>
      <c r="B2341" s="11"/>
      <c r="C2341" s="11"/>
      <c r="D2341" s="11" t="str">
        <f>IFERROR(__xludf.DUMMYFUNCTION("""COMPUTED_VALUE"""),"PEDIATRIA")</f>
        <v>PEDIATRIA</v>
      </c>
      <c r="E2341" s="11"/>
      <c r="F2341" s="11" t="str">
        <f>IFERROR(__xludf.DUMMYFUNCTION("""COMPUTED_VALUE"""),"US_163 HOSPITAL DE PEDIATRIA HELENA MOURA")</f>
        <v>US_163 HOSPITAL DE PEDIATRIA HELENA MOURA</v>
      </c>
      <c r="G2341" s="11" t="str">
        <f>IFERROR(__xludf.DUMMYFUNCTION("""COMPUTED_VALUE"""),"US_154 USF UPINHA DIA RIO DA PRATA")</f>
        <v>US_154 USF UPINHA DIA RIO DA PRATA</v>
      </c>
      <c r="H2341" s="11"/>
      <c r="I2341" s="11"/>
      <c r="J2341" s="11"/>
      <c r="K2341" s="11"/>
      <c r="L2341" s="11"/>
      <c r="M2341" s="11"/>
      <c r="N2341" s="30" t="str">
        <f>IFERROR(__xludf.DUMMYFUNCTION("""COMPUTED_VALUE"""),"dalilacarla@gmail.com")</f>
        <v>dalilacarla@gmail.com</v>
      </c>
      <c r="O2341" s="11">
        <f>IFERROR(__xludf.DUMMYFUNCTION("""COMPUTED_VALUE"""),5950037456)</f>
        <v>5950037456</v>
      </c>
      <c r="P2341" s="11"/>
      <c r="Q2341" s="11"/>
      <c r="R2341" s="11"/>
      <c r="S2341" s="11"/>
      <c r="T2341" s="11"/>
      <c r="U2341" s="11"/>
      <c r="V2341" s="11"/>
      <c r="W2341" s="11"/>
      <c r="X2341" s="11"/>
      <c r="Y2341" s="11"/>
      <c r="Z2341" s="11"/>
    </row>
    <row r="2342" customHeight="1" spans="1:26">
      <c r="A2342" s="11" t="str">
        <f>IFERROR(__xludf.DUMMYFUNCTION("""COMPUTED_VALUE"""),"TIAGO RIBEIRO DE ARRUDA")</f>
        <v>TIAGO RIBEIRO DE ARRUDA</v>
      </c>
      <c r="B2342" s="11"/>
      <c r="C2342" s="11"/>
      <c r="D2342" s="11" t="str">
        <f>IFERROR(__xludf.DUMMYFUNCTION("""COMPUTED_VALUE"""),"PEDIATRIA")</f>
        <v>PEDIATRIA</v>
      </c>
      <c r="E2342" s="11"/>
      <c r="F2342" s="11" t="str">
        <f>IFERROR(__xludf.DUMMYFUNCTION("""COMPUTED_VALUE"""),"US_163 HOSPITAL DE PEDIATRIA HELENA MOURA")</f>
        <v>US_163 HOSPITAL DE PEDIATRIA HELENA MOURA</v>
      </c>
      <c r="G2342" s="11" t="str">
        <f>IFERROR(__xludf.DUMMYFUNCTION("""COMPUTED_VALUE"""),"US_228 USF UPINHA DIA DES JOSE MANOEL DE FREITAS UR 4UR 5")</f>
        <v>US_228 USF UPINHA DIA DES JOSE MANOEL DE FREITAS UR 4UR 5</v>
      </c>
      <c r="H2342" s="11"/>
      <c r="I2342" s="11"/>
      <c r="J2342" s="11"/>
      <c r="K2342" s="11"/>
      <c r="L2342" s="11"/>
      <c r="M2342" s="11"/>
      <c r="N2342" s="30" t="str">
        <f>IFERROR(__xludf.DUMMYFUNCTION("""COMPUTED_VALUE"""),"tiago2411@gmail.com")</f>
        <v>tiago2411@gmail.com</v>
      </c>
      <c r="O2342" s="11">
        <f>IFERROR(__xludf.DUMMYFUNCTION("""COMPUTED_VALUE"""),5571052422)</f>
        <v>5571052422</v>
      </c>
      <c r="P2342" s="11"/>
      <c r="Q2342" s="11"/>
      <c r="R2342" s="11"/>
      <c r="S2342" s="11"/>
      <c r="T2342" s="11"/>
      <c r="U2342" s="11"/>
      <c r="V2342" s="11"/>
      <c r="W2342" s="11"/>
      <c r="X2342" s="11"/>
      <c r="Y2342" s="11"/>
      <c r="Z2342" s="11"/>
    </row>
    <row r="2343" customHeight="1" spans="1:26">
      <c r="A2343" s="11" t="str">
        <f>IFERROR(__xludf.DUMMYFUNCTION("""COMPUTED_VALUE"""),"VIVIANNE BARRETO O DE MENEZES")</f>
        <v>VIVIANNE BARRETO O DE MENEZES</v>
      </c>
      <c r="B2343" s="11"/>
      <c r="C2343" s="11"/>
      <c r="D2343" s="11" t="str">
        <f>IFERROR(__xludf.DUMMYFUNCTION("""COMPUTED_VALUE"""),"PEDIATRIA")</f>
        <v>PEDIATRIA</v>
      </c>
      <c r="E2343" s="11"/>
      <c r="F2343" s="11" t="str">
        <f>IFERROR(__xludf.DUMMYFUNCTION("""COMPUTED_VALUE"""),"US_164 CENTRO DE REIDRATACAO E URG PED M CRAVO GAMA")</f>
        <v>US_164 CENTRO DE REIDRATACAO E URG PED M CRAVO GAMA</v>
      </c>
      <c r="G2343" s="11" t="str">
        <f>IFERROR(__xludf.DUMMYFUNCTION("""COMPUTED_VALUE"""),"US_154 USF UPINHA DIA RIO DA PRATA")</f>
        <v>US_154 USF UPINHA DIA RIO DA PRATA</v>
      </c>
      <c r="H2343" s="11"/>
      <c r="I2343" s="11"/>
      <c r="J2343" s="11"/>
      <c r="K2343" s="11"/>
      <c r="L2343" s="11"/>
      <c r="M2343" s="11"/>
      <c r="N2343" s="30" t="str">
        <f>IFERROR(__xludf.DUMMYFUNCTION("""COMPUTED_VALUE"""),"vivianne_barreto@yahoo.com.br")</f>
        <v>vivianne_barreto@yahoo.com.br</v>
      </c>
      <c r="O2343" s="11">
        <f>IFERROR(__xludf.DUMMYFUNCTION("""COMPUTED_VALUE"""),4098491460)</f>
        <v>4098491460</v>
      </c>
      <c r="P2343" s="11"/>
      <c r="Q2343" s="11"/>
      <c r="R2343" s="11"/>
      <c r="S2343" s="11"/>
      <c r="T2343" s="11"/>
      <c r="U2343" s="11"/>
      <c r="V2343" s="11"/>
      <c r="W2343" s="11"/>
      <c r="X2343" s="11"/>
      <c r="Y2343" s="11"/>
      <c r="Z2343" s="11"/>
    </row>
    <row r="2344" customHeight="1" spans="1:26">
      <c r="A2344" s="11" t="str">
        <f>IFERROR(__xludf.DUMMYFUNCTION("""COMPUTED_VALUE"""),"MARIA INEZ RIBEIRO GONCALVES")</f>
        <v>MARIA INEZ RIBEIRO GONCALVES</v>
      </c>
      <c r="B2344" s="11"/>
      <c r="C2344" s="11"/>
      <c r="D2344" s="11" t="str">
        <f>IFERROR(__xludf.DUMMYFUNCTION("""COMPUTED_VALUE"""),"PEDIATRIA")</f>
        <v>PEDIATRIA</v>
      </c>
      <c r="E2344" s="11"/>
      <c r="F2344" s="11" t="str">
        <f>IFERROR(__xludf.DUMMYFUNCTION("""COMPUTED_VALUE"""),"US_164 CENTRO DE REIDRATACAO E URG PED M CRAVO GAMA")</f>
        <v>US_164 CENTRO DE REIDRATACAO E URG PED M CRAVO GAMA</v>
      </c>
      <c r="G2344" s="11" t="str">
        <f>IFERROR(__xludf.DUMMYFUNCTION("""COMPUTED_VALUE"""),"SEGTES")</f>
        <v>SEGTES</v>
      </c>
      <c r="H2344" s="11"/>
      <c r="I2344" s="11"/>
      <c r="J2344" s="11"/>
      <c r="K2344" s="11"/>
      <c r="L2344" s="11"/>
      <c r="M2344" s="11"/>
      <c r="N2344" s="30" t="str">
        <f>IFERROR(__xludf.DUMMYFUNCTION("""COMPUTED_VALUE"""),"ineix_rg@hotmail.com")</f>
        <v>ineix_rg@hotmail.com</v>
      </c>
      <c r="O2344" s="11">
        <f>IFERROR(__xludf.DUMMYFUNCTION("""COMPUTED_VALUE"""),855425474)</f>
        <v>855425474</v>
      </c>
      <c r="P2344" s="11"/>
      <c r="Q2344" s="11"/>
      <c r="R2344" s="11"/>
      <c r="S2344" s="11"/>
      <c r="T2344" s="11"/>
      <c r="U2344" s="11"/>
      <c r="V2344" s="11"/>
      <c r="W2344" s="11"/>
      <c r="X2344" s="11"/>
      <c r="Y2344" s="11"/>
      <c r="Z2344" s="11"/>
    </row>
    <row r="2345" customHeight="1" spans="1:26">
      <c r="A2345" s="11" t="str">
        <f>IFERROR(__xludf.DUMMYFUNCTION("""COMPUTED_VALUE"""),"ADRIANE KALYNA DE FREITAS MENDONÇA BARBOSA")</f>
        <v>ADRIANE KALYNA DE FREITAS MENDONÇA BARBOSA</v>
      </c>
      <c r="B2345" s="11"/>
      <c r="C2345" s="11"/>
      <c r="D2345" s="11" t="str">
        <f>IFERROR(__xludf.DUMMYFUNCTION("""COMPUTED_VALUE"""),"PEDIATRIA")</f>
        <v>PEDIATRIA</v>
      </c>
      <c r="E2345" s="11"/>
      <c r="F2345" s="11" t="str">
        <f>IFERROR(__xludf.DUMMYFUNCTION("""COMPUTED_VALUE"""),"")</f>
        <v/>
      </c>
      <c r="G2345" s="11" t="str">
        <f>IFERROR(__xludf.DUMMYFUNCTION("""COMPUTED_VALUE"""),"")</f>
        <v/>
      </c>
      <c r="H2345" s="11"/>
      <c r="I2345" s="11"/>
      <c r="J2345" s="11"/>
      <c r="K2345" s="11"/>
      <c r="L2345" s="11"/>
      <c r="M2345" s="11"/>
      <c r="N2345" s="11"/>
      <c r="O2345" s="11"/>
      <c r="P2345" s="11"/>
      <c r="Q2345" s="11"/>
      <c r="R2345" s="11"/>
      <c r="S2345" s="11"/>
      <c r="T2345" s="11"/>
      <c r="U2345" s="11"/>
      <c r="V2345" s="11"/>
      <c r="W2345" s="11"/>
      <c r="X2345" s="11"/>
      <c r="Y2345" s="11"/>
      <c r="Z2345" s="11"/>
    </row>
    <row r="2346" customHeight="1" spans="1:26">
      <c r="A2346" s="11" t="str">
        <f>IFERROR(__xludf.DUMMYFUNCTION("""COMPUTED_VALUE"""),"PAULA MARCIA B DE ALBUQUERQUE")</f>
        <v>PAULA MARCIA B DE ALBUQUERQUE</v>
      </c>
      <c r="B2346" s="11"/>
      <c r="C2346" s="11"/>
      <c r="D2346" s="11" t="str">
        <f>IFERROR(__xludf.DUMMYFUNCTION("""COMPUTED_VALUE"""),"CITOPATOLOGIA")</f>
        <v>CITOPATOLOGIA</v>
      </c>
      <c r="E2346" s="11"/>
      <c r="F2346" s="11" t="str">
        <f>IFERROR(__xludf.DUMMYFUNCTION("""COMPUTED_VALUE"""),"US_143 LABORATORIO MUNICIPAL DO RECIFE")</f>
        <v>US_143 LABORATORIO MUNICIPAL DO RECIFE</v>
      </c>
      <c r="G2346" s="11" t="str">
        <f>IFERROR(__xludf.DUMMYFUNCTION("""COMPUTED_VALUE"""),"")</f>
        <v/>
      </c>
      <c r="H2346" s="11"/>
      <c r="I2346" s="11"/>
      <c r="J2346" s="11"/>
      <c r="K2346" s="11"/>
      <c r="L2346" s="11"/>
      <c r="M2346" s="11"/>
      <c r="N2346" s="30" t="str">
        <f>IFERROR(__xludf.DUMMYFUNCTION("""COMPUTED_VALUE"""),"paulaeromulo2009@hotmail.com")</f>
        <v>paulaeromulo2009@hotmail.com</v>
      </c>
      <c r="O2346" s="11">
        <f>IFERROR(__xludf.DUMMYFUNCTION("""COMPUTED_VALUE"""),35337010425)</f>
        <v>35337010425</v>
      </c>
      <c r="P2346" s="11"/>
      <c r="Q2346" s="11"/>
      <c r="R2346" s="11"/>
      <c r="S2346" s="11"/>
      <c r="T2346" s="11"/>
      <c r="U2346" s="11"/>
      <c r="V2346" s="11"/>
      <c r="W2346" s="11"/>
      <c r="X2346" s="11"/>
      <c r="Y2346" s="11"/>
      <c r="Z2346" s="11"/>
    </row>
    <row r="2347" customHeight="1" spans="1:26">
      <c r="A2347" s="11" t="str">
        <f>IFERROR(__xludf.DUMMYFUNCTION("""COMPUTED_VALUE"""),"MICHELINE O LOBO P DA COSTA")</f>
        <v>MICHELINE O LOBO P DA COSTA</v>
      </c>
      <c r="B2347" s="11"/>
      <c r="C2347" s="11"/>
      <c r="D2347" s="11" t="str">
        <f>IFERROR(__xludf.DUMMYFUNCTION("""COMPUTED_VALUE"""),"CITOPATOLOGIA")</f>
        <v>CITOPATOLOGIA</v>
      </c>
      <c r="E2347" s="11"/>
      <c r="F2347" s="11" t="str">
        <f>IFERROR(__xludf.DUMMYFUNCTION("""COMPUTED_VALUE"""),"US_143 LABORATORIO MUNICIPAL DO RECIFE")</f>
        <v>US_143 LABORATORIO MUNICIPAL DO RECIFE</v>
      </c>
      <c r="G2347" s="11" t="str">
        <f>IFERROR(__xludf.DUMMYFUNCTION("""COMPUTED_VALUE"""),"")</f>
        <v/>
      </c>
      <c r="H2347" s="11"/>
      <c r="I2347" s="11"/>
      <c r="J2347" s="11"/>
      <c r="K2347" s="11"/>
      <c r="L2347" s="11"/>
      <c r="M2347" s="11"/>
      <c r="N2347" s="30" t="str">
        <f>IFERROR(__xludf.DUMMYFUNCTION("""COMPUTED_VALUE"""),"michelineo@uol.com.br")</f>
        <v>michelineo@uol.com.br</v>
      </c>
      <c r="O2347" s="11">
        <f>IFERROR(__xludf.DUMMYFUNCTION("""COMPUTED_VALUE"""),66674514420)</f>
        <v>66674514420</v>
      </c>
      <c r="P2347" s="11"/>
      <c r="Q2347" s="11"/>
      <c r="R2347" s="11"/>
      <c r="S2347" s="11"/>
      <c r="T2347" s="11"/>
      <c r="U2347" s="11"/>
      <c r="V2347" s="11"/>
      <c r="W2347" s="11"/>
      <c r="X2347" s="11"/>
      <c r="Y2347" s="11"/>
      <c r="Z2347" s="11"/>
    </row>
    <row r="2348" customHeight="1" spans="1:26">
      <c r="A2348" s="11" t="str">
        <f>IFERROR(__xludf.DUMMYFUNCTION("""COMPUTED_VALUE"""),"ANA PAULA CABRAL D DE MATOS")</f>
        <v>ANA PAULA CABRAL D DE MATOS</v>
      </c>
      <c r="B2348" s="11"/>
      <c r="C2348" s="11"/>
      <c r="D2348" s="11" t="str">
        <f>IFERROR(__xludf.DUMMYFUNCTION("""COMPUTED_VALUE"""),"PATOLOGIA")</f>
        <v>PATOLOGIA</v>
      </c>
      <c r="E2348" s="11"/>
      <c r="F2348" s="11" t="str">
        <f>IFERROR(__xludf.DUMMYFUNCTION("""COMPUTED_VALUE"""),"US_143 LABORATORIO MUNICIPAL DO RECIFE")</f>
        <v>US_143 LABORATORIO MUNICIPAL DO RECIFE</v>
      </c>
      <c r="G2348" s="11" t="str">
        <f>IFERROR(__xludf.DUMMYFUNCTION("""COMPUTED_VALUE"""),"")</f>
        <v/>
      </c>
      <c r="H2348" s="11"/>
      <c r="I2348" s="11"/>
      <c r="J2348" s="11"/>
      <c r="K2348" s="11"/>
      <c r="L2348" s="11"/>
      <c r="M2348" s="11"/>
      <c r="N2348" s="30" t="str">
        <f>IFERROR(__xludf.DUMMYFUNCTION("""COMPUTED_VALUE"""),"apdmatos@globo.com")</f>
        <v>apdmatos@globo.com</v>
      </c>
      <c r="O2348" s="11">
        <f>IFERROR(__xludf.DUMMYFUNCTION("""COMPUTED_VALUE"""),43175686400)</f>
        <v>43175686400</v>
      </c>
      <c r="P2348" s="11"/>
      <c r="Q2348" s="11"/>
      <c r="R2348" s="11"/>
      <c r="S2348" s="11"/>
      <c r="T2348" s="11"/>
      <c r="U2348" s="11"/>
      <c r="V2348" s="11"/>
      <c r="W2348" s="11"/>
      <c r="X2348" s="11"/>
      <c r="Y2348" s="11"/>
      <c r="Z2348" s="11"/>
    </row>
    <row r="2349" customHeight="1" spans="1:26">
      <c r="A2349" s="11" t="str">
        <f>IFERROR(__xludf.DUMMYFUNCTION("""COMPUTED_VALUE"""),"CATARINE MARIA PINTO DUARTE")</f>
        <v>CATARINE MARIA PINTO DUARTE</v>
      </c>
      <c r="B2349" s="11"/>
      <c r="C2349" s="11"/>
      <c r="D2349" s="11" t="str">
        <f>IFERROR(__xludf.DUMMYFUNCTION("""COMPUTED_VALUE"""),"PATOLOGIA")</f>
        <v>PATOLOGIA</v>
      </c>
      <c r="E2349" s="11"/>
      <c r="F2349" s="11" t="str">
        <f>IFERROR(__xludf.DUMMYFUNCTION("""COMPUTED_VALUE"""),"US_143 LABORATORIO MUNICIPAL DO RECIFE")</f>
        <v>US_143 LABORATORIO MUNICIPAL DO RECIFE</v>
      </c>
      <c r="G2349" s="11" t="str">
        <f>IFERROR(__xludf.DUMMYFUNCTION("""COMPUTED_VALUE"""),"")</f>
        <v/>
      </c>
      <c r="H2349" s="11"/>
      <c r="I2349" s="11"/>
      <c r="J2349" s="11"/>
      <c r="K2349" s="11"/>
      <c r="L2349" s="11"/>
      <c r="M2349" s="11"/>
      <c r="N2349" s="30" t="str">
        <f>IFERROR(__xludf.DUMMYFUNCTION("""COMPUTED_VALUE"""),"catarine-duarte@hotmail.com")</f>
        <v>catarine-duarte@hotmail.com</v>
      </c>
      <c r="O2349" s="11">
        <f>IFERROR(__xludf.DUMMYFUNCTION("""COMPUTED_VALUE"""),897802489)</f>
        <v>897802489</v>
      </c>
      <c r="P2349" s="11"/>
      <c r="Q2349" s="11"/>
      <c r="R2349" s="11"/>
      <c r="S2349" s="11"/>
      <c r="T2349" s="11"/>
      <c r="U2349" s="11"/>
      <c r="V2349" s="11"/>
      <c r="W2349" s="11"/>
      <c r="X2349" s="11"/>
      <c r="Y2349" s="11"/>
      <c r="Z2349" s="11"/>
    </row>
    <row r="2350" customHeight="1" spans="1:26">
      <c r="A2350" s="11" t="str">
        <f>IFERROR(__xludf.DUMMYFUNCTION("""COMPUTED_VALUE"""),"SIMAS D ARTAGNAN B MORAES")</f>
        <v>SIMAS D ARTAGNAN B MORAES</v>
      </c>
      <c r="B2350" s="11"/>
      <c r="C2350" s="11"/>
      <c r="D2350" s="11" t="str">
        <f>IFERROR(__xludf.DUMMYFUNCTION("""COMPUTED_VALUE"""),"PATOLOGIA")</f>
        <v>PATOLOGIA</v>
      </c>
      <c r="E2350" s="11"/>
      <c r="F2350" s="11" t="str">
        <f>IFERROR(__xludf.DUMMYFUNCTION("""COMPUTED_VALUE"""),"US_143 LABORATORIO MUNICIPAL DO RECIFE")</f>
        <v>US_143 LABORATORIO MUNICIPAL DO RECIFE</v>
      </c>
      <c r="G2350" s="11" t="str">
        <f>IFERROR(__xludf.DUMMYFUNCTION("""COMPUTED_VALUE"""),"")</f>
        <v/>
      </c>
      <c r="H2350" s="11"/>
      <c r="I2350" s="11"/>
      <c r="J2350" s="11"/>
      <c r="K2350" s="11"/>
      <c r="L2350" s="11"/>
      <c r="M2350" s="11"/>
      <c r="N2350" s="30" t="str">
        <f>IFERROR(__xludf.DUMMYFUNCTION("""COMPUTED_VALUE"""),"simasdbm@yahoo.com.br")</f>
        <v>simasdbm@yahoo.com.br</v>
      </c>
      <c r="O2350" s="11">
        <f>IFERROR(__xludf.DUMMYFUNCTION("""COMPUTED_VALUE"""),5705870426)</f>
        <v>5705870426</v>
      </c>
      <c r="P2350" s="11"/>
      <c r="Q2350" s="11"/>
      <c r="R2350" s="11"/>
      <c r="S2350" s="11"/>
      <c r="T2350" s="11"/>
      <c r="U2350" s="11"/>
      <c r="V2350" s="11"/>
      <c r="W2350" s="11"/>
      <c r="X2350" s="11"/>
      <c r="Y2350" s="11"/>
      <c r="Z2350" s="11"/>
    </row>
    <row r="2351" customHeight="1" spans="1:26">
      <c r="A2351" s="11" t="str">
        <f>IFERROR(__xludf.DUMMYFUNCTION("""COMPUTED_VALUE"""),"MARIA DE FATIMA DE A FALCAO")</f>
        <v>MARIA DE FATIMA DE A FALCAO</v>
      </c>
      <c r="B2351" s="11"/>
      <c r="C2351" s="11"/>
      <c r="D2351" s="11" t="str">
        <f>IFERROR(__xludf.DUMMYFUNCTION("""COMPUTED_VALUE"""),"CITOPATOLOGIA")</f>
        <v>CITOPATOLOGIA</v>
      </c>
      <c r="E2351" s="11"/>
      <c r="F2351" s="11" t="str">
        <f>IFERROR(__xludf.DUMMYFUNCTION("""COMPUTED_VALUE"""),"US_143 LABORATORIO MUNICIPAL DO RECIFE")</f>
        <v>US_143 LABORATORIO MUNICIPAL DO RECIFE</v>
      </c>
      <c r="G2351" s="11" t="str">
        <f>IFERROR(__xludf.DUMMYFUNCTION("""COMPUTED_VALUE"""),"AGUARDANDO LOTAÇAO")</f>
        <v>AGUARDANDO LOTAÇAO</v>
      </c>
      <c r="H2351" s="11"/>
      <c r="I2351" s="11"/>
      <c r="J2351" s="11"/>
      <c r="K2351" s="11"/>
      <c r="L2351" s="11"/>
      <c r="M2351" s="11"/>
      <c r="N2351" s="30" t="str">
        <f>IFERROR(__xludf.DUMMYFUNCTION("""COMPUTED_VALUE"""),"FATIMAF17@HOTMAIL.COM")</f>
        <v>FATIMAF17@HOTMAIL.COM</v>
      </c>
      <c r="O2351" s="11">
        <f>IFERROR(__xludf.DUMMYFUNCTION("""COMPUTED_VALUE"""),17456894434)</f>
        <v>17456894434</v>
      </c>
      <c r="P2351" s="11"/>
      <c r="Q2351" s="11"/>
      <c r="R2351" s="11"/>
      <c r="S2351" s="11"/>
      <c r="T2351" s="11"/>
      <c r="U2351" s="11"/>
      <c r="V2351" s="11"/>
      <c r="W2351" s="11"/>
      <c r="X2351" s="11"/>
      <c r="Y2351" s="11"/>
      <c r="Z2351" s="11"/>
    </row>
    <row r="2352" customHeight="1" spans="1:26">
      <c r="A2352" s="11" t="str">
        <f>IFERROR(__xludf.DUMMYFUNCTION("""COMPUTED_VALUE"""),"LAURA MYRNA DE OLIVEIRA AFONSO")</f>
        <v>LAURA MYRNA DE OLIVEIRA AFONSO</v>
      </c>
      <c r="B2352" s="11"/>
      <c r="C2352" s="11"/>
      <c r="D2352" s="11" t="str">
        <f>IFERROR(__xludf.DUMMYFUNCTION("""COMPUTED_VALUE"""),"CITOPATOLOGIA")</f>
        <v>CITOPATOLOGIA</v>
      </c>
      <c r="E2352" s="11"/>
      <c r="F2352" s="11" t="str">
        <f>IFERROR(__xludf.DUMMYFUNCTION("""COMPUTED_VALUE"""),"US_143 LABORATORIO MUNICIPAL DO RECIFE")</f>
        <v>US_143 LABORATORIO MUNICIPAL DO RECIFE</v>
      </c>
      <c r="G2352" s="11" t="str">
        <f>IFERROR(__xludf.DUMMYFUNCTION("""COMPUTED_VALUE"""),"ATENDE EM CASA")</f>
        <v>ATENDE EM CASA</v>
      </c>
      <c r="H2352" s="11"/>
      <c r="I2352" s="11"/>
      <c r="J2352" s="11"/>
      <c r="K2352" s="11"/>
      <c r="L2352" s="11"/>
      <c r="M2352" s="11"/>
      <c r="N2352" s="30" t="str">
        <f>IFERROR(__xludf.DUMMYFUNCTION("""COMPUTED_VALUE"""),"LAURITAMYRNA@GLOBO.COM")</f>
        <v>LAURITAMYRNA@GLOBO.COM</v>
      </c>
      <c r="O2352" s="11">
        <f>IFERROR(__xludf.DUMMYFUNCTION("""COMPUTED_VALUE"""),12601357487)</f>
        <v>12601357487</v>
      </c>
      <c r="P2352" s="11"/>
      <c r="Q2352" s="11"/>
      <c r="R2352" s="11"/>
      <c r="S2352" s="11"/>
      <c r="T2352" s="11"/>
      <c r="U2352" s="11"/>
      <c r="V2352" s="11"/>
      <c r="W2352" s="11"/>
      <c r="X2352" s="11"/>
      <c r="Y2352" s="11"/>
      <c r="Z2352" s="11"/>
    </row>
    <row r="2353" customHeight="1" spans="1:26">
      <c r="A2353" s="11" t="str">
        <f>IFERROR(__xludf.DUMMYFUNCTION("""COMPUTED_VALUE"""),"JULIANA MELO PEREIRA")</f>
        <v>JULIANA MELO PEREIRA</v>
      </c>
      <c r="B2353" s="11"/>
      <c r="C2353" s="11"/>
      <c r="D2353" s="11" t="str">
        <f>IFERROR(__xludf.DUMMYFUNCTION("""COMPUTED_VALUE"""),"PATOLOGIA")</f>
        <v>PATOLOGIA</v>
      </c>
      <c r="E2353" s="11"/>
      <c r="F2353" s="11" t="str">
        <f>IFERROR(__xludf.DUMMYFUNCTION("""COMPUTED_VALUE"""),"US_143 LABORATORIO MUNICIPAL DO RECIFE")</f>
        <v>US_143 LABORATORIO MUNICIPAL DO RECIFE</v>
      </c>
      <c r="G2353" s="11" t="str">
        <f>IFERROR(__xludf.DUMMYFUNCTION("""COMPUTED_VALUE"""),"ATENDE EM CASA")</f>
        <v>ATENDE EM CASA</v>
      </c>
      <c r="H2353" s="11"/>
      <c r="I2353" s="11"/>
      <c r="J2353" s="11"/>
      <c r="K2353" s="11"/>
      <c r="L2353" s="11"/>
      <c r="M2353" s="11"/>
      <c r="N2353" s="11"/>
      <c r="O2353" s="11">
        <f>IFERROR(__xludf.DUMMYFUNCTION("""COMPUTED_VALUE"""),6652485478)</f>
        <v>6652485478</v>
      </c>
      <c r="P2353" s="11"/>
      <c r="Q2353" s="11"/>
      <c r="R2353" s="11"/>
      <c r="S2353" s="11"/>
      <c r="T2353" s="11"/>
      <c r="U2353" s="11"/>
      <c r="V2353" s="11"/>
      <c r="W2353" s="11"/>
      <c r="X2353" s="11"/>
      <c r="Y2353" s="11"/>
      <c r="Z2353" s="11"/>
    </row>
    <row r="2354" customHeight="1" spans="1:26">
      <c r="A2354" s="11" t="str">
        <f>IFERROR(__xludf.DUMMYFUNCTION("""COMPUTED_VALUE"""),"SOFIA SANTOS TENORIO")</f>
        <v>SOFIA SANTOS TENORIO</v>
      </c>
      <c r="B2354" s="11"/>
      <c r="C2354" s="11"/>
      <c r="D2354" s="11" t="str">
        <f>IFERROR(__xludf.DUMMYFUNCTION("""COMPUTED_VALUE"""),"PATOLOGIA")</f>
        <v>PATOLOGIA</v>
      </c>
      <c r="E2354" s="11"/>
      <c r="F2354" s="11" t="str">
        <f>IFERROR(__xludf.DUMMYFUNCTION("""COMPUTED_VALUE"""),"US_143 LABORATORIO MUNICIPAL DO RECIFE")</f>
        <v>US_143 LABORATORIO MUNICIPAL DO RECIFE</v>
      </c>
      <c r="G2354" s="11" t="str">
        <f>IFERROR(__xludf.DUMMYFUNCTION("""COMPUTED_VALUE"""),"ATENDE EM CASA")</f>
        <v>ATENDE EM CASA</v>
      </c>
      <c r="H2354" s="11"/>
      <c r="I2354" s="11"/>
      <c r="J2354" s="11"/>
      <c r="K2354" s="11"/>
      <c r="L2354" s="11"/>
      <c r="M2354" s="11"/>
      <c r="N2354" s="11"/>
      <c r="O2354" s="11">
        <f>IFERROR(__xludf.DUMMYFUNCTION("""COMPUTED_VALUE"""),6529572422)</f>
        <v>6529572422</v>
      </c>
      <c r="P2354" s="11"/>
      <c r="Q2354" s="11"/>
      <c r="R2354" s="11"/>
      <c r="S2354" s="11"/>
      <c r="T2354" s="11"/>
      <c r="U2354" s="11"/>
      <c r="V2354" s="11"/>
      <c r="W2354" s="11"/>
      <c r="X2354" s="11"/>
      <c r="Y2354" s="11"/>
      <c r="Z2354" s="11"/>
    </row>
    <row r="2355" customHeight="1" spans="1:26">
      <c r="A2355" s="11" t="str">
        <f>IFERROR(__xludf.DUMMYFUNCTION("""COMPUTED_VALUE"""),"ISABELLE SOUSA M T FERREIRA")</f>
        <v>ISABELLE SOUSA M T FERREIRA</v>
      </c>
      <c r="B2355" s="11"/>
      <c r="C2355" s="11"/>
      <c r="D2355" s="11" t="str">
        <f>IFERROR(__xludf.DUMMYFUNCTION("""COMPUTED_VALUE"""),"PATOLOGIA / CITOLOGIA MAMARIA ")</f>
        <v>PATOLOGIA / CITOLOGIA MAMARIA </v>
      </c>
      <c r="E2355" s="11"/>
      <c r="F2355" s="11" t="str">
        <f>IFERROR(__xludf.DUMMYFUNCTION("""COMPUTED_VALUE"""),"US_143 LABORATORIO MUNICIPAL DO RECIFE")</f>
        <v>US_143 LABORATORIO MUNICIPAL DO RECIFE</v>
      </c>
      <c r="G2355" s="11" t="str">
        <f>IFERROR(__xludf.DUMMYFUNCTION("""COMPUTED_VALUE"""),"ATENDE EM CASA")</f>
        <v>ATENDE EM CASA</v>
      </c>
      <c r="H2355" s="11"/>
      <c r="I2355" s="11"/>
      <c r="J2355" s="11"/>
      <c r="K2355" s="11"/>
      <c r="L2355" s="11"/>
      <c r="M2355" s="11"/>
      <c r="N2355" s="30" t="str">
        <f>IFERROR(__xludf.DUMMYFUNCTION("""COMPUTED_VALUE"""),"isabelle.smtorres@gmail.com")</f>
        <v>isabelle.smtorres@gmail.com</v>
      </c>
      <c r="O2355" s="11">
        <f>IFERROR(__xludf.DUMMYFUNCTION("""COMPUTED_VALUE"""),4593091454)</f>
        <v>4593091454</v>
      </c>
      <c r="P2355" s="11"/>
      <c r="Q2355" s="11"/>
      <c r="R2355" s="11"/>
      <c r="S2355" s="11"/>
      <c r="T2355" s="11"/>
      <c r="U2355" s="11"/>
      <c r="V2355" s="11"/>
      <c r="W2355" s="11"/>
      <c r="X2355" s="11"/>
      <c r="Y2355" s="11"/>
      <c r="Z2355" s="11"/>
    </row>
    <row r="2356" customHeight="1" spans="1:26">
      <c r="A2356" s="11" t="str">
        <f>IFERROR(__xludf.DUMMYFUNCTION("""COMPUTED_VALUE"""),"ERIKA CAVALCANTE MARANHAO")</f>
        <v>ERIKA CAVALCANTE MARANHAO</v>
      </c>
      <c r="B2356" s="11"/>
      <c r="C2356" s="11"/>
      <c r="D2356" s="11" t="str">
        <f>IFERROR(__xludf.DUMMYFUNCTION("""COMPUTED_VALUE"""),"PATOLOGIA / CITOLOGIA ONCOTICA")</f>
        <v>PATOLOGIA / CITOLOGIA ONCOTICA</v>
      </c>
      <c r="E2356" s="11"/>
      <c r="F2356" s="11" t="str">
        <f>IFERROR(__xludf.DUMMYFUNCTION("""COMPUTED_VALUE"""),"US_143 LABORATORIO MUNICIPAL DO RECIFE")</f>
        <v>US_143 LABORATORIO MUNICIPAL DO RECIFE</v>
      </c>
      <c r="G2356" s="11" t="str">
        <f>IFERROR(__xludf.DUMMYFUNCTION("""COMPUTED_VALUE"""),"ATENDE EM CASA")</f>
        <v>ATENDE EM CASA</v>
      </c>
      <c r="H2356" s="11"/>
      <c r="I2356" s="11"/>
      <c r="J2356" s="11"/>
      <c r="K2356" s="11"/>
      <c r="L2356" s="11"/>
      <c r="M2356" s="11"/>
      <c r="N2356" s="30" t="str">
        <f>IFERROR(__xludf.DUMMYFUNCTION("""COMPUTED_VALUE"""),"erikacmaranhao@hotmail.com")</f>
        <v>erikacmaranhao@hotmail.com</v>
      </c>
      <c r="O2356" s="11">
        <f>IFERROR(__xludf.DUMMYFUNCTION("""COMPUTED_VALUE"""),8257939471)</f>
        <v>8257939471</v>
      </c>
      <c r="P2356" s="11"/>
      <c r="Q2356" s="11"/>
      <c r="R2356" s="11"/>
      <c r="S2356" s="11"/>
      <c r="T2356" s="11"/>
      <c r="U2356" s="11"/>
      <c r="V2356" s="11"/>
      <c r="W2356" s="11"/>
      <c r="X2356" s="11"/>
      <c r="Y2356" s="11"/>
      <c r="Z2356" s="11"/>
    </row>
    <row r="2357" customHeight="1" spans="1:26">
      <c r="A2357" s="11" t="str">
        <f>IFERROR(__xludf.DUMMYFUNCTION("""COMPUTED_VALUE"""),"LEANDRO RIBEIRO GOMES DE LIMA")</f>
        <v>LEANDRO RIBEIRO GOMES DE LIMA</v>
      </c>
      <c r="B2357" s="11"/>
      <c r="C2357" s="11"/>
      <c r="D2357" s="11" t="str">
        <f>IFERROR(__xludf.DUMMYFUNCTION("""COMPUTED_VALUE"""),"CIRURGIA GERAL")</f>
        <v>CIRURGIA GERAL</v>
      </c>
      <c r="E2357" s="11"/>
      <c r="F2357" s="11" t="str">
        <f>IFERROR(__xludf.DUMMYFUNCTION("""COMPUTED_VALUE"""),"LICENÇA PARA MANDATO ELETIVO")</f>
        <v>LICENÇA PARA MANDATO ELETIVO</v>
      </c>
      <c r="G2357" s="11" t="str">
        <f>IFERROR(__xludf.DUMMYFUNCTION("""COMPUTED_VALUE"""),"ATENDE EM CASA")</f>
        <v>ATENDE EM CASA</v>
      </c>
      <c r="H2357" s="11"/>
      <c r="I2357" s="11"/>
      <c r="J2357" s="11"/>
      <c r="K2357" s="11"/>
      <c r="L2357" s="11"/>
      <c r="M2357" s="11"/>
      <c r="N2357" s="30" t="str">
        <f>IFERROR(__xludf.DUMMYFUNCTION("""COMPUTED_VALUE"""),"leandroribeiro@ig.com.br")</f>
        <v>leandroribeiro@ig.com.br</v>
      </c>
      <c r="O2357" s="11">
        <f>IFERROR(__xludf.DUMMYFUNCTION("""COMPUTED_VALUE"""),5294342456)</f>
        <v>5294342456</v>
      </c>
      <c r="P2357" s="11"/>
      <c r="Q2357" s="11"/>
      <c r="R2357" s="11"/>
      <c r="S2357" s="11"/>
      <c r="T2357" s="11"/>
      <c r="U2357" s="11"/>
      <c r="V2357" s="11"/>
      <c r="W2357" s="11"/>
      <c r="X2357" s="11"/>
      <c r="Y2357" s="11"/>
      <c r="Z2357" s="11"/>
    </row>
    <row r="2358" customHeight="1" spans="1:26">
      <c r="A2358" s="11" t="str">
        <f>IFERROR(__xludf.DUMMYFUNCTION("""COMPUTED_VALUE"""),"MAISA GOMES CAMPOS")</f>
        <v>MAISA GOMES CAMPOS</v>
      </c>
      <c r="B2358" s="11"/>
      <c r="C2358" s="11"/>
      <c r="D2358" s="11" t="str">
        <f>IFERROR(__xludf.DUMMYFUNCTION("""COMPUTED_VALUE"""),"MEDICINA DO TRABALHO")</f>
        <v>MEDICINA DO TRABALHO</v>
      </c>
      <c r="E2358" s="11"/>
      <c r="F2358" s="11" t="str">
        <f>IFERROR(__xludf.DUMMYFUNCTION("""COMPUTED_VALUE"""),"LICENÇA SEM VENCIMENTOS")</f>
        <v>LICENÇA SEM VENCIMENTOS</v>
      </c>
      <c r="G2358" s="11" t="str">
        <f>IFERROR(__xludf.DUMMYFUNCTION("""COMPUTED_VALUE"""),"ATENDE EM CASA")</f>
        <v>ATENDE EM CASA</v>
      </c>
      <c r="H2358" s="11"/>
      <c r="I2358" s="11"/>
      <c r="J2358" s="11"/>
      <c r="K2358" s="11"/>
      <c r="L2358" s="11"/>
      <c r="M2358" s="11"/>
      <c r="N2358" s="30" t="str">
        <f>IFERROR(__xludf.DUMMYFUNCTION("""COMPUTED_VALUE"""),"MAISAGCAMPOS@YAHOO.COM.BR")</f>
        <v>MAISAGCAMPOS@YAHOO.COM.BR</v>
      </c>
      <c r="O2358" s="11">
        <f>IFERROR(__xludf.DUMMYFUNCTION("""COMPUTED_VALUE"""),4314124644)</f>
        <v>4314124644</v>
      </c>
      <c r="P2358" s="11"/>
      <c r="Q2358" s="11"/>
      <c r="R2358" s="11"/>
      <c r="S2358" s="11"/>
      <c r="T2358" s="11"/>
      <c r="U2358" s="11"/>
      <c r="V2358" s="11"/>
      <c r="W2358" s="11"/>
      <c r="X2358" s="11"/>
      <c r="Y2358" s="11"/>
      <c r="Z2358" s="11"/>
    </row>
    <row r="2359" customHeight="1" spans="1:26">
      <c r="A2359" s="11" t="str">
        <f>IFERROR(__xludf.DUMMYFUNCTION("""COMPUTED_VALUE"""),"DALVA MARIA A PASCOAL")</f>
        <v>DALVA MARIA A PASCOAL</v>
      </c>
      <c r="B2359" s="11"/>
      <c r="C2359" s="11"/>
      <c r="D2359" s="11" t="str">
        <f>IFERROR(__xludf.DUMMYFUNCTION("""COMPUTED_VALUE"""),"GINECOLOGIA")</f>
        <v>GINECOLOGIA</v>
      </c>
      <c r="E2359" s="11"/>
      <c r="F2359" s="11" t="str">
        <f>IFERROR(__xludf.DUMMYFUNCTION("""COMPUTED_VALUE"""),"US_159 POLICLINICA AGAMENON MAGALHAES")</f>
        <v>US_159 POLICLINICA AGAMENON MAGALHAES</v>
      </c>
      <c r="G2359" s="11" t="str">
        <f>IFERROR(__xludf.DUMMYFUNCTION("""COMPUTED_VALUE"""),"ATENDE EM CASA")</f>
        <v>ATENDE EM CASA</v>
      </c>
      <c r="H2359" s="11"/>
      <c r="I2359" s="11"/>
      <c r="J2359" s="11"/>
      <c r="K2359" s="11"/>
      <c r="L2359" s="11"/>
      <c r="M2359" s="11"/>
      <c r="N2359" s="30" t="str">
        <f>IFERROR(__xludf.DUMMYFUNCTION("""COMPUTED_VALUE"""),"albuquerquedalva@ig.com.br")</f>
        <v>albuquerquedalva@ig.com.br</v>
      </c>
      <c r="O2359" s="11">
        <f>IFERROR(__xludf.DUMMYFUNCTION("""COMPUTED_VALUE"""),67455590482)</f>
        <v>67455590482</v>
      </c>
      <c r="P2359" s="11"/>
      <c r="Q2359" s="11"/>
      <c r="R2359" s="11"/>
      <c r="S2359" s="11"/>
      <c r="T2359" s="11"/>
      <c r="U2359" s="11"/>
      <c r="V2359" s="11"/>
      <c r="W2359" s="11"/>
      <c r="X2359" s="11"/>
      <c r="Y2359" s="11"/>
      <c r="Z2359" s="11"/>
    </row>
    <row r="2360" customHeight="1" spans="1:26">
      <c r="A2360" s="11" t="str">
        <f>IFERROR(__xludf.DUMMYFUNCTION("""COMPUTED_VALUE"""),"DANIELLE DE LEMOS RODRIGUES")</f>
        <v>DANIELLE DE LEMOS RODRIGUES</v>
      </c>
      <c r="B2360" s="11"/>
      <c r="C2360" s="11"/>
      <c r="D2360" s="11" t="str">
        <f>IFERROR(__xludf.DUMMYFUNCTION("""COMPUTED_VALUE"""),"PEDIATRIA")</f>
        <v>PEDIATRIA</v>
      </c>
      <c r="E2360" s="11"/>
      <c r="F2360" s="11" t="str">
        <f>IFERROR(__xludf.DUMMYFUNCTION("""COMPUTED_VALUE"""),"US_169 POLICLINICA AMAURY COUTINHO")</f>
        <v>US_169 POLICLINICA AMAURY COUTINHO</v>
      </c>
      <c r="G2360" s="11" t="str">
        <f>IFERROR(__xludf.DUMMYFUNCTION("""COMPUTED_VALUE"""),"ATENDE EM CASA")</f>
        <v>ATENDE EM CASA</v>
      </c>
      <c r="H2360" s="11"/>
      <c r="I2360" s="11"/>
      <c r="J2360" s="11"/>
      <c r="K2360" s="11"/>
      <c r="L2360" s="11"/>
      <c r="M2360" s="11"/>
      <c r="N2360" s="30" t="str">
        <f>IFERROR(__xludf.DUMMYFUNCTION("""COMPUTED_VALUE"""),"danielle.r.leal@terra.com.br")</f>
        <v>danielle.r.leal@terra.com.br</v>
      </c>
      <c r="O2360" s="11">
        <f>IFERROR(__xludf.DUMMYFUNCTION("""COMPUTED_VALUE"""),66673852453)</f>
        <v>66673852453</v>
      </c>
      <c r="P2360" s="11"/>
      <c r="Q2360" s="11"/>
      <c r="R2360" s="11"/>
      <c r="S2360" s="11"/>
      <c r="T2360" s="11"/>
      <c r="U2360" s="11"/>
      <c r="V2360" s="11"/>
      <c r="W2360" s="11"/>
      <c r="X2360" s="11"/>
      <c r="Y2360" s="11"/>
      <c r="Z2360" s="11"/>
    </row>
    <row r="2361" customHeight="1" spans="1:26">
      <c r="A2361" s="11" t="str">
        <f>IFERROR(__xludf.DUMMYFUNCTION("""COMPUTED_VALUE"""),"LUIZ HENRIQUE THOMPSON DE ASSI")</f>
        <v>LUIZ HENRIQUE THOMPSON DE ASSI</v>
      </c>
      <c r="B2361" s="11"/>
      <c r="C2361" s="11"/>
      <c r="D2361" s="11" t="str">
        <f>IFERROR(__xludf.DUMMYFUNCTION("""COMPUTED_VALUE"""),"MEDICINA DO TRABALHO")</f>
        <v>MEDICINA DO TRABALHO</v>
      </c>
      <c r="E2361" s="11"/>
      <c r="F2361" s="11" t="str">
        <f>IFERROR(__xludf.DUMMYFUNCTION("""COMPUTED_VALUE"""),"US_159 POLICLINICA AGAMENON MAGALHAES")</f>
        <v>US_159 POLICLINICA AGAMENON MAGALHAES</v>
      </c>
      <c r="G2361" s="11" t="str">
        <f>IFERROR(__xludf.DUMMYFUNCTION("""COMPUTED_VALUE"""),"ATENDE EM CASA")</f>
        <v>ATENDE EM CASA</v>
      </c>
      <c r="H2361" s="11"/>
      <c r="I2361" s="11"/>
      <c r="J2361" s="11"/>
      <c r="K2361" s="11"/>
      <c r="L2361" s="11"/>
      <c r="M2361" s="11"/>
      <c r="N2361" s="11"/>
      <c r="O2361" s="11">
        <f>IFERROR(__xludf.DUMMYFUNCTION("""COMPUTED_VALUE"""),40864600410)</f>
        <v>40864600410</v>
      </c>
      <c r="P2361" s="11"/>
      <c r="Q2361" s="11"/>
      <c r="R2361" s="11"/>
      <c r="S2361" s="11"/>
      <c r="T2361" s="11"/>
      <c r="U2361" s="11"/>
      <c r="V2361" s="11"/>
      <c r="W2361" s="11"/>
      <c r="X2361" s="11"/>
      <c r="Y2361" s="11"/>
      <c r="Z2361" s="11"/>
    </row>
    <row r="2362" customHeight="1" spans="1:26">
      <c r="A2362" s="11" t="str">
        <f>IFERROR(__xludf.DUMMYFUNCTION("""COMPUTED_VALUE"""),"LILIA MARIA BARRETO C DE MELO")</f>
        <v>LILIA MARIA BARRETO C DE MELO</v>
      </c>
      <c r="B2362" s="11"/>
      <c r="C2362" s="11"/>
      <c r="D2362" s="11" t="str">
        <f>IFERROR(__xludf.DUMMYFUNCTION("""COMPUTED_VALUE"""),"CLINICA GERAL")</f>
        <v>CLINICA GERAL</v>
      </c>
      <c r="E2362" s="11"/>
      <c r="F2362" s="11" t="str">
        <f>IFERROR(__xludf.DUMMYFUNCTION("""COMPUTED_VALUE"""),"US_159 POLICLINICA AGAMENON MAGALHAES")</f>
        <v>US_159 POLICLINICA AGAMENON MAGALHAES</v>
      </c>
      <c r="G2362" s="11" t="str">
        <f>IFERROR(__xludf.DUMMYFUNCTION("""COMPUTED_VALUE"""),"ATENDE EM CASA")</f>
        <v>ATENDE EM CASA</v>
      </c>
      <c r="H2362" s="11"/>
      <c r="I2362" s="11"/>
      <c r="J2362" s="11"/>
      <c r="K2362" s="11"/>
      <c r="L2362" s="11"/>
      <c r="M2362" s="11"/>
      <c r="N2362" s="11"/>
      <c r="O2362" s="11">
        <f>IFERROR(__xludf.DUMMYFUNCTION("""COMPUTED_VALUE"""),53681703434)</f>
        <v>53681703434</v>
      </c>
      <c r="P2362" s="11"/>
      <c r="Q2362" s="11"/>
      <c r="R2362" s="11"/>
      <c r="S2362" s="11"/>
      <c r="T2362" s="11"/>
      <c r="U2362" s="11"/>
      <c r="V2362" s="11"/>
      <c r="W2362" s="11"/>
      <c r="X2362" s="11"/>
      <c r="Y2362" s="11"/>
      <c r="Z2362" s="11"/>
    </row>
    <row r="2363" customHeight="1" spans="1:26">
      <c r="A2363" s="11" t="str">
        <f>IFERROR(__xludf.DUMMYFUNCTION("""COMPUTED_VALUE"""),"TEREZA NEUMA C.C.WANDERLEY")</f>
        <v>TEREZA NEUMA C.C.WANDERLEY</v>
      </c>
      <c r="B2363" s="11"/>
      <c r="C2363" s="11"/>
      <c r="D2363" s="11" t="str">
        <f>IFERROR(__xludf.DUMMYFUNCTION("""COMPUTED_VALUE"""),"GINECOLOGIA / TOCOGINECOLOGIA")</f>
        <v>GINECOLOGIA / TOCOGINECOLOGIA</v>
      </c>
      <c r="E2363" s="11"/>
      <c r="F2363" s="11" t="str">
        <f>IFERROR(__xludf.DUMMYFUNCTION("""COMPUTED_VALUE"""),"US_159 POLICLINICA AGAMENON MAGALHAES")</f>
        <v>US_159 POLICLINICA AGAMENON MAGALHAES</v>
      </c>
      <c r="G2363" s="11" t="str">
        <f>IFERROR(__xludf.DUMMYFUNCTION("""COMPUTED_VALUE"""),"ATENDE EM CASA")</f>
        <v>ATENDE EM CASA</v>
      </c>
      <c r="H2363" s="11"/>
      <c r="I2363" s="11"/>
      <c r="J2363" s="11"/>
      <c r="K2363" s="11"/>
      <c r="L2363" s="11"/>
      <c r="M2363" s="11"/>
      <c r="N2363" s="30" t="str">
        <f>IFERROR(__xludf.DUMMYFUNCTION("""COMPUTED_VALUE"""),"TEREZACONRADO@HOTMAIL.COM")</f>
        <v>TEREZACONRADO@HOTMAIL.COM</v>
      </c>
      <c r="O2363" s="11">
        <f>IFERROR(__xludf.DUMMYFUNCTION("""COMPUTED_VALUE"""),33329915404)</f>
        <v>33329915404</v>
      </c>
      <c r="P2363" s="11"/>
      <c r="Q2363" s="11"/>
      <c r="R2363" s="11"/>
      <c r="S2363" s="11"/>
      <c r="T2363" s="11"/>
      <c r="U2363" s="11"/>
      <c r="V2363" s="11"/>
      <c r="W2363" s="11"/>
      <c r="X2363" s="11"/>
      <c r="Y2363" s="11"/>
      <c r="Z2363" s="11"/>
    </row>
    <row r="2364" customHeight="1" spans="1:26">
      <c r="A2364" s="11" t="str">
        <f>IFERROR(__xludf.DUMMYFUNCTION("""COMPUTED_VALUE"""),"JULIO BARBOSA BELTRAO")</f>
        <v>JULIO BARBOSA BELTRAO</v>
      </c>
      <c r="B2364" s="11"/>
      <c r="C2364" s="11"/>
      <c r="D2364" s="11" t="str">
        <f>IFERROR(__xludf.DUMMYFUNCTION("""COMPUTED_VALUE"""),"PEDIATRIA")</f>
        <v>PEDIATRIA</v>
      </c>
      <c r="E2364" s="11"/>
      <c r="F2364" s="11" t="str">
        <f>IFERROR(__xludf.DUMMYFUNCTION("""COMPUTED_VALUE"""),"US_159 POLICLINICA AGAMENON MAGALHAES")</f>
        <v>US_159 POLICLINICA AGAMENON MAGALHAES</v>
      </c>
      <c r="G2364" s="11" t="str">
        <f>IFERROR(__xludf.DUMMYFUNCTION("""COMPUTED_VALUE"""),"ATENDE EM CASA")</f>
        <v>ATENDE EM CASA</v>
      </c>
      <c r="H2364" s="11"/>
      <c r="I2364" s="11"/>
      <c r="J2364" s="11"/>
      <c r="K2364" s="11"/>
      <c r="L2364" s="11"/>
      <c r="M2364" s="11"/>
      <c r="N2364" s="30" t="str">
        <f>IFERROR(__xludf.DUMMYFUNCTION("""COMPUTED_VALUE"""),"JULIOBB2014@GMAIL.COM")</f>
        <v>JULIOBB2014@GMAIL.COM</v>
      </c>
      <c r="O2364" s="11">
        <f>IFERROR(__xludf.DUMMYFUNCTION("""COMPUTED_VALUE"""),37516752487)</f>
        <v>37516752487</v>
      </c>
      <c r="P2364" s="11"/>
      <c r="Q2364" s="11"/>
      <c r="R2364" s="11"/>
      <c r="S2364" s="11"/>
      <c r="T2364" s="11"/>
      <c r="U2364" s="11"/>
      <c r="V2364" s="11"/>
      <c r="W2364" s="11"/>
      <c r="X2364" s="11"/>
      <c r="Y2364" s="11"/>
      <c r="Z2364" s="11"/>
    </row>
    <row r="2365" customHeight="1" spans="1:26">
      <c r="A2365" s="11" t="str">
        <f>IFERROR(__xludf.DUMMYFUNCTION("""COMPUTED_VALUE"""),"ASSIRIA IRIS ROLIM SILVA")</f>
        <v>ASSIRIA IRIS ROLIM SILVA</v>
      </c>
      <c r="B2365" s="11"/>
      <c r="C2365" s="11"/>
      <c r="D2365" s="11" t="str">
        <f>IFERROR(__xludf.DUMMYFUNCTION("""COMPUTED_VALUE"""),"ENDOCRINOLOGIA E METABOLOGIA")</f>
        <v>ENDOCRINOLOGIA E METABOLOGIA</v>
      </c>
      <c r="E2365" s="11"/>
      <c r="F2365" s="11" t="str">
        <f>IFERROR(__xludf.DUMMYFUNCTION("""COMPUTED_VALUE"""),"US_159 POLICLINICA AGAMENON MAGALHAES")</f>
        <v>US_159 POLICLINICA AGAMENON MAGALHAES</v>
      </c>
      <c r="G2365" s="11" t="str">
        <f>IFERROR(__xludf.DUMMYFUNCTION("""COMPUTED_VALUE"""),"ATENDE EM CASA")</f>
        <v>ATENDE EM CASA</v>
      </c>
      <c r="H2365" s="11"/>
      <c r="I2365" s="11"/>
      <c r="J2365" s="11"/>
      <c r="K2365" s="11"/>
      <c r="L2365" s="11"/>
      <c r="M2365" s="11"/>
      <c r="N2365" s="30" t="str">
        <f>IFERROR(__xludf.DUMMYFUNCTION("""COMPUTED_VALUE"""),"AIROLIM@HOTMAIL.COM.BR")</f>
        <v>AIROLIM@HOTMAIL.COM.BR</v>
      </c>
      <c r="O2365" s="11">
        <f>IFERROR(__xludf.DUMMYFUNCTION("""COMPUTED_VALUE"""),81901577449)</f>
        <v>81901577449</v>
      </c>
      <c r="P2365" s="11"/>
      <c r="Q2365" s="11"/>
      <c r="R2365" s="11"/>
      <c r="S2365" s="11"/>
      <c r="T2365" s="11"/>
      <c r="U2365" s="11"/>
      <c r="V2365" s="11"/>
      <c r="W2365" s="11"/>
      <c r="X2365" s="11"/>
      <c r="Y2365" s="11"/>
      <c r="Z2365" s="11"/>
    </row>
    <row r="2366" customHeight="1" spans="1:26">
      <c r="A2366" s="11" t="str">
        <f>IFERROR(__xludf.DUMMYFUNCTION("""COMPUTED_VALUE"""),"EDINAR MARIA DE SOUZA DOWSLEI")</f>
        <v>EDINAR MARIA DE SOUZA DOWSLEI</v>
      </c>
      <c r="B2366" s="11"/>
      <c r="C2366" s="11"/>
      <c r="D2366" s="11" t="str">
        <f>IFERROR(__xludf.DUMMYFUNCTION("""COMPUTED_VALUE"""),"PEDIATRIA")</f>
        <v>PEDIATRIA</v>
      </c>
      <c r="E2366" s="11"/>
      <c r="F2366" s="11" t="str">
        <f>IFERROR(__xludf.DUMMYFUNCTION("""COMPUTED_VALUE"""),"US_169 POLICLINICA AMAURY COUTINHO")</f>
        <v>US_169 POLICLINICA AMAURY COUTINHO</v>
      </c>
      <c r="G2366" s="11" t="str">
        <f>IFERROR(__xludf.DUMMYFUNCTION("""COMPUTED_VALUE"""),"ATENDE EM CASA")</f>
        <v>ATENDE EM CASA</v>
      </c>
      <c r="H2366" s="11"/>
      <c r="I2366" s="11"/>
      <c r="J2366" s="11"/>
      <c r="K2366" s="11"/>
      <c r="L2366" s="11"/>
      <c r="M2366" s="11"/>
      <c r="N2366" s="30" t="str">
        <f>IFERROR(__xludf.DUMMYFUNCTION("""COMPUTED_VALUE"""),"EDINAR.DOWSLEY@GMAIL.COM")</f>
        <v>EDINAR.DOWSLEY@GMAIL.COM</v>
      </c>
      <c r="O2366" s="11">
        <f>IFERROR(__xludf.DUMMYFUNCTION("""COMPUTED_VALUE"""),12832901468)</f>
        <v>12832901468</v>
      </c>
      <c r="P2366" s="11"/>
      <c r="Q2366" s="11"/>
      <c r="R2366" s="11"/>
      <c r="S2366" s="11"/>
      <c r="T2366" s="11"/>
      <c r="U2366" s="11"/>
      <c r="V2366" s="11"/>
      <c r="W2366" s="11"/>
      <c r="X2366" s="11"/>
      <c r="Y2366" s="11"/>
      <c r="Z2366" s="11"/>
    </row>
    <row r="2367" customHeight="1" spans="1:26">
      <c r="A2367" s="11" t="str">
        <f>IFERROR(__xludf.DUMMYFUNCTION("""COMPUTED_VALUE"""),"VERA MARIA DA LUZ DA SILVA")</f>
        <v>VERA MARIA DA LUZ DA SILVA</v>
      </c>
      <c r="B2367" s="11"/>
      <c r="C2367" s="11"/>
      <c r="D2367" s="11" t="str">
        <f>IFERROR(__xludf.DUMMYFUNCTION("""COMPUTED_VALUE"""),"PEDIATRIA")</f>
        <v>PEDIATRIA</v>
      </c>
      <c r="E2367" s="11"/>
      <c r="F2367" s="11" t="str">
        <f>IFERROR(__xludf.DUMMYFUNCTION("""COMPUTED_VALUE"""),"US_163 HOSPITAL DE PEDIATRIA HELENA MOURA")</f>
        <v>US_163 HOSPITAL DE PEDIATRIA HELENA MOURA</v>
      </c>
      <c r="G2367" s="11" t="str">
        <f>IFERROR(__xludf.DUMMYFUNCTION("""COMPUTED_VALUE"""),"ATENDE EM CASA")</f>
        <v>ATENDE EM CASA</v>
      </c>
      <c r="H2367" s="11"/>
      <c r="I2367" s="11"/>
      <c r="J2367" s="11"/>
      <c r="K2367" s="11"/>
      <c r="L2367" s="11"/>
      <c r="M2367" s="11"/>
      <c r="N2367" s="30" t="str">
        <f>IFERROR(__xludf.DUMMYFUNCTION("""COMPUTED_VALUE"""),"VERA.LUZ.SILVA84@GMAIL.COM")</f>
        <v>VERA.LUZ.SILVA84@GMAIL.COM</v>
      </c>
      <c r="O2367" s="11">
        <f>IFERROR(__xludf.DUMMYFUNCTION("""COMPUTED_VALUE"""),13810294420)</f>
        <v>13810294420</v>
      </c>
      <c r="P2367" s="11"/>
      <c r="Q2367" s="11"/>
      <c r="R2367" s="11"/>
      <c r="S2367" s="11"/>
      <c r="T2367" s="11"/>
      <c r="U2367" s="11"/>
      <c r="V2367" s="11"/>
      <c r="W2367" s="11"/>
      <c r="X2367" s="11"/>
      <c r="Y2367" s="11"/>
      <c r="Z2367" s="11"/>
    </row>
    <row r="2368" customHeight="1" spans="1:26">
      <c r="A2368" s="11" t="str">
        <f>IFERROR(__xludf.DUMMYFUNCTION("""COMPUTED_VALUE"""),"ALFREDISIA XAVIER DE BRITO")</f>
        <v>ALFREDISIA XAVIER DE BRITO</v>
      </c>
      <c r="B2368" s="11"/>
      <c r="C2368" s="11"/>
      <c r="D2368" s="11" t="str">
        <f>IFERROR(__xludf.DUMMYFUNCTION("""COMPUTED_VALUE"""),"PEDIATRIA")</f>
        <v>PEDIATRIA</v>
      </c>
      <c r="E2368" s="11"/>
      <c r="F2368" s="11" t="str">
        <f>IFERROR(__xludf.DUMMYFUNCTION("""COMPUTED_VALUE"""),"US_169 POLICLINICA AMAURY COUTINHO")</f>
        <v>US_169 POLICLINICA AMAURY COUTINHO</v>
      </c>
      <c r="G2368" s="11" t="str">
        <f>IFERROR(__xludf.DUMMYFUNCTION("""COMPUTED_VALUE"""),"ATENDE EM CASA")</f>
        <v>ATENDE EM CASA</v>
      </c>
      <c r="H2368" s="11"/>
      <c r="I2368" s="11"/>
      <c r="J2368" s="11"/>
      <c r="K2368" s="11"/>
      <c r="L2368" s="11"/>
      <c r="M2368" s="11"/>
      <c r="N2368" s="11"/>
      <c r="O2368" s="11">
        <f>IFERROR(__xludf.DUMMYFUNCTION("""COMPUTED_VALUE"""),35464216472)</f>
        <v>35464216472</v>
      </c>
      <c r="P2368" s="11"/>
      <c r="Q2368" s="11"/>
      <c r="R2368" s="11"/>
      <c r="S2368" s="11"/>
      <c r="T2368" s="11"/>
      <c r="U2368" s="11"/>
      <c r="V2368" s="11"/>
      <c r="W2368" s="11"/>
      <c r="X2368" s="11"/>
      <c r="Y2368" s="11"/>
      <c r="Z2368" s="11"/>
    </row>
    <row r="2369" customHeight="1" spans="1:26">
      <c r="A2369" s="11" t="str">
        <f>IFERROR(__xludf.DUMMYFUNCTION("""COMPUTED_VALUE"""),"ANA MARIA NORONHA DE LIMA")</f>
        <v>ANA MARIA NORONHA DE LIMA</v>
      </c>
      <c r="B2369" s="11"/>
      <c r="C2369" s="11"/>
      <c r="D2369" s="11" t="str">
        <f>IFERROR(__xludf.DUMMYFUNCTION("""COMPUTED_VALUE"""),"CLINICA GERAL")</f>
        <v>CLINICA GERAL</v>
      </c>
      <c r="E2369" s="11"/>
      <c r="F2369" s="11" t="str">
        <f>IFERROR(__xludf.DUMMYFUNCTION("""COMPUTED_VALUE"""),"US_159 POLICLINICA AGAMENON MAGALHAES")</f>
        <v>US_159 POLICLINICA AGAMENON MAGALHAES</v>
      </c>
      <c r="G2369" s="11" t="str">
        <f>IFERROR(__xludf.DUMMYFUNCTION("""COMPUTED_VALUE"""),"ATENDE EM CASA")</f>
        <v>ATENDE EM CASA</v>
      </c>
      <c r="H2369" s="11"/>
      <c r="I2369" s="11"/>
      <c r="J2369" s="11"/>
      <c r="K2369" s="11"/>
      <c r="L2369" s="11"/>
      <c r="M2369" s="11"/>
      <c r="N2369" s="30" t="str">
        <f>IFERROR(__xludf.DUMMYFUNCTION("""COMPUTED_VALUE"""),"amndl@uol.com.br                                       ")</f>
        <v>amndl@uol.com.br                                       </v>
      </c>
      <c r="O2369" s="11">
        <f>IFERROR(__xludf.DUMMYFUNCTION("""COMPUTED_VALUE"""),33388245487)</f>
        <v>33388245487</v>
      </c>
      <c r="P2369" s="11"/>
      <c r="Q2369" s="11"/>
      <c r="R2369" s="11"/>
      <c r="S2369" s="11"/>
      <c r="T2369" s="11"/>
      <c r="U2369" s="11"/>
      <c r="V2369" s="11"/>
      <c r="W2369" s="11"/>
      <c r="X2369" s="11"/>
      <c r="Y2369" s="11"/>
      <c r="Z2369" s="11"/>
    </row>
    <row r="2370" customHeight="1" spans="1:26">
      <c r="A2370" s="11" t="str">
        <f>IFERROR(__xludf.DUMMYFUNCTION("""COMPUTED_VALUE"""),"MARLENE FERNANDES D DA SILVA")</f>
        <v>MARLENE FERNANDES D DA SILVA</v>
      </c>
      <c r="B2370" s="11"/>
      <c r="C2370" s="11"/>
      <c r="D2370" s="11" t="str">
        <f>IFERROR(__xludf.DUMMYFUNCTION("""COMPUTED_VALUE"""),"PEDIATRIA")</f>
        <v>PEDIATRIA</v>
      </c>
      <c r="E2370" s="11"/>
      <c r="F2370" s="11" t="str">
        <f>IFERROR(__xludf.DUMMYFUNCTION("""COMPUTED_VALUE"""),"US_169 POLICLINICA AMAURY COUTINHO")</f>
        <v>US_169 POLICLINICA AMAURY COUTINHO</v>
      </c>
      <c r="G2370" s="11" t="str">
        <f>IFERROR(__xludf.DUMMYFUNCTION("""COMPUTED_VALUE"""),"BLOQUEIO DE PAGAMENTO - EM EFETIVO EXERCICIO")</f>
        <v>BLOQUEIO DE PAGAMENTO - EM EFETIVO EXERCICIO</v>
      </c>
      <c r="H2370" s="11"/>
      <c r="I2370" s="11"/>
      <c r="J2370" s="11"/>
      <c r="K2370" s="11"/>
      <c r="L2370" s="11"/>
      <c r="M2370" s="11"/>
      <c r="N2370" s="11"/>
      <c r="O2370" s="11">
        <f>IFERROR(__xludf.DUMMYFUNCTION("""COMPUTED_VALUE"""),13284320415)</f>
        <v>13284320415</v>
      </c>
      <c r="P2370" s="11"/>
      <c r="Q2370" s="11"/>
      <c r="R2370" s="11"/>
      <c r="S2370" s="11"/>
      <c r="T2370" s="11"/>
      <c r="U2370" s="11"/>
      <c r="V2370" s="11"/>
      <c r="W2370" s="11"/>
      <c r="X2370" s="11"/>
      <c r="Y2370" s="11"/>
      <c r="Z2370" s="11"/>
    </row>
    <row r="2371" customHeight="1" spans="1:26">
      <c r="A2371" s="11" t="str">
        <f>IFERROR(__xludf.DUMMYFUNCTION("""COMPUTED_VALUE"""),"ANDREA MOURA DA NOBREGA")</f>
        <v>ANDREA MOURA DA NOBREGA</v>
      </c>
      <c r="B2371" s="11"/>
      <c r="C2371" s="11"/>
      <c r="D2371" s="11" t="str">
        <f>IFERROR(__xludf.DUMMYFUNCTION("""COMPUTED_VALUE"""),"PEDIATRIA")</f>
        <v>PEDIATRIA</v>
      </c>
      <c r="E2371" s="11"/>
      <c r="F2371" s="11" t="str">
        <f>IFERROR(__xludf.DUMMYFUNCTION("""COMPUTED_VALUE"""),"US_169 POLICLINICA AMAURY COUTINHO")</f>
        <v>US_169 POLICLINICA AMAURY COUTINHO</v>
      </c>
      <c r="G2371" s="11" t="str">
        <f>IFERROR(__xludf.DUMMYFUNCTION("""COMPUTED_VALUE"""),"BLOQUEIO DE PAGAMENTO - EM EFETIVO EXERCICIO")</f>
        <v>BLOQUEIO DE PAGAMENTO - EM EFETIVO EXERCICIO</v>
      </c>
      <c r="H2371" s="11"/>
      <c r="I2371" s="11"/>
      <c r="J2371" s="11"/>
      <c r="K2371" s="11"/>
      <c r="L2371" s="11"/>
      <c r="M2371" s="11"/>
      <c r="N2371" s="30" t="str">
        <f>IFERROR(__xludf.DUMMYFUNCTION("""COMPUTED_VALUE"""),"ANDREANOBREGA33@HOTMAIL.COM")</f>
        <v>ANDREANOBREGA33@HOTMAIL.COM</v>
      </c>
      <c r="O2371" s="11">
        <f>IFERROR(__xludf.DUMMYFUNCTION("""COMPUTED_VALUE"""),82277133434)</f>
        <v>82277133434</v>
      </c>
      <c r="P2371" s="11"/>
      <c r="Q2371" s="11"/>
      <c r="R2371" s="11"/>
      <c r="S2371" s="11"/>
      <c r="T2371" s="11"/>
      <c r="U2371" s="11"/>
      <c r="V2371" s="11"/>
      <c r="W2371" s="11"/>
      <c r="X2371" s="11"/>
      <c r="Y2371" s="11"/>
      <c r="Z2371" s="11"/>
    </row>
    <row r="2372" customHeight="1" spans="1:26">
      <c r="A2372" s="11" t="str">
        <f>IFERROR(__xludf.DUMMYFUNCTION("""COMPUTED_VALUE"""),"MARIA DO ROSARIO N DE BARROS")</f>
        <v>MARIA DO ROSARIO N DE BARROS</v>
      </c>
      <c r="B2372" s="11"/>
      <c r="C2372" s="11"/>
      <c r="D2372" s="11" t="str">
        <f>IFERROR(__xludf.DUMMYFUNCTION("""COMPUTED_VALUE"""),"PEDIATRIA")</f>
        <v>PEDIATRIA</v>
      </c>
      <c r="E2372" s="11"/>
      <c r="F2372" s="11" t="str">
        <f>IFERROR(__xludf.DUMMYFUNCTION("""COMPUTED_VALUE"""),"US_169 POLICLINICA AMAURY COUTINHO")</f>
        <v>US_169 POLICLINICA AMAURY COUTINHO</v>
      </c>
      <c r="G2372" s="11" t="str">
        <f>IFERROR(__xludf.DUMMYFUNCTION("""COMPUTED_VALUE"""),"US_319 CAPS ESPACO AZUL")</f>
        <v>US_319 CAPS ESPACO AZUL</v>
      </c>
      <c r="H2372" s="11"/>
      <c r="I2372" s="11"/>
      <c r="J2372" s="11"/>
      <c r="K2372" s="11"/>
      <c r="L2372" s="11"/>
      <c r="M2372" s="11"/>
      <c r="N2372" s="30" t="str">
        <f>IFERROR(__xludf.DUMMYFUNCTION("""COMPUTED_VALUE"""),"rosario.nemesio@gmail.com")</f>
        <v>rosario.nemesio@gmail.com</v>
      </c>
      <c r="O2372" s="11">
        <f>IFERROR(__xludf.DUMMYFUNCTION("""COMPUTED_VALUE"""),65299159404)</f>
        <v>65299159404</v>
      </c>
      <c r="P2372" s="11"/>
      <c r="Q2372" s="11"/>
      <c r="R2372" s="11"/>
      <c r="S2372" s="11"/>
      <c r="T2372" s="11"/>
      <c r="U2372" s="11"/>
      <c r="V2372" s="11"/>
      <c r="W2372" s="11"/>
      <c r="X2372" s="11"/>
      <c r="Y2372" s="11"/>
      <c r="Z2372" s="11"/>
    </row>
    <row r="2373" customHeight="1" spans="1:26">
      <c r="A2373" s="11" t="str">
        <f>IFERROR(__xludf.DUMMYFUNCTION("""COMPUTED_VALUE"""),"TADEU JOSE BRAGA TORRES")</f>
        <v>TADEU JOSE BRAGA TORRES</v>
      </c>
      <c r="B2373" s="11"/>
      <c r="C2373" s="11"/>
      <c r="D2373" s="11" t="str">
        <f>IFERROR(__xludf.DUMMYFUNCTION("""COMPUTED_VALUE"""),"CLINICA GERAL")</f>
        <v>CLINICA GERAL</v>
      </c>
      <c r="E2373" s="11"/>
      <c r="F2373" s="11" t="str">
        <f>IFERROR(__xludf.DUMMYFUNCTION("""COMPUTED_VALUE"""),"US_169 POLICLINICA AMAURY COUTINHO")</f>
        <v>US_169 POLICLINICA AMAURY COUTINHO</v>
      </c>
      <c r="G2373" s="11" t="str">
        <f>IFERROR(__xludf.DUMMYFUNCTION("""COMPUTED_VALUE"""),"US_304 CAPS DAVID CAPISTRANO")</f>
        <v>US_304 CAPS DAVID CAPISTRANO</v>
      </c>
      <c r="H2373" s="11"/>
      <c r="I2373" s="11"/>
      <c r="J2373" s="11"/>
      <c r="K2373" s="11"/>
      <c r="L2373" s="11"/>
      <c r="M2373" s="11"/>
      <c r="N2373" s="30" t="str">
        <f>IFERROR(__xludf.DUMMYFUNCTION("""COMPUTED_VALUE"""),"BRAGATORRES@IG.COM.BR")</f>
        <v>BRAGATORRES@IG.COM.BR</v>
      </c>
      <c r="O2373" s="11">
        <f>IFERROR(__xludf.DUMMYFUNCTION("""COMPUTED_VALUE"""),13834045420)</f>
        <v>13834045420</v>
      </c>
      <c r="P2373" s="11"/>
      <c r="Q2373" s="11"/>
      <c r="R2373" s="11"/>
      <c r="S2373" s="11"/>
      <c r="T2373" s="11"/>
      <c r="U2373" s="11"/>
      <c r="V2373" s="11"/>
      <c r="W2373" s="11"/>
      <c r="X2373" s="11"/>
      <c r="Y2373" s="11"/>
      <c r="Z2373" s="11"/>
    </row>
    <row r="2374" customHeight="1" spans="1:26">
      <c r="A2374" s="11" t="str">
        <f>IFERROR(__xludf.DUMMYFUNCTION("""COMPUTED_VALUE"""),"SAMUEL MELO DE ALENCAR")</f>
        <v>SAMUEL MELO DE ALENCAR</v>
      </c>
      <c r="B2374" s="11"/>
      <c r="C2374" s="11"/>
      <c r="D2374" s="11" t="str">
        <f>IFERROR(__xludf.DUMMYFUNCTION("""COMPUTED_VALUE"""),"ENDOCRINOLOGIA E METABOLOGIA")</f>
        <v>ENDOCRINOLOGIA E METABOLOGIA</v>
      </c>
      <c r="E2374" s="11"/>
      <c r="F2374" s="11" t="str">
        <f>IFERROR(__xludf.DUMMYFUNCTION("""COMPUTED_VALUE"""),"US_159 POLICLINICA AGAMENON MAGALHAES")</f>
        <v>US_159 POLICLINICA AGAMENON MAGALHAES</v>
      </c>
      <c r="G2374" s="11" t="str">
        <f>IFERROR(__xludf.DUMMYFUNCTION("""COMPUTED_VALUE"""),"US_319 CAPS ESPACO AZUL")</f>
        <v>US_319 CAPS ESPACO AZUL</v>
      </c>
      <c r="H2374" s="11"/>
      <c r="I2374" s="11"/>
      <c r="J2374" s="11"/>
      <c r="K2374" s="11"/>
      <c r="L2374" s="11"/>
      <c r="M2374" s="11"/>
      <c r="N2374" s="30" t="str">
        <f>IFERROR(__xludf.DUMMYFUNCTION("""COMPUTED_VALUE"""),"alencar.samuel@gmail.com")</f>
        <v>alencar.samuel@gmail.com</v>
      </c>
      <c r="O2374" s="11">
        <f>IFERROR(__xludf.DUMMYFUNCTION("""COMPUTED_VALUE"""),46219099320)</f>
        <v>46219099320</v>
      </c>
      <c r="P2374" s="11"/>
      <c r="Q2374" s="11"/>
      <c r="R2374" s="11"/>
      <c r="S2374" s="11"/>
      <c r="T2374" s="11"/>
      <c r="U2374" s="11"/>
      <c r="V2374" s="11"/>
      <c r="W2374" s="11"/>
      <c r="X2374" s="11"/>
      <c r="Y2374" s="11"/>
      <c r="Z2374" s="11"/>
    </row>
    <row r="2375" customHeight="1" spans="1:26">
      <c r="A2375" s="11" t="str">
        <f>IFERROR(__xludf.DUMMYFUNCTION("""COMPUTED_VALUE"""),"DANIELLA MARIA C DO REGO")</f>
        <v>DANIELLA MARIA C DO REGO</v>
      </c>
      <c r="B2375" s="11"/>
      <c r="C2375" s="11"/>
      <c r="D2375" s="11" t="str">
        <f>IFERROR(__xludf.DUMMYFUNCTION("""COMPUTED_VALUE"""),"ENDOCRINOLOGIA E METABOLOGIA")</f>
        <v>ENDOCRINOLOGIA E METABOLOGIA</v>
      </c>
      <c r="E2375" s="11"/>
      <c r="F2375" s="11" t="str">
        <f>IFERROR(__xludf.DUMMYFUNCTION("""COMPUTED_VALUE"""),"US_159 POLICLINICA AGAMENON MAGALHAES")</f>
        <v>US_159 POLICLINICA AGAMENON MAGALHAES</v>
      </c>
      <c r="G2375" s="11" t="str">
        <f>IFERROR(__xludf.DUMMYFUNCTION("""COMPUTED_VALUE"""),"US_319 CAPS ESPACO AZUL")</f>
        <v>US_319 CAPS ESPACO AZUL</v>
      </c>
      <c r="H2375" s="11"/>
      <c r="I2375" s="11"/>
      <c r="J2375" s="11"/>
      <c r="K2375" s="11"/>
      <c r="L2375" s="11"/>
      <c r="M2375" s="11"/>
      <c r="N2375" s="30" t="str">
        <f>IFERROR(__xludf.DUMMYFUNCTION("""COMPUTED_VALUE"""),"DANIDOREGO@GMAIL.COM")</f>
        <v>DANIDOREGO@GMAIL.COM</v>
      </c>
      <c r="O2375" s="11">
        <f>IFERROR(__xludf.DUMMYFUNCTION("""COMPUTED_VALUE"""),2077368470)</f>
        <v>2077368470</v>
      </c>
      <c r="P2375" s="11"/>
      <c r="Q2375" s="11"/>
      <c r="R2375" s="11"/>
      <c r="S2375" s="11"/>
      <c r="T2375" s="11"/>
      <c r="U2375" s="11"/>
      <c r="V2375" s="11"/>
      <c r="W2375" s="11"/>
      <c r="X2375" s="11"/>
      <c r="Y2375" s="11"/>
      <c r="Z2375" s="11"/>
    </row>
    <row r="2376" customHeight="1" spans="1:26">
      <c r="A2376" s="11" t="str">
        <f>IFERROR(__xludf.DUMMYFUNCTION("""COMPUTED_VALUE"""),"DANIELA BARBOSA DE OLIVEIRA")</f>
        <v>DANIELA BARBOSA DE OLIVEIRA</v>
      </c>
      <c r="B2376" s="11"/>
      <c r="C2376" s="11"/>
      <c r="D2376" s="11" t="str">
        <f>IFERROR(__xludf.DUMMYFUNCTION("""COMPUTED_VALUE"""),"DERMATOLOGIA")</f>
        <v>DERMATOLOGIA</v>
      </c>
      <c r="E2376" s="11"/>
      <c r="F2376" s="11" t="str">
        <f>IFERROR(__xludf.DUMMYFUNCTION("""COMPUTED_VALUE"""),"US_159 POLICLINICA AGAMENON MAGALHAES")</f>
        <v>US_159 POLICLINICA AGAMENON MAGALHAES</v>
      </c>
      <c r="G2376" s="11" t="str">
        <f>IFERROR(__xludf.DUMMYFUNCTION("""COMPUTED_VALUE"""),"US_318 CAPS CPTRA CENTRO DE PREV TRAT E REAB DE ALCOOLISMO")</f>
        <v>US_318 CAPS CPTRA CENTRO DE PREV TRAT E REAB DE ALCOOLISMO</v>
      </c>
      <c r="H2376" s="11"/>
      <c r="I2376" s="11"/>
      <c r="J2376" s="11"/>
      <c r="K2376" s="11"/>
      <c r="L2376" s="11"/>
      <c r="M2376" s="11"/>
      <c r="N2376" s="30" t="str">
        <f>IFERROR(__xludf.DUMMYFUNCTION("""COMPUTED_VALUE"""),"danielabo@hotmail.com.br")</f>
        <v>danielabo@hotmail.com.br</v>
      </c>
      <c r="O2376" s="11">
        <f>IFERROR(__xludf.DUMMYFUNCTION("""COMPUTED_VALUE"""),86488139487)</f>
        <v>86488139487</v>
      </c>
      <c r="P2376" s="11"/>
      <c r="Q2376" s="11"/>
      <c r="R2376" s="11"/>
      <c r="S2376" s="11"/>
      <c r="T2376" s="11"/>
      <c r="U2376" s="11"/>
      <c r="V2376" s="11"/>
      <c r="W2376" s="11"/>
      <c r="X2376" s="11"/>
      <c r="Y2376" s="11"/>
      <c r="Z2376" s="11"/>
    </row>
    <row r="2377" customHeight="1" spans="1:26">
      <c r="A2377" s="11" t="str">
        <f>IFERROR(__xludf.DUMMYFUNCTION("""COMPUTED_VALUE"""),"RENATA PAIVA BARBOSA")</f>
        <v>RENATA PAIVA BARBOSA</v>
      </c>
      <c r="B2377" s="11"/>
      <c r="C2377" s="11"/>
      <c r="D2377" s="11" t="str">
        <f>IFERROR(__xludf.DUMMYFUNCTION("""COMPUTED_VALUE"""),"ENDOCRINOLOGIA E METABOLOGIA")</f>
        <v>ENDOCRINOLOGIA E METABOLOGIA</v>
      </c>
      <c r="E2377" s="11"/>
      <c r="F2377" s="11" t="str">
        <f>IFERROR(__xludf.DUMMYFUNCTION("""COMPUTED_VALUE"""),"US_159 POLICLINICA AGAMENON MAGALHAES")</f>
        <v>US_159 POLICLINICA AGAMENON MAGALHAES</v>
      </c>
      <c r="G2377" s="11" t="str">
        <f>IFERROR(__xludf.DUMMYFUNCTION("""COMPUTED_VALUE"""),"US_343 CAPS CEMPI CENTRO MEDICO PSICO PEDAGOGICO INFANTIL")</f>
        <v>US_343 CAPS CEMPI CENTRO MEDICO PSICO PEDAGOGICO INFANTIL</v>
      </c>
      <c r="H2377" s="11"/>
      <c r="I2377" s="11"/>
      <c r="J2377" s="11"/>
      <c r="K2377" s="11"/>
      <c r="L2377" s="11"/>
      <c r="M2377" s="11"/>
      <c r="N2377" s="30" t="str">
        <f>IFERROR(__xludf.DUMMYFUNCTION("""COMPUTED_VALUE"""),"rpaivaendocrino@gmail.com")</f>
        <v>rpaivaendocrino@gmail.com</v>
      </c>
      <c r="O2377" s="11">
        <f>IFERROR(__xludf.DUMMYFUNCTION("""COMPUTED_VALUE"""),2042124486)</f>
        <v>2042124486</v>
      </c>
      <c r="P2377" s="11"/>
      <c r="Q2377" s="11"/>
      <c r="R2377" s="11"/>
      <c r="S2377" s="11"/>
      <c r="T2377" s="11"/>
      <c r="U2377" s="11"/>
      <c r="V2377" s="11"/>
      <c r="W2377" s="11"/>
      <c r="X2377" s="11"/>
      <c r="Y2377" s="11"/>
      <c r="Z2377" s="11"/>
    </row>
    <row r="2378" customHeight="1" spans="1:26">
      <c r="A2378" s="11" t="str">
        <f>IFERROR(__xludf.DUMMYFUNCTION("""COMPUTED_VALUE"""),"ANA INES AGUIAR CAVALCANTI")</f>
        <v>ANA INES AGUIAR CAVALCANTI</v>
      </c>
      <c r="B2378" s="11"/>
      <c r="C2378" s="11"/>
      <c r="D2378" s="11" t="str">
        <f>IFERROR(__xludf.DUMMYFUNCTION("""COMPUTED_VALUE"""),"RADIOLOGIA E DIAGNOSTICO POR IMAGEM")</f>
        <v>RADIOLOGIA E DIAGNOSTICO POR IMAGEM</v>
      </c>
      <c r="E2378" s="11"/>
      <c r="F2378" s="11" t="str">
        <f>IFERROR(__xludf.DUMMYFUNCTION("""COMPUTED_VALUE"""),"US_159 POLICLINICA AGAMENON MAGALHAES")</f>
        <v>US_159 POLICLINICA AGAMENON MAGALHAES</v>
      </c>
      <c r="G2378" s="11" t="str">
        <f>IFERROR(__xludf.DUMMYFUNCTION("""COMPUTED_VALUE"""),"US_340 CAPS CLEA LACET")</f>
        <v>US_340 CAPS CLEA LACET</v>
      </c>
      <c r="H2378" s="11"/>
      <c r="I2378" s="11"/>
      <c r="J2378" s="11"/>
      <c r="K2378" s="11"/>
      <c r="L2378" s="11"/>
      <c r="M2378" s="11"/>
      <c r="N2378" s="30" t="str">
        <f>IFERROR(__xludf.DUMMYFUNCTION("""COMPUTED_VALUE"""),"anainescavalcanti@gmail.com")</f>
        <v>anainescavalcanti@gmail.com</v>
      </c>
      <c r="O2378" s="11">
        <f>IFERROR(__xludf.DUMMYFUNCTION("""COMPUTED_VALUE"""),88178587491)</f>
        <v>88178587491</v>
      </c>
      <c r="P2378" s="11"/>
      <c r="Q2378" s="11"/>
      <c r="R2378" s="11"/>
      <c r="S2378" s="11"/>
      <c r="T2378" s="11"/>
      <c r="U2378" s="11"/>
      <c r="V2378" s="11"/>
      <c r="W2378" s="11"/>
      <c r="X2378" s="11"/>
      <c r="Y2378" s="11"/>
      <c r="Z2378" s="11"/>
    </row>
    <row r="2379" customHeight="1" spans="1:26">
      <c r="A2379" s="11" t="str">
        <f>IFERROR(__xludf.DUMMYFUNCTION("""COMPUTED_VALUE"""),"FELIPE ALVES DO MONTE")</f>
        <v>FELIPE ALVES DO MONTE</v>
      </c>
      <c r="B2379" s="11"/>
      <c r="C2379" s="11"/>
      <c r="D2379" s="11" t="str">
        <f>IFERROR(__xludf.DUMMYFUNCTION("""COMPUTED_VALUE"""),"ORTOPEDIA E TRAUMATOLOGIA")</f>
        <v>ORTOPEDIA E TRAUMATOLOGIA</v>
      </c>
      <c r="E2379" s="11"/>
      <c r="F2379" s="11" t="str">
        <f>IFERROR(__xludf.DUMMYFUNCTION("""COMPUTED_VALUE"""),"US_169 POLICLINICA AMAURY COUTINHO")</f>
        <v>US_169 POLICLINICA AMAURY COUTINHO</v>
      </c>
      <c r="G2379" s="11" t="str">
        <f>IFERROR(__xludf.DUMMYFUNCTION("""COMPUTED_VALUE"""),"US_343 CAPS CEMPI CENTRO MEDICO PSICO PEDAGOGICO INFANTIL")</f>
        <v>US_343 CAPS CEMPI CENTRO MEDICO PSICO PEDAGOGICO INFANTIL</v>
      </c>
      <c r="H2379" s="11"/>
      <c r="I2379" s="11"/>
      <c r="J2379" s="11"/>
      <c r="K2379" s="11"/>
      <c r="L2379" s="11"/>
      <c r="M2379" s="11"/>
      <c r="N2379" s="30" t="str">
        <f>IFERROR(__xludf.DUMMYFUNCTION("""COMPUTED_VALUE"""),"falvesmonte@gmail.com")</f>
        <v>falvesmonte@gmail.com</v>
      </c>
      <c r="O2379" s="11">
        <f>IFERROR(__xludf.DUMMYFUNCTION("""COMPUTED_VALUE"""),92218407434)</f>
        <v>92218407434</v>
      </c>
      <c r="P2379" s="11"/>
      <c r="Q2379" s="11"/>
      <c r="R2379" s="11"/>
      <c r="S2379" s="11"/>
      <c r="T2379" s="11"/>
      <c r="U2379" s="11"/>
      <c r="V2379" s="11"/>
      <c r="W2379" s="11"/>
      <c r="X2379" s="11"/>
      <c r="Y2379" s="11"/>
      <c r="Z2379" s="11"/>
    </row>
    <row r="2380" customHeight="1" spans="1:26">
      <c r="A2380" s="11" t="str">
        <f>IFERROR(__xludf.DUMMYFUNCTION("""COMPUTED_VALUE"""),"HENRIQUE COSTA BARBOSA")</f>
        <v>HENRIQUE COSTA BARBOSA</v>
      </c>
      <c r="B2380" s="11"/>
      <c r="C2380" s="11"/>
      <c r="D2380" s="11" t="str">
        <f>IFERROR(__xludf.DUMMYFUNCTION("""COMPUTED_VALUE"""),"ORTOPEDIA E TRAUMATOLOGIA")</f>
        <v>ORTOPEDIA E TRAUMATOLOGIA</v>
      </c>
      <c r="E2380" s="11"/>
      <c r="F2380" s="11" t="str">
        <f>IFERROR(__xludf.DUMMYFUNCTION("""COMPUTED_VALUE"""),"US_169 POLICLINICA AMAURY COUTINHO")</f>
        <v>US_169 POLICLINICA AMAURY COUTINHO</v>
      </c>
      <c r="G2380" s="11" t="str">
        <f>IFERROR(__xludf.DUMMYFUNCTION("""COMPUTED_VALUE"""),"US_335 CAPS AD ESTACAO VICENTE ARAUJO")</f>
        <v>US_335 CAPS AD ESTACAO VICENTE ARAUJO</v>
      </c>
      <c r="H2380" s="11"/>
      <c r="I2380" s="11"/>
      <c r="J2380" s="11"/>
      <c r="K2380" s="11"/>
      <c r="L2380" s="11"/>
      <c r="M2380" s="11"/>
      <c r="N2380" s="30" t="str">
        <f>IFERROR(__xludf.DUMMYFUNCTION("""COMPUTED_VALUE"""),"h_cbarbosa@yahoo.com.br")</f>
        <v>h_cbarbosa@yahoo.com.br</v>
      </c>
      <c r="O2380" s="11">
        <f>IFERROR(__xludf.DUMMYFUNCTION("""COMPUTED_VALUE"""),71746226404)</f>
        <v>71746226404</v>
      </c>
      <c r="P2380" s="11"/>
      <c r="Q2380" s="11"/>
      <c r="R2380" s="11"/>
      <c r="S2380" s="11"/>
      <c r="T2380" s="11"/>
      <c r="U2380" s="11"/>
      <c r="V2380" s="11"/>
      <c r="W2380" s="11"/>
      <c r="X2380" s="11"/>
      <c r="Y2380" s="11"/>
      <c r="Z2380" s="11"/>
    </row>
    <row r="2381" customHeight="1" spans="1:26">
      <c r="A2381" s="11" t="str">
        <f>IFERROR(__xludf.DUMMYFUNCTION("""COMPUTED_VALUE"""),"FABIO BRITTO LIRA MALTA")</f>
        <v>FABIO BRITTO LIRA MALTA</v>
      </c>
      <c r="B2381" s="11"/>
      <c r="C2381" s="11"/>
      <c r="D2381" s="11" t="str">
        <f>IFERROR(__xludf.DUMMYFUNCTION("""COMPUTED_VALUE"""),"CARDIOLOGIA")</f>
        <v>CARDIOLOGIA</v>
      </c>
      <c r="E2381" s="11"/>
      <c r="F2381" s="11" t="str">
        <f>IFERROR(__xludf.DUMMYFUNCTION("""COMPUTED_VALUE"""),"US_159 POLICLINICA AGAMENON MAGALHAES")</f>
        <v>US_159 POLICLINICA AGAMENON MAGALHAES</v>
      </c>
      <c r="G2381" s="11" t="str">
        <f>IFERROR(__xludf.DUMMYFUNCTION("""COMPUTED_VALUE"""),"US_310 CAPS AD PROF JOSE LUCENA")</f>
        <v>US_310 CAPS AD PROF JOSE LUCENA</v>
      </c>
      <c r="H2381" s="11"/>
      <c r="I2381" s="11"/>
      <c r="J2381" s="11"/>
      <c r="K2381" s="11"/>
      <c r="L2381" s="11"/>
      <c r="M2381" s="11"/>
      <c r="N2381" s="30" t="str">
        <f>IFERROR(__xludf.DUMMYFUNCTION("""COMPUTED_VALUE"""),"fblmalta@hotmail.com                                   ")</f>
        <v>fblmalta@hotmail.com                                   </v>
      </c>
      <c r="O2381" s="11">
        <f>IFERROR(__xludf.DUMMYFUNCTION("""COMPUTED_VALUE"""),82202389415)</f>
        <v>82202389415</v>
      </c>
      <c r="P2381" s="11"/>
      <c r="Q2381" s="11"/>
      <c r="R2381" s="11"/>
      <c r="S2381" s="11"/>
      <c r="T2381" s="11"/>
      <c r="U2381" s="11"/>
      <c r="V2381" s="11"/>
      <c r="W2381" s="11"/>
      <c r="X2381" s="11"/>
      <c r="Y2381" s="11"/>
      <c r="Z2381" s="11"/>
    </row>
    <row r="2382" customHeight="1" spans="1:26">
      <c r="A2382" s="11" t="str">
        <f>IFERROR(__xludf.DUMMYFUNCTION("""COMPUTED_VALUE"""),"MARCIO ADRIANO P CRISANTO")</f>
        <v>MARCIO ADRIANO P CRISANTO</v>
      </c>
      <c r="B2382" s="11"/>
      <c r="C2382" s="11"/>
      <c r="D2382" s="11" t="str">
        <f>IFERROR(__xludf.DUMMYFUNCTION("""COMPUTED_VALUE"""),"ORTOPEDIA E TRAUMATOLOGIA")</f>
        <v>ORTOPEDIA E TRAUMATOLOGIA</v>
      </c>
      <c r="E2382" s="11"/>
      <c r="F2382" s="11" t="str">
        <f>IFERROR(__xludf.DUMMYFUNCTION("""COMPUTED_VALUE"""),"US_159 POLICLINICA AGAMENON MAGALHAES")</f>
        <v>US_159 POLICLINICA AGAMENON MAGALHAES</v>
      </c>
      <c r="G2382" s="11" t="str">
        <f>IFERROR(__xludf.DUMMYFUNCTION("""COMPUTED_VALUE"""),"US_304 CAPS DAVID CAPISTRANO")</f>
        <v>US_304 CAPS DAVID CAPISTRANO</v>
      </c>
      <c r="H2382" s="11"/>
      <c r="I2382" s="11"/>
      <c r="J2382" s="11"/>
      <c r="K2382" s="11"/>
      <c r="L2382" s="11"/>
      <c r="M2382" s="11"/>
      <c r="N2382" s="30" t="str">
        <f>IFERROR(__xludf.DUMMYFUNCTION("""COMPUTED_VALUE"""),"MCCRISANTO@GMAIL.COM")</f>
        <v>MCCRISANTO@GMAIL.COM</v>
      </c>
      <c r="O2382" s="11">
        <f>IFERROR(__xludf.DUMMYFUNCTION("""COMPUTED_VALUE"""),77183584453)</f>
        <v>77183584453</v>
      </c>
      <c r="P2382" s="11"/>
      <c r="Q2382" s="11"/>
      <c r="R2382" s="11"/>
      <c r="S2382" s="11"/>
      <c r="T2382" s="11"/>
      <c r="U2382" s="11"/>
      <c r="V2382" s="11"/>
      <c r="W2382" s="11"/>
      <c r="X2382" s="11"/>
      <c r="Y2382" s="11"/>
      <c r="Z2382" s="11"/>
    </row>
    <row r="2383" customHeight="1" spans="1:26">
      <c r="A2383" s="11" t="str">
        <f>IFERROR(__xludf.DUMMYFUNCTION("""COMPUTED_VALUE"""),"ANA KARLA CABRAL")</f>
        <v>ANA KARLA CABRAL</v>
      </c>
      <c r="B2383" s="11"/>
      <c r="C2383" s="11"/>
      <c r="D2383" s="11" t="str">
        <f>IFERROR(__xludf.DUMMYFUNCTION("""COMPUTED_VALUE"""),"DERMATOLOGIA")</f>
        <v>DERMATOLOGIA</v>
      </c>
      <c r="E2383" s="11"/>
      <c r="F2383" s="11" t="str">
        <f>IFERROR(__xludf.DUMMYFUNCTION("""COMPUTED_VALUE"""),"US_159 POLICLINICA AGAMENON MAGALHAES")</f>
        <v>US_159 POLICLINICA AGAMENON MAGALHAES</v>
      </c>
      <c r="G2383" s="11" t="str">
        <f>IFERROR(__xludf.DUMMYFUNCTION("""COMPUTED_VALUE"""),"US_277 CAPS ESPERANCA")</f>
        <v>US_277 CAPS ESPERANCA</v>
      </c>
      <c r="H2383" s="11"/>
      <c r="I2383" s="11"/>
      <c r="J2383" s="11"/>
      <c r="K2383" s="11"/>
      <c r="L2383" s="11"/>
      <c r="M2383" s="11"/>
      <c r="N2383" s="30" t="str">
        <f>IFERROR(__xludf.DUMMYFUNCTION("""COMPUTED_VALUE"""),"akcabral@hotmail.com                                   ")</f>
        <v>akcabral@hotmail.com                                   </v>
      </c>
      <c r="O2383" s="11">
        <f>IFERROR(__xludf.DUMMYFUNCTION("""COMPUTED_VALUE"""),98989405491)</f>
        <v>98989405491</v>
      </c>
      <c r="P2383" s="11"/>
      <c r="Q2383" s="11"/>
      <c r="R2383" s="11"/>
      <c r="S2383" s="11"/>
      <c r="T2383" s="11"/>
      <c r="U2383" s="11"/>
      <c r="V2383" s="11"/>
      <c r="W2383" s="11"/>
      <c r="X2383" s="11"/>
      <c r="Y2383" s="11"/>
      <c r="Z2383" s="11"/>
    </row>
    <row r="2384" customHeight="1" spans="1:26">
      <c r="A2384" s="11" t="str">
        <f>IFERROR(__xludf.DUMMYFUNCTION("""COMPUTED_VALUE"""),"CAROLINE BRANDAO DE ARAUJO")</f>
        <v>CAROLINE BRANDAO DE ARAUJO</v>
      </c>
      <c r="B2384" s="11"/>
      <c r="C2384" s="11"/>
      <c r="D2384" s="11" t="str">
        <f>IFERROR(__xludf.DUMMYFUNCTION("""COMPUTED_VALUE"""),"CLINICA GERAL")</f>
        <v>CLINICA GERAL</v>
      </c>
      <c r="E2384" s="11"/>
      <c r="F2384" s="11" t="str">
        <f>IFERROR(__xludf.DUMMYFUNCTION("""COMPUTED_VALUE"""),"US_169 POLICLINICA AMAURY COUTINHO")</f>
        <v>US_169 POLICLINICA AMAURY COUTINHO</v>
      </c>
      <c r="G2384" s="11" t="str">
        <f>IFERROR(__xludf.DUMMYFUNCTION("""COMPUTED_VALUE"""),"US_318 CAPS CPTRA CENTRO DE PREV TRAT E REAB DE ALCOOLISMO")</f>
        <v>US_318 CAPS CPTRA CENTRO DE PREV TRAT E REAB DE ALCOOLISMO</v>
      </c>
      <c r="H2384" s="11"/>
      <c r="I2384" s="11"/>
      <c r="J2384" s="11"/>
      <c r="K2384" s="11"/>
      <c r="L2384" s="11"/>
      <c r="M2384" s="11"/>
      <c r="N2384" s="30" t="str">
        <f>IFERROR(__xludf.DUMMYFUNCTION("""COMPUTED_VALUE"""),"carolinebaraujo@gmail.com")</f>
        <v>carolinebaraujo@gmail.com</v>
      </c>
      <c r="O2384" s="11">
        <f>IFERROR(__xludf.DUMMYFUNCTION("""COMPUTED_VALUE"""),89695810497)</f>
        <v>89695810497</v>
      </c>
      <c r="P2384" s="11"/>
      <c r="Q2384" s="11"/>
      <c r="R2384" s="11"/>
      <c r="S2384" s="11"/>
      <c r="T2384" s="11"/>
      <c r="U2384" s="11"/>
      <c r="V2384" s="11"/>
      <c r="W2384" s="11"/>
      <c r="X2384" s="11"/>
      <c r="Y2384" s="11"/>
      <c r="Z2384" s="11"/>
    </row>
    <row r="2385" customHeight="1" spans="1:26">
      <c r="A2385" s="11" t="str">
        <f>IFERROR(__xludf.DUMMYFUNCTION("""COMPUTED_VALUE"""),"ANA CLAUDIA V DE S OLIVEIRA")</f>
        <v>ANA CLAUDIA V DE S OLIVEIRA</v>
      </c>
      <c r="B2385" s="11"/>
      <c r="C2385" s="11"/>
      <c r="D2385" s="11" t="str">
        <f>IFERROR(__xludf.DUMMYFUNCTION("""COMPUTED_VALUE"""),"CLINICA GERAL")</f>
        <v>CLINICA GERAL</v>
      </c>
      <c r="E2385" s="11"/>
      <c r="F2385" s="11" t="str">
        <f>IFERROR(__xludf.DUMMYFUNCTION("""COMPUTED_VALUE"""),"US_159 POLICLINICA AGAMENON MAGALHAES")</f>
        <v>US_159 POLICLINICA AGAMENON MAGALHAES</v>
      </c>
      <c r="G2385" s="11" t="str">
        <f>IFERROR(__xludf.DUMMYFUNCTION("""COMPUTED_VALUE"""),"US_320 CAPS CENTRO EULAMPIO CORDEIRO DE RECUPERACAO HUMANA")</f>
        <v>US_320 CAPS CENTRO EULAMPIO CORDEIRO DE RECUPERACAO HUMANA</v>
      </c>
      <c r="H2385" s="11"/>
      <c r="I2385" s="11"/>
      <c r="J2385" s="11"/>
      <c r="K2385" s="11"/>
      <c r="L2385" s="11"/>
      <c r="M2385" s="11"/>
      <c r="N2385" s="30" t="str">
        <f>IFERROR(__xludf.DUMMYFUNCTION("""COMPUTED_VALUE"""),"acvso@ig.com.br")</f>
        <v>acvso@ig.com.br</v>
      </c>
      <c r="O2385" s="11">
        <f>IFERROR(__xludf.DUMMYFUNCTION("""COMPUTED_VALUE"""),2035132401)</f>
        <v>2035132401</v>
      </c>
      <c r="P2385" s="11"/>
      <c r="Q2385" s="11"/>
      <c r="R2385" s="11"/>
      <c r="S2385" s="11"/>
      <c r="T2385" s="11"/>
      <c r="U2385" s="11"/>
      <c r="V2385" s="11"/>
      <c r="W2385" s="11"/>
      <c r="X2385" s="11"/>
      <c r="Y2385" s="11"/>
      <c r="Z2385" s="11"/>
    </row>
    <row r="2386" customHeight="1" spans="1:26">
      <c r="A2386" s="11" t="str">
        <f>IFERROR(__xludf.DUMMYFUNCTION("""COMPUTED_VALUE"""),"GERALDO GOMES DA COSTA")</f>
        <v>GERALDO GOMES DA COSTA</v>
      </c>
      <c r="B2386" s="11"/>
      <c r="C2386" s="11"/>
      <c r="D2386" s="11" t="str">
        <f>IFERROR(__xludf.DUMMYFUNCTION("""COMPUTED_VALUE"""),"ORTOPEDIA E TRAUMATOLOGIA")</f>
        <v>ORTOPEDIA E TRAUMATOLOGIA</v>
      </c>
      <c r="E2386" s="11"/>
      <c r="F2386" s="11" t="str">
        <f>IFERROR(__xludf.DUMMYFUNCTION("""COMPUTED_VALUE"""),"US_169 POLICLINICA AMAURY COUTINHO")</f>
        <v>US_169 POLICLINICA AMAURY COUTINHO</v>
      </c>
      <c r="G2386" s="11" t="str">
        <f>IFERROR(__xludf.DUMMYFUNCTION("""COMPUTED_VALUE"""),"US_303 CAPS AD ESPACO TRAVESSIA RENE RIBEIRO")</f>
        <v>US_303 CAPS AD ESPACO TRAVESSIA RENE RIBEIRO</v>
      </c>
      <c r="H2386" s="11"/>
      <c r="I2386" s="11"/>
      <c r="J2386" s="11"/>
      <c r="K2386" s="11"/>
      <c r="L2386" s="11"/>
      <c r="M2386" s="11"/>
      <c r="N2386" s="30" t="str">
        <f>IFERROR(__xludf.DUMMYFUNCTION("""COMPUTED_VALUE"""),"geraldo.gcosta@hotmail.com")</f>
        <v>geraldo.gcosta@hotmail.com</v>
      </c>
      <c r="O2386" s="11">
        <f>IFERROR(__xludf.DUMMYFUNCTION("""COMPUTED_VALUE"""),12722839415)</f>
        <v>12722839415</v>
      </c>
      <c r="P2386" s="11"/>
      <c r="Q2386" s="11"/>
      <c r="R2386" s="11"/>
      <c r="S2386" s="11"/>
      <c r="T2386" s="11"/>
      <c r="U2386" s="11"/>
      <c r="V2386" s="11"/>
      <c r="W2386" s="11"/>
      <c r="X2386" s="11"/>
      <c r="Y2386" s="11"/>
      <c r="Z2386" s="11"/>
    </row>
    <row r="2387" customHeight="1" spans="1:26">
      <c r="A2387" s="11" t="str">
        <f>IFERROR(__xludf.DUMMYFUNCTION("""COMPUTED_VALUE"""),"RICARDO DE FREITAS SILVA")</f>
        <v>RICARDO DE FREITAS SILVA</v>
      </c>
      <c r="B2387" s="11"/>
      <c r="C2387" s="11"/>
      <c r="D2387" s="11" t="str">
        <f>IFERROR(__xludf.DUMMYFUNCTION("""COMPUTED_VALUE"""),"ENDOCRINOLOGIA E METABOLOGIA")</f>
        <v>ENDOCRINOLOGIA E METABOLOGIA</v>
      </c>
      <c r="E2387" s="11"/>
      <c r="F2387" s="11" t="str">
        <f>IFERROR(__xludf.DUMMYFUNCTION("""COMPUTED_VALUE"""),"US_159 POLICLINICA AGAMENON MAGALHAES")</f>
        <v>US_159 POLICLINICA AGAMENON MAGALHAES</v>
      </c>
      <c r="G2387" s="11" t="str">
        <f>IFERROR(__xludf.DUMMYFUNCTION("""COMPUTED_VALUE"""),"US_343 CAPS CEMPI CENTRO MEDICO PSICO PEDAGOGICO INFANTIL")</f>
        <v>US_343 CAPS CEMPI CENTRO MEDICO PSICO PEDAGOGICO INFANTIL</v>
      </c>
      <c r="H2387" s="11"/>
      <c r="I2387" s="11"/>
      <c r="J2387" s="11"/>
      <c r="K2387" s="11"/>
      <c r="L2387" s="11"/>
      <c r="M2387" s="11"/>
      <c r="N2387" s="30" t="str">
        <f>IFERROR(__xludf.DUMMYFUNCTION("""COMPUTED_VALUE"""),"rfreitass@hotmail.com")</f>
        <v>rfreitass@hotmail.com</v>
      </c>
      <c r="O2387" s="11">
        <f>IFERROR(__xludf.DUMMYFUNCTION("""COMPUTED_VALUE"""),3138025480)</f>
        <v>3138025480</v>
      </c>
      <c r="P2387" s="11"/>
      <c r="Q2387" s="11"/>
      <c r="R2387" s="11"/>
      <c r="S2387" s="11"/>
      <c r="T2387" s="11"/>
      <c r="U2387" s="11"/>
      <c r="V2387" s="11"/>
      <c r="W2387" s="11"/>
      <c r="X2387" s="11"/>
      <c r="Y2387" s="11"/>
      <c r="Z2387" s="11"/>
    </row>
    <row r="2388" customHeight="1" spans="1:26">
      <c r="A2388" s="11" t="str">
        <f>IFERROR(__xludf.DUMMYFUNCTION("""COMPUTED_VALUE"""),"ALEXANDRE DE MOURA CAMPELO")</f>
        <v>ALEXANDRE DE MOURA CAMPELO</v>
      </c>
      <c r="B2388" s="11"/>
      <c r="C2388" s="11"/>
      <c r="D2388" s="11" t="str">
        <f>IFERROR(__xludf.DUMMYFUNCTION("""COMPUTED_VALUE"""),"CLINICA GERAL")</f>
        <v>CLINICA GERAL</v>
      </c>
      <c r="E2388" s="11"/>
      <c r="F2388" s="11" t="str">
        <f>IFERROR(__xludf.DUMMYFUNCTION("""COMPUTED_VALUE"""),"US_159 POLICLINICA AGAMENON MAGALHAES")</f>
        <v>US_159 POLICLINICA AGAMENON MAGALHAES</v>
      </c>
      <c r="G2388" s="11" t="str">
        <f>IFERROR(__xludf.DUMMYFUNCTION("""COMPUTED_VALUE"""),"US_335 CAPS AD ESTACAO VICENTE ARAUJO")</f>
        <v>US_335 CAPS AD ESTACAO VICENTE ARAUJO</v>
      </c>
      <c r="H2388" s="11"/>
      <c r="I2388" s="11"/>
      <c r="J2388" s="11"/>
      <c r="K2388" s="11"/>
      <c r="L2388" s="11"/>
      <c r="M2388" s="11"/>
      <c r="N2388" s="30" t="str">
        <f>IFERROR(__xludf.DUMMYFUNCTION("""COMPUTED_VALUE"""),"ALEXANDREMCAMPELOBLT@HOTMAIL.COM")</f>
        <v>ALEXANDREMCAMPELOBLT@HOTMAIL.COM</v>
      </c>
      <c r="O2388" s="11">
        <f>IFERROR(__xludf.DUMMYFUNCTION("""COMPUTED_VALUE"""),32275927387)</f>
        <v>32275927387</v>
      </c>
      <c r="P2388" s="11"/>
      <c r="Q2388" s="11"/>
      <c r="R2388" s="11"/>
      <c r="S2388" s="11"/>
      <c r="T2388" s="11"/>
      <c r="U2388" s="11"/>
      <c r="V2388" s="11"/>
      <c r="W2388" s="11"/>
      <c r="X2388" s="11"/>
      <c r="Y2388" s="11"/>
      <c r="Z2388" s="11"/>
    </row>
    <row r="2389" customHeight="1" spans="1:26">
      <c r="A2389" s="11" t="str">
        <f>IFERROR(__xludf.DUMMYFUNCTION("""COMPUTED_VALUE"""),"LUIZ HENRIQUE THOMPSON DE ASSI")</f>
        <v>LUIZ HENRIQUE THOMPSON DE ASSI</v>
      </c>
      <c r="B2389" s="11"/>
      <c r="C2389" s="11"/>
      <c r="D2389" s="11" t="str">
        <f>IFERROR(__xludf.DUMMYFUNCTION("""COMPUTED_VALUE"""),"MEDICINA DO TRABALHO")</f>
        <v>MEDICINA DO TRABALHO</v>
      </c>
      <c r="E2389" s="11"/>
      <c r="F2389" s="11" t="str">
        <f>IFERROR(__xludf.DUMMYFUNCTION("""COMPUTED_VALUE"""),"US_159 POLICLINICA AGAMENON MAGALHAES")</f>
        <v>US_159 POLICLINICA AGAMENON MAGALHAES</v>
      </c>
      <c r="G2389" s="11" t="str">
        <f>IFERROR(__xludf.DUMMYFUNCTION("""COMPUTED_VALUE"""),"US_348 CAPS BOA VISTA ")</f>
        <v>US_348 CAPS BOA VISTA </v>
      </c>
      <c r="H2389" s="11"/>
      <c r="I2389" s="11"/>
      <c r="J2389" s="11"/>
      <c r="K2389" s="11"/>
      <c r="L2389" s="11"/>
      <c r="M2389" s="11"/>
      <c r="N2389" s="30" t="str">
        <f>IFERROR(__xludf.DUMMYFUNCTION("""COMPUTED_VALUE"""),"pagm.rh@gmail.com")</f>
        <v>pagm.rh@gmail.com</v>
      </c>
      <c r="O2389" s="11">
        <f>IFERROR(__xludf.DUMMYFUNCTION("""COMPUTED_VALUE"""),40864600410)</f>
        <v>40864600410</v>
      </c>
      <c r="P2389" s="11"/>
      <c r="Q2389" s="11"/>
      <c r="R2389" s="11"/>
      <c r="S2389" s="11"/>
      <c r="T2389" s="11"/>
      <c r="U2389" s="11"/>
      <c r="V2389" s="11"/>
      <c r="W2389" s="11"/>
      <c r="X2389" s="11"/>
      <c r="Y2389" s="11"/>
      <c r="Z2389" s="11"/>
    </row>
    <row r="2390" customHeight="1" spans="1:26">
      <c r="A2390" s="11" t="str">
        <f>IFERROR(__xludf.DUMMYFUNCTION("""COMPUTED_VALUE"""),"ROBERTA TORRES WANDERLEY")</f>
        <v>ROBERTA TORRES WANDERLEY</v>
      </c>
      <c r="B2390" s="11"/>
      <c r="C2390" s="11"/>
      <c r="D2390" s="11" t="str">
        <f>IFERROR(__xludf.DUMMYFUNCTION("""COMPUTED_VALUE"""),"GINECOLOGIA / COLPOSCOPIA")</f>
        <v>GINECOLOGIA / COLPOSCOPIA</v>
      </c>
      <c r="E2390" s="11"/>
      <c r="F2390" s="11" t="str">
        <f>IFERROR(__xludf.DUMMYFUNCTION("""COMPUTED_VALUE"""),"US_159 POLICLINICA AGAMENON MAGALHAES")</f>
        <v>US_159 POLICLINICA AGAMENON MAGALHAES</v>
      </c>
      <c r="G2390" s="11" t="str">
        <f>IFERROR(__xludf.DUMMYFUNCTION("""COMPUTED_VALUE"""),"US_335 CAPS AD ESTACAO VICENTE ARAUJO")</f>
        <v>US_335 CAPS AD ESTACAO VICENTE ARAUJO</v>
      </c>
      <c r="H2390" s="11"/>
      <c r="I2390" s="11"/>
      <c r="J2390" s="11"/>
      <c r="K2390" s="11"/>
      <c r="L2390" s="11"/>
      <c r="M2390" s="11"/>
      <c r="N2390" s="30" t="str">
        <f>IFERROR(__xludf.DUMMYFUNCTION("""COMPUTED_VALUE"""),"rtwanderley@hotmail.com")</f>
        <v>rtwanderley@hotmail.com</v>
      </c>
      <c r="O2390" s="11">
        <f>IFERROR(__xludf.DUMMYFUNCTION("""COMPUTED_VALUE"""),37772600453)</f>
        <v>37772600453</v>
      </c>
      <c r="P2390" s="11"/>
      <c r="Q2390" s="11"/>
      <c r="R2390" s="11"/>
      <c r="S2390" s="11"/>
      <c r="T2390" s="11"/>
      <c r="U2390" s="11"/>
      <c r="V2390" s="11"/>
      <c r="W2390" s="11"/>
      <c r="X2390" s="11"/>
      <c r="Y2390" s="11"/>
      <c r="Z2390" s="11"/>
    </row>
    <row r="2391" customHeight="1" spans="1:26">
      <c r="A2391" s="11" t="str">
        <f>IFERROR(__xludf.DUMMYFUNCTION("""COMPUTED_VALUE"""),"TARCISIA GONCALVES N GADELHA")</f>
        <v>TARCISIA GONCALVES N GADELHA</v>
      </c>
      <c r="B2391" s="11"/>
      <c r="C2391" s="11"/>
      <c r="D2391" s="11" t="str">
        <f>IFERROR(__xludf.DUMMYFUNCTION("""COMPUTED_VALUE"""),"ENDOCRINOLOGIA E METABOLOGIA")</f>
        <v>ENDOCRINOLOGIA E METABOLOGIA</v>
      </c>
      <c r="E2391" s="11"/>
      <c r="F2391" s="11" t="str">
        <f>IFERROR(__xludf.DUMMYFUNCTION("""COMPUTED_VALUE"""),"US_159 POLICLINICA AGAMENON MAGALHAES")</f>
        <v>US_159 POLICLINICA AGAMENON MAGALHAES</v>
      </c>
      <c r="G2391" s="11" t="str">
        <f>IFERROR(__xludf.DUMMYFUNCTION("""COMPUTED_VALUE"""),"US_340 CAPS CLEA LACET")</f>
        <v>US_340 CAPS CLEA LACET</v>
      </c>
      <c r="H2391" s="11"/>
      <c r="I2391" s="11"/>
      <c r="J2391" s="11"/>
      <c r="K2391" s="11"/>
      <c r="L2391" s="11"/>
      <c r="M2391" s="11"/>
      <c r="N2391" s="30" t="str">
        <f>IFERROR(__xludf.DUMMYFUNCTION("""COMPUTED_VALUE"""),"tarcisiagadelha@yahoo.com.br")</f>
        <v>tarcisiagadelha@yahoo.com.br</v>
      </c>
      <c r="O2391" s="11">
        <f>IFERROR(__xludf.DUMMYFUNCTION("""COMPUTED_VALUE"""),3386235409)</f>
        <v>3386235409</v>
      </c>
      <c r="P2391" s="11"/>
      <c r="Q2391" s="11"/>
      <c r="R2391" s="11"/>
      <c r="S2391" s="11"/>
      <c r="T2391" s="11"/>
      <c r="U2391" s="11"/>
      <c r="V2391" s="11"/>
      <c r="W2391" s="11"/>
      <c r="X2391" s="11"/>
      <c r="Y2391" s="11"/>
      <c r="Z2391" s="11"/>
    </row>
    <row r="2392" customHeight="1" spans="1:26">
      <c r="A2392" s="11" t="str">
        <f>IFERROR(__xludf.DUMMYFUNCTION("""COMPUTED_VALUE"""),"ILLA BORGES CARVALHO RIZVI")</f>
        <v>ILLA BORGES CARVALHO RIZVI</v>
      </c>
      <c r="B2392" s="11"/>
      <c r="C2392" s="11"/>
      <c r="D2392" s="11" t="str">
        <f>IFERROR(__xludf.DUMMYFUNCTION("""COMPUTED_VALUE"""),"ULTRASSONOGRAFIA")</f>
        <v>ULTRASSONOGRAFIA</v>
      </c>
      <c r="E2392" s="11"/>
      <c r="F2392" s="11" t="str">
        <f>IFERROR(__xludf.DUMMYFUNCTION("""COMPUTED_VALUE"""),"US_159 POLICLINICA AGAMENON MAGALHAES")</f>
        <v>US_159 POLICLINICA AGAMENON MAGALHAES</v>
      </c>
      <c r="G2392" s="11" t="str">
        <f>IFERROR(__xludf.DUMMYFUNCTION("""COMPUTED_VALUE"""),"US_320 CAPS CENTRO EULAMPIO CORDEIRO DE RECUPERACAO HUMANA")</f>
        <v>US_320 CAPS CENTRO EULAMPIO CORDEIRO DE RECUPERACAO HUMANA</v>
      </c>
      <c r="H2392" s="11"/>
      <c r="I2392" s="11"/>
      <c r="J2392" s="11"/>
      <c r="K2392" s="11"/>
      <c r="L2392" s="11"/>
      <c r="M2392" s="11"/>
      <c r="N2392" s="30" t="str">
        <f>IFERROR(__xludf.DUMMYFUNCTION("""COMPUTED_VALUE"""),"illarizvi@hotmail.com                                  ")</f>
        <v>illarizvi@hotmail.com                                  </v>
      </c>
      <c r="O2392" s="11">
        <f>IFERROR(__xludf.DUMMYFUNCTION("""COMPUTED_VALUE"""),3050896418)</f>
        <v>3050896418</v>
      </c>
      <c r="P2392" s="11"/>
      <c r="Q2392" s="11"/>
      <c r="R2392" s="11"/>
      <c r="S2392" s="11"/>
      <c r="T2392" s="11"/>
      <c r="U2392" s="11"/>
      <c r="V2392" s="11"/>
      <c r="W2392" s="11"/>
      <c r="X2392" s="11"/>
      <c r="Y2392" s="11"/>
      <c r="Z2392" s="11"/>
    </row>
    <row r="2393" customHeight="1" spans="1:26">
      <c r="A2393" s="11" t="str">
        <f>IFERROR(__xludf.DUMMYFUNCTION("""COMPUTED_VALUE"""),"SONIA MARIA GOMES DA SILVA")</f>
        <v>SONIA MARIA GOMES DA SILVA</v>
      </c>
      <c r="B2393" s="11"/>
      <c r="C2393" s="11"/>
      <c r="D2393" s="11" t="str">
        <f>IFERROR(__xludf.DUMMYFUNCTION("""COMPUTED_VALUE"""),"PSIQUIATRIA")</f>
        <v>PSIQUIATRIA</v>
      </c>
      <c r="E2393" s="11"/>
      <c r="F2393" s="11" t="str">
        <f>IFERROR(__xludf.DUMMYFUNCTION("""COMPUTED_VALUE"""),"US_159 POLICLINICA AGAMENON MAGALHAES")</f>
        <v>US_159 POLICLINICA AGAMENON MAGALHAES</v>
      </c>
      <c r="G2393" s="11" t="str">
        <f>IFERROR(__xludf.DUMMYFUNCTION("""COMPUTED_VALUE"""),"US_304 CAPS DAVID CAPISTRANO")</f>
        <v>US_304 CAPS DAVID CAPISTRANO</v>
      </c>
      <c r="H2393" s="11"/>
      <c r="I2393" s="11"/>
      <c r="J2393" s="11"/>
      <c r="K2393" s="11"/>
      <c r="L2393" s="11"/>
      <c r="M2393" s="11"/>
      <c r="N2393" s="30" t="str">
        <f>IFERROR(__xludf.DUMMYFUNCTION("""COMPUTED_VALUE"""),"somgs5@hotmail.com")</f>
        <v>somgs5@hotmail.com</v>
      </c>
      <c r="O2393" s="11">
        <f>IFERROR(__xludf.DUMMYFUNCTION("""COMPUTED_VALUE"""),10408908491)</f>
        <v>10408908491</v>
      </c>
      <c r="P2393" s="11"/>
      <c r="Q2393" s="11"/>
      <c r="R2393" s="11"/>
      <c r="S2393" s="11"/>
      <c r="T2393" s="11"/>
      <c r="U2393" s="11"/>
      <c r="V2393" s="11"/>
      <c r="W2393" s="11"/>
      <c r="X2393" s="11"/>
      <c r="Y2393" s="11"/>
      <c r="Z2393" s="11"/>
    </row>
    <row r="2394" customHeight="1" spans="1:26">
      <c r="A2394" s="11" t="str">
        <f>IFERROR(__xludf.DUMMYFUNCTION("""COMPUTED_VALUE"""),"JOSE DE BARROS PEREIRA NETO")</f>
        <v>JOSE DE BARROS PEREIRA NETO</v>
      </c>
      <c r="B2394" s="11"/>
      <c r="C2394" s="11"/>
      <c r="D2394" s="11" t="str">
        <f>IFERROR(__xludf.DUMMYFUNCTION("""COMPUTED_VALUE"""),"CLINICA GERAL")</f>
        <v>CLINICA GERAL</v>
      </c>
      <c r="E2394" s="11"/>
      <c r="F2394" s="11" t="str">
        <f>IFERROR(__xludf.DUMMYFUNCTION("""COMPUTED_VALUE"""),"US_169 POLICLINICA AMAURY COUTINHO")</f>
        <v>US_169 POLICLINICA AMAURY COUTINHO</v>
      </c>
      <c r="G2394" s="11" t="str">
        <f>IFERROR(__xludf.DUMMYFUNCTION("""COMPUTED_VALUE"""),"US_330 CAPS ESPACO LIVREMENTE")</f>
        <v>US_330 CAPS ESPACO LIVREMENTE</v>
      </c>
      <c r="H2394" s="11"/>
      <c r="I2394" s="11"/>
      <c r="J2394" s="11"/>
      <c r="K2394" s="11"/>
      <c r="L2394" s="11"/>
      <c r="M2394" s="11"/>
      <c r="N2394" s="30" t="str">
        <f>IFERROR(__xludf.DUMMYFUNCTION("""COMPUTED_VALUE"""),"jose.barros2009@uol.com.br")</f>
        <v>jose.barros2009@uol.com.br</v>
      </c>
      <c r="O2394" s="11">
        <f>IFERROR(__xludf.DUMMYFUNCTION("""COMPUTED_VALUE"""),39140016404)</f>
        <v>39140016404</v>
      </c>
      <c r="P2394" s="11"/>
      <c r="Q2394" s="11"/>
      <c r="R2394" s="11"/>
      <c r="S2394" s="11"/>
      <c r="T2394" s="11"/>
      <c r="U2394" s="11"/>
      <c r="V2394" s="11"/>
      <c r="W2394" s="11"/>
      <c r="X2394" s="11"/>
      <c r="Y2394" s="11"/>
      <c r="Z2394" s="11"/>
    </row>
    <row r="2395" customHeight="1" spans="1:26">
      <c r="A2395" s="11" t="str">
        <f>IFERROR(__xludf.DUMMYFUNCTION("""COMPUTED_VALUE"""),"CRISTINE ZELAQUETT DE S R LUZ")</f>
        <v>CRISTINE ZELAQUETT DE S R LUZ</v>
      </c>
      <c r="B2395" s="11"/>
      <c r="C2395" s="11"/>
      <c r="D2395" s="11" t="str">
        <f>IFERROR(__xludf.DUMMYFUNCTION("""COMPUTED_VALUE"""),"RADIOLOGIA E DIAGNOSTICO POR IMAGEM")</f>
        <v>RADIOLOGIA E DIAGNOSTICO POR IMAGEM</v>
      </c>
      <c r="E2395" s="11"/>
      <c r="F2395" s="11" t="str">
        <f>IFERROR(__xludf.DUMMYFUNCTION("""COMPUTED_VALUE"""),"US_159 POLICLINICA AGAMENON MAGALHAES")</f>
        <v>US_159 POLICLINICA AGAMENON MAGALHAES</v>
      </c>
      <c r="G2395" s="11" t="str">
        <f>IFERROR(__xludf.DUMMYFUNCTION("""COMPUTED_VALUE"""),"US_320 CAPS CENTRO EULAMPIO CORDEIRO DE RECUPERACAO HUMANA")</f>
        <v>US_320 CAPS CENTRO EULAMPIO CORDEIRO DE RECUPERACAO HUMANA</v>
      </c>
      <c r="H2395" s="11"/>
      <c r="I2395" s="11"/>
      <c r="J2395" s="11"/>
      <c r="K2395" s="11"/>
      <c r="L2395" s="11"/>
      <c r="M2395" s="11"/>
      <c r="N2395" s="30" t="str">
        <f>IFERROR(__xludf.DUMMYFUNCTION("""COMPUTED_VALUE"""),"cristinezelaquett@yahoo.com.br")</f>
        <v>cristinezelaquett@yahoo.com.br</v>
      </c>
      <c r="O2395" s="11">
        <f>IFERROR(__xludf.DUMMYFUNCTION("""COMPUTED_VALUE"""),229596452)</f>
        <v>229596452</v>
      </c>
      <c r="P2395" s="11"/>
      <c r="Q2395" s="11"/>
      <c r="R2395" s="11"/>
      <c r="S2395" s="11"/>
      <c r="T2395" s="11"/>
      <c r="U2395" s="11"/>
      <c r="V2395" s="11"/>
      <c r="W2395" s="11"/>
      <c r="X2395" s="11"/>
      <c r="Y2395" s="11"/>
      <c r="Z2395" s="11"/>
    </row>
    <row r="2396" customHeight="1" spans="1:26">
      <c r="A2396" s="11" t="str">
        <f>IFERROR(__xludf.DUMMYFUNCTION("""COMPUTED_VALUE"""),"SANDRA BRAGA RALINO THOMPSON")</f>
        <v>SANDRA BRAGA RALINO THOMPSON</v>
      </c>
      <c r="B2396" s="11"/>
      <c r="C2396" s="11"/>
      <c r="D2396" s="11" t="str">
        <f>IFERROR(__xludf.DUMMYFUNCTION("""COMPUTED_VALUE"""),"INFECTOLOGIA")</f>
        <v>INFECTOLOGIA</v>
      </c>
      <c r="E2396" s="11"/>
      <c r="F2396" s="11" t="str">
        <f>IFERROR(__xludf.DUMMYFUNCTION("""COMPUTED_VALUE"""),"US_159 POLICLINICA AGAMENON MAGALHAES")</f>
        <v>US_159 POLICLINICA AGAMENON MAGALHAES</v>
      </c>
      <c r="G2396" s="11" t="str">
        <f>IFERROR(__xludf.DUMMYFUNCTION("""COMPUTED_VALUE"""),"US_263 CAPS JOSE CARLOS SOUTO")</f>
        <v>US_263 CAPS JOSE CARLOS SOUTO</v>
      </c>
      <c r="H2396" s="11"/>
      <c r="I2396" s="11"/>
      <c r="J2396" s="11"/>
      <c r="K2396" s="11"/>
      <c r="L2396" s="11"/>
      <c r="M2396" s="11"/>
      <c r="N2396" s="30" t="str">
        <f>IFERROR(__xludf.DUMMYFUNCTION("""COMPUTED_VALUE"""),"sandraralino@gmail.com                                 ")</f>
        <v>sandraralino@gmail.com                                 </v>
      </c>
      <c r="O2396" s="11">
        <f>IFERROR(__xludf.DUMMYFUNCTION("""COMPUTED_VALUE"""),3076392409)</f>
        <v>3076392409</v>
      </c>
      <c r="P2396" s="11"/>
      <c r="Q2396" s="11"/>
      <c r="R2396" s="11"/>
      <c r="S2396" s="11"/>
      <c r="T2396" s="11"/>
      <c r="U2396" s="11"/>
      <c r="V2396" s="11"/>
      <c r="W2396" s="11"/>
      <c r="X2396" s="11"/>
      <c r="Y2396" s="11"/>
      <c r="Z2396" s="11"/>
    </row>
    <row r="2397" customHeight="1" spans="1:26">
      <c r="A2397" s="11" t="str">
        <f>IFERROR(__xludf.DUMMYFUNCTION("""COMPUTED_VALUE"""),"CARLA PATRICIA GARCIA MOREIRA")</f>
        <v>CARLA PATRICIA GARCIA MOREIRA</v>
      </c>
      <c r="B2397" s="11"/>
      <c r="C2397" s="11"/>
      <c r="D2397" s="11" t="str">
        <f>IFERROR(__xludf.DUMMYFUNCTION("""COMPUTED_VALUE"""),"PEDIATRIA")</f>
        <v>PEDIATRIA</v>
      </c>
      <c r="E2397" s="11"/>
      <c r="F2397" s="11" t="str">
        <f>IFERROR(__xludf.DUMMYFUNCTION("""COMPUTED_VALUE"""),"US_169 POLICLINICA AMAURY COUTINHO")</f>
        <v>US_169 POLICLINICA AMAURY COUTINHO</v>
      </c>
      <c r="G2397" s="11" t="str">
        <f>IFERROR(__xludf.DUMMYFUNCTION("""COMPUTED_VALUE"""),"US_320 CAPS CENTRO EULAMPIO CORDEIRO DE RECUPERACAO HUMANA")</f>
        <v>US_320 CAPS CENTRO EULAMPIO CORDEIRO DE RECUPERACAO HUMANA</v>
      </c>
      <c r="H2397" s="11"/>
      <c r="I2397" s="11"/>
      <c r="J2397" s="11"/>
      <c r="K2397" s="11"/>
      <c r="L2397" s="11"/>
      <c r="M2397" s="11"/>
      <c r="N2397" s="30" t="str">
        <f>IFERROR(__xludf.DUMMYFUNCTION("""COMPUTED_VALUE"""),"CARLAPATRICIAGM@GMAIL.COM")</f>
        <v>CARLAPATRICIAGM@GMAIL.COM</v>
      </c>
      <c r="O2397" s="11">
        <f>IFERROR(__xludf.DUMMYFUNCTION("""COMPUTED_VALUE"""),71010181572)</f>
        <v>71010181572</v>
      </c>
      <c r="P2397" s="11"/>
      <c r="Q2397" s="11"/>
      <c r="R2397" s="11"/>
      <c r="S2397" s="11"/>
      <c r="T2397" s="11"/>
      <c r="U2397" s="11"/>
      <c r="V2397" s="11"/>
      <c r="W2397" s="11"/>
      <c r="X2397" s="11"/>
      <c r="Y2397" s="11"/>
      <c r="Z2397" s="11"/>
    </row>
    <row r="2398" customHeight="1" spans="1:26">
      <c r="A2398" s="11" t="str">
        <f>IFERROR(__xludf.DUMMYFUNCTION("""COMPUTED_VALUE"""),"FLAVIA REGINA FERRAZ DE LIMA")</f>
        <v>FLAVIA REGINA FERRAZ DE LIMA</v>
      </c>
      <c r="B2398" s="11"/>
      <c r="C2398" s="11"/>
      <c r="D2398" s="11" t="str">
        <f>IFERROR(__xludf.DUMMYFUNCTION("""COMPUTED_VALUE"""),"CLINICA GERAL")</f>
        <v>CLINICA GERAL</v>
      </c>
      <c r="E2398" s="11"/>
      <c r="F2398" s="11" t="str">
        <f>IFERROR(__xludf.DUMMYFUNCTION("""COMPUTED_VALUE"""),"US_169 POLICLINICA AMAURY COUTINHO")</f>
        <v>US_169 POLICLINICA AMAURY COUTINHO</v>
      </c>
      <c r="G2398" s="11" t="str">
        <f>IFERROR(__xludf.DUMMYFUNCTION("""COMPUTED_VALUE"""),"US_303 CAPS AD ESPACO TRAVESSIA RENE RIBEIRO")</f>
        <v>US_303 CAPS AD ESPACO TRAVESSIA RENE RIBEIRO</v>
      </c>
      <c r="H2398" s="11"/>
      <c r="I2398" s="11"/>
      <c r="J2398" s="11"/>
      <c r="K2398" s="11"/>
      <c r="L2398" s="11"/>
      <c r="M2398" s="11"/>
      <c r="N2398" s="30" t="str">
        <f>IFERROR(__xludf.DUMMYFUNCTION("""COMPUTED_VALUE"""),"frflima@bol.com.br                                     ")</f>
        <v>frflima@bol.com.br                                     </v>
      </c>
      <c r="O2398" s="11">
        <f>IFERROR(__xludf.DUMMYFUNCTION("""COMPUTED_VALUE"""),95775366549)</f>
        <v>95775366549</v>
      </c>
      <c r="P2398" s="11"/>
      <c r="Q2398" s="11"/>
      <c r="R2398" s="11"/>
      <c r="S2398" s="11"/>
      <c r="T2398" s="11"/>
      <c r="U2398" s="11"/>
      <c r="V2398" s="11"/>
      <c r="W2398" s="11"/>
      <c r="X2398" s="11"/>
      <c r="Y2398" s="11"/>
      <c r="Z2398" s="11"/>
    </row>
    <row r="2399" customHeight="1" spans="1:26">
      <c r="A2399" s="11" t="str">
        <f>IFERROR(__xludf.DUMMYFUNCTION("""COMPUTED_VALUE"""),"CARLOS R SOARES DA SILVA JR")</f>
        <v>CARLOS R SOARES DA SILVA JR</v>
      </c>
      <c r="B2399" s="11"/>
      <c r="C2399" s="11"/>
      <c r="D2399" s="11" t="str">
        <f>IFERROR(__xludf.DUMMYFUNCTION("""COMPUTED_VALUE"""),"CLINICA GERAL")</f>
        <v>CLINICA GERAL</v>
      </c>
      <c r="E2399" s="11"/>
      <c r="F2399" s="11" t="str">
        <f>IFERROR(__xludf.DUMMYFUNCTION("""COMPUTED_VALUE"""),"US_169 POLICLINICA AMAURY COUTINHO")</f>
        <v>US_169 POLICLINICA AMAURY COUTINHO</v>
      </c>
      <c r="G2399" s="11" t="str">
        <f>IFERROR(__xludf.DUMMYFUNCTION("""COMPUTED_VALUE"""),"US_303 CAPS AD ESPACO TRAVESSIA RENE RIBEIRO")</f>
        <v>US_303 CAPS AD ESPACO TRAVESSIA RENE RIBEIRO</v>
      </c>
      <c r="H2399" s="11"/>
      <c r="I2399" s="11"/>
      <c r="J2399" s="11"/>
      <c r="K2399" s="11"/>
      <c r="L2399" s="11"/>
      <c r="M2399" s="11"/>
      <c r="N2399" s="30" t="str">
        <f>IFERROR(__xludf.DUMMYFUNCTION("""COMPUTED_VALUE"""),"crsjunior2@yahoo.com.br")</f>
        <v>crsjunior2@yahoo.com.br</v>
      </c>
      <c r="O2399" s="11">
        <f>IFERROR(__xludf.DUMMYFUNCTION("""COMPUTED_VALUE"""),2953549412)</f>
        <v>2953549412</v>
      </c>
      <c r="P2399" s="11"/>
      <c r="Q2399" s="11"/>
      <c r="R2399" s="11"/>
      <c r="S2399" s="11"/>
      <c r="T2399" s="11"/>
      <c r="U2399" s="11"/>
      <c r="V2399" s="11"/>
      <c r="W2399" s="11"/>
      <c r="X2399" s="11"/>
      <c r="Y2399" s="11"/>
      <c r="Z2399" s="11"/>
    </row>
    <row r="2400" customHeight="1" spans="1:26">
      <c r="A2400" s="11" t="str">
        <f>IFERROR(__xludf.DUMMYFUNCTION("""COMPUTED_VALUE"""),"PAULO GOUVEA SILVA DINIZ")</f>
        <v>PAULO GOUVEA SILVA DINIZ</v>
      </c>
      <c r="B2400" s="11"/>
      <c r="C2400" s="11"/>
      <c r="D2400" s="11" t="str">
        <f>IFERROR(__xludf.DUMMYFUNCTION("""COMPUTED_VALUE"""),"CLINICA GERAL")</f>
        <v>CLINICA GERAL</v>
      </c>
      <c r="E2400" s="11"/>
      <c r="F2400" s="11" t="str">
        <f>IFERROR(__xludf.DUMMYFUNCTION("""COMPUTED_VALUE"""),"US_169 POLICLINICA AMAURY COUTINHO")</f>
        <v>US_169 POLICLINICA AMAURY COUTINHO</v>
      </c>
      <c r="G2400" s="11" t="str">
        <f>IFERROR(__xludf.DUMMYFUNCTION("""COMPUTED_VALUE"""),"US_310 CAPS AD PROF JOSE LUCENA")</f>
        <v>US_310 CAPS AD PROF JOSE LUCENA</v>
      </c>
      <c r="H2400" s="11"/>
      <c r="I2400" s="11"/>
      <c r="J2400" s="11"/>
      <c r="K2400" s="11"/>
      <c r="L2400" s="11"/>
      <c r="M2400" s="11"/>
      <c r="N2400" s="30" t="str">
        <f>IFERROR(__xludf.DUMMYFUNCTION("""COMPUTED_VALUE"""),"pg-diniz@uol.com.br                                    ")</f>
        <v>pg-diniz@uol.com.br                                    </v>
      </c>
      <c r="O2400" s="11">
        <f>IFERROR(__xludf.DUMMYFUNCTION("""COMPUTED_VALUE"""),77291697468)</f>
        <v>77291697468</v>
      </c>
      <c r="P2400" s="11"/>
      <c r="Q2400" s="11"/>
      <c r="R2400" s="11"/>
      <c r="S2400" s="11"/>
      <c r="T2400" s="11"/>
      <c r="U2400" s="11"/>
      <c r="V2400" s="11"/>
      <c r="W2400" s="11"/>
      <c r="X2400" s="11"/>
      <c r="Y2400" s="11"/>
      <c r="Z2400" s="11"/>
    </row>
    <row r="2401" customHeight="1" spans="1:26">
      <c r="A2401" s="11" t="str">
        <f>IFERROR(__xludf.DUMMYFUNCTION("""COMPUTED_VALUE"""),"CLEBER MACIEL DE M PRAZERES")</f>
        <v>CLEBER MACIEL DE M PRAZERES</v>
      </c>
      <c r="B2401" s="11"/>
      <c r="C2401" s="11"/>
      <c r="D2401" s="11" t="str">
        <f>IFERROR(__xludf.DUMMYFUNCTION("""COMPUTED_VALUE"""),"ORTOPEDIA E TRAUMATOLOGIA")</f>
        <v>ORTOPEDIA E TRAUMATOLOGIA</v>
      </c>
      <c r="E2401" s="11"/>
      <c r="F2401" s="11" t="str">
        <f>IFERROR(__xludf.DUMMYFUNCTION("""COMPUTED_VALUE"""),"US_169 POLICLINICA AMAURY COUTINHO")</f>
        <v>US_169 POLICLINICA AMAURY COUTINHO</v>
      </c>
      <c r="G2401" s="11" t="str">
        <f>IFERROR(__xludf.DUMMYFUNCTION("""COMPUTED_VALUE"""),"US_335 CAPS AD ESTACAO VICENTE ARAUJO")</f>
        <v>US_335 CAPS AD ESTACAO VICENTE ARAUJO</v>
      </c>
      <c r="H2401" s="11"/>
      <c r="I2401" s="11"/>
      <c r="J2401" s="11"/>
      <c r="K2401" s="11"/>
      <c r="L2401" s="11"/>
      <c r="M2401" s="11"/>
      <c r="N2401" s="30" t="str">
        <f>IFERROR(__xludf.DUMMYFUNCTION("""COMPUTED_VALUE"""),"clebermaciel@hotmail.com                               ")</f>
        <v>clebermaciel@hotmail.com                               </v>
      </c>
      <c r="O2401" s="11">
        <f>IFERROR(__xludf.DUMMYFUNCTION("""COMPUTED_VALUE"""),3567844440)</f>
        <v>3567844440</v>
      </c>
      <c r="P2401" s="11"/>
      <c r="Q2401" s="11"/>
      <c r="R2401" s="11"/>
      <c r="S2401" s="11"/>
      <c r="T2401" s="11"/>
      <c r="U2401" s="11"/>
      <c r="V2401" s="11"/>
      <c r="W2401" s="11"/>
      <c r="X2401" s="11"/>
      <c r="Y2401" s="11"/>
      <c r="Z2401" s="11"/>
    </row>
    <row r="2402" customHeight="1" spans="1:26">
      <c r="A2402" s="11" t="str">
        <f>IFERROR(__xludf.DUMMYFUNCTION("""COMPUTED_VALUE"""),"WAGNER CABRAL G CARNEIRO")</f>
        <v>WAGNER CABRAL G CARNEIRO</v>
      </c>
      <c r="B2402" s="11"/>
      <c r="C2402" s="11"/>
      <c r="D2402" s="11" t="str">
        <f>IFERROR(__xludf.DUMMYFUNCTION("""COMPUTED_VALUE"""),"ORTOPEDIA E TRAUMATOLOGIA")</f>
        <v>ORTOPEDIA E TRAUMATOLOGIA</v>
      </c>
      <c r="E2402" s="11"/>
      <c r="F2402" s="11" t="str">
        <f>IFERROR(__xludf.DUMMYFUNCTION("""COMPUTED_VALUE"""),"US_169 POLICLINICA AMAURY COUTINHO")</f>
        <v>US_169 POLICLINICA AMAURY COUTINHO</v>
      </c>
      <c r="G2402" s="11" t="str">
        <f>IFERROR(__xludf.DUMMYFUNCTION("""COMPUTED_VALUE"""),"US_310 CAPS AD PROF JOSE LUCENA")</f>
        <v>US_310 CAPS AD PROF JOSE LUCENA</v>
      </c>
      <c r="H2402" s="11"/>
      <c r="I2402" s="11"/>
      <c r="J2402" s="11"/>
      <c r="K2402" s="11"/>
      <c r="L2402" s="11"/>
      <c r="M2402" s="11"/>
      <c r="N2402" s="30" t="str">
        <f>IFERROR(__xludf.DUMMYFUNCTION("""COMPUTED_VALUE"""),"wagnercgcarneiro@yahoo.com.br                          ")</f>
        <v>wagnercgcarneiro@yahoo.com.br                          </v>
      </c>
      <c r="O2402" s="11">
        <f>IFERROR(__xludf.DUMMYFUNCTION("""COMPUTED_VALUE"""),1031351469)</f>
        <v>1031351469</v>
      </c>
      <c r="P2402" s="11"/>
      <c r="Q2402" s="11"/>
      <c r="R2402" s="11"/>
      <c r="S2402" s="11"/>
      <c r="T2402" s="11"/>
      <c r="U2402" s="11"/>
      <c r="V2402" s="11"/>
      <c r="W2402" s="11"/>
      <c r="X2402" s="11"/>
      <c r="Y2402" s="11"/>
      <c r="Z2402" s="11"/>
    </row>
    <row r="2403" customHeight="1" spans="1:26">
      <c r="A2403" s="11" t="str">
        <f>IFERROR(__xludf.DUMMYFUNCTION("""COMPUTED_VALUE"""),"CARLOMANO MACIEL DE M PRAZERES")</f>
        <v>CARLOMANO MACIEL DE M PRAZERES</v>
      </c>
      <c r="B2403" s="11"/>
      <c r="C2403" s="11"/>
      <c r="D2403" s="11" t="str">
        <f>IFERROR(__xludf.DUMMYFUNCTION("""COMPUTED_VALUE"""),"ORTOPEDIA E TRAUMATOLOGIA")</f>
        <v>ORTOPEDIA E TRAUMATOLOGIA</v>
      </c>
      <c r="E2403" s="11"/>
      <c r="F2403" s="11" t="str">
        <f>IFERROR(__xludf.DUMMYFUNCTION("""COMPUTED_VALUE"""),"US_169 POLICLINICA AMAURY COUTINHO")</f>
        <v>US_169 POLICLINICA AMAURY COUTINHO</v>
      </c>
      <c r="G2403" s="11" t="str">
        <f>IFERROR(__xludf.DUMMYFUNCTION("""COMPUTED_VALUE"""),"US_318 CAPS CPTRA CENTRO DE PREV TRAT E REAB DE ALCOOLISMO")</f>
        <v>US_318 CAPS CPTRA CENTRO DE PREV TRAT E REAB DE ALCOOLISMO</v>
      </c>
      <c r="H2403" s="11"/>
      <c r="I2403" s="11"/>
      <c r="J2403" s="11"/>
      <c r="K2403" s="11"/>
      <c r="L2403" s="11"/>
      <c r="M2403" s="11"/>
      <c r="N2403" s="30" t="str">
        <f>IFERROR(__xludf.DUMMYFUNCTION("""COMPUTED_VALUE"""),"carlomanomaciel@yahoo.com.br                           ")</f>
        <v>carlomanomaciel@yahoo.com.br                           </v>
      </c>
      <c r="O2403" s="11">
        <f>IFERROR(__xludf.DUMMYFUNCTION("""COMPUTED_VALUE"""),86838466449)</f>
        <v>86838466449</v>
      </c>
      <c r="P2403" s="11"/>
      <c r="Q2403" s="11"/>
      <c r="R2403" s="11"/>
      <c r="S2403" s="11"/>
      <c r="T2403" s="11"/>
      <c r="U2403" s="11"/>
      <c r="V2403" s="11"/>
      <c r="W2403" s="11"/>
      <c r="X2403" s="11"/>
      <c r="Y2403" s="11"/>
      <c r="Z2403" s="11"/>
    </row>
    <row r="2404" customHeight="1" spans="1:26">
      <c r="A2404" s="11" t="str">
        <f>IFERROR(__xludf.DUMMYFUNCTION("""COMPUTED_VALUE"""),"FABIO NEUMANN KAUFFMAN")</f>
        <v>FABIO NEUMANN KAUFFMAN</v>
      </c>
      <c r="B2404" s="11"/>
      <c r="C2404" s="11"/>
      <c r="D2404" s="11" t="str">
        <f>IFERROR(__xludf.DUMMYFUNCTION("""COMPUTED_VALUE"""),"ORTOPEDIA E TRAUMATOLOGIA")</f>
        <v>ORTOPEDIA E TRAUMATOLOGIA</v>
      </c>
      <c r="E2404" s="11"/>
      <c r="F2404" s="11" t="str">
        <f>IFERROR(__xludf.DUMMYFUNCTION("""COMPUTED_VALUE"""),"US_169 POLICLINICA AMAURY COUTINHO")</f>
        <v>US_169 POLICLINICA AMAURY COUTINHO</v>
      </c>
      <c r="G2404" s="11" t="str">
        <f>IFERROR(__xludf.DUMMYFUNCTION("""COMPUTED_VALUE"""),"US_318 CAPS CPTRA CENTRO DE PREV TRAT E REAB DE ALCOOLISMO")</f>
        <v>US_318 CAPS CPTRA CENTRO DE PREV TRAT E REAB DE ALCOOLISMO</v>
      </c>
      <c r="H2404" s="11"/>
      <c r="I2404" s="11"/>
      <c r="J2404" s="11"/>
      <c r="K2404" s="11"/>
      <c r="L2404" s="11"/>
      <c r="M2404" s="11"/>
      <c r="N2404" s="30" t="str">
        <f>IFERROR(__xludf.DUMMYFUNCTION("""COMPUTED_VALUE"""),"fkauffman@terra.com.br                                 ")</f>
        <v>fkauffman@terra.com.br                                 </v>
      </c>
      <c r="O2404" s="11">
        <f>IFERROR(__xludf.DUMMYFUNCTION("""COMPUTED_VALUE"""),2382217413)</f>
        <v>2382217413</v>
      </c>
      <c r="P2404" s="11"/>
      <c r="Q2404" s="11"/>
      <c r="R2404" s="11"/>
      <c r="S2404" s="11"/>
      <c r="T2404" s="11"/>
      <c r="U2404" s="11"/>
      <c r="V2404" s="11"/>
      <c r="W2404" s="11"/>
      <c r="X2404" s="11"/>
      <c r="Y2404" s="11"/>
      <c r="Z2404" s="11"/>
    </row>
    <row r="2405" customHeight="1" spans="1:26">
      <c r="A2405" s="11" t="str">
        <f>IFERROR(__xludf.DUMMYFUNCTION("""COMPUTED_VALUE"""),"ROBERTA T B DE S BARBOSA")</f>
        <v>ROBERTA T B DE S BARBOSA</v>
      </c>
      <c r="B2405" s="11"/>
      <c r="C2405" s="11"/>
      <c r="D2405" s="11" t="str">
        <f>IFERROR(__xludf.DUMMYFUNCTION("""COMPUTED_VALUE"""),"CLINICA GERAL")</f>
        <v>CLINICA GERAL</v>
      </c>
      <c r="E2405" s="11"/>
      <c r="F2405" s="11" t="str">
        <f>IFERROR(__xludf.DUMMYFUNCTION("""COMPUTED_VALUE"""),"US_169 POLICLINICA AMAURY COUTINHO")</f>
        <v>US_169 POLICLINICA AMAURY COUTINHO</v>
      </c>
      <c r="G2405" s="11" t="str">
        <f>IFERROR(__xludf.DUMMYFUNCTION("""COMPUTED_VALUE"""),"US_335 CAPS AD ESTACAO VICENTE ARAUJO")</f>
        <v>US_335 CAPS AD ESTACAO VICENTE ARAUJO</v>
      </c>
      <c r="H2405" s="11"/>
      <c r="I2405" s="11"/>
      <c r="J2405" s="11"/>
      <c r="K2405" s="11"/>
      <c r="L2405" s="11"/>
      <c r="M2405" s="11"/>
      <c r="N2405" s="30" t="str">
        <f>IFERROR(__xludf.DUMMYFUNCTION("""COMPUTED_VALUE"""),"robertab@gmail.com")</f>
        <v>robertab@gmail.com</v>
      </c>
      <c r="O2405" s="11">
        <f>IFERROR(__xludf.DUMMYFUNCTION("""COMPUTED_VALUE"""),3304691421)</f>
        <v>3304691421</v>
      </c>
      <c r="P2405" s="11"/>
      <c r="Q2405" s="11"/>
      <c r="R2405" s="11"/>
      <c r="S2405" s="11"/>
      <c r="T2405" s="11"/>
      <c r="U2405" s="11"/>
      <c r="V2405" s="11"/>
      <c r="W2405" s="11"/>
      <c r="X2405" s="11"/>
      <c r="Y2405" s="11"/>
      <c r="Z2405" s="11"/>
    </row>
    <row r="2406" customHeight="1" spans="1:26">
      <c r="A2406" s="11" t="str">
        <f>IFERROR(__xludf.DUMMYFUNCTION("""COMPUTED_VALUE"""),"GUILHERME DIDIER DE A LIMA")</f>
        <v>GUILHERME DIDIER DE A LIMA</v>
      </c>
      <c r="B2406" s="11"/>
      <c r="C2406" s="11"/>
      <c r="D2406" s="11" t="str">
        <f>IFERROR(__xludf.DUMMYFUNCTION("""COMPUTED_VALUE"""),"ORTOPEDIA E TRAUMATOLOGIA")</f>
        <v>ORTOPEDIA E TRAUMATOLOGIA</v>
      </c>
      <c r="E2406" s="11"/>
      <c r="F2406" s="11" t="str">
        <f>IFERROR(__xludf.DUMMYFUNCTION("""COMPUTED_VALUE"""),"US_169 POLICLINICA AMAURY COUTINHO")</f>
        <v>US_169 POLICLINICA AMAURY COUTINHO</v>
      </c>
      <c r="G2406" s="11" t="str">
        <f>IFERROR(__xludf.DUMMYFUNCTION("""COMPUTED_VALUE"""),"US_306 CAPS AD PROF LUIZ CERQUEIRA")</f>
        <v>US_306 CAPS AD PROF LUIZ CERQUEIRA</v>
      </c>
      <c r="H2406" s="11"/>
      <c r="I2406" s="11"/>
      <c r="J2406" s="11"/>
      <c r="K2406" s="11"/>
      <c r="L2406" s="11"/>
      <c r="M2406" s="11"/>
      <c r="N2406" s="30" t="str">
        <f>IFERROR(__xludf.DUMMYFUNCTION("""COMPUTED_VALUE"""),"guilhermedidier@yahoo.com.br                           ")</f>
        <v>guilhermedidier@yahoo.com.br                           </v>
      </c>
      <c r="O2406" s="11">
        <f>IFERROR(__xludf.DUMMYFUNCTION("""COMPUTED_VALUE"""),2676308408)</f>
        <v>2676308408</v>
      </c>
      <c r="P2406" s="11"/>
      <c r="Q2406" s="11"/>
      <c r="R2406" s="11"/>
      <c r="S2406" s="11"/>
      <c r="T2406" s="11"/>
      <c r="U2406" s="11"/>
      <c r="V2406" s="11"/>
      <c r="W2406" s="11"/>
      <c r="X2406" s="11"/>
      <c r="Y2406" s="11"/>
      <c r="Z2406" s="11"/>
    </row>
    <row r="2407" customHeight="1" spans="1:26">
      <c r="A2407" s="11" t="str">
        <f>IFERROR(__xludf.DUMMYFUNCTION("""COMPUTED_VALUE"""),"ROMERO MONTENEGRO NERY")</f>
        <v>ROMERO MONTENEGRO NERY</v>
      </c>
      <c r="B2407" s="11"/>
      <c r="C2407" s="11"/>
      <c r="D2407" s="11" t="str">
        <f>IFERROR(__xludf.DUMMYFUNCTION("""COMPUTED_VALUE"""),"ORTOPEDIA E TRAUMATOLOGIA")</f>
        <v>ORTOPEDIA E TRAUMATOLOGIA</v>
      </c>
      <c r="E2407" s="11"/>
      <c r="F2407" s="11" t="str">
        <f>IFERROR(__xludf.DUMMYFUNCTION("""COMPUTED_VALUE"""),"US_169 POLICLINICA AMAURY COUTINHO")</f>
        <v>US_169 POLICLINICA AMAURY COUTINHO</v>
      </c>
      <c r="G2407" s="11" t="str">
        <f>IFERROR(__xludf.DUMMYFUNCTION("""COMPUTED_VALUE"""),"US_348 CAPS BOA VISTA ")</f>
        <v>US_348 CAPS BOA VISTA </v>
      </c>
      <c r="H2407" s="11"/>
      <c r="I2407" s="11"/>
      <c r="J2407" s="11"/>
      <c r="K2407" s="11"/>
      <c r="L2407" s="11"/>
      <c r="M2407" s="11"/>
      <c r="N2407" s="30" t="str">
        <f>IFERROR(__xludf.DUMMYFUNCTION("""COMPUTED_VALUE"""),"romeromnery@hotmail.com                                ")</f>
        <v>romeromnery@hotmail.com                                </v>
      </c>
      <c r="O2407" s="11">
        <f>IFERROR(__xludf.DUMMYFUNCTION("""COMPUTED_VALUE"""),2819804462)</f>
        <v>2819804462</v>
      </c>
      <c r="P2407" s="11"/>
      <c r="Q2407" s="11"/>
      <c r="R2407" s="11"/>
      <c r="S2407" s="11"/>
      <c r="T2407" s="11"/>
      <c r="U2407" s="11"/>
      <c r="V2407" s="11"/>
      <c r="W2407" s="11"/>
      <c r="X2407" s="11"/>
      <c r="Y2407" s="11"/>
      <c r="Z2407" s="11"/>
    </row>
    <row r="2408" customHeight="1" spans="1:26">
      <c r="A2408" s="11" t="str">
        <f>IFERROR(__xludf.DUMMYFUNCTION("""COMPUTED_VALUE"""),"TEREZA ARRAES DE A PINHEIRO")</f>
        <v>TEREZA ARRAES DE A PINHEIRO</v>
      </c>
      <c r="B2408" s="11"/>
      <c r="C2408" s="11"/>
      <c r="D2408" s="11" t="str">
        <f>IFERROR(__xludf.DUMMYFUNCTION("""COMPUTED_VALUE"""),"PEDIATRIA")</f>
        <v>PEDIATRIA</v>
      </c>
      <c r="E2408" s="11"/>
      <c r="F2408" s="11" t="str">
        <f>IFERROR(__xludf.DUMMYFUNCTION("""COMPUTED_VALUE"""),"US_169 POLICLINICA AMAURY COUTINHO")</f>
        <v>US_169 POLICLINICA AMAURY COUTINHO</v>
      </c>
      <c r="G2408" s="11" t="str">
        <f>IFERROR(__xludf.DUMMYFUNCTION("""COMPUTED_VALUE"""),"US_306 CAPS AD PROF LUIZ CERQUEIRA")</f>
        <v>US_306 CAPS AD PROF LUIZ CERQUEIRA</v>
      </c>
      <c r="H2408" s="11"/>
      <c r="I2408" s="11"/>
      <c r="J2408" s="11"/>
      <c r="K2408" s="11"/>
      <c r="L2408" s="11"/>
      <c r="M2408" s="11"/>
      <c r="N2408" s="30" t="str">
        <f>IFERROR(__xludf.DUMMYFUNCTION("""COMPUTED_VALUE"""),"taapinheiro@gmail.com")</f>
        <v>taapinheiro@gmail.com</v>
      </c>
      <c r="O2408" s="11">
        <f>IFERROR(__xludf.DUMMYFUNCTION("""COMPUTED_VALUE"""),3821410400)</f>
        <v>3821410400</v>
      </c>
      <c r="P2408" s="11"/>
      <c r="Q2408" s="11"/>
      <c r="R2408" s="11"/>
      <c r="S2408" s="11"/>
      <c r="T2408" s="11"/>
      <c r="U2408" s="11"/>
      <c r="V2408" s="11"/>
      <c r="W2408" s="11"/>
      <c r="X2408" s="11"/>
      <c r="Y2408" s="11"/>
      <c r="Z2408" s="11"/>
    </row>
    <row r="2409" customHeight="1" spans="1:26">
      <c r="A2409" s="11" t="str">
        <f>IFERROR(__xludf.DUMMYFUNCTION("""COMPUTED_VALUE"""),"NELIA CHRISTINE M DE F TINOCO")</f>
        <v>NELIA CHRISTINE M DE F TINOCO</v>
      </c>
      <c r="B2409" s="11"/>
      <c r="C2409" s="11"/>
      <c r="D2409" s="11" t="str">
        <f>IFERROR(__xludf.DUMMYFUNCTION("""COMPUTED_VALUE"""),"PNEUMOLOGIA")</f>
        <v>PNEUMOLOGIA</v>
      </c>
      <c r="E2409" s="11"/>
      <c r="F2409" s="11" t="str">
        <f>IFERROR(__xludf.DUMMYFUNCTION("""COMPUTED_VALUE"""),"US_159 POLICLINICA AGAMENON MAGALHAES")</f>
        <v>US_159 POLICLINICA AGAMENON MAGALHAES</v>
      </c>
      <c r="G2409" s="11" t="str">
        <f>IFERROR(__xludf.DUMMYFUNCTION("""COMPUTED_VALUE"""),"US_170 CAPS DR GALDINO LORETO")</f>
        <v>US_170 CAPS DR GALDINO LORETO</v>
      </c>
      <c r="H2409" s="11"/>
      <c r="I2409" s="11"/>
      <c r="J2409" s="11"/>
      <c r="K2409" s="11"/>
      <c r="L2409" s="11"/>
      <c r="M2409" s="11"/>
      <c r="N2409" s="30" t="str">
        <f>IFERROR(__xludf.DUMMYFUNCTION("""COMPUTED_VALUE"""),"neliatinoco@oi.com.br")</f>
        <v>neliatinoco@oi.com.br</v>
      </c>
      <c r="O2409" s="11">
        <f>IFERROR(__xludf.DUMMYFUNCTION("""COMPUTED_VALUE"""),63047896453)</f>
        <v>63047896453</v>
      </c>
      <c r="P2409" s="11"/>
      <c r="Q2409" s="11"/>
      <c r="R2409" s="11"/>
      <c r="S2409" s="11"/>
      <c r="T2409" s="11"/>
      <c r="U2409" s="11"/>
      <c r="V2409" s="11"/>
      <c r="W2409" s="11"/>
      <c r="X2409" s="11"/>
      <c r="Y2409" s="11"/>
      <c r="Z2409" s="11"/>
    </row>
    <row r="2410" customHeight="1" spans="1:26">
      <c r="A2410" s="11" t="str">
        <f>IFERROR(__xludf.DUMMYFUNCTION("""COMPUTED_VALUE"""),"LEONARDO VELOSO V DA CUNHA")</f>
        <v>LEONARDO VELOSO V DA CUNHA</v>
      </c>
      <c r="B2410" s="11"/>
      <c r="C2410" s="11"/>
      <c r="D2410" s="11" t="str">
        <f>IFERROR(__xludf.DUMMYFUNCTION("""COMPUTED_VALUE"""),"ORTOPEDIA E TRAUMATOLOGIA")</f>
        <v>ORTOPEDIA E TRAUMATOLOGIA</v>
      </c>
      <c r="E2410" s="11"/>
      <c r="F2410" s="11" t="str">
        <f>IFERROR(__xludf.DUMMYFUNCTION("""COMPUTED_VALUE"""),"US_169 POLICLINICA AMAURY COUTINHO")</f>
        <v>US_169 POLICLINICA AMAURY COUTINHO</v>
      </c>
      <c r="G2410" s="11" t="str">
        <f>IFERROR(__xludf.DUMMYFUNCTION("""COMPUTED_VALUE"""),"US_318 CAPS CPTRA CENTRO DE PREV TRAT E REAB DE ALCOOLISMO")</f>
        <v>US_318 CAPS CPTRA CENTRO DE PREV TRAT E REAB DE ALCOOLISMO</v>
      </c>
      <c r="H2410" s="11"/>
      <c r="I2410" s="11"/>
      <c r="J2410" s="11"/>
      <c r="K2410" s="11"/>
      <c r="L2410" s="11"/>
      <c r="M2410" s="11"/>
      <c r="N2410" s="30" t="str">
        <f>IFERROR(__xludf.DUMMYFUNCTION("""COMPUTED_VALUE"""),"leovvc@yahoo.com.br")</f>
        <v>leovvc@yahoo.com.br</v>
      </c>
      <c r="O2410" s="11">
        <f>IFERROR(__xludf.DUMMYFUNCTION("""COMPUTED_VALUE"""),4241786480)</f>
        <v>4241786480</v>
      </c>
      <c r="P2410" s="11"/>
      <c r="Q2410" s="11"/>
      <c r="R2410" s="11"/>
      <c r="S2410" s="11"/>
      <c r="T2410" s="11"/>
      <c r="U2410" s="11"/>
      <c r="V2410" s="11"/>
      <c r="W2410" s="11"/>
      <c r="X2410" s="11"/>
      <c r="Y2410" s="11"/>
      <c r="Z2410" s="11"/>
    </row>
    <row r="2411" customHeight="1" spans="1:26">
      <c r="A2411" s="11" t="str">
        <f>IFERROR(__xludf.DUMMYFUNCTION("""COMPUTED_VALUE"""),"CRYSTIAN PEDROSA  FERREIRA")</f>
        <v>CRYSTIAN PEDROSA  FERREIRA</v>
      </c>
      <c r="B2411" s="11"/>
      <c r="C2411" s="11"/>
      <c r="D2411" s="11" t="str">
        <f>IFERROR(__xludf.DUMMYFUNCTION("""COMPUTED_VALUE"""),"ORTOPEDIA E TRAUMATOLOGIA")</f>
        <v>ORTOPEDIA E TRAUMATOLOGIA</v>
      </c>
      <c r="E2411" s="11"/>
      <c r="F2411" s="11" t="str">
        <f>IFERROR(__xludf.DUMMYFUNCTION("""COMPUTED_VALUE"""),"US_169 POLICLINICA AMAURY COUTINHO")</f>
        <v>US_169 POLICLINICA AMAURY COUTINHO</v>
      </c>
      <c r="G2411" s="11" t="str">
        <f>IFERROR(__xludf.DUMMYFUNCTION("""COMPUTED_VALUE"""),"US_170 CAPS DR GALDINO LORETO")</f>
        <v>US_170 CAPS DR GALDINO LORETO</v>
      </c>
      <c r="H2411" s="11"/>
      <c r="I2411" s="11"/>
      <c r="J2411" s="11"/>
      <c r="K2411" s="11"/>
      <c r="L2411" s="11"/>
      <c r="M2411" s="11"/>
      <c r="N2411" s="30" t="str">
        <f>IFERROR(__xludf.DUMMYFUNCTION("""COMPUTED_VALUE"""),"crystianpedrosa@gmail.com")</f>
        <v>crystianpedrosa@gmail.com</v>
      </c>
      <c r="O2411" s="11">
        <f>IFERROR(__xludf.DUMMYFUNCTION("""COMPUTED_VALUE"""),2500012417)</f>
        <v>2500012417</v>
      </c>
      <c r="P2411" s="11"/>
      <c r="Q2411" s="11"/>
      <c r="R2411" s="11"/>
      <c r="S2411" s="11"/>
      <c r="T2411" s="11"/>
      <c r="U2411" s="11"/>
      <c r="V2411" s="11"/>
      <c r="W2411" s="11"/>
      <c r="X2411" s="11"/>
      <c r="Y2411" s="11"/>
      <c r="Z2411" s="11"/>
    </row>
    <row r="2412" customHeight="1" spans="1:26">
      <c r="A2412" s="11" t="str">
        <f>IFERROR(__xludf.DUMMYFUNCTION("""COMPUTED_VALUE"""),"ADNA RAMOS DA COSTA")</f>
        <v>ADNA RAMOS DA COSTA</v>
      </c>
      <c r="B2412" s="11"/>
      <c r="C2412" s="11"/>
      <c r="D2412" s="11" t="str">
        <f>IFERROR(__xludf.DUMMYFUNCTION("""COMPUTED_VALUE"""),"OBSTETRICIA / TOCOGINECOLOGIA")</f>
        <v>OBSTETRICIA / TOCOGINECOLOGIA</v>
      </c>
      <c r="E2412" s="11"/>
      <c r="F2412" s="11" t="str">
        <f>IFERROR(__xludf.DUMMYFUNCTION("""COMPUTED_VALUE"""),"US_159 POLICLINICA AGAMENON MAGALHAES")</f>
        <v>US_159 POLICLINICA AGAMENON MAGALHAES</v>
      </c>
      <c r="G2412" s="11" t="str">
        <f>IFERROR(__xludf.DUMMYFUNCTION("""COMPUTED_VALUE"""),"US_308 CAPS PROF ZALDO ROCHA")</f>
        <v>US_308 CAPS PROF ZALDO ROCHA</v>
      </c>
      <c r="H2412" s="11"/>
      <c r="I2412" s="11"/>
      <c r="J2412" s="11"/>
      <c r="K2412" s="11"/>
      <c r="L2412" s="11"/>
      <c r="M2412" s="11"/>
      <c r="N2412" s="30" t="str">
        <f>IFERROR(__xludf.DUMMYFUNCTION("""COMPUTED_VALUE"""),"ARCOSTA1704@GMAIL.COM")</f>
        <v>ARCOSTA1704@GMAIL.COM</v>
      </c>
      <c r="O2412" s="11">
        <f>IFERROR(__xludf.DUMMYFUNCTION("""COMPUTED_VALUE"""),12607053404)</f>
        <v>12607053404</v>
      </c>
      <c r="P2412" s="11"/>
      <c r="Q2412" s="11"/>
      <c r="R2412" s="11"/>
      <c r="S2412" s="11"/>
      <c r="T2412" s="11"/>
      <c r="U2412" s="11"/>
      <c r="V2412" s="11"/>
      <c r="W2412" s="11"/>
      <c r="X2412" s="11"/>
      <c r="Y2412" s="11"/>
      <c r="Z2412" s="11"/>
    </row>
    <row r="2413" customHeight="1" spans="1:26">
      <c r="A2413" s="11" t="str">
        <f>IFERROR(__xludf.DUMMYFUNCTION("""COMPUTED_VALUE"""),"MABLI BENEVIDES SOUZA DE MELO")</f>
        <v>MABLI BENEVIDES SOUZA DE MELO</v>
      </c>
      <c r="B2413" s="11"/>
      <c r="C2413" s="11"/>
      <c r="D2413" s="11" t="str">
        <f>IFERROR(__xludf.DUMMYFUNCTION("""COMPUTED_VALUE"""),"PEDIATRIA")</f>
        <v>PEDIATRIA</v>
      </c>
      <c r="E2413" s="11"/>
      <c r="F2413" s="11" t="str">
        <f>IFERROR(__xludf.DUMMYFUNCTION("""COMPUTED_VALUE"""),"US_169 POLICLINICA AMAURY COUTINHO")</f>
        <v>US_169 POLICLINICA AMAURY COUTINHO</v>
      </c>
      <c r="G2413" s="11" t="str">
        <f>IFERROR(__xludf.DUMMYFUNCTION("""COMPUTED_VALUE"""),"US_277 CAPS ESPERANCA")</f>
        <v>US_277 CAPS ESPERANCA</v>
      </c>
      <c r="H2413" s="11"/>
      <c r="I2413" s="11"/>
      <c r="J2413" s="11"/>
      <c r="K2413" s="11"/>
      <c r="L2413" s="11"/>
      <c r="M2413" s="11"/>
      <c r="N2413" s="30" t="str">
        <f>IFERROR(__xludf.DUMMYFUNCTION("""COMPUTED_VALUE"""),"mablibsmelo@gmail.com")</f>
        <v>mablibsmelo@gmail.com</v>
      </c>
      <c r="O2413" s="11">
        <f>IFERROR(__xludf.DUMMYFUNCTION("""COMPUTED_VALUE"""),4607618462)</f>
        <v>4607618462</v>
      </c>
      <c r="P2413" s="11"/>
      <c r="Q2413" s="11"/>
      <c r="R2413" s="11"/>
      <c r="S2413" s="11"/>
      <c r="T2413" s="11"/>
      <c r="U2413" s="11"/>
      <c r="V2413" s="11"/>
      <c r="W2413" s="11"/>
      <c r="X2413" s="11"/>
      <c r="Y2413" s="11"/>
      <c r="Z2413" s="11"/>
    </row>
    <row r="2414" customHeight="1" spans="1:26">
      <c r="A2414" s="11" t="str">
        <f>IFERROR(__xludf.DUMMYFUNCTION("""COMPUTED_VALUE"""),"PRISCILLA BARBOSA ARAUJO")</f>
        <v>PRISCILLA BARBOSA ARAUJO</v>
      </c>
      <c r="B2414" s="11"/>
      <c r="C2414" s="11"/>
      <c r="D2414" s="11" t="str">
        <f>IFERROR(__xludf.DUMMYFUNCTION("""COMPUTED_VALUE"""),"CLINICA GERAL")</f>
        <v>CLINICA GERAL</v>
      </c>
      <c r="E2414" s="11"/>
      <c r="F2414" s="11" t="str">
        <f>IFERROR(__xludf.DUMMYFUNCTION("""COMPUTED_VALUE"""),"US_169 POLICLINICA AMAURY COUTINHO")</f>
        <v>US_169 POLICLINICA AMAURY COUTINHO</v>
      </c>
      <c r="G2414" s="11" t="str">
        <f>IFERROR(__xludf.DUMMYFUNCTION("""COMPUTED_VALUE"""),"US_170 CAPS DR GALDINO LORETO")</f>
        <v>US_170 CAPS DR GALDINO LORETO</v>
      </c>
      <c r="H2414" s="11"/>
      <c r="I2414" s="11"/>
      <c r="J2414" s="11"/>
      <c r="K2414" s="11"/>
      <c r="L2414" s="11"/>
      <c r="M2414" s="11"/>
      <c r="N2414" s="30" t="str">
        <f>IFERROR(__xludf.DUMMYFUNCTION("""COMPUTED_VALUE"""),"priscillabarbosaaraujo@gmail.com")</f>
        <v>priscillabarbosaaraujo@gmail.com</v>
      </c>
      <c r="O2414" s="11">
        <f>IFERROR(__xludf.DUMMYFUNCTION("""COMPUTED_VALUE"""),5365508408)</f>
        <v>5365508408</v>
      </c>
      <c r="P2414" s="11"/>
      <c r="Q2414" s="11"/>
      <c r="R2414" s="11"/>
      <c r="S2414" s="11"/>
      <c r="T2414" s="11"/>
      <c r="U2414" s="11"/>
      <c r="V2414" s="11"/>
      <c r="W2414" s="11"/>
      <c r="X2414" s="11"/>
      <c r="Y2414" s="11"/>
      <c r="Z2414" s="11"/>
    </row>
    <row r="2415" customHeight="1" spans="1:26">
      <c r="A2415" s="11" t="str">
        <f>IFERROR(__xludf.DUMMYFUNCTION("""COMPUTED_VALUE"""),"ESTEVAM MIGUEL DA SILVA NETO")</f>
        <v>ESTEVAM MIGUEL DA SILVA NETO</v>
      </c>
      <c r="B2415" s="11"/>
      <c r="C2415" s="11"/>
      <c r="D2415" s="11" t="str">
        <f>IFERROR(__xludf.DUMMYFUNCTION("""COMPUTED_VALUE"""),"NEFROLOGIA")</f>
        <v>NEFROLOGIA</v>
      </c>
      <c r="E2415" s="11"/>
      <c r="F2415" s="11" t="str">
        <f>IFERROR(__xludf.DUMMYFUNCTION("""COMPUTED_VALUE"""),"US_159 POLICLINICA AGAMENON MAGALHAES")</f>
        <v>US_159 POLICLINICA AGAMENON MAGALHAES</v>
      </c>
      <c r="G2415" s="11" t="str">
        <f>IFERROR(__xludf.DUMMYFUNCTION("""COMPUTED_VALUE"""),"US_330 CAPS ESPACO LIVREMENTE")</f>
        <v>US_330 CAPS ESPACO LIVREMENTE</v>
      </c>
      <c r="H2415" s="11"/>
      <c r="I2415" s="11"/>
      <c r="J2415" s="11"/>
      <c r="K2415" s="11"/>
      <c r="L2415" s="11"/>
      <c r="M2415" s="11"/>
      <c r="N2415" s="30" t="str">
        <f>IFERROR(__xludf.DUMMYFUNCTION("""COMPUTED_VALUE"""),"estevam.sn@gmail.com")</f>
        <v>estevam.sn@gmail.com</v>
      </c>
      <c r="O2415" s="11">
        <f>IFERROR(__xludf.DUMMYFUNCTION("""COMPUTED_VALUE"""),3936942404)</f>
        <v>3936942404</v>
      </c>
      <c r="P2415" s="11"/>
      <c r="Q2415" s="11"/>
      <c r="R2415" s="11"/>
      <c r="S2415" s="11"/>
      <c r="T2415" s="11"/>
      <c r="U2415" s="11"/>
      <c r="V2415" s="11"/>
      <c r="W2415" s="11"/>
      <c r="X2415" s="11"/>
      <c r="Y2415" s="11"/>
      <c r="Z2415" s="11"/>
    </row>
    <row r="2416" customHeight="1" spans="1:26">
      <c r="A2416" s="11" t="str">
        <f>IFERROR(__xludf.DUMMYFUNCTION("""COMPUTED_VALUE"""),"MANUELA VANDERLEI C DE S BASTO")</f>
        <v>MANUELA VANDERLEI C DE S BASTO</v>
      </c>
      <c r="B2416" s="11"/>
      <c r="C2416" s="11"/>
      <c r="D2416" s="11" t="str">
        <f>IFERROR(__xludf.DUMMYFUNCTION("""COMPUTED_VALUE"""),"NUTROLOGIA")</f>
        <v>NUTROLOGIA</v>
      </c>
      <c r="E2416" s="11"/>
      <c r="F2416" s="11" t="str">
        <f>IFERROR(__xludf.DUMMYFUNCTION("""COMPUTED_VALUE"""),"US_159 POLICLINICA AGAMENON MAGALHAES")</f>
        <v>US_159 POLICLINICA AGAMENON MAGALHAES</v>
      </c>
      <c r="G2416" s="11" t="str">
        <f>IFERROR(__xludf.DUMMYFUNCTION("""COMPUTED_VALUE"""),"US_306 CAPS AD PROF LUIZ CERQUEIRA")</f>
        <v>US_306 CAPS AD PROF LUIZ CERQUEIRA</v>
      </c>
      <c r="H2416" s="11"/>
      <c r="I2416" s="11"/>
      <c r="J2416" s="11"/>
      <c r="K2416" s="11"/>
      <c r="L2416" s="11"/>
      <c r="M2416" s="11"/>
      <c r="N2416" s="30" t="str">
        <f>IFERROR(__xludf.DUMMYFUNCTION("""COMPUTED_VALUE"""),"manuelavanderlei@gmail.com")</f>
        <v>manuelavanderlei@gmail.com</v>
      </c>
      <c r="O2416" s="11">
        <f>IFERROR(__xludf.DUMMYFUNCTION("""COMPUTED_VALUE"""),5254056401)</f>
        <v>5254056401</v>
      </c>
      <c r="P2416" s="11"/>
      <c r="Q2416" s="11"/>
      <c r="R2416" s="11"/>
      <c r="S2416" s="11"/>
      <c r="T2416" s="11"/>
      <c r="U2416" s="11"/>
      <c r="V2416" s="11"/>
      <c r="W2416" s="11"/>
      <c r="X2416" s="11"/>
      <c r="Y2416" s="11"/>
      <c r="Z2416" s="11"/>
    </row>
    <row r="2417" customHeight="1" spans="1:26">
      <c r="A2417" s="11" t="str">
        <f>IFERROR(__xludf.DUMMYFUNCTION("""COMPUTED_VALUE"""),"ROMERO FERRAZ CARIELI")</f>
        <v>ROMERO FERRAZ CARIELI</v>
      </c>
      <c r="B2417" s="11"/>
      <c r="C2417" s="11"/>
      <c r="D2417" s="11" t="str">
        <f>IFERROR(__xludf.DUMMYFUNCTION("""COMPUTED_VALUE"""),"ANESTESIOLOGIA")</f>
        <v>ANESTESIOLOGIA</v>
      </c>
      <c r="E2417" s="11"/>
      <c r="F2417" s="11" t="str">
        <f>IFERROR(__xludf.DUMMYFUNCTION("""COMPUTED_VALUE"""),"US_159 POLICLINICA AGAMENON MAGALHAES")</f>
        <v>US_159 POLICLINICA AGAMENON MAGALHAES</v>
      </c>
      <c r="G2417" s="11" t="str">
        <f>IFERROR(__xludf.DUMMYFUNCTION("""COMPUTED_VALUE"""),"US_343 CAPS CEMPI CENTRO MEDICO PSICO PEDAGOGICO INFANTIL")</f>
        <v>US_343 CAPS CEMPI CENTRO MEDICO PSICO PEDAGOGICO INFANTIL</v>
      </c>
      <c r="H2417" s="11"/>
      <c r="I2417" s="11"/>
      <c r="J2417" s="11"/>
      <c r="K2417" s="11"/>
      <c r="L2417" s="11"/>
      <c r="M2417" s="11"/>
      <c r="N2417" s="30" t="str">
        <f>IFERROR(__xludf.DUMMYFUNCTION("""COMPUTED_VALUE"""),"romeroferrazc@hotmail.com")</f>
        <v>romeroferrazc@hotmail.com</v>
      </c>
      <c r="O2417" s="11">
        <f>IFERROR(__xludf.DUMMYFUNCTION("""COMPUTED_VALUE"""),1314163400)</f>
        <v>1314163400</v>
      </c>
      <c r="P2417" s="11"/>
      <c r="Q2417" s="11"/>
      <c r="R2417" s="11"/>
      <c r="S2417" s="11"/>
      <c r="T2417" s="11"/>
      <c r="U2417" s="11"/>
      <c r="V2417" s="11"/>
      <c r="W2417" s="11"/>
      <c r="X2417" s="11"/>
      <c r="Y2417" s="11"/>
      <c r="Z2417" s="11"/>
    </row>
    <row r="2418" customHeight="1" spans="1:26">
      <c r="A2418" s="11" t="str">
        <f>IFERROR(__xludf.DUMMYFUNCTION("""COMPUTED_VALUE"""),"MELINA TENORIO M COIMBRA")</f>
        <v>MELINA TENORIO M COIMBRA</v>
      </c>
      <c r="B2418" s="11"/>
      <c r="C2418" s="11"/>
      <c r="D2418" s="11" t="str">
        <f>IFERROR(__xludf.DUMMYFUNCTION("""COMPUTED_VALUE"""),"PEDIATRIA")</f>
        <v>PEDIATRIA</v>
      </c>
      <c r="E2418" s="11"/>
      <c r="F2418" s="11" t="str">
        <f>IFERROR(__xludf.DUMMYFUNCTION("""COMPUTED_VALUE"""),"US_169 POLICLINICA AMAURY COUTINHO")</f>
        <v>US_169 POLICLINICA AMAURY COUTINHO</v>
      </c>
      <c r="G2418" s="11" t="str">
        <f>IFERROR(__xludf.DUMMYFUNCTION("""COMPUTED_VALUE"""),"US_308 CAPS PROF ZALDO ROCHA")</f>
        <v>US_308 CAPS PROF ZALDO ROCHA</v>
      </c>
      <c r="H2418" s="11"/>
      <c r="I2418" s="11"/>
      <c r="J2418" s="11"/>
      <c r="K2418" s="11"/>
      <c r="L2418" s="11"/>
      <c r="M2418" s="11"/>
      <c r="N2418" s="30" t="str">
        <f>IFERROR(__xludf.DUMMYFUNCTION("""COMPUTED_VALUE"""),"MELINAEXPOSITO@HOTMAIL.COM")</f>
        <v>MELINAEXPOSITO@HOTMAIL.COM</v>
      </c>
      <c r="O2418" s="11">
        <f>IFERROR(__xludf.DUMMYFUNCTION("""COMPUTED_VALUE"""),4692204494)</f>
        <v>4692204494</v>
      </c>
      <c r="P2418" s="11"/>
      <c r="Q2418" s="11"/>
      <c r="R2418" s="11"/>
      <c r="S2418" s="11"/>
      <c r="T2418" s="11"/>
      <c r="U2418" s="11"/>
      <c r="V2418" s="11"/>
      <c r="W2418" s="11"/>
      <c r="X2418" s="11"/>
      <c r="Y2418" s="11"/>
      <c r="Z2418" s="11"/>
    </row>
    <row r="2419" customHeight="1" spans="1:26">
      <c r="A2419" s="11" t="str">
        <f>IFERROR(__xludf.DUMMYFUNCTION("""COMPUTED_VALUE"""),"ANDRE LUIZ MONTEIRO DOS SANTOS")</f>
        <v>ANDRE LUIZ MONTEIRO DOS SANTOS</v>
      </c>
      <c r="B2419" s="11"/>
      <c r="C2419" s="11"/>
      <c r="D2419" s="11" t="str">
        <f>IFERROR(__xludf.DUMMYFUNCTION("""COMPUTED_VALUE"""),"PSIQUIATRIA")</f>
        <v>PSIQUIATRIA</v>
      </c>
      <c r="E2419" s="11"/>
      <c r="F2419" s="11" t="str">
        <f>IFERROR(__xludf.DUMMYFUNCTION("""COMPUTED_VALUE"""),"US_159 POLICLINICA AGAMENON MAGALHAES")</f>
        <v>US_159 POLICLINICA AGAMENON MAGALHAES</v>
      </c>
      <c r="G2419" s="11" t="str">
        <f>IFERROR(__xludf.DUMMYFUNCTION("""COMPUTED_VALUE"""),"US_330 CAPS ESPACO LIVREMENTE")</f>
        <v>US_330 CAPS ESPACO LIVREMENTE</v>
      </c>
      <c r="H2419" s="11"/>
      <c r="I2419" s="11"/>
      <c r="J2419" s="11"/>
      <c r="K2419" s="11"/>
      <c r="L2419" s="11"/>
      <c r="M2419" s="11"/>
      <c r="N2419" s="30" t="str">
        <f>IFERROR(__xludf.DUMMYFUNCTION("""COMPUTED_VALUE"""),"santospsiquiatra@gmail.com")</f>
        <v>santospsiquiatra@gmail.com</v>
      </c>
      <c r="O2419" s="11">
        <f>IFERROR(__xludf.DUMMYFUNCTION("""COMPUTED_VALUE"""),62321480459)</f>
        <v>62321480459</v>
      </c>
      <c r="P2419" s="11"/>
      <c r="Q2419" s="11"/>
      <c r="R2419" s="11"/>
      <c r="S2419" s="11"/>
      <c r="T2419" s="11"/>
      <c r="U2419" s="11"/>
      <c r="V2419" s="11"/>
      <c r="W2419" s="11"/>
      <c r="X2419" s="11"/>
      <c r="Y2419" s="11"/>
      <c r="Z2419" s="11"/>
    </row>
    <row r="2420" customHeight="1" spans="1:26">
      <c r="A2420" s="11" t="str">
        <f>IFERROR(__xludf.DUMMYFUNCTION("""COMPUTED_VALUE"""),"SUELIA CORREIA MACIEL C BRANCO")</f>
        <v>SUELIA CORREIA MACIEL C BRANCO</v>
      </c>
      <c r="B2420" s="11"/>
      <c r="C2420" s="11"/>
      <c r="D2420" s="11" t="str">
        <f>IFERROR(__xludf.DUMMYFUNCTION("""COMPUTED_VALUE"""),"PEDIATRIA")</f>
        <v>PEDIATRIA</v>
      </c>
      <c r="E2420" s="11"/>
      <c r="F2420" s="11" t="str">
        <f>IFERROR(__xludf.DUMMYFUNCTION("""COMPUTED_VALUE"""),"US_169 POLICLINICA AMAURY COUTINHO")</f>
        <v>US_169 POLICLINICA AMAURY COUTINHO</v>
      </c>
      <c r="G2420" s="11" t="str">
        <f>IFERROR(__xludf.DUMMYFUNCTION("""COMPUTED_VALUE"""),"US_308 CAPS PROF ZALDO ROCHA")</f>
        <v>US_308 CAPS PROF ZALDO ROCHA</v>
      </c>
      <c r="H2420" s="11"/>
      <c r="I2420" s="11"/>
      <c r="J2420" s="11"/>
      <c r="K2420" s="11"/>
      <c r="L2420" s="11"/>
      <c r="M2420" s="11"/>
      <c r="N2420" s="30" t="str">
        <f>IFERROR(__xludf.DUMMYFUNCTION("""COMPUTED_VALUE"""),"sueliamcb@hotmail.com")</f>
        <v>sueliamcb@hotmail.com</v>
      </c>
      <c r="O2420" s="11">
        <f>IFERROR(__xludf.DUMMYFUNCTION("""COMPUTED_VALUE"""),19723830434)</f>
        <v>19723830434</v>
      </c>
      <c r="P2420" s="11"/>
      <c r="Q2420" s="11"/>
      <c r="R2420" s="11"/>
      <c r="S2420" s="11"/>
      <c r="T2420" s="11"/>
      <c r="U2420" s="11"/>
      <c r="V2420" s="11"/>
      <c r="W2420" s="11"/>
      <c r="X2420" s="11"/>
      <c r="Y2420" s="11"/>
      <c r="Z2420" s="11"/>
    </row>
    <row r="2421" customHeight="1" spans="1:26">
      <c r="A2421" s="11" t="str">
        <f>IFERROR(__xludf.DUMMYFUNCTION("""COMPUTED_VALUE"""),"KAMILLA LIBERAL LEITE")</f>
        <v>KAMILLA LIBERAL LEITE</v>
      </c>
      <c r="B2421" s="11"/>
      <c r="C2421" s="11"/>
      <c r="D2421" s="11" t="str">
        <f>IFERROR(__xludf.DUMMYFUNCTION("""COMPUTED_VALUE"""),"CLINICA GERAL")</f>
        <v>CLINICA GERAL</v>
      </c>
      <c r="E2421" s="11"/>
      <c r="F2421" s="11" t="str">
        <f>IFERROR(__xludf.DUMMYFUNCTION("""COMPUTED_VALUE"""),"US_169 POLICLINICA AMAURY COUTINHO")</f>
        <v>US_169 POLICLINICA AMAURY COUTINHO</v>
      </c>
      <c r="G2421" s="11" t="str">
        <f>IFERROR(__xludf.DUMMYFUNCTION("""COMPUTED_VALUE"""),"US_343 CAPS CEMPI CENTRO MEDICO PSICO PEDAGOGICO INFANTIL")</f>
        <v>US_343 CAPS CEMPI CENTRO MEDICO PSICO PEDAGOGICO INFANTIL</v>
      </c>
      <c r="H2421" s="11"/>
      <c r="I2421" s="11"/>
      <c r="J2421" s="11"/>
      <c r="K2421" s="11"/>
      <c r="L2421" s="11"/>
      <c r="M2421" s="11"/>
      <c r="N2421" s="30" t="str">
        <f>IFERROR(__xludf.DUMMYFUNCTION("""COMPUTED_VALUE"""),"kamilla_liberal@hotmail.com")</f>
        <v>kamilla_liberal@hotmail.com</v>
      </c>
      <c r="O2421" s="11">
        <f>IFERROR(__xludf.DUMMYFUNCTION("""COMPUTED_VALUE"""),4929886414)</f>
        <v>4929886414</v>
      </c>
      <c r="P2421" s="11"/>
      <c r="Q2421" s="11"/>
      <c r="R2421" s="11"/>
      <c r="S2421" s="11"/>
      <c r="T2421" s="11"/>
      <c r="U2421" s="11"/>
      <c r="V2421" s="11"/>
      <c r="W2421" s="11"/>
      <c r="X2421" s="11"/>
      <c r="Y2421" s="11"/>
      <c r="Z2421" s="11"/>
    </row>
    <row r="2422" customHeight="1" spans="1:26">
      <c r="A2422" s="11" t="str">
        <f>IFERROR(__xludf.DUMMYFUNCTION("""COMPUTED_VALUE"""),"KARLA MARIA A FELIX MENEZES")</f>
        <v>KARLA MARIA A FELIX MENEZES</v>
      </c>
      <c r="B2422" s="11"/>
      <c r="C2422" s="11"/>
      <c r="D2422" s="11" t="str">
        <f>IFERROR(__xludf.DUMMYFUNCTION("""COMPUTED_VALUE"""),"PEDIATRIA")</f>
        <v>PEDIATRIA</v>
      </c>
      <c r="E2422" s="11"/>
      <c r="F2422" s="11" t="str">
        <f>IFERROR(__xludf.DUMMYFUNCTION("""COMPUTED_VALUE"""),"US_169 POLICLINICA AMAURY COUTINHO")</f>
        <v>US_169 POLICLINICA AMAURY COUTINHO</v>
      </c>
      <c r="G2422" s="11" t="str">
        <f>IFERROR(__xludf.DUMMYFUNCTION("""COMPUTED_VALUE"""),"US_253 CAPS ESPACO VIDA")</f>
        <v>US_253 CAPS ESPACO VIDA</v>
      </c>
      <c r="H2422" s="11"/>
      <c r="I2422" s="11"/>
      <c r="J2422" s="11"/>
      <c r="K2422" s="11"/>
      <c r="L2422" s="11"/>
      <c r="M2422" s="11"/>
      <c r="N2422" s="30" t="str">
        <f>IFERROR(__xludf.DUMMYFUNCTION("""COMPUTED_VALUE"""),"karlamaf@hotmail.com")</f>
        <v>karlamaf@hotmail.com</v>
      </c>
      <c r="O2422" s="11">
        <f>IFERROR(__xludf.DUMMYFUNCTION("""COMPUTED_VALUE"""),5337744461)</f>
        <v>5337744461</v>
      </c>
      <c r="P2422" s="11"/>
      <c r="Q2422" s="11"/>
      <c r="R2422" s="11"/>
      <c r="S2422" s="11"/>
      <c r="T2422" s="11"/>
      <c r="U2422" s="11"/>
      <c r="V2422" s="11"/>
      <c r="W2422" s="11"/>
      <c r="X2422" s="11"/>
      <c r="Y2422" s="11"/>
      <c r="Z2422" s="11"/>
    </row>
    <row r="2423" customHeight="1" spans="1:26">
      <c r="A2423" s="11" t="str">
        <f>IFERROR(__xludf.DUMMYFUNCTION("""COMPUTED_VALUE"""),"MARIA DO ROSARIO N DE BARROS")</f>
        <v>MARIA DO ROSARIO N DE BARROS</v>
      </c>
      <c r="B2423" s="11"/>
      <c r="C2423" s="11"/>
      <c r="D2423" s="11" t="str">
        <f>IFERROR(__xludf.DUMMYFUNCTION("""COMPUTED_VALUE"""),"PEDIATRIA")</f>
        <v>PEDIATRIA</v>
      </c>
      <c r="E2423" s="11"/>
      <c r="F2423" s="11" t="str">
        <f>IFERROR(__xludf.DUMMYFUNCTION("""COMPUTED_VALUE"""),"US_169 POLICLINICA AMAURY COUTINHO")</f>
        <v>US_169 POLICLINICA AMAURY COUTINHO</v>
      </c>
      <c r="G2423" s="11" t="str">
        <f>IFERROR(__xludf.DUMMYFUNCTION("""COMPUTED_VALUE"""),"US_306 CAPS AD PROF LUIZ CERQUEIRA")</f>
        <v>US_306 CAPS AD PROF LUIZ CERQUEIRA</v>
      </c>
      <c r="H2423" s="11"/>
      <c r="I2423" s="11"/>
      <c r="J2423" s="11"/>
      <c r="K2423" s="11"/>
      <c r="L2423" s="11"/>
      <c r="M2423" s="11"/>
      <c r="N2423" s="30" t="str">
        <f>IFERROR(__xludf.DUMMYFUNCTION("""COMPUTED_VALUE"""),"rosario.nemesio@gmail.com")</f>
        <v>rosario.nemesio@gmail.com</v>
      </c>
      <c r="O2423" s="11">
        <f>IFERROR(__xludf.DUMMYFUNCTION("""COMPUTED_VALUE"""),65299159404)</f>
        <v>65299159404</v>
      </c>
      <c r="P2423" s="11"/>
      <c r="Q2423" s="11"/>
      <c r="R2423" s="11"/>
      <c r="S2423" s="11"/>
      <c r="T2423" s="11"/>
      <c r="U2423" s="11"/>
      <c r="V2423" s="11"/>
      <c r="W2423" s="11"/>
      <c r="X2423" s="11"/>
      <c r="Y2423" s="11"/>
      <c r="Z2423" s="11"/>
    </row>
    <row r="2424" customHeight="1" spans="1:26">
      <c r="A2424" s="11" t="str">
        <f>IFERROR(__xludf.DUMMYFUNCTION("""COMPUTED_VALUE"""),"PAULA CRISTINA M P GONCALO")</f>
        <v>PAULA CRISTINA M P GONCALO</v>
      </c>
      <c r="B2424" s="11"/>
      <c r="C2424" s="11"/>
      <c r="D2424" s="11" t="str">
        <f>IFERROR(__xludf.DUMMYFUNCTION("""COMPUTED_VALUE"""),"PEDIATRIA")</f>
        <v>PEDIATRIA</v>
      </c>
      <c r="E2424" s="11"/>
      <c r="F2424" s="11" t="str">
        <f>IFERROR(__xludf.DUMMYFUNCTION("""COMPUTED_VALUE"""),"US_169 POLICLINICA AMAURY COUTINHO")</f>
        <v>US_169 POLICLINICA AMAURY COUTINHO</v>
      </c>
      <c r="G2424" s="11" t="str">
        <f>IFERROR(__xludf.DUMMYFUNCTION("""COMPUTED_VALUE"""),"US_263 CAPS JOSE CARLOS SOUTO")</f>
        <v>US_263 CAPS JOSE CARLOS SOUTO</v>
      </c>
      <c r="H2424" s="11"/>
      <c r="I2424" s="11"/>
      <c r="J2424" s="11"/>
      <c r="K2424" s="11"/>
      <c r="L2424" s="11"/>
      <c r="M2424" s="11"/>
      <c r="N2424" s="30" t="str">
        <f>IFERROR(__xludf.DUMMYFUNCTION("""COMPUTED_VALUE"""),"paulacmpontes@hotmail.com")</f>
        <v>paulacmpontes@hotmail.com</v>
      </c>
      <c r="O2424" s="11">
        <f>IFERROR(__xludf.DUMMYFUNCTION("""COMPUTED_VALUE"""),74573187472)</f>
        <v>74573187472</v>
      </c>
      <c r="P2424" s="11"/>
      <c r="Q2424" s="11"/>
      <c r="R2424" s="11"/>
      <c r="S2424" s="11"/>
      <c r="T2424" s="11"/>
      <c r="U2424" s="11"/>
      <c r="V2424" s="11"/>
      <c r="W2424" s="11"/>
      <c r="X2424" s="11"/>
      <c r="Y2424" s="11"/>
      <c r="Z2424" s="11"/>
    </row>
    <row r="2425" customHeight="1" spans="1:26">
      <c r="A2425" s="11" t="str">
        <f>IFERROR(__xludf.DUMMYFUNCTION("""COMPUTED_VALUE"""),"GEORGE ANTONIO C DE ALENCAR")</f>
        <v>GEORGE ANTONIO C DE ALENCAR</v>
      </c>
      <c r="B2425" s="11"/>
      <c r="C2425" s="11"/>
      <c r="D2425" s="11" t="str">
        <f>IFERROR(__xludf.DUMMYFUNCTION("""COMPUTED_VALUE"""),"ORTOPEDIA E TRAUMATOLOGIA")</f>
        <v>ORTOPEDIA E TRAUMATOLOGIA</v>
      </c>
      <c r="E2425" s="11"/>
      <c r="F2425" s="11" t="str">
        <f>IFERROR(__xludf.DUMMYFUNCTION("""COMPUTED_VALUE"""),"US_169 POLICLINICA AMAURY COUTINHO")</f>
        <v>US_169 POLICLINICA AMAURY COUTINHO</v>
      </c>
      <c r="G2425" s="11" t="str">
        <f>IFERROR(__xludf.DUMMYFUNCTION("""COMPUTED_VALUE"""),"US_330 CAPS ESPACO LIVREMENTE")</f>
        <v>US_330 CAPS ESPACO LIVREMENTE</v>
      </c>
      <c r="H2425" s="11"/>
      <c r="I2425" s="11"/>
      <c r="J2425" s="11"/>
      <c r="K2425" s="11"/>
      <c r="L2425" s="11"/>
      <c r="M2425" s="11"/>
      <c r="N2425" s="30" t="str">
        <f>IFERROR(__xludf.DUMMYFUNCTION("""COMPUTED_VALUE"""),"georgealencar00@yahoo.com.br")</f>
        <v>georgealencar00@yahoo.com.br</v>
      </c>
      <c r="O2425" s="11">
        <f>IFERROR(__xludf.DUMMYFUNCTION("""COMPUTED_VALUE"""),89874463368)</f>
        <v>89874463368</v>
      </c>
      <c r="P2425" s="11"/>
      <c r="Q2425" s="11"/>
      <c r="R2425" s="11"/>
      <c r="S2425" s="11"/>
      <c r="T2425" s="11"/>
      <c r="U2425" s="11"/>
      <c r="V2425" s="11"/>
      <c r="W2425" s="11"/>
      <c r="X2425" s="11"/>
      <c r="Y2425" s="11"/>
      <c r="Z2425" s="11"/>
    </row>
    <row r="2426" customHeight="1" spans="1:26">
      <c r="A2426" s="11" t="str">
        <f>IFERROR(__xludf.DUMMYFUNCTION("""COMPUTED_VALUE"""),"BRUNO FERNANDO DE C NOGUEIRA")</f>
        <v>BRUNO FERNANDO DE C NOGUEIRA</v>
      </c>
      <c r="B2426" s="11"/>
      <c r="C2426" s="11"/>
      <c r="D2426" s="11" t="str">
        <f>IFERROR(__xludf.DUMMYFUNCTION("""COMPUTED_VALUE"""),"ORTOPEDIA E TRAUMATOLOGIA")</f>
        <v>ORTOPEDIA E TRAUMATOLOGIA</v>
      </c>
      <c r="E2426" s="11"/>
      <c r="F2426" s="11" t="str">
        <f>IFERROR(__xludf.DUMMYFUNCTION("""COMPUTED_VALUE"""),"US_169 POLICLINICA AMAURY COUTINHO")</f>
        <v>US_169 POLICLINICA AMAURY COUTINHO</v>
      </c>
      <c r="G2426" s="11" t="str">
        <f>IFERROR(__xludf.DUMMYFUNCTION("""COMPUTED_VALUE"""),"US_306 CAPS AD PROF LUIZ CERQUEIRA")</f>
        <v>US_306 CAPS AD PROF LUIZ CERQUEIRA</v>
      </c>
      <c r="H2426" s="11"/>
      <c r="I2426" s="11"/>
      <c r="J2426" s="11"/>
      <c r="K2426" s="11"/>
      <c r="L2426" s="11"/>
      <c r="M2426" s="11"/>
      <c r="N2426" s="30" t="str">
        <f>IFERROR(__xludf.DUMMYFUNCTION("""COMPUTED_VALUE"""),"brunofcn@yahoo.com.br")</f>
        <v>brunofcn@yahoo.com.br</v>
      </c>
      <c r="O2426" s="11">
        <f>IFERROR(__xludf.DUMMYFUNCTION("""COMPUTED_VALUE"""),5435664470)</f>
        <v>5435664470</v>
      </c>
      <c r="P2426" s="11"/>
      <c r="Q2426" s="11"/>
      <c r="R2426" s="11"/>
      <c r="S2426" s="11"/>
      <c r="T2426" s="11"/>
      <c r="U2426" s="11"/>
      <c r="V2426" s="11"/>
      <c r="W2426" s="11"/>
      <c r="X2426" s="11"/>
      <c r="Y2426" s="11"/>
      <c r="Z2426" s="11"/>
    </row>
    <row r="2427" customHeight="1" spans="1:26">
      <c r="A2427" s="11" t="str">
        <f>IFERROR(__xludf.DUMMYFUNCTION("""COMPUTED_VALUE"""),"CAMILA PINON DE M ZOBY")</f>
        <v>CAMILA PINON DE M ZOBY</v>
      </c>
      <c r="B2427" s="11"/>
      <c r="C2427" s="11"/>
      <c r="D2427" s="11" t="str">
        <f>IFERROR(__xludf.DUMMYFUNCTION("""COMPUTED_VALUE"""),"PEDIATRIA")</f>
        <v>PEDIATRIA</v>
      </c>
      <c r="E2427" s="11"/>
      <c r="F2427" s="11" t="str">
        <f>IFERROR(__xludf.DUMMYFUNCTION("""COMPUTED_VALUE"""),"US_169 POLICLINICA AMAURY COUTINHO")</f>
        <v>US_169 POLICLINICA AMAURY COUTINHO</v>
      </c>
      <c r="G2427" s="11" t="str">
        <f>IFERROR(__xludf.DUMMYFUNCTION("""COMPUTED_VALUE"""),"US_320 CAPS CENTRO EULAMPIO CORDEIRO DE RECUPERACAO HUMANA")</f>
        <v>US_320 CAPS CENTRO EULAMPIO CORDEIRO DE RECUPERACAO HUMANA</v>
      </c>
      <c r="H2427" s="11"/>
      <c r="I2427" s="11"/>
      <c r="J2427" s="11"/>
      <c r="K2427" s="11"/>
      <c r="L2427" s="11"/>
      <c r="M2427" s="11"/>
      <c r="N2427" s="30" t="str">
        <f>IFERROR(__xludf.DUMMYFUNCTION("""COMPUTED_VALUE"""),"camilazoby@hotmail.com")</f>
        <v>camilazoby@hotmail.com</v>
      </c>
      <c r="O2427" s="11">
        <f>IFERROR(__xludf.DUMMYFUNCTION("""COMPUTED_VALUE"""),7149209408)</f>
        <v>7149209408</v>
      </c>
      <c r="P2427" s="11"/>
      <c r="Q2427" s="11"/>
      <c r="R2427" s="11"/>
      <c r="S2427" s="11"/>
      <c r="T2427" s="11"/>
      <c r="U2427" s="11"/>
      <c r="V2427" s="11"/>
      <c r="W2427" s="11"/>
      <c r="X2427" s="11"/>
      <c r="Y2427" s="11"/>
      <c r="Z2427" s="11"/>
    </row>
    <row r="2428" customHeight="1" spans="1:26">
      <c r="A2428" s="11" t="str">
        <f>IFERROR(__xludf.DUMMYFUNCTION("""COMPUTED_VALUE"""),"KARLA SOARES DE M NOGUEIRA")</f>
        <v>KARLA SOARES DE M NOGUEIRA</v>
      </c>
      <c r="B2428" s="11"/>
      <c r="C2428" s="11"/>
      <c r="D2428" s="11" t="str">
        <f>IFERROR(__xludf.DUMMYFUNCTION("""COMPUTED_VALUE"""),"CLINICA GERAL")</f>
        <v>CLINICA GERAL</v>
      </c>
      <c r="E2428" s="11"/>
      <c r="F2428" s="11" t="str">
        <f>IFERROR(__xludf.DUMMYFUNCTION("""COMPUTED_VALUE"""),"US_159 POLICLINICA AGAMENON MAGALHAES")</f>
        <v>US_159 POLICLINICA AGAMENON MAGALHAES</v>
      </c>
      <c r="G2428" s="11" t="str">
        <f>IFERROR(__xludf.DUMMYFUNCTION("""COMPUTED_VALUE"""),"US_348 CAPS BOA VISTA ")</f>
        <v>US_348 CAPS BOA VISTA </v>
      </c>
      <c r="H2428" s="11"/>
      <c r="I2428" s="11"/>
      <c r="J2428" s="11"/>
      <c r="K2428" s="11"/>
      <c r="L2428" s="11"/>
      <c r="M2428" s="11"/>
      <c r="N2428" s="30" t="str">
        <f>IFERROR(__xludf.DUMMYFUNCTION("""COMPUTED_VALUE"""),"drakarlasoares@gmail.com")</f>
        <v>drakarlasoares@gmail.com</v>
      </c>
      <c r="O2428" s="11">
        <f>IFERROR(__xludf.DUMMYFUNCTION("""COMPUTED_VALUE"""),3637368404)</f>
        <v>3637368404</v>
      </c>
      <c r="P2428" s="11"/>
      <c r="Q2428" s="11"/>
      <c r="R2428" s="11"/>
      <c r="S2428" s="11"/>
      <c r="T2428" s="11"/>
      <c r="U2428" s="11"/>
      <c r="V2428" s="11"/>
      <c r="W2428" s="11"/>
      <c r="X2428" s="11"/>
      <c r="Y2428" s="11"/>
      <c r="Z2428" s="11"/>
    </row>
    <row r="2429" customHeight="1" spans="1:26">
      <c r="A2429" s="11" t="str">
        <f>IFERROR(__xludf.DUMMYFUNCTION("""COMPUTED_VALUE"""),"ANTONIO ARLINDO DE MORAIS")</f>
        <v>ANTONIO ARLINDO DE MORAIS</v>
      </c>
      <c r="B2429" s="11"/>
      <c r="C2429" s="11"/>
      <c r="D2429" s="11" t="str">
        <f>IFERROR(__xludf.DUMMYFUNCTION("""COMPUTED_VALUE"""),"NEUROLOGIA")</f>
        <v>NEUROLOGIA</v>
      </c>
      <c r="E2429" s="11"/>
      <c r="F2429" s="11" t="str">
        <f>IFERROR(__xludf.DUMMYFUNCTION("""COMPUTED_VALUE"""),"US_159 POLICLINICA AGAMENON MAGALHAES")</f>
        <v>US_159 POLICLINICA AGAMENON MAGALHAES</v>
      </c>
      <c r="G2429" s="11" t="str">
        <f>IFERROR(__xludf.DUMMYFUNCTION("""COMPUTED_VALUE"""),"US_263 CAPS JOSE CARLOS SOUTO")</f>
        <v>US_263 CAPS JOSE CARLOS SOUTO</v>
      </c>
      <c r="H2429" s="11"/>
      <c r="I2429" s="11"/>
      <c r="J2429" s="11"/>
      <c r="K2429" s="11"/>
      <c r="L2429" s="11"/>
      <c r="M2429" s="11"/>
      <c r="N2429" s="30" t="str">
        <f>IFERROR(__xludf.DUMMYFUNCTION("""COMPUTED_VALUE"""),"arlindomorais@gmail.com")</f>
        <v>arlindomorais@gmail.com</v>
      </c>
      <c r="O2429" s="11">
        <f>IFERROR(__xludf.DUMMYFUNCTION("""COMPUTED_VALUE"""),3127981481)</f>
        <v>3127981481</v>
      </c>
      <c r="P2429" s="11"/>
      <c r="Q2429" s="11"/>
      <c r="R2429" s="11"/>
      <c r="S2429" s="11"/>
      <c r="T2429" s="11"/>
      <c r="U2429" s="11"/>
      <c r="V2429" s="11"/>
      <c r="W2429" s="11"/>
      <c r="X2429" s="11"/>
      <c r="Y2429" s="11"/>
      <c r="Z2429" s="11"/>
    </row>
    <row r="2430" customHeight="1" spans="1:26">
      <c r="A2430" s="11" t="str">
        <f>IFERROR(__xludf.DUMMYFUNCTION("""COMPUTED_VALUE"""),"GABRIEL PRAXEDES DE LIMA")</f>
        <v>GABRIEL PRAXEDES DE LIMA</v>
      </c>
      <c r="B2430" s="11"/>
      <c r="C2430" s="11"/>
      <c r="D2430" s="11" t="str">
        <f>IFERROR(__xludf.DUMMYFUNCTION("""COMPUTED_VALUE"""),"ORTOPEDIA E TRAUMATOLOGIA")</f>
        <v>ORTOPEDIA E TRAUMATOLOGIA</v>
      </c>
      <c r="E2430" s="11"/>
      <c r="F2430" s="11" t="str">
        <f>IFERROR(__xludf.DUMMYFUNCTION("""COMPUTED_VALUE"""),"US_169 POLICLINICA AMAURY COUTINHO")</f>
        <v>US_169 POLICLINICA AMAURY COUTINHO</v>
      </c>
      <c r="G2430" s="11" t="str">
        <f>IFERROR(__xludf.DUMMYFUNCTION("""COMPUTED_VALUE"""),"US_304 CAPS DAVID CAPISTRANO")</f>
        <v>US_304 CAPS DAVID CAPISTRANO</v>
      </c>
      <c r="H2430" s="11"/>
      <c r="I2430" s="11"/>
      <c r="J2430" s="11"/>
      <c r="K2430" s="11"/>
      <c r="L2430" s="11"/>
      <c r="M2430" s="11"/>
      <c r="N2430" s="30" t="str">
        <f>IFERROR(__xludf.DUMMYFUNCTION("""COMPUTED_VALUE"""),"gabriel_praxedes84@hotmail.com")</f>
        <v>gabriel_praxedes84@hotmail.com</v>
      </c>
      <c r="O2430" s="11">
        <f>IFERROR(__xludf.DUMMYFUNCTION("""COMPUTED_VALUE"""),5223173406)</f>
        <v>5223173406</v>
      </c>
      <c r="P2430" s="11"/>
      <c r="Q2430" s="11"/>
      <c r="R2430" s="11"/>
      <c r="S2430" s="11"/>
      <c r="T2430" s="11"/>
      <c r="U2430" s="11"/>
      <c r="V2430" s="11"/>
      <c r="W2430" s="11"/>
      <c r="X2430" s="11"/>
      <c r="Y2430" s="11"/>
      <c r="Z2430" s="11"/>
    </row>
    <row r="2431" customHeight="1" spans="1:26">
      <c r="A2431" s="11" t="str">
        <f>IFERROR(__xludf.DUMMYFUNCTION("""COMPUTED_VALUE"""),"TIAGO MESQUITA MOURA")</f>
        <v>TIAGO MESQUITA MOURA</v>
      </c>
      <c r="B2431" s="11"/>
      <c r="C2431" s="11"/>
      <c r="D2431" s="11" t="str">
        <f>IFERROR(__xludf.DUMMYFUNCTION("""COMPUTED_VALUE"""),"ORTOPEDIA E TRAUMATOLOGIA")</f>
        <v>ORTOPEDIA E TRAUMATOLOGIA</v>
      </c>
      <c r="E2431" s="11"/>
      <c r="F2431" s="11" t="str">
        <f>IFERROR(__xludf.DUMMYFUNCTION("""COMPUTED_VALUE"""),"US_169 POLICLINICA AMAURY COUTINHO")</f>
        <v>US_169 POLICLINICA AMAURY COUTINHO</v>
      </c>
      <c r="G2431" s="11" t="str">
        <f>IFERROR(__xludf.DUMMYFUNCTION("""COMPUTED_VALUE"""),"US_318 CAPS CPTRA CENTRO DE PREV TRAT E REAB DE ALCOOLISMO")</f>
        <v>US_318 CAPS CPTRA CENTRO DE PREV TRAT E REAB DE ALCOOLISMO</v>
      </c>
      <c r="H2431" s="11"/>
      <c r="I2431" s="11"/>
      <c r="J2431" s="11"/>
      <c r="K2431" s="11"/>
      <c r="L2431" s="11"/>
      <c r="M2431" s="11"/>
      <c r="N2431" s="30" t="str">
        <f>IFERROR(__xludf.DUMMYFUNCTION("""COMPUTED_VALUE"""),"mouratiago@yahoo.com.br")</f>
        <v>mouratiago@yahoo.com.br</v>
      </c>
      <c r="O2431" s="11">
        <f>IFERROR(__xludf.DUMMYFUNCTION("""COMPUTED_VALUE"""),82723010325)</f>
        <v>82723010325</v>
      </c>
      <c r="P2431" s="11"/>
      <c r="Q2431" s="11"/>
      <c r="R2431" s="11"/>
      <c r="S2431" s="11"/>
      <c r="T2431" s="11"/>
      <c r="U2431" s="11"/>
      <c r="V2431" s="11"/>
      <c r="W2431" s="11"/>
      <c r="X2431" s="11"/>
      <c r="Y2431" s="11"/>
      <c r="Z2431" s="11"/>
    </row>
    <row r="2432" customHeight="1" spans="1:26">
      <c r="A2432" s="11" t="str">
        <f>IFERROR(__xludf.DUMMYFUNCTION("""COMPUTED_VALUE"""),"VALDECY H CAVALCANTE FILHO")</f>
        <v>VALDECY H CAVALCANTE FILHO</v>
      </c>
      <c r="B2432" s="11"/>
      <c r="C2432" s="11"/>
      <c r="D2432" s="11" t="str">
        <f>IFERROR(__xludf.DUMMYFUNCTION("""COMPUTED_VALUE"""),"ORTOPEDIA E TRAUMATOLOGIA")</f>
        <v>ORTOPEDIA E TRAUMATOLOGIA</v>
      </c>
      <c r="E2432" s="11"/>
      <c r="F2432" s="11" t="str">
        <f>IFERROR(__xludf.DUMMYFUNCTION("""COMPUTED_VALUE"""),"US_169 POLICLINICA AMAURY COUTINHO")</f>
        <v>US_169 POLICLINICA AMAURY COUTINHO</v>
      </c>
      <c r="G2432" s="11" t="str">
        <f>IFERROR(__xludf.DUMMYFUNCTION("""COMPUTED_VALUE"""),"US_318 CAPS CPTRA CENTRO DE PREV TRAT E REAB DE ALCOOLISMO")</f>
        <v>US_318 CAPS CPTRA CENTRO DE PREV TRAT E REAB DE ALCOOLISMO</v>
      </c>
      <c r="H2432" s="11"/>
      <c r="I2432" s="11"/>
      <c r="J2432" s="11"/>
      <c r="K2432" s="11"/>
      <c r="L2432" s="11"/>
      <c r="M2432" s="11"/>
      <c r="N2432" s="30" t="str">
        <f>IFERROR(__xludf.DUMMYFUNCTION("""COMPUTED_VALUE"""),"valdecy.cavalcante@hotmail.com")</f>
        <v>valdecy.cavalcante@hotmail.com</v>
      </c>
      <c r="O2432" s="11">
        <f>IFERROR(__xludf.DUMMYFUNCTION("""COMPUTED_VALUE"""),1057874426)</f>
        <v>1057874426</v>
      </c>
      <c r="P2432" s="11"/>
      <c r="Q2432" s="11"/>
      <c r="R2432" s="11"/>
      <c r="S2432" s="11"/>
      <c r="T2432" s="11"/>
      <c r="U2432" s="11"/>
      <c r="V2432" s="11"/>
      <c r="W2432" s="11"/>
      <c r="X2432" s="11"/>
      <c r="Y2432" s="11"/>
      <c r="Z2432" s="11"/>
    </row>
    <row r="2433" customHeight="1" spans="1:26">
      <c r="A2433" s="11" t="str">
        <f>IFERROR(__xludf.DUMMYFUNCTION("""COMPUTED_VALUE"""),"KARINE NOBRE F E MONTEIRO")</f>
        <v>KARINE NOBRE F E MONTEIRO</v>
      </c>
      <c r="B2433" s="11"/>
      <c r="C2433" s="11"/>
      <c r="D2433" s="11" t="str">
        <f>IFERROR(__xludf.DUMMYFUNCTION("""COMPUTED_VALUE"""),"ORTOPEDIA E TRAUMATOLOGIA")</f>
        <v>ORTOPEDIA E TRAUMATOLOGIA</v>
      </c>
      <c r="E2433" s="11"/>
      <c r="F2433" s="11" t="str">
        <f>IFERROR(__xludf.DUMMYFUNCTION("""COMPUTED_VALUE"""),"US_169 POLICLINICA AMAURY COUTINHO")</f>
        <v>US_169 POLICLINICA AMAURY COUTINHO</v>
      </c>
      <c r="G2433" s="11" t="str">
        <f>IFERROR(__xludf.DUMMYFUNCTION("""COMPUTED_VALUE"""),"US_217 CENTRO MEDICO SEN JOSE ERMIRIO DE MORAES")</f>
        <v>US_217 CENTRO MEDICO SEN JOSE ERMIRIO DE MORAES</v>
      </c>
      <c r="H2433" s="11"/>
      <c r="I2433" s="11"/>
      <c r="J2433" s="11"/>
      <c r="K2433" s="11"/>
      <c r="L2433" s="11"/>
      <c r="M2433" s="11"/>
      <c r="N2433" s="30" t="str">
        <f>IFERROR(__xludf.DUMMYFUNCTION("""COMPUTED_VALUE"""),"nobre_karine@hotmail.com")</f>
        <v>nobre_karine@hotmail.com</v>
      </c>
      <c r="O2433" s="11">
        <f>IFERROR(__xludf.DUMMYFUNCTION("""COMPUTED_VALUE"""),230137458)</f>
        <v>230137458</v>
      </c>
      <c r="P2433" s="11"/>
      <c r="Q2433" s="11"/>
      <c r="R2433" s="11"/>
      <c r="S2433" s="11"/>
      <c r="T2433" s="11"/>
      <c r="U2433" s="11"/>
      <c r="V2433" s="11"/>
      <c r="W2433" s="11"/>
      <c r="X2433" s="11"/>
      <c r="Y2433" s="11"/>
      <c r="Z2433" s="11"/>
    </row>
    <row r="2434" customHeight="1" spans="1:26">
      <c r="A2434" s="11" t="str">
        <f>IFERROR(__xludf.DUMMYFUNCTION("""COMPUTED_VALUE"""),"REINALDO MENDES DE CARVALHO")</f>
        <v>REINALDO MENDES DE CARVALHO</v>
      </c>
      <c r="B2434" s="11"/>
      <c r="C2434" s="11"/>
      <c r="D2434" s="11" t="str">
        <f>IFERROR(__xludf.DUMMYFUNCTION("""COMPUTED_VALUE"""),"ORTOPEDIA E TRAUMATOLOGIA")</f>
        <v>ORTOPEDIA E TRAUMATOLOGIA</v>
      </c>
      <c r="E2434" s="11"/>
      <c r="F2434" s="11" t="str">
        <f>IFERROR(__xludf.DUMMYFUNCTION("""COMPUTED_VALUE"""),"US_169 POLICLINICA AMAURY COUTINHO")</f>
        <v>US_169 POLICLINICA AMAURY COUTINHO</v>
      </c>
      <c r="G2434" s="11" t="str">
        <f>IFERROR(__xludf.DUMMYFUNCTION("""COMPUTED_VALUE"""),"US_217 CENTRO MEDICO SEN JOSE ERMIRIO DE MORAES")</f>
        <v>US_217 CENTRO MEDICO SEN JOSE ERMIRIO DE MORAES</v>
      </c>
      <c r="H2434" s="11"/>
      <c r="I2434" s="11"/>
      <c r="J2434" s="11"/>
      <c r="K2434" s="11"/>
      <c r="L2434" s="11"/>
      <c r="M2434" s="11"/>
      <c r="N2434" s="30" t="str">
        <f>IFERROR(__xludf.DUMMYFUNCTION("""COMPUTED_VALUE"""),"rmendes76@yahoo.com.br")</f>
        <v>rmendes76@yahoo.com.br</v>
      </c>
      <c r="O2434" s="11">
        <f>IFERROR(__xludf.DUMMYFUNCTION("""COMPUTED_VALUE"""),74220489304)</f>
        <v>74220489304</v>
      </c>
      <c r="P2434" s="11"/>
      <c r="Q2434" s="11"/>
      <c r="R2434" s="11"/>
      <c r="S2434" s="11"/>
      <c r="T2434" s="11"/>
      <c r="U2434" s="11"/>
      <c r="V2434" s="11"/>
      <c r="W2434" s="11"/>
      <c r="X2434" s="11"/>
      <c r="Y2434" s="11"/>
      <c r="Z2434" s="11"/>
    </row>
    <row r="2435" customHeight="1" spans="1:26">
      <c r="A2435" s="11" t="str">
        <f>IFERROR(__xludf.DUMMYFUNCTION("""COMPUTED_VALUE"""),"JADER ARETAKIS CORDEIRO FILHO")</f>
        <v>JADER ARETAKIS CORDEIRO FILHO</v>
      </c>
      <c r="B2435" s="11"/>
      <c r="C2435" s="11"/>
      <c r="D2435" s="11" t="str">
        <f>IFERROR(__xludf.DUMMYFUNCTION("""COMPUTED_VALUE"""),"ULTRASSONOGRAFIA")</f>
        <v>ULTRASSONOGRAFIA</v>
      </c>
      <c r="E2435" s="11"/>
      <c r="F2435" s="11" t="str">
        <f>IFERROR(__xludf.DUMMYFUNCTION("""COMPUTED_VALUE"""),"US_159 POLICLINICA AGAMENON MAGALHAES")</f>
        <v>US_159 POLICLINICA AGAMENON MAGALHAES</v>
      </c>
      <c r="G2435" s="11" t="str">
        <f>IFERROR(__xludf.DUMMYFUNCTION("""COMPUTED_VALUE"""),"US_129 AMEM AMBULATORIO ESPECIALIZADO DA MULHER")</f>
        <v>US_129 AMEM AMBULATORIO ESPECIALIZADO DA MULHER</v>
      </c>
      <c r="H2435" s="11"/>
      <c r="I2435" s="11"/>
      <c r="J2435" s="11"/>
      <c r="K2435" s="11"/>
      <c r="L2435" s="11"/>
      <c r="M2435" s="11"/>
      <c r="N2435" s="30" t="str">
        <f>IFERROR(__xludf.DUMMYFUNCTION("""COMPUTED_VALUE"""),"jaderaretakis@hotmail.com")</f>
        <v>jaderaretakis@hotmail.com</v>
      </c>
      <c r="O2435" s="11">
        <f>IFERROR(__xludf.DUMMYFUNCTION("""COMPUTED_VALUE"""),5238128410)</f>
        <v>5238128410</v>
      </c>
      <c r="P2435" s="11"/>
      <c r="Q2435" s="11"/>
      <c r="R2435" s="11"/>
      <c r="S2435" s="11"/>
      <c r="T2435" s="11"/>
      <c r="U2435" s="11"/>
      <c r="V2435" s="11"/>
      <c r="W2435" s="11"/>
      <c r="X2435" s="11"/>
      <c r="Y2435" s="11"/>
      <c r="Z2435" s="11"/>
    </row>
    <row r="2436" customHeight="1" spans="1:26">
      <c r="A2436" s="11" t="str">
        <f>IFERROR(__xludf.DUMMYFUNCTION("""COMPUTED_VALUE"""),"ANDREIA MENDES DE A MARANHAO")</f>
        <v>ANDREIA MENDES DE A MARANHAO</v>
      </c>
      <c r="B2436" s="11"/>
      <c r="C2436" s="11"/>
      <c r="D2436" s="11" t="str">
        <f>IFERROR(__xludf.DUMMYFUNCTION("""COMPUTED_VALUE"""),"CARDIOLOGIA")</f>
        <v>CARDIOLOGIA</v>
      </c>
      <c r="E2436" s="11"/>
      <c r="F2436" s="11" t="str">
        <f>IFERROR(__xludf.DUMMYFUNCTION("""COMPUTED_VALUE"""),"US_159 POLICLINICA AGAMENON MAGALHAES")</f>
        <v>US_159 POLICLINICA AGAMENON MAGALHAES</v>
      </c>
      <c r="G2436" s="11" t="str">
        <f>IFERROR(__xludf.DUMMYFUNCTION("""COMPUTED_VALUE"""),"US_217 CENTRO MEDICO SEN JOSE ERMIRIO DE MORAES")</f>
        <v>US_217 CENTRO MEDICO SEN JOSE ERMIRIO DE MORAES</v>
      </c>
      <c r="H2436" s="11"/>
      <c r="I2436" s="11"/>
      <c r="J2436" s="11"/>
      <c r="K2436" s="11"/>
      <c r="L2436" s="11"/>
      <c r="M2436" s="11"/>
      <c r="N2436" s="30" t="str">
        <f>IFERROR(__xludf.DUMMYFUNCTION("""COMPUTED_VALUE"""),"ANDREIAMARANHAO@YAHOO.COM.BR")</f>
        <v>ANDREIAMARANHAO@YAHOO.COM.BR</v>
      </c>
      <c r="O2436" s="11">
        <f>IFERROR(__xludf.DUMMYFUNCTION("""COMPUTED_VALUE"""),3739925485)</f>
        <v>3739925485</v>
      </c>
      <c r="P2436" s="11"/>
      <c r="Q2436" s="11"/>
      <c r="R2436" s="11"/>
      <c r="S2436" s="11"/>
      <c r="T2436" s="11"/>
      <c r="U2436" s="11"/>
      <c r="V2436" s="11"/>
      <c r="W2436" s="11"/>
      <c r="X2436" s="11"/>
      <c r="Y2436" s="11"/>
      <c r="Z2436" s="11"/>
    </row>
    <row r="2437" customHeight="1" spans="1:26">
      <c r="A2437" s="11" t="str">
        <f>IFERROR(__xludf.DUMMYFUNCTION("""COMPUTED_VALUE"""),"JULIANA MARIA DE F T COSTA")</f>
        <v>JULIANA MARIA DE F T COSTA</v>
      </c>
      <c r="B2437" s="11"/>
      <c r="C2437" s="11"/>
      <c r="D2437" s="11" t="str">
        <f>IFERROR(__xludf.DUMMYFUNCTION("""COMPUTED_VALUE"""),"REUMATOLOGIA")</f>
        <v>REUMATOLOGIA</v>
      </c>
      <c r="E2437" s="11"/>
      <c r="F2437" s="11" t="str">
        <f>IFERROR(__xludf.DUMMYFUNCTION("""COMPUTED_VALUE"""),"US_159 POLICLINICA AGAMENON MAGALHAES")</f>
        <v>US_159 POLICLINICA AGAMENON MAGALHAES</v>
      </c>
      <c r="G2437" s="11" t="str">
        <f>IFERROR(__xludf.DUMMYFUNCTION("""COMPUTED_VALUE"""),"US_217 CENTRO MEDICO SEN JOSE ERMIRIO DE MORAES")</f>
        <v>US_217 CENTRO MEDICO SEN JOSE ERMIRIO DE MORAES</v>
      </c>
      <c r="H2437" s="11"/>
      <c r="I2437" s="11"/>
      <c r="J2437" s="11"/>
      <c r="K2437" s="11"/>
      <c r="L2437" s="11"/>
      <c r="M2437" s="11"/>
      <c r="N2437" s="30" t="str">
        <f>IFERROR(__xludf.DUMMYFUNCTION("""COMPUTED_VALUE"""),"juli_trindade@hotmail.com")</f>
        <v>juli_trindade@hotmail.com</v>
      </c>
      <c r="O2437" s="11">
        <f>IFERROR(__xludf.DUMMYFUNCTION("""COMPUTED_VALUE"""),2790047456)</f>
        <v>2790047456</v>
      </c>
      <c r="P2437" s="11"/>
      <c r="Q2437" s="11"/>
      <c r="R2437" s="11"/>
      <c r="S2437" s="11"/>
      <c r="T2437" s="11"/>
      <c r="U2437" s="11"/>
      <c r="V2437" s="11"/>
      <c r="W2437" s="11"/>
      <c r="X2437" s="11"/>
      <c r="Y2437" s="11"/>
      <c r="Z2437" s="11"/>
    </row>
    <row r="2438" customHeight="1" spans="1:26">
      <c r="A2438" s="11" t="str">
        <f>IFERROR(__xludf.DUMMYFUNCTION("""COMPUTED_VALUE"""),"ALEXANDRE BARBOSA BELTRAO")</f>
        <v>ALEXANDRE BARBOSA BELTRAO</v>
      </c>
      <c r="B2438" s="11"/>
      <c r="C2438" s="11"/>
      <c r="D2438" s="11" t="str">
        <f>IFERROR(__xludf.DUMMYFUNCTION("""COMPUTED_VALUE"""),"SANITARISTA")</f>
        <v>SANITARISTA</v>
      </c>
      <c r="E2438" s="11"/>
      <c r="F2438" s="11" t="str">
        <f>IFERROR(__xludf.DUMMYFUNCTION("""COMPUTED_VALUE"""),"US_159 POLICLINICA AGAMENON MAGALHAES")</f>
        <v>US_159 POLICLINICA AGAMENON MAGALHAES</v>
      </c>
      <c r="G2438" s="11" t="str">
        <f>IFERROR(__xludf.DUMMYFUNCTION("""COMPUTED_VALUE"""),"US_217 CENTRO MEDICO SEN JOSE ERMIRIO DE MORAES")</f>
        <v>US_217 CENTRO MEDICO SEN JOSE ERMIRIO DE MORAES</v>
      </c>
      <c r="H2438" s="11"/>
      <c r="I2438" s="11"/>
      <c r="J2438" s="11"/>
      <c r="K2438" s="11"/>
      <c r="L2438" s="11"/>
      <c r="M2438" s="11"/>
      <c r="N2438" s="30" t="str">
        <f>IFERROR(__xludf.DUMMYFUNCTION("""COMPUTED_VALUE"""),"BELTRAOA@IG.COM.BR")</f>
        <v>BELTRAOA@IG.COM.BR</v>
      </c>
      <c r="O2438" s="11">
        <f>IFERROR(__xludf.DUMMYFUNCTION("""COMPUTED_VALUE"""),48725196472)</f>
        <v>48725196472</v>
      </c>
      <c r="P2438" s="11"/>
      <c r="Q2438" s="11"/>
      <c r="R2438" s="11"/>
      <c r="S2438" s="11"/>
      <c r="T2438" s="11"/>
      <c r="U2438" s="11"/>
      <c r="V2438" s="11"/>
      <c r="W2438" s="11"/>
      <c r="X2438" s="11"/>
      <c r="Y2438" s="11"/>
      <c r="Z2438" s="11"/>
    </row>
    <row r="2439" customHeight="1" spans="1:26">
      <c r="A2439" s="11" t="str">
        <f>IFERROR(__xludf.DUMMYFUNCTION("""COMPUTED_VALUE"""),"JOAO BAPTISTA REUS P CLARK")</f>
        <v>JOAO BAPTISTA REUS P CLARK</v>
      </c>
      <c r="B2439" s="11"/>
      <c r="C2439" s="11"/>
      <c r="D2439" s="11" t="str">
        <f>IFERROR(__xludf.DUMMYFUNCTION("""COMPUTED_VALUE"""),"PEDIATRIA")</f>
        <v>PEDIATRIA</v>
      </c>
      <c r="E2439" s="11"/>
      <c r="F2439" s="11" t="str">
        <f>IFERROR(__xludf.DUMMYFUNCTION("""COMPUTED_VALUE"""),"US_169 POLICLINICA AMAURY COUTINHO")</f>
        <v>US_169 POLICLINICA AMAURY COUTINHO</v>
      </c>
      <c r="G2439" s="11" t="str">
        <f>IFERROR(__xludf.DUMMYFUNCTION("""COMPUTED_VALUE"""),"US_129 AMEM AMBULATORIO ESPECIALIZADO DA MULHER")</f>
        <v>US_129 AMEM AMBULATORIO ESPECIALIZADO DA MULHER</v>
      </c>
      <c r="H2439" s="11"/>
      <c r="I2439" s="11"/>
      <c r="J2439" s="11"/>
      <c r="K2439" s="11"/>
      <c r="L2439" s="11"/>
      <c r="M2439" s="11"/>
      <c r="N2439" s="30" t="str">
        <f>IFERROR(__xludf.DUMMYFUNCTION("""COMPUTED_VALUE"""),"JOAOREUSCLARK@HOTMAIL.COM")</f>
        <v>JOAOREUSCLARK@HOTMAIL.COM</v>
      </c>
      <c r="O2439" s="11">
        <f>IFERROR(__xludf.DUMMYFUNCTION("""COMPUTED_VALUE"""),97975206334)</f>
        <v>97975206334</v>
      </c>
      <c r="P2439" s="11"/>
      <c r="Q2439" s="11"/>
      <c r="R2439" s="11"/>
      <c r="S2439" s="11"/>
      <c r="T2439" s="11"/>
      <c r="U2439" s="11"/>
      <c r="V2439" s="11"/>
      <c r="W2439" s="11"/>
      <c r="X2439" s="11"/>
      <c r="Y2439" s="11"/>
      <c r="Z2439" s="11"/>
    </row>
    <row r="2440" customHeight="1" spans="1:26">
      <c r="A2440" s="11" t="str">
        <f>IFERROR(__xludf.DUMMYFUNCTION("""COMPUTED_VALUE"""),"JOSEPH LOPES DO NASCIMENTO")</f>
        <v>JOSEPH LOPES DO NASCIMENTO</v>
      </c>
      <c r="B2440" s="11"/>
      <c r="C2440" s="11"/>
      <c r="D2440" s="11" t="str">
        <f>IFERROR(__xludf.DUMMYFUNCTION("""COMPUTED_VALUE"""),"CLINICA GERAL")</f>
        <v>CLINICA GERAL</v>
      </c>
      <c r="E2440" s="11"/>
      <c r="F2440" s="11" t="str">
        <f>IFERROR(__xludf.DUMMYFUNCTION("""COMPUTED_VALUE"""),"US_169 POLICLINICA AMAURY COUTINHO")</f>
        <v>US_169 POLICLINICA AMAURY COUTINHO</v>
      </c>
      <c r="G2440" s="11" t="str">
        <f>IFERROR(__xludf.DUMMYFUNCTION("""COMPUTED_VALUE"""),"US_321 CENTRAL DE ALERGOLOGIA")</f>
        <v>US_321 CENTRAL DE ALERGOLOGIA</v>
      </c>
      <c r="H2440" s="11"/>
      <c r="I2440" s="11"/>
      <c r="J2440" s="11"/>
      <c r="K2440" s="11"/>
      <c r="L2440" s="11"/>
      <c r="M2440" s="11"/>
      <c r="N2440" s="30" t="str">
        <f>IFERROR(__xludf.DUMMYFUNCTION("""COMPUTED_VALUE"""),"JOSEPH_JLN@HOTMAIL.COM")</f>
        <v>JOSEPH_JLN@HOTMAIL.COM</v>
      </c>
      <c r="O2440" s="11">
        <f>IFERROR(__xludf.DUMMYFUNCTION("""COMPUTED_VALUE"""),7951820407)</f>
        <v>7951820407</v>
      </c>
      <c r="P2440" s="11"/>
      <c r="Q2440" s="11"/>
      <c r="R2440" s="11"/>
      <c r="S2440" s="11"/>
      <c r="T2440" s="11"/>
      <c r="U2440" s="11"/>
      <c r="V2440" s="11"/>
      <c r="W2440" s="11"/>
      <c r="X2440" s="11"/>
      <c r="Y2440" s="11"/>
      <c r="Z2440" s="11"/>
    </row>
    <row r="2441" customHeight="1" spans="1:26">
      <c r="A2441" s="11" t="str">
        <f>IFERROR(__xludf.DUMMYFUNCTION("""COMPUTED_VALUE"""),"EDUARDA BENIGNA DE BARROS")</f>
        <v>EDUARDA BENIGNA DE BARROS</v>
      </c>
      <c r="B2441" s="11"/>
      <c r="C2441" s="11"/>
      <c r="D2441" s="11" t="str">
        <f>IFERROR(__xludf.DUMMYFUNCTION("""COMPUTED_VALUE"""),"PEDIATRIA")</f>
        <v>PEDIATRIA</v>
      </c>
      <c r="E2441" s="11"/>
      <c r="F2441" s="11" t="str">
        <f>IFERROR(__xludf.DUMMYFUNCTION("""COMPUTED_VALUE"""),"US_169 POLICLINICA AMAURY COUTINHO")</f>
        <v>US_169 POLICLINICA AMAURY COUTINHO</v>
      </c>
      <c r="G2441" s="11" t="str">
        <f>IFERROR(__xludf.DUMMYFUNCTION("""COMPUTED_VALUE"""),"US_217 CENTRO MEDICO SEN JOSE ERMIRIO DE MORAES")</f>
        <v>US_217 CENTRO MEDICO SEN JOSE ERMIRIO DE MORAES</v>
      </c>
      <c r="H2441" s="11"/>
      <c r="I2441" s="11"/>
      <c r="J2441" s="11"/>
      <c r="K2441" s="11"/>
      <c r="L2441" s="11"/>
      <c r="M2441" s="11"/>
      <c r="N2441" s="30" t="str">
        <f>IFERROR(__xludf.DUMMYFUNCTION("""COMPUTED_VALUE"""),"EDUARDABENIGNA@HOTMAIL.COM")</f>
        <v>EDUARDABENIGNA@HOTMAIL.COM</v>
      </c>
      <c r="O2441" s="11">
        <f>IFERROR(__xludf.DUMMYFUNCTION("""COMPUTED_VALUE"""),4304559419)</f>
        <v>4304559419</v>
      </c>
      <c r="P2441" s="11"/>
      <c r="Q2441" s="11"/>
      <c r="R2441" s="11"/>
      <c r="S2441" s="11"/>
      <c r="T2441" s="11"/>
      <c r="U2441" s="11"/>
      <c r="V2441" s="11"/>
      <c r="W2441" s="11"/>
      <c r="X2441" s="11"/>
      <c r="Y2441" s="11"/>
      <c r="Z2441" s="11"/>
    </row>
    <row r="2442" customHeight="1" spans="1:26">
      <c r="A2442" s="11" t="str">
        <f>IFERROR(__xludf.DUMMYFUNCTION("""COMPUTED_VALUE"""),"KARINA LUCIA S DE OLIVEIRA")</f>
        <v>KARINA LUCIA S DE OLIVEIRA</v>
      </c>
      <c r="B2442" s="11"/>
      <c r="C2442" s="11"/>
      <c r="D2442" s="11" t="str">
        <f>IFERROR(__xludf.DUMMYFUNCTION("""COMPUTED_VALUE"""),"CLINICA GERAL")</f>
        <v>CLINICA GERAL</v>
      </c>
      <c r="E2442" s="11"/>
      <c r="F2442" s="11" t="str">
        <f>IFERROR(__xludf.DUMMYFUNCTION("""COMPUTED_VALUE"""),"US_169 POLICLINICA AMAURY COUTINHO")</f>
        <v>US_169 POLICLINICA AMAURY COUTINHO</v>
      </c>
      <c r="G2442" s="11" t="str">
        <f>IFERROR(__xludf.DUMMYFUNCTION("""COMPUTED_VALUE"""),"US_217 CENTRO MEDICO SEN JOSE ERMIRIO DE MORAES")</f>
        <v>US_217 CENTRO MEDICO SEN JOSE ERMIRIO DE MORAES</v>
      </c>
      <c r="H2442" s="11"/>
      <c r="I2442" s="11"/>
      <c r="J2442" s="11"/>
      <c r="K2442" s="11"/>
      <c r="L2442" s="11"/>
      <c r="M2442" s="11"/>
      <c r="N2442" s="30" t="str">
        <f>IFERROR(__xludf.DUMMYFUNCTION("""COMPUTED_VALUE"""),"KARINA.KA.SOARES@HOTMAIL.COM")</f>
        <v>KARINA.KA.SOARES@HOTMAIL.COM</v>
      </c>
      <c r="O2442" s="11">
        <f>IFERROR(__xludf.DUMMYFUNCTION("""COMPUTED_VALUE"""),8795442448)</f>
        <v>8795442448</v>
      </c>
      <c r="P2442" s="11"/>
      <c r="Q2442" s="11"/>
      <c r="R2442" s="11"/>
      <c r="S2442" s="11"/>
      <c r="T2442" s="11"/>
      <c r="U2442" s="11"/>
      <c r="V2442" s="11"/>
      <c r="W2442" s="11"/>
      <c r="X2442" s="11"/>
      <c r="Y2442" s="11"/>
      <c r="Z2442" s="11"/>
    </row>
    <row r="2443" customHeight="1" spans="1:26">
      <c r="A2443" s="11" t="str">
        <f>IFERROR(__xludf.DUMMYFUNCTION("""COMPUTED_VALUE"""),"DIEGO LIMA ALVES DA SILVA")</f>
        <v>DIEGO LIMA ALVES DA SILVA</v>
      </c>
      <c r="B2443" s="11"/>
      <c r="C2443" s="11"/>
      <c r="D2443" s="11" t="str">
        <f>IFERROR(__xludf.DUMMYFUNCTION("""COMPUTED_VALUE"""),"CLINICA GERAL")</f>
        <v>CLINICA GERAL</v>
      </c>
      <c r="E2443" s="11"/>
      <c r="F2443" s="11" t="str">
        <f>IFERROR(__xludf.DUMMYFUNCTION("""COMPUTED_VALUE"""),"US_169 POLICLINICA AMAURY COUTINHO")</f>
        <v>US_169 POLICLINICA AMAURY COUTINHO</v>
      </c>
      <c r="G2443" s="11" t="str">
        <f>IFERROR(__xludf.DUMMYFUNCTION("""COMPUTED_VALUE"""),"US_217 CENTRO MEDICO SEN JOSE ERMIRIO DE MORAES")</f>
        <v>US_217 CENTRO MEDICO SEN JOSE ERMIRIO DE MORAES</v>
      </c>
      <c r="H2443" s="11"/>
      <c r="I2443" s="11"/>
      <c r="J2443" s="11"/>
      <c r="K2443" s="11"/>
      <c r="L2443" s="11"/>
      <c r="M2443" s="11"/>
      <c r="N2443" s="30" t="str">
        <f>IFERROR(__xludf.DUMMYFUNCTION("""COMPUTED_VALUE"""),"diegolima2811@hotmail.com")</f>
        <v>diegolima2811@hotmail.com</v>
      </c>
      <c r="O2443" s="11">
        <f>IFERROR(__xludf.DUMMYFUNCTION("""COMPUTED_VALUE"""),6856350406)</f>
        <v>6856350406</v>
      </c>
      <c r="P2443" s="11"/>
      <c r="Q2443" s="11"/>
      <c r="R2443" s="11"/>
      <c r="S2443" s="11"/>
      <c r="T2443" s="11"/>
      <c r="U2443" s="11"/>
      <c r="V2443" s="11"/>
      <c r="W2443" s="11"/>
      <c r="X2443" s="11"/>
      <c r="Y2443" s="11"/>
      <c r="Z2443" s="11"/>
    </row>
    <row r="2444" customHeight="1" spans="1:26">
      <c r="A2444" s="11" t="str">
        <f>IFERROR(__xludf.DUMMYFUNCTION("""COMPUTED_VALUE"""),"STELLA MARIA LIMA DE FRANCA")</f>
        <v>STELLA MARIA LIMA DE FRANCA</v>
      </c>
      <c r="B2444" s="11"/>
      <c r="C2444" s="11"/>
      <c r="D2444" s="11" t="str">
        <f>IFERROR(__xludf.DUMMYFUNCTION("""COMPUTED_VALUE"""),"PEDIATRIA")</f>
        <v>PEDIATRIA</v>
      </c>
      <c r="E2444" s="11"/>
      <c r="F2444" s="11" t="str">
        <f>IFERROR(__xludf.DUMMYFUNCTION("""COMPUTED_VALUE"""),"US_169 POLICLINICA AMAURY COUTINHO")</f>
        <v>US_169 POLICLINICA AMAURY COUTINHO</v>
      </c>
      <c r="G2444" s="11" t="str">
        <f>IFERROR(__xludf.DUMMYFUNCTION("""COMPUTED_VALUE"""),"US_217 CENTRO MEDICO SEN JOSE ERMIRIO DE MORAES")</f>
        <v>US_217 CENTRO MEDICO SEN JOSE ERMIRIO DE MORAES</v>
      </c>
      <c r="H2444" s="11"/>
      <c r="I2444" s="11"/>
      <c r="J2444" s="11"/>
      <c r="K2444" s="11"/>
      <c r="L2444" s="11"/>
      <c r="M2444" s="11"/>
      <c r="N2444" s="30" t="str">
        <f>IFERROR(__xludf.DUMMYFUNCTION("""COMPUTED_VALUE"""),"STELLAFRANCA2@YAHOO.COM.BR")</f>
        <v>STELLAFRANCA2@YAHOO.COM.BR</v>
      </c>
      <c r="O2444" s="11">
        <f>IFERROR(__xludf.DUMMYFUNCTION("""COMPUTED_VALUE"""),3609930446)</f>
        <v>3609930446</v>
      </c>
      <c r="P2444" s="11"/>
      <c r="Q2444" s="11"/>
      <c r="R2444" s="11"/>
      <c r="S2444" s="11"/>
      <c r="T2444" s="11"/>
      <c r="U2444" s="11"/>
      <c r="V2444" s="11"/>
      <c r="W2444" s="11"/>
      <c r="X2444" s="11"/>
      <c r="Y2444" s="11"/>
      <c r="Z2444" s="11"/>
    </row>
    <row r="2445" customHeight="1" spans="1:26">
      <c r="A2445" s="11" t="str">
        <f>IFERROR(__xludf.DUMMYFUNCTION("""COMPUTED_VALUE"""),"BARBARA SOUZA LUZ PRAZERES")</f>
        <v>BARBARA SOUZA LUZ PRAZERES</v>
      </c>
      <c r="B2445" s="11"/>
      <c r="C2445" s="11"/>
      <c r="D2445" s="11" t="str">
        <f>IFERROR(__xludf.DUMMYFUNCTION("""COMPUTED_VALUE"""),"NEFROLOGIA")</f>
        <v>NEFROLOGIA</v>
      </c>
      <c r="E2445" s="11"/>
      <c r="F2445" s="11" t="str">
        <f>IFERROR(__xludf.DUMMYFUNCTION("""COMPUTED_VALUE"""),"US_159 POLICLINICA AGAMENON MAGALHAES")</f>
        <v>US_159 POLICLINICA AGAMENON MAGALHAES</v>
      </c>
      <c r="G2445" s="11" t="str">
        <f>IFERROR(__xludf.DUMMYFUNCTION("""COMPUTED_VALUE"""),"US_217 CENTRO MEDICO SEN JOSE ERMIRIO DE MORAES")</f>
        <v>US_217 CENTRO MEDICO SEN JOSE ERMIRIO DE MORAES</v>
      </c>
      <c r="H2445" s="11"/>
      <c r="I2445" s="11"/>
      <c r="J2445" s="11"/>
      <c r="K2445" s="11"/>
      <c r="L2445" s="11"/>
      <c r="M2445" s="11"/>
      <c r="N2445" s="30" t="str">
        <f>IFERROR(__xludf.DUMMYFUNCTION("""COMPUTED_VALUE"""),"BARBARASLP@HOTMAIL.COM")</f>
        <v>BARBARASLP@HOTMAIL.COM</v>
      </c>
      <c r="O2445" s="11">
        <f>IFERROR(__xludf.DUMMYFUNCTION("""COMPUTED_VALUE"""),836093429)</f>
        <v>836093429</v>
      </c>
      <c r="P2445" s="11"/>
      <c r="Q2445" s="11"/>
      <c r="R2445" s="11"/>
      <c r="S2445" s="11"/>
      <c r="T2445" s="11"/>
      <c r="U2445" s="11"/>
      <c r="V2445" s="11"/>
      <c r="W2445" s="11"/>
      <c r="X2445" s="11"/>
      <c r="Y2445" s="11"/>
      <c r="Z2445" s="11"/>
    </row>
    <row r="2446" customHeight="1" spans="1:26">
      <c r="A2446" s="11" t="str">
        <f>IFERROR(__xludf.DUMMYFUNCTION("""COMPUTED_VALUE"""),"JULIO CESAR MARQUES G DE MELO")</f>
        <v>JULIO CESAR MARQUES G DE MELO</v>
      </c>
      <c r="B2446" s="11"/>
      <c r="C2446" s="11"/>
      <c r="D2446" s="11" t="str">
        <f>IFERROR(__xludf.DUMMYFUNCTION("""COMPUTED_VALUE"""),"CLINICA GERAL")</f>
        <v>CLINICA GERAL</v>
      </c>
      <c r="E2446" s="11"/>
      <c r="F2446" s="11" t="str">
        <f>IFERROR(__xludf.DUMMYFUNCTION("""COMPUTED_VALUE"""),"US_169 POLICLINICA AMAURY COUTINHO")</f>
        <v>US_169 POLICLINICA AMAURY COUTINHO</v>
      </c>
      <c r="G2446" s="11" t="str">
        <f>IFERROR(__xludf.DUMMYFUNCTION("""COMPUTED_VALUE"""),"US_217 CENTRO MEDICO SEN JOSE ERMIRIO DE MORAES")</f>
        <v>US_217 CENTRO MEDICO SEN JOSE ERMIRIO DE MORAES</v>
      </c>
      <c r="H2446" s="11"/>
      <c r="I2446" s="11"/>
      <c r="J2446" s="11"/>
      <c r="K2446" s="11"/>
      <c r="L2446" s="11"/>
      <c r="M2446" s="11"/>
      <c r="N2446" s="30" t="str">
        <f>IFERROR(__xludf.DUMMYFUNCTION("""COMPUTED_VALUE"""),"JCMGOUVEIA1@GMAIL.COM")</f>
        <v>JCMGOUVEIA1@GMAIL.COM</v>
      </c>
      <c r="O2446" s="11">
        <f>IFERROR(__xludf.DUMMYFUNCTION("""COMPUTED_VALUE"""),7475496481)</f>
        <v>7475496481</v>
      </c>
      <c r="P2446" s="11"/>
      <c r="Q2446" s="11"/>
      <c r="R2446" s="11"/>
      <c r="S2446" s="11"/>
      <c r="T2446" s="11"/>
      <c r="U2446" s="11"/>
      <c r="V2446" s="11"/>
      <c r="W2446" s="11"/>
      <c r="X2446" s="11"/>
      <c r="Y2446" s="11"/>
      <c r="Z2446" s="11"/>
    </row>
    <row r="2447" customHeight="1" spans="1:26">
      <c r="A2447" s="11" t="str">
        <f>IFERROR(__xludf.DUMMYFUNCTION("""COMPUTED_VALUE"""),"JUSSARA EVELLIN A DE ARRUDA")</f>
        <v>JUSSARA EVELLIN A DE ARRUDA</v>
      </c>
      <c r="B2447" s="11"/>
      <c r="C2447" s="11"/>
      <c r="D2447" s="11" t="str">
        <f>IFERROR(__xludf.DUMMYFUNCTION("""COMPUTED_VALUE"""),"CLINICA GERAL")</f>
        <v>CLINICA GERAL</v>
      </c>
      <c r="E2447" s="11"/>
      <c r="F2447" s="11" t="str">
        <f>IFERROR(__xludf.DUMMYFUNCTION("""COMPUTED_VALUE"""),"US_169 POLICLINICA AMAURY COUTINHO")</f>
        <v>US_169 POLICLINICA AMAURY COUTINHO</v>
      </c>
      <c r="G2447" s="11" t="str">
        <f>IFERROR(__xludf.DUMMYFUNCTION("""COMPUTED_VALUE"""),"US_217 CENTRO MEDICO SEN JOSE ERMIRIO DE MORAES")</f>
        <v>US_217 CENTRO MEDICO SEN JOSE ERMIRIO DE MORAES</v>
      </c>
      <c r="H2447" s="11"/>
      <c r="I2447" s="11"/>
      <c r="J2447" s="11"/>
      <c r="K2447" s="11"/>
      <c r="L2447" s="11"/>
      <c r="M2447" s="11"/>
      <c r="N2447" s="30" t="str">
        <f>IFERROR(__xludf.DUMMYFUNCTION("""COMPUTED_VALUE"""),"JUSSARA_EVELLIN@HOTMAIL.COM")</f>
        <v>JUSSARA_EVELLIN@HOTMAIL.COM</v>
      </c>
      <c r="O2447" s="11">
        <f>IFERROR(__xludf.DUMMYFUNCTION("""COMPUTED_VALUE"""),7702623411)</f>
        <v>7702623411</v>
      </c>
      <c r="P2447" s="11"/>
      <c r="Q2447" s="11"/>
      <c r="R2447" s="11"/>
      <c r="S2447" s="11"/>
      <c r="T2447" s="11"/>
      <c r="U2447" s="11"/>
      <c r="V2447" s="11"/>
      <c r="W2447" s="11"/>
      <c r="X2447" s="11"/>
      <c r="Y2447" s="11"/>
      <c r="Z2447" s="11"/>
    </row>
    <row r="2448" customHeight="1" spans="1:26">
      <c r="A2448" s="11" t="str">
        <f>IFERROR(__xludf.DUMMYFUNCTION("""COMPUTED_VALUE"""),"DENISE DE SOUSA ANTUNES")</f>
        <v>DENISE DE SOUSA ANTUNES</v>
      </c>
      <c r="B2448" s="11"/>
      <c r="C2448" s="11"/>
      <c r="D2448" s="11" t="str">
        <f>IFERROR(__xludf.DUMMYFUNCTION("""COMPUTED_VALUE"""),"CLINICA GERAL")</f>
        <v>CLINICA GERAL</v>
      </c>
      <c r="E2448" s="11"/>
      <c r="F2448" s="11" t="str">
        <f>IFERROR(__xludf.DUMMYFUNCTION("""COMPUTED_VALUE"""),"US_169 POLICLINICA AMAURY COUTINHO")</f>
        <v>US_169 POLICLINICA AMAURY COUTINHO</v>
      </c>
      <c r="G2448" s="11" t="str">
        <f>IFERROR(__xludf.DUMMYFUNCTION("""COMPUTED_VALUE"""),"US_217 CENTRO MEDICO SEN JOSE ERMIRIO DE MORAES")</f>
        <v>US_217 CENTRO MEDICO SEN JOSE ERMIRIO DE MORAES</v>
      </c>
      <c r="H2448" s="11"/>
      <c r="I2448" s="11"/>
      <c r="J2448" s="11"/>
      <c r="K2448" s="11"/>
      <c r="L2448" s="11"/>
      <c r="M2448" s="11"/>
      <c r="N2448" s="30" t="str">
        <f>IFERROR(__xludf.DUMMYFUNCTION("""COMPUTED_VALUE"""),"DENI_JP@HOTMAIL.COM")</f>
        <v>DENI_JP@HOTMAIL.COM</v>
      </c>
      <c r="O2448" s="11">
        <f>IFERROR(__xludf.DUMMYFUNCTION("""COMPUTED_VALUE"""),1441528431)</f>
        <v>1441528431</v>
      </c>
      <c r="P2448" s="11"/>
      <c r="Q2448" s="11"/>
      <c r="R2448" s="11"/>
      <c r="S2448" s="11"/>
      <c r="T2448" s="11"/>
      <c r="U2448" s="11"/>
      <c r="V2448" s="11"/>
      <c r="W2448" s="11"/>
      <c r="X2448" s="11"/>
      <c r="Y2448" s="11"/>
      <c r="Z2448" s="11"/>
    </row>
    <row r="2449" customHeight="1" spans="1:26">
      <c r="A2449" s="11" t="str">
        <f>IFERROR(__xludf.DUMMYFUNCTION("""COMPUTED_VALUE"""),"TERESA CRISTINA B R DE SOUZA")</f>
        <v>TERESA CRISTINA B R DE SOUZA</v>
      </c>
      <c r="B2449" s="11"/>
      <c r="C2449" s="11"/>
      <c r="D2449" s="11" t="str">
        <f>IFERROR(__xludf.DUMMYFUNCTION("""COMPUTED_VALUE"""),"GERIATRIA")</f>
        <v>GERIATRIA</v>
      </c>
      <c r="E2449" s="11"/>
      <c r="F2449" s="11" t="str">
        <f>IFERROR(__xludf.DUMMYFUNCTION("""COMPUTED_VALUE"""),"US_159 POLICLINICA AGAMENON MAGALHAES")</f>
        <v>US_159 POLICLINICA AGAMENON MAGALHAES</v>
      </c>
      <c r="G2449" s="11" t="str">
        <f>IFERROR(__xludf.DUMMYFUNCTION("""COMPUTED_VALUE"""),"US_217 CENTRO MEDICO SEN JOSE ERMIRIO DE MORAES")</f>
        <v>US_217 CENTRO MEDICO SEN JOSE ERMIRIO DE MORAES</v>
      </c>
      <c r="H2449" s="11"/>
      <c r="I2449" s="11"/>
      <c r="J2449" s="11"/>
      <c r="K2449" s="11"/>
      <c r="L2449" s="11"/>
      <c r="M2449" s="11"/>
      <c r="N2449" s="11"/>
      <c r="O2449" s="11">
        <f>IFERROR(__xludf.DUMMYFUNCTION("""COMPUTED_VALUE"""),40496147404)</f>
        <v>40496147404</v>
      </c>
      <c r="P2449" s="11"/>
      <c r="Q2449" s="11"/>
      <c r="R2449" s="11"/>
      <c r="S2449" s="11"/>
      <c r="T2449" s="11"/>
      <c r="U2449" s="11"/>
      <c r="V2449" s="11"/>
      <c r="W2449" s="11"/>
      <c r="X2449" s="11"/>
      <c r="Y2449" s="11"/>
      <c r="Z2449" s="11"/>
    </row>
    <row r="2450" customHeight="1" spans="1:26">
      <c r="A2450" s="11" t="str">
        <f>IFERROR(__xludf.DUMMYFUNCTION("""COMPUTED_VALUE"""),"BARBARA BEZERRA LYRA DE MORAES")</f>
        <v>BARBARA BEZERRA LYRA DE MORAES</v>
      </c>
      <c r="B2450" s="11"/>
      <c r="C2450" s="11"/>
      <c r="D2450" s="11" t="str">
        <f>IFERROR(__xludf.DUMMYFUNCTION("""COMPUTED_VALUE"""),"PEDIATRIA")</f>
        <v>PEDIATRIA</v>
      </c>
      <c r="E2450" s="11"/>
      <c r="F2450" s="11" t="str">
        <f>IFERROR(__xludf.DUMMYFUNCTION("""COMPUTED_VALUE"""),"US_169 POLICLINICA AMAURY COUTINHO")</f>
        <v>US_169 POLICLINICA AMAURY COUTINHO</v>
      </c>
      <c r="G2450" s="11" t="str">
        <f>IFERROR(__xludf.DUMMYFUNCTION("""COMPUTED_VALUE"""),"US_217 CENTRO MEDICO SEN JOSE ERMIRIO DE MORAES")</f>
        <v>US_217 CENTRO MEDICO SEN JOSE ERMIRIO DE MORAES</v>
      </c>
      <c r="H2450" s="11"/>
      <c r="I2450" s="11"/>
      <c r="J2450" s="11"/>
      <c r="K2450" s="11"/>
      <c r="L2450" s="11"/>
      <c r="M2450" s="11"/>
      <c r="N2450" s="30" t="str">
        <f>IFERROR(__xludf.DUMMYFUNCTION("""COMPUTED_VALUE"""),"BAHLYRA@GMAIL.COM")</f>
        <v>BAHLYRA@GMAIL.COM</v>
      </c>
      <c r="O2450" s="11">
        <f>IFERROR(__xludf.DUMMYFUNCTION("""COMPUTED_VALUE"""),7384055407)</f>
        <v>7384055407</v>
      </c>
      <c r="P2450" s="11"/>
      <c r="Q2450" s="11"/>
      <c r="R2450" s="11"/>
      <c r="S2450" s="11"/>
      <c r="T2450" s="11"/>
      <c r="U2450" s="11"/>
      <c r="V2450" s="11"/>
      <c r="W2450" s="11"/>
      <c r="X2450" s="11"/>
      <c r="Y2450" s="11"/>
      <c r="Z2450" s="11"/>
    </row>
    <row r="2451" customHeight="1" spans="1:26">
      <c r="A2451" s="11" t="str">
        <f>IFERROR(__xludf.DUMMYFUNCTION("""COMPUTED_VALUE"""),"HUGO OTAVIO D DE MOURA GOMES")</f>
        <v>HUGO OTAVIO D DE MOURA GOMES</v>
      </c>
      <c r="B2451" s="11"/>
      <c r="C2451" s="11"/>
      <c r="D2451" s="11" t="str">
        <f>IFERROR(__xludf.DUMMYFUNCTION("""COMPUTED_VALUE"""),"CLINICA GERAL")</f>
        <v>CLINICA GERAL</v>
      </c>
      <c r="E2451" s="11"/>
      <c r="F2451" s="11" t="str">
        <f>IFERROR(__xludf.DUMMYFUNCTION("""COMPUTED_VALUE"""),"US_169 POLICLINICA AMAURY COUTINHO")</f>
        <v>US_169 POLICLINICA AMAURY COUTINHO</v>
      </c>
      <c r="G2451" s="11" t="str">
        <f>IFERROR(__xludf.DUMMYFUNCTION("""COMPUTED_VALUE"""),"US_217 CENTRO MEDICO SEN JOSE ERMIRIO DE MORAES")</f>
        <v>US_217 CENTRO MEDICO SEN JOSE ERMIRIO DE MORAES</v>
      </c>
      <c r="H2451" s="11"/>
      <c r="I2451" s="11"/>
      <c r="J2451" s="11"/>
      <c r="K2451" s="11"/>
      <c r="L2451" s="11"/>
      <c r="M2451" s="11"/>
      <c r="N2451" s="30" t="str">
        <f>IFERROR(__xludf.DUMMYFUNCTION("""COMPUTED_VALUE"""),"HUGOMED125@GMAIL.COM")</f>
        <v>HUGOMED125@GMAIL.COM</v>
      </c>
      <c r="O2451" s="11">
        <f>IFERROR(__xludf.DUMMYFUNCTION("""COMPUTED_VALUE"""),5023686400)</f>
        <v>5023686400</v>
      </c>
      <c r="P2451" s="11"/>
      <c r="Q2451" s="11"/>
      <c r="R2451" s="11"/>
      <c r="S2451" s="11"/>
      <c r="T2451" s="11"/>
      <c r="U2451" s="11"/>
      <c r="V2451" s="11"/>
      <c r="W2451" s="11"/>
      <c r="X2451" s="11"/>
      <c r="Y2451" s="11"/>
      <c r="Z2451" s="11"/>
    </row>
    <row r="2452" customHeight="1" spans="1:26">
      <c r="A2452" s="11" t="str">
        <f>IFERROR(__xludf.DUMMYFUNCTION("""COMPUTED_VALUE"""),"PEDRO FALCAO DE M CAVALCANTI")</f>
        <v>PEDRO FALCAO DE M CAVALCANTI</v>
      </c>
      <c r="B2452" s="11"/>
      <c r="C2452" s="11"/>
      <c r="D2452" s="11" t="str">
        <f>IFERROR(__xludf.DUMMYFUNCTION("""COMPUTED_VALUE"""),"HEPATOLOGIA")</f>
        <v>HEPATOLOGIA</v>
      </c>
      <c r="E2452" s="11"/>
      <c r="F2452" s="11" t="str">
        <f>IFERROR(__xludf.DUMMYFUNCTION("""COMPUTED_VALUE"""),"US_159 POLICLINICA AGAMENON MAGALHAES")</f>
        <v>US_159 POLICLINICA AGAMENON MAGALHAES</v>
      </c>
      <c r="G2452" s="11" t="str">
        <f>IFERROR(__xludf.DUMMYFUNCTION("""COMPUTED_VALUE"""),"US_217 CENTRO MEDICO SEN JOSE ERMIRIO DE MORAES")</f>
        <v>US_217 CENTRO MEDICO SEN JOSE ERMIRIO DE MORAES</v>
      </c>
      <c r="H2452" s="11"/>
      <c r="I2452" s="11"/>
      <c r="J2452" s="11"/>
      <c r="K2452" s="11"/>
      <c r="L2452" s="11"/>
      <c r="M2452" s="11"/>
      <c r="N2452" s="11"/>
      <c r="O2452" s="11">
        <f>IFERROR(__xludf.DUMMYFUNCTION("""COMPUTED_VALUE"""),5862210423)</f>
        <v>5862210423</v>
      </c>
      <c r="P2452" s="11"/>
      <c r="Q2452" s="11"/>
      <c r="R2452" s="11"/>
      <c r="S2452" s="11"/>
      <c r="T2452" s="11"/>
      <c r="U2452" s="11"/>
      <c r="V2452" s="11"/>
      <c r="W2452" s="11"/>
      <c r="X2452" s="11"/>
      <c r="Y2452" s="11"/>
      <c r="Z2452" s="11"/>
    </row>
    <row r="2453" customHeight="1" spans="1:26">
      <c r="A2453" s="11" t="str">
        <f>IFERROR(__xludf.DUMMYFUNCTION("""COMPUTED_VALUE"""),"ELENILSON PEREIRA DOS SANTOS")</f>
        <v>ELENILSON PEREIRA DOS SANTOS</v>
      </c>
      <c r="B2453" s="11"/>
      <c r="C2453" s="11"/>
      <c r="D2453" s="11" t="str">
        <f>IFERROR(__xludf.DUMMYFUNCTION("""COMPUTED_VALUE"""),"CLINICA GERAL")</f>
        <v>CLINICA GERAL</v>
      </c>
      <c r="E2453" s="11"/>
      <c r="F2453" s="11" t="str">
        <f>IFERROR(__xludf.DUMMYFUNCTION("""COMPUTED_VALUE"""),"US_169 POLICLINICA AMAURY COUTINHO")</f>
        <v>US_169 POLICLINICA AMAURY COUTINHO</v>
      </c>
      <c r="G2453" s="11" t="str">
        <f>IFERROR(__xludf.DUMMYFUNCTION("""COMPUTED_VALUE"""),"US_217 CENTRO MEDICO SEN JOSE ERMIRIO DE MORAES")</f>
        <v>US_217 CENTRO MEDICO SEN JOSE ERMIRIO DE MORAES</v>
      </c>
      <c r="H2453" s="11"/>
      <c r="I2453" s="11"/>
      <c r="J2453" s="11"/>
      <c r="K2453" s="11"/>
      <c r="L2453" s="11"/>
      <c r="M2453" s="11"/>
      <c r="N2453" s="11"/>
      <c r="O2453" s="11">
        <f>IFERROR(__xludf.DUMMYFUNCTION("""COMPUTED_VALUE"""),74978004500)</f>
        <v>74978004500</v>
      </c>
      <c r="P2453" s="11"/>
      <c r="Q2453" s="11"/>
      <c r="R2453" s="11"/>
      <c r="S2453" s="11"/>
      <c r="T2453" s="11"/>
      <c r="U2453" s="11"/>
      <c r="V2453" s="11"/>
      <c r="W2453" s="11"/>
      <c r="X2453" s="11"/>
      <c r="Y2453" s="11"/>
      <c r="Z2453" s="11"/>
    </row>
    <row r="2454" customHeight="1" spans="1:26">
      <c r="A2454" s="11" t="str">
        <f>IFERROR(__xludf.DUMMYFUNCTION("""COMPUTED_VALUE"""),"GABRIELA DE AZEVEDO AMORIM")</f>
        <v>GABRIELA DE AZEVEDO AMORIM</v>
      </c>
      <c r="B2454" s="11"/>
      <c r="C2454" s="11"/>
      <c r="D2454" s="11" t="str">
        <f>IFERROR(__xludf.DUMMYFUNCTION("""COMPUTED_VALUE"""),"PEDIATRIA")</f>
        <v>PEDIATRIA</v>
      </c>
      <c r="E2454" s="11"/>
      <c r="F2454" s="11" t="str">
        <f>IFERROR(__xludf.DUMMYFUNCTION("""COMPUTED_VALUE"""),"US_169 POLICLINICA AMAURY COUTINHO")</f>
        <v>US_169 POLICLINICA AMAURY COUTINHO</v>
      </c>
      <c r="G2454" s="11" t="str">
        <f>IFERROR(__xludf.DUMMYFUNCTION("""COMPUTED_VALUE"""),"US_217 CENTRO MEDICO SEN JOSE ERMIRIO DE MORAES")</f>
        <v>US_217 CENTRO MEDICO SEN JOSE ERMIRIO DE MORAES</v>
      </c>
      <c r="H2454" s="11"/>
      <c r="I2454" s="11"/>
      <c r="J2454" s="11"/>
      <c r="K2454" s="11"/>
      <c r="L2454" s="11"/>
      <c r="M2454" s="11"/>
      <c r="N2454" s="30" t="str">
        <f>IFERROR(__xludf.DUMMYFUNCTION("""COMPUTED_VALUE"""),"gabriela.azevedo84@gmail.com")</f>
        <v>gabriela.azevedo84@gmail.com</v>
      </c>
      <c r="O2454" s="11">
        <f>IFERROR(__xludf.DUMMYFUNCTION("""COMPUTED_VALUE"""),5683590469)</f>
        <v>5683590469</v>
      </c>
      <c r="P2454" s="11"/>
      <c r="Q2454" s="11"/>
      <c r="R2454" s="11"/>
      <c r="S2454" s="11"/>
      <c r="T2454" s="11"/>
      <c r="U2454" s="11"/>
      <c r="V2454" s="11"/>
      <c r="W2454" s="11"/>
      <c r="X2454" s="11"/>
      <c r="Y2454" s="11"/>
      <c r="Z2454" s="11"/>
    </row>
    <row r="2455" customHeight="1" spans="1:26">
      <c r="A2455" s="11" t="str">
        <f>IFERROR(__xludf.DUMMYFUNCTION("""COMPUTED_VALUE"""),"ANA VIRGINIA L G C CAVALCANTI")</f>
        <v>ANA VIRGINIA L G C CAVALCANTI</v>
      </c>
      <c r="B2455" s="11"/>
      <c r="C2455" s="11"/>
      <c r="D2455" s="11" t="str">
        <f>IFERROR(__xludf.DUMMYFUNCTION("""COMPUTED_VALUE"""),"CLINICA MEDICA")</f>
        <v>CLINICA MEDICA</v>
      </c>
      <c r="E2455" s="11"/>
      <c r="F2455" s="11" t="str">
        <f>IFERROR(__xludf.DUMMYFUNCTION("""COMPUTED_VALUE"""),"US_159 POLICLINICA AGAMENON MAGALHAES")</f>
        <v>US_159 POLICLINICA AGAMENON MAGALHAES</v>
      </c>
      <c r="G2455" s="11" t="str">
        <f>IFERROR(__xludf.DUMMYFUNCTION("""COMPUTED_VALUE"""),"US_217 CENTRO MEDICO SEN JOSE ERMIRIO DE MORAES")</f>
        <v>US_217 CENTRO MEDICO SEN JOSE ERMIRIO DE MORAES</v>
      </c>
      <c r="H2455" s="11"/>
      <c r="I2455" s="11"/>
      <c r="J2455" s="11"/>
      <c r="K2455" s="11"/>
      <c r="L2455" s="11"/>
      <c r="M2455" s="11"/>
      <c r="N2455" s="30" t="str">
        <f>IFERROR(__xludf.DUMMYFUNCTION("""COMPUTED_VALUE"""),"anavirginiacc83@gmail.com")</f>
        <v>anavirginiacc83@gmail.com</v>
      </c>
      <c r="O2455" s="11">
        <f>IFERROR(__xludf.DUMMYFUNCTION("""COMPUTED_VALUE"""),4566311430)</f>
        <v>4566311430</v>
      </c>
      <c r="P2455" s="11"/>
      <c r="Q2455" s="11"/>
      <c r="R2455" s="11"/>
      <c r="S2455" s="11"/>
      <c r="T2455" s="11"/>
      <c r="U2455" s="11"/>
      <c r="V2455" s="11"/>
      <c r="W2455" s="11"/>
      <c r="X2455" s="11"/>
      <c r="Y2455" s="11"/>
      <c r="Z2455" s="11"/>
    </row>
    <row r="2456" customHeight="1" spans="1:26">
      <c r="A2456" s="11" t="str">
        <f>IFERROR(__xludf.DUMMYFUNCTION("""COMPUTED_VALUE"""),"MUCIO LEONCIO LIMA FILHO")</f>
        <v>MUCIO LEONCIO LIMA FILHO</v>
      </c>
      <c r="B2456" s="11"/>
      <c r="C2456" s="11"/>
      <c r="D2456" s="11" t="str">
        <f>IFERROR(__xludf.DUMMYFUNCTION("""COMPUTED_VALUE"""),"CLINICA GERAL")</f>
        <v>CLINICA GERAL</v>
      </c>
      <c r="E2456" s="11"/>
      <c r="F2456" s="11" t="str">
        <f>IFERROR(__xludf.DUMMYFUNCTION("""COMPUTED_VALUE"""),"US_159 POLICLINICA AGAMENON MAGALHAES")</f>
        <v>US_159 POLICLINICA AGAMENON MAGALHAES</v>
      </c>
      <c r="G2456" s="11" t="str">
        <f>IFERROR(__xludf.DUMMYFUNCTION("""COMPUTED_VALUE"""),"US_217 CENTRO MEDICO SEN JOSE ERMIRIO DE MORAES")</f>
        <v>US_217 CENTRO MEDICO SEN JOSE ERMIRIO DE MORAES</v>
      </c>
      <c r="H2456" s="11"/>
      <c r="I2456" s="11"/>
      <c r="J2456" s="11"/>
      <c r="K2456" s="11"/>
      <c r="L2456" s="11"/>
      <c r="M2456" s="11"/>
      <c r="N2456" s="30" t="str">
        <f>IFERROR(__xludf.DUMMYFUNCTION("""COMPUTED_VALUE"""),"mleonciolima@gmail.com")</f>
        <v>mleonciolima@gmail.com</v>
      </c>
      <c r="O2456" s="11">
        <f>IFERROR(__xludf.DUMMYFUNCTION("""COMPUTED_VALUE"""),5048553446)</f>
        <v>5048553446</v>
      </c>
      <c r="P2456" s="11"/>
      <c r="Q2456" s="11"/>
      <c r="R2456" s="11"/>
      <c r="S2456" s="11"/>
      <c r="T2456" s="11"/>
      <c r="U2456" s="11"/>
      <c r="V2456" s="11"/>
      <c r="W2456" s="11"/>
      <c r="X2456" s="11"/>
      <c r="Y2456" s="11"/>
      <c r="Z2456" s="11"/>
    </row>
    <row r="2457" customHeight="1" spans="1:26">
      <c r="A2457" s="11" t="str">
        <f>IFERROR(__xludf.DUMMYFUNCTION("""COMPUTED_VALUE"""),"HENRIQUE SIVINI DE FARIAS")</f>
        <v>HENRIQUE SIVINI DE FARIAS</v>
      </c>
      <c r="B2457" s="11"/>
      <c r="C2457" s="11"/>
      <c r="D2457" s="11" t="str">
        <f>IFERROR(__xludf.DUMMYFUNCTION("""COMPUTED_VALUE"""),"CLINICA GERAL")</f>
        <v>CLINICA GERAL</v>
      </c>
      <c r="E2457" s="11"/>
      <c r="F2457" s="11" t="str">
        <f>IFERROR(__xludf.DUMMYFUNCTION("""COMPUTED_VALUE"""),"US_159 POLICLINICA AGAMENON MAGALHAES")</f>
        <v>US_159 POLICLINICA AGAMENON MAGALHAES</v>
      </c>
      <c r="G2457" s="11" t="str">
        <f>IFERROR(__xludf.DUMMYFUNCTION("""COMPUTED_VALUE"""),"US_217 CENTRO MEDICO SEN JOSE ERMIRIO DE MORAES")</f>
        <v>US_217 CENTRO MEDICO SEN JOSE ERMIRIO DE MORAES</v>
      </c>
      <c r="H2457" s="11"/>
      <c r="I2457" s="11"/>
      <c r="J2457" s="11"/>
      <c r="K2457" s="11"/>
      <c r="L2457" s="11"/>
      <c r="M2457" s="11"/>
      <c r="N2457" s="30" t="str">
        <f>IFERROR(__xludf.DUMMYFUNCTION("""COMPUTED_VALUE"""),"henrique_sivini@hotmail.com")</f>
        <v>henrique_sivini@hotmail.com</v>
      </c>
      <c r="O2457" s="11">
        <f>IFERROR(__xludf.DUMMYFUNCTION("""COMPUTED_VALUE"""),8943225407)</f>
        <v>8943225407</v>
      </c>
      <c r="P2457" s="11"/>
      <c r="Q2457" s="11"/>
      <c r="R2457" s="11"/>
      <c r="S2457" s="11"/>
      <c r="T2457" s="11"/>
      <c r="U2457" s="11"/>
      <c r="V2457" s="11"/>
      <c r="W2457" s="11"/>
      <c r="X2457" s="11"/>
      <c r="Y2457" s="11"/>
      <c r="Z2457" s="11"/>
    </row>
    <row r="2458" customHeight="1" spans="1:26">
      <c r="A2458" s="11" t="str">
        <f>IFERROR(__xludf.DUMMYFUNCTION("""COMPUTED_VALUE"""),"BRUNA F P DA SILVA VALADARES")</f>
        <v>BRUNA F P DA SILVA VALADARES</v>
      </c>
      <c r="B2458" s="11"/>
      <c r="C2458" s="11"/>
      <c r="D2458" s="11" t="str">
        <f>IFERROR(__xludf.DUMMYFUNCTION("""COMPUTED_VALUE"""),"CLINICA GERAL")</f>
        <v>CLINICA GERAL</v>
      </c>
      <c r="E2458" s="11"/>
      <c r="F2458" s="11" t="str">
        <f>IFERROR(__xludf.DUMMYFUNCTION("""COMPUTED_VALUE"""),"US_169 POLICLINICA AMAURY COUTINHO")</f>
        <v>US_169 POLICLINICA AMAURY COUTINHO</v>
      </c>
      <c r="G2458" s="11" t="str">
        <f>IFERROR(__xludf.DUMMYFUNCTION("""COMPUTED_VALUE"""),"US_217 CENTRO MEDICO SEN JOSE ERMIRIO DE MORAES")</f>
        <v>US_217 CENTRO MEDICO SEN JOSE ERMIRIO DE MORAES</v>
      </c>
      <c r="H2458" s="11"/>
      <c r="I2458" s="11"/>
      <c r="J2458" s="11"/>
      <c r="K2458" s="11"/>
      <c r="L2458" s="11"/>
      <c r="M2458" s="11"/>
      <c r="N2458" s="30" t="str">
        <f>IFERROR(__xludf.DUMMYFUNCTION("""COMPUTED_VALUE"""),"brunafpereira@yahoo.com.br")</f>
        <v>brunafpereira@yahoo.com.br</v>
      </c>
      <c r="O2458" s="11">
        <f>IFERROR(__xludf.DUMMYFUNCTION("""COMPUTED_VALUE"""),4172818463)</f>
        <v>4172818463</v>
      </c>
      <c r="P2458" s="11"/>
      <c r="Q2458" s="11"/>
      <c r="R2458" s="11"/>
      <c r="S2458" s="11"/>
      <c r="T2458" s="11"/>
      <c r="U2458" s="11"/>
      <c r="V2458" s="11"/>
      <c r="W2458" s="11"/>
      <c r="X2458" s="11"/>
      <c r="Y2458" s="11"/>
      <c r="Z2458" s="11"/>
    </row>
    <row r="2459" customHeight="1" spans="1:26">
      <c r="A2459" s="11" t="str">
        <f>IFERROR(__xludf.DUMMYFUNCTION("""COMPUTED_VALUE"""),"SILVIO EDUARDO F CAJUEIRO")</f>
        <v>SILVIO EDUARDO F CAJUEIRO</v>
      </c>
      <c r="B2459" s="11"/>
      <c r="C2459" s="11"/>
      <c r="D2459" s="11" t="str">
        <f>IFERROR(__xludf.DUMMYFUNCTION("""COMPUTED_VALUE"""),"CLINICA GERAL")</f>
        <v>CLINICA GERAL</v>
      </c>
      <c r="E2459" s="11"/>
      <c r="F2459" s="11" t="str">
        <f>IFERROR(__xludf.DUMMYFUNCTION("""COMPUTED_VALUE"""),"US_169 POLICLINICA AMAURY COUTINHO")</f>
        <v>US_169 POLICLINICA AMAURY COUTINHO</v>
      </c>
      <c r="G2459" s="11" t="str">
        <f>IFERROR(__xludf.DUMMYFUNCTION("""COMPUTED_VALUE"""),"US_321 CENTRAL DE ALERGOLOGIA")</f>
        <v>US_321 CENTRAL DE ALERGOLOGIA</v>
      </c>
      <c r="H2459" s="11"/>
      <c r="I2459" s="11"/>
      <c r="J2459" s="11"/>
      <c r="K2459" s="11"/>
      <c r="L2459" s="11"/>
      <c r="M2459" s="11"/>
      <c r="N2459" s="30" t="str">
        <f>IFERROR(__xludf.DUMMYFUNCTION("""COMPUTED_VALUE"""),"silvio.cajueiro@hotmail.com")</f>
        <v>silvio.cajueiro@hotmail.com</v>
      </c>
      <c r="O2459" s="11">
        <f>IFERROR(__xludf.DUMMYFUNCTION("""COMPUTED_VALUE"""),825973406)</f>
        <v>825973406</v>
      </c>
      <c r="P2459" s="11"/>
      <c r="Q2459" s="11"/>
      <c r="R2459" s="11"/>
      <c r="S2459" s="11"/>
      <c r="T2459" s="11"/>
      <c r="U2459" s="11"/>
      <c r="V2459" s="11"/>
      <c r="W2459" s="11"/>
      <c r="X2459" s="11"/>
      <c r="Y2459" s="11"/>
      <c r="Z2459" s="11"/>
    </row>
    <row r="2460" customHeight="1" spans="1:26">
      <c r="A2460" s="11" t="str">
        <f>IFERROR(__xludf.DUMMYFUNCTION("""COMPUTED_VALUE"""),"ALEXANDRE BATISTA DE ARRUDA")</f>
        <v>ALEXANDRE BATISTA DE ARRUDA</v>
      </c>
      <c r="B2460" s="11"/>
      <c r="C2460" s="11"/>
      <c r="D2460" s="11" t="str">
        <f>IFERROR(__xludf.DUMMYFUNCTION("""COMPUTED_VALUE"""),"CLINICA GERAL")</f>
        <v>CLINICA GERAL</v>
      </c>
      <c r="E2460" s="11"/>
      <c r="F2460" s="11" t="str">
        <f>IFERROR(__xludf.DUMMYFUNCTION("""COMPUTED_VALUE"""),"US_159 POLICLINICA AGAMENON MAGALHAES")</f>
        <v>US_159 POLICLINICA AGAMENON MAGALHAES</v>
      </c>
      <c r="G2460" s="11" t="str">
        <f>IFERROR(__xludf.DUMMYFUNCTION("""COMPUTED_VALUE"""),"US_217 CENTRO MEDICO SEN JOSE ERMIRIO DE MORAES")</f>
        <v>US_217 CENTRO MEDICO SEN JOSE ERMIRIO DE MORAES</v>
      </c>
      <c r="H2460" s="11"/>
      <c r="I2460" s="11"/>
      <c r="J2460" s="11"/>
      <c r="K2460" s="11"/>
      <c r="L2460" s="11"/>
      <c r="M2460" s="11"/>
      <c r="N2460" s="30" t="str">
        <f>IFERROR(__xludf.DUMMYFUNCTION("""COMPUTED_VALUE"""),"alexandrearruda.pe@hotmail.com")</f>
        <v>alexandrearruda.pe@hotmail.com</v>
      </c>
      <c r="O2460" s="11">
        <f>IFERROR(__xludf.DUMMYFUNCTION("""COMPUTED_VALUE"""),4272594443)</f>
        <v>4272594443</v>
      </c>
      <c r="P2460" s="11"/>
      <c r="Q2460" s="11"/>
      <c r="R2460" s="11"/>
      <c r="S2460" s="11"/>
      <c r="T2460" s="11"/>
      <c r="U2460" s="11"/>
      <c r="V2460" s="11"/>
      <c r="W2460" s="11"/>
      <c r="X2460" s="11"/>
      <c r="Y2460" s="11"/>
      <c r="Z2460" s="11"/>
    </row>
    <row r="2461" customHeight="1" spans="1:26">
      <c r="A2461" s="11" t="str">
        <f>IFERROR(__xludf.DUMMYFUNCTION("""COMPUTED_VALUE"""),"RAFAEL RICARDO DE O TRAVASSOS")</f>
        <v>RAFAEL RICARDO DE O TRAVASSOS</v>
      </c>
      <c r="B2461" s="11"/>
      <c r="C2461" s="11"/>
      <c r="D2461" s="11" t="str">
        <f>IFERROR(__xludf.DUMMYFUNCTION("""COMPUTED_VALUE"""),"CLINICA GERAL")</f>
        <v>CLINICA GERAL</v>
      </c>
      <c r="E2461" s="11"/>
      <c r="F2461" s="11" t="str">
        <f>IFERROR(__xludf.DUMMYFUNCTION("""COMPUTED_VALUE"""),"US_159 POLICLINICA AGAMENON MAGALHAES")</f>
        <v>US_159 POLICLINICA AGAMENON MAGALHAES</v>
      </c>
      <c r="G2461" s="11" t="str">
        <f>IFERROR(__xludf.DUMMYFUNCTION("""COMPUTED_VALUE"""),"US_129 AMEM AMBULATORIO ESPECIALIZADO DA MULHER")</f>
        <v>US_129 AMEM AMBULATORIO ESPECIALIZADO DA MULHER</v>
      </c>
      <c r="H2461" s="11"/>
      <c r="I2461" s="11"/>
      <c r="J2461" s="11"/>
      <c r="K2461" s="11"/>
      <c r="L2461" s="11"/>
      <c r="M2461" s="11"/>
      <c r="N2461" s="30" t="str">
        <f>IFERROR(__xludf.DUMMYFUNCTION("""COMPUTED_VALUE"""),"rafael_travassos88@hotmail.com")</f>
        <v>rafael_travassos88@hotmail.com</v>
      </c>
      <c r="O2461" s="11">
        <f>IFERROR(__xludf.DUMMYFUNCTION("""COMPUTED_VALUE"""),1378677439)</f>
        <v>1378677439</v>
      </c>
      <c r="P2461" s="11"/>
      <c r="Q2461" s="11"/>
      <c r="R2461" s="11"/>
      <c r="S2461" s="11"/>
      <c r="T2461" s="11"/>
      <c r="U2461" s="11"/>
      <c r="V2461" s="11"/>
      <c r="W2461" s="11"/>
      <c r="X2461" s="11"/>
      <c r="Y2461" s="11"/>
      <c r="Z2461" s="11"/>
    </row>
    <row r="2462" customHeight="1" spans="1:26">
      <c r="A2462" s="11" t="str">
        <f>IFERROR(__xludf.DUMMYFUNCTION("""COMPUTED_VALUE"""),"THACIANA FIGUEREDO L PEIXOTO")</f>
        <v>THACIANA FIGUEREDO L PEIXOTO</v>
      </c>
      <c r="B2462" s="11"/>
      <c r="C2462" s="11"/>
      <c r="D2462" s="11" t="str">
        <f>IFERROR(__xludf.DUMMYFUNCTION("""COMPUTED_VALUE"""),"CLINICA GERAL")</f>
        <v>CLINICA GERAL</v>
      </c>
      <c r="E2462" s="11"/>
      <c r="F2462" s="11" t="str">
        <f>IFERROR(__xludf.DUMMYFUNCTION("""COMPUTED_VALUE"""),"US_159 POLICLINICA AGAMENON MAGALHAES")</f>
        <v>US_159 POLICLINICA AGAMENON MAGALHAES</v>
      </c>
      <c r="G2462" s="11" t="str">
        <f>IFERROR(__xludf.DUMMYFUNCTION("""COMPUTED_VALUE"""),"US_217 CENTRO MEDICO SEN JOSE ERMIRIO DE MORAES")</f>
        <v>US_217 CENTRO MEDICO SEN JOSE ERMIRIO DE MORAES</v>
      </c>
      <c r="H2462" s="11"/>
      <c r="I2462" s="11"/>
      <c r="J2462" s="11"/>
      <c r="K2462" s="11"/>
      <c r="L2462" s="11"/>
      <c r="M2462" s="11"/>
      <c r="N2462" s="30" t="str">
        <f>IFERROR(__xludf.DUMMYFUNCTION("""COMPUTED_VALUE"""),"thacianalima18@yahoo.com.br")</f>
        <v>thacianalima18@yahoo.com.br</v>
      </c>
      <c r="O2462" s="11">
        <f>IFERROR(__xludf.DUMMYFUNCTION("""COMPUTED_VALUE"""),62769685368)</f>
        <v>62769685368</v>
      </c>
      <c r="P2462" s="11"/>
      <c r="Q2462" s="11"/>
      <c r="R2462" s="11"/>
      <c r="S2462" s="11"/>
      <c r="T2462" s="11"/>
      <c r="U2462" s="11"/>
      <c r="V2462" s="11"/>
      <c r="W2462" s="11"/>
      <c r="X2462" s="11"/>
      <c r="Y2462" s="11"/>
      <c r="Z2462" s="11"/>
    </row>
    <row r="2463" customHeight="1" spans="1:26">
      <c r="A2463" s="11" t="str">
        <f>IFERROR(__xludf.DUMMYFUNCTION("""COMPUTED_VALUE"""),"MARILIA AGOSTINHO DE L GOMES")</f>
        <v>MARILIA AGOSTINHO DE L GOMES</v>
      </c>
      <c r="B2463" s="11"/>
      <c r="C2463" s="11"/>
      <c r="D2463" s="11" t="str">
        <f>IFERROR(__xludf.DUMMYFUNCTION("""COMPUTED_VALUE"""),"CLINICA GERAL")</f>
        <v>CLINICA GERAL</v>
      </c>
      <c r="E2463" s="11"/>
      <c r="F2463" s="11" t="str">
        <f>IFERROR(__xludf.DUMMYFUNCTION("""COMPUTED_VALUE"""),"US_169 POLICLINICA AMAURY COUTINHO")</f>
        <v>US_169 POLICLINICA AMAURY COUTINHO</v>
      </c>
      <c r="G2463" s="11" t="str">
        <f>IFERROR(__xludf.DUMMYFUNCTION("""COMPUTED_VALUE"""),"US_217 CENTRO MEDICO SEN JOSE ERMIRIO DE MORAES")</f>
        <v>US_217 CENTRO MEDICO SEN JOSE ERMIRIO DE MORAES</v>
      </c>
      <c r="H2463" s="11"/>
      <c r="I2463" s="11"/>
      <c r="J2463" s="11"/>
      <c r="K2463" s="11"/>
      <c r="L2463" s="11"/>
      <c r="M2463" s="11"/>
      <c r="N2463" s="30" t="str">
        <f>IFERROR(__xludf.DUMMYFUNCTION("""COMPUTED_VALUE"""),"lilaalima@yahoo.com.br")</f>
        <v>lilaalima@yahoo.com.br</v>
      </c>
      <c r="O2463" s="11">
        <f>IFERROR(__xludf.DUMMYFUNCTION("""COMPUTED_VALUE"""),4168677400)</f>
        <v>4168677400</v>
      </c>
      <c r="P2463" s="11"/>
      <c r="Q2463" s="11"/>
      <c r="R2463" s="11"/>
      <c r="S2463" s="11"/>
      <c r="T2463" s="11"/>
      <c r="U2463" s="11"/>
      <c r="V2463" s="11"/>
      <c r="W2463" s="11"/>
      <c r="X2463" s="11"/>
      <c r="Y2463" s="11"/>
      <c r="Z2463" s="11"/>
    </row>
    <row r="2464" customHeight="1" spans="1:26">
      <c r="A2464" s="11" t="str">
        <f>IFERROR(__xludf.DUMMYFUNCTION("""COMPUTED_VALUE"""),"MICHELLE MOURA DE SOUSA")</f>
        <v>MICHELLE MOURA DE SOUSA</v>
      </c>
      <c r="B2464" s="11"/>
      <c r="C2464" s="11"/>
      <c r="D2464" s="11" t="str">
        <f>IFERROR(__xludf.DUMMYFUNCTION("""COMPUTED_VALUE"""),"CLINICA GERAL")</f>
        <v>CLINICA GERAL</v>
      </c>
      <c r="E2464" s="11"/>
      <c r="F2464" s="11" t="str">
        <f>IFERROR(__xludf.DUMMYFUNCTION("""COMPUTED_VALUE"""),"US_169 POLICLINICA AMAURY COUTINHO")</f>
        <v>US_169 POLICLINICA AMAURY COUTINHO</v>
      </c>
      <c r="G2464" s="11" t="str">
        <f>IFERROR(__xludf.DUMMYFUNCTION("""COMPUTED_VALUE"""),"US_217 CENTRO MEDICO SEN JOSE ERMIRIO DE MORAES")</f>
        <v>US_217 CENTRO MEDICO SEN JOSE ERMIRIO DE MORAES</v>
      </c>
      <c r="H2464" s="11"/>
      <c r="I2464" s="11"/>
      <c r="J2464" s="11"/>
      <c r="K2464" s="11"/>
      <c r="L2464" s="11"/>
      <c r="M2464" s="11"/>
      <c r="N2464" s="30" t="str">
        <f>IFERROR(__xludf.DUMMYFUNCTION("""COMPUTED_VALUE"""),"michelleupe@gmail.com")</f>
        <v>michelleupe@gmail.com</v>
      </c>
      <c r="O2464" s="11">
        <f>IFERROR(__xludf.DUMMYFUNCTION("""COMPUTED_VALUE"""),4168928411)</f>
        <v>4168928411</v>
      </c>
      <c r="P2464" s="11"/>
      <c r="Q2464" s="11"/>
      <c r="R2464" s="11"/>
      <c r="S2464" s="11"/>
      <c r="T2464" s="11"/>
      <c r="U2464" s="11"/>
      <c r="V2464" s="11"/>
      <c r="W2464" s="11"/>
      <c r="X2464" s="11"/>
      <c r="Y2464" s="11"/>
      <c r="Z2464" s="11"/>
    </row>
    <row r="2465" customHeight="1" spans="1:26">
      <c r="A2465" s="11" t="str">
        <f>IFERROR(__xludf.DUMMYFUNCTION("""COMPUTED_VALUE"""),"RENATO RICARDO DE O TRAVASSOS")</f>
        <v>RENATO RICARDO DE O TRAVASSOS</v>
      </c>
      <c r="B2465" s="11"/>
      <c r="C2465" s="11"/>
      <c r="D2465" s="11" t="str">
        <f>IFERROR(__xludf.DUMMYFUNCTION("""COMPUTED_VALUE"""),"CLINICA GERAL")</f>
        <v>CLINICA GERAL</v>
      </c>
      <c r="E2465" s="11"/>
      <c r="F2465" s="11" t="str">
        <f>IFERROR(__xludf.DUMMYFUNCTION("""COMPUTED_VALUE"""),"US_159 POLICLINICA AGAMENON MAGALHAES")</f>
        <v>US_159 POLICLINICA AGAMENON MAGALHAES</v>
      </c>
      <c r="G2465" s="11" t="str">
        <f>IFERROR(__xludf.DUMMYFUNCTION("""COMPUTED_VALUE"""),"US_217 CENTRO MEDICO SEN JOSE ERMIRIO DE MORAES")</f>
        <v>US_217 CENTRO MEDICO SEN JOSE ERMIRIO DE MORAES</v>
      </c>
      <c r="H2465" s="11"/>
      <c r="I2465" s="11"/>
      <c r="J2465" s="11"/>
      <c r="K2465" s="11"/>
      <c r="L2465" s="11"/>
      <c r="M2465" s="11"/>
      <c r="N2465" s="30" t="str">
        <f>IFERROR(__xludf.DUMMYFUNCTION("""COMPUTED_VALUE"""),"renatoricardo_88@hotmail.com")</f>
        <v>renatoricardo_88@hotmail.com</v>
      </c>
      <c r="O2465" s="11">
        <f>IFERROR(__xludf.DUMMYFUNCTION("""COMPUTED_VALUE"""),1378680499)</f>
        <v>1378680499</v>
      </c>
      <c r="P2465" s="11"/>
      <c r="Q2465" s="11"/>
      <c r="R2465" s="11"/>
      <c r="S2465" s="11"/>
      <c r="T2465" s="11"/>
      <c r="U2465" s="11"/>
      <c r="V2465" s="11"/>
      <c r="W2465" s="11"/>
      <c r="X2465" s="11"/>
      <c r="Y2465" s="11"/>
      <c r="Z2465" s="11"/>
    </row>
    <row r="2466" customHeight="1" spans="1:26">
      <c r="A2466" s="11" t="str">
        <f>IFERROR(__xludf.DUMMYFUNCTION("""COMPUTED_VALUE"""),"ALEXANDRE DE MOURA CAMPELO")</f>
        <v>ALEXANDRE DE MOURA CAMPELO</v>
      </c>
      <c r="B2466" s="11"/>
      <c r="C2466" s="11"/>
      <c r="D2466" s="11" t="str">
        <f>IFERROR(__xludf.DUMMYFUNCTION("""COMPUTED_VALUE"""),"CLINICA GERAL")</f>
        <v>CLINICA GERAL</v>
      </c>
      <c r="E2466" s="11"/>
      <c r="F2466" s="11" t="str">
        <f>IFERROR(__xludf.DUMMYFUNCTION("""COMPUTED_VALUE"""),"US_159 POLICLINICA AGAMENON MAGALHAES")</f>
        <v>US_159 POLICLINICA AGAMENON MAGALHAES</v>
      </c>
      <c r="G2466" s="11" t="str">
        <f>IFERROR(__xludf.DUMMYFUNCTION("""COMPUTED_VALUE"""),"US_129 AMEM AMBULATORIO ESPECIALIZADO DA MULHER")</f>
        <v>US_129 AMEM AMBULATORIO ESPECIALIZADO DA MULHER</v>
      </c>
      <c r="H2466" s="11"/>
      <c r="I2466" s="11"/>
      <c r="J2466" s="11"/>
      <c r="K2466" s="11"/>
      <c r="L2466" s="11"/>
      <c r="M2466" s="11"/>
      <c r="N2466" s="30" t="str">
        <f>IFERROR(__xludf.DUMMYFUNCTION("""COMPUTED_VALUE"""),"0")</f>
        <v>0</v>
      </c>
      <c r="O2466" s="11">
        <f>IFERROR(__xludf.DUMMYFUNCTION("""COMPUTED_VALUE"""),32275927387)</f>
        <v>32275927387</v>
      </c>
      <c r="P2466" s="11"/>
      <c r="Q2466" s="11"/>
      <c r="R2466" s="11"/>
      <c r="S2466" s="11"/>
      <c r="T2466" s="11"/>
      <c r="U2466" s="11"/>
      <c r="V2466" s="11"/>
      <c r="W2466" s="11"/>
      <c r="X2466" s="11"/>
      <c r="Y2466" s="11"/>
      <c r="Z2466" s="11"/>
    </row>
    <row r="2467" customHeight="1" spans="1:26">
      <c r="A2467" s="11" t="str">
        <f>IFERROR(__xludf.DUMMYFUNCTION("""COMPUTED_VALUE"""),"ANNE CAROLINE ADRIANA DA SILVA")</f>
        <v>ANNE CAROLINE ADRIANA DA SILVA</v>
      </c>
      <c r="B2467" s="11"/>
      <c r="C2467" s="11"/>
      <c r="D2467" s="11" t="str">
        <f>IFERROR(__xludf.DUMMYFUNCTION("""COMPUTED_VALUE"""),"CLINICA GERAL")</f>
        <v>CLINICA GERAL</v>
      </c>
      <c r="E2467" s="11"/>
      <c r="F2467" s="11" t="str">
        <f>IFERROR(__xludf.DUMMYFUNCTION("""COMPUTED_VALUE"""),"US_159 POLICLINICA AGAMENON MAGALHAES")</f>
        <v>US_159 POLICLINICA AGAMENON MAGALHAES</v>
      </c>
      <c r="G2467" s="11" t="str">
        <f>IFERROR(__xludf.DUMMYFUNCTION("""COMPUTED_VALUE"""),"US_217 CENTRO MEDICO SEN JOSE ERMIRIO DE MORAES")</f>
        <v>US_217 CENTRO MEDICO SEN JOSE ERMIRIO DE MORAES</v>
      </c>
      <c r="H2467" s="11"/>
      <c r="I2467" s="11"/>
      <c r="J2467" s="11"/>
      <c r="K2467" s="11"/>
      <c r="L2467" s="11"/>
      <c r="M2467" s="11"/>
      <c r="N2467" s="30" t="str">
        <f>IFERROR(__xludf.DUMMYFUNCTION("""COMPUTED_VALUE"""),"annecarolmed@gmail.com")</f>
        <v>annecarolmed@gmail.com</v>
      </c>
      <c r="O2467" s="11">
        <f>IFERROR(__xludf.DUMMYFUNCTION("""COMPUTED_VALUE"""),7414511405)</f>
        <v>7414511405</v>
      </c>
      <c r="P2467" s="11"/>
      <c r="Q2467" s="11"/>
      <c r="R2467" s="11"/>
      <c r="S2467" s="11"/>
      <c r="T2467" s="11"/>
      <c r="U2467" s="11"/>
      <c r="V2467" s="11"/>
      <c r="W2467" s="11"/>
      <c r="X2467" s="11"/>
      <c r="Y2467" s="11"/>
      <c r="Z2467" s="11"/>
    </row>
    <row r="2468" customHeight="1" spans="1:26">
      <c r="A2468" s="11" t="str">
        <f>IFERROR(__xludf.DUMMYFUNCTION("""COMPUTED_VALUE"""),"DANIELA DE SOUZA PASSOS")</f>
        <v>DANIELA DE SOUZA PASSOS</v>
      </c>
      <c r="B2468" s="11"/>
      <c r="C2468" s="11"/>
      <c r="D2468" s="11" t="str">
        <f>IFERROR(__xludf.DUMMYFUNCTION("""COMPUTED_VALUE"""),"CLINICA GERAL")</f>
        <v>CLINICA GERAL</v>
      </c>
      <c r="E2468" s="11"/>
      <c r="F2468" s="11" t="str">
        <f>IFERROR(__xludf.DUMMYFUNCTION("""COMPUTED_VALUE"""),"US_169 POLICLINICA AMAURY COUTINHO")</f>
        <v>US_169 POLICLINICA AMAURY COUTINHO</v>
      </c>
      <c r="G2468" s="11" t="str">
        <f>IFERROR(__xludf.DUMMYFUNCTION("""COMPUTED_VALUE"""),"US_217 CENTRO MEDICO SEN JOSE ERMIRIO DE MORAES")</f>
        <v>US_217 CENTRO MEDICO SEN JOSE ERMIRIO DE MORAES</v>
      </c>
      <c r="H2468" s="11"/>
      <c r="I2468" s="11"/>
      <c r="J2468" s="11"/>
      <c r="K2468" s="11"/>
      <c r="L2468" s="11"/>
      <c r="M2468" s="11"/>
      <c r="N2468" s="30" t="str">
        <f>IFERROR(__xludf.DUMMYFUNCTION("""COMPUTED_VALUE"""),"danieladsp@gmail.com")</f>
        <v>danieladsp@gmail.com</v>
      </c>
      <c r="O2468" s="11">
        <f>IFERROR(__xludf.DUMMYFUNCTION("""COMPUTED_VALUE"""),4392320405)</f>
        <v>4392320405</v>
      </c>
      <c r="P2468" s="11"/>
      <c r="Q2468" s="11"/>
      <c r="R2468" s="11"/>
      <c r="S2468" s="11"/>
      <c r="T2468" s="11"/>
      <c r="U2468" s="11"/>
      <c r="V2468" s="11"/>
      <c r="W2468" s="11"/>
      <c r="X2468" s="11"/>
      <c r="Y2468" s="11"/>
      <c r="Z2468" s="11"/>
    </row>
    <row r="2469" customHeight="1" spans="1:26">
      <c r="A2469" s="11" t="str">
        <f>IFERROR(__xludf.DUMMYFUNCTION("""COMPUTED_VALUE"""),"EVELYN HOLANDA VASCONCELOS")</f>
        <v>EVELYN HOLANDA VASCONCELOS</v>
      </c>
      <c r="B2469" s="11"/>
      <c r="C2469" s="11"/>
      <c r="D2469" s="11" t="str">
        <f>IFERROR(__xludf.DUMMYFUNCTION("""COMPUTED_VALUE"""),"CLINICA GERAL")</f>
        <v>CLINICA GERAL</v>
      </c>
      <c r="E2469" s="11"/>
      <c r="F2469" s="11" t="str">
        <f>IFERROR(__xludf.DUMMYFUNCTION("""COMPUTED_VALUE"""),"US_159 POLICLINICA AGAMENON MAGALHAES")</f>
        <v>US_159 POLICLINICA AGAMENON MAGALHAES</v>
      </c>
      <c r="G2469" s="11" t="str">
        <f>IFERROR(__xludf.DUMMYFUNCTION("""COMPUTED_VALUE"""),"US_321 CENTRAL DE ALERGOLOGIA")</f>
        <v>US_321 CENTRAL DE ALERGOLOGIA</v>
      </c>
      <c r="H2469" s="11"/>
      <c r="I2469" s="11"/>
      <c r="J2469" s="11"/>
      <c r="K2469" s="11"/>
      <c r="L2469" s="11"/>
      <c r="M2469" s="11"/>
      <c r="N2469" s="30" t="str">
        <f>IFERROR(__xludf.DUMMYFUNCTION("""COMPUTED_VALUE"""),"evelynvasconcelos@yahoo.com.br")</f>
        <v>evelynvasconcelos@yahoo.com.br</v>
      </c>
      <c r="O2469" s="11">
        <f>IFERROR(__xludf.DUMMYFUNCTION("""COMPUTED_VALUE"""),7402330419)</f>
        <v>7402330419</v>
      </c>
      <c r="P2469" s="11"/>
      <c r="Q2469" s="11"/>
      <c r="R2469" s="11"/>
      <c r="S2469" s="11"/>
      <c r="T2469" s="11"/>
      <c r="U2469" s="11"/>
      <c r="V2469" s="11"/>
      <c r="W2469" s="11"/>
      <c r="X2469" s="11"/>
      <c r="Y2469" s="11"/>
      <c r="Z2469" s="11"/>
    </row>
    <row r="2470" customHeight="1" spans="1:26">
      <c r="A2470" s="11" t="str">
        <f>IFERROR(__xludf.DUMMYFUNCTION("""COMPUTED_VALUE"""),"GABRIELA CALADO SILVA")</f>
        <v>GABRIELA CALADO SILVA</v>
      </c>
      <c r="B2470" s="11"/>
      <c r="C2470" s="11"/>
      <c r="D2470" s="11" t="str">
        <f>IFERROR(__xludf.DUMMYFUNCTION("""COMPUTED_VALUE"""),"CLINICA GERAL")</f>
        <v>CLINICA GERAL</v>
      </c>
      <c r="E2470" s="11"/>
      <c r="F2470" s="11" t="str">
        <f>IFERROR(__xludf.DUMMYFUNCTION("""COMPUTED_VALUE"""),"US_159 POLICLINICA AGAMENON MAGALHAES")</f>
        <v>US_159 POLICLINICA AGAMENON MAGALHAES</v>
      </c>
      <c r="G2470" s="11" t="str">
        <f>IFERROR(__xludf.DUMMYFUNCTION("""COMPUTED_VALUE"""),"US_129 AMEM AMBULATORIO ESPECIALIZADO DA MULHER")</f>
        <v>US_129 AMEM AMBULATORIO ESPECIALIZADO DA MULHER</v>
      </c>
      <c r="H2470" s="11"/>
      <c r="I2470" s="11"/>
      <c r="J2470" s="11"/>
      <c r="K2470" s="11"/>
      <c r="L2470" s="11"/>
      <c r="M2470" s="11"/>
      <c r="N2470" s="30" t="str">
        <f>IFERROR(__xludf.DUMMYFUNCTION("""COMPUTED_VALUE"""),"gabielacaladosilva@gmail.com")</f>
        <v>gabielacaladosilva@gmail.com</v>
      </c>
      <c r="O2470" s="11">
        <f>IFERROR(__xludf.DUMMYFUNCTION("""COMPUTED_VALUE"""),7428175470)</f>
        <v>7428175470</v>
      </c>
      <c r="P2470" s="11"/>
      <c r="Q2470" s="11"/>
      <c r="R2470" s="11"/>
      <c r="S2470" s="11"/>
      <c r="T2470" s="11"/>
      <c r="U2470" s="11"/>
      <c r="V2470" s="11"/>
      <c r="W2470" s="11"/>
      <c r="X2470" s="11"/>
      <c r="Y2470" s="11"/>
      <c r="Z2470" s="11"/>
    </row>
    <row r="2471" customHeight="1" spans="1:26">
      <c r="A2471" s="11" t="str">
        <f>IFERROR(__xludf.DUMMYFUNCTION("""COMPUTED_VALUE"""),"JOSE EDIVAM DAS NEVES")</f>
        <v>JOSE EDIVAM DAS NEVES</v>
      </c>
      <c r="B2471" s="11"/>
      <c r="C2471" s="11"/>
      <c r="D2471" s="11" t="str">
        <f>IFERROR(__xludf.DUMMYFUNCTION("""COMPUTED_VALUE"""),"CLINICA GERAL")</f>
        <v>CLINICA GERAL</v>
      </c>
      <c r="E2471" s="11"/>
      <c r="F2471" s="11" t="str">
        <f>IFERROR(__xludf.DUMMYFUNCTION("""COMPUTED_VALUE"""),"US_159 POLICLINICA AGAMENON MAGALHAES")</f>
        <v>US_159 POLICLINICA AGAMENON MAGALHAES</v>
      </c>
      <c r="G2471" s="11" t="str">
        <f>IFERROR(__xludf.DUMMYFUNCTION("""COMPUTED_VALUE"""),"US_217 CENTRO MEDICO SEN JOSE ERMIRIO DE MORAES")</f>
        <v>US_217 CENTRO MEDICO SEN JOSE ERMIRIO DE MORAES</v>
      </c>
      <c r="H2471" s="11"/>
      <c r="I2471" s="11"/>
      <c r="J2471" s="11"/>
      <c r="K2471" s="11"/>
      <c r="L2471" s="11"/>
      <c r="M2471" s="11"/>
      <c r="N2471" s="30" t="str">
        <f>IFERROR(__xludf.DUMMYFUNCTION("""COMPUTED_VALUE"""),"edivamn@yahoo.com.br")</f>
        <v>edivamn@yahoo.com.br</v>
      </c>
      <c r="O2471" s="11">
        <f>IFERROR(__xludf.DUMMYFUNCTION("""COMPUTED_VALUE"""),75322846387)</f>
        <v>75322846387</v>
      </c>
      <c r="P2471" s="11"/>
      <c r="Q2471" s="11"/>
      <c r="R2471" s="11"/>
      <c r="S2471" s="11"/>
      <c r="T2471" s="11"/>
      <c r="U2471" s="11"/>
      <c r="V2471" s="11"/>
      <c r="W2471" s="11"/>
      <c r="X2471" s="11"/>
      <c r="Y2471" s="11"/>
      <c r="Z2471" s="11"/>
    </row>
    <row r="2472" customHeight="1" spans="1:26">
      <c r="A2472" s="11" t="str">
        <f>IFERROR(__xludf.DUMMYFUNCTION("""COMPUTED_VALUE"""),"JULIANE DE PONTES S MACHADO")</f>
        <v>JULIANE DE PONTES S MACHADO</v>
      </c>
      <c r="B2472" s="11"/>
      <c r="C2472" s="11"/>
      <c r="D2472" s="11" t="str">
        <f>IFERROR(__xludf.DUMMYFUNCTION("""COMPUTED_VALUE"""),"CLINICA GERAL")</f>
        <v>CLINICA GERAL</v>
      </c>
      <c r="E2472" s="11"/>
      <c r="F2472" s="11" t="str">
        <f>IFERROR(__xludf.DUMMYFUNCTION("""COMPUTED_VALUE"""),"US_169 POLICLINICA AMAURY COUTINHO")</f>
        <v>US_169 POLICLINICA AMAURY COUTINHO</v>
      </c>
      <c r="G2472" s="11" t="str">
        <f>IFERROR(__xludf.DUMMYFUNCTION("""COMPUTED_VALUE"""),"US_217 CENTRO MEDICO SEN JOSE ERMIRIO DE MORAES")</f>
        <v>US_217 CENTRO MEDICO SEN JOSE ERMIRIO DE MORAES</v>
      </c>
      <c r="H2472" s="11"/>
      <c r="I2472" s="11"/>
      <c r="J2472" s="11"/>
      <c r="K2472" s="11"/>
      <c r="L2472" s="11"/>
      <c r="M2472" s="11"/>
      <c r="N2472" s="30" t="str">
        <f>IFERROR(__xludf.DUMMYFUNCTION("""COMPUTED_VALUE"""),"pontesjuliane1986@gmail.com")</f>
        <v>pontesjuliane1986@gmail.com</v>
      </c>
      <c r="O2472" s="11">
        <f>IFERROR(__xludf.DUMMYFUNCTION("""COMPUTED_VALUE"""),7201115448)</f>
        <v>7201115448</v>
      </c>
      <c r="P2472" s="11"/>
      <c r="Q2472" s="11"/>
      <c r="R2472" s="11"/>
      <c r="S2472" s="11"/>
      <c r="T2472" s="11"/>
      <c r="U2472" s="11"/>
      <c r="V2472" s="11"/>
      <c r="W2472" s="11"/>
      <c r="X2472" s="11"/>
      <c r="Y2472" s="11"/>
      <c r="Z2472" s="11"/>
    </row>
    <row r="2473" customHeight="1" spans="1:26">
      <c r="A2473" s="11" t="str">
        <f>IFERROR(__xludf.DUMMYFUNCTION("""COMPUTED_VALUE"""),"MARCELO ANDRADE DE OLIVEIRA")</f>
        <v>MARCELO ANDRADE DE OLIVEIRA</v>
      </c>
      <c r="B2473" s="11"/>
      <c r="C2473" s="11"/>
      <c r="D2473" s="11" t="str">
        <f>IFERROR(__xludf.DUMMYFUNCTION("""COMPUTED_VALUE"""),"CLINICA GERAL")</f>
        <v>CLINICA GERAL</v>
      </c>
      <c r="E2473" s="11"/>
      <c r="F2473" s="11" t="str">
        <f>IFERROR(__xludf.DUMMYFUNCTION("""COMPUTED_VALUE"""),"US_169 POLICLINICA AMAURY COUTINHO")</f>
        <v>US_169 POLICLINICA AMAURY COUTINHO</v>
      </c>
      <c r="G2473" s="11" t="str">
        <f>IFERROR(__xludf.DUMMYFUNCTION("""COMPUTED_VALUE"""),"US_321 CENTRAL DE ALERGOLOGIA")</f>
        <v>US_321 CENTRAL DE ALERGOLOGIA</v>
      </c>
      <c r="H2473" s="11"/>
      <c r="I2473" s="11"/>
      <c r="J2473" s="11"/>
      <c r="K2473" s="11"/>
      <c r="L2473" s="11"/>
      <c r="M2473" s="11"/>
      <c r="N2473" s="30" t="str">
        <f>IFERROR(__xludf.DUMMYFUNCTION("""COMPUTED_VALUE"""),"marcellomilenio@hotmail.com")</f>
        <v>marcellomilenio@hotmail.com</v>
      </c>
      <c r="O2473" s="11">
        <f>IFERROR(__xludf.DUMMYFUNCTION("""COMPUTED_VALUE"""),4249396495)</f>
        <v>4249396495</v>
      </c>
      <c r="P2473" s="11"/>
      <c r="Q2473" s="11"/>
      <c r="R2473" s="11"/>
      <c r="S2473" s="11"/>
      <c r="T2473" s="11"/>
      <c r="U2473" s="11"/>
      <c r="V2473" s="11"/>
      <c r="W2473" s="11"/>
      <c r="X2473" s="11"/>
      <c r="Y2473" s="11"/>
      <c r="Z2473" s="11"/>
    </row>
    <row r="2474" customHeight="1" spans="1:26">
      <c r="A2474" s="11" t="str">
        <f>IFERROR(__xludf.DUMMYFUNCTION("""COMPUTED_VALUE"""),"MARIA CLARA DE BARROS CORREIA")</f>
        <v>MARIA CLARA DE BARROS CORREIA</v>
      </c>
      <c r="B2474" s="11"/>
      <c r="C2474" s="11"/>
      <c r="D2474" s="11" t="str">
        <f>IFERROR(__xludf.DUMMYFUNCTION("""COMPUTED_VALUE"""),"CLINICA GERAL")</f>
        <v>CLINICA GERAL</v>
      </c>
      <c r="E2474" s="11"/>
      <c r="F2474" s="11" t="str">
        <f>IFERROR(__xludf.DUMMYFUNCTION("""COMPUTED_VALUE"""),"US_169 POLICLINICA AMAURY COUTINHO")</f>
        <v>US_169 POLICLINICA AMAURY COUTINHO</v>
      </c>
      <c r="G2474" s="11" t="str">
        <f>IFERROR(__xludf.DUMMYFUNCTION("""COMPUTED_VALUE"""),"US_321 CENTRAL DE ALERGOLOGIA")</f>
        <v>US_321 CENTRAL DE ALERGOLOGIA</v>
      </c>
      <c r="H2474" s="11"/>
      <c r="I2474" s="11"/>
      <c r="J2474" s="11"/>
      <c r="K2474" s="11"/>
      <c r="L2474" s="11"/>
      <c r="M2474" s="11"/>
      <c r="N2474" s="30" t="str">
        <f>IFERROR(__xludf.DUMMYFUNCTION("""COMPUTED_VALUE"""),"mclarabc@gmail.com")</f>
        <v>mclarabc@gmail.com</v>
      </c>
      <c r="O2474" s="11">
        <f>IFERROR(__xludf.DUMMYFUNCTION("""COMPUTED_VALUE"""),22350519449)</f>
        <v>22350519449</v>
      </c>
      <c r="P2474" s="11"/>
      <c r="Q2474" s="11"/>
      <c r="R2474" s="11"/>
      <c r="S2474" s="11"/>
      <c r="T2474" s="11"/>
      <c r="U2474" s="11"/>
      <c r="V2474" s="11"/>
      <c r="W2474" s="11"/>
      <c r="X2474" s="11"/>
      <c r="Y2474" s="11"/>
      <c r="Z2474" s="11"/>
    </row>
    <row r="2475" customHeight="1" spans="1:26">
      <c r="A2475" s="11" t="str">
        <f>IFERROR(__xludf.DUMMYFUNCTION("""COMPUTED_VALUE"""),"NYAYA CARDIM DE CARVALHO")</f>
        <v>NYAYA CARDIM DE CARVALHO</v>
      </c>
      <c r="B2475" s="11"/>
      <c r="C2475" s="11"/>
      <c r="D2475" s="11" t="str">
        <f>IFERROR(__xludf.DUMMYFUNCTION("""COMPUTED_VALUE"""),"CLINICA GERAL")</f>
        <v>CLINICA GERAL</v>
      </c>
      <c r="E2475" s="11"/>
      <c r="F2475" s="11" t="str">
        <f>IFERROR(__xludf.DUMMYFUNCTION("""COMPUTED_VALUE"""),"US_169 POLICLINICA AMAURY COUTINHO")</f>
        <v>US_169 POLICLINICA AMAURY COUTINHO</v>
      </c>
      <c r="G2475" s="11" t="str">
        <f>IFERROR(__xludf.DUMMYFUNCTION("""COMPUTED_VALUE"""),"US_129 AMEM AMBULATORIO ESPECIALIZADO DA MULHER")</f>
        <v>US_129 AMEM AMBULATORIO ESPECIALIZADO DA MULHER</v>
      </c>
      <c r="H2475" s="11"/>
      <c r="I2475" s="11"/>
      <c r="J2475" s="11"/>
      <c r="K2475" s="11"/>
      <c r="L2475" s="11"/>
      <c r="M2475" s="11"/>
      <c r="N2475" s="30" t="str">
        <f>IFERROR(__xludf.DUMMYFUNCTION("""COMPUTED_VALUE"""),"nyayacardim@hotmail.com")</f>
        <v>nyayacardim@hotmail.com</v>
      </c>
      <c r="O2475" s="11">
        <f>IFERROR(__xludf.DUMMYFUNCTION("""COMPUTED_VALUE"""),925319465)</f>
        <v>925319465</v>
      </c>
      <c r="P2475" s="11"/>
      <c r="Q2475" s="11"/>
      <c r="R2475" s="11"/>
      <c r="S2475" s="11"/>
      <c r="T2475" s="11"/>
      <c r="U2475" s="11"/>
      <c r="V2475" s="11"/>
      <c r="W2475" s="11"/>
      <c r="X2475" s="11"/>
      <c r="Y2475" s="11"/>
      <c r="Z2475" s="11"/>
    </row>
    <row r="2476" customHeight="1" spans="1:26">
      <c r="A2476" s="11" t="str">
        <f>IFERROR(__xludf.DUMMYFUNCTION("""COMPUTED_VALUE"""),"RAFAEL BUARQUE DE M GADELHA")</f>
        <v>RAFAEL BUARQUE DE M GADELHA</v>
      </c>
      <c r="B2476" s="11"/>
      <c r="C2476" s="11"/>
      <c r="D2476" s="11" t="str">
        <f>IFERROR(__xludf.DUMMYFUNCTION("""COMPUTED_VALUE"""),"CLINICA GERAL")</f>
        <v>CLINICA GERAL</v>
      </c>
      <c r="E2476" s="11"/>
      <c r="F2476" s="11" t="str">
        <f>IFERROR(__xludf.DUMMYFUNCTION("""COMPUTED_VALUE"""),"US_159 POLICLINICA AGAMENON MAGALHAES")</f>
        <v>US_159 POLICLINICA AGAMENON MAGALHAES</v>
      </c>
      <c r="G2476" s="11" t="str">
        <f>IFERROR(__xludf.DUMMYFUNCTION("""COMPUTED_VALUE"""),"US_217 CENTRO MEDICO SEN JOSE ERMIRIO DE MORAES")</f>
        <v>US_217 CENTRO MEDICO SEN JOSE ERMIRIO DE MORAES</v>
      </c>
      <c r="H2476" s="11"/>
      <c r="I2476" s="11"/>
      <c r="J2476" s="11"/>
      <c r="K2476" s="11"/>
      <c r="L2476" s="11"/>
      <c r="M2476" s="11"/>
      <c r="N2476" s="30" t="str">
        <f>IFERROR(__xludf.DUMMYFUNCTION("""COMPUTED_VALUE"""),"rafabuarque@yahoo.com.br")</f>
        <v>rafabuarque@yahoo.com.br</v>
      </c>
      <c r="O2476" s="11">
        <f>IFERROR(__xludf.DUMMYFUNCTION("""COMPUTED_VALUE"""),4557314465)</f>
        <v>4557314465</v>
      </c>
      <c r="P2476" s="11"/>
      <c r="Q2476" s="11"/>
      <c r="R2476" s="11"/>
      <c r="S2476" s="11"/>
      <c r="T2476" s="11"/>
      <c r="U2476" s="11"/>
      <c r="V2476" s="11"/>
      <c r="W2476" s="11"/>
      <c r="X2476" s="11"/>
      <c r="Y2476" s="11"/>
      <c r="Z2476" s="11"/>
    </row>
    <row r="2477" customHeight="1" spans="1:26">
      <c r="A2477" s="11" t="str">
        <f>IFERROR(__xludf.DUMMYFUNCTION("""COMPUTED_VALUE"""),"RAIMUNDO CORACY LOPES NETO")</f>
        <v>RAIMUNDO CORACY LOPES NETO</v>
      </c>
      <c r="B2477" s="11"/>
      <c r="C2477" s="11"/>
      <c r="D2477" s="11" t="str">
        <f>IFERROR(__xludf.DUMMYFUNCTION("""COMPUTED_VALUE"""),"CLINICA GERAL")</f>
        <v>CLINICA GERAL</v>
      </c>
      <c r="E2477" s="11"/>
      <c r="F2477" s="11" t="str">
        <f>IFERROR(__xludf.DUMMYFUNCTION("""COMPUTED_VALUE"""),"US_159 POLICLINICA AGAMENON MAGALHAES")</f>
        <v>US_159 POLICLINICA AGAMENON MAGALHAES</v>
      </c>
      <c r="G2477" s="11" t="str">
        <f>IFERROR(__xludf.DUMMYFUNCTION("""COMPUTED_VALUE"""),"US_217 CENTRO MEDICO SEN JOSE ERMIRIO DE MORAES")</f>
        <v>US_217 CENTRO MEDICO SEN JOSE ERMIRIO DE MORAES</v>
      </c>
      <c r="H2477" s="11"/>
      <c r="I2477" s="11"/>
      <c r="J2477" s="11"/>
      <c r="K2477" s="11"/>
      <c r="L2477" s="11"/>
      <c r="M2477" s="11"/>
      <c r="N2477" s="30" t="str">
        <f>IFERROR(__xludf.DUMMYFUNCTION("""COMPUTED_VALUE"""),"rclopesneto@gmail.com")</f>
        <v>rclopesneto@gmail.com</v>
      </c>
      <c r="O2477" s="11">
        <f>IFERROR(__xludf.DUMMYFUNCTION("""COMPUTED_VALUE"""),85384330325)</f>
        <v>85384330325</v>
      </c>
      <c r="P2477" s="11"/>
      <c r="Q2477" s="11"/>
      <c r="R2477" s="11"/>
      <c r="S2477" s="11"/>
      <c r="T2477" s="11"/>
      <c r="U2477" s="11"/>
      <c r="V2477" s="11"/>
      <c r="W2477" s="11"/>
      <c r="X2477" s="11"/>
      <c r="Y2477" s="11"/>
      <c r="Z2477" s="11"/>
    </row>
    <row r="2478" customHeight="1" spans="1:26">
      <c r="A2478" s="11" t="str">
        <f>IFERROR(__xludf.DUMMYFUNCTION("""COMPUTED_VALUE"""),"SAMIA EVERUZA F F QUEIROZ")</f>
        <v>SAMIA EVERUZA F F QUEIROZ</v>
      </c>
      <c r="B2478" s="11"/>
      <c r="C2478" s="11"/>
      <c r="D2478" s="11" t="str">
        <f>IFERROR(__xludf.DUMMYFUNCTION("""COMPUTED_VALUE"""),"CLINICA GERAL")</f>
        <v>CLINICA GERAL</v>
      </c>
      <c r="E2478" s="11"/>
      <c r="F2478" s="11" t="str">
        <f>IFERROR(__xludf.DUMMYFUNCTION("""COMPUTED_VALUE"""),"US_169 POLICLINICA AMAURY COUTINHO")</f>
        <v>US_169 POLICLINICA AMAURY COUTINHO</v>
      </c>
      <c r="G2478" s="11" t="str">
        <f>IFERROR(__xludf.DUMMYFUNCTION("""COMPUTED_VALUE"""),"US_321 CENTRAL DE ALERGOLOGIA")</f>
        <v>US_321 CENTRAL DE ALERGOLOGIA</v>
      </c>
      <c r="H2478" s="11"/>
      <c r="I2478" s="11"/>
      <c r="J2478" s="11"/>
      <c r="K2478" s="11"/>
      <c r="L2478" s="11"/>
      <c r="M2478" s="11"/>
      <c r="N2478" s="30" t="str">
        <f>IFERROR(__xludf.DUMMYFUNCTION("""COMPUTED_VALUE"""),"samia_fernandes@hotmail.com")</f>
        <v>samia_fernandes@hotmail.com</v>
      </c>
      <c r="O2478" s="11">
        <f>IFERROR(__xludf.DUMMYFUNCTION("""COMPUTED_VALUE"""),87679710325)</f>
        <v>87679710325</v>
      </c>
      <c r="P2478" s="11"/>
      <c r="Q2478" s="11"/>
      <c r="R2478" s="11"/>
      <c r="S2478" s="11"/>
      <c r="T2478" s="11"/>
      <c r="U2478" s="11"/>
      <c r="V2478" s="11"/>
      <c r="W2478" s="11"/>
      <c r="X2478" s="11"/>
      <c r="Y2478" s="11"/>
      <c r="Z2478" s="11"/>
    </row>
    <row r="2479" customHeight="1" spans="1:26">
      <c r="A2479" s="11" t="str">
        <f>IFERROR(__xludf.DUMMYFUNCTION("""COMPUTED_VALUE"""),"ANYELLE SAMYSE DA SILVA C LINS")</f>
        <v>ANYELLE SAMYSE DA SILVA C LINS</v>
      </c>
      <c r="B2479" s="11"/>
      <c r="C2479" s="11"/>
      <c r="D2479" s="11" t="str">
        <f>IFERROR(__xludf.DUMMYFUNCTION("""COMPUTED_VALUE"""),"CLINICA GERAL")</f>
        <v>CLINICA GERAL</v>
      </c>
      <c r="E2479" s="11"/>
      <c r="F2479" s="11" t="str">
        <f>IFERROR(__xludf.DUMMYFUNCTION("""COMPUTED_VALUE"""),"US_159 POLICLINICA AGAMENON MAGALHAES")</f>
        <v>US_159 POLICLINICA AGAMENON MAGALHAES</v>
      </c>
      <c r="G2479" s="11" t="str">
        <f>IFERROR(__xludf.DUMMYFUNCTION("""COMPUTED_VALUE"""),"US_217 CENTRO MEDICO SEN JOSE ERMIRIO DE MORAES")</f>
        <v>US_217 CENTRO MEDICO SEN JOSE ERMIRIO DE MORAES</v>
      </c>
      <c r="H2479" s="11"/>
      <c r="I2479" s="11"/>
      <c r="J2479" s="11"/>
      <c r="K2479" s="11"/>
      <c r="L2479" s="11"/>
      <c r="M2479" s="11"/>
      <c r="N2479" s="30" t="str">
        <f>IFERROR(__xludf.DUMMYFUNCTION("""COMPUTED_VALUE"""),"anyelle_cavalcante87@hotmail.com")</f>
        <v>anyelle_cavalcante87@hotmail.com</v>
      </c>
      <c r="O2479" s="11">
        <f>IFERROR(__xludf.DUMMYFUNCTION("""COMPUTED_VALUE"""),6657551479)</f>
        <v>6657551479</v>
      </c>
      <c r="P2479" s="11"/>
      <c r="Q2479" s="11"/>
      <c r="R2479" s="11"/>
      <c r="S2479" s="11"/>
      <c r="T2479" s="11"/>
      <c r="U2479" s="11"/>
      <c r="V2479" s="11"/>
      <c r="W2479" s="11"/>
      <c r="X2479" s="11"/>
      <c r="Y2479" s="11"/>
      <c r="Z2479" s="11"/>
    </row>
    <row r="2480" customHeight="1" spans="1:26">
      <c r="A2480" s="11" t="str">
        <f>IFERROR(__xludf.DUMMYFUNCTION("""COMPUTED_VALUE"""),"DIOGO SIQUEIRA LEITE")</f>
        <v>DIOGO SIQUEIRA LEITE</v>
      </c>
      <c r="B2480" s="11"/>
      <c r="C2480" s="11"/>
      <c r="D2480" s="11" t="str">
        <f>IFERROR(__xludf.DUMMYFUNCTION("""COMPUTED_VALUE"""),"CLINICA GERAL")</f>
        <v>CLINICA GERAL</v>
      </c>
      <c r="E2480" s="11"/>
      <c r="F2480" s="11" t="str">
        <f>IFERROR(__xludf.DUMMYFUNCTION("""COMPUTED_VALUE"""),"US_159 POLICLINICA AGAMENON MAGALHAES")</f>
        <v>US_159 POLICLINICA AGAMENON MAGALHAES</v>
      </c>
      <c r="G2480" s="11" t="str">
        <f>IFERROR(__xludf.DUMMYFUNCTION("""COMPUTED_VALUE"""),"US_217 CENTRO MEDICO SEN JOSE ERMIRIO DE MORAES")</f>
        <v>US_217 CENTRO MEDICO SEN JOSE ERMIRIO DE MORAES</v>
      </c>
      <c r="H2480" s="11"/>
      <c r="I2480" s="11"/>
      <c r="J2480" s="11"/>
      <c r="K2480" s="11"/>
      <c r="L2480" s="11"/>
      <c r="M2480" s="11"/>
      <c r="N2480" s="30" t="str">
        <f>IFERROR(__xludf.DUMMYFUNCTION("""COMPUTED_VALUE"""),"diogo.siqueira.leite@gmail.com")</f>
        <v>diogo.siqueira.leite@gmail.com</v>
      </c>
      <c r="O2480" s="11">
        <f>IFERROR(__xludf.DUMMYFUNCTION("""COMPUTED_VALUE"""),6491748448)</f>
        <v>6491748448</v>
      </c>
      <c r="P2480" s="11"/>
      <c r="Q2480" s="11"/>
      <c r="R2480" s="11"/>
      <c r="S2480" s="11"/>
      <c r="T2480" s="11"/>
      <c r="U2480" s="11"/>
      <c r="V2480" s="11"/>
      <c r="W2480" s="11"/>
      <c r="X2480" s="11"/>
      <c r="Y2480" s="11"/>
      <c r="Z2480" s="11"/>
    </row>
    <row r="2481" customHeight="1" spans="1:26">
      <c r="A2481" s="11" t="str">
        <f>IFERROR(__xludf.DUMMYFUNCTION("""COMPUTED_VALUE"""),"PRISCILA EVARISTO DE C VEIGA")</f>
        <v>PRISCILA EVARISTO DE C VEIGA</v>
      </c>
      <c r="B2481" s="11"/>
      <c r="C2481" s="11"/>
      <c r="D2481" s="11" t="str">
        <f>IFERROR(__xludf.DUMMYFUNCTION("""COMPUTED_VALUE"""),"CLINICA GERAL")</f>
        <v>CLINICA GERAL</v>
      </c>
      <c r="E2481" s="11"/>
      <c r="F2481" s="11" t="str">
        <f>IFERROR(__xludf.DUMMYFUNCTION("""COMPUTED_VALUE"""),"US_159 POLICLINICA AGAMENON MAGALHAES")</f>
        <v>US_159 POLICLINICA AGAMENON MAGALHAES</v>
      </c>
      <c r="G2481" s="11" t="str">
        <f>IFERROR(__xludf.DUMMYFUNCTION("""COMPUTED_VALUE"""),"US_217 CENTRO MEDICO SEN JOSE ERMIRIO DE MORAES")</f>
        <v>US_217 CENTRO MEDICO SEN JOSE ERMIRIO DE MORAES</v>
      </c>
      <c r="H2481" s="11"/>
      <c r="I2481" s="11"/>
      <c r="J2481" s="11"/>
      <c r="K2481" s="11"/>
      <c r="L2481" s="11"/>
      <c r="M2481" s="11"/>
      <c r="N2481" s="30" t="str">
        <f>IFERROR(__xludf.DUMMYFUNCTION("""COMPUTED_VALUE"""),"carvalhopec@gmail.com")</f>
        <v>carvalhopec@gmail.com</v>
      </c>
      <c r="O2481" s="11">
        <f>IFERROR(__xludf.DUMMYFUNCTION("""COMPUTED_VALUE"""),8113659480)</f>
        <v>8113659480</v>
      </c>
      <c r="P2481" s="11"/>
      <c r="Q2481" s="11"/>
      <c r="R2481" s="11"/>
      <c r="S2481" s="11"/>
      <c r="T2481" s="11"/>
      <c r="U2481" s="11"/>
      <c r="V2481" s="11"/>
      <c r="W2481" s="11"/>
      <c r="X2481" s="11"/>
      <c r="Y2481" s="11"/>
      <c r="Z2481" s="11"/>
    </row>
    <row r="2482" customHeight="1" spans="1:26">
      <c r="A2482" s="11" t="str">
        <f>IFERROR(__xludf.DUMMYFUNCTION("""COMPUTED_VALUE"""),"RENATA BARRETTO LINS GABRIEL")</f>
        <v>RENATA BARRETTO LINS GABRIEL</v>
      </c>
      <c r="B2482" s="11"/>
      <c r="C2482" s="11"/>
      <c r="D2482" s="11" t="str">
        <f>IFERROR(__xludf.DUMMYFUNCTION("""COMPUTED_VALUE"""),"CLINICA GERAL")</f>
        <v>CLINICA GERAL</v>
      </c>
      <c r="E2482" s="11"/>
      <c r="F2482" s="11" t="str">
        <f>IFERROR(__xludf.DUMMYFUNCTION("""COMPUTED_VALUE"""),"US_159 POLICLINICA AGAMENON MAGALHAES")</f>
        <v>US_159 POLICLINICA AGAMENON MAGALHAES</v>
      </c>
      <c r="G2482" s="11" t="str">
        <f>IFERROR(__xludf.DUMMYFUNCTION("""COMPUTED_VALUE"""),"US_217 CENTRO MEDICO SEN JOSE ERMIRIO DE MORAES")</f>
        <v>US_217 CENTRO MEDICO SEN JOSE ERMIRIO DE MORAES</v>
      </c>
      <c r="H2482" s="11"/>
      <c r="I2482" s="11"/>
      <c r="J2482" s="11"/>
      <c r="K2482" s="11"/>
      <c r="L2482" s="11"/>
      <c r="M2482" s="11"/>
      <c r="N2482" s="30" t="str">
        <f>IFERROR(__xludf.DUMMYFUNCTION("""COMPUTED_VALUE"""),"renata_blg@hotmail.com")</f>
        <v>renata_blg@hotmail.com</v>
      </c>
      <c r="O2482" s="11">
        <f>IFERROR(__xludf.DUMMYFUNCTION("""COMPUTED_VALUE"""),7392190490)</f>
        <v>7392190490</v>
      </c>
      <c r="P2482" s="11"/>
      <c r="Q2482" s="11"/>
      <c r="R2482" s="11"/>
      <c r="S2482" s="11"/>
      <c r="T2482" s="11"/>
      <c r="U2482" s="11"/>
      <c r="V2482" s="11"/>
      <c r="W2482" s="11"/>
      <c r="X2482" s="11"/>
      <c r="Y2482" s="11"/>
      <c r="Z2482" s="11"/>
    </row>
    <row r="2483" customHeight="1" spans="1:26">
      <c r="A2483" s="11" t="str">
        <f>IFERROR(__xludf.DUMMYFUNCTION("""COMPUTED_VALUE"""),"ANTONIO MICHELANGELO DE C REGO")</f>
        <v>ANTONIO MICHELANGELO DE C REGO</v>
      </c>
      <c r="B2483" s="11"/>
      <c r="C2483" s="11"/>
      <c r="D2483" s="11" t="str">
        <f>IFERROR(__xludf.DUMMYFUNCTION("""COMPUTED_VALUE"""),"CLINICA GERAL")</f>
        <v>CLINICA GERAL</v>
      </c>
      <c r="E2483" s="11"/>
      <c r="F2483" s="11" t="str">
        <f>IFERROR(__xludf.DUMMYFUNCTION("""COMPUTED_VALUE"""),"US_169 POLICLINICA AMAURY COUTINHO")</f>
        <v>US_169 POLICLINICA AMAURY COUTINHO</v>
      </c>
      <c r="G2483" s="11" t="str">
        <f>IFERROR(__xludf.DUMMYFUNCTION("""COMPUTED_VALUE"""),"US_217 CENTRO MEDICO SEN JOSE ERMIRIO DE MORAES")</f>
        <v>US_217 CENTRO MEDICO SEN JOSE ERMIRIO DE MORAES</v>
      </c>
      <c r="H2483" s="11"/>
      <c r="I2483" s="11"/>
      <c r="J2483" s="11"/>
      <c r="K2483" s="11"/>
      <c r="L2483" s="11"/>
      <c r="M2483" s="11"/>
      <c r="N2483" s="30" t="str">
        <f>IFERROR(__xludf.DUMMYFUNCTION("""COMPUTED_VALUE"""),"michelangelocarvalho@hotmail.com")</f>
        <v>michelangelocarvalho@hotmail.com</v>
      </c>
      <c r="O2483" s="11">
        <f>IFERROR(__xludf.DUMMYFUNCTION("""COMPUTED_VALUE"""),63789477249)</f>
        <v>63789477249</v>
      </c>
      <c r="P2483" s="11"/>
      <c r="Q2483" s="11"/>
      <c r="R2483" s="11"/>
      <c r="S2483" s="11"/>
      <c r="T2483" s="11"/>
      <c r="U2483" s="11"/>
      <c r="V2483" s="11"/>
      <c r="W2483" s="11"/>
      <c r="X2483" s="11"/>
      <c r="Y2483" s="11"/>
      <c r="Z2483" s="11"/>
    </row>
    <row r="2484" customHeight="1" spans="1:26">
      <c r="A2484" s="11" t="str">
        <f>IFERROR(__xludf.DUMMYFUNCTION("""COMPUTED_VALUE"""),"LUANA BOMFIM MACEDO")</f>
        <v>LUANA BOMFIM MACEDO</v>
      </c>
      <c r="B2484" s="11"/>
      <c r="C2484" s="11"/>
      <c r="D2484" s="11" t="str">
        <f>IFERROR(__xludf.DUMMYFUNCTION("""COMPUTED_VALUE"""),"CLINICA GERAL")</f>
        <v>CLINICA GERAL</v>
      </c>
      <c r="E2484" s="11"/>
      <c r="F2484" s="11" t="str">
        <f>IFERROR(__xludf.DUMMYFUNCTION("""COMPUTED_VALUE"""),"US_169 POLICLINICA AMAURY COUTINHO")</f>
        <v>US_169 POLICLINICA AMAURY COUTINHO</v>
      </c>
      <c r="G2484" s="11" t="str">
        <f>IFERROR(__xludf.DUMMYFUNCTION("""COMPUTED_VALUE"""),"US_217 CENTRO MEDICO SEN JOSE ERMIRIO DE MORAES")</f>
        <v>US_217 CENTRO MEDICO SEN JOSE ERMIRIO DE MORAES</v>
      </c>
      <c r="H2484" s="11"/>
      <c r="I2484" s="11"/>
      <c r="J2484" s="11"/>
      <c r="K2484" s="11"/>
      <c r="L2484" s="11"/>
      <c r="M2484" s="11"/>
      <c r="N2484" s="30" t="str">
        <f>IFERROR(__xludf.DUMMYFUNCTION("""COMPUTED_VALUE"""),"a")</f>
        <v>a</v>
      </c>
      <c r="O2484" s="11">
        <f>IFERROR(__xludf.DUMMYFUNCTION("""COMPUTED_VALUE"""),6880092470)</f>
        <v>6880092470</v>
      </c>
      <c r="P2484" s="11"/>
      <c r="Q2484" s="11"/>
      <c r="R2484" s="11"/>
      <c r="S2484" s="11"/>
      <c r="T2484" s="11"/>
      <c r="U2484" s="11"/>
      <c r="V2484" s="11"/>
      <c r="W2484" s="11"/>
      <c r="X2484" s="11"/>
      <c r="Y2484" s="11"/>
      <c r="Z2484" s="11"/>
    </row>
    <row r="2485" customHeight="1" spans="1:26">
      <c r="A2485" s="11" t="str">
        <f>IFERROR(__xludf.DUMMYFUNCTION("""COMPUTED_VALUE"""),"ANTONIO CARLOS C DE S FILHO")</f>
        <v>ANTONIO CARLOS C DE S FILHO</v>
      </c>
      <c r="B2485" s="11"/>
      <c r="C2485" s="11"/>
      <c r="D2485" s="11" t="str">
        <f>IFERROR(__xludf.DUMMYFUNCTION("""COMPUTED_VALUE"""),"CLINICA GERAL")</f>
        <v>CLINICA GERAL</v>
      </c>
      <c r="E2485" s="11"/>
      <c r="F2485" s="11" t="str">
        <f>IFERROR(__xludf.DUMMYFUNCTION("""COMPUTED_VALUE"""),"US_169 POLICLINICA AMAURY COUTINHO")</f>
        <v>US_169 POLICLINICA AMAURY COUTINHO</v>
      </c>
      <c r="G2485" s="11" t="str">
        <f>IFERROR(__xludf.DUMMYFUNCTION("""COMPUTED_VALUE"""),"US_217 CENTRO MEDICO SEN JOSE ERMIRIO DE MORAES")</f>
        <v>US_217 CENTRO MEDICO SEN JOSE ERMIRIO DE MORAES</v>
      </c>
      <c r="H2485" s="11"/>
      <c r="I2485" s="11"/>
      <c r="J2485" s="11"/>
      <c r="K2485" s="11"/>
      <c r="L2485" s="11"/>
      <c r="M2485" s="11"/>
      <c r="N2485" s="30" t="str">
        <f>IFERROR(__xludf.DUMMYFUNCTION("""COMPUTED_VALUE"""),"ancarlosfilho@hotmail.com")</f>
        <v>ancarlosfilho@hotmail.com</v>
      </c>
      <c r="O2485" s="11">
        <f>IFERROR(__xludf.DUMMYFUNCTION("""COMPUTED_VALUE"""),5733427418)</f>
        <v>5733427418</v>
      </c>
      <c r="P2485" s="11"/>
      <c r="Q2485" s="11"/>
      <c r="R2485" s="11"/>
      <c r="S2485" s="11"/>
      <c r="T2485" s="11"/>
      <c r="U2485" s="11"/>
      <c r="V2485" s="11"/>
      <c r="W2485" s="11"/>
      <c r="X2485" s="11"/>
      <c r="Y2485" s="11"/>
      <c r="Z2485" s="11"/>
    </row>
    <row r="2486" customHeight="1" spans="1:26">
      <c r="A2486" s="11" t="str">
        <f>IFERROR(__xludf.DUMMYFUNCTION("""COMPUTED_VALUE"""),"MARILIA M MELO DE B OLIVEIRA")</f>
        <v>MARILIA M MELO DE B OLIVEIRA</v>
      </c>
      <c r="B2486" s="11"/>
      <c r="C2486" s="11"/>
      <c r="D2486" s="11" t="str">
        <f>IFERROR(__xludf.DUMMYFUNCTION("""COMPUTED_VALUE"""),"CLINICA GERAL")</f>
        <v>CLINICA GERAL</v>
      </c>
      <c r="E2486" s="11"/>
      <c r="F2486" s="11" t="str">
        <f>IFERROR(__xludf.DUMMYFUNCTION("""COMPUTED_VALUE"""),"US_169 POLICLINICA AMAURY COUTINHO")</f>
        <v>US_169 POLICLINICA AMAURY COUTINHO</v>
      </c>
      <c r="G2486" s="11" t="str">
        <f>IFERROR(__xludf.DUMMYFUNCTION("""COMPUTED_VALUE"""),"US_321 CENTRAL DE ALERGOLOGIA")</f>
        <v>US_321 CENTRAL DE ALERGOLOGIA</v>
      </c>
      <c r="H2486" s="11"/>
      <c r="I2486" s="11"/>
      <c r="J2486" s="11"/>
      <c r="K2486" s="11"/>
      <c r="L2486" s="11"/>
      <c r="M2486" s="11"/>
      <c r="N2486" s="30" t="str">
        <f>IFERROR(__xludf.DUMMYFUNCTION("""COMPUTED_VALUE"""),"oliveira.lila02@gmail.com")</f>
        <v>oliveira.lila02@gmail.com</v>
      </c>
      <c r="O2486" s="11">
        <f>IFERROR(__xludf.DUMMYFUNCTION("""COMPUTED_VALUE"""),7442558488)</f>
        <v>7442558488</v>
      </c>
      <c r="P2486" s="11"/>
      <c r="Q2486" s="11"/>
      <c r="R2486" s="11"/>
      <c r="S2486" s="11"/>
      <c r="T2486" s="11"/>
      <c r="U2486" s="11"/>
      <c r="V2486" s="11"/>
      <c r="W2486" s="11"/>
      <c r="X2486" s="11"/>
      <c r="Y2486" s="11"/>
      <c r="Z2486" s="11"/>
    </row>
    <row r="2487" customHeight="1" spans="1:26">
      <c r="A2487" s="11" t="str">
        <f>IFERROR(__xludf.DUMMYFUNCTION("""COMPUTED_VALUE"""),"ANA KARLA LOPES RODRIGUES")</f>
        <v>ANA KARLA LOPES RODRIGUES</v>
      </c>
      <c r="B2487" s="11"/>
      <c r="C2487" s="11"/>
      <c r="D2487" s="11" t="str">
        <f>IFERROR(__xludf.DUMMYFUNCTION("""COMPUTED_VALUE"""),"CLINICA MEDICA")</f>
        <v>CLINICA MEDICA</v>
      </c>
      <c r="E2487" s="11"/>
      <c r="F2487" s="11" t="str">
        <f>IFERROR(__xludf.DUMMYFUNCTION("""COMPUTED_VALUE"""),"US_169 POLICLINICA AMAURY COUTINHO")</f>
        <v>US_169 POLICLINICA AMAURY COUTINHO</v>
      </c>
      <c r="G2487" s="11" t="str">
        <f>IFERROR(__xludf.DUMMYFUNCTION("""COMPUTED_VALUE"""),"US_217 CENTRO MEDICO SEN JOSE ERMIRIO DE MORAES")</f>
        <v>US_217 CENTRO MEDICO SEN JOSE ERMIRIO DE MORAES</v>
      </c>
      <c r="H2487" s="11"/>
      <c r="I2487" s="11"/>
      <c r="J2487" s="11"/>
      <c r="K2487" s="11"/>
      <c r="L2487" s="11"/>
      <c r="M2487" s="11"/>
      <c r="N2487" s="30" t="str">
        <f>IFERROR(__xludf.DUMMYFUNCTION("""COMPUTED_VALUE"""),"anakarlalopes412@gmail.com")</f>
        <v>anakarlalopes412@gmail.com</v>
      </c>
      <c r="O2487" s="11">
        <f>IFERROR(__xludf.DUMMYFUNCTION("""COMPUTED_VALUE"""),3152501510)</f>
        <v>3152501510</v>
      </c>
      <c r="P2487" s="11"/>
      <c r="Q2487" s="11"/>
      <c r="R2487" s="11"/>
      <c r="S2487" s="11"/>
      <c r="T2487" s="11"/>
      <c r="U2487" s="11"/>
      <c r="V2487" s="11"/>
      <c r="W2487" s="11"/>
      <c r="X2487" s="11"/>
      <c r="Y2487" s="11"/>
      <c r="Z2487" s="11"/>
    </row>
    <row r="2488" customHeight="1" spans="1:26">
      <c r="A2488" s="11" t="str">
        <f>IFERROR(__xludf.DUMMYFUNCTION("""COMPUTED_VALUE"""),"HUGO OTAVIO D DE MOURA GOMES")</f>
        <v>HUGO OTAVIO D DE MOURA GOMES</v>
      </c>
      <c r="B2488" s="11"/>
      <c r="C2488" s="11"/>
      <c r="D2488" s="11" t="str">
        <f>IFERROR(__xludf.DUMMYFUNCTION("""COMPUTED_VALUE"""),"CLINICA MEDICA")</f>
        <v>CLINICA MEDICA</v>
      </c>
      <c r="E2488" s="11"/>
      <c r="F2488" s="11" t="str">
        <f>IFERROR(__xludf.DUMMYFUNCTION("""COMPUTED_VALUE"""),"US_169 POLICLINICA AMAURY COUTINHO")</f>
        <v>US_169 POLICLINICA AMAURY COUTINHO</v>
      </c>
      <c r="G2488" s="11" t="str">
        <f>IFERROR(__xludf.DUMMYFUNCTION("""COMPUTED_VALUE"""),"US_217 CENTRO MEDICO SEN JOSE ERMIRIO DE MORAES")</f>
        <v>US_217 CENTRO MEDICO SEN JOSE ERMIRIO DE MORAES</v>
      </c>
      <c r="H2488" s="11"/>
      <c r="I2488" s="11"/>
      <c r="J2488" s="11"/>
      <c r="K2488" s="11"/>
      <c r="L2488" s="11"/>
      <c r="M2488" s="11"/>
      <c r="N2488" s="30" t="str">
        <f>IFERROR(__xludf.DUMMYFUNCTION("""COMPUTED_VALUE"""),"hugomed125@gmail.com")</f>
        <v>hugomed125@gmail.com</v>
      </c>
      <c r="O2488" s="11">
        <f>IFERROR(__xludf.DUMMYFUNCTION("""COMPUTED_VALUE"""),5023686400)</f>
        <v>5023686400</v>
      </c>
      <c r="P2488" s="11"/>
      <c r="Q2488" s="11"/>
      <c r="R2488" s="11"/>
      <c r="S2488" s="11"/>
      <c r="T2488" s="11"/>
      <c r="U2488" s="11"/>
      <c r="V2488" s="11"/>
      <c r="W2488" s="11"/>
      <c r="X2488" s="11"/>
      <c r="Y2488" s="11"/>
      <c r="Z2488" s="11"/>
    </row>
    <row r="2489" customHeight="1" spans="1:26">
      <c r="A2489" s="11" t="str">
        <f>IFERROR(__xludf.DUMMYFUNCTION("""COMPUTED_VALUE"""),"ISABELLE HSU LEE RAMOS")</f>
        <v>ISABELLE HSU LEE RAMOS</v>
      </c>
      <c r="B2489" s="11"/>
      <c r="C2489" s="11"/>
      <c r="D2489" s="11" t="str">
        <f>IFERROR(__xludf.DUMMYFUNCTION("""COMPUTED_VALUE"""),"CLINICA MEDICA")</f>
        <v>CLINICA MEDICA</v>
      </c>
      <c r="E2489" s="11"/>
      <c r="F2489" s="11" t="str">
        <f>IFERROR(__xludf.DUMMYFUNCTION("""COMPUTED_VALUE"""),"US_159 POLICLINICA AGAMENON MAGALHAES")</f>
        <v>US_159 POLICLINICA AGAMENON MAGALHAES</v>
      </c>
      <c r="G2489" s="11" t="str">
        <f>IFERROR(__xludf.DUMMYFUNCTION("""COMPUTED_VALUE"""),"US_321 CENTRAL DE ALERGOLOGIA")</f>
        <v>US_321 CENTRAL DE ALERGOLOGIA</v>
      </c>
      <c r="H2489" s="11"/>
      <c r="I2489" s="11"/>
      <c r="J2489" s="11"/>
      <c r="K2489" s="11"/>
      <c r="L2489" s="11"/>
      <c r="M2489" s="11"/>
      <c r="N2489" s="30" t="str">
        <f>IFERROR(__xludf.DUMMYFUNCTION("""COMPUTED_VALUE"""),"isabelle.hsu@hotmail.com")</f>
        <v>isabelle.hsu@hotmail.com</v>
      </c>
      <c r="O2489" s="11">
        <f>IFERROR(__xludf.DUMMYFUNCTION("""COMPUTED_VALUE"""),1503836495)</f>
        <v>1503836495</v>
      </c>
      <c r="P2489" s="11"/>
      <c r="Q2489" s="11"/>
      <c r="R2489" s="11"/>
      <c r="S2489" s="11"/>
      <c r="T2489" s="11"/>
      <c r="U2489" s="11"/>
      <c r="V2489" s="11"/>
      <c r="W2489" s="11"/>
      <c r="X2489" s="11"/>
      <c r="Y2489" s="11"/>
      <c r="Z2489" s="11"/>
    </row>
    <row r="2490" customHeight="1" spans="1:26">
      <c r="A2490" s="11" t="str">
        <f>IFERROR(__xludf.DUMMYFUNCTION("""COMPUTED_VALUE"""),"MILENA LINS DE CERQUEIRA PORTO")</f>
        <v>MILENA LINS DE CERQUEIRA PORTO</v>
      </c>
      <c r="B2490" s="11"/>
      <c r="C2490" s="11"/>
      <c r="D2490" s="11" t="str">
        <f>IFERROR(__xludf.DUMMYFUNCTION("""COMPUTED_VALUE"""),"PEDIATRIA")</f>
        <v>PEDIATRIA</v>
      </c>
      <c r="E2490" s="11"/>
      <c r="F2490" s="11" t="str">
        <f>IFERROR(__xludf.DUMMYFUNCTION("""COMPUTED_VALUE"""),"US_169 POLICLINICA AMAURY COUTINHO")</f>
        <v>US_169 POLICLINICA AMAURY COUTINHO</v>
      </c>
      <c r="G2490" s="11" t="str">
        <f>IFERROR(__xludf.DUMMYFUNCTION("""COMPUTED_VALUE"""),"US_217 CENTRO MEDICO SEN JOSE ERMIRIO DE MORAES")</f>
        <v>US_217 CENTRO MEDICO SEN JOSE ERMIRIO DE MORAES</v>
      </c>
      <c r="H2490" s="11"/>
      <c r="I2490" s="11"/>
      <c r="J2490" s="11"/>
      <c r="K2490" s="11"/>
      <c r="L2490" s="11"/>
      <c r="M2490" s="11"/>
      <c r="N2490" s="30" t="str">
        <f>IFERROR(__xludf.DUMMYFUNCTION("""COMPUTED_VALUE"""),"milalins@hotmail.com")</f>
        <v>milalins@hotmail.com</v>
      </c>
      <c r="O2490" s="11">
        <f>IFERROR(__xludf.DUMMYFUNCTION("""COMPUTED_VALUE"""),4150348413)</f>
        <v>4150348413</v>
      </c>
      <c r="P2490" s="11"/>
      <c r="Q2490" s="11"/>
      <c r="R2490" s="11"/>
      <c r="S2490" s="11"/>
      <c r="T2490" s="11"/>
      <c r="U2490" s="11"/>
      <c r="V2490" s="11"/>
      <c r="W2490" s="11"/>
      <c r="X2490" s="11"/>
      <c r="Y2490" s="11"/>
      <c r="Z2490" s="11"/>
    </row>
    <row r="2491" customHeight="1" spans="1:26">
      <c r="A2491" s="11" t="str">
        <f>IFERROR(__xludf.DUMMYFUNCTION("""COMPUTED_VALUE"""),"KARINA SPOLAOR DA VEIGA ALVES")</f>
        <v>KARINA SPOLAOR DA VEIGA ALVES</v>
      </c>
      <c r="B2491" s="11"/>
      <c r="C2491" s="11"/>
      <c r="D2491" s="11" t="str">
        <f>IFERROR(__xludf.DUMMYFUNCTION("""COMPUTED_VALUE"""),"CLINICA MEDICA")</f>
        <v>CLINICA MEDICA</v>
      </c>
      <c r="E2491" s="11"/>
      <c r="F2491" s="11" t="str">
        <f>IFERROR(__xludf.DUMMYFUNCTION("""COMPUTED_VALUE"""),"")</f>
        <v/>
      </c>
      <c r="G2491" s="11" t="str">
        <f>IFERROR(__xludf.DUMMYFUNCTION("""COMPUTED_VALUE"""),"US_217 CENTRO MEDICO SEN JOSE ERMIRIO DE MORAES")</f>
        <v>US_217 CENTRO MEDICO SEN JOSE ERMIRIO DE MORAES</v>
      </c>
      <c r="H2491" s="11"/>
      <c r="I2491" s="11"/>
      <c r="J2491" s="11"/>
      <c r="K2491" s="11"/>
      <c r="L2491" s="11"/>
      <c r="M2491" s="11"/>
      <c r="N2491" s="11"/>
      <c r="O2491" s="11"/>
      <c r="P2491" s="11"/>
      <c r="Q2491" s="11"/>
      <c r="R2491" s="11"/>
      <c r="S2491" s="11"/>
      <c r="T2491" s="11"/>
      <c r="U2491" s="11"/>
      <c r="V2491" s="11"/>
      <c r="W2491" s="11"/>
      <c r="X2491" s="11"/>
      <c r="Y2491" s="11"/>
      <c r="Z2491" s="11"/>
    </row>
    <row r="2492" customHeight="1" spans="1:26">
      <c r="A2492" s="11" t="str">
        <f>IFERROR(__xludf.DUMMYFUNCTION("""COMPUTED_VALUE"""),"JOSALDA DO VALE DA SILVA")</f>
        <v>JOSALDA DO VALE DA SILVA</v>
      </c>
      <c r="B2492" s="11"/>
      <c r="C2492" s="11"/>
      <c r="D2492" s="11" t="str">
        <f>IFERROR(__xludf.DUMMYFUNCTION("""COMPUTED_VALUE"""),"MEDICINA DO TRABALHO")</f>
        <v>MEDICINA DO TRABALHO</v>
      </c>
      <c r="E2492" s="11"/>
      <c r="F2492" s="11" t="str">
        <f>IFERROR(__xludf.DUMMYFUNCTION("""COMPUTED_VALUE"""),"US_144 POLICLINICA CLEMENTINO FRAGA")</f>
        <v>US_144 POLICLINICA CLEMENTINO FRAGA</v>
      </c>
      <c r="G2492" s="11" t="str">
        <f>IFERROR(__xludf.DUMMYFUNCTION("""COMPUTED_VALUE"""),"US_217 CENTRO MEDICO SEN JOSE ERMIRIO DE MORAES")</f>
        <v>US_217 CENTRO MEDICO SEN JOSE ERMIRIO DE MORAES</v>
      </c>
      <c r="H2492" s="11"/>
      <c r="I2492" s="11"/>
      <c r="J2492" s="11"/>
      <c r="K2492" s="11"/>
      <c r="L2492" s="11"/>
      <c r="M2492" s="11"/>
      <c r="N2492" s="30" t="str">
        <f>IFERROR(__xludf.DUMMYFUNCTION("""COMPUTED_VALUE"""),"josalda@yahoo.com.br")</f>
        <v>josalda@yahoo.com.br</v>
      </c>
      <c r="O2492" s="11">
        <f>IFERROR(__xludf.DUMMYFUNCTION("""COMPUTED_VALUE"""),7652240468)</f>
        <v>7652240468</v>
      </c>
      <c r="P2492" s="11"/>
      <c r="Q2492" s="11"/>
      <c r="R2492" s="11"/>
      <c r="S2492" s="11"/>
      <c r="T2492" s="11"/>
      <c r="U2492" s="11"/>
      <c r="V2492" s="11"/>
      <c r="W2492" s="11"/>
      <c r="X2492" s="11"/>
      <c r="Y2492" s="11"/>
      <c r="Z2492" s="11"/>
    </row>
    <row r="2493" customHeight="1" spans="1:26">
      <c r="A2493" s="11" t="str">
        <f>IFERROR(__xludf.DUMMYFUNCTION("""COMPUTED_VALUE"""),"MARIA HELENA F DE C CABRAL")</f>
        <v>MARIA HELENA F DE C CABRAL</v>
      </c>
      <c r="B2493" s="11"/>
      <c r="C2493" s="11"/>
      <c r="D2493" s="11" t="str">
        <f>IFERROR(__xludf.DUMMYFUNCTION("""COMPUTED_VALUE"""),"PEDIATRIA")</f>
        <v>PEDIATRIA</v>
      </c>
      <c r="E2493" s="11"/>
      <c r="F2493" s="11" t="str">
        <f>IFERROR(__xludf.DUMMYFUNCTION("""COMPUTED_VALUE"""),"US_376 POLICLINICA SALOMAO KELNER")</f>
        <v>US_376 POLICLINICA SALOMAO KELNER</v>
      </c>
      <c r="G2493" s="11" t="str">
        <f>IFERROR(__xludf.DUMMYFUNCTION("""COMPUTED_VALUE"""),"US_168 CTA CENTRO DE TESTAGEM E ACONSELHAMENTO")</f>
        <v>US_168 CTA CENTRO DE TESTAGEM E ACONSELHAMENTO</v>
      </c>
      <c r="H2493" s="11"/>
      <c r="I2493" s="11"/>
      <c r="J2493" s="11"/>
      <c r="K2493" s="11"/>
      <c r="L2493" s="11"/>
      <c r="M2493" s="11"/>
      <c r="N2493" s="30" t="str">
        <f>IFERROR(__xludf.DUMMYFUNCTION("""COMPUTED_VALUE"""),"HELENACCABRAL@HOTMAIL.COM")</f>
        <v>HELENACCABRAL@HOTMAIL.COM</v>
      </c>
      <c r="O2493" s="11">
        <f>IFERROR(__xludf.DUMMYFUNCTION("""COMPUTED_VALUE"""),12817031415)</f>
        <v>12817031415</v>
      </c>
      <c r="P2493" s="11"/>
      <c r="Q2493" s="11"/>
      <c r="R2493" s="11"/>
      <c r="S2493" s="11"/>
      <c r="T2493" s="11"/>
      <c r="U2493" s="11"/>
      <c r="V2493" s="11"/>
      <c r="W2493" s="11"/>
      <c r="X2493" s="11"/>
      <c r="Y2493" s="11"/>
      <c r="Z2493" s="11"/>
    </row>
    <row r="2494" customHeight="1" spans="1:26">
      <c r="A2494" s="11" t="str">
        <f>IFERROR(__xludf.DUMMYFUNCTION("""COMPUTED_VALUE"""),"MONICA MARIA MOREIRA CAMPOS")</f>
        <v>MONICA MARIA MOREIRA CAMPOS</v>
      </c>
      <c r="B2494" s="11"/>
      <c r="C2494" s="11"/>
      <c r="D2494" s="11" t="str">
        <f>IFERROR(__xludf.DUMMYFUNCTION("""COMPUTED_VALUE"""),"INFECTOLOGIA")</f>
        <v>INFECTOLOGIA</v>
      </c>
      <c r="E2494" s="11"/>
      <c r="F2494" s="11" t="str">
        <f>IFERROR(__xludf.DUMMYFUNCTION("""COMPUTED_VALUE"""),"US_128 POLICLINICA LESSA DE ANDRADE")</f>
        <v>US_128 POLICLINICA LESSA DE ANDRADE</v>
      </c>
      <c r="G2494" s="11" t="str">
        <f>IFERROR(__xludf.DUMMYFUNCTION("""COMPUTED_VALUE"""),"US_321 CENTRAL DE ALERGOLOGIA")</f>
        <v>US_321 CENTRAL DE ALERGOLOGIA</v>
      </c>
      <c r="H2494" s="11"/>
      <c r="I2494" s="11"/>
      <c r="J2494" s="11"/>
      <c r="K2494" s="11"/>
      <c r="L2494" s="11"/>
      <c r="M2494" s="11"/>
      <c r="N2494" s="30" t="str">
        <f>IFERROR(__xludf.DUMMYFUNCTION("""COMPUTED_VALUE"""),"mmmcampos@terra.com.br")</f>
        <v>mmmcampos@terra.com.br</v>
      </c>
      <c r="O2494" s="11">
        <f>IFERROR(__xludf.DUMMYFUNCTION("""COMPUTED_VALUE"""),42034400410)</f>
        <v>42034400410</v>
      </c>
      <c r="P2494" s="11"/>
      <c r="Q2494" s="11"/>
      <c r="R2494" s="11"/>
      <c r="S2494" s="11"/>
      <c r="T2494" s="11"/>
      <c r="U2494" s="11"/>
      <c r="V2494" s="11"/>
      <c r="W2494" s="11"/>
      <c r="X2494" s="11"/>
      <c r="Y2494" s="11"/>
      <c r="Z2494" s="11"/>
    </row>
    <row r="2495" customHeight="1" spans="1:26">
      <c r="A2495" s="11" t="str">
        <f>IFERROR(__xludf.DUMMYFUNCTION("""COMPUTED_VALUE"""),"ROBERTA V MACEDO DO NASCIMENTO")</f>
        <v>ROBERTA V MACEDO DO NASCIMENTO</v>
      </c>
      <c r="B2495" s="11"/>
      <c r="C2495" s="11"/>
      <c r="D2495" s="11" t="str">
        <f>IFERROR(__xludf.DUMMYFUNCTION("""COMPUTED_VALUE"""),"PEDIATRIA")</f>
        <v>PEDIATRIA</v>
      </c>
      <c r="E2495" s="11"/>
      <c r="F2495" s="11" t="str">
        <f>IFERROR(__xludf.DUMMYFUNCTION("""COMPUTED_VALUE"""),"US_376 POLICLINICA SALOMAO KELNER")</f>
        <v>US_376 POLICLINICA SALOMAO KELNER</v>
      </c>
      <c r="G2495" s="11" t="str">
        <f>IFERROR(__xludf.DUMMYFUNCTION("""COMPUTED_VALUE"""),"US_129 AMEM AMBULATORIO ESPECIALIZADO DA MULHER")</f>
        <v>US_129 AMEM AMBULATORIO ESPECIALIZADO DA MULHER</v>
      </c>
      <c r="H2495" s="11"/>
      <c r="I2495" s="11"/>
      <c r="J2495" s="11"/>
      <c r="K2495" s="11"/>
      <c r="L2495" s="11"/>
      <c r="M2495" s="11"/>
      <c r="N2495" s="30" t="str">
        <f>IFERROR(__xludf.DUMMYFUNCTION("""COMPUTED_VALUE"""),"ROBERTAVMNASCIMENTO@GMAIL.COM")</f>
        <v>ROBERTAVMNASCIMENTO@GMAIL.COM</v>
      </c>
      <c r="O2495" s="11">
        <f>IFERROR(__xludf.DUMMYFUNCTION("""COMPUTED_VALUE"""),79971040468)</f>
        <v>79971040468</v>
      </c>
      <c r="P2495" s="11"/>
      <c r="Q2495" s="11"/>
      <c r="R2495" s="11"/>
      <c r="S2495" s="11"/>
      <c r="T2495" s="11"/>
      <c r="U2495" s="11"/>
      <c r="V2495" s="11"/>
      <c r="W2495" s="11"/>
      <c r="X2495" s="11"/>
      <c r="Y2495" s="11"/>
      <c r="Z2495" s="11"/>
    </row>
    <row r="2496" customHeight="1" spans="1:26">
      <c r="A2496" s="11" t="str">
        <f>IFERROR(__xludf.DUMMYFUNCTION("""COMPUTED_VALUE"""),"CLAUDIA MARIA ALVES DE O MELO")</f>
        <v>CLAUDIA MARIA ALVES DE O MELO</v>
      </c>
      <c r="B2496" s="11"/>
      <c r="C2496" s="11"/>
      <c r="D2496" s="11" t="str">
        <f>IFERROR(__xludf.DUMMYFUNCTION("""COMPUTED_VALUE"""),"HANSENOLOGIA")</f>
        <v>HANSENOLOGIA</v>
      </c>
      <c r="E2496" s="11"/>
      <c r="F2496" s="11" t="str">
        <f>IFERROR(__xludf.DUMMYFUNCTION("""COMPUTED_VALUE"""),"US_144 POLICLINICA CLEMENTINO FRAGA")</f>
        <v>US_144 POLICLINICA CLEMENTINO FRAGA</v>
      </c>
      <c r="G2496" s="11" t="str">
        <f>IFERROR(__xludf.DUMMYFUNCTION("""COMPUTED_VALUE"""),"US_217 CENTRO MEDICO SEN JOSE ERMIRIO DE MORAES")</f>
        <v>US_217 CENTRO MEDICO SEN JOSE ERMIRIO DE MORAES</v>
      </c>
      <c r="H2496" s="11"/>
      <c r="I2496" s="11"/>
      <c r="J2496" s="11"/>
      <c r="K2496" s="11"/>
      <c r="L2496" s="11"/>
      <c r="M2496" s="11"/>
      <c r="N2496" s="30" t="str">
        <f>IFERROR(__xludf.DUMMYFUNCTION("""COMPUTED_VALUE"""),"CLAUDIAMAOM@HOTMAIL.COM")</f>
        <v>CLAUDIAMAOM@HOTMAIL.COM</v>
      </c>
      <c r="O2496" s="11">
        <f>IFERROR(__xludf.DUMMYFUNCTION("""COMPUTED_VALUE"""),76056953734)</f>
        <v>76056953734</v>
      </c>
      <c r="P2496" s="11"/>
      <c r="Q2496" s="11"/>
      <c r="R2496" s="11"/>
      <c r="S2496" s="11"/>
      <c r="T2496" s="11"/>
      <c r="U2496" s="11"/>
      <c r="V2496" s="11"/>
      <c r="W2496" s="11"/>
      <c r="X2496" s="11"/>
      <c r="Y2496" s="11"/>
      <c r="Z2496" s="11"/>
    </row>
    <row r="2497" customHeight="1" spans="1:26">
      <c r="A2497" s="11" t="str">
        <f>IFERROR(__xludf.DUMMYFUNCTION("""COMPUTED_VALUE"""),"ADRIANA MARIA R DE AMORIM")</f>
        <v>ADRIANA MARIA R DE AMORIM</v>
      </c>
      <c r="B2497" s="11"/>
      <c r="C2497" s="11"/>
      <c r="D2497" s="11" t="str">
        <f>IFERROR(__xludf.DUMMYFUNCTION("""COMPUTED_VALUE"""),"HEBIATRA")</f>
        <v>HEBIATRA</v>
      </c>
      <c r="E2497" s="11"/>
      <c r="F2497" s="11" t="str">
        <f>IFERROR(__xludf.DUMMYFUNCTION("""COMPUTED_VALUE"""),"US_144 POLICLINICA CLEMENTINO FRAGA")</f>
        <v>US_144 POLICLINICA CLEMENTINO FRAGA</v>
      </c>
      <c r="G2497" s="11" t="str">
        <f>IFERROR(__xludf.DUMMYFUNCTION("""COMPUTED_VALUE"""),"US_217 CENTRO MEDICO SEN JOSE ERMIRIO DE MORAES")</f>
        <v>US_217 CENTRO MEDICO SEN JOSE ERMIRIO DE MORAES</v>
      </c>
      <c r="H2497" s="11"/>
      <c r="I2497" s="11"/>
      <c r="J2497" s="11"/>
      <c r="K2497" s="11"/>
      <c r="L2497" s="11"/>
      <c r="M2497" s="11"/>
      <c r="N2497" s="30" t="str">
        <f>IFERROR(__xludf.DUMMYFUNCTION("""COMPUTED_VALUE"""),"dricaamorim@terra.com.br")</f>
        <v>dricaamorim@terra.com.br</v>
      </c>
      <c r="O2497" s="11">
        <f>IFERROR(__xludf.DUMMYFUNCTION("""COMPUTED_VALUE"""),51820552420)</f>
        <v>51820552420</v>
      </c>
      <c r="P2497" s="11"/>
      <c r="Q2497" s="11"/>
      <c r="R2497" s="11"/>
      <c r="S2497" s="11"/>
      <c r="T2497" s="11"/>
      <c r="U2497" s="11"/>
      <c r="V2497" s="11"/>
      <c r="W2497" s="11"/>
      <c r="X2497" s="11"/>
      <c r="Y2497" s="11"/>
      <c r="Z2497" s="11"/>
    </row>
    <row r="2498" customHeight="1" spans="1:26">
      <c r="A2498" s="11" t="str">
        <f>IFERROR(__xludf.DUMMYFUNCTION("""COMPUTED_VALUE"""),"AMANDA MICHELLINNE M DA SILVA")</f>
        <v>AMANDA MICHELLINNE M DA SILVA</v>
      </c>
      <c r="B2498" s="11"/>
      <c r="C2498" s="11"/>
      <c r="D2498" s="11" t="str">
        <f>IFERROR(__xludf.DUMMYFUNCTION("""COMPUTED_VALUE"""),"DERMATOLOGIA")</f>
        <v>DERMATOLOGIA</v>
      </c>
      <c r="E2498" s="11"/>
      <c r="F2498" s="11" t="str">
        <f>IFERROR(__xludf.DUMMYFUNCTION("""COMPUTED_VALUE"""),"US_128 POLICLINICA LESSA DE ANDRADE")</f>
        <v>US_128 POLICLINICA LESSA DE ANDRADE</v>
      </c>
      <c r="G2498" s="11" t="str">
        <f>IFERROR(__xludf.DUMMYFUNCTION("""COMPUTED_VALUE"""),"US_129 AMEM AMBULATORIO ESPECIALIZADO DA MULHER")</f>
        <v>US_129 AMEM AMBULATORIO ESPECIALIZADO DA MULHER</v>
      </c>
      <c r="H2498" s="11"/>
      <c r="I2498" s="11"/>
      <c r="J2498" s="11"/>
      <c r="K2498" s="11"/>
      <c r="L2498" s="11"/>
      <c r="M2498" s="11"/>
      <c r="N2498" s="30" t="str">
        <f>IFERROR(__xludf.DUMMYFUNCTION("""COMPUTED_VALUE"""),"muniz.amanda@hotmail.com")</f>
        <v>muniz.amanda@hotmail.com</v>
      </c>
      <c r="O2498" s="11">
        <f>IFERROR(__xludf.DUMMYFUNCTION("""COMPUTED_VALUE"""),89938976468)</f>
        <v>89938976468</v>
      </c>
      <c r="P2498" s="11"/>
      <c r="Q2498" s="11"/>
      <c r="R2498" s="11"/>
      <c r="S2498" s="11"/>
      <c r="T2498" s="11"/>
      <c r="U2498" s="11"/>
      <c r="V2498" s="11"/>
      <c r="W2498" s="11"/>
      <c r="X2498" s="11"/>
      <c r="Y2498" s="11"/>
      <c r="Z2498" s="11"/>
    </row>
    <row r="2499" customHeight="1" spans="1:26">
      <c r="A2499" s="11" t="str">
        <f>IFERROR(__xludf.DUMMYFUNCTION("""COMPUTED_VALUE"""),"SERAFICO PEREIRA CABRAL JUNIOR")</f>
        <v>SERAFICO PEREIRA CABRAL JUNIOR</v>
      </c>
      <c r="B2499" s="11"/>
      <c r="C2499" s="11"/>
      <c r="D2499" s="11" t="str">
        <f>IFERROR(__xludf.DUMMYFUNCTION("""COMPUTED_VALUE"""),"UROLOGIA")</f>
        <v>UROLOGIA</v>
      </c>
      <c r="E2499" s="11"/>
      <c r="F2499" s="11" t="str">
        <f>IFERROR(__xludf.DUMMYFUNCTION("""COMPUTED_VALUE"""),"US_162 POLICLINICA ALBERT SABIN")</f>
        <v>US_162 POLICLINICA ALBERT SABIN</v>
      </c>
      <c r="G2499" s="11" t="str">
        <f>IFERROR(__xludf.DUMMYFUNCTION("""COMPUTED_VALUE"""),"US_217 CENTRO MEDICO SEN JOSE ERMIRIO DE MORAES")</f>
        <v>US_217 CENTRO MEDICO SEN JOSE ERMIRIO DE MORAES</v>
      </c>
      <c r="H2499" s="11"/>
      <c r="I2499" s="11"/>
      <c r="J2499" s="11"/>
      <c r="K2499" s="11"/>
      <c r="L2499" s="11"/>
      <c r="M2499" s="11"/>
      <c r="N2499" s="30" t="str">
        <f>IFERROR(__xludf.DUMMYFUNCTION("""COMPUTED_VALUE"""),"seraficojunior@imip.org.br")</f>
        <v>seraficojunior@imip.org.br</v>
      </c>
      <c r="O2499" s="11">
        <f>IFERROR(__xludf.DUMMYFUNCTION("""COMPUTED_VALUE"""),64949869434)</f>
        <v>64949869434</v>
      </c>
      <c r="P2499" s="11"/>
      <c r="Q2499" s="11"/>
      <c r="R2499" s="11"/>
      <c r="S2499" s="11"/>
      <c r="T2499" s="11"/>
      <c r="U2499" s="11"/>
      <c r="V2499" s="11"/>
      <c r="W2499" s="11"/>
      <c r="X2499" s="11"/>
      <c r="Y2499" s="11"/>
      <c r="Z2499" s="11"/>
    </row>
    <row r="2500" customHeight="1" spans="1:26">
      <c r="A2500" s="11" t="str">
        <f>IFERROR(__xludf.DUMMYFUNCTION("""COMPUTED_VALUE"""),"JUCELIO CESARIO BATISTA")</f>
        <v>JUCELIO CESARIO BATISTA</v>
      </c>
      <c r="B2500" s="11"/>
      <c r="C2500" s="11"/>
      <c r="D2500" s="11" t="str">
        <f>IFERROR(__xludf.DUMMYFUNCTION("""COMPUTED_VALUE"""),"UROLOGIA")</f>
        <v>UROLOGIA</v>
      </c>
      <c r="E2500" s="11"/>
      <c r="F2500" s="11" t="str">
        <f>IFERROR(__xludf.DUMMYFUNCTION("""COMPUTED_VALUE"""),"US_293 POLICLINICA DO PINA -  PROFESSORA NAIDE REGUEIRA TEODOSIO")</f>
        <v>US_293 POLICLINICA DO PINA -  PROFESSORA NAIDE REGUEIRA TEODOSIO</v>
      </c>
      <c r="G2500" s="11" t="str">
        <f>IFERROR(__xludf.DUMMYFUNCTION("""COMPUTED_VALUE"""),"US_217 CENTRO MEDICO SEN JOSE ERMIRIO DE MORAES")</f>
        <v>US_217 CENTRO MEDICO SEN JOSE ERMIRIO DE MORAES</v>
      </c>
      <c r="H2500" s="11"/>
      <c r="I2500" s="11"/>
      <c r="J2500" s="11"/>
      <c r="K2500" s="11"/>
      <c r="L2500" s="11"/>
      <c r="M2500" s="11"/>
      <c r="N2500" s="30" t="str">
        <f>IFERROR(__xludf.DUMMYFUNCTION("""COMPUTED_VALUE"""),"juceliocbatista@yahoo.com.br")</f>
        <v>juceliocbatista@yahoo.com.br</v>
      </c>
      <c r="O2500" s="11">
        <f>IFERROR(__xludf.DUMMYFUNCTION("""COMPUTED_VALUE"""),76890333420)</f>
        <v>76890333420</v>
      </c>
      <c r="P2500" s="11"/>
      <c r="Q2500" s="11"/>
      <c r="R2500" s="11"/>
      <c r="S2500" s="11"/>
      <c r="T2500" s="11"/>
      <c r="U2500" s="11"/>
      <c r="V2500" s="11"/>
      <c r="W2500" s="11"/>
      <c r="X2500" s="11"/>
      <c r="Y2500" s="11"/>
      <c r="Z2500" s="11"/>
    </row>
    <row r="2501" customHeight="1" spans="1:26">
      <c r="A2501" s="11" t="str">
        <f>IFERROR(__xludf.DUMMYFUNCTION("""COMPUTED_VALUE"""),"YVANA MARIA M DE ALBUQUERQUE")</f>
        <v>YVANA MARIA M DE ALBUQUERQUE</v>
      </c>
      <c r="B2501" s="11"/>
      <c r="C2501" s="11"/>
      <c r="D2501" s="11" t="str">
        <f>IFERROR(__xludf.DUMMYFUNCTION("""COMPUTED_VALUE"""),"INFECTOLOGIA")</f>
        <v>INFECTOLOGIA</v>
      </c>
      <c r="E2501" s="11"/>
      <c r="F2501" s="11" t="str">
        <f>IFERROR(__xludf.DUMMYFUNCTION("""COMPUTED_VALUE"""),"US_128 POLICLINICA LESSA DE ANDRADE")</f>
        <v>US_128 POLICLINICA LESSA DE ANDRADE</v>
      </c>
      <c r="G2501" s="11" t="str">
        <f>IFERROR(__xludf.DUMMYFUNCTION("""COMPUTED_VALUE"""),"")</f>
        <v/>
      </c>
      <c r="H2501" s="11"/>
      <c r="I2501" s="11"/>
      <c r="J2501" s="11"/>
      <c r="K2501" s="11"/>
      <c r="L2501" s="11"/>
      <c r="M2501" s="11"/>
      <c r="N2501" s="30" t="str">
        <f>IFERROR(__xludf.DUMMYFUNCTION("""COMPUTED_VALUE"""),"yvana.albuquerque@terra.com.br")</f>
        <v>yvana.albuquerque@terra.com.br</v>
      </c>
      <c r="O2501" s="11">
        <f>IFERROR(__xludf.DUMMYFUNCTION("""COMPUTED_VALUE"""),26021005449)</f>
        <v>26021005449</v>
      </c>
      <c r="P2501" s="11"/>
      <c r="Q2501" s="11"/>
      <c r="R2501" s="11"/>
      <c r="S2501" s="11"/>
      <c r="T2501" s="11"/>
      <c r="U2501" s="11"/>
      <c r="V2501" s="11"/>
      <c r="W2501" s="11"/>
      <c r="X2501" s="11"/>
      <c r="Y2501" s="11"/>
      <c r="Z2501" s="11"/>
    </row>
    <row r="2502" customHeight="1" spans="1:26">
      <c r="A2502" s="11" t="str">
        <f>IFERROR(__xludf.DUMMYFUNCTION("""COMPUTED_VALUE"""),"TACIANA MORAIS DE OLIVEIRA")</f>
        <v>TACIANA MORAIS DE OLIVEIRA</v>
      </c>
      <c r="B2502" s="11"/>
      <c r="C2502" s="11"/>
      <c r="D2502" s="11" t="str">
        <f>IFERROR(__xludf.DUMMYFUNCTION("""COMPUTED_VALUE"""),"MEDICO ULTRASSONOGRAFIA")</f>
        <v>MEDICO ULTRASSONOGRAFIA</v>
      </c>
      <c r="E2502" s="11"/>
      <c r="F2502" s="11" t="str">
        <f>IFERROR(__xludf.DUMMYFUNCTION("""COMPUTED_VALUE"""),"US_128 POLICLINICA LESSA DE ANDRADE")</f>
        <v>US_128 POLICLINICA LESSA DE ANDRADE</v>
      </c>
      <c r="G2502" s="11" t="str">
        <f>IFERROR(__xludf.DUMMYFUNCTION("""COMPUTED_VALUE"""),"")</f>
        <v/>
      </c>
      <c r="H2502" s="11"/>
      <c r="I2502" s="11"/>
      <c r="J2502" s="11"/>
      <c r="K2502" s="11"/>
      <c r="L2502" s="11"/>
      <c r="M2502" s="11"/>
      <c r="N2502" s="30" t="str">
        <f>IFERROR(__xludf.DUMMYFUNCTION("""COMPUTED_VALUE"""),"TACIANAMOLIVEIRA@HOTMAIL.COM")</f>
        <v>TACIANAMOLIVEIRA@HOTMAIL.COM</v>
      </c>
      <c r="O2502" s="11">
        <f>IFERROR(__xludf.DUMMYFUNCTION("""COMPUTED_VALUE"""),735709408)</f>
        <v>735709408</v>
      </c>
      <c r="P2502" s="11"/>
      <c r="Q2502" s="11"/>
      <c r="R2502" s="11"/>
      <c r="S2502" s="11"/>
      <c r="T2502" s="11"/>
      <c r="U2502" s="11"/>
      <c r="V2502" s="11"/>
      <c r="W2502" s="11"/>
      <c r="X2502" s="11"/>
      <c r="Y2502" s="11"/>
      <c r="Z2502" s="11"/>
    </row>
    <row r="2503" customHeight="1" spans="1:26">
      <c r="A2503" s="11" t="str">
        <f>IFERROR(__xludf.DUMMYFUNCTION("""COMPUTED_VALUE"""),"HEVILLA T DE B DE A CAVALCANTE")</f>
        <v>HEVILLA T DE B DE A CAVALCANTE</v>
      </c>
      <c r="B2503" s="11"/>
      <c r="C2503" s="11"/>
      <c r="D2503" s="11" t="str">
        <f>IFERROR(__xludf.DUMMYFUNCTION("""COMPUTED_VALUE"""),"PEDIATRIA")</f>
        <v>PEDIATRIA</v>
      </c>
      <c r="E2503" s="11"/>
      <c r="F2503" s="11" t="str">
        <f>IFERROR(__xludf.DUMMYFUNCTION("""COMPUTED_VALUE"""),"US_162 POLICLINICA ALBERT SABIN")</f>
        <v>US_162 POLICLINICA ALBERT SABIN</v>
      </c>
      <c r="G2503" s="11" t="str">
        <f>IFERROR(__xludf.DUMMYFUNCTION("""COMPUTED_VALUE"""),"")</f>
        <v/>
      </c>
      <c r="H2503" s="11"/>
      <c r="I2503" s="11"/>
      <c r="J2503" s="11"/>
      <c r="K2503" s="11"/>
      <c r="L2503" s="11"/>
      <c r="M2503" s="11"/>
      <c r="N2503" s="30" t="str">
        <f>IFERROR(__xludf.DUMMYFUNCTION("""COMPUTED_VALUE"""),"hevillatb@hotmail.com")</f>
        <v>hevillatb@hotmail.com</v>
      </c>
      <c r="O2503" s="11">
        <f>IFERROR(__xludf.DUMMYFUNCTION("""COMPUTED_VALUE"""),49336096400)</f>
        <v>49336096400</v>
      </c>
      <c r="P2503" s="11"/>
      <c r="Q2503" s="11"/>
      <c r="R2503" s="11"/>
      <c r="S2503" s="11"/>
      <c r="T2503" s="11"/>
      <c r="U2503" s="11"/>
      <c r="V2503" s="11"/>
      <c r="W2503" s="11"/>
      <c r="X2503" s="11"/>
      <c r="Y2503" s="11"/>
      <c r="Z2503" s="11"/>
    </row>
    <row r="2504" customHeight="1" spans="1:26">
      <c r="A2504" s="11" t="str">
        <f>IFERROR(__xludf.DUMMYFUNCTION("""COMPUTED_VALUE"""),"MARCIA REJANE NERE TAVARES")</f>
        <v>MARCIA REJANE NERE TAVARES</v>
      </c>
      <c r="B2504" s="11"/>
      <c r="C2504" s="11"/>
      <c r="D2504" s="11" t="str">
        <f>IFERROR(__xludf.DUMMYFUNCTION("""COMPUTED_VALUE"""),"GINECOLOGIA / COLPOSCOPIA / TOCOGINECOLOGIA")</f>
        <v>GINECOLOGIA / COLPOSCOPIA / TOCOGINECOLOGIA</v>
      </c>
      <c r="E2504" s="11"/>
      <c r="F2504" s="11" t="str">
        <f>IFERROR(__xludf.DUMMYFUNCTION("""COMPUTED_VALUE"""),"US_293 POLICLINICA DO PINA -  PROFESSORA NAIDE REGUEIRA TEODOSIO")</f>
        <v>US_293 POLICLINICA DO PINA -  PROFESSORA NAIDE REGUEIRA TEODOSIO</v>
      </c>
      <c r="G2504" s="11" t="str">
        <f>IFERROR(__xludf.DUMMYFUNCTION("""COMPUTED_VALUE"""),"SEDE DISTRITO SANITARIO II")</f>
        <v>SEDE DISTRITO SANITARIO II</v>
      </c>
      <c r="H2504" s="11"/>
      <c r="I2504" s="11"/>
      <c r="J2504" s="11"/>
      <c r="K2504" s="11"/>
      <c r="L2504" s="11"/>
      <c r="M2504" s="11"/>
      <c r="N2504" s="30" t="str">
        <f>IFERROR(__xludf.DUMMYFUNCTION("""COMPUTED_VALUE"""),"DOUTORAMARCIAREJANE@GMAIL.COM")</f>
        <v>DOUTORAMARCIAREJANE@GMAIL.COM</v>
      </c>
      <c r="O2504" s="11">
        <f>IFERROR(__xludf.DUMMYFUNCTION("""COMPUTED_VALUE"""),30130948420)</f>
        <v>30130948420</v>
      </c>
      <c r="P2504" s="11"/>
      <c r="Q2504" s="11"/>
      <c r="R2504" s="11"/>
      <c r="S2504" s="11"/>
      <c r="T2504" s="11"/>
      <c r="U2504" s="11"/>
      <c r="V2504" s="11"/>
      <c r="W2504" s="11"/>
      <c r="X2504" s="11"/>
      <c r="Y2504" s="11"/>
      <c r="Z2504" s="11"/>
    </row>
    <row r="2505" customHeight="1" spans="1:26">
      <c r="A2505" s="11" t="str">
        <f>IFERROR(__xludf.DUMMYFUNCTION("""COMPUTED_VALUE"""),"MARIA DO R DE F V FIGUEIROA")</f>
        <v>MARIA DO R DE F V FIGUEIROA</v>
      </c>
      <c r="B2505" s="11"/>
      <c r="C2505" s="11"/>
      <c r="D2505" s="11" t="str">
        <f>IFERROR(__xludf.DUMMYFUNCTION("""COMPUTED_VALUE"""),"HEBIATRA")</f>
        <v>HEBIATRA</v>
      </c>
      <c r="E2505" s="11"/>
      <c r="F2505" s="11" t="str">
        <f>IFERROR(__xludf.DUMMYFUNCTION("""COMPUTED_VALUE"""),"US_162 POLICLINICA ALBERT SABIN")</f>
        <v>US_162 POLICLINICA ALBERT SABIN</v>
      </c>
      <c r="G2505" s="11" t="str">
        <f>IFERROR(__xludf.DUMMYFUNCTION("""COMPUTED_VALUE"""),"SEDE DISTRITO SANITARIO I")</f>
        <v>SEDE DISTRITO SANITARIO I</v>
      </c>
      <c r="H2505" s="11"/>
      <c r="I2505" s="11"/>
      <c r="J2505" s="11"/>
      <c r="K2505" s="11"/>
      <c r="L2505" s="11"/>
      <c r="M2505" s="11"/>
      <c r="N2505" s="30" t="str">
        <f>IFERROR(__xludf.DUMMYFUNCTION("""COMPUTED_VALUE"""),"rosariofigueiroa@yahoo.com.br")</f>
        <v>rosariofigueiroa@yahoo.com.br</v>
      </c>
      <c r="O2505" s="11">
        <f>IFERROR(__xludf.DUMMYFUNCTION("""COMPUTED_VALUE"""),17032580459)</f>
        <v>17032580459</v>
      </c>
      <c r="P2505" s="11"/>
      <c r="Q2505" s="11"/>
      <c r="R2505" s="11"/>
      <c r="S2505" s="11"/>
      <c r="T2505" s="11"/>
      <c r="U2505" s="11"/>
      <c r="V2505" s="11"/>
      <c r="W2505" s="11"/>
      <c r="X2505" s="11"/>
      <c r="Y2505" s="11"/>
      <c r="Z2505" s="11"/>
    </row>
    <row r="2506" customHeight="1" spans="1:26">
      <c r="A2506" s="11" t="str">
        <f>IFERROR(__xludf.DUMMYFUNCTION("""COMPUTED_VALUE"""),"ELIANE SANTANA DE LIMA")</f>
        <v>ELIANE SANTANA DE LIMA</v>
      </c>
      <c r="B2506" s="11"/>
      <c r="C2506" s="11"/>
      <c r="D2506" s="11" t="str">
        <f>IFERROR(__xludf.DUMMYFUNCTION("""COMPUTED_VALUE"""),"ALERGIA E IMUNOLOGIA")</f>
        <v>ALERGIA E IMUNOLOGIA</v>
      </c>
      <c r="E2506" s="11"/>
      <c r="F2506" s="11" t="str">
        <f>IFERROR(__xludf.DUMMYFUNCTION("""COMPUTED_VALUE"""),"US_162 POLICLINICA ALBERT SABIN")</f>
        <v>US_162 POLICLINICA ALBERT SABIN</v>
      </c>
      <c r="G2506" s="11" t="str">
        <f>IFERROR(__xludf.DUMMYFUNCTION("""COMPUTED_VALUE"""),"SEDE DISTRITO SANITARIO VI")</f>
        <v>SEDE DISTRITO SANITARIO VI</v>
      </c>
      <c r="H2506" s="11"/>
      <c r="I2506" s="11"/>
      <c r="J2506" s="11"/>
      <c r="K2506" s="11"/>
      <c r="L2506" s="11"/>
      <c r="M2506" s="11"/>
      <c r="N2506" s="30" t="str">
        <f>IFERROR(__xludf.DUMMYFUNCTION("""COMPUTED_VALUE"""),"elianelima09@gmail.com")</f>
        <v>elianelima09@gmail.com</v>
      </c>
      <c r="O2506" s="11">
        <f>IFERROR(__xludf.DUMMYFUNCTION("""COMPUTED_VALUE"""),19243391453)</f>
        <v>19243391453</v>
      </c>
      <c r="P2506" s="11"/>
      <c r="Q2506" s="11"/>
      <c r="R2506" s="11"/>
      <c r="S2506" s="11"/>
      <c r="T2506" s="11"/>
      <c r="U2506" s="11"/>
      <c r="V2506" s="11"/>
      <c r="W2506" s="11"/>
      <c r="X2506" s="11"/>
      <c r="Y2506" s="11"/>
      <c r="Z2506" s="11"/>
    </row>
    <row r="2507" customHeight="1" spans="1:26">
      <c r="A2507" s="11" t="str">
        <f>IFERROR(__xludf.DUMMYFUNCTION("""COMPUTED_VALUE"""),"PAULO FERREIRA ROLIM")</f>
        <v>PAULO FERREIRA ROLIM</v>
      </c>
      <c r="B2507" s="11"/>
      <c r="C2507" s="11"/>
      <c r="D2507" s="11" t="str">
        <f>IFERROR(__xludf.DUMMYFUNCTION("""COMPUTED_VALUE"""),"GINECOLOGIA")</f>
        <v>GINECOLOGIA</v>
      </c>
      <c r="E2507" s="11"/>
      <c r="F2507" s="11" t="str">
        <f>IFERROR(__xludf.DUMMYFUNCTION("""COMPUTED_VALUE"""),"US_144 POLICLINICA CLEMENTINO FRAGA")</f>
        <v>US_144 POLICLINICA CLEMENTINO FRAGA</v>
      </c>
      <c r="G2507" s="11" t="str">
        <f>IFERROR(__xludf.DUMMYFUNCTION("""COMPUTED_VALUE"""),"SEDE DISTRITO SANITARIO I")</f>
        <v>SEDE DISTRITO SANITARIO I</v>
      </c>
      <c r="H2507" s="11"/>
      <c r="I2507" s="11"/>
      <c r="J2507" s="11"/>
      <c r="K2507" s="11"/>
      <c r="L2507" s="11"/>
      <c r="M2507" s="11"/>
      <c r="N2507" s="30" t="str">
        <f>IFERROR(__xludf.DUMMYFUNCTION("""COMPUTED_VALUE"""),"PAULOROLIM@HOTMAIL.COM")</f>
        <v>PAULOROLIM@HOTMAIL.COM</v>
      </c>
      <c r="O2507" s="11">
        <f>IFERROR(__xludf.DUMMYFUNCTION("""COMPUTED_VALUE"""),11445238420)</f>
        <v>11445238420</v>
      </c>
      <c r="P2507" s="11"/>
      <c r="Q2507" s="11"/>
      <c r="R2507" s="11"/>
      <c r="S2507" s="11"/>
      <c r="T2507" s="11"/>
      <c r="U2507" s="11"/>
      <c r="V2507" s="11"/>
      <c r="W2507" s="11"/>
      <c r="X2507" s="11"/>
      <c r="Y2507" s="11"/>
      <c r="Z2507" s="11"/>
    </row>
    <row r="2508" customHeight="1" spans="1:26">
      <c r="A2508" s="11" t="str">
        <f>IFERROR(__xludf.DUMMYFUNCTION("""COMPUTED_VALUE"""),"ROSEANE MARIA CALHEIROS BERTAO")</f>
        <v>ROSEANE MARIA CALHEIROS BERTAO</v>
      </c>
      <c r="B2508" s="11"/>
      <c r="C2508" s="11"/>
      <c r="D2508" s="11" t="str">
        <f>IFERROR(__xludf.DUMMYFUNCTION("""COMPUTED_VALUE"""),"GINECOLOGIA E OBSTETRICIA")</f>
        <v>GINECOLOGIA E OBSTETRICIA</v>
      </c>
      <c r="E2508" s="11"/>
      <c r="F2508" s="11" t="str">
        <f>IFERROR(__xludf.DUMMYFUNCTION("""COMPUTED_VALUE"""),"US_293 POLICLINICA DO PINA -  PROFESSORA NAIDE REGUEIRA TEODOSIO")</f>
        <v>US_293 POLICLINICA DO PINA -  PROFESSORA NAIDE REGUEIRA TEODOSIO</v>
      </c>
      <c r="G2508" s="11" t="str">
        <f>IFERROR(__xludf.DUMMYFUNCTION("""COMPUTED_VALUE"""),"SEDE DISTRITO SANITARIO II")</f>
        <v>SEDE DISTRITO SANITARIO II</v>
      </c>
      <c r="H2508" s="11"/>
      <c r="I2508" s="11"/>
      <c r="J2508" s="11"/>
      <c r="K2508" s="11"/>
      <c r="L2508" s="11"/>
      <c r="M2508" s="11"/>
      <c r="N2508" s="30" t="str">
        <f>IFERROR(__xludf.DUMMYFUNCTION("""COMPUTED_VALUE"""),"roseanealvescalheiros@hotmail.com")</f>
        <v>roseanealvescalheiros@hotmail.com</v>
      </c>
      <c r="O2508" s="11">
        <f>IFERROR(__xludf.DUMMYFUNCTION("""COMPUTED_VALUE"""),30442206453)</f>
        <v>30442206453</v>
      </c>
      <c r="P2508" s="11"/>
      <c r="Q2508" s="11"/>
      <c r="R2508" s="11"/>
      <c r="S2508" s="11"/>
      <c r="T2508" s="11"/>
      <c r="U2508" s="11"/>
      <c r="V2508" s="11"/>
      <c r="W2508" s="11"/>
      <c r="X2508" s="11"/>
      <c r="Y2508" s="11"/>
      <c r="Z2508" s="11"/>
    </row>
    <row r="2509" customHeight="1" spans="1:26">
      <c r="A2509" s="11" t="str">
        <f>IFERROR(__xludf.DUMMYFUNCTION("""COMPUTED_VALUE"""),"SERGIO LUIZ LIRA PALMA")</f>
        <v>SERGIO LUIZ LIRA PALMA</v>
      </c>
      <c r="B2509" s="11"/>
      <c r="C2509" s="11"/>
      <c r="D2509" s="11" t="str">
        <f>IFERROR(__xludf.DUMMYFUNCTION("""COMPUTED_VALUE"""),"DERMATOLOGIA")</f>
        <v>DERMATOLOGIA</v>
      </c>
      <c r="E2509" s="11"/>
      <c r="F2509" s="11" t="str">
        <f>IFERROR(__xludf.DUMMYFUNCTION("""COMPUTED_VALUE"""),"US_293 POLICLINICA DO PINA -  PROFESSORA NAIDE REGUEIRA TEODOSIO")</f>
        <v>US_293 POLICLINICA DO PINA -  PROFESSORA NAIDE REGUEIRA TEODOSIO</v>
      </c>
      <c r="G2509" s="11" t="str">
        <f>IFERROR(__xludf.DUMMYFUNCTION("""COMPUTED_VALUE"""),"SEDE DISTRITO SANITARIO IV")</f>
        <v>SEDE DISTRITO SANITARIO IV</v>
      </c>
      <c r="H2509" s="11"/>
      <c r="I2509" s="11"/>
      <c r="J2509" s="11"/>
      <c r="K2509" s="11"/>
      <c r="L2509" s="11"/>
      <c r="M2509" s="11"/>
      <c r="N2509" s="30" t="str">
        <f>IFERROR(__xludf.DUMMYFUNCTION("""COMPUTED_VALUE"""),"sergiolpalma@hotmail.com")</f>
        <v>sergiolpalma@hotmail.com</v>
      </c>
      <c r="O2509" s="11">
        <f>IFERROR(__xludf.DUMMYFUNCTION("""COMPUTED_VALUE"""),51093901420)</f>
        <v>51093901420</v>
      </c>
      <c r="P2509" s="11"/>
      <c r="Q2509" s="11"/>
      <c r="R2509" s="11"/>
      <c r="S2509" s="11"/>
      <c r="T2509" s="11"/>
      <c r="U2509" s="11"/>
      <c r="V2509" s="11"/>
      <c r="W2509" s="11"/>
      <c r="X2509" s="11"/>
      <c r="Y2509" s="11"/>
      <c r="Z2509" s="11"/>
    </row>
    <row r="2510" customHeight="1" spans="1:26">
      <c r="A2510" s="11" t="str">
        <f>IFERROR(__xludf.DUMMYFUNCTION("""COMPUTED_VALUE"""),"PAULA ADRIANA PRADO MELO REGIS")</f>
        <v>PAULA ADRIANA PRADO MELO REGIS</v>
      </c>
      <c r="B2510" s="11"/>
      <c r="C2510" s="11"/>
      <c r="D2510" s="11" t="str">
        <f>IFERROR(__xludf.DUMMYFUNCTION("""COMPUTED_VALUE"""),"PNEUMOLOGIA")</f>
        <v>PNEUMOLOGIA</v>
      </c>
      <c r="E2510" s="11"/>
      <c r="F2510" s="11" t="str">
        <f>IFERROR(__xludf.DUMMYFUNCTION("""COMPUTED_VALUE"""),"US_162 POLICLINICA ALBERT SABIN")</f>
        <v>US_162 POLICLINICA ALBERT SABIN</v>
      </c>
      <c r="G2510" s="11" t="str">
        <f>IFERROR(__xludf.DUMMYFUNCTION("""COMPUTED_VALUE"""),"SEDE DISTRITO SANITARIO III")</f>
        <v>SEDE DISTRITO SANITARIO III</v>
      </c>
      <c r="H2510" s="11"/>
      <c r="I2510" s="11"/>
      <c r="J2510" s="11"/>
      <c r="K2510" s="11"/>
      <c r="L2510" s="11"/>
      <c r="M2510" s="11"/>
      <c r="N2510" s="30" t="str">
        <f>IFERROR(__xludf.DUMMYFUNCTION("""COMPUTED_VALUE"""),"PREGIS@HOTLINK.COM.BR")</f>
        <v>PREGIS@HOTLINK.COM.BR</v>
      </c>
      <c r="O2510" s="11">
        <f>IFERROR(__xludf.DUMMYFUNCTION("""COMPUTED_VALUE"""),88769801487)</f>
        <v>88769801487</v>
      </c>
      <c r="P2510" s="11"/>
      <c r="Q2510" s="11"/>
      <c r="R2510" s="11"/>
      <c r="S2510" s="11"/>
      <c r="T2510" s="11"/>
      <c r="U2510" s="11"/>
      <c r="V2510" s="11"/>
      <c r="W2510" s="11"/>
      <c r="X2510" s="11"/>
      <c r="Y2510" s="11"/>
      <c r="Z2510" s="11"/>
    </row>
    <row r="2511" customHeight="1" spans="1:26">
      <c r="A2511" s="11" t="str">
        <f>IFERROR(__xludf.DUMMYFUNCTION("""COMPUTED_VALUE"""),"HENRIQUE SERGIO TELES CORREIA")</f>
        <v>HENRIQUE SERGIO TELES CORREIA</v>
      </c>
      <c r="B2511" s="11"/>
      <c r="C2511" s="11"/>
      <c r="D2511" s="11" t="str">
        <f>IFERROR(__xludf.DUMMYFUNCTION("""COMPUTED_VALUE"""),"GASTROENTEROLOGIA")</f>
        <v>GASTROENTEROLOGIA</v>
      </c>
      <c r="E2511" s="11"/>
      <c r="F2511" s="11" t="str">
        <f>IFERROR(__xludf.DUMMYFUNCTION("""COMPUTED_VALUE"""),"US_101 POLICLINICA PROF WALDEMAR DE OLIVEIRA ")</f>
        <v>US_101 POLICLINICA PROF WALDEMAR DE OLIVEIRA </v>
      </c>
      <c r="G2511" s="11" t="str">
        <f>IFERROR(__xludf.DUMMYFUNCTION("""COMPUTED_VALUE"""),"SEDE DISTRITO SANITARIO VII")</f>
        <v>SEDE DISTRITO SANITARIO VII</v>
      </c>
      <c r="H2511" s="11"/>
      <c r="I2511" s="11"/>
      <c r="J2511" s="11"/>
      <c r="K2511" s="11"/>
      <c r="L2511" s="11"/>
      <c r="M2511" s="11"/>
      <c r="N2511" s="30" t="str">
        <f>IFERROR(__xludf.DUMMYFUNCTION("""COMPUTED_VALUE"""),"HST.CORREIA@HOTMAIL.COM")</f>
        <v>HST.CORREIA@HOTMAIL.COM</v>
      </c>
      <c r="O2511" s="11">
        <f>IFERROR(__xludf.DUMMYFUNCTION("""COMPUTED_VALUE"""),24010367334)</f>
        <v>24010367334</v>
      </c>
      <c r="P2511" s="11"/>
      <c r="Q2511" s="11"/>
      <c r="R2511" s="11"/>
      <c r="S2511" s="11"/>
      <c r="T2511" s="11"/>
      <c r="U2511" s="11"/>
      <c r="V2511" s="11"/>
      <c r="W2511" s="11"/>
      <c r="X2511" s="11"/>
      <c r="Y2511" s="11"/>
      <c r="Z2511" s="11"/>
    </row>
    <row r="2512" customHeight="1" spans="1:26">
      <c r="A2512" s="11" t="str">
        <f>IFERROR(__xludf.DUMMYFUNCTION("""COMPUTED_VALUE"""),"MARCIA ALVES DE MELO")</f>
        <v>MARCIA ALVES DE MELO</v>
      </c>
      <c r="B2512" s="11"/>
      <c r="C2512" s="11"/>
      <c r="D2512" s="11" t="str">
        <f>IFERROR(__xludf.DUMMYFUNCTION("""COMPUTED_VALUE"""),"PEDIATRIA")</f>
        <v>PEDIATRIA</v>
      </c>
      <c r="E2512" s="11"/>
      <c r="F2512" s="11" t="str">
        <f>IFERROR(__xludf.DUMMYFUNCTION("""COMPUTED_VALUE"""),"US_128 POLICLINICA LESSA DE ANDRADE")</f>
        <v>US_128 POLICLINICA LESSA DE ANDRADE</v>
      </c>
      <c r="G2512" s="11" t="str">
        <f>IFERROR(__xludf.DUMMYFUNCTION("""COMPUTED_VALUE"""),"SEDE DISTRITO SANITARIO VI")</f>
        <v>SEDE DISTRITO SANITARIO VI</v>
      </c>
      <c r="H2512" s="11"/>
      <c r="I2512" s="11"/>
      <c r="J2512" s="11"/>
      <c r="K2512" s="11"/>
      <c r="L2512" s="11"/>
      <c r="M2512" s="11"/>
      <c r="N2512" s="11"/>
      <c r="O2512" s="11">
        <f>IFERROR(__xludf.DUMMYFUNCTION("""COMPUTED_VALUE"""),55169368453)</f>
        <v>55169368453</v>
      </c>
      <c r="P2512" s="11"/>
      <c r="Q2512" s="11"/>
      <c r="R2512" s="11"/>
      <c r="S2512" s="11"/>
      <c r="T2512" s="11"/>
      <c r="U2512" s="11"/>
      <c r="V2512" s="11"/>
      <c r="W2512" s="11"/>
      <c r="X2512" s="11"/>
      <c r="Y2512" s="11"/>
      <c r="Z2512" s="11"/>
    </row>
    <row r="2513" customHeight="1" spans="1:26">
      <c r="A2513" s="11" t="str">
        <f>IFERROR(__xludf.DUMMYFUNCTION("""COMPUTED_VALUE"""),"ANA CLAUDIA MARTINS RAMOS")</f>
        <v>ANA CLAUDIA MARTINS RAMOS</v>
      </c>
      <c r="B2513" s="11"/>
      <c r="C2513" s="11"/>
      <c r="D2513" s="11" t="str">
        <f>IFERROR(__xludf.DUMMYFUNCTION("""COMPUTED_VALUE"""),"ENDOCRINOLOGIA E METABOLOGIA")</f>
        <v>ENDOCRINOLOGIA E METABOLOGIA</v>
      </c>
      <c r="E2513" s="11"/>
      <c r="F2513" s="11" t="str">
        <f>IFERROR(__xludf.DUMMYFUNCTION("""COMPUTED_VALUE"""),"US_128 POLICLINICA LESSA DE ANDRADE")</f>
        <v>US_128 POLICLINICA LESSA DE ANDRADE</v>
      </c>
      <c r="G2513" s="11" t="str">
        <f>IFERROR(__xludf.DUMMYFUNCTION("""COMPUTED_VALUE"""),"SEDE DISTRITO SANITARIO IV")</f>
        <v>SEDE DISTRITO SANITARIO IV</v>
      </c>
      <c r="H2513" s="11"/>
      <c r="I2513" s="11"/>
      <c r="J2513" s="11"/>
      <c r="K2513" s="11"/>
      <c r="L2513" s="11"/>
      <c r="M2513" s="11"/>
      <c r="N2513" s="30" t="str">
        <f>IFERROR(__xludf.DUMMYFUNCTION("""COMPUTED_VALUE"""),"EVABPMARTINS@GMAIL.COM")</f>
        <v>EVABPMARTINS@GMAIL.COM</v>
      </c>
      <c r="O2513" s="11">
        <f>IFERROR(__xludf.DUMMYFUNCTION("""COMPUTED_VALUE"""),51513862472)</f>
        <v>51513862472</v>
      </c>
      <c r="P2513" s="11"/>
      <c r="Q2513" s="11"/>
      <c r="R2513" s="11"/>
      <c r="S2513" s="11"/>
      <c r="T2513" s="11"/>
      <c r="U2513" s="11"/>
      <c r="V2513" s="11"/>
      <c r="W2513" s="11"/>
      <c r="X2513" s="11"/>
      <c r="Y2513" s="11"/>
      <c r="Z2513" s="11"/>
    </row>
    <row r="2514" customHeight="1" spans="1:26">
      <c r="A2514" s="11" t="str">
        <f>IFERROR(__xludf.DUMMYFUNCTION("""COMPUTED_VALUE"""),"JOSE ALEXANDRE G BARBOSA")</f>
        <v>JOSE ALEXANDRE G BARBOSA</v>
      </c>
      <c r="B2514" s="11"/>
      <c r="C2514" s="11"/>
      <c r="D2514" s="11" t="str">
        <f>IFERROR(__xludf.DUMMYFUNCTION("""COMPUTED_VALUE"""),"CLINICA GERAL  /  MEDICINA DO TRABALHO")</f>
        <v>CLINICA GERAL  /  MEDICINA DO TRABALHO</v>
      </c>
      <c r="E2514" s="11"/>
      <c r="F2514" s="11" t="str">
        <f>IFERROR(__xludf.DUMMYFUNCTION("""COMPUTED_VALUE"""),"US_128 POLICLINICA LESSA DE ANDRADE")</f>
        <v>US_128 POLICLINICA LESSA DE ANDRADE</v>
      </c>
      <c r="G2514" s="11" t="str">
        <f>IFERROR(__xludf.DUMMYFUNCTION("""COMPUTED_VALUE"""),"US_141 SECRETARIA MUNICIPAL DE SAUDE DO RECIFE")</f>
        <v>US_141 SECRETARIA MUNICIPAL DE SAUDE DO RECIFE</v>
      </c>
      <c r="H2514" s="11"/>
      <c r="I2514" s="11"/>
      <c r="J2514" s="11"/>
      <c r="K2514" s="11"/>
      <c r="L2514" s="11"/>
      <c r="M2514" s="11"/>
      <c r="N2514" s="11"/>
      <c r="O2514" s="11">
        <f>IFERROR(__xludf.DUMMYFUNCTION("""COMPUTED_VALUE"""),19823843449)</f>
        <v>19823843449</v>
      </c>
      <c r="P2514" s="11"/>
      <c r="Q2514" s="11"/>
      <c r="R2514" s="11"/>
      <c r="S2514" s="11"/>
      <c r="T2514" s="11"/>
      <c r="U2514" s="11"/>
      <c r="V2514" s="11"/>
      <c r="W2514" s="11"/>
      <c r="X2514" s="11"/>
      <c r="Y2514" s="11"/>
      <c r="Z2514" s="11"/>
    </row>
    <row r="2515" customHeight="1" spans="1:26">
      <c r="A2515" s="11" t="str">
        <f>IFERROR(__xludf.DUMMYFUNCTION("""COMPUTED_VALUE"""),"VERONICA B DA S BAN D DE MELO")</f>
        <v>VERONICA B DA S BAN D DE MELO</v>
      </c>
      <c r="B2515" s="11"/>
      <c r="C2515" s="11"/>
      <c r="D2515" s="11" t="str">
        <f>IFERROR(__xludf.DUMMYFUNCTION("""COMPUTED_VALUE"""),"PEDIATRIA")</f>
        <v>PEDIATRIA</v>
      </c>
      <c r="E2515" s="11"/>
      <c r="F2515" s="11" t="str">
        <f>IFERROR(__xludf.DUMMYFUNCTION("""COMPUTED_VALUE"""),"US_160 POLICLINICA GOUVEIA DE BARROS")</f>
        <v>US_160 POLICLINICA GOUVEIA DE BARROS</v>
      </c>
      <c r="G2515" s="11" t="str">
        <f>IFERROR(__xludf.DUMMYFUNCTION("""COMPUTED_VALUE"""),"US_141 SECRETARIA MUNICIPAL DE SAUDE DO RECIFE")</f>
        <v>US_141 SECRETARIA MUNICIPAL DE SAUDE DO RECIFE</v>
      </c>
      <c r="H2515" s="11"/>
      <c r="I2515" s="11"/>
      <c r="J2515" s="11"/>
      <c r="K2515" s="11"/>
      <c r="L2515" s="11"/>
      <c r="M2515" s="11"/>
      <c r="N2515" s="11"/>
      <c r="O2515" s="11">
        <f>IFERROR(__xludf.DUMMYFUNCTION("""COMPUTED_VALUE"""),27390381434)</f>
        <v>27390381434</v>
      </c>
      <c r="P2515" s="11"/>
      <c r="Q2515" s="11"/>
      <c r="R2515" s="11"/>
      <c r="S2515" s="11"/>
      <c r="T2515" s="11"/>
      <c r="U2515" s="11"/>
      <c r="V2515" s="11"/>
      <c r="W2515" s="11"/>
      <c r="X2515" s="11"/>
      <c r="Y2515" s="11"/>
      <c r="Z2515" s="11"/>
    </row>
    <row r="2516" customHeight="1" spans="1:26">
      <c r="A2516" s="11" t="str">
        <f>IFERROR(__xludf.DUMMYFUNCTION("""COMPUTED_VALUE"""),"MARIA LUCIA LINS E MELO TORRES")</f>
        <v>MARIA LUCIA LINS E MELO TORRES</v>
      </c>
      <c r="B2516" s="11"/>
      <c r="C2516" s="11"/>
      <c r="D2516" s="11" t="str">
        <f>IFERROR(__xludf.DUMMYFUNCTION("""COMPUTED_VALUE"""),"ENDOCRINOLOGIA E METABOLOGIA")</f>
        <v>ENDOCRINOLOGIA E METABOLOGIA</v>
      </c>
      <c r="E2516" s="11"/>
      <c r="F2516" s="11" t="str">
        <f>IFERROR(__xludf.DUMMYFUNCTION("""COMPUTED_VALUE"""),"US_160 POLICLINICA GOUVEIA DE BARROS")</f>
        <v>US_160 POLICLINICA GOUVEIA DE BARROS</v>
      </c>
      <c r="G2516" s="11" t="str">
        <f>IFERROR(__xludf.DUMMYFUNCTION("""COMPUTED_VALUE"""),"GERENCIA GERAL DE ATENCAO INTEGRAL A SAUDE")</f>
        <v>GERENCIA GERAL DE ATENCAO INTEGRAL A SAUDE</v>
      </c>
      <c r="H2516" s="11"/>
      <c r="I2516" s="11"/>
      <c r="J2516" s="11"/>
      <c r="K2516" s="11"/>
      <c r="L2516" s="11"/>
      <c r="M2516" s="11"/>
      <c r="N2516" s="30" t="str">
        <f>IFERROR(__xludf.DUMMYFUNCTION("""COMPUTED_VALUE"""),"MLTORRES@TERRA.COM.BR")</f>
        <v>MLTORRES@TERRA.COM.BR</v>
      </c>
      <c r="O2516" s="11">
        <f>IFERROR(__xludf.DUMMYFUNCTION("""COMPUTED_VALUE"""),10380930404)</f>
        <v>10380930404</v>
      </c>
      <c r="P2516" s="11"/>
      <c r="Q2516" s="11"/>
      <c r="R2516" s="11"/>
      <c r="S2516" s="11"/>
      <c r="T2516" s="11"/>
      <c r="U2516" s="11"/>
      <c r="V2516" s="11"/>
      <c r="W2516" s="11"/>
      <c r="X2516" s="11"/>
      <c r="Y2516" s="11"/>
      <c r="Z2516" s="11"/>
    </row>
    <row r="2517" customHeight="1" spans="1:26">
      <c r="A2517" s="11" t="str">
        <f>IFERROR(__xludf.DUMMYFUNCTION("""COMPUTED_VALUE"""),"FELISA PELEGRINI DE MEDEIROS")</f>
        <v>FELISA PELEGRINI DE MEDEIROS</v>
      </c>
      <c r="B2517" s="11"/>
      <c r="C2517" s="11"/>
      <c r="D2517" s="11" t="str">
        <f>IFERROR(__xludf.DUMMYFUNCTION("""COMPUTED_VALUE"""),"PNEUMOLOGIA")</f>
        <v>PNEUMOLOGIA</v>
      </c>
      <c r="E2517" s="11"/>
      <c r="F2517" s="11" t="str">
        <f>IFERROR(__xludf.DUMMYFUNCTION("""COMPUTED_VALUE"""),"US_160 POLICLINICA GOUVEIA DE BARROS")</f>
        <v>US_160 POLICLINICA GOUVEIA DE BARROS</v>
      </c>
      <c r="G2517" s="11" t="str">
        <f>IFERROR(__xludf.DUMMYFUNCTION("""COMPUTED_VALUE"""),"GERENCIA GERAL DE REGULACAO EM SAUDE")</f>
        <v>GERENCIA GERAL DE REGULACAO EM SAUDE</v>
      </c>
      <c r="H2517" s="11"/>
      <c r="I2517" s="11"/>
      <c r="J2517" s="11"/>
      <c r="K2517" s="11"/>
      <c r="L2517" s="11"/>
      <c r="M2517" s="11"/>
      <c r="N2517" s="11"/>
      <c r="O2517" s="11">
        <f>IFERROR(__xludf.DUMMYFUNCTION("""COMPUTED_VALUE"""),32675720453)</f>
        <v>32675720453</v>
      </c>
      <c r="P2517" s="11"/>
      <c r="Q2517" s="11"/>
      <c r="R2517" s="11"/>
      <c r="S2517" s="11"/>
      <c r="T2517" s="11"/>
      <c r="U2517" s="11"/>
      <c r="V2517" s="11"/>
      <c r="W2517" s="11"/>
      <c r="X2517" s="11"/>
      <c r="Y2517" s="11"/>
      <c r="Z2517" s="11"/>
    </row>
    <row r="2518" customHeight="1" spans="1:26">
      <c r="A2518" s="11" t="str">
        <f>IFERROR(__xludf.DUMMYFUNCTION("""COMPUTED_VALUE"""),"MARIA DA CONCEICAO C FREITAS")</f>
        <v>MARIA DA CONCEICAO C FREITAS</v>
      </c>
      <c r="B2518" s="11"/>
      <c r="C2518" s="11"/>
      <c r="D2518" s="11" t="str">
        <f>IFERROR(__xludf.DUMMYFUNCTION("""COMPUTED_VALUE"""),"GERIATRIA  /  MEDICINA DO TRABALHO")</f>
        <v>GERIATRIA  /  MEDICINA DO TRABALHO</v>
      </c>
      <c r="E2518" s="11"/>
      <c r="F2518" s="11" t="str">
        <f>IFERROR(__xludf.DUMMYFUNCTION("""COMPUTED_VALUE"""),"US_160 POLICLINICA GOUVEIA DE BARROS")</f>
        <v>US_160 POLICLINICA GOUVEIA DE BARROS</v>
      </c>
      <c r="G2518" s="11" t="str">
        <f>IFERROR(__xludf.DUMMYFUNCTION("""COMPUTED_VALUE"""),"GERENCIA GERAL DE MONITORAMENTO DE GESTAO DISTRITAL ")</f>
        <v>GERENCIA GERAL DE MONITORAMENTO DE GESTAO DISTRITAL </v>
      </c>
      <c r="H2518" s="11"/>
      <c r="I2518" s="11"/>
      <c r="J2518" s="11"/>
      <c r="K2518" s="11"/>
      <c r="L2518" s="11"/>
      <c r="M2518" s="11"/>
      <c r="N2518" s="30" t="str">
        <f>IFERROR(__xludf.DUMMYFUNCTION("""COMPUTED_VALUE"""),"MCCAVALCANTIFREITAS@BOL.COM.BR")</f>
        <v>MCCAVALCANTIFREITAS@BOL.COM.BR</v>
      </c>
      <c r="O2518" s="11">
        <f>IFERROR(__xludf.DUMMYFUNCTION("""COMPUTED_VALUE"""),39120147449)</f>
        <v>39120147449</v>
      </c>
      <c r="P2518" s="11"/>
      <c r="Q2518" s="11"/>
      <c r="R2518" s="11"/>
      <c r="S2518" s="11"/>
      <c r="T2518" s="11"/>
      <c r="U2518" s="11"/>
      <c r="V2518" s="11"/>
      <c r="W2518" s="11"/>
      <c r="X2518" s="11"/>
      <c r="Y2518" s="11"/>
      <c r="Z2518" s="11"/>
    </row>
    <row r="2519" customHeight="1" spans="1:26">
      <c r="A2519" s="11" t="str">
        <f>IFERROR(__xludf.DUMMYFUNCTION("""COMPUTED_VALUE"""),"MARTA VERONICA B DE S MENDONCA")</f>
        <v>MARTA VERONICA B DE S MENDONCA</v>
      </c>
      <c r="B2519" s="11"/>
      <c r="C2519" s="11"/>
      <c r="D2519" s="11" t="str">
        <f>IFERROR(__xludf.DUMMYFUNCTION("""COMPUTED_VALUE"""),"OTORRINOLARINGOLOGIA")</f>
        <v>OTORRINOLARINGOLOGIA</v>
      </c>
      <c r="E2519" s="11"/>
      <c r="F2519" s="11" t="str">
        <f>IFERROR(__xludf.DUMMYFUNCTION("""COMPUTED_VALUE"""),"US_160 POLICLINICA GOUVEIA DE BARROS")</f>
        <v>US_160 POLICLINICA GOUVEIA DE BARROS</v>
      </c>
      <c r="G2519" s="11" t="str">
        <f>IFERROR(__xludf.DUMMYFUNCTION("""COMPUTED_VALUE"""),"GERENCIA GERAL DE REGULACAO EM SAUDE")</f>
        <v>GERENCIA GERAL DE REGULACAO EM SAUDE</v>
      </c>
      <c r="H2519" s="11"/>
      <c r="I2519" s="11"/>
      <c r="J2519" s="11"/>
      <c r="K2519" s="11"/>
      <c r="L2519" s="11"/>
      <c r="M2519" s="11"/>
      <c r="N2519" s="30" t="str">
        <f>IFERROR(__xludf.DUMMYFUNCTION("""COMPUTED_VALUE"""),"MV.MENDONCA@HOTMAIL.COM")</f>
        <v>MV.MENDONCA@HOTMAIL.COM</v>
      </c>
      <c r="O2519" s="11">
        <f>IFERROR(__xludf.DUMMYFUNCTION("""COMPUTED_VALUE"""),42111331449)</f>
        <v>42111331449</v>
      </c>
      <c r="P2519" s="11"/>
      <c r="Q2519" s="11"/>
      <c r="R2519" s="11"/>
      <c r="S2519" s="11"/>
      <c r="T2519" s="11"/>
      <c r="U2519" s="11"/>
      <c r="V2519" s="11"/>
      <c r="W2519" s="11"/>
      <c r="X2519" s="11"/>
      <c r="Y2519" s="11"/>
      <c r="Z2519" s="11"/>
    </row>
    <row r="2520" customHeight="1" spans="1:26">
      <c r="A2520" s="11" t="str">
        <f>IFERROR(__xludf.DUMMYFUNCTION("""COMPUTED_VALUE"""),"MARIA DE FATIMA M L ARAUJO")</f>
        <v>MARIA DE FATIMA M L ARAUJO</v>
      </c>
      <c r="B2520" s="11"/>
      <c r="C2520" s="11"/>
      <c r="D2520" s="11" t="str">
        <f>IFERROR(__xludf.DUMMYFUNCTION("""COMPUTED_VALUE"""),"CARDIOLOGIA")</f>
        <v>CARDIOLOGIA</v>
      </c>
      <c r="E2520" s="11"/>
      <c r="F2520" s="11" t="str">
        <f>IFERROR(__xludf.DUMMYFUNCTION("""COMPUTED_VALUE"""),"US_166 POLICLINICA CENTRO")</f>
        <v>US_166 POLICLINICA CENTRO</v>
      </c>
      <c r="G2520" s="11" t="str">
        <f>IFERROR(__xludf.DUMMYFUNCTION("""COMPUTED_VALUE"""),"GERENCIA GERAL DE REGULACAO EM SAUDE")</f>
        <v>GERENCIA GERAL DE REGULACAO EM SAUDE</v>
      </c>
      <c r="H2520" s="11"/>
      <c r="I2520" s="11"/>
      <c r="J2520" s="11"/>
      <c r="K2520" s="11"/>
      <c r="L2520" s="11"/>
      <c r="M2520" s="11"/>
      <c r="N2520" s="30" t="str">
        <f>IFERROR(__xludf.DUMMYFUNCTION("""COMPUTED_VALUE"""),"MARIACARDIO@HOTMAIL.COM")</f>
        <v>MARIACARDIO@HOTMAIL.COM</v>
      </c>
      <c r="O2520" s="11">
        <f>IFERROR(__xludf.DUMMYFUNCTION("""COMPUTED_VALUE"""),19871945434)</f>
        <v>19871945434</v>
      </c>
      <c r="P2520" s="11"/>
      <c r="Q2520" s="11"/>
      <c r="R2520" s="11"/>
      <c r="S2520" s="11"/>
      <c r="T2520" s="11"/>
      <c r="U2520" s="11"/>
      <c r="V2520" s="11"/>
      <c r="W2520" s="11"/>
      <c r="X2520" s="11"/>
      <c r="Y2520" s="11"/>
      <c r="Z2520" s="11"/>
    </row>
    <row r="2521" customHeight="1" spans="1:26">
      <c r="A2521" s="11" t="str">
        <f>IFERROR(__xludf.DUMMYFUNCTION("""COMPUTED_VALUE"""),"ELIEZER RUSHANSKY")</f>
        <v>ELIEZER RUSHANSKY</v>
      </c>
      <c r="B2521" s="11"/>
      <c r="C2521" s="11"/>
      <c r="D2521" s="11" t="str">
        <f>IFERROR(__xludf.DUMMYFUNCTION("""COMPUTED_VALUE"""),"REUMATOLOGIA")</f>
        <v>REUMATOLOGIA</v>
      </c>
      <c r="E2521" s="11"/>
      <c r="F2521" s="11" t="str">
        <f>IFERROR(__xludf.DUMMYFUNCTION("""COMPUTED_VALUE"""),"US_166 POLICLINICA CENTRO")</f>
        <v>US_166 POLICLINICA CENTRO</v>
      </c>
      <c r="G2521" s="11" t="str">
        <f>IFERROR(__xludf.DUMMYFUNCTION("""COMPUTED_VALUE"""),"GERENCIA GERAL DE MONITORAMENTO DE GESTAO DISTRITAL ")</f>
        <v>GERENCIA GERAL DE MONITORAMENTO DE GESTAO DISTRITAL </v>
      </c>
      <c r="H2521" s="11"/>
      <c r="I2521" s="11"/>
      <c r="J2521" s="11"/>
      <c r="K2521" s="11"/>
      <c r="L2521" s="11"/>
      <c r="M2521" s="11"/>
      <c r="N2521" s="30" t="str">
        <f>IFERROR(__xludf.DUMMYFUNCTION("""COMPUTED_VALUE"""),"IRPE.DIRETORIA@GMAIL.COM")</f>
        <v>IRPE.DIRETORIA@GMAIL.COM</v>
      </c>
      <c r="O2521" s="11">
        <f>IFERROR(__xludf.DUMMYFUNCTION("""COMPUTED_VALUE"""),5111870415)</f>
        <v>5111870415</v>
      </c>
      <c r="P2521" s="11"/>
      <c r="Q2521" s="11"/>
      <c r="R2521" s="11"/>
      <c r="S2521" s="11"/>
      <c r="T2521" s="11"/>
      <c r="U2521" s="11"/>
      <c r="V2521" s="11"/>
      <c r="W2521" s="11"/>
      <c r="X2521" s="11"/>
      <c r="Y2521" s="11"/>
      <c r="Z2521" s="11"/>
    </row>
    <row r="2522" customHeight="1" spans="1:26">
      <c r="A2522" s="11" t="str">
        <f>IFERROR(__xludf.DUMMYFUNCTION("""COMPUTED_VALUE"""),"MONICA LEAL PIMENTEL")</f>
        <v>MONICA LEAL PIMENTEL</v>
      </c>
      <c r="B2522" s="11"/>
      <c r="C2522" s="11"/>
      <c r="D2522" s="11" t="str">
        <f>IFERROR(__xludf.DUMMYFUNCTION("""COMPUTED_VALUE"""),"CLINICA GERAL")</f>
        <v>CLINICA GERAL</v>
      </c>
      <c r="E2522" s="11"/>
      <c r="F2522" s="11" t="str">
        <f>IFERROR(__xludf.DUMMYFUNCTION("""COMPUTED_VALUE"""),"US_162 POLICLINICA ALBERT SABIN")</f>
        <v>US_162 POLICLINICA ALBERT SABIN</v>
      </c>
      <c r="G2522" s="11" t="str">
        <f>IFERROR(__xludf.DUMMYFUNCTION("""COMPUTED_VALUE"""),"GERENCIA GERAL DE MONITORAMENTO DE GESTAO DISTRITAL ")</f>
        <v>GERENCIA GERAL DE MONITORAMENTO DE GESTAO DISTRITAL </v>
      </c>
      <c r="H2522" s="11"/>
      <c r="I2522" s="11"/>
      <c r="J2522" s="11"/>
      <c r="K2522" s="11"/>
      <c r="L2522" s="11"/>
      <c r="M2522" s="11"/>
      <c r="N2522" s="30" t="str">
        <f>IFERROR(__xludf.DUMMYFUNCTION("""COMPUTED_VALUE"""),"MONICALPEMENTEL@GLOBO.COM")</f>
        <v>MONICALPEMENTEL@GLOBO.COM</v>
      </c>
      <c r="O2522" s="11">
        <f>IFERROR(__xludf.DUMMYFUNCTION("""COMPUTED_VALUE"""),71210385449)</f>
        <v>71210385449</v>
      </c>
      <c r="P2522" s="11"/>
      <c r="Q2522" s="11"/>
      <c r="R2522" s="11"/>
      <c r="S2522" s="11"/>
      <c r="T2522" s="11"/>
      <c r="U2522" s="11"/>
      <c r="V2522" s="11"/>
      <c r="W2522" s="11"/>
      <c r="X2522" s="11"/>
      <c r="Y2522" s="11"/>
      <c r="Z2522" s="11"/>
    </row>
    <row r="2523" customHeight="1" spans="1:26">
      <c r="A2523" s="11" t="str">
        <f>IFERROR(__xludf.DUMMYFUNCTION("""COMPUTED_VALUE"""),"MARIA CHRISTINA C.L.DE MIRANDA")</f>
        <v>MARIA CHRISTINA C.L.DE MIRANDA</v>
      </c>
      <c r="B2523" s="11"/>
      <c r="C2523" s="11"/>
      <c r="D2523" s="11" t="str">
        <f>IFERROR(__xludf.DUMMYFUNCTION("""COMPUTED_VALUE"""),"PSIQUIATRIA")</f>
        <v>PSIQUIATRIA</v>
      </c>
      <c r="E2523" s="11"/>
      <c r="F2523" s="11" t="str">
        <f>IFERROR(__xludf.DUMMYFUNCTION("""COMPUTED_VALUE"""),"US_128 POLICLINICA LESSA DE ANDRADE")</f>
        <v>US_128 POLICLINICA LESSA DE ANDRADE</v>
      </c>
      <c r="G2523" s="11" t="str">
        <f>IFERROR(__xludf.DUMMYFUNCTION("""COMPUTED_VALUE"""),"GERENCIA GERAL DE REGULACAO EM SAUDE")</f>
        <v>GERENCIA GERAL DE REGULACAO EM SAUDE</v>
      </c>
      <c r="H2523" s="11"/>
      <c r="I2523" s="11"/>
      <c r="J2523" s="11"/>
      <c r="K2523" s="11"/>
      <c r="L2523" s="11"/>
      <c r="M2523" s="11"/>
      <c r="N2523" s="30" t="str">
        <f>IFERROR(__xludf.DUMMYFUNCTION("""COMPUTED_VALUE"""),"mchris.lins@gmail.com")</f>
        <v>mchris.lins@gmail.com</v>
      </c>
      <c r="O2523" s="11">
        <f>IFERROR(__xludf.DUMMYFUNCTION("""COMPUTED_VALUE"""),15029620478)</f>
        <v>15029620478</v>
      </c>
      <c r="P2523" s="11"/>
      <c r="Q2523" s="11"/>
      <c r="R2523" s="11"/>
      <c r="S2523" s="11"/>
      <c r="T2523" s="11"/>
      <c r="U2523" s="11"/>
      <c r="V2523" s="11"/>
      <c r="W2523" s="11"/>
      <c r="X2523" s="11"/>
      <c r="Y2523" s="11"/>
      <c r="Z2523" s="11"/>
    </row>
    <row r="2524" customHeight="1" spans="1:26">
      <c r="A2524" s="11" t="str">
        <f>IFERROR(__xludf.DUMMYFUNCTION("""COMPUTED_VALUE"""),"MARIA DE LOURDES S J TRAVASSOS")</f>
        <v>MARIA DE LOURDES S J TRAVASSOS</v>
      </c>
      <c r="B2524" s="11"/>
      <c r="C2524" s="11"/>
      <c r="D2524" s="11" t="str">
        <f>IFERROR(__xludf.DUMMYFUNCTION("""COMPUTED_VALUE"""),"GINECOLOGIA / COLPOSCOPIA")</f>
        <v>GINECOLOGIA / COLPOSCOPIA</v>
      </c>
      <c r="E2524" s="11"/>
      <c r="F2524" s="11" t="str">
        <f>IFERROR(__xludf.DUMMYFUNCTION("""COMPUTED_VALUE"""),"US_101 POLICLINICA PROF WALDEMAR DE OLIVEIRA ")</f>
        <v>US_101 POLICLINICA PROF WALDEMAR DE OLIVEIRA </v>
      </c>
      <c r="G2524" s="11" t="str">
        <f>IFERROR(__xludf.DUMMYFUNCTION("""COMPUTED_VALUE"""),"GERENCIA GERAL DE REGULACAO EM SAUDE")</f>
        <v>GERENCIA GERAL DE REGULACAO EM SAUDE</v>
      </c>
      <c r="H2524" s="11"/>
      <c r="I2524" s="11"/>
      <c r="J2524" s="11"/>
      <c r="K2524" s="11"/>
      <c r="L2524" s="11"/>
      <c r="M2524" s="11"/>
      <c r="N2524" s="30" t="str">
        <f>IFERROR(__xludf.DUMMYFUNCTION("""COMPUTED_VALUE"""),"lourdesjales@hotmail.com")</f>
        <v>lourdesjales@hotmail.com</v>
      </c>
      <c r="O2524" s="11">
        <f>IFERROR(__xludf.DUMMYFUNCTION("""COMPUTED_VALUE"""),54740363453)</f>
        <v>54740363453</v>
      </c>
      <c r="P2524" s="11"/>
      <c r="Q2524" s="11"/>
      <c r="R2524" s="11"/>
      <c r="S2524" s="11"/>
      <c r="T2524" s="11"/>
      <c r="U2524" s="11"/>
      <c r="V2524" s="11"/>
      <c r="W2524" s="11"/>
      <c r="X2524" s="11"/>
      <c r="Y2524" s="11"/>
      <c r="Z2524" s="11"/>
    </row>
    <row r="2525" customHeight="1" spans="1:26">
      <c r="A2525" s="11" t="str">
        <f>IFERROR(__xludf.DUMMYFUNCTION("""COMPUTED_VALUE"""),"SHYRLENE ESMERALDO MACEDO")</f>
        <v>SHYRLENE ESMERALDO MACEDO</v>
      </c>
      <c r="B2525" s="11"/>
      <c r="C2525" s="11"/>
      <c r="D2525" s="11" t="str">
        <f>IFERROR(__xludf.DUMMYFUNCTION("""COMPUTED_VALUE"""),"PNEUMOLOGIA / CLINICA GERAL")</f>
        <v>PNEUMOLOGIA / CLINICA GERAL</v>
      </c>
      <c r="E2525" s="11"/>
      <c r="F2525" s="11" t="str">
        <f>IFERROR(__xludf.DUMMYFUNCTION("""COMPUTED_VALUE"""),"US_144 POLICLINICA CLEMENTINO FRAGA")</f>
        <v>US_144 POLICLINICA CLEMENTINO FRAGA</v>
      </c>
      <c r="G2525" s="11" t="str">
        <f>IFERROR(__xludf.DUMMYFUNCTION("""COMPUTED_VALUE"""),"GERENCIA GERAL DE MONITORAMENTO DE GESTAO DISTRITAL ")</f>
        <v>GERENCIA GERAL DE MONITORAMENTO DE GESTAO DISTRITAL </v>
      </c>
      <c r="H2525" s="11"/>
      <c r="I2525" s="11"/>
      <c r="J2525" s="11"/>
      <c r="K2525" s="11"/>
      <c r="L2525" s="11"/>
      <c r="M2525" s="11"/>
      <c r="N2525" s="30" t="str">
        <f>IFERROR(__xludf.DUMMYFUNCTION("""COMPUTED_VALUE"""),"SHYRLENE@MULTICLINICACM.COM.BR")</f>
        <v>SHYRLENE@MULTICLINICACM.COM.BR</v>
      </c>
      <c r="O2525" s="11">
        <f>IFERROR(__xludf.DUMMYFUNCTION("""COMPUTED_VALUE"""),51079046453)</f>
        <v>51079046453</v>
      </c>
      <c r="P2525" s="11"/>
      <c r="Q2525" s="11"/>
      <c r="R2525" s="11"/>
      <c r="S2525" s="11"/>
      <c r="T2525" s="11"/>
      <c r="U2525" s="11"/>
      <c r="V2525" s="11"/>
      <c r="W2525" s="11"/>
      <c r="X2525" s="11"/>
      <c r="Y2525" s="11"/>
      <c r="Z2525" s="11"/>
    </row>
    <row r="2526" customHeight="1" spans="1:26">
      <c r="A2526" s="11" t="str">
        <f>IFERROR(__xludf.DUMMYFUNCTION("""COMPUTED_VALUE"""),"TARCISIO DE PAIVA FIGUEIREDO")</f>
        <v>TARCISIO DE PAIVA FIGUEIREDO</v>
      </c>
      <c r="B2526" s="11"/>
      <c r="C2526" s="11"/>
      <c r="D2526" s="11" t="str">
        <f>IFERROR(__xludf.DUMMYFUNCTION("""COMPUTED_VALUE"""),"CLINICA GERAL")</f>
        <v>CLINICA GERAL</v>
      </c>
      <c r="E2526" s="11"/>
      <c r="F2526" s="11" t="str">
        <f>IFERROR(__xludf.DUMMYFUNCTION("""COMPUTED_VALUE"""),"US_101 POLICLINICA PROF WALDEMAR DE OLIVEIRA")</f>
        <v>US_101 POLICLINICA PROF WALDEMAR DE OLIVEIRA</v>
      </c>
      <c r="G2526" s="11" t="str">
        <f>IFERROR(__xludf.DUMMYFUNCTION("""COMPUTED_VALUE"""),"SERMAC")</f>
        <v>SERMAC</v>
      </c>
      <c r="H2526" s="11"/>
      <c r="I2526" s="11"/>
      <c r="J2526" s="11"/>
      <c r="K2526" s="11"/>
      <c r="L2526" s="11"/>
      <c r="M2526" s="11"/>
      <c r="N2526" s="30" t="str">
        <f>IFERROR(__xludf.DUMMYFUNCTION("""COMPUTED_VALUE"""),"tfpe@uol.com.br                                        ")</f>
        <v>tfpe@uol.com.br                                        </v>
      </c>
      <c r="O2526" s="11">
        <f>IFERROR(__xludf.DUMMYFUNCTION("""COMPUTED_VALUE"""),55630383434)</f>
        <v>55630383434</v>
      </c>
      <c r="P2526" s="11"/>
      <c r="Q2526" s="11"/>
      <c r="R2526" s="11"/>
      <c r="S2526" s="11"/>
      <c r="T2526" s="11"/>
      <c r="U2526" s="11"/>
      <c r="V2526" s="11"/>
      <c r="W2526" s="11"/>
      <c r="X2526" s="11"/>
      <c r="Y2526" s="11"/>
      <c r="Z2526" s="11"/>
    </row>
    <row r="2527" customHeight="1" spans="1:26">
      <c r="A2527" s="11" t="str">
        <f>IFERROR(__xludf.DUMMYFUNCTION("""COMPUTED_VALUE"""),"CARLOS DE OLIVEIRA MELO")</f>
        <v>CARLOS DE OLIVEIRA MELO</v>
      </c>
      <c r="B2527" s="11"/>
      <c r="C2527" s="11"/>
      <c r="D2527" s="11" t="str">
        <f>IFERROR(__xludf.DUMMYFUNCTION("""COMPUTED_VALUE"""),"NEUROLOGIA")</f>
        <v>NEUROLOGIA</v>
      </c>
      <c r="E2527" s="11"/>
      <c r="F2527" s="11" t="str">
        <f>IFERROR(__xludf.DUMMYFUNCTION("""COMPUTED_VALUE"""),"US_144 POLICLINICA CLEMENTINO FRAGA")</f>
        <v>US_144 POLICLINICA CLEMENTINO FRAGA</v>
      </c>
      <c r="G2527" s="11" t="str">
        <f>IFERROR(__xludf.DUMMYFUNCTION("""COMPUTED_VALUE"""),"GERENCIA GERAL DE REGULACAO EM SAUDE")</f>
        <v>GERENCIA GERAL DE REGULACAO EM SAUDE</v>
      </c>
      <c r="H2527" s="11"/>
      <c r="I2527" s="11"/>
      <c r="J2527" s="11"/>
      <c r="K2527" s="11"/>
      <c r="L2527" s="11"/>
      <c r="M2527" s="11"/>
      <c r="N2527" s="30" t="str">
        <f>IFERROR(__xludf.DUMMYFUNCTION("""COMPUTED_VALUE"""),"MELOCARLOSOLIVEIRA@GMAIL.COM")</f>
        <v>MELOCARLOSOLIVEIRA@GMAIL.COM</v>
      </c>
      <c r="O2527" s="11">
        <f>IFERROR(__xludf.DUMMYFUNCTION("""COMPUTED_VALUE"""),39913864453)</f>
        <v>39913864453</v>
      </c>
      <c r="P2527" s="11"/>
      <c r="Q2527" s="11"/>
      <c r="R2527" s="11"/>
      <c r="S2527" s="11"/>
      <c r="T2527" s="11"/>
      <c r="U2527" s="11"/>
      <c r="V2527" s="11"/>
      <c r="W2527" s="11"/>
      <c r="X2527" s="11"/>
      <c r="Y2527" s="11"/>
      <c r="Z2527" s="11"/>
    </row>
    <row r="2528" customHeight="1" spans="1:26">
      <c r="A2528" s="11" t="str">
        <f>IFERROR(__xludf.DUMMYFUNCTION("""COMPUTED_VALUE"""),"MARIA IMACULADA P TENORIO")</f>
        <v>MARIA IMACULADA P TENORIO</v>
      </c>
      <c r="B2528" s="11"/>
      <c r="C2528" s="11"/>
      <c r="D2528" s="11" t="str">
        <f>IFERROR(__xludf.DUMMYFUNCTION("""COMPUTED_VALUE"""),"GINECOLOGIA E OBSTETRICIA")</f>
        <v>GINECOLOGIA E OBSTETRICIA</v>
      </c>
      <c r="E2528" s="11"/>
      <c r="F2528" s="11" t="str">
        <f>IFERROR(__xludf.DUMMYFUNCTION("""COMPUTED_VALUE"""),"US_376 POLICLINICA SALOMAO KELNER")</f>
        <v>US_376 POLICLINICA SALOMAO KELNER</v>
      </c>
      <c r="G2528" s="11" t="str">
        <f>IFERROR(__xludf.DUMMYFUNCTION("""COMPUTED_VALUE"""),"GERENCIA GERAL DE MONITORAMENTO DE GESTAO DISTRITAL ")</f>
        <v>GERENCIA GERAL DE MONITORAMENTO DE GESTAO DISTRITAL </v>
      </c>
      <c r="H2528" s="11"/>
      <c r="I2528" s="11"/>
      <c r="J2528" s="11"/>
      <c r="K2528" s="11"/>
      <c r="L2528" s="11"/>
      <c r="M2528" s="11"/>
      <c r="N2528" s="30" t="str">
        <f>IFERROR(__xludf.DUMMYFUNCTION("""COMPUTED_VALUE"""),"imaculadatenorio@terra.com.br")</f>
        <v>imaculadatenorio@terra.com.br</v>
      </c>
      <c r="O2528" s="11">
        <f>IFERROR(__xludf.DUMMYFUNCTION("""COMPUTED_VALUE"""),44887582404)</f>
        <v>44887582404</v>
      </c>
      <c r="P2528" s="11"/>
      <c r="Q2528" s="11"/>
      <c r="R2528" s="11"/>
      <c r="S2528" s="11"/>
      <c r="T2528" s="11"/>
      <c r="U2528" s="11"/>
      <c r="V2528" s="11"/>
      <c r="W2528" s="11"/>
      <c r="X2528" s="11"/>
      <c r="Y2528" s="11"/>
      <c r="Z2528" s="11"/>
    </row>
    <row r="2529" customHeight="1" spans="1:26">
      <c r="A2529" s="11" t="str">
        <f>IFERROR(__xludf.DUMMYFUNCTION("""COMPUTED_VALUE"""),"VIVIANE MACHADO MELO")</f>
        <v>VIVIANE MACHADO MELO</v>
      </c>
      <c r="B2529" s="11"/>
      <c r="C2529" s="11"/>
      <c r="D2529" s="11" t="str">
        <f>IFERROR(__xludf.DUMMYFUNCTION("""COMPUTED_VALUE"""),"PEDIATRIA")</f>
        <v>PEDIATRIA</v>
      </c>
      <c r="E2529" s="11"/>
      <c r="F2529" s="11" t="str">
        <f>IFERROR(__xludf.DUMMYFUNCTION("""COMPUTED_VALUE"""),"US_144 POLICLINICA CLEMENTINO FRAGA")</f>
        <v>US_144 POLICLINICA CLEMENTINO FRAGA</v>
      </c>
      <c r="G2529" s="11" t="str">
        <f>IFERROR(__xludf.DUMMYFUNCTION("""COMPUTED_VALUE"""),"GERENCIA GERAL DE REGULACAO EM SAUDE")</f>
        <v>GERENCIA GERAL DE REGULACAO EM SAUDE</v>
      </c>
      <c r="H2529" s="11"/>
      <c r="I2529" s="11"/>
      <c r="J2529" s="11"/>
      <c r="K2529" s="11"/>
      <c r="L2529" s="11"/>
      <c r="M2529" s="11"/>
      <c r="N2529" s="30" t="str">
        <f>IFERROR(__xludf.DUMMYFUNCTION("""COMPUTED_VALUE"""),"MELO.VIVIANEMACHADO@GMAIL.COM")</f>
        <v>MELO.VIVIANEMACHADO@GMAIL.COM</v>
      </c>
      <c r="O2529" s="11">
        <f>IFERROR(__xludf.DUMMYFUNCTION("""COMPUTED_VALUE"""),83138196420)</f>
        <v>83138196420</v>
      </c>
      <c r="P2529" s="11"/>
      <c r="Q2529" s="11"/>
      <c r="R2529" s="11"/>
      <c r="S2529" s="11"/>
      <c r="T2529" s="11"/>
      <c r="U2529" s="11"/>
      <c r="V2529" s="11"/>
      <c r="W2529" s="11"/>
      <c r="X2529" s="11"/>
      <c r="Y2529" s="11"/>
      <c r="Z2529" s="11"/>
    </row>
    <row r="2530" customHeight="1" spans="1:26">
      <c r="A2530" s="11" t="str">
        <f>IFERROR(__xludf.DUMMYFUNCTION("""COMPUTED_VALUE"""),"ANA LUIZA GADELHA DE OLIVEIRA")</f>
        <v>ANA LUIZA GADELHA DE OLIVEIRA</v>
      </c>
      <c r="B2530" s="11"/>
      <c r="C2530" s="11"/>
      <c r="D2530" s="11" t="str">
        <f>IFERROR(__xludf.DUMMYFUNCTION("""COMPUTED_VALUE"""),"DERMATOLOGIA")</f>
        <v>DERMATOLOGIA</v>
      </c>
      <c r="E2530" s="11"/>
      <c r="F2530" s="11" t="str">
        <f>IFERROR(__xludf.DUMMYFUNCTION("""COMPUTED_VALUE"""),"US_128 POLICLINICA LESSA DE ANDRADE")</f>
        <v>US_128 POLICLINICA LESSA DE ANDRADE</v>
      </c>
      <c r="G2530" s="11" t="str">
        <f>IFERROR(__xludf.DUMMYFUNCTION("""COMPUTED_VALUE"""),"ATENDE EM CASA")</f>
        <v>ATENDE EM CASA</v>
      </c>
      <c r="H2530" s="11"/>
      <c r="I2530" s="11"/>
      <c r="J2530" s="11"/>
      <c r="K2530" s="11"/>
      <c r="L2530" s="11"/>
      <c r="M2530" s="11"/>
      <c r="N2530" s="30" t="str">
        <f>IFERROR(__xludf.DUMMYFUNCTION("""COMPUTED_VALUE"""),"ALGADELHA @ VOL COM BR")</f>
        <v>ALGADELHA @ VOL COM BR</v>
      </c>
      <c r="O2530" s="11">
        <f>IFERROR(__xludf.DUMMYFUNCTION("""COMPUTED_VALUE"""),61270245449)</f>
        <v>61270245449</v>
      </c>
      <c r="P2530" s="11"/>
      <c r="Q2530" s="11"/>
      <c r="R2530" s="11"/>
      <c r="S2530" s="11"/>
      <c r="T2530" s="11"/>
      <c r="U2530" s="11"/>
      <c r="V2530" s="11"/>
      <c r="W2530" s="11"/>
      <c r="X2530" s="11"/>
      <c r="Y2530" s="11"/>
      <c r="Z2530" s="11"/>
    </row>
    <row r="2531" customHeight="1" spans="1:26">
      <c r="A2531" s="11" t="str">
        <f>IFERROR(__xludf.DUMMYFUNCTION("""COMPUTED_VALUE"""),"EVADINALVA RATHGE RANGEL")</f>
        <v>EVADINALVA RATHGE RANGEL</v>
      </c>
      <c r="B2531" s="11"/>
      <c r="C2531" s="11"/>
      <c r="D2531" s="11" t="str">
        <f>IFERROR(__xludf.DUMMYFUNCTION("""COMPUTED_VALUE"""),"GINECOLOGIA E OBSTETRICIA")</f>
        <v>GINECOLOGIA E OBSTETRICIA</v>
      </c>
      <c r="E2531" s="11"/>
      <c r="F2531" s="11" t="str">
        <f>IFERROR(__xludf.DUMMYFUNCTION("""COMPUTED_VALUE"""),"US_144 POLICLINICA CLEMENTINO FRAGA")</f>
        <v>US_144 POLICLINICA CLEMENTINO FRAGA</v>
      </c>
      <c r="G2531" s="11" t="str">
        <f>IFERROR(__xludf.DUMMYFUNCTION("""COMPUTED_VALUE"""),"GERENCIA GERAL DE REGULACAO EM SAUDE")</f>
        <v>GERENCIA GERAL DE REGULACAO EM SAUDE</v>
      </c>
      <c r="H2531" s="11"/>
      <c r="I2531" s="11"/>
      <c r="J2531" s="11"/>
      <c r="K2531" s="11"/>
      <c r="L2531" s="11"/>
      <c r="M2531" s="11"/>
      <c r="N2531" s="30" t="str">
        <f>IFERROR(__xludf.DUMMYFUNCTION("""COMPUTED_VALUE"""),"evarangel@oi.com.br                                    ")</f>
        <v>evarangel@oi.com.br                                    </v>
      </c>
      <c r="O2531" s="11">
        <f>IFERROR(__xludf.DUMMYFUNCTION("""COMPUTED_VALUE"""),31479090425)</f>
        <v>31479090425</v>
      </c>
      <c r="P2531" s="11"/>
      <c r="Q2531" s="11"/>
      <c r="R2531" s="11"/>
      <c r="S2531" s="11"/>
      <c r="T2531" s="11"/>
      <c r="U2531" s="11"/>
      <c r="V2531" s="11"/>
      <c r="W2531" s="11"/>
      <c r="X2531" s="11"/>
      <c r="Y2531" s="11"/>
      <c r="Z2531" s="11"/>
    </row>
    <row r="2532" customHeight="1" spans="1:26">
      <c r="A2532" s="11" t="str">
        <f>IFERROR(__xludf.DUMMYFUNCTION("""COMPUTED_VALUE"""),"CRISTINA MARIA I FERNANDES")</f>
        <v>CRISTINA MARIA I FERNANDES</v>
      </c>
      <c r="B2532" s="11"/>
      <c r="C2532" s="11"/>
      <c r="D2532" s="11" t="str">
        <f>IFERROR(__xludf.DUMMYFUNCTION("""COMPUTED_VALUE"""),"HEMATOLOGIA E HEMOTERAPIA")</f>
        <v>HEMATOLOGIA E HEMOTERAPIA</v>
      </c>
      <c r="E2532" s="11"/>
      <c r="F2532" s="11" t="str">
        <f>IFERROR(__xludf.DUMMYFUNCTION("""COMPUTED_VALUE"""),"US_162 POLICLINICA ALBERT SABIN")</f>
        <v>US_162 POLICLINICA ALBERT SABIN</v>
      </c>
      <c r="G2532" s="11" t="str">
        <f>IFERROR(__xludf.DUMMYFUNCTION("""COMPUTED_VALUE"""),"")</f>
        <v/>
      </c>
      <c r="H2532" s="11"/>
      <c r="I2532" s="11"/>
      <c r="J2532" s="11"/>
      <c r="K2532" s="11"/>
      <c r="L2532" s="11"/>
      <c r="M2532" s="11"/>
      <c r="N2532" s="30" t="str">
        <f>IFERROR(__xludf.DUMMYFUNCTION("""COMPUTED_VALUE"""),"cristinainteraminense@hotmail.com")</f>
        <v>cristinainteraminense@hotmail.com</v>
      </c>
      <c r="O2532" s="11">
        <f>IFERROR(__xludf.DUMMYFUNCTION("""COMPUTED_VALUE"""),70765693453)</f>
        <v>70765693453</v>
      </c>
      <c r="P2532" s="11"/>
      <c r="Q2532" s="11"/>
      <c r="R2532" s="11"/>
      <c r="S2532" s="11"/>
      <c r="T2532" s="11"/>
      <c r="U2532" s="11"/>
      <c r="V2532" s="11"/>
      <c r="W2532" s="11"/>
      <c r="X2532" s="11"/>
      <c r="Y2532" s="11"/>
      <c r="Z2532" s="11"/>
    </row>
    <row r="2533" customHeight="1" spans="1:26">
      <c r="A2533" s="11" t="str">
        <f>IFERROR(__xludf.DUMMYFUNCTION("""COMPUTED_VALUE"""),"GISELE DE MELO SANTOS")</f>
        <v>GISELE DE MELO SANTOS</v>
      </c>
      <c r="B2533" s="11"/>
      <c r="C2533" s="11"/>
      <c r="D2533" s="11" t="str">
        <f>IFERROR(__xludf.DUMMYFUNCTION("""COMPUTED_VALUE"""),"GINECOLOGIA / COLPOSCOPIA")</f>
        <v>GINECOLOGIA / COLPOSCOPIA</v>
      </c>
      <c r="E2533" s="11"/>
      <c r="F2533" s="11" t="str">
        <f>IFERROR(__xludf.DUMMYFUNCTION("""COMPUTED_VALUE"""),"US_293 POLICLINICA DO PINA -  PROFESSORA NAIDE REGUEIRA TEODOSIO")</f>
        <v>US_293 POLICLINICA DO PINA -  PROFESSORA NAIDE REGUEIRA TEODOSIO</v>
      </c>
      <c r="G2533" s="11" t="str">
        <f>IFERROR(__xludf.DUMMYFUNCTION("""COMPUTED_VALUE"""),"")</f>
        <v/>
      </c>
      <c r="H2533" s="11"/>
      <c r="I2533" s="11"/>
      <c r="J2533" s="11"/>
      <c r="K2533" s="11"/>
      <c r="L2533" s="11"/>
      <c r="M2533" s="11"/>
      <c r="N2533" s="30" t="str">
        <f>IFERROR(__xludf.DUMMYFUNCTION("""COMPUTED_VALUE"""),"gmsantos.g@gmail.com")</f>
        <v>gmsantos.g@gmail.com</v>
      </c>
      <c r="O2533" s="11">
        <f>IFERROR(__xludf.DUMMYFUNCTION("""COMPUTED_VALUE"""),64266621434)</f>
        <v>64266621434</v>
      </c>
      <c r="P2533" s="11"/>
      <c r="Q2533" s="11"/>
      <c r="R2533" s="11"/>
      <c r="S2533" s="11"/>
      <c r="T2533" s="11"/>
      <c r="U2533" s="11"/>
      <c r="V2533" s="11"/>
      <c r="W2533" s="11"/>
      <c r="X2533" s="11"/>
      <c r="Y2533" s="11"/>
      <c r="Z2533" s="11"/>
    </row>
    <row r="2534" customHeight="1" spans="1:26">
      <c r="A2534" s="11" t="str">
        <f>IFERROR(__xludf.DUMMYFUNCTION("""COMPUTED_VALUE"""),"ROSANA MARIA DE SA L PEDROSA")</f>
        <v>ROSANA MARIA DE SA L PEDROSA</v>
      </c>
      <c r="B2534" s="11"/>
      <c r="C2534" s="11"/>
      <c r="D2534" s="11" t="str">
        <f>IFERROR(__xludf.DUMMYFUNCTION("""COMPUTED_VALUE"""),"DERMATOLOGIA")</f>
        <v>DERMATOLOGIA</v>
      </c>
      <c r="E2534" s="11"/>
      <c r="F2534" s="11" t="str">
        <f>IFERROR(__xludf.DUMMYFUNCTION("""COMPUTED_VALUE"""),"US_160 POLICLINICA GOUVEIA DE BARROS")</f>
        <v>US_160 POLICLINICA GOUVEIA DE BARROS</v>
      </c>
      <c r="G2534" s="11" t="str">
        <f>IFERROR(__xludf.DUMMYFUNCTION("""COMPUTED_VALUE"""),"")</f>
        <v/>
      </c>
      <c r="H2534" s="11"/>
      <c r="I2534" s="11"/>
      <c r="J2534" s="11"/>
      <c r="K2534" s="11"/>
      <c r="L2534" s="11"/>
      <c r="M2534" s="11"/>
      <c r="N2534" s="30" t="str">
        <f>IFERROR(__xludf.DUMMYFUNCTION("""COMPUTED_VALUE"""),"rliborio_@hotmail.com")</f>
        <v>rliborio_@hotmail.com</v>
      </c>
      <c r="O2534" s="11">
        <f>IFERROR(__xludf.DUMMYFUNCTION("""COMPUTED_VALUE"""),33150540453)</f>
        <v>33150540453</v>
      </c>
      <c r="P2534" s="11"/>
      <c r="Q2534" s="11"/>
      <c r="R2534" s="11"/>
      <c r="S2534" s="11"/>
      <c r="T2534" s="11"/>
      <c r="U2534" s="11"/>
      <c r="V2534" s="11"/>
      <c r="W2534" s="11"/>
      <c r="X2534" s="11"/>
      <c r="Y2534" s="11"/>
      <c r="Z2534" s="11"/>
    </row>
    <row r="2535" customHeight="1" spans="1:26">
      <c r="A2535" s="11" t="str">
        <f>IFERROR(__xludf.DUMMYFUNCTION("""COMPUTED_VALUE"""),"REGINA COELI LIRA P DE ALMEIDA")</f>
        <v>REGINA COELI LIRA P DE ALMEIDA</v>
      </c>
      <c r="B2535" s="11"/>
      <c r="C2535" s="11"/>
      <c r="D2535" s="11" t="str">
        <f>IFERROR(__xludf.DUMMYFUNCTION("""COMPUTED_VALUE"""),"DERMATOLOGIA")</f>
        <v>DERMATOLOGIA</v>
      </c>
      <c r="E2535" s="11"/>
      <c r="F2535" s="11" t="str">
        <f>IFERROR(__xludf.DUMMYFUNCTION("""COMPUTED_VALUE"""),"US_376 POLICLINICA SALOMAO KELNER")</f>
        <v>US_376 POLICLINICA SALOMAO KELNER</v>
      </c>
      <c r="G2535" s="11" t="str">
        <f>IFERROR(__xludf.DUMMYFUNCTION("""COMPUTED_VALUE"""),"")</f>
        <v/>
      </c>
      <c r="H2535" s="11"/>
      <c r="I2535" s="11"/>
      <c r="J2535" s="11"/>
      <c r="K2535" s="11"/>
      <c r="L2535" s="11"/>
      <c r="M2535" s="11"/>
      <c r="N2535" s="30" t="str">
        <f>IFERROR(__xludf.DUMMYFUNCTION("""COMPUTED_VALUE"""),"reginacoelialmeida@hotmail.com")</f>
        <v>reginacoelialmeida@hotmail.com</v>
      </c>
      <c r="O2535" s="11">
        <f>IFERROR(__xludf.DUMMYFUNCTION("""COMPUTED_VALUE"""),48415146434)</f>
        <v>48415146434</v>
      </c>
      <c r="P2535" s="11"/>
      <c r="Q2535" s="11"/>
      <c r="R2535" s="11"/>
      <c r="S2535" s="11"/>
      <c r="T2535" s="11"/>
      <c r="U2535" s="11"/>
      <c r="V2535" s="11"/>
      <c r="W2535" s="11"/>
      <c r="X2535" s="11"/>
      <c r="Y2535" s="11"/>
      <c r="Z2535" s="11"/>
    </row>
    <row r="2536" customHeight="1" spans="1:26">
      <c r="A2536" s="11" t="str">
        <f>IFERROR(__xludf.DUMMYFUNCTION("""COMPUTED_VALUE"""),"DANIELLE OLIVEIRA BIONE")</f>
        <v>DANIELLE OLIVEIRA BIONE</v>
      </c>
      <c r="B2536" s="11"/>
      <c r="C2536" s="11"/>
      <c r="D2536" s="11" t="str">
        <f>IFERROR(__xludf.DUMMYFUNCTION("""COMPUTED_VALUE"""),"MEDICO ULTRASSONOGRAFIA")</f>
        <v>MEDICO ULTRASSONOGRAFIA</v>
      </c>
      <c r="E2536" s="11"/>
      <c r="F2536" s="11" t="str">
        <f>IFERROR(__xludf.DUMMYFUNCTION("""COMPUTED_VALUE"""),"US_128 POLICLINICA LESSA DE ANDRADE")</f>
        <v>US_128 POLICLINICA LESSA DE ANDRADE</v>
      </c>
      <c r="G2536" s="11" t="str">
        <f>IFERROR(__xludf.DUMMYFUNCTION("""COMPUTED_VALUE"""),"")</f>
        <v/>
      </c>
      <c r="H2536" s="11"/>
      <c r="I2536" s="11"/>
      <c r="J2536" s="11"/>
      <c r="K2536" s="11"/>
      <c r="L2536" s="11"/>
      <c r="M2536" s="11"/>
      <c r="N2536" s="30" t="str">
        <f>IFERROR(__xludf.DUMMYFUNCTION("""COMPUTED_VALUE"""),"danibione@hotmail.com")</f>
        <v>danibione@hotmail.com</v>
      </c>
      <c r="O2536" s="11">
        <f>IFERROR(__xludf.DUMMYFUNCTION("""COMPUTED_VALUE"""),83459707453)</f>
        <v>83459707453</v>
      </c>
      <c r="P2536" s="11"/>
      <c r="Q2536" s="11"/>
      <c r="R2536" s="11"/>
      <c r="S2536" s="11"/>
      <c r="T2536" s="11"/>
      <c r="U2536" s="11"/>
      <c r="V2536" s="11"/>
      <c r="W2536" s="11"/>
      <c r="X2536" s="11"/>
      <c r="Y2536" s="11"/>
      <c r="Z2536" s="11"/>
    </row>
    <row r="2537" customHeight="1" spans="1:26">
      <c r="A2537" s="11" t="str">
        <f>IFERROR(__xludf.DUMMYFUNCTION("""COMPUTED_VALUE"""),"FERNANDO CESAR FERREIRA JORGE")</f>
        <v>FERNANDO CESAR FERREIRA JORGE</v>
      </c>
      <c r="B2537" s="11"/>
      <c r="C2537" s="11"/>
      <c r="D2537" s="11" t="str">
        <f>IFERROR(__xludf.DUMMYFUNCTION("""COMPUTED_VALUE"""),"CARDIOLOGIA")</f>
        <v>CARDIOLOGIA</v>
      </c>
      <c r="E2537" s="11"/>
      <c r="F2537" s="11" t="str">
        <f>IFERROR(__xludf.DUMMYFUNCTION("""COMPUTED_VALUE"""),"US_376 POLICLINICA SALOMAO KELNER")</f>
        <v>US_376 POLICLINICA SALOMAO KELNER</v>
      </c>
      <c r="G2537" s="11" t="str">
        <f>IFERROR(__xludf.DUMMYFUNCTION("""COMPUTED_VALUE"""),"US_163 HOSPITAL DE PEDIATRIA HELENA MOURA")</f>
        <v>US_163 HOSPITAL DE PEDIATRIA HELENA MOURA</v>
      </c>
      <c r="H2537" s="11"/>
      <c r="I2537" s="11"/>
      <c r="J2537" s="11"/>
      <c r="K2537" s="11"/>
      <c r="L2537" s="11"/>
      <c r="M2537" s="11"/>
      <c r="N2537" s="30" t="str">
        <f>IFERROR(__xludf.DUMMYFUNCTION("""COMPUTED_VALUE"""),"fernando-jorge@uol.com.br                              ")</f>
        <v>fernando-jorge@uol.com.br                              </v>
      </c>
      <c r="O2537" s="11">
        <f>IFERROR(__xludf.DUMMYFUNCTION("""COMPUTED_VALUE"""),62507680415)</f>
        <v>62507680415</v>
      </c>
      <c r="P2537" s="11"/>
      <c r="Q2537" s="11"/>
      <c r="R2537" s="11"/>
      <c r="S2537" s="11"/>
      <c r="T2537" s="11"/>
      <c r="U2537" s="11"/>
      <c r="V2537" s="11"/>
      <c r="W2537" s="11"/>
      <c r="X2537" s="11"/>
      <c r="Y2537" s="11"/>
      <c r="Z2537" s="11"/>
    </row>
    <row r="2538" customHeight="1" spans="1:26">
      <c r="A2538" s="11" t="str">
        <f>IFERROR(__xludf.DUMMYFUNCTION("""COMPUTED_VALUE"""),"LUCIANA MARIA D ROMAGUERA")</f>
        <v>LUCIANA MARIA D ROMAGUERA</v>
      </c>
      <c r="B2538" s="11"/>
      <c r="C2538" s="11"/>
      <c r="D2538" s="11" t="str">
        <f>IFERROR(__xludf.DUMMYFUNCTION("""COMPUTED_VALUE"""),"PEDIATRIA")</f>
        <v>PEDIATRIA</v>
      </c>
      <c r="E2538" s="11"/>
      <c r="F2538" s="11" t="str">
        <f>IFERROR(__xludf.DUMMYFUNCTION("""COMPUTED_VALUE"""),"US_144 POLICLINICA CLEMENTINO FRAGA")</f>
        <v>US_144 POLICLINICA CLEMENTINO FRAGA</v>
      </c>
      <c r="G2538" s="11" t="str">
        <f>IFERROR(__xludf.DUMMYFUNCTION("""COMPUTED_VALUE"""),"US_144 POLICLINICA CLEMENTINO FRAGA")</f>
        <v>US_144 POLICLINICA CLEMENTINO FRAGA</v>
      </c>
      <c r="H2538" s="11"/>
      <c r="I2538" s="11"/>
      <c r="J2538" s="11"/>
      <c r="K2538" s="11"/>
      <c r="L2538" s="11"/>
      <c r="M2538" s="11"/>
      <c r="N2538" s="30" t="str">
        <f>IFERROR(__xludf.DUMMYFUNCTION("""COMPUTED_VALUE"""),"LUROMAGUERA@HOTMAIL.COM")</f>
        <v>LUROMAGUERA@HOTMAIL.COM</v>
      </c>
      <c r="O2538" s="11">
        <f>IFERROR(__xludf.DUMMYFUNCTION("""COMPUTED_VALUE"""),76513165415)</f>
        <v>76513165415</v>
      </c>
      <c r="P2538" s="11"/>
      <c r="Q2538" s="11"/>
      <c r="R2538" s="11"/>
      <c r="S2538" s="11"/>
      <c r="T2538" s="11"/>
      <c r="U2538" s="11"/>
      <c r="V2538" s="11"/>
      <c r="W2538" s="11"/>
      <c r="X2538" s="11"/>
      <c r="Y2538" s="11"/>
      <c r="Z2538" s="11"/>
    </row>
    <row r="2539" customHeight="1" spans="1:26">
      <c r="A2539" s="11" t="str">
        <f>IFERROR(__xludf.DUMMYFUNCTION("""COMPUTED_VALUE"""),"JOELMA BASILIO DO NASCIMENTO")</f>
        <v>JOELMA BASILIO DO NASCIMENTO</v>
      </c>
      <c r="B2539" s="11"/>
      <c r="C2539" s="11"/>
      <c r="D2539" s="11" t="str">
        <f>IFERROR(__xludf.DUMMYFUNCTION("""COMPUTED_VALUE"""),"GINECOLOGIA / COLPOSCOPIA")</f>
        <v>GINECOLOGIA / COLPOSCOPIA</v>
      </c>
      <c r="E2539" s="11"/>
      <c r="F2539" s="11" t="str">
        <f>IFERROR(__xludf.DUMMYFUNCTION("""COMPUTED_VALUE"""),"US_376 POLICLINICA SALOMAO KELNER")</f>
        <v>US_376 POLICLINICA SALOMAO KELNER</v>
      </c>
      <c r="G2539" s="11" t="str">
        <f>IFERROR(__xludf.DUMMYFUNCTION("""COMPUTED_VALUE"""),"US_376 POLICLINICA SALOMAO KELNER")</f>
        <v>US_376 POLICLINICA SALOMAO KELNER</v>
      </c>
      <c r="H2539" s="11"/>
      <c r="I2539" s="11"/>
      <c r="J2539" s="11"/>
      <c r="K2539" s="11"/>
      <c r="L2539" s="11"/>
      <c r="M2539" s="11"/>
      <c r="N2539" s="30" t="str">
        <f>IFERROR(__xludf.DUMMYFUNCTION("""COMPUTED_VALUE"""),"jotompson@hotmail.com")</f>
        <v>jotompson@hotmail.com</v>
      </c>
      <c r="O2539" s="11">
        <f>IFERROR(__xludf.DUMMYFUNCTION("""COMPUTED_VALUE"""),49396757420)</f>
        <v>49396757420</v>
      </c>
      <c r="P2539" s="11"/>
      <c r="Q2539" s="11"/>
      <c r="R2539" s="11"/>
      <c r="S2539" s="11"/>
      <c r="T2539" s="11"/>
      <c r="U2539" s="11"/>
      <c r="V2539" s="11"/>
      <c r="W2539" s="11"/>
      <c r="X2539" s="11"/>
      <c r="Y2539" s="11"/>
      <c r="Z2539" s="11"/>
    </row>
    <row r="2540" customHeight="1" spans="1:26">
      <c r="A2540" s="11" t="str">
        <f>IFERROR(__xludf.DUMMYFUNCTION("""COMPUTED_VALUE"""),"POLLYANA SOLEDADE DE QUEIROZ")</f>
        <v>POLLYANA SOLEDADE DE QUEIROZ</v>
      </c>
      <c r="B2540" s="11"/>
      <c r="C2540" s="11"/>
      <c r="D2540" s="11" t="str">
        <f>IFERROR(__xludf.DUMMYFUNCTION("""COMPUTED_VALUE"""),"GINECOLOGIA")</f>
        <v>GINECOLOGIA</v>
      </c>
      <c r="E2540" s="11"/>
      <c r="F2540" s="11" t="str">
        <f>IFERROR(__xludf.DUMMYFUNCTION("""COMPUTED_VALUE"""),"US_128 POLICLINICA LESSA DE ANDRADE")</f>
        <v>US_128 POLICLINICA LESSA DE ANDRADE</v>
      </c>
      <c r="G2540" s="11" t="str">
        <f>IFERROR(__xludf.DUMMYFUNCTION("""COMPUTED_VALUE"""),"US_128 POLICLINICA LESSA DE ANDRADE")</f>
        <v>US_128 POLICLINICA LESSA DE ANDRADE</v>
      </c>
      <c r="H2540" s="11"/>
      <c r="I2540" s="11"/>
      <c r="J2540" s="11"/>
      <c r="K2540" s="11"/>
      <c r="L2540" s="11"/>
      <c r="M2540" s="11"/>
      <c r="N2540" s="30" t="str">
        <f>IFERROR(__xludf.DUMMYFUNCTION("""COMPUTED_VALUE"""),"pollysoledade@uol.com.br")</f>
        <v>pollysoledade@uol.com.br</v>
      </c>
      <c r="O2540" s="11">
        <f>IFERROR(__xludf.DUMMYFUNCTION("""COMPUTED_VALUE"""),88770036420)</f>
        <v>88770036420</v>
      </c>
      <c r="P2540" s="11"/>
      <c r="Q2540" s="11"/>
      <c r="R2540" s="11"/>
      <c r="S2540" s="11"/>
      <c r="T2540" s="11"/>
      <c r="U2540" s="11"/>
      <c r="V2540" s="11"/>
      <c r="W2540" s="11"/>
      <c r="X2540" s="11"/>
      <c r="Y2540" s="11"/>
      <c r="Z2540" s="11"/>
    </row>
    <row r="2541" customHeight="1" spans="1:26">
      <c r="A2541" s="11" t="str">
        <f>IFERROR(__xludf.DUMMYFUNCTION("""COMPUTED_VALUE"""),"TARCIO DOS SANTOS PEREIRA")</f>
        <v>TARCIO DOS SANTOS PEREIRA</v>
      </c>
      <c r="B2541" s="11"/>
      <c r="C2541" s="11"/>
      <c r="D2541" s="11" t="str">
        <f>IFERROR(__xludf.DUMMYFUNCTION("""COMPUTED_VALUE"""),"DERMATOLOGIA")</f>
        <v>DERMATOLOGIA</v>
      </c>
      <c r="E2541" s="11"/>
      <c r="F2541" s="11" t="str">
        <f>IFERROR(__xludf.DUMMYFUNCTION("""COMPUTED_VALUE"""),"US_144 POLICLINICA CLEMENTINO FRAGA")</f>
        <v>US_144 POLICLINICA CLEMENTINO FRAGA</v>
      </c>
      <c r="G2541" s="11" t="str">
        <f>IFERROR(__xludf.DUMMYFUNCTION("""COMPUTED_VALUE"""),"US_144 POLICLINICA CLEMENTINO FRAGA")</f>
        <v>US_144 POLICLINICA CLEMENTINO FRAGA</v>
      </c>
      <c r="H2541" s="11"/>
      <c r="I2541" s="11"/>
      <c r="J2541" s="11"/>
      <c r="K2541" s="11"/>
      <c r="L2541" s="11"/>
      <c r="M2541" s="11"/>
      <c r="N2541" s="30" t="str">
        <f>IFERROR(__xludf.DUMMYFUNCTION("""COMPUTED_VALUE"""),"-TITO@HOTMAIL.COM")</f>
        <v>-TITO@HOTMAIL.COM</v>
      </c>
      <c r="O2541" s="11">
        <f>IFERROR(__xludf.DUMMYFUNCTION("""COMPUTED_VALUE"""),68275765404)</f>
        <v>68275765404</v>
      </c>
      <c r="P2541" s="11"/>
      <c r="Q2541" s="11"/>
      <c r="R2541" s="11"/>
      <c r="S2541" s="11"/>
      <c r="T2541" s="11"/>
      <c r="U2541" s="11"/>
      <c r="V2541" s="11"/>
      <c r="W2541" s="11"/>
      <c r="X2541" s="11"/>
      <c r="Y2541" s="11"/>
      <c r="Z2541" s="11"/>
    </row>
    <row r="2542" customHeight="1" spans="1:26">
      <c r="A2542" s="11" t="str">
        <f>IFERROR(__xludf.DUMMYFUNCTION("""COMPUTED_VALUE"""),"MARIANA CORTEZ FITTIPALDI")</f>
        <v>MARIANA CORTEZ FITTIPALDI</v>
      </c>
      <c r="B2542" s="11"/>
      <c r="C2542" s="11"/>
      <c r="D2542" s="11" t="str">
        <f>IFERROR(__xludf.DUMMYFUNCTION("""COMPUTED_VALUE"""),"DERMATOLOGIA")</f>
        <v>DERMATOLOGIA</v>
      </c>
      <c r="E2542" s="11"/>
      <c r="F2542" s="11" t="str">
        <f>IFERROR(__xludf.DUMMYFUNCTION("""COMPUTED_VALUE"""),"US_128 POLICLINICA LESSA DE ANDRADE")</f>
        <v>US_128 POLICLINICA LESSA DE ANDRADE</v>
      </c>
      <c r="G2542" s="11" t="str">
        <f>IFERROR(__xludf.DUMMYFUNCTION("""COMPUTED_VALUE"""),"US_128 POLICLINICA LESSA DE ANDRADE")</f>
        <v>US_128 POLICLINICA LESSA DE ANDRADE</v>
      </c>
      <c r="H2542" s="11"/>
      <c r="I2542" s="11"/>
      <c r="J2542" s="11"/>
      <c r="K2542" s="11"/>
      <c r="L2542" s="11"/>
      <c r="M2542" s="11"/>
      <c r="N2542" s="30" t="str">
        <f>IFERROR(__xludf.DUMMYFUNCTION("""COMPUTED_VALUE"""),"sbmorais@uol.com.br")</f>
        <v>sbmorais@uol.com.br</v>
      </c>
      <c r="O2542" s="11">
        <f>IFERROR(__xludf.DUMMYFUNCTION("""COMPUTED_VALUE"""),77034023468)</f>
        <v>77034023468</v>
      </c>
      <c r="P2542" s="11"/>
      <c r="Q2542" s="11"/>
      <c r="R2542" s="11"/>
      <c r="S2542" s="11"/>
      <c r="T2542" s="11"/>
      <c r="U2542" s="11"/>
      <c r="V2542" s="11"/>
      <c r="W2542" s="11"/>
      <c r="X2542" s="11"/>
      <c r="Y2542" s="11"/>
      <c r="Z2542" s="11"/>
    </row>
    <row r="2543" customHeight="1" spans="1:26">
      <c r="A2543" s="11" t="str">
        <f>IFERROR(__xludf.DUMMYFUNCTION("""COMPUTED_VALUE"""),"MARIA DO CARMO DE SOUZA MAIA")</f>
        <v>MARIA DO CARMO DE SOUZA MAIA</v>
      </c>
      <c r="B2543" s="11"/>
      <c r="C2543" s="11"/>
      <c r="D2543" s="11" t="str">
        <f>IFERROR(__xludf.DUMMYFUNCTION("""COMPUTED_VALUE"""),"CLINICA GERAL")</f>
        <v>CLINICA GERAL</v>
      </c>
      <c r="E2543" s="11"/>
      <c r="F2543" s="11" t="str">
        <f>IFERROR(__xludf.DUMMYFUNCTION("""COMPUTED_VALUE"""),"US_144 POLICLINICA CLEMENTINO FRAGA")</f>
        <v>US_144 POLICLINICA CLEMENTINO FRAGA</v>
      </c>
      <c r="G2543" s="11" t="str">
        <f>IFERROR(__xludf.DUMMYFUNCTION("""COMPUTED_VALUE"""),"US_144 POLICLINICA CLEMENTINO FRAGA")</f>
        <v>US_144 POLICLINICA CLEMENTINO FRAGA</v>
      </c>
      <c r="H2543" s="11"/>
      <c r="I2543" s="11"/>
      <c r="J2543" s="11"/>
      <c r="K2543" s="11"/>
      <c r="L2543" s="11"/>
      <c r="M2543" s="11"/>
      <c r="N2543" s="30" t="str">
        <f>IFERROR(__xludf.DUMMYFUNCTION("""COMPUTED_VALUE"""),"cacamaia_@hotmail.com")</f>
        <v>cacamaia_@hotmail.com</v>
      </c>
      <c r="O2543" s="11">
        <f>IFERROR(__xludf.DUMMYFUNCTION("""COMPUTED_VALUE"""),23571616472)</f>
        <v>23571616472</v>
      </c>
      <c r="P2543" s="11"/>
      <c r="Q2543" s="11"/>
      <c r="R2543" s="11"/>
      <c r="S2543" s="11"/>
      <c r="T2543" s="11"/>
      <c r="U2543" s="11"/>
      <c r="V2543" s="11"/>
      <c r="W2543" s="11"/>
      <c r="X2543" s="11"/>
      <c r="Y2543" s="11"/>
      <c r="Z2543" s="11"/>
    </row>
    <row r="2544" customHeight="1" spans="1:26">
      <c r="A2544" s="11" t="str">
        <f>IFERROR(__xludf.DUMMYFUNCTION("""COMPUTED_VALUE"""),"PATRICIA MONTEIRO DUARTE")</f>
        <v>PATRICIA MONTEIRO DUARTE</v>
      </c>
      <c r="B2544" s="11"/>
      <c r="C2544" s="11"/>
      <c r="D2544" s="11" t="str">
        <f>IFERROR(__xludf.DUMMYFUNCTION("""COMPUTED_VALUE"""),"CARDIOLOGIA PEDIATRICA")</f>
        <v>CARDIOLOGIA PEDIATRICA</v>
      </c>
      <c r="E2544" s="11"/>
      <c r="F2544" s="11" t="str">
        <f>IFERROR(__xludf.DUMMYFUNCTION("""COMPUTED_VALUE"""),"US_128 POLICLINICA LESSA DE ANDRADE")</f>
        <v>US_128 POLICLINICA LESSA DE ANDRADE</v>
      </c>
      <c r="G2544" s="11" t="str">
        <f>IFERROR(__xludf.DUMMYFUNCTION("""COMPUTED_VALUE"""),"US_128 POLICLINICA LESSA DE ANDRADE")</f>
        <v>US_128 POLICLINICA LESSA DE ANDRADE</v>
      </c>
      <c r="H2544" s="11"/>
      <c r="I2544" s="11"/>
      <c r="J2544" s="11"/>
      <c r="K2544" s="11"/>
      <c r="L2544" s="11"/>
      <c r="M2544" s="11"/>
      <c r="N2544" s="30" t="str">
        <f>IFERROR(__xludf.DUMMYFUNCTION("""COMPUTED_VALUE"""),"PATRICIA.MONTEIRO99@GMAIL.COM")</f>
        <v>PATRICIA.MONTEIRO99@GMAIL.COM</v>
      </c>
      <c r="O2544" s="11">
        <f>IFERROR(__xludf.DUMMYFUNCTION("""COMPUTED_VALUE"""),83142584404)</f>
        <v>83142584404</v>
      </c>
      <c r="P2544" s="11"/>
      <c r="Q2544" s="11"/>
      <c r="R2544" s="11"/>
      <c r="S2544" s="11"/>
      <c r="T2544" s="11"/>
      <c r="U2544" s="11"/>
      <c r="V2544" s="11"/>
      <c r="W2544" s="11"/>
      <c r="X2544" s="11"/>
      <c r="Y2544" s="11"/>
      <c r="Z2544" s="11"/>
    </row>
    <row r="2545" customHeight="1" spans="1:26">
      <c r="A2545" s="11" t="str">
        <f>IFERROR(__xludf.DUMMYFUNCTION("""COMPUTED_VALUE"""),"CYNTHIA MARIA DE O. CHACON")</f>
        <v>CYNTHIA MARIA DE O. CHACON</v>
      </c>
      <c r="B2545" s="11"/>
      <c r="C2545" s="11"/>
      <c r="D2545" s="11" t="str">
        <f>IFERROR(__xludf.DUMMYFUNCTION("""COMPUTED_VALUE"""),"DERMATOLOGIA")</f>
        <v>DERMATOLOGIA</v>
      </c>
      <c r="E2545" s="11"/>
      <c r="F2545" s="11" t="str">
        <f>IFERROR(__xludf.DUMMYFUNCTION("""COMPUTED_VALUE"""),"US_128 POLICLINICA LESSA DE ANDRADE")</f>
        <v>US_128 POLICLINICA LESSA DE ANDRADE</v>
      </c>
      <c r="G2545" s="11" t="str">
        <f>IFERROR(__xludf.DUMMYFUNCTION("""COMPUTED_VALUE"""),"US_128 POLICLINICA LESSA DE ANDRADE")</f>
        <v>US_128 POLICLINICA LESSA DE ANDRADE</v>
      </c>
      <c r="H2545" s="11"/>
      <c r="I2545" s="11"/>
      <c r="J2545" s="11"/>
      <c r="K2545" s="11"/>
      <c r="L2545" s="11"/>
      <c r="M2545" s="11"/>
      <c r="N2545" s="30" t="str">
        <f>IFERROR(__xludf.DUMMYFUNCTION("""COMPUTED_VALUE"""),"cy.chacon@hotmail.com")</f>
        <v>cy.chacon@hotmail.com</v>
      </c>
      <c r="O2545" s="11">
        <f>IFERROR(__xludf.DUMMYFUNCTION("""COMPUTED_VALUE"""),66646707472)</f>
        <v>66646707472</v>
      </c>
      <c r="P2545" s="11"/>
      <c r="Q2545" s="11"/>
      <c r="R2545" s="11"/>
      <c r="S2545" s="11"/>
      <c r="T2545" s="11"/>
      <c r="U2545" s="11"/>
      <c r="V2545" s="11"/>
      <c r="W2545" s="11"/>
      <c r="X2545" s="11"/>
      <c r="Y2545" s="11"/>
      <c r="Z2545" s="11"/>
    </row>
    <row r="2546" customHeight="1" spans="1:26">
      <c r="A2546" s="11" t="str">
        <f>IFERROR(__xludf.DUMMYFUNCTION("""COMPUTED_VALUE"""),"CRISTIANE DA MOTA MODESTO")</f>
        <v>CRISTIANE DA MOTA MODESTO</v>
      </c>
      <c r="B2546" s="11"/>
      <c r="C2546" s="11"/>
      <c r="D2546" s="11" t="str">
        <f>IFERROR(__xludf.DUMMYFUNCTION("""COMPUTED_VALUE"""),"ENDOCRINOLOGIA E METABOLOGIA")</f>
        <v>ENDOCRINOLOGIA E METABOLOGIA</v>
      </c>
      <c r="E2546" s="11"/>
      <c r="F2546" s="11" t="str">
        <f>IFERROR(__xludf.DUMMYFUNCTION("""COMPUTED_VALUE"""),"US_376 POLICLINICA SALOMAO KELNER")</f>
        <v>US_376 POLICLINICA SALOMAO KELNER</v>
      </c>
      <c r="G2546" s="11" t="str">
        <f>IFERROR(__xludf.DUMMYFUNCTION("""COMPUTED_VALUE"""),"US_376 POLICLINICA SALOMAO KELNER")</f>
        <v>US_376 POLICLINICA SALOMAO KELNER</v>
      </c>
      <c r="H2546" s="11"/>
      <c r="I2546" s="11"/>
      <c r="J2546" s="11"/>
      <c r="K2546" s="11"/>
      <c r="L2546" s="11"/>
      <c r="M2546" s="11"/>
      <c r="N2546" s="30" t="str">
        <f>IFERROR(__xludf.DUMMYFUNCTION("""COMPUTED_VALUE"""),"crismmodesto@gmail.com")</f>
        <v>crismmodesto@gmail.com</v>
      </c>
      <c r="O2546" s="11">
        <f>IFERROR(__xludf.DUMMYFUNCTION("""COMPUTED_VALUE"""),40935914404)</f>
        <v>40935914404</v>
      </c>
      <c r="P2546" s="11"/>
      <c r="Q2546" s="11"/>
      <c r="R2546" s="11"/>
      <c r="S2546" s="11"/>
      <c r="T2546" s="11"/>
      <c r="U2546" s="11"/>
      <c r="V2546" s="11"/>
      <c r="W2546" s="11"/>
      <c r="X2546" s="11"/>
      <c r="Y2546" s="11"/>
      <c r="Z2546" s="11"/>
    </row>
    <row r="2547" customHeight="1" spans="1:26">
      <c r="A2547" s="11" t="str">
        <f>IFERROR(__xludf.DUMMYFUNCTION("""COMPUTED_VALUE"""),"MONIQUE URBANO DA M SILVEIRA")</f>
        <v>MONIQUE URBANO DA M SILVEIRA</v>
      </c>
      <c r="B2547" s="11"/>
      <c r="C2547" s="11"/>
      <c r="D2547" s="11" t="str">
        <f>IFERROR(__xludf.DUMMYFUNCTION("""COMPUTED_VALUE"""),"DERMATOLOGIA")</f>
        <v>DERMATOLOGIA</v>
      </c>
      <c r="E2547" s="11"/>
      <c r="F2547" s="11" t="str">
        <f>IFERROR(__xludf.DUMMYFUNCTION("""COMPUTED_VALUE"""),"US_101 POLICLINICA PROF WALDEMAR DE OLIVEIRA ")</f>
        <v>US_101 POLICLINICA PROF WALDEMAR DE OLIVEIRA </v>
      </c>
      <c r="G2547" s="11" t="str">
        <f>IFERROR(__xludf.DUMMYFUNCTION("""COMPUTED_VALUE"""),"US_101 POLICLINICA PROF WALDEMAR DE OLIVEIRA ")</f>
        <v>US_101 POLICLINICA PROF WALDEMAR DE OLIVEIRA </v>
      </c>
      <c r="H2547" s="11"/>
      <c r="I2547" s="11"/>
      <c r="J2547" s="11"/>
      <c r="K2547" s="11"/>
      <c r="L2547" s="11"/>
      <c r="M2547" s="11"/>
      <c r="N2547" s="30" t="str">
        <f>IFERROR(__xludf.DUMMYFUNCTION("""COMPUTED_VALUE"""),"MONIQUEUMS@YAHOO.COM.BR")</f>
        <v>MONIQUEUMS@YAHOO.COM.BR</v>
      </c>
      <c r="O2547" s="11">
        <f>IFERROR(__xludf.DUMMYFUNCTION("""COMPUTED_VALUE"""),93476000400)</f>
        <v>93476000400</v>
      </c>
      <c r="P2547" s="11"/>
      <c r="Q2547" s="11"/>
      <c r="R2547" s="11"/>
      <c r="S2547" s="11"/>
      <c r="T2547" s="11"/>
      <c r="U2547" s="11"/>
      <c r="V2547" s="11"/>
      <c r="W2547" s="11"/>
      <c r="X2547" s="11"/>
      <c r="Y2547" s="11"/>
      <c r="Z2547" s="11"/>
    </row>
    <row r="2548" customHeight="1" spans="1:26">
      <c r="A2548" s="11" t="str">
        <f>IFERROR(__xludf.DUMMYFUNCTION("""COMPUTED_VALUE"""),"EVADINALVA RATHGE RANGEL")</f>
        <v>EVADINALVA RATHGE RANGEL</v>
      </c>
      <c r="B2548" s="11"/>
      <c r="C2548" s="11"/>
      <c r="D2548" s="11" t="str">
        <f>IFERROR(__xludf.DUMMYFUNCTION("""COMPUTED_VALUE"""),"GINECOLOGIA / COLPOSCOPIA")</f>
        <v>GINECOLOGIA / COLPOSCOPIA</v>
      </c>
      <c r="E2548" s="11"/>
      <c r="F2548" s="11" t="str">
        <f>IFERROR(__xludf.DUMMYFUNCTION("""COMPUTED_VALUE"""),"US_144 POLICLINICA CLEMENTINO FRAGA")</f>
        <v>US_144 POLICLINICA CLEMENTINO FRAGA</v>
      </c>
      <c r="G2548" s="11" t="str">
        <f>IFERROR(__xludf.DUMMYFUNCTION("""COMPUTED_VALUE"""),"US_144 POLICLINICA CLEMENTINO FRAGA")</f>
        <v>US_144 POLICLINICA CLEMENTINO FRAGA</v>
      </c>
      <c r="H2548" s="11"/>
      <c r="I2548" s="11"/>
      <c r="J2548" s="11"/>
      <c r="K2548" s="11"/>
      <c r="L2548" s="11"/>
      <c r="M2548" s="11"/>
      <c r="N2548" s="30" t="str">
        <f>IFERROR(__xludf.DUMMYFUNCTION("""COMPUTED_VALUE"""),"evarangel@oi.com.br                                    ")</f>
        <v>evarangel@oi.com.br                                    </v>
      </c>
      <c r="O2548" s="11">
        <f>IFERROR(__xludf.DUMMYFUNCTION("""COMPUTED_VALUE"""),31479090425)</f>
        <v>31479090425</v>
      </c>
      <c r="P2548" s="11"/>
      <c r="Q2548" s="11"/>
      <c r="R2548" s="11"/>
      <c r="S2548" s="11"/>
      <c r="T2548" s="11"/>
      <c r="U2548" s="11"/>
      <c r="V2548" s="11"/>
      <c r="W2548" s="11"/>
      <c r="X2548" s="11"/>
      <c r="Y2548" s="11"/>
      <c r="Z2548" s="11"/>
    </row>
    <row r="2549" customHeight="1" spans="1:26">
      <c r="A2549" s="11" t="str">
        <f>IFERROR(__xludf.DUMMYFUNCTION("""COMPUTED_VALUE"""),"CINARA DE LIMA CAVALCANTI")</f>
        <v>CINARA DE LIMA CAVALCANTI</v>
      </c>
      <c r="B2549" s="11"/>
      <c r="C2549" s="11"/>
      <c r="D2549" s="11" t="str">
        <f>IFERROR(__xludf.DUMMYFUNCTION("""COMPUTED_VALUE"""),"GINECOLOGIA")</f>
        <v>GINECOLOGIA</v>
      </c>
      <c r="E2549" s="11"/>
      <c r="F2549" s="11" t="str">
        <f>IFERROR(__xludf.DUMMYFUNCTION("""COMPUTED_VALUE"""),"US_376 POLICLINICA SALOMAO KELNER")</f>
        <v>US_376 POLICLINICA SALOMAO KELNER</v>
      </c>
      <c r="G2549" s="11" t="str">
        <f>IFERROR(__xludf.DUMMYFUNCTION("""COMPUTED_VALUE"""),"US_376 POLICLINICA SALOMAO KELNER")</f>
        <v>US_376 POLICLINICA SALOMAO KELNER</v>
      </c>
      <c r="H2549" s="27">
        <f>IFERROR(__xludf.DUMMYFUNCTION("""COMPUTED_VALUE"""),81999755553)</f>
        <v>81999755553</v>
      </c>
      <c r="I2549" s="11"/>
      <c r="J2549" s="11"/>
      <c r="K2549" s="11"/>
      <c r="L2549" s="11"/>
      <c r="M2549" s="11"/>
      <c r="N2549" s="30" t="str">
        <f>IFERROR(__xludf.DUMMYFUNCTION("""COMPUTED_VALUE"""),"TANIA.MARIA1530@GMAIL.COM")</f>
        <v>TANIA.MARIA1530@GMAIL.COM</v>
      </c>
      <c r="O2549" s="11">
        <f>IFERROR(__xludf.DUMMYFUNCTION("""COMPUTED_VALUE"""),53466918472)</f>
        <v>53466918472</v>
      </c>
      <c r="P2549" s="11"/>
      <c r="Q2549" s="11"/>
      <c r="R2549" s="11"/>
      <c r="S2549" s="11"/>
      <c r="T2549" s="11"/>
      <c r="U2549" s="11"/>
      <c r="V2549" s="11"/>
      <c r="W2549" s="11"/>
      <c r="X2549" s="11"/>
      <c r="Y2549" s="11"/>
      <c r="Z2549" s="11"/>
    </row>
    <row r="2550" customHeight="1" spans="1:26">
      <c r="A2550" s="11" t="str">
        <f>IFERROR(__xludf.DUMMYFUNCTION("""COMPUTED_VALUE"""),"DAVID PLACIDO LOPES")</f>
        <v>DAVID PLACIDO LOPES</v>
      </c>
      <c r="B2550" s="11"/>
      <c r="C2550" s="11"/>
      <c r="D2550" s="11" t="str">
        <f>IFERROR(__xludf.DUMMYFUNCTION("""COMPUTED_VALUE"""),"NEUROLOGIA")</f>
        <v>NEUROLOGIA</v>
      </c>
      <c r="E2550" s="11"/>
      <c r="F2550" s="11" t="str">
        <f>IFERROR(__xludf.DUMMYFUNCTION("""COMPUTED_VALUE"""),"US_128 POLICLINICA LESSA DE ANDRADE")</f>
        <v>US_128 POLICLINICA LESSA DE ANDRADE</v>
      </c>
      <c r="G2550" s="11" t="str">
        <f>IFERROR(__xludf.DUMMYFUNCTION("""COMPUTED_VALUE"""),"US_128 POLICLINICA LESSA DE ANDRADE")</f>
        <v>US_128 POLICLINICA LESSA DE ANDRADE</v>
      </c>
      <c r="H2550" s="11"/>
      <c r="I2550" s="11"/>
      <c r="J2550" s="11"/>
      <c r="K2550" s="11"/>
      <c r="L2550" s="11"/>
      <c r="M2550" s="11"/>
      <c r="N2550" s="30" t="str">
        <f>IFERROR(__xludf.DUMMYFUNCTION("""COMPUTED_VALUE"""),"davidplacidolopes@hotmail.com")</f>
        <v>davidplacidolopes@hotmail.com</v>
      </c>
      <c r="O2550" s="11">
        <f>IFERROR(__xludf.DUMMYFUNCTION("""COMPUTED_VALUE"""),23993367472)</f>
        <v>23993367472</v>
      </c>
      <c r="P2550" s="11"/>
      <c r="Q2550" s="11"/>
      <c r="R2550" s="11"/>
      <c r="S2550" s="11"/>
      <c r="T2550" s="11"/>
      <c r="U2550" s="11"/>
      <c r="V2550" s="11"/>
      <c r="W2550" s="11"/>
      <c r="X2550" s="11"/>
      <c r="Y2550" s="11"/>
      <c r="Z2550" s="11"/>
    </row>
    <row r="2551" customHeight="1" spans="1:26">
      <c r="A2551" s="11" t="str">
        <f>IFERROR(__xludf.DUMMYFUNCTION("""COMPUTED_VALUE"""),"MARCELA GURGEL DE A MEDEIROS")</f>
        <v>MARCELA GURGEL DE A MEDEIROS</v>
      </c>
      <c r="B2551" s="11"/>
      <c r="C2551" s="11"/>
      <c r="D2551" s="11" t="str">
        <f>IFERROR(__xludf.DUMMYFUNCTION("""COMPUTED_VALUE"""),"DERMATOLOGIA")</f>
        <v>DERMATOLOGIA</v>
      </c>
      <c r="E2551" s="11"/>
      <c r="F2551" s="11" t="str">
        <f>IFERROR(__xludf.DUMMYFUNCTION("""COMPUTED_VALUE"""),"US_376 POLICLINICA SALOMAO KELNER")</f>
        <v>US_376 POLICLINICA SALOMAO KELNER</v>
      </c>
      <c r="G2551" s="11" t="str">
        <f>IFERROR(__xludf.DUMMYFUNCTION("""COMPUTED_VALUE"""),"US_376 POLICLINICA SALOMAO KELNER")</f>
        <v>US_376 POLICLINICA SALOMAO KELNER</v>
      </c>
      <c r="H2551" s="11"/>
      <c r="I2551" s="11"/>
      <c r="J2551" s="11"/>
      <c r="K2551" s="11"/>
      <c r="L2551" s="11"/>
      <c r="M2551" s="11"/>
      <c r="N2551" s="30" t="str">
        <f>IFERROR(__xludf.DUMMYFUNCTION("""COMPUTED_VALUE"""),"marcelagurgel@uol.com.br")</f>
        <v>marcelagurgel@uol.com.br</v>
      </c>
      <c r="O2551" s="11">
        <f>IFERROR(__xludf.DUMMYFUNCTION("""COMPUTED_VALUE"""),89678575434)</f>
        <v>89678575434</v>
      </c>
      <c r="P2551" s="11"/>
      <c r="Q2551" s="11"/>
      <c r="R2551" s="11"/>
      <c r="S2551" s="11"/>
      <c r="T2551" s="11"/>
      <c r="U2551" s="11"/>
      <c r="V2551" s="11"/>
      <c r="W2551" s="11"/>
      <c r="X2551" s="11"/>
      <c r="Y2551" s="11"/>
      <c r="Z2551" s="11"/>
    </row>
    <row r="2552" customHeight="1" spans="1:26">
      <c r="A2552" s="11" t="str">
        <f>IFERROR(__xludf.DUMMYFUNCTION("""COMPUTED_VALUE"""),"EDUARDO AUGUSTO DOS S MONTEIRO")</f>
        <v>EDUARDO AUGUSTO DOS S MONTEIRO</v>
      </c>
      <c r="B2552" s="11"/>
      <c r="C2552" s="11"/>
      <c r="D2552" s="11" t="str">
        <f>IFERROR(__xludf.DUMMYFUNCTION("""COMPUTED_VALUE"""),"CLINICA GERAL")</f>
        <v>CLINICA GERAL</v>
      </c>
      <c r="E2552" s="11"/>
      <c r="F2552" s="11" t="str">
        <f>IFERROR(__xludf.DUMMYFUNCTION("""COMPUTED_VALUE"""),"US_128 POLICLINICA LESSA DE ANDRADE")</f>
        <v>US_128 POLICLINICA LESSA DE ANDRADE</v>
      </c>
      <c r="G2552" s="11" t="str">
        <f>IFERROR(__xludf.DUMMYFUNCTION("""COMPUTED_VALUE"""),"US_128 POLICLINICA LESSA DE ANDRADE")</f>
        <v>US_128 POLICLINICA LESSA DE ANDRADE</v>
      </c>
      <c r="H2552" s="11"/>
      <c r="I2552" s="11"/>
      <c r="J2552" s="11"/>
      <c r="K2552" s="11"/>
      <c r="L2552" s="11"/>
      <c r="M2552" s="11"/>
      <c r="N2552" s="30" t="str">
        <f>IFERROR(__xludf.DUMMYFUNCTION("""COMPUTED_VALUE"""),"easm@bol.com.br")</f>
        <v>easm@bol.com.br</v>
      </c>
      <c r="O2552" s="11">
        <f>IFERROR(__xludf.DUMMYFUNCTION("""COMPUTED_VALUE"""),84765631400)</f>
        <v>84765631400</v>
      </c>
      <c r="P2552" s="11"/>
      <c r="Q2552" s="11"/>
      <c r="R2552" s="11"/>
      <c r="S2552" s="11"/>
      <c r="T2552" s="11"/>
      <c r="U2552" s="11"/>
      <c r="V2552" s="11"/>
      <c r="W2552" s="11"/>
      <c r="X2552" s="11"/>
      <c r="Y2552" s="11"/>
      <c r="Z2552" s="11"/>
    </row>
    <row r="2553" customHeight="1" spans="1:26">
      <c r="A2553" s="11" t="str">
        <f>IFERROR(__xludf.DUMMYFUNCTION("""COMPUTED_VALUE"""),"VIVIANE CANADAS DA M.VIDAL")</f>
        <v>VIVIANE CANADAS DA M.VIDAL</v>
      </c>
      <c r="B2553" s="11"/>
      <c r="C2553" s="11"/>
      <c r="D2553" s="11" t="str">
        <f>IFERROR(__xludf.DUMMYFUNCTION("""COMPUTED_VALUE"""),"ENDOCRINOLOGIA E METABOLOGIA")</f>
        <v>ENDOCRINOLOGIA E METABOLOGIA</v>
      </c>
      <c r="E2553" s="11"/>
      <c r="F2553" s="11" t="str">
        <f>IFERROR(__xludf.DUMMYFUNCTION("""COMPUTED_VALUE"""),"US_293 POLICLINICA DO PINA -  PROFESSORA NAIDE REGUEIRA TEODOSIO")</f>
        <v>US_293 POLICLINICA DO PINA -  PROFESSORA NAIDE REGUEIRA TEODOSIO</v>
      </c>
      <c r="G2553" s="11" t="str">
        <f>IFERROR(__xludf.DUMMYFUNCTION("""COMPUTED_VALUE"""),"US_293 POLICLINICA DO PINA -  PROFESSORA NAIDE REGUEIRA TEODOSIO")</f>
        <v>US_293 POLICLINICA DO PINA -  PROFESSORA NAIDE REGUEIRA TEODOSIO</v>
      </c>
      <c r="H2553" s="11"/>
      <c r="I2553" s="11"/>
      <c r="J2553" s="11"/>
      <c r="K2553" s="11"/>
      <c r="L2553" s="11"/>
      <c r="M2553" s="11"/>
      <c r="N2553" s="30" t="str">
        <f>IFERROR(__xludf.DUMMYFUNCTION("""COMPUTED_VALUE"""),"vivi2207@ig.com.br")</f>
        <v>vivi2207@ig.com.br</v>
      </c>
      <c r="O2553" s="11">
        <f>IFERROR(__xludf.DUMMYFUNCTION("""COMPUTED_VALUE"""),77054938453)</f>
        <v>77054938453</v>
      </c>
      <c r="P2553" s="11"/>
      <c r="Q2553" s="11"/>
      <c r="R2553" s="11"/>
      <c r="S2553" s="11"/>
      <c r="T2553" s="11"/>
      <c r="U2553" s="11"/>
      <c r="V2553" s="11"/>
      <c r="W2553" s="11"/>
      <c r="X2553" s="11"/>
      <c r="Y2553" s="11"/>
      <c r="Z2553" s="11"/>
    </row>
    <row r="2554" customHeight="1" spans="1:26">
      <c r="A2554" s="11" t="str">
        <f>IFERROR(__xludf.DUMMYFUNCTION("""COMPUTED_VALUE"""),"ZELINA BARBOSA DE MESQUITA")</f>
        <v>ZELINA BARBOSA DE MESQUITA</v>
      </c>
      <c r="B2554" s="11"/>
      <c r="C2554" s="11"/>
      <c r="D2554" s="11" t="str">
        <f>IFERROR(__xludf.DUMMYFUNCTION("""COMPUTED_VALUE"""),"REUMATOLOGIA")</f>
        <v>REUMATOLOGIA</v>
      </c>
      <c r="E2554" s="11"/>
      <c r="F2554" s="11" t="str">
        <f>IFERROR(__xludf.DUMMYFUNCTION("""COMPUTED_VALUE"""),"US_293 POLICLINICA DO PINA -  PROFESSORA NAIDE REGUEIRA TEODOSIO")</f>
        <v>US_293 POLICLINICA DO PINA -  PROFESSORA NAIDE REGUEIRA TEODOSIO</v>
      </c>
      <c r="G2554" s="11" t="str">
        <f>IFERROR(__xludf.DUMMYFUNCTION("""COMPUTED_VALUE"""),"US_293 POLICLINICA DO PINA -  PROFESSORA NAIDE REGUEIRA TEODOSIO")</f>
        <v>US_293 POLICLINICA DO PINA -  PROFESSORA NAIDE REGUEIRA TEODOSIO</v>
      </c>
      <c r="H2554" s="11"/>
      <c r="I2554" s="11"/>
      <c r="J2554" s="11"/>
      <c r="K2554" s="11"/>
      <c r="L2554" s="11"/>
      <c r="M2554" s="11"/>
      <c r="N2554" s="30" t="str">
        <f>IFERROR(__xludf.DUMMYFUNCTION("""COMPUTED_VALUE"""),"zelinabarbosa@terra.com.br")</f>
        <v>zelinabarbosa@terra.com.br</v>
      </c>
      <c r="O2554" s="11">
        <f>IFERROR(__xludf.DUMMYFUNCTION("""COMPUTED_VALUE"""),53725824487)</f>
        <v>53725824487</v>
      </c>
      <c r="P2554" s="11"/>
      <c r="Q2554" s="11"/>
      <c r="R2554" s="11"/>
      <c r="S2554" s="11"/>
      <c r="T2554" s="11"/>
      <c r="U2554" s="11"/>
      <c r="V2554" s="11"/>
      <c r="W2554" s="11"/>
      <c r="X2554" s="11"/>
      <c r="Y2554" s="11"/>
      <c r="Z2554" s="11"/>
    </row>
    <row r="2555" customHeight="1" spans="1:26">
      <c r="A2555" s="11" t="str">
        <f>IFERROR(__xludf.DUMMYFUNCTION("""COMPUTED_VALUE"""),"MARIA TERESA DINIZ VAZQUEZ")</f>
        <v>MARIA TERESA DINIZ VAZQUEZ</v>
      </c>
      <c r="B2555" s="11"/>
      <c r="C2555" s="11"/>
      <c r="D2555" s="11" t="str">
        <f>IFERROR(__xludf.DUMMYFUNCTION("""COMPUTED_VALUE"""),"ENDOCRINOLOGIA E METABOLOGIA")</f>
        <v>ENDOCRINOLOGIA E METABOLOGIA</v>
      </c>
      <c r="E2555" s="11"/>
      <c r="F2555" s="11" t="str">
        <f>IFERROR(__xludf.DUMMYFUNCTION("""COMPUTED_VALUE"""),"US_144 POLICLINICA CLEMENTINO FRAGA")</f>
        <v>US_144 POLICLINICA CLEMENTINO FRAGA</v>
      </c>
      <c r="G2555" s="11" t="str">
        <f>IFERROR(__xludf.DUMMYFUNCTION("""COMPUTED_VALUE"""),"US_144 POLICLINICA CLEMENTINO FRAGA")</f>
        <v>US_144 POLICLINICA CLEMENTINO FRAGA</v>
      </c>
      <c r="H2555" s="11"/>
      <c r="I2555" s="11"/>
      <c r="J2555" s="11"/>
      <c r="K2555" s="11"/>
      <c r="L2555" s="11"/>
      <c r="M2555" s="11"/>
      <c r="N2555" s="30" t="str">
        <f>IFERROR(__xludf.DUMMYFUNCTION("""COMPUTED_VALUE"""),"teresavazquez@ig.com.br")</f>
        <v>teresavazquez@ig.com.br</v>
      </c>
      <c r="O2555" s="11">
        <f>IFERROR(__xludf.DUMMYFUNCTION("""COMPUTED_VALUE"""),2124655469)</f>
        <v>2124655469</v>
      </c>
      <c r="P2555" s="11"/>
      <c r="Q2555" s="11"/>
      <c r="R2555" s="11"/>
      <c r="S2555" s="11"/>
      <c r="T2555" s="11"/>
      <c r="U2555" s="11"/>
      <c r="V2555" s="11"/>
      <c r="W2555" s="11"/>
      <c r="X2555" s="11"/>
      <c r="Y2555" s="11"/>
      <c r="Z2555" s="11"/>
    </row>
    <row r="2556" customHeight="1" spans="1:26">
      <c r="A2556" s="11" t="str">
        <f>IFERROR(__xludf.DUMMYFUNCTION("""COMPUTED_VALUE"""),"MAURICIO CESAR LEAL VIEIRA")</f>
        <v>MAURICIO CESAR LEAL VIEIRA</v>
      </c>
      <c r="B2556" s="11"/>
      <c r="C2556" s="11"/>
      <c r="D2556" s="11" t="str">
        <f>IFERROR(__xludf.DUMMYFUNCTION("""COMPUTED_VALUE"""),"ORTOPEDIA E TRAUMATOLOGIA")</f>
        <v>ORTOPEDIA E TRAUMATOLOGIA</v>
      </c>
      <c r="E2556" s="11"/>
      <c r="F2556" s="11" t="str">
        <f>IFERROR(__xludf.DUMMYFUNCTION("""COMPUTED_VALUE"""),"US_144 POLICLINICA CLEMENTINO FRAGA")</f>
        <v>US_144 POLICLINICA CLEMENTINO FRAGA</v>
      </c>
      <c r="G2556" s="11" t="str">
        <f>IFERROR(__xludf.DUMMYFUNCTION("""COMPUTED_VALUE"""),"US_144 POLICLINICA CLEMENTINO FRAGA")</f>
        <v>US_144 POLICLINICA CLEMENTINO FRAGA</v>
      </c>
      <c r="H2556" s="11"/>
      <c r="I2556" s="11"/>
      <c r="J2556" s="11"/>
      <c r="K2556" s="11"/>
      <c r="L2556" s="11"/>
      <c r="M2556" s="11"/>
      <c r="N2556" s="30" t="str">
        <f>IFERROR(__xludf.DUMMYFUNCTION("""COMPUTED_VALUE"""),"MLEALVIEIRA@HOTMAIL.COM")</f>
        <v>MLEALVIEIRA@HOTMAIL.COM</v>
      </c>
      <c r="O2556" s="11">
        <f>IFERROR(__xludf.DUMMYFUNCTION("""COMPUTED_VALUE"""),59238739404)</f>
        <v>59238739404</v>
      </c>
      <c r="P2556" s="11"/>
      <c r="Q2556" s="11"/>
      <c r="R2556" s="11"/>
      <c r="S2556" s="11"/>
      <c r="T2556" s="11"/>
      <c r="U2556" s="11"/>
      <c r="V2556" s="11"/>
      <c r="W2556" s="11"/>
      <c r="X2556" s="11"/>
      <c r="Y2556" s="11"/>
      <c r="Z2556" s="11"/>
    </row>
    <row r="2557" customHeight="1" spans="1:26">
      <c r="A2557" s="11" t="str">
        <f>IFERROR(__xludf.DUMMYFUNCTION("""COMPUTED_VALUE"""),"CRISTIANE UCHOA C ESTEVES")</f>
        <v>CRISTIANE UCHOA C ESTEVES</v>
      </c>
      <c r="B2557" s="11"/>
      <c r="C2557" s="11"/>
      <c r="D2557" s="11" t="str">
        <f>IFERROR(__xludf.DUMMYFUNCTION("""COMPUTED_VALUE"""),"DERMATOLOGIA")</f>
        <v>DERMATOLOGIA</v>
      </c>
      <c r="E2557" s="11"/>
      <c r="F2557" s="11" t="str">
        <f>IFERROR(__xludf.DUMMYFUNCTION("""COMPUTED_VALUE"""),"US_144 POLICLINICA CLEMENTINO FRAGA")</f>
        <v>US_144 POLICLINICA CLEMENTINO FRAGA</v>
      </c>
      <c r="G2557" s="11" t="str">
        <f>IFERROR(__xludf.DUMMYFUNCTION("""COMPUTED_VALUE"""),"US_144 POLICLINICA CLEMENTINO FRAGA")</f>
        <v>US_144 POLICLINICA CLEMENTINO FRAGA</v>
      </c>
      <c r="H2557" s="11"/>
      <c r="I2557" s="11"/>
      <c r="J2557" s="11"/>
      <c r="K2557" s="11"/>
      <c r="L2557" s="11"/>
      <c r="M2557" s="11"/>
      <c r="N2557" s="30" t="str">
        <f>IFERROR(__xludf.DUMMYFUNCTION("""COMPUTED_VALUE"""),"cristianeuchoa@hotmail.com")</f>
        <v>cristianeuchoa@hotmail.com</v>
      </c>
      <c r="O2557" s="11">
        <f>IFERROR(__xludf.DUMMYFUNCTION("""COMPUTED_VALUE"""),2127855400)</f>
        <v>2127855400</v>
      </c>
      <c r="P2557" s="11"/>
      <c r="Q2557" s="11"/>
      <c r="R2557" s="11"/>
      <c r="S2557" s="11"/>
      <c r="T2557" s="11"/>
      <c r="U2557" s="11"/>
      <c r="V2557" s="11"/>
      <c r="W2557" s="11"/>
      <c r="X2557" s="11"/>
      <c r="Y2557" s="11"/>
      <c r="Z2557" s="11"/>
    </row>
    <row r="2558" customHeight="1" spans="1:26">
      <c r="A2558" s="11" t="str">
        <f>IFERROR(__xludf.DUMMYFUNCTION("""COMPUTED_VALUE"""),"POLLYANA SOLEDADE DE QUEIROZ")</f>
        <v>POLLYANA SOLEDADE DE QUEIROZ</v>
      </c>
      <c r="B2558" s="11"/>
      <c r="C2558" s="11"/>
      <c r="D2558" s="11" t="str">
        <f>IFERROR(__xludf.DUMMYFUNCTION("""COMPUTED_VALUE"""),"GINECOLOGIA")</f>
        <v>GINECOLOGIA</v>
      </c>
      <c r="E2558" s="11"/>
      <c r="F2558" s="11" t="str">
        <f>IFERROR(__xludf.DUMMYFUNCTION("""COMPUTED_VALUE"""),"US_128 POLICLINICA LESSA DE ANDRADE")</f>
        <v>US_128 POLICLINICA LESSA DE ANDRADE</v>
      </c>
      <c r="G2558" s="11" t="str">
        <f>IFERROR(__xludf.DUMMYFUNCTION("""COMPUTED_VALUE"""),"US_128 POLICLINICA LESSA DE ANDRADE")</f>
        <v>US_128 POLICLINICA LESSA DE ANDRADE</v>
      </c>
      <c r="H2558" s="11"/>
      <c r="I2558" s="11"/>
      <c r="J2558" s="11"/>
      <c r="K2558" s="11"/>
      <c r="L2558" s="11"/>
      <c r="M2558" s="11"/>
      <c r="N2558" s="30" t="str">
        <f>IFERROR(__xludf.DUMMYFUNCTION("""COMPUTED_VALUE"""),"pollysoledade@uol.com.br")</f>
        <v>pollysoledade@uol.com.br</v>
      </c>
      <c r="O2558" s="11">
        <f>IFERROR(__xludf.DUMMYFUNCTION("""COMPUTED_VALUE"""),88770036420)</f>
        <v>88770036420</v>
      </c>
      <c r="P2558" s="11"/>
      <c r="Q2558" s="11"/>
      <c r="R2558" s="11"/>
      <c r="S2558" s="11"/>
      <c r="T2558" s="11"/>
      <c r="U2558" s="11"/>
      <c r="V2558" s="11"/>
      <c r="W2558" s="11"/>
      <c r="X2558" s="11"/>
      <c r="Y2558" s="11"/>
      <c r="Z2558" s="11"/>
    </row>
    <row r="2559" customHeight="1" spans="1:26">
      <c r="A2559" s="11" t="str">
        <f>IFERROR(__xludf.DUMMYFUNCTION("""COMPUTED_VALUE"""),"JULIANA CORDEIRO SOUZA")</f>
        <v>JULIANA CORDEIRO SOUZA</v>
      </c>
      <c r="B2559" s="11"/>
      <c r="C2559" s="11"/>
      <c r="D2559" s="11" t="str">
        <f>IFERROR(__xludf.DUMMYFUNCTION("""COMPUTED_VALUE"""),"DERMATOLOGIA")</f>
        <v>DERMATOLOGIA</v>
      </c>
      <c r="E2559" s="11"/>
      <c r="F2559" s="11" t="str">
        <f>IFERROR(__xludf.DUMMYFUNCTION("""COMPUTED_VALUE"""),"US_162 POLICLINICA ALBERT SABIN")</f>
        <v>US_162 POLICLINICA ALBERT SABIN</v>
      </c>
      <c r="G2559" s="11" t="str">
        <f>IFERROR(__xludf.DUMMYFUNCTION("""COMPUTED_VALUE"""),"US_162 POLICLINICA ALBERT SABIN")</f>
        <v>US_162 POLICLINICA ALBERT SABIN</v>
      </c>
      <c r="H2559" s="11"/>
      <c r="I2559" s="11"/>
      <c r="J2559" s="11"/>
      <c r="K2559" s="11"/>
      <c r="L2559" s="11"/>
      <c r="M2559" s="11"/>
      <c r="N2559" s="30" t="str">
        <f>IFERROR(__xludf.DUMMYFUNCTION("""COMPUTED_VALUE"""),"julianacsgalindo@yahoo.com.br                          ")</f>
        <v>julianacsgalindo@yahoo.com.br                          </v>
      </c>
      <c r="O2559" s="11">
        <f>IFERROR(__xludf.DUMMYFUNCTION("""COMPUTED_VALUE"""),3104827478)</f>
        <v>3104827478</v>
      </c>
      <c r="P2559" s="11"/>
      <c r="Q2559" s="11"/>
      <c r="R2559" s="11"/>
      <c r="S2559" s="11"/>
      <c r="T2559" s="11"/>
      <c r="U2559" s="11"/>
      <c r="V2559" s="11"/>
      <c r="W2559" s="11"/>
      <c r="X2559" s="11"/>
      <c r="Y2559" s="11"/>
      <c r="Z2559" s="11"/>
    </row>
    <row r="2560" customHeight="1" spans="1:26">
      <c r="A2560" s="11" t="str">
        <f>IFERROR(__xludf.DUMMYFUNCTION("""COMPUTED_VALUE"""),"CLODOVAL DE B PEREIRA JUNIOR")</f>
        <v>CLODOVAL DE B PEREIRA JUNIOR</v>
      </c>
      <c r="B2560" s="11"/>
      <c r="C2560" s="11"/>
      <c r="D2560" s="11" t="str">
        <f>IFERROR(__xludf.DUMMYFUNCTION("""COMPUTED_VALUE"""),"CARDIOLOGIA")</f>
        <v>CARDIOLOGIA</v>
      </c>
      <c r="E2560" s="11"/>
      <c r="F2560" s="11" t="str">
        <f>IFERROR(__xludf.DUMMYFUNCTION("""COMPUTED_VALUE"""),"US_376 POLICLINICA SALOMAO KELNER")</f>
        <v>US_376 POLICLINICA SALOMAO KELNER</v>
      </c>
      <c r="G2560" s="11" t="str">
        <f>IFERROR(__xludf.DUMMYFUNCTION("""COMPUTED_VALUE"""),"US_376 POLICLINICA SALOMAO KELNER")</f>
        <v>US_376 POLICLINICA SALOMAO KELNER</v>
      </c>
      <c r="H2560" s="11"/>
      <c r="I2560" s="11"/>
      <c r="J2560" s="11"/>
      <c r="K2560" s="11"/>
      <c r="L2560" s="11"/>
      <c r="M2560" s="11"/>
      <c r="N2560" s="30" t="str">
        <f>IFERROR(__xludf.DUMMYFUNCTION("""COMPUTED_VALUE"""),"CLODOVALBARROS@BOL.COM.BR")</f>
        <v>CLODOVALBARROS@BOL.COM.BR</v>
      </c>
      <c r="O2560" s="11">
        <f>IFERROR(__xludf.DUMMYFUNCTION("""COMPUTED_VALUE"""),75834979491)</f>
        <v>75834979491</v>
      </c>
      <c r="P2560" s="11"/>
      <c r="Q2560" s="11"/>
      <c r="R2560" s="11"/>
      <c r="S2560" s="11"/>
      <c r="T2560" s="11"/>
      <c r="U2560" s="11"/>
      <c r="V2560" s="11"/>
      <c r="W2560" s="11"/>
      <c r="X2560" s="11"/>
      <c r="Y2560" s="11"/>
      <c r="Z2560" s="11"/>
    </row>
    <row r="2561" customHeight="1" spans="1:26">
      <c r="A2561" s="11" t="str">
        <f>IFERROR(__xludf.DUMMYFUNCTION("""COMPUTED_VALUE"""),"JOSE RICARDO DE ARAUJO LEMOS")</f>
        <v>JOSE RICARDO DE ARAUJO LEMOS</v>
      </c>
      <c r="B2561" s="11"/>
      <c r="C2561" s="11"/>
      <c r="D2561" s="11" t="str">
        <f>IFERROR(__xludf.DUMMYFUNCTION("""COMPUTED_VALUE"""),"OTORRINOLARINGOLOGIA")</f>
        <v>OTORRINOLARINGOLOGIA</v>
      </c>
      <c r="E2561" s="11"/>
      <c r="F2561" s="11" t="str">
        <f>IFERROR(__xludf.DUMMYFUNCTION("""COMPUTED_VALUE"""),"US_162 POLICLINICA ALBERT SABIN")</f>
        <v>US_162 POLICLINICA ALBERT SABIN</v>
      </c>
      <c r="G2561" s="11" t="str">
        <f>IFERROR(__xludf.DUMMYFUNCTION("""COMPUTED_VALUE"""),"US_162 POLICLINICA ALBERT SABIN")</f>
        <v>US_162 POLICLINICA ALBERT SABIN</v>
      </c>
      <c r="H2561" s="11"/>
      <c r="I2561" s="11"/>
      <c r="J2561" s="11"/>
      <c r="K2561" s="11"/>
      <c r="L2561" s="11"/>
      <c r="M2561" s="11"/>
      <c r="N2561" s="30" t="str">
        <f>IFERROR(__xludf.DUMMYFUNCTION("""COMPUTED_VALUE"""),"JRALEMOS@BOL.COM.BR")</f>
        <v>JRALEMOS@BOL.COM.BR</v>
      </c>
      <c r="O2561" s="11">
        <f>IFERROR(__xludf.DUMMYFUNCTION("""COMPUTED_VALUE"""),76702529449)</f>
        <v>76702529449</v>
      </c>
      <c r="P2561" s="11"/>
      <c r="Q2561" s="11"/>
      <c r="R2561" s="11"/>
      <c r="S2561" s="11"/>
      <c r="T2561" s="11"/>
      <c r="U2561" s="11"/>
      <c r="V2561" s="11"/>
      <c r="W2561" s="11"/>
      <c r="X2561" s="11"/>
      <c r="Y2561" s="11"/>
      <c r="Z2561" s="11"/>
    </row>
    <row r="2562" customHeight="1" spans="1:26">
      <c r="A2562" s="11" t="str">
        <f>IFERROR(__xludf.DUMMYFUNCTION("""COMPUTED_VALUE"""),"SUELY DE BARROS CORREIA MATOS")</f>
        <v>SUELY DE BARROS CORREIA MATOS</v>
      </c>
      <c r="B2562" s="11"/>
      <c r="C2562" s="11"/>
      <c r="D2562" s="11" t="str">
        <f>IFERROR(__xludf.DUMMYFUNCTION("""COMPUTED_VALUE"""),"GERIATRIA  /  CLINICA GERAL")</f>
        <v>GERIATRIA  /  CLINICA GERAL</v>
      </c>
      <c r="E2562" s="11"/>
      <c r="F2562" s="11" t="str">
        <f>IFERROR(__xludf.DUMMYFUNCTION("""COMPUTED_VALUE"""),"US_128 POLICLINICA LESSA DE ANDRADE")</f>
        <v>US_128 POLICLINICA LESSA DE ANDRADE</v>
      </c>
      <c r="G2562" s="11" t="str">
        <f>IFERROR(__xludf.DUMMYFUNCTION("""COMPUTED_VALUE"""),"US_128 POLICLINICA LESSA DE ANDRADE")</f>
        <v>US_128 POLICLINICA LESSA DE ANDRADE</v>
      </c>
      <c r="H2562" s="11"/>
      <c r="I2562" s="11"/>
      <c r="J2562" s="11"/>
      <c r="K2562" s="11"/>
      <c r="L2562" s="11"/>
      <c r="M2562" s="11"/>
      <c r="N2562" s="30" t="str">
        <f>IFERROR(__xludf.DUMMYFUNCTION("""COMPUTED_VALUE"""),"SUELY_MATOS@HOTMAIL.COM")</f>
        <v>SUELY_MATOS@HOTMAIL.COM</v>
      </c>
      <c r="O2562" s="11">
        <f>IFERROR(__xludf.DUMMYFUNCTION("""COMPUTED_VALUE"""),19218087487)</f>
        <v>19218087487</v>
      </c>
      <c r="P2562" s="11"/>
      <c r="Q2562" s="11"/>
      <c r="R2562" s="11"/>
      <c r="S2562" s="11"/>
      <c r="T2562" s="11"/>
      <c r="U2562" s="11"/>
      <c r="V2562" s="11"/>
      <c r="W2562" s="11"/>
      <c r="X2562" s="11"/>
      <c r="Y2562" s="11"/>
      <c r="Z2562" s="11"/>
    </row>
    <row r="2563" customHeight="1" spans="1:26">
      <c r="A2563" s="11" t="str">
        <f>IFERROR(__xludf.DUMMYFUNCTION("""COMPUTED_VALUE"""),"MARLUCE FLORENCIO DO R MACIEL")</f>
        <v>MARLUCE FLORENCIO DO R MACIEL</v>
      </c>
      <c r="B2563" s="11"/>
      <c r="C2563" s="11"/>
      <c r="D2563" s="11" t="str">
        <f>IFERROR(__xludf.DUMMYFUNCTION("""COMPUTED_VALUE"""),"DERMATOLOGIA")</f>
        <v>DERMATOLOGIA</v>
      </c>
      <c r="E2563" s="11"/>
      <c r="F2563" s="11" t="str">
        <f>IFERROR(__xludf.DUMMYFUNCTION("""COMPUTED_VALUE"""),"US_101 POLICLINICA PROF WALDEMAR DE OLIVEIRA ")</f>
        <v>US_101 POLICLINICA PROF WALDEMAR DE OLIVEIRA </v>
      </c>
      <c r="G2563" s="11" t="str">
        <f>IFERROR(__xludf.DUMMYFUNCTION("""COMPUTED_VALUE"""),"US_101 POLICLINICA PROF WALDEMAR DE OLIVEIRA ")</f>
        <v>US_101 POLICLINICA PROF WALDEMAR DE OLIVEIRA </v>
      </c>
      <c r="H2563" s="11"/>
      <c r="I2563" s="11"/>
      <c r="J2563" s="11"/>
      <c r="K2563" s="11"/>
      <c r="L2563" s="11"/>
      <c r="M2563" s="11"/>
      <c r="N2563" s="30" t="str">
        <f>IFERROR(__xludf.DUMMYFUNCTION("""COMPUTED_VALUE"""),"mfrmaciel@hotmail.com")</f>
        <v>mfrmaciel@hotmail.com</v>
      </c>
      <c r="O2563" s="11">
        <f>IFERROR(__xludf.DUMMYFUNCTION("""COMPUTED_VALUE"""),2292012456)</f>
        <v>2292012456</v>
      </c>
      <c r="P2563" s="11"/>
      <c r="Q2563" s="11"/>
      <c r="R2563" s="11"/>
      <c r="S2563" s="11"/>
      <c r="T2563" s="11"/>
      <c r="U2563" s="11"/>
      <c r="V2563" s="11"/>
      <c r="W2563" s="11"/>
      <c r="X2563" s="11"/>
      <c r="Y2563" s="11"/>
      <c r="Z2563" s="11"/>
    </row>
    <row r="2564" customHeight="1" spans="1:26">
      <c r="A2564" s="11" t="str">
        <f>IFERROR(__xludf.DUMMYFUNCTION("""COMPUTED_VALUE"""),"JOSE GUSTAVO L DE OLIVEIRA")</f>
        <v>JOSE GUSTAVO L DE OLIVEIRA</v>
      </c>
      <c r="B2564" s="11"/>
      <c r="C2564" s="11"/>
      <c r="D2564" s="11" t="str">
        <f>IFERROR(__xludf.DUMMYFUNCTION("""COMPUTED_VALUE"""),"NEUROLOGIA")</f>
        <v>NEUROLOGIA</v>
      </c>
      <c r="E2564" s="11"/>
      <c r="F2564" s="11" t="str">
        <f>IFERROR(__xludf.DUMMYFUNCTION("""COMPUTED_VALUE"""),"US_128 POLICLINICA LESSA DE ANDRADE")</f>
        <v>US_128 POLICLINICA LESSA DE ANDRADE</v>
      </c>
      <c r="G2564" s="11" t="str">
        <f>IFERROR(__xludf.DUMMYFUNCTION("""COMPUTED_VALUE"""),"US_128 POLICLINICA LESSA DE ANDRADE")</f>
        <v>US_128 POLICLINICA LESSA DE ANDRADE</v>
      </c>
      <c r="H2564" s="11"/>
      <c r="I2564" s="11"/>
      <c r="J2564" s="11"/>
      <c r="K2564" s="11"/>
      <c r="L2564" s="11"/>
      <c r="M2564" s="11"/>
      <c r="N2564" s="30" t="str">
        <f>IFERROR(__xludf.DUMMYFUNCTION("""COMPUTED_VALUE"""),"guganeuro@hotmail.com")</f>
        <v>guganeuro@hotmail.com</v>
      </c>
      <c r="O2564" s="11">
        <f>IFERROR(__xludf.DUMMYFUNCTION("""COMPUTED_VALUE"""),71882464400)</f>
        <v>71882464400</v>
      </c>
      <c r="P2564" s="11"/>
      <c r="Q2564" s="11"/>
      <c r="R2564" s="11"/>
      <c r="S2564" s="11"/>
      <c r="T2564" s="11"/>
      <c r="U2564" s="11"/>
      <c r="V2564" s="11"/>
      <c r="W2564" s="11"/>
      <c r="X2564" s="11"/>
      <c r="Y2564" s="11"/>
      <c r="Z2564" s="11"/>
    </row>
    <row r="2565" customHeight="1" spans="1:26">
      <c r="A2565" s="11" t="str">
        <f>IFERROR(__xludf.DUMMYFUNCTION("""COMPUTED_VALUE"""),"VENUS DE QUEIROZ LIMA")</f>
        <v>VENUS DE QUEIROZ LIMA</v>
      </c>
      <c r="B2565" s="11"/>
      <c r="C2565" s="11"/>
      <c r="D2565" s="11" t="str">
        <f>IFERROR(__xludf.DUMMYFUNCTION("""COMPUTED_VALUE"""),"PEDIATRIA")</f>
        <v>PEDIATRIA</v>
      </c>
      <c r="E2565" s="11"/>
      <c r="F2565" s="11" t="str">
        <f>IFERROR(__xludf.DUMMYFUNCTION("""COMPUTED_VALUE"""),"US_101 POLICLINICA PROF WALDEMAR DE OLIVEIRA")</f>
        <v>US_101 POLICLINICA PROF WALDEMAR DE OLIVEIRA</v>
      </c>
      <c r="G2565" s="11" t="str">
        <f>IFERROR(__xludf.DUMMYFUNCTION("""COMPUTED_VALUE"""),"US_101 POLICLINICA PROF WALDEMAR DE OLIVEIRA")</f>
        <v>US_101 POLICLINICA PROF WALDEMAR DE OLIVEIRA</v>
      </c>
      <c r="H2565" s="11"/>
      <c r="I2565" s="11"/>
      <c r="J2565" s="11"/>
      <c r="K2565" s="11"/>
      <c r="L2565" s="11"/>
      <c r="M2565" s="11"/>
      <c r="N2565" s="30" t="str">
        <f>IFERROR(__xludf.DUMMYFUNCTION("""COMPUTED_VALUE"""),"QUEIROZVENUS@GMAIL.COM")</f>
        <v>QUEIROZVENUS@GMAIL.COM</v>
      </c>
      <c r="O2565" s="11">
        <f>IFERROR(__xludf.DUMMYFUNCTION("""COMPUTED_VALUE"""),12496316453)</f>
        <v>12496316453</v>
      </c>
      <c r="P2565" s="11"/>
      <c r="Q2565" s="11"/>
      <c r="R2565" s="11"/>
      <c r="S2565" s="11"/>
      <c r="T2565" s="11"/>
      <c r="U2565" s="11"/>
      <c r="V2565" s="11"/>
      <c r="W2565" s="11"/>
      <c r="X2565" s="11"/>
      <c r="Y2565" s="11"/>
      <c r="Z2565" s="11"/>
    </row>
    <row r="2566" customHeight="1" spans="1:26">
      <c r="A2566" s="11" t="str">
        <f>IFERROR(__xludf.DUMMYFUNCTION("""COMPUTED_VALUE"""),"ANA PERNAMBUCANO DE MELLO")</f>
        <v>ANA PERNAMBUCANO DE MELLO</v>
      </c>
      <c r="B2566" s="11"/>
      <c r="C2566" s="11"/>
      <c r="D2566" s="11" t="str">
        <f>IFERROR(__xludf.DUMMYFUNCTION("""COMPUTED_VALUE"""),"DERMATOLOGIA")</f>
        <v>DERMATOLOGIA</v>
      </c>
      <c r="E2566" s="11"/>
      <c r="F2566" s="11" t="str">
        <f>IFERROR(__xludf.DUMMYFUNCTION("""COMPUTED_VALUE"""),"US_293 POLICLINICA DO PINA -  PROFESSORA NAIDE REGUEIRA TEODOSIO")</f>
        <v>US_293 POLICLINICA DO PINA -  PROFESSORA NAIDE REGUEIRA TEODOSIO</v>
      </c>
      <c r="G2566" s="11" t="str">
        <f>IFERROR(__xludf.DUMMYFUNCTION("""COMPUTED_VALUE"""),"US_293 POLICLINICA DO PINA -  PROFESSORA NAIDE REGUEIRA TEODOSIO")</f>
        <v>US_293 POLICLINICA DO PINA -  PROFESSORA NAIDE REGUEIRA TEODOSIO</v>
      </c>
      <c r="H2566" s="11"/>
      <c r="I2566" s="11"/>
      <c r="J2566" s="11"/>
      <c r="K2566" s="11"/>
      <c r="L2566" s="11"/>
      <c r="M2566" s="11"/>
      <c r="N2566" s="30" t="str">
        <f>IFERROR(__xludf.DUMMYFUNCTION("""COMPUTED_VALUE"""),"anapernambucano@yahoo.com.br")</f>
        <v>anapernambucano@yahoo.com.br</v>
      </c>
      <c r="O2566" s="11">
        <f>IFERROR(__xludf.DUMMYFUNCTION("""COMPUTED_VALUE"""),2620559456)</f>
        <v>2620559456</v>
      </c>
      <c r="P2566" s="11"/>
      <c r="Q2566" s="11"/>
      <c r="R2566" s="11"/>
      <c r="S2566" s="11"/>
      <c r="T2566" s="11"/>
      <c r="U2566" s="11"/>
      <c r="V2566" s="11"/>
      <c r="W2566" s="11"/>
      <c r="X2566" s="11"/>
      <c r="Y2566" s="11"/>
      <c r="Z2566" s="11"/>
    </row>
    <row r="2567" customHeight="1" spans="1:26">
      <c r="A2567" s="11" t="str">
        <f>IFERROR(__xludf.DUMMYFUNCTION("""COMPUTED_VALUE"""),"MAURO RICARDO LIMA MARQUES")</f>
        <v>MAURO RICARDO LIMA MARQUES</v>
      </c>
      <c r="B2567" s="11"/>
      <c r="C2567" s="11"/>
      <c r="D2567" s="11" t="str">
        <f>IFERROR(__xludf.DUMMYFUNCTION("""COMPUTED_VALUE"""),"UROLOGIA")</f>
        <v>UROLOGIA</v>
      </c>
      <c r="E2567" s="11"/>
      <c r="F2567" s="11" t="str">
        <f>IFERROR(__xludf.DUMMYFUNCTION("""COMPUTED_VALUE"""),"US_166 POLICLINICA CENTRO")</f>
        <v>US_166 POLICLINICA CENTRO</v>
      </c>
      <c r="G2567" s="11" t="str">
        <f>IFERROR(__xludf.DUMMYFUNCTION("""COMPUTED_VALUE"""),"US_166 POLICLINICA CENTRO")</f>
        <v>US_166 POLICLINICA CENTRO</v>
      </c>
      <c r="H2567" s="11"/>
      <c r="I2567" s="11"/>
      <c r="J2567" s="11"/>
      <c r="K2567" s="11"/>
      <c r="L2567" s="11"/>
      <c r="M2567" s="11"/>
      <c r="N2567" s="30" t="str">
        <f>IFERROR(__xludf.DUMMYFUNCTION("""COMPUTED_VALUE"""),"mauroric@gmail.com")</f>
        <v>mauroric@gmail.com</v>
      </c>
      <c r="O2567" s="11">
        <f>IFERROR(__xludf.DUMMYFUNCTION("""COMPUTED_VALUE"""),3866460406)</f>
        <v>3866460406</v>
      </c>
      <c r="P2567" s="11"/>
      <c r="Q2567" s="11"/>
      <c r="R2567" s="11"/>
      <c r="S2567" s="11"/>
      <c r="T2567" s="11"/>
      <c r="U2567" s="11"/>
      <c r="V2567" s="11"/>
      <c r="W2567" s="11"/>
      <c r="X2567" s="11"/>
      <c r="Y2567" s="11"/>
      <c r="Z2567" s="11"/>
    </row>
    <row r="2568" customHeight="1" spans="1:26">
      <c r="A2568" s="11" t="str">
        <f>IFERROR(__xludf.DUMMYFUNCTION("""COMPUTED_VALUE"""),"GIOVANNI MOTA DE MENEZES")</f>
        <v>GIOVANNI MOTA DE MENEZES</v>
      </c>
      <c r="B2568" s="11"/>
      <c r="C2568" s="11"/>
      <c r="D2568" s="11" t="str">
        <f>IFERROR(__xludf.DUMMYFUNCTION("""COMPUTED_VALUE"""),"ORTOPEDIA E TRAUMATOLOGIA")</f>
        <v>ORTOPEDIA E TRAUMATOLOGIA</v>
      </c>
      <c r="E2568" s="11"/>
      <c r="F2568" s="11" t="str">
        <f>IFERROR(__xludf.DUMMYFUNCTION("""COMPUTED_VALUE"""),"US_160 POLICLINICA GOUVEIA DE BARROS")</f>
        <v>US_160 POLICLINICA GOUVEIA DE BARROS</v>
      </c>
      <c r="G2568" s="11" t="str">
        <f>IFERROR(__xludf.DUMMYFUNCTION("""COMPUTED_VALUE"""),"US_160 POLICLINICA GOUVEIA DE BARROS")</f>
        <v>US_160 POLICLINICA GOUVEIA DE BARROS</v>
      </c>
      <c r="H2568" s="11"/>
      <c r="I2568" s="11"/>
      <c r="J2568" s="11"/>
      <c r="K2568" s="11"/>
      <c r="L2568" s="11"/>
      <c r="M2568" s="11"/>
      <c r="N2568" s="30" t="str">
        <f>IFERROR(__xludf.DUMMYFUNCTION("""COMPUTED_VALUE"""),"GIOMENEZES@YAHOO.COM.BR")</f>
        <v>GIOMENEZES@YAHOO.COM.BR</v>
      </c>
      <c r="O2568" s="11">
        <f>IFERROR(__xludf.DUMMYFUNCTION("""COMPUTED_VALUE"""),58268910410)</f>
        <v>58268910410</v>
      </c>
      <c r="P2568" s="11"/>
      <c r="Q2568" s="11"/>
      <c r="R2568" s="11"/>
      <c r="S2568" s="11"/>
      <c r="T2568" s="11"/>
      <c r="U2568" s="11"/>
      <c r="V2568" s="11"/>
      <c r="W2568" s="11"/>
      <c r="X2568" s="11"/>
      <c r="Y2568" s="11"/>
      <c r="Z2568" s="11"/>
    </row>
    <row r="2569" customHeight="1" spans="1:26">
      <c r="A2569" s="11" t="str">
        <f>IFERROR(__xludf.DUMMYFUNCTION("""COMPUTED_VALUE"""),"PAULO CESAR PARAISO DANTAS")</f>
        <v>PAULO CESAR PARAISO DANTAS</v>
      </c>
      <c r="B2569" s="11"/>
      <c r="C2569" s="11"/>
      <c r="D2569" s="11" t="str">
        <f>IFERROR(__xludf.DUMMYFUNCTION("""COMPUTED_VALUE"""),"CIRURGIA GERAL")</f>
        <v>CIRURGIA GERAL</v>
      </c>
      <c r="E2569" s="11"/>
      <c r="F2569" s="11" t="str">
        <f>IFERROR(__xludf.DUMMYFUNCTION("""COMPUTED_VALUE"""),"US_101 POLICLINICA PROF WALDEMAR DE OLIVEIRA ")</f>
        <v>US_101 POLICLINICA PROF WALDEMAR DE OLIVEIRA </v>
      </c>
      <c r="G2569" s="11" t="str">
        <f>IFERROR(__xludf.DUMMYFUNCTION("""COMPUTED_VALUE"""),"US_101 POLICLINICA PROF WALDEMAR DE OLIVEIRA ")</f>
        <v>US_101 POLICLINICA PROF WALDEMAR DE OLIVEIRA </v>
      </c>
      <c r="H2569" s="11"/>
      <c r="I2569" s="11"/>
      <c r="J2569" s="11"/>
      <c r="K2569" s="11"/>
      <c r="L2569" s="11"/>
      <c r="M2569" s="11"/>
      <c r="N2569" s="30" t="str">
        <f>IFERROR(__xludf.DUMMYFUNCTION("""COMPUTED_VALUE"""),"pauloparaiso@gmail.com                                 ")</f>
        <v>pauloparaiso@gmail.com                                 </v>
      </c>
      <c r="O2569" s="11">
        <f>IFERROR(__xludf.DUMMYFUNCTION("""COMPUTED_VALUE"""),65342500478)</f>
        <v>65342500478</v>
      </c>
      <c r="P2569" s="11"/>
      <c r="Q2569" s="11"/>
      <c r="R2569" s="11"/>
      <c r="S2569" s="11"/>
      <c r="T2569" s="11"/>
      <c r="U2569" s="11"/>
      <c r="V2569" s="11"/>
      <c r="W2569" s="11"/>
      <c r="X2569" s="11"/>
      <c r="Y2569" s="11"/>
      <c r="Z2569" s="11"/>
    </row>
    <row r="2570" customHeight="1" spans="1:26">
      <c r="A2570" s="11" t="str">
        <f>IFERROR(__xludf.DUMMYFUNCTION("""COMPUTED_VALUE"""),"MONICA CRISTINA REZENDE FIORE")</f>
        <v>MONICA CRISTINA REZENDE FIORE</v>
      </c>
      <c r="B2570" s="11"/>
      <c r="C2570" s="11"/>
      <c r="D2570" s="11" t="str">
        <f>IFERROR(__xludf.DUMMYFUNCTION("""COMPUTED_VALUE"""),"CARDIOLOGIA PEDIATRICA")</f>
        <v>CARDIOLOGIA PEDIATRICA</v>
      </c>
      <c r="E2570" s="11"/>
      <c r="F2570" s="11" t="str">
        <f>IFERROR(__xludf.DUMMYFUNCTION("""COMPUTED_VALUE"""),"US_128 POLICLINICA LESSA DE ANDRADE")</f>
        <v>US_128 POLICLINICA LESSA DE ANDRADE</v>
      </c>
      <c r="G2570" s="11" t="str">
        <f>IFERROR(__xludf.DUMMYFUNCTION("""COMPUTED_VALUE"""),"US_128 POLICLINICA LESSA DE ANDRADE")</f>
        <v>US_128 POLICLINICA LESSA DE ANDRADE</v>
      </c>
      <c r="H2570" s="11"/>
      <c r="I2570" s="11"/>
      <c r="J2570" s="11"/>
      <c r="K2570" s="11"/>
      <c r="L2570" s="11"/>
      <c r="M2570" s="11"/>
      <c r="N2570" s="30" t="str">
        <f>IFERROR(__xludf.DUMMYFUNCTION("""COMPUTED_VALUE"""),"monica.fiore@gmail.com")</f>
        <v>monica.fiore@gmail.com</v>
      </c>
      <c r="O2570" s="11">
        <f>IFERROR(__xludf.DUMMYFUNCTION("""COMPUTED_VALUE"""),96209429491)</f>
        <v>96209429491</v>
      </c>
      <c r="P2570" s="11"/>
      <c r="Q2570" s="11"/>
      <c r="R2570" s="11"/>
      <c r="S2570" s="11"/>
      <c r="T2570" s="11"/>
      <c r="U2570" s="11"/>
      <c r="V2570" s="11"/>
      <c r="W2570" s="11"/>
      <c r="X2570" s="11"/>
      <c r="Y2570" s="11"/>
      <c r="Z2570" s="11"/>
    </row>
    <row r="2571" customHeight="1" spans="1:26">
      <c r="A2571" s="11" t="str">
        <f>IFERROR(__xludf.DUMMYFUNCTION("""COMPUTED_VALUE"""),"LEILA EPAMINONDAS DE B P ATIE")</f>
        <v>LEILA EPAMINONDAS DE B P ATIE</v>
      </c>
      <c r="B2571" s="11"/>
      <c r="C2571" s="11"/>
      <c r="D2571" s="11" t="str">
        <f>IFERROR(__xludf.DUMMYFUNCTION("""COMPUTED_VALUE"""),"PNEUMOLOGIA")</f>
        <v>PNEUMOLOGIA</v>
      </c>
      <c r="E2571" s="11"/>
      <c r="F2571" s="11" t="str">
        <f>IFERROR(__xludf.DUMMYFUNCTION("""COMPUTED_VALUE"""),"US_293 POLICLINICA DO PINA -  PROFESSORA NAIDE REGUEIRA TEODOSIO")</f>
        <v>US_293 POLICLINICA DO PINA -  PROFESSORA NAIDE REGUEIRA TEODOSIO</v>
      </c>
      <c r="G2571" s="11" t="str">
        <f>IFERROR(__xludf.DUMMYFUNCTION("""COMPUTED_VALUE"""),"US_293 POLICLINICA DO PINA -  PROFESSORA NAIDE REGUEIRA TEODOSIO")</f>
        <v>US_293 POLICLINICA DO PINA -  PROFESSORA NAIDE REGUEIRA TEODOSIO</v>
      </c>
      <c r="H2571" s="11"/>
      <c r="I2571" s="11"/>
      <c r="J2571" s="11"/>
      <c r="K2571" s="11"/>
      <c r="L2571" s="11"/>
      <c r="M2571" s="11"/>
      <c r="N2571" s="30" t="str">
        <f>IFERROR(__xludf.DUMMYFUNCTION("""COMPUTED_VALUE"""),"leila_pereira@hotmail.com")</f>
        <v>leila_pereira@hotmail.com</v>
      </c>
      <c r="O2571" s="11">
        <f>IFERROR(__xludf.DUMMYFUNCTION("""COMPUTED_VALUE"""),67888143415)</f>
        <v>67888143415</v>
      </c>
      <c r="P2571" s="11"/>
      <c r="Q2571" s="11"/>
      <c r="R2571" s="11"/>
      <c r="S2571" s="11"/>
      <c r="T2571" s="11"/>
      <c r="U2571" s="11"/>
      <c r="V2571" s="11"/>
      <c r="W2571" s="11"/>
      <c r="X2571" s="11"/>
      <c r="Y2571" s="11"/>
      <c r="Z2571" s="11"/>
    </row>
    <row r="2572" customHeight="1" spans="1:26">
      <c r="A2572" s="11" t="str">
        <f>IFERROR(__xludf.DUMMYFUNCTION("""COMPUTED_VALUE"""),"ANTONIO STENIO BARBOSA GOMES")</f>
        <v>ANTONIO STENIO BARBOSA GOMES</v>
      </c>
      <c r="B2572" s="11"/>
      <c r="C2572" s="11"/>
      <c r="D2572" s="11" t="str">
        <f>IFERROR(__xludf.DUMMYFUNCTION("""COMPUTED_VALUE"""),"CARDIOLOGIA")</f>
        <v>CARDIOLOGIA</v>
      </c>
      <c r="E2572" s="11"/>
      <c r="F2572" s="11" t="str">
        <f>IFERROR(__xludf.DUMMYFUNCTION("""COMPUTED_VALUE"""),"US_162 POLICLINICA ALBERT SABIN")</f>
        <v>US_162 POLICLINICA ALBERT SABIN</v>
      </c>
      <c r="G2572" s="11" t="str">
        <f>IFERROR(__xludf.DUMMYFUNCTION("""COMPUTED_VALUE"""),"US_162 POLICLINICA ALBERT SABIN")</f>
        <v>US_162 POLICLINICA ALBERT SABIN</v>
      </c>
      <c r="H2572" s="11"/>
      <c r="I2572" s="11"/>
      <c r="J2572" s="11"/>
      <c r="K2572" s="11"/>
      <c r="L2572" s="11"/>
      <c r="M2572" s="11"/>
      <c r="N2572" s="30" t="str">
        <f>IFERROR(__xludf.DUMMYFUNCTION("""COMPUTED_VALUE"""),"CLINICARDIO@GMAIL.COM")</f>
        <v>CLINICARDIO@GMAIL.COM</v>
      </c>
      <c r="O2572" s="11">
        <f>IFERROR(__xludf.DUMMYFUNCTION("""COMPUTED_VALUE"""),57238278472)</f>
        <v>57238278472</v>
      </c>
      <c r="P2572" s="11"/>
      <c r="Q2572" s="11"/>
      <c r="R2572" s="11"/>
      <c r="S2572" s="11"/>
      <c r="T2572" s="11"/>
      <c r="U2572" s="11"/>
      <c r="V2572" s="11"/>
      <c r="W2572" s="11"/>
      <c r="X2572" s="11"/>
      <c r="Y2572" s="11"/>
      <c r="Z2572" s="11"/>
    </row>
    <row r="2573" customHeight="1" spans="1:26">
      <c r="A2573" s="11" t="str">
        <f>IFERROR(__xludf.DUMMYFUNCTION("""COMPUTED_VALUE"""),"ANTONIO CARLOS VIANA VITALI")</f>
        <v>ANTONIO CARLOS VIANA VITALI</v>
      </c>
      <c r="B2573" s="11"/>
      <c r="C2573" s="11"/>
      <c r="D2573" s="11" t="str">
        <f>IFERROR(__xludf.DUMMYFUNCTION("""COMPUTED_VALUE"""),"MEDICINA DE FAMILIA E COMUNIDADE")</f>
        <v>MEDICINA DE FAMILIA E COMUNIDADE</v>
      </c>
      <c r="E2573" s="11"/>
      <c r="F2573" s="11" t="str">
        <f>IFERROR(__xludf.DUMMYFUNCTION("""COMPUTED_VALUE"""),"US_293 POLICLINICA DO PINA -  PROFESSORA NAIDE REGUEIRA TEODOSIO")</f>
        <v>US_293 POLICLINICA DO PINA -  PROFESSORA NAIDE REGUEIRA TEODOSIO</v>
      </c>
      <c r="G2573" s="11" t="str">
        <f>IFERROR(__xludf.DUMMYFUNCTION("""COMPUTED_VALUE"""),"US_293 POLICLINICA DO PINA -  PROFESSORA NAIDE REGUEIRA TEODOSIO")</f>
        <v>US_293 POLICLINICA DO PINA -  PROFESSORA NAIDE REGUEIRA TEODOSIO</v>
      </c>
      <c r="H2573" s="11"/>
      <c r="I2573" s="11"/>
      <c r="J2573" s="11"/>
      <c r="K2573" s="11"/>
      <c r="L2573" s="11"/>
      <c r="M2573" s="11"/>
      <c r="N2573" s="30" t="str">
        <f>IFERROR(__xludf.DUMMYFUNCTION("""COMPUTED_VALUE"""),"acvitali@uol.com.br")</f>
        <v>acvitali@uol.com.br</v>
      </c>
      <c r="O2573" s="11">
        <f>IFERROR(__xludf.DUMMYFUNCTION("""COMPUTED_VALUE"""),1755765800)</f>
        <v>1755765800</v>
      </c>
      <c r="P2573" s="11"/>
      <c r="Q2573" s="11"/>
      <c r="R2573" s="11"/>
      <c r="S2573" s="11"/>
      <c r="T2573" s="11"/>
      <c r="U2573" s="11"/>
      <c r="V2573" s="11"/>
      <c r="W2573" s="11"/>
      <c r="X2573" s="11"/>
      <c r="Y2573" s="11"/>
      <c r="Z2573" s="11"/>
    </row>
    <row r="2574" customHeight="1" spans="1:26">
      <c r="A2574" s="11" t="str">
        <f>IFERROR(__xludf.DUMMYFUNCTION("""COMPUTED_VALUE"""),"ANDREIA NONATO A ESCARIAO")</f>
        <v>ANDREIA NONATO A ESCARIAO</v>
      </c>
      <c r="B2574" s="11"/>
      <c r="C2574" s="11"/>
      <c r="D2574" s="11" t="str">
        <f>IFERROR(__xludf.DUMMYFUNCTION("""COMPUTED_VALUE"""),"DERMATOLOGIA")</f>
        <v>DERMATOLOGIA</v>
      </c>
      <c r="E2574" s="11"/>
      <c r="F2574" s="11" t="str">
        <f>IFERROR(__xludf.DUMMYFUNCTION("""COMPUTED_VALUE"""),"US_162 POLICLINICA ALBERT SABIN")</f>
        <v>US_162 POLICLINICA ALBERT SABIN</v>
      </c>
      <c r="G2574" s="11" t="str">
        <f>IFERROR(__xludf.DUMMYFUNCTION("""COMPUTED_VALUE"""),"US_162 POLICLINICA ALBERT SABIN")</f>
        <v>US_162 POLICLINICA ALBERT SABIN</v>
      </c>
      <c r="H2574" s="11"/>
      <c r="I2574" s="11"/>
      <c r="J2574" s="11"/>
      <c r="K2574" s="11"/>
      <c r="L2574" s="11"/>
      <c r="M2574" s="11"/>
      <c r="N2574" s="30" t="str">
        <f>IFERROR(__xludf.DUMMYFUNCTION("""COMPUTED_VALUE"""),"andreianca@hotmail.com")</f>
        <v>andreianca@hotmail.com</v>
      </c>
      <c r="O2574" s="11">
        <f>IFERROR(__xludf.DUMMYFUNCTION("""COMPUTED_VALUE"""),2379461490)</f>
        <v>2379461490</v>
      </c>
      <c r="P2574" s="11"/>
      <c r="Q2574" s="11"/>
      <c r="R2574" s="11"/>
      <c r="S2574" s="11"/>
      <c r="T2574" s="11"/>
      <c r="U2574" s="11"/>
      <c r="V2574" s="11"/>
      <c r="W2574" s="11"/>
      <c r="X2574" s="11"/>
      <c r="Y2574" s="11"/>
      <c r="Z2574" s="11"/>
    </row>
    <row r="2575" customHeight="1" spans="1:26">
      <c r="A2575" s="11" t="str">
        <f>IFERROR(__xludf.DUMMYFUNCTION("""COMPUTED_VALUE"""),"LUCIANA PAES DE BARROS")</f>
        <v>LUCIANA PAES DE BARROS</v>
      </c>
      <c r="B2575" s="11"/>
      <c r="C2575" s="11"/>
      <c r="D2575" s="11" t="str">
        <f>IFERROR(__xludf.DUMMYFUNCTION("""COMPUTED_VALUE"""),"PSIQUIATRIA")</f>
        <v>PSIQUIATRIA</v>
      </c>
      <c r="E2575" s="11"/>
      <c r="F2575" s="11" t="str">
        <f>IFERROR(__xludf.DUMMYFUNCTION("""COMPUTED_VALUE"""),"US_166 POLICLINICA CENTRO")</f>
        <v>US_166 POLICLINICA CENTRO</v>
      </c>
      <c r="G2575" s="11" t="str">
        <f>IFERROR(__xludf.DUMMYFUNCTION("""COMPUTED_VALUE"""),"US_166 POLICLINICA CENTRO")</f>
        <v>US_166 POLICLINICA CENTRO</v>
      </c>
      <c r="H2575" s="11"/>
      <c r="I2575" s="11"/>
      <c r="J2575" s="11"/>
      <c r="K2575" s="11"/>
      <c r="L2575" s="11"/>
      <c r="M2575" s="11"/>
      <c r="N2575" s="30" t="str">
        <f>IFERROR(__xludf.DUMMYFUNCTION("""COMPUTED_VALUE"""),"lucianapdebarros@gmail.com                             ")</f>
        <v>lucianapdebarros@gmail.com                             </v>
      </c>
      <c r="O2575" s="11">
        <f>IFERROR(__xludf.DUMMYFUNCTION("""COMPUTED_VALUE"""),76387887704)</f>
        <v>76387887704</v>
      </c>
      <c r="P2575" s="11"/>
      <c r="Q2575" s="11"/>
      <c r="R2575" s="11"/>
      <c r="S2575" s="11"/>
      <c r="T2575" s="11"/>
      <c r="U2575" s="11"/>
      <c r="V2575" s="11"/>
      <c r="W2575" s="11"/>
      <c r="X2575" s="11"/>
      <c r="Y2575" s="11"/>
      <c r="Z2575" s="11"/>
    </row>
    <row r="2576" customHeight="1" spans="1:26">
      <c r="A2576" s="11" t="str">
        <f>IFERROR(__xludf.DUMMYFUNCTION("""COMPUTED_VALUE"""),"CARLOS EDUARDO G DA CUNHA")</f>
        <v>CARLOS EDUARDO G DA CUNHA</v>
      </c>
      <c r="B2576" s="11"/>
      <c r="C2576" s="11"/>
      <c r="D2576" s="11" t="str">
        <f>IFERROR(__xludf.DUMMYFUNCTION("""COMPUTED_VALUE"""),"ANGIOLOGIA")</f>
        <v>ANGIOLOGIA</v>
      </c>
      <c r="E2576" s="11"/>
      <c r="F2576" s="11" t="str">
        <f>IFERROR(__xludf.DUMMYFUNCTION("""COMPUTED_VALUE"""),"US_128 POLICLINICA LESSA DE ANDRADE")</f>
        <v>US_128 POLICLINICA LESSA DE ANDRADE</v>
      </c>
      <c r="G2576" s="11" t="str">
        <f>IFERROR(__xludf.DUMMYFUNCTION("""COMPUTED_VALUE"""),"US_128 POLICLINICA LESSA DE ANDRADE")</f>
        <v>US_128 POLICLINICA LESSA DE ANDRADE</v>
      </c>
      <c r="H2576" s="11"/>
      <c r="I2576" s="11"/>
      <c r="J2576" s="11"/>
      <c r="K2576" s="11"/>
      <c r="L2576" s="11"/>
      <c r="M2576" s="11"/>
      <c r="N2576" s="30" t="str">
        <f>IFERROR(__xludf.DUMMYFUNCTION("""COMPUTED_VALUE"""),"casecunha@gmail.com")</f>
        <v>casecunha@gmail.com</v>
      </c>
      <c r="O2576" s="11">
        <f>IFERROR(__xludf.DUMMYFUNCTION("""COMPUTED_VALUE"""),76704394400)</f>
        <v>76704394400</v>
      </c>
      <c r="P2576" s="11"/>
      <c r="Q2576" s="11"/>
      <c r="R2576" s="11"/>
      <c r="S2576" s="11"/>
      <c r="T2576" s="11"/>
      <c r="U2576" s="11"/>
      <c r="V2576" s="11"/>
      <c r="W2576" s="11"/>
      <c r="X2576" s="11"/>
      <c r="Y2576" s="11"/>
      <c r="Z2576" s="11"/>
    </row>
    <row r="2577" customHeight="1" spans="1:26">
      <c r="A2577" s="11" t="str">
        <f>IFERROR(__xludf.DUMMYFUNCTION("""COMPUTED_VALUE"""),"ELZA SANDRELLY MOREIRA COSTA")</f>
        <v>ELZA SANDRELLY MOREIRA COSTA</v>
      </c>
      <c r="B2577" s="11"/>
      <c r="C2577" s="11"/>
      <c r="D2577" s="11" t="str">
        <f>IFERROR(__xludf.DUMMYFUNCTION("""COMPUTED_VALUE"""),"CARDIOLOGIA PEDIATRICA")</f>
        <v>CARDIOLOGIA PEDIATRICA</v>
      </c>
      <c r="E2577" s="11"/>
      <c r="F2577" s="11" t="str">
        <f>IFERROR(__xludf.DUMMYFUNCTION("""COMPUTED_VALUE"""),"US_128 POLICLINICA LESSA DE ANDRADE")</f>
        <v>US_128 POLICLINICA LESSA DE ANDRADE</v>
      </c>
      <c r="G2577" s="11" t="str">
        <f>IFERROR(__xludf.DUMMYFUNCTION("""COMPUTED_VALUE"""),"US_128 POLICLINICA LESSA DE ANDRADE")</f>
        <v>US_128 POLICLINICA LESSA DE ANDRADE</v>
      </c>
      <c r="H2577" s="11"/>
      <c r="I2577" s="11"/>
      <c r="J2577" s="11"/>
      <c r="K2577" s="11"/>
      <c r="L2577" s="11"/>
      <c r="M2577" s="11"/>
      <c r="N2577" s="30" t="str">
        <f>IFERROR(__xludf.DUMMYFUNCTION("""COMPUTED_VALUE"""),"elzasandrelly@yahoo.com.br                             ")</f>
        <v>elzasandrelly@yahoo.com.br                             </v>
      </c>
      <c r="O2577" s="11">
        <f>IFERROR(__xludf.DUMMYFUNCTION("""COMPUTED_VALUE"""),74217208472)</f>
        <v>74217208472</v>
      </c>
      <c r="P2577" s="11"/>
      <c r="Q2577" s="11"/>
      <c r="R2577" s="11"/>
      <c r="S2577" s="11"/>
      <c r="T2577" s="11"/>
      <c r="U2577" s="11"/>
      <c r="V2577" s="11"/>
      <c r="W2577" s="11"/>
      <c r="X2577" s="11"/>
      <c r="Y2577" s="11"/>
      <c r="Z2577" s="11"/>
    </row>
    <row r="2578" customHeight="1" spans="1:26">
      <c r="A2578" s="11" t="str">
        <f>IFERROR(__xludf.DUMMYFUNCTION("""COMPUTED_VALUE"""),"RENATA CAVALCANTI CAUAS")</f>
        <v>RENATA CAVALCANTI CAUAS</v>
      </c>
      <c r="B2578" s="11"/>
      <c r="C2578" s="11"/>
      <c r="D2578" s="11" t="str">
        <f>IFERROR(__xludf.DUMMYFUNCTION("""COMPUTED_VALUE"""),"DERMATOLOGIA")</f>
        <v>DERMATOLOGIA</v>
      </c>
      <c r="E2578" s="11"/>
      <c r="F2578" s="11" t="str">
        <f>IFERROR(__xludf.DUMMYFUNCTION("""COMPUTED_VALUE"""),"US_162 POLICLINICA ALBERT SABIN")</f>
        <v>US_162 POLICLINICA ALBERT SABIN</v>
      </c>
      <c r="G2578" s="11" t="str">
        <f>IFERROR(__xludf.DUMMYFUNCTION("""COMPUTED_VALUE"""),"US_162 POLICLINICA ALBERT SABIN")</f>
        <v>US_162 POLICLINICA ALBERT SABIN</v>
      </c>
      <c r="H2578" s="11"/>
      <c r="I2578" s="11"/>
      <c r="J2578" s="11"/>
      <c r="K2578" s="11"/>
      <c r="L2578" s="11"/>
      <c r="M2578" s="11"/>
      <c r="N2578" s="30" t="str">
        <f>IFERROR(__xludf.DUMMYFUNCTION("""COMPUTED_VALUE"""),"renatacauas@yahoo.com.br")</f>
        <v>renatacauas@yahoo.com.br</v>
      </c>
      <c r="O2578" s="11">
        <f>IFERROR(__xludf.DUMMYFUNCTION("""COMPUTED_VALUE"""),799125407)</f>
        <v>799125407</v>
      </c>
      <c r="P2578" s="11"/>
      <c r="Q2578" s="11"/>
      <c r="R2578" s="11"/>
      <c r="S2578" s="11"/>
      <c r="T2578" s="11"/>
      <c r="U2578" s="11"/>
      <c r="V2578" s="11"/>
      <c r="W2578" s="11"/>
      <c r="X2578" s="11"/>
      <c r="Y2578" s="11"/>
      <c r="Z2578" s="11"/>
    </row>
    <row r="2579" customHeight="1" spans="1:26">
      <c r="A2579" s="11" t="str">
        <f>IFERROR(__xludf.DUMMYFUNCTION("""COMPUTED_VALUE"""),"THURAN CEDRIC CESAR DA SILVA")</f>
        <v>THURAN CEDRIC CESAR DA SILVA</v>
      </c>
      <c r="B2579" s="11"/>
      <c r="C2579" s="11"/>
      <c r="D2579" s="11" t="str">
        <f>IFERROR(__xludf.DUMMYFUNCTION("""COMPUTED_VALUE"""),"GERIATRIA")</f>
        <v>GERIATRIA</v>
      </c>
      <c r="E2579" s="11"/>
      <c r="F2579" s="11" t="str">
        <f>IFERROR(__xludf.DUMMYFUNCTION("""COMPUTED_VALUE"""),"US_101 POLICLINICA PROF WALDEMAR DE OLIVEIRA")</f>
        <v>US_101 POLICLINICA PROF WALDEMAR DE OLIVEIRA</v>
      </c>
      <c r="G2579" s="11" t="str">
        <f>IFERROR(__xludf.DUMMYFUNCTION("""COMPUTED_VALUE"""),"US_101 POLICLINICA PROF WALDEMAR DE OLIVEIRA")</f>
        <v>US_101 POLICLINICA PROF WALDEMAR DE OLIVEIRA</v>
      </c>
      <c r="H2579" s="11"/>
      <c r="I2579" s="11"/>
      <c r="J2579" s="11"/>
      <c r="K2579" s="11"/>
      <c r="L2579" s="11"/>
      <c r="M2579" s="11"/>
      <c r="N2579" s="30" t="str">
        <f>IFERROR(__xludf.DUMMYFUNCTION("""COMPUTED_VALUE"""),"thuran.cedric@bol.com.br")</f>
        <v>thuran.cedric@bol.com.br</v>
      </c>
      <c r="O2579" s="11">
        <f>IFERROR(__xludf.DUMMYFUNCTION("""COMPUTED_VALUE"""),17354897434)</f>
        <v>17354897434</v>
      </c>
      <c r="P2579" s="11"/>
      <c r="Q2579" s="11"/>
      <c r="R2579" s="11"/>
      <c r="S2579" s="11"/>
      <c r="T2579" s="11"/>
      <c r="U2579" s="11"/>
      <c r="V2579" s="11"/>
      <c r="W2579" s="11"/>
      <c r="X2579" s="11"/>
      <c r="Y2579" s="11"/>
      <c r="Z2579" s="11"/>
    </row>
    <row r="2580" customHeight="1" spans="1:26">
      <c r="A2580" s="11" t="str">
        <f>IFERROR(__xludf.DUMMYFUNCTION("""COMPUTED_VALUE"""),"CINTYA CARLA PEREIRA MARTINS")</f>
        <v>CINTYA CARLA PEREIRA MARTINS</v>
      </c>
      <c r="B2580" s="11"/>
      <c r="C2580" s="11"/>
      <c r="D2580" s="11" t="str">
        <f>IFERROR(__xludf.DUMMYFUNCTION("""COMPUTED_VALUE"""),"PSIQUIATRIA")</f>
        <v>PSIQUIATRIA</v>
      </c>
      <c r="E2580" s="11"/>
      <c r="F2580" s="11" t="str">
        <f>IFERROR(__xludf.DUMMYFUNCTION("""COMPUTED_VALUE"""),"US_162 POLICLINICA ALBERT SABIN")</f>
        <v>US_162 POLICLINICA ALBERT SABIN</v>
      </c>
      <c r="G2580" s="11" t="str">
        <f>IFERROR(__xludf.DUMMYFUNCTION("""COMPUTED_VALUE"""),"US_162 POLICLINICA ALBERT SABIN")</f>
        <v>US_162 POLICLINICA ALBERT SABIN</v>
      </c>
      <c r="H2580" s="11"/>
      <c r="I2580" s="11"/>
      <c r="J2580" s="11"/>
      <c r="K2580" s="11"/>
      <c r="L2580" s="11"/>
      <c r="M2580" s="11"/>
      <c r="N2580" s="30" t="str">
        <f>IFERROR(__xludf.DUMMYFUNCTION("""COMPUTED_VALUE"""),"CINTYAPMARTINS@GMAIL.COM")</f>
        <v>CINTYAPMARTINS@GMAIL.COM</v>
      </c>
      <c r="O2580" s="11">
        <f>IFERROR(__xludf.DUMMYFUNCTION("""COMPUTED_VALUE"""),4357677475)</f>
        <v>4357677475</v>
      </c>
      <c r="P2580" s="11"/>
      <c r="Q2580" s="11"/>
      <c r="R2580" s="11"/>
      <c r="S2580" s="11"/>
      <c r="T2580" s="11"/>
      <c r="U2580" s="11"/>
      <c r="V2580" s="11"/>
      <c r="W2580" s="11"/>
      <c r="X2580" s="11"/>
      <c r="Y2580" s="11"/>
      <c r="Z2580" s="11"/>
    </row>
    <row r="2581" customHeight="1" spans="1:26">
      <c r="A2581" s="11" t="str">
        <f>IFERROR(__xludf.DUMMYFUNCTION("""COMPUTED_VALUE"""),"HORTON JOSE COURA PINTO FILHO")</f>
        <v>HORTON JOSE COURA PINTO FILHO</v>
      </c>
      <c r="B2581" s="11"/>
      <c r="C2581" s="11"/>
      <c r="D2581" s="11" t="str">
        <f>IFERROR(__xludf.DUMMYFUNCTION("""COMPUTED_VALUE"""),"PSIQUIATRIA")</f>
        <v>PSIQUIATRIA</v>
      </c>
      <c r="E2581" s="11"/>
      <c r="F2581" s="11" t="str">
        <f>IFERROR(__xludf.DUMMYFUNCTION("""COMPUTED_VALUE"""),"US_162 POLICLINICA ALBERT SABIN")</f>
        <v>US_162 POLICLINICA ALBERT SABIN</v>
      </c>
      <c r="G2581" s="11" t="str">
        <f>IFERROR(__xludf.DUMMYFUNCTION("""COMPUTED_VALUE"""),"US_162 POLICLINICA ALBERT SABIN")</f>
        <v>US_162 POLICLINICA ALBERT SABIN</v>
      </c>
      <c r="H2581" s="11"/>
      <c r="I2581" s="11"/>
      <c r="J2581" s="11"/>
      <c r="K2581" s="11"/>
      <c r="L2581" s="11"/>
      <c r="M2581" s="11"/>
      <c r="N2581" s="30" t="str">
        <f>IFERROR(__xludf.DUMMYFUNCTION("""COMPUTED_VALUE"""),"horton.filho@uol.com.br")</f>
        <v>horton.filho@uol.com.br</v>
      </c>
      <c r="O2581" s="11">
        <f>IFERROR(__xludf.DUMMYFUNCTION("""COMPUTED_VALUE"""),34545654487)</f>
        <v>34545654487</v>
      </c>
      <c r="P2581" s="11"/>
      <c r="Q2581" s="11"/>
      <c r="R2581" s="11"/>
      <c r="S2581" s="11"/>
      <c r="T2581" s="11"/>
      <c r="U2581" s="11"/>
      <c r="V2581" s="11"/>
      <c r="W2581" s="11"/>
      <c r="X2581" s="11"/>
      <c r="Y2581" s="11"/>
      <c r="Z2581" s="11"/>
    </row>
    <row r="2582" customHeight="1" spans="1:26">
      <c r="A2582" s="11" t="str">
        <f>IFERROR(__xludf.DUMMYFUNCTION("""COMPUTED_VALUE"""),"JOSE SERGIO TOMAZ DE SOUZA")</f>
        <v>JOSE SERGIO TOMAZ DE SOUZA</v>
      </c>
      <c r="B2582" s="11"/>
      <c r="C2582" s="11"/>
      <c r="D2582" s="11" t="str">
        <f>IFERROR(__xludf.DUMMYFUNCTION("""COMPUTED_VALUE"""),"NEUROLOGIA")</f>
        <v>NEUROLOGIA</v>
      </c>
      <c r="E2582" s="11"/>
      <c r="F2582" s="11" t="str">
        <f>IFERROR(__xludf.DUMMYFUNCTION("""COMPUTED_VALUE"""),"US_376 POLICLINICA SALOMAO KELNER")</f>
        <v>US_376 POLICLINICA SALOMAO KELNER</v>
      </c>
      <c r="G2582" s="11" t="str">
        <f>IFERROR(__xludf.DUMMYFUNCTION("""COMPUTED_VALUE"""),"US_376 POLICLINICA SALOMAO KELNER")</f>
        <v>US_376 POLICLINICA SALOMAO KELNER</v>
      </c>
      <c r="H2582" s="11"/>
      <c r="I2582" s="11"/>
      <c r="J2582" s="11"/>
      <c r="K2582" s="11"/>
      <c r="L2582" s="11"/>
      <c r="M2582" s="11"/>
      <c r="N2582" s="30" t="str">
        <f>IFERROR(__xludf.DUMMYFUNCTION("""COMPUTED_VALUE"""),"SERGIOORAMA9@GMAIL.COM")</f>
        <v>SERGIOORAMA9@GMAIL.COM</v>
      </c>
      <c r="O2582" s="11">
        <f>IFERROR(__xludf.DUMMYFUNCTION("""COMPUTED_VALUE"""),23093897491)</f>
        <v>23093897491</v>
      </c>
      <c r="P2582" s="11"/>
      <c r="Q2582" s="11"/>
      <c r="R2582" s="11"/>
      <c r="S2582" s="11"/>
      <c r="T2582" s="11"/>
      <c r="U2582" s="11"/>
      <c r="V2582" s="11"/>
      <c r="W2582" s="11"/>
      <c r="X2582" s="11"/>
      <c r="Y2582" s="11"/>
      <c r="Z2582" s="11"/>
    </row>
    <row r="2583" customHeight="1" spans="1:26">
      <c r="A2583" s="11" t="str">
        <f>IFERROR(__xludf.DUMMYFUNCTION("""COMPUTED_VALUE"""),"PAULA ARAGAO P DE OLIVEIRA")</f>
        <v>PAULA ARAGAO P DE OLIVEIRA</v>
      </c>
      <c r="B2583" s="11"/>
      <c r="C2583" s="11"/>
      <c r="D2583" s="11" t="str">
        <f>IFERROR(__xludf.DUMMYFUNCTION("""COMPUTED_VALUE"""),"CLINICA GERAL")</f>
        <v>CLINICA GERAL</v>
      </c>
      <c r="E2583" s="11"/>
      <c r="F2583" s="11" t="str">
        <f>IFERROR(__xludf.DUMMYFUNCTION("""COMPUTED_VALUE"""),"US_128 POLICLINICA LESSA DE ANDRADE")</f>
        <v>US_128 POLICLINICA LESSA DE ANDRADE</v>
      </c>
      <c r="G2583" s="11" t="str">
        <f>IFERROR(__xludf.DUMMYFUNCTION("""COMPUTED_VALUE"""),"US_128 POLICLINICA LESSA DE ANDRADE")</f>
        <v>US_128 POLICLINICA LESSA DE ANDRADE</v>
      </c>
      <c r="H2583" s="11"/>
      <c r="I2583" s="11"/>
      <c r="J2583" s="11"/>
      <c r="K2583" s="11"/>
      <c r="L2583" s="11"/>
      <c r="M2583" s="11"/>
      <c r="N2583" s="30" t="str">
        <f>IFERROR(__xludf.DUMMYFUNCTION("""COMPUTED_VALUE"""),"pauladearagao@gmail.com")</f>
        <v>pauladearagao@gmail.com</v>
      </c>
      <c r="O2583" s="11">
        <f>IFERROR(__xludf.DUMMYFUNCTION("""COMPUTED_VALUE"""),4132123430)</f>
        <v>4132123430</v>
      </c>
      <c r="P2583" s="11"/>
      <c r="Q2583" s="11"/>
      <c r="R2583" s="11"/>
      <c r="S2583" s="11"/>
      <c r="T2583" s="11"/>
      <c r="U2583" s="11"/>
      <c r="V2583" s="11"/>
      <c r="W2583" s="11"/>
      <c r="X2583" s="11"/>
      <c r="Y2583" s="11"/>
      <c r="Z2583" s="11"/>
    </row>
    <row r="2584" customHeight="1" spans="1:26">
      <c r="A2584" s="11" t="str">
        <f>IFERROR(__xludf.DUMMYFUNCTION("""COMPUTED_VALUE"""),"TATIANA TABATCHNIK TRIGUEIRO")</f>
        <v>TATIANA TABATCHNIK TRIGUEIRO</v>
      </c>
      <c r="B2584" s="11"/>
      <c r="C2584" s="11"/>
      <c r="D2584" s="11" t="str">
        <f>IFERROR(__xludf.DUMMYFUNCTION("""COMPUTED_VALUE"""),"HEPATOLOGIA")</f>
        <v>HEPATOLOGIA</v>
      </c>
      <c r="E2584" s="11"/>
      <c r="F2584" s="11" t="str">
        <f>IFERROR(__xludf.DUMMYFUNCTION("""COMPUTED_VALUE"""),"US_160 POLICLINICA GOUVEIA DE BARROS")</f>
        <v>US_160 POLICLINICA GOUVEIA DE BARROS</v>
      </c>
      <c r="G2584" s="11" t="str">
        <f>IFERROR(__xludf.DUMMYFUNCTION("""COMPUTED_VALUE"""),"US_160 POLICLINICA GOUVEIA DE BARROS")</f>
        <v>US_160 POLICLINICA GOUVEIA DE BARROS</v>
      </c>
      <c r="H2584" s="11"/>
      <c r="I2584" s="11"/>
      <c r="J2584" s="11"/>
      <c r="K2584" s="11"/>
      <c r="L2584" s="11"/>
      <c r="M2584" s="11"/>
      <c r="N2584" s="30" t="str">
        <f>IFERROR(__xludf.DUMMYFUNCTION("""COMPUTED_VALUE"""),"TTABATCHNIK@UOL.COM.BR")</f>
        <v>TTABATCHNIK@UOL.COM.BR</v>
      </c>
      <c r="O2584" s="11">
        <f>IFERROR(__xludf.DUMMYFUNCTION("""COMPUTED_VALUE"""),2225569436)</f>
        <v>2225569436</v>
      </c>
      <c r="P2584" s="11"/>
      <c r="Q2584" s="11"/>
      <c r="R2584" s="11"/>
      <c r="S2584" s="11"/>
      <c r="T2584" s="11"/>
      <c r="U2584" s="11"/>
      <c r="V2584" s="11"/>
      <c r="W2584" s="11"/>
      <c r="X2584" s="11"/>
      <c r="Y2584" s="11"/>
      <c r="Z2584" s="11"/>
    </row>
    <row r="2585" customHeight="1" spans="1:26">
      <c r="A2585" s="11" t="str">
        <f>IFERROR(__xludf.DUMMYFUNCTION("""COMPUTED_VALUE"""),"KALIANA VIRGINIA B DA SILVA")</f>
        <v>KALIANA VIRGINIA B DA SILVA</v>
      </c>
      <c r="B2585" s="11"/>
      <c r="C2585" s="11"/>
      <c r="D2585" s="11" t="str">
        <f>IFERROR(__xludf.DUMMYFUNCTION("""COMPUTED_VALUE"""),"INFECTOLOGIA")</f>
        <v>INFECTOLOGIA</v>
      </c>
      <c r="E2585" s="11"/>
      <c r="F2585" s="11" t="str">
        <f>IFERROR(__xludf.DUMMYFUNCTION("""COMPUTED_VALUE"""),"US_160 POLICLINICA GOUVEIA DE BARROS")</f>
        <v>US_160 POLICLINICA GOUVEIA DE BARROS</v>
      </c>
      <c r="G2585" s="11" t="str">
        <f>IFERROR(__xludf.DUMMYFUNCTION("""COMPUTED_VALUE"""),"US_160 POLICLINICA GOUVEIA DE BARROS")</f>
        <v>US_160 POLICLINICA GOUVEIA DE BARROS</v>
      </c>
      <c r="H2585" s="11"/>
      <c r="I2585" s="11"/>
      <c r="J2585" s="11"/>
      <c r="K2585" s="11"/>
      <c r="L2585" s="11"/>
      <c r="M2585" s="11"/>
      <c r="N2585" s="30" t="str">
        <f>IFERROR(__xludf.DUMMYFUNCTION("""COMPUTED_VALUE"""),"KALIBASI2@GMAIL.COM")</f>
        <v>KALIBASI2@GMAIL.COM</v>
      </c>
      <c r="O2585" s="11">
        <f>IFERROR(__xludf.DUMMYFUNCTION("""COMPUTED_VALUE"""),84484306468)</f>
        <v>84484306468</v>
      </c>
      <c r="P2585" s="11"/>
      <c r="Q2585" s="11"/>
      <c r="R2585" s="11"/>
      <c r="S2585" s="11"/>
      <c r="T2585" s="11"/>
      <c r="U2585" s="11"/>
      <c r="V2585" s="11"/>
      <c r="W2585" s="11"/>
      <c r="X2585" s="11"/>
      <c r="Y2585" s="11"/>
      <c r="Z2585" s="11"/>
    </row>
    <row r="2586" customHeight="1" spans="1:26">
      <c r="A2586" s="11" t="str">
        <f>IFERROR(__xludf.DUMMYFUNCTION("""COMPUTED_VALUE"""),"CARLA MARIA DE O CAVALCANTI")</f>
        <v>CARLA MARIA DE O CAVALCANTI</v>
      </c>
      <c r="B2586" s="11"/>
      <c r="C2586" s="11"/>
      <c r="D2586" s="11" t="str">
        <f>IFERROR(__xludf.DUMMYFUNCTION("""COMPUTED_VALUE"""),"PSIQUIATRIA")</f>
        <v>PSIQUIATRIA</v>
      </c>
      <c r="E2586" s="11"/>
      <c r="F2586" s="11" t="str">
        <f>IFERROR(__xludf.DUMMYFUNCTION("""COMPUTED_VALUE"""),"US_162 POLICLINICA ALBERT SABIN")</f>
        <v>US_162 POLICLINICA ALBERT SABIN</v>
      </c>
      <c r="G2586" s="11" t="str">
        <f>IFERROR(__xludf.DUMMYFUNCTION("""COMPUTED_VALUE"""),"US_162 POLICLINICA ALBERT SABIN")</f>
        <v>US_162 POLICLINICA ALBERT SABIN</v>
      </c>
      <c r="H2586" s="11"/>
      <c r="I2586" s="11"/>
      <c r="J2586" s="11"/>
      <c r="K2586" s="11"/>
      <c r="L2586" s="11"/>
      <c r="M2586" s="11"/>
      <c r="N2586" s="30" t="str">
        <f>IFERROR(__xludf.DUMMYFUNCTION("""COMPUTED_VALUE"""),"carlacavalcanti_@uol.com.br")</f>
        <v>carlacavalcanti_@uol.com.br</v>
      </c>
      <c r="O2586" s="11">
        <f>IFERROR(__xludf.DUMMYFUNCTION("""COMPUTED_VALUE"""),83424482404)</f>
        <v>83424482404</v>
      </c>
      <c r="P2586" s="11"/>
      <c r="Q2586" s="11"/>
      <c r="R2586" s="11"/>
      <c r="S2586" s="11"/>
      <c r="T2586" s="11"/>
      <c r="U2586" s="11"/>
      <c r="V2586" s="11"/>
      <c r="W2586" s="11"/>
      <c r="X2586" s="11"/>
      <c r="Y2586" s="11"/>
      <c r="Z2586" s="11"/>
    </row>
    <row r="2587" customHeight="1" spans="1:26">
      <c r="A2587" s="11" t="str">
        <f>IFERROR(__xludf.DUMMYFUNCTION("""COMPUTED_VALUE"""),"ANDREZZA DE VASCONCELOS")</f>
        <v>ANDREZZA DE VASCONCELOS</v>
      </c>
      <c r="B2587" s="11"/>
      <c r="C2587" s="11"/>
      <c r="D2587" s="11" t="str">
        <f>IFERROR(__xludf.DUMMYFUNCTION("""COMPUTED_VALUE"""),"INFECTOLOGIA")</f>
        <v>INFECTOLOGIA</v>
      </c>
      <c r="E2587" s="11"/>
      <c r="F2587" s="11" t="str">
        <f>IFERROR(__xludf.DUMMYFUNCTION("""COMPUTED_VALUE"""),"US_128 POLICLINICA LESSA DE ANDRADE")</f>
        <v>US_128 POLICLINICA LESSA DE ANDRADE</v>
      </c>
      <c r="G2587" s="11" t="str">
        <f>IFERROR(__xludf.DUMMYFUNCTION("""COMPUTED_VALUE"""),"US_128 POLICLINICA LESSA DE ANDRADE")</f>
        <v>US_128 POLICLINICA LESSA DE ANDRADE</v>
      </c>
      <c r="H2587" s="11"/>
      <c r="I2587" s="11"/>
      <c r="J2587" s="11"/>
      <c r="K2587" s="11"/>
      <c r="L2587" s="11"/>
      <c r="M2587" s="11"/>
      <c r="N2587" s="30" t="str">
        <f>IFERROR(__xludf.DUMMYFUNCTION("""COMPUTED_VALUE"""),"andrezzav2@yahoo.com.br")</f>
        <v>andrezzav2@yahoo.com.br</v>
      </c>
      <c r="O2587" s="11">
        <f>IFERROR(__xludf.DUMMYFUNCTION("""COMPUTED_VALUE"""),2709433400)</f>
        <v>2709433400</v>
      </c>
      <c r="P2587" s="11"/>
      <c r="Q2587" s="11"/>
      <c r="R2587" s="11"/>
      <c r="S2587" s="11"/>
      <c r="T2587" s="11"/>
      <c r="U2587" s="11"/>
      <c r="V2587" s="11"/>
      <c r="W2587" s="11"/>
      <c r="X2587" s="11"/>
      <c r="Y2587" s="11"/>
      <c r="Z2587" s="11"/>
    </row>
    <row r="2588" customHeight="1" spans="1:26">
      <c r="A2588" s="11" t="str">
        <f>IFERROR(__xludf.DUMMYFUNCTION("""COMPUTED_VALUE"""),"AMARO C DOS SANTOS JUNIOR")</f>
        <v>AMARO C DOS SANTOS JUNIOR</v>
      </c>
      <c r="B2588" s="11"/>
      <c r="C2588" s="11"/>
      <c r="D2588" s="11" t="str">
        <f>IFERROR(__xludf.DUMMYFUNCTION("""COMPUTED_VALUE"""),"PNEUMOLOGIA")</f>
        <v>PNEUMOLOGIA</v>
      </c>
      <c r="E2588" s="11"/>
      <c r="F2588" s="11" t="str">
        <f>IFERROR(__xludf.DUMMYFUNCTION("""COMPUTED_VALUE"""),"US_128 POLICLINICA LESSA DE ANDRADE")</f>
        <v>US_128 POLICLINICA LESSA DE ANDRADE</v>
      </c>
      <c r="G2588" s="11" t="str">
        <f>IFERROR(__xludf.DUMMYFUNCTION("""COMPUTED_VALUE"""),"US_128 POLICLINICA LESSA DE ANDRADE")</f>
        <v>US_128 POLICLINICA LESSA DE ANDRADE</v>
      </c>
      <c r="H2588" s="11"/>
      <c r="I2588" s="11"/>
      <c r="J2588" s="11"/>
      <c r="K2588" s="11"/>
      <c r="L2588" s="11"/>
      <c r="M2588" s="11"/>
      <c r="N2588" s="30" t="str">
        <f>IFERROR(__xludf.DUMMYFUNCTION("""COMPUTED_VALUE"""),"a.capistranoj@hotmail.com")</f>
        <v>a.capistranoj@hotmail.com</v>
      </c>
      <c r="O2588" s="11">
        <f>IFERROR(__xludf.DUMMYFUNCTION("""COMPUTED_VALUE"""),76964256415)</f>
        <v>76964256415</v>
      </c>
      <c r="P2588" s="11"/>
      <c r="Q2588" s="11"/>
      <c r="R2588" s="11"/>
      <c r="S2588" s="11"/>
      <c r="T2588" s="11"/>
      <c r="U2588" s="11"/>
      <c r="V2588" s="11"/>
      <c r="W2588" s="11"/>
      <c r="X2588" s="11"/>
      <c r="Y2588" s="11"/>
      <c r="Z2588" s="11"/>
    </row>
    <row r="2589" customHeight="1" spans="1:26">
      <c r="A2589" s="11" t="str">
        <f>IFERROR(__xludf.DUMMYFUNCTION("""COMPUTED_VALUE"""),"LUCIA HELENA SOARES CASE")</f>
        <v>LUCIA HELENA SOARES CASE</v>
      </c>
      <c r="B2589" s="11"/>
      <c r="C2589" s="11"/>
      <c r="D2589" s="11" t="str">
        <f>IFERROR(__xludf.DUMMYFUNCTION("""COMPUTED_VALUE"""),"PEDIATRIA")</f>
        <v>PEDIATRIA</v>
      </c>
      <c r="E2589" s="11"/>
      <c r="F2589" s="11" t="str">
        <f>IFERROR(__xludf.DUMMYFUNCTION("""COMPUTED_VALUE"""),"US_128 POLICLINICA LESSA DE ANDRADE")</f>
        <v>US_128 POLICLINICA LESSA DE ANDRADE</v>
      </c>
      <c r="G2589" s="11" t="str">
        <f>IFERROR(__xludf.DUMMYFUNCTION("""COMPUTED_VALUE"""),"US_128 POLICLINICA LESSA DE ANDRADE")</f>
        <v>US_128 POLICLINICA LESSA DE ANDRADE</v>
      </c>
      <c r="H2589" s="11"/>
      <c r="I2589" s="11"/>
      <c r="J2589" s="11"/>
      <c r="K2589" s="11"/>
      <c r="L2589" s="11"/>
      <c r="M2589" s="11"/>
      <c r="N2589" s="30" t="str">
        <f>IFERROR(__xludf.DUMMYFUNCTION("""COMPUTED_VALUE"""),"caselucia@hotmail.com")</f>
        <v>caselucia@hotmail.com</v>
      </c>
      <c r="O2589" s="11">
        <f>IFERROR(__xludf.DUMMYFUNCTION("""COMPUTED_VALUE"""),45159050400)</f>
        <v>45159050400</v>
      </c>
      <c r="P2589" s="11"/>
      <c r="Q2589" s="11"/>
      <c r="R2589" s="11"/>
      <c r="S2589" s="11"/>
      <c r="T2589" s="11"/>
      <c r="U2589" s="11"/>
      <c r="V2589" s="11"/>
      <c r="W2589" s="11"/>
      <c r="X2589" s="11"/>
      <c r="Y2589" s="11"/>
      <c r="Z2589" s="11"/>
    </row>
    <row r="2590" customHeight="1" spans="1:26">
      <c r="A2590" s="11" t="str">
        <f>IFERROR(__xludf.DUMMYFUNCTION("""COMPUTED_VALUE"""),"LIVIA ALVES DE MEDEIROS")</f>
        <v>LIVIA ALVES DE MEDEIROS</v>
      </c>
      <c r="B2590" s="11"/>
      <c r="C2590" s="11"/>
      <c r="D2590" s="11" t="str">
        <f>IFERROR(__xludf.DUMMYFUNCTION("""COMPUTED_VALUE"""),"INFECTOLOGIA")</f>
        <v>INFECTOLOGIA</v>
      </c>
      <c r="E2590" s="11"/>
      <c r="F2590" s="11" t="str">
        <f>IFERROR(__xludf.DUMMYFUNCTION("""COMPUTED_VALUE"""),"US_128 POLICLINICA LESSA DE ANDRADE")</f>
        <v>US_128 POLICLINICA LESSA DE ANDRADE</v>
      </c>
      <c r="G2590" s="11" t="str">
        <f>IFERROR(__xludf.DUMMYFUNCTION("""COMPUTED_VALUE"""),"US_128 POLICLINICA LESSA DE ANDRADE")</f>
        <v>US_128 POLICLINICA LESSA DE ANDRADE</v>
      </c>
      <c r="H2590" s="11"/>
      <c r="I2590" s="11"/>
      <c r="J2590" s="11"/>
      <c r="K2590" s="11"/>
      <c r="L2590" s="11"/>
      <c r="M2590" s="11"/>
      <c r="N2590" s="30" t="str">
        <f>IFERROR(__xludf.DUMMYFUNCTION("""COMPUTED_VALUE"""),"LIVIAMEDEIROS@HOTMAIL.COM")</f>
        <v>LIVIAMEDEIROS@HOTMAIL.COM</v>
      </c>
      <c r="O2590" s="11">
        <f>IFERROR(__xludf.DUMMYFUNCTION("""COMPUTED_VALUE"""),1011925419)</f>
        <v>1011925419</v>
      </c>
      <c r="P2590" s="11"/>
      <c r="Q2590" s="11"/>
      <c r="R2590" s="11"/>
      <c r="S2590" s="11"/>
      <c r="T2590" s="11"/>
      <c r="U2590" s="11"/>
      <c r="V2590" s="11"/>
      <c r="W2590" s="11"/>
      <c r="X2590" s="11"/>
      <c r="Y2590" s="11"/>
      <c r="Z2590" s="11"/>
    </row>
    <row r="2591" customHeight="1" spans="1:26">
      <c r="A2591" s="11" t="str">
        <f>IFERROR(__xludf.DUMMYFUNCTION("""COMPUTED_VALUE"""),"MARIA CAROLINA P V RYGAARD")</f>
        <v>MARIA CAROLINA P V RYGAARD</v>
      </c>
      <c r="B2591" s="11"/>
      <c r="C2591" s="11"/>
      <c r="D2591" s="11" t="str">
        <f>IFERROR(__xludf.DUMMYFUNCTION("""COMPUTED_VALUE"""),"GINECOLOGIA / COLPOSCOPIA")</f>
        <v>GINECOLOGIA / COLPOSCOPIA</v>
      </c>
      <c r="E2591" s="11"/>
      <c r="F2591" s="11" t="str">
        <f>IFERROR(__xludf.DUMMYFUNCTION("""COMPUTED_VALUE"""),"US_293 POLICLINICA DO PINA -  PROFESSORA NAIDE REGUEIRA TEODOSIO")</f>
        <v>US_293 POLICLINICA DO PINA -  PROFESSORA NAIDE REGUEIRA TEODOSIO</v>
      </c>
      <c r="G2591" s="11" t="str">
        <f>IFERROR(__xludf.DUMMYFUNCTION("""COMPUTED_VALUE"""),"US_293 POLICLINICA DO PINA -  PROFESSORA NAIDE REGUEIRA TEODOSIO")</f>
        <v>US_293 POLICLINICA DO PINA -  PROFESSORA NAIDE REGUEIRA TEODOSIO</v>
      </c>
      <c r="H2591" s="11"/>
      <c r="I2591" s="11"/>
      <c r="J2591" s="11"/>
      <c r="K2591" s="11"/>
      <c r="L2591" s="11"/>
      <c r="M2591" s="11"/>
      <c r="N2591" s="30" t="str">
        <f>IFERROR(__xludf.DUMMYFUNCTION("""COMPUTED_VALUE"""),"carolvalenca@hotmail.com")</f>
        <v>carolvalenca@hotmail.com</v>
      </c>
      <c r="O2591" s="11">
        <f>IFERROR(__xludf.DUMMYFUNCTION("""COMPUTED_VALUE"""),86559630463)</f>
        <v>86559630463</v>
      </c>
      <c r="P2591" s="11"/>
      <c r="Q2591" s="11"/>
      <c r="R2591" s="11"/>
      <c r="S2591" s="11"/>
      <c r="T2591" s="11"/>
      <c r="U2591" s="11"/>
      <c r="V2591" s="11"/>
      <c r="W2591" s="11"/>
      <c r="X2591" s="11"/>
      <c r="Y2591" s="11"/>
      <c r="Z2591" s="11"/>
    </row>
    <row r="2592" customHeight="1" spans="1:26">
      <c r="A2592" s="11" t="str">
        <f>IFERROR(__xludf.DUMMYFUNCTION("""COMPUTED_VALUE"""),"JOANA FIORAVANTI D DA C SILVA")</f>
        <v>JOANA FIORAVANTI D DA C SILVA</v>
      </c>
      <c r="B2592" s="11"/>
      <c r="C2592" s="11"/>
      <c r="D2592" s="11" t="str">
        <f>IFERROR(__xludf.DUMMYFUNCTION("""COMPUTED_VALUE"""),"ENDOCRINOLOGIA E METABOLOGIA")</f>
        <v>ENDOCRINOLOGIA E METABOLOGIA</v>
      </c>
      <c r="E2592" s="11"/>
      <c r="F2592" s="11" t="str">
        <f>IFERROR(__xludf.DUMMYFUNCTION("""COMPUTED_VALUE"""),"US_128 POLICLINICA LESSA DE ANDRADE")</f>
        <v>US_128 POLICLINICA LESSA DE ANDRADE</v>
      </c>
      <c r="G2592" s="11" t="str">
        <f>IFERROR(__xludf.DUMMYFUNCTION("""COMPUTED_VALUE"""),"US_128 POLICLINICA LESSA DE ANDRADE")</f>
        <v>US_128 POLICLINICA LESSA DE ANDRADE</v>
      </c>
      <c r="H2592" s="11"/>
      <c r="I2592" s="11"/>
      <c r="J2592" s="11"/>
      <c r="K2592" s="11"/>
      <c r="L2592" s="11"/>
      <c r="M2592" s="11"/>
      <c r="N2592" s="30" t="str">
        <f>IFERROR(__xludf.DUMMYFUNCTION("""COMPUTED_VALUE"""),"drajoaninha@hotmail.com")</f>
        <v>drajoaninha@hotmail.com</v>
      </c>
      <c r="O2592" s="11">
        <f>IFERROR(__xludf.DUMMYFUNCTION("""COMPUTED_VALUE"""),7125924743)</f>
        <v>7125924743</v>
      </c>
      <c r="P2592" s="11"/>
      <c r="Q2592" s="11"/>
      <c r="R2592" s="11"/>
      <c r="S2592" s="11"/>
      <c r="T2592" s="11"/>
      <c r="U2592" s="11"/>
      <c r="V2592" s="11"/>
      <c r="W2592" s="11"/>
      <c r="X2592" s="11"/>
      <c r="Y2592" s="11"/>
      <c r="Z2592" s="11"/>
    </row>
    <row r="2593" customHeight="1" spans="1:26">
      <c r="A2593" s="11" t="str">
        <f>IFERROR(__xludf.DUMMYFUNCTION("""COMPUTED_VALUE"""),"VERUSKA ANDRADE R ALENCAR")</f>
        <v>VERUSKA ANDRADE R ALENCAR</v>
      </c>
      <c r="B2593" s="11"/>
      <c r="C2593" s="11"/>
      <c r="D2593" s="11" t="str">
        <f>IFERROR(__xludf.DUMMYFUNCTION("""COMPUTED_VALUE"""),"PEDIATRIA")</f>
        <v>PEDIATRIA</v>
      </c>
      <c r="E2593" s="11"/>
      <c r="F2593" s="11" t="str">
        <f>IFERROR(__xludf.DUMMYFUNCTION("""COMPUTED_VALUE"""),"US_162 POLICLINICA ALBERT SABIN")</f>
        <v>US_162 POLICLINICA ALBERT SABIN</v>
      </c>
      <c r="G2593" s="11" t="str">
        <f>IFERROR(__xludf.DUMMYFUNCTION("""COMPUTED_VALUE"""),"US_162 POLICLINICA ALBERT SABIN")</f>
        <v>US_162 POLICLINICA ALBERT SABIN</v>
      </c>
      <c r="H2593" s="11"/>
      <c r="I2593" s="11"/>
      <c r="J2593" s="11"/>
      <c r="K2593" s="11"/>
      <c r="L2593" s="11"/>
      <c r="M2593" s="11"/>
      <c r="N2593" s="30" t="str">
        <f>IFERROR(__xludf.DUMMYFUNCTION("""COMPUTED_VALUE"""),"veruskarocha@gmail.com")</f>
        <v>veruskarocha@gmail.com</v>
      </c>
      <c r="O2593" s="11">
        <f>IFERROR(__xludf.DUMMYFUNCTION("""COMPUTED_VALUE"""),49816390310)</f>
        <v>49816390310</v>
      </c>
      <c r="P2593" s="11"/>
      <c r="Q2593" s="11"/>
      <c r="R2593" s="11"/>
      <c r="S2593" s="11"/>
      <c r="T2593" s="11"/>
      <c r="U2593" s="11"/>
      <c r="V2593" s="11"/>
      <c r="W2593" s="11"/>
      <c r="X2593" s="11"/>
      <c r="Y2593" s="11"/>
      <c r="Z2593" s="11"/>
    </row>
    <row r="2594" customHeight="1" spans="1:26">
      <c r="A2594" s="11" t="str">
        <f>IFERROR(__xludf.DUMMYFUNCTION("""COMPUTED_VALUE"""),"ANA CLAUDIA M DOS ANJOS")</f>
        <v>ANA CLAUDIA M DOS ANJOS</v>
      </c>
      <c r="B2594" s="11"/>
      <c r="C2594" s="11"/>
      <c r="D2594" s="11" t="str">
        <f>IFERROR(__xludf.DUMMYFUNCTION("""COMPUTED_VALUE"""),"HEMATOLOGIA E HEMOTERAPIA")</f>
        <v>HEMATOLOGIA E HEMOTERAPIA</v>
      </c>
      <c r="E2594" s="11"/>
      <c r="F2594" s="11" t="str">
        <f>IFERROR(__xludf.DUMMYFUNCTION("""COMPUTED_VALUE"""),"US_128 POLICLINICA LESSA DE ANDRADE")</f>
        <v>US_128 POLICLINICA LESSA DE ANDRADE</v>
      </c>
      <c r="G2594" s="11" t="str">
        <f>IFERROR(__xludf.DUMMYFUNCTION("""COMPUTED_VALUE"""),"US_128 POLICLINICA LESSA DE ANDRADE")</f>
        <v>US_128 POLICLINICA LESSA DE ANDRADE</v>
      </c>
      <c r="H2594" s="11"/>
      <c r="I2594" s="11"/>
      <c r="J2594" s="11"/>
      <c r="K2594" s="11"/>
      <c r="L2594" s="11"/>
      <c r="M2594" s="11"/>
      <c r="N2594" s="30" t="str">
        <f>IFERROR(__xludf.DUMMYFUNCTION("""COMPUTED_VALUE"""),"ac_mendonca@terra.com.br")</f>
        <v>ac_mendonca@terra.com.br</v>
      </c>
      <c r="O2594" s="11">
        <f>IFERROR(__xludf.DUMMYFUNCTION("""COMPUTED_VALUE"""),54741050459)</f>
        <v>54741050459</v>
      </c>
      <c r="P2594" s="11"/>
      <c r="Q2594" s="11"/>
      <c r="R2594" s="11"/>
      <c r="S2594" s="11"/>
      <c r="T2594" s="11"/>
      <c r="U2594" s="11"/>
      <c r="V2594" s="11"/>
      <c r="W2594" s="11"/>
      <c r="X2594" s="11"/>
      <c r="Y2594" s="11"/>
      <c r="Z2594" s="11"/>
    </row>
    <row r="2595" customHeight="1" spans="1:26">
      <c r="A2595" s="11" t="str">
        <f>IFERROR(__xludf.DUMMYFUNCTION("""COMPUTED_VALUE"""),"JOSE GERALDO MATOS DE MORAIS")</f>
        <v>JOSE GERALDO MATOS DE MORAIS</v>
      </c>
      <c r="B2595" s="11"/>
      <c r="C2595" s="11"/>
      <c r="D2595" s="11" t="str">
        <f>IFERROR(__xludf.DUMMYFUNCTION("""COMPUTED_VALUE"""),"CLINICA GERAL")</f>
        <v>CLINICA GERAL</v>
      </c>
      <c r="E2595" s="11"/>
      <c r="F2595" s="11" t="str">
        <f>IFERROR(__xludf.DUMMYFUNCTION("""COMPUTED_VALUE"""),"US_376 POLICLINICA SALOMAO KELNER")</f>
        <v>US_376 POLICLINICA SALOMAO KELNER</v>
      </c>
      <c r="G2595" s="11" t="str">
        <f>IFERROR(__xludf.DUMMYFUNCTION("""COMPUTED_VALUE"""),"US_376 POLICLINICA SALOMAO KELNER")</f>
        <v>US_376 POLICLINICA SALOMAO KELNER</v>
      </c>
      <c r="H2595" s="11"/>
      <c r="I2595" s="11"/>
      <c r="J2595" s="11"/>
      <c r="K2595" s="11"/>
      <c r="L2595" s="11"/>
      <c r="M2595" s="11"/>
      <c r="N2595" s="30" t="str">
        <f>IFERROR(__xludf.DUMMYFUNCTION("""COMPUTED_VALUE"""),"JGMM1966@GMAIL.COM")</f>
        <v>JGMM1966@GMAIL.COM</v>
      </c>
      <c r="O2595" s="11">
        <f>IFERROR(__xludf.DUMMYFUNCTION("""COMPUTED_VALUE"""),69577269400)</f>
        <v>69577269400</v>
      </c>
      <c r="P2595" s="11"/>
      <c r="Q2595" s="11"/>
      <c r="R2595" s="11"/>
      <c r="S2595" s="11"/>
      <c r="T2595" s="11"/>
      <c r="U2595" s="11"/>
      <c r="V2595" s="11"/>
      <c r="W2595" s="11"/>
      <c r="X2595" s="11"/>
      <c r="Y2595" s="11"/>
      <c r="Z2595" s="11"/>
    </row>
    <row r="2596" customHeight="1" spans="1:26">
      <c r="A2596" s="11" t="str">
        <f>IFERROR(__xludf.DUMMYFUNCTION("""COMPUTED_VALUE"""),"KARINA BEZERRA DOS SANTOS")</f>
        <v>KARINA BEZERRA DOS SANTOS</v>
      </c>
      <c r="B2596" s="11"/>
      <c r="C2596" s="11"/>
      <c r="D2596" s="11" t="str">
        <f>IFERROR(__xludf.DUMMYFUNCTION("""COMPUTED_VALUE"""),"ENDOCRINOLOGIA E METABOLOGIA")</f>
        <v>ENDOCRINOLOGIA E METABOLOGIA</v>
      </c>
      <c r="E2596" s="11"/>
      <c r="F2596" s="11" t="str">
        <f>IFERROR(__xludf.DUMMYFUNCTION("""COMPUTED_VALUE"""),"US_101 POLICLINICA PROF WALDEMAR DE OLIVEIRA ")</f>
        <v>US_101 POLICLINICA PROF WALDEMAR DE OLIVEIRA </v>
      </c>
      <c r="G2596" s="11" t="str">
        <f>IFERROR(__xludf.DUMMYFUNCTION("""COMPUTED_VALUE"""),"US_101 POLICLINICA PROF WALDEMAR DE OLIVEIRA ")</f>
        <v>US_101 POLICLINICA PROF WALDEMAR DE OLIVEIRA </v>
      </c>
      <c r="H2596" s="11"/>
      <c r="I2596" s="11"/>
      <c r="J2596" s="11"/>
      <c r="K2596" s="11"/>
      <c r="L2596" s="11"/>
      <c r="M2596" s="11"/>
      <c r="N2596" s="30" t="str">
        <f>IFERROR(__xludf.DUMMYFUNCTION("""COMPUTED_VALUE"""),"kari_santos@hotmail.com")</f>
        <v>kari_santos@hotmail.com</v>
      </c>
      <c r="O2596" s="11">
        <f>IFERROR(__xludf.DUMMYFUNCTION("""COMPUTED_VALUE"""),4728219461)</f>
        <v>4728219461</v>
      </c>
      <c r="P2596" s="11"/>
      <c r="Q2596" s="11"/>
      <c r="R2596" s="11"/>
      <c r="S2596" s="11"/>
      <c r="T2596" s="11"/>
      <c r="U2596" s="11"/>
      <c r="V2596" s="11"/>
      <c r="W2596" s="11"/>
      <c r="X2596" s="11"/>
      <c r="Y2596" s="11"/>
      <c r="Z2596" s="11"/>
    </row>
    <row r="2597" customHeight="1" spans="1:26">
      <c r="A2597" s="11" t="str">
        <f>IFERROR(__xludf.DUMMYFUNCTION("""COMPUTED_VALUE"""),"CECILIA CAVALCANTI L DE MELO")</f>
        <v>CECILIA CAVALCANTI L DE MELO</v>
      </c>
      <c r="B2597" s="11"/>
      <c r="C2597" s="11"/>
      <c r="D2597" s="11" t="str">
        <f>IFERROR(__xludf.DUMMYFUNCTION("""COMPUTED_VALUE"""),"CARDIOLOGIA")</f>
        <v>CARDIOLOGIA</v>
      </c>
      <c r="E2597" s="11"/>
      <c r="F2597" s="11" t="str">
        <f>IFERROR(__xludf.DUMMYFUNCTION("""COMPUTED_VALUE"""),"US_293 POLICLINICA DO PINA -  PROFESSORA NAIDE REGUEIRA TEODOSIO")</f>
        <v>US_293 POLICLINICA DO PINA -  PROFESSORA NAIDE REGUEIRA TEODOSIO</v>
      </c>
      <c r="G2597" s="11" t="str">
        <f>IFERROR(__xludf.DUMMYFUNCTION("""COMPUTED_VALUE"""),"US_293 POLICLINICA DO PINA -  PROFESSORA NAIDE REGUEIRA TEODOSIO")</f>
        <v>US_293 POLICLINICA DO PINA -  PROFESSORA NAIDE REGUEIRA TEODOSIO</v>
      </c>
      <c r="H2597" s="11"/>
      <c r="I2597" s="11"/>
      <c r="J2597" s="11"/>
      <c r="K2597" s="11"/>
      <c r="L2597" s="11"/>
      <c r="M2597" s="11"/>
      <c r="N2597" s="30" t="str">
        <f>IFERROR(__xludf.DUMMYFUNCTION("""COMPUTED_VALUE"""),"ceciliaclm@hotmail.com")</f>
        <v>ceciliaclm@hotmail.com</v>
      </c>
      <c r="O2597" s="11">
        <f>IFERROR(__xludf.DUMMYFUNCTION("""COMPUTED_VALUE"""),3942948400)</f>
        <v>3942948400</v>
      </c>
      <c r="P2597" s="11"/>
      <c r="Q2597" s="11"/>
      <c r="R2597" s="11"/>
      <c r="S2597" s="11"/>
      <c r="T2597" s="11"/>
      <c r="U2597" s="11"/>
      <c r="V2597" s="11"/>
      <c r="W2597" s="11"/>
      <c r="X2597" s="11"/>
      <c r="Y2597" s="11"/>
      <c r="Z2597" s="11"/>
    </row>
    <row r="2598" customHeight="1" spans="1:26">
      <c r="A2598" s="11" t="str">
        <f>IFERROR(__xludf.DUMMYFUNCTION("""COMPUTED_VALUE"""),"ANDREA SIMONE S DE QUEIROS")</f>
        <v>ANDREA SIMONE S DE QUEIROS</v>
      </c>
      <c r="B2598" s="11"/>
      <c r="C2598" s="11"/>
      <c r="D2598" s="11" t="str">
        <f>IFERROR(__xludf.DUMMYFUNCTION("""COMPUTED_VALUE"""),"GASTROENTEROLOGIA")</f>
        <v>GASTROENTEROLOGIA</v>
      </c>
      <c r="E2598" s="11"/>
      <c r="F2598" s="11" t="str">
        <f>IFERROR(__xludf.DUMMYFUNCTION("""COMPUTED_VALUE"""),"US_376 POLICLINICA SALOMAO KELNER")</f>
        <v>US_376 POLICLINICA SALOMAO KELNER</v>
      </c>
      <c r="G2598" s="11" t="str">
        <f>IFERROR(__xludf.DUMMYFUNCTION("""COMPUTED_VALUE"""),"US_376 POLICLINICA SALOMAO KELNER")</f>
        <v>US_376 POLICLINICA SALOMAO KELNER</v>
      </c>
      <c r="H2598" s="11"/>
      <c r="I2598" s="11"/>
      <c r="J2598" s="11"/>
      <c r="K2598" s="11"/>
      <c r="L2598" s="11"/>
      <c r="M2598" s="11"/>
      <c r="N2598" s="30" t="str">
        <f>IFERROR(__xludf.DUMMYFUNCTION("""COMPUTED_VALUE"""),"andreassq@hotmail.com")</f>
        <v>andreassq@hotmail.com</v>
      </c>
      <c r="O2598" s="11">
        <f>IFERROR(__xludf.DUMMYFUNCTION("""COMPUTED_VALUE"""),766527425)</f>
        <v>766527425</v>
      </c>
      <c r="P2598" s="11"/>
      <c r="Q2598" s="11"/>
      <c r="R2598" s="11"/>
      <c r="S2598" s="11"/>
      <c r="T2598" s="11"/>
      <c r="U2598" s="11"/>
      <c r="V2598" s="11"/>
      <c r="W2598" s="11"/>
      <c r="X2598" s="11"/>
      <c r="Y2598" s="11"/>
      <c r="Z2598" s="11"/>
    </row>
    <row r="2599" customHeight="1" spans="1:26">
      <c r="A2599" s="11" t="str">
        <f>IFERROR(__xludf.DUMMYFUNCTION("""COMPUTED_VALUE"""),"EUGENIO SAORES LUSTOSA")</f>
        <v>EUGENIO SAORES LUSTOSA</v>
      </c>
      <c r="B2599" s="11"/>
      <c r="C2599" s="11"/>
      <c r="D2599" s="11" t="str">
        <f>IFERROR(__xludf.DUMMYFUNCTION("""COMPUTED_VALUE"""),"UROLOGIA")</f>
        <v>UROLOGIA</v>
      </c>
      <c r="E2599" s="11"/>
      <c r="F2599" s="11" t="str">
        <f>IFERROR(__xludf.DUMMYFUNCTION("""COMPUTED_VALUE"""),"US_128 POLICLINICA LESSA DE ANDRADE")</f>
        <v>US_128 POLICLINICA LESSA DE ANDRADE</v>
      </c>
      <c r="G2599" s="11" t="str">
        <f>IFERROR(__xludf.DUMMYFUNCTION("""COMPUTED_VALUE"""),"US_128 POLICLINICA LESSA DE ANDRADE")</f>
        <v>US_128 POLICLINICA LESSA DE ANDRADE</v>
      </c>
      <c r="H2599" s="11"/>
      <c r="I2599" s="11"/>
      <c r="J2599" s="11"/>
      <c r="K2599" s="11"/>
      <c r="L2599" s="11"/>
      <c r="M2599" s="11"/>
      <c r="N2599" s="30" t="str">
        <f>IFERROR(__xludf.DUMMYFUNCTION("""COMPUTED_VALUE"""),"eugenio.lustosa@gmail.com")</f>
        <v>eugenio.lustosa@gmail.com</v>
      </c>
      <c r="O2599" s="11">
        <f>IFERROR(__xludf.DUMMYFUNCTION("""COMPUTED_VALUE"""),988611406)</f>
        <v>988611406</v>
      </c>
      <c r="P2599" s="11"/>
      <c r="Q2599" s="11"/>
      <c r="R2599" s="11"/>
      <c r="S2599" s="11"/>
      <c r="T2599" s="11"/>
      <c r="U2599" s="11"/>
      <c r="V2599" s="11"/>
      <c r="W2599" s="11"/>
      <c r="X2599" s="11"/>
      <c r="Y2599" s="11"/>
      <c r="Z2599" s="11"/>
    </row>
    <row r="2600" customHeight="1" spans="1:26">
      <c r="A2600" s="11" t="str">
        <f>IFERROR(__xludf.DUMMYFUNCTION("""COMPUTED_VALUE"""),"LIVIA BEATRIZ S DE A GOMES")</f>
        <v>LIVIA BEATRIZ S DE A GOMES</v>
      </c>
      <c r="B2600" s="11"/>
      <c r="C2600" s="11"/>
      <c r="D2600" s="11" t="str">
        <f>IFERROR(__xludf.DUMMYFUNCTION("""COMPUTED_VALUE"""),"PEDIATRIA / PNEUMOLOGIA")</f>
        <v>PEDIATRIA / PNEUMOLOGIA</v>
      </c>
      <c r="E2600" s="11"/>
      <c r="F2600" s="11" t="str">
        <f>IFERROR(__xludf.DUMMYFUNCTION("""COMPUTED_VALUE"""),"US_128 POLICLINICA LESSA DE ANDRADE")</f>
        <v>US_128 POLICLINICA LESSA DE ANDRADE</v>
      </c>
      <c r="G2600" s="11" t="str">
        <f>IFERROR(__xludf.DUMMYFUNCTION("""COMPUTED_VALUE"""),"US_128 POLICLINICA LESSA DE ANDRADE")</f>
        <v>US_128 POLICLINICA LESSA DE ANDRADE</v>
      </c>
      <c r="H2600" s="11"/>
      <c r="I2600" s="11"/>
      <c r="J2600" s="11"/>
      <c r="K2600" s="11"/>
      <c r="L2600" s="11"/>
      <c r="M2600" s="11"/>
      <c r="N2600" s="30" t="str">
        <f>IFERROR(__xludf.DUMMYFUNCTION("""COMPUTED_VALUE"""),"liviabsalmeida@yahoo.com.br")</f>
        <v>liviabsalmeida@yahoo.com.br</v>
      </c>
      <c r="O2600" s="11">
        <f>IFERROR(__xludf.DUMMYFUNCTION("""COMPUTED_VALUE"""),4197248423)</f>
        <v>4197248423</v>
      </c>
      <c r="P2600" s="11"/>
      <c r="Q2600" s="11"/>
      <c r="R2600" s="11"/>
      <c r="S2600" s="11"/>
      <c r="T2600" s="11"/>
      <c r="U2600" s="11"/>
      <c r="V2600" s="11"/>
      <c r="W2600" s="11"/>
      <c r="X2600" s="11"/>
      <c r="Y2600" s="11"/>
      <c r="Z2600" s="11"/>
    </row>
    <row r="2601" customHeight="1" spans="1:26">
      <c r="A2601" s="11" t="str">
        <f>IFERROR(__xludf.DUMMYFUNCTION("""COMPUTED_VALUE"""),"KARLA FERNANDES DOURADO")</f>
        <v>KARLA FERNANDES DOURADO</v>
      </c>
      <c r="B2601" s="11"/>
      <c r="C2601" s="11"/>
      <c r="D2601" s="11" t="str">
        <f>IFERROR(__xludf.DUMMYFUNCTION("""COMPUTED_VALUE"""),"CLINICA GERAL")</f>
        <v>CLINICA GERAL</v>
      </c>
      <c r="E2601" s="11"/>
      <c r="F2601" s="11" t="str">
        <f>IFERROR(__xludf.DUMMYFUNCTION("""COMPUTED_VALUE"""),"US_293 POLICLINICA DO PINA -  PROFESSORA NAIDE REGUEIRA TEODOSIO")</f>
        <v>US_293 POLICLINICA DO PINA -  PROFESSORA NAIDE REGUEIRA TEODOSIO</v>
      </c>
      <c r="G2601" s="11" t="str">
        <f>IFERROR(__xludf.DUMMYFUNCTION("""COMPUTED_VALUE"""),"US_293 POLICLINICA DO PINA -  PROFESSORA NAIDE REGUEIRA TEODOSIO")</f>
        <v>US_293 POLICLINICA DO PINA -  PROFESSORA NAIDE REGUEIRA TEODOSIO</v>
      </c>
      <c r="H2601" s="11"/>
      <c r="I2601" s="11"/>
      <c r="J2601" s="11"/>
      <c r="K2601" s="11"/>
      <c r="L2601" s="11"/>
      <c r="M2601" s="11"/>
      <c r="N2601" s="30" t="str">
        <f>IFERROR(__xludf.DUMMYFUNCTION("""COMPUTED_VALUE"""),"karladourado@bol.com.br")</f>
        <v>karladourado@bol.com.br</v>
      </c>
      <c r="O2601" s="11">
        <f>IFERROR(__xludf.DUMMYFUNCTION("""COMPUTED_VALUE"""),2729934413)</f>
        <v>2729934413</v>
      </c>
      <c r="P2601" s="11"/>
      <c r="Q2601" s="11"/>
      <c r="R2601" s="11"/>
      <c r="S2601" s="11"/>
      <c r="T2601" s="11"/>
      <c r="U2601" s="11"/>
      <c r="V2601" s="11"/>
      <c r="W2601" s="11"/>
      <c r="X2601" s="11"/>
      <c r="Y2601" s="11"/>
      <c r="Z2601" s="11"/>
    </row>
    <row r="2602" customHeight="1" spans="1:26">
      <c r="A2602" s="11" t="str">
        <f>IFERROR(__xludf.DUMMYFUNCTION("""COMPUTED_VALUE"""),"ANA CATARINA P DOS SANTOS")</f>
        <v>ANA CATARINA P DOS SANTOS</v>
      </c>
      <c r="B2602" s="11"/>
      <c r="C2602" s="11"/>
      <c r="D2602" s="11" t="str">
        <f>IFERROR(__xludf.DUMMYFUNCTION("""COMPUTED_VALUE"""),"GERIATRIA")</f>
        <v>GERIATRIA</v>
      </c>
      <c r="E2602" s="11"/>
      <c r="F2602" s="11" t="str">
        <f>IFERROR(__xludf.DUMMYFUNCTION("""COMPUTED_VALUE"""),"US_101 POLICLINICA PROF WALDEMAR DE OLIVEIRA ")</f>
        <v>US_101 POLICLINICA PROF WALDEMAR DE OLIVEIRA </v>
      </c>
      <c r="G2602" s="11" t="str">
        <f>IFERROR(__xludf.DUMMYFUNCTION("""COMPUTED_VALUE"""),"US_101 POLICLINICA PROF WALDEMAR DE OLIVEIRA ")</f>
        <v>US_101 POLICLINICA PROF WALDEMAR DE OLIVEIRA </v>
      </c>
      <c r="H2602" s="11"/>
      <c r="I2602" s="11"/>
      <c r="J2602" s="11"/>
      <c r="K2602" s="11"/>
      <c r="L2602" s="11"/>
      <c r="M2602" s="11"/>
      <c r="N2602" s="30" t="str">
        <f>IFERROR(__xludf.DUMMYFUNCTION("""COMPUTED_VALUE"""),"ANACAGERI@GMAIL.COM")</f>
        <v>ANACAGERI@GMAIL.COM</v>
      </c>
      <c r="O2602" s="11">
        <f>IFERROR(__xludf.DUMMYFUNCTION("""COMPUTED_VALUE"""),12751332404)</f>
        <v>12751332404</v>
      </c>
      <c r="P2602" s="11"/>
      <c r="Q2602" s="11"/>
      <c r="R2602" s="11"/>
      <c r="S2602" s="11"/>
      <c r="T2602" s="11"/>
      <c r="U2602" s="11"/>
      <c r="V2602" s="11"/>
      <c r="W2602" s="11"/>
      <c r="X2602" s="11"/>
      <c r="Y2602" s="11"/>
      <c r="Z2602" s="11"/>
    </row>
    <row r="2603" customHeight="1" spans="1:26">
      <c r="A2603" s="11" t="str">
        <f>IFERROR(__xludf.DUMMYFUNCTION("""COMPUTED_VALUE"""),"HENRIQUE MENDES SILVA P SANTOS")</f>
        <v>HENRIQUE MENDES SILVA P SANTOS</v>
      </c>
      <c r="B2603" s="11"/>
      <c r="C2603" s="11"/>
      <c r="D2603" s="11" t="str">
        <f>IFERROR(__xludf.DUMMYFUNCTION("""COMPUTED_VALUE"""),"OTORRINOLARINGOLOGIA")</f>
        <v>OTORRINOLARINGOLOGIA</v>
      </c>
      <c r="E2603" s="11"/>
      <c r="F2603" s="11" t="str">
        <f>IFERROR(__xludf.DUMMYFUNCTION("""COMPUTED_VALUE"""),"US_101 POLICLINICA PROF WALDEMAR DE OLIVEIRA ")</f>
        <v>US_101 POLICLINICA PROF WALDEMAR DE OLIVEIRA </v>
      </c>
      <c r="G2603" s="11" t="str">
        <f>IFERROR(__xludf.DUMMYFUNCTION("""COMPUTED_VALUE"""),"US_101 POLICLINICA PROF WALDEMAR DE OLIVEIRA ")</f>
        <v>US_101 POLICLINICA PROF WALDEMAR DE OLIVEIRA </v>
      </c>
      <c r="H2603" s="11"/>
      <c r="I2603" s="11"/>
      <c r="J2603" s="11"/>
      <c r="K2603" s="11"/>
      <c r="L2603" s="11"/>
      <c r="M2603" s="11"/>
      <c r="N2603" s="30" t="str">
        <f>IFERROR(__xludf.DUMMYFUNCTION("""COMPUTED_VALUE"""),"hpaiva@gmail.com")</f>
        <v>hpaiva@gmail.com</v>
      </c>
      <c r="O2603" s="11">
        <f>IFERROR(__xludf.DUMMYFUNCTION("""COMPUTED_VALUE"""),991117484)</f>
        <v>991117484</v>
      </c>
      <c r="P2603" s="11"/>
      <c r="Q2603" s="11"/>
      <c r="R2603" s="11"/>
      <c r="S2603" s="11"/>
      <c r="T2603" s="11"/>
      <c r="U2603" s="11"/>
      <c r="V2603" s="11"/>
      <c r="W2603" s="11"/>
      <c r="X2603" s="11"/>
      <c r="Y2603" s="11"/>
      <c r="Z2603" s="11"/>
    </row>
    <row r="2604" customHeight="1" spans="1:26">
      <c r="A2604" s="11" t="str">
        <f>IFERROR(__xludf.DUMMYFUNCTION("""COMPUTED_VALUE"""),"RODOLFO PACHECO DE MORAES")</f>
        <v>RODOLFO PACHECO DE MORAES</v>
      </c>
      <c r="B2604" s="11"/>
      <c r="C2604" s="11"/>
      <c r="D2604" s="11" t="str">
        <f>IFERROR(__xludf.DUMMYFUNCTION("""COMPUTED_VALUE"""),"UROLOGIA")</f>
        <v>UROLOGIA</v>
      </c>
      <c r="E2604" s="11"/>
      <c r="F2604" s="11" t="str">
        <f>IFERROR(__xludf.DUMMYFUNCTION("""COMPUTED_VALUE"""),"US_376 POLICLINICA SALOMAO KELNER")</f>
        <v>US_376 POLICLINICA SALOMAO KELNER</v>
      </c>
      <c r="G2604" s="11" t="str">
        <f>IFERROR(__xludf.DUMMYFUNCTION("""COMPUTED_VALUE"""),"US_376 POLICLINICA SALOMAO KELNER")</f>
        <v>US_376 POLICLINICA SALOMAO KELNER</v>
      </c>
      <c r="H2604" s="11"/>
      <c r="I2604" s="11"/>
      <c r="J2604" s="11"/>
      <c r="K2604" s="11"/>
      <c r="L2604" s="11"/>
      <c r="M2604" s="11"/>
      <c r="N2604" s="30" t="str">
        <f>IFERROR(__xludf.DUMMYFUNCTION("""COMPUTED_VALUE"""),"rodolfopacheco13@yahoo.com .br")</f>
        <v>rodolfopacheco13@yahoo.com .br</v>
      </c>
      <c r="O2604" s="11">
        <f>IFERROR(__xludf.DUMMYFUNCTION("""COMPUTED_VALUE"""),3225940496)</f>
        <v>3225940496</v>
      </c>
      <c r="P2604" s="11"/>
      <c r="Q2604" s="11"/>
      <c r="R2604" s="11"/>
      <c r="S2604" s="11"/>
      <c r="T2604" s="11"/>
      <c r="U2604" s="11"/>
      <c r="V2604" s="11"/>
      <c r="W2604" s="11"/>
      <c r="X2604" s="11"/>
      <c r="Y2604" s="11"/>
      <c r="Z2604" s="11"/>
    </row>
    <row r="2605" customHeight="1" spans="1:26">
      <c r="A2605" s="11" t="str">
        <f>IFERROR(__xludf.DUMMYFUNCTION("""COMPUTED_VALUE"""),"DEBORA LOPES BUNZEN MAYER")</f>
        <v>DEBORA LOPES BUNZEN MAYER</v>
      </c>
      <c r="B2605" s="11"/>
      <c r="C2605" s="11"/>
      <c r="D2605" s="11" t="str">
        <f>IFERROR(__xludf.DUMMYFUNCTION("""COMPUTED_VALUE"""),"INFECTOLOGIA")</f>
        <v>INFECTOLOGIA</v>
      </c>
      <c r="E2605" s="11"/>
      <c r="F2605" s="11" t="str">
        <f>IFERROR(__xludf.DUMMYFUNCTION("""COMPUTED_VALUE"""),"US_160 POLICLINICA GOUVEIA DE BARROS")</f>
        <v>US_160 POLICLINICA GOUVEIA DE BARROS</v>
      </c>
      <c r="G2605" s="11" t="str">
        <f>IFERROR(__xludf.DUMMYFUNCTION("""COMPUTED_VALUE"""),"US_160 POLICLINICA GOUVEIA DE BARROS")</f>
        <v>US_160 POLICLINICA GOUVEIA DE BARROS</v>
      </c>
      <c r="H2605" s="11"/>
      <c r="I2605" s="11"/>
      <c r="J2605" s="11"/>
      <c r="K2605" s="11"/>
      <c r="L2605" s="11"/>
      <c r="M2605" s="11"/>
      <c r="N2605" s="30" t="str">
        <f>IFERROR(__xludf.DUMMYFUNCTION("""COMPUTED_VALUE"""),"dbunzen@gmail.com")</f>
        <v>dbunzen@gmail.com</v>
      </c>
      <c r="O2605" s="11">
        <f>IFERROR(__xludf.DUMMYFUNCTION("""COMPUTED_VALUE"""),3340763402)</f>
        <v>3340763402</v>
      </c>
      <c r="P2605" s="11"/>
      <c r="Q2605" s="11"/>
      <c r="R2605" s="11"/>
      <c r="S2605" s="11"/>
      <c r="T2605" s="11"/>
      <c r="U2605" s="11"/>
      <c r="V2605" s="11"/>
      <c r="W2605" s="11"/>
      <c r="X2605" s="11"/>
      <c r="Y2605" s="11"/>
      <c r="Z2605" s="11"/>
    </row>
    <row r="2606" customHeight="1" spans="1:26">
      <c r="A2606" s="11" t="str">
        <f>IFERROR(__xludf.DUMMYFUNCTION("""COMPUTED_VALUE"""),"LUIS GUSTAVO E SILVA MAIA")</f>
        <v>LUIS GUSTAVO E SILVA MAIA</v>
      </c>
      <c r="B2606" s="11"/>
      <c r="C2606" s="11"/>
      <c r="D2606" s="11" t="str">
        <f>IFERROR(__xludf.DUMMYFUNCTION("""COMPUTED_VALUE"""),"RADIOLOGIA E DIAGNOSTICO POR IMAGEM")</f>
        <v>RADIOLOGIA E DIAGNOSTICO POR IMAGEM</v>
      </c>
      <c r="E2606" s="11"/>
      <c r="F2606" s="11" t="str">
        <f>IFERROR(__xludf.DUMMYFUNCTION("""COMPUTED_VALUE"""),"US_376 POLICLINICA SALOMAO KELNER")</f>
        <v>US_376 POLICLINICA SALOMAO KELNER</v>
      </c>
      <c r="G2606" s="11" t="str">
        <f>IFERROR(__xludf.DUMMYFUNCTION("""COMPUTED_VALUE"""),"US_376 POLICLINICA SALOMAO KELNER")</f>
        <v>US_376 POLICLINICA SALOMAO KELNER</v>
      </c>
      <c r="H2606" s="11"/>
      <c r="I2606" s="11"/>
      <c r="J2606" s="11"/>
      <c r="K2606" s="11"/>
      <c r="L2606" s="11"/>
      <c r="M2606" s="11"/>
      <c r="N2606" s="30" t="str">
        <f>IFERROR(__xludf.DUMMYFUNCTION("""COMPUTED_VALUE"""),"gustavomaia7@bol.com.br")</f>
        <v>gustavomaia7@bol.com.br</v>
      </c>
      <c r="O2606" s="11">
        <f>IFERROR(__xludf.DUMMYFUNCTION("""COMPUTED_VALUE"""),2916190457)</f>
        <v>2916190457</v>
      </c>
      <c r="P2606" s="11"/>
      <c r="Q2606" s="11"/>
      <c r="R2606" s="11"/>
      <c r="S2606" s="11"/>
      <c r="T2606" s="11"/>
      <c r="U2606" s="11"/>
      <c r="V2606" s="11"/>
      <c r="W2606" s="11"/>
      <c r="X2606" s="11"/>
      <c r="Y2606" s="11"/>
      <c r="Z2606" s="11"/>
    </row>
    <row r="2607" customHeight="1" spans="1:26">
      <c r="A2607" s="11" t="str">
        <f>IFERROR(__xludf.DUMMYFUNCTION("""COMPUTED_VALUE"""),"THAIS LISBOA MACIEL PINCOVSKY")</f>
        <v>THAIS LISBOA MACIEL PINCOVSKY</v>
      </c>
      <c r="B2607" s="11"/>
      <c r="C2607" s="11"/>
      <c r="D2607" s="11" t="str">
        <f>IFERROR(__xludf.DUMMYFUNCTION("""COMPUTED_VALUE"""),"ANGIOLOGIA")</f>
        <v>ANGIOLOGIA</v>
      </c>
      <c r="E2607" s="11"/>
      <c r="F2607" s="11" t="str">
        <f>IFERROR(__xludf.DUMMYFUNCTION("""COMPUTED_VALUE"""),"US_293 POLICLINICA DO PINA -  PROFESSORA NAIDE REGUEIRA TEODOSIO")</f>
        <v>US_293 POLICLINICA DO PINA -  PROFESSORA NAIDE REGUEIRA TEODOSIO</v>
      </c>
      <c r="G2607" s="11" t="str">
        <f>IFERROR(__xludf.DUMMYFUNCTION("""COMPUTED_VALUE"""),"US_293 POLICLINICA DO PINA -  PROFESSORA NAIDE REGUEIRA TEODOSIO")</f>
        <v>US_293 POLICLINICA DO PINA -  PROFESSORA NAIDE REGUEIRA TEODOSIO</v>
      </c>
      <c r="H2607" s="11"/>
      <c r="I2607" s="11"/>
      <c r="J2607" s="11"/>
      <c r="K2607" s="11"/>
      <c r="L2607" s="11"/>
      <c r="M2607" s="11"/>
      <c r="N2607" s="30" t="str">
        <f>IFERROR(__xludf.DUMMYFUNCTION("""COMPUTED_VALUE"""),"thaislms@yahoo.com.br")</f>
        <v>thaislms@yahoo.com.br</v>
      </c>
      <c r="O2607" s="11">
        <f>IFERROR(__xludf.DUMMYFUNCTION("""COMPUTED_VALUE"""),93991282534)</f>
        <v>93991282534</v>
      </c>
      <c r="P2607" s="11"/>
      <c r="Q2607" s="11"/>
      <c r="R2607" s="11"/>
      <c r="S2607" s="11"/>
      <c r="T2607" s="11"/>
      <c r="U2607" s="11"/>
      <c r="V2607" s="11"/>
      <c r="W2607" s="11"/>
      <c r="X2607" s="11"/>
      <c r="Y2607" s="11"/>
      <c r="Z2607" s="11"/>
    </row>
    <row r="2608" customHeight="1" spans="1:26">
      <c r="A2608" s="11" t="str">
        <f>IFERROR(__xludf.DUMMYFUNCTION("""COMPUTED_VALUE"""),"ROZANE MARIA ROCHA NICEAS")</f>
        <v>ROZANE MARIA ROCHA NICEAS</v>
      </c>
      <c r="B2608" s="11"/>
      <c r="C2608" s="11"/>
      <c r="D2608" s="11" t="str">
        <f>IFERROR(__xludf.DUMMYFUNCTION("""COMPUTED_VALUE"""),"CLINICA GERAL")</f>
        <v>CLINICA GERAL</v>
      </c>
      <c r="E2608" s="11"/>
      <c r="F2608" s="11" t="str">
        <f>IFERROR(__xludf.DUMMYFUNCTION("""COMPUTED_VALUE"""),"US_160 POLICLINICA GOUVEIA DE BARROS")</f>
        <v>US_160 POLICLINICA GOUVEIA DE BARROS</v>
      </c>
      <c r="G2608" s="11" t="str">
        <f>IFERROR(__xludf.DUMMYFUNCTION("""COMPUTED_VALUE"""),"US_160 POLICLINICA GOUVEIA DE BARROS")</f>
        <v>US_160 POLICLINICA GOUVEIA DE BARROS</v>
      </c>
      <c r="H2608" s="11"/>
      <c r="I2608" s="11"/>
      <c r="J2608" s="11"/>
      <c r="K2608" s="11"/>
      <c r="L2608" s="11"/>
      <c r="M2608" s="11"/>
      <c r="N2608" s="30" t="str">
        <f>IFERROR(__xludf.DUMMYFUNCTION("""COMPUTED_VALUE"""),"AROZEPAZ@YAHOO.COM.BR")</f>
        <v>AROZEPAZ@YAHOO.COM.BR</v>
      </c>
      <c r="O2608" s="11">
        <f>IFERROR(__xludf.DUMMYFUNCTION("""COMPUTED_VALUE"""),12417874415)</f>
        <v>12417874415</v>
      </c>
      <c r="P2608" s="11"/>
      <c r="Q2608" s="11"/>
      <c r="R2608" s="11"/>
      <c r="S2608" s="11"/>
      <c r="T2608" s="11"/>
      <c r="U2608" s="11"/>
      <c r="V2608" s="11"/>
      <c r="W2608" s="11"/>
      <c r="X2608" s="11"/>
      <c r="Y2608" s="11"/>
      <c r="Z2608" s="11"/>
    </row>
    <row r="2609" customHeight="1" spans="1:26">
      <c r="A2609" s="11" t="str">
        <f>IFERROR(__xludf.DUMMYFUNCTION("""COMPUTED_VALUE"""),"ANA CELMA FONSECA A MENDES")</f>
        <v>ANA CELMA FONSECA A MENDES</v>
      </c>
      <c r="B2609" s="11"/>
      <c r="C2609" s="11"/>
      <c r="D2609" s="11" t="str">
        <f>IFERROR(__xludf.DUMMYFUNCTION("""COMPUTED_VALUE"""),"PEDIATRIA")</f>
        <v>PEDIATRIA</v>
      </c>
      <c r="E2609" s="11"/>
      <c r="F2609" s="11" t="str">
        <f>IFERROR(__xludf.DUMMYFUNCTION("""COMPUTED_VALUE"""),"US_376 POLICLINICA SALOMAO KELNER")</f>
        <v>US_376 POLICLINICA SALOMAO KELNER</v>
      </c>
      <c r="G2609" s="11" t="str">
        <f>IFERROR(__xludf.DUMMYFUNCTION("""COMPUTED_VALUE"""),"US_376 POLICLINICA SALOMAO KELNER")</f>
        <v>US_376 POLICLINICA SALOMAO KELNER</v>
      </c>
      <c r="H2609" s="11"/>
      <c r="I2609" s="11"/>
      <c r="J2609" s="11"/>
      <c r="K2609" s="11"/>
      <c r="L2609" s="11"/>
      <c r="M2609" s="11"/>
      <c r="N2609" s="30" t="str">
        <f>IFERROR(__xludf.DUMMYFUNCTION("""COMPUTED_VALUE"""),"ANACELMAM@YAHOO.COM.BR")</f>
        <v>ANACELMAM@YAHOO.COM.BR</v>
      </c>
      <c r="O2609" s="11">
        <f>IFERROR(__xludf.DUMMYFUNCTION("""COMPUTED_VALUE"""),83267891434)</f>
        <v>83267891434</v>
      </c>
      <c r="P2609" s="11"/>
      <c r="Q2609" s="11"/>
      <c r="R2609" s="11"/>
      <c r="S2609" s="11"/>
      <c r="T2609" s="11"/>
      <c r="U2609" s="11"/>
      <c r="V2609" s="11"/>
      <c r="W2609" s="11"/>
      <c r="X2609" s="11"/>
      <c r="Y2609" s="11"/>
      <c r="Z2609" s="11"/>
    </row>
    <row r="2610" customHeight="1" spans="1:26">
      <c r="A2610" s="11" t="str">
        <f>IFERROR(__xludf.DUMMYFUNCTION("""COMPUTED_VALUE"""),"GUSTAVO PARANHOS DE A MORAES")</f>
        <v>GUSTAVO PARANHOS DE A MORAES</v>
      </c>
      <c r="B2610" s="11"/>
      <c r="C2610" s="11"/>
      <c r="D2610" s="11" t="str">
        <f>IFERROR(__xludf.DUMMYFUNCTION("""COMPUTED_VALUE"""),"PSIQUIATRIA")</f>
        <v>PSIQUIATRIA</v>
      </c>
      <c r="E2610" s="11"/>
      <c r="F2610" s="11" t="str">
        <f>IFERROR(__xludf.DUMMYFUNCTION("""COMPUTED_VALUE"""),"US_128 POLICLINICA LESSA DE ANDRADE")</f>
        <v>US_128 POLICLINICA LESSA DE ANDRADE</v>
      </c>
      <c r="G2610" s="11" t="str">
        <f>IFERROR(__xludf.DUMMYFUNCTION("""COMPUTED_VALUE"""),"US_128 POLICLINICA LESSA DE ANDRADE")</f>
        <v>US_128 POLICLINICA LESSA DE ANDRADE</v>
      </c>
      <c r="H2610" s="11"/>
      <c r="I2610" s="11"/>
      <c r="J2610" s="11"/>
      <c r="K2610" s="11"/>
      <c r="L2610" s="11"/>
      <c r="M2610" s="11"/>
      <c r="N2610" s="30" t="str">
        <f>IFERROR(__xludf.DUMMYFUNCTION("""COMPUTED_VALUE"""),"GPMORAES@HOTMAIL.COM")</f>
        <v>GPMORAES@HOTMAIL.COM</v>
      </c>
      <c r="O2610" s="11">
        <f>IFERROR(__xludf.DUMMYFUNCTION("""COMPUTED_VALUE"""),3173814401)</f>
        <v>3173814401</v>
      </c>
      <c r="P2610" s="11"/>
      <c r="Q2610" s="11"/>
      <c r="R2610" s="11"/>
      <c r="S2610" s="11"/>
      <c r="T2610" s="11"/>
      <c r="U2610" s="11"/>
      <c r="V2610" s="11"/>
      <c r="W2610" s="11"/>
      <c r="X2610" s="11"/>
      <c r="Y2610" s="11"/>
      <c r="Z2610" s="11"/>
    </row>
    <row r="2611" customHeight="1" spans="1:26">
      <c r="A2611" s="11" t="str">
        <f>IFERROR(__xludf.DUMMYFUNCTION("""COMPUTED_VALUE"""),"RAFAELA VASCONCELOS VIANA")</f>
        <v>RAFAELA VASCONCELOS VIANA</v>
      </c>
      <c r="B2611" s="11"/>
      <c r="C2611" s="11"/>
      <c r="D2611" s="11" t="str">
        <f>IFERROR(__xludf.DUMMYFUNCTION("""COMPUTED_VALUE"""),"NEUROLOGIA PEDIATRICA")</f>
        <v>NEUROLOGIA PEDIATRICA</v>
      </c>
      <c r="E2611" s="11"/>
      <c r="F2611" s="11" t="str">
        <f>IFERROR(__xludf.DUMMYFUNCTION("""COMPUTED_VALUE"""),"US_128 POLICLINICA LESSA DE ANDRADE")</f>
        <v>US_128 POLICLINICA LESSA DE ANDRADE</v>
      </c>
      <c r="G2611" s="11" t="str">
        <f>IFERROR(__xludf.DUMMYFUNCTION("""COMPUTED_VALUE"""),"US_128 POLICLINICA LESSA DE ANDRADE")</f>
        <v>US_128 POLICLINICA LESSA DE ANDRADE</v>
      </c>
      <c r="H2611" s="11"/>
      <c r="I2611" s="11"/>
      <c r="J2611" s="11"/>
      <c r="K2611" s="11"/>
      <c r="L2611" s="11"/>
      <c r="M2611" s="11"/>
      <c r="N2611" s="30" t="str">
        <f>IFERROR(__xludf.DUMMYFUNCTION("""COMPUTED_VALUE"""),"VIANA.RAFAELA@GMAIL.COM")</f>
        <v>VIANA.RAFAELA@GMAIL.COM</v>
      </c>
      <c r="O2611" s="11">
        <f>IFERROR(__xludf.DUMMYFUNCTION("""COMPUTED_VALUE"""),3549912480)</f>
        <v>3549912480</v>
      </c>
      <c r="P2611" s="11"/>
      <c r="Q2611" s="11"/>
      <c r="R2611" s="11"/>
      <c r="S2611" s="11"/>
      <c r="T2611" s="11"/>
      <c r="U2611" s="11"/>
      <c r="V2611" s="11"/>
      <c r="W2611" s="11"/>
      <c r="X2611" s="11"/>
      <c r="Y2611" s="11"/>
      <c r="Z2611" s="11"/>
    </row>
    <row r="2612" customHeight="1" spans="1:26">
      <c r="A2612" s="11" t="str">
        <f>IFERROR(__xludf.DUMMYFUNCTION("""COMPUTED_VALUE"""),"MONICA DE BARROS MARINHO")</f>
        <v>MONICA DE BARROS MARINHO</v>
      </c>
      <c r="B2612" s="11"/>
      <c r="C2612" s="11"/>
      <c r="D2612" s="11" t="str">
        <f>IFERROR(__xludf.DUMMYFUNCTION("""COMPUTED_VALUE"""),"CARDIOLOGIA")</f>
        <v>CARDIOLOGIA</v>
      </c>
      <c r="E2612" s="11"/>
      <c r="F2612" s="11" t="str">
        <f>IFERROR(__xludf.DUMMYFUNCTION("""COMPUTED_VALUE"""),"US_128 POLICLINICA LESSA DE ANDRADE")</f>
        <v>US_128 POLICLINICA LESSA DE ANDRADE</v>
      </c>
      <c r="G2612" s="11" t="str">
        <f>IFERROR(__xludf.DUMMYFUNCTION("""COMPUTED_VALUE"""),"US_128 POLICLINICA LESSA DE ANDRADE")</f>
        <v>US_128 POLICLINICA LESSA DE ANDRADE</v>
      </c>
      <c r="H2612" s="11"/>
      <c r="I2612" s="11"/>
      <c r="J2612" s="11"/>
      <c r="K2612" s="11"/>
      <c r="L2612" s="11"/>
      <c r="M2612" s="11"/>
      <c r="N2612" s="30" t="str">
        <f>IFERROR(__xludf.DUMMYFUNCTION("""COMPUTED_VALUE"""),"moninsk@yahoo.com.br")</f>
        <v>moninsk@yahoo.com.br</v>
      </c>
      <c r="O2612" s="11">
        <f>IFERROR(__xludf.DUMMYFUNCTION("""COMPUTED_VALUE"""),3819862412)</f>
        <v>3819862412</v>
      </c>
      <c r="P2612" s="11"/>
      <c r="Q2612" s="11"/>
      <c r="R2612" s="11"/>
      <c r="S2612" s="11"/>
      <c r="T2612" s="11"/>
      <c r="U2612" s="11"/>
      <c r="V2612" s="11"/>
      <c r="W2612" s="11"/>
      <c r="X2612" s="11"/>
      <c r="Y2612" s="11"/>
      <c r="Z2612" s="11"/>
    </row>
    <row r="2613" customHeight="1" spans="1:26">
      <c r="A2613" s="11" t="str">
        <f>IFERROR(__xludf.DUMMYFUNCTION("""COMPUTED_VALUE"""),"ANA CATARINA DE M RODRIGUES")</f>
        <v>ANA CATARINA DE M RODRIGUES</v>
      </c>
      <c r="B2613" s="11"/>
      <c r="C2613" s="11"/>
      <c r="D2613" s="11" t="str">
        <f>IFERROR(__xludf.DUMMYFUNCTION("""COMPUTED_VALUE"""),"CLINICA GERAL")</f>
        <v>CLINICA GERAL</v>
      </c>
      <c r="E2613" s="11"/>
      <c r="F2613" s="11" t="str">
        <f>IFERROR(__xludf.DUMMYFUNCTION("""COMPUTED_VALUE"""),"US_162 POLICLINICA ALBERT SABIN")</f>
        <v>US_162 POLICLINICA ALBERT SABIN</v>
      </c>
      <c r="G2613" s="11" t="str">
        <f>IFERROR(__xludf.DUMMYFUNCTION("""COMPUTED_VALUE"""),"US_162 POLICLINICA ALBERT SABIN")</f>
        <v>US_162 POLICLINICA ALBERT SABIN</v>
      </c>
      <c r="H2613" s="27">
        <f>IFERROR(__xludf.DUMMYFUNCTION("""COMPUTED_VALUE"""),81999696414)</f>
        <v>81999696414</v>
      </c>
      <c r="I2613" s="11"/>
      <c r="J2613" s="11"/>
      <c r="K2613" s="24">
        <f>IFERROR(__xludf.DUMMYFUNCTION("""COMPUTED_VALUE"""),45365)</f>
        <v>45365</v>
      </c>
      <c r="L2613" s="11"/>
      <c r="M2613" s="11"/>
      <c r="N2613" s="30" t="str">
        <f>IFERROR(__xludf.DUMMYFUNCTION("""COMPUTED_VALUE"""),"CATIGASTRO@YAHOO.COM.BR")</f>
        <v>CATIGASTRO@YAHOO.COM.BR</v>
      </c>
      <c r="O2613" s="11">
        <f>IFERROR(__xludf.DUMMYFUNCTION("""COMPUTED_VALUE"""),89011260449)</f>
        <v>89011260449</v>
      </c>
      <c r="P2613" s="11"/>
      <c r="Q2613" s="11"/>
      <c r="R2613" s="11"/>
      <c r="S2613" s="11"/>
      <c r="T2613" s="11"/>
      <c r="U2613" s="11"/>
      <c r="V2613" s="11"/>
      <c r="W2613" s="11"/>
      <c r="X2613" s="11"/>
      <c r="Y2613" s="11"/>
      <c r="Z2613" s="11"/>
    </row>
    <row r="2614" customHeight="1" spans="1:26">
      <c r="A2614" s="11" t="str">
        <f>IFERROR(__xludf.DUMMYFUNCTION("""COMPUTED_VALUE"""),"SAULO VANDEVELDE TORRES")</f>
        <v>SAULO VANDEVELDE TORRES</v>
      </c>
      <c r="B2614" s="11"/>
      <c r="C2614" s="11"/>
      <c r="D2614" s="11" t="str">
        <f>IFERROR(__xludf.DUMMYFUNCTION("""COMPUTED_VALUE"""),"PSIQUIATRIA")</f>
        <v>PSIQUIATRIA</v>
      </c>
      <c r="E2614" s="11"/>
      <c r="F2614" s="11" t="str">
        <f>IFERROR(__xludf.DUMMYFUNCTION("""COMPUTED_VALUE"""),"US_144 POLICLINICA CLEMENTINO FRAGA")</f>
        <v>US_144 POLICLINICA CLEMENTINO FRAGA</v>
      </c>
      <c r="G2614" s="11" t="str">
        <f>IFERROR(__xludf.DUMMYFUNCTION("""COMPUTED_VALUE"""),"US_144 POLICLINICA CLEMENTINO FRAGA")</f>
        <v>US_144 POLICLINICA CLEMENTINO FRAGA</v>
      </c>
      <c r="H2614" s="11"/>
      <c r="I2614" s="11"/>
      <c r="J2614" s="11"/>
      <c r="K2614" s="11"/>
      <c r="L2614" s="11"/>
      <c r="M2614" s="11"/>
      <c r="N2614" s="30" t="str">
        <f>IFERROR(__xludf.DUMMYFUNCTION("""COMPUTED_VALUE"""),"SAULOVT@HOTMAIL.COM")</f>
        <v>SAULOVT@HOTMAIL.COM</v>
      </c>
      <c r="O2614" s="11">
        <f>IFERROR(__xludf.DUMMYFUNCTION("""COMPUTED_VALUE"""),7388720405)</f>
        <v>7388720405</v>
      </c>
      <c r="P2614" s="11"/>
      <c r="Q2614" s="11"/>
      <c r="R2614" s="11"/>
      <c r="S2614" s="11"/>
      <c r="T2614" s="11"/>
      <c r="U2614" s="11"/>
      <c r="V2614" s="11"/>
      <c r="W2614" s="11"/>
      <c r="X2614" s="11"/>
      <c r="Y2614" s="11"/>
      <c r="Z2614" s="11"/>
    </row>
    <row r="2615" customHeight="1" spans="1:26">
      <c r="A2615" s="11" t="str">
        <f>IFERROR(__xludf.DUMMYFUNCTION("""COMPUTED_VALUE"""),"JULIANA SAMICO DE MELO CORREIA")</f>
        <v>JULIANA SAMICO DE MELO CORREIA</v>
      </c>
      <c r="B2615" s="11"/>
      <c r="C2615" s="11"/>
      <c r="D2615" s="11" t="str">
        <f>IFERROR(__xludf.DUMMYFUNCTION("""COMPUTED_VALUE"""),"PEDIATRIA")</f>
        <v>PEDIATRIA</v>
      </c>
      <c r="E2615" s="11"/>
      <c r="F2615" s="11" t="str">
        <f>IFERROR(__xludf.DUMMYFUNCTION("""COMPUTED_VALUE"""),"US_162 POLICLINICA ALBERT SABIN")</f>
        <v>US_162 POLICLINICA ALBERT SABIN</v>
      </c>
      <c r="G2615" s="11" t="str">
        <f>IFERROR(__xludf.DUMMYFUNCTION("""COMPUTED_VALUE"""),"US_162 POLICLINICA ALBERT SABIN")</f>
        <v>US_162 POLICLINICA ALBERT SABIN</v>
      </c>
      <c r="H2615" s="11"/>
      <c r="I2615" s="11"/>
      <c r="J2615" s="11"/>
      <c r="K2615" s="11"/>
      <c r="L2615" s="11"/>
      <c r="M2615" s="11"/>
      <c r="N2615" s="30" t="str">
        <f>IFERROR(__xludf.DUMMYFUNCTION("""COMPUTED_VALUE"""),"JULIANASAMICO@GMAIL.COM")</f>
        <v>JULIANASAMICO@GMAIL.COM</v>
      </c>
      <c r="O2615" s="11">
        <f>IFERROR(__xludf.DUMMYFUNCTION("""COMPUTED_VALUE"""),99542706472)</f>
        <v>99542706472</v>
      </c>
      <c r="P2615" s="11"/>
      <c r="Q2615" s="11"/>
      <c r="R2615" s="11"/>
      <c r="S2615" s="11"/>
      <c r="T2615" s="11"/>
      <c r="U2615" s="11"/>
      <c r="V2615" s="11"/>
      <c r="W2615" s="11"/>
      <c r="X2615" s="11"/>
      <c r="Y2615" s="11"/>
      <c r="Z2615" s="11"/>
    </row>
    <row r="2616" customHeight="1" spans="1:26">
      <c r="A2616" s="11" t="str">
        <f>IFERROR(__xludf.DUMMYFUNCTION("""COMPUTED_VALUE"""),"CINARA DE LIMA CAVALCANTI")</f>
        <v>CINARA DE LIMA CAVALCANTI</v>
      </c>
      <c r="B2616" s="11"/>
      <c r="C2616" s="11"/>
      <c r="D2616" s="11" t="str">
        <f>IFERROR(__xludf.DUMMYFUNCTION("""COMPUTED_VALUE"""),"OBSTETRICIA / TOCOGINECOLOGIA")</f>
        <v>OBSTETRICIA / TOCOGINECOLOGIA</v>
      </c>
      <c r="E2616" s="11"/>
      <c r="F2616" s="11" t="str">
        <f>IFERROR(__xludf.DUMMYFUNCTION("""COMPUTED_VALUE"""),"US_376 POLICLINICA SALOMAO KELNER")</f>
        <v>US_376 POLICLINICA SALOMAO KELNER</v>
      </c>
      <c r="G2616" s="11" t="str">
        <f>IFERROR(__xludf.DUMMYFUNCTION("""COMPUTED_VALUE"""),"US_376 POLICLINICA SALOMAO KELNER")</f>
        <v>US_376 POLICLINICA SALOMAO KELNER</v>
      </c>
      <c r="H2616" s="11"/>
      <c r="I2616" s="11"/>
      <c r="J2616" s="11"/>
      <c r="K2616" s="11"/>
      <c r="L2616" s="11"/>
      <c r="M2616" s="11"/>
      <c r="N2616" s="30" t="str">
        <f>IFERROR(__xludf.DUMMYFUNCTION("""COMPUTED_VALUE"""),"CINARACAVALCANTI@UOL.COM.BR")</f>
        <v>CINARACAVALCANTI@UOL.COM.BR</v>
      </c>
      <c r="O2616" s="11">
        <f>IFERROR(__xludf.DUMMYFUNCTION("""COMPUTED_VALUE"""),53466918472)</f>
        <v>53466918472</v>
      </c>
      <c r="P2616" s="11"/>
      <c r="Q2616" s="11"/>
      <c r="R2616" s="11"/>
      <c r="S2616" s="11"/>
      <c r="T2616" s="11"/>
      <c r="U2616" s="11"/>
      <c r="V2616" s="11"/>
      <c r="W2616" s="11"/>
      <c r="X2616" s="11"/>
      <c r="Y2616" s="11"/>
      <c r="Z2616" s="11"/>
    </row>
    <row r="2617" customHeight="1" spans="1:26">
      <c r="A2617" s="11" t="str">
        <f>IFERROR(__xludf.DUMMYFUNCTION("""COMPUTED_VALUE"""),"DENISE MORENO NOBRE")</f>
        <v>DENISE MORENO NOBRE</v>
      </c>
      <c r="B2617" s="11"/>
      <c r="C2617" s="11"/>
      <c r="D2617" s="11" t="str">
        <f>IFERROR(__xludf.DUMMYFUNCTION("""COMPUTED_VALUE"""),"GINECOLOGIA E OBSTETRICIA")</f>
        <v>GINECOLOGIA E OBSTETRICIA</v>
      </c>
      <c r="E2617" s="11"/>
      <c r="F2617" s="11" t="str">
        <f>IFERROR(__xludf.DUMMYFUNCTION("""COMPUTED_VALUE"""),"US_293 POLICLINICA DO PINA -  PROFESSORA NAIDE REGUEIRA TEODOSIO")</f>
        <v>US_293 POLICLINICA DO PINA -  PROFESSORA NAIDE REGUEIRA TEODOSIO</v>
      </c>
      <c r="G2617" s="11" t="str">
        <f>IFERROR(__xludf.DUMMYFUNCTION("""COMPUTED_VALUE"""),"US_293 POLICLINICA DO PINA -  PROFESSORA NAIDE REGUEIRA TEODOSIO")</f>
        <v>US_293 POLICLINICA DO PINA -  PROFESSORA NAIDE REGUEIRA TEODOSIO</v>
      </c>
      <c r="H2617" s="11"/>
      <c r="I2617" s="11"/>
      <c r="J2617" s="11"/>
      <c r="K2617" s="11"/>
      <c r="L2617" s="11"/>
      <c r="M2617" s="11"/>
      <c r="N2617" s="30" t="str">
        <f>IFERROR(__xludf.DUMMYFUNCTION("""COMPUTED_VALUE"""),"DEcamn@gmail.com")</f>
        <v>DEcamn@gmail.com</v>
      </c>
      <c r="O2617" s="11">
        <f>IFERROR(__xludf.DUMMYFUNCTION("""COMPUTED_VALUE"""),30317436287)</f>
        <v>30317436287</v>
      </c>
      <c r="P2617" s="11"/>
      <c r="Q2617" s="11"/>
      <c r="R2617" s="11"/>
      <c r="S2617" s="11"/>
      <c r="T2617" s="11"/>
      <c r="U2617" s="11"/>
      <c r="V2617" s="11"/>
      <c r="W2617" s="11"/>
      <c r="X2617" s="11"/>
      <c r="Y2617" s="11"/>
      <c r="Z2617" s="11"/>
    </row>
    <row r="2618" customHeight="1" spans="1:26">
      <c r="A2618" s="11" t="str">
        <f>IFERROR(__xludf.DUMMYFUNCTION("""COMPUTED_VALUE"""),"AURI ALVES DOS SANTOS FILHO")</f>
        <v>AURI ALVES DOS SANTOS FILHO</v>
      </c>
      <c r="B2618" s="11"/>
      <c r="C2618" s="11"/>
      <c r="D2618" s="11" t="str">
        <f>IFERROR(__xludf.DUMMYFUNCTION("""COMPUTED_VALUE"""),"CLINICA MEDICA")</f>
        <v>CLINICA MEDICA</v>
      </c>
      <c r="E2618" s="11"/>
      <c r="F2618" s="11" t="str">
        <f>IFERROR(__xludf.DUMMYFUNCTION("""COMPUTED_VALUE"""),"US_160 POLICLINICA GOUVEIA DE BARROS")</f>
        <v>US_160 POLICLINICA GOUVEIA DE BARROS</v>
      </c>
      <c r="G2618" s="11" t="str">
        <f>IFERROR(__xludf.DUMMYFUNCTION("""COMPUTED_VALUE"""),"US_160 POLICLINICA GOUVEIA DE BARROS")</f>
        <v>US_160 POLICLINICA GOUVEIA DE BARROS</v>
      </c>
      <c r="H2618" s="11"/>
      <c r="I2618" s="11"/>
      <c r="J2618" s="11"/>
      <c r="K2618" s="11"/>
      <c r="L2618" s="11"/>
      <c r="M2618" s="11"/>
      <c r="N2618" s="30" t="str">
        <f>IFERROR(__xludf.DUMMYFUNCTION("""COMPUTED_VALUE"""),"auri_alvesfilho123@hotmail.com")</f>
        <v>auri_alvesfilho123@hotmail.com</v>
      </c>
      <c r="O2618" s="11">
        <f>IFERROR(__xludf.DUMMYFUNCTION("""COMPUTED_VALUE"""),8339204483)</f>
        <v>8339204483</v>
      </c>
      <c r="P2618" s="11"/>
      <c r="Q2618" s="11"/>
      <c r="R2618" s="11"/>
      <c r="S2618" s="11"/>
      <c r="T2618" s="11"/>
      <c r="U2618" s="11"/>
      <c r="V2618" s="11"/>
      <c r="W2618" s="11"/>
      <c r="X2618" s="11"/>
      <c r="Y2618" s="11"/>
      <c r="Z2618" s="11"/>
    </row>
    <row r="2619" customHeight="1" spans="1:26">
      <c r="A2619" s="11" t="str">
        <f>IFERROR(__xludf.DUMMYFUNCTION("""COMPUTED_VALUE"""),"FLAVIA ANDREZA DOS S MARTINS")</f>
        <v>FLAVIA ANDREZA DOS S MARTINS</v>
      </c>
      <c r="B2619" s="11"/>
      <c r="C2619" s="11"/>
      <c r="D2619" s="11" t="str">
        <f>IFERROR(__xludf.DUMMYFUNCTION("""COMPUTED_VALUE"""),"CLINICA MEDICA")</f>
        <v>CLINICA MEDICA</v>
      </c>
      <c r="E2619" s="11"/>
      <c r="F2619" s="11" t="str">
        <f>IFERROR(__xludf.DUMMYFUNCTION("""COMPUTED_VALUE"""),"US_166 POLICLINICA CENTRO")</f>
        <v>US_166 POLICLINICA CENTRO</v>
      </c>
      <c r="G2619" s="11" t="str">
        <f>IFERROR(__xludf.DUMMYFUNCTION("""COMPUTED_VALUE"""),"US_166 POLICLINICA CENTRO")</f>
        <v>US_166 POLICLINICA CENTRO</v>
      </c>
      <c r="H2619" s="27">
        <f>IFERROR(__xludf.DUMMYFUNCTION("""COMPUTED_VALUE"""),81997469398)</f>
        <v>81997469398</v>
      </c>
      <c r="I2619" s="11"/>
      <c r="J2619" s="11"/>
      <c r="K2619" s="11"/>
      <c r="L2619" s="11"/>
      <c r="M2619" s="11"/>
      <c r="N2619" s="30" t="str">
        <f>IFERROR(__xludf.DUMMYFUNCTION("""COMPUTED_VALUE"""),"flaviaandrezasm@gmail.com")</f>
        <v>flaviaandrezasm@gmail.com</v>
      </c>
      <c r="O2619" s="11">
        <f>IFERROR(__xludf.DUMMYFUNCTION("""COMPUTED_VALUE"""),6427616471)</f>
        <v>6427616471</v>
      </c>
      <c r="P2619" s="11"/>
      <c r="Q2619" s="11"/>
      <c r="R2619" s="11"/>
      <c r="S2619" s="11"/>
      <c r="T2619" s="11"/>
      <c r="U2619" s="11"/>
      <c r="V2619" s="11"/>
      <c r="W2619" s="11"/>
      <c r="X2619" s="11"/>
      <c r="Y2619" s="11"/>
      <c r="Z2619" s="11"/>
    </row>
    <row r="2620" customHeight="1" spans="1:26">
      <c r="A2620" s="11" t="str">
        <f>IFERROR(__xludf.DUMMYFUNCTION("""COMPUTED_VALUE"""),"TAISA FERREIRA LIMA")</f>
        <v>TAISA FERREIRA LIMA</v>
      </c>
      <c r="B2620" s="11"/>
      <c r="C2620" s="11"/>
      <c r="D2620" s="11" t="str">
        <f>IFERROR(__xludf.DUMMYFUNCTION("""COMPUTED_VALUE"""),"PSIQUIATRIA")</f>
        <v>PSIQUIATRIA</v>
      </c>
      <c r="E2620" s="11"/>
      <c r="F2620" s="11" t="str">
        <f>IFERROR(__xludf.DUMMYFUNCTION("""COMPUTED_VALUE"""),"US_128 POLICLINICA LESSA DE ANDRADE")</f>
        <v>US_128 POLICLINICA LESSA DE ANDRADE</v>
      </c>
      <c r="G2620" s="11" t="str">
        <f>IFERROR(__xludf.DUMMYFUNCTION("""COMPUTED_VALUE"""),"US_128 POLICLINICA LESSA DE ANDRADE")</f>
        <v>US_128 POLICLINICA LESSA DE ANDRADE</v>
      </c>
      <c r="H2620" s="11"/>
      <c r="I2620" s="11"/>
      <c r="J2620" s="11"/>
      <c r="K2620" s="11"/>
      <c r="L2620" s="11"/>
      <c r="M2620" s="11"/>
      <c r="N2620" s="30" t="str">
        <f>IFERROR(__xludf.DUMMYFUNCTION("""COMPUTED_VALUE"""),"taisa_psi@yahoo.com.br")</f>
        <v>taisa_psi@yahoo.com.br</v>
      </c>
      <c r="O2620" s="11">
        <f>IFERROR(__xludf.DUMMYFUNCTION("""COMPUTED_VALUE"""),6610887403)</f>
        <v>6610887403</v>
      </c>
      <c r="P2620" s="11"/>
      <c r="Q2620" s="11"/>
      <c r="R2620" s="11"/>
      <c r="S2620" s="11"/>
      <c r="T2620" s="11"/>
      <c r="U2620" s="11"/>
      <c r="V2620" s="11"/>
      <c r="W2620" s="11"/>
      <c r="X2620" s="11"/>
      <c r="Y2620" s="11"/>
      <c r="Z2620" s="11"/>
    </row>
    <row r="2621" customHeight="1" spans="1:26">
      <c r="A2621" s="11" t="str">
        <f>IFERROR(__xludf.DUMMYFUNCTION("""COMPUTED_VALUE"""),"LARISSA MIRANDA SILVA")</f>
        <v>LARISSA MIRANDA SILVA</v>
      </c>
      <c r="B2621" s="11"/>
      <c r="C2621" s="11"/>
      <c r="D2621" s="11" t="str">
        <f>IFERROR(__xludf.DUMMYFUNCTION("""COMPUTED_VALUE"""),"GINECOLOGIA E OBSTETRICIA")</f>
        <v>GINECOLOGIA E OBSTETRICIA</v>
      </c>
      <c r="E2621" s="11"/>
      <c r="F2621" s="11" t="str">
        <f>IFERROR(__xludf.DUMMYFUNCTION("""COMPUTED_VALUE"""),"US_128 POLICLINICA LESSA DE ANDRADE")</f>
        <v>US_128 POLICLINICA LESSA DE ANDRADE</v>
      </c>
      <c r="G2621" s="11" t="str">
        <f>IFERROR(__xludf.DUMMYFUNCTION("""COMPUTED_VALUE"""),"US_128 POLICLINICA LESSA DE ANDRADE")</f>
        <v>US_128 POLICLINICA LESSA DE ANDRADE</v>
      </c>
      <c r="H2621" s="11"/>
      <c r="I2621" s="11"/>
      <c r="J2621" s="11"/>
      <c r="K2621" s="11"/>
      <c r="L2621" s="11"/>
      <c r="M2621" s="11"/>
      <c r="N2621" s="30" t="str">
        <f>IFERROR(__xludf.DUMMYFUNCTION("""COMPUTED_VALUE"""),"larissa.aschoff@gmail.com")</f>
        <v>larissa.aschoff@gmail.com</v>
      </c>
      <c r="O2621" s="11">
        <f>IFERROR(__xludf.DUMMYFUNCTION("""COMPUTED_VALUE"""),6485696407)</f>
        <v>6485696407</v>
      </c>
      <c r="P2621" s="11"/>
      <c r="Q2621" s="11"/>
      <c r="R2621" s="11"/>
      <c r="S2621" s="11"/>
      <c r="T2621" s="11"/>
      <c r="U2621" s="11"/>
      <c r="V2621" s="11"/>
      <c r="W2621" s="11"/>
      <c r="X2621" s="11"/>
      <c r="Y2621" s="11"/>
      <c r="Z2621" s="11"/>
    </row>
    <row r="2622" customHeight="1" spans="1:26">
      <c r="A2622" s="11" t="str">
        <f>IFERROR(__xludf.DUMMYFUNCTION("""COMPUTED_VALUE"""),"JESSICA MENEZES GOMES MELO")</f>
        <v>JESSICA MENEZES GOMES MELO</v>
      </c>
      <c r="B2622" s="11"/>
      <c r="C2622" s="11"/>
      <c r="D2622" s="11" t="str">
        <f>IFERROR(__xludf.DUMMYFUNCTION("""COMPUTED_VALUE"""),"DERMATOLOGIA")</f>
        <v>DERMATOLOGIA</v>
      </c>
      <c r="E2622" s="11"/>
      <c r="F2622" s="11" t="str">
        <f>IFERROR(__xludf.DUMMYFUNCTION("""COMPUTED_VALUE"""),"US_128 POLICLINICA LESSA DE ANDRADE")</f>
        <v>US_128 POLICLINICA LESSA DE ANDRADE</v>
      </c>
      <c r="G2622" s="11" t="str">
        <f>IFERROR(__xludf.DUMMYFUNCTION("""COMPUTED_VALUE"""),"US_128 POLICLINICA LESSA DE ANDRADE")</f>
        <v>US_128 POLICLINICA LESSA DE ANDRADE</v>
      </c>
      <c r="H2622" s="11"/>
      <c r="I2622" s="11"/>
      <c r="J2622" s="11"/>
      <c r="K2622" s="11"/>
      <c r="L2622" s="11"/>
      <c r="M2622" s="11"/>
      <c r="N2622" s="30" t="str">
        <f>IFERROR(__xludf.DUMMYFUNCTION("""COMPUTED_VALUE"""),"mg_je@hotmail.com")</f>
        <v>mg_je@hotmail.com</v>
      </c>
      <c r="O2622" s="11">
        <f>IFERROR(__xludf.DUMMYFUNCTION("""COMPUTED_VALUE"""),4591113450)</f>
        <v>4591113450</v>
      </c>
      <c r="P2622" s="11"/>
      <c r="Q2622" s="11"/>
      <c r="R2622" s="11"/>
      <c r="S2622" s="11"/>
      <c r="T2622" s="11"/>
      <c r="U2622" s="11"/>
      <c r="V2622" s="11"/>
      <c r="W2622" s="11"/>
      <c r="X2622" s="11"/>
      <c r="Y2622" s="11"/>
      <c r="Z2622" s="11"/>
    </row>
    <row r="2623" customHeight="1" spans="1:26">
      <c r="A2623" s="11" t="str">
        <f>IFERROR(__xludf.DUMMYFUNCTION("""COMPUTED_VALUE"""),"EDUARDO DE ARRUDA MEDEIROS")</f>
        <v>EDUARDO DE ARRUDA MEDEIROS</v>
      </c>
      <c r="B2623" s="11"/>
      <c r="C2623" s="11"/>
      <c r="D2623" s="11" t="str">
        <f>IFERROR(__xludf.DUMMYFUNCTION("""COMPUTED_VALUE"""),"DERMATOLOGIA")</f>
        <v>DERMATOLOGIA</v>
      </c>
      <c r="E2623" s="11"/>
      <c r="F2623" s="11" t="str">
        <f>IFERROR(__xludf.DUMMYFUNCTION("""COMPUTED_VALUE"""),"US_144 POLICLINICA CLEMENTINO FRAGA")</f>
        <v>US_144 POLICLINICA CLEMENTINO FRAGA</v>
      </c>
      <c r="G2623" s="11" t="str">
        <f>IFERROR(__xludf.DUMMYFUNCTION("""COMPUTED_VALUE"""),"US_144 POLICLINICA CLEMENTINO FRAGA")</f>
        <v>US_144 POLICLINICA CLEMENTINO FRAGA</v>
      </c>
      <c r="H2623" s="11"/>
      <c r="I2623" s="11"/>
      <c r="J2623" s="11"/>
      <c r="K2623" s="11"/>
      <c r="L2623" s="11"/>
      <c r="M2623" s="11"/>
      <c r="N2623" s="30" t="str">
        <f>IFERROR(__xludf.DUMMYFUNCTION("""COMPUTED_VALUE"""),"eduardo-medeiros@hotmail.com")</f>
        <v>eduardo-medeiros@hotmail.com</v>
      </c>
      <c r="O2623" s="11">
        <f>IFERROR(__xludf.DUMMYFUNCTION("""COMPUTED_VALUE"""),8421615467)</f>
        <v>8421615467</v>
      </c>
      <c r="P2623" s="11"/>
      <c r="Q2623" s="11"/>
      <c r="R2623" s="11"/>
      <c r="S2623" s="11"/>
      <c r="T2623" s="11"/>
      <c r="U2623" s="11"/>
      <c r="V2623" s="11"/>
      <c r="W2623" s="11"/>
      <c r="X2623" s="11"/>
      <c r="Y2623" s="11"/>
      <c r="Z2623" s="11"/>
    </row>
    <row r="2624" customHeight="1" spans="1:26">
      <c r="A2624" s="11" t="str">
        <f>IFERROR(__xludf.DUMMYFUNCTION("""COMPUTED_VALUE"""),"MAYARA TELINO SOARES")</f>
        <v>MAYARA TELINO SOARES</v>
      </c>
      <c r="B2624" s="11"/>
      <c r="C2624" s="11"/>
      <c r="D2624" s="11" t="str">
        <f>IFERROR(__xludf.DUMMYFUNCTION("""COMPUTED_VALUE"""),"GINECOLOGIA E OBSTETRICIA")</f>
        <v>GINECOLOGIA E OBSTETRICIA</v>
      </c>
      <c r="E2624" s="11"/>
      <c r="F2624" s="11" t="str">
        <f>IFERROR(__xludf.DUMMYFUNCTION("""COMPUTED_VALUE"""),"US_160 POLICLINICA GOUVEIA DE BARROS")</f>
        <v>US_160 POLICLINICA GOUVEIA DE BARROS</v>
      </c>
      <c r="G2624" s="11" t="str">
        <f>IFERROR(__xludf.DUMMYFUNCTION("""COMPUTED_VALUE"""),"US_160 POLICLINICA GOUVEIA DE BARROS")</f>
        <v>US_160 POLICLINICA GOUVEIA DE BARROS</v>
      </c>
      <c r="H2624" s="11"/>
      <c r="I2624" s="11"/>
      <c r="J2624" s="11"/>
      <c r="K2624" s="11"/>
      <c r="L2624" s="11"/>
      <c r="M2624" s="11"/>
      <c r="N2624" s="30" t="str">
        <f>IFERROR(__xludf.DUMMYFUNCTION("""COMPUTED_VALUE"""),"mayaratelino@gmail.com")</f>
        <v>mayaratelino@gmail.com</v>
      </c>
      <c r="O2624" s="11">
        <f>IFERROR(__xludf.DUMMYFUNCTION("""COMPUTED_VALUE"""),7542960407)</f>
        <v>7542960407</v>
      </c>
      <c r="P2624" s="11"/>
      <c r="Q2624" s="11"/>
      <c r="R2624" s="11"/>
      <c r="S2624" s="11"/>
      <c r="T2624" s="11"/>
      <c r="U2624" s="11"/>
      <c r="V2624" s="11"/>
      <c r="W2624" s="11"/>
      <c r="X2624" s="11"/>
      <c r="Y2624" s="11"/>
      <c r="Z2624" s="11"/>
    </row>
    <row r="2625" customHeight="1" spans="1:26">
      <c r="A2625" s="11" t="str">
        <f>IFERROR(__xludf.DUMMYFUNCTION("""COMPUTED_VALUE"""),"LUIZA DE ALMEIDA G LIMEIRA")</f>
        <v>LUIZA DE ALMEIDA G LIMEIRA</v>
      </c>
      <c r="B2625" s="11"/>
      <c r="C2625" s="11"/>
      <c r="D2625" s="11" t="str">
        <f>IFERROR(__xludf.DUMMYFUNCTION("""COMPUTED_VALUE"""),"OTORRINOLARINGOLOGIA")</f>
        <v>OTORRINOLARINGOLOGIA</v>
      </c>
      <c r="E2625" s="11"/>
      <c r="F2625" s="11" t="str">
        <f>IFERROR(__xludf.DUMMYFUNCTION("""COMPUTED_VALUE"""),"US_128 POLICLINICA LESSA DE ANDRADE")</f>
        <v>US_128 POLICLINICA LESSA DE ANDRADE</v>
      </c>
      <c r="G2625" s="11" t="str">
        <f>IFERROR(__xludf.DUMMYFUNCTION("""COMPUTED_VALUE"""),"US_128 POLICLINICA LESSA DE ANDRADE")</f>
        <v>US_128 POLICLINICA LESSA DE ANDRADE</v>
      </c>
      <c r="H2625" s="11"/>
      <c r="I2625" s="11"/>
      <c r="J2625" s="11"/>
      <c r="K2625" s="11"/>
      <c r="L2625" s="11"/>
      <c r="M2625" s="11"/>
      <c r="N2625" s="30" t="str">
        <f>IFERROR(__xludf.DUMMYFUNCTION("""COMPUTED_VALUE"""),"luizagondra@gmail.com")</f>
        <v>luizagondra@gmail.com</v>
      </c>
      <c r="O2625" s="11">
        <f>IFERROR(__xludf.DUMMYFUNCTION("""COMPUTED_VALUE"""),4865084479)</f>
        <v>4865084479</v>
      </c>
      <c r="P2625" s="11"/>
      <c r="Q2625" s="11"/>
      <c r="R2625" s="11"/>
      <c r="S2625" s="11"/>
      <c r="T2625" s="11"/>
      <c r="U2625" s="11"/>
      <c r="V2625" s="11"/>
      <c r="W2625" s="11"/>
      <c r="X2625" s="11"/>
      <c r="Y2625" s="11"/>
      <c r="Z2625" s="11"/>
    </row>
    <row r="2626" customHeight="1" spans="1:26">
      <c r="A2626" s="11" t="str">
        <f>IFERROR(__xludf.DUMMYFUNCTION("""COMPUTED_VALUE"""),"KEITH LYNCH DE MELLO M BEZERRA")</f>
        <v>KEITH LYNCH DE MELLO M BEZERRA</v>
      </c>
      <c r="B2626" s="11"/>
      <c r="C2626" s="11"/>
      <c r="D2626" s="11" t="str">
        <f>IFERROR(__xludf.DUMMYFUNCTION("""COMPUTED_VALUE"""),"NEUROLOGIA PEDIATRICA")</f>
        <v>NEUROLOGIA PEDIATRICA</v>
      </c>
      <c r="E2626" s="11"/>
      <c r="F2626" s="11" t="str">
        <f>IFERROR(__xludf.DUMMYFUNCTION("""COMPUTED_VALUE"""),"US_376 POLICLINICA SALOMAO KELNER")</f>
        <v>US_376 POLICLINICA SALOMAO KELNER</v>
      </c>
      <c r="G2626" s="11" t="str">
        <f>IFERROR(__xludf.DUMMYFUNCTION("""COMPUTED_VALUE"""),"US_376 POLICLINICA SALOMAO KELNER")</f>
        <v>US_376 POLICLINICA SALOMAO KELNER</v>
      </c>
      <c r="H2626" s="11"/>
      <c r="I2626" s="11"/>
      <c r="J2626" s="11"/>
      <c r="K2626" s="11"/>
      <c r="L2626" s="11"/>
      <c r="M2626" s="11"/>
      <c r="N2626" s="30" t="str">
        <f>IFERROR(__xludf.DUMMYFUNCTION("""COMPUTED_VALUE"""),"keithmendes@gmail.com")</f>
        <v>keithmendes@gmail.com</v>
      </c>
      <c r="O2626" s="11">
        <f>IFERROR(__xludf.DUMMYFUNCTION("""COMPUTED_VALUE"""),6470066429)</f>
        <v>6470066429</v>
      </c>
      <c r="P2626" s="11"/>
      <c r="Q2626" s="11"/>
      <c r="R2626" s="11"/>
      <c r="S2626" s="11"/>
      <c r="T2626" s="11"/>
      <c r="U2626" s="11"/>
      <c r="V2626" s="11"/>
      <c r="W2626" s="11"/>
      <c r="X2626" s="11"/>
      <c r="Y2626" s="11"/>
      <c r="Z2626" s="11"/>
    </row>
    <row r="2627" customHeight="1" spans="1:26">
      <c r="A2627" s="11" t="str">
        <f>IFERROR(__xludf.DUMMYFUNCTION("""COMPUTED_VALUE"""),"NAJARA REMIGIO F BORGES")</f>
        <v>NAJARA REMIGIO F BORGES</v>
      </c>
      <c r="B2627" s="11"/>
      <c r="C2627" s="11"/>
      <c r="D2627" s="11" t="str">
        <f>IFERROR(__xludf.DUMMYFUNCTION("""COMPUTED_VALUE"""),"GASTROENTEROLOGIA PEDIATRICO")</f>
        <v>GASTROENTEROLOGIA PEDIATRICO</v>
      </c>
      <c r="E2627" s="11"/>
      <c r="F2627" s="11" t="str">
        <f>IFERROR(__xludf.DUMMYFUNCTION("""COMPUTED_VALUE"""),"US_128 POLICLINICA LESSA DE ANDRADE")</f>
        <v>US_128 POLICLINICA LESSA DE ANDRADE</v>
      </c>
      <c r="G2627" s="11" t="str">
        <f>IFERROR(__xludf.DUMMYFUNCTION("""COMPUTED_VALUE"""),"US_128 POLICLINICA LESSA DE ANDRADE")</f>
        <v>US_128 POLICLINICA LESSA DE ANDRADE</v>
      </c>
      <c r="H2627" s="11"/>
      <c r="I2627" s="11"/>
      <c r="J2627" s="11"/>
      <c r="K2627" s="11"/>
      <c r="L2627" s="11"/>
      <c r="M2627" s="11"/>
      <c r="N2627" s="30" t="str">
        <f>IFERROR(__xludf.DUMMYFUNCTION("""COMPUTED_VALUE"""),"najararemigio@me.com")</f>
        <v>najararemigio@me.com</v>
      </c>
      <c r="O2627" s="11">
        <f>IFERROR(__xludf.DUMMYFUNCTION("""COMPUTED_VALUE"""),5839819417)</f>
        <v>5839819417</v>
      </c>
      <c r="P2627" s="11"/>
      <c r="Q2627" s="11"/>
      <c r="R2627" s="11"/>
      <c r="S2627" s="11"/>
      <c r="T2627" s="11"/>
      <c r="U2627" s="11"/>
      <c r="V2627" s="11"/>
      <c r="W2627" s="11"/>
      <c r="X2627" s="11"/>
      <c r="Y2627" s="11"/>
      <c r="Z2627" s="11"/>
    </row>
    <row r="2628" customHeight="1" spans="1:26">
      <c r="A2628" s="11" t="str">
        <f>IFERROR(__xludf.DUMMYFUNCTION("""COMPUTED_VALUE"""),"LUIZA ANDRADE DE OLIVEIRA")</f>
        <v>LUIZA ANDRADE DE OLIVEIRA</v>
      </c>
      <c r="B2628" s="11"/>
      <c r="C2628" s="11"/>
      <c r="D2628" s="11" t="str">
        <f>IFERROR(__xludf.DUMMYFUNCTION("""COMPUTED_VALUE"""),"PSIQUIATRIA")</f>
        <v>PSIQUIATRIA</v>
      </c>
      <c r="E2628" s="11"/>
      <c r="F2628" s="11" t="str">
        <f>IFERROR(__xludf.DUMMYFUNCTION("""COMPUTED_VALUE"""),"US_293 POLICLINICA DO PINA -  PROFESSORA NAIDE REGUEIRA TEODOSIO")</f>
        <v>US_293 POLICLINICA DO PINA -  PROFESSORA NAIDE REGUEIRA TEODOSIO</v>
      </c>
      <c r="G2628" s="11" t="str">
        <f>IFERROR(__xludf.DUMMYFUNCTION("""COMPUTED_VALUE"""),"US_293 POLICLINICA DO PINA -  PROFESSORA NAIDE REGUEIRA TEODOSIO")</f>
        <v>US_293 POLICLINICA DO PINA -  PROFESSORA NAIDE REGUEIRA TEODOSIO</v>
      </c>
      <c r="H2628" s="11"/>
      <c r="I2628" s="11"/>
      <c r="J2628" s="11"/>
      <c r="K2628" s="11"/>
      <c r="L2628" s="11"/>
      <c r="M2628" s="11"/>
      <c r="N2628" s="30" t="str">
        <f>IFERROR(__xludf.DUMMYFUNCTION("""COMPUTED_VALUE"""),"luiza.oliandrade@gmail.com")</f>
        <v>luiza.oliandrade@gmail.com</v>
      </c>
      <c r="O2628" s="11">
        <f>IFERROR(__xludf.DUMMYFUNCTION("""COMPUTED_VALUE"""),8968732426)</f>
        <v>8968732426</v>
      </c>
      <c r="P2628" s="11"/>
      <c r="Q2628" s="11"/>
      <c r="R2628" s="11"/>
      <c r="S2628" s="11"/>
      <c r="T2628" s="11"/>
      <c r="U2628" s="11"/>
      <c r="V2628" s="11"/>
      <c r="W2628" s="11"/>
      <c r="X2628" s="11"/>
      <c r="Y2628" s="11"/>
      <c r="Z2628" s="11"/>
    </row>
    <row r="2629" customHeight="1" spans="1:26">
      <c r="A2629" s="11" t="str">
        <f>IFERROR(__xludf.DUMMYFUNCTION("""COMPUTED_VALUE"""),"AMANDA DE CARVALHO POÇAS")</f>
        <v>AMANDA DE CARVALHO POÇAS</v>
      </c>
      <c r="B2629" s="11"/>
      <c r="C2629" s="11"/>
      <c r="D2629" s="11" t="str">
        <f>IFERROR(__xludf.DUMMYFUNCTION("""COMPUTED_VALUE"""),"NEUROLOGIA PEDIATRICA")</f>
        <v>NEUROLOGIA PEDIATRICA</v>
      </c>
      <c r="E2629" s="11"/>
      <c r="F2629" s="11" t="str">
        <f>IFERROR(__xludf.DUMMYFUNCTION("""COMPUTED_VALUE"""),"")</f>
        <v/>
      </c>
      <c r="G2629" s="11" t="str">
        <f>IFERROR(__xludf.DUMMYFUNCTION("""COMPUTED_VALUE"""),"")</f>
        <v/>
      </c>
      <c r="H2629" s="11"/>
      <c r="I2629" s="11"/>
      <c r="J2629" s="11"/>
      <c r="K2629" s="11"/>
      <c r="L2629" s="11"/>
      <c r="M2629" s="11"/>
      <c r="N2629" s="30" t="str">
        <f>IFERROR(__xludf.DUMMYFUNCTION("""COMPUTED_VALUE"""),"acpocas@gmail.com")</f>
        <v>acpocas@gmail.com</v>
      </c>
      <c r="O2629" s="11"/>
      <c r="P2629" s="11"/>
      <c r="Q2629" s="11"/>
      <c r="R2629" s="11"/>
      <c r="S2629" s="11"/>
      <c r="T2629" s="11"/>
      <c r="U2629" s="11"/>
      <c r="V2629" s="11"/>
      <c r="W2629" s="11"/>
      <c r="X2629" s="11"/>
      <c r="Y2629" s="11"/>
      <c r="Z2629" s="11"/>
    </row>
    <row r="2630" customHeight="1" spans="1:26">
      <c r="A2630" s="11" t="str">
        <f>IFERROR(__xludf.DUMMYFUNCTION("""COMPUTED_VALUE"""),"LUNA GAMA MAIA")</f>
        <v>LUNA GAMA MAIA</v>
      </c>
      <c r="B2630" s="11"/>
      <c r="C2630" s="11"/>
      <c r="D2630" s="11" t="str">
        <f>IFERROR(__xludf.DUMMYFUNCTION("""COMPUTED_VALUE"""),"CARDIOLOGIA")</f>
        <v>CARDIOLOGIA</v>
      </c>
      <c r="E2630" s="11"/>
      <c r="F2630" s="11" t="str">
        <f>IFERROR(__xludf.DUMMYFUNCTION("""COMPUTED_VALUE"""),"")</f>
        <v/>
      </c>
      <c r="G2630" s="11" t="str">
        <f>IFERROR(__xludf.DUMMYFUNCTION("""COMPUTED_VALUE"""),"")</f>
        <v/>
      </c>
      <c r="H2630" s="11"/>
      <c r="I2630" s="11"/>
      <c r="J2630" s="11"/>
      <c r="K2630" s="11"/>
      <c r="L2630" s="11"/>
      <c r="M2630" s="11"/>
      <c r="N2630" s="11"/>
      <c r="O2630" s="11"/>
      <c r="P2630" s="11"/>
      <c r="Q2630" s="11"/>
      <c r="R2630" s="11"/>
      <c r="S2630" s="11"/>
      <c r="T2630" s="11"/>
      <c r="U2630" s="11"/>
      <c r="V2630" s="11"/>
      <c r="W2630" s="11"/>
      <c r="X2630" s="11"/>
      <c r="Y2630" s="11"/>
      <c r="Z2630" s="11"/>
    </row>
    <row r="2631" customHeight="1" spans="1:26">
      <c r="A2631" s="11" t="str">
        <f>IFERROR(__xludf.DUMMYFUNCTION("""COMPUTED_VALUE"""),"FRANCISCO MARTINIANO F B LIMA")</f>
        <v>FRANCISCO MARTINIANO F B LIMA</v>
      </c>
      <c r="B2631" s="11"/>
      <c r="C2631" s="11"/>
      <c r="D2631" s="11" t="str">
        <f>IFERROR(__xludf.DUMMYFUNCTION("""COMPUTED_VALUE"""),"GINECOLOGIA / COLPOSCOPIA")</f>
        <v>GINECOLOGIA / COLPOSCOPIA</v>
      </c>
      <c r="E2631" s="11"/>
      <c r="F2631" s="11" t="str">
        <f>IFERROR(__xludf.DUMMYFUNCTION("""COMPUTED_VALUE"""),"US_165 MATERNIDADE BANDEIRA FILHO")</f>
        <v>US_165 MATERNIDADE BANDEIRA FILHO</v>
      </c>
      <c r="G2631" s="11" t="str">
        <f>IFERROR(__xludf.DUMMYFUNCTION("""COMPUTED_VALUE"""),"US_165 MATERNIDADE BANDEIRA FILHO")</f>
        <v>US_165 MATERNIDADE BANDEIRA FILHO</v>
      </c>
      <c r="H2631" s="11"/>
      <c r="I2631" s="11"/>
      <c r="J2631" s="11"/>
      <c r="K2631" s="11"/>
      <c r="L2631" s="11"/>
      <c r="M2631" s="11"/>
      <c r="N2631" s="30" t="str">
        <f>IFERROR(__xludf.DUMMYFUNCTION("""COMPUTED_VALUE"""),"MARTINANOFBL@ICLOUD.COM")</f>
        <v>MARTINANOFBL@ICLOUD.COM</v>
      </c>
      <c r="O2631" s="11">
        <f>IFERROR(__xludf.DUMMYFUNCTION("""COMPUTED_VALUE"""),39910075415)</f>
        <v>39910075415</v>
      </c>
      <c r="P2631" s="11"/>
      <c r="Q2631" s="11"/>
      <c r="R2631" s="11"/>
      <c r="S2631" s="11"/>
      <c r="T2631" s="11"/>
      <c r="U2631" s="11"/>
      <c r="V2631" s="11"/>
      <c r="W2631" s="11"/>
      <c r="X2631" s="11"/>
      <c r="Y2631" s="11"/>
      <c r="Z2631" s="11"/>
    </row>
    <row r="2632" customHeight="1" spans="1:26">
      <c r="A2632" s="11" t="str">
        <f>IFERROR(__xludf.DUMMYFUNCTION("""COMPUTED_VALUE"""),"JANE NOGUEIRA DA SILVA")</f>
        <v>JANE NOGUEIRA DA SILVA</v>
      </c>
      <c r="B2632" s="11"/>
      <c r="C2632" s="11"/>
      <c r="D2632" s="11" t="str">
        <f>IFERROR(__xludf.DUMMYFUNCTION("""COMPUTED_VALUE"""),"ENDOCRINOLOGIA E METABOLOGIA")</f>
        <v>ENDOCRINOLOGIA E METABOLOGIA</v>
      </c>
      <c r="E2632" s="11"/>
      <c r="F2632" s="11" t="str">
        <f>IFERROR(__xludf.DUMMYFUNCTION("""COMPUTED_VALUE"""),"US_153 POLICLINICA E MATERNIDADE ARNALDO MARQUES")</f>
        <v>US_153 POLICLINICA E MATERNIDADE ARNALDO MARQUES</v>
      </c>
      <c r="G2632" s="11" t="str">
        <f>IFERROR(__xludf.DUMMYFUNCTION("""COMPUTED_VALUE"""),"US_153 POLICLINICA E MATERNIDADE ARNALDO MARQUES")</f>
        <v>US_153 POLICLINICA E MATERNIDADE ARNALDO MARQUES</v>
      </c>
      <c r="H2632" s="11"/>
      <c r="I2632" s="11"/>
      <c r="J2632" s="11"/>
      <c r="K2632" s="11"/>
      <c r="L2632" s="11"/>
      <c r="M2632" s="11"/>
      <c r="N2632" s="30" t="str">
        <f>IFERROR(__xludf.DUMMYFUNCTION("""COMPUTED_VALUE"""),"jce123@terra.com.br")</f>
        <v>jce123@terra.com.br</v>
      </c>
      <c r="O2632" s="11">
        <f>IFERROR(__xludf.DUMMYFUNCTION("""COMPUTED_VALUE"""),58332588472)</f>
        <v>58332588472</v>
      </c>
      <c r="P2632" s="11"/>
      <c r="Q2632" s="11"/>
      <c r="R2632" s="11"/>
      <c r="S2632" s="11"/>
      <c r="T2632" s="11"/>
      <c r="U2632" s="11"/>
      <c r="V2632" s="11"/>
      <c r="W2632" s="11"/>
      <c r="X2632" s="11"/>
      <c r="Y2632" s="11"/>
      <c r="Z2632" s="11"/>
    </row>
    <row r="2633" customHeight="1" spans="1:26">
      <c r="A2633" s="11" t="str">
        <f>IFERROR(__xludf.DUMMYFUNCTION("""COMPUTED_VALUE"""),"MARLENE FERNANDES DE FRANCA")</f>
        <v>MARLENE FERNANDES DE FRANCA</v>
      </c>
      <c r="B2633" s="11"/>
      <c r="C2633" s="11"/>
      <c r="D2633" s="11" t="str">
        <f>IFERROR(__xludf.DUMMYFUNCTION("""COMPUTED_VALUE"""),"PEDIATRIA")</f>
        <v>PEDIATRIA</v>
      </c>
      <c r="E2633" s="11"/>
      <c r="F2633" s="11" t="str">
        <f>IFERROR(__xludf.DUMMYFUNCTION("""COMPUTED_VALUE"""),"US_153 POLICLINICA E MATERNIDADE ARNALDO MARQUES")</f>
        <v>US_153 POLICLINICA E MATERNIDADE ARNALDO MARQUES</v>
      </c>
      <c r="G2633" s="11" t="str">
        <f>IFERROR(__xludf.DUMMYFUNCTION("""COMPUTED_VALUE"""),"US_153 POLICLINICA E MATERNIDADE ARNALDO MARQUES")</f>
        <v>US_153 POLICLINICA E MATERNIDADE ARNALDO MARQUES</v>
      </c>
      <c r="H2633" s="11"/>
      <c r="I2633" s="11"/>
      <c r="J2633" s="11"/>
      <c r="K2633" s="11"/>
      <c r="L2633" s="11"/>
      <c r="M2633" s="11"/>
      <c r="N2633" s="30" t="str">
        <f>IFERROR(__xludf.DUMMYFUNCTION("""COMPUTED_VALUE"""),"LENAFFRANCA@GLOBO.COM")</f>
        <v>LENAFFRANCA@GLOBO.COM</v>
      </c>
      <c r="O2633" s="11">
        <f>IFERROR(__xludf.DUMMYFUNCTION("""COMPUTED_VALUE"""),17912652434)</f>
        <v>17912652434</v>
      </c>
      <c r="P2633" s="11"/>
      <c r="Q2633" s="11"/>
      <c r="R2633" s="11"/>
      <c r="S2633" s="11"/>
      <c r="T2633" s="11"/>
      <c r="U2633" s="11"/>
      <c r="V2633" s="11"/>
      <c r="W2633" s="11"/>
      <c r="X2633" s="11"/>
      <c r="Y2633" s="11"/>
      <c r="Z2633" s="11"/>
    </row>
    <row r="2634" customHeight="1" spans="1:26">
      <c r="A2634" s="11" t="str">
        <f>IFERROR(__xludf.DUMMYFUNCTION("""COMPUTED_VALUE"""),"NIVES OLIVEIRA DALMEIDA")</f>
        <v>NIVES OLIVEIRA DALMEIDA</v>
      </c>
      <c r="B2634" s="11"/>
      <c r="C2634" s="11"/>
      <c r="D2634" s="11" t="str">
        <f>IFERROR(__xludf.DUMMYFUNCTION("""COMPUTED_VALUE"""),"CLINICA GERAL")</f>
        <v>CLINICA GERAL</v>
      </c>
      <c r="E2634" s="11"/>
      <c r="F2634" s="11" t="str">
        <f>IFERROR(__xludf.DUMMYFUNCTION("""COMPUTED_VALUE"""),"US_153 POLICLINICA E MATERNIDADE ARNALDO MARQUES")</f>
        <v>US_153 POLICLINICA E MATERNIDADE ARNALDO MARQUES</v>
      </c>
      <c r="G2634" s="11" t="str">
        <f>IFERROR(__xludf.DUMMYFUNCTION("""COMPUTED_VALUE"""),"US_153 POLICLINICA E MATERNIDADE ARNALDO MARQUES")</f>
        <v>US_153 POLICLINICA E MATERNIDADE ARNALDO MARQUES</v>
      </c>
      <c r="H2634" s="11"/>
      <c r="I2634" s="11"/>
      <c r="J2634" s="11"/>
      <c r="K2634" s="11"/>
      <c r="L2634" s="11"/>
      <c r="M2634" s="11"/>
      <c r="N2634" s="30" t="str">
        <f>IFERROR(__xludf.DUMMYFUNCTION("""COMPUTED_VALUE"""),"NIVES.OLIVEIRA@HOTMAIL.COM")</f>
        <v>NIVES.OLIVEIRA@HOTMAIL.COM</v>
      </c>
      <c r="O2634" s="11">
        <f>IFERROR(__xludf.DUMMYFUNCTION("""COMPUTED_VALUE"""),49762311434)</f>
        <v>49762311434</v>
      </c>
      <c r="P2634" s="11"/>
      <c r="Q2634" s="11"/>
      <c r="R2634" s="11"/>
      <c r="S2634" s="11"/>
      <c r="T2634" s="11"/>
      <c r="U2634" s="11"/>
      <c r="V2634" s="11"/>
      <c r="W2634" s="11"/>
      <c r="X2634" s="11"/>
      <c r="Y2634" s="11"/>
      <c r="Z2634" s="11"/>
    </row>
    <row r="2635" customHeight="1" spans="1:26">
      <c r="A2635" s="11" t="str">
        <f>IFERROR(__xludf.DUMMYFUNCTION("""COMPUTED_VALUE"""),"OLIVIA MARIA B A MARANHAO")</f>
        <v>OLIVIA MARIA B A MARANHAO</v>
      </c>
      <c r="B2635" s="11"/>
      <c r="C2635" s="11"/>
      <c r="D2635" s="11" t="str">
        <f>IFERROR(__xludf.DUMMYFUNCTION("""COMPUTED_VALUE"""),"NEONATOLOGIA")</f>
        <v>NEONATOLOGIA</v>
      </c>
      <c r="E2635" s="11"/>
      <c r="F2635" s="11" t="str">
        <f>IFERROR(__xludf.DUMMYFUNCTION("""COMPUTED_VALUE"""),"US_153 POLICLINICA E MATERNIDADE ARNALDO MARQUES")</f>
        <v>US_153 POLICLINICA E MATERNIDADE ARNALDO MARQUES</v>
      </c>
      <c r="G2635" s="11" t="str">
        <f>IFERROR(__xludf.DUMMYFUNCTION("""COMPUTED_VALUE"""),"US_153 POLICLINICA E MATERNIDADE ARNALDO MARQUES")</f>
        <v>US_153 POLICLINICA E MATERNIDADE ARNALDO MARQUES</v>
      </c>
      <c r="H2635" s="11"/>
      <c r="I2635" s="11"/>
      <c r="J2635" s="11"/>
      <c r="K2635" s="11"/>
      <c r="L2635" s="11"/>
      <c r="M2635" s="11"/>
      <c r="N2635" s="30" t="str">
        <f>IFERROR(__xludf.DUMMYFUNCTION("""COMPUTED_VALUE"""),"MARANHAOOLIVIA@GMAIL.COM")</f>
        <v>MARANHAOOLIVIA@GMAIL.COM</v>
      </c>
      <c r="O2635" s="11">
        <f>IFERROR(__xludf.DUMMYFUNCTION("""COMPUTED_VALUE"""),42799694420)</f>
        <v>42799694420</v>
      </c>
      <c r="P2635" s="11"/>
      <c r="Q2635" s="11"/>
      <c r="R2635" s="11"/>
      <c r="S2635" s="11"/>
      <c r="T2635" s="11"/>
      <c r="U2635" s="11"/>
      <c r="V2635" s="11"/>
      <c r="W2635" s="11"/>
      <c r="X2635" s="11"/>
      <c r="Y2635" s="11"/>
      <c r="Z2635" s="11"/>
    </row>
    <row r="2636" customHeight="1" spans="1:26">
      <c r="A2636" s="11" t="str">
        <f>IFERROR(__xludf.DUMMYFUNCTION("""COMPUTED_VALUE"""),"YEDA MAIA DE A CAVAILLE")</f>
        <v>YEDA MAIA DE A CAVAILLE</v>
      </c>
      <c r="B2636" s="11"/>
      <c r="C2636" s="11"/>
      <c r="D2636" s="11" t="str">
        <f>IFERROR(__xludf.DUMMYFUNCTION("""COMPUTED_VALUE""")," CLINICA GERAL ")</f>
        <v> CLINICA GERAL </v>
      </c>
      <c r="E2636" s="11"/>
      <c r="F2636" s="11" t="str">
        <f>IFERROR(__xludf.DUMMYFUNCTION("""COMPUTED_VALUE"""),"US_153 POLICLINICA E MATERNIDADE ARNALDO MARQUES")</f>
        <v>US_153 POLICLINICA E MATERNIDADE ARNALDO MARQUES</v>
      </c>
      <c r="G2636" s="11" t="str">
        <f>IFERROR(__xludf.DUMMYFUNCTION("""COMPUTED_VALUE"""),"US_153 POLICLINICA E MATERNIDADE ARNALDO MARQUES")</f>
        <v>US_153 POLICLINICA E MATERNIDADE ARNALDO MARQUES</v>
      </c>
      <c r="H2636" s="11"/>
      <c r="I2636" s="11"/>
      <c r="J2636" s="11"/>
      <c r="K2636" s="11"/>
      <c r="L2636" s="11"/>
      <c r="M2636" s="11"/>
      <c r="N2636" s="30" t="str">
        <f>IFERROR(__xludf.DUMMYFUNCTION("""COMPUTED_VALUE"""),"yedamaia@terra.com.br")</f>
        <v>yedamaia@terra.com.br</v>
      </c>
      <c r="O2636" s="11">
        <f>IFERROR(__xludf.DUMMYFUNCTION("""COMPUTED_VALUE"""),45399441420)</f>
        <v>45399441420</v>
      </c>
      <c r="P2636" s="11"/>
      <c r="Q2636" s="11"/>
      <c r="R2636" s="11"/>
      <c r="S2636" s="11"/>
      <c r="T2636" s="11"/>
      <c r="U2636" s="11"/>
      <c r="V2636" s="11"/>
      <c r="W2636" s="11"/>
      <c r="X2636" s="11"/>
      <c r="Y2636" s="11"/>
      <c r="Z2636" s="11"/>
    </row>
    <row r="2637" customHeight="1" spans="1:26">
      <c r="A2637" s="11" t="str">
        <f>IFERROR(__xludf.DUMMYFUNCTION("""COMPUTED_VALUE"""),"ANA PAULA HARMES DE A VELOSO")</f>
        <v>ANA PAULA HARMES DE A VELOSO</v>
      </c>
      <c r="B2637" s="11"/>
      <c r="C2637" s="11"/>
      <c r="D2637" s="11" t="str">
        <f>IFERROR(__xludf.DUMMYFUNCTION("""COMPUTED_VALUE"""),"PEDIATRIA")</f>
        <v>PEDIATRIA</v>
      </c>
      <c r="E2637" s="11"/>
      <c r="F2637" s="11" t="str">
        <f>IFERROR(__xludf.DUMMYFUNCTION("""COMPUTED_VALUE"""),"US_153 POLICLINICA E MATERNIDADE ARNALDO MARQUES")</f>
        <v>US_153 POLICLINICA E MATERNIDADE ARNALDO MARQUES</v>
      </c>
      <c r="G2637" s="11" t="str">
        <f>IFERROR(__xludf.DUMMYFUNCTION("""COMPUTED_VALUE"""),"US_153 POLICLINICA E MATERNIDADE ARNALDO MARQUES")</f>
        <v>US_153 POLICLINICA E MATERNIDADE ARNALDO MARQUES</v>
      </c>
      <c r="H2637" s="11"/>
      <c r="I2637" s="11"/>
      <c r="J2637" s="11"/>
      <c r="K2637" s="11"/>
      <c r="L2637" s="11"/>
      <c r="M2637" s="11"/>
      <c r="N2637" s="30" t="str">
        <f>IFERROR(__xludf.DUMMYFUNCTION("""COMPUTED_VALUE"""),"paulaharmes@gmail.com")</f>
        <v>paulaharmes@gmail.com</v>
      </c>
      <c r="O2637" s="11">
        <f>IFERROR(__xludf.DUMMYFUNCTION("""COMPUTED_VALUE"""),69824541420)</f>
        <v>69824541420</v>
      </c>
      <c r="P2637" s="11"/>
      <c r="Q2637" s="11"/>
      <c r="R2637" s="11"/>
      <c r="S2637" s="11"/>
      <c r="T2637" s="11"/>
      <c r="U2637" s="11"/>
      <c r="V2637" s="11"/>
      <c r="W2637" s="11"/>
      <c r="X2637" s="11"/>
      <c r="Y2637" s="11"/>
      <c r="Z2637" s="11"/>
    </row>
    <row r="2638" customHeight="1" spans="1:26">
      <c r="A2638" s="11" t="str">
        <f>IFERROR(__xludf.DUMMYFUNCTION("""COMPUTED_VALUE"""),"ROSILENE DA FONSECA GOMES")</f>
        <v>ROSILENE DA FONSECA GOMES</v>
      </c>
      <c r="B2638" s="11"/>
      <c r="C2638" s="11"/>
      <c r="D2638" s="11" t="str">
        <f>IFERROR(__xludf.DUMMYFUNCTION("""COMPUTED_VALUE"""),"PEDIATRIA")</f>
        <v>PEDIATRIA</v>
      </c>
      <c r="E2638" s="11"/>
      <c r="F2638" s="11" t="str">
        <f>IFERROR(__xludf.DUMMYFUNCTION("""COMPUTED_VALUE"""),"US_153 POLICLINICA E MATERNIDADE ARNALDO MARQUES")</f>
        <v>US_153 POLICLINICA E MATERNIDADE ARNALDO MARQUES</v>
      </c>
      <c r="G2638" s="11" t="str">
        <f>IFERROR(__xludf.DUMMYFUNCTION("""COMPUTED_VALUE"""),"US_153 POLICLINICA E MATERNIDADE ARNALDO MARQUES")</f>
        <v>US_153 POLICLINICA E MATERNIDADE ARNALDO MARQUES</v>
      </c>
      <c r="H2638" s="11"/>
      <c r="I2638" s="11"/>
      <c r="J2638" s="11"/>
      <c r="K2638" s="11"/>
      <c r="L2638" s="11"/>
      <c r="M2638" s="11"/>
      <c r="N2638" s="30" t="str">
        <f>IFERROR(__xludf.DUMMYFUNCTION("""COMPUTED_VALUE"""),"ROSILENEFGM@GMAIL.COM")</f>
        <v>ROSILENEFGM@GMAIL.COM</v>
      </c>
      <c r="O2638" s="11">
        <f>IFERROR(__xludf.DUMMYFUNCTION("""COMPUTED_VALUE"""),16630181468)</f>
        <v>16630181468</v>
      </c>
      <c r="P2638" s="11"/>
      <c r="Q2638" s="11"/>
      <c r="R2638" s="11"/>
      <c r="S2638" s="11"/>
      <c r="T2638" s="11"/>
      <c r="U2638" s="11"/>
      <c r="V2638" s="11"/>
      <c r="W2638" s="11"/>
      <c r="X2638" s="11"/>
      <c r="Y2638" s="11"/>
      <c r="Z2638" s="11"/>
    </row>
    <row r="2639" customHeight="1" spans="1:26">
      <c r="A2639" s="11" t="str">
        <f>IFERROR(__xludf.DUMMYFUNCTION("""COMPUTED_VALUE"""),"MARIZA YEDA G DE S B DE BRITO")</f>
        <v>MARIZA YEDA G DE S B DE BRITO</v>
      </c>
      <c r="B2639" s="11"/>
      <c r="C2639" s="11"/>
      <c r="D2639" s="11" t="str">
        <f>IFERROR(__xludf.DUMMYFUNCTION("""COMPUTED_VALUE"""),"NEUROLOGIA PEDIATRICA")</f>
        <v>NEUROLOGIA PEDIATRICA</v>
      </c>
      <c r="E2639" s="11"/>
      <c r="F2639" s="11" t="str">
        <f>IFERROR(__xludf.DUMMYFUNCTION("""COMPUTED_VALUE"""),"US_165 MATERNIDADE BANDEIRA FILHO")</f>
        <v>US_165 MATERNIDADE BANDEIRA FILHO</v>
      </c>
      <c r="G2639" s="11" t="str">
        <f>IFERROR(__xludf.DUMMYFUNCTION("""COMPUTED_VALUE"""),"US_165 MATERNIDADE BANDEIRA FILHO")</f>
        <v>US_165 MATERNIDADE BANDEIRA FILHO</v>
      </c>
      <c r="H2639" s="11"/>
      <c r="I2639" s="11"/>
      <c r="J2639" s="11"/>
      <c r="K2639" s="11"/>
      <c r="L2639" s="11"/>
      <c r="M2639" s="11"/>
      <c r="N2639" s="30" t="str">
        <f>IFERROR(__xludf.DUMMYFUNCTION("""COMPUTED_VALUE"""),"MARISA.GRANGEIRO@HOTMAIL.COM")</f>
        <v>MARISA.GRANGEIRO@HOTMAIL.COM</v>
      </c>
      <c r="O2639" s="11">
        <f>IFERROR(__xludf.DUMMYFUNCTION("""COMPUTED_VALUE"""),19335601420)</f>
        <v>19335601420</v>
      </c>
      <c r="P2639" s="11"/>
      <c r="Q2639" s="11"/>
      <c r="R2639" s="11"/>
      <c r="S2639" s="11"/>
      <c r="T2639" s="11"/>
      <c r="U2639" s="11"/>
      <c r="V2639" s="11"/>
      <c r="W2639" s="11"/>
      <c r="X2639" s="11"/>
      <c r="Y2639" s="11"/>
      <c r="Z2639" s="11"/>
    </row>
    <row r="2640" customHeight="1" spans="1:26">
      <c r="A2640" s="11" t="str">
        <f>IFERROR(__xludf.DUMMYFUNCTION("""COMPUTED_VALUE"""),"JOSE AMARO DE SOUZA CALADO")</f>
        <v>JOSE AMARO DE SOUZA CALADO</v>
      </c>
      <c r="B2640" s="11"/>
      <c r="C2640" s="11"/>
      <c r="D2640" s="11" t="str">
        <f>IFERROR(__xludf.DUMMYFUNCTION("""COMPUTED_VALUE"""),"ANESTESIOLOGIA")</f>
        <v>ANESTESIOLOGIA</v>
      </c>
      <c r="E2640" s="11"/>
      <c r="F2640" s="11" t="str">
        <f>IFERROR(__xludf.DUMMYFUNCTION("""COMPUTED_VALUE"""),"US_165 MATERNIDADE BANDEIRA FILHO")</f>
        <v>US_165 MATERNIDADE BANDEIRA FILHO</v>
      </c>
      <c r="G2640" s="11" t="str">
        <f>IFERROR(__xludf.DUMMYFUNCTION("""COMPUTED_VALUE"""),"US_165 MATERNIDADE BANDEIRA FILHO")</f>
        <v>US_165 MATERNIDADE BANDEIRA FILHO</v>
      </c>
      <c r="H2640" s="11"/>
      <c r="I2640" s="11"/>
      <c r="J2640" s="11"/>
      <c r="K2640" s="11"/>
      <c r="L2640" s="11"/>
      <c r="M2640" s="11"/>
      <c r="N2640" s="30" t="str">
        <f>IFERROR(__xludf.DUMMYFUNCTION("""COMPUTED_VALUE"""),"JASOUZACALADO@HOTMAIL.COM")</f>
        <v>JASOUZACALADO@HOTMAIL.COM</v>
      </c>
      <c r="O2640" s="11">
        <f>IFERROR(__xludf.DUMMYFUNCTION("""COMPUTED_VALUE"""),12799220444)</f>
        <v>12799220444</v>
      </c>
      <c r="P2640" s="11"/>
      <c r="Q2640" s="11"/>
      <c r="R2640" s="11"/>
      <c r="S2640" s="11"/>
      <c r="T2640" s="11"/>
      <c r="U2640" s="11"/>
      <c r="V2640" s="11"/>
      <c r="W2640" s="11"/>
      <c r="X2640" s="11"/>
      <c r="Y2640" s="11"/>
      <c r="Z2640" s="11"/>
    </row>
    <row r="2641" customHeight="1" spans="1:26">
      <c r="A2641" s="11" t="str">
        <f>IFERROR(__xludf.DUMMYFUNCTION("""COMPUTED_VALUE"""),"JADES BEZERRA DE MELO")</f>
        <v>JADES BEZERRA DE MELO</v>
      </c>
      <c r="B2641" s="11"/>
      <c r="C2641" s="11"/>
      <c r="D2641" s="11" t="str">
        <f>IFERROR(__xludf.DUMMYFUNCTION("""COMPUTED_VALUE"""),"MASTOLOGIA")</f>
        <v>MASTOLOGIA</v>
      </c>
      <c r="E2641" s="11"/>
      <c r="F2641" s="11" t="str">
        <f>IFERROR(__xludf.DUMMYFUNCTION("""COMPUTED_VALUE"""),"US_153 POLICLINICA E MATERNIDADE ARNALDO MARQUES")</f>
        <v>US_153 POLICLINICA E MATERNIDADE ARNALDO MARQUES</v>
      </c>
      <c r="G2641" s="11" t="str">
        <f>IFERROR(__xludf.DUMMYFUNCTION("""COMPUTED_VALUE"""),"US_153 POLICLINICA E MATERNIDADE ARNALDO MARQUES")</f>
        <v>US_153 POLICLINICA E MATERNIDADE ARNALDO MARQUES</v>
      </c>
      <c r="H2641" s="11"/>
      <c r="I2641" s="11"/>
      <c r="J2641" s="11"/>
      <c r="K2641" s="11"/>
      <c r="L2641" s="11"/>
      <c r="M2641" s="11"/>
      <c r="N2641" s="30" t="str">
        <f>IFERROR(__xludf.DUMMYFUNCTION("""COMPUTED_VALUE"""),"JADESBEZZERA@YAHOO.COM.BR")</f>
        <v>JADESBEZZERA@YAHOO.COM.BR</v>
      </c>
      <c r="O2641" s="11">
        <f>IFERROR(__xludf.DUMMYFUNCTION("""COMPUTED_VALUE"""),9184201487)</f>
        <v>9184201487</v>
      </c>
      <c r="P2641" s="11"/>
      <c r="Q2641" s="11"/>
      <c r="R2641" s="11"/>
      <c r="S2641" s="11"/>
      <c r="T2641" s="11"/>
      <c r="U2641" s="11"/>
      <c r="V2641" s="11"/>
      <c r="W2641" s="11"/>
      <c r="X2641" s="11"/>
      <c r="Y2641" s="11"/>
      <c r="Z2641" s="11"/>
    </row>
    <row r="2642" customHeight="1" spans="1:26">
      <c r="A2642" s="11" t="str">
        <f>IFERROR(__xludf.DUMMYFUNCTION("""COMPUTED_VALUE"""),"HESIODO DE FARIA NEVES")</f>
        <v>HESIODO DE FARIA NEVES</v>
      </c>
      <c r="B2642" s="11"/>
      <c r="C2642" s="11"/>
      <c r="D2642" s="11" t="str">
        <f>IFERROR(__xludf.DUMMYFUNCTION("""COMPUTED_VALUE""")," CLINICA GERAL ")</f>
        <v> CLINICA GERAL </v>
      </c>
      <c r="E2642" s="11"/>
      <c r="F2642" s="11" t="str">
        <f>IFERROR(__xludf.DUMMYFUNCTION("""COMPUTED_VALUE"""),"US_153 POLICLINICA E MATERNIDADE ARNALDO MARQUES")</f>
        <v>US_153 POLICLINICA E MATERNIDADE ARNALDO MARQUES</v>
      </c>
      <c r="G2642" s="11" t="str">
        <f>IFERROR(__xludf.DUMMYFUNCTION("""COMPUTED_VALUE"""),"US_153 POLICLINICA E MATERNIDADE ARNALDO MARQUES")</f>
        <v>US_153 POLICLINICA E MATERNIDADE ARNALDO MARQUES</v>
      </c>
      <c r="H2642" s="11"/>
      <c r="I2642" s="11"/>
      <c r="J2642" s="11"/>
      <c r="K2642" s="11"/>
      <c r="L2642" s="11"/>
      <c r="M2642" s="11"/>
      <c r="N2642" s="30" t="str">
        <f>IFERROR(__xludf.DUMMYFUNCTION("""COMPUTED_VALUE"""),"HESIODOFARIANEVES@HOTMAIL.COM")</f>
        <v>HESIODOFARIANEVES@HOTMAIL.COM</v>
      </c>
      <c r="O2642" s="11">
        <f>IFERROR(__xludf.DUMMYFUNCTION("""COMPUTED_VALUE"""),34996508434)</f>
        <v>34996508434</v>
      </c>
      <c r="P2642" s="11"/>
      <c r="Q2642" s="11"/>
      <c r="R2642" s="11"/>
      <c r="S2642" s="11"/>
      <c r="T2642" s="11"/>
      <c r="U2642" s="11"/>
      <c r="V2642" s="11"/>
      <c r="W2642" s="11"/>
      <c r="X2642" s="11"/>
      <c r="Y2642" s="11"/>
      <c r="Z2642" s="11"/>
    </row>
    <row r="2643" customHeight="1" spans="1:26">
      <c r="A2643" s="11" t="str">
        <f>IFERROR(__xludf.DUMMYFUNCTION("""COMPUTED_VALUE"""),"EDILSON AUGUSTO SILVA")</f>
        <v>EDILSON AUGUSTO SILVA</v>
      </c>
      <c r="B2643" s="11"/>
      <c r="C2643" s="11"/>
      <c r="D2643" s="11" t="str">
        <f>IFERROR(__xludf.DUMMYFUNCTION("""COMPUTED_VALUE""")," CLINICA GERAL ")</f>
        <v> CLINICA GERAL </v>
      </c>
      <c r="E2643" s="11"/>
      <c r="F2643" s="11" t="str">
        <f>IFERROR(__xludf.DUMMYFUNCTION("""COMPUTED_VALUE"""),"US_153 POLICLINICA E MATERNIDADE ARNALDO MARQUES")</f>
        <v>US_153 POLICLINICA E MATERNIDADE ARNALDO MARQUES</v>
      </c>
      <c r="G2643" s="11" t="str">
        <f>IFERROR(__xludf.DUMMYFUNCTION("""COMPUTED_VALUE"""),"US_153 POLICLINICA E MATERNIDADE ARNALDO MARQUES")</f>
        <v>US_153 POLICLINICA E MATERNIDADE ARNALDO MARQUES</v>
      </c>
      <c r="H2643" s="11"/>
      <c r="I2643" s="11"/>
      <c r="J2643" s="11"/>
      <c r="K2643" s="11"/>
      <c r="L2643" s="11"/>
      <c r="M2643" s="11"/>
      <c r="N2643" s="30" t="str">
        <f>IFERROR(__xludf.DUMMYFUNCTION("""COMPUTED_VALUE"""),"EASMEDCN@GMAIL.COM")</f>
        <v>EASMEDCN@GMAIL.COM</v>
      </c>
      <c r="O2643" s="11">
        <f>IFERROR(__xludf.DUMMYFUNCTION("""COMPUTED_VALUE"""),17493358400)</f>
        <v>17493358400</v>
      </c>
      <c r="P2643" s="11"/>
      <c r="Q2643" s="11"/>
      <c r="R2643" s="11"/>
      <c r="S2643" s="11"/>
      <c r="T2643" s="11"/>
      <c r="U2643" s="11"/>
      <c r="V2643" s="11"/>
      <c r="W2643" s="11"/>
      <c r="X2643" s="11"/>
      <c r="Y2643" s="11"/>
      <c r="Z2643" s="11"/>
    </row>
    <row r="2644" customHeight="1" spans="1:26">
      <c r="A2644" s="11" t="str">
        <f>IFERROR(__xludf.DUMMYFUNCTION("""COMPUTED_VALUE"""),"SONIA CRISTINA A HINRICHSEN")</f>
        <v>SONIA CRISTINA A HINRICHSEN</v>
      </c>
      <c r="B2644" s="11"/>
      <c r="C2644" s="11"/>
      <c r="D2644" s="11" t="str">
        <f>IFERROR(__xludf.DUMMYFUNCTION("""COMPUTED_VALUE"""),"GINECOLOGIA / OBSTETETRA / TOCOGINECOLOGIA")</f>
        <v>GINECOLOGIA / OBSTETETRA / TOCOGINECOLOGIA</v>
      </c>
      <c r="E2644" s="11"/>
      <c r="F2644" s="11" t="str">
        <f>IFERROR(__xludf.DUMMYFUNCTION("""COMPUTED_VALUE"""),"US_167 POLICLINICA E MATERNIDADE PROFESSOR BARROS LIMA")</f>
        <v>US_167 POLICLINICA E MATERNIDADE PROFESSOR BARROS LIMA</v>
      </c>
      <c r="G2644" s="11" t="str">
        <f>IFERROR(__xludf.DUMMYFUNCTION("""COMPUTED_VALUE"""),"US_167 POLICLINICA E MATERNIDADE PROFESSOR BARROS LIMA")</f>
        <v>US_167 POLICLINICA E MATERNIDADE PROFESSOR BARROS LIMA</v>
      </c>
      <c r="H2644" s="11"/>
      <c r="I2644" s="11"/>
      <c r="J2644" s="11"/>
      <c r="K2644" s="11"/>
      <c r="L2644" s="11"/>
      <c r="M2644" s="11"/>
      <c r="N2644" s="11"/>
      <c r="O2644" s="11">
        <f>IFERROR(__xludf.DUMMYFUNCTION("""COMPUTED_VALUE"""),64133672453)</f>
        <v>64133672453</v>
      </c>
      <c r="P2644" s="11"/>
      <c r="Q2644" s="11"/>
      <c r="R2644" s="11"/>
      <c r="S2644" s="11"/>
      <c r="T2644" s="11"/>
      <c r="U2644" s="11"/>
      <c r="V2644" s="11"/>
      <c r="W2644" s="11"/>
      <c r="X2644" s="11"/>
      <c r="Y2644" s="11"/>
      <c r="Z2644" s="11"/>
    </row>
    <row r="2645" customHeight="1" spans="1:26">
      <c r="A2645" s="11" t="str">
        <f>IFERROR(__xludf.DUMMYFUNCTION("""COMPUTED_VALUE"""),"MARCIA MARIA C DA SILVA")</f>
        <v>MARCIA MARIA C DA SILVA</v>
      </c>
      <c r="B2645" s="11"/>
      <c r="C2645" s="11"/>
      <c r="D2645" s="11" t="str">
        <f>IFERROR(__xludf.DUMMYFUNCTION("""COMPUTED_VALUE"""),"ANESTESIOLOGIA")</f>
        <v>ANESTESIOLOGIA</v>
      </c>
      <c r="E2645" s="11"/>
      <c r="F2645" s="11" t="str">
        <f>IFERROR(__xludf.DUMMYFUNCTION("""COMPUTED_VALUE"""),"US_167 POLICLINICA E MATERNIDADE PROFESSOR BARROS LIMA")</f>
        <v>US_167 POLICLINICA E MATERNIDADE PROFESSOR BARROS LIMA</v>
      </c>
      <c r="G2645" s="11" t="str">
        <f>IFERROR(__xludf.DUMMYFUNCTION("""COMPUTED_VALUE"""),"US_167 POLICLINICA E MATERNIDADE PROFESSOR BARROS LIMA")</f>
        <v>US_167 POLICLINICA E MATERNIDADE PROFESSOR BARROS LIMA</v>
      </c>
      <c r="H2645" s="11"/>
      <c r="I2645" s="11"/>
      <c r="J2645" s="11"/>
      <c r="K2645" s="11"/>
      <c r="L2645" s="11"/>
      <c r="M2645" s="11"/>
      <c r="N2645" s="30" t="str">
        <f>IFERROR(__xludf.DUMMYFUNCTION("""COMPUTED_VALUE"""),"MARCIAMARIAC@HOTMAIL.COM")</f>
        <v>MARCIAMARIAC@HOTMAIL.COM</v>
      </c>
      <c r="O2645" s="11">
        <f>IFERROR(__xludf.DUMMYFUNCTION("""COMPUTED_VALUE"""),12586838491)</f>
        <v>12586838491</v>
      </c>
      <c r="P2645" s="11"/>
      <c r="Q2645" s="11"/>
      <c r="R2645" s="11"/>
      <c r="S2645" s="11"/>
      <c r="T2645" s="11"/>
      <c r="U2645" s="11"/>
      <c r="V2645" s="11"/>
      <c r="W2645" s="11"/>
      <c r="X2645" s="11"/>
      <c r="Y2645" s="11"/>
      <c r="Z2645" s="11"/>
    </row>
    <row r="2646" customHeight="1" spans="1:26">
      <c r="A2646" s="11" t="str">
        <f>IFERROR(__xludf.DUMMYFUNCTION("""COMPUTED_VALUE"""),"DANUSIA MARIA DE MELO SOUZA")</f>
        <v>DANUSIA MARIA DE MELO SOUZA</v>
      </c>
      <c r="B2646" s="11"/>
      <c r="C2646" s="11"/>
      <c r="D2646" s="11" t="str">
        <f>IFERROR(__xludf.DUMMYFUNCTION("""COMPUTED_VALUE"""),"NEUROLOGIA PEDIATRICA")</f>
        <v>NEUROLOGIA PEDIATRICA</v>
      </c>
      <c r="E2646" s="11"/>
      <c r="F2646" s="11" t="str">
        <f>IFERROR(__xludf.DUMMYFUNCTION("""COMPUTED_VALUE"""),"US_167 POLICLINICA E MATERNIDADE PROFESSOR BARROS LIMA")</f>
        <v>US_167 POLICLINICA E MATERNIDADE PROFESSOR BARROS LIMA</v>
      </c>
      <c r="G2646" s="11" t="str">
        <f>IFERROR(__xludf.DUMMYFUNCTION("""COMPUTED_VALUE"""),"US_167 POLICLINICA E MATERNIDADE PROFESSOR BARROS LIMA")</f>
        <v>US_167 POLICLINICA E MATERNIDADE PROFESSOR BARROS LIMA</v>
      </c>
      <c r="H2646" s="11"/>
      <c r="I2646" s="11"/>
      <c r="J2646" s="11"/>
      <c r="K2646" s="11"/>
      <c r="L2646" s="11"/>
      <c r="M2646" s="11"/>
      <c r="N2646" s="30" t="str">
        <f>IFERROR(__xludf.DUMMYFUNCTION("""COMPUTED_VALUE"""),"DANUZINHA_SOUZA@HOTMAIL.COM")</f>
        <v>DANUZINHA_SOUZA@HOTMAIL.COM</v>
      </c>
      <c r="O2646" s="11">
        <f>IFERROR(__xludf.DUMMYFUNCTION("""COMPUTED_VALUE"""),22521895415)</f>
        <v>22521895415</v>
      </c>
      <c r="P2646" s="11"/>
      <c r="Q2646" s="11"/>
      <c r="R2646" s="11"/>
      <c r="S2646" s="11"/>
      <c r="T2646" s="11"/>
      <c r="U2646" s="11"/>
      <c r="V2646" s="11"/>
      <c r="W2646" s="11"/>
      <c r="X2646" s="11"/>
      <c r="Y2646" s="11"/>
      <c r="Z2646" s="11"/>
    </row>
    <row r="2647" customHeight="1" spans="1:26">
      <c r="A2647" s="11" t="str">
        <f>IFERROR(__xludf.DUMMYFUNCTION("""COMPUTED_VALUE"""),"CICERO ALVINO DE LIMA")</f>
        <v>CICERO ALVINO DE LIMA</v>
      </c>
      <c r="B2647" s="11"/>
      <c r="C2647" s="11"/>
      <c r="D2647" s="11" t="str">
        <f>IFERROR(__xludf.DUMMYFUNCTION("""COMPUTED_VALUE"""),"ANESTESIOLOGIA")</f>
        <v>ANESTESIOLOGIA</v>
      </c>
      <c r="E2647" s="11"/>
      <c r="F2647" s="11" t="str">
        <f>IFERROR(__xludf.DUMMYFUNCTION("""COMPUTED_VALUE"""),"US_167 POLICLINICA E MATERNIDADE PROFESSOR BARROS LIMA")</f>
        <v>US_167 POLICLINICA E MATERNIDADE PROFESSOR BARROS LIMA</v>
      </c>
      <c r="G2647" s="11" t="str">
        <f>IFERROR(__xludf.DUMMYFUNCTION("""COMPUTED_VALUE"""),"US_167 POLICLINICA E MATERNIDADE PROFESSOR BARROS LIMA")</f>
        <v>US_167 POLICLINICA E MATERNIDADE PROFESSOR BARROS LIMA</v>
      </c>
      <c r="H2647" s="11"/>
      <c r="I2647" s="11"/>
      <c r="J2647" s="11"/>
      <c r="K2647" s="11"/>
      <c r="L2647" s="11"/>
      <c r="M2647" s="11"/>
      <c r="N2647" s="30" t="str">
        <f>IFERROR(__xludf.DUMMYFUNCTION("""COMPUTED_VALUE"""),"CICERO_ALVINO@HOTMAIL.COM")</f>
        <v>CICERO_ALVINO@HOTMAIL.COM</v>
      </c>
      <c r="O2647" s="11">
        <f>IFERROR(__xludf.DUMMYFUNCTION("""COMPUTED_VALUE"""),52248275404)</f>
        <v>52248275404</v>
      </c>
      <c r="P2647" s="11"/>
      <c r="Q2647" s="11"/>
      <c r="R2647" s="11"/>
      <c r="S2647" s="11"/>
      <c r="T2647" s="11"/>
      <c r="U2647" s="11"/>
      <c r="V2647" s="11"/>
      <c r="W2647" s="11"/>
      <c r="X2647" s="11"/>
      <c r="Y2647" s="11"/>
      <c r="Z2647" s="11"/>
    </row>
    <row r="2648" customHeight="1" spans="1:26">
      <c r="A2648" s="11" t="str">
        <f>IFERROR(__xludf.DUMMYFUNCTION("""COMPUTED_VALUE"""),"MARIA BERNADETH DE OLIVEIRA")</f>
        <v>MARIA BERNADETH DE OLIVEIRA</v>
      </c>
      <c r="B2648" s="11"/>
      <c r="C2648" s="11"/>
      <c r="D2648" s="11" t="str">
        <f>IFERROR(__xludf.DUMMYFUNCTION("""COMPUTED_VALUE"""),"PEDIATRIA")</f>
        <v>PEDIATRIA</v>
      </c>
      <c r="E2648" s="11"/>
      <c r="F2648" s="11" t="str">
        <f>IFERROR(__xludf.DUMMYFUNCTION("""COMPUTED_VALUE"""),"US_167 POLICLINICA E MATERNIDADE PROFESSOR BARROS LIMA")</f>
        <v>US_167 POLICLINICA E MATERNIDADE PROFESSOR BARROS LIMA</v>
      </c>
      <c r="G2648" s="11" t="str">
        <f>IFERROR(__xludf.DUMMYFUNCTION("""COMPUTED_VALUE"""),"US_167 POLICLINICA E MATERNIDADE PROFESSOR BARROS LIMA")</f>
        <v>US_167 POLICLINICA E MATERNIDADE PROFESSOR BARROS LIMA</v>
      </c>
      <c r="H2648" s="11"/>
      <c r="I2648" s="11"/>
      <c r="J2648" s="11"/>
      <c r="K2648" s="11"/>
      <c r="L2648" s="11"/>
      <c r="M2648" s="11"/>
      <c r="N2648" s="30" t="str">
        <f>IFERROR(__xludf.DUMMYFUNCTION("""COMPUTED_VALUE"""),"BERNADETH99@HOTMAIL.COM")</f>
        <v>BERNADETH99@HOTMAIL.COM</v>
      </c>
      <c r="O2648" s="11">
        <f>IFERROR(__xludf.DUMMYFUNCTION("""COMPUTED_VALUE"""),33492522491)</f>
        <v>33492522491</v>
      </c>
      <c r="P2648" s="11"/>
      <c r="Q2648" s="11"/>
      <c r="R2648" s="11"/>
      <c r="S2648" s="11"/>
      <c r="T2648" s="11"/>
      <c r="U2648" s="11"/>
      <c r="V2648" s="11"/>
      <c r="W2648" s="11"/>
      <c r="X2648" s="11"/>
      <c r="Y2648" s="11"/>
      <c r="Z2648" s="11"/>
    </row>
    <row r="2649" customHeight="1" spans="1:26">
      <c r="A2649" s="11" t="str">
        <f>IFERROR(__xludf.DUMMYFUNCTION("""COMPUTED_VALUE"""),"EVA BETANIA PIRES M D OLIVEIRA")</f>
        <v>EVA BETANIA PIRES M D OLIVEIRA</v>
      </c>
      <c r="B2649" s="11"/>
      <c r="C2649" s="11"/>
      <c r="D2649" s="11" t="str">
        <f>IFERROR(__xludf.DUMMYFUNCTION("""COMPUTED_VALUE"""),"GINECOLOGIA / OBSTETETRA / TOCOGINECOLOGIA")</f>
        <v>GINECOLOGIA / OBSTETETRA / TOCOGINECOLOGIA</v>
      </c>
      <c r="E2649" s="11"/>
      <c r="F2649" s="11" t="str">
        <f>IFERROR(__xludf.DUMMYFUNCTION("""COMPUTED_VALUE"""),"US_167 POLICLINICA E MATERNIDADE PROFESSOR BARROS LIMA")</f>
        <v>US_167 POLICLINICA E MATERNIDADE PROFESSOR BARROS LIMA</v>
      </c>
      <c r="G2649" s="11" t="str">
        <f>IFERROR(__xludf.DUMMYFUNCTION("""COMPUTED_VALUE"""),"US_167 POLICLINICA E MATERNIDADE PROFESSOR BARROS LIMA")</f>
        <v>US_167 POLICLINICA E MATERNIDADE PROFESSOR BARROS LIMA</v>
      </c>
      <c r="H2649" s="11"/>
      <c r="I2649" s="11"/>
      <c r="J2649" s="11"/>
      <c r="K2649" s="11"/>
      <c r="L2649" s="11"/>
      <c r="M2649" s="11"/>
      <c r="N2649" s="30" t="str">
        <f>IFERROR(__xludf.DUMMYFUNCTION("""COMPUTED_VALUE"""),"EVABPMARTINS@GMAIL.COM")</f>
        <v>EVABPMARTINS@GMAIL.COM</v>
      </c>
      <c r="O2649" s="11">
        <f>IFERROR(__xludf.DUMMYFUNCTION("""COMPUTED_VALUE"""),51908727420)</f>
        <v>51908727420</v>
      </c>
      <c r="P2649" s="11"/>
      <c r="Q2649" s="11"/>
      <c r="R2649" s="11"/>
      <c r="S2649" s="11"/>
      <c r="T2649" s="11"/>
      <c r="U2649" s="11"/>
      <c r="V2649" s="11"/>
      <c r="W2649" s="11"/>
      <c r="X2649" s="11"/>
      <c r="Y2649" s="11"/>
      <c r="Z2649" s="11"/>
    </row>
    <row r="2650" customHeight="1" spans="1:26">
      <c r="A2650" s="11" t="str">
        <f>IFERROR(__xludf.DUMMYFUNCTION("""COMPUTED_VALUE"""),"LIDIANE LAMEIRAO COSTA")</f>
        <v>LIDIANE LAMEIRAO COSTA</v>
      </c>
      <c r="B2650" s="11"/>
      <c r="C2650" s="11"/>
      <c r="D2650" s="11" t="str">
        <f>IFERROR(__xludf.DUMMYFUNCTION("""COMPUTED_VALUE"""),"ANESTESIOLOGIA")</f>
        <v>ANESTESIOLOGIA</v>
      </c>
      <c r="E2650" s="11"/>
      <c r="F2650" s="11" t="str">
        <f>IFERROR(__xludf.DUMMYFUNCTION("""COMPUTED_VALUE"""),"US_167 POLICLINICA E MATERNIDADE PROFESSOR BARROS LIMA")</f>
        <v>US_167 POLICLINICA E MATERNIDADE PROFESSOR BARROS LIMA</v>
      </c>
      <c r="G2650" s="11" t="str">
        <f>IFERROR(__xludf.DUMMYFUNCTION("""COMPUTED_VALUE"""),"US_167 POLICLINICA E MATERNIDADE PROFESSOR BARROS LIMA")</f>
        <v>US_167 POLICLINICA E MATERNIDADE PROFESSOR BARROS LIMA</v>
      </c>
      <c r="H2650" s="11"/>
      <c r="I2650" s="11"/>
      <c r="J2650" s="11"/>
      <c r="K2650" s="11"/>
      <c r="L2650" s="11"/>
      <c r="M2650" s="11"/>
      <c r="N2650" s="30" t="str">
        <f>IFERROR(__xludf.DUMMYFUNCTION("""COMPUTED_VALUE"""),"LIDIANELAMEIRAO@HOTMAIL.COM")</f>
        <v>LIDIANELAMEIRAO@HOTMAIL.COM</v>
      </c>
      <c r="O2650" s="11">
        <f>IFERROR(__xludf.DUMMYFUNCTION("""COMPUTED_VALUE"""),49708333468)</f>
        <v>49708333468</v>
      </c>
      <c r="P2650" s="11"/>
      <c r="Q2650" s="11"/>
      <c r="R2650" s="11"/>
      <c r="S2650" s="11"/>
      <c r="T2650" s="11"/>
      <c r="U2650" s="11"/>
      <c r="V2650" s="11"/>
      <c r="W2650" s="11"/>
      <c r="X2650" s="11"/>
      <c r="Y2650" s="11"/>
      <c r="Z2650" s="11"/>
    </row>
    <row r="2651" customHeight="1" spans="1:26">
      <c r="A2651" s="11" t="str">
        <f>IFERROR(__xludf.DUMMYFUNCTION("""COMPUTED_VALUE"""),"SHEYLA MARIA A DE ARRIBAS")</f>
        <v>SHEYLA MARIA A DE ARRIBAS</v>
      </c>
      <c r="B2651" s="11"/>
      <c r="C2651" s="11"/>
      <c r="D2651" s="11" t="str">
        <f>IFERROR(__xludf.DUMMYFUNCTION("""COMPUTED_VALUE"""),"PEDIATRIA")</f>
        <v>PEDIATRIA</v>
      </c>
      <c r="E2651" s="11"/>
      <c r="F2651" s="11" t="str">
        <f>IFERROR(__xludf.DUMMYFUNCTION("""COMPUTED_VALUE"""),"US_153 POLICLINICA E MATERNIDADE ARNALDO MARQUES")</f>
        <v>US_153 POLICLINICA E MATERNIDADE ARNALDO MARQUES</v>
      </c>
      <c r="G2651" s="11" t="str">
        <f>IFERROR(__xludf.DUMMYFUNCTION("""COMPUTED_VALUE"""),"US_153 POLICLINICA E MATERNIDADE ARNALDO MARQUES")</f>
        <v>US_153 POLICLINICA E MATERNIDADE ARNALDO MARQUES</v>
      </c>
      <c r="H2651" s="11"/>
      <c r="I2651" s="11"/>
      <c r="J2651" s="11"/>
      <c r="K2651" s="11"/>
      <c r="L2651" s="11"/>
      <c r="M2651" s="11"/>
      <c r="N2651" s="30" t="str">
        <f>IFERROR(__xludf.DUMMYFUNCTION("""COMPUTED_VALUE"""),"SHEYLAARRIBAS@HOTMAIL.COM")</f>
        <v>SHEYLAARRIBAS@HOTMAIL.COM</v>
      </c>
      <c r="O2651" s="11">
        <f>IFERROR(__xludf.DUMMYFUNCTION("""COMPUTED_VALUE"""),17059453415)</f>
        <v>17059453415</v>
      </c>
      <c r="P2651" s="11"/>
      <c r="Q2651" s="11"/>
      <c r="R2651" s="11"/>
      <c r="S2651" s="11"/>
      <c r="T2651" s="11"/>
      <c r="U2651" s="11"/>
      <c r="V2651" s="11"/>
      <c r="W2651" s="11"/>
      <c r="X2651" s="11"/>
      <c r="Y2651" s="11"/>
      <c r="Z2651" s="11"/>
    </row>
    <row r="2652" customHeight="1" spans="1:26">
      <c r="A2652" s="11" t="str">
        <f>IFERROR(__xludf.DUMMYFUNCTION("""COMPUTED_VALUE"""),"ROSANGELA MARIA DA V PESSOA")</f>
        <v>ROSANGELA MARIA DA V PESSOA</v>
      </c>
      <c r="B2652" s="11"/>
      <c r="C2652" s="11"/>
      <c r="D2652" s="11" t="str">
        <f>IFERROR(__xludf.DUMMYFUNCTION("""COMPUTED_VALUE"""),"GINECOLOGIA E OBSTETRICIA")</f>
        <v>GINECOLOGIA E OBSTETRICIA</v>
      </c>
      <c r="E2652" s="11"/>
      <c r="F2652" s="11" t="str">
        <f>IFERROR(__xludf.DUMMYFUNCTION("""COMPUTED_VALUE"""),"US_153 POLICLINICA E MATERNIDADE ARNALDO MARQUES")</f>
        <v>US_153 POLICLINICA E MATERNIDADE ARNALDO MARQUES</v>
      </c>
      <c r="G2652" s="11" t="str">
        <f>IFERROR(__xludf.DUMMYFUNCTION("""COMPUTED_VALUE"""),"US_153 POLICLINICA E MATERNIDADE ARNALDO MARQUES")</f>
        <v>US_153 POLICLINICA E MATERNIDADE ARNALDO MARQUES</v>
      </c>
      <c r="H2652" s="11"/>
      <c r="I2652" s="11"/>
      <c r="J2652" s="11"/>
      <c r="K2652" s="11"/>
      <c r="L2652" s="11"/>
      <c r="M2652" s="11"/>
      <c r="N2652" s="30" t="str">
        <f>IFERROR(__xludf.DUMMYFUNCTION("""COMPUTED_VALUE"""),"ROSANGELAPESSOA2016@GMAIL.COM")</f>
        <v>ROSANGELAPESSOA2016@GMAIL.COM</v>
      </c>
      <c r="O2652" s="11">
        <f>IFERROR(__xludf.DUMMYFUNCTION("""COMPUTED_VALUE"""),37485733400)</f>
        <v>37485733400</v>
      </c>
      <c r="P2652" s="11"/>
      <c r="Q2652" s="11"/>
      <c r="R2652" s="11"/>
      <c r="S2652" s="11"/>
      <c r="T2652" s="11"/>
      <c r="U2652" s="11"/>
      <c r="V2652" s="11"/>
      <c r="W2652" s="11"/>
      <c r="X2652" s="11"/>
      <c r="Y2652" s="11"/>
      <c r="Z2652" s="11"/>
    </row>
    <row r="2653" customHeight="1" spans="1:26">
      <c r="A2653" s="11" t="str">
        <f>IFERROR(__xludf.DUMMYFUNCTION("""COMPUTED_VALUE"""),"JULIANA SAMICO DE MELO CORREIA")</f>
        <v>JULIANA SAMICO DE MELO CORREIA</v>
      </c>
      <c r="B2653" s="11"/>
      <c r="C2653" s="11"/>
      <c r="D2653" s="11" t="str">
        <f>IFERROR(__xludf.DUMMYFUNCTION("""COMPUTED_VALUE"""),"PEDIATRIA")</f>
        <v>PEDIATRIA</v>
      </c>
      <c r="E2653" s="11"/>
      <c r="F2653" s="11" t="str">
        <f>IFERROR(__xludf.DUMMYFUNCTION("""COMPUTED_VALUE"""),"US_162 POLICLINICA ALBERT SABIN")</f>
        <v>US_162 POLICLINICA ALBERT SABIN</v>
      </c>
      <c r="G2653" s="11" t="str">
        <f>IFERROR(__xludf.DUMMYFUNCTION("""COMPUTED_VALUE"""),"US_162 POLICLINICA ALBERT SABIN")</f>
        <v>US_162 POLICLINICA ALBERT SABIN</v>
      </c>
      <c r="H2653" s="11"/>
      <c r="I2653" s="11"/>
      <c r="J2653" s="11"/>
      <c r="K2653" s="11"/>
      <c r="L2653" s="11"/>
      <c r="M2653" s="11"/>
      <c r="N2653" s="30" t="str">
        <f>IFERROR(__xludf.DUMMYFUNCTION("""COMPUTED_VALUE"""),"JULIANASAMICO@GMAIL.COM")</f>
        <v>JULIANASAMICO@GMAIL.COM</v>
      </c>
      <c r="O2653" s="11">
        <f>IFERROR(__xludf.DUMMYFUNCTION("""COMPUTED_VALUE"""),99542706472)</f>
        <v>99542706472</v>
      </c>
      <c r="P2653" s="11"/>
      <c r="Q2653" s="11"/>
      <c r="R2653" s="11"/>
      <c r="S2653" s="11"/>
      <c r="T2653" s="11"/>
      <c r="U2653" s="11"/>
      <c r="V2653" s="11"/>
      <c r="W2653" s="11"/>
      <c r="X2653" s="11"/>
      <c r="Y2653" s="11"/>
      <c r="Z2653" s="11"/>
    </row>
    <row r="2654" customHeight="1" spans="1:26">
      <c r="A2654" s="11" t="str">
        <f>IFERROR(__xludf.DUMMYFUNCTION("""COMPUTED_VALUE"""),"MARIA GORETTI COSTA COUTINHO")</f>
        <v>MARIA GORETTI COSTA COUTINHO</v>
      </c>
      <c r="B2654" s="11"/>
      <c r="C2654" s="11"/>
      <c r="D2654" s="11" t="str">
        <f>IFERROR(__xludf.DUMMYFUNCTION("""COMPUTED_VALUE"""),"PEDIATRIA")</f>
        <v>PEDIATRIA</v>
      </c>
      <c r="E2654" s="11"/>
      <c r="F2654" s="11" t="str">
        <f>IFERROR(__xludf.DUMMYFUNCTION("""COMPUTED_VALUE"""),"US_153 POLICLINICA E MATERNIDADE ARNALDO MARQUES")</f>
        <v>US_153 POLICLINICA E MATERNIDADE ARNALDO MARQUES</v>
      </c>
      <c r="G2654" s="11" t="str">
        <f>IFERROR(__xludf.DUMMYFUNCTION("""COMPUTED_VALUE"""),"US_153 POLICLINICA E MATERNIDADE ARNALDO MARQUES")</f>
        <v>US_153 POLICLINICA E MATERNIDADE ARNALDO MARQUES</v>
      </c>
      <c r="H2654" s="11"/>
      <c r="I2654" s="11"/>
      <c r="J2654" s="11"/>
      <c r="K2654" s="11"/>
      <c r="L2654" s="11"/>
      <c r="M2654" s="11"/>
      <c r="N2654" s="30" t="str">
        <f>IFERROR(__xludf.DUMMYFUNCTION("""COMPUTED_VALUE"""),"goretti-costa@hotmail.com                              ")</f>
        <v>goretti-costa@hotmail.com                              </v>
      </c>
      <c r="O2654" s="11">
        <f>IFERROR(__xludf.DUMMYFUNCTION("""COMPUTED_VALUE"""),12596221420)</f>
        <v>12596221420</v>
      </c>
      <c r="P2654" s="11"/>
      <c r="Q2654" s="11"/>
      <c r="R2654" s="11"/>
      <c r="S2654" s="11"/>
      <c r="T2654" s="11"/>
      <c r="U2654" s="11"/>
      <c r="V2654" s="11"/>
      <c r="W2654" s="11"/>
      <c r="X2654" s="11"/>
      <c r="Y2654" s="11"/>
      <c r="Z2654" s="11"/>
    </row>
    <row r="2655" customHeight="1" spans="1:26">
      <c r="A2655" s="11" t="str">
        <f>IFERROR(__xludf.DUMMYFUNCTION("""COMPUTED_VALUE"""),"EULALIA MADALENA MATOS LAPA")</f>
        <v>EULALIA MADALENA MATOS LAPA</v>
      </c>
      <c r="B2655" s="11"/>
      <c r="C2655" s="11"/>
      <c r="D2655" s="11" t="str">
        <f>IFERROR(__xludf.DUMMYFUNCTION("""COMPUTED_VALUE"""),"PEDIATRIA")</f>
        <v>PEDIATRIA</v>
      </c>
      <c r="E2655" s="11"/>
      <c r="F2655" s="11" t="str">
        <f>IFERROR(__xludf.DUMMYFUNCTION("""COMPUTED_VALUE"""),"US_153 POLICLINICA E MATERNIDADE ARNALDO MARQUES")</f>
        <v>US_153 POLICLINICA E MATERNIDADE ARNALDO MARQUES</v>
      </c>
      <c r="G2655" s="11" t="str">
        <f>IFERROR(__xludf.DUMMYFUNCTION("""COMPUTED_VALUE"""),"US_153 POLICLINICA E MATERNIDADE ARNALDO MARQUES")</f>
        <v>US_153 POLICLINICA E MATERNIDADE ARNALDO MARQUES</v>
      </c>
      <c r="H2655" s="11"/>
      <c r="I2655" s="11"/>
      <c r="J2655" s="11"/>
      <c r="K2655" s="11"/>
      <c r="L2655" s="11"/>
      <c r="M2655" s="11"/>
      <c r="N2655" s="30" t="str">
        <f>IFERROR(__xludf.DUMMYFUNCTION("""COMPUTED_VALUE"""),"madalenalapa@hotmail.com                               ")</f>
        <v>madalenalapa@hotmail.com                               </v>
      </c>
      <c r="O2655" s="11">
        <f>IFERROR(__xludf.DUMMYFUNCTION("""COMPUTED_VALUE"""),37112023491)</f>
        <v>37112023491</v>
      </c>
      <c r="P2655" s="11"/>
      <c r="Q2655" s="11"/>
      <c r="R2655" s="11"/>
      <c r="S2655" s="11"/>
      <c r="T2655" s="11"/>
      <c r="U2655" s="11"/>
      <c r="V2655" s="11"/>
      <c r="W2655" s="11"/>
      <c r="X2655" s="11"/>
      <c r="Y2655" s="11"/>
      <c r="Z2655" s="11"/>
    </row>
    <row r="2656" customHeight="1" spans="1:26">
      <c r="A2656" s="11" t="str">
        <f>IFERROR(__xludf.DUMMYFUNCTION("""COMPUTED_VALUE"""),"ADLA ASFORA EL DEIR")</f>
        <v>ADLA ASFORA EL DEIR</v>
      </c>
      <c r="B2656" s="11"/>
      <c r="C2656" s="11"/>
      <c r="D2656" s="11" t="str">
        <f>IFERROR(__xludf.DUMMYFUNCTION("""COMPUTED_VALUE"""),"NEONATOLOGIA")</f>
        <v>NEONATOLOGIA</v>
      </c>
      <c r="E2656" s="11"/>
      <c r="F2656" s="11" t="str">
        <f>IFERROR(__xludf.DUMMYFUNCTION("""COMPUTED_VALUE"""),"US_153 POLICLINICA E MATERNIDADE ARNALDO MARQUES")</f>
        <v>US_153 POLICLINICA E MATERNIDADE ARNALDO MARQUES</v>
      </c>
      <c r="G2656" s="11" t="str">
        <f>IFERROR(__xludf.DUMMYFUNCTION("""COMPUTED_VALUE"""),"US_153 POLICLINICA E MATERNIDADE ARNALDO MARQUES")</f>
        <v>US_153 POLICLINICA E MATERNIDADE ARNALDO MARQUES</v>
      </c>
      <c r="H2656" s="11"/>
      <c r="I2656" s="11"/>
      <c r="J2656" s="11"/>
      <c r="K2656" s="11"/>
      <c r="L2656" s="11"/>
      <c r="M2656" s="11"/>
      <c r="N2656" s="30" t="str">
        <f>IFERROR(__xludf.DUMMYFUNCTION("""COMPUTED_VALUE"""),"adla.asfora.eldeir@gmail.com                           ")</f>
        <v>adla.asfora.eldeir@gmail.com                           </v>
      </c>
      <c r="O2656" s="11">
        <f>IFERROR(__xludf.DUMMYFUNCTION("""COMPUTED_VALUE"""),48911119415)</f>
        <v>48911119415</v>
      </c>
      <c r="P2656" s="11"/>
      <c r="Q2656" s="11"/>
      <c r="R2656" s="11"/>
      <c r="S2656" s="11"/>
      <c r="T2656" s="11"/>
      <c r="U2656" s="11"/>
      <c r="V2656" s="11"/>
      <c r="W2656" s="11"/>
      <c r="X2656" s="11"/>
      <c r="Y2656" s="11"/>
      <c r="Z2656" s="11"/>
    </row>
    <row r="2657" customHeight="1" spans="1:26">
      <c r="A2657" s="11" t="str">
        <f>IFERROR(__xludf.DUMMYFUNCTION("""COMPUTED_VALUE"""),"MARIA AUXILIADORA R LEANDRO")</f>
        <v>MARIA AUXILIADORA R LEANDRO</v>
      </c>
      <c r="B2657" s="11"/>
      <c r="C2657" s="11"/>
      <c r="D2657" s="11" t="str">
        <f>IFERROR(__xludf.DUMMYFUNCTION("""COMPUTED_VALUE"""),"PEDIATRIA")</f>
        <v>PEDIATRIA</v>
      </c>
      <c r="E2657" s="11"/>
      <c r="F2657" s="11" t="str">
        <f>IFERROR(__xludf.DUMMYFUNCTION("""COMPUTED_VALUE"""),"US_153 POLICLINICA E MATERNIDADE ARNALDO MARQUES")</f>
        <v>US_153 POLICLINICA E MATERNIDADE ARNALDO MARQUES</v>
      </c>
      <c r="G2657" s="11" t="str">
        <f>IFERROR(__xludf.DUMMYFUNCTION("""COMPUTED_VALUE"""),"US_153 POLICLINICA E MATERNIDADE ARNALDO MARQUES")</f>
        <v>US_153 POLICLINICA E MATERNIDADE ARNALDO MARQUES</v>
      </c>
      <c r="H2657" s="11"/>
      <c r="I2657" s="11"/>
      <c r="J2657" s="11"/>
      <c r="K2657" s="11"/>
      <c r="L2657" s="11"/>
      <c r="M2657" s="11"/>
      <c r="N2657" s="30" t="str">
        <f>IFERROR(__xludf.DUMMYFUNCTION("""COMPUTED_VALUE"""),"dorarleandro@hotmail.com")</f>
        <v>dorarleandro@hotmail.com</v>
      </c>
      <c r="O2657" s="11">
        <f>IFERROR(__xludf.DUMMYFUNCTION("""COMPUTED_VALUE"""),35202017472)</f>
        <v>35202017472</v>
      </c>
      <c r="P2657" s="11"/>
      <c r="Q2657" s="11"/>
      <c r="R2657" s="11"/>
      <c r="S2657" s="11"/>
      <c r="T2657" s="11"/>
      <c r="U2657" s="11"/>
      <c r="V2657" s="11"/>
      <c r="W2657" s="11"/>
      <c r="X2657" s="11"/>
      <c r="Y2657" s="11"/>
      <c r="Z2657" s="11"/>
    </row>
    <row r="2658" customHeight="1" spans="1:26">
      <c r="A2658" s="11" t="str">
        <f>IFERROR(__xludf.DUMMYFUNCTION("""COMPUTED_VALUE"""),"VERA CABUS JACBY")</f>
        <v>VERA CABUS JACBY</v>
      </c>
      <c r="B2658" s="11"/>
      <c r="C2658" s="11"/>
      <c r="D2658" s="11" t="str">
        <f>IFERROR(__xludf.DUMMYFUNCTION("""COMPUTED_VALUE"""),"PEDIATRIA")</f>
        <v>PEDIATRIA</v>
      </c>
      <c r="E2658" s="11"/>
      <c r="F2658" s="11" t="str">
        <f>IFERROR(__xludf.DUMMYFUNCTION("""COMPUTED_VALUE"""),"US_153 POLICLINICA E MATERNIDADE ARNALDO MARQUES")</f>
        <v>US_153 POLICLINICA E MATERNIDADE ARNALDO MARQUES</v>
      </c>
      <c r="G2658" s="11" t="str">
        <f>IFERROR(__xludf.DUMMYFUNCTION("""COMPUTED_VALUE"""),"US_153 POLICLINICA E MATERNIDADE ARNALDO MARQUES")</f>
        <v>US_153 POLICLINICA E MATERNIDADE ARNALDO MARQUES</v>
      </c>
      <c r="H2658" s="11"/>
      <c r="I2658" s="11"/>
      <c r="J2658" s="11"/>
      <c r="K2658" s="11"/>
      <c r="L2658" s="11"/>
      <c r="M2658" s="11"/>
      <c r="N2658" s="30" t="str">
        <f>IFERROR(__xludf.DUMMYFUNCTION("""COMPUTED_VALUE"""),"veracabus@hotmail.com")</f>
        <v>veracabus@hotmail.com</v>
      </c>
      <c r="O2658" s="11">
        <f>IFERROR(__xludf.DUMMYFUNCTION("""COMPUTED_VALUE"""),46025499420)</f>
        <v>46025499420</v>
      </c>
      <c r="P2658" s="11"/>
      <c r="Q2658" s="11"/>
      <c r="R2658" s="11"/>
      <c r="S2658" s="11"/>
      <c r="T2658" s="11"/>
      <c r="U2658" s="11"/>
      <c r="V2658" s="11"/>
      <c r="W2658" s="11"/>
      <c r="X2658" s="11"/>
      <c r="Y2658" s="11"/>
      <c r="Z2658" s="11"/>
    </row>
    <row r="2659" customHeight="1" spans="1:26">
      <c r="A2659" s="11" t="str">
        <f>IFERROR(__xludf.DUMMYFUNCTION("""COMPUTED_VALUE"""),"ROSANGELA CAMPOS DE A BOTELHO")</f>
        <v>ROSANGELA CAMPOS DE A BOTELHO</v>
      </c>
      <c r="B2659" s="11"/>
      <c r="C2659" s="11"/>
      <c r="D2659" s="11" t="str">
        <f>IFERROR(__xludf.DUMMYFUNCTION("""COMPUTED_VALUE"""),"GINECOLOGIA E OBSTETRICIA")</f>
        <v>GINECOLOGIA E OBSTETRICIA</v>
      </c>
      <c r="E2659" s="11"/>
      <c r="F2659" s="11" t="str">
        <f>IFERROR(__xludf.DUMMYFUNCTION("""COMPUTED_VALUE"""),"US_165 MATERNIDADE BANDEIRA FILHO")</f>
        <v>US_165 MATERNIDADE BANDEIRA FILHO</v>
      </c>
      <c r="G2659" s="11" t="str">
        <f>IFERROR(__xludf.DUMMYFUNCTION("""COMPUTED_VALUE"""),"US_165 MATERNIDADE BANDEIRA FILHO")</f>
        <v>US_165 MATERNIDADE BANDEIRA FILHO</v>
      </c>
      <c r="H2659" s="11"/>
      <c r="I2659" s="11"/>
      <c r="J2659" s="11"/>
      <c r="K2659" s="11"/>
      <c r="L2659" s="11"/>
      <c r="M2659" s="11"/>
      <c r="N2659" s="30" t="str">
        <f>IFERROR(__xludf.DUMMYFUNCTION("""COMPUTED_VALUE"""),"rosangela_botelho61@hotmail.com")</f>
        <v>rosangela_botelho61@hotmail.com</v>
      </c>
      <c r="O2659" s="11">
        <f>IFERROR(__xludf.DUMMYFUNCTION("""COMPUTED_VALUE"""),24450782453)</f>
        <v>24450782453</v>
      </c>
      <c r="P2659" s="11"/>
      <c r="Q2659" s="11"/>
      <c r="R2659" s="11"/>
      <c r="S2659" s="11"/>
      <c r="T2659" s="11"/>
      <c r="U2659" s="11"/>
      <c r="V2659" s="11"/>
      <c r="W2659" s="11"/>
      <c r="X2659" s="11"/>
      <c r="Y2659" s="11"/>
      <c r="Z2659" s="11"/>
    </row>
    <row r="2660" customHeight="1" spans="1:26">
      <c r="A2660" s="11" t="str">
        <f>IFERROR(__xludf.DUMMYFUNCTION("""COMPUTED_VALUE"""),"MARIA HELENA LINS T MONTEIRO")</f>
        <v>MARIA HELENA LINS T MONTEIRO</v>
      </c>
      <c r="B2660" s="11"/>
      <c r="C2660" s="11"/>
      <c r="D2660" s="11" t="str">
        <f>IFERROR(__xludf.DUMMYFUNCTION("""COMPUTED_VALUE"""),"GINECOLOGIA / COLPOSCOPIA")</f>
        <v>GINECOLOGIA / COLPOSCOPIA</v>
      </c>
      <c r="E2660" s="11"/>
      <c r="F2660" s="11" t="str">
        <f>IFERROR(__xludf.DUMMYFUNCTION("""COMPUTED_VALUE"""),"US_165 MATERNIDADE BANDEIRA FILHO")</f>
        <v>US_165 MATERNIDADE BANDEIRA FILHO</v>
      </c>
      <c r="G2660" s="11" t="str">
        <f>IFERROR(__xludf.DUMMYFUNCTION("""COMPUTED_VALUE"""),"US_165 MATERNIDADE BANDEIRA FILHO")</f>
        <v>US_165 MATERNIDADE BANDEIRA FILHO</v>
      </c>
      <c r="H2660" s="11"/>
      <c r="I2660" s="11"/>
      <c r="J2660" s="11"/>
      <c r="K2660" s="11"/>
      <c r="L2660" s="11"/>
      <c r="M2660" s="11"/>
      <c r="N2660" s="30" t="str">
        <f>IFERROR(__xludf.DUMMYFUNCTION("""COMPUTED_VALUE"""),"helena.lena.monteiro@hotmail.com")</f>
        <v>helena.lena.monteiro@hotmail.com</v>
      </c>
      <c r="O2660" s="11">
        <f>IFERROR(__xludf.DUMMYFUNCTION("""COMPUTED_VALUE"""),44559224404)</f>
        <v>44559224404</v>
      </c>
      <c r="P2660" s="11"/>
      <c r="Q2660" s="11"/>
      <c r="R2660" s="11"/>
      <c r="S2660" s="11"/>
      <c r="T2660" s="11"/>
      <c r="U2660" s="11"/>
      <c r="V2660" s="11"/>
      <c r="W2660" s="11"/>
      <c r="X2660" s="11"/>
      <c r="Y2660" s="11"/>
      <c r="Z2660" s="11"/>
    </row>
    <row r="2661" customHeight="1" spans="1:26">
      <c r="A2661" s="11" t="str">
        <f>IFERROR(__xludf.DUMMYFUNCTION("""COMPUTED_VALUE"""),"ERICK ISAAC MORENO MARTINEZ")</f>
        <v>ERICK ISAAC MORENO MARTINEZ</v>
      </c>
      <c r="B2661" s="11"/>
      <c r="C2661" s="11"/>
      <c r="D2661" s="11" t="str">
        <f>IFERROR(__xludf.DUMMYFUNCTION("""COMPUTED_VALUE"""),"GINECOLOGIA E OBSTETRICIA")</f>
        <v>GINECOLOGIA E OBSTETRICIA</v>
      </c>
      <c r="E2661" s="11"/>
      <c r="F2661" s="11" t="str">
        <f>IFERROR(__xludf.DUMMYFUNCTION("""COMPUTED_VALUE"""),"US_165 MATERNIDADE BANDEIRA FILHO")</f>
        <v>US_165 MATERNIDADE BANDEIRA FILHO</v>
      </c>
      <c r="G2661" s="11" t="str">
        <f>IFERROR(__xludf.DUMMYFUNCTION("""COMPUTED_VALUE"""),"US_165 MATERNIDADE BANDEIRA FILHO")</f>
        <v>US_165 MATERNIDADE BANDEIRA FILHO</v>
      </c>
      <c r="H2661" s="11"/>
      <c r="I2661" s="11"/>
      <c r="J2661" s="11"/>
      <c r="K2661" s="11"/>
      <c r="L2661" s="11"/>
      <c r="M2661" s="11"/>
      <c r="N2661" s="30" t="str">
        <f>IFERROR(__xludf.DUMMYFUNCTION("""COMPUTED_VALUE"""),"erickmoreno205@hotmail.com")</f>
        <v>erickmoreno205@hotmail.com</v>
      </c>
      <c r="O2661" s="11">
        <f>IFERROR(__xludf.DUMMYFUNCTION("""COMPUTED_VALUE"""),33138699472)</f>
        <v>33138699472</v>
      </c>
      <c r="P2661" s="11"/>
      <c r="Q2661" s="11"/>
      <c r="R2661" s="11"/>
      <c r="S2661" s="11"/>
      <c r="T2661" s="11"/>
      <c r="U2661" s="11"/>
      <c r="V2661" s="11"/>
      <c r="W2661" s="11"/>
      <c r="X2661" s="11"/>
      <c r="Y2661" s="11"/>
      <c r="Z2661" s="11"/>
    </row>
    <row r="2662" customHeight="1" spans="1:26">
      <c r="A2662" s="11" t="str">
        <f>IFERROR(__xludf.DUMMYFUNCTION("""COMPUTED_VALUE"""),"ELIZABETH REGINA GALDINO FULCO")</f>
        <v>ELIZABETH REGINA GALDINO FULCO</v>
      </c>
      <c r="B2662" s="11"/>
      <c r="C2662" s="11"/>
      <c r="D2662" s="11" t="str">
        <f>IFERROR(__xludf.DUMMYFUNCTION("""COMPUTED_VALUE"""),"GINECOLOGIA E OBSTETRICIA")</f>
        <v>GINECOLOGIA E OBSTETRICIA</v>
      </c>
      <c r="E2662" s="11"/>
      <c r="F2662" s="11" t="str">
        <f>IFERROR(__xludf.DUMMYFUNCTION("""COMPUTED_VALUE"""),"US_165 MATERNIDADE BANDEIRA FILHO")</f>
        <v>US_165 MATERNIDADE BANDEIRA FILHO</v>
      </c>
      <c r="G2662" s="11" t="str">
        <f>IFERROR(__xludf.DUMMYFUNCTION("""COMPUTED_VALUE"""),"US_165 MATERNIDADE BANDEIRA FILHO")</f>
        <v>US_165 MATERNIDADE BANDEIRA FILHO</v>
      </c>
      <c r="H2662" s="11"/>
      <c r="I2662" s="11"/>
      <c r="J2662" s="11"/>
      <c r="K2662" s="11"/>
      <c r="L2662" s="11"/>
      <c r="M2662" s="11"/>
      <c r="N2662" s="30" t="str">
        <f>IFERROR(__xludf.DUMMYFUNCTION("""COMPUTED_VALUE"""),"docbeth48@gmail.com")</f>
        <v>docbeth48@gmail.com</v>
      </c>
      <c r="O2662" s="11">
        <f>IFERROR(__xludf.DUMMYFUNCTION("""COMPUTED_VALUE"""),52382044420)</f>
        <v>52382044420</v>
      </c>
      <c r="P2662" s="11"/>
      <c r="Q2662" s="11"/>
      <c r="R2662" s="11"/>
      <c r="S2662" s="11"/>
      <c r="T2662" s="11"/>
      <c r="U2662" s="11"/>
      <c r="V2662" s="11"/>
      <c r="W2662" s="11"/>
      <c r="X2662" s="11"/>
      <c r="Y2662" s="11"/>
      <c r="Z2662" s="11"/>
    </row>
    <row r="2663" customHeight="1" spans="1:26">
      <c r="A2663" s="11" t="str">
        <f>IFERROR(__xludf.DUMMYFUNCTION("""COMPUTED_VALUE"""),"ABILIO VALENCA DE BARROS")</f>
        <v>ABILIO VALENCA DE BARROS</v>
      </c>
      <c r="B2663" s="11"/>
      <c r="C2663" s="11"/>
      <c r="D2663" s="11" t="str">
        <f>IFERROR(__xludf.DUMMYFUNCTION("""COMPUTED_VALUE"""),"ULTRASSONOGRAFIA")</f>
        <v>ULTRASSONOGRAFIA</v>
      </c>
      <c r="E2663" s="11"/>
      <c r="F2663" s="11" t="str">
        <f>IFERROR(__xludf.DUMMYFUNCTION("""COMPUTED_VALUE"""),"US_165 MATERNIDADE BANDEIRA FILHO")</f>
        <v>US_165 MATERNIDADE BANDEIRA FILHO</v>
      </c>
      <c r="G2663" s="11" t="str">
        <f>IFERROR(__xludf.DUMMYFUNCTION("""COMPUTED_VALUE"""),"US_165 MATERNIDADE BANDEIRA FILHO")</f>
        <v>US_165 MATERNIDADE BANDEIRA FILHO</v>
      </c>
      <c r="H2663" s="11"/>
      <c r="I2663" s="11"/>
      <c r="J2663" s="11"/>
      <c r="K2663" s="11"/>
      <c r="L2663" s="11"/>
      <c r="M2663" s="11"/>
      <c r="N2663" s="30" t="str">
        <f>IFERROR(__xludf.DUMMYFUNCTION("""COMPUTED_VALUE"""),"abiliovalenca@outlook.com")</f>
        <v>abiliovalenca@outlook.com</v>
      </c>
      <c r="O2663" s="11">
        <f>IFERROR(__xludf.DUMMYFUNCTION("""COMPUTED_VALUE"""),68956703434)</f>
        <v>68956703434</v>
      </c>
      <c r="P2663" s="11"/>
      <c r="Q2663" s="11"/>
      <c r="R2663" s="11"/>
      <c r="S2663" s="11"/>
      <c r="T2663" s="11"/>
      <c r="U2663" s="11"/>
      <c r="V2663" s="11"/>
      <c r="W2663" s="11"/>
      <c r="X2663" s="11"/>
      <c r="Y2663" s="11"/>
      <c r="Z2663" s="11"/>
    </row>
    <row r="2664" customHeight="1" spans="1:26">
      <c r="A2664" s="11" t="str">
        <f>IFERROR(__xludf.DUMMYFUNCTION("""COMPUTED_VALUE"""),"CESTENIO DE O MAGALHAES FILHO")</f>
        <v>CESTENIO DE O MAGALHAES FILHO</v>
      </c>
      <c r="B2664" s="11"/>
      <c r="C2664" s="11"/>
      <c r="D2664" s="11" t="str">
        <f>IFERROR(__xludf.DUMMYFUNCTION("""COMPUTED_VALUE"""),"GINECOLOGIA E OBSTETRICIA")</f>
        <v>GINECOLOGIA E OBSTETRICIA</v>
      </c>
      <c r="E2664" s="11"/>
      <c r="F2664" s="11" t="str">
        <f>IFERROR(__xludf.DUMMYFUNCTION("""COMPUTED_VALUE"""),"US_167 POLICLINICA E MATERNIDADE PROFESSOR BARROS LIMA")</f>
        <v>US_167 POLICLINICA E MATERNIDADE PROFESSOR BARROS LIMA</v>
      </c>
      <c r="G2664" s="11" t="str">
        <f>IFERROR(__xludf.DUMMYFUNCTION("""COMPUTED_VALUE"""),"US_167 POLICLINICA E MATERNIDADE PROFESSOR BARROS LIMA")</f>
        <v>US_167 POLICLINICA E MATERNIDADE PROFESSOR BARROS LIMA</v>
      </c>
      <c r="H2664" s="11"/>
      <c r="I2664" s="11"/>
      <c r="J2664" s="11"/>
      <c r="K2664" s="11"/>
      <c r="L2664" s="11"/>
      <c r="M2664" s="11"/>
      <c r="N2664" s="30" t="str">
        <f>IFERROR(__xludf.DUMMYFUNCTION("""COMPUTED_VALUE"""),"cesteniof@gmail.com")</f>
        <v>cesteniof@gmail.com</v>
      </c>
      <c r="O2664" s="11">
        <f>IFERROR(__xludf.DUMMYFUNCTION("""COMPUTED_VALUE"""),10123032415)</f>
        <v>10123032415</v>
      </c>
      <c r="P2664" s="11"/>
      <c r="Q2664" s="11"/>
      <c r="R2664" s="11"/>
      <c r="S2664" s="11"/>
      <c r="T2664" s="11"/>
      <c r="U2664" s="11"/>
      <c r="V2664" s="11"/>
      <c r="W2664" s="11"/>
      <c r="X2664" s="11"/>
      <c r="Y2664" s="11"/>
      <c r="Z2664" s="11"/>
    </row>
    <row r="2665" customHeight="1" spans="1:26">
      <c r="A2665" s="11" t="str">
        <f>IFERROR(__xludf.DUMMYFUNCTION("""COMPUTED_VALUE"""),"MARCIA ELISABETE D GUIMARAES")</f>
        <v>MARCIA ELISABETE D GUIMARAES</v>
      </c>
      <c r="B2665" s="11"/>
      <c r="C2665" s="11"/>
      <c r="D2665" s="11" t="str">
        <f>IFERROR(__xludf.DUMMYFUNCTION("""COMPUTED_VALUE"""),"GINECOLOGIA E OBSTETRICIA")</f>
        <v>GINECOLOGIA E OBSTETRICIA</v>
      </c>
      <c r="E2665" s="11"/>
      <c r="F2665" s="11" t="str">
        <f>IFERROR(__xludf.DUMMYFUNCTION("""COMPUTED_VALUE"""),"US_165 MATERNIDADE BANDEIRA FILHO")</f>
        <v>US_165 MATERNIDADE BANDEIRA FILHO</v>
      </c>
      <c r="G2665" s="11" t="str">
        <f>IFERROR(__xludf.DUMMYFUNCTION("""COMPUTED_VALUE"""),"US_165 MATERNIDADE BANDEIRA FILHO")</f>
        <v>US_165 MATERNIDADE BANDEIRA FILHO</v>
      </c>
      <c r="H2665" s="11"/>
      <c r="I2665" s="11"/>
      <c r="J2665" s="11"/>
      <c r="K2665" s="11"/>
      <c r="L2665" s="11"/>
      <c r="M2665" s="11"/>
      <c r="N2665" s="30" t="str">
        <f>IFERROR(__xludf.DUMMYFUNCTION("""COMPUTED_VALUE"""),"guimaraes20022000@terra.com.br")</f>
        <v>guimaraes20022000@terra.com.br</v>
      </c>
      <c r="O2665" s="11">
        <f>IFERROR(__xludf.DUMMYFUNCTION("""COMPUTED_VALUE"""),62318128472)</f>
        <v>62318128472</v>
      </c>
      <c r="P2665" s="11"/>
      <c r="Q2665" s="11"/>
      <c r="R2665" s="11"/>
      <c r="S2665" s="11"/>
      <c r="T2665" s="11"/>
      <c r="U2665" s="11"/>
      <c r="V2665" s="11"/>
      <c r="W2665" s="11"/>
      <c r="X2665" s="11"/>
      <c r="Y2665" s="11"/>
      <c r="Z2665" s="11"/>
    </row>
    <row r="2666" customHeight="1" spans="1:26">
      <c r="A2666" s="11" t="str">
        <f>IFERROR(__xludf.DUMMYFUNCTION("""COMPUTED_VALUE"""),"KATIA LANUSA DUTRA ROLIM")</f>
        <v>KATIA LANUSA DUTRA ROLIM</v>
      </c>
      <c r="B2666" s="11"/>
      <c r="C2666" s="11"/>
      <c r="D2666" s="11" t="str">
        <f>IFERROR(__xludf.DUMMYFUNCTION("""COMPUTED_VALUE"""),"CLINICA GERAL")</f>
        <v>CLINICA GERAL</v>
      </c>
      <c r="E2666" s="11"/>
      <c r="F2666" s="11" t="str">
        <f>IFERROR(__xludf.DUMMYFUNCTION("""COMPUTED_VALUE"""),"US_167 POLICLINICA E MATERNIDADE PROFESSOR BARROS LIMA")</f>
        <v>US_167 POLICLINICA E MATERNIDADE PROFESSOR BARROS LIMA</v>
      </c>
      <c r="G2666" s="11" t="str">
        <f>IFERROR(__xludf.DUMMYFUNCTION("""COMPUTED_VALUE"""),"US_167 POLICLINICA E MATERNIDADE PROFESSOR BARROS LIMA")</f>
        <v>US_167 POLICLINICA E MATERNIDADE PROFESSOR BARROS LIMA</v>
      </c>
      <c r="H2666" s="11"/>
      <c r="I2666" s="11"/>
      <c r="J2666" s="11"/>
      <c r="K2666" s="11"/>
      <c r="L2666" s="11"/>
      <c r="M2666" s="11"/>
      <c r="N2666" s="30" t="str">
        <f>IFERROR(__xludf.DUMMYFUNCTION("""COMPUTED_VALUE"""),"katialanusa@bol.com.br")</f>
        <v>katialanusa@bol.com.br</v>
      </c>
      <c r="O2666" s="11">
        <f>IFERROR(__xludf.DUMMYFUNCTION("""COMPUTED_VALUE"""),61668133415)</f>
        <v>61668133415</v>
      </c>
      <c r="P2666" s="11"/>
      <c r="Q2666" s="11"/>
      <c r="R2666" s="11"/>
      <c r="S2666" s="11"/>
      <c r="T2666" s="11"/>
      <c r="U2666" s="11"/>
      <c r="V2666" s="11"/>
      <c r="W2666" s="11"/>
      <c r="X2666" s="11"/>
      <c r="Y2666" s="11"/>
      <c r="Z2666" s="11"/>
    </row>
    <row r="2667" customHeight="1" spans="1:26">
      <c r="A2667" s="11" t="str">
        <f>IFERROR(__xludf.DUMMYFUNCTION("""COMPUTED_VALUE"""),"ADRIANA MACIEL DE L GRANGEIRO")</f>
        <v>ADRIANA MACIEL DE L GRANGEIRO</v>
      </c>
      <c r="B2667" s="11"/>
      <c r="C2667" s="11"/>
      <c r="D2667" s="11" t="str">
        <f>IFERROR(__xludf.DUMMYFUNCTION("""COMPUTED_VALUE"""),"GINECOLOGIA E OBSTETRICIA")</f>
        <v>GINECOLOGIA E OBSTETRICIA</v>
      </c>
      <c r="E2667" s="11"/>
      <c r="F2667" s="11" t="str">
        <f>IFERROR(__xludf.DUMMYFUNCTION("""COMPUTED_VALUE"""),"US_167 POLICLINICA E MATERNIDADE PROFESSOR BARROS LIMA")</f>
        <v>US_167 POLICLINICA E MATERNIDADE PROFESSOR BARROS LIMA</v>
      </c>
      <c r="G2667" s="11" t="str">
        <f>IFERROR(__xludf.DUMMYFUNCTION("""COMPUTED_VALUE"""),"US_167 POLICLINICA E MATERNIDADE PROFESSOR BARROS LIMA")</f>
        <v>US_167 POLICLINICA E MATERNIDADE PROFESSOR BARROS LIMA</v>
      </c>
      <c r="H2667" s="11"/>
      <c r="I2667" s="11"/>
      <c r="J2667" s="11"/>
      <c r="K2667" s="11"/>
      <c r="L2667" s="11"/>
      <c r="M2667" s="11"/>
      <c r="N2667" s="30" t="str">
        <f>IFERROR(__xludf.DUMMYFUNCTION("""COMPUTED_VALUE"""),"ADRIANA.GRANGEIRO@HOTMAIL.COM.BR")</f>
        <v>ADRIANA.GRANGEIRO@HOTMAIL.COM.BR</v>
      </c>
      <c r="O2667" s="11">
        <f>IFERROR(__xludf.DUMMYFUNCTION("""COMPUTED_VALUE"""),66687349449)</f>
        <v>66687349449</v>
      </c>
      <c r="P2667" s="11"/>
      <c r="Q2667" s="11"/>
      <c r="R2667" s="11"/>
      <c r="S2667" s="11"/>
      <c r="T2667" s="11"/>
      <c r="U2667" s="11"/>
      <c r="V2667" s="11"/>
      <c r="W2667" s="11"/>
      <c r="X2667" s="11"/>
      <c r="Y2667" s="11"/>
      <c r="Z2667" s="11"/>
    </row>
    <row r="2668" customHeight="1" spans="1:26">
      <c r="A2668" s="11" t="str">
        <f>IFERROR(__xludf.DUMMYFUNCTION("""COMPUTED_VALUE"""),"HILMA CARLA SIQUEIRA RIBEIRO")</f>
        <v>HILMA CARLA SIQUEIRA RIBEIRO</v>
      </c>
      <c r="B2668" s="11"/>
      <c r="C2668" s="11"/>
      <c r="D2668" s="11" t="str">
        <f>IFERROR(__xludf.DUMMYFUNCTION("""COMPUTED_VALUE"""),"PEDIATRIA")</f>
        <v>PEDIATRIA</v>
      </c>
      <c r="E2668" s="11"/>
      <c r="F2668" s="11" t="str">
        <f>IFERROR(__xludf.DUMMYFUNCTION("""COMPUTED_VALUE"""),"US_153 POLICLINICA E MATERNIDADE ARNALDO MARQUES")</f>
        <v>US_153 POLICLINICA E MATERNIDADE ARNALDO MARQUES</v>
      </c>
      <c r="G2668" s="11" t="str">
        <f>IFERROR(__xludf.DUMMYFUNCTION("""COMPUTED_VALUE"""),"US_153 POLICLINICA E MATERNIDADE ARNALDO MARQUES")</f>
        <v>US_153 POLICLINICA E MATERNIDADE ARNALDO MARQUES</v>
      </c>
      <c r="H2668" s="11"/>
      <c r="I2668" s="11"/>
      <c r="J2668" s="11"/>
      <c r="K2668" s="11"/>
      <c r="L2668" s="11"/>
      <c r="M2668" s="11"/>
      <c r="N2668" s="30" t="str">
        <f>IFERROR(__xludf.DUMMYFUNCTION("""COMPUTED_VALUE"""),"HILMACARLA@IG.COM.BR")</f>
        <v>HILMACARLA@IG.COM.BR</v>
      </c>
      <c r="O2668" s="11">
        <f>IFERROR(__xludf.DUMMYFUNCTION("""COMPUTED_VALUE"""),79614191449)</f>
        <v>79614191449</v>
      </c>
      <c r="P2668" s="11"/>
      <c r="Q2668" s="11"/>
      <c r="R2668" s="11"/>
      <c r="S2668" s="11"/>
      <c r="T2668" s="11"/>
      <c r="U2668" s="11"/>
      <c r="V2668" s="11"/>
      <c r="W2668" s="11"/>
      <c r="X2668" s="11"/>
      <c r="Y2668" s="11"/>
      <c r="Z2668" s="11"/>
    </row>
    <row r="2669" customHeight="1" spans="1:26">
      <c r="A2669" s="11" t="str">
        <f>IFERROR(__xludf.DUMMYFUNCTION("""COMPUTED_VALUE"""),"VANIA ELEUTERIO A CAMPELO")</f>
        <v>VANIA ELEUTERIO A CAMPELO</v>
      </c>
      <c r="B2669" s="11"/>
      <c r="C2669" s="11"/>
      <c r="D2669" s="11" t="str">
        <f>IFERROR(__xludf.DUMMYFUNCTION("""COMPUTED_VALUE"""),"PEDIATRIA")</f>
        <v>PEDIATRIA</v>
      </c>
      <c r="E2669" s="11"/>
      <c r="F2669" s="11" t="str">
        <f>IFERROR(__xludf.DUMMYFUNCTION("""COMPUTED_VALUE"""),"US_153 POLICLINICA E MATERNIDADE ARNALDO MARQUES")</f>
        <v>US_153 POLICLINICA E MATERNIDADE ARNALDO MARQUES</v>
      </c>
      <c r="G2669" s="11" t="str">
        <f>IFERROR(__xludf.DUMMYFUNCTION("""COMPUTED_VALUE"""),"US_153 POLICLINICA E MATERNIDADE ARNALDO MARQUES")</f>
        <v>US_153 POLICLINICA E MATERNIDADE ARNALDO MARQUES</v>
      </c>
      <c r="H2669" s="11"/>
      <c r="I2669" s="11"/>
      <c r="J2669" s="11"/>
      <c r="K2669" s="11"/>
      <c r="L2669" s="11"/>
      <c r="M2669" s="11"/>
      <c r="N2669" s="30" t="str">
        <f>IFERROR(__xludf.DUMMYFUNCTION("""COMPUTED_VALUE"""),"vaniaeagripino@hotmail.com                             ")</f>
        <v>vaniaeagripino@hotmail.com                             </v>
      </c>
      <c r="O2669" s="11">
        <f>IFERROR(__xludf.DUMMYFUNCTION("""COMPUTED_VALUE"""),73574317468)</f>
        <v>73574317468</v>
      </c>
      <c r="P2669" s="11"/>
      <c r="Q2669" s="11"/>
      <c r="R2669" s="11"/>
      <c r="S2669" s="11"/>
      <c r="T2669" s="11"/>
      <c r="U2669" s="11"/>
      <c r="V2669" s="11"/>
      <c r="W2669" s="11"/>
      <c r="X2669" s="11"/>
      <c r="Y2669" s="11"/>
      <c r="Z2669" s="11"/>
    </row>
    <row r="2670" customHeight="1" spans="1:26">
      <c r="A2670" s="11" t="str">
        <f>IFERROR(__xludf.DUMMYFUNCTION("""COMPUTED_VALUE"""),"FATIMA DE MORAES REGO")</f>
        <v>FATIMA DE MORAES REGO</v>
      </c>
      <c r="B2670" s="11"/>
      <c r="C2670" s="11"/>
      <c r="D2670" s="11" t="str">
        <f>IFERROR(__xludf.DUMMYFUNCTION("""COMPUTED_VALUE"""),"GINECOLOGIA E OBSTETRICIA")</f>
        <v>GINECOLOGIA E OBSTETRICIA</v>
      </c>
      <c r="E2670" s="11"/>
      <c r="F2670" s="11" t="str">
        <f>IFERROR(__xludf.DUMMYFUNCTION("""COMPUTED_VALUE"""),"US_167 POLICLINICA E MATERNIDADE PROFESSOR BARROS LIMA")</f>
        <v>US_167 POLICLINICA E MATERNIDADE PROFESSOR BARROS LIMA</v>
      </c>
      <c r="G2670" s="11" t="str">
        <f>IFERROR(__xludf.DUMMYFUNCTION("""COMPUTED_VALUE"""),"US_167 POLICLINICA E MATERNIDADE PROFESSOR BARROS LIMA")</f>
        <v>US_167 POLICLINICA E MATERNIDADE PROFESSOR BARROS LIMA</v>
      </c>
      <c r="H2670" s="11"/>
      <c r="I2670" s="11"/>
      <c r="J2670" s="11"/>
      <c r="K2670" s="11"/>
      <c r="L2670" s="11"/>
      <c r="M2670" s="11"/>
      <c r="N2670" s="30" t="str">
        <f>IFERROR(__xludf.DUMMYFUNCTION("""COMPUTED_VALUE"""),"fatimamoraesrego@gmail.com")</f>
        <v>fatimamoraesrego@gmail.com</v>
      </c>
      <c r="O2670" s="11">
        <f>IFERROR(__xludf.DUMMYFUNCTION("""COMPUTED_VALUE"""),78445620487)</f>
        <v>78445620487</v>
      </c>
      <c r="P2670" s="11"/>
      <c r="Q2670" s="11"/>
      <c r="R2670" s="11"/>
      <c r="S2670" s="11"/>
      <c r="T2670" s="11"/>
      <c r="U2670" s="11"/>
      <c r="V2670" s="11"/>
      <c r="W2670" s="11"/>
      <c r="X2670" s="11"/>
      <c r="Y2670" s="11"/>
      <c r="Z2670" s="11"/>
    </row>
    <row r="2671" customHeight="1" spans="1:26">
      <c r="A2671" s="11" t="str">
        <f>IFERROR(__xludf.DUMMYFUNCTION("""COMPUTED_VALUE"""),"AERLANE ZAMBONI M SELLI")</f>
        <v>AERLANE ZAMBONI M SELLI</v>
      </c>
      <c r="B2671" s="11"/>
      <c r="C2671" s="11"/>
      <c r="D2671" s="11" t="str">
        <f>IFERROR(__xludf.DUMMYFUNCTION("""COMPUTED_VALUE"""),"NEONATOLOGIA")</f>
        <v>NEONATOLOGIA</v>
      </c>
      <c r="E2671" s="11"/>
      <c r="F2671" s="11" t="str">
        <f>IFERROR(__xludf.DUMMYFUNCTION("""COMPUTED_VALUE"""),"US_165 MATERNIDADE BANDEIRA FILHO")</f>
        <v>US_165 MATERNIDADE BANDEIRA FILHO</v>
      </c>
      <c r="G2671" s="11" t="str">
        <f>IFERROR(__xludf.DUMMYFUNCTION("""COMPUTED_VALUE"""),"US_165 MATERNIDADE BANDEIRA FILHO")</f>
        <v>US_165 MATERNIDADE BANDEIRA FILHO</v>
      </c>
      <c r="H2671" s="11"/>
      <c r="I2671" s="11"/>
      <c r="J2671" s="11"/>
      <c r="K2671" s="11"/>
      <c r="L2671" s="11"/>
      <c r="M2671" s="11"/>
      <c r="N2671" s="30" t="str">
        <f>IFERROR(__xludf.DUMMYFUNCTION("""COMPUTED_VALUE"""),"AEZAMSS@GMAIL.COM")</f>
        <v>AEZAMSS@GMAIL.COM</v>
      </c>
      <c r="O2671" s="11">
        <f>IFERROR(__xludf.DUMMYFUNCTION("""COMPUTED_VALUE"""),16670663404)</f>
        <v>16670663404</v>
      </c>
      <c r="P2671" s="11"/>
      <c r="Q2671" s="11"/>
      <c r="R2671" s="11"/>
      <c r="S2671" s="11"/>
      <c r="T2671" s="11"/>
      <c r="U2671" s="11"/>
      <c r="V2671" s="11"/>
      <c r="W2671" s="11"/>
      <c r="X2671" s="11"/>
      <c r="Y2671" s="11"/>
      <c r="Z2671" s="11"/>
    </row>
    <row r="2672" customHeight="1" spans="1:26">
      <c r="A2672" s="11" t="str">
        <f>IFERROR(__xludf.DUMMYFUNCTION("""COMPUTED_VALUE"""),"LEA FONSECA VELOSO")</f>
        <v>LEA FONSECA VELOSO</v>
      </c>
      <c r="B2672" s="11"/>
      <c r="C2672" s="11"/>
      <c r="D2672" s="11" t="str">
        <f>IFERROR(__xludf.DUMMYFUNCTION("""COMPUTED_VALUE"""),"ANESTESIOLOGIA")</f>
        <v>ANESTESIOLOGIA</v>
      </c>
      <c r="E2672" s="11"/>
      <c r="F2672" s="11" t="str">
        <f>IFERROR(__xludf.DUMMYFUNCTION("""COMPUTED_VALUE"""),"US_165 MATERNIDADE BANDEIRA FILHO")</f>
        <v>US_165 MATERNIDADE BANDEIRA FILHO</v>
      </c>
      <c r="G2672" s="11" t="str">
        <f>IFERROR(__xludf.DUMMYFUNCTION("""COMPUTED_VALUE"""),"US_165 MATERNIDADE BANDEIRA FILHO")</f>
        <v>US_165 MATERNIDADE BANDEIRA FILHO</v>
      </c>
      <c r="H2672" s="11"/>
      <c r="I2672" s="11"/>
      <c r="J2672" s="11"/>
      <c r="K2672" s="11"/>
      <c r="L2672" s="11"/>
      <c r="M2672" s="11"/>
      <c r="N2672" s="30" t="str">
        <f>IFERROR(__xludf.DUMMYFUNCTION("""COMPUTED_VALUE"""),"leafveloso@hotmail.com")</f>
        <v>leafveloso@hotmail.com</v>
      </c>
      <c r="O2672" s="11">
        <f>IFERROR(__xludf.DUMMYFUNCTION("""COMPUTED_VALUE"""),63266326415)</f>
        <v>63266326415</v>
      </c>
      <c r="P2672" s="11"/>
      <c r="Q2672" s="11"/>
      <c r="R2672" s="11"/>
      <c r="S2672" s="11"/>
      <c r="T2672" s="11"/>
      <c r="U2672" s="11"/>
      <c r="V2672" s="11"/>
      <c r="W2672" s="11"/>
      <c r="X2672" s="11"/>
      <c r="Y2672" s="11"/>
      <c r="Z2672" s="11"/>
    </row>
    <row r="2673" customHeight="1" spans="1:26">
      <c r="A2673" s="11" t="str">
        <f>IFERROR(__xludf.DUMMYFUNCTION("""COMPUTED_VALUE"""),"NAIR LAUREANO DE SOUZA")</f>
        <v>NAIR LAUREANO DE SOUZA</v>
      </c>
      <c r="B2673" s="11"/>
      <c r="C2673" s="11"/>
      <c r="D2673" s="11" t="str">
        <f>IFERROR(__xludf.DUMMYFUNCTION("""COMPUTED_VALUE"""),"GINECOLOGIA / OBSTETETRA / TOCOGINECOLOGIA")</f>
        <v>GINECOLOGIA / OBSTETETRA / TOCOGINECOLOGIA</v>
      </c>
      <c r="E2673" s="11"/>
      <c r="F2673" s="11" t="str">
        <f>IFERROR(__xludf.DUMMYFUNCTION("""COMPUTED_VALUE"""),"US_165 MATERNIDADE BANDEIRA FILHO")</f>
        <v>US_165 MATERNIDADE BANDEIRA FILHO</v>
      </c>
      <c r="G2673" s="11" t="str">
        <f>IFERROR(__xludf.DUMMYFUNCTION("""COMPUTED_VALUE"""),"US_165 MATERNIDADE BANDEIRA FILHO")</f>
        <v>US_165 MATERNIDADE BANDEIRA FILHO</v>
      </c>
      <c r="H2673" s="11"/>
      <c r="I2673" s="11"/>
      <c r="J2673" s="11"/>
      <c r="K2673" s="11"/>
      <c r="L2673" s="11"/>
      <c r="M2673" s="11"/>
      <c r="N2673" s="11"/>
      <c r="O2673" s="11">
        <f>IFERROR(__xludf.DUMMYFUNCTION("""COMPUTED_VALUE"""),35407352400)</f>
        <v>35407352400</v>
      </c>
      <c r="P2673" s="11"/>
      <c r="Q2673" s="11"/>
      <c r="R2673" s="11"/>
      <c r="S2673" s="11"/>
      <c r="T2673" s="11"/>
      <c r="U2673" s="11"/>
      <c r="V2673" s="11"/>
      <c r="W2673" s="11"/>
      <c r="X2673" s="11"/>
      <c r="Y2673" s="11"/>
      <c r="Z2673" s="11"/>
    </row>
    <row r="2674" customHeight="1" spans="1:26">
      <c r="A2674" s="11" t="str">
        <f>IFERROR(__xludf.DUMMYFUNCTION("""COMPUTED_VALUE"""),"ADRIANA LEMOS R DE BARROS")</f>
        <v>ADRIANA LEMOS R DE BARROS</v>
      </c>
      <c r="B2674" s="11"/>
      <c r="C2674" s="11"/>
      <c r="D2674" s="11" t="str">
        <f>IFERROR(__xludf.DUMMYFUNCTION("""COMPUTED_VALUE"""),"NEONATOLOGIA")</f>
        <v>NEONATOLOGIA</v>
      </c>
      <c r="E2674" s="11"/>
      <c r="F2674" s="11" t="str">
        <f>IFERROR(__xludf.DUMMYFUNCTION("""COMPUTED_VALUE"""),"US_153 POLICLINICA E MATERNIDADE ARNALDO MARQUES")</f>
        <v>US_153 POLICLINICA E MATERNIDADE ARNALDO MARQUES</v>
      </c>
      <c r="G2674" s="11" t="str">
        <f>IFERROR(__xludf.DUMMYFUNCTION("""COMPUTED_VALUE"""),"US_153 POLICLINICA E MATERNIDADE ARNALDO MARQUES")</f>
        <v>US_153 POLICLINICA E MATERNIDADE ARNALDO MARQUES</v>
      </c>
      <c r="H2674" s="11"/>
      <c r="I2674" s="11"/>
      <c r="J2674" s="11"/>
      <c r="K2674" s="11"/>
      <c r="L2674" s="11"/>
      <c r="M2674" s="11"/>
      <c r="N2674" s="30" t="str">
        <f>IFERROR(__xludf.DUMMYFUNCTION("""COMPUTED_VALUE"""),"adrianarobalinho@hotmail.com")</f>
        <v>adrianarobalinho@hotmail.com</v>
      </c>
      <c r="O2674" s="11">
        <f>IFERROR(__xludf.DUMMYFUNCTION("""COMPUTED_VALUE"""),66999995400)</f>
        <v>66999995400</v>
      </c>
      <c r="P2674" s="11"/>
      <c r="Q2674" s="11"/>
      <c r="R2674" s="11"/>
      <c r="S2674" s="11"/>
      <c r="T2674" s="11"/>
      <c r="U2674" s="11"/>
      <c r="V2674" s="11"/>
      <c r="W2674" s="11"/>
      <c r="X2674" s="11"/>
      <c r="Y2674" s="11"/>
      <c r="Z2674" s="11"/>
    </row>
    <row r="2675" customHeight="1" spans="1:26">
      <c r="A2675" s="11" t="str">
        <f>IFERROR(__xludf.DUMMYFUNCTION("""COMPUTED_VALUE"""),"ANA FLORA MORAES P NUNES")</f>
        <v>ANA FLORA MORAES P NUNES</v>
      </c>
      <c r="B2675" s="11"/>
      <c r="C2675" s="11"/>
      <c r="D2675" s="11" t="str">
        <f>IFERROR(__xludf.DUMMYFUNCTION("""COMPUTED_VALUE"""),"NEONATOLOGIA")</f>
        <v>NEONATOLOGIA</v>
      </c>
      <c r="E2675" s="11"/>
      <c r="F2675" s="11" t="str">
        <f>IFERROR(__xludf.DUMMYFUNCTION("""COMPUTED_VALUE"""),"US_153 POLICLINICA E MATERNIDADE ARNALDO MARQUES")</f>
        <v>US_153 POLICLINICA E MATERNIDADE ARNALDO MARQUES</v>
      </c>
      <c r="G2675" s="11" t="str">
        <f>IFERROR(__xludf.DUMMYFUNCTION("""COMPUTED_VALUE"""),"US_153 POLICLINICA E MATERNIDADE ARNALDO MARQUES")</f>
        <v>US_153 POLICLINICA E MATERNIDADE ARNALDO MARQUES</v>
      </c>
      <c r="H2675" s="11"/>
      <c r="I2675" s="11"/>
      <c r="J2675" s="11"/>
      <c r="K2675" s="11"/>
      <c r="L2675" s="11"/>
      <c r="M2675" s="11"/>
      <c r="N2675" s="30" t="str">
        <f>IFERROR(__xludf.DUMMYFUNCTION("""COMPUTED_VALUE"""),"ANAMARITUCA@GMAIL.COM")</f>
        <v>ANAMARITUCA@GMAIL.COM</v>
      </c>
      <c r="O2675" s="11">
        <f>IFERROR(__xludf.DUMMYFUNCTION("""COMPUTED_VALUE"""),90482000406)</f>
        <v>90482000406</v>
      </c>
      <c r="P2675" s="11"/>
      <c r="Q2675" s="11"/>
      <c r="R2675" s="11"/>
      <c r="S2675" s="11"/>
      <c r="T2675" s="11"/>
      <c r="U2675" s="11"/>
      <c r="V2675" s="11"/>
      <c r="W2675" s="11"/>
      <c r="X2675" s="11"/>
      <c r="Y2675" s="11"/>
      <c r="Z2675" s="11"/>
    </row>
    <row r="2676" customHeight="1" spans="1:26">
      <c r="A2676" s="11" t="str">
        <f>IFERROR(__xludf.DUMMYFUNCTION("""COMPUTED_VALUE"""),"CIBELE PELINCA DA COSTA")</f>
        <v>CIBELE PELINCA DA COSTA</v>
      </c>
      <c r="B2676" s="11"/>
      <c r="C2676" s="11"/>
      <c r="D2676" s="11" t="str">
        <f>IFERROR(__xludf.DUMMYFUNCTION("""COMPUTED_VALUE"""),"ULTRASSONOGRAFIA")</f>
        <v>ULTRASSONOGRAFIA</v>
      </c>
      <c r="E2676" s="11"/>
      <c r="F2676" s="11" t="str">
        <f>IFERROR(__xludf.DUMMYFUNCTION("""COMPUTED_VALUE"""),"US_165 MATERNIDADE BANDEIRA FILHO")</f>
        <v>US_165 MATERNIDADE BANDEIRA FILHO</v>
      </c>
      <c r="G2676" s="11" t="str">
        <f>IFERROR(__xludf.DUMMYFUNCTION("""COMPUTED_VALUE"""),"US_165 MATERNIDADE BANDEIRA FILHO")</f>
        <v>US_165 MATERNIDADE BANDEIRA FILHO</v>
      </c>
      <c r="H2676" s="11"/>
      <c r="I2676" s="11"/>
      <c r="J2676" s="11"/>
      <c r="K2676" s="11"/>
      <c r="L2676" s="11"/>
      <c r="M2676" s="11"/>
      <c r="N2676" s="30" t="str">
        <f>IFERROR(__xludf.DUMMYFUNCTION("""COMPUTED_VALUE"""),"cibelepelinca@terra.com.br")</f>
        <v>cibelepelinca@terra.com.br</v>
      </c>
      <c r="O2676" s="11">
        <f>IFERROR(__xludf.DUMMYFUNCTION("""COMPUTED_VALUE"""),76764680434)</f>
        <v>76764680434</v>
      </c>
      <c r="P2676" s="11"/>
      <c r="Q2676" s="11"/>
      <c r="R2676" s="11"/>
      <c r="S2676" s="11"/>
      <c r="T2676" s="11"/>
      <c r="U2676" s="11"/>
      <c r="V2676" s="11"/>
      <c r="W2676" s="11"/>
      <c r="X2676" s="11"/>
      <c r="Y2676" s="11"/>
      <c r="Z2676" s="11"/>
    </row>
    <row r="2677" customHeight="1" spans="1:26">
      <c r="A2677" s="11" t="str">
        <f>IFERROR(__xludf.DUMMYFUNCTION("""COMPUTED_VALUE"""),"MARIA JOSE JANUARIO COUTINHO")</f>
        <v>MARIA JOSE JANUARIO COUTINHO</v>
      </c>
      <c r="B2677" s="11"/>
      <c r="C2677" s="11"/>
      <c r="D2677" s="11" t="str">
        <f>IFERROR(__xludf.DUMMYFUNCTION("""COMPUTED_VALUE"""),"CLINICA GERAL")</f>
        <v>CLINICA GERAL</v>
      </c>
      <c r="E2677" s="11"/>
      <c r="F2677" s="11" t="str">
        <f>IFERROR(__xludf.DUMMYFUNCTION("""COMPUTED_VALUE"""),"US_167 POLICLINICA E MATERNIDADE PROFESSOR BARROS LIMA")</f>
        <v>US_167 POLICLINICA E MATERNIDADE PROFESSOR BARROS LIMA</v>
      </c>
      <c r="G2677" s="11" t="str">
        <f>IFERROR(__xludf.DUMMYFUNCTION("""COMPUTED_VALUE"""),"US_167 POLICLINICA E MATERNIDADE PROFESSOR BARROS LIMA")</f>
        <v>US_167 POLICLINICA E MATERNIDADE PROFESSOR BARROS LIMA</v>
      </c>
      <c r="H2677" s="11"/>
      <c r="I2677" s="11"/>
      <c r="J2677" s="11"/>
      <c r="K2677" s="11"/>
      <c r="L2677" s="11"/>
      <c r="M2677" s="11"/>
      <c r="N2677" s="30" t="str">
        <f>IFERROR(__xludf.DUMMYFUNCTION("""COMPUTED_VALUE"""),"mariajosejcoutinho@gmail.com")</f>
        <v>mariajosejcoutinho@gmail.com</v>
      </c>
      <c r="O2677" s="11">
        <f>IFERROR(__xludf.DUMMYFUNCTION("""COMPUTED_VALUE"""),28480830425)</f>
        <v>28480830425</v>
      </c>
      <c r="P2677" s="11"/>
      <c r="Q2677" s="11"/>
      <c r="R2677" s="11"/>
      <c r="S2677" s="11"/>
      <c r="T2677" s="11"/>
      <c r="U2677" s="11"/>
      <c r="V2677" s="11"/>
      <c r="W2677" s="11"/>
      <c r="X2677" s="11"/>
      <c r="Y2677" s="11"/>
      <c r="Z2677" s="11"/>
    </row>
    <row r="2678" customHeight="1" spans="1:26">
      <c r="A2678" s="11" t="str">
        <f>IFERROR(__xludf.DUMMYFUNCTION("""COMPUTED_VALUE"""),"PAULO HENRIQUE COSTA RIETRA")</f>
        <v>PAULO HENRIQUE COSTA RIETRA</v>
      </c>
      <c r="B2678" s="11"/>
      <c r="C2678" s="11"/>
      <c r="D2678" s="11" t="str">
        <f>IFERROR(__xludf.DUMMYFUNCTION("""COMPUTED_VALUE"""),"ANESTESIOLOGIA")</f>
        <v>ANESTESIOLOGIA</v>
      </c>
      <c r="E2678" s="11"/>
      <c r="F2678" s="11" t="str">
        <f>IFERROR(__xludf.DUMMYFUNCTION("""COMPUTED_VALUE"""),"US_167 POLICLINICA E MATERNIDADE PROFESSOR BARROS LIMA")</f>
        <v>US_167 POLICLINICA E MATERNIDADE PROFESSOR BARROS LIMA</v>
      </c>
      <c r="G2678" s="11" t="str">
        <f>IFERROR(__xludf.DUMMYFUNCTION("""COMPUTED_VALUE"""),"US_167 POLICLINICA E MATERNIDADE PROFESSOR BARROS LIMA")</f>
        <v>US_167 POLICLINICA E MATERNIDADE PROFESSOR BARROS LIMA</v>
      </c>
      <c r="H2678" s="11"/>
      <c r="I2678" s="11"/>
      <c r="J2678" s="11"/>
      <c r="K2678" s="11"/>
      <c r="L2678" s="11"/>
      <c r="M2678" s="11"/>
      <c r="N2678" s="30" t="str">
        <f>IFERROR(__xludf.DUMMYFUNCTION("""COMPUTED_VALUE"""),"paulorietra@hotmail.com                                ")</f>
        <v>paulorietra@hotmail.com                                </v>
      </c>
      <c r="O2678" s="11">
        <f>IFERROR(__xludf.DUMMYFUNCTION("""COMPUTED_VALUE"""),89958470420)</f>
        <v>89958470420</v>
      </c>
      <c r="P2678" s="11"/>
      <c r="Q2678" s="11"/>
      <c r="R2678" s="11"/>
      <c r="S2678" s="11"/>
      <c r="T2678" s="11"/>
      <c r="U2678" s="11"/>
      <c r="V2678" s="11"/>
      <c r="W2678" s="11"/>
      <c r="X2678" s="11"/>
      <c r="Y2678" s="11"/>
      <c r="Z2678" s="11"/>
    </row>
    <row r="2679" customHeight="1" spans="1:26">
      <c r="A2679" s="11" t="str">
        <f>IFERROR(__xludf.DUMMYFUNCTION("""COMPUTED_VALUE"""),"FLAVIA DA ROCHA FREITAS")</f>
        <v>FLAVIA DA ROCHA FREITAS</v>
      </c>
      <c r="B2679" s="11"/>
      <c r="C2679" s="11"/>
      <c r="D2679" s="11" t="str">
        <f>IFERROR(__xludf.DUMMYFUNCTION("""COMPUTED_VALUE"""),"GINECOLOGIA E OBSTETRICIA")</f>
        <v>GINECOLOGIA E OBSTETRICIA</v>
      </c>
      <c r="E2679" s="11"/>
      <c r="F2679" s="11" t="str">
        <f>IFERROR(__xludf.DUMMYFUNCTION("""COMPUTED_VALUE"""),"US_167 POLICLINICA E MATERNIDADE PROFESSOR BARROS LIMA")</f>
        <v>US_167 POLICLINICA E MATERNIDADE PROFESSOR BARROS LIMA</v>
      </c>
      <c r="G2679" s="11" t="str">
        <f>IFERROR(__xludf.DUMMYFUNCTION("""COMPUTED_VALUE"""),"US_167 POLICLINICA E MATERNIDADE PROFESSOR BARROS LIMA")</f>
        <v>US_167 POLICLINICA E MATERNIDADE PROFESSOR BARROS LIMA</v>
      </c>
      <c r="H2679" s="11"/>
      <c r="I2679" s="11"/>
      <c r="J2679" s="11"/>
      <c r="K2679" s="11"/>
      <c r="L2679" s="11"/>
      <c r="M2679" s="11"/>
      <c r="N2679" s="30" t="str">
        <f>IFERROR(__xludf.DUMMYFUNCTION("""COMPUTED_VALUE"""),"flaviadarochafreitas@hotmail.com")</f>
        <v>flaviadarochafreitas@hotmail.com</v>
      </c>
      <c r="O2679" s="11">
        <f>IFERROR(__xludf.DUMMYFUNCTION("""COMPUTED_VALUE"""),75433761487)</f>
        <v>75433761487</v>
      </c>
      <c r="P2679" s="11"/>
      <c r="Q2679" s="11"/>
      <c r="R2679" s="11"/>
      <c r="S2679" s="11"/>
      <c r="T2679" s="11"/>
      <c r="U2679" s="11"/>
      <c r="V2679" s="11"/>
      <c r="W2679" s="11"/>
      <c r="X2679" s="11"/>
      <c r="Y2679" s="11"/>
      <c r="Z2679" s="11"/>
    </row>
    <row r="2680" customHeight="1" spans="1:26">
      <c r="A2680" s="11" t="str">
        <f>IFERROR(__xludf.DUMMYFUNCTION("""COMPUTED_VALUE"""),"FRANCISCA CARMEN T CABRAL")</f>
        <v>FRANCISCA CARMEN T CABRAL</v>
      </c>
      <c r="B2680" s="11"/>
      <c r="C2680" s="11"/>
      <c r="D2680" s="11" t="str">
        <f>IFERROR(__xludf.DUMMYFUNCTION("""COMPUTED_VALUE"""),"EVOLUCIONISTA")</f>
        <v>EVOLUCIONISTA</v>
      </c>
      <c r="E2680" s="11"/>
      <c r="F2680" s="11" t="str">
        <f>IFERROR(__xludf.DUMMYFUNCTION("""COMPUTED_VALUE"""),"US_165 MATERNIDADE BANDEIRA FILHO")</f>
        <v>US_165 MATERNIDADE BANDEIRA FILHO</v>
      </c>
      <c r="G2680" s="11" t="str">
        <f>IFERROR(__xludf.DUMMYFUNCTION("""COMPUTED_VALUE"""),"US_165 MATERNIDADE BANDEIRA FILHO")</f>
        <v>US_165 MATERNIDADE BANDEIRA FILHO</v>
      </c>
      <c r="H2680" s="11"/>
      <c r="I2680" s="11"/>
      <c r="J2680" s="11"/>
      <c r="K2680" s="11"/>
      <c r="L2680" s="11"/>
      <c r="M2680" s="11"/>
      <c r="N2680" s="30" t="str">
        <f>IFERROR(__xludf.DUMMYFUNCTION("""COMPUTED_VALUE"""),"fcarmentcabral@hotmail.com")</f>
        <v>fcarmentcabral@hotmail.com</v>
      </c>
      <c r="O2680" s="11">
        <f>IFERROR(__xludf.DUMMYFUNCTION("""COMPUTED_VALUE"""),69585237415)</f>
        <v>69585237415</v>
      </c>
      <c r="P2680" s="11"/>
      <c r="Q2680" s="11"/>
      <c r="R2680" s="11"/>
      <c r="S2680" s="11"/>
      <c r="T2680" s="11"/>
      <c r="U2680" s="11"/>
      <c r="V2680" s="11"/>
      <c r="W2680" s="11"/>
      <c r="X2680" s="11"/>
      <c r="Y2680" s="11"/>
      <c r="Z2680" s="11"/>
    </row>
    <row r="2681" customHeight="1" spans="1:26">
      <c r="A2681" s="11" t="str">
        <f>IFERROR(__xludf.DUMMYFUNCTION("""COMPUTED_VALUE"""),"CLAUDIA BEATRIZ C DE A SILVA")</f>
        <v>CLAUDIA BEATRIZ C DE A SILVA</v>
      </c>
      <c r="B2681" s="11"/>
      <c r="C2681" s="11"/>
      <c r="D2681" s="11" t="str">
        <f>IFERROR(__xludf.DUMMYFUNCTION("""COMPUTED_VALUE"""),"GINECOLOGIA E OBSTETRICIA")</f>
        <v>GINECOLOGIA E OBSTETRICIA</v>
      </c>
      <c r="E2681" s="11"/>
      <c r="F2681" s="11" t="str">
        <f>IFERROR(__xludf.DUMMYFUNCTION("""COMPUTED_VALUE"""),"US_167 POLICLINICA E MATERNIDADE PROFESSOR BARROS LIMA")</f>
        <v>US_167 POLICLINICA E MATERNIDADE PROFESSOR BARROS LIMA</v>
      </c>
      <c r="G2681" s="11" t="str">
        <f>IFERROR(__xludf.DUMMYFUNCTION("""COMPUTED_VALUE"""),"US_167 POLICLINICA E MATERNIDADE PROFESSOR BARROS LIMA")</f>
        <v>US_167 POLICLINICA E MATERNIDADE PROFESSOR BARROS LIMA</v>
      </c>
      <c r="H2681" s="11"/>
      <c r="I2681" s="11"/>
      <c r="J2681" s="11"/>
      <c r="K2681" s="11"/>
      <c r="L2681" s="11"/>
      <c r="M2681" s="11"/>
      <c r="N2681" s="30" t="str">
        <f>IFERROR(__xludf.DUMMYFUNCTION("""COMPUTED_VALUE"""),"draclaudiabeatriz@yahoo.com.br                         ")</f>
        <v>draclaudiabeatriz@yahoo.com.br                         </v>
      </c>
      <c r="O2681" s="11">
        <f>IFERROR(__xludf.DUMMYFUNCTION("""COMPUTED_VALUE"""),74194119487)</f>
        <v>74194119487</v>
      </c>
      <c r="P2681" s="11"/>
      <c r="Q2681" s="11"/>
      <c r="R2681" s="11"/>
      <c r="S2681" s="11"/>
      <c r="T2681" s="11"/>
      <c r="U2681" s="11"/>
      <c r="V2681" s="11"/>
      <c r="W2681" s="11"/>
      <c r="X2681" s="11"/>
      <c r="Y2681" s="11"/>
      <c r="Z2681" s="11"/>
    </row>
    <row r="2682" customHeight="1" spans="1:26">
      <c r="A2682" s="11" t="str">
        <f>IFERROR(__xludf.DUMMYFUNCTION("""COMPUTED_VALUE"""),"JOAO CORREIA DA SILVA")</f>
        <v>JOAO CORREIA DA SILVA</v>
      </c>
      <c r="B2682" s="11"/>
      <c r="C2682" s="11"/>
      <c r="D2682" s="11" t="str">
        <f>IFERROR(__xludf.DUMMYFUNCTION("""COMPUTED_VALUE""")," CLINICA GERAL ")</f>
        <v> CLINICA GERAL </v>
      </c>
      <c r="E2682" s="11"/>
      <c r="F2682" s="11" t="str">
        <f>IFERROR(__xludf.DUMMYFUNCTION("""COMPUTED_VALUE"""),"US_153 POLICLINICA E MATERNIDADE ARNALDO MARQUES")</f>
        <v>US_153 POLICLINICA E MATERNIDADE ARNALDO MARQUES</v>
      </c>
      <c r="G2682" s="11" t="str">
        <f>IFERROR(__xludf.DUMMYFUNCTION("""COMPUTED_VALUE"""),"US_153 POLICLINICA E MATERNIDADE ARNALDO MARQUES")</f>
        <v>US_153 POLICLINICA E MATERNIDADE ARNALDO MARQUES</v>
      </c>
      <c r="H2682" s="11"/>
      <c r="I2682" s="11"/>
      <c r="J2682" s="11"/>
      <c r="K2682" s="11"/>
      <c r="L2682" s="11"/>
      <c r="M2682" s="11"/>
      <c r="N2682" s="30" t="str">
        <f>IFERROR(__xludf.DUMMYFUNCTION("""COMPUTED_VALUE"""),"J.CORREIA.MDWORK@UOL.COM.BR")</f>
        <v>J.CORREIA.MDWORK@UOL.COM.BR</v>
      </c>
      <c r="O2682" s="11">
        <f>IFERROR(__xludf.DUMMYFUNCTION("""COMPUTED_VALUE"""),7949928468)</f>
        <v>7949928468</v>
      </c>
      <c r="P2682" s="11"/>
      <c r="Q2682" s="11"/>
      <c r="R2682" s="11"/>
      <c r="S2682" s="11"/>
      <c r="T2682" s="11"/>
      <c r="U2682" s="11"/>
      <c r="V2682" s="11"/>
      <c r="W2682" s="11"/>
      <c r="X2682" s="11"/>
      <c r="Y2682" s="11"/>
      <c r="Z2682" s="11"/>
    </row>
    <row r="2683" customHeight="1" spans="1:26">
      <c r="A2683" s="11" t="str">
        <f>IFERROR(__xludf.DUMMYFUNCTION("""COMPUTED_VALUE"""),"ILCA MARIA ALVES")</f>
        <v>ILCA MARIA ALVES</v>
      </c>
      <c r="B2683" s="11"/>
      <c r="C2683" s="11"/>
      <c r="D2683" s="11" t="str">
        <f>IFERROR(__xludf.DUMMYFUNCTION("""COMPUTED_VALUE"""),"GINECOLOGIA E OBSTETRICIA")</f>
        <v>GINECOLOGIA E OBSTETRICIA</v>
      </c>
      <c r="E2683" s="11"/>
      <c r="F2683" s="11" t="str">
        <f>IFERROR(__xludf.DUMMYFUNCTION("""COMPUTED_VALUE"""),"US_167 POLICLINICA E MATERNIDADE PROFESSOR BARROS LIMA")</f>
        <v>US_167 POLICLINICA E MATERNIDADE PROFESSOR BARROS LIMA</v>
      </c>
      <c r="G2683" s="11" t="str">
        <f>IFERROR(__xludf.DUMMYFUNCTION("""COMPUTED_VALUE"""),"US_167 POLICLINICA E MATERNIDADE PROFESSOR BARROS LIMA")</f>
        <v>US_167 POLICLINICA E MATERNIDADE PROFESSOR BARROS LIMA</v>
      </c>
      <c r="H2683" s="11"/>
      <c r="I2683" s="11"/>
      <c r="J2683" s="11"/>
      <c r="K2683" s="11"/>
      <c r="L2683" s="11"/>
      <c r="M2683" s="11"/>
      <c r="N2683" s="30" t="str">
        <f>IFERROR(__xludf.DUMMYFUNCTION("""COMPUTED_VALUE"""),"ilcamarialaves@hotmail.com")</f>
        <v>ilcamarialaves@hotmail.com</v>
      </c>
      <c r="O2683" s="11">
        <f>IFERROR(__xludf.DUMMYFUNCTION("""COMPUTED_VALUE"""),12602779415)</f>
        <v>12602779415</v>
      </c>
      <c r="P2683" s="11"/>
      <c r="Q2683" s="11"/>
      <c r="R2683" s="11"/>
      <c r="S2683" s="11"/>
      <c r="T2683" s="11"/>
      <c r="U2683" s="11"/>
      <c r="V2683" s="11"/>
      <c r="W2683" s="11"/>
      <c r="X2683" s="11"/>
      <c r="Y2683" s="11"/>
      <c r="Z2683" s="11"/>
    </row>
    <row r="2684" customHeight="1" spans="1:26">
      <c r="A2684" s="11" t="str">
        <f>IFERROR(__xludf.DUMMYFUNCTION("""COMPUTED_VALUE"""),"MARIA DO CARMO DA S MONTEIRO")</f>
        <v>MARIA DO CARMO DA S MONTEIRO</v>
      </c>
      <c r="B2684" s="11"/>
      <c r="C2684" s="11"/>
      <c r="D2684" s="11" t="str">
        <f>IFERROR(__xludf.DUMMYFUNCTION("""COMPUTED_VALUE"""),"GINECOLOGIA E OBSTETRICIA")</f>
        <v>GINECOLOGIA E OBSTETRICIA</v>
      </c>
      <c r="E2684" s="11"/>
      <c r="F2684" s="11" t="str">
        <f>IFERROR(__xludf.DUMMYFUNCTION("""COMPUTED_VALUE"""),"US_167 POLICLINICA E MATERNIDADE PROFESSOR BARROS LIMA")</f>
        <v>US_167 POLICLINICA E MATERNIDADE PROFESSOR BARROS LIMA</v>
      </c>
      <c r="G2684" s="11" t="str">
        <f>IFERROR(__xludf.DUMMYFUNCTION("""COMPUTED_VALUE"""),"US_167 POLICLINICA E MATERNIDADE PROFESSOR BARROS LIMA")</f>
        <v>US_167 POLICLINICA E MATERNIDADE PROFESSOR BARROS LIMA</v>
      </c>
      <c r="H2684" s="11"/>
      <c r="I2684" s="11"/>
      <c r="J2684" s="11"/>
      <c r="K2684" s="11"/>
      <c r="L2684" s="11"/>
      <c r="M2684" s="11"/>
      <c r="N2684" s="30" t="str">
        <f>IFERROR(__xludf.DUMMYFUNCTION("""COMPUTED_VALUE"""),"mcarmomonteiro47@gmail.com")</f>
        <v>mcarmomonteiro47@gmail.com</v>
      </c>
      <c r="O2684" s="11">
        <f>IFERROR(__xludf.DUMMYFUNCTION("""COMPUTED_VALUE"""),57999260487)</f>
        <v>57999260487</v>
      </c>
      <c r="P2684" s="11"/>
      <c r="Q2684" s="11"/>
      <c r="R2684" s="11"/>
      <c r="S2684" s="11"/>
      <c r="T2684" s="11"/>
      <c r="U2684" s="11"/>
      <c r="V2684" s="11"/>
      <c r="W2684" s="11"/>
      <c r="X2684" s="11"/>
      <c r="Y2684" s="11"/>
      <c r="Z2684" s="11"/>
    </row>
    <row r="2685" customHeight="1" spans="1:26">
      <c r="A2685" s="11" t="str">
        <f>IFERROR(__xludf.DUMMYFUNCTION("""COMPUTED_VALUE"""),"JORGE SAMPAIO DE SOUZA LEAO")</f>
        <v>JORGE SAMPAIO DE SOUZA LEAO</v>
      </c>
      <c r="B2685" s="11"/>
      <c r="C2685" s="11"/>
      <c r="D2685" s="11" t="str">
        <f>IFERROR(__xludf.DUMMYFUNCTION("""COMPUTED_VALUE"""),"GINECOLOGIA E OBSTETRICIA")</f>
        <v>GINECOLOGIA E OBSTETRICIA</v>
      </c>
      <c r="E2685" s="11"/>
      <c r="F2685" s="11" t="str">
        <f>IFERROR(__xludf.DUMMYFUNCTION("""COMPUTED_VALUE"""),"US_153 POLICLINICA E MATERNIDADE ARNALDO MARQUES")</f>
        <v>US_153 POLICLINICA E MATERNIDADE ARNALDO MARQUES</v>
      </c>
      <c r="G2685" s="11" t="str">
        <f>IFERROR(__xludf.DUMMYFUNCTION("""COMPUTED_VALUE"""),"US_153 POLICLINICA E MATERNIDADE ARNALDO MARQUES")</f>
        <v>US_153 POLICLINICA E MATERNIDADE ARNALDO MARQUES</v>
      </c>
      <c r="H2685" s="11"/>
      <c r="I2685" s="11"/>
      <c r="J2685" s="11"/>
      <c r="K2685" s="11"/>
      <c r="L2685" s="11"/>
      <c r="M2685" s="11"/>
      <c r="N2685" s="30" t="str">
        <f>IFERROR(__xludf.DUMMYFUNCTION("""COMPUTED_VALUE"""),"jorgesouzaleao16@gmail.com")</f>
        <v>jorgesouzaleao16@gmail.com</v>
      </c>
      <c r="O2685" s="11">
        <f>IFERROR(__xludf.DUMMYFUNCTION("""COMPUTED_VALUE"""),66600723491)</f>
        <v>66600723491</v>
      </c>
      <c r="P2685" s="11"/>
      <c r="Q2685" s="11"/>
      <c r="R2685" s="11"/>
      <c r="S2685" s="11"/>
      <c r="T2685" s="11"/>
      <c r="U2685" s="11"/>
      <c r="V2685" s="11"/>
      <c r="W2685" s="11"/>
      <c r="X2685" s="11"/>
      <c r="Y2685" s="11"/>
      <c r="Z2685" s="11"/>
    </row>
    <row r="2686" customHeight="1" spans="1:26">
      <c r="A2686" s="11" t="str">
        <f>IFERROR(__xludf.DUMMYFUNCTION("""COMPUTED_VALUE"""),"MARIA DA CONSOLACAO C BATISTA")</f>
        <v>MARIA DA CONSOLACAO C BATISTA</v>
      </c>
      <c r="B2686" s="11"/>
      <c r="C2686" s="11"/>
      <c r="D2686" s="11" t="str">
        <f>IFERROR(__xludf.DUMMYFUNCTION("""COMPUTED_VALUE"""),"GINECOLOGIA E OBSTETRICIA")</f>
        <v>GINECOLOGIA E OBSTETRICIA</v>
      </c>
      <c r="E2686" s="11"/>
      <c r="F2686" s="11" t="str">
        <f>IFERROR(__xludf.DUMMYFUNCTION("""COMPUTED_VALUE"""),"US_153 POLICLINICA E MATERNIDADE ARNALDO MARQUES")</f>
        <v>US_153 POLICLINICA E MATERNIDADE ARNALDO MARQUES</v>
      </c>
      <c r="G2686" s="11" t="str">
        <f>IFERROR(__xludf.DUMMYFUNCTION("""COMPUTED_VALUE"""),"US_153 POLICLINICA E MATERNIDADE ARNALDO MARQUES")</f>
        <v>US_153 POLICLINICA E MATERNIDADE ARNALDO MARQUES</v>
      </c>
      <c r="H2686" s="11"/>
      <c r="I2686" s="11"/>
      <c r="J2686" s="11"/>
      <c r="K2686" s="11"/>
      <c r="L2686" s="11"/>
      <c r="M2686" s="11"/>
      <c r="N2686" s="30" t="str">
        <f>IFERROR(__xludf.DUMMYFUNCTION("""COMPUTED_VALUE"""),"mariconsolacao@hotmail.com                             ")</f>
        <v>mariconsolacao@hotmail.com                             </v>
      </c>
      <c r="O2686" s="11">
        <f>IFERROR(__xludf.DUMMYFUNCTION("""COMPUTED_VALUE"""),56764464472)</f>
        <v>56764464472</v>
      </c>
      <c r="P2686" s="11"/>
      <c r="Q2686" s="11"/>
      <c r="R2686" s="11"/>
      <c r="S2686" s="11"/>
      <c r="T2686" s="11"/>
      <c r="U2686" s="11"/>
      <c r="V2686" s="11"/>
      <c r="W2686" s="11"/>
      <c r="X2686" s="11"/>
      <c r="Y2686" s="11"/>
      <c r="Z2686" s="11"/>
    </row>
    <row r="2687" customHeight="1" spans="1:26">
      <c r="A2687" s="11" t="str">
        <f>IFERROR(__xludf.DUMMYFUNCTION("""COMPUTED_VALUE"""),"KARLA PATRICIA T FERREIRA")</f>
        <v>KARLA PATRICIA T FERREIRA</v>
      </c>
      <c r="B2687" s="11"/>
      <c r="C2687" s="11"/>
      <c r="D2687" s="11" t="str">
        <f>IFERROR(__xludf.DUMMYFUNCTION("""COMPUTED_VALUE"""),"GINECOLOGIA E OBSTETRICIA")</f>
        <v>GINECOLOGIA E OBSTETRICIA</v>
      </c>
      <c r="E2687" s="11"/>
      <c r="F2687" s="11" t="str">
        <f>IFERROR(__xludf.DUMMYFUNCTION("""COMPUTED_VALUE"""),"US_165 MATERNIDADE BANDEIRA FILHO")</f>
        <v>US_165 MATERNIDADE BANDEIRA FILHO</v>
      </c>
      <c r="G2687" s="11" t="str">
        <f>IFERROR(__xludf.DUMMYFUNCTION("""COMPUTED_VALUE"""),"US_165 MATERNIDADE BANDEIRA FILHO")</f>
        <v>US_165 MATERNIDADE BANDEIRA FILHO</v>
      </c>
      <c r="H2687" s="11"/>
      <c r="I2687" s="11"/>
      <c r="J2687" s="11"/>
      <c r="K2687" s="11"/>
      <c r="L2687" s="11"/>
      <c r="M2687" s="11"/>
      <c r="N2687" s="30" t="str">
        <f>IFERROR(__xludf.DUMMYFUNCTION("""COMPUTED_VALUE"""),"karlaptenorio@hotmail.com")</f>
        <v>karlaptenorio@hotmail.com</v>
      </c>
      <c r="O2687" s="11">
        <f>IFERROR(__xludf.DUMMYFUNCTION("""COMPUTED_VALUE"""),65299299400)</f>
        <v>65299299400</v>
      </c>
      <c r="P2687" s="11"/>
      <c r="Q2687" s="11"/>
      <c r="R2687" s="11"/>
      <c r="S2687" s="11"/>
      <c r="T2687" s="11"/>
      <c r="U2687" s="11"/>
      <c r="V2687" s="11"/>
      <c r="W2687" s="11"/>
      <c r="X2687" s="11"/>
      <c r="Y2687" s="11"/>
      <c r="Z2687" s="11"/>
    </row>
    <row r="2688" customHeight="1" spans="1:26">
      <c r="A2688" s="11" t="str">
        <f>IFERROR(__xludf.DUMMYFUNCTION("""COMPUTED_VALUE"""),"ROSALY MARIA B DE B CORREIA")</f>
        <v>ROSALY MARIA B DE B CORREIA</v>
      </c>
      <c r="B2688" s="11"/>
      <c r="C2688" s="11"/>
      <c r="D2688" s="11" t="str">
        <f>IFERROR(__xludf.DUMMYFUNCTION("""COMPUTED_VALUE"""),"NEONATOLOGIA")</f>
        <v>NEONATOLOGIA</v>
      </c>
      <c r="E2688" s="11"/>
      <c r="F2688" s="11" t="str">
        <f>IFERROR(__xludf.DUMMYFUNCTION("""COMPUTED_VALUE"""),"US_165 MATERNIDADE BANDEIRA FILHO")</f>
        <v>US_165 MATERNIDADE BANDEIRA FILHO</v>
      </c>
      <c r="G2688" s="11" t="str">
        <f>IFERROR(__xludf.DUMMYFUNCTION("""COMPUTED_VALUE"""),"US_165 MATERNIDADE BANDEIRA FILHO")</f>
        <v>US_165 MATERNIDADE BANDEIRA FILHO</v>
      </c>
      <c r="H2688" s="11"/>
      <c r="I2688" s="11"/>
      <c r="J2688" s="11"/>
      <c r="K2688" s="11"/>
      <c r="L2688" s="11"/>
      <c r="M2688" s="11"/>
      <c r="N2688" s="30" t="str">
        <f>IFERROR(__xludf.DUMMYFUNCTION("""COMPUTED_VALUE"""),"rosabizarro@uol.com.br                                 ")</f>
        <v>rosabizarro@uol.com.br                                 </v>
      </c>
      <c r="O2688" s="11">
        <f>IFERROR(__xludf.DUMMYFUNCTION("""COMPUTED_VALUE"""),64133478487)</f>
        <v>64133478487</v>
      </c>
      <c r="P2688" s="11"/>
      <c r="Q2688" s="11"/>
      <c r="R2688" s="11"/>
      <c r="S2688" s="11"/>
      <c r="T2688" s="11"/>
      <c r="U2688" s="11"/>
      <c r="V2688" s="11"/>
      <c r="W2688" s="11"/>
      <c r="X2688" s="11"/>
      <c r="Y2688" s="11"/>
      <c r="Z2688" s="11"/>
    </row>
    <row r="2689" customHeight="1" spans="1:26">
      <c r="A2689" s="11" t="str">
        <f>IFERROR(__xludf.DUMMYFUNCTION("""COMPUTED_VALUE"""),"MARIA ESTER GALVAO B DA CUNHA")</f>
        <v>MARIA ESTER GALVAO B DA CUNHA</v>
      </c>
      <c r="B2689" s="11"/>
      <c r="C2689" s="11"/>
      <c r="D2689" s="11" t="str">
        <f>IFERROR(__xludf.DUMMYFUNCTION("""COMPUTED_VALUE"""),"OBSTETRICIA / TOCOGINECOLOGIA")</f>
        <v>OBSTETRICIA / TOCOGINECOLOGIA</v>
      </c>
      <c r="E2689" s="11"/>
      <c r="F2689" s="11" t="str">
        <f>IFERROR(__xludf.DUMMYFUNCTION("""COMPUTED_VALUE"""),"US_165 MATERNIDADE BANDEIRA FILHO")</f>
        <v>US_165 MATERNIDADE BANDEIRA FILHO</v>
      </c>
      <c r="G2689" s="11" t="str">
        <f>IFERROR(__xludf.DUMMYFUNCTION("""COMPUTED_VALUE"""),"US_165 MATERNIDADE BANDEIRA FILHO")</f>
        <v>US_165 MATERNIDADE BANDEIRA FILHO</v>
      </c>
      <c r="H2689" s="11"/>
      <c r="I2689" s="11"/>
      <c r="J2689" s="11"/>
      <c r="K2689" s="11"/>
      <c r="L2689" s="11"/>
      <c r="M2689" s="11"/>
      <c r="N2689" s="30" t="str">
        <f>IFERROR(__xludf.DUMMYFUNCTION("""COMPUTED_VALUE"""),"mestergbc@hotmail.com")</f>
        <v>mestergbc@hotmail.com</v>
      </c>
      <c r="O2689" s="11">
        <f>IFERROR(__xludf.DUMMYFUNCTION("""COMPUTED_VALUE"""),16636538449)</f>
        <v>16636538449</v>
      </c>
      <c r="P2689" s="11"/>
      <c r="Q2689" s="11"/>
      <c r="R2689" s="11"/>
      <c r="S2689" s="11"/>
      <c r="T2689" s="11"/>
      <c r="U2689" s="11"/>
      <c r="V2689" s="11"/>
      <c r="W2689" s="11"/>
      <c r="X2689" s="11"/>
      <c r="Y2689" s="11"/>
      <c r="Z2689" s="11"/>
    </row>
    <row r="2690" customHeight="1" spans="1:26">
      <c r="A2690" s="11" t="str">
        <f>IFERROR(__xludf.DUMMYFUNCTION("""COMPUTED_VALUE"""),"GLILMA CARLA DE FARIA FONSECA")</f>
        <v>GLILMA CARLA DE FARIA FONSECA</v>
      </c>
      <c r="B2690" s="11"/>
      <c r="C2690" s="11"/>
      <c r="D2690" s="11" t="str">
        <f>IFERROR(__xludf.DUMMYFUNCTION("""COMPUTED_VALUE"""),"NEONATOLOGIA")</f>
        <v>NEONATOLOGIA</v>
      </c>
      <c r="E2690" s="11"/>
      <c r="F2690" s="11" t="str">
        <f>IFERROR(__xludf.DUMMYFUNCTION("""COMPUTED_VALUE"""),"US_163 HOSPITAL DE PEDIATRIA HELENA MOURA")</f>
        <v>US_163 HOSPITAL DE PEDIATRIA HELENA MOURA</v>
      </c>
      <c r="G2690" s="11" t="str">
        <f>IFERROR(__xludf.DUMMYFUNCTION("""COMPUTED_VALUE"""),"US_163 HOSPITAL DE PEDIATRIA HELENA MOURA")</f>
        <v>US_163 HOSPITAL DE PEDIATRIA HELENA MOURA</v>
      </c>
      <c r="H2690" s="11"/>
      <c r="I2690" s="11"/>
      <c r="J2690" s="11"/>
      <c r="K2690" s="11"/>
      <c r="L2690" s="11"/>
      <c r="M2690" s="11"/>
      <c r="N2690" s="30" t="str">
        <f>IFERROR(__xludf.DUMMYFUNCTION("""COMPUTED_VALUE"""),"glilma@hotmail.com                                     ")</f>
        <v>glilma@hotmail.com                                     </v>
      </c>
      <c r="O2690" s="11">
        <f>IFERROR(__xludf.DUMMYFUNCTION("""COMPUTED_VALUE"""),83255990491)</f>
        <v>83255990491</v>
      </c>
      <c r="P2690" s="11"/>
      <c r="Q2690" s="11"/>
      <c r="R2690" s="11"/>
      <c r="S2690" s="11"/>
      <c r="T2690" s="11"/>
      <c r="U2690" s="11"/>
      <c r="V2690" s="11"/>
      <c r="W2690" s="11"/>
      <c r="X2690" s="11"/>
      <c r="Y2690" s="11"/>
      <c r="Z2690" s="11"/>
    </row>
    <row r="2691" customHeight="1" spans="1:26">
      <c r="A2691" s="11" t="str">
        <f>IFERROR(__xludf.DUMMYFUNCTION("""COMPUTED_VALUE"""),"MARIA DA CONCEICAO S BARBOSA")</f>
        <v>MARIA DA CONCEICAO S BARBOSA</v>
      </c>
      <c r="B2691" s="11"/>
      <c r="C2691" s="11"/>
      <c r="D2691" s="11" t="str">
        <f>IFERROR(__xludf.DUMMYFUNCTION("""COMPUTED_VALUE""")," CLINICA GERAL ")</f>
        <v> CLINICA GERAL </v>
      </c>
      <c r="E2691" s="11"/>
      <c r="F2691" s="11" t="str">
        <f>IFERROR(__xludf.DUMMYFUNCTION("""COMPUTED_VALUE"""),"US_153 POLICLINICA E MATERNIDADE ARNALDO MARQUES")</f>
        <v>US_153 POLICLINICA E MATERNIDADE ARNALDO MARQUES</v>
      </c>
      <c r="G2691" s="11" t="str">
        <f>IFERROR(__xludf.DUMMYFUNCTION("""COMPUTED_VALUE"""),"US_153 POLICLINICA E MATERNIDADE ARNALDO MARQUES")</f>
        <v>US_153 POLICLINICA E MATERNIDADE ARNALDO MARQUES</v>
      </c>
      <c r="H2691" s="11"/>
      <c r="I2691" s="11"/>
      <c r="J2691" s="11"/>
      <c r="K2691" s="11"/>
      <c r="L2691" s="11"/>
      <c r="M2691" s="11"/>
      <c r="N2691" s="30" t="str">
        <f>IFERROR(__xludf.DUMMYFUNCTION("""COMPUTED_VALUE"""),"madaconsil@hotmail.com                                 ")</f>
        <v>madaconsil@hotmail.com                                 </v>
      </c>
      <c r="O2691" s="11">
        <f>IFERROR(__xludf.DUMMYFUNCTION("""COMPUTED_VALUE"""),30442176449)</f>
        <v>30442176449</v>
      </c>
      <c r="P2691" s="11"/>
      <c r="Q2691" s="11"/>
      <c r="R2691" s="11"/>
      <c r="S2691" s="11"/>
      <c r="T2691" s="11"/>
      <c r="U2691" s="11"/>
      <c r="V2691" s="11"/>
      <c r="W2691" s="11"/>
      <c r="X2691" s="11"/>
      <c r="Y2691" s="11"/>
      <c r="Z2691" s="11"/>
    </row>
    <row r="2692" customHeight="1" spans="1:26">
      <c r="A2692" s="11" t="str">
        <f>IFERROR(__xludf.DUMMYFUNCTION("""COMPUTED_VALUE"""),"FLAVIA GOMES CORREIA")</f>
        <v>FLAVIA GOMES CORREIA</v>
      </c>
      <c r="B2692" s="11"/>
      <c r="C2692" s="11"/>
      <c r="D2692" s="11" t="str">
        <f>IFERROR(__xludf.DUMMYFUNCTION("""COMPUTED_VALUE"""),"ANESTESIOLOGIA")</f>
        <v>ANESTESIOLOGIA</v>
      </c>
      <c r="E2692" s="11"/>
      <c r="F2692" s="11" t="str">
        <f>IFERROR(__xludf.DUMMYFUNCTION("""COMPUTED_VALUE"""),"US_153 POLICLINICA E MATERNIDADE ARNALDO MARQUES")</f>
        <v>US_153 POLICLINICA E MATERNIDADE ARNALDO MARQUES</v>
      </c>
      <c r="G2692" s="11" t="str">
        <f>IFERROR(__xludf.DUMMYFUNCTION("""COMPUTED_VALUE"""),"US_153 POLICLINICA E MATERNIDADE ARNALDO MARQUES")</f>
        <v>US_153 POLICLINICA E MATERNIDADE ARNALDO MARQUES</v>
      </c>
      <c r="H2692" s="11"/>
      <c r="I2692" s="11"/>
      <c r="J2692" s="11"/>
      <c r="K2692" s="11"/>
      <c r="L2692" s="11"/>
      <c r="M2692" s="11"/>
      <c r="N2692" s="30" t="str">
        <f>IFERROR(__xludf.DUMMYFUNCTION("""COMPUTED_VALUE"""),"flaviagomesc@terra.com.br                              ")</f>
        <v>flaviagomesc@terra.com.br                              </v>
      </c>
      <c r="O2692" s="11">
        <f>IFERROR(__xludf.DUMMYFUNCTION("""COMPUTED_VALUE"""),2159646407)</f>
        <v>2159646407</v>
      </c>
      <c r="P2692" s="11"/>
      <c r="Q2692" s="11"/>
      <c r="R2692" s="11"/>
      <c r="S2692" s="11"/>
      <c r="T2692" s="11"/>
      <c r="U2692" s="11"/>
      <c r="V2692" s="11"/>
      <c r="W2692" s="11"/>
      <c r="X2692" s="11"/>
      <c r="Y2692" s="11"/>
      <c r="Z2692" s="11"/>
    </row>
    <row r="2693" customHeight="1" spans="1:26">
      <c r="A2693" s="11" t="str">
        <f>IFERROR(__xludf.DUMMYFUNCTION("""COMPUTED_VALUE"""),"CRISTIANE MARIA DE P TEIXEIRA")</f>
        <v>CRISTIANE MARIA DE P TEIXEIRA</v>
      </c>
      <c r="B2693" s="11"/>
      <c r="C2693" s="11"/>
      <c r="D2693" s="11" t="str">
        <f>IFERROR(__xludf.DUMMYFUNCTION("""COMPUTED_VALUE"""),"ANESTESIOLOGIA")</f>
        <v>ANESTESIOLOGIA</v>
      </c>
      <c r="E2693" s="11"/>
      <c r="F2693" s="11" t="str">
        <f>IFERROR(__xludf.DUMMYFUNCTION("""COMPUTED_VALUE"""),"US_153 POLICLINICA E MATERNIDADE ARNALDO MARQUES")</f>
        <v>US_153 POLICLINICA E MATERNIDADE ARNALDO MARQUES</v>
      </c>
      <c r="G2693" s="11" t="str">
        <f>IFERROR(__xludf.DUMMYFUNCTION("""COMPUTED_VALUE"""),"US_153 POLICLINICA E MATERNIDADE ARNALDO MARQUES")</f>
        <v>US_153 POLICLINICA E MATERNIDADE ARNALDO MARQUES</v>
      </c>
      <c r="H2693" s="11"/>
      <c r="I2693" s="11"/>
      <c r="J2693" s="11"/>
      <c r="K2693" s="11"/>
      <c r="L2693" s="11"/>
      <c r="M2693" s="11"/>
      <c r="N2693" s="30" t="str">
        <f>IFERROR(__xludf.DUMMYFUNCTION("""COMPUTED_VALUE"""),"cpontesteixeira@uol.com.br")</f>
        <v>cpontesteixeira@uol.com.br</v>
      </c>
      <c r="O2693" s="11">
        <f>IFERROR(__xludf.DUMMYFUNCTION("""COMPUTED_VALUE"""),86597566491)</f>
        <v>86597566491</v>
      </c>
      <c r="P2693" s="11"/>
      <c r="Q2693" s="11"/>
      <c r="R2693" s="11"/>
      <c r="S2693" s="11"/>
      <c r="T2693" s="11"/>
      <c r="U2693" s="11"/>
      <c r="V2693" s="11"/>
      <c r="W2693" s="11"/>
      <c r="X2693" s="11"/>
      <c r="Y2693" s="11"/>
      <c r="Z2693" s="11"/>
    </row>
    <row r="2694" customHeight="1" spans="1:26">
      <c r="A2694" s="11" t="str">
        <f>IFERROR(__xludf.DUMMYFUNCTION("""COMPUTED_VALUE"""),"RENATTA MARIA F PRADINES")</f>
        <v>RENATTA MARIA F PRADINES</v>
      </c>
      <c r="B2694" s="11"/>
      <c r="C2694" s="11"/>
      <c r="D2694" s="11" t="str">
        <f>IFERROR(__xludf.DUMMYFUNCTION("""COMPUTED_VALUE"""),"ANESTESIOLOGIA")</f>
        <v>ANESTESIOLOGIA</v>
      </c>
      <c r="E2694" s="11"/>
      <c r="F2694" s="11" t="str">
        <f>IFERROR(__xludf.DUMMYFUNCTION("""COMPUTED_VALUE"""),"US_153 POLICLINICA E MATERNIDADE ARNALDO MARQUES")</f>
        <v>US_153 POLICLINICA E MATERNIDADE ARNALDO MARQUES</v>
      </c>
      <c r="G2694" s="11" t="str">
        <f>IFERROR(__xludf.DUMMYFUNCTION("""COMPUTED_VALUE"""),"US_153 POLICLINICA E MATERNIDADE ARNALDO MARQUES")</f>
        <v>US_153 POLICLINICA E MATERNIDADE ARNALDO MARQUES</v>
      </c>
      <c r="H2694" s="11"/>
      <c r="I2694" s="11"/>
      <c r="J2694" s="11"/>
      <c r="K2694" s="11"/>
      <c r="L2694" s="11"/>
      <c r="M2694" s="11"/>
      <c r="N2694" s="30" t="str">
        <f>IFERROR(__xludf.DUMMYFUNCTION("""COMPUTED_VALUE"""),"renatta.re@terra.com.br                                ")</f>
        <v>renatta.re@terra.com.br                                </v>
      </c>
      <c r="O2694" s="11">
        <f>IFERROR(__xludf.DUMMYFUNCTION("""COMPUTED_VALUE"""),85926361400)</f>
        <v>85926361400</v>
      </c>
      <c r="P2694" s="11"/>
      <c r="Q2694" s="11"/>
      <c r="R2694" s="11"/>
      <c r="S2694" s="11"/>
      <c r="T2694" s="11"/>
      <c r="U2694" s="11"/>
      <c r="V2694" s="11"/>
      <c r="W2694" s="11"/>
      <c r="X2694" s="11"/>
      <c r="Y2694" s="11"/>
      <c r="Z2694" s="11"/>
    </row>
    <row r="2695" customHeight="1" spans="1:26">
      <c r="A2695" s="11" t="str">
        <f>IFERROR(__xludf.DUMMYFUNCTION("""COMPUTED_VALUE"""),"TARCISIO RAUL L DE SOUZA FILHO")</f>
        <v>TARCISIO RAUL L DE SOUZA FILHO</v>
      </c>
      <c r="B2695" s="11"/>
      <c r="C2695" s="11"/>
      <c r="D2695" s="11" t="str">
        <f>IFERROR(__xludf.DUMMYFUNCTION("""COMPUTED_VALUE""")," CLINICA GERAL ")</f>
        <v> CLINICA GERAL </v>
      </c>
      <c r="E2695" s="11"/>
      <c r="F2695" s="11" t="str">
        <f>IFERROR(__xludf.DUMMYFUNCTION("""COMPUTED_VALUE"""),"US_153 POLICLINICA E MATERNIDADE ARNALDO MARQUES")</f>
        <v>US_153 POLICLINICA E MATERNIDADE ARNALDO MARQUES</v>
      </c>
      <c r="G2695" s="11" t="str">
        <f>IFERROR(__xludf.DUMMYFUNCTION("""COMPUTED_VALUE"""),"US_153 POLICLINICA E MATERNIDADE ARNALDO MARQUES")</f>
        <v>US_153 POLICLINICA E MATERNIDADE ARNALDO MARQUES</v>
      </c>
      <c r="H2695" s="11"/>
      <c r="I2695" s="11"/>
      <c r="J2695" s="11"/>
      <c r="K2695" s="11"/>
      <c r="L2695" s="11"/>
      <c r="M2695" s="11"/>
      <c r="N2695" s="30" t="str">
        <f>IFERROR(__xludf.DUMMYFUNCTION("""COMPUTED_VALUE"""),"tarcisioraul@hotmail.com")</f>
        <v>tarcisioraul@hotmail.com</v>
      </c>
      <c r="O2695" s="11">
        <f>IFERROR(__xludf.DUMMYFUNCTION("""COMPUTED_VALUE"""),2708834444)</f>
        <v>2708834444</v>
      </c>
      <c r="P2695" s="11"/>
      <c r="Q2695" s="11"/>
      <c r="R2695" s="11"/>
      <c r="S2695" s="11"/>
      <c r="T2695" s="11"/>
      <c r="U2695" s="11"/>
      <c r="V2695" s="11"/>
      <c r="W2695" s="11"/>
      <c r="X2695" s="11"/>
      <c r="Y2695" s="11"/>
      <c r="Z2695" s="11"/>
    </row>
    <row r="2696" customHeight="1" spans="1:26">
      <c r="A2696" s="11" t="str">
        <f>IFERROR(__xludf.DUMMYFUNCTION("""COMPUTED_VALUE"""),"TATIANA MARIA DE ARAUJO SILVA")</f>
        <v>TATIANA MARIA DE ARAUJO SILVA</v>
      </c>
      <c r="B2696" s="11"/>
      <c r="C2696" s="11"/>
      <c r="D2696" s="11" t="str">
        <f>IFERROR(__xludf.DUMMYFUNCTION("""COMPUTED_VALUE"""),"GINECOLOGIA E OBSTETRICIA")</f>
        <v>GINECOLOGIA E OBSTETRICIA</v>
      </c>
      <c r="E2696" s="11"/>
      <c r="F2696" s="11" t="str">
        <f>IFERROR(__xludf.DUMMYFUNCTION("""COMPUTED_VALUE"""),"US_153 POLICLINICA E MATERNIDADE ARNALDO MARQUES")</f>
        <v>US_153 POLICLINICA E MATERNIDADE ARNALDO MARQUES</v>
      </c>
      <c r="G2696" s="11" t="str">
        <f>IFERROR(__xludf.DUMMYFUNCTION("""COMPUTED_VALUE"""),"US_153 POLICLINICA E MATERNIDADE ARNALDO MARQUES")</f>
        <v>US_153 POLICLINICA E MATERNIDADE ARNALDO MARQUES</v>
      </c>
      <c r="H2696" s="11"/>
      <c r="I2696" s="11"/>
      <c r="J2696" s="11"/>
      <c r="K2696" s="11"/>
      <c r="L2696" s="11"/>
      <c r="M2696" s="11"/>
      <c r="N2696" s="30" t="str">
        <f>IFERROR(__xludf.DUMMYFUNCTION("""COMPUTED_VALUE"""),"tatianam.araujos@gmail.com")</f>
        <v>tatianam.araujos@gmail.com</v>
      </c>
      <c r="O2696" s="11">
        <f>IFERROR(__xludf.DUMMYFUNCTION("""COMPUTED_VALUE"""),65585348434)</f>
        <v>65585348434</v>
      </c>
      <c r="P2696" s="11"/>
      <c r="Q2696" s="11"/>
      <c r="R2696" s="11"/>
      <c r="S2696" s="11"/>
      <c r="T2696" s="11"/>
      <c r="U2696" s="11"/>
      <c r="V2696" s="11"/>
      <c r="W2696" s="11"/>
      <c r="X2696" s="11"/>
      <c r="Y2696" s="11"/>
      <c r="Z2696" s="11"/>
    </row>
    <row r="2697" customHeight="1" spans="1:26">
      <c r="A2697" s="11" t="str">
        <f>IFERROR(__xludf.DUMMYFUNCTION("""COMPUTED_VALUE"""),"ALEX SANDRO ROLLAND DE SOUZA")</f>
        <v>ALEX SANDRO ROLLAND DE SOUZA</v>
      </c>
      <c r="B2697" s="11"/>
      <c r="C2697" s="11"/>
      <c r="D2697" s="11" t="str">
        <f>IFERROR(__xludf.DUMMYFUNCTION("""COMPUTED_VALUE"""),"GINECOLOGIA E OBSTETRICIA")</f>
        <v>GINECOLOGIA E OBSTETRICIA</v>
      </c>
      <c r="E2697" s="11"/>
      <c r="F2697" s="11" t="str">
        <f>IFERROR(__xludf.DUMMYFUNCTION("""COMPUTED_VALUE"""),"US_153 POLICLINICA E MATERNIDADE ARNALDO MARQUES")</f>
        <v>US_153 POLICLINICA E MATERNIDADE ARNALDO MARQUES</v>
      </c>
      <c r="G2697" s="11" t="str">
        <f>IFERROR(__xludf.DUMMYFUNCTION("""COMPUTED_VALUE"""),"US_153 POLICLINICA E MATERNIDADE ARNALDO MARQUES")</f>
        <v>US_153 POLICLINICA E MATERNIDADE ARNALDO MARQUES</v>
      </c>
      <c r="H2697" s="11"/>
      <c r="I2697" s="11"/>
      <c r="J2697" s="11"/>
      <c r="K2697" s="11"/>
      <c r="L2697" s="11"/>
      <c r="M2697" s="11"/>
      <c r="N2697" s="30" t="str">
        <f>IFERROR(__xludf.DUMMYFUNCTION("""COMPUTED_VALUE"""),"alexrolland@uol.com.br                                 ")</f>
        <v>alexrolland@uol.com.br                                 </v>
      </c>
      <c r="O2697" s="11">
        <f>IFERROR(__xludf.DUMMYFUNCTION("""COMPUTED_VALUE"""),65959116472)</f>
        <v>65959116472</v>
      </c>
      <c r="P2697" s="11"/>
      <c r="Q2697" s="11"/>
      <c r="R2697" s="11"/>
      <c r="S2697" s="11"/>
      <c r="T2697" s="11"/>
      <c r="U2697" s="11"/>
      <c r="V2697" s="11"/>
      <c r="W2697" s="11"/>
      <c r="X2697" s="11"/>
      <c r="Y2697" s="11"/>
      <c r="Z2697" s="11"/>
    </row>
    <row r="2698" customHeight="1" spans="1:26">
      <c r="A2698" s="11" t="str">
        <f>IFERROR(__xludf.DUMMYFUNCTION("""COMPUTED_VALUE"""),"JULIANA ARAUJO DE C SCHETTINI")</f>
        <v>JULIANA ARAUJO DE C SCHETTINI</v>
      </c>
      <c r="B2698" s="11"/>
      <c r="C2698" s="11"/>
      <c r="D2698" s="11" t="str">
        <f>IFERROR(__xludf.DUMMYFUNCTION("""COMPUTED_VALUE"""),"GINECOLOGIA E OBSTETRICIA")</f>
        <v>GINECOLOGIA E OBSTETRICIA</v>
      </c>
      <c r="E2698" s="11"/>
      <c r="F2698" s="11" t="str">
        <f>IFERROR(__xludf.DUMMYFUNCTION("""COMPUTED_VALUE"""),"US_165 MATERNIDADE BANDEIRA FILHO")</f>
        <v>US_165 MATERNIDADE BANDEIRA FILHO</v>
      </c>
      <c r="G2698" s="11" t="str">
        <f>IFERROR(__xludf.DUMMYFUNCTION("""COMPUTED_VALUE"""),"US_165 MATERNIDADE BANDEIRA FILHO")</f>
        <v>US_165 MATERNIDADE BANDEIRA FILHO</v>
      </c>
      <c r="H2698" s="11"/>
      <c r="I2698" s="11"/>
      <c r="J2698" s="11"/>
      <c r="K2698" s="11"/>
      <c r="L2698" s="11"/>
      <c r="M2698" s="11"/>
      <c r="N2698" s="30" t="str">
        <f>IFERROR(__xludf.DUMMYFUNCTION("""COMPUTED_VALUE"""),"julianaschettini@yahoo.com.br")</f>
        <v>julianaschettini@yahoo.com.br</v>
      </c>
      <c r="O2698" s="11">
        <f>IFERROR(__xludf.DUMMYFUNCTION("""COMPUTED_VALUE"""),86932683415)</f>
        <v>86932683415</v>
      </c>
      <c r="P2698" s="11"/>
      <c r="Q2698" s="11"/>
      <c r="R2698" s="11"/>
      <c r="S2698" s="11"/>
      <c r="T2698" s="11"/>
      <c r="U2698" s="11"/>
      <c r="V2698" s="11"/>
      <c r="W2698" s="11"/>
      <c r="X2698" s="11"/>
      <c r="Y2698" s="11"/>
      <c r="Z2698" s="11"/>
    </row>
    <row r="2699" customHeight="1" spans="1:26">
      <c r="A2699" s="11" t="str">
        <f>IFERROR(__xludf.DUMMYFUNCTION("""COMPUTED_VALUE"""),"KASSANDRA FERREIRA P OLIVEIRA")</f>
        <v>KASSANDRA FERREIRA P OLIVEIRA</v>
      </c>
      <c r="B2699" s="11"/>
      <c r="C2699" s="11"/>
      <c r="D2699" s="11" t="str">
        <f>IFERROR(__xludf.DUMMYFUNCTION("""COMPUTED_VALUE"""),"GINECOLOGIA")</f>
        <v>GINECOLOGIA</v>
      </c>
      <c r="E2699" s="11"/>
      <c r="F2699" s="11" t="str">
        <f>IFERROR(__xludf.DUMMYFUNCTION("""COMPUTED_VALUE"""),"US_153 POLICLINICA E MATERNIDADE ARNALDO MARQUES")</f>
        <v>US_153 POLICLINICA E MATERNIDADE ARNALDO MARQUES</v>
      </c>
      <c r="G2699" s="11" t="str">
        <f>IFERROR(__xludf.DUMMYFUNCTION("""COMPUTED_VALUE"""),"US_153 POLICLINICA E MATERNIDADE ARNALDO MARQUES")</f>
        <v>US_153 POLICLINICA E MATERNIDADE ARNALDO MARQUES</v>
      </c>
      <c r="H2699" s="11"/>
      <c r="I2699" s="11"/>
      <c r="J2699" s="11"/>
      <c r="K2699" s="11"/>
      <c r="L2699" s="11"/>
      <c r="M2699" s="11"/>
      <c r="N2699" s="30" t="str">
        <f>IFERROR(__xludf.DUMMYFUNCTION("""COMPUTED_VALUE"""),"kassandrafukushima@gmail.com")</f>
        <v>kassandrafukushima@gmail.com</v>
      </c>
      <c r="O2699" s="11">
        <f>IFERROR(__xludf.DUMMYFUNCTION("""COMPUTED_VALUE"""),86403770497)</f>
        <v>86403770497</v>
      </c>
      <c r="P2699" s="11"/>
      <c r="Q2699" s="11"/>
      <c r="R2699" s="11"/>
      <c r="S2699" s="11"/>
      <c r="T2699" s="11"/>
      <c r="U2699" s="11"/>
      <c r="V2699" s="11"/>
      <c r="W2699" s="11"/>
      <c r="X2699" s="11"/>
      <c r="Y2699" s="11"/>
      <c r="Z2699" s="11"/>
    </row>
    <row r="2700" customHeight="1" spans="1:26">
      <c r="A2700" s="11" t="str">
        <f>IFERROR(__xludf.DUMMYFUNCTION("""COMPUTED_VALUE"""),"FABIANO DJALMA F PAES BARRETO")</f>
        <v>FABIANO DJALMA F PAES BARRETO</v>
      </c>
      <c r="B2700" s="11"/>
      <c r="C2700" s="11"/>
      <c r="D2700" s="11" t="str">
        <f>IFERROR(__xludf.DUMMYFUNCTION("""COMPUTED_VALUE"""),"GINECOLOGIA E OBSTETRICIA")</f>
        <v>GINECOLOGIA E OBSTETRICIA</v>
      </c>
      <c r="E2700" s="11"/>
      <c r="F2700" s="11" t="str">
        <f>IFERROR(__xludf.DUMMYFUNCTION("""COMPUTED_VALUE"""),"US_165 MATERNIDADE BANDEIRA FILHO")</f>
        <v>US_165 MATERNIDADE BANDEIRA FILHO</v>
      </c>
      <c r="G2700" s="11" t="str">
        <f>IFERROR(__xludf.DUMMYFUNCTION("""COMPUTED_VALUE"""),"US_165 MATERNIDADE BANDEIRA FILHO")</f>
        <v>US_165 MATERNIDADE BANDEIRA FILHO</v>
      </c>
      <c r="H2700" s="11"/>
      <c r="I2700" s="11"/>
      <c r="J2700" s="11"/>
      <c r="K2700" s="11"/>
      <c r="L2700" s="11"/>
      <c r="M2700" s="11"/>
      <c r="N2700" s="30" t="str">
        <f>IFERROR(__xludf.DUMMYFUNCTION("""COMPUTED_VALUE"""),"fabianofigueiroa@hotmail.com")</f>
        <v>fabianofigueiroa@hotmail.com</v>
      </c>
      <c r="O2700" s="11">
        <f>IFERROR(__xludf.DUMMYFUNCTION("""COMPUTED_VALUE"""),78489644420)</f>
        <v>78489644420</v>
      </c>
      <c r="P2700" s="11"/>
      <c r="Q2700" s="11"/>
      <c r="R2700" s="11"/>
      <c r="S2700" s="11"/>
      <c r="T2700" s="11"/>
      <c r="U2700" s="11"/>
      <c r="V2700" s="11"/>
      <c r="W2700" s="11"/>
      <c r="X2700" s="11"/>
      <c r="Y2700" s="11"/>
      <c r="Z2700" s="11"/>
    </row>
    <row r="2701" customHeight="1" spans="1:26">
      <c r="A2701" s="11" t="str">
        <f>IFERROR(__xludf.DUMMYFUNCTION("""COMPUTED_VALUE"""),"CARLA ENEIDA DE O QUEIROZ")</f>
        <v>CARLA ENEIDA DE O QUEIROZ</v>
      </c>
      <c r="B2701" s="11"/>
      <c r="C2701" s="11"/>
      <c r="D2701" s="11" t="str">
        <f>IFERROR(__xludf.DUMMYFUNCTION("""COMPUTED_VALUE"""),"GINECOLOGIA E OBSTETRICIA")</f>
        <v>GINECOLOGIA E OBSTETRICIA</v>
      </c>
      <c r="E2701" s="11"/>
      <c r="F2701" s="11" t="str">
        <f>IFERROR(__xludf.DUMMYFUNCTION("""COMPUTED_VALUE"""),"US_153 POLICLINICA E MATERNIDADE ARNALDO MARQUES")</f>
        <v>US_153 POLICLINICA E MATERNIDADE ARNALDO MARQUES</v>
      </c>
      <c r="G2701" s="11" t="str">
        <f>IFERROR(__xludf.DUMMYFUNCTION("""COMPUTED_VALUE"""),"US_153 POLICLINICA E MATERNIDADE ARNALDO MARQUES")</f>
        <v>US_153 POLICLINICA E MATERNIDADE ARNALDO MARQUES</v>
      </c>
      <c r="H2701" s="11"/>
      <c r="I2701" s="11"/>
      <c r="J2701" s="11"/>
      <c r="K2701" s="11"/>
      <c r="L2701" s="11"/>
      <c r="M2701" s="11"/>
      <c r="N2701" s="30" t="str">
        <f>IFERROR(__xludf.DUMMYFUNCTION("""COMPUTED_VALUE"""),"carlaeneidao@gmail.com                                 ")</f>
        <v>carlaeneidao@gmail.com                                 </v>
      </c>
      <c r="O2701" s="11">
        <f>IFERROR(__xludf.DUMMYFUNCTION("""COMPUTED_VALUE"""),2705733485)</f>
        <v>2705733485</v>
      </c>
      <c r="P2701" s="11"/>
      <c r="Q2701" s="11"/>
      <c r="R2701" s="11"/>
      <c r="S2701" s="11"/>
      <c r="T2701" s="11"/>
      <c r="U2701" s="11"/>
      <c r="V2701" s="11"/>
      <c r="W2701" s="11"/>
      <c r="X2701" s="11"/>
      <c r="Y2701" s="11"/>
      <c r="Z2701" s="11"/>
    </row>
    <row r="2702" customHeight="1" spans="1:26">
      <c r="A2702" s="11" t="str">
        <f>IFERROR(__xludf.DUMMYFUNCTION("""COMPUTED_VALUE"""),"AURELIO ANTONIO R DA COSTA")</f>
        <v>AURELIO ANTONIO R DA COSTA</v>
      </c>
      <c r="B2702" s="11"/>
      <c r="C2702" s="11"/>
      <c r="D2702" s="11" t="str">
        <f>IFERROR(__xludf.DUMMYFUNCTION("""COMPUTED_VALUE"""),"GINECOLOGIA E OBSTETRICIA")</f>
        <v>GINECOLOGIA E OBSTETRICIA</v>
      </c>
      <c r="E2702" s="11"/>
      <c r="F2702" s="11" t="str">
        <f>IFERROR(__xludf.DUMMYFUNCTION("""COMPUTED_VALUE"""),"US_153 POLICLINICA E MATERNIDADE ARNALDO MARQUES")</f>
        <v>US_153 POLICLINICA E MATERNIDADE ARNALDO MARQUES</v>
      </c>
      <c r="G2702" s="11" t="str">
        <f>IFERROR(__xludf.DUMMYFUNCTION("""COMPUTED_VALUE"""),"US_153 POLICLINICA E MATERNIDADE ARNALDO MARQUES")</f>
        <v>US_153 POLICLINICA E MATERNIDADE ARNALDO MARQUES</v>
      </c>
      <c r="H2702" s="11"/>
      <c r="I2702" s="11"/>
      <c r="J2702" s="11"/>
      <c r="K2702" s="11"/>
      <c r="L2702" s="11"/>
      <c r="M2702" s="11"/>
      <c r="N2702" s="30" t="str">
        <f>IFERROR(__xludf.DUMMYFUNCTION("""COMPUTED_VALUE"""),"AURELIORECIFE@GMAIL.COM")</f>
        <v>AURELIORECIFE@GMAIL.COM</v>
      </c>
      <c r="O2702" s="11">
        <f>IFERROR(__xludf.DUMMYFUNCTION("""COMPUTED_VALUE"""),67047920404)</f>
        <v>67047920404</v>
      </c>
      <c r="P2702" s="11"/>
      <c r="Q2702" s="11"/>
      <c r="R2702" s="11"/>
      <c r="S2702" s="11"/>
      <c r="T2702" s="11"/>
      <c r="U2702" s="11"/>
      <c r="V2702" s="11"/>
      <c r="W2702" s="11"/>
      <c r="X2702" s="11"/>
      <c r="Y2702" s="11"/>
      <c r="Z2702" s="11"/>
    </row>
    <row r="2703" customHeight="1" spans="1:26">
      <c r="A2703" s="11" t="str">
        <f>IFERROR(__xludf.DUMMYFUNCTION("""COMPUTED_VALUE"""),"LISANIA LUCENA DOS SANTOS")</f>
        <v>LISANIA LUCENA DOS SANTOS</v>
      </c>
      <c r="B2703" s="11"/>
      <c r="C2703" s="11"/>
      <c r="D2703" s="11" t="str">
        <f>IFERROR(__xludf.DUMMYFUNCTION("""COMPUTED_VALUE"""),"NEONATOLOGIA")</f>
        <v>NEONATOLOGIA</v>
      </c>
      <c r="E2703" s="11"/>
      <c r="F2703" s="11" t="str">
        <f>IFERROR(__xludf.DUMMYFUNCTION("""COMPUTED_VALUE"""),"US_153 POLICLINICA E MATERNIDADE ARNALDO MARQUES")</f>
        <v>US_153 POLICLINICA E MATERNIDADE ARNALDO MARQUES</v>
      </c>
      <c r="G2703" s="11" t="str">
        <f>IFERROR(__xludf.DUMMYFUNCTION("""COMPUTED_VALUE"""),"US_153 POLICLINICA E MATERNIDADE ARNALDO MARQUES")</f>
        <v>US_153 POLICLINICA E MATERNIDADE ARNALDO MARQUES</v>
      </c>
      <c r="H2703" s="11"/>
      <c r="I2703" s="11"/>
      <c r="J2703" s="11"/>
      <c r="K2703" s="11"/>
      <c r="L2703" s="11"/>
      <c r="M2703" s="11"/>
      <c r="N2703" s="30" t="str">
        <f>IFERROR(__xludf.DUMMYFUNCTION("""COMPUTED_VALUE"""),"lisanialucena@gmail.com")</f>
        <v>lisanialucena@gmail.com</v>
      </c>
      <c r="O2703" s="11">
        <f>IFERROR(__xludf.DUMMYFUNCTION("""COMPUTED_VALUE"""),93545665453)</f>
        <v>93545665453</v>
      </c>
      <c r="P2703" s="11"/>
      <c r="Q2703" s="11"/>
      <c r="R2703" s="11"/>
      <c r="S2703" s="11"/>
      <c r="T2703" s="11"/>
      <c r="U2703" s="11"/>
      <c r="V2703" s="11"/>
      <c r="W2703" s="11"/>
      <c r="X2703" s="11"/>
      <c r="Y2703" s="11"/>
      <c r="Z2703" s="11"/>
    </row>
    <row r="2704" customHeight="1" spans="1:26">
      <c r="A2704" s="11" t="str">
        <f>IFERROR(__xludf.DUMMYFUNCTION("""COMPUTED_VALUE"""),"MARIA CLARA PEREIRA GOMES")</f>
        <v>MARIA CLARA PEREIRA GOMES</v>
      </c>
      <c r="B2704" s="11"/>
      <c r="C2704" s="11"/>
      <c r="D2704" s="11" t="str">
        <f>IFERROR(__xludf.DUMMYFUNCTION("""COMPUTED_VALUE"""),"NEONATOLOGIA")</f>
        <v>NEONATOLOGIA</v>
      </c>
      <c r="E2704" s="11"/>
      <c r="F2704" s="11" t="str">
        <f>IFERROR(__xludf.DUMMYFUNCTION("""COMPUTED_VALUE"""),"US_153 POLICLINICA E MATERNIDADE ARNALDO MARQUES")</f>
        <v>US_153 POLICLINICA E MATERNIDADE ARNALDO MARQUES</v>
      </c>
      <c r="G2704" s="11" t="str">
        <f>IFERROR(__xludf.DUMMYFUNCTION("""COMPUTED_VALUE"""),"US_153 POLICLINICA E MATERNIDADE ARNALDO MARQUES")</f>
        <v>US_153 POLICLINICA E MATERNIDADE ARNALDO MARQUES</v>
      </c>
      <c r="H2704" s="11"/>
      <c r="I2704" s="11"/>
      <c r="J2704" s="11"/>
      <c r="K2704" s="11"/>
      <c r="L2704" s="11"/>
      <c r="M2704" s="11"/>
      <c r="N2704" s="30" t="str">
        <f>IFERROR(__xludf.DUMMYFUNCTION("""COMPUTED_VALUE"""),"mclarapgomes@gmail.com                                 ")</f>
        <v>mclarapgomes@gmail.com                                 </v>
      </c>
      <c r="O2704" s="11">
        <f>IFERROR(__xludf.DUMMYFUNCTION("""COMPUTED_VALUE"""),61650684487)</f>
        <v>61650684487</v>
      </c>
      <c r="P2704" s="11"/>
      <c r="Q2704" s="11"/>
      <c r="R2704" s="11"/>
      <c r="S2704" s="11"/>
      <c r="T2704" s="11"/>
      <c r="U2704" s="11"/>
      <c r="V2704" s="11"/>
      <c r="W2704" s="11"/>
      <c r="X2704" s="11"/>
      <c r="Y2704" s="11"/>
      <c r="Z2704" s="11"/>
    </row>
    <row r="2705" customHeight="1" spans="1:26">
      <c r="A2705" s="11" t="str">
        <f>IFERROR(__xludf.DUMMYFUNCTION("""COMPUTED_VALUE"""),"YANA MARCIA P VALENCA")</f>
        <v>YANA MARCIA P VALENCA</v>
      </c>
      <c r="B2705" s="11"/>
      <c r="C2705" s="11"/>
      <c r="D2705" s="11" t="str">
        <f>IFERROR(__xludf.DUMMYFUNCTION("""COMPUTED_VALUE"""),"NEONATOLOGIA")</f>
        <v>NEONATOLOGIA</v>
      </c>
      <c r="E2705" s="11"/>
      <c r="F2705" s="11" t="str">
        <f>IFERROR(__xludf.DUMMYFUNCTION("""COMPUTED_VALUE"""),"US_165 MATERNIDADE BANDEIRA FILHO")</f>
        <v>US_165 MATERNIDADE BANDEIRA FILHO</v>
      </c>
      <c r="G2705" s="11" t="str">
        <f>IFERROR(__xludf.DUMMYFUNCTION("""COMPUTED_VALUE"""),"US_165 MATERNIDADE BANDEIRA FILHO")</f>
        <v>US_165 MATERNIDADE BANDEIRA FILHO</v>
      </c>
      <c r="H2705" s="11"/>
      <c r="I2705" s="11"/>
      <c r="J2705" s="11"/>
      <c r="K2705" s="11"/>
      <c r="L2705" s="11"/>
      <c r="M2705" s="11"/>
      <c r="N2705" s="30" t="str">
        <f>IFERROR(__xludf.DUMMYFUNCTION("""COMPUTED_VALUE"""),"yanavalenca@yahoo.com.br")</f>
        <v>yanavalenca@yahoo.com.br</v>
      </c>
      <c r="O2705" s="11">
        <f>IFERROR(__xludf.DUMMYFUNCTION("""COMPUTED_VALUE"""),2249035431)</f>
        <v>2249035431</v>
      </c>
      <c r="P2705" s="11"/>
      <c r="Q2705" s="11"/>
      <c r="R2705" s="11"/>
      <c r="S2705" s="11"/>
      <c r="T2705" s="11"/>
      <c r="U2705" s="11"/>
      <c r="V2705" s="11"/>
      <c r="W2705" s="11"/>
      <c r="X2705" s="11"/>
      <c r="Y2705" s="11"/>
      <c r="Z2705" s="11"/>
    </row>
    <row r="2706" customHeight="1" spans="1:26">
      <c r="A2706" s="11" t="str">
        <f>IFERROR(__xludf.DUMMYFUNCTION("""COMPUTED_VALUE"""),"SANDRA RIOS ALBUQUERQUE")</f>
        <v>SANDRA RIOS ALBUQUERQUE</v>
      </c>
      <c r="B2706" s="11"/>
      <c r="C2706" s="11"/>
      <c r="D2706" s="11" t="str">
        <f>IFERROR(__xludf.DUMMYFUNCTION("""COMPUTED_VALUE"""),"NEONATOLOGIA")</f>
        <v>NEONATOLOGIA</v>
      </c>
      <c r="E2706" s="11"/>
      <c r="F2706" s="11" t="str">
        <f>IFERROR(__xludf.DUMMYFUNCTION("""COMPUTED_VALUE"""),"US_153 POLICLINICA E MATERNIDADE ARNALDO MARQUES")</f>
        <v>US_153 POLICLINICA E MATERNIDADE ARNALDO MARQUES</v>
      </c>
      <c r="G2706" s="11" t="str">
        <f>IFERROR(__xludf.DUMMYFUNCTION("""COMPUTED_VALUE"""),"US_153 POLICLINICA E MATERNIDADE ARNALDO MARQUES")</f>
        <v>US_153 POLICLINICA E MATERNIDADE ARNALDO MARQUES</v>
      </c>
      <c r="H2706" s="11"/>
      <c r="I2706" s="11"/>
      <c r="J2706" s="11"/>
      <c r="K2706" s="11"/>
      <c r="L2706" s="11"/>
      <c r="M2706" s="11"/>
      <c r="N2706" s="30" t="str">
        <f>IFERROR(__xludf.DUMMYFUNCTION("""COMPUTED_VALUE"""),"rios.san@hotmail.com                                   ")</f>
        <v>rios.san@hotmail.com                                   </v>
      </c>
      <c r="O2706" s="11">
        <f>IFERROR(__xludf.DUMMYFUNCTION("""COMPUTED_VALUE"""),78205921415)</f>
        <v>78205921415</v>
      </c>
      <c r="P2706" s="11"/>
      <c r="Q2706" s="11"/>
      <c r="R2706" s="11"/>
      <c r="S2706" s="11"/>
      <c r="T2706" s="11"/>
      <c r="U2706" s="11"/>
      <c r="V2706" s="11"/>
      <c r="W2706" s="11"/>
      <c r="X2706" s="11"/>
      <c r="Y2706" s="11"/>
      <c r="Z2706" s="11"/>
    </row>
    <row r="2707" customHeight="1" spans="1:26">
      <c r="A2707" s="11" t="str">
        <f>IFERROR(__xludf.DUMMYFUNCTION("""COMPUTED_VALUE"""),"REGINALVA MARIA DO NASCIMENTO")</f>
        <v>REGINALVA MARIA DO NASCIMENTO</v>
      </c>
      <c r="B2707" s="11"/>
      <c r="C2707" s="11"/>
      <c r="D2707" s="11" t="str">
        <f>IFERROR(__xludf.DUMMYFUNCTION("""COMPUTED_VALUE"""),"PEDIATRIA")</f>
        <v>PEDIATRIA</v>
      </c>
      <c r="E2707" s="11"/>
      <c r="F2707" s="11" t="str">
        <f>IFERROR(__xludf.DUMMYFUNCTION("""COMPUTED_VALUE"""),"US_153 POLICLINICA E MATERNIDADE ARNALDO MARQUES")</f>
        <v>US_153 POLICLINICA E MATERNIDADE ARNALDO MARQUES</v>
      </c>
      <c r="G2707" s="11" t="str">
        <f>IFERROR(__xludf.DUMMYFUNCTION("""COMPUTED_VALUE"""),"US_153 POLICLINICA E MATERNIDADE ARNALDO MARQUES")</f>
        <v>US_153 POLICLINICA E MATERNIDADE ARNALDO MARQUES</v>
      </c>
      <c r="H2707" s="11"/>
      <c r="I2707" s="11"/>
      <c r="J2707" s="11"/>
      <c r="K2707" s="11"/>
      <c r="L2707" s="11"/>
      <c r="M2707" s="11"/>
      <c r="N2707" s="30" t="str">
        <f>IFERROR(__xludf.DUMMYFUNCTION("""COMPUTED_VALUE"""),"REGINALVANASCIMENTO@HOTMAIL.COM")</f>
        <v>REGINALVANASCIMENTO@HOTMAIL.COM</v>
      </c>
      <c r="O2707" s="11">
        <f>IFERROR(__xludf.DUMMYFUNCTION("""COMPUTED_VALUE"""),66590388415)</f>
        <v>66590388415</v>
      </c>
      <c r="P2707" s="11"/>
      <c r="Q2707" s="11"/>
      <c r="R2707" s="11"/>
      <c r="S2707" s="11"/>
      <c r="T2707" s="11"/>
      <c r="U2707" s="11"/>
      <c r="V2707" s="11"/>
      <c r="W2707" s="11"/>
      <c r="X2707" s="11"/>
      <c r="Y2707" s="11"/>
      <c r="Z2707" s="11"/>
    </row>
    <row r="2708" customHeight="1" spans="1:26">
      <c r="A2708" s="11" t="str">
        <f>IFERROR(__xludf.DUMMYFUNCTION("""COMPUTED_VALUE"""),"ANDREA CAMPOS FERRAZ")</f>
        <v>ANDREA CAMPOS FERRAZ</v>
      </c>
      <c r="B2708" s="11"/>
      <c r="C2708" s="11"/>
      <c r="D2708" s="11" t="str">
        <f>IFERROR(__xludf.DUMMYFUNCTION("""COMPUTED_VALUE"""),"ANESTESIOLOGIA")</f>
        <v>ANESTESIOLOGIA</v>
      </c>
      <c r="E2708" s="11"/>
      <c r="F2708" s="11" t="str">
        <f>IFERROR(__xludf.DUMMYFUNCTION("""COMPUTED_VALUE"""),"US_153 POLICLINICA E MATERNIDADE ARNALDO MARQUES")</f>
        <v>US_153 POLICLINICA E MATERNIDADE ARNALDO MARQUES</v>
      </c>
      <c r="G2708" s="11" t="str">
        <f>IFERROR(__xludf.DUMMYFUNCTION("""COMPUTED_VALUE"""),"US_153 POLICLINICA E MATERNIDADE ARNALDO MARQUES")</f>
        <v>US_153 POLICLINICA E MATERNIDADE ARNALDO MARQUES</v>
      </c>
      <c r="H2708" s="11"/>
      <c r="I2708" s="11"/>
      <c r="J2708" s="11"/>
      <c r="K2708" s="11"/>
      <c r="L2708" s="11"/>
      <c r="M2708" s="11"/>
      <c r="N2708" s="30" t="str">
        <f>IFERROR(__xludf.DUMMYFUNCTION("""COMPUTED_VALUE"""),"cferraz.andrea@gmail.com                               ")</f>
        <v>cferraz.andrea@gmail.com                               </v>
      </c>
      <c r="O2708" s="11">
        <f>IFERROR(__xludf.DUMMYFUNCTION("""COMPUTED_VALUE"""),96226404434)</f>
        <v>96226404434</v>
      </c>
      <c r="P2708" s="11"/>
      <c r="Q2708" s="11"/>
      <c r="R2708" s="11"/>
      <c r="S2708" s="11"/>
      <c r="T2708" s="11"/>
      <c r="U2708" s="11"/>
      <c r="V2708" s="11"/>
      <c r="W2708" s="11"/>
      <c r="X2708" s="11"/>
      <c r="Y2708" s="11"/>
      <c r="Z2708" s="11"/>
    </row>
    <row r="2709" customHeight="1" spans="1:26">
      <c r="A2709" s="11" t="str">
        <f>IFERROR(__xludf.DUMMYFUNCTION("""COMPUTED_VALUE"""),"RODRIGO RIBEIRO ARAGAO")</f>
        <v>RODRIGO RIBEIRO ARAGAO</v>
      </c>
      <c r="B2709" s="11"/>
      <c r="C2709" s="11"/>
      <c r="D2709" s="11" t="str">
        <f>IFERROR(__xludf.DUMMYFUNCTION("""COMPUTED_VALUE"""),"ANESTESIOLOGIA")</f>
        <v>ANESTESIOLOGIA</v>
      </c>
      <c r="E2709" s="11"/>
      <c r="F2709" s="11" t="str">
        <f>IFERROR(__xludf.DUMMYFUNCTION("""COMPUTED_VALUE"""),"US_167 POLICLINICA E MATERNIDADE PROFESSOR BARROS LIMA")</f>
        <v>US_167 POLICLINICA E MATERNIDADE PROFESSOR BARROS LIMA</v>
      </c>
      <c r="G2709" s="11" t="str">
        <f>IFERROR(__xludf.DUMMYFUNCTION("""COMPUTED_VALUE"""),"US_167 POLICLINICA E MATERNIDADE PROFESSOR BARROS LIMA")</f>
        <v>US_167 POLICLINICA E MATERNIDADE PROFESSOR BARROS LIMA</v>
      </c>
      <c r="H2709" s="11"/>
      <c r="I2709" s="11"/>
      <c r="J2709" s="11"/>
      <c r="K2709" s="11"/>
      <c r="L2709" s="11"/>
      <c r="M2709" s="11"/>
      <c r="N2709" s="30" t="str">
        <f>IFERROR(__xludf.DUMMYFUNCTION("""COMPUTED_VALUE"""),"rodrigo30@gmail.com")</f>
        <v>rodrigo30@gmail.com</v>
      </c>
      <c r="O2709" s="11">
        <f>IFERROR(__xludf.DUMMYFUNCTION("""COMPUTED_VALUE"""),82381747400)</f>
        <v>82381747400</v>
      </c>
      <c r="P2709" s="11"/>
      <c r="Q2709" s="11"/>
      <c r="R2709" s="11"/>
      <c r="S2709" s="11"/>
      <c r="T2709" s="11"/>
      <c r="U2709" s="11"/>
      <c r="V2709" s="11"/>
      <c r="W2709" s="11"/>
      <c r="X2709" s="11"/>
      <c r="Y2709" s="11"/>
      <c r="Z2709" s="11"/>
    </row>
    <row r="2710" customHeight="1" spans="1:26">
      <c r="A2710" s="11" t="str">
        <f>IFERROR(__xludf.DUMMYFUNCTION("""COMPUTED_VALUE"""),"HERICA RAFAEL LEITE")</f>
        <v>HERICA RAFAEL LEITE</v>
      </c>
      <c r="B2710" s="11"/>
      <c r="C2710" s="11"/>
      <c r="D2710" s="11" t="str">
        <f>IFERROR(__xludf.DUMMYFUNCTION("""COMPUTED_VALUE"""),"ANESTESIOLOGIA")</f>
        <v>ANESTESIOLOGIA</v>
      </c>
      <c r="E2710" s="11"/>
      <c r="F2710" s="11" t="str">
        <f>IFERROR(__xludf.DUMMYFUNCTION("""COMPUTED_VALUE"""),"US_165 MATERNIDADE BANDEIRA FILHO")</f>
        <v>US_165 MATERNIDADE BANDEIRA FILHO</v>
      </c>
      <c r="G2710" s="11" t="str">
        <f>IFERROR(__xludf.DUMMYFUNCTION("""COMPUTED_VALUE"""),"US_165 MATERNIDADE BANDEIRA FILHO")</f>
        <v>US_165 MATERNIDADE BANDEIRA FILHO</v>
      </c>
      <c r="H2710" s="11"/>
      <c r="I2710" s="11"/>
      <c r="J2710" s="11"/>
      <c r="K2710" s="11"/>
      <c r="L2710" s="11"/>
      <c r="M2710" s="11"/>
      <c r="N2710" s="30" t="str">
        <f>IFERROR(__xludf.DUMMYFUNCTION("""COMPUTED_VALUE"""),"hericaleite6@gmail.com")</f>
        <v>hericaleite6@gmail.com</v>
      </c>
      <c r="O2710" s="11">
        <f>IFERROR(__xludf.DUMMYFUNCTION("""COMPUTED_VALUE"""),84547855404)</f>
        <v>84547855404</v>
      </c>
      <c r="P2710" s="11"/>
      <c r="Q2710" s="11"/>
      <c r="R2710" s="11"/>
      <c r="S2710" s="11"/>
      <c r="T2710" s="11"/>
      <c r="U2710" s="11"/>
      <c r="V2710" s="11"/>
      <c r="W2710" s="11"/>
      <c r="X2710" s="11"/>
      <c r="Y2710" s="11"/>
      <c r="Z2710" s="11"/>
    </row>
    <row r="2711" customHeight="1" spans="1:26">
      <c r="A2711" s="11" t="str">
        <f>IFERROR(__xludf.DUMMYFUNCTION("""COMPUTED_VALUE"""),"MARCIO SILVA P DE CARVALHO")</f>
        <v>MARCIO SILVA P DE CARVALHO</v>
      </c>
      <c r="B2711" s="11"/>
      <c r="C2711" s="11"/>
      <c r="D2711" s="11" t="str">
        <f>IFERROR(__xludf.DUMMYFUNCTION("""COMPUTED_VALUE"""),"ANESTESIOLOGIA")</f>
        <v>ANESTESIOLOGIA</v>
      </c>
      <c r="E2711" s="11"/>
      <c r="F2711" s="11" t="str">
        <f>IFERROR(__xludf.DUMMYFUNCTION("""COMPUTED_VALUE"""),"US_165 MATERNIDADE BANDEIRA FILHO")</f>
        <v>US_165 MATERNIDADE BANDEIRA FILHO</v>
      </c>
      <c r="G2711" s="11" t="str">
        <f>IFERROR(__xludf.DUMMYFUNCTION("""COMPUTED_VALUE"""),"US_165 MATERNIDADE BANDEIRA FILHO")</f>
        <v>US_165 MATERNIDADE BANDEIRA FILHO</v>
      </c>
      <c r="H2711" s="11"/>
      <c r="I2711" s="11"/>
      <c r="J2711" s="11"/>
      <c r="K2711" s="11"/>
      <c r="L2711" s="11"/>
      <c r="M2711" s="11"/>
      <c r="N2711" s="30" t="str">
        <f>IFERROR(__xludf.DUMMYFUNCTION("""COMPUTED_VALUE"""),"marcioanest@gmail.com                                  ")</f>
        <v>marcioanest@gmail.com                                  </v>
      </c>
      <c r="O2711" s="11">
        <f>IFERROR(__xludf.DUMMYFUNCTION("""COMPUTED_VALUE"""),89026314434)</f>
        <v>89026314434</v>
      </c>
      <c r="P2711" s="11"/>
      <c r="Q2711" s="11"/>
      <c r="R2711" s="11"/>
      <c r="S2711" s="11"/>
      <c r="T2711" s="11"/>
      <c r="U2711" s="11"/>
      <c r="V2711" s="11"/>
      <c r="W2711" s="11"/>
      <c r="X2711" s="11"/>
      <c r="Y2711" s="11"/>
      <c r="Z2711" s="11"/>
    </row>
    <row r="2712" customHeight="1" spans="1:26">
      <c r="A2712" s="11" t="str">
        <f>IFERROR(__xludf.DUMMYFUNCTION("""COMPUTED_VALUE"""),"SEVERINO C DE LIMA JUNIOR")</f>
        <v>SEVERINO C DE LIMA JUNIOR</v>
      </c>
      <c r="B2712" s="11"/>
      <c r="C2712" s="11"/>
      <c r="D2712" s="11" t="str">
        <f>IFERROR(__xludf.DUMMYFUNCTION("""COMPUTED_VALUE"""),"ANESTESIOLOGIA")</f>
        <v>ANESTESIOLOGIA</v>
      </c>
      <c r="E2712" s="11"/>
      <c r="F2712" s="11" t="str">
        <f>IFERROR(__xludf.DUMMYFUNCTION("""COMPUTED_VALUE"""),"US_165 MATERNIDADE BANDEIRA FILHO")</f>
        <v>US_165 MATERNIDADE BANDEIRA FILHO</v>
      </c>
      <c r="G2712" s="11" t="str">
        <f>IFERROR(__xludf.DUMMYFUNCTION("""COMPUTED_VALUE"""),"US_165 MATERNIDADE BANDEIRA FILHO")</f>
        <v>US_165 MATERNIDADE BANDEIRA FILHO</v>
      </c>
      <c r="H2712" s="11"/>
      <c r="I2712" s="11"/>
      <c r="J2712" s="11"/>
      <c r="K2712" s="11"/>
      <c r="L2712" s="11"/>
      <c r="M2712" s="11"/>
      <c r="N2712" s="30" t="str">
        <f>IFERROR(__xludf.DUMMYFUNCTION("""COMPUTED_VALUE"""),"severinojr07@hotmail.com")</f>
        <v>severinojr07@hotmail.com</v>
      </c>
      <c r="O2712" s="11">
        <f>IFERROR(__xludf.DUMMYFUNCTION("""COMPUTED_VALUE"""),89017056487)</f>
        <v>89017056487</v>
      </c>
      <c r="P2712" s="11"/>
      <c r="Q2712" s="11"/>
      <c r="R2712" s="11"/>
      <c r="S2712" s="11"/>
      <c r="T2712" s="11"/>
      <c r="U2712" s="11"/>
      <c r="V2712" s="11"/>
      <c r="W2712" s="11"/>
      <c r="X2712" s="11"/>
      <c r="Y2712" s="11"/>
      <c r="Z2712" s="11"/>
    </row>
    <row r="2713" customHeight="1" spans="1:26">
      <c r="A2713" s="11" t="str">
        <f>IFERROR(__xludf.DUMMYFUNCTION("""COMPUTED_VALUE"""),"CYNTIA BRANDI KRAUSE")</f>
        <v>CYNTIA BRANDI KRAUSE</v>
      </c>
      <c r="B2713" s="11"/>
      <c r="C2713" s="11"/>
      <c r="D2713" s="11" t="str">
        <f>IFERROR(__xludf.DUMMYFUNCTION("""COMPUTED_VALUE"""),"NEONATOLOGIA")</f>
        <v>NEONATOLOGIA</v>
      </c>
      <c r="E2713" s="11"/>
      <c r="F2713" s="11" t="str">
        <f>IFERROR(__xludf.DUMMYFUNCTION("""COMPUTED_VALUE"""),"US_153 POLICLINICA E MATERNIDADE ARNALDO MARQUES")</f>
        <v>US_153 POLICLINICA E MATERNIDADE ARNALDO MARQUES</v>
      </c>
      <c r="G2713" s="11" t="str">
        <f>IFERROR(__xludf.DUMMYFUNCTION("""COMPUTED_VALUE"""),"US_153 POLICLINICA E MATERNIDADE ARNALDO MARQUES")</f>
        <v>US_153 POLICLINICA E MATERNIDADE ARNALDO MARQUES</v>
      </c>
      <c r="H2713" s="11"/>
      <c r="I2713" s="11"/>
      <c r="J2713" s="11"/>
      <c r="K2713" s="11"/>
      <c r="L2713" s="11"/>
      <c r="M2713" s="11"/>
      <c r="N2713" s="30" t="str">
        <f>IFERROR(__xludf.DUMMYFUNCTION("""COMPUTED_VALUE"""),"cbrandtk@hotmail.com                                   ")</f>
        <v>cbrandtk@hotmail.com                                   </v>
      </c>
      <c r="O2713" s="11">
        <f>IFERROR(__xludf.DUMMYFUNCTION("""COMPUTED_VALUE"""),66673798491)</f>
        <v>66673798491</v>
      </c>
      <c r="P2713" s="11"/>
      <c r="Q2713" s="11"/>
      <c r="R2713" s="11"/>
      <c r="S2713" s="11"/>
      <c r="T2713" s="11"/>
      <c r="U2713" s="11"/>
      <c r="V2713" s="11"/>
      <c r="W2713" s="11"/>
      <c r="X2713" s="11"/>
      <c r="Y2713" s="11"/>
      <c r="Z2713" s="11"/>
    </row>
    <row r="2714" customHeight="1" spans="1:26">
      <c r="A2714" s="11" t="str">
        <f>IFERROR(__xludf.DUMMYFUNCTION("""COMPUTED_VALUE"""),"SUELY RAMPCHE GUEDES")</f>
        <v>SUELY RAMPCHE GUEDES</v>
      </c>
      <c r="B2714" s="11"/>
      <c r="C2714" s="11"/>
      <c r="D2714" s="11" t="str">
        <f>IFERROR(__xludf.DUMMYFUNCTION("""COMPUTED_VALUE"""),"NEONATOLOGIA")</f>
        <v>NEONATOLOGIA</v>
      </c>
      <c r="E2714" s="11"/>
      <c r="F2714" s="11" t="str">
        <f>IFERROR(__xludf.DUMMYFUNCTION("""COMPUTED_VALUE"""),"US_153 POLICLINICA E MATERNIDADE ARNALDO MARQUES")</f>
        <v>US_153 POLICLINICA E MATERNIDADE ARNALDO MARQUES</v>
      </c>
      <c r="G2714" s="11" t="str">
        <f>IFERROR(__xludf.DUMMYFUNCTION("""COMPUTED_VALUE"""),"US_153 POLICLINICA E MATERNIDADE ARNALDO MARQUES")</f>
        <v>US_153 POLICLINICA E MATERNIDADE ARNALDO MARQUES</v>
      </c>
      <c r="H2714" s="11"/>
      <c r="I2714" s="11"/>
      <c r="J2714" s="11"/>
      <c r="K2714" s="11"/>
      <c r="L2714" s="11"/>
      <c r="M2714" s="11"/>
      <c r="N2714" s="30" t="str">
        <f>IFERROR(__xludf.DUMMYFUNCTION("""COMPUTED_VALUE"""),"suelyrampcheguedes@hotmail.com")</f>
        <v>suelyrampcheguedes@hotmail.com</v>
      </c>
      <c r="O2714" s="11">
        <f>IFERROR(__xludf.DUMMYFUNCTION("""COMPUTED_VALUE"""),37558439434)</f>
        <v>37558439434</v>
      </c>
      <c r="P2714" s="11"/>
      <c r="Q2714" s="11"/>
      <c r="R2714" s="11"/>
      <c r="S2714" s="11"/>
      <c r="T2714" s="11"/>
      <c r="U2714" s="11"/>
      <c r="V2714" s="11"/>
      <c r="W2714" s="11"/>
      <c r="X2714" s="11"/>
      <c r="Y2714" s="11"/>
      <c r="Z2714" s="11"/>
    </row>
    <row r="2715" customHeight="1" spans="1:26">
      <c r="A2715" s="11" t="str">
        <f>IFERROR(__xludf.DUMMYFUNCTION("""COMPUTED_VALUE"""),"DANIELLE CINTRA B BRANDAO")</f>
        <v>DANIELLE CINTRA B BRANDAO</v>
      </c>
      <c r="B2715" s="11"/>
      <c r="C2715" s="11"/>
      <c r="D2715" s="11" t="str">
        <f>IFERROR(__xludf.DUMMYFUNCTION("""COMPUTED_VALUE"""),"NEONATOLOGIA")</f>
        <v>NEONATOLOGIA</v>
      </c>
      <c r="E2715" s="11"/>
      <c r="F2715" s="11" t="str">
        <f>IFERROR(__xludf.DUMMYFUNCTION("""COMPUTED_VALUE"""),"US_153 POLICLINICA E MATERNIDADE ARNALDO MARQUES")</f>
        <v>US_153 POLICLINICA E MATERNIDADE ARNALDO MARQUES</v>
      </c>
      <c r="G2715" s="11" t="str">
        <f>IFERROR(__xludf.DUMMYFUNCTION("""COMPUTED_VALUE"""),"US_153 POLICLINICA E MATERNIDADE ARNALDO MARQUES")</f>
        <v>US_153 POLICLINICA E MATERNIDADE ARNALDO MARQUES</v>
      </c>
      <c r="H2715" s="11"/>
      <c r="I2715" s="11"/>
      <c r="J2715" s="11"/>
      <c r="K2715" s="11"/>
      <c r="L2715" s="11"/>
      <c r="M2715" s="11"/>
      <c r="N2715" s="11"/>
      <c r="O2715" s="11">
        <f>IFERROR(__xludf.DUMMYFUNCTION("""COMPUTED_VALUE"""),2337941400)</f>
        <v>2337941400</v>
      </c>
      <c r="P2715" s="11"/>
      <c r="Q2715" s="11"/>
      <c r="R2715" s="11"/>
      <c r="S2715" s="11"/>
      <c r="T2715" s="11"/>
      <c r="U2715" s="11"/>
      <c r="V2715" s="11"/>
      <c r="W2715" s="11"/>
      <c r="X2715" s="11"/>
      <c r="Y2715" s="11"/>
      <c r="Z2715" s="11"/>
    </row>
    <row r="2716" customHeight="1" spans="1:26">
      <c r="A2716" s="11" t="str">
        <f>IFERROR(__xludf.DUMMYFUNCTION("""COMPUTED_VALUE"""),"SONIA MARIA SARAIVA LANDIM")</f>
        <v>SONIA MARIA SARAIVA LANDIM</v>
      </c>
      <c r="B2716" s="11"/>
      <c r="C2716" s="11"/>
      <c r="D2716" s="11" t="str">
        <f>IFERROR(__xludf.DUMMYFUNCTION("""COMPUTED_VALUE"""),"NEONATOLOGIA")</f>
        <v>NEONATOLOGIA</v>
      </c>
      <c r="E2716" s="11"/>
      <c r="F2716" s="11" t="str">
        <f>IFERROR(__xludf.DUMMYFUNCTION("""COMPUTED_VALUE"""),"US_163 HOSPITAL DE PEDIATRIA HELENA MOURA")</f>
        <v>US_163 HOSPITAL DE PEDIATRIA HELENA MOURA</v>
      </c>
      <c r="G2716" s="11" t="str">
        <f>IFERROR(__xludf.DUMMYFUNCTION("""COMPUTED_VALUE"""),"US_163 HOSPITAL DE PEDIATRIA HELENA MOURA")</f>
        <v>US_163 HOSPITAL DE PEDIATRIA HELENA MOURA</v>
      </c>
      <c r="H2716" s="11"/>
      <c r="I2716" s="11"/>
      <c r="J2716" s="11"/>
      <c r="K2716" s="11"/>
      <c r="L2716" s="11"/>
      <c r="M2716" s="11"/>
      <c r="N2716" s="30" t="str">
        <f>IFERROR(__xludf.DUMMYFUNCTION("""COMPUTED_VALUE"""),"soniamslandim@hotmail.com                              ")</f>
        <v>soniamslandim@hotmail.com                              </v>
      </c>
      <c r="O2716" s="11">
        <f>IFERROR(__xludf.DUMMYFUNCTION("""COMPUTED_VALUE"""),216176433)</f>
        <v>216176433</v>
      </c>
      <c r="P2716" s="11"/>
      <c r="Q2716" s="11"/>
      <c r="R2716" s="11"/>
      <c r="S2716" s="11"/>
      <c r="T2716" s="11"/>
      <c r="U2716" s="11"/>
      <c r="V2716" s="11"/>
      <c r="W2716" s="11"/>
      <c r="X2716" s="11"/>
      <c r="Y2716" s="11"/>
      <c r="Z2716" s="11"/>
    </row>
    <row r="2717" customHeight="1" spans="1:26">
      <c r="A2717" s="11" t="str">
        <f>IFERROR(__xludf.DUMMYFUNCTION("""COMPUTED_VALUE"""),"FABIANA BANDEIRA CARNEIRO LEAO")</f>
        <v>FABIANA BANDEIRA CARNEIRO LEAO</v>
      </c>
      <c r="B2717" s="11"/>
      <c r="C2717" s="11"/>
      <c r="D2717" s="11" t="str">
        <f>IFERROR(__xludf.DUMMYFUNCTION("""COMPUTED_VALUE"""),"NEONATOLOGIA")</f>
        <v>NEONATOLOGIA</v>
      </c>
      <c r="E2717" s="11"/>
      <c r="F2717" s="11" t="str">
        <f>IFERROR(__xludf.DUMMYFUNCTION("""COMPUTED_VALUE"""),"US_153 POLICLINICA E MATERNIDADE ARNALDO MARQUES")</f>
        <v>US_153 POLICLINICA E MATERNIDADE ARNALDO MARQUES</v>
      </c>
      <c r="G2717" s="11" t="str">
        <f>IFERROR(__xludf.DUMMYFUNCTION("""COMPUTED_VALUE"""),"US_153 POLICLINICA E MATERNIDADE ARNALDO MARQUES")</f>
        <v>US_153 POLICLINICA E MATERNIDADE ARNALDO MARQUES</v>
      </c>
      <c r="H2717" s="11"/>
      <c r="I2717" s="11"/>
      <c r="J2717" s="11"/>
      <c r="K2717" s="11"/>
      <c r="L2717" s="11"/>
      <c r="M2717" s="11"/>
      <c r="N2717" s="30" t="str">
        <f>IFERROR(__xludf.DUMMYFUNCTION("""COMPUTED_VALUE"""),"FABIANABCLEAO@HOTMAIL.COM")</f>
        <v>FABIANABCLEAO@HOTMAIL.COM</v>
      </c>
      <c r="O2717" s="11">
        <f>IFERROR(__xludf.DUMMYFUNCTION("""COMPUTED_VALUE"""),84820837400)</f>
        <v>84820837400</v>
      </c>
      <c r="P2717" s="11"/>
      <c r="Q2717" s="11"/>
      <c r="R2717" s="11"/>
      <c r="S2717" s="11"/>
      <c r="T2717" s="11"/>
      <c r="U2717" s="11"/>
      <c r="V2717" s="11"/>
      <c r="W2717" s="11"/>
      <c r="X2717" s="11"/>
      <c r="Y2717" s="11"/>
      <c r="Z2717" s="11"/>
    </row>
    <row r="2718" customHeight="1" spans="1:26">
      <c r="A2718" s="11" t="str">
        <f>IFERROR(__xludf.DUMMYFUNCTION("""COMPUTED_VALUE"""),"ANA PAULA LUGON M DE OLIVEIRA")</f>
        <v>ANA PAULA LUGON M DE OLIVEIRA</v>
      </c>
      <c r="B2718" s="11"/>
      <c r="C2718" s="11"/>
      <c r="D2718" s="11" t="str">
        <f>IFERROR(__xludf.DUMMYFUNCTION("""COMPUTED_VALUE"""),"NEONATOLOGIA")</f>
        <v>NEONATOLOGIA</v>
      </c>
      <c r="E2718" s="11"/>
      <c r="F2718" s="11" t="str">
        <f>IFERROR(__xludf.DUMMYFUNCTION("""COMPUTED_VALUE"""),"US_167 POLICLINICA E MATERNIDADE PROFESSOR BARROS LIMA")</f>
        <v>US_167 POLICLINICA E MATERNIDADE PROFESSOR BARROS LIMA</v>
      </c>
      <c r="G2718" s="11" t="str">
        <f>IFERROR(__xludf.DUMMYFUNCTION("""COMPUTED_VALUE"""),"US_167 POLICLINICA E MATERNIDADE PROFESSOR BARROS LIMA")</f>
        <v>US_167 POLICLINICA E MATERNIDADE PROFESSOR BARROS LIMA</v>
      </c>
      <c r="H2718" s="11"/>
      <c r="I2718" s="11"/>
      <c r="J2718" s="11"/>
      <c r="K2718" s="11"/>
      <c r="L2718" s="11"/>
      <c r="M2718" s="11"/>
      <c r="N2718" s="30" t="str">
        <f>IFERROR(__xludf.DUMMYFUNCTION("""COMPUTED_VALUE"""),"paulalugon@terra.com.br                                ")</f>
        <v>paulalugon@terra.com.br                                </v>
      </c>
      <c r="O2718" s="11">
        <f>IFERROR(__xludf.DUMMYFUNCTION("""COMPUTED_VALUE"""),69663823453)</f>
        <v>69663823453</v>
      </c>
      <c r="P2718" s="11"/>
      <c r="Q2718" s="11"/>
      <c r="R2718" s="11"/>
      <c r="S2718" s="11"/>
      <c r="T2718" s="11"/>
      <c r="U2718" s="11"/>
      <c r="V2718" s="11"/>
      <c r="W2718" s="11"/>
      <c r="X2718" s="11"/>
      <c r="Y2718" s="11"/>
      <c r="Z2718" s="11"/>
    </row>
    <row r="2719" customHeight="1" spans="1:26">
      <c r="A2719" s="11" t="str">
        <f>IFERROR(__xludf.DUMMYFUNCTION("""COMPUTED_VALUE"""),"MARIA DO SOCORRO G FERREIRA")</f>
        <v>MARIA DO SOCORRO G FERREIRA</v>
      </c>
      <c r="B2719" s="11"/>
      <c r="C2719" s="11"/>
      <c r="D2719" s="11" t="str">
        <f>IFERROR(__xludf.DUMMYFUNCTION("""COMPUTED_VALUE"""),"NEONATOLOGIA")</f>
        <v>NEONATOLOGIA</v>
      </c>
      <c r="E2719" s="11"/>
      <c r="F2719" s="11" t="str">
        <f>IFERROR(__xludf.DUMMYFUNCTION("""COMPUTED_VALUE"""),"US_153 POLICLINICA E MATERNIDADE ARNALDO MARQUES")</f>
        <v>US_153 POLICLINICA E MATERNIDADE ARNALDO MARQUES</v>
      </c>
      <c r="G2719" s="11" t="str">
        <f>IFERROR(__xludf.DUMMYFUNCTION("""COMPUTED_VALUE"""),"US_153 POLICLINICA E MATERNIDADE ARNALDO MARQUES")</f>
        <v>US_153 POLICLINICA E MATERNIDADE ARNALDO MARQUES</v>
      </c>
      <c r="H2719" s="11"/>
      <c r="I2719" s="11"/>
      <c r="J2719" s="11"/>
      <c r="K2719" s="11"/>
      <c r="L2719" s="11"/>
      <c r="M2719" s="11"/>
      <c r="N2719" s="30" t="str">
        <f>IFERROR(__xludf.DUMMYFUNCTION("""COMPUTED_VALUE"""),"mariasferreira066@gmail.com")</f>
        <v>mariasferreira066@gmail.com</v>
      </c>
      <c r="O2719" s="11">
        <f>IFERROR(__xludf.DUMMYFUNCTION("""COMPUTED_VALUE"""),88998681404)</f>
        <v>88998681404</v>
      </c>
      <c r="P2719" s="11"/>
      <c r="Q2719" s="11"/>
      <c r="R2719" s="11"/>
      <c r="S2719" s="11"/>
      <c r="T2719" s="11"/>
      <c r="U2719" s="11"/>
      <c r="V2719" s="11"/>
      <c r="W2719" s="11"/>
      <c r="X2719" s="11"/>
      <c r="Y2719" s="11"/>
      <c r="Z2719" s="11"/>
    </row>
    <row r="2720" customHeight="1" spans="1:26">
      <c r="A2720" s="11" t="str">
        <f>IFERROR(__xludf.DUMMYFUNCTION("""COMPUTED_VALUE"""),"FERNANDO ANTONIO A DE OLIVEIRA")</f>
        <v>FERNANDO ANTONIO A DE OLIVEIRA</v>
      </c>
      <c r="B2720" s="11"/>
      <c r="C2720" s="11"/>
      <c r="D2720" s="11" t="str">
        <f>IFERROR(__xludf.DUMMYFUNCTION("""COMPUTED_VALUE"""),"NEONATOLOGIA")</f>
        <v>NEONATOLOGIA</v>
      </c>
      <c r="E2720" s="11"/>
      <c r="F2720" s="11" t="str">
        <f>IFERROR(__xludf.DUMMYFUNCTION("""COMPUTED_VALUE"""),"US_153 POLICLINICA E MATERNIDADE ARNALDO MARQUES")</f>
        <v>US_153 POLICLINICA E MATERNIDADE ARNALDO MARQUES</v>
      </c>
      <c r="G2720" s="11" t="str">
        <f>IFERROR(__xludf.DUMMYFUNCTION("""COMPUTED_VALUE"""),"US_153 POLICLINICA E MATERNIDADE ARNALDO MARQUES")</f>
        <v>US_153 POLICLINICA E MATERNIDADE ARNALDO MARQUES</v>
      </c>
      <c r="H2720" s="11"/>
      <c r="I2720" s="11"/>
      <c r="J2720" s="11"/>
      <c r="K2720" s="11"/>
      <c r="L2720" s="11"/>
      <c r="M2720" s="11"/>
      <c r="N2720" s="30" t="str">
        <f>IFERROR(__xludf.DUMMYFUNCTION("""COMPUTED_VALUE"""),"fernandoaao@bol.com.br                                 ")</f>
        <v>fernandoaao@bol.com.br                                 </v>
      </c>
      <c r="O2720" s="11">
        <f>IFERROR(__xludf.DUMMYFUNCTION("""COMPUTED_VALUE"""),76783324400)</f>
        <v>76783324400</v>
      </c>
      <c r="P2720" s="11"/>
      <c r="Q2720" s="11"/>
      <c r="R2720" s="11"/>
      <c r="S2720" s="11"/>
      <c r="T2720" s="11"/>
      <c r="U2720" s="11"/>
      <c r="V2720" s="11"/>
      <c r="W2720" s="11"/>
      <c r="X2720" s="11"/>
      <c r="Y2720" s="11"/>
      <c r="Z2720" s="11"/>
    </row>
    <row r="2721" customHeight="1" spans="1:26">
      <c r="A2721" s="11" t="str">
        <f>IFERROR(__xludf.DUMMYFUNCTION("""COMPUTED_VALUE"""),"ANA CRISTINE REBOUCAS VERAS")</f>
        <v>ANA CRISTINE REBOUCAS VERAS</v>
      </c>
      <c r="B2721" s="11"/>
      <c r="C2721" s="11"/>
      <c r="D2721" s="11" t="str">
        <f>IFERROR(__xludf.DUMMYFUNCTION("""COMPUTED_VALUE"""),"NEONATOLOGIA")</f>
        <v>NEONATOLOGIA</v>
      </c>
      <c r="E2721" s="11"/>
      <c r="F2721" s="11" t="str">
        <f>IFERROR(__xludf.DUMMYFUNCTION("""COMPUTED_VALUE"""),"US_153 POLICLINICA E MATERNIDADE ARNALDO MARQUES")</f>
        <v>US_153 POLICLINICA E MATERNIDADE ARNALDO MARQUES</v>
      </c>
      <c r="G2721" s="11" t="str">
        <f>IFERROR(__xludf.DUMMYFUNCTION("""COMPUTED_VALUE"""),"US_153 POLICLINICA E MATERNIDADE ARNALDO MARQUES")</f>
        <v>US_153 POLICLINICA E MATERNIDADE ARNALDO MARQUES</v>
      </c>
      <c r="H2721" s="11"/>
      <c r="I2721" s="11"/>
      <c r="J2721" s="11"/>
      <c r="K2721" s="11"/>
      <c r="L2721" s="11"/>
      <c r="M2721" s="11"/>
      <c r="N2721" s="30" t="str">
        <f>IFERROR(__xludf.DUMMYFUNCTION("""COMPUTED_VALUE"""),"ACRVERAS90@GMAIL.COM")</f>
        <v>ACRVERAS90@GMAIL.COM</v>
      </c>
      <c r="O2721" s="11">
        <f>IFERROR(__xludf.DUMMYFUNCTION("""COMPUTED_VALUE"""),83202846434)</f>
        <v>83202846434</v>
      </c>
      <c r="P2721" s="11"/>
      <c r="Q2721" s="11"/>
      <c r="R2721" s="11"/>
      <c r="S2721" s="11"/>
      <c r="T2721" s="11"/>
      <c r="U2721" s="11"/>
      <c r="V2721" s="11"/>
      <c r="W2721" s="11"/>
      <c r="X2721" s="11"/>
      <c r="Y2721" s="11"/>
      <c r="Z2721" s="11"/>
    </row>
    <row r="2722" customHeight="1" spans="1:26">
      <c r="A2722" s="11" t="str">
        <f>IFERROR(__xludf.DUMMYFUNCTION("""COMPUTED_VALUE"""),"ANDREA FIREMAN BARROS CORDOVA")</f>
        <v>ANDREA FIREMAN BARROS CORDOVA</v>
      </c>
      <c r="B2722" s="11"/>
      <c r="C2722" s="11"/>
      <c r="D2722" s="11" t="str">
        <f>IFERROR(__xludf.DUMMYFUNCTION("""COMPUTED_VALUE"""),"NEONATOLOGIA")</f>
        <v>NEONATOLOGIA</v>
      </c>
      <c r="E2722" s="11"/>
      <c r="F2722" s="11" t="str">
        <f>IFERROR(__xludf.DUMMYFUNCTION("""COMPUTED_VALUE"""),"US_153 POLICLINICA E MATERNIDADE ARNALDO MARQUES")</f>
        <v>US_153 POLICLINICA E MATERNIDADE ARNALDO MARQUES</v>
      </c>
      <c r="G2722" s="11" t="str">
        <f>IFERROR(__xludf.DUMMYFUNCTION("""COMPUTED_VALUE"""),"US_153 POLICLINICA E MATERNIDADE ARNALDO MARQUES")</f>
        <v>US_153 POLICLINICA E MATERNIDADE ARNALDO MARQUES</v>
      </c>
      <c r="H2722" s="11"/>
      <c r="I2722" s="11"/>
      <c r="J2722" s="11"/>
      <c r="K2722" s="11"/>
      <c r="L2722" s="11"/>
      <c r="M2722" s="11"/>
      <c r="N2722" s="30" t="str">
        <f>IFERROR(__xludf.DUMMYFUNCTION("""COMPUTED_VALUE"""),"andreafireman@hotmail.com                              ")</f>
        <v>andreafireman@hotmail.com                              </v>
      </c>
      <c r="O2722" s="11">
        <f>IFERROR(__xludf.DUMMYFUNCTION("""COMPUTED_VALUE"""),78750369415)</f>
        <v>78750369415</v>
      </c>
      <c r="P2722" s="11"/>
      <c r="Q2722" s="11"/>
      <c r="R2722" s="11"/>
      <c r="S2722" s="11"/>
      <c r="T2722" s="11"/>
      <c r="U2722" s="11"/>
      <c r="V2722" s="11"/>
      <c r="W2722" s="11"/>
      <c r="X2722" s="11"/>
      <c r="Y2722" s="11"/>
      <c r="Z2722" s="11"/>
    </row>
    <row r="2723" customHeight="1" spans="1:26">
      <c r="A2723" s="11" t="str">
        <f>IFERROR(__xludf.DUMMYFUNCTION("""COMPUTED_VALUE"""),"ADLA ASFORA EL DEIR")</f>
        <v>ADLA ASFORA EL DEIR</v>
      </c>
      <c r="B2723" s="11"/>
      <c r="C2723" s="11"/>
      <c r="D2723" s="11" t="str">
        <f>IFERROR(__xludf.DUMMYFUNCTION("""COMPUTED_VALUE"""),"PEDIATRIA")</f>
        <v>PEDIATRIA</v>
      </c>
      <c r="E2723" s="11"/>
      <c r="F2723" s="11" t="str">
        <f>IFERROR(__xludf.DUMMYFUNCTION("""COMPUTED_VALUE"""),"US_153 POLICLINICA E MATERNIDADE ARNALDO MARQUES")</f>
        <v>US_153 POLICLINICA E MATERNIDADE ARNALDO MARQUES</v>
      </c>
      <c r="G2723" s="11" t="str">
        <f>IFERROR(__xludf.DUMMYFUNCTION("""COMPUTED_VALUE"""),"US_153 POLICLINICA E MATERNIDADE ARNALDO MARQUES")</f>
        <v>US_153 POLICLINICA E MATERNIDADE ARNALDO MARQUES</v>
      </c>
      <c r="H2723" s="11"/>
      <c r="I2723" s="11"/>
      <c r="J2723" s="11"/>
      <c r="K2723" s="11"/>
      <c r="L2723" s="11"/>
      <c r="M2723" s="11"/>
      <c r="N2723" s="30" t="str">
        <f>IFERROR(__xludf.DUMMYFUNCTION("""COMPUTED_VALUE"""),"adla.asfora.eldeir@gmail.com                           ")</f>
        <v>adla.asfora.eldeir@gmail.com                           </v>
      </c>
      <c r="O2723" s="11">
        <f>IFERROR(__xludf.DUMMYFUNCTION("""COMPUTED_VALUE"""),48911119415)</f>
        <v>48911119415</v>
      </c>
      <c r="P2723" s="11"/>
      <c r="Q2723" s="11"/>
      <c r="R2723" s="11"/>
      <c r="S2723" s="11"/>
      <c r="T2723" s="11"/>
      <c r="U2723" s="11"/>
      <c r="V2723" s="11"/>
      <c r="W2723" s="11"/>
      <c r="X2723" s="11"/>
      <c r="Y2723" s="11"/>
      <c r="Z2723" s="11"/>
    </row>
    <row r="2724" customHeight="1" spans="1:26">
      <c r="A2724" s="11" t="str">
        <f>IFERROR(__xludf.DUMMYFUNCTION("""COMPUTED_VALUE"""),"DALVA LUCIA DE A MAGALHAES")</f>
        <v>DALVA LUCIA DE A MAGALHAES</v>
      </c>
      <c r="B2724" s="11"/>
      <c r="C2724" s="11"/>
      <c r="D2724" s="11" t="str">
        <f>IFERROR(__xludf.DUMMYFUNCTION("""COMPUTED_VALUE"""),"NEONATOLOGIA")</f>
        <v>NEONATOLOGIA</v>
      </c>
      <c r="E2724" s="11"/>
      <c r="F2724" s="11" t="str">
        <f>IFERROR(__xludf.DUMMYFUNCTION("""COMPUTED_VALUE"""),"US_167 POLICLINICA E MATERNIDADE PROFESSOR BARROS LIMA")</f>
        <v>US_167 POLICLINICA E MATERNIDADE PROFESSOR BARROS LIMA</v>
      </c>
      <c r="G2724" s="11" t="str">
        <f>IFERROR(__xludf.DUMMYFUNCTION("""COMPUTED_VALUE"""),"US_167 POLICLINICA E MATERNIDADE PROFESSOR BARROS LIMA")</f>
        <v>US_167 POLICLINICA E MATERNIDADE PROFESSOR BARROS LIMA</v>
      </c>
      <c r="H2724" s="11"/>
      <c r="I2724" s="11"/>
      <c r="J2724" s="11"/>
      <c r="K2724" s="11"/>
      <c r="L2724" s="11"/>
      <c r="M2724" s="11"/>
      <c r="N2724" s="30" t="str">
        <f>IFERROR(__xludf.DUMMYFUNCTION("""COMPUTED_VALUE"""),"dalvalamagalhaes@gmail.com")</f>
        <v>dalvalamagalhaes@gmail.com</v>
      </c>
      <c r="O2724" s="11">
        <f>IFERROR(__xludf.DUMMYFUNCTION("""COMPUTED_VALUE"""),35418362453)</f>
        <v>35418362453</v>
      </c>
      <c r="P2724" s="11"/>
      <c r="Q2724" s="11"/>
      <c r="R2724" s="11"/>
      <c r="S2724" s="11"/>
      <c r="T2724" s="11"/>
      <c r="U2724" s="11"/>
      <c r="V2724" s="11"/>
      <c r="W2724" s="11"/>
      <c r="X2724" s="11"/>
      <c r="Y2724" s="11"/>
      <c r="Z2724" s="11"/>
    </row>
    <row r="2725" customHeight="1" spans="1:26">
      <c r="A2725" s="11" t="str">
        <f>IFERROR(__xludf.DUMMYFUNCTION("""COMPUTED_VALUE"""),"FRANCELI BRAGA MACIEL DA SILVA")</f>
        <v>FRANCELI BRAGA MACIEL DA SILVA</v>
      </c>
      <c r="B2725" s="11"/>
      <c r="C2725" s="11"/>
      <c r="D2725" s="11" t="str">
        <f>IFERROR(__xludf.DUMMYFUNCTION("""COMPUTED_VALUE"""),"PEDIATRIA")</f>
        <v>PEDIATRIA</v>
      </c>
      <c r="E2725" s="11"/>
      <c r="F2725" s="11" t="str">
        <f>IFERROR(__xludf.DUMMYFUNCTION("""COMPUTED_VALUE"""),"US_167 POLICLINICA E MATERNIDADE PROFESSOR BARROS LIMA")</f>
        <v>US_167 POLICLINICA E MATERNIDADE PROFESSOR BARROS LIMA</v>
      </c>
      <c r="G2725" s="11" t="str">
        <f>IFERROR(__xludf.DUMMYFUNCTION("""COMPUTED_VALUE"""),"US_167 POLICLINICA E MATERNIDADE PROFESSOR BARROS LIMA")</f>
        <v>US_167 POLICLINICA E MATERNIDADE PROFESSOR BARROS LIMA</v>
      </c>
      <c r="H2725" s="11"/>
      <c r="I2725" s="11"/>
      <c r="J2725" s="11"/>
      <c r="K2725" s="11"/>
      <c r="L2725" s="11"/>
      <c r="M2725" s="11"/>
      <c r="N2725" s="30" t="str">
        <f>IFERROR(__xludf.DUMMYFUNCTION("""COMPUTED_VALUE"""),"francemaciel@hotmail.com")</f>
        <v>francemaciel@hotmail.com</v>
      </c>
      <c r="O2725" s="11">
        <f>IFERROR(__xludf.DUMMYFUNCTION("""COMPUTED_VALUE"""),74289497420)</f>
        <v>74289497420</v>
      </c>
      <c r="P2725" s="11"/>
      <c r="Q2725" s="11"/>
      <c r="R2725" s="11"/>
      <c r="S2725" s="11"/>
      <c r="T2725" s="11"/>
      <c r="U2725" s="11"/>
      <c r="V2725" s="11"/>
      <c r="W2725" s="11"/>
      <c r="X2725" s="11"/>
      <c r="Y2725" s="11"/>
      <c r="Z2725" s="11"/>
    </row>
    <row r="2726" customHeight="1" spans="1:26">
      <c r="A2726" s="11" t="str">
        <f>IFERROR(__xludf.DUMMYFUNCTION("""COMPUTED_VALUE"""),"ANDREA CARLA BEZERRA C SANTOS")</f>
        <v>ANDREA CARLA BEZERRA C SANTOS</v>
      </c>
      <c r="B2726" s="11"/>
      <c r="C2726" s="11"/>
      <c r="D2726" s="11" t="str">
        <f>IFERROR(__xludf.DUMMYFUNCTION("""COMPUTED_VALUE"""),"NEONATOLOGIA")</f>
        <v>NEONATOLOGIA</v>
      </c>
      <c r="E2726" s="11"/>
      <c r="F2726" s="11" t="str">
        <f>IFERROR(__xludf.DUMMYFUNCTION("""COMPUTED_VALUE"""),"US_153 POLICLINICA E MATERNIDADE ARNALDO MARQUES")</f>
        <v>US_153 POLICLINICA E MATERNIDADE ARNALDO MARQUES</v>
      </c>
      <c r="G2726" s="11" t="str">
        <f>IFERROR(__xludf.DUMMYFUNCTION("""COMPUTED_VALUE"""),"US_153 POLICLINICA E MATERNIDADE ARNALDO MARQUES")</f>
        <v>US_153 POLICLINICA E MATERNIDADE ARNALDO MARQUES</v>
      </c>
      <c r="H2726" s="11"/>
      <c r="I2726" s="11"/>
      <c r="J2726" s="11"/>
      <c r="K2726" s="11"/>
      <c r="L2726" s="11"/>
      <c r="M2726" s="11"/>
      <c r="N2726" s="30" t="str">
        <f>IFERROR(__xludf.DUMMYFUNCTION("""COMPUTED_VALUE"""),"andreacbcs@gmail.com")</f>
        <v>andreacbcs@gmail.com</v>
      </c>
      <c r="O2726" s="11">
        <f>IFERROR(__xludf.DUMMYFUNCTION("""COMPUTED_VALUE"""),77175913400)</f>
        <v>77175913400</v>
      </c>
      <c r="P2726" s="11"/>
      <c r="Q2726" s="11"/>
      <c r="R2726" s="11"/>
      <c r="S2726" s="11"/>
      <c r="T2726" s="11"/>
      <c r="U2726" s="11"/>
      <c r="V2726" s="11"/>
      <c r="W2726" s="11"/>
      <c r="X2726" s="11"/>
      <c r="Y2726" s="11"/>
      <c r="Z2726" s="11"/>
    </row>
    <row r="2727" customHeight="1" spans="1:26">
      <c r="A2727" s="11" t="str">
        <f>IFERROR(__xludf.DUMMYFUNCTION("""COMPUTED_VALUE"""),"ROSALIA  SOARES DE OLIVEIRA")</f>
        <v>ROSALIA  SOARES DE OLIVEIRA</v>
      </c>
      <c r="B2727" s="11"/>
      <c r="C2727" s="11"/>
      <c r="D2727" s="11" t="str">
        <f>IFERROR(__xludf.DUMMYFUNCTION("""COMPUTED_VALUE"""),"NEONATOLOGIA")</f>
        <v>NEONATOLOGIA</v>
      </c>
      <c r="E2727" s="11"/>
      <c r="F2727" s="11" t="str">
        <f>IFERROR(__xludf.DUMMYFUNCTION("""COMPUTED_VALUE"""),"US_165 MATERNIDADE BANDEIRA FILHO")</f>
        <v>US_165 MATERNIDADE BANDEIRA FILHO</v>
      </c>
      <c r="G2727" s="11" t="str">
        <f>IFERROR(__xludf.DUMMYFUNCTION("""COMPUTED_VALUE"""),"US_165 MATERNIDADE BANDEIRA FILHO")</f>
        <v>US_165 MATERNIDADE BANDEIRA FILHO</v>
      </c>
      <c r="H2727" s="11"/>
      <c r="I2727" s="11"/>
      <c r="J2727" s="11"/>
      <c r="K2727" s="11"/>
      <c r="L2727" s="11"/>
      <c r="M2727" s="11"/>
      <c r="N2727" s="30" t="str">
        <f>IFERROR(__xludf.DUMMYFUNCTION("""COMPUTED_VALUE"""),"soares.rosalia@gmail.com")</f>
        <v>soares.rosalia@gmail.com</v>
      </c>
      <c r="O2727" s="11">
        <f>IFERROR(__xludf.DUMMYFUNCTION("""COMPUTED_VALUE"""),32674082453)</f>
        <v>32674082453</v>
      </c>
      <c r="P2727" s="11"/>
      <c r="Q2727" s="11"/>
      <c r="R2727" s="11"/>
      <c r="S2727" s="11"/>
      <c r="T2727" s="11"/>
      <c r="U2727" s="11"/>
      <c r="V2727" s="11"/>
      <c r="W2727" s="11"/>
      <c r="X2727" s="11"/>
      <c r="Y2727" s="11"/>
      <c r="Z2727" s="11"/>
    </row>
    <row r="2728" customHeight="1" spans="1:26">
      <c r="A2728" s="11" t="str">
        <f>IFERROR(__xludf.DUMMYFUNCTION("""COMPUTED_VALUE"""),"JOSE VICTOR SOSA MANRIQUE")</f>
        <v>JOSE VICTOR SOSA MANRIQUE</v>
      </c>
      <c r="B2728" s="11"/>
      <c r="C2728" s="11"/>
      <c r="D2728" s="11" t="str">
        <f>IFERROR(__xludf.DUMMYFUNCTION("""COMPUTED_VALUE"""),"PEDIATRIA")</f>
        <v>PEDIATRIA</v>
      </c>
      <c r="E2728" s="11"/>
      <c r="F2728" s="11" t="str">
        <f>IFERROR(__xludf.DUMMYFUNCTION("""COMPUTED_VALUE"""),"US_165 MATERNIDADE BANDEIRA FILHO")</f>
        <v>US_165 MATERNIDADE BANDEIRA FILHO</v>
      </c>
      <c r="G2728" s="11" t="str">
        <f>IFERROR(__xludf.DUMMYFUNCTION("""COMPUTED_VALUE"""),"US_165 MATERNIDADE BANDEIRA FILHO")</f>
        <v>US_165 MATERNIDADE BANDEIRA FILHO</v>
      </c>
      <c r="H2728" s="11"/>
      <c r="I2728" s="11"/>
      <c r="J2728" s="11"/>
      <c r="K2728" s="11"/>
      <c r="L2728" s="11"/>
      <c r="M2728" s="11"/>
      <c r="N2728" s="30" t="str">
        <f>IFERROR(__xludf.DUMMYFUNCTION("""COMPUTED_VALUE"""),"victor.2117@hotmail.com")</f>
        <v>victor.2117@hotmail.com</v>
      </c>
      <c r="O2728" s="11">
        <f>IFERROR(__xludf.DUMMYFUNCTION("""COMPUTED_VALUE"""),80993699049)</f>
        <v>80993699049</v>
      </c>
      <c r="P2728" s="11"/>
      <c r="Q2728" s="11"/>
      <c r="R2728" s="11"/>
      <c r="S2728" s="11"/>
      <c r="T2728" s="11"/>
      <c r="U2728" s="11"/>
      <c r="V2728" s="11"/>
      <c r="W2728" s="11"/>
      <c r="X2728" s="11"/>
      <c r="Y2728" s="11"/>
      <c r="Z2728" s="11"/>
    </row>
    <row r="2729" customHeight="1" spans="1:26">
      <c r="A2729" s="11" t="str">
        <f>IFERROR(__xludf.DUMMYFUNCTION("""COMPUTED_VALUE"""),"THERESA CHRISTINA P PADILHA")</f>
        <v>THERESA CHRISTINA P PADILHA</v>
      </c>
      <c r="B2729" s="11"/>
      <c r="C2729" s="11"/>
      <c r="D2729" s="11" t="str">
        <f>IFERROR(__xludf.DUMMYFUNCTION("""COMPUTED_VALUE"""),"NEONATOLOGIA")</f>
        <v>NEONATOLOGIA</v>
      </c>
      <c r="E2729" s="11"/>
      <c r="F2729" s="11" t="str">
        <f>IFERROR(__xludf.DUMMYFUNCTION("""COMPUTED_VALUE"""),"US_163 HOSPITAL DE PEDIATRIA HELENA MOURA")</f>
        <v>US_163 HOSPITAL DE PEDIATRIA HELENA MOURA</v>
      </c>
      <c r="G2729" s="11" t="str">
        <f>IFERROR(__xludf.DUMMYFUNCTION("""COMPUTED_VALUE"""),"US_163 HOSPITAL DE PEDIATRIA HELENA MOURA")</f>
        <v>US_163 HOSPITAL DE PEDIATRIA HELENA MOURA</v>
      </c>
      <c r="H2729" s="11"/>
      <c r="I2729" s="11"/>
      <c r="J2729" s="11"/>
      <c r="K2729" s="11"/>
      <c r="L2729" s="11"/>
      <c r="M2729" s="11"/>
      <c r="N2729" s="30" t="str">
        <f>IFERROR(__xludf.DUMMYFUNCTION("""COMPUTED_VALUE"""),"theresapadilha@gmail.com")</f>
        <v>theresapadilha@gmail.com</v>
      </c>
      <c r="O2729" s="11">
        <f>IFERROR(__xludf.DUMMYFUNCTION("""COMPUTED_VALUE"""),46534040468)</f>
        <v>46534040468</v>
      </c>
      <c r="P2729" s="11"/>
      <c r="Q2729" s="11"/>
      <c r="R2729" s="11"/>
      <c r="S2729" s="11"/>
      <c r="T2729" s="11"/>
      <c r="U2729" s="11"/>
      <c r="V2729" s="11"/>
      <c r="W2729" s="11"/>
      <c r="X2729" s="11"/>
      <c r="Y2729" s="11"/>
      <c r="Z2729" s="11"/>
    </row>
    <row r="2730" customHeight="1" spans="1:26">
      <c r="A2730" s="11" t="str">
        <f>IFERROR(__xludf.DUMMYFUNCTION("""COMPUTED_VALUE"""),"MILENA CINTRA M. MEGULHAO")</f>
        <v>MILENA CINTRA M. MEGULHAO</v>
      </c>
      <c r="B2730" s="11"/>
      <c r="C2730" s="11"/>
      <c r="D2730" s="11" t="str">
        <f>IFERROR(__xludf.DUMMYFUNCTION("""COMPUTED_VALUE"""),"NEONATOLOGIA")</f>
        <v>NEONATOLOGIA</v>
      </c>
      <c r="E2730" s="11"/>
      <c r="F2730" s="11" t="str">
        <f>IFERROR(__xludf.DUMMYFUNCTION("""COMPUTED_VALUE"""),"US_165 MATERNIDADE BANDEIRA FILHO")</f>
        <v>US_165 MATERNIDADE BANDEIRA FILHO</v>
      </c>
      <c r="G2730" s="11" t="str">
        <f>IFERROR(__xludf.DUMMYFUNCTION("""COMPUTED_VALUE"""),"US_165 MATERNIDADE BANDEIRA FILHO")</f>
        <v>US_165 MATERNIDADE BANDEIRA FILHO</v>
      </c>
      <c r="H2730" s="11"/>
      <c r="I2730" s="11"/>
      <c r="J2730" s="11"/>
      <c r="K2730" s="11"/>
      <c r="L2730" s="11"/>
      <c r="M2730" s="11"/>
      <c r="N2730" s="30" t="str">
        <f>IFERROR(__xludf.DUMMYFUNCTION("""COMPUTED_VALUE"""),"milenamergulhao@hotmail.com                            ")</f>
        <v>milenamergulhao@hotmail.com                            </v>
      </c>
      <c r="O2730" s="11">
        <f>IFERROR(__xludf.DUMMYFUNCTION("""COMPUTED_VALUE"""),89699041404)</f>
        <v>89699041404</v>
      </c>
      <c r="P2730" s="11"/>
      <c r="Q2730" s="11"/>
      <c r="R2730" s="11"/>
      <c r="S2730" s="11"/>
      <c r="T2730" s="11"/>
      <c r="U2730" s="11"/>
      <c r="V2730" s="11"/>
      <c r="W2730" s="11"/>
      <c r="X2730" s="11"/>
      <c r="Y2730" s="11"/>
      <c r="Z2730" s="11"/>
    </row>
    <row r="2731" customHeight="1" spans="1:26">
      <c r="A2731" s="11" t="str">
        <f>IFERROR(__xludf.DUMMYFUNCTION("""COMPUTED_VALUE"""),"MARCIA KALIL ROCHA")</f>
        <v>MARCIA KALIL ROCHA</v>
      </c>
      <c r="B2731" s="11"/>
      <c r="C2731" s="11"/>
      <c r="D2731" s="11" t="str">
        <f>IFERROR(__xludf.DUMMYFUNCTION("""COMPUTED_VALUE"""),"NEONATOLOGIA")</f>
        <v>NEONATOLOGIA</v>
      </c>
      <c r="E2731" s="11"/>
      <c r="F2731" s="11" t="str">
        <f>IFERROR(__xludf.DUMMYFUNCTION("""COMPUTED_VALUE"""),"US_165 MATERNIDADE BANDEIRA FILHO")</f>
        <v>US_165 MATERNIDADE BANDEIRA FILHO</v>
      </c>
      <c r="G2731" s="11" t="str">
        <f>IFERROR(__xludf.DUMMYFUNCTION("""COMPUTED_VALUE"""),"US_165 MATERNIDADE BANDEIRA FILHO")</f>
        <v>US_165 MATERNIDADE BANDEIRA FILHO</v>
      </c>
      <c r="H2731" s="11"/>
      <c r="I2731" s="11"/>
      <c r="J2731" s="11"/>
      <c r="K2731" s="11"/>
      <c r="L2731" s="11"/>
      <c r="M2731" s="11"/>
      <c r="N2731" s="30" t="str">
        <f>IFERROR(__xludf.DUMMYFUNCTION("""COMPUTED_VALUE"""),"marciakalilr@gmail.com")</f>
        <v>marciakalilr@gmail.com</v>
      </c>
      <c r="O2731" s="11">
        <f>IFERROR(__xludf.DUMMYFUNCTION("""COMPUTED_VALUE"""),40818020415)</f>
        <v>40818020415</v>
      </c>
      <c r="P2731" s="11"/>
      <c r="Q2731" s="11"/>
      <c r="R2731" s="11"/>
      <c r="S2731" s="11"/>
      <c r="T2731" s="11"/>
      <c r="U2731" s="11"/>
      <c r="V2731" s="11"/>
      <c r="W2731" s="11"/>
      <c r="X2731" s="11"/>
      <c r="Y2731" s="11"/>
      <c r="Z2731" s="11"/>
    </row>
    <row r="2732" customHeight="1" spans="1:26">
      <c r="A2732" s="11" t="str">
        <f>IFERROR(__xludf.DUMMYFUNCTION("""COMPUTED_VALUE"""),"PATRICIA DE F A DE A NUNES")</f>
        <v>PATRICIA DE F A DE A NUNES</v>
      </c>
      <c r="B2732" s="11"/>
      <c r="C2732" s="11"/>
      <c r="D2732" s="11" t="str">
        <f>IFERROR(__xludf.DUMMYFUNCTION("""COMPUTED_VALUE"""),"GINECOLOGIA E OBSTETRICIA")</f>
        <v>GINECOLOGIA E OBSTETRICIA</v>
      </c>
      <c r="E2732" s="11"/>
      <c r="F2732" s="11" t="str">
        <f>IFERROR(__xludf.DUMMYFUNCTION("""COMPUTED_VALUE"""),"US_153 POLICLINICA E MATERNIDADE ARNALDO MARQUES")</f>
        <v>US_153 POLICLINICA E MATERNIDADE ARNALDO MARQUES</v>
      </c>
      <c r="G2732" s="11" t="str">
        <f>IFERROR(__xludf.DUMMYFUNCTION("""COMPUTED_VALUE"""),"US_153 POLICLINICA E MATERNIDADE ARNALDO MARQUES")</f>
        <v>US_153 POLICLINICA E MATERNIDADE ARNALDO MARQUES</v>
      </c>
      <c r="H2732" s="11"/>
      <c r="I2732" s="11"/>
      <c r="J2732" s="11"/>
      <c r="K2732" s="11"/>
      <c r="L2732" s="11"/>
      <c r="M2732" s="11"/>
      <c r="N2732" s="30" t="str">
        <f>IFERROR(__xludf.DUMMYFUNCTION("""COMPUTED_VALUE"""),"patricianunes0401@gmail.com                            ")</f>
        <v>patricianunes0401@gmail.com                            </v>
      </c>
      <c r="O2732" s="11">
        <f>IFERROR(__xludf.DUMMYFUNCTION("""COMPUTED_VALUE"""),2407615450)</f>
        <v>2407615450</v>
      </c>
      <c r="P2732" s="11"/>
      <c r="Q2732" s="11"/>
      <c r="R2732" s="11"/>
      <c r="S2732" s="11"/>
      <c r="T2732" s="11"/>
      <c r="U2732" s="11"/>
      <c r="V2732" s="11"/>
      <c r="W2732" s="11"/>
      <c r="X2732" s="11"/>
      <c r="Y2732" s="11"/>
      <c r="Z2732" s="11"/>
    </row>
    <row r="2733" customHeight="1" spans="1:26">
      <c r="A2733" s="11" t="str">
        <f>IFERROR(__xludf.DUMMYFUNCTION("""COMPUTED_VALUE"""),"AUREA MARIA TAVARES DA HORA")</f>
        <v>AUREA MARIA TAVARES DA HORA</v>
      </c>
      <c r="B2733" s="11"/>
      <c r="C2733" s="11"/>
      <c r="D2733" s="11" t="str">
        <f>IFERROR(__xludf.DUMMYFUNCTION("""COMPUTED_VALUE"""),"GINECOLOGIA E OBSTETRICIA")</f>
        <v>GINECOLOGIA E OBSTETRICIA</v>
      </c>
      <c r="E2733" s="11"/>
      <c r="F2733" s="11" t="str">
        <f>IFERROR(__xludf.DUMMYFUNCTION("""COMPUTED_VALUE"""),"US_153 POLICLINICA E MATERNIDADE ARNALDO MARQUES")</f>
        <v>US_153 POLICLINICA E MATERNIDADE ARNALDO MARQUES</v>
      </c>
      <c r="G2733" s="11" t="str">
        <f>IFERROR(__xludf.DUMMYFUNCTION("""COMPUTED_VALUE"""),"US_153 POLICLINICA E MATERNIDADE ARNALDO MARQUES")</f>
        <v>US_153 POLICLINICA E MATERNIDADE ARNALDO MARQUES</v>
      </c>
      <c r="H2733" s="11"/>
      <c r="I2733" s="11"/>
      <c r="J2733" s="11"/>
      <c r="K2733" s="11"/>
      <c r="L2733" s="11"/>
      <c r="M2733" s="11"/>
      <c r="N2733" s="30" t="str">
        <f>IFERROR(__xludf.DUMMYFUNCTION("""COMPUTED_VALUE"""),"aureathora@yahoo.com.br                                ")</f>
        <v>aureathora@yahoo.com.br                                </v>
      </c>
      <c r="O2733" s="11">
        <f>IFERROR(__xludf.DUMMYFUNCTION("""COMPUTED_VALUE"""),66746043568)</f>
        <v>66746043568</v>
      </c>
      <c r="P2733" s="11"/>
      <c r="Q2733" s="11"/>
      <c r="R2733" s="11"/>
      <c r="S2733" s="11"/>
      <c r="T2733" s="11"/>
      <c r="U2733" s="11"/>
      <c r="V2733" s="11"/>
      <c r="W2733" s="11"/>
      <c r="X2733" s="11"/>
      <c r="Y2733" s="11"/>
      <c r="Z2733" s="11"/>
    </row>
    <row r="2734" customHeight="1" spans="1:26">
      <c r="A2734" s="11" t="str">
        <f>IFERROR(__xludf.DUMMYFUNCTION("""COMPUTED_VALUE"""),"JEMERSON DA SILVA ROCHA")</f>
        <v>JEMERSON DA SILVA ROCHA</v>
      </c>
      <c r="B2734" s="11"/>
      <c r="C2734" s="11"/>
      <c r="D2734" s="11" t="str">
        <f>IFERROR(__xludf.DUMMYFUNCTION("""COMPUTED_VALUE"""),"ANESTESIOLOGIA")</f>
        <v>ANESTESIOLOGIA</v>
      </c>
      <c r="E2734" s="11"/>
      <c r="F2734" s="11" t="str">
        <f>IFERROR(__xludf.DUMMYFUNCTION("""COMPUTED_VALUE"""),"US_167 POLICLINICA E MATERNIDADE PROFESSOR BARROS LIMA")</f>
        <v>US_167 POLICLINICA E MATERNIDADE PROFESSOR BARROS LIMA</v>
      </c>
      <c r="G2734" s="11" t="str">
        <f>IFERROR(__xludf.DUMMYFUNCTION("""COMPUTED_VALUE"""),"US_167 POLICLINICA E MATERNIDADE PROFESSOR BARROS LIMA")</f>
        <v>US_167 POLICLINICA E MATERNIDADE PROFESSOR BARROS LIMA</v>
      </c>
      <c r="H2734" s="11"/>
      <c r="I2734" s="11"/>
      <c r="J2734" s="11"/>
      <c r="K2734" s="11"/>
      <c r="L2734" s="11"/>
      <c r="M2734" s="11"/>
      <c r="N2734" s="30" t="str">
        <f>IFERROR(__xludf.DUMMYFUNCTION("""COMPUTED_VALUE"""),"jemersonr@ibest.com.br")</f>
        <v>jemersonr@ibest.com.br</v>
      </c>
      <c r="O2734" s="11">
        <f>IFERROR(__xludf.DUMMYFUNCTION("""COMPUTED_VALUE"""),77972228434)</f>
        <v>77972228434</v>
      </c>
      <c r="P2734" s="11"/>
      <c r="Q2734" s="11"/>
      <c r="R2734" s="11"/>
      <c r="S2734" s="11"/>
      <c r="T2734" s="11"/>
      <c r="U2734" s="11"/>
      <c r="V2734" s="11"/>
      <c r="W2734" s="11"/>
      <c r="X2734" s="11"/>
      <c r="Y2734" s="11"/>
      <c r="Z2734" s="11"/>
    </row>
    <row r="2735" customHeight="1" spans="1:26">
      <c r="A2735" s="11" t="str">
        <f>IFERROR(__xludf.DUMMYFUNCTION("""COMPUTED_VALUE"""),"ZORAIMA MARIA JULIAO A S ROCHA")</f>
        <v>ZORAIMA MARIA JULIAO A S ROCHA</v>
      </c>
      <c r="B2735" s="11"/>
      <c r="C2735" s="11"/>
      <c r="D2735" s="11" t="str">
        <f>IFERROR(__xludf.DUMMYFUNCTION("""COMPUTED_VALUE"""),"NEONATOLOGIA")</f>
        <v>NEONATOLOGIA</v>
      </c>
      <c r="E2735" s="11"/>
      <c r="F2735" s="11" t="str">
        <f>IFERROR(__xludf.DUMMYFUNCTION("""COMPUTED_VALUE"""),"US_167 POLICLINICA E MATERNIDADE PROFESSOR BARROS LIMA")</f>
        <v>US_167 POLICLINICA E MATERNIDADE PROFESSOR BARROS LIMA</v>
      </c>
      <c r="G2735" s="11" t="str">
        <f>IFERROR(__xludf.DUMMYFUNCTION("""COMPUTED_VALUE"""),"US_167 POLICLINICA E MATERNIDADE PROFESSOR BARROS LIMA")</f>
        <v>US_167 POLICLINICA E MATERNIDADE PROFESSOR BARROS LIMA</v>
      </c>
      <c r="H2735" s="11"/>
      <c r="I2735" s="11"/>
      <c r="J2735" s="11"/>
      <c r="K2735" s="11"/>
      <c r="L2735" s="11"/>
      <c r="M2735" s="11"/>
      <c r="N2735" s="30" t="str">
        <f>IFERROR(__xludf.DUMMYFUNCTION("""COMPUTED_VALUE"""),"zoraima.rocha@globo.com                                ")</f>
        <v>zoraima.rocha@globo.com                                </v>
      </c>
      <c r="O2735" s="11">
        <f>IFERROR(__xludf.DUMMYFUNCTION("""COMPUTED_VALUE"""),50103571434)</f>
        <v>50103571434</v>
      </c>
      <c r="P2735" s="11"/>
      <c r="Q2735" s="11"/>
      <c r="R2735" s="11"/>
      <c r="S2735" s="11"/>
      <c r="T2735" s="11"/>
      <c r="U2735" s="11"/>
      <c r="V2735" s="11"/>
      <c r="W2735" s="11"/>
      <c r="X2735" s="11"/>
      <c r="Y2735" s="11"/>
      <c r="Z2735" s="11"/>
    </row>
    <row r="2736" customHeight="1" spans="1:26">
      <c r="A2736" s="11" t="str">
        <f>IFERROR(__xludf.DUMMYFUNCTION("""COMPUTED_VALUE"""),"SUELLENE K DE M M MABESOONE")</f>
        <v>SUELLENE K DE M M MABESOONE</v>
      </c>
      <c r="B2736" s="11"/>
      <c r="C2736" s="11"/>
      <c r="D2736" s="11" t="str">
        <f>IFERROR(__xludf.DUMMYFUNCTION("""COMPUTED_VALUE"""),"GINECOLOGIA E OBSTETRICIA")</f>
        <v>GINECOLOGIA E OBSTETRICIA</v>
      </c>
      <c r="E2736" s="11"/>
      <c r="F2736" s="11" t="str">
        <f>IFERROR(__xludf.DUMMYFUNCTION("""COMPUTED_VALUE"""),"US_167 POLICLINICA E MATERNIDADE PROFESSOR BARROS LIMA")</f>
        <v>US_167 POLICLINICA E MATERNIDADE PROFESSOR BARROS LIMA</v>
      </c>
      <c r="G2736" s="11" t="str">
        <f>IFERROR(__xludf.DUMMYFUNCTION("""COMPUTED_VALUE"""),"US_167 POLICLINICA E MATERNIDADE PROFESSOR BARROS LIMA")</f>
        <v>US_167 POLICLINICA E MATERNIDADE PROFESSOR BARROS LIMA</v>
      </c>
      <c r="H2736" s="11"/>
      <c r="I2736" s="11"/>
      <c r="J2736" s="11"/>
      <c r="K2736" s="11"/>
      <c r="L2736" s="11"/>
      <c r="M2736" s="11"/>
      <c r="N2736" s="30" t="str">
        <f>IFERROR(__xludf.DUMMYFUNCTION("""COMPUTED_VALUE"""),"keyllamabesoone@uol.com.br                             ")</f>
        <v>keyllamabesoone@uol.com.br                             </v>
      </c>
      <c r="O2736" s="11">
        <f>IFERROR(__xludf.DUMMYFUNCTION("""COMPUTED_VALUE"""),91949700410)</f>
        <v>91949700410</v>
      </c>
      <c r="P2736" s="11"/>
      <c r="Q2736" s="11"/>
      <c r="R2736" s="11"/>
      <c r="S2736" s="11"/>
      <c r="T2736" s="11"/>
      <c r="U2736" s="11"/>
      <c r="V2736" s="11"/>
      <c r="W2736" s="11"/>
      <c r="X2736" s="11"/>
      <c r="Y2736" s="11"/>
      <c r="Z2736" s="11"/>
    </row>
    <row r="2737" customHeight="1" spans="1:26">
      <c r="A2737" s="11" t="str">
        <f>IFERROR(__xludf.DUMMYFUNCTION("""COMPUTED_VALUE"""),"FRANCISCA CARMEN T CABRAL")</f>
        <v>FRANCISCA CARMEN T CABRAL</v>
      </c>
      <c r="B2737" s="11"/>
      <c r="C2737" s="11"/>
      <c r="D2737" s="11" t="str">
        <f>IFERROR(__xludf.DUMMYFUNCTION("""COMPUTED_VALUE"""),"GINECOLOGIA E OBSTETRICIA")</f>
        <v>GINECOLOGIA E OBSTETRICIA</v>
      </c>
      <c r="E2737" s="11"/>
      <c r="F2737" s="11" t="str">
        <f>IFERROR(__xludf.DUMMYFUNCTION("""COMPUTED_VALUE"""),"US_165 MATERNIDADE BANDEIRA FILHO")</f>
        <v>US_165 MATERNIDADE BANDEIRA FILHO</v>
      </c>
      <c r="G2737" s="11" t="str">
        <f>IFERROR(__xludf.DUMMYFUNCTION("""COMPUTED_VALUE"""),"US_165 MATERNIDADE BANDEIRA FILHO")</f>
        <v>US_165 MATERNIDADE BANDEIRA FILHO</v>
      </c>
      <c r="H2737" s="11"/>
      <c r="I2737" s="11"/>
      <c r="J2737" s="11"/>
      <c r="K2737" s="11"/>
      <c r="L2737" s="11"/>
      <c r="M2737" s="11"/>
      <c r="N2737" s="30" t="str">
        <f>IFERROR(__xludf.DUMMYFUNCTION("""COMPUTED_VALUE"""),"fcarmentcabral@hotmail.com")</f>
        <v>fcarmentcabral@hotmail.com</v>
      </c>
      <c r="O2737" s="11">
        <f>IFERROR(__xludf.DUMMYFUNCTION("""COMPUTED_VALUE"""),69585237415)</f>
        <v>69585237415</v>
      </c>
      <c r="P2737" s="11"/>
      <c r="Q2737" s="11"/>
      <c r="R2737" s="11"/>
      <c r="S2737" s="11"/>
      <c r="T2737" s="11"/>
      <c r="U2737" s="11"/>
      <c r="V2737" s="11"/>
      <c r="W2737" s="11"/>
      <c r="X2737" s="11"/>
      <c r="Y2737" s="11"/>
      <c r="Z2737" s="11"/>
    </row>
    <row r="2738" customHeight="1" spans="1:26">
      <c r="A2738" s="11" t="str">
        <f>IFERROR(__xludf.DUMMYFUNCTION("""COMPUTED_VALUE"""),"VLADIMIR CURVELO TAVARES DE SA")</f>
        <v>VLADIMIR CURVELO TAVARES DE SA</v>
      </c>
      <c r="B2738" s="11"/>
      <c r="C2738" s="11"/>
      <c r="D2738" s="11" t="str">
        <f>IFERROR(__xludf.DUMMYFUNCTION("""COMPUTED_VALUE"""),"CIRURGIA GERAL")</f>
        <v>CIRURGIA GERAL</v>
      </c>
      <c r="E2738" s="11"/>
      <c r="F2738" s="11" t="str">
        <f>IFERROR(__xludf.DUMMYFUNCTION("""COMPUTED_VALUE"""),"US_153 POLICLINICA E MATERNIDADE ARNALDO MARQUES")</f>
        <v>US_153 POLICLINICA E MATERNIDADE ARNALDO MARQUES</v>
      </c>
      <c r="G2738" s="11" t="str">
        <f>IFERROR(__xludf.DUMMYFUNCTION("""COMPUTED_VALUE"""),"US_153 POLICLINICA E MATERNIDADE ARNALDO MARQUES")</f>
        <v>US_153 POLICLINICA E MATERNIDADE ARNALDO MARQUES</v>
      </c>
      <c r="H2738" s="11"/>
      <c r="I2738" s="11"/>
      <c r="J2738" s="11"/>
      <c r="K2738" s="11"/>
      <c r="L2738" s="11"/>
      <c r="M2738" s="11"/>
      <c r="N2738" s="30" t="str">
        <f>IFERROR(__xludf.DUMMYFUNCTION("""COMPUTED_VALUE"""),"VCTDESA@YAHOO.COM.BR")</f>
        <v>VCTDESA@YAHOO.COM.BR</v>
      </c>
      <c r="O2738" s="11">
        <f>IFERROR(__xludf.DUMMYFUNCTION("""COMPUTED_VALUE"""),90182502449)</f>
        <v>90182502449</v>
      </c>
      <c r="P2738" s="11"/>
      <c r="Q2738" s="11"/>
      <c r="R2738" s="11"/>
      <c r="S2738" s="11"/>
      <c r="T2738" s="11"/>
      <c r="U2738" s="11"/>
      <c r="V2738" s="11"/>
      <c r="W2738" s="11"/>
      <c r="X2738" s="11"/>
      <c r="Y2738" s="11"/>
      <c r="Z2738" s="11"/>
    </row>
    <row r="2739" customHeight="1" spans="1:26">
      <c r="A2739" s="11" t="str">
        <f>IFERROR(__xludf.DUMMYFUNCTION("""COMPUTED_VALUE"""),"CARLOS ALBERTO SALLES LEITE")</f>
        <v>CARLOS ALBERTO SALLES LEITE</v>
      </c>
      <c r="B2739" s="11"/>
      <c r="C2739" s="11"/>
      <c r="D2739" s="11" t="str">
        <f>IFERROR(__xludf.DUMMYFUNCTION("""COMPUTED_VALUE"""),"GINECOLOGIA E OBSTETRICIA")</f>
        <v>GINECOLOGIA E OBSTETRICIA</v>
      </c>
      <c r="E2739" s="11"/>
      <c r="F2739" s="11" t="str">
        <f>IFERROR(__xludf.DUMMYFUNCTION("""COMPUTED_VALUE"""),"US_167 POLICLINICA E MATERNIDADE PROFESSOR BARROS LIMA")</f>
        <v>US_167 POLICLINICA E MATERNIDADE PROFESSOR BARROS LIMA</v>
      </c>
      <c r="G2739" s="11" t="str">
        <f>IFERROR(__xludf.DUMMYFUNCTION("""COMPUTED_VALUE"""),"US_167 POLICLINICA E MATERNIDADE PROFESSOR BARROS LIMA")</f>
        <v>US_167 POLICLINICA E MATERNIDADE PROFESSOR BARROS LIMA</v>
      </c>
      <c r="H2739" s="11"/>
      <c r="I2739" s="11"/>
      <c r="J2739" s="11"/>
      <c r="K2739" s="11"/>
      <c r="L2739" s="11"/>
      <c r="M2739" s="11"/>
      <c r="N2739" s="30" t="str">
        <f>IFERROR(__xludf.DUMMYFUNCTION("""COMPUTED_VALUE"""),"carlosasleite@uol.com.br                               ")</f>
        <v>carlosasleite@uol.com.br                               </v>
      </c>
      <c r="O2739" s="11">
        <f>IFERROR(__xludf.DUMMYFUNCTION("""COMPUTED_VALUE"""),84118008491)</f>
        <v>84118008491</v>
      </c>
      <c r="P2739" s="11"/>
      <c r="Q2739" s="11"/>
      <c r="R2739" s="11"/>
      <c r="S2739" s="11"/>
      <c r="T2739" s="11"/>
      <c r="U2739" s="11"/>
      <c r="V2739" s="11"/>
      <c r="W2739" s="11"/>
      <c r="X2739" s="11"/>
      <c r="Y2739" s="11"/>
      <c r="Z2739" s="11"/>
    </row>
    <row r="2740" customHeight="1" spans="1:26">
      <c r="A2740" s="11" t="str">
        <f>IFERROR(__xludf.DUMMYFUNCTION("""COMPUTED_VALUE"""),"ROBSON ANDRADE DA CUNHA")</f>
        <v>ROBSON ANDRADE DA CUNHA</v>
      </c>
      <c r="B2740" s="11"/>
      <c r="C2740" s="11"/>
      <c r="D2740" s="11" t="str">
        <f>IFERROR(__xludf.DUMMYFUNCTION("""COMPUTED_VALUE"""),"GINECOLOGIA E OBSTETRICIA")</f>
        <v>GINECOLOGIA E OBSTETRICIA</v>
      </c>
      <c r="E2740" s="11"/>
      <c r="F2740" s="11" t="str">
        <f>IFERROR(__xludf.DUMMYFUNCTION("""COMPUTED_VALUE"""),"US_165 MATERNIDADE BANDEIRA FILHO")</f>
        <v>US_165 MATERNIDADE BANDEIRA FILHO</v>
      </c>
      <c r="G2740" s="11" t="str">
        <f>IFERROR(__xludf.DUMMYFUNCTION("""COMPUTED_VALUE"""),"US_165 MATERNIDADE BANDEIRA FILHO")</f>
        <v>US_165 MATERNIDADE BANDEIRA FILHO</v>
      </c>
      <c r="H2740" s="11"/>
      <c r="I2740" s="11"/>
      <c r="J2740" s="11"/>
      <c r="K2740" s="11"/>
      <c r="L2740" s="11"/>
      <c r="M2740" s="11"/>
      <c r="N2740" s="30" t="str">
        <f>IFERROR(__xludf.DUMMYFUNCTION("""COMPUTED_VALUE"""),"drrobson.ac@hotmail.com")</f>
        <v>drrobson.ac@hotmail.com</v>
      </c>
      <c r="O2740" s="11">
        <f>IFERROR(__xludf.DUMMYFUNCTION("""COMPUTED_VALUE"""),2595523724)</f>
        <v>2595523724</v>
      </c>
      <c r="P2740" s="11"/>
      <c r="Q2740" s="11"/>
      <c r="R2740" s="11"/>
      <c r="S2740" s="11"/>
      <c r="T2740" s="11"/>
      <c r="U2740" s="11"/>
      <c r="V2740" s="11"/>
      <c r="W2740" s="11"/>
      <c r="X2740" s="11"/>
      <c r="Y2740" s="11"/>
      <c r="Z2740" s="11"/>
    </row>
    <row r="2741" customHeight="1" spans="1:26">
      <c r="A2741" s="11" t="str">
        <f>IFERROR(__xludf.DUMMYFUNCTION("""COMPUTED_VALUE"""),"ANA KARLA TENORIO LOPES CANUTO")</f>
        <v>ANA KARLA TENORIO LOPES CANUTO</v>
      </c>
      <c r="B2741" s="11"/>
      <c r="C2741" s="11"/>
      <c r="D2741" s="11" t="str">
        <f>IFERROR(__xludf.DUMMYFUNCTION("""COMPUTED_VALUE"""),"GINECOLOGIA E OBSTETRICIA")</f>
        <v>GINECOLOGIA E OBSTETRICIA</v>
      </c>
      <c r="E2741" s="11"/>
      <c r="F2741" s="11" t="str">
        <f>IFERROR(__xludf.DUMMYFUNCTION("""COMPUTED_VALUE"""),"US_165 MATERNIDADE BANDEIRA FILHO")</f>
        <v>US_165 MATERNIDADE BANDEIRA FILHO</v>
      </c>
      <c r="G2741" s="11" t="str">
        <f>IFERROR(__xludf.DUMMYFUNCTION("""COMPUTED_VALUE"""),"US_165 MATERNIDADE BANDEIRA FILHO")</f>
        <v>US_165 MATERNIDADE BANDEIRA FILHO</v>
      </c>
      <c r="H2741" s="11"/>
      <c r="I2741" s="11"/>
      <c r="J2741" s="11"/>
      <c r="K2741" s="11"/>
      <c r="L2741" s="11"/>
      <c r="M2741" s="11"/>
      <c r="N2741" s="30" t="str">
        <f>IFERROR(__xludf.DUMMYFUNCTION("""COMPUTED_VALUE"""),"k_canuto@hotmail.com                                   ")</f>
        <v>k_canuto@hotmail.com                                   </v>
      </c>
      <c r="O2741" s="11">
        <f>IFERROR(__xludf.DUMMYFUNCTION("""COMPUTED_VALUE"""),2258783488)</f>
        <v>2258783488</v>
      </c>
      <c r="P2741" s="11"/>
      <c r="Q2741" s="11"/>
      <c r="R2741" s="11"/>
      <c r="S2741" s="11"/>
      <c r="T2741" s="11"/>
      <c r="U2741" s="11"/>
      <c r="V2741" s="11"/>
      <c r="W2741" s="11"/>
      <c r="X2741" s="11"/>
      <c r="Y2741" s="11"/>
      <c r="Z2741" s="11"/>
    </row>
    <row r="2742" customHeight="1" spans="1:26">
      <c r="A2742" s="11" t="str">
        <f>IFERROR(__xludf.DUMMYFUNCTION("""COMPUTED_VALUE"""),"CRISTIANE B DE M C DE S CAMPOS")</f>
        <v>CRISTIANE B DE M C DE S CAMPOS</v>
      </c>
      <c r="B2742" s="11"/>
      <c r="C2742" s="11"/>
      <c r="D2742" s="11" t="str">
        <f>IFERROR(__xludf.DUMMYFUNCTION("""COMPUTED_VALUE"""),"GINECOLOGIA E OBSTETRICIA")</f>
        <v>GINECOLOGIA E OBSTETRICIA</v>
      </c>
      <c r="E2742" s="11"/>
      <c r="F2742" s="11" t="str">
        <f>IFERROR(__xludf.DUMMYFUNCTION("""COMPUTED_VALUE"""),"US_165 MATERNIDADE BANDEIRA FILHO")</f>
        <v>US_165 MATERNIDADE BANDEIRA FILHO</v>
      </c>
      <c r="G2742" s="11" t="str">
        <f>IFERROR(__xludf.DUMMYFUNCTION("""COMPUTED_VALUE"""),"US_165 MATERNIDADE BANDEIRA FILHO")</f>
        <v>US_165 MATERNIDADE BANDEIRA FILHO</v>
      </c>
      <c r="H2742" s="11"/>
      <c r="I2742" s="11"/>
      <c r="J2742" s="11"/>
      <c r="K2742" s="11"/>
      <c r="L2742" s="11"/>
      <c r="M2742" s="11"/>
      <c r="N2742" s="30" t="str">
        <f>IFERROR(__xludf.DUMMYFUNCTION("""COMPUTED_VALUE"""),"cristianebmoraiscscampos@gmail.com                     ")</f>
        <v>cristianebmoraiscscampos@gmail.com                     </v>
      </c>
      <c r="O2742" s="11">
        <f>IFERROR(__xludf.DUMMYFUNCTION("""COMPUTED_VALUE"""),77018370434)</f>
        <v>77018370434</v>
      </c>
      <c r="P2742" s="11"/>
      <c r="Q2742" s="11"/>
      <c r="R2742" s="11"/>
      <c r="S2742" s="11"/>
      <c r="T2742" s="11"/>
      <c r="U2742" s="11"/>
      <c r="V2742" s="11"/>
      <c r="W2742" s="11"/>
      <c r="X2742" s="11"/>
      <c r="Y2742" s="11"/>
      <c r="Z2742" s="11"/>
    </row>
    <row r="2743" customHeight="1" spans="1:26">
      <c r="A2743" s="11" t="str">
        <f>IFERROR(__xludf.DUMMYFUNCTION("""COMPUTED_VALUE"""),"LEONOR VIANA NOBREGA")</f>
        <v>LEONOR VIANA NOBREGA</v>
      </c>
      <c r="B2743" s="11"/>
      <c r="C2743" s="11"/>
      <c r="D2743" s="11" t="str">
        <f>IFERROR(__xludf.DUMMYFUNCTION("""COMPUTED_VALUE"""),"GINECOLOGIA E OBSTETRICIA")</f>
        <v>GINECOLOGIA E OBSTETRICIA</v>
      </c>
      <c r="E2743" s="11"/>
      <c r="F2743" s="11" t="str">
        <f>IFERROR(__xludf.DUMMYFUNCTION("""COMPUTED_VALUE"""),"US_153 POLICLINICA E MATERNIDADE ARNALDO MARQUES")</f>
        <v>US_153 POLICLINICA E MATERNIDADE ARNALDO MARQUES</v>
      </c>
      <c r="G2743" s="11" t="str">
        <f>IFERROR(__xludf.DUMMYFUNCTION("""COMPUTED_VALUE"""),"US_153 POLICLINICA E MATERNIDADE ARNALDO MARQUES")</f>
        <v>US_153 POLICLINICA E MATERNIDADE ARNALDO MARQUES</v>
      </c>
      <c r="H2743" s="11"/>
      <c r="I2743" s="11"/>
      <c r="J2743" s="11"/>
      <c r="K2743" s="11"/>
      <c r="L2743" s="11"/>
      <c r="M2743" s="11"/>
      <c r="N2743" s="30" t="str">
        <f>IFERROR(__xludf.DUMMYFUNCTION("""COMPUTED_VALUE"""),"leovinobrega@hotmail.com                               ")</f>
        <v>leovinobrega@hotmail.com                               </v>
      </c>
      <c r="O2743" s="11">
        <f>IFERROR(__xludf.DUMMYFUNCTION("""COMPUTED_VALUE"""),80659764415)</f>
        <v>80659764415</v>
      </c>
      <c r="P2743" s="11"/>
      <c r="Q2743" s="11"/>
      <c r="R2743" s="11"/>
      <c r="S2743" s="11"/>
      <c r="T2743" s="11"/>
      <c r="U2743" s="11"/>
      <c r="V2743" s="11"/>
      <c r="W2743" s="11"/>
      <c r="X2743" s="11"/>
      <c r="Y2743" s="11"/>
      <c r="Z2743" s="11"/>
    </row>
    <row r="2744" customHeight="1" spans="1:26">
      <c r="A2744" s="11" t="str">
        <f>IFERROR(__xludf.DUMMYFUNCTION("""COMPUTED_VALUE"""),"FABIO HIPOLITO DE A VIANA")</f>
        <v>FABIO HIPOLITO DE A VIANA</v>
      </c>
      <c r="B2744" s="11"/>
      <c r="C2744" s="11"/>
      <c r="D2744" s="11" t="str">
        <f>IFERROR(__xludf.DUMMYFUNCTION("""COMPUTED_VALUE"""),"NEONATOLOGIA")</f>
        <v>NEONATOLOGIA</v>
      </c>
      <c r="E2744" s="11"/>
      <c r="F2744" s="11" t="str">
        <f>IFERROR(__xludf.DUMMYFUNCTION("""COMPUTED_VALUE"""),"US_153 POLICLINICA E MATERNIDADE ARNALDO MARQUES")</f>
        <v>US_153 POLICLINICA E MATERNIDADE ARNALDO MARQUES</v>
      </c>
      <c r="G2744" s="11" t="str">
        <f>IFERROR(__xludf.DUMMYFUNCTION("""COMPUTED_VALUE"""),"US_153 POLICLINICA E MATERNIDADE ARNALDO MARQUES")</f>
        <v>US_153 POLICLINICA E MATERNIDADE ARNALDO MARQUES</v>
      </c>
      <c r="H2744" s="11"/>
      <c r="I2744" s="11"/>
      <c r="J2744" s="11"/>
      <c r="K2744" s="11"/>
      <c r="L2744" s="11"/>
      <c r="M2744" s="11"/>
      <c r="N2744" s="30" t="str">
        <f>IFERROR(__xludf.DUMMYFUNCTION("""COMPUTED_VALUE"""),"fabiohav@hotmail.com                                   ")</f>
        <v>fabiohav@hotmail.com                                   </v>
      </c>
      <c r="O2744" s="11">
        <f>IFERROR(__xludf.DUMMYFUNCTION("""COMPUTED_VALUE"""),2159514411)</f>
        <v>2159514411</v>
      </c>
      <c r="P2744" s="11"/>
      <c r="Q2744" s="11"/>
      <c r="R2744" s="11"/>
      <c r="S2744" s="11"/>
      <c r="T2744" s="11"/>
      <c r="U2744" s="11"/>
      <c r="V2744" s="11"/>
      <c r="W2744" s="11"/>
      <c r="X2744" s="11"/>
      <c r="Y2744" s="11"/>
      <c r="Z2744" s="11"/>
    </row>
    <row r="2745" customHeight="1" spans="1:26">
      <c r="A2745" s="11" t="str">
        <f>IFERROR(__xludf.DUMMYFUNCTION("""COMPUTED_VALUE"""),"MARIA NAZARETH T DE S SILVA")</f>
        <v>MARIA NAZARETH T DE S SILVA</v>
      </c>
      <c r="B2745" s="11"/>
      <c r="C2745" s="11"/>
      <c r="D2745" s="11" t="str">
        <f>IFERROR(__xludf.DUMMYFUNCTION("""COMPUTED_VALUE"""),"PEDIATRIA")</f>
        <v>PEDIATRIA</v>
      </c>
      <c r="E2745" s="11"/>
      <c r="F2745" s="11" t="str">
        <f>IFERROR(__xludf.DUMMYFUNCTION("""COMPUTED_VALUE"""),"US_165 MATERNIDADE BANDEIRA FILHO")</f>
        <v>US_165 MATERNIDADE BANDEIRA FILHO</v>
      </c>
      <c r="G2745" s="11" t="str">
        <f>IFERROR(__xludf.DUMMYFUNCTION("""COMPUTED_VALUE"""),"US_165 MATERNIDADE BANDEIRA FILHO")</f>
        <v>US_165 MATERNIDADE BANDEIRA FILHO</v>
      </c>
      <c r="H2745" s="11"/>
      <c r="I2745" s="11"/>
      <c r="J2745" s="11"/>
      <c r="K2745" s="11"/>
      <c r="L2745" s="11"/>
      <c r="M2745" s="11"/>
      <c r="N2745" s="30" t="str">
        <f>IFERROR(__xludf.DUMMYFUNCTION("""COMPUTED_VALUE"""),"maria.nazareth.silva@hotmail.com")</f>
        <v>maria.nazareth.silva@hotmail.com</v>
      </c>
      <c r="O2745" s="11">
        <f>IFERROR(__xludf.DUMMYFUNCTION("""COMPUTED_VALUE"""),19718179453)</f>
        <v>19718179453</v>
      </c>
      <c r="P2745" s="11"/>
      <c r="Q2745" s="11"/>
      <c r="R2745" s="11"/>
      <c r="S2745" s="11"/>
      <c r="T2745" s="11"/>
      <c r="U2745" s="11"/>
      <c r="V2745" s="11"/>
      <c r="W2745" s="11"/>
      <c r="X2745" s="11"/>
      <c r="Y2745" s="11"/>
      <c r="Z2745" s="11"/>
    </row>
    <row r="2746" customHeight="1" spans="1:26">
      <c r="A2746" s="11" t="str">
        <f>IFERROR(__xludf.DUMMYFUNCTION("""COMPUTED_VALUE"""),"RITA DE CASSIA M CARNEIRO")</f>
        <v>RITA DE CASSIA M CARNEIRO</v>
      </c>
      <c r="B2746" s="11"/>
      <c r="C2746" s="11"/>
      <c r="D2746" s="11" t="str">
        <f>IFERROR(__xludf.DUMMYFUNCTION("""COMPUTED_VALUE"""),"GINECOLOGIA E OBSTETRICIA")</f>
        <v>GINECOLOGIA E OBSTETRICIA</v>
      </c>
      <c r="E2746" s="11"/>
      <c r="F2746" s="11" t="str">
        <f>IFERROR(__xludf.DUMMYFUNCTION("""COMPUTED_VALUE"""),"US_165 MATERNIDADE BANDEIRA FILHO")</f>
        <v>US_165 MATERNIDADE BANDEIRA FILHO</v>
      </c>
      <c r="G2746" s="11" t="str">
        <f>IFERROR(__xludf.DUMMYFUNCTION("""COMPUTED_VALUE"""),"US_165 MATERNIDADE BANDEIRA FILHO")</f>
        <v>US_165 MATERNIDADE BANDEIRA FILHO</v>
      </c>
      <c r="H2746" s="11"/>
      <c r="I2746" s="11"/>
      <c r="J2746" s="11"/>
      <c r="K2746" s="11"/>
      <c r="L2746" s="11"/>
      <c r="M2746" s="11"/>
      <c r="N2746" s="30" t="str">
        <f>IFERROR(__xludf.DUMMYFUNCTION("""COMPUTED_VALUE"""),"ritamenezes35@uol.com.br")</f>
        <v>ritamenezes35@uol.com.br</v>
      </c>
      <c r="O2746" s="11">
        <f>IFERROR(__xludf.DUMMYFUNCTION("""COMPUTED_VALUE"""),81744153434)</f>
        <v>81744153434</v>
      </c>
      <c r="P2746" s="11"/>
      <c r="Q2746" s="11"/>
      <c r="R2746" s="11"/>
      <c r="S2746" s="11"/>
      <c r="T2746" s="11"/>
      <c r="U2746" s="11"/>
      <c r="V2746" s="11"/>
      <c r="W2746" s="11"/>
      <c r="X2746" s="11"/>
      <c r="Y2746" s="11"/>
      <c r="Z2746" s="11"/>
    </row>
    <row r="2747" customHeight="1" spans="1:26">
      <c r="A2747" s="11" t="str">
        <f>IFERROR(__xludf.DUMMYFUNCTION("""COMPUTED_VALUE"""),"FABIOLA DA COSTA FREITAS")</f>
        <v>FABIOLA DA COSTA FREITAS</v>
      </c>
      <c r="B2747" s="11"/>
      <c r="C2747" s="11"/>
      <c r="D2747" s="11" t="str">
        <f>IFERROR(__xludf.DUMMYFUNCTION("""COMPUTED_VALUE"""),"GINECOLOGIA E OBSTETRICIA")</f>
        <v>GINECOLOGIA E OBSTETRICIA</v>
      </c>
      <c r="E2747" s="11"/>
      <c r="F2747" s="11" t="str">
        <f>IFERROR(__xludf.DUMMYFUNCTION("""COMPUTED_VALUE"""),"US_153 POLICLINICA E MATERNIDADE ARNALDO MARQUES")</f>
        <v>US_153 POLICLINICA E MATERNIDADE ARNALDO MARQUES</v>
      </c>
      <c r="G2747" s="11" t="str">
        <f>IFERROR(__xludf.DUMMYFUNCTION("""COMPUTED_VALUE"""),"US_153 POLICLINICA E MATERNIDADE ARNALDO MARQUES")</f>
        <v>US_153 POLICLINICA E MATERNIDADE ARNALDO MARQUES</v>
      </c>
      <c r="H2747" s="11"/>
      <c r="I2747" s="11"/>
      <c r="J2747" s="11"/>
      <c r="K2747" s="11"/>
      <c r="L2747" s="11"/>
      <c r="M2747" s="11"/>
      <c r="N2747" s="30" t="str">
        <f>IFERROR(__xludf.DUMMYFUNCTION("""COMPUTED_VALUE"""),"tucamariclara@gmail.com")</f>
        <v>tucamariclara@gmail.com</v>
      </c>
      <c r="O2747" s="11">
        <f>IFERROR(__xludf.DUMMYFUNCTION("""COMPUTED_VALUE"""),2355453411)</f>
        <v>2355453411</v>
      </c>
      <c r="P2747" s="11"/>
      <c r="Q2747" s="11"/>
      <c r="R2747" s="11"/>
      <c r="S2747" s="11"/>
      <c r="T2747" s="11"/>
      <c r="U2747" s="11"/>
      <c r="V2747" s="11"/>
      <c r="W2747" s="11"/>
      <c r="X2747" s="11"/>
      <c r="Y2747" s="11"/>
      <c r="Z2747" s="11"/>
    </row>
    <row r="2748" customHeight="1" spans="1:26">
      <c r="A2748" s="11" t="str">
        <f>IFERROR(__xludf.DUMMYFUNCTION("""COMPUTED_VALUE"""),"SERVIO FIDNEY B DE M CORREIA")</f>
        <v>SERVIO FIDNEY B DE M CORREIA</v>
      </c>
      <c r="B2748" s="11"/>
      <c r="C2748" s="11"/>
      <c r="D2748" s="11" t="str">
        <f>IFERROR(__xludf.DUMMYFUNCTION("""COMPUTED_VALUE"""),"CIRURGIA GERAL")</f>
        <v>CIRURGIA GERAL</v>
      </c>
      <c r="E2748" s="11"/>
      <c r="F2748" s="11" t="str">
        <f>IFERROR(__xludf.DUMMYFUNCTION("""COMPUTED_VALUE"""),"US_153 POLICLINICA E MATERNIDADE ARNALDO MARQUES")</f>
        <v>US_153 POLICLINICA E MATERNIDADE ARNALDO MARQUES</v>
      </c>
      <c r="G2748" s="11" t="str">
        <f>IFERROR(__xludf.DUMMYFUNCTION("""COMPUTED_VALUE"""),"US_153 POLICLINICA E MATERNIDADE ARNALDO MARQUES")</f>
        <v>US_153 POLICLINICA E MATERNIDADE ARNALDO MARQUES</v>
      </c>
      <c r="H2748" s="11"/>
      <c r="I2748" s="11"/>
      <c r="J2748" s="11"/>
      <c r="K2748" s="11"/>
      <c r="L2748" s="11"/>
      <c r="M2748" s="11"/>
      <c r="N2748" s="30" t="str">
        <f>IFERROR(__xludf.DUMMYFUNCTION("""COMPUTED_VALUE"""),"SERVIO_FIDNEY@HOTMAIL.COM")</f>
        <v>SERVIO_FIDNEY@HOTMAIL.COM</v>
      </c>
      <c r="O2748" s="11">
        <f>IFERROR(__xludf.DUMMYFUNCTION("""COMPUTED_VALUE"""),2724666461)</f>
        <v>2724666461</v>
      </c>
      <c r="P2748" s="11"/>
      <c r="Q2748" s="11"/>
      <c r="R2748" s="11"/>
      <c r="S2748" s="11"/>
      <c r="T2748" s="11"/>
      <c r="U2748" s="11"/>
      <c r="V2748" s="11"/>
      <c r="W2748" s="11"/>
      <c r="X2748" s="11"/>
      <c r="Y2748" s="11"/>
      <c r="Z2748" s="11"/>
    </row>
    <row r="2749" customHeight="1" spans="1:26">
      <c r="A2749" s="11" t="str">
        <f>IFERROR(__xludf.DUMMYFUNCTION("""COMPUTED_VALUE"""),"MARTA BERNARDEZ GANDARA")</f>
        <v>MARTA BERNARDEZ GANDARA</v>
      </c>
      <c r="B2749" s="11"/>
      <c r="C2749" s="11"/>
      <c r="D2749" s="11" t="str">
        <f>IFERROR(__xludf.DUMMYFUNCTION("""COMPUTED_VALUE"""),"ANESTESIOLOGIA")</f>
        <v>ANESTESIOLOGIA</v>
      </c>
      <c r="E2749" s="11"/>
      <c r="F2749" s="11" t="str">
        <f>IFERROR(__xludf.DUMMYFUNCTION("""COMPUTED_VALUE"""),"US_167 POLICLINICA E MATERNIDADE PROFESSOR BARROS LIMA")</f>
        <v>US_167 POLICLINICA E MATERNIDADE PROFESSOR BARROS LIMA</v>
      </c>
      <c r="G2749" s="11" t="str">
        <f>IFERROR(__xludf.DUMMYFUNCTION("""COMPUTED_VALUE"""),"US_167 POLICLINICA E MATERNIDADE PROFESSOR BARROS LIMA")</f>
        <v>US_167 POLICLINICA E MATERNIDADE PROFESSOR BARROS LIMA</v>
      </c>
      <c r="H2749" s="11"/>
      <c r="I2749" s="11"/>
      <c r="J2749" s="11"/>
      <c r="K2749" s="11"/>
      <c r="L2749" s="11"/>
      <c r="M2749" s="11"/>
      <c r="N2749" s="30" t="str">
        <f>IFERROR(__xludf.DUMMYFUNCTION("""COMPUTED_VALUE"""),"martinhabernardez@globo.com")</f>
        <v>martinhabernardez@globo.com</v>
      </c>
      <c r="O2749" s="11">
        <f>IFERROR(__xludf.DUMMYFUNCTION("""COMPUTED_VALUE"""),80015018415)</f>
        <v>80015018415</v>
      </c>
      <c r="P2749" s="11"/>
      <c r="Q2749" s="11"/>
      <c r="R2749" s="11"/>
      <c r="S2749" s="11"/>
      <c r="T2749" s="11"/>
      <c r="U2749" s="11"/>
      <c r="V2749" s="11"/>
      <c r="W2749" s="11"/>
      <c r="X2749" s="11"/>
      <c r="Y2749" s="11"/>
      <c r="Z2749" s="11"/>
    </row>
    <row r="2750" customHeight="1" spans="1:26">
      <c r="A2750" s="11" t="str">
        <f>IFERROR(__xludf.DUMMYFUNCTION("""COMPUTED_VALUE"""),"ROSANGELA CAMPOS DE A BOTELHO")</f>
        <v>ROSANGELA CAMPOS DE A BOTELHO</v>
      </c>
      <c r="B2750" s="11"/>
      <c r="C2750" s="11"/>
      <c r="D2750" s="11" t="str">
        <f>IFERROR(__xludf.DUMMYFUNCTION("""COMPUTED_VALUE"""),"GINECOLOGIA E OBSTETRICIA")</f>
        <v>GINECOLOGIA E OBSTETRICIA</v>
      </c>
      <c r="E2750" s="11"/>
      <c r="F2750" s="11" t="str">
        <f>IFERROR(__xludf.DUMMYFUNCTION("""COMPUTED_VALUE"""),"US_165 MATERNIDADE BANDEIRA FILHO")</f>
        <v>US_165 MATERNIDADE BANDEIRA FILHO</v>
      </c>
      <c r="G2750" s="11" t="str">
        <f>IFERROR(__xludf.DUMMYFUNCTION("""COMPUTED_VALUE"""),"US_165 MATERNIDADE BANDEIRA FILHO")</f>
        <v>US_165 MATERNIDADE BANDEIRA FILHO</v>
      </c>
      <c r="H2750" s="11"/>
      <c r="I2750" s="11"/>
      <c r="J2750" s="11"/>
      <c r="K2750" s="11"/>
      <c r="L2750" s="11"/>
      <c r="M2750" s="11"/>
      <c r="N2750" s="30" t="str">
        <f>IFERROR(__xludf.DUMMYFUNCTION("""COMPUTED_VALUE"""),"rosangela_botelho61@hotmail.com")</f>
        <v>rosangela_botelho61@hotmail.com</v>
      </c>
      <c r="O2750" s="11">
        <f>IFERROR(__xludf.DUMMYFUNCTION("""COMPUTED_VALUE"""),24450782453)</f>
        <v>24450782453</v>
      </c>
      <c r="P2750" s="11"/>
      <c r="Q2750" s="11"/>
      <c r="R2750" s="11"/>
      <c r="S2750" s="11"/>
      <c r="T2750" s="11"/>
      <c r="U2750" s="11"/>
      <c r="V2750" s="11"/>
      <c r="W2750" s="11"/>
      <c r="X2750" s="11"/>
      <c r="Y2750" s="11"/>
      <c r="Z2750" s="11"/>
    </row>
    <row r="2751" customHeight="1" spans="1:26">
      <c r="A2751" s="11" t="str">
        <f>IFERROR(__xludf.DUMMYFUNCTION("""COMPUTED_VALUE"""),"ANA PAULA ANDRADE S DE LIMA")</f>
        <v>ANA PAULA ANDRADE S DE LIMA</v>
      </c>
      <c r="B2751" s="11"/>
      <c r="C2751" s="11"/>
      <c r="D2751" s="11" t="str">
        <f>IFERROR(__xludf.DUMMYFUNCTION("""COMPUTED_VALUE"""),"GINECOLOGIA E OBSTETRICIA")</f>
        <v>GINECOLOGIA E OBSTETRICIA</v>
      </c>
      <c r="E2751" s="11"/>
      <c r="F2751" s="11" t="str">
        <f>IFERROR(__xludf.DUMMYFUNCTION("""COMPUTED_VALUE"""),"US_167 POLICLINICA E MATERNIDADE PROFESSOR BARROS LIMA")</f>
        <v>US_167 POLICLINICA E MATERNIDADE PROFESSOR BARROS LIMA</v>
      </c>
      <c r="G2751" s="11" t="str">
        <f>IFERROR(__xludf.DUMMYFUNCTION("""COMPUTED_VALUE"""),"US_167 POLICLINICA E MATERNIDADE PROFESSOR BARROS LIMA")</f>
        <v>US_167 POLICLINICA E MATERNIDADE PROFESSOR BARROS LIMA</v>
      </c>
      <c r="H2751" s="11"/>
      <c r="I2751" s="11"/>
      <c r="J2751" s="11"/>
      <c r="K2751" s="11"/>
      <c r="L2751" s="11"/>
      <c r="M2751" s="11"/>
      <c r="N2751" s="30" t="str">
        <f>IFERROR(__xludf.DUMMYFUNCTION("""COMPUTED_VALUE"""),"paula_asl@ig.com.br                                    ")</f>
        <v>paula_asl@ig.com.br                                    </v>
      </c>
      <c r="O2751" s="11">
        <f>IFERROR(__xludf.DUMMYFUNCTION("""COMPUTED_VALUE"""),39054977434)</f>
        <v>39054977434</v>
      </c>
      <c r="P2751" s="11"/>
      <c r="Q2751" s="11"/>
      <c r="R2751" s="11"/>
      <c r="S2751" s="11"/>
      <c r="T2751" s="11"/>
      <c r="U2751" s="11"/>
      <c r="V2751" s="11"/>
      <c r="W2751" s="11"/>
      <c r="X2751" s="11"/>
      <c r="Y2751" s="11"/>
      <c r="Z2751" s="11"/>
    </row>
    <row r="2752" customHeight="1" spans="1:26">
      <c r="A2752" s="11" t="str">
        <f>IFERROR(__xludf.DUMMYFUNCTION("""COMPUTED_VALUE"""),"ANA CELIA DE BRITO CORREA")</f>
        <v>ANA CELIA DE BRITO CORREA</v>
      </c>
      <c r="B2752" s="11"/>
      <c r="C2752" s="11"/>
      <c r="D2752" s="11" t="str">
        <f>IFERROR(__xludf.DUMMYFUNCTION("""COMPUTED_VALUE"""),"NEONATOLOGIA")</f>
        <v>NEONATOLOGIA</v>
      </c>
      <c r="E2752" s="11"/>
      <c r="F2752" s="11" t="str">
        <f>IFERROR(__xludf.DUMMYFUNCTION("""COMPUTED_VALUE"""),"US_153 POLICLINICA E MATERNIDADE ARNALDO MARQUES")</f>
        <v>US_153 POLICLINICA E MATERNIDADE ARNALDO MARQUES</v>
      </c>
      <c r="G2752" s="11" t="str">
        <f>IFERROR(__xludf.DUMMYFUNCTION("""COMPUTED_VALUE"""),"US_153 POLICLINICA E MATERNIDADE ARNALDO MARQUES")</f>
        <v>US_153 POLICLINICA E MATERNIDADE ARNALDO MARQUES</v>
      </c>
      <c r="H2752" s="11"/>
      <c r="I2752" s="11"/>
      <c r="J2752" s="11"/>
      <c r="K2752" s="11"/>
      <c r="L2752" s="11"/>
      <c r="M2752" s="11"/>
      <c r="N2752" s="30" t="str">
        <f>IFERROR(__xludf.DUMMYFUNCTION("""COMPUTED_VALUE"""),"ACBCORREA@GMAIL.COM")</f>
        <v>ACBCORREA@GMAIL.COM</v>
      </c>
      <c r="O2752" s="11">
        <f>IFERROR(__xludf.DUMMYFUNCTION("""COMPUTED_VALUE"""),2322517461)</f>
        <v>2322517461</v>
      </c>
      <c r="P2752" s="11"/>
      <c r="Q2752" s="11"/>
      <c r="R2752" s="11"/>
      <c r="S2752" s="11"/>
      <c r="T2752" s="11"/>
      <c r="U2752" s="11"/>
      <c r="V2752" s="11"/>
      <c r="W2752" s="11"/>
      <c r="X2752" s="11"/>
      <c r="Y2752" s="11"/>
      <c r="Z2752" s="11"/>
    </row>
    <row r="2753" customHeight="1" spans="1:26">
      <c r="A2753" s="11" t="str">
        <f>IFERROR(__xludf.DUMMYFUNCTION("""COMPUTED_VALUE"""),"ROBERTA PEREIRA GOMES DE SA")</f>
        <v>ROBERTA PEREIRA GOMES DE SA</v>
      </c>
      <c r="B2753" s="11"/>
      <c r="C2753" s="11"/>
      <c r="D2753" s="11" t="str">
        <f>IFERROR(__xludf.DUMMYFUNCTION("""COMPUTED_VALUE"""),"NEONATOLOGIA")</f>
        <v>NEONATOLOGIA</v>
      </c>
      <c r="E2753" s="11"/>
      <c r="F2753" s="11" t="str">
        <f>IFERROR(__xludf.DUMMYFUNCTION("""COMPUTED_VALUE"""),"US_153 POLICLINICA E MATERNIDADE ARNALDO MARQUES")</f>
        <v>US_153 POLICLINICA E MATERNIDADE ARNALDO MARQUES</v>
      </c>
      <c r="G2753" s="11" t="str">
        <f>IFERROR(__xludf.DUMMYFUNCTION("""COMPUTED_VALUE"""),"US_153 POLICLINICA E MATERNIDADE ARNALDO MARQUES")</f>
        <v>US_153 POLICLINICA E MATERNIDADE ARNALDO MARQUES</v>
      </c>
      <c r="H2753" s="11"/>
      <c r="I2753" s="11"/>
      <c r="J2753" s="11"/>
      <c r="K2753" s="11"/>
      <c r="L2753" s="11"/>
      <c r="M2753" s="11"/>
      <c r="N2753" s="30" t="str">
        <f>IFERROR(__xludf.DUMMYFUNCTION("""COMPUTED_VALUE"""),"robertapgsa@hotmail.com                                ")</f>
        <v>robertapgsa@hotmail.com                                </v>
      </c>
      <c r="O2753" s="11">
        <f>IFERROR(__xludf.DUMMYFUNCTION("""COMPUTED_VALUE"""),76801330420)</f>
        <v>76801330420</v>
      </c>
      <c r="P2753" s="11"/>
      <c r="Q2753" s="11"/>
      <c r="R2753" s="11"/>
      <c r="S2753" s="11"/>
      <c r="T2753" s="11"/>
      <c r="U2753" s="11"/>
      <c r="V2753" s="11"/>
      <c r="W2753" s="11"/>
      <c r="X2753" s="11"/>
      <c r="Y2753" s="11"/>
      <c r="Z2753" s="11"/>
    </row>
    <row r="2754" customHeight="1" spans="1:26">
      <c r="A2754" s="11" t="str">
        <f>IFERROR(__xludf.DUMMYFUNCTION("""COMPUTED_VALUE"""),"VANIA ELEUTERIO A CAMPELO")</f>
        <v>VANIA ELEUTERIO A CAMPELO</v>
      </c>
      <c r="B2754" s="11"/>
      <c r="C2754" s="11"/>
      <c r="D2754" s="11" t="str">
        <f>IFERROR(__xludf.DUMMYFUNCTION("""COMPUTED_VALUE"""),"PEDIATRIA")</f>
        <v>PEDIATRIA</v>
      </c>
      <c r="E2754" s="11"/>
      <c r="F2754" s="11" t="str">
        <f>IFERROR(__xludf.DUMMYFUNCTION("""COMPUTED_VALUE"""),"US_153 POLICLINICA E MATERNIDADE ARNALDO MARQUES")</f>
        <v>US_153 POLICLINICA E MATERNIDADE ARNALDO MARQUES</v>
      </c>
      <c r="G2754" s="11" t="str">
        <f>IFERROR(__xludf.DUMMYFUNCTION("""COMPUTED_VALUE"""),"US_153 POLICLINICA E MATERNIDADE ARNALDO MARQUES")</f>
        <v>US_153 POLICLINICA E MATERNIDADE ARNALDO MARQUES</v>
      </c>
      <c r="H2754" s="11"/>
      <c r="I2754" s="11"/>
      <c r="J2754" s="11"/>
      <c r="K2754" s="11"/>
      <c r="L2754" s="11"/>
      <c r="M2754" s="11"/>
      <c r="N2754" s="30" t="str">
        <f>IFERROR(__xludf.DUMMYFUNCTION("""COMPUTED_VALUE"""),"vaniaeagripino@hotmail.com                             ")</f>
        <v>vaniaeagripino@hotmail.com                             </v>
      </c>
      <c r="O2754" s="11">
        <f>IFERROR(__xludf.DUMMYFUNCTION("""COMPUTED_VALUE"""),73574317468)</f>
        <v>73574317468</v>
      </c>
      <c r="P2754" s="11"/>
      <c r="Q2754" s="11"/>
      <c r="R2754" s="11"/>
      <c r="S2754" s="11"/>
      <c r="T2754" s="11"/>
      <c r="U2754" s="11"/>
      <c r="V2754" s="11"/>
      <c r="W2754" s="11"/>
      <c r="X2754" s="11"/>
      <c r="Y2754" s="11"/>
      <c r="Z2754" s="11"/>
    </row>
    <row r="2755" customHeight="1" spans="1:26">
      <c r="A2755" s="11" t="str">
        <f>IFERROR(__xludf.DUMMYFUNCTION("""COMPUTED_VALUE"""),"MICHELINE FERNANDES VITORINO")</f>
        <v>MICHELINE FERNANDES VITORINO</v>
      </c>
      <c r="B2755" s="11"/>
      <c r="C2755" s="11"/>
      <c r="D2755" s="11" t="str">
        <f>IFERROR(__xludf.DUMMYFUNCTION("""COMPUTED_VALUE"""),"GINECOLOGIA E OBSTETRICIA")</f>
        <v>GINECOLOGIA E OBSTETRICIA</v>
      </c>
      <c r="E2755" s="11"/>
      <c r="F2755" s="11" t="str">
        <f>IFERROR(__xludf.DUMMYFUNCTION("""COMPUTED_VALUE"""),"US_165 MATERNIDADE BANDEIRA FILHO")</f>
        <v>US_165 MATERNIDADE BANDEIRA FILHO</v>
      </c>
      <c r="G2755" s="11" t="str">
        <f>IFERROR(__xludf.DUMMYFUNCTION("""COMPUTED_VALUE"""),"US_165 MATERNIDADE BANDEIRA FILHO")</f>
        <v>US_165 MATERNIDADE BANDEIRA FILHO</v>
      </c>
      <c r="H2755" s="11"/>
      <c r="I2755" s="11"/>
      <c r="J2755" s="11"/>
      <c r="K2755" s="11"/>
      <c r="L2755" s="11"/>
      <c r="M2755" s="11"/>
      <c r="N2755" s="30" t="str">
        <f>IFERROR(__xludf.DUMMYFUNCTION("""COMPUTED_VALUE"""),"michelinevitorino@hotmail.com")</f>
        <v>michelinevitorino@hotmail.com</v>
      </c>
      <c r="O2755" s="11">
        <f>IFERROR(__xludf.DUMMYFUNCTION("""COMPUTED_VALUE"""),1845077407)</f>
        <v>1845077407</v>
      </c>
      <c r="P2755" s="11"/>
      <c r="Q2755" s="11"/>
      <c r="R2755" s="11"/>
      <c r="S2755" s="11"/>
      <c r="T2755" s="11"/>
      <c r="U2755" s="11"/>
      <c r="V2755" s="11"/>
      <c r="W2755" s="11"/>
      <c r="X2755" s="11"/>
      <c r="Y2755" s="11"/>
      <c r="Z2755" s="11"/>
    </row>
    <row r="2756" customHeight="1" spans="1:26">
      <c r="A2756" s="11" t="str">
        <f>IFERROR(__xludf.DUMMYFUNCTION("""COMPUTED_VALUE"""),"JANILSON NASCIMENTO ALENCAR")</f>
        <v>JANILSON NASCIMENTO ALENCAR</v>
      </c>
      <c r="B2756" s="11"/>
      <c r="C2756" s="11"/>
      <c r="D2756" s="11" t="str">
        <f>IFERROR(__xludf.DUMMYFUNCTION("""COMPUTED_VALUE"""),"ANESTESIOLOGIA")</f>
        <v>ANESTESIOLOGIA</v>
      </c>
      <c r="E2756" s="11"/>
      <c r="F2756" s="11" t="str">
        <f>IFERROR(__xludf.DUMMYFUNCTION("""COMPUTED_VALUE"""),"US_165 MATERNIDADE BANDEIRA FILHO")</f>
        <v>US_165 MATERNIDADE BANDEIRA FILHO</v>
      </c>
      <c r="G2756" s="11" t="str">
        <f>IFERROR(__xludf.DUMMYFUNCTION("""COMPUTED_VALUE"""),"US_165 MATERNIDADE BANDEIRA FILHO")</f>
        <v>US_165 MATERNIDADE BANDEIRA FILHO</v>
      </c>
      <c r="H2756" s="11"/>
      <c r="I2756" s="11"/>
      <c r="J2756" s="11"/>
      <c r="K2756" s="11"/>
      <c r="L2756" s="11"/>
      <c r="M2756" s="11"/>
      <c r="N2756" s="30" t="str">
        <f>IFERROR(__xludf.DUMMYFUNCTION("""COMPUTED_VALUE"""),"fabiolapontesalencar@hotmail.com")</f>
        <v>fabiolapontesalencar@hotmail.com</v>
      </c>
      <c r="O2756" s="11">
        <f>IFERROR(__xludf.DUMMYFUNCTION("""COMPUTED_VALUE"""),66871050434)</f>
        <v>66871050434</v>
      </c>
      <c r="P2756" s="11"/>
      <c r="Q2756" s="11"/>
      <c r="R2756" s="11"/>
      <c r="S2756" s="11"/>
      <c r="T2756" s="11"/>
      <c r="U2756" s="11"/>
      <c r="V2756" s="11"/>
      <c r="W2756" s="11"/>
      <c r="X2756" s="11"/>
      <c r="Y2756" s="11"/>
      <c r="Z2756" s="11"/>
    </row>
    <row r="2757" customHeight="1" spans="1:26">
      <c r="A2757" s="11" t="str">
        <f>IFERROR(__xludf.DUMMYFUNCTION("""COMPUTED_VALUE"""),"VERONEIDE DE SOUZA TENORIO")</f>
        <v>VERONEIDE DE SOUZA TENORIO</v>
      </c>
      <c r="B2757" s="11"/>
      <c r="C2757" s="11"/>
      <c r="D2757" s="11" t="str">
        <f>IFERROR(__xludf.DUMMYFUNCTION("""COMPUTED_VALUE"""),"ANESTESIOLOGIA")</f>
        <v>ANESTESIOLOGIA</v>
      </c>
      <c r="E2757" s="11"/>
      <c r="F2757" s="11" t="str">
        <f>IFERROR(__xludf.DUMMYFUNCTION("""COMPUTED_VALUE"""),"US_153 POLICLINICA E MATERNIDADE ARNALDO MARQUES")</f>
        <v>US_153 POLICLINICA E MATERNIDADE ARNALDO MARQUES</v>
      </c>
      <c r="G2757" s="11" t="str">
        <f>IFERROR(__xludf.DUMMYFUNCTION("""COMPUTED_VALUE"""),"US_153 POLICLINICA E MATERNIDADE ARNALDO MARQUES")</f>
        <v>US_153 POLICLINICA E MATERNIDADE ARNALDO MARQUES</v>
      </c>
      <c r="H2757" s="11"/>
      <c r="I2757" s="11"/>
      <c r="J2757" s="11"/>
      <c r="K2757" s="11"/>
      <c r="L2757" s="11"/>
      <c r="M2757" s="11"/>
      <c r="N2757" s="30" t="str">
        <f>IFERROR(__xludf.DUMMYFUNCTION("""COMPUTED_VALUE"""),"veroneide.t10@gmail.com")</f>
        <v>veroneide.t10@gmail.com</v>
      </c>
      <c r="O2757" s="11">
        <f>IFERROR(__xludf.DUMMYFUNCTION("""COMPUTED_VALUE"""),60061391468)</f>
        <v>60061391468</v>
      </c>
      <c r="P2757" s="11"/>
      <c r="Q2757" s="11"/>
      <c r="R2757" s="11"/>
      <c r="S2757" s="11"/>
      <c r="T2757" s="11"/>
      <c r="U2757" s="11"/>
      <c r="V2757" s="11"/>
      <c r="W2757" s="11"/>
      <c r="X2757" s="11"/>
      <c r="Y2757" s="11"/>
      <c r="Z2757" s="11"/>
    </row>
    <row r="2758" customHeight="1" spans="1:26">
      <c r="A2758" s="11" t="str">
        <f>IFERROR(__xludf.DUMMYFUNCTION("""COMPUTED_VALUE"""),"JULIANA CAVALCANTI ORTOLAN")</f>
        <v>JULIANA CAVALCANTI ORTOLAN</v>
      </c>
      <c r="B2758" s="11"/>
      <c r="C2758" s="11"/>
      <c r="D2758" s="11" t="str">
        <f>IFERROR(__xludf.DUMMYFUNCTION("""COMPUTED_VALUE"""),"NEONATOLOGIA")</f>
        <v>NEONATOLOGIA</v>
      </c>
      <c r="E2758" s="11"/>
      <c r="F2758" s="11" t="str">
        <f>IFERROR(__xludf.DUMMYFUNCTION("""COMPUTED_VALUE"""),"US_167 POLICLINICA E MATERNIDADE PROFESSOR BARROS LIMA")</f>
        <v>US_167 POLICLINICA E MATERNIDADE PROFESSOR BARROS LIMA</v>
      </c>
      <c r="G2758" s="11" t="str">
        <f>IFERROR(__xludf.DUMMYFUNCTION("""COMPUTED_VALUE"""),"US_167 POLICLINICA E MATERNIDADE PROFESSOR BARROS LIMA")</f>
        <v>US_167 POLICLINICA E MATERNIDADE PROFESSOR BARROS LIMA</v>
      </c>
      <c r="H2758" s="11"/>
      <c r="I2758" s="11"/>
      <c r="J2758" s="11"/>
      <c r="K2758" s="11"/>
      <c r="L2758" s="11"/>
      <c r="M2758" s="11"/>
      <c r="N2758" s="30" t="str">
        <f>IFERROR(__xludf.DUMMYFUNCTION("""COMPUTED_VALUE"""),"julianaortolan@gmail.com")</f>
        <v>julianaortolan@gmail.com</v>
      </c>
      <c r="O2758" s="11">
        <f>IFERROR(__xludf.DUMMYFUNCTION("""COMPUTED_VALUE"""),769782493)</f>
        <v>769782493</v>
      </c>
      <c r="P2758" s="11"/>
      <c r="Q2758" s="11"/>
      <c r="R2758" s="11"/>
      <c r="S2758" s="11"/>
      <c r="T2758" s="11"/>
      <c r="U2758" s="11"/>
      <c r="V2758" s="11"/>
      <c r="W2758" s="11"/>
      <c r="X2758" s="11"/>
      <c r="Y2758" s="11"/>
      <c r="Z2758" s="11"/>
    </row>
    <row r="2759" customHeight="1" spans="1:26">
      <c r="A2759" s="11" t="str">
        <f>IFERROR(__xludf.DUMMYFUNCTION("""COMPUTED_VALUE"""),"MARTHA T DO C S ALBUQUERQUE")</f>
        <v>MARTHA T DO C S ALBUQUERQUE</v>
      </c>
      <c r="B2759" s="11"/>
      <c r="C2759" s="11"/>
      <c r="D2759" s="11" t="str">
        <f>IFERROR(__xludf.DUMMYFUNCTION("""COMPUTED_VALUE"""),"NEONATOLOGIA")</f>
        <v>NEONATOLOGIA</v>
      </c>
      <c r="E2759" s="11"/>
      <c r="F2759" s="11" t="str">
        <f>IFERROR(__xludf.DUMMYFUNCTION("""COMPUTED_VALUE"""),"US_153 POLICLINICA E MATERNIDADE ARNALDO MARQUES")</f>
        <v>US_153 POLICLINICA E MATERNIDADE ARNALDO MARQUES</v>
      </c>
      <c r="G2759" s="11" t="str">
        <f>IFERROR(__xludf.DUMMYFUNCTION("""COMPUTED_VALUE"""),"US_153 POLICLINICA E MATERNIDADE ARNALDO MARQUES")</f>
        <v>US_153 POLICLINICA E MATERNIDADE ARNALDO MARQUES</v>
      </c>
      <c r="H2759" s="11"/>
      <c r="I2759" s="11"/>
      <c r="J2759" s="11"/>
      <c r="K2759" s="11"/>
      <c r="L2759" s="11"/>
      <c r="M2759" s="11"/>
      <c r="N2759" s="30" t="str">
        <f>IFERROR(__xludf.DUMMYFUNCTION("""COMPUTED_VALUE"""),"marthaterezacsa@gmail.com")</f>
        <v>marthaterezacsa@gmail.com</v>
      </c>
      <c r="O2759" s="11">
        <f>IFERROR(__xludf.DUMMYFUNCTION("""COMPUTED_VALUE"""),89698886400)</f>
        <v>89698886400</v>
      </c>
      <c r="P2759" s="11"/>
      <c r="Q2759" s="11"/>
      <c r="R2759" s="11"/>
      <c r="S2759" s="11"/>
      <c r="T2759" s="11"/>
      <c r="U2759" s="11"/>
      <c r="V2759" s="11"/>
      <c r="W2759" s="11"/>
      <c r="X2759" s="11"/>
      <c r="Y2759" s="11"/>
      <c r="Z2759" s="11"/>
    </row>
    <row r="2760" customHeight="1" spans="1:26">
      <c r="A2760" s="11" t="str">
        <f>IFERROR(__xludf.DUMMYFUNCTION("""COMPUTED_VALUE"""),"MARIA L DE C M B DE SA LEITAO")</f>
        <v>MARIA L DE C M B DE SA LEITAO</v>
      </c>
      <c r="B2760" s="11"/>
      <c r="C2760" s="11"/>
      <c r="D2760" s="11" t="str">
        <f>IFERROR(__xludf.DUMMYFUNCTION("""COMPUTED_VALUE"""),"NEONATOLOGIA")</f>
        <v>NEONATOLOGIA</v>
      </c>
      <c r="E2760" s="11"/>
      <c r="F2760" s="11" t="str">
        <f>IFERROR(__xludf.DUMMYFUNCTION("""COMPUTED_VALUE"""),"US_167 POLICLINICA E MATERNIDADE PROFESSOR BARROS LIMA")</f>
        <v>US_167 POLICLINICA E MATERNIDADE PROFESSOR BARROS LIMA</v>
      </c>
      <c r="G2760" s="11" t="str">
        <f>IFERROR(__xludf.DUMMYFUNCTION("""COMPUTED_VALUE"""),"US_167 POLICLINICA E MATERNIDADE PROFESSOR BARROS LIMA")</f>
        <v>US_167 POLICLINICA E MATERNIDADE PROFESSOR BARROS LIMA</v>
      </c>
      <c r="H2760" s="11"/>
      <c r="I2760" s="11"/>
      <c r="J2760" s="11"/>
      <c r="K2760" s="11"/>
      <c r="L2760" s="11"/>
      <c r="M2760" s="11"/>
      <c r="N2760" s="30" t="str">
        <f>IFERROR(__xludf.DUMMYFUNCTION("""COMPUTED_VALUE"""),"lucinha23@hotmail.com")</f>
        <v>lucinha23@hotmail.com</v>
      </c>
      <c r="O2760" s="11">
        <f>IFERROR(__xludf.DUMMYFUNCTION("""COMPUTED_VALUE"""),4865681485)</f>
        <v>4865681485</v>
      </c>
      <c r="P2760" s="11"/>
      <c r="Q2760" s="11"/>
      <c r="R2760" s="11"/>
      <c r="S2760" s="11"/>
      <c r="T2760" s="11"/>
      <c r="U2760" s="11"/>
      <c r="V2760" s="11"/>
      <c r="W2760" s="11"/>
      <c r="X2760" s="11"/>
      <c r="Y2760" s="11"/>
      <c r="Z2760" s="11"/>
    </row>
    <row r="2761" customHeight="1" spans="1:26">
      <c r="A2761" s="11" t="str">
        <f>IFERROR(__xludf.DUMMYFUNCTION("""COMPUTED_VALUE"""),"GERALDO BEZERRA DA SILVA")</f>
        <v>GERALDO BEZERRA DA SILVA</v>
      </c>
      <c r="B2761" s="11"/>
      <c r="C2761" s="11"/>
      <c r="D2761" s="11" t="str">
        <f>IFERROR(__xludf.DUMMYFUNCTION("""COMPUTED_VALUE"""),"CIRURGIA GERAL")</f>
        <v>CIRURGIA GERAL</v>
      </c>
      <c r="E2761" s="11"/>
      <c r="F2761" s="11" t="str">
        <f>IFERROR(__xludf.DUMMYFUNCTION("""COMPUTED_VALUE"""),"US_153 POLICLINICA E MATERNIDADE ARNALDO MARQUES")</f>
        <v>US_153 POLICLINICA E MATERNIDADE ARNALDO MARQUES</v>
      </c>
      <c r="G2761" s="11" t="str">
        <f>IFERROR(__xludf.DUMMYFUNCTION("""COMPUTED_VALUE"""),"US_153 POLICLINICA E MATERNIDADE ARNALDO MARQUES")</f>
        <v>US_153 POLICLINICA E MATERNIDADE ARNALDO MARQUES</v>
      </c>
      <c r="H2761" s="11"/>
      <c r="I2761" s="11"/>
      <c r="J2761" s="11"/>
      <c r="K2761" s="11"/>
      <c r="L2761" s="11"/>
      <c r="M2761" s="11"/>
      <c r="N2761" s="30" t="str">
        <f>IFERROR(__xludf.DUMMYFUNCTION("""COMPUTED_VALUE"""),"geraldobeserra@hotmail.com")</f>
        <v>geraldobeserra@hotmail.com</v>
      </c>
      <c r="O2761" s="11">
        <f>IFERROR(__xludf.DUMMYFUNCTION("""COMPUTED_VALUE"""),13452878449)</f>
        <v>13452878449</v>
      </c>
      <c r="P2761" s="11"/>
      <c r="Q2761" s="11"/>
      <c r="R2761" s="11"/>
      <c r="S2761" s="11"/>
      <c r="T2761" s="11"/>
      <c r="U2761" s="11"/>
      <c r="V2761" s="11"/>
      <c r="W2761" s="11"/>
      <c r="X2761" s="11"/>
      <c r="Y2761" s="11"/>
      <c r="Z2761" s="11"/>
    </row>
    <row r="2762" customHeight="1" spans="1:26">
      <c r="A2762" s="11" t="str">
        <f>IFERROR(__xludf.DUMMYFUNCTION("""COMPUTED_VALUE"""),"FRANCISCO DE ASSIS S PACHECO")</f>
        <v>FRANCISCO DE ASSIS S PACHECO</v>
      </c>
      <c r="B2762" s="11"/>
      <c r="C2762" s="11"/>
      <c r="D2762" s="11" t="str">
        <f>IFERROR(__xludf.DUMMYFUNCTION("""COMPUTED_VALUE"""),"PEDIATRIA")</f>
        <v>PEDIATRIA</v>
      </c>
      <c r="E2762" s="11"/>
      <c r="F2762" s="11" t="str">
        <f>IFERROR(__xludf.DUMMYFUNCTION("""COMPUTED_VALUE"""),"US_165 MATERNIDADE BANDEIRA FILHO")</f>
        <v>US_165 MATERNIDADE BANDEIRA FILHO</v>
      </c>
      <c r="G2762" s="11" t="str">
        <f>IFERROR(__xludf.DUMMYFUNCTION("""COMPUTED_VALUE"""),"US_165 MATERNIDADE BANDEIRA FILHO")</f>
        <v>US_165 MATERNIDADE BANDEIRA FILHO</v>
      </c>
      <c r="H2762" s="11"/>
      <c r="I2762" s="11"/>
      <c r="J2762" s="11"/>
      <c r="K2762" s="11"/>
      <c r="L2762" s="11"/>
      <c r="M2762" s="11"/>
      <c r="N2762" s="30" t="str">
        <f>IFERROR(__xludf.DUMMYFUNCTION("""COMPUTED_VALUE"""),"f.spinelli@uol.com.br")</f>
        <v>f.spinelli@uol.com.br</v>
      </c>
      <c r="O2762" s="11">
        <f>IFERROR(__xludf.DUMMYFUNCTION("""COMPUTED_VALUE"""),16623924434)</f>
        <v>16623924434</v>
      </c>
      <c r="P2762" s="11"/>
      <c r="Q2762" s="11"/>
      <c r="R2762" s="11"/>
      <c r="S2762" s="11"/>
      <c r="T2762" s="11"/>
      <c r="U2762" s="11"/>
      <c r="V2762" s="11"/>
      <c r="W2762" s="11"/>
      <c r="X2762" s="11"/>
      <c r="Y2762" s="11"/>
      <c r="Z2762" s="11"/>
    </row>
    <row r="2763" customHeight="1" spans="1:26">
      <c r="A2763" s="11" t="str">
        <f>IFERROR(__xludf.DUMMYFUNCTION("""COMPUTED_VALUE"""),"GLAUCIA FONSECA DE ALMEIDA")</f>
        <v>GLAUCIA FONSECA DE ALMEIDA</v>
      </c>
      <c r="B2763" s="11"/>
      <c r="C2763" s="11"/>
      <c r="D2763" s="11" t="str">
        <f>IFERROR(__xludf.DUMMYFUNCTION("""COMPUTED_VALUE"""),"GINECOLOGIA E OBSTETRICIA")</f>
        <v>GINECOLOGIA E OBSTETRICIA</v>
      </c>
      <c r="E2763" s="11"/>
      <c r="F2763" s="11" t="str">
        <f>IFERROR(__xludf.DUMMYFUNCTION("""COMPUTED_VALUE"""),"US_153 POLICLINICA E MATERNIDADE ARNALDO MARQUES")</f>
        <v>US_153 POLICLINICA E MATERNIDADE ARNALDO MARQUES</v>
      </c>
      <c r="G2763" s="11" t="str">
        <f>IFERROR(__xludf.DUMMYFUNCTION("""COMPUTED_VALUE"""),"US_153 POLICLINICA E MATERNIDADE ARNALDO MARQUES")</f>
        <v>US_153 POLICLINICA E MATERNIDADE ARNALDO MARQUES</v>
      </c>
      <c r="H2763" s="11"/>
      <c r="I2763" s="11"/>
      <c r="J2763" s="11"/>
      <c r="K2763" s="11"/>
      <c r="L2763" s="11"/>
      <c r="M2763" s="11"/>
      <c r="N2763" s="30" t="str">
        <f>IFERROR(__xludf.DUMMYFUNCTION("""COMPUTED_VALUE"""),"glauciaf.almeida@gmail.com")</f>
        <v>glauciaf.almeida@gmail.com</v>
      </c>
      <c r="O2763" s="11">
        <f>IFERROR(__xludf.DUMMYFUNCTION("""COMPUTED_VALUE"""),71876820420)</f>
        <v>71876820420</v>
      </c>
      <c r="P2763" s="11"/>
      <c r="Q2763" s="11"/>
      <c r="R2763" s="11"/>
      <c r="S2763" s="11"/>
      <c r="T2763" s="11"/>
      <c r="U2763" s="11"/>
      <c r="V2763" s="11"/>
      <c r="W2763" s="11"/>
      <c r="X2763" s="11"/>
      <c r="Y2763" s="11"/>
      <c r="Z2763" s="11"/>
    </row>
    <row r="2764" customHeight="1" spans="1:26">
      <c r="A2764" s="11" t="str">
        <f>IFERROR(__xludf.DUMMYFUNCTION("""COMPUTED_VALUE"""),"CINTIA ROSA PRIMO")</f>
        <v>CINTIA ROSA PRIMO</v>
      </c>
      <c r="B2764" s="11"/>
      <c r="C2764" s="11"/>
      <c r="D2764" s="11" t="str">
        <f>IFERROR(__xludf.DUMMYFUNCTION("""COMPUTED_VALUE"""),"GINECOLOGIA E OBSTETRICIA")</f>
        <v>GINECOLOGIA E OBSTETRICIA</v>
      </c>
      <c r="E2764" s="11"/>
      <c r="F2764" s="11" t="str">
        <f>IFERROR(__xludf.DUMMYFUNCTION("""COMPUTED_VALUE"""),"US_153 POLICLINICA E MATERNIDADE ARNALDO MARQUES")</f>
        <v>US_153 POLICLINICA E MATERNIDADE ARNALDO MARQUES</v>
      </c>
      <c r="G2764" s="11" t="str">
        <f>IFERROR(__xludf.DUMMYFUNCTION("""COMPUTED_VALUE"""),"US_153 POLICLINICA E MATERNIDADE ARNALDO MARQUES")</f>
        <v>US_153 POLICLINICA E MATERNIDADE ARNALDO MARQUES</v>
      </c>
      <c r="H2764" s="11"/>
      <c r="I2764" s="11"/>
      <c r="J2764" s="11"/>
      <c r="K2764" s="11"/>
      <c r="L2764" s="11"/>
      <c r="M2764" s="11"/>
      <c r="N2764" s="30" t="str">
        <f>IFERROR(__xludf.DUMMYFUNCTION("""COMPUTED_VALUE"""),"cintiaprimo@yahoo.com")</f>
        <v>cintiaprimo@yahoo.com</v>
      </c>
      <c r="O2764" s="11">
        <f>IFERROR(__xludf.DUMMYFUNCTION("""COMPUTED_VALUE"""),42849535249)</f>
        <v>42849535249</v>
      </c>
      <c r="P2764" s="11"/>
      <c r="Q2764" s="11"/>
      <c r="R2764" s="11"/>
      <c r="S2764" s="11"/>
      <c r="T2764" s="11"/>
      <c r="U2764" s="11"/>
      <c r="V2764" s="11"/>
      <c r="W2764" s="11"/>
      <c r="X2764" s="11"/>
      <c r="Y2764" s="11"/>
      <c r="Z2764" s="11"/>
    </row>
    <row r="2765" customHeight="1" spans="1:26">
      <c r="A2765" s="11" t="str">
        <f>IFERROR(__xludf.DUMMYFUNCTION("""COMPUTED_VALUE"""),"FRANCISCO JOSE J GALVAO NETO")</f>
        <v>FRANCISCO JOSE J GALVAO NETO</v>
      </c>
      <c r="B2765" s="11"/>
      <c r="C2765" s="11"/>
      <c r="D2765" s="11" t="str">
        <f>IFERROR(__xludf.DUMMYFUNCTION("""COMPUTED_VALUE"""),"GINECOLOGIA E OBSTETRICIA")</f>
        <v>GINECOLOGIA E OBSTETRICIA</v>
      </c>
      <c r="E2765" s="11"/>
      <c r="F2765" s="11" t="str">
        <f>IFERROR(__xludf.DUMMYFUNCTION("""COMPUTED_VALUE"""),"US_167 POLICLINICA E MATERNIDADE PROFESSOR BARROS LIMA")</f>
        <v>US_167 POLICLINICA E MATERNIDADE PROFESSOR BARROS LIMA</v>
      </c>
      <c r="G2765" s="11" t="str">
        <f>IFERROR(__xludf.DUMMYFUNCTION("""COMPUTED_VALUE"""),"US_167 POLICLINICA E MATERNIDADE PROFESSOR BARROS LIMA")</f>
        <v>US_167 POLICLINICA E MATERNIDADE PROFESSOR BARROS LIMA</v>
      </c>
      <c r="H2765" s="11"/>
      <c r="I2765" s="11"/>
      <c r="J2765" s="11"/>
      <c r="K2765" s="11"/>
      <c r="L2765" s="11"/>
      <c r="M2765" s="11"/>
      <c r="N2765" s="30" t="str">
        <f>IFERROR(__xludf.DUMMYFUNCTION("""COMPUTED_VALUE"""),"FJGALVAOGGENTIL@HOTMAIL.COM.BR")</f>
        <v>FJGALVAOGGENTIL@HOTMAIL.COM.BR</v>
      </c>
      <c r="O2765" s="11">
        <f>IFERROR(__xludf.DUMMYFUNCTION("""COMPUTED_VALUE"""),8186510400)</f>
        <v>8186510400</v>
      </c>
      <c r="P2765" s="11"/>
      <c r="Q2765" s="11"/>
      <c r="R2765" s="11"/>
      <c r="S2765" s="11"/>
      <c r="T2765" s="11"/>
      <c r="U2765" s="11"/>
      <c r="V2765" s="11"/>
      <c r="W2765" s="11"/>
      <c r="X2765" s="11"/>
      <c r="Y2765" s="11"/>
      <c r="Z2765" s="11"/>
    </row>
    <row r="2766" customHeight="1" spans="1:26">
      <c r="A2766" s="11" t="str">
        <f>IFERROR(__xludf.DUMMYFUNCTION("""COMPUTED_VALUE"""),"ANTONIO CARNEIRO FILHO")</f>
        <v>ANTONIO CARNEIRO FILHO</v>
      </c>
      <c r="B2766" s="11"/>
      <c r="C2766" s="11"/>
      <c r="D2766" s="11" t="str">
        <f>IFERROR(__xludf.DUMMYFUNCTION("""COMPUTED_VALUE"""),"GINECOLOGIA E OBSTETRICIA")</f>
        <v>GINECOLOGIA E OBSTETRICIA</v>
      </c>
      <c r="E2766" s="11"/>
      <c r="F2766" s="11" t="str">
        <f>IFERROR(__xludf.DUMMYFUNCTION("""COMPUTED_VALUE"""),"US_165 MATERNIDADE BANDEIRA FILHO")</f>
        <v>US_165 MATERNIDADE BANDEIRA FILHO</v>
      </c>
      <c r="G2766" s="11" t="str">
        <f>IFERROR(__xludf.DUMMYFUNCTION("""COMPUTED_VALUE"""),"US_165 MATERNIDADE BANDEIRA FILHO")</f>
        <v>US_165 MATERNIDADE BANDEIRA FILHO</v>
      </c>
      <c r="H2766" s="11"/>
      <c r="I2766" s="11"/>
      <c r="J2766" s="11"/>
      <c r="K2766" s="11"/>
      <c r="L2766" s="11"/>
      <c r="M2766" s="11"/>
      <c r="N2766" s="30" t="str">
        <f>IFERROR(__xludf.DUMMYFUNCTION("""COMPUTED_VALUE"""),"acfil@uol.com.br")</f>
        <v>acfil@uol.com.br</v>
      </c>
      <c r="O2766" s="11">
        <f>IFERROR(__xludf.DUMMYFUNCTION("""COMPUTED_VALUE"""),33575363404)</f>
        <v>33575363404</v>
      </c>
      <c r="P2766" s="11"/>
      <c r="Q2766" s="11"/>
      <c r="R2766" s="11"/>
      <c r="S2766" s="11"/>
      <c r="T2766" s="11"/>
      <c r="U2766" s="11"/>
      <c r="V2766" s="11"/>
      <c r="W2766" s="11"/>
      <c r="X2766" s="11"/>
      <c r="Y2766" s="11"/>
      <c r="Z2766" s="11"/>
    </row>
    <row r="2767" customHeight="1" spans="1:26">
      <c r="A2767" s="11" t="str">
        <f>IFERROR(__xludf.DUMMYFUNCTION("""COMPUTED_VALUE"""),"SANDRA MARIA DE O GOUVEIA")</f>
        <v>SANDRA MARIA DE O GOUVEIA</v>
      </c>
      <c r="B2767" s="11"/>
      <c r="C2767" s="11"/>
      <c r="D2767" s="11" t="str">
        <f>IFERROR(__xludf.DUMMYFUNCTION("""COMPUTED_VALUE"""),"NEONATOLOGIA")</f>
        <v>NEONATOLOGIA</v>
      </c>
      <c r="E2767" s="11"/>
      <c r="F2767" s="11" t="str">
        <f>IFERROR(__xludf.DUMMYFUNCTION("""COMPUTED_VALUE"""),"US_165 MATERNIDADE BANDEIRA FILHO")</f>
        <v>US_165 MATERNIDADE BANDEIRA FILHO</v>
      </c>
      <c r="G2767" s="11" t="str">
        <f>IFERROR(__xludf.DUMMYFUNCTION("""COMPUTED_VALUE"""),"US_165 MATERNIDADE BANDEIRA FILHO")</f>
        <v>US_165 MATERNIDADE BANDEIRA FILHO</v>
      </c>
      <c r="H2767" s="11"/>
      <c r="I2767" s="11"/>
      <c r="J2767" s="11"/>
      <c r="K2767" s="11"/>
      <c r="L2767" s="11"/>
      <c r="M2767" s="11"/>
      <c r="N2767" s="30" t="str">
        <f>IFERROR(__xludf.DUMMYFUNCTION("""COMPUTED_VALUE"""),"sandra-gouveia@hotmail.com")</f>
        <v>sandra-gouveia@hotmail.com</v>
      </c>
      <c r="O2767" s="11">
        <f>IFERROR(__xludf.DUMMYFUNCTION("""COMPUTED_VALUE"""),35908785415)</f>
        <v>35908785415</v>
      </c>
      <c r="P2767" s="11"/>
      <c r="Q2767" s="11"/>
      <c r="R2767" s="11"/>
      <c r="S2767" s="11"/>
      <c r="T2767" s="11"/>
      <c r="U2767" s="11"/>
      <c r="V2767" s="11"/>
      <c r="W2767" s="11"/>
      <c r="X2767" s="11"/>
      <c r="Y2767" s="11"/>
      <c r="Z2767" s="11"/>
    </row>
    <row r="2768" customHeight="1" spans="1:26">
      <c r="A2768" s="11" t="str">
        <f>IFERROR(__xludf.DUMMYFUNCTION("""COMPUTED_VALUE"""),"ULIANNA BANDEIRA OLIVEIRA")</f>
        <v>ULIANNA BANDEIRA OLIVEIRA</v>
      </c>
      <c r="B2768" s="11"/>
      <c r="C2768" s="11"/>
      <c r="D2768" s="11" t="str">
        <f>IFERROR(__xludf.DUMMYFUNCTION("""COMPUTED_VALUE"""),"PEDIATRIA")</f>
        <v>PEDIATRIA</v>
      </c>
      <c r="E2768" s="11"/>
      <c r="F2768" s="11" t="str">
        <f>IFERROR(__xludf.DUMMYFUNCTION("""COMPUTED_VALUE"""),"US_153 POLICLINICA E MATERNIDADE ARNALDO MARQUES")</f>
        <v>US_153 POLICLINICA E MATERNIDADE ARNALDO MARQUES</v>
      </c>
      <c r="G2768" s="11" t="str">
        <f>IFERROR(__xludf.DUMMYFUNCTION("""COMPUTED_VALUE"""),"US_153 POLICLINICA E MATERNIDADE ARNALDO MARQUES")</f>
        <v>US_153 POLICLINICA E MATERNIDADE ARNALDO MARQUES</v>
      </c>
      <c r="H2768" s="11"/>
      <c r="I2768" s="11"/>
      <c r="J2768" s="11"/>
      <c r="K2768" s="11"/>
      <c r="L2768" s="11"/>
      <c r="M2768" s="11"/>
      <c r="N2768" s="30" t="str">
        <f>IFERROR(__xludf.DUMMYFUNCTION("""COMPUTED_VALUE"""),"uliannabandeira@gmail.com")</f>
        <v>uliannabandeira@gmail.com</v>
      </c>
      <c r="O2768" s="11">
        <f>IFERROR(__xludf.DUMMYFUNCTION("""COMPUTED_VALUE"""),47104627391)</f>
        <v>47104627391</v>
      </c>
      <c r="P2768" s="11"/>
      <c r="Q2768" s="11"/>
      <c r="R2768" s="11"/>
      <c r="S2768" s="11"/>
      <c r="T2768" s="11"/>
      <c r="U2768" s="11"/>
      <c r="V2768" s="11"/>
      <c r="W2768" s="11"/>
      <c r="X2768" s="11"/>
      <c r="Y2768" s="11"/>
      <c r="Z2768" s="11"/>
    </row>
    <row r="2769" customHeight="1" spans="1:26">
      <c r="A2769" s="11" t="str">
        <f>IFERROR(__xludf.DUMMYFUNCTION("""COMPUTED_VALUE"""),"MARCIA DE LIMA JAPIASSU")</f>
        <v>MARCIA DE LIMA JAPIASSU</v>
      </c>
      <c r="B2769" s="11"/>
      <c r="C2769" s="11"/>
      <c r="D2769" s="11" t="str">
        <f>IFERROR(__xludf.DUMMYFUNCTION("""COMPUTED_VALUE"""),"ANESTESIOLOGIA")</f>
        <v>ANESTESIOLOGIA</v>
      </c>
      <c r="E2769" s="11"/>
      <c r="F2769" s="11" t="str">
        <f>IFERROR(__xludf.DUMMYFUNCTION("""COMPUTED_VALUE"""),"US_165 MATERNIDADE BANDEIRA FILHO")</f>
        <v>US_165 MATERNIDADE BANDEIRA FILHO</v>
      </c>
      <c r="G2769" s="11" t="str">
        <f>IFERROR(__xludf.DUMMYFUNCTION("""COMPUTED_VALUE"""),"US_165 MATERNIDADE BANDEIRA FILHO")</f>
        <v>US_165 MATERNIDADE BANDEIRA FILHO</v>
      </c>
      <c r="H2769" s="11"/>
      <c r="I2769" s="11"/>
      <c r="J2769" s="11"/>
      <c r="K2769" s="11"/>
      <c r="L2769" s="11"/>
      <c r="M2769" s="11"/>
      <c r="N2769" s="30" t="str">
        <f>IFERROR(__xludf.DUMMYFUNCTION("""COMPUTED_VALUE"""),"japiassu.callado@oi.com.br")</f>
        <v>japiassu.callado@oi.com.br</v>
      </c>
      <c r="O2769" s="11">
        <f>IFERROR(__xludf.DUMMYFUNCTION("""COMPUTED_VALUE"""),62026763453)</f>
        <v>62026763453</v>
      </c>
      <c r="P2769" s="11"/>
      <c r="Q2769" s="11"/>
      <c r="R2769" s="11"/>
      <c r="S2769" s="11"/>
      <c r="T2769" s="11"/>
      <c r="U2769" s="11"/>
      <c r="V2769" s="11"/>
      <c r="W2769" s="11"/>
      <c r="X2769" s="11"/>
      <c r="Y2769" s="11"/>
      <c r="Z2769" s="11"/>
    </row>
    <row r="2770" customHeight="1" spans="1:26">
      <c r="A2770" s="11" t="str">
        <f>IFERROR(__xludf.DUMMYFUNCTION("""COMPUTED_VALUE"""),"SONIA LAVINIA COUTINHO CHEQUER")</f>
        <v>SONIA LAVINIA COUTINHO CHEQUER</v>
      </c>
      <c r="B2770" s="11"/>
      <c r="C2770" s="11"/>
      <c r="D2770" s="11" t="str">
        <f>IFERROR(__xludf.DUMMYFUNCTION("""COMPUTED_VALUE"""),"GINECOLOGIA E OBSTETRICIA")</f>
        <v>GINECOLOGIA E OBSTETRICIA</v>
      </c>
      <c r="E2770" s="11"/>
      <c r="F2770" s="11" t="str">
        <f>IFERROR(__xludf.DUMMYFUNCTION("""COMPUTED_VALUE"""),"US_153 POLICLINICA E MATERNIDADE ARNALDO MARQUES")</f>
        <v>US_153 POLICLINICA E MATERNIDADE ARNALDO MARQUES</v>
      </c>
      <c r="G2770" s="11" t="str">
        <f>IFERROR(__xludf.DUMMYFUNCTION("""COMPUTED_VALUE"""),"US_153 POLICLINICA E MATERNIDADE ARNALDO MARQUES")</f>
        <v>US_153 POLICLINICA E MATERNIDADE ARNALDO MARQUES</v>
      </c>
      <c r="H2770" s="11"/>
      <c r="I2770" s="11"/>
      <c r="J2770" s="11"/>
      <c r="K2770" s="11"/>
      <c r="L2770" s="11"/>
      <c r="M2770" s="11"/>
      <c r="N2770" s="30" t="str">
        <f>IFERROR(__xludf.DUMMYFUNCTION("""COMPUTED_VALUE"""),"ume_kalsoom4@hotmail.com")</f>
        <v>ume_kalsoom4@hotmail.com</v>
      </c>
      <c r="O2770" s="11">
        <f>IFERROR(__xludf.DUMMYFUNCTION("""COMPUTED_VALUE"""),69575185404)</f>
        <v>69575185404</v>
      </c>
      <c r="P2770" s="11"/>
      <c r="Q2770" s="11"/>
      <c r="R2770" s="11"/>
      <c r="S2770" s="11"/>
      <c r="T2770" s="11"/>
      <c r="U2770" s="11"/>
      <c r="V2770" s="11"/>
      <c r="W2770" s="11"/>
      <c r="X2770" s="11"/>
      <c r="Y2770" s="11"/>
      <c r="Z2770" s="11"/>
    </row>
    <row r="2771" customHeight="1" spans="1:26">
      <c r="A2771" s="11" t="str">
        <f>IFERROR(__xludf.DUMMYFUNCTION("""COMPUTED_VALUE"""),"MARIA BETANIA S DE M CORREIA")</f>
        <v>MARIA BETANIA S DE M CORREIA</v>
      </c>
      <c r="B2771" s="11"/>
      <c r="C2771" s="11"/>
      <c r="D2771" s="11" t="str">
        <f>IFERROR(__xludf.DUMMYFUNCTION("""COMPUTED_VALUE"""),"GINECOLOGIA E OBSTETRICIA")</f>
        <v>GINECOLOGIA E OBSTETRICIA</v>
      </c>
      <c r="E2771" s="11"/>
      <c r="F2771" s="11" t="str">
        <f>IFERROR(__xludf.DUMMYFUNCTION("""COMPUTED_VALUE"""),"US_165 MATERNIDADE BANDEIRA FILHO")</f>
        <v>US_165 MATERNIDADE BANDEIRA FILHO</v>
      </c>
      <c r="G2771" s="11" t="str">
        <f>IFERROR(__xludf.DUMMYFUNCTION("""COMPUTED_VALUE"""),"US_165 MATERNIDADE BANDEIRA FILHO")</f>
        <v>US_165 MATERNIDADE BANDEIRA FILHO</v>
      </c>
      <c r="H2771" s="11"/>
      <c r="I2771" s="11"/>
      <c r="J2771" s="11"/>
      <c r="K2771" s="11"/>
      <c r="L2771" s="11"/>
      <c r="M2771" s="11"/>
      <c r="N2771" s="30" t="str">
        <f>IFERROR(__xludf.DUMMYFUNCTION("""COMPUTED_VALUE"""),"betaniaseabra@hotmail.com")</f>
        <v>betaniaseabra@hotmail.com</v>
      </c>
      <c r="O2771" s="11">
        <f>IFERROR(__xludf.DUMMYFUNCTION("""COMPUTED_VALUE"""),18692877468)</f>
        <v>18692877468</v>
      </c>
      <c r="P2771" s="11"/>
      <c r="Q2771" s="11"/>
      <c r="R2771" s="11"/>
      <c r="S2771" s="11"/>
      <c r="T2771" s="11"/>
      <c r="U2771" s="11"/>
      <c r="V2771" s="11"/>
      <c r="W2771" s="11"/>
      <c r="X2771" s="11"/>
      <c r="Y2771" s="11"/>
      <c r="Z2771" s="11"/>
    </row>
    <row r="2772" customHeight="1" spans="1:26">
      <c r="A2772" s="11" t="str">
        <f>IFERROR(__xludf.DUMMYFUNCTION("""COMPUTED_VALUE"""),"ROSSANA COELHO E LEOPOLDINO")</f>
        <v>ROSSANA COELHO E LEOPOLDINO</v>
      </c>
      <c r="B2772" s="11"/>
      <c r="C2772" s="11"/>
      <c r="D2772" s="11" t="str">
        <f>IFERROR(__xludf.DUMMYFUNCTION("""COMPUTED_VALUE"""),"GINECOLOGIA E OBSTETRICIA")</f>
        <v>GINECOLOGIA E OBSTETRICIA</v>
      </c>
      <c r="E2772" s="11"/>
      <c r="F2772" s="11" t="str">
        <f>IFERROR(__xludf.DUMMYFUNCTION("""COMPUTED_VALUE"""),"US_167 POLICLINICA E MATERNIDADE PROFESSOR BARROS LIMA")</f>
        <v>US_167 POLICLINICA E MATERNIDADE PROFESSOR BARROS LIMA</v>
      </c>
      <c r="G2772" s="11" t="str">
        <f>IFERROR(__xludf.DUMMYFUNCTION("""COMPUTED_VALUE"""),"US_167 POLICLINICA E MATERNIDADE PROFESSOR BARROS LIMA")</f>
        <v>US_167 POLICLINICA E MATERNIDADE PROFESSOR BARROS LIMA</v>
      </c>
      <c r="H2772" s="11"/>
      <c r="I2772" s="11"/>
      <c r="J2772" s="11"/>
      <c r="K2772" s="11"/>
      <c r="L2772" s="11"/>
      <c r="M2772" s="11"/>
      <c r="N2772" s="30" t="str">
        <f>IFERROR(__xludf.DUMMYFUNCTION("""COMPUTED_VALUE"""),"rossanaepaminondas@hotmail.com                         ")</f>
        <v>rossanaepaminondas@hotmail.com                         </v>
      </c>
      <c r="O2772" s="11">
        <f>IFERROR(__xludf.DUMMYFUNCTION("""COMPUTED_VALUE"""),77183908453)</f>
        <v>77183908453</v>
      </c>
      <c r="P2772" s="11"/>
      <c r="Q2772" s="11"/>
      <c r="R2772" s="11"/>
      <c r="S2772" s="11"/>
      <c r="T2772" s="11"/>
      <c r="U2772" s="11"/>
      <c r="V2772" s="11"/>
      <c r="W2772" s="11"/>
      <c r="X2772" s="11"/>
      <c r="Y2772" s="11"/>
      <c r="Z2772" s="11"/>
    </row>
    <row r="2773" customHeight="1" spans="1:26">
      <c r="A2773" s="11" t="str">
        <f>IFERROR(__xludf.DUMMYFUNCTION("""COMPUTED_VALUE"""),"CRISTIANE DE FRANCA DANTAS")</f>
        <v>CRISTIANE DE FRANCA DANTAS</v>
      </c>
      <c r="B2773" s="11"/>
      <c r="C2773" s="11"/>
      <c r="D2773" s="11" t="str">
        <f>IFERROR(__xludf.DUMMYFUNCTION("""COMPUTED_VALUE"""),"ANESTESIOLOGIA")</f>
        <v>ANESTESIOLOGIA</v>
      </c>
      <c r="E2773" s="11"/>
      <c r="F2773" s="11" t="str">
        <f>IFERROR(__xludf.DUMMYFUNCTION("""COMPUTED_VALUE"""),"US_167 POLICLINICA E MATERNIDADE PROFESSOR BARROS LIMA")</f>
        <v>US_167 POLICLINICA E MATERNIDADE PROFESSOR BARROS LIMA</v>
      </c>
      <c r="G2773" s="11" t="str">
        <f>IFERROR(__xludf.DUMMYFUNCTION("""COMPUTED_VALUE"""),"US_167 POLICLINICA E MATERNIDADE PROFESSOR BARROS LIMA")</f>
        <v>US_167 POLICLINICA E MATERNIDADE PROFESSOR BARROS LIMA</v>
      </c>
      <c r="H2773" s="11"/>
      <c r="I2773" s="11"/>
      <c r="J2773" s="11"/>
      <c r="K2773" s="11"/>
      <c r="L2773" s="11"/>
      <c r="M2773" s="11"/>
      <c r="N2773" s="30" t="str">
        <f>IFERROR(__xludf.DUMMYFUNCTION("""COMPUTED_VALUE"""),"crisfdantas@hotmail.com")</f>
        <v>crisfdantas@hotmail.com</v>
      </c>
      <c r="O2773" s="11">
        <f>IFERROR(__xludf.DUMMYFUNCTION("""COMPUTED_VALUE"""),3152807430)</f>
        <v>3152807430</v>
      </c>
      <c r="P2773" s="11"/>
      <c r="Q2773" s="11"/>
      <c r="R2773" s="11"/>
      <c r="S2773" s="11"/>
      <c r="T2773" s="11"/>
      <c r="U2773" s="11"/>
      <c r="V2773" s="11"/>
      <c r="W2773" s="11"/>
      <c r="X2773" s="11"/>
      <c r="Y2773" s="11"/>
      <c r="Z2773" s="11"/>
    </row>
    <row r="2774" customHeight="1" spans="1:26">
      <c r="A2774" s="11" t="str">
        <f>IFERROR(__xludf.DUMMYFUNCTION("""COMPUTED_VALUE"""),"VALERIA GUIDOTTI C DE OLIVEIRA")</f>
        <v>VALERIA GUIDOTTI C DE OLIVEIRA</v>
      </c>
      <c r="B2774" s="11"/>
      <c r="C2774" s="11"/>
      <c r="D2774" s="11" t="str">
        <f>IFERROR(__xludf.DUMMYFUNCTION("""COMPUTED_VALUE"""),"ANESTESIOLOGIA")</f>
        <v>ANESTESIOLOGIA</v>
      </c>
      <c r="E2774" s="11"/>
      <c r="F2774" s="11" t="str">
        <f>IFERROR(__xludf.DUMMYFUNCTION("""COMPUTED_VALUE"""),"US_165 MATERNIDADE BANDEIRA FILHO")</f>
        <v>US_165 MATERNIDADE BANDEIRA FILHO</v>
      </c>
      <c r="G2774" s="11" t="str">
        <f>IFERROR(__xludf.DUMMYFUNCTION("""COMPUTED_VALUE"""),"US_165 MATERNIDADE BANDEIRA FILHO")</f>
        <v>US_165 MATERNIDADE BANDEIRA FILHO</v>
      </c>
      <c r="H2774" s="11"/>
      <c r="I2774" s="11"/>
      <c r="J2774" s="11"/>
      <c r="K2774" s="11"/>
      <c r="L2774" s="11"/>
      <c r="M2774" s="11"/>
      <c r="N2774" s="30" t="str">
        <f>IFERROR(__xludf.DUMMYFUNCTION("""COMPUTED_VALUE"""),"vgco@hotmail.com                                       ")</f>
        <v>vgco@hotmail.com                                       </v>
      </c>
      <c r="O2774" s="11">
        <f>IFERROR(__xludf.DUMMYFUNCTION("""COMPUTED_VALUE"""),3933462428)</f>
        <v>3933462428</v>
      </c>
      <c r="P2774" s="11"/>
      <c r="Q2774" s="11"/>
      <c r="R2774" s="11"/>
      <c r="S2774" s="11"/>
      <c r="T2774" s="11"/>
      <c r="U2774" s="11"/>
      <c r="V2774" s="11"/>
      <c r="W2774" s="11"/>
      <c r="X2774" s="11"/>
      <c r="Y2774" s="11"/>
      <c r="Z2774" s="11"/>
    </row>
    <row r="2775" customHeight="1" spans="1:26">
      <c r="A2775" s="11" t="str">
        <f>IFERROR(__xludf.DUMMYFUNCTION("""COMPUTED_VALUE"""),"LUCIANA CRISTINA S DE SOUZA")</f>
        <v>LUCIANA CRISTINA S DE SOUZA</v>
      </c>
      <c r="B2775" s="11"/>
      <c r="C2775" s="11"/>
      <c r="D2775" s="11" t="str">
        <f>IFERROR(__xludf.DUMMYFUNCTION("""COMPUTED_VALUE"""),"ANESTESIOLOGIA")</f>
        <v>ANESTESIOLOGIA</v>
      </c>
      <c r="E2775" s="11"/>
      <c r="F2775" s="11" t="str">
        <f>IFERROR(__xludf.DUMMYFUNCTION("""COMPUTED_VALUE"""),"US_167 POLICLINICA E MATERNIDADE PROFESSOR BARROS LIMA")</f>
        <v>US_167 POLICLINICA E MATERNIDADE PROFESSOR BARROS LIMA</v>
      </c>
      <c r="G2775" s="11" t="str">
        <f>IFERROR(__xludf.DUMMYFUNCTION("""COMPUTED_VALUE"""),"US_167 POLICLINICA E MATERNIDADE PROFESSOR BARROS LIMA")</f>
        <v>US_167 POLICLINICA E MATERNIDADE PROFESSOR BARROS LIMA</v>
      </c>
      <c r="H2775" s="11"/>
      <c r="I2775" s="11"/>
      <c r="J2775" s="11"/>
      <c r="K2775" s="11"/>
      <c r="L2775" s="11"/>
      <c r="M2775" s="11"/>
      <c r="N2775" s="30" t="str">
        <f>IFERROR(__xludf.DUMMYFUNCTION("""COMPUTED_VALUE"""),"lucianacsouza@hotmail.com")</f>
        <v>lucianacsouza@hotmail.com</v>
      </c>
      <c r="O2775" s="11">
        <f>IFERROR(__xludf.DUMMYFUNCTION("""COMPUTED_VALUE"""),3118598441)</f>
        <v>3118598441</v>
      </c>
      <c r="P2775" s="11"/>
      <c r="Q2775" s="11"/>
      <c r="R2775" s="11"/>
      <c r="S2775" s="11"/>
      <c r="T2775" s="11"/>
      <c r="U2775" s="11"/>
      <c r="V2775" s="11"/>
      <c r="W2775" s="11"/>
      <c r="X2775" s="11"/>
      <c r="Y2775" s="11"/>
      <c r="Z2775" s="11"/>
    </row>
    <row r="2776" customHeight="1" spans="1:26">
      <c r="A2776" s="11" t="str">
        <f>IFERROR(__xludf.DUMMYFUNCTION("""COMPUTED_VALUE"""),"DANIEL DINIZ CORREIA")</f>
        <v>DANIEL DINIZ CORREIA</v>
      </c>
      <c r="B2776" s="11"/>
      <c r="C2776" s="11"/>
      <c r="D2776" s="11" t="str">
        <f>IFERROR(__xludf.DUMMYFUNCTION("""COMPUTED_VALUE"""),"ANESTESIOLOGIA")</f>
        <v>ANESTESIOLOGIA</v>
      </c>
      <c r="E2776" s="11"/>
      <c r="F2776" s="11" t="str">
        <f>IFERROR(__xludf.DUMMYFUNCTION("""COMPUTED_VALUE"""),"US_153 POLICLINICA E MATERNIDADE ARNALDO MARQUES")</f>
        <v>US_153 POLICLINICA E MATERNIDADE ARNALDO MARQUES</v>
      </c>
      <c r="G2776" s="11" t="str">
        <f>IFERROR(__xludf.DUMMYFUNCTION("""COMPUTED_VALUE"""),"US_153 POLICLINICA E MATERNIDADE ARNALDO MARQUES")</f>
        <v>US_153 POLICLINICA E MATERNIDADE ARNALDO MARQUES</v>
      </c>
      <c r="H2776" s="11"/>
      <c r="I2776" s="11"/>
      <c r="J2776" s="11"/>
      <c r="K2776" s="11"/>
      <c r="L2776" s="11"/>
      <c r="M2776" s="11"/>
      <c r="N2776" s="30" t="str">
        <f>IFERROR(__xludf.DUMMYFUNCTION("""COMPUTED_VALUE"""),"ddcsanta@hotmail.com                                   ")</f>
        <v>ddcsanta@hotmail.com                                   </v>
      </c>
      <c r="O2776" s="11">
        <f>IFERROR(__xludf.DUMMYFUNCTION("""COMPUTED_VALUE"""),2990882430)</f>
        <v>2990882430</v>
      </c>
      <c r="P2776" s="11"/>
      <c r="Q2776" s="11"/>
      <c r="R2776" s="11"/>
      <c r="S2776" s="11"/>
      <c r="T2776" s="11"/>
      <c r="U2776" s="11"/>
      <c r="V2776" s="11"/>
      <c r="W2776" s="11"/>
      <c r="X2776" s="11"/>
      <c r="Y2776" s="11"/>
      <c r="Z2776" s="11"/>
    </row>
    <row r="2777" customHeight="1" spans="1:26">
      <c r="A2777" s="11" t="str">
        <f>IFERROR(__xludf.DUMMYFUNCTION("""COMPUTED_VALUE"""),"FERNANDA FERREIRA DE SANTANA")</f>
        <v>FERNANDA FERREIRA DE SANTANA</v>
      </c>
      <c r="B2777" s="11"/>
      <c r="C2777" s="11"/>
      <c r="D2777" s="11" t="str">
        <f>IFERROR(__xludf.DUMMYFUNCTION("""COMPUTED_VALUE"""),"CLINICA GERAL")</f>
        <v>CLINICA GERAL</v>
      </c>
      <c r="E2777" s="11"/>
      <c r="F2777" s="11" t="str">
        <f>IFERROR(__xludf.DUMMYFUNCTION("""COMPUTED_VALUE"""),"US_167 POLICLINICA E MATERNIDADE PROFESSOR BARROS LIMA")</f>
        <v>US_167 POLICLINICA E MATERNIDADE PROFESSOR BARROS LIMA</v>
      </c>
      <c r="G2777" s="11" t="str">
        <f>IFERROR(__xludf.DUMMYFUNCTION("""COMPUTED_VALUE"""),"US_167 POLICLINICA E MATERNIDADE PROFESSOR BARROS LIMA")</f>
        <v>US_167 POLICLINICA E MATERNIDADE PROFESSOR BARROS LIMA</v>
      </c>
      <c r="H2777" s="11"/>
      <c r="I2777" s="11"/>
      <c r="J2777" s="11"/>
      <c r="K2777" s="11"/>
      <c r="L2777" s="11"/>
      <c r="M2777" s="11"/>
      <c r="N2777" s="30" t="str">
        <f>IFERROR(__xludf.DUMMYFUNCTION("""COMPUTED_VALUE"""),"fernandafds@yahoo.com.br                               ")</f>
        <v>fernandafds@yahoo.com.br                               </v>
      </c>
      <c r="O2777" s="11">
        <f>IFERROR(__xludf.DUMMYFUNCTION("""COMPUTED_VALUE"""),1877436496)</f>
        <v>1877436496</v>
      </c>
      <c r="P2777" s="11"/>
      <c r="Q2777" s="11"/>
      <c r="R2777" s="11"/>
      <c r="S2777" s="11"/>
      <c r="T2777" s="11"/>
      <c r="U2777" s="11"/>
      <c r="V2777" s="11"/>
      <c r="W2777" s="11"/>
      <c r="X2777" s="11"/>
      <c r="Y2777" s="11"/>
      <c r="Z2777" s="11"/>
    </row>
    <row r="2778" customHeight="1" spans="1:26">
      <c r="A2778" s="11" t="str">
        <f>IFERROR(__xludf.DUMMYFUNCTION("""COMPUTED_VALUE"""),"ANA CATARINA M DE OLIVEIRA")</f>
        <v>ANA CATARINA M DE OLIVEIRA</v>
      </c>
      <c r="B2778" s="11"/>
      <c r="C2778" s="11"/>
      <c r="D2778" s="11" t="str">
        <f>IFERROR(__xludf.DUMMYFUNCTION("""COMPUTED_VALUE""")," CLINICA GERAL ")</f>
        <v> CLINICA GERAL </v>
      </c>
      <c r="E2778" s="11"/>
      <c r="F2778" s="11" t="str">
        <f>IFERROR(__xludf.DUMMYFUNCTION("""COMPUTED_VALUE"""),"US_153 POLICLINICA E MATERNIDADE ARNALDO MARQUES")</f>
        <v>US_153 POLICLINICA E MATERNIDADE ARNALDO MARQUES</v>
      </c>
      <c r="G2778" s="11" t="str">
        <f>IFERROR(__xludf.DUMMYFUNCTION("""COMPUTED_VALUE"""),"US_153 POLICLINICA E MATERNIDADE ARNALDO MARQUES")</f>
        <v>US_153 POLICLINICA E MATERNIDADE ARNALDO MARQUES</v>
      </c>
      <c r="H2778" s="11"/>
      <c r="I2778" s="11"/>
      <c r="J2778" s="11"/>
      <c r="K2778" s="11"/>
      <c r="L2778" s="11"/>
      <c r="M2778" s="11"/>
      <c r="N2778" s="30" t="str">
        <f>IFERROR(__xludf.DUMMYFUNCTION("""COMPUTED_VALUE"""),"catamoroto@yahoo.com.br")</f>
        <v>catamoroto@yahoo.com.br</v>
      </c>
      <c r="O2778" s="11">
        <f>IFERROR(__xludf.DUMMYFUNCTION("""COMPUTED_VALUE"""),990446417)</f>
        <v>990446417</v>
      </c>
      <c r="P2778" s="11"/>
      <c r="Q2778" s="11"/>
      <c r="R2778" s="11"/>
      <c r="S2778" s="11"/>
      <c r="T2778" s="11"/>
      <c r="U2778" s="11"/>
      <c r="V2778" s="11"/>
      <c r="W2778" s="11"/>
      <c r="X2778" s="11"/>
      <c r="Y2778" s="11"/>
      <c r="Z2778" s="11"/>
    </row>
    <row r="2779" customHeight="1" spans="1:26">
      <c r="A2779" s="11" t="str">
        <f>IFERROR(__xludf.DUMMYFUNCTION("""COMPUTED_VALUE"""),"SILVANA MARIA DA C ALBUQUERQUE")</f>
        <v>SILVANA MARIA DA C ALBUQUERQUE</v>
      </c>
      <c r="B2779" s="11"/>
      <c r="C2779" s="11"/>
      <c r="D2779" s="11" t="str">
        <f>IFERROR(__xludf.DUMMYFUNCTION("""COMPUTED_VALUE"""),"ANESTESIOLOGIA")</f>
        <v>ANESTESIOLOGIA</v>
      </c>
      <c r="E2779" s="11"/>
      <c r="F2779" s="11" t="str">
        <f>IFERROR(__xludf.DUMMYFUNCTION("""COMPUTED_VALUE"""),"US_165 MATERNIDADE BANDEIRA FILHO")</f>
        <v>US_165 MATERNIDADE BANDEIRA FILHO</v>
      </c>
      <c r="G2779" s="11" t="str">
        <f>IFERROR(__xludf.DUMMYFUNCTION("""COMPUTED_VALUE"""),"US_165 MATERNIDADE BANDEIRA FILHO")</f>
        <v>US_165 MATERNIDADE BANDEIRA FILHO</v>
      </c>
      <c r="H2779" s="11"/>
      <c r="I2779" s="11"/>
      <c r="J2779" s="11"/>
      <c r="K2779" s="11"/>
      <c r="L2779" s="11"/>
      <c r="M2779" s="11"/>
      <c r="N2779" s="30" t="str">
        <f>IFERROR(__xludf.DUMMYFUNCTION("""COMPUTED_VALUE"""),"silvana_albuquerque@hotmail.com")</f>
        <v>silvana_albuquerque@hotmail.com</v>
      </c>
      <c r="O2779" s="11">
        <f>IFERROR(__xludf.DUMMYFUNCTION("""COMPUTED_VALUE"""),86658433453)</f>
        <v>86658433453</v>
      </c>
      <c r="P2779" s="11"/>
      <c r="Q2779" s="11"/>
      <c r="R2779" s="11"/>
      <c r="S2779" s="11"/>
      <c r="T2779" s="11"/>
      <c r="U2779" s="11"/>
      <c r="V2779" s="11"/>
      <c r="W2779" s="11"/>
      <c r="X2779" s="11"/>
      <c r="Y2779" s="11"/>
      <c r="Z2779" s="11"/>
    </row>
    <row r="2780" customHeight="1" spans="1:26">
      <c r="A2780" s="11" t="str">
        <f>IFERROR(__xludf.DUMMYFUNCTION("""COMPUTED_VALUE"""),"SUZANA MARQUES DUARTE")</f>
        <v>SUZANA MARQUES DUARTE</v>
      </c>
      <c r="B2780" s="11"/>
      <c r="C2780" s="11"/>
      <c r="D2780" s="11" t="str">
        <f>IFERROR(__xludf.DUMMYFUNCTION("""COMPUTED_VALUE"""),"ANESTESIOLOGIA")</f>
        <v>ANESTESIOLOGIA</v>
      </c>
      <c r="E2780" s="11"/>
      <c r="F2780" s="11" t="str">
        <f>IFERROR(__xludf.DUMMYFUNCTION("""COMPUTED_VALUE"""),"US_167 POLICLINICA E MATERNIDADE PROFESSOR BARROS LIMA")</f>
        <v>US_167 POLICLINICA E MATERNIDADE PROFESSOR BARROS LIMA</v>
      </c>
      <c r="G2780" s="11" t="str">
        <f>IFERROR(__xludf.DUMMYFUNCTION("""COMPUTED_VALUE"""),"US_167 POLICLINICA E MATERNIDADE PROFESSOR BARROS LIMA")</f>
        <v>US_167 POLICLINICA E MATERNIDADE PROFESSOR BARROS LIMA</v>
      </c>
      <c r="H2780" s="11"/>
      <c r="I2780" s="11"/>
      <c r="J2780" s="11"/>
      <c r="K2780" s="11"/>
      <c r="L2780" s="11"/>
      <c r="M2780" s="11"/>
      <c r="N2780" s="30" t="str">
        <f>IFERROR(__xludf.DUMMYFUNCTION("""COMPUTED_VALUE"""),"suzi.duarte@gmail.com")</f>
        <v>suzi.duarte@gmail.com</v>
      </c>
      <c r="O2780" s="11">
        <f>IFERROR(__xludf.DUMMYFUNCTION("""COMPUTED_VALUE"""),3441160428)</f>
        <v>3441160428</v>
      </c>
      <c r="P2780" s="11"/>
      <c r="Q2780" s="11"/>
      <c r="R2780" s="11"/>
      <c r="S2780" s="11"/>
      <c r="T2780" s="11"/>
      <c r="U2780" s="11"/>
      <c r="V2780" s="11"/>
      <c r="W2780" s="11"/>
      <c r="X2780" s="11"/>
      <c r="Y2780" s="11"/>
      <c r="Z2780" s="11"/>
    </row>
    <row r="2781" customHeight="1" spans="1:26">
      <c r="A2781" s="11" t="str">
        <f>IFERROR(__xludf.DUMMYFUNCTION("""COMPUTED_VALUE"""),"VIVIAN BOA VISTA RIZZUTO")</f>
        <v>VIVIAN BOA VISTA RIZZUTO</v>
      </c>
      <c r="B2781" s="11"/>
      <c r="C2781" s="11"/>
      <c r="D2781" s="11" t="str">
        <f>IFERROR(__xludf.DUMMYFUNCTION("""COMPUTED_VALUE"""),"ANESTESIOLOGIA")</f>
        <v>ANESTESIOLOGIA</v>
      </c>
      <c r="E2781" s="11"/>
      <c r="F2781" s="11" t="str">
        <f>IFERROR(__xludf.DUMMYFUNCTION("""COMPUTED_VALUE"""),"US_153 POLICLINICA E MATERNIDADE ARNALDO MARQUES")</f>
        <v>US_153 POLICLINICA E MATERNIDADE ARNALDO MARQUES</v>
      </c>
      <c r="G2781" s="11" t="str">
        <f>IFERROR(__xludf.DUMMYFUNCTION("""COMPUTED_VALUE"""),"US_153 POLICLINICA E MATERNIDADE ARNALDO MARQUES")</f>
        <v>US_153 POLICLINICA E MATERNIDADE ARNALDO MARQUES</v>
      </c>
      <c r="H2781" s="11"/>
      <c r="I2781" s="11"/>
      <c r="J2781" s="11"/>
      <c r="K2781" s="11"/>
      <c r="L2781" s="11"/>
      <c r="M2781" s="11"/>
      <c r="N2781" s="30" t="str">
        <f>IFERROR(__xludf.DUMMYFUNCTION("""COMPUTED_VALUE"""),"vivianrizzuto@gmail.com")</f>
        <v>vivianrizzuto@gmail.com</v>
      </c>
      <c r="O2781" s="11">
        <f>IFERROR(__xludf.DUMMYFUNCTION("""COMPUTED_VALUE"""),3923563418)</f>
        <v>3923563418</v>
      </c>
      <c r="P2781" s="11"/>
      <c r="Q2781" s="11"/>
      <c r="R2781" s="11"/>
      <c r="S2781" s="11"/>
      <c r="T2781" s="11"/>
      <c r="U2781" s="11"/>
      <c r="V2781" s="11"/>
      <c r="W2781" s="11"/>
      <c r="X2781" s="11"/>
      <c r="Y2781" s="11"/>
      <c r="Z2781" s="11"/>
    </row>
    <row r="2782" customHeight="1" spans="1:26">
      <c r="A2782" s="11" t="str">
        <f>IFERROR(__xludf.DUMMYFUNCTION("""COMPUTED_VALUE"""),"DOUGLAS DEO RIBEIRO")</f>
        <v>DOUGLAS DEO RIBEIRO</v>
      </c>
      <c r="B2782" s="11"/>
      <c r="C2782" s="11"/>
      <c r="D2782" s="11" t="str">
        <f>IFERROR(__xludf.DUMMYFUNCTION("""COMPUTED_VALUE""")," CLINICA GERAL ")</f>
        <v> CLINICA GERAL </v>
      </c>
      <c r="E2782" s="11"/>
      <c r="F2782" s="11" t="str">
        <f>IFERROR(__xludf.DUMMYFUNCTION("""COMPUTED_VALUE"""),"US_153 POLICLINICA E MATERNIDADE ARNALDO MARQUES")</f>
        <v>US_153 POLICLINICA E MATERNIDADE ARNALDO MARQUES</v>
      </c>
      <c r="G2782" s="11" t="str">
        <f>IFERROR(__xludf.DUMMYFUNCTION("""COMPUTED_VALUE"""),"US_153 POLICLINICA E MATERNIDADE ARNALDO MARQUES")</f>
        <v>US_153 POLICLINICA E MATERNIDADE ARNALDO MARQUES</v>
      </c>
      <c r="H2782" s="11"/>
      <c r="I2782" s="11"/>
      <c r="J2782" s="11"/>
      <c r="K2782" s="11"/>
      <c r="L2782" s="11"/>
      <c r="M2782" s="11"/>
      <c r="N2782" s="30" t="str">
        <f>IFERROR(__xludf.DUMMYFUNCTION("""COMPUTED_VALUE"""),"doug_deo@yahoo.com.br")</f>
        <v>doug_deo@yahoo.com.br</v>
      </c>
      <c r="O2782" s="11">
        <f>IFERROR(__xludf.DUMMYFUNCTION("""COMPUTED_VALUE"""),4552333496)</f>
        <v>4552333496</v>
      </c>
      <c r="P2782" s="11"/>
      <c r="Q2782" s="11"/>
      <c r="R2782" s="11"/>
      <c r="S2782" s="11"/>
      <c r="T2782" s="11"/>
      <c r="U2782" s="11"/>
      <c r="V2782" s="11"/>
      <c r="W2782" s="11"/>
      <c r="X2782" s="11"/>
      <c r="Y2782" s="11"/>
      <c r="Z2782" s="11"/>
    </row>
    <row r="2783" customHeight="1" spans="1:26">
      <c r="A2783" s="11" t="str">
        <f>IFERROR(__xludf.DUMMYFUNCTION("""COMPUTED_VALUE"""),"ANA PAULA DE ANDRADE SANTOS")</f>
        <v>ANA PAULA DE ANDRADE SANTOS</v>
      </c>
      <c r="B2783" s="11"/>
      <c r="C2783" s="11"/>
      <c r="D2783" s="11" t="str">
        <f>IFERROR(__xludf.DUMMYFUNCTION("""COMPUTED_VALUE""")," CLINICA GERAL ")</f>
        <v> CLINICA GERAL </v>
      </c>
      <c r="E2783" s="11"/>
      <c r="F2783" s="11" t="str">
        <f>IFERROR(__xludf.DUMMYFUNCTION("""COMPUTED_VALUE"""),"US_153 POLICLINICA E MATERNIDADE ARNALDO MARQUES")</f>
        <v>US_153 POLICLINICA E MATERNIDADE ARNALDO MARQUES</v>
      </c>
      <c r="G2783" s="11" t="str">
        <f>IFERROR(__xludf.DUMMYFUNCTION("""COMPUTED_VALUE"""),"US_153 POLICLINICA E MATERNIDADE ARNALDO MARQUES")</f>
        <v>US_153 POLICLINICA E MATERNIDADE ARNALDO MARQUES</v>
      </c>
      <c r="H2783" s="11"/>
      <c r="I2783" s="11"/>
      <c r="J2783" s="11"/>
      <c r="K2783" s="11"/>
      <c r="L2783" s="11"/>
      <c r="M2783" s="11"/>
      <c r="N2783" s="30" t="str">
        <f>IFERROR(__xludf.DUMMYFUNCTION("""COMPUTED_VALUE"""),"GERALDO.HENRIQUE@OI.COM.BR")</f>
        <v>GERALDO.HENRIQUE@OI.COM.BR</v>
      </c>
      <c r="O2783" s="11">
        <f>IFERROR(__xludf.DUMMYFUNCTION("""COMPUTED_VALUE"""),49664204404)</f>
        <v>49664204404</v>
      </c>
      <c r="P2783" s="11"/>
      <c r="Q2783" s="11"/>
      <c r="R2783" s="11"/>
      <c r="S2783" s="11"/>
      <c r="T2783" s="11"/>
      <c r="U2783" s="11"/>
      <c r="V2783" s="11"/>
      <c r="W2783" s="11"/>
      <c r="X2783" s="11"/>
      <c r="Y2783" s="11"/>
      <c r="Z2783" s="11"/>
    </row>
    <row r="2784" customHeight="1" spans="1:26">
      <c r="A2784" s="11" t="str">
        <f>IFERROR(__xludf.DUMMYFUNCTION("""COMPUTED_VALUE"""),"MARIANA TORRES F CORREIA")</f>
        <v>MARIANA TORRES F CORREIA</v>
      </c>
      <c r="B2784" s="11"/>
      <c r="C2784" s="11"/>
      <c r="D2784" s="11" t="str">
        <f>IFERROR(__xludf.DUMMYFUNCTION("""COMPUTED_VALUE"""),"NEONATOLOGIA")</f>
        <v>NEONATOLOGIA</v>
      </c>
      <c r="E2784" s="11"/>
      <c r="F2784" s="11" t="str">
        <f>IFERROR(__xludf.DUMMYFUNCTION("""COMPUTED_VALUE"""),"US_165 MATERNIDADE BANDEIRA FILHO")</f>
        <v>US_165 MATERNIDADE BANDEIRA FILHO</v>
      </c>
      <c r="G2784" s="11" t="str">
        <f>IFERROR(__xludf.DUMMYFUNCTION("""COMPUTED_VALUE"""),"US_165 MATERNIDADE BANDEIRA FILHO")</f>
        <v>US_165 MATERNIDADE BANDEIRA FILHO</v>
      </c>
      <c r="H2784" s="11"/>
      <c r="I2784" s="11"/>
      <c r="J2784" s="11"/>
      <c r="K2784" s="11"/>
      <c r="L2784" s="11"/>
      <c r="M2784" s="11"/>
      <c r="N2784" s="30" t="str">
        <f>IFERROR(__xludf.DUMMYFUNCTION("""COMPUTED_VALUE"""),"marianatf@yahoo.com.br                                 ")</f>
        <v>marianatf@yahoo.com.br                                 </v>
      </c>
      <c r="O2784" s="11">
        <f>IFERROR(__xludf.DUMMYFUNCTION("""COMPUTED_VALUE"""),3945083435)</f>
        <v>3945083435</v>
      </c>
      <c r="P2784" s="11"/>
      <c r="Q2784" s="11"/>
      <c r="R2784" s="11"/>
      <c r="S2784" s="11"/>
      <c r="T2784" s="11"/>
      <c r="U2784" s="11"/>
      <c r="V2784" s="11"/>
      <c r="W2784" s="11"/>
      <c r="X2784" s="11"/>
      <c r="Y2784" s="11"/>
      <c r="Z2784" s="11"/>
    </row>
    <row r="2785" customHeight="1" spans="1:26">
      <c r="A2785" s="11" t="str">
        <f>IFERROR(__xludf.DUMMYFUNCTION("""COMPUTED_VALUE"""),"ERNESTINA PAULA DE A PIMENTEL")</f>
        <v>ERNESTINA PAULA DE A PIMENTEL</v>
      </c>
      <c r="B2785" s="11"/>
      <c r="C2785" s="11"/>
      <c r="D2785" s="11" t="str">
        <f>IFERROR(__xludf.DUMMYFUNCTION("""COMPUTED_VALUE"""),"NEONATOLOGIA")</f>
        <v>NEONATOLOGIA</v>
      </c>
      <c r="E2785" s="11"/>
      <c r="F2785" s="11" t="str">
        <f>IFERROR(__xludf.DUMMYFUNCTION("""COMPUTED_VALUE"""),"US_153 POLICLINICA E MATERNIDADE ARNALDO MARQUES")</f>
        <v>US_153 POLICLINICA E MATERNIDADE ARNALDO MARQUES</v>
      </c>
      <c r="G2785" s="11" t="str">
        <f>IFERROR(__xludf.DUMMYFUNCTION("""COMPUTED_VALUE"""),"US_153 POLICLINICA E MATERNIDADE ARNALDO MARQUES")</f>
        <v>US_153 POLICLINICA E MATERNIDADE ARNALDO MARQUES</v>
      </c>
      <c r="H2785" s="11"/>
      <c r="I2785" s="11"/>
      <c r="J2785" s="11"/>
      <c r="K2785" s="11"/>
      <c r="L2785" s="11"/>
      <c r="M2785" s="11"/>
      <c r="N2785" s="30" t="str">
        <f>IFERROR(__xludf.DUMMYFUNCTION("""COMPUTED_VALUE"""),"eppimentel@globo.com")</f>
        <v>eppimentel@globo.com</v>
      </c>
      <c r="O2785" s="11">
        <f>IFERROR(__xludf.DUMMYFUNCTION("""COMPUTED_VALUE"""),93546998472)</f>
        <v>93546998472</v>
      </c>
      <c r="P2785" s="11"/>
      <c r="Q2785" s="11"/>
      <c r="R2785" s="11"/>
      <c r="S2785" s="11"/>
      <c r="T2785" s="11"/>
      <c r="U2785" s="11"/>
      <c r="V2785" s="11"/>
      <c r="W2785" s="11"/>
      <c r="X2785" s="11"/>
      <c r="Y2785" s="11"/>
      <c r="Z2785" s="11"/>
    </row>
    <row r="2786" customHeight="1" spans="1:26">
      <c r="A2786" s="11" t="str">
        <f>IFERROR(__xludf.DUMMYFUNCTION("""COMPUTED_VALUE"""),"DANIELLE KELLY C DE OLIVEIRA")</f>
        <v>DANIELLE KELLY C DE OLIVEIRA</v>
      </c>
      <c r="B2786" s="11"/>
      <c r="C2786" s="11"/>
      <c r="D2786" s="11" t="str">
        <f>IFERROR(__xludf.DUMMYFUNCTION("""COMPUTED_VALUE"""),"GINECOLOGIA E OBSTETRICIA")</f>
        <v>GINECOLOGIA E OBSTETRICIA</v>
      </c>
      <c r="E2786" s="11"/>
      <c r="F2786" s="11" t="str">
        <f>IFERROR(__xludf.DUMMYFUNCTION("""COMPUTED_VALUE"""),"US_153 POLICLINICA E MATERNIDADE ARNALDO MARQUES")</f>
        <v>US_153 POLICLINICA E MATERNIDADE ARNALDO MARQUES</v>
      </c>
      <c r="G2786" s="11" t="str">
        <f>IFERROR(__xludf.DUMMYFUNCTION("""COMPUTED_VALUE"""),"US_153 POLICLINICA E MATERNIDADE ARNALDO MARQUES")</f>
        <v>US_153 POLICLINICA E MATERNIDADE ARNALDO MARQUES</v>
      </c>
      <c r="H2786" s="11"/>
      <c r="I2786" s="11"/>
      <c r="J2786" s="11"/>
      <c r="K2786" s="11"/>
      <c r="L2786" s="11"/>
      <c r="M2786" s="11"/>
      <c r="N2786" s="30" t="str">
        <f>IFERROR(__xludf.DUMMYFUNCTION("""COMPUTED_VALUE"""),"danikellyo1@hotmail.com")</f>
        <v>danikellyo1@hotmail.com</v>
      </c>
      <c r="O2786" s="11">
        <f>IFERROR(__xludf.DUMMYFUNCTION("""COMPUTED_VALUE"""),3458151494)</f>
        <v>3458151494</v>
      </c>
      <c r="P2786" s="11"/>
      <c r="Q2786" s="11"/>
      <c r="R2786" s="11"/>
      <c r="S2786" s="11"/>
      <c r="T2786" s="11"/>
      <c r="U2786" s="11"/>
      <c r="V2786" s="11"/>
      <c r="W2786" s="11"/>
      <c r="X2786" s="11"/>
      <c r="Y2786" s="11"/>
      <c r="Z2786" s="11"/>
    </row>
    <row r="2787" customHeight="1" spans="1:26">
      <c r="A2787" s="11" t="str">
        <f>IFERROR(__xludf.DUMMYFUNCTION("""COMPUTED_VALUE"""),"DANIELLE LAET SILVA")</f>
        <v>DANIELLE LAET SILVA</v>
      </c>
      <c r="B2787" s="11"/>
      <c r="C2787" s="11"/>
      <c r="D2787" s="11" t="str">
        <f>IFERROR(__xludf.DUMMYFUNCTION("""COMPUTED_VALUE"""),"NEONATOLOGIA")</f>
        <v>NEONATOLOGIA</v>
      </c>
      <c r="E2787" s="11"/>
      <c r="F2787" s="11" t="str">
        <f>IFERROR(__xludf.DUMMYFUNCTION("""COMPUTED_VALUE"""),"US_153 POLICLINICA E MATERNIDADE ARNALDO MARQUES")</f>
        <v>US_153 POLICLINICA E MATERNIDADE ARNALDO MARQUES</v>
      </c>
      <c r="G2787" s="11" t="str">
        <f>IFERROR(__xludf.DUMMYFUNCTION("""COMPUTED_VALUE"""),"US_153 POLICLINICA E MATERNIDADE ARNALDO MARQUES")</f>
        <v>US_153 POLICLINICA E MATERNIDADE ARNALDO MARQUES</v>
      </c>
      <c r="H2787" s="11"/>
      <c r="I2787" s="11"/>
      <c r="J2787" s="11"/>
      <c r="K2787" s="11"/>
      <c r="L2787" s="11"/>
      <c r="M2787" s="11"/>
      <c r="N2787" s="30" t="str">
        <f>IFERROR(__xludf.DUMMYFUNCTION("""COMPUTED_VALUE"""),"dani_laet@hotmail.com")</f>
        <v>dani_laet@hotmail.com</v>
      </c>
      <c r="O2787" s="11">
        <f>IFERROR(__xludf.DUMMYFUNCTION("""COMPUTED_VALUE"""),3454023408)</f>
        <v>3454023408</v>
      </c>
      <c r="P2787" s="11"/>
      <c r="Q2787" s="11"/>
      <c r="R2787" s="11"/>
      <c r="S2787" s="11"/>
      <c r="T2787" s="11"/>
      <c r="U2787" s="11"/>
      <c r="V2787" s="11"/>
      <c r="W2787" s="11"/>
      <c r="X2787" s="11"/>
      <c r="Y2787" s="11"/>
      <c r="Z2787" s="11"/>
    </row>
    <row r="2788" customHeight="1" spans="1:26">
      <c r="A2788" s="11" t="str">
        <f>IFERROR(__xludf.DUMMYFUNCTION("""COMPUTED_VALUE"""),"MONICA MARTINS REIS")</f>
        <v>MONICA MARTINS REIS</v>
      </c>
      <c r="B2788" s="11"/>
      <c r="C2788" s="11"/>
      <c r="D2788" s="11" t="str">
        <f>IFERROR(__xludf.DUMMYFUNCTION("""COMPUTED_VALUE"""),"PEDIATRIA")</f>
        <v>PEDIATRIA</v>
      </c>
      <c r="E2788" s="11"/>
      <c r="F2788" s="11" t="str">
        <f>IFERROR(__xludf.DUMMYFUNCTION("""COMPUTED_VALUE"""),"US_153 POLICLINICA E MATERNIDADE ARNALDO MARQUES")</f>
        <v>US_153 POLICLINICA E MATERNIDADE ARNALDO MARQUES</v>
      </c>
      <c r="G2788" s="11" t="str">
        <f>IFERROR(__xludf.DUMMYFUNCTION("""COMPUTED_VALUE"""),"US_153 POLICLINICA E MATERNIDADE ARNALDO MARQUES")</f>
        <v>US_153 POLICLINICA E MATERNIDADE ARNALDO MARQUES</v>
      </c>
      <c r="H2788" s="11"/>
      <c r="I2788" s="11"/>
      <c r="J2788" s="11"/>
      <c r="K2788" s="11"/>
      <c r="L2788" s="11"/>
      <c r="M2788" s="11"/>
      <c r="N2788" s="30" t="str">
        <f>IFERROR(__xludf.DUMMYFUNCTION("""COMPUTED_VALUE"""),"monica_mreis@hotmail.com")</f>
        <v>monica_mreis@hotmail.com</v>
      </c>
      <c r="O2788" s="11">
        <f>IFERROR(__xludf.DUMMYFUNCTION("""COMPUTED_VALUE"""),79491057472)</f>
        <v>79491057472</v>
      </c>
      <c r="P2788" s="11"/>
      <c r="Q2788" s="11"/>
      <c r="R2788" s="11"/>
      <c r="S2788" s="11"/>
      <c r="T2788" s="11"/>
      <c r="U2788" s="11"/>
      <c r="V2788" s="11"/>
      <c r="W2788" s="11"/>
      <c r="X2788" s="11"/>
      <c r="Y2788" s="11"/>
      <c r="Z2788" s="11"/>
    </row>
    <row r="2789" customHeight="1" spans="1:26">
      <c r="A2789" s="11" t="str">
        <f>IFERROR(__xludf.DUMMYFUNCTION("""COMPUTED_VALUE"""),"LUIZ ANDRE DE LIMA MELO")</f>
        <v>LUIZ ANDRE DE LIMA MELO</v>
      </c>
      <c r="B2789" s="11"/>
      <c r="C2789" s="11"/>
      <c r="D2789" s="11" t="str">
        <f>IFERROR(__xludf.DUMMYFUNCTION("""COMPUTED_VALUE"""),"NEONATOLOGIA")</f>
        <v>NEONATOLOGIA</v>
      </c>
      <c r="E2789" s="11"/>
      <c r="F2789" s="11" t="str">
        <f>IFERROR(__xludf.DUMMYFUNCTION("""COMPUTED_VALUE"""),"US_153 POLICLINICA E MATERNIDADE ARNALDO MARQUES")</f>
        <v>US_153 POLICLINICA E MATERNIDADE ARNALDO MARQUES</v>
      </c>
      <c r="G2789" s="11" t="str">
        <f>IFERROR(__xludf.DUMMYFUNCTION("""COMPUTED_VALUE"""),"US_153 POLICLINICA E MATERNIDADE ARNALDO MARQUES")</f>
        <v>US_153 POLICLINICA E MATERNIDADE ARNALDO MARQUES</v>
      </c>
      <c r="H2789" s="11"/>
      <c r="I2789" s="11"/>
      <c r="J2789" s="11"/>
      <c r="K2789" s="11"/>
      <c r="L2789" s="11"/>
      <c r="M2789" s="11"/>
      <c r="N2789" s="30" t="str">
        <f>IFERROR(__xludf.DUMMYFUNCTION("""COMPUTED_VALUE"""),"luizandremelo@gmail.com                                ")</f>
        <v>luizandremelo@gmail.com                                </v>
      </c>
      <c r="O2789" s="11">
        <f>IFERROR(__xludf.DUMMYFUNCTION("""COMPUTED_VALUE"""),92301983404)</f>
        <v>92301983404</v>
      </c>
      <c r="P2789" s="11"/>
      <c r="Q2789" s="11"/>
      <c r="R2789" s="11"/>
      <c r="S2789" s="11"/>
      <c r="T2789" s="11"/>
      <c r="U2789" s="11"/>
      <c r="V2789" s="11"/>
      <c r="W2789" s="11"/>
      <c r="X2789" s="11"/>
      <c r="Y2789" s="11"/>
      <c r="Z2789" s="11"/>
    </row>
    <row r="2790" customHeight="1" spans="1:26">
      <c r="A2790" s="11" t="str">
        <f>IFERROR(__xludf.DUMMYFUNCTION("""COMPUTED_VALUE"""),"ANDREA CARLA MACIEL DE LEAO")</f>
        <v>ANDREA CARLA MACIEL DE LEAO</v>
      </c>
      <c r="B2790" s="11"/>
      <c r="C2790" s="11"/>
      <c r="D2790" s="11" t="str">
        <f>IFERROR(__xludf.DUMMYFUNCTION("""COMPUTED_VALUE"""),"CLINICA GERAL")</f>
        <v>CLINICA GERAL</v>
      </c>
      <c r="E2790" s="11"/>
      <c r="F2790" s="11" t="str">
        <f>IFERROR(__xludf.DUMMYFUNCTION("""COMPUTED_VALUE"""),"US_153 POLICLINICA E MATERNIDADE ARNALDO MARQUES")</f>
        <v>US_153 POLICLINICA E MATERNIDADE ARNALDO MARQUES</v>
      </c>
      <c r="G2790" s="11" t="str">
        <f>IFERROR(__xludf.DUMMYFUNCTION("""COMPUTED_VALUE"""),"US_153 POLICLINICA E MATERNIDADE ARNALDO MARQUES")</f>
        <v>US_153 POLICLINICA E MATERNIDADE ARNALDO MARQUES</v>
      </c>
      <c r="H2790" s="11"/>
      <c r="I2790" s="11"/>
      <c r="J2790" s="11"/>
      <c r="K2790" s="11"/>
      <c r="L2790" s="11"/>
      <c r="M2790" s="11"/>
      <c r="N2790" s="30" t="str">
        <f>IFERROR(__xludf.DUMMYFUNCTION("""COMPUTED_VALUE"""),"acmleao@bol.com.br")</f>
        <v>acmleao@bol.com.br</v>
      </c>
      <c r="O2790" s="11">
        <f>IFERROR(__xludf.DUMMYFUNCTION("""COMPUTED_VALUE"""),69593876472)</f>
        <v>69593876472</v>
      </c>
      <c r="P2790" s="11"/>
      <c r="Q2790" s="11"/>
      <c r="R2790" s="11"/>
      <c r="S2790" s="11"/>
      <c r="T2790" s="11"/>
      <c r="U2790" s="11"/>
      <c r="V2790" s="11"/>
      <c r="W2790" s="11"/>
      <c r="X2790" s="11"/>
      <c r="Y2790" s="11"/>
      <c r="Z2790" s="11"/>
    </row>
    <row r="2791" customHeight="1" spans="1:26">
      <c r="A2791" s="11" t="str">
        <f>IFERROR(__xludf.DUMMYFUNCTION("""COMPUTED_VALUE"""),"CLEYTOON DAVYD F DA SILVA")</f>
        <v>CLEYTOON DAVYD F DA SILVA</v>
      </c>
      <c r="B2791" s="11"/>
      <c r="C2791" s="11"/>
      <c r="D2791" s="11" t="str">
        <f>IFERROR(__xludf.DUMMYFUNCTION("""COMPUTED_VALUE"""),"GINECOLOGIA E OBSTETRICIA")</f>
        <v>GINECOLOGIA E OBSTETRICIA</v>
      </c>
      <c r="E2791" s="11"/>
      <c r="F2791" s="11" t="str">
        <f>IFERROR(__xludf.DUMMYFUNCTION("""COMPUTED_VALUE"""),"US_153 POLICLINICA E MATERNIDADE ARNALDO MARQUES")</f>
        <v>US_153 POLICLINICA E MATERNIDADE ARNALDO MARQUES</v>
      </c>
      <c r="G2791" s="11" t="str">
        <f>IFERROR(__xludf.DUMMYFUNCTION("""COMPUTED_VALUE"""),"US_153 POLICLINICA E MATERNIDADE ARNALDO MARQUES")</f>
        <v>US_153 POLICLINICA E MATERNIDADE ARNALDO MARQUES</v>
      </c>
      <c r="H2791" s="11"/>
      <c r="I2791" s="11"/>
      <c r="J2791" s="11"/>
      <c r="K2791" s="11"/>
      <c r="L2791" s="11"/>
      <c r="M2791" s="11"/>
      <c r="N2791" s="30" t="str">
        <f>IFERROR(__xludf.DUMMYFUNCTION("""COMPUTED_VALUE"""),"cleytoon@uol.com.br")</f>
        <v>cleytoon@uol.com.br</v>
      </c>
      <c r="O2791" s="11">
        <f>IFERROR(__xludf.DUMMYFUNCTION("""COMPUTED_VALUE"""),98986147491)</f>
        <v>98986147491</v>
      </c>
      <c r="P2791" s="11"/>
      <c r="Q2791" s="11"/>
      <c r="R2791" s="11"/>
      <c r="S2791" s="11"/>
      <c r="T2791" s="11"/>
      <c r="U2791" s="11"/>
      <c r="V2791" s="11"/>
      <c r="W2791" s="11"/>
      <c r="X2791" s="11"/>
      <c r="Y2791" s="11"/>
      <c r="Z2791" s="11"/>
    </row>
    <row r="2792" customHeight="1" spans="1:26">
      <c r="A2792" s="11" t="str">
        <f>IFERROR(__xludf.DUMMYFUNCTION("""COMPUTED_VALUE"""),"VIVIAN RODRIGUES D DE SOUZA")</f>
        <v>VIVIAN RODRIGUES D DE SOUZA</v>
      </c>
      <c r="B2792" s="11"/>
      <c r="C2792" s="11"/>
      <c r="D2792" s="11" t="str">
        <f>IFERROR(__xludf.DUMMYFUNCTION("""COMPUTED_VALUE"""),"CLINICA GERAL")</f>
        <v>CLINICA GERAL</v>
      </c>
      <c r="E2792" s="11"/>
      <c r="F2792" s="11" t="str">
        <f>IFERROR(__xludf.DUMMYFUNCTION("""COMPUTED_VALUE"""),"US_167 POLICLINICA E MATERNIDADE PROFESSOR BARROS LIMA")</f>
        <v>US_167 POLICLINICA E MATERNIDADE PROFESSOR BARROS LIMA</v>
      </c>
      <c r="G2792" s="11" t="str">
        <f>IFERROR(__xludf.DUMMYFUNCTION("""COMPUTED_VALUE"""),"US_167 POLICLINICA E MATERNIDADE PROFESSOR BARROS LIMA")</f>
        <v>US_167 POLICLINICA E MATERNIDADE PROFESSOR BARROS LIMA</v>
      </c>
      <c r="H2792" s="11"/>
      <c r="I2792" s="11"/>
      <c r="J2792" s="11"/>
      <c r="K2792" s="11"/>
      <c r="L2792" s="11"/>
      <c r="M2792" s="11"/>
      <c r="N2792" s="30" t="str">
        <f>IFERROR(__xludf.DUMMYFUNCTION("""COMPUTED_VALUE"""),"viviangueiros@yahoo.com.br")</f>
        <v>viviangueiros@yahoo.com.br</v>
      </c>
      <c r="O2792" s="11">
        <f>IFERROR(__xludf.DUMMYFUNCTION("""COMPUTED_VALUE"""),83405941334)</f>
        <v>83405941334</v>
      </c>
      <c r="P2792" s="11"/>
      <c r="Q2792" s="11"/>
      <c r="R2792" s="11"/>
      <c r="S2792" s="11"/>
      <c r="T2792" s="11"/>
      <c r="U2792" s="11"/>
      <c r="V2792" s="11"/>
      <c r="W2792" s="11"/>
      <c r="X2792" s="11"/>
      <c r="Y2792" s="11"/>
      <c r="Z2792" s="11"/>
    </row>
    <row r="2793" customHeight="1" spans="1:26">
      <c r="A2793" s="11" t="str">
        <f>IFERROR(__xludf.DUMMYFUNCTION("""COMPUTED_VALUE"""),"ANA KARINA PINTO BARBOSA")</f>
        <v>ANA KARINA PINTO BARBOSA</v>
      </c>
      <c r="B2793" s="11"/>
      <c r="C2793" s="11"/>
      <c r="D2793" s="11" t="str">
        <f>IFERROR(__xludf.DUMMYFUNCTION("""COMPUTED_VALUE"""),"CLINICA GERAL")</f>
        <v>CLINICA GERAL</v>
      </c>
      <c r="E2793" s="11"/>
      <c r="F2793" s="11" t="str">
        <f>IFERROR(__xludf.DUMMYFUNCTION("""COMPUTED_VALUE"""),"US_167 POLICLINICA E MATERNIDADE PROFESSOR BARROS LIMA")</f>
        <v>US_167 POLICLINICA E MATERNIDADE PROFESSOR BARROS LIMA</v>
      </c>
      <c r="G2793" s="11" t="str">
        <f>IFERROR(__xludf.DUMMYFUNCTION("""COMPUTED_VALUE"""),"US_167 POLICLINICA E MATERNIDADE PROFESSOR BARROS LIMA")</f>
        <v>US_167 POLICLINICA E MATERNIDADE PROFESSOR BARROS LIMA</v>
      </c>
      <c r="H2793" s="11"/>
      <c r="I2793" s="11"/>
      <c r="J2793" s="11"/>
      <c r="K2793" s="11"/>
      <c r="L2793" s="11"/>
      <c r="M2793" s="11"/>
      <c r="N2793" s="30" t="str">
        <f>IFERROR(__xludf.DUMMYFUNCTION("""COMPUTED_VALUE"""),"anakarina_barbosa@yahoo.com.br")</f>
        <v>anakarina_barbosa@yahoo.com.br</v>
      </c>
      <c r="O2793" s="11">
        <f>IFERROR(__xludf.DUMMYFUNCTION("""COMPUTED_VALUE"""),66520479420)</f>
        <v>66520479420</v>
      </c>
      <c r="P2793" s="11"/>
      <c r="Q2793" s="11"/>
      <c r="R2793" s="11"/>
      <c r="S2793" s="11"/>
      <c r="T2793" s="11"/>
      <c r="U2793" s="11"/>
      <c r="V2793" s="11"/>
      <c r="W2793" s="11"/>
      <c r="X2793" s="11"/>
      <c r="Y2793" s="11"/>
      <c r="Z2793" s="11"/>
    </row>
    <row r="2794" customHeight="1" spans="1:26">
      <c r="A2794" s="11" t="str">
        <f>IFERROR(__xludf.DUMMYFUNCTION("""COMPUTED_VALUE"""),"MARILIA ANTUNES FLORES")</f>
        <v>MARILIA ANTUNES FLORES</v>
      </c>
      <c r="B2794" s="11"/>
      <c r="C2794" s="11"/>
      <c r="D2794" s="11" t="str">
        <f>IFERROR(__xludf.DUMMYFUNCTION("""COMPUTED_VALUE"""),"ANESTESIOLOGIA")</f>
        <v>ANESTESIOLOGIA</v>
      </c>
      <c r="E2794" s="11"/>
      <c r="F2794" s="11" t="str">
        <f>IFERROR(__xludf.DUMMYFUNCTION("""COMPUTED_VALUE"""),"US_167 POLICLINICA E MATERNIDADE PROFESSOR BARROS LIMA")</f>
        <v>US_167 POLICLINICA E MATERNIDADE PROFESSOR BARROS LIMA</v>
      </c>
      <c r="G2794" s="11" t="str">
        <f>IFERROR(__xludf.DUMMYFUNCTION("""COMPUTED_VALUE"""),"US_167 POLICLINICA E MATERNIDADE PROFESSOR BARROS LIMA")</f>
        <v>US_167 POLICLINICA E MATERNIDADE PROFESSOR BARROS LIMA</v>
      </c>
      <c r="H2794" s="11"/>
      <c r="I2794" s="11"/>
      <c r="J2794" s="11"/>
      <c r="K2794" s="11"/>
      <c r="L2794" s="11"/>
      <c r="M2794" s="11"/>
      <c r="N2794" s="30" t="str">
        <f>IFERROR(__xludf.DUMMYFUNCTION("""COMPUTED_VALUE"""),"floresmarilia@gmail.com                                ")</f>
        <v>floresmarilia@gmail.com                                </v>
      </c>
      <c r="O2794" s="11">
        <f>IFERROR(__xludf.DUMMYFUNCTION("""COMPUTED_VALUE"""),5165095436)</f>
        <v>5165095436</v>
      </c>
      <c r="P2794" s="11"/>
      <c r="Q2794" s="11"/>
      <c r="R2794" s="11"/>
      <c r="S2794" s="11"/>
      <c r="T2794" s="11"/>
      <c r="U2794" s="11"/>
      <c r="V2794" s="11"/>
      <c r="W2794" s="11"/>
      <c r="X2794" s="11"/>
      <c r="Y2794" s="11"/>
      <c r="Z2794" s="11"/>
    </row>
    <row r="2795" customHeight="1" spans="1:26">
      <c r="A2795" s="11" t="str">
        <f>IFERROR(__xludf.DUMMYFUNCTION("""COMPUTED_VALUE"""),"ROBERTA VELOSO S DE CARVALHO")</f>
        <v>ROBERTA VELOSO S DE CARVALHO</v>
      </c>
      <c r="B2795" s="11"/>
      <c r="C2795" s="11"/>
      <c r="D2795" s="11" t="str">
        <f>IFERROR(__xludf.DUMMYFUNCTION("""COMPUTED_VALUE"""),"NEONATOLOGIA")</f>
        <v>NEONATOLOGIA</v>
      </c>
      <c r="E2795" s="11"/>
      <c r="F2795" s="11" t="str">
        <f>IFERROR(__xludf.DUMMYFUNCTION("""COMPUTED_VALUE"""),"US_153 POLICLINICA E MATERNIDADE ARNALDO MARQUES")</f>
        <v>US_153 POLICLINICA E MATERNIDADE ARNALDO MARQUES</v>
      </c>
      <c r="G2795" s="11" t="str">
        <f>IFERROR(__xludf.DUMMYFUNCTION("""COMPUTED_VALUE"""),"US_153 POLICLINICA E MATERNIDADE ARNALDO MARQUES")</f>
        <v>US_153 POLICLINICA E MATERNIDADE ARNALDO MARQUES</v>
      </c>
      <c r="H2795" s="11"/>
      <c r="I2795" s="11"/>
      <c r="J2795" s="11"/>
      <c r="K2795" s="11"/>
      <c r="L2795" s="11"/>
      <c r="M2795" s="11"/>
      <c r="N2795" s="30" t="str">
        <f>IFERROR(__xludf.DUMMYFUNCTION("""COMPUTED_VALUE"""),"ROBERTAVELOSOSOBREIRA@HOTMAIL.COM")</f>
        <v>ROBERTAVELOSOSOBREIRA@HOTMAIL.COM</v>
      </c>
      <c r="O2795" s="11">
        <f>IFERROR(__xludf.DUMMYFUNCTION("""COMPUTED_VALUE"""),3181429457)</f>
        <v>3181429457</v>
      </c>
      <c r="P2795" s="11"/>
      <c r="Q2795" s="11"/>
      <c r="R2795" s="11"/>
      <c r="S2795" s="11"/>
      <c r="T2795" s="11"/>
      <c r="U2795" s="11"/>
      <c r="V2795" s="11"/>
      <c r="W2795" s="11"/>
      <c r="X2795" s="11"/>
      <c r="Y2795" s="11"/>
      <c r="Z2795" s="11"/>
    </row>
    <row r="2796" customHeight="1" spans="1:26">
      <c r="A2796" s="11" t="str">
        <f>IFERROR(__xludf.DUMMYFUNCTION("""COMPUTED_VALUE"""),"JOAO ARTHUR CABRAL SEABRA")</f>
        <v>JOAO ARTHUR CABRAL SEABRA</v>
      </c>
      <c r="B2796" s="11"/>
      <c r="C2796" s="11"/>
      <c r="D2796" s="11" t="str">
        <f>IFERROR(__xludf.DUMMYFUNCTION("""COMPUTED_VALUE"""),"ULTRASSONOGRAFIA")</f>
        <v>ULTRASSONOGRAFIA</v>
      </c>
      <c r="E2796" s="11"/>
      <c r="F2796" s="11" t="str">
        <f>IFERROR(__xludf.DUMMYFUNCTION("""COMPUTED_VALUE"""),"US_165 MATERNIDADE BANDEIRA FILHO")</f>
        <v>US_165 MATERNIDADE BANDEIRA FILHO</v>
      </c>
      <c r="G2796" s="11" t="str">
        <f>IFERROR(__xludf.DUMMYFUNCTION("""COMPUTED_VALUE"""),"US_165 MATERNIDADE BANDEIRA FILHO")</f>
        <v>US_165 MATERNIDADE BANDEIRA FILHO</v>
      </c>
      <c r="H2796" s="11"/>
      <c r="I2796" s="11"/>
      <c r="J2796" s="11"/>
      <c r="K2796" s="11"/>
      <c r="L2796" s="11"/>
      <c r="M2796" s="11"/>
      <c r="N2796" s="30" t="str">
        <f>IFERROR(__xludf.DUMMYFUNCTION("""COMPUTED_VALUE"""),"dr.joaoseabra@yahoo.com.br")</f>
        <v>dr.joaoseabra@yahoo.com.br</v>
      </c>
      <c r="O2796" s="11">
        <f>IFERROR(__xludf.DUMMYFUNCTION("""COMPUTED_VALUE"""),3161622480)</f>
        <v>3161622480</v>
      </c>
      <c r="P2796" s="11"/>
      <c r="Q2796" s="11"/>
      <c r="R2796" s="11"/>
      <c r="S2796" s="11"/>
      <c r="T2796" s="11"/>
      <c r="U2796" s="11"/>
      <c r="V2796" s="11"/>
      <c r="W2796" s="11"/>
      <c r="X2796" s="11"/>
      <c r="Y2796" s="11"/>
      <c r="Z2796" s="11"/>
    </row>
    <row r="2797" customHeight="1" spans="1:26">
      <c r="A2797" s="11" t="str">
        <f>IFERROR(__xludf.DUMMYFUNCTION("""COMPUTED_VALUE"""),"CAROLINA R DA COSTA PAES")</f>
        <v>CAROLINA R DA COSTA PAES</v>
      </c>
      <c r="B2797" s="11"/>
      <c r="C2797" s="11"/>
      <c r="D2797" s="11" t="str">
        <f>IFERROR(__xludf.DUMMYFUNCTION("""COMPUTED_VALUE"""),"GINECOLOGIA E OBSTETRICIA")</f>
        <v>GINECOLOGIA E OBSTETRICIA</v>
      </c>
      <c r="E2797" s="11"/>
      <c r="F2797" s="11" t="str">
        <f>IFERROR(__xludf.DUMMYFUNCTION("""COMPUTED_VALUE"""),"US_167 POLICLINICA E MATERNIDADE PROFESSOR BARROS LIMA")</f>
        <v>US_167 POLICLINICA E MATERNIDADE PROFESSOR BARROS LIMA</v>
      </c>
      <c r="G2797" s="11" t="str">
        <f>IFERROR(__xludf.DUMMYFUNCTION("""COMPUTED_VALUE"""),"US_167 POLICLINICA E MATERNIDADE PROFESSOR BARROS LIMA")</f>
        <v>US_167 POLICLINICA E MATERNIDADE PROFESSOR BARROS LIMA</v>
      </c>
      <c r="H2797" s="11"/>
      <c r="I2797" s="11"/>
      <c r="J2797" s="11"/>
      <c r="K2797" s="11"/>
      <c r="L2797" s="11"/>
      <c r="M2797" s="11"/>
      <c r="N2797" s="30" t="str">
        <f>IFERROR(__xludf.DUMMYFUNCTION("""COMPUTED_VALUE"""),"carol-paes@hotmail.com")</f>
        <v>carol-paes@hotmail.com</v>
      </c>
      <c r="O2797" s="11">
        <f>IFERROR(__xludf.DUMMYFUNCTION("""COMPUTED_VALUE"""),1025377478)</f>
        <v>1025377478</v>
      </c>
      <c r="P2797" s="11"/>
      <c r="Q2797" s="11"/>
      <c r="R2797" s="11"/>
      <c r="S2797" s="11"/>
      <c r="T2797" s="11"/>
      <c r="U2797" s="11"/>
      <c r="V2797" s="11"/>
      <c r="W2797" s="11"/>
      <c r="X2797" s="11"/>
      <c r="Y2797" s="11"/>
      <c r="Z2797" s="11"/>
    </row>
    <row r="2798" customHeight="1" spans="1:26">
      <c r="A2798" s="11" t="str">
        <f>IFERROR(__xludf.DUMMYFUNCTION("""COMPUTED_VALUE"""),"NARA LUCIA DE AMORIM MAGALHAES")</f>
        <v>NARA LUCIA DE AMORIM MAGALHAES</v>
      </c>
      <c r="B2798" s="11"/>
      <c r="C2798" s="11"/>
      <c r="D2798" s="11" t="str">
        <f>IFERROR(__xludf.DUMMYFUNCTION("""COMPUTED_VALUE"""),"NEONATOLOGIA")</f>
        <v>NEONATOLOGIA</v>
      </c>
      <c r="E2798" s="11"/>
      <c r="F2798" s="11" t="str">
        <f>IFERROR(__xludf.DUMMYFUNCTION("""COMPUTED_VALUE"""),"US_153 POLICLINICA E MATERNIDADE ARNALDO MARQUES")</f>
        <v>US_153 POLICLINICA E MATERNIDADE ARNALDO MARQUES</v>
      </c>
      <c r="G2798" s="11" t="str">
        <f>IFERROR(__xludf.DUMMYFUNCTION("""COMPUTED_VALUE"""),"US_153 POLICLINICA E MATERNIDADE ARNALDO MARQUES")</f>
        <v>US_153 POLICLINICA E MATERNIDADE ARNALDO MARQUES</v>
      </c>
      <c r="H2798" s="11"/>
      <c r="I2798" s="11"/>
      <c r="J2798" s="11"/>
      <c r="K2798" s="11"/>
      <c r="L2798" s="11"/>
      <c r="M2798" s="11"/>
      <c r="N2798" s="30" t="str">
        <f>IFERROR(__xludf.DUMMYFUNCTION("""COMPUTED_VALUE"""),"naralamagalhaes@gmail.com")</f>
        <v>naralamagalhaes@gmail.com</v>
      </c>
      <c r="O2798" s="11">
        <f>IFERROR(__xludf.DUMMYFUNCTION("""COMPUTED_VALUE"""),4778009479)</f>
        <v>4778009479</v>
      </c>
      <c r="P2798" s="11"/>
      <c r="Q2798" s="11"/>
      <c r="R2798" s="11"/>
      <c r="S2798" s="11"/>
      <c r="T2798" s="11"/>
      <c r="U2798" s="11"/>
      <c r="V2798" s="11"/>
      <c r="W2798" s="11"/>
      <c r="X2798" s="11"/>
      <c r="Y2798" s="11"/>
      <c r="Z2798" s="11"/>
    </row>
    <row r="2799" customHeight="1" spans="1:26">
      <c r="A2799" s="11" t="str">
        <f>IFERROR(__xludf.DUMMYFUNCTION("""COMPUTED_VALUE"""),"CYBELLE INES M DE MELO")</f>
        <v>CYBELLE INES M DE MELO</v>
      </c>
      <c r="B2799" s="11"/>
      <c r="C2799" s="11"/>
      <c r="D2799" s="11" t="str">
        <f>IFERROR(__xludf.DUMMYFUNCTION("""COMPUTED_VALUE"""),"CLINICA GERAL")</f>
        <v>CLINICA GERAL</v>
      </c>
      <c r="E2799" s="11"/>
      <c r="F2799" s="11" t="str">
        <f>IFERROR(__xludf.DUMMYFUNCTION("""COMPUTED_VALUE"""),"US_167 POLICLINICA E MATERNIDADE PROFESSOR BARROS LIMA")</f>
        <v>US_167 POLICLINICA E MATERNIDADE PROFESSOR BARROS LIMA</v>
      </c>
      <c r="G2799" s="11" t="str">
        <f>IFERROR(__xludf.DUMMYFUNCTION("""COMPUTED_VALUE"""),"US_167 POLICLINICA E MATERNIDADE PROFESSOR BARROS LIMA")</f>
        <v>US_167 POLICLINICA E MATERNIDADE PROFESSOR BARROS LIMA</v>
      </c>
      <c r="H2799" s="11"/>
      <c r="I2799" s="11"/>
      <c r="J2799" s="11"/>
      <c r="K2799" s="11"/>
      <c r="L2799" s="11"/>
      <c r="M2799" s="11"/>
      <c r="N2799" s="30" t="str">
        <f>IFERROR(__xludf.DUMMYFUNCTION("""COMPUTED_VALUE"""),"CIBELLEMMELO@GMAIL.COM")</f>
        <v>CIBELLEMMELO@GMAIL.COM</v>
      </c>
      <c r="O2799" s="11">
        <f>IFERROR(__xludf.DUMMYFUNCTION("""COMPUTED_VALUE"""),81192240430)</f>
        <v>81192240430</v>
      </c>
      <c r="P2799" s="11"/>
      <c r="Q2799" s="11"/>
      <c r="R2799" s="11"/>
      <c r="S2799" s="11"/>
      <c r="T2799" s="11"/>
      <c r="U2799" s="11"/>
      <c r="V2799" s="11"/>
      <c r="W2799" s="11"/>
      <c r="X2799" s="11"/>
      <c r="Y2799" s="11"/>
      <c r="Z2799" s="11"/>
    </row>
    <row r="2800" customHeight="1" spans="1:26">
      <c r="A2800" s="11" t="str">
        <f>IFERROR(__xludf.DUMMYFUNCTION("""COMPUTED_VALUE"""),"LEILA RACHEL LINS P DE SOUZA")</f>
        <v>LEILA RACHEL LINS P DE SOUZA</v>
      </c>
      <c r="B2800" s="11"/>
      <c r="C2800" s="11"/>
      <c r="D2800" s="11" t="str">
        <f>IFERROR(__xludf.DUMMYFUNCTION("""COMPUTED_VALUE"""),"GINECOLOGIA E OBSTETRICIA")</f>
        <v>GINECOLOGIA E OBSTETRICIA</v>
      </c>
      <c r="E2800" s="11"/>
      <c r="F2800" s="11" t="str">
        <f>IFERROR(__xludf.DUMMYFUNCTION("""COMPUTED_VALUE"""),"US_167 POLICLINICA E MATERNIDADE PROFESSOR BARROS LIMA")</f>
        <v>US_167 POLICLINICA E MATERNIDADE PROFESSOR BARROS LIMA</v>
      </c>
      <c r="G2800" s="11" t="str">
        <f>IFERROR(__xludf.DUMMYFUNCTION("""COMPUTED_VALUE"""),"US_167 POLICLINICA E MATERNIDADE PROFESSOR BARROS LIMA")</f>
        <v>US_167 POLICLINICA E MATERNIDADE PROFESSOR BARROS LIMA</v>
      </c>
      <c r="H2800" s="11"/>
      <c r="I2800" s="11"/>
      <c r="J2800" s="11"/>
      <c r="K2800" s="11"/>
      <c r="L2800" s="11"/>
      <c r="M2800" s="11"/>
      <c r="N2800" s="30" t="str">
        <f>IFERROR(__xludf.DUMMYFUNCTION("""COMPUTED_VALUE"""),"leilarlins@hotmail.com")</f>
        <v>leilarlins@hotmail.com</v>
      </c>
      <c r="O2800" s="11">
        <f>IFERROR(__xludf.DUMMYFUNCTION("""COMPUTED_VALUE"""),3257645490)</f>
        <v>3257645490</v>
      </c>
      <c r="P2800" s="11"/>
      <c r="Q2800" s="11"/>
      <c r="R2800" s="11"/>
      <c r="S2800" s="11"/>
      <c r="T2800" s="11"/>
      <c r="U2800" s="11"/>
      <c r="V2800" s="11"/>
      <c r="W2800" s="11"/>
      <c r="X2800" s="11"/>
      <c r="Y2800" s="11"/>
      <c r="Z2800" s="11"/>
    </row>
    <row r="2801" customHeight="1" spans="1:26">
      <c r="A2801" s="11" t="str">
        <f>IFERROR(__xludf.DUMMYFUNCTION("""COMPUTED_VALUE"""),"ADRIANA MARTINS C E SILVA")</f>
        <v>ADRIANA MARTINS C E SILVA</v>
      </c>
      <c r="B2801" s="11"/>
      <c r="C2801" s="11"/>
      <c r="D2801" s="11" t="str">
        <f>IFERROR(__xludf.DUMMYFUNCTION("""COMPUTED_VALUE"""),"NEONATOLOGIA")</f>
        <v>NEONATOLOGIA</v>
      </c>
      <c r="E2801" s="11"/>
      <c r="F2801" s="11" t="str">
        <f>IFERROR(__xludf.DUMMYFUNCTION("""COMPUTED_VALUE"""),"US_165 MATERNIDADE BANDEIRA FILHO")</f>
        <v>US_165 MATERNIDADE BANDEIRA FILHO</v>
      </c>
      <c r="G2801" s="11" t="str">
        <f>IFERROR(__xludf.DUMMYFUNCTION("""COMPUTED_VALUE"""),"US_165 MATERNIDADE BANDEIRA FILHO")</f>
        <v>US_165 MATERNIDADE BANDEIRA FILHO</v>
      </c>
      <c r="H2801" s="11"/>
      <c r="I2801" s="11"/>
      <c r="J2801" s="11"/>
      <c r="K2801" s="11"/>
      <c r="L2801" s="11"/>
      <c r="M2801" s="11"/>
      <c r="N2801" s="30" t="str">
        <f>IFERROR(__xludf.DUMMYFUNCTION("""COMPUTED_VALUE"""),"adriana_cintra_24@hotmail.com                          ")</f>
        <v>adriana_cintra_24@hotmail.com                          </v>
      </c>
      <c r="O2801" s="11">
        <f>IFERROR(__xludf.DUMMYFUNCTION("""COMPUTED_VALUE"""),3432086440)</f>
        <v>3432086440</v>
      </c>
      <c r="P2801" s="11"/>
      <c r="Q2801" s="11"/>
      <c r="R2801" s="11"/>
      <c r="S2801" s="11"/>
      <c r="T2801" s="11"/>
      <c r="U2801" s="11"/>
      <c r="V2801" s="11"/>
      <c r="W2801" s="11"/>
      <c r="X2801" s="11"/>
      <c r="Y2801" s="11"/>
      <c r="Z2801" s="11"/>
    </row>
    <row r="2802" customHeight="1" spans="1:26">
      <c r="A2802" s="11" t="str">
        <f>IFERROR(__xludf.DUMMYFUNCTION("""COMPUTED_VALUE"""),"ADRIANA LEMOS R DE BARROS")</f>
        <v>ADRIANA LEMOS R DE BARROS</v>
      </c>
      <c r="B2802" s="11"/>
      <c r="C2802" s="11"/>
      <c r="D2802" s="11" t="str">
        <f>IFERROR(__xludf.DUMMYFUNCTION("""COMPUTED_VALUE"""),"NEONATOLOGIA")</f>
        <v>NEONATOLOGIA</v>
      </c>
      <c r="E2802" s="11"/>
      <c r="F2802" s="11" t="str">
        <f>IFERROR(__xludf.DUMMYFUNCTION("""COMPUTED_VALUE"""),"US_153 POLICLINICA E MATERNIDADE ARNALDO MARQUES")</f>
        <v>US_153 POLICLINICA E MATERNIDADE ARNALDO MARQUES</v>
      </c>
      <c r="G2802" s="11" t="str">
        <f>IFERROR(__xludf.DUMMYFUNCTION("""COMPUTED_VALUE"""),"US_153 POLICLINICA E MATERNIDADE ARNALDO MARQUES")</f>
        <v>US_153 POLICLINICA E MATERNIDADE ARNALDO MARQUES</v>
      </c>
      <c r="H2802" s="11"/>
      <c r="I2802" s="11"/>
      <c r="J2802" s="11"/>
      <c r="K2802" s="11"/>
      <c r="L2802" s="11"/>
      <c r="M2802" s="11"/>
      <c r="N2802" s="30" t="str">
        <f>IFERROR(__xludf.DUMMYFUNCTION("""COMPUTED_VALUE"""),"adrianarobalinho@hotmail.com")</f>
        <v>adrianarobalinho@hotmail.com</v>
      </c>
      <c r="O2802" s="11">
        <f>IFERROR(__xludf.DUMMYFUNCTION("""COMPUTED_VALUE"""),66999995400)</f>
        <v>66999995400</v>
      </c>
      <c r="P2802" s="11"/>
      <c r="Q2802" s="11"/>
      <c r="R2802" s="11"/>
      <c r="S2802" s="11"/>
      <c r="T2802" s="11"/>
      <c r="U2802" s="11"/>
      <c r="V2802" s="11"/>
      <c r="W2802" s="11"/>
      <c r="X2802" s="11"/>
      <c r="Y2802" s="11"/>
      <c r="Z2802" s="11"/>
    </row>
    <row r="2803" customHeight="1" spans="1:26">
      <c r="A2803" s="11" t="str">
        <f>IFERROR(__xludf.DUMMYFUNCTION("""COMPUTED_VALUE"""),"NICODEMOS TELES DE P NETO")</f>
        <v>NICODEMOS TELES DE P NETO</v>
      </c>
      <c r="B2803" s="11"/>
      <c r="C2803" s="11"/>
      <c r="D2803" s="11" t="str">
        <f>IFERROR(__xludf.DUMMYFUNCTION("""COMPUTED_VALUE"""),"NEONATOLOGIA")</f>
        <v>NEONATOLOGIA</v>
      </c>
      <c r="E2803" s="11"/>
      <c r="F2803" s="11" t="str">
        <f>IFERROR(__xludf.DUMMYFUNCTION("""COMPUTED_VALUE"""),"US_163 HOSPITAL DE PEDIATRIA HELENA MOURA")</f>
        <v>US_163 HOSPITAL DE PEDIATRIA HELENA MOURA</v>
      </c>
      <c r="G2803" s="11" t="str">
        <f>IFERROR(__xludf.DUMMYFUNCTION("""COMPUTED_VALUE"""),"US_163 HOSPITAL DE PEDIATRIA HELENA MOURA")</f>
        <v>US_163 HOSPITAL DE PEDIATRIA HELENA MOURA</v>
      </c>
      <c r="H2803" s="11"/>
      <c r="I2803" s="11"/>
      <c r="J2803" s="11"/>
      <c r="K2803" s="11"/>
      <c r="L2803" s="11"/>
      <c r="M2803" s="11"/>
      <c r="N2803" s="30" t="str">
        <f>IFERROR(__xludf.DUMMYFUNCTION("""COMPUTED_VALUE"""),"nicopontes@gmail.com                                   ")</f>
        <v>nicopontes@gmail.com                                   </v>
      </c>
      <c r="O2803" s="11">
        <f>IFERROR(__xludf.DUMMYFUNCTION("""COMPUTED_VALUE"""),89033868415)</f>
        <v>89033868415</v>
      </c>
      <c r="P2803" s="11"/>
      <c r="Q2803" s="11"/>
      <c r="R2803" s="11"/>
      <c r="S2803" s="11"/>
      <c r="T2803" s="11"/>
      <c r="U2803" s="11"/>
      <c r="V2803" s="11"/>
      <c r="W2803" s="11"/>
      <c r="X2803" s="11"/>
      <c r="Y2803" s="11"/>
      <c r="Z2803" s="11"/>
    </row>
    <row r="2804" customHeight="1" spans="1:26">
      <c r="A2804" s="11" t="str">
        <f>IFERROR(__xludf.DUMMYFUNCTION("""COMPUTED_VALUE"""),"DORILENE SOARES DA SILVA")</f>
        <v>DORILENE SOARES DA SILVA</v>
      </c>
      <c r="B2804" s="11"/>
      <c r="C2804" s="11"/>
      <c r="D2804" s="11" t="str">
        <f>IFERROR(__xludf.DUMMYFUNCTION("""COMPUTED_VALUE"""),"NEONATOLOGIA")</f>
        <v>NEONATOLOGIA</v>
      </c>
      <c r="E2804" s="11"/>
      <c r="F2804" s="11" t="str">
        <f>IFERROR(__xludf.DUMMYFUNCTION("""COMPUTED_VALUE"""),"US_165 MATERNIDADE BANDEIRA FILHO")</f>
        <v>US_165 MATERNIDADE BANDEIRA FILHO</v>
      </c>
      <c r="G2804" s="11" t="str">
        <f>IFERROR(__xludf.DUMMYFUNCTION("""COMPUTED_VALUE"""),"US_165 MATERNIDADE BANDEIRA FILHO")</f>
        <v>US_165 MATERNIDADE BANDEIRA FILHO</v>
      </c>
      <c r="H2804" s="11"/>
      <c r="I2804" s="11"/>
      <c r="J2804" s="11"/>
      <c r="K2804" s="11"/>
      <c r="L2804" s="11"/>
      <c r="M2804" s="11"/>
      <c r="N2804" s="30" t="str">
        <f>IFERROR(__xludf.DUMMYFUNCTION("""COMPUTED_VALUE"""),"doriped@yahoo.com.br")</f>
        <v>doriped@yahoo.com.br</v>
      </c>
      <c r="O2804" s="11">
        <f>IFERROR(__xludf.DUMMYFUNCTION("""COMPUTED_VALUE"""),90157818420)</f>
        <v>90157818420</v>
      </c>
      <c r="P2804" s="11"/>
      <c r="Q2804" s="11"/>
      <c r="R2804" s="11"/>
      <c r="S2804" s="11"/>
      <c r="T2804" s="11"/>
      <c r="U2804" s="11"/>
      <c r="V2804" s="11"/>
      <c r="W2804" s="11"/>
      <c r="X2804" s="11"/>
      <c r="Y2804" s="11"/>
      <c r="Z2804" s="11"/>
    </row>
    <row r="2805" customHeight="1" spans="1:26">
      <c r="A2805" s="11" t="str">
        <f>IFERROR(__xludf.DUMMYFUNCTION("""COMPUTED_VALUE"""),"MARCIA CRISTINA C B LOUREIRO")</f>
        <v>MARCIA CRISTINA C B LOUREIRO</v>
      </c>
      <c r="B2805" s="11"/>
      <c r="C2805" s="11"/>
      <c r="D2805" s="11" t="str">
        <f>IFERROR(__xludf.DUMMYFUNCTION("""COMPUTED_VALUE"""),"NEONATOLOGIA")</f>
        <v>NEONATOLOGIA</v>
      </c>
      <c r="E2805" s="11"/>
      <c r="F2805" s="11" t="str">
        <f>IFERROR(__xludf.DUMMYFUNCTION("""COMPUTED_VALUE"""),"US_163 HOSPITAL DE PEDIATRIA HELENA MOURA")</f>
        <v>US_163 HOSPITAL DE PEDIATRIA HELENA MOURA</v>
      </c>
      <c r="G2805" s="11" t="str">
        <f>IFERROR(__xludf.DUMMYFUNCTION("""COMPUTED_VALUE"""),"US_163 HOSPITAL DE PEDIATRIA HELENA MOURA")</f>
        <v>US_163 HOSPITAL DE PEDIATRIA HELENA MOURA</v>
      </c>
      <c r="H2805" s="11"/>
      <c r="I2805" s="11"/>
      <c r="J2805" s="11"/>
      <c r="K2805" s="11"/>
      <c r="L2805" s="11"/>
      <c r="M2805" s="11"/>
      <c r="N2805" s="30" t="str">
        <f>IFERROR(__xludf.DUMMYFUNCTION("""COMPUTED_VALUE"""),"mccbrandao12@yahoo.com.br")</f>
        <v>mccbrandao12@yahoo.com.br</v>
      </c>
      <c r="O2805" s="11">
        <f>IFERROR(__xludf.DUMMYFUNCTION("""COMPUTED_VALUE"""),88999190463)</f>
        <v>88999190463</v>
      </c>
      <c r="P2805" s="11"/>
      <c r="Q2805" s="11"/>
      <c r="R2805" s="11"/>
      <c r="S2805" s="11"/>
      <c r="T2805" s="11"/>
      <c r="U2805" s="11"/>
      <c r="V2805" s="11"/>
      <c r="W2805" s="11"/>
      <c r="X2805" s="11"/>
      <c r="Y2805" s="11"/>
      <c r="Z2805" s="11"/>
    </row>
    <row r="2806" customHeight="1" spans="1:26">
      <c r="A2806" s="11" t="str">
        <f>IFERROR(__xludf.DUMMYFUNCTION("""COMPUTED_VALUE"""),"CELIA MARIA MATIAS VIEIRA")</f>
        <v>CELIA MARIA MATIAS VIEIRA</v>
      </c>
      <c r="B2806" s="11"/>
      <c r="C2806" s="11"/>
      <c r="D2806" s="11" t="str">
        <f>IFERROR(__xludf.DUMMYFUNCTION("""COMPUTED_VALUE"""),"NEONATOLOGIA")</f>
        <v>NEONATOLOGIA</v>
      </c>
      <c r="E2806" s="11"/>
      <c r="F2806" s="11" t="str">
        <f>IFERROR(__xludf.DUMMYFUNCTION("""COMPUTED_VALUE"""),"US_153 POLICLINICA E MATERNIDADE ARNALDO MARQUES")</f>
        <v>US_153 POLICLINICA E MATERNIDADE ARNALDO MARQUES</v>
      </c>
      <c r="G2806" s="11" t="str">
        <f>IFERROR(__xludf.DUMMYFUNCTION("""COMPUTED_VALUE"""),"US_153 POLICLINICA E MATERNIDADE ARNALDO MARQUES")</f>
        <v>US_153 POLICLINICA E MATERNIDADE ARNALDO MARQUES</v>
      </c>
      <c r="H2806" s="11"/>
      <c r="I2806" s="11"/>
      <c r="J2806" s="11"/>
      <c r="K2806" s="11"/>
      <c r="L2806" s="11"/>
      <c r="M2806" s="11"/>
      <c r="N2806" s="30" t="str">
        <f>IFERROR(__xludf.DUMMYFUNCTION("""COMPUTED_VALUE"""),"cel_med@hotmail.com                                    ")</f>
        <v>cel_med@hotmail.com                                    </v>
      </c>
      <c r="O2806" s="11">
        <f>IFERROR(__xludf.DUMMYFUNCTION("""COMPUTED_VALUE"""),3414711435)</f>
        <v>3414711435</v>
      </c>
      <c r="P2806" s="11"/>
      <c r="Q2806" s="11"/>
      <c r="R2806" s="11"/>
      <c r="S2806" s="11"/>
      <c r="T2806" s="11"/>
      <c r="U2806" s="11"/>
      <c r="V2806" s="11"/>
      <c r="W2806" s="11"/>
      <c r="X2806" s="11"/>
      <c r="Y2806" s="11"/>
      <c r="Z2806" s="11"/>
    </row>
    <row r="2807" customHeight="1" spans="1:26">
      <c r="A2807" s="11" t="str">
        <f>IFERROR(__xludf.DUMMYFUNCTION("""COMPUTED_VALUE"""),"MARIA DA CONCEICAO DOS S SILVA")</f>
        <v>MARIA DA CONCEICAO DOS S SILVA</v>
      </c>
      <c r="B2807" s="11"/>
      <c r="C2807" s="11"/>
      <c r="D2807" s="11" t="str">
        <f>IFERROR(__xludf.DUMMYFUNCTION("""COMPUTED_VALUE"""),"ANESTESIOLOGIA")</f>
        <v>ANESTESIOLOGIA</v>
      </c>
      <c r="E2807" s="11"/>
      <c r="F2807" s="11" t="str">
        <f>IFERROR(__xludf.DUMMYFUNCTION("""COMPUTED_VALUE"""),"US_165 MATERNIDADE BANDEIRA FILHO")</f>
        <v>US_165 MATERNIDADE BANDEIRA FILHO</v>
      </c>
      <c r="G2807" s="11" t="str">
        <f>IFERROR(__xludf.DUMMYFUNCTION("""COMPUTED_VALUE"""),"US_165 MATERNIDADE BANDEIRA FILHO")</f>
        <v>US_165 MATERNIDADE BANDEIRA FILHO</v>
      </c>
      <c r="H2807" s="11"/>
      <c r="I2807" s="11"/>
      <c r="J2807" s="11"/>
      <c r="K2807" s="11"/>
      <c r="L2807" s="11"/>
      <c r="M2807" s="11"/>
      <c r="N2807" s="30" t="str">
        <f>IFERROR(__xludf.DUMMYFUNCTION("""COMPUTED_VALUE"""),"dr_conceicao@hotmail.com")</f>
        <v>dr_conceicao@hotmail.com</v>
      </c>
      <c r="O2807" s="11">
        <f>IFERROR(__xludf.DUMMYFUNCTION("""COMPUTED_VALUE"""),19152493415)</f>
        <v>19152493415</v>
      </c>
      <c r="P2807" s="11"/>
      <c r="Q2807" s="11"/>
      <c r="R2807" s="11"/>
      <c r="S2807" s="11"/>
      <c r="T2807" s="11"/>
      <c r="U2807" s="11"/>
      <c r="V2807" s="11"/>
      <c r="W2807" s="11"/>
      <c r="X2807" s="11"/>
      <c r="Y2807" s="11"/>
      <c r="Z2807" s="11"/>
    </row>
    <row r="2808" customHeight="1" spans="1:26">
      <c r="A2808" s="11" t="str">
        <f>IFERROR(__xludf.DUMMYFUNCTION("""COMPUTED_VALUE"""),"MICHELLY GALVAO PASCARETTA")</f>
        <v>MICHELLY GALVAO PASCARETTA</v>
      </c>
      <c r="B2808" s="11"/>
      <c r="C2808" s="11"/>
      <c r="D2808" s="11" t="str">
        <f>IFERROR(__xludf.DUMMYFUNCTION("""COMPUTED_VALUE"""),"GINECOLOGIA E OBSTETRICIA")</f>
        <v>GINECOLOGIA E OBSTETRICIA</v>
      </c>
      <c r="E2808" s="11"/>
      <c r="F2808" s="11" t="str">
        <f>IFERROR(__xludf.DUMMYFUNCTION("""COMPUTED_VALUE"""),"US_167 POLICLINICA E MATERNIDADE PROFESSOR BARROS LIMA")</f>
        <v>US_167 POLICLINICA E MATERNIDADE PROFESSOR BARROS LIMA</v>
      </c>
      <c r="G2808" s="11" t="str">
        <f>IFERROR(__xludf.DUMMYFUNCTION("""COMPUTED_VALUE"""),"US_167 POLICLINICA E MATERNIDADE PROFESSOR BARROS LIMA")</f>
        <v>US_167 POLICLINICA E MATERNIDADE PROFESSOR BARROS LIMA</v>
      </c>
      <c r="H2808" s="11"/>
      <c r="I2808" s="11"/>
      <c r="J2808" s="11"/>
      <c r="K2808" s="11"/>
      <c r="L2808" s="11"/>
      <c r="M2808" s="11"/>
      <c r="N2808" s="30" t="str">
        <f>IFERROR(__xludf.DUMMYFUNCTION("""COMPUTED_VALUE"""),"michellypascaretta@hotmail.com")</f>
        <v>michellypascaretta@hotmail.com</v>
      </c>
      <c r="O2808" s="11">
        <f>IFERROR(__xludf.DUMMYFUNCTION("""COMPUTED_VALUE"""),791402460)</f>
        <v>791402460</v>
      </c>
      <c r="P2808" s="11"/>
      <c r="Q2808" s="11"/>
      <c r="R2808" s="11"/>
      <c r="S2808" s="11"/>
      <c r="T2808" s="11"/>
      <c r="U2808" s="11"/>
      <c r="V2808" s="11"/>
      <c r="W2808" s="11"/>
      <c r="X2808" s="11"/>
      <c r="Y2808" s="11"/>
      <c r="Z2808" s="11"/>
    </row>
    <row r="2809" customHeight="1" spans="1:26">
      <c r="A2809" s="11" t="str">
        <f>IFERROR(__xludf.DUMMYFUNCTION("""COMPUTED_VALUE"""),"CLEYTOON DAVYD F DA SILVA")</f>
        <v>CLEYTOON DAVYD F DA SILVA</v>
      </c>
      <c r="B2809" s="11"/>
      <c r="C2809" s="11"/>
      <c r="D2809" s="11" t="str">
        <f>IFERROR(__xludf.DUMMYFUNCTION("""COMPUTED_VALUE"""),"GINECOLOGIA E OBSTETRICIA")</f>
        <v>GINECOLOGIA E OBSTETRICIA</v>
      </c>
      <c r="E2809" s="11"/>
      <c r="F2809" s="11" t="str">
        <f>IFERROR(__xludf.DUMMYFUNCTION("""COMPUTED_VALUE"""),"US_153 POLICLINICA E MATERNIDADE ARNALDO MARQUES")</f>
        <v>US_153 POLICLINICA E MATERNIDADE ARNALDO MARQUES</v>
      </c>
      <c r="G2809" s="11" t="str">
        <f>IFERROR(__xludf.DUMMYFUNCTION("""COMPUTED_VALUE"""),"US_153 POLICLINICA E MATERNIDADE ARNALDO MARQUES")</f>
        <v>US_153 POLICLINICA E MATERNIDADE ARNALDO MARQUES</v>
      </c>
      <c r="H2809" s="11"/>
      <c r="I2809" s="11"/>
      <c r="J2809" s="11"/>
      <c r="K2809" s="11"/>
      <c r="L2809" s="11"/>
      <c r="M2809" s="11"/>
      <c r="N2809" s="30" t="str">
        <f>IFERROR(__xludf.DUMMYFUNCTION("""COMPUTED_VALUE"""),"cleytoon@uol.com.br")</f>
        <v>cleytoon@uol.com.br</v>
      </c>
      <c r="O2809" s="11">
        <f>IFERROR(__xludf.DUMMYFUNCTION("""COMPUTED_VALUE"""),98986147491)</f>
        <v>98986147491</v>
      </c>
      <c r="P2809" s="11"/>
      <c r="Q2809" s="11"/>
      <c r="R2809" s="11"/>
      <c r="S2809" s="11"/>
      <c r="T2809" s="11"/>
      <c r="U2809" s="11"/>
      <c r="V2809" s="11"/>
      <c r="W2809" s="11"/>
      <c r="X2809" s="11"/>
      <c r="Y2809" s="11"/>
      <c r="Z2809" s="11"/>
    </row>
    <row r="2810" customHeight="1" spans="1:26">
      <c r="A2810" s="11" t="str">
        <f>IFERROR(__xludf.DUMMYFUNCTION("""COMPUTED_VALUE"""),"MARIA JOSE G DE ARAUJO FILHA")</f>
        <v>MARIA JOSE G DE ARAUJO FILHA</v>
      </c>
      <c r="B2810" s="11"/>
      <c r="C2810" s="11"/>
      <c r="D2810" s="11" t="str">
        <f>IFERROR(__xludf.DUMMYFUNCTION("""COMPUTED_VALUE"""),"GINECOLOGIA E OBSTETRICIA")</f>
        <v>GINECOLOGIA E OBSTETRICIA</v>
      </c>
      <c r="E2810" s="11"/>
      <c r="F2810" s="11" t="str">
        <f>IFERROR(__xludf.DUMMYFUNCTION("""COMPUTED_VALUE"""),"US_167 POLICLINICA E MATERNIDADE PROFESSOR BARROS LIMA")</f>
        <v>US_167 POLICLINICA E MATERNIDADE PROFESSOR BARROS LIMA</v>
      </c>
      <c r="G2810" s="11" t="str">
        <f>IFERROR(__xludf.DUMMYFUNCTION("""COMPUTED_VALUE"""),"US_167 POLICLINICA E MATERNIDADE PROFESSOR BARROS LIMA")</f>
        <v>US_167 POLICLINICA E MATERNIDADE PROFESSOR BARROS LIMA</v>
      </c>
      <c r="H2810" s="11"/>
      <c r="I2810" s="11"/>
      <c r="J2810" s="11"/>
      <c r="K2810" s="11"/>
      <c r="L2810" s="11"/>
      <c r="M2810" s="11"/>
      <c r="N2810" s="30" t="str">
        <f>IFERROR(__xludf.DUMMYFUNCTION("""COMPUTED_VALUE"""),"galvaofilha@gmail.com")</f>
        <v>galvaofilha@gmail.com</v>
      </c>
      <c r="O2810" s="11">
        <f>IFERROR(__xludf.DUMMYFUNCTION("""COMPUTED_VALUE"""),12790613400)</f>
        <v>12790613400</v>
      </c>
      <c r="P2810" s="11"/>
      <c r="Q2810" s="11"/>
      <c r="R2810" s="11"/>
      <c r="S2810" s="11"/>
      <c r="T2810" s="11"/>
      <c r="U2810" s="11"/>
      <c r="V2810" s="11"/>
      <c r="W2810" s="11"/>
      <c r="X2810" s="11"/>
      <c r="Y2810" s="11"/>
      <c r="Z2810" s="11"/>
    </row>
    <row r="2811" customHeight="1" spans="1:26">
      <c r="A2811" s="11" t="str">
        <f>IFERROR(__xludf.DUMMYFUNCTION("""COMPUTED_VALUE"""),"MARIA INES A DE A G DOS SANTOS")</f>
        <v>MARIA INES A DE A G DOS SANTOS</v>
      </c>
      <c r="B2811" s="11"/>
      <c r="C2811" s="11"/>
      <c r="D2811" s="11" t="str">
        <f>IFERROR(__xludf.DUMMYFUNCTION("""COMPUTED_VALUE"""),"NEONATOLOGIA")</f>
        <v>NEONATOLOGIA</v>
      </c>
      <c r="E2811" s="11"/>
      <c r="F2811" s="11" t="str">
        <f>IFERROR(__xludf.DUMMYFUNCTION("""COMPUTED_VALUE"""),"US_165 MATERNIDADE BANDEIRA FILHO")</f>
        <v>US_165 MATERNIDADE BANDEIRA FILHO</v>
      </c>
      <c r="G2811" s="11" t="str">
        <f>IFERROR(__xludf.DUMMYFUNCTION("""COMPUTED_VALUE"""),"US_165 MATERNIDADE BANDEIRA FILHO")</f>
        <v>US_165 MATERNIDADE BANDEIRA FILHO</v>
      </c>
      <c r="H2811" s="11"/>
      <c r="I2811" s="11"/>
      <c r="J2811" s="11"/>
      <c r="K2811" s="11"/>
      <c r="L2811" s="11"/>
      <c r="M2811" s="11"/>
      <c r="N2811" s="30" t="str">
        <f>IFERROR(__xludf.DUMMYFUNCTION("""COMPUTED_VALUE"""),"inesalbanez@gmail.com")</f>
        <v>inesalbanez@gmail.com</v>
      </c>
      <c r="O2811" s="11">
        <f>IFERROR(__xludf.DUMMYFUNCTION("""COMPUTED_VALUE"""),19891210472)</f>
        <v>19891210472</v>
      </c>
      <c r="P2811" s="11"/>
      <c r="Q2811" s="11"/>
      <c r="R2811" s="11"/>
      <c r="S2811" s="11"/>
      <c r="T2811" s="11"/>
      <c r="U2811" s="11"/>
      <c r="V2811" s="11"/>
      <c r="W2811" s="11"/>
      <c r="X2811" s="11"/>
      <c r="Y2811" s="11"/>
      <c r="Z2811" s="11"/>
    </row>
    <row r="2812" customHeight="1" spans="1:26">
      <c r="A2812" s="11" t="str">
        <f>IFERROR(__xludf.DUMMYFUNCTION("""COMPUTED_VALUE"""),"DANIELA NEUMANN KAUFFMAN")</f>
        <v>DANIELA NEUMANN KAUFFMAN</v>
      </c>
      <c r="B2812" s="11"/>
      <c r="C2812" s="11"/>
      <c r="D2812" s="11" t="str">
        <f>IFERROR(__xludf.DUMMYFUNCTION("""COMPUTED_VALUE"""),"NEONATOLOGIA")</f>
        <v>NEONATOLOGIA</v>
      </c>
      <c r="E2812" s="11"/>
      <c r="F2812" s="11" t="str">
        <f>IFERROR(__xludf.DUMMYFUNCTION("""COMPUTED_VALUE"""),"US_165 MATERNIDADE BANDEIRA FILHO")</f>
        <v>US_165 MATERNIDADE BANDEIRA FILHO</v>
      </c>
      <c r="G2812" s="11" t="str">
        <f>IFERROR(__xludf.DUMMYFUNCTION("""COMPUTED_VALUE"""),"US_165 MATERNIDADE BANDEIRA FILHO")</f>
        <v>US_165 MATERNIDADE BANDEIRA FILHO</v>
      </c>
      <c r="H2812" s="11"/>
      <c r="I2812" s="11"/>
      <c r="J2812" s="11"/>
      <c r="K2812" s="11"/>
      <c r="L2812" s="11"/>
      <c r="M2812" s="11"/>
      <c r="N2812" s="30" t="str">
        <f>IFERROR(__xludf.DUMMYFUNCTION("""COMPUTED_VALUE"""),"dnkauffman@gmail.com                                   ")</f>
        <v>dnkauffman@gmail.com                                   </v>
      </c>
      <c r="O2812" s="11">
        <f>IFERROR(__xludf.DUMMYFUNCTION("""COMPUTED_VALUE"""),3869001402)</f>
        <v>3869001402</v>
      </c>
      <c r="P2812" s="11"/>
      <c r="Q2812" s="11"/>
      <c r="R2812" s="11"/>
      <c r="S2812" s="11"/>
      <c r="T2812" s="11"/>
      <c r="U2812" s="11"/>
      <c r="V2812" s="11"/>
      <c r="W2812" s="11"/>
      <c r="X2812" s="11"/>
      <c r="Y2812" s="11"/>
      <c r="Z2812" s="11"/>
    </row>
    <row r="2813" customHeight="1" spans="1:26">
      <c r="A2813" s="11" t="str">
        <f>IFERROR(__xludf.DUMMYFUNCTION("""COMPUTED_VALUE"""),"ROBERTA GOMES RIBEIRO G PINTO")</f>
        <v>ROBERTA GOMES RIBEIRO G PINTO</v>
      </c>
      <c r="B2813" s="11"/>
      <c r="C2813" s="11"/>
      <c r="D2813" s="11" t="str">
        <f>IFERROR(__xludf.DUMMYFUNCTION("""COMPUTED_VALUE"""),"NEONATOLOGIA")</f>
        <v>NEONATOLOGIA</v>
      </c>
      <c r="E2813" s="11"/>
      <c r="F2813" s="11" t="str">
        <f>IFERROR(__xludf.DUMMYFUNCTION("""COMPUTED_VALUE"""),"US_165 MATERNIDADE BANDEIRA FILHO")</f>
        <v>US_165 MATERNIDADE BANDEIRA FILHO</v>
      </c>
      <c r="G2813" s="11" t="str">
        <f>IFERROR(__xludf.DUMMYFUNCTION("""COMPUTED_VALUE"""),"US_165 MATERNIDADE BANDEIRA FILHO")</f>
        <v>US_165 MATERNIDADE BANDEIRA FILHO</v>
      </c>
      <c r="H2813" s="11"/>
      <c r="I2813" s="11"/>
      <c r="J2813" s="11"/>
      <c r="K2813" s="11"/>
      <c r="L2813" s="11"/>
      <c r="M2813" s="11"/>
      <c r="N2813" s="30" t="str">
        <f>IFERROR(__xludf.DUMMYFUNCTION("""COMPUTED_VALUE"""),"BETAGRG@HOTMAIL.COM")</f>
        <v>BETAGRG@HOTMAIL.COM</v>
      </c>
      <c r="O2813" s="11">
        <f>IFERROR(__xludf.DUMMYFUNCTION("""COMPUTED_VALUE"""),62563653304)</f>
        <v>62563653304</v>
      </c>
      <c r="P2813" s="11"/>
      <c r="Q2813" s="11"/>
      <c r="R2813" s="11"/>
      <c r="S2813" s="11"/>
      <c r="T2813" s="11"/>
      <c r="U2813" s="11"/>
      <c r="V2813" s="11"/>
      <c r="W2813" s="11"/>
      <c r="X2813" s="11"/>
      <c r="Y2813" s="11"/>
      <c r="Z2813" s="11"/>
    </row>
    <row r="2814" customHeight="1" spans="1:26">
      <c r="A2814" s="11" t="str">
        <f>IFERROR(__xludf.DUMMYFUNCTION("""COMPUTED_VALUE"""),"RENATA GRACE MIRANDA B SOARES")</f>
        <v>RENATA GRACE MIRANDA B SOARES</v>
      </c>
      <c r="B2814" s="11"/>
      <c r="C2814" s="11"/>
      <c r="D2814" s="11" t="str">
        <f>IFERROR(__xludf.DUMMYFUNCTION("""COMPUTED_VALUE"""),"NEONATOLOGIA")</f>
        <v>NEONATOLOGIA</v>
      </c>
      <c r="E2814" s="11"/>
      <c r="F2814" s="11" t="str">
        <f>IFERROR(__xludf.DUMMYFUNCTION("""COMPUTED_VALUE"""),"US_153 POLICLINICA E MATERNIDADE ARNALDO MARQUES")</f>
        <v>US_153 POLICLINICA E MATERNIDADE ARNALDO MARQUES</v>
      </c>
      <c r="G2814" s="11" t="str">
        <f>IFERROR(__xludf.DUMMYFUNCTION("""COMPUTED_VALUE"""),"US_153 POLICLINICA E MATERNIDADE ARNALDO MARQUES")</f>
        <v>US_153 POLICLINICA E MATERNIDADE ARNALDO MARQUES</v>
      </c>
      <c r="H2814" s="11"/>
      <c r="I2814" s="11"/>
      <c r="J2814" s="11"/>
      <c r="K2814" s="11"/>
      <c r="L2814" s="11"/>
      <c r="M2814" s="11"/>
      <c r="N2814" s="30" t="str">
        <f>IFERROR(__xludf.DUMMYFUNCTION("""COMPUTED_VALUE"""),"renatagrace@ig.com.br")</f>
        <v>renatagrace@ig.com.br</v>
      </c>
      <c r="O2814" s="11">
        <f>IFERROR(__xludf.DUMMYFUNCTION("""COMPUTED_VALUE"""),2704333416)</f>
        <v>2704333416</v>
      </c>
      <c r="P2814" s="11"/>
      <c r="Q2814" s="11"/>
      <c r="R2814" s="11"/>
      <c r="S2814" s="11"/>
      <c r="T2814" s="11"/>
      <c r="U2814" s="11"/>
      <c r="V2814" s="11"/>
      <c r="W2814" s="11"/>
      <c r="X2814" s="11"/>
      <c r="Y2814" s="11"/>
      <c r="Z2814" s="11"/>
    </row>
    <row r="2815" customHeight="1" spans="1:26">
      <c r="A2815" s="11" t="str">
        <f>IFERROR(__xludf.DUMMYFUNCTION("""COMPUTED_VALUE"""),"THAYSE ARAUJO LUZ")</f>
        <v>THAYSE ARAUJO LUZ</v>
      </c>
      <c r="B2815" s="11"/>
      <c r="C2815" s="11"/>
      <c r="D2815" s="11" t="str">
        <f>IFERROR(__xludf.DUMMYFUNCTION("""COMPUTED_VALUE"""),"GINECOLOGIA E OBSTETRICIA")</f>
        <v>GINECOLOGIA E OBSTETRICIA</v>
      </c>
      <c r="E2815" s="11"/>
      <c r="F2815" s="11" t="str">
        <f>IFERROR(__xludf.DUMMYFUNCTION("""COMPUTED_VALUE"""),"US_167 POLICLINICA E MATERNIDADE PROFESSOR BARROS LIMA")</f>
        <v>US_167 POLICLINICA E MATERNIDADE PROFESSOR BARROS LIMA</v>
      </c>
      <c r="G2815" s="11" t="str">
        <f>IFERROR(__xludf.DUMMYFUNCTION("""COMPUTED_VALUE"""),"US_167 POLICLINICA E MATERNIDADE PROFESSOR BARROS LIMA")</f>
        <v>US_167 POLICLINICA E MATERNIDADE PROFESSOR BARROS LIMA</v>
      </c>
      <c r="H2815" s="11"/>
      <c r="I2815" s="11"/>
      <c r="J2815" s="11"/>
      <c r="K2815" s="11"/>
      <c r="L2815" s="11"/>
      <c r="M2815" s="11"/>
      <c r="N2815" s="30" t="str">
        <f>IFERROR(__xludf.DUMMYFUNCTION("""COMPUTED_VALUE"""),"tal150982@hotmail.com")</f>
        <v>tal150982@hotmail.com</v>
      </c>
      <c r="O2815" s="11">
        <f>IFERROR(__xludf.DUMMYFUNCTION("""COMPUTED_VALUE"""),96170824387)</f>
        <v>96170824387</v>
      </c>
      <c r="P2815" s="11"/>
      <c r="Q2815" s="11"/>
      <c r="R2815" s="11"/>
      <c r="S2815" s="11"/>
      <c r="T2815" s="11"/>
      <c r="U2815" s="11"/>
      <c r="V2815" s="11"/>
      <c r="W2815" s="11"/>
      <c r="X2815" s="11"/>
      <c r="Y2815" s="11"/>
      <c r="Z2815" s="11"/>
    </row>
    <row r="2816" customHeight="1" spans="1:26">
      <c r="A2816" s="11" t="str">
        <f>IFERROR(__xludf.DUMMYFUNCTION("""COMPUTED_VALUE"""),"TEREZA MARIA C.DE ALBUQUERQUE")</f>
        <v>TEREZA MARIA C.DE ALBUQUERQUE</v>
      </c>
      <c r="B2816" s="11"/>
      <c r="C2816" s="11"/>
      <c r="D2816" s="11" t="str">
        <f>IFERROR(__xludf.DUMMYFUNCTION("""COMPUTED_VALUE"""),"GINECOLOGIA E OBSTETRICIA")</f>
        <v>GINECOLOGIA E OBSTETRICIA</v>
      </c>
      <c r="E2816" s="11"/>
      <c r="F2816" s="11" t="str">
        <f>IFERROR(__xludf.DUMMYFUNCTION("""COMPUTED_VALUE"""),"US_165 MATERNIDADE BANDEIRA FILHO")</f>
        <v>US_165 MATERNIDADE BANDEIRA FILHO</v>
      </c>
      <c r="G2816" s="11" t="str">
        <f>IFERROR(__xludf.DUMMYFUNCTION("""COMPUTED_VALUE"""),"US_165 MATERNIDADE BANDEIRA FILHO")</f>
        <v>US_165 MATERNIDADE BANDEIRA FILHO</v>
      </c>
      <c r="H2816" s="11"/>
      <c r="I2816" s="11"/>
      <c r="J2816" s="11"/>
      <c r="K2816" s="11"/>
      <c r="L2816" s="11"/>
      <c r="M2816" s="11"/>
      <c r="N2816" s="30" t="str">
        <f>IFERROR(__xludf.DUMMYFUNCTION("""COMPUTED_VALUE"""),"TMCA@HOTMAIL.COM")</f>
        <v>TMCA@HOTMAIL.COM</v>
      </c>
      <c r="O2816" s="11">
        <f>IFERROR(__xludf.DUMMYFUNCTION("""COMPUTED_VALUE"""),45021341472)</f>
        <v>45021341472</v>
      </c>
      <c r="P2816" s="11"/>
      <c r="Q2816" s="11"/>
      <c r="R2816" s="11"/>
      <c r="S2816" s="11"/>
      <c r="T2816" s="11"/>
      <c r="U2816" s="11"/>
      <c r="V2816" s="11"/>
      <c r="W2816" s="11"/>
      <c r="X2816" s="11"/>
      <c r="Y2816" s="11"/>
      <c r="Z2816" s="11"/>
    </row>
    <row r="2817" customHeight="1" spans="1:26">
      <c r="A2817" s="11" t="str">
        <f>IFERROR(__xludf.DUMMYFUNCTION("""COMPUTED_VALUE"""),"ANDREZA SARAIVA CARVALHO LEITE")</f>
        <v>ANDREZA SARAIVA CARVALHO LEITE</v>
      </c>
      <c r="B2817" s="11"/>
      <c r="C2817" s="11"/>
      <c r="D2817" s="11" t="str">
        <f>IFERROR(__xludf.DUMMYFUNCTION("""COMPUTED_VALUE"""),"GINECOLOGIA E OBSTETRICIA")</f>
        <v>GINECOLOGIA E OBSTETRICIA</v>
      </c>
      <c r="E2817" s="11"/>
      <c r="F2817" s="11" t="str">
        <f>IFERROR(__xludf.DUMMYFUNCTION("""COMPUTED_VALUE"""),"US_153 POLICLINICA E MATERNIDADE ARNALDO MARQUES")</f>
        <v>US_153 POLICLINICA E MATERNIDADE ARNALDO MARQUES</v>
      </c>
      <c r="G2817" s="11" t="str">
        <f>IFERROR(__xludf.DUMMYFUNCTION("""COMPUTED_VALUE"""),"US_153 POLICLINICA E MATERNIDADE ARNALDO MARQUES")</f>
        <v>US_153 POLICLINICA E MATERNIDADE ARNALDO MARQUES</v>
      </c>
      <c r="H2817" s="11"/>
      <c r="I2817" s="11"/>
      <c r="J2817" s="11"/>
      <c r="K2817" s="11"/>
      <c r="L2817" s="11"/>
      <c r="M2817" s="11"/>
      <c r="N2817" s="30" t="str">
        <f>IFERROR(__xludf.DUMMYFUNCTION("""COMPUTED_VALUE"""),"andreza.saraiva@gmail.com")</f>
        <v>andreza.saraiva@gmail.com</v>
      </c>
      <c r="O2817" s="11">
        <f>IFERROR(__xludf.DUMMYFUNCTION("""COMPUTED_VALUE"""),4039800460)</f>
        <v>4039800460</v>
      </c>
      <c r="P2817" s="11"/>
      <c r="Q2817" s="11"/>
      <c r="R2817" s="11"/>
      <c r="S2817" s="11"/>
      <c r="T2817" s="11"/>
      <c r="U2817" s="11"/>
      <c r="V2817" s="11"/>
      <c r="W2817" s="11"/>
      <c r="X2817" s="11"/>
      <c r="Y2817" s="11"/>
      <c r="Z2817" s="11"/>
    </row>
    <row r="2818" customHeight="1" spans="1:26">
      <c r="A2818" s="11" t="str">
        <f>IFERROR(__xludf.DUMMYFUNCTION("""COMPUTED_VALUE"""),"LUIZ ALEXANDRE R DA ROCHA")</f>
        <v>LUIZ ALEXANDRE R DA ROCHA</v>
      </c>
      <c r="B2818" s="11"/>
      <c r="C2818" s="11"/>
      <c r="D2818" s="11" t="str">
        <f>IFERROR(__xludf.DUMMYFUNCTION("""COMPUTED_VALUE"""),"PEDIATRIA")</f>
        <v>PEDIATRIA</v>
      </c>
      <c r="E2818" s="11"/>
      <c r="F2818" s="11" t="str">
        <f>IFERROR(__xludf.DUMMYFUNCTION("""COMPUTED_VALUE"""),"US_153 POLICLINICA E MATERNIDADE ARNALDO MARQUES")</f>
        <v>US_153 POLICLINICA E MATERNIDADE ARNALDO MARQUES</v>
      </c>
      <c r="G2818" s="11" t="str">
        <f>IFERROR(__xludf.DUMMYFUNCTION("""COMPUTED_VALUE"""),"US_153 POLICLINICA E MATERNIDADE ARNALDO MARQUES")</f>
        <v>US_153 POLICLINICA E MATERNIDADE ARNALDO MARQUES</v>
      </c>
      <c r="H2818" s="11"/>
      <c r="I2818" s="11"/>
      <c r="J2818" s="11"/>
      <c r="K2818" s="11"/>
      <c r="L2818" s="11"/>
      <c r="M2818" s="11"/>
      <c r="N2818" s="30" t="str">
        <f>IFERROR(__xludf.DUMMYFUNCTION("""COMPUTED_VALUE"""),"luizrocha1980@hotmail.com")</f>
        <v>luizrocha1980@hotmail.com</v>
      </c>
      <c r="O2818" s="11">
        <f>IFERROR(__xludf.DUMMYFUNCTION("""COMPUTED_VALUE"""),4178014404)</f>
        <v>4178014404</v>
      </c>
      <c r="P2818" s="11"/>
      <c r="Q2818" s="11"/>
      <c r="R2818" s="11"/>
      <c r="S2818" s="11"/>
      <c r="T2818" s="11"/>
      <c r="U2818" s="11"/>
      <c r="V2818" s="11"/>
      <c r="W2818" s="11"/>
      <c r="X2818" s="11"/>
      <c r="Y2818" s="11"/>
      <c r="Z2818" s="11"/>
    </row>
    <row r="2819" customHeight="1" spans="1:26">
      <c r="A2819" s="11" t="str">
        <f>IFERROR(__xludf.DUMMYFUNCTION("""COMPUTED_VALUE"""),"DANIELE LINS BRAGA")</f>
        <v>DANIELE LINS BRAGA</v>
      </c>
      <c r="B2819" s="11"/>
      <c r="C2819" s="11"/>
      <c r="D2819" s="11" t="str">
        <f>IFERROR(__xludf.DUMMYFUNCTION("""COMPUTED_VALUE"""),"CLINICA GERAL")</f>
        <v>CLINICA GERAL</v>
      </c>
      <c r="E2819" s="11"/>
      <c r="F2819" s="11" t="str">
        <f>IFERROR(__xludf.DUMMYFUNCTION("""COMPUTED_VALUE"""),"US_167 POLICLINICA E MATERNIDADE PROFESSOR BARROS LIMA")</f>
        <v>US_167 POLICLINICA E MATERNIDADE PROFESSOR BARROS LIMA</v>
      </c>
      <c r="G2819" s="11" t="str">
        <f>IFERROR(__xludf.DUMMYFUNCTION("""COMPUTED_VALUE"""),"US_167 POLICLINICA E MATERNIDADE PROFESSOR BARROS LIMA")</f>
        <v>US_167 POLICLINICA E MATERNIDADE PROFESSOR BARROS LIMA</v>
      </c>
      <c r="H2819" s="11"/>
      <c r="I2819" s="11"/>
      <c r="J2819" s="11"/>
      <c r="K2819" s="11"/>
      <c r="L2819" s="11"/>
      <c r="M2819" s="11"/>
      <c r="N2819" s="30" t="str">
        <f>IFERROR(__xludf.DUMMYFUNCTION("""COMPUTED_VALUE"""),"dani_lbraga@yahoo.com.br")</f>
        <v>dani_lbraga@yahoo.com.br</v>
      </c>
      <c r="O2819" s="11">
        <f>IFERROR(__xludf.DUMMYFUNCTION("""COMPUTED_VALUE"""),3921316413)</f>
        <v>3921316413</v>
      </c>
      <c r="P2819" s="11"/>
      <c r="Q2819" s="11"/>
      <c r="R2819" s="11"/>
      <c r="S2819" s="11"/>
      <c r="T2819" s="11"/>
      <c r="U2819" s="11"/>
      <c r="V2819" s="11"/>
      <c r="W2819" s="11"/>
      <c r="X2819" s="11"/>
      <c r="Y2819" s="11"/>
      <c r="Z2819" s="11"/>
    </row>
    <row r="2820" customHeight="1" spans="1:26">
      <c r="A2820" s="11" t="str">
        <f>IFERROR(__xludf.DUMMYFUNCTION("""COMPUTED_VALUE"""),"DANIELLE MELO DA SILVA")</f>
        <v>DANIELLE MELO DA SILVA</v>
      </c>
      <c r="B2820" s="11"/>
      <c r="C2820" s="11"/>
      <c r="D2820" s="11" t="str">
        <f>IFERROR(__xludf.DUMMYFUNCTION("""COMPUTED_VALUE"""),"ANESTESIOLOGIA")</f>
        <v>ANESTESIOLOGIA</v>
      </c>
      <c r="E2820" s="11"/>
      <c r="F2820" s="11" t="str">
        <f>IFERROR(__xludf.DUMMYFUNCTION("""COMPUTED_VALUE"""),"US_153 POLICLINICA E MATERNIDADE ARNALDO MARQUES")</f>
        <v>US_153 POLICLINICA E MATERNIDADE ARNALDO MARQUES</v>
      </c>
      <c r="G2820" s="11" t="str">
        <f>IFERROR(__xludf.DUMMYFUNCTION("""COMPUTED_VALUE"""),"US_153 POLICLINICA E MATERNIDADE ARNALDO MARQUES")</f>
        <v>US_153 POLICLINICA E MATERNIDADE ARNALDO MARQUES</v>
      </c>
      <c r="H2820" s="11"/>
      <c r="I2820" s="11"/>
      <c r="J2820" s="11"/>
      <c r="K2820" s="11"/>
      <c r="L2820" s="11"/>
      <c r="M2820" s="11"/>
      <c r="N2820" s="30" t="str">
        <f>IFERROR(__xludf.DUMMYFUNCTION("""COMPUTED_VALUE"""),"danimelos@gmail.com")</f>
        <v>danimelos@gmail.com</v>
      </c>
      <c r="O2820" s="11">
        <f>IFERROR(__xludf.DUMMYFUNCTION("""COMPUTED_VALUE"""),3481469497)</f>
        <v>3481469497</v>
      </c>
      <c r="P2820" s="11"/>
      <c r="Q2820" s="11"/>
      <c r="R2820" s="11"/>
      <c r="S2820" s="11"/>
      <c r="T2820" s="11"/>
      <c r="U2820" s="11"/>
      <c r="V2820" s="11"/>
      <c r="W2820" s="11"/>
      <c r="X2820" s="11"/>
      <c r="Y2820" s="11"/>
      <c r="Z2820" s="11"/>
    </row>
    <row r="2821" customHeight="1" spans="1:26">
      <c r="A2821" s="11" t="str">
        <f>IFERROR(__xludf.DUMMYFUNCTION("""COMPUTED_VALUE"""),"ANA CAROLINA D P C DE OLIVEIRA")</f>
        <v>ANA CAROLINA D P C DE OLIVEIRA</v>
      </c>
      <c r="B2821" s="11"/>
      <c r="C2821" s="11"/>
      <c r="D2821" s="11" t="str">
        <f>IFERROR(__xludf.DUMMYFUNCTION("""COMPUTED_VALUE"""),"CLINICA GERAL")</f>
        <v>CLINICA GERAL</v>
      </c>
      <c r="E2821" s="11"/>
      <c r="F2821" s="11" t="str">
        <f>IFERROR(__xludf.DUMMYFUNCTION("""COMPUTED_VALUE"""),"US_167 POLICLINICA E MATERNIDADE PROFESSOR BARROS LIMA")</f>
        <v>US_167 POLICLINICA E MATERNIDADE PROFESSOR BARROS LIMA</v>
      </c>
      <c r="G2821" s="11" t="str">
        <f>IFERROR(__xludf.DUMMYFUNCTION("""COMPUTED_VALUE"""),"US_167 POLICLINICA E MATERNIDADE PROFESSOR BARROS LIMA")</f>
        <v>US_167 POLICLINICA E MATERNIDADE PROFESSOR BARROS LIMA</v>
      </c>
      <c r="H2821" s="11"/>
      <c r="I2821" s="11"/>
      <c r="J2821" s="11"/>
      <c r="K2821" s="11"/>
      <c r="L2821" s="11"/>
      <c r="M2821" s="11"/>
      <c r="N2821" s="30" t="str">
        <f>IFERROR(__xludf.DUMMYFUNCTION("""COMPUTED_VALUE"""),"anacarolperdigao@gmail.com")</f>
        <v>anacarolperdigao@gmail.com</v>
      </c>
      <c r="O2821" s="11">
        <f>IFERROR(__xludf.DUMMYFUNCTION("""COMPUTED_VALUE"""),193439301)</f>
        <v>193439301</v>
      </c>
      <c r="P2821" s="11"/>
      <c r="Q2821" s="11"/>
      <c r="R2821" s="11"/>
      <c r="S2821" s="11"/>
      <c r="T2821" s="11"/>
      <c r="U2821" s="11"/>
      <c r="V2821" s="11"/>
      <c r="W2821" s="11"/>
      <c r="X2821" s="11"/>
      <c r="Y2821" s="11"/>
      <c r="Z2821" s="11"/>
    </row>
    <row r="2822" customHeight="1" spans="1:26">
      <c r="A2822" s="11" t="str">
        <f>IFERROR(__xludf.DUMMYFUNCTION("""COMPUTED_VALUE"""),"AYSA CESAR PINHEIRO")</f>
        <v>AYSA CESAR PINHEIRO</v>
      </c>
      <c r="B2822" s="11"/>
      <c r="C2822" s="11"/>
      <c r="D2822" s="11" t="str">
        <f>IFERROR(__xludf.DUMMYFUNCTION("""COMPUTED_VALUE"""),"CLINICA GERAL")</f>
        <v>CLINICA GERAL</v>
      </c>
      <c r="E2822" s="11"/>
      <c r="F2822" s="11" t="str">
        <f>IFERROR(__xludf.DUMMYFUNCTION("""COMPUTED_VALUE"""),"US_153 POLICLINICA E MATERNIDADE ARNALDO MARQUES")</f>
        <v>US_153 POLICLINICA E MATERNIDADE ARNALDO MARQUES</v>
      </c>
      <c r="G2822" s="11" t="str">
        <f>IFERROR(__xludf.DUMMYFUNCTION("""COMPUTED_VALUE"""),"US_153 POLICLINICA E MATERNIDADE ARNALDO MARQUES")</f>
        <v>US_153 POLICLINICA E MATERNIDADE ARNALDO MARQUES</v>
      </c>
      <c r="H2822" s="11"/>
      <c r="I2822" s="11"/>
      <c r="J2822" s="11"/>
      <c r="K2822" s="11"/>
      <c r="L2822" s="11"/>
      <c r="M2822" s="11"/>
      <c r="N2822" s="30" t="str">
        <f>IFERROR(__xludf.DUMMYFUNCTION("""COMPUTED_VALUE"""),"aysapinheiro@hotmail.com")</f>
        <v>aysapinheiro@hotmail.com</v>
      </c>
      <c r="O2822" s="11">
        <f>IFERROR(__xludf.DUMMYFUNCTION("""COMPUTED_VALUE"""),6265225448)</f>
        <v>6265225448</v>
      </c>
      <c r="P2822" s="11"/>
      <c r="Q2822" s="11"/>
      <c r="R2822" s="11"/>
      <c r="S2822" s="11"/>
      <c r="T2822" s="11"/>
      <c r="U2822" s="11"/>
      <c r="V2822" s="11"/>
      <c r="W2822" s="11"/>
      <c r="X2822" s="11"/>
      <c r="Y2822" s="11"/>
      <c r="Z2822" s="11"/>
    </row>
    <row r="2823" customHeight="1" spans="1:26">
      <c r="A2823" s="11" t="str">
        <f>IFERROR(__xludf.DUMMYFUNCTION("""COMPUTED_VALUE"""),"HONORIO JUSTINO JUNIOR")</f>
        <v>HONORIO JUSTINO JUNIOR</v>
      </c>
      <c r="B2823" s="11"/>
      <c r="C2823" s="11"/>
      <c r="D2823" s="11" t="str">
        <f>IFERROR(__xludf.DUMMYFUNCTION("""COMPUTED_VALUE"""),"CLINICA GERAL")</f>
        <v>CLINICA GERAL</v>
      </c>
      <c r="E2823" s="11"/>
      <c r="F2823" s="11" t="str">
        <f>IFERROR(__xludf.DUMMYFUNCTION("""COMPUTED_VALUE"""),"US_167 POLICLINICA E MATERNIDADE PROFESSOR BARROS LIMA")</f>
        <v>US_167 POLICLINICA E MATERNIDADE PROFESSOR BARROS LIMA</v>
      </c>
      <c r="G2823" s="11" t="str">
        <f>IFERROR(__xludf.DUMMYFUNCTION("""COMPUTED_VALUE"""),"US_167 POLICLINICA E MATERNIDADE PROFESSOR BARROS LIMA")</f>
        <v>US_167 POLICLINICA E MATERNIDADE PROFESSOR BARROS LIMA</v>
      </c>
      <c r="H2823" s="11"/>
      <c r="I2823" s="11"/>
      <c r="J2823" s="11"/>
      <c r="K2823" s="11"/>
      <c r="L2823" s="11"/>
      <c r="M2823" s="11"/>
      <c r="N2823" s="30" t="str">
        <f>IFERROR(__xludf.DUMMYFUNCTION("""COMPUTED_VALUE"""),"hjj.58@hotmail.com")</f>
        <v>hjj.58@hotmail.com</v>
      </c>
      <c r="O2823" s="11">
        <f>IFERROR(__xludf.DUMMYFUNCTION("""COMPUTED_VALUE"""),14978776449)</f>
        <v>14978776449</v>
      </c>
      <c r="P2823" s="11"/>
      <c r="Q2823" s="11"/>
      <c r="R2823" s="11"/>
      <c r="S2823" s="11"/>
      <c r="T2823" s="11"/>
      <c r="U2823" s="11"/>
      <c r="V2823" s="11"/>
      <c r="W2823" s="11"/>
      <c r="X2823" s="11"/>
      <c r="Y2823" s="11"/>
      <c r="Z2823" s="11"/>
    </row>
    <row r="2824" customHeight="1" spans="1:26">
      <c r="A2824" s="11" t="str">
        <f>IFERROR(__xludf.DUMMYFUNCTION("""COMPUTED_VALUE"""),"DEBORA DA ROCHA GUERRA")</f>
        <v>DEBORA DA ROCHA GUERRA</v>
      </c>
      <c r="B2824" s="11"/>
      <c r="C2824" s="11"/>
      <c r="D2824" s="11" t="str">
        <f>IFERROR(__xludf.DUMMYFUNCTION("""COMPUTED_VALUE"""),"PEDIATRIA")</f>
        <v>PEDIATRIA</v>
      </c>
      <c r="E2824" s="11"/>
      <c r="F2824" s="11" t="str">
        <f>IFERROR(__xludf.DUMMYFUNCTION("""COMPUTED_VALUE"""),"US_153 POLICLINICA E MATERNIDADE ARNALDO MARQUES")</f>
        <v>US_153 POLICLINICA E MATERNIDADE ARNALDO MARQUES</v>
      </c>
      <c r="G2824" s="11" t="str">
        <f>IFERROR(__xludf.DUMMYFUNCTION("""COMPUTED_VALUE"""),"US_153 POLICLINICA E MATERNIDADE ARNALDO MARQUES")</f>
        <v>US_153 POLICLINICA E MATERNIDADE ARNALDO MARQUES</v>
      </c>
      <c r="H2824" s="11"/>
      <c r="I2824" s="11"/>
      <c r="J2824" s="11"/>
      <c r="K2824" s="11"/>
      <c r="L2824" s="11"/>
      <c r="M2824" s="11"/>
      <c r="N2824" s="30" t="str">
        <f>IFERROR(__xludf.DUMMYFUNCTION("""COMPUTED_VALUE"""),"deby_guerra@hotmail.com")</f>
        <v>deby_guerra@hotmail.com</v>
      </c>
      <c r="O2824" s="11">
        <f>IFERROR(__xludf.DUMMYFUNCTION("""COMPUTED_VALUE"""),3648908430)</f>
        <v>3648908430</v>
      </c>
      <c r="P2824" s="11"/>
      <c r="Q2824" s="11"/>
      <c r="R2824" s="11"/>
      <c r="S2824" s="11"/>
      <c r="T2824" s="11"/>
      <c r="U2824" s="11"/>
      <c r="V2824" s="11"/>
      <c r="W2824" s="11"/>
      <c r="X2824" s="11"/>
      <c r="Y2824" s="11"/>
      <c r="Z2824" s="11"/>
    </row>
    <row r="2825" customHeight="1" spans="1:26">
      <c r="A2825" s="11" t="str">
        <f>IFERROR(__xludf.DUMMYFUNCTION("""COMPUTED_VALUE"""),"JAMILLY LEITE SANTOS")</f>
        <v>JAMILLY LEITE SANTOS</v>
      </c>
      <c r="B2825" s="11"/>
      <c r="C2825" s="11"/>
      <c r="D2825" s="11" t="str">
        <f>IFERROR(__xludf.DUMMYFUNCTION("""COMPUTED_VALUE"""),"GINECOLOGIA E OBSTETRICIA")</f>
        <v>GINECOLOGIA E OBSTETRICIA</v>
      </c>
      <c r="E2825" s="11"/>
      <c r="F2825" s="11" t="str">
        <f>IFERROR(__xludf.DUMMYFUNCTION("""COMPUTED_VALUE"""),"US_167 POLICLINICA E MATERNIDADE PROFESSOR BARROS LIMA")</f>
        <v>US_167 POLICLINICA E MATERNIDADE PROFESSOR BARROS LIMA</v>
      </c>
      <c r="G2825" s="11" t="str">
        <f>IFERROR(__xludf.DUMMYFUNCTION("""COMPUTED_VALUE"""),"US_167 POLICLINICA E MATERNIDADE PROFESSOR BARROS LIMA")</f>
        <v>US_167 POLICLINICA E MATERNIDADE PROFESSOR BARROS LIMA</v>
      </c>
      <c r="H2825" s="11"/>
      <c r="I2825" s="11"/>
      <c r="J2825" s="11"/>
      <c r="K2825" s="11"/>
      <c r="L2825" s="11"/>
      <c r="M2825" s="11"/>
      <c r="N2825" s="30" t="str">
        <f>IFERROR(__xludf.DUMMYFUNCTION("""COMPUTED_VALUE"""),"jamillyleite@hotmail.com")</f>
        <v>jamillyleite@hotmail.com</v>
      </c>
      <c r="O2825" s="11">
        <f>IFERROR(__xludf.DUMMYFUNCTION("""COMPUTED_VALUE"""),3079094417)</f>
        <v>3079094417</v>
      </c>
      <c r="P2825" s="11"/>
      <c r="Q2825" s="11"/>
      <c r="R2825" s="11"/>
      <c r="S2825" s="11"/>
      <c r="T2825" s="11"/>
      <c r="U2825" s="11"/>
      <c r="V2825" s="11"/>
      <c r="W2825" s="11"/>
      <c r="X2825" s="11"/>
      <c r="Y2825" s="11"/>
      <c r="Z2825" s="11"/>
    </row>
    <row r="2826" customHeight="1" spans="1:26">
      <c r="A2826" s="11" t="str">
        <f>IFERROR(__xludf.DUMMYFUNCTION("""COMPUTED_VALUE"""),"ADRIANA GONCALVES S COELHO")</f>
        <v>ADRIANA GONCALVES S COELHO</v>
      </c>
      <c r="B2826" s="11"/>
      <c r="C2826" s="11"/>
      <c r="D2826" s="11" t="str">
        <f>IFERROR(__xludf.DUMMYFUNCTION("""COMPUTED_VALUE"""),"GINECOLOGIA E OBSTETRICIA")</f>
        <v>GINECOLOGIA E OBSTETRICIA</v>
      </c>
      <c r="E2826" s="11"/>
      <c r="F2826" s="11" t="str">
        <f>IFERROR(__xludf.DUMMYFUNCTION("""COMPUTED_VALUE"""),"US_167 POLICLINICA E MATERNIDADE PROFESSOR BARROS LIMA")</f>
        <v>US_167 POLICLINICA E MATERNIDADE PROFESSOR BARROS LIMA</v>
      </c>
      <c r="G2826" s="11" t="str">
        <f>IFERROR(__xludf.DUMMYFUNCTION("""COMPUTED_VALUE"""),"US_167 POLICLINICA E MATERNIDADE PROFESSOR BARROS LIMA")</f>
        <v>US_167 POLICLINICA E MATERNIDADE PROFESSOR BARROS LIMA</v>
      </c>
      <c r="H2826" s="11"/>
      <c r="I2826" s="11"/>
      <c r="J2826" s="11"/>
      <c r="K2826" s="11"/>
      <c r="L2826" s="11"/>
      <c r="M2826" s="11"/>
      <c r="N2826" s="30" t="str">
        <f>IFERROR(__xludf.DUMMYFUNCTION("""COMPUTED_VALUE"""),"anairdagsc@gmail.com")</f>
        <v>anairdagsc@gmail.com</v>
      </c>
      <c r="O2826" s="11">
        <f>IFERROR(__xludf.DUMMYFUNCTION("""COMPUTED_VALUE"""),3821996420)</f>
        <v>3821996420</v>
      </c>
      <c r="P2826" s="11"/>
      <c r="Q2826" s="11"/>
      <c r="R2826" s="11"/>
      <c r="S2826" s="11"/>
      <c r="T2826" s="11"/>
      <c r="U2826" s="11"/>
      <c r="V2826" s="11"/>
      <c r="W2826" s="11"/>
      <c r="X2826" s="11"/>
      <c r="Y2826" s="11"/>
      <c r="Z2826" s="11"/>
    </row>
    <row r="2827" customHeight="1" spans="1:26">
      <c r="A2827" s="11" t="str">
        <f>IFERROR(__xludf.DUMMYFUNCTION("""COMPUTED_VALUE"""),"ADRIANA SIMPLICIO SIMOES")</f>
        <v>ADRIANA SIMPLICIO SIMOES</v>
      </c>
      <c r="B2827" s="11"/>
      <c r="C2827" s="11"/>
      <c r="D2827" s="11" t="str">
        <f>IFERROR(__xludf.DUMMYFUNCTION("""COMPUTED_VALUE"""),"ANESTESIOLOGIA")</f>
        <v>ANESTESIOLOGIA</v>
      </c>
      <c r="E2827" s="11"/>
      <c r="F2827" s="11" t="str">
        <f>IFERROR(__xludf.DUMMYFUNCTION("""COMPUTED_VALUE"""),"US_153 POLICLINICA E MATERNIDADE ARNALDO MARQUES")</f>
        <v>US_153 POLICLINICA E MATERNIDADE ARNALDO MARQUES</v>
      </c>
      <c r="G2827" s="11" t="str">
        <f>IFERROR(__xludf.DUMMYFUNCTION("""COMPUTED_VALUE"""),"US_153 POLICLINICA E MATERNIDADE ARNALDO MARQUES")</f>
        <v>US_153 POLICLINICA E MATERNIDADE ARNALDO MARQUES</v>
      </c>
      <c r="H2827" s="11"/>
      <c r="I2827" s="11"/>
      <c r="J2827" s="11"/>
      <c r="K2827" s="11"/>
      <c r="L2827" s="11"/>
      <c r="M2827" s="11"/>
      <c r="N2827" s="30" t="str">
        <f>IFERROR(__xludf.DUMMYFUNCTION("""COMPUTED_VALUE"""),"adrianassimoes@hotmail.com")</f>
        <v>adrianassimoes@hotmail.com</v>
      </c>
      <c r="O2827" s="11">
        <f>IFERROR(__xludf.DUMMYFUNCTION("""COMPUTED_VALUE"""),918782414)</f>
        <v>918782414</v>
      </c>
      <c r="P2827" s="11"/>
      <c r="Q2827" s="11"/>
      <c r="R2827" s="11"/>
      <c r="S2827" s="11"/>
      <c r="T2827" s="11"/>
      <c r="U2827" s="11"/>
      <c r="V2827" s="11"/>
      <c r="W2827" s="11"/>
      <c r="X2827" s="11"/>
      <c r="Y2827" s="11"/>
      <c r="Z2827" s="11"/>
    </row>
    <row r="2828" customHeight="1" spans="1:26">
      <c r="A2828" s="11" t="str">
        <f>IFERROR(__xludf.DUMMYFUNCTION("""COMPUTED_VALUE"""),"TATIANA SALES ALENCAR FERREIRA")</f>
        <v>TATIANA SALES ALENCAR FERREIRA</v>
      </c>
      <c r="B2828" s="11"/>
      <c r="C2828" s="11"/>
      <c r="D2828" s="11" t="str">
        <f>IFERROR(__xludf.DUMMYFUNCTION("""COMPUTED_VALUE"""),"ANESTESIOLOGIA")</f>
        <v>ANESTESIOLOGIA</v>
      </c>
      <c r="E2828" s="11"/>
      <c r="F2828" s="11" t="str">
        <f>IFERROR(__xludf.DUMMYFUNCTION("""COMPUTED_VALUE"""),"US_153 POLICLINICA E MATERNIDADE ARNALDO MARQUES")</f>
        <v>US_153 POLICLINICA E MATERNIDADE ARNALDO MARQUES</v>
      </c>
      <c r="G2828" s="11" t="str">
        <f>IFERROR(__xludf.DUMMYFUNCTION("""COMPUTED_VALUE"""),"US_153 POLICLINICA E MATERNIDADE ARNALDO MARQUES")</f>
        <v>US_153 POLICLINICA E MATERNIDADE ARNALDO MARQUES</v>
      </c>
      <c r="H2828" s="11"/>
      <c r="I2828" s="11"/>
      <c r="J2828" s="11"/>
      <c r="K2828" s="11"/>
      <c r="L2828" s="11"/>
      <c r="M2828" s="11"/>
      <c r="N2828" s="30" t="str">
        <f>IFERROR(__xludf.DUMMYFUNCTION("""COMPUTED_VALUE"""),"tatialencar@hotmail.com")</f>
        <v>tatialencar@hotmail.com</v>
      </c>
      <c r="O2828" s="11">
        <f>IFERROR(__xludf.DUMMYFUNCTION("""COMPUTED_VALUE"""),1000506460)</f>
        <v>1000506460</v>
      </c>
      <c r="P2828" s="11"/>
      <c r="Q2828" s="11"/>
      <c r="R2828" s="11"/>
      <c r="S2828" s="11"/>
      <c r="T2828" s="11"/>
      <c r="U2828" s="11"/>
      <c r="V2828" s="11"/>
      <c r="W2828" s="11"/>
      <c r="X2828" s="11"/>
      <c r="Y2828" s="11"/>
      <c r="Z2828" s="11"/>
    </row>
    <row r="2829" customHeight="1" spans="1:26">
      <c r="A2829" s="11" t="str">
        <f>IFERROR(__xludf.DUMMYFUNCTION("""COMPUTED_VALUE"""),"AMANDA RENATA DA S M MATHEUS")</f>
        <v>AMANDA RENATA DA S M MATHEUS</v>
      </c>
      <c r="B2829" s="11"/>
      <c r="C2829" s="11"/>
      <c r="D2829" s="11" t="str">
        <f>IFERROR(__xludf.DUMMYFUNCTION("""COMPUTED_VALUE""")," CLINICA GERAL ")</f>
        <v> CLINICA GERAL </v>
      </c>
      <c r="E2829" s="11"/>
      <c r="F2829" s="11" t="str">
        <f>IFERROR(__xludf.DUMMYFUNCTION("""COMPUTED_VALUE"""),"US_153 POLICLINICA E MATERNIDADE ARNALDO MARQUES")</f>
        <v>US_153 POLICLINICA E MATERNIDADE ARNALDO MARQUES</v>
      </c>
      <c r="G2829" s="11" t="str">
        <f>IFERROR(__xludf.DUMMYFUNCTION("""COMPUTED_VALUE"""),"US_153 POLICLINICA E MATERNIDADE ARNALDO MARQUES")</f>
        <v>US_153 POLICLINICA E MATERNIDADE ARNALDO MARQUES</v>
      </c>
      <c r="H2829" s="11"/>
      <c r="I2829" s="11"/>
      <c r="J2829" s="11"/>
      <c r="K2829" s="11"/>
      <c r="L2829" s="11"/>
      <c r="M2829" s="11"/>
      <c r="N2829" s="30" t="str">
        <f>IFERROR(__xludf.DUMMYFUNCTION("""COMPUTED_VALUE"""),"amanda.smelo@hotmail.com")</f>
        <v>amanda.smelo@hotmail.com</v>
      </c>
      <c r="O2829" s="11">
        <f>IFERROR(__xludf.DUMMYFUNCTION("""COMPUTED_VALUE"""),4836805406)</f>
        <v>4836805406</v>
      </c>
      <c r="P2829" s="11"/>
      <c r="Q2829" s="11"/>
      <c r="R2829" s="11"/>
      <c r="S2829" s="11"/>
      <c r="T2829" s="11"/>
      <c r="U2829" s="11"/>
      <c r="V2829" s="11"/>
      <c r="W2829" s="11"/>
      <c r="X2829" s="11"/>
      <c r="Y2829" s="11"/>
      <c r="Z2829" s="11"/>
    </row>
    <row r="2830" customHeight="1" spans="1:26">
      <c r="A2830" s="11" t="str">
        <f>IFERROR(__xludf.DUMMYFUNCTION("""COMPUTED_VALUE"""),"CAMILA SOARES GUEDES PESSOA")</f>
        <v>CAMILA SOARES GUEDES PESSOA</v>
      </c>
      <c r="B2830" s="11"/>
      <c r="C2830" s="11"/>
      <c r="D2830" s="11" t="str">
        <f>IFERROR(__xludf.DUMMYFUNCTION("""COMPUTED_VALUE"""),"GINECOLOGIA E OBSTETRICIA")</f>
        <v>GINECOLOGIA E OBSTETRICIA</v>
      </c>
      <c r="E2830" s="11"/>
      <c r="F2830" s="11" t="str">
        <f>IFERROR(__xludf.DUMMYFUNCTION("""COMPUTED_VALUE"""),"US_165 MATERNIDADE BANDEIRA FILHO")</f>
        <v>US_165 MATERNIDADE BANDEIRA FILHO</v>
      </c>
      <c r="G2830" s="11" t="str">
        <f>IFERROR(__xludf.DUMMYFUNCTION("""COMPUTED_VALUE"""),"US_165 MATERNIDADE BANDEIRA FILHO")</f>
        <v>US_165 MATERNIDADE BANDEIRA FILHO</v>
      </c>
      <c r="H2830" s="11"/>
      <c r="I2830" s="11"/>
      <c r="J2830" s="11"/>
      <c r="K2830" s="11"/>
      <c r="L2830" s="11"/>
      <c r="M2830" s="11"/>
      <c r="N2830" s="30" t="str">
        <f>IFERROR(__xludf.DUMMYFUNCTION("""COMPUTED_VALUE"""),"milasguedes@gmail.com")</f>
        <v>milasguedes@gmail.com</v>
      </c>
      <c r="O2830" s="11">
        <f>IFERROR(__xludf.DUMMYFUNCTION("""COMPUTED_VALUE"""),5831098451)</f>
        <v>5831098451</v>
      </c>
      <c r="P2830" s="11"/>
      <c r="Q2830" s="11"/>
      <c r="R2830" s="11"/>
      <c r="S2830" s="11"/>
      <c r="T2830" s="11"/>
      <c r="U2830" s="11"/>
      <c r="V2830" s="11"/>
      <c r="W2830" s="11"/>
      <c r="X2830" s="11"/>
      <c r="Y2830" s="11"/>
      <c r="Z2830" s="11"/>
    </row>
    <row r="2831" customHeight="1" spans="1:26">
      <c r="A2831" s="11" t="str">
        <f>IFERROR(__xludf.DUMMYFUNCTION("""COMPUTED_VALUE"""),"TALITA PEIXOTO DE MORAIS")</f>
        <v>TALITA PEIXOTO DE MORAIS</v>
      </c>
      <c r="B2831" s="11"/>
      <c r="C2831" s="11"/>
      <c r="D2831" s="11" t="str">
        <f>IFERROR(__xludf.DUMMYFUNCTION("""COMPUTED_VALUE"""),"ULTRASSONOGRAFIA")</f>
        <v>ULTRASSONOGRAFIA</v>
      </c>
      <c r="E2831" s="11"/>
      <c r="F2831" s="11" t="str">
        <f>IFERROR(__xludf.DUMMYFUNCTION("""COMPUTED_VALUE"""),"US_165 MATERNIDADE BANDEIRA FILHO")</f>
        <v>US_165 MATERNIDADE BANDEIRA FILHO</v>
      </c>
      <c r="G2831" s="11" t="str">
        <f>IFERROR(__xludf.DUMMYFUNCTION("""COMPUTED_VALUE"""),"US_165 MATERNIDADE BANDEIRA FILHO")</f>
        <v>US_165 MATERNIDADE BANDEIRA FILHO</v>
      </c>
      <c r="H2831" s="11"/>
      <c r="I2831" s="11"/>
      <c r="J2831" s="11"/>
      <c r="K2831" s="11"/>
      <c r="L2831" s="11"/>
      <c r="M2831" s="11"/>
      <c r="N2831" s="30" t="str">
        <f>IFERROR(__xludf.DUMMYFUNCTION("""COMPUTED_VALUE"""),"talitinhapm@gmail.com")</f>
        <v>talitinhapm@gmail.com</v>
      </c>
      <c r="O2831" s="11">
        <f>IFERROR(__xludf.DUMMYFUNCTION("""COMPUTED_VALUE"""),65183223300)</f>
        <v>65183223300</v>
      </c>
      <c r="P2831" s="11"/>
      <c r="Q2831" s="11"/>
      <c r="R2831" s="11"/>
      <c r="S2831" s="11"/>
      <c r="T2831" s="11"/>
      <c r="U2831" s="11"/>
      <c r="V2831" s="11"/>
      <c r="W2831" s="11"/>
      <c r="X2831" s="11"/>
      <c r="Y2831" s="11"/>
      <c r="Z2831" s="11"/>
    </row>
    <row r="2832" customHeight="1" spans="1:26">
      <c r="A2832" s="11" t="str">
        <f>IFERROR(__xludf.DUMMYFUNCTION("""COMPUTED_VALUE"""),"ANDRE FERNANDES FIGUEIREDO")</f>
        <v>ANDRE FERNANDES FIGUEIREDO</v>
      </c>
      <c r="B2832" s="11"/>
      <c r="C2832" s="11"/>
      <c r="D2832" s="11" t="str">
        <f>IFERROR(__xludf.DUMMYFUNCTION("""COMPUTED_VALUE"""),"ULTRASSONOGRAFIA")</f>
        <v>ULTRASSONOGRAFIA</v>
      </c>
      <c r="E2832" s="11"/>
      <c r="F2832" s="11" t="str">
        <f>IFERROR(__xludf.DUMMYFUNCTION("""COMPUTED_VALUE"""),"US_153 POLICLINICA E MATERNIDADE ARNALDO MARQUES")</f>
        <v>US_153 POLICLINICA E MATERNIDADE ARNALDO MARQUES</v>
      </c>
      <c r="G2832" s="11" t="str">
        <f>IFERROR(__xludf.DUMMYFUNCTION("""COMPUTED_VALUE"""),"US_153 POLICLINICA E MATERNIDADE ARNALDO MARQUES")</f>
        <v>US_153 POLICLINICA E MATERNIDADE ARNALDO MARQUES</v>
      </c>
      <c r="H2832" s="11"/>
      <c r="I2832" s="11"/>
      <c r="J2832" s="11"/>
      <c r="K2832" s="11"/>
      <c r="L2832" s="11"/>
      <c r="M2832" s="11"/>
      <c r="N2832" s="30" t="str">
        <f>IFERROR(__xludf.DUMMYFUNCTION("""COMPUTED_VALUE"""),"a.fernandes.figueiredo@gmail.com")</f>
        <v>a.fernandes.figueiredo@gmail.com</v>
      </c>
      <c r="O2832" s="11">
        <f>IFERROR(__xludf.DUMMYFUNCTION("""COMPUTED_VALUE"""),3485829439)</f>
        <v>3485829439</v>
      </c>
      <c r="P2832" s="11"/>
      <c r="Q2832" s="11"/>
      <c r="R2832" s="11"/>
      <c r="S2832" s="11"/>
      <c r="T2832" s="11"/>
      <c r="U2832" s="11"/>
      <c r="V2832" s="11"/>
      <c r="W2832" s="11"/>
      <c r="X2832" s="11"/>
      <c r="Y2832" s="11"/>
      <c r="Z2832" s="11"/>
    </row>
    <row r="2833" customHeight="1" spans="1:26">
      <c r="A2833" s="11" t="str">
        <f>IFERROR(__xludf.DUMMYFUNCTION("""COMPUTED_VALUE"""),"LINA VALERIA DE A SOARES")</f>
        <v>LINA VALERIA DE A SOARES</v>
      </c>
      <c r="B2833" s="11"/>
      <c r="C2833" s="11"/>
      <c r="D2833" s="11" t="str">
        <f>IFERROR(__xludf.DUMMYFUNCTION("""COMPUTED_VALUE"""),"ULTRASSONOGRAFIA")</f>
        <v>ULTRASSONOGRAFIA</v>
      </c>
      <c r="E2833" s="11"/>
      <c r="F2833" s="11" t="str">
        <f>IFERROR(__xludf.DUMMYFUNCTION("""COMPUTED_VALUE"""),"US_165 MATERNIDADE BANDEIRA FILHO")</f>
        <v>US_165 MATERNIDADE BANDEIRA FILHO</v>
      </c>
      <c r="G2833" s="11" t="str">
        <f>IFERROR(__xludf.DUMMYFUNCTION("""COMPUTED_VALUE"""),"US_165 MATERNIDADE BANDEIRA FILHO")</f>
        <v>US_165 MATERNIDADE BANDEIRA FILHO</v>
      </c>
      <c r="H2833" s="11"/>
      <c r="I2833" s="11"/>
      <c r="J2833" s="11"/>
      <c r="K2833" s="11"/>
      <c r="L2833" s="11"/>
      <c r="M2833" s="11"/>
      <c r="N2833" s="30" t="str">
        <f>IFERROR(__xludf.DUMMYFUNCTION("""COMPUTED_VALUE"""),"linavaleria@uol.com.br")</f>
        <v>linavaleria@uol.com.br</v>
      </c>
      <c r="O2833" s="11">
        <f>IFERROR(__xludf.DUMMYFUNCTION("""COMPUTED_VALUE"""),99847779449)</f>
        <v>99847779449</v>
      </c>
      <c r="P2833" s="11"/>
      <c r="Q2833" s="11"/>
      <c r="R2833" s="11"/>
      <c r="S2833" s="11"/>
      <c r="T2833" s="11"/>
      <c r="U2833" s="11"/>
      <c r="V2833" s="11"/>
      <c r="W2833" s="11"/>
      <c r="X2833" s="11"/>
      <c r="Y2833" s="11"/>
      <c r="Z2833" s="11"/>
    </row>
    <row r="2834" customHeight="1" spans="1:26">
      <c r="A2834" s="11" t="str">
        <f>IFERROR(__xludf.DUMMYFUNCTION("""COMPUTED_VALUE"""),"CINDY GOMES RIBEIRO PINHEIRO")</f>
        <v>CINDY GOMES RIBEIRO PINHEIRO</v>
      </c>
      <c r="B2834" s="11"/>
      <c r="C2834" s="11"/>
      <c r="D2834" s="11" t="str">
        <f>IFERROR(__xludf.DUMMYFUNCTION("""COMPUTED_VALUE"""),"ULTRASSONOGRAFIA")</f>
        <v>ULTRASSONOGRAFIA</v>
      </c>
      <c r="E2834" s="11"/>
      <c r="F2834" s="11" t="str">
        <f>IFERROR(__xludf.DUMMYFUNCTION("""COMPUTED_VALUE"""),"US_153 POLICLINICA E MATERNIDADE ARNALDO MARQUES")</f>
        <v>US_153 POLICLINICA E MATERNIDADE ARNALDO MARQUES</v>
      </c>
      <c r="G2834" s="11" t="str">
        <f>IFERROR(__xludf.DUMMYFUNCTION("""COMPUTED_VALUE"""),"US_153 POLICLINICA E MATERNIDADE ARNALDO MARQUES")</f>
        <v>US_153 POLICLINICA E MATERNIDADE ARNALDO MARQUES</v>
      </c>
      <c r="H2834" s="11"/>
      <c r="I2834" s="11"/>
      <c r="J2834" s="11"/>
      <c r="K2834" s="11"/>
      <c r="L2834" s="11"/>
      <c r="M2834" s="11"/>
      <c r="N2834" s="30" t="str">
        <f>IFERROR(__xludf.DUMMYFUNCTION("""COMPUTED_VALUE"""),"cindyecmal@yahoo.com.br")</f>
        <v>cindyecmal@yahoo.com.br</v>
      </c>
      <c r="O2834" s="11">
        <f>IFERROR(__xludf.DUMMYFUNCTION("""COMPUTED_VALUE"""),4675232400)</f>
        <v>4675232400</v>
      </c>
      <c r="P2834" s="11"/>
      <c r="Q2834" s="11"/>
      <c r="R2834" s="11"/>
      <c r="S2834" s="11"/>
      <c r="T2834" s="11"/>
      <c r="U2834" s="11"/>
      <c r="V2834" s="11"/>
      <c r="W2834" s="11"/>
      <c r="X2834" s="11"/>
      <c r="Y2834" s="11"/>
      <c r="Z2834" s="11"/>
    </row>
    <row r="2835" customHeight="1" spans="1:26">
      <c r="A2835" s="11" t="str">
        <f>IFERROR(__xludf.DUMMYFUNCTION("""COMPUTED_VALUE"""),"FLAVIA ANDRADE COSTA")</f>
        <v>FLAVIA ANDRADE COSTA</v>
      </c>
      <c r="B2835" s="11"/>
      <c r="C2835" s="11"/>
      <c r="D2835" s="11" t="str">
        <f>IFERROR(__xludf.DUMMYFUNCTION("""COMPUTED_VALUE"""),"GINECOLOGIA E OBSTETRICIA")</f>
        <v>GINECOLOGIA E OBSTETRICIA</v>
      </c>
      <c r="E2835" s="11"/>
      <c r="F2835" s="11" t="str">
        <f>IFERROR(__xludf.DUMMYFUNCTION("""COMPUTED_VALUE"""),"US_167 POLICLINICA E MATERNIDADE PROFESSOR BARROS LIMA")</f>
        <v>US_167 POLICLINICA E MATERNIDADE PROFESSOR BARROS LIMA</v>
      </c>
      <c r="G2835" s="11" t="str">
        <f>IFERROR(__xludf.DUMMYFUNCTION("""COMPUTED_VALUE"""),"US_167 POLICLINICA E MATERNIDADE PROFESSOR BARROS LIMA")</f>
        <v>US_167 POLICLINICA E MATERNIDADE PROFESSOR BARROS LIMA</v>
      </c>
      <c r="H2835" s="11"/>
      <c r="I2835" s="11"/>
      <c r="J2835" s="11"/>
      <c r="K2835" s="11"/>
      <c r="L2835" s="11"/>
      <c r="M2835" s="11"/>
      <c r="N2835" s="30" t="str">
        <f>IFERROR(__xludf.DUMMYFUNCTION("""COMPUTED_VALUE"""),"vinhaandradec@gmail.com")</f>
        <v>vinhaandradec@gmail.com</v>
      </c>
      <c r="O2835" s="11">
        <f>IFERROR(__xludf.DUMMYFUNCTION("""COMPUTED_VALUE"""),1444710516)</f>
        <v>1444710516</v>
      </c>
      <c r="P2835" s="11"/>
      <c r="Q2835" s="11"/>
      <c r="R2835" s="11"/>
      <c r="S2835" s="11"/>
      <c r="T2835" s="11"/>
      <c r="U2835" s="11"/>
      <c r="V2835" s="11"/>
      <c r="W2835" s="11"/>
      <c r="X2835" s="11"/>
      <c r="Y2835" s="11"/>
      <c r="Z2835" s="11"/>
    </row>
    <row r="2836" customHeight="1" spans="1:26">
      <c r="A2836" s="11" t="str">
        <f>IFERROR(__xludf.DUMMYFUNCTION("""COMPUTED_VALUE"""),"RENATA MARIA DIDIER GAZINEU")</f>
        <v>RENATA MARIA DIDIER GAZINEU</v>
      </c>
      <c r="B2836" s="11"/>
      <c r="C2836" s="11"/>
      <c r="D2836" s="11" t="str">
        <f>IFERROR(__xludf.DUMMYFUNCTION("""COMPUTED_VALUE"""),"CLINICA GERAL")</f>
        <v>CLINICA GERAL</v>
      </c>
      <c r="E2836" s="11"/>
      <c r="F2836" s="11" t="str">
        <f>IFERROR(__xludf.DUMMYFUNCTION("""COMPUTED_VALUE"""),"US_153 POLICLINICA E MATERNIDADE ARNALDO MARQUES")</f>
        <v>US_153 POLICLINICA E MATERNIDADE ARNALDO MARQUES</v>
      </c>
      <c r="G2836" s="11" t="str">
        <f>IFERROR(__xludf.DUMMYFUNCTION("""COMPUTED_VALUE"""),"US_153 POLICLINICA E MATERNIDADE ARNALDO MARQUES")</f>
        <v>US_153 POLICLINICA E MATERNIDADE ARNALDO MARQUES</v>
      </c>
      <c r="H2836" s="11"/>
      <c r="I2836" s="11"/>
      <c r="J2836" s="11"/>
      <c r="K2836" s="11"/>
      <c r="L2836" s="11"/>
      <c r="M2836" s="11"/>
      <c r="N2836" s="30" t="str">
        <f>IFERROR(__xludf.DUMMYFUNCTION("""COMPUTED_VALUE"""),"renata_didier@hotmail.com")</f>
        <v>renata_didier@hotmail.com</v>
      </c>
      <c r="O2836" s="11">
        <f>IFERROR(__xludf.DUMMYFUNCTION("""COMPUTED_VALUE"""),1337284475)</f>
        <v>1337284475</v>
      </c>
      <c r="P2836" s="11"/>
      <c r="Q2836" s="11"/>
      <c r="R2836" s="11"/>
      <c r="S2836" s="11"/>
      <c r="T2836" s="11"/>
      <c r="U2836" s="11"/>
      <c r="V2836" s="11"/>
      <c r="W2836" s="11"/>
      <c r="X2836" s="11"/>
      <c r="Y2836" s="11"/>
      <c r="Z2836" s="11"/>
    </row>
    <row r="2837" customHeight="1" spans="1:26">
      <c r="A2837" s="11" t="str">
        <f>IFERROR(__xludf.DUMMYFUNCTION("""COMPUTED_VALUE"""),"BARBARA VARGINHA R CAIADO")</f>
        <v>BARBARA VARGINHA R CAIADO</v>
      </c>
      <c r="B2837" s="11"/>
      <c r="C2837" s="11"/>
      <c r="D2837" s="11" t="str">
        <f>IFERROR(__xludf.DUMMYFUNCTION("""COMPUTED_VALUE"""),"GINECOLOGIA E OBSTETRICIA")</f>
        <v>GINECOLOGIA E OBSTETRICIA</v>
      </c>
      <c r="E2837" s="11"/>
      <c r="F2837" s="11" t="str">
        <f>IFERROR(__xludf.DUMMYFUNCTION("""COMPUTED_VALUE"""),"US_153 POLICLINICA E MATERNIDADE ARNALDO MARQUES")</f>
        <v>US_153 POLICLINICA E MATERNIDADE ARNALDO MARQUES</v>
      </c>
      <c r="G2837" s="11" t="str">
        <f>IFERROR(__xludf.DUMMYFUNCTION("""COMPUTED_VALUE"""),"US_153 POLICLINICA E MATERNIDADE ARNALDO MARQUES")</f>
        <v>US_153 POLICLINICA E MATERNIDADE ARNALDO MARQUES</v>
      </c>
      <c r="H2837" s="11"/>
      <c r="I2837" s="11"/>
      <c r="J2837" s="11"/>
      <c r="K2837" s="11"/>
      <c r="L2837" s="11"/>
      <c r="M2837" s="11"/>
      <c r="N2837" s="30" t="str">
        <f>IFERROR(__xludf.DUMMYFUNCTION("""COMPUTED_VALUE"""),"barbara_caiado@hotmail.com")</f>
        <v>barbara_caiado@hotmail.com</v>
      </c>
      <c r="O2837" s="11">
        <f>IFERROR(__xludf.DUMMYFUNCTION("""COMPUTED_VALUE"""),8421217496)</f>
        <v>8421217496</v>
      </c>
      <c r="P2837" s="11"/>
      <c r="Q2837" s="11"/>
      <c r="R2837" s="11"/>
      <c r="S2837" s="11"/>
      <c r="T2837" s="11"/>
      <c r="U2837" s="11"/>
      <c r="V2837" s="11"/>
      <c r="W2837" s="11"/>
      <c r="X2837" s="11"/>
      <c r="Y2837" s="11"/>
      <c r="Z2837" s="11"/>
    </row>
    <row r="2838" customHeight="1" spans="1:26">
      <c r="A2838" s="11" t="str">
        <f>IFERROR(__xludf.DUMMYFUNCTION("""COMPUTED_VALUE"""),"LARISSA MIRANDA SILVA")</f>
        <v>LARISSA MIRANDA SILVA</v>
      </c>
      <c r="B2838" s="11"/>
      <c r="C2838" s="11"/>
      <c r="D2838" s="11" t="str">
        <f>IFERROR(__xludf.DUMMYFUNCTION("""COMPUTED_VALUE"""),"GINECOLOGIA E OBSTETRICIA")</f>
        <v>GINECOLOGIA E OBSTETRICIA</v>
      </c>
      <c r="E2838" s="11"/>
      <c r="F2838" s="11" t="str">
        <f>IFERROR(__xludf.DUMMYFUNCTION("""COMPUTED_VALUE"""),"US_128 POLICLINICA LESSA DE ANDRADE")</f>
        <v>US_128 POLICLINICA LESSA DE ANDRADE</v>
      </c>
      <c r="G2838" s="11" t="str">
        <f>IFERROR(__xludf.DUMMYFUNCTION("""COMPUTED_VALUE"""),"US_128 POLICLINICA LESSA DE ANDRADE")</f>
        <v>US_128 POLICLINICA LESSA DE ANDRADE</v>
      </c>
      <c r="H2838" s="11"/>
      <c r="I2838" s="11"/>
      <c r="J2838" s="11"/>
      <c r="K2838" s="11"/>
      <c r="L2838" s="11"/>
      <c r="M2838" s="11"/>
      <c r="N2838" s="30" t="str">
        <f>IFERROR(__xludf.DUMMYFUNCTION("""COMPUTED_VALUE"""),"larinhamiranda86@hotmail.com")</f>
        <v>larinhamiranda86@hotmail.com</v>
      </c>
      <c r="O2838" s="11">
        <f>IFERROR(__xludf.DUMMYFUNCTION("""COMPUTED_VALUE"""),6485696407)</f>
        <v>6485696407</v>
      </c>
      <c r="P2838" s="11"/>
      <c r="Q2838" s="11"/>
      <c r="R2838" s="11"/>
      <c r="S2838" s="11"/>
      <c r="T2838" s="11"/>
      <c r="U2838" s="11"/>
      <c r="V2838" s="11"/>
      <c r="W2838" s="11"/>
      <c r="X2838" s="11"/>
      <c r="Y2838" s="11"/>
      <c r="Z2838" s="11"/>
    </row>
    <row r="2839" customHeight="1" spans="1:26">
      <c r="A2839" s="11" t="str">
        <f>IFERROR(__xludf.DUMMYFUNCTION("""COMPUTED_VALUE"""),"TIAGO DORNELAS CAVALCANTI")</f>
        <v>TIAGO DORNELAS CAVALCANTI</v>
      </c>
      <c r="B2839" s="11"/>
      <c r="C2839" s="11"/>
      <c r="D2839" s="11" t="str">
        <f>IFERROR(__xludf.DUMMYFUNCTION("""COMPUTED_VALUE"""),"GINECOLOGIA E OBSTETRICIA")</f>
        <v>GINECOLOGIA E OBSTETRICIA</v>
      </c>
      <c r="E2839" s="11"/>
      <c r="F2839" s="11" t="str">
        <f>IFERROR(__xludf.DUMMYFUNCTION("""COMPUTED_VALUE"""),"US_167 POLICLINICA E MATERNIDADE PROFESSOR BARROS LIMA")</f>
        <v>US_167 POLICLINICA E MATERNIDADE PROFESSOR BARROS LIMA</v>
      </c>
      <c r="G2839" s="11" t="str">
        <f>IFERROR(__xludf.DUMMYFUNCTION("""COMPUTED_VALUE"""),"US_167 POLICLINICA E MATERNIDADE PROFESSOR BARROS LIMA")</f>
        <v>US_167 POLICLINICA E MATERNIDADE PROFESSOR BARROS LIMA</v>
      </c>
      <c r="H2839" s="11"/>
      <c r="I2839" s="11"/>
      <c r="J2839" s="11"/>
      <c r="K2839" s="11"/>
      <c r="L2839" s="11"/>
      <c r="M2839" s="11"/>
      <c r="N2839" s="30" t="str">
        <f>IFERROR(__xludf.DUMMYFUNCTION("""COMPUTED_VALUE"""),"TIAGODOC@HOTMAIL.COM")</f>
        <v>TIAGODOC@HOTMAIL.COM</v>
      </c>
      <c r="O2839" s="11">
        <f>IFERROR(__xludf.DUMMYFUNCTION("""COMPUTED_VALUE"""),4010120428)</f>
        <v>4010120428</v>
      </c>
      <c r="P2839" s="11"/>
      <c r="Q2839" s="11"/>
      <c r="R2839" s="11"/>
      <c r="S2839" s="11"/>
      <c r="T2839" s="11"/>
      <c r="U2839" s="11"/>
      <c r="V2839" s="11"/>
      <c r="W2839" s="11"/>
      <c r="X2839" s="11"/>
      <c r="Y2839" s="11"/>
      <c r="Z2839" s="11"/>
    </row>
    <row r="2840" customHeight="1" spans="1:26">
      <c r="A2840" s="11" t="str">
        <f>IFERROR(__xludf.DUMMYFUNCTION("""COMPUTED_VALUE"""),"VANESSA ANDRADE DE F NERY")</f>
        <v>VANESSA ANDRADE DE F NERY</v>
      </c>
      <c r="B2840" s="11"/>
      <c r="C2840" s="11"/>
      <c r="D2840" s="11" t="str">
        <f>IFERROR(__xludf.DUMMYFUNCTION("""COMPUTED_VALUE"""),"GINECOLOGIA E OBSTETRICIA")</f>
        <v>GINECOLOGIA E OBSTETRICIA</v>
      </c>
      <c r="E2840" s="11"/>
      <c r="F2840" s="11" t="str">
        <f>IFERROR(__xludf.DUMMYFUNCTION("""COMPUTED_VALUE"""),"US_165 MATERNIDADE BANDEIRA FILHO")</f>
        <v>US_165 MATERNIDADE BANDEIRA FILHO</v>
      </c>
      <c r="G2840" s="11" t="str">
        <f>IFERROR(__xludf.DUMMYFUNCTION("""COMPUTED_VALUE"""),"US_165 MATERNIDADE BANDEIRA FILHO")</f>
        <v>US_165 MATERNIDADE BANDEIRA FILHO</v>
      </c>
      <c r="H2840" s="11"/>
      <c r="I2840" s="11"/>
      <c r="J2840" s="11"/>
      <c r="K2840" s="11"/>
      <c r="L2840" s="11"/>
      <c r="M2840" s="11"/>
      <c r="N2840" s="30" t="str">
        <f>IFERROR(__xludf.DUMMYFUNCTION("""COMPUTED_VALUE"""),"VANESSA_FREITAS85@HOTMAIL.COM")</f>
        <v>VANESSA_FREITAS85@HOTMAIL.COM</v>
      </c>
      <c r="O2840" s="11">
        <f>IFERROR(__xludf.DUMMYFUNCTION("""COMPUTED_VALUE"""),6831705464)</f>
        <v>6831705464</v>
      </c>
      <c r="P2840" s="11"/>
      <c r="Q2840" s="11"/>
      <c r="R2840" s="11"/>
      <c r="S2840" s="11"/>
      <c r="T2840" s="11"/>
      <c r="U2840" s="11"/>
      <c r="V2840" s="11"/>
      <c r="W2840" s="11"/>
      <c r="X2840" s="11"/>
      <c r="Y2840" s="11"/>
      <c r="Z2840" s="11"/>
    </row>
    <row r="2841" customHeight="1" spans="1:26">
      <c r="A2841" s="11" t="str">
        <f>IFERROR(__xludf.DUMMYFUNCTION("""COMPUTED_VALUE"""),"ANDRE CECILIO B NUNES")</f>
        <v>ANDRE CECILIO B NUNES</v>
      </c>
      <c r="B2841" s="11"/>
      <c r="C2841" s="11"/>
      <c r="D2841" s="11" t="str">
        <f>IFERROR(__xludf.DUMMYFUNCTION("""COMPUTED_VALUE"""),"GINECOLOGIA E OBSTETRICIA")</f>
        <v>GINECOLOGIA E OBSTETRICIA</v>
      </c>
      <c r="E2841" s="11"/>
      <c r="F2841" s="11" t="str">
        <f>IFERROR(__xludf.DUMMYFUNCTION("""COMPUTED_VALUE"""),"US_167 POLICLINICA E MATERNIDADE PROFESSOR BARROS LIMA")</f>
        <v>US_167 POLICLINICA E MATERNIDADE PROFESSOR BARROS LIMA</v>
      </c>
      <c r="G2841" s="11" t="str">
        <f>IFERROR(__xludf.DUMMYFUNCTION("""COMPUTED_VALUE"""),"US_167 POLICLINICA E MATERNIDADE PROFESSOR BARROS LIMA")</f>
        <v>US_167 POLICLINICA E MATERNIDADE PROFESSOR BARROS LIMA</v>
      </c>
      <c r="H2841" s="11"/>
      <c r="I2841" s="11"/>
      <c r="J2841" s="11"/>
      <c r="K2841" s="11"/>
      <c r="L2841" s="11"/>
      <c r="M2841" s="11"/>
      <c r="N2841" s="30" t="str">
        <f>IFERROR(__xludf.DUMMYFUNCTION("""COMPUTED_VALUE"""),"ANDRE_CBN@YAHOO.COM.BR")</f>
        <v>ANDRE_CBN@YAHOO.COM.BR</v>
      </c>
      <c r="O2841" s="11">
        <f>IFERROR(__xludf.DUMMYFUNCTION("""COMPUTED_VALUE"""),4762990477)</f>
        <v>4762990477</v>
      </c>
      <c r="P2841" s="11"/>
      <c r="Q2841" s="11"/>
      <c r="R2841" s="11"/>
      <c r="S2841" s="11"/>
      <c r="T2841" s="11"/>
      <c r="U2841" s="11"/>
      <c r="V2841" s="11"/>
      <c r="W2841" s="11"/>
      <c r="X2841" s="11"/>
      <c r="Y2841" s="11"/>
      <c r="Z2841" s="11"/>
    </row>
    <row r="2842" customHeight="1" spans="1:26">
      <c r="A2842" s="11" t="str">
        <f>IFERROR(__xludf.DUMMYFUNCTION("""COMPUTED_VALUE"""),"ELLYDA MARIA DUARTE F OLIVEIRA")</f>
        <v>ELLYDA MARIA DUARTE F OLIVEIRA</v>
      </c>
      <c r="B2842" s="11"/>
      <c r="C2842" s="11"/>
      <c r="D2842" s="11" t="str">
        <f>IFERROR(__xludf.DUMMYFUNCTION("""COMPUTED_VALUE""")," CLINICA GERAL ")</f>
        <v> CLINICA GERAL </v>
      </c>
      <c r="E2842" s="11"/>
      <c r="F2842" s="11" t="str">
        <f>IFERROR(__xludf.DUMMYFUNCTION("""COMPUTED_VALUE"""),"US_153 POLICLINICA E MATERNIDADE ARNALDO MARQUES")</f>
        <v>US_153 POLICLINICA E MATERNIDADE ARNALDO MARQUES</v>
      </c>
      <c r="G2842" s="11" t="str">
        <f>IFERROR(__xludf.DUMMYFUNCTION("""COMPUTED_VALUE"""),"US_153 POLICLINICA E MATERNIDADE ARNALDO MARQUES")</f>
        <v>US_153 POLICLINICA E MATERNIDADE ARNALDO MARQUES</v>
      </c>
      <c r="H2842" s="11"/>
      <c r="I2842" s="11"/>
      <c r="J2842" s="11"/>
      <c r="K2842" s="11"/>
      <c r="L2842" s="11"/>
      <c r="M2842" s="11"/>
      <c r="N2842" s="30" t="str">
        <f>IFERROR(__xludf.DUMMYFUNCTION("""COMPUTED_VALUE"""),"ellyda.duarte@gmail.com")</f>
        <v>ellyda.duarte@gmail.com</v>
      </c>
      <c r="O2842" s="11">
        <f>IFERROR(__xludf.DUMMYFUNCTION("""COMPUTED_VALUE"""),6857512442)</f>
        <v>6857512442</v>
      </c>
      <c r="P2842" s="11"/>
      <c r="Q2842" s="11"/>
      <c r="R2842" s="11"/>
      <c r="S2842" s="11"/>
      <c r="T2842" s="11"/>
      <c r="U2842" s="11"/>
      <c r="V2842" s="11"/>
      <c r="W2842" s="11"/>
      <c r="X2842" s="11"/>
      <c r="Y2842" s="11"/>
      <c r="Z2842" s="11"/>
    </row>
    <row r="2843" customHeight="1" spans="1:26">
      <c r="A2843" s="11" t="str">
        <f>IFERROR(__xludf.DUMMYFUNCTION("""COMPUTED_VALUE"""),"FLAVIO GOMES DE M JUNIOR")</f>
        <v>FLAVIO GOMES DE M JUNIOR</v>
      </c>
      <c r="B2843" s="11"/>
      <c r="C2843" s="11"/>
      <c r="D2843" s="11" t="str">
        <f>IFERROR(__xludf.DUMMYFUNCTION("""COMPUTED_VALUE"""),"GINECOLOGIA E OBSTETRICIA")</f>
        <v>GINECOLOGIA E OBSTETRICIA</v>
      </c>
      <c r="E2843" s="11"/>
      <c r="F2843" s="11" t="str">
        <f>IFERROR(__xludf.DUMMYFUNCTION("""COMPUTED_VALUE"""),"US_165 MATERNIDADE BANDEIRA FILHO")</f>
        <v>US_165 MATERNIDADE BANDEIRA FILHO</v>
      </c>
      <c r="G2843" s="11" t="str">
        <f>IFERROR(__xludf.DUMMYFUNCTION("""COMPUTED_VALUE"""),"US_165 MATERNIDADE BANDEIRA FILHO")</f>
        <v>US_165 MATERNIDADE BANDEIRA FILHO</v>
      </c>
      <c r="H2843" s="11"/>
      <c r="I2843" s="11"/>
      <c r="J2843" s="11"/>
      <c r="K2843" s="11"/>
      <c r="L2843" s="11"/>
      <c r="M2843" s="11"/>
      <c r="N2843" s="30" t="str">
        <f>IFERROR(__xludf.DUMMYFUNCTION("""COMPUTED_VALUE"""),"fmelojunior@gmail.com")</f>
        <v>fmelojunior@gmail.com</v>
      </c>
      <c r="O2843" s="11">
        <f>IFERROR(__xludf.DUMMYFUNCTION("""COMPUTED_VALUE"""),4086598400)</f>
        <v>4086598400</v>
      </c>
      <c r="P2843" s="11"/>
      <c r="Q2843" s="11"/>
      <c r="R2843" s="11"/>
      <c r="S2843" s="11"/>
      <c r="T2843" s="11"/>
      <c r="U2843" s="11"/>
      <c r="V2843" s="11"/>
      <c r="W2843" s="11"/>
      <c r="X2843" s="11"/>
      <c r="Y2843" s="11"/>
      <c r="Z2843" s="11"/>
    </row>
    <row r="2844" customHeight="1" spans="1:26">
      <c r="A2844" s="11" t="str">
        <f>IFERROR(__xludf.DUMMYFUNCTION("""COMPUTED_VALUE"""),"MARCELLE MARIA B DE OLIVEIRA")</f>
        <v>MARCELLE MARIA B DE OLIVEIRA</v>
      </c>
      <c r="B2844" s="11"/>
      <c r="C2844" s="11"/>
      <c r="D2844" s="11" t="str">
        <f>IFERROR(__xludf.DUMMYFUNCTION("""COMPUTED_VALUE"""),"GINECOLOGIA E OBSTETRICIA")</f>
        <v>GINECOLOGIA E OBSTETRICIA</v>
      </c>
      <c r="E2844" s="11"/>
      <c r="F2844" s="11" t="str">
        <f>IFERROR(__xludf.DUMMYFUNCTION("""COMPUTED_VALUE"""),"US_167 POLICLINICA E MATERNIDADE PROFESSOR BARROS LIMA")</f>
        <v>US_167 POLICLINICA E MATERNIDADE PROFESSOR BARROS LIMA</v>
      </c>
      <c r="G2844" s="11" t="str">
        <f>IFERROR(__xludf.DUMMYFUNCTION("""COMPUTED_VALUE"""),"US_167 POLICLINICA E MATERNIDADE PROFESSOR BARROS LIMA")</f>
        <v>US_167 POLICLINICA E MATERNIDADE PROFESSOR BARROS LIMA</v>
      </c>
      <c r="H2844" s="11"/>
      <c r="I2844" s="11"/>
      <c r="J2844" s="11"/>
      <c r="K2844" s="11"/>
      <c r="L2844" s="11"/>
      <c r="M2844" s="11"/>
      <c r="N2844" s="30" t="str">
        <f>IFERROR(__xludf.DUMMYFUNCTION("""COMPUTED_VALUE"""),"OLIVEIRA.MARCELLE20@GMAIL.COM")</f>
        <v>OLIVEIRA.MARCELLE20@GMAIL.COM</v>
      </c>
      <c r="O2844" s="11">
        <f>IFERROR(__xludf.DUMMYFUNCTION("""COMPUTED_VALUE"""),2592423141)</f>
        <v>2592423141</v>
      </c>
      <c r="P2844" s="11"/>
      <c r="Q2844" s="11"/>
      <c r="R2844" s="11"/>
      <c r="S2844" s="11"/>
      <c r="T2844" s="11"/>
      <c r="U2844" s="11"/>
      <c r="V2844" s="11"/>
      <c r="W2844" s="11"/>
      <c r="X2844" s="11"/>
      <c r="Y2844" s="11"/>
      <c r="Z2844" s="11"/>
    </row>
    <row r="2845" customHeight="1" spans="1:26">
      <c r="A2845" s="11" t="str">
        <f>IFERROR(__xludf.DUMMYFUNCTION("""COMPUTED_VALUE"""),"FERNANDA MARIA NEVES CAMPELO")</f>
        <v>FERNANDA MARIA NEVES CAMPELO</v>
      </c>
      <c r="B2845" s="11"/>
      <c r="C2845" s="11"/>
      <c r="D2845" s="11" t="str">
        <f>IFERROR(__xludf.DUMMYFUNCTION("""COMPUTED_VALUE"""),"GINECOLOGIA E OBSTETRICIA")</f>
        <v>GINECOLOGIA E OBSTETRICIA</v>
      </c>
      <c r="E2845" s="11"/>
      <c r="F2845" s="11" t="str">
        <f>IFERROR(__xludf.DUMMYFUNCTION("""COMPUTED_VALUE"""),"US_153 POLICLINICA E MATERNIDADE ARNALDO MARQUES")</f>
        <v>US_153 POLICLINICA E MATERNIDADE ARNALDO MARQUES</v>
      </c>
      <c r="G2845" s="11" t="str">
        <f>IFERROR(__xludf.DUMMYFUNCTION("""COMPUTED_VALUE"""),"US_153 POLICLINICA E MATERNIDADE ARNALDO MARQUES")</f>
        <v>US_153 POLICLINICA E MATERNIDADE ARNALDO MARQUES</v>
      </c>
      <c r="H2845" s="11"/>
      <c r="I2845" s="11"/>
      <c r="J2845" s="11"/>
      <c r="K2845" s="11"/>
      <c r="L2845" s="11"/>
      <c r="M2845" s="11"/>
      <c r="N2845" s="30" t="str">
        <f>IFERROR(__xludf.DUMMYFUNCTION("""COMPUTED_VALUE"""),"FERNANDA.NCAMPELO@GMAIL.COM")</f>
        <v>FERNANDA.NCAMPELO@GMAIL.COM</v>
      </c>
      <c r="O2845" s="11">
        <f>IFERROR(__xludf.DUMMYFUNCTION("""COMPUTED_VALUE"""),6854324408)</f>
        <v>6854324408</v>
      </c>
      <c r="P2845" s="11"/>
      <c r="Q2845" s="11"/>
      <c r="R2845" s="11"/>
      <c r="S2845" s="11"/>
      <c r="T2845" s="11"/>
      <c r="U2845" s="11"/>
      <c r="V2845" s="11"/>
      <c r="W2845" s="11"/>
      <c r="X2845" s="11"/>
      <c r="Y2845" s="11"/>
      <c r="Z2845" s="11"/>
    </row>
    <row r="2846" customHeight="1" spans="1:26">
      <c r="A2846" s="11" t="str">
        <f>IFERROR(__xludf.DUMMYFUNCTION("""COMPUTED_VALUE"""),"CAMYLLA MELO FERNANDES M LIMA")</f>
        <v>CAMYLLA MELO FERNANDES M LIMA</v>
      </c>
      <c r="B2846" s="11"/>
      <c r="C2846" s="11"/>
      <c r="D2846" s="11" t="str">
        <f>IFERROR(__xludf.DUMMYFUNCTION("""COMPUTED_VALUE"""),"GINECOLOGIA E OBSTETRICIA")</f>
        <v>GINECOLOGIA E OBSTETRICIA</v>
      </c>
      <c r="E2846" s="11"/>
      <c r="F2846" s="11" t="str">
        <f>IFERROR(__xludf.DUMMYFUNCTION("""COMPUTED_VALUE"""),"US_165 MATERNIDADE BANDEIRA FILHO")</f>
        <v>US_165 MATERNIDADE BANDEIRA FILHO</v>
      </c>
      <c r="G2846" s="11" t="str">
        <f>IFERROR(__xludf.DUMMYFUNCTION("""COMPUTED_VALUE"""),"US_165 MATERNIDADE BANDEIRA FILHO")</f>
        <v>US_165 MATERNIDADE BANDEIRA FILHO</v>
      </c>
      <c r="H2846" s="11"/>
      <c r="I2846" s="11"/>
      <c r="J2846" s="11"/>
      <c r="K2846" s="11"/>
      <c r="L2846" s="11"/>
      <c r="M2846" s="11"/>
      <c r="N2846" s="30" t="str">
        <f>IFERROR(__xludf.DUMMYFUNCTION("""COMPUTED_VALUE"""),"camylla.maranhao@hotmail.com")</f>
        <v>camylla.maranhao@hotmail.com</v>
      </c>
      <c r="O2846" s="11">
        <f>IFERROR(__xludf.DUMMYFUNCTION("""COMPUTED_VALUE"""),1157097464)</f>
        <v>1157097464</v>
      </c>
      <c r="P2846" s="11"/>
      <c r="Q2846" s="11"/>
      <c r="R2846" s="11"/>
      <c r="S2846" s="11"/>
      <c r="T2846" s="11"/>
      <c r="U2846" s="11"/>
      <c r="V2846" s="11"/>
      <c r="W2846" s="11"/>
      <c r="X2846" s="11"/>
      <c r="Y2846" s="11"/>
      <c r="Z2846" s="11"/>
    </row>
    <row r="2847" customHeight="1" spans="1:26">
      <c r="A2847" s="11" t="str">
        <f>IFERROR(__xludf.DUMMYFUNCTION("""COMPUTED_VALUE"""),"LARISSA MARIA DE OLIVEIRA")</f>
        <v>LARISSA MARIA DE OLIVEIRA</v>
      </c>
      <c r="B2847" s="11"/>
      <c r="C2847" s="11"/>
      <c r="D2847" s="11" t="str">
        <f>IFERROR(__xludf.DUMMYFUNCTION("""COMPUTED_VALUE"""),"GINECOLOGIA E OBSTETRICIA")</f>
        <v>GINECOLOGIA E OBSTETRICIA</v>
      </c>
      <c r="E2847" s="11"/>
      <c r="F2847" s="11" t="str">
        <f>IFERROR(__xludf.DUMMYFUNCTION("""COMPUTED_VALUE"""),"US_165 MATERNIDADE BANDEIRA FILHO")</f>
        <v>US_165 MATERNIDADE BANDEIRA FILHO</v>
      </c>
      <c r="G2847" s="11" t="str">
        <f>IFERROR(__xludf.DUMMYFUNCTION("""COMPUTED_VALUE"""),"US_165 MATERNIDADE BANDEIRA FILHO")</f>
        <v>US_165 MATERNIDADE BANDEIRA FILHO</v>
      </c>
      <c r="H2847" s="27">
        <f>IFERROR(__xludf.DUMMYFUNCTION("""COMPUTED_VALUE"""),81997042090)</f>
        <v>81997042090</v>
      </c>
      <c r="I2847" s="11"/>
      <c r="J2847" s="11"/>
      <c r="K2847" s="11"/>
      <c r="L2847" s="11"/>
      <c r="M2847" s="11"/>
      <c r="N2847" s="30" t="str">
        <f>IFERROR(__xludf.DUMMYFUNCTION("""COMPUTED_VALUE"""),"LARISSA.MARIA.89@GMAIL.COM")</f>
        <v>LARISSA.MARIA.89@GMAIL.COM</v>
      </c>
      <c r="O2847" s="11">
        <f>IFERROR(__xludf.DUMMYFUNCTION("""COMPUTED_VALUE"""),7005785444)</f>
        <v>7005785444</v>
      </c>
      <c r="P2847" s="11"/>
      <c r="Q2847" s="11"/>
      <c r="R2847" s="11"/>
      <c r="S2847" s="11"/>
      <c r="T2847" s="11"/>
      <c r="U2847" s="11"/>
      <c r="V2847" s="11"/>
      <c r="W2847" s="11"/>
      <c r="X2847" s="11"/>
      <c r="Y2847" s="11"/>
      <c r="Z2847" s="11"/>
    </row>
    <row r="2848" customHeight="1" spans="1:26">
      <c r="A2848" s="11" t="str">
        <f>IFERROR(__xludf.DUMMYFUNCTION("""COMPUTED_VALUE"""),"MARIANNA DE SOUZA FERRAZ")</f>
        <v>MARIANNA DE SOUZA FERRAZ</v>
      </c>
      <c r="B2848" s="11"/>
      <c r="C2848" s="11"/>
      <c r="D2848" s="11" t="str">
        <f>IFERROR(__xludf.DUMMYFUNCTION("""COMPUTED_VALUE"""),"GINECOLOGIA E OBSTETRICIA")</f>
        <v>GINECOLOGIA E OBSTETRICIA</v>
      </c>
      <c r="E2848" s="11"/>
      <c r="F2848" s="11" t="str">
        <f>IFERROR(__xludf.DUMMYFUNCTION("""COMPUTED_VALUE"""),"US_167 POLICLINICA E MATERNIDADE PROFESSOR BARROS LIMA")</f>
        <v>US_167 POLICLINICA E MATERNIDADE PROFESSOR BARROS LIMA</v>
      </c>
      <c r="G2848" s="11" t="str">
        <f>IFERROR(__xludf.DUMMYFUNCTION("""COMPUTED_VALUE"""),"US_167 POLICLINICA E MATERNIDADE PROFESSOR BARROS LIMA")</f>
        <v>US_167 POLICLINICA E MATERNIDADE PROFESSOR BARROS LIMA</v>
      </c>
      <c r="H2848" s="11"/>
      <c r="I2848" s="11"/>
      <c r="J2848" s="11"/>
      <c r="K2848" s="11"/>
      <c r="L2848" s="11"/>
      <c r="M2848" s="11"/>
      <c r="N2848" s="30" t="str">
        <f>IFERROR(__xludf.DUMMYFUNCTION("""COMPUTED_VALUE"""),"mari.souzaferraz@gmail.com")</f>
        <v>mari.souzaferraz@gmail.com</v>
      </c>
      <c r="O2848" s="11">
        <f>IFERROR(__xludf.DUMMYFUNCTION("""COMPUTED_VALUE"""),5223285476)</f>
        <v>5223285476</v>
      </c>
      <c r="P2848" s="11"/>
      <c r="Q2848" s="11"/>
      <c r="R2848" s="11"/>
      <c r="S2848" s="11"/>
      <c r="T2848" s="11"/>
      <c r="U2848" s="11"/>
      <c r="V2848" s="11"/>
      <c r="W2848" s="11"/>
      <c r="X2848" s="11"/>
      <c r="Y2848" s="11"/>
      <c r="Z2848" s="11"/>
    </row>
    <row r="2849" customHeight="1" spans="1:26">
      <c r="A2849" s="11" t="str">
        <f>IFERROR(__xludf.DUMMYFUNCTION("""COMPUTED_VALUE"""),"LIVIA CARNEIRO NASCIMENTO")</f>
        <v>LIVIA CARNEIRO NASCIMENTO</v>
      </c>
      <c r="B2849" s="11"/>
      <c r="C2849" s="11"/>
      <c r="D2849" s="11" t="str">
        <f>IFERROR(__xludf.DUMMYFUNCTION("""COMPUTED_VALUE"""),"GINECOLOGIA E OBSTETRICIA")</f>
        <v>GINECOLOGIA E OBSTETRICIA</v>
      </c>
      <c r="E2849" s="11"/>
      <c r="F2849" s="11" t="str">
        <f>IFERROR(__xludf.DUMMYFUNCTION("""COMPUTED_VALUE"""),"US_165 MATERNIDADE BANDEIRA FILHO")</f>
        <v>US_165 MATERNIDADE BANDEIRA FILHO</v>
      </c>
      <c r="G2849" s="11" t="str">
        <f>IFERROR(__xludf.DUMMYFUNCTION("""COMPUTED_VALUE"""),"US_165 MATERNIDADE BANDEIRA FILHO")</f>
        <v>US_165 MATERNIDADE BANDEIRA FILHO</v>
      </c>
      <c r="H2849" s="11"/>
      <c r="I2849" s="11"/>
      <c r="J2849" s="11"/>
      <c r="K2849" s="11"/>
      <c r="L2849" s="11"/>
      <c r="M2849" s="11"/>
      <c r="N2849" s="30" t="str">
        <f>IFERROR(__xludf.DUMMYFUNCTION("""COMPUTED_VALUE"""),"liviacnascimento@gmail.com")</f>
        <v>liviacnascimento@gmail.com</v>
      </c>
      <c r="O2849" s="11">
        <f>IFERROR(__xludf.DUMMYFUNCTION("""COMPUTED_VALUE"""),7385379427)</f>
        <v>7385379427</v>
      </c>
      <c r="P2849" s="11"/>
      <c r="Q2849" s="11"/>
      <c r="R2849" s="11"/>
      <c r="S2849" s="11"/>
      <c r="T2849" s="11"/>
      <c r="U2849" s="11"/>
      <c r="V2849" s="11"/>
      <c r="W2849" s="11"/>
      <c r="X2849" s="11"/>
      <c r="Y2849" s="11"/>
      <c r="Z2849" s="11"/>
    </row>
    <row r="2850" customHeight="1" spans="1:26">
      <c r="A2850" s="11" t="str">
        <f>IFERROR(__xludf.DUMMYFUNCTION("""COMPUTED_VALUE"""),"IANNE KALINE BEZERRA OLIVEIRA")</f>
        <v>IANNE KALINE BEZERRA OLIVEIRA</v>
      </c>
      <c r="B2850" s="11"/>
      <c r="C2850" s="11"/>
      <c r="D2850" s="11" t="str">
        <f>IFERROR(__xludf.DUMMYFUNCTION("""COMPUTED_VALUE"""),"GINECOLOGIA E OBSTETRICIA")</f>
        <v>GINECOLOGIA E OBSTETRICIA</v>
      </c>
      <c r="E2850" s="11"/>
      <c r="F2850" s="11" t="str">
        <f>IFERROR(__xludf.DUMMYFUNCTION("""COMPUTED_VALUE"""),"US_153 POLICLINICA E MATERNIDADE ARNALDO MARQUES")</f>
        <v>US_153 POLICLINICA E MATERNIDADE ARNALDO MARQUES</v>
      </c>
      <c r="G2850" s="11" t="str">
        <f>IFERROR(__xludf.DUMMYFUNCTION("""COMPUTED_VALUE"""),"US_153 POLICLINICA E MATERNIDADE ARNALDO MARQUES")</f>
        <v>US_153 POLICLINICA E MATERNIDADE ARNALDO MARQUES</v>
      </c>
      <c r="H2850" s="27">
        <f>IFERROR(__xludf.DUMMYFUNCTION("""COMPUTED_VALUE"""),81992623905)</f>
        <v>81992623905</v>
      </c>
      <c r="I2850" s="11"/>
      <c r="J2850" s="11"/>
      <c r="K2850" s="11"/>
      <c r="L2850" s="11"/>
      <c r="M2850" s="11"/>
      <c r="N2850" s="30" t="str">
        <f>IFERROR(__xludf.DUMMYFUNCTION("""COMPUTED_VALUE"""),"ianne_kaline@hotmail.com")</f>
        <v>ianne_kaline@hotmail.com</v>
      </c>
      <c r="O2850" s="11">
        <f>IFERROR(__xludf.DUMMYFUNCTION("""COMPUTED_VALUE"""),5184305459)</f>
        <v>5184305459</v>
      </c>
      <c r="P2850" s="11"/>
      <c r="Q2850" s="11"/>
      <c r="R2850" s="11"/>
      <c r="S2850" s="11"/>
      <c r="T2850" s="11"/>
      <c r="U2850" s="11"/>
      <c r="V2850" s="11"/>
      <c r="W2850" s="11"/>
      <c r="X2850" s="11"/>
      <c r="Y2850" s="11"/>
      <c r="Z2850" s="11"/>
    </row>
    <row r="2851" customHeight="1" spans="1:26">
      <c r="A2851" s="11" t="str">
        <f>IFERROR(__xludf.DUMMYFUNCTION("""COMPUTED_VALUE"""),"MARIANNA FERNANDES MIRANDA")</f>
        <v>MARIANNA FERNANDES MIRANDA</v>
      </c>
      <c r="B2851" s="11"/>
      <c r="C2851" s="11"/>
      <c r="D2851" s="11" t="str">
        <f>IFERROR(__xludf.DUMMYFUNCTION("""COMPUTED_VALUE"""),"GINECOLOGIA E OBSTETRICIA")</f>
        <v>GINECOLOGIA E OBSTETRICIA</v>
      </c>
      <c r="E2851" s="11"/>
      <c r="F2851" s="11" t="str">
        <f>IFERROR(__xludf.DUMMYFUNCTION("""COMPUTED_VALUE"""),"US_167 POLICLINICA E MATERNIDADE PROFESSOR BARROS LIMA")</f>
        <v>US_167 POLICLINICA E MATERNIDADE PROFESSOR BARROS LIMA</v>
      </c>
      <c r="G2851" s="11" t="str">
        <f>IFERROR(__xludf.DUMMYFUNCTION("""COMPUTED_VALUE"""),"US_167 POLICLINICA E MATERNIDADE PROFESSOR BARROS LIMA")</f>
        <v>US_167 POLICLINICA E MATERNIDADE PROFESSOR BARROS LIMA</v>
      </c>
      <c r="H2851" s="11"/>
      <c r="I2851" s="11"/>
      <c r="J2851" s="11"/>
      <c r="K2851" s="11"/>
      <c r="L2851" s="11"/>
      <c r="M2851" s="11"/>
      <c r="N2851" s="30" t="str">
        <f>IFERROR(__xludf.DUMMYFUNCTION("""COMPUTED_VALUE"""),"MARIANNAFMIRANDA@GMAIL.COM")</f>
        <v>MARIANNAFMIRANDA@GMAIL.COM</v>
      </c>
      <c r="O2851" s="11">
        <f>IFERROR(__xludf.DUMMYFUNCTION("""COMPUTED_VALUE"""),8290672489)</f>
        <v>8290672489</v>
      </c>
      <c r="P2851" s="11"/>
      <c r="Q2851" s="11"/>
      <c r="R2851" s="11"/>
      <c r="S2851" s="11"/>
      <c r="T2851" s="11"/>
      <c r="U2851" s="11"/>
      <c r="V2851" s="11"/>
      <c r="W2851" s="11"/>
      <c r="X2851" s="11"/>
      <c r="Y2851" s="11"/>
      <c r="Z2851" s="11"/>
    </row>
    <row r="2852" customHeight="1" spans="1:26">
      <c r="A2852" s="11" t="str">
        <f>IFERROR(__xludf.DUMMYFUNCTION("""COMPUTED_VALUE"""),"RAQUEL BAHIA LUSTOSA")</f>
        <v>RAQUEL BAHIA LUSTOSA</v>
      </c>
      <c r="B2852" s="11"/>
      <c r="C2852" s="11"/>
      <c r="D2852" s="11" t="str">
        <f>IFERROR(__xludf.DUMMYFUNCTION("""COMPUTED_VALUE"""),"GINECOLOGIA E OBSTETRICIA")</f>
        <v>GINECOLOGIA E OBSTETRICIA</v>
      </c>
      <c r="E2852" s="11"/>
      <c r="F2852" s="11" t="str">
        <f>IFERROR(__xludf.DUMMYFUNCTION("""COMPUTED_VALUE"""),"US_153 POLICLINICA E MATERNIDADE ARNALDO MARQUES")</f>
        <v>US_153 POLICLINICA E MATERNIDADE ARNALDO MARQUES</v>
      </c>
      <c r="G2852" s="11" t="str">
        <f>IFERROR(__xludf.DUMMYFUNCTION("""COMPUTED_VALUE"""),"US_153 POLICLINICA E MATERNIDADE ARNALDO MARQUES")</f>
        <v>US_153 POLICLINICA E MATERNIDADE ARNALDO MARQUES</v>
      </c>
      <c r="H2852" s="11"/>
      <c r="I2852" s="11"/>
      <c r="J2852" s="11"/>
      <c r="K2852" s="11"/>
      <c r="L2852" s="11"/>
      <c r="M2852" s="11"/>
      <c r="N2852" s="30" t="str">
        <f>IFERROR(__xludf.DUMMYFUNCTION("""COMPUTED_VALUE"""),"RAQUELBLUSTOSA@HOTMAIL.COM")</f>
        <v>RAQUELBLUSTOSA@HOTMAIL.COM</v>
      </c>
      <c r="O2852" s="11">
        <f>IFERROR(__xludf.DUMMYFUNCTION("""COMPUTED_VALUE"""),4920652410)</f>
        <v>4920652410</v>
      </c>
      <c r="P2852" s="11"/>
      <c r="Q2852" s="11"/>
      <c r="R2852" s="11"/>
      <c r="S2852" s="11"/>
      <c r="T2852" s="11"/>
      <c r="U2852" s="11"/>
      <c r="V2852" s="11"/>
      <c r="W2852" s="11"/>
      <c r="X2852" s="11"/>
      <c r="Y2852" s="11"/>
      <c r="Z2852" s="11"/>
    </row>
    <row r="2853" customHeight="1" spans="1:26">
      <c r="A2853" s="11" t="str">
        <f>IFERROR(__xludf.DUMMYFUNCTION("""COMPUTED_VALUE"""),"CLARICE PEIXOTO DE SOUSA")</f>
        <v>CLARICE PEIXOTO DE SOUSA</v>
      </c>
      <c r="B2853" s="11"/>
      <c r="C2853" s="11"/>
      <c r="D2853" s="11" t="str">
        <f>IFERROR(__xludf.DUMMYFUNCTION("""COMPUTED_VALUE"""),"NEONATOLOGIA")</f>
        <v>NEONATOLOGIA</v>
      </c>
      <c r="E2853" s="11"/>
      <c r="F2853" s="11" t="str">
        <f>IFERROR(__xludf.DUMMYFUNCTION("""COMPUTED_VALUE"""),"US_153 POLICLINICA E MATERNIDADE ARNALDO MARQUES")</f>
        <v>US_153 POLICLINICA E MATERNIDADE ARNALDO MARQUES</v>
      </c>
      <c r="G2853" s="11" t="str">
        <f>IFERROR(__xludf.DUMMYFUNCTION("""COMPUTED_VALUE"""),"US_153 POLICLINICA E MATERNIDADE ARNALDO MARQUES")</f>
        <v>US_153 POLICLINICA E MATERNIDADE ARNALDO MARQUES</v>
      </c>
      <c r="H2853" s="11"/>
      <c r="I2853" s="11"/>
      <c r="J2853" s="11"/>
      <c r="K2853" s="11"/>
      <c r="L2853" s="11"/>
      <c r="M2853" s="11"/>
      <c r="N2853" s="30" t="str">
        <f>IFERROR(__xludf.DUMMYFUNCTION("""COMPUTED_VALUE"""),"CLARICEPEIXOTO@HOTMAIL.COM")</f>
        <v>CLARICEPEIXOTO@HOTMAIL.COM</v>
      </c>
      <c r="O2853" s="11">
        <f>IFERROR(__xludf.DUMMYFUNCTION("""COMPUTED_VALUE"""),3948444404)</f>
        <v>3948444404</v>
      </c>
      <c r="P2853" s="11"/>
      <c r="Q2853" s="11"/>
      <c r="R2853" s="11"/>
      <c r="S2853" s="11"/>
      <c r="T2853" s="11"/>
      <c r="U2853" s="11"/>
      <c r="V2853" s="11"/>
      <c r="W2853" s="11"/>
      <c r="X2853" s="11"/>
      <c r="Y2853" s="11"/>
      <c r="Z2853" s="11"/>
    </row>
    <row r="2854" customHeight="1" spans="1:26">
      <c r="A2854" s="11" t="str">
        <f>IFERROR(__xludf.DUMMYFUNCTION("""COMPUTED_VALUE"""),"EDILANE INGLID GAIAO G ARRAES")</f>
        <v>EDILANE INGLID GAIAO G ARRAES</v>
      </c>
      <c r="B2854" s="11"/>
      <c r="C2854" s="11"/>
      <c r="D2854" s="11" t="str">
        <f>IFERROR(__xludf.DUMMYFUNCTION("""COMPUTED_VALUE"""),"NEONATOLOGIA")</f>
        <v>NEONATOLOGIA</v>
      </c>
      <c r="E2854" s="11"/>
      <c r="F2854" s="11" t="str">
        <f>IFERROR(__xludf.DUMMYFUNCTION("""COMPUTED_VALUE"""),"US_153 POLICLINICA E MATERNIDADE ARNALDO MARQUES")</f>
        <v>US_153 POLICLINICA E MATERNIDADE ARNALDO MARQUES</v>
      </c>
      <c r="G2854" s="11" t="str">
        <f>IFERROR(__xludf.DUMMYFUNCTION("""COMPUTED_VALUE"""),"US_153 POLICLINICA E MATERNIDADE ARNALDO MARQUES")</f>
        <v>US_153 POLICLINICA E MATERNIDADE ARNALDO MARQUES</v>
      </c>
      <c r="H2854" s="11"/>
      <c r="I2854" s="11"/>
      <c r="J2854" s="11"/>
      <c r="K2854" s="11"/>
      <c r="L2854" s="11"/>
      <c r="M2854" s="11"/>
      <c r="N2854" s="30" t="str">
        <f>IFERROR(__xludf.DUMMYFUNCTION("""COMPUTED_VALUE"""),"INGLIDGUERRA@GMAIL.COM")</f>
        <v>INGLIDGUERRA@GMAIL.COM</v>
      </c>
      <c r="O2854" s="11">
        <f>IFERROR(__xludf.DUMMYFUNCTION("""COMPUTED_VALUE"""),5531763409)</f>
        <v>5531763409</v>
      </c>
      <c r="P2854" s="11"/>
      <c r="Q2854" s="11"/>
      <c r="R2854" s="11"/>
      <c r="S2854" s="11"/>
      <c r="T2854" s="11"/>
      <c r="U2854" s="11"/>
      <c r="V2854" s="11"/>
      <c r="W2854" s="11"/>
      <c r="X2854" s="11"/>
      <c r="Y2854" s="11"/>
      <c r="Z2854" s="11"/>
    </row>
    <row r="2855" customHeight="1" spans="1:26">
      <c r="A2855" s="11" t="str">
        <f>IFERROR(__xludf.DUMMYFUNCTION("""COMPUTED_VALUE"""),"KARINA FIGUEIROA FREIRE")</f>
        <v>KARINA FIGUEIROA FREIRE</v>
      </c>
      <c r="B2855" s="11"/>
      <c r="C2855" s="11"/>
      <c r="D2855" s="11" t="str">
        <f>IFERROR(__xludf.DUMMYFUNCTION("""COMPUTED_VALUE"""),"GINECOLOGIA E OBSTETRICIA")</f>
        <v>GINECOLOGIA E OBSTETRICIA</v>
      </c>
      <c r="E2855" s="11"/>
      <c r="F2855" s="11" t="str">
        <f>IFERROR(__xludf.DUMMYFUNCTION("""COMPUTED_VALUE"""),"US_153 POLICLINICA E MATERNIDADE ARNALDO MARQUES")</f>
        <v>US_153 POLICLINICA E MATERNIDADE ARNALDO MARQUES</v>
      </c>
      <c r="G2855" s="11" t="str">
        <f>IFERROR(__xludf.DUMMYFUNCTION("""COMPUTED_VALUE"""),"US_153 POLICLINICA E MATERNIDADE ARNALDO MARQUES")</f>
        <v>US_153 POLICLINICA E MATERNIDADE ARNALDO MARQUES</v>
      </c>
      <c r="H2855" s="11"/>
      <c r="I2855" s="11"/>
      <c r="J2855" s="11"/>
      <c r="K2855" s="11"/>
      <c r="L2855" s="11"/>
      <c r="M2855" s="11"/>
      <c r="N2855" s="30" t="str">
        <f>IFERROR(__xludf.DUMMYFUNCTION("""COMPUTED_VALUE"""),"FREIREKARI@HOTMAIL.COM")</f>
        <v>FREIREKARI@HOTMAIL.COM</v>
      </c>
      <c r="O2855" s="11">
        <f>IFERROR(__xludf.DUMMYFUNCTION("""COMPUTED_VALUE"""),2385978490)</f>
        <v>2385978490</v>
      </c>
      <c r="P2855" s="11"/>
      <c r="Q2855" s="11"/>
      <c r="R2855" s="11"/>
      <c r="S2855" s="11"/>
      <c r="T2855" s="11"/>
      <c r="U2855" s="11"/>
      <c r="V2855" s="11"/>
      <c r="W2855" s="11"/>
      <c r="X2855" s="11"/>
      <c r="Y2855" s="11"/>
      <c r="Z2855" s="11"/>
    </row>
    <row r="2856" customHeight="1" spans="1:26">
      <c r="A2856" s="11" t="str">
        <f>IFERROR(__xludf.DUMMYFUNCTION("""COMPUTED_VALUE"""),"LEONARDO PIMENTEL F DE MELO")</f>
        <v>LEONARDO PIMENTEL F DE MELO</v>
      </c>
      <c r="B2856" s="11"/>
      <c r="C2856" s="11"/>
      <c r="D2856" s="11" t="str">
        <f>IFERROR(__xludf.DUMMYFUNCTION("""COMPUTED_VALUE"""),"GINECOLOGIA E OBSTETRICIA")</f>
        <v>GINECOLOGIA E OBSTETRICIA</v>
      </c>
      <c r="E2856" s="11"/>
      <c r="F2856" s="11" t="str">
        <f>IFERROR(__xludf.DUMMYFUNCTION("""COMPUTED_VALUE"""),"US_165 MATERNIDADE BANDEIRA FILHO")</f>
        <v>US_165 MATERNIDADE BANDEIRA FILHO</v>
      </c>
      <c r="G2856" s="11" t="str">
        <f>IFERROR(__xludf.DUMMYFUNCTION("""COMPUTED_VALUE"""),"US_165 MATERNIDADE BANDEIRA FILHO")</f>
        <v>US_165 MATERNIDADE BANDEIRA FILHO</v>
      </c>
      <c r="H2856" s="11"/>
      <c r="I2856" s="11"/>
      <c r="J2856" s="11"/>
      <c r="K2856" s="11"/>
      <c r="L2856" s="11"/>
      <c r="M2856" s="11"/>
      <c r="N2856" s="30" t="str">
        <f>IFERROR(__xludf.DUMMYFUNCTION("""COMPUTED_VALUE"""),"leofalcone@bol.com.br")</f>
        <v>leofalcone@bol.com.br</v>
      </c>
      <c r="O2856" s="11">
        <f>IFERROR(__xludf.DUMMYFUNCTION("""COMPUTED_VALUE"""),7381795400)</f>
        <v>7381795400</v>
      </c>
      <c r="P2856" s="11"/>
      <c r="Q2856" s="11"/>
      <c r="R2856" s="11"/>
      <c r="S2856" s="11"/>
      <c r="T2856" s="11"/>
      <c r="U2856" s="11"/>
      <c r="V2856" s="11"/>
      <c r="W2856" s="11"/>
      <c r="X2856" s="11"/>
      <c r="Y2856" s="11"/>
      <c r="Z2856" s="11"/>
    </row>
    <row r="2857" customHeight="1" spans="1:26">
      <c r="A2857" s="11" t="str">
        <f>IFERROR(__xludf.DUMMYFUNCTION("""COMPUTED_VALUE"""),"MARIANA TORRES F CORREIA")</f>
        <v>MARIANA TORRES F CORREIA</v>
      </c>
      <c r="B2857" s="11"/>
      <c r="C2857" s="11"/>
      <c r="D2857" s="11" t="str">
        <f>IFERROR(__xludf.DUMMYFUNCTION("""COMPUTED_VALUE"""),"NEONATOLOGIA")</f>
        <v>NEONATOLOGIA</v>
      </c>
      <c r="E2857" s="11"/>
      <c r="F2857" s="11" t="str">
        <f>IFERROR(__xludf.DUMMYFUNCTION("""COMPUTED_VALUE"""),"US_165 MATERNIDADE BANDEIRA FILHO")</f>
        <v>US_165 MATERNIDADE BANDEIRA FILHO</v>
      </c>
      <c r="G2857" s="11" t="str">
        <f>IFERROR(__xludf.DUMMYFUNCTION("""COMPUTED_VALUE"""),"US_165 MATERNIDADE BANDEIRA FILHO")</f>
        <v>US_165 MATERNIDADE BANDEIRA FILHO</v>
      </c>
      <c r="H2857" s="11"/>
      <c r="I2857" s="11"/>
      <c r="J2857" s="11"/>
      <c r="K2857" s="11"/>
      <c r="L2857" s="11"/>
      <c r="M2857" s="11"/>
      <c r="N2857" s="30" t="str">
        <f>IFERROR(__xludf.DUMMYFUNCTION("""COMPUTED_VALUE"""),"MARIANATFCORREIA@GMAIL.COM")</f>
        <v>MARIANATFCORREIA@GMAIL.COM</v>
      </c>
      <c r="O2857" s="11">
        <f>IFERROR(__xludf.DUMMYFUNCTION("""COMPUTED_VALUE"""),3945083435)</f>
        <v>3945083435</v>
      </c>
      <c r="P2857" s="11"/>
      <c r="Q2857" s="11"/>
      <c r="R2857" s="11"/>
      <c r="S2857" s="11"/>
      <c r="T2857" s="11"/>
      <c r="U2857" s="11"/>
      <c r="V2857" s="11"/>
      <c r="W2857" s="11"/>
      <c r="X2857" s="11"/>
      <c r="Y2857" s="11"/>
      <c r="Z2857" s="11"/>
    </row>
    <row r="2858" customHeight="1" spans="1:26">
      <c r="A2858" s="11" t="str">
        <f>IFERROR(__xludf.DUMMYFUNCTION("""COMPUTED_VALUE"""),"KARLA DANIELLE DE S MARTINS")</f>
        <v>KARLA DANIELLE DE S MARTINS</v>
      </c>
      <c r="B2858" s="11"/>
      <c r="C2858" s="11"/>
      <c r="D2858" s="11" t="str">
        <f>IFERROR(__xludf.DUMMYFUNCTION("""COMPUTED_VALUE"""),"NEONATOLOGIA")</f>
        <v>NEONATOLOGIA</v>
      </c>
      <c r="E2858" s="11"/>
      <c r="F2858" s="11" t="str">
        <f>IFERROR(__xludf.DUMMYFUNCTION("""COMPUTED_VALUE"""),"US_153 POLICLINICA E MATERNIDADE ARNALDO MARQUES")</f>
        <v>US_153 POLICLINICA E MATERNIDADE ARNALDO MARQUES</v>
      </c>
      <c r="G2858" s="11" t="str">
        <f>IFERROR(__xludf.DUMMYFUNCTION("""COMPUTED_VALUE"""),"US_153 POLICLINICA E MATERNIDADE ARNALDO MARQUES")</f>
        <v>US_153 POLICLINICA E MATERNIDADE ARNALDO MARQUES</v>
      </c>
      <c r="H2858" s="11"/>
      <c r="I2858" s="11"/>
      <c r="J2858" s="11"/>
      <c r="K2858" s="11"/>
      <c r="L2858" s="11"/>
      <c r="M2858" s="11"/>
      <c r="N2858" s="30" t="str">
        <f>IFERROR(__xludf.DUMMYFUNCTION("""COMPUTED_VALUE"""),"KARLADSM@GMAIL.COM")</f>
        <v>KARLADSM@GMAIL.COM</v>
      </c>
      <c r="O2858" s="11">
        <f>IFERROR(__xludf.DUMMYFUNCTION("""COMPUTED_VALUE"""),6289251406)</f>
        <v>6289251406</v>
      </c>
      <c r="P2858" s="11"/>
      <c r="Q2858" s="11"/>
      <c r="R2858" s="11"/>
      <c r="S2858" s="11"/>
      <c r="T2858" s="11"/>
      <c r="U2858" s="11"/>
      <c r="V2858" s="11"/>
      <c r="W2858" s="11"/>
      <c r="X2858" s="11"/>
      <c r="Y2858" s="11"/>
      <c r="Z2858" s="11"/>
    </row>
    <row r="2859" customHeight="1" spans="1:26">
      <c r="A2859" s="11" t="str">
        <f>IFERROR(__xludf.DUMMYFUNCTION("""COMPUTED_VALUE"""),"MARCOS LIRA FALCAO JUNIOR")</f>
        <v>MARCOS LIRA FALCAO JUNIOR</v>
      </c>
      <c r="B2859" s="11"/>
      <c r="C2859" s="11"/>
      <c r="D2859" s="11" t="str">
        <f>IFERROR(__xludf.DUMMYFUNCTION("""COMPUTED_VALUE"""),"GINECOLOGIA E OBSTETRICIA")</f>
        <v>GINECOLOGIA E OBSTETRICIA</v>
      </c>
      <c r="E2859" s="11"/>
      <c r="F2859" s="11" t="str">
        <f>IFERROR(__xludf.DUMMYFUNCTION("""COMPUTED_VALUE"""),"US_167 POLICLINICA E MATERNIDADE PROFESSOR BARROS LIMA")</f>
        <v>US_167 POLICLINICA E MATERNIDADE PROFESSOR BARROS LIMA</v>
      </c>
      <c r="G2859" s="11" t="str">
        <f>IFERROR(__xludf.DUMMYFUNCTION("""COMPUTED_VALUE"""),"US_167 POLICLINICA E MATERNIDADE PROFESSOR BARROS LIMA")</f>
        <v>US_167 POLICLINICA E MATERNIDADE PROFESSOR BARROS LIMA</v>
      </c>
      <c r="H2859" s="11"/>
      <c r="I2859" s="11"/>
      <c r="J2859" s="11"/>
      <c r="K2859" s="11"/>
      <c r="L2859" s="11"/>
      <c r="M2859" s="11"/>
      <c r="N2859" s="30" t="str">
        <f>IFERROR(__xludf.DUMMYFUNCTION("""COMPUTED_VALUE"""),"LIRAFALCAO@HOTMAIL.COM")</f>
        <v>LIRAFALCAO@HOTMAIL.COM</v>
      </c>
      <c r="O2859" s="11">
        <f>IFERROR(__xludf.DUMMYFUNCTION("""COMPUTED_VALUE"""),4838404409)</f>
        <v>4838404409</v>
      </c>
      <c r="P2859" s="11"/>
      <c r="Q2859" s="11"/>
      <c r="R2859" s="11"/>
      <c r="S2859" s="11"/>
      <c r="T2859" s="11"/>
      <c r="U2859" s="11"/>
      <c r="V2859" s="11"/>
      <c r="W2859" s="11"/>
      <c r="X2859" s="11"/>
      <c r="Y2859" s="11"/>
      <c r="Z2859" s="11"/>
    </row>
    <row r="2860" customHeight="1" spans="1:26">
      <c r="A2860" s="11" t="str">
        <f>IFERROR(__xludf.DUMMYFUNCTION("""COMPUTED_VALUE"""),"CLARISSA MARIA DE A PONTES")</f>
        <v>CLARISSA MARIA DE A PONTES</v>
      </c>
      <c r="B2860" s="11"/>
      <c r="C2860" s="11"/>
      <c r="D2860" s="11" t="str">
        <f>IFERROR(__xludf.DUMMYFUNCTION("""COMPUTED_VALUE"""),"GINECOLOGIA E OBSTETRICIA")</f>
        <v>GINECOLOGIA E OBSTETRICIA</v>
      </c>
      <c r="E2860" s="11"/>
      <c r="F2860" s="11" t="str">
        <f>IFERROR(__xludf.DUMMYFUNCTION("""COMPUTED_VALUE"""),"US_153 POLICLINICA E MATERNIDADE ARNALDO MARQUES")</f>
        <v>US_153 POLICLINICA E MATERNIDADE ARNALDO MARQUES</v>
      </c>
      <c r="G2860" s="11" t="str">
        <f>IFERROR(__xludf.DUMMYFUNCTION("""COMPUTED_VALUE"""),"US_153 POLICLINICA E MATERNIDADE ARNALDO MARQUES")</f>
        <v>US_153 POLICLINICA E MATERNIDADE ARNALDO MARQUES</v>
      </c>
      <c r="H2860" s="11"/>
      <c r="I2860" s="11"/>
      <c r="J2860" s="11"/>
      <c r="K2860" s="11"/>
      <c r="L2860" s="11"/>
      <c r="M2860" s="11"/>
      <c r="N2860" s="30" t="str">
        <f>IFERROR(__xludf.DUMMYFUNCTION("""COMPUTED_VALUE"""),"CLA_PONTES@HOTMAIL.COM")</f>
        <v>CLA_PONTES@HOTMAIL.COM</v>
      </c>
      <c r="O2860" s="11">
        <f>IFERROR(__xludf.DUMMYFUNCTION("""COMPUTED_VALUE"""),5826685492)</f>
        <v>5826685492</v>
      </c>
      <c r="P2860" s="11"/>
      <c r="Q2860" s="11"/>
      <c r="R2860" s="11"/>
      <c r="S2860" s="11"/>
      <c r="T2860" s="11"/>
      <c r="U2860" s="11"/>
      <c r="V2860" s="11"/>
      <c r="W2860" s="11"/>
      <c r="X2860" s="11"/>
      <c r="Y2860" s="11"/>
      <c r="Z2860" s="11"/>
    </row>
    <row r="2861" customHeight="1" spans="1:26">
      <c r="A2861" s="11" t="str">
        <f>IFERROR(__xludf.DUMMYFUNCTION("""COMPUTED_VALUE"""),"CAMILA SILVA FREITAS")</f>
        <v>CAMILA SILVA FREITAS</v>
      </c>
      <c r="B2861" s="11"/>
      <c r="C2861" s="11"/>
      <c r="D2861" s="11" t="str">
        <f>IFERROR(__xludf.DUMMYFUNCTION("""COMPUTED_VALUE""")," CLINICA GERAL ")</f>
        <v> CLINICA GERAL </v>
      </c>
      <c r="E2861" s="11"/>
      <c r="F2861" s="11" t="str">
        <f>IFERROR(__xludf.DUMMYFUNCTION("""COMPUTED_VALUE"""),"US_153 POLICLINICA E MATERNIDADE ARNALDO MARQUES")</f>
        <v>US_153 POLICLINICA E MATERNIDADE ARNALDO MARQUES</v>
      </c>
      <c r="G2861" s="11" t="str">
        <f>IFERROR(__xludf.DUMMYFUNCTION("""COMPUTED_VALUE"""),"US_153 POLICLINICA E MATERNIDADE ARNALDO MARQUES")</f>
        <v>US_153 POLICLINICA E MATERNIDADE ARNALDO MARQUES</v>
      </c>
      <c r="H2861" s="11"/>
      <c r="I2861" s="11"/>
      <c r="J2861" s="11"/>
      <c r="K2861" s="11"/>
      <c r="L2861" s="11"/>
      <c r="M2861" s="11"/>
      <c r="N2861" s="30" t="str">
        <f>IFERROR(__xludf.DUMMYFUNCTION("""COMPUTED_VALUE"""),"CAMILA@FREITAS.PE")</f>
        <v>CAMILA@FREITAS.PE</v>
      </c>
      <c r="O2861" s="11">
        <f>IFERROR(__xludf.DUMMYFUNCTION("""COMPUTED_VALUE"""),7944652421)</f>
        <v>7944652421</v>
      </c>
      <c r="P2861" s="11"/>
      <c r="Q2861" s="11"/>
      <c r="R2861" s="11"/>
      <c r="S2861" s="11"/>
      <c r="T2861" s="11"/>
      <c r="U2861" s="11"/>
      <c r="V2861" s="11"/>
      <c r="W2861" s="11"/>
      <c r="X2861" s="11"/>
      <c r="Y2861" s="11"/>
      <c r="Z2861" s="11"/>
    </row>
    <row r="2862" customHeight="1" spans="1:26">
      <c r="A2862" s="11" t="str">
        <f>IFERROR(__xludf.DUMMYFUNCTION("""COMPUTED_VALUE"""),"GABRIELLE SOUZA B DA SILVA")</f>
        <v>GABRIELLE SOUZA B DA SILVA</v>
      </c>
      <c r="B2862" s="11"/>
      <c r="C2862" s="11"/>
      <c r="D2862" s="11" t="str">
        <f>IFERROR(__xludf.DUMMYFUNCTION("""COMPUTED_VALUE"""),"CLINICA GERAL")</f>
        <v>CLINICA GERAL</v>
      </c>
      <c r="E2862" s="11"/>
      <c r="F2862" s="11" t="str">
        <f>IFERROR(__xludf.DUMMYFUNCTION("""COMPUTED_VALUE"""),"US_167 POLICLINICA E MATERNIDADE PROFESSOR BARROS LIMA")</f>
        <v>US_167 POLICLINICA E MATERNIDADE PROFESSOR BARROS LIMA</v>
      </c>
      <c r="G2862" s="11" t="str">
        <f>IFERROR(__xludf.DUMMYFUNCTION("""COMPUTED_VALUE"""),"US_167 POLICLINICA E MATERNIDADE PROFESSOR BARROS LIMA")</f>
        <v>US_167 POLICLINICA E MATERNIDADE PROFESSOR BARROS LIMA</v>
      </c>
      <c r="H2862" s="11"/>
      <c r="I2862" s="11"/>
      <c r="J2862" s="11"/>
      <c r="K2862" s="11"/>
      <c r="L2862" s="11"/>
      <c r="M2862" s="11"/>
      <c r="N2862" s="30" t="str">
        <f>IFERROR(__xludf.DUMMYFUNCTION("""COMPUTED_VALUE"""),"GABY_SOUZA_2@HOTMAIL.COM")</f>
        <v>GABY_SOUZA_2@HOTMAIL.COM</v>
      </c>
      <c r="O2862" s="11">
        <f>IFERROR(__xludf.DUMMYFUNCTION("""COMPUTED_VALUE"""),8974100410)</f>
        <v>8974100410</v>
      </c>
      <c r="P2862" s="11"/>
      <c r="Q2862" s="11"/>
      <c r="R2862" s="11"/>
      <c r="S2862" s="11"/>
      <c r="T2862" s="11"/>
      <c r="U2862" s="11"/>
      <c r="V2862" s="11"/>
      <c r="W2862" s="11"/>
      <c r="X2862" s="11"/>
      <c r="Y2862" s="11"/>
      <c r="Z2862" s="11"/>
    </row>
    <row r="2863" customHeight="1" spans="1:26">
      <c r="A2863" s="11" t="str">
        <f>IFERROR(__xludf.DUMMYFUNCTION("""COMPUTED_VALUE"""),"ANAMARIA NUNES M SOTERO")</f>
        <v>ANAMARIA NUNES M SOTERO</v>
      </c>
      <c r="B2863" s="11"/>
      <c r="C2863" s="11"/>
      <c r="D2863" s="11" t="str">
        <f>IFERROR(__xludf.DUMMYFUNCTION("""COMPUTED_VALUE""")," CLINICA GERAL ")</f>
        <v> CLINICA GERAL </v>
      </c>
      <c r="E2863" s="11"/>
      <c r="F2863" s="11" t="str">
        <f>IFERROR(__xludf.DUMMYFUNCTION("""COMPUTED_VALUE"""),"US_153 POLICLINICA E MATERNIDADE ARNALDO MARQUES")</f>
        <v>US_153 POLICLINICA E MATERNIDADE ARNALDO MARQUES</v>
      </c>
      <c r="G2863" s="11" t="str">
        <f>IFERROR(__xludf.DUMMYFUNCTION("""COMPUTED_VALUE"""),"US_153 POLICLINICA E MATERNIDADE ARNALDO MARQUES")</f>
        <v>US_153 POLICLINICA E MATERNIDADE ARNALDO MARQUES</v>
      </c>
      <c r="H2863" s="11"/>
      <c r="I2863" s="11"/>
      <c r="J2863" s="11"/>
      <c r="K2863" s="11"/>
      <c r="L2863" s="11"/>
      <c r="M2863" s="11"/>
      <c r="N2863" s="30" t="str">
        <f>IFERROR(__xludf.DUMMYFUNCTION("""COMPUTED_VALUE"""),"MONTEIRO_ANAMARIA@HOTMAIL.COM")</f>
        <v>MONTEIRO_ANAMARIA@HOTMAIL.COM</v>
      </c>
      <c r="O2863" s="11">
        <f>IFERROR(__xludf.DUMMYFUNCTION("""COMPUTED_VALUE"""),4075440460)</f>
        <v>4075440460</v>
      </c>
      <c r="P2863" s="11"/>
      <c r="Q2863" s="11"/>
      <c r="R2863" s="11"/>
      <c r="S2863" s="11"/>
      <c r="T2863" s="11"/>
      <c r="U2863" s="11"/>
      <c r="V2863" s="11"/>
      <c r="W2863" s="11"/>
      <c r="X2863" s="11"/>
      <c r="Y2863" s="11"/>
      <c r="Z2863" s="11"/>
    </row>
    <row r="2864" customHeight="1" spans="1:26">
      <c r="A2864" s="11" t="str">
        <f>IFERROR(__xludf.DUMMYFUNCTION("""COMPUTED_VALUE"""),"MICHELLE B B DE VASCONCELOS")</f>
        <v>MICHELLE B B DE VASCONCELOS</v>
      </c>
      <c r="B2864" s="11"/>
      <c r="C2864" s="11"/>
      <c r="D2864" s="11" t="str">
        <f>IFERROR(__xludf.DUMMYFUNCTION("""COMPUTED_VALUE"""),"NEONATOLOGIA")</f>
        <v>NEONATOLOGIA</v>
      </c>
      <c r="E2864" s="11"/>
      <c r="F2864" s="11" t="str">
        <f>IFERROR(__xludf.DUMMYFUNCTION("""COMPUTED_VALUE"""),"US_167 POLICLINICA E MATERNIDADE PROFESSOR BARROS LIMA")</f>
        <v>US_167 POLICLINICA E MATERNIDADE PROFESSOR BARROS LIMA</v>
      </c>
      <c r="G2864" s="11" t="str">
        <f>IFERROR(__xludf.DUMMYFUNCTION("""COMPUTED_VALUE"""),"US_167 POLICLINICA E MATERNIDADE PROFESSOR BARROS LIMA")</f>
        <v>US_167 POLICLINICA E MATERNIDADE PROFESSOR BARROS LIMA</v>
      </c>
      <c r="H2864" s="11"/>
      <c r="I2864" s="11"/>
      <c r="J2864" s="11"/>
      <c r="K2864" s="11"/>
      <c r="L2864" s="11"/>
      <c r="M2864" s="11"/>
      <c r="N2864" s="30" t="str">
        <f>IFERROR(__xludf.DUMMYFUNCTION("""COMPUTED_VALUE"""),"MICHELLEBBVMED@GMAIL.COM")</f>
        <v>MICHELLEBBVMED@GMAIL.COM</v>
      </c>
      <c r="O2864" s="11">
        <f>IFERROR(__xludf.DUMMYFUNCTION("""COMPUTED_VALUE"""),5542105416)</f>
        <v>5542105416</v>
      </c>
      <c r="P2864" s="11"/>
      <c r="Q2864" s="11"/>
      <c r="R2864" s="11"/>
      <c r="S2864" s="11"/>
      <c r="T2864" s="11"/>
      <c r="U2864" s="11"/>
      <c r="V2864" s="11"/>
      <c r="W2864" s="11"/>
      <c r="X2864" s="11"/>
      <c r="Y2864" s="11"/>
      <c r="Z2864" s="11"/>
    </row>
    <row r="2865" customHeight="1" spans="1:26">
      <c r="A2865" s="11" t="str">
        <f>IFERROR(__xludf.DUMMYFUNCTION("""COMPUTED_VALUE"""),"MARCELA HARTEN P DE MEDEIROS")</f>
        <v>MARCELA HARTEN P DE MEDEIROS</v>
      </c>
      <c r="B2865" s="11"/>
      <c r="C2865" s="11"/>
      <c r="D2865" s="11" t="str">
        <f>IFERROR(__xludf.DUMMYFUNCTION("""COMPUTED_VALUE"""),"GINECOLOGIA E OBSTETRICIA")</f>
        <v>GINECOLOGIA E OBSTETRICIA</v>
      </c>
      <c r="E2865" s="11"/>
      <c r="F2865" s="11" t="str">
        <f>IFERROR(__xludf.DUMMYFUNCTION("""COMPUTED_VALUE"""),"US_165 MATERNIDADE BANDEIRA FILHO")</f>
        <v>US_165 MATERNIDADE BANDEIRA FILHO</v>
      </c>
      <c r="G2865" s="11" t="str">
        <f>IFERROR(__xludf.DUMMYFUNCTION("""COMPUTED_VALUE"""),"US_165 MATERNIDADE BANDEIRA FILHO")</f>
        <v>US_165 MATERNIDADE BANDEIRA FILHO</v>
      </c>
      <c r="H2865" s="11"/>
      <c r="I2865" s="11"/>
      <c r="J2865" s="11"/>
      <c r="K2865" s="11"/>
      <c r="L2865" s="11"/>
      <c r="M2865" s="11"/>
      <c r="N2865" s="30" t="str">
        <f>IFERROR(__xludf.DUMMYFUNCTION("""COMPUTED_VALUE"""),"MARCELAHARTEN@HOTMAIL.COM")</f>
        <v>MARCELAHARTEN@HOTMAIL.COM</v>
      </c>
      <c r="O2865" s="11">
        <f>IFERROR(__xludf.DUMMYFUNCTION("""COMPUTED_VALUE"""),5238557450)</f>
        <v>5238557450</v>
      </c>
      <c r="P2865" s="11"/>
      <c r="Q2865" s="11"/>
      <c r="R2865" s="11"/>
      <c r="S2865" s="11"/>
      <c r="T2865" s="11"/>
      <c r="U2865" s="11"/>
      <c r="V2865" s="11"/>
      <c r="W2865" s="11"/>
      <c r="X2865" s="11"/>
      <c r="Y2865" s="11"/>
      <c r="Z2865" s="11"/>
    </row>
    <row r="2866" customHeight="1" spans="1:26">
      <c r="A2866" s="11" t="str">
        <f>IFERROR(__xludf.DUMMYFUNCTION("""COMPUTED_VALUE"""),"SEVERINO DE S BARBOSA JUNIOR")</f>
        <v>SEVERINO DE S BARBOSA JUNIOR</v>
      </c>
      <c r="B2866" s="11"/>
      <c r="C2866" s="11"/>
      <c r="D2866" s="11" t="str">
        <f>IFERROR(__xludf.DUMMYFUNCTION("""COMPUTED_VALUE"""),"ANESTESIOLOGIA")</f>
        <v>ANESTESIOLOGIA</v>
      </c>
      <c r="E2866" s="11"/>
      <c r="F2866" s="11" t="str">
        <f>IFERROR(__xludf.DUMMYFUNCTION("""COMPUTED_VALUE"""),"US_165 MATERNIDADE BANDEIRA FILHO")</f>
        <v>US_165 MATERNIDADE BANDEIRA FILHO</v>
      </c>
      <c r="G2866" s="11" t="str">
        <f>IFERROR(__xludf.DUMMYFUNCTION("""COMPUTED_VALUE"""),"US_165 MATERNIDADE BANDEIRA FILHO")</f>
        <v>US_165 MATERNIDADE BANDEIRA FILHO</v>
      </c>
      <c r="H2866" s="11"/>
      <c r="I2866" s="11"/>
      <c r="J2866" s="11"/>
      <c r="K2866" s="11"/>
      <c r="L2866" s="11"/>
      <c r="M2866" s="11"/>
      <c r="N2866" s="30" t="str">
        <f>IFERROR(__xludf.DUMMYFUNCTION("""COMPUTED_VALUE"""),"SSBJUNIOR@GMAIL.COM")</f>
        <v>SSBJUNIOR@GMAIL.COM</v>
      </c>
      <c r="O2866" s="11">
        <f>IFERROR(__xludf.DUMMYFUNCTION("""COMPUTED_VALUE"""),5404328495)</f>
        <v>5404328495</v>
      </c>
      <c r="P2866" s="11"/>
      <c r="Q2866" s="11"/>
      <c r="R2866" s="11"/>
      <c r="S2866" s="11"/>
      <c r="T2866" s="11"/>
      <c r="U2866" s="11"/>
      <c r="V2866" s="11"/>
      <c r="W2866" s="11"/>
      <c r="X2866" s="11"/>
      <c r="Y2866" s="11"/>
      <c r="Z2866" s="11"/>
    </row>
    <row r="2867" customHeight="1" spans="1:26">
      <c r="A2867" s="11" t="str">
        <f>IFERROR(__xludf.DUMMYFUNCTION("""COMPUTED_VALUE"""),"CASSANDRA DA C F P FERRAZ")</f>
        <v>CASSANDRA DA C F P FERRAZ</v>
      </c>
      <c r="B2867" s="11"/>
      <c r="C2867" s="11"/>
      <c r="D2867" s="11" t="str">
        <f>IFERROR(__xludf.DUMMYFUNCTION("""COMPUTED_VALUE"""),"GINECOLOGIA E OBSTETRICIA")</f>
        <v>GINECOLOGIA E OBSTETRICIA</v>
      </c>
      <c r="E2867" s="11"/>
      <c r="F2867" s="11" t="str">
        <f>IFERROR(__xludf.DUMMYFUNCTION("""COMPUTED_VALUE"""),"US_153 POLICLINICA E MATERNIDADE ARNALDO MARQUES")</f>
        <v>US_153 POLICLINICA E MATERNIDADE ARNALDO MARQUES</v>
      </c>
      <c r="G2867" s="11" t="str">
        <f>IFERROR(__xludf.DUMMYFUNCTION("""COMPUTED_VALUE"""),"US_153 POLICLINICA E MATERNIDADE ARNALDO MARQUES")</f>
        <v>US_153 POLICLINICA E MATERNIDADE ARNALDO MARQUES</v>
      </c>
      <c r="H2867" s="11"/>
      <c r="I2867" s="11"/>
      <c r="J2867" s="11"/>
      <c r="K2867" s="11"/>
      <c r="L2867" s="11"/>
      <c r="M2867" s="11"/>
      <c r="N2867" s="30" t="str">
        <f>IFERROR(__xludf.DUMMYFUNCTION("""COMPUTED_VALUE"""),"CASSANDRINHACFP@HOTMAIL.COM")</f>
        <v>CASSANDRINHACFP@HOTMAIL.COM</v>
      </c>
      <c r="O2867" s="11">
        <f>IFERROR(__xludf.DUMMYFUNCTION("""COMPUTED_VALUE"""),1391171489)</f>
        <v>1391171489</v>
      </c>
      <c r="P2867" s="11"/>
      <c r="Q2867" s="11"/>
      <c r="R2867" s="11"/>
      <c r="S2867" s="11"/>
      <c r="T2867" s="11"/>
      <c r="U2867" s="11"/>
      <c r="V2867" s="11"/>
      <c r="W2867" s="11"/>
      <c r="X2867" s="11"/>
      <c r="Y2867" s="11"/>
      <c r="Z2867" s="11"/>
    </row>
    <row r="2868" customHeight="1" spans="1:26">
      <c r="A2868" s="11" t="str">
        <f>IFERROR(__xludf.DUMMYFUNCTION("""COMPUTED_VALUE"""),"RENATA SOUZA DE LIMA")</f>
        <v>RENATA SOUZA DE LIMA</v>
      </c>
      <c r="B2868" s="11"/>
      <c r="C2868" s="11"/>
      <c r="D2868" s="11" t="str">
        <f>IFERROR(__xludf.DUMMYFUNCTION("""COMPUTED_VALUE"""),"PEDIATRIA")</f>
        <v>PEDIATRIA</v>
      </c>
      <c r="E2868" s="11"/>
      <c r="F2868" s="11" t="str">
        <f>IFERROR(__xludf.DUMMYFUNCTION("""COMPUTED_VALUE"""),"US_153 POLICLINICA E MATERNIDADE ARNALDO MARQUES")</f>
        <v>US_153 POLICLINICA E MATERNIDADE ARNALDO MARQUES</v>
      </c>
      <c r="G2868" s="11" t="str">
        <f>IFERROR(__xludf.DUMMYFUNCTION("""COMPUTED_VALUE"""),"US_153 POLICLINICA E MATERNIDADE ARNALDO MARQUES")</f>
        <v>US_153 POLICLINICA E MATERNIDADE ARNALDO MARQUES</v>
      </c>
      <c r="H2868" s="11"/>
      <c r="I2868" s="11"/>
      <c r="J2868" s="11"/>
      <c r="K2868" s="11"/>
      <c r="L2868" s="11"/>
      <c r="M2868" s="11"/>
      <c r="N2868" s="30" t="str">
        <f>IFERROR(__xludf.DUMMYFUNCTION("""COMPUTED_VALUE"""),"RENATABUGU@BOL.COM.BR")</f>
        <v>RENATABUGU@BOL.COM.BR</v>
      </c>
      <c r="O2868" s="11">
        <f>IFERROR(__xludf.DUMMYFUNCTION("""COMPUTED_VALUE"""),2286301425)</f>
        <v>2286301425</v>
      </c>
      <c r="P2868" s="11"/>
      <c r="Q2868" s="11"/>
      <c r="R2868" s="11"/>
      <c r="S2868" s="11"/>
      <c r="T2868" s="11"/>
      <c r="U2868" s="11"/>
      <c r="V2868" s="11"/>
      <c r="W2868" s="11"/>
      <c r="X2868" s="11"/>
      <c r="Y2868" s="11"/>
      <c r="Z2868" s="11"/>
    </row>
    <row r="2869" customHeight="1" spans="1:26">
      <c r="A2869" s="11" t="str">
        <f>IFERROR(__xludf.DUMMYFUNCTION("""COMPUTED_VALUE"""),"LUCIANA MENEZES DE M MENDES")</f>
        <v>LUCIANA MENEZES DE M MENDES</v>
      </c>
      <c r="B2869" s="11"/>
      <c r="C2869" s="11"/>
      <c r="D2869" s="11" t="str">
        <f>IFERROR(__xludf.DUMMYFUNCTION("""COMPUTED_VALUE"""),"NEONATOLOGIA")</f>
        <v>NEONATOLOGIA</v>
      </c>
      <c r="E2869" s="11"/>
      <c r="F2869" s="11" t="str">
        <f>IFERROR(__xludf.DUMMYFUNCTION("""COMPUTED_VALUE"""),"US_165 MATERNIDADE BANDEIRA FILHO")</f>
        <v>US_165 MATERNIDADE BANDEIRA FILHO</v>
      </c>
      <c r="G2869" s="11" t="str">
        <f>IFERROR(__xludf.DUMMYFUNCTION("""COMPUTED_VALUE"""),"US_165 MATERNIDADE BANDEIRA FILHO")</f>
        <v>US_165 MATERNIDADE BANDEIRA FILHO</v>
      </c>
      <c r="H2869" s="11"/>
      <c r="I2869" s="11"/>
      <c r="J2869" s="11"/>
      <c r="K2869" s="11"/>
      <c r="L2869" s="11"/>
      <c r="M2869" s="11"/>
      <c r="N2869" s="30" t="str">
        <f>IFERROR(__xludf.DUMMYFUNCTION("""COMPUTED_VALUE"""),"LUCIANAMMM@HOTMAIL.COM")</f>
        <v>LUCIANAMMM@HOTMAIL.COM</v>
      </c>
      <c r="O2869" s="11">
        <f>IFERROR(__xludf.DUMMYFUNCTION("""COMPUTED_VALUE"""),7019870490)</f>
        <v>7019870490</v>
      </c>
      <c r="P2869" s="11"/>
      <c r="Q2869" s="11"/>
      <c r="R2869" s="11"/>
      <c r="S2869" s="11"/>
      <c r="T2869" s="11"/>
      <c r="U2869" s="11"/>
      <c r="V2869" s="11"/>
      <c r="W2869" s="11"/>
      <c r="X2869" s="11"/>
      <c r="Y2869" s="11"/>
      <c r="Z2869" s="11"/>
    </row>
    <row r="2870" customHeight="1" spans="1:26">
      <c r="A2870" s="11" t="str">
        <f>IFERROR(__xludf.DUMMYFUNCTION("""COMPUTED_VALUE"""),"MARIANA GARRET DE MELO SALES")</f>
        <v>MARIANA GARRET DE MELO SALES</v>
      </c>
      <c r="B2870" s="11"/>
      <c r="C2870" s="11"/>
      <c r="D2870" s="11" t="str">
        <f>IFERROR(__xludf.DUMMYFUNCTION("""COMPUTED_VALUE"""),"NEONATOLOGIA")</f>
        <v>NEONATOLOGIA</v>
      </c>
      <c r="E2870" s="11"/>
      <c r="F2870" s="11" t="str">
        <f>IFERROR(__xludf.DUMMYFUNCTION("""COMPUTED_VALUE"""),"US_165 MATERNIDADE BANDEIRA FILHO")</f>
        <v>US_165 MATERNIDADE BANDEIRA FILHO</v>
      </c>
      <c r="G2870" s="11" t="str">
        <f>IFERROR(__xludf.DUMMYFUNCTION("""COMPUTED_VALUE"""),"US_165 MATERNIDADE BANDEIRA FILHO")</f>
        <v>US_165 MATERNIDADE BANDEIRA FILHO</v>
      </c>
      <c r="H2870" s="11"/>
      <c r="I2870" s="11"/>
      <c r="J2870" s="11"/>
      <c r="K2870" s="11"/>
      <c r="L2870" s="11"/>
      <c r="M2870" s="11"/>
      <c r="N2870" s="30" t="str">
        <f>IFERROR(__xludf.DUMMYFUNCTION("""COMPUTED_VALUE"""),"MARIANA_GARRET@MSN.COM")</f>
        <v>MARIANA_GARRET@MSN.COM</v>
      </c>
      <c r="O2870" s="11">
        <f>IFERROR(__xludf.DUMMYFUNCTION("""COMPUTED_VALUE"""),4769719426)</f>
        <v>4769719426</v>
      </c>
      <c r="P2870" s="11"/>
      <c r="Q2870" s="11"/>
      <c r="R2870" s="11"/>
      <c r="S2870" s="11"/>
      <c r="T2870" s="11"/>
      <c r="U2870" s="11"/>
      <c r="V2870" s="11"/>
      <c r="W2870" s="11"/>
      <c r="X2870" s="11"/>
      <c r="Y2870" s="11"/>
      <c r="Z2870" s="11"/>
    </row>
    <row r="2871" customHeight="1" spans="1:26">
      <c r="A2871" s="11" t="str">
        <f>IFERROR(__xludf.DUMMYFUNCTION("""COMPUTED_VALUE"""),"TACILIANA DE BARROS P ROSENDO")</f>
        <v>TACILIANA DE BARROS P ROSENDO</v>
      </c>
      <c r="B2871" s="11"/>
      <c r="C2871" s="11"/>
      <c r="D2871" s="11" t="str">
        <f>IFERROR(__xludf.DUMMYFUNCTION("""COMPUTED_VALUE"""),"NEONATOLOGIA")</f>
        <v>NEONATOLOGIA</v>
      </c>
      <c r="E2871" s="11"/>
      <c r="F2871" s="11" t="str">
        <f>IFERROR(__xludf.DUMMYFUNCTION("""COMPUTED_VALUE"""),"US_165 MATERNIDADE BANDEIRA FILHO")</f>
        <v>US_165 MATERNIDADE BANDEIRA FILHO</v>
      </c>
      <c r="G2871" s="11" t="str">
        <f>IFERROR(__xludf.DUMMYFUNCTION("""COMPUTED_VALUE"""),"US_165 MATERNIDADE BANDEIRA FILHO")</f>
        <v>US_165 MATERNIDADE BANDEIRA FILHO</v>
      </c>
      <c r="H2871" s="11"/>
      <c r="I2871" s="11"/>
      <c r="J2871" s="11"/>
      <c r="K2871" s="11"/>
      <c r="L2871" s="11"/>
      <c r="M2871" s="11"/>
      <c r="N2871" s="30" t="str">
        <f>IFERROR(__xludf.DUMMYFUNCTION("""COMPUTED_VALUE"""),"TACILIANA@GMAIL.COM")</f>
        <v>TACILIANA@GMAIL.COM</v>
      </c>
      <c r="O2871" s="11">
        <f>IFERROR(__xludf.DUMMYFUNCTION("""COMPUTED_VALUE"""),5212610400)</f>
        <v>5212610400</v>
      </c>
      <c r="P2871" s="11"/>
      <c r="Q2871" s="11"/>
      <c r="R2871" s="11"/>
      <c r="S2871" s="11"/>
      <c r="T2871" s="11"/>
      <c r="U2871" s="11"/>
      <c r="V2871" s="11"/>
      <c r="W2871" s="11"/>
      <c r="X2871" s="11"/>
      <c r="Y2871" s="11"/>
      <c r="Z2871" s="11"/>
    </row>
    <row r="2872" customHeight="1" spans="1:26">
      <c r="A2872" s="11" t="str">
        <f>IFERROR(__xludf.DUMMYFUNCTION("""COMPUTED_VALUE"""),"NEIDE DE BRITO MACEDO FULCO")</f>
        <v>NEIDE DE BRITO MACEDO FULCO</v>
      </c>
      <c r="B2872" s="11"/>
      <c r="C2872" s="11"/>
      <c r="D2872" s="11" t="str">
        <f>IFERROR(__xludf.DUMMYFUNCTION("""COMPUTED_VALUE"""),"PEDIATRIA")</f>
        <v>PEDIATRIA</v>
      </c>
      <c r="E2872" s="11"/>
      <c r="F2872" s="11" t="str">
        <f>IFERROR(__xludf.DUMMYFUNCTION("""COMPUTED_VALUE"""),"US_167 POLICLINICA E MATERNIDADE PROFESSOR BARROS LIMA")</f>
        <v>US_167 POLICLINICA E MATERNIDADE PROFESSOR BARROS LIMA</v>
      </c>
      <c r="G2872" s="11" t="str">
        <f>IFERROR(__xludf.DUMMYFUNCTION("""COMPUTED_VALUE"""),"US_167 POLICLINICA E MATERNIDADE PROFESSOR BARROS LIMA")</f>
        <v>US_167 POLICLINICA E MATERNIDADE PROFESSOR BARROS LIMA</v>
      </c>
      <c r="H2872" s="11"/>
      <c r="I2872" s="11"/>
      <c r="J2872" s="11"/>
      <c r="K2872" s="11"/>
      <c r="L2872" s="11"/>
      <c r="M2872" s="11"/>
      <c r="N2872" s="30" t="str">
        <f>IFERROR(__xludf.DUMMYFUNCTION("""COMPUTED_VALUE"""),"NEIDEFULCO@HOTMAIL.COM")</f>
        <v>NEIDEFULCO@HOTMAIL.COM</v>
      </c>
      <c r="O2872" s="11">
        <f>IFERROR(__xludf.DUMMYFUNCTION("""COMPUTED_VALUE"""),12828211487)</f>
        <v>12828211487</v>
      </c>
      <c r="P2872" s="11"/>
      <c r="Q2872" s="11"/>
      <c r="R2872" s="11"/>
      <c r="S2872" s="11"/>
      <c r="T2872" s="11"/>
      <c r="U2872" s="11"/>
      <c r="V2872" s="11"/>
      <c r="W2872" s="11"/>
      <c r="X2872" s="11"/>
      <c r="Y2872" s="11"/>
      <c r="Z2872" s="11"/>
    </row>
    <row r="2873" customHeight="1" spans="1:26">
      <c r="A2873" s="11" t="str">
        <f>IFERROR(__xludf.DUMMYFUNCTION("""COMPUTED_VALUE"""),"MARIA BERNADETH DE OLIVEIRA")</f>
        <v>MARIA BERNADETH DE OLIVEIRA</v>
      </c>
      <c r="B2873" s="11"/>
      <c r="C2873" s="11"/>
      <c r="D2873" s="11" t="str">
        <f>IFERROR(__xludf.DUMMYFUNCTION("""COMPUTED_VALUE"""),"PEDIATRIA")</f>
        <v>PEDIATRIA</v>
      </c>
      <c r="E2873" s="11"/>
      <c r="F2873" s="11" t="str">
        <f>IFERROR(__xludf.DUMMYFUNCTION("""COMPUTED_VALUE"""),"US_167 POLICLINICA E MATERNIDADE PROFESSOR BARROS LIMA")</f>
        <v>US_167 POLICLINICA E MATERNIDADE PROFESSOR BARROS LIMA</v>
      </c>
      <c r="G2873" s="11" t="str">
        <f>IFERROR(__xludf.DUMMYFUNCTION("""COMPUTED_VALUE"""),"US_167 POLICLINICA E MATERNIDADE PROFESSOR BARROS LIMA")</f>
        <v>US_167 POLICLINICA E MATERNIDADE PROFESSOR BARROS LIMA</v>
      </c>
      <c r="H2873" s="11"/>
      <c r="I2873" s="11"/>
      <c r="J2873" s="11"/>
      <c r="K2873" s="11"/>
      <c r="L2873" s="11"/>
      <c r="M2873" s="11"/>
      <c r="N2873" s="30" t="str">
        <f>IFERROR(__xludf.DUMMYFUNCTION("""COMPUTED_VALUE"""),"BERNADETH99@HOTMAIL.COM")</f>
        <v>BERNADETH99@HOTMAIL.COM</v>
      </c>
      <c r="O2873" s="11">
        <f>IFERROR(__xludf.DUMMYFUNCTION("""COMPUTED_VALUE"""),33492522491)</f>
        <v>33492522491</v>
      </c>
      <c r="P2873" s="11"/>
      <c r="Q2873" s="11"/>
      <c r="R2873" s="11"/>
      <c r="S2873" s="11"/>
      <c r="T2873" s="11"/>
      <c r="U2873" s="11"/>
      <c r="V2873" s="11"/>
      <c r="W2873" s="11"/>
      <c r="X2873" s="11"/>
      <c r="Y2873" s="11"/>
      <c r="Z2873" s="11"/>
    </row>
    <row r="2874" customHeight="1" spans="1:26">
      <c r="A2874" s="11" t="str">
        <f>IFERROR(__xludf.DUMMYFUNCTION("""COMPUTED_VALUE"""),"FLAVIO CHAGAS DE ALBUQUERQUE")</f>
        <v>FLAVIO CHAGAS DE ALBUQUERQUE</v>
      </c>
      <c r="B2874" s="11"/>
      <c r="C2874" s="11"/>
      <c r="D2874" s="11" t="str">
        <f>IFERROR(__xludf.DUMMYFUNCTION("""COMPUTED_VALUE"""),"GINECOLOGIA E OBSTETRICIA")</f>
        <v>GINECOLOGIA E OBSTETRICIA</v>
      </c>
      <c r="E2874" s="11"/>
      <c r="F2874" s="11" t="str">
        <f>IFERROR(__xludf.DUMMYFUNCTION("""COMPUTED_VALUE"""),"US_165 MATERNIDADE BANDEIRA FILHO")</f>
        <v>US_165 MATERNIDADE BANDEIRA FILHO</v>
      </c>
      <c r="G2874" s="11" t="str">
        <f>IFERROR(__xludf.DUMMYFUNCTION("""COMPUTED_VALUE"""),"US_165 MATERNIDADE BANDEIRA FILHO")</f>
        <v>US_165 MATERNIDADE BANDEIRA FILHO</v>
      </c>
      <c r="H2874" s="11"/>
      <c r="I2874" s="11"/>
      <c r="J2874" s="11"/>
      <c r="K2874" s="11"/>
      <c r="L2874" s="11"/>
      <c r="M2874" s="11"/>
      <c r="N2874" s="30" t="str">
        <f>IFERROR(__xludf.DUMMYFUNCTION("""COMPUTED_VALUE"""),"FLAVIOCALBUQUERQUE@GMAIL.COM")</f>
        <v>FLAVIOCALBUQUERQUE@GMAIL.COM</v>
      </c>
      <c r="O2874" s="11">
        <f>IFERROR(__xludf.DUMMYFUNCTION("""COMPUTED_VALUE"""),5444056410)</f>
        <v>5444056410</v>
      </c>
      <c r="P2874" s="11"/>
      <c r="Q2874" s="11"/>
      <c r="R2874" s="11"/>
      <c r="S2874" s="11"/>
      <c r="T2874" s="11"/>
      <c r="U2874" s="11"/>
      <c r="V2874" s="11"/>
      <c r="W2874" s="11"/>
      <c r="X2874" s="11"/>
      <c r="Y2874" s="11"/>
      <c r="Z2874" s="11"/>
    </row>
    <row r="2875" customHeight="1" spans="1:26">
      <c r="A2875" s="11" t="str">
        <f>IFERROR(__xludf.DUMMYFUNCTION("""COMPUTED_VALUE"""),"AMANDA RODRIGUES S DE ARAUJO")</f>
        <v>AMANDA RODRIGUES S DE ARAUJO</v>
      </c>
      <c r="B2875" s="11"/>
      <c r="C2875" s="11"/>
      <c r="D2875" s="11" t="str">
        <f>IFERROR(__xludf.DUMMYFUNCTION("""COMPUTED_VALUE"""),"GINECOLOGIA E OBSTETRICIA")</f>
        <v>GINECOLOGIA E OBSTETRICIA</v>
      </c>
      <c r="E2875" s="11"/>
      <c r="F2875" s="11" t="str">
        <f>IFERROR(__xludf.DUMMYFUNCTION("""COMPUTED_VALUE"""),"US_165 MATERNIDADE BANDEIRA FILHO")</f>
        <v>US_165 MATERNIDADE BANDEIRA FILHO</v>
      </c>
      <c r="G2875" s="11" t="str">
        <f>IFERROR(__xludf.DUMMYFUNCTION("""COMPUTED_VALUE"""),"US_165 MATERNIDADE BANDEIRA FILHO")</f>
        <v>US_165 MATERNIDADE BANDEIRA FILHO</v>
      </c>
      <c r="H2875" s="11"/>
      <c r="I2875" s="11"/>
      <c r="J2875" s="11"/>
      <c r="K2875" s="11"/>
      <c r="L2875" s="11"/>
      <c r="M2875" s="11"/>
      <c r="N2875" s="30" t="str">
        <f>IFERROR(__xludf.DUMMYFUNCTION("""COMPUTED_VALUE"""),"AMANDARSARAUJO8@GMAIL.COM")</f>
        <v>AMANDARSARAUJO8@GMAIL.COM</v>
      </c>
      <c r="O2875" s="11">
        <f>IFERROR(__xludf.DUMMYFUNCTION("""COMPUTED_VALUE"""),7366881457)</f>
        <v>7366881457</v>
      </c>
      <c r="P2875" s="11"/>
      <c r="Q2875" s="11"/>
      <c r="R2875" s="11"/>
      <c r="S2875" s="11"/>
      <c r="T2875" s="11"/>
      <c r="U2875" s="11"/>
      <c r="V2875" s="11"/>
      <c r="W2875" s="11"/>
      <c r="X2875" s="11"/>
      <c r="Y2875" s="11"/>
      <c r="Z2875" s="11"/>
    </row>
    <row r="2876" customHeight="1" spans="1:26">
      <c r="A2876" s="11" t="str">
        <f>IFERROR(__xludf.DUMMYFUNCTION("""COMPUTED_VALUE"""),"TAINAN DE MORAIS BISPO")</f>
        <v>TAINAN DE MORAIS BISPO</v>
      </c>
      <c r="B2876" s="11"/>
      <c r="C2876" s="11"/>
      <c r="D2876" s="11" t="str">
        <f>IFERROR(__xludf.DUMMYFUNCTION("""COMPUTED_VALUE"""),"GINECOLOGIA E OBSTETRICIA")</f>
        <v>GINECOLOGIA E OBSTETRICIA</v>
      </c>
      <c r="E2876" s="11"/>
      <c r="F2876" s="11" t="str">
        <f>IFERROR(__xludf.DUMMYFUNCTION("""COMPUTED_VALUE"""),"US_167 POLICLINICA E MATERNIDADE PROFESSOR BARROS LIMA")</f>
        <v>US_167 POLICLINICA E MATERNIDADE PROFESSOR BARROS LIMA</v>
      </c>
      <c r="G2876" s="11" t="str">
        <f>IFERROR(__xludf.DUMMYFUNCTION("""COMPUTED_VALUE"""),"US_167 POLICLINICA E MATERNIDADE PROFESSOR BARROS LIMA")</f>
        <v>US_167 POLICLINICA E MATERNIDADE PROFESSOR BARROS LIMA</v>
      </c>
      <c r="H2876" s="11"/>
      <c r="I2876" s="11"/>
      <c r="J2876" s="11"/>
      <c r="K2876" s="11"/>
      <c r="L2876" s="11"/>
      <c r="M2876" s="11"/>
      <c r="N2876" s="30" t="str">
        <f>IFERROR(__xludf.DUMMYFUNCTION("""COMPUTED_VALUE"""),"MORAISTAINAN@GMAIL.COM")</f>
        <v>MORAISTAINAN@GMAIL.COM</v>
      </c>
      <c r="O2876" s="11">
        <f>IFERROR(__xludf.DUMMYFUNCTION("""COMPUTED_VALUE"""),7396510481)</f>
        <v>7396510481</v>
      </c>
      <c r="P2876" s="11"/>
      <c r="Q2876" s="11"/>
      <c r="R2876" s="11"/>
      <c r="S2876" s="11"/>
      <c r="T2876" s="11"/>
      <c r="U2876" s="11"/>
      <c r="V2876" s="11"/>
      <c r="W2876" s="11"/>
      <c r="X2876" s="11"/>
      <c r="Y2876" s="11"/>
      <c r="Z2876" s="11"/>
    </row>
    <row r="2877" customHeight="1" spans="1:26">
      <c r="A2877" s="11" t="str">
        <f>IFERROR(__xludf.DUMMYFUNCTION("""COMPUTED_VALUE"""),"JULIANA MONTENEGRO P F SAMPAIO")</f>
        <v>JULIANA MONTENEGRO P F SAMPAIO</v>
      </c>
      <c r="B2877" s="11"/>
      <c r="C2877" s="11"/>
      <c r="D2877" s="11" t="str">
        <f>IFERROR(__xludf.DUMMYFUNCTION("""COMPUTED_VALUE"""),"GINECOLOGIA E OBSTETRICIA")</f>
        <v>GINECOLOGIA E OBSTETRICIA</v>
      </c>
      <c r="E2877" s="11"/>
      <c r="F2877" s="11" t="str">
        <f>IFERROR(__xludf.DUMMYFUNCTION("""COMPUTED_VALUE"""),"US_165 MATERNIDADE BANDEIRA FILHO")</f>
        <v>US_165 MATERNIDADE BANDEIRA FILHO</v>
      </c>
      <c r="G2877" s="11" t="str">
        <f>IFERROR(__xludf.DUMMYFUNCTION("""COMPUTED_VALUE"""),"US_165 MATERNIDADE BANDEIRA FILHO")</f>
        <v>US_165 MATERNIDADE BANDEIRA FILHO</v>
      </c>
      <c r="H2877" s="11"/>
      <c r="I2877" s="11"/>
      <c r="J2877" s="11"/>
      <c r="K2877" s="11"/>
      <c r="L2877" s="11"/>
      <c r="M2877" s="11"/>
      <c r="N2877" s="30" t="str">
        <f>IFERROR(__xludf.DUMMYFUNCTION("""COMPUTED_VALUE"""),"JULIANAMPMF@GMAIL.COM")</f>
        <v>JULIANAMPMF@GMAIL.COM</v>
      </c>
      <c r="O2877" s="11">
        <f>IFERROR(__xludf.DUMMYFUNCTION("""COMPUTED_VALUE"""),6676297930)</f>
        <v>6676297930</v>
      </c>
      <c r="P2877" s="11"/>
      <c r="Q2877" s="11"/>
      <c r="R2877" s="11"/>
      <c r="S2877" s="11"/>
      <c r="T2877" s="11"/>
      <c r="U2877" s="11"/>
      <c r="V2877" s="11"/>
      <c r="W2877" s="11"/>
      <c r="X2877" s="11"/>
      <c r="Y2877" s="11"/>
      <c r="Z2877" s="11"/>
    </row>
    <row r="2878" customHeight="1" spans="1:26">
      <c r="A2878" s="11" t="str">
        <f>IFERROR(__xludf.DUMMYFUNCTION("""COMPUTED_VALUE"""),"ITAMAR LOPES S SANTANA FILHO")</f>
        <v>ITAMAR LOPES S SANTANA FILHO</v>
      </c>
      <c r="B2878" s="11"/>
      <c r="C2878" s="11"/>
      <c r="D2878" s="11" t="str">
        <f>IFERROR(__xludf.DUMMYFUNCTION("""COMPUTED_VALUE"""),"GINECOLOGIA E OBSTETRICIA")</f>
        <v>GINECOLOGIA E OBSTETRICIA</v>
      </c>
      <c r="E2878" s="11"/>
      <c r="F2878" s="11" t="str">
        <f>IFERROR(__xludf.DUMMYFUNCTION("""COMPUTED_VALUE"""),"US_167 POLICLINICA E MATERNIDADE PROFESSOR BARROS LIMA")</f>
        <v>US_167 POLICLINICA E MATERNIDADE PROFESSOR BARROS LIMA</v>
      </c>
      <c r="G2878" s="11" t="str">
        <f>IFERROR(__xludf.DUMMYFUNCTION("""COMPUTED_VALUE"""),"US_167 POLICLINICA E MATERNIDADE PROFESSOR BARROS LIMA")</f>
        <v>US_167 POLICLINICA E MATERNIDADE PROFESSOR BARROS LIMA</v>
      </c>
      <c r="H2878" s="11"/>
      <c r="I2878" s="11"/>
      <c r="J2878" s="11"/>
      <c r="K2878" s="11"/>
      <c r="L2878" s="11"/>
      <c r="M2878" s="11"/>
      <c r="N2878" s="30" t="str">
        <f>IFERROR(__xludf.DUMMYFUNCTION("""COMPUTED_VALUE"""),"ITAMARFH@HOTMAIL.COM")</f>
        <v>ITAMARFH@HOTMAIL.COM</v>
      </c>
      <c r="O2878" s="11">
        <f>IFERROR(__xludf.DUMMYFUNCTION("""COMPUTED_VALUE"""),8396462402)</f>
        <v>8396462402</v>
      </c>
      <c r="P2878" s="11"/>
      <c r="Q2878" s="11"/>
      <c r="R2878" s="11"/>
      <c r="S2878" s="11"/>
      <c r="T2878" s="11"/>
      <c r="U2878" s="11"/>
      <c r="V2878" s="11"/>
      <c r="W2878" s="11"/>
      <c r="X2878" s="11"/>
      <c r="Y2878" s="11"/>
      <c r="Z2878" s="11"/>
    </row>
    <row r="2879" customHeight="1" spans="1:26">
      <c r="A2879" s="11" t="str">
        <f>IFERROR(__xludf.DUMMYFUNCTION("""COMPUTED_VALUE"""),"ANDRESSA GALINDO DE L TOSCANO")</f>
        <v>ANDRESSA GALINDO DE L TOSCANO</v>
      </c>
      <c r="B2879" s="11"/>
      <c r="C2879" s="11"/>
      <c r="D2879" s="11" t="str">
        <f>IFERROR(__xludf.DUMMYFUNCTION("""COMPUTED_VALUE"""),"ANESTESIOLOGIA")</f>
        <v>ANESTESIOLOGIA</v>
      </c>
      <c r="E2879" s="11"/>
      <c r="F2879" s="11" t="str">
        <f>IFERROR(__xludf.DUMMYFUNCTION("""COMPUTED_VALUE"""),"US_167 POLICLINICA E MATERNIDADE PROFESSOR BARROS LIMA")</f>
        <v>US_167 POLICLINICA E MATERNIDADE PROFESSOR BARROS LIMA</v>
      </c>
      <c r="G2879" s="11" t="str">
        <f>IFERROR(__xludf.DUMMYFUNCTION("""COMPUTED_VALUE"""),"US_167 POLICLINICA E MATERNIDADE PROFESSOR BARROS LIMA")</f>
        <v>US_167 POLICLINICA E MATERNIDADE PROFESSOR BARROS LIMA</v>
      </c>
      <c r="H2879" s="11"/>
      <c r="I2879" s="11"/>
      <c r="J2879" s="11"/>
      <c r="K2879" s="11"/>
      <c r="L2879" s="11"/>
      <c r="M2879" s="11"/>
      <c r="N2879" s="30" t="str">
        <f>IFERROR(__xludf.DUMMYFUNCTION("""COMPUTED_VALUE"""),"ANDRESSAGALINDO86@YAHOO.COM.BR")</f>
        <v>ANDRESSAGALINDO86@YAHOO.COM.BR</v>
      </c>
      <c r="O2879" s="11">
        <f>IFERROR(__xludf.DUMMYFUNCTION("""COMPUTED_VALUE"""),4789028402)</f>
        <v>4789028402</v>
      </c>
      <c r="P2879" s="11"/>
      <c r="Q2879" s="11"/>
      <c r="R2879" s="11"/>
      <c r="S2879" s="11"/>
      <c r="T2879" s="11"/>
      <c r="U2879" s="11"/>
      <c r="V2879" s="11"/>
      <c r="W2879" s="11"/>
      <c r="X2879" s="11"/>
      <c r="Y2879" s="11"/>
      <c r="Z2879" s="11"/>
    </row>
    <row r="2880" customHeight="1" spans="1:26">
      <c r="A2880" s="11" t="str">
        <f>IFERROR(__xludf.DUMMYFUNCTION("""COMPUTED_VALUE"""),"ANA BEATRIZ LIMA DE A CURSINO")</f>
        <v>ANA BEATRIZ LIMA DE A CURSINO</v>
      </c>
      <c r="B2880" s="11"/>
      <c r="C2880" s="11"/>
      <c r="D2880" s="11" t="str">
        <f>IFERROR(__xludf.DUMMYFUNCTION("""COMPUTED_VALUE"""),"GINECOLOGIA E OBSTETRICIA")</f>
        <v>GINECOLOGIA E OBSTETRICIA</v>
      </c>
      <c r="E2880" s="11"/>
      <c r="F2880" s="11" t="str">
        <f>IFERROR(__xludf.DUMMYFUNCTION("""COMPUTED_VALUE"""),"US_167 POLICLINICA E MATERNIDADE PROFESSOR BARROS LIMA")</f>
        <v>US_167 POLICLINICA E MATERNIDADE PROFESSOR BARROS LIMA</v>
      </c>
      <c r="G2880" s="11" t="str">
        <f>IFERROR(__xludf.DUMMYFUNCTION("""COMPUTED_VALUE"""),"US_167 POLICLINICA E MATERNIDADE PROFESSOR BARROS LIMA")</f>
        <v>US_167 POLICLINICA E MATERNIDADE PROFESSOR BARROS LIMA</v>
      </c>
      <c r="H2880" s="11"/>
      <c r="I2880" s="11"/>
      <c r="J2880" s="11"/>
      <c r="K2880" s="11"/>
      <c r="L2880" s="11"/>
      <c r="M2880" s="11"/>
      <c r="N2880" s="30" t="str">
        <f>IFERROR(__xludf.DUMMYFUNCTION("""COMPUTED_VALUE"""),"ANABEA.AZEVEDO@GMAIL.COM")</f>
        <v>ANABEA.AZEVEDO@GMAIL.COM</v>
      </c>
      <c r="O2880" s="11">
        <f>IFERROR(__xludf.DUMMYFUNCTION("""COMPUTED_VALUE"""),7174596401)</f>
        <v>7174596401</v>
      </c>
      <c r="P2880" s="11"/>
      <c r="Q2880" s="11"/>
      <c r="R2880" s="11"/>
      <c r="S2880" s="11"/>
      <c r="T2880" s="11"/>
      <c r="U2880" s="11"/>
      <c r="V2880" s="11"/>
      <c r="W2880" s="11"/>
      <c r="X2880" s="11"/>
      <c r="Y2880" s="11"/>
      <c r="Z2880" s="11"/>
    </row>
    <row r="2881" customHeight="1" spans="1:26">
      <c r="A2881" s="11" t="str">
        <f>IFERROR(__xludf.DUMMYFUNCTION("""COMPUTED_VALUE"""),"LIANA CAMELO PESSOA LIRA")</f>
        <v>LIANA CAMELO PESSOA LIRA</v>
      </c>
      <c r="B2881" s="11"/>
      <c r="C2881" s="11"/>
      <c r="D2881" s="11" t="str">
        <f>IFERROR(__xludf.DUMMYFUNCTION("""COMPUTED_VALUE"""),"GINECOLOGIA E OBSTETRICIA")</f>
        <v>GINECOLOGIA E OBSTETRICIA</v>
      </c>
      <c r="E2881" s="11"/>
      <c r="F2881" s="11" t="str">
        <f>IFERROR(__xludf.DUMMYFUNCTION("""COMPUTED_VALUE"""),"US_167 POLICLINICA E MATERNIDADE PROFESSOR BARROS LIMA")</f>
        <v>US_167 POLICLINICA E MATERNIDADE PROFESSOR BARROS LIMA</v>
      </c>
      <c r="G2881" s="11" t="str">
        <f>IFERROR(__xludf.DUMMYFUNCTION("""COMPUTED_VALUE"""),"US_167 POLICLINICA E MATERNIDADE PROFESSOR BARROS LIMA")</f>
        <v>US_167 POLICLINICA E MATERNIDADE PROFESSOR BARROS LIMA</v>
      </c>
      <c r="H2881" s="11"/>
      <c r="I2881" s="11"/>
      <c r="J2881" s="11"/>
      <c r="K2881" s="11"/>
      <c r="L2881" s="11"/>
      <c r="M2881" s="11"/>
      <c r="N2881" s="30" t="str">
        <f>IFERROR(__xludf.DUMMYFUNCTION("""COMPUTED_VALUE"""),"LIANACPLIRA@GMAIL.COM")</f>
        <v>LIANACPLIRA@GMAIL.COM</v>
      </c>
      <c r="O2881" s="11">
        <f>IFERROR(__xludf.DUMMYFUNCTION("""COMPUTED_VALUE"""),6749920403)</f>
        <v>6749920403</v>
      </c>
      <c r="P2881" s="11"/>
      <c r="Q2881" s="11"/>
      <c r="R2881" s="11"/>
      <c r="S2881" s="11"/>
      <c r="T2881" s="11"/>
      <c r="U2881" s="11"/>
      <c r="V2881" s="11"/>
      <c r="W2881" s="11"/>
      <c r="X2881" s="11"/>
      <c r="Y2881" s="11"/>
      <c r="Z2881" s="11"/>
    </row>
    <row r="2882" customHeight="1" spans="1:26">
      <c r="A2882" s="11" t="str">
        <f>IFERROR(__xludf.DUMMYFUNCTION("""COMPUTED_VALUE"""),"RAFAELA ARCOVERDE FERREIRA")</f>
        <v>RAFAELA ARCOVERDE FERREIRA</v>
      </c>
      <c r="B2882" s="11"/>
      <c r="C2882" s="11"/>
      <c r="D2882" s="11" t="str">
        <f>IFERROR(__xludf.DUMMYFUNCTION("""COMPUTED_VALUE"""),"CLINICA GERAL")</f>
        <v>CLINICA GERAL</v>
      </c>
      <c r="E2882" s="11"/>
      <c r="F2882" s="11" t="str">
        <f>IFERROR(__xludf.DUMMYFUNCTION("""COMPUTED_VALUE"""),"US_167 POLICLINICA E MATERNIDADE PROFESSOR BARROS LIMA")</f>
        <v>US_167 POLICLINICA E MATERNIDADE PROFESSOR BARROS LIMA</v>
      </c>
      <c r="G2882" s="11" t="str">
        <f>IFERROR(__xludf.DUMMYFUNCTION("""COMPUTED_VALUE"""),"US_167 POLICLINICA E MATERNIDADE PROFESSOR BARROS LIMA")</f>
        <v>US_167 POLICLINICA E MATERNIDADE PROFESSOR BARROS LIMA</v>
      </c>
      <c r="H2882" s="11"/>
      <c r="I2882" s="11"/>
      <c r="J2882" s="11"/>
      <c r="K2882" s="11"/>
      <c r="L2882" s="11"/>
      <c r="M2882" s="11"/>
      <c r="N2882" s="30" t="str">
        <f>IFERROR(__xludf.DUMMYFUNCTION("""COMPUTED_VALUE"""),"RAFAELA_FERREIRA@HOTMAIL.COM")</f>
        <v>RAFAELA_FERREIRA@HOTMAIL.COM</v>
      </c>
      <c r="O2882" s="11">
        <f>IFERROR(__xludf.DUMMYFUNCTION("""COMPUTED_VALUE"""),1191506460)</f>
        <v>1191506460</v>
      </c>
      <c r="P2882" s="11"/>
      <c r="Q2882" s="11"/>
      <c r="R2882" s="11"/>
      <c r="S2882" s="11"/>
      <c r="T2882" s="11"/>
      <c r="U2882" s="11"/>
      <c r="V2882" s="11"/>
      <c r="W2882" s="11"/>
      <c r="X2882" s="11"/>
      <c r="Y2882" s="11"/>
      <c r="Z2882" s="11"/>
    </row>
    <row r="2883" customHeight="1" spans="1:26">
      <c r="A2883" s="11" t="str">
        <f>IFERROR(__xludf.DUMMYFUNCTION("""COMPUTED_VALUE"""),"THAGRIDD HAYANNA C M E SILVA")</f>
        <v>THAGRIDD HAYANNA C M E SILVA</v>
      </c>
      <c r="B2883" s="11"/>
      <c r="C2883" s="11"/>
      <c r="D2883" s="11" t="str">
        <f>IFERROR(__xludf.DUMMYFUNCTION("""COMPUTED_VALUE"""),"GINECOLOGIA E OBSTETRICIA")</f>
        <v>GINECOLOGIA E OBSTETRICIA</v>
      </c>
      <c r="E2883" s="11"/>
      <c r="F2883" s="11" t="str">
        <f>IFERROR(__xludf.DUMMYFUNCTION("""COMPUTED_VALUE"""),"US_167 POLICLINICA E MATERNIDADE PROFESSOR BARROS LIMA")</f>
        <v>US_167 POLICLINICA E MATERNIDADE PROFESSOR BARROS LIMA</v>
      </c>
      <c r="G2883" s="11" t="str">
        <f>IFERROR(__xludf.DUMMYFUNCTION("""COMPUTED_VALUE"""),"US_167 POLICLINICA E MATERNIDADE PROFESSOR BARROS LIMA")</f>
        <v>US_167 POLICLINICA E MATERNIDADE PROFESSOR BARROS LIMA</v>
      </c>
      <c r="H2883" s="11"/>
      <c r="I2883" s="11"/>
      <c r="J2883" s="11"/>
      <c r="K2883" s="11"/>
      <c r="L2883" s="11"/>
      <c r="M2883" s="11"/>
      <c r="N2883" s="30" t="str">
        <f>IFERROR(__xludf.DUMMYFUNCTION("""COMPUTED_VALUE"""),"THAGRIDD@GMAIL.COM")</f>
        <v>THAGRIDD@GMAIL.COM</v>
      </c>
      <c r="O2883" s="11">
        <f>IFERROR(__xludf.DUMMYFUNCTION("""COMPUTED_VALUE"""),8908822402)</f>
        <v>8908822402</v>
      </c>
      <c r="P2883" s="11"/>
      <c r="Q2883" s="11"/>
      <c r="R2883" s="11"/>
      <c r="S2883" s="11"/>
      <c r="T2883" s="11"/>
      <c r="U2883" s="11"/>
      <c r="V2883" s="11"/>
      <c r="W2883" s="11"/>
      <c r="X2883" s="11"/>
      <c r="Y2883" s="11"/>
      <c r="Z2883" s="11"/>
    </row>
    <row r="2884" customHeight="1" spans="1:26">
      <c r="A2884" s="11" t="str">
        <f>IFERROR(__xludf.DUMMYFUNCTION("""COMPUTED_VALUE"""),"NARA CARNEIRO LEAO")</f>
        <v>NARA CARNEIRO LEAO</v>
      </c>
      <c r="B2884" s="11"/>
      <c r="C2884" s="11"/>
      <c r="D2884" s="11" t="str">
        <f>IFERROR(__xludf.DUMMYFUNCTION("""COMPUTED_VALUE"""),"GINECOLOGIA E OBSTETRICIA")</f>
        <v>GINECOLOGIA E OBSTETRICIA</v>
      </c>
      <c r="E2884" s="11"/>
      <c r="F2884" s="11" t="str">
        <f>IFERROR(__xludf.DUMMYFUNCTION("""COMPUTED_VALUE"""),"US_153 POLICLINICA E MATERNIDADE ARNALDO MARQUES")</f>
        <v>US_153 POLICLINICA E MATERNIDADE ARNALDO MARQUES</v>
      </c>
      <c r="G2884" s="11" t="str">
        <f>IFERROR(__xludf.DUMMYFUNCTION("""COMPUTED_VALUE"""),"US_153 POLICLINICA E MATERNIDADE ARNALDO MARQUES")</f>
        <v>US_153 POLICLINICA E MATERNIDADE ARNALDO MARQUES</v>
      </c>
      <c r="H2884" s="11"/>
      <c r="I2884" s="11"/>
      <c r="J2884" s="11"/>
      <c r="K2884" s="11"/>
      <c r="L2884" s="11"/>
      <c r="M2884" s="11"/>
      <c r="N2884" s="30" t="str">
        <f>IFERROR(__xludf.DUMMYFUNCTION("""COMPUTED_VALUE"""),"NARINHALEAO@HOTMAIL.COM")</f>
        <v>NARINHALEAO@HOTMAIL.COM</v>
      </c>
      <c r="O2884" s="11">
        <f>IFERROR(__xludf.DUMMYFUNCTION("""COMPUTED_VALUE"""),5936320448)</f>
        <v>5936320448</v>
      </c>
      <c r="P2884" s="11"/>
      <c r="Q2884" s="11"/>
      <c r="R2884" s="11"/>
      <c r="S2884" s="11"/>
      <c r="T2884" s="11"/>
      <c r="U2884" s="11"/>
      <c r="V2884" s="11"/>
      <c r="W2884" s="11"/>
      <c r="X2884" s="11"/>
      <c r="Y2884" s="11"/>
      <c r="Z2884" s="11"/>
    </row>
    <row r="2885" customHeight="1" spans="1:26">
      <c r="A2885" s="11" t="str">
        <f>IFERROR(__xludf.DUMMYFUNCTION("""COMPUTED_VALUE"""),"CAMILA ALBUQUERQUE B CANUTO")</f>
        <v>CAMILA ALBUQUERQUE B CANUTO</v>
      </c>
      <c r="B2885" s="11"/>
      <c r="C2885" s="11"/>
      <c r="D2885" s="11" t="str">
        <f>IFERROR(__xludf.DUMMYFUNCTION("""COMPUTED_VALUE"""),"PEDIATRIA")</f>
        <v>PEDIATRIA</v>
      </c>
      <c r="E2885" s="11"/>
      <c r="F2885" s="11" t="str">
        <f>IFERROR(__xludf.DUMMYFUNCTION("""COMPUTED_VALUE"""),"US_153 POLICLINICA E MATERNIDADE ARNALDO MARQUES")</f>
        <v>US_153 POLICLINICA E MATERNIDADE ARNALDO MARQUES</v>
      </c>
      <c r="G2885" s="11" t="str">
        <f>IFERROR(__xludf.DUMMYFUNCTION("""COMPUTED_VALUE"""),"US_153 POLICLINICA E MATERNIDADE ARNALDO MARQUES")</f>
        <v>US_153 POLICLINICA E MATERNIDADE ARNALDO MARQUES</v>
      </c>
      <c r="H2885" s="11"/>
      <c r="I2885" s="11"/>
      <c r="J2885" s="11"/>
      <c r="K2885" s="11"/>
      <c r="L2885" s="11"/>
      <c r="M2885" s="11"/>
      <c r="N2885" s="30" t="str">
        <f>IFERROR(__xludf.DUMMYFUNCTION("""COMPUTED_VALUE"""),"CAMILA__CANUTO@HOTMAIL.COM")</f>
        <v>CAMILA__CANUTO@HOTMAIL.COM</v>
      </c>
      <c r="O2885" s="11">
        <f>IFERROR(__xludf.DUMMYFUNCTION("""COMPUTED_VALUE"""),8404867402)</f>
        <v>8404867402</v>
      </c>
      <c r="P2885" s="11"/>
      <c r="Q2885" s="11"/>
      <c r="R2885" s="11"/>
      <c r="S2885" s="11"/>
      <c r="T2885" s="11"/>
      <c r="U2885" s="11"/>
      <c r="V2885" s="11"/>
      <c r="W2885" s="11"/>
      <c r="X2885" s="11"/>
      <c r="Y2885" s="11"/>
      <c r="Z2885" s="11"/>
    </row>
    <row r="2886" customHeight="1" spans="1:26">
      <c r="A2886" s="11" t="str">
        <f>IFERROR(__xludf.DUMMYFUNCTION("""COMPUTED_VALUE"""),"THALES BARBOSA DE FARIAS")</f>
        <v>THALES BARBOSA DE FARIAS</v>
      </c>
      <c r="B2886" s="11"/>
      <c r="C2886" s="11"/>
      <c r="D2886" s="11" t="str">
        <f>IFERROR(__xludf.DUMMYFUNCTION("""COMPUTED_VALUE"""),"CLINICA GERAL")</f>
        <v>CLINICA GERAL</v>
      </c>
      <c r="E2886" s="11"/>
      <c r="F2886" s="11" t="str">
        <f>IFERROR(__xludf.DUMMYFUNCTION("""COMPUTED_VALUE"""),"US_167 POLICLINICA E MATERNIDADE PROFESSOR BARROS LIMA")</f>
        <v>US_167 POLICLINICA E MATERNIDADE PROFESSOR BARROS LIMA</v>
      </c>
      <c r="G2886" s="11" t="str">
        <f>IFERROR(__xludf.DUMMYFUNCTION("""COMPUTED_VALUE"""),"US_167 POLICLINICA E MATERNIDADE PROFESSOR BARROS LIMA")</f>
        <v>US_167 POLICLINICA E MATERNIDADE PROFESSOR BARROS LIMA</v>
      </c>
      <c r="H2886" s="11"/>
      <c r="I2886" s="11"/>
      <c r="J2886" s="11"/>
      <c r="K2886" s="11"/>
      <c r="L2886" s="11"/>
      <c r="M2886" s="11"/>
      <c r="N2886" s="30" t="str">
        <f>IFERROR(__xludf.DUMMYFUNCTION("""COMPUTED_VALUE"""),"THALESFARIAS_@HOTMAIL.COM")</f>
        <v>THALESFARIAS_@HOTMAIL.COM</v>
      </c>
      <c r="O2886" s="11">
        <f>IFERROR(__xludf.DUMMYFUNCTION("""COMPUTED_VALUE"""),6250878440)</f>
        <v>6250878440</v>
      </c>
      <c r="P2886" s="11"/>
      <c r="Q2886" s="11"/>
      <c r="R2886" s="11"/>
      <c r="S2886" s="11"/>
      <c r="T2886" s="11"/>
      <c r="U2886" s="11"/>
      <c r="V2886" s="11"/>
      <c r="W2886" s="11"/>
      <c r="X2886" s="11"/>
      <c r="Y2886" s="11"/>
      <c r="Z2886" s="11"/>
    </row>
    <row r="2887" customHeight="1" spans="1:26">
      <c r="A2887" s="11" t="str">
        <f>IFERROR(__xludf.DUMMYFUNCTION("""COMPUTED_VALUE"""),"RAISSA CRISPINO PESSOA GOUVEIA")</f>
        <v>RAISSA CRISPINO PESSOA GOUVEIA</v>
      </c>
      <c r="B2887" s="11"/>
      <c r="C2887" s="11"/>
      <c r="D2887" s="11" t="str">
        <f>IFERROR(__xludf.DUMMYFUNCTION("""COMPUTED_VALUE"""),"NEONATOLOGIA")</f>
        <v>NEONATOLOGIA</v>
      </c>
      <c r="E2887" s="11"/>
      <c r="F2887" s="11" t="str">
        <f>IFERROR(__xludf.DUMMYFUNCTION("""COMPUTED_VALUE"""),"US_167 POLICLINICA E MATERNIDADE PROFESSOR BARROS LIMA")</f>
        <v>US_167 POLICLINICA E MATERNIDADE PROFESSOR BARROS LIMA</v>
      </c>
      <c r="G2887" s="11" t="str">
        <f>IFERROR(__xludf.DUMMYFUNCTION("""COMPUTED_VALUE"""),"US_167 POLICLINICA E MATERNIDADE PROFESSOR BARROS LIMA")</f>
        <v>US_167 POLICLINICA E MATERNIDADE PROFESSOR BARROS LIMA</v>
      </c>
      <c r="H2887" s="11"/>
      <c r="I2887" s="11"/>
      <c r="J2887" s="11"/>
      <c r="K2887" s="11"/>
      <c r="L2887" s="11"/>
      <c r="M2887" s="11"/>
      <c r="N2887" s="30" t="str">
        <f>IFERROR(__xludf.DUMMYFUNCTION("""COMPUTED_VALUE"""),"RAISSACPG@BOL.COM.BR")</f>
        <v>RAISSACPG@BOL.COM.BR</v>
      </c>
      <c r="O2887" s="11">
        <f>IFERROR(__xludf.DUMMYFUNCTION("""COMPUTED_VALUE"""),4530019470)</f>
        <v>4530019470</v>
      </c>
      <c r="P2887" s="11"/>
      <c r="Q2887" s="11"/>
      <c r="R2887" s="11"/>
      <c r="S2887" s="11"/>
      <c r="T2887" s="11"/>
      <c r="U2887" s="11"/>
      <c r="V2887" s="11"/>
      <c r="W2887" s="11"/>
      <c r="X2887" s="11"/>
      <c r="Y2887" s="11"/>
      <c r="Z2887" s="11"/>
    </row>
    <row r="2888" customHeight="1" spans="1:26">
      <c r="A2888" s="11" t="str">
        <f>IFERROR(__xludf.DUMMYFUNCTION("""COMPUTED_VALUE"""),"JANINNE SIQUEIRA M DE OLIVEIRA")</f>
        <v>JANINNE SIQUEIRA M DE OLIVEIRA</v>
      </c>
      <c r="B2888" s="11"/>
      <c r="C2888" s="11"/>
      <c r="D2888" s="11" t="str">
        <f>IFERROR(__xludf.DUMMYFUNCTION("""COMPUTED_VALUE"""),"ANESTESIOLOGIA")</f>
        <v>ANESTESIOLOGIA</v>
      </c>
      <c r="E2888" s="11"/>
      <c r="F2888" s="11" t="str">
        <f>IFERROR(__xludf.DUMMYFUNCTION("""COMPUTED_VALUE"""),"US_153 POLICLINICA E MATERNIDADE ARNALDO MARQUES")</f>
        <v>US_153 POLICLINICA E MATERNIDADE ARNALDO MARQUES</v>
      </c>
      <c r="G2888" s="11" t="str">
        <f>IFERROR(__xludf.DUMMYFUNCTION("""COMPUTED_VALUE"""),"US_153 POLICLINICA E MATERNIDADE ARNALDO MARQUES")</f>
        <v>US_153 POLICLINICA E MATERNIDADE ARNALDO MARQUES</v>
      </c>
      <c r="H2888" s="11"/>
      <c r="I2888" s="11"/>
      <c r="J2888" s="11"/>
      <c r="K2888" s="11"/>
      <c r="L2888" s="11"/>
      <c r="M2888" s="11"/>
      <c r="N2888" s="11"/>
      <c r="O2888" s="11">
        <f>IFERROR(__xludf.DUMMYFUNCTION("""COMPUTED_VALUE"""),4176007478)</f>
        <v>4176007478</v>
      </c>
      <c r="P2888" s="11"/>
      <c r="Q2888" s="11"/>
      <c r="R2888" s="11"/>
      <c r="S2888" s="11"/>
      <c r="T2888" s="11"/>
      <c r="U2888" s="11"/>
      <c r="V2888" s="11"/>
      <c r="W2888" s="11"/>
      <c r="X2888" s="11"/>
      <c r="Y2888" s="11"/>
      <c r="Z2888" s="11"/>
    </row>
    <row r="2889" customHeight="1" spans="1:26">
      <c r="A2889" s="11" t="str">
        <f>IFERROR(__xludf.DUMMYFUNCTION("""COMPUTED_VALUE"""),"JUSSANA ELLEN A DE A RANGEL")</f>
        <v>JUSSANA ELLEN A DE A RANGEL</v>
      </c>
      <c r="B2889" s="11"/>
      <c r="C2889" s="11"/>
      <c r="D2889" s="11" t="str">
        <f>IFERROR(__xludf.DUMMYFUNCTION("""COMPUTED_VALUE"""),"CLINICA GERAL")</f>
        <v>CLINICA GERAL</v>
      </c>
      <c r="E2889" s="11"/>
      <c r="F2889" s="11" t="str">
        <f>IFERROR(__xludf.DUMMYFUNCTION("""COMPUTED_VALUE"""),"US_167 POLICLINICA E MATERNIDADE PROFESSOR BARROS LIMA")</f>
        <v>US_167 POLICLINICA E MATERNIDADE PROFESSOR BARROS LIMA</v>
      </c>
      <c r="G2889" s="11" t="str">
        <f>IFERROR(__xludf.DUMMYFUNCTION("""COMPUTED_VALUE"""),"US_167 POLICLINICA E MATERNIDADE PROFESSOR BARROS LIMA")</f>
        <v>US_167 POLICLINICA E MATERNIDADE PROFESSOR BARROS LIMA</v>
      </c>
      <c r="H2889" s="11"/>
      <c r="I2889" s="11"/>
      <c r="J2889" s="11"/>
      <c r="K2889" s="11"/>
      <c r="L2889" s="11"/>
      <c r="M2889" s="11"/>
      <c r="N2889" s="11"/>
      <c r="O2889" s="11">
        <f>IFERROR(__xludf.DUMMYFUNCTION("""COMPUTED_VALUE"""),7189960465)</f>
        <v>7189960465</v>
      </c>
      <c r="P2889" s="11"/>
      <c r="Q2889" s="11"/>
      <c r="R2889" s="11"/>
      <c r="S2889" s="11"/>
      <c r="T2889" s="11"/>
      <c r="U2889" s="11"/>
      <c r="V2889" s="11"/>
      <c r="W2889" s="11"/>
      <c r="X2889" s="11"/>
      <c r="Y2889" s="11"/>
      <c r="Z2889" s="11"/>
    </row>
    <row r="2890" customHeight="1" spans="1:26">
      <c r="A2890" s="11" t="str">
        <f>IFERROR(__xludf.DUMMYFUNCTION("""COMPUTED_VALUE"""),"MARIA HOSANA CHAVES R NETA")</f>
        <v>MARIA HOSANA CHAVES R NETA</v>
      </c>
      <c r="B2890" s="11"/>
      <c r="C2890" s="11"/>
      <c r="D2890" s="11" t="str">
        <f>IFERROR(__xludf.DUMMYFUNCTION("""COMPUTED_VALUE"""),"CLINICA GERAL")</f>
        <v>CLINICA GERAL</v>
      </c>
      <c r="E2890" s="11"/>
      <c r="F2890" s="11" t="str">
        <f>IFERROR(__xludf.DUMMYFUNCTION("""COMPUTED_VALUE"""),"US_167 POLICLINICA E MATERNIDADE PROFESSOR BARROS LIMA")</f>
        <v>US_167 POLICLINICA E MATERNIDADE PROFESSOR BARROS LIMA</v>
      </c>
      <c r="G2890" s="11" t="str">
        <f>IFERROR(__xludf.DUMMYFUNCTION("""COMPUTED_VALUE"""),"US_167 POLICLINICA E MATERNIDADE PROFESSOR BARROS LIMA")</f>
        <v>US_167 POLICLINICA E MATERNIDADE PROFESSOR BARROS LIMA</v>
      </c>
      <c r="H2890" s="11"/>
      <c r="I2890" s="11"/>
      <c r="J2890" s="11"/>
      <c r="K2890" s="11"/>
      <c r="L2890" s="11"/>
      <c r="M2890" s="11"/>
      <c r="N2890" s="11"/>
      <c r="O2890" s="11">
        <f>IFERROR(__xludf.DUMMYFUNCTION("""COMPUTED_VALUE"""),6078115448)</f>
        <v>6078115448</v>
      </c>
      <c r="P2890" s="11"/>
      <c r="Q2890" s="11"/>
      <c r="R2890" s="11"/>
      <c r="S2890" s="11"/>
      <c r="T2890" s="11"/>
      <c r="U2890" s="11"/>
      <c r="V2890" s="11"/>
      <c r="W2890" s="11"/>
      <c r="X2890" s="11"/>
      <c r="Y2890" s="11"/>
      <c r="Z2890" s="11"/>
    </row>
    <row r="2891" customHeight="1" spans="1:26">
      <c r="A2891" s="11" t="str">
        <f>IFERROR(__xludf.DUMMYFUNCTION("""COMPUTED_VALUE"""),"LAMARCK SILVEIRA GOMES")</f>
        <v>LAMARCK SILVEIRA GOMES</v>
      </c>
      <c r="B2891" s="11"/>
      <c r="C2891" s="11"/>
      <c r="D2891" s="11" t="str">
        <f>IFERROR(__xludf.DUMMYFUNCTION("""COMPUTED_VALUE"""),"ANESTESIOLOGIA")</f>
        <v>ANESTESIOLOGIA</v>
      </c>
      <c r="E2891" s="11"/>
      <c r="F2891" s="11" t="str">
        <f>IFERROR(__xludf.DUMMYFUNCTION("""COMPUTED_VALUE"""),"US_167 POLICLINICA E MATERNIDADE PROFESSOR BARROS LIMA")</f>
        <v>US_167 POLICLINICA E MATERNIDADE PROFESSOR BARROS LIMA</v>
      </c>
      <c r="G2891" s="11" t="str">
        <f>IFERROR(__xludf.DUMMYFUNCTION("""COMPUTED_VALUE"""),"US_167 POLICLINICA E MATERNIDADE PROFESSOR BARROS LIMA")</f>
        <v>US_167 POLICLINICA E MATERNIDADE PROFESSOR BARROS LIMA</v>
      </c>
      <c r="H2891" s="11"/>
      <c r="I2891" s="11"/>
      <c r="J2891" s="11"/>
      <c r="K2891" s="11"/>
      <c r="L2891" s="11"/>
      <c r="M2891" s="11"/>
      <c r="N2891" s="11"/>
      <c r="O2891" s="11">
        <f>IFERROR(__xludf.DUMMYFUNCTION("""COMPUTED_VALUE"""),3214705407)</f>
        <v>3214705407</v>
      </c>
      <c r="P2891" s="11"/>
      <c r="Q2891" s="11"/>
      <c r="R2891" s="11"/>
      <c r="S2891" s="11"/>
      <c r="T2891" s="11"/>
      <c r="U2891" s="11"/>
      <c r="V2891" s="11"/>
      <c r="W2891" s="11"/>
      <c r="X2891" s="11"/>
      <c r="Y2891" s="11"/>
      <c r="Z2891" s="11"/>
    </row>
    <row r="2892" customHeight="1" spans="1:26">
      <c r="A2892" s="11" t="str">
        <f>IFERROR(__xludf.DUMMYFUNCTION("""COMPUTED_VALUE"""),"LETICIA DE OLIVEIRA C LANNES")</f>
        <v>LETICIA DE OLIVEIRA C LANNES</v>
      </c>
      <c r="B2892" s="11"/>
      <c r="C2892" s="11"/>
      <c r="D2892" s="11" t="str">
        <f>IFERROR(__xludf.DUMMYFUNCTION("""COMPUTED_VALUE"""),"ANESTESIOLOGIA")</f>
        <v>ANESTESIOLOGIA</v>
      </c>
      <c r="E2892" s="11"/>
      <c r="F2892" s="11" t="str">
        <f>IFERROR(__xludf.DUMMYFUNCTION("""COMPUTED_VALUE"""),"US_167 POLICLINICA E MATERNIDADE PROFESSOR BARROS LIMA")</f>
        <v>US_167 POLICLINICA E MATERNIDADE PROFESSOR BARROS LIMA</v>
      </c>
      <c r="G2892" s="11" t="str">
        <f>IFERROR(__xludf.DUMMYFUNCTION("""COMPUTED_VALUE"""),"US_167 POLICLINICA E MATERNIDADE PROFESSOR BARROS LIMA")</f>
        <v>US_167 POLICLINICA E MATERNIDADE PROFESSOR BARROS LIMA</v>
      </c>
      <c r="H2892" s="11"/>
      <c r="I2892" s="11"/>
      <c r="J2892" s="11"/>
      <c r="K2892" s="11"/>
      <c r="L2892" s="11"/>
      <c r="M2892" s="11"/>
      <c r="N2892" s="11"/>
      <c r="O2892" s="11">
        <f>IFERROR(__xludf.DUMMYFUNCTION("""COMPUTED_VALUE"""),5359912405)</f>
        <v>5359912405</v>
      </c>
      <c r="P2892" s="11"/>
      <c r="Q2892" s="11"/>
      <c r="R2892" s="11"/>
      <c r="S2892" s="11"/>
      <c r="T2892" s="11"/>
      <c r="U2892" s="11"/>
      <c r="V2892" s="11"/>
      <c r="W2892" s="11"/>
      <c r="X2892" s="11"/>
      <c r="Y2892" s="11"/>
      <c r="Z2892" s="11"/>
    </row>
    <row r="2893" customHeight="1" spans="1:26">
      <c r="A2893" s="11" t="str">
        <f>IFERROR(__xludf.DUMMYFUNCTION("""COMPUTED_VALUE"""),"RENATHA F DE LIMA MONTENEGRO")</f>
        <v>RENATHA F DE LIMA MONTENEGRO</v>
      </c>
      <c r="B2893" s="11"/>
      <c r="C2893" s="11"/>
      <c r="D2893" s="11" t="str">
        <f>IFERROR(__xludf.DUMMYFUNCTION("""COMPUTED_VALUE"""),"PEDIATRIA")</f>
        <v>PEDIATRIA</v>
      </c>
      <c r="E2893" s="11"/>
      <c r="F2893" s="11" t="str">
        <f>IFERROR(__xludf.DUMMYFUNCTION("""COMPUTED_VALUE"""),"US_153 POLICLINICA E MATERNIDADE ARNALDO MARQUES")</f>
        <v>US_153 POLICLINICA E MATERNIDADE ARNALDO MARQUES</v>
      </c>
      <c r="G2893" s="11" t="str">
        <f>IFERROR(__xludf.DUMMYFUNCTION("""COMPUTED_VALUE"""),"US_153 POLICLINICA E MATERNIDADE ARNALDO MARQUES")</f>
        <v>US_153 POLICLINICA E MATERNIDADE ARNALDO MARQUES</v>
      </c>
      <c r="H2893" s="11"/>
      <c r="I2893" s="11"/>
      <c r="J2893" s="11"/>
      <c r="K2893" s="11"/>
      <c r="L2893" s="11"/>
      <c r="M2893" s="11"/>
      <c r="N2893" s="30" t="str">
        <f>IFERROR(__xludf.DUMMYFUNCTION("""COMPUTED_VALUE"""),"renathaflm@gmail.com")</f>
        <v>renathaflm@gmail.com</v>
      </c>
      <c r="O2893" s="11">
        <f>IFERROR(__xludf.DUMMYFUNCTION("""COMPUTED_VALUE"""),4968011474)</f>
        <v>4968011474</v>
      </c>
      <c r="P2893" s="11"/>
      <c r="Q2893" s="11"/>
      <c r="R2893" s="11"/>
      <c r="S2893" s="11"/>
      <c r="T2893" s="11"/>
      <c r="U2893" s="11"/>
      <c r="V2893" s="11"/>
      <c r="W2893" s="11"/>
      <c r="X2893" s="11"/>
      <c r="Y2893" s="11"/>
      <c r="Z2893" s="11"/>
    </row>
    <row r="2894" customHeight="1" spans="1:26">
      <c r="A2894" s="11" t="str">
        <f>IFERROR(__xludf.DUMMYFUNCTION("""COMPUTED_VALUE"""),"ELIZABETH DE SOUZA GONCALVES")</f>
        <v>ELIZABETH DE SOUZA GONCALVES</v>
      </c>
      <c r="B2894" s="11"/>
      <c r="C2894" s="11"/>
      <c r="D2894" s="11" t="str">
        <f>IFERROR(__xludf.DUMMYFUNCTION("""COMPUTED_VALUE"""),"NEONATOLOGIA")</f>
        <v>NEONATOLOGIA</v>
      </c>
      <c r="E2894" s="11"/>
      <c r="F2894" s="11" t="str">
        <f>IFERROR(__xludf.DUMMYFUNCTION("""COMPUTED_VALUE"""),"US_153 POLICLINICA E MATERNIDADE ARNALDO MARQUES")</f>
        <v>US_153 POLICLINICA E MATERNIDADE ARNALDO MARQUES</v>
      </c>
      <c r="G2894" s="11" t="str">
        <f>IFERROR(__xludf.DUMMYFUNCTION("""COMPUTED_VALUE"""),"US_153 POLICLINICA E MATERNIDADE ARNALDO MARQUES")</f>
        <v>US_153 POLICLINICA E MATERNIDADE ARNALDO MARQUES</v>
      </c>
      <c r="H2894" s="11"/>
      <c r="I2894" s="11"/>
      <c r="J2894" s="11"/>
      <c r="K2894" s="11"/>
      <c r="L2894" s="11"/>
      <c r="M2894" s="11"/>
      <c r="N2894" s="30" t="str">
        <f>IFERROR(__xludf.DUMMYFUNCTION("""COMPUTED_VALUE"""),"elizabethgoncalves1@hotmail.com")</f>
        <v>elizabethgoncalves1@hotmail.com</v>
      </c>
      <c r="O2894" s="11">
        <f>IFERROR(__xludf.DUMMYFUNCTION("""COMPUTED_VALUE"""),8154751445)</f>
        <v>8154751445</v>
      </c>
      <c r="P2894" s="11"/>
      <c r="Q2894" s="11"/>
      <c r="R2894" s="11"/>
      <c r="S2894" s="11"/>
      <c r="T2894" s="11"/>
      <c r="U2894" s="11"/>
      <c r="V2894" s="11"/>
      <c r="W2894" s="11"/>
      <c r="X2894" s="11"/>
      <c r="Y2894" s="11"/>
      <c r="Z2894" s="11"/>
    </row>
    <row r="2895" customHeight="1" spans="1:26">
      <c r="A2895" s="11" t="str">
        <f>IFERROR(__xludf.DUMMYFUNCTION("""COMPUTED_VALUE"""),"KARLA RENATA PADRAO PIMENTEL")</f>
        <v>KARLA RENATA PADRAO PIMENTEL</v>
      </c>
      <c r="B2895" s="11"/>
      <c r="C2895" s="11"/>
      <c r="D2895" s="11" t="str">
        <f>IFERROR(__xludf.DUMMYFUNCTION("""COMPUTED_VALUE"""),"NEONATOLOGIA")</f>
        <v>NEONATOLOGIA</v>
      </c>
      <c r="E2895" s="11"/>
      <c r="F2895" s="11" t="str">
        <f>IFERROR(__xludf.DUMMYFUNCTION("""COMPUTED_VALUE"""),"US_167 POLICLINICA E MATERNIDADE PROFESSOR BARROS LIMA")</f>
        <v>US_167 POLICLINICA E MATERNIDADE PROFESSOR BARROS LIMA</v>
      </c>
      <c r="G2895" s="11" t="str">
        <f>IFERROR(__xludf.DUMMYFUNCTION("""COMPUTED_VALUE"""),"US_167 POLICLINICA E MATERNIDADE PROFESSOR BARROS LIMA")</f>
        <v>US_167 POLICLINICA E MATERNIDADE PROFESSOR BARROS LIMA</v>
      </c>
      <c r="H2895" s="11"/>
      <c r="I2895" s="11"/>
      <c r="J2895" s="11"/>
      <c r="K2895" s="11"/>
      <c r="L2895" s="11"/>
      <c r="M2895" s="11"/>
      <c r="N2895" s="30" t="str">
        <f>IFERROR(__xludf.DUMMYFUNCTION("""COMPUTED_VALUE"""),"karla_padrao@hotmail.com")</f>
        <v>karla_padrao@hotmail.com</v>
      </c>
      <c r="O2895" s="11">
        <f>IFERROR(__xludf.DUMMYFUNCTION("""COMPUTED_VALUE"""),4145270460)</f>
        <v>4145270460</v>
      </c>
      <c r="P2895" s="11"/>
      <c r="Q2895" s="11"/>
      <c r="R2895" s="11"/>
      <c r="S2895" s="11"/>
      <c r="T2895" s="11"/>
      <c r="U2895" s="11"/>
      <c r="V2895" s="11"/>
      <c r="W2895" s="11"/>
      <c r="X2895" s="11"/>
      <c r="Y2895" s="11"/>
      <c r="Z2895" s="11"/>
    </row>
    <row r="2896" customHeight="1" spans="1:26">
      <c r="A2896" s="11" t="str">
        <f>IFERROR(__xludf.DUMMYFUNCTION("""COMPUTED_VALUE"""),"JOSE MARIO CARVALHO GOMES")</f>
        <v>JOSE MARIO CARVALHO GOMES</v>
      </c>
      <c r="B2896" s="11"/>
      <c r="C2896" s="11"/>
      <c r="D2896" s="11" t="str">
        <f>IFERROR(__xludf.DUMMYFUNCTION("""COMPUTED_VALUE"""),"NEONATOLOGIA")</f>
        <v>NEONATOLOGIA</v>
      </c>
      <c r="E2896" s="11"/>
      <c r="F2896" s="11" t="str">
        <f>IFERROR(__xludf.DUMMYFUNCTION("""COMPUTED_VALUE"""),"US_165 MATERNIDADE BANDEIRA FILHO")</f>
        <v>US_165 MATERNIDADE BANDEIRA FILHO</v>
      </c>
      <c r="G2896" s="11" t="str">
        <f>IFERROR(__xludf.DUMMYFUNCTION("""COMPUTED_VALUE"""),"US_165 MATERNIDADE BANDEIRA FILHO")</f>
        <v>US_165 MATERNIDADE BANDEIRA FILHO</v>
      </c>
      <c r="H2896" s="11"/>
      <c r="I2896" s="11"/>
      <c r="J2896" s="11"/>
      <c r="K2896" s="11"/>
      <c r="L2896" s="11"/>
      <c r="M2896" s="11"/>
      <c r="N2896" s="30" t="str">
        <f>IFERROR(__xludf.DUMMYFUNCTION("""COMPUTED_VALUE"""),"jmariocarvalhogomes@gmail.com")</f>
        <v>jmariocarvalhogomes@gmail.com</v>
      </c>
      <c r="O2896" s="11">
        <f>IFERROR(__xludf.DUMMYFUNCTION("""COMPUTED_VALUE"""),6755395447)</f>
        <v>6755395447</v>
      </c>
      <c r="P2896" s="11"/>
      <c r="Q2896" s="11"/>
      <c r="R2896" s="11"/>
      <c r="S2896" s="11"/>
      <c r="T2896" s="11"/>
      <c r="U2896" s="11"/>
      <c r="V2896" s="11"/>
      <c r="W2896" s="11"/>
      <c r="X2896" s="11"/>
      <c r="Y2896" s="11"/>
      <c r="Z2896" s="11"/>
    </row>
    <row r="2897" customHeight="1" spans="1:26">
      <c r="A2897" s="11" t="str">
        <f>IFERROR(__xludf.DUMMYFUNCTION("""COMPUTED_VALUE"""),"WANDELSON MACARIO RANGEL")</f>
        <v>WANDELSON MACARIO RANGEL</v>
      </c>
      <c r="B2897" s="11"/>
      <c r="C2897" s="11"/>
      <c r="D2897" s="11" t="str">
        <f>IFERROR(__xludf.DUMMYFUNCTION("""COMPUTED_VALUE"""),"GINECOLOGIA E OBSTETRICIA")</f>
        <v>GINECOLOGIA E OBSTETRICIA</v>
      </c>
      <c r="E2897" s="11"/>
      <c r="F2897" s="11" t="str">
        <f>IFERROR(__xludf.DUMMYFUNCTION("""COMPUTED_VALUE"""),"US_153 POLICLINICA E MATERNIDADE ARNALDO MARQUES")</f>
        <v>US_153 POLICLINICA E MATERNIDADE ARNALDO MARQUES</v>
      </c>
      <c r="G2897" s="11" t="str">
        <f>IFERROR(__xludf.DUMMYFUNCTION("""COMPUTED_VALUE"""),"US_153 POLICLINICA E MATERNIDADE ARNALDO MARQUES")</f>
        <v>US_153 POLICLINICA E MATERNIDADE ARNALDO MARQUES</v>
      </c>
      <c r="H2897" s="11"/>
      <c r="I2897" s="11"/>
      <c r="J2897" s="11"/>
      <c r="K2897" s="11"/>
      <c r="L2897" s="11"/>
      <c r="M2897" s="11"/>
      <c r="N2897" s="30" t="str">
        <f>IFERROR(__xludf.DUMMYFUNCTION("""COMPUTED_VALUE"""),"wanDElson.rangel@gmail.com")</f>
        <v>wanDElson.rangel@gmail.com</v>
      </c>
      <c r="O2897" s="11">
        <f>IFERROR(__xludf.DUMMYFUNCTION("""COMPUTED_VALUE"""),3762562490)</f>
        <v>3762562490</v>
      </c>
      <c r="P2897" s="11"/>
      <c r="Q2897" s="11"/>
      <c r="R2897" s="11"/>
      <c r="S2897" s="11"/>
      <c r="T2897" s="11"/>
      <c r="U2897" s="11"/>
      <c r="V2897" s="11"/>
      <c r="W2897" s="11"/>
      <c r="X2897" s="11"/>
      <c r="Y2897" s="11"/>
      <c r="Z2897" s="11"/>
    </row>
    <row r="2898" customHeight="1" spans="1:26">
      <c r="A2898" s="11" t="str">
        <f>IFERROR(__xludf.DUMMYFUNCTION("""COMPUTED_VALUE"""),"MARCELA DA COSTA C CAMPOS")</f>
        <v>MARCELA DA COSTA C CAMPOS</v>
      </c>
      <c r="B2898" s="11"/>
      <c r="C2898" s="11"/>
      <c r="D2898" s="11" t="str">
        <f>IFERROR(__xludf.DUMMYFUNCTION("""COMPUTED_VALUE"""),"GINECOLOGIA E OBSTETRICIA")</f>
        <v>GINECOLOGIA E OBSTETRICIA</v>
      </c>
      <c r="E2898" s="11"/>
      <c r="F2898" s="11" t="str">
        <f>IFERROR(__xludf.DUMMYFUNCTION("""COMPUTED_VALUE"""),"US_167 POLICLINICA E MATERNIDADE PROFESSOR BARROS LIMA")</f>
        <v>US_167 POLICLINICA E MATERNIDADE PROFESSOR BARROS LIMA</v>
      </c>
      <c r="G2898" s="11" t="str">
        <f>IFERROR(__xludf.DUMMYFUNCTION("""COMPUTED_VALUE"""),"US_167 POLICLINICA E MATERNIDADE PROFESSOR BARROS LIMA")</f>
        <v>US_167 POLICLINICA E MATERNIDADE PROFESSOR BARROS LIMA</v>
      </c>
      <c r="H2898" s="11"/>
      <c r="I2898" s="11"/>
      <c r="J2898" s="11"/>
      <c r="K2898" s="11"/>
      <c r="L2898" s="11"/>
      <c r="M2898" s="11"/>
      <c r="N2898" s="30" t="str">
        <f>IFERROR(__xludf.DUMMYFUNCTION("""COMPUTED_VALUE"""),"marcelacostamed@hotmail.com")</f>
        <v>marcelacostamed@hotmail.com</v>
      </c>
      <c r="O2898" s="11">
        <f>IFERROR(__xludf.DUMMYFUNCTION("""COMPUTED_VALUE"""),7733989450)</f>
        <v>7733989450</v>
      </c>
      <c r="P2898" s="11"/>
      <c r="Q2898" s="11"/>
      <c r="R2898" s="11"/>
      <c r="S2898" s="11"/>
      <c r="T2898" s="11"/>
      <c r="U2898" s="11"/>
      <c r="V2898" s="11"/>
      <c r="W2898" s="11"/>
      <c r="X2898" s="11"/>
      <c r="Y2898" s="11"/>
      <c r="Z2898" s="11"/>
    </row>
    <row r="2899" customHeight="1" spans="1:26">
      <c r="A2899" s="11" t="str">
        <f>IFERROR(__xludf.DUMMYFUNCTION("""COMPUTED_VALUE"""),"MARIA PAULA COSTA B E FARIAS")</f>
        <v>MARIA PAULA COSTA B E FARIAS</v>
      </c>
      <c r="B2899" s="11"/>
      <c r="C2899" s="11"/>
      <c r="D2899" s="11" t="str">
        <f>IFERROR(__xludf.DUMMYFUNCTION("""COMPUTED_VALUE"""),"NEONATOLOGIA")</f>
        <v>NEONATOLOGIA</v>
      </c>
      <c r="E2899" s="11"/>
      <c r="F2899" s="11" t="str">
        <f>IFERROR(__xludf.DUMMYFUNCTION("""COMPUTED_VALUE"""),"US_167 POLICLINICA E MATERNIDADE PROFESSOR BARROS LIMA")</f>
        <v>US_167 POLICLINICA E MATERNIDADE PROFESSOR BARROS LIMA</v>
      </c>
      <c r="G2899" s="11" t="str">
        <f>IFERROR(__xludf.DUMMYFUNCTION("""COMPUTED_VALUE"""),"US_167 POLICLINICA E MATERNIDADE PROFESSOR BARROS LIMA")</f>
        <v>US_167 POLICLINICA E MATERNIDADE PROFESSOR BARROS LIMA</v>
      </c>
      <c r="H2899" s="11"/>
      <c r="I2899" s="11"/>
      <c r="J2899" s="11"/>
      <c r="K2899" s="11"/>
      <c r="L2899" s="11"/>
      <c r="M2899" s="11"/>
      <c r="N2899" s="30" t="str">
        <f>IFERROR(__xludf.DUMMYFUNCTION("""COMPUTED_VALUE"""),"mariapaulabanDEira@gmail.com")</f>
        <v>mariapaulabanDEira@gmail.com</v>
      </c>
      <c r="O2899" s="11">
        <f>IFERROR(__xludf.DUMMYFUNCTION("""COMPUTED_VALUE"""),5596485454)</f>
        <v>5596485454</v>
      </c>
      <c r="P2899" s="11"/>
      <c r="Q2899" s="11"/>
      <c r="R2899" s="11"/>
      <c r="S2899" s="11"/>
      <c r="T2899" s="11"/>
      <c r="U2899" s="11"/>
      <c r="V2899" s="11"/>
      <c r="W2899" s="11"/>
      <c r="X2899" s="11"/>
      <c r="Y2899" s="11"/>
      <c r="Z2899" s="11"/>
    </row>
    <row r="2900" customHeight="1" spans="1:26">
      <c r="A2900" s="11" t="str">
        <f>IFERROR(__xludf.DUMMYFUNCTION("""COMPUTED_VALUE"""),"JOSEANA VIRGINIA F DE A HOPPER")</f>
        <v>JOSEANA VIRGINIA F DE A HOPPER</v>
      </c>
      <c r="B2900" s="11"/>
      <c r="C2900" s="11"/>
      <c r="D2900" s="11" t="str">
        <f>IFERROR(__xludf.DUMMYFUNCTION("""COMPUTED_VALUE"""),"NEONATOLOGIA")</f>
        <v>NEONATOLOGIA</v>
      </c>
      <c r="E2900" s="11"/>
      <c r="F2900" s="11" t="str">
        <f>IFERROR(__xludf.DUMMYFUNCTION("""COMPUTED_VALUE"""),"US_165 MATERNIDADE BANDEIRA FILHO")</f>
        <v>US_165 MATERNIDADE BANDEIRA FILHO</v>
      </c>
      <c r="G2900" s="11" t="str">
        <f>IFERROR(__xludf.DUMMYFUNCTION("""COMPUTED_VALUE"""),"US_165 MATERNIDADE BANDEIRA FILHO")</f>
        <v>US_165 MATERNIDADE BANDEIRA FILHO</v>
      </c>
      <c r="H2900" s="11"/>
      <c r="I2900" s="11"/>
      <c r="J2900" s="11"/>
      <c r="K2900" s="11"/>
      <c r="L2900" s="11"/>
      <c r="M2900" s="11"/>
      <c r="N2900" s="30" t="str">
        <f>IFERROR(__xludf.DUMMYFUNCTION("""COMPUTED_VALUE"""),"joseanaandraDE@yahoo.com.br")</f>
        <v>joseanaandraDE@yahoo.com.br</v>
      </c>
      <c r="O2900" s="11">
        <f>IFERROR(__xludf.DUMMYFUNCTION("""COMPUTED_VALUE"""),2401877410)</f>
        <v>2401877410</v>
      </c>
      <c r="P2900" s="11"/>
      <c r="Q2900" s="11"/>
      <c r="R2900" s="11"/>
      <c r="S2900" s="11"/>
      <c r="T2900" s="11"/>
      <c r="U2900" s="11"/>
      <c r="V2900" s="11"/>
      <c r="W2900" s="11"/>
      <c r="X2900" s="11"/>
      <c r="Y2900" s="11"/>
      <c r="Z2900" s="11"/>
    </row>
    <row r="2901" customHeight="1" spans="1:26">
      <c r="A2901" s="11" t="str">
        <f>IFERROR(__xludf.DUMMYFUNCTION("""COMPUTED_VALUE"""),"CARLOS SIMOES ROSENDO S PIRES")</f>
        <v>CARLOS SIMOES ROSENDO S PIRES</v>
      </c>
      <c r="B2901" s="11"/>
      <c r="C2901" s="11"/>
      <c r="D2901" s="11" t="str">
        <f>IFERROR(__xludf.DUMMYFUNCTION("""COMPUTED_VALUE"""),"PEDIATRIA")</f>
        <v>PEDIATRIA</v>
      </c>
      <c r="E2901" s="11"/>
      <c r="F2901" s="11" t="str">
        <f>IFERROR(__xludf.DUMMYFUNCTION("""COMPUTED_VALUE"""),"US_153 POLICLINICA E MATERNIDADE ARNALDO MARQUES")</f>
        <v>US_153 POLICLINICA E MATERNIDADE ARNALDO MARQUES</v>
      </c>
      <c r="G2901" s="11" t="str">
        <f>IFERROR(__xludf.DUMMYFUNCTION("""COMPUTED_VALUE"""),"US_153 POLICLINICA E MATERNIDADE ARNALDO MARQUES")</f>
        <v>US_153 POLICLINICA E MATERNIDADE ARNALDO MARQUES</v>
      </c>
      <c r="H2901" s="11"/>
      <c r="I2901" s="11"/>
      <c r="J2901" s="11"/>
      <c r="K2901" s="11"/>
      <c r="L2901" s="11"/>
      <c r="M2901" s="11"/>
      <c r="N2901" s="30" t="str">
        <f>IFERROR(__xludf.DUMMYFUNCTION("""COMPUTED_VALUE"""),"carlos.simoes.rs@gmail.com")</f>
        <v>carlos.simoes.rs@gmail.com</v>
      </c>
      <c r="O2901" s="11">
        <f>IFERROR(__xludf.DUMMYFUNCTION("""COMPUTED_VALUE"""),3324986460)</f>
        <v>3324986460</v>
      </c>
      <c r="P2901" s="11"/>
      <c r="Q2901" s="11"/>
      <c r="R2901" s="11"/>
      <c r="S2901" s="11"/>
      <c r="T2901" s="11"/>
      <c r="U2901" s="11"/>
      <c r="V2901" s="11"/>
      <c r="W2901" s="11"/>
      <c r="X2901" s="11"/>
      <c r="Y2901" s="11"/>
      <c r="Z2901" s="11"/>
    </row>
    <row r="2902" customHeight="1" spans="1:26">
      <c r="A2902" s="11" t="str">
        <f>IFERROR(__xludf.DUMMYFUNCTION("""COMPUTED_VALUE"""),"MARYCELLIA NOVAIS D BEZERRA")</f>
        <v>MARYCELLIA NOVAIS D BEZERRA</v>
      </c>
      <c r="B2902" s="11"/>
      <c r="C2902" s="11"/>
      <c r="D2902" s="11" t="str">
        <f>IFERROR(__xludf.DUMMYFUNCTION("""COMPUTED_VALUE"""),"GINECOLOGIA E OBSTETRICIA")</f>
        <v>GINECOLOGIA E OBSTETRICIA</v>
      </c>
      <c r="E2902" s="11"/>
      <c r="F2902" s="11" t="str">
        <f>IFERROR(__xludf.DUMMYFUNCTION("""COMPUTED_VALUE"""),"US_167 POLICLINICA E MATERNIDADE PROFESSOR BARROS LIMA")</f>
        <v>US_167 POLICLINICA E MATERNIDADE PROFESSOR BARROS LIMA</v>
      </c>
      <c r="G2902" s="11" t="str">
        <f>IFERROR(__xludf.DUMMYFUNCTION("""COMPUTED_VALUE"""),"US_167 POLICLINICA E MATERNIDADE PROFESSOR BARROS LIMA")</f>
        <v>US_167 POLICLINICA E MATERNIDADE PROFESSOR BARROS LIMA</v>
      </c>
      <c r="H2902" s="11"/>
      <c r="I2902" s="11"/>
      <c r="J2902" s="11"/>
      <c r="K2902" s="11"/>
      <c r="L2902" s="11"/>
      <c r="M2902" s="11"/>
      <c r="N2902" s="30" t="str">
        <f>IFERROR(__xludf.DUMMYFUNCTION("""COMPUTED_VALUE"""),"marycellia@hotmail.com")</f>
        <v>marycellia@hotmail.com</v>
      </c>
      <c r="O2902" s="11">
        <f>IFERROR(__xludf.DUMMYFUNCTION("""COMPUTED_VALUE"""),952410435)</f>
        <v>952410435</v>
      </c>
      <c r="P2902" s="11"/>
      <c r="Q2902" s="11"/>
      <c r="R2902" s="11"/>
      <c r="S2902" s="11"/>
      <c r="T2902" s="11"/>
      <c r="U2902" s="11"/>
      <c r="V2902" s="11"/>
      <c r="W2902" s="11"/>
      <c r="X2902" s="11"/>
      <c r="Y2902" s="11"/>
      <c r="Z2902" s="11"/>
    </row>
    <row r="2903" customHeight="1" spans="1:26">
      <c r="A2903" s="11" t="str">
        <f>IFERROR(__xludf.DUMMYFUNCTION("""COMPUTED_VALUE"""),"FRANCISCO FERNANDES MOUSINHO")</f>
        <v>FRANCISCO FERNANDES MOUSINHO</v>
      </c>
      <c r="B2903" s="11"/>
      <c r="C2903" s="11"/>
      <c r="D2903" s="11" t="str">
        <f>IFERROR(__xludf.DUMMYFUNCTION("""COMPUTED_VALUE"""),"CLINICA GERAL")</f>
        <v>CLINICA GERAL</v>
      </c>
      <c r="E2903" s="11"/>
      <c r="F2903" s="11" t="str">
        <f>IFERROR(__xludf.DUMMYFUNCTION("""COMPUTED_VALUE"""),"US_167 POLICLINICA E MATERNIDADE PROFESSOR BARROS LIMA")</f>
        <v>US_167 POLICLINICA E MATERNIDADE PROFESSOR BARROS LIMA</v>
      </c>
      <c r="G2903" s="11" t="str">
        <f>IFERROR(__xludf.DUMMYFUNCTION("""COMPUTED_VALUE"""),"US_167 POLICLINICA E MATERNIDADE PROFESSOR BARROS LIMA")</f>
        <v>US_167 POLICLINICA E MATERNIDADE PROFESSOR BARROS LIMA</v>
      </c>
      <c r="H2903" s="11"/>
      <c r="I2903" s="11"/>
      <c r="J2903" s="11"/>
      <c r="K2903" s="11"/>
      <c r="L2903" s="11"/>
      <c r="M2903" s="11"/>
      <c r="N2903" s="30" t="str">
        <f>IFERROR(__xludf.DUMMYFUNCTION("""COMPUTED_VALUE"""),"franciscofmousinho@gmail.com")</f>
        <v>franciscofmousinho@gmail.com</v>
      </c>
      <c r="O2903" s="11">
        <f>IFERROR(__xludf.DUMMYFUNCTION("""COMPUTED_VALUE"""),3388951403)</f>
        <v>3388951403</v>
      </c>
      <c r="P2903" s="11"/>
      <c r="Q2903" s="11"/>
      <c r="R2903" s="11"/>
      <c r="S2903" s="11"/>
      <c r="T2903" s="11"/>
      <c r="U2903" s="11"/>
      <c r="V2903" s="11"/>
      <c r="W2903" s="11"/>
      <c r="X2903" s="11"/>
      <c r="Y2903" s="11"/>
      <c r="Z2903" s="11"/>
    </row>
    <row r="2904" customHeight="1" spans="1:26">
      <c r="A2904" s="11" t="str">
        <f>IFERROR(__xludf.DUMMYFUNCTION("""COMPUTED_VALUE"""),"PABLO LUDWIG CAVALCANTI")</f>
        <v>PABLO LUDWIG CAVALCANTI</v>
      </c>
      <c r="B2904" s="11"/>
      <c r="C2904" s="11"/>
      <c r="D2904" s="11" t="str">
        <f>IFERROR(__xludf.DUMMYFUNCTION("""COMPUTED_VALUE"""),"CLINICA MEDICA")</f>
        <v>CLINICA MEDICA</v>
      </c>
      <c r="E2904" s="11"/>
      <c r="F2904" s="11" t="str">
        <f>IFERROR(__xludf.DUMMYFUNCTION("""COMPUTED_VALUE"""),"US_167 POLICLINICA E MATERNIDADE PROFESSOR BARROS LIMA")</f>
        <v>US_167 POLICLINICA E MATERNIDADE PROFESSOR BARROS LIMA</v>
      </c>
      <c r="G2904" s="11" t="str">
        <f>IFERROR(__xludf.DUMMYFUNCTION("""COMPUTED_VALUE"""),"US_167 POLICLINICA E MATERNIDADE PROFESSOR BARROS LIMA")</f>
        <v>US_167 POLICLINICA E MATERNIDADE PROFESSOR BARROS LIMA</v>
      </c>
      <c r="H2904" s="11"/>
      <c r="I2904" s="11"/>
      <c r="J2904" s="11"/>
      <c r="K2904" s="11"/>
      <c r="L2904" s="11"/>
      <c r="M2904" s="11"/>
      <c r="N2904" s="30" t="str">
        <f>IFERROR(__xludf.DUMMYFUNCTION("""COMPUTED_VALUE"""),"pablocavalcanti@outlook.com")</f>
        <v>pablocavalcanti@outlook.com</v>
      </c>
      <c r="O2904" s="11">
        <f>IFERROR(__xludf.DUMMYFUNCTION("""COMPUTED_VALUE"""),9737204417)</f>
        <v>9737204417</v>
      </c>
      <c r="P2904" s="11"/>
      <c r="Q2904" s="11"/>
      <c r="R2904" s="11"/>
      <c r="S2904" s="11"/>
      <c r="T2904" s="11"/>
      <c r="U2904" s="11"/>
      <c r="V2904" s="11"/>
      <c r="W2904" s="11"/>
      <c r="X2904" s="11"/>
      <c r="Y2904" s="11"/>
      <c r="Z2904" s="11"/>
    </row>
    <row r="2905" customHeight="1" spans="1:26">
      <c r="A2905" s="11" t="str">
        <f>IFERROR(__xludf.DUMMYFUNCTION("""COMPUTED_VALUE"""),"MARINA NEVES SAMPAIO")</f>
        <v>MARINA NEVES SAMPAIO</v>
      </c>
      <c r="B2905" s="11"/>
      <c r="C2905" s="11"/>
      <c r="D2905" s="11" t="str">
        <f>IFERROR(__xludf.DUMMYFUNCTION("""COMPUTED_VALUE"""),"CLINICA GERAL")</f>
        <v>CLINICA GERAL</v>
      </c>
      <c r="E2905" s="11"/>
      <c r="F2905" s="11" t="str">
        <f>IFERROR(__xludf.DUMMYFUNCTION("""COMPUTED_VALUE"""),"US_153 POLICLINICA E MATERNIDADE ARNALDO MARQUES")</f>
        <v>US_153 POLICLINICA E MATERNIDADE ARNALDO MARQUES</v>
      </c>
      <c r="G2905" s="11" t="str">
        <f>IFERROR(__xludf.DUMMYFUNCTION("""COMPUTED_VALUE"""),"US_153 POLICLINICA E MATERNIDADE ARNALDO MARQUES")</f>
        <v>US_153 POLICLINICA E MATERNIDADE ARNALDO MARQUES</v>
      </c>
      <c r="H2905" s="11"/>
      <c r="I2905" s="11"/>
      <c r="J2905" s="11"/>
      <c r="K2905" s="11"/>
      <c r="L2905" s="11"/>
      <c r="M2905" s="11"/>
      <c r="N2905" s="30" t="str">
        <f>IFERROR(__xludf.DUMMYFUNCTION("""COMPUTED_VALUE"""),"marinaneves.sampaio@gmail.com")</f>
        <v>marinaneves.sampaio@gmail.com</v>
      </c>
      <c r="O2905" s="11">
        <f>IFERROR(__xludf.DUMMYFUNCTION("""COMPUTED_VALUE"""),7275187477)</f>
        <v>7275187477</v>
      </c>
      <c r="P2905" s="11"/>
      <c r="Q2905" s="11"/>
      <c r="R2905" s="11"/>
      <c r="S2905" s="11"/>
      <c r="T2905" s="11"/>
      <c r="U2905" s="11"/>
      <c r="V2905" s="11"/>
      <c r="W2905" s="11"/>
      <c r="X2905" s="11"/>
      <c r="Y2905" s="11"/>
      <c r="Z2905" s="11"/>
    </row>
    <row r="2906" customHeight="1" spans="1:26">
      <c r="A2906" s="11" t="str">
        <f>IFERROR(__xludf.DUMMYFUNCTION("""COMPUTED_VALUE"""),"LUNNA MARIA CASIMIRO SARMENTO")</f>
        <v>LUNNA MARIA CASIMIRO SARMENTO</v>
      </c>
      <c r="B2906" s="11"/>
      <c r="C2906" s="11"/>
      <c r="D2906" s="11" t="str">
        <f>IFERROR(__xludf.DUMMYFUNCTION("""COMPUTED_VALUE"""),"CLINICA MEDICA")</f>
        <v>CLINICA MEDICA</v>
      </c>
      <c r="E2906" s="11"/>
      <c r="F2906" s="11" t="str">
        <f>IFERROR(__xludf.DUMMYFUNCTION("""COMPUTED_VALUE"""),"US_153 POLICLINICA E MATERNIDADE ARNALDO MARQUES")</f>
        <v>US_153 POLICLINICA E MATERNIDADE ARNALDO MARQUES</v>
      </c>
      <c r="G2906" s="11" t="str">
        <f>IFERROR(__xludf.DUMMYFUNCTION("""COMPUTED_VALUE"""),"US_153 POLICLINICA E MATERNIDADE ARNALDO MARQUES")</f>
        <v>US_153 POLICLINICA E MATERNIDADE ARNALDO MARQUES</v>
      </c>
      <c r="H2906" s="11"/>
      <c r="I2906" s="11"/>
      <c r="J2906" s="11"/>
      <c r="K2906" s="11"/>
      <c r="L2906" s="11"/>
      <c r="M2906" s="11"/>
      <c r="N2906" s="30" t="str">
        <f>IFERROR(__xludf.DUMMYFUNCTION("""COMPUTED_VALUE"""),"lunnasarmento@gmail.com")</f>
        <v>lunnasarmento@gmail.com</v>
      </c>
      <c r="O2906" s="11">
        <f>IFERROR(__xludf.DUMMYFUNCTION("""COMPUTED_VALUE"""),6999439494)</f>
        <v>6999439494</v>
      </c>
      <c r="P2906" s="11"/>
      <c r="Q2906" s="11"/>
      <c r="R2906" s="11"/>
      <c r="S2906" s="11"/>
      <c r="T2906" s="11"/>
      <c r="U2906" s="11"/>
      <c r="V2906" s="11"/>
      <c r="W2906" s="11"/>
      <c r="X2906" s="11"/>
      <c r="Y2906" s="11"/>
      <c r="Z2906" s="11"/>
    </row>
    <row r="2907" customHeight="1" spans="1:26">
      <c r="A2907" s="11" t="str">
        <f>IFERROR(__xludf.DUMMYFUNCTION("""COMPUTED_VALUE"""),"GABRIELLE SAMICO DA R REGO")</f>
        <v>GABRIELLE SAMICO DA R REGO</v>
      </c>
      <c r="B2907" s="11"/>
      <c r="C2907" s="11"/>
      <c r="D2907" s="11" t="str">
        <f>IFERROR(__xludf.DUMMYFUNCTION("""COMPUTED_VALUE"""),"NEONATOLOGIA")</f>
        <v>NEONATOLOGIA</v>
      </c>
      <c r="E2907" s="11"/>
      <c r="F2907" s="11" t="str">
        <f>IFERROR(__xludf.DUMMYFUNCTION("""COMPUTED_VALUE"""),"US_165 MATERNIDADE BANDEIRA FILHO")</f>
        <v>US_165 MATERNIDADE BANDEIRA FILHO</v>
      </c>
      <c r="G2907" s="11" t="str">
        <f>IFERROR(__xludf.DUMMYFUNCTION("""COMPUTED_VALUE"""),"US_165 MATERNIDADE BANDEIRA FILHO")</f>
        <v>US_165 MATERNIDADE BANDEIRA FILHO</v>
      </c>
      <c r="H2907" s="11"/>
      <c r="I2907" s="11"/>
      <c r="J2907" s="11"/>
      <c r="K2907" s="11"/>
      <c r="L2907" s="11"/>
      <c r="M2907" s="11"/>
      <c r="N2907" s="30" t="str">
        <f>IFERROR(__xludf.DUMMYFUNCTION("""COMPUTED_VALUE"""),"gabriellesamico@gmail.com")</f>
        <v>gabriellesamico@gmail.com</v>
      </c>
      <c r="O2907" s="11">
        <f>IFERROR(__xludf.DUMMYFUNCTION("""COMPUTED_VALUE"""),5577668425)</f>
        <v>5577668425</v>
      </c>
      <c r="P2907" s="11"/>
      <c r="Q2907" s="11"/>
      <c r="R2907" s="11"/>
      <c r="S2907" s="11"/>
      <c r="T2907" s="11"/>
      <c r="U2907" s="11"/>
      <c r="V2907" s="11"/>
      <c r="W2907" s="11"/>
      <c r="X2907" s="11"/>
      <c r="Y2907" s="11"/>
      <c r="Z2907" s="11"/>
    </row>
    <row r="2908" customHeight="1" spans="1:26">
      <c r="A2908" s="11" t="str">
        <f>IFERROR(__xludf.DUMMYFUNCTION("""COMPUTED_VALUE"""),"ANTONIO DIEGO CAMPOS FALCAO")</f>
        <v>ANTONIO DIEGO CAMPOS FALCAO</v>
      </c>
      <c r="B2908" s="11"/>
      <c r="C2908" s="11"/>
      <c r="D2908" s="11" t="str">
        <f>IFERROR(__xludf.DUMMYFUNCTION("""COMPUTED_VALUE"""),"CLINICA GERAL")</f>
        <v>CLINICA GERAL</v>
      </c>
      <c r="E2908" s="11"/>
      <c r="F2908" s="11" t="str">
        <f>IFERROR(__xludf.DUMMYFUNCTION("""COMPUTED_VALUE"""),"US_153 POLICLINICA E MATERNIDADE ARNALDO MARQUES")</f>
        <v>US_153 POLICLINICA E MATERNIDADE ARNALDO MARQUES</v>
      </c>
      <c r="G2908" s="11" t="str">
        <f>IFERROR(__xludf.DUMMYFUNCTION("""COMPUTED_VALUE"""),"US_153 POLICLINICA E MATERNIDADE ARNALDO MARQUES")</f>
        <v>US_153 POLICLINICA E MATERNIDADE ARNALDO MARQUES</v>
      </c>
      <c r="H2908" s="11"/>
      <c r="I2908" s="11"/>
      <c r="J2908" s="11"/>
      <c r="K2908" s="11"/>
      <c r="L2908" s="11"/>
      <c r="M2908" s="11"/>
      <c r="N2908" s="30" t="str">
        <f>IFERROR(__xludf.DUMMYFUNCTION("""COMPUTED_VALUE"""),"diegocamposfalcao@hotmail.com")</f>
        <v>diegocamposfalcao@hotmail.com</v>
      </c>
      <c r="O2908" s="11">
        <f>IFERROR(__xludf.DUMMYFUNCTION("""COMPUTED_VALUE"""),92297455453)</f>
        <v>92297455453</v>
      </c>
      <c r="P2908" s="11"/>
      <c r="Q2908" s="11"/>
      <c r="R2908" s="11"/>
      <c r="S2908" s="11"/>
      <c r="T2908" s="11"/>
      <c r="U2908" s="11"/>
      <c r="V2908" s="11"/>
      <c r="W2908" s="11"/>
      <c r="X2908" s="11"/>
      <c r="Y2908" s="11"/>
      <c r="Z2908" s="11"/>
    </row>
    <row r="2909" customHeight="1" spans="1:26">
      <c r="A2909" s="11" t="str">
        <f>IFERROR(__xludf.DUMMYFUNCTION("""COMPUTED_VALUE"""),"BRUNO TENORIO G DA SILVA")</f>
        <v>BRUNO TENORIO G DA SILVA</v>
      </c>
      <c r="B2909" s="11"/>
      <c r="C2909" s="11"/>
      <c r="D2909" s="11" t="str">
        <f>IFERROR(__xludf.DUMMYFUNCTION("""COMPUTED_VALUE"""),"CLINICA GERAL")</f>
        <v>CLINICA GERAL</v>
      </c>
      <c r="E2909" s="11"/>
      <c r="F2909" s="11" t="str">
        <f>IFERROR(__xludf.DUMMYFUNCTION("""COMPUTED_VALUE"""),"US_153 POLICLINICA E MATERNIDADE ARNALDO MARQUES")</f>
        <v>US_153 POLICLINICA E MATERNIDADE ARNALDO MARQUES</v>
      </c>
      <c r="G2909" s="11" t="str">
        <f>IFERROR(__xludf.DUMMYFUNCTION("""COMPUTED_VALUE"""),"US_153 POLICLINICA E MATERNIDADE ARNALDO MARQUES")</f>
        <v>US_153 POLICLINICA E MATERNIDADE ARNALDO MARQUES</v>
      </c>
      <c r="H2909" s="11"/>
      <c r="I2909" s="11"/>
      <c r="J2909" s="11"/>
      <c r="K2909" s="11"/>
      <c r="L2909" s="11"/>
      <c r="M2909" s="11"/>
      <c r="N2909" s="30" t="str">
        <f>IFERROR(__xludf.DUMMYFUNCTION("""COMPUTED_VALUE"""),"btgs@hotmail.com")</f>
        <v>btgs@hotmail.com</v>
      </c>
      <c r="O2909" s="11">
        <f>IFERROR(__xludf.DUMMYFUNCTION("""COMPUTED_VALUE"""),5859244495)</f>
        <v>5859244495</v>
      </c>
      <c r="P2909" s="11"/>
      <c r="Q2909" s="11"/>
      <c r="R2909" s="11"/>
      <c r="S2909" s="11"/>
      <c r="T2909" s="11"/>
      <c r="U2909" s="11"/>
      <c r="V2909" s="11"/>
      <c r="W2909" s="11"/>
      <c r="X2909" s="11"/>
      <c r="Y2909" s="11"/>
      <c r="Z2909" s="11"/>
    </row>
    <row r="2910" customHeight="1" spans="1:26">
      <c r="A2910" s="11" t="str">
        <f>IFERROR(__xludf.DUMMYFUNCTION("""COMPUTED_VALUE"""),"CHRISTIANE M D CAMARA BARBOSA")</f>
        <v>CHRISTIANE M D CAMARA BARBOSA</v>
      </c>
      <c r="B2910" s="11"/>
      <c r="C2910" s="11"/>
      <c r="D2910" s="11" t="str">
        <f>IFERROR(__xludf.DUMMYFUNCTION("""COMPUTED_VALUE"""),"CLINICA GERAL")</f>
        <v>CLINICA GERAL</v>
      </c>
      <c r="E2910" s="11"/>
      <c r="F2910" s="11" t="str">
        <f>IFERROR(__xludf.DUMMYFUNCTION("""COMPUTED_VALUE"""),"US_153 POLICLINICA E MATERNIDADE ARNALDO MARQUES")</f>
        <v>US_153 POLICLINICA E MATERNIDADE ARNALDO MARQUES</v>
      </c>
      <c r="G2910" s="11" t="str">
        <f>IFERROR(__xludf.DUMMYFUNCTION("""COMPUTED_VALUE"""),"US_153 POLICLINICA E MATERNIDADE ARNALDO MARQUES")</f>
        <v>US_153 POLICLINICA E MATERNIDADE ARNALDO MARQUES</v>
      </c>
      <c r="H2910" s="11"/>
      <c r="I2910" s="11"/>
      <c r="J2910" s="11"/>
      <c r="K2910" s="11"/>
      <c r="L2910" s="11"/>
      <c r="M2910" s="11"/>
      <c r="N2910" s="30" t="str">
        <f>IFERROR(__xludf.DUMMYFUNCTION("""COMPUTED_VALUE"""),"chris_dornellas@hotmail.com")</f>
        <v>chris_dornellas@hotmail.com</v>
      </c>
      <c r="O2910" s="11">
        <f>IFERROR(__xludf.DUMMYFUNCTION("""COMPUTED_VALUE"""),6737591485)</f>
        <v>6737591485</v>
      </c>
      <c r="P2910" s="11"/>
      <c r="Q2910" s="11"/>
      <c r="R2910" s="11"/>
      <c r="S2910" s="11"/>
      <c r="T2910" s="11"/>
      <c r="U2910" s="11"/>
      <c r="V2910" s="11"/>
      <c r="W2910" s="11"/>
      <c r="X2910" s="11"/>
      <c r="Y2910" s="11"/>
      <c r="Z2910" s="11"/>
    </row>
    <row r="2911" customHeight="1" spans="1:26">
      <c r="A2911" s="11" t="str">
        <f>IFERROR(__xludf.DUMMYFUNCTION("""COMPUTED_VALUE"""),"DEBORA WANDERLEY PASSOS")</f>
        <v>DEBORA WANDERLEY PASSOS</v>
      </c>
      <c r="B2911" s="11"/>
      <c r="C2911" s="11"/>
      <c r="D2911" s="11" t="str">
        <f>IFERROR(__xludf.DUMMYFUNCTION("""COMPUTED_VALUE"""),"CLINICA GERAL")</f>
        <v>CLINICA GERAL</v>
      </c>
      <c r="E2911" s="11"/>
      <c r="F2911" s="11" t="str">
        <f>IFERROR(__xludf.DUMMYFUNCTION("""COMPUTED_VALUE"""),"US_153 POLICLINICA E MATERNIDADE ARNALDO MARQUES")</f>
        <v>US_153 POLICLINICA E MATERNIDADE ARNALDO MARQUES</v>
      </c>
      <c r="G2911" s="11" t="str">
        <f>IFERROR(__xludf.DUMMYFUNCTION("""COMPUTED_VALUE"""),"US_153 POLICLINICA E MATERNIDADE ARNALDO MARQUES")</f>
        <v>US_153 POLICLINICA E MATERNIDADE ARNALDO MARQUES</v>
      </c>
      <c r="H2911" s="11"/>
      <c r="I2911" s="11"/>
      <c r="J2911" s="11"/>
      <c r="K2911" s="11"/>
      <c r="L2911" s="11"/>
      <c r="M2911" s="11"/>
      <c r="N2911" s="30" t="str">
        <f>IFERROR(__xludf.DUMMYFUNCTION("""COMPUTED_VALUE"""),"deborawpassos@gmail.com")</f>
        <v>deborawpassos@gmail.com</v>
      </c>
      <c r="O2911" s="11">
        <f>IFERROR(__xludf.DUMMYFUNCTION("""COMPUTED_VALUE"""),7390003499)</f>
        <v>7390003499</v>
      </c>
      <c r="P2911" s="11"/>
      <c r="Q2911" s="11"/>
      <c r="R2911" s="11"/>
      <c r="S2911" s="11"/>
      <c r="T2911" s="11"/>
      <c r="U2911" s="11"/>
      <c r="V2911" s="11"/>
      <c r="W2911" s="11"/>
      <c r="X2911" s="11"/>
      <c r="Y2911" s="11"/>
      <c r="Z2911" s="11"/>
    </row>
    <row r="2912" customHeight="1" spans="1:26">
      <c r="A2912" s="11" t="str">
        <f>IFERROR(__xludf.DUMMYFUNCTION("""COMPUTED_VALUE"""),"DEBORAH LUCENA MARKMAN")</f>
        <v>DEBORAH LUCENA MARKMAN</v>
      </c>
      <c r="B2912" s="11"/>
      <c r="C2912" s="11"/>
      <c r="D2912" s="11" t="str">
        <f>IFERROR(__xludf.DUMMYFUNCTION("""COMPUTED_VALUE"""),"CLINICA GERAL")</f>
        <v>CLINICA GERAL</v>
      </c>
      <c r="E2912" s="11"/>
      <c r="F2912" s="11" t="str">
        <f>IFERROR(__xludf.DUMMYFUNCTION("""COMPUTED_VALUE"""),"US_153 POLICLINICA E MATERNIDADE ARNALDO MARQUES")</f>
        <v>US_153 POLICLINICA E MATERNIDADE ARNALDO MARQUES</v>
      </c>
      <c r="G2912" s="11" t="str">
        <f>IFERROR(__xludf.DUMMYFUNCTION("""COMPUTED_VALUE"""),"US_153 POLICLINICA E MATERNIDADE ARNALDO MARQUES")</f>
        <v>US_153 POLICLINICA E MATERNIDADE ARNALDO MARQUES</v>
      </c>
      <c r="H2912" s="11"/>
      <c r="I2912" s="11"/>
      <c r="J2912" s="11"/>
      <c r="K2912" s="11"/>
      <c r="L2912" s="11"/>
      <c r="M2912" s="11"/>
      <c r="N2912" s="30" t="str">
        <f>IFERROR(__xludf.DUMMYFUNCTION("""COMPUTED_VALUE"""),"deborahlmarkman@gmail.com")</f>
        <v>deborahlmarkman@gmail.com</v>
      </c>
      <c r="O2912" s="11">
        <f>IFERROR(__xludf.DUMMYFUNCTION("""COMPUTED_VALUE"""),8417823425)</f>
        <v>8417823425</v>
      </c>
      <c r="P2912" s="11"/>
      <c r="Q2912" s="11"/>
      <c r="R2912" s="11"/>
      <c r="S2912" s="11"/>
      <c r="T2912" s="11"/>
      <c r="U2912" s="11"/>
      <c r="V2912" s="11"/>
      <c r="W2912" s="11"/>
      <c r="X2912" s="11"/>
      <c r="Y2912" s="11"/>
      <c r="Z2912" s="11"/>
    </row>
    <row r="2913" customHeight="1" spans="1:26">
      <c r="A2913" s="11" t="str">
        <f>IFERROR(__xludf.DUMMYFUNCTION("""COMPUTED_VALUE"""),"ENI ARAUJO GOMES")</f>
        <v>ENI ARAUJO GOMES</v>
      </c>
      <c r="B2913" s="11"/>
      <c r="C2913" s="11"/>
      <c r="D2913" s="11" t="str">
        <f>IFERROR(__xludf.DUMMYFUNCTION("""COMPUTED_VALUE"""),"CLINICA GERAL")</f>
        <v>CLINICA GERAL</v>
      </c>
      <c r="E2913" s="11"/>
      <c r="F2913" s="11" t="str">
        <f>IFERROR(__xludf.DUMMYFUNCTION("""COMPUTED_VALUE"""),"US_153 POLICLINICA E MATERNIDADE ARNALDO MARQUES")</f>
        <v>US_153 POLICLINICA E MATERNIDADE ARNALDO MARQUES</v>
      </c>
      <c r="G2913" s="11" t="str">
        <f>IFERROR(__xludf.DUMMYFUNCTION("""COMPUTED_VALUE"""),"US_153 POLICLINICA E MATERNIDADE ARNALDO MARQUES")</f>
        <v>US_153 POLICLINICA E MATERNIDADE ARNALDO MARQUES</v>
      </c>
      <c r="H2913" s="11"/>
      <c r="I2913" s="11"/>
      <c r="J2913" s="11"/>
      <c r="K2913" s="11"/>
      <c r="L2913" s="11"/>
      <c r="M2913" s="11"/>
      <c r="N2913" s="30" t="str">
        <f>IFERROR(__xludf.DUMMYFUNCTION("""COMPUTED_VALUE"""),"eni.araujo91@gmail.com")</f>
        <v>eni.araujo91@gmail.com</v>
      </c>
      <c r="O2913" s="11">
        <f>IFERROR(__xludf.DUMMYFUNCTION("""COMPUTED_VALUE"""),6588335458)</f>
        <v>6588335458</v>
      </c>
      <c r="P2913" s="11"/>
      <c r="Q2913" s="11"/>
      <c r="R2913" s="11"/>
      <c r="S2913" s="11"/>
      <c r="T2913" s="11"/>
      <c r="U2913" s="11"/>
      <c r="V2913" s="11"/>
      <c r="W2913" s="11"/>
      <c r="X2913" s="11"/>
      <c r="Y2913" s="11"/>
      <c r="Z2913" s="11"/>
    </row>
    <row r="2914" customHeight="1" spans="1:26">
      <c r="A2914" s="11" t="str">
        <f>IFERROR(__xludf.DUMMYFUNCTION("""COMPUTED_VALUE"""),"FABIO LOPES J DE VASCONCELOS")</f>
        <v>FABIO LOPES J DE VASCONCELOS</v>
      </c>
      <c r="B2914" s="11"/>
      <c r="C2914" s="11"/>
      <c r="D2914" s="11" t="str">
        <f>IFERROR(__xludf.DUMMYFUNCTION("""COMPUTED_VALUE"""),"CLINICA GERAL")</f>
        <v>CLINICA GERAL</v>
      </c>
      <c r="E2914" s="11"/>
      <c r="F2914" s="11" t="str">
        <f>IFERROR(__xludf.DUMMYFUNCTION("""COMPUTED_VALUE"""),"US_153 POLICLINICA E MATERNIDADE ARNALDO MARQUES")</f>
        <v>US_153 POLICLINICA E MATERNIDADE ARNALDO MARQUES</v>
      </c>
      <c r="G2914" s="11" t="str">
        <f>IFERROR(__xludf.DUMMYFUNCTION("""COMPUTED_VALUE"""),"US_153 POLICLINICA E MATERNIDADE ARNALDO MARQUES")</f>
        <v>US_153 POLICLINICA E MATERNIDADE ARNALDO MARQUES</v>
      </c>
      <c r="H2914" s="11"/>
      <c r="I2914" s="11"/>
      <c r="J2914" s="11"/>
      <c r="K2914" s="11"/>
      <c r="L2914" s="11"/>
      <c r="M2914" s="11"/>
      <c r="N2914" s="30" t="str">
        <f>IFERROR(__xludf.DUMMYFUNCTION("""COMPUTED_VALUE"""),"fabioljv@hotmail.com")</f>
        <v>fabioljv@hotmail.com</v>
      </c>
      <c r="O2914" s="11">
        <f>IFERROR(__xludf.DUMMYFUNCTION("""COMPUTED_VALUE"""),8919295417)</f>
        <v>8919295417</v>
      </c>
      <c r="P2914" s="11"/>
      <c r="Q2914" s="11"/>
      <c r="R2914" s="11"/>
      <c r="S2914" s="11"/>
      <c r="T2914" s="11"/>
      <c r="U2914" s="11"/>
      <c r="V2914" s="11"/>
      <c r="W2914" s="11"/>
      <c r="X2914" s="11"/>
      <c r="Y2914" s="11"/>
      <c r="Z2914" s="11"/>
    </row>
    <row r="2915" customHeight="1" spans="1:26">
      <c r="A2915" s="11" t="str">
        <f>IFERROR(__xludf.DUMMYFUNCTION("""COMPUTED_VALUE"""),"FRED MARTINS DOS SANTOS")</f>
        <v>FRED MARTINS DOS SANTOS</v>
      </c>
      <c r="B2915" s="11"/>
      <c r="C2915" s="11"/>
      <c r="D2915" s="11" t="str">
        <f>IFERROR(__xludf.DUMMYFUNCTION("""COMPUTED_VALUE"""),"CLINICA GERAL")</f>
        <v>CLINICA GERAL</v>
      </c>
      <c r="E2915" s="11"/>
      <c r="F2915" s="11" t="str">
        <f>IFERROR(__xludf.DUMMYFUNCTION("""COMPUTED_VALUE"""),"US_153 POLICLINICA E MATERNIDADE ARNALDO MARQUES")</f>
        <v>US_153 POLICLINICA E MATERNIDADE ARNALDO MARQUES</v>
      </c>
      <c r="G2915" s="11" t="str">
        <f>IFERROR(__xludf.DUMMYFUNCTION("""COMPUTED_VALUE"""),"US_153 POLICLINICA E MATERNIDADE ARNALDO MARQUES")</f>
        <v>US_153 POLICLINICA E MATERNIDADE ARNALDO MARQUES</v>
      </c>
      <c r="H2915" s="11"/>
      <c r="I2915" s="11"/>
      <c r="J2915" s="11"/>
      <c r="K2915" s="11"/>
      <c r="L2915" s="11"/>
      <c r="M2915" s="11"/>
      <c r="N2915" s="30" t="str">
        <f>IFERROR(__xludf.DUMMYFUNCTION("""COMPUTED_VALUE"""),"lichess68@gmail.com")</f>
        <v>lichess68@gmail.com</v>
      </c>
      <c r="O2915" s="11">
        <f>IFERROR(__xludf.DUMMYFUNCTION("""COMPUTED_VALUE"""),69717427453)</f>
        <v>69717427453</v>
      </c>
      <c r="P2915" s="11"/>
      <c r="Q2915" s="11"/>
      <c r="R2915" s="11"/>
      <c r="S2915" s="11"/>
      <c r="T2915" s="11"/>
      <c r="U2915" s="11"/>
      <c r="V2915" s="11"/>
      <c r="W2915" s="11"/>
      <c r="X2915" s="11"/>
      <c r="Y2915" s="11"/>
      <c r="Z2915" s="11"/>
    </row>
    <row r="2916" customHeight="1" spans="1:26">
      <c r="A2916" s="11" t="str">
        <f>IFERROR(__xludf.DUMMYFUNCTION("""COMPUTED_VALUE"""),"HENRIQUE MARQUES FERREIRA")</f>
        <v>HENRIQUE MARQUES FERREIRA</v>
      </c>
      <c r="B2916" s="11"/>
      <c r="C2916" s="11"/>
      <c r="D2916" s="11" t="str">
        <f>IFERROR(__xludf.DUMMYFUNCTION("""COMPUTED_VALUE"""),"CLINICA GERAL")</f>
        <v>CLINICA GERAL</v>
      </c>
      <c r="E2916" s="11"/>
      <c r="F2916" s="11" t="str">
        <f>IFERROR(__xludf.DUMMYFUNCTION("""COMPUTED_VALUE"""),"US_153 POLICLINICA E MATERNIDADE ARNALDO MARQUES")</f>
        <v>US_153 POLICLINICA E MATERNIDADE ARNALDO MARQUES</v>
      </c>
      <c r="G2916" s="11" t="str">
        <f>IFERROR(__xludf.DUMMYFUNCTION("""COMPUTED_VALUE"""),"US_153 POLICLINICA E MATERNIDADE ARNALDO MARQUES")</f>
        <v>US_153 POLICLINICA E MATERNIDADE ARNALDO MARQUES</v>
      </c>
      <c r="H2916" s="27">
        <f>IFERROR(__xludf.DUMMYFUNCTION("""COMPUTED_VALUE"""),8196210149)</f>
        <v>8196210149</v>
      </c>
      <c r="I2916" s="11"/>
      <c r="J2916" s="11"/>
      <c r="K2916" s="24">
        <f>IFERROR(__xludf.DUMMYFUNCTION("""COMPUTED_VALUE"""),45260)</f>
        <v>45260</v>
      </c>
      <c r="L2916" s="11"/>
      <c r="M2916" s="11"/>
      <c r="N2916" s="30" t="str">
        <f>IFERROR(__xludf.DUMMYFUNCTION("""COMPUTED_VALUE"""),"henriquemarques.med@gmail.com")</f>
        <v>henriquemarques.med@gmail.com</v>
      </c>
      <c r="O2916" s="11">
        <f>IFERROR(__xludf.DUMMYFUNCTION("""COMPUTED_VALUE"""),4626545408)</f>
        <v>4626545408</v>
      </c>
      <c r="P2916" s="11"/>
      <c r="Q2916" s="11"/>
      <c r="R2916" s="11"/>
      <c r="S2916" s="11"/>
      <c r="T2916" s="11"/>
      <c r="U2916" s="11"/>
      <c r="V2916" s="11"/>
      <c r="W2916" s="11"/>
      <c r="X2916" s="11"/>
      <c r="Y2916" s="11"/>
      <c r="Z2916" s="11"/>
    </row>
    <row r="2917" customHeight="1" spans="1:26">
      <c r="A2917" s="11" t="str">
        <f>IFERROR(__xludf.DUMMYFUNCTION("""COMPUTED_VALUE"""),"THAIS RAMOS DA COSTA")</f>
        <v>THAIS RAMOS DA COSTA</v>
      </c>
      <c r="B2917" s="11"/>
      <c r="C2917" s="11"/>
      <c r="D2917" s="11" t="str">
        <f>IFERROR(__xludf.DUMMYFUNCTION("""COMPUTED_VALUE"""),"CLINICA GERAL")</f>
        <v>CLINICA GERAL</v>
      </c>
      <c r="E2917" s="11"/>
      <c r="F2917" s="11" t="str">
        <f>IFERROR(__xludf.DUMMYFUNCTION("""COMPUTED_VALUE"""),"US_153 POLICLINICA E MATERNIDADE ARNALDO MARQUES")</f>
        <v>US_153 POLICLINICA E MATERNIDADE ARNALDO MARQUES</v>
      </c>
      <c r="G2917" s="11" t="str">
        <f>IFERROR(__xludf.DUMMYFUNCTION("""COMPUTED_VALUE"""),"US_153 POLICLINICA E MATERNIDADE ARNALDO MARQUES")</f>
        <v>US_153 POLICLINICA E MATERNIDADE ARNALDO MARQUES</v>
      </c>
      <c r="H2917" s="11"/>
      <c r="I2917" s="11"/>
      <c r="J2917" s="11"/>
      <c r="K2917" s="11"/>
      <c r="L2917" s="11"/>
      <c r="M2917" s="11"/>
      <c r="N2917" s="30" t="str">
        <f>IFERROR(__xludf.DUMMYFUNCTION("""COMPUTED_VALUE"""),"thaisramosupe@gmail.com")</f>
        <v>thaisramosupe@gmail.com</v>
      </c>
      <c r="O2917" s="11">
        <f>IFERROR(__xludf.DUMMYFUNCTION("""COMPUTED_VALUE"""),6460677450)</f>
        <v>6460677450</v>
      </c>
      <c r="P2917" s="11"/>
      <c r="Q2917" s="11"/>
      <c r="R2917" s="11"/>
      <c r="S2917" s="11"/>
      <c r="T2917" s="11"/>
      <c r="U2917" s="11"/>
      <c r="V2917" s="11"/>
      <c r="W2917" s="11"/>
      <c r="X2917" s="11"/>
      <c r="Y2917" s="11"/>
      <c r="Z2917" s="11"/>
    </row>
    <row r="2918" customHeight="1" spans="1:26">
      <c r="A2918" s="11" t="str">
        <f>IFERROR(__xludf.DUMMYFUNCTION("""COMPUTED_VALUE"""),"TULIO PORTO FERREIRA")</f>
        <v>TULIO PORTO FERREIRA</v>
      </c>
      <c r="B2918" s="11"/>
      <c r="C2918" s="11"/>
      <c r="D2918" s="11" t="str">
        <f>IFERROR(__xludf.DUMMYFUNCTION("""COMPUTED_VALUE"""),"CLINICA GERAL")</f>
        <v>CLINICA GERAL</v>
      </c>
      <c r="E2918" s="11"/>
      <c r="F2918" s="11" t="str">
        <f>IFERROR(__xludf.DUMMYFUNCTION("""COMPUTED_VALUE"""),"US_153 POLICLINICA E MATERNIDADE ARNALDO MARQUES")</f>
        <v>US_153 POLICLINICA E MATERNIDADE ARNALDO MARQUES</v>
      </c>
      <c r="G2918" s="11" t="str">
        <f>IFERROR(__xludf.DUMMYFUNCTION("""COMPUTED_VALUE"""),"US_153 POLICLINICA E MATERNIDADE ARNALDO MARQUES")</f>
        <v>US_153 POLICLINICA E MATERNIDADE ARNALDO MARQUES</v>
      </c>
      <c r="H2918" s="11"/>
      <c r="I2918" s="11"/>
      <c r="J2918" s="11"/>
      <c r="K2918" s="11"/>
      <c r="L2918" s="11"/>
      <c r="M2918" s="11"/>
      <c r="N2918" s="30" t="str">
        <f>IFERROR(__xludf.DUMMYFUNCTION("""COMPUTED_VALUE"""),"tportoferreira@gmail.com")</f>
        <v>tportoferreira@gmail.com</v>
      </c>
      <c r="O2918" s="11">
        <f>IFERROR(__xludf.DUMMYFUNCTION("""COMPUTED_VALUE"""),8506044430)</f>
        <v>8506044430</v>
      </c>
      <c r="P2918" s="11"/>
      <c r="Q2918" s="11"/>
      <c r="R2918" s="11"/>
      <c r="S2918" s="11"/>
      <c r="T2918" s="11"/>
      <c r="U2918" s="11"/>
      <c r="V2918" s="11"/>
      <c r="W2918" s="11"/>
      <c r="X2918" s="11"/>
      <c r="Y2918" s="11"/>
      <c r="Z2918" s="11"/>
    </row>
    <row r="2919" customHeight="1" spans="1:26">
      <c r="A2919" s="11" t="str">
        <f>IFERROR(__xludf.DUMMYFUNCTION("""COMPUTED_VALUE"""),"EDUARDO ABADIE GUEDES")</f>
        <v>EDUARDO ABADIE GUEDES</v>
      </c>
      <c r="B2919" s="11"/>
      <c r="C2919" s="11"/>
      <c r="D2919" s="11" t="str">
        <f>IFERROR(__xludf.DUMMYFUNCTION("""COMPUTED_VALUE"""),"CLINICA MEDICA")</f>
        <v>CLINICA MEDICA</v>
      </c>
      <c r="E2919" s="11"/>
      <c r="F2919" s="11" t="str">
        <f>IFERROR(__xludf.DUMMYFUNCTION("""COMPUTED_VALUE"""),"US_167 POLICLINICA E MATERNIDADE PROFESSOR BARROS LIMA")</f>
        <v>US_167 POLICLINICA E MATERNIDADE PROFESSOR BARROS LIMA</v>
      </c>
      <c r="G2919" s="11" t="str">
        <f>IFERROR(__xludf.DUMMYFUNCTION("""COMPUTED_VALUE"""),"US_167 POLICLINICA E MATERNIDADE PROFESSOR BARROS LIMA")</f>
        <v>US_167 POLICLINICA E MATERNIDADE PROFESSOR BARROS LIMA</v>
      </c>
      <c r="H2919" s="11"/>
      <c r="I2919" s="11"/>
      <c r="J2919" s="11"/>
      <c r="K2919" s="11"/>
      <c r="L2919" s="11"/>
      <c r="M2919" s="11"/>
      <c r="N2919" s="30" t="str">
        <f>IFERROR(__xludf.DUMMYFUNCTION("""COMPUTED_VALUE"""),"abadie_gueDEs@yahoo.com.br")</f>
        <v>abadie_gueDEs@yahoo.com.br</v>
      </c>
      <c r="O2919" s="11">
        <f>IFERROR(__xludf.DUMMYFUNCTION("""COMPUTED_VALUE"""),3991462451)</f>
        <v>3991462451</v>
      </c>
      <c r="P2919" s="11"/>
      <c r="Q2919" s="11"/>
      <c r="R2919" s="11"/>
      <c r="S2919" s="11"/>
      <c r="T2919" s="11"/>
      <c r="U2919" s="11"/>
      <c r="V2919" s="11"/>
      <c r="W2919" s="11"/>
      <c r="X2919" s="11"/>
      <c r="Y2919" s="11"/>
      <c r="Z2919" s="11"/>
    </row>
    <row r="2920" customHeight="1" spans="1:26">
      <c r="A2920" s="11" t="str">
        <f>IFERROR(__xludf.DUMMYFUNCTION("""COMPUTED_VALUE"""),"PRISCILA FLORENCIO SANTOS")</f>
        <v>PRISCILA FLORENCIO SANTOS</v>
      </c>
      <c r="B2920" s="11"/>
      <c r="C2920" s="11"/>
      <c r="D2920" s="11" t="str">
        <f>IFERROR(__xludf.DUMMYFUNCTION("""COMPUTED_VALUE""")," CLINICA GERAL ")</f>
        <v> CLINICA GERAL </v>
      </c>
      <c r="E2920" s="11"/>
      <c r="F2920" s="11" t="str">
        <f>IFERROR(__xludf.DUMMYFUNCTION("""COMPUTED_VALUE"""),"US_167 POLICLINICA E MATERNIDADE PROFESSOR BARROS LIMA")</f>
        <v>US_167 POLICLINICA E MATERNIDADE PROFESSOR BARROS LIMA</v>
      </c>
      <c r="G2920" s="11" t="str">
        <f>IFERROR(__xludf.DUMMYFUNCTION("""COMPUTED_VALUE"""),"US_167 POLICLINICA E MATERNIDADE PROFESSOR BARROS LIMA")</f>
        <v>US_167 POLICLINICA E MATERNIDADE PROFESSOR BARROS LIMA</v>
      </c>
      <c r="H2920" s="11"/>
      <c r="I2920" s="11"/>
      <c r="J2920" s="11"/>
      <c r="K2920" s="11"/>
      <c r="L2920" s="11"/>
      <c r="M2920" s="11"/>
      <c r="N2920" s="30" t="str">
        <f>IFERROR(__xludf.DUMMYFUNCTION("""COMPUTED_VALUE"""),"priscilaflorencio@yahoo.com.br")</f>
        <v>priscilaflorencio@yahoo.com.br</v>
      </c>
      <c r="O2920" s="11">
        <f>IFERROR(__xludf.DUMMYFUNCTION("""COMPUTED_VALUE"""),13385438730)</f>
        <v>13385438730</v>
      </c>
      <c r="P2920" s="11"/>
      <c r="Q2920" s="11"/>
      <c r="R2920" s="11"/>
      <c r="S2920" s="11"/>
      <c r="T2920" s="11"/>
      <c r="U2920" s="11"/>
      <c r="V2920" s="11"/>
      <c r="W2920" s="11"/>
      <c r="X2920" s="11"/>
      <c r="Y2920" s="11"/>
      <c r="Z2920" s="11"/>
    </row>
    <row r="2921" customHeight="1" spans="1:26">
      <c r="A2921" s="11" t="str">
        <f>IFERROR(__xludf.DUMMYFUNCTION("""COMPUTED_VALUE"""),"AMANDA RAFAELLA G DA SILVA")</f>
        <v>AMANDA RAFAELLA G DA SILVA</v>
      </c>
      <c r="B2921" s="11"/>
      <c r="C2921" s="11"/>
      <c r="D2921" s="11" t="str">
        <f>IFERROR(__xludf.DUMMYFUNCTION("""COMPUTED_VALUE""")," CLINICA GERAL ")</f>
        <v> CLINICA GERAL </v>
      </c>
      <c r="E2921" s="11"/>
      <c r="F2921" s="11" t="str">
        <f>IFERROR(__xludf.DUMMYFUNCTION("""COMPUTED_VALUE"""),"US_167 POLICLINICA E MATERNIDADE PROFESSOR BARROS LIMA")</f>
        <v>US_167 POLICLINICA E MATERNIDADE PROFESSOR BARROS LIMA</v>
      </c>
      <c r="G2921" s="11" t="str">
        <f>IFERROR(__xludf.DUMMYFUNCTION("""COMPUTED_VALUE"""),"US_167 POLICLINICA E MATERNIDADE PROFESSOR BARROS LIMA")</f>
        <v>US_167 POLICLINICA E MATERNIDADE PROFESSOR BARROS LIMA</v>
      </c>
      <c r="H2921" s="11"/>
      <c r="I2921" s="11"/>
      <c r="J2921" s="11"/>
      <c r="K2921" s="11"/>
      <c r="L2921" s="11"/>
      <c r="M2921" s="11"/>
      <c r="N2921" s="30" t="str">
        <f>IFERROR(__xludf.DUMMYFUNCTION("""COMPUTED_VALUE"""),"argracianos@yahoo.com.br")</f>
        <v>argracianos@yahoo.com.br</v>
      </c>
      <c r="O2921" s="11">
        <f>IFERROR(__xludf.DUMMYFUNCTION("""COMPUTED_VALUE"""),8288319475)</f>
        <v>8288319475</v>
      </c>
      <c r="P2921" s="11"/>
      <c r="Q2921" s="11"/>
      <c r="R2921" s="11"/>
      <c r="S2921" s="11"/>
      <c r="T2921" s="11"/>
      <c r="U2921" s="11"/>
      <c r="V2921" s="11"/>
      <c r="W2921" s="11"/>
      <c r="X2921" s="11"/>
      <c r="Y2921" s="11"/>
      <c r="Z2921" s="11"/>
    </row>
    <row r="2922" customHeight="1" spans="1:26">
      <c r="A2922" s="11" t="str">
        <f>IFERROR(__xludf.DUMMYFUNCTION("""COMPUTED_VALUE"""),"PAULO ROBERTO COSTA L JUNIOR")</f>
        <v>PAULO ROBERTO COSTA L JUNIOR</v>
      </c>
      <c r="B2922" s="11"/>
      <c r="C2922" s="11"/>
      <c r="D2922" s="11" t="str">
        <f>IFERROR(__xludf.DUMMYFUNCTION("""COMPUTED_VALUE""")," CLINICA GERAL ")</f>
        <v> CLINICA GERAL </v>
      </c>
      <c r="E2922" s="11"/>
      <c r="F2922" s="11" t="str">
        <f>IFERROR(__xludf.DUMMYFUNCTION("""COMPUTED_VALUE"""),"US_167 POLICLINICA E MATERNIDADE PROFESSOR BARROS LIMA")</f>
        <v>US_167 POLICLINICA E MATERNIDADE PROFESSOR BARROS LIMA</v>
      </c>
      <c r="G2922" s="11" t="str">
        <f>IFERROR(__xludf.DUMMYFUNCTION("""COMPUTED_VALUE"""),"US_167 POLICLINICA E MATERNIDADE PROFESSOR BARROS LIMA")</f>
        <v>US_167 POLICLINICA E MATERNIDADE PROFESSOR BARROS LIMA</v>
      </c>
      <c r="H2922" s="11"/>
      <c r="I2922" s="11"/>
      <c r="J2922" s="11"/>
      <c r="K2922" s="11"/>
      <c r="L2922" s="11"/>
      <c r="M2922" s="11"/>
      <c r="N2922" s="30" t="str">
        <f>IFERROR(__xludf.DUMMYFUNCTION("""COMPUTED_VALUE"""),"paulorclj@gmail.com")</f>
        <v>paulorclj@gmail.com</v>
      </c>
      <c r="O2922" s="11">
        <f>IFERROR(__xludf.DUMMYFUNCTION("""COMPUTED_VALUE"""),83590382449)</f>
        <v>83590382449</v>
      </c>
      <c r="P2922" s="11"/>
      <c r="Q2922" s="11"/>
      <c r="R2922" s="11"/>
      <c r="S2922" s="11"/>
      <c r="T2922" s="11"/>
      <c r="U2922" s="11"/>
      <c r="V2922" s="11"/>
      <c r="W2922" s="11"/>
      <c r="X2922" s="11"/>
      <c r="Y2922" s="11"/>
      <c r="Z2922" s="11"/>
    </row>
    <row r="2923" customHeight="1" spans="1:26">
      <c r="A2923" s="11" t="str">
        <f>IFERROR(__xludf.DUMMYFUNCTION("""COMPUTED_VALUE"""),"RAFAELLA GUEDES GONCALVES")</f>
        <v>RAFAELLA GUEDES GONCALVES</v>
      </c>
      <c r="B2923" s="11"/>
      <c r="C2923" s="11"/>
      <c r="D2923" s="11" t="str">
        <f>IFERROR(__xludf.DUMMYFUNCTION("""COMPUTED_VALUE""")," CLINICA GERAL ")</f>
        <v> CLINICA GERAL </v>
      </c>
      <c r="E2923" s="11"/>
      <c r="F2923" s="11" t="str">
        <f>IFERROR(__xludf.DUMMYFUNCTION("""COMPUTED_VALUE"""),"US_167 POLICLINICA E MATERNIDADE PROFESSOR BARROS LIMA")</f>
        <v>US_167 POLICLINICA E MATERNIDADE PROFESSOR BARROS LIMA</v>
      </c>
      <c r="G2923" s="11" t="str">
        <f>IFERROR(__xludf.DUMMYFUNCTION("""COMPUTED_VALUE"""),"US_167 POLICLINICA E MATERNIDADE PROFESSOR BARROS LIMA")</f>
        <v>US_167 POLICLINICA E MATERNIDADE PROFESSOR BARROS LIMA</v>
      </c>
      <c r="H2923" s="11"/>
      <c r="I2923" s="11"/>
      <c r="J2923" s="11"/>
      <c r="K2923" s="11"/>
      <c r="L2923" s="11"/>
      <c r="M2923" s="11"/>
      <c r="N2923" s="30" t="str">
        <f>IFERROR(__xludf.DUMMYFUNCTION("""COMPUTED_VALUE"""),"rafinhahguedes@hotmail.com")</f>
        <v>rafinhahguedes@hotmail.com</v>
      </c>
      <c r="O2923" s="11">
        <f>IFERROR(__xludf.DUMMYFUNCTION("""COMPUTED_VALUE"""),7625427480)</f>
        <v>7625427480</v>
      </c>
      <c r="P2923" s="11"/>
      <c r="Q2923" s="11"/>
      <c r="R2923" s="11"/>
      <c r="S2923" s="11"/>
      <c r="T2923" s="11"/>
      <c r="U2923" s="11"/>
      <c r="V2923" s="11"/>
      <c r="W2923" s="11"/>
      <c r="X2923" s="11"/>
      <c r="Y2923" s="11"/>
      <c r="Z2923" s="11"/>
    </row>
    <row r="2924" customHeight="1" spans="1:26">
      <c r="A2924" s="11" t="str">
        <f>IFERROR(__xludf.DUMMYFUNCTION("""COMPUTED_VALUE"""),"NATALY FERREIRA PIMENTEL")</f>
        <v>NATALY FERREIRA PIMENTEL</v>
      </c>
      <c r="B2924" s="11"/>
      <c r="C2924" s="11"/>
      <c r="D2924" s="11" t="str">
        <f>IFERROR(__xludf.DUMMYFUNCTION("""COMPUTED_VALUE""")," CLINICA GERAL ")</f>
        <v> CLINICA GERAL </v>
      </c>
      <c r="E2924" s="11"/>
      <c r="F2924" s="11" t="str">
        <f>IFERROR(__xludf.DUMMYFUNCTION("""COMPUTED_VALUE"""),"US_167 POLICLINICA E MATERNIDADE PROFESSOR BARROS LIMA")</f>
        <v>US_167 POLICLINICA E MATERNIDADE PROFESSOR BARROS LIMA</v>
      </c>
      <c r="G2924" s="11" t="str">
        <f>IFERROR(__xludf.DUMMYFUNCTION("""COMPUTED_VALUE"""),"US_167 POLICLINICA E MATERNIDADE PROFESSOR BARROS LIMA")</f>
        <v>US_167 POLICLINICA E MATERNIDADE PROFESSOR BARROS LIMA</v>
      </c>
      <c r="H2924" s="11"/>
      <c r="I2924" s="11"/>
      <c r="J2924" s="11"/>
      <c r="K2924" s="11"/>
      <c r="L2924" s="11"/>
      <c r="M2924" s="11"/>
      <c r="N2924" s="30" t="str">
        <f>IFERROR(__xludf.DUMMYFUNCTION("""COMPUTED_VALUE"""),"natalyfpimentel@gmail.com")</f>
        <v>natalyfpimentel@gmail.com</v>
      </c>
      <c r="O2924" s="11">
        <f>IFERROR(__xludf.DUMMYFUNCTION("""COMPUTED_VALUE"""),8422797410)</f>
        <v>8422797410</v>
      </c>
      <c r="P2924" s="11"/>
      <c r="Q2924" s="11"/>
      <c r="R2924" s="11"/>
      <c r="S2924" s="11"/>
      <c r="T2924" s="11"/>
      <c r="U2924" s="11"/>
      <c r="V2924" s="11"/>
      <c r="W2924" s="11"/>
      <c r="X2924" s="11"/>
      <c r="Y2924" s="11"/>
      <c r="Z2924" s="11"/>
    </row>
    <row r="2925" customHeight="1" spans="1:26">
      <c r="A2925" s="11" t="str">
        <f>IFERROR(__xludf.DUMMYFUNCTION("""COMPUTED_VALUE"""),"ERISVAN GREGORIO DE QUEIROZ")</f>
        <v>ERISVAN GREGORIO DE QUEIROZ</v>
      </c>
      <c r="B2925" s="11"/>
      <c r="C2925" s="11"/>
      <c r="D2925" s="11" t="str">
        <f>IFERROR(__xludf.DUMMYFUNCTION("""COMPUTED_VALUE""")," CLINICA GERAL ")</f>
        <v> CLINICA GERAL </v>
      </c>
      <c r="E2925" s="11"/>
      <c r="F2925" s="11" t="str">
        <f>IFERROR(__xludf.DUMMYFUNCTION("""COMPUTED_VALUE"""),"US_167 POLICLINICA E MATERNIDADE PROFESSOR BARROS LIMA")</f>
        <v>US_167 POLICLINICA E MATERNIDADE PROFESSOR BARROS LIMA</v>
      </c>
      <c r="G2925" s="11" t="str">
        <f>IFERROR(__xludf.DUMMYFUNCTION("""COMPUTED_VALUE"""),"US_167 POLICLINICA E MATERNIDADE PROFESSOR BARROS LIMA")</f>
        <v>US_167 POLICLINICA E MATERNIDADE PROFESSOR BARROS LIMA</v>
      </c>
      <c r="H2925" s="11"/>
      <c r="I2925" s="11"/>
      <c r="J2925" s="11"/>
      <c r="K2925" s="11"/>
      <c r="L2925" s="11"/>
      <c r="M2925" s="11"/>
      <c r="N2925" s="30" t="str">
        <f>IFERROR(__xludf.DUMMYFUNCTION("""COMPUTED_VALUE"""),"erisvangregorio@gmail.com")</f>
        <v>erisvangregorio@gmail.com</v>
      </c>
      <c r="O2925" s="11">
        <f>IFERROR(__xludf.DUMMYFUNCTION("""COMPUTED_VALUE"""),3814209494)</f>
        <v>3814209494</v>
      </c>
      <c r="P2925" s="11"/>
      <c r="Q2925" s="11"/>
      <c r="R2925" s="11"/>
      <c r="S2925" s="11"/>
      <c r="T2925" s="11"/>
      <c r="U2925" s="11"/>
      <c r="V2925" s="11"/>
      <c r="W2925" s="11"/>
      <c r="X2925" s="11"/>
      <c r="Y2925" s="11"/>
      <c r="Z2925" s="11"/>
    </row>
    <row r="2926" customHeight="1" spans="1:26">
      <c r="A2926" s="11" t="str">
        <f>IFERROR(__xludf.DUMMYFUNCTION("""COMPUTED_VALUE"""),"ADRIANA FLORENTINA DE ARAUJO")</f>
        <v>ADRIANA FLORENTINA DE ARAUJO</v>
      </c>
      <c r="B2926" s="11"/>
      <c r="C2926" s="11"/>
      <c r="D2926" s="11" t="str">
        <f>IFERROR(__xludf.DUMMYFUNCTION("""COMPUTED_VALUE""")," CLINICA GERAL ")</f>
        <v> CLINICA GERAL </v>
      </c>
      <c r="E2926" s="11"/>
      <c r="F2926" s="11" t="str">
        <f>IFERROR(__xludf.DUMMYFUNCTION("""COMPUTED_VALUE"""),"US_167 POLICLINICA E MATERNIDADE PROFESSOR BARROS LIMA")</f>
        <v>US_167 POLICLINICA E MATERNIDADE PROFESSOR BARROS LIMA</v>
      </c>
      <c r="G2926" s="11" t="str">
        <f>IFERROR(__xludf.DUMMYFUNCTION("""COMPUTED_VALUE"""),"US_167 POLICLINICA E MATERNIDADE PROFESSOR BARROS LIMA")</f>
        <v>US_167 POLICLINICA E MATERNIDADE PROFESSOR BARROS LIMA</v>
      </c>
      <c r="H2926" s="11"/>
      <c r="I2926" s="11"/>
      <c r="J2926" s="11"/>
      <c r="K2926" s="11"/>
      <c r="L2926" s="11"/>
      <c r="M2926" s="11"/>
      <c r="N2926" s="30" t="str">
        <f>IFERROR(__xludf.DUMMYFUNCTION("""COMPUTED_VALUE"""),"adrianaflorentino_@hotmail.com")</f>
        <v>adrianaflorentino_@hotmail.com</v>
      </c>
      <c r="O2926" s="11">
        <f>IFERROR(__xludf.DUMMYFUNCTION("""COMPUTED_VALUE"""),79381898472)</f>
        <v>79381898472</v>
      </c>
      <c r="P2926" s="11"/>
      <c r="Q2926" s="11"/>
      <c r="R2926" s="11"/>
      <c r="S2926" s="11"/>
      <c r="T2926" s="11"/>
      <c r="U2926" s="11"/>
      <c r="V2926" s="11"/>
      <c r="W2926" s="11"/>
      <c r="X2926" s="11"/>
      <c r="Y2926" s="11"/>
      <c r="Z2926" s="11"/>
    </row>
    <row r="2927" customHeight="1" spans="1:26">
      <c r="A2927" s="11" t="str">
        <f>IFERROR(__xludf.DUMMYFUNCTION("""COMPUTED_VALUE"""),"GABRIELA ALBUQUERQUE F NOBREGA")</f>
        <v>GABRIELA ALBUQUERQUE F NOBREGA</v>
      </c>
      <c r="B2927" s="11"/>
      <c r="C2927" s="11"/>
      <c r="D2927" s="11" t="str">
        <f>IFERROR(__xludf.DUMMYFUNCTION("""COMPUTED_VALUE""")," CLINICA GERAL ")</f>
        <v> CLINICA GERAL </v>
      </c>
      <c r="E2927" s="11"/>
      <c r="F2927" s="11" t="str">
        <f>IFERROR(__xludf.DUMMYFUNCTION("""COMPUTED_VALUE"""),"US_167 POLICLINICA E MATERNIDADE PROFESSOR BARROS LIMA")</f>
        <v>US_167 POLICLINICA E MATERNIDADE PROFESSOR BARROS LIMA</v>
      </c>
      <c r="G2927" s="11" t="str">
        <f>IFERROR(__xludf.DUMMYFUNCTION("""COMPUTED_VALUE"""),"US_167 POLICLINICA E MATERNIDADE PROFESSOR BARROS LIMA")</f>
        <v>US_167 POLICLINICA E MATERNIDADE PROFESSOR BARROS LIMA</v>
      </c>
      <c r="H2927" s="11"/>
      <c r="I2927" s="11"/>
      <c r="J2927" s="11"/>
      <c r="K2927" s="11"/>
      <c r="L2927" s="11"/>
      <c r="M2927" s="11"/>
      <c r="N2927" s="30" t="str">
        <f>IFERROR(__xludf.DUMMYFUNCTION("""COMPUTED_VALUE"""),"gabiafn@gmail.com")</f>
        <v>gabiafn@gmail.com</v>
      </c>
      <c r="O2927" s="11">
        <f>IFERROR(__xludf.DUMMYFUNCTION("""COMPUTED_VALUE"""),8382258450)</f>
        <v>8382258450</v>
      </c>
      <c r="P2927" s="11"/>
      <c r="Q2927" s="11"/>
      <c r="R2927" s="11"/>
      <c r="S2927" s="11"/>
      <c r="T2927" s="11"/>
      <c r="U2927" s="11"/>
      <c r="V2927" s="11"/>
      <c r="W2927" s="11"/>
      <c r="X2927" s="11"/>
      <c r="Y2927" s="11"/>
      <c r="Z2927" s="11"/>
    </row>
    <row r="2928" customHeight="1" spans="1:26">
      <c r="A2928" s="11" t="str">
        <f>IFERROR(__xludf.DUMMYFUNCTION("""COMPUTED_VALUE"""),"MILENA CANDIDO PANTALEAO")</f>
        <v>MILENA CANDIDO PANTALEAO</v>
      </c>
      <c r="B2928" s="11"/>
      <c r="C2928" s="11"/>
      <c r="D2928" s="11" t="str">
        <f>IFERROR(__xludf.DUMMYFUNCTION("""COMPUTED_VALUE""")," CLINICA GERAL ")</f>
        <v> CLINICA GERAL </v>
      </c>
      <c r="E2928" s="11"/>
      <c r="F2928" s="11" t="str">
        <f>IFERROR(__xludf.DUMMYFUNCTION("""COMPUTED_VALUE"""),"US_167 POLICLINICA E MATERNIDADE PROFESSOR BARROS LIMA")</f>
        <v>US_167 POLICLINICA E MATERNIDADE PROFESSOR BARROS LIMA</v>
      </c>
      <c r="G2928" s="11" t="str">
        <f>IFERROR(__xludf.DUMMYFUNCTION("""COMPUTED_VALUE"""),"US_167 POLICLINICA E MATERNIDADE PROFESSOR BARROS LIMA")</f>
        <v>US_167 POLICLINICA E MATERNIDADE PROFESSOR BARROS LIMA</v>
      </c>
      <c r="H2928" s="11"/>
      <c r="I2928" s="11"/>
      <c r="J2928" s="11"/>
      <c r="K2928" s="11"/>
      <c r="L2928" s="11"/>
      <c r="M2928" s="11"/>
      <c r="N2928" s="30" t="str">
        <f>IFERROR(__xludf.DUMMYFUNCTION("""COMPUTED_VALUE"""),"milenarquivos@gmail.com")</f>
        <v>milenarquivos@gmail.com</v>
      </c>
      <c r="O2928" s="11">
        <f>IFERROR(__xludf.DUMMYFUNCTION("""COMPUTED_VALUE"""),8228425481)</f>
        <v>8228425481</v>
      </c>
      <c r="P2928" s="11"/>
      <c r="Q2928" s="11"/>
      <c r="R2928" s="11"/>
      <c r="S2928" s="11"/>
      <c r="T2928" s="11"/>
      <c r="U2928" s="11"/>
      <c r="V2928" s="11"/>
      <c r="W2928" s="11"/>
      <c r="X2928" s="11"/>
      <c r="Y2928" s="11"/>
      <c r="Z2928" s="11"/>
    </row>
    <row r="2929" customHeight="1" spans="1:26">
      <c r="A2929" s="11" t="str">
        <f>IFERROR(__xludf.DUMMYFUNCTION("""COMPUTED_VALUE"""),"THIAGO AUGUSTO DA COSTA")</f>
        <v>THIAGO AUGUSTO DA COSTA</v>
      </c>
      <c r="B2929" s="11"/>
      <c r="C2929" s="11"/>
      <c r="D2929" s="11" t="str">
        <f>IFERROR(__xludf.DUMMYFUNCTION("""COMPUTED_VALUE""")," CLINICA GERAL ")</f>
        <v> CLINICA GERAL </v>
      </c>
      <c r="E2929" s="11"/>
      <c r="F2929" s="11" t="str">
        <f>IFERROR(__xludf.DUMMYFUNCTION("""COMPUTED_VALUE"""),"US_167 POLICLINICA E MATERNIDADE PROFESSOR BARROS LIMA")</f>
        <v>US_167 POLICLINICA E MATERNIDADE PROFESSOR BARROS LIMA</v>
      </c>
      <c r="G2929" s="11" t="str">
        <f>IFERROR(__xludf.DUMMYFUNCTION("""COMPUTED_VALUE"""),"US_167 POLICLINICA E MATERNIDADE PROFESSOR BARROS LIMA")</f>
        <v>US_167 POLICLINICA E MATERNIDADE PROFESSOR BARROS LIMA</v>
      </c>
      <c r="H2929" s="11"/>
      <c r="I2929" s="11"/>
      <c r="J2929" s="11"/>
      <c r="K2929" s="11"/>
      <c r="L2929" s="11"/>
      <c r="M2929" s="11"/>
      <c r="N2929" s="30" t="str">
        <f>IFERROR(__xludf.DUMMYFUNCTION("""COMPUTED_VALUE"""),"thiagoaugustt@hotmail.com")</f>
        <v>thiagoaugustt@hotmail.com</v>
      </c>
      <c r="O2929" s="11">
        <f>IFERROR(__xludf.DUMMYFUNCTION("""COMPUTED_VALUE"""),1221660438)</f>
        <v>1221660438</v>
      </c>
      <c r="P2929" s="11"/>
      <c r="Q2929" s="11"/>
      <c r="R2929" s="11"/>
      <c r="S2929" s="11"/>
      <c r="T2929" s="11"/>
      <c r="U2929" s="11"/>
      <c r="V2929" s="11"/>
      <c r="W2929" s="11"/>
      <c r="X2929" s="11"/>
      <c r="Y2929" s="11"/>
      <c r="Z2929" s="11"/>
    </row>
    <row r="2930" customHeight="1" spans="1:26">
      <c r="A2930" s="11" t="str">
        <f>IFERROR(__xludf.DUMMYFUNCTION("""COMPUTED_VALUE"""),"IZABELA C SOUZA DE ALBUQUERQUE")</f>
        <v>IZABELA C SOUZA DE ALBUQUERQUE</v>
      </c>
      <c r="B2930" s="11"/>
      <c r="C2930" s="11"/>
      <c r="D2930" s="11" t="str">
        <f>IFERROR(__xludf.DUMMYFUNCTION("""COMPUTED_VALUE"""),"CIRURGIA GERAL")</f>
        <v>CIRURGIA GERAL</v>
      </c>
      <c r="E2930" s="11"/>
      <c r="F2930" s="11" t="str">
        <f>IFERROR(__xludf.DUMMYFUNCTION("""COMPUTED_VALUE"""),"US_153 POLICLINICA E MATERNIDADE ARNALDO MARQUES")</f>
        <v>US_153 POLICLINICA E MATERNIDADE ARNALDO MARQUES</v>
      </c>
      <c r="G2930" s="11" t="str">
        <f>IFERROR(__xludf.DUMMYFUNCTION("""COMPUTED_VALUE"""),"US_153 POLICLINICA E MATERNIDADE ARNALDO MARQUES")</f>
        <v>US_153 POLICLINICA E MATERNIDADE ARNALDO MARQUES</v>
      </c>
      <c r="H2930" s="11"/>
      <c r="I2930" s="11"/>
      <c r="J2930" s="11"/>
      <c r="K2930" s="11"/>
      <c r="L2930" s="11"/>
      <c r="M2930" s="11"/>
      <c r="N2930" s="30" t="str">
        <f>IFERROR(__xludf.DUMMYFUNCTION("""COMPUTED_VALUE"""),"albuquerqueizabela@hotmail.com")</f>
        <v>albuquerqueizabela@hotmail.com</v>
      </c>
      <c r="O2930" s="11">
        <f>IFERROR(__xludf.DUMMYFUNCTION("""COMPUTED_VALUE"""),6888864421)</f>
        <v>6888864421</v>
      </c>
      <c r="P2930" s="11"/>
      <c r="Q2930" s="11"/>
      <c r="R2930" s="11"/>
      <c r="S2930" s="11"/>
      <c r="T2930" s="11"/>
      <c r="U2930" s="11"/>
      <c r="V2930" s="11"/>
      <c r="W2930" s="11"/>
      <c r="X2930" s="11"/>
      <c r="Y2930" s="11"/>
      <c r="Z2930" s="11"/>
    </row>
    <row r="2931" customHeight="1" spans="1:26">
      <c r="A2931" s="11" t="str">
        <f>IFERROR(__xludf.DUMMYFUNCTION("""COMPUTED_VALUE"""),"FERNANDO JORGE DINIZ CAVALCANT")</f>
        <v>FERNANDO JORGE DINIZ CAVALCANT</v>
      </c>
      <c r="B2931" s="11"/>
      <c r="C2931" s="11"/>
      <c r="D2931" s="11" t="str">
        <f>IFERROR(__xludf.DUMMYFUNCTION("""COMPUTED_VALUE"""),"CIRURGIA GERAL")</f>
        <v>CIRURGIA GERAL</v>
      </c>
      <c r="E2931" s="11"/>
      <c r="F2931" s="11" t="str">
        <f>IFERROR(__xludf.DUMMYFUNCTION("""COMPUTED_VALUE"""),"US_153 POLICLINICA E MATERNIDADE ARNALDO MARQUES")</f>
        <v>US_153 POLICLINICA E MATERNIDADE ARNALDO MARQUES</v>
      </c>
      <c r="G2931" s="11" t="str">
        <f>IFERROR(__xludf.DUMMYFUNCTION("""COMPUTED_VALUE"""),"US_153 POLICLINICA E MATERNIDADE ARNALDO MARQUES")</f>
        <v>US_153 POLICLINICA E MATERNIDADE ARNALDO MARQUES</v>
      </c>
      <c r="H2931" s="11"/>
      <c r="I2931" s="11"/>
      <c r="J2931" s="11"/>
      <c r="K2931" s="11"/>
      <c r="L2931" s="11"/>
      <c r="M2931" s="11"/>
      <c r="N2931" s="30" t="str">
        <f>IFERROR(__xludf.DUMMYFUNCTION("""COMPUTED_VALUE"""),"fernandojdc@gmail.com")</f>
        <v>fernandojdc@gmail.com</v>
      </c>
      <c r="O2931" s="11">
        <f>IFERROR(__xludf.DUMMYFUNCTION("""COMPUTED_VALUE"""),4782839464)</f>
        <v>4782839464</v>
      </c>
      <c r="P2931" s="11"/>
      <c r="Q2931" s="11"/>
      <c r="R2931" s="11"/>
      <c r="S2931" s="11"/>
      <c r="T2931" s="11"/>
      <c r="U2931" s="11"/>
      <c r="V2931" s="11"/>
      <c r="W2931" s="11"/>
      <c r="X2931" s="11"/>
      <c r="Y2931" s="11"/>
      <c r="Z2931" s="11"/>
    </row>
    <row r="2932" customHeight="1" spans="1:26">
      <c r="A2932" s="11" t="str">
        <f>IFERROR(__xludf.DUMMYFUNCTION("""COMPUTED_VALUE"""),"LUIZ PAULO FIGUEIREDO VIEIRA")</f>
        <v>LUIZ PAULO FIGUEIREDO VIEIRA</v>
      </c>
      <c r="B2932" s="11"/>
      <c r="C2932" s="11"/>
      <c r="D2932" s="11" t="str">
        <f>IFERROR(__xludf.DUMMYFUNCTION("""COMPUTED_VALUE"""),"CIRURGIA GERAL")</f>
        <v>CIRURGIA GERAL</v>
      </c>
      <c r="E2932" s="11"/>
      <c r="F2932" s="11" t="str">
        <f>IFERROR(__xludf.DUMMYFUNCTION("""COMPUTED_VALUE"""),"US_153 POLICLINICA E MATERNIDADE ARNALDO MARQUES")</f>
        <v>US_153 POLICLINICA E MATERNIDADE ARNALDO MARQUES</v>
      </c>
      <c r="G2932" s="11" t="str">
        <f>IFERROR(__xludf.DUMMYFUNCTION("""COMPUTED_VALUE"""),"US_153 POLICLINICA E MATERNIDADE ARNALDO MARQUES")</f>
        <v>US_153 POLICLINICA E MATERNIDADE ARNALDO MARQUES</v>
      </c>
      <c r="H2932" s="11"/>
      <c r="I2932" s="11"/>
      <c r="J2932" s="11"/>
      <c r="K2932" s="11"/>
      <c r="L2932" s="11"/>
      <c r="M2932" s="11"/>
      <c r="N2932" s="30" t="str">
        <f>IFERROR(__xludf.DUMMYFUNCTION("""COMPUTED_VALUE"""),"urovieira@gmail.com")</f>
        <v>urovieira@gmail.com</v>
      </c>
      <c r="O2932" s="11">
        <f>IFERROR(__xludf.DUMMYFUNCTION("""COMPUTED_VALUE"""),91255708468)</f>
        <v>91255708468</v>
      </c>
      <c r="P2932" s="11"/>
      <c r="Q2932" s="11"/>
      <c r="R2932" s="11"/>
      <c r="S2932" s="11"/>
      <c r="T2932" s="11"/>
      <c r="U2932" s="11"/>
      <c r="V2932" s="11"/>
      <c r="W2932" s="11"/>
      <c r="X2932" s="11"/>
      <c r="Y2932" s="11"/>
      <c r="Z2932" s="11"/>
    </row>
    <row r="2933" customHeight="1" spans="1:26">
      <c r="A2933" s="11" t="str">
        <f>IFERROR(__xludf.DUMMYFUNCTION("""COMPUTED_VALUE"""),"TIAGO MEDEIROS DOS S SILVA")</f>
        <v>TIAGO MEDEIROS DOS S SILVA</v>
      </c>
      <c r="B2933" s="11"/>
      <c r="C2933" s="11"/>
      <c r="D2933" s="11" t="str">
        <f>IFERROR(__xludf.DUMMYFUNCTION("""COMPUTED_VALUE"""),"CLINICA GERAL")</f>
        <v>CLINICA GERAL</v>
      </c>
      <c r="E2933" s="11"/>
      <c r="F2933" s="11" t="str">
        <f>IFERROR(__xludf.DUMMYFUNCTION("""COMPUTED_VALUE"""),"US_167 POLICLINICA E MATERNIDADE PROFESSOR BARROS LIMA")</f>
        <v>US_167 POLICLINICA E MATERNIDADE PROFESSOR BARROS LIMA</v>
      </c>
      <c r="G2933" s="11" t="str">
        <f>IFERROR(__xludf.DUMMYFUNCTION("""COMPUTED_VALUE"""),"US_167 POLICLINICA E MATERNIDADE PROFESSOR BARROS LIMA")</f>
        <v>US_167 POLICLINICA E MATERNIDADE PROFESSOR BARROS LIMA</v>
      </c>
      <c r="H2933" s="11"/>
      <c r="I2933" s="11"/>
      <c r="J2933" s="11"/>
      <c r="K2933" s="11"/>
      <c r="L2933" s="11"/>
      <c r="M2933" s="11"/>
      <c r="N2933" s="30" t="str">
        <f>IFERROR(__xludf.DUMMYFUNCTION("""COMPUTED_VALUE"""),"medeiros_872@hotmail.com")</f>
        <v>medeiros_872@hotmail.com</v>
      </c>
      <c r="O2933" s="11">
        <f>IFERROR(__xludf.DUMMYFUNCTION("""COMPUTED_VALUE"""),7396149401)</f>
        <v>7396149401</v>
      </c>
      <c r="P2933" s="11"/>
      <c r="Q2933" s="11"/>
      <c r="R2933" s="11"/>
      <c r="S2933" s="11"/>
      <c r="T2933" s="11"/>
      <c r="U2933" s="11"/>
      <c r="V2933" s="11"/>
      <c r="W2933" s="11"/>
      <c r="X2933" s="11"/>
      <c r="Y2933" s="11"/>
      <c r="Z2933" s="11"/>
    </row>
    <row r="2934" customHeight="1" spans="1:26">
      <c r="A2934" s="11" t="str">
        <f>IFERROR(__xludf.DUMMYFUNCTION("""COMPUTED_VALUE"""),"JHONAT THAYLSON DA SILVA")</f>
        <v>JHONAT THAYLSON DA SILVA</v>
      </c>
      <c r="B2934" s="11"/>
      <c r="C2934" s="11"/>
      <c r="D2934" s="11" t="str">
        <f>IFERROR(__xludf.DUMMYFUNCTION("""COMPUTED_VALUE"""),"CLINICA GERAL")</f>
        <v>CLINICA GERAL</v>
      </c>
      <c r="E2934" s="11"/>
      <c r="F2934" s="11" t="str">
        <f>IFERROR(__xludf.DUMMYFUNCTION("""COMPUTED_VALUE"""),"US_153 POLICLINICA E MATERNIDADE ARNALDO MARQUES")</f>
        <v>US_153 POLICLINICA E MATERNIDADE ARNALDO MARQUES</v>
      </c>
      <c r="G2934" s="11" t="str">
        <f>IFERROR(__xludf.DUMMYFUNCTION("""COMPUTED_VALUE"""),"US_153 POLICLINICA E MATERNIDADE ARNALDO MARQUES")</f>
        <v>US_153 POLICLINICA E MATERNIDADE ARNALDO MARQUES</v>
      </c>
      <c r="H2934" s="11"/>
      <c r="I2934" s="11"/>
      <c r="J2934" s="11"/>
      <c r="K2934" s="11"/>
      <c r="L2934" s="11"/>
      <c r="M2934" s="11"/>
      <c r="N2934" s="30" t="str">
        <f>IFERROR(__xludf.DUMMYFUNCTION("""COMPUTED_VALUE"""),"jhonatsilva.med@gmail.com")</f>
        <v>jhonatsilva.med@gmail.com</v>
      </c>
      <c r="O2934" s="11">
        <f>IFERROR(__xludf.DUMMYFUNCTION("""COMPUTED_VALUE"""),6474425407)</f>
        <v>6474425407</v>
      </c>
      <c r="P2934" s="11"/>
      <c r="Q2934" s="11"/>
      <c r="R2934" s="11"/>
      <c r="S2934" s="11"/>
      <c r="T2934" s="11"/>
      <c r="U2934" s="11"/>
      <c r="V2934" s="11"/>
      <c r="W2934" s="11"/>
      <c r="X2934" s="11"/>
      <c r="Y2934" s="11"/>
      <c r="Z2934" s="11"/>
    </row>
    <row r="2935" customHeight="1" spans="1:26">
      <c r="A2935" s="11" t="str">
        <f>IFERROR(__xludf.DUMMYFUNCTION("""COMPUTED_VALUE"""),"JOSE ADOLFO URT A DE MORAES")</f>
        <v>JOSE ADOLFO URT A DE MORAES</v>
      </c>
      <c r="B2935" s="11"/>
      <c r="C2935" s="11"/>
      <c r="D2935" s="11" t="str">
        <f>IFERROR(__xludf.DUMMYFUNCTION("""COMPUTED_VALUE"""),"CLINICA GERAL")</f>
        <v>CLINICA GERAL</v>
      </c>
      <c r="E2935" s="11"/>
      <c r="F2935" s="11" t="str">
        <f>IFERROR(__xludf.DUMMYFUNCTION("""COMPUTED_VALUE"""),"US_167 POLICLINICA E MATERNIDADE PROFESSOR BARROS LIMA")</f>
        <v>US_167 POLICLINICA E MATERNIDADE PROFESSOR BARROS LIMA</v>
      </c>
      <c r="G2935" s="11" t="str">
        <f>IFERROR(__xludf.DUMMYFUNCTION("""COMPUTED_VALUE"""),"US_167 POLICLINICA E MATERNIDADE PROFESSOR BARROS LIMA")</f>
        <v>US_167 POLICLINICA E MATERNIDADE PROFESSOR BARROS LIMA</v>
      </c>
      <c r="H2935" s="11"/>
      <c r="I2935" s="11"/>
      <c r="J2935" s="11"/>
      <c r="K2935" s="11"/>
      <c r="L2935" s="11"/>
      <c r="M2935" s="11"/>
      <c r="N2935" s="30" t="str">
        <f>IFERROR(__xludf.DUMMYFUNCTION("""COMPUTED_VALUE"""),"adolfo.urt@gmail.com")</f>
        <v>adolfo.urt@gmail.com</v>
      </c>
      <c r="O2935" s="11">
        <f>IFERROR(__xludf.DUMMYFUNCTION("""COMPUTED_VALUE"""),88214710472)</f>
        <v>88214710472</v>
      </c>
      <c r="P2935" s="11"/>
      <c r="Q2935" s="11"/>
      <c r="R2935" s="11"/>
      <c r="S2935" s="11"/>
      <c r="T2935" s="11"/>
      <c r="U2935" s="11"/>
      <c r="V2935" s="11"/>
      <c r="W2935" s="11"/>
      <c r="X2935" s="11"/>
      <c r="Y2935" s="11"/>
      <c r="Z2935" s="11"/>
    </row>
    <row r="2936" customHeight="1" spans="1:26">
      <c r="A2936" s="11" t="str">
        <f>IFERROR(__xludf.DUMMYFUNCTION("""COMPUTED_VALUE"""),"PRISCILA NOGUEIRA M DE M URT")</f>
        <v>PRISCILA NOGUEIRA M DE M URT</v>
      </c>
      <c r="B2936" s="11"/>
      <c r="C2936" s="11"/>
      <c r="D2936" s="11" t="str">
        <f>IFERROR(__xludf.DUMMYFUNCTION("""COMPUTED_VALUE"""),"CLINICA GERAL")</f>
        <v>CLINICA GERAL</v>
      </c>
      <c r="E2936" s="11"/>
      <c r="F2936" s="11" t="str">
        <f>IFERROR(__xludf.DUMMYFUNCTION("""COMPUTED_VALUE"""),"US_167 POLICLINICA E MATERNIDADE PROFESSOR BARROS LIMA")</f>
        <v>US_167 POLICLINICA E MATERNIDADE PROFESSOR BARROS LIMA</v>
      </c>
      <c r="G2936" s="11" t="str">
        <f>IFERROR(__xludf.DUMMYFUNCTION("""COMPUTED_VALUE"""),"US_167 POLICLINICA E MATERNIDADE PROFESSOR BARROS LIMA")</f>
        <v>US_167 POLICLINICA E MATERNIDADE PROFESSOR BARROS LIMA</v>
      </c>
      <c r="H2936" s="11"/>
      <c r="I2936" s="11"/>
      <c r="J2936" s="11"/>
      <c r="K2936" s="11"/>
      <c r="L2936" s="11"/>
      <c r="M2936" s="11"/>
      <c r="N2936" s="30" t="str">
        <f>IFERROR(__xludf.DUMMYFUNCTION("""COMPUTED_VALUE"""),"priscilanmmelo@hotmail.com")</f>
        <v>priscilanmmelo@hotmail.com</v>
      </c>
      <c r="O2936" s="11">
        <f>IFERROR(__xludf.DUMMYFUNCTION("""COMPUTED_VALUE"""),4981319479)</f>
        <v>4981319479</v>
      </c>
      <c r="P2936" s="11"/>
      <c r="Q2936" s="11"/>
      <c r="R2936" s="11"/>
      <c r="S2936" s="11"/>
      <c r="T2936" s="11"/>
      <c r="U2936" s="11"/>
      <c r="V2936" s="11"/>
      <c r="W2936" s="11"/>
      <c r="X2936" s="11"/>
      <c r="Y2936" s="11"/>
      <c r="Z2936" s="11"/>
    </row>
    <row r="2937" customHeight="1" spans="1:26">
      <c r="A2937" s="11" t="str">
        <f>IFERROR(__xludf.DUMMYFUNCTION("""COMPUTED_VALUE"""),"RAFAELA DE MELO SIMOES LIMA")</f>
        <v>RAFAELA DE MELO SIMOES LIMA</v>
      </c>
      <c r="B2937" s="11"/>
      <c r="C2937" s="11"/>
      <c r="D2937" s="11" t="str">
        <f>IFERROR(__xludf.DUMMYFUNCTION("""COMPUTED_VALUE"""),"ANESTESIOLOGIA")</f>
        <v>ANESTESIOLOGIA</v>
      </c>
      <c r="E2937" s="11"/>
      <c r="F2937" s="11" t="str">
        <f>IFERROR(__xludf.DUMMYFUNCTION("""COMPUTED_VALUE"""),"US_167 POLICLINICA E MATERNIDADE PROFESSOR BARROS LIMA")</f>
        <v>US_167 POLICLINICA E MATERNIDADE PROFESSOR BARROS LIMA</v>
      </c>
      <c r="G2937" s="11" t="str">
        <f>IFERROR(__xludf.DUMMYFUNCTION("""COMPUTED_VALUE"""),"US_167 POLICLINICA E MATERNIDADE PROFESSOR BARROS LIMA")</f>
        <v>US_167 POLICLINICA E MATERNIDADE PROFESSOR BARROS LIMA</v>
      </c>
      <c r="H2937" s="11"/>
      <c r="I2937" s="11"/>
      <c r="J2937" s="11"/>
      <c r="K2937" s="11"/>
      <c r="L2937" s="11"/>
      <c r="M2937" s="11"/>
      <c r="N2937" s="30" t="str">
        <f>IFERROR(__xludf.DUMMYFUNCTION("""COMPUTED_VALUE"""),"rafasimoes2@hotmail.com")</f>
        <v>rafasimoes2@hotmail.com</v>
      </c>
      <c r="O2937" s="11">
        <f>IFERROR(__xludf.DUMMYFUNCTION("""COMPUTED_VALUE"""),5474437498)</f>
        <v>5474437498</v>
      </c>
      <c r="P2937" s="11"/>
      <c r="Q2937" s="11"/>
      <c r="R2937" s="11"/>
      <c r="S2937" s="11"/>
      <c r="T2937" s="11"/>
      <c r="U2937" s="11"/>
      <c r="V2937" s="11"/>
      <c r="W2937" s="11"/>
      <c r="X2937" s="11"/>
      <c r="Y2937" s="11"/>
      <c r="Z2937" s="11"/>
    </row>
    <row r="2938" customHeight="1" spans="1:26">
      <c r="A2938" s="11" t="str">
        <f>IFERROR(__xludf.DUMMYFUNCTION("""COMPUTED_VALUE"""),"SANNA PAULA PIRES M CAMPOS")</f>
        <v>SANNA PAULA PIRES M CAMPOS</v>
      </c>
      <c r="B2938" s="11"/>
      <c r="C2938" s="11"/>
      <c r="D2938" s="11" t="str">
        <f>IFERROR(__xludf.DUMMYFUNCTION("""COMPUTED_VALUE"""),"CLINICA GERAL")</f>
        <v>CLINICA GERAL</v>
      </c>
      <c r="E2938" s="11"/>
      <c r="F2938" s="11" t="str">
        <f>IFERROR(__xludf.DUMMYFUNCTION("""COMPUTED_VALUE"""),"US_167 POLICLINICA E MATERNIDADE PROFESSOR BARROS LIMA")</f>
        <v>US_167 POLICLINICA E MATERNIDADE PROFESSOR BARROS LIMA</v>
      </c>
      <c r="G2938" s="11" t="str">
        <f>IFERROR(__xludf.DUMMYFUNCTION("""COMPUTED_VALUE"""),"US_167 POLICLINICA E MATERNIDADE PROFESSOR BARROS LIMA")</f>
        <v>US_167 POLICLINICA E MATERNIDADE PROFESSOR BARROS LIMA</v>
      </c>
      <c r="H2938" s="11"/>
      <c r="I2938" s="11"/>
      <c r="J2938" s="11"/>
      <c r="K2938" s="11"/>
      <c r="L2938" s="11"/>
      <c r="M2938" s="11"/>
      <c r="N2938" s="30" t="str">
        <f>IFERROR(__xludf.DUMMYFUNCTION("""COMPUTED_VALUE"""),"sanninhapaula@hotmail.com")</f>
        <v>sanninhapaula@hotmail.com</v>
      </c>
      <c r="O2938" s="11">
        <f>IFERROR(__xludf.DUMMYFUNCTION("""COMPUTED_VALUE"""),3184320561)</f>
        <v>3184320561</v>
      </c>
      <c r="P2938" s="11"/>
      <c r="Q2938" s="11"/>
      <c r="R2938" s="11"/>
      <c r="S2938" s="11"/>
      <c r="T2938" s="11"/>
      <c r="U2938" s="11"/>
      <c r="V2938" s="11"/>
      <c r="W2938" s="11"/>
      <c r="X2938" s="11"/>
      <c r="Y2938" s="11"/>
      <c r="Z2938" s="11"/>
    </row>
    <row r="2939" customHeight="1" spans="1:26">
      <c r="A2939" s="11" t="str">
        <f>IFERROR(__xludf.DUMMYFUNCTION("""COMPUTED_VALUE"""),"ANA LIGIA BEZERRA TELES")</f>
        <v>ANA LIGIA BEZERRA TELES</v>
      </c>
      <c r="B2939" s="11"/>
      <c r="C2939" s="11"/>
      <c r="D2939" s="11" t="str">
        <f>IFERROR(__xludf.DUMMYFUNCTION("""COMPUTED_VALUE"""),"ANESTESIOLOGIA")</f>
        <v>ANESTESIOLOGIA</v>
      </c>
      <c r="E2939" s="11"/>
      <c r="F2939" s="11" t="str">
        <f>IFERROR(__xludf.DUMMYFUNCTION("""COMPUTED_VALUE"""),"US_165 MATERNIDADE BANDEIRA FILHO")</f>
        <v>US_165 MATERNIDADE BANDEIRA FILHO</v>
      </c>
      <c r="G2939" s="11" t="str">
        <f>IFERROR(__xludf.DUMMYFUNCTION("""COMPUTED_VALUE"""),"US_165 MATERNIDADE BANDEIRA FILHO")</f>
        <v>US_165 MATERNIDADE BANDEIRA FILHO</v>
      </c>
      <c r="H2939" s="11"/>
      <c r="I2939" s="11"/>
      <c r="J2939" s="11"/>
      <c r="K2939" s="11"/>
      <c r="L2939" s="11"/>
      <c r="M2939" s="11"/>
      <c r="N2939" s="30" t="str">
        <f>IFERROR(__xludf.DUMMYFUNCTION("""COMPUTED_VALUE"""),"ligia-teles@hotmail.com")</f>
        <v>ligia-teles@hotmail.com</v>
      </c>
      <c r="O2939" s="11">
        <f>IFERROR(__xludf.DUMMYFUNCTION("""COMPUTED_VALUE"""),60003524337)</f>
        <v>60003524337</v>
      </c>
      <c r="P2939" s="11"/>
      <c r="Q2939" s="11"/>
      <c r="R2939" s="11"/>
      <c r="S2939" s="11"/>
      <c r="T2939" s="11"/>
      <c r="U2939" s="11"/>
      <c r="V2939" s="11"/>
      <c r="W2939" s="11"/>
      <c r="X2939" s="11"/>
      <c r="Y2939" s="11"/>
      <c r="Z2939" s="11"/>
    </row>
    <row r="2940" customHeight="1" spans="1:26">
      <c r="A2940" s="11" t="str">
        <f>IFERROR(__xludf.DUMMYFUNCTION("""COMPUTED_VALUE"""),"IBERTSON HENRIQUE DE S JUVINO")</f>
        <v>IBERTSON HENRIQUE DE S JUVINO</v>
      </c>
      <c r="B2940" s="11"/>
      <c r="C2940" s="11"/>
      <c r="D2940" s="11" t="str">
        <f>IFERROR(__xludf.DUMMYFUNCTION("""COMPUTED_VALUE"""),"CLINICA GERAL")</f>
        <v>CLINICA GERAL</v>
      </c>
      <c r="E2940" s="11"/>
      <c r="F2940" s="11" t="str">
        <f>IFERROR(__xludf.DUMMYFUNCTION("""COMPUTED_VALUE"""),"US_153 POLICLINICA E MATERNIDADE ARNALDO MARQUES")</f>
        <v>US_153 POLICLINICA E MATERNIDADE ARNALDO MARQUES</v>
      </c>
      <c r="G2940" s="11" t="str">
        <f>IFERROR(__xludf.DUMMYFUNCTION("""COMPUTED_VALUE"""),"US_153 POLICLINICA E MATERNIDADE ARNALDO MARQUES")</f>
        <v>US_153 POLICLINICA E MATERNIDADE ARNALDO MARQUES</v>
      </c>
      <c r="H2940" s="11"/>
      <c r="I2940" s="11"/>
      <c r="J2940" s="11"/>
      <c r="K2940" s="11"/>
      <c r="L2940" s="11"/>
      <c r="M2940" s="11"/>
      <c r="N2940" s="30" t="str">
        <f>IFERROR(__xludf.DUMMYFUNCTION("""COMPUTED_VALUE"""),"ibertson@hotmail.com")</f>
        <v>ibertson@hotmail.com</v>
      </c>
      <c r="O2940" s="11">
        <f>IFERROR(__xludf.DUMMYFUNCTION("""COMPUTED_VALUE"""),65338065487)</f>
        <v>65338065487</v>
      </c>
      <c r="P2940" s="11"/>
      <c r="Q2940" s="11"/>
      <c r="R2940" s="11"/>
      <c r="S2940" s="11"/>
      <c r="T2940" s="11"/>
      <c r="U2940" s="11"/>
      <c r="V2940" s="11"/>
      <c r="W2940" s="11"/>
      <c r="X2940" s="11"/>
      <c r="Y2940" s="11"/>
      <c r="Z2940" s="11"/>
    </row>
    <row r="2941" customHeight="1" spans="1:26">
      <c r="A2941" s="11" t="str">
        <f>IFERROR(__xludf.DUMMYFUNCTION("""COMPUTED_VALUE"""),"JONAS MENEZES DE LIMA")</f>
        <v>JONAS MENEZES DE LIMA</v>
      </c>
      <c r="B2941" s="11"/>
      <c r="C2941" s="11"/>
      <c r="D2941" s="11" t="str">
        <f>IFERROR(__xludf.DUMMYFUNCTION("""COMPUTED_VALUE"""),"CLINICA GERAL")</f>
        <v>CLINICA GERAL</v>
      </c>
      <c r="E2941" s="11"/>
      <c r="F2941" s="11" t="str">
        <f>IFERROR(__xludf.DUMMYFUNCTION("""COMPUTED_VALUE"""),"US_153 POLICLINICA E MATERNIDADE ARNALDO MARQUES")</f>
        <v>US_153 POLICLINICA E MATERNIDADE ARNALDO MARQUES</v>
      </c>
      <c r="G2941" s="11" t="str">
        <f>IFERROR(__xludf.DUMMYFUNCTION("""COMPUTED_VALUE"""),"US_153 POLICLINICA E MATERNIDADE ARNALDO MARQUES")</f>
        <v>US_153 POLICLINICA E MATERNIDADE ARNALDO MARQUES</v>
      </c>
      <c r="H2941" s="11"/>
      <c r="I2941" s="11"/>
      <c r="J2941" s="11"/>
      <c r="K2941" s="11"/>
      <c r="L2941" s="11"/>
      <c r="M2941" s="11"/>
      <c r="N2941" s="30" t="str">
        <f>IFERROR(__xludf.DUMMYFUNCTION("""COMPUTED_VALUE"""),"jjonasml@gmail.com")</f>
        <v>jjonasml@gmail.com</v>
      </c>
      <c r="O2941" s="11">
        <f>IFERROR(__xludf.DUMMYFUNCTION("""COMPUTED_VALUE"""),5451738416)</f>
        <v>5451738416</v>
      </c>
      <c r="P2941" s="11"/>
      <c r="Q2941" s="11"/>
      <c r="R2941" s="11"/>
      <c r="S2941" s="11"/>
      <c r="T2941" s="11"/>
      <c r="U2941" s="11"/>
      <c r="V2941" s="11"/>
      <c r="W2941" s="11"/>
      <c r="X2941" s="11"/>
      <c r="Y2941" s="11"/>
      <c r="Z2941" s="11"/>
    </row>
    <row r="2942" customHeight="1" spans="1:26">
      <c r="A2942" s="11" t="str">
        <f>IFERROR(__xludf.DUMMYFUNCTION("""COMPUTED_VALUE"""),"JORGE VITOR BARRETO ARAUJO")</f>
        <v>JORGE VITOR BARRETO ARAUJO</v>
      </c>
      <c r="B2942" s="11"/>
      <c r="C2942" s="11"/>
      <c r="D2942" s="11" t="str">
        <f>IFERROR(__xludf.DUMMYFUNCTION("""COMPUTED_VALUE"""),"CLINICA GERAL")</f>
        <v>CLINICA GERAL</v>
      </c>
      <c r="E2942" s="11"/>
      <c r="F2942" s="11" t="str">
        <f>IFERROR(__xludf.DUMMYFUNCTION("""COMPUTED_VALUE"""),"US_167 POLICLINICA E MATERNIDADE PROFESSOR BARROS LIMA")</f>
        <v>US_167 POLICLINICA E MATERNIDADE PROFESSOR BARROS LIMA</v>
      </c>
      <c r="G2942" s="11" t="str">
        <f>IFERROR(__xludf.DUMMYFUNCTION("""COMPUTED_VALUE"""),"US_167 POLICLINICA E MATERNIDADE PROFESSOR BARROS LIMA")</f>
        <v>US_167 POLICLINICA E MATERNIDADE PROFESSOR BARROS LIMA</v>
      </c>
      <c r="H2942" s="11"/>
      <c r="I2942" s="11"/>
      <c r="J2942" s="11"/>
      <c r="K2942" s="11"/>
      <c r="L2942" s="11"/>
      <c r="M2942" s="11"/>
      <c r="N2942" s="30" t="str">
        <f>IFERROR(__xludf.DUMMYFUNCTION("""COMPUTED_VALUE"""),"vitorx@gmail.com")</f>
        <v>vitorx@gmail.com</v>
      </c>
      <c r="O2942" s="11">
        <f>IFERROR(__xludf.DUMMYFUNCTION("""COMPUTED_VALUE"""),5421775445)</f>
        <v>5421775445</v>
      </c>
      <c r="P2942" s="11"/>
      <c r="Q2942" s="11"/>
      <c r="R2942" s="11"/>
      <c r="S2942" s="11"/>
      <c r="T2942" s="11"/>
      <c r="U2942" s="11"/>
      <c r="V2942" s="11"/>
      <c r="W2942" s="11"/>
      <c r="X2942" s="11"/>
      <c r="Y2942" s="11"/>
      <c r="Z2942" s="11"/>
    </row>
    <row r="2943" customHeight="1" spans="1:26">
      <c r="A2943" s="11" t="str">
        <f>IFERROR(__xludf.DUMMYFUNCTION("""COMPUTED_VALUE"""),"LUCIANA MARIA SOBREIRA BEZERRA")</f>
        <v>LUCIANA MARIA SOBREIRA BEZERRA</v>
      </c>
      <c r="B2943" s="11"/>
      <c r="C2943" s="11"/>
      <c r="D2943" s="11" t="str">
        <f>IFERROR(__xludf.DUMMYFUNCTION("""COMPUTED_VALUE"""),"CLINICA GERAL")</f>
        <v>CLINICA GERAL</v>
      </c>
      <c r="E2943" s="11"/>
      <c r="F2943" s="11" t="str">
        <f>IFERROR(__xludf.DUMMYFUNCTION("""COMPUTED_VALUE"""),"US_167 POLICLINICA E MATERNIDADE PROFESSOR BARROS LIMA")</f>
        <v>US_167 POLICLINICA E MATERNIDADE PROFESSOR BARROS LIMA</v>
      </c>
      <c r="G2943" s="11" t="str">
        <f>IFERROR(__xludf.DUMMYFUNCTION("""COMPUTED_VALUE"""),"US_167 POLICLINICA E MATERNIDADE PROFESSOR BARROS LIMA")</f>
        <v>US_167 POLICLINICA E MATERNIDADE PROFESSOR BARROS LIMA</v>
      </c>
      <c r="H2943" s="11"/>
      <c r="I2943" s="11"/>
      <c r="J2943" s="11"/>
      <c r="K2943" s="11"/>
      <c r="L2943" s="11"/>
      <c r="M2943" s="11"/>
      <c r="N2943" s="30" t="str">
        <f>IFERROR(__xludf.DUMMYFUNCTION("""COMPUTED_VALUE"""),"lcnsobreira@hotmail.com")</f>
        <v>lcnsobreira@hotmail.com</v>
      </c>
      <c r="O2943" s="11">
        <f>IFERROR(__xludf.DUMMYFUNCTION("""COMPUTED_VALUE"""),2150574497)</f>
        <v>2150574497</v>
      </c>
      <c r="P2943" s="11"/>
      <c r="Q2943" s="11"/>
      <c r="R2943" s="11"/>
      <c r="S2943" s="11"/>
      <c r="T2943" s="11"/>
      <c r="U2943" s="11"/>
      <c r="V2943" s="11"/>
      <c r="W2943" s="11"/>
      <c r="X2943" s="11"/>
      <c r="Y2943" s="11"/>
      <c r="Z2943" s="11"/>
    </row>
    <row r="2944" customHeight="1" spans="1:26">
      <c r="A2944" s="11" t="str">
        <f>IFERROR(__xludf.DUMMYFUNCTION("""COMPUTED_VALUE"""),"MACIANA SANTOS SILVA")</f>
        <v>MACIANA SANTOS SILVA</v>
      </c>
      <c r="B2944" s="11"/>
      <c r="C2944" s="11"/>
      <c r="D2944" s="11" t="str">
        <f>IFERROR(__xludf.DUMMYFUNCTION("""COMPUTED_VALUE"""),"CLINICA GERAL")</f>
        <v>CLINICA GERAL</v>
      </c>
      <c r="E2944" s="11"/>
      <c r="F2944" s="11" t="str">
        <f>IFERROR(__xludf.DUMMYFUNCTION("""COMPUTED_VALUE"""),"US_153 POLICLINICA E MATERNIDADE ARNALDO MARQUES")</f>
        <v>US_153 POLICLINICA E MATERNIDADE ARNALDO MARQUES</v>
      </c>
      <c r="G2944" s="11" t="str">
        <f>IFERROR(__xludf.DUMMYFUNCTION("""COMPUTED_VALUE"""),"US_153 POLICLINICA E MATERNIDADE ARNALDO MARQUES")</f>
        <v>US_153 POLICLINICA E MATERNIDADE ARNALDO MARQUES</v>
      </c>
      <c r="H2944" s="11"/>
      <c r="I2944" s="11"/>
      <c r="J2944" s="11"/>
      <c r="K2944" s="11"/>
      <c r="L2944" s="11"/>
      <c r="M2944" s="11"/>
      <c r="N2944" s="30" t="str">
        <f>IFERROR(__xludf.DUMMYFUNCTION("""COMPUTED_VALUE"""),"maciana_9@hotmail.com")</f>
        <v>maciana_9@hotmail.com</v>
      </c>
      <c r="O2944" s="11">
        <f>IFERROR(__xludf.DUMMYFUNCTION("""COMPUTED_VALUE"""),7314653429)</f>
        <v>7314653429</v>
      </c>
      <c r="P2944" s="11"/>
      <c r="Q2944" s="11"/>
      <c r="R2944" s="11"/>
      <c r="S2944" s="11"/>
      <c r="T2944" s="11"/>
      <c r="U2944" s="11"/>
      <c r="V2944" s="11"/>
      <c r="W2944" s="11"/>
      <c r="X2944" s="11"/>
      <c r="Y2944" s="11"/>
      <c r="Z2944" s="11"/>
    </row>
    <row r="2945" customHeight="1" spans="1:26">
      <c r="A2945" s="11" t="str">
        <f>IFERROR(__xludf.DUMMYFUNCTION("""COMPUTED_VALUE"""),"MARIA EMILIA BORBA ESPINDOLA")</f>
        <v>MARIA EMILIA BORBA ESPINDOLA</v>
      </c>
      <c r="B2945" s="11"/>
      <c r="C2945" s="11"/>
      <c r="D2945" s="11" t="str">
        <f>IFERROR(__xludf.DUMMYFUNCTION("""COMPUTED_VALUE"""),"CLINICA GERAL")</f>
        <v>CLINICA GERAL</v>
      </c>
      <c r="E2945" s="11"/>
      <c r="F2945" s="11" t="str">
        <f>IFERROR(__xludf.DUMMYFUNCTION("""COMPUTED_VALUE"""),"US_153 POLICLINICA E MATERNIDADE ARNALDO MARQUES")</f>
        <v>US_153 POLICLINICA E MATERNIDADE ARNALDO MARQUES</v>
      </c>
      <c r="G2945" s="11" t="str">
        <f>IFERROR(__xludf.DUMMYFUNCTION("""COMPUTED_VALUE"""),"US_153 POLICLINICA E MATERNIDADE ARNALDO MARQUES")</f>
        <v>US_153 POLICLINICA E MATERNIDADE ARNALDO MARQUES</v>
      </c>
      <c r="H2945" s="11"/>
      <c r="I2945" s="11"/>
      <c r="J2945" s="11"/>
      <c r="K2945" s="11"/>
      <c r="L2945" s="11"/>
      <c r="M2945" s="11"/>
      <c r="N2945" s="30" t="str">
        <f>IFERROR(__xludf.DUMMYFUNCTION("""COMPUTED_VALUE"""),"borbaespindola@gmail.com")</f>
        <v>borbaespindola@gmail.com</v>
      </c>
      <c r="O2945" s="11">
        <f>IFERROR(__xludf.DUMMYFUNCTION("""COMPUTED_VALUE"""),84855843415)</f>
        <v>84855843415</v>
      </c>
      <c r="P2945" s="11"/>
      <c r="Q2945" s="11"/>
      <c r="R2945" s="11"/>
      <c r="S2945" s="11"/>
      <c r="T2945" s="11"/>
      <c r="U2945" s="11"/>
      <c r="V2945" s="11"/>
      <c r="W2945" s="11"/>
      <c r="X2945" s="11"/>
      <c r="Y2945" s="11"/>
      <c r="Z2945" s="11"/>
    </row>
    <row r="2946" customHeight="1" spans="1:26">
      <c r="A2946" s="11" t="str">
        <f>IFERROR(__xludf.DUMMYFUNCTION("""COMPUTED_VALUE"""),"TARCIANE ROSA DE V S BARRETO")</f>
        <v>TARCIANE ROSA DE V S BARRETO</v>
      </c>
      <c r="B2946" s="11"/>
      <c r="C2946" s="11"/>
      <c r="D2946" s="11" t="str">
        <f>IFERROR(__xludf.DUMMYFUNCTION("""COMPUTED_VALUE"""),"CLINICA GERAL")</f>
        <v>CLINICA GERAL</v>
      </c>
      <c r="E2946" s="11"/>
      <c r="F2946" s="11" t="str">
        <f>IFERROR(__xludf.DUMMYFUNCTION("""COMPUTED_VALUE"""),"US_167 POLICLINICA E MATERNIDADE PROFESSOR BARROS LIMA")</f>
        <v>US_167 POLICLINICA E MATERNIDADE PROFESSOR BARROS LIMA</v>
      </c>
      <c r="G2946" s="11" t="str">
        <f>IFERROR(__xludf.DUMMYFUNCTION("""COMPUTED_VALUE"""),"US_167 POLICLINICA E MATERNIDADE PROFESSOR BARROS LIMA")</f>
        <v>US_167 POLICLINICA E MATERNIDADE PROFESSOR BARROS LIMA</v>
      </c>
      <c r="H2946" s="11"/>
      <c r="I2946" s="11"/>
      <c r="J2946" s="11"/>
      <c r="K2946" s="11"/>
      <c r="L2946" s="11"/>
      <c r="M2946" s="11"/>
      <c r="N2946" s="30" t="str">
        <f>IFERROR(__xludf.DUMMYFUNCTION("""COMPUTED_VALUE"""),"tarcianerosa@hotmail.com")</f>
        <v>tarcianerosa@hotmail.com</v>
      </c>
      <c r="O2946" s="11">
        <f>IFERROR(__xludf.DUMMYFUNCTION("""COMPUTED_VALUE"""),6191642474)</f>
        <v>6191642474</v>
      </c>
      <c r="P2946" s="11"/>
      <c r="Q2946" s="11"/>
      <c r="R2946" s="11"/>
      <c r="S2946" s="11"/>
      <c r="T2946" s="11"/>
      <c r="U2946" s="11"/>
      <c r="V2946" s="11"/>
      <c r="W2946" s="11"/>
      <c r="X2946" s="11"/>
      <c r="Y2946" s="11"/>
      <c r="Z2946" s="11"/>
    </row>
    <row r="2947" customHeight="1" spans="1:26">
      <c r="A2947" s="11" t="str">
        <f>IFERROR(__xludf.DUMMYFUNCTION("""COMPUTED_VALUE"""),"IGOR CARVALHO VASCONCELOS")</f>
        <v>IGOR CARVALHO VASCONCELOS</v>
      </c>
      <c r="B2947" s="11"/>
      <c r="C2947" s="11"/>
      <c r="D2947" s="11" t="str">
        <f>IFERROR(__xludf.DUMMYFUNCTION("""COMPUTED_VALUE"""),"CLINICA GERAL")</f>
        <v>CLINICA GERAL</v>
      </c>
      <c r="E2947" s="11"/>
      <c r="F2947" s="11" t="str">
        <f>IFERROR(__xludf.DUMMYFUNCTION("""COMPUTED_VALUE"""),"US_153 POLICLINICA E MATERNIDADE ARNALDO MARQUES")</f>
        <v>US_153 POLICLINICA E MATERNIDADE ARNALDO MARQUES</v>
      </c>
      <c r="G2947" s="11" t="str">
        <f>IFERROR(__xludf.DUMMYFUNCTION("""COMPUTED_VALUE"""),"US_153 POLICLINICA E MATERNIDADE ARNALDO MARQUES")</f>
        <v>US_153 POLICLINICA E MATERNIDADE ARNALDO MARQUES</v>
      </c>
      <c r="H2947" s="11"/>
      <c r="I2947" s="11"/>
      <c r="J2947" s="11"/>
      <c r="K2947" s="11"/>
      <c r="L2947" s="11"/>
      <c r="M2947" s="11"/>
      <c r="N2947" s="30" t="str">
        <f>IFERROR(__xludf.DUMMYFUNCTION("""COMPUTED_VALUE"""),"vasconcelosic@yahoo.com.br")</f>
        <v>vasconcelosic@yahoo.com.br</v>
      </c>
      <c r="O2947" s="11">
        <f>IFERROR(__xludf.DUMMYFUNCTION("""COMPUTED_VALUE"""),3949617493)</f>
        <v>3949617493</v>
      </c>
      <c r="P2947" s="11"/>
      <c r="Q2947" s="11"/>
      <c r="R2947" s="11"/>
      <c r="S2947" s="11"/>
      <c r="T2947" s="11"/>
      <c r="U2947" s="11"/>
      <c r="V2947" s="11"/>
      <c r="W2947" s="11"/>
      <c r="X2947" s="11"/>
      <c r="Y2947" s="11"/>
      <c r="Z2947" s="11"/>
    </row>
    <row r="2948" customHeight="1" spans="1:26">
      <c r="A2948" s="11" t="str">
        <f>IFERROR(__xludf.DUMMYFUNCTION("""COMPUTED_VALUE"""),"ROBERTA DE CASTRO C CABRAL")</f>
        <v>ROBERTA DE CASTRO C CABRAL</v>
      </c>
      <c r="B2948" s="11"/>
      <c r="C2948" s="11"/>
      <c r="D2948" s="11" t="str">
        <f>IFERROR(__xludf.DUMMYFUNCTION("""COMPUTED_VALUE"""),"CLINICA GERAL")</f>
        <v>CLINICA GERAL</v>
      </c>
      <c r="E2948" s="11"/>
      <c r="F2948" s="11" t="str">
        <f>IFERROR(__xludf.DUMMYFUNCTION("""COMPUTED_VALUE"""),"US_153 POLICLINICA E MATERNIDADE ARNALDO MARQUES")</f>
        <v>US_153 POLICLINICA E MATERNIDADE ARNALDO MARQUES</v>
      </c>
      <c r="G2948" s="11" t="str">
        <f>IFERROR(__xludf.DUMMYFUNCTION("""COMPUTED_VALUE"""),"US_153 POLICLINICA E MATERNIDADE ARNALDO MARQUES")</f>
        <v>US_153 POLICLINICA E MATERNIDADE ARNALDO MARQUES</v>
      </c>
      <c r="H2948" s="11"/>
      <c r="I2948" s="11"/>
      <c r="J2948" s="11"/>
      <c r="K2948" s="11"/>
      <c r="L2948" s="11"/>
      <c r="M2948" s="11"/>
      <c r="N2948" s="30" t="str">
        <f>IFERROR(__xludf.DUMMYFUNCTION("""COMPUTED_VALUE"""),"betacchaves@hotmail.com")</f>
        <v>betacchaves@hotmail.com</v>
      </c>
      <c r="O2948" s="11">
        <f>IFERROR(__xludf.DUMMYFUNCTION("""COMPUTED_VALUE"""),945373481)</f>
        <v>945373481</v>
      </c>
      <c r="P2948" s="11"/>
      <c r="Q2948" s="11"/>
      <c r="R2948" s="11"/>
      <c r="S2948" s="11"/>
      <c r="T2948" s="11"/>
      <c r="U2948" s="11"/>
      <c r="V2948" s="11"/>
      <c r="W2948" s="11"/>
      <c r="X2948" s="11"/>
      <c r="Y2948" s="11"/>
      <c r="Z2948" s="11"/>
    </row>
    <row r="2949" customHeight="1" spans="1:26">
      <c r="A2949" s="11" t="str">
        <f>IFERROR(__xludf.DUMMYFUNCTION("""COMPUTED_VALUE"""),"RODRIGO TORRES DE ASSIS")</f>
        <v>RODRIGO TORRES DE ASSIS</v>
      </c>
      <c r="B2949" s="11"/>
      <c r="C2949" s="11"/>
      <c r="D2949" s="11" t="str">
        <f>IFERROR(__xludf.DUMMYFUNCTION("""COMPUTED_VALUE"""),"CLINICA GERAL")</f>
        <v>CLINICA GERAL</v>
      </c>
      <c r="E2949" s="11"/>
      <c r="F2949" s="11" t="str">
        <f>IFERROR(__xludf.DUMMYFUNCTION("""COMPUTED_VALUE"""),"US_167 POLICLINICA E MATERNIDADE PROFESSOR BARROS LIMA")</f>
        <v>US_167 POLICLINICA E MATERNIDADE PROFESSOR BARROS LIMA</v>
      </c>
      <c r="G2949" s="11" t="str">
        <f>IFERROR(__xludf.DUMMYFUNCTION("""COMPUTED_VALUE"""),"US_167 POLICLINICA E MATERNIDADE PROFESSOR BARROS LIMA")</f>
        <v>US_167 POLICLINICA E MATERNIDADE PROFESSOR BARROS LIMA</v>
      </c>
      <c r="H2949" s="11"/>
      <c r="I2949" s="11"/>
      <c r="J2949" s="11"/>
      <c r="K2949" s="11"/>
      <c r="L2949" s="11"/>
      <c r="M2949" s="11"/>
      <c r="N2949" s="30" t="str">
        <f>IFERROR(__xludf.DUMMYFUNCTION("""COMPUTED_VALUE"""),"rodrigo_torres@hotmail.com")</f>
        <v>rodrigo_torres@hotmail.com</v>
      </c>
      <c r="O2949" s="11">
        <f>IFERROR(__xludf.DUMMYFUNCTION("""COMPUTED_VALUE"""),1042066400)</f>
        <v>1042066400</v>
      </c>
      <c r="P2949" s="11"/>
      <c r="Q2949" s="11"/>
      <c r="R2949" s="11"/>
      <c r="S2949" s="11"/>
      <c r="T2949" s="11"/>
      <c r="U2949" s="11"/>
      <c r="V2949" s="11"/>
      <c r="W2949" s="11"/>
      <c r="X2949" s="11"/>
      <c r="Y2949" s="11"/>
      <c r="Z2949" s="11"/>
    </row>
    <row r="2950" customHeight="1" spans="1:26">
      <c r="A2950" s="11" t="str">
        <f>IFERROR(__xludf.DUMMYFUNCTION("""COMPUTED_VALUE"""),"VICTOR RAMIRES REYNAUX BORBA")</f>
        <v>VICTOR RAMIRES REYNAUX BORBA</v>
      </c>
      <c r="B2950" s="11"/>
      <c r="C2950" s="11"/>
      <c r="D2950" s="11" t="str">
        <f>IFERROR(__xludf.DUMMYFUNCTION("""COMPUTED_VALUE"""),"CLINICA GERAL")</f>
        <v>CLINICA GERAL</v>
      </c>
      <c r="E2950" s="11"/>
      <c r="F2950" s="11" t="str">
        <f>IFERROR(__xludf.DUMMYFUNCTION("""COMPUTED_VALUE"""),"US_167 POLICLINICA E MATERNIDADE PROFESSOR BARROS LIMA")</f>
        <v>US_167 POLICLINICA E MATERNIDADE PROFESSOR BARROS LIMA</v>
      </c>
      <c r="G2950" s="11" t="str">
        <f>IFERROR(__xludf.DUMMYFUNCTION("""COMPUTED_VALUE"""),"US_167 POLICLINICA E MATERNIDADE PROFESSOR BARROS LIMA")</f>
        <v>US_167 POLICLINICA E MATERNIDADE PROFESSOR BARROS LIMA</v>
      </c>
      <c r="H2950" s="11"/>
      <c r="I2950" s="11"/>
      <c r="J2950" s="11"/>
      <c r="K2950" s="11"/>
      <c r="L2950" s="11"/>
      <c r="M2950" s="11"/>
      <c r="N2950" s="30" t="str">
        <f>IFERROR(__xludf.DUMMYFUNCTION("""COMPUTED_VALUE"""),"victorramiresborba@hotmail.com")</f>
        <v>victorramiresborba@hotmail.com</v>
      </c>
      <c r="O2950" s="11">
        <f>IFERROR(__xludf.DUMMYFUNCTION("""COMPUTED_VALUE"""),3897294427)</f>
        <v>3897294427</v>
      </c>
      <c r="P2950" s="11"/>
      <c r="Q2950" s="11"/>
      <c r="R2950" s="11"/>
      <c r="S2950" s="11"/>
      <c r="T2950" s="11"/>
      <c r="U2950" s="11"/>
      <c r="V2950" s="11"/>
      <c r="W2950" s="11"/>
      <c r="X2950" s="11"/>
      <c r="Y2950" s="11"/>
      <c r="Z2950" s="11"/>
    </row>
    <row r="2951" customHeight="1" spans="1:26">
      <c r="A2951" s="11" t="str">
        <f>IFERROR(__xludf.DUMMYFUNCTION("""COMPUTED_VALUE"""),"LUIS RENATO C CUSTEL DA SILVA")</f>
        <v>LUIS RENATO C CUSTEL DA SILVA</v>
      </c>
      <c r="B2951" s="11"/>
      <c r="C2951" s="11"/>
      <c r="D2951" s="11" t="str">
        <f>IFERROR(__xludf.DUMMYFUNCTION("""COMPUTED_VALUE"""),"CLINICA GERAL")</f>
        <v>CLINICA GERAL</v>
      </c>
      <c r="E2951" s="11"/>
      <c r="F2951" s="11" t="str">
        <f>IFERROR(__xludf.DUMMYFUNCTION("""COMPUTED_VALUE"""),"US_167 POLICLINICA E MATERNIDADE PROFESSOR BARROS LIMA")</f>
        <v>US_167 POLICLINICA E MATERNIDADE PROFESSOR BARROS LIMA</v>
      </c>
      <c r="G2951" s="11" t="str">
        <f>IFERROR(__xludf.DUMMYFUNCTION("""COMPUTED_VALUE"""),"US_167 POLICLINICA E MATERNIDADE PROFESSOR BARROS LIMA")</f>
        <v>US_167 POLICLINICA E MATERNIDADE PROFESSOR BARROS LIMA</v>
      </c>
      <c r="H2951" s="11"/>
      <c r="I2951" s="11"/>
      <c r="J2951" s="11"/>
      <c r="K2951" s="11"/>
      <c r="L2951" s="11"/>
      <c r="M2951" s="11"/>
      <c r="N2951" s="30" t="str">
        <f>IFERROR(__xludf.DUMMYFUNCTION("""COMPUTED_VALUE"""),"luisrenato-med@hotmail.com")</f>
        <v>luisrenato-med@hotmail.com</v>
      </c>
      <c r="O2951" s="11">
        <f>IFERROR(__xludf.DUMMYFUNCTION("""COMPUTED_VALUE"""),6632225918)</f>
        <v>6632225918</v>
      </c>
      <c r="P2951" s="11"/>
      <c r="Q2951" s="11"/>
      <c r="R2951" s="11"/>
      <c r="S2951" s="11"/>
      <c r="T2951" s="11"/>
      <c r="U2951" s="11"/>
      <c r="V2951" s="11"/>
      <c r="W2951" s="11"/>
      <c r="X2951" s="11"/>
      <c r="Y2951" s="11"/>
      <c r="Z2951" s="11"/>
    </row>
    <row r="2952" customHeight="1" spans="1:26">
      <c r="A2952" s="11" t="str">
        <f>IFERROR(__xludf.DUMMYFUNCTION("""COMPUTED_VALUE"""),"MARCIENE LOPES DE MOURA")</f>
        <v>MARCIENE LOPES DE MOURA</v>
      </c>
      <c r="B2952" s="11"/>
      <c r="C2952" s="11"/>
      <c r="D2952" s="11" t="str">
        <f>IFERROR(__xludf.DUMMYFUNCTION("""COMPUTED_VALUE"""),"CLINICA GERAL")</f>
        <v>CLINICA GERAL</v>
      </c>
      <c r="E2952" s="11"/>
      <c r="F2952" s="11" t="str">
        <f>IFERROR(__xludf.DUMMYFUNCTION("""COMPUTED_VALUE"""),"US_153 POLICLINICA E MATERNIDADE ARNALDO MARQUES")</f>
        <v>US_153 POLICLINICA E MATERNIDADE ARNALDO MARQUES</v>
      </c>
      <c r="G2952" s="11" t="str">
        <f>IFERROR(__xludf.DUMMYFUNCTION("""COMPUTED_VALUE"""),"US_153 POLICLINICA E MATERNIDADE ARNALDO MARQUES")</f>
        <v>US_153 POLICLINICA E MATERNIDADE ARNALDO MARQUES</v>
      </c>
      <c r="H2952" s="11"/>
      <c r="I2952" s="11"/>
      <c r="J2952" s="11"/>
      <c r="K2952" s="11"/>
      <c r="L2952" s="11"/>
      <c r="M2952" s="11"/>
      <c r="N2952" s="30" t="str">
        <f>IFERROR(__xludf.DUMMYFUNCTION("""COMPUTED_VALUE"""),"marcienelm21@hotmail.com")</f>
        <v>marcienelm21@hotmail.com</v>
      </c>
      <c r="O2952" s="11">
        <f>IFERROR(__xludf.DUMMYFUNCTION("""COMPUTED_VALUE"""),38592193249)</f>
        <v>38592193249</v>
      </c>
      <c r="P2952" s="11"/>
      <c r="Q2952" s="11"/>
      <c r="R2952" s="11"/>
      <c r="S2952" s="11"/>
      <c r="T2952" s="11"/>
      <c r="U2952" s="11"/>
      <c r="V2952" s="11"/>
      <c r="W2952" s="11"/>
      <c r="X2952" s="11"/>
      <c r="Y2952" s="11"/>
      <c r="Z2952" s="11"/>
    </row>
    <row r="2953" customHeight="1" spans="1:26">
      <c r="A2953" s="11" t="str">
        <f>IFERROR(__xludf.DUMMYFUNCTION("""COMPUTED_VALUE"""),"RAFAEL ARAUJO NOBREGA")</f>
        <v>RAFAEL ARAUJO NOBREGA</v>
      </c>
      <c r="B2953" s="11"/>
      <c r="C2953" s="11"/>
      <c r="D2953" s="11" t="str">
        <f>IFERROR(__xludf.DUMMYFUNCTION("""COMPUTED_VALUE""")," CLINICA GERAL ")</f>
        <v> CLINICA GERAL </v>
      </c>
      <c r="E2953" s="11"/>
      <c r="F2953" s="11" t="str">
        <f>IFERROR(__xludf.DUMMYFUNCTION("""COMPUTED_VALUE"""),"US_167 POLICLINICA E MATERNIDADE PROFESSOR BARROS LIMA")</f>
        <v>US_167 POLICLINICA E MATERNIDADE PROFESSOR BARROS LIMA</v>
      </c>
      <c r="G2953" s="11" t="str">
        <f>IFERROR(__xludf.DUMMYFUNCTION("""COMPUTED_VALUE"""),"US_167 POLICLINICA E MATERNIDADE PROFESSOR BARROS LIMA")</f>
        <v>US_167 POLICLINICA E MATERNIDADE PROFESSOR BARROS LIMA</v>
      </c>
      <c r="H2953" s="11"/>
      <c r="I2953" s="11"/>
      <c r="J2953" s="11"/>
      <c r="K2953" s="11"/>
      <c r="L2953" s="11"/>
      <c r="M2953" s="11"/>
      <c r="N2953" s="30" t="str">
        <f>IFERROR(__xludf.DUMMYFUNCTION("""COMPUTED_VALUE"""),"rafael_nobrega_13@hotmail.com")</f>
        <v>rafael_nobrega_13@hotmail.com</v>
      </c>
      <c r="O2953" s="11">
        <f>IFERROR(__xludf.DUMMYFUNCTION("""COMPUTED_VALUE"""),8851601429)</f>
        <v>8851601429</v>
      </c>
      <c r="P2953" s="11"/>
      <c r="Q2953" s="11"/>
      <c r="R2953" s="11"/>
      <c r="S2953" s="11"/>
      <c r="T2953" s="11"/>
      <c r="U2953" s="11"/>
      <c r="V2953" s="11"/>
      <c r="W2953" s="11"/>
      <c r="X2953" s="11"/>
      <c r="Y2953" s="11"/>
      <c r="Z2953" s="11"/>
    </row>
    <row r="2954" customHeight="1" spans="1:26">
      <c r="A2954" s="11" t="str">
        <f>IFERROR(__xludf.DUMMYFUNCTION("""COMPUTED_VALUE"""),"RINALDO SOUTO G A DA COSTA")</f>
        <v>RINALDO SOUTO G A DA COSTA</v>
      </c>
      <c r="B2954" s="11"/>
      <c r="C2954" s="11"/>
      <c r="D2954" s="11" t="str">
        <f>IFERROR(__xludf.DUMMYFUNCTION("""COMPUTED_VALUE""")," CLINICA GERAL ")</f>
        <v> CLINICA GERAL </v>
      </c>
      <c r="E2954" s="11"/>
      <c r="F2954" s="11" t="str">
        <f>IFERROR(__xludf.DUMMYFUNCTION("""COMPUTED_VALUE"""),"US_153 POLICLINICA E MATERNIDADE ARNALDO MARQUES")</f>
        <v>US_153 POLICLINICA E MATERNIDADE ARNALDO MARQUES</v>
      </c>
      <c r="G2954" s="11" t="str">
        <f>IFERROR(__xludf.DUMMYFUNCTION("""COMPUTED_VALUE"""),"US_153 POLICLINICA E MATERNIDADE ARNALDO MARQUES")</f>
        <v>US_153 POLICLINICA E MATERNIDADE ARNALDO MARQUES</v>
      </c>
      <c r="H2954" s="11"/>
      <c r="I2954" s="11"/>
      <c r="J2954" s="11"/>
      <c r="K2954" s="11"/>
      <c r="L2954" s="11"/>
      <c r="M2954" s="11"/>
      <c r="N2954" s="30" t="str">
        <f>IFERROR(__xludf.DUMMYFUNCTION("""COMPUTED_VALUE"""),"rinaldosouto@hotmail.com")</f>
        <v>rinaldosouto@hotmail.com</v>
      </c>
      <c r="O2954" s="11">
        <f>IFERROR(__xludf.DUMMYFUNCTION("""COMPUTED_VALUE"""),3138044433)</f>
        <v>3138044433</v>
      </c>
      <c r="P2954" s="11"/>
      <c r="Q2954" s="11"/>
      <c r="R2954" s="11"/>
      <c r="S2954" s="11"/>
      <c r="T2954" s="11"/>
      <c r="U2954" s="11"/>
      <c r="V2954" s="11"/>
      <c r="W2954" s="11"/>
      <c r="X2954" s="11"/>
      <c r="Y2954" s="11"/>
      <c r="Z2954" s="11"/>
    </row>
    <row r="2955" customHeight="1" spans="1:26">
      <c r="A2955" s="11" t="str">
        <f>IFERROR(__xludf.DUMMYFUNCTION("""COMPUTED_VALUE"""),"FERNANDA BEATRIZ A PRATES")</f>
        <v>FERNANDA BEATRIZ A PRATES</v>
      </c>
      <c r="B2955" s="11"/>
      <c r="C2955" s="11"/>
      <c r="D2955" s="11" t="str">
        <f>IFERROR(__xludf.DUMMYFUNCTION("""COMPUTED_VALUE"""),"GINECOLOGIA E OBSTETRICIA")</f>
        <v>GINECOLOGIA E OBSTETRICIA</v>
      </c>
      <c r="E2955" s="11"/>
      <c r="F2955" s="11" t="str">
        <f>IFERROR(__xludf.DUMMYFUNCTION("""COMPUTED_VALUE"""),"US_165 MATERNIDADE BANDEIRA FILHO")</f>
        <v>US_165 MATERNIDADE BANDEIRA FILHO</v>
      </c>
      <c r="G2955" s="11" t="str">
        <f>IFERROR(__xludf.DUMMYFUNCTION("""COMPUTED_VALUE"""),"US_165 MATERNIDADE BANDEIRA FILHO")</f>
        <v>US_165 MATERNIDADE BANDEIRA FILHO</v>
      </c>
      <c r="H2955" s="11"/>
      <c r="I2955" s="11"/>
      <c r="J2955" s="11"/>
      <c r="K2955" s="11"/>
      <c r="L2955" s="11"/>
      <c r="M2955" s="11"/>
      <c r="N2955" s="30" t="str">
        <f>IFERROR(__xludf.DUMMYFUNCTION("""COMPUTED_VALUE"""),"fernandapratesgo@hotmail.com")</f>
        <v>fernandapratesgo@hotmail.com</v>
      </c>
      <c r="O2955" s="11">
        <f>IFERROR(__xludf.DUMMYFUNCTION("""COMPUTED_VALUE"""),8189228692)</f>
        <v>8189228692</v>
      </c>
      <c r="P2955" s="11"/>
      <c r="Q2955" s="11"/>
      <c r="R2955" s="11"/>
      <c r="S2955" s="11"/>
      <c r="T2955" s="11"/>
      <c r="U2955" s="11"/>
      <c r="V2955" s="11"/>
      <c r="W2955" s="11"/>
      <c r="X2955" s="11"/>
      <c r="Y2955" s="11"/>
      <c r="Z2955" s="11"/>
    </row>
    <row r="2956" customHeight="1" spans="1:26">
      <c r="A2956" s="11" t="str">
        <f>IFERROR(__xludf.DUMMYFUNCTION("""COMPUTED_VALUE"""),"DANIELA MARIA FERRAZ DE SA")</f>
        <v>DANIELA MARIA FERRAZ DE SA</v>
      </c>
      <c r="B2956" s="11"/>
      <c r="C2956" s="11"/>
      <c r="D2956" s="11" t="str">
        <f>IFERROR(__xludf.DUMMYFUNCTION("""COMPUTED_VALUE"""),"GINECOLOGIA E OBSTETRICIA")</f>
        <v>GINECOLOGIA E OBSTETRICIA</v>
      </c>
      <c r="E2956" s="11"/>
      <c r="F2956" s="11" t="str">
        <f>IFERROR(__xludf.DUMMYFUNCTION("""COMPUTED_VALUE"""),"US_165 MATERNIDADE BANDEIRA FILHO")</f>
        <v>US_165 MATERNIDADE BANDEIRA FILHO</v>
      </c>
      <c r="G2956" s="11" t="str">
        <f>IFERROR(__xludf.DUMMYFUNCTION("""COMPUTED_VALUE"""),"US_165 MATERNIDADE BANDEIRA FILHO")</f>
        <v>US_165 MATERNIDADE BANDEIRA FILHO</v>
      </c>
      <c r="H2956" s="11"/>
      <c r="I2956" s="11"/>
      <c r="J2956" s="11"/>
      <c r="K2956" s="11"/>
      <c r="L2956" s="11"/>
      <c r="M2956" s="11"/>
      <c r="N2956" s="30" t="str">
        <f>IFERROR(__xludf.DUMMYFUNCTION("""COMPUTED_VALUE"""),"dani.ferraz.sa@gmail.com")</f>
        <v>dani.ferraz.sa@gmail.com</v>
      </c>
      <c r="O2956" s="11">
        <f>IFERROR(__xludf.DUMMYFUNCTION("""COMPUTED_VALUE"""),5774976424)</f>
        <v>5774976424</v>
      </c>
      <c r="P2956" s="11"/>
      <c r="Q2956" s="11"/>
      <c r="R2956" s="11"/>
      <c r="S2956" s="11"/>
      <c r="T2956" s="11"/>
      <c r="U2956" s="11"/>
      <c r="V2956" s="11"/>
      <c r="W2956" s="11"/>
      <c r="X2956" s="11"/>
      <c r="Y2956" s="11"/>
      <c r="Z2956" s="11"/>
    </row>
    <row r="2957" customHeight="1" spans="1:26">
      <c r="A2957" s="11" t="str">
        <f>IFERROR(__xludf.DUMMYFUNCTION("""COMPUTED_VALUE"""),"GIULIA DE MIRANDA TAGLIALEGNA")</f>
        <v>GIULIA DE MIRANDA TAGLIALEGNA</v>
      </c>
      <c r="B2957" s="11"/>
      <c r="C2957" s="11"/>
      <c r="D2957" s="11" t="str">
        <f>IFERROR(__xludf.DUMMYFUNCTION("""COMPUTED_VALUE"""),"GINECOLOGIA E OBSTETRICIA")</f>
        <v>GINECOLOGIA E OBSTETRICIA</v>
      </c>
      <c r="E2957" s="11"/>
      <c r="F2957" s="11" t="str">
        <f>IFERROR(__xludf.DUMMYFUNCTION("""COMPUTED_VALUE"""),"US_153 POLICLINICA E MATERNIDADE ARNALDO MARQUES")</f>
        <v>US_153 POLICLINICA E MATERNIDADE ARNALDO MARQUES</v>
      </c>
      <c r="G2957" s="11" t="str">
        <f>IFERROR(__xludf.DUMMYFUNCTION("""COMPUTED_VALUE"""),"US_153 POLICLINICA E MATERNIDADE ARNALDO MARQUES")</f>
        <v>US_153 POLICLINICA E MATERNIDADE ARNALDO MARQUES</v>
      </c>
      <c r="H2957" s="11"/>
      <c r="I2957" s="11"/>
      <c r="J2957" s="11"/>
      <c r="K2957" s="11"/>
      <c r="L2957" s="11"/>
      <c r="M2957" s="11"/>
      <c r="N2957" s="30" t="str">
        <f>IFERROR(__xludf.DUMMYFUNCTION("""COMPUTED_VALUE"""),"giuliademiranda@hotmail.com")</f>
        <v>giuliademiranda@hotmail.com</v>
      </c>
      <c r="O2957" s="11">
        <f>IFERROR(__xludf.DUMMYFUNCTION("""COMPUTED_VALUE"""),7713859438)</f>
        <v>7713859438</v>
      </c>
      <c r="P2957" s="11"/>
      <c r="Q2957" s="11"/>
      <c r="R2957" s="11"/>
      <c r="S2957" s="11"/>
      <c r="T2957" s="11"/>
      <c r="U2957" s="11"/>
      <c r="V2957" s="11"/>
      <c r="W2957" s="11"/>
      <c r="X2957" s="11"/>
      <c r="Y2957" s="11"/>
      <c r="Z2957" s="11"/>
    </row>
    <row r="2958" customHeight="1" spans="1:26">
      <c r="A2958" s="11" t="str">
        <f>IFERROR(__xludf.DUMMYFUNCTION("""COMPUTED_VALUE"""),"SAULLO DE TARSSU CINTRA C MAIA")</f>
        <v>SAULLO DE TARSSU CINTRA C MAIA</v>
      </c>
      <c r="B2958" s="11"/>
      <c r="C2958" s="11"/>
      <c r="D2958" s="11" t="str">
        <f>IFERROR(__xludf.DUMMYFUNCTION("""COMPUTED_VALUE"""),"PEDIATRIA")</f>
        <v>PEDIATRIA</v>
      </c>
      <c r="E2958" s="11"/>
      <c r="F2958" s="11" t="str">
        <f>IFERROR(__xludf.DUMMYFUNCTION("""COMPUTED_VALUE"""),"US_153 POLICLINICA E MATERNIDADE ARNALDO MARQUES")</f>
        <v>US_153 POLICLINICA E MATERNIDADE ARNALDO MARQUES</v>
      </c>
      <c r="G2958" s="11" t="str">
        <f>IFERROR(__xludf.DUMMYFUNCTION("""COMPUTED_VALUE"""),"US_153 POLICLINICA E MATERNIDADE ARNALDO MARQUES")</f>
        <v>US_153 POLICLINICA E MATERNIDADE ARNALDO MARQUES</v>
      </c>
      <c r="H2958" s="11"/>
      <c r="I2958" s="11"/>
      <c r="J2958" s="11"/>
      <c r="K2958" s="11"/>
      <c r="L2958" s="11"/>
      <c r="M2958" s="11"/>
      <c r="N2958" s="30" t="str">
        <f>IFERROR(__xludf.DUMMYFUNCTION("""COMPUTED_VALUE"""),"saullocintra@hotmail.com")</f>
        <v>saullocintra@hotmail.com</v>
      </c>
      <c r="O2958" s="11">
        <f>IFERROR(__xludf.DUMMYFUNCTION("""COMPUTED_VALUE"""),4559609411)</f>
        <v>4559609411</v>
      </c>
      <c r="P2958" s="11"/>
      <c r="Q2958" s="11"/>
      <c r="R2958" s="11"/>
      <c r="S2958" s="11"/>
      <c r="T2958" s="11"/>
      <c r="U2958" s="11"/>
      <c r="V2958" s="11"/>
      <c r="W2958" s="11"/>
      <c r="X2958" s="11"/>
      <c r="Y2958" s="11"/>
      <c r="Z2958" s="11"/>
    </row>
    <row r="2959" customHeight="1" spans="1:26">
      <c r="A2959" s="11" t="str">
        <f>IFERROR(__xludf.DUMMYFUNCTION("""COMPUTED_VALUE"""),"SUELLEN ALVES FELICIANO")</f>
        <v>SUELLEN ALVES FELICIANO</v>
      </c>
      <c r="B2959" s="11"/>
      <c r="C2959" s="11"/>
      <c r="D2959" s="11" t="str">
        <f>IFERROR(__xludf.DUMMYFUNCTION("""COMPUTED_VALUE"""),"GINECOLOGIA E OBSTETRICIA")</f>
        <v>GINECOLOGIA E OBSTETRICIA</v>
      </c>
      <c r="E2959" s="11"/>
      <c r="F2959" s="11" t="str">
        <f>IFERROR(__xludf.DUMMYFUNCTION("""COMPUTED_VALUE"""),"US_153 POLICLINICA E MATERNIDADE ARNALDO MARQUES")</f>
        <v>US_153 POLICLINICA E MATERNIDADE ARNALDO MARQUES</v>
      </c>
      <c r="G2959" s="11" t="str">
        <f>IFERROR(__xludf.DUMMYFUNCTION("""COMPUTED_VALUE"""),"US_153 POLICLINICA E MATERNIDADE ARNALDO MARQUES")</f>
        <v>US_153 POLICLINICA E MATERNIDADE ARNALDO MARQUES</v>
      </c>
      <c r="H2959" s="11"/>
      <c r="I2959" s="11"/>
      <c r="J2959" s="11"/>
      <c r="K2959" s="11"/>
      <c r="L2959" s="11"/>
      <c r="M2959" s="11"/>
      <c r="N2959" s="30" t="str">
        <f>IFERROR(__xludf.DUMMYFUNCTION("""COMPUTED_VALUE"""),"SUELLENFMED@GMAIL.COM")</f>
        <v>SUELLENFMED@GMAIL.COM</v>
      </c>
      <c r="O2959" s="11">
        <f>IFERROR(__xludf.DUMMYFUNCTION("""COMPUTED_VALUE"""),7731201490)</f>
        <v>7731201490</v>
      </c>
      <c r="P2959" s="11"/>
      <c r="Q2959" s="11"/>
      <c r="R2959" s="11"/>
      <c r="S2959" s="11"/>
      <c r="T2959" s="11"/>
      <c r="U2959" s="11"/>
      <c r="V2959" s="11"/>
      <c r="W2959" s="11"/>
      <c r="X2959" s="11"/>
      <c r="Y2959" s="11"/>
      <c r="Z2959" s="11"/>
    </row>
    <row r="2960" customHeight="1" spans="1:26">
      <c r="A2960" s="11" t="str">
        <f>IFERROR(__xludf.DUMMYFUNCTION("""COMPUTED_VALUE"""),"BARBARA M LYRA DE B FERNANDES")</f>
        <v>BARBARA M LYRA DE B FERNANDES</v>
      </c>
      <c r="B2960" s="11"/>
      <c r="C2960" s="11"/>
      <c r="D2960" s="11" t="str">
        <f>IFERROR(__xludf.DUMMYFUNCTION("""COMPUTED_VALUE"""),"GINECOLOGIA E OBSTETRICIA")</f>
        <v>GINECOLOGIA E OBSTETRICIA</v>
      </c>
      <c r="E2960" s="11"/>
      <c r="F2960" s="11" t="str">
        <f>IFERROR(__xludf.DUMMYFUNCTION("""COMPUTED_VALUE"""),"US_167 POLICLINICA E MATERNIDADE PROFESSOR BARROS LIMA")</f>
        <v>US_167 POLICLINICA E MATERNIDADE PROFESSOR BARROS LIMA</v>
      </c>
      <c r="G2960" s="11" t="str">
        <f>IFERROR(__xludf.DUMMYFUNCTION("""COMPUTED_VALUE"""),"US_167 POLICLINICA E MATERNIDADE PROFESSOR BARROS LIMA")</f>
        <v>US_167 POLICLINICA E MATERNIDADE PROFESSOR BARROS LIMA</v>
      </c>
      <c r="H2960" s="11"/>
      <c r="I2960" s="11"/>
      <c r="J2960" s="11"/>
      <c r="K2960" s="11"/>
      <c r="L2960" s="11"/>
      <c r="M2960" s="11"/>
      <c r="N2960" s="30" t="str">
        <f>IFERROR(__xludf.DUMMYFUNCTION("""COMPUTED_VALUE"""),"bmlbarros@hotmail.com")</f>
        <v>bmlbarros@hotmail.com</v>
      </c>
      <c r="O2960" s="11">
        <f>IFERROR(__xludf.DUMMYFUNCTION("""COMPUTED_VALUE"""),6846929452)</f>
        <v>6846929452</v>
      </c>
      <c r="P2960" s="11"/>
      <c r="Q2960" s="11"/>
      <c r="R2960" s="11"/>
      <c r="S2960" s="11"/>
      <c r="T2960" s="11"/>
      <c r="U2960" s="11"/>
      <c r="V2960" s="11"/>
      <c r="W2960" s="11"/>
      <c r="X2960" s="11"/>
      <c r="Y2960" s="11"/>
      <c r="Z2960" s="11"/>
    </row>
    <row r="2961" customHeight="1" spans="1:26">
      <c r="A2961" s="11" t="str">
        <f>IFERROR(__xludf.DUMMYFUNCTION("""COMPUTED_VALUE"""),"GABRIELLA DE SOUZA LEAO A CRUZ")</f>
        <v>GABRIELLA DE SOUZA LEAO A CRUZ</v>
      </c>
      <c r="B2961" s="11"/>
      <c r="C2961" s="11"/>
      <c r="D2961" s="11" t="str">
        <f>IFERROR(__xludf.DUMMYFUNCTION("""COMPUTED_VALUE"""),"PEDIATRIA")</f>
        <v>PEDIATRIA</v>
      </c>
      <c r="E2961" s="11"/>
      <c r="F2961" s="11" t="str">
        <f>IFERROR(__xludf.DUMMYFUNCTION("""COMPUTED_VALUE"""),"US_153 POLICLINICA E MATERNIDADE ARNALDO MARQUES")</f>
        <v>US_153 POLICLINICA E MATERNIDADE ARNALDO MARQUES</v>
      </c>
      <c r="G2961" s="11" t="str">
        <f>IFERROR(__xludf.DUMMYFUNCTION("""COMPUTED_VALUE"""),"US_153 POLICLINICA E MATERNIDADE ARNALDO MARQUES")</f>
        <v>US_153 POLICLINICA E MATERNIDADE ARNALDO MARQUES</v>
      </c>
      <c r="H2961" s="11"/>
      <c r="I2961" s="11"/>
      <c r="J2961" s="11"/>
      <c r="K2961" s="11"/>
      <c r="L2961" s="11"/>
      <c r="M2961" s="11"/>
      <c r="N2961" s="30" t="str">
        <f>IFERROR(__xludf.DUMMYFUNCTION("""COMPUTED_VALUE"""),"gabisouzaleao@gmail.com")</f>
        <v>gabisouzaleao@gmail.com</v>
      </c>
      <c r="O2961" s="11">
        <f>IFERROR(__xludf.DUMMYFUNCTION("""COMPUTED_VALUE"""),3943621448)</f>
        <v>3943621448</v>
      </c>
      <c r="P2961" s="11"/>
      <c r="Q2961" s="11"/>
      <c r="R2961" s="11"/>
      <c r="S2961" s="11"/>
      <c r="T2961" s="11"/>
      <c r="U2961" s="11"/>
      <c r="V2961" s="11"/>
      <c r="W2961" s="11"/>
      <c r="X2961" s="11"/>
      <c r="Y2961" s="11"/>
      <c r="Z2961" s="11"/>
    </row>
    <row r="2962" customHeight="1" spans="1:26">
      <c r="A2962" s="11" t="str">
        <f>IFERROR(__xludf.DUMMYFUNCTION("""COMPUTED_VALUE"""),"ANA CECILIA BARBOSA SANTIAGO")</f>
        <v>ANA CECILIA BARBOSA SANTIAGO</v>
      </c>
      <c r="B2962" s="11"/>
      <c r="C2962" s="11"/>
      <c r="D2962" s="11" t="str">
        <f>IFERROR(__xludf.DUMMYFUNCTION("""COMPUTED_VALUE"""),"GINECOLOGIA E OBSTETRICIA")</f>
        <v>GINECOLOGIA E OBSTETRICIA</v>
      </c>
      <c r="E2962" s="11"/>
      <c r="F2962" s="11" t="str">
        <f>IFERROR(__xludf.DUMMYFUNCTION("""COMPUTED_VALUE"""),"US_153 POLICLINICA E MATERNIDADE ARNALDO MARQUES")</f>
        <v>US_153 POLICLINICA E MATERNIDADE ARNALDO MARQUES</v>
      </c>
      <c r="G2962" s="11" t="str">
        <f>IFERROR(__xludf.DUMMYFUNCTION("""COMPUTED_VALUE"""),"US_153 POLICLINICA E MATERNIDADE ARNALDO MARQUES")</f>
        <v>US_153 POLICLINICA E MATERNIDADE ARNALDO MARQUES</v>
      </c>
      <c r="H2962" s="11"/>
      <c r="I2962" s="11"/>
      <c r="J2962" s="11"/>
      <c r="K2962" s="11"/>
      <c r="L2962" s="11"/>
      <c r="M2962" s="11"/>
      <c r="N2962" s="30" t="str">
        <f>IFERROR(__xludf.DUMMYFUNCTION("""COMPUTED_VALUE"""),"ceciliabsantiago@hotmail.com")</f>
        <v>ceciliabsantiago@hotmail.com</v>
      </c>
      <c r="O2962" s="11">
        <f>IFERROR(__xludf.DUMMYFUNCTION("""COMPUTED_VALUE"""),6086186405)</f>
        <v>6086186405</v>
      </c>
      <c r="P2962" s="11"/>
      <c r="Q2962" s="11"/>
      <c r="R2962" s="11"/>
      <c r="S2962" s="11"/>
      <c r="T2962" s="11"/>
      <c r="U2962" s="11"/>
      <c r="V2962" s="11"/>
      <c r="W2962" s="11"/>
      <c r="X2962" s="11"/>
      <c r="Y2962" s="11"/>
      <c r="Z2962" s="11"/>
    </row>
    <row r="2963" customHeight="1" spans="1:26">
      <c r="A2963" s="11" t="str">
        <f>IFERROR(__xludf.DUMMYFUNCTION("""COMPUTED_VALUE"""),"ANDRE CHAVES DE MIRANDA CAMPOS")</f>
        <v>ANDRE CHAVES DE MIRANDA CAMPOS</v>
      </c>
      <c r="B2963" s="11"/>
      <c r="C2963" s="11"/>
      <c r="D2963" s="11" t="str">
        <f>IFERROR(__xludf.DUMMYFUNCTION("""COMPUTED_VALUE"""),"CLINICA GERAL")</f>
        <v>CLINICA GERAL</v>
      </c>
      <c r="E2963" s="11"/>
      <c r="F2963" s="11" t="str">
        <f>IFERROR(__xludf.DUMMYFUNCTION("""COMPUTED_VALUE"""),"US_153 POLICLINICA E MATERNIDADE ARNALDO MARQUES")</f>
        <v>US_153 POLICLINICA E MATERNIDADE ARNALDO MARQUES</v>
      </c>
      <c r="G2963" s="11" t="str">
        <f>IFERROR(__xludf.DUMMYFUNCTION("""COMPUTED_VALUE"""),"US_153 POLICLINICA E MATERNIDADE ARNALDO MARQUES")</f>
        <v>US_153 POLICLINICA E MATERNIDADE ARNALDO MARQUES</v>
      </c>
      <c r="H2963" s="11"/>
      <c r="I2963" s="11"/>
      <c r="J2963" s="11"/>
      <c r="K2963" s="11"/>
      <c r="L2963" s="11"/>
      <c r="M2963" s="11"/>
      <c r="N2963" s="30" t="str">
        <f>IFERROR(__xludf.DUMMYFUNCTION("""COMPUTED_VALUE"""),"andrecampos186@gmail.com")</f>
        <v>andrecampos186@gmail.com</v>
      </c>
      <c r="O2963" s="11" t="str">
        <f>IFERROR(__xludf.DUMMYFUNCTION("""COMPUTED_VALUE"""),"062247654-80")</f>
        <v>062247654-80</v>
      </c>
      <c r="P2963" s="11"/>
      <c r="Q2963" s="11"/>
      <c r="R2963" s="11"/>
      <c r="S2963" s="11"/>
      <c r="T2963" s="11"/>
      <c r="U2963" s="11"/>
      <c r="V2963" s="11"/>
      <c r="W2963" s="11"/>
      <c r="X2963" s="11"/>
      <c r="Y2963" s="11"/>
      <c r="Z2963" s="11"/>
    </row>
    <row r="2964" customHeight="1" spans="1:26">
      <c r="A2964" s="11" t="str">
        <f>IFERROR(__xludf.DUMMYFUNCTION("""COMPUTED_VALUE"""),"ANDERSON LOPES DE SOUSA")</f>
        <v>ANDERSON LOPES DE SOUSA</v>
      </c>
      <c r="B2964" s="11"/>
      <c r="C2964" s="11"/>
      <c r="D2964" s="11" t="str">
        <f>IFERROR(__xludf.DUMMYFUNCTION("""COMPUTED_VALUE"""),"CIRURGIA GERAL")</f>
        <v>CIRURGIA GERAL</v>
      </c>
      <c r="E2964" s="11"/>
      <c r="F2964" s="11" t="str">
        <f>IFERROR(__xludf.DUMMYFUNCTION("""COMPUTED_VALUE"""),"US_153 POLICLINICA E MATERNIDADE ARNALDO MARQUES")</f>
        <v>US_153 POLICLINICA E MATERNIDADE ARNALDO MARQUES</v>
      </c>
      <c r="G2964" s="11" t="str">
        <f>IFERROR(__xludf.DUMMYFUNCTION("""COMPUTED_VALUE"""),"US_153 POLICLINICA E MATERNIDADE ARNALDO MARQUES")</f>
        <v>US_153 POLICLINICA E MATERNIDADE ARNALDO MARQUES</v>
      </c>
      <c r="H2964" s="11"/>
      <c r="I2964" s="11"/>
      <c r="J2964" s="11"/>
      <c r="K2964" s="11"/>
      <c r="L2964" s="11"/>
      <c r="M2964" s="11"/>
      <c r="N2964" s="30" t="str">
        <f>IFERROR(__xludf.DUMMYFUNCTION("""COMPUTED_VALUE"""),"andersonlopes.urologia@gmail.com")</f>
        <v>andersonlopes.urologia@gmail.com</v>
      </c>
      <c r="O2964" s="11">
        <f>IFERROR(__xludf.DUMMYFUNCTION("""COMPUTED_VALUE"""),90565460315)</f>
        <v>90565460315</v>
      </c>
      <c r="P2964" s="11"/>
      <c r="Q2964" s="11"/>
      <c r="R2964" s="11"/>
      <c r="S2964" s="11"/>
      <c r="T2964" s="11"/>
      <c r="U2964" s="11"/>
      <c r="V2964" s="11"/>
      <c r="W2964" s="11"/>
      <c r="X2964" s="11"/>
      <c r="Y2964" s="11"/>
      <c r="Z2964" s="11"/>
    </row>
    <row r="2965" customHeight="1" spans="1:26">
      <c r="A2965" s="11" t="str">
        <f>IFERROR(__xludf.DUMMYFUNCTION("""COMPUTED_VALUE"""),"MARCO DIEGO ANTUNES DE MACEDO")</f>
        <v>MARCO DIEGO ANTUNES DE MACEDO</v>
      </c>
      <c r="B2965" s="11"/>
      <c r="C2965" s="11"/>
      <c r="D2965" s="11" t="str">
        <f>IFERROR(__xludf.DUMMYFUNCTION("""COMPUTED_VALUE"""),"CLINICA MEDICA")</f>
        <v>CLINICA MEDICA</v>
      </c>
      <c r="E2965" s="11"/>
      <c r="F2965" s="11" t="str">
        <f>IFERROR(__xludf.DUMMYFUNCTION("""COMPUTED_VALUE"""),"US_167 POLICLINICA E MATERNIDADE PROFESSOR BARROS LIMA")</f>
        <v>US_167 POLICLINICA E MATERNIDADE PROFESSOR BARROS LIMA</v>
      </c>
      <c r="G2965" s="11" t="str">
        <f>IFERROR(__xludf.DUMMYFUNCTION("""COMPUTED_VALUE"""),"US_167 POLICLINICA E MATERNIDADE PROFESSOR BARROS LIMA")</f>
        <v>US_167 POLICLINICA E MATERNIDADE PROFESSOR BARROS LIMA</v>
      </c>
      <c r="H2965" s="11"/>
      <c r="I2965" s="11"/>
      <c r="J2965" s="11"/>
      <c r="K2965" s="11"/>
      <c r="L2965" s="11"/>
      <c r="M2965" s="11"/>
      <c r="N2965" s="30" t="str">
        <f>IFERROR(__xludf.DUMMYFUNCTION("""COMPUTED_VALUE"""),"MARCODIEGOAM@GMAIL.COM")</f>
        <v>MARCODIEGOAM@GMAIL.COM</v>
      </c>
      <c r="O2965" s="11">
        <f>IFERROR(__xludf.DUMMYFUNCTION("""COMPUTED_VALUE"""),6859600489)</f>
        <v>6859600489</v>
      </c>
      <c r="P2965" s="11"/>
      <c r="Q2965" s="11"/>
      <c r="R2965" s="11"/>
      <c r="S2965" s="11"/>
      <c r="T2965" s="11"/>
      <c r="U2965" s="11"/>
      <c r="V2965" s="11"/>
      <c r="W2965" s="11"/>
      <c r="X2965" s="11"/>
      <c r="Y2965" s="11"/>
      <c r="Z2965" s="11"/>
    </row>
    <row r="2966" customHeight="1" spans="1:26">
      <c r="A2966" s="11" t="str">
        <f>IFERROR(__xludf.DUMMYFUNCTION("""COMPUTED_VALUE"""),"ECTO HENRIQUE SOUZA")</f>
        <v>ECTO HENRIQUE SOUZA</v>
      </c>
      <c r="B2966" s="11"/>
      <c r="C2966" s="11"/>
      <c r="D2966" s="11" t="str">
        <f>IFERROR(__xludf.DUMMYFUNCTION("""COMPUTED_VALUE"""),"GINECOLOGIA E OBSTETRICIA")</f>
        <v>GINECOLOGIA E OBSTETRICIA</v>
      </c>
      <c r="E2966" s="11"/>
      <c r="F2966" s="11" t="str">
        <f>IFERROR(__xludf.DUMMYFUNCTION("""COMPUTED_VALUE"""),"US_167 POLICLINICA E MATERNIDADE PROFESSOR BARROS LIMA")</f>
        <v>US_167 POLICLINICA E MATERNIDADE PROFESSOR BARROS LIMA</v>
      </c>
      <c r="G2966" s="11" t="str">
        <f>IFERROR(__xludf.DUMMYFUNCTION("""COMPUTED_VALUE"""),"US_167 POLICLINICA E MATERNIDADE PROFESSOR BARROS LIMA")</f>
        <v>US_167 POLICLINICA E MATERNIDADE PROFESSOR BARROS LIMA</v>
      </c>
      <c r="H2966" s="11"/>
      <c r="I2966" s="11"/>
      <c r="J2966" s="11"/>
      <c r="K2966" s="11"/>
      <c r="L2966" s="11"/>
      <c r="M2966" s="11"/>
      <c r="N2966" s="30" t="str">
        <f>IFERROR(__xludf.DUMMYFUNCTION("""COMPUTED_VALUE"""),"ectohenrique@hotmail.com")</f>
        <v>ectohenrique@hotmail.com</v>
      </c>
      <c r="O2966" s="11">
        <f>IFERROR(__xludf.DUMMYFUNCTION("""COMPUTED_VALUE"""),9019416464)</f>
        <v>9019416464</v>
      </c>
      <c r="P2966" s="11"/>
      <c r="Q2966" s="11"/>
      <c r="R2966" s="11"/>
      <c r="S2966" s="11"/>
      <c r="T2966" s="11"/>
      <c r="U2966" s="11"/>
      <c r="V2966" s="11"/>
      <c r="W2966" s="11"/>
      <c r="X2966" s="11"/>
      <c r="Y2966" s="11"/>
      <c r="Z2966" s="11"/>
    </row>
    <row r="2967" customHeight="1" spans="1:26">
      <c r="A2967" s="11" t="str">
        <f>IFERROR(__xludf.DUMMYFUNCTION("""COMPUTED_VALUE"""),"SUELANY DE SOUZA WANDERLEY")</f>
        <v>SUELANY DE SOUZA WANDERLEY</v>
      </c>
      <c r="B2967" s="11"/>
      <c r="C2967" s="11"/>
      <c r="D2967" s="11" t="str">
        <f>IFERROR(__xludf.DUMMYFUNCTION("""COMPUTED_VALUE"""),"GINECOLOGIA E OBSTETRICIA")</f>
        <v>GINECOLOGIA E OBSTETRICIA</v>
      </c>
      <c r="E2967" s="11"/>
      <c r="F2967" s="11" t="str">
        <f>IFERROR(__xludf.DUMMYFUNCTION("""COMPUTED_VALUE"""),"US_153 POLICLINICA E MATERNIDADE ARNALDO MARQUES")</f>
        <v>US_153 POLICLINICA E MATERNIDADE ARNALDO MARQUES</v>
      </c>
      <c r="G2967" s="11" t="str">
        <f>IFERROR(__xludf.DUMMYFUNCTION("""COMPUTED_VALUE"""),"US_153 POLICLINICA E MATERNIDADE ARNALDO MARQUES")</f>
        <v>US_153 POLICLINICA E MATERNIDADE ARNALDO MARQUES</v>
      </c>
      <c r="H2967" s="11"/>
      <c r="I2967" s="11"/>
      <c r="J2967" s="11"/>
      <c r="K2967" s="11"/>
      <c r="L2967" s="11"/>
      <c r="M2967" s="11"/>
      <c r="N2967" s="30" t="str">
        <f>IFERROR(__xludf.DUMMYFUNCTION("""COMPUTED_VALUE"""),"suelanywanderley@gmail.com")</f>
        <v>suelanywanderley@gmail.com</v>
      </c>
      <c r="O2967" s="11">
        <f>IFERROR(__xludf.DUMMYFUNCTION("""COMPUTED_VALUE"""),5949862490)</f>
        <v>5949862490</v>
      </c>
      <c r="P2967" s="11"/>
      <c r="Q2967" s="11"/>
      <c r="R2967" s="11"/>
      <c r="S2967" s="11"/>
      <c r="T2967" s="11"/>
      <c r="U2967" s="11"/>
      <c r="V2967" s="11"/>
      <c r="W2967" s="11"/>
      <c r="X2967" s="11"/>
      <c r="Y2967" s="11"/>
      <c r="Z2967" s="11"/>
    </row>
    <row r="2968" customHeight="1" spans="1:26">
      <c r="A2968" s="11" t="str">
        <f>IFERROR(__xludf.DUMMYFUNCTION("""COMPUTED_VALUE"""),"GEORGE AUGUSTO DA F C A LIMA")</f>
        <v>GEORGE AUGUSTO DA F C A LIMA</v>
      </c>
      <c r="B2968" s="11"/>
      <c r="C2968" s="11"/>
      <c r="D2968" s="11" t="str">
        <f>IFERROR(__xludf.DUMMYFUNCTION("""COMPUTED_VALUE"""),"GINECOLOGIA E OBSTETRICIA")</f>
        <v>GINECOLOGIA E OBSTETRICIA</v>
      </c>
      <c r="E2968" s="11"/>
      <c r="F2968" s="11" t="str">
        <f>IFERROR(__xludf.DUMMYFUNCTION("""COMPUTED_VALUE"""),"US_167 POLICLINICA E MATERNIDADE PROFESSOR BARROS LIMA")</f>
        <v>US_167 POLICLINICA E MATERNIDADE PROFESSOR BARROS LIMA</v>
      </c>
      <c r="G2968" s="11" t="str">
        <f>IFERROR(__xludf.DUMMYFUNCTION("""COMPUTED_VALUE"""),"US_167 POLICLINICA E MATERNIDADE PROFESSOR BARROS LIMA")</f>
        <v>US_167 POLICLINICA E MATERNIDADE PROFESSOR BARROS LIMA</v>
      </c>
      <c r="H2968" s="11"/>
      <c r="I2968" s="11"/>
      <c r="J2968" s="11"/>
      <c r="K2968" s="11"/>
      <c r="L2968" s="11"/>
      <c r="M2968" s="11"/>
      <c r="N2968" s="30" t="str">
        <f>IFERROR(__xludf.DUMMYFUNCTION("""COMPUTED_VALUE"""),"georgecarvalho134@gmail.com")</f>
        <v>georgecarvalho134@gmail.com</v>
      </c>
      <c r="O2968" s="11">
        <f>IFERROR(__xludf.DUMMYFUNCTION("""COMPUTED_VALUE"""),5747168401)</f>
        <v>5747168401</v>
      </c>
      <c r="P2968" s="11"/>
      <c r="Q2968" s="11"/>
      <c r="R2968" s="11"/>
      <c r="S2968" s="11"/>
      <c r="T2968" s="11"/>
      <c r="U2968" s="11"/>
      <c r="V2968" s="11"/>
      <c r="W2968" s="11"/>
      <c r="X2968" s="11"/>
      <c r="Y2968" s="11"/>
      <c r="Z2968" s="11"/>
    </row>
    <row r="2969" customHeight="1" spans="1:26">
      <c r="A2969" s="11" t="str">
        <f>IFERROR(__xludf.DUMMYFUNCTION("""COMPUTED_VALUE"""),"GUSTAVO LOPES PEREIRA")</f>
        <v>GUSTAVO LOPES PEREIRA</v>
      </c>
      <c r="B2969" s="11"/>
      <c r="C2969" s="11"/>
      <c r="D2969" s="11" t="str">
        <f>IFERROR(__xludf.DUMMYFUNCTION("""COMPUTED_VALUE"""),"GINECOLOGIA E OBSTETRICIA")</f>
        <v>GINECOLOGIA E OBSTETRICIA</v>
      </c>
      <c r="E2969" s="11"/>
      <c r="F2969" s="11" t="str">
        <f>IFERROR(__xludf.DUMMYFUNCTION("""COMPUTED_VALUE"""),"US_167 POLICLINICA E MATERNIDADE PROFESSOR BARROS LIMA")</f>
        <v>US_167 POLICLINICA E MATERNIDADE PROFESSOR BARROS LIMA</v>
      </c>
      <c r="G2969" s="11" t="str">
        <f>IFERROR(__xludf.DUMMYFUNCTION("""COMPUTED_VALUE"""),"US_167 POLICLINICA E MATERNIDADE PROFESSOR BARROS LIMA")</f>
        <v>US_167 POLICLINICA E MATERNIDADE PROFESSOR BARROS LIMA</v>
      </c>
      <c r="H2969" s="11"/>
      <c r="I2969" s="11"/>
      <c r="J2969" s="11"/>
      <c r="K2969" s="11"/>
      <c r="L2969" s="11"/>
      <c r="M2969" s="11"/>
      <c r="N2969" s="30" t="str">
        <f>IFERROR(__xludf.DUMMYFUNCTION("""COMPUTED_VALUE"""),"gustavol.pereira@hotmail.com")</f>
        <v>gustavol.pereira@hotmail.com</v>
      </c>
      <c r="O2969" s="11">
        <f>IFERROR(__xludf.DUMMYFUNCTION("""COMPUTED_VALUE"""),97613894487)</f>
        <v>97613894487</v>
      </c>
      <c r="P2969" s="11"/>
      <c r="Q2969" s="11"/>
      <c r="R2969" s="11"/>
      <c r="S2969" s="11"/>
      <c r="T2969" s="11"/>
      <c r="U2969" s="11"/>
      <c r="V2969" s="11"/>
      <c r="W2969" s="11"/>
      <c r="X2969" s="11"/>
      <c r="Y2969" s="11"/>
      <c r="Z2969" s="11"/>
    </row>
    <row r="2970" customHeight="1" spans="1:26">
      <c r="A2970" s="11" t="str">
        <f>IFERROR(__xludf.DUMMYFUNCTION("""COMPUTED_VALUE"""),"PEDRO IGOR A BARROS LINS")</f>
        <v>PEDRO IGOR A BARROS LINS</v>
      </c>
      <c r="B2970" s="11"/>
      <c r="C2970" s="11"/>
      <c r="D2970" s="11" t="str">
        <f>IFERROR(__xludf.DUMMYFUNCTION("""COMPUTED_VALUE"""),"GINECOLOGIA E OBSTETRICIA")</f>
        <v>GINECOLOGIA E OBSTETRICIA</v>
      </c>
      <c r="E2970" s="11"/>
      <c r="F2970" s="11" t="str">
        <f>IFERROR(__xludf.DUMMYFUNCTION("""COMPUTED_VALUE"""),"US_167 POLICLINICA E MATERNIDADE PROFESSOR BARROS LIMA")</f>
        <v>US_167 POLICLINICA E MATERNIDADE PROFESSOR BARROS LIMA</v>
      </c>
      <c r="G2970" s="11" t="str">
        <f>IFERROR(__xludf.DUMMYFUNCTION("""COMPUTED_VALUE"""),"US_167 POLICLINICA E MATERNIDADE PROFESSOR BARROS LIMA")</f>
        <v>US_167 POLICLINICA E MATERNIDADE PROFESSOR BARROS LIMA</v>
      </c>
      <c r="H2970" s="11"/>
      <c r="I2970" s="11"/>
      <c r="J2970" s="11"/>
      <c r="K2970" s="11"/>
      <c r="L2970" s="11"/>
      <c r="M2970" s="11"/>
      <c r="N2970" s="30" t="str">
        <f>IFERROR(__xludf.DUMMYFUNCTION("""COMPUTED_VALUE"""),"pedroablins@gmail.com")</f>
        <v>pedroablins@gmail.com</v>
      </c>
      <c r="O2970" s="11">
        <f>IFERROR(__xludf.DUMMYFUNCTION("""COMPUTED_VALUE"""),9078714450)</f>
        <v>9078714450</v>
      </c>
      <c r="P2970" s="11"/>
      <c r="Q2970" s="11"/>
      <c r="R2970" s="11"/>
      <c r="S2970" s="11"/>
      <c r="T2970" s="11"/>
      <c r="U2970" s="11"/>
      <c r="V2970" s="11"/>
      <c r="W2970" s="11"/>
      <c r="X2970" s="11"/>
      <c r="Y2970" s="11"/>
      <c r="Z2970" s="11"/>
    </row>
    <row r="2971" customHeight="1" spans="1:26">
      <c r="A2971" s="11" t="str">
        <f>IFERROR(__xludf.DUMMYFUNCTION("""COMPUTED_VALUE"""),"JONAS LOPES DA SILVA")</f>
        <v>JONAS LOPES DA SILVA</v>
      </c>
      <c r="B2971" s="11"/>
      <c r="C2971" s="11"/>
      <c r="D2971" s="11" t="str">
        <f>IFERROR(__xludf.DUMMYFUNCTION("""COMPUTED_VALUE"""),"CLINICA MEDICA")</f>
        <v>CLINICA MEDICA</v>
      </c>
      <c r="E2971" s="11"/>
      <c r="F2971" s="11" t="str">
        <f>IFERROR(__xludf.DUMMYFUNCTION("""COMPUTED_VALUE"""),"US_167 POLICLINICA E MATERNIDADE PROFESSOR BARROS LIMA")</f>
        <v>US_167 POLICLINICA E MATERNIDADE PROFESSOR BARROS LIMA</v>
      </c>
      <c r="G2971" s="11" t="str">
        <f>IFERROR(__xludf.DUMMYFUNCTION("""COMPUTED_VALUE"""),"US_167 POLICLINICA E MATERNIDADE PROFESSOR BARROS LIMA")</f>
        <v>US_167 POLICLINICA E MATERNIDADE PROFESSOR BARROS LIMA</v>
      </c>
      <c r="H2971" s="11"/>
      <c r="I2971" s="11"/>
      <c r="J2971" s="11"/>
      <c r="K2971" s="11"/>
      <c r="L2971" s="11"/>
      <c r="M2971" s="11"/>
      <c r="N2971" s="30" t="str">
        <f>IFERROR(__xludf.DUMMYFUNCTION("""COMPUTED_VALUE"""),"jonasmed10@gmail.com")</f>
        <v>jonasmed10@gmail.com</v>
      </c>
      <c r="O2971" s="11">
        <f>IFERROR(__xludf.DUMMYFUNCTION("""COMPUTED_VALUE"""),7351549451)</f>
        <v>7351549451</v>
      </c>
      <c r="P2971" s="11"/>
      <c r="Q2971" s="11"/>
      <c r="R2971" s="11"/>
      <c r="S2971" s="11"/>
      <c r="T2971" s="11"/>
      <c r="U2971" s="11"/>
      <c r="V2971" s="11"/>
      <c r="W2971" s="11"/>
      <c r="X2971" s="11"/>
      <c r="Y2971" s="11"/>
      <c r="Z2971" s="11"/>
    </row>
    <row r="2972" customHeight="1" spans="1:26">
      <c r="A2972" s="11" t="str">
        <f>IFERROR(__xludf.DUMMYFUNCTION("""COMPUTED_VALUE"""),"ISABELA RABELLO DE A LIRA")</f>
        <v>ISABELA RABELLO DE A LIRA</v>
      </c>
      <c r="B2972" s="11"/>
      <c r="C2972" s="11"/>
      <c r="D2972" s="11" t="str">
        <f>IFERROR(__xludf.DUMMYFUNCTION("""COMPUTED_VALUE"""),"GINECOLOGIA E OBSTETRICIA")</f>
        <v>GINECOLOGIA E OBSTETRICIA</v>
      </c>
      <c r="E2972" s="11"/>
      <c r="F2972" s="11" t="str">
        <f>IFERROR(__xludf.DUMMYFUNCTION("""COMPUTED_VALUE"""),"US_167 POLICLINICA E MATERNIDADE PROFESSOR BARROS LIMA")</f>
        <v>US_167 POLICLINICA E MATERNIDADE PROFESSOR BARROS LIMA</v>
      </c>
      <c r="G2972" s="11" t="str">
        <f>IFERROR(__xludf.DUMMYFUNCTION("""COMPUTED_VALUE"""),"US_167 POLICLINICA E MATERNIDADE PROFESSOR BARROS LIMA")</f>
        <v>US_167 POLICLINICA E MATERNIDADE PROFESSOR BARROS LIMA</v>
      </c>
      <c r="H2972" s="11"/>
      <c r="I2972" s="11"/>
      <c r="J2972" s="11"/>
      <c r="K2972" s="11"/>
      <c r="L2972" s="11"/>
      <c r="M2972" s="11"/>
      <c r="N2972" s="30" t="str">
        <f>IFERROR(__xludf.DUMMYFUNCTION("""COMPUTED_VALUE"""),"isabelarabellolira@gmail.com")</f>
        <v>isabelarabellolira@gmail.com</v>
      </c>
      <c r="O2972" s="11">
        <f>IFERROR(__xludf.DUMMYFUNCTION("""COMPUTED_VALUE"""),9642485494)</f>
        <v>9642485494</v>
      </c>
      <c r="P2972" s="11"/>
      <c r="Q2972" s="11"/>
      <c r="R2972" s="11"/>
      <c r="S2972" s="11"/>
      <c r="T2972" s="11"/>
      <c r="U2972" s="11"/>
      <c r="V2972" s="11"/>
      <c r="W2972" s="11"/>
      <c r="X2972" s="11"/>
      <c r="Y2972" s="11"/>
      <c r="Z2972" s="11"/>
    </row>
    <row r="2973" customHeight="1" spans="1:26">
      <c r="A2973" s="11" t="str">
        <f>IFERROR(__xludf.DUMMYFUNCTION("""COMPUTED_VALUE"""),"RAISA VIEIRA DE ARAUJO")</f>
        <v>RAISA VIEIRA DE ARAUJO</v>
      </c>
      <c r="B2973" s="11"/>
      <c r="C2973" s="11"/>
      <c r="D2973" s="11" t="str">
        <f>IFERROR(__xludf.DUMMYFUNCTION("""COMPUTED_VALUE"""),"GINECOLOGIA E OBSTETRICIA")</f>
        <v>GINECOLOGIA E OBSTETRICIA</v>
      </c>
      <c r="E2973" s="11"/>
      <c r="F2973" s="11" t="str">
        <f>IFERROR(__xludf.DUMMYFUNCTION("""COMPUTED_VALUE"""),"US_167 POLICLINICA E MATERNIDADE PROFESSOR BARROS LIMA")</f>
        <v>US_167 POLICLINICA E MATERNIDADE PROFESSOR BARROS LIMA</v>
      </c>
      <c r="G2973" s="11" t="str">
        <f>IFERROR(__xludf.DUMMYFUNCTION("""COMPUTED_VALUE"""),"US_167 POLICLINICA E MATERNIDADE PROFESSOR BARROS LIMA")</f>
        <v>US_167 POLICLINICA E MATERNIDADE PROFESSOR BARROS LIMA</v>
      </c>
      <c r="H2973" s="11"/>
      <c r="I2973" s="11"/>
      <c r="J2973" s="11"/>
      <c r="K2973" s="11"/>
      <c r="L2973" s="11"/>
      <c r="M2973" s="11"/>
      <c r="N2973" s="30" t="str">
        <f>IFERROR(__xludf.DUMMYFUNCTION("""COMPUTED_VALUE"""),"araujo.raisa02@gmail.com")</f>
        <v>araujo.raisa02@gmail.com</v>
      </c>
      <c r="O2973" s="11">
        <f>IFERROR(__xludf.DUMMYFUNCTION("""COMPUTED_VALUE"""),8937612496)</f>
        <v>8937612496</v>
      </c>
      <c r="P2973" s="11"/>
      <c r="Q2973" s="11"/>
      <c r="R2973" s="11"/>
      <c r="S2973" s="11"/>
      <c r="T2973" s="11"/>
      <c r="U2973" s="11"/>
      <c r="V2973" s="11"/>
      <c r="W2973" s="11"/>
      <c r="X2973" s="11"/>
      <c r="Y2973" s="11"/>
      <c r="Z2973" s="11"/>
    </row>
    <row r="2974" customHeight="1" spans="1:26">
      <c r="A2974" s="11" t="str">
        <f>IFERROR(__xludf.DUMMYFUNCTION("""COMPUTED_VALUE"""),"ANA BEATRIZ LIMA DE A CURSINO")</f>
        <v>ANA BEATRIZ LIMA DE A CURSINO</v>
      </c>
      <c r="B2974" s="11"/>
      <c r="C2974" s="11"/>
      <c r="D2974" s="11" t="str">
        <f>IFERROR(__xludf.DUMMYFUNCTION("""COMPUTED_VALUE"""),"GINECOLOGIA E OBSTETRICIA")</f>
        <v>GINECOLOGIA E OBSTETRICIA</v>
      </c>
      <c r="E2974" s="11"/>
      <c r="F2974" s="11" t="str">
        <f>IFERROR(__xludf.DUMMYFUNCTION("""COMPUTED_VALUE"""),"US_167 POLICLINICA E MATERNIDADE PROFESSOR BARROS LIMA")</f>
        <v>US_167 POLICLINICA E MATERNIDADE PROFESSOR BARROS LIMA</v>
      </c>
      <c r="G2974" s="11" t="str">
        <f>IFERROR(__xludf.DUMMYFUNCTION("""COMPUTED_VALUE"""),"US_167 POLICLINICA E MATERNIDADE PROFESSOR BARROS LIMA")</f>
        <v>US_167 POLICLINICA E MATERNIDADE PROFESSOR BARROS LIMA</v>
      </c>
      <c r="H2974" s="11"/>
      <c r="I2974" s="11"/>
      <c r="J2974" s="11"/>
      <c r="K2974" s="11"/>
      <c r="L2974" s="11"/>
      <c r="M2974" s="11"/>
      <c r="N2974" s="30" t="str">
        <f>IFERROR(__xludf.DUMMYFUNCTION("""COMPUTED_VALUE"""),"anabea.azevedo@gmail.com")</f>
        <v>anabea.azevedo@gmail.com</v>
      </c>
      <c r="O2974" s="11">
        <f>IFERROR(__xludf.DUMMYFUNCTION("""COMPUTED_VALUE"""),7174596401)</f>
        <v>7174596401</v>
      </c>
      <c r="P2974" s="11"/>
      <c r="Q2974" s="11"/>
      <c r="R2974" s="11"/>
      <c r="S2974" s="11"/>
      <c r="T2974" s="11"/>
      <c r="U2974" s="11"/>
      <c r="V2974" s="11"/>
      <c r="W2974" s="11"/>
      <c r="X2974" s="11"/>
      <c r="Y2974" s="11"/>
      <c r="Z2974" s="11"/>
    </row>
    <row r="2975" customHeight="1" spans="1:26">
      <c r="A2975" s="11" t="str">
        <f>IFERROR(__xludf.DUMMYFUNCTION("""COMPUTED_VALUE"""),"DANIELA VALLE A FIGUEREDO")</f>
        <v>DANIELA VALLE A FIGUEREDO</v>
      </c>
      <c r="B2975" s="11"/>
      <c r="C2975" s="11"/>
      <c r="D2975" s="11" t="str">
        <f>IFERROR(__xludf.DUMMYFUNCTION("""COMPUTED_VALUE"""),"GINECOLOGIA E OBSTETRICIA")</f>
        <v>GINECOLOGIA E OBSTETRICIA</v>
      </c>
      <c r="E2975" s="11"/>
      <c r="F2975" s="11" t="str">
        <f>IFERROR(__xludf.DUMMYFUNCTION("""COMPUTED_VALUE"""),"US_167 POLICLINICA E MATERNIDADE PROFESSOR BARROS LIMA")</f>
        <v>US_167 POLICLINICA E MATERNIDADE PROFESSOR BARROS LIMA</v>
      </c>
      <c r="G2975" s="11" t="str">
        <f>IFERROR(__xludf.DUMMYFUNCTION("""COMPUTED_VALUE"""),"US_167 POLICLINICA E MATERNIDADE PROFESSOR BARROS LIMA")</f>
        <v>US_167 POLICLINICA E MATERNIDADE PROFESSOR BARROS LIMA</v>
      </c>
      <c r="H2975" s="11"/>
      <c r="I2975" s="11"/>
      <c r="J2975" s="11"/>
      <c r="K2975" s="11"/>
      <c r="L2975" s="11"/>
      <c r="M2975" s="11"/>
      <c r="N2975" s="30" t="str">
        <f>IFERROR(__xludf.DUMMYFUNCTION("""COMPUTED_VALUE"""),"danivallealmeida@gmail.com")</f>
        <v>danivallealmeida@gmail.com</v>
      </c>
      <c r="O2975" s="11">
        <f>IFERROR(__xludf.DUMMYFUNCTION("""COMPUTED_VALUE"""),8041011403)</f>
        <v>8041011403</v>
      </c>
      <c r="P2975" s="11"/>
      <c r="Q2975" s="11"/>
      <c r="R2975" s="11"/>
      <c r="S2975" s="11"/>
      <c r="T2975" s="11"/>
      <c r="U2975" s="11"/>
      <c r="V2975" s="11"/>
      <c r="W2975" s="11"/>
      <c r="X2975" s="11"/>
      <c r="Y2975" s="11"/>
      <c r="Z2975" s="11"/>
    </row>
    <row r="2976" customHeight="1" spans="1:26">
      <c r="A2976" s="11" t="str">
        <f>IFERROR(__xludf.DUMMYFUNCTION("""COMPUTED_VALUE"""),"VITOR MODESTO F DE OLIVEIRA")</f>
        <v>VITOR MODESTO F DE OLIVEIRA</v>
      </c>
      <c r="B2976" s="11"/>
      <c r="C2976" s="11"/>
      <c r="D2976" s="11" t="str">
        <f>IFERROR(__xludf.DUMMYFUNCTION("""COMPUTED_VALUE"""),"GINECOLOGIA E OBSTETRICIA")</f>
        <v>GINECOLOGIA E OBSTETRICIA</v>
      </c>
      <c r="E2976" s="11"/>
      <c r="F2976" s="11" t="str">
        <f>IFERROR(__xludf.DUMMYFUNCTION("""COMPUTED_VALUE"""),"US_167 POLICLINICA E MATERNIDADE PROFESSOR BARROS LIMA")</f>
        <v>US_167 POLICLINICA E MATERNIDADE PROFESSOR BARROS LIMA</v>
      </c>
      <c r="G2976" s="11" t="str">
        <f>IFERROR(__xludf.DUMMYFUNCTION("""COMPUTED_VALUE"""),"US_167 POLICLINICA E MATERNIDADE PROFESSOR BARROS LIMA")</f>
        <v>US_167 POLICLINICA E MATERNIDADE PROFESSOR BARROS LIMA</v>
      </c>
      <c r="H2976" s="11"/>
      <c r="I2976" s="11"/>
      <c r="J2976" s="11"/>
      <c r="K2976" s="11"/>
      <c r="L2976" s="11"/>
      <c r="M2976" s="11"/>
      <c r="N2976" s="30" t="str">
        <f>IFERROR(__xludf.DUMMYFUNCTION("""COMPUTED_VALUE"""),"vitormodestofarias@gmail.com")</f>
        <v>vitormodestofarias@gmail.com</v>
      </c>
      <c r="O2976" s="11">
        <f>IFERROR(__xludf.DUMMYFUNCTION("""COMPUTED_VALUE"""),10154487473)</f>
        <v>10154487473</v>
      </c>
      <c r="P2976" s="11"/>
      <c r="Q2976" s="11"/>
      <c r="R2976" s="11"/>
      <c r="S2976" s="11"/>
      <c r="T2976" s="11"/>
      <c r="U2976" s="11"/>
      <c r="V2976" s="11"/>
      <c r="W2976" s="11"/>
      <c r="X2976" s="11"/>
      <c r="Y2976" s="11"/>
      <c r="Z2976" s="11"/>
    </row>
    <row r="2977" customHeight="1" spans="1:26">
      <c r="A2977" s="11" t="str">
        <f>IFERROR(__xludf.DUMMYFUNCTION("""COMPUTED_VALUE"""),"CAMILA PIRES DA SILVA FONTES")</f>
        <v>CAMILA PIRES DA SILVA FONTES</v>
      </c>
      <c r="B2977" s="11"/>
      <c r="C2977" s="11"/>
      <c r="D2977" s="11" t="str">
        <f>IFERROR(__xludf.DUMMYFUNCTION("""COMPUTED_VALUE"""),"GINECOLOGIA E OBSTETRICIA")</f>
        <v>GINECOLOGIA E OBSTETRICIA</v>
      </c>
      <c r="E2977" s="11"/>
      <c r="F2977" s="11" t="str">
        <f>IFERROR(__xludf.DUMMYFUNCTION("""COMPUTED_VALUE"""),"US_153 POLICLINICA E MATERNIDADE ARNALDO MARQUES")</f>
        <v>US_153 POLICLINICA E MATERNIDADE ARNALDO MARQUES</v>
      </c>
      <c r="G2977" s="11" t="str">
        <f>IFERROR(__xludf.DUMMYFUNCTION("""COMPUTED_VALUE"""),"US_153 POLICLINICA E MATERNIDADE ARNALDO MARQUES")</f>
        <v>US_153 POLICLINICA E MATERNIDADE ARNALDO MARQUES</v>
      </c>
      <c r="H2977" s="11"/>
      <c r="I2977" s="11"/>
      <c r="J2977" s="11"/>
      <c r="K2977" s="11"/>
      <c r="L2977" s="11"/>
      <c r="M2977" s="11"/>
      <c r="N2977" s="30" t="str">
        <f>IFERROR(__xludf.DUMMYFUNCTION("""COMPUTED_VALUE"""),"camilapfontes@outlook.com")</f>
        <v>camilapfontes@outlook.com</v>
      </c>
      <c r="O2977" s="11">
        <f>IFERROR(__xludf.DUMMYFUNCTION("""COMPUTED_VALUE"""),4316856308)</f>
        <v>4316856308</v>
      </c>
      <c r="P2977" s="11"/>
      <c r="Q2977" s="11"/>
      <c r="R2977" s="11"/>
      <c r="S2977" s="11"/>
      <c r="T2977" s="11"/>
      <c r="U2977" s="11"/>
      <c r="V2977" s="11"/>
      <c r="W2977" s="11"/>
      <c r="X2977" s="11"/>
      <c r="Y2977" s="11"/>
      <c r="Z2977" s="11"/>
    </row>
    <row r="2978" customHeight="1" spans="1:26">
      <c r="A2978" s="11" t="str">
        <f>IFERROR(__xludf.DUMMYFUNCTION("""COMPUTED_VALUE"""),"DANIELLI VERISSIMO DE MIRANDA")</f>
        <v>DANIELLI VERISSIMO DE MIRANDA</v>
      </c>
      <c r="B2978" s="11"/>
      <c r="C2978" s="11"/>
      <c r="D2978" s="11" t="str">
        <f>IFERROR(__xludf.DUMMYFUNCTION("""COMPUTED_VALUE"""),"ANESTESIOLOGIA")</f>
        <v>ANESTESIOLOGIA</v>
      </c>
      <c r="E2978" s="11"/>
      <c r="F2978" s="11" t="str">
        <f>IFERROR(__xludf.DUMMYFUNCTION("""COMPUTED_VALUE"""),"US_153 POLICLINICA E MATERNIDADE ARNALDO MARQUES")</f>
        <v>US_153 POLICLINICA E MATERNIDADE ARNALDO MARQUES</v>
      </c>
      <c r="G2978" s="11" t="str">
        <f>IFERROR(__xludf.DUMMYFUNCTION("""COMPUTED_VALUE"""),"US_153 POLICLINICA E MATERNIDADE ARNALDO MARQUES")</f>
        <v>US_153 POLICLINICA E MATERNIDADE ARNALDO MARQUES</v>
      </c>
      <c r="H2978" s="11"/>
      <c r="I2978" s="11"/>
      <c r="J2978" s="11"/>
      <c r="K2978" s="11"/>
      <c r="L2978" s="11"/>
      <c r="M2978" s="11"/>
      <c r="N2978" s="30" t="str">
        <f>IFERROR(__xludf.DUMMYFUNCTION("""COMPUTED_VALUE"""),"danielliverissimo@gmail.com")</f>
        <v>danielliverissimo@gmail.com</v>
      </c>
      <c r="O2978" s="11">
        <f>IFERROR(__xludf.DUMMYFUNCTION("""COMPUTED_VALUE"""),5076346409)</f>
        <v>5076346409</v>
      </c>
      <c r="P2978" s="11"/>
      <c r="Q2978" s="11"/>
      <c r="R2978" s="11"/>
      <c r="S2978" s="11"/>
      <c r="T2978" s="11"/>
      <c r="U2978" s="11"/>
      <c r="V2978" s="11"/>
      <c r="W2978" s="11"/>
      <c r="X2978" s="11"/>
      <c r="Y2978" s="11"/>
      <c r="Z2978" s="11"/>
    </row>
    <row r="2979" customHeight="1" spans="1:26">
      <c r="A2979" s="11" t="str">
        <f>IFERROR(__xludf.DUMMYFUNCTION("""COMPUTED_VALUE"""),"ANA CORINA REGO OLIVEIRA")</f>
        <v>ANA CORINA REGO OLIVEIRA</v>
      </c>
      <c r="B2979" s="11"/>
      <c r="C2979" s="11"/>
      <c r="D2979" s="11" t="str">
        <f>IFERROR(__xludf.DUMMYFUNCTION("""COMPUTED_VALUE"""),"ANESTESIOLOGIA")</f>
        <v>ANESTESIOLOGIA</v>
      </c>
      <c r="E2979" s="11"/>
      <c r="F2979" s="11" t="str">
        <f>IFERROR(__xludf.DUMMYFUNCTION("""COMPUTED_VALUE"""),"US_153 POLICLINICA E MATERNIDADE ARNALDO MARQUES")</f>
        <v>US_153 POLICLINICA E MATERNIDADE ARNALDO MARQUES</v>
      </c>
      <c r="G2979" s="11" t="str">
        <f>IFERROR(__xludf.DUMMYFUNCTION("""COMPUTED_VALUE"""),"US_153 POLICLINICA E MATERNIDADE ARNALDO MARQUES")</f>
        <v>US_153 POLICLINICA E MATERNIDADE ARNALDO MARQUES</v>
      </c>
      <c r="H2979" s="11"/>
      <c r="I2979" s="11"/>
      <c r="J2979" s="11"/>
      <c r="K2979" s="11"/>
      <c r="L2979" s="11"/>
      <c r="M2979" s="11"/>
      <c r="N2979" s="30" t="str">
        <f>IFERROR(__xludf.DUMMYFUNCTION("""COMPUTED_VALUE"""),"aninharego@yahoo.com.br")</f>
        <v>aninharego@yahoo.com.br</v>
      </c>
      <c r="O2979" s="11">
        <f>IFERROR(__xludf.DUMMYFUNCTION("""COMPUTED_VALUE"""),1233604473)</f>
        <v>1233604473</v>
      </c>
      <c r="P2979" s="11"/>
      <c r="Q2979" s="11"/>
      <c r="R2979" s="11"/>
      <c r="S2979" s="11"/>
      <c r="T2979" s="11"/>
      <c r="U2979" s="11"/>
      <c r="V2979" s="11"/>
      <c r="W2979" s="11"/>
      <c r="X2979" s="11"/>
      <c r="Y2979" s="11"/>
      <c r="Z2979" s="11"/>
    </row>
    <row r="2980" customHeight="1" spans="1:26">
      <c r="A2980" s="11" t="str">
        <f>IFERROR(__xludf.DUMMYFUNCTION("""COMPUTED_VALUE"""),"DIEGO DE OLIVEIRA SILVEIRA")</f>
        <v>DIEGO DE OLIVEIRA SILVEIRA</v>
      </c>
      <c r="B2980" s="11"/>
      <c r="C2980" s="11"/>
      <c r="D2980" s="11" t="str">
        <f>IFERROR(__xludf.DUMMYFUNCTION("""COMPUTED_VALUE"""),"ANESTESIOLOGIA")</f>
        <v>ANESTESIOLOGIA</v>
      </c>
      <c r="E2980" s="11"/>
      <c r="F2980" s="11" t="str">
        <f>IFERROR(__xludf.DUMMYFUNCTION("""COMPUTED_VALUE"""),"US_165 MATERNIDADE BANDEIRA FILHO")</f>
        <v>US_165 MATERNIDADE BANDEIRA FILHO</v>
      </c>
      <c r="G2980" s="11" t="str">
        <f>IFERROR(__xludf.DUMMYFUNCTION("""COMPUTED_VALUE"""),"US_165 MATERNIDADE BANDEIRA FILHO")</f>
        <v>US_165 MATERNIDADE BANDEIRA FILHO</v>
      </c>
      <c r="H2980" s="11"/>
      <c r="I2980" s="11"/>
      <c r="J2980" s="11"/>
      <c r="K2980" s="11"/>
      <c r="L2980" s="11"/>
      <c r="M2980" s="11"/>
      <c r="N2980" s="30" t="str">
        <f>IFERROR(__xludf.DUMMYFUNCTION("""COMPUTED_VALUE"""),"diego_oliv_cg@hotmail.com")</f>
        <v>diego_oliv_cg@hotmail.com</v>
      </c>
      <c r="O2980" s="11">
        <f>IFERROR(__xludf.DUMMYFUNCTION("""COMPUTED_VALUE"""),4607558460)</f>
        <v>4607558460</v>
      </c>
      <c r="P2980" s="11"/>
      <c r="Q2980" s="11"/>
      <c r="R2980" s="11"/>
      <c r="S2980" s="11"/>
      <c r="T2980" s="11"/>
      <c r="U2980" s="11"/>
      <c r="V2980" s="11"/>
      <c r="W2980" s="11"/>
      <c r="X2980" s="11"/>
      <c r="Y2980" s="11"/>
      <c r="Z2980" s="11"/>
    </row>
    <row r="2981" customHeight="1" spans="1:26">
      <c r="A2981" s="11" t="str">
        <f>IFERROR(__xludf.DUMMYFUNCTION("""COMPUTED_VALUE"""),"JAMILE DE CASTRO A NEPOMUCENO")</f>
        <v>JAMILE DE CASTRO A NEPOMUCENO</v>
      </c>
      <c r="B2981" s="11"/>
      <c r="C2981" s="11"/>
      <c r="D2981" s="11" t="str">
        <f>IFERROR(__xludf.DUMMYFUNCTION("""COMPUTED_VALUE"""),"ANESTESIOLOGIA")</f>
        <v>ANESTESIOLOGIA</v>
      </c>
      <c r="E2981" s="11"/>
      <c r="F2981" s="11" t="str">
        <f>IFERROR(__xludf.DUMMYFUNCTION("""COMPUTED_VALUE"""),"US_167 POLICLINICA E MATERNIDADE PROFESSOR BARROS LIMA")</f>
        <v>US_167 POLICLINICA E MATERNIDADE PROFESSOR BARROS LIMA</v>
      </c>
      <c r="G2981" s="11" t="str">
        <f>IFERROR(__xludf.DUMMYFUNCTION("""COMPUTED_VALUE"""),"US_167 POLICLINICA E MATERNIDADE PROFESSOR BARROS LIMA")</f>
        <v>US_167 POLICLINICA E MATERNIDADE PROFESSOR BARROS LIMA</v>
      </c>
      <c r="H2981" s="11"/>
      <c r="I2981" s="11"/>
      <c r="J2981" s="11"/>
      <c r="K2981" s="11"/>
      <c r="L2981" s="11"/>
      <c r="M2981" s="11"/>
      <c r="N2981" s="30" t="str">
        <f>IFERROR(__xludf.DUMMYFUNCTION("""COMPUTED_VALUE"""),"janzinhanepomuceno@hotmail.com")</f>
        <v>janzinhanepomuceno@hotmail.com</v>
      </c>
      <c r="O2981" s="11">
        <f>IFERROR(__xludf.DUMMYFUNCTION("""COMPUTED_VALUE"""),91622336372)</f>
        <v>91622336372</v>
      </c>
      <c r="P2981" s="11"/>
      <c r="Q2981" s="11"/>
      <c r="R2981" s="11"/>
      <c r="S2981" s="11"/>
      <c r="T2981" s="11"/>
      <c r="U2981" s="11"/>
      <c r="V2981" s="11"/>
      <c r="W2981" s="11"/>
      <c r="X2981" s="11"/>
      <c r="Y2981" s="11"/>
      <c r="Z2981" s="11"/>
    </row>
    <row r="2982" customHeight="1" spans="1:26">
      <c r="A2982" s="11" t="str">
        <f>IFERROR(__xludf.DUMMYFUNCTION("""COMPUTED_VALUE"""),"SIMONE SALGADO RODRIGUES")</f>
        <v>SIMONE SALGADO RODRIGUES</v>
      </c>
      <c r="B2982" s="11"/>
      <c r="C2982" s="11"/>
      <c r="D2982" s="11" t="str">
        <f>IFERROR(__xludf.DUMMYFUNCTION("""COMPUTED_VALUE"""),"ANESTESIOLOGIA")</f>
        <v>ANESTESIOLOGIA</v>
      </c>
      <c r="E2982" s="11"/>
      <c r="F2982" s="11" t="str">
        <f>IFERROR(__xludf.DUMMYFUNCTION("""COMPUTED_VALUE"""),"US_165 MATERNIDADE BANDEIRA FILHO")</f>
        <v>US_165 MATERNIDADE BANDEIRA FILHO</v>
      </c>
      <c r="G2982" s="11" t="str">
        <f>IFERROR(__xludf.DUMMYFUNCTION("""COMPUTED_VALUE"""),"US_165 MATERNIDADE BANDEIRA FILHO")</f>
        <v>US_165 MATERNIDADE BANDEIRA FILHO</v>
      </c>
      <c r="H2982" s="11"/>
      <c r="I2982" s="11"/>
      <c r="J2982" s="11"/>
      <c r="K2982" s="11"/>
      <c r="L2982" s="11"/>
      <c r="M2982" s="11"/>
      <c r="N2982" s="30" t="str">
        <f>IFERROR(__xludf.DUMMYFUNCTION("""COMPUTED_VALUE"""),"simonesalgado@zipmail.com.br")</f>
        <v>simonesalgado@zipmail.com.br</v>
      </c>
      <c r="O2982" s="11">
        <f>IFERROR(__xludf.DUMMYFUNCTION("""COMPUTED_VALUE"""),3273595442)</f>
        <v>3273595442</v>
      </c>
      <c r="P2982" s="11"/>
      <c r="Q2982" s="11"/>
      <c r="R2982" s="11"/>
      <c r="S2982" s="11"/>
      <c r="T2982" s="11"/>
      <c r="U2982" s="11"/>
      <c r="V2982" s="11"/>
      <c r="W2982" s="11"/>
      <c r="X2982" s="11"/>
      <c r="Y2982" s="11"/>
      <c r="Z2982" s="11"/>
    </row>
    <row r="2983" customHeight="1" spans="1:26">
      <c r="A2983" s="11" t="str">
        <f>IFERROR(__xludf.DUMMYFUNCTION("""COMPUTED_VALUE"""),"ROSAMARIA BERTO ALVES")</f>
        <v>ROSAMARIA BERTO ALVES</v>
      </c>
      <c r="B2983" s="11"/>
      <c r="C2983" s="11"/>
      <c r="D2983" s="11" t="str">
        <f>IFERROR(__xludf.DUMMYFUNCTION("""COMPUTED_VALUE"""),"ANESTESIOLOGIA")</f>
        <v>ANESTESIOLOGIA</v>
      </c>
      <c r="E2983" s="11"/>
      <c r="F2983" s="11" t="str">
        <f>IFERROR(__xludf.DUMMYFUNCTION("""COMPUTED_VALUE"""),"US_153 POLICLINICA E MATERNIDADE ARNALDO MARQUES")</f>
        <v>US_153 POLICLINICA E MATERNIDADE ARNALDO MARQUES</v>
      </c>
      <c r="G2983" s="11" t="str">
        <f>IFERROR(__xludf.DUMMYFUNCTION("""COMPUTED_VALUE"""),"US_153 POLICLINICA E MATERNIDADE ARNALDO MARQUES")</f>
        <v>US_153 POLICLINICA E MATERNIDADE ARNALDO MARQUES</v>
      </c>
      <c r="H2983" s="11"/>
      <c r="I2983" s="11"/>
      <c r="J2983" s="11"/>
      <c r="K2983" s="11"/>
      <c r="L2983" s="11"/>
      <c r="M2983" s="11"/>
      <c r="N2983" s="30" t="str">
        <f>IFERROR(__xludf.DUMMYFUNCTION("""COMPUTED_VALUE"""),"rosamariaberto@hotmail.com")</f>
        <v>rosamariaberto@hotmail.com</v>
      </c>
      <c r="O2983" s="11">
        <f>IFERROR(__xludf.DUMMYFUNCTION("""COMPUTED_VALUE"""),4260494465)</f>
        <v>4260494465</v>
      </c>
      <c r="P2983" s="11"/>
      <c r="Q2983" s="11"/>
      <c r="R2983" s="11"/>
      <c r="S2983" s="11"/>
      <c r="T2983" s="11"/>
      <c r="U2983" s="11"/>
      <c r="V2983" s="11"/>
      <c r="W2983" s="11"/>
      <c r="X2983" s="11"/>
      <c r="Y2983" s="11"/>
      <c r="Z2983" s="11"/>
    </row>
    <row r="2984" customHeight="1" spans="1:26">
      <c r="A2984" s="11" t="str">
        <f>IFERROR(__xludf.DUMMYFUNCTION("""COMPUTED_VALUE"""),"MANOEL ANANIAS DA SILVA NETO")</f>
        <v>MANOEL ANANIAS DA SILVA NETO</v>
      </c>
      <c r="B2984" s="11"/>
      <c r="C2984" s="11"/>
      <c r="D2984" s="11" t="str">
        <f>IFERROR(__xludf.DUMMYFUNCTION("""COMPUTED_VALUE"""),"ANESTESIOLOGIA")</f>
        <v>ANESTESIOLOGIA</v>
      </c>
      <c r="E2984" s="11"/>
      <c r="F2984" s="11" t="str">
        <f>IFERROR(__xludf.DUMMYFUNCTION("""COMPUTED_VALUE"""),"US_153 POLICLINICA E MATERNIDADE ARNALDO MARQUES")</f>
        <v>US_153 POLICLINICA E MATERNIDADE ARNALDO MARQUES</v>
      </c>
      <c r="G2984" s="11" t="str">
        <f>IFERROR(__xludf.DUMMYFUNCTION("""COMPUTED_VALUE"""),"US_153 POLICLINICA E MATERNIDADE ARNALDO MARQUES")</f>
        <v>US_153 POLICLINICA E MATERNIDADE ARNALDO MARQUES</v>
      </c>
      <c r="H2984" s="11"/>
      <c r="I2984" s="11"/>
      <c r="J2984" s="11"/>
      <c r="K2984" s="11"/>
      <c r="L2984" s="11"/>
      <c r="M2984" s="11"/>
      <c r="N2984" s="30" t="str">
        <f>IFERROR(__xludf.DUMMYFUNCTION("""COMPUTED_VALUE"""),"manoelneto87@gmail.com")</f>
        <v>manoelneto87@gmail.com</v>
      </c>
      <c r="O2984" s="11">
        <f>IFERROR(__xludf.DUMMYFUNCTION("""COMPUTED_VALUE"""),6821390410)</f>
        <v>6821390410</v>
      </c>
      <c r="P2984" s="11"/>
      <c r="Q2984" s="11"/>
      <c r="R2984" s="11"/>
      <c r="S2984" s="11"/>
      <c r="T2984" s="11"/>
      <c r="U2984" s="11"/>
      <c r="V2984" s="11"/>
      <c r="W2984" s="11"/>
      <c r="X2984" s="11"/>
      <c r="Y2984" s="11"/>
      <c r="Z2984" s="11"/>
    </row>
    <row r="2985" customHeight="1" spans="1:26">
      <c r="A2985" s="11" t="str">
        <f>IFERROR(__xludf.DUMMYFUNCTION("""COMPUTED_VALUE"""),"NADYA REGYNA SILVA P TORRES")</f>
        <v>NADYA REGYNA SILVA P TORRES</v>
      </c>
      <c r="B2985" s="11"/>
      <c r="C2985" s="11"/>
      <c r="D2985" s="11" t="str">
        <f>IFERROR(__xludf.DUMMYFUNCTION("""COMPUTED_VALUE"""),"ANESTESIOLOGIA")</f>
        <v>ANESTESIOLOGIA</v>
      </c>
      <c r="E2985" s="11"/>
      <c r="F2985" s="11" t="str">
        <f>IFERROR(__xludf.DUMMYFUNCTION("""COMPUTED_VALUE"""),"US_167 POLICLINICA E MATERNIDADE PROFESSOR BARROS LIMA")</f>
        <v>US_167 POLICLINICA E MATERNIDADE PROFESSOR BARROS LIMA</v>
      </c>
      <c r="G2985" s="11" t="str">
        <f>IFERROR(__xludf.DUMMYFUNCTION("""COMPUTED_VALUE"""),"US_167 POLICLINICA E MATERNIDADE PROFESSOR BARROS LIMA")</f>
        <v>US_167 POLICLINICA E MATERNIDADE PROFESSOR BARROS LIMA</v>
      </c>
      <c r="H2985" s="11"/>
      <c r="I2985" s="11"/>
      <c r="J2985" s="11"/>
      <c r="K2985" s="11"/>
      <c r="L2985" s="11"/>
      <c r="M2985" s="11"/>
      <c r="N2985" s="30" t="str">
        <f>IFERROR(__xludf.DUMMYFUNCTION("""COMPUTED_VALUE"""),"nadya_porto@hotmail.com")</f>
        <v>nadya_porto@hotmail.com</v>
      </c>
      <c r="O2985" s="11">
        <f>IFERROR(__xludf.DUMMYFUNCTION("""COMPUTED_VALUE"""),3925914480)</f>
        <v>3925914480</v>
      </c>
      <c r="P2985" s="11"/>
      <c r="Q2985" s="11"/>
      <c r="R2985" s="11"/>
      <c r="S2985" s="11"/>
      <c r="T2985" s="11"/>
      <c r="U2985" s="11"/>
      <c r="V2985" s="11"/>
      <c r="W2985" s="11"/>
      <c r="X2985" s="11"/>
      <c r="Y2985" s="11"/>
      <c r="Z2985" s="11"/>
    </row>
    <row r="2986" customHeight="1" spans="1:26">
      <c r="A2986" s="11" t="str">
        <f>IFERROR(__xludf.DUMMYFUNCTION("""COMPUTED_VALUE"""),"LUANA BORGES ARRAES")</f>
        <v>LUANA BORGES ARRAES</v>
      </c>
      <c r="B2986" s="11"/>
      <c r="C2986" s="11"/>
      <c r="D2986" s="11" t="str">
        <f>IFERROR(__xludf.DUMMYFUNCTION("""COMPUTED_VALUE"""),"ANESTESIOLOGIA")</f>
        <v>ANESTESIOLOGIA</v>
      </c>
      <c r="E2986" s="11"/>
      <c r="F2986" s="11" t="str">
        <f>IFERROR(__xludf.DUMMYFUNCTION("""COMPUTED_VALUE"""),"US_167 POLICLINICA E MATERNIDADE PROFESSOR BARROS LIMA")</f>
        <v>US_167 POLICLINICA E MATERNIDADE PROFESSOR BARROS LIMA</v>
      </c>
      <c r="G2986" s="11" t="str">
        <f>IFERROR(__xludf.DUMMYFUNCTION("""COMPUTED_VALUE"""),"US_167 POLICLINICA E MATERNIDADE PROFESSOR BARROS LIMA")</f>
        <v>US_167 POLICLINICA E MATERNIDADE PROFESSOR BARROS LIMA</v>
      </c>
      <c r="H2986" s="11"/>
      <c r="I2986" s="11"/>
      <c r="J2986" s="11"/>
      <c r="K2986" s="11"/>
      <c r="L2986" s="11"/>
      <c r="M2986" s="11"/>
      <c r="N2986" s="30" t="str">
        <f>IFERROR(__xludf.DUMMYFUNCTION("""COMPUTED_VALUE"""),"Luanaarraes@gmai.com")</f>
        <v>Luanaarraes@gmai.com</v>
      </c>
      <c r="O2986" s="11">
        <f>IFERROR(__xludf.DUMMYFUNCTION("""COMPUTED_VALUE"""),5156692451)</f>
        <v>5156692451</v>
      </c>
      <c r="P2986" s="11"/>
      <c r="Q2986" s="11"/>
      <c r="R2986" s="11"/>
      <c r="S2986" s="11"/>
      <c r="T2986" s="11"/>
      <c r="U2986" s="11"/>
      <c r="V2986" s="11"/>
      <c r="W2986" s="11"/>
      <c r="X2986" s="11"/>
      <c r="Y2986" s="11"/>
      <c r="Z2986" s="11"/>
    </row>
    <row r="2987" customHeight="1" spans="1:26">
      <c r="A2987" s="11" t="str">
        <f>IFERROR(__xludf.DUMMYFUNCTION("""COMPUTED_VALUE"""),"REBECA FELISSA A SOARES")</f>
        <v>REBECA FELISSA A SOARES</v>
      </c>
      <c r="B2987" s="11"/>
      <c r="C2987" s="11"/>
      <c r="D2987" s="11" t="str">
        <f>IFERROR(__xludf.DUMMYFUNCTION("""COMPUTED_VALUE"""),"ANESTESIOLOGIA")</f>
        <v>ANESTESIOLOGIA</v>
      </c>
      <c r="E2987" s="11"/>
      <c r="F2987" s="11" t="str">
        <f>IFERROR(__xludf.DUMMYFUNCTION("""COMPUTED_VALUE"""),"US_153 POLICLINICA E MATERNIDADE ARNALDO MARQUES")</f>
        <v>US_153 POLICLINICA E MATERNIDADE ARNALDO MARQUES</v>
      </c>
      <c r="G2987" s="11" t="str">
        <f>IFERROR(__xludf.DUMMYFUNCTION("""COMPUTED_VALUE"""),"US_153 POLICLINICA E MATERNIDADE ARNALDO MARQUES")</f>
        <v>US_153 POLICLINICA E MATERNIDADE ARNALDO MARQUES</v>
      </c>
      <c r="H2987" s="11"/>
      <c r="I2987" s="11"/>
      <c r="J2987" s="11"/>
      <c r="K2987" s="11"/>
      <c r="L2987" s="11"/>
      <c r="M2987" s="11"/>
      <c r="N2987" s="30" t="str">
        <f>IFERROR(__xludf.DUMMYFUNCTION("""COMPUTED_VALUE"""),"rebecafelissa@gmail.com")</f>
        <v>rebecafelissa@gmail.com</v>
      </c>
      <c r="O2987" s="11">
        <f>IFERROR(__xludf.DUMMYFUNCTION("""COMPUTED_VALUE"""),5752411440)</f>
        <v>5752411440</v>
      </c>
      <c r="P2987" s="11"/>
      <c r="Q2987" s="11"/>
      <c r="R2987" s="11"/>
      <c r="S2987" s="11"/>
      <c r="T2987" s="11"/>
      <c r="U2987" s="11"/>
      <c r="V2987" s="11"/>
      <c r="W2987" s="11"/>
      <c r="X2987" s="11"/>
      <c r="Y2987" s="11"/>
      <c r="Z2987" s="11"/>
    </row>
    <row r="2988" customHeight="1" spans="1:26">
      <c r="A2988" s="11" t="str">
        <f>IFERROR(__xludf.DUMMYFUNCTION("""COMPUTED_VALUE"""),"ADRIANA SOARES VALENTE ROLIM")</f>
        <v>ADRIANA SOARES VALENTE ROLIM</v>
      </c>
      <c r="B2988" s="11"/>
      <c r="C2988" s="11"/>
      <c r="D2988" s="11" t="str">
        <f>IFERROR(__xludf.DUMMYFUNCTION("""COMPUTED_VALUE"""),"ANESTESIOLOGIA")</f>
        <v>ANESTESIOLOGIA</v>
      </c>
      <c r="E2988" s="11"/>
      <c r="F2988" s="11" t="str">
        <f>IFERROR(__xludf.DUMMYFUNCTION("""COMPUTED_VALUE"""),"US_165 MATERNIDADE BANDEIRA FILHO")</f>
        <v>US_165 MATERNIDADE BANDEIRA FILHO</v>
      </c>
      <c r="G2988" s="11" t="str">
        <f>IFERROR(__xludf.DUMMYFUNCTION("""COMPUTED_VALUE"""),"US_165 MATERNIDADE BANDEIRA FILHO")</f>
        <v>US_165 MATERNIDADE BANDEIRA FILHO</v>
      </c>
      <c r="H2988" s="11"/>
      <c r="I2988" s="11"/>
      <c r="J2988" s="11"/>
      <c r="K2988" s="11"/>
      <c r="L2988" s="11"/>
      <c r="M2988" s="11"/>
      <c r="N2988" s="30" t="str">
        <f>IFERROR(__xludf.DUMMYFUNCTION("""COMPUTED_VALUE"""),"adrianavalenterolim@gmail.com")</f>
        <v>adrianavalenterolim@gmail.com</v>
      </c>
      <c r="O2988" s="11">
        <f>IFERROR(__xludf.DUMMYFUNCTION("""COMPUTED_VALUE"""),88782212368)</f>
        <v>88782212368</v>
      </c>
      <c r="P2988" s="11"/>
      <c r="Q2988" s="11"/>
      <c r="R2988" s="11"/>
      <c r="S2988" s="11"/>
      <c r="T2988" s="11"/>
      <c r="U2988" s="11"/>
      <c r="V2988" s="11"/>
      <c r="W2988" s="11"/>
      <c r="X2988" s="11"/>
      <c r="Y2988" s="11"/>
      <c r="Z2988" s="11"/>
    </row>
    <row r="2989" customHeight="1" spans="1:26">
      <c r="A2989" s="11" t="str">
        <f>IFERROR(__xludf.DUMMYFUNCTION("""COMPUTED_VALUE"""),"OSVALDO NEVES DE SOUZA")</f>
        <v>OSVALDO NEVES DE SOUZA</v>
      </c>
      <c r="B2989" s="11"/>
      <c r="C2989" s="11"/>
      <c r="D2989" s="11" t="str">
        <f>IFERROR(__xludf.DUMMYFUNCTION("""COMPUTED_VALUE"""),"ANESTESIOLOGIA")</f>
        <v>ANESTESIOLOGIA</v>
      </c>
      <c r="E2989" s="11"/>
      <c r="F2989" s="11" t="str">
        <f>IFERROR(__xludf.DUMMYFUNCTION("""COMPUTED_VALUE"""),"US_165 MATERNIDADE BANDEIRA FILHO")</f>
        <v>US_165 MATERNIDADE BANDEIRA FILHO</v>
      </c>
      <c r="G2989" s="11" t="str">
        <f>IFERROR(__xludf.DUMMYFUNCTION("""COMPUTED_VALUE"""),"US_165 MATERNIDADE BANDEIRA FILHO")</f>
        <v>US_165 MATERNIDADE BANDEIRA FILHO</v>
      </c>
      <c r="H2989" s="11"/>
      <c r="I2989" s="11"/>
      <c r="J2989" s="11"/>
      <c r="K2989" s="11"/>
      <c r="L2989" s="11"/>
      <c r="M2989" s="11"/>
      <c r="N2989" s="30" t="str">
        <f>IFERROR(__xludf.DUMMYFUNCTION("""COMPUTED_VALUE"""),"osvaldsouz@gmail.com")</f>
        <v>osvaldsouz@gmail.com</v>
      </c>
      <c r="O2989" s="11">
        <f>IFERROR(__xludf.DUMMYFUNCTION("""COMPUTED_VALUE"""),37550799415)</f>
        <v>37550799415</v>
      </c>
      <c r="P2989" s="11"/>
      <c r="Q2989" s="11"/>
      <c r="R2989" s="11"/>
      <c r="S2989" s="11"/>
      <c r="T2989" s="11"/>
      <c r="U2989" s="11"/>
      <c r="V2989" s="11"/>
      <c r="W2989" s="11"/>
      <c r="X2989" s="11"/>
      <c r="Y2989" s="11"/>
      <c r="Z2989" s="11"/>
    </row>
    <row r="2990" customHeight="1" spans="1:26">
      <c r="A2990" s="11" t="str">
        <f>IFERROR(__xludf.DUMMYFUNCTION("""COMPUTED_VALUE"""),"RENATA MIRELLI C MACEDO")</f>
        <v>RENATA MIRELLI C MACEDO</v>
      </c>
      <c r="B2990" s="11"/>
      <c r="C2990" s="11"/>
      <c r="D2990" s="11" t="str">
        <f>IFERROR(__xludf.DUMMYFUNCTION("""COMPUTED_VALUE"""),"PEDIATRIA")</f>
        <v>PEDIATRIA</v>
      </c>
      <c r="E2990" s="11"/>
      <c r="F2990" s="11" t="str">
        <f>IFERROR(__xludf.DUMMYFUNCTION("""COMPUTED_VALUE"""),"US_153 POLICLINICA E MATERNIDADE ARNALDO MARQUES")</f>
        <v>US_153 POLICLINICA E MATERNIDADE ARNALDO MARQUES</v>
      </c>
      <c r="G2990" s="11" t="str">
        <f>IFERROR(__xludf.DUMMYFUNCTION("""COMPUTED_VALUE"""),"US_153 POLICLINICA E MATERNIDADE ARNALDO MARQUES")</f>
        <v>US_153 POLICLINICA E MATERNIDADE ARNALDO MARQUES</v>
      </c>
      <c r="H2990" s="11"/>
      <c r="I2990" s="11"/>
      <c r="J2990" s="11"/>
      <c r="K2990" s="11"/>
      <c r="L2990" s="11"/>
      <c r="M2990" s="11"/>
      <c r="N2990" s="30" t="str">
        <f>IFERROR(__xludf.DUMMYFUNCTION("""COMPUTED_VALUE"""),"renatamcavalcanti@yahoo.com.br")</f>
        <v>renatamcavalcanti@yahoo.com.br</v>
      </c>
      <c r="O2990" s="11">
        <f>IFERROR(__xludf.DUMMYFUNCTION("""COMPUTED_VALUE"""),7766855461)</f>
        <v>7766855461</v>
      </c>
      <c r="P2990" s="11"/>
      <c r="Q2990" s="11"/>
      <c r="R2990" s="11"/>
      <c r="S2990" s="11"/>
      <c r="T2990" s="11"/>
      <c r="U2990" s="11"/>
      <c r="V2990" s="11"/>
      <c r="W2990" s="11"/>
      <c r="X2990" s="11"/>
      <c r="Y2990" s="11"/>
      <c r="Z2990" s="11"/>
    </row>
    <row r="2991" customHeight="1" spans="1:26">
      <c r="A2991" s="11" t="str">
        <f>IFERROR(__xludf.DUMMYFUNCTION("""COMPUTED_VALUE"""),"STELLA DAS CHAGAS CRISOSTOMO")</f>
        <v>STELLA DAS CHAGAS CRISOSTOMO</v>
      </c>
      <c r="B2991" s="11"/>
      <c r="C2991" s="11"/>
      <c r="D2991" s="11" t="str">
        <f>IFERROR(__xludf.DUMMYFUNCTION("""COMPUTED_VALUE"""),"GINECOLOGIA E OBSTETRICIA")</f>
        <v>GINECOLOGIA E OBSTETRICIA</v>
      </c>
      <c r="E2991" s="11"/>
      <c r="F2991" s="11" t="str">
        <f>IFERROR(__xludf.DUMMYFUNCTION("""COMPUTED_VALUE"""),"US_167 POLICLINICA E MATERNIDADE PROFESSOR BARROS LIMA")</f>
        <v>US_167 POLICLINICA E MATERNIDADE PROFESSOR BARROS LIMA</v>
      </c>
      <c r="G2991" s="11" t="str">
        <f>IFERROR(__xludf.DUMMYFUNCTION("""COMPUTED_VALUE"""),"US_167 POLICLINICA E MATERNIDADE PROFESSOR BARROS LIMA")</f>
        <v>US_167 POLICLINICA E MATERNIDADE PROFESSOR BARROS LIMA</v>
      </c>
      <c r="H2991" s="11"/>
      <c r="I2991" s="11"/>
      <c r="J2991" s="11"/>
      <c r="K2991" s="11"/>
      <c r="L2991" s="11"/>
      <c r="M2991" s="11"/>
      <c r="N2991" s="30" t="str">
        <f>IFERROR(__xludf.DUMMYFUNCTION("""COMPUTED_VALUE"""),"STELLA.CHAGAS@yahoo.com.br")</f>
        <v>STELLA.CHAGAS@yahoo.com.br</v>
      </c>
      <c r="O2991" s="11">
        <f>IFERROR(__xludf.DUMMYFUNCTION("""COMPUTED_VALUE"""),8535097430)</f>
        <v>8535097430</v>
      </c>
      <c r="P2991" s="11"/>
      <c r="Q2991" s="11"/>
      <c r="R2991" s="11"/>
      <c r="S2991" s="11"/>
      <c r="T2991" s="11"/>
      <c r="U2991" s="11"/>
      <c r="V2991" s="11"/>
      <c r="W2991" s="11"/>
      <c r="X2991" s="11"/>
      <c r="Y2991" s="11"/>
      <c r="Z2991" s="11"/>
    </row>
    <row r="2992" customHeight="1" spans="1:26">
      <c r="A2992" s="11" t="str">
        <f>IFERROR(__xludf.DUMMYFUNCTION("""COMPUTED_VALUE"""),"AMANDA NOGUEIRA COUTINHO")</f>
        <v>AMANDA NOGUEIRA COUTINHO</v>
      </c>
      <c r="B2992" s="11"/>
      <c r="C2992" s="11"/>
      <c r="D2992" s="11" t="str">
        <f>IFERROR(__xludf.DUMMYFUNCTION("""COMPUTED_VALUE"""),"GINECOLOGIA E OBSTETRICIA")</f>
        <v>GINECOLOGIA E OBSTETRICIA</v>
      </c>
      <c r="E2992" s="11"/>
      <c r="F2992" s="11" t="str">
        <f>IFERROR(__xludf.DUMMYFUNCTION("""COMPUTED_VALUE"""),"US_165 MATERNIDADE BANDEIRA FILHO")</f>
        <v>US_165 MATERNIDADE BANDEIRA FILHO</v>
      </c>
      <c r="G2992" s="11" t="str">
        <f>IFERROR(__xludf.DUMMYFUNCTION("""COMPUTED_VALUE"""),"US_165 MATERNIDADE BANDEIRA FILHO")</f>
        <v>US_165 MATERNIDADE BANDEIRA FILHO</v>
      </c>
      <c r="H2992" s="11"/>
      <c r="I2992" s="11"/>
      <c r="J2992" s="11"/>
      <c r="K2992" s="11"/>
      <c r="L2992" s="11"/>
      <c r="M2992" s="11"/>
      <c r="N2992" s="30" t="str">
        <f>IFERROR(__xludf.DUMMYFUNCTION("""COMPUTED_VALUE"""),"NC.AMANDAA@GMAIL.COM")</f>
        <v>NC.AMANDAA@GMAIL.COM</v>
      </c>
      <c r="O2992" s="11">
        <f>IFERROR(__xludf.DUMMYFUNCTION("""COMPUTED_VALUE"""),6400155490)</f>
        <v>6400155490</v>
      </c>
      <c r="P2992" s="11"/>
      <c r="Q2992" s="11"/>
      <c r="R2992" s="11"/>
      <c r="S2992" s="11"/>
      <c r="T2992" s="11"/>
      <c r="U2992" s="11"/>
      <c r="V2992" s="11"/>
      <c r="W2992" s="11"/>
      <c r="X2992" s="11"/>
      <c r="Y2992" s="11"/>
      <c r="Z2992" s="11"/>
    </row>
    <row r="2993" customHeight="1" spans="1:26">
      <c r="A2993" s="11" t="str">
        <f>IFERROR(__xludf.DUMMYFUNCTION("""COMPUTED_VALUE"""),"KARINA MASCARENHAS BEZERRA ALVES")</f>
        <v>KARINA MASCARENHAS BEZERRA ALVES</v>
      </c>
      <c r="B2993" s="11"/>
      <c r="C2993" s="11"/>
      <c r="D2993" s="11" t="str">
        <f>IFERROR(__xludf.DUMMYFUNCTION("""COMPUTED_VALUE"""),"CLINICA MEDICA")</f>
        <v>CLINICA MEDICA</v>
      </c>
      <c r="E2993" s="11"/>
      <c r="F2993" s="11" t="str">
        <f>IFERROR(__xludf.DUMMYFUNCTION("""COMPUTED_VALUE"""),"")</f>
        <v/>
      </c>
      <c r="G2993" s="11" t="str">
        <f>IFERROR(__xludf.DUMMYFUNCTION("""COMPUTED_VALUE"""),"")</f>
        <v/>
      </c>
      <c r="H2993" s="11"/>
      <c r="I2993" s="11"/>
      <c r="J2993" s="11"/>
      <c r="K2993" s="11"/>
      <c r="L2993" s="11"/>
      <c r="M2993" s="11"/>
      <c r="N2993" s="11"/>
      <c r="O2993" s="11"/>
      <c r="P2993" s="11"/>
      <c r="Q2993" s="11"/>
      <c r="R2993" s="11"/>
      <c r="S2993" s="11"/>
      <c r="T2993" s="11"/>
      <c r="U2993" s="11"/>
      <c r="V2993" s="11"/>
      <c r="W2993" s="11"/>
      <c r="X2993" s="11"/>
      <c r="Y2993" s="11"/>
      <c r="Z2993" s="11"/>
    </row>
    <row r="2994" customHeight="1" spans="1:26">
      <c r="A2994" s="11" t="str">
        <f>IFERROR(__xludf.DUMMYFUNCTION("""COMPUTED_VALUE"""),"JULIANA MELO DE BARROS SOUTO")</f>
        <v>JULIANA MELO DE BARROS SOUTO</v>
      </c>
      <c r="B2994" s="11"/>
      <c r="C2994" s="11"/>
      <c r="D2994" s="11" t="str">
        <f>IFERROR(__xludf.DUMMYFUNCTION("""COMPUTED_VALUE"""),"GINECOLOGIA E OBSTETRICIA")</f>
        <v>GINECOLOGIA E OBSTETRICIA</v>
      </c>
      <c r="E2994" s="11"/>
      <c r="F2994" s="11" t="str">
        <f>IFERROR(__xludf.DUMMYFUNCTION("""COMPUTED_VALUE"""),"")</f>
        <v/>
      </c>
      <c r="G2994" s="11" t="str">
        <f>IFERROR(__xludf.DUMMYFUNCTION("""COMPUTED_VALUE"""),"")</f>
        <v/>
      </c>
      <c r="H2994" s="11"/>
      <c r="I2994" s="11"/>
      <c r="J2994" s="11"/>
      <c r="K2994" s="11"/>
      <c r="L2994" s="11"/>
      <c r="M2994" s="11"/>
      <c r="N2994" s="11"/>
      <c r="O2994" s="11"/>
      <c r="P2994" s="11"/>
      <c r="Q2994" s="11"/>
      <c r="R2994" s="11"/>
      <c r="S2994" s="11"/>
      <c r="T2994" s="11"/>
      <c r="U2994" s="11"/>
      <c r="V2994" s="11"/>
      <c r="W2994" s="11"/>
      <c r="X2994" s="11"/>
      <c r="Y2994" s="11"/>
      <c r="Z2994" s="11"/>
    </row>
    <row r="2995" customHeight="1" spans="1:26">
      <c r="A2995" s="11" t="str">
        <f>IFERROR(__xludf.DUMMYFUNCTION("""COMPUTED_VALUE"""),"FRANCINETE CAMBUIM DE MIRANDA")</f>
        <v>FRANCINETE CAMBUIM DE MIRANDA</v>
      </c>
      <c r="B2995" s="11"/>
      <c r="C2995" s="11"/>
      <c r="D2995" s="11" t="str">
        <f>IFERROR(__xludf.DUMMYFUNCTION("""COMPUTED_VALUE"""),"CLINICA GERAL")</f>
        <v>CLINICA GERAL</v>
      </c>
      <c r="E2995" s="11"/>
      <c r="F2995" s="11" t="str">
        <f>IFERROR(__xludf.DUMMYFUNCTION("""COMPUTED_VALUE"""),"US_180 CENTRAL DE REGULACAO MEDICA SAMU METROPOLITANO RECIFE")</f>
        <v>US_180 CENTRAL DE REGULACAO MEDICA SAMU METROPOLITANO RECIFE</v>
      </c>
      <c r="G2995" s="11" t="str">
        <f>IFERROR(__xludf.DUMMYFUNCTION("""COMPUTED_VALUE"""),"US_180 CENTRAL DE REGULACAO MEDICA SAMU METROPOLITANO RECIFE")</f>
        <v>US_180 CENTRAL DE REGULACAO MEDICA SAMU METROPOLITANO RECIFE</v>
      </c>
      <c r="H2995" s="11"/>
      <c r="I2995" s="11"/>
      <c r="J2995" s="11"/>
      <c r="K2995" s="11"/>
      <c r="L2995" s="11"/>
      <c r="M2995" s="11"/>
      <c r="N2995" s="30" t="str">
        <f>IFERROR(__xludf.DUMMYFUNCTION("""COMPUTED_VALUE"""),"francinetecambuim@hotmail.com")</f>
        <v>francinetecambuim@hotmail.com</v>
      </c>
      <c r="O2995" s="11">
        <f>IFERROR(__xludf.DUMMYFUNCTION("""COMPUTED_VALUE"""),23484276487)</f>
        <v>23484276487</v>
      </c>
      <c r="P2995" s="11"/>
      <c r="Q2995" s="11"/>
      <c r="R2995" s="11"/>
      <c r="S2995" s="11"/>
      <c r="T2995" s="11"/>
      <c r="U2995" s="11"/>
      <c r="V2995" s="11"/>
      <c r="W2995" s="11"/>
      <c r="X2995" s="11"/>
      <c r="Y2995" s="11"/>
      <c r="Z2995" s="11"/>
    </row>
    <row r="2996" customHeight="1" spans="1:26">
      <c r="A2996" s="11" t="str">
        <f>IFERROR(__xludf.DUMMYFUNCTION("""COMPUTED_VALUE"""),"LUCIA DE FATIMA P L MARINHO")</f>
        <v>LUCIA DE FATIMA P L MARINHO</v>
      </c>
      <c r="B2996" s="11"/>
      <c r="C2996" s="11"/>
      <c r="D2996" s="11" t="str">
        <f>IFERROR(__xludf.DUMMYFUNCTION("""COMPUTED_VALUE"""),"CLINICA GERAL")</f>
        <v>CLINICA GERAL</v>
      </c>
      <c r="E2996" s="11"/>
      <c r="F2996" s="11" t="str">
        <f>IFERROR(__xludf.DUMMYFUNCTION("""COMPUTED_VALUE"""),"US_180 CENTRAL DE REGULACAO MEDICA SAMU METROPOLITANO RECIFE")</f>
        <v>US_180 CENTRAL DE REGULACAO MEDICA SAMU METROPOLITANO RECIFE</v>
      </c>
      <c r="G2996" s="11" t="str">
        <f>IFERROR(__xludf.DUMMYFUNCTION("""COMPUTED_VALUE"""),"US_180 CENTRAL DE REGULACAO MEDICA SAMU METROPOLITANO RECIFE")</f>
        <v>US_180 CENTRAL DE REGULACAO MEDICA SAMU METROPOLITANO RECIFE</v>
      </c>
      <c r="H2996" s="11"/>
      <c r="I2996" s="11"/>
      <c r="J2996" s="11"/>
      <c r="K2996" s="11"/>
      <c r="L2996" s="11"/>
      <c r="M2996" s="11"/>
      <c r="N2996" s="30" t="str">
        <f>IFERROR(__xludf.DUMMYFUNCTION("""COMPUTED_VALUE"""),"lfpleite@hotmail.com                                   ")</f>
        <v>lfpleite@hotmail.com                                   </v>
      </c>
      <c r="O2996" s="11">
        <f>IFERROR(__xludf.DUMMYFUNCTION("""COMPUTED_VALUE"""),73387681453)</f>
        <v>73387681453</v>
      </c>
      <c r="P2996" s="11"/>
      <c r="Q2996" s="11"/>
      <c r="R2996" s="11"/>
      <c r="S2996" s="11"/>
      <c r="T2996" s="11"/>
      <c r="U2996" s="11"/>
      <c r="V2996" s="11"/>
      <c r="W2996" s="11"/>
      <c r="X2996" s="11"/>
      <c r="Y2996" s="11"/>
      <c r="Z2996" s="11"/>
    </row>
    <row r="2997" customHeight="1" spans="1:26">
      <c r="A2997" s="11" t="str">
        <f>IFERROR(__xludf.DUMMYFUNCTION("""COMPUTED_VALUE"""),"ALCIONE MOES DE SOUZA")</f>
        <v>ALCIONE MOES DE SOUZA</v>
      </c>
      <c r="B2997" s="11"/>
      <c r="C2997" s="11"/>
      <c r="D2997" s="11" t="str">
        <f>IFERROR(__xludf.DUMMYFUNCTION("""COMPUTED_VALUE"""),"CLINICA GERAL")</f>
        <v>CLINICA GERAL</v>
      </c>
      <c r="E2997" s="11"/>
      <c r="F2997" s="11" t="str">
        <f>IFERROR(__xludf.DUMMYFUNCTION("""COMPUTED_VALUE"""),"US_180 CENTRAL DE REGULACAO MEDICA SAMU METROPOLITANO RECIFE")</f>
        <v>US_180 CENTRAL DE REGULACAO MEDICA SAMU METROPOLITANO RECIFE</v>
      </c>
      <c r="G2997" s="11" t="str">
        <f>IFERROR(__xludf.DUMMYFUNCTION("""COMPUTED_VALUE"""),"US_180 CENTRAL DE REGULACAO MEDICA SAMU METROPOLITANO RECIFE")</f>
        <v>US_180 CENTRAL DE REGULACAO MEDICA SAMU METROPOLITANO RECIFE</v>
      </c>
      <c r="H2997" s="11"/>
      <c r="I2997" s="11"/>
      <c r="J2997" s="11"/>
      <c r="K2997" s="11"/>
      <c r="L2997" s="11"/>
      <c r="M2997" s="11"/>
      <c r="N2997" s="30" t="str">
        <f>IFERROR(__xludf.DUMMYFUNCTION("""COMPUTED_VALUE"""),"alcione_moes@hotmail.com")</f>
        <v>alcione_moes@hotmail.com</v>
      </c>
      <c r="O2997" s="11">
        <f>IFERROR(__xludf.DUMMYFUNCTION("""COMPUTED_VALUE"""),30453062415)</f>
        <v>30453062415</v>
      </c>
      <c r="P2997" s="11"/>
      <c r="Q2997" s="11"/>
      <c r="R2997" s="11"/>
      <c r="S2997" s="11"/>
      <c r="T2997" s="11"/>
      <c r="U2997" s="11"/>
      <c r="V2997" s="11"/>
      <c r="W2997" s="11"/>
      <c r="X2997" s="11"/>
      <c r="Y2997" s="11"/>
      <c r="Z2997" s="11"/>
    </row>
    <row r="2998" customHeight="1" spans="1:26">
      <c r="A2998" s="11" t="str">
        <f>IFERROR(__xludf.DUMMYFUNCTION("""COMPUTED_VALUE"""),"THADEU ALEXANDRE X ALMEIDA")</f>
        <v>THADEU ALEXANDRE X ALMEIDA</v>
      </c>
      <c r="B2998" s="11"/>
      <c r="C2998" s="11"/>
      <c r="D2998" s="11" t="str">
        <f>IFERROR(__xludf.DUMMYFUNCTION("""COMPUTED_VALUE"""),"CLINICA GERAL")</f>
        <v>CLINICA GERAL</v>
      </c>
      <c r="E2998" s="11"/>
      <c r="F2998" s="11" t="str">
        <f>IFERROR(__xludf.DUMMYFUNCTION("""COMPUTED_VALUE"""),"US_180 CENTRAL DE REGULACAO MEDICA SAMU METROPOLITANO RECIFE")</f>
        <v>US_180 CENTRAL DE REGULACAO MEDICA SAMU METROPOLITANO RECIFE</v>
      </c>
      <c r="G2998" s="11" t="str">
        <f>IFERROR(__xludf.DUMMYFUNCTION("""COMPUTED_VALUE"""),"US_180 CENTRAL DE REGULACAO MEDICA SAMU METROPOLITANO RECIFE")</f>
        <v>US_180 CENTRAL DE REGULACAO MEDICA SAMU METROPOLITANO RECIFE</v>
      </c>
      <c r="H2998" s="11"/>
      <c r="I2998" s="11"/>
      <c r="J2998" s="11"/>
      <c r="K2998" s="11"/>
      <c r="L2998" s="11"/>
      <c r="M2998" s="11"/>
      <c r="N2998" s="30" t="str">
        <f>IFERROR(__xludf.DUMMYFUNCTION("""COMPUTED_VALUE"""),"thadeuximenes@gmail.com                                ")</f>
        <v>thadeuximenes@gmail.com                                </v>
      </c>
      <c r="O2998" s="11">
        <f>IFERROR(__xludf.DUMMYFUNCTION("""COMPUTED_VALUE"""),2532591420)</f>
        <v>2532591420</v>
      </c>
      <c r="P2998" s="11"/>
      <c r="Q2998" s="11"/>
      <c r="R2998" s="11"/>
      <c r="S2998" s="11"/>
      <c r="T2998" s="11"/>
      <c r="U2998" s="11"/>
      <c r="V2998" s="11"/>
      <c r="W2998" s="11"/>
      <c r="X2998" s="11"/>
      <c r="Y2998" s="11"/>
      <c r="Z2998" s="11"/>
    </row>
    <row r="2999" customHeight="1" spans="1:26">
      <c r="A2999" s="11" t="str">
        <f>IFERROR(__xludf.DUMMYFUNCTION("""COMPUTED_VALUE"""),"HERBERT FARIAS DE MIRANDA")</f>
        <v>HERBERT FARIAS DE MIRANDA</v>
      </c>
      <c r="B2999" s="11"/>
      <c r="C2999" s="11"/>
      <c r="D2999" s="11" t="str">
        <f>IFERROR(__xludf.DUMMYFUNCTION("""COMPUTED_VALUE"""),"CIRURGIA GERAL")</f>
        <v>CIRURGIA GERAL</v>
      </c>
      <c r="E2999" s="11"/>
      <c r="F2999" s="11" t="str">
        <f>IFERROR(__xludf.DUMMYFUNCTION("""COMPUTED_VALUE"""),"US_180 CENTRAL DE REGULACAO MEDICA SAMU METROPOLITANO RECIFE")</f>
        <v>US_180 CENTRAL DE REGULACAO MEDICA SAMU METROPOLITANO RECIFE</v>
      </c>
      <c r="G2999" s="11" t="str">
        <f>IFERROR(__xludf.DUMMYFUNCTION("""COMPUTED_VALUE"""),"US_180 CENTRAL DE REGULACAO MEDICA SAMU METROPOLITANO RECIFE")</f>
        <v>US_180 CENTRAL DE REGULACAO MEDICA SAMU METROPOLITANO RECIFE</v>
      </c>
      <c r="H2999" s="11"/>
      <c r="I2999" s="11"/>
      <c r="J2999" s="11"/>
      <c r="K2999" s="11"/>
      <c r="L2999" s="11"/>
      <c r="M2999" s="11"/>
      <c r="N2999" s="30" t="str">
        <f>IFERROR(__xludf.DUMMYFUNCTION("""COMPUTED_VALUE"""),"hfmiranda2@gmail.com")</f>
        <v>hfmiranda2@gmail.com</v>
      </c>
      <c r="O2999" s="11">
        <f>IFERROR(__xludf.DUMMYFUNCTION("""COMPUTED_VALUE"""),68252510400)</f>
        <v>68252510400</v>
      </c>
      <c r="P2999" s="11"/>
      <c r="Q2999" s="11"/>
      <c r="R2999" s="11"/>
      <c r="S2999" s="11"/>
      <c r="T2999" s="11"/>
      <c r="U2999" s="11"/>
      <c r="V2999" s="11"/>
      <c r="W2999" s="11"/>
      <c r="X2999" s="11"/>
      <c r="Y2999" s="11"/>
      <c r="Z2999" s="11"/>
    </row>
    <row r="3000" customHeight="1" spans="1:26">
      <c r="A3000" s="11" t="str">
        <f>IFERROR(__xludf.DUMMYFUNCTION("""COMPUTED_VALUE"""),"BRUNA PINHEIRO S MATHIAS")</f>
        <v>BRUNA PINHEIRO S MATHIAS</v>
      </c>
      <c r="B3000" s="11"/>
      <c r="C3000" s="11"/>
      <c r="D3000" s="11" t="str">
        <f>IFERROR(__xludf.DUMMYFUNCTION("""COMPUTED_VALUE"""),"CLINICA GERAL")</f>
        <v>CLINICA GERAL</v>
      </c>
      <c r="E3000" s="11"/>
      <c r="F3000" s="11" t="str">
        <f>IFERROR(__xludf.DUMMYFUNCTION("""COMPUTED_VALUE"""),"US_180 CENTRAL DE REGULACAO MEDICA SAMU METROPOLITANO RECIFE")</f>
        <v>US_180 CENTRAL DE REGULACAO MEDICA SAMU METROPOLITANO RECIFE</v>
      </c>
      <c r="G3000" s="11" t="str">
        <f>IFERROR(__xludf.DUMMYFUNCTION("""COMPUTED_VALUE"""),"US_180 CENTRAL DE REGULACAO MEDICA SAMU METROPOLITANO RECIFE")</f>
        <v>US_180 CENTRAL DE REGULACAO MEDICA SAMU METROPOLITANO RECIFE</v>
      </c>
      <c r="H3000" s="11"/>
      <c r="I3000" s="11"/>
      <c r="J3000" s="11"/>
      <c r="K3000" s="11"/>
      <c r="L3000" s="11"/>
      <c r="M3000" s="11"/>
      <c r="N3000" s="30" t="str">
        <f>IFERROR(__xludf.DUMMYFUNCTION("""COMPUTED_VALUE"""),"brunapsmathias@gmail.com")</f>
        <v>brunapsmathias@gmail.com</v>
      </c>
      <c r="O3000" s="11">
        <f>IFERROR(__xludf.DUMMYFUNCTION("""COMPUTED_VALUE"""),76839796353)</f>
        <v>76839796353</v>
      </c>
      <c r="P3000" s="11"/>
      <c r="Q3000" s="11"/>
      <c r="R3000" s="11"/>
      <c r="S3000" s="11"/>
      <c r="T3000" s="11"/>
      <c r="U3000" s="11"/>
      <c r="V3000" s="11"/>
      <c r="W3000" s="11"/>
      <c r="X3000" s="11"/>
      <c r="Y3000" s="11"/>
      <c r="Z3000" s="11"/>
    </row>
    <row r="3001" customHeight="1" spans="1:26">
      <c r="A3001" s="11" t="str">
        <f>IFERROR(__xludf.DUMMYFUNCTION("""COMPUTED_VALUE"""),"ANDRE TAVARES DA SILVA")</f>
        <v>ANDRE TAVARES DA SILVA</v>
      </c>
      <c r="B3001" s="11"/>
      <c r="C3001" s="11"/>
      <c r="D3001" s="11" t="str">
        <f>IFERROR(__xludf.DUMMYFUNCTION("""COMPUTED_VALUE"""),"CIRURGIA GERAL")</f>
        <v>CIRURGIA GERAL</v>
      </c>
      <c r="E3001" s="11"/>
      <c r="F3001" s="11" t="str">
        <f>IFERROR(__xludf.DUMMYFUNCTION("""COMPUTED_VALUE"""),"US_180 CENTRAL DE REGULACAO MEDICA SAMU METROPOLITANO RECIFE")</f>
        <v>US_180 CENTRAL DE REGULACAO MEDICA SAMU METROPOLITANO RECIFE</v>
      </c>
      <c r="G3001" s="11" t="str">
        <f>IFERROR(__xludf.DUMMYFUNCTION("""COMPUTED_VALUE"""),"US_180 CENTRAL DE REGULACAO MEDICA SAMU METROPOLITANO RECIFE")</f>
        <v>US_180 CENTRAL DE REGULACAO MEDICA SAMU METROPOLITANO RECIFE</v>
      </c>
      <c r="H3001" s="11"/>
      <c r="I3001" s="11"/>
      <c r="J3001" s="11"/>
      <c r="K3001" s="11"/>
      <c r="L3001" s="11"/>
      <c r="M3001" s="11"/>
      <c r="N3001" s="30" t="str">
        <f>IFERROR(__xludf.DUMMYFUNCTION("""COMPUTED_VALUE"""),"drandrepetribu@gmail.com                               ")</f>
        <v>drandrepetribu@gmail.com                               </v>
      </c>
      <c r="O3001" s="11">
        <f>IFERROR(__xludf.DUMMYFUNCTION("""COMPUTED_VALUE"""),89165160487)</f>
        <v>89165160487</v>
      </c>
      <c r="P3001" s="11"/>
      <c r="Q3001" s="11"/>
      <c r="R3001" s="11"/>
      <c r="S3001" s="11"/>
      <c r="T3001" s="11"/>
      <c r="U3001" s="11"/>
      <c r="V3001" s="11"/>
      <c r="W3001" s="11"/>
      <c r="X3001" s="11"/>
      <c r="Y3001" s="11"/>
      <c r="Z3001" s="11"/>
    </row>
    <row r="3002" customHeight="1" spans="1:26">
      <c r="A3002" s="11" t="str">
        <f>IFERROR(__xludf.DUMMYFUNCTION("""COMPUTED_VALUE"""),"CATIANA COELHO CABRAL")</f>
        <v>CATIANA COELHO CABRAL</v>
      </c>
      <c r="B3002" s="11"/>
      <c r="C3002" s="11"/>
      <c r="D3002" s="11" t="str">
        <f>IFERROR(__xludf.DUMMYFUNCTION("""COMPUTED_VALUE"""),"CIRURGIA GERAL")</f>
        <v>CIRURGIA GERAL</v>
      </c>
      <c r="E3002" s="11"/>
      <c r="F3002" s="11" t="str">
        <f>IFERROR(__xludf.DUMMYFUNCTION("""COMPUTED_VALUE"""),"US_180 CENTRAL DE REGULACAO MEDICA SAMU METROPOLITANO RECIFE")</f>
        <v>US_180 CENTRAL DE REGULACAO MEDICA SAMU METROPOLITANO RECIFE</v>
      </c>
      <c r="G3002" s="11" t="str">
        <f>IFERROR(__xludf.DUMMYFUNCTION("""COMPUTED_VALUE"""),"US_180 CENTRAL DE REGULACAO MEDICA SAMU METROPOLITANO RECIFE")</f>
        <v>US_180 CENTRAL DE REGULACAO MEDICA SAMU METROPOLITANO RECIFE</v>
      </c>
      <c r="H3002" s="11"/>
      <c r="I3002" s="11"/>
      <c r="J3002" s="11"/>
      <c r="K3002" s="11"/>
      <c r="L3002" s="11"/>
      <c r="M3002" s="11"/>
      <c r="N3002" s="30" t="str">
        <f>IFERROR(__xludf.DUMMYFUNCTION("""COMPUTED_VALUE"""),"cabralcc@yahoo.com.br                                  ")</f>
        <v>cabralcc@yahoo.com.br                                  </v>
      </c>
      <c r="O3002" s="11">
        <f>IFERROR(__xludf.DUMMYFUNCTION("""COMPUTED_VALUE"""),82160953415)</f>
        <v>82160953415</v>
      </c>
      <c r="P3002" s="11"/>
      <c r="Q3002" s="11"/>
      <c r="R3002" s="11"/>
      <c r="S3002" s="11"/>
      <c r="T3002" s="11"/>
      <c r="U3002" s="11"/>
      <c r="V3002" s="11"/>
      <c r="W3002" s="11"/>
      <c r="X3002" s="11"/>
      <c r="Y3002" s="11"/>
      <c r="Z3002" s="11"/>
    </row>
    <row r="3003" customHeight="1" spans="1:26">
      <c r="A3003" s="11" t="str">
        <f>IFERROR(__xludf.DUMMYFUNCTION("""COMPUTED_VALUE"""),"CARLOS EDUARDO DIDIER M UCHOA")</f>
        <v>CARLOS EDUARDO DIDIER M UCHOA</v>
      </c>
      <c r="B3003" s="11"/>
      <c r="C3003" s="11"/>
      <c r="D3003" s="11" t="str">
        <f>IFERROR(__xludf.DUMMYFUNCTION("""COMPUTED_VALUE"""),"CLINICA GERAL")</f>
        <v>CLINICA GERAL</v>
      </c>
      <c r="E3003" s="11"/>
      <c r="F3003" s="11" t="str">
        <f>IFERROR(__xludf.DUMMYFUNCTION("""COMPUTED_VALUE"""),"US_180 CENTRAL DE REGULACAO MEDICA SAMU METROPOLITANO RECIFE")</f>
        <v>US_180 CENTRAL DE REGULACAO MEDICA SAMU METROPOLITANO RECIFE</v>
      </c>
      <c r="G3003" s="11" t="str">
        <f>IFERROR(__xludf.DUMMYFUNCTION("""COMPUTED_VALUE"""),"US_180 CENTRAL DE REGULACAO MEDICA SAMU METROPOLITANO RECIFE")</f>
        <v>US_180 CENTRAL DE REGULACAO MEDICA SAMU METROPOLITANO RECIFE</v>
      </c>
      <c r="H3003" s="11"/>
      <c r="I3003" s="11"/>
      <c r="J3003" s="11"/>
      <c r="K3003" s="11"/>
      <c r="L3003" s="11"/>
      <c r="M3003" s="11"/>
      <c r="N3003" s="30" t="str">
        <f>IFERROR(__xludf.DUMMYFUNCTION("""COMPUTED_VALUE"""),"cedidier2@yahoo.com.br")</f>
        <v>cedidier2@yahoo.com.br</v>
      </c>
      <c r="O3003" s="11">
        <f>IFERROR(__xludf.DUMMYFUNCTION("""COMPUTED_VALUE"""),3406421490)</f>
        <v>3406421490</v>
      </c>
      <c r="P3003" s="11"/>
      <c r="Q3003" s="11"/>
      <c r="R3003" s="11"/>
      <c r="S3003" s="11"/>
      <c r="T3003" s="11"/>
      <c r="U3003" s="11"/>
      <c r="V3003" s="11"/>
      <c r="W3003" s="11"/>
      <c r="X3003" s="11"/>
      <c r="Y3003" s="11"/>
      <c r="Z3003" s="11"/>
    </row>
    <row r="3004" customHeight="1" spans="1:26">
      <c r="A3004" s="11" t="str">
        <f>IFERROR(__xludf.DUMMYFUNCTION("""COMPUTED_VALUE"""),"FABIANA OLIVEIRA FARIAS VIANA")</f>
        <v>FABIANA OLIVEIRA FARIAS VIANA</v>
      </c>
      <c r="B3004" s="11"/>
      <c r="C3004" s="11"/>
      <c r="D3004" s="11" t="str">
        <f>IFERROR(__xludf.DUMMYFUNCTION("""COMPUTED_VALUE"""),"CLINICA GERAL")</f>
        <v>CLINICA GERAL</v>
      </c>
      <c r="E3004" s="11"/>
      <c r="F3004" s="11" t="str">
        <f>IFERROR(__xludf.DUMMYFUNCTION("""COMPUTED_VALUE"""),"US_180 CENTRAL DE REGULACAO MEDICA SAMU METROPOLITANO RECIFE")</f>
        <v>US_180 CENTRAL DE REGULACAO MEDICA SAMU METROPOLITANO RECIFE</v>
      </c>
      <c r="G3004" s="11" t="str">
        <f>IFERROR(__xludf.DUMMYFUNCTION("""COMPUTED_VALUE"""),"US_180 CENTRAL DE REGULACAO MEDICA SAMU METROPOLITANO RECIFE")</f>
        <v>US_180 CENTRAL DE REGULACAO MEDICA SAMU METROPOLITANO RECIFE</v>
      </c>
      <c r="H3004" s="11"/>
      <c r="I3004" s="11"/>
      <c r="J3004" s="11"/>
      <c r="K3004" s="11"/>
      <c r="L3004" s="11"/>
      <c r="M3004" s="11"/>
      <c r="N3004" s="30" t="str">
        <f>IFERROR(__xludf.DUMMYFUNCTION("""COMPUTED_VALUE"""),"fariasfabiana@hotmail.com                              ")</f>
        <v>fariasfabiana@hotmail.com                              </v>
      </c>
      <c r="O3004" s="11">
        <f>IFERROR(__xludf.DUMMYFUNCTION("""COMPUTED_VALUE"""),3225507423)</f>
        <v>3225507423</v>
      </c>
      <c r="P3004" s="11"/>
      <c r="Q3004" s="11"/>
      <c r="R3004" s="11"/>
      <c r="S3004" s="11"/>
      <c r="T3004" s="11"/>
      <c r="U3004" s="11"/>
      <c r="V3004" s="11"/>
      <c r="W3004" s="11"/>
      <c r="X3004" s="11"/>
      <c r="Y3004" s="11"/>
      <c r="Z3004" s="11"/>
    </row>
    <row r="3005" customHeight="1" spans="1:26">
      <c r="A3005" s="11" t="str">
        <f>IFERROR(__xludf.DUMMYFUNCTION("""COMPUTED_VALUE"""),"PAULA MONTEIRO B DA CUNHA")</f>
        <v>PAULA MONTEIRO B DA CUNHA</v>
      </c>
      <c r="B3005" s="11"/>
      <c r="C3005" s="11"/>
      <c r="D3005" s="11" t="str">
        <f>IFERROR(__xludf.DUMMYFUNCTION("""COMPUTED_VALUE"""),"CLINICA GERAL")</f>
        <v>CLINICA GERAL</v>
      </c>
      <c r="E3005" s="11"/>
      <c r="F3005" s="11" t="str">
        <f>IFERROR(__xludf.DUMMYFUNCTION("""COMPUTED_VALUE"""),"US_180 CENTRAL DE REGULACAO MEDICA SAMU METROPOLITANO RECIFE")</f>
        <v>US_180 CENTRAL DE REGULACAO MEDICA SAMU METROPOLITANO RECIFE</v>
      </c>
      <c r="G3005" s="11" t="str">
        <f>IFERROR(__xludf.DUMMYFUNCTION("""COMPUTED_VALUE"""),"US_180 CENTRAL DE REGULACAO MEDICA SAMU METROPOLITANO RECIFE")</f>
        <v>US_180 CENTRAL DE REGULACAO MEDICA SAMU METROPOLITANO RECIFE</v>
      </c>
      <c r="H3005" s="11"/>
      <c r="I3005" s="11"/>
      <c r="J3005" s="11"/>
      <c r="K3005" s="11"/>
      <c r="L3005" s="11"/>
      <c r="M3005" s="11"/>
      <c r="N3005" s="30" t="str">
        <f>IFERROR(__xludf.DUMMYFUNCTION("""COMPUTED_VALUE"""),"paulamonteirobc@hotmail.com")</f>
        <v>paulamonteirobc@hotmail.com</v>
      </c>
      <c r="O3005" s="11">
        <f>IFERROR(__xludf.DUMMYFUNCTION("""COMPUTED_VALUE"""),3638746402)</f>
        <v>3638746402</v>
      </c>
      <c r="P3005" s="11"/>
      <c r="Q3005" s="11"/>
      <c r="R3005" s="11"/>
      <c r="S3005" s="11"/>
      <c r="T3005" s="11"/>
      <c r="U3005" s="11"/>
      <c r="V3005" s="11"/>
      <c r="W3005" s="11"/>
      <c r="X3005" s="11"/>
      <c r="Y3005" s="11"/>
      <c r="Z3005" s="11"/>
    </row>
    <row r="3006" customHeight="1" spans="1:26">
      <c r="A3006" s="11" t="str">
        <f>IFERROR(__xludf.DUMMYFUNCTION("""COMPUTED_VALUE"""),"FERNANDA LOBO LAGO FLORES")</f>
        <v>FERNANDA LOBO LAGO FLORES</v>
      </c>
      <c r="B3006" s="11"/>
      <c r="C3006" s="11"/>
      <c r="D3006" s="11" t="str">
        <f>IFERROR(__xludf.DUMMYFUNCTION("""COMPUTED_VALUE"""),"CLINICA GERAL")</f>
        <v>CLINICA GERAL</v>
      </c>
      <c r="E3006" s="11"/>
      <c r="F3006" s="11" t="str">
        <f>IFERROR(__xludf.DUMMYFUNCTION("""COMPUTED_VALUE"""),"US_180 CENTRAL DE REGULACAO MEDICA SAMU METROPOLITANO RECIFE")</f>
        <v>US_180 CENTRAL DE REGULACAO MEDICA SAMU METROPOLITANO RECIFE</v>
      </c>
      <c r="G3006" s="11" t="str">
        <f>IFERROR(__xludf.DUMMYFUNCTION("""COMPUTED_VALUE"""),"US_180 CENTRAL DE REGULACAO MEDICA SAMU METROPOLITANO RECIFE")</f>
        <v>US_180 CENTRAL DE REGULACAO MEDICA SAMU METROPOLITANO RECIFE</v>
      </c>
      <c r="H3006" s="11"/>
      <c r="I3006" s="11"/>
      <c r="J3006" s="11"/>
      <c r="K3006" s="11"/>
      <c r="L3006" s="11"/>
      <c r="M3006" s="11"/>
      <c r="N3006" s="30" t="str">
        <f>IFERROR(__xludf.DUMMYFUNCTION("""COMPUTED_VALUE"""),"nanda_flores@hotmail.com")</f>
        <v>nanda_flores@hotmail.com</v>
      </c>
      <c r="O3006" s="11">
        <f>IFERROR(__xludf.DUMMYFUNCTION("""COMPUTED_VALUE"""),4611278492)</f>
        <v>4611278492</v>
      </c>
      <c r="P3006" s="11"/>
      <c r="Q3006" s="11"/>
      <c r="R3006" s="11"/>
      <c r="S3006" s="11"/>
      <c r="T3006" s="11"/>
      <c r="U3006" s="11"/>
      <c r="V3006" s="11"/>
      <c r="W3006" s="11"/>
      <c r="X3006" s="11"/>
      <c r="Y3006" s="11"/>
      <c r="Z3006" s="11"/>
    </row>
    <row r="3007" customHeight="1" spans="1:26">
      <c r="A3007" s="11" t="str">
        <f>IFERROR(__xludf.DUMMYFUNCTION("""COMPUTED_VALUE"""),"JULIANA CRISTINE F ROMANZEIRA")</f>
        <v>JULIANA CRISTINE F ROMANZEIRA</v>
      </c>
      <c r="B3007" s="11"/>
      <c r="C3007" s="11"/>
      <c r="D3007" s="11" t="str">
        <f>IFERROR(__xludf.DUMMYFUNCTION("""COMPUTED_VALUE"""),"CLINICA GERAL")</f>
        <v>CLINICA GERAL</v>
      </c>
      <c r="E3007" s="11"/>
      <c r="F3007" s="11" t="str">
        <f>IFERROR(__xludf.DUMMYFUNCTION("""COMPUTED_VALUE"""),"US_180 CENTRAL DE REGULACAO MEDICA SAMU METROPOLITANO RECIFE")</f>
        <v>US_180 CENTRAL DE REGULACAO MEDICA SAMU METROPOLITANO RECIFE</v>
      </c>
      <c r="G3007" s="11" t="str">
        <f>IFERROR(__xludf.DUMMYFUNCTION("""COMPUTED_VALUE"""),"US_180 CENTRAL DE REGULACAO MEDICA SAMU METROPOLITANO RECIFE")</f>
        <v>US_180 CENTRAL DE REGULACAO MEDICA SAMU METROPOLITANO RECIFE</v>
      </c>
      <c r="H3007" s="11"/>
      <c r="I3007" s="11"/>
      <c r="J3007" s="11"/>
      <c r="K3007" s="11"/>
      <c r="L3007" s="11"/>
      <c r="M3007" s="11"/>
      <c r="N3007" s="30" t="str">
        <f>IFERROR(__xludf.DUMMYFUNCTION("""COMPUTED_VALUE"""),"ju.cristine@hotmail.com                                ")</f>
        <v>ju.cristine@hotmail.com                                </v>
      </c>
      <c r="O3007" s="11">
        <f>IFERROR(__xludf.DUMMYFUNCTION("""COMPUTED_VALUE"""),2460210477)</f>
        <v>2460210477</v>
      </c>
      <c r="P3007" s="11"/>
      <c r="Q3007" s="11"/>
      <c r="R3007" s="11"/>
      <c r="S3007" s="11"/>
      <c r="T3007" s="11"/>
      <c r="U3007" s="11"/>
      <c r="V3007" s="11"/>
      <c r="W3007" s="11"/>
      <c r="X3007" s="11"/>
      <c r="Y3007" s="11"/>
      <c r="Z3007" s="11"/>
    </row>
    <row r="3008" customHeight="1" spans="1:26">
      <c r="A3008" s="11" t="str">
        <f>IFERROR(__xludf.DUMMYFUNCTION("""COMPUTED_VALUE"""),"CAROLINA DUARTE BARBOSA")</f>
        <v>CAROLINA DUARTE BARBOSA</v>
      </c>
      <c r="B3008" s="11"/>
      <c r="C3008" s="11"/>
      <c r="D3008" s="11" t="str">
        <f>IFERROR(__xludf.DUMMYFUNCTION("""COMPUTED_VALUE"""),"CLINICA GERAL")</f>
        <v>CLINICA GERAL</v>
      </c>
      <c r="E3008" s="11"/>
      <c r="F3008" s="11" t="str">
        <f>IFERROR(__xludf.DUMMYFUNCTION("""COMPUTED_VALUE"""),"US_180 CENTRAL DE REGULACAO MEDICA SAMU METROPOLITANO RECIFE")</f>
        <v>US_180 CENTRAL DE REGULACAO MEDICA SAMU METROPOLITANO RECIFE</v>
      </c>
      <c r="G3008" s="11" t="str">
        <f>IFERROR(__xludf.DUMMYFUNCTION("""COMPUTED_VALUE"""),"US_180 CENTRAL DE REGULACAO MEDICA SAMU METROPOLITANO RECIFE")</f>
        <v>US_180 CENTRAL DE REGULACAO MEDICA SAMU METROPOLITANO RECIFE</v>
      </c>
      <c r="H3008" s="11"/>
      <c r="I3008" s="11"/>
      <c r="J3008" s="11"/>
      <c r="K3008" s="11"/>
      <c r="L3008" s="11"/>
      <c r="M3008" s="11"/>
      <c r="N3008" s="30" t="str">
        <f>IFERROR(__xludf.DUMMYFUNCTION("""COMPUTED_VALUE"""),"carolbarbosa@hotmail.com")</f>
        <v>carolbarbosa@hotmail.com</v>
      </c>
      <c r="O3008" s="11">
        <f>IFERROR(__xludf.DUMMYFUNCTION("""COMPUTED_VALUE"""),990616436)</f>
        <v>990616436</v>
      </c>
      <c r="P3008" s="11"/>
      <c r="Q3008" s="11"/>
      <c r="R3008" s="11"/>
      <c r="S3008" s="11"/>
      <c r="T3008" s="11"/>
      <c r="U3008" s="11"/>
      <c r="V3008" s="11"/>
      <c r="W3008" s="11"/>
      <c r="X3008" s="11"/>
      <c r="Y3008" s="11"/>
      <c r="Z3008" s="11"/>
    </row>
    <row r="3009" customHeight="1" spans="1:26">
      <c r="A3009" s="11" t="str">
        <f>IFERROR(__xludf.DUMMYFUNCTION("""COMPUTED_VALUE"""),"JOAO PAULO CARDOSO MARTINS")</f>
        <v>JOAO PAULO CARDOSO MARTINS</v>
      </c>
      <c r="B3009" s="11"/>
      <c r="C3009" s="11"/>
      <c r="D3009" s="11" t="str">
        <f>IFERROR(__xludf.DUMMYFUNCTION("""COMPUTED_VALUE"""),"CLINICA GERAL")</f>
        <v>CLINICA GERAL</v>
      </c>
      <c r="E3009" s="11"/>
      <c r="F3009" s="11" t="str">
        <f>IFERROR(__xludf.DUMMYFUNCTION("""COMPUTED_VALUE"""),"US_180 CENTRAL DE REGULACAO MEDICA SAMU METROPOLITANO RECIFE")</f>
        <v>US_180 CENTRAL DE REGULACAO MEDICA SAMU METROPOLITANO RECIFE</v>
      </c>
      <c r="G3009" s="11" t="str">
        <f>IFERROR(__xludf.DUMMYFUNCTION("""COMPUTED_VALUE"""),"US_180 CENTRAL DE REGULACAO MEDICA SAMU METROPOLITANO RECIFE")</f>
        <v>US_180 CENTRAL DE REGULACAO MEDICA SAMU METROPOLITANO RECIFE</v>
      </c>
      <c r="H3009" s="11"/>
      <c r="I3009" s="11"/>
      <c r="J3009" s="11"/>
      <c r="K3009" s="11"/>
      <c r="L3009" s="11"/>
      <c r="M3009" s="11"/>
      <c r="N3009" s="30" t="str">
        <f>IFERROR(__xludf.DUMMYFUNCTION("""COMPUTED_VALUE"""),"jpcm@globomail.com")</f>
        <v>jpcm@globomail.com</v>
      </c>
      <c r="O3009" s="11">
        <f>IFERROR(__xludf.DUMMYFUNCTION("""COMPUTED_VALUE"""),827636407)</f>
        <v>827636407</v>
      </c>
      <c r="P3009" s="11"/>
      <c r="Q3009" s="11"/>
      <c r="R3009" s="11"/>
      <c r="S3009" s="11"/>
      <c r="T3009" s="11"/>
      <c r="U3009" s="11"/>
      <c r="V3009" s="11"/>
      <c r="W3009" s="11"/>
      <c r="X3009" s="11"/>
      <c r="Y3009" s="11"/>
      <c r="Z3009" s="11"/>
    </row>
    <row r="3010" customHeight="1" spans="1:26">
      <c r="A3010" s="11" t="str">
        <f>IFERROR(__xludf.DUMMYFUNCTION("""COMPUTED_VALUE"""),"FLAVIA RAFAELA B GOMES")</f>
        <v>FLAVIA RAFAELA B GOMES</v>
      </c>
      <c r="B3010" s="11"/>
      <c r="C3010" s="11"/>
      <c r="D3010" s="11" t="str">
        <f>IFERROR(__xludf.DUMMYFUNCTION("""COMPUTED_VALUE"""),"CLINICA GERAL")</f>
        <v>CLINICA GERAL</v>
      </c>
      <c r="E3010" s="11"/>
      <c r="F3010" s="11" t="str">
        <f>IFERROR(__xludf.DUMMYFUNCTION("""COMPUTED_VALUE"""),"US_180 CENTRAL DE REGULACAO MEDICA SAMU METROPOLITANO RECIFE")</f>
        <v>US_180 CENTRAL DE REGULACAO MEDICA SAMU METROPOLITANO RECIFE</v>
      </c>
      <c r="G3010" s="11" t="str">
        <f>IFERROR(__xludf.DUMMYFUNCTION("""COMPUTED_VALUE"""),"US_180 CENTRAL DE REGULACAO MEDICA SAMU METROPOLITANO RECIFE")</f>
        <v>US_180 CENTRAL DE REGULACAO MEDICA SAMU METROPOLITANO RECIFE</v>
      </c>
      <c r="H3010" s="11"/>
      <c r="I3010" s="11"/>
      <c r="J3010" s="11"/>
      <c r="K3010" s="11"/>
      <c r="L3010" s="11"/>
      <c r="M3010" s="11"/>
      <c r="N3010" s="30" t="str">
        <f>IFERROR(__xludf.DUMMYFUNCTION("""COMPUTED_VALUE"""),"frafaela@gmail.com")</f>
        <v>frafaela@gmail.com</v>
      </c>
      <c r="O3010" s="11">
        <f>IFERROR(__xludf.DUMMYFUNCTION("""COMPUTED_VALUE"""),4042147461)</f>
        <v>4042147461</v>
      </c>
      <c r="P3010" s="11"/>
      <c r="Q3010" s="11"/>
      <c r="R3010" s="11"/>
      <c r="S3010" s="11"/>
      <c r="T3010" s="11"/>
      <c r="U3010" s="11"/>
      <c r="V3010" s="11"/>
      <c r="W3010" s="11"/>
      <c r="X3010" s="11"/>
      <c r="Y3010" s="11"/>
      <c r="Z3010" s="11"/>
    </row>
    <row r="3011" customHeight="1" spans="1:26">
      <c r="A3011" s="11" t="str">
        <f>IFERROR(__xludf.DUMMYFUNCTION("""COMPUTED_VALUE"""),"MICHELE FREITAS DOS SANTOS")</f>
        <v>MICHELE FREITAS DOS SANTOS</v>
      </c>
      <c r="B3011" s="11"/>
      <c r="C3011" s="11"/>
      <c r="D3011" s="11" t="str">
        <f>IFERROR(__xludf.DUMMYFUNCTION("""COMPUTED_VALUE"""),"CLINICA GERAL")</f>
        <v>CLINICA GERAL</v>
      </c>
      <c r="E3011" s="11"/>
      <c r="F3011" s="11" t="str">
        <f>IFERROR(__xludf.DUMMYFUNCTION("""COMPUTED_VALUE"""),"US_180 CENTRAL DE REGULACAO MEDICA SAMU METROPOLITANO RECIFE")</f>
        <v>US_180 CENTRAL DE REGULACAO MEDICA SAMU METROPOLITANO RECIFE</v>
      </c>
      <c r="G3011" s="11" t="str">
        <f>IFERROR(__xludf.DUMMYFUNCTION("""COMPUTED_VALUE"""),"US_180 CENTRAL DE REGULACAO MEDICA SAMU METROPOLITANO RECIFE")</f>
        <v>US_180 CENTRAL DE REGULACAO MEDICA SAMU METROPOLITANO RECIFE</v>
      </c>
      <c r="H3011" s="11"/>
      <c r="I3011" s="11"/>
      <c r="J3011" s="11"/>
      <c r="K3011" s="11"/>
      <c r="L3011" s="11"/>
      <c r="M3011" s="11"/>
      <c r="N3011" s="30" t="str">
        <f>IFERROR(__xludf.DUMMYFUNCTION("""COMPUTED_VALUE"""),"micheele@terra.com.br")</f>
        <v>micheele@terra.com.br</v>
      </c>
      <c r="O3011" s="11">
        <f>IFERROR(__xludf.DUMMYFUNCTION("""COMPUTED_VALUE"""),3939153443)</f>
        <v>3939153443</v>
      </c>
      <c r="P3011" s="11"/>
      <c r="Q3011" s="11"/>
      <c r="R3011" s="11"/>
      <c r="S3011" s="11"/>
      <c r="T3011" s="11"/>
      <c r="U3011" s="11"/>
      <c r="V3011" s="11"/>
      <c r="W3011" s="11"/>
      <c r="X3011" s="11"/>
      <c r="Y3011" s="11"/>
      <c r="Z3011" s="11"/>
    </row>
    <row r="3012" customHeight="1" spans="1:26">
      <c r="A3012" s="11" t="str">
        <f>IFERROR(__xludf.DUMMYFUNCTION("""COMPUTED_VALUE"""),"HUGO ROBERTO W PINHEIRO")</f>
        <v>HUGO ROBERTO W PINHEIRO</v>
      </c>
      <c r="B3012" s="11"/>
      <c r="C3012" s="11"/>
      <c r="D3012" s="11" t="str">
        <f>IFERROR(__xludf.DUMMYFUNCTION("""COMPUTED_VALUE"""),"CLINICA GERAL")</f>
        <v>CLINICA GERAL</v>
      </c>
      <c r="E3012" s="11"/>
      <c r="F3012" s="11" t="str">
        <f>IFERROR(__xludf.DUMMYFUNCTION("""COMPUTED_VALUE"""),"US_180 CENTRAL DE REGULACAO MEDICA SAMU METROPOLITANO RECIFE")</f>
        <v>US_180 CENTRAL DE REGULACAO MEDICA SAMU METROPOLITANO RECIFE</v>
      </c>
      <c r="G3012" s="11" t="str">
        <f>IFERROR(__xludf.DUMMYFUNCTION("""COMPUTED_VALUE"""),"US_180 CENTRAL DE REGULACAO MEDICA SAMU METROPOLITANO RECIFE")</f>
        <v>US_180 CENTRAL DE REGULACAO MEDICA SAMU METROPOLITANO RECIFE</v>
      </c>
      <c r="H3012" s="11"/>
      <c r="I3012" s="11"/>
      <c r="J3012" s="11"/>
      <c r="K3012" s="11"/>
      <c r="L3012" s="11"/>
      <c r="M3012" s="11"/>
      <c r="N3012" s="30" t="str">
        <f>IFERROR(__xludf.DUMMYFUNCTION("""COMPUTED_VALUE"""),"hugo_rwp@yahoo.com.br                                  ")</f>
        <v>hugo_rwp@yahoo.com.br                                  </v>
      </c>
      <c r="O3012" s="11">
        <f>IFERROR(__xludf.DUMMYFUNCTION("""COMPUTED_VALUE"""),4022097450)</f>
        <v>4022097450</v>
      </c>
      <c r="P3012" s="11"/>
      <c r="Q3012" s="11"/>
      <c r="R3012" s="11"/>
      <c r="S3012" s="11"/>
      <c r="T3012" s="11"/>
      <c r="U3012" s="11"/>
      <c r="V3012" s="11"/>
      <c r="W3012" s="11"/>
      <c r="X3012" s="11"/>
      <c r="Y3012" s="11"/>
      <c r="Z3012" s="11"/>
    </row>
    <row r="3013" customHeight="1" spans="1:26">
      <c r="A3013" s="11" t="str">
        <f>IFERROR(__xludf.DUMMYFUNCTION("""COMPUTED_VALUE"""),"ALEXANDRE MAGNO MACARIO NUNES SOARES")</f>
        <v>ALEXANDRE MAGNO MACARIO NUNES SOARES</v>
      </c>
      <c r="B3013" s="11"/>
      <c r="C3013" s="11"/>
      <c r="D3013" s="11" t="str">
        <f>IFERROR(__xludf.DUMMYFUNCTION("""COMPUTED_VALUE"""),"CIRURGIA GERAL")</f>
        <v>CIRURGIA GERAL</v>
      </c>
      <c r="E3013" s="11"/>
      <c r="F3013" s="11" t="str">
        <f>IFERROR(__xludf.DUMMYFUNCTION("""COMPUTED_VALUE"""),"US_180 CENTRAL DE REGULACAO MEDICA SAMU METROPOLITANO RECIFE")</f>
        <v>US_180 CENTRAL DE REGULACAO MEDICA SAMU METROPOLITANO RECIFE</v>
      </c>
      <c r="G3013" s="11" t="str">
        <f>IFERROR(__xludf.DUMMYFUNCTION("""COMPUTED_VALUE"""),"US_180 CENTRAL DE REGULACAO MEDICA SAMU METROPOLITANO RECIFE")</f>
        <v>US_180 CENTRAL DE REGULACAO MEDICA SAMU METROPOLITANO RECIFE</v>
      </c>
      <c r="H3013" s="11"/>
      <c r="I3013" s="11"/>
      <c r="J3013" s="11"/>
      <c r="K3013" s="11"/>
      <c r="L3013" s="11"/>
      <c r="M3013" s="11"/>
      <c r="N3013" s="30" t="str">
        <f>IFERROR(__xludf.DUMMYFUNCTION("""COMPUTED_VALUE"""),"amagnom@gmail.com")</f>
        <v>amagnom@gmail.com</v>
      </c>
      <c r="O3013" s="11">
        <f>IFERROR(__xludf.DUMMYFUNCTION("""COMPUTED_VALUE"""),766791440)</f>
        <v>766791440</v>
      </c>
      <c r="P3013" s="11"/>
      <c r="Q3013" s="11"/>
      <c r="R3013" s="11"/>
      <c r="S3013" s="11"/>
      <c r="T3013" s="11"/>
      <c r="U3013" s="11"/>
      <c r="V3013" s="11"/>
      <c r="W3013" s="11"/>
      <c r="X3013" s="11"/>
      <c r="Y3013" s="11"/>
      <c r="Z3013" s="11"/>
    </row>
    <row r="3014" customHeight="1" spans="1:26">
      <c r="A3014" s="11" t="str">
        <f>IFERROR(__xludf.DUMMYFUNCTION("""COMPUTED_VALUE"""),"JACIARA SILVA LUCIO BONDAN")</f>
        <v>JACIARA SILVA LUCIO BONDAN</v>
      </c>
      <c r="B3014" s="11"/>
      <c r="C3014" s="11"/>
      <c r="D3014" s="11" t="str">
        <f>IFERROR(__xludf.DUMMYFUNCTION("""COMPUTED_VALUE"""),"CLINICA GERAL")</f>
        <v>CLINICA GERAL</v>
      </c>
      <c r="E3014" s="11"/>
      <c r="F3014" s="11" t="str">
        <f>IFERROR(__xludf.DUMMYFUNCTION("""COMPUTED_VALUE"""),"US_180 CENTRAL DE REGULACAO MEDICA SAMU METROPOLITANO RECIFE")</f>
        <v>US_180 CENTRAL DE REGULACAO MEDICA SAMU METROPOLITANO RECIFE</v>
      </c>
      <c r="G3014" s="11" t="str">
        <f>IFERROR(__xludf.DUMMYFUNCTION("""COMPUTED_VALUE"""),"US_180 CENTRAL DE REGULACAO MEDICA SAMU METROPOLITANO RECIFE")</f>
        <v>US_180 CENTRAL DE REGULACAO MEDICA SAMU METROPOLITANO RECIFE</v>
      </c>
      <c r="H3014" s="11"/>
      <c r="I3014" s="11"/>
      <c r="J3014" s="11"/>
      <c r="K3014" s="11"/>
      <c r="L3014" s="11"/>
      <c r="M3014" s="11"/>
      <c r="N3014" s="30" t="str">
        <f>IFERROR(__xludf.DUMMYFUNCTION("""COMPUTED_VALUE"""),"jsl_jacy@hotmail.com                                   ")</f>
        <v>jsl_jacy@hotmail.com                                   </v>
      </c>
      <c r="O3014" s="11">
        <f>IFERROR(__xludf.DUMMYFUNCTION("""COMPUTED_VALUE"""),3862447405)</f>
        <v>3862447405</v>
      </c>
      <c r="P3014" s="11"/>
      <c r="Q3014" s="11"/>
      <c r="R3014" s="11"/>
      <c r="S3014" s="11"/>
      <c r="T3014" s="11"/>
      <c r="U3014" s="11"/>
      <c r="V3014" s="11"/>
      <c r="W3014" s="11"/>
      <c r="X3014" s="11"/>
      <c r="Y3014" s="11"/>
      <c r="Z3014" s="11"/>
    </row>
    <row r="3015" customHeight="1" spans="1:26">
      <c r="A3015" s="11" t="str">
        <f>IFERROR(__xludf.DUMMYFUNCTION("""COMPUTED_VALUE"""),"MARCOS PABLO A DA C CAVALCANTI")</f>
        <v>MARCOS PABLO A DA C CAVALCANTI</v>
      </c>
      <c r="B3015" s="11"/>
      <c r="C3015" s="11"/>
      <c r="D3015" s="11" t="str">
        <f>IFERROR(__xludf.DUMMYFUNCTION("""COMPUTED_VALUE"""),"CLINICA GERAL")</f>
        <v>CLINICA GERAL</v>
      </c>
      <c r="E3015" s="11"/>
      <c r="F3015" s="11" t="str">
        <f>IFERROR(__xludf.DUMMYFUNCTION("""COMPUTED_VALUE"""),"US_180 CENTRAL DE REGULACAO MEDICA SAMU METROPOLITANO RECIFE")</f>
        <v>US_180 CENTRAL DE REGULACAO MEDICA SAMU METROPOLITANO RECIFE</v>
      </c>
      <c r="G3015" s="11" t="str">
        <f>IFERROR(__xludf.DUMMYFUNCTION("""COMPUTED_VALUE"""),"US_180 CENTRAL DE REGULACAO MEDICA SAMU METROPOLITANO RECIFE")</f>
        <v>US_180 CENTRAL DE REGULACAO MEDICA SAMU METROPOLITANO RECIFE</v>
      </c>
      <c r="H3015" s="11"/>
      <c r="I3015" s="11"/>
      <c r="J3015" s="11"/>
      <c r="K3015" s="11"/>
      <c r="L3015" s="11"/>
      <c r="M3015" s="11"/>
      <c r="N3015" s="30" t="str">
        <f>IFERROR(__xludf.DUMMYFUNCTION("""COMPUTED_VALUE"""),"marcospabloalencar@gmail.com")</f>
        <v>marcospabloalencar@gmail.com</v>
      </c>
      <c r="O3015" s="11">
        <f>IFERROR(__xludf.DUMMYFUNCTION("""COMPUTED_VALUE"""),2931038440)</f>
        <v>2931038440</v>
      </c>
      <c r="P3015" s="11"/>
      <c r="Q3015" s="11"/>
      <c r="R3015" s="11"/>
      <c r="S3015" s="11"/>
      <c r="T3015" s="11"/>
      <c r="U3015" s="11"/>
      <c r="V3015" s="11"/>
      <c r="W3015" s="11"/>
      <c r="X3015" s="11"/>
      <c r="Y3015" s="11"/>
      <c r="Z3015" s="11"/>
    </row>
    <row r="3016" customHeight="1" spans="1:26">
      <c r="A3016" s="11" t="str">
        <f>IFERROR(__xludf.DUMMYFUNCTION("""COMPUTED_VALUE"""),"LEONARDO BARBOSA PEIXOTO")</f>
        <v>LEONARDO BARBOSA PEIXOTO</v>
      </c>
      <c r="B3016" s="11"/>
      <c r="C3016" s="11"/>
      <c r="D3016" s="11" t="str">
        <f>IFERROR(__xludf.DUMMYFUNCTION("""COMPUTED_VALUE"""),"CLINICA GERAL")</f>
        <v>CLINICA GERAL</v>
      </c>
      <c r="E3016" s="11"/>
      <c r="F3016" s="11" t="str">
        <f>IFERROR(__xludf.DUMMYFUNCTION("""COMPUTED_VALUE"""),"US_180 CENTRAL DE REGULACAO MEDICA SAMU METROPOLITANO RECIFE")</f>
        <v>US_180 CENTRAL DE REGULACAO MEDICA SAMU METROPOLITANO RECIFE</v>
      </c>
      <c r="G3016" s="11" t="str">
        <f>IFERROR(__xludf.DUMMYFUNCTION("""COMPUTED_VALUE"""),"US_180 CENTRAL DE REGULACAO MEDICA SAMU METROPOLITANO RECIFE")</f>
        <v>US_180 CENTRAL DE REGULACAO MEDICA SAMU METROPOLITANO RECIFE</v>
      </c>
      <c r="H3016" s="11"/>
      <c r="I3016" s="11"/>
      <c r="J3016" s="11"/>
      <c r="K3016" s="11"/>
      <c r="L3016" s="11"/>
      <c r="M3016" s="11"/>
      <c r="N3016" s="30" t="str">
        <f>IFERROR(__xludf.DUMMYFUNCTION("""COMPUTED_VALUE"""),"leobpeixoto@gmail.com")</f>
        <v>leobpeixoto@gmail.com</v>
      </c>
      <c r="O3016" s="11">
        <f>IFERROR(__xludf.DUMMYFUNCTION("""COMPUTED_VALUE"""),2872762442)</f>
        <v>2872762442</v>
      </c>
      <c r="P3016" s="11"/>
      <c r="Q3016" s="11"/>
      <c r="R3016" s="11"/>
      <c r="S3016" s="11"/>
      <c r="T3016" s="11"/>
      <c r="U3016" s="11"/>
      <c r="V3016" s="11"/>
      <c r="W3016" s="11"/>
      <c r="X3016" s="11"/>
      <c r="Y3016" s="11"/>
      <c r="Z3016" s="11"/>
    </row>
    <row r="3017" customHeight="1" spans="1:26">
      <c r="A3017" s="11" t="str">
        <f>IFERROR(__xludf.DUMMYFUNCTION("""COMPUTED_VALUE"""),"RICARDO ALEXANDRE M DA SILVA")</f>
        <v>RICARDO ALEXANDRE M DA SILVA</v>
      </c>
      <c r="B3017" s="11"/>
      <c r="C3017" s="11"/>
      <c r="D3017" s="11" t="str">
        <f>IFERROR(__xludf.DUMMYFUNCTION("""COMPUTED_VALUE"""),"CLINICA GERAL")</f>
        <v>CLINICA GERAL</v>
      </c>
      <c r="E3017" s="11"/>
      <c r="F3017" s="11" t="str">
        <f>IFERROR(__xludf.DUMMYFUNCTION("""COMPUTED_VALUE"""),"US_180 CENTRAL DE REGULACAO MEDICA SAMU METROPOLITANO RECIFE")</f>
        <v>US_180 CENTRAL DE REGULACAO MEDICA SAMU METROPOLITANO RECIFE</v>
      </c>
      <c r="G3017" s="11" t="str">
        <f>IFERROR(__xludf.DUMMYFUNCTION("""COMPUTED_VALUE"""),"US_180 CENTRAL DE REGULACAO MEDICA SAMU METROPOLITANO RECIFE")</f>
        <v>US_180 CENTRAL DE REGULACAO MEDICA SAMU METROPOLITANO RECIFE</v>
      </c>
      <c r="H3017" s="11"/>
      <c r="I3017" s="11"/>
      <c r="J3017" s="11"/>
      <c r="K3017" s="11"/>
      <c r="L3017" s="11"/>
      <c r="M3017" s="11"/>
      <c r="N3017" s="30" t="str">
        <f>IFERROR(__xludf.DUMMYFUNCTION("""COMPUTED_VALUE"""),"ricomarinho@msn.com")</f>
        <v>ricomarinho@msn.com</v>
      </c>
      <c r="O3017" s="11">
        <f>IFERROR(__xludf.DUMMYFUNCTION("""COMPUTED_VALUE"""),85644137449)</f>
        <v>85644137449</v>
      </c>
      <c r="P3017" s="11"/>
      <c r="Q3017" s="11"/>
      <c r="R3017" s="11"/>
      <c r="S3017" s="11"/>
      <c r="T3017" s="11"/>
      <c r="U3017" s="11"/>
      <c r="V3017" s="11"/>
      <c r="W3017" s="11"/>
      <c r="X3017" s="11"/>
      <c r="Y3017" s="11"/>
      <c r="Z3017" s="11"/>
    </row>
    <row r="3018" customHeight="1" spans="1:26">
      <c r="A3018" s="11" t="str">
        <f>IFERROR(__xludf.DUMMYFUNCTION("""COMPUTED_VALUE"""),"FABIO LUIZ DE MELO")</f>
        <v>FABIO LUIZ DE MELO</v>
      </c>
      <c r="B3018" s="11"/>
      <c r="C3018" s="11"/>
      <c r="D3018" s="11" t="str">
        <f>IFERROR(__xludf.DUMMYFUNCTION("""COMPUTED_VALUE"""),"CLINICA GERAL")</f>
        <v>CLINICA GERAL</v>
      </c>
      <c r="E3018" s="11"/>
      <c r="F3018" s="11" t="str">
        <f>IFERROR(__xludf.DUMMYFUNCTION("""COMPUTED_VALUE"""),"US_180 CENTRAL DE REGULACAO MEDICA SAMU METROPOLITANO RECIFE")</f>
        <v>US_180 CENTRAL DE REGULACAO MEDICA SAMU METROPOLITANO RECIFE</v>
      </c>
      <c r="G3018" s="11" t="str">
        <f>IFERROR(__xludf.DUMMYFUNCTION("""COMPUTED_VALUE"""),"US_180 CENTRAL DE REGULACAO MEDICA SAMU METROPOLITANO RECIFE")</f>
        <v>US_180 CENTRAL DE REGULACAO MEDICA SAMU METROPOLITANO RECIFE</v>
      </c>
      <c r="H3018" s="11"/>
      <c r="I3018" s="11"/>
      <c r="J3018" s="11"/>
      <c r="K3018" s="11"/>
      <c r="L3018" s="11"/>
      <c r="M3018" s="11"/>
      <c r="N3018" s="30" t="str">
        <f>IFERROR(__xludf.DUMMYFUNCTION("""COMPUTED_VALUE"""),"drmelo@uol.com.br")</f>
        <v>drmelo@uol.com.br</v>
      </c>
      <c r="O3018" s="11">
        <f>IFERROR(__xludf.DUMMYFUNCTION("""COMPUTED_VALUE"""),64903362434)</f>
        <v>64903362434</v>
      </c>
      <c r="P3018" s="11"/>
      <c r="Q3018" s="11"/>
      <c r="R3018" s="11"/>
      <c r="S3018" s="11"/>
      <c r="T3018" s="11"/>
      <c r="U3018" s="11"/>
      <c r="V3018" s="11"/>
      <c r="W3018" s="11"/>
      <c r="X3018" s="11"/>
      <c r="Y3018" s="11"/>
      <c r="Z3018" s="11"/>
    </row>
    <row r="3019" customHeight="1" spans="1:26">
      <c r="A3019" s="11" t="str">
        <f>IFERROR(__xludf.DUMMYFUNCTION("""COMPUTED_VALUE"""),"MARCIA ANGELIA DE LUCENA")</f>
        <v>MARCIA ANGELIA DE LUCENA</v>
      </c>
      <c r="B3019" s="11"/>
      <c r="C3019" s="11"/>
      <c r="D3019" s="11" t="str">
        <f>IFERROR(__xludf.DUMMYFUNCTION("""COMPUTED_VALUE"""),"CIRURGIA GERAL")</f>
        <v>CIRURGIA GERAL</v>
      </c>
      <c r="E3019" s="11"/>
      <c r="F3019" s="11" t="str">
        <f>IFERROR(__xludf.DUMMYFUNCTION("""COMPUTED_VALUE"""),"US_180 CENTRAL DE REGULACAO MEDICA SAMU METROPOLITANO RECIFE")</f>
        <v>US_180 CENTRAL DE REGULACAO MEDICA SAMU METROPOLITANO RECIFE</v>
      </c>
      <c r="G3019" s="11" t="str">
        <f>IFERROR(__xludf.DUMMYFUNCTION("""COMPUTED_VALUE"""),"US_180 CENTRAL DE REGULACAO MEDICA SAMU METROPOLITANO RECIFE")</f>
        <v>US_180 CENTRAL DE REGULACAO MEDICA SAMU METROPOLITANO RECIFE</v>
      </c>
      <c r="H3019" s="11"/>
      <c r="I3019" s="11"/>
      <c r="J3019" s="11"/>
      <c r="K3019" s="11"/>
      <c r="L3019" s="11"/>
      <c r="M3019" s="11"/>
      <c r="N3019" s="30" t="str">
        <f>IFERROR(__xludf.DUMMYFUNCTION("""COMPUTED_VALUE"""),"marcialucena.77@gmail.com")</f>
        <v>marcialucena.77@gmail.com</v>
      </c>
      <c r="O3019" s="11">
        <f>IFERROR(__xludf.DUMMYFUNCTION("""COMPUTED_VALUE"""),2921714477)</f>
        <v>2921714477</v>
      </c>
      <c r="P3019" s="11"/>
      <c r="Q3019" s="11"/>
      <c r="R3019" s="11"/>
      <c r="S3019" s="11"/>
      <c r="T3019" s="11"/>
      <c r="U3019" s="11"/>
      <c r="V3019" s="11"/>
      <c r="W3019" s="11"/>
      <c r="X3019" s="11"/>
      <c r="Y3019" s="11"/>
      <c r="Z3019" s="11"/>
    </row>
    <row r="3020" customHeight="1" spans="1:26">
      <c r="A3020" s="11" t="str">
        <f>IFERROR(__xludf.DUMMYFUNCTION("""COMPUTED_VALUE"""),"RODOLFO BRILHANTE DE FARIAS")</f>
        <v>RODOLFO BRILHANTE DE FARIAS</v>
      </c>
      <c r="B3020" s="11"/>
      <c r="C3020" s="11"/>
      <c r="D3020" s="11" t="str">
        <f>IFERROR(__xludf.DUMMYFUNCTION("""COMPUTED_VALUE"""),"CIRURGIA GERAL")</f>
        <v>CIRURGIA GERAL</v>
      </c>
      <c r="E3020" s="11"/>
      <c r="F3020" s="11" t="str">
        <f>IFERROR(__xludf.DUMMYFUNCTION("""COMPUTED_VALUE"""),"US_180 CENTRAL DE REGULACAO MEDICA SAMU METROPOLITANO RECIFE")</f>
        <v>US_180 CENTRAL DE REGULACAO MEDICA SAMU METROPOLITANO RECIFE</v>
      </c>
      <c r="G3020" s="11" t="str">
        <f>IFERROR(__xludf.DUMMYFUNCTION("""COMPUTED_VALUE"""),"US_180 CENTRAL DE REGULACAO MEDICA SAMU METROPOLITANO RECIFE")</f>
        <v>US_180 CENTRAL DE REGULACAO MEDICA SAMU METROPOLITANO RECIFE</v>
      </c>
      <c r="H3020" s="11"/>
      <c r="I3020" s="11"/>
      <c r="J3020" s="11"/>
      <c r="K3020" s="11"/>
      <c r="L3020" s="11"/>
      <c r="M3020" s="11"/>
      <c r="N3020" s="30" t="str">
        <f>IFERROR(__xludf.DUMMYFUNCTION("""COMPUTED_VALUE"""),"rodolfobfarias@hotmail.com")</f>
        <v>rodolfobfarias@hotmail.com</v>
      </c>
      <c r="O3020" s="11">
        <f>IFERROR(__xludf.DUMMYFUNCTION("""COMPUTED_VALUE"""),963010310)</f>
        <v>963010310</v>
      </c>
      <c r="P3020" s="11"/>
      <c r="Q3020" s="11"/>
      <c r="R3020" s="11"/>
      <c r="S3020" s="11"/>
      <c r="T3020" s="11"/>
      <c r="U3020" s="11"/>
      <c r="V3020" s="11"/>
      <c r="W3020" s="11"/>
      <c r="X3020" s="11"/>
      <c r="Y3020" s="11"/>
      <c r="Z3020" s="11"/>
    </row>
    <row r="3021" customHeight="1" spans="1:26">
      <c r="A3021" s="11" t="str">
        <f>IFERROR(__xludf.DUMMYFUNCTION("""COMPUTED_VALUE"""),"CARLOS EDUARDO MATOS ALVES")</f>
        <v>CARLOS EDUARDO MATOS ALVES</v>
      </c>
      <c r="B3021" s="11"/>
      <c r="C3021" s="11"/>
      <c r="D3021" s="11" t="str">
        <f>IFERROR(__xludf.DUMMYFUNCTION("""COMPUTED_VALUE"""),"CIRURGIA GERAL")</f>
        <v>CIRURGIA GERAL</v>
      </c>
      <c r="E3021" s="11"/>
      <c r="F3021" s="11" t="str">
        <f>IFERROR(__xludf.DUMMYFUNCTION("""COMPUTED_VALUE"""),"US_180 CENTRAL DE REGULACAO MEDICA SAMU METROPOLITANO RECIFE")</f>
        <v>US_180 CENTRAL DE REGULACAO MEDICA SAMU METROPOLITANO RECIFE</v>
      </c>
      <c r="G3021" s="11" t="str">
        <f>IFERROR(__xludf.DUMMYFUNCTION("""COMPUTED_VALUE"""),"US_180 CENTRAL DE REGULACAO MEDICA SAMU METROPOLITANO RECIFE")</f>
        <v>US_180 CENTRAL DE REGULACAO MEDICA SAMU METROPOLITANO RECIFE</v>
      </c>
      <c r="H3021" s="11"/>
      <c r="I3021" s="11"/>
      <c r="J3021" s="11"/>
      <c r="K3021" s="11"/>
      <c r="L3021" s="11"/>
      <c r="M3021" s="11"/>
      <c r="N3021" s="30" t="str">
        <f>IFERROR(__xludf.DUMMYFUNCTION("""COMPUTED_VALUE"""),"cemalves@gmail.com")</f>
        <v>cemalves@gmail.com</v>
      </c>
      <c r="O3021" s="11">
        <f>IFERROR(__xludf.DUMMYFUNCTION("""COMPUTED_VALUE"""),1302316494)</f>
        <v>1302316494</v>
      </c>
      <c r="P3021" s="11"/>
      <c r="Q3021" s="11"/>
      <c r="R3021" s="11"/>
      <c r="S3021" s="11"/>
      <c r="T3021" s="11"/>
      <c r="U3021" s="11"/>
      <c r="V3021" s="11"/>
      <c r="W3021" s="11"/>
      <c r="X3021" s="11"/>
      <c r="Y3021" s="11"/>
      <c r="Z3021" s="11"/>
    </row>
    <row r="3022" customHeight="1" spans="1:26">
      <c r="A3022" s="11" t="str">
        <f>IFERROR(__xludf.DUMMYFUNCTION("""COMPUTED_VALUE"""),"PETRUS MOURA DE A LIMA")</f>
        <v>PETRUS MOURA DE A LIMA</v>
      </c>
      <c r="B3022" s="11"/>
      <c r="C3022" s="11"/>
      <c r="D3022" s="11" t="str">
        <f>IFERROR(__xludf.DUMMYFUNCTION("""COMPUTED_VALUE"""),"CIRURGIA GERAL")</f>
        <v>CIRURGIA GERAL</v>
      </c>
      <c r="E3022" s="11"/>
      <c r="F3022" s="11" t="str">
        <f>IFERROR(__xludf.DUMMYFUNCTION("""COMPUTED_VALUE"""),"US_180 CENTRAL DE REGULACAO MEDICA SAMU METROPOLITANO RECIFE")</f>
        <v>US_180 CENTRAL DE REGULACAO MEDICA SAMU METROPOLITANO RECIFE</v>
      </c>
      <c r="G3022" s="11" t="str">
        <f>IFERROR(__xludf.DUMMYFUNCTION("""COMPUTED_VALUE"""),"US_180 CENTRAL DE REGULACAO MEDICA SAMU METROPOLITANO RECIFE")</f>
        <v>US_180 CENTRAL DE REGULACAO MEDICA SAMU METROPOLITANO RECIFE</v>
      </c>
      <c r="H3022" s="11"/>
      <c r="I3022" s="11"/>
      <c r="J3022" s="11"/>
      <c r="K3022" s="11"/>
      <c r="L3022" s="11"/>
      <c r="M3022" s="11"/>
      <c r="N3022" s="30" t="str">
        <f>IFERROR(__xludf.DUMMYFUNCTION("""COMPUTED_VALUE"""),"petrus.lima@bol.com.br")</f>
        <v>petrus.lima@bol.com.br</v>
      </c>
      <c r="O3022" s="11">
        <f>IFERROR(__xludf.DUMMYFUNCTION("""COMPUTED_VALUE"""),1061691497)</f>
        <v>1061691497</v>
      </c>
      <c r="P3022" s="11"/>
      <c r="Q3022" s="11"/>
      <c r="R3022" s="11"/>
      <c r="S3022" s="11"/>
      <c r="T3022" s="11"/>
      <c r="U3022" s="11"/>
      <c r="V3022" s="11"/>
      <c r="W3022" s="11"/>
      <c r="X3022" s="11"/>
      <c r="Y3022" s="11"/>
      <c r="Z3022" s="11"/>
    </row>
    <row r="3023" customHeight="1" spans="1:26">
      <c r="A3023" s="11" t="str">
        <f>IFERROR(__xludf.DUMMYFUNCTION("""COMPUTED_VALUE"""),"RENATA DE OLIVEIRA TRAVASSOS")</f>
        <v>RENATA DE OLIVEIRA TRAVASSOS</v>
      </c>
      <c r="B3023" s="11"/>
      <c r="C3023" s="11"/>
      <c r="D3023" s="11" t="str">
        <f>IFERROR(__xludf.DUMMYFUNCTION("""COMPUTED_VALUE"""),"CLINICA GERAL")</f>
        <v>CLINICA GERAL</v>
      </c>
      <c r="E3023" s="11"/>
      <c r="F3023" s="11" t="str">
        <f>IFERROR(__xludf.DUMMYFUNCTION("""COMPUTED_VALUE"""),"US_180 CENTRAL DE REGULACAO MEDICA SAMU METROPOLITANO RECIFE")</f>
        <v>US_180 CENTRAL DE REGULACAO MEDICA SAMU METROPOLITANO RECIFE</v>
      </c>
      <c r="G3023" s="11" t="str">
        <f>IFERROR(__xludf.DUMMYFUNCTION("""COMPUTED_VALUE"""),"US_180 CENTRAL DE REGULACAO MEDICA SAMU METROPOLITANO RECIFE")</f>
        <v>US_180 CENTRAL DE REGULACAO MEDICA SAMU METROPOLITANO RECIFE</v>
      </c>
      <c r="H3023" s="11"/>
      <c r="I3023" s="11"/>
      <c r="J3023" s="11"/>
      <c r="K3023" s="11"/>
      <c r="L3023" s="11"/>
      <c r="M3023" s="11"/>
      <c r="N3023" s="30" t="str">
        <f>IFERROR(__xludf.DUMMYFUNCTION("""COMPUTED_VALUE"""),"renatatravassos_81@hotmail.com")</f>
        <v>renatatravassos_81@hotmail.com</v>
      </c>
      <c r="O3023" s="11">
        <f>IFERROR(__xludf.DUMMYFUNCTION("""COMPUTED_VALUE"""),3382986493)</f>
        <v>3382986493</v>
      </c>
      <c r="P3023" s="11"/>
      <c r="Q3023" s="11"/>
      <c r="R3023" s="11"/>
      <c r="S3023" s="11"/>
      <c r="T3023" s="11"/>
      <c r="U3023" s="11"/>
      <c r="V3023" s="11"/>
      <c r="W3023" s="11"/>
      <c r="X3023" s="11"/>
      <c r="Y3023" s="11"/>
      <c r="Z3023" s="11"/>
    </row>
    <row r="3024" customHeight="1" spans="1:26">
      <c r="A3024" s="11" t="str">
        <f>IFERROR(__xludf.DUMMYFUNCTION("""COMPUTED_VALUE"""),"MARCELA MELO C DE OLIVEIRA")</f>
        <v>MARCELA MELO C DE OLIVEIRA</v>
      </c>
      <c r="B3024" s="11"/>
      <c r="C3024" s="11"/>
      <c r="D3024" s="11" t="str">
        <f>IFERROR(__xludf.DUMMYFUNCTION("""COMPUTED_VALUE"""),"CLINICA GERAL")</f>
        <v>CLINICA GERAL</v>
      </c>
      <c r="E3024" s="11"/>
      <c r="F3024" s="11" t="str">
        <f>IFERROR(__xludf.DUMMYFUNCTION("""COMPUTED_VALUE"""),"US_180 CENTRAL DE REGULACAO MEDICA SAMU METROPOLITANO RECIFE")</f>
        <v>US_180 CENTRAL DE REGULACAO MEDICA SAMU METROPOLITANO RECIFE</v>
      </c>
      <c r="G3024" s="11" t="str">
        <f>IFERROR(__xludf.DUMMYFUNCTION("""COMPUTED_VALUE"""),"US_180 CENTRAL DE REGULACAO MEDICA SAMU METROPOLITANO RECIFE")</f>
        <v>US_180 CENTRAL DE REGULACAO MEDICA SAMU METROPOLITANO RECIFE</v>
      </c>
      <c r="H3024" s="11"/>
      <c r="I3024" s="11"/>
      <c r="J3024" s="11"/>
      <c r="K3024" s="11"/>
      <c r="L3024" s="11"/>
      <c r="M3024" s="11"/>
      <c r="N3024" s="30" t="str">
        <f>IFERROR(__xludf.DUMMYFUNCTION("""COMPUTED_VALUE"""),"marcelamelo119@gmail.com")</f>
        <v>marcelamelo119@gmail.com</v>
      </c>
      <c r="O3024" s="11">
        <f>IFERROR(__xludf.DUMMYFUNCTION("""COMPUTED_VALUE"""),4842938420)</f>
        <v>4842938420</v>
      </c>
      <c r="P3024" s="11"/>
      <c r="Q3024" s="11"/>
      <c r="R3024" s="11"/>
      <c r="S3024" s="11"/>
      <c r="T3024" s="11"/>
      <c r="U3024" s="11"/>
      <c r="V3024" s="11"/>
      <c r="W3024" s="11"/>
      <c r="X3024" s="11"/>
      <c r="Y3024" s="11"/>
      <c r="Z3024" s="11"/>
    </row>
    <row r="3025" customHeight="1" spans="1:26">
      <c r="A3025" s="11" t="str">
        <f>IFERROR(__xludf.DUMMYFUNCTION("""COMPUTED_VALUE"""),"REBECA GONCALVES ROCHA")</f>
        <v>REBECA GONCALVES ROCHA</v>
      </c>
      <c r="B3025" s="11"/>
      <c r="C3025" s="11"/>
      <c r="D3025" s="11" t="str">
        <f>IFERROR(__xludf.DUMMYFUNCTION("""COMPUTED_VALUE"""),"CLINICA GERAL")</f>
        <v>CLINICA GERAL</v>
      </c>
      <c r="E3025" s="11"/>
      <c r="F3025" s="11" t="str">
        <f>IFERROR(__xludf.DUMMYFUNCTION("""COMPUTED_VALUE"""),"US_180 CENTRAL DE REGULACAO MEDICA SAMU METROPOLITANO RECIFE")</f>
        <v>US_180 CENTRAL DE REGULACAO MEDICA SAMU METROPOLITANO RECIFE</v>
      </c>
      <c r="G3025" s="11" t="str">
        <f>IFERROR(__xludf.DUMMYFUNCTION("""COMPUTED_VALUE"""),"US_180 CENTRAL DE REGULACAO MEDICA SAMU METROPOLITANO RECIFE")</f>
        <v>US_180 CENTRAL DE REGULACAO MEDICA SAMU METROPOLITANO RECIFE</v>
      </c>
      <c r="H3025" s="11"/>
      <c r="I3025" s="11"/>
      <c r="J3025" s="11"/>
      <c r="K3025" s="11"/>
      <c r="L3025" s="11"/>
      <c r="M3025" s="11"/>
      <c r="N3025" s="30" t="str">
        <f>IFERROR(__xludf.DUMMYFUNCTION("""COMPUTED_VALUE"""),"rebecagrocha1@gmail.com")</f>
        <v>rebecagrocha1@gmail.com</v>
      </c>
      <c r="O3025" s="11">
        <f>IFERROR(__xludf.DUMMYFUNCTION("""COMPUTED_VALUE"""),7391163473)</f>
        <v>7391163473</v>
      </c>
      <c r="P3025" s="11"/>
      <c r="Q3025" s="11"/>
      <c r="R3025" s="11"/>
      <c r="S3025" s="11"/>
      <c r="T3025" s="11"/>
      <c r="U3025" s="11"/>
      <c r="V3025" s="11"/>
      <c r="W3025" s="11"/>
      <c r="X3025" s="11"/>
      <c r="Y3025" s="11"/>
      <c r="Z3025" s="11"/>
    </row>
    <row r="3026" customHeight="1" spans="1:26">
      <c r="A3026" s="11" t="str">
        <f>IFERROR(__xludf.DUMMYFUNCTION("""COMPUTED_VALUE"""),"JOSE ALFREDO A FERREIRA JUNIOR")</f>
        <v>JOSE ALFREDO A FERREIRA JUNIOR</v>
      </c>
      <c r="B3026" s="11"/>
      <c r="C3026" s="11"/>
      <c r="D3026" s="11" t="str">
        <f>IFERROR(__xludf.DUMMYFUNCTION("""COMPUTED_VALUE"""),"CLINICA GERAL")</f>
        <v>CLINICA GERAL</v>
      </c>
      <c r="E3026" s="11"/>
      <c r="F3026" s="11" t="str">
        <f>IFERROR(__xludf.DUMMYFUNCTION("""COMPUTED_VALUE"""),"US_180 CENTRAL DE REGULACAO MEDICA SAMU METROPOLITANO RECIFE")</f>
        <v>US_180 CENTRAL DE REGULACAO MEDICA SAMU METROPOLITANO RECIFE</v>
      </c>
      <c r="G3026" s="11" t="str">
        <f>IFERROR(__xludf.DUMMYFUNCTION("""COMPUTED_VALUE"""),"US_180 CENTRAL DE REGULACAO MEDICA SAMU METROPOLITANO RECIFE")</f>
        <v>US_180 CENTRAL DE REGULACAO MEDICA SAMU METROPOLITANO RECIFE</v>
      </c>
      <c r="H3026" s="11"/>
      <c r="I3026" s="11"/>
      <c r="J3026" s="11"/>
      <c r="K3026" s="11"/>
      <c r="L3026" s="11"/>
      <c r="M3026" s="11"/>
      <c r="N3026" s="30" t="str">
        <f>IFERROR(__xludf.DUMMYFUNCTION("""COMPUTED_VALUE"""),"alfredo_afj@hotmail.com")</f>
        <v>alfredo_afj@hotmail.com</v>
      </c>
      <c r="O3026" s="11">
        <f>IFERROR(__xludf.DUMMYFUNCTION("""COMPUTED_VALUE"""),6617733452)</f>
        <v>6617733452</v>
      </c>
      <c r="P3026" s="11"/>
      <c r="Q3026" s="11"/>
      <c r="R3026" s="11"/>
      <c r="S3026" s="11"/>
      <c r="T3026" s="11"/>
      <c r="U3026" s="11"/>
      <c r="V3026" s="11"/>
      <c r="W3026" s="11"/>
      <c r="X3026" s="11"/>
      <c r="Y3026" s="11"/>
      <c r="Z3026" s="11"/>
    </row>
    <row r="3027" customHeight="1" spans="1:26">
      <c r="A3027" s="11" t="str">
        <f>IFERROR(__xludf.DUMMYFUNCTION("""COMPUTED_VALUE"""),"BRUNA PONTES DUARTE")</f>
        <v>BRUNA PONTES DUARTE</v>
      </c>
      <c r="B3027" s="11"/>
      <c r="C3027" s="11"/>
      <c r="D3027" s="11" t="str">
        <f>IFERROR(__xludf.DUMMYFUNCTION("""COMPUTED_VALUE"""),"CLINICA GERAL")</f>
        <v>CLINICA GERAL</v>
      </c>
      <c r="E3027" s="11"/>
      <c r="F3027" s="11" t="str">
        <f>IFERROR(__xludf.DUMMYFUNCTION("""COMPUTED_VALUE"""),"US_180 CENTRAL DE REGULACAO MEDICA SAMU METROPOLITANO RECIFE")</f>
        <v>US_180 CENTRAL DE REGULACAO MEDICA SAMU METROPOLITANO RECIFE</v>
      </c>
      <c r="G3027" s="11" t="str">
        <f>IFERROR(__xludf.DUMMYFUNCTION("""COMPUTED_VALUE"""),"US_180 CENTRAL DE REGULACAO MEDICA SAMU METROPOLITANO RECIFE")</f>
        <v>US_180 CENTRAL DE REGULACAO MEDICA SAMU METROPOLITANO RECIFE</v>
      </c>
      <c r="H3027" s="11"/>
      <c r="I3027" s="11"/>
      <c r="J3027" s="11"/>
      <c r="K3027" s="11"/>
      <c r="L3027" s="11"/>
      <c r="M3027" s="11"/>
      <c r="N3027" s="30" t="str">
        <f>IFERROR(__xludf.DUMMYFUNCTION("""COMPUTED_VALUE"""),"brunapduarte@gmail.com")</f>
        <v>brunapduarte@gmail.com</v>
      </c>
      <c r="O3027" s="11">
        <f>IFERROR(__xludf.DUMMYFUNCTION("""COMPUTED_VALUE"""),6544950416)</f>
        <v>6544950416</v>
      </c>
      <c r="P3027" s="11"/>
      <c r="Q3027" s="11"/>
      <c r="R3027" s="11"/>
      <c r="S3027" s="11"/>
      <c r="T3027" s="11"/>
      <c r="U3027" s="11"/>
      <c r="V3027" s="11"/>
      <c r="W3027" s="11"/>
      <c r="X3027" s="11"/>
      <c r="Y3027" s="11"/>
      <c r="Z3027" s="11"/>
    </row>
    <row r="3028" customHeight="1" spans="1:26">
      <c r="A3028" s="11" t="str">
        <f>IFERROR(__xludf.DUMMYFUNCTION("""COMPUTED_VALUE"""),"CAROLINA BEZERRA PATRIOTA")</f>
        <v>CAROLINA BEZERRA PATRIOTA</v>
      </c>
      <c r="B3028" s="11"/>
      <c r="C3028" s="11"/>
      <c r="D3028" s="11" t="str">
        <f>IFERROR(__xludf.DUMMYFUNCTION("""COMPUTED_VALUE"""),"CLINICA GERAL")</f>
        <v>CLINICA GERAL</v>
      </c>
      <c r="E3028" s="11"/>
      <c r="F3028" s="11" t="str">
        <f>IFERROR(__xludf.DUMMYFUNCTION("""COMPUTED_VALUE"""),"US_180 CENTRAL DE REGULACAO MEDICA SAMU METROPOLITANO RECIFE")</f>
        <v>US_180 CENTRAL DE REGULACAO MEDICA SAMU METROPOLITANO RECIFE</v>
      </c>
      <c r="G3028" s="11" t="str">
        <f>IFERROR(__xludf.DUMMYFUNCTION("""COMPUTED_VALUE"""),"US_180 CENTRAL DE REGULACAO MEDICA SAMU METROPOLITANO RECIFE")</f>
        <v>US_180 CENTRAL DE REGULACAO MEDICA SAMU METROPOLITANO RECIFE</v>
      </c>
      <c r="H3028" s="11"/>
      <c r="I3028" s="11"/>
      <c r="J3028" s="11"/>
      <c r="K3028" s="11"/>
      <c r="L3028" s="11"/>
      <c r="M3028" s="11"/>
      <c r="N3028" s="30" t="str">
        <f>IFERROR(__xludf.DUMMYFUNCTION("""COMPUTED_VALUE"""),"carolinabpatriota@gmail.com")</f>
        <v>carolinabpatriota@gmail.com</v>
      </c>
      <c r="O3028" s="11">
        <f>IFERROR(__xludf.DUMMYFUNCTION("""COMPUTED_VALUE"""),4962066480)</f>
        <v>4962066480</v>
      </c>
      <c r="P3028" s="11"/>
      <c r="Q3028" s="11"/>
      <c r="R3028" s="11"/>
      <c r="S3028" s="11"/>
      <c r="T3028" s="11"/>
      <c r="U3028" s="11"/>
      <c r="V3028" s="11"/>
      <c r="W3028" s="11"/>
      <c r="X3028" s="11"/>
      <c r="Y3028" s="11"/>
      <c r="Z3028" s="11"/>
    </row>
    <row r="3029" customHeight="1" spans="1:26">
      <c r="A3029" s="11" t="str">
        <f>IFERROR(__xludf.DUMMYFUNCTION("""COMPUTED_VALUE"""),"ROMULO BORGES BEZERRA")</f>
        <v>ROMULO BORGES BEZERRA</v>
      </c>
      <c r="B3029" s="11"/>
      <c r="C3029" s="11"/>
      <c r="D3029" s="11" t="str">
        <f>IFERROR(__xludf.DUMMYFUNCTION("""COMPUTED_VALUE"""),"CLINICA GERAL")</f>
        <v>CLINICA GERAL</v>
      </c>
      <c r="E3029" s="11"/>
      <c r="F3029" s="11" t="str">
        <f>IFERROR(__xludf.DUMMYFUNCTION("""COMPUTED_VALUE"""),"US_180 CENTRAL DE REGULACAO MEDICA SAMU METROPOLITANO RECIFE")</f>
        <v>US_180 CENTRAL DE REGULACAO MEDICA SAMU METROPOLITANO RECIFE</v>
      </c>
      <c r="G3029" s="11" t="str">
        <f>IFERROR(__xludf.DUMMYFUNCTION("""COMPUTED_VALUE"""),"US_180 CENTRAL DE REGULACAO MEDICA SAMU METROPOLITANO RECIFE")</f>
        <v>US_180 CENTRAL DE REGULACAO MEDICA SAMU METROPOLITANO RECIFE</v>
      </c>
      <c r="H3029" s="11"/>
      <c r="I3029" s="11"/>
      <c r="J3029" s="11"/>
      <c r="K3029" s="11"/>
      <c r="L3029" s="11"/>
      <c r="M3029" s="11"/>
      <c r="N3029" s="30" t="str">
        <f>IFERROR(__xludf.DUMMYFUNCTION("""COMPUTED_VALUE"""),"romulo_borges@hotmail.com")</f>
        <v>romulo_borges@hotmail.com</v>
      </c>
      <c r="O3029" s="11">
        <f>IFERROR(__xludf.DUMMYFUNCTION("""COMPUTED_VALUE"""),6940807489)</f>
        <v>6940807489</v>
      </c>
      <c r="P3029" s="11"/>
      <c r="Q3029" s="11"/>
      <c r="R3029" s="11"/>
      <c r="S3029" s="11"/>
      <c r="T3029" s="11"/>
      <c r="U3029" s="11"/>
      <c r="V3029" s="11"/>
      <c r="W3029" s="11"/>
      <c r="X3029" s="11"/>
      <c r="Y3029" s="11"/>
      <c r="Z3029" s="11"/>
    </row>
    <row r="3030" customHeight="1" spans="1:26">
      <c r="A3030" s="11" t="str">
        <f>IFERROR(__xludf.DUMMYFUNCTION("""COMPUTED_VALUE"""),"ALINE RODRIGUES M LEMOS")</f>
        <v>ALINE RODRIGUES M LEMOS</v>
      </c>
      <c r="B3030" s="11"/>
      <c r="C3030" s="11"/>
      <c r="D3030" s="11" t="str">
        <f>IFERROR(__xludf.DUMMYFUNCTION("""COMPUTED_VALUE"""),"CLINICA GERAL")</f>
        <v>CLINICA GERAL</v>
      </c>
      <c r="E3030" s="11"/>
      <c r="F3030" s="11" t="str">
        <f>IFERROR(__xludf.DUMMYFUNCTION("""COMPUTED_VALUE"""),"US_180 CENTRAL DE REGULACAO MEDICA SAMU METROPOLITANO RECIFE")</f>
        <v>US_180 CENTRAL DE REGULACAO MEDICA SAMU METROPOLITANO RECIFE</v>
      </c>
      <c r="G3030" s="11" t="str">
        <f>IFERROR(__xludf.DUMMYFUNCTION("""COMPUTED_VALUE"""),"US_180 CENTRAL DE REGULACAO MEDICA SAMU METROPOLITANO RECIFE")</f>
        <v>US_180 CENTRAL DE REGULACAO MEDICA SAMU METROPOLITANO RECIFE</v>
      </c>
      <c r="H3030" s="11"/>
      <c r="I3030" s="11"/>
      <c r="J3030" s="11"/>
      <c r="K3030" s="11"/>
      <c r="L3030" s="11"/>
      <c r="M3030" s="11"/>
      <c r="N3030" s="30" t="str">
        <f>IFERROR(__xludf.DUMMYFUNCTION("""COMPUTED_VALUE"""),"aline.rm.rm@gmail.com")</f>
        <v>aline.rm.rm@gmail.com</v>
      </c>
      <c r="O3030" s="11">
        <f>IFERROR(__xludf.DUMMYFUNCTION("""COMPUTED_VALUE"""),1504340493)</f>
        <v>1504340493</v>
      </c>
      <c r="P3030" s="11"/>
      <c r="Q3030" s="11"/>
      <c r="R3030" s="11"/>
      <c r="S3030" s="11"/>
      <c r="T3030" s="11"/>
      <c r="U3030" s="11"/>
      <c r="V3030" s="11"/>
      <c r="W3030" s="11"/>
      <c r="X3030" s="11"/>
      <c r="Y3030" s="11"/>
      <c r="Z3030" s="11"/>
    </row>
    <row r="3031" customHeight="1" spans="1:26">
      <c r="A3031" s="11" t="str">
        <f>IFERROR(__xludf.DUMMYFUNCTION("""COMPUTED_VALUE"""),"LAIS RIBEIRO DA COSTA PAES")</f>
        <v>LAIS RIBEIRO DA COSTA PAES</v>
      </c>
      <c r="B3031" s="11"/>
      <c r="C3031" s="11"/>
      <c r="D3031" s="11" t="str">
        <f>IFERROR(__xludf.DUMMYFUNCTION("""COMPUTED_VALUE"""),"CIRURGIA GERAL")</f>
        <v>CIRURGIA GERAL</v>
      </c>
      <c r="E3031" s="11"/>
      <c r="F3031" s="11" t="str">
        <f>IFERROR(__xludf.DUMMYFUNCTION("""COMPUTED_VALUE"""),"US_180 CENTRAL DE REGULACAO MEDICA SAMU METROPOLITANO RECIFE")</f>
        <v>US_180 CENTRAL DE REGULACAO MEDICA SAMU METROPOLITANO RECIFE</v>
      </c>
      <c r="G3031" s="11" t="str">
        <f>IFERROR(__xludf.DUMMYFUNCTION("""COMPUTED_VALUE"""),"US_180 CENTRAL DE REGULACAO MEDICA SAMU METROPOLITANO RECIFE")</f>
        <v>US_180 CENTRAL DE REGULACAO MEDICA SAMU METROPOLITANO RECIFE</v>
      </c>
      <c r="H3031" s="11"/>
      <c r="I3031" s="11"/>
      <c r="J3031" s="11"/>
      <c r="K3031" s="11"/>
      <c r="L3031" s="11"/>
      <c r="M3031" s="11"/>
      <c r="N3031" s="30" t="str">
        <f>IFERROR(__xludf.DUMMYFUNCTION("""COMPUTED_VALUE"""),"lais_paes@hotmail.com")</f>
        <v>lais_paes@hotmail.com</v>
      </c>
      <c r="O3031" s="11">
        <f>IFERROR(__xludf.DUMMYFUNCTION("""COMPUTED_VALUE"""),5181355439)</f>
        <v>5181355439</v>
      </c>
      <c r="P3031" s="11"/>
      <c r="Q3031" s="11"/>
      <c r="R3031" s="11"/>
      <c r="S3031" s="11"/>
      <c r="T3031" s="11"/>
      <c r="U3031" s="11"/>
      <c r="V3031" s="11"/>
      <c r="W3031" s="11"/>
      <c r="X3031" s="11"/>
      <c r="Y3031" s="11"/>
      <c r="Z3031" s="11"/>
    </row>
    <row r="3032" customHeight="1" spans="1:26">
      <c r="A3032" s="11" t="str">
        <f>IFERROR(__xludf.DUMMYFUNCTION("""COMPUTED_VALUE"""),"FRANCISCO H DE BRITO PEREIRA")</f>
        <v>FRANCISCO H DE BRITO PEREIRA</v>
      </c>
      <c r="B3032" s="11"/>
      <c r="C3032" s="11"/>
      <c r="D3032" s="11" t="str">
        <f>IFERROR(__xludf.DUMMYFUNCTION("""COMPUTED_VALUE"""),"CIRURGIA GERAL")</f>
        <v>CIRURGIA GERAL</v>
      </c>
      <c r="E3032" s="11"/>
      <c r="F3032" s="11" t="str">
        <f>IFERROR(__xludf.DUMMYFUNCTION("""COMPUTED_VALUE"""),"US_180 CENTRAL DE REGULACAO MEDICA SAMU METROPOLITANO RECIFE")</f>
        <v>US_180 CENTRAL DE REGULACAO MEDICA SAMU METROPOLITANO RECIFE</v>
      </c>
      <c r="G3032" s="11" t="str">
        <f>IFERROR(__xludf.DUMMYFUNCTION("""COMPUTED_VALUE"""),"US_180 CENTRAL DE REGULACAO MEDICA SAMU METROPOLITANO RECIFE")</f>
        <v>US_180 CENTRAL DE REGULACAO MEDICA SAMU METROPOLITANO RECIFE</v>
      </c>
      <c r="H3032" s="11"/>
      <c r="I3032" s="11"/>
      <c r="J3032" s="11"/>
      <c r="K3032" s="11"/>
      <c r="L3032" s="11"/>
      <c r="M3032" s="11"/>
      <c r="N3032" s="30" t="str">
        <f>IFERROR(__xludf.DUMMYFUNCTION("""COMPUTED_VALUE"""),"franciscoharrison@hotmail.com")</f>
        <v>franciscoharrison@hotmail.com</v>
      </c>
      <c r="O3032" s="11">
        <f>IFERROR(__xludf.DUMMYFUNCTION("""COMPUTED_VALUE"""),91111390304)</f>
        <v>91111390304</v>
      </c>
      <c r="P3032" s="11"/>
      <c r="Q3032" s="11"/>
      <c r="R3032" s="11"/>
      <c r="S3032" s="11"/>
      <c r="T3032" s="11"/>
      <c r="U3032" s="11"/>
      <c r="V3032" s="11"/>
      <c r="W3032" s="11"/>
      <c r="X3032" s="11"/>
      <c r="Y3032" s="11"/>
      <c r="Z3032" s="11"/>
    </row>
    <row r="3033" customHeight="1" spans="1:26">
      <c r="A3033" s="11" t="str">
        <f>IFERROR(__xludf.DUMMYFUNCTION("""COMPUTED_VALUE"""),"LUCIANA ALVES DE ARAUJO")</f>
        <v>LUCIANA ALVES DE ARAUJO</v>
      </c>
      <c r="B3033" s="11"/>
      <c r="C3033" s="11"/>
      <c r="D3033" s="11" t="str">
        <f>IFERROR(__xludf.DUMMYFUNCTION("""COMPUTED_VALUE"""),"CIRURGIA GERAL")</f>
        <v>CIRURGIA GERAL</v>
      </c>
      <c r="E3033" s="11"/>
      <c r="F3033" s="11" t="str">
        <f>IFERROR(__xludf.DUMMYFUNCTION("""COMPUTED_VALUE"""),"US_180 CENTRAL DE REGULACAO MEDICA SAMU METROPOLITANO RECIFE")</f>
        <v>US_180 CENTRAL DE REGULACAO MEDICA SAMU METROPOLITANO RECIFE</v>
      </c>
      <c r="G3033" s="11" t="str">
        <f>IFERROR(__xludf.DUMMYFUNCTION("""COMPUTED_VALUE"""),"US_180 CENTRAL DE REGULACAO MEDICA SAMU METROPOLITANO RECIFE")</f>
        <v>US_180 CENTRAL DE REGULACAO MEDICA SAMU METROPOLITANO RECIFE</v>
      </c>
      <c r="H3033" s="11"/>
      <c r="I3033" s="11"/>
      <c r="J3033" s="11"/>
      <c r="K3033" s="11"/>
      <c r="L3033" s="11"/>
      <c r="M3033" s="11"/>
      <c r="N3033" s="30" t="str">
        <f>IFERROR(__xludf.DUMMYFUNCTION("""COMPUTED_VALUE"""),"lu.araujo@gmail.com")</f>
        <v>lu.araujo@gmail.com</v>
      </c>
      <c r="O3033" s="11">
        <f>IFERROR(__xludf.DUMMYFUNCTION("""COMPUTED_VALUE"""),4489889410)</f>
        <v>4489889410</v>
      </c>
      <c r="P3033" s="11"/>
      <c r="Q3033" s="11"/>
      <c r="R3033" s="11"/>
      <c r="S3033" s="11"/>
      <c r="T3033" s="11"/>
      <c r="U3033" s="11"/>
      <c r="V3033" s="11"/>
      <c r="W3033" s="11"/>
      <c r="X3033" s="11"/>
      <c r="Y3033" s="11"/>
      <c r="Z3033" s="11"/>
    </row>
    <row r="3034" customHeight="1" spans="1:26">
      <c r="A3034" s="11" t="str">
        <f>IFERROR(__xludf.DUMMYFUNCTION("""COMPUTED_VALUE"""),"IGOR ALEXANDRE TAMURA")</f>
        <v>IGOR ALEXANDRE TAMURA</v>
      </c>
      <c r="B3034" s="11"/>
      <c r="C3034" s="11"/>
      <c r="D3034" s="11" t="str">
        <f>IFERROR(__xludf.DUMMYFUNCTION("""COMPUTED_VALUE"""),"CIRURGIA GERAL")</f>
        <v>CIRURGIA GERAL</v>
      </c>
      <c r="E3034" s="11"/>
      <c r="F3034" s="11" t="str">
        <f>IFERROR(__xludf.DUMMYFUNCTION("""COMPUTED_VALUE"""),"US_180 CENTRAL DE REGULACAO MEDICA SAMU METROPOLITANO RECIFE")</f>
        <v>US_180 CENTRAL DE REGULACAO MEDICA SAMU METROPOLITANO RECIFE</v>
      </c>
      <c r="G3034" s="11" t="str">
        <f>IFERROR(__xludf.DUMMYFUNCTION("""COMPUTED_VALUE"""),"US_180 CENTRAL DE REGULACAO MEDICA SAMU METROPOLITANO RECIFE")</f>
        <v>US_180 CENTRAL DE REGULACAO MEDICA SAMU METROPOLITANO RECIFE</v>
      </c>
      <c r="H3034" s="11"/>
      <c r="I3034" s="11"/>
      <c r="J3034" s="11"/>
      <c r="K3034" s="11"/>
      <c r="L3034" s="11"/>
      <c r="M3034" s="11"/>
      <c r="N3034" s="30" t="str">
        <f>IFERROR(__xludf.DUMMYFUNCTION("""COMPUTED_VALUE"""),"igor.tamura@gmail.com")</f>
        <v>igor.tamura@gmail.com</v>
      </c>
      <c r="O3034" s="11">
        <f>IFERROR(__xludf.DUMMYFUNCTION("""COMPUTED_VALUE"""),22229526898)</f>
        <v>22229526898</v>
      </c>
      <c r="P3034" s="11"/>
      <c r="Q3034" s="11"/>
      <c r="R3034" s="11"/>
      <c r="S3034" s="11"/>
      <c r="T3034" s="11"/>
      <c r="U3034" s="11"/>
      <c r="V3034" s="11"/>
      <c r="W3034" s="11"/>
      <c r="X3034" s="11"/>
      <c r="Y3034" s="11"/>
      <c r="Z3034" s="11"/>
    </row>
    <row r="3035" customHeight="1" spans="1:26">
      <c r="A3035" s="11" t="str">
        <f>IFERROR(__xludf.DUMMYFUNCTION("""COMPUTED_VALUE"""),"MANUELLA DE MELO M T VAREJAO")</f>
        <v>MANUELLA DE MELO M T VAREJAO</v>
      </c>
      <c r="B3035" s="11"/>
      <c r="C3035" s="11"/>
      <c r="D3035" s="11" t="str">
        <f>IFERROR(__xludf.DUMMYFUNCTION("""COMPUTED_VALUE"""),"CIRURGIA GERAL")</f>
        <v>CIRURGIA GERAL</v>
      </c>
      <c r="E3035" s="11"/>
      <c r="F3035" s="11" t="str">
        <f>IFERROR(__xludf.DUMMYFUNCTION("""COMPUTED_VALUE"""),"US_180 CENTRAL DE REGULACAO MEDICA SAMU METROPOLITANO RECIFE")</f>
        <v>US_180 CENTRAL DE REGULACAO MEDICA SAMU METROPOLITANO RECIFE</v>
      </c>
      <c r="G3035" s="11" t="str">
        <f>IFERROR(__xludf.DUMMYFUNCTION("""COMPUTED_VALUE"""),"US_180 CENTRAL DE REGULACAO MEDICA SAMU METROPOLITANO RECIFE")</f>
        <v>US_180 CENTRAL DE REGULACAO MEDICA SAMU METROPOLITANO RECIFE</v>
      </c>
      <c r="H3035" s="11"/>
      <c r="I3035" s="11"/>
      <c r="J3035" s="11"/>
      <c r="K3035" s="11"/>
      <c r="L3035" s="11"/>
      <c r="M3035" s="11"/>
      <c r="N3035" s="30" t="str">
        <f>IFERROR(__xludf.DUMMYFUNCTION("""COMPUTED_VALUE"""),"manuellamuniz@yahoo.com.br")</f>
        <v>manuellamuniz@yahoo.com.br</v>
      </c>
      <c r="O3035" s="11">
        <f>IFERROR(__xludf.DUMMYFUNCTION("""COMPUTED_VALUE"""),5776069483)</f>
        <v>5776069483</v>
      </c>
      <c r="P3035" s="11"/>
      <c r="Q3035" s="11"/>
      <c r="R3035" s="11"/>
      <c r="S3035" s="11"/>
      <c r="T3035" s="11"/>
      <c r="U3035" s="11"/>
      <c r="V3035" s="11"/>
      <c r="W3035" s="11"/>
      <c r="X3035" s="11"/>
      <c r="Y3035" s="11"/>
      <c r="Z3035" s="11"/>
    </row>
    <row r="3036" customHeight="1" spans="1:26">
      <c r="A3036" s="11" t="str">
        <f>IFERROR(__xludf.DUMMYFUNCTION("""COMPUTED_VALUE"""),"ANDERSON CARVALHO DE M BRAZ")</f>
        <v>ANDERSON CARVALHO DE M BRAZ</v>
      </c>
      <c r="B3036" s="11"/>
      <c r="C3036" s="11"/>
      <c r="D3036" s="11" t="str">
        <f>IFERROR(__xludf.DUMMYFUNCTION("""COMPUTED_VALUE"""),"CIRURGIA GERAL")</f>
        <v>CIRURGIA GERAL</v>
      </c>
      <c r="E3036" s="11"/>
      <c r="F3036" s="11" t="str">
        <f>IFERROR(__xludf.DUMMYFUNCTION("""COMPUTED_VALUE"""),"US_180 CENTRAL DE REGULACAO MEDICA SAMU METROPOLITANO RECIFE")</f>
        <v>US_180 CENTRAL DE REGULACAO MEDICA SAMU METROPOLITANO RECIFE</v>
      </c>
      <c r="G3036" s="11" t="str">
        <f>IFERROR(__xludf.DUMMYFUNCTION("""COMPUTED_VALUE"""),"US_180 CENTRAL DE REGULACAO MEDICA SAMU METROPOLITANO RECIFE")</f>
        <v>US_180 CENTRAL DE REGULACAO MEDICA SAMU METROPOLITANO RECIFE</v>
      </c>
      <c r="H3036" s="11"/>
      <c r="I3036" s="11"/>
      <c r="J3036" s="11"/>
      <c r="K3036" s="11"/>
      <c r="L3036" s="11"/>
      <c r="M3036" s="11"/>
      <c r="N3036" s="30" t="str">
        <f>IFERROR(__xludf.DUMMYFUNCTION("""COMPUTED_VALUE"""),"soanderbraz@yahoo.com.br")</f>
        <v>soanderbraz@yahoo.com.br</v>
      </c>
      <c r="O3036" s="11">
        <f>IFERROR(__xludf.DUMMYFUNCTION("""COMPUTED_VALUE"""),2829723406)</f>
        <v>2829723406</v>
      </c>
      <c r="P3036" s="11"/>
      <c r="Q3036" s="11"/>
      <c r="R3036" s="11"/>
      <c r="S3036" s="11"/>
      <c r="T3036" s="11"/>
      <c r="U3036" s="11"/>
      <c r="V3036" s="11"/>
      <c r="W3036" s="11"/>
      <c r="X3036" s="11"/>
      <c r="Y3036" s="11"/>
      <c r="Z3036" s="11"/>
    </row>
    <row r="3037" customHeight="1" spans="1:26">
      <c r="A3037" s="11" t="str">
        <f>IFERROR(__xludf.DUMMYFUNCTION("""COMPUTED_VALUE"""),"LEONARDO GOMES MENEZES")</f>
        <v>LEONARDO GOMES MENEZES</v>
      </c>
      <c r="B3037" s="11"/>
      <c r="C3037" s="11"/>
      <c r="D3037" s="11" t="str">
        <f>IFERROR(__xludf.DUMMYFUNCTION("""COMPUTED_VALUE"""),"CIRURGIA GERAL")</f>
        <v>CIRURGIA GERAL</v>
      </c>
      <c r="E3037" s="11"/>
      <c r="F3037" s="11" t="str">
        <f>IFERROR(__xludf.DUMMYFUNCTION("""COMPUTED_VALUE"""),"US_180 CENTRAL DE REGULACAO MEDICA SAMU METROPOLITANO RECIFE")</f>
        <v>US_180 CENTRAL DE REGULACAO MEDICA SAMU METROPOLITANO RECIFE</v>
      </c>
      <c r="G3037" s="11" t="str">
        <f>IFERROR(__xludf.DUMMYFUNCTION("""COMPUTED_VALUE"""),"US_180 CENTRAL DE REGULACAO MEDICA SAMU METROPOLITANO RECIFE")</f>
        <v>US_180 CENTRAL DE REGULACAO MEDICA SAMU METROPOLITANO RECIFE</v>
      </c>
      <c r="H3037" s="11"/>
      <c r="I3037" s="11"/>
      <c r="J3037" s="11"/>
      <c r="K3037" s="11"/>
      <c r="L3037" s="11"/>
      <c r="M3037" s="11"/>
      <c r="N3037" s="30" t="str">
        <f>IFERROR(__xludf.DUMMYFUNCTION("""COMPUTED_VALUE"""),"leonardo.gomes@recife.pe.gov.br")</f>
        <v>leonardo.gomes@recife.pe.gov.br</v>
      </c>
      <c r="O3037" s="11">
        <f>IFERROR(__xludf.DUMMYFUNCTION("""COMPUTED_VALUE"""),96021772504)</f>
        <v>96021772504</v>
      </c>
      <c r="P3037" s="11"/>
      <c r="Q3037" s="11"/>
      <c r="R3037" s="11"/>
      <c r="S3037" s="11"/>
      <c r="T3037" s="11"/>
      <c r="U3037" s="11"/>
      <c r="V3037" s="11"/>
      <c r="W3037" s="11"/>
      <c r="X3037" s="11"/>
      <c r="Y3037" s="11"/>
      <c r="Z3037" s="11"/>
    </row>
    <row r="3038" customHeight="1" spans="1:26">
      <c r="A3038" s="11" t="str">
        <f>IFERROR(__xludf.DUMMYFUNCTION("""COMPUTED_VALUE"""),"AMANDA CARLA DE SOUSA FRAGA")</f>
        <v>AMANDA CARLA DE SOUSA FRAGA</v>
      </c>
      <c r="B3038" s="11"/>
      <c r="C3038" s="11"/>
      <c r="D3038" s="11" t="str">
        <f>IFERROR(__xludf.DUMMYFUNCTION("""COMPUTED_VALUE"""),"CLINICA GERAL")</f>
        <v>CLINICA GERAL</v>
      </c>
      <c r="E3038" s="11"/>
      <c r="F3038" s="11" t="str">
        <f>IFERROR(__xludf.DUMMYFUNCTION("""COMPUTED_VALUE"""),"US_180 CENTRAL DE REGULACAO MEDICA SAMU METROPOLITANO RECIFE")</f>
        <v>US_180 CENTRAL DE REGULACAO MEDICA SAMU METROPOLITANO RECIFE</v>
      </c>
      <c r="G3038" s="11" t="str">
        <f>IFERROR(__xludf.DUMMYFUNCTION("""COMPUTED_VALUE"""),"US_180 CENTRAL DE REGULACAO MEDICA SAMU METROPOLITANO RECIFE")</f>
        <v>US_180 CENTRAL DE REGULACAO MEDICA SAMU METROPOLITANO RECIFE</v>
      </c>
      <c r="H3038" s="11"/>
      <c r="I3038" s="11"/>
      <c r="J3038" s="11"/>
      <c r="K3038" s="11"/>
      <c r="L3038" s="11"/>
      <c r="M3038" s="11"/>
      <c r="N3038" s="30" t="str">
        <f>IFERROR(__xludf.DUMMYFUNCTION("""COMPUTED_VALUE"""),"amcfraga@hotmail.com")</f>
        <v>amcfraga@hotmail.com</v>
      </c>
      <c r="O3038" s="11">
        <f>IFERROR(__xludf.DUMMYFUNCTION("""COMPUTED_VALUE"""),1366065476)</f>
        <v>1366065476</v>
      </c>
      <c r="P3038" s="11"/>
      <c r="Q3038" s="11"/>
      <c r="R3038" s="11"/>
      <c r="S3038" s="11"/>
      <c r="T3038" s="11"/>
      <c r="U3038" s="11"/>
      <c r="V3038" s="11"/>
      <c r="W3038" s="11"/>
      <c r="X3038" s="11"/>
      <c r="Y3038" s="11"/>
      <c r="Z3038" s="11"/>
    </row>
    <row r="3039" customHeight="1" spans="1:26">
      <c r="A3039" s="11" t="str">
        <f>IFERROR(__xludf.DUMMYFUNCTION("""COMPUTED_VALUE"""),"JULYANNE LUIZE DE L R CASTRO")</f>
        <v>JULYANNE LUIZE DE L R CASTRO</v>
      </c>
      <c r="B3039" s="11"/>
      <c r="C3039" s="11"/>
      <c r="D3039" s="11" t="str">
        <f>IFERROR(__xludf.DUMMYFUNCTION("""COMPUTED_VALUE"""),"CLINICA GERAL")</f>
        <v>CLINICA GERAL</v>
      </c>
      <c r="E3039" s="11"/>
      <c r="F3039" s="11" t="str">
        <f>IFERROR(__xludf.DUMMYFUNCTION("""COMPUTED_VALUE"""),"US_180 CENTRAL DE REGULACAO MEDICA SAMU METROPOLITANO RECIFE")</f>
        <v>US_180 CENTRAL DE REGULACAO MEDICA SAMU METROPOLITANO RECIFE</v>
      </c>
      <c r="G3039" s="11" t="str">
        <f>IFERROR(__xludf.DUMMYFUNCTION("""COMPUTED_VALUE"""),"US_180 CENTRAL DE REGULACAO MEDICA SAMU METROPOLITANO RECIFE")</f>
        <v>US_180 CENTRAL DE REGULACAO MEDICA SAMU METROPOLITANO RECIFE</v>
      </c>
      <c r="H3039" s="11"/>
      <c r="I3039" s="11"/>
      <c r="J3039" s="11"/>
      <c r="K3039" s="11"/>
      <c r="L3039" s="11"/>
      <c r="M3039" s="11"/>
      <c r="N3039" s="30" t="str">
        <f>IFERROR(__xludf.DUMMYFUNCTION("""COMPUTED_VALUE"""),"julyanneluize@hotmail.com")</f>
        <v>julyanneluize@hotmail.com</v>
      </c>
      <c r="O3039" s="11">
        <f>IFERROR(__xludf.DUMMYFUNCTION("""COMPUTED_VALUE"""),6498296461)</f>
        <v>6498296461</v>
      </c>
      <c r="P3039" s="11"/>
      <c r="Q3039" s="11"/>
      <c r="R3039" s="11"/>
      <c r="S3039" s="11"/>
      <c r="T3039" s="11"/>
      <c r="U3039" s="11"/>
      <c r="V3039" s="11"/>
      <c r="W3039" s="11"/>
      <c r="X3039" s="11"/>
      <c r="Y3039" s="11"/>
      <c r="Z3039" s="11"/>
    </row>
    <row r="3040" customHeight="1" spans="1:26">
      <c r="A3040" s="11" t="str">
        <f>IFERROR(__xludf.DUMMYFUNCTION("""COMPUTED_VALUE"""),"KATARINA BARROS DE OLIVEIRA")</f>
        <v>KATARINA BARROS DE OLIVEIRA</v>
      </c>
      <c r="B3040" s="11"/>
      <c r="C3040" s="11"/>
      <c r="D3040" s="11" t="str">
        <f>IFERROR(__xludf.DUMMYFUNCTION("""COMPUTED_VALUE"""),"CLINICA GERAL")</f>
        <v>CLINICA GERAL</v>
      </c>
      <c r="E3040" s="11"/>
      <c r="F3040" s="11" t="str">
        <f>IFERROR(__xludf.DUMMYFUNCTION("""COMPUTED_VALUE"""),"US_180 CENTRAL DE REGULACAO MEDICA SAMU METROPOLITANO RECIFE")</f>
        <v>US_180 CENTRAL DE REGULACAO MEDICA SAMU METROPOLITANO RECIFE</v>
      </c>
      <c r="G3040" s="11" t="str">
        <f>IFERROR(__xludf.DUMMYFUNCTION("""COMPUTED_VALUE"""),"US_180 CENTRAL DE REGULACAO MEDICA SAMU METROPOLITANO RECIFE")</f>
        <v>US_180 CENTRAL DE REGULACAO MEDICA SAMU METROPOLITANO RECIFE</v>
      </c>
      <c r="H3040" s="11"/>
      <c r="I3040" s="11"/>
      <c r="J3040" s="11"/>
      <c r="K3040" s="11"/>
      <c r="L3040" s="11"/>
      <c r="M3040" s="11"/>
      <c r="N3040" s="30" t="str">
        <f>IFERROR(__xludf.DUMMYFUNCTION("""COMPUTED_VALUE"""),"katarina_bo@hotmail.com")</f>
        <v>katarina_bo@hotmail.com</v>
      </c>
      <c r="O3040" s="11">
        <f>IFERROR(__xludf.DUMMYFUNCTION("""COMPUTED_VALUE"""),6090178454)</f>
        <v>6090178454</v>
      </c>
      <c r="P3040" s="11"/>
      <c r="Q3040" s="11"/>
      <c r="R3040" s="11"/>
      <c r="S3040" s="11"/>
      <c r="T3040" s="11"/>
      <c r="U3040" s="11"/>
      <c r="V3040" s="11"/>
      <c r="W3040" s="11"/>
      <c r="X3040" s="11"/>
      <c r="Y3040" s="11"/>
      <c r="Z3040" s="11"/>
    </row>
    <row r="3041" customHeight="1" spans="1:26">
      <c r="A3041" s="11" t="str">
        <f>IFERROR(__xludf.DUMMYFUNCTION("""COMPUTED_VALUE"""),"RAFAELA EVANGELISTA PESSOA")</f>
        <v>RAFAELA EVANGELISTA PESSOA</v>
      </c>
      <c r="B3041" s="11"/>
      <c r="C3041" s="11"/>
      <c r="D3041" s="11" t="str">
        <f>IFERROR(__xludf.DUMMYFUNCTION("""COMPUTED_VALUE"""),"CLINICA GERAL")</f>
        <v>CLINICA GERAL</v>
      </c>
      <c r="E3041" s="11"/>
      <c r="F3041" s="11" t="str">
        <f>IFERROR(__xludf.DUMMYFUNCTION("""COMPUTED_VALUE"""),"US_180 CENTRAL DE REGULACAO MEDICA SAMU METROPOLITANO RECIFE")</f>
        <v>US_180 CENTRAL DE REGULACAO MEDICA SAMU METROPOLITANO RECIFE</v>
      </c>
      <c r="G3041" s="11" t="str">
        <f>IFERROR(__xludf.DUMMYFUNCTION("""COMPUTED_VALUE"""),"US_180 CENTRAL DE REGULACAO MEDICA SAMU METROPOLITANO RECIFE")</f>
        <v>US_180 CENTRAL DE REGULACAO MEDICA SAMU METROPOLITANO RECIFE</v>
      </c>
      <c r="H3041" s="11"/>
      <c r="I3041" s="11"/>
      <c r="J3041" s="11"/>
      <c r="K3041" s="11"/>
      <c r="L3041" s="11"/>
      <c r="M3041" s="11"/>
      <c r="N3041" s="30" t="str">
        <f>IFERROR(__xludf.DUMMYFUNCTION("""COMPUTED_VALUE"""),"rafaelaepessoa@gmail.com")</f>
        <v>rafaelaepessoa@gmail.com</v>
      </c>
      <c r="O3041" s="11">
        <f>IFERROR(__xludf.DUMMYFUNCTION("""COMPUTED_VALUE"""),7055746442)</f>
        <v>7055746442</v>
      </c>
      <c r="P3041" s="11"/>
      <c r="Q3041" s="11"/>
      <c r="R3041" s="11"/>
      <c r="S3041" s="11"/>
      <c r="T3041" s="11"/>
      <c r="U3041" s="11"/>
      <c r="V3041" s="11"/>
      <c r="W3041" s="11"/>
      <c r="X3041" s="11"/>
      <c r="Y3041" s="11"/>
      <c r="Z3041" s="11"/>
    </row>
    <row r="3042" customHeight="1" spans="1:26">
      <c r="A3042" s="11" t="str">
        <f>IFERROR(__xludf.DUMMYFUNCTION("""COMPUTED_VALUE"""),"SILVANA REZENDE F DA SILVA")</f>
        <v>SILVANA REZENDE F DA SILVA</v>
      </c>
      <c r="B3042" s="11"/>
      <c r="C3042" s="11"/>
      <c r="D3042" s="11" t="str">
        <f>IFERROR(__xludf.DUMMYFUNCTION("""COMPUTED_VALUE"""),"CIRURGIA GERAL")</f>
        <v>CIRURGIA GERAL</v>
      </c>
      <c r="E3042" s="11"/>
      <c r="F3042" s="11" t="str">
        <f>IFERROR(__xludf.DUMMYFUNCTION("""COMPUTED_VALUE"""),"US_180 CENTRAL DE REGULACAO MEDICA SAMU METROPOLITANO RECIFE")</f>
        <v>US_180 CENTRAL DE REGULACAO MEDICA SAMU METROPOLITANO RECIFE</v>
      </c>
      <c r="G3042" s="11" t="str">
        <f>IFERROR(__xludf.DUMMYFUNCTION("""COMPUTED_VALUE"""),"US_180 CENTRAL DE REGULACAO MEDICA SAMU METROPOLITANO RECIFE")</f>
        <v>US_180 CENTRAL DE REGULACAO MEDICA SAMU METROPOLITANO RECIFE</v>
      </c>
      <c r="H3042" s="11"/>
      <c r="I3042" s="11"/>
      <c r="J3042" s="11"/>
      <c r="K3042" s="11"/>
      <c r="L3042" s="11"/>
      <c r="M3042" s="11"/>
      <c r="N3042" s="30" t="str">
        <f>IFERROR(__xludf.DUMMYFUNCTION("""COMPUTED_VALUE"""),"silvanarezende@yahoo.com.br")</f>
        <v>silvanarezende@yahoo.com.br</v>
      </c>
      <c r="O3042" s="11">
        <f>IFERROR(__xludf.DUMMYFUNCTION("""COMPUTED_VALUE"""),3628092400)</f>
        <v>3628092400</v>
      </c>
      <c r="P3042" s="11"/>
      <c r="Q3042" s="11"/>
      <c r="R3042" s="11"/>
      <c r="S3042" s="11"/>
      <c r="T3042" s="11"/>
      <c r="U3042" s="11"/>
      <c r="V3042" s="11"/>
      <c r="W3042" s="11"/>
      <c r="X3042" s="11"/>
      <c r="Y3042" s="11"/>
      <c r="Z3042" s="11"/>
    </row>
    <row r="3043" customHeight="1" spans="1:26">
      <c r="A3043" s="11" t="str">
        <f>IFERROR(__xludf.DUMMYFUNCTION("""COMPUTED_VALUE"""),"JOAO PAULO CARDOSO MARTINS")</f>
        <v>JOAO PAULO CARDOSO MARTINS</v>
      </c>
      <c r="B3043" s="11"/>
      <c r="C3043" s="11"/>
      <c r="D3043" s="11" t="str">
        <f>IFERROR(__xludf.DUMMYFUNCTION("""COMPUTED_VALUE"""),"CIRURGIA GERAL")</f>
        <v>CIRURGIA GERAL</v>
      </c>
      <c r="E3043" s="11"/>
      <c r="F3043" s="11" t="str">
        <f>IFERROR(__xludf.DUMMYFUNCTION("""COMPUTED_VALUE"""),"US_180 CENTRAL DE REGULACAO MEDICA SAMU METROPOLITANO RECIFE")</f>
        <v>US_180 CENTRAL DE REGULACAO MEDICA SAMU METROPOLITANO RECIFE</v>
      </c>
      <c r="G3043" s="11" t="str">
        <f>IFERROR(__xludf.DUMMYFUNCTION("""COMPUTED_VALUE"""),"US_180 CENTRAL DE REGULACAO MEDICA SAMU METROPOLITANO RECIFE")</f>
        <v>US_180 CENTRAL DE REGULACAO MEDICA SAMU METROPOLITANO RECIFE</v>
      </c>
      <c r="H3043" s="11"/>
      <c r="I3043" s="11"/>
      <c r="J3043" s="11"/>
      <c r="K3043" s="11"/>
      <c r="L3043" s="11"/>
      <c r="M3043" s="11"/>
      <c r="N3043" s="30" t="str">
        <f>IFERROR(__xludf.DUMMYFUNCTION("""COMPUTED_VALUE"""),"jpcm@globomail.com")</f>
        <v>jpcm@globomail.com</v>
      </c>
      <c r="O3043" s="11">
        <f>IFERROR(__xludf.DUMMYFUNCTION("""COMPUTED_VALUE"""),827636407)</f>
        <v>827636407</v>
      </c>
      <c r="P3043" s="11"/>
      <c r="Q3043" s="11"/>
      <c r="R3043" s="11"/>
      <c r="S3043" s="11"/>
      <c r="T3043" s="11"/>
      <c r="U3043" s="11"/>
      <c r="V3043" s="11"/>
      <c r="W3043" s="11"/>
      <c r="X3043" s="11"/>
      <c r="Y3043" s="11"/>
      <c r="Z3043" s="11"/>
    </row>
    <row r="3044" customHeight="1" spans="1:26">
      <c r="A3044" s="11" t="str">
        <f>IFERROR(__xludf.DUMMYFUNCTION("""COMPUTED_VALUE"""),"IRLANDA CRISTINA C C SILVA")</f>
        <v>IRLANDA CRISTINA C C SILVA</v>
      </c>
      <c r="B3044" s="11"/>
      <c r="C3044" s="11"/>
      <c r="D3044" s="11" t="str">
        <f>IFERROR(__xludf.DUMMYFUNCTION("""COMPUTED_VALUE"""),"CIRURGIA GERAL")</f>
        <v>CIRURGIA GERAL</v>
      </c>
      <c r="E3044" s="11"/>
      <c r="F3044" s="11" t="str">
        <f>IFERROR(__xludf.DUMMYFUNCTION("""COMPUTED_VALUE"""),"US_180 CENTRAL DE REGULACAO MEDICA SAMU METROPOLITANO RECIFE")</f>
        <v>US_180 CENTRAL DE REGULACAO MEDICA SAMU METROPOLITANO RECIFE</v>
      </c>
      <c r="G3044" s="11" t="str">
        <f>IFERROR(__xludf.DUMMYFUNCTION("""COMPUTED_VALUE"""),"US_180 CENTRAL DE REGULACAO MEDICA SAMU METROPOLITANO RECIFE")</f>
        <v>US_180 CENTRAL DE REGULACAO MEDICA SAMU METROPOLITANO RECIFE</v>
      </c>
      <c r="H3044" s="11"/>
      <c r="I3044" s="11"/>
      <c r="J3044" s="11"/>
      <c r="K3044" s="11"/>
      <c r="L3044" s="11"/>
      <c r="M3044" s="11"/>
      <c r="N3044" s="30" t="str">
        <f>IFERROR(__xludf.DUMMYFUNCTION("""COMPUTED_VALUE"""),"ictata@hotmail.com")</f>
        <v>ictata@hotmail.com</v>
      </c>
      <c r="O3044" s="11">
        <f>IFERROR(__xludf.DUMMYFUNCTION("""COMPUTED_VALUE"""),3577818484)</f>
        <v>3577818484</v>
      </c>
      <c r="P3044" s="11"/>
      <c r="Q3044" s="11"/>
      <c r="R3044" s="11"/>
      <c r="S3044" s="11"/>
      <c r="T3044" s="11"/>
      <c r="U3044" s="11"/>
      <c r="V3044" s="11"/>
      <c r="W3044" s="11"/>
      <c r="X3044" s="11"/>
      <c r="Y3044" s="11"/>
      <c r="Z3044" s="11"/>
    </row>
    <row r="3045" customHeight="1" spans="1:26">
      <c r="A3045" s="11" t="str">
        <f>IFERROR(__xludf.DUMMYFUNCTION("""COMPUTED_VALUE"""),"MARCELL LINS MELO")</f>
        <v>MARCELL LINS MELO</v>
      </c>
      <c r="B3045" s="11"/>
      <c r="C3045" s="11"/>
      <c r="D3045" s="11" t="str">
        <f>IFERROR(__xludf.DUMMYFUNCTION("""COMPUTED_VALUE"""),"CLINICA GERAL")</f>
        <v>CLINICA GERAL</v>
      </c>
      <c r="E3045" s="11"/>
      <c r="F3045" s="11" t="str">
        <f>IFERROR(__xludf.DUMMYFUNCTION("""COMPUTED_VALUE"""),"US_180 CENTRAL DE REGULACAO MEDICA SAMU METROPOLITANO RECIFE")</f>
        <v>US_180 CENTRAL DE REGULACAO MEDICA SAMU METROPOLITANO RECIFE</v>
      </c>
      <c r="G3045" s="11" t="str">
        <f>IFERROR(__xludf.DUMMYFUNCTION("""COMPUTED_VALUE"""),"US_180 CENTRAL DE REGULACAO MEDICA SAMU METROPOLITANO RECIFE")</f>
        <v>US_180 CENTRAL DE REGULACAO MEDICA SAMU METROPOLITANO RECIFE</v>
      </c>
      <c r="H3045" s="11"/>
      <c r="I3045" s="11"/>
      <c r="J3045" s="11"/>
      <c r="K3045" s="11"/>
      <c r="L3045" s="11"/>
      <c r="M3045" s="11"/>
      <c r="N3045" s="30" t="str">
        <f>IFERROR(__xludf.DUMMYFUNCTION("""COMPUTED_VALUE"""),"marcell_lm@hotmail.com")</f>
        <v>marcell_lm@hotmail.com</v>
      </c>
      <c r="O3045" s="11">
        <f>IFERROR(__xludf.DUMMYFUNCTION("""COMPUTED_VALUE"""),5507735417)</f>
        <v>5507735417</v>
      </c>
      <c r="P3045" s="11"/>
      <c r="Q3045" s="11"/>
      <c r="R3045" s="11"/>
      <c r="S3045" s="11"/>
      <c r="T3045" s="11"/>
      <c r="U3045" s="11"/>
      <c r="V3045" s="11"/>
      <c r="W3045" s="11"/>
      <c r="X3045" s="11"/>
      <c r="Y3045" s="11"/>
      <c r="Z3045" s="11"/>
    </row>
    <row r="3046" customHeight="1" spans="1:26">
      <c r="A3046" s="11" t="str">
        <f>IFERROR(__xludf.DUMMYFUNCTION("""COMPUTED_VALUE"""),"ORLANDO LEAL CRUZ")</f>
        <v>ORLANDO LEAL CRUZ</v>
      </c>
      <c r="B3046" s="11"/>
      <c r="C3046" s="11"/>
      <c r="D3046" s="11" t="str">
        <f>IFERROR(__xludf.DUMMYFUNCTION("""COMPUTED_VALUE"""),"CIRURGIA GERAL")</f>
        <v>CIRURGIA GERAL</v>
      </c>
      <c r="E3046" s="11"/>
      <c r="F3046" s="11" t="str">
        <f>IFERROR(__xludf.DUMMYFUNCTION("""COMPUTED_VALUE"""),"US_180 CENTRAL DE REGULACAO MEDICA SAMU METROPOLITANO RECIFE")</f>
        <v>US_180 CENTRAL DE REGULACAO MEDICA SAMU METROPOLITANO RECIFE</v>
      </c>
      <c r="G3046" s="11" t="str">
        <f>IFERROR(__xludf.DUMMYFUNCTION("""COMPUTED_VALUE"""),"US_180 CENTRAL DE REGULACAO MEDICA SAMU METROPOLITANO RECIFE")</f>
        <v>US_180 CENTRAL DE REGULACAO MEDICA SAMU METROPOLITANO RECIFE</v>
      </c>
      <c r="H3046" s="11"/>
      <c r="I3046" s="11"/>
      <c r="J3046" s="11"/>
      <c r="K3046" s="11"/>
      <c r="L3046" s="11"/>
      <c r="M3046" s="11"/>
      <c r="N3046" s="30" t="str">
        <f>IFERROR(__xludf.DUMMYFUNCTION("""COMPUTED_VALUE"""),"olealcruz@bol.com.br")</f>
        <v>olealcruz@bol.com.br</v>
      </c>
      <c r="O3046" s="11">
        <f>IFERROR(__xludf.DUMMYFUNCTION("""COMPUTED_VALUE"""),38888068449)</f>
        <v>38888068449</v>
      </c>
      <c r="P3046" s="11"/>
      <c r="Q3046" s="11"/>
      <c r="R3046" s="11"/>
      <c r="S3046" s="11"/>
      <c r="T3046" s="11"/>
      <c r="U3046" s="11"/>
      <c r="V3046" s="11"/>
      <c r="W3046" s="11"/>
      <c r="X3046" s="11"/>
      <c r="Y3046" s="11"/>
      <c r="Z3046" s="11"/>
    </row>
    <row r="3047" customHeight="1" spans="1:26">
      <c r="A3047" s="11" t="str">
        <f>IFERROR(__xludf.DUMMYFUNCTION("""COMPUTED_VALUE"""),"LEONARDO JOSE DE H SILVA")</f>
        <v>LEONARDO JOSE DE H SILVA</v>
      </c>
      <c r="B3047" s="11"/>
      <c r="C3047" s="11"/>
      <c r="D3047" s="11" t="str">
        <f>IFERROR(__xludf.DUMMYFUNCTION("""COMPUTED_VALUE"""),"CIRURGIA GERAL")</f>
        <v>CIRURGIA GERAL</v>
      </c>
      <c r="E3047" s="11"/>
      <c r="F3047" s="11" t="str">
        <f>IFERROR(__xludf.DUMMYFUNCTION("""COMPUTED_VALUE"""),"US_180 CENTRAL DE REGULACAO MEDICA SAMU METROPOLITANO RECIFE")</f>
        <v>US_180 CENTRAL DE REGULACAO MEDICA SAMU METROPOLITANO RECIFE</v>
      </c>
      <c r="G3047" s="11" t="str">
        <f>IFERROR(__xludf.DUMMYFUNCTION("""COMPUTED_VALUE"""),"US_180 CENTRAL DE REGULACAO MEDICA SAMU METROPOLITANO RECIFE")</f>
        <v>US_180 CENTRAL DE REGULACAO MEDICA SAMU METROPOLITANO RECIFE</v>
      </c>
      <c r="H3047" s="11"/>
      <c r="I3047" s="11"/>
      <c r="J3047" s="11"/>
      <c r="K3047" s="11"/>
      <c r="L3047" s="11"/>
      <c r="M3047" s="11"/>
      <c r="N3047" s="30" t="str">
        <f>IFERROR(__xludf.DUMMYFUNCTION("""COMPUTED_VALUE"""),"L.HOLANDA@UOL.COM.BR")</f>
        <v>L.HOLANDA@UOL.COM.BR</v>
      </c>
      <c r="O3047" s="11">
        <f>IFERROR(__xludf.DUMMYFUNCTION("""COMPUTED_VALUE"""),23339870497)</f>
        <v>23339870497</v>
      </c>
      <c r="P3047" s="11"/>
      <c r="Q3047" s="11"/>
      <c r="R3047" s="11"/>
      <c r="S3047" s="11"/>
      <c r="T3047" s="11"/>
      <c r="U3047" s="11"/>
      <c r="V3047" s="11"/>
      <c r="W3047" s="11"/>
      <c r="X3047" s="11"/>
      <c r="Y3047" s="11"/>
      <c r="Z3047" s="11"/>
    </row>
    <row r="3048" customHeight="1" spans="1:26">
      <c r="A3048" s="11" t="str">
        <f>IFERROR(__xludf.DUMMYFUNCTION("""COMPUTED_VALUE"""),"VANESSA LEAL RAMOS DE MATTOS")</f>
        <v>VANESSA LEAL RAMOS DE MATTOS</v>
      </c>
      <c r="B3048" s="11"/>
      <c r="C3048" s="11"/>
      <c r="D3048" s="11" t="str">
        <f>IFERROR(__xludf.DUMMYFUNCTION("""COMPUTED_VALUE"""),"CIRURGIA GERAL")</f>
        <v>CIRURGIA GERAL</v>
      </c>
      <c r="E3048" s="11"/>
      <c r="F3048" s="11" t="str">
        <f>IFERROR(__xludf.DUMMYFUNCTION("""COMPUTED_VALUE"""),"US_180 CENTRAL DE REGULACAO MEDICA SAMU METROPOLITANO RECIFE")</f>
        <v>US_180 CENTRAL DE REGULACAO MEDICA SAMU METROPOLITANO RECIFE</v>
      </c>
      <c r="G3048" s="11" t="str">
        <f>IFERROR(__xludf.DUMMYFUNCTION("""COMPUTED_VALUE"""),"US_180 CENTRAL DE REGULACAO MEDICA SAMU METROPOLITANO RECIFE")</f>
        <v>US_180 CENTRAL DE REGULACAO MEDICA SAMU METROPOLITANO RECIFE</v>
      </c>
      <c r="H3048" s="11"/>
      <c r="I3048" s="11"/>
      <c r="J3048" s="11"/>
      <c r="K3048" s="11"/>
      <c r="L3048" s="11"/>
      <c r="M3048" s="11"/>
      <c r="N3048" s="30" t="str">
        <f>IFERROR(__xludf.DUMMYFUNCTION("""COMPUTED_VALUE"""),"vanessalramos@hotmail.com")</f>
        <v>vanessalramos@hotmail.com</v>
      </c>
      <c r="O3048" s="11">
        <f>IFERROR(__xludf.DUMMYFUNCTION("""COMPUTED_VALUE"""),66224900582)</f>
        <v>66224900582</v>
      </c>
      <c r="P3048" s="11"/>
      <c r="Q3048" s="11"/>
      <c r="R3048" s="11"/>
      <c r="S3048" s="11"/>
      <c r="T3048" s="11"/>
      <c r="U3048" s="11"/>
      <c r="V3048" s="11"/>
      <c r="W3048" s="11"/>
      <c r="X3048" s="11"/>
      <c r="Y3048" s="11"/>
      <c r="Z3048" s="11"/>
    </row>
    <row r="3049" customHeight="1" spans="1:26">
      <c r="A3049" s="11" t="str">
        <f>IFERROR(__xludf.DUMMYFUNCTION("""COMPUTED_VALUE"""),"SOUTERLAND THIAGO C E S GRANDO")</f>
        <v>SOUTERLAND THIAGO C E S GRANDO</v>
      </c>
      <c r="B3049" s="11"/>
      <c r="C3049" s="11"/>
      <c r="D3049" s="11" t="str">
        <f>IFERROR(__xludf.DUMMYFUNCTION("""COMPUTED_VALUE"""),"CLINICA GERAL")</f>
        <v>CLINICA GERAL</v>
      </c>
      <c r="E3049" s="11"/>
      <c r="F3049" s="11" t="str">
        <f>IFERROR(__xludf.DUMMYFUNCTION("""COMPUTED_VALUE"""),"US_180 CENTRAL DE REGULACAO MEDICA SAMU METROPOLITANO RECIFE")</f>
        <v>US_180 CENTRAL DE REGULACAO MEDICA SAMU METROPOLITANO RECIFE</v>
      </c>
      <c r="G3049" s="11" t="str">
        <f>IFERROR(__xludf.DUMMYFUNCTION("""COMPUTED_VALUE"""),"US_180 CENTRAL DE REGULACAO MEDICA SAMU METROPOLITANO RECIFE")</f>
        <v>US_180 CENTRAL DE REGULACAO MEDICA SAMU METROPOLITANO RECIFE</v>
      </c>
      <c r="H3049" s="11"/>
      <c r="I3049" s="11"/>
      <c r="J3049" s="11"/>
      <c r="K3049" s="11"/>
      <c r="L3049" s="11"/>
      <c r="M3049" s="11"/>
      <c r="N3049" s="30" t="str">
        <f>IFERROR(__xludf.DUMMYFUNCTION("""COMPUTED_VALUE"""),"thiagoxx@gmail.com")</f>
        <v>thiagoxx@gmail.com</v>
      </c>
      <c r="O3049" s="11">
        <f>IFERROR(__xludf.DUMMYFUNCTION("""COMPUTED_VALUE"""),5482501469)</f>
        <v>5482501469</v>
      </c>
      <c r="P3049" s="11"/>
      <c r="Q3049" s="11"/>
      <c r="R3049" s="11"/>
      <c r="S3049" s="11"/>
      <c r="T3049" s="11"/>
      <c r="U3049" s="11"/>
      <c r="V3049" s="11"/>
      <c r="W3049" s="11"/>
      <c r="X3049" s="11"/>
      <c r="Y3049" s="11"/>
      <c r="Z3049" s="11"/>
    </row>
    <row r="3050" customHeight="1" spans="1:26">
      <c r="A3050" s="11" t="str">
        <f>IFERROR(__xludf.DUMMYFUNCTION("""COMPUTED_VALUE"""),"LEONARDO GOMES MENEZES")</f>
        <v>LEONARDO GOMES MENEZES</v>
      </c>
      <c r="B3050" s="11"/>
      <c r="C3050" s="11"/>
      <c r="D3050" s="11" t="str">
        <f>IFERROR(__xludf.DUMMYFUNCTION("""COMPUTED_VALUE"""),"CIRURGIA GERAL ")</f>
        <v>CIRURGIA GERAL </v>
      </c>
      <c r="E3050" s="11"/>
      <c r="F3050" s="11" t="str">
        <f>IFERROR(__xludf.DUMMYFUNCTION("""COMPUTED_VALUE"""),"US_180 CENTRAL DE REGULACAO MEDICA SAMU METROPOLITANO RECIFE")</f>
        <v>US_180 CENTRAL DE REGULACAO MEDICA SAMU METROPOLITANO RECIFE</v>
      </c>
      <c r="G3050" s="11" t="str">
        <f>IFERROR(__xludf.DUMMYFUNCTION("""COMPUTED_VALUE"""),"US_180 CENTRAL DE REGULACAO MEDICA SAMU METROPOLITANO RECIFE")</f>
        <v>US_180 CENTRAL DE REGULACAO MEDICA SAMU METROPOLITANO RECIFE</v>
      </c>
      <c r="H3050" s="11"/>
      <c r="I3050" s="11"/>
      <c r="J3050" s="11"/>
      <c r="K3050" s="11"/>
      <c r="L3050" s="11"/>
      <c r="M3050" s="11"/>
      <c r="N3050" s="30" t="str">
        <f>IFERROR(__xludf.DUMMYFUNCTION("""COMPUTED_VALUE"""),"RALLEM@GMAIL.COM")</f>
        <v>RALLEM@GMAIL.COM</v>
      </c>
      <c r="O3050" s="11">
        <f>IFERROR(__xludf.DUMMYFUNCTION("""COMPUTED_VALUE"""),96021772504)</f>
        <v>96021772504</v>
      </c>
      <c r="P3050" s="11"/>
      <c r="Q3050" s="11"/>
      <c r="R3050" s="11"/>
      <c r="S3050" s="11"/>
      <c r="T3050" s="11"/>
      <c r="U3050" s="11"/>
      <c r="V3050" s="11"/>
      <c r="W3050" s="11"/>
      <c r="X3050" s="11"/>
      <c r="Y3050" s="11"/>
      <c r="Z3050" s="11"/>
    </row>
    <row r="3051" customHeight="1" spans="1:26">
      <c r="A3051" s="11" t="str">
        <f>IFERROR(__xludf.DUMMYFUNCTION("""COMPUTED_VALUE"""),"SERGIO LUIS DA SILVA CALISTO")</f>
        <v>SERGIO LUIS DA SILVA CALISTO</v>
      </c>
      <c r="B3051" s="11"/>
      <c r="C3051" s="11"/>
      <c r="D3051" s="11" t="str">
        <f>IFERROR(__xludf.DUMMYFUNCTION("""COMPUTED_VALUE"""),"CIRURGIA GERAL")</f>
        <v>CIRURGIA GERAL</v>
      </c>
      <c r="E3051" s="11"/>
      <c r="F3051" s="11" t="str">
        <f>IFERROR(__xludf.DUMMYFUNCTION("""COMPUTED_VALUE"""),"US_180 CENTRAL DE REGULACAO MEDICA SAMU METROPOLITANO RECIFE")</f>
        <v>US_180 CENTRAL DE REGULACAO MEDICA SAMU METROPOLITANO RECIFE</v>
      </c>
      <c r="G3051" s="11" t="str">
        <f>IFERROR(__xludf.DUMMYFUNCTION("""COMPUTED_VALUE"""),"US_180 CENTRAL DE REGULACAO MEDICA SAMU METROPOLITANO RECIFE")</f>
        <v>US_180 CENTRAL DE REGULACAO MEDICA SAMU METROPOLITANO RECIFE</v>
      </c>
      <c r="H3051" s="11"/>
      <c r="I3051" s="11"/>
      <c r="J3051" s="11"/>
      <c r="K3051" s="11"/>
      <c r="L3051" s="11"/>
      <c r="M3051" s="11"/>
      <c r="N3051" s="30" t="str">
        <f>IFERROR(__xludf.DUMMYFUNCTION("""COMPUTED_VALUE"""),"SERGIOCALISTO@HOTMAIL.COM")</f>
        <v>SERGIOCALISTO@HOTMAIL.COM</v>
      </c>
      <c r="O3051" s="11">
        <f>IFERROR(__xludf.DUMMYFUNCTION("""COMPUTED_VALUE"""),4317812495)</f>
        <v>4317812495</v>
      </c>
      <c r="P3051" s="11"/>
      <c r="Q3051" s="11"/>
      <c r="R3051" s="11"/>
      <c r="S3051" s="11"/>
      <c r="T3051" s="11"/>
      <c r="U3051" s="11"/>
      <c r="V3051" s="11"/>
      <c r="W3051" s="11"/>
      <c r="X3051" s="11"/>
      <c r="Y3051" s="11"/>
      <c r="Z3051" s="11"/>
    </row>
    <row r="3052" customHeight="1" spans="1:26">
      <c r="A3052" s="11" t="str">
        <f>IFERROR(__xludf.DUMMYFUNCTION("""COMPUTED_VALUE"""),"FLAVIO AUGUSTO M DE A BARBOSA")</f>
        <v>FLAVIO AUGUSTO M DE A BARBOSA</v>
      </c>
      <c r="B3052" s="11"/>
      <c r="C3052" s="11"/>
      <c r="D3052" s="11" t="str">
        <f>IFERROR(__xludf.DUMMYFUNCTION("""COMPUTED_VALUE"""),"CIRURGIA GERAL")</f>
        <v>CIRURGIA GERAL</v>
      </c>
      <c r="E3052" s="11"/>
      <c r="F3052" s="11" t="str">
        <f>IFERROR(__xludf.DUMMYFUNCTION("""COMPUTED_VALUE"""),"US_180 CENTRAL DE REGULACAO MEDICA SAMU METROPOLITANO RECIFE")</f>
        <v>US_180 CENTRAL DE REGULACAO MEDICA SAMU METROPOLITANO RECIFE</v>
      </c>
      <c r="G3052" s="11" t="str">
        <f>IFERROR(__xludf.DUMMYFUNCTION("""COMPUTED_VALUE"""),"US_180 CENTRAL DE REGULACAO MEDICA SAMU METROPOLITANO RECIFE")</f>
        <v>US_180 CENTRAL DE REGULACAO MEDICA SAMU METROPOLITANO RECIFE</v>
      </c>
      <c r="H3052" s="11"/>
      <c r="I3052" s="11"/>
      <c r="J3052" s="11"/>
      <c r="K3052" s="11"/>
      <c r="L3052" s="11"/>
      <c r="M3052" s="11"/>
      <c r="N3052" s="30" t="str">
        <f>IFERROR(__xludf.DUMMYFUNCTION("""COMPUTED_VALUE"""),"FLAVIOABARBOSA@YAHOO.COM.BR")</f>
        <v>FLAVIOABARBOSA@YAHOO.COM.BR</v>
      </c>
      <c r="O3052" s="11">
        <f>IFERROR(__xludf.DUMMYFUNCTION("""COMPUTED_VALUE"""),5239620458)</f>
        <v>5239620458</v>
      </c>
      <c r="P3052" s="11"/>
      <c r="Q3052" s="11"/>
      <c r="R3052" s="11"/>
      <c r="S3052" s="11"/>
      <c r="T3052" s="11"/>
      <c r="U3052" s="11"/>
      <c r="V3052" s="11"/>
      <c r="W3052" s="11"/>
      <c r="X3052" s="11"/>
      <c r="Y3052" s="11"/>
      <c r="Z3052" s="11"/>
    </row>
    <row r="3053" customHeight="1" spans="1:26">
      <c r="A3053" s="11" t="str">
        <f>IFERROR(__xludf.DUMMYFUNCTION("""COMPUTED_VALUE"""),"FILIPE DE SIQUEIRA A LAFAYETTE")</f>
        <v>FILIPE DE SIQUEIRA A LAFAYETTE</v>
      </c>
      <c r="B3053" s="11"/>
      <c r="C3053" s="11"/>
      <c r="D3053" s="11" t="str">
        <f>IFERROR(__xludf.DUMMYFUNCTION("""COMPUTED_VALUE"""),"CIRURGIA GERAL")</f>
        <v>CIRURGIA GERAL</v>
      </c>
      <c r="E3053" s="11"/>
      <c r="F3053" s="11" t="str">
        <f>IFERROR(__xludf.DUMMYFUNCTION("""COMPUTED_VALUE"""),"US_180 CENTRAL DE REGULACAO MEDICA SAMU METROPOLITANO RECIFE")</f>
        <v>US_180 CENTRAL DE REGULACAO MEDICA SAMU METROPOLITANO RECIFE</v>
      </c>
      <c r="G3053" s="11" t="str">
        <f>IFERROR(__xludf.DUMMYFUNCTION("""COMPUTED_VALUE"""),"US_180 CENTRAL DE REGULACAO MEDICA SAMU METROPOLITANO RECIFE")</f>
        <v>US_180 CENTRAL DE REGULACAO MEDICA SAMU METROPOLITANO RECIFE</v>
      </c>
      <c r="H3053" s="11"/>
      <c r="I3053" s="11"/>
      <c r="J3053" s="11"/>
      <c r="K3053" s="11"/>
      <c r="L3053" s="11"/>
      <c r="M3053" s="11"/>
      <c r="N3053" s="30" t="str">
        <f>IFERROR(__xludf.DUMMYFUNCTION("""COMPUTED_VALUE"""),"FILIPELAFAYETTE@GMAIL.COM")</f>
        <v>FILIPELAFAYETTE@GMAIL.COM</v>
      </c>
      <c r="O3053" s="11">
        <f>IFERROR(__xludf.DUMMYFUNCTION("""COMPUTED_VALUE"""),5217035498)</f>
        <v>5217035498</v>
      </c>
      <c r="P3053" s="11"/>
      <c r="Q3053" s="11"/>
      <c r="R3053" s="11"/>
      <c r="S3053" s="11"/>
      <c r="T3053" s="11"/>
      <c r="U3053" s="11"/>
      <c r="V3053" s="11"/>
      <c r="W3053" s="11"/>
      <c r="X3053" s="11"/>
      <c r="Y3053" s="11"/>
      <c r="Z3053" s="11"/>
    </row>
    <row r="3054" customHeight="1" spans="1:26">
      <c r="A3054" s="11" t="str">
        <f>IFERROR(__xludf.DUMMYFUNCTION("""COMPUTED_VALUE"""),"CAMILA DE OLIVEIRA RAMALHO")</f>
        <v>CAMILA DE OLIVEIRA RAMALHO</v>
      </c>
      <c r="B3054" s="11"/>
      <c r="C3054" s="11"/>
      <c r="D3054" s="11" t="str">
        <f>IFERROR(__xludf.DUMMYFUNCTION("""COMPUTED_VALUE"""),"CIRURGIA GERAL")</f>
        <v>CIRURGIA GERAL</v>
      </c>
      <c r="E3054" s="11"/>
      <c r="F3054" s="11" t="str">
        <f>IFERROR(__xludf.DUMMYFUNCTION("""COMPUTED_VALUE"""),"US_180 CENTRAL DE REGULACAO MEDICA SAMU METROPOLITANO RECIFE")</f>
        <v>US_180 CENTRAL DE REGULACAO MEDICA SAMU METROPOLITANO RECIFE</v>
      </c>
      <c r="G3054" s="11" t="str">
        <f>IFERROR(__xludf.DUMMYFUNCTION("""COMPUTED_VALUE"""),"US_180 CENTRAL DE REGULACAO MEDICA SAMU METROPOLITANO RECIFE")</f>
        <v>US_180 CENTRAL DE REGULACAO MEDICA SAMU METROPOLITANO RECIFE</v>
      </c>
      <c r="H3054" s="11"/>
      <c r="I3054" s="11"/>
      <c r="J3054" s="11"/>
      <c r="K3054" s="11"/>
      <c r="L3054" s="11"/>
      <c r="M3054" s="11"/>
      <c r="N3054" s="30" t="str">
        <f>IFERROR(__xludf.DUMMYFUNCTION("""COMPUTED_VALUE"""),"CCAMILARAMALHO@HOTMAIL.COM")</f>
        <v>CCAMILARAMALHO@HOTMAIL.COM</v>
      </c>
      <c r="O3054" s="11">
        <f>IFERROR(__xludf.DUMMYFUNCTION("""COMPUTED_VALUE"""),4604157430)</f>
        <v>4604157430</v>
      </c>
      <c r="P3054" s="11"/>
      <c r="Q3054" s="11"/>
      <c r="R3054" s="11"/>
      <c r="S3054" s="11"/>
      <c r="T3054" s="11"/>
      <c r="U3054" s="11"/>
      <c r="V3054" s="11"/>
      <c r="W3054" s="11"/>
      <c r="X3054" s="11"/>
      <c r="Y3054" s="11"/>
      <c r="Z3054" s="11"/>
    </row>
    <row r="3055" customHeight="1" spans="1:26">
      <c r="A3055" s="11" t="str">
        <f>IFERROR(__xludf.DUMMYFUNCTION("""COMPUTED_VALUE"""),"JOSE WESLLEY SILVA BEZERRA")</f>
        <v>JOSE WESLLEY SILVA BEZERRA</v>
      </c>
      <c r="B3055" s="11"/>
      <c r="C3055" s="11"/>
      <c r="D3055" s="11" t="str">
        <f>IFERROR(__xludf.DUMMYFUNCTION("""COMPUTED_VALUE"""),"CIRURGIA GERAL")</f>
        <v>CIRURGIA GERAL</v>
      </c>
      <c r="E3055" s="11"/>
      <c r="F3055" s="11" t="str">
        <f>IFERROR(__xludf.DUMMYFUNCTION("""COMPUTED_VALUE"""),"US_180 CENTRAL DE REGULACAO MEDICA SAMU METROPOLITANO RECIFE")</f>
        <v>US_180 CENTRAL DE REGULACAO MEDICA SAMU METROPOLITANO RECIFE</v>
      </c>
      <c r="G3055" s="11" t="str">
        <f>IFERROR(__xludf.DUMMYFUNCTION("""COMPUTED_VALUE"""),"US_180 CENTRAL DE REGULACAO MEDICA SAMU METROPOLITANO RECIFE")</f>
        <v>US_180 CENTRAL DE REGULACAO MEDICA SAMU METROPOLITANO RECIFE</v>
      </c>
      <c r="H3055" s="11"/>
      <c r="I3055" s="11"/>
      <c r="J3055" s="11"/>
      <c r="K3055" s="11"/>
      <c r="L3055" s="11"/>
      <c r="M3055" s="11"/>
      <c r="N3055" s="30" t="str">
        <f>IFERROR(__xludf.DUMMYFUNCTION("""COMPUTED_VALUE"""),"WESLLEYBEZERRA@HOTMAIL.COM")</f>
        <v>WESLLEYBEZERRA@HOTMAIL.COM</v>
      </c>
      <c r="O3055" s="11">
        <f>IFERROR(__xludf.DUMMYFUNCTION("""COMPUTED_VALUE"""),4598387416)</f>
        <v>4598387416</v>
      </c>
      <c r="P3055" s="11"/>
      <c r="Q3055" s="11"/>
      <c r="R3055" s="11"/>
      <c r="S3055" s="11"/>
      <c r="T3055" s="11"/>
      <c r="U3055" s="11"/>
      <c r="V3055" s="11"/>
      <c r="W3055" s="11"/>
      <c r="X3055" s="11"/>
      <c r="Y3055" s="11"/>
      <c r="Z3055" s="11"/>
    </row>
    <row r="3056" customHeight="1" spans="1:26">
      <c r="A3056" s="11" t="str">
        <f>IFERROR(__xludf.DUMMYFUNCTION("""COMPUTED_VALUE"""),"DANILO BELEM R DE HOLANDA")</f>
        <v>DANILO BELEM R DE HOLANDA</v>
      </c>
      <c r="B3056" s="11"/>
      <c r="C3056" s="11"/>
      <c r="D3056" s="11" t="str">
        <f>IFERROR(__xludf.DUMMYFUNCTION("""COMPUTED_VALUE"""),"CIRURGIA GERAL")</f>
        <v>CIRURGIA GERAL</v>
      </c>
      <c r="E3056" s="11"/>
      <c r="F3056" s="11" t="str">
        <f>IFERROR(__xludf.DUMMYFUNCTION("""COMPUTED_VALUE"""),"US_180 CENTRAL DE REGULACAO MEDICA SAMU METROPOLITANO RECIFE")</f>
        <v>US_180 CENTRAL DE REGULACAO MEDICA SAMU METROPOLITANO RECIFE</v>
      </c>
      <c r="G3056" s="11" t="str">
        <f>IFERROR(__xludf.DUMMYFUNCTION("""COMPUTED_VALUE"""),"US_180 CENTRAL DE REGULACAO MEDICA SAMU METROPOLITANO RECIFE")</f>
        <v>US_180 CENTRAL DE REGULACAO MEDICA SAMU METROPOLITANO RECIFE</v>
      </c>
      <c r="H3056" s="11"/>
      <c r="I3056" s="11"/>
      <c r="J3056" s="11"/>
      <c r="K3056" s="11"/>
      <c r="L3056" s="11"/>
      <c r="M3056" s="11"/>
      <c r="N3056" s="30" t="str">
        <f>IFERROR(__xludf.DUMMYFUNCTION("""COMPUTED_VALUE"""),"DANILOBRHOLANDA@HOTMAIL.COM")</f>
        <v>DANILOBRHOLANDA@HOTMAIL.COM</v>
      </c>
      <c r="O3056" s="11">
        <f>IFERROR(__xludf.DUMMYFUNCTION("""COMPUTED_VALUE"""),896464440)</f>
        <v>896464440</v>
      </c>
      <c r="P3056" s="11"/>
      <c r="Q3056" s="11"/>
      <c r="R3056" s="11"/>
      <c r="S3056" s="11"/>
      <c r="T3056" s="11"/>
      <c r="U3056" s="11"/>
      <c r="V3056" s="11"/>
      <c r="W3056" s="11"/>
      <c r="X3056" s="11"/>
      <c r="Y3056" s="11"/>
      <c r="Z3056" s="11"/>
    </row>
    <row r="3057" customHeight="1" spans="1:26">
      <c r="A3057" s="11" t="str">
        <f>IFERROR(__xludf.DUMMYFUNCTION("""COMPUTED_VALUE"""),"SARAH CAMPOS VALENCA FERREIRA")</f>
        <v>SARAH CAMPOS VALENCA FERREIRA</v>
      </c>
      <c r="B3057" s="11"/>
      <c r="C3057" s="11"/>
      <c r="D3057" s="11" t="str">
        <f>IFERROR(__xludf.DUMMYFUNCTION("""COMPUTED_VALUE"""),"CIRURGIA GERAL")</f>
        <v>CIRURGIA GERAL</v>
      </c>
      <c r="E3057" s="11"/>
      <c r="F3057" s="11" t="str">
        <f>IFERROR(__xludf.DUMMYFUNCTION("""COMPUTED_VALUE"""),"US_180 CENTRAL DE REGULACAO MEDICA SAMU METROPOLITANO RECIFE")</f>
        <v>US_180 CENTRAL DE REGULACAO MEDICA SAMU METROPOLITANO RECIFE</v>
      </c>
      <c r="G3057" s="11" t="str">
        <f>IFERROR(__xludf.DUMMYFUNCTION("""COMPUTED_VALUE"""),"US_180 CENTRAL DE REGULACAO MEDICA SAMU METROPOLITANO RECIFE")</f>
        <v>US_180 CENTRAL DE REGULACAO MEDICA SAMU METROPOLITANO RECIFE</v>
      </c>
      <c r="H3057" s="11"/>
      <c r="I3057" s="11"/>
      <c r="J3057" s="11"/>
      <c r="K3057" s="11"/>
      <c r="L3057" s="11"/>
      <c r="M3057" s="11"/>
      <c r="N3057" s="30" t="str">
        <f>IFERROR(__xludf.DUMMYFUNCTION("""COMPUTED_VALUE"""),"SARAHVALENCA@HOTMAIL.COM")</f>
        <v>SARAHVALENCA@HOTMAIL.COM</v>
      </c>
      <c r="O3057" s="11">
        <f>IFERROR(__xludf.DUMMYFUNCTION("""COMPUTED_VALUE"""),6302626404)</f>
        <v>6302626404</v>
      </c>
      <c r="P3057" s="11"/>
      <c r="Q3057" s="11"/>
      <c r="R3057" s="11"/>
      <c r="S3057" s="11"/>
      <c r="T3057" s="11"/>
      <c r="U3057" s="11"/>
      <c r="V3057" s="11"/>
      <c r="W3057" s="11"/>
      <c r="X3057" s="11"/>
      <c r="Y3057" s="11"/>
      <c r="Z3057" s="11"/>
    </row>
    <row r="3058" customHeight="1" spans="1:26">
      <c r="A3058" s="11" t="str">
        <f>IFERROR(__xludf.DUMMYFUNCTION("""COMPUTED_VALUE"""),"CARLOS ESDRAS ALMEIDA MORAES")</f>
        <v>CARLOS ESDRAS ALMEIDA MORAES</v>
      </c>
      <c r="B3058" s="11"/>
      <c r="C3058" s="11"/>
      <c r="D3058" s="11" t="str">
        <f>IFERROR(__xludf.DUMMYFUNCTION("""COMPUTED_VALUE"""),"CIRURGIA GERAL")</f>
        <v>CIRURGIA GERAL</v>
      </c>
      <c r="E3058" s="11"/>
      <c r="F3058" s="11" t="str">
        <f>IFERROR(__xludf.DUMMYFUNCTION("""COMPUTED_VALUE"""),"US_180 CENTRAL DE REGULACAO MEDICA SAMU METROPOLITANO RECIFE")</f>
        <v>US_180 CENTRAL DE REGULACAO MEDICA SAMU METROPOLITANO RECIFE</v>
      </c>
      <c r="G3058" s="11" t="str">
        <f>IFERROR(__xludf.DUMMYFUNCTION("""COMPUTED_VALUE"""),"US_180 CENTRAL DE REGULACAO MEDICA SAMU METROPOLITANO RECIFE")</f>
        <v>US_180 CENTRAL DE REGULACAO MEDICA SAMU METROPOLITANO RECIFE</v>
      </c>
      <c r="H3058" s="11"/>
      <c r="I3058" s="11"/>
      <c r="J3058" s="11"/>
      <c r="K3058" s="11"/>
      <c r="L3058" s="11"/>
      <c r="M3058" s="11"/>
      <c r="N3058" s="30" t="str">
        <f>IFERROR(__xludf.DUMMYFUNCTION("""COMPUTED_VALUE"""),"CARLOS.ESDRAS@GMAIL.COM")</f>
        <v>CARLOS.ESDRAS@GMAIL.COM</v>
      </c>
      <c r="O3058" s="11">
        <f>IFERROR(__xludf.DUMMYFUNCTION("""COMPUTED_VALUE"""),4558649428)</f>
        <v>4558649428</v>
      </c>
      <c r="P3058" s="11"/>
      <c r="Q3058" s="11"/>
      <c r="R3058" s="11"/>
      <c r="S3058" s="11"/>
      <c r="T3058" s="11"/>
      <c r="U3058" s="11"/>
      <c r="V3058" s="11"/>
      <c r="W3058" s="11"/>
      <c r="X3058" s="11"/>
      <c r="Y3058" s="11"/>
      <c r="Z3058" s="11"/>
    </row>
    <row r="3059" customHeight="1" spans="1:26">
      <c r="A3059" s="11" t="str">
        <f>IFERROR(__xludf.DUMMYFUNCTION("""COMPUTED_VALUE"""),"FABIO JOSE DA SILVA MIRANDA")</f>
        <v>FABIO JOSE DA SILVA MIRANDA</v>
      </c>
      <c r="B3059" s="11"/>
      <c r="C3059" s="11"/>
      <c r="D3059" s="11" t="str">
        <f>IFERROR(__xludf.DUMMYFUNCTION("""COMPUTED_VALUE"""),"CIRURGIA GERAL")</f>
        <v>CIRURGIA GERAL</v>
      </c>
      <c r="E3059" s="11"/>
      <c r="F3059" s="11" t="str">
        <f>IFERROR(__xludf.DUMMYFUNCTION("""COMPUTED_VALUE"""),"US_180 CENTRAL DE REGULACAO MEDICA SAMU METROPOLITANO RECIFE")</f>
        <v>US_180 CENTRAL DE REGULACAO MEDICA SAMU METROPOLITANO RECIFE</v>
      </c>
      <c r="G3059" s="11" t="str">
        <f>IFERROR(__xludf.DUMMYFUNCTION("""COMPUTED_VALUE"""),"US_180 CENTRAL DE REGULACAO MEDICA SAMU METROPOLITANO RECIFE")</f>
        <v>US_180 CENTRAL DE REGULACAO MEDICA SAMU METROPOLITANO RECIFE</v>
      </c>
      <c r="H3059" s="11"/>
      <c r="I3059" s="11"/>
      <c r="J3059" s="11"/>
      <c r="K3059" s="11"/>
      <c r="L3059" s="11"/>
      <c r="M3059" s="11"/>
      <c r="N3059" s="30" t="str">
        <f>IFERROR(__xludf.DUMMYFUNCTION("""COMPUTED_VALUE"""),"FABIOMIRANDAMCZ@YAHOO.COM.BR")</f>
        <v>FABIOMIRANDAMCZ@YAHOO.COM.BR</v>
      </c>
      <c r="O3059" s="11">
        <f>IFERROR(__xludf.DUMMYFUNCTION("""COMPUTED_VALUE"""),1122898436)</f>
        <v>1122898436</v>
      </c>
      <c r="P3059" s="11"/>
      <c r="Q3059" s="11"/>
      <c r="R3059" s="11"/>
      <c r="S3059" s="11"/>
      <c r="T3059" s="11"/>
      <c r="U3059" s="11"/>
      <c r="V3059" s="11"/>
      <c r="W3059" s="11"/>
      <c r="X3059" s="11"/>
      <c r="Y3059" s="11"/>
      <c r="Z3059" s="11"/>
    </row>
    <row r="3060" customHeight="1" spans="1:26">
      <c r="A3060" s="11" t="str">
        <f>IFERROR(__xludf.DUMMYFUNCTION("""COMPUTED_VALUE"""),"TIAGO MANOEL MARQUES")</f>
        <v>TIAGO MANOEL MARQUES</v>
      </c>
      <c r="B3060" s="11"/>
      <c r="C3060" s="11"/>
      <c r="D3060" s="11" t="str">
        <f>IFERROR(__xludf.DUMMYFUNCTION("""COMPUTED_VALUE"""),"CIRURGIA GERAL")</f>
        <v>CIRURGIA GERAL</v>
      </c>
      <c r="E3060" s="11"/>
      <c r="F3060" s="11" t="str">
        <f>IFERROR(__xludf.DUMMYFUNCTION("""COMPUTED_VALUE"""),"US_180 CENTRAL DE REGULACAO MEDICA SAMU METROPOLITANO RECIFE")</f>
        <v>US_180 CENTRAL DE REGULACAO MEDICA SAMU METROPOLITANO RECIFE</v>
      </c>
      <c r="G3060" s="11" t="str">
        <f>IFERROR(__xludf.DUMMYFUNCTION("""COMPUTED_VALUE"""),"US_180 CENTRAL DE REGULACAO MEDICA SAMU METROPOLITANO RECIFE")</f>
        <v>US_180 CENTRAL DE REGULACAO MEDICA SAMU METROPOLITANO RECIFE</v>
      </c>
      <c r="H3060" s="11"/>
      <c r="I3060" s="11"/>
      <c r="J3060" s="11"/>
      <c r="K3060" s="11"/>
      <c r="L3060" s="11"/>
      <c r="M3060" s="11"/>
      <c r="N3060" s="30" t="str">
        <f>IFERROR(__xludf.DUMMYFUNCTION("""COMPUTED_VALUE"""),"TIAGOMANOEL.MT@HOTMAIL.COM")</f>
        <v>TIAGOMANOEL.MT@HOTMAIL.COM</v>
      </c>
      <c r="O3060" s="11">
        <f>IFERROR(__xludf.DUMMYFUNCTION("""COMPUTED_VALUE"""),91293502120)</f>
        <v>91293502120</v>
      </c>
      <c r="P3060" s="11"/>
      <c r="Q3060" s="11"/>
      <c r="R3060" s="11"/>
      <c r="S3060" s="11"/>
      <c r="T3060" s="11"/>
      <c r="U3060" s="11"/>
      <c r="V3060" s="11"/>
      <c r="W3060" s="11"/>
      <c r="X3060" s="11"/>
      <c r="Y3060" s="11"/>
      <c r="Z3060" s="11"/>
    </row>
    <row r="3061" customHeight="1" spans="1:26">
      <c r="A3061" s="11" t="str">
        <f>IFERROR(__xludf.DUMMYFUNCTION("""COMPUTED_VALUE"""),"LEONARDO CORDEIRO CAMPELO")</f>
        <v>LEONARDO CORDEIRO CAMPELO</v>
      </c>
      <c r="B3061" s="11"/>
      <c r="C3061" s="11"/>
      <c r="D3061" s="11" t="str">
        <f>IFERROR(__xludf.DUMMYFUNCTION("""COMPUTED_VALUE"""),"CIRURGIA GERAL  / MEDICINA INTENSIVA")</f>
        <v>CIRURGIA GERAL  / MEDICINA INTENSIVA</v>
      </c>
      <c r="E3061" s="11"/>
      <c r="F3061" s="11" t="str">
        <f>IFERROR(__xludf.DUMMYFUNCTION("""COMPUTED_VALUE"""),"US_180 CENTRAL DE REGULACAO MEDICA SAMU METROPOLITANO RECIFE")</f>
        <v>US_180 CENTRAL DE REGULACAO MEDICA SAMU METROPOLITANO RECIFE</v>
      </c>
      <c r="G3061" s="11" t="str">
        <f>IFERROR(__xludf.DUMMYFUNCTION("""COMPUTED_VALUE"""),"US_180 CENTRAL DE REGULACAO MEDICA SAMU METROPOLITANO RECIFE")</f>
        <v>US_180 CENTRAL DE REGULACAO MEDICA SAMU METROPOLITANO RECIFE</v>
      </c>
      <c r="H3061" s="11"/>
      <c r="I3061" s="11"/>
      <c r="J3061" s="11"/>
      <c r="K3061" s="11"/>
      <c r="L3061" s="11"/>
      <c r="M3061" s="11"/>
      <c r="N3061" s="30" t="str">
        <f>IFERROR(__xludf.DUMMYFUNCTION("""COMPUTED_VALUE"""),"LEOCCAMPELO@YAHOO.COM.BR")</f>
        <v>LEOCCAMPELO@YAHOO.COM.BR</v>
      </c>
      <c r="O3061" s="11">
        <f>IFERROR(__xludf.DUMMYFUNCTION("""COMPUTED_VALUE"""),99541262449)</f>
        <v>99541262449</v>
      </c>
      <c r="P3061" s="11"/>
      <c r="Q3061" s="11"/>
      <c r="R3061" s="11"/>
      <c r="S3061" s="11"/>
      <c r="T3061" s="11"/>
      <c r="U3061" s="11"/>
      <c r="V3061" s="11"/>
      <c r="W3061" s="11"/>
      <c r="X3061" s="11"/>
      <c r="Y3061" s="11"/>
      <c r="Z3061" s="11"/>
    </row>
    <row r="3062" customHeight="1" spans="1:26">
      <c r="A3062" s="11" t="str">
        <f>IFERROR(__xludf.DUMMYFUNCTION("""COMPUTED_VALUE"""),"DANILO JOSE V PEREIRA")</f>
        <v>DANILO JOSE V PEREIRA</v>
      </c>
      <c r="B3062" s="11"/>
      <c r="C3062" s="11"/>
      <c r="D3062" s="11" t="str">
        <f>IFERROR(__xludf.DUMMYFUNCTION("""COMPUTED_VALUE"""),"CIRURGIA GERAL")</f>
        <v>CIRURGIA GERAL</v>
      </c>
      <c r="E3062" s="11"/>
      <c r="F3062" s="11" t="str">
        <f>IFERROR(__xludf.DUMMYFUNCTION("""COMPUTED_VALUE"""),"US_180 CENTRAL DE REGULACAO MEDICA SAMU METROPOLITANO RECIFE")</f>
        <v>US_180 CENTRAL DE REGULACAO MEDICA SAMU METROPOLITANO RECIFE</v>
      </c>
      <c r="G3062" s="11" t="str">
        <f>IFERROR(__xludf.DUMMYFUNCTION("""COMPUTED_VALUE"""),"US_180 CENTRAL DE REGULACAO MEDICA SAMU METROPOLITANO RECIFE")</f>
        <v>US_180 CENTRAL DE REGULACAO MEDICA SAMU METROPOLITANO RECIFE</v>
      </c>
      <c r="H3062" s="11"/>
      <c r="I3062" s="11"/>
      <c r="J3062" s="11"/>
      <c r="K3062" s="11"/>
      <c r="L3062" s="11"/>
      <c r="M3062" s="11"/>
      <c r="N3062" s="11"/>
      <c r="O3062" s="11">
        <f>IFERROR(__xludf.DUMMYFUNCTION("""COMPUTED_VALUE"""),3653537444)</f>
        <v>3653537444</v>
      </c>
      <c r="P3062" s="11"/>
      <c r="Q3062" s="11"/>
      <c r="R3062" s="11"/>
      <c r="S3062" s="11"/>
      <c r="T3062" s="11"/>
      <c r="U3062" s="11"/>
      <c r="V3062" s="11"/>
      <c r="W3062" s="11"/>
      <c r="X3062" s="11"/>
      <c r="Y3062" s="11"/>
      <c r="Z3062" s="11"/>
    </row>
    <row r="3063" customHeight="1" spans="1:26">
      <c r="A3063" s="11" t="str">
        <f>IFERROR(__xludf.DUMMYFUNCTION("""COMPUTED_VALUE"""),"RODRIGO MEDEIROS B ARRUDA")</f>
        <v>RODRIGO MEDEIROS B ARRUDA</v>
      </c>
      <c r="B3063" s="11"/>
      <c r="C3063" s="11"/>
      <c r="D3063" s="11" t="str">
        <f>IFERROR(__xludf.DUMMYFUNCTION("""COMPUTED_VALUE"""),"CLINICA GERAL")</f>
        <v>CLINICA GERAL</v>
      </c>
      <c r="E3063" s="11"/>
      <c r="F3063" s="11" t="str">
        <f>IFERROR(__xludf.DUMMYFUNCTION("""COMPUTED_VALUE"""),"US_180 CENTRAL DE REGULACAO MEDICA SAMU METROPOLITANO RECIFE")</f>
        <v>US_180 CENTRAL DE REGULACAO MEDICA SAMU METROPOLITANO RECIFE</v>
      </c>
      <c r="G3063" s="11" t="str">
        <f>IFERROR(__xludf.DUMMYFUNCTION("""COMPUTED_VALUE"""),"US_180 CENTRAL DE REGULACAO MEDICA SAMU METROPOLITANO RECIFE")</f>
        <v>US_180 CENTRAL DE REGULACAO MEDICA SAMU METROPOLITANO RECIFE</v>
      </c>
      <c r="H3063" s="11"/>
      <c r="I3063" s="11"/>
      <c r="J3063" s="11"/>
      <c r="K3063" s="11"/>
      <c r="L3063" s="11"/>
      <c r="M3063" s="11"/>
      <c r="N3063" s="30" t="str">
        <f>IFERROR(__xludf.DUMMYFUNCTION("""COMPUTED_VALUE"""),"rodrigo_fsr@hotmail.com")</f>
        <v>rodrigo_fsr@hotmail.com</v>
      </c>
      <c r="O3063" s="11">
        <f>IFERROR(__xludf.DUMMYFUNCTION("""COMPUTED_VALUE"""),8462708460)</f>
        <v>8462708460</v>
      </c>
      <c r="P3063" s="11"/>
      <c r="Q3063" s="11"/>
      <c r="R3063" s="11"/>
      <c r="S3063" s="11"/>
      <c r="T3063" s="11"/>
      <c r="U3063" s="11"/>
      <c r="V3063" s="11"/>
      <c r="W3063" s="11"/>
      <c r="X3063" s="11"/>
      <c r="Y3063" s="11"/>
      <c r="Z3063" s="11"/>
    </row>
    <row r="3064" customHeight="1" spans="1:26">
      <c r="A3064" s="11" t="str">
        <f>IFERROR(__xludf.DUMMYFUNCTION("""COMPUTED_VALUE"""),"RENATA PONTES DUARTE")</f>
        <v>RENATA PONTES DUARTE</v>
      </c>
      <c r="B3064" s="11"/>
      <c r="C3064" s="11"/>
      <c r="D3064" s="11" t="str">
        <f>IFERROR(__xludf.DUMMYFUNCTION("""COMPUTED_VALUE"""),"CLINICA GERAL")</f>
        <v>CLINICA GERAL</v>
      </c>
      <c r="E3064" s="11"/>
      <c r="F3064" s="11" t="str">
        <f>IFERROR(__xludf.DUMMYFUNCTION("""COMPUTED_VALUE"""),"US_180 CENTRAL DE REGULACAO MEDICA SAMU METROPOLITANO RECIFE")</f>
        <v>US_180 CENTRAL DE REGULACAO MEDICA SAMU METROPOLITANO RECIFE</v>
      </c>
      <c r="G3064" s="11" t="str">
        <f>IFERROR(__xludf.DUMMYFUNCTION("""COMPUTED_VALUE"""),"US_180 CENTRAL DE REGULACAO MEDICA SAMU METROPOLITANO RECIFE")</f>
        <v>US_180 CENTRAL DE REGULACAO MEDICA SAMU METROPOLITANO RECIFE</v>
      </c>
      <c r="H3064" s="11"/>
      <c r="I3064" s="11"/>
      <c r="J3064" s="11"/>
      <c r="K3064" s="11"/>
      <c r="L3064" s="11"/>
      <c r="M3064" s="11"/>
      <c r="N3064" s="30" t="str">
        <f>IFERROR(__xludf.DUMMYFUNCTION("""COMPUTED_VALUE"""),"nata_pontes@hotmail.com")</f>
        <v>nata_pontes@hotmail.com</v>
      </c>
      <c r="O3064" s="11">
        <f>IFERROR(__xludf.DUMMYFUNCTION("""COMPUTED_VALUE"""),7700868450)</f>
        <v>7700868450</v>
      </c>
      <c r="P3064" s="11"/>
      <c r="Q3064" s="11"/>
      <c r="R3064" s="11"/>
      <c r="S3064" s="11"/>
      <c r="T3064" s="11"/>
      <c r="U3064" s="11"/>
      <c r="V3064" s="11"/>
      <c r="W3064" s="11"/>
      <c r="X3064" s="11"/>
      <c r="Y3064" s="11"/>
      <c r="Z3064" s="11"/>
    </row>
    <row r="3065" customHeight="1" spans="1:26">
      <c r="A3065" s="11" t="str">
        <f>IFERROR(__xludf.DUMMYFUNCTION("""COMPUTED_VALUE"""),"BRUNO BISPO DE MELO")</f>
        <v>BRUNO BISPO DE MELO</v>
      </c>
      <c r="B3065" s="11"/>
      <c r="C3065" s="11"/>
      <c r="D3065" s="11" t="str">
        <f>IFERROR(__xludf.DUMMYFUNCTION("""COMPUTED_VALUE"""),"CLINICA GERAL")</f>
        <v>CLINICA GERAL</v>
      </c>
      <c r="E3065" s="11"/>
      <c r="F3065" s="11" t="str">
        <f>IFERROR(__xludf.DUMMYFUNCTION("""COMPUTED_VALUE"""),"US_180 CENTRAL DE REGULACAO MEDICA SAMU METROPOLITANO RECIFE")</f>
        <v>US_180 CENTRAL DE REGULACAO MEDICA SAMU METROPOLITANO RECIFE</v>
      </c>
      <c r="G3065" s="11" t="str">
        <f>IFERROR(__xludf.DUMMYFUNCTION("""COMPUTED_VALUE"""),"US_180 CENTRAL DE REGULACAO MEDICA SAMU METROPOLITANO RECIFE")</f>
        <v>US_180 CENTRAL DE REGULACAO MEDICA SAMU METROPOLITANO RECIFE</v>
      </c>
      <c r="H3065" s="11"/>
      <c r="I3065" s="11"/>
      <c r="J3065" s="11"/>
      <c r="K3065" s="11"/>
      <c r="L3065" s="11"/>
      <c r="M3065" s="11"/>
      <c r="N3065" s="30" t="str">
        <f>IFERROR(__xludf.DUMMYFUNCTION("""COMPUTED_VALUE"""),"brunobispo@hotmail.com.br")</f>
        <v>brunobispo@hotmail.com.br</v>
      </c>
      <c r="O3065" s="11">
        <f>IFERROR(__xludf.DUMMYFUNCTION("""COMPUTED_VALUE"""),6943633406)</f>
        <v>6943633406</v>
      </c>
      <c r="P3065" s="11"/>
      <c r="Q3065" s="11"/>
      <c r="R3065" s="11"/>
      <c r="S3065" s="11"/>
      <c r="T3065" s="11"/>
      <c r="U3065" s="11"/>
      <c r="V3065" s="11"/>
      <c r="W3065" s="11"/>
      <c r="X3065" s="11"/>
      <c r="Y3065" s="11"/>
      <c r="Z3065" s="11"/>
    </row>
    <row r="3066" customHeight="1" spans="1:26">
      <c r="A3066" s="11" t="str">
        <f>IFERROR(__xludf.DUMMYFUNCTION("""COMPUTED_VALUE"""),"MARIALIA CAROLINA B DE MOURA")</f>
        <v>MARIALIA CAROLINA B DE MOURA</v>
      </c>
      <c r="B3066" s="11"/>
      <c r="C3066" s="11"/>
      <c r="D3066" s="11" t="str">
        <f>IFERROR(__xludf.DUMMYFUNCTION("""COMPUTED_VALUE"""),"CLINICA GERAL")</f>
        <v>CLINICA GERAL</v>
      </c>
      <c r="E3066" s="11"/>
      <c r="F3066" s="11" t="str">
        <f>IFERROR(__xludf.DUMMYFUNCTION("""COMPUTED_VALUE"""),"US_180 CENTRAL DE REGULACAO MEDICA SAMU METROPOLITANO RECIFE")</f>
        <v>US_180 CENTRAL DE REGULACAO MEDICA SAMU METROPOLITANO RECIFE</v>
      </c>
      <c r="G3066" s="11" t="str">
        <f>IFERROR(__xludf.DUMMYFUNCTION("""COMPUTED_VALUE"""),"US_180 CENTRAL DE REGULACAO MEDICA SAMU METROPOLITANO RECIFE")</f>
        <v>US_180 CENTRAL DE REGULACAO MEDICA SAMU METROPOLITANO RECIFE</v>
      </c>
      <c r="H3066" s="11"/>
      <c r="I3066" s="11"/>
      <c r="J3066" s="11"/>
      <c r="K3066" s="11"/>
      <c r="L3066" s="11"/>
      <c r="M3066" s="11"/>
      <c r="N3066" s="30" t="str">
        <f>IFERROR(__xludf.DUMMYFUNCTION("""COMPUTED_VALUE"""),"mariliabragam@hotmail.com")</f>
        <v>mariliabragam@hotmail.com</v>
      </c>
      <c r="O3066" s="11">
        <f>IFERROR(__xludf.DUMMYFUNCTION("""COMPUTED_VALUE"""),9003024456)</f>
        <v>9003024456</v>
      </c>
      <c r="P3066" s="11"/>
      <c r="Q3066" s="11"/>
      <c r="R3066" s="11"/>
      <c r="S3066" s="11"/>
      <c r="T3066" s="11"/>
      <c r="U3066" s="11"/>
      <c r="V3066" s="11"/>
      <c r="W3066" s="11"/>
      <c r="X3066" s="11"/>
      <c r="Y3066" s="11"/>
      <c r="Z3066" s="11"/>
    </row>
    <row r="3067" customHeight="1" spans="1:26">
      <c r="A3067" s="11" t="str">
        <f>IFERROR(__xludf.DUMMYFUNCTION("""COMPUTED_VALUE"""),"FABIANA KARLA AQUINO DA COSTA")</f>
        <v>FABIANA KARLA AQUINO DA COSTA</v>
      </c>
      <c r="B3067" s="11"/>
      <c r="C3067" s="11"/>
      <c r="D3067" s="11" t="str">
        <f>IFERROR(__xludf.DUMMYFUNCTION("""COMPUTED_VALUE"""),"CLINICA GERAL")</f>
        <v>CLINICA GERAL</v>
      </c>
      <c r="E3067" s="11"/>
      <c r="F3067" s="11" t="str">
        <f>IFERROR(__xludf.DUMMYFUNCTION("""COMPUTED_VALUE"""),"US_180 CENTRAL DE REGULACAO MEDICA SAMU METROPOLITANO RECIFE")</f>
        <v>US_180 CENTRAL DE REGULACAO MEDICA SAMU METROPOLITANO RECIFE</v>
      </c>
      <c r="G3067" s="11" t="str">
        <f>IFERROR(__xludf.DUMMYFUNCTION("""COMPUTED_VALUE"""),"US_180 CENTRAL DE REGULACAO MEDICA SAMU METROPOLITANO RECIFE")</f>
        <v>US_180 CENTRAL DE REGULACAO MEDICA SAMU METROPOLITANO RECIFE</v>
      </c>
      <c r="H3067" s="11"/>
      <c r="I3067" s="11"/>
      <c r="J3067" s="11"/>
      <c r="K3067" s="11"/>
      <c r="L3067" s="11"/>
      <c r="M3067" s="11"/>
      <c r="N3067" s="30" t="str">
        <f>IFERROR(__xludf.DUMMYFUNCTION("""COMPUTED_VALUE"""),"fabiaquinodacosta@gmail.com")</f>
        <v>fabiaquinodacosta@gmail.com</v>
      </c>
      <c r="O3067" s="11">
        <f>IFERROR(__xludf.DUMMYFUNCTION("""COMPUTED_VALUE"""),976427460)</f>
        <v>976427460</v>
      </c>
      <c r="P3067" s="11"/>
      <c r="Q3067" s="11"/>
      <c r="R3067" s="11"/>
      <c r="S3067" s="11"/>
      <c r="T3067" s="11"/>
      <c r="U3067" s="11"/>
      <c r="V3067" s="11"/>
      <c r="W3067" s="11"/>
      <c r="X3067" s="11"/>
      <c r="Y3067" s="11"/>
      <c r="Z3067" s="11"/>
    </row>
    <row r="3068" customHeight="1" spans="1:26">
      <c r="A3068" s="11" t="str">
        <f>IFERROR(__xludf.DUMMYFUNCTION("""COMPUTED_VALUE"""),"ALANA VIEIRA LUCENA GOMES")</f>
        <v>ALANA VIEIRA LUCENA GOMES</v>
      </c>
      <c r="B3068" s="11"/>
      <c r="C3068" s="11"/>
      <c r="D3068" s="11" t="str">
        <f>IFERROR(__xludf.DUMMYFUNCTION("""COMPUTED_VALUE"""),"CLINICA GERAL")</f>
        <v>CLINICA GERAL</v>
      </c>
      <c r="E3068" s="11"/>
      <c r="F3068" s="11" t="str">
        <f>IFERROR(__xludf.DUMMYFUNCTION("""COMPUTED_VALUE"""),"US_180 CENTRAL DE REGULACAO MEDICA SAMU METROPOLITANO RECIFE")</f>
        <v>US_180 CENTRAL DE REGULACAO MEDICA SAMU METROPOLITANO RECIFE</v>
      </c>
      <c r="G3068" s="11" t="str">
        <f>IFERROR(__xludf.DUMMYFUNCTION("""COMPUTED_VALUE"""),"US_180 CENTRAL DE REGULACAO MEDICA SAMU METROPOLITANO RECIFE")</f>
        <v>US_180 CENTRAL DE REGULACAO MEDICA SAMU METROPOLITANO RECIFE</v>
      </c>
      <c r="H3068" s="11"/>
      <c r="I3068" s="11"/>
      <c r="J3068" s="11"/>
      <c r="K3068" s="11"/>
      <c r="L3068" s="11"/>
      <c r="M3068" s="11"/>
      <c r="N3068" s="30" t="str">
        <f>IFERROR(__xludf.DUMMYFUNCTION("""COMPUTED_VALUE"""),"lanavlg@hotmail.com")</f>
        <v>lanavlg@hotmail.com</v>
      </c>
      <c r="O3068" s="11">
        <f>IFERROR(__xludf.DUMMYFUNCTION("""COMPUTED_VALUE"""),6770672405)</f>
        <v>6770672405</v>
      </c>
      <c r="P3068" s="11"/>
      <c r="Q3068" s="11"/>
      <c r="R3068" s="11"/>
      <c r="S3068" s="11"/>
      <c r="T3068" s="11"/>
      <c r="U3068" s="11"/>
      <c r="V3068" s="11"/>
      <c r="W3068" s="11"/>
      <c r="X3068" s="11"/>
      <c r="Y3068" s="11"/>
      <c r="Z3068" s="11"/>
    </row>
    <row r="3069" customHeight="1" spans="1:26">
      <c r="A3069" s="11" t="str">
        <f>IFERROR(__xludf.DUMMYFUNCTION("""COMPUTED_VALUE"""),"MARIANA ALVES NOGUEIRA SOUZA")</f>
        <v>MARIANA ALVES NOGUEIRA SOUZA</v>
      </c>
      <c r="B3069" s="11"/>
      <c r="C3069" s="11"/>
      <c r="D3069" s="11" t="str">
        <f>IFERROR(__xludf.DUMMYFUNCTION("""COMPUTED_VALUE"""),"CLINICA GERAL")</f>
        <v>CLINICA GERAL</v>
      </c>
      <c r="E3069" s="11"/>
      <c r="F3069" s="11" t="str">
        <f>IFERROR(__xludf.DUMMYFUNCTION("""COMPUTED_VALUE"""),"US_180 CENTRAL DE REGULACAO MEDICA SAMU METROPOLITANO RECIFE")</f>
        <v>US_180 CENTRAL DE REGULACAO MEDICA SAMU METROPOLITANO RECIFE</v>
      </c>
      <c r="G3069" s="11" t="str">
        <f>IFERROR(__xludf.DUMMYFUNCTION("""COMPUTED_VALUE"""),"US_180 CENTRAL DE REGULACAO MEDICA SAMU METROPOLITANO RECIFE")</f>
        <v>US_180 CENTRAL DE REGULACAO MEDICA SAMU METROPOLITANO RECIFE</v>
      </c>
      <c r="H3069" s="11"/>
      <c r="I3069" s="11"/>
      <c r="J3069" s="11"/>
      <c r="K3069" s="11"/>
      <c r="L3069" s="11"/>
      <c r="M3069" s="11"/>
      <c r="N3069" s="30" t="str">
        <f>IFERROR(__xludf.DUMMYFUNCTION("""COMPUTED_VALUE"""),"mariana.alvesns@gmail.com")</f>
        <v>mariana.alvesns@gmail.com</v>
      </c>
      <c r="O3069" s="11">
        <f>IFERROR(__xludf.DUMMYFUNCTION("""COMPUTED_VALUE"""),5328990404)</f>
        <v>5328990404</v>
      </c>
      <c r="P3069" s="11"/>
      <c r="Q3069" s="11"/>
      <c r="R3069" s="11"/>
      <c r="S3069" s="11"/>
      <c r="T3069" s="11"/>
      <c r="U3069" s="11"/>
      <c r="V3069" s="11"/>
      <c r="W3069" s="11"/>
      <c r="X3069" s="11"/>
      <c r="Y3069" s="11"/>
      <c r="Z3069" s="11"/>
    </row>
    <row r="3070" customHeight="1" spans="1:26">
      <c r="A3070" s="11" t="str">
        <f>IFERROR(__xludf.DUMMYFUNCTION("""COMPUTED_VALUE"""),"CARLOS ALFREDO R GONZALEZ")</f>
        <v>CARLOS ALFREDO R GONZALEZ</v>
      </c>
      <c r="B3070" s="11"/>
      <c r="C3070" s="11"/>
      <c r="D3070" s="11" t="str">
        <f>IFERROR(__xludf.DUMMYFUNCTION("""COMPUTED_VALUE"""),"CIRURGIA GERAL")</f>
        <v>CIRURGIA GERAL</v>
      </c>
      <c r="E3070" s="11"/>
      <c r="F3070" s="11" t="str">
        <f>IFERROR(__xludf.DUMMYFUNCTION("""COMPUTED_VALUE"""),"US_180 CENTRAL DE REGULACAO MEDICA SAMU METROPOLITANO RECIFE")</f>
        <v>US_180 CENTRAL DE REGULACAO MEDICA SAMU METROPOLITANO RECIFE</v>
      </c>
      <c r="G3070" s="11" t="str">
        <f>IFERROR(__xludf.DUMMYFUNCTION("""COMPUTED_VALUE"""),"US_180 CENTRAL DE REGULACAO MEDICA SAMU METROPOLITANO RECIFE")</f>
        <v>US_180 CENTRAL DE REGULACAO MEDICA SAMU METROPOLITANO RECIFE</v>
      </c>
      <c r="H3070" s="11"/>
      <c r="I3070" s="11"/>
      <c r="J3070" s="11"/>
      <c r="K3070" s="11"/>
      <c r="L3070" s="11"/>
      <c r="M3070" s="11"/>
      <c r="N3070" s="30" t="str">
        <f>IFERROR(__xludf.DUMMYFUNCTION("""COMPUTED_VALUE"""),"doctorcgonzalez@gmail.com")</f>
        <v>doctorcgonzalez@gmail.com</v>
      </c>
      <c r="O3070" s="11">
        <f>IFERROR(__xludf.DUMMYFUNCTION("""COMPUTED_VALUE"""),70019845405)</f>
        <v>70019845405</v>
      </c>
      <c r="P3070" s="11"/>
      <c r="Q3070" s="11"/>
      <c r="R3070" s="11"/>
      <c r="S3070" s="11"/>
      <c r="T3070" s="11"/>
      <c r="U3070" s="11"/>
      <c r="V3070" s="11"/>
      <c r="W3070" s="11"/>
      <c r="X3070" s="11"/>
      <c r="Y3070" s="11"/>
      <c r="Z3070" s="11"/>
    </row>
    <row r="3071" customHeight="1" spans="1:26">
      <c r="A3071" s="11" t="str">
        <f>IFERROR(__xludf.DUMMYFUNCTION("""COMPUTED_VALUE"""),"JESSE DE OLIVEIRA NETO")</f>
        <v>JESSE DE OLIVEIRA NETO</v>
      </c>
      <c r="B3071" s="11"/>
      <c r="C3071" s="11"/>
      <c r="D3071" s="11" t="str">
        <f>IFERROR(__xludf.DUMMYFUNCTION("""COMPUTED_VALUE"""),"CIRURGIA GERAL")</f>
        <v>CIRURGIA GERAL</v>
      </c>
      <c r="E3071" s="11"/>
      <c r="F3071" s="11" t="str">
        <f>IFERROR(__xludf.DUMMYFUNCTION("""COMPUTED_VALUE"""),"US_180 CENTRAL DE REGULACAO MEDICA SAMU METROPOLITANO RECIFE")</f>
        <v>US_180 CENTRAL DE REGULACAO MEDICA SAMU METROPOLITANO RECIFE</v>
      </c>
      <c r="G3071" s="11" t="str">
        <f>IFERROR(__xludf.DUMMYFUNCTION("""COMPUTED_VALUE"""),"US_180 CENTRAL DE REGULACAO MEDICA SAMU METROPOLITANO RECIFE")</f>
        <v>US_180 CENTRAL DE REGULACAO MEDICA SAMU METROPOLITANO RECIFE</v>
      </c>
      <c r="H3071" s="11"/>
      <c r="I3071" s="11"/>
      <c r="J3071" s="11"/>
      <c r="K3071" s="11"/>
      <c r="L3071" s="11"/>
      <c r="M3071" s="11"/>
      <c r="N3071" s="30" t="str">
        <f>IFERROR(__xludf.DUMMYFUNCTION("""COMPUTED_VALUE"""),"dr.jesseneto@hotmail.com")</f>
        <v>dr.jesseneto@hotmail.com</v>
      </c>
      <c r="O3071" s="11">
        <f>IFERROR(__xludf.DUMMYFUNCTION("""COMPUTED_VALUE"""),71339841304)</f>
        <v>71339841304</v>
      </c>
      <c r="P3071" s="11"/>
      <c r="Q3071" s="11"/>
      <c r="R3071" s="11"/>
      <c r="S3071" s="11"/>
      <c r="T3071" s="11"/>
      <c r="U3071" s="11"/>
      <c r="V3071" s="11"/>
      <c r="W3071" s="11"/>
      <c r="X3071" s="11"/>
      <c r="Y3071" s="11"/>
      <c r="Z3071" s="11"/>
    </row>
    <row r="3072" customHeight="1" spans="1:26">
      <c r="A3072" s="11" t="str">
        <f>IFERROR(__xludf.DUMMYFUNCTION("""COMPUTED_VALUE"""),"LALLUNA G P B CABRAL DA COSTA")</f>
        <v>LALLUNA G P B CABRAL DA COSTA</v>
      </c>
      <c r="B3072" s="11"/>
      <c r="C3072" s="11"/>
      <c r="D3072" s="11" t="str">
        <f>IFERROR(__xludf.DUMMYFUNCTION("""COMPUTED_VALUE"""),"CLINICA GERAL")</f>
        <v>CLINICA GERAL</v>
      </c>
      <c r="E3072" s="11"/>
      <c r="F3072" s="11" t="str">
        <f>IFERROR(__xludf.DUMMYFUNCTION("""COMPUTED_VALUE"""),"US_180 CENTRAL DE REGULACAO MEDICA SAMU METROPOLITANO RECIFE")</f>
        <v>US_180 CENTRAL DE REGULACAO MEDICA SAMU METROPOLITANO RECIFE</v>
      </c>
      <c r="G3072" s="11" t="str">
        <f>IFERROR(__xludf.DUMMYFUNCTION("""COMPUTED_VALUE"""),"US_180 CENTRAL DE REGULACAO MEDICA SAMU METROPOLITANO RECIFE")</f>
        <v>US_180 CENTRAL DE REGULACAO MEDICA SAMU METROPOLITANO RECIFE</v>
      </c>
      <c r="H3072" s="11"/>
      <c r="I3072" s="11"/>
      <c r="J3072" s="11"/>
      <c r="K3072" s="11"/>
      <c r="L3072" s="11"/>
      <c r="M3072" s="11"/>
      <c r="N3072" s="30" t="str">
        <f>IFERROR(__xludf.DUMMYFUNCTION("""COMPUTED_VALUE"""),"lallunabrandao@gmail.com")</f>
        <v>lallunabrandao@gmail.com</v>
      </c>
      <c r="O3072" s="11">
        <f>IFERROR(__xludf.DUMMYFUNCTION("""COMPUTED_VALUE"""),8255755403)</f>
        <v>8255755403</v>
      </c>
      <c r="P3072" s="11"/>
      <c r="Q3072" s="11"/>
      <c r="R3072" s="11"/>
      <c r="S3072" s="11"/>
      <c r="T3072" s="11"/>
      <c r="U3072" s="11"/>
      <c r="V3072" s="11"/>
      <c r="W3072" s="11"/>
      <c r="X3072" s="11"/>
      <c r="Y3072" s="11"/>
      <c r="Z3072" s="11"/>
    </row>
    <row r="3073" customHeight="1" spans="1:26">
      <c r="A3073" s="11" t="str">
        <f>IFERROR(__xludf.DUMMYFUNCTION("""COMPUTED_VALUE"""),"TONY GLEUBER PEREIRA DA SILVA")</f>
        <v>TONY GLEUBER PEREIRA DA SILVA</v>
      </c>
      <c r="B3073" s="11"/>
      <c r="C3073" s="11"/>
      <c r="D3073" s="11" t="str">
        <f>IFERROR(__xludf.DUMMYFUNCTION("""COMPUTED_VALUE"""),"CLINICA GERAL")</f>
        <v>CLINICA GERAL</v>
      </c>
      <c r="E3073" s="11"/>
      <c r="F3073" s="11" t="str">
        <f>IFERROR(__xludf.DUMMYFUNCTION("""COMPUTED_VALUE"""),"US_180 CENTRAL DE REGULACAO MEDICA SAMU METROPOLITANO RECIFE")</f>
        <v>US_180 CENTRAL DE REGULACAO MEDICA SAMU METROPOLITANO RECIFE</v>
      </c>
      <c r="G3073" s="11" t="str">
        <f>IFERROR(__xludf.DUMMYFUNCTION("""COMPUTED_VALUE"""),"US_180 CENTRAL DE REGULACAO MEDICA SAMU METROPOLITANO RECIFE")</f>
        <v>US_180 CENTRAL DE REGULACAO MEDICA SAMU METROPOLITANO RECIFE</v>
      </c>
      <c r="H3073" s="11"/>
      <c r="I3073" s="11"/>
      <c r="J3073" s="11"/>
      <c r="K3073" s="11"/>
      <c r="L3073" s="11"/>
      <c r="M3073" s="11"/>
      <c r="N3073" s="30" t="str">
        <f>IFERROR(__xludf.DUMMYFUNCTION("""COMPUTED_VALUE"""),"tonybrascuba@hotmail.com")</f>
        <v>tonybrascuba@hotmail.com</v>
      </c>
      <c r="O3073" s="11">
        <f>IFERROR(__xludf.DUMMYFUNCTION("""COMPUTED_VALUE"""),98514458515)</f>
        <v>98514458515</v>
      </c>
      <c r="P3073" s="11"/>
      <c r="Q3073" s="11"/>
      <c r="R3073" s="11"/>
      <c r="S3073" s="11"/>
      <c r="T3073" s="11"/>
      <c r="U3073" s="11"/>
      <c r="V3073" s="11"/>
      <c r="W3073" s="11"/>
      <c r="X3073" s="11"/>
      <c r="Y3073" s="11"/>
      <c r="Z3073" s="11"/>
    </row>
    <row r="3074" customHeight="1" spans="1:26">
      <c r="A3074" s="11" t="str">
        <f>IFERROR(__xludf.DUMMYFUNCTION("""COMPUTED_VALUE"""),"WAGNER MONTEIRO DE OLIVEIRA")</f>
        <v>WAGNER MONTEIRO DE OLIVEIRA</v>
      </c>
      <c r="B3074" s="11"/>
      <c r="C3074" s="11"/>
      <c r="D3074" s="11" t="str">
        <f>IFERROR(__xludf.DUMMYFUNCTION("""COMPUTED_VALUE"""),"CLINICA GERAL")</f>
        <v>CLINICA GERAL</v>
      </c>
      <c r="E3074" s="11"/>
      <c r="F3074" s="11" t="str">
        <f>IFERROR(__xludf.DUMMYFUNCTION("""COMPUTED_VALUE"""),"US_180 CENTRAL DE REGULACAO MEDICA SAMU METROPOLITANO RECIFE")</f>
        <v>US_180 CENTRAL DE REGULACAO MEDICA SAMU METROPOLITANO RECIFE</v>
      </c>
      <c r="G3074" s="11" t="str">
        <f>IFERROR(__xludf.DUMMYFUNCTION("""COMPUTED_VALUE"""),"US_180 CENTRAL DE REGULACAO MEDICA SAMU METROPOLITANO RECIFE")</f>
        <v>US_180 CENTRAL DE REGULACAO MEDICA SAMU METROPOLITANO RECIFE</v>
      </c>
      <c r="H3074" s="11"/>
      <c r="I3074" s="11"/>
      <c r="J3074" s="11"/>
      <c r="K3074" s="11"/>
      <c r="L3074" s="11"/>
      <c r="M3074" s="11"/>
      <c r="N3074" s="30" t="str">
        <f>IFERROR(__xludf.DUMMYFUNCTION("""COMPUTED_VALUE"""),"wagner_mont@hotmail.com")</f>
        <v>wagner_mont@hotmail.com</v>
      </c>
      <c r="O3074" s="11">
        <f>IFERROR(__xludf.DUMMYFUNCTION("""COMPUTED_VALUE"""),83176144415)</f>
        <v>83176144415</v>
      </c>
      <c r="P3074" s="11"/>
      <c r="Q3074" s="11"/>
      <c r="R3074" s="11"/>
      <c r="S3074" s="11"/>
      <c r="T3074" s="11"/>
      <c r="U3074" s="11"/>
      <c r="V3074" s="11"/>
      <c r="W3074" s="11"/>
      <c r="X3074" s="11"/>
      <c r="Y3074" s="11"/>
      <c r="Z3074" s="11"/>
    </row>
    <row r="3075" customHeight="1" spans="1:26">
      <c r="A3075" s="11" t="str">
        <f>IFERROR(__xludf.DUMMYFUNCTION("""COMPUTED_VALUE"""),"MATEUS GOMES CAJUI")</f>
        <v>MATEUS GOMES CAJUI</v>
      </c>
      <c r="B3075" s="11"/>
      <c r="C3075" s="11"/>
      <c r="D3075" s="11" t="str">
        <f>IFERROR(__xludf.DUMMYFUNCTION("""COMPUTED_VALUE""")," CLINICA GERAL ")</f>
        <v> CLINICA GERAL </v>
      </c>
      <c r="E3075" s="11"/>
      <c r="F3075" s="11" t="str">
        <f>IFERROR(__xludf.DUMMYFUNCTION("""COMPUTED_VALUE"""),"US_180 CENTRAL DE REGULACAO MEDICA SAMU METROPOLITANO RECIFE")</f>
        <v>US_180 CENTRAL DE REGULACAO MEDICA SAMU METROPOLITANO RECIFE</v>
      </c>
      <c r="G3075" s="11" t="str">
        <f>IFERROR(__xludf.DUMMYFUNCTION("""COMPUTED_VALUE"""),"US_180 CENTRAL DE REGULACAO MEDICA SAMU METROPOLITANO RECIFE")</f>
        <v>US_180 CENTRAL DE REGULACAO MEDICA SAMU METROPOLITANO RECIFE</v>
      </c>
      <c r="H3075" s="11"/>
      <c r="I3075" s="11"/>
      <c r="J3075" s="11"/>
      <c r="K3075" s="11"/>
      <c r="L3075" s="11"/>
      <c r="M3075" s="11"/>
      <c r="N3075" s="30" t="str">
        <f>IFERROR(__xludf.DUMMYFUNCTION("""COMPUTED_VALUE"""),"mateuscajui@hotmail.com")</f>
        <v>mateuscajui@hotmail.com</v>
      </c>
      <c r="O3075" s="11">
        <f>IFERROR(__xludf.DUMMYFUNCTION("""COMPUTED_VALUE"""),2894376529)</f>
        <v>2894376529</v>
      </c>
      <c r="P3075" s="11"/>
      <c r="Q3075" s="11"/>
      <c r="R3075" s="11"/>
      <c r="S3075" s="11"/>
      <c r="T3075" s="11"/>
      <c r="U3075" s="11"/>
      <c r="V3075" s="11"/>
      <c r="W3075" s="11"/>
      <c r="X3075" s="11"/>
      <c r="Y3075" s="11"/>
      <c r="Z3075" s="11"/>
    </row>
    <row r="3076" customHeight="1" spans="1:26">
      <c r="A3076" s="11" t="str">
        <f>IFERROR(__xludf.DUMMYFUNCTION("""COMPUTED_VALUE"""),"MARIANA BARROS F DA P GRANDO")</f>
        <v>MARIANA BARROS F DA P GRANDO</v>
      </c>
      <c r="B3076" s="11"/>
      <c r="C3076" s="11"/>
      <c r="D3076" s="11" t="str">
        <f>IFERROR(__xludf.DUMMYFUNCTION("""COMPUTED_VALUE""")," CLINICA GERAL ")</f>
        <v> CLINICA GERAL </v>
      </c>
      <c r="E3076" s="11"/>
      <c r="F3076" s="11" t="str">
        <f>IFERROR(__xludf.DUMMYFUNCTION("""COMPUTED_VALUE"""),"US_180 CENTRAL DE REGULACAO MEDICA SAMU METROPOLITANO RECIFE")</f>
        <v>US_180 CENTRAL DE REGULACAO MEDICA SAMU METROPOLITANO RECIFE</v>
      </c>
      <c r="G3076" s="11" t="str">
        <f>IFERROR(__xludf.DUMMYFUNCTION("""COMPUTED_VALUE"""),"US_180 CENTRAL DE REGULACAO MEDICA SAMU METROPOLITANO RECIFE")</f>
        <v>US_180 CENTRAL DE REGULACAO MEDICA SAMU METROPOLITANO RECIFE</v>
      </c>
      <c r="H3076" s="11"/>
      <c r="I3076" s="11"/>
      <c r="J3076" s="11"/>
      <c r="K3076" s="11"/>
      <c r="L3076" s="11"/>
      <c r="M3076" s="11"/>
      <c r="N3076" s="30" t="str">
        <f>IFERROR(__xludf.DUMMYFUNCTION("""COMPUTED_VALUE"""),"mariana.bfalcao@gmail.com")</f>
        <v>mariana.bfalcao@gmail.com</v>
      </c>
      <c r="O3076" s="11">
        <f>IFERROR(__xludf.DUMMYFUNCTION("""COMPUTED_VALUE"""),5447212413)</f>
        <v>5447212413</v>
      </c>
      <c r="P3076" s="11"/>
      <c r="Q3076" s="11"/>
      <c r="R3076" s="11"/>
      <c r="S3076" s="11"/>
      <c r="T3076" s="11"/>
      <c r="U3076" s="11"/>
      <c r="V3076" s="11"/>
      <c r="W3076" s="11"/>
      <c r="X3076" s="11"/>
      <c r="Y3076" s="11"/>
      <c r="Z3076" s="11"/>
    </row>
    <row r="3077" customHeight="1" spans="1:26">
      <c r="A3077" s="11" t="str">
        <f>IFERROR(__xludf.DUMMYFUNCTION("""COMPUTED_VALUE"""),"ISADORA MEDEIROS L THEBERGE")</f>
        <v>ISADORA MEDEIROS L THEBERGE</v>
      </c>
      <c r="B3077" s="11"/>
      <c r="C3077" s="11"/>
      <c r="D3077" s="11" t="str">
        <f>IFERROR(__xludf.DUMMYFUNCTION("""COMPUTED_VALUE""")," CLINICA GERAL ")</f>
        <v> CLINICA GERAL </v>
      </c>
      <c r="E3077" s="11"/>
      <c r="F3077" s="11" t="str">
        <f>IFERROR(__xludf.DUMMYFUNCTION("""COMPUTED_VALUE"""),"US_180 CENTRAL DE REGULACAO MEDICA SAMU METROPOLITANO RECIFE")</f>
        <v>US_180 CENTRAL DE REGULACAO MEDICA SAMU METROPOLITANO RECIFE</v>
      </c>
      <c r="G3077" s="11" t="str">
        <f>IFERROR(__xludf.DUMMYFUNCTION("""COMPUTED_VALUE"""),"US_180 CENTRAL DE REGULACAO MEDICA SAMU METROPOLITANO RECIFE")</f>
        <v>US_180 CENTRAL DE REGULACAO MEDICA SAMU METROPOLITANO RECIFE</v>
      </c>
      <c r="H3077" s="11"/>
      <c r="I3077" s="11"/>
      <c r="J3077" s="11"/>
      <c r="K3077" s="11"/>
      <c r="L3077" s="11"/>
      <c r="M3077" s="11"/>
      <c r="N3077" s="30" t="str">
        <f>IFERROR(__xludf.DUMMYFUNCTION("""COMPUTED_VALUE"""),"isadoramleite@gmail.com")</f>
        <v>isadoramleite@gmail.com</v>
      </c>
      <c r="O3077" s="11">
        <f>IFERROR(__xludf.DUMMYFUNCTION("""COMPUTED_VALUE"""),8641327436)</f>
        <v>8641327436</v>
      </c>
      <c r="P3077" s="11"/>
      <c r="Q3077" s="11"/>
      <c r="R3077" s="11"/>
      <c r="S3077" s="11"/>
      <c r="T3077" s="11"/>
      <c r="U3077" s="11"/>
      <c r="V3077" s="11"/>
      <c r="W3077" s="11"/>
      <c r="X3077" s="11"/>
      <c r="Y3077" s="11"/>
      <c r="Z3077" s="11"/>
    </row>
    <row r="3078" customHeight="1" spans="1:26">
      <c r="A3078" s="11" t="str">
        <f>IFERROR(__xludf.DUMMYFUNCTION("""COMPUTED_VALUE"""),"AMANDA GOMES DOS ANJOS CUNHA")</f>
        <v>AMANDA GOMES DOS ANJOS CUNHA</v>
      </c>
      <c r="B3078" s="11"/>
      <c r="C3078" s="11"/>
      <c r="D3078" s="11" t="str">
        <f>IFERROR(__xludf.DUMMYFUNCTION("""COMPUTED_VALUE"""),"CIRURGIA GERAL")</f>
        <v>CIRURGIA GERAL</v>
      </c>
      <c r="E3078" s="11"/>
      <c r="F3078" s="11" t="str">
        <f>IFERROR(__xludf.DUMMYFUNCTION("""COMPUTED_VALUE"""),"US_180 CENTRAL DE REGULACAO MEDICA SAMU METROPOLITANO RECIFE")</f>
        <v>US_180 CENTRAL DE REGULACAO MEDICA SAMU METROPOLITANO RECIFE</v>
      </c>
      <c r="G3078" s="11" t="str">
        <f>IFERROR(__xludf.DUMMYFUNCTION("""COMPUTED_VALUE"""),"US_180 CENTRAL DE REGULACAO MEDICA SAMU METROPOLITANO RECIFE")</f>
        <v>US_180 CENTRAL DE REGULACAO MEDICA SAMU METROPOLITANO RECIFE</v>
      </c>
      <c r="H3078" s="11"/>
      <c r="I3078" s="11"/>
      <c r="J3078" s="11"/>
      <c r="K3078" s="11"/>
      <c r="L3078" s="11"/>
      <c r="M3078" s="11"/>
      <c r="N3078" s="30" t="str">
        <f>IFERROR(__xludf.DUMMYFUNCTION("""COMPUTED_VALUE"""),"amandaganjos@hotmail.com")</f>
        <v>amandaganjos@hotmail.com</v>
      </c>
      <c r="O3078" s="11">
        <f>IFERROR(__xludf.DUMMYFUNCTION("""COMPUTED_VALUE"""),5528138426)</f>
        <v>5528138426</v>
      </c>
      <c r="P3078" s="11"/>
      <c r="Q3078" s="11"/>
      <c r="R3078" s="11"/>
      <c r="S3078" s="11"/>
      <c r="T3078" s="11"/>
      <c r="U3078" s="11"/>
      <c r="V3078" s="11"/>
      <c r="W3078" s="11"/>
      <c r="X3078" s="11"/>
      <c r="Y3078" s="11"/>
      <c r="Z3078" s="11"/>
    </row>
    <row r="3079" customHeight="1" spans="1:26">
      <c r="A3079" s="11" t="str">
        <f>IFERROR(__xludf.DUMMYFUNCTION("""COMPUTED_VALUE"""),"KLEBER SILVA C DE ALBUQUERQUE")</f>
        <v>KLEBER SILVA C DE ALBUQUERQUE</v>
      </c>
      <c r="B3079" s="11"/>
      <c r="C3079" s="11"/>
      <c r="D3079" s="11" t="str">
        <f>IFERROR(__xludf.DUMMYFUNCTION("""COMPUTED_VALUE"""),"CIRURGIA GERAL")</f>
        <v>CIRURGIA GERAL</v>
      </c>
      <c r="E3079" s="11"/>
      <c r="F3079" s="11" t="str">
        <f>IFERROR(__xludf.DUMMYFUNCTION("""COMPUTED_VALUE"""),"US_180 CENTRAL DE REGULACAO MEDICA SAMU METROPOLITANO RECIFE")</f>
        <v>US_180 CENTRAL DE REGULACAO MEDICA SAMU METROPOLITANO RECIFE</v>
      </c>
      <c r="G3079" s="11" t="str">
        <f>IFERROR(__xludf.DUMMYFUNCTION("""COMPUTED_VALUE"""),"US_180 CENTRAL DE REGULACAO MEDICA SAMU METROPOLITANO RECIFE")</f>
        <v>US_180 CENTRAL DE REGULACAO MEDICA SAMU METROPOLITANO RECIFE</v>
      </c>
      <c r="H3079" s="11"/>
      <c r="I3079" s="11"/>
      <c r="J3079" s="11"/>
      <c r="K3079" s="11"/>
      <c r="L3079" s="11"/>
      <c r="M3079" s="11"/>
      <c r="N3079" s="30" t="str">
        <f>IFERROR(__xludf.DUMMYFUNCTION("""COMPUTED_VALUE"""),"kleber_pi@hotmail.com")</f>
        <v>kleber_pi@hotmail.com</v>
      </c>
      <c r="O3079" s="11">
        <f>IFERROR(__xludf.DUMMYFUNCTION("""COMPUTED_VALUE"""),3437563408)</f>
        <v>3437563408</v>
      </c>
      <c r="P3079" s="11"/>
      <c r="Q3079" s="11"/>
      <c r="R3079" s="11"/>
      <c r="S3079" s="11"/>
      <c r="T3079" s="11"/>
      <c r="U3079" s="11"/>
      <c r="V3079" s="11"/>
      <c r="W3079" s="11"/>
      <c r="X3079" s="11"/>
      <c r="Y3079" s="11"/>
      <c r="Z3079" s="11"/>
    </row>
    <row r="3080" customHeight="1" spans="1:26">
      <c r="A3080" s="11" t="str">
        <f>IFERROR(__xludf.DUMMYFUNCTION("""COMPUTED_VALUE"""),"DANIEL SANTIAGO VERCOSA")</f>
        <v>DANIEL SANTIAGO VERCOSA</v>
      </c>
      <c r="B3080" s="11"/>
      <c r="C3080" s="11"/>
      <c r="D3080" s="11" t="str">
        <f>IFERROR(__xludf.DUMMYFUNCTION("""COMPUTED_VALUE"""),"CIRURGIA GERAL")</f>
        <v>CIRURGIA GERAL</v>
      </c>
      <c r="E3080" s="11"/>
      <c r="F3080" s="11" t="str">
        <f>IFERROR(__xludf.DUMMYFUNCTION("""COMPUTED_VALUE"""),"US_180 CENTRAL DE REGULACAO MEDICA SAMU METROPOLITANO RECIFE")</f>
        <v>US_180 CENTRAL DE REGULACAO MEDICA SAMU METROPOLITANO RECIFE</v>
      </c>
      <c r="G3080" s="11" t="str">
        <f>IFERROR(__xludf.DUMMYFUNCTION("""COMPUTED_VALUE"""),"US_180 CENTRAL DE REGULACAO MEDICA SAMU METROPOLITANO RECIFE")</f>
        <v>US_180 CENTRAL DE REGULACAO MEDICA SAMU METROPOLITANO RECIFE</v>
      </c>
      <c r="H3080" s="11"/>
      <c r="I3080" s="11"/>
      <c r="J3080" s="11"/>
      <c r="K3080" s="11"/>
      <c r="L3080" s="11"/>
      <c r="M3080" s="11"/>
      <c r="N3080" s="30" t="str">
        <f>IFERROR(__xludf.DUMMYFUNCTION("""COMPUTED_VALUE"""),"danielsantiagov@gmail.com")</f>
        <v>danielsantiagov@gmail.com</v>
      </c>
      <c r="O3080" s="11">
        <f>IFERROR(__xludf.DUMMYFUNCTION("""COMPUTED_VALUE"""),5534574461)</f>
        <v>5534574461</v>
      </c>
      <c r="P3080" s="11"/>
      <c r="Q3080" s="11"/>
      <c r="R3080" s="11"/>
      <c r="S3080" s="11"/>
      <c r="T3080" s="11"/>
      <c r="U3080" s="11"/>
      <c r="V3080" s="11"/>
      <c r="W3080" s="11"/>
      <c r="X3080" s="11"/>
      <c r="Y3080" s="11"/>
      <c r="Z3080" s="11"/>
    </row>
    <row r="3081" customHeight="1" spans="1:26">
      <c r="A3081" s="11" t="str">
        <f>IFERROR(__xludf.DUMMYFUNCTION("""COMPUTED_VALUE"""),"FERNANDA CASADO")</f>
        <v>FERNANDA CASADO</v>
      </c>
      <c r="B3081" s="11"/>
      <c r="C3081" s="11"/>
      <c r="D3081" s="11" t="str">
        <f>IFERROR(__xludf.DUMMYFUNCTION("""COMPUTED_VALUE"""),"CIRURGIA GERAL")</f>
        <v>CIRURGIA GERAL</v>
      </c>
      <c r="E3081" s="11"/>
      <c r="F3081" s="11" t="str">
        <f>IFERROR(__xludf.DUMMYFUNCTION("""COMPUTED_VALUE"""),"US_180 CENTRAL DE REGULACAO MEDICA SAMU METROPOLITANO RECIFE")</f>
        <v>US_180 CENTRAL DE REGULACAO MEDICA SAMU METROPOLITANO RECIFE</v>
      </c>
      <c r="G3081" s="11" t="str">
        <f>IFERROR(__xludf.DUMMYFUNCTION("""COMPUTED_VALUE"""),"US_180 CENTRAL DE REGULACAO MEDICA SAMU METROPOLITANO RECIFE")</f>
        <v>US_180 CENTRAL DE REGULACAO MEDICA SAMU METROPOLITANO RECIFE</v>
      </c>
      <c r="H3081" s="11"/>
      <c r="I3081" s="11"/>
      <c r="J3081" s="11"/>
      <c r="K3081" s="11"/>
      <c r="L3081" s="11"/>
      <c r="M3081" s="11"/>
      <c r="N3081" s="30" t="str">
        <f>IFERROR(__xludf.DUMMYFUNCTION("""COMPUTED_VALUE"""),"casado.fernanda@hotmail.com")</f>
        <v>casado.fernanda@hotmail.com</v>
      </c>
      <c r="O3081" s="11">
        <f>IFERROR(__xludf.DUMMYFUNCTION("""COMPUTED_VALUE"""),1923815474)</f>
        <v>1923815474</v>
      </c>
      <c r="P3081" s="11"/>
      <c r="Q3081" s="11"/>
      <c r="R3081" s="11"/>
      <c r="S3081" s="11"/>
      <c r="T3081" s="11"/>
      <c r="U3081" s="11"/>
      <c r="V3081" s="11"/>
      <c r="W3081" s="11"/>
      <c r="X3081" s="11"/>
      <c r="Y3081" s="11"/>
      <c r="Z3081" s="11"/>
    </row>
    <row r="3082" customHeight="1" spans="1:26">
      <c r="A3082" s="11" t="str">
        <f>IFERROR(__xludf.DUMMYFUNCTION("""COMPUTED_VALUE"""),"PEDRO FILIPE DA L S DE O MELLO")</f>
        <v>PEDRO FILIPE DA L S DE O MELLO</v>
      </c>
      <c r="B3082" s="11"/>
      <c r="C3082" s="11"/>
      <c r="D3082" s="11" t="str">
        <f>IFERROR(__xludf.DUMMYFUNCTION("""COMPUTED_VALUE"""),"CLINICA GERAL")</f>
        <v>CLINICA GERAL</v>
      </c>
      <c r="E3082" s="11"/>
      <c r="F3082" s="11" t="str">
        <f>IFERROR(__xludf.DUMMYFUNCTION("""COMPUTED_VALUE"""),"US_180 CENTRAL DE REGULACAO MEDICA SAMU METROPOLITANO RECIFE")</f>
        <v>US_180 CENTRAL DE REGULACAO MEDICA SAMU METROPOLITANO RECIFE</v>
      </c>
      <c r="G3082" s="11" t="str">
        <f>IFERROR(__xludf.DUMMYFUNCTION("""COMPUTED_VALUE"""),"US_180 CENTRAL DE REGULACAO MEDICA SAMU METROPOLITANO RECIFE")</f>
        <v>US_180 CENTRAL DE REGULACAO MEDICA SAMU METROPOLITANO RECIFE</v>
      </c>
      <c r="H3082" s="11"/>
      <c r="I3082" s="11"/>
      <c r="J3082" s="11"/>
      <c r="K3082" s="11"/>
      <c r="L3082" s="11"/>
      <c r="M3082" s="11"/>
      <c r="N3082" s="30" t="str">
        <f>IFERROR(__xludf.DUMMYFUNCTION("""COMPUTED_VALUE"""),"PEDROMELLOUPE@GMAIL.COM")</f>
        <v>PEDROMELLOUPE@GMAIL.COM</v>
      </c>
      <c r="O3082" s="11">
        <f>IFERROR(__xludf.DUMMYFUNCTION("""COMPUTED_VALUE"""),8287605431)</f>
        <v>8287605431</v>
      </c>
      <c r="P3082" s="11"/>
      <c r="Q3082" s="11"/>
      <c r="R3082" s="11"/>
      <c r="S3082" s="11"/>
      <c r="T3082" s="11"/>
      <c r="U3082" s="11"/>
      <c r="V3082" s="11"/>
      <c r="W3082" s="11"/>
      <c r="X3082" s="11"/>
      <c r="Y3082" s="11"/>
      <c r="Z3082" s="11"/>
    </row>
    <row r="3083" customHeight="1" spans="1:26">
      <c r="A3083" s="11" t="str">
        <f>IFERROR(__xludf.DUMMYFUNCTION("""COMPUTED_VALUE"""),"PEDRO HENRIQUE FREIRE FEITOSA")</f>
        <v>PEDRO HENRIQUE FREIRE FEITOSA</v>
      </c>
      <c r="B3083" s="11"/>
      <c r="C3083" s="11"/>
      <c r="D3083" s="11" t="str">
        <f>IFERROR(__xludf.DUMMYFUNCTION("""COMPUTED_VALUE"""),"CIRURGIA GERAL")</f>
        <v>CIRURGIA GERAL</v>
      </c>
      <c r="E3083" s="11"/>
      <c r="F3083" s="11" t="str">
        <f>IFERROR(__xludf.DUMMYFUNCTION("""COMPUTED_VALUE"""),"US_180 CENTRAL DE REGULACAO MEDICA SAMU METROPOLITANO RECIFE")</f>
        <v>US_180 CENTRAL DE REGULACAO MEDICA SAMU METROPOLITANO RECIFE</v>
      </c>
      <c r="G3083" s="11" t="str">
        <f>IFERROR(__xludf.DUMMYFUNCTION("""COMPUTED_VALUE"""),"US_180 CENTRAL DE REGULACAO MEDICA SAMU METROPOLITANO RECIFE")</f>
        <v>US_180 CENTRAL DE REGULACAO MEDICA SAMU METROPOLITANO RECIFE</v>
      </c>
      <c r="H3083" s="11"/>
      <c r="I3083" s="11"/>
      <c r="J3083" s="11"/>
      <c r="K3083" s="11"/>
      <c r="L3083" s="11"/>
      <c r="M3083" s="11"/>
      <c r="N3083" s="30" t="str">
        <f>IFERROR(__xludf.DUMMYFUNCTION("""COMPUTED_VALUE"""),"phffeitosa@hotmail.com")</f>
        <v>phffeitosa@hotmail.com</v>
      </c>
      <c r="O3083" s="11">
        <f>IFERROR(__xludf.DUMMYFUNCTION("""COMPUTED_VALUE"""),8195375430)</f>
        <v>8195375430</v>
      </c>
      <c r="P3083" s="11"/>
      <c r="Q3083" s="11"/>
      <c r="R3083" s="11"/>
      <c r="S3083" s="11"/>
      <c r="T3083" s="11"/>
      <c r="U3083" s="11"/>
      <c r="V3083" s="11"/>
      <c r="W3083" s="11"/>
      <c r="X3083" s="11"/>
      <c r="Y3083" s="11"/>
      <c r="Z3083" s="11"/>
    </row>
    <row r="3084" customHeight="1" spans="1:26">
      <c r="A3084" s="11" t="str">
        <f>IFERROR(__xludf.DUMMYFUNCTION("""COMPUTED_VALUE"""),"GUSTAVO HENRIQUE C D DE ARRUDA")</f>
        <v>GUSTAVO HENRIQUE C D DE ARRUDA</v>
      </c>
      <c r="B3084" s="11"/>
      <c r="C3084" s="11"/>
      <c r="D3084" s="11" t="str">
        <f>IFERROR(__xludf.DUMMYFUNCTION("""COMPUTED_VALUE"""),"CIRURGIA GERAL")</f>
        <v>CIRURGIA GERAL</v>
      </c>
      <c r="E3084" s="11"/>
      <c r="F3084" s="11" t="str">
        <f>IFERROR(__xludf.DUMMYFUNCTION("""COMPUTED_VALUE"""),"US_180 CENTRAL DE REGULACAO MEDICA SAMU METROPOLITANO RECIFE")</f>
        <v>US_180 CENTRAL DE REGULACAO MEDICA SAMU METROPOLITANO RECIFE</v>
      </c>
      <c r="G3084" s="11" t="str">
        <f>IFERROR(__xludf.DUMMYFUNCTION("""COMPUTED_VALUE"""),"US_180 CENTRAL DE REGULACAO MEDICA SAMU METROPOLITANO RECIFE")</f>
        <v>US_180 CENTRAL DE REGULACAO MEDICA SAMU METROPOLITANO RECIFE</v>
      </c>
      <c r="H3084" s="11"/>
      <c r="I3084" s="11"/>
      <c r="J3084" s="11"/>
      <c r="K3084" s="11"/>
      <c r="L3084" s="11"/>
      <c r="M3084" s="11"/>
      <c r="N3084" s="30" t="str">
        <f>IFERROR(__xludf.DUMMYFUNCTION("""COMPUTED_VALUE"""),"g_charamba@hotmail.com")</f>
        <v>g_charamba@hotmail.com</v>
      </c>
      <c r="O3084" s="11">
        <f>IFERROR(__xludf.DUMMYFUNCTION("""COMPUTED_VALUE"""),4671739402)</f>
        <v>4671739402</v>
      </c>
      <c r="P3084" s="11"/>
      <c r="Q3084" s="11"/>
      <c r="R3084" s="11"/>
      <c r="S3084" s="11"/>
      <c r="T3084" s="11"/>
      <c r="U3084" s="11"/>
      <c r="V3084" s="11"/>
      <c r="W3084" s="11"/>
      <c r="X3084" s="11"/>
      <c r="Y3084" s="11"/>
      <c r="Z3084" s="11"/>
    </row>
    <row r="3085" customHeight="1" spans="1:26">
      <c r="A3085" s="11" t="str">
        <f>IFERROR(__xludf.DUMMYFUNCTION("""COMPUTED_VALUE"""),"THALITA DUTRA E SILVA")</f>
        <v>THALITA DUTRA E SILVA</v>
      </c>
      <c r="B3085" s="11"/>
      <c r="C3085" s="11"/>
      <c r="D3085" s="11" t="str">
        <f>IFERROR(__xludf.DUMMYFUNCTION("""COMPUTED_VALUE"""),"CIRURGIA GERAL")</f>
        <v>CIRURGIA GERAL</v>
      </c>
      <c r="E3085" s="11"/>
      <c r="F3085" s="11" t="str">
        <f>IFERROR(__xludf.DUMMYFUNCTION("""COMPUTED_VALUE"""),"US_180 CENTRAL DE REGULACAO MEDICA SAMU METROPOLITANO RECIFE")</f>
        <v>US_180 CENTRAL DE REGULACAO MEDICA SAMU METROPOLITANO RECIFE</v>
      </c>
      <c r="G3085" s="11" t="str">
        <f>IFERROR(__xludf.DUMMYFUNCTION("""COMPUTED_VALUE"""),"US_180 CENTRAL DE REGULACAO MEDICA SAMU METROPOLITANO RECIFE")</f>
        <v>US_180 CENTRAL DE REGULACAO MEDICA SAMU METROPOLITANO RECIFE</v>
      </c>
      <c r="H3085" s="11"/>
      <c r="I3085" s="11"/>
      <c r="J3085" s="11"/>
      <c r="K3085" s="11"/>
      <c r="L3085" s="11"/>
      <c r="M3085" s="11"/>
      <c r="N3085" s="30" t="str">
        <f>IFERROR(__xludf.DUMMYFUNCTION("""COMPUTED_VALUE"""),"thali.dtr@gmail.com")</f>
        <v>thali.dtr@gmail.com</v>
      </c>
      <c r="O3085" s="11">
        <f>IFERROR(__xludf.DUMMYFUNCTION("""COMPUTED_VALUE"""),1355284457)</f>
        <v>1355284457</v>
      </c>
      <c r="P3085" s="11"/>
      <c r="Q3085" s="11"/>
      <c r="R3085" s="11"/>
      <c r="S3085" s="11"/>
      <c r="T3085" s="11"/>
      <c r="U3085" s="11"/>
      <c r="V3085" s="11"/>
      <c r="W3085" s="11"/>
      <c r="X3085" s="11"/>
      <c r="Y3085" s="11"/>
      <c r="Z3085" s="11"/>
    </row>
    <row r="3086" customHeight="1" spans="1:26">
      <c r="A3086" s="11" t="str">
        <f>IFERROR(__xludf.DUMMYFUNCTION("""COMPUTED_VALUE"""),"LIDIO CARVALHO DA SILVA LIMA")</f>
        <v>LIDIO CARVALHO DA SILVA LIMA</v>
      </c>
      <c r="B3086" s="11"/>
      <c r="C3086" s="11"/>
      <c r="D3086" s="11" t="str">
        <f>IFERROR(__xludf.DUMMYFUNCTION("""COMPUTED_VALUE"""),"CIRURGIA GERAL")</f>
        <v>CIRURGIA GERAL</v>
      </c>
      <c r="E3086" s="11"/>
      <c r="F3086" s="11" t="str">
        <f>IFERROR(__xludf.DUMMYFUNCTION("""COMPUTED_VALUE"""),"US_180 CENTRAL DE REGULACAO MEDICA SAMU METROPOLITANO RECIFE")</f>
        <v>US_180 CENTRAL DE REGULACAO MEDICA SAMU METROPOLITANO RECIFE</v>
      </c>
      <c r="G3086" s="11" t="str">
        <f>IFERROR(__xludf.DUMMYFUNCTION("""COMPUTED_VALUE"""),"US_180 CENTRAL DE REGULACAO MEDICA SAMU METROPOLITANO RECIFE")</f>
        <v>US_180 CENTRAL DE REGULACAO MEDICA SAMU METROPOLITANO RECIFE</v>
      </c>
      <c r="H3086" s="11"/>
      <c r="I3086" s="11"/>
      <c r="J3086" s="11"/>
      <c r="K3086" s="11"/>
      <c r="L3086" s="11"/>
      <c r="M3086" s="11"/>
      <c r="N3086" s="30" t="str">
        <f>IFERROR(__xludf.DUMMYFUNCTION("""COMPUTED_VALUE"""),"lidiocarvalho@gmail.com")</f>
        <v>lidiocarvalho@gmail.com</v>
      </c>
      <c r="O3086" s="11">
        <f>IFERROR(__xludf.DUMMYFUNCTION("""COMPUTED_VALUE"""),975604481)</f>
        <v>975604481</v>
      </c>
      <c r="P3086" s="11"/>
      <c r="Q3086" s="11"/>
      <c r="R3086" s="11"/>
      <c r="S3086" s="11"/>
      <c r="T3086" s="11"/>
      <c r="U3086" s="11"/>
      <c r="V3086" s="11"/>
      <c r="W3086" s="11"/>
      <c r="X3086" s="11"/>
      <c r="Y3086" s="11"/>
      <c r="Z3086" s="11"/>
    </row>
    <row r="3087" customHeight="1" spans="1:26">
      <c r="A3087" s="11" t="str">
        <f>IFERROR(__xludf.DUMMYFUNCTION("""COMPUTED_VALUE"""),"DIEGO MONTARROYOS SIMOES")</f>
        <v>DIEGO MONTARROYOS SIMOES</v>
      </c>
      <c r="B3087" s="11"/>
      <c r="C3087" s="11"/>
      <c r="D3087" s="11" t="str">
        <f>IFERROR(__xludf.DUMMYFUNCTION("""COMPUTED_VALUE"""),"CIRURGIA GERAL")</f>
        <v>CIRURGIA GERAL</v>
      </c>
      <c r="E3087" s="11"/>
      <c r="F3087" s="11" t="str">
        <f>IFERROR(__xludf.DUMMYFUNCTION("""COMPUTED_VALUE"""),"US_180 CENTRAL DE REGULACAO MEDICA SAMU METROPOLITANO RECIFE")</f>
        <v>US_180 CENTRAL DE REGULACAO MEDICA SAMU METROPOLITANO RECIFE</v>
      </c>
      <c r="G3087" s="11" t="str">
        <f>IFERROR(__xludf.DUMMYFUNCTION("""COMPUTED_VALUE"""),"US_180 CENTRAL DE REGULACAO MEDICA SAMU METROPOLITANO RECIFE")</f>
        <v>US_180 CENTRAL DE REGULACAO MEDICA SAMU METROPOLITANO RECIFE</v>
      </c>
      <c r="H3087" s="11"/>
      <c r="I3087" s="11"/>
      <c r="J3087" s="11"/>
      <c r="K3087" s="11"/>
      <c r="L3087" s="11"/>
      <c r="M3087" s="11"/>
      <c r="N3087" s="30" t="str">
        <f>IFERROR(__xludf.DUMMYFUNCTION("""COMPUTED_VALUE"""),"diegomontarroyos@hotmail.com")</f>
        <v>diegomontarroyos@hotmail.com</v>
      </c>
      <c r="O3087" s="11">
        <f>IFERROR(__xludf.DUMMYFUNCTION("""COMPUTED_VALUE"""),7384053455)</f>
        <v>7384053455</v>
      </c>
      <c r="P3087" s="11"/>
      <c r="Q3087" s="11"/>
      <c r="R3087" s="11"/>
      <c r="S3087" s="11"/>
      <c r="T3087" s="11"/>
      <c r="U3087" s="11"/>
      <c r="V3087" s="11"/>
      <c r="W3087" s="11"/>
      <c r="X3087" s="11"/>
      <c r="Y3087" s="11"/>
      <c r="Z3087" s="11"/>
    </row>
    <row r="3088" customHeight="1" spans="1:26">
      <c r="A3088" s="11" t="str">
        <f>IFERROR(__xludf.DUMMYFUNCTION("""COMPUTED_VALUE"""),"MARIA C G G DE O PATRIOTA")</f>
        <v>MARIA C G G DE O PATRIOTA</v>
      </c>
      <c r="B3088" s="11"/>
      <c r="C3088" s="11"/>
      <c r="D3088" s="11" t="str">
        <f>IFERROR(__xludf.DUMMYFUNCTION("""COMPUTED_VALUE"""),"CIRURGIA GERAL")</f>
        <v>CIRURGIA GERAL</v>
      </c>
      <c r="E3088" s="11"/>
      <c r="F3088" s="11" t="str">
        <f>IFERROR(__xludf.DUMMYFUNCTION("""COMPUTED_VALUE"""),"US_180 CENTRAL DE REGULACAO MEDICA SAMU METROPOLITANO RECIFE")</f>
        <v>US_180 CENTRAL DE REGULACAO MEDICA SAMU METROPOLITANO RECIFE</v>
      </c>
      <c r="G3088" s="11" t="str">
        <f>IFERROR(__xludf.DUMMYFUNCTION("""COMPUTED_VALUE"""),"US_180 CENTRAL DE REGULACAO MEDICA SAMU METROPOLITANO RECIFE")</f>
        <v>US_180 CENTRAL DE REGULACAO MEDICA SAMU METROPOLITANO RECIFE</v>
      </c>
      <c r="H3088" s="11"/>
      <c r="I3088" s="11"/>
      <c r="J3088" s="11"/>
      <c r="K3088" s="11"/>
      <c r="L3088" s="11"/>
      <c r="M3088" s="11"/>
      <c r="N3088" s="30" t="str">
        <f>IFERROR(__xludf.DUMMYFUNCTION("""COMPUTED_VALUE"""),"carolinaggoliveira@gmail.com")</f>
        <v>carolinaggoliveira@gmail.com</v>
      </c>
      <c r="O3088" s="11">
        <f>IFERROR(__xludf.DUMMYFUNCTION("""COMPUTED_VALUE"""),98095927368)</f>
        <v>98095927368</v>
      </c>
      <c r="P3088" s="11"/>
      <c r="Q3088" s="11"/>
      <c r="R3088" s="11"/>
      <c r="S3088" s="11"/>
      <c r="T3088" s="11"/>
      <c r="U3088" s="11"/>
      <c r="V3088" s="11"/>
      <c r="W3088" s="11"/>
      <c r="X3088" s="11"/>
      <c r="Y3088" s="11"/>
      <c r="Z3088" s="11"/>
    </row>
    <row r="3089" customHeight="1" spans="1:26">
      <c r="A3089" s="11" t="str">
        <f>IFERROR(__xludf.DUMMYFUNCTION("""COMPUTED_VALUE"""),"MATEUS COUTO TAVARES FEITOSA")</f>
        <v>MATEUS COUTO TAVARES FEITOSA</v>
      </c>
      <c r="B3089" s="11"/>
      <c r="C3089" s="11"/>
      <c r="D3089" s="11" t="str">
        <f>IFERROR(__xludf.DUMMYFUNCTION("""COMPUTED_VALUE"""),"CLINICA MEDICA")</f>
        <v>CLINICA MEDICA</v>
      </c>
      <c r="E3089" s="11"/>
      <c r="F3089" s="11" t="str">
        <f>IFERROR(__xludf.DUMMYFUNCTION("""COMPUTED_VALUE"""),"US_180 CENTRAL DE REGULACAO MEDICA SAMU METROPOLITANO RECIFE")</f>
        <v>US_180 CENTRAL DE REGULACAO MEDICA SAMU METROPOLITANO RECIFE</v>
      </c>
      <c r="G3089" s="11" t="str">
        <f>IFERROR(__xludf.DUMMYFUNCTION("""COMPUTED_VALUE"""),"US_180 CENTRAL DE REGULACAO MEDICA SAMU METROPOLITANO RECIFE")</f>
        <v>US_180 CENTRAL DE REGULACAO MEDICA SAMU METROPOLITANO RECIFE</v>
      </c>
      <c r="H3089" s="11"/>
      <c r="I3089" s="11"/>
      <c r="J3089" s="11"/>
      <c r="K3089" s="11"/>
      <c r="L3089" s="11"/>
      <c r="M3089" s="11"/>
      <c r="N3089" s="30" t="str">
        <f>IFERROR(__xludf.DUMMYFUNCTION("""COMPUTED_VALUE"""),"mateusctf@gmail.com")</f>
        <v>mateusctf@gmail.com</v>
      </c>
      <c r="O3089" s="11">
        <f>IFERROR(__xludf.DUMMYFUNCTION("""COMPUTED_VALUE"""),5812307369)</f>
        <v>5812307369</v>
      </c>
      <c r="P3089" s="11"/>
      <c r="Q3089" s="11"/>
      <c r="R3089" s="11"/>
      <c r="S3089" s="11"/>
      <c r="T3089" s="11"/>
      <c r="U3089" s="11"/>
      <c r="V3089" s="11"/>
      <c r="W3089" s="11"/>
      <c r="X3089" s="11"/>
      <c r="Y3089" s="11"/>
      <c r="Z3089" s="11"/>
    </row>
    <row r="3090" customHeight="1" spans="1:26">
      <c r="A3090" s="11" t="str">
        <f>IFERROR(__xludf.DUMMYFUNCTION("""COMPUTED_VALUE"""),"RENATA HIRSCHLE GALINDO")</f>
        <v>RENATA HIRSCHLE GALINDO</v>
      </c>
      <c r="B3090" s="11"/>
      <c r="C3090" s="11"/>
      <c r="D3090" s="11" t="str">
        <f>IFERROR(__xludf.DUMMYFUNCTION("""COMPUTED_VALUE"""),"CIRURGIA GERAL")</f>
        <v>CIRURGIA GERAL</v>
      </c>
      <c r="E3090" s="11"/>
      <c r="F3090" s="11" t="str">
        <f>IFERROR(__xludf.DUMMYFUNCTION("""COMPUTED_VALUE"""),"US_180 CENTRAL DE REGULACAO MEDICA SAMU METROPOLITANO RECIFE")</f>
        <v>US_180 CENTRAL DE REGULACAO MEDICA SAMU METROPOLITANO RECIFE</v>
      </c>
      <c r="G3090" s="11" t="str">
        <f>IFERROR(__xludf.DUMMYFUNCTION("""COMPUTED_VALUE"""),"US_180 CENTRAL DE REGULACAO MEDICA SAMU METROPOLITANO RECIFE")</f>
        <v>US_180 CENTRAL DE REGULACAO MEDICA SAMU METROPOLITANO RECIFE</v>
      </c>
      <c r="H3090" s="11"/>
      <c r="I3090" s="11"/>
      <c r="J3090" s="11"/>
      <c r="K3090" s="11"/>
      <c r="L3090" s="11"/>
      <c r="M3090" s="11"/>
      <c r="N3090" s="30" t="str">
        <f>IFERROR(__xludf.DUMMYFUNCTION("""COMPUTED_VALUE"""),"renatahirschle@hotmail.com")</f>
        <v>renatahirschle@hotmail.com</v>
      </c>
      <c r="O3090" s="11">
        <f>IFERROR(__xludf.DUMMYFUNCTION("""COMPUTED_VALUE"""),5554360475)</f>
        <v>5554360475</v>
      </c>
      <c r="P3090" s="11"/>
      <c r="Q3090" s="11"/>
      <c r="R3090" s="11"/>
      <c r="S3090" s="11"/>
      <c r="T3090" s="11"/>
      <c r="U3090" s="11"/>
      <c r="V3090" s="11"/>
      <c r="W3090" s="11"/>
      <c r="X3090" s="11"/>
      <c r="Y3090" s="11"/>
      <c r="Z3090" s="11"/>
    </row>
    <row r="3091" customHeight="1" spans="1:26">
      <c r="A3091" s="11" t="str">
        <f>IFERROR(__xludf.DUMMYFUNCTION("""COMPUTED_VALUE"""),"HERIKA RAFAELLA DE ABREU")</f>
        <v>HERIKA RAFAELLA DE ABREU</v>
      </c>
      <c r="B3091" s="11"/>
      <c r="C3091" s="11"/>
      <c r="D3091" s="11" t="str">
        <f>IFERROR(__xludf.DUMMYFUNCTION("""COMPUTED_VALUE"""),"CIRURGIA GERAL")</f>
        <v>CIRURGIA GERAL</v>
      </c>
      <c r="E3091" s="11"/>
      <c r="F3091" s="11" t="str">
        <f>IFERROR(__xludf.DUMMYFUNCTION("""COMPUTED_VALUE"""),"US_180 CENTRAL DE REGULACAO MEDICA SAMU METROPOLITANO RECIFE")</f>
        <v>US_180 CENTRAL DE REGULACAO MEDICA SAMU METROPOLITANO RECIFE</v>
      </c>
      <c r="G3091" s="11" t="str">
        <f>IFERROR(__xludf.DUMMYFUNCTION("""COMPUTED_VALUE"""),"US_180 CENTRAL DE REGULACAO MEDICA SAMU METROPOLITANO RECIFE")</f>
        <v>US_180 CENTRAL DE REGULACAO MEDICA SAMU METROPOLITANO RECIFE</v>
      </c>
      <c r="H3091" s="11"/>
      <c r="I3091" s="11"/>
      <c r="J3091" s="11"/>
      <c r="K3091" s="11"/>
      <c r="L3091" s="11"/>
      <c r="M3091" s="11"/>
      <c r="N3091" s="30" t="str">
        <f>IFERROR(__xludf.DUMMYFUNCTION("""COMPUTED_VALUE"""),"herikadabreu@gmail.com")</f>
        <v>herikadabreu@gmail.com</v>
      </c>
      <c r="O3091" s="11">
        <f>IFERROR(__xludf.DUMMYFUNCTION("""COMPUTED_VALUE"""),4740787440)</f>
        <v>4740787440</v>
      </c>
      <c r="P3091" s="11"/>
      <c r="Q3091" s="11"/>
      <c r="R3091" s="11"/>
      <c r="S3091" s="11"/>
      <c r="T3091" s="11"/>
      <c r="U3091" s="11"/>
      <c r="V3091" s="11"/>
      <c r="W3091" s="11"/>
      <c r="X3091" s="11"/>
      <c r="Y3091" s="11"/>
      <c r="Z3091" s="11"/>
    </row>
    <row r="3092" customHeight="1" spans="1:26">
      <c r="A3092" s="11" t="str">
        <f>IFERROR(__xludf.DUMMYFUNCTION("""COMPUTED_VALUE"""),"HIARLY DE ALENCAR VELOSO")</f>
        <v>HIARLY DE ALENCAR VELOSO</v>
      </c>
      <c r="B3092" s="11"/>
      <c r="C3092" s="11"/>
      <c r="D3092" s="11" t="str">
        <f>IFERROR(__xludf.DUMMYFUNCTION("""COMPUTED_VALUE"""),"CIRURGIA GERAL")</f>
        <v>CIRURGIA GERAL</v>
      </c>
      <c r="E3092" s="11"/>
      <c r="F3092" s="11" t="str">
        <f>IFERROR(__xludf.DUMMYFUNCTION("""COMPUTED_VALUE"""),"US_180 CENTRAL DE REGULACAO MEDICA SAMU METROPOLITANO RECIFE")</f>
        <v>US_180 CENTRAL DE REGULACAO MEDICA SAMU METROPOLITANO RECIFE</v>
      </c>
      <c r="G3092" s="11" t="str">
        <f>IFERROR(__xludf.DUMMYFUNCTION("""COMPUTED_VALUE"""),"US_180 CENTRAL DE REGULACAO MEDICA SAMU METROPOLITANO RECIFE")</f>
        <v>US_180 CENTRAL DE REGULACAO MEDICA SAMU METROPOLITANO RECIFE</v>
      </c>
      <c r="H3092" s="11"/>
      <c r="I3092" s="11"/>
      <c r="J3092" s="11"/>
      <c r="K3092" s="11"/>
      <c r="L3092" s="11"/>
      <c r="M3092" s="11"/>
      <c r="N3092" s="30" t="str">
        <f>IFERROR(__xludf.DUMMYFUNCTION("""COMPUTED_VALUE"""),"hiarlyalencar@hotmail.com")</f>
        <v>hiarlyalencar@hotmail.com</v>
      </c>
      <c r="O3092" s="11">
        <f>IFERROR(__xludf.DUMMYFUNCTION("""COMPUTED_VALUE"""),2665244438)</f>
        <v>2665244438</v>
      </c>
      <c r="P3092" s="11"/>
      <c r="Q3092" s="11"/>
      <c r="R3092" s="11"/>
      <c r="S3092" s="11"/>
      <c r="T3092" s="11"/>
      <c r="U3092" s="11"/>
      <c r="V3092" s="11"/>
      <c r="W3092" s="11"/>
      <c r="X3092" s="11"/>
      <c r="Y3092" s="11"/>
      <c r="Z3092" s="11"/>
    </row>
    <row r="3093" customHeight="1" spans="1:26">
      <c r="A3093" s="11" t="str">
        <f>IFERROR(__xludf.DUMMYFUNCTION("""COMPUTED_VALUE"""),"CARLOS CASTANHA DE A NETO")</f>
        <v>CARLOS CASTANHA DE A NETO</v>
      </c>
      <c r="B3093" s="11"/>
      <c r="C3093" s="11"/>
      <c r="D3093" s="11" t="str">
        <f>IFERROR(__xludf.DUMMYFUNCTION("""COMPUTED_VALUE"""),"CIRURGIA GERAL")</f>
        <v>CIRURGIA GERAL</v>
      </c>
      <c r="E3093" s="11"/>
      <c r="F3093" s="11" t="str">
        <f>IFERROR(__xludf.DUMMYFUNCTION("""COMPUTED_VALUE"""),"US_180 CENTRAL DE REGULACAO MEDICA SAMU METROPOLITANO RECIFE")</f>
        <v>US_180 CENTRAL DE REGULACAO MEDICA SAMU METROPOLITANO RECIFE</v>
      </c>
      <c r="G3093" s="11" t="str">
        <f>IFERROR(__xludf.DUMMYFUNCTION("""COMPUTED_VALUE"""),"US_180 CENTRAL DE REGULACAO MEDICA SAMU METROPOLITANO RECIFE")</f>
        <v>US_180 CENTRAL DE REGULACAO MEDICA SAMU METROPOLITANO RECIFE</v>
      </c>
      <c r="H3093" s="11"/>
      <c r="I3093" s="11"/>
      <c r="J3093" s="11"/>
      <c r="K3093" s="11"/>
      <c r="L3093" s="11"/>
      <c r="M3093" s="11"/>
      <c r="N3093" s="30" t="str">
        <f>IFERROR(__xludf.DUMMYFUNCTION("""COMPUTED_VALUE"""),"castanhac@yahoo.com.br")</f>
        <v>castanhac@yahoo.com.br</v>
      </c>
      <c r="O3093" s="11">
        <f>IFERROR(__xludf.DUMMYFUNCTION("""COMPUTED_VALUE"""),8479823437)</f>
        <v>8479823437</v>
      </c>
      <c r="P3093" s="11"/>
      <c r="Q3093" s="11"/>
      <c r="R3093" s="11"/>
      <c r="S3093" s="11"/>
      <c r="T3093" s="11"/>
      <c r="U3093" s="11"/>
      <c r="V3093" s="11"/>
      <c r="W3093" s="11"/>
      <c r="X3093" s="11"/>
      <c r="Y3093" s="11"/>
      <c r="Z3093" s="11"/>
    </row>
    <row r="3094" customHeight="1" spans="1:26">
      <c r="A3094" s="11" t="str">
        <f>IFERROR(__xludf.DUMMYFUNCTION("""COMPUTED_VALUE"""),"MARIA EDUARDA DE M PONTUAL")</f>
        <v>MARIA EDUARDA DE M PONTUAL</v>
      </c>
      <c r="B3094" s="11"/>
      <c r="C3094" s="11"/>
      <c r="D3094" s="11" t="str">
        <f>IFERROR(__xludf.DUMMYFUNCTION("""COMPUTED_VALUE"""),"CIRURGIA GERAL")</f>
        <v>CIRURGIA GERAL</v>
      </c>
      <c r="E3094" s="11"/>
      <c r="F3094" s="11" t="str">
        <f>IFERROR(__xludf.DUMMYFUNCTION("""COMPUTED_VALUE"""),"US_180 CENTRAL DE REGULACAO MEDICA SAMU METROPOLITANO RECIFE")</f>
        <v>US_180 CENTRAL DE REGULACAO MEDICA SAMU METROPOLITANO RECIFE</v>
      </c>
      <c r="G3094" s="11" t="str">
        <f>IFERROR(__xludf.DUMMYFUNCTION("""COMPUTED_VALUE"""),"US_180 CENTRAL DE REGULACAO MEDICA SAMU METROPOLITANO RECIFE")</f>
        <v>US_180 CENTRAL DE REGULACAO MEDICA SAMU METROPOLITANO RECIFE</v>
      </c>
      <c r="H3094" s="11"/>
      <c r="I3094" s="11"/>
      <c r="J3094" s="11"/>
      <c r="K3094" s="11"/>
      <c r="L3094" s="11"/>
      <c r="M3094" s="11"/>
      <c r="N3094" s="30" t="str">
        <f>IFERROR(__xludf.DUMMYFUNCTION("""COMPUTED_VALUE"""),"dudapontual@hotmail.com")</f>
        <v>dudapontual@hotmail.com</v>
      </c>
      <c r="O3094" s="11">
        <f>IFERROR(__xludf.DUMMYFUNCTION("""COMPUTED_VALUE"""),6758749479)</f>
        <v>6758749479</v>
      </c>
      <c r="P3094" s="11"/>
      <c r="Q3094" s="11"/>
      <c r="R3094" s="11"/>
      <c r="S3094" s="11"/>
      <c r="T3094" s="11"/>
      <c r="U3094" s="11"/>
      <c r="V3094" s="11"/>
      <c r="W3094" s="11"/>
      <c r="X3094" s="11"/>
      <c r="Y3094" s="11"/>
      <c r="Z3094" s="11"/>
    </row>
    <row r="3095" customHeight="1" spans="1:26">
      <c r="A3095" s="11" t="str">
        <f>IFERROR(__xludf.DUMMYFUNCTION("""COMPUTED_VALUE"""),"MARIA ANGELICA SOARES GOMES")</f>
        <v>MARIA ANGELICA SOARES GOMES</v>
      </c>
      <c r="B3095" s="11"/>
      <c r="C3095" s="11"/>
      <c r="D3095" s="11" t="str">
        <f>IFERROR(__xludf.DUMMYFUNCTION("""COMPUTED_VALUE"""),"CIRURGIA GERAL")</f>
        <v>CIRURGIA GERAL</v>
      </c>
      <c r="E3095" s="11"/>
      <c r="F3095" s="11" t="str">
        <f>IFERROR(__xludf.DUMMYFUNCTION("""COMPUTED_VALUE"""),"US_180 CENTRAL DE REGULACAO MEDICA SAMU METROPOLITANO RECIFE")</f>
        <v>US_180 CENTRAL DE REGULACAO MEDICA SAMU METROPOLITANO RECIFE</v>
      </c>
      <c r="G3095" s="11" t="str">
        <f>IFERROR(__xludf.DUMMYFUNCTION("""COMPUTED_VALUE"""),"US_180 CENTRAL DE REGULACAO MEDICA SAMU METROPOLITANO RECIFE")</f>
        <v>US_180 CENTRAL DE REGULACAO MEDICA SAMU METROPOLITANO RECIFE</v>
      </c>
      <c r="H3095" s="11"/>
      <c r="I3095" s="11"/>
      <c r="J3095" s="11"/>
      <c r="K3095" s="11"/>
      <c r="L3095" s="11"/>
      <c r="M3095" s="11"/>
      <c r="N3095" s="30" t="str">
        <f>IFERROR(__xludf.DUMMYFUNCTION("""COMPUTED_VALUE"""),"mangelicagomes@hotmail.com")</f>
        <v>mangelicagomes@hotmail.com</v>
      </c>
      <c r="O3095" s="11" t="str">
        <f>IFERROR(__xludf.DUMMYFUNCTION("""COMPUTED_VALUE"""),"013615904-40")</f>
        <v>013615904-40</v>
      </c>
      <c r="P3095" s="11"/>
      <c r="Q3095" s="11"/>
      <c r="R3095" s="11"/>
      <c r="S3095" s="11"/>
      <c r="T3095" s="11"/>
      <c r="U3095" s="11"/>
      <c r="V3095" s="11"/>
      <c r="W3095" s="11"/>
      <c r="X3095" s="11"/>
      <c r="Y3095" s="11"/>
      <c r="Z3095" s="11"/>
    </row>
    <row r="3096" customHeight="1" spans="1:26">
      <c r="A3096" s="11" t="str">
        <f>IFERROR(__xludf.DUMMYFUNCTION("""COMPUTED_VALUE"""),"GILBERTO TENORIO W F LIMA")</f>
        <v>GILBERTO TENORIO W F LIMA</v>
      </c>
      <c r="B3096" s="11"/>
      <c r="C3096" s="11"/>
      <c r="D3096" s="11" t="str">
        <f>IFERROR(__xludf.DUMMYFUNCTION("""COMPUTED_VALUE"""),"CIRURGIA GERAL")</f>
        <v>CIRURGIA GERAL</v>
      </c>
      <c r="E3096" s="11"/>
      <c r="F3096" s="11" t="str">
        <f>IFERROR(__xludf.DUMMYFUNCTION("""COMPUTED_VALUE"""),"US_180 CENTRAL DE REGULACAO MEDICA SAMU METROPOLITANO RECIFE")</f>
        <v>US_180 CENTRAL DE REGULACAO MEDICA SAMU METROPOLITANO RECIFE</v>
      </c>
      <c r="G3096" s="11" t="str">
        <f>IFERROR(__xludf.DUMMYFUNCTION("""COMPUTED_VALUE"""),"US_180 CENTRAL DE REGULACAO MEDICA SAMU METROPOLITANO RECIFE")</f>
        <v>US_180 CENTRAL DE REGULACAO MEDICA SAMU METROPOLITANO RECIFE</v>
      </c>
      <c r="H3096" s="11"/>
      <c r="I3096" s="11"/>
      <c r="J3096" s="11"/>
      <c r="K3096" s="11"/>
      <c r="L3096" s="11"/>
      <c r="M3096" s="11"/>
      <c r="N3096" s="30" t="str">
        <f>IFERROR(__xludf.DUMMYFUNCTION("""COMPUTED_VALUE"""),"gilbertolima@yahoo.com.br")</f>
        <v>gilbertolima@yahoo.com.br</v>
      </c>
      <c r="O3096" s="11">
        <f>IFERROR(__xludf.DUMMYFUNCTION("""COMPUTED_VALUE"""),5541201438)</f>
        <v>5541201438</v>
      </c>
      <c r="P3096" s="11"/>
      <c r="Q3096" s="11"/>
      <c r="R3096" s="11"/>
      <c r="S3096" s="11"/>
      <c r="T3096" s="11"/>
      <c r="U3096" s="11"/>
      <c r="V3096" s="11"/>
      <c r="W3096" s="11"/>
      <c r="X3096" s="11"/>
      <c r="Y3096" s="11"/>
      <c r="Z3096" s="11"/>
    </row>
    <row r="3097" customHeight="1" spans="1:26">
      <c r="A3097" s="11" t="str">
        <f>IFERROR(__xludf.DUMMYFUNCTION("""COMPUTED_VALUE"""),"BRUNO CESAR A DOS SANTOS")</f>
        <v>BRUNO CESAR A DOS SANTOS</v>
      </c>
      <c r="B3097" s="11"/>
      <c r="C3097" s="11"/>
      <c r="D3097" s="11" t="str">
        <f>IFERROR(__xludf.DUMMYFUNCTION("""COMPUTED_VALUE"""),"CIRURGIA GERAL")</f>
        <v>CIRURGIA GERAL</v>
      </c>
      <c r="E3097" s="11"/>
      <c r="F3097" s="11" t="str">
        <f>IFERROR(__xludf.DUMMYFUNCTION("""COMPUTED_VALUE"""),"US_180 CENTRAL DE REGULACAO MEDICA SAMU METROPOLITANO RECIFE")</f>
        <v>US_180 CENTRAL DE REGULACAO MEDICA SAMU METROPOLITANO RECIFE</v>
      </c>
      <c r="G3097" s="11" t="str">
        <f>IFERROR(__xludf.DUMMYFUNCTION("""COMPUTED_VALUE"""),"US_180 CENTRAL DE REGULACAO MEDICA SAMU METROPOLITANO RECIFE")</f>
        <v>US_180 CENTRAL DE REGULACAO MEDICA SAMU METROPOLITANO RECIFE</v>
      </c>
      <c r="H3097" s="11"/>
      <c r="I3097" s="11"/>
      <c r="J3097" s="11"/>
      <c r="K3097" s="11"/>
      <c r="L3097" s="11"/>
      <c r="M3097" s="11"/>
      <c r="N3097" s="30" t="str">
        <f>IFERROR(__xludf.DUMMYFUNCTION("""COMPUTED_VALUE"""),"brunozard@hotmail.com")</f>
        <v>brunozard@hotmail.com</v>
      </c>
      <c r="O3097" s="11">
        <f>IFERROR(__xludf.DUMMYFUNCTION("""COMPUTED_VALUE"""),5025590477)</f>
        <v>5025590477</v>
      </c>
      <c r="P3097" s="11"/>
      <c r="Q3097" s="11"/>
      <c r="R3097" s="11"/>
      <c r="S3097" s="11"/>
      <c r="T3097" s="11"/>
      <c r="U3097" s="11"/>
      <c r="V3097" s="11"/>
      <c r="W3097" s="11"/>
      <c r="X3097" s="11"/>
      <c r="Y3097" s="11"/>
      <c r="Z3097" s="11"/>
    </row>
    <row r="3098" customHeight="1" spans="1:26">
      <c r="A3098" s="11" t="str">
        <f>IFERROR(__xludf.DUMMYFUNCTION("""COMPUTED_VALUE"""),"DIOGO COUTINHO SUASSUNA")</f>
        <v>DIOGO COUTINHO SUASSUNA</v>
      </c>
      <c r="B3098" s="11"/>
      <c r="C3098" s="11"/>
      <c r="D3098" s="11" t="str">
        <f>IFERROR(__xludf.DUMMYFUNCTION("""COMPUTED_VALUE"""),"CLINICA MEDICA")</f>
        <v>CLINICA MEDICA</v>
      </c>
      <c r="E3098" s="11"/>
      <c r="F3098" s="11" t="str">
        <f>IFERROR(__xludf.DUMMYFUNCTION("""COMPUTED_VALUE"""),"")</f>
        <v/>
      </c>
      <c r="G3098" s="11" t="str">
        <f>IFERROR(__xludf.DUMMYFUNCTION("""COMPUTED_VALUE"""),"")</f>
        <v/>
      </c>
      <c r="H3098" s="11"/>
      <c r="I3098" s="11"/>
      <c r="J3098" s="11"/>
      <c r="K3098" s="11"/>
      <c r="L3098" s="11"/>
      <c r="M3098" s="11"/>
      <c r="N3098" s="11"/>
      <c r="O3098" s="11"/>
      <c r="P3098" s="11"/>
      <c r="Q3098" s="11"/>
      <c r="R3098" s="11"/>
      <c r="S3098" s="11"/>
      <c r="T3098" s="11"/>
      <c r="U3098" s="11"/>
      <c r="V3098" s="11"/>
      <c r="W3098" s="11"/>
      <c r="X3098" s="11"/>
      <c r="Y3098" s="11"/>
      <c r="Z3098" s="11"/>
    </row>
    <row r="3099" customHeight="1" spans="1:26">
      <c r="A3099" s="11" t="str">
        <f>IFERROR(__xludf.DUMMYFUNCTION("""COMPUTED_VALUE"""),"RODRIGO GUSMÃO DE ALBUQUERQUE MIRANDA")</f>
        <v>RODRIGO GUSMÃO DE ALBUQUERQUE MIRANDA</v>
      </c>
      <c r="B3099" s="11"/>
      <c r="C3099" s="11"/>
      <c r="D3099" s="11" t="str">
        <f>IFERROR(__xludf.DUMMYFUNCTION("""COMPUTED_VALUE"""),"CLINICA MEDICA")</f>
        <v>CLINICA MEDICA</v>
      </c>
      <c r="E3099" s="11"/>
      <c r="F3099" s="11" t="str">
        <f>IFERROR(__xludf.DUMMYFUNCTION("""COMPUTED_VALUE"""),"")</f>
        <v/>
      </c>
      <c r="G3099" s="11" t="str">
        <f>IFERROR(__xludf.DUMMYFUNCTION("""COMPUTED_VALUE"""),"")</f>
        <v/>
      </c>
      <c r="H3099" s="11"/>
      <c r="I3099" s="11"/>
      <c r="J3099" s="11"/>
      <c r="K3099" s="11"/>
      <c r="L3099" s="11"/>
      <c r="M3099" s="11"/>
      <c r="N3099" s="11"/>
      <c r="O3099" s="11"/>
      <c r="P3099" s="11"/>
      <c r="Q3099" s="11"/>
      <c r="R3099" s="11"/>
      <c r="S3099" s="11"/>
      <c r="T3099" s="11"/>
      <c r="U3099" s="11"/>
      <c r="V3099" s="11"/>
      <c r="W3099" s="11"/>
      <c r="X3099" s="11"/>
      <c r="Y3099" s="11"/>
      <c r="Z3099" s="11"/>
    </row>
    <row r="3100" customHeight="1" spans="1:26">
      <c r="A3100" s="11" t="str">
        <f>IFERROR(__xludf.DUMMYFUNCTION("""COMPUTED_VALUE"""),"LUIS CARLOS SARAIVA NEVES")</f>
        <v>LUIS CARLOS SARAIVA NEVES</v>
      </c>
      <c r="B3100" s="11"/>
      <c r="C3100" s="11"/>
      <c r="D3100" s="11" t="str">
        <f>IFERROR(__xludf.DUMMYFUNCTION("""COMPUTED_VALUE"""),"MEDICINA DO TRABALHO")</f>
        <v>MEDICINA DO TRABALHO</v>
      </c>
      <c r="E3100" s="11"/>
      <c r="F3100" s="11" t="str">
        <f>IFERROR(__xludf.DUMMYFUNCTION("""COMPUTED_VALUE"""),"US_275 CEREST RECIFE")</f>
        <v>US_275 CEREST RECIFE</v>
      </c>
      <c r="G3100" s="11" t="str">
        <f>IFERROR(__xludf.DUMMYFUNCTION("""COMPUTED_VALUE"""),"US_275 CEREST RECIFE")</f>
        <v>US_275 CEREST RECIFE</v>
      </c>
      <c r="H3100" s="11"/>
      <c r="I3100" s="11"/>
      <c r="J3100" s="11"/>
      <c r="K3100" s="11"/>
      <c r="L3100" s="11"/>
      <c r="M3100" s="11"/>
      <c r="N3100" s="30" t="str">
        <f>IFERROR(__xludf.DUMMYFUNCTION("""COMPUTED_VALUE"""),"SARAIVANEVES.LUIS@GMAIL.COM")</f>
        <v>SARAIVANEVES.LUIS@GMAIL.COM</v>
      </c>
      <c r="O3100" s="11">
        <f>IFERROR(__xludf.DUMMYFUNCTION("""COMPUTED_VALUE"""),14643871415)</f>
        <v>14643871415</v>
      </c>
      <c r="P3100" s="11"/>
      <c r="Q3100" s="11"/>
      <c r="R3100" s="11"/>
      <c r="S3100" s="11"/>
      <c r="T3100" s="11"/>
      <c r="U3100" s="11"/>
      <c r="V3100" s="11"/>
      <c r="W3100" s="11"/>
      <c r="X3100" s="11"/>
      <c r="Y3100" s="11"/>
      <c r="Z3100" s="11"/>
    </row>
    <row r="3101" customHeight="1" spans="1:26">
      <c r="A3101" s="11" t="str">
        <f>IFERROR(__xludf.DUMMYFUNCTION("""COMPUTED_VALUE"""),"LISSANDRA FERRAZ D FERNANDES")</f>
        <v>LISSANDRA FERRAZ D FERNANDES</v>
      </c>
      <c r="B3101" s="11"/>
      <c r="C3101" s="11"/>
      <c r="D3101" s="11" t="str">
        <f>IFERROR(__xludf.DUMMYFUNCTION("""COMPUTED_VALUE"""),"MEDICINA DO TRABALHO")</f>
        <v>MEDICINA DO TRABALHO</v>
      </c>
      <c r="E3101" s="11"/>
      <c r="F3101" s="11" t="str">
        <f>IFERROR(__xludf.DUMMYFUNCTION("""COMPUTED_VALUE"""),"US_275 CEREST RECIFE")</f>
        <v>US_275 CEREST RECIFE</v>
      </c>
      <c r="G3101" s="11" t="str">
        <f>IFERROR(__xludf.DUMMYFUNCTION("""COMPUTED_VALUE"""),"US_275 CEREST RECIFE")</f>
        <v>US_275 CEREST RECIFE</v>
      </c>
      <c r="H3101" s="11"/>
      <c r="I3101" s="11"/>
      <c r="J3101" s="11"/>
      <c r="K3101" s="11"/>
      <c r="L3101" s="11"/>
      <c r="M3101" s="11"/>
      <c r="N3101" s="30" t="str">
        <f>IFERROR(__xludf.DUMMYFUNCTION("""COMPUTED_VALUE"""),"LIS_FD@HOTMAIL.COM")</f>
        <v>LIS_FD@HOTMAIL.COM</v>
      </c>
      <c r="O3101" s="11">
        <f>IFERROR(__xludf.DUMMYFUNCTION("""COMPUTED_VALUE"""),3938236442)</f>
        <v>3938236442</v>
      </c>
      <c r="P3101" s="11"/>
      <c r="Q3101" s="11"/>
      <c r="R3101" s="11"/>
      <c r="S3101" s="11"/>
      <c r="T3101" s="11"/>
      <c r="U3101" s="11"/>
      <c r="V3101" s="11"/>
      <c r="W3101" s="11"/>
      <c r="X3101" s="11"/>
      <c r="Y3101" s="11"/>
      <c r="Z3101" s="11"/>
    </row>
    <row r="3102" customHeight="1" spans="1:26">
      <c r="A3102" s="11" t="str">
        <f>IFERROR(__xludf.DUMMYFUNCTION("""COMPUTED_VALUE"""),"RENATA AQUINO COELHO DE MACEDO")</f>
        <v>RENATA AQUINO COELHO DE MACEDO</v>
      </c>
      <c r="B3102" s="11"/>
      <c r="C3102" s="11"/>
      <c r="D3102" s="11" t="str">
        <f>IFERROR(__xludf.DUMMYFUNCTION("""COMPUTED_VALUE"""),"MEDICINA DO TRABALHO")</f>
        <v>MEDICINA DO TRABALHO</v>
      </c>
      <c r="E3102" s="11"/>
      <c r="F3102" s="11" t="str">
        <f>IFERROR(__xludf.DUMMYFUNCTION("""COMPUTED_VALUE"""),"US_275 CEREST RECIFE")</f>
        <v>US_275 CEREST RECIFE</v>
      </c>
      <c r="G3102" s="11" t="str">
        <f>IFERROR(__xludf.DUMMYFUNCTION("""COMPUTED_VALUE"""),"US_275 CEREST RECIFE")</f>
        <v>US_275 CEREST RECIFE</v>
      </c>
      <c r="H3102" s="11"/>
      <c r="I3102" s="11"/>
      <c r="J3102" s="11"/>
      <c r="K3102" s="11"/>
      <c r="L3102" s="11"/>
      <c r="M3102" s="11"/>
      <c r="N3102" s="30" t="str">
        <f>IFERROR(__xludf.DUMMYFUNCTION("""COMPUTED_VALUE"""),"renata_aquino28@yahoo.com.br")</f>
        <v>renata_aquino28@yahoo.com.br</v>
      </c>
      <c r="O3102" s="11">
        <f>IFERROR(__xludf.DUMMYFUNCTION("""COMPUTED_VALUE"""),3810311448)</f>
        <v>3810311448</v>
      </c>
      <c r="P3102" s="11"/>
      <c r="Q3102" s="11"/>
      <c r="R3102" s="11"/>
      <c r="S3102" s="11"/>
      <c r="T3102" s="11"/>
      <c r="U3102" s="11"/>
      <c r="V3102" s="11"/>
      <c r="W3102" s="11"/>
      <c r="X3102" s="11"/>
      <c r="Y3102" s="11"/>
      <c r="Z3102" s="11"/>
    </row>
    <row r="3103" customHeight="1" spans="1:26">
      <c r="A3103" s="11" t="str">
        <f>IFERROR(__xludf.DUMMYFUNCTION("""COMPUTED_VALUE"""),"EDUARDO ANTONIO LAGES DE FARIA")</f>
        <v>EDUARDO ANTONIO LAGES DE FARIA</v>
      </c>
      <c r="B3103" s="11"/>
      <c r="C3103" s="11"/>
      <c r="D3103" s="11" t="str">
        <f>IFERROR(__xludf.DUMMYFUNCTION("""COMPUTED_VALUE"""),"CLINICA GERAL")</f>
        <v>CLINICA GERAL</v>
      </c>
      <c r="E3103" s="11"/>
      <c r="F3103" s="11" t="str">
        <f>IFERROR(__xludf.DUMMYFUNCTION("""COMPUTED_VALUE"""),"SERMAC")</f>
        <v>SERMAC</v>
      </c>
      <c r="G3103" s="11" t="str">
        <f>IFERROR(__xludf.DUMMYFUNCTION("""COMPUTED_VALUE"""),"SERMAC")</f>
        <v>SERMAC</v>
      </c>
      <c r="H3103" s="11"/>
      <c r="I3103" s="11"/>
      <c r="J3103" s="11"/>
      <c r="K3103" s="11"/>
      <c r="L3103" s="11"/>
      <c r="M3103" s="11"/>
      <c r="N3103" s="30" t="str">
        <f>IFERROR(__xludf.DUMMYFUNCTION("""COMPUTED_VALUE"""),"eduardosemg@gmail.com")</f>
        <v>eduardosemg@gmail.com</v>
      </c>
      <c r="O3103" s="11">
        <f>IFERROR(__xludf.DUMMYFUNCTION("""COMPUTED_VALUE"""),19588682487)</f>
        <v>19588682487</v>
      </c>
      <c r="P3103" s="11"/>
      <c r="Q3103" s="11"/>
      <c r="R3103" s="11"/>
      <c r="S3103" s="11"/>
      <c r="T3103" s="11"/>
      <c r="U3103" s="11"/>
      <c r="V3103" s="11"/>
      <c r="W3103" s="11"/>
      <c r="X3103" s="11"/>
      <c r="Y3103" s="11"/>
      <c r="Z3103" s="11"/>
    </row>
    <row r="3104" customHeight="1" spans="1:26">
      <c r="A3104" s="11" t="str">
        <f>IFERROR(__xludf.DUMMYFUNCTION("""COMPUTED_VALUE"""),"ANDREA ZACCHE DE S A E LIMA")</f>
        <v>ANDREA ZACCHE DE S A E LIMA</v>
      </c>
      <c r="B3104" s="11"/>
      <c r="C3104" s="11"/>
      <c r="D3104" s="11" t="str">
        <f>IFERROR(__xludf.DUMMYFUNCTION("""COMPUTED_VALUE"""),"PEDIATRIA")</f>
        <v>PEDIATRIA</v>
      </c>
      <c r="E3104" s="11"/>
      <c r="F3104" s="11" t="str">
        <f>IFERROR(__xludf.DUMMYFUNCTION("""COMPUTED_VALUE"""),"SERMAC")</f>
        <v>SERMAC</v>
      </c>
      <c r="G3104" s="11" t="str">
        <f>IFERROR(__xludf.DUMMYFUNCTION("""COMPUTED_VALUE"""),"SERMAC")</f>
        <v>SERMAC</v>
      </c>
      <c r="H3104" s="11"/>
      <c r="I3104" s="11"/>
      <c r="J3104" s="11"/>
      <c r="K3104" s="11"/>
      <c r="L3104" s="11"/>
      <c r="M3104" s="11"/>
      <c r="N3104" s="30" t="str">
        <f>IFERROR(__xludf.DUMMYFUNCTION("""COMPUTED_VALUE"""),"andreazacche@hotmail.com                               ")</f>
        <v>andreazacche@hotmail.com                               </v>
      </c>
      <c r="O3104" s="11">
        <f>IFERROR(__xludf.DUMMYFUNCTION("""COMPUTED_VALUE"""),49939343434)</f>
        <v>49939343434</v>
      </c>
      <c r="P3104" s="11"/>
      <c r="Q3104" s="11"/>
      <c r="R3104" s="11"/>
      <c r="S3104" s="11"/>
      <c r="T3104" s="11"/>
      <c r="U3104" s="11"/>
      <c r="V3104" s="11"/>
      <c r="W3104" s="11"/>
      <c r="X3104" s="11"/>
      <c r="Y3104" s="11"/>
      <c r="Z3104" s="11"/>
    </row>
    <row r="3105" customHeight="1" spans="1:26">
      <c r="A3105" s="11" t="str">
        <f>IFERROR(__xludf.DUMMYFUNCTION("""COMPUTED_VALUE"""),"EUGENIO SEVE DE MELO BARBOSA")</f>
        <v>EUGENIO SEVE DE MELO BARBOSA</v>
      </c>
      <c r="B3105" s="11"/>
      <c r="C3105" s="11"/>
      <c r="D3105" s="11" t="str">
        <f>IFERROR(__xludf.DUMMYFUNCTION("""COMPUTED_VALUE"""),"CIRURGIA GERAL ")</f>
        <v>CIRURGIA GERAL </v>
      </c>
      <c r="E3105" s="11"/>
      <c r="F3105" s="11" t="str">
        <f>IFERROR(__xludf.DUMMYFUNCTION("""COMPUTED_VALUE"""),"SERMAC")</f>
        <v>SERMAC</v>
      </c>
      <c r="G3105" s="11" t="str">
        <f>IFERROR(__xludf.DUMMYFUNCTION("""COMPUTED_VALUE"""),"SERMAC")</f>
        <v>SERMAC</v>
      </c>
      <c r="H3105" s="11"/>
      <c r="I3105" s="11"/>
      <c r="J3105" s="11"/>
      <c r="K3105" s="11"/>
      <c r="L3105" s="11"/>
      <c r="M3105" s="11"/>
      <c r="N3105" s="30" t="str">
        <f>IFERROR(__xludf.DUMMYFUNCTION("""COMPUTED_VALUE"""),"eugenioseve@bol.com.br")</f>
        <v>eugenioseve@bol.com.br</v>
      </c>
      <c r="O3105" s="11">
        <f>IFERROR(__xludf.DUMMYFUNCTION("""COMPUTED_VALUE"""),27360253420)</f>
        <v>27360253420</v>
      </c>
      <c r="P3105" s="11"/>
      <c r="Q3105" s="11"/>
      <c r="R3105" s="11"/>
      <c r="S3105" s="11"/>
      <c r="T3105" s="11"/>
      <c r="U3105" s="11"/>
      <c r="V3105" s="11"/>
      <c r="W3105" s="11"/>
      <c r="X3105" s="11"/>
      <c r="Y3105" s="11"/>
      <c r="Z3105" s="11"/>
    </row>
    <row r="3106" customHeight="1" spans="1:26">
      <c r="A3106" s="11" t="str">
        <f>IFERROR(__xludf.DUMMYFUNCTION("""COMPUTED_VALUE"""),"EDINAURA DE OLIVEIRA S BRAGA")</f>
        <v>EDINAURA DE OLIVEIRA S BRAGA</v>
      </c>
      <c r="B3106" s="11"/>
      <c r="C3106" s="11"/>
      <c r="D3106" s="11" t="str">
        <f>IFERROR(__xludf.DUMMYFUNCTION("""COMPUTED_VALUE"""),"PEDIATRIA")</f>
        <v>PEDIATRIA</v>
      </c>
      <c r="E3106" s="11"/>
      <c r="F3106" s="11" t="str">
        <f>IFERROR(__xludf.DUMMYFUNCTION("""COMPUTED_VALUE"""),"SERMAC")</f>
        <v>SERMAC</v>
      </c>
      <c r="G3106" s="11" t="str">
        <f>IFERROR(__xludf.DUMMYFUNCTION("""COMPUTED_VALUE"""),"SERMAC")</f>
        <v>SERMAC</v>
      </c>
      <c r="H3106" s="11"/>
      <c r="I3106" s="11"/>
      <c r="J3106" s="11"/>
      <c r="K3106" s="11"/>
      <c r="L3106" s="11"/>
      <c r="M3106" s="11"/>
      <c r="N3106" s="30" t="str">
        <f>IFERROR(__xludf.DUMMYFUNCTION("""COMPUTED_VALUE"""),"EDINAURASOBRAL@HOTMAIL.COM")</f>
        <v>EDINAURASOBRAL@HOTMAIL.COM</v>
      </c>
      <c r="O3106" s="11">
        <f>IFERROR(__xludf.DUMMYFUNCTION("""COMPUTED_VALUE"""),14357585449)</f>
        <v>14357585449</v>
      </c>
      <c r="P3106" s="11"/>
      <c r="Q3106" s="11"/>
      <c r="R3106" s="11"/>
      <c r="S3106" s="11"/>
      <c r="T3106" s="11"/>
      <c r="U3106" s="11"/>
      <c r="V3106" s="11"/>
      <c r="W3106" s="11"/>
      <c r="X3106" s="11"/>
      <c r="Y3106" s="11"/>
      <c r="Z3106" s="11"/>
    </row>
    <row r="3107" customHeight="1" spans="1:26">
      <c r="A3107" s="11" t="str">
        <f>IFERROR(__xludf.DUMMYFUNCTION("""COMPUTED_VALUE"""),"TACIANA BARBOSA DUQUE")</f>
        <v>TACIANA BARBOSA DUQUE</v>
      </c>
      <c r="B3107" s="11"/>
      <c r="C3107" s="11"/>
      <c r="D3107" s="11" t="str">
        <f>IFERROR(__xludf.DUMMYFUNCTION("""COMPUTED_VALUE"""),"PEDIATRIA")</f>
        <v>PEDIATRIA</v>
      </c>
      <c r="E3107" s="11"/>
      <c r="F3107" s="11" t="str">
        <f>IFERROR(__xludf.DUMMYFUNCTION("""COMPUTED_VALUE"""),"SEPMAD")</f>
        <v>SEPMAD</v>
      </c>
      <c r="G3107" s="11" t="str">
        <f>IFERROR(__xludf.DUMMYFUNCTION("""COMPUTED_VALUE"""),"SEPMAD")</f>
        <v>SEPMAD</v>
      </c>
      <c r="H3107" s="11"/>
      <c r="I3107" s="11"/>
      <c r="J3107" s="11"/>
      <c r="K3107" s="11"/>
      <c r="L3107" s="11"/>
      <c r="M3107" s="11"/>
      <c r="N3107" s="30" t="str">
        <f>IFERROR(__xludf.DUMMYFUNCTION("""COMPUTED_VALUE"""),"TACIANADUQUE@GMAIL.COM")</f>
        <v>TACIANADUQUE@GMAIL.COM</v>
      </c>
      <c r="O3107" s="11">
        <f>IFERROR(__xludf.DUMMYFUNCTION("""COMPUTED_VALUE"""),34998454404)</f>
        <v>34998454404</v>
      </c>
      <c r="P3107" s="11"/>
      <c r="Q3107" s="11"/>
      <c r="R3107" s="11"/>
      <c r="S3107" s="11"/>
      <c r="T3107" s="11"/>
      <c r="U3107" s="11"/>
      <c r="V3107" s="11"/>
      <c r="W3107" s="11"/>
      <c r="X3107" s="11"/>
      <c r="Y3107" s="11"/>
      <c r="Z3107" s="11"/>
    </row>
    <row r="3108" customHeight="1" spans="1:26">
      <c r="A3108" s="11" t="str">
        <f>IFERROR(__xludf.DUMMYFUNCTION("""COMPUTED_VALUE"""),"GERCIANE QUEIROGA CAPISTRANO")</f>
        <v>GERCIANE QUEIROGA CAPISTRANO</v>
      </c>
      <c r="B3108" s="11"/>
      <c r="C3108" s="11"/>
      <c r="D3108" s="11" t="str">
        <f>IFERROR(__xludf.DUMMYFUNCTION("""COMPUTED_VALUE"""),"PEDIATRIA")</f>
        <v>PEDIATRIA</v>
      </c>
      <c r="E3108" s="11"/>
      <c r="F3108" s="11" t="str">
        <f>IFERROR(__xludf.DUMMYFUNCTION("""COMPUTED_VALUE"""),"SEDE DISTRITO SANITARIO II")</f>
        <v>SEDE DISTRITO SANITARIO II</v>
      </c>
      <c r="G3108" s="11" t="str">
        <f>IFERROR(__xludf.DUMMYFUNCTION("""COMPUTED_VALUE"""),"SEDE DISTRITO SANITARIO II")</f>
        <v>SEDE DISTRITO SANITARIO II</v>
      </c>
      <c r="H3108" s="11"/>
      <c r="I3108" s="11"/>
      <c r="J3108" s="11"/>
      <c r="K3108" s="11"/>
      <c r="L3108" s="11"/>
      <c r="M3108" s="11"/>
      <c r="N3108" s="30" t="str">
        <f>IFERROR(__xludf.DUMMYFUNCTION("""COMPUTED_VALUE"""),"GERCIANEQUEIROGA@GMAIL.COM")</f>
        <v>GERCIANEQUEIROGA@GMAIL.COM</v>
      </c>
      <c r="O3108" s="11">
        <f>IFERROR(__xludf.DUMMYFUNCTION("""COMPUTED_VALUE"""),36055344491)</f>
        <v>36055344491</v>
      </c>
      <c r="P3108" s="11"/>
      <c r="Q3108" s="11"/>
      <c r="R3108" s="11"/>
      <c r="S3108" s="11"/>
      <c r="T3108" s="11"/>
      <c r="U3108" s="11"/>
      <c r="V3108" s="11"/>
      <c r="W3108" s="11"/>
      <c r="X3108" s="11"/>
      <c r="Y3108" s="11"/>
      <c r="Z3108" s="11"/>
    </row>
    <row r="3109" customHeight="1" spans="1:26">
      <c r="A3109" s="11" t="str">
        <f>IFERROR(__xludf.DUMMYFUNCTION("""COMPUTED_VALUE"""),"KLEBER SOARES DE ARAUJO")</f>
        <v>KLEBER SOARES DE ARAUJO</v>
      </c>
      <c r="B3109" s="11"/>
      <c r="C3109" s="11"/>
      <c r="D3109" s="11" t="str">
        <f>IFERROR(__xludf.DUMMYFUNCTION("""COMPUTED_VALUE"""),"CLINICA GERAL")</f>
        <v>CLINICA GERAL</v>
      </c>
      <c r="E3109" s="11"/>
      <c r="F3109" s="11" t="str">
        <f>IFERROR(__xludf.DUMMYFUNCTION("""COMPUTED_VALUE"""),"SEGTES")</f>
        <v>SEGTES</v>
      </c>
      <c r="G3109" s="11" t="str">
        <f>IFERROR(__xludf.DUMMYFUNCTION("""COMPUTED_VALUE"""),"SEGTES")</f>
        <v>SEGTES</v>
      </c>
      <c r="H3109" s="11"/>
      <c r="I3109" s="11"/>
      <c r="J3109" s="11"/>
      <c r="K3109" s="11"/>
      <c r="L3109" s="11"/>
      <c r="M3109" s="11"/>
      <c r="N3109" s="30" t="str">
        <f>IFERROR(__xludf.DUMMYFUNCTION("""COMPUTED_VALUE"""),"KLEBER@RECIFE.PE.GOV.BR")</f>
        <v>KLEBER@RECIFE.PE.GOV.BR</v>
      </c>
      <c r="O3109" s="11">
        <f>IFERROR(__xludf.DUMMYFUNCTION("""COMPUTED_VALUE"""),66637473472)</f>
        <v>66637473472</v>
      </c>
      <c r="P3109" s="11"/>
      <c r="Q3109" s="11"/>
      <c r="R3109" s="11"/>
      <c r="S3109" s="11"/>
      <c r="T3109" s="11"/>
      <c r="U3109" s="11"/>
      <c r="V3109" s="11"/>
      <c r="W3109" s="11"/>
      <c r="X3109" s="11"/>
      <c r="Y3109" s="11"/>
      <c r="Z3109" s="11"/>
    </row>
    <row r="3110" customHeight="1" spans="1:26">
      <c r="A3110" s="11" t="str">
        <f>IFERROR(__xludf.DUMMYFUNCTION("""COMPUTED_VALUE"""),"JOSE BEZERRA CAMARA NETO")</f>
        <v>JOSE BEZERRA CAMARA NETO</v>
      </c>
      <c r="B3110" s="11"/>
      <c r="C3110" s="11"/>
      <c r="D3110" s="11" t="str">
        <f>IFERROR(__xludf.DUMMYFUNCTION("""COMPUTED_VALUE"""),"CIRURGIA GERAL ")</f>
        <v>CIRURGIA GERAL </v>
      </c>
      <c r="E3110" s="11"/>
      <c r="F3110" s="11" t="str">
        <f>IFERROR(__xludf.DUMMYFUNCTION("""COMPUTED_VALUE"""),"SERMAC")</f>
        <v>SERMAC</v>
      </c>
      <c r="G3110" s="11" t="str">
        <f>IFERROR(__xludf.DUMMYFUNCTION("""COMPUTED_VALUE"""),"SERMAC")</f>
        <v>SERMAC</v>
      </c>
      <c r="H3110" s="11"/>
      <c r="I3110" s="11"/>
      <c r="J3110" s="11"/>
      <c r="K3110" s="11"/>
      <c r="L3110" s="11"/>
      <c r="M3110" s="11"/>
      <c r="N3110" s="30" t="str">
        <f>IFERROR(__xludf.DUMMYFUNCTION("""COMPUTED_VALUE"""),"DRJOSECAMARA@GMAIL.COM")</f>
        <v>DRJOSECAMARA@GMAIL.COM</v>
      </c>
      <c r="O3110" s="11">
        <f>IFERROR(__xludf.DUMMYFUNCTION("""COMPUTED_VALUE"""),89939379404)</f>
        <v>89939379404</v>
      </c>
      <c r="P3110" s="11"/>
      <c r="Q3110" s="11"/>
      <c r="R3110" s="11"/>
      <c r="S3110" s="11"/>
      <c r="T3110" s="11"/>
      <c r="U3110" s="11"/>
      <c r="V3110" s="11"/>
      <c r="W3110" s="11"/>
      <c r="X3110" s="11"/>
      <c r="Y3110" s="11"/>
      <c r="Z3110" s="11"/>
    </row>
    <row r="3111" customHeight="1" spans="1:26">
      <c r="A3111" s="11" t="str">
        <f>IFERROR(__xludf.DUMMYFUNCTION("""COMPUTED_VALUE"""),"FERNANDA CASADO")</f>
        <v>FERNANDA CASADO</v>
      </c>
      <c r="B3111" s="11"/>
      <c r="C3111" s="11"/>
      <c r="D3111" s="11" t="str">
        <f>IFERROR(__xludf.DUMMYFUNCTION("""COMPUTED_VALUE"""),"MEDICINA DE FAMILIA E COMUNIDADE / CIRURGIA GERAL ")</f>
        <v>MEDICINA DE FAMILIA E COMUNIDADE / CIRURGIA GERAL </v>
      </c>
      <c r="E3111" s="11"/>
      <c r="F3111" s="11" t="str">
        <f>IFERROR(__xludf.DUMMYFUNCTION("""COMPUTED_VALUE"""),"US_180 CENTRAL DE REGULACAO MEDICA SAMU METROPOLITANO RECIFE")</f>
        <v>US_180 CENTRAL DE REGULACAO MEDICA SAMU METROPOLITANO RECIFE</v>
      </c>
      <c r="G3111" s="11" t="str">
        <f>IFERROR(__xludf.DUMMYFUNCTION("""COMPUTED_VALUE"""),"US_180 CENTRAL DE REGULACAO MEDICA SAMU METROPOLITANO RECIFE")</f>
        <v>US_180 CENTRAL DE REGULACAO MEDICA SAMU METROPOLITANO RECIFE</v>
      </c>
      <c r="H3111" s="11"/>
      <c r="I3111" s="11"/>
      <c r="J3111" s="11"/>
      <c r="K3111" s="11"/>
      <c r="L3111" s="11"/>
      <c r="M3111" s="11"/>
      <c r="N3111" s="30" t="str">
        <f>IFERROR(__xludf.DUMMYFUNCTION("""COMPUTED_VALUE"""),"fernanda.casado@recife.pe.gov.br")</f>
        <v>fernanda.casado@recife.pe.gov.br</v>
      </c>
      <c r="O3111" s="11">
        <f>IFERROR(__xludf.DUMMYFUNCTION("""COMPUTED_VALUE"""),1923815474)</f>
        <v>1923815474</v>
      </c>
      <c r="P3111" s="11"/>
      <c r="Q3111" s="11"/>
      <c r="R3111" s="11"/>
      <c r="S3111" s="11"/>
      <c r="T3111" s="11"/>
      <c r="U3111" s="11"/>
      <c r="V3111" s="11"/>
      <c r="W3111" s="11"/>
      <c r="X3111" s="11"/>
      <c r="Y3111" s="11"/>
      <c r="Z3111" s="11"/>
    </row>
    <row r="3112" customHeight="1" spans="1:26">
      <c r="A3112" s="11" t="str">
        <f>IFERROR(__xludf.DUMMYFUNCTION("""COMPUTED_VALUE"""),"GUSTAVO SERGIO DE G MAGALHAES")</f>
        <v>GUSTAVO SERGIO DE G MAGALHAES</v>
      </c>
      <c r="B3112" s="11"/>
      <c r="C3112" s="11"/>
      <c r="D3112" s="11" t="str">
        <f>IFERROR(__xludf.DUMMYFUNCTION("""COMPUTED_VALUE"""),"MEDICINA DE FAMILIA E COMUNIDADE")</f>
        <v>MEDICINA DE FAMILIA E COMUNIDADE</v>
      </c>
      <c r="E3112" s="11"/>
      <c r="F3112" s="11" t="str">
        <f>IFERROR(__xludf.DUMMYFUNCTION("""COMPUTED_VALUE"""),"SEGTES")</f>
        <v>SEGTES</v>
      </c>
      <c r="G3112" s="11" t="str">
        <f>IFERROR(__xludf.DUMMYFUNCTION("""COMPUTED_VALUE"""),"SEGTES")</f>
        <v>SEGTES</v>
      </c>
      <c r="H3112" s="11"/>
      <c r="I3112" s="11"/>
      <c r="J3112" s="11"/>
      <c r="K3112" s="11"/>
      <c r="L3112" s="11"/>
      <c r="M3112" s="11"/>
      <c r="N3112" s="30" t="str">
        <f>IFERROR(__xludf.DUMMYFUNCTION("""COMPUTED_VALUE"""),"gustavo.godoy@recife.pe.gov.br                         ")</f>
        <v>gustavo.godoy@recife.pe.gov.br                         </v>
      </c>
      <c r="O3112" s="11">
        <f>IFERROR(__xludf.DUMMYFUNCTION("""COMPUTED_VALUE"""),4042807496)</f>
        <v>4042807496</v>
      </c>
      <c r="P3112" s="11"/>
      <c r="Q3112" s="11"/>
      <c r="R3112" s="11"/>
      <c r="S3112" s="11"/>
      <c r="T3112" s="11"/>
      <c r="U3112" s="11"/>
      <c r="V3112" s="11"/>
      <c r="W3112" s="11"/>
      <c r="X3112" s="11"/>
      <c r="Y3112" s="11"/>
      <c r="Z3112" s="11"/>
    </row>
    <row r="3113" customHeight="1" spans="1:26">
      <c r="A3113" s="11" t="str">
        <f>IFERROR(__xludf.DUMMYFUNCTION("""COMPUTED_VALUE"""),"ARISTIDES V DE OLIVEIRA NETO")</f>
        <v>ARISTIDES V DE OLIVEIRA NETO</v>
      </c>
      <c r="B3113" s="11"/>
      <c r="C3113" s="11"/>
      <c r="D3113" s="11" t="str">
        <f>IFERROR(__xludf.DUMMYFUNCTION("""COMPUTED_VALUE"""),"MEDICINA DE FAMILIA E COMUNIDADE")</f>
        <v>MEDICINA DE FAMILIA E COMUNIDADE</v>
      </c>
      <c r="E3113" s="11"/>
      <c r="F3113" s="11" t="str">
        <f>IFERROR(__xludf.DUMMYFUNCTION("""COMPUTED_VALUE"""),"SERMAC")</f>
        <v>SERMAC</v>
      </c>
      <c r="G3113" s="11" t="str">
        <f>IFERROR(__xludf.DUMMYFUNCTION("""COMPUTED_VALUE"""),"SERMAC")</f>
        <v>SERMAC</v>
      </c>
      <c r="H3113" s="11"/>
      <c r="I3113" s="11"/>
      <c r="J3113" s="11"/>
      <c r="K3113" s="11"/>
      <c r="L3113" s="11"/>
      <c r="M3113" s="11"/>
      <c r="N3113" s="30" t="str">
        <f>IFERROR(__xludf.DUMMYFUNCTION("""COMPUTED_VALUE"""),"aristidesoliveira80@gmail.com")</f>
        <v>aristidesoliveira80@gmail.com</v>
      </c>
      <c r="O3113" s="11">
        <f>IFERROR(__xludf.DUMMYFUNCTION("""COMPUTED_VALUE"""),3936192499)</f>
        <v>3936192499</v>
      </c>
      <c r="P3113" s="11"/>
      <c r="Q3113" s="11"/>
      <c r="R3113" s="11"/>
      <c r="S3113" s="11"/>
      <c r="T3113" s="11"/>
      <c r="U3113" s="11"/>
      <c r="V3113" s="11"/>
      <c r="W3113" s="11"/>
      <c r="X3113" s="11"/>
      <c r="Y3113" s="11"/>
      <c r="Z3113" s="11"/>
    </row>
    <row r="3114" customHeight="1" spans="1:26">
      <c r="A3114" s="11" t="str">
        <f>IFERROR(__xludf.DUMMYFUNCTION("""COMPUTED_VALUE"""),"HELIO FLAVIO F DOS SANTOS")</f>
        <v>HELIO FLAVIO F DOS SANTOS</v>
      </c>
      <c r="B3114" s="11"/>
      <c r="C3114" s="11"/>
      <c r="D3114" s="11" t="str">
        <f>IFERROR(__xludf.DUMMYFUNCTION("""COMPUTED_VALUE"""),"CIRURGIA GERAL")</f>
        <v>CIRURGIA GERAL</v>
      </c>
      <c r="E3114" s="11"/>
      <c r="F3114" s="11" t="str">
        <f>IFERROR(__xludf.DUMMYFUNCTION("""COMPUTED_VALUE"""),"SERMAC")</f>
        <v>SERMAC</v>
      </c>
      <c r="G3114" s="11" t="str">
        <f>IFERROR(__xludf.DUMMYFUNCTION("""COMPUTED_VALUE"""),"SERMAC")</f>
        <v>SERMAC</v>
      </c>
      <c r="H3114" s="11"/>
      <c r="I3114" s="11"/>
      <c r="J3114" s="11"/>
      <c r="K3114" s="11"/>
      <c r="L3114" s="11"/>
      <c r="M3114" s="11"/>
      <c r="N3114" s="30" t="str">
        <f>IFERROR(__xludf.DUMMYFUNCTION("""COMPUTED_VALUE"""),"heliof_faustino@hotmail.com")</f>
        <v>heliof_faustino@hotmail.com</v>
      </c>
      <c r="O3114" s="11">
        <f>IFERROR(__xludf.DUMMYFUNCTION("""COMPUTED_VALUE"""),2415630462)</f>
        <v>2415630462</v>
      </c>
      <c r="P3114" s="11"/>
      <c r="Q3114" s="11"/>
      <c r="R3114" s="11"/>
      <c r="S3114" s="11"/>
      <c r="T3114" s="11"/>
      <c r="U3114" s="11"/>
      <c r="V3114" s="11"/>
      <c r="W3114" s="11"/>
      <c r="X3114" s="11"/>
      <c r="Y3114" s="11"/>
      <c r="Z3114" s="11"/>
    </row>
    <row r="3115" customHeight="1" spans="1:26">
      <c r="A3115" s="11" t="str">
        <f>IFERROR(__xludf.DUMMYFUNCTION("""COMPUTED_VALUE"""),"ISABEL BRANDAO CORREIA")</f>
        <v>ISABEL BRANDAO CORREIA</v>
      </c>
      <c r="B3115" s="11"/>
      <c r="C3115" s="11"/>
      <c r="D3115" s="11" t="str">
        <f>IFERROR(__xludf.DUMMYFUNCTION("""COMPUTED_VALUE"""),"MEDICINA DE FAMILIA E COMUNIDADE")</f>
        <v>MEDICINA DE FAMILIA E COMUNIDADE</v>
      </c>
      <c r="E3115" s="11"/>
      <c r="F3115" s="11" t="str">
        <f>IFERROR(__xludf.DUMMYFUNCTION("""COMPUTED_VALUE"""),"SEGTES")</f>
        <v>SEGTES</v>
      </c>
      <c r="G3115" s="11" t="str">
        <f>IFERROR(__xludf.DUMMYFUNCTION("""COMPUTED_VALUE"""),"US 397 USF UPINHA DIA ACS MARIA RITA DA SILVA /CORREGO DO EUCLIDES")</f>
        <v>US 397 USF UPINHA DIA ACS MARIA RITA DA SILVA /CORREGO DO EUCLIDES</v>
      </c>
      <c r="H3115" s="27">
        <f>IFERROR(__xludf.DUMMYFUNCTION("""COMPUTED_VALUE"""),81996731640)</f>
        <v>81996731640</v>
      </c>
      <c r="I3115" s="11"/>
      <c r="J3115" s="11"/>
      <c r="K3115" s="24">
        <f>IFERROR(__xludf.DUMMYFUNCTION("""COMPUTED_VALUE"""),45370)</f>
        <v>45370</v>
      </c>
      <c r="L3115" s="11"/>
      <c r="M3115" s="11"/>
      <c r="N3115" s="30" t="str">
        <f>IFERROR(__xludf.DUMMYFUNCTION("""COMPUTED_VALUE"""),"isabel.correia@recife.pe.gov.br")</f>
        <v>isabel.correia@recife.pe.gov.br</v>
      </c>
      <c r="O3115" s="11">
        <f>IFERROR(__xludf.DUMMYFUNCTION("""COMPUTED_VALUE"""),4367368459)</f>
        <v>4367368459</v>
      </c>
      <c r="P3115" s="11"/>
      <c r="Q3115" s="11"/>
      <c r="R3115" s="11"/>
      <c r="S3115" s="11"/>
      <c r="T3115" s="11"/>
      <c r="U3115" s="11"/>
      <c r="V3115" s="11"/>
      <c r="W3115" s="11"/>
      <c r="X3115" s="11"/>
      <c r="Y3115" s="11"/>
      <c r="Z3115" s="11"/>
    </row>
    <row r="3116" customHeight="1" spans="1:26">
      <c r="A3116" s="11" t="str">
        <f>IFERROR(__xludf.DUMMYFUNCTION("""COMPUTED_VALUE"""),"ARTURO DE PADUA W JORDAN")</f>
        <v>ARTURO DE PADUA W JORDAN</v>
      </c>
      <c r="B3116" s="11"/>
      <c r="C3116" s="11"/>
      <c r="D3116" s="11" t="str">
        <f>IFERROR(__xludf.DUMMYFUNCTION("""COMPUTED_VALUE"""),"MEDICINA DE FAMILIA E COMUNIDADE")</f>
        <v>MEDICINA DE FAMILIA E COMUNIDADE</v>
      </c>
      <c r="E3116" s="11"/>
      <c r="F3116" s="11" t="str">
        <f>IFERROR(__xludf.DUMMYFUNCTION("""COMPUTED_VALUE"""),"SEGTES")</f>
        <v>SEGTES</v>
      </c>
      <c r="G3116" s="11" t="str">
        <f>IFERROR(__xludf.DUMMYFUNCTION("""COMPUTED_VALUE"""),"SEGTES")</f>
        <v>SEGTES</v>
      </c>
      <c r="H3116" s="11"/>
      <c r="I3116" s="11"/>
      <c r="J3116" s="11"/>
      <c r="K3116" s="11"/>
      <c r="L3116" s="11"/>
      <c r="M3116" s="11"/>
      <c r="N3116" s="30" t="str">
        <f>IFERROR(__xludf.DUMMYFUNCTION("""COMPUTED_VALUE"""),"arturojor@yahoo.com.br")</f>
        <v>arturojor@yahoo.com.br</v>
      </c>
      <c r="O3116" s="11">
        <f>IFERROR(__xludf.DUMMYFUNCTION("""COMPUTED_VALUE"""),2636491481)</f>
        <v>2636491481</v>
      </c>
      <c r="P3116" s="11"/>
      <c r="Q3116" s="11"/>
      <c r="R3116" s="11"/>
      <c r="S3116" s="11"/>
      <c r="T3116" s="11"/>
      <c r="U3116" s="11"/>
      <c r="V3116" s="11"/>
      <c r="W3116" s="11"/>
      <c r="X3116" s="11"/>
      <c r="Y3116" s="11"/>
      <c r="Z3116" s="11"/>
    </row>
    <row r="3117" customHeight="1" spans="1:26">
      <c r="A3117" s="11" t="str">
        <f>IFERROR(__xludf.DUMMYFUNCTION("""COMPUTED_VALUE"""),"LUDMILLA M COSTA VASCONCELOS")</f>
        <v>LUDMILLA M COSTA VASCONCELOS</v>
      </c>
      <c r="B3117" s="11"/>
      <c r="C3117" s="11"/>
      <c r="D3117" s="11" t="str">
        <f>IFERROR(__xludf.DUMMYFUNCTION("""COMPUTED_VALUE"""),"PSIQUIATRIA")</f>
        <v>PSIQUIATRIA</v>
      </c>
      <c r="E3117" s="11"/>
      <c r="F3117" s="11" t="str">
        <f>IFERROR(__xludf.DUMMYFUNCTION("""COMPUTED_VALUE"""),"SEGTES")</f>
        <v>SEGTES</v>
      </c>
      <c r="G3117" s="11" t="str">
        <f>IFERROR(__xludf.DUMMYFUNCTION("""COMPUTED_VALUE"""),"SEGTES")</f>
        <v>SEGTES</v>
      </c>
      <c r="H3117" s="11"/>
      <c r="I3117" s="11"/>
      <c r="J3117" s="11"/>
      <c r="K3117" s="11"/>
      <c r="L3117" s="11"/>
      <c r="M3117" s="11"/>
      <c r="N3117" s="30" t="str">
        <f>IFERROR(__xludf.DUMMYFUNCTION("""COMPUTED_VALUE"""),"ludmillaerafael@gmail.com")</f>
        <v>ludmillaerafael@gmail.com</v>
      </c>
      <c r="O3117" s="11">
        <f>IFERROR(__xludf.DUMMYFUNCTION("""COMPUTED_VALUE"""),1161477411)</f>
        <v>1161477411</v>
      </c>
      <c r="P3117" s="11"/>
      <c r="Q3117" s="11"/>
      <c r="R3117" s="11"/>
      <c r="S3117" s="11"/>
      <c r="T3117" s="11"/>
      <c r="U3117" s="11"/>
      <c r="V3117" s="11"/>
      <c r="W3117" s="11"/>
      <c r="X3117" s="11"/>
      <c r="Y3117" s="11"/>
      <c r="Z3117" s="11"/>
    </row>
    <row r="3118" customHeight="1" spans="1:26">
      <c r="A3118" s="11" t="str">
        <f>IFERROR(__xludf.DUMMYFUNCTION("""COMPUTED_VALUE"""),"EUGENIO SEVE DE MELO BARBOSA")</f>
        <v>EUGENIO SEVE DE MELO BARBOSA</v>
      </c>
      <c r="B3118" s="11"/>
      <c r="C3118" s="11"/>
      <c r="D3118" s="11" t="str">
        <f>IFERROR(__xludf.DUMMYFUNCTION("""COMPUTED_VALUE"""),"CIRURGIA GERAL ")</f>
        <v>CIRURGIA GERAL </v>
      </c>
      <c r="E3118" s="11"/>
      <c r="F3118" s="11" t="str">
        <f>IFERROR(__xludf.DUMMYFUNCTION("""COMPUTED_VALUE"""),"SERMAC")</f>
        <v>SERMAC</v>
      </c>
      <c r="G3118" s="11" t="str">
        <f>IFERROR(__xludf.DUMMYFUNCTION("""COMPUTED_VALUE"""),"SERMAC")</f>
        <v>SERMAC</v>
      </c>
      <c r="H3118" s="11"/>
      <c r="I3118" s="11"/>
      <c r="J3118" s="11"/>
      <c r="K3118" s="11"/>
      <c r="L3118" s="11"/>
      <c r="M3118" s="11"/>
      <c r="N3118" s="30" t="str">
        <f>IFERROR(__xludf.DUMMYFUNCTION("""COMPUTED_VALUE"""),"EUGENIOSEVE@BOL.COM.BR")</f>
        <v>EUGENIOSEVE@BOL.COM.BR</v>
      </c>
      <c r="O3118" s="11">
        <f>IFERROR(__xludf.DUMMYFUNCTION("""COMPUTED_VALUE"""),27360253420)</f>
        <v>27360253420</v>
      </c>
      <c r="P3118" s="11"/>
      <c r="Q3118" s="11"/>
      <c r="R3118" s="11"/>
      <c r="S3118" s="11"/>
      <c r="T3118" s="11"/>
      <c r="U3118" s="11"/>
      <c r="V3118" s="11"/>
      <c r="W3118" s="11"/>
      <c r="X3118" s="11"/>
      <c r="Y3118" s="11"/>
      <c r="Z3118" s="11"/>
    </row>
    <row r="3119" customHeight="1" spans="1:26">
      <c r="A3119" s="11" t="str">
        <f>IFERROR(__xludf.DUMMYFUNCTION("""COMPUTED_VALUE"""),"MURILO FERNANDES WANDERLEY")</f>
        <v>MURILO FERNANDES WANDERLEY</v>
      </c>
      <c r="B3119" s="11"/>
      <c r="C3119" s="11"/>
      <c r="D3119" s="11" t="str">
        <f>IFERROR(__xludf.DUMMYFUNCTION("""COMPUTED_VALUE"""),"CLINICA GERAL")</f>
        <v>CLINICA GERAL</v>
      </c>
      <c r="E3119" s="11"/>
      <c r="F3119" s="11" t="str">
        <f>IFERROR(__xludf.DUMMYFUNCTION("""COMPUTED_VALUE"""),"SERMAC")</f>
        <v>SERMAC</v>
      </c>
      <c r="G3119" s="11" t="str">
        <f>IFERROR(__xludf.DUMMYFUNCTION("""COMPUTED_VALUE"""),"SERMAC")</f>
        <v>SERMAC</v>
      </c>
      <c r="H3119" s="11"/>
      <c r="I3119" s="11"/>
      <c r="J3119" s="11"/>
      <c r="K3119" s="11"/>
      <c r="L3119" s="11"/>
      <c r="M3119" s="11"/>
      <c r="N3119" s="30" t="str">
        <f>IFERROR(__xludf.DUMMYFUNCTION("""COMPUTED_VALUE"""),"MURILOWANDERLEY@HOTMAIL.COM")</f>
        <v>MURILOWANDERLEY@HOTMAIL.COM</v>
      </c>
      <c r="O3119" s="11">
        <f>IFERROR(__xludf.DUMMYFUNCTION("""COMPUTED_VALUE"""),23524766404)</f>
        <v>23524766404</v>
      </c>
      <c r="P3119" s="11"/>
      <c r="Q3119" s="11"/>
      <c r="R3119" s="11"/>
      <c r="S3119" s="11"/>
      <c r="T3119" s="11"/>
      <c r="U3119" s="11"/>
      <c r="V3119" s="11"/>
      <c r="W3119" s="11"/>
      <c r="X3119" s="11"/>
      <c r="Y3119" s="11"/>
      <c r="Z3119" s="11"/>
    </row>
    <row r="3120" customHeight="1" spans="1:26">
      <c r="A3120" s="11" t="str">
        <f>IFERROR(__xludf.DUMMYFUNCTION("""COMPUTED_VALUE"""),"HUGO LEONARDO DE O COUTO")</f>
        <v>HUGO LEONARDO DE O COUTO</v>
      </c>
      <c r="B3120" s="11"/>
      <c r="C3120" s="11"/>
      <c r="D3120" s="11" t="str">
        <f>IFERROR(__xludf.DUMMYFUNCTION("""COMPUTED_VALUE"""),"PSIQUIATRIA")</f>
        <v>PSIQUIATRIA</v>
      </c>
      <c r="E3120" s="11"/>
      <c r="F3120" s="11" t="str">
        <f>IFERROR(__xludf.DUMMYFUNCTION("""COMPUTED_VALUE"""),"SEGTES")</f>
        <v>SEGTES</v>
      </c>
      <c r="G3120" s="11" t="str">
        <f>IFERROR(__xludf.DUMMYFUNCTION("""COMPUTED_VALUE"""),"SEGTES")</f>
        <v>SEGTES</v>
      </c>
      <c r="H3120" s="11"/>
      <c r="I3120" s="11"/>
      <c r="J3120" s="11"/>
      <c r="K3120" s="11"/>
      <c r="L3120" s="11"/>
      <c r="M3120" s="11"/>
      <c r="N3120" s="30" t="str">
        <f>IFERROR(__xludf.DUMMYFUNCTION("""COMPUTED_VALUE"""),"HUGOCOUTO@ME.COM")</f>
        <v>HUGOCOUTO@ME.COM</v>
      </c>
      <c r="O3120" s="11">
        <f>IFERROR(__xludf.DUMMYFUNCTION("""COMPUTED_VALUE"""),3843198403)</f>
        <v>3843198403</v>
      </c>
      <c r="P3120" s="11"/>
      <c r="Q3120" s="11"/>
      <c r="R3120" s="11"/>
      <c r="S3120" s="11"/>
      <c r="T3120" s="11"/>
      <c r="U3120" s="11"/>
      <c r="V3120" s="11"/>
      <c r="W3120" s="11"/>
      <c r="X3120" s="11"/>
      <c r="Y3120" s="11"/>
      <c r="Z3120" s="11"/>
    </row>
    <row r="3121" customHeight="1" spans="1:26">
      <c r="A3121" s="11" t="str">
        <f>IFERROR(__xludf.DUMMYFUNCTION("""COMPUTED_VALUE"""),"MARIETA CARVALHO T GALINDO")</f>
        <v>MARIETA CARVALHO T GALINDO</v>
      </c>
      <c r="B3121" s="11"/>
      <c r="C3121" s="11"/>
      <c r="D3121" s="11" t="str">
        <f>IFERROR(__xludf.DUMMYFUNCTION("""COMPUTED_VALUE"""),"GINECOLOGIA / COLPOSCOPIA")</f>
        <v>GINECOLOGIA / COLPOSCOPIA</v>
      </c>
      <c r="E3121" s="11"/>
      <c r="F3121" s="11" t="str">
        <f>IFERROR(__xludf.DUMMYFUNCTION("""COMPUTED_VALUE"""),"SERMAC")</f>
        <v>SERMAC</v>
      </c>
      <c r="G3121" s="11" t="str">
        <f>IFERROR(__xludf.DUMMYFUNCTION("""COMPUTED_VALUE"""),"SERMAC")</f>
        <v>SERMAC</v>
      </c>
      <c r="H3121" s="11"/>
      <c r="I3121" s="11"/>
      <c r="J3121" s="11"/>
      <c r="K3121" s="11"/>
      <c r="L3121" s="11"/>
      <c r="M3121" s="11"/>
      <c r="N3121" s="30" t="str">
        <f>IFERROR(__xludf.DUMMYFUNCTION("""COMPUTED_VALUE"""),"MARIETAGALINDO@GMAIL.COM")</f>
        <v>MARIETAGALINDO@GMAIL.COM</v>
      </c>
      <c r="O3121" s="11">
        <f>IFERROR(__xludf.DUMMYFUNCTION("""COMPUTED_VALUE"""),4131314401)</f>
        <v>4131314401</v>
      </c>
      <c r="P3121" s="11"/>
      <c r="Q3121" s="11"/>
      <c r="R3121" s="11"/>
      <c r="S3121" s="11"/>
      <c r="T3121" s="11"/>
      <c r="U3121" s="11"/>
      <c r="V3121" s="11"/>
      <c r="W3121" s="11"/>
      <c r="X3121" s="11"/>
      <c r="Y3121" s="11"/>
      <c r="Z3121" s="11"/>
    </row>
    <row r="3122" customHeight="1" spans="1:26">
      <c r="A3122" s="11" t="str">
        <f>IFERROR(__xludf.DUMMYFUNCTION("""COMPUTED_VALUE"""),"OSVALDO NASCIMENTO PASCOAL")</f>
        <v>OSVALDO NASCIMENTO PASCOAL</v>
      </c>
      <c r="B3122" s="11"/>
      <c r="C3122" s="11"/>
      <c r="D3122" s="11" t="str">
        <f>IFERROR(__xludf.DUMMYFUNCTION("""COMPUTED_VALUE"""),"MEDICINA DE FAMILIA E COMUNIDADE")</f>
        <v>MEDICINA DE FAMILIA E COMUNIDADE</v>
      </c>
      <c r="E3122" s="11"/>
      <c r="F3122" s="11" t="str">
        <f>IFERROR(__xludf.DUMMYFUNCTION("""COMPUTED_VALUE"""),"SEAB")</f>
        <v>SEAB</v>
      </c>
      <c r="G3122" s="11" t="str">
        <f>IFERROR(__xludf.DUMMYFUNCTION("""COMPUTED_VALUE"""),"SEAB")</f>
        <v>SEAB</v>
      </c>
      <c r="H3122" s="11"/>
      <c r="I3122" s="11"/>
      <c r="J3122" s="11"/>
      <c r="K3122" s="11"/>
      <c r="L3122" s="11"/>
      <c r="M3122" s="11"/>
      <c r="N3122" s="30" t="str">
        <f>IFERROR(__xludf.DUMMYFUNCTION("""COMPUTED_VALUE"""),"onpascoal@hotmail.com")</f>
        <v>onpascoal@hotmail.com</v>
      </c>
      <c r="O3122" s="11">
        <f>IFERROR(__xludf.DUMMYFUNCTION("""COMPUTED_VALUE"""),6432516420)</f>
        <v>6432516420</v>
      </c>
      <c r="P3122" s="11"/>
      <c r="Q3122" s="11"/>
      <c r="R3122" s="11"/>
      <c r="S3122" s="11"/>
      <c r="T3122" s="11"/>
      <c r="U3122" s="11"/>
      <c r="V3122" s="11"/>
      <c r="W3122" s="11"/>
      <c r="X3122" s="11"/>
      <c r="Y3122" s="11"/>
      <c r="Z3122" s="11"/>
    </row>
    <row r="3123" customHeight="1" spans="1:26">
      <c r="A3123" s="11" t="str">
        <f>IFERROR(__xludf.DUMMYFUNCTION("""COMPUTED_VALUE"""),"CARLA PINHEIRO MACIEL")</f>
        <v>CARLA PINHEIRO MACIEL</v>
      </c>
      <c r="B3123" s="11"/>
      <c r="C3123" s="11"/>
      <c r="D3123" s="11" t="str">
        <f>IFERROR(__xludf.DUMMYFUNCTION("""COMPUTED_VALUE"""),"PSIQUIATRIA")</f>
        <v>PSIQUIATRIA</v>
      </c>
      <c r="E3123" s="11"/>
      <c r="F3123" s="11" t="str">
        <f>IFERROR(__xludf.DUMMYFUNCTION("""COMPUTED_VALUE"""),"US_170 CAPS DR GALDINO LORETO")</f>
        <v>US_170 CAPS DR GALDINO LORETO</v>
      </c>
      <c r="G3123" s="11" t="str">
        <f>IFERROR(__xludf.DUMMYFUNCTION("""COMPUTED_VALUE"""),"US_170 CAPS DR GALDINO LORETO")</f>
        <v>US_170 CAPS DR GALDINO LORETO</v>
      </c>
      <c r="H3123" s="11"/>
      <c r="I3123" s="11"/>
      <c r="J3123" s="11"/>
      <c r="K3123" s="11"/>
      <c r="L3123" s="11"/>
      <c r="M3123" s="11"/>
      <c r="N3123" s="30" t="str">
        <f>IFERROR(__xludf.DUMMYFUNCTION("""COMPUTED_VALUE"""),"carlap.maciel@gmail.com")</f>
        <v>carlap.maciel@gmail.com</v>
      </c>
      <c r="O3123" s="11">
        <f>IFERROR(__xludf.DUMMYFUNCTION("""COMPUTED_VALUE"""),60013416308)</f>
        <v>60013416308</v>
      </c>
      <c r="P3123" s="11"/>
      <c r="Q3123" s="11"/>
      <c r="R3123" s="11"/>
      <c r="S3123" s="11"/>
      <c r="T3123" s="11"/>
      <c r="U3123" s="11"/>
      <c r="V3123" s="11"/>
      <c r="W3123" s="11"/>
      <c r="X3123" s="11"/>
      <c r="Y3123" s="11"/>
      <c r="Z3123" s="11"/>
    </row>
    <row r="3124" customHeight="1" spans="1:26">
      <c r="A3124" s="11" t="str">
        <f>IFERROR(__xludf.DUMMYFUNCTION("""COMPUTED_VALUE"""),"ANDREA IGLESIAS C COUTINHO")</f>
        <v>ANDREA IGLESIAS C COUTINHO</v>
      </c>
      <c r="B3124" s="11"/>
      <c r="C3124" s="11"/>
      <c r="D3124" s="11" t="str">
        <f>IFERROR(__xludf.DUMMYFUNCTION("""COMPUTED_VALUE"""),"GASTROENTEROLOGIA")</f>
        <v>GASTROENTEROLOGIA</v>
      </c>
      <c r="E3124" s="11"/>
      <c r="F3124" s="11" t="str">
        <f>IFERROR(__xludf.DUMMYFUNCTION("""COMPUTED_VALUE"""),"US_126 CS VER ROMILDO GOMES")</f>
        <v>US_126 CS VER ROMILDO GOMES</v>
      </c>
      <c r="G3124" s="11" t="str">
        <f>IFERROR(__xludf.DUMMYFUNCTION("""COMPUTED_VALUE"""),"US_126 CS VER ROMILDO GOMES")</f>
        <v>US_126 CS VER ROMILDO GOMES</v>
      </c>
      <c r="H3124" s="11"/>
      <c r="I3124" s="11"/>
      <c r="J3124" s="11"/>
      <c r="K3124" s="11"/>
      <c r="L3124" s="11"/>
      <c r="M3124" s="11"/>
      <c r="N3124" s="30" t="str">
        <f>IFERROR(__xludf.DUMMYFUNCTION("""COMPUTED_VALUE"""),"ANDREAIGLCAVALCANTI@GMAIL.COM")</f>
        <v>ANDREAIGLCAVALCANTI@GMAIL.COM</v>
      </c>
      <c r="O3124" s="11">
        <f>IFERROR(__xludf.DUMMYFUNCTION("""COMPUTED_VALUE"""),53726111468)</f>
        <v>53726111468</v>
      </c>
      <c r="P3124" s="11"/>
      <c r="Q3124" s="11"/>
      <c r="R3124" s="11"/>
      <c r="S3124" s="11"/>
      <c r="T3124" s="11"/>
      <c r="U3124" s="11"/>
      <c r="V3124" s="11"/>
      <c r="W3124" s="11"/>
      <c r="X3124" s="11"/>
      <c r="Y3124" s="11"/>
      <c r="Z3124" s="11"/>
    </row>
    <row r="3125" customHeight="1" spans="1:26">
      <c r="A3125" s="11" t="str">
        <f>IFERROR(__xludf.DUMMYFUNCTION("""COMPUTED_VALUE"""),"ANA AMELIA CORREA DE A VERAS")</f>
        <v>ANA AMELIA CORREA DE A VERAS</v>
      </c>
      <c r="B3125" s="11"/>
      <c r="C3125" s="11"/>
      <c r="D3125" s="11" t="str">
        <f>IFERROR(__xludf.DUMMYFUNCTION("""COMPUTED_VALUE"""),"PEDIATRIA")</f>
        <v>PEDIATRIA</v>
      </c>
      <c r="E3125" s="11"/>
      <c r="F3125" s="11" t="str">
        <f>IFERROR(__xludf.DUMMYFUNCTION("""COMPUTED_VALUE"""),"US_104 CS SEBASTIAO IVO RABELO")</f>
        <v>US_104 CS SEBASTIAO IVO RABELO</v>
      </c>
      <c r="G3125" s="11" t="str">
        <f>IFERROR(__xludf.DUMMYFUNCTION("""COMPUTED_VALUE"""),"US_104 CS SEBASTIAO IVO RABELO")</f>
        <v>US_104 CS SEBASTIAO IVO RABELO</v>
      </c>
      <c r="H3125" s="11"/>
      <c r="I3125" s="11"/>
      <c r="J3125" s="11"/>
      <c r="K3125" s="11"/>
      <c r="L3125" s="11"/>
      <c r="M3125" s="11"/>
      <c r="N3125" s="30" t="str">
        <f>IFERROR(__xludf.DUMMYFUNCTION("""COMPUTED_VALUE"""),"anamelia.av@gmail.com")</f>
        <v>anamelia.av@gmail.com</v>
      </c>
      <c r="O3125" s="11">
        <f>IFERROR(__xludf.DUMMYFUNCTION("""COMPUTED_VALUE"""),10443827400)</f>
        <v>10443827400</v>
      </c>
      <c r="P3125" s="11"/>
      <c r="Q3125" s="11"/>
      <c r="R3125" s="11"/>
      <c r="S3125" s="11"/>
      <c r="T3125" s="11"/>
      <c r="U3125" s="11"/>
      <c r="V3125" s="11"/>
      <c r="W3125" s="11"/>
      <c r="X3125" s="11"/>
      <c r="Y3125" s="11"/>
      <c r="Z3125" s="11"/>
    </row>
    <row r="3126" customHeight="1" spans="1:26">
      <c r="A3126" s="11" t="str">
        <f>IFERROR(__xludf.DUMMYFUNCTION("""COMPUTED_VALUE"""),"LUCIANA DE MELO V M LOCIO")</f>
        <v>LUCIANA DE MELO V M LOCIO</v>
      </c>
      <c r="B3126" s="11"/>
      <c r="C3126" s="11"/>
      <c r="D3126" s="11" t="str">
        <f>IFERROR(__xludf.DUMMYFUNCTION("""COMPUTED_VALUE"""),"DERMATOLOGIA")</f>
        <v>DERMATOLOGIA</v>
      </c>
      <c r="E3126" s="11"/>
      <c r="F3126" s="11" t="str">
        <f>IFERROR(__xludf.DUMMYFUNCTION("""COMPUTED_VALUE"""),"US_126 CS VER ROMILDO GOMES")</f>
        <v>US_126 CS VER ROMILDO GOMES</v>
      </c>
      <c r="G3126" s="11" t="str">
        <f>IFERROR(__xludf.DUMMYFUNCTION("""COMPUTED_VALUE"""),"US_126 CS VER ROMILDO GOMES")</f>
        <v>US_126 CS VER ROMILDO GOMES</v>
      </c>
      <c r="H3126" s="11"/>
      <c r="I3126" s="11"/>
      <c r="J3126" s="11"/>
      <c r="K3126" s="11"/>
      <c r="L3126" s="11"/>
      <c r="M3126" s="11"/>
      <c r="N3126" s="30" t="str">
        <f>IFERROR(__xludf.DUMMYFUNCTION("""COMPUTED_VALUE"""),"lucianalocio@msn.com")</f>
        <v>lucianalocio@msn.com</v>
      </c>
      <c r="O3126" s="11">
        <f>IFERROR(__xludf.DUMMYFUNCTION("""COMPUTED_VALUE"""),66987806420)</f>
        <v>66987806420</v>
      </c>
      <c r="P3126" s="11"/>
      <c r="Q3126" s="11"/>
      <c r="R3126" s="11"/>
      <c r="S3126" s="11"/>
      <c r="T3126" s="11"/>
      <c r="U3126" s="11"/>
      <c r="V3126" s="11"/>
      <c r="W3126" s="11"/>
      <c r="X3126" s="11"/>
      <c r="Y3126" s="11"/>
      <c r="Z3126" s="11"/>
    </row>
    <row r="3127" customHeight="1" spans="1:26">
      <c r="A3127" s="11" t="str">
        <f>IFERROR(__xludf.DUMMYFUNCTION("""COMPUTED_VALUE"""),"GERALDO RAMOS DE ALMEIDA JR")</f>
        <v>GERALDO RAMOS DE ALMEIDA JR</v>
      </c>
      <c r="B3127" s="11"/>
      <c r="C3127" s="11"/>
      <c r="D3127" s="11" t="str">
        <f>IFERROR(__xludf.DUMMYFUNCTION("""COMPUTED_VALUE"""),"MEDICINA DO TRABALHO")</f>
        <v>MEDICINA DO TRABALHO</v>
      </c>
      <c r="E3127" s="11"/>
      <c r="F3127" s="11" t="str">
        <f>IFERROR(__xludf.DUMMYFUNCTION("""COMPUTED_VALUE"""),"US_103 CS PROF MARIO RAMOS")</f>
        <v>US_103 CS PROF MARIO RAMOS</v>
      </c>
      <c r="G3127" s="11" t="str">
        <f>IFERROR(__xludf.DUMMYFUNCTION("""COMPUTED_VALUE"""),"US_103 CS PROF MARIO RAMOS")</f>
        <v>US_103 CS PROF MARIO RAMOS</v>
      </c>
      <c r="H3127" s="11"/>
      <c r="I3127" s="11"/>
      <c r="J3127" s="11"/>
      <c r="K3127" s="11"/>
      <c r="L3127" s="11"/>
      <c r="M3127" s="11"/>
      <c r="N3127" s="30" t="str">
        <f>IFERROR(__xludf.DUMMYFUNCTION("""COMPUTED_VALUE"""),"GALMEIDAJR52@GMAIL.COM")</f>
        <v>GALMEIDAJR52@GMAIL.COM</v>
      </c>
      <c r="O3127" s="11">
        <f>IFERROR(__xludf.DUMMYFUNCTION("""COMPUTED_VALUE"""),14137828415)</f>
        <v>14137828415</v>
      </c>
      <c r="P3127" s="11"/>
      <c r="Q3127" s="11"/>
      <c r="R3127" s="11"/>
      <c r="S3127" s="11"/>
      <c r="T3127" s="11"/>
      <c r="U3127" s="11"/>
      <c r="V3127" s="11"/>
      <c r="W3127" s="11"/>
      <c r="X3127" s="11"/>
      <c r="Y3127" s="11"/>
      <c r="Z3127" s="11"/>
    </row>
    <row r="3128" customHeight="1" spans="1:26">
      <c r="A3128" s="11" t="str">
        <f>IFERROR(__xludf.DUMMYFUNCTION("""COMPUTED_VALUE"""),"NEIDE WANDERLEY LUBAMBO")</f>
        <v>NEIDE WANDERLEY LUBAMBO</v>
      </c>
      <c r="B3128" s="11"/>
      <c r="C3128" s="11"/>
      <c r="D3128" s="11" t="str">
        <f>IFERROR(__xludf.DUMMYFUNCTION("""COMPUTED_VALUE"""),"DERMATOLOGIA")</f>
        <v>DERMATOLOGIA</v>
      </c>
      <c r="E3128" s="11"/>
      <c r="F3128" s="11" t="str">
        <f>IFERROR(__xludf.DUMMYFUNCTION("""COMPUTED_VALUE"""),"US_148 CS DOM MIGUEL DE LIMA VALVERDE")</f>
        <v>US_148 CS DOM MIGUEL DE LIMA VALVERDE</v>
      </c>
      <c r="G3128" s="11" t="str">
        <f>IFERROR(__xludf.DUMMYFUNCTION("""COMPUTED_VALUE"""),"US_148 CS DOM MIGUEL DE LIMA VALVERDE")</f>
        <v>US_148 CS DOM MIGUEL DE LIMA VALVERDE</v>
      </c>
      <c r="H3128" s="11"/>
      <c r="I3128" s="11"/>
      <c r="J3128" s="11"/>
      <c r="K3128" s="11"/>
      <c r="L3128" s="11"/>
      <c r="M3128" s="11"/>
      <c r="N3128" s="30" t="str">
        <f>IFERROR(__xludf.DUMMYFUNCTION("""COMPUTED_VALUE"""),"NEIDEWANLUB@BOL.COM.BR")</f>
        <v>NEIDEWANLUB@BOL.COM.BR</v>
      </c>
      <c r="O3128" s="11">
        <f>IFERROR(__xludf.DUMMYFUNCTION("""COMPUTED_VALUE"""),43997600449)</f>
        <v>43997600449</v>
      </c>
      <c r="P3128" s="11"/>
      <c r="Q3128" s="11"/>
      <c r="R3128" s="11"/>
      <c r="S3128" s="11"/>
      <c r="T3128" s="11"/>
      <c r="U3128" s="11"/>
      <c r="V3128" s="11"/>
      <c r="W3128" s="11"/>
      <c r="X3128" s="11"/>
      <c r="Y3128" s="11"/>
      <c r="Z3128" s="11"/>
    </row>
    <row r="3129" customHeight="1" spans="1:26">
      <c r="A3129" s="11" t="str">
        <f>IFERROR(__xludf.DUMMYFUNCTION("""COMPUTED_VALUE"""),"ROSANA M DE C X DAS C FERREIRA")</f>
        <v>ROSANA M DE C X DAS C FERREIRA</v>
      </c>
      <c r="B3129" s="11"/>
      <c r="C3129" s="11"/>
      <c r="D3129" s="11" t="str">
        <f>IFERROR(__xludf.DUMMYFUNCTION("""COMPUTED_VALUE"""),"DERMATOLOGIA")</f>
        <v>DERMATOLOGIA</v>
      </c>
      <c r="E3129" s="11"/>
      <c r="F3129" s="11" t="str">
        <f>IFERROR(__xludf.DUMMYFUNCTION("""COMPUTED_VALUE"""),"UBT - US 137 CS PROF DJAIR BRINDEIRO")</f>
        <v>UBT - US 137 CS PROF DJAIR BRINDEIRO</v>
      </c>
      <c r="G3129" s="11" t="str">
        <f>IFERROR(__xludf.DUMMYFUNCTION("""COMPUTED_VALUE"""),"UBT - US 137 CS PROF DJAIR BRINDEIRO")</f>
        <v>UBT - US 137 CS PROF DJAIR BRINDEIRO</v>
      </c>
      <c r="H3129" s="11"/>
      <c r="I3129" s="11"/>
      <c r="J3129" s="11"/>
      <c r="K3129" s="11"/>
      <c r="L3129" s="11"/>
      <c r="M3129" s="11"/>
      <c r="N3129" s="30" t="str">
        <f>IFERROR(__xludf.DUMMYFUNCTION("""COMPUTED_VALUE"""),"chagasferreira1@yahoo.com.br")</f>
        <v>chagasferreira1@yahoo.com.br</v>
      </c>
      <c r="O3129" s="11">
        <f>IFERROR(__xludf.DUMMYFUNCTION("""COMPUTED_VALUE"""),44863489404)</f>
        <v>44863489404</v>
      </c>
      <c r="P3129" s="11"/>
      <c r="Q3129" s="11"/>
      <c r="R3129" s="11"/>
      <c r="S3129" s="11"/>
      <c r="T3129" s="11"/>
      <c r="U3129" s="11"/>
      <c r="V3129" s="11"/>
      <c r="W3129" s="11"/>
      <c r="X3129" s="11"/>
      <c r="Y3129" s="11"/>
      <c r="Z3129" s="11"/>
    </row>
    <row r="3130" customHeight="1" spans="1:26">
      <c r="A3130" s="11" t="str">
        <f>IFERROR(__xludf.DUMMYFUNCTION("""COMPUTED_VALUE"""),"ADRIANA HELENA ARAUJO TAVARES")</f>
        <v>ADRIANA HELENA ARAUJO TAVARES</v>
      </c>
      <c r="B3130" s="11"/>
      <c r="C3130" s="11"/>
      <c r="D3130" s="11" t="str">
        <f>IFERROR(__xludf.DUMMYFUNCTION("""COMPUTED_VALUE"""),"CLINICA GERAL")</f>
        <v>CLINICA GERAL</v>
      </c>
      <c r="E3130" s="11"/>
      <c r="F3130" s="11" t="str">
        <f>IFERROR(__xludf.DUMMYFUNCTION("""COMPUTED_VALUE"""),"US_149 CS OLINTO OLIVEIRA")</f>
        <v>US_149 CS OLINTO OLIVEIRA</v>
      </c>
      <c r="G3130" s="11" t="str">
        <f>IFERROR(__xludf.DUMMYFUNCTION("""COMPUTED_VALUE"""),"US_149 CS OLINTO OLIVEIRA")</f>
        <v>US_149 CS OLINTO OLIVEIRA</v>
      </c>
      <c r="H3130" s="11"/>
      <c r="I3130" s="11"/>
      <c r="J3130" s="11"/>
      <c r="K3130" s="11"/>
      <c r="L3130" s="11"/>
      <c r="M3130" s="11"/>
      <c r="N3130" s="30" t="str">
        <f>IFERROR(__xludf.DUMMYFUNCTION("""COMPUTED_VALUE"""),"maracatu@elogica.com.br")</f>
        <v>maracatu@elogica.com.br</v>
      </c>
      <c r="O3130" s="11">
        <f>IFERROR(__xludf.DUMMYFUNCTION("""COMPUTED_VALUE"""),73370517434)</f>
        <v>73370517434</v>
      </c>
      <c r="P3130" s="11"/>
      <c r="Q3130" s="11"/>
      <c r="R3130" s="11"/>
      <c r="S3130" s="11"/>
      <c r="T3130" s="11"/>
      <c r="U3130" s="11"/>
      <c r="V3130" s="11"/>
      <c r="W3130" s="11"/>
      <c r="X3130" s="11"/>
      <c r="Y3130" s="11"/>
      <c r="Z3130" s="11"/>
    </row>
    <row r="3131" customHeight="1" spans="1:26">
      <c r="A3131" s="11" t="str">
        <f>IFERROR(__xludf.DUMMYFUNCTION("""COMPUTED_VALUE"""),"IDELSE C C DE VASCONCELOS")</f>
        <v>IDELSE C C DE VASCONCELOS</v>
      </c>
      <c r="B3131" s="11"/>
      <c r="C3131" s="11"/>
      <c r="D3131" s="11" t="str">
        <f>IFERROR(__xludf.DUMMYFUNCTION("""COMPUTED_VALUE"""),"ENDOCRINOLOGIA E METABOLOGIA")</f>
        <v>ENDOCRINOLOGIA E METABOLOGIA</v>
      </c>
      <c r="E3131" s="11"/>
      <c r="F3131" s="11" t="str">
        <f>IFERROR(__xludf.DUMMYFUNCTION("""COMPUTED_VALUE"""),"US_148 CS DOM MIGUEL DE LIMA VALVERDE")</f>
        <v>US_148 CS DOM MIGUEL DE LIMA VALVERDE</v>
      </c>
      <c r="G3131" s="11" t="str">
        <f>IFERROR(__xludf.DUMMYFUNCTION("""COMPUTED_VALUE"""),"US_148 CS DOM MIGUEL DE LIMA VALVERDE")</f>
        <v>US_148 CS DOM MIGUEL DE LIMA VALVERDE</v>
      </c>
      <c r="H3131" s="11"/>
      <c r="I3131" s="11"/>
      <c r="J3131" s="11"/>
      <c r="K3131" s="11"/>
      <c r="L3131" s="11"/>
      <c r="M3131" s="11"/>
      <c r="N3131" s="30" t="str">
        <f>IFERROR(__xludf.DUMMYFUNCTION("""COMPUTED_VALUE"""),"idelsesilvestre@gmail.com")</f>
        <v>idelsesilvestre@gmail.com</v>
      </c>
      <c r="O3131" s="11">
        <f>IFERROR(__xludf.DUMMYFUNCTION("""COMPUTED_VALUE"""),62003755420)</f>
        <v>62003755420</v>
      </c>
      <c r="P3131" s="11"/>
      <c r="Q3131" s="11"/>
      <c r="R3131" s="11"/>
      <c r="S3131" s="11"/>
      <c r="T3131" s="11"/>
      <c r="U3131" s="11"/>
      <c r="V3131" s="11"/>
      <c r="W3131" s="11"/>
      <c r="X3131" s="11"/>
      <c r="Y3131" s="11"/>
      <c r="Z3131" s="11"/>
    </row>
    <row r="3132" customHeight="1" spans="1:26">
      <c r="A3132" s="11" t="str">
        <f>IFERROR(__xludf.DUMMYFUNCTION("""COMPUTED_VALUE"""),"FERNANDO MOREIRA DA SILVA FO")</f>
        <v>FERNANDO MOREIRA DA SILVA FO</v>
      </c>
      <c r="B3132" s="11"/>
      <c r="C3132" s="11"/>
      <c r="D3132" s="11" t="str">
        <f>IFERROR(__xludf.DUMMYFUNCTION("""COMPUTED_VALUE"""),"CARDIOLOGIA")</f>
        <v>CARDIOLOGIA</v>
      </c>
      <c r="E3132" s="11"/>
      <c r="F3132" s="11" t="str">
        <f>IFERROR(__xludf.DUMMYFUNCTION("""COMPUTED_VALUE"""),"US_126 CS VER ROMILDO GOMES")</f>
        <v>US_126 CS VER ROMILDO GOMES</v>
      </c>
      <c r="G3132" s="11" t="str">
        <f>IFERROR(__xludf.DUMMYFUNCTION("""COMPUTED_VALUE"""),"US_126 CS VER ROMILDO GOMES")</f>
        <v>US_126 CS VER ROMILDO GOMES</v>
      </c>
      <c r="H3132" s="11"/>
      <c r="I3132" s="11"/>
      <c r="J3132" s="11"/>
      <c r="K3132" s="11"/>
      <c r="L3132" s="11"/>
      <c r="M3132" s="11"/>
      <c r="N3132" s="30" t="str">
        <f>IFERROR(__xludf.DUMMYFUNCTION("""COMPUTED_VALUE"""),"FERNANDOBANDEIRA271@ICLOUD.COM")</f>
        <v>FERNANDOBANDEIRA271@ICLOUD.COM</v>
      </c>
      <c r="O3132" s="11">
        <f>IFERROR(__xludf.DUMMYFUNCTION("""COMPUTED_VALUE"""),47862866487)</f>
        <v>47862866487</v>
      </c>
      <c r="P3132" s="11"/>
      <c r="Q3132" s="11"/>
      <c r="R3132" s="11"/>
      <c r="S3132" s="11"/>
      <c r="T3132" s="11"/>
      <c r="U3132" s="11"/>
      <c r="V3132" s="11"/>
      <c r="W3132" s="11"/>
      <c r="X3132" s="11"/>
      <c r="Y3132" s="11"/>
      <c r="Z3132" s="11"/>
    </row>
    <row r="3133" customHeight="1" spans="1:26">
      <c r="A3133" s="11" t="str">
        <f>IFERROR(__xludf.DUMMYFUNCTION("""COMPUTED_VALUE"""),"KARINA GONCALVES DE F O PASSOS")</f>
        <v>KARINA GONCALVES DE F O PASSOS</v>
      </c>
      <c r="B3133" s="11"/>
      <c r="C3133" s="11"/>
      <c r="D3133" s="11" t="str">
        <f>IFERROR(__xludf.DUMMYFUNCTION("""COMPUTED_VALUE"""),"DERMATOLOGIA")</f>
        <v>DERMATOLOGIA</v>
      </c>
      <c r="E3133" s="11"/>
      <c r="F3133" s="11" t="str">
        <f>IFERROR(__xludf.DUMMYFUNCTION("""COMPUTED_VALUE"""),"US_104 CS SEBASTIAO IVO RABELO")</f>
        <v>US_104 CS SEBASTIAO IVO RABELO</v>
      </c>
      <c r="G3133" s="11" t="str">
        <f>IFERROR(__xludf.DUMMYFUNCTION("""COMPUTED_VALUE"""),"US_104 CS SEBASTIAO IVO RABELO")</f>
        <v>US_104 CS SEBASTIAO IVO RABELO</v>
      </c>
      <c r="H3133" s="11"/>
      <c r="I3133" s="11"/>
      <c r="J3133" s="11"/>
      <c r="K3133" s="11"/>
      <c r="L3133" s="11"/>
      <c r="M3133" s="11"/>
      <c r="N3133" s="30" t="str">
        <f>IFERROR(__xludf.DUMMYFUNCTION("""COMPUTED_VALUE"""),"karinapassosdermato@gmail.com")</f>
        <v>karinapassosdermato@gmail.com</v>
      </c>
      <c r="O3133" s="11">
        <f>IFERROR(__xludf.DUMMYFUNCTION("""COMPUTED_VALUE"""),84766484487)</f>
        <v>84766484487</v>
      </c>
      <c r="P3133" s="11"/>
      <c r="Q3133" s="11"/>
      <c r="R3133" s="11"/>
      <c r="S3133" s="11"/>
      <c r="T3133" s="11"/>
      <c r="U3133" s="11"/>
      <c r="V3133" s="11"/>
      <c r="W3133" s="11"/>
      <c r="X3133" s="11"/>
      <c r="Y3133" s="11"/>
      <c r="Z3133" s="11"/>
    </row>
    <row r="3134" customHeight="1" spans="1:26">
      <c r="A3134" s="11" t="str">
        <f>IFERROR(__xludf.DUMMYFUNCTION("""COMPUTED_VALUE"""),"VERUSKA ANDRADE R ALENCAR")</f>
        <v>VERUSKA ANDRADE R ALENCAR</v>
      </c>
      <c r="B3134" s="11"/>
      <c r="C3134" s="11"/>
      <c r="D3134" s="11" t="str">
        <f>IFERROR(__xludf.DUMMYFUNCTION("""COMPUTED_VALUE"""),"PEDIATRIA")</f>
        <v>PEDIATRIA</v>
      </c>
      <c r="E3134" s="11"/>
      <c r="F3134" s="11" t="str">
        <f>IFERROR(__xludf.DUMMYFUNCTION("""COMPUTED_VALUE"""),"US_162 POLICLINICA ALBERT SABIN")</f>
        <v>US_162 POLICLINICA ALBERT SABIN</v>
      </c>
      <c r="G3134" s="11" t="str">
        <f>IFERROR(__xludf.DUMMYFUNCTION("""COMPUTED_VALUE"""),"US_162 POLICLINICA ALBERT SABIN")</f>
        <v>US_162 POLICLINICA ALBERT SABIN</v>
      </c>
      <c r="H3134" s="11"/>
      <c r="I3134" s="11"/>
      <c r="J3134" s="11"/>
      <c r="K3134" s="11"/>
      <c r="L3134" s="11"/>
      <c r="M3134" s="11"/>
      <c r="N3134" s="30" t="str">
        <f>IFERROR(__xludf.DUMMYFUNCTION("""COMPUTED_VALUE"""),"veruskarocha@gmail.com")</f>
        <v>veruskarocha@gmail.com</v>
      </c>
      <c r="O3134" s="11">
        <f>IFERROR(__xludf.DUMMYFUNCTION("""COMPUTED_VALUE"""),49816390310)</f>
        <v>49816390310</v>
      </c>
      <c r="P3134" s="11"/>
      <c r="Q3134" s="11"/>
      <c r="R3134" s="11"/>
      <c r="S3134" s="11"/>
      <c r="T3134" s="11"/>
      <c r="U3134" s="11"/>
      <c r="V3134" s="11"/>
      <c r="W3134" s="11"/>
      <c r="X3134" s="11"/>
      <c r="Y3134" s="11"/>
      <c r="Z3134" s="11"/>
    </row>
    <row r="3135" customHeight="1" spans="1:26">
      <c r="A3135" s="11" t="str">
        <f>IFERROR(__xludf.DUMMYFUNCTION("""COMPUTED_VALUE"""),"ROGERIO QUIRINO NEVES")</f>
        <v>ROGERIO QUIRINO NEVES</v>
      </c>
      <c r="B3135" s="11"/>
      <c r="C3135" s="11"/>
      <c r="D3135" s="11" t="str">
        <f>IFERROR(__xludf.DUMMYFUNCTION("""COMPUTED_VALUE"""),"CLINICA GERAL  /  DERMATOLOGIA")</f>
        <v>CLINICA GERAL  /  DERMATOLOGIA</v>
      </c>
      <c r="E3135" s="11"/>
      <c r="F3135" s="11" t="str">
        <f>IFERROR(__xludf.DUMMYFUNCTION("""COMPUTED_VALUE"""),"US_152 CS INA ROSA BORGES")</f>
        <v>US_152 CS INA ROSA BORGES</v>
      </c>
      <c r="G3135" s="11" t="str">
        <f>IFERROR(__xludf.DUMMYFUNCTION("""COMPUTED_VALUE"""),"US_152 CS INA ROSA BORGES")</f>
        <v>US_152 CS INA ROSA BORGES</v>
      </c>
      <c r="H3135" s="11"/>
      <c r="I3135" s="11"/>
      <c r="J3135" s="11"/>
      <c r="K3135" s="11"/>
      <c r="L3135" s="11"/>
      <c r="M3135" s="11"/>
      <c r="N3135" s="30" t="str">
        <f>IFERROR(__xludf.DUMMYFUNCTION("""COMPUTED_VALUE"""),"RQNEVES@HOTMAIL.COM")</f>
        <v>RQNEVES@HOTMAIL.COM</v>
      </c>
      <c r="O3135" s="11">
        <f>IFERROR(__xludf.DUMMYFUNCTION("""COMPUTED_VALUE"""),77274415468)</f>
        <v>77274415468</v>
      </c>
      <c r="P3135" s="11"/>
      <c r="Q3135" s="11"/>
      <c r="R3135" s="11"/>
      <c r="S3135" s="11"/>
      <c r="T3135" s="11"/>
      <c r="U3135" s="11"/>
      <c r="V3135" s="11"/>
      <c r="W3135" s="11"/>
      <c r="X3135" s="11"/>
      <c r="Y3135" s="11"/>
      <c r="Z3135" s="11"/>
    </row>
    <row r="3136" customHeight="1" spans="1:26">
      <c r="A3136" s="11" t="str">
        <f>IFERROR(__xludf.DUMMYFUNCTION("""COMPUTED_VALUE"""),"KARLA AUGUSTA GONCALVES BARROS")</f>
        <v>KARLA AUGUSTA GONCALVES BARROS</v>
      </c>
      <c r="B3136" s="11"/>
      <c r="C3136" s="11"/>
      <c r="D3136" s="11" t="str">
        <f>IFERROR(__xludf.DUMMYFUNCTION("""COMPUTED_VALUE"""),"PNEUMOLOGIA")</f>
        <v>PNEUMOLOGIA</v>
      </c>
      <c r="E3136" s="11"/>
      <c r="F3136" s="11" t="str">
        <f>IFERROR(__xludf.DUMMYFUNCTION("""COMPUTED_VALUE"""),"US_126 CS VER ROMILDO GOMES")</f>
        <v>US_126 CS VER ROMILDO GOMES</v>
      </c>
      <c r="G3136" s="11" t="str">
        <f>IFERROR(__xludf.DUMMYFUNCTION("""COMPUTED_VALUE"""),"US_126 CS VER ROMILDO GOMES")</f>
        <v>US_126 CS VER ROMILDO GOMES</v>
      </c>
      <c r="H3136" s="11"/>
      <c r="I3136" s="11"/>
      <c r="J3136" s="11"/>
      <c r="K3136" s="11"/>
      <c r="L3136" s="11"/>
      <c r="M3136" s="11"/>
      <c r="N3136" s="30" t="str">
        <f>IFERROR(__xludf.DUMMYFUNCTION("""COMPUTED_VALUE"""),"karlaa@hotlink.com.br")</f>
        <v>karlaa@hotlink.com.br</v>
      </c>
      <c r="O3136" s="11">
        <f>IFERROR(__xludf.DUMMYFUNCTION("""COMPUTED_VALUE"""),92076637400)</f>
        <v>92076637400</v>
      </c>
      <c r="P3136" s="11"/>
      <c r="Q3136" s="11"/>
      <c r="R3136" s="11"/>
      <c r="S3136" s="11"/>
      <c r="T3136" s="11"/>
      <c r="U3136" s="11"/>
      <c r="V3136" s="11"/>
      <c r="W3136" s="11"/>
      <c r="X3136" s="11"/>
      <c r="Y3136" s="11"/>
      <c r="Z3136" s="11"/>
    </row>
    <row r="3137" customHeight="1" spans="1:26">
      <c r="A3137" s="11" t="str">
        <f>IFERROR(__xludf.DUMMYFUNCTION("""COMPUTED_VALUE"""),"MARTA DE SOUZA ARAUJO")</f>
        <v>MARTA DE SOUZA ARAUJO</v>
      </c>
      <c r="B3137" s="11"/>
      <c r="C3137" s="11"/>
      <c r="D3137" s="11" t="str">
        <f>IFERROR(__xludf.DUMMYFUNCTION("""COMPUTED_VALUE"""),"DERMATOLOGIA")</f>
        <v>DERMATOLOGIA</v>
      </c>
      <c r="E3137" s="11"/>
      <c r="F3137" s="11" t="str">
        <f>IFERROR(__xludf.DUMMYFUNCTION("""COMPUTED_VALUE"""),"US_142 CS BIDU KRAUSE")</f>
        <v>US_142 CS BIDU KRAUSE</v>
      </c>
      <c r="G3137" s="11" t="str">
        <f>IFERROR(__xludf.DUMMYFUNCTION("""COMPUTED_VALUE"""),"US_142 CS BIDU KRAUSE")</f>
        <v>US_142 CS BIDU KRAUSE</v>
      </c>
      <c r="H3137" s="11"/>
      <c r="I3137" s="11"/>
      <c r="J3137" s="11"/>
      <c r="K3137" s="11"/>
      <c r="L3137" s="11"/>
      <c r="M3137" s="11"/>
      <c r="N3137" s="30" t="str">
        <f>IFERROR(__xludf.DUMMYFUNCTION("""COMPUTED_VALUE"""),"dra_marta@yahoo.com.br")</f>
        <v>dra_marta@yahoo.com.br</v>
      </c>
      <c r="O3137" s="11">
        <f>IFERROR(__xludf.DUMMYFUNCTION("""COMPUTED_VALUE"""),3409822410)</f>
        <v>3409822410</v>
      </c>
      <c r="P3137" s="11"/>
      <c r="Q3137" s="11"/>
      <c r="R3137" s="11"/>
      <c r="S3137" s="11"/>
      <c r="T3137" s="11"/>
      <c r="U3137" s="11"/>
      <c r="V3137" s="11"/>
      <c r="W3137" s="11"/>
      <c r="X3137" s="11"/>
      <c r="Y3137" s="11"/>
      <c r="Z3137" s="11"/>
    </row>
    <row r="3138" customHeight="1" spans="1:26">
      <c r="A3138" s="11" t="str">
        <f>IFERROR(__xludf.DUMMYFUNCTION("""COMPUTED_VALUE"""),"LUCAS GOMES DE ANDRADE")</f>
        <v>LUCAS GOMES DE ANDRADE</v>
      </c>
      <c r="B3138" s="11"/>
      <c r="C3138" s="11"/>
      <c r="D3138" s="11" t="str">
        <f>IFERROR(__xludf.DUMMYFUNCTION("""COMPUTED_VALUE"""),"GERIATRIA")</f>
        <v>GERIATRIA</v>
      </c>
      <c r="E3138" s="11"/>
      <c r="F3138" s="11" t="str">
        <f>IFERROR(__xludf.DUMMYFUNCTION("""COMPUTED_VALUE"""),"US_126 CS VER ROMILDO GOMES")</f>
        <v>US_126 CS VER ROMILDO GOMES</v>
      </c>
      <c r="G3138" s="11" t="str">
        <f>IFERROR(__xludf.DUMMYFUNCTION("""COMPUTED_VALUE"""),"US_126 CS VER ROMILDO GOMES")</f>
        <v>US_126 CS VER ROMILDO GOMES</v>
      </c>
      <c r="H3138" s="11"/>
      <c r="I3138" s="11"/>
      <c r="J3138" s="11"/>
      <c r="K3138" s="11"/>
      <c r="L3138" s="11"/>
      <c r="M3138" s="11"/>
      <c r="N3138" s="30" t="str">
        <f>IFERROR(__xludf.DUMMYFUNCTION("""COMPUTED_VALUE"""),"LUACASLUKASANDRADE@GMAIL.COM")</f>
        <v>LUACASLUKASANDRADE@GMAIL.COM</v>
      </c>
      <c r="O3138" s="11">
        <f>IFERROR(__xludf.DUMMYFUNCTION("""COMPUTED_VALUE"""),18812012876)</f>
        <v>18812012876</v>
      </c>
      <c r="P3138" s="11"/>
      <c r="Q3138" s="11"/>
      <c r="R3138" s="11"/>
      <c r="S3138" s="11"/>
      <c r="T3138" s="11"/>
      <c r="U3138" s="11"/>
      <c r="V3138" s="11"/>
      <c r="W3138" s="11"/>
      <c r="X3138" s="11"/>
      <c r="Y3138" s="11"/>
      <c r="Z3138" s="11"/>
    </row>
    <row r="3139" customHeight="1" spans="1:26">
      <c r="A3139" s="11" t="str">
        <f>IFERROR(__xludf.DUMMYFUNCTION("""COMPUTED_VALUE"""),"LUIZ GONZAGA DE OLIVEIRA JR")</f>
        <v>LUIZ GONZAGA DE OLIVEIRA JR</v>
      </c>
      <c r="B3139" s="11"/>
      <c r="C3139" s="11"/>
      <c r="D3139" s="11" t="str">
        <f>IFERROR(__xludf.DUMMYFUNCTION("""COMPUTED_VALUE"""),"CLINICA GERAL")</f>
        <v>CLINICA GERAL</v>
      </c>
      <c r="E3139" s="11"/>
      <c r="F3139" s="11" t="str">
        <f>IFERROR(__xludf.DUMMYFUNCTION("""COMPUTED_VALUE"""),"US_104 CS SEBASTIAO IVO RABELO")</f>
        <v>US_104 CS SEBASTIAO IVO RABELO</v>
      </c>
      <c r="G3139" s="11" t="str">
        <f>IFERROR(__xludf.DUMMYFUNCTION("""COMPUTED_VALUE"""),"US_104 CS SEBASTIAO IVO RABELO")</f>
        <v>US_104 CS SEBASTIAO IVO RABELO</v>
      </c>
      <c r="H3139" s="11"/>
      <c r="I3139" s="11"/>
      <c r="J3139" s="11"/>
      <c r="K3139" s="11"/>
      <c r="L3139" s="11"/>
      <c r="M3139" s="11"/>
      <c r="N3139" s="30" t="str">
        <f>IFERROR(__xludf.DUMMYFUNCTION("""COMPUTED_VALUE"""),"DOUTORLUIZGONZAGA@GMAIL.COM")</f>
        <v>DOUTORLUIZGONZAGA@GMAIL.COM</v>
      </c>
      <c r="O3139" s="11">
        <f>IFERROR(__xludf.DUMMYFUNCTION("""COMPUTED_VALUE"""),23170530453)</f>
        <v>23170530453</v>
      </c>
      <c r="P3139" s="11"/>
      <c r="Q3139" s="11"/>
      <c r="R3139" s="11"/>
      <c r="S3139" s="11"/>
      <c r="T3139" s="11"/>
      <c r="U3139" s="11"/>
      <c r="V3139" s="11"/>
      <c r="W3139" s="11"/>
      <c r="X3139" s="11"/>
      <c r="Y3139" s="11"/>
      <c r="Z3139" s="11"/>
    </row>
    <row r="3140" customHeight="1" spans="1:26">
      <c r="A3140" s="11" t="str">
        <f>IFERROR(__xludf.DUMMYFUNCTION("""COMPUTED_VALUE"""),"IURY HUDSON CORREIA DE LACERDA")</f>
        <v>IURY HUDSON CORREIA DE LACERDA</v>
      </c>
      <c r="B3140" s="11"/>
      <c r="C3140" s="11"/>
      <c r="D3140" s="11" t="str">
        <f>IFERROR(__xludf.DUMMYFUNCTION("""COMPUTED_VALUE"""),"ANGIOLOGIA")</f>
        <v>ANGIOLOGIA</v>
      </c>
      <c r="E3140" s="11"/>
      <c r="F3140" s="11" t="str">
        <f>IFERROR(__xludf.DUMMYFUNCTION("""COMPUTED_VALUE"""),"US_142 CS BIDU KRAUSE")</f>
        <v>US_142 CS BIDU KRAUSE</v>
      </c>
      <c r="G3140" s="11" t="str">
        <f>IFERROR(__xludf.DUMMYFUNCTION("""COMPUTED_VALUE"""),"US_142 CS BIDU KRAUSE")</f>
        <v>US_142 CS BIDU KRAUSE</v>
      </c>
      <c r="H3140" s="11"/>
      <c r="I3140" s="11"/>
      <c r="J3140" s="11"/>
      <c r="K3140" s="11"/>
      <c r="L3140" s="11"/>
      <c r="M3140" s="11"/>
      <c r="N3140" s="30" t="str">
        <f>IFERROR(__xludf.DUMMYFUNCTION("""COMPUTED_VALUE"""),"iuryhudson@hotmail.com")</f>
        <v>iuryhudson@hotmail.com</v>
      </c>
      <c r="O3140" s="11">
        <f>IFERROR(__xludf.DUMMYFUNCTION("""COMPUTED_VALUE"""),3743425475)</f>
        <v>3743425475</v>
      </c>
      <c r="P3140" s="11"/>
      <c r="Q3140" s="11"/>
      <c r="R3140" s="11"/>
      <c r="S3140" s="11"/>
      <c r="T3140" s="11"/>
      <c r="U3140" s="11"/>
      <c r="V3140" s="11"/>
      <c r="W3140" s="11"/>
      <c r="X3140" s="11"/>
      <c r="Y3140" s="11"/>
      <c r="Z3140" s="11"/>
    </row>
    <row r="3141" customHeight="1" spans="1:26">
      <c r="A3141" s="11" t="str">
        <f>IFERROR(__xludf.DUMMYFUNCTION("""COMPUTED_VALUE"""),"GUILHERME J DE A GUEDES JUNIOR")</f>
        <v>GUILHERME J DE A GUEDES JUNIOR</v>
      </c>
      <c r="B3141" s="11"/>
      <c r="C3141" s="11"/>
      <c r="D3141" s="11" t="str">
        <f>IFERROR(__xludf.DUMMYFUNCTION("""COMPUTED_VALUE"""),"CLINICA GERAL")</f>
        <v>CLINICA GERAL</v>
      </c>
      <c r="E3141" s="11"/>
      <c r="F3141" s="11" t="str">
        <f>IFERROR(__xludf.DUMMYFUNCTION("""COMPUTED_VALUE"""),"US_113 CS DR ARISTARCO AZEVEDO")</f>
        <v>US_113 CS DR ARISTARCO AZEVEDO</v>
      </c>
      <c r="G3141" s="11" t="str">
        <f>IFERROR(__xludf.DUMMYFUNCTION("""COMPUTED_VALUE"""),"US_113 CS DR ARISTARCO AZEVEDO")</f>
        <v>US_113 CS DR ARISTARCO AZEVEDO</v>
      </c>
      <c r="H3141" s="11"/>
      <c r="I3141" s="11"/>
      <c r="J3141" s="11"/>
      <c r="K3141" s="11"/>
      <c r="L3141" s="11"/>
      <c r="M3141" s="11"/>
      <c r="N3141" s="30" t="str">
        <f>IFERROR(__xludf.DUMMYFUNCTION("""COMPUTED_VALUE"""),"GUILHERMEJAGJ@YAHOO.COM.BR")</f>
        <v>GUILHERMEJAGJ@YAHOO.COM.BR</v>
      </c>
      <c r="O3141" s="11">
        <f>IFERROR(__xludf.DUMMYFUNCTION("""COMPUTED_VALUE"""),5398499440)</f>
        <v>5398499440</v>
      </c>
      <c r="P3141" s="11"/>
      <c r="Q3141" s="11"/>
      <c r="R3141" s="11"/>
      <c r="S3141" s="11"/>
      <c r="T3141" s="11"/>
      <c r="U3141" s="11"/>
      <c r="V3141" s="11"/>
      <c r="W3141" s="11"/>
      <c r="X3141" s="11"/>
      <c r="Y3141" s="11"/>
      <c r="Z3141" s="11"/>
    </row>
    <row r="3142" customHeight="1" spans="1:26">
      <c r="A3142" s="11" t="str">
        <f>IFERROR(__xludf.DUMMYFUNCTION("""COMPUTED_VALUE"""),"HUDSON SILVA MEDEIROS DE LIMA")</f>
        <v>HUDSON SILVA MEDEIROS DE LIMA</v>
      </c>
      <c r="B3142" s="11"/>
      <c r="C3142" s="11"/>
      <c r="D3142" s="11" t="str">
        <f>IFERROR(__xludf.DUMMYFUNCTION("""COMPUTED_VALUE"""),"PSIQUIATRIA")</f>
        <v>PSIQUIATRIA</v>
      </c>
      <c r="E3142" s="11"/>
      <c r="F3142" s="11" t="str">
        <f>IFERROR(__xludf.DUMMYFUNCTION("""COMPUTED_VALUE"""),"US_330 CAPS ESPACO LIVREMENTE")</f>
        <v>US_330 CAPS ESPACO LIVREMENTE</v>
      </c>
      <c r="G3142" s="11" t="str">
        <f>IFERROR(__xludf.DUMMYFUNCTION("""COMPUTED_VALUE"""),"US_330 CAPS ESPACO LIVREMENTE")</f>
        <v>US_330 CAPS ESPACO LIVREMENTE</v>
      </c>
      <c r="H3142" s="11"/>
      <c r="I3142" s="11"/>
      <c r="J3142" s="11"/>
      <c r="K3142" s="11"/>
      <c r="L3142" s="11"/>
      <c r="M3142" s="11"/>
      <c r="N3142" s="30" t="str">
        <f>IFERROR(__xludf.DUMMYFUNCTION("""COMPUTED_VALUE"""),"hudsonsml@hotmail.com")</f>
        <v>hudsonsml@hotmail.com</v>
      </c>
      <c r="O3142" s="11">
        <f>IFERROR(__xludf.DUMMYFUNCTION("""COMPUTED_VALUE"""),6023734413)</f>
        <v>6023734413</v>
      </c>
      <c r="P3142" s="11"/>
      <c r="Q3142" s="11"/>
      <c r="R3142" s="11"/>
      <c r="S3142" s="11"/>
      <c r="T3142" s="11"/>
      <c r="U3142" s="11"/>
      <c r="V3142" s="11"/>
      <c r="W3142" s="11"/>
      <c r="X3142" s="11"/>
      <c r="Y3142" s="11"/>
      <c r="Z3142" s="11"/>
    </row>
    <row r="3143" customHeight="1" spans="1:26">
      <c r="A3143" s="11" t="str">
        <f>IFERROR(__xludf.DUMMYFUNCTION("""COMPUTED_VALUE"""),"RODRIGO GOMES DE O SOUZA")</f>
        <v>RODRIGO GOMES DE O SOUZA</v>
      </c>
      <c r="B3143" s="11"/>
      <c r="C3143" s="11"/>
      <c r="D3143" s="11" t="str">
        <f>IFERROR(__xludf.DUMMYFUNCTION("""COMPUTED_VALUE"""),"PSIQUIATRIA")</f>
        <v>PSIQUIATRIA</v>
      </c>
      <c r="E3143" s="11"/>
      <c r="F3143" s="11" t="str">
        <f>IFERROR(__xludf.DUMMYFUNCTION("""COMPUTED_VALUE"""),"US_104 CS SEBASTIAO IVO RABELO")</f>
        <v>US_104 CS SEBASTIAO IVO RABELO</v>
      </c>
      <c r="G3143" s="11" t="str">
        <f>IFERROR(__xludf.DUMMYFUNCTION("""COMPUTED_VALUE"""),"US_104 CS SEBASTIAO IVO RABELO")</f>
        <v>US_104 CS SEBASTIAO IVO RABELO</v>
      </c>
      <c r="H3143" s="11"/>
      <c r="I3143" s="11"/>
      <c r="J3143" s="11"/>
      <c r="K3143" s="11"/>
      <c r="L3143" s="11"/>
      <c r="M3143" s="11"/>
      <c r="N3143" s="30" t="str">
        <f>IFERROR(__xludf.DUMMYFUNCTION("""COMPUTED_VALUE"""),"DR.RODRIGOPSIQUIATRA@GMAIL.COM")</f>
        <v>DR.RODRIGOPSIQUIATRA@GMAIL.COM</v>
      </c>
      <c r="O3143" s="11">
        <f>IFERROR(__xludf.DUMMYFUNCTION("""COMPUTED_VALUE"""),5752050405)</f>
        <v>5752050405</v>
      </c>
      <c r="P3143" s="11"/>
      <c r="Q3143" s="11"/>
      <c r="R3143" s="11"/>
      <c r="S3143" s="11"/>
      <c r="T3143" s="11"/>
      <c r="U3143" s="11"/>
      <c r="V3143" s="11"/>
      <c r="W3143" s="11"/>
      <c r="X3143" s="11"/>
      <c r="Y3143" s="11"/>
      <c r="Z3143" s="11"/>
    </row>
    <row r="3144" customHeight="1" spans="1:26">
      <c r="A3144" s="11" t="str">
        <f>IFERROR(__xludf.DUMMYFUNCTION("""COMPUTED_VALUE"""),"DEISE CAVALCANTE DE A RAMOS")</f>
        <v>DEISE CAVALCANTE DE A RAMOS</v>
      </c>
      <c r="B3144" s="11"/>
      <c r="C3144" s="11"/>
      <c r="D3144" s="11" t="str">
        <f>IFERROR(__xludf.DUMMYFUNCTION("""COMPUTED_VALUE"""),"GINECOLOGIA E OBSTETRICIA")</f>
        <v>GINECOLOGIA E OBSTETRICIA</v>
      </c>
      <c r="E3144" s="11"/>
      <c r="F3144" s="11" t="str">
        <f>IFERROR(__xludf.DUMMYFUNCTION("""COMPUTED_VALUE"""),"US_112 CS DR JOSE DUSTAN CARVALHO SOARES	")</f>
        <v>US_112 CS DR JOSE DUSTAN CARVALHO SOARES	</v>
      </c>
      <c r="G3144" s="11" t="str">
        <f>IFERROR(__xludf.DUMMYFUNCTION("""COMPUTED_VALUE"""),"US_112 CS DR JOSE DUSTAN CARVALHO SOARES	")</f>
        <v>US_112 CS DR JOSE DUSTAN CARVALHO SOARES	</v>
      </c>
      <c r="H3144" s="11"/>
      <c r="I3144" s="11"/>
      <c r="J3144" s="11"/>
      <c r="K3144" s="11"/>
      <c r="L3144" s="11"/>
      <c r="M3144" s="11"/>
      <c r="N3144" s="30" t="str">
        <f>IFERROR(__xludf.DUMMYFUNCTION("""COMPUTED_VALUE"""),"DEISEARAUJO.ENFMED@GMAIL.COM")</f>
        <v>DEISEARAUJO.ENFMED@GMAIL.COM</v>
      </c>
      <c r="O3144" s="11">
        <f>IFERROR(__xludf.DUMMYFUNCTION("""COMPUTED_VALUE"""),5559296473)</f>
        <v>5559296473</v>
      </c>
      <c r="P3144" s="11"/>
      <c r="Q3144" s="11"/>
      <c r="R3144" s="11"/>
      <c r="S3144" s="11"/>
      <c r="T3144" s="11"/>
      <c r="U3144" s="11"/>
      <c r="V3144" s="11"/>
      <c r="W3144" s="11"/>
      <c r="X3144" s="11"/>
      <c r="Y3144" s="11"/>
      <c r="Z3144" s="11"/>
    </row>
    <row r="3145" customHeight="1" spans="1:26">
      <c r="A3145" s="11" t="str">
        <f>IFERROR(__xludf.DUMMYFUNCTION("""COMPUTED_VALUE"""),"KLEBER VARELA DOS SANTOS")</f>
        <v>KLEBER VARELA DOS SANTOS</v>
      </c>
      <c r="B3145" s="11"/>
      <c r="C3145" s="11"/>
      <c r="D3145" s="11" t="str">
        <f>IFERROR(__xludf.DUMMYFUNCTION("""COMPUTED_VALUE"""),"PSIQUIATRIA")</f>
        <v>PSIQUIATRIA</v>
      </c>
      <c r="E3145" s="11"/>
      <c r="F3145" s="11" t="str">
        <f>IFERROR(__xludf.DUMMYFUNCTION("""COMPUTED_VALUE"""),"US_106 CS PROF JOAQUIM CAVALCANTE	")</f>
        <v>US_106 CS PROF JOAQUIM CAVALCANTE	</v>
      </c>
      <c r="G3145" s="11" t="str">
        <f>IFERROR(__xludf.DUMMYFUNCTION("""COMPUTED_VALUE"""),"US_106 CS PROF JOAQUIM CAVALCANTE	")</f>
        <v>US_106 CS PROF JOAQUIM CAVALCANTE	</v>
      </c>
      <c r="H3145" s="11"/>
      <c r="I3145" s="11"/>
      <c r="J3145" s="11"/>
      <c r="K3145" s="11"/>
      <c r="L3145" s="11"/>
      <c r="M3145" s="11"/>
      <c r="N3145" s="30" t="str">
        <f>IFERROR(__xludf.DUMMYFUNCTION("""COMPUTED_VALUE"""),"klebervarela@gmail.com")</f>
        <v>klebervarela@gmail.com</v>
      </c>
      <c r="O3145" s="11">
        <f>IFERROR(__xludf.DUMMYFUNCTION("""COMPUTED_VALUE"""),6498496479)</f>
        <v>6498496479</v>
      </c>
      <c r="P3145" s="11"/>
      <c r="Q3145" s="11"/>
      <c r="R3145" s="11"/>
      <c r="S3145" s="11"/>
      <c r="T3145" s="11"/>
      <c r="U3145" s="11"/>
      <c r="V3145" s="11"/>
      <c r="W3145" s="11"/>
      <c r="X3145" s="11"/>
      <c r="Y3145" s="11"/>
      <c r="Z3145" s="11"/>
    </row>
    <row r="3146" customHeight="1" spans="1:26">
      <c r="A3146" s="11" t="str">
        <f>IFERROR(__xludf.DUMMYFUNCTION("""COMPUTED_VALUE"""),"RAFAEL RENART PEREIRA DA SILVA")</f>
        <v>RAFAEL RENART PEREIRA DA SILVA</v>
      </c>
      <c r="B3146" s="11"/>
      <c r="C3146" s="11"/>
      <c r="D3146" s="11" t="str">
        <f>IFERROR(__xludf.DUMMYFUNCTION("""COMPUTED_VALUE"""),"MEDICINA DE FAMILIA E COMUNIDADE")</f>
        <v>MEDICINA DE FAMILIA E COMUNIDADE</v>
      </c>
      <c r="E3146" s="11"/>
      <c r="F3146" s="11" t="str">
        <f>IFERROR(__xludf.DUMMYFUNCTION("""COMPUTED_VALUE"""),"US_112 CS DR JOSE DUSTAN CARVALHO SOARES	")</f>
        <v>US_112 CS DR JOSE DUSTAN CARVALHO SOARES	</v>
      </c>
      <c r="G3146" s="11" t="str">
        <f>IFERROR(__xludf.DUMMYFUNCTION("""COMPUTED_VALUE"""),"US_112 CS DR JOSE DUSTAN CARVALHO SOARES	")</f>
        <v>US_112 CS DR JOSE DUSTAN CARVALHO SOARES	</v>
      </c>
      <c r="H3146" s="11"/>
      <c r="I3146" s="11"/>
      <c r="J3146" s="11"/>
      <c r="K3146" s="11"/>
      <c r="L3146" s="11"/>
      <c r="M3146" s="11"/>
      <c r="N3146" s="30" t="str">
        <f>IFERROR(__xludf.DUMMYFUNCTION("""COMPUTED_VALUE"""),"rafael.renart@gmail.com")</f>
        <v>rafael.renart@gmail.com</v>
      </c>
      <c r="O3146" s="11">
        <f>IFERROR(__xludf.DUMMYFUNCTION("""COMPUTED_VALUE"""),7379711423)</f>
        <v>7379711423</v>
      </c>
      <c r="P3146" s="11"/>
      <c r="Q3146" s="11"/>
      <c r="R3146" s="11"/>
      <c r="S3146" s="11"/>
      <c r="T3146" s="11"/>
      <c r="U3146" s="11"/>
      <c r="V3146" s="11"/>
      <c r="W3146" s="11"/>
      <c r="X3146" s="11"/>
      <c r="Y3146" s="11"/>
      <c r="Z3146" s="11"/>
    </row>
    <row r="3147" customHeight="1" spans="1:26">
      <c r="A3147" s="11" t="str">
        <f>IFERROR(__xludf.DUMMYFUNCTION("""COMPUTED_VALUE"""),"ERIKA PATRICIA DE B P BEZERRA")</f>
        <v>ERIKA PATRICIA DE B P BEZERRA</v>
      </c>
      <c r="B3147" s="11"/>
      <c r="C3147" s="11"/>
      <c r="D3147" s="11" t="str">
        <f>IFERROR(__xludf.DUMMYFUNCTION("""COMPUTED_VALUE"""),"GINECOLOGIA E OBSTETRICIA")</f>
        <v>GINECOLOGIA E OBSTETRICIA</v>
      </c>
      <c r="E3147" s="11"/>
      <c r="F3147" s="11" t="str">
        <f>IFERROR(__xludf.DUMMYFUNCTION("""COMPUTED_VALUE"""),"US_104 CS SEBASTIAO IVO RABELO")</f>
        <v>US_104 CS SEBASTIAO IVO RABELO</v>
      </c>
      <c r="G3147" s="11" t="str">
        <f>IFERROR(__xludf.DUMMYFUNCTION("""COMPUTED_VALUE"""),"US_104 CS SEBASTIAO IVO RABELO")</f>
        <v>US_104 CS SEBASTIAO IVO RABELO</v>
      </c>
      <c r="H3147" s="11"/>
      <c r="I3147" s="11"/>
      <c r="J3147" s="11"/>
      <c r="K3147" s="11"/>
      <c r="L3147" s="11"/>
      <c r="M3147" s="11"/>
      <c r="N3147" s="30" t="str">
        <f>IFERROR(__xludf.DUMMYFUNCTION("""COMPUTED_VALUE"""),"erika____@hotmail.com")</f>
        <v>erika____@hotmail.com</v>
      </c>
      <c r="O3147" s="11">
        <f>IFERROR(__xludf.DUMMYFUNCTION("""COMPUTED_VALUE"""),5401262418)</f>
        <v>5401262418</v>
      </c>
      <c r="P3147" s="11"/>
      <c r="Q3147" s="11"/>
      <c r="R3147" s="11"/>
      <c r="S3147" s="11"/>
      <c r="T3147" s="11"/>
      <c r="U3147" s="11"/>
      <c r="V3147" s="11"/>
      <c r="W3147" s="11"/>
      <c r="X3147" s="11"/>
      <c r="Y3147" s="11"/>
      <c r="Z3147" s="11"/>
    </row>
    <row r="3148" customHeight="1" spans="1:26">
      <c r="A3148" s="11" t="str">
        <f>IFERROR(__xludf.DUMMYFUNCTION("""COMPUTED_VALUE"""),"ROSE DAIANE T DE SALES BARBOSA")</f>
        <v>ROSE DAIANE T DE SALES BARBOSA</v>
      </c>
      <c r="B3148" s="11"/>
      <c r="C3148" s="11"/>
      <c r="D3148" s="11" t="str">
        <f>IFERROR(__xludf.DUMMYFUNCTION("""COMPUTED_VALUE"""),"CLINICA MEDICA")</f>
        <v>CLINICA MEDICA</v>
      </c>
      <c r="E3148" s="11"/>
      <c r="F3148" s="11" t="str">
        <f>IFERROR(__xludf.DUMMYFUNCTION("""COMPUTED_VALUE"""),"US_112 CS DR JOSE DUSTAN CARVALHO SOARES	")</f>
        <v>US_112 CS DR JOSE DUSTAN CARVALHO SOARES	</v>
      </c>
      <c r="G3148" s="11" t="str">
        <f>IFERROR(__xludf.DUMMYFUNCTION("""COMPUTED_VALUE"""),"US_112 CS DR JOSE DUSTAN CARVALHO SOARES	")</f>
        <v>US_112 CS DR JOSE DUSTAN CARVALHO SOARES	</v>
      </c>
      <c r="H3148" s="11"/>
      <c r="I3148" s="11"/>
      <c r="J3148" s="11"/>
      <c r="K3148" s="11"/>
      <c r="L3148" s="11"/>
      <c r="M3148" s="11"/>
      <c r="N3148" s="30" t="str">
        <f>IFERROR(__xludf.DUMMYFUNCTION("""COMPUTED_VALUE"""),"rose_stbarbosa@hotmail.com")</f>
        <v>rose_stbarbosa@hotmail.com</v>
      </c>
      <c r="O3148" s="11">
        <f>IFERROR(__xludf.DUMMYFUNCTION("""COMPUTED_VALUE"""),7390894474)</f>
        <v>7390894474</v>
      </c>
      <c r="P3148" s="11"/>
      <c r="Q3148" s="11"/>
      <c r="R3148" s="11"/>
      <c r="S3148" s="11"/>
      <c r="T3148" s="11"/>
      <c r="U3148" s="11"/>
      <c r="V3148" s="11"/>
      <c r="W3148" s="11"/>
      <c r="X3148" s="11"/>
      <c r="Y3148" s="11"/>
      <c r="Z3148" s="11"/>
    </row>
    <row r="3149" customHeight="1" spans="1:26">
      <c r="A3149" s="11" t="str">
        <f>IFERROR(__xludf.DUMMYFUNCTION("""COMPUTED_VALUE"""),"ANA LUCIA GOMES ALVINO")</f>
        <v>ANA LUCIA GOMES ALVINO</v>
      </c>
      <c r="B3149" s="11"/>
      <c r="C3149" s="11"/>
      <c r="D3149" s="11" t="str">
        <f>IFERROR(__xludf.DUMMYFUNCTION("""COMPUTED_VALUE"""),"GINECOLOGIA E OBSTETRICIA")</f>
        <v>GINECOLOGIA E OBSTETRICIA</v>
      </c>
      <c r="E3149" s="11"/>
      <c r="F3149" s="11" t="str">
        <f>IFERROR(__xludf.DUMMYFUNCTION("""COMPUTED_VALUE"""),"US_120 CS MARIO MONTEIRO MELO")</f>
        <v>US_120 CS MARIO MONTEIRO MELO</v>
      </c>
      <c r="G3149" s="11" t="str">
        <f>IFERROR(__xludf.DUMMYFUNCTION("""COMPUTED_VALUE"""),"US_120 CS MARIO MONTEIRO MELO")</f>
        <v>US_120 CS MARIO MONTEIRO MELO</v>
      </c>
      <c r="H3149" s="11"/>
      <c r="I3149" s="11"/>
      <c r="J3149" s="11"/>
      <c r="K3149" s="11"/>
      <c r="L3149" s="11"/>
      <c r="M3149" s="11"/>
      <c r="N3149" s="30" t="str">
        <f>IFERROR(__xludf.DUMMYFUNCTION("""COMPUTED_VALUE"""),"ana.lucia.ga@HOTMAIL.COM")</f>
        <v>ana.lucia.ga@HOTMAIL.COM</v>
      </c>
      <c r="O3149" s="11">
        <f>IFERROR(__xludf.DUMMYFUNCTION("""COMPUTED_VALUE"""),1431474479)</f>
        <v>1431474479</v>
      </c>
      <c r="P3149" s="11"/>
      <c r="Q3149" s="11"/>
      <c r="R3149" s="11"/>
      <c r="S3149" s="11"/>
      <c r="T3149" s="11"/>
      <c r="U3149" s="11"/>
      <c r="V3149" s="11"/>
      <c r="W3149" s="11"/>
      <c r="X3149" s="11"/>
      <c r="Y3149" s="11"/>
      <c r="Z3149" s="11"/>
    </row>
    <row r="3150" customHeight="1" spans="1:26">
      <c r="A3150" s="11" t="str">
        <f>IFERROR(__xludf.DUMMYFUNCTION("""COMPUTED_VALUE"""),"PRISCILA PEDROSA SOARES")</f>
        <v>PRISCILA PEDROSA SOARES</v>
      </c>
      <c r="B3150" s="11"/>
      <c r="C3150" s="11"/>
      <c r="D3150" s="11" t="str">
        <f>IFERROR(__xludf.DUMMYFUNCTION("""COMPUTED_VALUE"""),"PEDIATRIA")</f>
        <v>PEDIATRIA</v>
      </c>
      <c r="E3150" s="11"/>
      <c r="F3150" s="11" t="str">
        <f>IFERROR(__xludf.DUMMYFUNCTION("""COMPUTED_VALUE"""),"US_148 CS DOM MIGUEL DE LIMA VALVERDE")</f>
        <v>US_148 CS DOM MIGUEL DE LIMA VALVERDE</v>
      </c>
      <c r="G3150" s="11" t="str">
        <f>IFERROR(__xludf.DUMMYFUNCTION("""COMPUTED_VALUE"""),"US_148 CS DOM MIGUEL DE LIMA VALVERDE")</f>
        <v>US_148 CS DOM MIGUEL DE LIMA VALVERDE</v>
      </c>
      <c r="H3150" s="11"/>
      <c r="I3150" s="11"/>
      <c r="J3150" s="11"/>
      <c r="K3150" s="11"/>
      <c r="L3150" s="11"/>
      <c r="M3150" s="11"/>
      <c r="N3150" s="30" t="str">
        <f>IFERROR(__xludf.DUMMYFUNCTION("""COMPUTED_VALUE"""),"priscila.pedrosa@gmail.com")</f>
        <v>priscila.pedrosa@gmail.com</v>
      </c>
      <c r="O3150" s="11">
        <f>IFERROR(__xludf.DUMMYFUNCTION("""COMPUTED_VALUE"""),4596708401)</f>
        <v>4596708401</v>
      </c>
      <c r="P3150" s="11"/>
      <c r="Q3150" s="11"/>
      <c r="R3150" s="11"/>
      <c r="S3150" s="11"/>
      <c r="T3150" s="11"/>
      <c r="U3150" s="11"/>
      <c r="V3150" s="11"/>
      <c r="W3150" s="11"/>
      <c r="X3150" s="11"/>
      <c r="Y3150" s="11"/>
      <c r="Z3150" s="11"/>
    </row>
    <row r="3151" customHeight="1" spans="1:26">
      <c r="A3151" s="11" t="str">
        <f>IFERROR(__xludf.DUMMYFUNCTION("""COMPUTED_VALUE"""),"KARINA NASCIMENTO C DE SOUZA")</f>
        <v>KARINA NASCIMENTO C DE SOUZA</v>
      </c>
      <c r="B3151" s="11"/>
      <c r="C3151" s="11"/>
      <c r="D3151" s="11" t="str">
        <f>IFERROR(__xludf.DUMMYFUNCTION("""COMPUTED_VALUE"""),"CLINICA MEDICA")</f>
        <v>CLINICA MEDICA</v>
      </c>
      <c r="E3151" s="11"/>
      <c r="F3151" s="11" t="str">
        <f>IFERROR(__xludf.DUMMYFUNCTION("""COMPUTED_VALUE"""),"US_112 CS DR JOSE DUSTAN CARVALHO SOARES	")</f>
        <v>US_112 CS DR JOSE DUSTAN CARVALHO SOARES	</v>
      </c>
      <c r="G3151" s="11" t="str">
        <f>IFERROR(__xludf.DUMMYFUNCTION("""COMPUTED_VALUE"""),"US_112 CS DR JOSE DUSTAN CARVALHO SOARES	")</f>
        <v>US_112 CS DR JOSE DUSTAN CARVALHO SOARES	</v>
      </c>
      <c r="H3151" s="11"/>
      <c r="I3151" s="11"/>
      <c r="J3151" s="11"/>
      <c r="K3151" s="11"/>
      <c r="L3151" s="11"/>
      <c r="M3151" s="11"/>
      <c r="N3151" s="30" t="str">
        <f>IFERROR(__xludf.DUMMYFUNCTION("""COMPUTED_VALUE"""),"karinancs@yahoo.com.br")</f>
        <v>karinancs@yahoo.com.br</v>
      </c>
      <c r="O3151" s="11">
        <f>IFERROR(__xludf.DUMMYFUNCTION("""COMPUTED_VALUE"""),2253942430)</f>
        <v>2253942430</v>
      </c>
      <c r="P3151" s="11"/>
      <c r="Q3151" s="11"/>
      <c r="R3151" s="11"/>
      <c r="S3151" s="11"/>
      <c r="T3151" s="11"/>
      <c r="U3151" s="11"/>
      <c r="V3151" s="11"/>
      <c r="W3151" s="11"/>
      <c r="X3151" s="11"/>
      <c r="Y3151" s="11"/>
      <c r="Z3151" s="11"/>
    </row>
    <row r="3152" customHeight="1" spans="1:26">
      <c r="A3152" s="11" t="str">
        <f>IFERROR(__xludf.DUMMYFUNCTION("""COMPUTED_VALUE"""),"JENNA KADJA NEVES VALENTE")</f>
        <v>JENNA KADJA NEVES VALENTE</v>
      </c>
      <c r="B3152" s="11"/>
      <c r="C3152" s="11"/>
      <c r="D3152" s="11" t="str">
        <f>IFERROR(__xludf.DUMMYFUNCTION("""COMPUTED_VALUE"""),"CLINICA MEDICA")</f>
        <v>CLINICA MEDICA</v>
      </c>
      <c r="E3152" s="11"/>
      <c r="F3152" s="11" t="str">
        <f>IFERROR(__xludf.DUMMYFUNCTION("""COMPUTED_VALUE"""),"US_149 CS OLINTO OLIVEIRA")</f>
        <v>US_149 CS OLINTO OLIVEIRA</v>
      </c>
      <c r="G3152" s="11" t="str">
        <f>IFERROR(__xludf.DUMMYFUNCTION("""COMPUTED_VALUE"""),"US_149 CS OLINTO OLIVEIRA")</f>
        <v>US_149 CS OLINTO OLIVEIRA</v>
      </c>
      <c r="H3152" s="11"/>
      <c r="I3152" s="11"/>
      <c r="J3152" s="11"/>
      <c r="K3152" s="11"/>
      <c r="L3152" s="11"/>
      <c r="M3152" s="11"/>
      <c r="N3152" s="30" t="str">
        <f>IFERROR(__xludf.DUMMYFUNCTION("""COMPUTED_VALUE"""),"jennakadja@yahoo.com.br")</f>
        <v>jennakadja@yahoo.com.br</v>
      </c>
      <c r="O3152" s="11">
        <f>IFERROR(__xludf.DUMMYFUNCTION("""COMPUTED_VALUE"""),6336977455)</f>
        <v>6336977455</v>
      </c>
      <c r="P3152" s="11"/>
      <c r="Q3152" s="11"/>
      <c r="R3152" s="11"/>
      <c r="S3152" s="11"/>
      <c r="T3152" s="11"/>
      <c r="U3152" s="11"/>
      <c r="V3152" s="11"/>
      <c r="W3152" s="11"/>
      <c r="X3152" s="11"/>
      <c r="Y3152" s="11"/>
      <c r="Z3152" s="11"/>
    </row>
    <row r="3153" customHeight="1" spans="1:26">
      <c r="A3153" s="11" t="str">
        <f>IFERROR(__xludf.DUMMYFUNCTION("""COMPUTED_VALUE"""),"ALISSON JOSE DE LIMA PEIXOTO")</f>
        <v>ALISSON JOSE DE LIMA PEIXOTO</v>
      </c>
      <c r="B3153" s="11"/>
      <c r="C3153" s="11"/>
      <c r="D3153" s="11" t="str">
        <f>IFERROR(__xludf.DUMMYFUNCTION("""COMPUTED_VALUE"""),"CLINICA MEDICA E GERIATRIA")</f>
        <v>CLINICA MEDICA E GERIATRIA</v>
      </c>
      <c r="E3153" s="11"/>
      <c r="F3153" s="11" t="str">
        <f>IFERROR(__xludf.DUMMYFUNCTION("""COMPUTED_VALUE"""),"US_106 CS PROF JOAQUIM CAVALCANTE	")</f>
        <v>US_106 CS PROF JOAQUIM CAVALCANTE	</v>
      </c>
      <c r="G3153" s="11" t="str">
        <f>IFERROR(__xludf.DUMMYFUNCTION("""COMPUTED_VALUE"""),"US_106 CS PROF JOAQUIM CAVALCANTE	")</f>
        <v>US_106 CS PROF JOAQUIM CAVALCANTE	</v>
      </c>
      <c r="H3153" s="27">
        <f>IFERROR(__xludf.DUMMYFUNCTION("""COMPUTED_VALUE"""),81999393623)</f>
        <v>81999393623</v>
      </c>
      <c r="I3153" s="11"/>
      <c r="J3153" s="24">
        <f>IFERROR(__xludf.DUMMYFUNCTION("""COMPUTED_VALUE"""),45369)</f>
        <v>45369</v>
      </c>
      <c r="K3153" s="11"/>
      <c r="L3153" s="11"/>
      <c r="M3153" s="11"/>
      <c r="N3153" s="30" t="str">
        <f>IFERROR(__xludf.DUMMYFUNCTION("""COMPUTED_VALUE"""),"lpalisson@hotmail.com")</f>
        <v>lpalisson@hotmail.com</v>
      </c>
      <c r="O3153" s="11">
        <f>IFERROR(__xludf.DUMMYFUNCTION("""COMPUTED_VALUE"""),9652539457)</f>
        <v>9652539457</v>
      </c>
      <c r="P3153" s="11"/>
      <c r="Q3153" s="11"/>
      <c r="R3153" s="11"/>
      <c r="S3153" s="11"/>
      <c r="T3153" s="11"/>
      <c r="U3153" s="11"/>
      <c r="V3153" s="11"/>
      <c r="W3153" s="11"/>
      <c r="X3153" s="11"/>
      <c r="Y3153" s="11"/>
      <c r="Z3153" s="11"/>
    </row>
    <row r="3154" customHeight="1" spans="1:26">
      <c r="A3154" s="11" t="str">
        <f>IFERROR(__xludf.DUMMYFUNCTION("""COMPUTED_VALUE"""),"CLARICE DE OLIVEIRA MARINHO")</f>
        <v>CLARICE DE OLIVEIRA MARINHO</v>
      </c>
      <c r="B3154" s="11"/>
      <c r="C3154" s="11"/>
      <c r="D3154" s="11" t="str">
        <f>IFERROR(__xludf.DUMMYFUNCTION("""COMPUTED_VALUE"""),"PSIQUIATRIA")</f>
        <v>PSIQUIATRIA</v>
      </c>
      <c r="E3154" s="11"/>
      <c r="F3154" s="11" t="str">
        <f>IFERROR(__xludf.DUMMYFUNCTION("""COMPUTED_VALUE"""),"US_106 CS PROF JOAQUIM CAVALCANTE	")</f>
        <v>US_106 CS PROF JOAQUIM CAVALCANTE	</v>
      </c>
      <c r="G3154" s="11" t="str">
        <f>IFERROR(__xludf.DUMMYFUNCTION("""COMPUTED_VALUE"""),"US_106 CS PROF JOAQUIM CAVALCANTE	")</f>
        <v>US_106 CS PROF JOAQUIM CAVALCANTE	</v>
      </c>
      <c r="H3154" s="11"/>
      <c r="I3154" s="11"/>
      <c r="J3154" s="11"/>
      <c r="K3154" s="11"/>
      <c r="L3154" s="11"/>
      <c r="M3154" s="11"/>
      <c r="N3154" s="30" t="str">
        <f>IFERROR(__xludf.DUMMYFUNCTION("""COMPUTED_VALUE"""),"clarice.om@gmail.com")</f>
        <v>clarice.om@gmail.com</v>
      </c>
      <c r="O3154" s="11">
        <f>IFERROR(__xludf.DUMMYFUNCTION("""COMPUTED_VALUE"""),4561088407)</f>
        <v>4561088407</v>
      </c>
      <c r="P3154" s="11"/>
      <c r="Q3154" s="11"/>
      <c r="R3154" s="11"/>
      <c r="S3154" s="11"/>
      <c r="T3154" s="11"/>
      <c r="U3154" s="11"/>
      <c r="V3154" s="11"/>
      <c r="W3154" s="11"/>
      <c r="X3154" s="11"/>
      <c r="Y3154" s="11"/>
      <c r="Z3154" s="11"/>
    </row>
    <row r="3155" customHeight="1" spans="1:26">
      <c r="A3155" s="11" t="str">
        <f>IFERROR(__xludf.DUMMYFUNCTION("""COMPUTED_VALUE"""),"ROCHELLE IASMYN NUNES DA ROCHA")</f>
        <v>ROCHELLE IASMYN NUNES DA ROCHA</v>
      </c>
      <c r="B3155" s="11"/>
      <c r="C3155" s="11"/>
      <c r="D3155" s="11" t="str">
        <f>IFERROR(__xludf.DUMMYFUNCTION("""COMPUTED_VALUE"""),"CLINICA MEDICA")</f>
        <v>CLINICA MEDICA</v>
      </c>
      <c r="E3155" s="11"/>
      <c r="F3155" s="11" t="str">
        <f>IFERROR(__xludf.DUMMYFUNCTION("""COMPUTED_VALUE"""),"")</f>
        <v/>
      </c>
      <c r="G3155" s="11" t="str">
        <f>IFERROR(__xludf.DUMMYFUNCTION("""COMPUTED_VALUE"""),"")</f>
        <v/>
      </c>
      <c r="H3155" s="11"/>
      <c r="I3155" s="11"/>
      <c r="J3155" s="11"/>
      <c r="K3155" s="11"/>
      <c r="L3155" s="11"/>
      <c r="M3155" s="11"/>
      <c r="N3155" s="11"/>
      <c r="O3155" s="11"/>
      <c r="P3155" s="11"/>
      <c r="Q3155" s="11"/>
      <c r="R3155" s="11"/>
      <c r="S3155" s="11"/>
      <c r="T3155" s="11"/>
      <c r="U3155" s="11"/>
      <c r="V3155" s="11"/>
      <c r="W3155" s="11"/>
      <c r="X3155" s="11"/>
      <c r="Y3155" s="11"/>
      <c r="Z3155" s="11"/>
    </row>
    <row r="3156" customHeight="1" spans="1:26">
      <c r="A3156" s="11" t="str">
        <f>IFERROR(__xludf.DUMMYFUNCTION("""COMPUTED_VALUE"""),"JADIEL LUIS DA SILVA")</f>
        <v>JADIEL LUIS DA SILVA</v>
      </c>
      <c r="B3156" s="11"/>
      <c r="C3156" s="11"/>
      <c r="D3156" s="11" t="str">
        <f>IFERROR(__xludf.DUMMYFUNCTION("""COMPUTED_VALUE"""),"PSIQUIATRIA")</f>
        <v>PSIQUIATRIA</v>
      </c>
      <c r="E3156" s="11"/>
      <c r="F3156" s="11" t="str">
        <f>IFERROR(__xludf.DUMMYFUNCTION("""COMPUTED_VALUE"""),"")</f>
        <v/>
      </c>
      <c r="G3156" s="11" t="str">
        <f>IFERROR(__xludf.DUMMYFUNCTION("""COMPUTED_VALUE"""),"")</f>
        <v/>
      </c>
      <c r="H3156" s="11"/>
      <c r="I3156" s="11"/>
      <c r="J3156" s="11"/>
      <c r="K3156" s="11"/>
      <c r="L3156" s="11"/>
      <c r="M3156" s="11"/>
      <c r="N3156" s="11"/>
      <c r="O3156" s="11"/>
      <c r="P3156" s="11"/>
      <c r="Q3156" s="11"/>
      <c r="R3156" s="11"/>
      <c r="S3156" s="11"/>
      <c r="T3156" s="11"/>
      <c r="U3156" s="11"/>
      <c r="V3156" s="11"/>
      <c r="W3156" s="11"/>
      <c r="X3156" s="11"/>
      <c r="Y3156" s="11"/>
      <c r="Z3156" s="11"/>
    </row>
    <row r="3157" customHeight="1" spans="1:26">
      <c r="A3157" s="11" t="str">
        <f>IFERROR(__xludf.DUMMYFUNCTION("""COMPUTED_VALUE"""),"MARCIA ROBERTA A CAVALCANTI")</f>
        <v>MARCIA ROBERTA A CAVALCANTI</v>
      </c>
      <c r="B3157" s="11"/>
      <c r="C3157" s="11"/>
      <c r="D3157" s="11" t="str">
        <f>IFERROR(__xludf.DUMMYFUNCTION("""COMPUTED_VALUE"""),"HOMEOPATA")</f>
        <v>HOMEOPATA</v>
      </c>
      <c r="E3157" s="11"/>
      <c r="F3157" s="11" t="str">
        <f>IFERROR(__xludf.DUMMYFUNCTION("""COMPUTED_VALUE"""),"US_322 UNIDADE DE CUIDADOS INTEGRAIS GUILHERME ABATH")</f>
        <v>US_322 UNIDADE DE CUIDADOS INTEGRAIS GUILHERME ABATH</v>
      </c>
      <c r="G3157" s="11" t="str">
        <f>IFERROR(__xludf.DUMMYFUNCTION("""COMPUTED_VALUE"""),"US_322 UNIDADE DE CUIDADOS INTEGRAIS GUILHERME ABATH")</f>
        <v>US_322 UNIDADE DE CUIDADOS INTEGRAIS GUILHERME ABATH</v>
      </c>
      <c r="H3157" s="11"/>
      <c r="I3157" s="11"/>
      <c r="J3157" s="11"/>
      <c r="K3157" s="11"/>
      <c r="L3157" s="11"/>
      <c r="M3157" s="11"/>
      <c r="N3157" s="30" t="str">
        <f>IFERROR(__xludf.DUMMYFUNCTION("""COMPUTED_VALUE"""),"marciarruda1@yahoo.com.br                              ")</f>
        <v>marciarruda1@yahoo.com.br                              </v>
      </c>
      <c r="O3157" s="11">
        <f>IFERROR(__xludf.DUMMYFUNCTION("""COMPUTED_VALUE"""),47919957400)</f>
        <v>47919957400</v>
      </c>
      <c r="P3157" s="11"/>
      <c r="Q3157" s="11"/>
      <c r="R3157" s="11"/>
      <c r="S3157" s="11"/>
      <c r="T3157" s="11"/>
      <c r="U3157" s="11"/>
      <c r="V3157" s="11"/>
      <c r="W3157" s="11"/>
      <c r="X3157" s="11"/>
      <c r="Y3157" s="11"/>
      <c r="Z3157" s="11"/>
    </row>
    <row r="3158" customHeight="1" spans="1:26">
      <c r="A3158" s="11" t="str">
        <f>IFERROR(__xludf.DUMMYFUNCTION("""COMPUTED_VALUE"""),"VICTORIA MARIA DE S MOURA")</f>
        <v>VICTORIA MARIA DE S MOURA</v>
      </c>
      <c r="B3158" s="11"/>
      <c r="C3158" s="11"/>
      <c r="D3158" s="11" t="str">
        <f>IFERROR(__xludf.DUMMYFUNCTION("""COMPUTED_VALUE"""),"HOMEOPATA")</f>
        <v>HOMEOPATA</v>
      </c>
      <c r="E3158" s="11"/>
      <c r="F3158" s="11" t="str">
        <f>IFERROR(__xludf.DUMMYFUNCTION("""COMPUTED_VALUE"""),"US_322 UNIDADE DE CUIDADOS INTEGRAIS GUILHERME ABATH")</f>
        <v>US_322 UNIDADE DE CUIDADOS INTEGRAIS GUILHERME ABATH</v>
      </c>
      <c r="G3158" s="11" t="str">
        <f>IFERROR(__xludf.DUMMYFUNCTION("""COMPUTED_VALUE"""),"US_322 UNIDADE DE CUIDADOS INTEGRAIS GUILHERME ABATH")</f>
        <v>US_322 UNIDADE DE CUIDADOS INTEGRAIS GUILHERME ABATH</v>
      </c>
      <c r="H3158" s="11"/>
      <c r="I3158" s="11"/>
      <c r="J3158" s="11"/>
      <c r="K3158" s="11"/>
      <c r="L3158" s="11"/>
      <c r="M3158" s="11"/>
      <c r="N3158" s="30" t="str">
        <f>IFERROR(__xludf.DUMMYFUNCTION("""COMPUTED_VALUE"""),"vickymoura@hotmail.com")</f>
        <v>vickymoura@hotmail.com</v>
      </c>
      <c r="O3158" s="11">
        <f>IFERROR(__xludf.DUMMYFUNCTION("""COMPUTED_VALUE"""),22724230434)</f>
        <v>22724230434</v>
      </c>
      <c r="P3158" s="11"/>
      <c r="Q3158" s="11"/>
      <c r="R3158" s="11"/>
      <c r="S3158" s="11"/>
      <c r="T3158" s="11"/>
      <c r="U3158" s="11"/>
      <c r="V3158" s="11"/>
      <c r="W3158" s="11"/>
      <c r="X3158" s="11"/>
      <c r="Y3158" s="11"/>
      <c r="Z3158" s="11"/>
    </row>
    <row r="3159" customHeight="1" spans="1:26">
      <c r="A3159" s="11" t="str">
        <f>IFERROR(__xludf.DUMMYFUNCTION("""COMPUTED_VALUE"""),"ROSANA MESQUITA MONTEIRO DIAS")</f>
        <v>ROSANA MESQUITA MONTEIRO DIAS</v>
      </c>
      <c r="B3159" s="11"/>
      <c r="C3159" s="11"/>
      <c r="D3159" s="11" t="str">
        <f>IFERROR(__xludf.DUMMYFUNCTION("""COMPUTED_VALUE"""),"ACUPUNTURA")</f>
        <v>ACUPUNTURA</v>
      </c>
      <c r="E3159" s="11"/>
      <c r="F3159" s="11" t="str">
        <f>IFERROR(__xludf.DUMMYFUNCTION("""COMPUTED_VALUE"""),"US_322 UNIDADE DE CUIDADOS INTEGRAIS GUILHERME ABATH")</f>
        <v>US_322 UNIDADE DE CUIDADOS INTEGRAIS GUILHERME ABATH</v>
      </c>
      <c r="G3159" s="11" t="str">
        <f>IFERROR(__xludf.DUMMYFUNCTION("""COMPUTED_VALUE"""),"US_322 UNIDADE DE CUIDADOS INTEGRAIS GUILHERME ABATH")</f>
        <v>US_322 UNIDADE DE CUIDADOS INTEGRAIS GUILHERME ABATH</v>
      </c>
      <c r="H3159" s="11"/>
      <c r="I3159" s="11"/>
      <c r="J3159" s="11"/>
      <c r="K3159" s="11"/>
      <c r="L3159" s="11"/>
      <c r="M3159" s="11"/>
      <c r="N3159" s="30" t="str">
        <f>IFERROR(__xludf.DUMMYFUNCTION("""COMPUTED_VALUE"""),"rozanamesquita@hotmail.com                             ")</f>
        <v>rozanamesquita@hotmail.com                             </v>
      </c>
      <c r="O3159" s="11">
        <f>IFERROR(__xludf.DUMMYFUNCTION("""COMPUTED_VALUE"""),16636678453)</f>
        <v>16636678453</v>
      </c>
      <c r="P3159" s="11"/>
      <c r="Q3159" s="11"/>
      <c r="R3159" s="11"/>
      <c r="S3159" s="11"/>
      <c r="T3159" s="11"/>
      <c r="U3159" s="11"/>
      <c r="V3159" s="11"/>
      <c r="W3159" s="11"/>
      <c r="X3159" s="11"/>
      <c r="Y3159" s="11"/>
      <c r="Z3159" s="11"/>
    </row>
    <row r="3160" customHeight="1" spans="1:26">
      <c r="A3160" s="11" t="str">
        <f>IFERROR(__xludf.DUMMYFUNCTION("""COMPUTED_VALUE"""),"VIVIANN SILVEIRA DE A BASTOS")</f>
        <v>VIVIANN SILVEIRA DE A BASTOS</v>
      </c>
      <c r="B3160" s="11"/>
      <c r="C3160" s="11"/>
      <c r="D3160" s="11" t="str">
        <f>IFERROR(__xludf.DUMMYFUNCTION("""COMPUTED_VALUE"""),"ACUPUNTURA")</f>
        <v>ACUPUNTURA</v>
      </c>
      <c r="E3160" s="11"/>
      <c r="F3160" s="11" t="str">
        <f>IFERROR(__xludf.DUMMYFUNCTION("""COMPUTED_VALUE"""),"SERVIÇO INTEGRADO DE SAUDE - SIS")</f>
        <v>SERVIÇO INTEGRADO DE SAUDE - SIS</v>
      </c>
      <c r="G3160" s="11" t="str">
        <f>IFERROR(__xludf.DUMMYFUNCTION("""COMPUTED_VALUE"""),"SERVIÇO INTEGRADO DE SAUDE - SIS")</f>
        <v>SERVIÇO INTEGRADO DE SAUDE - SIS</v>
      </c>
      <c r="H3160" s="11"/>
      <c r="I3160" s="11"/>
      <c r="J3160" s="11"/>
      <c r="K3160" s="11"/>
      <c r="L3160" s="11"/>
      <c r="M3160" s="11"/>
      <c r="N3160" s="30" t="str">
        <f>IFERROR(__xludf.DUMMYFUNCTION("""COMPUTED_VALUE"""),"viviannalbuquerque@gmail.com")</f>
        <v>viviannalbuquerque@gmail.com</v>
      </c>
      <c r="O3160" s="11">
        <f>IFERROR(__xludf.DUMMYFUNCTION("""COMPUTED_VALUE"""),4309198406)</f>
        <v>4309198406</v>
      </c>
      <c r="P3160" s="11"/>
      <c r="Q3160" s="11"/>
      <c r="R3160" s="11"/>
      <c r="S3160" s="11"/>
      <c r="T3160" s="11"/>
      <c r="U3160" s="11"/>
      <c r="V3160" s="11"/>
      <c r="W3160" s="11"/>
      <c r="X3160" s="11"/>
      <c r="Y3160" s="11"/>
      <c r="Z3160" s="11"/>
    </row>
    <row r="3161" customHeight="1" spans="1:26">
      <c r="A3161" s="11" t="str">
        <f>IFERROR(__xludf.DUMMYFUNCTION("""COMPUTED_VALUE"""),"EDNA P SA C DE ALBUQUERQUE")</f>
        <v>EDNA P SA C DE ALBUQUERQUE</v>
      </c>
      <c r="B3161" s="11"/>
      <c r="C3161" s="11"/>
      <c r="D3161" s="11" t="str">
        <f>IFERROR(__xludf.DUMMYFUNCTION("""COMPUTED_VALUE"""),"MEDICINA DE FAMILIA E COMUNIDADE")</f>
        <v>MEDICINA DE FAMILIA E COMUNIDADE</v>
      </c>
      <c r="E3161" s="11"/>
      <c r="F3161" s="11" t="str">
        <f>IFERROR(__xludf.DUMMYFUNCTION("""COMPUTED_VALUE"""),"US_218 USF COQUE")</f>
        <v>US_218 USF COQUE</v>
      </c>
      <c r="G3161" s="11" t="str">
        <f>IFERROR(__xludf.DUMMYFUNCTION("""COMPUTED_VALUE"""),"US_218 USF COQUE")</f>
        <v>US_218 USF COQUE</v>
      </c>
      <c r="H3161" s="11"/>
      <c r="I3161" s="11"/>
      <c r="J3161" s="11"/>
      <c r="K3161" s="11"/>
      <c r="L3161" s="11"/>
      <c r="M3161" s="11"/>
      <c r="N3161" s="30" t="str">
        <f>IFERROR(__xludf.DUMMYFUNCTION("""COMPUTED_VALUE"""),"ednaalbuquerque2010@hotmail.com")</f>
        <v>ednaalbuquerque2010@hotmail.com</v>
      </c>
      <c r="O3161" s="11">
        <f>IFERROR(__xludf.DUMMYFUNCTION("""COMPUTED_VALUE"""),49086677487)</f>
        <v>49086677487</v>
      </c>
      <c r="P3161" s="11"/>
      <c r="Q3161" s="11"/>
      <c r="R3161" s="11"/>
      <c r="S3161" s="11"/>
      <c r="T3161" s="11"/>
      <c r="U3161" s="11"/>
      <c r="V3161" s="11"/>
      <c r="W3161" s="11"/>
      <c r="X3161" s="11"/>
      <c r="Y3161" s="11"/>
      <c r="Z3161" s="11"/>
    </row>
    <row r="3162" customHeight="1" spans="1:26">
      <c r="A3162" s="11" t="str">
        <f>IFERROR(__xludf.DUMMYFUNCTION("""COMPUTED_VALUE"""),"ANTONIO JORDAO DE OLIVEIRA NT")</f>
        <v>ANTONIO JORDAO DE OLIVEIRA NT</v>
      </c>
      <c r="B3162" s="11"/>
      <c r="C3162" s="11"/>
      <c r="D3162" s="11" t="str">
        <f>IFERROR(__xludf.DUMMYFUNCTION("""COMPUTED_VALUE"""),"MEDICINA DE FAMILIA E COMUNIDADE")</f>
        <v>MEDICINA DE FAMILIA E COMUNIDADE</v>
      </c>
      <c r="E3162" s="11"/>
      <c r="F3162" s="11" t="str">
        <f>IFERROR(__xludf.DUMMYFUNCTION("""COMPUTED_VALUE"""),"US_297 USF DO PINA -  JOAO RODRIGUES")</f>
        <v>US_297 USF DO PINA -  JOAO RODRIGUES</v>
      </c>
      <c r="G3162" s="11" t="str">
        <f>IFERROR(__xludf.DUMMYFUNCTION("""COMPUTED_VALUE"""),"US_297 USF DO PINA -  JOAO RODRIGUES")</f>
        <v>US_297 USF DO PINA -  JOAO RODRIGUES</v>
      </c>
      <c r="H3162" s="11"/>
      <c r="I3162" s="11"/>
      <c r="J3162" s="11"/>
      <c r="K3162" s="11"/>
      <c r="L3162" s="11"/>
      <c r="M3162" s="11"/>
      <c r="N3162" s="30" t="str">
        <f>IFERROR(__xludf.DUMMYFUNCTION("""COMPUTED_VALUE"""),"ANTONIOJORDAO@GMAIL.COM")</f>
        <v>ANTONIOJORDAO@GMAIL.COM</v>
      </c>
      <c r="O3162" s="11">
        <f>IFERROR(__xludf.DUMMYFUNCTION("""COMPUTED_VALUE"""),31134424434)</f>
        <v>31134424434</v>
      </c>
      <c r="P3162" s="11"/>
      <c r="Q3162" s="11"/>
      <c r="R3162" s="11"/>
      <c r="S3162" s="11"/>
      <c r="T3162" s="11"/>
      <c r="U3162" s="11"/>
      <c r="V3162" s="11"/>
      <c r="W3162" s="11"/>
      <c r="X3162" s="11"/>
      <c r="Y3162" s="11"/>
      <c r="Z3162" s="11"/>
    </row>
    <row r="3163" customHeight="1" spans="1:26">
      <c r="A3163" s="11" t="str">
        <f>IFERROR(__xludf.DUMMYFUNCTION("""COMPUTED_VALUE"""),"MARIANA TROCCOLI DE CARVALHO")</f>
        <v>MARIANA TROCCOLI DE CARVALHO</v>
      </c>
      <c r="B3163" s="11"/>
      <c r="C3163" s="11"/>
      <c r="D3163" s="11" t="str">
        <f>IFERROR(__xludf.DUMMYFUNCTION("""COMPUTED_VALUE"""),"MEDICINA DE FAMILIA E COMUNIDADE")</f>
        <v>MEDICINA DE FAMILIA E COMUNIDADE</v>
      </c>
      <c r="E3163" s="11"/>
      <c r="F3163" s="11" t="str">
        <f>IFERROR(__xludf.DUMMYFUNCTION("""COMPUTED_VALUE"""),"US_171 CS JOAQUIM COSTA CARVALHO/ALTO DO MANDU")</f>
        <v>US_171 CS JOAQUIM COSTA CARVALHO/ALTO DO MANDU</v>
      </c>
      <c r="G3163" s="11" t="str">
        <f>IFERROR(__xludf.DUMMYFUNCTION("""COMPUTED_VALUE"""),"US_171 CS JOAQUIM COSTA CARVALHO/ALTO DO MANDU")</f>
        <v>US_171 CS JOAQUIM COSTA CARVALHO/ALTO DO MANDU</v>
      </c>
      <c r="H3163" s="27">
        <f>IFERROR(__xludf.DUMMYFUNCTION("""COMPUTED_VALUE"""),81999767579)</f>
        <v>81999767579</v>
      </c>
      <c r="I3163" s="11"/>
      <c r="J3163" s="11"/>
      <c r="K3163" s="11"/>
      <c r="L3163" s="11"/>
      <c r="M3163" s="11"/>
      <c r="N3163" s="30" t="str">
        <f>IFERROR(__xludf.DUMMYFUNCTION("""COMPUTED_VALUE"""),"mtroccolicarvalho@gmail.com                            ")</f>
        <v>mtroccolicarvalho@gmail.com                            </v>
      </c>
      <c r="O3163" s="11">
        <f>IFERROR(__xludf.DUMMYFUNCTION("""COMPUTED_VALUE"""),985034483)</f>
        <v>985034483</v>
      </c>
      <c r="P3163" s="11"/>
      <c r="Q3163" s="11"/>
      <c r="R3163" s="11"/>
      <c r="S3163" s="11"/>
      <c r="T3163" s="11"/>
      <c r="U3163" s="11"/>
      <c r="V3163" s="11"/>
      <c r="W3163" s="11"/>
      <c r="X3163" s="11"/>
      <c r="Y3163" s="11"/>
      <c r="Z3163" s="11"/>
    </row>
    <row r="3164" customHeight="1" spans="1:26">
      <c r="A3164" s="11" t="str">
        <f>IFERROR(__xludf.DUMMYFUNCTION("""COMPUTED_VALUE"""),"VANESSA CRISTINA SALTARELO ARANTES")</f>
        <v>VANESSA CRISTINA SALTARELO ARANTES</v>
      </c>
      <c r="B3164" s="11"/>
      <c r="C3164" s="11"/>
      <c r="D3164" s="11" t="str">
        <f>IFERROR(__xludf.DUMMYFUNCTION("""COMPUTED_VALUE"""),"MEDICINA DE FAMILIA E COMUNIDADE")</f>
        <v>MEDICINA DE FAMILIA E COMUNIDADE</v>
      </c>
      <c r="E3164" s="11"/>
      <c r="F3164" s="11" t="str">
        <f>IFERROR(__xludf.DUMMYFUNCTION("""COMPUTED_VALUE"""),"US_351 USF PAZ E AMOR")</f>
        <v>US_351 USF PAZ E AMOR</v>
      </c>
      <c r="G3164" s="11" t="str">
        <f>IFERROR(__xludf.DUMMYFUNCTION("""COMPUTED_VALUE"""),"US_351 USF PAZ E AMOR")</f>
        <v>US_351 USF PAZ E AMOR</v>
      </c>
      <c r="H3164" s="27">
        <f>IFERROR(__xludf.DUMMYFUNCTION("""COMPUTED_VALUE"""),81994291606)</f>
        <v>81994291606</v>
      </c>
      <c r="I3164" s="11"/>
      <c r="J3164" s="11"/>
      <c r="K3164" s="11"/>
      <c r="L3164" s="11"/>
      <c r="M3164" s="11"/>
      <c r="N3164" s="30" t="str">
        <f>IFERROR(__xludf.DUMMYFUNCTION("""COMPUTED_VALUE"""),"vanessa.cristina.saltarello.arantes@hotmail.com")</f>
        <v>vanessa.cristina.saltarello.arantes@hotmail.com</v>
      </c>
      <c r="O3164" s="11">
        <f>IFERROR(__xludf.DUMMYFUNCTION("""COMPUTED_VALUE"""),6641919919)</f>
        <v>6641919919</v>
      </c>
      <c r="P3164" s="11"/>
      <c r="Q3164" s="11"/>
      <c r="R3164" s="11"/>
      <c r="S3164" s="11"/>
      <c r="T3164" s="11"/>
      <c r="U3164" s="11"/>
      <c r="V3164" s="11"/>
      <c r="W3164" s="11"/>
      <c r="X3164" s="11"/>
      <c r="Y3164" s="11"/>
      <c r="Z3164" s="11"/>
    </row>
    <row r="3165" customHeight="1" spans="1:26">
      <c r="A3165" s="11" t="str">
        <f>IFERROR(__xludf.DUMMYFUNCTION("""COMPUTED_VALUE"""),"MARISA VERAS DE PAIVA")</f>
        <v>MARISA VERAS DE PAIVA</v>
      </c>
      <c r="B3165" s="11"/>
      <c r="C3165" s="11"/>
      <c r="D3165" s="11" t="str">
        <f>IFERROR(__xludf.DUMMYFUNCTION("""COMPUTED_VALUE"""),"MEDICINA DE FAMILIA E COMUNIDADE")</f>
        <v>MEDICINA DE FAMILIA E COMUNIDADE</v>
      </c>
      <c r="E3165" s="11"/>
      <c r="F3165" s="11" t="str">
        <f>IFERROR(__xludf.DUMMYFUNCTION("""COMPUTED_VALUE"""),"US_281 USF VILA DOS MILAGRES")</f>
        <v>US_281 USF VILA DOS MILAGRES</v>
      </c>
      <c r="G3165" s="11" t="str">
        <f>IFERROR(__xludf.DUMMYFUNCTION("""COMPUTED_VALUE"""),"US_281 USF VILA DOS MILAGRES")</f>
        <v>US_281 USF VILA DOS MILAGRES</v>
      </c>
      <c r="H3165" s="11"/>
      <c r="I3165" s="11"/>
      <c r="J3165" s="11"/>
      <c r="K3165" s="11"/>
      <c r="L3165" s="11"/>
      <c r="M3165" s="11"/>
      <c r="N3165" s="30" t="str">
        <f>IFERROR(__xludf.DUMMYFUNCTION("""COMPUTED_VALUE"""),"MARISAVERAS@GMAIL.COM")</f>
        <v>MARISAVERAS@GMAIL.COM</v>
      </c>
      <c r="O3165" s="11">
        <f>IFERROR(__xludf.DUMMYFUNCTION("""COMPUTED_VALUE"""),16692055415)</f>
        <v>16692055415</v>
      </c>
      <c r="P3165" s="11"/>
      <c r="Q3165" s="11"/>
      <c r="R3165" s="11"/>
      <c r="S3165" s="11"/>
      <c r="T3165" s="11"/>
      <c r="U3165" s="11"/>
      <c r="V3165" s="11"/>
      <c r="W3165" s="11"/>
      <c r="X3165" s="11"/>
      <c r="Y3165" s="11"/>
      <c r="Z3165" s="11"/>
    </row>
    <row r="3166" customHeight="1" spans="1:26">
      <c r="A3166" s="11" t="str">
        <f>IFERROR(__xludf.DUMMYFUNCTION("""COMPUTED_VALUE"""),"BRUNO HENRIQUE SOARES PESSOA")</f>
        <v>BRUNO HENRIQUE SOARES PESSOA</v>
      </c>
      <c r="B3166" s="11"/>
      <c r="C3166" s="11"/>
      <c r="D3166" s="11" t="str">
        <f>IFERROR(__xludf.DUMMYFUNCTION("""COMPUTED_VALUE"""),"MEDICINA DE FAMILIA E COMUNIDADE")</f>
        <v>MEDICINA DE FAMILIA E COMUNIDADE</v>
      </c>
      <c r="E3166" s="11"/>
      <c r="F3166" s="11" t="str">
        <f>IFERROR(__xludf.DUMMYFUNCTION("""COMPUTED_VALUE"""),"US_255 USF UPINHA 24H VILA ARRAES	")</f>
        <v>US_255 USF UPINHA 24H VILA ARRAES	</v>
      </c>
      <c r="G3166" s="11" t="str">
        <f>IFERROR(__xludf.DUMMYFUNCTION("""COMPUTED_VALUE"""),"US_255 USF UPINHA 24H VILA ARRAES	")</f>
        <v>US_255 USF UPINHA 24H VILA ARRAES	</v>
      </c>
      <c r="H3166" s="11"/>
      <c r="I3166" s="11"/>
      <c r="J3166" s="11"/>
      <c r="K3166" s="11"/>
      <c r="L3166" s="11"/>
      <c r="M3166" s="11"/>
      <c r="N3166" s="30" t="str">
        <f>IFERROR(__xludf.DUMMYFUNCTION("""COMPUTED_VALUE"""),"BRUNOHSPESSOA@GMAIL.COM")</f>
        <v>BRUNOHSPESSOA@GMAIL.COM</v>
      </c>
      <c r="O3166" s="11">
        <f>IFERROR(__xludf.DUMMYFUNCTION("""COMPUTED_VALUE"""),5466355470)</f>
        <v>5466355470</v>
      </c>
      <c r="P3166" s="11"/>
      <c r="Q3166" s="11"/>
      <c r="R3166" s="11"/>
      <c r="S3166" s="11"/>
      <c r="T3166" s="11"/>
      <c r="U3166" s="11"/>
      <c r="V3166" s="11"/>
      <c r="W3166" s="11"/>
      <c r="X3166" s="11"/>
      <c r="Y3166" s="11"/>
      <c r="Z3166" s="11"/>
    </row>
    <row r="3167" customHeight="1" spans="1:26">
      <c r="A3167" s="11" t="str">
        <f>IFERROR(__xludf.DUMMYFUNCTION("""COMPUTED_VALUE"""),"EDILENE MARIA DA SILVA")</f>
        <v>EDILENE MARIA DA SILVA</v>
      </c>
      <c r="B3167" s="11"/>
      <c r="C3167" s="11"/>
      <c r="D3167" s="11" t="str">
        <f>IFERROR(__xludf.DUMMYFUNCTION("""COMPUTED_VALUE"""),"MEDICINA DE FAMILIA E COMUNIDADE")</f>
        <v>MEDICINA DE FAMILIA E COMUNIDADE</v>
      </c>
      <c r="E3167" s="11"/>
      <c r="F3167" s="11" t="str">
        <f>IFERROR(__xludf.DUMMYFUNCTION("""COMPUTED_VALUE"""),"US_373 USF CIDADE OPERARIA")</f>
        <v>US_373 USF CIDADE OPERARIA</v>
      </c>
      <c r="G3167" s="11" t="str">
        <f>IFERROR(__xludf.DUMMYFUNCTION("""COMPUTED_VALUE"""),"US_373 USF CIDADE OPERARIA")</f>
        <v>US_373 USF CIDADE OPERARIA</v>
      </c>
      <c r="H3167" s="11"/>
      <c r="I3167" s="11"/>
      <c r="J3167" s="11"/>
      <c r="K3167" s="11"/>
      <c r="L3167" s="11"/>
      <c r="M3167" s="11"/>
      <c r="N3167" s="11"/>
      <c r="O3167" s="11">
        <f>IFERROR(__xludf.DUMMYFUNCTION("""COMPUTED_VALUE"""),9402454420)</f>
        <v>9402454420</v>
      </c>
      <c r="P3167" s="11"/>
      <c r="Q3167" s="11"/>
      <c r="R3167" s="11"/>
      <c r="S3167" s="11"/>
      <c r="T3167" s="11"/>
      <c r="U3167" s="11"/>
      <c r="V3167" s="11"/>
      <c r="W3167" s="11"/>
      <c r="X3167" s="11"/>
      <c r="Y3167" s="11"/>
      <c r="Z3167" s="11"/>
    </row>
    <row r="3168" customHeight="1" spans="1:26">
      <c r="A3168" s="11" t="str">
        <f>IFERROR(__xludf.DUMMYFUNCTION("""COMPUTED_VALUE"""),"FLAVIA JANAINA F DE Q ANSAY")</f>
        <v>FLAVIA JANAINA F DE Q ANSAY</v>
      </c>
      <c r="B3168" s="11"/>
      <c r="C3168" s="11"/>
      <c r="D3168" s="11" t="str">
        <f>IFERROR(__xludf.DUMMYFUNCTION("""COMPUTED_VALUE"""),"MEDICINA DE FAMILIA E COMUNIDADE")</f>
        <v>MEDICINA DE FAMILIA E COMUNIDADE</v>
      </c>
      <c r="E3168" s="11"/>
      <c r="F3168" s="11" t="str">
        <f>IFERROR(__xludf.DUMMYFUNCTION("""COMPUTED_VALUE"""),"US_289 USF JOSUE DE CASTRO")</f>
        <v>US_289 USF JOSUE DE CASTRO</v>
      </c>
      <c r="G3168" s="11" t="str">
        <f>IFERROR(__xludf.DUMMYFUNCTION("""COMPUTED_VALUE"""),"US_289 USF JOSUE DE CASTRO")</f>
        <v>US_289 USF JOSUE DE CASTRO</v>
      </c>
      <c r="H3168" s="11"/>
      <c r="I3168" s="11"/>
      <c r="J3168" s="11"/>
      <c r="K3168" s="11"/>
      <c r="L3168" s="11"/>
      <c r="M3168" s="11"/>
      <c r="N3168" s="11"/>
      <c r="O3168" s="11">
        <f>IFERROR(__xludf.DUMMYFUNCTION("""COMPUTED_VALUE"""),2458282490)</f>
        <v>2458282490</v>
      </c>
      <c r="P3168" s="11"/>
      <c r="Q3168" s="11"/>
      <c r="R3168" s="11"/>
      <c r="S3168" s="11"/>
      <c r="T3168" s="11"/>
      <c r="U3168" s="11"/>
      <c r="V3168" s="11"/>
      <c r="W3168" s="11"/>
      <c r="X3168" s="11"/>
      <c r="Y3168" s="11"/>
      <c r="Z3168" s="11"/>
    </row>
    <row r="3169" customHeight="1" spans="1:26">
      <c r="A3169" s="11" t="str">
        <f>IFERROR(__xludf.DUMMYFUNCTION("""COMPUTED_VALUE"""),"ANA CAROLINA O C TAVARES")</f>
        <v>ANA CAROLINA O C TAVARES</v>
      </c>
      <c r="B3169" s="11"/>
      <c r="C3169" s="11"/>
      <c r="D3169" s="11" t="str">
        <f>IFERROR(__xludf.DUMMYFUNCTION("""COMPUTED_VALUE"""),"CLINICA GERAL")</f>
        <v>CLINICA GERAL</v>
      </c>
      <c r="E3169" s="11"/>
      <c r="F3169" s="11" t="str">
        <f>IFERROR(__xludf.DUMMYFUNCTION("""COMPUTED_VALUE"""),"US_171 CS JOAQUIM COSTA CARVALHO/ALTO DO MANDU")</f>
        <v>US_171 CS JOAQUIM COSTA CARVALHO/ALTO DO MANDU</v>
      </c>
      <c r="G3169" s="11" t="str">
        <f>IFERROR(__xludf.DUMMYFUNCTION("""COMPUTED_VALUE"""),"US_171 CS JOAQUIM COSTA CARVALHO/ALTO DO MANDU")</f>
        <v>US_171 CS JOAQUIM COSTA CARVALHO/ALTO DO MANDU</v>
      </c>
      <c r="H3169" s="11"/>
      <c r="I3169" s="11"/>
      <c r="J3169" s="11"/>
      <c r="K3169" s="11"/>
      <c r="L3169" s="11"/>
      <c r="M3169" s="11"/>
      <c r="N3169" s="30" t="str">
        <f>IFERROR(__xludf.DUMMYFUNCTION("""COMPUTED_VALUE"""),"carolctavares@hotmail.com")</f>
        <v>carolctavares@hotmail.com</v>
      </c>
      <c r="O3169" s="11">
        <f>IFERROR(__xludf.DUMMYFUNCTION("""COMPUTED_VALUE"""),3604302447)</f>
        <v>3604302447</v>
      </c>
      <c r="P3169" s="11"/>
      <c r="Q3169" s="11"/>
      <c r="R3169" s="11"/>
      <c r="S3169" s="11"/>
      <c r="T3169" s="11"/>
      <c r="U3169" s="11"/>
      <c r="V3169" s="11"/>
      <c r="W3169" s="11"/>
      <c r="X3169" s="11"/>
      <c r="Y3169" s="11"/>
      <c r="Z3169" s="11"/>
    </row>
    <row r="3170" customHeight="1" spans="1:26">
      <c r="A3170" s="11" t="str">
        <f>IFERROR(__xludf.DUMMYFUNCTION("""COMPUTED_VALUE"""),"MATEUS ANTONIO H DE L BARROS")</f>
        <v>MATEUS ANTONIO H DE L BARROS</v>
      </c>
      <c r="B3170" s="11"/>
      <c r="C3170" s="11"/>
      <c r="D3170" s="11" t="str">
        <f>IFERROR(__xludf.DUMMYFUNCTION("""COMPUTED_VALUE"""),"MEDICINA DE FAMILIA E COMUNIDADE")</f>
        <v>MEDICINA DE FAMILIA E COMUNIDADE</v>
      </c>
      <c r="E3170" s="11"/>
      <c r="F3170" s="11" t="str">
        <f>IFERROR(__xludf.DUMMYFUNCTION("""COMPUTED_VALUE"""),"US_260 USF CORREGO DA FORTUNA	")</f>
        <v>US_260 USF CORREGO DA FORTUNA	</v>
      </c>
      <c r="G3170" s="11" t="str">
        <f>IFERROR(__xludf.DUMMYFUNCTION("""COMPUTED_VALUE"""),"US_260 USF CORREGO DA FORTUNA	")</f>
        <v>US_260 USF CORREGO DA FORTUNA	</v>
      </c>
      <c r="H3170" s="11"/>
      <c r="I3170" s="11"/>
      <c r="J3170" s="11"/>
      <c r="K3170" s="11"/>
      <c r="L3170" s="11"/>
      <c r="M3170" s="11"/>
      <c r="N3170" s="30" t="str">
        <f>IFERROR(__xludf.DUMMYFUNCTION("""COMPUTED_VALUE"""),"maholanda2003@gmail.com")</f>
        <v>maholanda2003@gmail.com</v>
      </c>
      <c r="O3170" s="11">
        <f>IFERROR(__xludf.DUMMYFUNCTION("""COMPUTED_VALUE"""),7176433445)</f>
        <v>7176433445</v>
      </c>
      <c r="P3170" s="11"/>
      <c r="Q3170" s="11"/>
      <c r="R3170" s="11"/>
      <c r="S3170" s="11"/>
      <c r="T3170" s="11"/>
      <c r="U3170" s="11"/>
      <c r="V3170" s="11"/>
      <c r="W3170" s="11"/>
      <c r="X3170" s="11"/>
      <c r="Y3170" s="11"/>
      <c r="Z3170" s="11"/>
    </row>
    <row r="3171" customHeight="1" spans="1:26">
      <c r="A3171" s="11" t="str">
        <f>IFERROR(__xludf.DUMMYFUNCTION("""COMPUTED_VALUE"""),"LIDIANNE FABIA DE M ALCANTARA")</f>
        <v>LIDIANNE FABIA DE M ALCANTARA</v>
      </c>
      <c r="B3171" s="11"/>
      <c r="C3171" s="11"/>
      <c r="D3171" s="11" t="str">
        <f>IFERROR(__xludf.DUMMYFUNCTION("""COMPUTED_VALUE"""),"CLINICA GERAL")</f>
        <v>CLINICA GERAL</v>
      </c>
      <c r="E3171" s="11"/>
      <c r="F3171" s="11" t="str">
        <f>IFERROR(__xludf.DUMMYFUNCTION("""COMPUTED_VALUE"""),"US_255 USF UPINHA 24H VILA ARRAES	")</f>
        <v>US_255 USF UPINHA 24H VILA ARRAES	</v>
      </c>
      <c r="G3171" s="11" t="str">
        <f>IFERROR(__xludf.DUMMYFUNCTION("""COMPUTED_VALUE"""),"US_255 USF UPINHA 24H VILA ARRAES	")</f>
        <v>US_255 USF UPINHA 24H VILA ARRAES	</v>
      </c>
      <c r="H3171" s="11"/>
      <c r="I3171" s="11"/>
      <c r="J3171" s="11"/>
      <c r="K3171" s="11"/>
      <c r="L3171" s="11"/>
      <c r="M3171" s="11"/>
      <c r="N3171" s="30" t="str">
        <f>IFERROR(__xludf.DUMMYFUNCTION("""COMPUTED_VALUE"""),"lidifabi@gmail.com")</f>
        <v>lidifabi@gmail.com</v>
      </c>
      <c r="O3171" s="11">
        <f>IFERROR(__xludf.DUMMYFUNCTION("""COMPUTED_VALUE"""),7069228406)</f>
        <v>7069228406</v>
      </c>
      <c r="P3171" s="11"/>
      <c r="Q3171" s="11"/>
      <c r="R3171" s="11"/>
      <c r="S3171" s="11"/>
      <c r="T3171" s="11"/>
      <c r="U3171" s="11"/>
      <c r="V3171" s="11"/>
      <c r="W3171" s="11"/>
      <c r="X3171" s="11"/>
      <c r="Y3171" s="11"/>
      <c r="Z3171" s="11"/>
    </row>
    <row r="3172" customHeight="1" spans="1:26">
      <c r="A3172" s="11" t="str">
        <f>IFERROR(__xludf.DUMMYFUNCTION("""COMPUTED_VALUE"""),"NATALIA PRADO")</f>
        <v>NATALIA PRADO</v>
      </c>
      <c r="B3172" s="11"/>
      <c r="C3172" s="11"/>
      <c r="D3172" s="11"/>
      <c r="E3172" s="11"/>
      <c r="F3172" s="11"/>
      <c r="G3172" s="11" t="str">
        <f>IFERROR(__xludf.DUMMYFUNCTION("""COMPUTED_VALUE"""),"US 255 USF UPINHA 24H VILA ARRAES        ")</f>
        <v>US 255 USF UPINHA 24H VILA ARRAES        </v>
      </c>
      <c r="H3172" s="27">
        <f>IFERROR(__xludf.DUMMYFUNCTION("""COMPUTED_VALUE"""),81998523802)</f>
        <v>81998523802</v>
      </c>
      <c r="I3172" s="11"/>
      <c r="J3172" s="11"/>
      <c r="K3172" s="24">
        <f>IFERROR(__xludf.DUMMYFUNCTION("""COMPUTED_VALUE"""),45370)</f>
        <v>45370</v>
      </c>
      <c r="L3172" s="11"/>
      <c r="M3172" s="11"/>
      <c r="N3172" s="11"/>
      <c r="O3172" s="11"/>
      <c r="P3172" s="11"/>
      <c r="Q3172" s="11"/>
      <c r="R3172" s="11"/>
      <c r="S3172" s="11"/>
      <c r="T3172" s="11"/>
      <c r="U3172" s="11"/>
      <c r="V3172" s="11"/>
      <c r="W3172" s="11"/>
      <c r="X3172" s="11"/>
      <c r="Y3172" s="11"/>
      <c r="Z3172" s="11"/>
    </row>
    <row r="3173" customHeight="1" spans="1:26">
      <c r="A3173" s="11" t="str">
        <f>IFERROR(__xludf.DUMMYFUNCTION("""COMPUTED_VALUE"""),"IAGO RIBEIRO")</f>
        <v>IAGO RIBEIRO</v>
      </c>
      <c r="B3173" s="11"/>
      <c r="C3173" s="11"/>
      <c r="D3173" s="11"/>
      <c r="E3173" s="11"/>
      <c r="F3173" s="11"/>
      <c r="G3173" s="11" t="str">
        <f>IFERROR(__xludf.DUMMYFUNCTION("""COMPUTED_VALUE"""),"US 255 USF UPINHA 24H VILA ARRAES        ")</f>
        <v>US 255 USF UPINHA 24H VILA ARRAES        </v>
      </c>
      <c r="H3173" s="27">
        <f>IFERROR(__xludf.DUMMYFUNCTION("""COMPUTED_VALUE"""),92985252727)</f>
        <v>92985252727</v>
      </c>
      <c r="I3173" s="11"/>
      <c r="J3173" s="11"/>
      <c r="K3173" s="24">
        <f>IFERROR(__xludf.DUMMYFUNCTION("""COMPUTED_VALUE"""),45370)</f>
        <v>45370</v>
      </c>
      <c r="L3173" s="11"/>
      <c r="M3173" s="11"/>
      <c r="N3173" s="11"/>
      <c r="O3173" s="11"/>
      <c r="P3173" s="11"/>
      <c r="Q3173" s="11"/>
      <c r="R3173" s="11"/>
      <c r="S3173" s="11"/>
      <c r="T3173" s="11"/>
      <c r="U3173" s="11"/>
      <c r="V3173" s="11"/>
      <c r="W3173" s="11"/>
      <c r="X3173" s="11"/>
      <c r="Y3173" s="11"/>
      <c r="Z3173" s="11"/>
    </row>
    <row r="3174" customHeight="1" spans="1:26">
      <c r="A3174" s="11" t="str">
        <f>IFERROR(__xludf.DUMMYFUNCTION("""COMPUTED_VALUE"""),"BEATRIZ PESSOA")</f>
        <v>BEATRIZ PESSOA</v>
      </c>
      <c r="B3174" s="11"/>
      <c r="C3174" s="11"/>
      <c r="D3174" s="11" t="str">
        <f>IFERROR(__xludf.DUMMYFUNCTION("""COMPUTED_VALUE"""),"MEDICINA DE FAMILIA E COMUNIDADE")</f>
        <v>MEDICINA DE FAMILIA E COMUNIDADE</v>
      </c>
      <c r="E3174" s="11"/>
      <c r="F3174" s="11"/>
      <c r="G3174" s="11" t="str">
        <f>IFERROR(__xludf.DUMMYFUNCTION("""COMPUTED_VALUE"""),"US 255 USF UPINHA 24H VILA ARRAES        ")</f>
        <v>US 255 USF UPINHA 24H VILA ARRAES        </v>
      </c>
      <c r="H3174" s="27">
        <f>IFERROR(__xludf.DUMMYFUNCTION("""COMPUTED_VALUE"""),81996332633)</f>
        <v>81996332633</v>
      </c>
      <c r="I3174" s="11"/>
      <c r="J3174" s="11"/>
      <c r="K3174" s="24">
        <f>IFERROR(__xludf.DUMMYFUNCTION("""COMPUTED_VALUE"""),45370)</f>
        <v>45370</v>
      </c>
      <c r="L3174" s="11"/>
      <c r="M3174" s="11"/>
      <c r="N3174" s="11"/>
      <c r="O3174" s="11"/>
      <c r="P3174" s="11"/>
      <c r="Q3174" s="11"/>
      <c r="R3174" s="11"/>
      <c r="S3174" s="11"/>
      <c r="T3174" s="11"/>
      <c r="U3174" s="11"/>
      <c r="V3174" s="11"/>
      <c r="W3174" s="11"/>
      <c r="X3174" s="11"/>
      <c r="Y3174" s="11"/>
      <c r="Z3174" s="11"/>
    </row>
    <row r="3175" customHeight="1" spans="1:26">
      <c r="A3175" s="11" t="str">
        <f>IFERROR(__xludf.DUMMYFUNCTION("""COMPUTED_VALUE"""),"BIANCA CARVALHO DE ASSIS")</f>
        <v>BIANCA CARVALHO DE ASSIS</v>
      </c>
      <c r="B3175" s="11"/>
      <c r="C3175" s="11"/>
      <c r="D3175" s="11" t="str">
        <f>IFERROR(__xludf.DUMMYFUNCTION("""COMPUTED_VALUE"""),"MEDICINA DE FAMILIA E COMUNIDADE")</f>
        <v>MEDICINA DE FAMILIA E COMUNIDADE</v>
      </c>
      <c r="E3175" s="11"/>
      <c r="F3175" s="11" t="str">
        <f>IFERROR(__xludf.DUMMYFUNCTION("""COMPUTED_VALUE"""),"US_255 USF UPINHA 24H VILA ARRAES	")</f>
        <v>US_255 USF UPINHA 24H VILA ARRAES	</v>
      </c>
      <c r="G3175" s="11" t="str">
        <f>IFERROR(__xludf.DUMMYFUNCTION("""COMPUTED_VALUE"""),"US 255 USF UPINHA 24H VILA ARRAES        ")</f>
        <v>US 255 USF UPINHA 24H VILA ARRAES        </v>
      </c>
      <c r="H3175" s="27">
        <f>IFERROR(__xludf.DUMMYFUNCTION("""COMPUTED_VALUE"""),82999177900)</f>
        <v>82999177900</v>
      </c>
      <c r="I3175" s="11"/>
      <c r="J3175" s="11"/>
      <c r="K3175" s="24">
        <f>IFERROR(__xludf.DUMMYFUNCTION("""COMPUTED_VALUE"""),45370)</f>
        <v>45370</v>
      </c>
      <c r="L3175" s="11"/>
      <c r="M3175" s="11"/>
      <c r="N3175" s="30" t="str">
        <f>IFERROR(__xludf.DUMMYFUNCTION("""COMPUTED_VALUE"""),"biancassisoak@gmail.com")</f>
        <v>biancassisoak@gmail.com</v>
      </c>
      <c r="O3175" s="11">
        <f>IFERROR(__xludf.DUMMYFUNCTION("""COMPUTED_VALUE"""),7711169426)</f>
        <v>7711169426</v>
      </c>
      <c r="P3175" s="11"/>
      <c r="Q3175" s="11"/>
      <c r="R3175" s="11"/>
      <c r="S3175" s="11"/>
      <c r="T3175" s="11"/>
      <c r="U3175" s="11"/>
      <c r="V3175" s="11"/>
      <c r="W3175" s="11"/>
      <c r="X3175" s="11"/>
      <c r="Y3175" s="11"/>
      <c r="Z3175" s="11"/>
    </row>
    <row r="3176" customHeight="1" spans="1:26">
      <c r="A3176" s="11" t="str">
        <f>IFERROR(__xludf.DUMMYFUNCTION("""COMPUTED_VALUE"""),"CLAUDIO DUARTE DA FONSECA")</f>
        <v>CLAUDIO DUARTE DA FONSECA</v>
      </c>
      <c r="B3176" s="11"/>
      <c r="C3176" s="11"/>
      <c r="D3176" s="11" t="str">
        <f>IFERROR(__xludf.DUMMYFUNCTION("""COMPUTED_VALUE"""),"MEDICINA DE FAMILIA E COMUNIDADE")</f>
        <v>MEDICINA DE FAMILIA E COMUNIDADE</v>
      </c>
      <c r="E3176" s="11"/>
      <c r="F3176" s="11" t="str">
        <f>IFERROR(__xludf.DUMMYFUNCTION("""COMPUTED_VALUE"""),"US_287 USF ALTO JOSE DO PINHO")</f>
        <v>US_287 USF ALTO JOSE DO PINHO</v>
      </c>
      <c r="G3176" s="11" t="str">
        <f>IFERROR(__xludf.DUMMYFUNCTION("""COMPUTED_VALUE"""),"US_287 USF ALTO JOSE DO PINHO")</f>
        <v>US_287 USF ALTO JOSE DO PINHO</v>
      </c>
      <c r="H3176" s="11"/>
      <c r="I3176" s="11"/>
      <c r="J3176" s="11"/>
      <c r="K3176" s="11"/>
      <c r="L3176" s="11"/>
      <c r="M3176" s="11"/>
      <c r="N3176" s="30" t="str">
        <f>IFERROR(__xludf.DUMMYFUNCTION("""COMPUTED_VALUE"""),"claudioduarte@me.com")</f>
        <v>claudioduarte@me.com</v>
      </c>
      <c r="O3176" s="11">
        <f>IFERROR(__xludf.DUMMYFUNCTION("""COMPUTED_VALUE"""),48554731468)</f>
        <v>48554731468</v>
      </c>
      <c r="P3176" s="11"/>
      <c r="Q3176" s="11"/>
      <c r="R3176" s="11"/>
      <c r="S3176" s="11"/>
      <c r="T3176" s="11"/>
      <c r="U3176" s="11"/>
      <c r="V3176" s="11"/>
      <c r="W3176" s="11"/>
      <c r="X3176" s="11"/>
      <c r="Y3176" s="11"/>
      <c r="Z3176" s="11"/>
    </row>
    <row r="3177" customHeight="1" spans="1:26">
      <c r="A3177" s="11" t="str">
        <f>IFERROR(__xludf.DUMMYFUNCTION("""COMPUTED_VALUE"""),"JOSIAS ROSA NETTO")</f>
        <v>JOSIAS ROSA NETTO</v>
      </c>
      <c r="B3177" s="11"/>
      <c r="C3177" s="11"/>
      <c r="D3177" s="11" t="str">
        <f>IFERROR(__xludf.DUMMYFUNCTION("""COMPUTED_VALUE"""),"MEDICINA DE FAMILIA E COMUNIDADE")</f>
        <v>MEDICINA DE FAMILIA E COMUNIDADE</v>
      </c>
      <c r="E3177" s="11"/>
      <c r="F3177" s="11" t="str">
        <f>IFERROR(__xludf.DUMMYFUNCTION("""COMPUTED_VALUE"""),"US_252 USF ENGENHO DO MEIO	")</f>
        <v>US_252 USF ENGENHO DO MEIO	</v>
      </c>
      <c r="G3177" s="11" t="str">
        <f>IFERROR(__xludf.DUMMYFUNCTION("""COMPUTED_VALUE"""),"US_252 USF ENGENHO DO MEIO	")</f>
        <v>US_252 USF ENGENHO DO MEIO	</v>
      </c>
      <c r="H3177" s="11"/>
      <c r="I3177" s="11"/>
      <c r="J3177" s="11"/>
      <c r="K3177" s="11"/>
      <c r="L3177" s="11"/>
      <c r="M3177" s="11"/>
      <c r="N3177" s="30" t="str">
        <f>IFERROR(__xludf.DUMMYFUNCTION("""COMPUTED_VALUE"""),"josiasnetto@gmail.com")</f>
        <v>josiasnetto@gmail.com</v>
      </c>
      <c r="O3177" s="11">
        <f>IFERROR(__xludf.DUMMYFUNCTION("""COMPUTED_VALUE"""),6624735406)</f>
        <v>6624735406</v>
      </c>
      <c r="P3177" s="11"/>
      <c r="Q3177" s="11"/>
      <c r="R3177" s="11"/>
      <c r="S3177" s="11"/>
      <c r="T3177" s="11"/>
      <c r="U3177" s="11"/>
      <c r="V3177" s="11"/>
      <c r="W3177" s="11"/>
      <c r="X3177" s="11"/>
      <c r="Y3177" s="11"/>
      <c r="Z3177" s="11"/>
    </row>
    <row r="3178" customHeight="1" spans="1:26">
      <c r="A3178" s="11" t="str">
        <f>IFERROR(__xludf.DUMMYFUNCTION("""COMPUTED_VALUE"""),"FERNANDA MAIRA P DUARTE PINA")</f>
        <v>FERNANDA MAIRA P DUARTE PINA</v>
      </c>
      <c r="B3178" s="11"/>
      <c r="C3178" s="11"/>
      <c r="D3178" s="11" t="str">
        <f>IFERROR(__xludf.DUMMYFUNCTION("""COMPUTED_VALUE"""),"MEDICINA DE FAMILIA E COMUNIDADE")</f>
        <v>MEDICINA DE FAMILIA E COMUNIDADE</v>
      </c>
      <c r="E3178" s="11"/>
      <c r="F3178" s="11" t="str">
        <f>IFERROR(__xludf.DUMMYFUNCTION("""COMPUTED_VALUE"""),"US_284 USF VILA SAO MIGUEL MARROM GLACE")</f>
        <v>US_284 USF VILA SAO MIGUEL MARROM GLACE</v>
      </c>
      <c r="G3178" s="11" t="str">
        <f>IFERROR(__xludf.DUMMYFUNCTION("""COMPUTED_VALUE"""),"US_284 USF VILA SAO MIGUEL MARROM GLACE")</f>
        <v>US_284 USF VILA SAO MIGUEL MARROM GLACE</v>
      </c>
      <c r="H3178" s="27">
        <f>IFERROR(__xludf.DUMMYFUNCTION("""COMPUTED_VALUE"""),81994039552)</f>
        <v>81994039552</v>
      </c>
      <c r="I3178" s="11"/>
      <c r="J3178" s="11"/>
      <c r="K3178" s="11"/>
      <c r="L3178" s="11"/>
      <c r="M3178" s="11"/>
      <c r="N3178" s="30" t="str">
        <f>IFERROR(__xludf.DUMMYFUNCTION("""COMPUTED_VALUE"""),"fedupina79@gmail.com")</f>
        <v>fedupina79@gmail.com</v>
      </c>
      <c r="O3178" s="11">
        <f>IFERROR(__xludf.DUMMYFUNCTION("""COMPUTED_VALUE"""),2919245490)</f>
        <v>2919245490</v>
      </c>
      <c r="P3178" s="11"/>
      <c r="Q3178" s="11"/>
      <c r="R3178" s="11"/>
      <c r="S3178" s="11"/>
      <c r="T3178" s="11"/>
      <c r="U3178" s="11"/>
      <c r="V3178" s="11"/>
      <c r="W3178" s="11"/>
      <c r="X3178" s="11"/>
      <c r="Y3178" s="11"/>
      <c r="Z3178" s="11"/>
    </row>
    <row r="3179" customHeight="1" spans="1:26">
      <c r="A3179" s="11" t="str">
        <f>IFERROR(__xludf.DUMMYFUNCTION("""COMPUTED_VALUE"""),"MICHELLINE TAYNNANA LINS  ARAUJO")</f>
        <v>MICHELLINE TAYNNANA LINS  ARAUJO</v>
      </c>
      <c r="B3179" s="11"/>
      <c r="C3179" s="11"/>
      <c r="D3179" s="11" t="str">
        <f>IFERROR(__xludf.DUMMYFUNCTION("""COMPUTED_VALUE"""),"MEDICINA DE FAMILIA E COMUNIDADE")</f>
        <v>MEDICINA DE FAMILIA E COMUNIDADE</v>
      </c>
      <c r="E3179" s="11"/>
      <c r="F3179" s="11" t="str">
        <f>IFERROR(__xludf.DUMMYFUNCTION("""COMPUTED_VALUE"""),"US_251 USF DA GUABIRABA	")</f>
        <v>US_251 USF DA GUABIRABA	</v>
      </c>
      <c r="G3179" s="11" t="str">
        <f>IFERROR(__xludf.DUMMYFUNCTION("""COMPUTED_VALUE"""),"US_251 USF DA GUABIRABA	")</f>
        <v>US_251 USF DA GUABIRABA	</v>
      </c>
      <c r="H3179" s="27">
        <f>IFERROR(__xludf.DUMMYFUNCTION("""COMPUTED_VALUE"""),81981443484)</f>
        <v>81981443484</v>
      </c>
      <c r="I3179" s="11"/>
      <c r="J3179" s="11"/>
      <c r="K3179" s="24">
        <f>IFERROR(__xludf.DUMMYFUNCTION("""COMPUTED_VALUE"""),45247)</f>
        <v>45247</v>
      </c>
      <c r="L3179" s="11"/>
      <c r="M3179" s="11"/>
      <c r="N3179" s="30" t="str">
        <f>IFERROR(__xludf.DUMMYFUNCTION("""COMPUTED_VALUE"""),"michelins77@gmail.com")</f>
        <v>michelins77@gmail.com</v>
      </c>
      <c r="O3179" s="11">
        <f>IFERROR(__xludf.DUMMYFUNCTION("""COMPUTED_VALUE"""),5417946478)</f>
        <v>5417946478</v>
      </c>
      <c r="P3179" s="11"/>
      <c r="Q3179" s="11"/>
      <c r="R3179" s="11"/>
      <c r="S3179" s="11"/>
      <c r="T3179" s="11"/>
      <c r="U3179" s="11"/>
      <c r="V3179" s="11"/>
      <c r="W3179" s="11"/>
      <c r="X3179" s="11"/>
      <c r="Y3179" s="11"/>
      <c r="Z3179" s="11"/>
    </row>
    <row r="3180" customHeight="1" spans="1:26">
      <c r="A3180" s="11" t="str">
        <f>IFERROR(__xludf.DUMMYFUNCTION("""COMPUTED_VALUE"""),"TATIANA PAULA B S A FIGUEIREDO")</f>
        <v>TATIANA PAULA B S A FIGUEIREDO</v>
      </c>
      <c r="B3180" s="11"/>
      <c r="C3180" s="11"/>
      <c r="D3180" s="11" t="str">
        <f>IFERROR(__xludf.DUMMYFUNCTION("""COMPUTED_VALUE"""),"MEDICINA DE FAMILIA E COMUNIDADE")</f>
        <v>MEDICINA DE FAMILIA E COMUNIDADE</v>
      </c>
      <c r="E3180" s="11"/>
      <c r="F3180" s="11" t="str">
        <f>IFERROR(__xludf.DUMMYFUNCTION("""COMPUTED_VALUE"""),"US_301 USF BONGI BOA IDEIA")</f>
        <v>US_301 USF BONGI BOA IDEIA</v>
      </c>
      <c r="G3180" s="11" t="str">
        <f>IFERROR(__xludf.DUMMYFUNCTION("""COMPUTED_VALUE"""),"US_301 USF BONGI BOA IDEIA")</f>
        <v>US_301 USF BONGI BOA IDEIA</v>
      </c>
      <c r="H3180" s="11"/>
      <c r="I3180" s="11"/>
      <c r="J3180" s="11"/>
      <c r="K3180" s="11"/>
      <c r="L3180" s="11"/>
      <c r="M3180" s="11"/>
      <c r="N3180" s="30" t="str">
        <f>IFERROR(__xludf.DUMMYFUNCTION("""COMPUTED_VALUE"""),"tatianabalieiro@gmail.com")</f>
        <v>tatianabalieiro@gmail.com</v>
      </c>
      <c r="O3180" s="11">
        <f>IFERROR(__xludf.DUMMYFUNCTION("""COMPUTED_VALUE"""),42439361291)</f>
        <v>42439361291</v>
      </c>
      <c r="P3180" s="11"/>
      <c r="Q3180" s="11"/>
      <c r="R3180" s="11"/>
      <c r="S3180" s="11"/>
      <c r="T3180" s="11"/>
      <c r="U3180" s="11"/>
      <c r="V3180" s="11"/>
      <c r="W3180" s="11"/>
      <c r="X3180" s="11"/>
      <c r="Y3180" s="11"/>
      <c r="Z3180" s="11"/>
    </row>
    <row r="3181" customHeight="1" spans="1:26">
      <c r="A3181" s="11" t="str">
        <f>IFERROR(__xludf.DUMMYFUNCTION("""COMPUTED_VALUE"""),"CAMILA DE ANDRADE LEAL")</f>
        <v>CAMILA DE ANDRADE LEAL</v>
      </c>
      <c r="B3181" s="11"/>
      <c r="C3181" s="11"/>
      <c r="D3181" s="11" t="str">
        <f>IFERROR(__xludf.DUMMYFUNCTION("""COMPUTED_VALUE"""),"MEDICINA DE FAMILIA E COMUNIDADE")</f>
        <v>MEDICINA DE FAMILIA E COMUNIDADE</v>
      </c>
      <c r="E3181" s="11"/>
      <c r="F3181" s="11" t="str">
        <f>IFERROR(__xludf.DUMMYFUNCTION("""COMPUTED_VALUE"""),"US_175 USF ALTO DA BRASILEIRA / DIOGENES CAVALCANTI / RESERVATORIO")</f>
        <v>US_175 USF ALTO DA BRASILEIRA / DIOGENES CAVALCANTI / RESERVATORIO</v>
      </c>
      <c r="G3181" s="11" t="str">
        <f>IFERROR(__xludf.DUMMYFUNCTION("""COMPUTED_VALUE"""),"US_175 USF ALTO DA BRASILEIRA / DIOGENES CAVALCANTI / RESERVATORIO")</f>
        <v>US_175 USF ALTO DA BRASILEIRA / DIOGENES CAVALCANTI / RESERVATORIO</v>
      </c>
      <c r="H3181" s="11"/>
      <c r="I3181" s="11"/>
      <c r="J3181" s="11"/>
      <c r="K3181" s="11"/>
      <c r="L3181" s="11"/>
      <c r="M3181" s="11"/>
      <c r="N3181" s="30" t="str">
        <f>IFERROR(__xludf.DUMMYFUNCTION("""COMPUTED_VALUE"""),"mila_andrade_7@hotmail.com")</f>
        <v>mila_andrade_7@hotmail.com</v>
      </c>
      <c r="O3181" s="11">
        <f>IFERROR(__xludf.DUMMYFUNCTION("""COMPUTED_VALUE"""),8649241433)</f>
        <v>8649241433</v>
      </c>
      <c r="P3181" s="11"/>
      <c r="Q3181" s="11"/>
      <c r="R3181" s="11"/>
      <c r="S3181" s="11"/>
      <c r="T3181" s="11"/>
      <c r="U3181" s="11"/>
      <c r="V3181" s="11"/>
      <c r="W3181" s="11"/>
      <c r="X3181" s="11"/>
      <c r="Y3181" s="11"/>
      <c r="Z3181" s="11"/>
    </row>
    <row r="3182" customHeight="1" spans="1:26">
      <c r="A3182" s="11" t="str">
        <f>IFERROR(__xludf.DUMMYFUNCTION("""COMPUTED_VALUE"""),"HENRIQUE MARQUES FERREIRA")</f>
        <v>HENRIQUE MARQUES FERREIRA</v>
      </c>
      <c r="B3182" s="11"/>
      <c r="C3182" s="11"/>
      <c r="D3182" s="11" t="str">
        <f>IFERROR(__xludf.DUMMYFUNCTION("""COMPUTED_VALUE"""),"MEDICINA DE FAMILIA E COMUNIDADE")</f>
        <v>MEDICINA DE FAMILIA E COMUNIDADE</v>
      </c>
      <c r="E3182" s="11"/>
      <c r="F3182" s="11" t="str">
        <f>IFERROR(__xludf.DUMMYFUNCTION("""COMPUTED_VALUE"""),"US_153 POLICLINICA E MATERNIDADE ARNALDO MARQUES")</f>
        <v>US_153 POLICLINICA E MATERNIDADE ARNALDO MARQUES</v>
      </c>
      <c r="G3182" s="11" t="str">
        <f>IFERROR(__xludf.DUMMYFUNCTION("""COMPUTED_VALUE"""),"US_153 POLICLINICA E MATERNIDADE ARNALDO MARQUES")</f>
        <v>US_153 POLICLINICA E MATERNIDADE ARNALDO MARQUES</v>
      </c>
      <c r="H3182" s="27">
        <f>IFERROR(__xludf.DUMMYFUNCTION("""COMPUTED_VALUE"""),8196210149)</f>
        <v>8196210149</v>
      </c>
      <c r="I3182" s="11"/>
      <c r="J3182" s="11"/>
      <c r="K3182" s="24">
        <f>IFERROR(__xludf.DUMMYFUNCTION("""COMPUTED_VALUE"""),45260)</f>
        <v>45260</v>
      </c>
      <c r="L3182" s="11"/>
      <c r="M3182" s="11"/>
      <c r="N3182" s="30" t="str">
        <f>IFERROR(__xludf.DUMMYFUNCTION("""COMPUTED_VALUE"""),"HENRIQUEMARQUES.MED@GMAIL.COM")</f>
        <v>HENRIQUEMARQUES.MED@GMAIL.COM</v>
      </c>
      <c r="O3182" s="11">
        <f>IFERROR(__xludf.DUMMYFUNCTION("""COMPUTED_VALUE"""),4626545408)</f>
        <v>4626545408</v>
      </c>
      <c r="P3182" s="11"/>
      <c r="Q3182" s="11"/>
      <c r="R3182" s="11"/>
      <c r="S3182" s="11"/>
      <c r="T3182" s="11"/>
      <c r="U3182" s="11"/>
      <c r="V3182" s="11"/>
      <c r="W3182" s="11"/>
      <c r="X3182" s="11"/>
      <c r="Y3182" s="11"/>
      <c r="Z3182" s="11"/>
    </row>
    <row r="3183" customHeight="1" spans="1:26">
      <c r="A3183" s="11" t="str">
        <f>IFERROR(__xludf.DUMMYFUNCTION("""COMPUTED_VALUE"""),"EMANUELLA COELHO X RODRIGUES")</f>
        <v>EMANUELLA COELHO X RODRIGUES</v>
      </c>
      <c r="B3183" s="11"/>
      <c r="C3183" s="11"/>
      <c r="D3183" s="11" t="str">
        <f>IFERROR(__xludf.DUMMYFUNCTION("""COMPUTED_VALUE"""),"MEDICINA DE FAMILIA E COMUNIDADE")</f>
        <v>MEDICINA DE FAMILIA E COMUNIDADE</v>
      </c>
      <c r="E3183" s="11"/>
      <c r="F3183" s="11" t="str">
        <f>IFERROR(__xludf.DUMMYFUNCTION("""COMPUTED_VALUE"""),"US_173 USF DANCING DAYS")</f>
        <v>US_173 USF DANCING DAYS</v>
      </c>
      <c r="G3183" s="11" t="str">
        <f>IFERROR(__xludf.DUMMYFUNCTION("""COMPUTED_VALUE"""),"US_173 USF DANCING DAYS")</f>
        <v>US_173 USF DANCING DAYS</v>
      </c>
      <c r="H3183" s="27">
        <f>IFERROR(__xludf.DUMMYFUNCTION("""COMPUTED_VALUE"""),81995210353)</f>
        <v>81995210353</v>
      </c>
      <c r="I3183" s="11"/>
      <c r="J3183" s="11"/>
      <c r="K3183" s="11"/>
      <c r="L3183" s="11"/>
      <c r="M3183" s="11"/>
      <c r="N3183" s="30" t="str">
        <f>IFERROR(__xludf.DUMMYFUNCTION("""COMPUTED_VALUE"""),"EMANUELLACXRODRIGUES@GMAIL.COM")</f>
        <v>EMANUELLACXRODRIGUES@GMAIL.COM</v>
      </c>
      <c r="O3183" s="11">
        <f>IFERROR(__xludf.DUMMYFUNCTION("""COMPUTED_VALUE"""),5864583448)</f>
        <v>5864583448</v>
      </c>
      <c r="P3183" s="11"/>
      <c r="Q3183" s="11"/>
      <c r="R3183" s="11"/>
      <c r="S3183" s="11"/>
      <c r="T3183" s="11"/>
      <c r="U3183" s="11"/>
      <c r="V3183" s="11"/>
      <c r="W3183" s="11"/>
      <c r="X3183" s="11"/>
      <c r="Y3183" s="11"/>
      <c r="Z3183" s="11"/>
    </row>
    <row r="3184" customHeight="1" spans="1:26">
      <c r="A3184" s="11" t="str">
        <f>IFERROR(__xludf.DUMMYFUNCTION("""COMPUTED_VALUE"""),"CASSIA NOELE ARRUDA CAMPOS")</f>
        <v>CASSIA NOELE ARRUDA CAMPOS</v>
      </c>
      <c r="B3184" s="11"/>
      <c r="C3184" s="11"/>
      <c r="D3184" s="11" t="str">
        <f>IFERROR(__xludf.DUMMYFUNCTION("""COMPUTED_VALUE"""),"MEDICINA DE FAMILIA E COMUNIDADE")</f>
        <v>MEDICINA DE FAMILIA E COMUNIDADE</v>
      </c>
      <c r="E3184" s="11"/>
      <c r="F3184" s="11" t="str">
        <f>IFERROR(__xludf.DUMMYFUNCTION("""COMPUTED_VALUE"""),"US_278 USF NOSSA SRA DO PILAR BAIRRO DO RECIFE")</f>
        <v>US_278 USF NOSSA SRA DO PILAR BAIRRO DO RECIFE</v>
      </c>
      <c r="G3184" s="11" t="str">
        <f>IFERROR(__xludf.DUMMYFUNCTION("""COMPUTED_VALUE"""),"US_278 USF NOSSA SRA DO PILAR BAIRRO DO RECIFE")</f>
        <v>US_278 USF NOSSA SRA DO PILAR BAIRRO DO RECIFE</v>
      </c>
      <c r="H3184" s="27">
        <f>IFERROR(__xludf.DUMMYFUNCTION("""COMPUTED_VALUE"""),81999203756)</f>
        <v>81999203756</v>
      </c>
      <c r="I3184" s="11"/>
      <c r="J3184" s="11"/>
      <c r="K3184" s="24">
        <f>IFERROR(__xludf.DUMMYFUNCTION("""COMPUTED_VALUE"""),45419)</f>
        <v>45419</v>
      </c>
      <c r="L3184" s="11"/>
      <c r="M3184" s="11"/>
      <c r="N3184" s="30" t="str">
        <f>IFERROR(__xludf.DUMMYFUNCTION("""COMPUTED_VALUE"""),"cassia_noele@hotmail.com")</f>
        <v>cassia_noele@hotmail.com</v>
      </c>
      <c r="O3184" s="11">
        <f>IFERROR(__xludf.DUMMYFUNCTION("""COMPUTED_VALUE"""),6399356482)</f>
        <v>6399356482</v>
      </c>
      <c r="P3184" s="11"/>
      <c r="Q3184" s="11"/>
      <c r="R3184" s="11"/>
      <c r="S3184" s="11"/>
      <c r="T3184" s="11"/>
      <c r="U3184" s="11"/>
      <c r="V3184" s="11"/>
      <c r="W3184" s="11"/>
      <c r="X3184" s="11"/>
      <c r="Y3184" s="11"/>
      <c r="Z3184" s="11"/>
    </row>
    <row r="3185" customHeight="1" spans="1:26">
      <c r="A3185" s="11" t="str">
        <f>IFERROR(__xludf.DUMMYFUNCTION("""COMPUTED_VALUE"""),"MARCELA CRISTINE DA S DELGADO")</f>
        <v>MARCELA CRISTINE DA S DELGADO</v>
      </c>
      <c r="B3185" s="11"/>
      <c r="C3185" s="11"/>
      <c r="D3185" s="11" t="str">
        <f>IFERROR(__xludf.DUMMYFUNCTION("""COMPUTED_VALUE"""),"MEDICINA DE FAMILIA E COMUNIDADE")</f>
        <v>MEDICINA DE FAMILIA E COMUNIDADE</v>
      </c>
      <c r="E3185" s="11"/>
      <c r="F3185" s="11" t="str">
        <f>IFERROR(__xludf.DUMMYFUNCTION("""COMPUTED_VALUE"""),"US_272 USF SANTA TEREZA")</f>
        <v>US_272 USF SANTA TEREZA</v>
      </c>
      <c r="G3185" s="11" t="str">
        <f>IFERROR(__xludf.DUMMYFUNCTION("""COMPUTED_VALUE"""),"US_272 USF SANTA TEREZA")</f>
        <v>US_272 USF SANTA TEREZA</v>
      </c>
      <c r="H3185" s="11"/>
      <c r="I3185" s="11"/>
      <c r="J3185" s="11"/>
      <c r="K3185" s="11"/>
      <c r="L3185" s="11"/>
      <c r="M3185" s="11"/>
      <c r="N3185" s="30" t="str">
        <f>IFERROR(__xludf.DUMMYFUNCTION("""COMPUTED_VALUE"""),"MARCELA.DELGADO0785@GMAIL.COM")</f>
        <v>MARCELA.DELGADO0785@GMAIL.COM</v>
      </c>
      <c r="O3185" s="11">
        <f>IFERROR(__xludf.DUMMYFUNCTION("""COMPUTED_VALUE"""),5594737456)</f>
        <v>5594737456</v>
      </c>
      <c r="P3185" s="11"/>
      <c r="Q3185" s="11"/>
      <c r="R3185" s="11"/>
      <c r="S3185" s="11"/>
      <c r="T3185" s="11"/>
      <c r="U3185" s="11"/>
      <c r="V3185" s="11"/>
      <c r="W3185" s="11"/>
      <c r="X3185" s="11"/>
      <c r="Y3185" s="11"/>
      <c r="Z3185" s="11"/>
    </row>
    <row r="3186" customHeight="1" spans="1:26">
      <c r="A3186" s="11" t="str">
        <f>IFERROR(__xludf.DUMMYFUNCTION("""COMPUTED_VALUE"""),"WANESKA KALLYNE DA SILVA MOTA")</f>
        <v>WANESKA KALLYNE DA SILVA MOTA</v>
      </c>
      <c r="B3186" s="11"/>
      <c r="C3186" s="11"/>
      <c r="D3186" s="11" t="str">
        <f>IFERROR(__xludf.DUMMYFUNCTION("""COMPUTED_VALUE"""),"MEDICINA DE FAMILIA E COMUNIDADE")</f>
        <v>MEDICINA DE FAMILIA E COMUNIDADE</v>
      </c>
      <c r="E3186" s="11"/>
      <c r="F3186" s="11" t="str">
        <f>IFERROR(__xludf.DUMMYFUNCTION("""COMPUTED_VALUE"""),"US_285 USF SAO JOSE DO COQUE - BERILO PERNAMBUCANO")</f>
        <v>US_285 USF SAO JOSE DO COQUE - BERILO PERNAMBUCANO</v>
      </c>
      <c r="G3186" s="11" t="str">
        <f>IFERROR(__xludf.DUMMYFUNCTION("""COMPUTED_VALUE"""),"US_285 USF SAO JOSE DO COQUE - BERILO PERNAMBUCANO")</f>
        <v>US_285 USF SAO JOSE DO COQUE - BERILO PERNAMBUCANO</v>
      </c>
      <c r="H3186" s="11"/>
      <c r="I3186" s="11"/>
      <c r="J3186" s="11"/>
      <c r="K3186" s="11"/>
      <c r="L3186" s="11"/>
      <c r="M3186" s="11"/>
      <c r="N3186" s="30" t="str">
        <f>IFERROR(__xludf.DUMMYFUNCTION("""COMPUTED_VALUE"""),"waneska.mota@hotmail.com")</f>
        <v>waneska.mota@hotmail.com</v>
      </c>
      <c r="O3186" s="11">
        <f>IFERROR(__xludf.DUMMYFUNCTION("""COMPUTED_VALUE"""),8647152425)</f>
        <v>8647152425</v>
      </c>
      <c r="P3186" s="11"/>
      <c r="Q3186" s="11"/>
      <c r="R3186" s="11"/>
      <c r="S3186" s="11"/>
      <c r="T3186" s="11"/>
      <c r="U3186" s="11"/>
      <c r="V3186" s="11"/>
      <c r="W3186" s="11"/>
      <c r="X3186" s="11"/>
      <c r="Y3186" s="11"/>
      <c r="Z3186" s="11"/>
    </row>
    <row r="3187" customHeight="1" spans="1:26">
      <c r="A3187" s="11" t="str">
        <f>IFERROR(__xludf.DUMMYFUNCTION("""COMPUTED_VALUE"""),"SANDRO MARCELO DINIZ")</f>
        <v>SANDRO MARCELO DINIZ</v>
      </c>
      <c r="B3187" s="11"/>
      <c r="C3187" s="11"/>
      <c r="D3187" s="11"/>
      <c r="E3187" s="11"/>
      <c r="F3187" s="11"/>
      <c r="G3187" s="11" t="str">
        <f>IFERROR(__xludf.DUMMYFUNCTION("""COMPUTED_VALUE"""),"US_234 USF RODA DE FOGO COSIROF")</f>
        <v>US_234 USF RODA DE FOGO COSIROF</v>
      </c>
      <c r="H3187" s="27">
        <f>IFERROR(__xludf.DUMMYFUNCTION("""COMPUTED_VALUE"""),18997002237)</f>
        <v>18997002237</v>
      </c>
      <c r="I3187" s="11"/>
      <c r="J3187" s="11"/>
      <c r="K3187" s="24">
        <f>IFERROR(__xludf.DUMMYFUNCTION("""COMPUTED_VALUE"""),45433)</f>
        <v>45433</v>
      </c>
      <c r="L3187" s="11"/>
      <c r="M3187" s="11"/>
      <c r="N3187" s="11"/>
      <c r="O3187" s="11"/>
      <c r="P3187" s="11"/>
      <c r="Q3187" s="11"/>
      <c r="R3187" s="11"/>
      <c r="S3187" s="11"/>
      <c r="T3187" s="11"/>
      <c r="U3187" s="11"/>
      <c r="V3187" s="11"/>
      <c r="W3187" s="11"/>
      <c r="X3187" s="11"/>
      <c r="Y3187" s="11"/>
      <c r="Z3187" s="11"/>
    </row>
    <row r="3188" customHeight="1" spans="1:26">
      <c r="A3188" s="11" t="str">
        <f>IFERROR(__xludf.DUMMYFUNCTION("""COMPUTED_VALUE"""),"FRANCISCO ALFREDO SAMPAIO CRUZ")</f>
        <v>FRANCISCO ALFREDO SAMPAIO CRUZ</v>
      </c>
      <c r="B3188" s="11"/>
      <c r="C3188" s="11"/>
      <c r="D3188" s="11" t="str">
        <f>IFERROR(__xludf.DUMMYFUNCTION("""COMPUTED_VALUE"""),"MEDICINA DE FAMILIA E COMUNIDADE")</f>
        <v>MEDICINA DE FAMILIA E COMUNIDADE</v>
      </c>
      <c r="E3188" s="11"/>
      <c r="F3188" s="11" t="str">
        <f>IFERROR(__xludf.DUMMYFUNCTION("""COMPUTED_VALUE"""),"US_234 USF RODA DE FOGO COSIROF")</f>
        <v>US_234 USF RODA DE FOGO COSIROF</v>
      </c>
      <c r="G3188" s="11" t="str">
        <f>IFERROR(__xludf.DUMMYFUNCTION("""COMPUTED_VALUE"""),"US_234 USF RODA DE FOGO COSIROF")</f>
        <v>US_234 USF RODA DE FOGO COSIROF</v>
      </c>
      <c r="H3188" s="11"/>
      <c r="I3188" s="11"/>
      <c r="J3188" s="11"/>
      <c r="K3188" s="11"/>
      <c r="L3188" s="11"/>
      <c r="M3188" s="11"/>
      <c r="N3188" s="30" t="str">
        <f>IFERROR(__xludf.DUMMYFUNCTION("""COMPUTED_VALUE"""),"f.alfredo@hotmail.com")</f>
        <v>f.alfredo@hotmail.com</v>
      </c>
      <c r="O3188" s="11">
        <f>IFERROR(__xludf.DUMMYFUNCTION("""COMPUTED_VALUE"""),751538310)</f>
        <v>751538310</v>
      </c>
      <c r="P3188" s="11"/>
      <c r="Q3188" s="11"/>
      <c r="R3188" s="11"/>
      <c r="S3188" s="11"/>
      <c r="T3188" s="11"/>
      <c r="U3188" s="11"/>
      <c r="V3188" s="11"/>
      <c r="W3188" s="11"/>
      <c r="X3188" s="11"/>
      <c r="Y3188" s="11"/>
      <c r="Z3188" s="11"/>
    </row>
    <row r="3189" customHeight="1" spans="1:26">
      <c r="A3189" s="11" t="str">
        <f>IFERROR(__xludf.DUMMYFUNCTION("""COMPUTED_VALUE"""),"GABRIELA MARIA CARVALHO ARAUJO")</f>
        <v>GABRIELA MARIA CARVALHO ARAUJO</v>
      </c>
      <c r="B3189" s="11"/>
      <c r="C3189" s="11"/>
      <c r="D3189" s="11" t="str">
        <f>IFERROR(__xludf.DUMMYFUNCTION("""COMPUTED_VALUE"""),"MEDICINA DE FAMILIA E COMUNIDADE")</f>
        <v>MEDICINA DE FAMILIA E COMUNIDADE</v>
      </c>
      <c r="E3189" s="11"/>
      <c r="F3189" s="11" t="str">
        <f>IFERROR(__xludf.DUMMYFUNCTION("""COMPUTED_VALUE"""),"US_121 CS PROF BRUNO MAIA")</f>
        <v>US_121 CS PROF BRUNO MAIA</v>
      </c>
      <c r="G3189" s="11" t="str">
        <f>IFERROR(__xludf.DUMMYFUNCTION("""COMPUTED_VALUE"""),"US_121 CS PROF BRUNO MAIA")</f>
        <v>US_121 CS PROF BRUNO MAIA</v>
      </c>
      <c r="H3189" s="27">
        <f>IFERROR(__xludf.DUMMYFUNCTION("""COMPUTED_VALUE"""),81998364958)</f>
        <v>81998364958</v>
      </c>
      <c r="I3189" s="11"/>
      <c r="J3189" s="11"/>
      <c r="K3189" s="11"/>
      <c r="L3189" s="11"/>
      <c r="M3189" s="11"/>
      <c r="N3189" s="30" t="str">
        <f>IFERROR(__xludf.DUMMYFUNCTION("""COMPUTED_VALUE"""),"gabrielamaria11@hotmail.com")</f>
        <v>gabrielamaria11@hotmail.com</v>
      </c>
      <c r="O3189" s="11">
        <f>IFERROR(__xludf.DUMMYFUNCTION("""COMPUTED_VALUE"""),10028423445)</f>
        <v>10028423445</v>
      </c>
      <c r="P3189" s="11"/>
      <c r="Q3189" s="11"/>
      <c r="R3189" s="11"/>
      <c r="S3189" s="11"/>
      <c r="T3189" s="11"/>
      <c r="U3189" s="11"/>
      <c r="V3189" s="11"/>
      <c r="W3189" s="11"/>
      <c r="X3189" s="11"/>
      <c r="Y3189" s="11"/>
      <c r="Z3189" s="11"/>
    </row>
    <row r="3190" customHeight="1" spans="1:26">
      <c r="A3190" s="11" t="str">
        <f>IFERROR(__xludf.DUMMYFUNCTION("""COMPUTED_VALUE"""),"BERNARDO GOMES CASTELO BRANCO")</f>
        <v>BERNARDO GOMES CASTELO BRANCO</v>
      </c>
      <c r="B3190" s="11"/>
      <c r="C3190" s="11"/>
      <c r="D3190" s="11" t="str">
        <f>IFERROR(__xludf.DUMMYFUNCTION("""COMPUTED_VALUE"""),"MEDICINA DE FAMILIA E COMUNIDADE")</f>
        <v>MEDICINA DE FAMILIA E COMUNIDADE</v>
      </c>
      <c r="E3190" s="11"/>
      <c r="F3190" s="11" t="str">
        <f>IFERROR(__xludf.DUMMYFUNCTION("""COMPUTED_VALUE"""),"US_218 USF COQUE")</f>
        <v>US_218 USF COQUE</v>
      </c>
      <c r="G3190" s="11" t="str">
        <f>IFERROR(__xludf.DUMMYFUNCTION("""COMPUTED_VALUE"""),"US_218 USF COQUE")</f>
        <v>US_218 USF COQUE</v>
      </c>
      <c r="H3190" s="11"/>
      <c r="I3190" s="11"/>
      <c r="J3190" s="11"/>
      <c r="K3190" s="11"/>
      <c r="L3190" s="11"/>
      <c r="M3190" s="11"/>
      <c r="N3190" s="30" t="str">
        <f>IFERROR(__xludf.DUMMYFUNCTION("""COMPUTED_VALUE"""),"bgomes21@gmail.com")</f>
        <v>bgomes21@gmail.com</v>
      </c>
      <c r="O3190" s="11">
        <f>IFERROR(__xludf.DUMMYFUNCTION("""COMPUTED_VALUE"""),5191229410)</f>
        <v>5191229410</v>
      </c>
      <c r="P3190" s="11"/>
      <c r="Q3190" s="11"/>
      <c r="R3190" s="11"/>
      <c r="S3190" s="11"/>
      <c r="T3190" s="11"/>
      <c r="U3190" s="11"/>
      <c r="V3190" s="11"/>
      <c r="W3190" s="11"/>
      <c r="X3190" s="11"/>
      <c r="Y3190" s="11"/>
      <c r="Z3190" s="11"/>
    </row>
    <row r="3191" customHeight="1" spans="1:26">
      <c r="A3191" s="11" t="str">
        <f>IFERROR(__xludf.DUMMYFUNCTION("""COMPUTED_VALUE"""),"Tatiane da silva santos")</f>
        <v>Tatiane da silva santos</v>
      </c>
      <c r="B3191" s="11"/>
      <c r="C3191" s="11"/>
      <c r="D3191" s="11"/>
      <c r="E3191" s="11"/>
      <c r="F3191" s="11"/>
      <c r="G3191" s="11" t="str">
        <f>IFERROR(__xludf.DUMMYFUNCTION("""COMPUTED_VALUE"""),"US_221 USF ILHA DE JOANEIRO")</f>
        <v>US_221 USF ILHA DE JOANEIRO</v>
      </c>
      <c r="H3191" s="27">
        <f>IFERROR(__xludf.DUMMYFUNCTION("""COMPUTED_VALUE"""),8296403999)</f>
        <v>8296403999</v>
      </c>
      <c r="I3191" s="11"/>
      <c r="J3191" s="11"/>
      <c r="K3191" s="24">
        <f>IFERROR(__xludf.DUMMYFUNCTION("""COMPUTED_VALUE"""),45408)</f>
        <v>45408</v>
      </c>
      <c r="L3191" s="11"/>
      <c r="M3191" s="11"/>
      <c r="N3191" s="11"/>
      <c r="O3191" s="11"/>
      <c r="P3191" s="11"/>
      <c r="Q3191" s="11"/>
      <c r="R3191" s="11"/>
      <c r="S3191" s="11"/>
      <c r="T3191" s="11"/>
      <c r="U3191" s="11"/>
      <c r="V3191" s="11"/>
      <c r="W3191" s="11"/>
      <c r="X3191" s="11"/>
      <c r="Y3191" s="11"/>
      <c r="Z3191" s="11"/>
    </row>
    <row r="3192" customHeight="1" spans="1:26">
      <c r="A3192" s="11" t="str">
        <f>IFERROR(__xludf.DUMMYFUNCTION("""COMPUTED_VALUE"""),"BRUNO JOSE DA SILVA ALMEIDA")</f>
        <v>BRUNO JOSE DA SILVA ALMEIDA</v>
      </c>
      <c r="B3192" s="11"/>
      <c r="C3192" s="11"/>
      <c r="D3192" s="11" t="str">
        <f>IFERROR(__xludf.DUMMYFUNCTION("""COMPUTED_VALUE"""),"MEDICINA DE FAMILIA E COMUNIDADE")</f>
        <v>MEDICINA DE FAMILIA E COMUNIDADE</v>
      </c>
      <c r="E3192" s="11"/>
      <c r="F3192" s="11" t="str">
        <f>IFERROR(__xludf.DUMMYFUNCTION("""COMPUTED_VALUE"""),"US_221 USF ILHA DE JOANEIRO")</f>
        <v>US_221 USF ILHA DE JOANEIRO</v>
      </c>
      <c r="G3192" s="11" t="str">
        <f>IFERROR(__xludf.DUMMYFUNCTION("""COMPUTED_VALUE"""),"US_221 USF ILHA DE JOANEIRO")</f>
        <v>US_221 USF ILHA DE JOANEIRO</v>
      </c>
      <c r="H3192" s="11"/>
      <c r="I3192" s="11"/>
      <c r="J3192" s="11"/>
      <c r="K3192" s="11"/>
      <c r="L3192" s="11"/>
      <c r="M3192" s="11"/>
      <c r="N3192" s="30" t="str">
        <f>IFERROR(__xludf.DUMMYFUNCTION("""COMPUTED_VALUE"""),"doutorbrunoalmeida@gmail.com")</f>
        <v>doutorbrunoalmeida@gmail.com</v>
      </c>
      <c r="O3192" s="11">
        <f>IFERROR(__xludf.DUMMYFUNCTION("""COMPUTED_VALUE"""),7984775478)</f>
        <v>7984775478</v>
      </c>
      <c r="P3192" s="11"/>
      <c r="Q3192" s="11"/>
      <c r="R3192" s="11"/>
      <c r="S3192" s="11"/>
      <c r="T3192" s="11"/>
      <c r="U3192" s="11"/>
      <c r="V3192" s="11"/>
      <c r="W3192" s="11"/>
      <c r="X3192" s="11"/>
      <c r="Y3192" s="11"/>
      <c r="Z3192" s="11"/>
    </row>
    <row r="3193" customHeight="1" spans="1:26">
      <c r="A3193" s="11" t="str">
        <f>IFERROR(__xludf.DUMMYFUNCTION("""COMPUTED_VALUE"""),"AYA KONNO")</f>
        <v>AYA KONNO</v>
      </c>
      <c r="B3193" s="11"/>
      <c r="C3193" s="11"/>
      <c r="D3193" s="11" t="str">
        <f>IFERROR(__xludf.DUMMYFUNCTION("""COMPUTED_VALUE"""),"MEDICINA DE FAMILIA E COMUNIDADE")</f>
        <v>MEDICINA DE FAMILIA E COMUNIDADE</v>
      </c>
      <c r="E3193" s="11"/>
      <c r="F3193" s="11" t="str">
        <f>IFERROR(__xludf.DUMMYFUNCTION("""COMPUTED_VALUE"""),"US_269 USF BEIRA DO RIO COMUNIDADE BOA VIAGEM")</f>
        <v>US_269 USF BEIRA DO RIO COMUNIDADE BOA VIAGEM</v>
      </c>
      <c r="G3193" s="11" t="str">
        <f>IFERROR(__xludf.DUMMYFUNCTION("""COMPUTED_VALUE"""),"US 269 USF BEIRA DO RIO COMUNIDADE BOA VIAGEM")</f>
        <v>US 269 USF BEIRA DO RIO COMUNIDADE BOA VIAGEM</v>
      </c>
      <c r="H3193" s="27">
        <f>IFERROR(__xludf.DUMMYFUNCTION("""COMPUTED_VALUE"""),81997277313)</f>
        <v>81997277313</v>
      </c>
      <c r="I3193" s="11"/>
      <c r="J3193" s="11"/>
      <c r="K3193" s="24">
        <f>IFERROR(__xludf.DUMMYFUNCTION("""COMPUTED_VALUE"""),45370)</f>
        <v>45370</v>
      </c>
      <c r="L3193" s="11"/>
      <c r="M3193" s="11"/>
      <c r="N3193" s="30" t="str">
        <f>IFERROR(__xludf.DUMMYFUNCTION("""COMPUTED_VALUE"""),"aya.konno7@gmail.com")</f>
        <v>aya.konno7@gmail.com</v>
      </c>
      <c r="O3193" s="11">
        <f>IFERROR(__xludf.DUMMYFUNCTION("""COMPUTED_VALUE"""),8936703404)</f>
        <v>8936703404</v>
      </c>
      <c r="P3193" s="11"/>
      <c r="Q3193" s="11"/>
      <c r="R3193" s="11"/>
      <c r="S3193" s="11"/>
      <c r="T3193" s="11"/>
      <c r="U3193" s="11"/>
      <c r="V3193" s="11"/>
      <c r="W3193" s="11"/>
      <c r="X3193" s="11"/>
      <c r="Y3193" s="11"/>
      <c r="Z3193" s="11"/>
    </row>
    <row r="3194" customHeight="1" spans="1:26">
      <c r="A3194" s="11" t="str">
        <f>IFERROR(__xludf.DUMMYFUNCTION("""COMPUTED_VALUE"""),"ISABELA CARLA LINS DA N FARIAS")</f>
        <v>ISABELA CARLA LINS DA N FARIAS</v>
      </c>
      <c r="B3194" s="11"/>
      <c r="C3194" s="11"/>
      <c r="D3194" s="11" t="str">
        <f>IFERROR(__xludf.DUMMYFUNCTION("""COMPUTED_VALUE"""),"MEDICINA DE FAMILIA E COMUNIDADE")</f>
        <v>MEDICINA DE FAMILIA E COMUNIDADE</v>
      </c>
      <c r="E3194" s="11"/>
      <c r="F3194" s="11" t="str">
        <f>IFERROR(__xludf.DUMMYFUNCTION("""COMPUTED_VALUE"""),"US_237 USF SITIO DAS PALMEIRAS	")</f>
        <v>US_237 USF SITIO DAS PALMEIRAS	</v>
      </c>
      <c r="G3194" s="11" t="str">
        <f>IFERROR(__xludf.DUMMYFUNCTION("""COMPUTED_VALUE"""),"US_237 USF SITIO DAS PALMEIRAS	")</f>
        <v>US_237 USF SITIO DAS PALMEIRAS	</v>
      </c>
      <c r="H3194" s="11"/>
      <c r="I3194" s="11"/>
      <c r="J3194" s="11"/>
      <c r="K3194" s="11"/>
      <c r="L3194" s="11"/>
      <c r="M3194" s="11"/>
      <c r="N3194" s="30" t="str">
        <f>IFERROR(__xludf.DUMMYFUNCTION("""COMPUTED_VALUE"""),"belinhanobrega@hotmail.com")</f>
        <v>belinhanobrega@hotmail.com</v>
      </c>
      <c r="O3194" s="11">
        <f>IFERROR(__xludf.DUMMYFUNCTION("""COMPUTED_VALUE"""),9543142475)</f>
        <v>9543142475</v>
      </c>
      <c r="P3194" s="11"/>
      <c r="Q3194" s="11"/>
      <c r="R3194" s="11"/>
      <c r="S3194" s="11"/>
      <c r="T3194" s="11"/>
      <c r="U3194" s="11"/>
      <c r="V3194" s="11"/>
      <c r="W3194" s="11"/>
      <c r="X3194" s="11"/>
      <c r="Y3194" s="11"/>
      <c r="Z3194" s="11"/>
    </row>
    <row r="3195" customHeight="1" spans="1:26">
      <c r="A3195" s="11" t="str">
        <f>IFERROR(__xludf.DUMMYFUNCTION("""COMPUTED_VALUE"""),"MARIANA DE LIRA NUNES")</f>
        <v>MARIANA DE LIRA NUNES</v>
      </c>
      <c r="B3195" s="11"/>
      <c r="C3195" s="11"/>
      <c r="D3195" s="11" t="str">
        <f>IFERROR(__xludf.DUMMYFUNCTION("""COMPUTED_VALUE"""),"MEDICINA DE FAMILIA E COMUNIDADE")</f>
        <v>MEDICINA DE FAMILIA E COMUNIDADE</v>
      </c>
      <c r="E3195" s="11"/>
      <c r="F3195" s="11" t="str">
        <f>IFERROR(__xludf.DUMMYFUNCTION("""COMPUTED_VALUE"""),"US_184 USF VILA UNIAO / AIRTON SENA")</f>
        <v>US_184 USF VILA UNIAO / AIRTON SENA</v>
      </c>
      <c r="G3195" s="11" t="str">
        <f>IFERROR(__xludf.DUMMYFUNCTION("""COMPUTED_VALUE"""),"US_184 USF VILA UNIAO / AIRTON SENA")</f>
        <v>US_184 USF VILA UNIAO / AIRTON SENA</v>
      </c>
      <c r="H3195" s="11"/>
      <c r="I3195" s="11"/>
      <c r="J3195" s="11"/>
      <c r="K3195" s="11"/>
      <c r="L3195" s="11"/>
      <c r="M3195" s="11"/>
      <c r="N3195" s="30" t="str">
        <f>IFERROR(__xludf.DUMMYFUNCTION("""COMPUTED_VALUE"""),"mariananunes52@gmail.com")</f>
        <v>mariananunes52@gmail.com</v>
      </c>
      <c r="O3195" s="11">
        <f>IFERROR(__xludf.DUMMYFUNCTION("""COMPUTED_VALUE"""),8000397420)</f>
        <v>8000397420</v>
      </c>
      <c r="P3195" s="11"/>
      <c r="Q3195" s="11"/>
      <c r="R3195" s="11"/>
      <c r="S3195" s="11"/>
      <c r="T3195" s="11"/>
      <c r="U3195" s="11"/>
      <c r="V3195" s="11"/>
      <c r="W3195" s="11"/>
      <c r="X3195" s="11"/>
      <c r="Y3195" s="11"/>
      <c r="Z3195" s="11"/>
    </row>
    <row r="3196" customHeight="1" spans="1:26">
      <c r="A3196" s="11" t="str">
        <f>IFERROR(__xludf.DUMMYFUNCTION("""COMPUTED_VALUE"""),"ZAYNE VASCONCELOS TORRES")</f>
        <v>ZAYNE VASCONCELOS TORRES</v>
      </c>
      <c r="B3196" s="11"/>
      <c r="C3196" s="11"/>
      <c r="D3196" s="11" t="str">
        <f>IFERROR(__xludf.DUMMYFUNCTION("""COMPUTED_VALUE"""),"MEDICINA DE FAMILIA E COMUNIDADE")</f>
        <v>MEDICINA DE FAMILIA E COMUNIDADE</v>
      </c>
      <c r="E3196" s="11"/>
      <c r="F3196" s="11" t="str">
        <f>IFERROR(__xludf.DUMMYFUNCTION("""COMPUTED_VALUE"""),"US_274 USF TIA REGINA/CORREGO DO DEODATO")</f>
        <v>US_274 USF TIA REGINA/CORREGO DO DEODATO</v>
      </c>
      <c r="G3196" s="11" t="str">
        <f>IFERROR(__xludf.DUMMYFUNCTION("""COMPUTED_VALUE"""),"US_274 USF TIA REGINA/CORREGO DO DEODATO")</f>
        <v>US_274 USF TIA REGINA/CORREGO DO DEODATO</v>
      </c>
      <c r="H3196" s="11"/>
      <c r="I3196" s="11"/>
      <c r="J3196" s="11"/>
      <c r="K3196" s="11"/>
      <c r="L3196" s="11"/>
      <c r="M3196" s="11"/>
      <c r="N3196" s="30" t="str">
        <f>IFERROR(__xludf.DUMMYFUNCTION("""COMPUTED_VALUE"""),"zayne15@gmail.com")</f>
        <v>zayne15@gmail.com</v>
      </c>
      <c r="O3196" s="11">
        <f>IFERROR(__xludf.DUMMYFUNCTION("""COMPUTED_VALUE"""),7228942442)</f>
        <v>7228942442</v>
      </c>
      <c r="P3196" s="11"/>
      <c r="Q3196" s="11"/>
      <c r="R3196" s="11"/>
      <c r="S3196" s="11"/>
      <c r="T3196" s="11"/>
      <c r="U3196" s="11"/>
      <c r="V3196" s="11"/>
      <c r="W3196" s="11"/>
      <c r="X3196" s="11"/>
      <c r="Y3196" s="11"/>
      <c r="Z3196" s="11"/>
    </row>
    <row r="3197" customHeight="1" spans="1:26">
      <c r="A3197" s="11" t="str">
        <f>IFERROR(__xludf.DUMMYFUNCTION("""COMPUTED_VALUE"""),"PEDRO HENRIQUE ALVES A SOUTO")</f>
        <v>PEDRO HENRIQUE ALVES A SOUTO</v>
      </c>
      <c r="B3197" s="11" t="str">
        <f>IFERROR(__xludf.DUMMYFUNCTION("""COMPUTED_VALUE"""),"PEDRO HENRIQUE ALVES A SOUTO")</f>
        <v>PEDRO HENRIQUE ALVES A SOUTO</v>
      </c>
      <c r="C3197" s="11"/>
      <c r="D3197" s="11" t="str">
        <f>IFERROR(__xludf.DUMMYFUNCTION("""COMPUTED_VALUE"""),"MEDICINA DE FAMILIA E COMUNIDADE")</f>
        <v>MEDICINA DE FAMILIA E COMUNIDADE</v>
      </c>
      <c r="E3197" s="11"/>
      <c r="F3197" s="11" t="str">
        <f>IFERROR(__xludf.DUMMYFUNCTION("""COMPUTED_VALUE"""),"US_305 USF DA MACAXEIRA")</f>
        <v>US_305 USF DA MACAXEIRA</v>
      </c>
      <c r="G3197" s="11" t="str">
        <f>IFERROR(__xludf.DUMMYFUNCTION("""COMPUTED_VALUE"""),"US_305 USF DA MACAXEIRA")</f>
        <v>US_305 USF DA MACAXEIRA</v>
      </c>
      <c r="H3197" s="11"/>
      <c r="I3197" s="11"/>
      <c r="J3197" s="11"/>
      <c r="K3197" s="11"/>
      <c r="L3197" s="11"/>
      <c r="M3197" s="11"/>
      <c r="N3197" s="30" t="str">
        <f>IFERROR(__xludf.DUMMYFUNCTION("""COMPUTED_VALUE"""),"pedro.haas1@gmail.com")</f>
        <v>pedro.haas1@gmail.com</v>
      </c>
      <c r="O3197" s="11">
        <f>IFERROR(__xludf.DUMMYFUNCTION("""COMPUTED_VALUE"""),7382376478)</f>
        <v>7382376478</v>
      </c>
      <c r="P3197" s="11"/>
      <c r="Q3197" s="11"/>
      <c r="R3197" s="11"/>
      <c r="S3197" s="11"/>
      <c r="T3197" s="11"/>
      <c r="U3197" s="11"/>
      <c r="V3197" s="11"/>
      <c r="W3197" s="11"/>
      <c r="X3197" s="11"/>
      <c r="Y3197" s="11"/>
      <c r="Z3197" s="11"/>
    </row>
    <row r="3198" customHeight="1" spans="1:26">
      <c r="A3198" s="11" t="str">
        <f>IFERROR(__xludf.DUMMYFUNCTION("""COMPUTED_VALUE"""),"LUCAS VERISSIMO DE OLIVEIRA")</f>
        <v>LUCAS VERISSIMO DE OLIVEIRA</v>
      </c>
      <c r="B3198" s="11"/>
      <c r="C3198" s="11"/>
      <c r="D3198" s="11" t="str">
        <f>IFERROR(__xludf.DUMMYFUNCTION("""COMPUTED_VALUE"""),"MEDICINA DE FAMILIA E COMUNIDADE")</f>
        <v>MEDICINA DE FAMILIA E COMUNIDADE</v>
      </c>
      <c r="E3198" s="11"/>
      <c r="F3198" s="11" t="str">
        <f>IFERROR(__xludf.DUMMYFUNCTION("""COMPUTED_VALUE"""),"US_297 USF DO PINA -  JOAO RODRIGUES")</f>
        <v>US_297 USF DO PINA -  JOAO RODRIGUES</v>
      </c>
      <c r="G3198" s="11" t="str">
        <f>IFERROR(__xludf.DUMMYFUNCTION("""COMPUTED_VALUE"""),"US_297 USF DO PINA -  JOAO RODRIGUES")</f>
        <v>US_297 USF DO PINA -  JOAO RODRIGUES</v>
      </c>
      <c r="H3198" s="11"/>
      <c r="I3198" s="11"/>
      <c r="J3198" s="11"/>
      <c r="K3198" s="11"/>
      <c r="L3198" s="11"/>
      <c r="M3198" s="11"/>
      <c r="N3198" s="30" t="str">
        <f>IFERROR(__xludf.DUMMYFUNCTION("""COMPUTED_VALUE"""),"lucasvo_45@hotmail.com")</f>
        <v>lucasvo_45@hotmail.com</v>
      </c>
      <c r="O3198" s="11">
        <f>IFERROR(__xludf.DUMMYFUNCTION("""COMPUTED_VALUE"""),10287013499)</f>
        <v>10287013499</v>
      </c>
      <c r="P3198" s="11"/>
      <c r="Q3198" s="11"/>
      <c r="R3198" s="11"/>
      <c r="S3198" s="11"/>
      <c r="T3198" s="11"/>
      <c r="U3198" s="11"/>
      <c r="V3198" s="11"/>
      <c r="W3198" s="11"/>
      <c r="X3198" s="11"/>
      <c r="Y3198" s="11"/>
      <c r="Z3198" s="11"/>
    </row>
    <row r="3199" customHeight="1" spans="1:26">
      <c r="A3199" s="11" t="str">
        <f>IFERROR(__xludf.DUMMYFUNCTION("""COMPUTED_VALUE"""),"ISABELLE DE OLIVEIRA BRIANO")</f>
        <v>ISABELLE DE OLIVEIRA BRIANO</v>
      </c>
      <c r="B3199" s="11"/>
      <c r="C3199" s="11"/>
      <c r="D3199" s="11" t="str">
        <f>IFERROR(__xludf.DUMMYFUNCTION("""COMPUTED_VALUE"""),"MEDICINA DE FAMILIA E COMUNIDADE")</f>
        <v>MEDICINA DE FAMILIA E COMUNIDADE</v>
      </c>
      <c r="E3199" s="11"/>
      <c r="F3199" s="11" t="str">
        <f>IFERROR(__xludf.DUMMYFUNCTION("""COMPUTED_VALUE"""),"US_255 USF UPINHA 24H VILA ARRAES	")</f>
        <v>US_255 USF UPINHA 24H VILA ARRAES	</v>
      </c>
      <c r="G3199" s="11" t="str">
        <f>IFERROR(__xludf.DUMMYFUNCTION("""COMPUTED_VALUE"""),"US_255 USF UPINHA 24H VILA ARRAES	")</f>
        <v>US_255 USF UPINHA 24H VILA ARRAES	</v>
      </c>
      <c r="H3199" s="27">
        <f>IFERROR(__xludf.DUMMYFUNCTION("""COMPUTED_VALUE"""),81996977421)</f>
        <v>81996977421</v>
      </c>
      <c r="I3199" s="11"/>
      <c r="J3199" s="11"/>
      <c r="K3199" s="24">
        <f>IFERROR(__xludf.DUMMYFUNCTION("""COMPUTED_VALUE"""),45149)</f>
        <v>45149</v>
      </c>
      <c r="L3199" s="11"/>
      <c r="M3199" s="11"/>
      <c r="N3199" s="30" t="str">
        <f>IFERROR(__xludf.DUMMYFUNCTION("""COMPUTED_VALUE"""),"isabelleobriano@gmail.com")</f>
        <v>isabelleobriano@gmail.com</v>
      </c>
      <c r="O3199" s="11">
        <f>IFERROR(__xludf.DUMMYFUNCTION("""COMPUTED_VALUE"""),10312656432)</f>
        <v>10312656432</v>
      </c>
      <c r="P3199" s="11"/>
      <c r="Q3199" s="11"/>
      <c r="R3199" s="11"/>
      <c r="S3199" s="11"/>
      <c r="T3199" s="11"/>
      <c r="U3199" s="11"/>
      <c r="V3199" s="11"/>
      <c r="W3199" s="11"/>
      <c r="X3199" s="11"/>
      <c r="Y3199" s="11"/>
      <c r="Z3199" s="11"/>
    </row>
    <row r="3200" customHeight="1" spans="1:26">
      <c r="A3200" s="11" t="str">
        <f>IFERROR(__xludf.DUMMYFUNCTION("""COMPUTED_VALUE"""),"DONATO CAMAROTTI")</f>
        <v>DONATO CAMAROTTI</v>
      </c>
      <c r="B3200" s="11"/>
      <c r="C3200" s="11"/>
      <c r="D3200" s="11" t="str">
        <f>IFERROR(__xludf.DUMMYFUNCTION("""COMPUTED_VALUE"""),"MEDICINA DE FAMILIA E COMUNIDADE")</f>
        <v>MEDICINA DE FAMILIA E COMUNIDADE</v>
      </c>
      <c r="E3200" s="11"/>
      <c r="F3200" s="11" t="str">
        <f>IFERROR(__xludf.DUMMYFUNCTION("""COMPUTED_VALUE"""),"US_331 USF PROF AMAURY DE MEDEIROS")</f>
        <v>US_331 USF PROF AMAURY DE MEDEIROS</v>
      </c>
      <c r="G3200" s="11" t="str">
        <f>IFERROR(__xludf.DUMMYFUNCTION("""COMPUTED_VALUE"""),"US_331 USF PROF AMAURY DE MEDEIROS")</f>
        <v>US_331 USF PROF AMAURY DE MEDEIROS</v>
      </c>
      <c r="H3200" s="27">
        <f>IFERROR(__xludf.DUMMYFUNCTION("""COMPUTED_VALUE"""),81999913950)</f>
        <v>81999913950</v>
      </c>
      <c r="I3200" s="11"/>
      <c r="J3200" s="11"/>
      <c r="K3200" s="11"/>
      <c r="L3200" s="11"/>
      <c r="M3200" s="11"/>
      <c r="N3200" s="30" t="str">
        <f>IFERROR(__xludf.DUMMYFUNCTION("""COMPUTED_VALUE"""),"donatocamarotti@gmail.com")</f>
        <v>donatocamarotti@gmail.com</v>
      </c>
      <c r="O3200" s="11">
        <f>IFERROR(__xludf.DUMMYFUNCTION("""COMPUTED_VALUE"""),8747238410)</f>
        <v>8747238410</v>
      </c>
      <c r="P3200" s="11"/>
      <c r="Q3200" s="11"/>
      <c r="R3200" s="11"/>
      <c r="S3200" s="11"/>
      <c r="T3200" s="11"/>
      <c r="U3200" s="11"/>
      <c r="V3200" s="11"/>
      <c r="W3200" s="11"/>
      <c r="X3200" s="11"/>
      <c r="Y3200" s="11"/>
      <c r="Z3200" s="11"/>
    </row>
    <row r="3201" customHeight="1" spans="1:26">
      <c r="A3201" s="11" t="str">
        <f>IFERROR(__xludf.DUMMYFUNCTION("""COMPUTED_VALUE"""),"ARLINDO LAUDEMIRO LEITE JUNIOR")</f>
        <v>ARLINDO LAUDEMIRO LEITE JUNIOR</v>
      </c>
      <c r="B3201" s="11"/>
      <c r="C3201" s="11"/>
      <c r="D3201" s="11" t="str">
        <f>IFERROR(__xludf.DUMMYFUNCTION("""COMPUTED_VALUE"""),"MEDICINA DE FAMILIA E COMUNIDADE")</f>
        <v>MEDICINA DE FAMILIA E COMUNIDADE</v>
      </c>
      <c r="E3201" s="11"/>
      <c r="F3201" s="11" t="str">
        <f>IFERROR(__xludf.DUMMYFUNCTION("""COMPUTED_VALUE"""),"US_266 USF MANGUEIRA II")</f>
        <v>US_266 USF MANGUEIRA II</v>
      </c>
      <c r="G3201" s="11" t="str">
        <f>IFERROR(__xludf.DUMMYFUNCTION("""COMPUTED_VALUE"""),"US_266 USF MANGUEIRA II")</f>
        <v>US_266 USF MANGUEIRA II</v>
      </c>
      <c r="H3201" s="11"/>
      <c r="I3201" s="11"/>
      <c r="J3201" s="11"/>
      <c r="K3201" s="11"/>
      <c r="L3201" s="11"/>
      <c r="M3201" s="11"/>
      <c r="N3201" s="30" t="str">
        <f>IFERROR(__xludf.DUMMYFUNCTION("""COMPUTED_VALUE"""),"alljr38@gmail.com")</f>
        <v>alljr38@gmail.com</v>
      </c>
      <c r="O3201" s="11">
        <f>IFERROR(__xludf.DUMMYFUNCTION("""COMPUTED_VALUE"""),5210962431)</f>
        <v>5210962431</v>
      </c>
      <c r="P3201" s="11"/>
      <c r="Q3201" s="11"/>
      <c r="R3201" s="11"/>
      <c r="S3201" s="11"/>
      <c r="T3201" s="11"/>
      <c r="U3201" s="11"/>
      <c r="V3201" s="11"/>
      <c r="W3201" s="11"/>
      <c r="X3201" s="11"/>
      <c r="Y3201" s="11"/>
      <c r="Z3201" s="11"/>
    </row>
    <row r="3202" customHeight="1" spans="1:26">
      <c r="A3202" s="11" t="str">
        <f>IFERROR(__xludf.DUMMYFUNCTION("""COMPUTED_VALUE"""),"SILVIA HELENA DE M S ALENCAR")</f>
        <v>SILVIA HELENA DE M S ALENCAR</v>
      </c>
      <c r="B3202" s="11"/>
      <c r="C3202" s="11"/>
      <c r="D3202" s="11" t="str">
        <f>IFERROR(__xludf.DUMMYFUNCTION("""COMPUTED_VALUE"""),"MEDICINA DE FAMILIA E COMUNIDADE")</f>
        <v>MEDICINA DE FAMILIA E COMUNIDADE</v>
      </c>
      <c r="E3202" s="11"/>
      <c r="F3202" s="11" t="str">
        <f>IFERROR(__xludf.DUMMYFUNCTION("""COMPUTED_VALUE"""),"US_138 USF DR LUIZ WILSOM")</f>
        <v>US_138 USF DR LUIZ WILSOM</v>
      </c>
      <c r="G3202" s="11" t="str">
        <f>IFERROR(__xludf.DUMMYFUNCTION("""COMPUTED_VALUE"""),"US_138 USF DR LUIZ WILSOM")</f>
        <v>US_138 USF DR LUIZ WILSOM</v>
      </c>
      <c r="H3202" s="11"/>
      <c r="I3202" s="11"/>
      <c r="J3202" s="11"/>
      <c r="K3202" s="11"/>
      <c r="L3202" s="11"/>
      <c r="M3202" s="11"/>
      <c r="N3202" s="30" t="str">
        <f>IFERROR(__xludf.DUMMYFUNCTION("""COMPUTED_VALUE"""),"silvinha_melo101@hotmail.com")</f>
        <v>silvinha_melo101@hotmail.com</v>
      </c>
      <c r="O3202" s="11">
        <f>IFERROR(__xludf.DUMMYFUNCTION("""COMPUTED_VALUE"""),9713495411)</f>
        <v>9713495411</v>
      </c>
      <c r="P3202" s="11"/>
      <c r="Q3202" s="11"/>
      <c r="R3202" s="11"/>
      <c r="S3202" s="11"/>
      <c r="T3202" s="11"/>
      <c r="U3202" s="11"/>
      <c r="V3202" s="11"/>
      <c r="W3202" s="11"/>
      <c r="X3202" s="11"/>
      <c r="Y3202" s="11"/>
      <c r="Z3202" s="11"/>
    </row>
    <row r="3203" customHeight="1" spans="1:26">
      <c r="A3203" s="11" t="str">
        <f>IFERROR(__xludf.DUMMYFUNCTION("""COMPUTED_VALUE"""),"CAMILA MARIA ALVARES COSTA VASCONCELOS")</f>
        <v>CAMILA MARIA ALVARES COSTA VASCONCELOS</v>
      </c>
      <c r="B3203" s="11"/>
      <c r="C3203" s="11"/>
      <c r="D3203" s="11" t="str">
        <f>IFERROR(__xludf.DUMMYFUNCTION("""COMPUTED_VALUE"""),"MEDICINA DE FAMILIA E COMUNIDADE")</f>
        <v>MEDICINA DE FAMILIA E COMUNIDADE</v>
      </c>
      <c r="E3203" s="11"/>
      <c r="F3203" s="11" t="str">
        <f>IFERROR(__xludf.DUMMYFUNCTION("""COMPUTED_VALUE"""),"")</f>
        <v/>
      </c>
      <c r="G3203" s="11" t="str">
        <f>IFERROR(__xludf.DUMMYFUNCTION("""COMPUTED_VALUE"""),"")</f>
        <v/>
      </c>
      <c r="H3203" s="11"/>
      <c r="I3203" s="11"/>
      <c r="J3203" s="11"/>
      <c r="K3203" s="11"/>
      <c r="L3203" s="11"/>
      <c r="M3203" s="11"/>
      <c r="N3203" s="11"/>
      <c r="O3203" s="11"/>
      <c r="P3203" s="11"/>
      <c r="Q3203" s="11"/>
      <c r="R3203" s="11"/>
      <c r="S3203" s="11"/>
      <c r="T3203" s="11"/>
      <c r="U3203" s="11"/>
      <c r="V3203" s="11"/>
      <c r="W3203" s="11"/>
      <c r="X3203" s="11"/>
      <c r="Y3203" s="11"/>
      <c r="Z3203" s="11"/>
    </row>
    <row r="3204" customHeight="1" spans="1:26">
      <c r="A3204" s="11" t="str">
        <f>IFERROR(__xludf.DUMMYFUNCTION("""COMPUTED_VALUE"""),"KEYLA NUNES NARCISO")</f>
        <v>KEYLA NUNES NARCISO</v>
      </c>
      <c r="B3204" s="11"/>
      <c r="C3204" s="11"/>
      <c r="D3204" s="11" t="str">
        <f>IFERROR(__xludf.DUMMYFUNCTION("""COMPUTED_VALUE"""),"MEDICINA DE FAMILIA E COMUNIDADE")</f>
        <v>MEDICINA DE FAMILIA E COMUNIDADE</v>
      </c>
      <c r="E3204" s="11"/>
      <c r="F3204" s="11" t="str">
        <f>IFERROR(__xludf.DUMMYFUNCTION("""COMPUTED_VALUE"""),"")</f>
        <v/>
      </c>
      <c r="G3204" s="11" t="str">
        <f>IFERROR(__xludf.DUMMYFUNCTION("""COMPUTED_VALUE"""),"US 267 USF UR 2")</f>
        <v>US 267 USF UR 2</v>
      </c>
      <c r="H3204" s="27">
        <f>IFERROR(__xludf.DUMMYFUNCTION("""COMPUTED_VALUE"""),81989191463)</f>
        <v>81989191463</v>
      </c>
      <c r="I3204" s="11"/>
      <c r="J3204" s="11"/>
      <c r="K3204" s="24">
        <f>IFERROR(__xludf.DUMMYFUNCTION("""COMPUTED_VALUE"""),45133)</f>
        <v>45133</v>
      </c>
      <c r="L3204" s="11"/>
      <c r="M3204" s="11"/>
      <c r="N3204" s="11"/>
      <c r="O3204" s="11"/>
      <c r="P3204" s="11"/>
      <c r="Q3204" s="11"/>
      <c r="R3204" s="11"/>
      <c r="S3204" s="11"/>
      <c r="T3204" s="11"/>
      <c r="U3204" s="11"/>
      <c r="V3204" s="11"/>
      <c r="W3204" s="11"/>
      <c r="X3204" s="11"/>
      <c r="Y3204" s="11"/>
      <c r="Z3204" s="11"/>
    </row>
  </sheetData>
  <pageMargins left="0.511811024" right="0.511811024" top="0.787401575" bottom="0.787401575" header="0.31496062" footer="0.31496062"/>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K34"/>
  <sheetViews>
    <sheetView showGridLines="0" workbookViewId="0">
      <selection activeCell="A1" sqref="A1"/>
    </sheetView>
  </sheetViews>
  <sheetFormatPr defaultColWidth="12.5727272727273" defaultRowHeight="15.75" customHeight="1"/>
  <cols>
    <col min="1" max="1" width="59.8545454545455" customWidth="1"/>
    <col min="4" max="4" width="14.5727272727273" customWidth="1"/>
  </cols>
  <sheetData>
    <row r="1" customHeight="1" spans="1:10">
      <c r="A1" s="23" t="s">
        <v>6682</v>
      </c>
      <c r="J1" s="24"/>
    </row>
    <row r="2" ht="12.5" spans="10:10">
      <c r="J2" s="24"/>
    </row>
    <row r="3" ht="12.5" spans="10:11">
      <c r="J3" s="24"/>
      <c r="K3" s="11" t="s">
        <v>438</v>
      </c>
    </row>
    <row r="4" ht="12.5" spans="10:10">
      <c r="J4" s="24"/>
    </row>
    <row r="5" ht="12.5" spans="10:11">
      <c r="J5" s="24">
        <v>45076</v>
      </c>
      <c r="K5" s="11">
        <v>0</v>
      </c>
    </row>
    <row r="6" ht="12.5" spans="10:11">
      <c r="J6" s="24">
        <v>45078</v>
      </c>
      <c r="K6" s="11">
        <v>0</v>
      </c>
    </row>
    <row r="7" spans="10:11">
      <c r="J7" s="24">
        <v>45079</v>
      </c>
      <c r="K7" s="11">
        <v>0</v>
      </c>
    </row>
    <row r="8" spans="1:11">
      <c r="A8" t="s">
        <v>5378</v>
      </c>
      <c r="B8" t="s">
        <v>6683</v>
      </c>
      <c r="D8" t="s">
        <v>5380</v>
      </c>
      <c r="E8" t="s">
        <v>6684</v>
      </c>
      <c r="J8" s="24">
        <v>45080</v>
      </c>
      <c r="K8" s="11">
        <v>0</v>
      </c>
    </row>
    <row r="9" spans="1:11">
      <c r="A9" t="s">
        <v>67</v>
      </c>
      <c r="B9">
        <v>343</v>
      </c>
      <c r="D9">
        <v>86</v>
      </c>
      <c r="E9">
        <v>1</v>
      </c>
      <c r="J9" s="24">
        <v>45081</v>
      </c>
      <c r="K9" s="11">
        <v>0</v>
      </c>
    </row>
    <row r="10" spans="1:11">
      <c r="A10" t="s">
        <v>156</v>
      </c>
      <c r="B10">
        <v>152</v>
      </c>
      <c r="D10" t="s">
        <v>6110</v>
      </c>
      <c r="E10">
        <v>8</v>
      </c>
      <c r="J10" s="24">
        <v>45082</v>
      </c>
      <c r="K10" s="11">
        <v>0</v>
      </c>
    </row>
    <row r="11" spans="1:11">
      <c r="A11" t="s">
        <v>203</v>
      </c>
      <c r="B11">
        <v>4</v>
      </c>
      <c r="D11" t="s">
        <v>44</v>
      </c>
      <c r="E11">
        <v>432</v>
      </c>
      <c r="J11" s="24">
        <v>45083</v>
      </c>
      <c r="K11" s="11">
        <v>0</v>
      </c>
    </row>
    <row r="12" spans="1:11">
      <c r="A12" t="s">
        <v>5366</v>
      </c>
      <c r="B12">
        <v>3</v>
      </c>
      <c r="D12" t="s">
        <v>45</v>
      </c>
      <c r="E12">
        <v>60</v>
      </c>
      <c r="J12" s="24">
        <v>45084</v>
      </c>
      <c r="K12" s="11">
        <v>0</v>
      </c>
    </row>
    <row r="13" spans="1:11">
      <c r="A13" t="s">
        <v>5367</v>
      </c>
      <c r="B13">
        <v>502</v>
      </c>
      <c r="D13" t="s">
        <v>5366</v>
      </c>
      <c r="E13"/>
      <c r="J13" s="25">
        <v>45085</v>
      </c>
      <c r="K13" s="11">
        <v>1</v>
      </c>
    </row>
    <row r="14" spans="4:11">
      <c r="D14" t="s">
        <v>5367</v>
      </c>
      <c r="E14">
        <v>501</v>
      </c>
      <c r="J14" s="25">
        <v>45087</v>
      </c>
      <c r="K14" s="11">
        <v>2</v>
      </c>
    </row>
    <row r="15" spans="10:11">
      <c r="J15" s="25">
        <v>45089</v>
      </c>
      <c r="K15" s="11">
        <v>1</v>
      </c>
    </row>
    <row r="16" ht="12.5" spans="10:11">
      <c r="J16" s="25">
        <v>45092</v>
      </c>
      <c r="K16" s="11">
        <v>1</v>
      </c>
    </row>
    <row r="17" ht="12.5" spans="10:11">
      <c r="J17" s="25">
        <v>45108</v>
      </c>
      <c r="K17" s="11">
        <v>1</v>
      </c>
    </row>
    <row r="18" ht="12.5" spans="10:11">
      <c r="J18" s="25">
        <v>45109</v>
      </c>
      <c r="K18" s="11">
        <v>1</v>
      </c>
    </row>
    <row r="19" ht="12.5" spans="10:11">
      <c r="J19" s="25">
        <v>45110</v>
      </c>
      <c r="K19" s="11">
        <v>1</v>
      </c>
    </row>
    <row r="20" ht="12.5" spans="10:11">
      <c r="J20" s="25">
        <v>45143</v>
      </c>
      <c r="K20" s="11">
        <v>1</v>
      </c>
    </row>
    <row r="21" ht="12.5" spans="10:11">
      <c r="J21" s="25">
        <v>45147</v>
      </c>
      <c r="K21" s="11">
        <v>1</v>
      </c>
    </row>
    <row r="22" ht="12.5" spans="10:11">
      <c r="J22" s="25">
        <v>45156</v>
      </c>
      <c r="K22" s="11">
        <v>1</v>
      </c>
    </row>
    <row r="23" ht="12.5" spans="10:11">
      <c r="J23" s="25">
        <v>45157</v>
      </c>
      <c r="K23" s="11">
        <v>2</v>
      </c>
    </row>
    <row r="24" ht="12.5" spans="10:11">
      <c r="J24" s="25">
        <v>45159</v>
      </c>
      <c r="K24" s="11">
        <v>1</v>
      </c>
    </row>
    <row r="25" ht="12.5" spans="10:11">
      <c r="J25" s="25">
        <v>45160</v>
      </c>
      <c r="K25" s="11">
        <v>2</v>
      </c>
    </row>
    <row r="26" ht="12.5" spans="10:11">
      <c r="J26" s="25">
        <v>45161</v>
      </c>
      <c r="K26" s="11">
        <v>2</v>
      </c>
    </row>
    <row r="27" ht="12.5" spans="10:11">
      <c r="J27" s="25">
        <v>45169</v>
      </c>
      <c r="K27" s="11">
        <v>1</v>
      </c>
    </row>
    <row r="28" ht="12.5" spans="10:11">
      <c r="J28" s="25">
        <v>45170</v>
      </c>
      <c r="K28" s="11">
        <v>1</v>
      </c>
    </row>
    <row r="29" ht="12.5" spans="10:11">
      <c r="J29" s="25">
        <v>45171</v>
      </c>
      <c r="K29" s="11">
        <v>1</v>
      </c>
    </row>
    <row r="30" ht="12.5" spans="10:11">
      <c r="J30" s="25">
        <v>45177</v>
      </c>
      <c r="K30" s="11">
        <v>1</v>
      </c>
    </row>
    <row r="31" ht="12.5" spans="10:11">
      <c r="J31" s="25">
        <v>45178</v>
      </c>
      <c r="K31" s="11">
        <v>1</v>
      </c>
    </row>
    <row r="32" ht="12.5" spans="10:11">
      <c r="J32" s="26">
        <v>45216</v>
      </c>
      <c r="K32" s="11">
        <v>1</v>
      </c>
    </row>
    <row r="33" ht="12.5" spans="10:11">
      <c r="J33" s="26">
        <v>45220</v>
      </c>
      <c r="K33" s="11">
        <v>1</v>
      </c>
    </row>
    <row r="34" ht="12.5" spans="10:11">
      <c r="J34" s="26">
        <v>45225</v>
      </c>
      <c r="K34" s="11">
        <v>1</v>
      </c>
    </row>
  </sheetData>
  <pageMargins left="0.511811024" right="0.511811024" top="0.787401575" bottom="0.787401575" header="0.31496062" footer="0.31496062"/>
  <headerFooter/>
  <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02"/>
  <sheetViews>
    <sheetView workbookViewId="0">
      <pane ySplit="1" topLeftCell="A2" activePane="bottomLeft" state="frozen"/>
      <selection/>
      <selection pane="bottomLeft" activeCell="B3" sqref="A3:B3"/>
    </sheetView>
  </sheetViews>
  <sheetFormatPr defaultColWidth="12.5727272727273" defaultRowHeight="15.75" customHeight="1"/>
  <cols>
    <col min="1" max="1" width="24.4272727272727" customWidth="1"/>
    <col min="3" max="3" width="15" customWidth="1"/>
    <col min="4" max="4" width="21.5727272727273" customWidth="1"/>
    <col min="5" max="5" width="40.4272727272727" customWidth="1"/>
    <col min="6" max="6" width="33.4272727272727" customWidth="1"/>
    <col min="7" max="7" width="30.1363636363636" customWidth="1"/>
  </cols>
  <sheetData>
    <row r="1" customHeight="1" spans="1:26">
      <c r="A1" s="13" t="s">
        <v>1</v>
      </c>
      <c r="B1" s="13" t="s">
        <v>6685</v>
      </c>
      <c r="C1" s="13" t="s">
        <v>6686</v>
      </c>
      <c r="D1" s="13" t="s">
        <v>6687</v>
      </c>
      <c r="E1" s="13" t="s">
        <v>6688</v>
      </c>
      <c r="F1" s="14" t="s">
        <v>6689</v>
      </c>
      <c r="G1" s="13" t="s">
        <v>6690</v>
      </c>
      <c r="H1" s="13"/>
      <c r="I1" s="13"/>
      <c r="J1" s="13"/>
      <c r="K1" s="13"/>
      <c r="L1" s="13"/>
      <c r="M1" s="13"/>
      <c r="N1" s="13"/>
      <c r="O1" s="13"/>
      <c r="P1" s="13"/>
      <c r="Q1" s="13"/>
      <c r="R1" s="13"/>
      <c r="S1" s="13"/>
      <c r="T1" s="13"/>
      <c r="U1" s="13"/>
      <c r="V1" s="13"/>
      <c r="W1" s="13"/>
      <c r="X1" s="13"/>
      <c r="Y1" s="13"/>
      <c r="Z1" s="13"/>
    </row>
    <row r="2" customHeight="1" spans="1:26">
      <c r="A2" s="15" t="s">
        <v>6691</v>
      </c>
      <c r="B2" s="12"/>
      <c r="C2" s="16">
        <f t="shared" ref="C2:D2" si="0">MEDIAN(C4:C101)</f>
        <v>2</v>
      </c>
      <c r="D2" s="4">
        <f t="shared" si="0"/>
        <v>26</v>
      </c>
      <c r="E2" s="4">
        <f t="shared" ref="E2:F2" si="1">MEDIAN(E4:E100)</f>
        <v>10</v>
      </c>
      <c r="F2" s="17">
        <f t="shared" si="1"/>
        <v>62</v>
      </c>
      <c r="G2" s="4"/>
      <c r="H2" s="4"/>
      <c r="I2" s="4"/>
      <c r="J2" s="4"/>
      <c r="K2" s="4"/>
      <c r="L2" s="4"/>
      <c r="M2" s="4"/>
      <c r="N2" s="4"/>
      <c r="O2" s="4"/>
      <c r="P2" s="4"/>
      <c r="Q2" s="4"/>
      <c r="R2" s="4"/>
      <c r="S2" s="4"/>
      <c r="T2" s="4"/>
      <c r="U2" s="4"/>
      <c r="V2" s="4"/>
      <c r="W2" s="4"/>
      <c r="X2" s="4"/>
      <c r="Y2" s="4"/>
      <c r="Z2" s="4"/>
    </row>
    <row r="3" customHeight="1" spans="1:26">
      <c r="A3" s="15" t="s">
        <v>6692</v>
      </c>
      <c r="B3" s="12"/>
      <c r="C3" s="16"/>
      <c r="D3" s="4"/>
      <c r="E3" s="4"/>
      <c r="F3" s="17"/>
      <c r="G3" s="4"/>
      <c r="H3" s="4"/>
      <c r="I3" s="4"/>
      <c r="J3" s="4"/>
      <c r="K3" s="4"/>
      <c r="L3" s="4"/>
      <c r="M3" s="4"/>
      <c r="N3" s="4"/>
      <c r="O3" s="4"/>
      <c r="P3" s="4"/>
      <c r="Q3" s="4"/>
      <c r="R3" s="4"/>
      <c r="S3" s="4"/>
      <c r="T3" s="4"/>
      <c r="U3" s="4"/>
      <c r="V3" s="4"/>
      <c r="W3" s="4"/>
      <c r="X3" s="4"/>
      <c r="Y3" s="4"/>
      <c r="Z3" s="4"/>
    </row>
    <row r="4" customHeight="1" spans="1:7">
      <c r="A4" s="11" t="s">
        <v>38</v>
      </c>
      <c r="B4" s="18" t="s">
        <v>39</v>
      </c>
      <c r="C4" s="11">
        <v>2</v>
      </c>
      <c r="D4" s="11">
        <v>20</v>
      </c>
      <c r="E4" s="11">
        <v>3</v>
      </c>
      <c r="F4" s="19">
        <v>160</v>
      </c>
      <c r="G4" s="11" t="s">
        <v>6693</v>
      </c>
    </row>
    <row r="5" customHeight="1" spans="1:6">
      <c r="A5" s="11" t="s">
        <v>52</v>
      </c>
      <c r="B5" s="18" t="s">
        <v>53</v>
      </c>
      <c r="C5" s="11">
        <v>6</v>
      </c>
      <c r="D5" s="11">
        <v>18</v>
      </c>
      <c r="E5" s="11">
        <v>7</v>
      </c>
      <c r="F5" s="19">
        <v>33</v>
      </c>
    </row>
    <row r="6" customHeight="1" spans="1:26">
      <c r="A6" s="20" t="s">
        <v>6694</v>
      </c>
      <c r="B6" s="21" t="s">
        <v>62</v>
      </c>
      <c r="C6" s="20">
        <v>2</v>
      </c>
      <c r="D6" s="20"/>
      <c r="E6" s="20">
        <v>44</v>
      </c>
      <c r="F6" s="22"/>
      <c r="G6" s="20" t="s">
        <v>6695</v>
      </c>
      <c r="H6" s="20"/>
      <c r="I6" s="20"/>
      <c r="J6" s="20"/>
      <c r="K6" s="20"/>
      <c r="L6" s="20"/>
      <c r="M6" s="20"/>
      <c r="N6" s="20"/>
      <c r="O6" s="20"/>
      <c r="P6" s="20"/>
      <c r="Q6" s="20"/>
      <c r="R6" s="20"/>
      <c r="S6" s="20"/>
      <c r="T6" s="20"/>
      <c r="U6" s="20"/>
      <c r="V6" s="20"/>
      <c r="W6" s="20"/>
      <c r="X6" s="20"/>
      <c r="Y6" s="20"/>
      <c r="Z6" s="20"/>
    </row>
    <row r="7" customHeight="1" spans="1:7">
      <c r="A7" s="11" t="s">
        <v>71</v>
      </c>
      <c r="B7" s="18" t="s">
        <v>73</v>
      </c>
      <c r="C7" s="11">
        <v>1</v>
      </c>
      <c r="E7" s="11">
        <v>14</v>
      </c>
      <c r="F7" s="19">
        <v>34</v>
      </c>
      <c r="G7" s="11" t="s">
        <v>6696</v>
      </c>
    </row>
    <row r="8" customHeight="1" spans="1:6">
      <c r="A8" s="11" t="s">
        <v>79</v>
      </c>
      <c r="B8" s="18" t="s">
        <v>80</v>
      </c>
      <c r="C8" s="11">
        <v>2</v>
      </c>
      <c r="D8" s="11">
        <v>31</v>
      </c>
      <c r="E8" s="11">
        <v>10</v>
      </c>
      <c r="F8" s="19">
        <v>59</v>
      </c>
    </row>
    <row r="9" customHeight="1" spans="1:6">
      <c r="A9" s="11" t="s">
        <v>86</v>
      </c>
      <c r="B9" s="18" t="s">
        <v>87</v>
      </c>
      <c r="C9" s="11">
        <v>2</v>
      </c>
      <c r="D9" s="11">
        <v>30</v>
      </c>
      <c r="E9" s="11">
        <v>7</v>
      </c>
      <c r="F9" s="19">
        <v>81</v>
      </c>
    </row>
    <row r="10" customHeight="1" spans="1:6">
      <c r="A10" s="11" t="s">
        <v>99</v>
      </c>
      <c r="B10" s="18" t="s">
        <v>100</v>
      </c>
      <c r="C10" s="11">
        <v>0</v>
      </c>
      <c r="D10" s="11">
        <v>25</v>
      </c>
      <c r="E10" s="11">
        <v>42</v>
      </c>
      <c r="F10" s="19">
        <v>91</v>
      </c>
    </row>
    <row r="11" customHeight="1" spans="1:6">
      <c r="A11" s="11" t="s">
        <v>116</v>
      </c>
      <c r="B11" s="18" t="s">
        <v>117</v>
      </c>
      <c r="C11" s="11">
        <v>1</v>
      </c>
      <c r="D11" s="11">
        <v>26</v>
      </c>
      <c r="E11" s="11">
        <v>21</v>
      </c>
      <c r="F11" s="19">
        <v>51</v>
      </c>
    </row>
    <row r="12" customHeight="1" spans="1:7">
      <c r="A12" s="11" t="s">
        <v>120</v>
      </c>
      <c r="B12" s="18" t="s">
        <v>122</v>
      </c>
      <c r="C12" s="11">
        <v>2</v>
      </c>
      <c r="D12" s="11">
        <v>23</v>
      </c>
      <c r="E12" s="11">
        <v>12</v>
      </c>
      <c r="F12" s="19">
        <v>161</v>
      </c>
      <c r="G12" s="11" t="s">
        <v>6697</v>
      </c>
    </row>
    <row r="13" customHeight="1" spans="1:6">
      <c r="A13" s="11" t="s">
        <v>133</v>
      </c>
      <c r="B13" s="18" t="s">
        <v>134</v>
      </c>
      <c r="C13" s="11">
        <v>2</v>
      </c>
      <c r="D13" s="11">
        <v>14</v>
      </c>
      <c r="E13" s="11">
        <v>12</v>
      </c>
      <c r="F13" s="19">
        <v>62</v>
      </c>
    </row>
    <row r="14" customHeight="1" spans="1:6">
      <c r="A14" s="11" t="s">
        <v>142</v>
      </c>
      <c r="B14" s="18" t="s">
        <v>143</v>
      </c>
      <c r="C14" s="11">
        <v>0</v>
      </c>
      <c r="D14" s="11">
        <v>48</v>
      </c>
      <c r="E14" s="11">
        <v>4</v>
      </c>
      <c r="F14" s="19">
        <v>84</v>
      </c>
    </row>
    <row r="15" customHeight="1" spans="1:6">
      <c r="A15" s="11" t="s">
        <v>146</v>
      </c>
      <c r="B15" s="18" t="s">
        <v>147</v>
      </c>
      <c r="C15" s="11">
        <v>2</v>
      </c>
      <c r="D15" s="11">
        <v>28</v>
      </c>
      <c r="E15" s="11">
        <v>10</v>
      </c>
      <c r="F15" s="19">
        <v>32</v>
      </c>
    </row>
    <row r="16" customHeight="1" spans="1:7">
      <c r="A16" s="11" t="s">
        <v>146</v>
      </c>
      <c r="B16" s="18" t="s">
        <v>151</v>
      </c>
      <c r="E16" s="11">
        <v>2</v>
      </c>
      <c r="F16" s="19">
        <v>21</v>
      </c>
      <c r="G16" s="11" t="s">
        <v>1443</v>
      </c>
    </row>
    <row r="17" customHeight="1" spans="1:6">
      <c r="A17" s="11" t="s">
        <v>153</v>
      </c>
      <c r="B17" s="18" t="s">
        <v>154</v>
      </c>
      <c r="C17" s="11">
        <v>3</v>
      </c>
      <c r="D17" s="11">
        <v>44</v>
      </c>
      <c r="E17" s="11">
        <v>5</v>
      </c>
      <c r="F17" s="19">
        <v>65</v>
      </c>
    </row>
    <row r="18" customHeight="1" spans="2:6">
      <c r="B18" s="11"/>
      <c r="F18" s="19"/>
    </row>
    <row r="19" customHeight="1" spans="2:6">
      <c r="B19" s="11"/>
      <c r="F19" s="19"/>
    </row>
    <row r="20" customHeight="1" spans="2:6">
      <c r="B20" s="11"/>
      <c r="F20" s="19"/>
    </row>
    <row r="21" customHeight="1" spans="2:6">
      <c r="B21" s="11"/>
      <c r="F21" s="19"/>
    </row>
    <row r="22" customHeight="1" spans="2:6">
      <c r="B22" s="11"/>
      <c r="F22" s="19"/>
    </row>
    <row r="23" customHeight="1" spans="2:6">
      <c r="B23" s="11"/>
      <c r="F23" s="19"/>
    </row>
    <row r="24" customHeight="1" spans="2:6">
      <c r="B24" s="11"/>
      <c r="F24" s="19"/>
    </row>
    <row r="25" customHeight="1" spans="2:6">
      <c r="B25" s="11"/>
      <c r="F25" s="19"/>
    </row>
    <row r="26" customHeight="1" spans="2:6">
      <c r="B26" s="11"/>
      <c r="F26" s="19"/>
    </row>
    <row r="27" customHeight="1" spans="2:6">
      <c r="B27" s="11"/>
      <c r="F27" s="19"/>
    </row>
    <row r="28" customHeight="1" spans="2:6">
      <c r="B28" s="11"/>
      <c r="F28" s="19"/>
    </row>
    <row r="29" customHeight="1" spans="2:6">
      <c r="B29" s="11"/>
      <c r="F29" s="19"/>
    </row>
    <row r="30" customHeight="1" spans="2:6">
      <c r="B30" s="11"/>
      <c r="F30" s="19"/>
    </row>
    <row r="31" customHeight="1" spans="2:6">
      <c r="B31" s="11"/>
      <c r="F31" s="19"/>
    </row>
    <row r="32" customHeight="1" spans="2:6">
      <c r="B32" s="11"/>
      <c r="F32" s="19"/>
    </row>
    <row r="33" customHeight="1" spans="2:6">
      <c r="B33" s="11"/>
      <c r="F33" s="19"/>
    </row>
    <row r="34" customHeight="1" spans="2:6">
      <c r="B34" s="11"/>
      <c r="F34" s="19"/>
    </row>
    <row r="35" customHeight="1" spans="2:6">
      <c r="B35" s="11"/>
      <c r="F35" s="19"/>
    </row>
    <row r="36" customHeight="1" spans="2:6">
      <c r="B36" s="11"/>
      <c r="F36" s="19"/>
    </row>
    <row r="37" customHeight="1" spans="2:6">
      <c r="B37" s="11"/>
      <c r="F37" s="19"/>
    </row>
    <row r="38" customHeight="1" spans="2:6">
      <c r="B38" s="11"/>
      <c r="F38" s="19"/>
    </row>
    <row r="39" customHeight="1" spans="2:6">
      <c r="B39" s="11"/>
      <c r="F39" s="19"/>
    </row>
    <row r="40" customHeight="1" spans="2:6">
      <c r="B40" s="11"/>
      <c r="F40" s="19"/>
    </row>
    <row r="41" customHeight="1" spans="2:6">
      <c r="B41" s="11"/>
      <c r="F41" s="19"/>
    </row>
    <row r="42" customHeight="1" spans="2:6">
      <c r="B42" s="11"/>
      <c r="F42" s="19"/>
    </row>
    <row r="43" customHeight="1" spans="2:6">
      <c r="B43" s="11"/>
      <c r="F43" s="19"/>
    </row>
    <row r="44" customHeight="1" spans="2:6">
      <c r="B44" s="11"/>
      <c r="F44" s="19"/>
    </row>
    <row r="45" customHeight="1" spans="2:6">
      <c r="B45" s="11"/>
      <c r="F45" s="19"/>
    </row>
    <row r="46" customHeight="1" spans="2:6">
      <c r="B46" s="11"/>
      <c r="F46" s="19"/>
    </row>
    <row r="47" customHeight="1" spans="2:6">
      <c r="B47" s="11"/>
      <c r="F47" s="19"/>
    </row>
    <row r="48" customHeight="1" spans="2:6">
      <c r="B48" s="11"/>
      <c r="F48" s="19"/>
    </row>
    <row r="49" customHeight="1" spans="2:6">
      <c r="B49" s="11"/>
      <c r="F49" s="19"/>
    </row>
    <row r="50" customHeight="1" spans="2:6">
      <c r="B50" s="11"/>
      <c r="F50" s="19"/>
    </row>
    <row r="51" customHeight="1" spans="2:6">
      <c r="B51" s="11"/>
      <c r="F51" s="19"/>
    </row>
    <row r="52" customHeight="1" spans="2:6">
      <c r="B52" s="11"/>
      <c r="F52" s="19"/>
    </row>
    <row r="53" customHeight="1" spans="2:6">
      <c r="B53" s="11"/>
      <c r="F53" s="19"/>
    </row>
    <row r="54" customHeight="1" spans="2:6">
      <c r="B54" s="11"/>
      <c r="F54" s="19"/>
    </row>
    <row r="55" customHeight="1" spans="2:6">
      <c r="B55" s="11"/>
      <c r="F55" s="19"/>
    </row>
    <row r="56" customHeight="1" spans="2:6">
      <c r="B56" s="11"/>
      <c r="F56" s="19"/>
    </row>
    <row r="57" customHeight="1" spans="2:6">
      <c r="B57" s="11"/>
      <c r="F57" s="19"/>
    </row>
    <row r="58" customHeight="1" spans="2:6">
      <c r="B58" s="11"/>
      <c r="F58" s="19"/>
    </row>
    <row r="59" customHeight="1" spans="2:6">
      <c r="B59" s="11"/>
      <c r="F59" s="19"/>
    </row>
    <row r="60" customHeight="1" spans="2:6">
      <c r="B60" s="11"/>
      <c r="F60" s="19"/>
    </row>
    <row r="61" customHeight="1" spans="2:6">
      <c r="B61" s="11"/>
      <c r="F61" s="19"/>
    </row>
    <row r="62" customHeight="1" spans="2:6">
      <c r="B62" s="11"/>
      <c r="F62" s="19"/>
    </row>
    <row r="63" customHeight="1" spans="2:6">
      <c r="B63" s="11"/>
      <c r="F63" s="19"/>
    </row>
    <row r="64" customHeight="1" spans="2:6">
      <c r="B64" s="11"/>
      <c r="F64" s="19"/>
    </row>
    <row r="65" customHeight="1" spans="2:6">
      <c r="B65" s="11"/>
      <c r="F65" s="19"/>
    </row>
    <row r="66" customHeight="1" spans="2:6">
      <c r="B66" s="11"/>
      <c r="F66" s="19"/>
    </row>
    <row r="67" customHeight="1" spans="2:6">
      <c r="B67" s="11"/>
      <c r="F67" s="19"/>
    </row>
    <row r="68" customHeight="1" spans="2:6">
      <c r="B68" s="11"/>
      <c r="F68" s="19"/>
    </row>
    <row r="69" customHeight="1" spans="2:6">
      <c r="B69" s="11"/>
      <c r="F69" s="19"/>
    </row>
    <row r="70" customHeight="1" spans="2:6">
      <c r="B70" s="11"/>
      <c r="F70" s="19"/>
    </row>
    <row r="71" customHeight="1" spans="2:6">
      <c r="B71" s="11"/>
      <c r="F71" s="19"/>
    </row>
    <row r="72" customHeight="1" spans="2:6">
      <c r="B72" s="11"/>
      <c r="F72" s="19"/>
    </row>
    <row r="73" customHeight="1" spans="2:6">
      <c r="B73" s="11"/>
      <c r="F73" s="19"/>
    </row>
    <row r="74" customHeight="1" spans="2:6">
      <c r="B74" s="11"/>
      <c r="F74" s="19"/>
    </row>
    <row r="75" customHeight="1" spans="2:6">
      <c r="B75" s="11"/>
      <c r="F75" s="19"/>
    </row>
    <row r="76" customHeight="1" spans="2:6">
      <c r="B76" s="11"/>
      <c r="F76" s="19"/>
    </row>
    <row r="77" customHeight="1" spans="2:6">
      <c r="B77" s="11"/>
      <c r="F77" s="19"/>
    </row>
    <row r="78" customHeight="1" spans="2:6">
      <c r="B78" s="11"/>
      <c r="F78" s="19"/>
    </row>
    <row r="79" customHeight="1" spans="2:6">
      <c r="B79" s="11"/>
      <c r="F79" s="19"/>
    </row>
    <row r="80" customHeight="1" spans="2:6">
      <c r="B80" s="11"/>
      <c r="F80" s="19"/>
    </row>
    <row r="81" customHeight="1" spans="2:6">
      <c r="B81" s="11"/>
      <c r="F81" s="19"/>
    </row>
    <row r="82" customHeight="1" spans="2:6">
      <c r="B82" s="11"/>
      <c r="F82" s="19"/>
    </row>
    <row r="83" customHeight="1" spans="2:6">
      <c r="B83" s="11"/>
      <c r="F83" s="19"/>
    </row>
    <row r="84" customHeight="1" spans="2:6">
      <c r="B84" s="11"/>
      <c r="F84" s="19"/>
    </row>
    <row r="85" customHeight="1" spans="2:6">
      <c r="B85" s="11"/>
      <c r="F85" s="19"/>
    </row>
    <row r="86" customHeight="1" spans="2:6">
      <c r="B86" s="11"/>
      <c r="F86" s="19"/>
    </row>
    <row r="87" customHeight="1" spans="2:6">
      <c r="B87" s="11"/>
      <c r="F87" s="19"/>
    </row>
    <row r="88" customHeight="1" spans="2:6">
      <c r="B88" s="11"/>
      <c r="F88" s="19"/>
    </row>
    <row r="89" customHeight="1" spans="2:6">
      <c r="B89" s="11"/>
      <c r="F89" s="19"/>
    </row>
    <row r="90" customHeight="1" spans="2:6">
      <c r="B90" s="11"/>
      <c r="F90" s="19"/>
    </row>
    <row r="91" customHeight="1" spans="2:6">
      <c r="B91" s="11"/>
      <c r="F91" s="19"/>
    </row>
    <row r="92" customHeight="1" spans="2:6">
      <c r="B92" s="11"/>
      <c r="F92" s="19"/>
    </row>
    <row r="93" customHeight="1" spans="2:6">
      <c r="B93" s="11"/>
      <c r="F93" s="19"/>
    </row>
    <row r="94" customHeight="1" spans="2:6">
      <c r="B94" s="11"/>
      <c r="F94" s="19"/>
    </row>
    <row r="95" customHeight="1" spans="2:6">
      <c r="B95" s="11"/>
      <c r="F95" s="19"/>
    </row>
    <row r="96" customHeight="1" spans="2:6">
      <c r="B96" s="11"/>
      <c r="F96" s="19"/>
    </row>
    <row r="97" customHeight="1" spans="2:6">
      <c r="B97" s="11"/>
      <c r="F97" s="19"/>
    </row>
    <row r="98" customHeight="1" spans="2:6">
      <c r="B98" s="11"/>
      <c r="F98" s="19"/>
    </row>
    <row r="99" customHeight="1" spans="2:6">
      <c r="B99" s="11"/>
      <c r="F99" s="19"/>
    </row>
    <row r="100" customHeight="1" spans="2:6">
      <c r="B100" s="11"/>
      <c r="F100" s="19"/>
    </row>
    <row r="101" customHeight="1" spans="2:6">
      <c r="B101" s="11"/>
      <c r="F101" s="19"/>
    </row>
    <row r="102" customHeight="1" spans="2:6">
      <c r="B102" s="11"/>
      <c r="F102" s="19"/>
    </row>
    <row r="103" customHeight="1" spans="2:6">
      <c r="B103" s="11"/>
      <c r="F103" s="19"/>
    </row>
    <row r="104" customHeight="1" spans="2:6">
      <c r="B104" s="11"/>
      <c r="F104" s="19"/>
    </row>
    <row r="105" customHeight="1" spans="2:6">
      <c r="B105" s="11"/>
      <c r="F105" s="19"/>
    </row>
    <row r="106" customHeight="1" spans="2:6">
      <c r="B106" s="11"/>
      <c r="F106" s="19"/>
    </row>
    <row r="107" customHeight="1" spans="2:6">
      <c r="B107" s="11"/>
      <c r="F107" s="19"/>
    </row>
    <row r="108" customHeight="1" spans="2:6">
      <c r="B108" s="11"/>
      <c r="F108" s="19"/>
    </row>
    <row r="109" customHeight="1" spans="2:6">
      <c r="B109" s="11"/>
      <c r="F109" s="19"/>
    </row>
    <row r="110" customHeight="1" spans="2:6">
      <c r="B110" s="11"/>
      <c r="F110" s="19"/>
    </row>
    <row r="111" customHeight="1" spans="2:6">
      <c r="B111" s="11"/>
      <c r="F111" s="19"/>
    </row>
    <row r="112" customHeight="1" spans="2:6">
      <c r="B112" s="11"/>
      <c r="F112" s="19"/>
    </row>
    <row r="113" customHeight="1" spans="2:6">
      <c r="B113" s="11"/>
      <c r="F113" s="19"/>
    </row>
    <row r="114" customHeight="1" spans="2:6">
      <c r="B114" s="11"/>
      <c r="F114" s="19"/>
    </row>
    <row r="115" customHeight="1" spans="2:6">
      <c r="B115" s="11"/>
      <c r="F115" s="19"/>
    </row>
    <row r="116" customHeight="1" spans="2:6">
      <c r="B116" s="11"/>
      <c r="F116" s="19"/>
    </row>
    <row r="117" customHeight="1" spans="2:6">
      <c r="B117" s="11"/>
      <c r="F117" s="19"/>
    </row>
    <row r="118" customHeight="1" spans="2:6">
      <c r="B118" s="11"/>
      <c r="F118" s="19"/>
    </row>
    <row r="119" customHeight="1" spans="2:6">
      <c r="B119" s="11"/>
      <c r="F119" s="19"/>
    </row>
    <row r="120" customHeight="1" spans="2:6">
      <c r="B120" s="11"/>
      <c r="F120" s="19"/>
    </row>
    <row r="121" customHeight="1" spans="2:6">
      <c r="B121" s="11"/>
      <c r="F121" s="19"/>
    </row>
    <row r="122" customHeight="1" spans="2:6">
      <c r="B122" s="11"/>
      <c r="F122" s="19"/>
    </row>
    <row r="123" customHeight="1" spans="2:6">
      <c r="B123" s="11"/>
      <c r="F123" s="19"/>
    </row>
    <row r="124" customHeight="1" spans="2:6">
      <c r="B124" s="11"/>
      <c r="F124" s="19"/>
    </row>
    <row r="125" customHeight="1" spans="2:6">
      <c r="B125" s="11"/>
      <c r="F125" s="19"/>
    </row>
    <row r="126" customHeight="1" spans="2:6">
      <c r="B126" s="11"/>
      <c r="F126" s="19"/>
    </row>
    <row r="127" customHeight="1" spans="2:6">
      <c r="B127" s="11"/>
      <c r="F127" s="19"/>
    </row>
    <row r="128" customHeight="1" spans="2:6">
      <c r="B128" s="11"/>
      <c r="F128" s="19"/>
    </row>
    <row r="129" customHeight="1" spans="2:6">
      <c r="B129" s="11"/>
      <c r="F129" s="19"/>
    </row>
    <row r="130" customHeight="1" spans="2:6">
      <c r="B130" s="11"/>
      <c r="F130" s="19"/>
    </row>
    <row r="131" customHeight="1" spans="2:6">
      <c r="B131" s="11"/>
      <c r="F131" s="19"/>
    </row>
    <row r="132" customHeight="1" spans="2:6">
      <c r="B132" s="11"/>
      <c r="F132" s="19"/>
    </row>
    <row r="133" customHeight="1" spans="2:6">
      <c r="B133" s="11"/>
      <c r="F133" s="19"/>
    </row>
    <row r="134" customHeight="1" spans="2:6">
      <c r="B134" s="11"/>
      <c r="F134" s="19"/>
    </row>
    <row r="135" customHeight="1" spans="2:6">
      <c r="B135" s="11"/>
      <c r="F135" s="19"/>
    </row>
    <row r="136" customHeight="1" spans="2:6">
      <c r="B136" s="11"/>
      <c r="F136" s="19"/>
    </row>
    <row r="137" customHeight="1" spans="2:6">
      <c r="B137" s="11"/>
      <c r="F137" s="19"/>
    </row>
    <row r="138" customHeight="1" spans="2:6">
      <c r="B138" s="11"/>
      <c r="F138" s="19"/>
    </row>
    <row r="139" customHeight="1" spans="2:6">
      <c r="B139" s="11"/>
      <c r="F139" s="19"/>
    </row>
    <row r="140" customHeight="1" spans="2:6">
      <c r="B140" s="11"/>
      <c r="F140" s="19"/>
    </row>
    <row r="141" customHeight="1" spans="2:6">
      <c r="B141" s="11"/>
      <c r="F141" s="19"/>
    </row>
    <row r="142" customHeight="1" spans="2:6">
      <c r="B142" s="11"/>
      <c r="F142" s="19"/>
    </row>
    <row r="143" customHeight="1" spans="2:6">
      <c r="B143" s="11"/>
      <c r="F143" s="19"/>
    </row>
    <row r="144" customHeight="1" spans="2:6">
      <c r="B144" s="11"/>
      <c r="F144" s="19"/>
    </row>
    <row r="145" customHeight="1" spans="2:6">
      <c r="B145" s="11"/>
      <c r="F145" s="19"/>
    </row>
    <row r="146" customHeight="1" spans="2:6">
      <c r="B146" s="11"/>
      <c r="F146" s="19"/>
    </row>
    <row r="147" customHeight="1" spans="2:6">
      <c r="B147" s="11"/>
      <c r="F147" s="19"/>
    </row>
    <row r="148" customHeight="1" spans="2:6">
      <c r="B148" s="11"/>
      <c r="F148" s="19"/>
    </row>
    <row r="149" customHeight="1" spans="2:6">
      <c r="B149" s="11"/>
      <c r="F149" s="19"/>
    </row>
    <row r="150" customHeight="1" spans="2:6">
      <c r="B150" s="11"/>
      <c r="F150" s="19"/>
    </row>
    <row r="151" customHeight="1" spans="2:6">
      <c r="B151" s="11"/>
      <c r="F151" s="19"/>
    </row>
    <row r="152" customHeight="1" spans="2:6">
      <c r="B152" s="11"/>
      <c r="F152" s="19"/>
    </row>
    <row r="153" customHeight="1" spans="2:6">
      <c r="B153" s="11"/>
      <c r="F153" s="19"/>
    </row>
    <row r="154" customHeight="1" spans="2:6">
      <c r="B154" s="11"/>
      <c r="F154" s="19"/>
    </row>
    <row r="155" customHeight="1" spans="2:6">
      <c r="B155" s="11"/>
      <c r="F155" s="19"/>
    </row>
    <row r="156" customHeight="1" spans="2:6">
      <c r="B156" s="11"/>
      <c r="F156" s="19"/>
    </row>
    <row r="157" customHeight="1" spans="2:6">
      <c r="B157" s="11"/>
      <c r="F157" s="19"/>
    </row>
    <row r="158" customHeight="1" spans="2:6">
      <c r="B158" s="11"/>
      <c r="F158" s="19"/>
    </row>
    <row r="159" customHeight="1" spans="2:6">
      <c r="B159" s="11"/>
      <c r="F159" s="19"/>
    </row>
    <row r="160" customHeight="1" spans="2:6">
      <c r="B160" s="11"/>
      <c r="F160" s="19"/>
    </row>
    <row r="161" customHeight="1" spans="2:6">
      <c r="B161" s="11"/>
      <c r="F161" s="19"/>
    </row>
    <row r="162" customHeight="1" spans="2:6">
      <c r="B162" s="11"/>
      <c r="F162" s="19"/>
    </row>
    <row r="163" customHeight="1" spans="2:6">
      <c r="B163" s="11"/>
      <c r="F163" s="19"/>
    </row>
    <row r="164" customHeight="1" spans="2:6">
      <c r="B164" s="11"/>
      <c r="F164" s="19"/>
    </row>
    <row r="165" customHeight="1" spans="2:6">
      <c r="B165" s="11"/>
      <c r="F165" s="19"/>
    </row>
    <row r="166" customHeight="1" spans="2:6">
      <c r="B166" s="11"/>
      <c r="F166" s="19"/>
    </row>
    <row r="167" customHeight="1" spans="2:6">
      <c r="B167" s="11"/>
      <c r="F167" s="19"/>
    </row>
    <row r="168" customHeight="1" spans="2:6">
      <c r="B168" s="11"/>
      <c r="F168" s="19"/>
    </row>
    <row r="169" customHeight="1" spans="2:6">
      <c r="B169" s="11"/>
      <c r="F169" s="19"/>
    </row>
    <row r="170" customHeight="1" spans="2:6">
      <c r="B170" s="11"/>
      <c r="F170" s="19"/>
    </row>
    <row r="171" customHeight="1" spans="2:6">
      <c r="B171" s="11"/>
      <c r="F171" s="19"/>
    </row>
    <row r="172" customHeight="1" spans="2:6">
      <c r="B172" s="11"/>
      <c r="F172" s="19"/>
    </row>
    <row r="173" customHeight="1" spans="2:6">
      <c r="B173" s="11"/>
      <c r="F173" s="19"/>
    </row>
    <row r="174" customHeight="1" spans="2:6">
      <c r="B174" s="11"/>
      <c r="F174" s="19"/>
    </row>
    <row r="175" customHeight="1" spans="2:6">
      <c r="B175" s="11"/>
      <c r="F175" s="19"/>
    </row>
    <row r="176" customHeight="1" spans="2:6">
      <c r="B176" s="11"/>
      <c r="F176" s="19"/>
    </row>
    <row r="177" customHeight="1" spans="2:6">
      <c r="B177" s="11"/>
      <c r="F177" s="19"/>
    </row>
    <row r="178" customHeight="1" spans="2:6">
      <c r="B178" s="11"/>
      <c r="F178" s="19"/>
    </row>
    <row r="179" customHeight="1" spans="2:6">
      <c r="B179" s="11"/>
      <c r="F179" s="19"/>
    </row>
    <row r="180" customHeight="1" spans="2:6">
      <c r="B180" s="11"/>
      <c r="F180" s="19"/>
    </row>
    <row r="181" customHeight="1" spans="2:6">
      <c r="B181" s="11"/>
      <c r="F181" s="19"/>
    </row>
    <row r="182" customHeight="1" spans="2:6">
      <c r="B182" s="11"/>
      <c r="F182" s="19"/>
    </row>
    <row r="183" customHeight="1" spans="2:6">
      <c r="B183" s="11"/>
      <c r="F183" s="19"/>
    </row>
    <row r="184" customHeight="1" spans="2:6">
      <c r="B184" s="11"/>
      <c r="F184" s="19"/>
    </row>
    <row r="185" customHeight="1" spans="2:6">
      <c r="B185" s="11"/>
      <c r="F185" s="19"/>
    </row>
    <row r="186" customHeight="1" spans="2:6">
      <c r="B186" s="11"/>
      <c r="F186" s="19"/>
    </row>
    <row r="187" customHeight="1" spans="2:6">
      <c r="B187" s="11"/>
      <c r="F187" s="19"/>
    </row>
    <row r="188" customHeight="1" spans="2:6">
      <c r="B188" s="11"/>
      <c r="F188" s="19"/>
    </row>
    <row r="189" customHeight="1" spans="2:6">
      <c r="B189" s="11"/>
      <c r="F189" s="19"/>
    </row>
    <row r="190" customHeight="1" spans="2:6">
      <c r="B190" s="11"/>
      <c r="F190" s="19"/>
    </row>
    <row r="191" customHeight="1" spans="2:6">
      <c r="B191" s="11"/>
      <c r="F191" s="19"/>
    </row>
    <row r="192" customHeight="1" spans="2:6">
      <c r="B192" s="11"/>
      <c r="F192" s="19"/>
    </row>
    <row r="193" customHeight="1" spans="2:6">
      <c r="B193" s="11"/>
      <c r="F193" s="19"/>
    </row>
    <row r="194" customHeight="1" spans="2:6">
      <c r="B194" s="11"/>
      <c r="F194" s="19"/>
    </row>
    <row r="195" customHeight="1" spans="2:6">
      <c r="B195" s="11"/>
      <c r="F195" s="19"/>
    </row>
    <row r="196" customHeight="1" spans="2:6">
      <c r="B196" s="11"/>
      <c r="F196" s="19"/>
    </row>
    <row r="197" customHeight="1" spans="2:6">
      <c r="B197" s="11"/>
      <c r="F197" s="19"/>
    </row>
    <row r="198" customHeight="1" spans="2:6">
      <c r="B198" s="11"/>
      <c r="F198" s="19"/>
    </row>
    <row r="199" customHeight="1" spans="2:6">
      <c r="B199" s="11"/>
      <c r="F199" s="19"/>
    </row>
    <row r="200" customHeight="1" spans="2:6">
      <c r="B200" s="11"/>
      <c r="F200" s="19"/>
    </row>
    <row r="201" customHeight="1" spans="2:6">
      <c r="B201" s="11"/>
      <c r="F201" s="19"/>
    </row>
    <row r="202" customHeight="1" spans="2:6">
      <c r="B202" s="11"/>
      <c r="F202" s="19"/>
    </row>
    <row r="203" customHeight="1" spans="2:6">
      <c r="B203" s="11"/>
      <c r="F203" s="19"/>
    </row>
    <row r="204" customHeight="1" spans="2:6">
      <c r="B204" s="11"/>
      <c r="F204" s="19"/>
    </row>
    <row r="205" customHeight="1" spans="2:6">
      <c r="B205" s="11"/>
      <c r="F205" s="19"/>
    </row>
    <row r="206" customHeight="1" spans="2:6">
      <c r="B206" s="11"/>
      <c r="F206" s="19"/>
    </row>
    <row r="207" customHeight="1" spans="2:6">
      <c r="B207" s="11"/>
      <c r="F207" s="19"/>
    </row>
    <row r="208" customHeight="1" spans="2:6">
      <c r="B208" s="11"/>
      <c r="F208" s="19"/>
    </row>
    <row r="209" customHeight="1" spans="2:6">
      <c r="B209" s="11"/>
      <c r="F209" s="19"/>
    </row>
    <row r="210" customHeight="1" spans="2:6">
      <c r="B210" s="11"/>
      <c r="F210" s="19"/>
    </row>
    <row r="211" customHeight="1" spans="2:6">
      <c r="B211" s="11"/>
      <c r="F211" s="19"/>
    </row>
    <row r="212" customHeight="1" spans="2:6">
      <c r="B212" s="11"/>
      <c r="F212" s="19"/>
    </row>
    <row r="213" customHeight="1" spans="2:6">
      <c r="B213" s="11"/>
      <c r="F213" s="19"/>
    </row>
    <row r="214" customHeight="1" spans="2:6">
      <c r="B214" s="11"/>
      <c r="F214" s="19"/>
    </row>
    <row r="215" customHeight="1" spans="2:6">
      <c r="B215" s="11"/>
      <c r="F215" s="19"/>
    </row>
    <row r="216" customHeight="1" spans="2:6">
      <c r="B216" s="11"/>
      <c r="F216" s="19"/>
    </row>
    <row r="217" customHeight="1" spans="2:6">
      <c r="B217" s="11"/>
      <c r="F217" s="19"/>
    </row>
    <row r="218" customHeight="1" spans="2:6">
      <c r="B218" s="11"/>
      <c r="F218" s="19"/>
    </row>
    <row r="219" customHeight="1" spans="2:6">
      <c r="B219" s="11"/>
      <c r="F219" s="19"/>
    </row>
    <row r="220" customHeight="1" spans="2:6">
      <c r="B220" s="11"/>
      <c r="F220" s="19"/>
    </row>
    <row r="221" customHeight="1" spans="2:6">
      <c r="B221" s="11"/>
      <c r="F221" s="19"/>
    </row>
    <row r="222" customHeight="1" spans="2:6">
      <c r="B222" s="11"/>
      <c r="F222" s="19"/>
    </row>
    <row r="223" customHeight="1" spans="2:6">
      <c r="B223" s="11"/>
      <c r="F223" s="19"/>
    </row>
    <row r="224" customHeight="1" spans="2:6">
      <c r="B224" s="11"/>
      <c r="F224" s="19"/>
    </row>
    <row r="225" customHeight="1" spans="2:6">
      <c r="B225" s="11"/>
      <c r="F225" s="19"/>
    </row>
    <row r="226" customHeight="1" spans="2:6">
      <c r="B226" s="11"/>
      <c r="F226" s="19"/>
    </row>
    <row r="227" customHeight="1" spans="2:6">
      <c r="B227" s="11"/>
      <c r="F227" s="19"/>
    </row>
    <row r="228" customHeight="1" spans="2:6">
      <c r="B228" s="11"/>
      <c r="F228" s="19"/>
    </row>
    <row r="229" customHeight="1" spans="2:6">
      <c r="B229" s="11"/>
      <c r="F229" s="19"/>
    </row>
    <row r="230" customHeight="1" spans="2:6">
      <c r="B230" s="11"/>
      <c r="F230" s="19"/>
    </row>
    <row r="231" customHeight="1" spans="2:6">
      <c r="B231" s="11"/>
      <c r="F231" s="19"/>
    </row>
    <row r="232" customHeight="1" spans="2:6">
      <c r="B232" s="11"/>
      <c r="F232" s="19"/>
    </row>
    <row r="233" customHeight="1" spans="2:6">
      <c r="B233" s="11"/>
      <c r="F233" s="19"/>
    </row>
    <row r="234" customHeight="1" spans="2:6">
      <c r="B234" s="11"/>
      <c r="F234" s="19"/>
    </row>
    <row r="235" customHeight="1" spans="2:6">
      <c r="B235" s="11"/>
      <c r="F235" s="19"/>
    </row>
    <row r="236" customHeight="1" spans="2:6">
      <c r="B236" s="11"/>
      <c r="F236" s="19"/>
    </row>
    <row r="237" customHeight="1" spans="2:6">
      <c r="B237" s="11"/>
      <c r="F237" s="19"/>
    </row>
    <row r="238" customHeight="1" spans="2:6">
      <c r="B238" s="11"/>
      <c r="F238" s="19"/>
    </row>
    <row r="239" customHeight="1" spans="2:6">
      <c r="B239" s="11"/>
      <c r="F239" s="19"/>
    </row>
    <row r="240" customHeight="1" spans="2:6">
      <c r="B240" s="11"/>
      <c r="F240" s="19"/>
    </row>
    <row r="241" customHeight="1" spans="2:6">
      <c r="B241" s="11"/>
      <c r="F241" s="19"/>
    </row>
    <row r="242" customHeight="1" spans="2:6">
      <c r="B242" s="11"/>
      <c r="F242" s="19"/>
    </row>
    <row r="243" customHeight="1" spans="2:6">
      <c r="B243" s="11"/>
      <c r="F243" s="19"/>
    </row>
    <row r="244" customHeight="1" spans="2:6">
      <c r="B244" s="11"/>
      <c r="F244" s="19"/>
    </row>
    <row r="245" customHeight="1" spans="2:6">
      <c r="B245" s="11"/>
      <c r="F245" s="19"/>
    </row>
    <row r="246" customHeight="1" spans="2:6">
      <c r="B246" s="11"/>
      <c r="F246" s="19"/>
    </row>
    <row r="247" customHeight="1" spans="2:6">
      <c r="B247" s="11"/>
      <c r="F247" s="19"/>
    </row>
    <row r="248" customHeight="1" spans="2:6">
      <c r="B248" s="11"/>
      <c r="F248" s="19"/>
    </row>
    <row r="249" customHeight="1" spans="2:6">
      <c r="B249" s="11"/>
      <c r="F249" s="19"/>
    </row>
    <row r="250" customHeight="1" spans="2:6">
      <c r="B250" s="11"/>
      <c r="F250" s="19"/>
    </row>
    <row r="251" customHeight="1" spans="2:6">
      <c r="B251" s="11"/>
      <c r="F251" s="19"/>
    </row>
    <row r="252" customHeight="1" spans="2:6">
      <c r="B252" s="11"/>
      <c r="F252" s="19"/>
    </row>
    <row r="253" customHeight="1" spans="2:6">
      <c r="B253" s="11"/>
      <c r="F253" s="19"/>
    </row>
    <row r="254" customHeight="1" spans="2:6">
      <c r="B254" s="11"/>
      <c r="F254" s="19"/>
    </row>
    <row r="255" customHeight="1" spans="2:6">
      <c r="B255" s="11"/>
      <c r="F255" s="19"/>
    </row>
    <row r="256" customHeight="1" spans="2:6">
      <c r="B256" s="11"/>
      <c r="F256" s="19"/>
    </row>
    <row r="257" customHeight="1" spans="2:6">
      <c r="B257" s="11"/>
      <c r="F257" s="19"/>
    </row>
    <row r="258" customHeight="1" spans="2:6">
      <c r="B258" s="11"/>
      <c r="F258" s="19"/>
    </row>
    <row r="259" customHeight="1" spans="2:6">
      <c r="B259" s="11"/>
      <c r="F259" s="19"/>
    </row>
    <row r="260" customHeight="1" spans="2:6">
      <c r="B260" s="11"/>
      <c r="F260" s="19"/>
    </row>
    <row r="261" customHeight="1" spans="2:6">
      <c r="B261" s="11"/>
      <c r="F261" s="19"/>
    </row>
    <row r="262" customHeight="1" spans="2:6">
      <c r="B262" s="11"/>
      <c r="F262" s="19"/>
    </row>
    <row r="263" customHeight="1" spans="2:6">
      <c r="B263" s="11"/>
      <c r="F263" s="19"/>
    </row>
    <row r="264" customHeight="1" spans="2:6">
      <c r="B264" s="11"/>
      <c r="F264" s="19"/>
    </row>
    <row r="265" customHeight="1" spans="2:6">
      <c r="B265" s="11"/>
      <c r="F265" s="19"/>
    </row>
    <row r="266" customHeight="1" spans="2:6">
      <c r="B266" s="11"/>
      <c r="F266" s="19"/>
    </row>
    <row r="267" customHeight="1" spans="2:6">
      <c r="B267" s="11"/>
      <c r="F267" s="19"/>
    </row>
    <row r="268" customHeight="1" spans="2:6">
      <c r="B268" s="11"/>
      <c r="F268" s="19"/>
    </row>
    <row r="269" customHeight="1" spans="2:6">
      <c r="B269" s="11"/>
      <c r="F269" s="19"/>
    </row>
    <row r="270" customHeight="1" spans="2:6">
      <c r="B270" s="11"/>
      <c r="F270" s="19"/>
    </row>
    <row r="271" customHeight="1" spans="2:6">
      <c r="B271" s="11"/>
      <c r="F271" s="19"/>
    </row>
    <row r="272" customHeight="1" spans="2:6">
      <c r="B272" s="11"/>
      <c r="F272" s="19"/>
    </row>
    <row r="273" customHeight="1" spans="2:6">
      <c r="B273" s="11"/>
      <c r="F273" s="19"/>
    </row>
    <row r="274" customHeight="1" spans="2:6">
      <c r="B274" s="11"/>
      <c r="F274" s="19"/>
    </row>
    <row r="275" customHeight="1" spans="2:6">
      <c r="B275" s="11"/>
      <c r="F275" s="19"/>
    </row>
    <row r="276" customHeight="1" spans="2:6">
      <c r="B276" s="11"/>
      <c r="F276" s="19"/>
    </row>
    <row r="277" customHeight="1" spans="2:6">
      <c r="B277" s="11"/>
      <c r="F277" s="19"/>
    </row>
    <row r="278" customHeight="1" spans="2:6">
      <c r="B278" s="11"/>
      <c r="F278" s="19"/>
    </row>
    <row r="279" customHeight="1" spans="2:6">
      <c r="B279" s="11"/>
      <c r="F279" s="19"/>
    </row>
    <row r="280" customHeight="1" spans="2:6">
      <c r="B280" s="11"/>
      <c r="F280" s="19"/>
    </row>
    <row r="281" customHeight="1" spans="2:6">
      <c r="B281" s="11"/>
      <c r="F281" s="19"/>
    </row>
    <row r="282" customHeight="1" spans="2:6">
      <c r="B282" s="11"/>
      <c r="F282" s="19"/>
    </row>
    <row r="283" customHeight="1" spans="2:6">
      <c r="B283" s="11"/>
      <c r="F283" s="19"/>
    </row>
    <row r="284" customHeight="1" spans="2:6">
      <c r="B284" s="11"/>
      <c r="F284" s="19"/>
    </row>
    <row r="285" customHeight="1" spans="2:6">
      <c r="B285" s="11"/>
      <c r="F285" s="19"/>
    </row>
    <row r="286" customHeight="1" spans="2:6">
      <c r="B286" s="11"/>
      <c r="F286" s="19"/>
    </row>
    <row r="287" customHeight="1" spans="2:6">
      <c r="B287" s="11"/>
      <c r="F287" s="19"/>
    </row>
    <row r="288" customHeight="1" spans="2:6">
      <c r="B288" s="11"/>
      <c r="F288" s="19"/>
    </row>
    <row r="289" customHeight="1" spans="2:6">
      <c r="B289" s="11"/>
      <c r="F289" s="19"/>
    </row>
    <row r="290" customHeight="1" spans="2:6">
      <c r="B290" s="11"/>
      <c r="F290" s="19"/>
    </row>
    <row r="291" customHeight="1" spans="2:6">
      <c r="B291" s="11"/>
      <c r="F291" s="19"/>
    </row>
    <row r="292" customHeight="1" spans="2:6">
      <c r="B292" s="11"/>
      <c r="F292" s="19"/>
    </row>
    <row r="293" customHeight="1" spans="2:6">
      <c r="B293" s="11"/>
      <c r="F293" s="19"/>
    </row>
    <row r="294" customHeight="1" spans="2:6">
      <c r="B294" s="11"/>
      <c r="F294" s="19"/>
    </row>
    <row r="295" customHeight="1" spans="2:6">
      <c r="B295" s="11"/>
      <c r="F295" s="19"/>
    </row>
    <row r="296" customHeight="1" spans="2:6">
      <c r="B296" s="11"/>
      <c r="F296" s="19"/>
    </row>
    <row r="297" customHeight="1" spans="2:6">
      <c r="B297" s="11"/>
      <c r="F297" s="19"/>
    </row>
    <row r="298" customHeight="1" spans="2:6">
      <c r="B298" s="11"/>
      <c r="F298" s="19"/>
    </row>
    <row r="299" customHeight="1" spans="2:6">
      <c r="B299" s="11"/>
      <c r="F299" s="19"/>
    </row>
    <row r="300" customHeight="1" spans="2:6">
      <c r="B300" s="11"/>
      <c r="F300" s="19"/>
    </row>
    <row r="301" customHeight="1" spans="2:6">
      <c r="B301" s="11"/>
      <c r="F301" s="19"/>
    </row>
    <row r="302" customHeight="1" spans="2:6">
      <c r="B302" s="11"/>
      <c r="F302" s="19"/>
    </row>
    <row r="303" customHeight="1" spans="2:6">
      <c r="B303" s="11"/>
      <c r="F303" s="19"/>
    </row>
    <row r="304" customHeight="1" spans="2:6">
      <c r="B304" s="11"/>
      <c r="F304" s="19"/>
    </row>
    <row r="305" customHeight="1" spans="2:6">
      <c r="B305" s="11"/>
      <c r="F305" s="19"/>
    </row>
    <row r="306" customHeight="1" spans="2:6">
      <c r="B306" s="11"/>
      <c r="F306" s="19"/>
    </row>
    <row r="307" customHeight="1" spans="2:6">
      <c r="B307" s="11"/>
      <c r="F307" s="19"/>
    </row>
    <row r="308" customHeight="1" spans="2:6">
      <c r="B308" s="11"/>
      <c r="F308" s="19"/>
    </row>
    <row r="309" customHeight="1" spans="2:6">
      <c r="B309" s="11"/>
      <c r="F309" s="19"/>
    </row>
    <row r="310" customHeight="1" spans="2:6">
      <c r="B310" s="11"/>
      <c r="F310" s="19"/>
    </row>
    <row r="311" customHeight="1" spans="2:6">
      <c r="B311" s="11"/>
      <c r="F311" s="19"/>
    </row>
    <row r="312" customHeight="1" spans="2:6">
      <c r="B312" s="11"/>
      <c r="F312" s="19"/>
    </row>
    <row r="313" customHeight="1" spans="2:6">
      <c r="B313" s="11"/>
      <c r="F313" s="19"/>
    </row>
    <row r="314" customHeight="1" spans="2:6">
      <c r="B314" s="11"/>
      <c r="F314" s="19"/>
    </row>
    <row r="315" customHeight="1" spans="2:6">
      <c r="B315" s="11"/>
      <c r="F315" s="19"/>
    </row>
    <row r="316" customHeight="1" spans="2:6">
      <c r="B316" s="11"/>
      <c r="F316" s="19"/>
    </row>
    <row r="317" customHeight="1" spans="2:6">
      <c r="B317" s="11"/>
      <c r="F317" s="19"/>
    </row>
    <row r="318" customHeight="1" spans="2:6">
      <c r="B318" s="11"/>
      <c r="F318" s="19"/>
    </row>
    <row r="319" customHeight="1" spans="2:6">
      <c r="B319" s="11"/>
      <c r="F319" s="19"/>
    </row>
    <row r="320" customHeight="1" spans="2:6">
      <c r="B320" s="11"/>
      <c r="F320" s="19"/>
    </row>
    <row r="321" customHeight="1" spans="2:6">
      <c r="B321" s="11"/>
      <c r="F321" s="19"/>
    </row>
    <row r="322" customHeight="1" spans="2:6">
      <c r="B322" s="11"/>
      <c r="F322" s="19"/>
    </row>
    <row r="323" customHeight="1" spans="2:6">
      <c r="B323" s="11"/>
      <c r="F323" s="19"/>
    </row>
    <row r="324" customHeight="1" spans="2:6">
      <c r="B324" s="11"/>
      <c r="F324" s="19"/>
    </row>
    <row r="325" customHeight="1" spans="2:6">
      <c r="B325" s="11"/>
      <c r="F325" s="19"/>
    </row>
    <row r="326" customHeight="1" spans="2:6">
      <c r="B326" s="11"/>
      <c r="F326" s="19"/>
    </row>
    <row r="327" customHeight="1" spans="2:6">
      <c r="B327" s="11"/>
      <c r="F327" s="19"/>
    </row>
    <row r="328" customHeight="1" spans="2:6">
      <c r="B328" s="11"/>
      <c r="F328" s="19"/>
    </row>
    <row r="329" customHeight="1" spans="2:6">
      <c r="B329" s="11"/>
      <c r="F329" s="19"/>
    </row>
    <row r="330" customHeight="1" spans="2:6">
      <c r="B330" s="11"/>
      <c r="F330" s="19"/>
    </row>
    <row r="331" customHeight="1" spans="2:6">
      <c r="B331" s="11"/>
      <c r="F331" s="19"/>
    </row>
    <row r="332" customHeight="1" spans="2:6">
      <c r="B332" s="11"/>
      <c r="F332" s="19"/>
    </row>
    <row r="333" customHeight="1" spans="2:6">
      <c r="B333" s="11"/>
      <c r="F333" s="19"/>
    </row>
    <row r="334" customHeight="1" spans="2:6">
      <c r="B334" s="11"/>
      <c r="F334" s="19"/>
    </row>
    <row r="335" customHeight="1" spans="2:6">
      <c r="B335" s="11"/>
      <c r="F335" s="19"/>
    </row>
    <row r="336" customHeight="1" spans="2:6">
      <c r="B336" s="11"/>
      <c r="F336" s="19"/>
    </row>
    <row r="337" customHeight="1" spans="2:6">
      <c r="B337" s="11"/>
      <c r="F337" s="19"/>
    </row>
    <row r="338" customHeight="1" spans="2:6">
      <c r="B338" s="11"/>
      <c r="F338" s="19"/>
    </row>
    <row r="339" customHeight="1" spans="2:6">
      <c r="B339" s="11"/>
      <c r="F339" s="19"/>
    </row>
    <row r="340" customHeight="1" spans="2:6">
      <c r="B340" s="11"/>
      <c r="F340" s="19"/>
    </row>
    <row r="341" customHeight="1" spans="2:6">
      <c r="B341" s="11"/>
      <c r="F341" s="19"/>
    </row>
    <row r="342" customHeight="1" spans="2:6">
      <c r="B342" s="11"/>
      <c r="F342" s="19"/>
    </row>
    <row r="343" customHeight="1" spans="2:6">
      <c r="B343" s="11"/>
      <c r="F343" s="19"/>
    </row>
    <row r="344" customHeight="1" spans="2:6">
      <c r="B344" s="11"/>
      <c r="F344" s="19"/>
    </row>
    <row r="345" customHeight="1" spans="2:6">
      <c r="B345" s="11"/>
      <c r="F345" s="19"/>
    </row>
    <row r="346" customHeight="1" spans="2:6">
      <c r="B346" s="11"/>
      <c r="F346" s="19"/>
    </row>
    <row r="347" customHeight="1" spans="2:6">
      <c r="B347" s="11"/>
      <c r="F347" s="19"/>
    </row>
    <row r="348" customHeight="1" spans="2:6">
      <c r="B348" s="11"/>
      <c r="F348" s="19"/>
    </row>
    <row r="349" customHeight="1" spans="2:6">
      <c r="B349" s="11"/>
      <c r="F349" s="19"/>
    </row>
    <row r="350" customHeight="1" spans="2:6">
      <c r="B350" s="11"/>
      <c r="F350" s="19"/>
    </row>
    <row r="351" customHeight="1" spans="2:6">
      <c r="B351" s="11"/>
      <c r="F351" s="19"/>
    </row>
    <row r="352" customHeight="1" spans="2:6">
      <c r="B352" s="11"/>
      <c r="F352" s="19"/>
    </row>
    <row r="353" customHeight="1" spans="2:6">
      <c r="B353" s="11"/>
      <c r="F353" s="19"/>
    </row>
    <row r="354" customHeight="1" spans="2:6">
      <c r="B354" s="11"/>
      <c r="F354" s="19"/>
    </row>
    <row r="355" customHeight="1" spans="2:6">
      <c r="B355" s="11"/>
      <c r="F355" s="19"/>
    </row>
    <row r="356" customHeight="1" spans="2:6">
      <c r="B356" s="11"/>
      <c r="F356" s="19"/>
    </row>
    <row r="357" customHeight="1" spans="2:6">
      <c r="B357" s="11"/>
      <c r="F357" s="19"/>
    </row>
    <row r="358" customHeight="1" spans="2:6">
      <c r="B358" s="11"/>
      <c r="F358" s="19"/>
    </row>
    <row r="359" customHeight="1" spans="2:6">
      <c r="B359" s="11"/>
      <c r="F359" s="19"/>
    </row>
    <row r="360" customHeight="1" spans="2:6">
      <c r="B360" s="11"/>
      <c r="F360" s="19"/>
    </row>
    <row r="361" customHeight="1" spans="2:6">
      <c r="B361" s="11"/>
      <c r="F361" s="19"/>
    </row>
    <row r="362" customHeight="1" spans="2:6">
      <c r="B362" s="11"/>
      <c r="F362" s="19"/>
    </row>
    <row r="363" customHeight="1" spans="2:6">
      <c r="B363" s="11"/>
      <c r="F363" s="19"/>
    </row>
    <row r="364" customHeight="1" spans="2:6">
      <c r="B364" s="11"/>
      <c r="F364" s="19"/>
    </row>
    <row r="365" customHeight="1" spans="2:6">
      <c r="B365" s="11"/>
      <c r="F365" s="19"/>
    </row>
    <row r="366" customHeight="1" spans="2:6">
      <c r="B366" s="11"/>
      <c r="F366" s="19"/>
    </row>
    <row r="367" customHeight="1" spans="2:6">
      <c r="B367" s="11"/>
      <c r="F367" s="19"/>
    </row>
    <row r="368" customHeight="1" spans="2:6">
      <c r="B368" s="11"/>
      <c r="F368" s="19"/>
    </row>
    <row r="369" customHeight="1" spans="2:6">
      <c r="B369" s="11"/>
      <c r="F369" s="19"/>
    </row>
    <row r="370" customHeight="1" spans="2:6">
      <c r="B370" s="11"/>
      <c r="F370" s="19"/>
    </row>
    <row r="371" customHeight="1" spans="2:6">
      <c r="B371" s="11"/>
      <c r="F371" s="19"/>
    </row>
    <row r="372" customHeight="1" spans="2:6">
      <c r="B372" s="11"/>
      <c r="F372" s="19"/>
    </row>
    <row r="373" customHeight="1" spans="2:6">
      <c r="B373" s="11"/>
      <c r="F373" s="19"/>
    </row>
    <row r="374" customHeight="1" spans="2:6">
      <c r="B374" s="11"/>
      <c r="F374" s="19"/>
    </row>
    <row r="375" customHeight="1" spans="2:6">
      <c r="B375" s="11"/>
      <c r="F375" s="19"/>
    </row>
    <row r="376" customHeight="1" spans="2:6">
      <c r="B376" s="11"/>
      <c r="F376" s="19"/>
    </row>
    <row r="377" customHeight="1" spans="2:6">
      <c r="B377" s="11"/>
      <c r="F377" s="19"/>
    </row>
    <row r="378" customHeight="1" spans="2:6">
      <c r="B378" s="11"/>
      <c r="F378" s="19"/>
    </row>
    <row r="379" customHeight="1" spans="2:6">
      <c r="B379" s="11"/>
      <c r="F379" s="19"/>
    </row>
    <row r="380" customHeight="1" spans="2:6">
      <c r="B380" s="11"/>
      <c r="F380" s="19"/>
    </row>
    <row r="381" customHeight="1" spans="2:6">
      <c r="B381" s="11"/>
      <c r="F381" s="19"/>
    </row>
    <row r="382" customHeight="1" spans="2:6">
      <c r="B382" s="11"/>
      <c r="F382" s="19"/>
    </row>
    <row r="383" customHeight="1" spans="2:6">
      <c r="B383" s="11"/>
      <c r="F383" s="19"/>
    </row>
    <row r="384" customHeight="1" spans="2:6">
      <c r="B384" s="11"/>
      <c r="F384" s="19"/>
    </row>
    <row r="385" customHeight="1" spans="2:6">
      <c r="B385" s="11"/>
      <c r="F385" s="19"/>
    </row>
    <row r="386" customHeight="1" spans="2:6">
      <c r="B386" s="11"/>
      <c r="F386" s="19"/>
    </row>
    <row r="387" customHeight="1" spans="2:6">
      <c r="B387" s="11"/>
      <c r="F387" s="19"/>
    </row>
    <row r="388" customHeight="1" spans="2:6">
      <c r="B388" s="11"/>
      <c r="F388" s="19"/>
    </row>
    <row r="389" customHeight="1" spans="2:6">
      <c r="B389" s="11"/>
      <c r="F389" s="19"/>
    </row>
    <row r="390" customHeight="1" spans="2:6">
      <c r="B390" s="11"/>
      <c r="F390" s="19"/>
    </row>
    <row r="391" customHeight="1" spans="2:6">
      <c r="B391" s="11"/>
      <c r="F391" s="19"/>
    </row>
    <row r="392" customHeight="1" spans="2:6">
      <c r="B392" s="11"/>
      <c r="F392" s="19"/>
    </row>
    <row r="393" customHeight="1" spans="2:6">
      <c r="B393" s="11"/>
      <c r="F393" s="19"/>
    </row>
    <row r="394" customHeight="1" spans="2:6">
      <c r="B394" s="11"/>
      <c r="F394" s="19"/>
    </row>
    <row r="395" customHeight="1" spans="2:6">
      <c r="B395" s="11"/>
      <c r="F395" s="19"/>
    </row>
    <row r="396" customHeight="1" spans="2:6">
      <c r="B396" s="11"/>
      <c r="F396" s="19"/>
    </row>
    <row r="397" customHeight="1" spans="2:6">
      <c r="B397" s="11"/>
      <c r="F397" s="19"/>
    </row>
    <row r="398" customHeight="1" spans="2:6">
      <c r="B398" s="11"/>
      <c r="F398" s="19"/>
    </row>
    <row r="399" customHeight="1" spans="2:6">
      <c r="B399" s="11"/>
      <c r="F399" s="19"/>
    </row>
    <row r="400" customHeight="1" spans="2:6">
      <c r="B400" s="11"/>
      <c r="F400" s="19"/>
    </row>
    <row r="401" customHeight="1" spans="2:6">
      <c r="B401" s="11"/>
      <c r="F401" s="19"/>
    </row>
    <row r="402" customHeight="1" spans="2:6">
      <c r="B402" s="11"/>
      <c r="F402" s="19"/>
    </row>
    <row r="403" customHeight="1" spans="2:6">
      <c r="B403" s="11"/>
      <c r="F403" s="19"/>
    </row>
    <row r="404" customHeight="1" spans="2:6">
      <c r="B404" s="11"/>
      <c r="F404" s="19"/>
    </row>
    <row r="405" customHeight="1" spans="2:6">
      <c r="B405" s="11"/>
      <c r="F405" s="19"/>
    </row>
    <row r="406" customHeight="1" spans="2:6">
      <c r="B406" s="11"/>
      <c r="F406" s="19"/>
    </row>
    <row r="407" customHeight="1" spans="2:6">
      <c r="B407" s="11"/>
      <c r="F407" s="19"/>
    </row>
    <row r="408" customHeight="1" spans="2:6">
      <c r="B408" s="11"/>
      <c r="F408" s="19"/>
    </row>
    <row r="409" customHeight="1" spans="2:6">
      <c r="B409" s="11"/>
      <c r="F409" s="19"/>
    </row>
    <row r="410" customHeight="1" spans="2:6">
      <c r="B410" s="11"/>
      <c r="F410" s="19"/>
    </row>
    <row r="411" customHeight="1" spans="2:6">
      <c r="B411" s="11"/>
      <c r="F411" s="19"/>
    </row>
    <row r="412" customHeight="1" spans="2:6">
      <c r="B412" s="11"/>
      <c r="F412" s="19"/>
    </row>
    <row r="413" customHeight="1" spans="2:6">
      <c r="B413" s="11"/>
      <c r="F413" s="19"/>
    </row>
    <row r="414" customHeight="1" spans="2:6">
      <c r="B414" s="11"/>
      <c r="F414" s="19"/>
    </row>
    <row r="415" customHeight="1" spans="2:6">
      <c r="B415" s="11"/>
      <c r="F415" s="19"/>
    </row>
    <row r="416" customHeight="1" spans="2:6">
      <c r="B416" s="11"/>
      <c r="F416" s="19"/>
    </row>
    <row r="417" customHeight="1" spans="2:6">
      <c r="B417" s="11"/>
      <c r="F417" s="19"/>
    </row>
    <row r="418" customHeight="1" spans="2:6">
      <c r="B418" s="11"/>
      <c r="F418" s="19"/>
    </row>
    <row r="419" customHeight="1" spans="2:6">
      <c r="B419" s="11"/>
      <c r="F419" s="19"/>
    </row>
    <row r="420" customHeight="1" spans="2:6">
      <c r="B420" s="11"/>
      <c r="F420" s="19"/>
    </row>
    <row r="421" customHeight="1" spans="2:6">
      <c r="B421" s="11"/>
      <c r="F421" s="19"/>
    </row>
    <row r="422" customHeight="1" spans="2:6">
      <c r="B422" s="11"/>
      <c r="F422" s="19"/>
    </row>
    <row r="423" customHeight="1" spans="2:6">
      <c r="B423" s="11"/>
      <c r="F423" s="19"/>
    </row>
    <row r="424" customHeight="1" spans="2:6">
      <c r="B424" s="11"/>
      <c r="F424" s="19"/>
    </row>
    <row r="425" customHeight="1" spans="2:6">
      <c r="B425" s="11"/>
      <c r="F425" s="19"/>
    </row>
    <row r="426" customHeight="1" spans="2:6">
      <c r="B426" s="11"/>
      <c r="F426" s="19"/>
    </row>
    <row r="427" customHeight="1" spans="2:6">
      <c r="B427" s="11"/>
      <c r="F427" s="19"/>
    </row>
    <row r="428" customHeight="1" spans="2:6">
      <c r="B428" s="11"/>
      <c r="F428" s="19"/>
    </row>
    <row r="429" customHeight="1" spans="2:6">
      <c r="B429" s="11"/>
      <c r="F429" s="19"/>
    </row>
    <row r="430" customHeight="1" spans="2:6">
      <c r="B430" s="11"/>
      <c r="F430" s="19"/>
    </row>
    <row r="431" customHeight="1" spans="2:6">
      <c r="B431" s="11"/>
      <c r="F431" s="19"/>
    </row>
    <row r="432" customHeight="1" spans="2:6">
      <c r="B432" s="11"/>
      <c r="F432" s="19"/>
    </row>
    <row r="433" customHeight="1" spans="2:6">
      <c r="B433" s="11"/>
      <c r="F433" s="19"/>
    </row>
    <row r="434" customHeight="1" spans="2:6">
      <c r="B434" s="11"/>
      <c r="F434" s="19"/>
    </row>
    <row r="435" customHeight="1" spans="2:6">
      <c r="B435" s="11"/>
      <c r="F435" s="19"/>
    </row>
    <row r="436" customHeight="1" spans="2:6">
      <c r="B436" s="11"/>
      <c r="F436" s="19"/>
    </row>
    <row r="437" customHeight="1" spans="2:6">
      <c r="B437" s="11"/>
      <c r="F437" s="19"/>
    </row>
    <row r="438" customHeight="1" spans="2:6">
      <c r="B438" s="11"/>
      <c r="F438" s="19"/>
    </row>
    <row r="439" customHeight="1" spans="2:6">
      <c r="B439" s="11"/>
      <c r="F439" s="19"/>
    </row>
    <row r="440" customHeight="1" spans="2:6">
      <c r="B440" s="11"/>
      <c r="F440" s="19"/>
    </row>
    <row r="441" customHeight="1" spans="2:6">
      <c r="B441" s="11"/>
      <c r="F441" s="19"/>
    </row>
    <row r="442" customHeight="1" spans="2:6">
      <c r="B442" s="11"/>
      <c r="F442" s="19"/>
    </row>
    <row r="443" customHeight="1" spans="2:6">
      <c r="B443" s="11"/>
      <c r="F443" s="19"/>
    </row>
    <row r="444" customHeight="1" spans="2:6">
      <c r="B444" s="11"/>
      <c r="F444" s="19"/>
    </row>
    <row r="445" customHeight="1" spans="2:6">
      <c r="B445" s="11"/>
      <c r="F445" s="19"/>
    </row>
    <row r="446" customHeight="1" spans="2:6">
      <c r="B446" s="11"/>
      <c r="F446" s="19"/>
    </row>
    <row r="447" customHeight="1" spans="2:6">
      <c r="B447" s="11"/>
      <c r="F447" s="19"/>
    </row>
    <row r="448" customHeight="1" spans="2:6">
      <c r="B448" s="11"/>
      <c r="F448" s="19"/>
    </row>
    <row r="449" customHeight="1" spans="2:6">
      <c r="B449" s="11"/>
      <c r="F449" s="19"/>
    </row>
    <row r="450" customHeight="1" spans="2:6">
      <c r="B450" s="11"/>
      <c r="F450" s="19"/>
    </row>
    <row r="451" customHeight="1" spans="2:6">
      <c r="B451" s="11"/>
      <c r="F451" s="19"/>
    </row>
    <row r="452" customHeight="1" spans="2:6">
      <c r="B452" s="11"/>
      <c r="F452" s="19"/>
    </row>
    <row r="453" customHeight="1" spans="2:6">
      <c r="B453" s="11"/>
      <c r="F453" s="19"/>
    </row>
    <row r="454" customHeight="1" spans="2:6">
      <c r="B454" s="11"/>
      <c r="F454" s="19"/>
    </row>
    <row r="455" customHeight="1" spans="2:6">
      <c r="B455" s="11"/>
      <c r="F455" s="19"/>
    </row>
    <row r="456" customHeight="1" spans="2:6">
      <c r="B456" s="11"/>
      <c r="F456" s="19"/>
    </row>
    <row r="457" customHeight="1" spans="2:6">
      <c r="B457" s="11"/>
      <c r="F457" s="19"/>
    </row>
    <row r="458" customHeight="1" spans="2:6">
      <c r="B458" s="11"/>
      <c r="F458" s="19"/>
    </row>
    <row r="459" customHeight="1" spans="2:6">
      <c r="B459" s="11"/>
      <c r="F459" s="19"/>
    </row>
    <row r="460" customHeight="1" spans="2:6">
      <c r="B460" s="11"/>
      <c r="F460" s="19"/>
    </row>
    <row r="461" customHeight="1" spans="2:6">
      <c r="B461" s="11"/>
      <c r="F461" s="19"/>
    </row>
    <row r="462" customHeight="1" spans="2:6">
      <c r="B462" s="11"/>
      <c r="F462" s="19"/>
    </row>
    <row r="463" customHeight="1" spans="2:6">
      <c r="B463" s="11"/>
      <c r="F463" s="19"/>
    </row>
    <row r="464" customHeight="1" spans="2:6">
      <c r="B464" s="11"/>
      <c r="F464" s="19"/>
    </row>
    <row r="465" customHeight="1" spans="2:6">
      <c r="B465" s="11"/>
      <c r="F465" s="19"/>
    </row>
    <row r="466" customHeight="1" spans="2:6">
      <c r="B466" s="11"/>
      <c r="F466" s="19"/>
    </row>
    <row r="467" customHeight="1" spans="2:6">
      <c r="B467" s="11"/>
      <c r="F467" s="19"/>
    </row>
    <row r="468" customHeight="1" spans="2:6">
      <c r="B468" s="11"/>
      <c r="F468" s="19"/>
    </row>
    <row r="469" customHeight="1" spans="2:6">
      <c r="B469" s="11"/>
      <c r="F469" s="19"/>
    </row>
    <row r="470" customHeight="1" spans="2:6">
      <c r="B470" s="11"/>
      <c r="F470" s="19"/>
    </row>
    <row r="471" customHeight="1" spans="2:6">
      <c r="B471" s="11"/>
      <c r="F471" s="19"/>
    </row>
    <row r="472" customHeight="1" spans="2:6">
      <c r="B472" s="11"/>
      <c r="F472" s="19"/>
    </row>
    <row r="473" customHeight="1" spans="2:6">
      <c r="B473" s="11"/>
      <c r="F473" s="19"/>
    </row>
    <row r="474" customHeight="1" spans="2:6">
      <c r="B474" s="11"/>
      <c r="F474" s="19"/>
    </row>
    <row r="475" customHeight="1" spans="2:6">
      <c r="B475" s="11"/>
      <c r="F475" s="19"/>
    </row>
    <row r="476" customHeight="1" spans="2:6">
      <c r="B476" s="11"/>
      <c r="F476" s="19"/>
    </row>
    <row r="477" customHeight="1" spans="2:6">
      <c r="B477" s="11"/>
      <c r="F477" s="19"/>
    </row>
    <row r="478" customHeight="1" spans="2:6">
      <c r="B478" s="11"/>
      <c r="F478" s="19"/>
    </row>
    <row r="479" customHeight="1" spans="2:6">
      <c r="B479" s="11"/>
      <c r="F479" s="19"/>
    </row>
    <row r="480" customHeight="1" spans="2:6">
      <c r="B480" s="11"/>
      <c r="F480" s="19"/>
    </row>
    <row r="481" customHeight="1" spans="2:6">
      <c r="B481" s="11"/>
      <c r="F481" s="19"/>
    </row>
    <row r="482" customHeight="1" spans="2:6">
      <c r="B482" s="11"/>
      <c r="F482" s="19"/>
    </row>
    <row r="483" customHeight="1" spans="2:6">
      <c r="B483" s="11"/>
      <c r="F483" s="19"/>
    </row>
    <row r="484" customHeight="1" spans="2:6">
      <c r="B484" s="11"/>
      <c r="F484" s="19"/>
    </row>
    <row r="485" customHeight="1" spans="2:6">
      <c r="B485" s="11"/>
      <c r="F485" s="19"/>
    </row>
    <row r="486" customHeight="1" spans="2:6">
      <c r="B486" s="11"/>
      <c r="F486" s="19"/>
    </row>
    <row r="487" customHeight="1" spans="2:6">
      <c r="B487" s="11"/>
      <c r="F487" s="19"/>
    </row>
    <row r="488" customHeight="1" spans="2:6">
      <c r="B488" s="11"/>
      <c r="F488" s="19"/>
    </row>
    <row r="489" customHeight="1" spans="2:6">
      <c r="B489" s="11"/>
      <c r="F489" s="19"/>
    </row>
    <row r="490" customHeight="1" spans="2:6">
      <c r="B490" s="11"/>
      <c r="F490" s="19"/>
    </row>
    <row r="491" customHeight="1" spans="2:6">
      <c r="B491" s="11"/>
      <c r="F491" s="19"/>
    </row>
    <row r="492" customHeight="1" spans="2:6">
      <c r="B492" s="11"/>
      <c r="F492" s="19"/>
    </row>
    <row r="493" customHeight="1" spans="2:6">
      <c r="B493" s="11"/>
      <c r="F493" s="19"/>
    </row>
    <row r="494" customHeight="1" spans="2:6">
      <c r="B494" s="11"/>
      <c r="F494" s="19"/>
    </row>
    <row r="495" customHeight="1" spans="2:6">
      <c r="B495" s="11"/>
      <c r="F495" s="19"/>
    </row>
    <row r="496" customHeight="1" spans="2:6">
      <c r="B496" s="11"/>
      <c r="F496" s="19"/>
    </row>
    <row r="497" customHeight="1" spans="2:6">
      <c r="B497" s="11"/>
      <c r="F497" s="19"/>
    </row>
    <row r="498" customHeight="1" spans="2:6">
      <c r="B498" s="11"/>
      <c r="F498" s="19"/>
    </row>
    <row r="499" customHeight="1" spans="2:6">
      <c r="B499" s="11"/>
      <c r="F499" s="19"/>
    </row>
    <row r="500" customHeight="1" spans="2:6">
      <c r="B500" s="11"/>
      <c r="F500" s="19"/>
    </row>
    <row r="501" customHeight="1" spans="2:6">
      <c r="B501" s="11"/>
      <c r="F501" s="19"/>
    </row>
    <row r="502" customHeight="1" spans="2:6">
      <c r="B502" s="11"/>
      <c r="F502" s="19"/>
    </row>
    <row r="503" customHeight="1" spans="2:6">
      <c r="B503" s="11"/>
      <c r="F503" s="19"/>
    </row>
    <row r="504" customHeight="1" spans="2:6">
      <c r="B504" s="11"/>
      <c r="F504" s="19"/>
    </row>
    <row r="505" customHeight="1" spans="2:6">
      <c r="B505" s="11"/>
      <c r="F505" s="19"/>
    </row>
    <row r="506" customHeight="1" spans="2:6">
      <c r="B506" s="11"/>
      <c r="F506" s="19"/>
    </row>
    <row r="507" customHeight="1" spans="2:6">
      <c r="B507" s="11"/>
      <c r="F507" s="19"/>
    </row>
    <row r="508" customHeight="1" spans="2:6">
      <c r="B508" s="11"/>
      <c r="F508" s="19"/>
    </row>
    <row r="509" customHeight="1" spans="2:6">
      <c r="B509" s="11"/>
      <c r="F509" s="19"/>
    </row>
    <row r="510" customHeight="1" spans="2:6">
      <c r="B510" s="11"/>
      <c r="F510" s="19"/>
    </row>
    <row r="511" customHeight="1" spans="2:6">
      <c r="B511" s="11"/>
      <c r="F511" s="19"/>
    </row>
    <row r="512" customHeight="1" spans="2:6">
      <c r="B512" s="11"/>
      <c r="F512" s="19"/>
    </row>
    <row r="513" customHeight="1" spans="2:6">
      <c r="B513" s="11"/>
      <c r="F513" s="19"/>
    </row>
    <row r="514" customHeight="1" spans="2:6">
      <c r="B514" s="11"/>
      <c r="F514" s="19"/>
    </row>
    <row r="515" customHeight="1" spans="2:6">
      <c r="B515" s="11"/>
      <c r="F515" s="19"/>
    </row>
    <row r="516" customHeight="1" spans="2:6">
      <c r="B516" s="11"/>
      <c r="F516" s="19"/>
    </row>
    <row r="517" customHeight="1" spans="2:6">
      <c r="B517" s="11"/>
      <c r="F517" s="19"/>
    </row>
    <row r="518" customHeight="1" spans="2:6">
      <c r="B518" s="11"/>
      <c r="F518" s="19"/>
    </row>
    <row r="519" customHeight="1" spans="2:6">
      <c r="B519" s="11"/>
      <c r="F519" s="19"/>
    </row>
    <row r="520" customHeight="1" spans="2:6">
      <c r="B520" s="11"/>
      <c r="F520" s="19"/>
    </row>
    <row r="521" customHeight="1" spans="2:6">
      <c r="B521" s="11"/>
      <c r="F521" s="19"/>
    </row>
    <row r="522" customHeight="1" spans="2:6">
      <c r="B522" s="11"/>
      <c r="F522" s="19"/>
    </row>
    <row r="523" customHeight="1" spans="2:6">
      <c r="B523" s="11"/>
      <c r="F523" s="19"/>
    </row>
    <row r="524" customHeight="1" spans="2:6">
      <c r="B524" s="11"/>
      <c r="F524" s="19"/>
    </row>
    <row r="525" customHeight="1" spans="2:6">
      <c r="B525" s="11"/>
      <c r="F525" s="19"/>
    </row>
    <row r="526" customHeight="1" spans="2:6">
      <c r="B526" s="11"/>
      <c r="F526" s="19"/>
    </row>
    <row r="527" customHeight="1" spans="2:6">
      <c r="B527" s="11"/>
      <c r="F527" s="19"/>
    </row>
    <row r="528" customHeight="1" spans="2:6">
      <c r="B528" s="11"/>
      <c r="F528" s="19"/>
    </row>
    <row r="529" customHeight="1" spans="2:6">
      <c r="B529" s="11"/>
      <c r="F529" s="19"/>
    </row>
    <row r="530" customHeight="1" spans="2:6">
      <c r="B530" s="11"/>
      <c r="F530" s="19"/>
    </row>
    <row r="531" customHeight="1" spans="2:6">
      <c r="B531" s="11"/>
      <c r="F531" s="19"/>
    </row>
    <row r="532" customHeight="1" spans="2:6">
      <c r="B532" s="11"/>
      <c r="F532" s="19"/>
    </row>
    <row r="533" customHeight="1" spans="2:6">
      <c r="B533" s="11"/>
      <c r="F533" s="19"/>
    </row>
    <row r="534" customHeight="1" spans="2:6">
      <c r="B534" s="11"/>
      <c r="F534" s="19"/>
    </row>
    <row r="535" customHeight="1" spans="2:6">
      <c r="B535" s="11"/>
      <c r="F535" s="19"/>
    </row>
    <row r="536" customHeight="1" spans="2:6">
      <c r="B536" s="11"/>
      <c r="F536" s="19"/>
    </row>
    <row r="537" customHeight="1" spans="2:6">
      <c r="B537" s="11"/>
      <c r="F537" s="19"/>
    </row>
    <row r="538" customHeight="1" spans="2:6">
      <c r="B538" s="11"/>
      <c r="F538" s="19"/>
    </row>
    <row r="539" customHeight="1" spans="2:6">
      <c r="B539" s="11"/>
      <c r="F539" s="19"/>
    </row>
    <row r="540" customHeight="1" spans="2:6">
      <c r="B540" s="11"/>
      <c r="F540" s="19"/>
    </row>
    <row r="541" customHeight="1" spans="2:6">
      <c r="B541" s="11"/>
      <c r="F541" s="19"/>
    </row>
    <row r="542" customHeight="1" spans="2:6">
      <c r="B542" s="11"/>
      <c r="F542" s="19"/>
    </row>
    <row r="543" customHeight="1" spans="2:6">
      <c r="B543" s="11"/>
      <c r="F543" s="19"/>
    </row>
    <row r="544" customHeight="1" spans="2:6">
      <c r="B544" s="11"/>
      <c r="F544" s="19"/>
    </row>
    <row r="545" customHeight="1" spans="2:6">
      <c r="B545" s="11"/>
      <c r="F545" s="19"/>
    </row>
    <row r="546" customHeight="1" spans="2:6">
      <c r="B546" s="11"/>
      <c r="F546" s="19"/>
    </row>
    <row r="547" customHeight="1" spans="2:6">
      <c r="B547" s="11"/>
      <c r="F547" s="19"/>
    </row>
    <row r="548" customHeight="1" spans="2:6">
      <c r="B548" s="11"/>
      <c r="F548" s="19"/>
    </row>
    <row r="549" customHeight="1" spans="2:6">
      <c r="B549" s="11"/>
      <c r="F549" s="19"/>
    </row>
    <row r="550" customHeight="1" spans="2:6">
      <c r="B550" s="11"/>
      <c r="F550" s="19"/>
    </row>
    <row r="551" customHeight="1" spans="2:6">
      <c r="B551" s="11"/>
      <c r="F551" s="19"/>
    </row>
    <row r="552" customHeight="1" spans="2:6">
      <c r="B552" s="11"/>
      <c r="F552" s="19"/>
    </row>
    <row r="553" customHeight="1" spans="2:6">
      <c r="B553" s="11"/>
      <c r="F553" s="19"/>
    </row>
    <row r="554" customHeight="1" spans="2:6">
      <c r="B554" s="11"/>
      <c r="F554" s="19"/>
    </row>
    <row r="555" customHeight="1" spans="2:6">
      <c r="B555" s="11"/>
      <c r="F555" s="19"/>
    </row>
    <row r="556" customHeight="1" spans="2:6">
      <c r="B556" s="11"/>
      <c r="F556" s="19"/>
    </row>
    <row r="557" customHeight="1" spans="2:6">
      <c r="B557" s="11"/>
      <c r="F557" s="19"/>
    </row>
    <row r="558" customHeight="1" spans="2:6">
      <c r="B558" s="11"/>
      <c r="F558" s="19"/>
    </row>
    <row r="559" customHeight="1" spans="2:6">
      <c r="B559" s="11"/>
      <c r="F559" s="19"/>
    </row>
    <row r="560" customHeight="1" spans="2:6">
      <c r="B560" s="11"/>
      <c r="F560" s="19"/>
    </row>
    <row r="561" customHeight="1" spans="2:6">
      <c r="B561" s="11"/>
      <c r="F561" s="19"/>
    </row>
    <row r="562" customHeight="1" spans="2:6">
      <c r="B562" s="11"/>
      <c r="F562" s="19"/>
    </row>
    <row r="563" customHeight="1" spans="2:6">
      <c r="B563" s="11"/>
      <c r="F563" s="19"/>
    </row>
    <row r="564" customHeight="1" spans="2:6">
      <c r="B564" s="11"/>
      <c r="F564" s="19"/>
    </row>
    <row r="565" customHeight="1" spans="2:6">
      <c r="B565" s="11"/>
      <c r="F565" s="19"/>
    </row>
    <row r="566" customHeight="1" spans="2:6">
      <c r="B566" s="11"/>
      <c r="F566" s="19"/>
    </row>
    <row r="567" customHeight="1" spans="2:6">
      <c r="B567" s="11"/>
      <c r="F567" s="19"/>
    </row>
    <row r="568" customHeight="1" spans="2:6">
      <c r="B568" s="11"/>
      <c r="F568" s="19"/>
    </row>
    <row r="569" customHeight="1" spans="2:6">
      <c r="B569" s="11"/>
      <c r="F569" s="19"/>
    </row>
    <row r="570" customHeight="1" spans="2:6">
      <c r="B570" s="11"/>
      <c r="F570" s="19"/>
    </row>
    <row r="571" customHeight="1" spans="2:6">
      <c r="B571" s="11"/>
      <c r="F571" s="19"/>
    </row>
    <row r="572" customHeight="1" spans="2:6">
      <c r="B572" s="11"/>
      <c r="F572" s="19"/>
    </row>
    <row r="573" customHeight="1" spans="2:6">
      <c r="B573" s="11"/>
      <c r="F573" s="19"/>
    </row>
    <row r="574" customHeight="1" spans="2:6">
      <c r="B574" s="11"/>
      <c r="F574" s="19"/>
    </row>
    <row r="575" customHeight="1" spans="2:6">
      <c r="B575" s="11"/>
      <c r="F575" s="19"/>
    </row>
    <row r="576" customHeight="1" spans="2:6">
      <c r="B576" s="11"/>
      <c r="F576" s="19"/>
    </row>
    <row r="577" customHeight="1" spans="2:6">
      <c r="B577" s="11"/>
      <c r="F577" s="19"/>
    </row>
    <row r="578" customHeight="1" spans="2:6">
      <c r="B578" s="11"/>
      <c r="F578" s="19"/>
    </row>
    <row r="579" customHeight="1" spans="2:6">
      <c r="B579" s="11"/>
      <c r="F579" s="19"/>
    </row>
    <row r="580" customHeight="1" spans="2:6">
      <c r="B580" s="11"/>
      <c r="F580" s="19"/>
    </row>
    <row r="581" customHeight="1" spans="2:6">
      <c r="B581" s="11"/>
      <c r="F581" s="19"/>
    </row>
    <row r="582" customHeight="1" spans="2:6">
      <c r="B582" s="11"/>
      <c r="F582" s="19"/>
    </row>
    <row r="583" customHeight="1" spans="2:6">
      <c r="B583" s="11"/>
      <c r="F583" s="19"/>
    </row>
    <row r="584" customHeight="1" spans="2:6">
      <c r="B584" s="11"/>
      <c r="F584" s="19"/>
    </row>
    <row r="585" customHeight="1" spans="2:6">
      <c r="B585" s="11"/>
      <c r="F585" s="19"/>
    </row>
    <row r="586" customHeight="1" spans="2:6">
      <c r="B586" s="11"/>
      <c r="F586" s="19"/>
    </row>
    <row r="587" customHeight="1" spans="2:6">
      <c r="B587" s="11"/>
      <c r="F587" s="19"/>
    </row>
    <row r="588" customHeight="1" spans="2:6">
      <c r="B588" s="11"/>
      <c r="F588" s="19"/>
    </row>
    <row r="589" customHeight="1" spans="2:6">
      <c r="B589" s="11"/>
      <c r="F589" s="19"/>
    </row>
    <row r="590" customHeight="1" spans="2:6">
      <c r="B590" s="11"/>
      <c r="F590" s="19"/>
    </row>
    <row r="591" customHeight="1" spans="2:6">
      <c r="B591" s="11"/>
      <c r="F591" s="19"/>
    </row>
    <row r="592" customHeight="1" spans="2:6">
      <c r="B592" s="11"/>
      <c r="F592" s="19"/>
    </row>
    <row r="593" customHeight="1" spans="2:6">
      <c r="B593" s="11"/>
      <c r="F593" s="19"/>
    </row>
    <row r="594" customHeight="1" spans="2:6">
      <c r="B594" s="11"/>
      <c r="F594" s="19"/>
    </row>
    <row r="595" customHeight="1" spans="2:6">
      <c r="B595" s="11"/>
      <c r="F595" s="19"/>
    </row>
    <row r="596" customHeight="1" spans="2:6">
      <c r="B596" s="11"/>
      <c r="F596" s="19"/>
    </row>
    <row r="597" customHeight="1" spans="2:6">
      <c r="B597" s="11"/>
      <c r="F597" s="19"/>
    </row>
    <row r="598" customHeight="1" spans="2:6">
      <c r="B598" s="11"/>
      <c r="F598" s="19"/>
    </row>
    <row r="599" customHeight="1" spans="2:6">
      <c r="B599" s="11"/>
      <c r="F599" s="19"/>
    </row>
    <row r="600" customHeight="1" spans="2:6">
      <c r="B600" s="11"/>
      <c r="F600" s="19"/>
    </row>
    <row r="601" customHeight="1" spans="2:6">
      <c r="B601" s="11"/>
      <c r="F601" s="19"/>
    </row>
    <row r="602" customHeight="1" spans="2:6">
      <c r="B602" s="11"/>
      <c r="F602" s="19"/>
    </row>
    <row r="603" customHeight="1" spans="2:6">
      <c r="B603" s="11"/>
      <c r="F603" s="19"/>
    </row>
    <row r="604" customHeight="1" spans="2:6">
      <c r="B604" s="11"/>
      <c r="F604" s="19"/>
    </row>
    <row r="605" customHeight="1" spans="2:6">
      <c r="B605" s="11"/>
      <c r="F605" s="19"/>
    </row>
    <row r="606" customHeight="1" spans="2:6">
      <c r="B606" s="11"/>
      <c r="F606" s="19"/>
    </row>
    <row r="607" customHeight="1" spans="2:6">
      <c r="B607" s="11"/>
      <c r="F607" s="19"/>
    </row>
    <row r="608" customHeight="1" spans="2:6">
      <c r="B608" s="11"/>
      <c r="F608" s="19"/>
    </row>
    <row r="609" customHeight="1" spans="2:6">
      <c r="B609" s="11"/>
      <c r="F609" s="19"/>
    </row>
    <row r="610" customHeight="1" spans="2:6">
      <c r="B610" s="11"/>
      <c r="F610" s="19"/>
    </row>
    <row r="611" customHeight="1" spans="2:6">
      <c r="B611" s="11"/>
      <c r="F611" s="19"/>
    </row>
    <row r="612" customHeight="1" spans="2:6">
      <c r="B612" s="11"/>
      <c r="F612" s="19"/>
    </row>
    <row r="613" customHeight="1" spans="2:6">
      <c r="B613" s="11"/>
      <c r="F613" s="19"/>
    </row>
    <row r="614" customHeight="1" spans="2:6">
      <c r="B614" s="11"/>
      <c r="F614" s="19"/>
    </row>
    <row r="615" customHeight="1" spans="2:6">
      <c r="B615" s="11"/>
      <c r="F615" s="19"/>
    </row>
    <row r="616" customHeight="1" spans="2:6">
      <c r="B616" s="11"/>
      <c r="F616" s="19"/>
    </row>
    <row r="617" customHeight="1" spans="2:6">
      <c r="B617" s="11"/>
      <c r="F617" s="19"/>
    </row>
    <row r="618" customHeight="1" spans="2:6">
      <c r="B618" s="11"/>
      <c r="F618" s="19"/>
    </row>
    <row r="619" customHeight="1" spans="2:6">
      <c r="B619" s="11"/>
      <c r="F619" s="19"/>
    </row>
    <row r="620" customHeight="1" spans="2:6">
      <c r="B620" s="11"/>
      <c r="F620" s="19"/>
    </row>
    <row r="621" customHeight="1" spans="2:6">
      <c r="B621" s="11"/>
      <c r="F621" s="19"/>
    </row>
    <row r="622" customHeight="1" spans="2:6">
      <c r="B622" s="11"/>
      <c r="F622" s="19"/>
    </row>
    <row r="623" customHeight="1" spans="2:6">
      <c r="B623" s="11"/>
      <c r="F623" s="19"/>
    </row>
    <row r="624" customHeight="1" spans="2:6">
      <c r="B624" s="11"/>
      <c r="F624" s="19"/>
    </row>
    <row r="625" customHeight="1" spans="2:6">
      <c r="B625" s="11"/>
      <c r="F625" s="19"/>
    </row>
    <row r="626" customHeight="1" spans="2:6">
      <c r="B626" s="11"/>
      <c r="F626" s="19"/>
    </row>
    <row r="627" customHeight="1" spans="2:6">
      <c r="B627" s="11"/>
      <c r="F627" s="19"/>
    </row>
    <row r="628" customHeight="1" spans="2:6">
      <c r="B628" s="11"/>
      <c r="F628" s="19"/>
    </row>
    <row r="629" customHeight="1" spans="2:6">
      <c r="B629" s="11"/>
      <c r="F629" s="19"/>
    </row>
    <row r="630" customHeight="1" spans="2:6">
      <c r="B630" s="11"/>
      <c r="F630" s="19"/>
    </row>
    <row r="631" customHeight="1" spans="2:6">
      <c r="B631" s="11"/>
      <c r="F631" s="19"/>
    </row>
    <row r="632" customHeight="1" spans="2:6">
      <c r="B632" s="11"/>
      <c r="F632" s="19"/>
    </row>
    <row r="633" customHeight="1" spans="2:6">
      <c r="B633" s="11"/>
      <c r="F633" s="19"/>
    </row>
    <row r="634" customHeight="1" spans="2:6">
      <c r="B634" s="11"/>
      <c r="F634" s="19"/>
    </row>
    <row r="635" customHeight="1" spans="2:6">
      <c r="B635" s="11"/>
      <c r="F635" s="19"/>
    </row>
    <row r="636" customHeight="1" spans="2:6">
      <c r="B636" s="11"/>
      <c r="F636" s="19"/>
    </row>
    <row r="637" customHeight="1" spans="2:6">
      <c r="B637" s="11"/>
      <c r="F637" s="19"/>
    </row>
    <row r="638" customHeight="1" spans="2:6">
      <c r="B638" s="11"/>
      <c r="F638" s="19"/>
    </row>
    <row r="639" customHeight="1" spans="2:6">
      <c r="B639" s="11"/>
      <c r="F639" s="19"/>
    </row>
    <row r="640" customHeight="1" spans="2:6">
      <c r="B640" s="11"/>
      <c r="F640" s="19"/>
    </row>
    <row r="641" customHeight="1" spans="2:6">
      <c r="B641" s="11"/>
      <c r="F641" s="19"/>
    </row>
    <row r="642" customHeight="1" spans="2:6">
      <c r="B642" s="11"/>
      <c r="F642" s="19"/>
    </row>
    <row r="643" customHeight="1" spans="2:6">
      <c r="B643" s="11"/>
      <c r="F643" s="19"/>
    </row>
    <row r="644" customHeight="1" spans="2:6">
      <c r="B644" s="11"/>
      <c r="F644" s="19"/>
    </row>
    <row r="645" customHeight="1" spans="2:6">
      <c r="B645" s="11"/>
      <c r="F645" s="19"/>
    </row>
    <row r="646" customHeight="1" spans="2:6">
      <c r="B646" s="11"/>
      <c r="F646" s="19"/>
    </row>
    <row r="647" customHeight="1" spans="2:6">
      <c r="B647" s="11"/>
      <c r="F647" s="19"/>
    </row>
    <row r="648" customHeight="1" spans="2:6">
      <c r="B648" s="11"/>
      <c r="F648" s="19"/>
    </row>
    <row r="649" customHeight="1" spans="2:6">
      <c r="B649" s="11"/>
      <c r="F649" s="19"/>
    </row>
    <row r="650" customHeight="1" spans="2:6">
      <c r="B650" s="11"/>
      <c r="F650" s="19"/>
    </row>
    <row r="651" customHeight="1" spans="2:6">
      <c r="B651" s="11"/>
      <c r="F651" s="19"/>
    </row>
    <row r="652" customHeight="1" spans="2:6">
      <c r="B652" s="11"/>
      <c r="F652" s="19"/>
    </row>
    <row r="653" customHeight="1" spans="2:6">
      <c r="B653" s="11"/>
      <c r="F653" s="19"/>
    </row>
    <row r="654" customHeight="1" spans="2:6">
      <c r="B654" s="11"/>
      <c r="F654" s="19"/>
    </row>
    <row r="655" customHeight="1" spans="2:6">
      <c r="B655" s="11"/>
      <c r="F655" s="19"/>
    </row>
    <row r="656" customHeight="1" spans="2:6">
      <c r="B656" s="11"/>
      <c r="F656" s="19"/>
    </row>
    <row r="657" customHeight="1" spans="2:6">
      <c r="B657" s="11"/>
      <c r="F657" s="19"/>
    </row>
    <row r="658" customHeight="1" spans="2:6">
      <c r="B658" s="11"/>
      <c r="F658" s="19"/>
    </row>
    <row r="659" customHeight="1" spans="2:6">
      <c r="B659" s="11"/>
      <c r="F659" s="19"/>
    </row>
    <row r="660" customHeight="1" spans="2:6">
      <c r="B660" s="11"/>
      <c r="F660" s="19"/>
    </row>
    <row r="661" customHeight="1" spans="2:6">
      <c r="B661" s="11"/>
      <c r="F661" s="19"/>
    </row>
    <row r="662" customHeight="1" spans="2:6">
      <c r="B662" s="11"/>
      <c r="F662" s="19"/>
    </row>
    <row r="663" customHeight="1" spans="2:6">
      <c r="B663" s="11"/>
      <c r="F663" s="19"/>
    </row>
    <row r="664" customHeight="1" spans="2:6">
      <c r="B664" s="11"/>
      <c r="F664" s="19"/>
    </row>
    <row r="665" customHeight="1" spans="2:6">
      <c r="B665" s="11"/>
      <c r="F665" s="19"/>
    </row>
    <row r="666" customHeight="1" spans="2:6">
      <c r="B666" s="11"/>
      <c r="F666" s="19"/>
    </row>
    <row r="667" customHeight="1" spans="2:6">
      <c r="B667" s="11"/>
      <c r="F667" s="19"/>
    </row>
    <row r="668" customHeight="1" spans="2:6">
      <c r="B668" s="11"/>
      <c r="F668" s="19"/>
    </row>
    <row r="669" customHeight="1" spans="2:6">
      <c r="B669" s="11"/>
      <c r="F669" s="19"/>
    </row>
    <row r="670" customHeight="1" spans="2:6">
      <c r="B670" s="11"/>
      <c r="F670" s="19"/>
    </row>
    <row r="671" customHeight="1" spans="2:6">
      <c r="B671" s="11"/>
      <c r="F671" s="19"/>
    </row>
    <row r="672" customHeight="1" spans="2:6">
      <c r="B672" s="11"/>
      <c r="F672" s="19"/>
    </row>
    <row r="673" customHeight="1" spans="2:6">
      <c r="B673" s="11"/>
      <c r="F673" s="19"/>
    </row>
    <row r="674" customHeight="1" spans="2:6">
      <c r="B674" s="11"/>
      <c r="F674" s="19"/>
    </row>
    <row r="675" customHeight="1" spans="2:6">
      <c r="B675" s="11"/>
      <c r="F675" s="19"/>
    </row>
    <row r="676" customHeight="1" spans="2:6">
      <c r="B676" s="11"/>
      <c r="F676" s="19"/>
    </row>
    <row r="677" customHeight="1" spans="2:6">
      <c r="B677" s="11"/>
      <c r="F677" s="19"/>
    </row>
    <row r="678" customHeight="1" spans="2:6">
      <c r="B678" s="11"/>
      <c r="F678" s="19"/>
    </row>
    <row r="679" customHeight="1" spans="2:6">
      <c r="B679" s="11"/>
      <c r="F679" s="19"/>
    </row>
    <row r="680" customHeight="1" spans="2:6">
      <c r="B680" s="11"/>
      <c r="F680" s="19"/>
    </row>
    <row r="681" customHeight="1" spans="2:6">
      <c r="B681" s="11"/>
      <c r="F681" s="19"/>
    </row>
    <row r="682" customHeight="1" spans="2:6">
      <c r="B682" s="11"/>
      <c r="F682" s="19"/>
    </row>
    <row r="683" customHeight="1" spans="2:6">
      <c r="B683" s="11"/>
      <c r="F683" s="19"/>
    </row>
    <row r="684" customHeight="1" spans="2:6">
      <c r="B684" s="11"/>
      <c r="F684" s="19"/>
    </row>
    <row r="685" customHeight="1" spans="2:6">
      <c r="B685" s="11"/>
      <c r="F685" s="19"/>
    </row>
    <row r="686" customHeight="1" spans="2:6">
      <c r="B686" s="11"/>
      <c r="F686" s="19"/>
    </row>
    <row r="687" customHeight="1" spans="2:6">
      <c r="B687" s="11"/>
      <c r="F687" s="19"/>
    </row>
    <row r="688" customHeight="1" spans="2:6">
      <c r="B688" s="11"/>
      <c r="F688" s="19"/>
    </row>
    <row r="689" customHeight="1" spans="2:6">
      <c r="B689" s="11"/>
      <c r="F689" s="19"/>
    </row>
    <row r="690" customHeight="1" spans="2:6">
      <c r="B690" s="11"/>
      <c r="F690" s="19"/>
    </row>
    <row r="691" customHeight="1" spans="2:6">
      <c r="B691" s="11"/>
      <c r="F691" s="19"/>
    </row>
    <row r="692" customHeight="1" spans="2:6">
      <c r="B692" s="11"/>
      <c r="F692" s="19"/>
    </row>
    <row r="693" customHeight="1" spans="2:6">
      <c r="B693" s="11"/>
      <c r="F693" s="19"/>
    </row>
    <row r="694" customHeight="1" spans="2:6">
      <c r="B694" s="11"/>
      <c r="F694" s="19"/>
    </row>
    <row r="695" customHeight="1" spans="2:6">
      <c r="B695" s="11"/>
      <c r="F695" s="19"/>
    </row>
    <row r="696" customHeight="1" spans="2:6">
      <c r="B696" s="11"/>
      <c r="F696" s="19"/>
    </row>
    <row r="697" customHeight="1" spans="2:6">
      <c r="B697" s="11"/>
      <c r="F697" s="19"/>
    </row>
    <row r="698" customHeight="1" spans="2:6">
      <c r="B698" s="11"/>
      <c r="F698" s="19"/>
    </row>
    <row r="699" customHeight="1" spans="2:6">
      <c r="B699" s="11"/>
      <c r="F699" s="19"/>
    </row>
    <row r="700" customHeight="1" spans="2:6">
      <c r="B700" s="11"/>
      <c r="F700" s="19"/>
    </row>
    <row r="701" customHeight="1" spans="2:6">
      <c r="B701" s="11"/>
      <c r="F701" s="19"/>
    </row>
    <row r="702" customHeight="1" spans="2:6">
      <c r="B702" s="11"/>
      <c r="F702" s="19"/>
    </row>
    <row r="703" customHeight="1" spans="2:6">
      <c r="B703" s="11"/>
      <c r="F703" s="19"/>
    </row>
    <row r="704" customHeight="1" spans="2:6">
      <c r="B704" s="11"/>
      <c r="F704" s="19"/>
    </row>
    <row r="705" customHeight="1" spans="2:6">
      <c r="B705" s="11"/>
      <c r="F705" s="19"/>
    </row>
    <row r="706" customHeight="1" spans="2:6">
      <c r="B706" s="11"/>
      <c r="F706" s="19"/>
    </row>
    <row r="707" customHeight="1" spans="2:6">
      <c r="B707" s="11"/>
      <c r="F707" s="19"/>
    </row>
    <row r="708" customHeight="1" spans="2:6">
      <c r="B708" s="11"/>
      <c r="F708" s="19"/>
    </row>
    <row r="709" customHeight="1" spans="2:6">
      <c r="B709" s="11"/>
      <c r="F709" s="19"/>
    </row>
    <row r="710" customHeight="1" spans="2:6">
      <c r="B710" s="11"/>
      <c r="F710" s="19"/>
    </row>
    <row r="711" customHeight="1" spans="2:6">
      <c r="B711" s="11"/>
      <c r="F711" s="19"/>
    </row>
    <row r="712" customHeight="1" spans="2:6">
      <c r="B712" s="11"/>
      <c r="F712" s="19"/>
    </row>
    <row r="713" customHeight="1" spans="2:6">
      <c r="B713" s="11"/>
      <c r="F713" s="19"/>
    </row>
    <row r="714" customHeight="1" spans="2:6">
      <c r="B714" s="11"/>
      <c r="F714" s="19"/>
    </row>
    <row r="715" customHeight="1" spans="2:6">
      <c r="B715" s="11"/>
      <c r="F715" s="19"/>
    </row>
    <row r="716" customHeight="1" spans="2:6">
      <c r="B716" s="11"/>
      <c r="F716" s="19"/>
    </row>
    <row r="717" customHeight="1" spans="2:6">
      <c r="B717" s="11"/>
      <c r="F717" s="19"/>
    </row>
    <row r="718" customHeight="1" spans="2:6">
      <c r="B718" s="11"/>
      <c r="F718" s="19"/>
    </row>
    <row r="719" customHeight="1" spans="2:6">
      <c r="B719" s="11"/>
      <c r="F719" s="19"/>
    </row>
    <row r="720" customHeight="1" spans="2:6">
      <c r="B720" s="11"/>
      <c r="F720" s="19"/>
    </row>
    <row r="721" customHeight="1" spans="2:6">
      <c r="B721" s="11"/>
      <c r="F721" s="19"/>
    </row>
    <row r="722" customHeight="1" spans="2:6">
      <c r="B722" s="11"/>
      <c r="F722" s="19"/>
    </row>
    <row r="723" customHeight="1" spans="2:6">
      <c r="B723" s="11"/>
      <c r="F723" s="19"/>
    </row>
    <row r="724" customHeight="1" spans="2:6">
      <c r="B724" s="11"/>
      <c r="F724" s="19"/>
    </row>
    <row r="725" customHeight="1" spans="2:6">
      <c r="B725" s="11"/>
      <c r="F725" s="19"/>
    </row>
    <row r="726" customHeight="1" spans="2:6">
      <c r="B726" s="11"/>
      <c r="F726" s="19"/>
    </row>
    <row r="727" customHeight="1" spans="2:6">
      <c r="B727" s="11"/>
      <c r="F727" s="19"/>
    </row>
    <row r="728" customHeight="1" spans="2:6">
      <c r="B728" s="11"/>
      <c r="F728" s="19"/>
    </row>
    <row r="729" customHeight="1" spans="2:6">
      <c r="B729" s="11"/>
      <c r="F729" s="19"/>
    </row>
    <row r="730" customHeight="1" spans="2:6">
      <c r="B730" s="11"/>
      <c r="F730" s="19"/>
    </row>
    <row r="731" customHeight="1" spans="2:6">
      <c r="B731" s="11"/>
      <c r="F731" s="19"/>
    </row>
    <row r="732" customHeight="1" spans="2:6">
      <c r="B732" s="11"/>
      <c r="F732" s="19"/>
    </row>
    <row r="733" customHeight="1" spans="2:6">
      <c r="B733" s="11"/>
      <c r="F733" s="19"/>
    </row>
    <row r="734" customHeight="1" spans="2:6">
      <c r="B734" s="11"/>
      <c r="F734" s="19"/>
    </row>
    <row r="735" customHeight="1" spans="2:6">
      <c r="B735" s="11"/>
      <c r="F735" s="19"/>
    </row>
    <row r="736" customHeight="1" spans="2:6">
      <c r="B736" s="11"/>
      <c r="F736" s="19"/>
    </row>
    <row r="737" customHeight="1" spans="2:6">
      <c r="B737" s="11"/>
      <c r="F737" s="19"/>
    </row>
    <row r="738" customHeight="1" spans="2:6">
      <c r="B738" s="11"/>
      <c r="F738" s="19"/>
    </row>
    <row r="739" customHeight="1" spans="2:6">
      <c r="B739" s="11"/>
      <c r="F739" s="19"/>
    </row>
    <row r="740" customHeight="1" spans="2:6">
      <c r="B740" s="11"/>
      <c r="F740" s="19"/>
    </row>
    <row r="741" customHeight="1" spans="2:6">
      <c r="B741" s="11"/>
      <c r="F741" s="19"/>
    </row>
    <row r="742" customHeight="1" spans="2:6">
      <c r="B742" s="11"/>
      <c r="F742" s="19"/>
    </row>
    <row r="743" customHeight="1" spans="2:6">
      <c r="B743" s="11"/>
      <c r="F743" s="19"/>
    </row>
    <row r="744" customHeight="1" spans="2:6">
      <c r="B744" s="11"/>
      <c r="F744" s="19"/>
    </row>
    <row r="745" customHeight="1" spans="2:6">
      <c r="B745" s="11"/>
      <c r="F745" s="19"/>
    </row>
    <row r="746" customHeight="1" spans="2:6">
      <c r="B746" s="11"/>
      <c r="F746" s="19"/>
    </row>
    <row r="747" customHeight="1" spans="2:6">
      <c r="B747" s="11"/>
      <c r="F747" s="19"/>
    </row>
    <row r="748" customHeight="1" spans="2:6">
      <c r="B748" s="11"/>
      <c r="F748" s="19"/>
    </row>
    <row r="749" customHeight="1" spans="2:6">
      <c r="B749" s="11"/>
      <c r="F749" s="19"/>
    </row>
    <row r="750" customHeight="1" spans="2:6">
      <c r="B750" s="11"/>
      <c r="F750" s="19"/>
    </row>
    <row r="751" customHeight="1" spans="2:6">
      <c r="B751" s="11"/>
      <c r="F751" s="19"/>
    </row>
    <row r="752" customHeight="1" spans="2:6">
      <c r="B752" s="11"/>
      <c r="F752" s="19"/>
    </row>
    <row r="753" customHeight="1" spans="2:6">
      <c r="B753" s="11"/>
      <c r="F753" s="19"/>
    </row>
    <row r="754" customHeight="1" spans="2:6">
      <c r="B754" s="11"/>
      <c r="F754" s="19"/>
    </row>
    <row r="755" customHeight="1" spans="2:6">
      <c r="B755" s="11"/>
      <c r="F755" s="19"/>
    </row>
    <row r="756" customHeight="1" spans="2:6">
      <c r="B756" s="11"/>
      <c r="F756" s="19"/>
    </row>
    <row r="757" customHeight="1" spans="2:6">
      <c r="B757" s="11"/>
      <c r="F757" s="19"/>
    </row>
    <row r="758" customHeight="1" spans="2:6">
      <c r="B758" s="11"/>
      <c r="F758" s="19"/>
    </row>
    <row r="759" customHeight="1" spans="2:6">
      <c r="B759" s="11"/>
      <c r="F759" s="19"/>
    </row>
    <row r="760" customHeight="1" spans="2:6">
      <c r="B760" s="11"/>
      <c r="F760" s="19"/>
    </row>
    <row r="761" customHeight="1" spans="2:6">
      <c r="B761" s="11"/>
      <c r="F761" s="19"/>
    </row>
    <row r="762" customHeight="1" spans="2:6">
      <c r="B762" s="11"/>
      <c r="F762" s="19"/>
    </row>
    <row r="763" customHeight="1" spans="2:6">
      <c r="B763" s="11"/>
      <c r="F763" s="19"/>
    </row>
    <row r="764" customHeight="1" spans="2:6">
      <c r="B764" s="11"/>
      <c r="F764" s="19"/>
    </row>
    <row r="765" customHeight="1" spans="2:6">
      <c r="B765" s="11"/>
      <c r="F765" s="19"/>
    </row>
    <row r="766" customHeight="1" spans="2:6">
      <c r="B766" s="11"/>
      <c r="F766" s="19"/>
    </row>
    <row r="767" customHeight="1" spans="2:6">
      <c r="B767" s="11"/>
      <c r="F767" s="19"/>
    </row>
    <row r="768" customHeight="1" spans="2:6">
      <c r="B768" s="11"/>
      <c r="F768" s="19"/>
    </row>
    <row r="769" customHeight="1" spans="2:6">
      <c r="B769" s="11"/>
      <c r="F769" s="19"/>
    </row>
    <row r="770" customHeight="1" spans="2:6">
      <c r="B770" s="11"/>
      <c r="F770" s="19"/>
    </row>
    <row r="771" customHeight="1" spans="2:6">
      <c r="B771" s="11"/>
      <c r="F771" s="19"/>
    </row>
    <row r="772" customHeight="1" spans="2:6">
      <c r="B772" s="11"/>
      <c r="F772" s="19"/>
    </row>
    <row r="773" customHeight="1" spans="2:6">
      <c r="B773" s="11"/>
      <c r="F773" s="19"/>
    </row>
    <row r="774" customHeight="1" spans="2:6">
      <c r="B774" s="11"/>
      <c r="F774" s="19"/>
    </row>
    <row r="775" customHeight="1" spans="2:6">
      <c r="B775" s="11"/>
      <c r="F775" s="19"/>
    </row>
    <row r="776" customHeight="1" spans="2:6">
      <c r="B776" s="11"/>
      <c r="F776" s="19"/>
    </row>
    <row r="777" customHeight="1" spans="2:6">
      <c r="B777" s="11"/>
      <c r="F777" s="19"/>
    </row>
    <row r="778" customHeight="1" spans="2:6">
      <c r="B778" s="11"/>
      <c r="F778" s="19"/>
    </row>
    <row r="779" customHeight="1" spans="2:6">
      <c r="B779" s="11"/>
      <c r="F779" s="19"/>
    </row>
    <row r="780" customHeight="1" spans="2:6">
      <c r="B780" s="11"/>
      <c r="F780" s="19"/>
    </row>
    <row r="781" customHeight="1" spans="2:6">
      <c r="B781" s="11"/>
      <c r="F781" s="19"/>
    </row>
    <row r="782" customHeight="1" spans="2:6">
      <c r="B782" s="11"/>
      <c r="F782" s="19"/>
    </row>
    <row r="783" customHeight="1" spans="2:6">
      <c r="B783" s="11"/>
      <c r="F783" s="19"/>
    </row>
    <row r="784" customHeight="1" spans="2:6">
      <c r="B784" s="11"/>
      <c r="F784" s="19"/>
    </row>
    <row r="785" customHeight="1" spans="2:6">
      <c r="B785" s="11"/>
      <c r="F785" s="19"/>
    </row>
    <row r="786" customHeight="1" spans="2:6">
      <c r="B786" s="11"/>
      <c r="F786" s="19"/>
    </row>
    <row r="787" customHeight="1" spans="2:6">
      <c r="B787" s="11"/>
      <c r="F787" s="19"/>
    </row>
    <row r="788" customHeight="1" spans="2:6">
      <c r="B788" s="11"/>
      <c r="F788" s="19"/>
    </row>
    <row r="789" customHeight="1" spans="2:6">
      <c r="B789" s="11"/>
      <c r="F789" s="19"/>
    </row>
    <row r="790" customHeight="1" spans="2:6">
      <c r="B790" s="11"/>
      <c r="F790" s="19"/>
    </row>
    <row r="791" customHeight="1" spans="2:6">
      <c r="B791" s="11"/>
      <c r="F791" s="19"/>
    </row>
    <row r="792" customHeight="1" spans="2:6">
      <c r="B792" s="11"/>
      <c r="F792" s="19"/>
    </row>
    <row r="793" customHeight="1" spans="2:6">
      <c r="B793" s="11"/>
      <c r="F793" s="19"/>
    </row>
    <row r="794" customHeight="1" spans="2:6">
      <c r="B794" s="11"/>
      <c r="F794" s="19"/>
    </row>
    <row r="795" customHeight="1" spans="2:6">
      <c r="B795" s="11"/>
      <c r="F795" s="19"/>
    </row>
    <row r="796" customHeight="1" spans="2:6">
      <c r="B796" s="11"/>
      <c r="F796" s="19"/>
    </row>
    <row r="797" customHeight="1" spans="2:6">
      <c r="B797" s="11"/>
      <c r="F797" s="19"/>
    </row>
    <row r="798" customHeight="1" spans="2:6">
      <c r="B798" s="11"/>
      <c r="F798" s="19"/>
    </row>
    <row r="799" customHeight="1" spans="2:6">
      <c r="B799" s="11"/>
      <c r="F799" s="19"/>
    </row>
    <row r="800" customHeight="1" spans="2:6">
      <c r="B800" s="11"/>
      <c r="F800" s="19"/>
    </row>
    <row r="801" customHeight="1" spans="2:6">
      <c r="B801" s="11"/>
      <c r="F801" s="19"/>
    </row>
    <row r="802" customHeight="1" spans="2:6">
      <c r="B802" s="11"/>
      <c r="F802" s="19"/>
    </row>
    <row r="803" customHeight="1" spans="2:6">
      <c r="B803" s="11"/>
      <c r="F803" s="19"/>
    </row>
    <row r="804" customHeight="1" spans="2:6">
      <c r="B804" s="11"/>
      <c r="F804" s="19"/>
    </row>
    <row r="805" customHeight="1" spans="2:6">
      <c r="B805" s="11"/>
      <c r="F805" s="19"/>
    </row>
    <row r="806" customHeight="1" spans="2:6">
      <c r="B806" s="11"/>
      <c r="F806" s="19"/>
    </row>
    <row r="807" customHeight="1" spans="2:6">
      <c r="B807" s="11"/>
      <c r="F807" s="19"/>
    </row>
    <row r="808" customHeight="1" spans="2:6">
      <c r="B808" s="11"/>
      <c r="F808" s="19"/>
    </row>
    <row r="809" customHeight="1" spans="2:6">
      <c r="B809" s="11"/>
      <c r="F809" s="19"/>
    </row>
    <row r="810" customHeight="1" spans="2:6">
      <c r="B810" s="11"/>
      <c r="F810" s="19"/>
    </row>
    <row r="811" customHeight="1" spans="2:6">
      <c r="B811" s="11"/>
      <c r="F811" s="19"/>
    </row>
    <row r="812" customHeight="1" spans="2:6">
      <c r="B812" s="11"/>
      <c r="F812" s="19"/>
    </row>
    <row r="813" customHeight="1" spans="2:6">
      <c r="B813" s="11"/>
      <c r="F813" s="19"/>
    </row>
    <row r="814" customHeight="1" spans="2:6">
      <c r="B814" s="11"/>
      <c r="F814" s="19"/>
    </row>
    <row r="815" customHeight="1" spans="2:6">
      <c r="B815" s="11"/>
      <c r="F815" s="19"/>
    </row>
    <row r="816" customHeight="1" spans="2:6">
      <c r="B816" s="11"/>
      <c r="F816" s="19"/>
    </row>
    <row r="817" customHeight="1" spans="2:6">
      <c r="B817" s="11"/>
      <c r="F817" s="19"/>
    </row>
    <row r="818" customHeight="1" spans="2:6">
      <c r="B818" s="11"/>
      <c r="F818" s="19"/>
    </row>
    <row r="819" customHeight="1" spans="2:6">
      <c r="B819" s="11"/>
      <c r="F819" s="19"/>
    </row>
    <row r="820" customHeight="1" spans="2:6">
      <c r="B820" s="11"/>
      <c r="F820" s="19"/>
    </row>
    <row r="821" customHeight="1" spans="2:6">
      <c r="B821" s="11"/>
      <c r="F821" s="19"/>
    </row>
    <row r="822" customHeight="1" spans="2:6">
      <c r="B822" s="11"/>
      <c r="F822" s="19"/>
    </row>
    <row r="823" customHeight="1" spans="2:6">
      <c r="B823" s="11"/>
      <c r="F823" s="19"/>
    </row>
    <row r="824" customHeight="1" spans="2:6">
      <c r="B824" s="11"/>
      <c r="F824" s="19"/>
    </row>
    <row r="825" customHeight="1" spans="2:6">
      <c r="B825" s="11"/>
      <c r="F825" s="19"/>
    </row>
    <row r="826" customHeight="1" spans="2:6">
      <c r="B826" s="11"/>
      <c r="F826" s="19"/>
    </row>
    <row r="827" customHeight="1" spans="2:6">
      <c r="B827" s="11"/>
      <c r="F827" s="19"/>
    </row>
    <row r="828" customHeight="1" spans="2:6">
      <c r="B828" s="11"/>
      <c r="F828" s="19"/>
    </row>
    <row r="829" customHeight="1" spans="2:6">
      <c r="B829" s="11"/>
      <c r="F829" s="19"/>
    </row>
    <row r="830" customHeight="1" spans="2:6">
      <c r="B830" s="11"/>
      <c r="F830" s="19"/>
    </row>
    <row r="831" customHeight="1" spans="2:6">
      <c r="B831" s="11"/>
      <c r="F831" s="19"/>
    </row>
    <row r="832" customHeight="1" spans="2:6">
      <c r="B832" s="11"/>
      <c r="F832" s="19"/>
    </row>
    <row r="833" customHeight="1" spans="2:6">
      <c r="B833" s="11"/>
      <c r="F833" s="19"/>
    </row>
    <row r="834" customHeight="1" spans="2:6">
      <c r="B834" s="11"/>
      <c r="F834" s="19"/>
    </row>
    <row r="835" customHeight="1" spans="2:6">
      <c r="B835" s="11"/>
      <c r="F835" s="19"/>
    </row>
    <row r="836" customHeight="1" spans="2:6">
      <c r="B836" s="11"/>
      <c r="F836" s="19"/>
    </row>
    <row r="837" customHeight="1" spans="2:6">
      <c r="B837" s="11"/>
      <c r="F837" s="19"/>
    </row>
    <row r="838" customHeight="1" spans="2:6">
      <c r="B838" s="11"/>
      <c r="F838" s="19"/>
    </row>
    <row r="839" customHeight="1" spans="2:6">
      <c r="B839" s="11"/>
      <c r="F839" s="19"/>
    </row>
    <row r="840" customHeight="1" spans="2:6">
      <c r="B840" s="11"/>
      <c r="F840" s="19"/>
    </row>
    <row r="841" customHeight="1" spans="2:6">
      <c r="B841" s="11"/>
      <c r="F841" s="19"/>
    </row>
    <row r="842" customHeight="1" spans="2:6">
      <c r="B842" s="11"/>
      <c r="F842" s="19"/>
    </row>
    <row r="843" customHeight="1" spans="2:6">
      <c r="B843" s="11"/>
      <c r="F843" s="19"/>
    </row>
    <row r="844" customHeight="1" spans="2:6">
      <c r="B844" s="11"/>
      <c r="F844" s="19"/>
    </row>
    <row r="845" customHeight="1" spans="2:6">
      <c r="B845" s="11"/>
      <c r="F845" s="19"/>
    </row>
    <row r="846" customHeight="1" spans="2:6">
      <c r="B846" s="11"/>
      <c r="F846" s="19"/>
    </row>
    <row r="847" customHeight="1" spans="2:6">
      <c r="B847" s="11"/>
      <c r="F847" s="19"/>
    </row>
    <row r="848" customHeight="1" spans="2:6">
      <c r="B848" s="11"/>
      <c r="F848" s="19"/>
    </row>
    <row r="849" customHeight="1" spans="2:6">
      <c r="B849" s="11"/>
      <c r="F849" s="19"/>
    </row>
    <row r="850" customHeight="1" spans="2:6">
      <c r="B850" s="11"/>
      <c r="F850" s="19"/>
    </row>
    <row r="851" customHeight="1" spans="2:6">
      <c r="B851" s="11"/>
      <c r="F851" s="19"/>
    </row>
    <row r="852" customHeight="1" spans="2:6">
      <c r="B852" s="11"/>
      <c r="F852" s="19"/>
    </row>
    <row r="853" customHeight="1" spans="2:6">
      <c r="B853" s="11"/>
      <c r="F853" s="19"/>
    </row>
    <row r="854" customHeight="1" spans="2:6">
      <c r="B854" s="11"/>
      <c r="F854" s="19"/>
    </row>
    <row r="855" customHeight="1" spans="2:6">
      <c r="B855" s="11"/>
      <c r="F855" s="19"/>
    </row>
    <row r="856" customHeight="1" spans="2:6">
      <c r="B856" s="11"/>
      <c r="F856" s="19"/>
    </row>
    <row r="857" customHeight="1" spans="2:6">
      <c r="B857" s="11"/>
      <c r="F857" s="19"/>
    </row>
    <row r="858" customHeight="1" spans="2:6">
      <c r="B858" s="11"/>
      <c r="F858" s="19"/>
    </row>
    <row r="859" customHeight="1" spans="2:6">
      <c r="B859" s="11"/>
      <c r="F859" s="19"/>
    </row>
    <row r="860" customHeight="1" spans="2:6">
      <c r="B860" s="11"/>
      <c r="F860" s="19"/>
    </row>
    <row r="861" customHeight="1" spans="2:6">
      <c r="B861" s="11"/>
      <c r="F861" s="19"/>
    </row>
    <row r="862" customHeight="1" spans="2:6">
      <c r="B862" s="11"/>
      <c r="F862" s="19"/>
    </row>
    <row r="863" customHeight="1" spans="2:6">
      <c r="B863" s="11"/>
      <c r="F863" s="19"/>
    </row>
    <row r="864" customHeight="1" spans="2:6">
      <c r="B864" s="11"/>
      <c r="F864" s="19"/>
    </row>
    <row r="865" customHeight="1" spans="2:6">
      <c r="B865" s="11"/>
      <c r="F865" s="19"/>
    </row>
    <row r="866" customHeight="1" spans="2:6">
      <c r="B866" s="11"/>
      <c r="F866" s="19"/>
    </row>
    <row r="867" customHeight="1" spans="2:6">
      <c r="B867" s="11"/>
      <c r="F867" s="19"/>
    </row>
    <row r="868" customHeight="1" spans="2:6">
      <c r="B868" s="11"/>
      <c r="F868" s="19"/>
    </row>
    <row r="869" customHeight="1" spans="2:6">
      <c r="B869" s="11"/>
      <c r="F869" s="19"/>
    </row>
    <row r="870" customHeight="1" spans="2:6">
      <c r="B870" s="11"/>
      <c r="F870" s="19"/>
    </row>
    <row r="871" customHeight="1" spans="2:6">
      <c r="B871" s="11"/>
      <c r="F871" s="19"/>
    </row>
    <row r="872" customHeight="1" spans="2:6">
      <c r="B872" s="11"/>
      <c r="F872" s="19"/>
    </row>
    <row r="873" customHeight="1" spans="2:6">
      <c r="B873" s="11"/>
      <c r="F873" s="19"/>
    </row>
    <row r="874" customHeight="1" spans="2:6">
      <c r="B874" s="11"/>
      <c r="F874" s="19"/>
    </row>
    <row r="875" customHeight="1" spans="2:6">
      <c r="B875" s="11"/>
      <c r="F875" s="19"/>
    </row>
    <row r="876" customHeight="1" spans="2:6">
      <c r="B876" s="11"/>
      <c r="F876" s="19"/>
    </row>
    <row r="877" customHeight="1" spans="2:6">
      <c r="B877" s="11"/>
      <c r="F877" s="19"/>
    </row>
    <row r="878" customHeight="1" spans="2:6">
      <c r="B878" s="11"/>
      <c r="F878" s="19"/>
    </row>
    <row r="879" customHeight="1" spans="2:6">
      <c r="B879" s="11"/>
      <c r="F879" s="19"/>
    </row>
    <row r="880" customHeight="1" spans="2:6">
      <c r="B880" s="11"/>
      <c r="F880" s="19"/>
    </row>
    <row r="881" customHeight="1" spans="2:6">
      <c r="B881" s="11"/>
      <c r="F881" s="19"/>
    </row>
    <row r="882" customHeight="1" spans="2:6">
      <c r="B882" s="11"/>
      <c r="F882" s="19"/>
    </row>
    <row r="883" customHeight="1" spans="2:6">
      <c r="B883" s="11"/>
      <c r="F883" s="19"/>
    </row>
    <row r="884" customHeight="1" spans="2:6">
      <c r="B884" s="11"/>
      <c r="F884" s="19"/>
    </row>
    <row r="885" customHeight="1" spans="2:6">
      <c r="B885" s="11"/>
      <c r="F885" s="19"/>
    </row>
    <row r="886" customHeight="1" spans="2:6">
      <c r="B886" s="11"/>
      <c r="F886" s="19"/>
    </row>
    <row r="887" customHeight="1" spans="2:6">
      <c r="B887" s="11"/>
      <c r="F887" s="19"/>
    </row>
    <row r="888" customHeight="1" spans="2:6">
      <c r="B888" s="11"/>
      <c r="F888" s="19"/>
    </row>
    <row r="889" customHeight="1" spans="2:6">
      <c r="B889" s="11"/>
      <c r="F889" s="19"/>
    </row>
    <row r="890" customHeight="1" spans="2:6">
      <c r="B890" s="11"/>
      <c r="F890" s="19"/>
    </row>
    <row r="891" customHeight="1" spans="2:6">
      <c r="B891" s="11"/>
      <c r="F891" s="19"/>
    </row>
    <row r="892" customHeight="1" spans="2:6">
      <c r="B892" s="11"/>
      <c r="F892" s="19"/>
    </row>
    <row r="893" customHeight="1" spans="2:6">
      <c r="B893" s="11"/>
      <c r="F893" s="19"/>
    </row>
    <row r="894" customHeight="1" spans="2:6">
      <c r="B894" s="11"/>
      <c r="F894" s="19"/>
    </row>
    <row r="895" customHeight="1" spans="2:6">
      <c r="B895" s="11"/>
      <c r="F895" s="19"/>
    </row>
    <row r="896" customHeight="1" spans="2:6">
      <c r="B896" s="11"/>
      <c r="F896" s="19"/>
    </row>
    <row r="897" customHeight="1" spans="2:6">
      <c r="B897" s="11"/>
      <c r="F897" s="19"/>
    </row>
    <row r="898" customHeight="1" spans="2:6">
      <c r="B898" s="11"/>
      <c r="F898" s="19"/>
    </row>
    <row r="899" customHeight="1" spans="2:6">
      <c r="B899" s="11"/>
      <c r="F899" s="19"/>
    </row>
    <row r="900" customHeight="1" spans="2:6">
      <c r="B900" s="11"/>
      <c r="F900" s="19"/>
    </row>
    <row r="901" customHeight="1" spans="2:6">
      <c r="B901" s="11"/>
      <c r="F901" s="19"/>
    </row>
    <row r="902" customHeight="1" spans="2:6">
      <c r="B902" s="11"/>
      <c r="F902" s="19"/>
    </row>
    <row r="903" customHeight="1" spans="2:6">
      <c r="B903" s="11"/>
      <c r="F903" s="19"/>
    </row>
    <row r="904" customHeight="1" spans="2:6">
      <c r="B904" s="11"/>
      <c r="F904" s="19"/>
    </row>
    <row r="905" customHeight="1" spans="2:6">
      <c r="B905" s="11"/>
      <c r="F905" s="19"/>
    </row>
    <row r="906" customHeight="1" spans="2:6">
      <c r="B906" s="11"/>
      <c r="F906" s="19"/>
    </row>
    <row r="907" customHeight="1" spans="2:6">
      <c r="B907" s="11"/>
      <c r="F907" s="19"/>
    </row>
    <row r="908" customHeight="1" spans="2:6">
      <c r="B908" s="11"/>
      <c r="F908" s="19"/>
    </row>
    <row r="909" customHeight="1" spans="2:6">
      <c r="B909" s="11"/>
      <c r="F909" s="19"/>
    </row>
    <row r="910" customHeight="1" spans="2:6">
      <c r="B910" s="11"/>
      <c r="F910" s="19"/>
    </row>
    <row r="911" customHeight="1" spans="2:6">
      <c r="B911" s="11"/>
      <c r="F911" s="19"/>
    </row>
    <row r="912" customHeight="1" spans="2:6">
      <c r="B912" s="11"/>
      <c r="F912" s="19"/>
    </row>
    <row r="913" customHeight="1" spans="2:6">
      <c r="B913" s="11"/>
      <c r="F913" s="19"/>
    </row>
    <row r="914" customHeight="1" spans="2:6">
      <c r="B914" s="11"/>
      <c r="F914" s="19"/>
    </row>
    <row r="915" customHeight="1" spans="2:6">
      <c r="B915" s="11"/>
      <c r="F915" s="19"/>
    </row>
    <row r="916" customHeight="1" spans="2:6">
      <c r="B916" s="11"/>
      <c r="F916" s="19"/>
    </row>
    <row r="917" customHeight="1" spans="2:6">
      <c r="B917" s="11"/>
      <c r="F917" s="19"/>
    </row>
    <row r="918" customHeight="1" spans="2:6">
      <c r="B918" s="11"/>
      <c r="F918" s="19"/>
    </row>
    <row r="919" customHeight="1" spans="2:6">
      <c r="B919" s="11"/>
      <c r="F919" s="19"/>
    </row>
    <row r="920" customHeight="1" spans="2:6">
      <c r="B920" s="11"/>
      <c r="F920" s="19"/>
    </row>
    <row r="921" customHeight="1" spans="2:6">
      <c r="B921" s="11"/>
      <c r="F921" s="19"/>
    </row>
    <row r="922" customHeight="1" spans="2:6">
      <c r="B922" s="11"/>
      <c r="F922" s="19"/>
    </row>
    <row r="923" customHeight="1" spans="2:6">
      <c r="B923" s="11"/>
      <c r="F923" s="19"/>
    </row>
    <row r="924" customHeight="1" spans="2:6">
      <c r="B924" s="11"/>
      <c r="F924" s="19"/>
    </row>
    <row r="925" customHeight="1" spans="2:6">
      <c r="B925" s="11"/>
      <c r="F925" s="19"/>
    </row>
    <row r="926" customHeight="1" spans="2:6">
      <c r="B926" s="11"/>
      <c r="F926" s="19"/>
    </row>
    <row r="927" customHeight="1" spans="2:6">
      <c r="B927" s="11"/>
      <c r="F927" s="19"/>
    </row>
    <row r="928" customHeight="1" spans="2:6">
      <c r="B928" s="11"/>
      <c r="F928" s="19"/>
    </row>
    <row r="929" customHeight="1" spans="2:6">
      <c r="B929" s="11"/>
      <c r="F929" s="19"/>
    </row>
    <row r="930" customHeight="1" spans="2:6">
      <c r="B930" s="11"/>
      <c r="F930" s="19"/>
    </row>
    <row r="931" customHeight="1" spans="2:6">
      <c r="B931" s="11"/>
      <c r="F931" s="19"/>
    </row>
    <row r="932" customHeight="1" spans="2:6">
      <c r="B932" s="11"/>
      <c r="F932" s="19"/>
    </row>
    <row r="933" customHeight="1" spans="2:6">
      <c r="B933" s="11"/>
      <c r="F933" s="19"/>
    </row>
    <row r="934" customHeight="1" spans="2:6">
      <c r="B934" s="11"/>
      <c r="F934" s="19"/>
    </row>
    <row r="935" customHeight="1" spans="2:6">
      <c r="B935" s="11"/>
      <c r="F935" s="19"/>
    </row>
    <row r="936" customHeight="1" spans="2:6">
      <c r="B936" s="11"/>
      <c r="F936" s="19"/>
    </row>
    <row r="937" customHeight="1" spans="2:6">
      <c r="B937" s="11"/>
      <c r="F937" s="19"/>
    </row>
    <row r="938" customHeight="1" spans="2:6">
      <c r="B938" s="11"/>
      <c r="F938" s="19"/>
    </row>
    <row r="939" customHeight="1" spans="2:6">
      <c r="B939" s="11"/>
      <c r="F939" s="19"/>
    </row>
    <row r="940" customHeight="1" spans="2:6">
      <c r="B940" s="11"/>
      <c r="F940" s="19"/>
    </row>
    <row r="941" customHeight="1" spans="2:6">
      <c r="B941" s="11"/>
      <c r="F941" s="19"/>
    </row>
    <row r="942" customHeight="1" spans="2:6">
      <c r="B942" s="11"/>
      <c r="F942" s="19"/>
    </row>
    <row r="943" customHeight="1" spans="2:6">
      <c r="B943" s="11"/>
      <c r="F943" s="19"/>
    </row>
    <row r="944" customHeight="1" spans="2:6">
      <c r="B944" s="11"/>
      <c r="F944" s="19"/>
    </row>
    <row r="945" customHeight="1" spans="2:6">
      <c r="B945" s="11"/>
      <c r="F945" s="19"/>
    </row>
    <row r="946" customHeight="1" spans="2:6">
      <c r="B946" s="11"/>
      <c r="F946" s="19"/>
    </row>
    <row r="947" customHeight="1" spans="2:6">
      <c r="B947" s="11"/>
      <c r="F947" s="19"/>
    </row>
    <row r="948" customHeight="1" spans="2:6">
      <c r="B948" s="11"/>
      <c r="F948" s="19"/>
    </row>
    <row r="949" customHeight="1" spans="2:6">
      <c r="B949" s="11"/>
      <c r="F949" s="19"/>
    </row>
    <row r="950" customHeight="1" spans="2:6">
      <c r="B950" s="11"/>
      <c r="F950" s="19"/>
    </row>
    <row r="951" customHeight="1" spans="2:6">
      <c r="B951" s="11"/>
      <c r="F951" s="19"/>
    </row>
    <row r="952" customHeight="1" spans="2:6">
      <c r="B952" s="11"/>
      <c r="F952" s="19"/>
    </row>
    <row r="953" customHeight="1" spans="2:6">
      <c r="B953" s="11"/>
      <c r="F953" s="19"/>
    </row>
    <row r="954" customHeight="1" spans="2:6">
      <c r="B954" s="11"/>
      <c r="F954" s="19"/>
    </row>
    <row r="955" customHeight="1" spans="2:6">
      <c r="B955" s="11"/>
      <c r="F955" s="19"/>
    </row>
    <row r="956" customHeight="1" spans="2:6">
      <c r="B956" s="11"/>
      <c r="F956" s="19"/>
    </row>
    <row r="957" customHeight="1" spans="2:6">
      <c r="B957" s="11"/>
      <c r="F957" s="19"/>
    </row>
    <row r="958" customHeight="1" spans="2:6">
      <c r="B958" s="11"/>
      <c r="F958" s="19"/>
    </row>
    <row r="959" customHeight="1" spans="2:6">
      <c r="B959" s="11"/>
      <c r="F959" s="19"/>
    </row>
    <row r="960" customHeight="1" spans="2:6">
      <c r="B960" s="11"/>
      <c r="F960" s="19"/>
    </row>
    <row r="961" customHeight="1" spans="2:6">
      <c r="B961" s="11"/>
      <c r="F961" s="19"/>
    </row>
    <row r="962" customHeight="1" spans="2:6">
      <c r="B962" s="11"/>
      <c r="F962" s="19"/>
    </row>
    <row r="963" customHeight="1" spans="2:6">
      <c r="B963" s="11"/>
      <c r="F963" s="19"/>
    </row>
    <row r="964" customHeight="1" spans="2:6">
      <c r="B964" s="11"/>
      <c r="F964" s="19"/>
    </row>
    <row r="965" customHeight="1" spans="2:6">
      <c r="B965" s="11"/>
      <c r="F965" s="19"/>
    </row>
    <row r="966" customHeight="1" spans="2:6">
      <c r="B966" s="11"/>
      <c r="F966" s="19"/>
    </row>
    <row r="967" customHeight="1" spans="2:6">
      <c r="B967" s="11"/>
      <c r="F967" s="19"/>
    </row>
    <row r="968" customHeight="1" spans="2:6">
      <c r="B968" s="11"/>
      <c r="F968" s="19"/>
    </row>
    <row r="969" customHeight="1" spans="2:6">
      <c r="B969" s="11"/>
      <c r="F969" s="19"/>
    </row>
    <row r="970" customHeight="1" spans="2:6">
      <c r="B970" s="11"/>
      <c r="F970" s="19"/>
    </row>
    <row r="971" customHeight="1" spans="2:6">
      <c r="B971" s="11"/>
      <c r="F971" s="19"/>
    </row>
    <row r="972" customHeight="1" spans="2:6">
      <c r="B972" s="11"/>
      <c r="F972" s="19"/>
    </row>
    <row r="973" customHeight="1" spans="2:6">
      <c r="B973" s="11"/>
      <c r="F973" s="19"/>
    </row>
    <row r="974" customHeight="1" spans="2:6">
      <c r="B974" s="11"/>
      <c r="F974" s="19"/>
    </row>
    <row r="975" customHeight="1" spans="2:6">
      <c r="B975" s="11"/>
      <c r="F975" s="19"/>
    </row>
    <row r="976" customHeight="1" spans="2:6">
      <c r="B976" s="11"/>
      <c r="F976" s="19"/>
    </row>
    <row r="977" customHeight="1" spans="2:6">
      <c r="B977" s="11"/>
      <c r="F977" s="19"/>
    </row>
    <row r="978" customHeight="1" spans="2:6">
      <c r="B978" s="11"/>
      <c r="F978" s="19"/>
    </row>
    <row r="979" customHeight="1" spans="2:6">
      <c r="B979" s="11"/>
      <c r="F979" s="19"/>
    </row>
    <row r="980" customHeight="1" spans="2:6">
      <c r="B980" s="11"/>
      <c r="F980" s="19"/>
    </row>
    <row r="981" customHeight="1" spans="2:6">
      <c r="B981" s="11"/>
      <c r="F981" s="19"/>
    </row>
    <row r="982" customHeight="1" spans="2:6">
      <c r="B982" s="11"/>
      <c r="F982" s="19"/>
    </row>
    <row r="983" customHeight="1" spans="2:6">
      <c r="B983" s="11"/>
      <c r="F983" s="19"/>
    </row>
    <row r="984" customHeight="1" spans="2:6">
      <c r="B984" s="11"/>
      <c r="F984" s="19"/>
    </row>
    <row r="985" customHeight="1" spans="2:6">
      <c r="B985" s="11"/>
      <c r="F985" s="19"/>
    </row>
    <row r="986" customHeight="1" spans="2:6">
      <c r="B986" s="11"/>
      <c r="F986" s="19"/>
    </row>
    <row r="987" customHeight="1" spans="2:6">
      <c r="B987" s="11"/>
      <c r="F987" s="19"/>
    </row>
    <row r="988" customHeight="1" spans="2:6">
      <c r="B988" s="11"/>
      <c r="F988" s="19"/>
    </row>
    <row r="989" customHeight="1" spans="2:6">
      <c r="B989" s="11"/>
      <c r="F989" s="19"/>
    </row>
    <row r="990" customHeight="1" spans="2:6">
      <c r="B990" s="11"/>
      <c r="F990" s="19"/>
    </row>
    <row r="991" customHeight="1" spans="2:6">
      <c r="B991" s="11"/>
      <c r="F991" s="19"/>
    </row>
    <row r="992" customHeight="1" spans="2:6">
      <c r="B992" s="11"/>
      <c r="F992" s="19"/>
    </row>
    <row r="993" customHeight="1" spans="2:6">
      <c r="B993" s="11"/>
      <c r="F993" s="19"/>
    </row>
    <row r="994" customHeight="1" spans="2:6">
      <c r="B994" s="11"/>
      <c r="F994" s="19"/>
    </row>
    <row r="995" customHeight="1" spans="2:6">
      <c r="B995" s="11"/>
      <c r="F995" s="19"/>
    </row>
    <row r="996" customHeight="1" spans="2:6">
      <c r="B996" s="11"/>
      <c r="F996" s="19"/>
    </row>
    <row r="997" customHeight="1" spans="2:6">
      <c r="B997" s="11"/>
      <c r="F997" s="19"/>
    </row>
    <row r="998" customHeight="1" spans="2:6">
      <c r="B998" s="11"/>
      <c r="F998" s="19"/>
    </row>
    <row r="999" customHeight="1" spans="2:6">
      <c r="B999" s="11"/>
      <c r="F999" s="19"/>
    </row>
    <row r="1000" customHeight="1" spans="2:6">
      <c r="B1000" s="11"/>
      <c r="F1000" s="19"/>
    </row>
    <row r="1001" customHeight="1" spans="2:6">
      <c r="B1001" s="11"/>
      <c r="F1001" s="19"/>
    </row>
    <row r="1002" customHeight="1" spans="2:6">
      <c r="B1002" s="11"/>
      <c r="F1002" s="19"/>
    </row>
  </sheetData>
  <mergeCells count="2">
    <mergeCell ref="A2:B2"/>
    <mergeCell ref="A3:B3"/>
  </mergeCells>
  <hyperlinks>
    <hyperlink ref="B4" r:id="rId1" display="https://chat.brainyresolution.com/live/oSaHuaaqWPCwu9XH6"/>
    <hyperlink ref="B5" r:id="rId2" display="https://chat.brainyresolution.com/omnichannel-directory/chats/info/kawrWMHt9gdgnMpc8"/>
    <hyperlink ref="B6" r:id="rId3" display="https://chat.brainyresolution.com/live/eMevErRXvJJBeEN7H/room-info"/>
    <hyperlink ref="B7" r:id="rId4" display="https://chat.brainyresolution.com/live/RHHQobYjnMYfZsnSh"/>
    <hyperlink ref="B8" r:id="rId5" display="https://chat.brainyresolution.com/live/R4EejqGt6QdCLvade/user-info"/>
    <hyperlink ref="B9" r:id="rId6" display="https://chat.brainyresolution.com/live/sg2dcgrXH7yS9sL2a/room-info"/>
    <hyperlink ref="B10" r:id="rId7" display="https://chat.brainyresolution.com/live/hQujBEk7zZsnQY6M8/user-info"/>
    <hyperlink ref="B11" r:id="rId8" display="https://chat.brainyresolution.com/live/3x4FdDqutXMZ3mzLX"/>
    <hyperlink ref="B12" r:id="rId9" display="https://chat.brainyresolution.com/live/BZuS5rFFnzPGWhJtv/room-info"/>
    <hyperlink ref="B13" r:id="rId10" display="https://chat.brainyresolution.com/live/SzRui2rJbkkG4qYcP/room-info"/>
    <hyperlink ref="B14" r:id="rId11" display="https://chat.brainyresolution.com/live/ZwvRgQfTJNn8GmhwN/room-info"/>
    <hyperlink ref="B15" r:id="rId12" display="https://chat.brainyresolution.com/live/2rjPWWhBiQ2LyudK5/room-info"/>
    <hyperlink ref="B16" r:id="rId13" display="https://chat.brainyresolution.com/live/fNXmckNHagPq5LMA8/room-info"/>
    <hyperlink ref="B17" r:id="rId14" display="https://chat.brainyresolution.com/omnichannel-directory/chats/view/toynxpAG5WS8kcDLn/room-info"/>
  </hyperlinks>
  <pageMargins left="0.511811024" right="0.511811024" top="0.787401575" bottom="0.787401575" header="0.31496062" footer="0.31496062"/>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J1000"/>
  <sheetViews>
    <sheetView workbookViewId="0">
      <selection activeCell="A1" sqref="A1"/>
    </sheetView>
  </sheetViews>
  <sheetFormatPr defaultColWidth="12.5727272727273" defaultRowHeight="15.75" customHeight="1"/>
  <cols>
    <col min="1" max="1" width="4" customWidth="1"/>
    <col min="14" max="17" width="12.1363636363636" customWidth="1"/>
    <col min="18" max="19" width="32.2818181818182" customWidth="1"/>
    <col min="20" max="20" width="17.7090909090909" customWidth="1"/>
    <col min="21" max="21" width="18.8545454545455" customWidth="1"/>
    <col min="22" max="22" width="27.8545454545455" customWidth="1"/>
  </cols>
  <sheetData>
    <row r="1" ht="31.5" customHeight="1" spans="1:36">
      <c r="A1" s="1" t="s">
        <v>6698</v>
      </c>
      <c r="B1" s="1" t="s">
        <v>6699</v>
      </c>
      <c r="C1" s="1" t="s">
        <v>6700</v>
      </c>
      <c r="D1" s="1" t="s">
        <v>6701</v>
      </c>
      <c r="E1" s="2" t="s">
        <v>2</v>
      </c>
      <c r="F1" s="2" t="s">
        <v>3</v>
      </c>
      <c r="G1" s="2" t="s">
        <v>1</v>
      </c>
      <c r="H1" s="3" t="s">
        <v>6702</v>
      </c>
      <c r="I1" s="2" t="s">
        <v>6703</v>
      </c>
      <c r="J1" s="2" t="s">
        <v>6704</v>
      </c>
      <c r="K1" s="2" t="s">
        <v>6705</v>
      </c>
      <c r="L1" s="2" t="s">
        <v>6706</v>
      </c>
      <c r="M1" s="2" t="s">
        <v>6707</v>
      </c>
      <c r="N1" s="2" t="s">
        <v>6708</v>
      </c>
      <c r="O1" s="2" t="s">
        <v>6709</v>
      </c>
      <c r="P1" s="2" t="s">
        <v>6710</v>
      </c>
      <c r="Q1" s="2" t="s">
        <v>6711</v>
      </c>
      <c r="R1" s="7" t="s">
        <v>6712</v>
      </c>
      <c r="S1" s="7" t="s">
        <v>6713</v>
      </c>
      <c r="T1" s="7" t="s">
        <v>27</v>
      </c>
      <c r="U1" s="7" t="s">
        <v>6714</v>
      </c>
      <c r="V1" s="7" t="s">
        <v>6715</v>
      </c>
      <c r="W1" s="8"/>
      <c r="X1" s="8" t="s">
        <v>6716</v>
      </c>
      <c r="Y1" s="12"/>
      <c r="Z1" s="8"/>
      <c r="AA1" s="8" t="s">
        <v>6717</v>
      </c>
      <c r="AB1" s="8"/>
      <c r="AC1" s="8"/>
      <c r="AD1" s="8"/>
      <c r="AE1" s="8"/>
      <c r="AF1" s="8"/>
      <c r="AG1" s="8"/>
      <c r="AH1" s="8"/>
      <c r="AI1" s="8"/>
      <c r="AJ1" s="8"/>
    </row>
    <row r="2" ht="12.5" spans="1:24">
      <c r="A2" s="4">
        <v>1</v>
      </c>
      <c r="B2" s="4"/>
      <c r="C2" s="4"/>
      <c r="D2" s="4" t="s">
        <v>6718</v>
      </c>
      <c r="E2" s="5"/>
      <c r="F2" s="5"/>
      <c r="G2" s="5"/>
      <c r="H2" s="5"/>
      <c r="I2" s="5"/>
      <c r="J2" s="5"/>
      <c r="K2" s="5"/>
      <c r="L2" s="5"/>
      <c r="M2" s="6">
        <v>44563</v>
      </c>
      <c r="N2" s="5" t="s">
        <v>6719</v>
      </c>
      <c r="O2" s="5" t="s">
        <v>6720</v>
      </c>
      <c r="P2" s="5" t="s">
        <v>6721</v>
      </c>
      <c r="Q2" s="5" t="s">
        <v>6722</v>
      </c>
      <c r="R2" s="9"/>
      <c r="S2" s="9"/>
      <c r="T2" s="10" t="s">
        <v>6723</v>
      </c>
      <c r="U2" s="9" t="s">
        <v>6724</v>
      </c>
      <c r="V2" s="9"/>
      <c r="X2" s="11" t="s">
        <v>6725</v>
      </c>
    </row>
    <row r="3" ht="12.5" spans="1:24">
      <c r="A3" s="4">
        <v>2</v>
      </c>
      <c r="B3" s="4"/>
      <c r="C3" s="4"/>
      <c r="D3" s="4"/>
      <c r="E3" s="5"/>
      <c r="F3" s="5"/>
      <c r="G3" s="5"/>
      <c r="H3" s="5"/>
      <c r="I3" s="5"/>
      <c r="J3" s="5"/>
      <c r="K3" s="5"/>
      <c r="L3" s="5"/>
      <c r="M3" s="6">
        <v>44594</v>
      </c>
      <c r="N3" s="5" t="s">
        <v>6726</v>
      </c>
      <c r="O3" s="5"/>
      <c r="P3" s="5"/>
      <c r="Q3" s="5"/>
      <c r="R3" s="9"/>
      <c r="S3" s="9"/>
      <c r="T3" s="10"/>
      <c r="U3" s="9" t="s">
        <v>6727</v>
      </c>
      <c r="V3" s="9"/>
      <c r="X3" s="11" t="s">
        <v>6721</v>
      </c>
    </row>
    <row r="4" ht="12.5" spans="1:24">
      <c r="A4" s="4">
        <v>3</v>
      </c>
      <c r="B4" s="4"/>
      <c r="C4" s="4"/>
      <c r="D4" s="4"/>
      <c r="E4" s="5"/>
      <c r="F4" s="5"/>
      <c r="G4" s="5"/>
      <c r="H4" s="5"/>
      <c r="I4" s="5"/>
      <c r="J4" s="5"/>
      <c r="K4" s="5"/>
      <c r="L4" s="5"/>
      <c r="M4" s="6">
        <v>44622</v>
      </c>
      <c r="N4" s="5" t="s">
        <v>6728</v>
      </c>
      <c r="O4" s="5"/>
      <c r="P4" s="5"/>
      <c r="Q4" s="5"/>
      <c r="R4" s="9"/>
      <c r="S4" s="9"/>
      <c r="T4" s="10"/>
      <c r="U4" s="9" t="s">
        <v>6729</v>
      </c>
      <c r="V4" s="9"/>
      <c r="X4" s="11" t="s">
        <v>6722</v>
      </c>
    </row>
    <row r="5" ht="12.5" spans="1:24">
      <c r="A5" s="4">
        <v>4</v>
      </c>
      <c r="B5" s="4"/>
      <c r="C5" s="4"/>
      <c r="D5" s="4"/>
      <c r="E5" s="5"/>
      <c r="F5" s="5"/>
      <c r="G5" s="5"/>
      <c r="H5" s="5"/>
      <c r="I5" s="5"/>
      <c r="J5" s="5"/>
      <c r="K5" s="5"/>
      <c r="L5" s="5"/>
      <c r="M5" s="5"/>
      <c r="N5" s="5" t="s">
        <v>2507</v>
      </c>
      <c r="O5" s="5"/>
      <c r="P5" s="5"/>
      <c r="Q5" s="5"/>
      <c r="R5" s="9"/>
      <c r="S5" s="9"/>
      <c r="T5" s="10"/>
      <c r="U5" s="9" t="s">
        <v>6730</v>
      </c>
      <c r="V5" s="9"/>
      <c r="X5" s="11" t="s">
        <v>6731</v>
      </c>
    </row>
    <row r="6" ht="12.5" spans="1:24">
      <c r="A6" s="4">
        <v>5</v>
      </c>
      <c r="B6" s="4"/>
      <c r="C6" s="4"/>
      <c r="D6" s="4"/>
      <c r="E6" s="5"/>
      <c r="F6" s="5"/>
      <c r="G6" s="5"/>
      <c r="H6" s="5"/>
      <c r="I6" s="5"/>
      <c r="J6" s="5"/>
      <c r="K6" s="5"/>
      <c r="L6" s="5"/>
      <c r="M6" s="5"/>
      <c r="N6" s="5"/>
      <c r="O6" s="5"/>
      <c r="P6" s="5"/>
      <c r="Q6" s="5"/>
      <c r="R6" s="9"/>
      <c r="S6" s="9"/>
      <c r="T6" s="10"/>
      <c r="U6" s="9"/>
      <c r="V6" s="9"/>
      <c r="X6" s="11" t="s">
        <v>6732</v>
      </c>
    </row>
    <row r="7" ht="12.5" spans="1:24">
      <c r="A7" s="4">
        <v>6</v>
      </c>
      <c r="B7" s="4"/>
      <c r="C7" s="4"/>
      <c r="D7" s="4"/>
      <c r="E7" s="5"/>
      <c r="F7" s="5"/>
      <c r="G7" s="5"/>
      <c r="H7" s="5"/>
      <c r="I7" s="5"/>
      <c r="J7" s="5"/>
      <c r="K7" s="5"/>
      <c r="L7" s="5"/>
      <c r="M7" s="5"/>
      <c r="N7" s="5"/>
      <c r="O7" s="5"/>
      <c r="P7" s="5"/>
      <c r="Q7" s="5"/>
      <c r="R7" s="9"/>
      <c r="S7" s="9"/>
      <c r="T7" s="10"/>
      <c r="U7" s="9"/>
      <c r="V7" s="9"/>
      <c r="X7" s="11" t="s">
        <v>6733</v>
      </c>
    </row>
    <row r="8" ht="12.5" spans="1:24">
      <c r="A8" s="4">
        <v>7</v>
      </c>
      <c r="B8" s="4"/>
      <c r="C8" s="4"/>
      <c r="D8" s="4"/>
      <c r="E8" s="5"/>
      <c r="F8" s="5"/>
      <c r="G8" s="5"/>
      <c r="H8" s="5"/>
      <c r="I8" s="5"/>
      <c r="J8" s="5"/>
      <c r="K8" s="5"/>
      <c r="L8" s="5"/>
      <c r="M8" s="5"/>
      <c r="N8" s="5"/>
      <c r="O8" s="5"/>
      <c r="P8" s="5"/>
      <c r="Q8" s="5"/>
      <c r="R8" s="9"/>
      <c r="S8" s="9"/>
      <c r="T8" s="10"/>
      <c r="U8" s="9"/>
      <c r="V8" s="9"/>
      <c r="X8" s="11" t="s">
        <v>6734</v>
      </c>
    </row>
    <row r="9" ht="12.5" spans="1:22">
      <c r="A9" s="4">
        <v>8</v>
      </c>
      <c r="B9" s="4"/>
      <c r="C9" s="4"/>
      <c r="D9" s="4"/>
      <c r="E9" s="5"/>
      <c r="F9" s="5"/>
      <c r="G9" s="5"/>
      <c r="H9" s="5"/>
      <c r="I9" s="5"/>
      <c r="J9" s="5"/>
      <c r="K9" s="5"/>
      <c r="L9" s="5"/>
      <c r="M9" s="5"/>
      <c r="N9" s="5"/>
      <c r="O9" s="5"/>
      <c r="P9" s="5"/>
      <c r="Q9" s="5"/>
      <c r="R9" s="9"/>
      <c r="S9" s="9"/>
      <c r="T9" s="10"/>
      <c r="U9" s="9"/>
      <c r="V9" s="9"/>
    </row>
    <row r="10" ht="12.5" spans="1:22">
      <c r="A10" s="4">
        <v>9</v>
      </c>
      <c r="B10" s="4"/>
      <c r="C10" s="4"/>
      <c r="D10" s="4"/>
      <c r="E10" s="5"/>
      <c r="F10" s="5"/>
      <c r="G10" s="5"/>
      <c r="H10" s="5"/>
      <c r="I10" s="5"/>
      <c r="J10" s="5"/>
      <c r="K10" s="5"/>
      <c r="L10" s="5"/>
      <c r="M10" s="5"/>
      <c r="N10" s="5"/>
      <c r="O10" s="5"/>
      <c r="P10" s="5"/>
      <c r="Q10" s="5"/>
      <c r="R10" s="9"/>
      <c r="S10" s="9"/>
      <c r="T10" s="10"/>
      <c r="U10" s="9"/>
      <c r="V10" s="9"/>
    </row>
    <row r="11" ht="12.5" spans="1:22">
      <c r="A11" s="4">
        <v>10</v>
      </c>
      <c r="B11" s="4"/>
      <c r="C11" s="4"/>
      <c r="D11" s="4"/>
      <c r="E11" s="5"/>
      <c r="F11" s="5"/>
      <c r="G11" s="5"/>
      <c r="H11" s="5"/>
      <c r="I11" s="5"/>
      <c r="J11" s="5"/>
      <c r="K11" s="5"/>
      <c r="L11" s="5"/>
      <c r="M11" s="5"/>
      <c r="N11" s="5"/>
      <c r="O11" s="5"/>
      <c r="P11" s="5"/>
      <c r="Q11" s="5"/>
      <c r="R11" s="9"/>
      <c r="S11" s="9"/>
      <c r="T11" s="10"/>
      <c r="U11" s="9"/>
      <c r="V11" s="9"/>
    </row>
    <row r="12" ht="12.5" spans="1:22">
      <c r="A12" s="4">
        <v>11</v>
      </c>
      <c r="B12" s="4"/>
      <c r="C12" s="4"/>
      <c r="D12" s="4"/>
      <c r="E12" s="5"/>
      <c r="F12" s="5"/>
      <c r="G12" s="5"/>
      <c r="H12" s="5"/>
      <c r="I12" s="5"/>
      <c r="J12" s="5"/>
      <c r="K12" s="5"/>
      <c r="L12" s="5"/>
      <c r="M12" s="5"/>
      <c r="N12" s="5"/>
      <c r="O12" s="5"/>
      <c r="P12" s="5"/>
      <c r="Q12" s="5"/>
      <c r="R12" s="9"/>
      <c r="S12" s="9"/>
      <c r="T12" s="10"/>
      <c r="U12" s="9"/>
      <c r="V12" s="9"/>
    </row>
    <row r="13" ht="12.5" spans="1:22">
      <c r="A13" s="4">
        <v>12</v>
      </c>
      <c r="B13" s="4"/>
      <c r="C13" s="4"/>
      <c r="D13" s="4"/>
      <c r="E13" s="5"/>
      <c r="F13" s="5"/>
      <c r="G13" s="5"/>
      <c r="H13" s="5"/>
      <c r="I13" s="5"/>
      <c r="J13" s="5"/>
      <c r="K13" s="5"/>
      <c r="L13" s="5"/>
      <c r="M13" s="5"/>
      <c r="N13" s="5"/>
      <c r="O13" s="5"/>
      <c r="P13" s="5"/>
      <c r="Q13" s="5"/>
      <c r="R13" s="9"/>
      <c r="S13" s="9"/>
      <c r="T13" s="10"/>
      <c r="U13" s="9"/>
      <c r="V13" s="9"/>
    </row>
    <row r="14" ht="12.5" spans="1:22">
      <c r="A14" s="4">
        <v>13</v>
      </c>
      <c r="B14" s="4"/>
      <c r="C14" s="4"/>
      <c r="D14" s="4"/>
      <c r="E14" s="5"/>
      <c r="F14" s="5"/>
      <c r="G14" s="5"/>
      <c r="H14" s="5"/>
      <c r="I14" s="5"/>
      <c r="J14" s="5"/>
      <c r="K14" s="5"/>
      <c r="L14" s="5"/>
      <c r="M14" s="5"/>
      <c r="N14" s="5"/>
      <c r="O14" s="5"/>
      <c r="P14" s="5"/>
      <c r="Q14" s="5"/>
      <c r="R14" s="9"/>
      <c r="S14" s="9"/>
      <c r="T14" s="10"/>
      <c r="U14" s="9"/>
      <c r="V14" s="9"/>
    </row>
    <row r="15" ht="12.5" spans="1:22">
      <c r="A15" s="4">
        <v>14</v>
      </c>
      <c r="B15" s="4"/>
      <c r="C15" s="4"/>
      <c r="D15" s="4"/>
      <c r="E15" s="5"/>
      <c r="F15" s="5"/>
      <c r="G15" s="5"/>
      <c r="H15" s="5"/>
      <c r="I15" s="5"/>
      <c r="J15" s="5"/>
      <c r="K15" s="5"/>
      <c r="L15" s="5"/>
      <c r="M15" s="5"/>
      <c r="N15" s="5"/>
      <c r="O15" s="5"/>
      <c r="P15" s="5"/>
      <c r="Q15" s="5"/>
      <c r="R15" s="9"/>
      <c r="S15" s="9"/>
      <c r="T15" s="10"/>
      <c r="U15" s="9"/>
      <c r="V15" s="9"/>
    </row>
    <row r="16" ht="12.5" spans="1:22">
      <c r="A16" s="4">
        <v>15</v>
      </c>
      <c r="B16" s="4"/>
      <c r="C16" s="4"/>
      <c r="D16" s="4"/>
      <c r="E16" s="5"/>
      <c r="F16" s="5"/>
      <c r="G16" s="5"/>
      <c r="H16" s="5"/>
      <c r="I16" s="5"/>
      <c r="J16" s="5"/>
      <c r="K16" s="5"/>
      <c r="L16" s="5"/>
      <c r="M16" s="5"/>
      <c r="N16" s="5"/>
      <c r="O16" s="5"/>
      <c r="P16" s="5"/>
      <c r="Q16" s="5"/>
      <c r="R16" s="9"/>
      <c r="S16" s="9"/>
      <c r="T16" s="10"/>
      <c r="U16" s="9"/>
      <c r="V16" s="9"/>
    </row>
    <row r="17" ht="12.5" spans="1:22">
      <c r="A17" s="4">
        <v>16</v>
      </c>
      <c r="B17" s="4"/>
      <c r="C17" s="4"/>
      <c r="D17" s="4"/>
      <c r="E17" s="5"/>
      <c r="F17" s="5"/>
      <c r="G17" s="5"/>
      <c r="H17" s="5"/>
      <c r="I17" s="5"/>
      <c r="J17" s="5"/>
      <c r="K17" s="5"/>
      <c r="L17" s="5"/>
      <c r="M17" s="5"/>
      <c r="N17" s="5"/>
      <c r="O17" s="5"/>
      <c r="P17" s="5"/>
      <c r="Q17" s="5"/>
      <c r="R17" s="9"/>
      <c r="S17" s="9"/>
      <c r="T17" s="10"/>
      <c r="U17" s="9"/>
      <c r="V17" s="9"/>
    </row>
    <row r="18" ht="12.5" spans="1:22">
      <c r="A18" s="4">
        <v>17</v>
      </c>
      <c r="B18" s="4"/>
      <c r="C18" s="4"/>
      <c r="D18" s="4"/>
      <c r="E18" s="5"/>
      <c r="F18" s="5"/>
      <c r="G18" s="5"/>
      <c r="H18" s="5"/>
      <c r="I18" s="5"/>
      <c r="J18" s="5"/>
      <c r="K18" s="5"/>
      <c r="L18" s="5"/>
      <c r="M18" s="5"/>
      <c r="N18" s="5"/>
      <c r="O18" s="5"/>
      <c r="P18" s="5"/>
      <c r="Q18" s="5"/>
      <c r="R18" s="9"/>
      <c r="S18" s="9"/>
      <c r="T18" s="10"/>
      <c r="U18" s="9"/>
      <c r="V18" s="9"/>
    </row>
    <row r="19" ht="12.5" spans="1:22">
      <c r="A19" s="4">
        <v>18</v>
      </c>
      <c r="B19" s="4"/>
      <c r="C19" s="4"/>
      <c r="D19" s="4"/>
      <c r="E19" s="5"/>
      <c r="F19" s="5"/>
      <c r="G19" s="5"/>
      <c r="H19" s="5"/>
      <c r="I19" s="5"/>
      <c r="J19" s="5"/>
      <c r="K19" s="5"/>
      <c r="L19" s="5"/>
      <c r="M19" s="5"/>
      <c r="N19" s="5"/>
      <c r="O19" s="5"/>
      <c r="P19" s="5"/>
      <c r="Q19" s="5"/>
      <c r="R19" s="9"/>
      <c r="S19" s="9"/>
      <c r="T19" s="10"/>
      <c r="U19" s="9"/>
      <c r="V19" s="9"/>
    </row>
    <row r="20" ht="12.5" spans="1:22">
      <c r="A20" s="4">
        <v>19</v>
      </c>
      <c r="B20" s="4"/>
      <c r="C20" s="4"/>
      <c r="D20" s="4"/>
      <c r="E20" s="5"/>
      <c r="F20" s="5"/>
      <c r="G20" s="5"/>
      <c r="H20" s="5"/>
      <c r="I20" s="5"/>
      <c r="J20" s="5"/>
      <c r="K20" s="5"/>
      <c r="L20" s="5"/>
      <c r="M20" s="5"/>
      <c r="N20" s="5"/>
      <c r="O20" s="5"/>
      <c r="P20" s="5"/>
      <c r="Q20" s="5"/>
      <c r="R20" s="9"/>
      <c r="S20" s="9"/>
      <c r="T20" s="10"/>
      <c r="U20" s="9"/>
      <c r="V20" s="9"/>
    </row>
    <row r="21" ht="12.5" spans="1:22">
      <c r="A21" s="4"/>
      <c r="B21" s="4"/>
      <c r="C21" s="4"/>
      <c r="D21" s="4"/>
      <c r="E21" s="5"/>
      <c r="F21" s="5"/>
      <c r="G21" s="5"/>
      <c r="H21" s="5"/>
      <c r="I21" s="5"/>
      <c r="J21" s="5"/>
      <c r="K21" s="5"/>
      <c r="L21" s="5"/>
      <c r="M21" s="5"/>
      <c r="N21" s="5"/>
      <c r="O21" s="5"/>
      <c r="P21" s="5"/>
      <c r="Q21" s="5"/>
      <c r="R21" s="9"/>
      <c r="S21" s="9"/>
      <c r="T21" s="10"/>
      <c r="U21" s="9"/>
      <c r="V21" s="9"/>
    </row>
    <row r="22" ht="12.5" spans="1:22">
      <c r="A22" s="4"/>
      <c r="B22" s="4"/>
      <c r="C22" s="4"/>
      <c r="D22" s="4"/>
      <c r="E22" s="5"/>
      <c r="F22" s="5"/>
      <c r="G22" s="5"/>
      <c r="H22" s="5"/>
      <c r="I22" s="5"/>
      <c r="J22" s="5"/>
      <c r="K22" s="5"/>
      <c r="L22" s="5"/>
      <c r="M22" s="5"/>
      <c r="N22" s="5"/>
      <c r="O22" s="5"/>
      <c r="P22" s="5"/>
      <c r="Q22" s="5"/>
      <c r="R22" s="9"/>
      <c r="S22" s="9"/>
      <c r="T22" s="10"/>
      <c r="U22" s="9"/>
      <c r="V22" s="9"/>
    </row>
    <row r="23" ht="12.5" spans="1:22">
      <c r="A23" s="4"/>
      <c r="B23" s="4"/>
      <c r="C23" s="4"/>
      <c r="D23" s="4"/>
      <c r="E23" s="5"/>
      <c r="F23" s="5"/>
      <c r="G23" s="5"/>
      <c r="H23" s="5"/>
      <c r="I23" s="5"/>
      <c r="J23" s="5"/>
      <c r="K23" s="5"/>
      <c r="L23" s="5"/>
      <c r="M23" s="5"/>
      <c r="N23" s="5"/>
      <c r="O23" s="5"/>
      <c r="P23" s="5"/>
      <c r="Q23" s="5"/>
      <c r="R23" s="9"/>
      <c r="S23" s="9"/>
      <c r="T23" s="10"/>
      <c r="U23" s="9"/>
      <c r="V23" s="9"/>
    </row>
    <row r="24" ht="12.5" spans="1:22">
      <c r="A24" s="4"/>
      <c r="B24" s="4"/>
      <c r="C24" s="4"/>
      <c r="D24" s="4"/>
      <c r="E24" s="5"/>
      <c r="F24" s="5"/>
      <c r="G24" s="5"/>
      <c r="H24" s="5"/>
      <c r="I24" s="5"/>
      <c r="J24" s="5"/>
      <c r="K24" s="5"/>
      <c r="L24" s="5"/>
      <c r="M24" s="5"/>
      <c r="N24" s="5"/>
      <c r="O24" s="5"/>
      <c r="P24" s="5"/>
      <c r="Q24" s="5"/>
      <c r="R24" s="9"/>
      <c r="S24" s="9"/>
      <c r="T24" s="10"/>
      <c r="U24" s="9"/>
      <c r="V24" s="9"/>
    </row>
    <row r="25" ht="12.5" spans="1:22">
      <c r="A25" s="4"/>
      <c r="B25" s="4"/>
      <c r="C25" s="4"/>
      <c r="D25" s="4"/>
      <c r="E25" s="5"/>
      <c r="F25" s="5"/>
      <c r="G25" s="5"/>
      <c r="H25" s="5"/>
      <c r="I25" s="5"/>
      <c r="J25" s="5"/>
      <c r="K25" s="5"/>
      <c r="L25" s="5"/>
      <c r="M25" s="5"/>
      <c r="N25" s="5"/>
      <c r="O25" s="5"/>
      <c r="P25" s="5"/>
      <c r="Q25" s="5"/>
      <c r="R25" s="9"/>
      <c r="S25" s="9"/>
      <c r="T25" s="10"/>
      <c r="U25" s="9"/>
      <c r="V25" s="9"/>
    </row>
    <row r="26" ht="12.5" spans="1:22">
      <c r="A26" s="4"/>
      <c r="B26" s="4"/>
      <c r="C26" s="4"/>
      <c r="D26" s="4"/>
      <c r="E26" s="5"/>
      <c r="F26" s="5"/>
      <c r="G26" s="5"/>
      <c r="H26" s="5"/>
      <c r="I26" s="5"/>
      <c r="J26" s="5"/>
      <c r="K26" s="5"/>
      <c r="L26" s="5"/>
      <c r="M26" s="5"/>
      <c r="N26" s="5"/>
      <c r="O26" s="5"/>
      <c r="P26" s="5"/>
      <c r="Q26" s="5"/>
      <c r="R26" s="9"/>
      <c r="S26" s="9"/>
      <c r="T26" s="10"/>
      <c r="U26" s="9"/>
      <c r="V26" s="9"/>
    </row>
    <row r="27" ht="12.5" spans="1:22">
      <c r="A27" s="4"/>
      <c r="B27" s="4"/>
      <c r="C27" s="4"/>
      <c r="D27" s="4"/>
      <c r="E27" s="5"/>
      <c r="F27" s="5"/>
      <c r="G27" s="5"/>
      <c r="H27" s="5"/>
      <c r="I27" s="5"/>
      <c r="J27" s="5"/>
      <c r="K27" s="5"/>
      <c r="L27" s="5"/>
      <c r="M27" s="5"/>
      <c r="N27" s="5"/>
      <c r="O27" s="5"/>
      <c r="P27" s="5"/>
      <c r="Q27" s="5"/>
      <c r="R27" s="9"/>
      <c r="S27" s="9"/>
      <c r="T27" s="10"/>
      <c r="U27" s="9"/>
      <c r="V27" s="9"/>
    </row>
    <row r="28" ht="12.5" spans="1:22">
      <c r="A28" s="4"/>
      <c r="B28" s="4"/>
      <c r="C28" s="4"/>
      <c r="D28" s="4"/>
      <c r="E28" s="5"/>
      <c r="F28" s="5"/>
      <c r="G28" s="5"/>
      <c r="H28" s="5"/>
      <c r="I28" s="5"/>
      <c r="J28" s="5"/>
      <c r="K28" s="5"/>
      <c r="L28" s="5"/>
      <c r="M28" s="5"/>
      <c r="N28" s="5"/>
      <c r="O28" s="5"/>
      <c r="P28" s="5"/>
      <c r="Q28" s="5"/>
      <c r="R28" s="9"/>
      <c r="S28" s="9"/>
      <c r="T28" s="10"/>
      <c r="U28" s="9"/>
      <c r="V28" s="9"/>
    </row>
    <row r="29" ht="12.5" spans="1:22">
      <c r="A29" s="4"/>
      <c r="B29" s="4"/>
      <c r="C29" s="4"/>
      <c r="D29" s="4"/>
      <c r="E29" s="5"/>
      <c r="F29" s="5"/>
      <c r="G29" s="5"/>
      <c r="H29" s="5"/>
      <c r="I29" s="5"/>
      <c r="J29" s="5"/>
      <c r="K29" s="5"/>
      <c r="L29" s="5"/>
      <c r="M29" s="5"/>
      <c r="N29" s="5"/>
      <c r="O29" s="5"/>
      <c r="P29" s="5"/>
      <c r="Q29" s="5"/>
      <c r="R29" s="9"/>
      <c r="S29" s="9"/>
      <c r="T29" s="10"/>
      <c r="U29" s="9"/>
      <c r="V29" s="9"/>
    </row>
    <row r="30" ht="12.5" spans="1:22">
      <c r="A30" s="4"/>
      <c r="B30" s="4"/>
      <c r="C30" s="4"/>
      <c r="D30" s="4"/>
      <c r="E30" s="5"/>
      <c r="F30" s="5"/>
      <c r="G30" s="5"/>
      <c r="H30" s="5"/>
      <c r="I30" s="5"/>
      <c r="J30" s="5"/>
      <c r="K30" s="5"/>
      <c r="L30" s="5"/>
      <c r="M30" s="5"/>
      <c r="N30" s="5"/>
      <c r="O30" s="5"/>
      <c r="P30" s="5"/>
      <c r="Q30" s="5"/>
      <c r="R30" s="9"/>
      <c r="S30" s="9"/>
      <c r="T30" s="10"/>
      <c r="U30" s="9"/>
      <c r="V30" s="9"/>
    </row>
    <row r="31" ht="12.5" spans="1:22">
      <c r="A31" s="4"/>
      <c r="B31" s="4"/>
      <c r="C31" s="4"/>
      <c r="D31" s="4"/>
      <c r="E31" s="5"/>
      <c r="F31" s="5"/>
      <c r="G31" s="5"/>
      <c r="H31" s="5"/>
      <c r="I31" s="5"/>
      <c r="J31" s="5"/>
      <c r="K31" s="5"/>
      <c r="L31" s="5"/>
      <c r="M31" s="5"/>
      <c r="N31" s="5"/>
      <c r="O31" s="5"/>
      <c r="P31" s="5"/>
      <c r="Q31" s="5"/>
      <c r="R31" s="9"/>
      <c r="S31" s="9"/>
      <c r="T31" s="10"/>
      <c r="U31" s="9"/>
      <c r="V31" s="9"/>
    </row>
    <row r="32" ht="12.5" spans="1:22">
      <c r="A32" s="4"/>
      <c r="B32" s="4"/>
      <c r="C32" s="4"/>
      <c r="D32" s="4"/>
      <c r="E32" s="5"/>
      <c r="F32" s="5"/>
      <c r="G32" s="5"/>
      <c r="H32" s="5"/>
      <c r="I32" s="5"/>
      <c r="J32" s="5"/>
      <c r="K32" s="5"/>
      <c r="L32" s="5"/>
      <c r="M32" s="5"/>
      <c r="N32" s="5"/>
      <c r="O32" s="5"/>
      <c r="P32" s="5"/>
      <c r="Q32" s="5"/>
      <c r="R32" s="9"/>
      <c r="S32" s="9"/>
      <c r="T32" s="10"/>
      <c r="U32" s="9"/>
      <c r="V32" s="9"/>
    </row>
    <row r="33" ht="12.5" spans="1:22">
      <c r="A33" s="4"/>
      <c r="B33" s="4"/>
      <c r="C33" s="4"/>
      <c r="D33" s="4"/>
      <c r="E33" s="5"/>
      <c r="F33" s="5"/>
      <c r="G33" s="5"/>
      <c r="H33" s="5"/>
      <c r="I33" s="5"/>
      <c r="J33" s="5"/>
      <c r="K33" s="5"/>
      <c r="L33" s="5"/>
      <c r="M33" s="5"/>
      <c r="N33" s="5"/>
      <c r="O33" s="5"/>
      <c r="P33" s="5"/>
      <c r="Q33" s="5"/>
      <c r="R33" s="9"/>
      <c r="S33" s="9"/>
      <c r="T33" s="10"/>
      <c r="U33" s="9"/>
      <c r="V33" s="9"/>
    </row>
    <row r="34" ht="12.5" spans="1:22">
      <c r="A34" s="4"/>
      <c r="B34" s="4"/>
      <c r="C34" s="4"/>
      <c r="D34" s="4"/>
      <c r="E34" s="5"/>
      <c r="F34" s="5"/>
      <c r="G34" s="5"/>
      <c r="H34" s="5"/>
      <c r="I34" s="5"/>
      <c r="J34" s="5"/>
      <c r="K34" s="5"/>
      <c r="L34" s="5"/>
      <c r="M34" s="5"/>
      <c r="N34" s="5"/>
      <c r="O34" s="5"/>
      <c r="P34" s="5"/>
      <c r="Q34" s="5"/>
      <c r="R34" s="9"/>
      <c r="S34" s="9"/>
      <c r="T34" s="10"/>
      <c r="U34" s="9"/>
      <c r="V34" s="9"/>
    </row>
    <row r="35" ht="12.5" spans="1:22">
      <c r="A35" s="4"/>
      <c r="B35" s="4"/>
      <c r="C35" s="4"/>
      <c r="D35" s="4"/>
      <c r="E35" s="5"/>
      <c r="F35" s="5"/>
      <c r="G35" s="5"/>
      <c r="H35" s="5"/>
      <c r="I35" s="5"/>
      <c r="J35" s="5"/>
      <c r="K35" s="5"/>
      <c r="L35" s="5"/>
      <c r="M35" s="5"/>
      <c r="N35" s="5"/>
      <c r="O35" s="5"/>
      <c r="P35" s="5"/>
      <c r="Q35" s="5"/>
      <c r="R35" s="9"/>
      <c r="S35" s="9"/>
      <c r="T35" s="10"/>
      <c r="U35" s="9"/>
      <c r="V35" s="9"/>
    </row>
    <row r="36" ht="12.5" spans="1:22">
      <c r="A36" s="4"/>
      <c r="B36" s="4"/>
      <c r="C36" s="4"/>
      <c r="D36" s="4"/>
      <c r="E36" s="5"/>
      <c r="F36" s="5"/>
      <c r="G36" s="5"/>
      <c r="H36" s="5"/>
      <c r="I36" s="5"/>
      <c r="J36" s="5"/>
      <c r="K36" s="5"/>
      <c r="L36" s="5"/>
      <c r="M36" s="5"/>
      <c r="N36" s="5"/>
      <c r="O36" s="5"/>
      <c r="P36" s="5"/>
      <c r="Q36" s="5"/>
      <c r="R36" s="9"/>
      <c r="S36" s="9"/>
      <c r="T36" s="10"/>
      <c r="U36" s="9"/>
      <c r="V36" s="9"/>
    </row>
    <row r="37" ht="12.5" spans="1:22">
      <c r="A37" s="4"/>
      <c r="B37" s="4"/>
      <c r="C37" s="4"/>
      <c r="D37" s="4"/>
      <c r="E37" s="5"/>
      <c r="F37" s="5"/>
      <c r="G37" s="5"/>
      <c r="H37" s="5"/>
      <c r="I37" s="5"/>
      <c r="J37" s="5"/>
      <c r="K37" s="5"/>
      <c r="L37" s="5"/>
      <c r="M37" s="5"/>
      <c r="N37" s="5"/>
      <c r="O37" s="5"/>
      <c r="P37" s="5"/>
      <c r="Q37" s="5"/>
      <c r="R37" s="9"/>
      <c r="S37" s="9"/>
      <c r="T37" s="10"/>
      <c r="U37" s="9"/>
      <c r="V37" s="9"/>
    </row>
    <row r="38" ht="12.5" spans="1:22">
      <c r="A38" s="4"/>
      <c r="B38" s="4"/>
      <c r="C38" s="4"/>
      <c r="D38" s="4"/>
      <c r="E38" s="5"/>
      <c r="F38" s="5"/>
      <c r="G38" s="5"/>
      <c r="H38" s="5"/>
      <c r="I38" s="5"/>
      <c r="J38" s="5"/>
      <c r="K38" s="5"/>
      <c r="L38" s="5"/>
      <c r="M38" s="5"/>
      <c r="N38" s="5"/>
      <c r="O38" s="5"/>
      <c r="P38" s="5"/>
      <c r="Q38" s="5"/>
      <c r="R38" s="9"/>
      <c r="S38" s="9"/>
      <c r="T38" s="10"/>
      <c r="U38" s="9"/>
      <c r="V38" s="9"/>
    </row>
    <row r="39" ht="12.5" spans="1:22">
      <c r="A39" s="4"/>
      <c r="B39" s="4"/>
      <c r="C39" s="4"/>
      <c r="D39" s="4"/>
      <c r="E39" s="5"/>
      <c r="F39" s="5"/>
      <c r="G39" s="5"/>
      <c r="H39" s="5"/>
      <c r="I39" s="5"/>
      <c r="J39" s="5"/>
      <c r="K39" s="5"/>
      <c r="L39" s="5"/>
      <c r="M39" s="5"/>
      <c r="N39" s="5"/>
      <c r="O39" s="5"/>
      <c r="P39" s="5"/>
      <c r="Q39" s="5"/>
      <c r="R39" s="9"/>
      <c r="S39" s="9"/>
      <c r="T39" s="10"/>
      <c r="U39" s="9"/>
      <c r="V39" s="9"/>
    </row>
    <row r="40" ht="12.5" spans="1:22">
      <c r="A40" s="4"/>
      <c r="B40" s="4"/>
      <c r="C40" s="4"/>
      <c r="D40" s="4"/>
      <c r="E40" s="5"/>
      <c r="F40" s="5"/>
      <c r="G40" s="5"/>
      <c r="H40" s="5"/>
      <c r="I40" s="5"/>
      <c r="J40" s="5"/>
      <c r="K40" s="5"/>
      <c r="L40" s="5"/>
      <c r="M40" s="5"/>
      <c r="N40" s="5"/>
      <c r="O40" s="5"/>
      <c r="P40" s="5"/>
      <c r="Q40" s="5"/>
      <c r="R40" s="9"/>
      <c r="S40" s="9"/>
      <c r="T40" s="10"/>
      <c r="U40" s="9"/>
      <c r="V40" s="9"/>
    </row>
    <row r="41" ht="12.5" spans="1:22">
      <c r="A41" s="4"/>
      <c r="B41" s="4"/>
      <c r="C41" s="4"/>
      <c r="D41" s="4"/>
      <c r="E41" s="5"/>
      <c r="F41" s="5"/>
      <c r="G41" s="5"/>
      <c r="H41" s="5"/>
      <c r="I41" s="5"/>
      <c r="J41" s="5"/>
      <c r="K41" s="5"/>
      <c r="L41" s="5"/>
      <c r="M41" s="5"/>
      <c r="N41" s="5"/>
      <c r="O41" s="5"/>
      <c r="P41" s="5"/>
      <c r="Q41" s="5"/>
      <c r="R41" s="9"/>
      <c r="S41" s="9"/>
      <c r="T41" s="10"/>
      <c r="U41" s="9"/>
      <c r="V41" s="9"/>
    </row>
    <row r="42" ht="12.5" spans="1:22">
      <c r="A42" s="4"/>
      <c r="B42" s="4"/>
      <c r="C42" s="4"/>
      <c r="D42" s="4"/>
      <c r="E42" s="5"/>
      <c r="F42" s="5"/>
      <c r="G42" s="5"/>
      <c r="H42" s="5"/>
      <c r="I42" s="5"/>
      <c r="J42" s="5"/>
      <c r="K42" s="5"/>
      <c r="L42" s="5"/>
      <c r="M42" s="5"/>
      <c r="N42" s="5"/>
      <c r="O42" s="5"/>
      <c r="P42" s="5"/>
      <c r="Q42" s="5"/>
      <c r="R42" s="9"/>
      <c r="S42" s="9"/>
      <c r="T42" s="10"/>
      <c r="U42" s="9"/>
      <c r="V42" s="9"/>
    </row>
    <row r="43" ht="12.5" spans="1:22">
      <c r="A43" s="4"/>
      <c r="B43" s="4"/>
      <c r="C43" s="4"/>
      <c r="D43" s="4"/>
      <c r="E43" s="5"/>
      <c r="F43" s="5"/>
      <c r="G43" s="5"/>
      <c r="H43" s="5"/>
      <c r="I43" s="5"/>
      <c r="J43" s="5"/>
      <c r="K43" s="5"/>
      <c r="L43" s="5"/>
      <c r="M43" s="5"/>
      <c r="N43" s="5"/>
      <c r="O43" s="5"/>
      <c r="P43" s="5"/>
      <c r="Q43" s="5"/>
      <c r="R43" s="9"/>
      <c r="S43" s="9"/>
      <c r="T43" s="10"/>
      <c r="U43" s="9"/>
      <c r="V43" s="9"/>
    </row>
    <row r="44" ht="12.5" spans="1:22">
      <c r="A44" s="4"/>
      <c r="B44" s="4"/>
      <c r="C44" s="4"/>
      <c r="D44" s="4"/>
      <c r="E44" s="5"/>
      <c r="F44" s="5"/>
      <c r="G44" s="5"/>
      <c r="H44" s="5"/>
      <c r="I44" s="5"/>
      <c r="J44" s="5"/>
      <c r="K44" s="5"/>
      <c r="L44" s="5"/>
      <c r="M44" s="5"/>
      <c r="N44" s="5"/>
      <c r="O44" s="5"/>
      <c r="P44" s="5"/>
      <c r="Q44" s="5"/>
      <c r="R44" s="9"/>
      <c r="S44" s="9"/>
      <c r="T44" s="10"/>
      <c r="U44" s="9"/>
      <c r="V44" s="9"/>
    </row>
    <row r="45" ht="12.5" spans="1:22">
      <c r="A45" s="4"/>
      <c r="B45" s="4"/>
      <c r="C45" s="4"/>
      <c r="D45" s="4"/>
      <c r="E45" s="5"/>
      <c r="F45" s="5"/>
      <c r="G45" s="5"/>
      <c r="H45" s="5"/>
      <c r="I45" s="5"/>
      <c r="J45" s="5"/>
      <c r="K45" s="5"/>
      <c r="L45" s="5"/>
      <c r="M45" s="5"/>
      <c r="N45" s="5"/>
      <c r="O45" s="5"/>
      <c r="P45" s="5"/>
      <c r="Q45" s="5"/>
      <c r="R45" s="9"/>
      <c r="S45" s="9"/>
      <c r="T45" s="10"/>
      <c r="U45" s="9"/>
      <c r="V45" s="9"/>
    </row>
    <row r="46" ht="12.5" spans="1:22">
      <c r="A46" s="4"/>
      <c r="B46" s="4"/>
      <c r="C46" s="4"/>
      <c r="D46" s="4"/>
      <c r="E46" s="5"/>
      <c r="F46" s="5"/>
      <c r="G46" s="5"/>
      <c r="H46" s="5"/>
      <c r="I46" s="5"/>
      <c r="J46" s="5"/>
      <c r="K46" s="5"/>
      <c r="L46" s="5"/>
      <c r="M46" s="5"/>
      <c r="N46" s="5"/>
      <c r="O46" s="5"/>
      <c r="P46" s="5"/>
      <c r="Q46" s="5"/>
      <c r="R46" s="9"/>
      <c r="S46" s="9"/>
      <c r="T46" s="10"/>
      <c r="U46" s="9"/>
      <c r="V46" s="9"/>
    </row>
    <row r="47" ht="12.5" spans="1:22">
      <c r="A47" s="4"/>
      <c r="B47" s="4"/>
      <c r="C47" s="4"/>
      <c r="D47" s="4"/>
      <c r="E47" s="5"/>
      <c r="F47" s="5"/>
      <c r="G47" s="5"/>
      <c r="H47" s="5"/>
      <c r="I47" s="5"/>
      <c r="J47" s="5"/>
      <c r="K47" s="5"/>
      <c r="L47" s="5"/>
      <c r="M47" s="5"/>
      <c r="N47" s="5"/>
      <c r="O47" s="5"/>
      <c r="P47" s="5"/>
      <c r="Q47" s="5"/>
      <c r="R47" s="9"/>
      <c r="S47" s="9"/>
      <c r="T47" s="10"/>
      <c r="U47" s="9"/>
      <c r="V47" s="9"/>
    </row>
    <row r="48" ht="12.5" spans="1:22">
      <c r="A48" s="4"/>
      <c r="B48" s="4"/>
      <c r="C48" s="4"/>
      <c r="D48" s="4"/>
      <c r="E48" s="5"/>
      <c r="F48" s="5"/>
      <c r="G48" s="5"/>
      <c r="H48" s="5"/>
      <c r="I48" s="5"/>
      <c r="J48" s="5"/>
      <c r="K48" s="5"/>
      <c r="L48" s="5"/>
      <c r="M48" s="5"/>
      <c r="N48" s="5"/>
      <c r="O48" s="5"/>
      <c r="P48" s="5"/>
      <c r="Q48" s="5"/>
      <c r="R48" s="9"/>
      <c r="S48" s="9"/>
      <c r="T48" s="10"/>
      <c r="U48" s="9"/>
      <c r="V48" s="9"/>
    </row>
    <row r="49" ht="12.5" spans="1:22">
      <c r="A49" s="4"/>
      <c r="B49" s="4"/>
      <c r="C49" s="4"/>
      <c r="D49" s="4"/>
      <c r="E49" s="5"/>
      <c r="F49" s="5"/>
      <c r="G49" s="5"/>
      <c r="H49" s="5"/>
      <c r="I49" s="5"/>
      <c r="J49" s="5"/>
      <c r="K49" s="5"/>
      <c r="L49" s="5"/>
      <c r="M49" s="5"/>
      <c r="N49" s="5"/>
      <c r="O49" s="5"/>
      <c r="P49" s="5"/>
      <c r="Q49" s="5"/>
      <c r="R49" s="9"/>
      <c r="S49" s="9"/>
      <c r="T49" s="10"/>
      <c r="U49" s="9"/>
      <c r="V49" s="9"/>
    </row>
    <row r="50" ht="12.5" spans="1:22">
      <c r="A50" s="4"/>
      <c r="B50" s="4"/>
      <c r="C50" s="4"/>
      <c r="D50" s="4"/>
      <c r="E50" s="5"/>
      <c r="F50" s="5"/>
      <c r="G50" s="5"/>
      <c r="H50" s="5"/>
      <c r="I50" s="5"/>
      <c r="J50" s="5"/>
      <c r="K50" s="5"/>
      <c r="L50" s="5"/>
      <c r="M50" s="5"/>
      <c r="N50" s="5"/>
      <c r="O50" s="5"/>
      <c r="P50" s="5"/>
      <c r="Q50" s="5"/>
      <c r="R50" s="9"/>
      <c r="S50" s="9"/>
      <c r="T50" s="10"/>
      <c r="U50" s="9"/>
      <c r="V50" s="9"/>
    </row>
    <row r="51" ht="12.5" spans="1:22">
      <c r="A51" s="4"/>
      <c r="B51" s="4"/>
      <c r="C51" s="4"/>
      <c r="D51" s="4"/>
      <c r="E51" s="5"/>
      <c r="F51" s="5"/>
      <c r="G51" s="5"/>
      <c r="H51" s="5"/>
      <c r="I51" s="5"/>
      <c r="J51" s="5"/>
      <c r="K51" s="5"/>
      <c r="L51" s="5"/>
      <c r="M51" s="5"/>
      <c r="N51" s="5"/>
      <c r="O51" s="5"/>
      <c r="P51" s="5"/>
      <c r="Q51" s="5"/>
      <c r="R51" s="9"/>
      <c r="S51" s="9"/>
      <c r="T51" s="10"/>
      <c r="U51" s="9"/>
      <c r="V51" s="9"/>
    </row>
    <row r="52" ht="12.5" spans="1:22">
      <c r="A52" s="4"/>
      <c r="B52" s="4"/>
      <c r="C52" s="4"/>
      <c r="D52" s="4"/>
      <c r="E52" s="5"/>
      <c r="F52" s="5"/>
      <c r="G52" s="5"/>
      <c r="H52" s="5"/>
      <c r="I52" s="5"/>
      <c r="J52" s="5"/>
      <c r="K52" s="5"/>
      <c r="L52" s="5"/>
      <c r="M52" s="5"/>
      <c r="N52" s="5"/>
      <c r="O52" s="5"/>
      <c r="P52" s="5"/>
      <c r="Q52" s="5"/>
      <c r="R52" s="9"/>
      <c r="S52" s="9"/>
      <c r="T52" s="10"/>
      <c r="U52" s="9"/>
      <c r="V52" s="9"/>
    </row>
    <row r="53" ht="12.5" spans="1:22">
      <c r="A53" s="4"/>
      <c r="B53" s="4"/>
      <c r="C53" s="4"/>
      <c r="D53" s="4"/>
      <c r="E53" s="5"/>
      <c r="F53" s="5"/>
      <c r="G53" s="5"/>
      <c r="H53" s="5"/>
      <c r="I53" s="5"/>
      <c r="J53" s="5"/>
      <c r="K53" s="5"/>
      <c r="L53" s="5"/>
      <c r="M53" s="5"/>
      <c r="N53" s="5"/>
      <c r="O53" s="5"/>
      <c r="P53" s="5"/>
      <c r="Q53" s="5"/>
      <c r="R53" s="9"/>
      <c r="S53" s="9"/>
      <c r="T53" s="10"/>
      <c r="U53" s="9"/>
      <c r="V53" s="9"/>
    </row>
    <row r="54" ht="12.5" spans="1:22">
      <c r="A54" s="4"/>
      <c r="B54" s="4"/>
      <c r="C54" s="4"/>
      <c r="D54" s="4"/>
      <c r="E54" s="5"/>
      <c r="F54" s="5"/>
      <c r="G54" s="5"/>
      <c r="H54" s="5"/>
      <c r="I54" s="5"/>
      <c r="J54" s="5"/>
      <c r="K54" s="5"/>
      <c r="L54" s="5"/>
      <c r="M54" s="5"/>
      <c r="N54" s="5"/>
      <c r="O54" s="5"/>
      <c r="P54" s="5"/>
      <c r="Q54" s="5"/>
      <c r="R54" s="9"/>
      <c r="S54" s="9"/>
      <c r="T54" s="10"/>
      <c r="U54" s="9"/>
      <c r="V54" s="9"/>
    </row>
    <row r="55" ht="12.5" spans="1:22">
      <c r="A55" s="4"/>
      <c r="B55" s="4"/>
      <c r="C55" s="4"/>
      <c r="D55" s="4"/>
      <c r="E55" s="5"/>
      <c r="F55" s="5"/>
      <c r="G55" s="5"/>
      <c r="H55" s="5"/>
      <c r="I55" s="5"/>
      <c r="J55" s="5"/>
      <c r="K55" s="5"/>
      <c r="L55" s="5"/>
      <c r="M55" s="5"/>
      <c r="N55" s="5"/>
      <c r="O55" s="5"/>
      <c r="P55" s="5"/>
      <c r="Q55" s="5"/>
      <c r="R55" s="9"/>
      <c r="S55" s="9"/>
      <c r="T55" s="10"/>
      <c r="U55" s="9"/>
      <c r="V55" s="9"/>
    </row>
    <row r="56" ht="12.5" spans="1:22">
      <c r="A56" s="4"/>
      <c r="B56" s="4"/>
      <c r="C56" s="4"/>
      <c r="D56" s="4"/>
      <c r="E56" s="5"/>
      <c r="F56" s="5"/>
      <c r="G56" s="5"/>
      <c r="H56" s="5"/>
      <c r="I56" s="5"/>
      <c r="J56" s="5"/>
      <c r="K56" s="5"/>
      <c r="L56" s="5"/>
      <c r="M56" s="5"/>
      <c r="N56" s="5"/>
      <c r="O56" s="5"/>
      <c r="P56" s="5"/>
      <c r="Q56" s="5"/>
      <c r="R56" s="9"/>
      <c r="S56" s="9"/>
      <c r="T56" s="10"/>
      <c r="U56" s="9"/>
      <c r="V56" s="9"/>
    </row>
    <row r="57" ht="12.5" spans="1:22">
      <c r="A57" s="4"/>
      <c r="B57" s="4"/>
      <c r="C57" s="4"/>
      <c r="D57" s="4"/>
      <c r="E57" s="5"/>
      <c r="F57" s="5"/>
      <c r="G57" s="5"/>
      <c r="H57" s="5"/>
      <c r="I57" s="5"/>
      <c r="J57" s="5"/>
      <c r="K57" s="5"/>
      <c r="L57" s="5"/>
      <c r="M57" s="5"/>
      <c r="N57" s="5"/>
      <c r="O57" s="5"/>
      <c r="P57" s="5"/>
      <c r="Q57" s="5"/>
      <c r="R57" s="9"/>
      <c r="S57" s="9"/>
      <c r="T57" s="10"/>
      <c r="U57" s="9"/>
      <c r="V57" s="9"/>
    </row>
    <row r="58" ht="12.5" spans="1:22">
      <c r="A58" s="4"/>
      <c r="B58" s="4"/>
      <c r="C58" s="4"/>
      <c r="D58" s="4"/>
      <c r="E58" s="5"/>
      <c r="F58" s="5"/>
      <c r="G58" s="5"/>
      <c r="H58" s="5"/>
      <c r="I58" s="5"/>
      <c r="J58" s="5"/>
      <c r="K58" s="5"/>
      <c r="L58" s="5"/>
      <c r="M58" s="5"/>
      <c r="N58" s="5"/>
      <c r="O58" s="5"/>
      <c r="P58" s="5"/>
      <c r="Q58" s="5"/>
      <c r="R58" s="9"/>
      <c r="S58" s="9"/>
      <c r="T58" s="10"/>
      <c r="U58" s="9"/>
      <c r="V58" s="9"/>
    </row>
    <row r="59" ht="12.5" spans="1:22">
      <c r="A59" s="4"/>
      <c r="B59" s="4"/>
      <c r="C59" s="4"/>
      <c r="D59" s="4"/>
      <c r="E59" s="5"/>
      <c r="F59" s="5"/>
      <c r="G59" s="5"/>
      <c r="H59" s="5"/>
      <c r="I59" s="5"/>
      <c r="J59" s="5"/>
      <c r="K59" s="5"/>
      <c r="L59" s="5"/>
      <c r="M59" s="5"/>
      <c r="N59" s="5"/>
      <c r="O59" s="5"/>
      <c r="P59" s="5"/>
      <c r="Q59" s="5"/>
      <c r="R59" s="9"/>
      <c r="S59" s="9"/>
      <c r="T59" s="10"/>
      <c r="U59" s="9"/>
      <c r="V59" s="9"/>
    </row>
    <row r="60" ht="12.5" spans="1:22">
      <c r="A60" s="4"/>
      <c r="B60" s="4"/>
      <c r="C60" s="4"/>
      <c r="D60" s="4"/>
      <c r="E60" s="5"/>
      <c r="F60" s="5"/>
      <c r="G60" s="5"/>
      <c r="H60" s="5"/>
      <c r="I60" s="5"/>
      <c r="J60" s="5"/>
      <c r="K60" s="5"/>
      <c r="L60" s="5"/>
      <c r="M60" s="5"/>
      <c r="N60" s="5"/>
      <c r="O60" s="5"/>
      <c r="P60" s="5"/>
      <c r="Q60" s="5"/>
      <c r="R60" s="9"/>
      <c r="S60" s="9"/>
      <c r="T60" s="10"/>
      <c r="U60" s="9"/>
      <c r="V60" s="9"/>
    </row>
    <row r="61" ht="12.5" spans="1:22">
      <c r="A61" s="4"/>
      <c r="B61" s="4"/>
      <c r="C61" s="4"/>
      <c r="D61" s="4"/>
      <c r="E61" s="5"/>
      <c r="F61" s="5"/>
      <c r="G61" s="5"/>
      <c r="H61" s="5"/>
      <c r="I61" s="5"/>
      <c r="J61" s="5"/>
      <c r="K61" s="5"/>
      <c r="L61" s="5"/>
      <c r="M61" s="5"/>
      <c r="N61" s="5"/>
      <c r="O61" s="5"/>
      <c r="P61" s="5"/>
      <c r="Q61" s="5"/>
      <c r="R61" s="9"/>
      <c r="S61" s="9"/>
      <c r="T61" s="10"/>
      <c r="U61" s="9"/>
      <c r="V61" s="9"/>
    </row>
    <row r="62" ht="12.5" spans="1:22">
      <c r="A62" s="4"/>
      <c r="B62" s="4"/>
      <c r="C62" s="4"/>
      <c r="D62" s="4"/>
      <c r="E62" s="5"/>
      <c r="F62" s="5"/>
      <c r="G62" s="5"/>
      <c r="H62" s="5"/>
      <c r="I62" s="5"/>
      <c r="J62" s="5"/>
      <c r="K62" s="5"/>
      <c r="L62" s="5"/>
      <c r="M62" s="5"/>
      <c r="N62" s="5"/>
      <c r="O62" s="5"/>
      <c r="P62" s="5"/>
      <c r="Q62" s="5"/>
      <c r="R62" s="9"/>
      <c r="S62" s="9"/>
      <c r="T62" s="10"/>
      <c r="U62" s="9"/>
      <c r="V62" s="9"/>
    </row>
    <row r="63" ht="12.5" spans="1:22">
      <c r="A63" s="4"/>
      <c r="B63" s="4"/>
      <c r="C63" s="4"/>
      <c r="D63" s="4"/>
      <c r="E63" s="5"/>
      <c r="F63" s="5"/>
      <c r="G63" s="5"/>
      <c r="H63" s="5"/>
      <c r="I63" s="5"/>
      <c r="J63" s="5"/>
      <c r="K63" s="5"/>
      <c r="L63" s="5"/>
      <c r="M63" s="5"/>
      <c r="N63" s="5"/>
      <c r="O63" s="5"/>
      <c r="P63" s="5"/>
      <c r="Q63" s="5"/>
      <c r="R63" s="9"/>
      <c r="S63" s="9"/>
      <c r="T63" s="10"/>
      <c r="U63" s="9"/>
      <c r="V63" s="9"/>
    </row>
    <row r="64" ht="12.5" spans="1:22">
      <c r="A64" s="4"/>
      <c r="B64" s="4"/>
      <c r="C64" s="4"/>
      <c r="D64" s="4"/>
      <c r="E64" s="5"/>
      <c r="F64" s="5"/>
      <c r="G64" s="5"/>
      <c r="H64" s="5"/>
      <c r="I64" s="5"/>
      <c r="J64" s="5"/>
      <c r="K64" s="5"/>
      <c r="L64" s="5"/>
      <c r="M64" s="5"/>
      <c r="N64" s="5"/>
      <c r="O64" s="5"/>
      <c r="P64" s="5"/>
      <c r="Q64" s="5"/>
      <c r="R64" s="9"/>
      <c r="S64" s="9"/>
      <c r="T64" s="10"/>
      <c r="U64" s="9"/>
      <c r="V64" s="9"/>
    </row>
    <row r="65" ht="12.5" spans="1:22">
      <c r="A65" s="4"/>
      <c r="B65" s="4"/>
      <c r="C65" s="4"/>
      <c r="D65" s="4"/>
      <c r="E65" s="5"/>
      <c r="F65" s="5"/>
      <c r="G65" s="5"/>
      <c r="H65" s="5"/>
      <c r="I65" s="5"/>
      <c r="J65" s="5"/>
      <c r="K65" s="5"/>
      <c r="L65" s="5"/>
      <c r="M65" s="5"/>
      <c r="N65" s="5"/>
      <c r="O65" s="5"/>
      <c r="P65" s="5"/>
      <c r="Q65" s="5"/>
      <c r="R65" s="9"/>
      <c r="S65" s="9"/>
      <c r="T65" s="10"/>
      <c r="U65" s="9"/>
      <c r="V65" s="9"/>
    </row>
    <row r="66" ht="12.5" spans="1:22">
      <c r="A66" s="4"/>
      <c r="B66" s="4"/>
      <c r="C66" s="4"/>
      <c r="D66" s="4"/>
      <c r="E66" s="5"/>
      <c r="F66" s="5"/>
      <c r="G66" s="5"/>
      <c r="H66" s="5"/>
      <c r="I66" s="5"/>
      <c r="J66" s="5"/>
      <c r="K66" s="5"/>
      <c r="L66" s="5"/>
      <c r="M66" s="5"/>
      <c r="N66" s="5"/>
      <c r="O66" s="5"/>
      <c r="P66" s="5"/>
      <c r="Q66" s="5"/>
      <c r="R66" s="9"/>
      <c r="S66" s="9"/>
      <c r="T66" s="10"/>
      <c r="U66" s="9"/>
      <c r="V66" s="9"/>
    </row>
    <row r="67" ht="12.5" spans="1:22">
      <c r="A67" s="4"/>
      <c r="B67" s="4"/>
      <c r="C67" s="4"/>
      <c r="D67" s="4"/>
      <c r="E67" s="5"/>
      <c r="F67" s="5"/>
      <c r="G67" s="5"/>
      <c r="H67" s="5"/>
      <c r="I67" s="5"/>
      <c r="J67" s="5"/>
      <c r="K67" s="5"/>
      <c r="L67" s="5"/>
      <c r="M67" s="5"/>
      <c r="N67" s="5"/>
      <c r="O67" s="5"/>
      <c r="P67" s="5"/>
      <c r="Q67" s="5"/>
      <c r="R67" s="9"/>
      <c r="S67" s="9"/>
      <c r="T67" s="10"/>
      <c r="U67" s="9"/>
      <c r="V67" s="9"/>
    </row>
    <row r="68" ht="12.5" spans="1:22">
      <c r="A68" s="4"/>
      <c r="B68" s="4"/>
      <c r="C68" s="4"/>
      <c r="D68" s="4"/>
      <c r="E68" s="5"/>
      <c r="F68" s="5"/>
      <c r="G68" s="5"/>
      <c r="H68" s="5"/>
      <c r="I68" s="5"/>
      <c r="J68" s="5"/>
      <c r="K68" s="5"/>
      <c r="L68" s="5"/>
      <c r="M68" s="5"/>
      <c r="N68" s="5"/>
      <c r="O68" s="5"/>
      <c r="P68" s="5"/>
      <c r="Q68" s="5"/>
      <c r="R68" s="9"/>
      <c r="S68" s="9"/>
      <c r="T68" s="10"/>
      <c r="U68" s="9"/>
      <c r="V68" s="9"/>
    </row>
    <row r="69" ht="12.5" spans="1:22">
      <c r="A69" s="4"/>
      <c r="B69" s="4"/>
      <c r="C69" s="4"/>
      <c r="D69" s="4"/>
      <c r="E69" s="5"/>
      <c r="F69" s="5"/>
      <c r="G69" s="5"/>
      <c r="H69" s="5"/>
      <c r="I69" s="5"/>
      <c r="J69" s="5"/>
      <c r="K69" s="5"/>
      <c r="L69" s="5"/>
      <c r="M69" s="5"/>
      <c r="N69" s="5"/>
      <c r="O69" s="5"/>
      <c r="P69" s="5"/>
      <c r="Q69" s="5"/>
      <c r="R69" s="9"/>
      <c r="S69" s="9"/>
      <c r="T69" s="10"/>
      <c r="U69" s="9"/>
      <c r="V69" s="9"/>
    </row>
    <row r="70" ht="12.5" spans="1:22">
      <c r="A70" s="4"/>
      <c r="B70" s="4"/>
      <c r="C70" s="4"/>
      <c r="D70" s="4"/>
      <c r="E70" s="5"/>
      <c r="F70" s="5"/>
      <c r="G70" s="5"/>
      <c r="H70" s="5"/>
      <c r="I70" s="5"/>
      <c r="J70" s="5"/>
      <c r="K70" s="5"/>
      <c r="L70" s="5"/>
      <c r="M70" s="5"/>
      <c r="N70" s="5"/>
      <c r="O70" s="5"/>
      <c r="P70" s="5"/>
      <c r="Q70" s="5"/>
      <c r="R70" s="9"/>
      <c r="S70" s="9"/>
      <c r="T70" s="10"/>
      <c r="U70" s="9"/>
      <c r="V70" s="9"/>
    </row>
    <row r="71" ht="12.5" spans="1:22">
      <c r="A71" s="4"/>
      <c r="B71" s="4"/>
      <c r="C71" s="4"/>
      <c r="D71" s="4"/>
      <c r="E71" s="5"/>
      <c r="F71" s="5"/>
      <c r="G71" s="5"/>
      <c r="H71" s="5"/>
      <c r="I71" s="5"/>
      <c r="J71" s="5"/>
      <c r="K71" s="5"/>
      <c r="L71" s="5"/>
      <c r="M71" s="5"/>
      <c r="N71" s="5"/>
      <c r="O71" s="5"/>
      <c r="P71" s="5"/>
      <c r="Q71" s="5"/>
      <c r="R71" s="9"/>
      <c r="S71" s="9"/>
      <c r="T71" s="10"/>
      <c r="U71" s="9"/>
      <c r="V71" s="9"/>
    </row>
    <row r="72" ht="12.5" spans="1:22">
      <c r="A72" s="4"/>
      <c r="B72" s="4"/>
      <c r="C72" s="4"/>
      <c r="D72" s="4"/>
      <c r="E72" s="5"/>
      <c r="F72" s="5"/>
      <c r="G72" s="5"/>
      <c r="H72" s="5"/>
      <c r="I72" s="5"/>
      <c r="J72" s="5"/>
      <c r="K72" s="5"/>
      <c r="L72" s="5"/>
      <c r="M72" s="5"/>
      <c r="N72" s="5"/>
      <c r="O72" s="5"/>
      <c r="P72" s="5"/>
      <c r="Q72" s="5"/>
      <c r="R72" s="9"/>
      <c r="S72" s="9"/>
      <c r="T72" s="10"/>
      <c r="U72" s="9"/>
      <c r="V72" s="9"/>
    </row>
    <row r="73" ht="12.5" spans="1:22">
      <c r="A73" s="4"/>
      <c r="B73" s="4"/>
      <c r="C73" s="4"/>
      <c r="D73" s="4"/>
      <c r="E73" s="5"/>
      <c r="F73" s="5"/>
      <c r="G73" s="5"/>
      <c r="H73" s="5"/>
      <c r="I73" s="5"/>
      <c r="J73" s="5"/>
      <c r="K73" s="5"/>
      <c r="L73" s="5"/>
      <c r="M73" s="5"/>
      <c r="N73" s="5"/>
      <c r="O73" s="5"/>
      <c r="P73" s="5"/>
      <c r="Q73" s="5"/>
      <c r="R73" s="9"/>
      <c r="S73" s="9"/>
      <c r="T73" s="10"/>
      <c r="U73" s="9"/>
      <c r="V73" s="9"/>
    </row>
    <row r="74" ht="12.5" spans="1:22">
      <c r="A74" s="4"/>
      <c r="B74" s="4"/>
      <c r="C74" s="4"/>
      <c r="D74" s="4"/>
      <c r="E74" s="5"/>
      <c r="F74" s="5"/>
      <c r="G74" s="5"/>
      <c r="H74" s="5"/>
      <c r="I74" s="5"/>
      <c r="J74" s="5"/>
      <c r="K74" s="5"/>
      <c r="L74" s="5"/>
      <c r="M74" s="5"/>
      <c r="N74" s="5"/>
      <c r="O74" s="5"/>
      <c r="P74" s="5"/>
      <c r="Q74" s="5"/>
      <c r="R74" s="9"/>
      <c r="S74" s="9"/>
      <c r="T74" s="10"/>
      <c r="U74" s="9"/>
      <c r="V74" s="9"/>
    </row>
    <row r="75" ht="12.5" spans="1:22">
      <c r="A75" s="4"/>
      <c r="B75" s="4"/>
      <c r="C75" s="4"/>
      <c r="D75" s="4"/>
      <c r="E75" s="5"/>
      <c r="F75" s="5"/>
      <c r="G75" s="5"/>
      <c r="H75" s="5"/>
      <c r="I75" s="5"/>
      <c r="J75" s="5"/>
      <c r="K75" s="5"/>
      <c r="L75" s="5"/>
      <c r="M75" s="5"/>
      <c r="N75" s="5"/>
      <c r="O75" s="5"/>
      <c r="P75" s="5"/>
      <c r="Q75" s="5"/>
      <c r="R75" s="9"/>
      <c r="S75" s="9"/>
      <c r="T75" s="10"/>
      <c r="U75" s="9"/>
      <c r="V75" s="9"/>
    </row>
    <row r="76" ht="12.5" spans="1:22">
      <c r="A76" s="4"/>
      <c r="B76" s="4"/>
      <c r="C76" s="4"/>
      <c r="D76" s="4"/>
      <c r="E76" s="5"/>
      <c r="F76" s="5"/>
      <c r="G76" s="5"/>
      <c r="H76" s="5"/>
      <c r="I76" s="5"/>
      <c r="J76" s="5"/>
      <c r="K76" s="5"/>
      <c r="L76" s="5"/>
      <c r="M76" s="5"/>
      <c r="N76" s="5"/>
      <c r="O76" s="5"/>
      <c r="P76" s="5"/>
      <c r="Q76" s="5"/>
      <c r="R76" s="9"/>
      <c r="S76" s="9"/>
      <c r="T76" s="10"/>
      <c r="U76" s="9"/>
      <c r="V76" s="9"/>
    </row>
    <row r="77" ht="12.5" spans="1:22">
      <c r="A77" s="4"/>
      <c r="B77" s="4"/>
      <c r="C77" s="4"/>
      <c r="D77" s="4"/>
      <c r="E77" s="5"/>
      <c r="F77" s="5"/>
      <c r="G77" s="5"/>
      <c r="H77" s="5"/>
      <c r="I77" s="5"/>
      <c r="J77" s="5"/>
      <c r="K77" s="5"/>
      <c r="L77" s="5"/>
      <c r="M77" s="5"/>
      <c r="N77" s="5"/>
      <c r="O77" s="5"/>
      <c r="P77" s="5"/>
      <c r="Q77" s="5"/>
      <c r="R77" s="9"/>
      <c r="S77" s="9"/>
      <c r="T77" s="10"/>
      <c r="U77" s="9"/>
      <c r="V77" s="9"/>
    </row>
    <row r="78" ht="12.5" spans="1:22">
      <c r="A78" s="4"/>
      <c r="B78" s="4"/>
      <c r="C78" s="4"/>
      <c r="D78" s="4"/>
      <c r="E78" s="5"/>
      <c r="F78" s="5"/>
      <c r="G78" s="5"/>
      <c r="H78" s="5"/>
      <c r="I78" s="5"/>
      <c r="J78" s="5"/>
      <c r="K78" s="5"/>
      <c r="L78" s="5"/>
      <c r="M78" s="5"/>
      <c r="N78" s="5"/>
      <c r="O78" s="5"/>
      <c r="P78" s="5"/>
      <c r="Q78" s="5"/>
      <c r="R78" s="9"/>
      <c r="S78" s="9"/>
      <c r="T78" s="10"/>
      <c r="U78" s="9"/>
      <c r="V78" s="9"/>
    </row>
    <row r="79" ht="12.5" spans="1:22">
      <c r="A79" s="4"/>
      <c r="B79" s="4"/>
      <c r="C79" s="4"/>
      <c r="D79" s="4"/>
      <c r="E79" s="5"/>
      <c r="F79" s="5"/>
      <c r="G79" s="5"/>
      <c r="H79" s="5"/>
      <c r="I79" s="5"/>
      <c r="J79" s="5"/>
      <c r="K79" s="5"/>
      <c r="L79" s="5"/>
      <c r="M79" s="5"/>
      <c r="N79" s="5"/>
      <c r="O79" s="5"/>
      <c r="P79" s="5"/>
      <c r="Q79" s="5"/>
      <c r="R79" s="9"/>
      <c r="S79" s="9"/>
      <c r="T79" s="10"/>
      <c r="U79" s="9"/>
      <c r="V79" s="9"/>
    </row>
    <row r="80" ht="12.5" spans="1:22">
      <c r="A80" s="4"/>
      <c r="B80" s="4"/>
      <c r="C80" s="4"/>
      <c r="D80" s="4"/>
      <c r="E80" s="5"/>
      <c r="F80" s="5"/>
      <c r="G80" s="5"/>
      <c r="H80" s="5"/>
      <c r="I80" s="5"/>
      <c r="J80" s="5"/>
      <c r="K80" s="5"/>
      <c r="L80" s="5"/>
      <c r="M80" s="5"/>
      <c r="N80" s="5"/>
      <c r="O80" s="5"/>
      <c r="P80" s="5"/>
      <c r="Q80" s="5"/>
      <c r="R80" s="9"/>
      <c r="S80" s="9"/>
      <c r="T80" s="10"/>
      <c r="U80" s="9"/>
      <c r="V80" s="9"/>
    </row>
    <row r="81" ht="12.5" spans="1:22">
      <c r="A81" s="4"/>
      <c r="B81" s="4"/>
      <c r="C81" s="4"/>
      <c r="D81" s="4"/>
      <c r="E81" s="5"/>
      <c r="F81" s="5"/>
      <c r="G81" s="5"/>
      <c r="H81" s="5"/>
      <c r="I81" s="5"/>
      <c r="J81" s="5"/>
      <c r="K81" s="5"/>
      <c r="L81" s="5"/>
      <c r="M81" s="5"/>
      <c r="N81" s="5"/>
      <c r="O81" s="5"/>
      <c r="P81" s="5"/>
      <c r="Q81" s="5"/>
      <c r="R81" s="9"/>
      <c r="S81" s="9"/>
      <c r="T81" s="10"/>
      <c r="U81" s="9"/>
      <c r="V81" s="9"/>
    </row>
    <row r="82" ht="12.5" spans="1:22">
      <c r="A82" s="4"/>
      <c r="B82" s="4"/>
      <c r="C82" s="4"/>
      <c r="D82" s="4"/>
      <c r="E82" s="5"/>
      <c r="F82" s="5"/>
      <c r="G82" s="5"/>
      <c r="H82" s="5"/>
      <c r="I82" s="5"/>
      <c r="J82" s="5"/>
      <c r="K82" s="5"/>
      <c r="L82" s="5"/>
      <c r="M82" s="5"/>
      <c r="N82" s="5"/>
      <c r="O82" s="5"/>
      <c r="P82" s="5"/>
      <c r="Q82" s="5"/>
      <c r="R82" s="9"/>
      <c r="S82" s="9"/>
      <c r="T82" s="10"/>
      <c r="U82" s="9"/>
      <c r="V82" s="9"/>
    </row>
    <row r="83" ht="12.5" spans="1:22">
      <c r="A83" s="4"/>
      <c r="B83" s="4"/>
      <c r="C83" s="4"/>
      <c r="D83" s="4"/>
      <c r="E83" s="5"/>
      <c r="F83" s="5"/>
      <c r="G83" s="5"/>
      <c r="H83" s="5"/>
      <c r="I83" s="5"/>
      <c r="J83" s="5"/>
      <c r="K83" s="5"/>
      <c r="L83" s="5"/>
      <c r="M83" s="5"/>
      <c r="N83" s="5"/>
      <c r="O83" s="5"/>
      <c r="P83" s="5"/>
      <c r="Q83" s="5"/>
      <c r="R83" s="9"/>
      <c r="S83" s="9"/>
      <c r="T83" s="10"/>
      <c r="U83" s="9"/>
      <c r="V83" s="9"/>
    </row>
    <row r="84" ht="12.5" spans="1:22">
      <c r="A84" s="4"/>
      <c r="B84" s="4"/>
      <c r="C84" s="4"/>
      <c r="D84" s="4"/>
      <c r="E84" s="5"/>
      <c r="F84" s="5"/>
      <c r="G84" s="5"/>
      <c r="H84" s="5"/>
      <c r="I84" s="5"/>
      <c r="J84" s="5"/>
      <c r="K84" s="5"/>
      <c r="L84" s="5"/>
      <c r="M84" s="5"/>
      <c r="N84" s="5"/>
      <c r="O84" s="5"/>
      <c r="P84" s="5"/>
      <c r="Q84" s="5"/>
      <c r="R84" s="9"/>
      <c r="S84" s="9"/>
      <c r="T84" s="10"/>
      <c r="U84" s="9"/>
      <c r="V84" s="9"/>
    </row>
    <row r="85" ht="12.5" spans="1:22">
      <c r="A85" s="4"/>
      <c r="B85" s="4"/>
      <c r="C85" s="4"/>
      <c r="D85" s="4"/>
      <c r="E85" s="5"/>
      <c r="F85" s="5"/>
      <c r="G85" s="5"/>
      <c r="H85" s="5"/>
      <c r="I85" s="5"/>
      <c r="J85" s="5"/>
      <c r="K85" s="5"/>
      <c r="L85" s="5"/>
      <c r="M85" s="5"/>
      <c r="N85" s="5"/>
      <c r="O85" s="5"/>
      <c r="P85" s="5"/>
      <c r="Q85" s="5"/>
      <c r="R85" s="9"/>
      <c r="S85" s="9"/>
      <c r="T85" s="10"/>
      <c r="U85" s="9"/>
      <c r="V85" s="9"/>
    </row>
    <row r="86" ht="12.5" spans="1:22">
      <c r="A86" s="4"/>
      <c r="B86" s="4"/>
      <c r="C86" s="4"/>
      <c r="D86" s="4"/>
      <c r="E86" s="5"/>
      <c r="F86" s="5"/>
      <c r="G86" s="5"/>
      <c r="H86" s="5"/>
      <c r="I86" s="5"/>
      <c r="J86" s="5"/>
      <c r="K86" s="5"/>
      <c r="L86" s="5"/>
      <c r="M86" s="5"/>
      <c r="N86" s="5"/>
      <c r="O86" s="5"/>
      <c r="P86" s="5"/>
      <c r="Q86" s="5"/>
      <c r="R86" s="9"/>
      <c r="S86" s="9"/>
      <c r="T86" s="10"/>
      <c r="U86" s="9"/>
      <c r="V86" s="9"/>
    </row>
    <row r="87" ht="12.5" spans="1:22">
      <c r="A87" s="4"/>
      <c r="B87" s="4"/>
      <c r="C87" s="4"/>
      <c r="D87" s="4"/>
      <c r="E87" s="5"/>
      <c r="F87" s="5"/>
      <c r="G87" s="5"/>
      <c r="H87" s="5"/>
      <c r="I87" s="5"/>
      <c r="J87" s="5"/>
      <c r="K87" s="5"/>
      <c r="L87" s="5"/>
      <c r="M87" s="5"/>
      <c r="N87" s="5"/>
      <c r="O87" s="5"/>
      <c r="P87" s="5"/>
      <c r="Q87" s="5"/>
      <c r="R87" s="9"/>
      <c r="S87" s="9"/>
      <c r="T87" s="10"/>
      <c r="U87" s="9"/>
      <c r="V87" s="9"/>
    </row>
    <row r="88" ht="12.5" spans="1:22">
      <c r="A88" s="4"/>
      <c r="B88" s="4"/>
      <c r="C88" s="4"/>
      <c r="D88" s="4"/>
      <c r="E88" s="5"/>
      <c r="F88" s="5"/>
      <c r="G88" s="5"/>
      <c r="H88" s="5"/>
      <c r="I88" s="5"/>
      <c r="J88" s="5"/>
      <c r="K88" s="5"/>
      <c r="L88" s="5"/>
      <c r="M88" s="5"/>
      <c r="N88" s="5"/>
      <c r="O88" s="5"/>
      <c r="P88" s="5"/>
      <c r="Q88" s="5"/>
      <c r="R88" s="9"/>
      <c r="S88" s="9"/>
      <c r="T88" s="10"/>
      <c r="U88" s="9"/>
      <c r="V88" s="9"/>
    </row>
    <row r="89" ht="12.5" spans="1:22">
      <c r="A89" s="4"/>
      <c r="B89" s="4"/>
      <c r="C89" s="4"/>
      <c r="D89" s="4"/>
      <c r="E89" s="5"/>
      <c r="F89" s="5"/>
      <c r="G89" s="5"/>
      <c r="H89" s="5"/>
      <c r="I89" s="5"/>
      <c r="J89" s="5"/>
      <c r="K89" s="5"/>
      <c r="L89" s="5"/>
      <c r="M89" s="5"/>
      <c r="N89" s="5"/>
      <c r="O89" s="5"/>
      <c r="P89" s="5"/>
      <c r="Q89" s="5"/>
      <c r="R89" s="9"/>
      <c r="S89" s="9"/>
      <c r="T89" s="10"/>
      <c r="U89" s="9"/>
      <c r="V89" s="9"/>
    </row>
    <row r="90" ht="12.5" spans="1:22">
      <c r="A90" s="4"/>
      <c r="B90" s="4"/>
      <c r="C90" s="4"/>
      <c r="D90" s="4"/>
      <c r="E90" s="5"/>
      <c r="F90" s="5"/>
      <c r="G90" s="5"/>
      <c r="H90" s="5"/>
      <c r="I90" s="5"/>
      <c r="J90" s="5"/>
      <c r="K90" s="5"/>
      <c r="L90" s="5"/>
      <c r="M90" s="5"/>
      <c r="N90" s="5"/>
      <c r="O90" s="5"/>
      <c r="P90" s="5"/>
      <c r="Q90" s="5"/>
      <c r="R90" s="9"/>
      <c r="S90" s="9"/>
      <c r="T90" s="10"/>
      <c r="U90" s="9"/>
      <c r="V90" s="9"/>
    </row>
    <row r="91" ht="12.5" spans="1:22">
      <c r="A91" s="4"/>
      <c r="B91" s="4"/>
      <c r="C91" s="4"/>
      <c r="D91" s="4"/>
      <c r="E91" s="5"/>
      <c r="F91" s="5"/>
      <c r="G91" s="5"/>
      <c r="H91" s="5"/>
      <c r="I91" s="5"/>
      <c r="J91" s="5"/>
      <c r="K91" s="5"/>
      <c r="L91" s="5"/>
      <c r="M91" s="5"/>
      <c r="N91" s="5"/>
      <c r="O91" s="5"/>
      <c r="P91" s="5"/>
      <c r="Q91" s="5"/>
      <c r="R91" s="9"/>
      <c r="S91" s="9"/>
      <c r="T91" s="10"/>
      <c r="U91" s="9"/>
      <c r="V91" s="9"/>
    </row>
    <row r="92" ht="12.5" spans="1:22">
      <c r="A92" s="4"/>
      <c r="B92" s="4"/>
      <c r="C92" s="4"/>
      <c r="D92" s="4"/>
      <c r="E92" s="5"/>
      <c r="F92" s="5"/>
      <c r="G92" s="5"/>
      <c r="H92" s="5"/>
      <c r="I92" s="5"/>
      <c r="J92" s="5"/>
      <c r="K92" s="5"/>
      <c r="L92" s="5"/>
      <c r="M92" s="5"/>
      <c r="N92" s="5"/>
      <c r="O92" s="5"/>
      <c r="P92" s="5"/>
      <c r="Q92" s="5"/>
      <c r="R92" s="9"/>
      <c r="S92" s="9"/>
      <c r="T92" s="10"/>
      <c r="U92" s="9"/>
      <c r="V92" s="9"/>
    </row>
    <row r="93" ht="12.5" spans="1:22">
      <c r="A93" s="4"/>
      <c r="B93" s="4"/>
      <c r="C93" s="4"/>
      <c r="D93" s="4"/>
      <c r="E93" s="5"/>
      <c r="F93" s="5"/>
      <c r="G93" s="5"/>
      <c r="H93" s="5"/>
      <c r="I93" s="5"/>
      <c r="J93" s="5"/>
      <c r="K93" s="5"/>
      <c r="L93" s="5"/>
      <c r="M93" s="5"/>
      <c r="N93" s="5"/>
      <c r="O93" s="5"/>
      <c r="P93" s="5"/>
      <c r="Q93" s="5"/>
      <c r="R93" s="9"/>
      <c r="S93" s="9"/>
      <c r="T93" s="10"/>
      <c r="U93" s="9"/>
      <c r="V93" s="9"/>
    </row>
    <row r="94" ht="12.5" spans="1:22">
      <c r="A94" s="4"/>
      <c r="B94" s="4"/>
      <c r="C94" s="4"/>
      <c r="D94" s="4"/>
      <c r="E94" s="5"/>
      <c r="F94" s="5"/>
      <c r="G94" s="5"/>
      <c r="H94" s="5"/>
      <c r="I94" s="5"/>
      <c r="J94" s="5"/>
      <c r="K94" s="5"/>
      <c r="L94" s="5"/>
      <c r="M94" s="5"/>
      <c r="N94" s="5"/>
      <c r="O94" s="5"/>
      <c r="P94" s="5"/>
      <c r="Q94" s="5"/>
      <c r="R94" s="9"/>
      <c r="S94" s="9"/>
      <c r="T94" s="10"/>
      <c r="U94" s="9"/>
      <c r="V94" s="9"/>
    </row>
    <row r="95" ht="12.5" spans="1:22">
      <c r="A95" s="4"/>
      <c r="B95" s="4"/>
      <c r="C95" s="4"/>
      <c r="D95" s="4"/>
      <c r="E95" s="5"/>
      <c r="F95" s="5"/>
      <c r="G95" s="5"/>
      <c r="H95" s="5"/>
      <c r="I95" s="5"/>
      <c r="J95" s="5"/>
      <c r="K95" s="5"/>
      <c r="L95" s="5"/>
      <c r="M95" s="5"/>
      <c r="N95" s="5"/>
      <c r="O95" s="5"/>
      <c r="P95" s="5"/>
      <c r="Q95" s="5"/>
      <c r="R95" s="9"/>
      <c r="S95" s="9"/>
      <c r="T95" s="10"/>
      <c r="U95" s="9"/>
      <c r="V95" s="9"/>
    </row>
    <row r="96" ht="12.5" spans="1:22">
      <c r="A96" s="4"/>
      <c r="B96" s="4"/>
      <c r="C96" s="4"/>
      <c r="D96" s="4"/>
      <c r="E96" s="5"/>
      <c r="F96" s="5"/>
      <c r="G96" s="5"/>
      <c r="H96" s="5"/>
      <c r="I96" s="5"/>
      <c r="J96" s="5"/>
      <c r="K96" s="5"/>
      <c r="L96" s="5"/>
      <c r="M96" s="5"/>
      <c r="N96" s="5"/>
      <c r="O96" s="5"/>
      <c r="P96" s="5"/>
      <c r="Q96" s="5"/>
      <c r="R96" s="9"/>
      <c r="S96" s="9"/>
      <c r="T96" s="10"/>
      <c r="U96" s="9"/>
      <c r="V96" s="9"/>
    </row>
    <row r="97" ht="12.5" spans="1:22">
      <c r="A97" s="4"/>
      <c r="B97" s="4"/>
      <c r="C97" s="4"/>
      <c r="D97" s="4"/>
      <c r="E97" s="5"/>
      <c r="F97" s="5"/>
      <c r="G97" s="5"/>
      <c r="H97" s="5"/>
      <c r="I97" s="5"/>
      <c r="J97" s="5"/>
      <c r="K97" s="5"/>
      <c r="L97" s="5"/>
      <c r="M97" s="5"/>
      <c r="N97" s="5"/>
      <c r="O97" s="5"/>
      <c r="P97" s="5"/>
      <c r="Q97" s="5"/>
      <c r="R97" s="9"/>
      <c r="S97" s="9"/>
      <c r="T97" s="10"/>
      <c r="U97" s="9"/>
      <c r="V97" s="9"/>
    </row>
    <row r="98" ht="12.5" spans="1:22">
      <c r="A98" s="4"/>
      <c r="B98" s="4"/>
      <c r="C98" s="4"/>
      <c r="D98" s="4"/>
      <c r="E98" s="5"/>
      <c r="F98" s="5"/>
      <c r="G98" s="5"/>
      <c r="H98" s="5"/>
      <c r="I98" s="5"/>
      <c r="J98" s="5"/>
      <c r="K98" s="5"/>
      <c r="L98" s="5"/>
      <c r="M98" s="5"/>
      <c r="N98" s="5"/>
      <c r="O98" s="5"/>
      <c r="P98" s="5"/>
      <c r="Q98" s="5"/>
      <c r="R98" s="9"/>
      <c r="S98" s="9"/>
      <c r="T98" s="10"/>
      <c r="U98" s="9"/>
      <c r="V98" s="9"/>
    </row>
    <row r="99" ht="12.5" spans="1:22">
      <c r="A99" s="4"/>
      <c r="B99" s="4"/>
      <c r="C99" s="4"/>
      <c r="D99" s="4"/>
      <c r="E99" s="5"/>
      <c r="F99" s="5"/>
      <c r="G99" s="5"/>
      <c r="H99" s="5"/>
      <c r="I99" s="5"/>
      <c r="J99" s="5"/>
      <c r="K99" s="5"/>
      <c r="L99" s="5"/>
      <c r="M99" s="5"/>
      <c r="N99" s="5"/>
      <c r="O99" s="5"/>
      <c r="P99" s="5"/>
      <c r="Q99" s="5"/>
      <c r="R99" s="9"/>
      <c r="S99" s="9"/>
      <c r="T99" s="10"/>
      <c r="U99" s="9"/>
      <c r="V99" s="9"/>
    </row>
    <row r="100" ht="12.5" spans="1:22">
      <c r="A100" s="4"/>
      <c r="B100" s="4"/>
      <c r="C100" s="4"/>
      <c r="D100" s="4"/>
      <c r="E100" s="5"/>
      <c r="F100" s="5"/>
      <c r="G100" s="5"/>
      <c r="H100" s="5"/>
      <c r="I100" s="5"/>
      <c r="J100" s="5"/>
      <c r="K100" s="5"/>
      <c r="L100" s="5"/>
      <c r="M100" s="5"/>
      <c r="N100" s="5"/>
      <c r="O100" s="5"/>
      <c r="P100" s="5"/>
      <c r="Q100" s="5"/>
      <c r="R100" s="9"/>
      <c r="S100" s="9"/>
      <c r="T100" s="10"/>
      <c r="U100" s="9"/>
      <c r="V100" s="9"/>
    </row>
    <row r="101" ht="12.5" spans="1:22">
      <c r="A101" s="4"/>
      <c r="B101" s="4"/>
      <c r="C101" s="4"/>
      <c r="D101" s="4"/>
      <c r="E101" s="5"/>
      <c r="F101" s="5"/>
      <c r="G101" s="5"/>
      <c r="H101" s="5"/>
      <c r="I101" s="5"/>
      <c r="J101" s="5"/>
      <c r="K101" s="5"/>
      <c r="L101" s="5"/>
      <c r="M101" s="5"/>
      <c r="N101" s="5"/>
      <c r="O101" s="5"/>
      <c r="P101" s="5"/>
      <c r="Q101" s="5"/>
      <c r="R101" s="9"/>
      <c r="S101" s="9"/>
      <c r="T101" s="10"/>
      <c r="U101" s="9"/>
      <c r="V101" s="9"/>
    </row>
    <row r="102" ht="12.5" spans="1:22">
      <c r="A102" s="4"/>
      <c r="B102" s="4"/>
      <c r="C102" s="4"/>
      <c r="D102" s="4"/>
      <c r="E102" s="5"/>
      <c r="F102" s="5"/>
      <c r="G102" s="5"/>
      <c r="H102" s="5"/>
      <c r="I102" s="5"/>
      <c r="J102" s="5"/>
      <c r="K102" s="5"/>
      <c r="L102" s="5"/>
      <c r="M102" s="5"/>
      <c r="N102" s="5"/>
      <c r="O102" s="5"/>
      <c r="P102" s="5"/>
      <c r="Q102" s="5"/>
      <c r="R102" s="9"/>
      <c r="S102" s="9"/>
      <c r="T102" s="10"/>
      <c r="U102" s="9"/>
      <c r="V102" s="9"/>
    </row>
    <row r="103" ht="12.5" spans="1:22">
      <c r="A103" s="4"/>
      <c r="B103" s="4"/>
      <c r="C103" s="4"/>
      <c r="D103" s="4"/>
      <c r="E103" s="5"/>
      <c r="F103" s="5"/>
      <c r="G103" s="5"/>
      <c r="H103" s="5"/>
      <c r="I103" s="5"/>
      <c r="J103" s="5"/>
      <c r="K103" s="5"/>
      <c r="L103" s="5"/>
      <c r="M103" s="5"/>
      <c r="N103" s="5"/>
      <c r="O103" s="5"/>
      <c r="P103" s="5"/>
      <c r="Q103" s="5"/>
      <c r="R103" s="9"/>
      <c r="S103" s="9"/>
      <c r="T103" s="10"/>
      <c r="U103" s="9"/>
      <c r="V103" s="9"/>
    </row>
    <row r="104" ht="12.5" spans="1:22">
      <c r="A104" s="4"/>
      <c r="B104" s="4"/>
      <c r="C104" s="4"/>
      <c r="D104" s="4"/>
      <c r="E104" s="5"/>
      <c r="F104" s="5"/>
      <c r="G104" s="5"/>
      <c r="H104" s="5"/>
      <c r="I104" s="5"/>
      <c r="J104" s="5"/>
      <c r="K104" s="5"/>
      <c r="L104" s="5"/>
      <c r="M104" s="5"/>
      <c r="N104" s="5"/>
      <c r="O104" s="5"/>
      <c r="P104" s="5"/>
      <c r="Q104" s="5"/>
      <c r="R104" s="9"/>
      <c r="S104" s="9"/>
      <c r="T104" s="10"/>
      <c r="U104" s="9"/>
      <c r="V104" s="9"/>
    </row>
    <row r="105" ht="12.5" spans="1:22">
      <c r="A105" s="4"/>
      <c r="B105" s="4"/>
      <c r="C105" s="4"/>
      <c r="D105" s="4"/>
      <c r="E105" s="5"/>
      <c r="F105" s="5"/>
      <c r="G105" s="5"/>
      <c r="H105" s="5"/>
      <c r="I105" s="5"/>
      <c r="J105" s="5"/>
      <c r="K105" s="5"/>
      <c r="L105" s="5"/>
      <c r="M105" s="5"/>
      <c r="N105" s="5"/>
      <c r="O105" s="5"/>
      <c r="P105" s="5"/>
      <c r="Q105" s="5"/>
      <c r="R105" s="9"/>
      <c r="S105" s="9"/>
      <c r="T105" s="10"/>
      <c r="U105" s="9"/>
      <c r="V105" s="9"/>
    </row>
    <row r="106" ht="12.5" spans="1:22">
      <c r="A106" s="4"/>
      <c r="B106" s="4"/>
      <c r="C106" s="4"/>
      <c r="D106" s="4"/>
      <c r="E106" s="5"/>
      <c r="F106" s="5"/>
      <c r="G106" s="5"/>
      <c r="H106" s="5"/>
      <c r="I106" s="5"/>
      <c r="J106" s="5"/>
      <c r="K106" s="5"/>
      <c r="L106" s="5"/>
      <c r="M106" s="5"/>
      <c r="N106" s="5"/>
      <c r="O106" s="5"/>
      <c r="P106" s="5"/>
      <c r="Q106" s="5"/>
      <c r="R106" s="9"/>
      <c r="S106" s="9"/>
      <c r="T106" s="10"/>
      <c r="U106" s="9"/>
      <c r="V106" s="9"/>
    </row>
    <row r="107" ht="12.5" spans="1:22">
      <c r="A107" s="4"/>
      <c r="B107" s="4"/>
      <c r="C107" s="4"/>
      <c r="D107" s="4"/>
      <c r="E107" s="5"/>
      <c r="F107" s="5"/>
      <c r="G107" s="5"/>
      <c r="H107" s="5"/>
      <c r="I107" s="5"/>
      <c r="J107" s="5"/>
      <c r="K107" s="5"/>
      <c r="L107" s="5"/>
      <c r="M107" s="5"/>
      <c r="N107" s="5"/>
      <c r="O107" s="5"/>
      <c r="P107" s="5"/>
      <c r="Q107" s="5"/>
      <c r="R107" s="9"/>
      <c r="S107" s="9"/>
      <c r="T107" s="10"/>
      <c r="U107" s="9"/>
      <c r="V107" s="9"/>
    </row>
    <row r="108" ht="12.5" spans="1:22">
      <c r="A108" s="4"/>
      <c r="B108" s="4"/>
      <c r="C108" s="4"/>
      <c r="D108" s="4"/>
      <c r="E108" s="5"/>
      <c r="F108" s="5"/>
      <c r="G108" s="5"/>
      <c r="H108" s="5"/>
      <c r="I108" s="5"/>
      <c r="J108" s="5"/>
      <c r="K108" s="5"/>
      <c r="L108" s="5"/>
      <c r="M108" s="5"/>
      <c r="N108" s="5"/>
      <c r="O108" s="5"/>
      <c r="P108" s="5"/>
      <c r="Q108" s="5"/>
      <c r="R108" s="9"/>
      <c r="S108" s="9"/>
      <c r="T108" s="10"/>
      <c r="U108" s="9"/>
      <c r="V108" s="9"/>
    </row>
    <row r="109" ht="12.5" spans="1:22">
      <c r="A109" s="4"/>
      <c r="B109" s="4"/>
      <c r="C109" s="4"/>
      <c r="D109" s="4"/>
      <c r="E109" s="5"/>
      <c r="F109" s="5"/>
      <c r="G109" s="5"/>
      <c r="H109" s="5"/>
      <c r="I109" s="5"/>
      <c r="J109" s="5"/>
      <c r="K109" s="5"/>
      <c r="L109" s="5"/>
      <c r="M109" s="5"/>
      <c r="N109" s="5"/>
      <c r="O109" s="5"/>
      <c r="P109" s="5"/>
      <c r="Q109" s="5"/>
      <c r="R109" s="9"/>
      <c r="S109" s="9"/>
      <c r="T109" s="10"/>
      <c r="U109" s="9"/>
      <c r="V109" s="9"/>
    </row>
    <row r="110" ht="12.5" spans="1:22">
      <c r="A110" s="4"/>
      <c r="B110" s="4"/>
      <c r="C110" s="4"/>
      <c r="D110" s="4"/>
      <c r="E110" s="5"/>
      <c r="F110" s="5"/>
      <c r="G110" s="5"/>
      <c r="H110" s="5"/>
      <c r="I110" s="5"/>
      <c r="J110" s="5"/>
      <c r="K110" s="5"/>
      <c r="L110" s="5"/>
      <c r="M110" s="5"/>
      <c r="N110" s="5"/>
      <c r="O110" s="5"/>
      <c r="P110" s="5"/>
      <c r="Q110" s="5"/>
      <c r="R110" s="9"/>
      <c r="S110" s="9"/>
      <c r="T110" s="10"/>
      <c r="U110" s="9"/>
      <c r="V110" s="9"/>
    </row>
    <row r="111" ht="12.5" spans="1:22">
      <c r="A111" s="4"/>
      <c r="B111" s="4"/>
      <c r="C111" s="4"/>
      <c r="D111" s="4"/>
      <c r="E111" s="5"/>
      <c r="F111" s="5"/>
      <c r="G111" s="5"/>
      <c r="H111" s="5"/>
      <c r="I111" s="5"/>
      <c r="J111" s="5"/>
      <c r="K111" s="5"/>
      <c r="L111" s="5"/>
      <c r="M111" s="5"/>
      <c r="N111" s="5"/>
      <c r="O111" s="5"/>
      <c r="P111" s="5"/>
      <c r="Q111" s="5"/>
      <c r="R111" s="9"/>
      <c r="S111" s="9"/>
      <c r="T111" s="10"/>
      <c r="U111" s="9"/>
      <c r="V111" s="9"/>
    </row>
    <row r="112" ht="12.5" spans="1:22">
      <c r="A112" s="4"/>
      <c r="B112" s="4"/>
      <c r="C112" s="4"/>
      <c r="D112" s="4"/>
      <c r="E112" s="5"/>
      <c r="F112" s="5"/>
      <c r="G112" s="5"/>
      <c r="H112" s="5"/>
      <c r="I112" s="5"/>
      <c r="J112" s="5"/>
      <c r="K112" s="5"/>
      <c r="L112" s="5"/>
      <c r="M112" s="5"/>
      <c r="N112" s="5"/>
      <c r="O112" s="5"/>
      <c r="P112" s="5"/>
      <c r="Q112" s="5"/>
      <c r="R112" s="9"/>
      <c r="S112" s="9"/>
      <c r="T112" s="10"/>
      <c r="U112" s="9"/>
      <c r="V112" s="9"/>
    </row>
    <row r="113" ht="12.5" spans="1:22">
      <c r="A113" s="4"/>
      <c r="B113" s="4"/>
      <c r="C113" s="4"/>
      <c r="D113" s="4"/>
      <c r="E113" s="5"/>
      <c r="F113" s="5"/>
      <c r="G113" s="5"/>
      <c r="H113" s="5"/>
      <c r="I113" s="5"/>
      <c r="J113" s="5"/>
      <c r="K113" s="5"/>
      <c r="L113" s="5"/>
      <c r="M113" s="5"/>
      <c r="N113" s="5"/>
      <c r="O113" s="5"/>
      <c r="P113" s="5"/>
      <c r="Q113" s="5"/>
      <c r="R113" s="9"/>
      <c r="S113" s="9"/>
      <c r="T113" s="10"/>
      <c r="U113" s="9"/>
      <c r="V113" s="9"/>
    </row>
    <row r="114" ht="12.5" spans="1:22">
      <c r="A114" s="4"/>
      <c r="B114" s="4"/>
      <c r="C114" s="4"/>
      <c r="D114" s="4"/>
      <c r="E114" s="5"/>
      <c r="F114" s="5"/>
      <c r="G114" s="5"/>
      <c r="H114" s="5"/>
      <c r="I114" s="5"/>
      <c r="J114" s="5"/>
      <c r="K114" s="5"/>
      <c r="L114" s="5"/>
      <c r="M114" s="5"/>
      <c r="N114" s="5"/>
      <c r="O114" s="5"/>
      <c r="P114" s="5"/>
      <c r="Q114" s="5"/>
      <c r="R114" s="9"/>
      <c r="S114" s="9"/>
      <c r="T114" s="10"/>
      <c r="U114" s="9"/>
      <c r="V114" s="9"/>
    </row>
    <row r="115" ht="12.5" spans="1:22">
      <c r="A115" s="4"/>
      <c r="B115" s="4"/>
      <c r="C115" s="4"/>
      <c r="D115" s="4"/>
      <c r="E115" s="5"/>
      <c r="F115" s="5"/>
      <c r="G115" s="5"/>
      <c r="H115" s="5"/>
      <c r="I115" s="5"/>
      <c r="J115" s="5"/>
      <c r="K115" s="5"/>
      <c r="L115" s="5"/>
      <c r="M115" s="5"/>
      <c r="N115" s="5"/>
      <c r="O115" s="5"/>
      <c r="P115" s="5"/>
      <c r="Q115" s="5"/>
      <c r="R115" s="9"/>
      <c r="S115" s="9"/>
      <c r="T115" s="10"/>
      <c r="U115" s="9"/>
      <c r="V115" s="9"/>
    </row>
    <row r="116" ht="12.5" spans="1:22">
      <c r="A116" s="4"/>
      <c r="B116" s="4"/>
      <c r="C116" s="4"/>
      <c r="D116" s="4"/>
      <c r="E116" s="5"/>
      <c r="F116" s="5"/>
      <c r="G116" s="5"/>
      <c r="H116" s="5"/>
      <c r="I116" s="5"/>
      <c r="J116" s="5"/>
      <c r="K116" s="5"/>
      <c r="L116" s="5"/>
      <c r="M116" s="5"/>
      <c r="N116" s="5"/>
      <c r="O116" s="5"/>
      <c r="P116" s="5"/>
      <c r="Q116" s="5"/>
      <c r="R116" s="9"/>
      <c r="S116" s="9"/>
      <c r="T116" s="10"/>
      <c r="U116" s="9"/>
      <c r="V116" s="9"/>
    </row>
    <row r="117" ht="12.5" spans="1:22">
      <c r="A117" s="4"/>
      <c r="B117" s="4"/>
      <c r="C117" s="4"/>
      <c r="D117" s="4"/>
      <c r="E117" s="5"/>
      <c r="F117" s="5"/>
      <c r="G117" s="5"/>
      <c r="H117" s="5"/>
      <c r="I117" s="5"/>
      <c r="J117" s="5"/>
      <c r="K117" s="5"/>
      <c r="L117" s="5"/>
      <c r="M117" s="5"/>
      <c r="N117" s="5"/>
      <c r="O117" s="5"/>
      <c r="P117" s="5"/>
      <c r="Q117" s="5"/>
      <c r="R117" s="9"/>
      <c r="S117" s="9"/>
      <c r="T117" s="10"/>
      <c r="U117" s="9"/>
      <c r="V117" s="9"/>
    </row>
    <row r="118" ht="12.5" spans="1:22">
      <c r="A118" s="4"/>
      <c r="B118" s="4"/>
      <c r="C118" s="4"/>
      <c r="D118" s="4"/>
      <c r="E118" s="5"/>
      <c r="F118" s="5"/>
      <c r="G118" s="5"/>
      <c r="H118" s="5"/>
      <c r="I118" s="5"/>
      <c r="J118" s="5"/>
      <c r="K118" s="5"/>
      <c r="L118" s="5"/>
      <c r="M118" s="5"/>
      <c r="N118" s="5"/>
      <c r="O118" s="5"/>
      <c r="P118" s="5"/>
      <c r="Q118" s="5"/>
      <c r="R118" s="9"/>
      <c r="S118" s="9"/>
      <c r="T118" s="10"/>
      <c r="U118" s="9"/>
      <c r="V118" s="9"/>
    </row>
    <row r="119" ht="12.5" spans="1:22">
      <c r="A119" s="4"/>
      <c r="B119" s="4"/>
      <c r="C119" s="4"/>
      <c r="D119" s="4"/>
      <c r="E119" s="5"/>
      <c r="F119" s="5"/>
      <c r="G119" s="5"/>
      <c r="H119" s="5"/>
      <c r="I119" s="5"/>
      <c r="J119" s="5"/>
      <c r="K119" s="5"/>
      <c r="L119" s="5"/>
      <c r="M119" s="5"/>
      <c r="N119" s="5"/>
      <c r="O119" s="5"/>
      <c r="P119" s="5"/>
      <c r="Q119" s="5"/>
      <c r="R119" s="9"/>
      <c r="S119" s="9"/>
      <c r="T119" s="10"/>
      <c r="U119" s="9"/>
      <c r="V119" s="9"/>
    </row>
    <row r="120" ht="12.5" spans="1:22">
      <c r="A120" s="4"/>
      <c r="B120" s="4"/>
      <c r="C120" s="4"/>
      <c r="D120" s="4"/>
      <c r="E120" s="5"/>
      <c r="F120" s="5"/>
      <c r="G120" s="5"/>
      <c r="H120" s="5"/>
      <c r="I120" s="5"/>
      <c r="J120" s="5"/>
      <c r="K120" s="5"/>
      <c r="L120" s="5"/>
      <c r="M120" s="5"/>
      <c r="N120" s="5"/>
      <c r="O120" s="5"/>
      <c r="P120" s="5"/>
      <c r="Q120" s="5"/>
      <c r="R120" s="9"/>
      <c r="S120" s="9"/>
      <c r="T120" s="10"/>
      <c r="U120" s="9"/>
      <c r="V120" s="9"/>
    </row>
    <row r="121" ht="12.5" spans="1:22">
      <c r="A121" s="4"/>
      <c r="B121" s="4"/>
      <c r="C121" s="4"/>
      <c r="D121" s="4"/>
      <c r="E121" s="5"/>
      <c r="F121" s="5"/>
      <c r="G121" s="5"/>
      <c r="H121" s="5"/>
      <c r="I121" s="5"/>
      <c r="J121" s="5"/>
      <c r="K121" s="5"/>
      <c r="L121" s="5"/>
      <c r="M121" s="5"/>
      <c r="N121" s="5"/>
      <c r="O121" s="5"/>
      <c r="P121" s="5"/>
      <c r="Q121" s="5"/>
      <c r="R121" s="9"/>
      <c r="S121" s="9"/>
      <c r="T121" s="10"/>
      <c r="U121" s="9"/>
      <c r="V121" s="9"/>
    </row>
    <row r="122" ht="12.5" spans="1:22">
      <c r="A122" s="4"/>
      <c r="B122" s="4"/>
      <c r="C122" s="4"/>
      <c r="D122" s="4"/>
      <c r="E122" s="5"/>
      <c r="F122" s="5"/>
      <c r="G122" s="5"/>
      <c r="H122" s="5"/>
      <c r="I122" s="5"/>
      <c r="J122" s="5"/>
      <c r="K122" s="5"/>
      <c r="L122" s="5"/>
      <c r="M122" s="5"/>
      <c r="N122" s="5"/>
      <c r="O122" s="5"/>
      <c r="P122" s="5"/>
      <c r="Q122" s="5"/>
      <c r="R122" s="9"/>
      <c r="S122" s="9"/>
      <c r="T122" s="10"/>
      <c r="U122" s="9"/>
      <c r="V122" s="9"/>
    </row>
    <row r="123" ht="12.5" spans="1:22">
      <c r="A123" s="4"/>
      <c r="B123" s="4"/>
      <c r="C123" s="4"/>
      <c r="D123" s="4"/>
      <c r="E123" s="5"/>
      <c r="F123" s="5"/>
      <c r="G123" s="5"/>
      <c r="H123" s="5"/>
      <c r="I123" s="5"/>
      <c r="J123" s="5"/>
      <c r="K123" s="5"/>
      <c r="L123" s="5"/>
      <c r="M123" s="5"/>
      <c r="N123" s="5"/>
      <c r="O123" s="5"/>
      <c r="P123" s="5"/>
      <c r="Q123" s="5"/>
      <c r="R123" s="9"/>
      <c r="S123" s="9"/>
      <c r="T123" s="10"/>
      <c r="U123" s="9"/>
      <c r="V123" s="9"/>
    </row>
    <row r="124" ht="12.5" spans="1:22">
      <c r="A124" s="4"/>
      <c r="B124" s="4"/>
      <c r="C124" s="4"/>
      <c r="D124" s="4"/>
      <c r="E124" s="5"/>
      <c r="F124" s="5"/>
      <c r="G124" s="5"/>
      <c r="H124" s="5"/>
      <c r="I124" s="5"/>
      <c r="J124" s="5"/>
      <c r="K124" s="5"/>
      <c r="L124" s="5"/>
      <c r="M124" s="5"/>
      <c r="N124" s="5"/>
      <c r="O124" s="5"/>
      <c r="P124" s="5"/>
      <c r="Q124" s="5"/>
      <c r="R124" s="9"/>
      <c r="S124" s="9"/>
      <c r="T124" s="10"/>
      <c r="U124" s="9"/>
      <c r="V124" s="9"/>
    </row>
    <row r="125" ht="12.5" spans="1:22">
      <c r="A125" s="4"/>
      <c r="B125" s="4"/>
      <c r="C125" s="4"/>
      <c r="D125" s="4"/>
      <c r="E125" s="5"/>
      <c r="F125" s="5"/>
      <c r="G125" s="5"/>
      <c r="H125" s="5"/>
      <c r="I125" s="5"/>
      <c r="J125" s="5"/>
      <c r="K125" s="5"/>
      <c r="L125" s="5"/>
      <c r="M125" s="5"/>
      <c r="N125" s="5"/>
      <c r="O125" s="5"/>
      <c r="P125" s="5"/>
      <c r="Q125" s="5"/>
      <c r="R125" s="9"/>
      <c r="S125" s="9"/>
      <c r="T125" s="10"/>
      <c r="U125" s="9"/>
      <c r="V125" s="9"/>
    </row>
    <row r="126" ht="12.5" spans="1:22">
      <c r="A126" s="4"/>
      <c r="B126" s="4"/>
      <c r="C126" s="4"/>
      <c r="D126" s="4"/>
      <c r="E126" s="5"/>
      <c r="F126" s="5"/>
      <c r="G126" s="5"/>
      <c r="H126" s="5"/>
      <c r="I126" s="5"/>
      <c r="J126" s="5"/>
      <c r="K126" s="5"/>
      <c r="L126" s="5"/>
      <c r="M126" s="5"/>
      <c r="N126" s="5"/>
      <c r="O126" s="5"/>
      <c r="P126" s="5"/>
      <c r="Q126" s="5"/>
      <c r="R126" s="9"/>
      <c r="S126" s="9"/>
      <c r="T126" s="10"/>
      <c r="U126" s="9"/>
      <c r="V126" s="9"/>
    </row>
    <row r="127" ht="12.5" spans="1:22">
      <c r="A127" s="4"/>
      <c r="B127" s="4"/>
      <c r="C127" s="4"/>
      <c r="D127" s="4"/>
      <c r="E127" s="5"/>
      <c r="F127" s="5"/>
      <c r="G127" s="5"/>
      <c r="H127" s="5"/>
      <c r="I127" s="5"/>
      <c r="J127" s="5"/>
      <c r="K127" s="5"/>
      <c r="L127" s="5"/>
      <c r="M127" s="5"/>
      <c r="N127" s="5"/>
      <c r="O127" s="5"/>
      <c r="P127" s="5"/>
      <c r="Q127" s="5"/>
      <c r="R127" s="9"/>
      <c r="S127" s="9"/>
      <c r="T127" s="10"/>
      <c r="U127" s="9"/>
      <c r="V127" s="9"/>
    </row>
    <row r="128" ht="12.5" spans="1:22">
      <c r="A128" s="4"/>
      <c r="B128" s="4"/>
      <c r="C128" s="4"/>
      <c r="D128" s="4"/>
      <c r="E128" s="5"/>
      <c r="F128" s="5"/>
      <c r="G128" s="5"/>
      <c r="H128" s="5"/>
      <c r="I128" s="5"/>
      <c r="J128" s="5"/>
      <c r="K128" s="5"/>
      <c r="L128" s="5"/>
      <c r="M128" s="5"/>
      <c r="N128" s="5"/>
      <c r="O128" s="5"/>
      <c r="P128" s="5"/>
      <c r="Q128" s="5"/>
      <c r="R128" s="9"/>
      <c r="S128" s="9"/>
      <c r="T128" s="10"/>
      <c r="U128" s="9"/>
      <c r="V128" s="9"/>
    </row>
    <row r="129" ht="12.5" spans="1:22">
      <c r="A129" s="4"/>
      <c r="B129" s="4"/>
      <c r="C129" s="4"/>
      <c r="D129" s="4"/>
      <c r="E129" s="5"/>
      <c r="F129" s="5"/>
      <c r="G129" s="5"/>
      <c r="H129" s="5"/>
      <c r="I129" s="5"/>
      <c r="J129" s="5"/>
      <c r="K129" s="5"/>
      <c r="L129" s="5"/>
      <c r="M129" s="5"/>
      <c r="N129" s="5"/>
      <c r="O129" s="5"/>
      <c r="P129" s="5"/>
      <c r="Q129" s="5"/>
      <c r="R129" s="9"/>
      <c r="S129" s="9"/>
      <c r="T129" s="10"/>
      <c r="U129" s="9"/>
      <c r="V129" s="9"/>
    </row>
    <row r="130" ht="12.5" spans="1:22">
      <c r="A130" s="4"/>
      <c r="B130" s="4"/>
      <c r="C130" s="4"/>
      <c r="D130" s="4"/>
      <c r="E130" s="5"/>
      <c r="F130" s="5"/>
      <c r="G130" s="5"/>
      <c r="H130" s="5"/>
      <c r="I130" s="5"/>
      <c r="J130" s="5"/>
      <c r="K130" s="5"/>
      <c r="L130" s="5"/>
      <c r="M130" s="5"/>
      <c r="N130" s="5"/>
      <c r="O130" s="5"/>
      <c r="P130" s="5"/>
      <c r="Q130" s="5"/>
      <c r="R130" s="9"/>
      <c r="S130" s="9"/>
      <c r="T130" s="10"/>
      <c r="U130" s="9"/>
      <c r="V130" s="9"/>
    </row>
    <row r="131" ht="12.5" spans="1:22">
      <c r="A131" s="4"/>
      <c r="B131" s="4"/>
      <c r="C131" s="4"/>
      <c r="D131" s="4"/>
      <c r="E131" s="5"/>
      <c r="F131" s="5"/>
      <c r="G131" s="5"/>
      <c r="H131" s="5"/>
      <c r="I131" s="5"/>
      <c r="J131" s="5"/>
      <c r="K131" s="5"/>
      <c r="L131" s="5"/>
      <c r="M131" s="5"/>
      <c r="N131" s="5"/>
      <c r="O131" s="5"/>
      <c r="P131" s="5"/>
      <c r="Q131" s="5"/>
      <c r="R131" s="9"/>
      <c r="S131" s="9"/>
      <c r="T131" s="10"/>
      <c r="U131" s="9"/>
      <c r="V131" s="9"/>
    </row>
    <row r="132" ht="12.5" spans="1:22">
      <c r="A132" s="4"/>
      <c r="B132" s="4"/>
      <c r="C132" s="4"/>
      <c r="D132" s="4"/>
      <c r="E132" s="5"/>
      <c r="F132" s="5"/>
      <c r="G132" s="5"/>
      <c r="H132" s="5"/>
      <c r="I132" s="5"/>
      <c r="J132" s="5"/>
      <c r="K132" s="5"/>
      <c r="L132" s="5"/>
      <c r="M132" s="5"/>
      <c r="N132" s="5"/>
      <c r="O132" s="5"/>
      <c r="P132" s="5"/>
      <c r="Q132" s="5"/>
      <c r="R132" s="9"/>
      <c r="S132" s="9"/>
      <c r="T132" s="10"/>
      <c r="U132" s="9"/>
      <c r="V132" s="9"/>
    </row>
    <row r="133" ht="12.5" spans="1:22">
      <c r="A133" s="4"/>
      <c r="B133" s="4"/>
      <c r="C133" s="4"/>
      <c r="D133" s="4"/>
      <c r="E133" s="5"/>
      <c r="F133" s="5"/>
      <c r="G133" s="5"/>
      <c r="H133" s="5"/>
      <c r="I133" s="5"/>
      <c r="J133" s="5"/>
      <c r="K133" s="5"/>
      <c r="L133" s="5"/>
      <c r="M133" s="5"/>
      <c r="N133" s="5"/>
      <c r="O133" s="5"/>
      <c r="P133" s="5"/>
      <c r="Q133" s="5"/>
      <c r="R133" s="9"/>
      <c r="S133" s="9"/>
      <c r="T133" s="10"/>
      <c r="U133" s="9"/>
      <c r="V133" s="9"/>
    </row>
    <row r="134" ht="12.5" spans="1:22">
      <c r="A134" s="4"/>
      <c r="B134" s="4"/>
      <c r="C134" s="4"/>
      <c r="D134" s="4"/>
      <c r="E134" s="5"/>
      <c r="F134" s="5"/>
      <c r="G134" s="5"/>
      <c r="H134" s="5"/>
      <c r="I134" s="5"/>
      <c r="J134" s="5"/>
      <c r="K134" s="5"/>
      <c r="L134" s="5"/>
      <c r="M134" s="5"/>
      <c r="N134" s="5"/>
      <c r="O134" s="5"/>
      <c r="P134" s="5"/>
      <c r="Q134" s="5"/>
      <c r="R134" s="9"/>
      <c r="S134" s="9"/>
      <c r="T134" s="10"/>
      <c r="U134" s="9"/>
      <c r="V134" s="9"/>
    </row>
    <row r="135" ht="12.5" spans="1:22">
      <c r="A135" s="4"/>
      <c r="B135" s="4"/>
      <c r="C135" s="4"/>
      <c r="D135" s="4"/>
      <c r="E135" s="5"/>
      <c r="F135" s="5"/>
      <c r="G135" s="5"/>
      <c r="H135" s="5"/>
      <c r="I135" s="5"/>
      <c r="J135" s="5"/>
      <c r="K135" s="5"/>
      <c r="L135" s="5"/>
      <c r="M135" s="5"/>
      <c r="N135" s="5"/>
      <c r="O135" s="5"/>
      <c r="P135" s="5"/>
      <c r="Q135" s="5"/>
      <c r="R135" s="9"/>
      <c r="S135" s="9"/>
      <c r="T135" s="10"/>
      <c r="U135" s="9"/>
      <c r="V135" s="9"/>
    </row>
    <row r="136" ht="12.5" spans="1:22">
      <c r="A136" s="4"/>
      <c r="B136" s="4"/>
      <c r="C136" s="4"/>
      <c r="D136" s="4"/>
      <c r="E136" s="5"/>
      <c r="F136" s="5"/>
      <c r="G136" s="5"/>
      <c r="H136" s="5"/>
      <c r="I136" s="5"/>
      <c r="J136" s="5"/>
      <c r="K136" s="5"/>
      <c r="L136" s="5"/>
      <c r="M136" s="5"/>
      <c r="N136" s="5"/>
      <c r="O136" s="5"/>
      <c r="P136" s="5"/>
      <c r="Q136" s="5"/>
      <c r="R136" s="9"/>
      <c r="S136" s="9"/>
      <c r="T136" s="10"/>
      <c r="U136" s="9"/>
      <c r="V136" s="9"/>
    </row>
    <row r="137" ht="12.5" spans="1:22">
      <c r="A137" s="4"/>
      <c r="B137" s="4"/>
      <c r="C137" s="4"/>
      <c r="D137" s="4"/>
      <c r="E137" s="5"/>
      <c r="F137" s="5"/>
      <c r="G137" s="5"/>
      <c r="H137" s="5"/>
      <c r="I137" s="5"/>
      <c r="J137" s="5"/>
      <c r="K137" s="5"/>
      <c r="L137" s="5"/>
      <c r="M137" s="5"/>
      <c r="N137" s="5"/>
      <c r="O137" s="5"/>
      <c r="P137" s="5"/>
      <c r="Q137" s="5"/>
      <c r="R137" s="9"/>
      <c r="S137" s="9"/>
      <c r="T137" s="10"/>
      <c r="U137" s="9"/>
      <c r="V137" s="9"/>
    </row>
    <row r="138" ht="12.5" spans="1:22">
      <c r="A138" s="4"/>
      <c r="B138" s="4"/>
      <c r="C138" s="4"/>
      <c r="D138" s="4"/>
      <c r="E138" s="5"/>
      <c r="F138" s="5"/>
      <c r="G138" s="5"/>
      <c r="H138" s="5"/>
      <c r="I138" s="5"/>
      <c r="J138" s="5"/>
      <c r="K138" s="5"/>
      <c r="L138" s="5"/>
      <c r="M138" s="5"/>
      <c r="N138" s="5"/>
      <c r="O138" s="5"/>
      <c r="P138" s="5"/>
      <c r="Q138" s="5"/>
      <c r="R138" s="9"/>
      <c r="S138" s="9"/>
      <c r="T138" s="10"/>
      <c r="U138" s="9"/>
      <c r="V138" s="9"/>
    </row>
    <row r="139" ht="12.5" spans="1:22">
      <c r="A139" s="4"/>
      <c r="B139" s="4"/>
      <c r="C139" s="4"/>
      <c r="D139" s="4"/>
      <c r="E139" s="5"/>
      <c r="F139" s="5"/>
      <c r="G139" s="5"/>
      <c r="H139" s="5"/>
      <c r="I139" s="5"/>
      <c r="J139" s="5"/>
      <c r="K139" s="5"/>
      <c r="L139" s="5"/>
      <c r="M139" s="5"/>
      <c r="N139" s="5"/>
      <c r="O139" s="5"/>
      <c r="P139" s="5"/>
      <c r="Q139" s="5"/>
      <c r="R139" s="9"/>
      <c r="S139" s="9"/>
      <c r="T139" s="10"/>
      <c r="U139" s="9"/>
      <c r="V139" s="9"/>
    </row>
    <row r="140" ht="12.5" spans="1:22">
      <c r="A140" s="4"/>
      <c r="B140" s="4"/>
      <c r="C140" s="4"/>
      <c r="D140" s="4"/>
      <c r="E140" s="5"/>
      <c r="F140" s="5"/>
      <c r="G140" s="5"/>
      <c r="H140" s="5"/>
      <c r="I140" s="5"/>
      <c r="J140" s="5"/>
      <c r="K140" s="5"/>
      <c r="L140" s="5"/>
      <c r="M140" s="5"/>
      <c r="N140" s="5"/>
      <c r="O140" s="5"/>
      <c r="P140" s="5"/>
      <c r="Q140" s="5"/>
      <c r="R140" s="9"/>
      <c r="S140" s="9"/>
      <c r="T140" s="10"/>
      <c r="U140" s="9"/>
      <c r="V140" s="9"/>
    </row>
    <row r="141" ht="12.5" spans="1:22">
      <c r="A141" s="4"/>
      <c r="B141" s="4"/>
      <c r="C141" s="4"/>
      <c r="D141" s="4"/>
      <c r="E141" s="5"/>
      <c r="F141" s="5"/>
      <c r="G141" s="5"/>
      <c r="H141" s="5"/>
      <c r="I141" s="5"/>
      <c r="J141" s="5"/>
      <c r="K141" s="5"/>
      <c r="L141" s="5"/>
      <c r="M141" s="5"/>
      <c r="N141" s="5"/>
      <c r="O141" s="5"/>
      <c r="P141" s="5"/>
      <c r="Q141" s="5"/>
      <c r="R141" s="9"/>
      <c r="S141" s="9"/>
      <c r="T141" s="10"/>
      <c r="U141" s="9"/>
      <c r="V141" s="9"/>
    </row>
    <row r="142" ht="12.5" spans="1:22">
      <c r="A142" s="4"/>
      <c r="B142" s="4"/>
      <c r="C142" s="4"/>
      <c r="D142" s="4"/>
      <c r="E142" s="5"/>
      <c r="F142" s="5"/>
      <c r="G142" s="5"/>
      <c r="H142" s="5"/>
      <c r="I142" s="5"/>
      <c r="J142" s="5"/>
      <c r="K142" s="5"/>
      <c r="L142" s="5"/>
      <c r="M142" s="5"/>
      <c r="N142" s="5"/>
      <c r="O142" s="5"/>
      <c r="P142" s="5"/>
      <c r="Q142" s="5"/>
      <c r="R142" s="9"/>
      <c r="S142" s="9"/>
      <c r="T142" s="10"/>
      <c r="U142" s="9"/>
      <c r="V142" s="9"/>
    </row>
    <row r="143" ht="12.5" spans="1:22">
      <c r="A143" s="4"/>
      <c r="B143" s="4"/>
      <c r="C143" s="4"/>
      <c r="D143" s="4"/>
      <c r="E143" s="5"/>
      <c r="F143" s="5"/>
      <c r="G143" s="5"/>
      <c r="H143" s="5"/>
      <c r="I143" s="5"/>
      <c r="J143" s="5"/>
      <c r="K143" s="5"/>
      <c r="L143" s="5"/>
      <c r="M143" s="5"/>
      <c r="N143" s="5"/>
      <c r="O143" s="5"/>
      <c r="P143" s="5"/>
      <c r="Q143" s="5"/>
      <c r="R143" s="9"/>
      <c r="S143" s="9"/>
      <c r="T143" s="10"/>
      <c r="U143" s="9"/>
      <c r="V143" s="9"/>
    </row>
    <row r="144" ht="12.5" spans="1:22">
      <c r="A144" s="4"/>
      <c r="B144" s="4"/>
      <c r="C144" s="4"/>
      <c r="D144" s="4"/>
      <c r="E144" s="5"/>
      <c r="F144" s="5"/>
      <c r="G144" s="5"/>
      <c r="H144" s="5"/>
      <c r="I144" s="5"/>
      <c r="J144" s="5"/>
      <c r="K144" s="5"/>
      <c r="L144" s="5"/>
      <c r="M144" s="5"/>
      <c r="N144" s="5"/>
      <c r="O144" s="5"/>
      <c r="P144" s="5"/>
      <c r="Q144" s="5"/>
      <c r="R144" s="9"/>
      <c r="S144" s="9"/>
      <c r="T144" s="10"/>
      <c r="U144" s="9"/>
      <c r="V144" s="9"/>
    </row>
    <row r="145" ht="12.5" spans="1:22">
      <c r="A145" s="4"/>
      <c r="B145" s="4"/>
      <c r="C145" s="4"/>
      <c r="D145" s="4"/>
      <c r="E145" s="5"/>
      <c r="F145" s="5"/>
      <c r="G145" s="5"/>
      <c r="H145" s="5"/>
      <c r="I145" s="5"/>
      <c r="J145" s="5"/>
      <c r="K145" s="5"/>
      <c r="L145" s="5"/>
      <c r="M145" s="5"/>
      <c r="N145" s="5"/>
      <c r="O145" s="5"/>
      <c r="P145" s="5"/>
      <c r="Q145" s="5"/>
      <c r="R145" s="9"/>
      <c r="S145" s="9"/>
      <c r="T145" s="10"/>
      <c r="U145" s="9"/>
      <c r="V145" s="9"/>
    </row>
    <row r="146" ht="12.5" spans="1:22">
      <c r="A146" s="4"/>
      <c r="B146" s="4"/>
      <c r="C146" s="4"/>
      <c r="D146" s="4"/>
      <c r="E146" s="5"/>
      <c r="F146" s="5"/>
      <c r="G146" s="5"/>
      <c r="H146" s="5"/>
      <c r="I146" s="5"/>
      <c r="J146" s="5"/>
      <c r="K146" s="5"/>
      <c r="L146" s="5"/>
      <c r="M146" s="5"/>
      <c r="N146" s="5"/>
      <c r="O146" s="5"/>
      <c r="P146" s="5"/>
      <c r="Q146" s="5"/>
      <c r="R146" s="9"/>
      <c r="S146" s="9"/>
      <c r="T146" s="10"/>
      <c r="U146" s="9"/>
      <c r="V146" s="9"/>
    </row>
    <row r="147" ht="12.5" spans="1:22">
      <c r="A147" s="4"/>
      <c r="B147" s="4"/>
      <c r="C147" s="4"/>
      <c r="D147" s="4"/>
      <c r="E147" s="5"/>
      <c r="F147" s="5"/>
      <c r="G147" s="5"/>
      <c r="H147" s="5"/>
      <c r="I147" s="5"/>
      <c r="J147" s="5"/>
      <c r="K147" s="5"/>
      <c r="L147" s="5"/>
      <c r="M147" s="5"/>
      <c r="N147" s="5"/>
      <c r="O147" s="5"/>
      <c r="P147" s="5"/>
      <c r="Q147" s="5"/>
      <c r="R147" s="9"/>
      <c r="S147" s="9"/>
      <c r="T147" s="10"/>
      <c r="U147" s="9"/>
      <c r="V147" s="9"/>
    </row>
    <row r="148" ht="12.5" spans="1:22">
      <c r="A148" s="4"/>
      <c r="B148" s="4"/>
      <c r="C148" s="4"/>
      <c r="D148" s="4"/>
      <c r="E148" s="5"/>
      <c r="F148" s="5"/>
      <c r="G148" s="5"/>
      <c r="H148" s="5"/>
      <c r="I148" s="5"/>
      <c r="J148" s="5"/>
      <c r="K148" s="5"/>
      <c r="L148" s="5"/>
      <c r="M148" s="5"/>
      <c r="N148" s="5"/>
      <c r="O148" s="5"/>
      <c r="P148" s="5"/>
      <c r="Q148" s="5"/>
      <c r="R148" s="9"/>
      <c r="S148" s="9"/>
      <c r="T148" s="10"/>
      <c r="U148" s="9"/>
      <c r="V148" s="9"/>
    </row>
    <row r="149" ht="12.5" spans="1:22">
      <c r="A149" s="4"/>
      <c r="B149" s="4"/>
      <c r="C149" s="4"/>
      <c r="D149" s="4"/>
      <c r="E149" s="5"/>
      <c r="F149" s="5"/>
      <c r="G149" s="5"/>
      <c r="H149" s="5"/>
      <c r="I149" s="5"/>
      <c r="J149" s="5"/>
      <c r="K149" s="5"/>
      <c r="L149" s="5"/>
      <c r="M149" s="5"/>
      <c r="N149" s="5"/>
      <c r="O149" s="5"/>
      <c r="P149" s="5"/>
      <c r="Q149" s="5"/>
      <c r="R149" s="9"/>
      <c r="S149" s="9"/>
      <c r="T149" s="10"/>
      <c r="U149" s="9"/>
      <c r="V149" s="9"/>
    </row>
    <row r="150" ht="12.5" spans="1:22">
      <c r="A150" s="4"/>
      <c r="B150" s="4"/>
      <c r="C150" s="4"/>
      <c r="D150" s="4"/>
      <c r="E150" s="5"/>
      <c r="F150" s="5"/>
      <c r="G150" s="5"/>
      <c r="H150" s="5"/>
      <c r="I150" s="5"/>
      <c r="J150" s="5"/>
      <c r="K150" s="5"/>
      <c r="L150" s="5"/>
      <c r="M150" s="5"/>
      <c r="N150" s="5"/>
      <c r="O150" s="5"/>
      <c r="P150" s="5"/>
      <c r="Q150" s="5"/>
      <c r="R150" s="9"/>
      <c r="S150" s="9"/>
      <c r="T150" s="10"/>
      <c r="U150" s="9"/>
      <c r="V150" s="9"/>
    </row>
    <row r="151" ht="12.5" spans="1:22">
      <c r="A151" s="4"/>
      <c r="B151" s="4"/>
      <c r="C151" s="4"/>
      <c r="D151" s="4"/>
      <c r="E151" s="5"/>
      <c r="F151" s="5"/>
      <c r="G151" s="5"/>
      <c r="H151" s="5"/>
      <c r="I151" s="5"/>
      <c r="J151" s="5"/>
      <c r="K151" s="5"/>
      <c r="L151" s="5"/>
      <c r="M151" s="5"/>
      <c r="N151" s="5"/>
      <c r="O151" s="5"/>
      <c r="P151" s="5"/>
      <c r="Q151" s="5"/>
      <c r="R151" s="9"/>
      <c r="S151" s="9"/>
      <c r="T151" s="10"/>
      <c r="U151" s="9"/>
      <c r="V151" s="9"/>
    </row>
    <row r="152" ht="12.5" spans="1:22">
      <c r="A152" s="4"/>
      <c r="B152" s="4"/>
      <c r="C152" s="4"/>
      <c r="D152" s="4"/>
      <c r="E152" s="5"/>
      <c r="F152" s="5"/>
      <c r="G152" s="5"/>
      <c r="H152" s="5"/>
      <c r="I152" s="5"/>
      <c r="J152" s="5"/>
      <c r="K152" s="5"/>
      <c r="L152" s="5"/>
      <c r="M152" s="5"/>
      <c r="N152" s="5"/>
      <c r="O152" s="5"/>
      <c r="P152" s="5"/>
      <c r="Q152" s="5"/>
      <c r="R152" s="9"/>
      <c r="S152" s="9"/>
      <c r="T152" s="10"/>
      <c r="U152" s="9"/>
      <c r="V152" s="9"/>
    </row>
    <row r="153" ht="12.5" spans="1:22">
      <c r="A153" s="4"/>
      <c r="B153" s="4"/>
      <c r="C153" s="4"/>
      <c r="D153" s="4"/>
      <c r="E153" s="5"/>
      <c r="F153" s="5"/>
      <c r="G153" s="5"/>
      <c r="H153" s="5"/>
      <c r="I153" s="5"/>
      <c r="J153" s="5"/>
      <c r="K153" s="5"/>
      <c r="L153" s="5"/>
      <c r="M153" s="5"/>
      <c r="N153" s="5"/>
      <c r="O153" s="5"/>
      <c r="P153" s="5"/>
      <c r="Q153" s="5"/>
      <c r="R153" s="9"/>
      <c r="S153" s="9"/>
      <c r="T153" s="10"/>
      <c r="U153" s="9"/>
      <c r="V153" s="9"/>
    </row>
    <row r="154" ht="12.5" spans="1:22">
      <c r="A154" s="4"/>
      <c r="B154" s="4"/>
      <c r="C154" s="4"/>
      <c r="D154" s="4"/>
      <c r="E154" s="5"/>
      <c r="F154" s="5"/>
      <c r="G154" s="5"/>
      <c r="H154" s="5"/>
      <c r="I154" s="5"/>
      <c r="J154" s="5"/>
      <c r="K154" s="5"/>
      <c r="L154" s="5"/>
      <c r="M154" s="5"/>
      <c r="N154" s="5"/>
      <c r="O154" s="5"/>
      <c r="P154" s="5"/>
      <c r="Q154" s="5"/>
      <c r="R154" s="9"/>
      <c r="S154" s="9"/>
      <c r="T154" s="10"/>
      <c r="U154" s="9"/>
      <c r="V154" s="9"/>
    </row>
    <row r="155" ht="12.5" spans="1:22">
      <c r="A155" s="4"/>
      <c r="B155" s="4"/>
      <c r="C155" s="4"/>
      <c r="D155" s="4"/>
      <c r="E155" s="5"/>
      <c r="F155" s="5"/>
      <c r="G155" s="5"/>
      <c r="H155" s="5"/>
      <c r="I155" s="5"/>
      <c r="J155" s="5"/>
      <c r="K155" s="5"/>
      <c r="L155" s="5"/>
      <c r="M155" s="5"/>
      <c r="N155" s="5"/>
      <c r="O155" s="5"/>
      <c r="P155" s="5"/>
      <c r="Q155" s="5"/>
      <c r="R155" s="9"/>
      <c r="S155" s="9"/>
      <c r="T155" s="10"/>
      <c r="U155" s="9"/>
      <c r="V155" s="9"/>
    </row>
    <row r="156" ht="12.5" spans="1:22">
      <c r="A156" s="4"/>
      <c r="B156" s="4"/>
      <c r="C156" s="4"/>
      <c r="D156" s="4"/>
      <c r="E156" s="5"/>
      <c r="F156" s="5"/>
      <c r="G156" s="5"/>
      <c r="H156" s="5"/>
      <c r="I156" s="5"/>
      <c r="J156" s="5"/>
      <c r="K156" s="5"/>
      <c r="L156" s="5"/>
      <c r="M156" s="5"/>
      <c r="N156" s="5"/>
      <c r="O156" s="5"/>
      <c r="P156" s="5"/>
      <c r="Q156" s="5"/>
      <c r="R156" s="9"/>
      <c r="S156" s="9"/>
      <c r="T156" s="10"/>
      <c r="U156" s="9"/>
      <c r="V156" s="9"/>
    </row>
    <row r="157" ht="12.5" spans="1:22">
      <c r="A157" s="4"/>
      <c r="B157" s="4"/>
      <c r="C157" s="4"/>
      <c r="D157" s="4"/>
      <c r="E157" s="5"/>
      <c r="F157" s="5"/>
      <c r="G157" s="5"/>
      <c r="H157" s="5"/>
      <c r="I157" s="5"/>
      <c r="J157" s="5"/>
      <c r="K157" s="5"/>
      <c r="L157" s="5"/>
      <c r="M157" s="5"/>
      <c r="N157" s="5"/>
      <c r="O157" s="5"/>
      <c r="P157" s="5"/>
      <c r="Q157" s="5"/>
      <c r="R157" s="9"/>
      <c r="S157" s="9"/>
      <c r="T157" s="10"/>
      <c r="U157" s="9"/>
      <c r="V157" s="9"/>
    </row>
    <row r="158" ht="12.5" spans="1:22">
      <c r="A158" s="4"/>
      <c r="B158" s="4"/>
      <c r="C158" s="4"/>
      <c r="D158" s="4"/>
      <c r="E158" s="5"/>
      <c r="F158" s="5"/>
      <c r="G158" s="5"/>
      <c r="H158" s="5"/>
      <c r="I158" s="5"/>
      <c r="J158" s="5"/>
      <c r="K158" s="5"/>
      <c r="L158" s="5"/>
      <c r="M158" s="5"/>
      <c r="N158" s="5"/>
      <c r="O158" s="5"/>
      <c r="P158" s="5"/>
      <c r="Q158" s="5"/>
      <c r="R158" s="9"/>
      <c r="S158" s="9"/>
      <c r="T158" s="10"/>
      <c r="U158" s="9"/>
      <c r="V158" s="9"/>
    </row>
    <row r="159" ht="12.5" spans="1:22">
      <c r="A159" s="4"/>
      <c r="B159" s="4"/>
      <c r="C159" s="4"/>
      <c r="D159" s="4"/>
      <c r="E159" s="5"/>
      <c r="F159" s="5"/>
      <c r="G159" s="5"/>
      <c r="H159" s="5"/>
      <c r="I159" s="5"/>
      <c r="J159" s="5"/>
      <c r="K159" s="5"/>
      <c r="L159" s="5"/>
      <c r="M159" s="5"/>
      <c r="N159" s="5"/>
      <c r="O159" s="5"/>
      <c r="P159" s="5"/>
      <c r="Q159" s="5"/>
      <c r="R159" s="9"/>
      <c r="S159" s="9"/>
      <c r="T159" s="10"/>
      <c r="U159" s="9"/>
      <c r="V159" s="9"/>
    </row>
    <row r="160" ht="12.5" spans="1:22">
      <c r="A160" s="4"/>
      <c r="B160" s="4"/>
      <c r="C160" s="4"/>
      <c r="D160" s="4"/>
      <c r="E160" s="5"/>
      <c r="F160" s="5"/>
      <c r="G160" s="5"/>
      <c r="H160" s="5"/>
      <c r="I160" s="5"/>
      <c r="J160" s="5"/>
      <c r="K160" s="5"/>
      <c r="L160" s="5"/>
      <c r="M160" s="5"/>
      <c r="N160" s="5"/>
      <c r="O160" s="5"/>
      <c r="P160" s="5"/>
      <c r="Q160" s="5"/>
      <c r="R160" s="9"/>
      <c r="S160" s="9"/>
      <c r="T160" s="10"/>
      <c r="U160" s="9"/>
      <c r="V160" s="9"/>
    </row>
    <row r="161" ht="12.5" spans="1:22">
      <c r="A161" s="4"/>
      <c r="B161" s="4"/>
      <c r="C161" s="4"/>
      <c r="D161" s="4"/>
      <c r="E161" s="5"/>
      <c r="F161" s="5"/>
      <c r="G161" s="5"/>
      <c r="H161" s="5"/>
      <c r="I161" s="5"/>
      <c r="J161" s="5"/>
      <c r="K161" s="5"/>
      <c r="L161" s="5"/>
      <c r="M161" s="5"/>
      <c r="N161" s="5"/>
      <c r="O161" s="5"/>
      <c r="P161" s="5"/>
      <c r="Q161" s="5"/>
      <c r="R161" s="9"/>
      <c r="S161" s="9"/>
      <c r="T161" s="10"/>
      <c r="U161" s="9"/>
      <c r="V161" s="9"/>
    </row>
    <row r="162" ht="12.5" spans="1:22">
      <c r="A162" s="4"/>
      <c r="B162" s="4"/>
      <c r="C162" s="4"/>
      <c r="D162" s="4"/>
      <c r="E162" s="5"/>
      <c r="F162" s="5"/>
      <c r="G162" s="5"/>
      <c r="H162" s="5"/>
      <c r="I162" s="5"/>
      <c r="J162" s="5"/>
      <c r="K162" s="5"/>
      <c r="L162" s="5"/>
      <c r="M162" s="5"/>
      <c r="N162" s="5"/>
      <c r="O162" s="5"/>
      <c r="P162" s="5"/>
      <c r="Q162" s="5"/>
      <c r="R162" s="9"/>
      <c r="S162" s="9"/>
      <c r="T162" s="10"/>
      <c r="U162" s="9"/>
      <c r="V162" s="9"/>
    </row>
    <row r="163" ht="12.5" spans="1:22">
      <c r="A163" s="4"/>
      <c r="B163" s="4"/>
      <c r="C163" s="4"/>
      <c r="D163" s="4"/>
      <c r="E163" s="5"/>
      <c r="F163" s="5"/>
      <c r="G163" s="5"/>
      <c r="H163" s="5"/>
      <c r="I163" s="5"/>
      <c r="J163" s="5"/>
      <c r="K163" s="5"/>
      <c r="L163" s="5"/>
      <c r="M163" s="5"/>
      <c r="N163" s="5"/>
      <c r="O163" s="5"/>
      <c r="P163" s="5"/>
      <c r="Q163" s="5"/>
      <c r="R163" s="9"/>
      <c r="S163" s="9"/>
      <c r="T163" s="10"/>
      <c r="U163" s="9"/>
      <c r="V163" s="9"/>
    </row>
    <row r="164" ht="12.5" spans="1:22">
      <c r="A164" s="4"/>
      <c r="B164" s="4"/>
      <c r="C164" s="4"/>
      <c r="D164" s="4"/>
      <c r="E164" s="5"/>
      <c r="F164" s="5"/>
      <c r="G164" s="5"/>
      <c r="H164" s="5"/>
      <c r="I164" s="5"/>
      <c r="J164" s="5"/>
      <c r="K164" s="5"/>
      <c r="L164" s="5"/>
      <c r="M164" s="5"/>
      <c r="N164" s="5"/>
      <c r="O164" s="5"/>
      <c r="P164" s="5"/>
      <c r="Q164" s="5"/>
      <c r="R164" s="9"/>
      <c r="S164" s="9"/>
      <c r="T164" s="10"/>
      <c r="U164" s="9"/>
      <c r="V164" s="9"/>
    </row>
    <row r="165" ht="12.5" spans="1:22">
      <c r="A165" s="4"/>
      <c r="B165" s="4"/>
      <c r="C165" s="4"/>
      <c r="D165" s="4"/>
      <c r="E165" s="5"/>
      <c r="F165" s="5"/>
      <c r="G165" s="5"/>
      <c r="H165" s="5"/>
      <c r="I165" s="5"/>
      <c r="J165" s="5"/>
      <c r="K165" s="5"/>
      <c r="L165" s="5"/>
      <c r="M165" s="5"/>
      <c r="N165" s="5"/>
      <c r="O165" s="5"/>
      <c r="P165" s="5"/>
      <c r="Q165" s="5"/>
      <c r="R165" s="9"/>
      <c r="S165" s="9"/>
      <c r="T165" s="10"/>
      <c r="U165" s="9"/>
      <c r="V165" s="9"/>
    </row>
    <row r="166" ht="12.5" spans="1:22">
      <c r="A166" s="4"/>
      <c r="B166" s="4"/>
      <c r="C166" s="4"/>
      <c r="D166" s="4"/>
      <c r="E166" s="5"/>
      <c r="F166" s="5"/>
      <c r="G166" s="5"/>
      <c r="H166" s="5"/>
      <c r="I166" s="5"/>
      <c r="J166" s="5"/>
      <c r="K166" s="5"/>
      <c r="L166" s="5"/>
      <c r="M166" s="5"/>
      <c r="N166" s="5"/>
      <c r="O166" s="5"/>
      <c r="P166" s="5"/>
      <c r="Q166" s="5"/>
      <c r="R166" s="9"/>
      <c r="S166" s="9"/>
      <c r="T166" s="10"/>
      <c r="U166" s="9"/>
      <c r="V166" s="9"/>
    </row>
    <row r="167" ht="12.5" spans="1:22">
      <c r="A167" s="4"/>
      <c r="B167" s="4"/>
      <c r="C167" s="4"/>
      <c r="D167" s="4"/>
      <c r="E167" s="5"/>
      <c r="F167" s="5"/>
      <c r="G167" s="5"/>
      <c r="H167" s="5"/>
      <c r="I167" s="5"/>
      <c r="J167" s="5"/>
      <c r="K167" s="5"/>
      <c r="L167" s="5"/>
      <c r="M167" s="5"/>
      <c r="N167" s="5"/>
      <c r="O167" s="5"/>
      <c r="P167" s="5"/>
      <c r="Q167" s="5"/>
      <c r="R167" s="9"/>
      <c r="S167" s="9"/>
      <c r="T167" s="10"/>
      <c r="U167" s="9"/>
      <c r="V167" s="9"/>
    </row>
    <row r="168" ht="12.5" spans="1:22">
      <c r="A168" s="4"/>
      <c r="B168" s="4"/>
      <c r="C168" s="4"/>
      <c r="D168" s="4"/>
      <c r="E168" s="5"/>
      <c r="F168" s="5"/>
      <c r="G168" s="5"/>
      <c r="H168" s="5"/>
      <c r="I168" s="5"/>
      <c r="J168" s="5"/>
      <c r="K168" s="5"/>
      <c r="L168" s="5"/>
      <c r="M168" s="5"/>
      <c r="N168" s="5"/>
      <c r="O168" s="5"/>
      <c r="P168" s="5"/>
      <c r="Q168" s="5"/>
      <c r="R168" s="9"/>
      <c r="S168" s="9"/>
      <c r="T168" s="10"/>
      <c r="U168" s="9"/>
      <c r="V168" s="9"/>
    </row>
    <row r="169" ht="12.5" spans="1:22">
      <c r="A169" s="4"/>
      <c r="B169" s="4"/>
      <c r="C169" s="4"/>
      <c r="D169" s="4"/>
      <c r="E169" s="5"/>
      <c r="F169" s="5"/>
      <c r="G169" s="5"/>
      <c r="H169" s="5"/>
      <c r="I169" s="5"/>
      <c r="J169" s="5"/>
      <c r="K169" s="5"/>
      <c r="L169" s="5"/>
      <c r="M169" s="5"/>
      <c r="N169" s="5"/>
      <c r="O169" s="5"/>
      <c r="P169" s="5"/>
      <c r="Q169" s="5"/>
      <c r="R169" s="9"/>
      <c r="S169" s="9"/>
      <c r="T169" s="10"/>
      <c r="U169" s="9"/>
      <c r="V169" s="9"/>
    </row>
    <row r="170" ht="12.5" spans="1:22">
      <c r="A170" s="4"/>
      <c r="B170" s="4"/>
      <c r="C170" s="4"/>
      <c r="D170" s="4"/>
      <c r="E170" s="5"/>
      <c r="F170" s="5"/>
      <c r="G170" s="5"/>
      <c r="H170" s="5"/>
      <c r="I170" s="5"/>
      <c r="J170" s="5"/>
      <c r="K170" s="5"/>
      <c r="L170" s="5"/>
      <c r="M170" s="5"/>
      <c r="N170" s="5"/>
      <c r="O170" s="5"/>
      <c r="P170" s="5"/>
      <c r="Q170" s="5"/>
      <c r="R170" s="9"/>
      <c r="S170" s="9"/>
      <c r="T170" s="10"/>
      <c r="U170" s="9"/>
      <c r="V170" s="9"/>
    </row>
    <row r="171" ht="12.5" spans="1:22">
      <c r="A171" s="4"/>
      <c r="B171" s="4"/>
      <c r="C171" s="4"/>
      <c r="D171" s="4"/>
      <c r="E171" s="5"/>
      <c r="F171" s="5"/>
      <c r="G171" s="5"/>
      <c r="H171" s="5"/>
      <c r="I171" s="5"/>
      <c r="J171" s="5"/>
      <c r="K171" s="5"/>
      <c r="L171" s="5"/>
      <c r="M171" s="5"/>
      <c r="N171" s="5"/>
      <c r="O171" s="5"/>
      <c r="P171" s="5"/>
      <c r="Q171" s="5"/>
      <c r="R171" s="9"/>
      <c r="S171" s="9"/>
      <c r="T171" s="10"/>
      <c r="U171" s="9"/>
      <c r="V171" s="9"/>
    </row>
    <row r="172" ht="12.5" spans="1:22">
      <c r="A172" s="4"/>
      <c r="B172" s="4"/>
      <c r="C172" s="4"/>
      <c r="D172" s="4"/>
      <c r="E172" s="5"/>
      <c r="F172" s="5"/>
      <c r="G172" s="5"/>
      <c r="H172" s="5"/>
      <c r="I172" s="5"/>
      <c r="J172" s="5"/>
      <c r="K172" s="5"/>
      <c r="L172" s="5"/>
      <c r="M172" s="5"/>
      <c r="N172" s="5"/>
      <c r="O172" s="5"/>
      <c r="P172" s="5"/>
      <c r="Q172" s="5"/>
      <c r="R172" s="9"/>
      <c r="S172" s="9"/>
      <c r="T172" s="10"/>
      <c r="U172" s="9"/>
      <c r="V172" s="9"/>
    </row>
    <row r="173" ht="12.5" spans="1:22">
      <c r="A173" s="4"/>
      <c r="B173" s="4"/>
      <c r="C173" s="4"/>
      <c r="D173" s="4"/>
      <c r="E173" s="5"/>
      <c r="F173" s="5"/>
      <c r="G173" s="5"/>
      <c r="H173" s="5"/>
      <c r="I173" s="5"/>
      <c r="J173" s="5"/>
      <c r="K173" s="5"/>
      <c r="L173" s="5"/>
      <c r="M173" s="5"/>
      <c r="N173" s="5"/>
      <c r="O173" s="5"/>
      <c r="P173" s="5"/>
      <c r="Q173" s="5"/>
      <c r="R173" s="9"/>
      <c r="S173" s="9"/>
      <c r="T173" s="10"/>
      <c r="U173" s="9"/>
      <c r="V173" s="9"/>
    </row>
    <row r="174" ht="12.5" spans="1:22">
      <c r="A174" s="4"/>
      <c r="B174" s="4"/>
      <c r="C174" s="4"/>
      <c r="D174" s="4"/>
      <c r="E174" s="5"/>
      <c r="F174" s="5"/>
      <c r="G174" s="5"/>
      <c r="H174" s="5"/>
      <c r="I174" s="5"/>
      <c r="J174" s="5"/>
      <c r="K174" s="5"/>
      <c r="L174" s="5"/>
      <c r="M174" s="5"/>
      <c r="N174" s="5"/>
      <c r="O174" s="5"/>
      <c r="P174" s="5"/>
      <c r="Q174" s="5"/>
      <c r="R174" s="9"/>
      <c r="S174" s="9"/>
      <c r="T174" s="10"/>
      <c r="U174" s="9"/>
      <c r="V174" s="9"/>
    </row>
    <row r="175" ht="12.5" spans="1:22">
      <c r="A175" s="4"/>
      <c r="B175" s="4"/>
      <c r="C175" s="4"/>
      <c r="D175" s="4"/>
      <c r="E175" s="5"/>
      <c r="F175" s="5"/>
      <c r="G175" s="5"/>
      <c r="H175" s="5"/>
      <c r="I175" s="5"/>
      <c r="J175" s="5"/>
      <c r="K175" s="5"/>
      <c r="L175" s="5"/>
      <c r="M175" s="5"/>
      <c r="N175" s="5"/>
      <c r="O175" s="5"/>
      <c r="P175" s="5"/>
      <c r="Q175" s="5"/>
      <c r="R175" s="9"/>
      <c r="S175" s="9"/>
      <c r="T175" s="10"/>
      <c r="U175" s="9"/>
      <c r="V175" s="9"/>
    </row>
    <row r="176" ht="12.5" spans="1:22">
      <c r="A176" s="4"/>
      <c r="B176" s="4"/>
      <c r="C176" s="4"/>
      <c r="D176" s="4"/>
      <c r="E176" s="5"/>
      <c r="F176" s="5"/>
      <c r="G176" s="5"/>
      <c r="H176" s="5"/>
      <c r="I176" s="5"/>
      <c r="J176" s="5"/>
      <c r="K176" s="5"/>
      <c r="L176" s="5"/>
      <c r="M176" s="5"/>
      <c r="N176" s="5"/>
      <c r="O176" s="5"/>
      <c r="P176" s="5"/>
      <c r="Q176" s="5"/>
      <c r="R176" s="9"/>
      <c r="S176" s="9"/>
      <c r="T176" s="10"/>
      <c r="U176" s="9"/>
      <c r="V176" s="9"/>
    </row>
    <row r="177" ht="12.5" spans="1:22">
      <c r="A177" s="4"/>
      <c r="B177" s="4"/>
      <c r="C177" s="4"/>
      <c r="D177" s="4"/>
      <c r="E177" s="5"/>
      <c r="F177" s="5"/>
      <c r="G177" s="5"/>
      <c r="H177" s="5"/>
      <c r="I177" s="5"/>
      <c r="J177" s="5"/>
      <c r="K177" s="5"/>
      <c r="L177" s="5"/>
      <c r="M177" s="5"/>
      <c r="N177" s="5"/>
      <c r="O177" s="5"/>
      <c r="P177" s="5"/>
      <c r="Q177" s="5"/>
      <c r="R177" s="9"/>
      <c r="S177" s="9"/>
      <c r="T177" s="10"/>
      <c r="U177" s="9"/>
      <c r="V177" s="9"/>
    </row>
    <row r="178" ht="12.5" spans="1:22">
      <c r="A178" s="4"/>
      <c r="B178" s="4"/>
      <c r="C178" s="4"/>
      <c r="D178" s="4"/>
      <c r="E178" s="5"/>
      <c r="F178" s="5"/>
      <c r="G178" s="5"/>
      <c r="H178" s="5"/>
      <c r="I178" s="5"/>
      <c r="J178" s="5"/>
      <c r="K178" s="5"/>
      <c r="L178" s="5"/>
      <c r="M178" s="5"/>
      <c r="N178" s="5"/>
      <c r="O178" s="5"/>
      <c r="P178" s="5"/>
      <c r="Q178" s="5"/>
      <c r="R178" s="9"/>
      <c r="S178" s="9"/>
      <c r="T178" s="10"/>
      <c r="U178" s="9"/>
      <c r="V178" s="9"/>
    </row>
    <row r="179" ht="12.5" spans="1:22">
      <c r="A179" s="4"/>
      <c r="B179" s="4"/>
      <c r="C179" s="4"/>
      <c r="D179" s="4"/>
      <c r="E179" s="5"/>
      <c r="F179" s="5"/>
      <c r="G179" s="5"/>
      <c r="H179" s="5"/>
      <c r="I179" s="5"/>
      <c r="J179" s="5"/>
      <c r="K179" s="5"/>
      <c r="L179" s="5"/>
      <c r="M179" s="5"/>
      <c r="N179" s="5"/>
      <c r="O179" s="5"/>
      <c r="P179" s="5"/>
      <c r="Q179" s="5"/>
      <c r="R179" s="9"/>
      <c r="S179" s="9"/>
      <c r="T179" s="10"/>
      <c r="U179" s="9"/>
      <c r="V179" s="9"/>
    </row>
    <row r="180" ht="12.5" spans="1:22">
      <c r="A180" s="4"/>
      <c r="B180" s="4"/>
      <c r="C180" s="4"/>
      <c r="D180" s="4"/>
      <c r="E180" s="5"/>
      <c r="F180" s="5"/>
      <c r="G180" s="5"/>
      <c r="H180" s="5"/>
      <c r="I180" s="5"/>
      <c r="J180" s="5"/>
      <c r="K180" s="5"/>
      <c r="L180" s="5"/>
      <c r="M180" s="5"/>
      <c r="N180" s="5"/>
      <c r="O180" s="5"/>
      <c r="P180" s="5"/>
      <c r="Q180" s="5"/>
      <c r="R180" s="9"/>
      <c r="S180" s="9"/>
      <c r="T180" s="10"/>
      <c r="U180" s="9"/>
      <c r="V180" s="9"/>
    </row>
    <row r="181" ht="12.5" spans="1:22">
      <c r="A181" s="4"/>
      <c r="B181" s="4"/>
      <c r="C181" s="4"/>
      <c r="D181" s="4"/>
      <c r="E181" s="5"/>
      <c r="F181" s="5"/>
      <c r="G181" s="5"/>
      <c r="H181" s="5"/>
      <c r="I181" s="5"/>
      <c r="J181" s="5"/>
      <c r="K181" s="5"/>
      <c r="L181" s="5"/>
      <c r="M181" s="5"/>
      <c r="N181" s="5"/>
      <c r="O181" s="5"/>
      <c r="P181" s="5"/>
      <c r="Q181" s="5"/>
      <c r="R181" s="9"/>
      <c r="S181" s="9"/>
      <c r="T181" s="10"/>
      <c r="U181" s="9"/>
      <c r="V181" s="9"/>
    </row>
    <row r="182" ht="12.5" spans="1:22">
      <c r="A182" s="4"/>
      <c r="B182" s="4"/>
      <c r="C182" s="4"/>
      <c r="D182" s="4"/>
      <c r="E182" s="5"/>
      <c r="F182" s="5"/>
      <c r="G182" s="5"/>
      <c r="H182" s="5"/>
      <c r="I182" s="5"/>
      <c r="J182" s="5"/>
      <c r="K182" s="5"/>
      <c r="L182" s="5"/>
      <c r="M182" s="5"/>
      <c r="N182" s="5"/>
      <c r="O182" s="5"/>
      <c r="P182" s="5"/>
      <c r="Q182" s="5"/>
      <c r="R182" s="9"/>
      <c r="S182" s="9"/>
      <c r="T182" s="10"/>
      <c r="U182" s="9"/>
      <c r="V182" s="9"/>
    </row>
    <row r="183" ht="12.5" spans="1:22">
      <c r="A183" s="4"/>
      <c r="B183" s="4"/>
      <c r="C183" s="4"/>
      <c r="D183" s="4"/>
      <c r="E183" s="5"/>
      <c r="F183" s="5"/>
      <c r="G183" s="5"/>
      <c r="H183" s="5"/>
      <c r="I183" s="5"/>
      <c r="J183" s="5"/>
      <c r="K183" s="5"/>
      <c r="L183" s="5"/>
      <c r="M183" s="5"/>
      <c r="N183" s="5"/>
      <c r="O183" s="5"/>
      <c r="P183" s="5"/>
      <c r="Q183" s="5"/>
      <c r="R183" s="9"/>
      <c r="S183" s="9"/>
      <c r="T183" s="10"/>
      <c r="U183" s="9"/>
      <c r="V183" s="9"/>
    </row>
    <row r="184" ht="12.5" spans="1:22">
      <c r="A184" s="4"/>
      <c r="B184" s="4"/>
      <c r="C184" s="4"/>
      <c r="D184" s="4"/>
      <c r="E184" s="5"/>
      <c r="F184" s="5"/>
      <c r="G184" s="5"/>
      <c r="H184" s="5"/>
      <c r="I184" s="5"/>
      <c r="J184" s="5"/>
      <c r="K184" s="5"/>
      <c r="L184" s="5"/>
      <c r="M184" s="5"/>
      <c r="N184" s="5"/>
      <c r="O184" s="5"/>
      <c r="P184" s="5"/>
      <c r="Q184" s="5"/>
      <c r="R184" s="9"/>
      <c r="S184" s="9"/>
      <c r="T184" s="10"/>
      <c r="U184" s="9"/>
      <c r="V184" s="9"/>
    </row>
    <row r="185" ht="12.5" spans="1:22">
      <c r="A185" s="4"/>
      <c r="B185" s="4"/>
      <c r="C185" s="4"/>
      <c r="D185" s="4"/>
      <c r="E185" s="5"/>
      <c r="F185" s="5"/>
      <c r="G185" s="5"/>
      <c r="H185" s="5"/>
      <c r="I185" s="5"/>
      <c r="J185" s="5"/>
      <c r="K185" s="5"/>
      <c r="L185" s="5"/>
      <c r="M185" s="5"/>
      <c r="N185" s="5"/>
      <c r="O185" s="5"/>
      <c r="P185" s="5"/>
      <c r="Q185" s="5"/>
      <c r="R185" s="9"/>
      <c r="S185" s="9"/>
      <c r="T185" s="10"/>
      <c r="U185" s="9"/>
      <c r="V185" s="9"/>
    </row>
    <row r="186" ht="12.5" spans="1:22">
      <c r="A186" s="4"/>
      <c r="B186" s="4"/>
      <c r="C186" s="4"/>
      <c r="D186" s="4"/>
      <c r="E186" s="5"/>
      <c r="F186" s="5"/>
      <c r="G186" s="5"/>
      <c r="H186" s="5"/>
      <c r="I186" s="5"/>
      <c r="J186" s="5"/>
      <c r="K186" s="5"/>
      <c r="L186" s="5"/>
      <c r="M186" s="5"/>
      <c r="N186" s="5"/>
      <c r="O186" s="5"/>
      <c r="P186" s="5"/>
      <c r="Q186" s="5"/>
      <c r="R186" s="9"/>
      <c r="S186" s="9"/>
      <c r="T186" s="10"/>
      <c r="U186" s="9"/>
      <c r="V186" s="9"/>
    </row>
    <row r="187" ht="12.5" spans="1:22">
      <c r="A187" s="4"/>
      <c r="B187" s="4"/>
      <c r="C187" s="4"/>
      <c r="D187" s="4"/>
      <c r="E187" s="5"/>
      <c r="F187" s="5"/>
      <c r="G187" s="5"/>
      <c r="H187" s="5"/>
      <c r="I187" s="5"/>
      <c r="J187" s="5"/>
      <c r="K187" s="5"/>
      <c r="L187" s="5"/>
      <c r="M187" s="5"/>
      <c r="N187" s="5"/>
      <c r="O187" s="5"/>
      <c r="P187" s="5"/>
      <c r="Q187" s="5"/>
      <c r="R187" s="9"/>
      <c r="S187" s="9"/>
      <c r="T187" s="10"/>
      <c r="U187" s="9"/>
      <c r="V187" s="9"/>
    </row>
    <row r="188" ht="12.5" spans="1:22">
      <c r="A188" s="4"/>
      <c r="B188" s="4"/>
      <c r="C188" s="4"/>
      <c r="D188" s="4"/>
      <c r="E188" s="5"/>
      <c r="F188" s="5"/>
      <c r="G188" s="5"/>
      <c r="H188" s="5"/>
      <c r="I188" s="5"/>
      <c r="J188" s="5"/>
      <c r="K188" s="5"/>
      <c r="L188" s="5"/>
      <c r="M188" s="5"/>
      <c r="N188" s="5"/>
      <c r="O188" s="5"/>
      <c r="P188" s="5"/>
      <c r="Q188" s="5"/>
      <c r="R188" s="9"/>
      <c r="S188" s="9"/>
      <c r="T188" s="10"/>
      <c r="U188" s="9"/>
      <c r="V188" s="9"/>
    </row>
    <row r="189" ht="12.5" spans="1:22">
      <c r="A189" s="4"/>
      <c r="B189" s="4"/>
      <c r="C189" s="4"/>
      <c r="D189" s="4"/>
      <c r="E189" s="5"/>
      <c r="F189" s="5"/>
      <c r="G189" s="5"/>
      <c r="H189" s="5"/>
      <c r="I189" s="5"/>
      <c r="J189" s="5"/>
      <c r="K189" s="5"/>
      <c r="L189" s="5"/>
      <c r="M189" s="5"/>
      <c r="N189" s="5"/>
      <c r="O189" s="5"/>
      <c r="P189" s="5"/>
      <c r="Q189" s="5"/>
      <c r="R189" s="9"/>
      <c r="S189" s="9"/>
      <c r="T189" s="10"/>
      <c r="U189" s="9"/>
      <c r="V189" s="9"/>
    </row>
    <row r="190" ht="12.5" spans="1:22">
      <c r="A190" s="4"/>
      <c r="B190" s="4"/>
      <c r="C190" s="4"/>
      <c r="D190" s="4"/>
      <c r="E190" s="5"/>
      <c r="F190" s="5"/>
      <c r="G190" s="5"/>
      <c r="H190" s="5"/>
      <c r="I190" s="5"/>
      <c r="J190" s="5"/>
      <c r="K190" s="5"/>
      <c r="L190" s="5"/>
      <c r="M190" s="5"/>
      <c r="N190" s="5"/>
      <c r="O190" s="5"/>
      <c r="P190" s="5"/>
      <c r="Q190" s="5"/>
      <c r="R190" s="9"/>
      <c r="S190" s="9"/>
      <c r="T190" s="10"/>
      <c r="U190" s="9"/>
      <c r="V190" s="9"/>
    </row>
    <row r="191" ht="12.5" spans="1:22">
      <c r="A191" s="4"/>
      <c r="B191" s="4"/>
      <c r="C191" s="4"/>
      <c r="D191" s="4"/>
      <c r="E191" s="5"/>
      <c r="F191" s="5"/>
      <c r="G191" s="5"/>
      <c r="H191" s="5"/>
      <c r="I191" s="5"/>
      <c r="J191" s="5"/>
      <c r="K191" s="5"/>
      <c r="L191" s="5"/>
      <c r="M191" s="5"/>
      <c r="N191" s="5"/>
      <c r="O191" s="5"/>
      <c r="P191" s="5"/>
      <c r="Q191" s="5"/>
      <c r="R191" s="9"/>
      <c r="S191" s="9"/>
      <c r="T191" s="10"/>
      <c r="U191" s="9"/>
      <c r="V191" s="9"/>
    </row>
    <row r="192" ht="12.5" spans="1:22">
      <c r="A192" s="4"/>
      <c r="B192" s="4"/>
      <c r="C192" s="4"/>
      <c r="D192" s="4"/>
      <c r="E192" s="5"/>
      <c r="F192" s="5"/>
      <c r="G192" s="5"/>
      <c r="H192" s="5"/>
      <c r="I192" s="5"/>
      <c r="J192" s="5"/>
      <c r="K192" s="5"/>
      <c r="L192" s="5"/>
      <c r="M192" s="5"/>
      <c r="N192" s="5"/>
      <c r="O192" s="5"/>
      <c r="P192" s="5"/>
      <c r="Q192" s="5"/>
      <c r="R192" s="9"/>
      <c r="S192" s="9"/>
      <c r="T192" s="10"/>
      <c r="U192" s="9"/>
      <c r="V192" s="9"/>
    </row>
    <row r="193" ht="12.5" spans="1:22">
      <c r="A193" s="4"/>
      <c r="B193" s="4"/>
      <c r="C193" s="4"/>
      <c r="D193" s="4"/>
      <c r="E193" s="5"/>
      <c r="F193" s="5"/>
      <c r="G193" s="5"/>
      <c r="H193" s="5"/>
      <c r="I193" s="5"/>
      <c r="J193" s="5"/>
      <c r="K193" s="5"/>
      <c r="L193" s="5"/>
      <c r="M193" s="5"/>
      <c r="N193" s="5"/>
      <c r="O193" s="5"/>
      <c r="P193" s="5"/>
      <c r="Q193" s="5"/>
      <c r="R193" s="9"/>
      <c r="S193" s="9"/>
      <c r="T193" s="10"/>
      <c r="U193" s="9"/>
      <c r="V193" s="9"/>
    </row>
    <row r="194" ht="12.5" spans="1:22">
      <c r="A194" s="4"/>
      <c r="B194" s="4"/>
      <c r="C194" s="4"/>
      <c r="D194" s="4"/>
      <c r="E194" s="5"/>
      <c r="F194" s="5"/>
      <c r="G194" s="5"/>
      <c r="H194" s="5"/>
      <c r="I194" s="5"/>
      <c r="J194" s="5"/>
      <c r="K194" s="5"/>
      <c r="L194" s="5"/>
      <c r="M194" s="5"/>
      <c r="N194" s="5"/>
      <c r="O194" s="5"/>
      <c r="P194" s="5"/>
      <c r="Q194" s="5"/>
      <c r="R194" s="9"/>
      <c r="S194" s="9"/>
      <c r="T194" s="10"/>
      <c r="U194" s="9"/>
      <c r="V194" s="9"/>
    </row>
    <row r="195" ht="12.5" spans="1:22">
      <c r="A195" s="4"/>
      <c r="B195" s="4"/>
      <c r="C195" s="4"/>
      <c r="D195" s="4"/>
      <c r="E195" s="5"/>
      <c r="F195" s="5"/>
      <c r="G195" s="5"/>
      <c r="H195" s="5"/>
      <c r="I195" s="5"/>
      <c r="J195" s="5"/>
      <c r="K195" s="5"/>
      <c r="L195" s="5"/>
      <c r="M195" s="5"/>
      <c r="N195" s="5"/>
      <c r="O195" s="5"/>
      <c r="P195" s="5"/>
      <c r="Q195" s="5"/>
      <c r="R195" s="9"/>
      <c r="S195" s="9"/>
      <c r="T195" s="10"/>
      <c r="U195" s="9"/>
      <c r="V195" s="9"/>
    </row>
    <row r="196" ht="12.5" spans="1:22">
      <c r="A196" s="4"/>
      <c r="B196" s="4"/>
      <c r="C196" s="4"/>
      <c r="D196" s="4"/>
      <c r="E196" s="5"/>
      <c r="F196" s="5"/>
      <c r="G196" s="5"/>
      <c r="H196" s="5"/>
      <c r="I196" s="5"/>
      <c r="J196" s="5"/>
      <c r="K196" s="5"/>
      <c r="L196" s="5"/>
      <c r="M196" s="5"/>
      <c r="N196" s="5"/>
      <c r="O196" s="5"/>
      <c r="P196" s="5"/>
      <c r="Q196" s="5"/>
      <c r="R196" s="9"/>
      <c r="S196" s="9"/>
      <c r="T196" s="10"/>
      <c r="U196" s="9"/>
      <c r="V196" s="9"/>
    </row>
    <row r="197" ht="12.5" spans="1:22">
      <c r="A197" s="4"/>
      <c r="B197" s="4"/>
      <c r="C197" s="4"/>
      <c r="D197" s="4"/>
      <c r="E197" s="5"/>
      <c r="F197" s="5"/>
      <c r="G197" s="5"/>
      <c r="H197" s="5"/>
      <c r="I197" s="5"/>
      <c r="J197" s="5"/>
      <c r="K197" s="5"/>
      <c r="L197" s="5"/>
      <c r="M197" s="5"/>
      <c r="N197" s="5"/>
      <c r="O197" s="5"/>
      <c r="P197" s="5"/>
      <c r="Q197" s="5"/>
      <c r="R197" s="9"/>
      <c r="S197" s="9"/>
      <c r="T197" s="10"/>
      <c r="U197" s="9"/>
      <c r="V197" s="9"/>
    </row>
    <row r="198" ht="12.5" spans="1:22">
      <c r="A198" s="4"/>
      <c r="B198" s="4"/>
      <c r="C198" s="4"/>
      <c r="D198" s="4"/>
      <c r="E198" s="5"/>
      <c r="F198" s="5"/>
      <c r="G198" s="5"/>
      <c r="H198" s="5"/>
      <c r="I198" s="5"/>
      <c r="J198" s="5"/>
      <c r="K198" s="5"/>
      <c r="L198" s="5"/>
      <c r="M198" s="5"/>
      <c r="N198" s="5"/>
      <c r="O198" s="5"/>
      <c r="P198" s="5"/>
      <c r="Q198" s="5"/>
      <c r="R198" s="9"/>
      <c r="S198" s="9"/>
      <c r="T198" s="10"/>
      <c r="U198" s="9"/>
      <c r="V198" s="9"/>
    </row>
    <row r="199" ht="12.5" spans="1:22">
      <c r="A199" s="4"/>
      <c r="B199" s="4"/>
      <c r="C199" s="4"/>
      <c r="D199" s="4"/>
      <c r="E199" s="5"/>
      <c r="F199" s="5"/>
      <c r="G199" s="5"/>
      <c r="H199" s="5"/>
      <c r="I199" s="5"/>
      <c r="J199" s="5"/>
      <c r="K199" s="5"/>
      <c r="L199" s="5"/>
      <c r="M199" s="5"/>
      <c r="N199" s="5"/>
      <c r="O199" s="5"/>
      <c r="P199" s="5"/>
      <c r="Q199" s="5"/>
      <c r="R199" s="9"/>
      <c r="S199" s="9"/>
      <c r="T199" s="10"/>
      <c r="U199" s="9"/>
      <c r="V199" s="9"/>
    </row>
    <row r="200" ht="12.5" spans="1:22">
      <c r="A200" s="4"/>
      <c r="B200" s="4"/>
      <c r="C200" s="4"/>
      <c r="D200" s="4"/>
      <c r="E200" s="5"/>
      <c r="F200" s="5"/>
      <c r="G200" s="5"/>
      <c r="H200" s="5"/>
      <c r="I200" s="5"/>
      <c r="J200" s="5"/>
      <c r="K200" s="5"/>
      <c r="L200" s="5"/>
      <c r="M200" s="5"/>
      <c r="N200" s="5"/>
      <c r="O200" s="5"/>
      <c r="P200" s="5"/>
      <c r="Q200" s="5"/>
      <c r="R200" s="9"/>
      <c r="S200" s="9"/>
      <c r="T200" s="10"/>
      <c r="U200" s="9"/>
      <c r="V200" s="9"/>
    </row>
    <row r="201" ht="12.5" spans="1:22">
      <c r="A201" s="4"/>
      <c r="B201" s="4"/>
      <c r="C201" s="4"/>
      <c r="D201" s="4"/>
      <c r="E201" s="5"/>
      <c r="F201" s="5"/>
      <c r="G201" s="5"/>
      <c r="H201" s="5"/>
      <c r="I201" s="5"/>
      <c r="J201" s="5"/>
      <c r="K201" s="5"/>
      <c r="L201" s="5"/>
      <c r="M201" s="5"/>
      <c r="N201" s="5"/>
      <c r="O201" s="5"/>
      <c r="P201" s="5"/>
      <c r="Q201" s="5"/>
      <c r="R201" s="9"/>
      <c r="S201" s="9"/>
      <c r="T201" s="10"/>
      <c r="U201" s="9"/>
      <c r="V201" s="9"/>
    </row>
    <row r="202" ht="12.5" spans="1:22">
      <c r="A202" s="4"/>
      <c r="B202" s="4"/>
      <c r="C202" s="4"/>
      <c r="D202" s="4"/>
      <c r="E202" s="5"/>
      <c r="F202" s="5"/>
      <c r="G202" s="5"/>
      <c r="H202" s="5"/>
      <c r="I202" s="5"/>
      <c r="J202" s="5"/>
      <c r="K202" s="5"/>
      <c r="L202" s="5"/>
      <c r="M202" s="5"/>
      <c r="N202" s="5"/>
      <c r="O202" s="5"/>
      <c r="P202" s="5"/>
      <c r="Q202" s="5"/>
      <c r="R202" s="9"/>
      <c r="S202" s="9"/>
      <c r="T202" s="10"/>
      <c r="U202" s="9"/>
      <c r="V202" s="9"/>
    </row>
    <row r="203" ht="12.5" spans="1:22">
      <c r="A203" s="4"/>
      <c r="B203" s="4"/>
      <c r="C203" s="4"/>
      <c r="D203" s="4"/>
      <c r="E203" s="5"/>
      <c r="F203" s="5"/>
      <c r="G203" s="5"/>
      <c r="H203" s="5"/>
      <c r="I203" s="5"/>
      <c r="J203" s="5"/>
      <c r="K203" s="5"/>
      <c r="L203" s="5"/>
      <c r="M203" s="5"/>
      <c r="N203" s="5"/>
      <c r="O203" s="5"/>
      <c r="P203" s="5"/>
      <c r="Q203" s="5"/>
      <c r="R203" s="9"/>
      <c r="S203" s="9"/>
      <c r="T203" s="10"/>
      <c r="U203" s="9"/>
      <c r="V203" s="9"/>
    </row>
    <row r="204" ht="12.5" spans="1:22">
      <c r="A204" s="4"/>
      <c r="B204" s="4"/>
      <c r="C204" s="4"/>
      <c r="D204" s="4"/>
      <c r="E204" s="5"/>
      <c r="F204" s="5"/>
      <c r="G204" s="5"/>
      <c r="H204" s="5"/>
      <c r="I204" s="5"/>
      <c r="J204" s="5"/>
      <c r="K204" s="5"/>
      <c r="L204" s="5"/>
      <c r="M204" s="5"/>
      <c r="N204" s="5"/>
      <c r="O204" s="5"/>
      <c r="P204" s="5"/>
      <c r="Q204" s="5"/>
      <c r="R204" s="9"/>
      <c r="S204" s="9"/>
      <c r="T204" s="10"/>
      <c r="U204" s="9"/>
      <c r="V204" s="9"/>
    </row>
    <row r="205" ht="12.5" spans="1:22">
      <c r="A205" s="4"/>
      <c r="B205" s="4"/>
      <c r="C205" s="4"/>
      <c r="D205" s="4"/>
      <c r="E205" s="5"/>
      <c r="F205" s="5"/>
      <c r="G205" s="5"/>
      <c r="H205" s="5"/>
      <c r="I205" s="5"/>
      <c r="J205" s="5"/>
      <c r="K205" s="5"/>
      <c r="L205" s="5"/>
      <c r="M205" s="5"/>
      <c r="N205" s="5"/>
      <c r="O205" s="5"/>
      <c r="P205" s="5"/>
      <c r="Q205" s="5"/>
      <c r="R205" s="9"/>
      <c r="S205" s="9"/>
      <c r="T205" s="10"/>
      <c r="U205" s="9"/>
      <c r="V205" s="9"/>
    </row>
    <row r="206" ht="12.5" spans="1:22">
      <c r="A206" s="4"/>
      <c r="B206" s="4"/>
      <c r="C206" s="4"/>
      <c r="D206" s="4"/>
      <c r="E206" s="5"/>
      <c r="F206" s="5"/>
      <c r="G206" s="5"/>
      <c r="H206" s="5"/>
      <c r="I206" s="5"/>
      <c r="J206" s="5"/>
      <c r="K206" s="5"/>
      <c r="L206" s="5"/>
      <c r="M206" s="5"/>
      <c r="N206" s="5"/>
      <c r="O206" s="5"/>
      <c r="P206" s="5"/>
      <c r="Q206" s="5"/>
      <c r="R206" s="9"/>
      <c r="S206" s="9"/>
      <c r="T206" s="10"/>
      <c r="U206" s="9"/>
      <c r="V206" s="9"/>
    </row>
    <row r="207" ht="12.5" spans="1:22">
      <c r="A207" s="4"/>
      <c r="B207" s="4"/>
      <c r="C207" s="4"/>
      <c r="D207" s="4"/>
      <c r="E207" s="5"/>
      <c r="F207" s="5"/>
      <c r="G207" s="5"/>
      <c r="H207" s="5"/>
      <c r="I207" s="5"/>
      <c r="J207" s="5"/>
      <c r="K207" s="5"/>
      <c r="L207" s="5"/>
      <c r="M207" s="5"/>
      <c r="N207" s="5"/>
      <c r="O207" s="5"/>
      <c r="P207" s="5"/>
      <c r="Q207" s="5"/>
      <c r="R207" s="9"/>
      <c r="S207" s="9"/>
      <c r="T207" s="10"/>
      <c r="U207" s="9"/>
      <c r="V207" s="9"/>
    </row>
    <row r="208" ht="12.5" spans="1:22">
      <c r="A208" s="4"/>
      <c r="B208" s="4"/>
      <c r="C208" s="4"/>
      <c r="D208" s="4"/>
      <c r="E208" s="5"/>
      <c r="F208" s="5"/>
      <c r="G208" s="5"/>
      <c r="H208" s="5"/>
      <c r="I208" s="5"/>
      <c r="J208" s="5"/>
      <c r="K208" s="5"/>
      <c r="L208" s="5"/>
      <c r="M208" s="5"/>
      <c r="N208" s="5"/>
      <c r="O208" s="5"/>
      <c r="P208" s="5"/>
      <c r="Q208" s="5"/>
      <c r="R208" s="9"/>
      <c r="S208" s="9"/>
      <c r="T208" s="10"/>
      <c r="U208" s="9"/>
      <c r="V208" s="9"/>
    </row>
    <row r="209" ht="12.5" spans="1:22">
      <c r="A209" s="4"/>
      <c r="B209" s="4"/>
      <c r="C209" s="4"/>
      <c r="D209" s="4"/>
      <c r="E209" s="5"/>
      <c r="F209" s="5"/>
      <c r="G209" s="5"/>
      <c r="H209" s="5"/>
      <c r="I209" s="5"/>
      <c r="J209" s="5"/>
      <c r="K209" s="5"/>
      <c r="L209" s="5"/>
      <c r="M209" s="5"/>
      <c r="N209" s="5"/>
      <c r="O209" s="5"/>
      <c r="P209" s="5"/>
      <c r="Q209" s="5"/>
      <c r="R209" s="9"/>
      <c r="S209" s="9"/>
      <c r="T209" s="10"/>
      <c r="U209" s="9"/>
      <c r="V209" s="9"/>
    </row>
    <row r="210" ht="12.5" spans="1:22">
      <c r="A210" s="4"/>
      <c r="B210" s="4"/>
      <c r="C210" s="4"/>
      <c r="D210" s="4"/>
      <c r="E210" s="5"/>
      <c r="F210" s="5"/>
      <c r="G210" s="5"/>
      <c r="H210" s="5"/>
      <c r="I210" s="5"/>
      <c r="J210" s="5"/>
      <c r="K210" s="5"/>
      <c r="L210" s="5"/>
      <c r="M210" s="5"/>
      <c r="N210" s="5"/>
      <c r="O210" s="5"/>
      <c r="P210" s="5"/>
      <c r="Q210" s="5"/>
      <c r="R210" s="9"/>
      <c r="S210" s="9"/>
      <c r="T210" s="10"/>
      <c r="U210" s="9"/>
      <c r="V210" s="9"/>
    </row>
    <row r="211" ht="12.5" spans="1:22">
      <c r="A211" s="4"/>
      <c r="B211" s="4"/>
      <c r="C211" s="4"/>
      <c r="D211" s="4"/>
      <c r="E211" s="5"/>
      <c r="F211" s="5"/>
      <c r="G211" s="5"/>
      <c r="H211" s="5"/>
      <c r="I211" s="5"/>
      <c r="J211" s="5"/>
      <c r="K211" s="5"/>
      <c r="L211" s="5"/>
      <c r="M211" s="5"/>
      <c r="N211" s="5"/>
      <c r="O211" s="5"/>
      <c r="P211" s="5"/>
      <c r="Q211" s="5"/>
      <c r="R211" s="9"/>
      <c r="S211" s="9"/>
      <c r="T211" s="10"/>
      <c r="U211" s="9"/>
      <c r="V211" s="9"/>
    </row>
    <row r="212" ht="12.5" spans="1:22">
      <c r="A212" s="4"/>
      <c r="B212" s="4"/>
      <c r="C212" s="4"/>
      <c r="D212" s="4"/>
      <c r="E212" s="5"/>
      <c r="F212" s="5"/>
      <c r="G212" s="5"/>
      <c r="H212" s="5"/>
      <c r="I212" s="5"/>
      <c r="J212" s="5"/>
      <c r="K212" s="5"/>
      <c r="L212" s="5"/>
      <c r="M212" s="5"/>
      <c r="N212" s="5"/>
      <c r="O212" s="5"/>
      <c r="P212" s="5"/>
      <c r="Q212" s="5"/>
      <c r="R212" s="9"/>
      <c r="S212" s="9"/>
      <c r="T212" s="10"/>
      <c r="U212" s="9"/>
      <c r="V212" s="9"/>
    </row>
    <row r="213" ht="12.5" spans="1:22">
      <c r="A213" s="4"/>
      <c r="B213" s="4"/>
      <c r="C213" s="4"/>
      <c r="D213" s="4"/>
      <c r="E213" s="5"/>
      <c r="F213" s="5"/>
      <c r="G213" s="5"/>
      <c r="H213" s="5"/>
      <c r="I213" s="5"/>
      <c r="J213" s="5"/>
      <c r="K213" s="5"/>
      <c r="L213" s="5"/>
      <c r="M213" s="5"/>
      <c r="N213" s="5"/>
      <c r="O213" s="5"/>
      <c r="P213" s="5"/>
      <c r="Q213" s="5"/>
      <c r="R213" s="9"/>
      <c r="S213" s="9"/>
      <c r="T213" s="10"/>
      <c r="U213" s="9"/>
      <c r="V213" s="9"/>
    </row>
    <row r="214" ht="12.5" spans="1:22">
      <c r="A214" s="4"/>
      <c r="B214" s="4"/>
      <c r="C214" s="4"/>
      <c r="D214" s="4"/>
      <c r="E214" s="5"/>
      <c r="F214" s="5"/>
      <c r="G214" s="5"/>
      <c r="H214" s="5"/>
      <c r="I214" s="5"/>
      <c r="J214" s="5"/>
      <c r="K214" s="5"/>
      <c r="L214" s="5"/>
      <c r="M214" s="5"/>
      <c r="N214" s="5"/>
      <c r="O214" s="5"/>
      <c r="P214" s="5"/>
      <c r="Q214" s="5"/>
      <c r="R214" s="9"/>
      <c r="S214" s="9"/>
      <c r="T214" s="10"/>
      <c r="U214" s="9"/>
      <c r="V214" s="9"/>
    </row>
    <row r="215" ht="12.5" spans="1:22">
      <c r="A215" s="4"/>
      <c r="B215" s="4"/>
      <c r="C215" s="4"/>
      <c r="D215" s="4"/>
      <c r="E215" s="5"/>
      <c r="F215" s="5"/>
      <c r="G215" s="5"/>
      <c r="H215" s="5"/>
      <c r="I215" s="5"/>
      <c r="J215" s="5"/>
      <c r="K215" s="5"/>
      <c r="L215" s="5"/>
      <c r="M215" s="5"/>
      <c r="N215" s="5"/>
      <c r="O215" s="5"/>
      <c r="P215" s="5"/>
      <c r="Q215" s="5"/>
      <c r="R215" s="9"/>
      <c r="S215" s="9"/>
      <c r="T215" s="10"/>
      <c r="U215" s="9"/>
      <c r="V215" s="9"/>
    </row>
    <row r="216" ht="12.5" spans="1:22">
      <c r="A216" s="4"/>
      <c r="B216" s="4"/>
      <c r="C216" s="4"/>
      <c r="D216" s="4"/>
      <c r="E216" s="5"/>
      <c r="F216" s="5"/>
      <c r="G216" s="5"/>
      <c r="H216" s="5"/>
      <c r="I216" s="5"/>
      <c r="J216" s="5"/>
      <c r="K216" s="5"/>
      <c r="L216" s="5"/>
      <c r="M216" s="5"/>
      <c r="N216" s="5"/>
      <c r="O216" s="5"/>
      <c r="P216" s="5"/>
      <c r="Q216" s="5"/>
      <c r="R216" s="9"/>
      <c r="S216" s="9"/>
      <c r="T216" s="10"/>
      <c r="U216" s="9"/>
      <c r="V216" s="9"/>
    </row>
    <row r="217" ht="12.5" spans="1:22">
      <c r="A217" s="4"/>
      <c r="B217" s="4"/>
      <c r="C217" s="4"/>
      <c r="D217" s="4"/>
      <c r="E217" s="5"/>
      <c r="F217" s="5"/>
      <c r="G217" s="5"/>
      <c r="H217" s="5"/>
      <c r="I217" s="5"/>
      <c r="J217" s="5"/>
      <c r="K217" s="5"/>
      <c r="L217" s="5"/>
      <c r="M217" s="5"/>
      <c r="N217" s="5"/>
      <c r="O217" s="5"/>
      <c r="P217" s="5"/>
      <c r="Q217" s="5"/>
      <c r="R217" s="9"/>
      <c r="S217" s="9"/>
      <c r="T217" s="10"/>
      <c r="U217" s="9"/>
      <c r="V217" s="9"/>
    </row>
    <row r="218" ht="12.5" spans="1:22">
      <c r="A218" s="4"/>
      <c r="B218" s="4"/>
      <c r="C218" s="4"/>
      <c r="D218" s="4"/>
      <c r="E218" s="5"/>
      <c r="F218" s="5"/>
      <c r="G218" s="5"/>
      <c r="H218" s="5"/>
      <c r="I218" s="5"/>
      <c r="J218" s="5"/>
      <c r="K218" s="5"/>
      <c r="L218" s="5"/>
      <c r="M218" s="5"/>
      <c r="N218" s="5"/>
      <c r="O218" s="5"/>
      <c r="P218" s="5"/>
      <c r="Q218" s="5"/>
      <c r="R218" s="9"/>
      <c r="S218" s="9"/>
      <c r="T218" s="10"/>
      <c r="U218" s="9"/>
      <c r="V218" s="9"/>
    </row>
    <row r="219" ht="12.5" spans="1:22">
      <c r="A219" s="4"/>
      <c r="B219" s="4"/>
      <c r="C219" s="4"/>
      <c r="D219" s="4"/>
      <c r="E219" s="5"/>
      <c r="F219" s="5"/>
      <c r="G219" s="5"/>
      <c r="H219" s="5"/>
      <c r="I219" s="5"/>
      <c r="J219" s="5"/>
      <c r="K219" s="5"/>
      <c r="L219" s="5"/>
      <c r="M219" s="5"/>
      <c r="N219" s="5"/>
      <c r="O219" s="5"/>
      <c r="P219" s="5"/>
      <c r="Q219" s="5"/>
      <c r="R219" s="9"/>
      <c r="S219" s="9"/>
      <c r="T219" s="10"/>
      <c r="U219" s="9"/>
      <c r="V219" s="9"/>
    </row>
    <row r="220" ht="12.5" spans="1:22">
      <c r="A220" s="4"/>
      <c r="B220" s="4"/>
      <c r="C220" s="4"/>
      <c r="D220" s="4"/>
      <c r="E220" s="5"/>
      <c r="F220" s="5"/>
      <c r="G220" s="5"/>
      <c r="H220" s="5"/>
      <c r="I220" s="5"/>
      <c r="J220" s="5"/>
      <c r="K220" s="5"/>
      <c r="L220" s="5"/>
      <c r="M220" s="5"/>
      <c r="N220" s="5"/>
      <c r="O220" s="5"/>
      <c r="P220" s="5"/>
      <c r="Q220" s="5"/>
      <c r="R220" s="9"/>
      <c r="S220" s="9"/>
      <c r="T220" s="10"/>
      <c r="U220" s="9"/>
      <c r="V220" s="9"/>
    </row>
    <row r="221" ht="12.5" spans="1:22">
      <c r="A221" s="4"/>
      <c r="B221" s="4"/>
      <c r="C221" s="4"/>
      <c r="D221" s="4"/>
      <c r="E221" s="5"/>
      <c r="F221" s="5"/>
      <c r="G221" s="5"/>
      <c r="H221" s="5"/>
      <c r="I221" s="5"/>
      <c r="J221" s="5"/>
      <c r="K221" s="5"/>
      <c r="L221" s="5"/>
      <c r="M221" s="5"/>
      <c r="N221" s="5"/>
      <c r="O221" s="5"/>
      <c r="P221" s="5"/>
      <c r="Q221" s="5"/>
      <c r="R221" s="9"/>
      <c r="S221" s="9"/>
      <c r="T221" s="10"/>
      <c r="U221" s="9"/>
      <c r="V221" s="9"/>
    </row>
    <row r="222" ht="12.5" spans="1:22">
      <c r="A222" s="4"/>
      <c r="B222" s="4"/>
      <c r="C222" s="4"/>
      <c r="D222" s="4"/>
      <c r="E222" s="5"/>
      <c r="F222" s="5"/>
      <c r="G222" s="5"/>
      <c r="H222" s="5"/>
      <c r="I222" s="5"/>
      <c r="J222" s="5"/>
      <c r="K222" s="5"/>
      <c r="L222" s="5"/>
      <c r="M222" s="5"/>
      <c r="N222" s="5"/>
      <c r="O222" s="5"/>
      <c r="P222" s="5"/>
      <c r="Q222" s="5"/>
      <c r="R222" s="9"/>
      <c r="S222" s="9"/>
      <c r="T222" s="10"/>
      <c r="U222" s="9"/>
      <c r="V222" s="9"/>
    </row>
    <row r="223" ht="12.5" spans="1:22">
      <c r="A223" s="4"/>
      <c r="B223" s="4"/>
      <c r="C223" s="4"/>
      <c r="D223" s="4"/>
      <c r="E223" s="5"/>
      <c r="F223" s="5"/>
      <c r="G223" s="5"/>
      <c r="H223" s="5"/>
      <c r="I223" s="5"/>
      <c r="J223" s="5"/>
      <c r="K223" s="5"/>
      <c r="L223" s="5"/>
      <c r="M223" s="5"/>
      <c r="N223" s="5"/>
      <c r="O223" s="5"/>
      <c r="P223" s="5"/>
      <c r="Q223" s="5"/>
      <c r="R223" s="9"/>
      <c r="S223" s="9"/>
      <c r="T223" s="10"/>
      <c r="U223" s="9"/>
      <c r="V223" s="9"/>
    </row>
    <row r="224" ht="12.5" spans="1:22">
      <c r="A224" s="4"/>
      <c r="B224" s="4"/>
      <c r="C224" s="4"/>
      <c r="D224" s="4"/>
      <c r="E224" s="5"/>
      <c r="F224" s="5"/>
      <c r="G224" s="5"/>
      <c r="H224" s="5"/>
      <c r="I224" s="5"/>
      <c r="J224" s="5"/>
      <c r="K224" s="5"/>
      <c r="L224" s="5"/>
      <c r="M224" s="5"/>
      <c r="N224" s="5"/>
      <c r="O224" s="5"/>
      <c r="P224" s="5"/>
      <c r="Q224" s="5"/>
      <c r="R224" s="9"/>
      <c r="S224" s="9"/>
      <c r="T224" s="10"/>
      <c r="U224" s="9"/>
      <c r="V224" s="9"/>
    </row>
    <row r="225" ht="12.5" spans="1:22">
      <c r="A225" s="4"/>
      <c r="B225" s="4"/>
      <c r="C225" s="4"/>
      <c r="D225" s="4"/>
      <c r="E225" s="5"/>
      <c r="F225" s="5"/>
      <c r="G225" s="5"/>
      <c r="H225" s="5"/>
      <c r="I225" s="5"/>
      <c r="J225" s="5"/>
      <c r="K225" s="5"/>
      <c r="L225" s="5"/>
      <c r="M225" s="5"/>
      <c r="N225" s="5"/>
      <c r="O225" s="5"/>
      <c r="P225" s="5"/>
      <c r="Q225" s="5"/>
      <c r="R225" s="9"/>
      <c r="S225" s="9"/>
      <c r="T225" s="10"/>
      <c r="U225" s="9"/>
      <c r="V225" s="9"/>
    </row>
    <row r="226" ht="12.5" spans="1:22">
      <c r="A226" s="4"/>
      <c r="B226" s="4"/>
      <c r="C226" s="4"/>
      <c r="D226" s="4"/>
      <c r="E226" s="5"/>
      <c r="F226" s="5"/>
      <c r="G226" s="5"/>
      <c r="H226" s="5"/>
      <c r="I226" s="5"/>
      <c r="J226" s="5"/>
      <c r="K226" s="5"/>
      <c r="L226" s="5"/>
      <c r="M226" s="5"/>
      <c r="N226" s="5"/>
      <c r="O226" s="5"/>
      <c r="P226" s="5"/>
      <c r="Q226" s="5"/>
      <c r="R226" s="9"/>
      <c r="S226" s="9"/>
      <c r="T226" s="10"/>
      <c r="U226" s="9"/>
      <c r="V226" s="9"/>
    </row>
    <row r="227" ht="12.5" spans="1:22">
      <c r="A227" s="4"/>
      <c r="B227" s="4"/>
      <c r="C227" s="4"/>
      <c r="D227" s="4"/>
      <c r="E227" s="5"/>
      <c r="F227" s="5"/>
      <c r="G227" s="5"/>
      <c r="H227" s="5"/>
      <c r="I227" s="5"/>
      <c r="J227" s="5"/>
      <c r="K227" s="5"/>
      <c r="L227" s="5"/>
      <c r="M227" s="5"/>
      <c r="N227" s="5"/>
      <c r="O227" s="5"/>
      <c r="P227" s="5"/>
      <c r="Q227" s="5"/>
      <c r="R227" s="9"/>
      <c r="S227" s="9"/>
      <c r="T227" s="10"/>
      <c r="U227" s="9"/>
      <c r="V227" s="9"/>
    </row>
    <row r="228" ht="12.5" spans="1:22">
      <c r="A228" s="4"/>
      <c r="B228" s="4"/>
      <c r="C228" s="4"/>
      <c r="D228" s="4"/>
      <c r="E228" s="5"/>
      <c r="F228" s="5"/>
      <c r="G228" s="5"/>
      <c r="H228" s="5"/>
      <c r="I228" s="5"/>
      <c r="J228" s="5"/>
      <c r="K228" s="5"/>
      <c r="L228" s="5"/>
      <c r="M228" s="5"/>
      <c r="N228" s="5"/>
      <c r="O228" s="5"/>
      <c r="P228" s="5"/>
      <c r="Q228" s="5"/>
      <c r="R228" s="9"/>
      <c r="S228" s="9"/>
      <c r="T228" s="10"/>
      <c r="U228" s="9"/>
      <c r="V228" s="9"/>
    </row>
    <row r="229" ht="12.5" spans="1:22">
      <c r="A229" s="4"/>
      <c r="B229" s="4"/>
      <c r="C229" s="4"/>
      <c r="D229" s="4"/>
      <c r="E229" s="5"/>
      <c r="F229" s="5"/>
      <c r="G229" s="5"/>
      <c r="H229" s="5"/>
      <c r="I229" s="5"/>
      <c r="J229" s="5"/>
      <c r="K229" s="5"/>
      <c r="L229" s="5"/>
      <c r="M229" s="5"/>
      <c r="N229" s="5"/>
      <c r="O229" s="5"/>
      <c r="P229" s="5"/>
      <c r="Q229" s="5"/>
      <c r="R229" s="9"/>
      <c r="S229" s="9"/>
      <c r="T229" s="10"/>
      <c r="U229" s="9"/>
      <c r="V229" s="9"/>
    </row>
    <row r="230" ht="12.5" spans="1:22">
      <c r="A230" s="4"/>
      <c r="B230" s="4"/>
      <c r="C230" s="4"/>
      <c r="D230" s="4"/>
      <c r="E230" s="5"/>
      <c r="F230" s="5"/>
      <c r="G230" s="5"/>
      <c r="H230" s="5"/>
      <c r="I230" s="5"/>
      <c r="J230" s="5"/>
      <c r="K230" s="5"/>
      <c r="L230" s="5"/>
      <c r="M230" s="5"/>
      <c r="N230" s="5"/>
      <c r="O230" s="5"/>
      <c r="P230" s="5"/>
      <c r="Q230" s="5"/>
      <c r="R230" s="9"/>
      <c r="S230" s="9"/>
      <c r="T230" s="10"/>
      <c r="U230" s="9"/>
      <c r="V230" s="9"/>
    </row>
    <row r="231" ht="12.5" spans="1:22">
      <c r="A231" s="4"/>
      <c r="B231" s="4"/>
      <c r="C231" s="4"/>
      <c r="D231" s="4"/>
      <c r="E231" s="5"/>
      <c r="F231" s="5"/>
      <c r="G231" s="5"/>
      <c r="H231" s="5"/>
      <c r="I231" s="5"/>
      <c r="J231" s="5"/>
      <c r="K231" s="5"/>
      <c r="L231" s="5"/>
      <c r="M231" s="5"/>
      <c r="N231" s="5"/>
      <c r="O231" s="5"/>
      <c r="P231" s="5"/>
      <c r="Q231" s="5"/>
      <c r="R231" s="9"/>
      <c r="S231" s="9"/>
      <c r="T231" s="10"/>
      <c r="U231" s="9"/>
      <c r="V231" s="9"/>
    </row>
    <row r="232" ht="12.5" spans="1:22">
      <c r="A232" s="4"/>
      <c r="B232" s="4"/>
      <c r="C232" s="4"/>
      <c r="D232" s="4"/>
      <c r="E232" s="5"/>
      <c r="F232" s="5"/>
      <c r="G232" s="5"/>
      <c r="H232" s="5"/>
      <c r="I232" s="5"/>
      <c r="J232" s="5"/>
      <c r="K232" s="5"/>
      <c r="L232" s="5"/>
      <c r="M232" s="5"/>
      <c r="N232" s="5"/>
      <c r="O232" s="5"/>
      <c r="P232" s="5"/>
      <c r="Q232" s="5"/>
      <c r="R232" s="9"/>
      <c r="S232" s="9"/>
      <c r="T232" s="10"/>
      <c r="U232" s="9"/>
      <c r="V232" s="9"/>
    </row>
    <row r="233" ht="12.5" spans="1:22">
      <c r="A233" s="4"/>
      <c r="B233" s="4"/>
      <c r="C233" s="4"/>
      <c r="D233" s="4"/>
      <c r="E233" s="5"/>
      <c r="F233" s="5"/>
      <c r="G233" s="5"/>
      <c r="H233" s="5"/>
      <c r="I233" s="5"/>
      <c r="J233" s="5"/>
      <c r="K233" s="5"/>
      <c r="L233" s="5"/>
      <c r="M233" s="5"/>
      <c r="N233" s="5"/>
      <c r="O233" s="5"/>
      <c r="P233" s="5"/>
      <c r="Q233" s="5"/>
      <c r="R233" s="9"/>
      <c r="S233" s="9"/>
      <c r="T233" s="10"/>
      <c r="U233" s="9"/>
      <c r="V233" s="9"/>
    </row>
    <row r="234" ht="12.5" spans="1:22">
      <c r="A234" s="4"/>
      <c r="B234" s="4"/>
      <c r="C234" s="4"/>
      <c r="D234" s="4"/>
      <c r="E234" s="5"/>
      <c r="F234" s="5"/>
      <c r="G234" s="5"/>
      <c r="H234" s="5"/>
      <c r="I234" s="5"/>
      <c r="J234" s="5"/>
      <c r="K234" s="5"/>
      <c r="L234" s="5"/>
      <c r="M234" s="5"/>
      <c r="N234" s="5"/>
      <c r="O234" s="5"/>
      <c r="P234" s="5"/>
      <c r="Q234" s="5"/>
      <c r="R234" s="9"/>
      <c r="S234" s="9"/>
      <c r="T234" s="10"/>
      <c r="U234" s="9"/>
      <c r="V234" s="9"/>
    </row>
    <row r="235" ht="12.5" spans="1:22">
      <c r="A235" s="4"/>
      <c r="B235" s="4"/>
      <c r="C235" s="4"/>
      <c r="D235" s="4"/>
      <c r="E235" s="5"/>
      <c r="F235" s="5"/>
      <c r="G235" s="5"/>
      <c r="H235" s="5"/>
      <c r="I235" s="5"/>
      <c r="J235" s="5"/>
      <c r="K235" s="5"/>
      <c r="L235" s="5"/>
      <c r="M235" s="5"/>
      <c r="N235" s="5"/>
      <c r="O235" s="5"/>
      <c r="P235" s="5"/>
      <c r="Q235" s="5"/>
      <c r="R235" s="9"/>
      <c r="S235" s="9"/>
      <c r="T235" s="10"/>
      <c r="U235" s="9"/>
      <c r="V235" s="9"/>
    </row>
    <row r="236" ht="12.5" spans="1:22">
      <c r="A236" s="4"/>
      <c r="B236" s="4"/>
      <c r="C236" s="4"/>
      <c r="D236" s="4"/>
      <c r="E236" s="5"/>
      <c r="F236" s="5"/>
      <c r="G236" s="5"/>
      <c r="H236" s="5"/>
      <c r="I236" s="5"/>
      <c r="J236" s="5"/>
      <c r="K236" s="5"/>
      <c r="L236" s="5"/>
      <c r="M236" s="5"/>
      <c r="N236" s="5"/>
      <c r="O236" s="5"/>
      <c r="P236" s="5"/>
      <c r="Q236" s="5"/>
      <c r="R236" s="9"/>
      <c r="S236" s="9"/>
      <c r="T236" s="10"/>
      <c r="U236" s="9"/>
      <c r="V236" s="9"/>
    </row>
    <row r="237" ht="12.5" spans="1:22">
      <c r="A237" s="4"/>
      <c r="B237" s="4"/>
      <c r="C237" s="4"/>
      <c r="D237" s="4"/>
      <c r="E237" s="5"/>
      <c r="F237" s="5"/>
      <c r="G237" s="5"/>
      <c r="H237" s="5"/>
      <c r="I237" s="5"/>
      <c r="J237" s="5"/>
      <c r="K237" s="5"/>
      <c r="L237" s="5"/>
      <c r="M237" s="5"/>
      <c r="N237" s="5"/>
      <c r="O237" s="5"/>
      <c r="P237" s="5"/>
      <c r="Q237" s="5"/>
      <c r="R237" s="9"/>
      <c r="S237" s="9"/>
      <c r="T237" s="10"/>
      <c r="U237" s="9"/>
      <c r="V237" s="9"/>
    </row>
    <row r="238" ht="12.5" spans="1:22">
      <c r="A238" s="4"/>
      <c r="B238" s="4"/>
      <c r="C238" s="4"/>
      <c r="D238" s="4"/>
      <c r="E238" s="5"/>
      <c r="F238" s="5"/>
      <c r="G238" s="5"/>
      <c r="H238" s="5"/>
      <c r="I238" s="5"/>
      <c r="J238" s="5"/>
      <c r="K238" s="5"/>
      <c r="L238" s="5"/>
      <c r="M238" s="5"/>
      <c r="N238" s="5"/>
      <c r="O238" s="5"/>
      <c r="P238" s="5"/>
      <c r="Q238" s="5"/>
      <c r="R238" s="9"/>
      <c r="S238" s="9"/>
      <c r="T238" s="10"/>
      <c r="U238" s="9"/>
      <c r="V238" s="9"/>
    </row>
    <row r="239" ht="12.5" spans="1:22">
      <c r="A239" s="4"/>
      <c r="B239" s="4"/>
      <c r="C239" s="4"/>
      <c r="D239" s="4"/>
      <c r="E239" s="5"/>
      <c r="F239" s="5"/>
      <c r="G239" s="5"/>
      <c r="H239" s="5"/>
      <c r="I239" s="5"/>
      <c r="J239" s="5"/>
      <c r="K239" s="5"/>
      <c r="L239" s="5"/>
      <c r="M239" s="5"/>
      <c r="N239" s="5"/>
      <c r="O239" s="5"/>
      <c r="P239" s="5"/>
      <c r="Q239" s="5"/>
      <c r="R239" s="9"/>
      <c r="S239" s="9"/>
      <c r="T239" s="10"/>
      <c r="U239" s="9"/>
      <c r="V239" s="9"/>
    </row>
    <row r="240" ht="12.5" spans="1:22">
      <c r="A240" s="4"/>
      <c r="B240" s="4"/>
      <c r="C240" s="4"/>
      <c r="D240" s="4"/>
      <c r="E240" s="5"/>
      <c r="F240" s="5"/>
      <c r="G240" s="5"/>
      <c r="H240" s="5"/>
      <c r="I240" s="5"/>
      <c r="J240" s="5"/>
      <c r="K240" s="5"/>
      <c r="L240" s="5"/>
      <c r="M240" s="5"/>
      <c r="N240" s="5"/>
      <c r="O240" s="5"/>
      <c r="P240" s="5"/>
      <c r="Q240" s="5"/>
      <c r="R240" s="9"/>
      <c r="S240" s="9"/>
      <c r="T240" s="10"/>
      <c r="U240" s="9"/>
      <c r="V240" s="9"/>
    </row>
    <row r="241" ht="12.5" spans="1:22">
      <c r="A241" s="4"/>
      <c r="B241" s="4"/>
      <c r="C241" s="4"/>
      <c r="D241" s="4"/>
      <c r="E241" s="5"/>
      <c r="F241" s="5"/>
      <c r="G241" s="5"/>
      <c r="H241" s="5"/>
      <c r="I241" s="5"/>
      <c r="J241" s="5"/>
      <c r="K241" s="5"/>
      <c r="L241" s="5"/>
      <c r="M241" s="5"/>
      <c r="N241" s="5"/>
      <c r="O241" s="5"/>
      <c r="P241" s="5"/>
      <c r="Q241" s="5"/>
      <c r="R241" s="9"/>
      <c r="S241" s="9"/>
      <c r="T241" s="10"/>
      <c r="U241" s="9"/>
      <c r="V241" s="9"/>
    </row>
    <row r="242" ht="12.5" spans="1:22">
      <c r="A242" s="4"/>
      <c r="B242" s="4"/>
      <c r="C242" s="4"/>
      <c r="D242" s="4"/>
      <c r="E242" s="5"/>
      <c r="F242" s="5"/>
      <c r="G242" s="5"/>
      <c r="H242" s="5"/>
      <c r="I242" s="5"/>
      <c r="J242" s="5"/>
      <c r="K242" s="5"/>
      <c r="L242" s="5"/>
      <c r="M242" s="5"/>
      <c r="N242" s="5"/>
      <c r="O242" s="5"/>
      <c r="P242" s="5"/>
      <c r="Q242" s="5"/>
      <c r="R242" s="9"/>
      <c r="S242" s="9"/>
      <c r="T242" s="10"/>
      <c r="U242" s="9"/>
      <c r="V242" s="9"/>
    </row>
    <row r="243" ht="12.5" spans="1:22">
      <c r="A243" s="4"/>
      <c r="B243" s="4"/>
      <c r="C243" s="4"/>
      <c r="D243" s="4"/>
      <c r="E243" s="5"/>
      <c r="F243" s="5"/>
      <c r="G243" s="5"/>
      <c r="H243" s="5"/>
      <c r="I243" s="5"/>
      <c r="J243" s="5"/>
      <c r="K243" s="5"/>
      <c r="L243" s="5"/>
      <c r="M243" s="5"/>
      <c r="N243" s="5"/>
      <c r="O243" s="5"/>
      <c r="P243" s="5"/>
      <c r="Q243" s="5"/>
      <c r="R243" s="9"/>
      <c r="S243" s="9"/>
      <c r="T243" s="10"/>
      <c r="U243" s="9"/>
      <c r="V243" s="9"/>
    </row>
    <row r="244" ht="12.5" spans="1:22">
      <c r="A244" s="4"/>
      <c r="B244" s="4"/>
      <c r="C244" s="4"/>
      <c r="D244" s="4"/>
      <c r="E244" s="5"/>
      <c r="F244" s="5"/>
      <c r="G244" s="5"/>
      <c r="H244" s="5"/>
      <c r="I244" s="5"/>
      <c r="J244" s="5"/>
      <c r="K244" s="5"/>
      <c r="L244" s="5"/>
      <c r="M244" s="5"/>
      <c r="N244" s="5"/>
      <c r="O244" s="5"/>
      <c r="P244" s="5"/>
      <c r="Q244" s="5"/>
      <c r="R244" s="9"/>
      <c r="S244" s="9"/>
      <c r="T244" s="10"/>
      <c r="U244" s="9"/>
      <c r="V244" s="9"/>
    </row>
    <row r="245" ht="12.5" spans="1:22">
      <c r="A245" s="4"/>
      <c r="B245" s="4"/>
      <c r="C245" s="4"/>
      <c r="D245" s="4"/>
      <c r="E245" s="5"/>
      <c r="F245" s="5"/>
      <c r="G245" s="5"/>
      <c r="H245" s="5"/>
      <c r="I245" s="5"/>
      <c r="J245" s="5"/>
      <c r="K245" s="5"/>
      <c r="L245" s="5"/>
      <c r="M245" s="5"/>
      <c r="N245" s="5"/>
      <c r="O245" s="5"/>
      <c r="P245" s="5"/>
      <c r="Q245" s="5"/>
      <c r="R245" s="9"/>
      <c r="S245" s="9"/>
      <c r="T245" s="10"/>
      <c r="U245" s="9"/>
      <c r="V245" s="9"/>
    </row>
    <row r="246" ht="12.5" spans="1:22">
      <c r="A246" s="4"/>
      <c r="B246" s="4"/>
      <c r="C246" s="4"/>
      <c r="D246" s="4"/>
      <c r="E246" s="5"/>
      <c r="F246" s="5"/>
      <c r="G246" s="5"/>
      <c r="H246" s="5"/>
      <c r="I246" s="5"/>
      <c r="J246" s="5"/>
      <c r="K246" s="5"/>
      <c r="L246" s="5"/>
      <c r="M246" s="5"/>
      <c r="N246" s="5"/>
      <c r="O246" s="5"/>
      <c r="P246" s="5"/>
      <c r="Q246" s="5"/>
      <c r="R246" s="9"/>
      <c r="S246" s="9"/>
      <c r="T246" s="10"/>
      <c r="U246" s="9"/>
      <c r="V246" s="9"/>
    </row>
    <row r="247" ht="12.5" spans="1:22">
      <c r="A247" s="4"/>
      <c r="B247" s="4"/>
      <c r="C247" s="4"/>
      <c r="D247" s="4"/>
      <c r="E247" s="5"/>
      <c r="F247" s="5"/>
      <c r="G247" s="5"/>
      <c r="H247" s="5"/>
      <c r="I247" s="5"/>
      <c r="J247" s="5"/>
      <c r="K247" s="5"/>
      <c r="L247" s="5"/>
      <c r="M247" s="5"/>
      <c r="N247" s="5"/>
      <c r="O247" s="5"/>
      <c r="P247" s="5"/>
      <c r="Q247" s="5"/>
      <c r="R247" s="9"/>
      <c r="S247" s="9"/>
      <c r="T247" s="10"/>
      <c r="U247" s="9"/>
      <c r="V247" s="9"/>
    </row>
    <row r="248" ht="12.5" spans="1:22">
      <c r="A248" s="4"/>
      <c r="B248" s="4"/>
      <c r="C248" s="4"/>
      <c r="D248" s="4"/>
      <c r="E248" s="5"/>
      <c r="F248" s="5"/>
      <c r="G248" s="5"/>
      <c r="H248" s="5"/>
      <c r="I248" s="5"/>
      <c r="J248" s="5"/>
      <c r="K248" s="5"/>
      <c r="L248" s="5"/>
      <c r="M248" s="5"/>
      <c r="N248" s="5"/>
      <c r="O248" s="5"/>
      <c r="P248" s="5"/>
      <c r="Q248" s="5"/>
      <c r="R248" s="9"/>
      <c r="S248" s="9"/>
      <c r="T248" s="10"/>
      <c r="U248" s="9"/>
      <c r="V248" s="9"/>
    </row>
    <row r="249" ht="12.5" spans="1:22">
      <c r="A249" s="4"/>
      <c r="B249" s="4"/>
      <c r="C249" s="4"/>
      <c r="D249" s="4"/>
      <c r="E249" s="5"/>
      <c r="F249" s="5"/>
      <c r="G249" s="5"/>
      <c r="H249" s="5"/>
      <c r="I249" s="5"/>
      <c r="J249" s="5"/>
      <c r="K249" s="5"/>
      <c r="L249" s="5"/>
      <c r="M249" s="5"/>
      <c r="N249" s="5"/>
      <c r="O249" s="5"/>
      <c r="P249" s="5"/>
      <c r="Q249" s="5"/>
      <c r="R249" s="9"/>
      <c r="S249" s="9"/>
      <c r="T249" s="10"/>
      <c r="U249" s="9"/>
      <c r="V249" s="9"/>
    </row>
    <row r="250" ht="12.5" spans="1:22">
      <c r="A250" s="4"/>
      <c r="B250" s="4"/>
      <c r="C250" s="4"/>
      <c r="D250" s="4"/>
      <c r="E250" s="5"/>
      <c r="F250" s="5"/>
      <c r="G250" s="5"/>
      <c r="H250" s="5"/>
      <c r="I250" s="5"/>
      <c r="J250" s="5"/>
      <c r="K250" s="5"/>
      <c r="L250" s="5"/>
      <c r="M250" s="5"/>
      <c r="N250" s="5"/>
      <c r="O250" s="5"/>
      <c r="P250" s="5"/>
      <c r="Q250" s="5"/>
      <c r="R250" s="9"/>
      <c r="S250" s="9"/>
      <c r="T250" s="10"/>
      <c r="U250" s="9"/>
      <c r="V250" s="9"/>
    </row>
    <row r="251" ht="12.5" spans="1:22">
      <c r="A251" s="4"/>
      <c r="B251" s="4"/>
      <c r="C251" s="4"/>
      <c r="D251" s="4"/>
      <c r="E251" s="5"/>
      <c r="F251" s="5"/>
      <c r="G251" s="5"/>
      <c r="H251" s="5"/>
      <c r="I251" s="5"/>
      <c r="J251" s="5"/>
      <c r="K251" s="5"/>
      <c r="L251" s="5"/>
      <c r="M251" s="5"/>
      <c r="N251" s="5"/>
      <c r="O251" s="5"/>
      <c r="P251" s="5"/>
      <c r="Q251" s="5"/>
      <c r="R251" s="9"/>
      <c r="S251" s="9"/>
      <c r="T251" s="10"/>
      <c r="U251" s="9"/>
      <c r="V251" s="9"/>
    </row>
    <row r="252" ht="12.5" spans="1:22">
      <c r="A252" s="4"/>
      <c r="B252" s="4"/>
      <c r="C252" s="4"/>
      <c r="D252" s="4"/>
      <c r="E252" s="5"/>
      <c r="F252" s="5"/>
      <c r="G252" s="5"/>
      <c r="H252" s="5"/>
      <c r="I252" s="5"/>
      <c r="J252" s="5"/>
      <c r="K252" s="5"/>
      <c r="L252" s="5"/>
      <c r="M252" s="5"/>
      <c r="N252" s="5"/>
      <c r="O252" s="5"/>
      <c r="P252" s="5"/>
      <c r="Q252" s="5"/>
      <c r="R252" s="9"/>
      <c r="S252" s="9"/>
      <c r="T252" s="10"/>
      <c r="U252" s="9"/>
      <c r="V252" s="9"/>
    </row>
    <row r="253" ht="12.5" spans="1:22">
      <c r="A253" s="4"/>
      <c r="B253" s="4"/>
      <c r="C253" s="4"/>
      <c r="D253" s="4"/>
      <c r="E253" s="5"/>
      <c r="F253" s="5"/>
      <c r="G253" s="5"/>
      <c r="H253" s="5"/>
      <c r="I253" s="5"/>
      <c r="J253" s="5"/>
      <c r="K253" s="5"/>
      <c r="L253" s="5"/>
      <c r="M253" s="5"/>
      <c r="N253" s="5"/>
      <c r="O253" s="5"/>
      <c r="P253" s="5"/>
      <c r="Q253" s="5"/>
      <c r="R253" s="9"/>
      <c r="S253" s="9"/>
      <c r="T253" s="10"/>
      <c r="U253" s="9"/>
      <c r="V253" s="9"/>
    </row>
    <row r="254" ht="12.5" spans="1:22">
      <c r="A254" s="4"/>
      <c r="B254" s="4"/>
      <c r="C254" s="4"/>
      <c r="D254" s="4"/>
      <c r="E254" s="5"/>
      <c r="F254" s="5"/>
      <c r="G254" s="5"/>
      <c r="H254" s="5"/>
      <c r="I254" s="5"/>
      <c r="J254" s="5"/>
      <c r="K254" s="5"/>
      <c r="L254" s="5"/>
      <c r="M254" s="5"/>
      <c r="N254" s="5"/>
      <c r="O254" s="5"/>
      <c r="P254" s="5"/>
      <c r="Q254" s="5"/>
      <c r="R254" s="9"/>
      <c r="S254" s="9"/>
      <c r="T254" s="10"/>
      <c r="U254" s="9"/>
      <c r="V254" s="9"/>
    </row>
    <row r="255" ht="12.5" spans="1:22">
      <c r="A255" s="4"/>
      <c r="B255" s="4"/>
      <c r="C255" s="4"/>
      <c r="D255" s="4"/>
      <c r="E255" s="5"/>
      <c r="F255" s="5"/>
      <c r="G255" s="5"/>
      <c r="H255" s="5"/>
      <c r="I255" s="5"/>
      <c r="J255" s="5"/>
      <c r="K255" s="5"/>
      <c r="L255" s="5"/>
      <c r="M255" s="5"/>
      <c r="N255" s="5"/>
      <c r="O255" s="5"/>
      <c r="P255" s="5"/>
      <c r="Q255" s="5"/>
      <c r="R255" s="9"/>
      <c r="S255" s="9"/>
      <c r="T255" s="10"/>
      <c r="U255" s="9"/>
      <c r="V255" s="9"/>
    </row>
    <row r="256" ht="12.5" spans="1:22">
      <c r="A256" s="4"/>
      <c r="B256" s="4"/>
      <c r="C256" s="4"/>
      <c r="D256" s="4"/>
      <c r="E256" s="5"/>
      <c r="F256" s="5"/>
      <c r="G256" s="5"/>
      <c r="H256" s="5"/>
      <c r="I256" s="5"/>
      <c r="J256" s="5"/>
      <c r="K256" s="5"/>
      <c r="L256" s="5"/>
      <c r="M256" s="5"/>
      <c r="N256" s="5"/>
      <c r="O256" s="5"/>
      <c r="P256" s="5"/>
      <c r="Q256" s="5"/>
      <c r="R256" s="9"/>
      <c r="S256" s="9"/>
      <c r="T256" s="10"/>
      <c r="U256" s="9"/>
      <c r="V256" s="9"/>
    </row>
    <row r="257" ht="12.5" spans="1:22">
      <c r="A257" s="4"/>
      <c r="B257" s="4"/>
      <c r="C257" s="4"/>
      <c r="D257" s="4"/>
      <c r="E257" s="5"/>
      <c r="F257" s="5"/>
      <c r="G257" s="5"/>
      <c r="H257" s="5"/>
      <c r="I257" s="5"/>
      <c r="J257" s="5"/>
      <c r="K257" s="5"/>
      <c r="L257" s="5"/>
      <c r="M257" s="5"/>
      <c r="N257" s="5"/>
      <c r="O257" s="5"/>
      <c r="P257" s="5"/>
      <c r="Q257" s="5"/>
      <c r="R257" s="9"/>
      <c r="S257" s="9"/>
      <c r="T257" s="10"/>
      <c r="U257" s="9"/>
      <c r="V257" s="9"/>
    </row>
    <row r="258" ht="12.5" spans="1:22">
      <c r="A258" s="4"/>
      <c r="B258" s="4"/>
      <c r="C258" s="4"/>
      <c r="D258" s="4"/>
      <c r="E258" s="5"/>
      <c r="F258" s="5"/>
      <c r="G258" s="5"/>
      <c r="H258" s="5"/>
      <c r="I258" s="5"/>
      <c r="J258" s="5"/>
      <c r="K258" s="5"/>
      <c r="L258" s="5"/>
      <c r="M258" s="5"/>
      <c r="N258" s="5"/>
      <c r="O258" s="5"/>
      <c r="P258" s="5"/>
      <c r="Q258" s="5"/>
      <c r="R258" s="9"/>
      <c r="S258" s="9"/>
      <c r="T258" s="10"/>
      <c r="U258" s="9"/>
      <c r="V258" s="9"/>
    </row>
    <row r="259" ht="12.5" spans="1:22">
      <c r="A259" s="4"/>
      <c r="B259" s="4"/>
      <c r="C259" s="4"/>
      <c r="D259" s="4"/>
      <c r="E259" s="5"/>
      <c r="F259" s="5"/>
      <c r="G259" s="5"/>
      <c r="H259" s="5"/>
      <c r="I259" s="5"/>
      <c r="J259" s="5"/>
      <c r="K259" s="5"/>
      <c r="L259" s="5"/>
      <c r="M259" s="5"/>
      <c r="N259" s="5"/>
      <c r="O259" s="5"/>
      <c r="P259" s="5"/>
      <c r="Q259" s="5"/>
      <c r="R259" s="9"/>
      <c r="S259" s="9"/>
      <c r="T259" s="10"/>
      <c r="U259" s="9"/>
      <c r="V259" s="9"/>
    </row>
    <row r="260" ht="12.5" spans="1:22">
      <c r="A260" s="4"/>
      <c r="B260" s="4"/>
      <c r="C260" s="4"/>
      <c r="D260" s="4"/>
      <c r="E260" s="5"/>
      <c r="F260" s="5"/>
      <c r="G260" s="5"/>
      <c r="H260" s="5"/>
      <c r="I260" s="5"/>
      <c r="J260" s="5"/>
      <c r="K260" s="5"/>
      <c r="L260" s="5"/>
      <c r="M260" s="5"/>
      <c r="N260" s="5"/>
      <c r="O260" s="5"/>
      <c r="P260" s="5"/>
      <c r="Q260" s="5"/>
      <c r="R260" s="9"/>
      <c r="S260" s="9"/>
      <c r="T260" s="10"/>
      <c r="U260" s="9"/>
      <c r="V260" s="9"/>
    </row>
    <row r="261" ht="12.5" spans="1:22">
      <c r="A261" s="4"/>
      <c r="B261" s="4"/>
      <c r="C261" s="4"/>
      <c r="D261" s="4"/>
      <c r="E261" s="5"/>
      <c r="F261" s="5"/>
      <c r="G261" s="5"/>
      <c r="H261" s="5"/>
      <c r="I261" s="5"/>
      <c r="J261" s="5"/>
      <c r="K261" s="5"/>
      <c r="L261" s="5"/>
      <c r="M261" s="5"/>
      <c r="N261" s="5"/>
      <c r="O261" s="5"/>
      <c r="P261" s="5"/>
      <c r="Q261" s="5"/>
      <c r="R261" s="9"/>
      <c r="S261" s="9"/>
      <c r="T261" s="10"/>
      <c r="U261" s="9"/>
      <c r="V261" s="9"/>
    </row>
    <row r="262" ht="12.5" spans="1:22">
      <c r="A262" s="4"/>
      <c r="B262" s="4"/>
      <c r="C262" s="4"/>
      <c r="D262" s="4"/>
      <c r="E262" s="5"/>
      <c r="F262" s="5"/>
      <c r="G262" s="5"/>
      <c r="H262" s="5"/>
      <c r="I262" s="5"/>
      <c r="J262" s="5"/>
      <c r="K262" s="5"/>
      <c r="L262" s="5"/>
      <c r="M262" s="5"/>
      <c r="N262" s="5"/>
      <c r="O262" s="5"/>
      <c r="P262" s="5"/>
      <c r="Q262" s="5"/>
      <c r="R262" s="9"/>
      <c r="S262" s="9"/>
      <c r="T262" s="10"/>
      <c r="U262" s="9"/>
      <c r="V262" s="9"/>
    </row>
    <row r="263" ht="12.5" spans="1:22">
      <c r="A263" s="4"/>
      <c r="B263" s="4"/>
      <c r="C263" s="4"/>
      <c r="D263" s="4"/>
      <c r="E263" s="5"/>
      <c r="F263" s="5"/>
      <c r="G263" s="5"/>
      <c r="H263" s="5"/>
      <c r="I263" s="5"/>
      <c r="J263" s="5"/>
      <c r="K263" s="5"/>
      <c r="L263" s="5"/>
      <c r="M263" s="5"/>
      <c r="N263" s="5"/>
      <c r="O263" s="5"/>
      <c r="P263" s="5"/>
      <c r="Q263" s="5"/>
      <c r="R263" s="9"/>
      <c r="S263" s="9"/>
      <c r="T263" s="10"/>
      <c r="U263" s="9"/>
      <c r="V263" s="9"/>
    </row>
    <row r="264" ht="12.5" spans="1:22">
      <c r="A264" s="4"/>
      <c r="B264" s="4"/>
      <c r="C264" s="4"/>
      <c r="D264" s="4"/>
      <c r="E264" s="5"/>
      <c r="F264" s="5"/>
      <c r="G264" s="5"/>
      <c r="H264" s="5"/>
      <c r="I264" s="5"/>
      <c r="J264" s="5"/>
      <c r="K264" s="5"/>
      <c r="L264" s="5"/>
      <c r="M264" s="5"/>
      <c r="N264" s="5"/>
      <c r="O264" s="5"/>
      <c r="P264" s="5"/>
      <c r="Q264" s="5"/>
      <c r="R264" s="9"/>
      <c r="S264" s="9"/>
      <c r="T264" s="10"/>
      <c r="U264" s="9"/>
      <c r="V264" s="9"/>
    </row>
    <row r="265" ht="12.5" spans="1:22">
      <c r="A265" s="4"/>
      <c r="B265" s="4"/>
      <c r="C265" s="4"/>
      <c r="D265" s="4"/>
      <c r="E265" s="5"/>
      <c r="F265" s="5"/>
      <c r="G265" s="5"/>
      <c r="H265" s="5"/>
      <c r="I265" s="5"/>
      <c r="J265" s="5"/>
      <c r="K265" s="5"/>
      <c r="L265" s="5"/>
      <c r="M265" s="5"/>
      <c r="N265" s="5"/>
      <c r="O265" s="5"/>
      <c r="P265" s="5"/>
      <c r="Q265" s="5"/>
      <c r="R265" s="9"/>
      <c r="S265" s="9"/>
      <c r="T265" s="10"/>
      <c r="U265" s="9"/>
      <c r="V265" s="9"/>
    </row>
    <row r="266" ht="12.5" spans="1:22">
      <c r="A266" s="4"/>
      <c r="B266" s="4"/>
      <c r="C266" s="4"/>
      <c r="D266" s="4"/>
      <c r="E266" s="5"/>
      <c r="F266" s="5"/>
      <c r="G266" s="5"/>
      <c r="H266" s="5"/>
      <c r="I266" s="5"/>
      <c r="J266" s="5"/>
      <c r="K266" s="5"/>
      <c r="L266" s="5"/>
      <c r="M266" s="5"/>
      <c r="N266" s="5"/>
      <c r="O266" s="5"/>
      <c r="P266" s="5"/>
      <c r="Q266" s="5"/>
      <c r="R266" s="9"/>
      <c r="S266" s="9"/>
      <c r="T266" s="10"/>
      <c r="U266" s="9"/>
      <c r="V266" s="9"/>
    </row>
    <row r="267" ht="12.5" spans="1:22">
      <c r="A267" s="4"/>
      <c r="B267" s="4"/>
      <c r="C267" s="4"/>
      <c r="D267" s="4"/>
      <c r="E267" s="5"/>
      <c r="F267" s="5"/>
      <c r="G267" s="5"/>
      <c r="H267" s="5"/>
      <c r="I267" s="5"/>
      <c r="J267" s="5"/>
      <c r="K267" s="5"/>
      <c r="L267" s="5"/>
      <c r="M267" s="5"/>
      <c r="N267" s="5"/>
      <c r="O267" s="5"/>
      <c r="P267" s="5"/>
      <c r="Q267" s="5"/>
      <c r="R267" s="9"/>
      <c r="S267" s="9"/>
      <c r="T267" s="10"/>
      <c r="U267" s="9"/>
      <c r="V267" s="9"/>
    </row>
    <row r="268" ht="12.5" spans="1:22">
      <c r="A268" s="4"/>
      <c r="B268" s="4"/>
      <c r="C268" s="4"/>
      <c r="D268" s="4"/>
      <c r="E268" s="5"/>
      <c r="F268" s="5"/>
      <c r="G268" s="5"/>
      <c r="H268" s="5"/>
      <c r="I268" s="5"/>
      <c r="J268" s="5"/>
      <c r="K268" s="5"/>
      <c r="L268" s="5"/>
      <c r="M268" s="5"/>
      <c r="N268" s="5"/>
      <c r="O268" s="5"/>
      <c r="P268" s="5"/>
      <c r="Q268" s="5"/>
      <c r="R268" s="9"/>
      <c r="S268" s="9"/>
      <c r="T268" s="10"/>
      <c r="U268" s="9"/>
      <c r="V268" s="9"/>
    </row>
    <row r="269" ht="12.5" spans="1:22">
      <c r="A269" s="4"/>
      <c r="B269" s="4"/>
      <c r="C269" s="4"/>
      <c r="D269" s="4"/>
      <c r="E269" s="5"/>
      <c r="F269" s="5"/>
      <c r="G269" s="5"/>
      <c r="H269" s="5"/>
      <c r="I269" s="5"/>
      <c r="J269" s="5"/>
      <c r="K269" s="5"/>
      <c r="L269" s="5"/>
      <c r="M269" s="5"/>
      <c r="N269" s="5"/>
      <c r="O269" s="5"/>
      <c r="P269" s="5"/>
      <c r="Q269" s="5"/>
      <c r="R269" s="9"/>
      <c r="S269" s="9"/>
      <c r="T269" s="10"/>
      <c r="U269" s="9"/>
      <c r="V269" s="9"/>
    </row>
    <row r="270" ht="12.5" spans="1:22">
      <c r="A270" s="4"/>
      <c r="B270" s="4"/>
      <c r="C270" s="4"/>
      <c r="D270" s="4"/>
      <c r="E270" s="5"/>
      <c r="F270" s="5"/>
      <c r="G270" s="5"/>
      <c r="H270" s="5"/>
      <c r="I270" s="5"/>
      <c r="J270" s="5"/>
      <c r="K270" s="5"/>
      <c r="L270" s="5"/>
      <c r="M270" s="5"/>
      <c r="N270" s="5"/>
      <c r="O270" s="5"/>
      <c r="P270" s="5"/>
      <c r="Q270" s="5"/>
      <c r="R270" s="9"/>
      <c r="S270" s="9"/>
      <c r="T270" s="10"/>
      <c r="U270" s="9"/>
      <c r="V270" s="9"/>
    </row>
    <row r="271" ht="12.5" spans="1:22">
      <c r="A271" s="4"/>
      <c r="B271" s="4"/>
      <c r="C271" s="4"/>
      <c r="D271" s="4"/>
      <c r="E271" s="5"/>
      <c r="F271" s="5"/>
      <c r="G271" s="5"/>
      <c r="H271" s="5"/>
      <c r="I271" s="5"/>
      <c r="J271" s="5"/>
      <c r="K271" s="5"/>
      <c r="L271" s="5"/>
      <c r="M271" s="5"/>
      <c r="N271" s="5"/>
      <c r="O271" s="5"/>
      <c r="P271" s="5"/>
      <c r="Q271" s="5"/>
      <c r="R271" s="9"/>
      <c r="S271" s="9"/>
      <c r="T271" s="10"/>
      <c r="U271" s="9"/>
      <c r="V271" s="9"/>
    </row>
    <row r="272" ht="12.5" spans="1:22">
      <c r="A272" s="4"/>
      <c r="B272" s="4"/>
      <c r="C272" s="4"/>
      <c r="D272" s="4"/>
      <c r="E272" s="5"/>
      <c r="F272" s="5"/>
      <c r="G272" s="5"/>
      <c r="H272" s="5"/>
      <c r="I272" s="5"/>
      <c r="J272" s="5"/>
      <c r="K272" s="5"/>
      <c r="L272" s="5"/>
      <c r="M272" s="5"/>
      <c r="N272" s="5"/>
      <c r="O272" s="5"/>
      <c r="P272" s="5"/>
      <c r="Q272" s="5"/>
      <c r="R272" s="9"/>
      <c r="S272" s="9"/>
      <c r="T272" s="10"/>
      <c r="U272" s="9"/>
      <c r="V272" s="9"/>
    </row>
    <row r="273" ht="12.5" spans="1:22">
      <c r="A273" s="4"/>
      <c r="B273" s="4"/>
      <c r="C273" s="4"/>
      <c r="D273" s="4"/>
      <c r="E273" s="5"/>
      <c r="F273" s="5"/>
      <c r="G273" s="5"/>
      <c r="H273" s="5"/>
      <c r="I273" s="5"/>
      <c r="J273" s="5"/>
      <c r="K273" s="5"/>
      <c r="L273" s="5"/>
      <c r="M273" s="5"/>
      <c r="N273" s="5"/>
      <c r="O273" s="5"/>
      <c r="P273" s="5"/>
      <c r="Q273" s="5"/>
      <c r="R273" s="9"/>
      <c r="S273" s="9"/>
      <c r="T273" s="10"/>
      <c r="U273" s="9"/>
      <c r="V273" s="9"/>
    </row>
    <row r="274" ht="12.5" spans="1:22">
      <c r="A274" s="4"/>
      <c r="B274" s="4"/>
      <c r="C274" s="4"/>
      <c r="D274" s="4"/>
      <c r="E274" s="5"/>
      <c r="F274" s="5"/>
      <c r="G274" s="5"/>
      <c r="H274" s="5"/>
      <c r="I274" s="5"/>
      <c r="J274" s="5"/>
      <c r="K274" s="5"/>
      <c r="L274" s="5"/>
      <c r="M274" s="5"/>
      <c r="N274" s="5"/>
      <c r="O274" s="5"/>
      <c r="P274" s="5"/>
      <c r="Q274" s="5"/>
      <c r="R274" s="9"/>
      <c r="S274" s="9"/>
      <c r="T274" s="10"/>
      <c r="U274" s="9"/>
      <c r="V274" s="9"/>
    </row>
    <row r="275" ht="12.5" spans="1:22">
      <c r="A275" s="4"/>
      <c r="B275" s="4"/>
      <c r="C275" s="4"/>
      <c r="D275" s="4"/>
      <c r="E275" s="5"/>
      <c r="F275" s="5"/>
      <c r="G275" s="5"/>
      <c r="H275" s="5"/>
      <c r="I275" s="5"/>
      <c r="J275" s="5"/>
      <c r="K275" s="5"/>
      <c r="L275" s="5"/>
      <c r="M275" s="5"/>
      <c r="N275" s="5"/>
      <c r="O275" s="5"/>
      <c r="P275" s="5"/>
      <c r="Q275" s="5"/>
      <c r="R275" s="9"/>
      <c r="S275" s="9"/>
      <c r="T275" s="10"/>
      <c r="U275" s="9"/>
      <c r="V275" s="9"/>
    </row>
    <row r="276" ht="12.5" spans="1:22">
      <c r="A276" s="4"/>
      <c r="B276" s="4"/>
      <c r="C276" s="4"/>
      <c r="D276" s="4"/>
      <c r="E276" s="5"/>
      <c r="F276" s="5"/>
      <c r="G276" s="5"/>
      <c r="H276" s="5"/>
      <c r="I276" s="5"/>
      <c r="J276" s="5"/>
      <c r="K276" s="5"/>
      <c r="L276" s="5"/>
      <c r="M276" s="5"/>
      <c r="N276" s="5"/>
      <c r="O276" s="5"/>
      <c r="P276" s="5"/>
      <c r="Q276" s="5"/>
      <c r="R276" s="9"/>
      <c r="S276" s="9"/>
      <c r="T276" s="10"/>
      <c r="U276" s="9"/>
      <c r="V276" s="9"/>
    </row>
    <row r="277" ht="12.5" spans="1:22">
      <c r="A277" s="4"/>
      <c r="B277" s="4"/>
      <c r="C277" s="4"/>
      <c r="D277" s="4"/>
      <c r="E277" s="5"/>
      <c r="F277" s="5"/>
      <c r="G277" s="5"/>
      <c r="H277" s="5"/>
      <c r="I277" s="5"/>
      <c r="J277" s="5"/>
      <c r="K277" s="5"/>
      <c r="L277" s="5"/>
      <c r="M277" s="5"/>
      <c r="N277" s="5"/>
      <c r="O277" s="5"/>
      <c r="P277" s="5"/>
      <c r="Q277" s="5"/>
      <c r="R277" s="9"/>
      <c r="S277" s="9"/>
      <c r="T277" s="10"/>
      <c r="U277" s="9"/>
      <c r="V277" s="9"/>
    </row>
    <row r="278" ht="12.5" spans="1:22">
      <c r="A278" s="4"/>
      <c r="B278" s="4"/>
      <c r="C278" s="4"/>
      <c r="D278" s="4"/>
      <c r="E278" s="5"/>
      <c r="F278" s="5"/>
      <c r="G278" s="5"/>
      <c r="H278" s="5"/>
      <c r="I278" s="5"/>
      <c r="J278" s="5"/>
      <c r="K278" s="5"/>
      <c r="L278" s="5"/>
      <c r="M278" s="5"/>
      <c r="N278" s="5"/>
      <c r="O278" s="5"/>
      <c r="P278" s="5"/>
      <c r="Q278" s="5"/>
      <c r="R278" s="9"/>
      <c r="S278" s="9"/>
      <c r="T278" s="10"/>
      <c r="U278" s="9"/>
      <c r="V278" s="9"/>
    </row>
    <row r="279" ht="12.5" spans="1:22">
      <c r="A279" s="4"/>
      <c r="B279" s="4"/>
      <c r="C279" s="4"/>
      <c r="D279" s="4"/>
      <c r="E279" s="5"/>
      <c r="F279" s="5"/>
      <c r="G279" s="5"/>
      <c r="H279" s="5"/>
      <c r="I279" s="5"/>
      <c r="J279" s="5"/>
      <c r="K279" s="5"/>
      <c r="L279" s="5"/>
      <c r="M279" s="5"/>
      <c r="N279" s="5"/>
      <c r="O279" s="5"/>
      <c r="P279" s="5"/>
      <c r="Q279" s="5"/>
      <c r="R279" s="9"/>
      <c r="S279" s="9"/>
      <c r="T279" s="10"/>
      <c r="U279" s="9"/>
      <c r="V279" s="9"/>
    </row>
    <row r="280" ht="12.5" spans="1:22">
      <c r="A280" s="4"/>
      <c r="B280" s="4"/>
      <c r="C280" s="4"/>
      <c r="D280" s="4"/>
      <c r="E280" s="5"/>
      <c r="F280" s="5"/>
      <c r="G280" s="5"/>
      <c r="H280" s="5"/>
      <c r="I280" s="5"/>
      <c r="J280" s="5"/>
      <c r="K280" s="5"/>
      <c r="L280" s="5"/>
      <c r="M280" s="5"/>
      <c r="N280" s="5"/>
      <c r="O280" s="5"/>
      <c r="P280" s="5"/>
      <c r="Q280" s="5"/>
      <c r="R280" s="9"/>
      <c r="S280" s="9"/>
      <c r="T280" s="10"/>
      <c r="U280" s="9"/>
      <c r="V280" s="9"/>
    </row>
    <row r="281" ht="12.5" spans="1:22">
      <c r="A281" s="4"/>
      <c r="B281" s="4"/>
      <c r="C281" s="4"/>
      <c r="D281" s="4"/>
      <c r="E281" s="5"/>
      <c r="F281" s="5"/>
      <c r="G281" s="5"/>
      <c r="H281" s="5"/>
      <c r="I281" s="5"/>
      <c r="J281" s="5"/>
      <c r="K281" s="5"/>
      <c r="L281" s="5"/>
      <c r="M281" s="5"/>
      <c r="N281" s="5"/>
      <c r="O281" s="5"/>
      <c r="P281" s="5"/>
      <c r="Q281" s="5"/>
      <c r="R281" s="9"/>
      <c r="S281" s="9"/>
      <c r="T281" s="10"/>
      <c r="U281" s="9"/>
      <c r="V281" s="9"/>
    </row>
    <row r="282" ht="12.5" spans="1:22">
      <c r="A282" s="4"/>
      <c r="B282" s="4"/>
      <c r="C282" s="4"/>
      <c r="D282" s="4"/>
      <c r="E282" s="5"/>
      <c r="F282" s="5"/>
      <c r="G282" s="5"/>
      <c r="H282" s="5"/>
      <c r="I282" s="5"/>
      <c r="J282" s="5"/>
      <c r="K282" s="5"/>
      <c r="L282" s="5"/>
      <c r="M282" s="5"/>
      <c r="N282" s="5"/>
      <c r="O282" s="5"/>
      <c r="P282" s="5"/>
      <c r="Q282" s="5"/>
      <c r="R282" s="9"/>
      <c r="S282" s="9"/>
      <c r="T282" s="10"/>
      <c r="U282" s="9"/>
      <c r="V282" s="9"/>
    </row>
    <row r="283" ht="12.5" spans="1:22">
      <c r="A283" s="4"/>
      <c r="B283" s="4"/>
      <c r="C283" s="4"/>
      <c r="D283" s="4"/>
      <c r="E283" s="5"/>
      <c r="F283" s="5"/>
      <c r="G283" s="5"/>
      <c r="H283" s="5"/>
      <c r="I283" s="5"/>
      <c r="J283" s="5"/>
      <c r="K283" s="5"/>
      <c r="L283" s="5"/>
      <c r="M283" s="5"/>
      <c r="N283" s="5"/>
      <c r="O283" s="5"/>
      <c r="P283" s="5"/>
      <c r="Q283" s="5"/>
      <c r="R283" s="9"/>
      <c r="S283" s="9"/>
      <c r="T283" s="10"/>
      <c r="U283" s="9"/>
      <c r="V283" s="9"/>
    </row>
    <row r="284" ht="12.5" spans="1:22">
      <c r="A284" s="4"/>
      <c r="B284" s="4"/>
      <c r="C284" s="4"/>
      <c r="D284" s="4"/>
      <c r="E284" s="5"/>
      <c r="F284" s="5"/>
      <c r="G284" s="5"/>
      <c r="H284" s="5"/>
      <c r="I284" s="5"/>
      <c r="J284" s="5"/>
      <c r="K284" s="5"/>
      <c r="L284" s="5"/>
      <c r="M284" s="5"/>
      <c r="N284" s="5"/>
      <c r="O284" s="5"/>
      <c r="P284" s="5"/>
      <c r="Q284" s="5"/>
      <c r="R284" s="9"/>
      <c r="S284" s="9"/>
      <c r="T284" s="10"/>
      <c r="U284" s="9"/>
      <c r="V284" s="9"/>
    </row>
    <row r="285" ht="12.5" spans="1:22">
      <c r="A285" s="4"/>
      <c r="B285" s="4"/>
      <c r="C285" s="4"/>
      <c r="D285" s="4"/>
      <c r="E285" s="5"/>
      <c r="F285" s="5"/>
      <c r="G285" s="5"/>
      <c r="H285" s="5"/>
      <c r="I285" s="5"/>
      <c r="J285" s="5"/>
      <c r="K285" s="5"/>
      <c r="L285" s="5"/>
      <c r="M285" s="5"/>
      <c r="N285" s="5"/>
      <c r="O285" s="5"/>
      <c r="P285" s="5"/>
      <c r="Q285" s="5"/>
      <c r="R285" s="9"/>
      <c r="S285" s="9"/>
      <c r="T285" s="10"/>
      <c r="U285" s="9"/>
      <c r="V285" s="9"/>
    </row>
    <row r="286" ht="12.5" spans="1:22">
      <c r="A286" s="4"/>
      <c r="B286" s="4"/>
      <c r="C286" s="4"/>
      <c r="D286" s="4"/>
      <c r="E286" s="5"/>
      <c r="F286" s="5"/>
      <c r="G286" s="5"/>
      <c r="H286" s="5"/>
      <c r="I286" s="5"/>
      <c r="J286" s="5"/>
      <c r="K286" s="5"/>
      <c r="L286" s="5"/>
      <c r="M286" s="5"/>
      <c r="N286" s="5"/>
      <c r="O286" s="5"/>
      <c r="P286" s="5"/>
      <c r="Q286" s="5"/>
      <c r="R286" s="9"/>
      <c r="S286" s="9"/>
      <c r="T286" s="10"/>
      <c r="U286" s="9"/>
      <c r="V286" s="9"/>
    </row>
    <row r="287" ht="12.5" spans="1:22">
      <c r="A287" s="4"/>
      <c r="B287" s="4"/>
      <c r="C287" s="4"/>
      <c r="D287" s="4"/>
      <c r="E287" s="5"/>
      <c r="F287" s="5"/>
      <c r="G287" s="5"/>
      <c r="H287" s="5"/>
      <c r="I287" s="5"/>
      <c r="J287" s="5"/>
      <c r="K287" s="5"/>
      <c r="L287" s="5"/>
      <c r="M287" s="5"/>
      <c r="N287" s="5"/>
      <c r="O287" s="5"/>
      <c r="P287" s="5"/>
      <c r="Q287" s="5"/>
      <c r="R287" s="9"/>
      <c r="S287" s="9"/>
      <c r="T287" s="10"/>
      <c r="U287" s="9"/>
      <c r="V287" s="9"/>
    </row>
    <row r="288" ht="12.5" spans="1:22">
      <c r="A288" s="4"/>
      <c r="B288" s="4"/>
      <c r="C288" s="4"/>
      <c r="D288" s="4"/>
      <c r="E288" s="5"/>
      <c r="F288" s="5"/>
      <c r="G288" s="5"/>
      <c r="H288" s="5"/>
      <c r="I288" s="5"/>
      <c r="J288" s="5"/>
      <c r="K288" s="5"/>
      <c r="L288" s="5"/>
      <c r="M288" s="5"/>
      <c r="N288" s="5"/>
      <c r="O288" s="5"/>
      <c r="P288" s="5"/>
      <c r="Q288" s="5"/>
      <c r="R288" s="9"/>
      <c r="S288" s="9"/>
      <c r="T288" s="10"/>
      <c r="U288" s="9"/>
      <c r="V288" s="9"/>
    </row>
    <row r="289" ht="12.5" spans="1:22">
      <c r="A289" s="4"/>
      <c r="B289" s="4"/>
      <c r="C289" s="4"/>
      <c r="D289" s="4"/>
      <c r="E289" s="5"/>
      <c r="F289" s="5"/>
      <c r="G289" s="5"/>
      <c r="H289" s="5"/>
      <c r="I289" s="5"/>
      <c r="J289" s="5"/>
      <c r="K289" s="5"/>
      <c r="L289" s="5"/>
      <c r="M289" s="5"/>
      <c r="N289" s="5"/>
      <c r="O289" s="5"/>
      <c r="P289" s="5"/>
      <c r="Q289" s="5"/>
      <c r="R289" s="9"/>
      <c r="S289" s="9"/>
      <c r="T289" s="10"/>
      <c r="U289" s="9"/>
      <c r="V289" s="9"/>
    </row>
    <row r="290" ht="12.5" spans="1:22">
      <c r="A290" s="4"/>
      <c r="B290" s="4"/>
      <c r="C290" s="4"/>
      <c r="D290" s="4"/>
      <c r="E290" s="5"/>
      <c r="F290" s="5"/>
      <c r="G290" s="5"/>
      <c r="H290" s="5"/>
      <c r="I290" s="5"/>
      <c r="J290" s="5"/>
      <c r="K290" s="5"/>
      <c r="L290" s="5"/>
      <c r="M290" s="5"/>
      <c r="N290" s="5"/>
      <c r="O290" s="5"/>
      <c r="P290" s="5"/>
      <c r="Q290" s="5"/>
      <c r="R290" s="9"/>
      <c r="S290" s="9"/>
      <c r="T290" s="10"/>
      <c r="U290" s="9"/>
      <c r="V290" s="9"/>
    </row>
    <row r="291" ht="12.5" spans="1:22">
      <c r="A291" s="4"/>
      <c r="B291" s="4"/>
      <c r="C291" s="4"/>
      <c r="D291" s="4"/>
      <c r="E291" s="5"/>
      <c r="F291" s="5"/>
      <c r="G291" s="5"/>
      <c r="H291" s="5"/>
      <c r="I291" s="5"/>
      <c r="J291" s="5"/>
      <c r="K291" s="5"/>
      <c r="L291" s="5"/>
      <c r="M291" s="5"/>
      <c r="N291" s="5"/>
      <c r="O291" s="5"/>
      <c r="P291" s="5"/>
      <c r="Q291" s="5"/>
      <c r="R291" s="9"/>
      <c r="S291" s="9"/>
      <c r="T291" s="10"/>
      <c r="U291" s="9"/>
      <c r="V291" s="9"/>
    </row>
    <row r="292" ht="12.5" spans="1:22">
      <c r="A292" s="4"/>
      <c r="B292" s="4"/>
      <c r="C292" s="4"/>
      <c r="D292" s="4"/>
      <c r="E292" s="5"/>
      <c r="F292" s="5"/>
      <c r="G292" s="5"/>
      <c r="H292" s="5"/>
      <c r="I292" s="5"/>
      <c r="J292" s="5"/>
      <c r="K292" s="5"/>
      <c r="L292" s="5"/>
      <c r="M292" s="5"/>
      <c r="N292" s="5"/>
      <c r="O292" s="5"/>
      <c r="P292" s="5"/>
      <c r="Q292" s="5"/>
      <c r="R292" s="9"/>
      <c r="S292" s="9"/>
      <c r="T292" s="10"/>
      <c r="U292" s="9"/>
      <c r="V292" s="9"/>
    </row>
    <row r="293" ht="12.5" spans="1:22">
      <c r="A293" s="4"/>
      <c r="B293" s="4"/>
      <c r="C293" s="4"/>
      <c r="D293" s="4"/>
      <c r="E293" s="5"/>
      <c r="F293" s="5"/>
      <c r="G293" s="5"/>
      <c r="H293" s="5"/>
      <c r="I293" s="5"/>
      <c r="J293" s="5"/>
      <c r="K293" s="5"/>
      <c r="L293" s="5"/>
      <c r="M293" s="5"/>
      <c r="N293" s="5"/>
      <c r="O293" s="5"/>
      <c r="P293" s="5"/>
      <c r="Q293" s="5"/>
      <c r="R293" s="9"/>
      <c r="S293" s="9"/>
      <c r="T293" s="10"/>
      <c r="U293" s="9"/>
      <c r="V293" s="9"/>
    </row>
    <row r="294" ht="12.5" spans="1:22">
      <c r="A294" s="4"/>
      <c r="B294" s="4"/>
      <c r="C294" s="4"/>
      <c r="D294" s="4"/>
      <c r="E294" s="5"/>
      <c r="F294" s="5"/>
      <c r="G294" s="5"/>
      <c r="H294" s="5"/>
      <c r="I294" s="5"/>
      <c r="J294" s="5"/>
      <c r="K294" s="5"/>
      <c r="L294" s="5"/>
      <c r="M294" s="5"/>
      <c r="N294" s="5"/>
      <c r="O294" s="5"/>
      <c r="P294" s="5"/>
      <c r="Q294" s="5"/>
      <c r="R294" s="9"/>
      <c r="S294" s="9"/>
      <c r="T294" s="10"/>
      <c r="U294" s="9"/>
      <c r="V294" s="9"/>
    </row>
    <row r="295" ht="12.5" spans="1:22">
      <c r="A295" s="4"/>
      <c r="B295" s="4"/>
      <c r="C295" s="4"/>
      <c r="D295" s="4"/>
      <c r="E295" s="5"/>
      <c r="F295" s="5"/>
      <c r="G295" s="5"/>
      <c r="H295" s="5"/>
      <c r="I295" s="5"/>
      <c r="J295" s="5"/>
      <c r="K295" s="5"/>
      <c r="L295" s="5"/>
      <c r="M295" s="5"/>
      <c r="N295" s="5"/>
      <c r="O295" s="5"/>
      <c r="P295" s="5"/>
      <c r="Q295" s="5"/>
      <c r="R295" s="9"/>
      <c r="S295" s="9"/>
      <c r="T295" s="10"/>
      <c r="U295" s="9"/>
      <c r="V295" s="9"/>
    </row>
    <row r="296" ht="12.5" spans="1:22">
      <c r="A296" s="4"/>
      <c r="B296" s="4"/>
      <c r="C296" s="4"/>
      <c r="D296" s="4"/>
      <c r="E296" s="5"/>
      <c r="F296" s="5"/>
      <c r="G296" s="5"/>
      <c r="H296" s="5"/>
      <c r="I296" s="5"/>
      <c r="J296" s="5"/>
      <c r="K296" s="5"/>
      <c r="L296" s="5"/>
      <c r="M296" s="5"/>
      <c r="N296" s="5"/>
      <c r="O296" s="5"/>
      <c r="P296" s="5"/>
      <c r="Q296" s="5"/>
      <c r="R296" s="9"/>
      <c r="S296" s="9"/>
      <c r="T296" s="10"/>
      <c r="U296" s="9"/>
      <c r="V296" s="9"/>
    </row>
    <row r="297" ht="12.5" spans="1:22">
      <c r="A297" s="4"/>
      <c r="B297" s="4"/>
      <c r="C297" s="4"/>
      <c r="D297" s="4"/>
      <c r="E297" s="5"/>
      <c r="F297" s="5"/>
      <c r="G297" s="5"/>
      <c r="H297" s="5"/>
      <c r="I297" s="5"/>
      <c r="J297" s="5"/>
      <c r="K297" s="5"/>
      <c r="L297" s="5"/>
      <c r="M297" s="5"/>
      <c r="N297" s="5"/>
      <c r="O297" s="5"/>
      <c r="P297" s="5"/>
      <c r="Q297" s="5"/>
      <c r="R297" s="9"/>
      <c r="S297" s="9"/>
      <c r="T297" s="10"/>
      <c r="U297" s="9"/>
      <c r="V297" s="9"/>
    </row>
    <row r="298" ht="12.5" spans="1:22">
      <c r="A298" s="4"/>
      <c r="B298" s="4"/>
      <c r="C298" s="4"/>
      <c r="D298" s="4"/>
      <c r="E298" s="5"/>
      <c r="F298" s="5"/>
      <c r="G298" s="5"/>
      <c r="H298" s="5"/>
      <c r="I298" s="5"/>
      <c r="J298" s="5"/>
      <c r="K298" s="5"/>
      <c r="L298" s="5"/>
      <c r="M298" s="5"/>
      <c r="N298" s="5"/>
      <c r="O298" s="5"/>
      <c r="P298" s="5"/>
      <c r="Q298" s="5"/>
      <c r="R298" s="9"/>
      <c r="S298" s="9"/>
      <c r="T298" s="10"/>
      <c r="U298" s="9"/>
      <c r="V298" s="9"/>
    </row>
    <row r="299" ht="12.5" spans="1:22">
      <c r="A299" s="4"/>
      <c r="B299" s="4"/>
      <c r="C299" s="4"/>
      <c r="D299" s="4"/>
      <c r="E299" s="5"/>
      <c r="F299" s="5"/>
      <c r="G299" s="5"/>
      <c r="H299" s="5"/>
      <c r="I299" s="5"/>
      <c r="J299" s="5"/>
      <c r="K299" s="5"/>
      <c r="L299" s="5"/>
      <c r="M299" s="5"/>
      <c r="N299" s="5"/>
      <c r="O299" s="5"/>
      <c r="P299" s="5"/>
      <c r="Q299" s="5"/>
      <c r="R299" s="9"/>
      <c r="S299" s="9"/>
      <c r="T299" s="10"/>
      <c r="U299" s="9"/>
      <c r="V299" s="9"/>
    </row>
    <row r="300" ht="12.5" spans="1:22">
      <c r="A300" s="4"/>
      <c r="B300" s="4"/>
      <c r="C300" s="4"/>
      <c r="D300" s="4"/>
      <c r="E300" s="5"/>
      <c r="F300" s="5"/>
      <c r="G300" s="5"/>
      <c r="H300" s="5"/>
      <c r="I300" s="5"/>
      <c r="J300" s="5"/>
      <c r="K300" s="5"/>
      <c r="L300" s="5"/>
      <c r="M300" s="5"/>
      <c r="N300" s="5"/>
      <c r="O300" s="5"/>
      <c r="P300" s="5"/>
      <c r="Q300" s="5"/>
      <c r="R300" s="9"/>
      <c r="S300" s="9"/>
      <c r="T300" s="10"/>
      <c r="U300" s="9"/>
      <c r="V300" s="9"/>
    </row>
    <row r="301" ht="12.5" spans="1:22">
      <c r="A301" s="4"/>
      <c r="B301" s="4"/>
      <c r="C301" s="4"/>
      <c r="D301" s="4"/>
      <c r="E301" s="5"/>
      <c r="F301" s="5"/>
      <c r="G301" s="5"/>
      <c r="H301" s="5"/>
      <c r="I301" s="5"/>
      <c r="J301" s="5"/>
      <c r="K301" s="5"/>
      <c r="L301" s="5"/>
      <c r="M301" s="5"/>
      <c r="N301" s="5"/>
      <c r="O301" s="5"/>
      <c r="P301" s="5"/>
      <c r="Q301" s="5"/>
      <c r="R301" s="9"/>
      <c r="S301" s="9"/>
      <c r="T301" s="10"/>
      <c r="U301" s="9"/>
      <c r="V301" s="9"/>
    </row>
    <row r="302" ht="12.5" spans="1:22">
      <c r="A302" s="4"/>
      <c r="B302" s="4"/>
      <c r="C302" s="4"/>
      <c r="D302" s="4"/>
      <c r="E302" s="5"/>
      <c r="F302" s="5"/>
      <c r="G302" s="5"/>
      <c r="H302" s="5"/>
      <c r="I302" s="5"/>
      <c r="J302" s="5"/>
      <c r="K302" s="5"/>
      <c r="L302" s="5"/>
      <c r="M302" s="5"/>
      <c r="N302" s="5"/>
      <c r="O302" s="5"/>
      <c r="P302" s="5"/>
      <c r="Q302" s="5"/>
      <c r="R302" s="9"/>
      <c r="S302" s="9"/>
      <c r="T302" s="10"/>
      <c r="U302" s="9"/>
      <c r="V302" s="9"/>
    </row>
    <row r="303" ht="12.5" spans="1:22">
      <c r="A303" s="4"/>
      <c r="B303" s="4"/>
      <c r="C303" s="4"/>
      <c r="D303" s="4"/>
      <c r="E303" s="5"/>
      <c r="F303" s="5"/>
      <c r="G303" s="5"/>
      <c r="H303" s="5"/>
      <c r="I303" s="5"/>
      <c r="J303" s="5"/>
      <c r="K303" s="5"/>
      <c r="L303" s="5"/>
      <c r="M303" s="5"/>
      <c r="N303" s="5"/>
      <c r="O303" s="5"/>
      <c r="P303" s="5"/>
      <c r="Q303" s="5"/>
      <c r="R303" s="9"/>
      <c r="S303" s="9"/>
      <c r="T303" s="10"/>
      <c r="U303" s="9"/>
      <c r="V303" s="9"/>
    </row>
    <row r="304" ht="12.5" spans="1:22">
      <c r="A304" s="4"/>
      <c r="B304" s="4"/>
      <c r="C304" s="4"/>
      <c r="D304" s="4"/>
      <c r="E304" s="5"/>
      <c r="F304" s="5"/>
      <c r="G304" s="5"/>
      <c r="H304" s="5"/>
      <c r="I304" s="5"/>
      <c r="J304" s="5"/>
      <c r="K304" s="5"/>
      <c r="L304" s="5"/>
      <c r="M304" s="5"/>
      <c r="N304" s="5"/>
      <c r="O304" s="5"/>
      <c r="P304" s="5"/>
      <c r="Q304" s="5"/>
      <c r="R304" s="9"/>
      <c r="S304" s="9"/>
      <c r="T304" s="10"/>
      <c r="U304" s="9"/>
      <c r="V304" s="9"/>
    </row>
    <row r="305" ht="12.5" spans="1:22">
      <c r="A305" s="4"/>
      <c r="B305" s="4"/>
      <c r="C305" s="4"/>
      <c r="D305" s="4"/>
      <c r="E305" s="5"/>
      <c r="F305" s="5"/>
      <c r="G305" s="5"/>
      <c r="H305" s="5"/>
      <c r="I305" s="5"/>
      <c r="J305" s="5"/>
      <c r="K305" s="5"/>
      <c r="L305" s="5"/>
      <c r="M305" s="5"/>
      <c r="N305" s="5"/>
      <c r="O305" s="5"/>
      <c r="P305" s="5"/>
      <c r="Q305" s="5"/>
      <c r="R305" s="9"/>
      <c r="S305" s="9"/>
      <c r="T305" s="10"/>
      <c r="U305" s="9"/>
      <c r="V305" s="9"/>
    </row>
    <row r="306" ht="12.5" spans="1:22">
      <c r="A306" s="4"/>
      <c r="B306" s="4"/>
      <c r="C306" s="4"/>
      <c r="D306" s="4"/>
      <c r="E306" s="5"/>
      <c r="F306" s="5"/>
      <c r="G306" s="5"/>
      <c r="H306" s="5"/>
      <c r="I306" s="5"/>
      <c r="J306" s="5"/>
      <c r="K306" s="5"/>
      <c r="L306" s="5"/>
      <c r="M306" s="5"/>
      <c r="N306" s="5"/>
      <c r="O306" s="5"/>
      <c r="P306" s="5"/>
      <c r="Q306" s="5"/>
      <c r="R306" s="9"/>
      <c r="S306" s="9"/>
      <c r="T306" s="10"/>
      <c r="U306" s="9"/>
      <c r="V306" s="9"/>
    </row>
    <row r="307" ht="12.5" spans="1:22">
      <c r="A307" s="4"/>
      <c r="B307" s="4"/>
      <c r="C307" s="4"/>
      <c r="D307" s="4"/>
      <c r="E307" s="5"/>
      <c r="F307" s="5"/>
      <c r="G307" s="5"/>
      <c r="H307" s="5"/>
      <c r="I307" s="5"/>
      <c r="J307" s="5"/>
      <c r="K307" s="5"/>
      <c r="L307" s="5"/>
      <c r="M307" s="5"/>
      <c r="N307" s="5"/>
      <c r="O307" s="5"/>
      <c r="P307" s="5"/>
      <c r="Q307" s="5"/>
      <c r="R307" s="9"/>
      <c r="S307" s="9"/>
      <c r="T307" s="10"/>
      <c r="U307" s="9"/>
      <c r="V307" s="9"/>
    </row>
    <row r="308" ht="12.5" spans="1:22">
      <c r="A308" s="4"/>
      <c r="B308" s="4"/>
      <c r="C308" s="4"/>
      <c r="D308" s="4"/>
      <c r="E308" s="5"/>
      <c r="F308" s="5"/>
      <c r="G308" s="5"/>
      <c r="H308" s="5"/>
      <c r="I308" s="5"/>
      <c r="J308" s="5"/>
      <c r="K308" s="5"/>
      <c r="L308" s="5"/>
      <c r="M308" s="5"/>
      <c r="N308" s="5"/>
      <c r="O308" s="5"/>
      <c r="P308" s="5"/>
      <c r="Q308" s="5"/>
      <c r="R308" s="9"/>
      <c r="S308" s="9"/>
      <c r="T308" s="10"/>
      <c r="U308" s="9"/>
      <c r="V308" s="9"/>
    </row>
    <row r="309" ht="12.5" spans="1:22">
      <c r="A309" s="4"/>
      <c r="B309" s="4"/>
      <c r="C309" s="4"/>
      <c r="D309" s="4"/>
      <c r="E309" s="5"/>
      <c r="F309" s="5"/>
      <c r="G309" s="5"/>
      <c r="H309" s="5"/>
      <c r="I309" s="5"/>
      <c r="J309" s="5"/>
      <c r="K309" s="5"/>
      <c r="L309" s="5"/>
      <c r="M309" s="5"/>
      <c r="N309" s="5"/>
      <c r="O309" s="5"/>
      <c r="P309" s="5"/>
      <c r="Q309" s="5"/>
      <c r="R309" s="9"/>
      <c r="S309" s="9"/>
      <c r="T309" s="10"/>
      <c r="U309" s="9"/>
      <c r="V309" s="9"/>
    </row>
    <row r="310" ht="12.5" spans="1:22">
      <c r="A310" s="4"/>
      <c r="B310" s="4"/>
      <c r="C310" s="4"/>
      <c r="D310" s="4"/>
      <c r="E310" s="5"/>
      <c r="F310" s="5"/>
      <c r="G310" s="5"/>
      <c r="H310" s="5"/>
      <c r="I310" s="5"/>
      <c r="J310" s="5"/>
      <c r="K310" s="5"/>
      <c r="L310" s="5"/>
      <c r="M310" s="5"/>
      <c r="N310" s="5"/>
      <c r="O310" s="5"/>
      <c r="P310" s="5"/>
      <c r="Q310" s="5"/>
      <c r="R310" s="9"/>
      <c r="S310" s="9"/>
      <c r="T310" s="10"/>
      <c r="U310" s="9"/>
      <c r="V310" s="9"/>
    </row>
    <row r="311" ht="12.5" spans="1:22">
      <c r="A311" s="4"/>
      <c r="B311" s="4"/>
      <c r="C311" s="4"/>
      <c r="D311" s="4"/>
      <c r="E311" s="5"/>
      <c r="F311" s="5"/>
      <c r="G311" s="5"/>
      <c r="H311" s="5"/>
      <c r="I311" s="5"/>
      <c r="J311" s="5"/>
      <c r="K311" s="5"/>
      <c r="L311" s="5"/>
      <c r="M311" s="5"/>
      <c r="N311" s="5"/>
      <c r="O311" s="5"/>
      <c r="P311" s="5"/>
      <c r="Q311" s="5"/>
      <c r="R311" s="9"/>
      <c r="S311" s="9"/>
      <c r="T311" s="10"/>
      <c r="U311" s="9"/>
      <c r="V311" s="9"/>
    </row>
    <row r="312" ht="12.5" spans="1:22">
      <c r="A312" s="4"/>
      <c r="B312" s="4"/>
      <c r="C312" s="4"/>
      <c r="D312" s="4"/>
      <c r="E312" s="5"/>
      <c r="F312" s="5"/>
      <c r="G312" s="5"/>
      <c r="H312" s="5"/>
      <c r="I312" s="5"/>
      <c r="J312" s="5"/>
      <c r="K312" s="5"/>
      <c r="L312" s="5"/>
      <c r="M312" s="5"/>
      <c r="N312" s="5"/>
      <c r="O312" s="5"/>
      <c r="P312" s="5"/>
      <c r="Q312" s="5"/>
      <c r="R312" s="9"/>
      <c r="S312" s="9"/>
      <c r="T312" s="10"/>
      <c r="U312" s="9"/>
      <c r="V312" s="9"/>
    </row>
    <row r="313" ht="12.5" spans="1:22">
      <c r="A313" s="4"/>
      <c r="B313" s="4"/>
      <c r="C313" s="4"/>
      <c r="D313" s="4"/>
      <c r="E313" s="5"/>
      <c r="F313" s="5"/>
      <c r="G313" s="5"/>
      <c r="H313" s="5"/>
      <c r="I313" s="5"/>
      <c r="J313" s="5"/>
      <c r="K313" s="5"/>
      <c r="L313" s="5"/>
      <c r="M313" s="5"/>
      <c r="N313" s="5"/>
      <c r="O313" s="5"/>
      <c r="P313" s="5"/>
      <c r="Q313" s="5"/>
      <c r="R313" s="9"/>
      <c r="S313" s="9"/>
      <c r="T313" s="10"/>
      <c r="U313" s="9"/>
      <c r="V313" s="9"/>
    </row>
    <row r="314" ht="12.5" spans="1:22">
      <c r="A314" s="4"/>
      <c r="B314" s="4"/>
      <c r="C314" s="4"/>
      <c r="D314" s="4"/>
      <c r="E314" s="5"/>
      <c r="F314" s="5"/>
      <c r="G314" s="5"/>
      <c r="H314" s="5"/>
      <c r="I314" s="5"/>
      <c r="J314" s="5"/>
      <c r="K314" s="5"/>
      <c r="L314" s="5"/>
      <c r="M314" s="5"/>
      <c r="N314" s="5"/>
      <c r="O314" s="5"/>
      <c r="P314" s="5"/>
      <c r="Q314" s="5"/>
      <c r="R314" s="9"/>
      <c r="S314" s="9"/>
      <c r="T314" s="10"/>
      <c r="U314" s="9"/>
      <c r="V314" s="9"/>
    </row>
    <row r="315" ht="12.5" spans="1:22">
      <c r="A315" s="4"/>
      <c r="B315" s="4"/>
      <c r="C315" s="4"/>
      <c r="D315" s="4"/>
      <c r="E315" s="5"/>
      <c r="F315" s="5"/>
      <c r="G315" s="5"/>
      <c r="H315" s="5"/>
      <c r="I315" s="5"/>
      <c r="J315" s="5"/>
      <c r="K315" s="5"/>
      <c r="L315" s="5"/>
      <c r="M315" s="5"/>
      <c r="N315" s="5"/>
      <c r="O315" s="5"/>
      <c r="P315" s="5"/>
      <c r="Q315" s="5"/>
      <c r="R315" s="9"/>
      <c r="S315" s="9"/>
      <c r="T315" s="10"/>
      <c r="U315" s="9"/>
      <c r="V315" s="9"/>
    </row>
    <row r="316" ht="12.5" spans="1:22">
      <c r="A316" s="4"/>
      <c r="B316" s="4"/>
      <c r="C316" s="4"/>
      <c r="D316" s="4"/>
      <c r="E316" s="5"/>
      <c r="F316" s="5"/>
      <c r="G316" s="5"/>
      <c r="H316" s="5"/>
      <c r="I316" s="5"/>
      <c r="J316" s="5"/>
      <c r="K316" s="5"/>
      <c r="L316" s="5"/>
      <c r="M316" s="5"/>
      <c r="N316" s="5"/>
      <c r="O316" s="5"/>
      <c r="P316" s="5"/>
      <c r="Q316" s="5"/>
      <c r="R316" s="9"/>
      <c r="S316" s="9"/>
      <c r="T316" s="10"/>
      <c r="U316" s="9"/>
      <c r="V316" s="9"/>
    </row>
    <row r="317" ht="12.5" spans="1:22">
      <c r="A317" s="4"/>
      <c r="B317" s="4"/>
      <c r="C317" s="4"/>
      <c r="D317" s="4"/>
      <c r="E317" s="5"/>
      <c r="F317" s="5"/>
      <c r="G317" s="5"/>
      <c r="H317" s="5"/>
      <c r="I317" s="5"/>
      <c r="J317" s="5"/>
      <c r="K317" s="5"/>
      <c r="L317" s="5"/>
      <c r="M317" s="5"/>
      <c r="N317" s="5"/>
      <c r="O317" s="5"/>
      <c r="P317" s="5"/>
      <c r="Q317" s="5"/>
      <c r="R317" s="9"/>
      <c r="S317" s="9"/>
      <c r="T317" s="10"/>
      <c r="U317" s="9"/>
      <c r="V317" s="9"/>
    </row>
    <row r="318" ht="12.5" spans="1:22">
      <c r="A318" s="4"/>
      <c r="B318" s="4"/>
      <c r="C318" s="4"/>
      <c r="D318" s="4"/>
      <c r="E318" s="5"/>
      <c r="F318" s="5"/>
      <c r="G318" s="5"/>
      <c r="H318" s="5"/>
      <c r="I318" s="5"/>
      <c r="J318" s="5"/>
      <c r="K318" s="5"/>
      <c r="L318" s="5"/>
      <c r="M318" s="5"/>
      <c r="N318" s="5"/>
      <c r="O318" s="5"/>
      <c r="P318" s="5"/>
      <c r="Q318" s="5"/>
      <c r="R318" s="9"/>
      <c r="S318" s="9"/>
      <c r="T318" s="10"/>
      <c r="U318" s="9"/>
      <c r="V318" s="9"/>
    </row>
    <row r="319" ht="12.5" spans="1:22">
      <c r="A319" s="4"/>
      <c r="B319" s="4"/>
      <c r="C319" s="4"/>
      <c r="D319" s="4"/>
      <c r="E319" s="5"/>
      <c r="F319" s="5"/>
      <c r="G319" s="5"/>
      <c r="H319" s="5"/>
      <c r="I319" s="5"/>
      <c r="J319" s="5"/>
      <c r="K319" s="5"/>
      <c r="L319" s="5"/>
      <c r="M319" s="5"/>
      <c r="N319" s="5"/>
      <c r="O319" s="5"/>
      <c r="P319" s="5"/>
      <c r="Q319" s="5"/>
      <c r="R319" s="9"/>
      <c r="S319" s="9"/>
      <c r="T319" s="10"/>
      <c r="U319" s="9"/>
      <c r="V319" s="9"/>
    </row>
    <row r="320" ht="12.5" spans="1:22">
      <c r="A320" s="4"/>
      <c r="B320" s="4"/>
      <c r="C320" s="4"/>
      <c r="D320" s="4"/>
      <c r="E320" s="5"/>
      <c r="F320" s="5"/>
      <c r="G320" s="5"/>
      <c r="H320" s="5"/>
      <c r="I320" s="5"/>
      <c r="J320" s="5"/>
      <c r="K320" s="5"/>
      <c r="L320" s="5"/>
      <c r="M320" s="5"/>
      <c r="N320" s="5"/>
      <c r="O320" s="5"/>
      <c r="P320" s="5"/>
      <c r="Q320" s="5"/>
      <c r="R320" s="9"/>
      <c r="S320" s="9"/>
      <c r="T320" s="10"/>
      <c r="U320" s="9"/>
      <c r="V320" s="9"/>
    </row>
    <row r="321" ht="12.5" spans="1:22">
      <c r="A321" s="4"/>
      <c r="B321" s="4"/>
      <c r="C321" s="4"/>
      <c r="D321" s="4"/>
      <c r="E321" s="5"/>
      <c r="F321" s="5"/>
      <c r="G321" s="5"/>
      <c r="H321" s="5"/>
      <c r="I321" s="5"/>
      <c r="J321" s="5"/>
      <c r="K321" s="5"/>
      <c r="L321" s="5"/>
      <c r="M321" s="5"/>
      <c r="N321" s="5"/>
      <c r="O321" s="5"/>
      <c r="P321" s="5"/>
      <c r="Q321" s="5"/>
      <c r="R321" s="9"/>
      <c r="S321" s="9"/>
      <c r="T321" s="10"/>
      <c r="U321" s="9"/>
      <c r="V321" s="9"/>
    </row>
    <row r="322" ht="12.5" spans="1:22">
      <c r="A322" s="4"/>
      <c r="B322" s="4"/>
      <c r="C322" s="4"/>
      <c r="D322" s="4"/>
      <c r="E322" s="5"/>
      <c r="F322" s="5"/>
      <c r="G322" s="5"/>
      <c r="H322" s="5"/>
      <c r="I322" s="5"/>
      <c r="J322" s="5"/>
      <c r="K322" s="5"/>
      <c r="L322" s="5"/>
      <c r="M322" s="5"/>
      <c r="N322" s="5"/>
      <c r="O322" s="5"/>
      <c r="P322" s="5"/>
      <c r="Q322" s="5"/>
      <c r="R322" s="9"/>
      <c r="S322" s="9"/>
      <c r="T322" s="10"/>
      <c r="U322" s="9"/>
      <c r="V322" s="9"/>
    </row>
    <row r="323" ht="12.5" spans="1:22">
      <c r="A323" s="4"/>
      <c r="B323" s="4"/>
      <c r="C323" s="4"/>
      <c r="D323" s="4"/>
      <c r="E323" s="5"/>
      <c r="F323" s="5"/>
      <c r="G323" s="5"/>
      <c r="H323" s="5"/>
      <c r="I323" s="5"/>
      <c r="J323" s="5"/>
      <c r="K323" s="5"/>
      <c r="L323" s="5"/>
      <c r="M323" s="5"/>
      <c r="N323" s="5"/>
      <c r="O323" s="5"/>
      <c r="P323" s="5"/>
      <c r="Q323" s="5"/>
      <c r="R323" s="9"/>
      <c r="S323" s="9"/>
      <c r="T323" s="10"/>
      <c r="U323" s="9"/>
      <c r="V323" s="9"/>
    </row>
    <row r="324" ht="12.5" spans="1:22">
      <c r="A324" s="4"/>
      <c r="B324" s="4"/>
      <c r="C324" s="4"/>
      <c r="D324" s="4"/>
      <c r="E324" s="5"/>
      <c r="F324" s="5"/>
      <c r="G324" s="5"/>
      <c r="H324" s="5"/>
      <c r="I324" s="5"/>
      <c r="J324" s="5"/>
      <c r="K324" s="5"/>
      <c r="L324" s="5"/>
      <c r="M324" s="5"/>
      <c r="N324" s="5"/>
      <c r="O324" s="5"/>
      <c r="P324" s="5"/>
      <c r="Q324" s="5"/>
      <c r="R324" s="9"/>
      <c r="S324" s="9"/>
      <c r="T324" s="10"/>
      <c r="U324" s="9"/>
      <c r="V324" s="9"/>
    </row>
    <row r="325" ht="12.5" spans="1:22">
      <c r="A325" s="4"/>
      <c r="B325" s="4"/>
      <c r="C325" s="4"/>
      <c r="D325" s="4"/>
      <c r="E325" s="5"/>
      <c r="F325" s="5"/>
      <c r="G325" s="5"/>
      <c r="H325" s="5"/>
      <c r="I325" s="5"/>
      <c r="J325" s="5"/>
      <c r="K325" s="5"/>
      <c r="L325" s="5"/>
      <c r="M325" s="5"/>
      <c r="N325" s="5"/>
      <c r="O325" s="5"/>
      <c r="P325" s="5"/>
      <c r="Q325" s="5"/>
      <c r="R325" s="9"/>
      <c r="S325" s="9"/>
      <c r="T325" s="10"/>
      <c r="U325" s="9"/>
      <c r="V325" s="9"/>
    </row>
    <row r="326" ht="12.5" spans="1:22">
      <c r="A326" s="4"/>
      <c r="B326" s="4"/>
      <c r="C326" s="4"/>
      <c r="D326" s="4"/>
      <c r="E326" s="5"/>
      <c r="F326" s="5"/>
      <c r="G326" s="5"/>
      <c r="H326" s="5"/>
      <c r="I326" s="5"/>
      <c r="J326" s="5"/>
      <c r="K326" s="5"/>
      <c r="L326" s="5"/>
      <c r="M326" s="5"/>
      <c r="N326" s="5"/>
      <c r="O326" s="5"/>
      <c r="P326" s="5"/>
      <c r="Q326" s="5"/>
      <c r="R326" s="9"/>
      <c r="S326" s="9"/>
      <c r="T326" s="10"/>
      <c r="U326" s="9"/>
      <c r="V326" s="9"/>
    </row>
    <row r="327" ht="12.5" spans="1:22">
      <c r="A327" s="4"/>
      <c r="B327" s="4"/>
      <c r="C327" s="4"/>
      <c r="D327" s="4"/>
      <c r="E327" s="5"/>
      <c r="F327" s="5"/>
      <c r="G327" s="5"/>
      <c r="H327" s="5"/>
      <c r="I327" s="5"/>
      <c r="J327" s="5"/>
      <c r="K327" s="5"/>
      <c r="L327" s="5"/>
      <c r="M327" s="5"/>
      <c r="N327" s="5"/>
      <c r="O327" s="5"/>
      <c r="P327" s="5"/>
      <c r="Q327" s="5"/>
      <c r="R327" s="9"/>
      <c r="S327" s="9"/>
      <c r="T327" s="10"/>
      <c r="U327" s="9"/>
      <c r="V327" s="9"/>
    </row>
    <row r="328" ht="12.5" spans="1:22">
      <c r="A328" s="4"/>
      <c r="B328" s="4"/>
      <c r="C328" s="4"/>
      <c r="D328" s="4"/>
      <c r="E328" s="5"/>
      <c r="F328" s="5"/>
      <c r="G328" s="5"/>
      <c r="H328" s="5"/>
      <c r="I328" s="5"/>
      <c r="J328" s="5"/>
      <c r="K328" s="5"/>
      <c r="L328" s="5"/>
      <c r="M328" s="5"/>
      <c r="N328" s="5"/>
      <c r="O328" s="5"/>
      <c r="P328" s="5"/>
      <c r="Q328" s="5"/>
      <c r="R328" s="9"/>
      <c r="S328" s="9"/>
      <c r="T328" s="10"/>
      <c r="U328" s="9"/>
      <c r="V328" s="9"/>
    </row>
    <row r="329" ht="12.5" spans="1:22">
      <c r="A329" s="4"/>
      <c r="B329" s="4"/>
      <c r="C329" s="4"/>
      <c r="D329" s="4"/>
      <c r="E329" s="5"/>
      <c r="F329" s="5"/>
      <c r="G329" s="5"/>
      <c r="H329" s="5"/>
      <c r="I329" s="5"/>
      <c r="J329" s="5"/>
      <c r="K329" s="5"/>
      <c r="L329" s="5"/>
      <c r="M329" s="5"/>
      <c r="N329" s="5"/>
      <c r="O329" s="5"/>
      <c r="P329" s="5"/>
      <c r="Q329" s="5"/>
      <c r="R329" s="9"/>
      <c r="S329" s="9"/>
      <c r="T329" s="10"/>
      <c r="U329" s="9"/>
      <c r="V329" s="9"/>
    </row>
    <row r="330" ht="12.5" spans="1:22">
      <c r="A330" s="4"/>
      <c r="B330" s="4"/>
      <c r="C330" s="4"/>
      <c r="D330" s="4"/>
      <c r="E330" s="5"/>
      <c r="F330" s="5"/>
      <c r="G330" s="5"/>
      <c r="H330" s="5"/>
      <c r="I330" s="5"/>
      <c r="J330" s="5"/>
      <c r="K330" s="5"/>
      <c r="L330" s="5"/>
      <c r="M330" s="5"/>
      <c r="N330" s="5"/>
      <c r="O330" s="5"/>
      <c r="P330" s="5"/>
      <c r="Q330" s="5"/>
      <c r="R330" s="9"/>
      <c r="S330" s="9"/>
      <c r="T330" s="10"/>
      <c r="U330" s="9"/>
      <c r="V330" s="9"/>
    </row>
    <row r="331" ht="12.5" spans="1:22">
      <c r="A331" s="4"/>
      <c r="B331" s="4"/>
      <c r="C331" s="4"/>
      <c r="D331" s="4"/>
      <c r="E331" s="5"/>
      <c r="F331" s="5"/>
      <c r="G331" s="5"/>
      <c r="H331" s="5"/>
      <c r="I331" s="5"/>
      <c r="J331" s="5"/>
      <c r="K331" s="5"/>
      <c r="L331" s="5"/>
      <c r="M331" s="5"/>
      <c r="N331" s="5"/>
      <c r="O331" s="5"/>
      <c r="P331" s="5"/>
      <c r="Q331" s="5"/>
      <c r="R331" s="9"/>
      <c r="S331" s="9"/>
      <c r="T331" s="10"/>
      <c r="U331" s="9"/>
      <c r="V331" s="9"/>
    </row>
    <row r="332" ht="12.5" spans="1:22">
      <c r="A332" s="4"/>
      <c r="B332" s="4"/>
      <c r="C332" s="4"/>
      <c r="D332" s="4"/>
      <c r="E332" s="5"/>
      <c r="F332" s="5"/>
      <c r="G332" s="5"/>
      <c r="H332" s="5"/>
      <c r="I332" s="5"/>
      <c r="J332" s="5"/>
      <c r="K332" s="5"/>
      <c r="L332" s="5"/>
      <c r="M332" s="5"/>
      <c r="N332" s="5"/>
      <c r="O332" s="5"/>
      <c r="P332" s="5"/>
      <c r="Q332" s="5"/>
      <c r="R332" s="9"/>
      <c r="S332" s="9"/>
      <c r="T332" s="10"/>
      <c r="U332" s="9"/>
      <c r="V332" s="9"/>
    </row>
    <row r="333" ht="12.5" spans="1:22">
      <c r="A333" s="4"/>
      <c r="B333" s="4"/>
      <c r="C333" s="4"/>
      <c r="D333" s="4"/>
      <c r="E333" s="5"/>
      <c r="F333" s="5"/>
      <c r="G333" s="5"/>
      <c r="H333" s="5"/>
      <c r="I333" s="5"/>
      <c r="J333" s="5"/>
      <c r="K333" s="5"/>
      <c r="L333" s="5"/>
      <c r="M333" s="5"/>
      <c r="N333" s="5"/>
      <c r="O333" s="5"/>
      <c r="P333" s="5"/>
      <c r="Q333" s="5"/>
      <c r="R333" s="9"/>
      <c r="S333" s="9"/>
      <c r="T333" s="10"/>
      <c r="U333" s="9"/>
      <c r="V333" s="9"/>
    </row>
    <row r="334" ht="12.5" spans="1:22">
      <c r="A334" s="4"/>
      <c r="B334" s="4"/>
      <c r="C334" s="4"/>
      <c r="D334" s="4"/>
      <c r="E334" s="5"/>
      <c r="F334" s="5"/>
      <c r="G334" s="5"/>
      <c r="H334" s="5"/>
      <c r="I334" s="5"/>
      <c r="J334" s="5"/>
      <c r="K334" s="5"/>
      <c r="L334" s="5"/>
      <c r="M334" s="5"/>
      <c r="N334" s="5"/>
      <c r="O334" s="5"/>
      <c r="P334" s="5"/>
      <c r="Q334" s="5"/>
      <c r="R334" s="9"/>
      <c r="S334" s="9"/>
      <c r="T334" s="10"/>
      <c r="U334" s="9"/>
      <c r="V334" s="9"/>
    </row>
    <row r="335" ht="12.5" spans="1:22">
      <c r="A335" s="4"/>
      <c r="B335" s="4"/>
      <c r="C335" s="4"/>
      <c r="D335" s="4"/>
      <c r="E335" s="5"/>
      <c r="F335" s="5"/>
      <c r="G335" s="5"/>
      <c r="H335" s="5"/>
      <c r="I335" s="5"/>
      <c r="J335" s="5"/>
      <c r="K335" s="5"/>
      <c r="L335" s="5"/>
      <c r="M335" s="5"/>
      <c r="N335" s="5"/>
      <c r="O335" s="5"/>
      <c r="P335" s="5"/>
      <c r="Q335" s="5"/>
      <c r="R335" s="9"/>
      <c r="S335" s="9"/>
      <c r="T335" s="10"/>
      <c r="U335" s="9"/>
      <c r="V335" s="9"/>
    </row>
    <row r="336" ht="12.5" spans="1:22">
      <c r="A336" s="4"/>
      <c r="B336" s="4"/>
      <c r="C336" s="4"/>
      <c r="D336" s="4"/>
      <c r="E336" s="5"/>
      <c r="F336" s="5"/>
      <c r="G336" s="5"/>
      <c r="H336" s="5"/>
      <c r="I336" s="5"/>
      <c r="J336" s="5"/>
      <c r="K336" s="5"/>
      <c r="L336" s="5"/>
      <c r="M336" s="5"/>
      <c r="N336" s="5"/>
      <c r="O336" s="5"/>
      <c r="P336" s="5"/>
      <c r="Q336" s="5"/>
      <c r="R336" s="9"/>
      <c r="S336" s="9"/>
      <c r="T336" s="10"/>
      <c r="U336" s="9"/>
      <c r="V336" s="9"/>
    </row>
    <row r="337" ht="12.5" spans="1:22">
      <c r="A337" s="4"/>
      <c r="B337" s="4"/>
      <c r="C337" s="4"/>
      <c r="D337" s="4"/>
      <c r="E337" s="5"/>
      <c r="F337" s="5"/>
      <c r="G337" s="5"/>
      <c r="H337" s="5"/>
      <c r="I337" s="5"/>
      <c r="J337" s="5"/>
      <c r="K337" s="5"/>
      <c r="L337" s="5"/>
      <c r="M337" s="5"/>
      <c r="N337" s="5"/>
      <c r="O337" s="5"/>
      <c r="P337" s="5"/>
      <c r="Q337" s="5"/>
      <c r="R337" s="9"/>
      <c r="S337" s="9"/>
      <c r="T337" s="10"/>
      <c r="U337" s="9"/>
      <c r="V337" s="9"/>
    </row>
    <row r="338" ht="12.5" spans="1:22">
      <c r="A338" s="4"/>
      <c r="B338" s="4"/>
      <c r="C338" s="4"/>
      <c r="D338" s="4"/>
      <c r="E338" s="5"/>
      <c r="F338" s="5"/>
      <c r="G338" s="5"/>
      <c r="H338" s="5"/>
      <c r="I338" s="5"/>
      <c r="J338" s="5"/>
      <c r="K338" s="5"/>
      <c r="L338" s="5"/>
      <c r="M338" s="5"/>
      <c r="N338" s="5"/>
      <c r="O338" s="5"/>
      <c r="P338" s="5"/>
      <c r="Q338" s="5"/>
      <c r="R338" s="9"/>
      <c r="S338" s="9"/>
      <c r="T338" s="10"/>
      <c r="U338" s="9"/>
      <c r="V338" s="9"/>
    </row>
    <row r="339" ht="12.5" spans="1:22">
      <c r="A339" s="4"/>
      <c r="B339" s="4"/>
      <c r="C339" s="4"/>
      <c r="D339" s="4"/>
      <c r="E339" s="5"/>
      <c r="F339" s="5"/>
      <c r="G339" s="5"/>
      <c r="H339" s="5"/>
      <c r="I339" s="5"/>
      <c r="J339" s="5"/>
      <c r="K339" s="5"/>
      <c r="L339" s="5"/>
      <c r="M339" s="5"/>
      <c r="N339" s="5"/>
      <c r="O339" s="5"/>
      <c r="P339" s="5"/>
      <c r="Q339" s="5"/>
      <c r="R339" s="9"/>
      <c r="S339" s="9"/>
      <c r="T339" s="10"/>
      <c r="U339" s="9"/>
      <c r="V339" s="9"/>
    </row>
    <row r="340" ht="12.5" spans="1:22">
      <c r="A340" s="4"/>
      <c r="B340" s="4"/>
      <c r="C340" s="4"/>
      <c r="D340" s="4"/>
      <c r="E340" s="5"/>
      <c r="F340" s="5"/>
      <c r="G340" s="5"/>
      <c r="H340" s="5"/>
      <c r="I340" s="5"/>
      <c r="J340" s="5"/>
      <c r="K340" s="5"/>
      <c r="L340" s="5"/>
      <c r="M340" s="5"/>
      <c r="N340" s="5"/>
      <c r="O340" s="5"/>
      <c r="P340" s="5"/>
      <c r="Q340" s="5"/>
      <c r="R340" s="9"/>
      <c r="S340" s="9"/>
      <c r="T340" s="10"/>
      <c r="U340" s="9"/>
      <c r="V340" s="9"/>
    </row>
    <row r="341" ht="12.5" spans="1:22">
      <c r="A341" s="4"/>
      <c r="B341" s="4"/>
      <c r="C341" s="4"/>
      <c r="D341" s="4"/>
      <c r="E341" s="5"/>
      <c r="F341" s="5"/>
      <c r="G341" s="5"/>
      <c r="H341" s="5"/>
      <c r="I341" s="5"/>
      <c r="J341" s="5"/>
      <c r="K341" s="5"/>
      <c r="L341" s="5"/>
      <c r="M341" s="5"/>
      <c r="N341" s="5"/>
      <c r="O341" s="5"/>
      <c r="P341" s="5"/>
      <c r="Q341" s="5"/>
      <c r="R341" s="9"/>
      <c r="S341" s="9"/>
      <c r="T341" s="10"/>
      <c r="U341" s="9"/>
      <c r="V341" s="9"/>
    </row>
    <row r="342" ht="12.5" spans="1:22">
      <c r="A342" s="4"/>
      <c r="B342" s="4"/>
      <c r="C342" s="4"/>
      <c r="D342" s="4"/>
      <c r="E342" s="5"/>
      <c r="F342" s="5"/>
      <c r="G342" s="5"/>
      <c r="H342" s="5"/>
      <c r="I342" s="5"/>
      <c r="J342" s="5"/>
      <c r="K342" s="5"/>
      <c r="L342" s="5"/>
      <c r="M342" s="5"/>
      <c r="N342" s="5"/>
      <c r="O342" s="5"/>
      <c r="P342" s="5"/>
      <c r="Q342" s="5"/>
      <c r="R342" s="9"/>
      <c r="S342" s="9"/>
      <c r="T342" s="10"/>
      <c r="U342" s="9"/>
      <c r="V342" s="9"/>
    </row>
    <row r="343" ht="12.5" spans="1:22">
      <c r="A343" s="4"/>
      <c r="B343" s="4"/>
      <c r="C343" s="4"/>
      <c r="D343" s="4"/>
      <c r="E343" s="5"/>
      <c r="F343" s="5"/>
      <c r="G343" s="5"/>
      <c r="H343" s="5"/>
      <c r="I343" s="5"/>
      <c r="J343" s="5"/>
      <c r="K343" s="5"/>
      <c r="L343" s="5"/>
      <c r="M343" s="5"/>
      <c r="N343" s="5"/>
      <c r="O343" s="5"/>
      <c r="P343" s="5"/>
      <c r="Q343" s="5"/>
      <c r="R343" s="9"/>
      <c r="S343" s="9"/>
      <c r="T343" s="10"/>
      <c r="U343" s="9"/>
      <c r="V343" s="9"/>
    </row>
    <row r="344" ht="12.5" spans="1:22">
      <c r="A344" s="4"/>
      <c r="B344" s="4"/>
      <c r="C344" s="4"/>
      <c r="D344" s="4"/>
      <c r="E344" s="5"/>
      <c r="F344" s="5"/>
      <c r="G344" s="5"/>
      <c r="H344" s="5"/>
      <c r="I344" s="5"/>
      <c r="J344" s="5"/>
      <c r="K344" s="5"/>
      <c r="L344" s="5"/>
      <c r="M344" s="5"/>
      <c r="N344" s="5"/>
      <c r="O344" s="5"/>
      <c r="P344" s="5"/>
      <c r="Q344" s="5"/>
      <c r="R344" s="9"/>
      <c r="S344" s="9"/>
      <c r="T344" s="10"/>
      <c r="U344" s="9"/>
      <c r="V344" s="9"/>
    </row>
    <row r="345" ht="12.5" spans="1:22">
      <c r="A345" s="4"/>
      <c r="B345" s="4"/>
      <c r="C345" s="4"/>
      <c r="D345" s="4"/>
      <c r="E345" s="5"/>
      <c r="F345" s="5"/>
      <c r="G345" s="5"/>
      <c r="H345" s="5"/>
      <c r="I345" s="5"/>
      <c r="J345" s="5"/>
      <c r="K345" s="5"/>
      <c r="L345" s="5"/>
      <c r="M345" s="5"/>
      <c r="N345" s="5"/>
      <c r="O345" s="5"/>
      <c r="P345" s="5"/>
      <c r="Q345" s="5"/>
      <c r="R345" s="9"/>
      <c r="S345" s="9"/>
      <c r="T345" s="10"/>
      <c r="U345" s="9"/>
      <c r="V345" s="9"/>
    </row>
    <row r="346" ht="12.5" spans="1:22">
      <c r="A346" s="4"/>
      <c r="B346" s="4"/>
      <c r="C346" s="4"/>
      <c r="D346" s="4"/>
      <c r="E346" s="5"/>
      <c r="F346" s="5"/>
      <c r="G346" s="5"/>
      <c r="H346" s="5"/>
      <c r="I346" s="5"/>
      <c r="J346" s="5"/>
      <c r="K346" s="5"/>
      <c r="L346" s="5"/>
      <c r="M346" s="5"/>
      <c r="N346" s="5"/>
      <c r="O346" s="5"/>
      <c r="P346" s="5"/>
      <c r="Q346" s="5"/>
      <c r="R346" s="9"/>
      <c r="S346" s="9"/>
      <c r="T346" s="10"/>
      <c r="U346" s="9"/>
      <c r="V346" s="9"/>
    </row>
    <row r="347" ht="12.5" spans="1:22">
      <c r="A347" s="4"/>
      <c r="B347" s="4"/>
      <c r="C347" s="4"/>
      <c r="D347" s="4"/>
      <c r="E347" s="5"/>
      <c r="F347" s="5"/>
      <c r="G347" s="5"/>
      <c r="H347" s="5"/>
      <c r="I347" s="5"/>
      <c r="J347" s="5"/>
      <c r="K347" s="5"/>
      <c r="L347" s="5"/>
      <c r="M347" s="5"/>
      <c r="N347" s="5"/>
      <c r="O347" s="5"/>
      <c r="P347" s="5"/>
      <c r="Q347" s="5"/>
      <c r="R347" s="9"/>
      <c r="S347" s="9"/>
      <c r="T347" s="10"/>
      <c r="U347" s="9"/>
      <c r="V347" s="9"/>
    </row>
    <row r="348" ht="12.5" spans="1:22">
      <c r="A348" s="4"/>
      <c r="B348" s="4"/>
      <c r="C348" s="4"/>
      <c r="D348" s="4"/>
      <c r="E348" s="5"/>
      <c r="F348" s="5"/>
      <c r="G348" s="5"/>
      <c r="H348" s="5"/>
      <c r="I348" s="5"/>
      <c r="J348" s="5"/>
      <c r="K348" s="5"/>
      <c r="L348" s="5"/>
      <c r="M348" s="5"/>
      <c r="N348" s="5"/>
      <c r="O348" s="5"/>
      <c r="P348" s="5"/>
      <c r="Q348" s="5"/>
      <c r="R348" s="9"/>
      <c r="S348" s="9"/>
      <c r="T348" s="10"/>
      <c r="U348" s="9"/>
      <c r="V348" s="9"/>
    </row>
    <row r="349" ht="12.5" spans="1:22">
      <c r="A349" s="4"/>
      <c r="B349" s="4"/>
      <c r="C349" s="4"/>
      <c r="D349" s="4"/>
      <c r="E349" s="5"/>
      <c r="F349" s="5"/>
      <c r="G349" s="5"/>
      <c r="H349" s="5"/>
      <c r="I349" s="5"/>
      <c r="J349" s="5"/>
      <c r="K349" s="5"/>
      <c r="L349" s="5"/>
      <c r="M349" s="5"/>
      <c r="N349" s="5"/>
      <c r="O349" s="5"/>
      <c r="P349" s="5"/>
      <c r="Q349" s="5"/>
      <c r="R349" s="9"/>
      <c r="S349" s="9"/>
      <c r="T349" s="10"/>
      <c r="U349" s="9"/>
      <c r="V349" s="9"/>
    </row>
    <row r="350" ht="12.5" spans="1:22">
      <c r="A350" s="4"/>
      <c r="B350" s="4"/>
      <c r="C350" s="4"/>
      <c r="D350" s="4"/>
      <c r="E350" s="5"/>
      <c r="F350" s="5"/>
      <c r="G350" s="5"/>
      <c r="H350" s="5"/>
      <c r="I350" s="5"/>
      <c r="J350" s="5"/>
      <c r="K350" s="5"/>
      <c r="L350" s="5"/>
      <c r="M350" s="5"/>
      <c r="N350" s="5"/>
      <c r="O350" s="5"/>
      <c r="P350" s="5"/>
      <c r="Q350" s="5"/>
      <c r="R350" s="9"/>
      <c r="S350" s="9"/>
      <c r="T350" s="10"/>
      <c r="U350" s="9"/>
      <c r="V350" s="9"/>
    </row>
    <row r="351" ht="12.5" spans="1:22">
      <c r="A351" s="4"/>
      <c r="B351" s="4"/>
      <c r="C351" s="4"/>
      <c r="D351" s="4"/>
      <c r="E351" s="5"/>
      <c r="F351" s="5"/>
      <c r="G351" s="5"/>
      <c r="H351" s="5"/>
      <c r="I351" s="5"/>
      <c r="J351" s="5"/>
      <c r="K351" s="5"/>
      <c r="L351" s="5"/>
      <c r="M351" s="5"/>
      <c r="N351" s="5"/>
      <c r="O351" s="5"/>
      <c r="P351" s="5"/>
      <c r="Q351" s="5"/>
      <c r="R351" s="9"/>
      <c r="S351" s="9"/>
      <c r="T351" s="10"/>
      <c r="U351" s="9"/>
      <c r="V351" s="9"/>
    </row>
    <row r="352" ht="12.5" spans="1:22">
      <c r="A352" s="4"/>
      <c r="B352" s="4"/>
      <c r="C352" s="4"/>
      <c r="D352" s="4"/>
      <c r="E352" s="5"/>
      <c r="F352" s="5"/>
      <c r="G352" s="5"/>
      <c r="H352" s="5"/>
      <c r="I352" s="5"/>
      <c r="J352" s="5"/>
      <c r="K352" s="5"/>
      <c r="L352" s="5"/>
      <c r="M352" s="5"/>
      <c r="N352" s="5"/>
      <c r="O352" s="5"/>
      <c r="P352" s="5"/>
      <c r="Q352" s="5"/>
      <c r="R352" s="9"/>
      <c r="S352" s="9"/>
      <c r="T352" s="10"/>
      <c r="U352" s="9"/>
      <c r="V352" s="9"/>
    </row>
    <row r="353" ht="12.5" spans="1:22">
      <c r="A353" s="4"/>
      <c r="B353" s="4"/>
      <c r="C353" s="4"/>
      <c r="D353" s="4"/>
      <c r="E353" s="5"/>
      <c r="F353" s="5"/>
      <c r="G353" s="5"/>
      <c r="H353" s="5"/>
      <c r="I353" s="5"/>
      <c r="J353" s="5"/>
      <c r="K353" s="5"/>
      <c r="L353" s="5"/>
      <c r="M353" s="5"/>
      <c r="N353" s="5"/>
      <c r="O353" s="5"/>
      <c r="P353" s="5"/>
      <c r="Q353" s="5"/>
      <c r="R353" s="9"/>
      <c r="S353" s="9"/>
      <c r="T353" s="10"/>
      <c r="U353" s="9"/>
      <c r="V353" s="9"/>
    </row>
    <row r="354" ht="12.5" spans="1:22">
      <c r="A354" s="4"/>
      <c r="B354" s="4"/>
      <c r="C354" s="4"/>
      <c r="D354" s="4"/>
      <c r="E354" s="5"/>
      <c r="F354" s="5"/>
      <c r="G354" s="5"/>
      <c r="H354" s="5"/>
      <c r="I354" s="5"/>
      <c r="J354" s="5"/>
      <c r="K354" s="5"/>
      <c r="L354" s="5"/>
      <c r="M354" s="5"/>
      <c r="N354" s="5"/>
      <c r="O354" s="5"/>
      <c r="P354" s="5"/>
      <c r="Q354" s="5"/>
      <c r="R354" s="9"/>
      <c r="S354" s="9"/>
      <c r="T354" s="10"/>
      <c r="U354" s="9"/>
      <c r="V354" s="9"/>
    </row>
    <row r="355" ht="12.5" spans="1:22">
      <c r="A355" s="4"/>
      <c r="B355" s="4"/>
      <c r="C355" s="4"/>
      <c r="D355" s="4"/>
      <c r="E355" s="5"/>
      <c r="F355" s="5"/>
      <c r="G355" s="5"/>
      <c r="H355" s="5"/>
      <c r="I355" s="5"/>
      <c r="J355" s="5"/>
      <c r="K355" s="5"/>
      <c r="L355" s="5"/>
      <c r="M355" s="5"/>
      <c r="N355" s="5"/>
      <c r="O355" s="5"/>
      <c r="P355" s="5"/>
      <c r="Q355" s="5"/>
      <c r="R355" s="9"/>
      <c r="S355" s="9"/>
      <c r="T355" s="10"/>
      <c r="U355" s="9"/>
      <c r="V355" s="9"/>
    </row>
    <row r="356" ht="12.5" spans="1:22">
      <c r="A356" s="4"/>
      <c r="B356" s="4"/>
      <c r="C356" s="4"/>
      <c r="D356" s="4"/>
      <c r="E356" s="5"/>
      <c r="F356" s="5"/>
      <c r="G356" s="5"/>
      <c r="H356" s="5"/>
      <c r="I356" s="5"/>
      <c r="J356" s="5"/>
      <c r="K356" s="5"/>
      <c r="L356" s="5"/>
      <c r="M356" s="5"/>
      <c r="N356" s="5"/>
      <c r="O356" s="5"/>
      <c r="P356" s="5"/>
      <c r="Q356" s="5"/>
      <c r="R356" s="9"/>
      <c r="S356" s="9"/>
      <c r="T356" s="10"/>
      <c r="U356" s="9"/>
      <c r="V356" s="9"/>
    </row>
    <row r="357" ht="12.5" spans="1:22">
      <c r="A357" s="4"/>
      <c r="B357" s="4"/>
      <c r="C357" s="4"/>
      <c r="D357" s="4"/>
      <c r="E357" s="5"/>
      <c r="F357" s="5"/>
      <c r="G357" s="5"/>
      <c r="H357" s="5"/>
      <c r="I357" s="5"/>
      <c r="J357" s="5"/>
      <c r="K357" s="5"/>
      <c r="L357" s="5"/>
      <c r="M357" s="5"/>
      <c r="N357" s="5"/>
      <c r="O357" s="5"/>
      <c r="P357" s="5"/>
      <c r="Q357" s="5"/>
      <c r="R357" s="9"/>
      <c r="S357" s="9"/>
      <c r="T357" s="10"/>
      <c r="U357" s="9"/>
      <c r="V357" s="9"/>
    </row>
    <row r="358" ht="12.5" spans="1:22">
      <c r="A358" s="4"/>
      <c r="B358" s="4"/>
      <c r="C358" s="4"/>
      <c r="D358" s="4"/>
      <c r="E358" s="5"/>
      <c r="F358" s="5"/>
      <c r="G358" s="5"/>
      <c r="H358" s="5"/>
      <c r="I358" s="5"/>
      <c r="J358" s="5"/>
      <c r="K358" s="5"/>
      <c r="L358" s="5"/>
      <c r="M358" s="5"/>
      <c r="N358" s="5"/>
      <c r="O358" s="5"/>
      <c r="P358" s="5"/>
      <c r="Q358" s="5"/>
      <c r="R358" s="9"/>
      <c r="S358" s="9"/>
      <c r="T358" s="10"/>
      <c r="U358" s="9"/>
      <c r="V358" s="9"/>
    </row>
    <row r="359" ht="12.5" spans="1:22">
      <c r="A359" s="4"/>
      <c r="B359" s="4"/>
      <c r="C359" s="4"/>
      <c r="D359" s="4"/>
      <c r="E359" s="5"/>
      <c r="F359" s="5"/>
      <c r="G359" s="5"/>
      <c r="H359" s="5"/>
      <c r="I359" s="5"/>
      <c r="J359" s="5"/>
      <c r="K359" s="5"/>
      <c r="L359" s="5"/>
      <c r="M359" s="5"/>
      <c r="N359" s="5"/>
      <c r="O359" s="5"/>
      <c r="P359" s="5"/>
      <c r="Q359" s="5"/>
      <c r="R359" s="9"/>
      <c r="S359" s="9"/>
      <c r="T359" s="10"/>
      <c r="U359" s="9"/>
      <c r="V359" s="9"/>
    </row>
    <row r="360" ht="12.5" spans="1:22">
      <c r="A360" s="4"/>
      <c r="B360" s="4"/>
      <c r="C360" s="4"/>
      <c r="D360" s="4"/>
      <c r="E360" s="5"/>
      <c r="F360" s="5"/>
      <c r="G360" s="5"/>
      <c r="H360" s="5"/>
      <c r="I360" s="5"/>
      <c r="J360" s="5"/>
      <c r="K360" s="5"/>
      <c r="L360" s="5"/>
      <c r="M360" s="5"/>
      <c r="N360" s="5"/>
      <c r="O360" s="5"/>
      <c r="P360" s="5"/>
      <c r="Q360" s="5"/>
      <c r="R360" s="9"/>
      <c r="S360" s="9"/>
      <c r="T360" s="10"/>
      <c r="U360" s="9"/>
      <c r="V360" s="9"/>
    </row>
    <row r="361" ht="12.5" spans="1:22">
      <c r="A361" s="4"/>
      <c r="B361" s="4"/>
      <c r="C361" s="4"/>
      <c r="D361" s="4"/>
      <c r="E361" s="5"/>
      <c r="F361" s="5"/>
      <c r="G361" s="5"/>
      <c r="H361" s="5"/>
      <c r="I361" s="5"/>
      <c r="J361" s="5"/>
      <c r="K361" s="5"/>
      <c r="L361" s="5"/>
      <c r="M361" s="5"/>
      <c r="N361" s="5"/>
      <c r="O361" s="5"/>
      <c r="P361" s="5"/>
      <c r="Q361" s="5"/>
      <c r="R361" s="9"/>
      <c r="S361" s="9"/>
      <c r="T361" s="10"/>
      <c r="U361" s="9"/>
      <c r="V361" s="9"/>
    </row>
    <row r="362" ht="12.5" spans="1:22">
      <c r="A362" s="4"/>
      <c r="B362" s="4"/>
      <c r="C362" s="4"/>
      <c r="D362" s="4"/>
      <c r="E362" s="5"/>
      <c r="F362" s="5"/>
      <c r="G362" s="5"/>
      <c r="H362" s="5"/>
      <c r="I362" s="5"/>
      <c r="J362" s="5"/>
      <c r="K362" s="5"/>
      <c r="L362" s="5"/>
      <c r="M362" s="5"/>
      <c r="N362" s="5"/>
      <c r="O362" s="5"/>
      <c r="P362" s="5"/>
      <c r="Q362" s="5"/>
      <c r="R362" s="9"/>
      <c r="S362" s="9"/>
      <c r="T362" s="10"/>
      <c r="U362" s="9"/>
      <c r="V362" s="9"/>
    </row>
    <row r="363" ht="12.5" spans="1:22">
      <c r="A363" s="4"/>
      <c r="B363" s="4"/>
      <c r="C363" s="4"/>
      <c r="D363" s="4"/>
      <c r="E363" s="5"/>
      <c r="F363" s="5"/>
      <c r="G363" s="5"/>
      <c r="H363" s="5"/>
      <c r="I363" s="5"/>
      <c r="J363" s="5"/>
      <c r="K363" s="5"/>
      <c r="L363" s="5"/>
      <c r="M363" s="5"/>
      <c r="N363" s="5"/>
      <c r="O363" s="5"/>
      <c r="P363" s="5"/>
      <c r="Q363" s="5"/>
      <c r="R363" s="9"/>
      <c r="S363" s="9"/>
      <c r="T363" s="10"/>
      <c r="U363" s="9"/>
      <c r="V363" s="9"/>
    </row>
    <row r="364" ht="12.5" spans="1:22">
      <c r="A364" s="4"/>
      <c r="B364" s="4"/>
      <c r="C364" s="4"/>
      <c r="D364" s="4"/>
      <c r="E364" s="5"/>
      <c r="F364" s="5"/>
      <c r="G364" s="5"/>
      <c r="H364" s="5"/>
      <c r="I364" s="5"/>
      <c r="J364" s="5"/>
      <c r="K364" s="5"/>
      <c r="L364" s="5"/>
      <c r="M364" s="5"/>
      <c r="N364" s="5"/>
      <c r="O364" s="5"/>
      <c r="P364" s="5"/>
      <c r="Q364" s="5"/>
      <c r="R364" s="9"/>
      <c r="S364" s="9"/>
      <c r="T364" s="10"/>
      <c r="U364" s="9"/>
      <c r="V364" s="9"/>
    </row>
    <row r="365" ht="12.5" spans="1:22">
      <c r="A365" s="4"/>
      <c r="B365" s="4"/>
      <c r="C365" s="4"/>
      <c r="D365" s="4"/>
      <c r="E365" s="5"/>
      <c r="F365" s="5"/>
      <c r="G365" s="5"/>
      <c r="H365" s="5"/>
      <c r="I365" s="5"/>
      <c r="J365" s="5"/>
      <c r="K365" s="5"/>
      <c r="L365" s="5"/>
      <c r="M365" s="5"/>
      <c r="N365" s="5"/>
      <c r="O365" s="5"/>
      <c r="P365" s="5"/>
      <c r="Q365" s="5"/>
      <c r="R365" s="9"/>
      <c r="S365" s="9"/>
      <c r="T365" s="10"/>
      <c r="U365" s="9"/>
      <c r="V365" s="9"/>
    </row>
    <row r="366" ht="12.5" spans="1:22">
      <c r="A366" s="4"/>
      <c r="B366" s="4"/>
      <c r="C366" s="4"/>
      <c r="D366" s="4"/>
      <c r="E366" s="5"/>
      <c r="F366" s="5"/>
      <c r="G366" s="5"/>
      <c r="H366" s="5"/>
      <c r="I366" s="5"/>
      <c r="J366" s="5"/>
      <c r="K366" s="5"/>
      <c r="L366" s="5"/>
      <c r="M366" s="5"/>
      <c r="N366" s="5"/>
      <c r="O366" s="5"/>
      <c r="P366" s="5"/>
      <c r="Q366" s="5"/>
      <c r="R366" s="9"/>
      <c r="S366" s="9"/>
      <c r="T366" s="10"/>
      <c r="U366" s="9"/>
      <c r="V366" s="9"/>
    </row>
    <row r="367" ht="12.5" spans="1:22">
      <c r="A367" s="4"/>
      <c r="B367" s="4"/>
      <c r="C367" s="4"/>
      <c r="D367" s="4"/>
      <c r="E367" s="5"/>
      <c r="F367" s="5"/>
      <c r="G367" s="5"/>
      <c r="H367" s="5"/>
      <c r="I367" s="5"/>
      <c r="J367" s="5"/>
      <c r="K367" s="5"/>
      <c r="L367" s="5"/>
      <c r="M367" s="5"/>
      <c r="N367" s="5"/>
      <c r="O367" s="5"/>
      <c r="P367" s="5"/>
      <c r="Q367" s="5"/>
      <c r="R367" s="9"/>
      <c r="S367" s="9"/>
      <c r="T367" s="10"/>
      <c r="U367" s="9"/>
      <c r="V367" s="9"/>
    </row>
    <row r="368" ht="12.5" spans="1:22">
      <c r="A368" s="4"/>
      <c r="B368" s="4"/>
      <c r="C368" s="4"/>
      <c r="D368" s="4"/>
      <c r="E368" s="5"/>
      <c r="F368" s="5"/>
      <c r="G368" s="5"/>
      <c r="H368" s="5"/>
      <c r="I368" s="5"/>
      <c r="J368" s="5"/>
      <c r="K368" s="5"/>
      <c r="L368" s="5"/>
      <c r="M368" s="5"/>
      <c r="N368" s="5"/>
      <c r="O368" s="5"/>
      <c r="P368" s="5"/>
      <c r="Q368" s="5"/>
      <c r="R368" s="9"/>
      <c r="S368" s="9"/>
      <c r="T368" s="10"/>
      <c r="U368" s="9"/>
      <c r="V368" s="9"/>
    </row>
    <row r="369" ht="12.5" spans="1:22">
      <c r="A369" s="4"/>
      <c r="B369" s="4"/>
      <c r="C369" s="4"/>
      <c r="D369" s="4"/>
      <c r="E369" s="5"/>
      <c r="F369" s="5"/>
      <c r="G369" s="5"/>
      <c r="H369" s="5"/>
      <c r="I369" s="5"/>
      <c r="J369" s="5"/>
      <c r="K369" s="5"/>
      <c r="L369" s="5"/>
      <c r="M369" s="5"/>
      <c r="N369" s="5"/>
      <c r="O369" s="5"/>
      <c r="P369" s="5"/>
      <c r="Q369" s="5"/>
      <c r="R369" s="9"/>
      <c r="S369" s="9"/>
      <c r="T369" s="10"/>
      <c r="U369" s="9"/>
      <c r="V369" s="9"/>
    </row>
    <row r="370" ht="12.5" spans="1:22">
      <c r="A370" s="4"/>
      <c r="B370" s="4"/>
      <c r="C370" s="4"/>
      <c r="D370" s="4"/>
      <c r="E370" s="5"/>
      <c r="F370" s="5"/>
      <c r="G370" s="5"/>
      <c r="H370" s="5"/>
      <c r="I370" s="5"/>
      <c r="J370" s="5"/>
      <c r="K370" s="5"/>
      <c r="L370" s="5"/>
      <c r="M370" s="5"/>
      <c r="N370" s="5"/>
      <c r="O370" s="5"/>
      <c r="P370" s="5"/>
      <c r="Q370" s="5"/>
      <c r="R370" s="9"/>
      <c r="S370" s="9"/>
      <c r="T370" s="10"/>
      <c r="U370" s="9"/>
      <c r="V370" s="9"/>
    </row>
    <row r="371" ht="12.5" spans="1:22">
      <c r="A371" s="4"/>
      <c r="B371" s="4"/>
      <c r="C371" s="4"/>
      <c r="D371" s="4"/>
      <c r="E371" s="5"/>
      <c r="F371" s="5"/>
      <c r="G371" s="5"/>
      <c r="H371" s="5"/>
      <c r="I371" s="5"/>
      <c r="J371" s="5"/>
      <c r="K371" s="5"/>
      <c r="L371" s="5"/>
      <c r="M371" s="5"/>
      <c r="N371" s="5"/>
      <c r="O371" s="5"/>
      <c r="P371" s="5"/>
      <c r="Q371" s="5"/>
      <c r="R371" s="9"/>
      <c r="S371" s="9"/>
      <c r="T371" s="10"/>
      <c r="U371" s="9"/>
      <c r="V371" s="9"/>
    </row>
    <row r="372" ht="12.5" spans="1:22">
      <c r="A372" s="4"/>
      <c r="B372" s="4"/>
      <c r="C372" s="4"/>
      <c r="D372" s="4"/>
      <c r="E372" s="5"/>
      <c r="F372" s="5"/>
      <c r="G372" s="5"/>
      <c r="H372" s="5"/>
      <c r="I372" s="5"/>
      <c r="J372" s="5"/>
      <c r="K372" s="5"/>
      <c r="L372" s="5"/>
      <c r="M372" s="5"/>
      <c r="N372" s="5"/>
      <c r="O372" s="5"/>
      <c r="P372" s="5"/>
      <c r="Q372" s="5"/>
      <c r="R372" s="9"/>
      <c r="S372" s="9"/>
      <c r="T372" s="10"/>
      <c r="U372" s="9"/>
      <c r="V372" s="9"/>
    </row>
    <row r="373" ht="12.5" spans="1:22">
      <c r="A373" s="4"/>
      <c r="B373" s="4"/>
      <c r="C373" s="4"/>
      <c r="D373" s="4"/>
      <c r="E373" s="5"/>
      <c r="F373" s="5"/>
      <c r="G373" s="5"/>
      <c r="H373" s="5"/>
      <c r="I373" s="5"/>
      <c r="J373" s="5"/>
      <c r="K373" s="5"/>
      <c r="L373" s="5"/>
      <c r="M373" s="5"/>
      <c r="N373" s="5"/>
      <c r="O373" s="5"/>
      <c r="P373" s="5"/>
      <c r="Q373" s="5"/>
      <c r="R373" s="9"/>
      <c r="S373" s="9"/>
      <c r="T373" s="10"/>
      <c r="U373" s="9"/>
      <c r="V373" s="9"/>
    </row>
    <row r="374" ht="12.5" spans="1:22">
      <c r="A374" s="4"/>
      <c r="B374" s="4"/>
      <c r="C374" s="4"/>
      <c r="D374" s="4"/>
      <c r="E374" s="5"/>
      <c r="F374" s="5"/>
      <c r="G374" s="5"/>
      <c r="H374" s="5"/>
      <c r="I374" s="5"/>
      <c r="J374" s="5"/>
      <c r="K374" s="5"/>
      <c r="L374" s="5"/>
      <c r="M374" s="5"/>
      <c r="N374" s="5"/>
      <c r="O374" s="5"/>
      <c r="P374" s="5"/>
      <c r="Q374" s="5"/>
      <c r="R374" s="9"/>
      <c r="S374" s="9"/>
      <c r="T374" s="10"/>
      <c r="U374" s="9"/>
      <c r="V374" s="9"/>
    </row>
    <row r="375" ht="12.5" spans="1:22">
      <c r="A375" s="4"/>
      <c r="B375" s="4"/>
      <c r="C375" s="4"/>
      <c r="D375" s="4"/>
      <c r="E375" s="5"/>
      <c r="F375" s="5"/>
      <c r="G375" s="5"/>
      <c r="H375" s="5"/>
      <c r="I375" s="5"/>
      <c r="J375" s="5"/>
      <c r="K375" s="5"/>
      <c r="L375" s="5"/>
      <c r="M375" s="5"/>
      <c r="N375" s="5"/>
      <c r="O375" s="5"/>
      <c r="P375" s="5"/>
      <c r="Q375" s="5"/>
      <c r="R375" s="9"/>
      <c r="S375" s="9"/>
      <c r="T375" s="10"/>
      <c r="U375" s="9"/>
      <c r="V375" s="9"/>
    </row>
    <row r="376" ht="12.5" spans="1:22">
      <c r="A376" s="4"/>
      <c r="B376" s="4"/>
      <c r="C376" s="4"/>
      <c r="D376" s="4"/>
      <c r="E376" s="5"/>
      <c r="F376" s="5"/>
      <c r="G376" s="5"/>
      <c r="H376" s="5"/>
      <c r="I376" s="5"/>
      <c r="J376" s="5"/>
      <c r="K376" s="5"/>
      <c r="L376" s="5"/>
      <c r="M376" s="5"/>
      <c r="N376" s="5"/>
      <c r="O376" s="5"/>
      <c r="P376" s="5"/>
      <c r="Q376" s="5"/>
      <c r="R376" s="9"/>
      <c r="S376" s="9"/>
      <c r="T376" s="10"/>
      <c r="U376" s="9"/>
      <c r="V376" s="9"/>
    </row>
    <row r="377" ht="12.5" spans="1:22">
      <c r="A377" s="4"/>
      <c r="B377" s="4"/>
      <c r="C377" s="4"/>
      <c r="D377" s="4"/>
      <c r="E377" s="5"/>
      <c r="F377" s="5"/>
      <c r="G377" s="5"/>
      <c r="H377" s="5"/>
      <c r="I377" s="5"/>
      <c r="J377" s="5"/>
      <c r="K377" s="5"/>
      <c r="L377" s="5"/>
      <c r="M377" s="5"/>
      <c r="N377" s="5"/>
      <c r="O377" s="5"/>
      <c r="P377" s="5"/>
      <c r="Q377" s="5"/>
      <c r="R377" s="9"/>
      <c r="S377" s="9"/>
      <c r="T377" s="10"/>
      <c r="U377" s="9"/>
      <c r="V377" s="9"/>
    </row>
    <row r="378" ht="12.5" spans="1:22">
      <c r="A378" s="4"/>
      <c r="B378" s="4"/>
      <c r="C378" s="4"/>
      <c r="D378" s="4"/>
      <c r="E378" s="5"/>
      <c r="F378" s="5"/>
      <c r="G378" s="5"/>
      <c r="H378" s="5"/>
      <c r="I378" s="5"/>
      <c r="J378" s="5"/>
      <c r="K378" s="5"/>
      <c r="L378" s="5"/>
      <c r="M378" s="5"/>
      <c r="N378" s="5"/>
      <c r="O378" s="5"/>
      <c r="P378" s="5"/>
      <c r="Q378" s="5"/>
      <c r="R378" s="9"/>
      <c r="S378" s="9"/>
      <c r="T378" s="10"/>
      <c r="U378" s="9"/>
      <c r="V378" s="9"/>
    </row>
    <row r="379" ht="12.5" spans="1:22">
      <c r="A379" s="4"/>
      <c r="B379" s="4"/>
      <c r="C379" s="4"/>
      <c r="D379" s="4"/>
      <c r="E379" s="5"/>
      <c r="F379" s="5"/>
      <c r="G379" s="5"/>
      <c r="H379" s="5"/>
      <c r="I379" s="5"/>
      <c r="J379" s="5"/>
      <c r="K379" s="5"/>
      <c r="L379" s="5"/>
      <c r="M379" s="5"/>
      <c r="N379" s="5"/>
      <c r="O379" s="5"/>
      <c r="P379" s="5"/>
      <c r="Q379" s="5"/>
      <c r="R379" s="9"/>
      <c r="S379" s="9"/>
      <c r="T379" s="10"/>
      <c r="U379" s="9"/>
      <c r="V379" s="9"/>
    </row>
    <row r="380" ht="12.5" spans="1:22">
      <c r="A380" s="4"/>
      <c r="B380" s="4"/>
      <c r="C380" s="4"/>
      <c r="D380" s="4"/>
      <c r="E380" s="5"/>
      <c r="F380" s="5"/>
      <c r="G380" s="5"/>
      <c r="H380" s="5"/>
      <c r="I380" s="5"/>
      <c r="J380" s="5"/>
      <c r="K380" s="5"/>
      <c r="L380" s="5"/>
      <c r="M380" s="5"/>
      <c r="N380" s="5"/>
      <c r="O380" s="5"/>
      <c r="P380" s="5"/>
      <c r="Q380" s="5"/>
      <c r="R380" s="9"/>
      <c r="S380" s="9"/>
      <c r="T380" s="10"/>
      <c r="U380" s="9"/>
      <c r="V380" s="9"/>
    </row>
    <row r="381" ht="12.5" spans="1:22">
      <c r="A381" s="4"/>
      <c r="B381" s="4"/>
      <c r="C381" s="4"/>
      <c r="D381" s="4"/>
      <c r="E381" s="5"/>
      <c r="F381" s="5"/>
      <c r="G381" s="5"/>
      <c r="H381" s="5"/>
      <c r="I381" s="5"/>
      <c r="J381" s="5"/>
      <c r="K381" s="5"/>
      <c r="L381" s="5"/>
      <c r="M381" s="5"/>
      <c r="N381" s="5"/>
      <c r="O381" s="5"/>
      <c r="P381" s="5"/>
      <c r="Q381" s="5"/>
      <c r="R381" s="9"/>
      <c r="S381" s="9"/>
      <c r="T381" s="10"/>
      <c r="U381" s="9"/>
      <c r="V381" s="9"/>
    </row>
    <row r="382" ht="12.5" spans="1:22">
      <c r="A382" s="4"/>
      <c r="B382" s="4"/>
      <c r="C382" s="4"/>
      <c r="D382" s="4"/>
      <c r="E382" s="5"/>
      <c r="F382" s="5"/>
      <c r="G382" s="5"/>
      <c r="H382" s="5"/>
      <c r="I382" s="5"/>
      <c r="J382" s="5"/>
      <c r="K382" s="5"/>
      <c r="L382" s="5"/>
      <c r="M382" s="5"/>
      <c r="N382" s="5"/>
      <c r="O382" s="5"/>
      <c r="P382" s="5"/>
      <c r="Q382" s="5"/>
      <c r="R382" s="9"/>
      <c r="S382" s="9"/>
      <c r="T382" s="10"/>
      <c r="U382" s="9"/>
      <c r="V382" s="9"/>
    </row>
    <row r="383" ht="12.5" spans="1:22">
      <c r="A383" s="4"/>
      <c r="B383" s="4"/>
      <c r="C383" s="4"/>
      <c r="D383" s="4"/>
      <c r="E383" s="5"/>
      <c r="F383" s="5"/>
      <c r="G383" s="5"/>
      <c r="H383" s="5"/>
      <c r="I383" s="5"/>
      <c r="J383" s="5"/>
      <c r="K383" s="5"/>
      <c r="L383" s="5"/>
      <c r="M383" s="5"/>
      <c r="N383" s="5"/>
      <c r="O383" s="5"/>
      <c r="P383" s="5"/>
      <c r="Q383" s="5"/>
      <c r="R383" s="9"/>
      <c r="S383" s="9"/>
      <c r="T383" s="10"/>
      <c r="U383" s="9"/>
      <c r="V383" s="9"/>
    </row>
    <row r="384" ht="12.5" spans="1:22">
      <c r="A384" s="4"/>
      <c r="B384" s="4"/>
      <c r="C384" s="4"/>
      <c r="D384" s="4"/>
      <c r="E384" s="5"/>
      <c r="F384" s="5"/>
      <c r="G384" s="5"/>
      <c r="H384" s="5"/>
      <c r="I384" s="5"/>
      <c r="J384" s="5"/>
      <c r="K384" s="5"/>
      <c r="L384" s="5"/>
      <c r="M384" s="5"/>
      <c r="N384" s="5"/>
      <c r="O384" s="5"/>
      <c r="P384" s="5"/>
      <c r="Q384" s="5"/>
      <c r="R384" s="9"/>
      <c r="S384" s="9"/>
      <c r="T384" s="10"/>
      <c r="U384" s="9"/>
      <c r="V384" s="9"/>
    </row>
    <row r="385" ht="12.5" spans="1:22">
      <c r="A385" s="4"/>
      <c r="B385" s="4"/>
      <c r="C385" s="4"/>
      <c r="D385" s="4"/>
      <c r="E385" s="5"/>
      <c r="F385" s="5"/>
      <c r="G385" s="5"/>
      <c r="H385" s="5"/>
      <c r="I385" s="5"/>
      <c r="J385" s="5"/>
      <c r="K385" s="5"/>
      <c r="L385" s="5"/>
      <c r="M385" s="5"/>
      <c r="N385" s="5"/>
      <c r="O385" s="5"/>
      <c r="P385" s="5"/>
      <c r="Q385" s="5"/>
      <c r="R385" s="9"/>
      <c r="S385" s="9"/>
      <c r="T385" s="10"/>
      <c r="U385" s="9"/>
      <c r="V385" s="9"/>
    </row>
    <row r="386" ht="12.5" spans="1:22">
      <c r="A386" s="4"/>
      <c r="B386" s="4"/>
      <c r="C386" s="4"/>
      <c r="D386" s="4"/>
      <c r="E386" s="5"/>
      <c r="F386" s="5"/>
      <c r="G386" s="5"/>
      <c r="H386" s="5"/>
      <c r="I386" s="5"/>
      <c r="J386" s="5"/>
      <c r="K386" s="5"/>
      <c r="L386" s="5"/>
      <c r="M386" s="5"/>
      <c r="N386" s="5"/>
      <c r="O386" s="5"/>
      <c r="P386" s="5"/>
      <c r="Q386" s="5"/>
      <c r="R386" s="9"/>
      <c r="S386" s="9"/>
      <c r="T386" s="10"/>
      <c r="U386" s="9"/>
      <c r="V386" s="9"/>
    </row>
    <row r="387" ht="12.5" spans="1:22">
      <c r="A387" s="4"/>
      <c r="B387" s="4"/>
      <c r="C387" s="4"/>
      <c r="D387" s="4"/>
      <c r="E387" s="5"/>
      <c r="F387" s="5"/>
      <c r="G387" s="5"/>
      <c r="H387" s="5"/>
      <c r="I387" s="5"/>
      <c r="J387" s="5"/>
      <c r="K387" s="5"/>
      <c r="L387" s="5"/>
      <c r="M387" s="5"/>
      <c r="N387" s="5"/>
      <c r="O387" s="5"/>
      <c r="P387" s="5"/>
      <c r="Q387" s="5"/>
      <c r="R387" s="9"/>
      <c r="S387" s="9"/>
      <c r="T387" s="10"/>
      <c r="U387" s="9"/>
      <c r="V387" s="9"/>
    </row>
    <row r="388" ht="12.5" spans="1:22">
      <c r="A388" s="4"/>
      <c r="B388" s="4"/>
      <c r="C388" s="4"/>
      <c r="D388" s="4"/>
      <c r="E388" s="5"/>
      <c r="F388" s="5"/>
      <c r="G388" s="5"/>
      <c r="H388" s="5"/>
      <c r="I388" s="5"/>
      <c r="J388" s="5"/>
      <c r="K388" s="5"/>
      <c r="L388" s="5"/>
      <c r="M388" s="5"/>
      <c r="N388" s="5"/>
      <c r="O388" s="5"/>
      <c r="P388" s="5"/>
      <c r="Q388" s="5"/>
      <c r="R388" s="9"/>
      <c r="S388" s="9"/>
      <c r="T388" s="10"/>
      <c r="U388" s="9"/>
      <c r="V388" s="9"/>
    </row>
    <row r="389" ht="12.5" spans="1:22">
      <c r="A389" s="4"/>
      <c r="B389" s="4"/>
      <c r="C389" s="4"/>
      <c r="D389" s="4"/>
      <c r="E389" s="5"/>
      <c r="F389" s="5"/>
      <c r="G389" s="5"/>
      <c r="H389" s="5"/>
      <c r="I389" s="5"/>
      <c r="J389" s="5"/>
      <c r="K389" s="5"/>
      <c r="L389" s="5"/>
      <c r="M389" s="5"/>
      <c r="N389" s="5"/>
      <c r="O389" s="5"/>
      <c r="P389" s="5"/>
      <c r="Q389" s="5"/>
      <c r="R389" s="9"/>
      <c r="S389" s="9"/>
      <c r="T389" s="10"/>
      <c r="U389" s="9"/>
      <c r="V389" s="9"/>
    </row>
    <row r="390" ht="12.5" spans="1:22">
      <c r="A390" s="4"/>
      <c r="B390" s="4"/>
      <c r="C390" s="4"/>
      <c r="D390" s="4"/>
      <c r="E390" s="5"/>
      <c r="F390" s="5"/>
      <c r="G390" s="5"/>
      <c r="H390" s="5"/>
      <c r="I390" s="5"/>
      <c r="J390" s="5"/>
      <c r="K390" s="5"/>
      <c r="L390" s="5"/>
      <c r="M390" s="5"/>
      <c r="N390" s="5"/>
      <c r="O390" s="5"/>
      <c r="P390" s="5"/>
      <c r="Q390" s="5"/>
      <c r="R390" s="9"/>
      <c r="S390" s="9"/>
      <c r="T390" s="10"/>
      <c r="U390" s="9"/>
      <c r="V390" s="9"/>
    </row>
    <row r="391" ht="12.5" spans="1:22">
      <c r="A391" s="4"/>
      <c r="B391" s="4"/>
      <c r="C391" s="4"/>
      <c r="D391" s="4"/>
      <c r="E391" s="5"/>
      <c r="F391" s="5"/>
      <c r="G391" s="5"/>
      <c r="H391" s="5"/>
      <c r="I391" s="5"/>
      <c r="J391" s="5"/>
      <c r="K391" s="5"/>
      <c r="L391" s="5"/>
      <c r="M391" s="5"/>
      <c r="N391" s="5"/>
      <c r="O391" s="5"/>
      <c r="P391" s="5"/>
      <c r="Q391" s="5"/>
      <c r="R391" s="9"/>
      <c r="S391" s="9"/>
      <c r="T391" s="10"/>
      <c r="U391" s="9"/>
      <c r="V391" s="9"/>
    </row>
    <row r="392" ht="12.5" spans="1:22">
      <c r="A392" s="4"/>
      <c r="B392" s="4"/>
      <c r="C392" s="4"/>
      <c r="D392" s="4"/>
      <c r="E392" s="5"/>
      <c r="F392" s="5"/>
      <c r="G392" s="5"/>
      <c r="H392" s="5"/>
      <c r="I392" s="5"/>
      <c r="J392" s="5"/>
      <c r="K392" s="5"/>
      <c r="L392" s="5"/>
      <c r="M392" s="5"/>
      <c r="N392" s="5"/>
      <c r="O392" s="5"/>
      <c r="P392" s="5"/>
      <c r="Q392" s="5"/>
      <c r="R392" s="9"/>
      <c r="S392" s="9"/>
      <c r="T392" s="10"/>
      <c r="U392" s="9"/>
      <c r="V392" s="9"/>
    </row>
    <row r="393" ht="12.5" spans="1:22">
      <c r="A393" s="4"/>
      <c r="B393" s="4"/>
      <c r="C393" s="4"/>
      <c r="D393" s="4"/>
      <c r="E393" s="5"/>
      <c r="F393" s="5"/>
      <c r="G393" s="5"/>
      <c r="H393" s="5"/>
      <c r="I393" s="5"/>
      <c r="J393" s="5"/>
      <c r="K393" s="5"/>
      <c r="L393" s="5"/>
      <c r="M393" s="5"/>
      <c r="N393" s="5"/>
      <c r="O393" s="5"/>
      <c r="P393" s="5"/>
      <c r="Q393" s="5"/>
      <c r="R393" s="9"/>
      <c r="S393" s="9"/>
      <c r="T393" s="10"/>
      <c r="U393" s="9"/>
      <c r="V393" s="9"/>
    </row>
    <row r="394" ht="12.5" spans="1:22">
      <c r="A394" s="4"/>
      <c r="B394" s="4"/>
      <c r="C394" s="4"/>
      <c r="D394" s="4"/>
      <c r="E394" s="5"/>
      <c r="F394" s="5"/>
      <c r="G394" s="5"/>
      <c r="H394" s="5"/>
      <c r="I394" s="5"/>
      <c r="J394" s="5"/>
      <c r="K394" s="5"/>
      <c r="L394" s="5"/>
      <c r="M394" s="5"/>
      <c r="N394" s="5"/>
      <c r="O394" s="5"/>
      <c r="P394" s="5"/>
      <c r="Q394" s="5"/>
      <c r="R394" s="9"/>
      <c r="S394" s="9"/>
      <c r="T394" s="10"/>
      <c r="U394" s="9"/>
      <c r="V394" s="9"/>
    </row>
    <row r="395" ht="12.5" spans="1:22">
      <c r="A395" s="4"/>
      <c r="B395" s="4"/>
      <c r="C395" s="4"/>
      <c r="D395" s="4"/>
      <c r="E395" s="5"/>
      <c r="F395" s="5"/>
      <c r="G395" s="5"/>
      <c r="H395" s="5"/>
      <c r="I395" s="5"/>
      <c r="J395" s="5"/>
      <c r="K395" s="5"/>
      <c r="L395" s="5"/>
      <c r="M395" s="5"/>
      <c r="N395" s="5"/>
      <c r="O395" s="5"/>
      <c r="P395" s="5"/>
      <c r="Q395" s="5"/>
      <c r="R395" s="9"/>
      <c r="S395" s="9"/>
      <c r="T395" s="10"/>
      <c r="U395" s="9"/>
      <c r="V395" s="9"/>
    </row>
    <row r="396" ht="12.5" spans="1:22">
      <c r="A396" s="4"/>
      <c r="B396" s="4"/>
      <c r="C396" s="4"/>
      <c r="D396" s="4"/>
      <c r="E396" s="5"/>
      <c r="F396" s="5"/>
      <c r="G396" s="5"/>
      <c r="H396" s="5"/>
      <c r="I396" s="5"/>
      <c r="J396" s="5"/>
      <c r="K396" s="5"/>
      <c r="L396" s="5"/>
      <c r="M396" s="5"/>
      <c r="N396" s="5"/>
      <c r="O396" s="5"/>
      <c r="P396" s="5"/>
      <c r="Q396" s="5"/>
      <c r="R396" s="9"/>
      <c r="S396" s="9"/>
      <c r="T396" s="10"/>
      <c r="U396" s="9"/>
      <c r="V396" s="9"/>
    </row>
    <row r="397" ht="12.5" spans="1:22">
      <c r="A397" s="4"/>
      <c r="B397" s="4"/>
      <c r="C397" s="4"/>
      <c r="D397" s="4"/>
      <c r="E397" s="5"/>
      <c r="F397" s="5"/>
      <c r="G397" s="5"/>
      <c r="H397" s="5"/>
      <c r="I397" s="5"/>
      <c r="J397" s="5"/>
      <c r="K397" s="5"/>
      <c r="L397" s="5"/>
      <c r="M397" s="5"/>
      <c r="N397" s="5"/>
      <c r="O397" s="5"/>
      <c r="P397" s="5"/>
      <c r="Q397" s="5"/>
      <c r="R397" s="9"/>
      <c r="S397" s="9"/>
      <c r="T397" s="10"/>
      <c r="U397" s="9"/>
      <c r="V397" s="9"/>
    </row>
    <row r="398" ht="12.5" spans="1:22">
      <c r="A398" s="4"/>
      <c r="B398" s="4"/>
      <c r="C398" s="4"/>
      <c r="D398" s="4"/>
      <c r="E398" s="5"/>
      <c r="F398" s="5"/>
      <c r="G398" s="5"/>
      <c r="H398" s="5"/>
      <c r="I398" s="5"/>
      <c r="J398" s="5"/>
      <c r="K398" s="5"/>
      <c r="L398" s="5"/>
      <c r="M398" s="5"/>
      <c r="N398" s="5"/>
      <c r="O398" s="5"/>
      <c r="P398" s="5"/>
      <c r="Q398" s="5"/>
      <c r="R398" s="9"/>
      <c r="S398" s="9"/>
      <c r="T398" s="10"/>
      <c r="U398" s="9"/>
      <c r="V398" s="9"/>
    </row>
    <row r="399" ht="12.5" spans="1:22">
      <c r="A399" s="4"/>
      <c r="B399" s="4"/>
      <c r="C399" s="4"/>
      <c r="D399" s="4"/>
      <c r="E399" s="5"/>
      <c r="F399" s="5"/>
      <c r="G399" s="5"/>
      <c r="H399" s="5"/>
      <c r="I399" s="5"/>
      <c r="J399" s="5"/>
      <c r="K399" s="5"/>
      <c r="L399" s="5"/>
      <c r="M399" s="5"/>
      <c r="N399" s="5"/>
      <c r="O399" s="5"/>
      <c r="P399" s="5"/>
      <c r="Q399" s="5"/>
      <c r="R399" s="9"/>
      <c r="S399" s="9"/>
      <c r="T399" s="10"/>
      <c r="U399" s="9"/>
      <c r="V399" s="9"/>
    </row>
    <row r="400" ht="12.5" spans="1:22">
      <c r="A400" s="4"/>
      <c r="B400" s="4"/>
      <c r="C400" s="4"/>
      <c r="D400" s="4"/>
      <c r="E400" s="5"/>
      <c r="F400" s="5"/>
      <c r="G400" s="5"/>
      <c r="H400" s="5"/>
      <c r="I400" s="5"/>
      <c r="J400" s="5"/>
      <c r="K400" s="5"/>
      <c r="L400" s="5"/>
      <c r="M400" s="5"/>
      <c r="N400" s="5"/>
      <c r="O400" s="5"/>
      <c r="P400" s="5"/>
      <c r="Q400" s="5"/>
      <c r="R400" s="9"/>
      <c r="S400" s="9"/>
      <c r="T400" s="10"/>
      <c r="U400" s="9"/>
      <c r="V400" s="9"/>
    </row>
    <row r="401" ht="12.5" spans="1:22">
      <c r="A401" s="4"/>
      <c r="B401" s="4"/>
      <c r="C401" s="4"/>
      <c r="D401" s="4"/>
      <c r="E401" s="5"/>
      <c r="F401" s="5"/>
      <c r="G401" s="5"/>
      <c r="H401" s="5"/>
      <c r="I401" s="5"/>
      <c r="J401" s="5"/>
      <c r="K401" s="5"/>
      <c r="L401" s="5"/>
      <c r="M401" s="5"/>
      <c r="N401" s="5"/>
      <c r="O401" s="5"/>
      <c r="P401" s="5"/>
      <c r="Q401" s="5"/>
      <c r="R401" s="9"/>
      <c r="S401" s="9"/>
      <c r="T401" s="10"/>
      <c r="U401" s="9"/>
      <c r="V401" s="9"/>
    </row>
    <row r="402" ht="12.5" spans="1:22">
      <c r="A402" s="4"/>
      <c r="B402" s="4"/>
      <c r="C402" s="4"/>
      <c r="D402" s="4"/>
      <c r="E402" s="5"/>
      <c r="F402" s="5"/>
      <c r="G402" s="5"/>
      <c r="H402" s="5"/>
      <c r="I402" s="5"/>
      <c r="J402" s="5"/>
      <c r="K402" s="5"/>
      <c r="L402" s="5"/>
      <c r="M402" s="5"/>
      <c r="N402" s="5"/>
      <c r="O402" s="5"/>
      <c r="P402" s="5"/>
      <c r="Q402" s="5"/>
      <c r="R402" s="9"/>
      <c r="S402" s="9"/>
      <c r="T402" s="10"/>
      <c r="U402" s="9"/>
      <c r="V402" s="9"/>
    </row>
    <row r="403" ht="12.5" spans="1:22">
      <c r="A403" s="4"/>
      <c r="B403" s="4"/>
      <c r="C403" s="4"/>
      <c r="D403" s="4"/>
      <c r="E403" s="5"/>
      <c r="F403" s="5"/>
      <c r="G403" s="5"/>
      <c r="H403" s="5"/>
      <c r="I403" s="5"/>
      <c r="J403" s="5"/>
      <c r="K403" s="5"/>
      <c r="L403" s="5"/>
      <c r="M403" s="5"/>
      <c r="N403" s="5"/>
      <c r="O403" s="5"/>
      <c r="P403" s="5"/>
      <c r="Q403" s="5"/>
      <c r="R403" s="9"/>
      <c r="S403" s="9"/>
      <c r="T403" s="10"/>
      <c r="U403" s="9"/>
      <c r="V403" s="9"/>
    </row>
    <row r="404" ht="12.5" spans="1:22">
      <c r="A404" s="4"/>
      <c r="B404" s="4"/>
      <c r="C404" s="4"/>
      <c r="D404" s="4"/>
      <c r="E404" s="5"/>
      <c r="F404" s="5"/>
      <c r="G404" s="5"/>
      <c r="H404" s="5"/>
      <c r="I404" s="5"/>
      <c r="J404" s="5"/>
      <c r="K404" s="5"/>
      <c r="L404" s="5"/>
      <c r="M404" s="5"/>
      <c r="N404" s="5"/>
      <c r="O404" s="5"/>
      <c r="P404" s="5"/>
      <c r="Q404" s="5"/>
      <c r="R404" s="9"/>
      <c r="S404" s="9"/>
      <c r="T404" s="10"/>
      <c r="U404" s="9"/>
      <c r="V404" s="9"/>
    </row>
    <row r="405" ht="12.5" spans="1:22">
      <c r="A405" s="4"/>
      <c r="B405" s="4"/>
      <c r="C405" s="4"/>
      <c r="D405" s="4"/>
      <c r="E405" s="5"/>
      <c r="F405" s="5"/>
      <c r="G405" s="5"/>
      <c r="H405" s="5"/>
      <c r="I405" s="5"/>
      <c r="J405" s="5"/>
      <c r="K405" s="5"/>
      <c r="L405" s="5"/>
      <c r="M405" s="5"/>
      <c r="N405" s="5"/>
      <c r="O405" s="5"/>
      <c r="P405" s="5"/>
      <c r="Q405" s="5"/>
      <c r="R405" s="9"/>
      <c r="S405" s="9"/>
      <c r="T405" s="10"/>
      <c r="U405" s="9"/>
      <c r="V405" s="9"/>
    </row>
    <row r="406" ht="12.5" spans="1:22">
      <c r="A406" s="4"/>
      <c r="B406" s="4"/>
      <c r="C406" s="4"/>
      <c r="D406" s="4"/>
      <c r="E406" s="5"/>
      <c r="F406" s="5"/>
      <c r="G406" s="5"/>
      <c r="H406" s="5"/>
      <c r="I406" s="5"/>
      <c r="J406" s="5"/>
      <c r="K406" s="5"/>
      <c r="L406" s="5"/>
      <c r="M406" s="5"/>
      <c r="N406" s="5"/>
      <c r="O406" s="5"/>
      <c r="P406" s="5"/>
      <c r="Q406" s="5"/>
      <c r="R406" s="9"/>
      <c r="S406" s="9"/>
      <c r="T406" s="10"/>
      <c r="U406" s="9"/>
      <c r="V406" s="9"/>
    </row>
    <row r="407" ht="12.5" spans="1:22">
      <c r="A407" s="4"/>
      <c r="B407" s="4"/>
      <c r="C407" s="4"/>
      <c r="D407" s="4"/>
      <c r="E407" s="5"/>
      <c r="F407" s="5"/>
      <c r="G407" s="5"/>
      <c r="H407" s="5"/>
      <c r="I407" s="5"/>
      <c r="J407" s="5"/>
      <c r="K407" s="5"/>
      <c r="L407" s="5"/>
      <c r="M407" s="5"/>
      <c r="N407" s="5"/>
      <c r="O407" s="5"/>
      <c r="P407" s="5"/>
      <c r="Q407" s="5"/>
      <c r="R407" s="9"/>
      <c r="S407" s="9"/>
      <c r="T407" s="10"/>
      <c r="U407" s="9"/>
      <c r="V407" s="9"/>
    </row>
    <row r="408" ht="12.5" spans="1:22">
      <c r="A408" s="4"/>
      <c r="B408" s="4"/>
      <c r="C408" s="4"/>
      <c r="D408" s="4"/>
      <c r="E408" s="5"/>
      <c r="F408" s="5"/>
      <c r="G408" s="5"/>
      <c r="H408" s="5"/>
      <c r="I408" s="5"/>
      <c r="J408" s="5"/>
      <c r="K408" s="5"/>
      <c r="L408" s="5"/>
      <c r="M408" s="5"/>
      <c r="N408" s="5"/>
      <c r="O408" s="5"/>
      <c r="P408" s="5"/>
      <c r="Q408" s="5"/>
      <c r="R408" s="9"/>
      <c r="S408" s="9"/>
      <c r="T408" s="10"/>
      <c r="U408" s="9"/>
      <c r="V408" s="9"/>
    </row>
    <row r="409" ht="12.5" spans="1:22">
      <c r="A409" s="4"/>
      <c r="B409" s="4"/>
      <c r="C409" s="4"/>
      <c r="D409" s="4"/>
      <c r="E409" s="5"/>
      <c r="F409" s="5"/>
      <c r="G409" s="5"/>
      <c r="H409" s="5"/>
      <c r="I409" s="5"/>
      <c r="J409" s="5"/>
      <c r="K409" s="5"/>
      <c r="L409" s="5"/>
      <c r="M409" s="5"/>
      <c r="N409" s="5"/>
      <c r="O409" s="5"/>
      <c r="P409" s="5"/>
      <c r="Q409" s="5"/>
      <c r="R409" s="9"/>
      <c r="S409" s="9"/>
      <c r="T409" s="10"/>
      <c r="U409" s="9"/>
      <c r="V409" s="9"/>
    </row>
    <row r="410" ht="12.5" spans="1:22">
      <c r="A410" s="4"/>
      <c r="B410" s="4"/>
      <c r="C410" s="4"/>
      <c r="D410" s="4"/>
      <c r="E410" s="5"/>
      <c r="F410" s="5"/>
      <c r="G410" s="5"/>
      <c r="H410" s="5"/>
      <c r="I410" s="5"/>
      <c r="J410" s="5"/>
      <c r="K410" s="5"/>
      <c r="L410" s="5"/>
      <c r="M410" s="5"/>
      <c r="N410" s="5"/>
      <c r="O410" s="5"/>
      <c r="P410" s="5"/>
      <c r="Q410" s="5"/>
      <c r="R410" s="9"/>
      <c r="S410" s="9"/>
      <c r="T410" s="10"/>
      <c r="U410" s="9"/>
      <c r="V410" s="9"/>
    </row>
    <row r="411" ht="12.5" spans="1:22">
      <c r="A411" s="4"/>
      <c r="B411" s="4"/>
      <c r="C411" s="4"/>
      <c r="D411" s="4"/>
      <c r="E411" s="5"/>
      <c r="F411" s="5"/>
      <c r="G411" s="5"/>
      <c r="H411" s="5"/>
      <c r="I411" s="5"/>
      <c r="J411" s="5"/>
      <c r="K411" s="5"/>
      <c r="L411" s="5"/>
      <c r="M411" s="5"/>
      <c r="N411" s="5"/>
      <c r="O411" s="5"/>
      <c r="P411" s="5"/>
      <c r="Q411" s="5"/>
      <c r="R411" s="9"/>
      <c r="S411" s="9"/>
      <c r="T411" s="10"/>
      <c r="U411" s="9"/>
      <c r="V411" s="9"/>
    </row>
    <row r="412" ht="12.5" spans="1:22">
      <c r="A412" s="4"/>
      <c r="B412" s="4"/>
      <c r="C412" s="4"/>
      <c r="D412" s="4"/>
      <c r="E412" s="5"/>
      <c r="F412" s="5"/>
      <c r="G412" s="5"/>
      <c r="H412" s="5"/>
      <c r="I412" s="5"/>
      <c r="J412" s="5"/>
      <c r="K412" s="5"/>
      <c r="L412" s="5"/>
      <c r="M412" s="5"/>
      <c r="N412" s="5"/>
      <c r="O412" s="5"/>
      <c r="P412" s="5"/>
      <c r="Q412" s="5"/>
      <c r="R412" s="9"/>
      <c r="S412" s="9"/>
      <c r="T412" s="10"/>
      <c r="U412" s="9"/>
      <c r="V412" s="9"/>
    </row>
    <row r="413" ht="12.5" spans="1:22">
      <c r="A413" s="4"/>
      <c r="B413" s="4"/>
      <c r="C413" s="4"/>
      <c r="D413" s="4"/>
      <c r="E413" s="5"/>
      <c r="F413" s="5"/>
      <c r="G413" s="5"/>
      <c r="H413" s="5"/>
      <c r="I413" s="5"/>
      <c r="J413" s="5"/>
      <c r="K413" s="5"/>
      <c r="L413" s="5"/>
      <c r="M413" s="5"/>
      <c r="N413" s="5"/>
      <c r="O413" s="5"/>
      <c r="P413" s="5"/>
      <c r="Q413" s="5"/>
      <c r="R413" s="9"/>
      <c r="S413" s="9"/>
      <c r="T413" s="10"/>
      <c r="U413" s="9"/>
      <c r="V413" s="9"/>
    </row>
    <row r="414" ht="12.5" spans="1:22">
      <c r="A414" s="4"/>
      <c r="B414" s="4"/>
      <c r="C414" s="4"/>
      <c r="D414" s="4"/>
      <c r="E414" s="5"/>
      <c r="F414" s="5"/>
      <c r="G414" s="5"/>
      <c r="H414" s="5"/>
      <c r="I414" s="5"/>
      <c r="J414" s="5"/>
      <c r="K414" s="5"/>
      <c r="L414" s="5"/>
      <c r="M414" s="5"/>
      <c r="N414" s="5"/>
      <c r="O414" s="5"/>
      <c r="P414" s="5"/>
      <c r="Q414" s="5"/>
      <c r="R414" s="9"/>
      <c r="S414" s="9"/>
      <c r="T414" s="10"/>
      <c r="U414" s="9"/>
      <c r="V414" s="9"/>
    </row>
    <row r="415" ht="12.5" spans="1:22">
      <c r="A415" s="4"/>
      <c r="B415" s="4"/>
      <c r="C415" s="4"/>
      <c r="D415" s="4"/>
      <c r="E415" s="5"/>
      <c r="F415" s="5"/>
      <c r="G415" s="5"/>
      <c r="H415" s="5"/>
      <c r="I415" s="5"/>
      <c r="J415" s="5"/>
      <c r="K415" s="5"/>
      <c r="L415" s="5"/>
      <c r="M415" s="5"/>
      <c r="N415" s="5"/>
      <c r="O415" s="5"/>
      <c r="P415" s="5"/>
      <c r="Q415" s="5"/>
      <c r="R415" s="9"/>
      <c r="S415" s="9"/>
      <c r="T415" s="10"/>
      <c r="U415" s="9"/>
      <c r="V415" s="9"/>
    </row>
    <row r="416" ht="12.5" spans="1:22">
      <c r="A416" s="4"/>
      <c r="B416" s="4"/>
      <c r="C416" s="4"/>
      <c r="D416" s="4"/>
      <c r="E416" s="5"/>
      <c r="F416" s="5"/>
      <c r="G416" s="5"/>
      <c r="H416" s="5"/>
      <c r="I416" s="5"/>
      <c r="J416" s="5"/>
      <c r="K416" s="5"/>
      <c r="L416" s="5"/>
      <c r="M416" s="5"/>
      <c r="N416" s="5"/>
      <c r="O416" s="5"/>
      <c r="P416" s="5"/>
      <c r="Q416" s="5"/>
      <c r="R416" s="9"/>
      <c r="S416" s="9"/>
      <c r="T416" s="10"/>
      <c r="U416" s="9"/>
      <c r="V416" s="9"/>
    </row>
    <row r="417" ht="12.5" spans="1:22">
      <c r="A417" s="4"/>
      <c r="B417" s="4"/>
      <c r="C417" s="4"/>
      <c r="D417" s="4"/>
      <c r="E417" s="5"/>
      <c r="F417" s="5"/>
      <c r="G417" s="5"/>
      <c r="H417" s="5"/>
      <c r="I417" s="5"/>
      <c r="J417" s="5"/>
      <c r="K417" s="5"/>
      <c r="L417" s="5"/>
      <c r="M417" s="5"/>
      <c r="N417" s="5"/>
      <c r="O417" s="5"/>
      <c r="P417" s="5"/>
      <c r="Q417" s="5"/>
      <c r="R417" s="9"/>
      <c r="S417" s="9"/>
      <c r="T417" s="10"/>
      <c r="U417" s="9"/>
      <c r="V417" s="9"/>
    </row>
    <row r="418" ht="12.5" spans="1:22">
      <c r="A418" s="4"/>
      <c r="B418" s="4"/>
      <c r="C418" s="4"/>
      <c r="D418" s="4"/>
      <c r="E418" s="5"/>
      <c r="F418" s="5"/>
      <c r="G418" s="5"/>
      <c r="H418" s="5"/>
      <c r="I418" s="5"/>
      <c r="J418" s="5"/>
      <c r="K418" s="5"/>
      <c r="L418" s="5"/>
      <c r="M418" s="5"/>
      <c r="N418" s="5"/>
      <c r="O418" s="5"/>
      <c r="P418" s="5"/>
      <c r="Q418" s="5"/>
      <c r="R418" s="9"/>
      <c r="S418" s="9"/>
      <c r="T418" s="10"/>
      <c r="U418" s="9"/>
      <c r="V418" s="9"/>
    </row>
    <row r="419" ht="12.5" spans="1:22">
      <c r="A419" s="4"/>
      <c r="B419" s="4"/>
      <c r="C419" s="4"/>
      <c r="D419" s="4"/>
      <c r="E419" s="5"/>
      <c r="F419" s="5"/>
      <c r="G419" s="5"/>
      <c r="H419" s="5"/>
      <c r="I419" s="5"/>
      <c r="J419" s="5"/>
      <c r="K419" s="5"/>
      <c r="L419" s="5"/>
      <c r="M419" s="5"/>
      <c r="N419" s="5"/>
      <c r="O419" s="5"/>
      <c r="P419" s="5"/>
      <c r="Q419" s="5"/>
      <c r="R419" s="9"/>
      <c r="S419" s="9"/>
      <c r="T419" s="10"/>
      <c r="U419" s="9"/>
      <c r="V419" s="9"/>
    </row>
    <row r="420" ht="12.5" spans="1:22">
      <c r="A420" s="4"/>
      <c r="B420" s="4"/>
      <c r="C420" s="4"/>
      <c r="D420" s="4"/>
      <c r="E420" s="5"/>
      <c r="F420" s="5"/>
      <c r="G420" s="5"/>
      <c r="H420" s="5"/>
      <c r="I420" s="5"/>
      <c r="J420" s="5"/>
      <c r="K420" s="5"/>
      <c r="L420" s="5"/>
      <c r="M420" s="5"/>
      <c r="N420" s="5"/>
      <c r="O420" s="5"/>
      <c r="P420" s="5"/>
      <c r="Q420" s="5"/>
      <c r="R420" s="9"/>
      <c r="S420" s="9"/>
      <c r="T420" s="10"/>
      <c r="U420" s="9"/>
      <c r="V420" s="9"/>
    </row>
    <row r="421" ht="12.5" spans="1:22">
      <c r="A421" s="4"/>
      <c r="B421" s="4"/>
      <c r="C421" s="4"/>
      <c r="D421" s="4"/>
      <c r="E421" s="5"/>
      <c r="F421" s="5"/>
      <c r="G421" s="5"/>
      <c r="H421" s="5"/>
      <c r="I421" s="5"/>
      <c r="J421" s="5"/>
      <c r="K421" s="5"/>
      <c r="L421" s="5"/>
      <c r="M421" s="5"/>
      <c r="N421" s="5"/>
      <c r="O421" s="5"/>
      <c r="P421" s="5"/>
      <c r="Q421" s="5"/>
      <c r="R421" s="9"/>
      <c r="S421" s="9"/>
      <c r="T421" s="10"/>
      <c r="U421" s="9"/>
      <c r="V421" s="9"/>
    </row>
    <row r="422" ht="12.5" spans="1:22">
      <c r="A422" s="4"/>
      <c r="B422" s="4"/>
      <c r="C422" s="4"/>
      <c r="D422" s="4"/>
      <c r="E422" s="5"/>
      <c r="F422" s="5"/>
      <c r="G422" s="5"/>
      <c r="H422" s="5"/>
      <c r="I422" s="5"/>
      <c r="J422" s="5"/>
      <c r="K422" s="5"/>
      <c r="L422" s="5"/>
      <c r="M422" s="5"/>
      <c r="N422" s="5"/>
      <c r="O422" s="5"/>
      <c r="P422" s="5"/>
      <c r="Q422" s="5"/>
      <c r="R422" s="9"/>
      <c r="S422" s="9"/>
      <c r="T422" s="10"/>
      <c r="U422" s="9"/>
      <c r="V422" s="9"/>
    </row>
    <row r="423" ht="12.5" spans="1:22">
      <c r="A423" s="4"/>
      <c r="B423" s="4"/>
      <c r="C423" s="4"/>
      <c r="D423" s="4"/>
      <c r="E423" s="5"/>
      <c r="F423" s="5"/>
      <c r="G423" s="5"/>
      <c r="H423" s="5"/>
      <c r="I423" s="5"/>
      <c r="J423" s="5"/>
      <c r="K423" s="5"/>
      <c r="L423" s="5"/>
      <c r="M423" s="5"/>
      <c r="N423" s="5"/>
      <c r="O423" s="5"/>
      <c r="P423" s="5"/>
      <c r="Q423" s="5"/>
      <c r="R423" s="9"/>
      <c r="S423" s="9"/>
      <c r="T423" s="10"/>
      <c r="U423" s="9"/>
      <c r="V423" s="9"/>
    </row>
    <row r="424" ht="12.5" spans="1:22">
      <c r="A424" s="4"/>
      <c r="B424" s="4"/>
      <c r="C424" s="4"/>
      <c r="D424" s="4"/>
      <c r="E424" s="5"/>
      <c r="F424" s="5"/>
      <c r="G424" s="5"/>
      <c r="H424" s="5"/>
      <c r="I424" s="5"/>
      <c r="J424" s="5"/>
      <c r="K424" s="5"/>
      <c r="L424" s="5"/>
      <c r="M424" s="5"/>
      <c r="N424" s="5"/>
      <c r="O424" s="5"/>
      <c r="P424" s="5"/>
      <c r="Q424" s="5"/>
      <c r="R424" s="9"/>
      <c r="S424" s="9"/>
      <c r="T424" s="10"/>
      <c r="U424" s="9"/>
      <c r="V424" s="9"/>
    </row>
    <row r="425" ht="12.5" spans="1:22">
      <c r="A425" s="4"/>
      <c r="B425" s="4"/>
      <c r="C425" s="4"/>
      <c r="D425" s="4"/>
      <c r="E425" s="5"/>
      <c r="F425" s="5"/>
      <c r="G425" s="5"/>
      <c r="H425" s="5"/>
      <c r="I425" s="5"/>
      <c r="J425" s="5"/>
      <c r="K425" s="5"/>
      <c r="L425" s="5"/>
      <c r="M425" s="5"/>
      <c r="N425" s="5"/>
      <c r="O425" s="5"/>
      <c r="P425" s="5"/>
      <c r="Q425" s="5"/>
      <c r="R425" s="9"/>
      <c r="S425" s="9"/>
      <c r="T425" s="10"/>
      <c r="U425" s="9"/>
      <c r="V425" s="9"/>
    </row>
    <row r="426" ht="12.5" spans="1:22">
      <c r="A426" s="4"/>
      <c r="B426" s="4"/>
      <c r="C426" s="4"/>
      <c r="D426" s="4"/>
      <c r="E426" s="5"/>
      <c r="F426" s="5"/>
      <c r="G426" s="5"/>
      <c r="H426" s="5"/>
      <c r="I426" s="5"/>
      <c r="J426" s="5"/>
      <c r="K426" s="5"/>
      <c r="L426" s="5"/>
      <c r="M426" s="5"/>
      <c r="N426" s="5"/>
      <c r="O426" s="5"/>
      <c r="P426" s="5"/>
      <c r="Q426" s="5"/>
      <c r="R426" s="9"/>
      <c r="S426" s="9"/>
      <c r="T426" s="10"/>
      <c r="U426" s="9"/>
      <c r="V426" s="9"/>
    </row>
    <row r="427" ht="12.5" spans="1:22">
      <c r="A427" s="4"/>
      <c r="B427" s="4"/>
      <c r="C427" s="4"/>
      <c r="D427" s="4"/>
      <c r="E427" s="5"/>
      <c r="F427" s="5"/>
      <c r="G427" s="5"/>
      <c r="H427" s="5"/>
      <c r="I427" s="5"/>
      <c r="J427" s="5"/>
      <c r="K427" s="5"/>
      <c r="L427" s="5"/>
      <c r="M427" s="5"/>
      <c r="N427" s="5"/>
      <c r="O427" s="5"/>
      <c r="P427" s="5"/>
      <c r="Q427" s="5"/>
      <c r="R427" s="9"/>
      <c r="S427" s="9"/>
      <c r="T427" s="10"/>
      <c r="U427" s="9"/>
      <c r="V427" s="9"/>
    </row>
    <row r="428" ht="12.5" spans="1:22">
      <c r="A428" s="4"/>
      <c r="B428" s="4"/>
      <c r="C428" s="4"/>
      <c r="D428" s="4"/>
      <c r="E428" s="5"/>
      <c r="F428" s="5"/>
      <c r="G428" s="5"/>
      <c r="H428" s="5"/>
      <c r="I428" s="5"/>
      <c r="J428" s="5"/>
      <c r="K428" s="5"/>
      <c r="L428" s="5"/>
      <c r="M428" s="5"/>
      <c r="N428" s="5"/>
      <c r="O428" s="5"/>
      <c r="P428" s="5"/>
      <c r="Q428" s="5"/>
      <c r="R428" s="9"/>
      <c r="S428" s="9"/>
      <c r="T428" s="10"/>
      <c r="U428" s="9"/>
      <c r="V428" s="9"/>
    </row>
    <row r="429" ht="12.5" spans="1:22">
      <c r="A429" s="4"/>
      <c r="B429" s="4"/>
      <c r="C429" s="4"/>
      <c r="D429" s="4"/>
      <c r="E429" s="5"/>
      <c r="F429" s="5"/>
      <c r="G429" s="5"/>
      <c r="H429" s="5"/>
      <c r="I429" s="5"/>
      <c r="J429" s="5"/>
      <c r="K429" s="5"/>
      <c r="L429" s="5"/>
      <c r="M429" s="5"/>
      <c r="N429" s="5"/>
      <c r="O429" s="5"/>
      <c r="P429" s="5"/>
      <c r="Q429" s="5"/>
      <c r="R429" s="9"/>
      <c r="S429" s="9"/>
      <c r="T429" s="10"/>
      <c r="U429" s="9"/>
      <c r="V429" s="9"/>
    </row>
    <row r="430" ht="12.5" spans="1:22">
      <c r="A430" s="4"/>
      <c r="B430" s="4"/>
      <c r="C430" s="4"/>
      <c r="D430" s="4"/>
      <c r="E430" s="5"/>
      <c r="F430" s="5"/>
      <c r="G430" s="5"/>
      <c r="H430" s="5"/>
      <c r="I430" s="5"/>
      <c r="J430" s="5"/>
      <c r="K430" s="5"/>
      <c r="L430" s="5"/>
      <c r="M430" s="5"/>
      <c r="N430" s="5"/>
      <c r="O430" s="5"/>
      <c r="P430" s="5"/>
      <c r="Q430" s="5"/>
      <c r="R430" s="9"/>
      <c r="S430" s="9"/>
      <c r="T430" s="10"/>
      <c r="U430" s="9"/>
      <c r="V430" s="9"/>
    </row>
    <row r="431" ht="12.5" spans="1:22">
      <c r="A431" s="4"/>
      <c r="B431" s="4"/>
      <c r="C431" s="4"/>
      <c r="D431" s="4"/>
      <c r="E431" s="5"/>
      <c r="F431" s="5"/>
      <c r="G431" s="5"/>
      <c r="H431" s="5"/>
      <c r="I431" s="5"/>
      <c r="J431" s="5"/>
      <c r="K431" s="5"/>
      <c r="L431" s="5"/>
      <c r="M431" s="5"/>
      <c r="N431" s="5"/>
      <c r="O431" s="5"/>
      <c r="P431" s="5"/>
      <c r="Q431" s="5"/>
      <c r="R431" s="9"/>
      <c r="S431" s="9"/>
      <c r="T431" s="10"/>
      <c r="U431" s="9"/>
      <c r="V431" s="9"/>
    </row>
    <row r="432" ht="12.5" spans="1:22">
      <c r="A432" s="4"/>
      <c r="B432" s="4"/>
      <c r="C432" s="4"/>
      <c r="D432" s="4"/>
      <c r="E432" s="5"/>
      <c r="F432" s="5"/>
      <c r="G432" s="5"/>
      <c r="H432" s="5"/>
      <c r="I432" s="5"/>
      <c r="J432" s="5"/>
      <c r="K432" s="5"/>
      <c r="L432" s="5"/>
      <c r="M432" s="5"/>
      <c r="N432" s="5"/>
      <c r="O432" s="5"/>
      <c r="P432" s="5"/>
      <c r="Q432" s="5"/>
      <c r="R432" s="9"/>
      <c r="S432" s="9"/>
      <c r="T432" s="10"/>
      <c r="U432" s="9"/>
      <c r="V432" s="9"/>
    </row>
    <row r="433" ht="12.5" spans="1:22">
      <c r="A433" s="4"/>
      <c r="B433" s="4"/>
      <c r="C433" s="4"/>
      <c r="D433" s="4"/>
      <c r="E433" s="5"/>
      <c r="F433" s="5"/>
      <c r="G433" s="5"/>
      <c r="H433" s="5"/>
      <c r="I433" s="5"/>
      <c r="J433" s="5"/>
      <c r="K433" s="5"/>
      <c r="L433" s="5"/>
      <c r="M433" s="5"/>
      <c r="N433" s="5"/>
      <c r="O433" s="5"/>
      <c r="P433" s="5"/>
      <c r="Q433" s="5"/>
      <c r="R433" s="9"/>
      <c r="S433" s="9"/>
      <c r="T433" s="10"/>
      <c r="U433" s="9"/>
      <c r="V433" s="9"/>
    </row>
    <row r="434" ht="12.5" spans="1:22">
      <c r="A434" s="4"/>
      <c r="B434" s="4"/>
      <c r="C434" s="4"/>
      <c r="D434" s="4"/>
      <c r="E434" s="5"/>
      <c r="F434" s="5"/>
      <c r="G434" s="5"/>
      <c r="H434" s="5"/>
      <c r="I434" s="5"/>
      <c r="J434" s="5"/>
      <c r="K434" s="5"/>
      <c r="L434" s="5"/>
      <c r="M434" s="5"/>
      <c r="N434" s="5"/>
      <c r="O434" s="5"/>
      <c r="P434" s="5"/>
      <c r="Q434" s="5"/>
      <c r="R434" s="9"/>
      <c r="S434" s="9"/>
      <c r="T434" s="10"/>
      <c r="U434" s="9"/>
      <c r="V434" s="9"/>
    </row>
    <row r="435" ht="12.5" spans="1:22">
      <c r="A435" s="4"/>
      <c r="B435" s="4"/>
      <c r="C435" s="4"/>
      <c r="D435" s="4"/>
      <c r="E435" s="5"/>
      <c r="F435" s="5"/>
      <c r="G435" s="5"/>
      <c r="H435" s="5"/>
      <c r="I435" s="5"/>
      <c r="J435" s="5"/>
      <c r="K435" s="5"/>
      <c r="L435" s="5"/>
      <c r="M435" s="5"/>
      <c r="N435" s="5"/>
      <c r="O435" s="5"/>
      <c r="P435" s="5"/>
      <c r="Q435" s="5"/>
      <c r="R435" s="9"/>
      <c r="S435" s="9"/>
      <c r="T435" s="10"/>
      <c r="U435" s="9"/>
      <c r="V435" s="9"/>
    </row>
    <row r="436" ht="12.5" spans="1:22">
      <c r="A436" s="4"/>
      <c r="B436" s="4"/>
      <c r="C436" s="4"/>
      <c r="D436" s="4"/>
      <c r="E436" s="5"/>
      <c r="F436" s="5"/>
      <c r="G436" s="5"/>
      <c r="H436" s="5"/>
      <c r="I436" s="5"/>
      <c r="J436" s="5"/>
      <c r="K436" s="5"/>
      <c r="L436" s="5"/>
      <c r="M436" s="5"/>
      <c r="N436" s="5"/>
      <c r="O436" s="5"/>
      <c r="P436" s="5"/>
      <c r="Q436" s="5"/>
      <c r="R436" s="9"/>
      <c r="S436" s="9"/>
      <c r="T436" s="10"/>
      <c r="U436" s="9"/>
      <c r="V436" s="9"/>
    </row>
    <row r="437" ht="12.5" spans="1:22">
      <c r="A437" s="4"/>
      <c r="B437" s="4"/>
      <c r="C437" s="4"/>
      <c r="D437" s="4"/>
      <c r="E437" s="5"/>
      <c r="F437" s="5"/>
      <c r="G437" s="5"/>
      <c r="H437" s="5"/>
      <c r="I437" s="5"/>
      <c r="J437" s="5"/>
      <c r="K437" s="5"/>
      <c r="L437" s="5"/>
      <c r="M437" s="5"/>
      <c r="N437" s="5"/>
      <c r="O437" s="5"/>
      <c r="P437" s="5"/>
      <c r="Q437" s="5"/>
      <c r="R437" s="9"/>
      <c r="S437" s="9"/>
      <c r="T437" s="10"/>
      <c r="U437" s="9"/>
      <c r="V437" s="9"/>
    </row>
    <row r="438" ht="12.5" spans="1:22">
      <c r="A438" s="4"/>
      <c r="B438" s="4"/>
      <c r="C438" s="4"/>
      <c r="D438" s="4"/>
      <c r="E438" s="5"/>
      <c r="F438" s="5"/>
      <c r="G438" s="5"/>
      <c r="H438" s="5"/>
      <c r="I438" s="5"/>
      <c r="J438" s="5"/>
      <c r="K438" s="5"/>
      <c r="L438" s="5"/>
      <c r="M438" s="5"/>
      <c r="N438" s="5"/>
      <c r="O438" s="5"/>
      <c r="P438" s="5"/>
      <c r="Q438" s="5"/>
      <c r="R438" s="9"/>
      <c r="S438" s="9"/>
      <c r="T438" s="10"/>
      <c r="U438" s="9"/>
      <c r="V438" s="9"/>
    </row>
    <row r="439" ht="12.5" spans="1:22">
      <c r="A439" s="4"/>
      <c r="B439" s="4"/>
      <c r="C439" s="4"/>
      <c r="D439" s="4"/>
      <c r="E439" s="5"/>
      <c r="F439" s="5"/>
      <c r="G439" s="5"/>
      <c r="H439" s="5"/>
      <c r="I439" s="5"/>
      <c r="J439" s="5"/>
      <c r="K439" s="5"/>
      <c r="L439" s="5"/>
      <c r="M439" s="5"/>
      <c r="N439" s="5"/>
      <c r="O439" s="5"/>
      <c r="P439" s="5"/>
      <c r="Q439" s="5"/>
      <c r="R439" s="9"/>
      <c r="S439" s="9"/>
      <c r="T439" s="10"/>
      <c r="U439" s="9"/>
      <c r="V439" s="9"/>
    </row>
    <row r="440" ht="12.5" spans="1:22">
      <c r="A440" s="4"/>
      <c r="B440" s="4"/>
      <c r="C440" s="4"/>
      <c r="D440" s="4"/>
      <c r="E440" s="5"/>
      <c r="F440" s="5"/>
      <c r="G440" s="5"/>
      <c r="H440" s="5"/>
      <c r="I440" s="5"/>
      <c r="J440" s="5"/>
      <c r="K440" s="5"/>
      <c r="L440" s="5"/>
      <c r="M440" s="5"/>
      <c r="N440" s="5"/>
      <c r="O440" s="5"/>
      <c r="P440" s="5"/>
      <c r="Q440" s="5"/>
      <c r="R440" s="9"/>
      <c r="S440" s="9"/>
      <c r="T440" s="10"/>
      <c r="U440" s="9"/>
      <c r="V440" s="9"/>
    </row>
    <row r="441" ht="12.5" spans="1:22">
      <c r="A441" s="4"/>
      <c r="B441" s="4"/>
      <c r="C441" s="4"/>
      <c r="D441" s="4"/>
      <c r="E441" s="5"/>
      <c r="F441" s="5"/>
      <c r="G441" s="5"/>
      <c r="H441" s="5"/>
      <c r="I441" s="5"/>
      <c r="J441" s="5"/>
      <c r="K441" s="5"/>
      <c r="L441" s="5"/>
      <c r="M441" s="5"/>
      <c r="N441" s="5"/>
      <c r="O441" s="5"/>
      <c r="P441" s="5"/>
      <c r="Q441" s="5"/>
      <c r="R441" s="9"/>
      <c r="S441" s="9"/>
      <c r="T441" s="10"/>
      <c r="U441" s="9"/>
      <c r="V441" s="9"/>
    </row>
    <row r="442" ht="12.5" spans="1:22">
      <c r="A442" s="4"/>
      <c r="B442" s="4"/>
      <c r="C442" s="4"/>
      <c r="D442" s="4"/>
      <c r="E442" s="5"/>
      <c r="F442" s="5"/>
      <c r="G442" s="5"/>
      <c r="H442" s="5"/>
      <c r="I442" s="5"/>
      <c r="J442" s="5"/>
      <c r="K442" s="5"/>
      <c r="L442" s="5"/>
      <c r="M442" s="5"/>
      <c r="N442" s="5"/>
      <c r="O442" s="5"/>
      <c r="P442" s="5"/>
      <c r="Q442" s="5"/>
      <c r="R442" s="9"/>
      <c r="S442" s="9"/>
      <c r="T442" s="10"/>
      <c r="U442" s="9"/>
      <c r="V442" s="9"/>
    </row>
    <row r="443" ht="12.5" spans="1:22">
      <c r="A443" s="4"/>
      <c r="B443" s="4"/>
      <c r="C443" s="4"/>
      <c r="D443" s="4"/>
      <c r="E443" s="5"/>
      <c r="F443" s="5"/>
      <c r="G443" s="5"/>
      <c r="H443" s="5"/>
      <c r="I443" s="5"/>
      <c r="J443" s="5"/>
      <c r="K443" s="5"/>
      <c r="L443" s="5"/>
      <c r="M443" s="5"/>
      <c r="N443" s="5"/>
      <c r="O443" s="5"/>
      <c r="P443" s="5"/>
      <c r="Q443" s="5"/>
      <c r="R443" s="9"/>
      <c r="S443" s="9"/>
      <c r="T443" s="10"/>
      <c r="U443" s="9"/>
      <c r="V443" s="9"/>
    </row>
    <row r="444" ht="12.5" spans="1:22">
      <c r="A444" s="4"/>
      <c r="B444" s="4"/>
      <c r="C444" s="4"/>
      <c r="D444" s="4"/>
      <c r="E444" s="5"/>
      <c r="F444" s="5"/>
      <c r="G444" s="5"/>
      <c r="H444" s="5"/>
      <c r="I444" s="5"/>
      <c r="J444" s="5"/>
      <c r="K444" s="5"/>
      <c r="L444" s="5"/>
      <c r="M444" s="5"/>
      <c r="N444" s="5"/>
      <c r="O444" s="5"/>
      <c r="P444" s="5"/>
      <c r="Q444" s="5"/>
      <c r="R444" s="9"/>
      <c r="S444" s="9"/>
      <c r="T444" s="10"/>
      <c r="U444" s="9"/>
      <c r="V444" s="9"/>
    </row>
    <row r="445" ht="12.5" spans="1:22">
      <c r="A445" s="4"/>
      <c r="B445" s="4"/>
      <c r="C445" s="4"/>
      <c r="D445" s="4"/>
      <c r="E445" s="5"/>
      <c r="F445" s="5"/>
      <c r="G445" s="5"/>
      <c r="H445" s="5"/>
      <c r="I445" s="5"/>
      <c r="J445" s="5"/>
      <c r="K445" s="5"/>
      <c r="L445" s="5"/>
      <c r="M445" s="5"/>
      <c r="N445" s="5"/>
      <c r="O445" s="5"/>
      <c r="P445" s="5"/>
      <c r="Q445" s="5"/>
      <c r="R445" s="9"/>
      <c r="S445" s="9"/>
      <c r="T445" s="10"/>
      <c r="U445" s="9"/>
      <c r="V445" s="9"/>
    </row>
    <row r="446" ht="12.5" spans="1:22">
      <c r="A446" s="4"/>
      <c r="B446" s="4"/>
      <c r="C446" s="4"/>
      <c r="D446" s="4"/>
      <c r="E446" s="5"/>
      <c r="F446" s="5"/>
      <c r="G446" s="5"/>
      <c r="H446" s="5"/>
      <c r="I446" s="5"/>
      <c r="J446" s="5"/>
      <c r="K446" s="5"/>
      <c r="L446" s="5"/>
      <c r="M446" s="5"/>
      <c r="N446" s="5"/>
      <c r="O446" s="5"/>
      <c r="P446" s="5"/>
      <c r="Q446" s="5"/>
      <c r="R446" s="9"/>
      <c r="S446" s="9"/>
      <c r="T446" s="10"/>
      <c r="U446" s="9"/>
      <c r="V446" s="9"/>
    </row>
    <row r="447" ht="12.5" spans="1:22">
      <c r="A447" s="4"/>
      <c r="B447" s="4"/>
      <c r="C447" s="4"/>
      <c r="D447" s="4"/>
      <c r="E447" s="5"/>
      <c r="F447" s="5"/>
      <c r="G447" s="5"/>
      <c r="H447" s="5"/>
      <c r="I447" s="5"/>
      <c r="J447" s="5"/>
      <c r="K447" s="5"/>
      <c r="L447" s="5"/>
      <c r="M447" s="5"/>
      <c r="N447" s="5"/>
      <c r="O447" s="5"/>
      <c r="P447" s="5"/>
      <c r="Q447" s="5"/>
      <c r="R447" s="9"/>
      <c r="S447" s="9"/>
      <c r="T447" s="10"/>
      <c r="U447" s="9"/>
      <c r="V447" s="9"/>
    </row>
    <row r="448" ht="12.5" spans="1:22">
      <c r="A448" s="4"/>
      <c r="B448" s="4"/>
      <c r="C448" s="4"/>
      <c r="D448" s="4"/>
      <c r="E448" s="5"/>
      <c r="F448" s="5"/>
      <c r="G448" s="5"/>
      <c r="H448" s="5"/>
      <c r="I448" s="5"/>
      <c r="J448" s="5"/>
      <c r="K448" s="5"/>
      <c r="L448" s="5"/>
      <c r="M448" s="5"/>
      <c r="N448" s="5"/>
      <c r="O448" s="5"/>
      <c r="P448" s="5"/>
      <c r="Q448" s="5"/>
      <c r="R448" s="9"/>
      <c r="S448" s="9"/>
      <c r="T448" s="10"/>
      <c r="U448" s="9"/>
      <c r="V448" s="9"/>
    </row>
    <row r="449" ht="12.5" spans="1:22">
      <c r="A449" s="4"/>
      <c r="B449" s="4"/>
      <c r="C449" s="4"/>
      <c r="D449" s="4"/>
      <c r="E449" s="5"/>
      <c r="F449" s="5"/>
      <c r="G449" s="5"/>
      <c r="H449" s="5"/>
      <c r="I449" s="5"/>
      <c r="J449" s="5"/>
      <c r="K449" s="5"/>
      <c r="L449" s="5"/>
      <c r="M449" s="5"/>
      <c r="N449" s="5"/>
      <c r="O449" s="5"/>
      <c r="P449" s="5"/>
      <c r="Q449" s="5"/>
      <c r="R449" s="9"/>
      <c r="S449" s="9"/>
      <c r="T449" s="10"/>
      <c r="U449" s="9"/>
      <c r="V449" s="9"/>
    </row>
    <row r="450" ht="12.5" spans="1:22">
      <c r="A450" s="4"/>
      <c r="B450" s="4"/>
      <c r="C450" s="4"/>
      <c r="D450" s="4"/>
      <c r="E450" s="5"/>
      <c r="F450" s="5"/>
      <c r="G450" s="5"/>
      <c r="H450" s="5"/>
      <c r="I450" s="5"/>
      <c r="J450" s="5"/>
      <c r="K450" s="5"/>
      <c r="L450" s="5"/>
      <c r="M450" s="5"/>
      <c r="N450" s="5"/>
      <c r="O450" s="5"/>
      <c r="P450" s="5"/>
      <c r="Q450" s="5"/>
      <c r="R450" s="9"/>
      <c r="S450" s="9"/>
      <c r="T450" s="10"/>
      <c r="U450" s="9"/>
      <c r="V450" s="9"/>
    </row>
    <row r="451" ht="12.5" spans="1:22">
      <c r="A451" s="4"/>
      <c r="B451" s="4"/>
      <c r="C451" s="4"/>
      <c r="D451" s="4"/>
      <c r="E451" s="5"/>
      <c r="F451" s="5"/>
      <c r="G451" s="5"/>
      <c r="H451" s="5"/>
      <c r="I451" s="5"/>
      <c r="J451" s="5"/>
      <c r="K451" s="5"/>
      <c r="L451" s="5"/>
      <c r="M451" s="5"/>
      <c r="N451" s="5"/>
      <c r="O451" s="5"/>
      <c r="P451" s="5"/>
      <c r="Q451" s="5"/>
      <c r="R451" s="9"/>
      <c r="S451" s="9"/>
      <c r="T451" s="10"/>
      <c r="U451" s="9"/>
      <c r="V451" s="9"/>
    </row>
    <row r="452" ht="12.5" spans="1:22">
      <c r="A452" s="4"/>
      <c r="B452" s="4"/>
      <c r="C452" s="4"/>
      <c r="D452" s="4"/>
      <c r="E452" s="5"/>
      <c r="F452" s="5"/>
      <c r="G452" s="5"/>
      <c r="H452" s="5"/>
      <c r="I452" s="5"/>
      <c r="J452" s="5"/>
      <c r="K452" s="5"/>
      <c r="L452" s="5"/>
      <c r="M452" s="5"/>
      <c r="N452" s="5"/>
      <c r="O452" s="5"/>
      <c r="P452" s="5"/>
      <c r="Q452" s="5"/>
      <c r="R452" s="9"/>
      <c r="S452" s="9"/>
      <c r="T452" s="10"/>
      <c r="U452" s="9"/>
      <c r="V452" s="9"/>
    </row>
    <row r="453" ht="12.5" spans="1:22">
      <c r="A453" s="4"/>
      <c r="B453" s="4"/>
      <c r="C453" s="4"/>
      <c r="D453" s="4"/>
      <c r="E453" s="5"/>
      <c r="F453" s="5"/>
      <c r="G453" s="5"/>
      <c r="H453" s="5"/>
      <c r="I453" s="5"/>
      <c r="J453" s="5"/>
      <c r="K453" s="5"/>
      <c r="L453" s="5"/>
      <c r="M453" s="5"/>
      <c r="N453" s="5"/>
      <c r="O453" s="5"/>
      <c r="P453" s="5"/>
      <c r="Q453" s="5"/>
      <c r="R453" s="9"/>
      <c r="S453" s="9"/>
      <c r="T453" s="10"/>
      <c r="U453" s="9"/>
      <c r="V453" s="9"/>
    </row>
    <row r="454" ht="12.5" spans="1:22">
      <c r="A454" s="4"/>
      <c r="B454" s="4"/>
      <c r="C454" s="4"/>
      <c r="D454" s="4"/>
      <c r="E454" s="5"/>
      <c r="F454" s="5"/>
      <c r="G454" s="5"/>
      <c r="H454" s="5"/>
      <c r="I454" s="5"/>
      <c r="J454" s="5"/>
      <c r="K454" s="5"/>
      <c r="L454" s="5"/>
      <c r="M454" s="5"/>
      <c r="N454" s="5"/>
      <c r="O454" s="5"/>
      <c r="P454" s="5"/>
      <c r="Q454" s="5"/>
      <c r="R454" s="9"/>
      <c r="S454" s="9"/>
      <c r="T454" s="10"/>
      <c r="U454" s="9"/>
      <c r="V454" s="9"/>
    </row>
    <row r="455" ht="12.5" spans="1:22">
      <c r="A455" s="4"/>
      <c r="B455" s="4"/>
      <c r="C455" s="4"/>
      <c r="D455" s="4"/>
      <c r="E455" s="5"/>
      <c r="F455" s="5"/>
      <c r="G455" s="5"/>
      <c r="H455" s="5"/>
      <c r="I455" s="5"/>
      <c r="J455" s="5"/>
      <c r="K455" s="5"/>
      <c r="L455" s="5"/>
      <c r="M455" s="5"/>
      <c r="N455" s="5"/>
      <c r="O455" s="5"/>
      <c r="P455" s="5"/>
      <c r="Q455" s="5"/>
      <c r="R455" s="9"/>
      <c r="S455" s="9"/>
      <c r="T455" s="10"/>
      <c r="U455" s="9"/>
      <c r="V455" s="9"/>
    </row>
    <row r="456" ht="12.5" spans="1:22">
      <c r="A456" s="4"/>
      <c r="B456" s="4"/>
      <c r="C456" s="4"/>
      <c r="D456" s="4"/>
      <c r="E456" s="5"/>
      <c r="F456" s="5"/>
      <c r="G456" s="5"/>
      <c r="H456" s="5"/>
      <c r="I456" s="5"/>
      <c r="J456" s="5"/>
      <c r="K456" s="5"/>
      <c r="L456" s="5"/>
      <c r="M456" s="5"/>
      <c r="N456" s="5"/>
      <c r="O456" s="5"/>
      <c r="P456" s="5"/>
      <c r="Q456" s="5"/>
      <c r="R456" s="9"/>
      <c r="S456" s="9"/>
      <c r="T456" s="10"/>
      <c r="U456" s="9"/>
      <c r="V456" s="9"/>
    </row>
    <row r="457" ht="12.5" spans="1:22">
      <c r="A457" s="4"/>
      <c r="B457" s="4"/>
      <c r="C457" s="4"/>
      <c r="D457" s="4"/>
      <c r="E457" s="5"/>
      <c r="F457" s="5"/>
      <c r="G457" s="5"/>
      <c r="H457" s="5"/>
      <c r="I457" s="5"/>
      <c r="J457" s="5"/>
      <c r="K457" s="5"/>
      <c r="L457" s="5"/>
      <c r="M457" s="5"/>
      <c r="N457" s="5"/>
      <c r="O457" s="5"/>
      <c r="P457" s="5"/>
      <c r="Q457" s="5"/>
      <c r="R457" s="9"/>
      <c r="S457" s="9"/>
      <c r="T457" s="10"/>
      <c r="U457" s="9"/>
      <c r="V457" s="9"/>
    </row>
    <row r="458" ht="12.5" spans="1:22">
      <c r="A458" s="4"/>
      <c r="B458" s="4"/>
      <c r="C458" s="4"/>
      <c r="D458" s="4"/>
      <c r="E458" s="5"/>
      <c r="F458" s="5"/>
      <c r="G458" s="5"/>
      <c r="H458" s="5"/>
      <c r="I458" s="5"/>
      <c r="J458" s="5"/>
      <c r="K458" s="5"/>
      <c r="L458" s="5"/>
      <c r="M458" s="5"/>
      <c r="N458" s="5"/>
      <c r="O458" s="5"/>
      <c r="P458" s="5"/>
      <c r="Q458" s="5"/>
      <c r="R458" s="9"/>
      <c r="S458" s="9"/>
      <c r="T458" s="10"/>
      <c r="U458" s="9"/>
      <c r="V458" s="9"/>
    </row>
    <row r="459" ht="12.5" spans="1:22">
      <c r="A459" s="4"/>
      <c r="B459" s="4"/>
      <c r="C459" s="4"/>
      <c r="D459" s="4"/>
      <c r="E459" s="5"/>
      <c r="F459" s="5"/>
      <c r="G459" s="5"/>
      <c r="H459" s="5"/>
      <c r="I459" s="5"/>
      <c r="J459" s="5"/>
      <c r="K459" s="5"/>
      <c r="L459" s="5"/>
      <c r="M459" s="5"/>
      <c r="N459" s="5"/>
      <c r="O459" s="5"/>
      <c r="P459" s="5"/>
      <c r="Q459" s="5"/>
      <c r="R459" s="9"/>
      <c r="S459" s="9"/>
      <c r="T459" s="10"/>
      <c r="U459" s="9"/>
      <c r="V459" s="9"/>
    </row>
    <row r="460" ht="12.5" spans="1:22">
      <c r="A460" s="4"/>
      <c r="B460" s="4"/>
      <c r="C460" s="4"/>
      <c r="D460" s="4"/>
      <c r="E460" s="5"/>
      <c r="F460" s="5"/>
      <c r="G460" s="5"/>
      <c r="H460" s="5"/>
      <c r="I460" s="5"/>
      <c r="J460" s="5"/>
      <c r="K460" s="5"/>
      <c r="L460" s="5"/>
      <c r="M460" s="5"/>
      <c r="N460" s="5"/>
      <c r="O460" s="5"/>
      <c r="P460" s="5"/>
      <c r="Q460" s="5"/>
      <c r="R460" s="9"/>
      <c r="S460" s="9"/>
      <c r="T460" s="10"/>
      <c r="U460" s="9"/>
      <c r="V460" s="9"/>
    </row>
    <row r="461" ht="12.5" spans="1:22">
      <c r="A461" s="4"/>
      <c r="B461" s="4"/>
      <c r="C461" s="4"/>
      <c r="D461" s="4"/>
      <c r="E461" s="5"/>
      <c r="F461" s="5"/>
      <c r="G461" s="5"/>
      <c r="H461" s="5"/>
      <c r="I461" s="5"/>
      <c r="J461" s="5"/>
      <c r="K461" s="5"/>
      <c r="L461" s="5"/>
      <c r="M461" s="5"/>
      <c r="N461" s="5"/>
      <c r="O461" s="5"/>
      <c r="P461" s="5"/>
      <c r="Q461" s="5"/>
      <c r="R461" s="9"/>
      <c r="S461" s="9"/>
      <c r="T461" s="10"/>
      <c r="U461" s="9"/>
      <c r="V461" s="9"/>
    </row>
    <row r="462" ht="12.5" spans="1:22">
      <c r="A462" s="4"/>
      <c r="B462" s="4"/>
      <c r="C462" s="4"/>
      <c r="D462" s="4"/>
      <c r="E462" s="5"/>
      <c r="F462" s="5"/>
      <c r="G462" s="5"/>
      <c r="H462" s="5"/>
      <c r="I462" s="5"/>
      <c r="J462" s="5"/>
      <c r="K462" s="5"/>
      <c r="L462" s="5"/>
      <c r="M462" s="5"/>
      <c r="N462" s="5"/>
      <c r="O462" s="5"/>
      <c r="P462" s="5"/>
      <c r="Q462" s="5"/>
      <c r="R462" s="9"/>
      <c r="S462" s="9"/>
      <c r="T462" s="10"/>
      <c r="U462" s="9"/>
      <c r="V462" s="9"/>
    </row>
    <row r="463" ht="12.5" spans="1:22">
      <c r="A463" s="4"/>
      <c r="B463" s="4"/>
      <c r="C463" s="4"/>
      <c r="D463" s="4"/>
      <c r="E463" s="5"/>
      <c r="F463" s="5"/>
      <c r="G463" s="5"/>
      <c r="H463" s="5"/>
      <c r="I463" s="5"/>
      <c r="J463" s="5"/>
      <c r="K463" s="5"/>
      <c r="L463" s="5"/>
      <c r="M463" s="5"/>
      <c r="N463" s="5"/>
      <c r="O463" s="5"/>
      <c r="P463" s="5"/>
      <c r="Q463" s="5"/>
      <c r="R463" s="9"/>
      <c r="S463" s="9"/>
      <c r="T463" s="10"/>
      <c r="U463" s="9"/>
      <c r="V463" s="9"/>
    </row>
    <row r="464" ht="12.5" spans="1:22">
      <c r="A464" s="4"/>
      <c r="B464" s="4"/>
      <c r="C464" s="4"/>
      <c r="D464" s="4"/>
      <c r="E464" s="5"/>
      <c r="F464" s="5"/>
      <c r="G464" s="5"/>
      <c r="H464" s="5"/>
      <c r="I464" s="5"/>
      <c r="J464" s="5"/>
      <c r="K464" s="5"/>
      <c r="L464" s="5"/>
      <c r="M464" s="5"/>
      <c r="N464" s="5"/>
      <c r="O464" s="5"/>
      <c r="P464" s="5"/>
      <c r="Q464" s="5"/>
      <c r="R464" s="9"/>
      <c r="S464" s="9"/>
      <c r="T464" s="10"/>
      <c r="U464" s="9"/>
      <c r="V464" s="9"/>
    </row>
    <row r="465" ht="12.5" spans="1:22">
      <c r="A465" s="4"/>
      <c r="B465" s="4"/>
      <c r="C465" s="4"/>
      <c r="D465" s="4"/>
      <c r="E465" s="5"/>
      <c r="F465" s="5"/>
      <c r="G465" s="5"/>
      <c r="H465" s="5"/>
      <c r="I465" s="5"/>
      <c r="J465" s="5"/>
      <c r="K465" s="5"/>
      <c r="L465" s="5"/>
      <c r="M465" s="5"/>
      <c r="N465" s="5"/>
      <c r="O465" s="5"/>
      <c r="P465" s="5"/>
      <c r="Q465" s="5"/>
      <c r="R465" s="9"/>
      <c r="S465" s="9"/>
      <c r="T465" s="10"/>
      <c r="U465" s="9"/>
      <c r="V465" s="9"/>
    </row>
    <row r="466" ht="12.5" spans="1:22">
      <c r="A466" s="4"/>
      <c r="B466" s="4"/>
      <c r="C466" s="4"/>
      <c r="D466" s="4"/>
      <c r="E466" s="5"/>
      <c r="F466" s="5"/>
      <c r="G466" s="5"/>
      <c r="H466" s="5"/>
      <c r="I466" s="5"/>
      <c r="J466" s="5"/>
      <c r="K466" s="5"/>
      <c r="L466" s="5"/>
      <c r="M466" s="5"/>
      <c r="N466" s="5"/>
      <c r="O466" s="5"/>
      <c r="P466" s="5"/>
      <c r="Q466" s="5"/>
      <c r="R466" s="9"/>
      <c r="S466" s="9"/>
      <c r="T466" s="10"/>
      <c r="U466" s="9"/>
      <c r="V466" s="9"/>
    </row>
    <row r="467" ht="12.5" spans="1:22">
      <c r="A467" s="4"/>
      <c r="B467" s="4"/>
      <c r="C467" s="4"/>
      <c r="D467" s="4"/>
      <c r="E467" s="5"/>
      <c r="F467" s="5"/>
      <c r="G467" s="5"/>
      <c r="H467" s="5"/>
      <c r="I467" s="5"/>
      <c r="J467" s="5"/>
      <c r="K467" s="5"/>
      <c r="L467" s="5"/>
      <c r="M467" s="5"/>
      <c r="N467" s="5"/>
      <c r="O467" s="5"/>
      <c r="P467" s="5"/>
      <c r="Q467" s="5"/>
      <c r="R467" s="9"/>
      <c r="S467" s="9"/>
      <c r="T467" s="10"/>
      <c r="U467" s="9"/>
      <c r="V467" s="9"/>
    </row>
    <row r="468" ht="12.5" spans="1:22">
      <c r="A468" s="4"/>
      <c r="B468" s="4"/>
      <c r="C468" s="4"/>
      <c r="D468" s="4"/>
      <c r="E468" s="5"/>
      <c r="F468" s="5"/>
      <c r="G468" s="5"/>
      <c r="H468" s="5"/>
      <c r="I468" s="5"/>
      <c r="J468" s="5"/>
      <c r="K468" s="5"/>
      <c r="L468" s="5"/>
      <c r="M468" s="5"/>
      <c r="N468" s="5"/>
      <c r="O468" s="5"/>
      <c r="P468" s="5"/>
      <c r="Q468" s="5"/>
      <c r="R468" s="9"/>
      <c r="S468" s="9"/>
      <c r="T468" s="10"/>
      <c r="U468" s="9"/>
      <c r="V468" s="9"/>
    </row>
    <row r="469" ht="12.5" spans="1:22">
      <c r="A469" s="4"/>
      <c r="B469" s="4"/>
      <c r="C469" s="4"/>
      <c r="D469" s="4"/>
      <c r="E469" s="5"/>
      <c r="F469" s="5"/>
      <c r="G469" s="5"/>
      <c r="H469" s="5"/>
      <c r="I469" s="5"/>
      <c r="J469" s="5"/>
      <c r="K469" s="5"/>
      <c r="L469" s="5"/>
      <c r="M469" s="5"/>
      <c r="N469" s="5"/>
      <c r="O469" s="5"/>
      <c r="P469" s="5"/>
      <c r="Q469" s="5"/>
      <c r="R469" s="9"/>
      <c r="S469" s="9"/>
      <c r="T469" s="10"/>
      <c r="U469" s="9"/>
      <c r="V469" s="9"/>
    </row>
    <row r="470" ht="12.5" spans="1:22">
      <c r="A470" s="4"/>
      <c r="B470" s="4"/>
      <c r="C470" s="4"/>
      <c r="D470" s="4"/>
      <c r="E470" s="5"/>
      <c r="F470" s="5"/>
      <c r="G470" s="5"/>
      <c r="H470" s="5"/>
      <c r="I470" s="5"/>
      <c r="J470" s="5"/>
      <c r="K470" s="5"/>
      <c r="L470" s="5"/>
      <c r="M470" s="5"/>
      <c r="N470" s="5"/>
      <c r="O470" s="5"/>
      <c r="P470" s="5"/>
      <c r="Q470" s="5"/>
      <c r="R470" s="9"/>
      <c r="S470" s="9"/>
      <c r="T470" s="10"/>
      <c r="U470" s="9"/>
      <c r="V470" s="9"/>
    </row>
    <row r="471" ht="12.5" spans="1:22">
      <c r="A471" s="4"/>
      <c r="B471" s="4"/>
      <c r="C471" s="4"/>
      <c r="D471" s="4"/>
      <c r="E471" s="5"/>
      <c r="F471" s="5"/>
      <c r="G471" s="5"/>
      <c r="H471" s="5"/>
      <c r="I471" s="5"/>
      <c r="J471" s="5"/>
      <c r="K471" s="5"/>
      <c r="L471" s="5"/>
      <c r="M471" s="5"/>
      <c r="N471" s="5"/>
      <c r="O471" s="5"/>
      <c r="P471" s="5"/>
      <c r="Q471" s="5"/>
      <c r="R471" s="9"/>
      <c r="S471" s="9"/>
      <c r="T471" s="10"/>
      <c r="U471" s="9"/>
      <c r="V471" s="9"/>
    </row>
    <row r="472" ht="12.5" spans="1:22">
      <c r="A472" s="4"/>
      <c r="B472" s="4"/>
      <c r="C472" s="4"/>
      <c r="D472" s="4"/>
      <c r="E472" s="5"/>
      <c r="F472" s="5"/>
      <c r="G472" s="5"/>
      <c r="H472" s="5"/>
      <c r="I472" s="5"/>
      <c r="J472" s="5"/>
      <c r="K472" s="5"/>
      <c r="L472" s="5"/>
      <c r="M472" s="5"/>
      <c r="N472" s="5"/>
      <c r="O472" s="5"/>
      <c r="P472" s="5"/>
      <c r="Q472" s="5"/>
      <c r="R472" s="9"/>
      <c r="S472" s="9"/>
      <c r="T472" s="10"/>
      <c r="U472" s="9"/>
      <c r="V472" s="9"/>
    </row>
    <row r="473" ht="12.5" spans="1:22">
      <c r="A473" s="4"/>
      <c r="B473" s="4"/>
      <c r="C473" s="4"/>
      <c r="D473" s="4"/>
      <c r="E473" s="5"/>
      <c r="F473" s="5"/>
      <c r="G473" s="5"/>
      <c r="H473" s="5"/>
      <c r="I473" s="5"/>
      <c r="J473" s="5"/>
      <c r="K473" s="5"/>
      <c r="L473" s="5"/>
      <c r="M473" s="5"/>
      <c r="N473" s="5"/>
      <c r="O473" s="5"/>
      <c r="P473" s="5"/>
      <c r="Q473" s="5"/>
      <c r="R473" s="9"/>
      <c r="S473" s="9"/>
      <c r="T473" s="10"/>
      <c r="U473" s="9"/>
      <c r="V473" s="9"/>
    </row>
    <row r="474" ht="12.5" spans="1:22">
      <c r="A474" s="4"/>
      <c r="B474" s="4"/>
      <c r="C474" s="4"/>
      <c r="D474" s="4"/>
      <c r="E474" s="5"/>
      <c r="F474" s="5"/>
      <c r="G474" s="5"/>
      <c r="H474" s="5"/>
      <c r="I474" s="5"/>
      <c r="J474" s="5"/>
      <c r="K474" s="5"/>
      <c r="L474" s="5"/>
      <c r="M474" s="5"/>
      <c r="N474" s="5"/>
      <c r="O474" s="5"/>
      <c r="P474" s="5"/>
      <c r="Q474" s="5"/>
      <c r="R474" s="9"/>
      <c r="S474" s="9"/>
      <c r="T474" s="10"/>
      <c r="U474" s="9"/>
      <c r="V474" s="9"/>
    </row>
    <row r="475" ht="12.5" spans="1:22">
      <c r="A475" s="4"/>
      <c r="B475" s="4"/>
      <c r="C475" s="4"/>
      <c r="D475" s="4"/>
      <c r="E475" s="5"/>
      <c r="F475" s="5"/>
      <c r="G475" s="5"/>
      <c r="H475" s="5"/>
      <c r="I475" s="5"/>
      <c r="J475" s="5"/>
      <c r="K475" s="5"/>
      <c r="L475" s="5"/>
      <c r="M475" s="5"/>
      <c r="N475" s="5"/>
      <c r="O475" s="5"/>
      <c r="P475" s="5"/>
      <c r="Q475" s="5"/>
      <c r="R475" s="9"/>
      <c r="S475" s="9"/>
      <c r="T475" s="10"/>
      <c r="U475" s="9"/>
      <c r="V475" s="9"/>
    </row>
    <row r="476" ht="12.5" spans="1:22">
      <c r="A476" s="4"/>
      <c r="B476" s="4"/>
      <c r="C476" s="4"/>
      <c r="D476" s="4"/>
      <c r="E476" s="5"/>
      <c r="F476" s="5"/>
      <c r="G476" s="5"/>
      <c r="H476" s="5"/>
      <c r="I476" s="5"/>
      <c r="J476" s="5"/>
      <c r="K476" s="5"/>
      <c r="L476" s="5"/>
      <c r="M476" s="5"/>
      <c r="N476" s="5"/>
      <c r="O476" s="5"/>
      <c r="P476" s="5"/>
      <c r="Q476" s="5"/>
      <c r="R476" s="9"/>
      <c r="S476" s="9"/>
      <c r="T476" s="10"/>
      <c r="U476" s="9"/>
      <c r="V476" s="9"/>
    </row>
    <row r="477" ht="12.5" spans="1:22">
      <c r="A477" s="4"/>
      <c r="B477" s="4"/>
      <c r="C477" s="4"/>
      <c r="D477" s="4"/>
      <c r="E477" s="5"/>
      <c r="F477" s="5"/>
      <c r="G477" s="5"/>
      <c r="H477" s="5"/>
      <c r="I477" s="5"/>
      <c r="J477" s="5"/>
      <c r="K477" s="5"/>
      <c r="L477" s="5"/>
      <c r="M477" s="5"/>
      <c r="N477" s="5"/>
      <c r="O477" s="5"/>
      <c r="P477" s="5"/>
      <c r="Q477" s="5"/>
      <c r="R477" s="9"/>
      <c r="S477" s="9"/>
      <c r="T477" s="10"/>
      <c r="U477" s="9"/>
      <c r="V477" s="9"/>
    </row>
    <row r="478" ht="12.5" spans="1:22">
      <c r="A478" s="4"/>
      <c r="B478" s="4"/>
      <c r="C478" s="4"/>
      <c r="D478" s="4"/>
      <c r="E478" s="5"/>
      <c r="F478" s="5"/>
      <c r="G478" s="5"/>
      <c r="H478" s="5"/>
      <c r="I478" s="5"/>
      <c r="J478" s="5"/>
      <c r="K478" s="5"/>
      <c r="L478" s="5"/>
      <c r="M478" s="5"/>
      <c r="N478" s="5"/>
      <c r="O478" s="5"/>
      <c r="P478" s="5"/>
      <c r="Q478" s="5"/>
      <c r="R478" s="9"/>
      <c r="S478" s="9"/>
      <c r="T478" s="10"/>
      <c r="U478" s="9"/>
      <c r="V478" s="9"/>
    </row>
    <row r="479" ht="12.5" spans="1:22">
      <c r="A479" s="4"/>
      <c r="B479" s="4"/>
      <c r="C479" s="4"/>
      <c r="D479" s="4"/>
      <c r="E479" s="5"/>
      <c r="F479" s="5"/>
      <c r="G479" s="5"/>
      <c r="H479" s="5"/>
      <c r="I479" s="5"/>
      <c r="J479" s="5"/>
      <c r="K479" s="5"/>
      <c r="L479" s="5"/>
      <c r="M479" s="5"/>
      <c r="N479" s="5"/>
      <c r="O479" s="5"/>
      <c r="P479" s="5"/>
      <c r="Q479" s="5"/>
      <c r="R479" s="9"/>
      <c r="S479" s="9"/>
      <c r="T479" s="10"/>
      <c r="U479" s="9"/>
      <c r="V479" s="9"/>
    </row>
    <row r="480" ht="12.5" spans="1:22">
      <c r="A480" s="4"/>
      <c r="B480" s="4"/>
      <c r="C480" s="4"/>
      <c r="D480" s="4"/>
      <c r="E480" s="5"/>
      <c r="F480" s="5"/>
      <c r="G480" s="5"/>
      <c r="H480" s="5"/>
      <c r="I480" s="5"/>
      <c r="J480" s="5"/>
      <c r="K480" s="5"/>
      <c r="L480" s="5"/>
      <c r="M480" s="5"/>
      <c r="N480" s="5"/>
      <c r="O480" s="5"/>
      <c r="P480" s="5"/>
      <c r="Q480" s="5"/>
      <c r="R480" s="9"/>
      <c r="S480" s="9"/>
      <c r="T480" s="10"/>
      <c r="U480" s="9"/>
      <c r="V480" s="9"/>
    </row>
    <row r="481" ht="12.5" spans="1:22">
      <c r="A481" s="4"/>
      <c r="B481" s="4"/>
      <c r="C481" s="4"/>
      <c r="D481" s="4"/>
      <c r="E481" s="5"/>
      <c r="F481" s="5"/>
      <c r="G481" s="5"/>
      <c r="H481" s="5"/>
      <c r="I481" s="5"/>
      <c r="J481" s="5"/>
      <c r="K481" s="5"/>
      <c r="L481" s="5"/>
      <c r="M481" s="5"/>
      <c r="N481" s="5"/>
      <c r="O481" s="5"/>
      <c r="P481" s="5"/>
      <c r="Q481" s="5"/>
      <c r="R481" s="9"/>
      <c r="S481" s="9"/>
      <c r="T481" s="10"/>
      <c r="U481" s="9"/>
      <c r="V481" s="9"/>
    </row>
    <row r="482" ht="12.5" spans="1:22">
      <c r="A482" s="4"/>
      <c r="B482" s="4"/>
      <c r="C482" s="4"/>
      <c r="D482" s="4"/>
      <c r="E482" s="5"/>
      <c r="F482" s="5"/>
      <c r="G482" s="5"/>
      <c r="H482" s="5"/>
      <c r="I482" s="5"/>
      <c r="J482" s="5"/>
      <c r="K482" s="5"/>
      <c r="L482" s="5"/>
      <c r="M482" s="5"/>
      <c r="N482" s="5"/>
      <c r="O482" s="5"/>
      <c r="P482" s="5"/>
      <c r="Q482" s="5"/>
      <c r="R482" s="9"/>
      <c r="S482" s="9"/>
      <c r="T482" s="10"/>
      <c r="U482" s="9"/>
      <c r="V482" s="9"/>
    </row>
    <row r="483" ht="12.5" spans="1:22">
      <c r="A483" s="4"/>
      <c r="B483" s="4"/>
      <c r="C483" s="4"/>
      <c r="D483" s="4"/>
      <c r="E483" s="5"/>
      <c r="F483" s="5"/>
      <c r="G483" s="5"/>
      <c r="H483" s="5"/>
      <c r="I483" s="5"/>
      <c r="J483" s="5"/>
      <c r="K483" s="5"/>
      <c r="L483" s="5"/>
      <c r="M483" s="5"/>
      <c r="N483" s="5"/>
      <c r="O483" s="5"/>
      <c r="P483" s="5"/>
      <c r="Q483" s="5"/>
      <c r="R483" s="9"/>
      <c r="S483" s="9"/>
      <c r="T483" s="10"/>
      <c r="U483" s="9"/>
      <c r="V483" s="9"/>
    </row>
    <row r="484" ht="12.5" spans="1:22">
      <c r="A484" s="4"/>
      <c r="B484" s="4"/>
      <c r="C484" s="4"/>
      <c r="D484" s="4"/>
      <c r="E484" s="5"/>
      <c r="F484" s="5"/>
      <c r="G484" s="5"/>
      <c r="H484" s="5"/>
      <c r="I484" s="5"/>
      <c r="J484" s="5"/>
      <c r="K484" s="5"/>
      <c r="L484" s="5"/>
      <c r="M484" s="5"/>
      <c r="N484" s="5"/>
      <c r="O484" s="5"/>
      <c r="P484" s="5"/>
      <c r="Q484" s="5"/>
      <c r="R484" s="9"/>
      <c r="S484" s="9"/>
      <c r="T484" s="10"/>
      <c r="U484" s="9"/>
      <c r="V484" s="9"/>
    </row>
    <row r="485" ht="12.5" spans="1:22">
      <c r="A485" s="4"/>
      <c r="B485" s="4"/>
      <c r="C485" s="4"/>
      <c r="D485" s="4"/>
      <c r="E485" s="5"/>
      <c r="F485" s="5"/>
      <c r="G485" s="5"/>
      <c r="H485" s="5"/>
      <c r="I485" s="5"/>
      <c r="J485" s="5"/>
      <c r="K485" s="5"/>
      <c r="L485" s="5"/>
      <c r="M485" s="5"/>
      <c r="N485" s="5"/>
      <c r="O485" s="5"/>
      <c r="P485" s="5"/>
      <c r="Q485" s="5"/>
      <c r="R485" s="9"/>
      <c r="S485" s="9"/>
      <c r="T485" s="10"/>
      <c r="U485" s="9"/>
      <c r="V485" s="9"/>
    </row>
    <row r="486" ht="12.5" spans="1:22">
      <c r="A486" s="4"/>
      <c r="B486" s="4"/>
      <c r="C486" s="4"/>
      <c r="D486" s="4"/>
      <c r="E486" s="5"/>
      <c r="F486" s="5"/>
      <c r="G486" s="5"/>
      <c r="H486" s="5"/>
      <c r="I486" s="5"/>
      <c r="J486" s="5"/>
      <c r="K486" s="5"/>
      <c r="L486" s="5"/>
      <c r="M486" s="5"/>
      <c r="N486" s="5"/>
      <c r="O486" s="5"/>
      <c r="P486" s="5"/>
      <c r="Q486" s="5"/>
      <c r="R486" s="9"/>
      <c r="S486" s="9"/>
      <c r="T486" s="10"/>
      <c r="U486" s="9"/>
      <c r="V486" s="9"/>
    </row>
    <row r="487" ht="12.5" spans="1:22">
      <c r="A487" s="4"/>
      <c r="B487" s="4"/>
      <c r="C487" s="4"/>
      <c r="D487" s="4"/>
      <c r="E487" s="5"/>
      <c r="F487" s="5"/>
      <c r="G487" s="5"/>
      <c r="H487" s="5"/>
      <c r="I487" s="5"/>
      <c r="J487" s="5"/>
      <c r="K487" s="5"/>
      <c r="L487" s="5"/>
      <c r="M487" s="5"/>
      <c r="N487" s="5"/>
      <c r="O487" s="5"/>
      <c r="P487" s="5"/>
      <c r="Q487" s="5"/>
      <c r="R487" s="9"/>
      <c r="S487" s="9"/>
      <c r="T487" s="10"/>
      <c r="U487" s="9"/>
      <c r="V487" s="9"/>
    </row>
    <row r="488" ht="12.5" spans="1:22">
      <c r="A488" s="4"/>
      <c r="B488" s="4"/>
      <c r="C488" s="4"/>
      <c r="D488" s="4"/>
      <c r="E488" s="5"/>
      <c r="F488" s="5"/>
      <c r="G488" s="5"/>
      <c r="H488" s="5"/>
      <c r="I488" s="5"/>
      <c r="J488" s="5"/>
      <c r="K488" s="5"/>
      <c r="L488" s="5"/>
      <c r="M488" s="5"/>
      <c r="N488" s="5"/>
      <c r="O488" s="5"/>
      <c r="P488" s="5"/>
      <c r="Q488" s="5"/>
      <c r="R488" s="9"/>
      <c r="S488" s="9"/>
      <c r="T488" s="10"/>
      <c r="U488" s="9"/>
      <c r="V488" s="9"/>
    </row>
    <row r="489" ht="12.5" spans="1:22">
      <c r="A489" s="4"/>
      <c r="B489" s="4"/>
      <c r="C489" s="4"/>
      <c r="D489" s="4"/>
      <c r="E489" s="5"/>
      <c r="F489" s="5"/>
      <c r="G489" s="5"/>
      <c r="H489" s="5"/>
      <c r="I489" s="5"/>
      <c r="J489" s="5"/>
      <c r="K489" s="5"/>
      <c r="L489" s="5"/>
      <c r="M489" s="5"/>
      <c r="N489" s="5"/>
      <c r="O489" s="5"/>
      <c r="P489" s="5"/>
      <c r="Q489" s="5"/>
      <c r="R489" s="9"/>
      <c r="S489" s="9"/>
      <c r="T489" s="10"/>
      <c r="U489" s="9"/>
      <c r="V489" s="9"/>
    </row>
    <row r="490" ht="12.5" spans="1:22">
      <c r="A490" s="4"/>
      <c r="B490" s="4"/>
      <c r="C490" s="4"/>
      <c r="D490" s="4"/>
      <c r="E490" s="5"/>
      <c r="F490" s="5"/>
      <c r="G490" s="5"/>
      <c r="H490" s="5"/>
      <c r="I490" s="5"/>
      <c r="J490" s="5"/>
      <c r="K490" s="5"/>
      <c r="L490" s="5"/>
      <c r="M490" s="5"/>
      <c r="N490" s="5"/>
      <c r="O490" s="5"/>
      <c r="P490" s="5"/>
      <c r="Q490" s="5"/>
      <c r="R490" s="9"/>
      <c r="S490" s="9"/>
      <c r="T490" s="10"/>
      <c r="U490" s="9"/>
      <c r="V490" s="9"/>
    </row>
    <row r="491" ht="12.5" spans="1:22">
      <c r="A491" s="4"/>
      <c r="B491" s="4"/>
      <c r="C491" s="4"/>
      <c r="D491" s="4"/>
      <c r="E491" s="5"/>
      <c r="F491" s="5"/>
      <c r="G491" s="5"/>
      <c r="H491" s="5"/>
      <c r="I491" s="5"/>
      <c r="J491" s="5"/>
      <c r="K491" s="5"/>
      <c r="L491" s="5"/>
      <c r="M491" s="5"/>
      <c r="N491" s="5"/>
      <c r="O491" s="5"/>
      <c r="P491" s="5"/>
      <c r="Q491" s="5"/>
      <c r="R491" s="9"/>
      <c r="S491" s="9"/>
      <c r="T491" s="10"/>
      <c r="U491" s="9"/>
      <c r="V491" s="9"/>
    </row>
    <row r="492" ht="12.5" spans="1:22">
      <c r="A492" s="4"/>
      <c r="B492" s="4"/>
      <c r="C492" s="4"/>
      <c r="D492" s="4"/>
      <c r="E492" s="5"/>
      <c r="F492" s="5"/>
      <c r="G492" s="5"/>
      <c r="H492" s="5"/>
      <c r="I492" s="5"/>
      <c r="J492" s="5"/>
      <c r="K492" s="5"/>
      <c r="L492" s="5"/>
      <c r="M492" s="5"/>
      <c r="N492" s="5"/>
      <c r="O492" s="5"/>
      <c r="P492" s="5"/>
      <c r="Q492" s="5"/>
      <c r="R492" s="9"/>
      <c r="S492" s="9"/>
      <c r="T492" s="10"/>
      <c r="U492" s="9"/>
      <c r="V492" s="9"/>
    </row>
    <row r="493" ht="12.5" spans="1:22">
      <c r="A493" s="4"/>
      <c r="B493" s="4"/>
      <c r="C493" s="4"/>
      <c r="D493" s="4"/>
      <c r="E493" s="5"/>
      <c r="F493" s="5"/>
      <c r="G493" s="5"/>
      <c r="H493" s="5"/>
      <c r="I493" s="5"/>
      <c r="J493" s="5"/>
      <c r="K493" s="5"/>
      <c r="L493" s="5"/>
      <c r="M493" s="5"/>
      <c r="N493" s="5"/>
      <c r="O493" s="5"/>
      <c r="P493" s="5"/>
      <c r="Q493" s="5"/>
      <c r="R493" s="9"/>
      <c r="S493" s="9"/>
      <c r="T493" s="10"/>
      <c r="U493" s="9"/>
      <c r="V493" s="9"/>
    </row>
    <row r="494" ht="12.5" spans="1:22">
      <c r="A494" s="4"/>
      <c r="B494" s="4"/>
      <c r="C494" s="4"/>
      <c r="D494" s="4"/>
      <c r="E494" s="5"/>
      <c r="F494" s="5"/>
      <c r="G494" s="5"/>
      <c r="H494" s="5"/>
      <c r="I494" s="5"/>
      <c r="J494" s="5"/>
      <c r="K494" s="5"/>
      <c r="L494" s="5"/>
      <c r="M494" s="5"/>
      <c r="N494" s="5"/>
      <c r="O494" s="5"/>
      <c r="P494" s="5"/>
      <c r="Q494" s="5"/>
      <c r="R494" s="9"/>
      <c r="S494" s="9"/>
      <c r="T494" s="10"/>
      <c r="U494" s="9"/>
      <c r="V494" s="9"/>
    </row>
    <row r="495" ht="12.5" spans="1:22">
      <c r="A495" s="4"/>
      <c r="B495" s="4"/>
      <c r="C495" s="4"/>
      <c r="D495" s="4"/>
      <c r="E495" s="5"/>
      <c r="F495" s="5"/>
      <c r="G495" s="5"/>
      <c r="H495" s="5"/>
      <c r="I495" s="5"/>
      <c r="J495" s="5"/>
      <c r="K495" s="5"/>
      <c r="L495" s="5"/>
      <c r="M495" s="5"/>
      <c r="N495" s="5"/>
      <c r="O495" s="5"/>
      <c r="P495" s="5"/>
      <c r="Q495" s="5"/>
      <c r="R495" s="9"/>
      <c r="S495" s="9"/>
      <c r="T495" s="10"/>
      <c r="U495" s="9"/>
      <c r="V495" s="9"/>
    </row>
    <row r="496" ht="12.5" spans="1:22">
      <c r="A496" s="4"/>
      <c r="B496" s="4"/>
      <c r="C496" s="4"/>
      <c r="D496" s="4"/>
      <c r="E496" s="5"/>
      <c r="F496" s="5"/>
      <c r="G496" s="5"/>
      <c r="H496" s="5"/>
      <c r="I496" s="5"/>
      <c r="J496" s="5"/>
      <c r="K496" s="5"/>
      <c r="L496" s="5"/>
      <c r="M496" s="5"/>
      <c r="N496" s="5"/>
      <c r="O496" s="5"/>
      <c r="P496" s="5"/>
      <c r="Q496" s="5"/>
      <c r="R496" s="9"/>
      <c r="S496" s="9"/>
      <c r="T496" s="10"/>
      <c r="U496" s="9"/>
      <c r="V496" s="9"/>
    </row>
    <row r="497" ht="12.5" spans="1:22">
      <c r="A497" s="4"/>
      <c r="B497" s="4"/>
      <c r="C497" s="4"/>
      <c r="D497" s="4"/>
      <c r="E497" s="5"/>
      <c r="F497" s="5"/>
      <c r="G497" s="5"/>
      <c r="H497" s="5"/>
      <c r="I497" s="5"/>
      <c r="J497" s="5"/>
      <c r="K497" s="5"/>
      <c r="L497" s="5"/>
      <c r="M497" s="5"/>
      <c r="N497" s="5"/>
      <c r="O497" s="5"/>
      <c r="P497" s="5"/>
      <c r="Q497" s="5"/>
      <c r="R497" s="9"/>
      <c r="S497" s="9"/>
      <c r="T497" s="10"/>
      <c r="U497" s="9"/>
      <c r="V497" s="9"/>
    </row>
    <row r="498" ht="12.5" spans="1:22">
      <c r="A498" s="4"/>
      <c r="B498" s="4"/>
      <c r="C498" s="4"/>
      <c r="D498" s="4"/>
      <c r="E498" s="5"/>
      <c r="F498" s="5"/>
      <c r="G498" s="5"/>
      <c r="H498" s="5"/>
      <c r="I498" s="5"/>
      <c r="J498" s="5"/>
      <c r="K498" s="5"/>
      <c r="L498" s="5"/>
      <c r="M498" s="5"/>
      <c r="N498" s="5"/>
      <c r="O498" s="5"/>
      <c r="P498" s="5"/>
      <c r="Q498" s="5"/>
      <c r="R498" s="9"/>
      <c r="S498" s="9"/>
      <c r="T498" s="10"/>
      <c r="U498" s="9"/>
      <c r="V498" s="9"/>
    </row>
    <row r="499" ht="12.5" spans="1:22">
      <c r="A499" s="4"/>
      <c r="B499" s="4"/>
      <c r="C499" s="4"/>
      <c r="D499" s="4"/>
      <c r="E499" s="5"/>
      <c r="F499" s="5"/>
      <c r="G499" s="5"/>
      <c r="H499" s="5"/>
      <c r="I499" s="5"/>
      <c r="J499" s="5"/>
      <c r="K499" s="5"/>
      <c r="L499" s="5"/>
      <c r="M499" s="5"/>
      <c r="N499" s="5"/>
      <c r="O499" s="5"/>
      <c r="P499" s="5"/>
      <c r="Q499" s="5"/>
      <c r="R499" s="9"/>
      <c r="S499" s="9"/>
      <c r="T499" s="10"/>
      <c r="U499" s="9"/>
      <c r="V499" s="9"/>
    </row>
    <row r="500" ht="12.5" spans="1:22">
      <c r="A500" s="4"/>
      <c r="B500" s="4"/>
      <c r="C500" s="4"/>
      <c r="D500" s="4"/>
      <c r="E500" s="5"/>
      <c r="F500" s="5"/>
      <c r="G500" s="5"/>
      <c r="H500" s="5"/>
      <c r="I500" s="5"/>
      <c r="J500" s="5"/>
      <c r="K500" s="5"/>
      <c r="L500" s="5"/>
      <c r="M500" s="5"/>
      <c r="N500" s="5"/>
      <c r="O500" s="5"/>
      <c r="P500" s="5"/>
      <c r="Q500" s="5"/>
      <c r="R500" s="9"/>
      <c r="S500" s="9"/>
      <c r="T500" s="10"/>
      <c r="U500" s="9"/>
      <c r="V500" s="9"/>
    </row>
    <row r="501" ht="12.5" spans="1:22">
      <c r="A501" s="4"/>
      <c r="B501" s="4"/>
      <c r="C501" s="4"/>
      <c r="D501" s="4"/>
      <c r="E501" s="5"/>
      <c r="F501" s="5"/>
      <c r="G501" s="5"/>
      <c r="H501" s="5"/>
      <c r="I501" s="5"/>
      <c r="J501" s="5"/>
      <c r="K501" s="5"/>
      <c r="L501" s="5"/>
      <c r="M501" s="5"/>
      <c r="N501" s="5"/>
      <c r="O501" s="5"/>
      <c r="P501" s="5"/>
      <c r="Q501" s="5"/>
      <c r="R501" s="9"/>
      <c r="S501" s="9"/>
      <c r="T501" s="10"/>
      <c r="U501" s="9"/>
      <c r="V501" s="9"/>
    </row>
    <row r="502" ht="12.5" spans="1:22">
      <c r="A502" s="4"/>
      <c r="B502" s="4"/>
      <c r="C502" s="4"/>
      <c r="D502" s="4"/>
      <c r="E502" s="5"/>
      <c r="F502" s="5"/>
      <c r="G502" s="5"/>
      <c r="H502" s="5"/>
      <c r="I502" s="5"/>
      <c r="J502" s="5"/>
      <c r="K502" s="5"/>
      <c r="L502" s="5"/>
      <c r="M502" s="5"/>
      <c r="N502" s="5"/>
      <c r="O502" s="5"/>
      <c r="P502" s="5"/>
      <c r="Q502" s="5"/>
      <c r="R502" s="9"/>
      <c r="S502" s="9"/>
      <c r="T502" s="10"/>
      <c r="U502" s="9"/>
      <c r="V502" s="9"/>
    </row>
    <row r="503" ht="12.5" spans="1:22">
      <c r="A503" s="4"/>
      <c r="B503" s="4"/>
      <c r="C503" s="4"/>
      <c r="D503" s="4"/>
      <c r="E503" s="5"/>
      <c r="F503" s="5"/>
      <c r="G503" s="5"/>
      <c r="H503" s="5"/>
      <c r="I503" s="5"/>
      <c r="J503" s="5"/>
      <c r="K503" s="5"/>
      <c r="L503" s="5"/>
      <c r="M503" s="5"/>
      <c r="N503" s="5"/>
      <c r="O503" s="5"/>
      <c r="P503" s="5"/>
      <c r="Q503" s="5"/>
      <c r="R503" s="9"/>
      <c r="S503" s="9"/>
      <c r="T503" s="10"/>
      <c r="U503" s="9"/>
      <c r="V503" s="9"/>
    </row>
    <row r="504" ht="12.5" spans="1:22">
      <c r="A504" s="4"/>
      <c r="B504" s="4"/>
      <c r="C504" s="4"/>
      <c r="D504" s="4"/>
      <c r="E504" s="5"/>
      <c r="F504" s="5"/>
      <c r="G504" s="5"/>
      <c r="H504" s="5"/>
      <c r="I504" s="5"/>
      <c r="J504" s="5"/>
      <c r="K504" s="5"/>
      <c r="L504" s="5"/>
      <c r="M504" s="5"/>
      <c r="N504" s="5"/>
      <c r="O504" s="5"/>
      <c r="P504" s="5"/>
      <c r="Q504" s="5"/>
      <c r="R504" s="9"/>
      <c r="S504" s="9"/>
      <c r="T504" s="10"/>
      <c r="U504" s="9"/>
      <c r="V504" s="9"/>
    </row>
    <row r="505" ht="12.5" spans="1:22">
      <c r="A505" s="4"/>
      <c r="B505" s="4"/>
      <c r="C505" s="4"/>
      <c r="D505" s="4"/>
      <c r="E505" s="5"/>
      <c r="F505" s="5"/>
      <c r="G505" s="5"/>
      <c r="H505" s="5"/>
      <c r="I505" s="5"/>
      <c r="J505" s="5"/>
      <c r="K505" s="5"/>
      <c r="L505" s="5"/>
      <c r="M505" s="5"/>
      <c r="N505" s="5"/>
      <c r="O505" s="5"/>
      <c r="P505" s="5"/>
      <c r="Q505" s="5"/>
      <c r="R505" s="9"/>
      <c r="S505" s="9"/>
      <c r="T505" s="10"/>
      <c r="U505" s="9"/>
      <c r="V505" s="9"/>
    </row>
    <row r="506" ht="12.5" spans="1:22">
      <c r="A506" s="4"/>
      <c r="B506" s="4"/>
      <c r="C506" s="4"/>
      <c r="D506" s="4"/>
      <c r="E506" s="5"/>
      <c r="F506" s="5"/>
      <c r="G506" s="5"/>
      <c r="H506" s="5"/>
      <c r="I506" s="5"/>
      <c r="J506" s="5"/>
      <c r="K506" s="5"/>
      <c r="L506" s="5"/>
      <c r="M506" s="5"/>
      <c r="N506" s="5"/>
      <c r="O506" s="5"/>
      <c r="P506" s="5"/>
      <c r="Q506" s="5"/>
      <c r="R506" s="9"/>
      <c r="S506" s="9"/>
      <c r="T506" s="10"/>
      <c r="U506" s="9"/>
      <c r="V506" s="9"/>
    </row>
    <row r="507" ht="12.5" spans="1:22">
      <c r="A507" s="4"/>
      <c r="B507" s="4"/>
      <c r="C507" s="4"/>
      <c r="D507" s="4"/>
      <c r="E507" s="5"/>
      <c r="F507" s="5"/>
      <c r="G507" s="5"/>
      <c r="H507" s="5"/>
      <c r="I507" s="5"/>
      <c r="J507" s="5"/>
      <c r="K507" s="5"/>
      <c r="L507" s="5"/>
      <c r="M507" s="5"/>
      <c r="N507" s="5"/>
      <c r="O507" s="5"/>
      <c r="P507" s="5"/>
      <c r="Q507" s="5"/>
      <c r="R507" s="9"/>
      <c r="S507" s="9"/>
      <c r="T507" s="10"/>
      <c r="U507" s="9"/>
      <c r="V507" s="9"/>
    </row>
    <row r="508" ht="12.5" spans="1:22">
      <c r="A508" s="4"/>
      <c r="B508" s="4"/>
      <c r="C508" s="4"/>
      <c r="D508" s="4"/>
      <c r="E508" s="5"/>
      <c r="F508" s="5"/>
      <c r="G508" s="5"/>
      <c r="H508" s="5"/>
      <c r="I508" s="5"/>
      <c r="J508" s="5"/>
      <c r="K508" s="5"/>
      <c r="L508" s="5"/>
      <c r="M508" s="5"/>
      <c r="N508" s="5"/>
      <c r="O508" s="5"/>
      <c r="P508" s="5"/>
      <c r="Q508" s="5"/>
      <c r="R508" s="9"/>
      <c r="S508" s="9"/>
      <c r="T508" s="10"/>
      <c r="U508" s="9"/>
      <c r="V508" s="9"/>
    </row>
    <row r="509" ht="12.5" spans="1:22">
      <c r="A509" s="4"/>
      <c r="B509" s="4"/>
      <c r="C509" s="4"/>
      <c r="D509" s="4"/>
      <c r="E509" s="5"/>
      <c r="F509" s="5"/>
      <c r="G509" s="5"/>
      <c r="H509" s="5"/>
      <c r="I509" s="5"/>
      <c r="J509" s="5"/>
      <c r="K509" s="5"/>
      <c r="L509" s="5"/>
      <c r="M509" s="5"/>
      <c r="N509" s="5"/>
      <c r="O509" s="5"/>
      <c r="P509" s="5"/>
      <c r="Q509" s="5"/>
      <c r="R509" s="9"/>
      <c r="S509" s="9"/>
      <c r="T509" s="10"/>
      <c r="U509" s="9"/>
      <c r="V509" s="9"/>
    </row>
    <row r="510" ht="12.5" spans="1:22">
      <c r="A510" s="4"/>
      <c r="B510" s="4"/>
      <c r="C510" s="4"/>
      <c r="D510" s="4"/>
      <c r="E510" s="5"/>
      <c r="F510" s="5"/>
      <c r="G510" s="5"/>
      <c r="H510" s="5"/>
      <c r="I510" s="5"/>
      <c r="J510" s="5"/>
      <c r="K510" s="5"/>
      <c r="L510" s="5"/>
      <c r="M510" s="5"/>
      <c r="N510" s="5"/>
      <c r="O510" s="5"/>
      <c r="P510" s="5"/>
      <c r="Q510" s="5"/>
      <c r="R510" s="9"/>
      <c r="S510" s="9"/>
      <c r="T510" s="10"/>
      <c r="U510" s="9"/>
      <c r="V510" s="9"/>
    </row>
    <row r="511" ht="12.5" spans="1:22">
      <c r="A511" s="4"/>
      <c r="B511" s="4"/>
      <c r="C511" s="4"/>
      <c r="D511" s="4"/>
      <c r="E511" s="5"/>
      <c r="F511" s="5"/>
      <c r="G511" s="5"/>
      <c r="H511" s="5"/>
      <c r="I511" s="5"/>
      <c r="J511" s="5"/>
      <c r="K511" s="5"/>
      <c r="L511" s="5"/>
      <c r="M511" s="5"/>
      <c r="N511" s="5"/>
      <c r="O511" s="5"/>
      <c r="P511" s="5"/>
      <c r="Q511" s="5"/>
      <c r="R511" s="9"/>
      <c r="S511" s="9"/>
      <c r="T511" s="10"/>
      <c r="U511" s="9"/>
      <c r="V511" s="9"/>
    </row>
    <row r="512" ht="12.5" spans="1:22">
      <c r="A512" s="4"/>
      <c r="B512" s="4"/>
      <c r="C512" s="4"/>
      <c r="D512" s="4"/>
      <c r="E512" s="5"/>
      <c r="F512" s="5"/>
      <c r="G512" s="5"/>
      <c r="H512" s="5"/>
      <c r="I512" s="5"/>
      <c r="J512" s="5"/>
      <c r="K512" s="5"/>
      <c r="L512" s="5"/>
      <c r="M512" s="5"/>
      <c r="N512" s="5"/>
      <c r="O512" s="5"/>
      <c r="P512" s="5"/>
      <c r="Q512" s="5"/>
      <c r="R512" s="9"/>
      <c r="S512" s="9"/>
      <c r="T512" s="10"/>
      <c r="U512" s="9"/>
      <c r="V512" s="9"/>
    </row>
    <row r="513" ht="12.5" spans="1:22">
      <c r="A513" s="4"/>
      <c r="B513" s="4"/>
      <c r="C513" s="4"/>
      <c r="D513" s="4"/>
      <c r="E513" s="5"/>
      <c r="F513" s="5"/>
      <c r="G513" s="5"/>
      <c r="H513" s="5"/>
      <c r="I513" s="5"/>
      <c r="J513" s="5"/>
      <c r="K513" s="5"/>
      <c r="L513" s="5"/>
      <c r="M513" s="5"/>
      <c r="N513" s="5"/>
      <c r="O513" s="5"/>
      <c r="P513" s="5"/>
      <c r="Q513" s="5"/>
      <c r="R513" s="9"/>
      <c r="S513" s="9"/>
      <c r="T513" s="10"/>
      <c r="U513" s="9"/>
      <c r="V513" s="9"/>
    </row>
    <row r="514" ht="12.5" spans="1:22">
      <c r="A514" s="4"/>
      <c r="B514" s="4"/>
      <c r="C514" s="4"/>
      <c r="D514" s="4"/>
      <c r="E514" s="5"/>
      <c r="F514" s="5"/>
      <c r="G514" s="5"/>
      <c r="H514" s="5"/>
      <c r="I514" s="5"/>
      <c r="J514" s="5"/>
      <c r="K514" s="5"/>
      <c r="L514" s="5"/>
      <c r="M514" s="5"/>
      <c r="N514" s="5"/>
      <c r="O514" s="5"/>
      <c r="P514" s="5"/>
      <c r="Q514" s="5"/>
      <c r="R514" s="9"/>
      <c r="S514" s="9"/>
      <c r="T514" s="10"/>
      <c r="U514" s="9"/>
      <c r="V514" s="9"/>
    </row>
    <row r="515" ht="12.5" spans="1:22">
      <c r="A515" s="4"/>
      <c r="B515" s="4"/>
      <c r="C515" s="4"/>
      <c r="D515" s="4"/>
      <c r="E515" s="5"/>
      <c r="F515" s="5"/>
      <c r="G515" s="5"/>
      <c r="H515" s="5"/>
      <c r="I515" s="5"/>
      <c r="J515" s="5"/>
      <c r="K515" s="5"/>
      <c r="L515" s="5"/>
      <c r="M515" s="5"/>
      <c r="N515" s="5"/>
      <c r="O515" s="5"/>
      <c r="P515" s="5"/>
      <c r="Q515" s="5"/>
      <c r="R515" s="9"/>
      <c r="S515" s="9"/>
      <c r="T515" s="10"/>
      <c r="U515" s="9"/>
      <c r="V515" s="9"/>
    </row>
    <row r="516" ht="12.5" spans="1:22">
      <c r="A516" s="4"/>
      <c r="B516" s="4"/>
      <c r="C516" s="4"/>
      <c r="D516" s="4"/>
      <c r="E516" s="5"/>
      <c r="F516" s="5"/>
      <c r="G516" s="5"/>
      <c r="H516" s="5"/>
      <c r="I516" s="5"/>
      <c r="J516" s="5"/>
      <c r="K516" s="5"/>
      <c r="L516" s="5"/>
      <c r="M516" s="5"/>
      <c r="N516" s="5"/>
      <c r="O516" s="5"/>
      <c r="P516" s="5"/>
      <c r="Q516" s="5"/>
      <c r="R516" s="9"/>
      <c r="S516" s="9"/>
      <c r="T516" s="10"/>
      <c r="U516" s="9"/>
      <c r="V516" s="9"/>
    </row>
    <row r="517" ht="12.5" spans="1:22">
      <c r="A517" s="4"/>
      <c r="B517" s="4"/>
      <c r="C517" s="4"/>
      <c r="D517" s="4"/>
      <c r="E517" s="5"/>
      <c r="F517" s="5"/>
      <c r="G517" s="5"/>
      <c r="H517" s="5"/>
      <c r="I517" s="5"/>
      <c r="J517" s="5"/>
      <c r="K517" s="5"/>
      <c r="L517" s="5"/>
      <c r="M517" s="5"/>
      <c r="N517" s="5"/>
      <c r="O517" s="5"/>
      <c r="P517" s="5"/>
      <c r="Q517" s="5"/>
      <c r="R517" s="9"/>
      <c r="S517" s="9"/>
      <c r="T517" s="10"/>
      <c r="U517" s="9"/>
      <c r="V517" s="9"/>
    </row>
    <row r="518" ht="12.5" spans="1:22">
      <c r="A518" s="4"/>
      <c r="B518" s="4"/>
      <c r="C518" s="4"/>
      <c r="D518" s="4"/>
      <c r="E518" s="5"/>
      <c r="F518" s="5"/>
      <c r="G518" s="5"/>
      <c r="H518" s="5"/>
      <c r="I518" s="5"/>
      <c r="J518" s="5"/>
      <c r="K518" s="5"/>
      <c r="L518" s="5"/>
      <c r="M518" s="5"/>
      <c r="N518" s="5"/>
      <c r="O518" s="5"/>
      <c r="P518" s="5"/>
      <c r="Q518" s="5"/>
      <c r="R518" s="9"/>
      <c r="S518" s="9"/>
      <c r="T518" s="10"/>
      <c r="U518" s="9"/>
      <c r="V518" s="9"/>
    </row>
    <row r="519" ht="12.5" spans="1:22">
      <c r="A519" s="4"/>
      <c r="B519" s="4"/>
      <c r="C519" s="4"/>
      <c r="D519" s="4"/>
      <c r="E519" s="5"/>
      <c r="F519" s="5"/>
      <c r="G519" s="5"/>
      <c r="H519" s="5"/>
      <c r="I519" s="5"/>
      <c r="J519" s="5"/>
      <c r="K519" s="5"/>
      <c r="L519" s="5"/>
      <c r="M519" s="5"/>
      <c r="N519" s="5"/>
      <c r="O519" s="5"/>
      <c r="P519" s="5"/>
      <c r="Q519" s="5"/>
      <c r="R519" s="9"/>
      <c r="S519" s="9"/>
      <c r="T519" s="10"/>
      <c r="U519" s="9"/>
      <c r="V519" s="9"/>
    </row>
    <row r="520" ht="12.5" spans="1:22">
      <c r="A520" s="4"/>
      <c r="B520" s="4"/>
      <c r="C520" s="4"/>
      <c r="D520" s="4"/>
      <c r="E520" s="5"/>
      <c r="F520" s="5"/>
      <c r="G520" s="5"/>
      <c r="H520" s="5"/>
      <c r="I520" s="5"/>
      <c r="J520" s="5"/>
      <c r="K520" s="5"/>
      <c r="L520" s="5"/>
      <c r="M520" s="5"/>
      <c r="N520" s="5"/>
      <c r="O520" s="5"/>
      <c r="P520" s="5"/>
      <c r="Q520" s="5"/>
      <c r="R520" s="9"/>
      <c r="S520" s="9"/>
      <c r="T520" s="10"/>
      <c r="U520" s="9"/>
      <c r="V520" s="9"/>
    </row>
    <row r="521" ht="12.5" spans="1:22">
      <c r="A521" s="4"/>
      <c r="B521" s="4"/>
      <c r="C521" s="4"/>
      <c r="D521" s="4"/>
      <c r="E521" s="5"/>
      <c r="F521" s="5"/>
      <c r="G521" s="5"/>
      <c r="H521" s="5"/>
      <c r="I521" s="5"/>
      <c r="J521" s="5"/>
      <c r="K521" s="5"/>
      <c r="L521" s="5"/>
      <c r="M521" s="5"/>
      <c r="N521" s="5"/>
      <c r="O521" s="5"/>
      <c r="P521" s="5"/>
      <c r="Q521" s="5"/>
      <c r="R521" s="9"/>
      <c r="S521" s="9"/>
      <c r="T521" s="10"/>
      <c r="U521" s="9"/>
      <c r="V521" s="9"/>
    </row>
    <row r="522" ht="12.5" spans="1:22">
      <c r="A522" s="4"/>
      <c r="B522" s="4"/>
      <c r="C522" s="4"/>
      <c r="D522" s="4"/>
      <c r="E522" s="5"/>
      <c r="F522" s="5"/>
      <c r="G522" s="5"/>
      <c r="H522" s="5"/>
      <c r="I522" s="5"/>
      <c r="J522" s="5"/>
      <c r="K522" s="5"/>
      <c r="L522" s="5"/>
      <c r="M522" s="5"/>
      <c r="N522" s="5"/>
      <c r="O522" s="5"/>
      <c r="P522" s="5"/>
      <c r="Q522" s="5"/>
      <c r="R522" s="9"/>
      <c r="S522" s="9"/>
      <c r="T522" s="10"/>
      <c r="U522" s="9"/>
      <c r="V522" s="9"/>
    </row>
    <row r="523" ht="12.5" spans="1:22">
      <c r="A523" s="4"/>
      <c r="B523" s="4"/>
      <c r="C523" s="4"/>
      <c r="D523" s="4"/>
      <c r="E523" s="5"/>
      <c r="F523" s="5"/>
      <c r="G523" s="5"/>
      <c r="H523" s="5"/>
      <c r="I523" s="5"/>
      <c r="J523" s="5"/>
      <c r="K523" s="5"/>
      <c r="L523" s="5"/>
      <c r="M523" s="5"/>
      <c r="N523" s="5"/>
      <c r="O523" s="5"/>
      <c r="P523" s="5"/>
      <c r="Q523" s="5"/>
      <c r="R523" s="9"/>
      <c r="S523" s="9"/>
      <c r="T523" s="10"/>
      <c r="U523" s="9"/>
      <c r="V523" s="9"/>
    </row>
    <row r="524" ht="12.5" spans="1:22">
      <c r="A524" s="4"/>
      <c r="B524" s="4"/>
      <c r="C524" s="4"/>
      <c r="D524" s="4"/>
      <c r="E524" s="5"/>
      <c r="F524" s="5"/>
      <c r="G524" s="5"/>
      <c r="H524" s="5"/>
      <c r="I524" s="5"/>
      <c r="J524" s="5"/>
      <c r="K524" s="5"/>
      <c r="L524" s="5"/>
      <c r="M524" s="5"/>
      <c r="N524" s="5"/>
      <c r="O524" s="5"/>
      <c r="P524" s="5"/>
      <c r="Q524" s="5"/>
      <c r="R524" s="9"/>
      <c r="S524" s="9"/>
      <c r="T524" s="10"/>
      <c r="U524" s="9"/>
      <c r="V524" s="9"/>
    </row>
    <row r="525" ht="12.5" spans="1:22">
      <c r="A525" s="4"/>
      <c r="B525" s="4"/>
      <c r="C525" s="4"/>
      <c r="D525" s="4"/>
      <c r="E525" s="5"/>
      <c r="F525" s="5"/>
      <c r="G525" s="5"/>
      <c r="H525" s="5"/>
      <c r="I525" s="5"/>
      <c r="J525" s="5"/>
      <c r="K525" s="5"/>
      <c r="L525" s="5"/>
      <c r="M525" s="5"/>
      <c r="N525" s="5"/>
      <c r="O525" s="5"/>
      <c r="P525" s="5"/>
      <c r="Q525" s="5"/>
      <c r="R525" s="9"/>
      <c r="S525" s="9"/>
      <c r="T525" s="10"/>
      <c r="U525" s="9"/>
      <c r="V525" s="9"/>
    </row>
    <row r="526" ht="12.5" spans="1:22">
      <c r="A526" s="4"/>
      <c r="B526" s="4"/>
      <c r="C526" s="4"/>
      <c r="D526" s="4"/>
      <c r="E526" s="5"/>
      <c r="F526" s="5"/>
      <c r="G526" s="5"/>
      <c r="H526" s="5"/>
      <c r="I526" s="5"/>
      <c r="J526" s="5"/>
      <c r="K526" s="5"/>
      <c r="L526" s="5"/>
      <c r="M526" s="5"/>
      <c r="N526" s="5"/>
      <c r="O526" s="5"/>
      <c r="P526" s="5"/>
      <c r="Q526" s="5"/>
      <c r="R526" s="9"/>
      <c r="S526" s="9"/>
      <c r="T526" s="10"/>
      <c r="U526" s="9"/>
      <c r="V526" s="9"/>
    </row>
    <row r="527" ht="12.5" spans="1:22">
      <c r="A527" s="4"/>
      <c r="B527" s="4"/>
      <c r="C527" s="4"/>
      <c r="D527" s="4"/>
      <c r="E527" s="5"/>
      <c r="F527" s="5"/>
      <c r="G527" s="5"/>
      <c r="H527" s="5"/>
      <c r="I527" s="5"/>
      <c r="J527" s="5"/>
      <c r="K527" s="5"/>
      <c r="L527" s="5"/>
      <c r="M527" s="5"/>
      <c r="N527" s="5"/>
      <c r="O527" s="5"/>
      <c r="P527" s="5"/>
      <c r="Q527" s="5"/>
      <c r="R527" s="9"/>
      <c r="S527" s="9"/>
      <c r="T527" s="10"/>
      <c r="U527" s="9"/>
      <c r="V527" s="9"/>
    </row>
    <row r="528" ht="12.5" spans="1:22">
      <c r="A528" s="4"/>
      <c r="B528" s="4"/>
      <c r="C528" s="4"/>
      <c r="D528" s="4"/>
      <c r="E528" s="5"/>
      <c r="F528" s="5"/>
      <c r="G528" s="5"/>
      <c r="H528" s="5"/>
      <c r="I528" s="5"/>
      <c r="J528" s="5"/>
      <c r="K528" s="5"/>
      <c r="L528" s="5"/>
      <c r="M528" s="5"/>
      <c r="N528" s="5"/>
      <c r="O528" s="5"/>
      <c r="P528" s="5"/>
      <c r="Q528" s="5"/>
      <c r="R528" s="9"/>
      <c r="S528" s="9"/>
      <c r="T528" s="10"/>
      <c r="U528" s="9"/>
      <c r="V528" s="9"/>
    </row>
    <row r="529" ht="12.5" spans="1:22">
      <c r="A529" s="4"/>
      <c r="B529" s="4"/>
      <c r="C529" s="4"/>
      <c r="D529" s="4"/>
      <c r="E529" s="5"/>
      <c r="F529" s="5"/>
      <c r="G529" s="5"/>
      <c r="H529" s="5"/>
      <c r="I529" s="5"/>
      <c r="J529" s="5"/>
      <c r="K529" s="5"/>
      <c r="L529" s="5"/>
      <c r="M529" s="5"/>
      <c r="N529" s="5"/>
      <c r="O529" s="5"/>
      <c r="P529" s="5"/>
      <c r="Q529" s="5"/>
      <c r="R529" s="9"/>
      <c r="S529" s="9"/>
      <c r="T529" s="10"/>
      <c r="U529" s="9"/>
      <c r="V529" s="9"/>
    </row>
    <row r="530" ht="12.5" spans="1:22">
      <c r="A530" s="4"/>
      <c r="B530" s="4"/>
      <c r="C530" s="4"/>
      <c r="D530" s="4"/>
      <c r="E530" s="5"/>
      <c r="F530" s="5"/>
      <c r="G530" s="5"/>
      <c r="H530" s="5"/>
      <c r="I530" s="5"/>
      <c r="J530" s="5"/>
      <c r="K530" s="5"/>
      <c r="L530" s="5"/>
      <c r="M530" s="5"/>
      <c r="N530" s="5"/>
      <c r="O530" s="5"/>
      <c r="P530" s="5"/>
      <c r="Q530" s="5"/>
      <c r="R530" s="9"/>
      <c r="S530" s="9"/>
      <c r="T530" s="10"/>
      <c r="U530" s="9"/>
      <c r="V530" s="9"/>
    </row>
    <row r="531" ht="12.5" spans="1:22">
      <c r="A531" s="4"/>
      <c r="B531" s="4"/>
      <c r="C531" s="4"/>
      <c r="D531" s="4"/>
      <c r="E531" s="5"/>
      <c r="F531" s="5"/>
      <c r="G531" s="5"/>
      <c r="H531" s="5"/>
      <c r="I531" s="5"/>
      <c r="J531" s="5"/>
      <c r="K531" s="5"/>
      <c r="L531" s="5"/>
      <c r="M531" s="5"/>
      <c r="N531" s="5"/>
      <c r="O531" s="5"/>
      <c r="P531" s="5"/>
      <c r="Q531" s="5"/>
      <c r="R531" s="9"/>
      <c r="S531" s="9"/>
      <c r="T531" s="10"/>
      <c r="U531" s="9"/>
      <c r="V531" s="9"/>
    </row>
    <row r="532" ht="12.5" spans="1:22">
      <c r="A532" s="4"/>
      <c r="B532" s="4"/>
      <c r="C532" s="4"/>
      <c r="D532" s="4"/>
      <c r="E532" s="5"/>
      <c r="F532" s="5"/>
      <c r="G532" s="5"/>
      <c r="H532" s="5"/>
      <c r="I532" s="5"/>
      <c r="J532" s="5"/>
      <c r="K532" s="5"/>
      <c r="L532" s="5"/>
      <c r="M532" s="5"/>
      <c r="N532" s="5"/>
      <c r="O532" s="5"/>
      <c r="P532" s="5"/>
      <c r="Q532" s="5"/>
      <c r="R532" s="9"/>
      <c r="S532" s="9"/>
      <c r="T532" s="10"/>
      <c r="U532" s="9"/>
      <c r="V532" s="9"/>
    </row>
    <row r="533" ht="12.5" spans="1:22">
      <c r="A533" s="4"/>
      <c r="B533" s="4"/>
      <c r="C533" s="4"/>
      <c r="D533" s="4"/>
      <c r="E533" s="5"/>
      <c r="F533" s="5"/>
      <c r="G533" s="5"/>
      <c r="H533" s="5"/>
      <c r="I533" s="5"/>
      <c r="J533" s="5"/>
      <c r="K533" s="5"/>
      <c r="L533" s="5"/>
      <c r="M533" s="5"/>
      <c r="N533" s="5"/>
      <c r="O533" s="5"/>
      <c r="P533" s="5"/>
      <c r="Q533" s="5"/>
      <c r="R533" s="9"/>
      <c r="S533" s="9"/>
      <c r="T533" s="10"/>
      <c r="U533" s="9"/>
      <c r="V533" s="9"/>
    </row>
    <row r="534" ht="12.5" spans="1:22">
      <c r="A534" s="4"/>
      <c r="B534" s="4"/>
      <c r="C534" s="4"/>
      <c r="D534" s="4"/>
      <c r="E534" s="5"/>
      <c r="F534" s="5"/>
      <c r="G534" s="5"/>
      <c r="H534" s="5"/>
      <c r="I534" s="5"/>
      <c r="J534" s="5"/>
      <c r="K534" s="5"/>
      <c r="L534" s="5"/>
      <c r="M534" s="5"/>
      <c r="N534" s="5"/>
      <c r="O534" s="5"/>
      <c r="P534" s="5"/>
      <c r="Q534" s="5"/>
      <c r="R534" s="9"/>
      <c r="S534" s="9"/>
      <c r="T534" s="10"/>
      <c r="U534" s="9"/>
      <c r="V534" s="9"/>
    </row>
    <row r="535" ht="12.5" spans="1:22">
      <c r="A535" s="4"/>
      <c r="B535" s="4"/>
      <c r="C535" s="4"/>
      <c r="D535" s="4"/>
      <c r="E535" s="5"/>
      <c r="F535" s="5"/>
      <c r="G535" s="5"/>
      <c r="H535" s="5"/>
      <c r="I535" s="5"/>
      <c r="J535" s="5"/>
      <c r="K535" s="5"/>
      <c r="L535" s="5"/>
      <c r="M535" s="5"/>
      <c r="N535" s="5"/>
      <c r="O535" s="5"/>
      <c r="P535" s="5"/>
      <c r="Q535" s="5"/>
      <c r="R535" s="9"/>
      <c r="S535" s="9"/>
      <c r="T535" s="10"/>
      <c r="U535" s="9"/>
      <c r="V535" s="9"/>
    </row>
    <row r="536" ht="12.5" spans="1:22">
      <c r="A536" s="4"/>
      <c r="B536" s="4"/>
      <c r="C536" s="4"/>
      <c r="D536" s="4"/>
      <c r="E536" s="5"/>
      <c r="F536" s="5"/>
      <c r="G536" s="5"/>
      <c r="H536" s="5"/>
      <c r="I536" s="5"/>
      <c r="J536" s="5"/>
      <c r="K536" s="5"/>
      <c r="L536" s="5"/>
      <c r="M536" s="5"/>
      <c r="N536" s="5"/>
      <c r="O536" s="5"/>
      <c r="P536" s="5"/>
      <c r="Q536" s="5"/>
      <c r="R536" s="9"/>
      <c r="S536" s="9"/>
      <c r="T536" s="10"/>
      <c r="U536" s="9"/>
      <c r="V536" s="9"/>
    </row>
    <row r="537" ht="12.5" spans="1:22">
      <c r="A537" s="4"/>
      <c r="B537" s="4"/>
      <c r="C537" s="4"/>
      <c r="D537" s="4"/>
      <c r="E537" s="5"/>
      <c r="F537" s="5"/>
      <c r="G537" s="5"/>
      <c r="H537" s="5"/>
      <c r="I537" s="5"/>
      <c r="J537" s="5"/>
      <c r="K537" s="5"/>
      <c r="L537" s="5"/>
      <c r="M537" s="5"/>
      <c r="N537" s="5"/>
      <c r="O537" s="5"/>
      <c r="P537" s="5"/>
      <c r="Q537" s="5"/>
      <c r="R537" s="9"/>
      <c r="S537" s="9"/>
      <c r="T537" s="10"/>
      <c r="U537" s="9"/>
      <c r="V537" s="9"/>
    </row>
    <row r="538" ht="12.5" spans="1:22">
      <c r="A538" s="4"/>
      <c r="B538" s="4"/>
      <c r="C538" s="4"/>
      <c r="D538" s="4"/>
      <c r="E538" s="5"/>
      <c r="F538" s="5"/>
      <c r="G538" s="5"/>
      <c r="H538" s="5"/>
      <c r="I538" s="5"/>
      <c r="J538" s="5"/>
      <c r="K538" s="5"/>
      <c r="L538" s="5"/>
      <c r="M538" s="5"/>
      <c r="N538" s="5"/>
      <c r="O538" s="5"/>
      <c r="P538" s="5"/>
      <c r="Q538" s="5"/>
      <c r="R538" s="9"/>
      <c r="S538" s="9"/>
      <c r="T538" s="10"/>
      <c r="U538" s="9"/>
      <c r="V538" s="9"/>
    </row>
    <row r="539" ht="12.5" spans="1:22">
      <c r="A539" s="4"/>
      <c r="B539" s="4"/>
      <c r="C539" s="4"/>
      <c r="D539" s="4"/>
      <c r="E539" s="5"/>
      <c r="F539" s="5"/>
      <c r="G539" s="5"/>
      <c r="H539" s="5"/>
      <c r="I539" s="5"/>
      <c r="J539" s="5"/>
      <c r="K539" s="5"/>
      <c r="L539" s="5"/>
      <c r="M539" s="5"/>
      <c r="N539" s="5"/>
      <c r="O539" s="5"/>
      <c r="P539" s="5"/>
      <c r="Q539" s="5"/>
      <c r="R539" s="9"/>
      <c r="S539" s="9"/>
      <c r="T539" s="10"/>
      <c r="U539" s="9"/>
      <c r="V539" s="9"/>
    </row>
    <row r="540" ht="12.5" spans="1:22">
      <c r="A540" s="4"/>
      <c r="B540" s="4"/>
      <c r="C540" s="4"/>
      <c r="D540" s="4"/>
      <c r="E540" s="5"/>
      <c r="F540" s="5"/>
      <c r="G540" s="5"/>
      <c r="H540" s="5"/>
      <c r="I540" s="5"/>
      <c r="J540" s="5"/>
      <c r="K540" s="5"/>
      <c r="L540" s="5"/>
      <c r="M540" s="5"/>
      <c r="N540" s="5"/>
      <c r="O540" s="5"/>
      <c r="P540" s="5"/>
      <c r="Q540" s="5"/>
      <c r="R540" s="9"/>
      <c r="S540" s="9"/>
      <c r="T540" s="10"/>
      <c r="U540" s="9"/>
      <c r="V540" s="9"/>
    </row>
    <row r="541" ht="12.5" spans="1:22">
      <c r="A541" s="4"/>
      <c r="B541" s="4"/>
      <c r="C541" s="4"/>
      <c r="D541" s="4"/>
      <c r="E541" s="5"/>
      <c r="F541" s="5"/>
      <c r="G541" s="5"/>
      <c r="H541" s="5"/>
      <c r="I541" s="5"/>
      <c r="J541" s="5"/>
      <c r="K541" s="5"/>
      <c r="L541" s="5"/>
      <c r="M541" s="5"/>
      <c r="N541" s="5"/>
      <c r="O541" s="5"/>
      <c r="P541" s="5"/>
      <c r="Q541" s="5"/>
      <c r="R541" s="9"/>
      <c r="S541" s="9"/>
      <c r="T541" s="10"/>
      <c r="U541" s="9"/>
      <c r="V541" s="9"/>
    </row>
    <row r="542" ht="12.5" spans="1:22">
      <c r="A542" s="4"/>
      <c r="B542" s="4"/>
      <c r="C542" s="4"/>
      <c r="D542" s="4"/>
      <c r="E542" s="5"/>
      <c r="F542" s="5"/>
      <c r="G542" s="5"/>
      <c r="H542" s="5"/>
      <c r="I542" s="5"/>
      <c r="J542" s="5"/>
      <c r="K542" s="5"/>
      <c r="L542" s="5"/>
      <c r="M542" s="5"/>
      <c r="N542" s="5"/>
      <c r="O542" s="5"/>
      <c r="P542" s="5"/>
      <c r="Q542" s="5"/>
      <c r="R542" s="9"/>
      <c r="S542" s="9"/>
      <c r="T542" s="10"/>
      <c r="U542" s="9"/>
      <c r="V542" s="9"/>
    </row>
    <row r="543" ht="12.5" spans="1:22">
      <c r="A543" s="4"/>
      <c r="B543" s="4"/>
      <c r="C543" s="4"/>
      <c r="D543" s="4"/>
      <c r="E543" s="5"/>
      <c r="F543" s="5"/>
      <c r="G543" s="5"/>
      <c r="H543" s="5"/>
      <c r="I543" s="5"/>
      <c r="J543" s="5"/>
      <c r="K543" s="5"/>
      <c r="L543" s="5"/>
      <c r="M543" s="5"/>
      <c r="N543" s="5"/>
      <c r="O543" s="5"/>
      <c r="P543" s="5"/>
      <c r="Q543" s="5"/>
      <c r="R543" s="9"/>
      <c r="S543" s="9"/>
      <c r="T543" s="10"/>
      <c r="U543" s="9"/>
      <c r="V543" s="9"/>
    </row>
    <row r="544" ht="12.5" spans="1:22">
      <c r="A544" s="4"/>
      <c r="B544" s="4"/>
      <c r="C544" s="4"/>
      <c r="D544" s="4"/>
      <c r="E544" s="5"/>
      <c r="F544" s="5"/>
      <c r="G544" s="5"/>
      <c r="H544" s="5"/>
      <c r="I544" s="5"/>
      <c r="J544" s="5"/>
      <c r="K544" s="5"/>
      <c r="L544" s="5"/>
      <c r="M544" s="5"/>
      <c r="N544" s="5"/>
      <c r="O544" s="5"/>
      <c r="P544" s="5"/>
      <c r="Q544" s="5"/>
      <c r="R544" s="9"/>
      <c r="S544" s="9"/>
      <c r="T544" s="10"/>
      <c r="U544" s="9"/>
      <c r="V544" s="9"/>
    </row>
    <row r="545" ht="12.5" spans="1:22">
      <c r="A545" s="4"/>
      <c r="B545" s="4"/>
      <c r="C545" s="4"/>
      <c r="D545" s="4"/>
      <c r="E545" s="5"/>
      <c r="F545" s="5"/>
      <c r="G545" s="5"/>
      <c r="H545" s="5"/>
      <c r="I545" s="5"/>
      <c r="J545" s="5"/>
      <c r="K545" s="5"/>
      <c r="L545" s="5"/>
      <c r="M545" s="5"/>
      <c r="N545" s="5"/>
      <c r="O545" s="5"/>
      <c r="P545" s="5"/>
      <c r="Q545" s="5"/>
      <c r="R545" s="9"/>
      <c r="S545" s="9"/>
      <c r="T545" s="10"/>
      <c r="U545" s="9"/>
      <c r="V545" s="9"/>
    </row>
    <row r="546" ht="12.5" spans="1:22">
      <c r="A546" s="4"/>
      <c r="B546" s="4"/>
      <c r="C546" s="4"/>
      <c r="D546" s="4"/>
      <c r="E546" s="5"/>
      <c r="F546" s="5"/>
      <c r="G546" s="5"/>
      <c r="H546" s="5"/>
      <c r="I546" s="5"/>
      <c r="J546" s="5"/>
      <c r="K546" s="5"/>
      <c r="L546" s="5"/>
      <c r="M546" s="5"/>
      <c r="N546" s="5"/>
      <c r="O546" s="5"/>
      <c r="P546" s="5"/>
      <c r="Q546" s="5"/>
      <c r="R546" s="9"/>
      <c r="S546" s="9"/>
      <c r="T546" s="10"/>
      <c r="U546" s="9"/>
      <c r="V546" s="9"/>
    </row>
    <row r="547" ht="12.5" spans="1:22">
      <c r="A547" s="4"/>
      <c r="B547" s="4"/>
      <c r="C547" s="4"/>
      <c r="D547" s="4"/>
      <c r="E547" s="5"/>
      <c r="F547" s="5"/>
      <c r="G547" s="5"/>
      <c r="H547" s="5"/>
      <c r="I547" s="5"/>
      <c r="J547" s="5"/>
      <c r="K547" s="5"/>
      <c r="L547" s="5"/>
      <c r="M547" s="5"/>
      <c r="N547" s="5"/>
      <c r="O547" s="5"/>
      <c r="P547" s="5"/>
      <c r="Q547" s="5"/>
      <c r="R547" s="9"/>
      <c r="S547" s="9"/>
      <c r="T547" s="10"/>
      <c r="U547" s="9"/>
      <c r="V547" s="9"/>
    </row>
    <row r="548" ht="12.5" spans="1:22">
      <c r="A548" s="4"/>
      <c r="B548" s="4"/>
      <c r="C548" s="4"/>
      <c r="D548" s="4"/>
      <c r="E548" s="5"/>
      <c r="F548" s="5"/>
      <c r="G548" s="5"/>
      <c r="H548" s="5"/>
      <c r="I548" s="5"/>
      <c r="J548" s="5"/>
      <c r="K548" s="5"/>
      <c r="L548" s="5"/>
      <c r="M548" s="5"/>
      <c r="N548" s="5"/>
      <c r="O548" s="5"/>
      <c r="P548" s="5"/>
      <c r="Q548" s="5"/>
      <c r="R548" s="9"/>
      <c r="S548" s="9"/>
      <c r="T548" s="10"/>
      <c r="U548" s="9"/>
      <c r="V548" s="9"/>
    </row>
    <row r="549" ht="12.5" spans="1:22">
      <c r="A549" s="4"/>
      <c r="B549" s="4"/>
      <c r="C549" s="4"/>
      <c r="D549" s="4"/>
      <c r="E549" s="5"/>
      <c r="F549" s="5"/>
      <c r="G549" s="5"/>
      <c r="H549" s="5"/>
      <c r="I549" s="5"/>
      <c r="J549" s="5"/>
      <c r="K549" s="5"/>
      <c r="L549" s="5"/>
      <c r="M549" s="5"/>
      <c r="N549" s="5"/>
      <c r="O549" s="5"/>
      <c r="P549" s="5"/>
      <c r="Q549" s="5"/>
      <c r="R549" s="9"/>
      <c r="S549" s="9"/>
      <c r="T549" s="10"/>
      <c r="U549" s="9"/>
      <c r="V549" s="9"/>
    </row>
    <row r="550" ht="12.5" spans="1:22">
      <c r="A550" s="4"/>
      <c r="B550" s="4"/>
      <c r="C550" s="4"/>
      <c r="D550" s="4"/>
      <c r="E550" s="5"/>
      <c r="F550" s="5"/>
      <c r="G550" s="5"/>
      <c r="H550" s="5"/>
      <c r="I550" s="5"/>
      <c r="J550" s="5"/>
      <c r="K550" s="5"/>
      <c r="L550" s="5"/>
      <c r="M550" s="5"/>
      <c r="N550" s="5"/>
      <c r="O550" s="5"/>
      <c r="P550" s="5"/>
      <c r="Q550" s="5"/>
      <c r="R550" s="9"/>
      <c r="S550" s="9"/>
      <c r="T550" s="10"/>
      <c r="U550" s="9"/>
      <c r="V550" s="9"/>
    </row>
    <row r="551" ht="12.5" spans="1:22">
      <c r="A551" s="4"/>
      <c r="B551" s="4"/>
      <c r="C551" s="4"/>
      <c r="D551" s="4"/>
      <c r="E551" s="5"/>
      <c r="F551" s="5"/>
      <c r="G551" s="5"/>
      <c r="H551" s="5"/>
      <c r="I551" s="5"/>
      <c r="J551" s="5"/>
      <c r="K551" s="5"/>
      <c r="L551" s="5"/>
      <c r="M551" s="5"/>
      <c r="N551" s="5"/>
      <c r="O551" s="5"/>
      <c r="P551" s="5"/>
      <c r="Q551" s="5"/>
      <c r="R551" s="9"/>
      <c r="S551" s="9"/>
      <c r="T551" s="10"/>
      <c r="U551" s="9"/>
      <c r="V551" s="9"/>
    </row>
    <row r="552" ht="12.5" spans="1:22">
      <c r="A552" s="4"/>
      <c r="B552" s="4"/>
      <c r="C552" s="4"/>
      <c r="D552" s="4"/>
      <c r="E552" s="5"/>
      <c r="F552" s="5"/>
      <c r="G552" s="5"/>
      <c r="H552" s="5"/>
      <c r="I552" s="5"/>
      <c r="J552" s="5"/>
      <c r="K552" s="5"/>
      <c r="L552" s="5"/>
      <c r="M552" s="5"/>
      <c r="N552" s="5"/>
      <c r="O552" s="5"/>
      <c r="P552" s="5"/>
      <c r="Q552" s="5"/>
      <c r="R552" s="9"/>
      <c r="S552" s="9"/>
      <c r="T552" s="10"/>
      <c r="U552" s="9"/>
      <c r="V552" s="9"/>
    </row>
    <row r="553" ht="12.5" spans="1:22">
      <c r="A553" s="4"/>
      <c r="B553" s="4"/>
      <c r="C553" s="4"/>
      <c r="D553" s="4"/>
      <c r="E553" s="5"/>
      <c r="F553" s="5"/>
      <c r="G553" s="5"/>
      <c r="H553" s="5"/>
      <c r="I553" s="5"/>
      <c r="J553" s="5"/>
      <c r="K553" s="5"/>
      <c r="L553" s="5"/>
      <c r="M553" s="5"/>
      <c r="N553" s="5"/>
      <c r="O553" s="5"/>
      <c r="P553" s="5"/>
      <c r="Q553" s="5"/>
      <c r="R553" s="9"/>
      <c r="S553" s="9"/>
      <c r="T553" s="10"/>
      <c r="U553" s="9"/>
      <c r="V553" s="9"/>
    </row>
    <row r="554" ht="12.5" spans="1:22">
      <c r="A554" s="4"/>
      <c r="B554" s="4"/>
      <c r="C554" s="4"/>
      <c r="D554" s="4"/>
      <c r="E554" s="5"/>
      <c r="F554" s="5"/>
      <c r="G554" s="5"/>
      <c r="H554" s="5"/>
      <c r="I554" s="5"/>
      <c r="J554" s="5"/>
      <c r="K554" s="5"/>
      <c r="L554" s="5"/>
      <c r="M554" s="5"/>
      <c r="N554" s="5"/>
      <c r="O554" s="5"/>
      <c r="P554" s="5"/>
      <c r="Q554" s="5"/>
      <c r="R554" s="9"/>
      <c r="S554" s="9"/>
      <c r="T554" s="10"/>
      <c r="U554" s="9"/>
      <c r="V554" s="9"/>
    </row>
    <row r="555" ht="12.5" spans="1:22">
      <c r="A555" s="4"/>
      <c r="B555" s="4"/>
      <c r="C555" s="4"/>
      <c r="D555" s="4"/>
      <c r="E555" s="5"/>
      <c r="F555" s="5"/>
      <c r="G555" s="5"/>
      <c r="H555" s="5"/>
      <c r="I555" s="5"/>
      <c r="J555" s="5"/>
      <c r="K555" s="5"/>
      <c r="L555" s="5"/>
      <c r="M555" s="5"/>
      <c r="N555" s="5"/>
      <c r="O555" s="5"/>
      <c r="P555" s="5"/>
      <c r="Q555" s="5"/>
      <c r="R555" s="9"/>
      <c r="S555" s="9"/>
      <c r="T555" s="10"/>
      <c r="U555" s="9"/>
      <c r="V555" s="9"/>
    </row>
    <row r="556" ht="12.5" spans="1:22">
      <c r="A556" s="4"/>
      <c r="B556" s="4"/>
      <c r="C556" s="4"/>
      <c r="D556" s="4"/>
      <c r="E556" s="5"/>
      <c r="F556" s="5"/>
      <c r="G556" s="5"/>
      <c r="H556" s="5"/>
      <c r="I556" s="5"/>
      <c r="J556" s="5"/>
      <c r="K556" s="5"/>
      <c r="L556" s="5"/>
      <c r="M556" s="5"/>
      <c r="N556" s="5"/>
      <c r="O556" s="5"/>
      <c r="P556" s="5"/>
      <c r="Q556" s="5"/>
      <c r="R556" s="9"/>
      <c r="S556" s="9"/>
      <c r="T556" s="10"/>
      <c r="U556" s="9"/>
      <c r="V556" s="9"/>
    </row>
    <row r="557" ht="12.5" spans="1:22">
      <c r="A557" s="4"/>
      <c r="B557" s="4"/>
      <c r="C557" s="4"/>
      <c r="D557" s="4"/>
      <c r="E557" s="5"/>
      <c r="F557" s="5"/>
      <c r="G557" s="5"/>
      <c r="H557" s="5"/>
      <c r="I557" s="5"/>
      <c r="J557" s="5"/>
      <c r="K557" s="5"/>
      <c r="L557" s="5"/>
      <c r="M557" s="5"/>
      <c r="N557" s="5"/>
      <c r="O557" s="5"/>
      <c r="P557" s="5"/>
      <c r="Q557" s="5"/>
      <c r="R557" s="9"/>
      <c r="S557" s="9"/>
      <c r="T557" s="10"/>
      <c r="U557" s="9"/>
      <c r="V557" s="9"/>
    </row>
    <row r="558" ht="12.5" spans="1:22">
      <c r="A558" s="4"/>
      <c r="B558" s="4"/>
      <c r="C558" s="4"/>
      <c r="D558" s="4"/>
      <c r="E558" s="5"/>
      <c r="F558" s="5"/>
      <c r="G558" s="5"/>
      <c r="H558" s="5"/>
      <c r="I558" s="5"/>
      <c r="J558" s="5"/>
      <c r="K558" s="5"/>
      <c r="L558" s="5"/>
      <c r="M558" s="5"/>
      <c r="N558" s="5"/>
      <c r="O558" s="5"/>
      <c r="P558" s="5"/>
      <c r="Q558" s="5"/>
      <c r="R558" s="9"/>
      <c r="S558" s="9"/>
      <c r="T558" s="10"/>
      <c r="U558" s="9"/>
      <c r="V558" s="9"/>
    </row>
    <row r="559" ht="12.5" spans="1:22">
      <c r="A559" s="4"/>
      <c r="B559" s="4"/>
      <c r="C559" s="4"/>
      <c r="D559" s="4"/>
      <c r="E559" s="5"/>
      <c r="F559" s="5"/>
      <c r="G559" s="5"/>
      <c r="H559" s="5"/>
      <c r="I559" s="5"/>
      <c r="J559" s="5"/>
      <c r="K559" s="5"/>
      <c r="L559" s="5"/>
      <c r="M559" s="5"/>
      <c r="N559" s="5"/>
      <c r="O559" s="5"/>
      <c r="P559" s="5"/>
      <c r="Q559" s="5"/>
      <c r="R559" s="9"/>
      <c r="S559" s="9"/>
      <c r="T559" s="10"/>
      <c r="U559" s="9"/>
      <c r="V559" s="9"/>
    </row>
    <row r="560" ht="12.5" spans="1:22">
      <c r="A560" s="4"/>
      <c r="B560" s="4"/>
      <c r="C560" s="4"/>
      <c r="D560" s="4"/>
      <c r="E560" s="5"/>
      <c r="F560" s="5"/>
      <c r="G560" s="5"/>
      <c r="H560" s="5"/>
      <c r="I560" s="5"/>
      <c r="J560" s="5"/>
      <c r="K560" s="5"/>
      <c r="L560" s="5"/>
      <c r="M560" s="5"/>
      <c r="N560" s="5"/>
      <c r="O560" s="5"/>
      <c r="P560" s="5"/>
      <c r="Q560" s="5"/>
      <c r="R560" s="9"/>
      <c r="S560" s="9"/>
      <c r="T560" s="10"/>
      <c r="U560" s="9"/>
      <c r="V560" s="9"/>
    </row>
    <row r="561" ht="12.5" spans="1:22">
      <c r="A561" s="4"/>
      <c r="B561" s="4"/>
      <c r="C561" s="4"/>
      <c r="D561" s="4"/>
      <c r="E561" s="5"/>
      <c r="F561" s="5"/>
      <c r="G561" s="5"/>
      <c r="H561" s="5"/>
      <c r="I561" s="5"/>
      <c r="J561" s="5"/>
      <c r="K561" s="5"/>
      <c r="L561" s="5"/>
      <c r="M561" s="5"/>
      <c r="N561" s="5"/>
      <c r="O561" s="5"/>
      <c r="P561" s="5"/>
      <c r="Q561" s="5"/>
      <c r="R561" s="9"/>
      <c r="S561" s="9"/>
      <c r="T561" s="10"/>
      <c r="U561" s="9"/>
      <c r="V561" s="9"/>
    </row>
    <row r="562" ht="12.5" spans="1:22">
      <c r="A562" s="4"/>
      <c r="B562" s="4"/>
      <c r="C562" s="4"/>
      <c r="D562" s="4"/>
      <c r="E562" s="5"/>
      <c r="F562" s="5"/>
      <c r="G562" s="5"/>
      <c r="H562" s="5"/>
      <c r="I562" s="5"/>
      <c r="J562" s="5"/>
      <c r="K562" s="5"/>
      <c r="L562" s="5"/>
      <c r="M562" s="5"/>
      <c r="N562" s="5"/>
      <c r="O562" s="5"/>
      <c r="P562" s="5"/>
      <c r="Q562" s="5"/>
      <c r="R562" s="9"/>
      <c r="S562" s="9"/>
      <c r="T562" s="10"/>
      <c r="U562" s="9"/>
      <c r="V562" s="9"/>
    </row>
    <row r="563" ht="12.5" spans="1:22">
      <c r="A563" s="4"/>
      <c r="B563" s="4"/>
      <c r="C563" s="4"/>
      <c r="D563" s="4"/>
      <c r="E563" s="5"/>
      <c r="F563" s="5"/>
      <c r="G563" s="5"/>
      <c r="H563" s="5"/>
      <c r="I563" s="5"/>
      <c r="J563" s="5"/>
      <c r="K563" s="5"/>
      <c r="L563" s="5"/>
      <c r="M563" s="5"/>
      <c r="N563" s="5"/>
      <c r="O563" s="5"/>
      <c r="P563" s="5"/>
      <c r="Q563" s="5"/>
      <c r="R563" s="9"/>
      <c r="S563" s="9"/>
      <c r="T563" s="10"/>
      <c r="U563" s="9"/>
      <c r="V563" s="9"/>
    </row>
    <row r="564" ht="12.5" spans="1:22">
      <c r="A564" s="4"/>
      <c r="B564" s="4"/>
      <c r="C564" s="4"/>
      <c r="D564" s="4"/>
      <c r="E564" s="5"/>
      <c r="F564" s="5"/>
      <c r="G564" s="5"/>
      <c r="H564" s="5"/>
      <c r="I564" s="5"/>
      <c r="J564" s="5"/>
      <c r="K564" s="5"/>
      <c r="L564" s="5"/>
      <c r="M564" s="5"/>
      <c r="N564" s="5"/>
      <c r="O564" s="5"/>
      <c r="P564" s="5"/>
      <c r="Q564" s="5"/>
      <c r="R564" s="9"/>
      <c r="S564" s="9"/>
      <c r="T564" s="10"/>
      <c r="U564" s="9"/>
      <c r="V564" s="9"/>
    </row>
    <row r="565" ht="12.5" spans="1:22">
      <c r="A565" s="4"/>
      <c r="B565" s="4"/>
      <c r="C565" s="4"/>
      <c r="D565" s="4"/>
      <c r="E565" s="5"/>
      <c r="F565" s="5"/>
      <c r="G565" s="5"/>
      <c r="H565" s="5"/>
      <c r="I565" s="5"/>
      <c r="J565" s="5"/>
      <c r="K565" s="5"/>
      <c r="L565" s="5"/>
      <c r="M565" s="5"/>
      <c r="N565" s="5"/>
      <c r="O565" s="5"/>
      <c r="P565" s="5"/>
      <c r="Q565" s="5"/>
      <c r="R565" s="9"/>
      <c r="S565" s="9"/>
      <c r="T565" s="10"/>
      <c r="U565" s="9"/>
      <c r="V565" s="9"/>
    </row>
    <row r="566" ht="12.5" spans="1:22">
      <c r="A566" s="4"/>
      <c r="B566" s="4"/>
      <c r="C566" s="4"/>
      <c r="D566" s="4"/>
      <c r="E566" s="5"/>
      <c r="F566" s="5"/>
      <c r="G566" s="5"/>
      <c r="H566" s="5"/>
      <c r="I566" s="5"/>
      <c r="J566" s="5"/>
      <c r="K566" s="5"/>
      <c r="L566" s="5"/>
      <c r="M566" s="5"/>
      <c r="N566" s="5"/>
      <c r="O566" s="5"/>
      <c r="P566" s="5"/>
      <c r="Q566" s="5"/>
      <c r="R566" s="9"/>
      <c r="S566" s="9"/>
      <c r="T566" s="10"/>
      <c r="U566" s="9"/>
      <c r="V566" s="9"/>
    </row>
    <row r="567" ht="12.5" spans="1:22">
      <c r="A567" s="4"/>
      <c r="B567" s="4"/>
      <c r="C567" s="4"/>
      <c r="D567" s="4"/>
      <c r="E567" s="5"/>
      <c r="F567" s="5"/>
      <c r="G567" s="5"/>
      <c r="H567" s="5"/>
      <c r="I567" s="5"/>
      <c r="J567" s="5"/>
      <c r="K567" s="5"/>
      <c r="L567" s="5"/>
      <c r="M567" s="5"/>
      <c r="N567" s="5"/>
      <c r="O567" s="5"/>
      <c r="P567" s="5"/>
      <c r="Q567" s="5"/>
      <c r="R567" s="9"/>
      <c r="S567" s="9"/>
      <c r="T567" s="10"/>
      <c r="U567" s="9"/>
      <c r="V567" s="9"/>
    </row>
    <row r="568" ht="12.5" spans="1:22">
      <c r="A568" s="4"/>
      <c r="B568" s="4"/>
      <c r="C568" s="4"/>
      <c r="D568" s="4"/>
      <c r="E568" s="5"/>
      <c r="F568" s="5"/>
      <c r="G568" s="5"/>
      <c r="H568" s="5"/>
      <c r="I568" s="5"/>
      <c r="J568" s="5"/>
      <c r="K568" s="5"/>
      <c r="L568" s="5"/>
      <c r="M568" s="5"/>
      <c r="N568" s="5"/>
      <c r="O568" s="5"/>
      <c r="P568" s="5"/>
      <c r="Q568" s="5"/>
      <c r="R568" s="9"/>
      <c r="S568" s="9"/>
      <c r="T568" s="10"/>
      <c r="U568" s="9"/>
      <c r="V568" s="9"/>
    </row>
    <row r="569" ht="12.5" spans="1:22">
      <c r="A569" s="4"/>
      <c r="B569" s="4"/>
      <c r="C569" s="4"/>
      <c r="D569" s="4"/>
      <c r="E569" s="5"/>
      <c r="F569" s="5"/>
      <c r="G569" s="5"/>
      <c r="H569" s="5"/>
      <c r="I569" s="5"/>
      <c r="J569" s="5"/>
      <c r="K569" s="5"/>
      <c r="L569" s="5"/>
      <c r="M569" s="5"/>
      <c r="N569" s="5"/>
      <c r="O569" s="5"/>
      <c r="P569" s="5"/>
      <c r="Q569" s="5"/>
      <c r="R569" s="9"/>
      <c r="S569" s="9"/>
      <c r="T569" s="10"/>
      <c r="U569" s="9"/>
      <c r="V569" s="9"/>
    </row>
    <row r="570" ht="12.5" spans="1:22">
      <c r="A570" s="4"/>
      <c r="B570" s="4"/>
      <c r="C570" s="4"/>
      <c r="D570" s="4"/>
      <c r="E570" s="5"/>
      <c r="F570" s="5"/>
      <c r="G570" s="5"/>
      <c r="H570" s="5"/>
      <c r="I570" s="5"/>
      <c r="J570" s="5"/>
      <c r="K570" s="5"/>
      <c r="L570" s="5"/>
      <c r="M570" s="5"/>
      <c r="N570" s="5"/>
      <c r="O570" s="5"/>
      <c r="P570" s="5"/>
      <c r="Q570" s="5"/>
      <c r="R570" s="9"/>
      <c r="S570" s="9"/>
      <c r="T570" s="10"/>
      <c r="U570" s="9"/>
      <c r="V570" s="9"/>
    </row>
    <row r="571" ht="12.5" spans="1:22">
      <c r="A571" s="4"/>
      <c r="B571" s="4"/>
      <c r="C571" s="4"/>
      <c r="D571" s="4"/>
      <c r="E571" s="5"/>
      <c r="F571" s="5"/>
      <c r="G571" s="5"/>
      <c r="H571" s="5"/>
      <c r="I571" s="5"/>
      <c r="J571" s="5"/>
      <c r="K571" s="5"/>
      <c r="L571" s="5"/>
      <c r="M571" s="5"/>
      <c r="N571" s="5"/>
      <c r="O571" s="5"/>
      <c r="P571" s="5"/>
      <c r="Q571" s="5"/>
      <c r="R571" s="9"/>
      <c r="S571" s="9"/>
      <c r="T571" s="10"/>
      <c r="U571" s="9"/>
      <c r="V571" s="9"/>
    </row>
    <row r="572" ht="12.5" spans="1:22">
      <c r="A572" s="4"/>
      <c r="B572" s="4"/>
      <c r="C572" s="4"/>
      <c r="D572" s="4"/>
      <c r="E572" s="5"/>
      <c r="F572" s="5"/>
      <c r="G572" s="5"/>
      <c r="H572" s="5"/>
      <c r="I572" s="5"/>
      <c r="J572" s="5"/>
      <c r="K572" s="5"/>
      <c r="L572" s="5"/>
      <c r="M572" s="5"/>
      <c r="N572" s="5"/>
      <c r="O572" s="5"/>
      <c r="P572" s="5"/>
      <c r="Q572" s="5"/>
      <c r="R572" s="9"/>
      <c r="S572" s="9"/>
      <c r="T572" s="10"/>
      <c r="U572" s="9"/>
      <c r="V572" s="9"/>
    </row>
    <row r="573" ht="12.5" spans="1:22">
      <c r="A573" s="4"/>
      <c r="B573" s="4"/>
      <c r="C573" s="4"/>
      <c r="D573" s="4"/>
      <c r="E573" s="5"/>
      <c r="F573" s="5"/>
      <c r="G573" s="5"/>
      <c r="H573" s="5"/>
      <c r="I573" s="5"/>
      <c r="J573" s="5"/>
      <c r="K573" s="5"/>
      <c r="L573" s="5"/>
      <c r="M573" s="5"/>
      <c r="N573" s="5"/>
      <c r="O573" s="5"/>
      <c r="P573" s="5"/>
      <c r="Q573" s="5"/>
      <c r="R573" s="9"/>
      <c r="S573" s="9"/>
      <c r="T573" s="10"/>
      <c r="U573" s="9"/>
      <c r="V573" s="9"/>
    </row>
    <row r="574" ht="12.5" spans="1:22">
      <c r="A574" s="4"/>
      <c r="B574" s="4"/>
      <c r="C574" s="4"/>
      <c r="D574" s="4"/>
      <c r="E574" s="5"/>
      <c r="F574" s="5"/>
      <c r="G574" s="5"/>
      <c r="H574" s="5"/>
      <c r="I574" s="5"/>
      <c r="J574" s="5"/>
      <c r="K574" s="5"/>
      <c r="L574" s="5"/>
      <c r="M574" s="5"/>
      <c r="N574" s="5"/>
      <c r="O574" s="5"/>
      <c r="P574" s="5"/>
      <c r="Q574" s="5"/>
      <c r="R574" s="9"/>
      <c r="S574" s="9"/>
      <c r="T574" s="10"/>
      <c r="U574" s="9"/>
      <c r="V574" s="9"/>
    </row>
    <row r="575" ht="12.5" spans="1:22">
      <c r="A575" s="4"/>
      <c r="B575" s="4"/>
      <c r="C575" s="4"/>
      <c r="D575" s="4"/>
      <c r="E575" s="5"/>
      <c r="F575" s="5"/>
      <c r="G575" s="5"/>
      <c r="H575" s="5"/>
      <c r="I575" s="5"/>
      <c r="J575" s="5"/>
      <c r="K575" s="5"/>
      <c r="L575" s="5"/>
      <c r="M575" s="5"/>
      <c r="N575" s="5"/>
      <c r="O575" s="5"/>
      <c r="P575" s="5"/>
      <c r="Q575" s="5"/>
      <c r="R575" s="9"/>
      <c r="S575" s="9"/>
      <c r="T575" s="10"/>
      <c r="U575" s="9"/>
      <c r="V575" s="9"/>
    </row>
    <row r="576" ht="12.5" spans="1:22">
      <c r="A576" s="4"/>
      <c r="B576" s="4"/>
      <c r="C576" s="4"/>
      <c r="D576" s="4"/>
      <c r="E576" s="5"/>
      <c r="F576" s="5"/>
      <c r="G576" s="5"/>
      <c r="H576" s="5"/>
      <c r="I576" s="5"/>
      <c r="J576" s="5"/>
      <c r="K576" s="5"/>
      <c r="L576" s="5"/>
      <c r="M576" s="5"/>
      <c r="N576" s="5"/>
      <c r="O576" s="5"/>
      <c r="P576" s="5"/>
      <c r="Q576" s="5"/>
      <c r="R576" s="9"/>
      <c r="S576" s="9"/>
      <c r="T576" s="10"/>
      <c r="U576" s="9"/>
      <c r="V576" s="9"/>
    </row>
    <row r="577" ht="12.5" spans="1:22">
      <c r="A577" s="4"/>
      <c r="B577" s="4"/>
      <c r="C577" s="4"/>
      <c r="D577" s="4"/>
      <c r="E577" s="5"/>
      <c r="F577" s="5"/>
      <c r="G577" s="5"/>
      <c r="H577" s="5"/>
      <c r="I577" s="5"/>
      <c r="J577" s="5"/>
      <c r="K577" s="5"/>
      <c r="L577" s="5"/>
      <c r="M577" s="5"/>
      <c r="N577" s="5"/>
      <c r="O577" s="5"/>
      <c r="P577" s="5"/>
      <c r="Q577" s="5"/>
      <c r="R577" s="9"/>
      <c r="S577" s="9"/>
      <c r="T577" s="10"/>
      <c r="U577" s="9"/>
      <c r="V577" s="9"/>
    </row>
    <row r="578" ht="12.5" spans="1:22">
      <c r="A578" s="4"/>
      <c r="B578" s="4"/>
      <c r="C578" s="4"/>
      <c r="D578" s="4"/>
      <c r="E578" s="5"/>
      <c r="F578" s="5"/>
      <c r="G578" s="5"/>
      <c r="H578" s="5"/>
      <c r="I578" s="5"/>
      <c r="J578" s="5"/>
      <c r="K578" s="5"/>
      <c r="L578" s="5"/>
      <c r="M578" s="5"/>
      <c r="N578" s="5"/>
      <c r="O578" s="5"/>
      <c r="P578" s="5"/>
      <c r="Q578" s="5"/>
      <c r="R578" s="9"/>
      <c r="S578" s="9"/>
      <c r="T578" s="10"/>
      <c r="U578" s="9"/>
      <c r="V578" s="9"/>
    </row>
    <row r="579" ht="12.5" spans="1:22">
      <c r="A579" s="4"/>
      <c r="B579" s="4"/>
      <c r="C579" s="4"/>
      <c r="D579" s="4"/>
      <c r="E579" s="5"/>
      <c r="F579" s="5"/>
      <c r="G579" s="5"/>
      <c r="H579" s="5"/>
      <c r="I579" s="5"/>
      <c r="J579" s="5"/>
      <c r="K579" s="5"/>
      <c r="L579" s="5"/>
      <c r="M579" s="5"/>
      <c r="N579" s="5"/>
      <c r="O579" s="5"/>
      <c r="P579" s="5"/>
      <c r="Q579" s="5"/>
      <c r="R579" s="9"/>
      <c r="S579" s="9"/>
      <c r="T579" s="10"/>
      <c r="U579" s="9"/>
      <c r="V579" s="9"/>
    </row>
    <row r="580" ht="12.5" spans="1:22">
      <c r="A580" s="4"/>
      <c r="B580" s="4"/>
      <c r="C580" s="4"/>
      <c r="D580" s="4"/>
      <c r="E580" s="5"/>
      <c r="F580" s="5"/>
      <c r="G580" s="5"/>
      <c r="H580" s="5"/>
      <c r="I580" s="5"/>
      <c r="J580" s="5"/>
      <c r="K580" s="5"/>
      <c r="L580" s="5"/>
      <c r="M580" s="5"/>
      <c r="N580" s="5"/>
      <c r="O580" s="5"/>
      <c r="P580" s="5"/>
      <c r="Q580" s="5"/>
      <c r="R580" s="9"/>
      <c r="S580" s="9"/>
      <c r="T580" s="10"/>
      <c r="U580" s="9"/>
      <c r="V580" s="9"/>
    </row>
    <row r="581" ht="12.5" spans="1:22">
      <c r="A581" s="4"/>
      <c r="B581" s="4"/>
      <c r="C581" s="4"/>
      <c r="D581" s="4"/>
      <c r="E581" s="5"/>
      <c r="F581" s="5"/>
      <c r="G581" s="5"/>
      <c r="H581" s="5"/>
      <c r="I581" s="5"/>
      <c r="J581" s="5"/>
      <c r="K581" s="5"/>
      <c r="L581" s="5"/>
      <c r="M581" s="5"/>
      <c r="N581" s="5"/>
      <c r="O581" s="5"/>
      <c r="P581" s="5"/>
      <c r="Q581" s="5"/>
      <c r="R581" s="9"/>
      <c r="S581" s="9"/>
      <c r="T581" s="10"/>
      <c r="U581" s="9"/>
      <c r="V581" s="9"/>
    </row>
    <row r="582" ht="12.5" spans="1:22">
      <c r="A582" s="4"/>
      <c r="B582" s="4"/>
      <c r="C582" s="4"/>
      <c r="D582" s="4"/>
      <c r="E582" s="5"/>
      <c r="F582" s="5"/>
      <c r="G582" s="5"/>
      <c r="H582" s="5"/>
      <c r="I582" s="5"/>
      <c r="J582" s="5"/>
      <c r="K582" s="5"/>
      <c r="L582" s="5"/>
      <c r="M582" s="5"/>
      <c r="N582" s="5"/>
      <c r="O582" s="5"/>
      <c r="P582" s="5"/>
      <c r="Q582" s="5"/>
      <c r="R582" s="9"/>
      <c r="S582" s="9"/>
      <c r="T582" s="10"/>
      <c r="U582" s="9"/>
      <c r="V582" s="9"/>
    </row>
    <row r="583" ht="12.5" spans="1:22">
      <c r="A583" s="4"/>
      <c r="B583" s="4"/>
      <c r="C583" s="4"/>
      <c r="D583" s="4"/>
      <c r="E583" s="5"/>
      <c r="F583" s="5"/>
      <c r="G583" s="5"/>
      <c r="H583" s="5"/>
      <c r="I583" s="5"/>
      <c r="J583" s="5"/>
      <c r="K583" s="5"/>
      <c r="L583" s="5"/>
      <c r="M583" s="5"/>
      <c r="N583" s="5"/>
      <c r="O583" s="5"/>
      <c r="P583" s="5"/>
      <c r="Q583" s="5"/>
      <c r="R583" s="9"/>
      <c r="S583" s="9"/>
      <c r="T583" s="10"/>
      <c r="U583" s="9"/>
      <c r="V583" s="9"/>
    </row>
    <row r="584" ht="12.5" spans="1:22">
      <c r="A584" s="4"/>
      <c r="B584" s="4"/>
      <c r="C584" s="4"/>
      <c r="D584" s="4"/>
      <c r="E584" s="5"/>
      <c r="F584" s="5"/>
      <c r="G584" s="5"/>
      <c r="H584" s="5"/>
      <c r="I584" s="5"/>
      <c r="J584" s="5"/>
      <c r="K584" s="5"/>
      <c r="L584" s="5"/>
      <c r="M584" s="5"/>
      <c r="N584" s="5"/>
      <c r="O584" s="5"/>
      <c r="P584" s="5"/>
      <c r="Q584" s="5"/>
      <c r="R584" s="9"/>
      <c r="S584" s="9"/>
      <c r="T584" s="10"/>
      <c r="U584" s="9"/>
      <c r="V584" s="9"/>
    </row>
    <row r="585" ht="12.5" spans="1:22">
      <c r="A585" s="4"/>
      <c r="B585" s="4"/>
      <c r="C585" s="4"/>
      <c r="D585" s="4"/>
      <c r="E585" s="5"/>
      <c r="F585" s="5"/>
      <c r="G585" s="5"/>
      <c r="H585" s="5"/>
      <c r="I585" s="5"/>
      <c r="J585" s="5"/>
      <c r="K585" s="5"/>
      <c r="L585" s="5"/>
      <c r="M585" s="5"/>
      <c r="N585" s="5"/>
      <c r="O585" s="5"/>
      <c r="P585" s="5"/>
      <c r="Q585" s="5"/>
      <c r="R585" s="9"/>
      <c r="S585" s="9"/>
      <c r="T585" s="10"/>
      <c r="U585" s="9"/>
      <c r="V585" s="9"/>
    </row>
    <row r="586" ht="12.5" spans="1:22">
      <c r="A586" s="4"/>
      <c r="B586" s="4"/>
      <c r="C586" s="4"/>
      <c r="D586" s="4"/>
      <c r="E586" s="5"/>
      <c r="F586" s="5"/>
      <c r="G586" s="5"/>
      <c r="H586" s="5"/>
      <c r="I586" s="5"/>
      <c r="J586" s="5"/>
      <c r="K586" s="5"/>
      <c r="L586" s="5"/>
      <c r="M586" s="5"/>
      <c r="N586" s="5"/>
      <c r="O586" s="5"/>
      <c r="P586" s="5"/>
      <c r="Q586" s="5"/>
      <c r="R586" s="9"/>
      <c r="S586" s="9"/>
      <c r="T586" s="10"/>
      <c r="U586" s="9"/>
      <c r="V586" s="9"/>
    </row>
    <row r="587" ht="12.5" spans="1:22">
      <c r="A587" s="4"/>
      <c r="B587" s="4"/>
      <c r="C587" s="4"/>
      <c r="D587" s="4"/>
      <c r="E587" s="5"/>
      <c r="F587" s="5"/>
      <c r="G587" s="5"/>
      <c r="H587" s="5"/>
      <c r="I587" s="5"/>
      <c r="J587" s="5"/>
      <c r="K587" s="5"/>
      <c r="L587" s="5"/>
      <c r="M587" s="5"/>
      <c r="N587" s="5"/>
      <c r="O587" s="5"/>
      <c r="P587" s="5"/>
      <c r="Q587" s="5"/>
      <c r="R587" s="9"/>
      <c r="S587" s="9"/>
      <c r="T587" s="10"/>
      <c r="U587" s="9"/>
      <c r="V587" s="9"/>
    </row>
    <row r="588" ht="12.5" spans="1:22">
      <c r="A588" s="4"/>
      <c r="B588" s="4"/>
      <c r="C588" s="4"/>
      <c r="D588" s="4"/>
      <c r="E588" s="5"/>
      <c r="F588" s="5"/>
      <c r="G588" s="5"/>
      <c r="H588" s="5"/>
      <c r="I588" s="5"/>
      <c r="J588" s="5"/>
      <c r="K588" s="5"/>
      <c r="L588" s="5"/>
      <c r="M588" s="5"/>
      <c r="N588" s="5"/>
      <c r="O588" s="5"/>
      <c r="P588" s="5"/>
      <c r="Q588" s="5"/>
      <c r="R588" s="9"/>
      <c r="S588" s="9"/>
      <c r="T588" s="10"/>
      <c r="U588" s="9"/>
      <c r="V588" s="9"/>
    </row>
    <row r="589" ht="12.5" spans="1:22">
      <c r="A589" s="4"/>
      <c r="B589" s="4"/>
      <c r="C589" s="4"/>
      <c r="D589" s="4"/>
      <c r="E589" s="5"/>
      <c r="F589" s="5"/>
      <c r="G589" s="5"/>
      <c r="H589" s="5"/>
      <c r="I589" s="5"/>
      <c r="J589" s="5"/>
      <c r="K589" s="5"/>
      <c r="L589" s="5"/>
      <c r="M589" s="5"/>
      <c r="N589" s="5"/>
      <c r="O589" s="5"/>
      <c r="P589" s="5"/>
      <c r="Q589" s="5"/>
      <c r="R589" s="9"/>
      <c r="S589" s="9"/>
      <c r="T589" s="10"/>
      <c r="U589" s="9"/>
      <c r="V589" s="9"/>
    </row>
    <row r="590" ht="12.5" spans="1:22">
      <c r="A590" s="4"/>
      <c r="B590" s="4"/>
      <c r="C590" s="4"/>
      <c r="D590" s="4"/>
      <c r="E590" s="5"/>
      <c r="F590" s="5"/>
      <c r="G590" s="5"/>
      <c r="H590" s="5"/>
      <c r="I590" s="5"/>
      <c r="J590" s="5"/>
      <c r="K590" s="5"/>
      <c r="L590" s="5"/>
      <c r="M590" s="5"/>
      <c r="N590" s="5"/>
      <c r="O590" s="5"/>
      <c r="P590" s="5"/>
      <c r="Q590" s="5"/>
      <c r="R590" s="9"/>
      <c r="S590" s="9"/>
      <c r="T590" s="10"/>
      <c r="U590" s="9"/>
      <c r="V590" s="9"/>
    </row>
    <row r="591" ht="12.5" spans="1:22">
      <c r="A591" s="4"/>
      <c r="B591" s="4"/>
      <c r="C591" s="4"/>
      <c r="D591" s="4"/>
      <c r="E591" s="5"/>
      <c r="F591" s="5"/>
      <c r="G591" s="5"/>
      <c r="H591" s="5"/>
      <c r="I591" s="5"/>
      <c r="J591" s="5"/>
      <c r="K591" s="5"/>
      <c r="L591" s="5"/>
      <c r="M591" s="5"/>
      <c r="N591" s="5"/>
      <c r="O591" s="5"/>
      <c r="P591" s="5"/>
      <c r="Q591" s="5"/>
      <c r="R591" s="9"/>
      <c r="S591" s="9"/>
      <c r="T591" s="10"/>
      <c r="U591" s="9"/>
      <c r="V591" s="9"/>
    </row>
    <row r="592" ht="12.5" spans="1:22">
      <c r="A592" s="4"/>
      <c r="B592" s="4"/>
      <c r="C592" s="4"/>
      <c r="D592" s="4"/>
      <c r="E592" s="5"/>
      <c r="F592" s="5"/>
      <c r="G592" s="5"/>
      <c r="H592" s="5"/>
      <c r="I592" s="5"/>
      <c r="J592" s="5"/>
      <c r="K592" s="5"/>
      <c r="L592" s="5"/>
      <c r="M592" s="5"/>
      <c r="N592" s="5"/>
      <c r="O592" s="5"/>
      <c r="P592" s="5"/>
      <c r="Q592" s="5"/>
      <c r="R592" s="9"/>
      <c r="S592" s="9"/>
      <c r="T592" s="10"/>
      <c r="U592" s="9"/>
      <c r="V592" s="9"/>
    </row>
    <row r="593" ht="12.5" spans="1:22">
      <c r="A593" s="4"/>
      <c r="B593" s="4"/>
      <c r="C593" s="4"/>
      <c r="D593" s="4"/>
      <c r="E593" s="5"/>
      <c r="F593" s="5"/>
      <c r="G593" s="5"/>
      <c r="H593" s="5"/>
      <c r="I593" s="5"/>
      <c r="J593" s="5"/>
      <c r="K593" s="5"/>
      <c r="L593" s="5"/>
      <c r="M593" s="5"/>
      <c r="N593" s="5"/>
      <c r="O593" s="5"/>
      <c r="P593" s="5"/>
      <c r="Q593" s="5"/>
      <c r="R593" s="9"/>
      <c r="S593" s="9"/>
      <c r="T593" s="10"/>
      <c r="U593" s="9"/>
      <c r="V593" s="9"/>
    </row>
    <row r="594" ht="12.5" spans="1:22">
      <c r="A594" s="4"/>
      <c r="B594" s="4"/>
      <c r="C594" s="4"/>
      <c r="D594" s="4"/>
      <c r="E594" s="5"/>
      <c r="F594" s="5"/>
      <c r="G594" s="5"/>
      <c r="H594" s="5"/>
      <c r="I594" s="5"/>
      <c r="J594" s="5"/>
      <c r="K594" s="5"/>
      <c r="L594" s="5"/>
      <c r="M594" s="5"/>
      <c r="N594" s="5"/>
      <c r="O594" s="5"/>
      <c r="P594" s="5"/>
      <c r="Q594" s="5"/>
      <c r="R594" s="9"/>
      <c r="S594" s="9"/>
      <c r="T594" s="10"/>
      <c r="U594" s="9"/>
      <c r="V594" s="9"/>
    </row>
    <row r="595" ht="12.5" spans="1:22">
      <c r="A595" s="4"/>
      <c r="B595" s="4"/>
      <c r="C595" s="4"/>
      <c r="D595" s="4"/>
      <c r="E595" s="5"/>
      <c r="F595" s="5"/>
      <c r="G595" s="5"/>
      <c r="H595" s="5"/>
      <c r="I595" s="5"/>
      <c r="J595" s="5"/>
      <c r="K595" s="5"/>
      <c r="L595" s="5"/>
      <c r="M595" s="5"/>
      <c r="N595" s="5"/>
      <c r="O595" s="5"/>
      <c r="P595" s="5"/>
      <c r="Q595" s="5"/>
      <c r="R595" s="9"/>
      <c r="S595" s="9"/>
      <c r="T595" s="10"/>
      <c r="U595" s="9"/>
      <c r="V595" s="9"/>
    </row>
    <row r="596" ht="12.5" spans="1:22">
      <c r="A596" s="4"/>
      <c r="B596" s="4"/>
      <c r="C596" s="4"/>
      <c r="D596" s="4"/>
      <c r="E596" s="5"/>
      <c r="F596" s="5"/>
      <c r="G596" s="5"/>
      <c r="H596" s="5"/>
      <c r="I596" s="5"/>
      <c r="J596" s="5"/>
      <c r="K596" s="5"/>
      <c r="L596" s="5"/>
      <c r="M596" s="5"/>
      <c r="N596" s="5"/>
      <c r="O596" s="5"/>
      <c r="P596" s="5"/>
      <c r="Q596" s="5"/>
      <c r="R596" s="9"/>
      <c r="S596" s="9"/>
      <c r="T596" s="10"/>
      <c r="U596" s="9"/>
      <c r="V596" s="9"/>
    </row>
    <row r="597" ht="12.5" spans="1:22">
      <c r="A597" s="4"/>
      <c r="B597" s="4"/>
      <c r="C597" s="4"/>
      <c r="D597" s="4"/>
      <c r="E597" s="5"/>
      <c r="F597" s="5"/>
      <c r="G597" s="5"/>
      <c r="H597" s="5"/>
      <c r="I597" s="5"/>
      <c r="J597" s="5"/>
      <c r="K597" s="5"/>
      <c r="L597" s="5"/>
      <c r="M597" s="5"/>
      <c r="N597" s="5"/>
      <c r="O597" s="5"/>
      <c r="P597" s="5"/>
      <c r="Q597" s="5"/>
      <c r="R597" s="9"/>
      <c r="S597" s="9"/>
      <c r="T597" s="10"/>
      <c r="U597" s="9"/>
      <c r="V597" s="9"/>
    </row>
    <row r="598" ht="12.5" spans="1:22">
      <c r="A598" s="4"/>
      <c r="B598" s="4"/>
      <c r="C598" s="4"/>
      <c r="D598" s="4"/>
      <c r="E598" s="5"/>
      <c r="F598" s="5"/>
      <c r="G598" s="5"/>
      <c r="H598" s="5"/>
      <c r="I598" s="5"/>
      <c r="J598" s="5"/>
      <c r="K598" s="5"/>
      <c r="L598" s="5"/>
      <c r="M598" s="5"/>
      <c r="N598" s="5"/>
      <c r="O598" s="5"/>
      <c r="P598" s="5"/>
      <c r="Q598" s="5"/>
      <c r="R598" s="9"/>
      <c r="S598" s="9"/>
      <c r="T598" s="10"/>
      <c r="U598" s="9"/>
      <c r="V598" s="9"/>
    </row>
    <row r="599" ht="12.5" spans="1:22">
      <c r="A599" s="4"/>
      <c r="B599" s="4"/>
      <c r="C599" s="4"/>
      <c r="D599" s="4"/>
      <c r="E599" s="5"/>
      <c r="F599" s="5"/>
      <c r="G599" s="5"/>
      <c r="H599" s="5"/>
      <c r="I599" s="5"/>
      <c r="J599" s="5"/>
      <c r="K599" s="5"/>
      <c r="L599" s="5"/>
      <c r="M599" s="5"/>
      <c r="N599" s="5"/>
      <c r="O599" s="5"/>
      <c r="P599" s="5"/>
      <c r="Q599" s="5"/>
      <c r="R599" s="9"/>
      <c r="S599" s="9"/>
      <c r="T599" s="10"/>
      <c r="U599" s="9"/>
      <c r="V599" s="9"/>
    </row>
    <row r="600" ht="12.5" spans="1:22">
      <c r="A600" s="4"/>
      <c r="B600" s="4"/>
      <c r="C600" s="4"/>
      <c r="D600" s="4"/>
      <c r="E600" s="5"/>
      <c r="F600" s="5"/>
      <c r="G600" s="5"/>
      <c r="H600" s="5"/>
      <c r="I600" s="5"/>
      <c r="J600" s="5"/>
      <c r="K600" s="5"/>
      <c r="L600" s="5"/>
      <c r="M600" s="5"/>
      <c r="N600" s="5"/>
      <c r="O600" s="5"/>
      <c r="P600" s="5"/>
      <c r="Q600" s="5"/>
      <c r="R600" s="9"/>
      <c r="S600" s="9"/>
      <c r="T600" s="10"/>
      <c r="U600" s="9"/>
      <c r="V600" s="9"/>
    </row>
    <row r="601" ht="12.5" spans="1:22">
      <c r="A601" s="4"/>
      <c r="B601" s="4"/>
      <c r="C601" s="4"/>
      <c r="D601" s="4"/>
      <c r="E601" s="5"/>
      <c r="F601" s="5"/>
      <c r="G601" s="5"/>
      <c r="H601" s="5"/>
      <c r="I601" s="5"/>
      <c r="J601" s="5"/>
      <c r="K601" s="5"/>
      <c r="L601" s="5"/>
      <c r="M601" s="5"/>
      <c r="N601" s="5"/>
      <c r="O601" s="5"/>
      <c r="P601" s="5"/>
      <c r="Q601" s="5"/>
      <c r="R601" s="9"/>
      <c r="S601" s="9"/>
      <c r="T601" s="10"/>
      <c r="U601" s="9"/>
      <c r="V601" s="9"/>
    </row>
    <row r="602" ht="12.5" spans="1:22">
      <c r="A602" s="4"/>
      <c r="B602" s="4"/>
      <c r="C602" s="4"/>
      <c r="D602" s="4"/>
      <c r="E602" s="5"/>
      <c r="F602" s="5"/>
      <c r="G602" s="5"/>
      <c r="H602" s="5"/>
      <c r="I602" s="5"/>
      <c r="J602" s="5"/>
      <c r="K602" s="5"/>
      <c r="L602" s="5"/>
      <c r="M602" s="5"/>
      <c r="N602" s="5"/>
      <c r="O602" s="5"/>
      <c r="P602" s="5"/>
      <c r="Q602" s="5"/>
      <c r="R602" s="9"/>
      <c r="S602" s="9"/>
      <c r="T602" s="10"/>
      <c r="U602" s="9"/>
      <c r="V602" s="9"/>
    </row>
    <row r="603" ht="12.5" spans="1:22">
      <c r="A603" s="4"/>
      <c r="B603" s="4"/>
      <c r="C603" s="4"/>
      <c r="D603" s="4"/>
      <c r="E603" s="5"/>
      <c r="F603" s="5"/>
      <c r="G603" s="5"/>
      <c r="H603" s="5"/>
      <c r="I603" s="5"/>
      <c r="J603" s="5"/>
      <c r="K603" s="5"/>
      <c r="L603" s="5"/>
      <c r="M603" s="5"/>
      <c r="N603" s="5"/>
      <c r="O603" s="5"/>
      <c r="P603" s="5"/>
      <c r="Q603" s="5"/>
      <c r="R603" s="9"/>
      <c r="S603" s="9"/>
      <c r="T603" s="10"/>
      <c r="U603" s="9"/>
      <c r="V603" s="9"/>
    </row>
    <row r="604" ht="12.5" spans="1:22">
      <c r="A604" s="4"/>
      <c r="B604" s="4"/>
      <c r="C604" s="4"/>
      <c r="D604" s="4"/>
      <c r="E604" s="5"/>
      <c r="F604" s="5"/>
      <c r="G604" s="5"/>
      <c r="H604" s="5"/>
      <c r="I604" s="5"/>
      <c r="J604" s="5"/>
      <c r="K604" s="5"/>
      <c r="L604" s="5"/>
      <c r="M604" s="5"/>
      <c r="N604" s="5"/>
      <c r="O604" s="5"/>
      <c r="P604" s="5"/>
      <c r="Q604" s="5"/>
      <c r="R604" s="9"/>
      <c r="S604" s="9"/>
      <c r="T604" s="10"/>
      <c r="U604" s="9"/>
      <c r="V604" s="9"/>
    </row>
    <row r="605" ht="12.5" spans="1:22">
      <c r="A605" s="4"/>
      <c r="B605" s="4"/>
      <c r="C605" s="4"/>
      <c r="D605" s="4"/>
      <c r="E605" s="5"/>
      <c r="F605" s="5"/>
      <c r="G605" s="5"/>
      <c r="H605" s="5"/>
      <c r="I605" s="5"/>
      <c r="J605" s="5"/>
      <c r="K605" s="5"/>
      <c r="L605" s="5"/>
      <c r="M605" s="5"/>
      <c r="N605" s="5"/>
      <c r="O605" s="5"/>
      <c r="P605" s="5"/>
      <c r="Q605" s="5"/>
      <c r="R605" s="9"/>
      <c r="S605" s="9"/>
      <c r="T605" s="10"/>
      <c r="U605" s="9"/>
      <c r="V605" s="9"/>
    </row>
    <row r="606" ht="12.5" spans="1:22">
      <c r="A606" s="4"/>
      <c r="B606" s="4"/>
      <c r="C606" s="4"/>
      <c r="D606" s="4"/>
      <c r="E606" s="5"/>
      <c r="F606" s="5"/>
      <c r="G606" s="5"/>
      <c r="H606" s="5"/>
      <c r="I606" s="5"/>
      <c r="J606" s="5"/>
      <c r="K606" s="5"/>
      <c r="L606" s="5"/>
      <c r="M606" s="5"/>
      <c r="N606" s="5"/>
      <c r="O606" s="5"/>
      <c r="P606" s="5"/>
      <c r="Q606" s="5"/>
      <c r="R606" s="9"/>
      <c r="S606" s="9"/>
      <c r="T606" s="10"/>
      <c r="U606" s="9"/>
      <c r="V606" s="9"/>
    </row>
    <row r="607" ht="12.5" spans="1:22">
      <c r="A607" s="4"/>
      <c r="B607" s="4"/>
      <c r="C607" s="4"/>
      <c r="D607" s="4"/>
      <c r="E607" s="5"/>
      <c r="F607" s="5"/>
      <c r="G607" s="5"/>
      <c r="H607" s="5"/>
      <c r="I607" s="5"/>
      <c r="J607" s="5"/>
      <c r="K607" s="5"/>
      <c r="L607" s="5"/>
      <c r="M607" s="5"/>
      <c r="N607" s="5"/>
      <c r="O607" s="5"/>
      <c r="P607" s="5"/>
      <c r="Q607" s="5"/>
      <c r="R607" s="9"/>
      <c r="S607" s="9"/>
      <c r="T607" s="10"/>
      <c r="U607" s="9"/>
      <c r="V607" s="9"/>
    </row>
    <row r="608" ht="12.5" spans="1:22">
      <c r="A608" s="4"/>
      <c r="B608" s="4"/>
      <c r="C608" s="4"/>
      <c r="D608" s="4"/>
      <c r="E608" s="5"/>
      <c r="F608" s="5"/>
      <c r="G608" s="5"/>
      <c r="H608" s="5"/>
      <c r="I608" s="5"/>
      <c r="J608" s="5"/>
      <c r="K608" s="5"/>
      <c r="L608" s="5"/>
      <c r="M608" s="5"/>
      <c r="N608" s="5"/>
      <c r="O608" s="5"/>
      <c r="P608" s="5"/>
      <c r="Q608" s="5"/>
      <c r="R608" s="9"/>
      <c r="S608" s="9"/>
      <c r="T608" s="10"/>
      <c r="U608" s="9"/>
      <c r="V608" s="9"/>
    </row>
    <row r="609" ht="12.5" spans="1:22">
      <c r="A609" s="4"/>
      <c r="B609" s="4"/>
      <c r="C609" s="4"/>
      <c r="D609" s="4"/>
      <c r="E609" s="5"/>
      <c r="F609" s="5"/>
      <c r="G609" s="5"/>
      <c r="H609" s="5"/>
      <c r="I609" s="5"/>
      <c r="J609" s="5"/>
      <c r="K609" s="5"/>
      <c r="L609" s="5"/>
      <c r="M609" s="5"/>
      <c r="N609" s="5"/>
      <c r="O609" s="5"/>
      <c r="P609" s="5"/>
      <c r="Q609" s="5"/>
      <c r="R609" s="9"/>
      <c r="S609" s="9"/>
      <c r="T609" s="10"/>
      <c r="U609" s="9"/>
      <c r="V609" s="9"/>
    </row>
    <row r="610" ht="12.5" spans="1:22">
      <c r="A610" s="4"/>
      <c r="B610" s="4"/>
      <c r="C610" s="4"/>
      <c r="D610" s="4"/>
      <c r="E610" s="5"/>
      <c r="F610" s="5"/>
      <c r="G610" s="5"/>
      <c r="H610" s="5"/>
      <c r="I610" s="5"/>
      <c r="J610" s="5"/>
      <c r="K610" s="5"/>
      <c r="L610" s="5"/>
      <c r="M610" s="5"/>
      <c r="N610" s="5"/>
      <c r="O610" s="5"/>
      <c r="P610" s="5"/>
      <c r="Q610" s="5"/>
      <c r="R610" s="9"/>
      <c r="S610" s="9"/>
      <c r="T610" s="10"/>
      <c r="U610" s="9"/>
      <c r="V610" s="9"/>
    </row>
    <row r="611" ht="12.5" spans="1:22">
      <c r="A611" s="4"/>
      <c r="B611" s="4"/>
      <c r="C611" s="4"/>
      <c r="D611" s="4"/>
      <c r="E611" s="5"/>
      <c r="F611" s="5"/>
      <c r="G611" s="5"/>
      <c r="H611" s="5"/>
      <c r="I611" s="5"/>
      <c r="J611" s="5"/>
      <c r="K611" s="5"/>
      <c r="L611" s="5"/>
      <c r="M611" s="5"/>
      <c r="N611" s="5"/>
      <c r="O611" s="5"/>
      <c r="P611" s="5"/>
      <c r="Q611" s="5"/>
      <c r="R611" s="9"/>
      <c r="S611" s="9"/>
      <c r="T611" s="10"/>
      <c r="U611" s="9"/>
      <c r="V611" s="9"/>
    </row>
    <row r="612" ht="12.5" spans="1:22">
      <c r="A612" s="4"/>
      <c r="B612" s="4"/>
      <c r="C612" s="4"/>
      <c r="D612" s="4"/>
      <c r="E612" s="5"/>
      <c r="F612" s="5"/>
      <c r="G612" s="5"/>
      <c r="H612" s="5"/>
      <c r="I612" s="5"/>
      <c r="J612" s="5"/>
      <c r="K612" s="5"/>
      <c r="L612" s="5"/>
      <c r="M612" s="5"/>
      <c r="N612" s="5"/>
      <c r="O612" s="5"/>
      <c r="P612" s="5"/>
      <c r="Q612" s="5"/>
      <c r="R612" s="9"/>
      <c r="S612" s="9"/>
      <c r="T612" s="10"/>
      <c r="U612" s="9"/>
      <c r="V612" s="9"/>
    </row>
    <row r="613" ht="12.5" spans="1:22">
      <c r="A613" s="4"/>
      <c r="B613" s="4"/>
      <c r="C613" s="4"/>
      <c r="D613" s="4"/>
      <c r="E613" s="5"/>
      <c r="F613" s="5"/>
      <c r="G613" s="5"/>
      <c r="H613" s="5"/>
      <c r="I613" s="5"/>
      <c r="J613" s="5"/>
      <c r="K613" s="5"/>
      <c r="L613" s="5"/>
      <c r="M613" s="5"/>
      <c r="N613" s="5"/>
      <c r="O613" s="5"/>
      <c r="P613" s="5"/>
      <c r="Q613" s="5"/>
      <c r="R613" s="9"/>
      <c r="S613" s="9"/>
      <c r="T613" s="10"/>
      <c r="U613" s="9"/>
      <c r="V613" s="9"/>
    </row>
    <row r="614" ht="12.5" spans="1:22">
      <c r="A614" s="4"/>
      <c r="B614" s="4"/>
      <c r="C614" s="4"/>
      <c r="D614" s="4"/>
      <c r="E614" s="5"/>
      <c r="F614" s="5"/>
      <c r="G614" s="5"/>
      <c r="H614" s="5"/>
      <c r="I614" s="5"/>
      <c r="J614" s="5"/>
      <c r="K614" s="5"/>
      <c r="L614" s="5"/>
      <c r="M614" s="5"/>
      <c r="N614" s="5"/>
      <c r="O614" s="5"/>
      <c r="P614" s="5"/>
      <c r="Q614" s="5"/>
      <c r="R614" s="9"/>
      <c r="S614" s="9"/>
      <c r="T614" s="10"/>
      <c r="U614" s="9"/>
      <c r="V614" s="9"/>
    </row>
    <row r="615" ht="12.5" spans="1:22">
      <c r="A615" s="4"/>
      <c r="B615" s="4"/>
      <c r="C615" s="4"/>
      <c r="D615" s="4"/>
      <c r="E615" s="5"/>
      <c r="F615" s="5"/>
      <c r="G615" s="5"/>
      <c r="H615" s="5"/>
      <c r="I615" s="5"/>
      <c r="J615" s="5"/>
      <c r="K615" s="5"/>
      <c r="L615" s="5"/>
      <c r="M615" s="5"/>
      <c r="N615" s="5"/>
      <c r="O615" s="5"/>
      <c r="P615" s="5"/>
      <c r="Q615" s="5"/>
      <c r="R615" s="9"/>
      <c r="S615" s="9"/>
      <c r="T615" s="10"/>
      <c r="U615" s="9"/>
      <c r="V615" s="9"/>
    </row>
    <row r="616" ht="12.5" spans="1:22">
      <c r="A616" s="4"/>
      <c r="B616" s="4"/>
      <c r="C616" s="4"/>
      <c r="D616" s="4"/>
      <c r="E616" s="5"/>
      <c r="F616" s="5"/>
      <c r="G616" s="5"/>
      <c r="H616" s="5"/>
      <c r="I616" s="5"/>
      <c r="J616" s="5"/>
      <c r="K616" s="5"/>
      <c r="L616" s="5"/>
      <c r="M616" s="5"/>
      <c r="N616" s="5"/>
      <c r="O616" s="5"/>
      <c r="P616" s="5"/>
      <c r="Q616" s="5"/>
      <c r="R616" s="9"/>
      <c r="S616" s="9"/>
      <c r="T616" s="10"/>
      <c r="U616" s="9"/>
      <c r="V616" s="9"/>
    </row>
    <row r="617" ht="12.5" spans="1:22">
      <c r="A617" s="4"/>
      <c r="B617" s="4"/>
      <c r="C617" s="4"/>
      <c r="D617" s="4"/>
      <c r="E617" s="5"/>
      <c r="F617" s="5"/>
      <c r="G617" s="5"/>
      <c r="H617" s="5"/>
      <c r="I617" s="5"/>
      <c r="J617" s="5"/>
      <c r="K617" s="5"/>
      <c r="L617" s="5"/>
      <c r="M617" s="5"/>
      <c r="N617" s="5"/>
      <c r="O617" s="5"/>
      <c r="P617" s="5"/>
      <c r="Q617" s="5"/>
      <c r="R617" s="9"/>
      <c r="S617" s="9"/>
      <c r="T617" s="10"/>
      <c r="U617" s="9"/>
      <c r="V617" s="9"/>
    </row>
    <row r="618" ht="12.5" spans="1:22">
      <c r="A618" s="4"/>
      <c r="B618" s="4"/>
      <c r="C618" s="4"/>
      <c r="D618" s="4"/>
      <c r="E618" s="5"/>
      <c r="F618" s="5"/>
      <c r="G618" s="5"/>
      <c r="H618" s="5"/>
      <c r="I618" s="5"/>
      <c r="J618" s="5"/>
      <c r="K618" s="5"/>
      <c r="L618" s="5"/>
      <c r="M618" s="5"/>
      <c r="N618" s="5"/>
      <c r="O618" s="5"/>
      <c r="P618" s="5"/>
      <c r="Q618" s="5"/>
      <c r="R618" s="9"/>
      <c r="S618" s="9"/>
      <c r="T618" s="10"/>
      <c r="U618" s="9"/>
      <c r="V618" s="9"/>
    </row>
    <row r="619" ht="12.5" spans="1:22">
      <c r="A619" s="4"/>
      <c r="B619" s="4"/>
      <c r="C619" s="4"/>
      <c r="D619" s="4"/>
      <c r="E619" s="5"/>
      <c r="F619" s="5"/>
      <c r="G619" s="5"/>
      <c r="H619" s="5"/>
      <c r="I619" s="5"/>
      <c r="J619" s="5"/>
      <c r="K619" s="5"/>
      <c r="L619" s="5"/>
      <c r="M619" s="5"/>
      <c r="N619" s="5"/>
      <c r="O619" s="5"/>
      <c r="P619" s="5"/>
      <c r="Q619" s="5"/>
      <c r="R619" s="9"/>
      <c r="S619" s="9"/>
      <c r="T619" s="10"/>
      <c r="U619" s="9"/>
      <c r="V619" s="9"/>
    </row>
    <row r="620" ht="12.5" spans="1:22">
      <c r="A620" s="4"/>
      <c r="B620" s="4"/>
      <c r="C620" s="4"/>
      <c r="D620" s="4"/>
      <c r="E620" s="5"/>
      <c r="F620" s="5"/>
      <c r="G620" s="5"/>
      <c r="H620" s="5"/>
      <c r="I620" s="5"/>
      <c r="J620" s="5"/>
      <c r="K620" s="5"/>
      <c r="L620" s="5"/>
      <c r="M620" s="5"/>
      <c r="N620" s="5"/>
      <c r="O620" s="5"/>
      <c r="P620" s="5"/>
      <c r="Q620" s="5"/>
      <c r="R620" s="9"/>
      <c r="S620" s="9"/>
      <c r="T620" s="10"/>
      <c r="U620" s="9"/>
      <c r="V620" s="9"/>
    </row>
    <row r="621" ht="12.5" spans="1:22">
      <c r="A621" s="4"/>
      <c r="B621" s="4"/>
      <c r="C621" s="4"/>
      <c r="D621" s="4"/>
      <c r="E621" s="5"/>
      <c r="F621" s="5"/>
      <c r="G621" s="5"/>
      <c r="H621" s="5"/>
      <c r="I621" s="5"/>
      <c r="J621" s="5"/>
      <c r="K621" s="5"/>
      <c r="L621" s="5"/>
      <c r="M621" s="5"/>
      <c r="N621" s="5"/>
      <c r="O621" s="5"/>
      <c r="P621" s="5"/>
      <c r="Q621" s="5"/>
      <c r="R621" s="9"/>
      <c r="S621" s="9"/>
      <c r="T621" s="10"/>
      <c r="U621" s="9"/>
      <c r="V621" s="9"/>
    </row>
    <row r="622" ht="12.5" spans="1:22">
      <c r="A622" s="4"/>
      <c r="B622" s="4"/>
      <c r="C622" s="4"/>
      <c r="D622" s="4"/>
      <c r="E622" s="5"/>
      <c r="F622" s="5"/>
      <c r="G622" s="5"/>
      <c r="H622" s="5"/>
      <c r="I622" s="5"/>
      <c r="J622" s="5"/>
      <c r="K622" s="5"/>
      <c r="L622" s="5"/>
      <c r="M622" s="5"/>
      <c r="N622" s="5"/>
      <c r="O622" s="5"/>
      <c r="P622" s="5"/>
      <c r="Q622" s="5"/>
      <c r="R622" s="9"/>
      <c r="S622" s="9"/>
      <c r="T622" s="10"/>
      <c r="U622" s="9"/>
      <c r="V622" s="9"/>
    </row>
    <row r="623" ht="12.5" spans="1:22">
      <c r="A623" s="4"/>
      <c r="B623" s="4"/>
      <c r="C623" s="4"/>
      <c r="D623" s="4"/>
      <c r="E623" s="5"/>
      <c r="F623" s="5"/>
      <c r="G623" s="5"/>
      <c r="H623" s="5"/>
      <c r="I623" s="5"/>
      <c r="J623" s="5"/>
      <c r="K623" s="5"/>
      <c r="L623" s="5"/>
      <c r="M623" s="5"/>
      <c r="N623" s="5"/>
      <c r="O623" s="5"/>
      <c r="P623" s="5"/>
      <c r="Q623" s="5"/>
      <c r="R623" s="9"/>
      <c r="S623" s="9"/>
      <c r="T623" s="10"/>
      <c r="U623" s="9"/>
      <c r="V623" s="9"/>
    </row>
    <row r="624" ht="12.5" spans="1:22">
      <c r="A624" s="4"/>
      <c r="B624" s="4"/>
      <c r="C624" s="4"/>
      <c r="D624" s="4"/>
      <c r="E624" s="5"/>
      <c r="F624" s="5"/>
      <c r="G624" s="5"/>
      <c r="H624" s="5"/>
      <c r="I624" s="5"/>
      <c r="J624" s="5"/>
      <c r="K624" s="5"/>
      <c r="L624" s="5"/>
      <c r="M624" s="5"/>
      <c r="N624" s="5"/>
      <c r="O624" s="5"/>
      <c r="P624" s="5"/>
      <c r="Q624" s="5"/>
      <c r="R624" s="9"/>
      <c r="S624" s="9"/>
      <c r="T624" s="10"/>
      <c r="U624" s="9"/>
      <c r="V624" s="9"/>
    </row>
    <row r="625" ht="12.5" spans="1:22">
      <c r="A625" s="4"/>
      <c r="B625" s="4"/>
      <c r="C625" s="4"/>
      <c r="D625" s="4"/>
      <c r="E625" s="5"/>
      <c r="F625" s="5"/>
      <c r="G625" s="5"/>
      <c r="H625" s="5"/>
      <c r="I625" s="5"/>
      <c r="J625" s="5"/>
      <c r="K625" s="5"/>
      <c r="L625" s="5"/>
      <c r="M625" s="5"/>
      <c r="N625" s="5"/>
      <c r="O625" s="5"/>
      <c r="P625" s="5"/>
      <c r="Q625" s="5"/>
      <c r="R625" s="9"/>
      <c r="S625" s="9"/>
      <c r="T625" s="10"/>
      <c r="U625" s="9"/>
      <c r="V625" s="9"/>
    </row>
    <row r="626" ht="12.5" spans="1:22">
      <c r="A626" s="4"/>
      <c r="B626" s="4"/>
      <c r="C626" s="4"/>
      <c r="D626" s="4"/>
      <c r="E626" s="5"/>
      <c r="F626" s="5"/>
      <c r="G626" s="5"/>
      <c r="H626" s="5"/>
      <c r="I626" s="5"/>
      <c r="J626" s="5"/>
      <c r="K626" s="5"/>
      <c r="L626" s="5"/>
      <c r="M626" s="5"/>
      <c r="N626" s="5"/>
      <c r="O626" s="5"/>
      <c r="P626" s="5"/>
      <c r="Q626" s="5"/>
      <c r="R626" s="9"/>
      <c r="S626" s="9"/>
      <c r="T626" s="10"/>
      <c r="U626" s="9"/>
      <c r="V626" s="9"/>
    </row>
    <row r="627" ht="12.5" spans="1:22">
      <c r="A627" s="4"/>
      <c r="B627" s="4"/>
      <c r="C627" s="4"/>
      <c r="D627" s="4"/>
      <c r="E627" s="5"/>
      <c r="F627" s="5"/>
      <c r="G627" s="5"/>
      <c r="H627" s="5"/>
      <c r="I627" s="5"/>
      <c r="J627" s="5"/>
      <c r="K627" s="5"/>
      <c r="L627" s="5"/>
      <c r="M627" s="5"/>
      <c r="N627" s="5"/>
      <c r="O627" s="5"/>
      <c r="P627" s="5"/>
      <c r="Q627" s="5"/>
      <c r="R627" s="9"/>
      <c r="S627" s="9"/>
      <c r="T627" s="10"/>
      <c r="U627" s="9"/>
      <c r="V627" s="9"/>
    </row>
    <row r="628" ht="12.5" spans="1:22">
      <c r="A628" s="4"/>
      <c r="B628" s="4"/>
      <c r="C628" s="4"/>
      <c r="D628" s="4"/>
      <c r="E628" s="5"/>
      <c r="F628" s="5"/>
      <c r="G628" s="5"/>
      <c r="H628" s="5"/>
      <c r="I628" s="5"/>
      <c r="J628" s="5"/>
      <c r="K628" s="5"/>
      <c r="L628" s="5"/>
      <c r="M628" s="5"/>
      <c r="N628" s="5"/>
      <c r="O628" s="5"/>
      <c r="P628" s="5"/>
      <c r="Q628" s="5"/>
      <c r="R628" s="9"/>
      <c r="S628" s="9"/>
      <c r="T628" s="10"/>
      <c r="U628" s="9"/>
      <c r="V628" s="9"/>
    </row>
    <row r="629" ht="12.5" spans="1:22">
      <c r="A629" s="4"/>
      <c r="B629" s="4"/>
      <c r="C629" s="4"/>
      <c r="D629" s="4"/>
      <c r="E629" s="5"/>
      <c r="F629" s="5"/>
      <c r="G629" s="5"/>
      <c r="H629" s="5"/>
      <c r="I629" s="5"/>
      <c r="J629" s="5"/>
      <c r="K629" s="5"/>
      <c r="L629" s="5"/>
      <c r="M629" s="5"/>
      <c r="N629" s="5"/>
      <c r="O629" s="5"/>
      <c r="P629" s="5"/>
      <c r="Q629" s="5"/>
      <c r="R629" s="9"/>
      <c r="S629" s="9"/>
      <c r="T629" s="10"/>
      <c r="U629" s="9"/>
      <c r="V629" s="9"/>
    </row>
    <row r="630" ht="12.5" spans="1:22">
      <c r="A630" s="4"/>
      <c r="B630" s="4"/>
      <c r="C630" s="4"/>
      <c r="D630" s="4"/>
      <c r="E630" s="5"/>
      <c r="F630" s="5"/>
      <c r="G630" s="5"/>
      <c r="H630" s="5"/>
      <c r="I630" s="5"/>
      <c r="J630" s="5"/>
      <c r="K630" s="5"/>
      <c r="L630" s="5"/>
      <c r="M630" s="5"/>
      <c r="N630" s="5"/>
      <c r="O630" s="5"/>
      <c r="P630" s="5"/>
      <c r="Q630" s="5"/>
      <c r="R630" s="9"/>
      <c r="S630" s="9"/>
      <c r="T630" s="10"/>
      <c r="U630" s="9"/>
      <c r="V630" s="9"/>
    </row>
    <row r="631" ht="12.5" spans="1:22">
      <c r="A631" s="4"/>
      <c r="B631" s="4"/>
      <c r="C631" s="4"/>
      <c r="D631" s="4"/>
      <c r="E631" s="5"/>
      <c r="F631" s="5"/>
      <c r="G631" s="5"/>
      <c r="H631" s="5"/>
      <c r="I631" s="5"/>
      <c r="J631" s="5"/>
      <c r="K631" s="5"/>
      <c r="L631" s="5"/>
      <c r="M631" s="5"/>
      <c r="N631" s="5"/>
      <c r="O631" s="5"/>
      <c r="P631" s="5"/>
      <c r="Q631" s="5"/>
      <c r="R631" s="9"/>
      <c r="S631" s="9"/>
      <c r="T631" s="10"/>
      <c r="U631" s="9"/>
      <c r="V631" s="9"/>
    </row>
    <row r="632" ht="12.5" spans="1:22">
      <c r="A632" s="4"/>
      <c r="B632" s="4"/>
      <c r="C632" s="4"/>
      <c r="D632" s="4"/>
      <c r="E632" s="5"/>
      <c r="F632" s="5"/>
      <c r="G632" s="5"/>
      <c r="H632" s="5"/>
      <c r="I632" s="5"/>
      <c r="J632" s="5"/>
      <c r="K632" s="5"/>
      <c r="L632" s="5"/>
      <c r="M632" s="5"/>
      <c r="N632" s="5"/>
      <c r="O632" s="5"/>
      <c r="P632" s="5"/>
      <c r="Q632" s="5"/>
      <c r="R632" s="9"/>
      <c r="S632" s="9"/>
      <c r="T632" s="10"/>
      <c r="U632" s="9"/>
      <c r="V632" s="9"/>
    </row>
    <row r="633" ht="12.5" spans="1:22">
      <c r="A633" s="4"/>
      <c r="B633" s="4"/>
      <c r="C633" s="4"/>
      <c r="D633" s="4"/>
      <c r="E633" s="5"/>
      <c r="F633" s="5"/>
      <c r="G633" s="5"/>
      <c r="H633" s="5"/>
      <c r="I633" s="5"/>
      <c r="J633" s="5"/>
      <c r="K633" s="5"/>
      <c r="L633" s="5"/>
      <c r="M633" s="5"/>
      <c r="N633" s="5"/>
      <c r="O633" s="5"/>
      <c r="P633" s="5"/>
      <c r="Q633" s="5"/>
      <c r="R633" s="9"/>
      <c r="S633" s="9"/>
      <c r="T633" s="10"/>
      <c r="U633" s="9"/>
      <c r="V633" s="9"/>
    </row>
    <row r="634" ht="12.5" spans="1:22">
      <c r="A634" s="4"/>
      <c r="B634" s="4"/>
      <c r="C634" s="4"/>
      <c r="D634" s="4"/>
      <c r="E634" s="5"/>
      <c r="F634" s="5"/>
      <c r="G634" s="5"/>
      <c r="H634" s="5"/>
      <c r="I634" s="5"/>
      <c r="J634" s="5"/>
      <c r="K634" s="5"/>
      <c r="L634" s="5"/>
      <c r="M634" s="5"/>
      <c r="N634" s="5"/>
      <c r="O634" s="5"/>
      <c r="P634" s="5"/>
      <c r="Q634" s="5"/>
      <c r="R634" s="9"/>
      <c r="S634" s="9"/>
      <c r="T634" s="10"/>
      <c r="U634" s="9"/>
      <c r="V634" s="9"/>
    </row>
    <row r="635" ht="12.5" spans="1:22">
      <c r="A635" s="4"/>
      <c r="B635" s="4"/>
      <c r="C635" s="4"/>
      <c r="D635" s="4"/>
      <c r="E635" s="5"/>
      <c r="F635" s="5"/>
      <c r="G635" s="5"/>
      <c r="H635" s="5"/>
      <c r="I635" s="5"/>
      <c r="J635" s="5"/>
      <c r="K635" s="5"/>
      <c r="L635" s="5"/>
      <c r="M635" s="5"/>
      <c r="N635" s="5"/>
      <c r="O635" s="5"/>
      <c r="P635" s="5"/>
      <c r="Q635" s="5"/>
      <c r="R635" s="9"/>
      <c r="S635" s="9"/>
      <c r="T635" s="10"/>
      <c r="U635" s="9"/>
      <c r="V635" s="9"/>
    </row>
    <row r="636" ht="12.5" spans="1:22">
      <c r="A636" s="4"/>
      <c r="B636" s="4"/>
      <c r="C636" s="4"/>
      <c r="D636" s="4"/>
      <c r="E636" s="5"/>
      <c r="F636" s="5"/>
      <c r="G636" s="5"/>
      <c r="H636" s="5"/>
      <c r="I636" s="5"/>
      <c r="J636" s="5"/>
      <c r="K636" s="5"/>
      <c r="L636" s="5"/>
      <c r="M636" s="5"/>
      <c r="N636" s="5"/>
      <c r="O636" s="5"/>
      <c r="P636" s="5"/>
      <c r="Q636" s="5"/>
      <c r="R636" s="9"/>
      <c r="S636" s="9"/>
      <c r="T636" s="10"/>
      <c r="U636" s="9"/>
      <c r="V636" s="9"/>
    </row>
    <row r="637" ht="12.5" spans="1:22">
      <c r="A637" s="4"/>
      <c r="B637" s="4"/>
      <c r="C637" s="4"/>
      <c r="D637" s="4"/>
      <c r="E637" s="5"/>
      <c r="F637" s="5"/>
      <c r="G637" s="5"/>
      <c r="H637" s="5"/>
      <c r="I637" s="5"/>
      <c r="J637" s="5"/>
      <c r="K637" s="5"/>
      <c r="L637" s="5"/>
      <c r="M637" s="5"/>
      <c r="N637" s="5"/>
      <c r="O637" s="5"/>
      <c r="P637" s="5"/>
      <c r="Q637" s="5"/>
      <c r="R637" s="9"/>
      <c r="S637" s="9"/>
      <c r="T637" s="10"/>
      <c r="U637" s="9"/>
      <c r="V637" s="9"/>
    </row>
    <row r="638" ht="12.5" spans="1:22">
      <c r="A638" s="4"/>
      <c r="B638" s="4"/>
      <c r="C638" s="4"/>
      <c r="D638" s="4"/>
      <c r="E638" s="5"/>
      <c r="F638" s="5"/>
      <c r="G638" s="5"/>
      <c r="H638" s="5"/>
      <c r="I638" s="5"/>
      <c r="J638" s="5"/>
      <c r="K638" s="5"/>
      <c r="L638" s="5"/>
      <c r="M638" s="5"/>
      <c r="N638" s="5"/>
      <c r="O638" s="5"/>
      <c r="P638" s="5"/>
      <c r="Q638" s="5"/>
      <c r="R638" s="9"/>
      <c r="S638" s="9"/>
      <c r="T638" s="10"/>
      <c r="U638" s="9"/>
      <c r="V638" s="9"/>
    </row>
    <row r="639" ht="12.5" spans="1:22">
      <c r="A639" s="4"/>
      <c r="B639" s="4"/>
      <c r="C639" s="4"/>
      <c r="D639" s="4"/>
      <c r="E639" s="5"/>
      <c r="F639" s="5"/>
      <c r="G639" s="5"/>
      <c r="H639" s="5"/>
      <c r="I639" s="5"/>
      <c r="J639" s="5"/>
      <c r="K639" s="5"/>
      <c r="L639" s="5"/>
      <c r="M639" s="5"/>
      <c r="N639" s="5"/>
      <c r="O639" s="5"/>
      <c r="P639" s="5"/>
      <c r="Q639" s="5"/>
      <c r="R639" s="9"/>
      <c r="S639" s="9"/>
      <c r="T639" s="10"/>
      <c r="U639" s="9"/>
      <c r="V639" s="9"/>
    </row>
    <row r="640" ht="12.5" spans="1:22">
      <c r="A640" s="4"/>
      <c r="B640" s="4"/>
      <c r="C640" s="4"/>
      <c r="D640" s="4"/>
      <c r="E640" s="5"/>
      <c r="F640" s="5"/>
      <c r="G640" s="5"/>
      <c r="H640" s="5"/>
      <c r="I640" s="5"/>
      <c r="J640" s="5"/>
      <c r="K640" s="5"/>
      <c r="L640" s="5"/>
      <c r="M640" s="5"/>
      <c r="N640" s="5"/>
      <c r="O640" s="5"/>
      <c r="P640" s="5"/>
      <c r="Q640" s="5"/>
      <c r="R640" s="9"/>
      <c r="S640" s="9"/>
      <c r="T640" s="10"/>
      <c r="U640" s="9"/>
      <c r="V640" s="9"/>
    </row>
    <row r="641" ht="12.5" spans="1:22">
      <c r="A641" s="4"/>
      <c r="B641" s="4"/>
      <c r="C641" s="4"/>
      <c r="D641" s="4"/>
      <c r="E641" s="5"/>
      <c r="F641" s="5"/>
      <c r="G641" s="5"/>
      <c r="H641" s="5"/>
      <c r="I641" s="5"/>
      <c r="J641" s="5"/>
      <c r="K641" s="5"/>
      <c r="L641" s="5"/>
      <c r="M641" s="5"/>
      <c r="N641" s="5"/>
      <c r="O641" s="5"/>
      <c r="P641" s="5"/>
      <c r="Q641" s="5"/>
      <c r="R641" s="9"/>
      <c r="S641" s="9"/>
      <c r="T641" s="10"/>
      <c r="U641" s="9"/>
      <c r="V641" s="9"/>
    </row>
    <row r="642" ht="12.5" spans="1:22">
      <c r="A642" s="4"/>
      <c r="B642" s="4"/>
      <c r="C642" s="4"/>
      <c r="D642" s="4"/>
      <c r="E642" s="5"/>
      <c r="F642" s="5"/>
      <c r="G642" s="5"/>
      <c r="H642" s="5"/>
      <c r="I642" s="5"/>
      <c r="J642" s="5"/>
      <c r="K642" s="5"/>
      <c r="L642" s="5"/>
      <c r="M642" s="5"/>
      <c r="N642" s="5"/>
      <c r="O642" s="5"/>
      <c r="P642" s="5"/>
      <c r="Q642" s="5"/>
      <c r="R642" s="9"/>
      <c r="S642" s="9"/>
      <c r="T642" s="10"/>
      <c r="U642" s="9"/>
      <c r="V642" s="9"/>
    </row>
    <row r="643" ht="12.5" spans="1:22">
      <c r="A643" s="4"/>
      <c r="B643" s="4"/>
      <c r="C643" s="4"/>
      <c r="D643" s="4"/>
      <c r="E643" s="5"/>
      <c r="F643" s="5"/>
      <c r="G643" s="5"/>
      <c r="H643" s="5"/>
      <c r="I643" s="5"/>
      <c r="J643" s="5"/>
      <c r="K643" s="5"/>
      <c r="L643" s="5"/>
      <c r="M643" s="5"/>
      <c r="N643" s="5"/>
      <c r="O643" s="5"/>
      <c r="P643" s="5"/>
      <c r="Q643" s="5"/>
      <c r="R643" s="9"/>
      <c r="S643" s="9"/>
      <c r="T643" s="10"/>
      <c r="U643" s="9"/>
      <c r="V643" s="9"/>
    </row>
    <row r="644" ht="12.5" spans="1:22">
      <c r="A644" s="4"/>
      <c r="B644" s="4"/>
      <c r="C644" s="4"/>
      <c r="D644" s="4"/>
      <c r="E644" s="5"/>
      <c r="F644" s="5"/>
      <c r="G644" s="5"/>
      <c r="H644" s="5"/>
      <c r="I644" s="5"/>
      <c r="J644" s="5"/>
      <c r="K644" s="5"/>
      <c r="L644" s="5"/>
      <c r="M644" s="5"/>
      <c r="N644" s="5"/>
      <c r="O644" s="5"/>
      <c r="P644" s="5"/>
      <c r="Q644" s="5"/>
      <c r="R644" s="9"/>
      <c r="S644" s="9"/>
      <c r="T644" s="10"/>
      <c r="U644" s="9"/>
      <c r="V644" s="9"/>
    </row>
    <row r="645" ht="12.5" spans="1:22">
      <c r="A645" s="4"/>
      <c r="B645" s="4"/>
      <c r="C645" s="4"/>
      <c r="D645" s="4"/>
      <c r="E645" s="5"/>
      <c r="F645" s="5"/>
      <c r="G645" s="5"/>
      <c r="H645" s="5"/>
      <c r="I645" s="5"/>
      <c r="J645" s="5"/>
      <c r="K645" s="5"/>
      <c r="L645" s="5"/>
      <c r="M645" s="5"/>
      <c r="N645" s="5"/>
      <c r="O645" s="5"/>
      <c r="P645" s="5"/>
      <c r="Q645" s="5"/>
      <c r="R645" s="9"/>
      <c r="S645" s="9"/>
      <c r="T645" s="10"/>
      <c r="U645" s="9"/>
      <c r="V645" s="9"/>
    </row>
    <row r="646" ht="12.5" spans="1:22">
      <c r="A646" s="4"/>
      <c r="B646" s="4"/>
      <c r="C646" s="4"/>
      <c r="D646" s="4"/>
      <c r="E646" s="5"/>
      <c r="F646" s="5"/>
      <c r="G646" s="5"/>
      <c r="H646" s="5"/>
      <c r="I646" s="5"/>
      <c r="J646" s="5"/>
      <c r="K646" s="5"/>
      <c r="L646" s="5"/>
      <c r="M646" s="5"/>
      <c r="N646" s="5"/>
      <c r="O646" s="5"/>
      <c r="P646" s="5"/>
      <c r="Q646" s="5"/>
      <c r="R646" s="9"/>
      <c r="S646" s="9"/>
      <c r="T646" s="10"/>
      <c r="U646" s="9"/>
      <c r="V646" s="9"/>
    </row>
    <row r="647" ht="12.5" spans="1:22">
      <c r="A647" s="4"/>
      <c r="B647" s="4"/>
      <c r="C647" s="4"/>
      <c r="D647" s="4"/>
      <c r="E647" s="5"/>
      <c r="F647" s="5"/>
      <c r="G647" s="5"/>
      <c r="H647" s="5"/>
      <c r="I647" s="5"/>
      <c r="J647" s="5"/>
      <c r="K647" s="5"/>
      <c r="L647" s="5"/>
      <c r="M647" s="5"/>
      <c r="N647" s="5"/>
      <c r="O647" s="5"/>
      <c r="P647" s="5"/>
      <c r="Q647" s="5"/>
      <c r="R647" s="9"/>
      <c r="S647" s="9"/>
      <c r="T647" s="10"/>
      <c r="U647" s="9"/>
      <c r="V647" s="9"/>
    </row>
    <row r="648" ht="12.5" spans="1:22">
      <c r="A648" s="4"/>
      <c r="B648" s="4"/>
      <c r="C648" s="4"/>
      <c r="D648" s="4"/>
      <c r="E648" s="5"/>
      <c r="F648" s="5"/>
      <c r="G648" s="5"/>
      <c r="H648" s="5"/>
      <c r="I648" s="5"/>
      <c r="J648" s="5"/>
      <c r="K648" s="5"/>
      <c r="L648" s="5"/>
      <c r="M648" s="5"/>
      <c r="N648" s="5"/>
      <c r="O648" s="5"/>
      <c r="P648" s="5"/>
      <c r="Q648" s="5"/>
      <c r="R648" s="9"/>
      <c r="S648" s="9"/>
      <c r="T648" s="10"/>
      <c r="U648" s="9"/>
      <c r="V648" s="9"/>
    </row>
    <row r="649" ht="12.5" spans="1:22">
      <c r="A649" s="4"/>
      <c r="B649" s="4"/>
      <c r="C649" s="4"/>
      <c r="D649" s="4"/>
      <c r="E649" s="5"/>
      <c r="F649" s="5"/>
      <c r="G649" s="5"/>
      <c r="H649" s="5"/>
      <c r="I649" s="5"/>
      <c r="J649" s="5"/>
      <c r="K649" s="5"/>
      <c r="L649" s="5"/>
      <c r="M649" s="5"/>
      <c r="N649" s="5"/>
      <c r="O649" s="5"/>
      <c r="P649" s="5"/>
      <c r="Q649" s="5"/>
      <c r="R649" s="9"/>
      <c r="S649" s="9"/>
      <c r="T649" s="10"/>
      <c r="U649" s="9"/>
      <c r="V649" s="9"/>
    </row>
    <row r="650" ht="12.5" spans="1:22">
      <c r="A650" s="4"/>
      <c r="B650" s="4"/>
      <c r="C650" s="4"/>
      <c r="D650" s="4"/>
      <c r="E650" s="5"/>
      <c r="F650" s="5"/>
      <c r="G650" s="5"/>
      <c r="H650" s="5"/>
      <c r="I650" s="5"/>
      <c r="J650" s="5"/>
      <c r="K650" s="5"/>
      <c r="L650" s="5"/>
      <c r="M650" s="5"/>
      <c r="N650" s="5"/>
      <c r="O650" s="5"/>
      <c r="P650" s="5"/>
      <c r="Q650" s="5"/>
      <c r="R650" s="9"/>
      <c r="S650" s="9"/>
      <c r="T650" s="10"/>
      <c r="U650" s="9"/>
      <c r="V650" s="9"/>
    </row>
    <row r="651" ht="12.5" spans="1:22">
      <c r="A651" s="4"/>
      <c r="B651" s="4"/>
      <c r="C651" s="4"/>
      <c r="D651" s="4"/>
      <c r="E651" s="5"/>
      <c r="F651" s="5"/>
      <c r="G651" s="5"/>
      <c r="H651" s="5"/>
      <c r="I651" s="5"/>
      <c r="J651" s="5"/>
      <c r="K651" s="5"/>
      <c r="L651" s="5"/>
      <c r="M651" s="5"/>
      <c r="N651" s="5"/>
      <c r="O651" s="5"/>
      <c r="P651" s="5"/>
      <c r="Q651" s="5"/>
      <c r="R651" s="9"/>
      <c r="S651" s="9"/>
      <c r="T651" s="10"/>
      <c r="U651" s="9"/>
      <c r="V651" s="9"/>
    </row>
    <row r="652" ht="12.5" spans="1:22">
      <c r="A652" s="4"/>
      <c r="B652" s="4"/>
      <c r="C652" s="4"/>
      <c r="D652" s="4"/>
      <c r="E652" s="5"/>
      <c r="F652" s="5"/>
      <c r="G652" s="5"/>
      <c r="H652" s="5"/>
      <c r="I652" s="5"/>
      <c r="J652" s="5"/>
      <c r="K652" s="5"/>
      <c r="L652" s="5"/>
      <c r="M652" s="5"/>
      <c r="N652" s="5"/>
      <c r="O652" s="5"/>
      <c r="P652" s="5"/>
      <c r="Q652" s="5"/>
      <c r="R652" s="9"/>
      <c r="S652" s="9"/>
      <c r="T652" s="10"/>
      <c r="U652" s="9"/>
      <c r="V652" s="9"/>
    </row>
    <row r="653" ht="12.5" spans="1:22">
      <c r="A653" s="4"/>
      <c r="B653" s="4"/>
      <c r="C653" s="4"/>
      <c r="D653" s="4"/>
      <c r="E653" s="5"/>
      <c r="F653" s="5"/>
      <c r="G653" s="5"/>
      <c r="H653" s="5"/>
      <c r="I653" s="5"/>
      <c r="J653" s="5"/>
      <c r="K653" s="5"/>
      <c r="L653" s="5"/>
      <c r="M653" s="5"/>
      <c r="N653" s="5"/>
      <c r="O653" s="5"/>
      <c r="P653" s="5"/>
      <c r="Q653" s="5"/>
      <c r="R653" s="9"/>
      <c r="S653" s="9"/>
      <c r="T653" s="10"/>
      <c r="U653" s="9"/>
      <c r="V653" s="9"/>
    </row>
    <row r="654" ht="12.5" spans="1:22">
      <c r="A654" s="4"/>
      <c r="B654" s="4"/>
      <c r="C654" s="4"/>
      <c r="D654" s="4"/>
      <c r="E654" s="5"/>
      <c r="F654" s="5"/>
      <c r="G654" s="5"/>
      <c r="H654" s="5"/>
      <c r="I654" s="5"/>
      <c r="J654" s="5"/>
      <c r="K654" s="5"/>
      <c r="L654" s="5"/>
      <c r="M654" s="5"/>
      <c r="N654" s="5"/>
      <c r="O654" s="5"/>
      <c r="P654" s="5"/>
      <c r="Q654" s="5"/>
      <c r="R654" s="9"/>
      <c r="S654" s="9"/>
      <c r="T654" s="10"/>
      <c r="U654" s="9"/>
      <c r="V654" s="9"/>
    </row>
    <row r="655" ht="12.5" spans="1:22">
      <c r="A655" s="4"/>
      <c r="B655" s="4"/>
      <c r="C655" s="4"/>
      <c r="D655" s="4"/>
      <c r="E655" s="5"/>
      <c r="F655" s="5"/>
      <c r="G655" s="5"/>
      <c r="H655" s="5"/>
      <c r="I655" s="5"/>
      <c r="J655" s="5"/>
      <c r="K655" s="5"/>
      <c r="L655" s="5"/>
      <c r="M655" s="5"/>
      <c r="N655" s="5"/>
      <c r="O655" s="5"/>
      <c r="P655" s="5"/>
      <c r="Q655" s="5"/>
      <c r="R655" s="9"/>
      <c r="S655" s="9"/>
      <c r="T655" s="10"/>
      <c r="U655" s="9"/>
      <c r="V655" s="9"/>
    </row>
    <row r="656" ht="12.5" spans="1:22">
      <c r="A656" s="4"/>
      <c r="B656" s="4"/>
      <c r="C656" s="4"/>
      <c r="D656" s="4"/>
      <c r="E656" s="5"/>
      <c r="F656" s="5"/>
      <c r="G656" s="5"/>
      <c r="H656" s="5"/>
      <c r="I656" s="5"/>
      <c r="J656" s="5"/>
      <c r="K656" s="5"/>
      <c r="L656" s="5"/>
      <c r="M656" s="5"/>
      <c r="N656" s="5"/>
      <c r="O656" s="5"/>
      <c r="P656" s="5"/>
      <c r="Q656" s="5"/>
      <c r="R656" s="9"/>
      <c r="S656" s="9"/>
      <c r="T656" s="10"/>
      <c r="U656" s="9"/>
      <c r="V656" s="9"/>
    </row>
    <row r="657" ht="12.5" spans="1:22">
      <c r="A657" s="4"/>
      <c r="B657" s="4"/>
      <c r="C657" s="4"/>
      <c r="D657" s="4"/>
      <c r="E657" s="5"/>
      <c r="F657" s="5"/>
      <c r="G657" s="5"/>
      <c r="H657" s="5"/>
      <c r="I657" s="5"/>
      <c r="J657" s="5"/>
      <c r="K657" s="5"/>
      <c r="L657" s="5"/>
      <c r="M657" s="5"/>
      <c r="N657" s="5"/>
      <c r="O657" s="5"/>
      <c r="P657" s="5"/>
      <c r="Q657" s="5"/>
      <c r="R657" s="9"/>
      <c r="S657" s="9"/>
      <c r="T657" s="10"/>
      <c r="U657" s="9"/>
      <c r="V657" s="9"/>
    </row>
    <row r="658" ht="12.5" spans="1:22">
      <c r="A658" s="4"/>
      <c r="B658" s="4"/>
      <c r="C658" s="4"/>
      <c r="D658" s="4"/>
      <c r="E658" s="5"/>
      <c r="F658" s="5"/>
      <c r="G658" s="5"/>
      <c r="H658" s="5"/>
      <c r="I658" s="5"/>
      <c r="J658" s="5"/>
      <c r="K658" s="5"/>
      <c r="L658" s="5"/>
      <c r="M658" s="5"/>
      <c r="N658" s="5"/>
      <c r="O658" s="5"/>
      <c r="P658" s="5"/>
      <c r="Q658" s="5"/>
      <c r="R658" s="9"/>
      <c r="S658" s="9"/>
      <c r="T658" s="10"/>
      <c r="U658" s="9"/>
      <c r="V658" s="9"/>
    </row>
    <row r="659" ht="12.5" spans="1:22">
      <c r="A659" s="4"/>
      <c r="B659" s="4"/>
      <c r="C659" s="4"/>
      <c r="D659" s="4"/>
      <c r="E659" s="5"/>
      <c r="F659" s="5"/>
      <c r="G659" s="5"/>
      <c r="H659" s="5"/>
      <c r="I659" s="5"/>
      <c r="J659" s="5"/>
      <c r="K659" s="5"/>
      <c r="L659" s="5"/>
      <c r="M659" s="5"/>
      <c r="N659" s="5"/>
      <c r="O659" s="5"/>
      <c r="P659" s="5"/>
      <c r="Q659" s="5"/>
      <c r="R659" s="9"/>
      <c r="S659" s="9"/>
      <c r="T659" s="10"/>
      <c r="U659" s="9"/>
      <c r="V659" s="9"/>
    </row>
    <row r="660" ht="12.5" spans="1:22">
      <c r="A660" s="4"/>
      <c r="B660" s="4"/>
      <c r="C660" s="4"/>
      <c r="D660" s="4"/>
      <c r="E660" s="5"/>
      <c r="F660" s="5"/>
      <c r="G660" s="5"/>
      <c r="H660" s="5"/>
      <c r="I660" s="5"/>
      <c r="J660" s="5"/>
      <c r="K660" s="5"/>
      <c r="L660" s="5"/>
      <c r="M660" s="5"/>
      <c r="N660" s="5"/>
      <c r="O660" s="5"/>
      <c r="P660" s="5"/>
      <c r="Q660" s="5"/>
      <c r="R660" s="9"/>
      <c r="S660" s="9"/>
      <c r="T660" s="10"/>
      <c r="U660" s="9"/>
      <c r="V660" s="9"/>
    </row>
    <row r="661" ht="12.5" spans="1:22">
      <c r="A661" s="4"/>
      <c r="B661" s="4"/>
      <c r="C661" s="4"/>
      <c r="D661" s="4"/>
      <c r="E661" s="5"/>
      <c r="F661" s="5"/>
      <c r="G661" s="5"/>
      <c r="H661" s="5"/>
      <c r="I661" s="5"/>
      <c r="J661" s="5"/>
      <c r="K661" s="5"/>
      <c r="L661" s="5"/>
      <c r="M661" s="5"/>
      <c r="N661" s="5"/>
      <c r="O661" s="5"/>
      <c r="P661" s="5"/>
      <c r="Q661" s="5"/>
      <c r="R661" s="9"/>
      <c r="S661" s="9"/>
      <c r="T661" s="10"/>
      <c r="U661" s="9"/>
      <c r="V661" s="9"/>
    </row>
    <row r="662" ht="12.5" spans="1:22">
      <c r="A662" s="4"/>
      <c r="B662" s="4"/>
      <c r="C662" s="4"/>
      <c r="D662" s="4"/>
      <c r="E662" s="5"/>
      <c r="F662" s="5"/>
      <c r="G662" s="5"/>
      <c r="H662" s="5"/>
      <c r="I662" s="5"/>
      <c r="J662" s="5"/>
      <c r="K662" s="5"/>
      <c r="L662" s="5"/>
      <c r="M662" s="5"/>
      <c r="N662" s="5"/>
      <c r="O662" s="5"/>
      <c r="P662" s="5"/>
      <c r="Q662" s="5"/>
      <c r="R662" s="9"/>
      <c r="S662" s="9"/>
      <c r="T662" s="10"/>
      <c r="U662" s="9"/>
      <c r="V662" s="9"/>
    </row>
    <row r="663" ht="12.5" spans="1:22">
      <c r="A663" s="4"/>
      <c r="B663" s="4"/>
      <c r="C663" s="4"/>
      <c r="D663" s="4"/>
      <c r="E663" s="5"/>
      <c r="F663" s="5"/>
      <c r="G663" s="5"/>
      <c r="H663" s="5"/>
      <c r="I663" s="5"/>
      <c r="J663" s="5"/>
      <c r="K663" s="5"/>
      <c r="L663" s="5"/>
      <c r="M663" s="5"/>
      <c r="N663" s="5"/>
      <c r="O663" s="5"/>
      <c r="P663" s="5"/>
      <c r="Q663" s="5"/>
      <c r="R663" s="9"/>
      <c r="S663" s="9"/>
      <c r="T663" s="10"/>
      <c r="U663" s="9"/>
      <c r="V663" s="9"/>
    </row>
    <row r="664" ht="12.5" spans="1:22">
      <c r="A664" s="4"/>
      <c r="B664" s="4"/>
      <c r="C664" s="4"/>
      <c r="D664" s="4"/>
      <c r="E664" s="5"/>
      <c r="F664" s="5"/>
      <c r="G664" s="5"/>
      <c r="H664" s="5"/>
      <c r="I664" s="5"/>
      <c r="J664" s="5"/>
      <c r="K664" s="5"/>
      <c r="L664" s="5"/>
      <c r="M664" s="5"/>
      <c r="N664" s="5"/>
      <c r="O664" s="5"/>
      <c r="P664" s="5"/>
      <c r="Q664" s="5"/>
      <c r="R664" s="9"/>
      <c r="S664" s="9"/>
      <c r="T664" s="10"/>
      <c r="U664" s="9"/>
      <c r="V664" s="9"/>
    </row>
    <row r="665" ht="12.5" spans="1:22">
      <c r="A665" s="4"/>
      <c r="B665" s="4"/>
      <c r="C665" s="4"/>
      <c r="D665" s="4"/>
      <c r="E665" s="5"/>
      <c r="F665" s="5"/>
      <c r="G665" s="5"/>
      <c r="H665" s="5"/>
      <c r="I665" s="5"/>
      <c r="J665" s="5"/>
      <c r="K665" s="5"/>
      <c r="L665" s="5"/>
      <c r="M665" s="5"/>
      <c r="N665" s="5"/>
      <c r="O665" s="5"/>
      <c r="P665" s="5"/>
      <c r="Q665" s="5"/>
      <c r="R665" s="9"/>
      <c r="S665" s="9"/>
      <c r="T665" s="10"/>
      <c r="U665" s="9"/>
      <c r="V665" s="9"/>
    </row>
    <row r="666" ht="12.5" spans="1:22">
      <c r="A666" s="4"/>
      <c r="B666" s="4"/>
      <c r="C666" s="4"/>
      <c r="D666" s="4"/>
      <c r="E666" s="5"/>
      <c r="F666" s="5"/>
      <c r="G666" s="5"/>
      <c r="H666" s="5"/>
      <c r="I666" s="5"/>
      <c r="J666" s="5"/>
      <c r="K666" s="5"/>
      <c r="L666" s="5"/>
      <c r="M666" s="5"/>
      <c r="N666" s="5"/>
      <c r="O666" s="5"/>
      <c r="P666" s="5"/>
      <c r="Q666" s="5"/>
      <c r="R666" s="9"/>
      <c r="S666" s="9"/>
      <c r="T666" s="10"/>
      <c r="U666" s="9"/>
      <c r="V666" s="9"/>
    </row>
    <row r="667" ht="12.5" spans="1:22">
      <c r="A667" s="4"/>
      <c r="B667" s="4"/>
      <c r="C667" s="4"/>
      <c r="D667" s="4"/>
      <c r="E667" s="5"/>
      <c r="F667" s="5"/>
      <c r="G667" s="5"/>
      <c r="H667" s="5"/>
      <c r="I667" s="5"/>
      <c r="J667" s="5"/>
      <c r="K667" s="5"/>
      <c r="L667" s="5"/>
      <c r="M667" s="5"/>
      <c r="N667" s="5"/>
      <c r="O667" s="5"/>
      <c r="P667" s="5"/>
      <c r="Q667" s="5"/>
      <c r="R667" s="9"/>
      <c r="S667" s="9"/>
      <c r="T667" s="10"/>
      <c r="U667" s="9"/>
      <c r="V667" s="9"/>
    </row>
    <row r="668" ht="12.5" spans="1:22">
      <c r="A668" s="4"/>
      <c r="B668" s="4"/>
      <c r="C668" s="4"/>
      <c r="D668" s="4"/>
      <c r="E668" s="5"/>
      <c r="F668" s="5"/>
      <c r="G668" s="5"/>
      <c r="H668" s="5"/>
      <c r="I668" s="5"/>
      <c r="J668" s="5"/>
      <c r="K668" s="5"/>
      <c r="L668" s="5"/>
      <c r="M668" s="5"/>
      <c r="N668" s="5"/>
      <c r="O668" s="5"/>
      <c r="P668" s="5"/>
      <c r="Q668" s="5"/>
      <c r="R668" s="9"/>
      <c r="S668" s="9"/>
      <c r="T668" s="10"/>
      <c r="U668" s="9"/>
      <c r="V668" s="9"/>
    </row>
    <row r="669" ht="12.5" spans="1:22">
      <c r="A669" s="4"/>
      <c r="B669" s="4"/>
      <c r="C669" s="4"/>
      <c r="D669" s="4"/>
      <c r="E669" s="5"/>
      <c r="F669" s="5"/>
      <c r="G669" s="5"/>
      <c r="H669" s="5"/>
      <c r="I669" s="5"/>
      <c r="J669" s="5"/>
      <c r="K669" s="5"/>
      <c r="L669" s="5"/>
      <c r="M669" s="5"/>
      <c r="N669" s="5"/>
      <c r="O669" s="5"/>
      <c r="P669" s="5"/>
      <c r="Q669" s="5"/>
      <c r="R669" s="9"/>
      <c r="S669" s="9"/>
      <c r="T669" s="10"/>
      <c r="U669" s="9"/>
      <c r="V669" s="9"/>
    </row>
    <row r="670" ht="12.5" spans="1:22">
      <c r="A670" s="4"/>
      <c r="B670" s="4"/>
      <c r="C670" s="4"/>
      <c r="D670" s="4"/>
      <c r="E670" s="5"/>
      <c r="F670" s="5"/>
      <c r="G670" s="5"/>
      <c r="H670" s="5"/>
      <c r="I670" s="5"/>
      <c r="J670" s="5"/>
      <c r="K670" s="5"/>
      <c r="L670" s="5"/>
      <c r="M670" s="5"/>
      <c r="N670" s="5"/>
      <c r="O670" s="5"/>
      <c r="P670" s="5"/>
      <c r="Q670" s="5"/>
      <c r="R670" s="9"/>
      <c r="S670" s="9"/>
      <c r="T670" s="10"/>
      <c r="U670" s="9"/>
      <c r="V670" s="9"/>
    </row>
    <row r="671" ht="12.5" spans="1:22">
      <c r="A671" s="4"/>
      <c r="B671" s="4"/>
      <c r="C671" s="4"/>
      <c r="D671" s="4"/>
      <c r="E671" s="5"/>
      <c r="F671" s="5"/>
      <c r="G671" s="5"/>
      <c r="H671" s="5"/>
      <c r="I671" s="5"/>
      <c r="J671" s="5"/>
      <c r="K671" s="5"/>
      <c r="L671" s="5"/>
      <c r="M671" s="5"/>
      <c r="N671" s="5"/>
      <c r="O671" s="5"/>
      <c r="P671" s="5"/>
      <c r="Q671" s="5"/>
      <c r="R671" s="9"/>
      <c r="S671" s="9"/>
      <c r="T671" s="10"/>
      <c r="U671" s="9"/>
      <c r="V671" s="9"/>
    </row>
    <row r="672" ht="12.5" spans="1:22">
      <c r="A672" s="4"/>
      <c r="B672" s="4"/>
      <c r="C672" s="4"/>
      <c r="D672" s="4"/>
      <c r="E672" s="5"/>
      <c r="F672" s="5"/>
      <c r="G672" s="5"/>
      <c r="H672" s="5"/>
      <c r="I672" s="5"/>
      <c r="J672" s="5"/>
      <c r="K672" s="5"/>
      <c r="L672" s="5"/>
      <c r="M672" s="5"/>
      <c r="N672" s="5"/>
      <c r="O672" s="5"/>
      <c r="P672" s="5"/>
      <c r="Q672" s="5"/>
      <c r="R672" s="9"/>
      <c r="S672" s="9"/>
      <c r="T672" s="10"/>
      <c r="U672" s="9"/>
      <c r="V672" s="9"/>
    </row>
    <row r="673" ht="12.5" spans="1:22">
      <c r="A673" s="4"/>
      <c r="B673" s="4"/>
      <c r="C673" s="4"/>
      <c r="D673" s="4"/>
      <c r="E673" s="5"/>
      <c r="F673" s="5"/>
      <c r="G673" s="5"/>
      <c r="H673" s="5"/>
      <c r="I673" s="5"/>
      <c r="J673" s="5"/>
      <c r="K673" s="5"/>
      <c r="L673" s="5"/>
      <c r="M673" s="5"/>
      <c r="N673" s="5"/>
      <c r="O673" s="5"/>
      <c r="P673" s="5"/>
      <c r="Q673" s="5"/>
      <c r="R673" s="9"/>
      <c r="S673" s="9"/>
      <c r="T673" s="10"/>
      <c r="U673" s="9"/>
      <c r="V673" s="9"/>
    </row>
    <row r="674" ht="12.5" spans="1:22">
      <c r="A674" s="4"/>
      <c r="B674" s="4"/>
      <c r="C674" s="4"/>
      <c r="D674" s="4"/>
      <c r="E674" s="5"/>
      <c r="F674" s="5"/>
      <c r="G674" s="5"/>
      <c r="H674" s="5"/>
      <c r="I674" s="5"/>
      <c r="J674" s="5"/>
      <c r="K674" s="5"/>
      <c r="L674" s="5"/>
      <c r="M674" s="5"/>
      <c r="N674" s="5"/>
      <c r="O674" s="5"/>
      <c r="P674" s="5"/>
      <c r="Q674" s="5"/>
      <c r="R674" s="9"/>
      <c r="S674" s="9"/>
      <c r="T674" s="10"/>
      <c r="U674" s="9"/>
      <c r="V674" s="9"/>
    </row>
    <row r="675" ht="12.5" spans="1:22">
      <c r="A675" s="4"/>
      <c r="B675" s="4"/>
      <c r="C675" s="4"/>
      <c r="D675" s="4"/>
      <c r="E675" s="5"/>
      <c r="F675" s="5"/>
      <c r="G675" s="5"/>
      <c r="H675" s="5"/>
      <c r="I675" s="5"/>
      <c r="J675" s="5"/>
      <c r="K675" s="5"/>
      <c r="L675" s="5"/>
      <c r="M675" s="5"/>
      <c r="N675" s="5"/>
      <c r="O675" s="5"/>
      <c r="P675" s="5"/>
      <c r="Q675" s="5"/>
      <c r="R675" s="9"/>
      <c r="S675" s="9"/>
      <c r="T675" s="10"/>
      <c r="U675" s="9"/>
      <c r="V675" s="9"/>
    </row>
    <row r="676" ht="12.5" spans="1:22">
      <c r="A676" s="4"/>
      <c r="B676" s="4"/>
      <c r="C676" s="4"/>
      <c r="D676" s="4"/>
      <c r="E676" s="5"/>
      <c r="F676" s="5"/>
      <c r="G676" s="5"/>
      <c r="H676" s="5"/>
      <c r="I676" s="5"/>
      <c r="J676" s="5"/>
      <c r="K676" s="5"/>
      <c r="L676" s="5"/>
      <c r="M676" s="5"/>
      <c r="N676" s="5"/>
      <c r="O676" s="5"/>
      <c r="P676" s="5"/>
      <c r="Q676" s="5"/>
      <c r="R676" s="9"/>
      <c r="S676" s="9"/>
      <c r="T676" s="10"/>
      <c r="U676" s="9"/>
      <c r="V676" s="9"/>
    </row>
    <row r="677" ht="12.5" spans="1:22">
      <c r="A677" s="4"/>
      <c r="B677" s="4"/>
      <c r="C677" s="4"/>
      <c r="D677" s="4"/>
      <c r="E677" s="5"/>
      <c r="F677" s="5"/>
      <c r="G677" s="5"/>
      <c r="H677" s="5"/>
      <c r="I677" s="5"/>
      <c r="J677" s="5"/>
      <c r="K677" s="5"/>
      <c r="L677" s="5"/>
      <c r="M677" s="5"/>
      <c r="N677" s="5"/>
      <c r="O677" s="5"/>
      <c r="P677" s="5"/>
      <c r="Q677" s="5"/>
      <c r="R677" s="9"/>
      <c r="S677" s="9"/>
      <c r="T677" s="10"/>
      <c r="U677" s="9"/>
      <c r="V677" s="9"/>
    </row>
    <row r="678" ht="12.5" spans="1:22">
      <c r="A678" s="4"/>
      <c r="B678" s="4"/>
      <c r="C678" s="4"/>
      <c r="D678" s="4"/>
      <c r="E678" s="5"/>
      <c r="F678" s="5"/>
      <c r="G678" s="5"/>
      <c r="H678" s="5"/>
      <c r="I678" s="5"/>
      <c r="J678" s="5"/>
      <c r="K678" s="5"/>
      <c r="L678" s="5"/>
      <c r="M678" s="5"/>
      <c r="N678" s="5"/>
      <c r="O678" s="5"/>
      <c r="P678" s="5"/>
      <c r="Q678" s="5"/>
      <c r="R678" s="9"/>
      <c r="S678" s="9"/>
      <c r="T678" s="10"/>
      <c r="U678" s="9"/>
      <c r="V678" s="9"/>
    </row>
    <row r="679" ht="12.5" spans="1:22">
      <c r="A679" s="4"/>
      <c r="B679" s="4"/>
      <c r="C679" s="4"/>
      <c r="D679" s="4"/>
      <c r="E679" s="5"/>
      <c r="F679" s="5"/>
      <c r="G679" s="5"/>
      <c r="H679" s="5"/>
      <c r="I679" s="5"/>
      <c r="J679" s="5"/>
      <c r="K679" s="5"/>
      <c r="L679" s="5"/>
      <c r="M679" s="5"/>
      <c r="N679" s="5"/>
      <c r="O679" s="5"/>
      <c r="P679" s="5"/>
      <c r="Q679" s="5"/>
      <c r="R679" s="9"/>
      <c r="S679" s="9"/>
      <c r="T679" s="10"/>
      <c r="U679" s="9"/>
      <c r="V679" s="9"/>
    </row>
    <row r="680" ht="12.5" spans="1:22">
      <c r="A680" s="4"/>
      <c r="B680" s="4"/>
      <c r="C680" s="4"/>
      <c r="D680" s="4"/>
      <c r="E680" s="5"/>
      <c r="F680" s="5"/>
      <c r="G680" s="5"/>
      <c r="H680" s="5"/>
      <c r="I680" s="5"/>
      <c r="J680" s="5"/>
      <c r="K680" s="5"/>
      <c r="L680" s="5"/>
      <c r="M680" s="5"/>
      <c r="N680" s="5"/>
      <c r="O680" s="5"/>
      <c r="P680" s="5"/>
      <c r="Q680" s="5"/>
      <c r="R680" s="9"/>
      <c r="S680" s="9"/>
      <c r="T680" s="10"/>
      <c r="U680" s="9"/>
      <c r="V680" s="9"/>
    </row>
    <row r="681" ht="12.5" spans="1:22">
      <c r="A681" s="4"/>
      <c r="B681" s="4"/>
      <c r="C681" s="4"/>
      <c r="D681" s="4"/>
      <c r="E681" s="5"/>
      <c r="F681" s="5"/>
      <c r="G681" s="5"/>
      <c r="H681" s="5"/>
      <c r="I681" s="5"/>
      <c r="J681" s="5"/>
      <c r="K681" s="5"/>
      <c r="L681" s="5"/>
      <c r="M681" s="5"/>
      <c r="N681" s="5"/>
      <c r="O681" s="5"/>
      <c r="P681" s="5"/>
      <c r="Q681" s="5"/>
      <c r="R681" s="9"/>
      <c r="S681" s="9"/>
      <c r="T681" s="10"/>
      <c r="U681" s="9"/>
      <c r="V681" s="9"/>
    </row>
    <row r="682" ht="12.5" spans="1:22">
      <c r="A682" s="4"/>
      <c r="B682" s="4"/>
      <c r="C682" s="4"/>
      <c r="D682" s="4"/>
      <c r="E682" s="5"/>
      <c r="F682" s="5"/>
      <c r="G682" s="5"/>
      <c r="H682" s="5"/>
      <c r="I682" s="5"/>
      <c r="J682" s="5"/>
      <c r="K682" s="5"/>
      <c r="L682" s="5"/>
      <c r="M682" s="5"/>
      <c r="N682" s="5"/>
      <c r="O682" s="5"/>
      <c r="P682" s="5"/>
      <c r="Q682" s="5"/>
      <c r="R682" s="9"/>
      <c r="S682" s="9"/>
      <c r="T682" s="10"/>
      <c r="U682" s="9"/>
      <c r="V682" s="9"/>
    </row>
    <row r="683" ht="12.5" spans="1:22">
      <c r="A683" s="4"/>
      <c r="B683" s="4"/>
      <c r="C683" s="4"/>
      <c r="D683" s="4"/>
      <c r="E683" s="5"/>
      <c r="F683" s="5"/>
      <c r="G683" s="5"/>
      <c r="H683" s="5"/>
      <c r="I683" s="5"/>
      <c r="J683" s="5"/>
      <c r="K683" s="5"/>
      <c r="L683" s="5"/>
      <c r="M683" s="5"/>
      <c r="N683" s="5"/>
      <c r="O683" s="5"/>
      <c r="P683" s="5"/>
      <c r="Q683" s="5"/>
      <c r="R683" s="9"/>
      <c r="S683" s="9"/>
      <c r="T683" s="10"/>
      <c r="U683" s="9"/>
      <c r="V683" s="9"/>
    </row>
    <row r="684" ht="12.5" spans="1:22">
      <c r="A684" s="4"/>
      <c r="B684" s="4"/>
      <c r="C684" s="4"/>
      <c r="D684" s="4"/>
      <c r="E684" s="5"/>
      <c r="F684" s="5"/>
      <c r="G684" s="5"/>
      <c r="H684" s="5"/>
      <c r="I684" s="5"/>
      <c r="J684" s="5"/>
      <c r="K684" s="5"/>
      <c r="L684" s="5"/>
      <c r="M684" s="5"/>
      <c r="N684" s="5"/>
      <c r="O684" s="5"/>
      <c r="P684" s="5"/>
      <c r="Q684" s="5"/>
      <c r="R684" s="9"/>
      <c r="S684" s="9"/>
      <c r="T684" s="10"/>
      <c r="U684" s="9"/>
      <c r="V684" s="9"/>
    </row>
    <row r="685" ht="12.5" spans="1:22">
      <c r="A685" s="4"/>
      <c r="B685" s="4"/>
      <c r="C685" s="4"/>
      <c r="D685" s="4"/>
      <c r="E685" s="5"/>
      <c r="F685" s="5"/>
      <c r="G685" s="5"/>
      <c r="H685" s="5"/>
      <c r="I685" s="5"/>
      <c r="J685" s="5"/>
      <c r="K685" s="5"/>
      <c r="L685" s="5"/>
      <c r="M685" s="5"/>
      <c r="N685" s="5"/>
      <c r="O685" s="5"/>
      <c r="P685" s="5"/>
      <c r="Q685" s="5"/>
      <c r="R685" s="9"/>
      <c r="S685" s="9"/>
      <c r="T685" s="10"/>
      <c r="U685" s="9"/>
      <c r="V685" s="9"/>
    </row>
    <row r="686" ht="12.5" spans="1:22">
      <c r="A686" s="4"/>
      <c r="B686" s="4"/>
      <c r="C686" s="4"/>
      <c r="D686" s="4"/>
      <c r="E686" s="5"/>
      <c r="F686" s="5"/>
      <c r="G686" s="5"/>
      <c r="H686" s="5"/>
      <c r="I686" s="5"/>
      <c r="J686" s="5"/>
      <c r="K686" s="5"/>
      <c r="L686" s="5"/>
      <c r="M686" s="5"/>
      <c r="N686" s="5"/>
      <c r="O686" s="5"/>
      <c r="P686" s="5"/>
      <c r="Q686" s="5"/>
      <c r="R686" s="9"/>
      <c r="S686" s="9"/>
      <c r="T686" s="10"/>
      <c r="U686" s="9"/>
      <c r="V686" s="9"/>
    </row>
    <row r="687" ht="12.5" spans="1:22">
      <c r="A687" s="4"/>
      <c r="B687" s="4"/>
      <c r="C687" s="4"/>
      <c r="D687" s="4"/>
      <c r="E687" s="5"/>
      <c r="F687" s="5"/>
      <c r="G687" s="5"/>
      <c r="H687" s="5"/>
      <c r="I687" s="5"/>
      <c r="J687" s="5"/>
      <c r="K687" s="5"/>
      <c r="L687" s="5"/>
      <c r="M687" s="5"/>
      <c r="N687" s="5"/>
      <c r="O687" s="5"/>
      <c r="P687" s="5"/>
      <c r="Q687" s="5"/>
      <c r="R687" s="9"/>
      <c r="S687" s="9"/>
      <c r="T687" s="10"/>
      <c r="U687" s="9"/>
      <c r="V687" s="9"/>
    </row>
    <row r="688" ht="12.5" spans="1:22">
      <c r="A688" s="4"/>
      <c r="B688" s="4"/>
      <c r="C688" s="4"/>
      <c r="D688" s="4"/>
      <c r="E688" s="5"/>
      <c r="F688" s="5"/>
      <c r="G688" s="5"/>
      <c r="H688" s="5"/>
      <c r="I688" s="5"/>
      <c r="J688" s="5"/>
      <c r="K688" s="5"/>
      <c r="L688" s="5"/>
      <c r="M688" s="5"/>
      <c r="N688" s="5"/>
      <c r="O688" s="5"/>
      <c r="P688" s="5"/>
      <c r="Q688" s="5"/>
      <c r="R688" s="9"/>
      <c r="S688" s="9"/>
      <c r="T688" s="10"/>
      <c r="U688" s="9"/>
      <c r="V688" s="9"/>
    </row>
    <row r="689" ht="12.5" spans="1:22">
      <c r="A689" s="4"/>
      <c r="B689" s="4"/>
      <c r="C689" s="4"/>
      <c r="D689" s="4"/>
      <c r="E689" s="5"/>
      <c r="F689" s="5"/>
      <c r="G689" s="5"/>
      <c r="H689" s="5"/>
      <c r="I689" s="5"/>
      <c r="J689" s="5"/>
      <c r="K689" s="5"/>
      <c r="L689" s="5"/>
      <c r="M689" s="5"/>
      <c r="N689" s="5"/>
      <c r="O689" s="5"/>
      <c r="P689" s="5"/>
      <c r="Q689" s="5"/>
      <c r="R689" s="9"/>
      <c r="S689" s="9"/>
      <c r="T689" s="10"/>
      <c r="U689" s="9"/>
      <c r="V689" s="9"/>
    </row>
    <row r="690" ht="12.5" spans="1:22">
      <c r="A690" s="4"/>
      <c r="B690" s="4"/>
      <c r="C690" s="4"/>
      <c r="D690" s="4"/>
      <c r="E690" s="5"/>
      <c r="F690" s="5"/>
      <c r="G690" s="5"/>
      <c r="H690" s="5"/>
      <c r="I690" s="5"/>
      <c r="J690" s="5"/>
      <c r="K690" s="5"/>
      <c r="L690" s="5"/>
      <c r="M690" s="5"/>
      <c r="N690" s="5"/>
      <c r="O690" s="5"/>
      <c r="P690" s="5"/>
      <c r="Q690" s="5"/>
      <c r="R690" s="9"/>
      <c r="S690" s="9"/>
      <c r="T690" s="10"/>
      <c r="U690" s="9"/>
      <c r="V690" s="9"/>
    </row>
    <row r="691" ht="12.5" spans="1:22">
      <c r="A691" s="4"/>
      <c r="B691" s="4"/>
      <c r="C691" s="4"/>
      <c r="D691" s="4"/>
      <c r="E691" s="5"/>
      <c r="F691" s="5"/>
      <c r="G691" s="5"/>
      <c r="H691" s="5"/>
      <c r="I691" s="5"/>
      <c r="J691" s="5"/>
      <c r="K691" s="5"/>
      <c r="L691" s="5"/>
      <c r="M691" s="5"/>
      <c r="N691" s="5"/>
      <c r="O691" s="5"/>
      <c r="P691" s="5"/>
      <c r="Q691" s="5"/>
      <c r="R691" s="9"/>
      <c r="S691" s="9"/>
      <c r="T691" s="10"/>
      <c r="U691" s="9"/>
      <c r="V691" s="9"/>
    </row>
    <row r="692" ht="12.5" spans="1:22">
      <c r="A692" s="4"/>
      <c r="B692" s="4"/>
      <c r="C692" s="4"/>
      <c r="D692" s="4"/>
      <c r="E692" s="5"/>
      <c r="F692" s="5"/>
      <c r="G692" s="5"/>
      <c r="H692" s="5"/>
      <c r="I692" s="5"/>
      <c r="J692" s="5"/>
      <c r="K692" s="5"/>
      <c r="L692" s="5"/>
      <c r="M692" s="5"/>
      <c r="N692" s="5"/>
      <c r="O692" s="5"/>
      <c r="P692" s="5"/>
      <c r="Q692" s="5"/>
      <c r="R692" s="9"/>
      <c r="S692" s="9"/>
      <c r="T692" s="10"/>
      <c r="U692" s="9"/>
      <c r="V692" s="9"/>
    </row>
    <row r="693" ht="12.5" spans="1:22">
      <c r="A693" s="4"/>
      <c r="B693" s="4"/>
      <c r="C693" s="4"/>
      <c r="D693" s="4"/>
      <c r="E693" s="5"/>
      <c r="F693" s="5"/>
      <c r="G693" s="5"/>
      <c r="H693" s="5"/>
      <c r="I693" s="5"/>
      <c r="J693" s="5"/>
      <c r="K693" s="5"/>
      <c r="L693" s="5"/>
      <c r="M693" s="5"/>
      <c r="N693" s="5"/>
      <c r="O693" s="5"/>
      <c r="P693" s="5"/>
      <c r="Q693" s="5"/>
      <c r="R693" s="9"/>
      <c r="S693" s="9"/>
      <c r="T693" s="10"/>
      <c r="U693" s="9"/>
      <c r="V693" s="9"/>
    </row>
    <row r="694" ht="12.5" spans="1:22">
      <c r="A694" s="4"/>
      <c r="B694" s="4"/>
      <c r="C694" s="4"/>
      <c r="D694" s="4"/>
      <c r="E694" s="5"/>
      <c r="F694" s="5"/>
      <c r="G694" s="5"/>
      <c r="H694" s="5"/>
      <c r="I694" s="5"/>
      <c r="J694" s="5"/>
      <c r="K694" s="5"/>
      <c r="L694" s="5"/>
      <c r="M694" s="5"/>
      <c r="N694" s="5"/>
      <c r="O694" s="5"/>
      <c r="P694" s="5"/>
      <c r="Q694" s="5"/>
      <c r="R694" s="9"/>
      <c r="S694" s="9"/>
      <c r="T694" s="10"/>
      <c r="U694" s="9"/>
      <c r="V694" s="9"/>
    </row>
    <row r="695" ht="12.5" spans="1:22">
      <c r="A695" s="4"/>
      <c r="B695" s="4"/>
      <c r="C695" s="4"/>
      <c r="D695" s="4"/>
      <c r="E695" s="5"/>
      <c r="F695" s="5"/>
      <c r="G695" s="5"/>
      <c r="H695" s="5"/>
      <c r="I695" s="5"/>
      <c r="J695" s="5"/>
      <c r="K695" s="5"/>
      <c r="L695" s="5"/>
      <c r="M695" s="5"/>
      <c r="N695" s="5"/>
      <c r="O695" s="5"/>
      <c r="P695" s="5"/>
      <c r="Q695" s="5"/>
      <c r="R695" s="9"/>
      <c r="S695" s="9"/>
      <c r="T695" s="10"/>
      <c r="U695" s="9"/>
      <c r="V695" s="9"/>
    </row>
    <row r="696" ht="12.5" spans="1:22">
      <c r="A696" s="4"/>
      <c r="B696" s="4"/>
      <c r="C696" s="4"/>
      <c r="D696" s="4"/>
      <c r="E696" s="5"/>
      <c r="F696" s="5"/>
      <c r="G696" s="5"/>
      <c r="H696" s="5"/>
      <c r="I696" s="5"/>
      <c r="J696" s="5"/>
      <c r="K696" s="5"/>
      <c r="L696" s="5"/>
      <c r="M696" s="5"/>
      <c r="N696" s="5"/>
      <c r="O696" s="5"/>
      <c r="P696" s="5"/>
      <c r="Q696" s="5"/>
      <c r="R696" s="9"/>
      <c r="S696" s="9"/>
      <c r="T696" s="10"/>
      <c r="U696" s="9"/>
      <c r="V696" s="9"/>
    </row>
    <row r="697" ht="12.5" spans="1:22">
      <c r="A697" s="4"/>
      <c r="B697" s="4"/>
      <c r="C697" s="4"/>
      <c r="D697" s="4"/>
      <c r="E697" s="5"/>
      <c r="F697" s="5"/>
      <c r="G697" s="5"/>
      <c r="H697" s="5"/>
      <c r="I697" s="5"/>
      <c r="J697" s="5"/>
      <c r="K697" s="5"/>
      <c r="L697" s="5"/>
      <c r="M697" s="5"/>
      <c r="N697" s="5"/>
      <c r="O697" s="5"/>
      <c r="P697" s="5"/>
      <c r="Q697" s="5"/>
      <c r="R697" s="9"/>
      <c r="S697" s="9"/>
      <c r="T697" s="10"/>
      <c r="U697" s="9"/>
      <c r="V697" s="9"/>
    </row>
    <row r="698" ht="12.5" spans="1:22">
      <c r="A698" s="4"/>
      <c r="B698" s="4"/>
      <c r="C698" s="4"/>
      <c r="D698" s="4"/>
      <c r="E698" s="5"/>
      <c r="F698" s="5"/>
      <c r="G698" s="5"/>
      <c r="H698" s="5"/>
      <c r="I698" s="5"/>
      <c r="J698" s="5"/>
      <c r="K698" s="5"/>
      <c r="L698" s="5"/>
      <c r="M698" s="5"/>
      <c r="N698" s="5"/>
      <c r="O698" s="5"/>
      <c r="P698" s="5"/>
      <c r="Q698" s="5"/>
      <c r="R698" s="9"/>
      <c r="S698" s="9"/>
      <c r="T698" s="10"/>
      <c r="U698" s="9"/>
      <c r="V698" s="9"/>
    </row>
    <row r="699" ht="12.5" spans="1:22">
      <c r="A699" s="4"/>
      <c r="B699" s="4"/>
      <c r="C699" s="4"/>
      <c r="D699" s="4"/>
      <c r="E699" s="5"/>
      <c r="F699" s="5"/>
      <c r="G699" s="5"/>
      <c r="H699" s="5"/>
      <c r="I699" s="5"/>
      <c r="J699" s="5"/>
      <c r="K699" s="5"/>
      <c r="L699" s="5"/>
      <c r="M699" s="5"/>
      <c r="N699" s="5"/>
      <c r="O699" s="5"/>
      <c r="P699" s="5"/>
      <c r="Q699" s="5"/>
      <c r="R699" s="9"/>
      <c r="S699" s="9"/>
      <c r="T699" s="10"/>
      <c r="U699" s="9"/>
      <c r="V699" s="9"/>
    </row>
    <row r="700" ht="12.5" spans="1:22">
      <c r="A700" s="4"/>
      <c r="B700" s="4"/>
      <c r="C700" s="4"/>
      <c r="D700" s="4"/>
      <c r="E700" s="5"/>
      <c r="F700" s="5"/>
      <c r="G700" s="5"/>
      <c r="H700" s="5"/>
      <c r="I700" s="5"/>
      <c r="J700" s="5"/>
      <c r="K700" s="5"/>
      <c r="L700" s="5"/>
      <c r="M700" s="5"/>
      <c r="N700" s="5"/>
      <c r="O700" s="5"/>
      <c r="P700" s="5"/>
      <c r="Q700" s="5"/>
      <c r="R700" s="9"/>
      <c r="S700" s="9"/>
      <c r="T700" s="10"/>
      <c r="U700" s="9"/>
      <c r="V700" s="9"/>
    </row>
    <row r="701" ht="12.5" spans="1:22">
      <c r="A701" s="4"/>
      <c r="B701" s="4"/>
      <c r="C701" s="4"/>
      <c r="D701" s="4"/>
      <c r="E701" s="5"/>
      <c r="F701" s="5"/>
      <c r="G701" s="5"/>
      <c r="H701" s="5"/>
      <c r="I701" s="5"/>
      <c r="J701" s="5"/>
      <c r="K701" s="5"/>
      <c r="L701" s="5"/>
      <c r="M701" s="5"/>
      <c r="N701" s="5"/>
      <c r="O701" s="5"/>
      <c r="P701" s="5"/>
      <c r="Q701" s="5"/>
      <c r="R701" s="9"/>
      <c r="S701" s="9"/>
      <c r="T701" s="10"/>
      <c r="U701" s="9"/>
      <c r="V701" s="9"/>
    </row>
    <row r="702" ht="12.5" spans="1:22">
      <c r="A702" s="4"/>
      <c r="B702" s="4"/>
      <c r="C702" s="4"/>
      <c r="D702" s="4"/>
      <c r="E702" s="5"/>
      <c r="F702" s="5"/>
      <c r="G702" s="5"/>
      <c r="H702" s="5"/>
      <c r="I702" s="5"/>
      <c r="J702" s="5"/>
      <c r="K702" s="5"/>
      <c r="L702" s="5"/>
      <c r="M702" s="5"/>
      <c r="N702" s="5"/>
      <c r="O702" s="5"/>
      <c r="P702" s="5"/>
      <c r="Q702" s="5"/>
      <c r="R702" s="9"/>
      <c r="S702" s="9"/>
      <c r="T702" s="10"/>
      <c r="U702" s="9"/>
      <c r="V702" s="9"/>
    </row>
    <row r="703" ht="12.5" spans="1:22">
      <c r="A703" s="4"/>
      <c r="B703" s="4"/>
      <c r="C703" s="4"/>
      <c r="D703" s="4"/>
      <c r="E703" s="5"/>
      <c r="F703" s="5"/>
      <c r="G703" s="5"/>
      <c r="H703" s="5"/>
      <c r="I703" s="5"/>
      <c r="J703" s="5"/>
      <c r="K703" s="5"/>
      <c r="L703" s="5"/>
      <c r="M703" s="5"/>
      <c r="N703" s="5"/>
      <c r="O703" s="5"/>
      <c r="P703" s="5"/>
      <c r="Q703" s="5"/>
      <c r="R703" s="9"/>
      <c r="S703" s="9"/>
      <c r="T703" s="10"/>
      <c r="U703" s="9"/>
      <c r="V703" s="9"/>
    </row>
    <row r="704" ht="12.5" spans="1:22">
      <c r="A704" s="4"/>
      <c r="B704" s="4"/>
      <c r="C704" s="4"/>
      <c r="D704" s="4"/>
      <c r="E704" s="5"/>
      <c r="F704" s="5"/>
      <c r="G704" s="5"/>
      <c r="H704" s="5"/>
      <c r="I704" s="5"/>
      <c r="J704" s="5"/>
      <c r="K704" s="5"/>
      <c r="L704" s="5"/>
      <c r="M704" s="5"/>
      <c r="N704" s="5"/>
      <c r="O704" s="5"/>
      <c r="P704" s="5"/>
      <c r="Q704" s="5"/>
      <c r="R704" s="9"/>
      <c r="S704" s="9"/>
      <c r="T704" s="10"/>
      <c r="U704" s="9"/>
      <c r="V704" s="9"/>
    </row>
    <row r="705" ht="12.5" spans="1:22">
      <c r="A705" s="4"/>
      <c r="B705" s="4"/>
      <c r="C705" s="4"/>
      <c r="D705" s="4"/>
      <c r="E705" s="5"/>
      <c r="F705" s="5"/>
      <c r="G705" s="5"/>
      <c r="H705" s="5"/>
      <c r="I705" s="5"/>
      <c r="J705" s="5"/>
      <c r="K705" s="5"/>
      <c r="L705" s="5"/>
      <c r="M705" s="5"/>
      <c r="N705" s="5"/>
      <c r="O705" s="5"/>
      <c r="P705" s="5"/>
      <c r="Q705" s="5"/>
      <c r="R705" s="9"/>
      <c r="S705" s="9"/>
      <c r="T705" s="10"/>
      <c r="U705" s="9"/>
      <c r="V705" s="9"/>
    </row>
    <row r="706" ht="12.5" spans="1:22">
      <c r="A706" s="4"/>
      <c r="B706" s="4"/>
      <c r="C706" s="4"/>
      <c r="D706" s="4"/>
      <c r="E706" s="5"/>
      <c r="F706" s="5"/>
      <c r="G706" s="5"/>
      <c r="H706" s="5"/>
      <c r="I706" s="5"/>
      <c r="J706" s="5"/>
      <c r="K706" s="5"/>
      <c r="L706" s="5"/>
      <c r="M706" s="5"/>
      <c r="N706" s="5"/>
      <c r="O706" s="5"/>
      <c r="P706" s="5"/>
      <c r="Q706" s="5"/>
      <c r="R706" s="9"/>
      <c r="S706" s="9"/>
      <c r="T706" s="10"/>
      <c r="U706" s="9"/>
      <c r="V706" s="9"/>
    </row>
    <row r="707" ht="12.5" spans="1:22">
      <c r="A707" s="4"/>
      <c r="B707" s="4"/>
      <c r="C707" s="4"/>
      <c r="D707" s="4"/>
      <c r="E707" s="5"/>
      <c r="F707" s="5"/>
      <c r="G707" s="5"/>
      <c r="H707" s="5"/>
      <c r="I707" s="5"/>
      <c r="J707" s="5"/>
      <c r="K707" s="5"/>
      <c r="L707" s="5"/>
      <c r="M707" s="5"/>
      <c r="N707" s="5"/>
      <c r="O707" s="5"/>
      <c r="P707" s="5"/>
      <c r="Q707" s="5"/>
      <c r="R707" s="9"/>
      <c r="S707" s="9"/>
      <c r="T707" s="10"/>
      <c r="U707" s="9"/>
      <c r="V707" s="9"/>
    </row>
    <row r="708" ht="12.5" spans="1:22">
      <c r="A708" s="4"/>
      <c r="B708" s="4"/>
      <c r="C708" s="4"/>
      <c r="D708" s="4"/>
      <c r="E708" s="5"/>
      <c r="F708" s="5"/>
      <c r="G708" s="5"/>
      <c r="H708" s="5"/>
      <c r="I708" s="5"/>
      <c r="J708" s="5"/>
      <c r="K708" s="5"/>
      <c r="L708" s="5"/>
      <c r="M708" s="5"/>
      <c r="N708" s="5"/>
      <c r="O708" s="5"/>
      <c r="P708" s="5"/>
      <c r="Q708" s="5"/>
      <c r="R708" s="9"/>
      <c r="S708" s="9"/>
      <c r="T708" s="10"/>
      <c r="U708" s="9"/>
      <c r="V708" s="9"/>
    </row>
    <row r="709" ht="12.5" spans="1:22">
      <c r="A709" s="4"/>
      <c r="B709" s="4"/>
      <c r="C709" s="4"/>
      <c r="D709" s="4"/>
      <c r="E709" s="5"/>
      <c r="F709" s="5"/>
      <c r="G709" s="5"/>
      <c r="H709" s="5"/>
      <c r="I709" s="5"/>
      <c r="J709" s="5"/>
      <c r="K709" s="5"/>
      <c r="L709" s="5"/>
      <c r="M709" s="5"/>
      <c r="N709" s="5"/>
      <c r="O709" s="5"/>
      <c r="P709" s="5"/>
      <c r="Q709" s="5"/>
      <c r="R709" s="9"/>
      <c r="S709" s="9"/>
      <c r="T709" s="10"/>
      <c r="U709" s="9"/>
      <c r="V709" s="9"/>
    </row>
    <row r="710" ht="12.5" spans="1:22">
      <c r="A710" s="4"/>
      <c r="B710" s="4"/>
      <c r="C710" s="4"/>
      <c r="D710" s="4"/>
      <c r="E710" s="5"/>
      <c r="F710" s="5"/>
      <c r="G710" s="5"/>
      <c r="H710" s="5"/>
      <c r="I710" s="5"/>
      <c r="J710" s="5"/>
      <c r="K710" s="5"/>
      <c r="L710" s="5"/>
      <c r="M710" s="5"/>
      <c r="N710" s="5"/>
      <c r="O710" s="5"/>
      <c r="P710" s="5"/>
      <c r="Q710" s="5"/>
      <c r="R710" s="9"/>
      <c r="S710" s="9"/>
      <c r="T710" s="10"/>
      <c r="U710" s="9"/>
      <c r="V710" s="9"/>
    </row>
    <row r="711" ht="12.5" spans="1:22">
      <c r="A711" s="4"/>
      <c r="B711" s="4"/>
      <c r="C711" s="4"/>
      <c r="D711" s="4"/>
      <c r="E711" s="5"/>
      <c r="F711" s="5"/>
      <c r="G711" s="5"/>
      <c r="H711" s="5"/>
      <c r="I711" s="5"/>
      <c r="J711" s="5"/>
      <c r="K711" s="5"/>
      <c r="L711" s="5"/>
      <c r="M711" s="5"/>
      <c r="N711" s="5"/>
      <c r="O711" s="5"/>
      <c r="P711" s="5"/>
      <c r="Q711" s="5"/>
      <c r="R711" s="9"/>
      <c r="S711" s="9"/>
      <c r="T711" s="10"/>
      <c r="U711" s="9"/>
      <c r="V711" s="9"/>
    </row>
    <row r="712" ht="12.5" spans="1:22">
      <c r="A712" s="4"/>
      <c r="B712" s="4"/>
      <c r="C712" s="4"/>
      <c r="D712" s="4"/>
      <c r="E712" s="5"/>
      <c r="F712" s="5"/>
      <c r="G712" s="5"/>
      <c r="H712" s="5"/>
      <c r="I712" s="5"/>
      <c r="J712" s="5"/>
      <c r="K712" s="5"/>
      <c r="L712" s="5"/>
      <c r="M712" s="5"/>
      <c r="N712" s="5"/>
      <c r="O712" s="5"/>
      <c r="P712" s="5"/>
      <c r="Q712" s="5"/>
      <c r="R712" s="9"/>
      <c r="S712" s="9"/>
      <c r="T712" s="10"/>
      <c r="U712" s="9"/>
      <c r="V712" s="9"/>
    </row>
    <row r="713" ht="12.5" spans="1:22">
      <c r="A713" s="4"/>
      <c r="B713" s="4"/>
      <c r="C713" s="4"/>
      <c r="D713" s="4"/>
      <c r="E713" s="5"/>
      <c r="F713" s="5"/>
      <c r="G713" s="5"/>
      <c r="H713" s="5"/>
      <c r="I713" s="5"/>
      <c r="J713" s="5"/>
      <c r="K713" s="5"/>
      <c r="L713" s="5"/>
      <c r="M713" s="5"/>
      <c r="N713" s="5"/>
      <c r="O713" s="5"/>
      <c r="P713" s="5"/>
      <c r="Q713" s="5"/>
      <c r="R713" s="9"/>
      <c r="S713" s="9"/>
      <c r="T713" s="10"/>
      <c r="U713" s="9"/>
      <c r="V713" s="9"/>
    </row>
    <row r="714" ht="12.5" spans="1:22">
      <c r="A714" s="4"/>
      <c r="B714" s="4"/>
      <c r="C714" s="4"/>
      <c r="D714" s="4"/>
      <c r="E714" s="5"/>
      <c r="F714" s="5"/>
      <c r="G714" s="5"/>
      <c r="H714" s="5"/>
      <c r="I714" s="5"/>
      <c r="J714" s="5"/>
      <c r="K714" s="5"/>
      <c r="L714" s="5"/>
      <c r="M714" s="5"/>
      <c r="N714" s="5"/>
      <c r="O714" s="5"/>
      <c r="P714" s="5"/>
      <c r="Q714" s="5"/>
      <c r="R714" s="9"/>
      <c r="S714" s="9"/>
      <c r="T714" s="10"/>
      <c r="U714" s="9"/>
      <c r="V714" s="9"/>
    </row>
    <row r="715" ht="12.5" spans="1:22">
      <c r="A715" s="4"/>
      <c r="B715" s="4"/>
      <c r="C715" s="4"/>
      <c r="D715" s="4"/>
      <c r="E715" s="5"/>
      <c r="F715" s="5"/>
      <c r="G715" s="5"/>
      <c r="H715" s="5"/>
      <c r="I715" s="5"/>
      <c r="J715" s="5"/>
      <c r="K715" s="5"/>
      <c r="L715" s="5"/>
      <c r="M715" s="5"/>
      <c r="N715" s="5"/>
      <c r="O715" s="5"/>
      <c r="P715" s="5"/>
      <c r="Q715" s="5"/>
      <c r="R715" s="9"/>
      <c r="S715" s="9"/>
      <c r="T715" s="10"/>
      <c r="U715" s="9"/>
      <c r="V715" s="9"/>
    </row>
    <row r="716" ht="12.5" spans="1:22">
      <c r="A716" s="4"/>
      <c r="B716" s="4"/>
      <c r="C716" s="4"/>
      <c r="D716" s="4"/>
      <c r="E716" s="5"/>
      <c r="F716" s="5"/>
      <c r="G716" s="5"/>
      <c r="H716" s="5"/>
      <c r="I716" s="5"/>
      <c r="J716" s="5"/>
      <c r="K716" s="5"/>
      <c r="L716" s="5"/>
      <c r="M716" s="5"/>
      <c r="N716" s="5"/>
      <c r="O716" s="5"/>
      <c r="P716" s="5"/>
      <c r="Q716" s="5"/>
      <c r="R716" s="9"/>
      <c r="S716" s="9"/>
      <c r="T716" s="10"/>
      <c r="U716" s="9"/>
      <c r="V716" s="9"/>
    </row>
    <row r="717" ht="12.5" spans="1:22">
      <c r="A717" s="4"/>
      <c r="B717" s="4"/>
      <c r="C717" s="4"/>
      <c r="D717" s="4"/>
      <c r="E717" s="5"/>
      <c r="F717" s="5"/>
      <c r="G717" s="5"/>
      <c r="H717" s="5"/>
      <c r="I717" s="5"/>
      <c r="J717" s="5"/>
      <c r="K717" s="5"/>
      <c r="L717" s="5"/>
      <c r="M717" s="5"/>
      <c r="N717" s="5"/>
      <c r="O717" s="5"/>
      <c r="P717" s="5"/>
      <c r="Q717" s="5"/>
      <c r="R717" s="9"/>
      <c r="S717" s="9"/>
      <c r="T717" s="10"/>
      <c r="U717" s="9"/>
      <c r="V717" s="9"/>
    </row>
    <row r="718" ht="12.5" spans="1:22">
      <c r="A718" s="4"/>
      <c r="B718" s="4"/>
      <c r="C718" s="4"/>
      <c r="D718" s="4"/>
      <c r="E718" s="5"/>
      <c r="F718" s="5"/>
      <c r="G718" s="5"/>
      <c r="H718" s="5"/>
      <c r="I718" s="5"/>
      <c r="J718" s="5"/>
      <c r="K718" s="5"/>
      <c r="L718" s="5"/>
      <c r="M718" s="5"/>
      <c r="N718" s="5"/>
      <c r="O718" s="5"/>
      <c r="P718" s="5"/>
      <c r="Q718" s="5"/>
      <c r="R718" s="9"/>
      <c r="S718" s="9"/>
      <c r="T718" s="10"/>
      <c r="U718" s="9"/>
      <c r="V718" s="9"/>
    </row>
    <row r="719" ht="12.5" spans="1:22">
      <c r="A719" s="4"/>
      <c r="B719" s="4"/>
      <c r="C719" s="4"/>
      <c r="D719" s="4"/>
      <c r="E719" s="5"/>
      <c r="F719" s="5"/>
      <c r="G719" s="5"/>
      <c r="H719" s="5"/>
      <c r="I719" s="5"/>
      <c r="J719" s="5"/>
      <c r="K719" s="5"/>
      <c r="L719" s="5"/>
      <c r="M719" s="5"/>
      <c r="N719" s="5"/>
      <c r="O719" s="5"/>
      <c r="P719" s="5"/>
      <c r="Q719" s="5"/>
      <c r="R719" s="9"/>
      <c r="S719" s="9"/>
      <c r="T719" s="10"/>
      <c r="U719" s="9"/>
      <c r="V719" s="9"/>
    </row>
    <row r="720" ht="12.5" spans="1:22">
      <c r="A720" s="4"/>
      <c r="B720" s="4"/>
      <c r="C720" s="4"/>
      <c r="D720" s="4"/>
      <c r="E720" s="5"/>
      <c r="F720" s="5"/>
      <c r="G720" s="5"/>
      <c r="H720" s="5"/>
      <c r="I720" s="5"/>
      <c r="J720" s="5"/>
      <c r="K720" s="5"/>
      <c r="L720" s="5"/>
      <c r="M720" s="5"/>
      <c r="N720" s="5"/>
      <c r="O720" s="5"/>
      <c r="P720" s="5"/>
      <c r="Q720" s="5"/>
      <c r="R720" s="9"/>
      <c r="S720" s="9"/>
      <c r="T720" s="10"/>
      <c r="U720" s="9"/>
      <c r="V720" s="9"/>
    </row>
    <row r="721" ht="12.5" spans="1:22">
      <c r="A721" s="4"/>
      <c r="B721" s="4"/>
      <c r="C721" s="4"/>
      <c r="D721" s="4"/>
      <c r="E721" s="5"/>
      <c r="F721" s="5"/>
      <c r="G721" s="5"/>
      <c r="H721" s="5"/>
      <c r="I721" s="5"/>
      <c r="J721" s="5"/>
      <c r="K721" s="5"/>
      <c r="L721" s="5"/>
      <c r="M721" s="5"/>
      <c r="N721" s="5"/>
      <c r="O721" s="5"/>
      <c r="P721" s="5"/>
      <c r="Q721" s="5"/>
      <c r="R721" s="9"/>
      <c r="S721" s="9"/>
      <c r="T721" s="10"/>
      <c r="U721" s="9"/>
      <c r="V721" s="9"/>
    </row>
    <row r="722" ht="12.5" spans="1:22">
      <c r="A722" s="4"/>
      <c r="B722" s="4"/>
      <c r="C722" s="4"/>
      <c r="D722" s="4"/>
      <c r="E722" s="5"/>
      <c r="F722" s="5"/>
      <c r="G722" s="5"/>
      <c r="H722" s="5"/>
      <c r="I722" s="5"/>
      <c r="J722" s="5"/>
      <c r="K722" s="5"/>
      <c r="L722" s="5"/>
      <c r="M722" s="5"/>
      <c r="N722" s="5"/>
      <c r="O722" s="5"/>
      <c r="P722" s="5"/>
      <c r="Q722" s="5"/>
      <c r="R722" s="9"/>
      <c r="S722" s="9"/>
      <c r="T722" s="10"/>
      <c r="U722" s="9"/>
      <c r="V722" s="9"/>
    </row>
    <row r="723" ht="12.5" spans="1:22">
      <c r="A723" s="4"/>
      <c r="B723" s="4"/>
      <c r="C723" s="4"/>
      <c r="D723" s="4"/>
      <c r="E723" s="5"/>
      <c r="F723" s="5"/>
      <c r="G723" s="5"/>
      <c r="H723" s="5"/>
      <c r="I723" s="5"/>
      <c r="J723" s="5"/>
      <c r="K723" s="5"/>
      <c r="L723" s="5"/>
      <c r="M723" s="5"/>
      <c r="N723" s="5"/>
      <c r="O723" s="5"/>
      <c r="P723" s="5"/>
      <c r="Q723" s="5"/>
      <c r="R723" s="9"/>
      <c r="S723" s="9"/>
      <c r="T723" s="10"/>
      <c r="U723" s="9"/>
      <c r="V723" s="9"/>
    </row>
    <row r="724" ht="12.5" spans="1:22">
      <c r="A724" s="4"/>
      <c r="B724" s="4"/>
      <c r="C724" s="4"/>
      <c r="D724" s="4"/>
      <c r="E724" s="5"/>
      <c r="F724" s="5"/>
      <c r="G724" s="5"/>
      <c r="H724" s="5"/>
      <c r="I724" s="5"/>
      <c r="J724" s="5"/>
      <c r="K724" s="5"/>
      <c r="L724" s="5"/>
      <c r="M724" s="5"/>
      <c r="N724" s="5"/>
      <c r="O724" s="5"/>
      <c r="P724" s="5"/>
      <c r="Q724" s="5"/>
      <c r="R724" s="9"/>
      <c r="S724" s="9"/>
      <c r="T724" s="10"/>
      <c r="U724" s="9"/>
      <c r="V724" s="9"/>
    </row>
    <row r="725" ht="12.5" spans="1:22">
      <c r="A725" s="4"/>
      <c r="B725" s="4"/>
      <c r="C725" s="4"/>
      <c r="D725" s="4"/>
      <c r="E725" s="5"/>
      <c r="F725" s="5"/>
      <c r="G725" s="5"/>
      <c r="H725" s="5"/>
      <c r="I725" s="5"/>
      <c r="J725" s="5"/>
      <c r="K725" s="5"/>
      <c r="L725" s="5"/>
      <c r="M725" s="5"/>
      <c r="N725" s="5"/>
      <c r="O725" s="5"/>
      <c r="P725" s="5"/>
      <c r="Q725" s="5"/>
      <c r="R725" s="9"/>
      <c r="S725" s="9"/>
      <c r="T725" s="10"/>
      <c r="U725" s="9"/>
      <c r="V725" s="9"/>
    </row>
    <row r="726" ht="12.5" spans="1:22">
      <c r="A726" s="4"/>
      <c r="B726" s="4"/>
      <c r="C726" s="4"/>
      <c r="D726" s="4"/>
      <c r="E726" s="5"/>
      <c r="F726" s="5"/>
      <c r="G726" s="5"/>
      <c r="H726" s="5"/>
      <c r="I726" s="5"/>
      <c r="J726" s="5"/>
      <c r="K726" s="5"/>
      <c r="L726" s="5"/>
      <c r="M726" s="5"/>
      <c r="N726" s="5"/>
      <c r="O726" s="5"/>
      <c r="P726" s="5"/>
      <c r="Q726" s="5"/>
      <c r="R726" s="9"/>
      <c r="S726" s="9"/>
      <c r="T726" s="10"/>
      <c r="U726" s="9"/>
      <c r="V726" s="9"/>
    </row>
    <row r="727" ht="12.5" spans="1:22">
      <c r="A727" s="4"/>
      <c r="B727" s="4"/>
      <c r="C727" s="4"/>
      <c r="D727" s="4"/>
      <c r="E727" s="5"/>
      <c r="F727" s="5"/>
      <c r="G727" s="5"/>
      <c r="H727" s="5"/>
      <c r="I727" s="5"/>
      <c r="J727" s="5"/>
      <c r="K727" s="5"/>
      <c r="L727" s="5"/>
      <c r="M727" s="5"/>
      <c r="N727" s="5"/>
      <c r="O727" s="5"/>
      <c r="P727" s="5"/>
      <c r="Q727" s="5"/>
      <c r="R727" s="9"/>
      <c r="S727" s="9"/>
      <c r="T727" s="10"/>
      <c r="U727" s="9"/>
      <c r="V727" s="9"/>
    </row>
    <row r="728" ht="12.5" spans="1:22">
      <c r="A728" s="4"/>
      <c r="B728" s="4"/>
      <c r="C728" s="4"/>
      <c r="D728" s="4"/>
      <c r="E728" s="5"/>
      <c r="F728" s="5"/>
      <c r="G728" s="5"/>
      <c r="H728" s="5"/>
      <c r="I728" s="5"/>
      <c r="J728" s="5"/>
      <c r="K728" s="5"/>
      <c r="L728" s="5"/>
      <c r="M728" s="5"/>
      <c r="N728" s="5"/>
      <c r="O728" s="5"/>
      <c r="P728" s="5"/>
      <c r="Q728" s="5"/>
      <c r="R728" s="9"/>
      <c r="S728" s="9"/>
      <c r="T728" s="10"/>
      <c r="U728" s="9"/>
      <c r="V728" s="9"/>
    </row>
    <row r="729" ht="12.5" spans="1:22">
      <c r="A729" s="4"/>
      <c r="B729" s="4"/>
      <c r="C729" s="4"/>
      <c r="D729" s="4"/>
      <c r="E729" s="5"/>
      <c r="F729" s="5"/>
      <c r="G729" s="5"/>
      <c r="H729" s="5"/>
      <c r="I729" s="5"/>
      <c r="J729" s="5"/>
      <c r="K729" s="5"/>
      <c r="L729" s="5"/>
      <c r="M729" s="5"/>
      <c r="N729" s="5"/>
      <c r="O729" s="5"/>
      <c r="P729" s="5"/>
      <c r="Q729" s="5"/>
      <c r="R729" s="9"/>
      <c r="S729" s="9"/>
      <c r="T729" s="10"/>
      <c r="U729" s="9"/>
      <c r="V729" s="9"/>
    </row>
    <row r="730" ht="12.5" spans="1:22">
      <c r="A730" s="4"/>
      <c r="B730" s="4"/>
      <c r="C730" s="4"/>
      <c r="D730" s="4"/>
      <c r="E730" s="5"/>
      <c r="F730" s="5"/>
      <c r="G730" s="5"/>
      <c r="H730" s="5"/>
      <c r="I730" s="5"/>
      <c r="J730" s="5"/>
      <c r="K730" s="5"/>
      <c r="L730" s="5"/>
      <c r="M730" s="5"/>
      <c r="N730" s="5"/>
      <c r="O730" s="5"/>
      <c r="P730" s="5"/>
      <c r="Q730" s="5"/>
      <c r="R730" s="9"/>
      <c r="S730" s="9"/>
      <c r="T730" s="10"/>
      <c r="U730" s="9"/>
      <c r="V730" s="9"/>
    </row>
    <row r="731" ht="12.5" spans="1:22">
      <c r="A731" s="4"/>
      <c r="B731" s="4"/>
      <c r="C731" s="4"/>
      <c r="D731" s="4"/>
      <c r="E731" s="5"/>
      <c r="F731" s="5"/>
      <c r="G731" s="5"/>
      <c r="H731" s="5"/>
      <c r="I731" s="5"/>
      <c r="J731" s="5"/>
      <c r="K731" s="5"/>
      <c r="L731" s="5"/>
      <c r="M731" s="5"/>
      <c r="N731" s="5"/>
      <c r="O731" s="5"/>
      <c r="P731" s="5"/>
      <c r="Q731" s="5"/>
      <c r="R731" s="9"/>
      <c r="S731" s="9"/>
      <c r="T731" s="10"/>
      <c r="U731" s="9"/>
      <c r="V731" s="9"/>
    </row>
    <row r="732" ht="12.5" spans="1:22">
      <c r="A732" s="4"/>
      <c r="B732" s="4"/>
      <c r="C732" s="4"/>
      <c r="D732" s="4"/>
      <c r="E732" s="5"/>
      <c r="F732" s="5"/>
      <c r="G732" s="5"/>
      <c r="H732" s="5"/>
      <c r="I732" s="5"/>
      <c r="J732" s="5"/>
      <c r="K732" s="5"/>
      <c r="L732" s="5"/>
      <c r="M732" s="5"/>
      <c r="N732" s="5"/>
      <c r="O732" s="5"/>
      <c r="P732" s="5"/>
      <c r="Q732" s="5"/>
      <c r="R732" s="9"/>
      <c r="S732" s="9"/>
      <c r="T732" s="10"/>
      <c r="U732" s="9"/>
      <c r="V732" s="9"/>
    </row>
    <row r="733" ht="12.5" spans="1:22">
      <c r="A733" s="4"/>
      <c r="B733" s="4"/>
      <c r="C733" s="4"/>
      <c r="D733" s="4"/>
      <c r="E733" s="5"/>
      <c r="F733" s="5"/>
      <c r="G733" s="5"/>
      <c r="H733" s="5"/>
      <c r="I733" s="5"/>
      <c r="J733" s="5"/>
      <c r="K733" s="5"/>
      <c r="L733" s="5"/>
      <c r="M733" s="5"/>
      <c r="N733" s="5"/>
      <c r="O733" s="5"/>
      <c r="P733" s="5"/>
      <c r="Q733" s="5"/>
      <c r="R733" s="9"/>
      <c r="S733" s="9"/>
      <c r="T733" s="10"/>
      <c r="U733" s="9"/>
      <c r="V733" s="9"/>
    </row>
    <row r="734" ht="12.5" spans="1:22">
      <c r="A734" s="4"/>
      <c r="B734" s="4"/>
      <c r="C734" s="4"/>
      <c r="D734" s="4"/>
      <c r="E734" s="5"/>
      <c r="F734" s="5"/>
      <c r="G734" s="5"/>
      <c r="H734" s="5"/>
      <c r="I734" s="5"/>
      <c r="J734" s="5"/>
      <c r="K734" s="5"/>
      <c r="L734" s="5"/>
      <c r="M734" s="5"/>
      <c r="N734" s="5"/>
      <c r="O734" s="5"/>
      <c r="P734" s="5"/>
      <c r="Q734" s="5"/>
      <c r="R734" s="9"/>
      <c r="S734" s="9"/>
      <c r="T734" s="10"/>
      <c r="U734" s="9"/>
      <c r="V734" s="9"/>
    </row>
    <row r="735" ht="12.5" spans="1:22">
      <c r="A735" s="4"/>
      <c r="B735" s="4"/>
      <c r="C735" s="4"/>
      <c r="D735" s="4"/>
      <c r="E735" s="5"/>
      <c r="F735" s="5"/>
      <c r="G735" s="5"/>
      <c r="H735" s="5"/>
      <c r="I735" s="5"/>
      <c r="J735" s="5"/>
      <c r="K735" s="5"/>
      <c r="L735" s="5"/>
      <c r="M735" s="5"/>
      <c r="N735" s="5"/>
      <c r="O735" s="5"/>
      <c r="P735" s="5"/>
      <c r="Q735" s="5"/>
      <c r="R735" s="9"/>
      <c r="S735" s="9"/>
      <c r="T735" s="10"/>
      <c r="U735" s="9"/>
      <c r="V735" s="9"/>
    </row>
    <row r="736" ht="12.5" spans="1:22">
      <c r="A736" s="4"/>
      <c r="B736" s="4"/>
      <c r="C736" s="4"/>
      <c r="D736" s="4"/>
      <c r="E736" s="5"/>
      <c r="F736" s="5"/>
      <c r="G736" s="5"/>
      <c r="H736" s="5"/>
      <c r="I736" s="5"/>
      <c r="J736" s="5"/>
      <c r="K736" s="5"/>
      <c r="L736" s="5"/>
      <c r="M736" s="5"/>
      <c r="N736" s="5"/>
      <c r="O736" s="5"/>
      <c r="P736" s="5"/>
      <c r="Q736" s="5"/>
      <c r="R736" s="9"/>
      <c r="S736" s="9"/>
      <c r="T736" s="10"/>
      <c r="U736" s="9"/>
      <c r="V736" s="9"/>
    </row>
    <row r="737" ht="12.5" spans="1:22">
      <c r="A737" s="4"/>
      <c r="B737" s="4"/>
      <c r="C737" s="4"/>
      <c r="D737" s="4"/>
      <c r="E737" s="5"/>
      <c r="F737" s="5"/>
      <c r="G737" s="5"/>
      <c r="H737" s="5"/>
      <c r="I737" s="5"/>
      <c r="J737" s="5"/>
      <c r="K737" s="5"/>
      <c r="L737" s="5"/>
      <c r="M737" s="5"/>
      <c r="N737" s="5"/>
      <c r="O737" s="5"/>
      <c r="P737" s="5"/>
      <c r="Q737" s="5"/>
      <c r="R737" s="9"/>
      <c r="S737" s="9"/>
      <c r="T737" s="10"/>
      <c r="U737" s="9"/>
      <c r="V737" s="9"/>
    </row>
    <row r="738" ht="12.5" spans="1:22">
      <c r="A738" s="4"/>
      <c r="B738" s="4"/>
      <c r="C738" s="4"/>
      <c r="D738" s="4"/>
      <c r="E738" s="5"/>
      <c r="F738" s="5"/>
      <c r="G738" s="5"/>
      <c r="H738" s="5"/>
      <c r="I738" s="5"/>
      <c r="J738" s="5"/>
      <c r="K738" s="5"/>
      <c r="L738" s="5"/>
      <c r="M738" s="5"/>
      <c r="N738" s="5"/>
      <c r="O738" s="5"/>
      <c r="P738" s="5"/>
      <c r="Q738" s="5"/>
      <c r="R738" s="9"/>
      <c r="S738" s="9"/>
      <c r="T738" s="10"/>
      <c r="U738" s="9"/>
      <c r="V738" s="9"/>
    </row>
    <row r="739" ht="12.5" spans="1:22">
      <c r="A739" s="4"/>
      <c r="B739" s="4"/>
      <c r="C739" s="4"/>
      <c r="D739" s="4"/>
      <c r="E739" s="5"/>
      <c r="F739" s="5"/>
      <c r="G739" s="5"/>
      <c r="H739" s="5"/>
      <c r="I739" s="5"/>
      <c r="J739" s="5"/>
      <c r="K739" s="5"/>
      <c r="L739" s="5"/>
      <c r="M739" s="5"/>
      <c r="N739" s="5"/>
      <c r="O739" s="5"/>
      <c r="P739" s="5"/>
      <c r="Q739" s="5"/>
      <c r="R739" s="9"/>
      <c r="S739" s="9"/>
      <c r="T739" s="10"/>
      <c r="U739" s="9"/>
      <c r="V739" s="9"/>
    </row>
    <row r="740" ht="12.5" spans="1:22">
      <c r="A740" s="4"/>
      <c r="B740" s="4"/>
      <c r="C740" s="4"/>
      <c r="D740" s="4"/>
      <c r="E740" s="5"/>
      <c r="F740" s="5"/>
      <c r="G740" s="5"/>
      <c r="H740" s="5"/>
      <c r="I740" s="5"/>
      <c r="J740" s="5"/>
      <c r="K740" s="5"/>
      <c r="L740" s="5"/>
      <c r="M740" s="5"/>
      <c r="N740" s="5"/>
      <c r="O740" s="5"/>
      <c r="P740" s="5"/>
      <c r="Q740" s="5"/>
      <c r="R740" s="9"/>
      <c r="S740" s="9"/>
      <c r="T740" s="10"/>
      <c r="U740" s="9"/>
      <c r="V740" s="9"/>
    </row>
    <row r="741" ht="12.5" spans="1:22">
      <c r="A741" s="4"/>
      <c r="B741" s="4"/>
      <c r="C741" s="4"/>
      <c r="D741" s="4"/>
      <c r="E741" s="5"/>
      <c r="F741" s="5"/>
      <c r="G741" s="5"/>
      <c r="H741" s="5"/>
      <c r="I741" s="5"/>
      <c r="J741" s="5"/>
      <c r="K741" s="5"/>
      <c r="L741" s="5"/>
      <c r="M741" s="5"/>
      <c r="N741" s="5"/>
      <c r="O741" s="5"/>
      <c r="P741" s="5"/>
      <c r="Q741" s="5"/>
      <c r="R741" s="9"/>
      <c r="S741" s="9"/>
      <c r="T741" s="10"/>
      <c r="U741" s="9"/>
      <c r="V741" s="9"/>
    </row>
    <row r="742" ht="12.5" spans="1:22">
      <c r="A742" s="4"/>
      <c r="B742" s="4"/>
      <c r="C742" s="4"/>
      <c r="D742" s="4"/>
      <c r="E742" s="5"/>
      <c r="F742" s="5"/>
      <c r="G742" s="5"/>
      <c r="H742" s="5"/>
      <c r="I742" s="5"/>
      <c r="J742" s="5"/>
      <c r="K742" s="5"/>
      <c r="L742" s="5"/>
      <c r="M742" s="5"/>
      <c r="N742" s="5"/>
      <c r="O742" s="5"/>
      <c r="P742" s="5"/>
      <c r="Q742" s="5"/>
      <c r="R742" s="9"/>
      <c r="S742" s="9"/>
      <c r="T742" s="10"/>
      <c r="U742" s="9"/>
      <c r="V742" s="9"/>
    </row>
    <row r="743" ht="12.5" spans="1:22">
      <c r="A743" s="4"/>
      <c r="B743" s="4"/>
      <c r="C743" s="4"/>
      <c r="D743" s="4"/>
      <c r="E743" s="5"/>
      <c r="F743" s="5"/>
      <c r="G743" s="5"/>
      <c r="H743" s="5"/>
      <c r="I743" s="5"/>
      <c r="J743" s="5"/>
      <c r="K743" s="5"/>
      <c r="L743" s="5"/>
      <c r="M743" s="5"/>
      <c r="N743" s="5"/>
      <c r="O743" s="5"/>
      <c r="P743" s="5"/>
      <c r="Q743" s="5"/>
      <c r="R743" s="9"/>
      <c r="S743" s="9"/>
      <c r="T743" s="10"/>
      <c r="U743" s="9"/>
      <c r="V743" s="9"/>
    </row>
    <row r="744" ht="12.5" spans="1:22">
      <c r="A744" s="4"/>
      <c r="B744" s="4"/>
      <c r="C744" s="4"/>
      <c r="D744" s="4"/>
      <c r="E744" s="5"/>
      <c r="F744" s="5"/>
      <c r="G744" s="5"/>
      <c r="H744" s="5"/>
      <c r="I744" s="5"/>
      <c r="J744" s="5"/>
      <c r="K744" s="5"/>
      <c r="L744" s="5"/>
      <c r="M744" s="5"/>
      <c r="N744" s="5"/>
      <c r="O744" s="5"/>
      <c r="P744" s="5"/>
      <c r="Q744" s="5"/>
      <c r="R744" s="9"/>
      <c r="S744" s="9"/>
      <c r="T744" s="10"/>
      <c r="U744" s="9"/>
      <c r="V744" s="9"/>
    </row>
    <row r="745" ht="12.5" spans="1:22">
      <c r="A745" s="4"/>
      <c r="B745" s="4"/>
      <c r="C745" s="4"/>
      <c r="D745" s="4"/>
      <c r="E745" s="5"/>
      <c r="F745" s="5"/>
      <c r="G745" s="5"/>
      <c r="H745" s="5"/>
      <c r="I745" s="5"/>
      <c r="J745" s="5"/>
      <c r="K745" s="5"/>
      <c r="L745" s="5"/>
      <c r="M745" s="5"/>
      <c r="N745" s="5"/>
      <c r="O745" s="5"/>
      <c r="P745" s="5"/>
      <c r="Q745" s="5"/>
      <c r="R745" s="9"/>
      <c r="S745" s="9"/>
      <c r="T745" s="10"/>
      <c r="U745" s="9"/>
      <c r="V745" s="9"/>
    </row>
    <row r="746" ht="12.5" spans="1:22">
      <c r="A746" s="4"/>
      <c r="B746" s="4"/>
      <c r="C746" s="4"/>
      <c r="D746" s="4"/>
      <c r="E746" s="5"/>
      <c r="F746" s="5"/>
      <c r="G746" s="5"/>
      <c r="H746" s="5"/>
      <c r="I746" s="5"/>
      <c r="J746" s="5"/>
      <c r="K746" s="5"/>
      <c r="L746" s="5"/>
      <c r="M746" s="5"/>
      <c r="N746" s="5"/>
      <c r="O746" s="5"/>
      <c r="P746" s="5"/>
      <c r="Q746" s="5"/>
      <c r="R746" s="9"/>
      <c r="S746" s="9"/>
      <c r="T746" s="10"/>
      <c r="U746" s="9"/>
      <c r="V746" s="9"/>
    </row>
    <row r="747" ht="12.5" spans="1:22">
      <c r="A747" s="4"/>
      <c r="B747" s="4"/>
      <c r="C747" s="4"/>
      <c r="D747" s="4"/>
      <c r="E747" s="5"/>
      <c r="F747" s="5"/>
      <c r="G747" s="5"/>
      <c r="H747" s="5"/>
      <c r="I747" s="5"/>
      <c r="J747" s="5"/>
      <c r="K747" s="5"/>
      <c r="L747" s="5"/>
      <c r="M747" s="5"/>
      <c r="N747" s="5"/>
      <c r="O747" s="5"/>
      <c r="P747" s="5"/>
      <c r="Q747" s="5"/>
      <c r="R747" s="9"/>
      <c r="S747" s="9"/>
      <c r="T747" s="10"/>
      <c r="U747" s="9"/>
      <c r="V747" s="9"/>
    </row>
    <row r="748" ht="12.5" spans="1:22">
      <c r="A748" s="4"/>
      <c r="B748" s="4"/>
      <c r="C748" s="4"/>
      <c r="D748" s="4"/>
      <c r="E748" s="5"/>
      <c r="F748" s="5"/>
      <c r="G748" s="5"/>
      <c r="H748" s="5"/>
      <c r="I748" s="5"/>
      <c r="J748" s="5"/>
      <c r="K748" s="5"/>
      <c r="L748" s="5"/>
      <c r="M748" s="5"/>
      <c r="N748" s="5"/>
      <c r="O748" s="5"/>
      <c r="P748" s="5"/>
      <c r="Q748" s="5"/>
      <c r="R748" s="9"/>
      <c r="S748" s="9"/>
      <c r="T748" s="10"/>
      <c r="U748" s="9"/>
      <c r="V748" s="9"/>
    </row>
    <row r="749" ht="12.5" spans="1:22">
      <c r="A749" s="4"/>
      <c r="B749" s="4"/>
      <c r="C749" s="4"/>
      <c r="D749" s="4"/>
      <c r="E749" s="5"/>
      <c r="F749" s="5"/>
      <c r="G749" s="5"/>
      <c r="H749" s="5"/>
      <c r="I749" s="5"/>
      <c r="J749" s="5"/>
      <c r="K749" s="5"/>
      <c r="L749" s="5"/>
      <c r="M749" s="5"/>
      <c r="N749" s="5"/>
      <c r="O749" s="5"/>
      <c r="P749" s="5"/>
      <c r="Q749" s="5"/>
      <c r="R749" s="9"/>
      <c r="S749" s="9"/>
      <c r="T749" s="10"/>
      <c r="U749" s="9"/>
      <c r="V749" s="9"/>
    </row>
    <row r="750" ht="12.5" spans="1:22">
      <c r="A750" s="4"/>
      <c r="B750" s="4"/>
      <c r="C750" s="4"/>
      <c r="D750" s="4"/>
      <c r="E750" s="5"/>
      <c r="F750" s="5"/>
      <c r="G750" s="5"/>
      <c r="H750" s="5"/>
      <c r="I750" s="5"/>
      <c r="J750" s="5"/>
      <c r="K750" s="5"/>
      <c r="L750" s="5"/>
      <c r="M750" s="5"/>
      <c r="N750" s="5"/>
      <c r="O750" s="5"/>
      <c r="P750" s="5"/>
      <c r="Q750" s="5"/>
      <c r="R750" s="9"/>
      <c r="S750" s="9"/>
      <c r="T750" s="10"/>
      <c r="U750" s="9"/>
      <c r="V750" s="9"/>
    </row>
    <row r="751" ht="12.5" spans="1:22">
      <c r="A751" s="4"/>
      <c r="B751" s="4"/>
      <c r="C751" s="4"/>
      <c r="D751" s="4"/>
      <c r="E751" s="5"/>
      <c r="F751" s="5"/>
      <c r="G751" s="5"/>
      <c r="H751" s="5"/>
      <c r="I751" s="5"/>
      <c r="J751" s="5"/>
      <c r="K751" s="5"/>
      <c r="L751" s="5"/>
      <c r="M751" s="5"/>
      <c r="N751" s="5"/>
      <c r="O751" s="5"/>
      <c r="P751" s="5"/>
      <c r="Q751" s="5"/>
      <c r="R751" s="9"/>
      <c r="S751" s="9"/>
      <c r="T751" s="10"/>
      <c r="U751" s="9"/>
      <c r="V751" s="9"/>
    </row>
    <row r="752" ht="12.5" spans="1:22">
      <c r="A752" s="4"/>
      <c r="B752" s="4"/>
      <c r="C752" s="4"/>
      <c r="D752" s="4"/>
      <c r="E752" s="5"/>
      <c r="F752" s="5"/>
      <c r="G752" s="5"/>
      <c r="H752" s="5"/>
      <c r="I752" s="5"/>
      <c r="J752" s="5"/>
      <c r="K752" s="5"/>
      <c r="L752" s="5"/>
      <c r="M752" s="5"/>
      <c r="N752" s="5"/>
      <c r="O752" s="5"/>
      <c r="P752" s="5"/>
      <c r="Q752" s="5"/>
      <c r="R752" s="9"/>
      <c r="S752" s="9"/>
      <c r="T752" s="10"/>
      <c r="U752" s="9"/>
      <c r="V752" s="9"/>
    </row>
    <row r="753" ht="12.5" spans="1:22">
      <c r="A753" s="4"/>
      <c r="B753" s="4"/>
      <c r="C753" s="4"/>
      <c r="D753" s="4"/>
      <c r="E753" s="5"/>
      <c r="F753" s="5"/>
      <c r="G753" s="5"/>
      <c r="H753" s="5"/>
      <c r="I753" s="5"/>
      <c r="J753" s="5"/>
      <c r="K753" s="5"/>
      <c r="L753" s="5"/>
      <c r="M753" s="5"/>
      <c r="N753" s="5"/>
      <c r="O753" s="5"/>
      <c r="P753" s="5"/>
      <c r="Q753" s="5"/>
      <c r="R753" s="9"/>
      <c r="S753" s="9"/>
      <c r="T753" s="10"/>
      <c r="U753" s="9"/>
      <c r="V753" s="9"/>
    </row>
    <row r="754" ht="12.5" spans="1:22">
      <c r="A754" s="4"/>
      <c r="B754" s="4"/>
      <c r="C754" s="4"/>
      <c r="D754" s="4"/>
      <c r="E754" s="5"/>
      <c r="F754" s="5"/>
      <c r="G754" s="5"/>
      <c r="H754" s="5"/>
      <c r="I754" s="5"/>
      <c r="J754" s="5"/>
      <c r="K754" s="5"/>
      <c r="L754" s="5"/>
      <c r="M754" s="5"/>
      <c r="N754" s="5"/>
      <c r="O754" s="5"/>
      <c r="P754" s="5"/>
      <c r="Q754" s="5"/>
      <c r="R754" s="9"/>
      <c r="S754" s="9"/>
      <c r="T754" s="10"/>
      <c r="U754" s="9"/>
      <c r="V754" s="9"/>
    </row>
    <row r="755" ht="12.5" spans="1:22">
      <c r="A755" s="4"/>
      <c r="B755" s="4"/>
      <c r="C755" s="4"/>
      <c r="D755" s="4"/>
      <c r="E755" s="5"/>
      <c r="F755" s="5"/>
      <c r="G755" s="5"/>
      <c r="H755" s="5"/>
      <c r="I755" s="5"/>
      <c r="J755" s="5"/>
      <c r="K755" s="5"/>
      <c r="L755" s="5"/>
      <c r="M755" s="5"/>
      <c r="N755" s="5"/>
      <c r="O755" s="5"/>
      <c r="P755" s="5"/>
      <c r="Q755" s="5"/>
      <c r="R755" s="9"/>
      <c r="S755" s="9"/>
      <c r="T755" s="10"/>
      <c r="U755" s="9"/>
      <c r="V755" s="9"/>
    </row>
    <row r="756" ht="12.5" spans="1:22">
      <c r="A756" s="4"/>
      <c r="B756" s="4"/>
      <c r="C756" s="4"/>
      <c r="D756" s="4"/>
      <c r="E756" s="5"/>
      <c r="F756" s="5"/>
      <c r="G756" s="5"/>
      <c r="H756" s="5"/>
      <c r="I756" s="5"/>
      <c r="J756" s="5"/>
      <c r="K756" s="5"/>
      <c r="L756" s="5"/>
      <c r="M756" s="5"/>
      <c r="N756" s="5"/>
      <c r="O756" s="5"/>
      <c r="P756" s="5"/>
      <c r="Q756" s="5"/>
      <c r="R756" s="9"/>
      <c r="S756" s="9"/>
      <c r="T756" s="10"/>
      <c r="U756" s="9"/>
      <c r="V756" s="9"/>
    </row>
    <row r="757" ht="12.5" spans="1:22">
      <c r="A757" s="4"/>
      <c r="B757" s="4"/>
      <c r="C757" s="4"/>
      <c r="D757" s="4"/>
      <c r="E757" s="5"/>
      <c r="F757" s="5"/>
      <c r="G757" s="5"/>
      <c r="H757" s="5"/>
      <c r="I757" s="5"/>
      <c r="J757" s="5"/>
      <c r="K757" s="5"/>
      <c r="L757" s="5"/>
      <c r="M757" s="5"/>
      <c r="N757" s="5"/>
      <c r="O757" s="5"/>
      <c r="P757" s="5"/>
      <c r="Q757" s="5"/>
      <c r="R757" s="9"/>
      <c r="S757" s="9"/>
      <c r="T757" s="10"/>
      <c r="U757" s="9"/>
      <c r="V757" s="9"/>
    </row>
    <row r="758" ht="12.5" spans="1:22">
      <c r="A758" s="4"/>
      <c r="B758" s="4"/>
      <c r="C758" s="4"/>
      <c r="D758" s="4"/>
      <c r="E758" s="5"/>
      <c r="F758" s="5"/>
      <c r="G758" s="5"/>
      <c r="H758" s="5"/>
      <c r="I758" s="5"/>
      <c r="J758" s="5"/>
      <c r="K758" s="5"/>
      <c r="L758" s="5"/>
      <c r="M758" s="5"/>
      <c r="N758" s="5"/>
      <c r="O758" s="5"/>
      <c r="P758" s="5"/>
      <c r="Q758" s="5"/>
      <c r="R758" s="9"/>
      <c r="S758" s="9"/>
      <c r="T758" s="10"/>
      <c r="U758" s="9"/>
      <c r="V758" s="9"/>
    </row>
    <row r="759" ht="12.5" spans="1:22">
      <c r="A759" s="4"/>
      <c r="B759" s="4"/>
      <c r="C759" s="4"/>
      <c r="D759" s="4"/>
      <c r="E759" s="5"/>
      <c r="F759" s="5"/>
      <c r="G759" s="5"/>
      <c r="H759" s="5"/>
      <c r="I759" s="5"/>
      <c r="J759" s="5"/>
      <c r="K759" s="5"/>
      <c r="L759" s="5"/>
      <c r="M759" s="5"/>
      <c r="N759" s="5"/>
      <c r="O759" s="5"/>
      <c r="P759" s="5"/>
      <c r="Q759" s="5"/>
      <c r="R759" s="9"/>
      <c r="S759" s="9"/>
      <c r="T759" s="10"/>
      <c r="U759" s="9"/>
      <c r="V759" s="9"/>
    </row>
    <row r="760" ht="12.5" spans="1:22">
      <c r="A760" s="4"/>
      <c r="B760" s="4"/>
      <c r="C760" s="4"/>
      <c r="D760" s="4"/>
      <c r="E760" s="5"/>
      <c r="F760" s="5"/>
      <c r="G760" s="5"/>
      <c r="H760" s="5"/>
      <c r="I760" s="5"/>
      <c r="J760" s="5"/>
      <c r="K760" s="5"/>
      <c r="L760" s="5"/>
      <c r="M760" s="5"/>
      <c r="N760" s="5"/>
      <c r="O760" s="5"/>
      <c r="P760" s="5"/>
      <c r="Q760" s="5"/>
      <c r="R760" s="9"/>
      <c r="S760" s="9"/>
      <c r="T760" s="10"/>
      <c r="U760" s="9"/>
      <c r="V760" s="9"/>
    </row>
    <row r="761" ht="12.5" spans="1:22">
      <c r="A761" s="4"/>
      <c r="B761" s="4"/>
      <c r="C761" s="4"/>
      <c r="D761" s="4"/>
      <c r="E761" s="5"/>
      <c r="F761" s="5"/>
      <c r="G761" s="5"/>
      <c r="H761" s="5"/>
      <c r="I761" s="5"/>
      <c r="J761" s="5"/>
      <c r="K761" s="5"/>
      <c r="L761" s="5"/>
      <c r="M761" s="5"/>
      <c r="N761" s="5"/>
      <c r="O761" s="5"/>
      <c r="P761" s="5"/>
      <c r="Q761" s="5"/>
      <c r="R761" s="9"/>
      <c r="S761" s="9"/>
      <c r="T761" s="10"/>
      <c r="U761" s="9"/>
      <c r="V761" s="9"/>
    </row>
    <row r="762" ht="12.5" spans="1:22">
      <c r="A762" s="4"/>
      <c r="B762" s="4"/>
      <c r="C762" s="4"/>
      <c r="D762" s="4"/>
      <c r="E762" s="5"/>
      <c r="F762" s="5"/>
      <c r="G762" s="5"/>
      <c r="H762" s="5"/>
      <c r="I762" s="5"/>
      <c r="J762" s="5"/>
      <c r="K762" s="5"/>
      <c r="L762" s="5"/>
      <c r="M762" s="5"/>
      <c r="N762" s="5"/>
      <c r="O762" s="5"/>
      <c r="P762" s="5"/>
      <c r="Q762" s="5"/>
      <c r="R762" s="9"/>
      <c r="S762" s="9"/>
      <c r="T762" s="10"/>
      <c r="U762" s="9"/>
      <c r="V762" s="9"/>
    </row>
    <row r="763" ht="12.5" spans="1:22">
      <c r="A763" s="4"/>
      <c r="B763" s="4"/>
      <c r="C763" s="4"/>
      <c r="D763" s="4"/>
      <c r="E763" s="5"/>
      <c r="F763" s="5"/>
      <c r="G763" s="5"/>
      <c r="H763" s="5"/>
      <c r="I763" s="5"/>
      <c r="J763" s="5"/>
      <c r="K763" s="5"/>
      <c r="L763" s="5"/>
      <c r="M763" s="5"/>
      <c r="N763" s="5"/>
      <c r="O763" s="5"/>
      <c r="P763" s="5"/>
      <c r="Q763" s="5"/>
      <c r="R763" s="9"/>
      <c r="S763" s="9"/>
      <c r="T763" s="10"/>
      <c r="U763" s="9"/>
      <c r="V763" s="9"/>
    </row>
    <row r="764" ht="12.5" spans="1:22">
      <c r="A764" s="4"/>
      <c r="B764" s="4"/>
      <c r="C764" s="4"/>
      <c r="D764" s="4"/>
      <c r="E764" s="5"/>
      <c r="F764" s="5"/>
      <c r="G764" s="5"/>
      <c r="H764" s="5"/>
      <c r="I764" s="5"/>
      <c r="J764" s="5"/>
      <c r="K764" s="5"/>
      <c r="L764" s="5"/>
      <c r="M764" s="5"/>
      <c r="N764" s="5"/>
      <c r="O764" s="5"/>
      <c r="P764" s="5"/>
      <c r="Q764" s="5"/>
      <c r="R764" s="9"/>
      <c r="S764" s="9"/>
      <c r="T764" s="10"/>
      <c r="U764" s="9"/>
      <c r="V764" s="9"/>
    </row>
    <row r="765" ht="12.5" spans="1:22">
      <c r="A765" s="4"/>
      <c r="B765" s="4"/>
      <c r="C765" s="4"/>
      <c r="D765" s="4"/>
      <c r="E765" s="5"/>
      <c r="F765" s="5"/>
      <c r="G765" s="5"/>
      <c r="H765" s="5"/>
      <c r="I765" s="5"/>
      <c r="J765" s="5"/>
      <c r="K765" s="5"/>
      <c r="L765" s="5"/>
      <c r="M765" s="5"/>
      <c r="N765" s="5"/>
      <c r="O765" s="5"/>
      <c r="P765" s="5"/>
      <c r="Q765" s="5"/>
      <c r="R765" s="9"/>
      <c r="S765" s="9"/>
      <c r="T765" s="10"/>
      <c r="U765" s="9"/>
      <c r="V765" s="9"/>
    </row>
    <row r="766" ht="12.5" spans="1:22">
      <c r="A766" s="4"/>
      <c r="B766" s="4"/>
      <c r="C766" s="4"/>
      <c r="D766" s="4"/>
      <c r="E766" s="5"/>
      <c r="F766" s="5"/>
      <c r="G766" s="5"/>
      <c r="H766" s="5"/>
      <c r="I766" s="5"/>
      <c r="J766" s="5"/>
      <c r="K766" s="5"/>
      <c r="L766" s="5"/>
      <c r="M766" s="5"/>
      <c r="N766" s="5"/>
      <c r="O766" s="5"/>
      <c r="P766" s="5"/>
      <c r="Q766" s="5"/>
      <c r="R766" s="9"/>
      <c r="S766" s="9"/>
      <c r="T766" s="10"/>
      <c r="U766" s="9"/>
      <c r="V766" s="9"/>
    </row>
    <row r="767" ht="12.5" spans="1:22">
      <c r="A767" s="4"/>
      <c r="B767" s="4"/>
      <c r="C767" s="4"/>
      <c r="D767" s="4"/>
      <c r="E767" s="5"/>
      <c r="F767" s="5"/>
      <c r="G767" s="5"/>
      <c r="H767" s="5"/>
      <c r="I767" s="5"/>
      <c r="J767" s="5"/>
      <c r="K767" s="5"/>
      <c r="L767" s="5"/>
      <c r="M767" s="5"/>
      <c r="N767" s="5"/>
      <c r="O767" s="5"/>
      <c r="P767" s="5"/>
      <c r="Q767" s="5"/>
      <c r="R767" s="9"/>
      <c r="S767" s="9"/>
      <c r="T767" s="10"/>
      <c r="U767" s="9"/>
      <c r="V767" s="9"/>
    </row>
    <row r="768" ht="12.5" spans="1:22">
      <c r="A768" s="4"/>
      <c r="B768" s="4"/>
      <c r="C768" s="4"/>
      <c r="D768" s="4"/>
      <c r="E768" s="5"/>
      <c r="F768" s="5"/>
      <c r="G768" s="5"/>
      <c r="H768" s="5"/>
      <c r="I768" s="5"/>
      <c r="J768" s="5"/>
      <c r="K768" s="5"/>
      <c r="L768" s="5"/>
      <c r="M768" s="5"/>
      <c r="N768" s="5"/>
      <c r="O768" s="5"/>
      <c r="P768" s="5"/>
      <c r="Q768" s="5"/>
      <c r="R768" s="9"/>
      <c r="S768" s="9"/>
      <c r="T768" s="10"/>
      <c r="U768" s="9"/>
      <c r="V768" s="9"/>
    </row>
    <row r="769" ht="12.5" spans="1:22">
      <c r="A769" s="4"/>
      <c r="B769" s="4"/>
      <c r="C769" s="4"/>
      <c r="D769" s="4"/>
      <c r="E769" s="5"/>
      <c r="F769" s="5"/>
      <c r="G769" s="5"/>
      <c r="H769" s="5"/>
      <c r="I769" s="5"/>
      <c r="J769" s="5"/>
      <c r="K769" s="5"/>
      <c r="L769" s="5"/>
      <c r="M769" s="5"/>
      <c r="N769" s="5"/>
      <c r="O769" s="5"/>
      <c r="P769" s="5"/>
      <c r="Q769" s="5"/>
      <c r="R769" s="9"/>
      <c r="S769" s="9"/>
      <c r="T769" s="10"/>
      <c r="U769" s="9"/>
      <c r="V769" s="9"/>
    </row>
    <row r="770" ht="12.5" spans="1:22">
      <c r="A770" s="4"/>
      <c r="B770" s="4"/>
      <c r="C770" s="4"/>
      <c r="D770" s="4"/>
      <c r="E770" s="5"/>
      <c r="F770" s="5"/>
      <c r="G770" s="5"/>
      <c r="H770" s="5"/>
      <c r="I770" s="5"/>
      <c r="J770" s="5"/>
      <c r="K770" s="5"/>
      <c r="L770" s="5"/>
      <c r="M770" s="5"/>
      <c r="N770" s="5"/>
      <c r="O770" s="5"/>
      <c r="P770" s="5"/>
      <c r="Q770" s="5"/>
      <c r="R770" s="9"/>
      <c r="S770" s="9"/>
      <c r="T770" s="10"/>
      <c r="U770" s="9"/>
      <c r="V770" s="9"/>
    </row>
    <row r="771" ht="12.5" spans="1:22">
      <c r="A771" s="4"/>
      <c r="B771" s="4"/>
      <c r="C771" s="4"/>
      <c r="D771" s="4"/>
      <c r="E771" s="5"/>
      <c r="F771" s="5"/>
      <c r="G771" s="5"/>
      <c r="H771" s="5"/>
      <c r="I771" s="5"/>
      <c r="J771" s="5"/>
      <c r="K771" s="5"/>
      <c r="L771" s="5"/>
      <c r="M771" s="5"/>
      <c r="N771" s="5"/>
      <c r="O771" s="5"/>
      <c r="P771" s="5"/>
      <c r="Q771" s="5"/>
      <c r="R771" s="9"/>
      <c r="S771" s="9"/>
      <c r="T771" s="10"/>
      <c r="U771" s="9"/>
      <c r="V771" s="9"/>
    </row>
    <row r="772" ht="12.5" spans="1:22">
      <c r="A772" s="4"/>
      <c r="B772" s="4"/>
      <c r="C772" s="4"/>
      <c r="D772" s="4"/>
      <c r="E772" s="5"/>
      <c r="F772" s="5"/>
      <c r="G772" s="5"/>
      <c r="H772" s="5"/>
      <c r="I772" s="5"/>
      <c r="J772" s="5"/>
      <c r="K772" s="5"/>
      <c r="L772" s="5"/>
      <c r="M772" s="5"/>
      <c r="N772" s="5"/>
      <c r="O772" s="5"/>
      <c r="P772" s="5"/>
      <c r="Q772" s="5"/>
      <c r="R772" s="9"/>
      <c r="S772" s="9"/>
      <c r="T772" s="10"/>
      <c r="U772" s="9"/>
      <c r="V772" s="9"/>
    </row>
    <row r="773" ht="12.5" spans="1:22">
      <c r="A773" s="4"/>
      <c r="B773" s="4"/>
      <c r="C773" s="4"/>
      <c r="D773" s="4"/>
      <c r="E773" s="5"/>
      <c r="F773" s="5"/>
      <c r="G773" s="5"/>
      <c r="H773" s="5"/>
      <c r="I773" s="5"/>
      <c r="J773" s="5"/>
      <c r="K773" s="5"/>
      <c r="L773" s="5"/>
      <c r="M773" s="5"/>
      <c r="N773" s="5"/>
      <c r="O773" s="5"/>
      <c r="P773" s="5"/>
      <c r="Q773" s="5"/>
      <c r="R773" s="9"/>
      <c r="S773" s="9"/>
      <c r="T773" s="10"/>
      <c r="U773" s="9"/>
      <c r="V773" s="9"/>
    </row>
    <row r="774" ht="12.5" spans="1:22">
      <c r="A774" s="4"/>
      <c r="B774" s="4"/>
      <c r="C774" s="4"/>
      <c r="D774" s="4"/>
      <c r="E774" s="5"/>
      <c r="F774" s="5"/>
      <c r="G774" s="5"/>
      <c r="H774" s="5"/>
      <c r="I774" s="5"/>
      <c r="J774" s="5"/>
      <c r="K774" s="5"/>
      <c r="L774" s="5"/>
      <c r="M774" s="5"/>
      <c r="N774" s="5"/>
      <c r="O774" s="5"/>
      <c r="P774" s="5"/>
      <c r="Q774" s="5"/>
      <c r="R774" s="9"/>
      <c r="S774" s="9"/>
      <c r="T774" s="10"/>
      <c r="U774" s="9"/>
      <c r="V774" s="9"/>
    </row>
    <row r="775" ht="12.5" spans="1:22">
      <c r="A775" s="4"/>
      <c r="B775" s="4"/>
      <c r="C775" s="4"/>
      <c r="D775" s="4"/>
      <c r="E775" s="5"/>
      <c r="F775" s="5"/>
      <c r="G775" s="5"/>
      <c r="H775" s="5"/>
      <c r="I775" s="5"/>
      <c r="J775" s="5"/>
      <c r="K775" s="5"/>
      <c r="L775" s="5"/>
      <c r="M775" s="5"/>
      <c r="N775" s="5"/>
      <c r="O775" s="5"/>
      <c r="P775" s="5"/>
      <c r="Q775" s="5"/>
      <c r="R775" s="9"/>
      <c r="S775" s="9"/>
      <c r="T775" s="10"/>
      <c r="U775" s="9"/>
      <c r="V775" s="9"/>
    </row>
    <row r="776" ht="12.5" spans="1:22">
      <c r="A776" s="4"/>
      <c r="B776" s="4"/>
      <c r="C776" s="4"/>
      <c r="D776" s="4"/>
      <c r="E776" s="5"/>
      <c r="F776" s="5"/>
      <c r="G776" s="5"/>
      <c r="H776" s="5"/>
      <c r="I776" s="5"/>
      <c r="J776" s="5"/>
      <c r="K776" s="5"/>
      <c r="L776" s="5"/>
      <c r="M776" s="5"/>
      <c r="N776" s="5"/>
      <c r="O776" s="5"/>
      <c r="P776" s="5"/>
      <c r="Q776" s="5"/>
      <c r="R776" s="9"/>
      <c r="S776" s="9"/>
      <c r="T776" s="10"/>
      <c r="U776" s="9"/>
      <c r="V776" s="9"/>
    </row>
    <row r="777" ht="12.5" spans="1:22">
      <c r="A777" s="4"/>
      <c r="B777" s="4"/>
      <c r="C777" s="4"/>
      <c r="D777" s="4"/>
      <c r="E777" s="5"/>
      <c r="F777" s="5"/>
      <c r="G777" s="5"/>
      <c r="H777" s="5"/>
      <c r="I777" s="5"/>
      <c r="J777" s="5"/>
      <c r="K777" s="5"/>
      <c r="L777" s="5"/>
      <c r="M777" s="5"/>
      <c r="N777" s="5"/>
      <c r="O777" s="5"/>
      <c r="P777" s="5"/>
      <c r="Q777" s="5"/>
      <c r="R777" s="9"/>
      <c r="S777" s="9"/>
      <c r="T777" s="10"/>
      <c r="U777" s="9"/>
      <c r="V777" s="9"/>
    </row>
    <row r="778" ht="12.5" spans="1:22">
      <c r="A778" s="4"/>
      <c r="B778" s="4"/>
      <c r="C778" s="4"/>
      <c r="D778" s="4"/>
      <c r="E778" s="5"/>
      <c r="F778" s="5"/>
      <c r="G778" s="5"/>
      <c r="H778" s="5"/>
      <c r="I778" s="5"/>
      <c r="J778" s="5"/>
      <c r="K778" s="5"/>
      <c r="L778" s="5"/>
      <c r="M778" s="5"/>
      <c r="N778" s="5"/>
      <c r="O778" s="5"/>
      <c r="P778" s="5"/>
      <c r="Q778" s="5"/>
      <c r="R778" s="9"/>
      <c r="S778" s="9"/>
      <c r="T778" s="10"/>
      <c r="U778" s="9"/>
      <c r="V778" s="9"/>
    </row>
    <row r="779" ht="12.5" spans="1:22">
      <c r="A779" s="4"/>
      <c r="B779" s="4"/>
      <c r="C779" s="4"/>
      <c r="D779" s="4"/>
      <c r="E779" s="5"/>
      <c r="F779" s="5"/>
      <c r="G779" s="5"/>
      <c r="H779" s="5"/>
      <c r="I779" s="5"/>
      <c r="J779" s="5"/>
      <c r="K779" s="5"/>
      <c r="L779" s="5"/>
      <c r="M779" s="5"/>
      <c r="N779" s="5"/>
      <c r="O779" s="5"/>
      <c r="P779" s="5"/>
      <c r="Q779" s="5"/>
      <c r="R779" s="9"/>
      <c r="S779" s="9"/>
      <c r="T779" s="10"/>
      <c r="U779" s="9"/>
      <c r="V779" s="9"/>
    </row>
    <row r="780" ht="12.5" spans="1:22">
      <c r="A780" s="4"/>
      <c r="B780" s="4"/>
      <c r="C780" s="4"/>
      <c r="D780" s="4"/>
      <c r="E780" s="5"/>
      <c r="F780" s="5"/>
      <c r="G780" s="5"/>
      <c r="H780" s="5"/>
      <c r="I780" s="5"/>
      <c r="J780" s="5"/>
      <c r="K780" s="5"/>
      <c r="L780" s="5"/>
      <c r="M780" s="5"/>
      <c r="N780" s="5"/>
      <c r="O780" s="5"/>
      <c r="P780" s="5"/>
      <c r="Q780" s="5"/>
      <c r="R780" s="9"/>
      <c r="S780" s="9"/>
      <c r="T780" s="10"/>
      <c r="U780" s="9"/>
      <c r="V780" s="9"/>
    </row>
    <row r="781" ht="12.5" spans="1:22">
      <c r="A781" s="4"/>
      <c r="B781" s="4"/>
      <c r="C781" s="4"/>
      <c r="D781" s="4"/>
      <c r="E781" s="5"/>
      <c r="F781" s="5"/>
      <c r="G781" s="5"/>
      <c r="H781" s="5"/>
      <c r="I781" s="5"/>
      <c r="J781" s="5"/>
      <c r="K781" s="5"/>
      <c r="L781" s="5"/>
      <c r="M781" s="5"/>
      <c r="N781" s="5"/>
      <c r="O781" s="5"/>
      <c r="P781" s="5"/>
      <c r="Q781" s="5"/>
      <c r="R781" s="9"/>
      <c r="S781" s="9"/>
      <c r="T781" s="10"/>
      <c r="U781" s="9"/>
      <c r="V781" s="9"/>
    </row>
    <row r="782" ht="12.5" spans="1:22">
      <c r="A782" s="4"/>
      <c r="B782" s="4"/>
      <c r="C782" s="4"/>
      <c r="D782" s="4"/>
      <c r="E782" s="5"/>
      <c r="F782" s="5"/>
      <c r="G782" s="5"/>
      <c r="H782" s="5"/>
      <c r="I782" s="5"/>
      <c r="J782" s="5"/>
      <c r="K782" s="5"/>
      <c r="L782" s="5"/>
      <c r="M782" s="5"/>
      <c r="N782" s="5"/>
      <c r="O782" s="5"/>
      <c r="P782" s="5"/>
      <c r="Q782" s="5"/>
      <c r="R782" s="9"/>
      <c r="S782" s="9"/>
      <c r="T782" s="10"/>
      <c r="U782" s="9"/>
      <c r="V782" s="9"/>
    </row>
    <row r="783" ht="12.5" spans="1:22">
      <c r="A783" s="4"/>
      <c r="B783" s="4"/>
      <c r="C783" s="4"/>
      <c r="D783" s="4"/>
      <c r="E783" s="5"/>
      <c r="F783" s="5"/>
      <c r="G783" s="5"/>
      <c r="H783" s="5"/>
      <c r="I783" s="5"/>
      <c r="J783" s="5"/>
      <c r="K783" s="5"/>
      <c r="L783" s="5"/>
      <c r="M783" s="5"/>
      <c r="N783" s="5"/>
      <c r="O783" s="5"/>
      <c r="P783" s="5"/>
      <c r="Q783" s="5"/>
      <c r="R783" s="9"/>
      <c r="S783" s="9"/>
      <c r="T783" s="10"/>
      <c r="U783" s="9"/>
      <c r="V783" s="9"/>
    </row>
    <row r="784" ht="12.5" spans="1:22">
      <c r="A784" s="4"/>
      <c r="B784" s="4"/>
      <c r="C784" s="4"/>
      <c r="D784" s="4"/>
      <c r="E784" s="5"/>
      <c r="F784" s="5"/>
      <c r="G784" s="5"/>
      <c r="H784" s="5"/>
      <c r="I784" s="5"/>
      <c r="J784" s="5"/>
      <c r="K784" s="5"/>
      <c r="L784" s="5"/>
      <c r="M784" s="5"/>
      <c r="N784" s="5"/>
      <c r="O784" s="5"/>
      <c r="P784" s="5"/>
      <c r="Q784" s="5"/>
      <c r="R784" s="9"/>
      <c r="S784" s="9"/>
      <c r="T784" s="10"/>
      <c r="U784" s="9"/>
      <c r="V784" s="9"/>
    </row>
    <row r="785" ht="12.5" spans="1:22">
      <c r="A785" s="4"/>
      <c r="B785" s="4"/>
      <c r="C785" s="4"/>
      <c r="D785" s="4"/>
      <c r="E785" s="5"/>
      <c r="F785" s="5"/>
      <c r="G785" s="5"/>
      <c r="H785" s="5"/>
      <c r="I785" s="5"/>
      <c r="J785" s="5"/>
      <c r="K785" s="5"/>
      <c r="L785" s="5"/>
      <c r="M785" s="5"/>
      <c r="N785" s="5"/>
      <c r="O785" s="5"/>
      <c r="P785" s="5"/>
      <c r="Q785" s="5"/>
      <c r="R785" s="9"/>
      <c r="S785" s="9"/>
      <c r="T785" s="10"/>
      <c r="U785" s="9"/>
      <c r="V785" s="9"/>
    </row>
    <row r="786" ht="12.5" spans="1:22">
      <c r="A786" s="4"/>
      <c r="B786" s="4"/>
      <c r="C786" s="4"/>
      <c r="D786" s="4"/>
      <c r="E786" s="5"/>
      <c r="F786" s="5"/>
      <c r="G786" s="5"/>
      <c r="H786" s="5"/>
      <c r="I786" s="5"/>
      <c r="J786" s="5"/>
      <c r="K786" s="5"/>
      <c r="L786" s="5"/>
      <c r="M786" s="5"/>
      <c r="N786" s="5"/>
      <c r="O786" s="5"/>
      <c r="P786" s="5"/>
      <c r="Q786" s="5"/>
      <c r="R786" s="9"/>
      <c r="S786" s="9"/>
      <c r="T786" s="10"/>
      <c r="U786" s="9"/>
      <c r="V786" s="9"/>
    </row>
    <row r="787" ht="12.5" spans="1:22">
      <c r="A787" s="4"/>
      <c r="B787" s="4"/>
      <c r="C787" s="4"/>
      <c r="D787" s="4"/>
      <c r="E787" s="5"/>
      <c r="F787" s="5"/>
      <c r="G787" s="5"/>
      <c r="H787" s="5"/>
      <c r="I787" s="5"/>
      <c r="J787" s="5"/>
      <c r="K787" s="5"/>
      <c r="L787" s="5"/>
      <c r="M787" s="5"/>
      <c r="N787" s="5"/>
      <c r="O787" s="5"/>
      <c r="P787" s="5"/>
      <c r="Q787" s="5"/>
      <c r="R787" s="9"/>
      <c r="S787" s="9"/>
      <c r="T787" s="10"/>
      <c r="U787" s="9"/>
      <c r="V787" s="9"/>
    </row>
    <row r="788" ht="12.5" spans="1:22">
      <c r="A788" s="4"/>
      <c r="B788" s="4"/>
      <c r="C788" s="4"/>
      <c r="D788" s="4"/>
      <c r="E788" s="5"/>
      <c r="F788" s="5"/>
      <c r="G788" s="5"/>
      <c r="H788" s="5"/>
      <c r="I788" s="5"/>
      <c r="J788" s="5"/>
      <c r="K788" s="5"/>
      <c r="L788" s="5"/>
      <c r="M788" s="5"/>
      <c r="N788" s="5"/>
      <c r="O788" s="5"/>
      <c r="P788" s="5"/>
      <c r="Q788" s="5"/>
      <c r="R788" s="9"/>
      <c r="S788" s="9"/>
      <c r="T788" s="10"/>
      <c r="U788" s="9"/>
      <c r="V788" s="9"/>
    </row>
    <row r="789" ht="12.5" spans="1:22">
      <c r="A789" s="4"/>
      <c r="B789" s="4"/>
      <c r="C789" s="4"/>
      <c r="D789" s="4"/>
      <c r="E789" s="5"/>
      <c r="F789" s="5"/>
      <c r="G789" s="5"/>
      <c r="H789" s="5"/>
      <c r="I789" s="5"/>
      <c r="J789" s="5"/>
      <c r="K789" s="5"/>
      <c r="L789" s="5"/>
      <c r="M789" s="5"/>
      <c r="N789" s="5"/>
      <c r="O789" s="5"/>
      <c r="P789" s="5"/>
      <c r="Q789" s="5"/>
      <c r="R789" s="9"/>
      <c r="S789" s="9"/>
      <c r="T789" s="10"/>
      <c r="U789" s="9"/>
      <c r="V789" s="9"/>
    </row>
    <row r="790" ht="12.5" spans="1:22">
      <c r="A790" s="4"/>
      <c r="B790" s="4"/>
      <c r="C790" s="4"/>
      <c r="D790" s="4"/>
      <c r="E790" s="5"/>
      <c r="F790" s="5"/>
      <c r="G790" s="5"/>
      <c r="H790" s="5"/>
      <c r="I790" s="5"/>
      <c r="J790" s="5"/>
      <c r="K790" s="5"/>
      <c r="L790" s="5"/>
      <c r="M790" s="5"/>
      <c r="N790" s="5"/>
      <c r="O790" s="5"/>
      <c r="P790" s="5"/>
      <c r="Q790" s="5"/>
      <c r="R790" s="9"/>
      <c r="S790" s="9"/>
      <c r="T790" s="10"/>
      <c r="U790" s="9"/>
      <c r="V790" s="9"/>
    </row>
    <row r="791" ht="12.5" spans="1:22">
      <c r="A791" s="4"/>
      <c r="B791" s="4"/>
      <c r="C791" s="4"/>
      <c r="D791" s="4"/>
      <c r="E791" s="5"/>
      <c r="F791" s="5"/>
      <c r="G791" s="5"/>
      <c r="H791" s="5"/>
      <c r="I791" s="5"/>
      <c r="J791" s="5"/>
      <c r="K791" s="5"/>
      <c r="L791" s="5"/>
      <c r="M791" s="5"/>
      <c r="N791" s="5"/>
      <c r="O791" s="5"/>
      <c r="P791" s="5"/>
      <c r="Q791" s="5"/>
      <c r="R791" s="9"/>
      <c r="S791" s="9"/>
      <c r="T791" s="10"/>
      <c r="U791" s="9"/>
      <c r="V791" s="9"/>
    </row>
    <row r="792" ht="12.5" spans="1:22">
      <c r="A792" s="4"/>
      <c r="B792" s="4"/>
      <c r="C792" s="4"/>
      <c r="D792" s="4"/>
      <c r="E792" s="5"/>
      <c r="F792" s="5"/>
      <c r="G792" s="5"/>
      <c r="H792" s="5"/>
      <c r="I792" s="5"/>
      <c r="J792" s="5"/>
      <c r="K792" s="5"/>
      <c r="L792" s="5"/>
      <c r="M792" s="5"/>
      <c r="N792" s="5"/>
      <c r="O792" s="5"/>
      <c r="P792" s="5"/>
      <c r="Q792" s="5"/>
      <c r="R792" s="9"/>
      <c r="S792" s="9"/>
      <c r="T792" s="10"/>
      <c r="U792" s="9"/>
      <c r="V792" s="9"/>
    </row>
    <row r="793" ht="12.5" spans="1:22">
      <c r="A793" s="4"/>
      <c r="B793" s="4"/>
      <c r="C793" s="4"/>
      <c r="D793" s="4"/>
      <c r="E793" s="5"/>
      <c r="F793" s="5"/>
      <c r="G793" s="5"/>
      <c r="H793" s="5"/>
      <c r="I793" s="5"/>
      <c r="J793" s="5"/>
      <c r="K793" s="5"/>
      <c r="L793" s="5"/>
      <c r="M793" s="5"/>
      <c r="N793" s="5"/>
      <c r="O793" s="5"/>
      <c r="P793" s="5"/>
      <c r="Q793" s="5"/>
      <c r="R793" s="9"/>
      <c r="S793" s="9"/>
      <c r="T793" s="10"/>
      <c r="U793" s="9"/>
      <c r="V793" s="9"/>
    </row>
    <row r="794" ht="12.5" spans="1:22">
      <c r="A794" s="4"/>
      <c r="B794" s="4"/>
      <c r="C794" s="4"/>
      <c r="D794" s="4"/>
      <c r="E794" s="5"/>
      <c r="F794" s="5"/>
      <c r="G794" s="5"/>
      <c r="H794" s="5"/>
      <c r="I794" s="5"/>
      <c r="J794" s="5"/>
      <c r="K794" s="5"/>
      <c r="L794" s="5"/>
      <c r="M794" s="5"/>
      <c r="N794" s="5"/>
      <c r="O794" s="5"/>
      <c r="P794" s="5"/>
      <c r="Q794" s="5"/>
      <c r="R794" s="9"/>
      <c r="S794" s="9"/>
      <c r="T794" s="10"/>
      <c r="U794" s="9"/>
      <c r="V794" s="9"/>
    </row>
    <row r="795" ht="12.5" spans="1:22">
      <c r="A795" s="4"/>
      <c r="B795" s="4"/>
      <c r="C795" s="4"/>
      <c r="D795" s="4"/>
      <c r="E795" s="5"/>
      <c r="F795" s="5"/>
      <c r="G795" s="5"/>
      <c r="H795" s="5"/>
      <c r="I795" s="5"/>
      <c r="J795" s="5"/>
      <c r="K795" s="5"/>
      <c r="L795" s="5"/>
      <c r="M795" s="5"/>
      <c r="N795" s="5"/>
      <c r="O795" s="5"/>
      <c r="P795" s="5"/>
      <c r="Q795" s="5"/>
      <c r="R795" s="9"/>
      <c r="S795" s="9"/>
      <c r="T795" s="10"/>
      <c r="U795" s="9"/>
      <c r="V795" s="9"/>
    </row>
    <row r="796" ht="12.5" spans="1:22">
      <c r="A796" s="4"/>
      <c r="B796" s="4"/>
      <c r="C796" s="4"/>
      <c r="D796" s="4"/>
      <c r="E796" s="5"/>
      <c r="F796" s="5"/>
      <c r="G796" s="5"/>
      <c r="H796" s="5"/>
      <c r="I796" s="5"/>
      <c r="J796" s="5"/>
      <c r="K796" s="5"/>
      <c r="L796" s="5"/>
      <c r="M796" s="5"/>
      <c r="N796" s="5"/>
      <c r="O796" s="5"/>
      <c r="P796" s="5"/>
      <c r="Q796" s="5"/>
      <c r="R796" s="9"/>
      <c r="S796" s="9"/>
      <c r="T796" s="10"/>
      <c r="U796" s="9"/>
      <c r="V796" s="9"/>
    </row>
    <row r="797" ht="12.5" spans="1:22">
      <c r="A797" s="4"/>
      <c r="B797" s="4"/>
      <c r="C797" s="4"/>
      <c r="D797" s="4"/>
      <c r="E797" s="5"/>
      <c r="F797" s="5"/>
      <c r="G797" s="5"/>
      <c r="H797" s="5"/>
      <c r="I797" s="5"/>
      <c r="J797" s="5"/>
      <c r="K797" s="5"/>
      <c r="L797" s="5"/>
      <c r="M797" s="5"/>
      <c r="N797" s="5"/>
      <c r="O797" s="5"/>
      <c r="P797" s="5"/>
      <c r="Q797" s="5"/>
      <c r="R797" s="9"/>
      <c r="S797" s="9"/>
      <c r="T797" s="10"/>
      <c r="U797" s="9"/>
      <c r="V797" s="9"/>
    </row>
    <row r="798" ht="12.5" spans="1:22">
      <c r="A798" s="4"/>
      <c r="B798" s="4"/>
      <c r="C798" s="4"/>
      <c r="D798" s="4"/>
      <c r="E798" s="5"/>
      <c r="F798" s="5"/>
      <c r="G798" s="5"/>
      <c r="H798" s="5"/>
      <c r="I798" s="5"/>
      <c r="J798" s="5"/>
      <c r="K798" s="5"/>
      <c r="L798" s="5"/>
      <c r="M798" s="5"/>
      <c r="N798" s="5"/>
      <c r="O798" s="5"/>
      <c r="P798" s="5"/>
      <c r="Q798" s="5"/>
      <c r="R798" s="9"/>
      <c r="S798" s="9"/>
      <c r="T798" s="10"/>
      <c r="U798" s="9"/>
      <c r="V798" s="9"/>
    </row>
    <row r="799" ht="12.5" spans="1:22">
      <c r="A799" s="4"/>
      <c r="B799" s="4"/>
      <c r="C799" s="4"/>
      <c r="D799" s="4"/>
      <c r="E799" s="5"/>
      <c r="F799" s="5"/>
      <c r="G799" s="5"/>
      <c r="H799" s="5"/>
      <c r="I799" s="5"/>
      <c r="J799" s="5"/>
      <c r="K799" s="5"/>
      <c r="L799" s="5"/>
      <c r="M799" s="5"/>
      <c r="N799" s="5"/>
      <c r="O799" s="5"/>
      <c r="P799" s="5"/>
      <c r="Q799" s="5"/>
      <c r="R799" s="9"/>
      <c r="S799" s="9"/>
      <c r="T799" s="10"/>
      <c r="U799" s="9"/>
      <c r="V799" s="9"/>
    </row>
    <row r="800" ht="12.5" spans="1:22">
      <c r="A800" s="4"/>
      <c r="B800" s="4"/>
      <c r="C800" s="4"/>
      <c r="D800" s="4"/>
      <c r="E800" s="5"/>
      <c r="F800" s="5"/>
      <c r="G800" s="5"/>
      <c r="H800" s="5"/>
      <c r="I800" s="5"/>
      <c r="J800" s="5"/>
      <c r="K800" s="5"/>
      <c r="L800" s="5"/>
      <c r="M800" s="5"/>
      <c r="N800" s="5"/>
      <c r="O800" s="5"/>
      <c r="P800" s="5"/>
      <c r="Q800" s="5"/>
      <c r="R800" s="9"/>
      <c r="S800" s="9"/>
      <c r="T800" s="10"/>
      <c r="U800" s="9"/>
      <c r="V800" s="9"/>
    </row>
    <row r="801" ht="12.5" spans="1:22">
      <c r="A801" s="4"/>
      <c r="B801" s="4"/>
      <c r="C801" s="4"/>
      <c r="D801" s="4"/>
      <c r="E801" s="5"/>
      <c r="F801" s="5"/>
      <c r="G801" s="5"/>
      <c r="H801" s="5"/>
      <c r="I801" s="5"/>
      <c r="J801" s="5"/>
      <c r="K801" s="5"/>
      <c r="L801" s="5"/>
      <c r="M801" s="5"/>
      <c r="N801" s="5"/>
      <c r="O801" s="5"/>
      <c r="P801" s="5"/>
      <c r="Q801" s="5"/>
      <c r="R801" s="9"/>
      <c r="S801" s="9"/>
      <c r="T801" s="10"/>
      <c r="U801" s="9"/>
      <c r="V801" s="9"/>
    </row>
    <row r="802" ht="12.5" spans="1:22">
      <c r="A802" s="4"/>
      <c r="B802" s="4"/>
      <c r="C802" s="4"/>
      <c r="D802" s="4"/>
      <c r="E802" s="5"/>
      <c r="F802" s="5"/>
      <c r="G802" s="5"/>
      <c r="H802" s="5"/>
      <c r="I802" s="5"/>
      <c r="J802" s="5"/>
      <c r="K802" s="5"/>
      <c r="L802" s="5"/>
      <c r="M802" s="5"/>
      <c r="N802" s="5"/>
      <c r="O802" s="5"/>
      <c r="P802" s="5"/>
      <c r="Q802" s="5"/>
      <c r="R802" s="9"/>
      <c r="S802" s="9"/>
      <c r="T802" s="10"/>
      <c r="U802" s="9"/>
      <c r="V802" s="9"/>
    </row>
    <row r="803" ht="12.5" spans="1:22">
      <c r="A803" s="4"/>
      <c r="B803" s="4"/>
      <c r="C803" s="4"/>
      <c r="D803" s="4"/>
      <c r="E803" s="5"/>
      <c r="F803" s="5"/>
      <c r="G803" s="5"/>
      <c r="H803" s="5"/>
      <c r="I803" s="5"/>
      <c r="J803" s="5"/>
      <c r="K803" s="5"/>
      <c r="L803" s="5"/>
      <c r="M803" s="5"/>
      <c r="N803" s="5"/>
      <c r="O803" s="5"/>
      <c r="P803" s="5"/>
      <c r="Q803" s="5"/>
      <c r="R803" s="9"/>
      <c r="S803" s="9"/>
      <c r="T803" s="10"/>
      <c r="U803" s="9"/>
      <c r="V803" s="9"/>
    </row>
    <row r="804" ht="12.5" spans="1:22">
      <c r="A804" s="4"/>
      <c r="B804" s="4"/>
      <c r="C804" s="4"/>
      <c r="D804" s="4"/>
      <c r="E804" s="5"/>
      <c r="F804" s="5"/>
      <c r="G804" s="5"/>
      <c r="H804" s="5"/>
      <c r="I804" s="5"/>
      <c r="J804" s="5"/>
      <c r="K804" s="5"/>
      <c r="L804" s="5"/>
      <c r="M804" s="5"/>
      <c r="N804" s="5"/>
      <c r="O804" s="5"/>
      <c r="P804" s="5"/>
      <c r="Q804" s="5"/>
      <c r="R804" s="9"/>
      <c r="S804" s="9"/>
      <c r="T804" s="10"/>
      <c r="U804" s="9"/>
      <c r="V804" s="9"/>
    </row>
    <row r="805" ht="12.5" spans="1:22">
      <c r="A805" s="4"/>
      <c r="B805" s="4"/>
      <c r="C805" s="4"/>
      <c r="D805" s="4"/>
      <c r="E805" s="5"/>
      <c r="F805" s="5"/>
      <c r="G805" s="5"/>
      <c r="H805" s="5"/>
      <c r="I805" s="5"/>
      <c r="J805" s="5"/>
      <c r="K805" s="5"/>
      <c r="L805" s="5"/>
      <c r="M805" s="5"/>
      <c r="N805" s="5"/>
      <c r="O805" s="5"/>
      <c r="P805" s="5"/>
      <c r="Q805" s="5"/>
      <c r="R805" s="9"/>
      <c r="S805" s="9"/>
      <c r="T805" s="10"/>
      <c r="U805" s="9"/>
      <c r="V805" s="9"/>
    </row>
    <row r="806" ht="12.5" spans="1:22">
      <c r="A806" s="4"/>
      <c r="B806" s="4"/>
      <c r="C806" s="4"/>
      <c r="D806" s="4"/>
      <c r="E806" s="5"/>
      <c r="F806" s="5"/>
      <c r="G806" s="5"/>
      <c r="H806" s="5"/>
      <c r="I806" s="5"/>
      <c r="J806" s="5"/>
      <c r="K806" s="5"/>
      <c r="L806" s="5"/>
      <c r="M806" s="5"/>
      <c r="N806" s="5"/>
      <c r="O806" s="5"/>
      <c r="P806" s="5"/>
      <c r="Q806" s="5"/>
      <c r="R806" s="9"/>
      <c r="S806" s="9"/>
      <c r="T806" s="10"/>
      <c r="U806" s="9"/>
      <c r="V806" s="9"/>
    </row>
    <row r="807" ht="12.5" spans="1:22">
      <c r="A807" s="4"/>
      <c r="B807" s="4"/>
      <c r="C807" s="4"/>
      <c r="D807" s="4"/>
      <c r="E807" s="5"/>
      <c r="F807" s="5"/>
      <c r="G807" s="5"/>
      <c r="H807" s="5"/>
      <c r="I807" s="5"/>
      <c r="J807" s="5"/>
      <c r="K807" s="5"/>
      <c r="L807" s="5"/>
      <c r="M807" s="5"/>
      <c r="N807" s="5"/>
      <c r="O807" s="5"/>
      <c r="P807" s="5"/>
      <c r="Q807" s="5"/>
      <c r="R807" s="9"/>
      <c r="S807" s="9"/>
      <c r="T807" s="10"/>
      <c r="U807" s="9"/>
      <c r="V807" s="9"/>
    </row>
    <row r="808" ht="12.5" spans="1:22">
      <c r="A808" s="4"/>
      <c r="B808" s="4"/>
      <c r="C808" s="4"/>
      <c r="D808" s="4"/>
      <c r="E808" s="5"/>
      <c r="F808" s="5"/>
      <c r="G808" s="5"/>
      <c r="H808" s="5"/>
      <c r="I808" s="5"/>
      <c r="J808" s="5"/>
      <c r="K808" s="5"/>
      <c r="L808" s="5"/>
      <c r="M808" s="5"/>
      <c r="N808" s="5"/>
      <c r="O808" s="5"/>
      <c r="P808" s="5"/>
      <c r="Q808" s="5"/>
      <c r="R808" s="9"/>
      <c r="S808" s="9"/>
      <c r="T808" s="10"/>
      <c r="U808" s="9"/>
      <c r="V808" s="9"/>
    </row>
    <row r="809" ht="12.5" spans="1:22">
      <c r="A809" s="4"/>
      <c r="B809" s="4"/>
      <c r="C809" s="4"/>
      <c r="D809" s="4"/>
      <c r="E809" s="5"/>
      <c r="F809" s="5"/>
      <c r="G809" s="5"/>
      <c r="H809" s="5"/>
      <c r="I809" s="5"/>
      <c r="J809" s="5"/>
      <c r="K809" s="5"/>
      <c r="L809" s="5"/>
      <c r="M809" s="5"/>
      <c r="N809" s="5"/>
      <c r="O809" s="5"/>
      <c r="P809" s="5"/>
      <c r="Q809" s="5"/>
      <c r="R809" s="9"/>
      <c r="S809" s="9"/>
      <c r="T809" s="10"/>
      <c r="U809" s="9"/>
      <c r="V809" s="9"/>
    </row>
    <row r="810" ht="12.5" spans="1:22">
      <c r="A810" s="4"/>
      <c r="B810" s="4"/>
      <c r="C810" s="4"/>
      <c r="D810" s="4"/>
      <c r="E810" s="5"/>
      <c r="F810" s="5"/>
      <c r="G810" s="5"/>
      <c r="H810" s="5"/>
      <c r="I810" s="5"/>
      <c r="J810" s="5"/>
      <c r="K810" s="5"/>
      <c r="L810" s="5"/>
      <c r="M810" s="5"/>
      <c r="N810" s="5"/>
      <c r="O810" s="5"/>
      <c r="P810" s="5"/>
      <c r="Q810" s="5"/>
      <c r="R810" s="9"/>
      <c r="S810" s="9"/>
      <c r="T810" s="10"/>
      <c r="U810" s="9"/>
      <c r="V810" s="9"/>
    </row>
    <row r="811" ht="12.5" spans="1:22">
      <c r="A811" s="4"/>
      <c r="B811" s="4"/>
      <c r="C811" s="4"/>
      <c r="D811" s="4"/>
      <c r="E811" s="5"/>
      <c r="F811" s="5"/>
      <c r="G811" s="5"/>
      <c r="H811" s="5"/>
      <c r="I811" s="5"/>
      <c r="J811" s="5"/>
      <c r="K811" s="5"/>
      <c r="L811" s="5"/>
      <c r="M811" s="5"/>
      <c r="N811" s="5"/>
      <c r="O811" s="5"/>
      <c r="P811" s="5"/>
      <c r="Q811" s="5"/>
      <c r="R811" s="9"/>
      <c r="S811" s="9"/>
      <c r="T811" s="10"/>
      <c r="U811" s="9"/>
      <c r="V811" s="9"/>
    </row>
    <row r="812" ht="12.5" spans="1:22">
      <c r="A812" s="4"/>
      <c r="B812" s="4"/>
      <c r="C812" s="4"/>
      <c r="D812" s="4"/>
      <c r="E812" s="5"/>
      <c r="F812" s="5"/>
      <c r="G812" s="5"/>
      <c r="H812" s="5"/>
      <c r="I812" s="5"/>
      <c r="J812" s="5"/>
      <c r="K812" s="5"/>
      <c r="L812" s="5"/>
      <c r="M812" s="5"/>
      <c r="N812" s="5"/>
      <c r="O812" s="5"/>
      <c r="P812" s="5"/>
      <c r="Q812" s="5"/>
      <c r="R812" s="9"/>
      <c r="S812" s="9"/>
      <c r="T812" s="10"/>
      <c r="U812" s="9"/>
      <c r="V812" s="9"/>
    </row>
    <row r="813" ht="12.5" spans="1:22">
      <c r="A813" s="4"/>
      <c r="B813" s="4"/>
      <c r="C813" s="4"/>
      <c r="D813" s="4"/>
      <c r="E813" s="5"/>
      <c r="F813" s="5"/>
      <c r="G813" s="5"/>
      <c r="H813" s="5"/>
      <c r="I813" s="5"/>
      <c r="J813" s="5"/>
      <c r="K813" s="5"/>
      <c r="L813" s="5"/>
      <c r="M813" s="5"/>
      <c r="N813" s="5"/>
      <c r="O813" s="5"/>
      <c r="P813" s="5"/>
      <c r="Q813" s="5"/>
      <c r="R813" s="9"/>
      <c r="S813" s="9"/>
      <c r="T813" s="10"/>
      <c r="U813" s="9"/>
      <c r="V813" s="9"/>
    </row>
    <row r="814" ht="12.5" spans="1:22">
      <c r="A814" s="4"/>
      <c r="B814" s="4"/>
      <c r="C814" s="4"/>
      <c r="D814" s="4"/>
      <c r="E814" s="5"/>
      <c r="F814" s="5"/>
      <c r="G814" s="5"/>
      <c r="H814" s="5"/>
      <c r="I814" s="5"/>
      <c r="J814" s="5"/>
      <c r="K814" s="5"/>
      <c r="L814" s="5"/>
      <c r="M814" s="5"/>
      <c r="N814" s="5"/>
      <c r="O814" s="5"/>
      <c r="P814" s="5"/>
      <c r="Q814" s="5"/>
      <c r="R814" s="9"/>
      <c r="S814" s="9"/>
      <c r="T814" s="10"/>
      <c r="U814" s="9"/>
      <c r="V814" s="9"/>
    </row>
    <row r="815" ht="12.5" spans="1:22">
      <c r="A815" s="4"/>
      <c r="B815" s="4"/>
      <c r="C815" s="4"/>
      <c r="D815" s="4"/>
      <c r="E815" s="5"/>
      <c r="F815" s="5"/>
      <c r="G815" s="5"/>
      <c r="H815" s="5"/>
      <c r="I815" s="5"/>
      <c r="J815" s="5"/>
      <c r="K815" s="5"/>
      <c r="L815" s="5"/>
      <c r="M815" s="5"/>
      <c r="N815" s="5"/>
      <c r="O815" s="5"/>
      <c r="P815" s="5"/>
      <c r="Q815" s="5"/>
      <c r="R815" s="9"/>
      <c r="S815" s="9"/>
      <c r="T815" s="10"/>
      <c r="U815" s="9"/>
      <c r="V815" s="9"/>
    </row>
    <row r="816" ht="12.5" spans="1:22">
      <c r="A816" s="4"/>
      <c r="B816" s="4"/>
      <c r="C816" s="4"/>
      <c r="D816" s="4"/>
      <c r="E816" s="5"/>
      <c r="F816" s="5"/>
      <c r="G816" s="5"/>
      <c r="H816" s="5"/>
      <c r="I816" s="5"/>
      <c r="J816" s="5"/>
      <c r="K816" s="5"/>
      <c r="L816" s="5"/>
      <c r="M816" s="5"/>
      <c r="N816" s="5"/>
      <c r="O816" s="5"/>
      <c r="P816" s="5"/>
      <c r="Q816" s="5"/>
      <c r="R816" s="9"/>
      <c r="S816" s="9"/>
      <c r="T816" s="10"/>
      <c r="U816" s="9"/>
      <c r="V816" s="9"/>
    </row>
    <row r="817" ht="12.5" spans="1:22">
      <c r="A817" s="4"/>
      <c r="B817" s="4"/>
      <c r="C817" s="4"/>
      <c r="D817" s="4"/>
      <c r="E817" s="5"/>
      <c r="F817" s="5"/>
      <c r="G817" s="5"/>
      <c r="H817" s="5"/>
      <c r="I817" s="5"/>
      <c r="J817" s="5"/>
      <c r="K817" s="5"/>
      <c r="L817" s="5"/>
      <c r="M817" s="5"/>
      <c r="N817" s="5"/>
      <c r="O817" s="5"/>
      <c r="P817" s="5"/>
      <c r="Q817" s="5"/>
      <c r="R817" s="9"/>
      <c r="S817" s="9"/>
      <c r="T817" s="10"/>
      <c r="U817" s="9"/>
      <c r="V817" s="9"/>
    </row>
    <row r="818" ht="12.5" spans="1:22">
      <c r="A818" s="4"/>
      <c r="B818" s="4"/>
      <c r="C818" s="4"/>
      <c r="D818" s="4"/>
      <c r="E818" s="5"/>
      <c r="F818" s="5"/>
      <c r="G818" s="5"/>
      <c r="H818" s="5"/>
      <c r="I818" s="5"/>
      <c r="J818" s="5"/>
      <c r="K818" s="5"/>
      <c r="L818" s="5"/>
      <c r="M818" s="5"/>
      <c r="N818" s="5"/>
      <c r="O818" s="5"/>
      <c r="P818" s="5"/>
      <c r="Q818" s="5"/>
      <c r="R818" s="9"/>
      <c r="S818" s="9"/>
      <c r="T818" s="10"/>
      <c r="U818" s="9"/>
      <c r="V818" s="9"/>
    </row>
    <row r="819" ht="12.5" spans="1:22">
      <c r="A819" s="4"/>
      <c r="B819" s="4"/>
      <c r="C819" s="4"/>
      <c r="D819" s="4"/>
      <c r="E819" s="5"/>
      <c r="F819" s="5"/>
      <c r="G819" s="5"/>
      <c r="H819" s="5"/>
      <c r="I819" s="5"/>
      <c r="J819" s="5"/>
      <c r="K819" s="5"/>
      <c r="L819" s="5"/>
      <c r="M819" s="5"/>
      <c r="N819" s="5"/>
      <c r="O819" s="5"/>
      <c r="P819" s="5"/>
      <c r="Q819" s="5"/>
      <c r="R819" s="9"/>
      <c r="S819" s="9"/>
      <c r="T819" s="10"/>
      <c r="U819" s="9"/>
      <c r="V819" s="9"/>
    </row>
    <row r="820" ht="12.5" spans="1:22">
      <c r="A820" s="4"/>
      <c r="B820" s="4"/>
      <c r="C820" s="4"/>
      <c r="D820" s="4"/>
      <c r="E820" s="5"/>
      <c r="F820" s="5"/>
      <c r="G820" s="5"/>
      <c r="H820" s="5"/>
      <c r="I820" s="5"/>
      <c r="J820" s="5"/>
      <c r="K820" s="5"/>
      <c r="L820" s="5"/>
      <c r="M820" s="5"/>
      <c r="N820" s="5"/>
      <c r="O820" s="5"/>
      <c r="P820" s="5"/>
      <c r="Q820" s="5"/>
      <c r="R820" s="9"/>
      <c r="S820" s="9"/>
      <c r="T820" s="10"/>
      <c r="U820" s="9"/>
      <c r="V820" s="9"/>
    </row>
    <row r="821" ht="12.5" spans="1:22">
      <c r="A821" s="4"/>
      <c r="B821" s="4"/>
      <c r="C821" s="4"/>
      <c r="D821" s="4"/>
      <c r="E821" s="5"/>
      <c r="F821" s="5"/>
      <c r="G821" s="5"/>
      <c r="H821" s="5"/>
      <c r="I821" s="5"/>
      <c r="J821" s="5"/>
      <c r="K821" s="5"/>
      <c r="L821" s="5"/>
      <c r="M821" s="5"/>
      <c r="N821" s="5"/>
      <c r="O821" s="5"/>
      <c r="P821" s="5"/>
      <c r="Q821" s="5"/>
      <c r="R821" s="9"/>
      <c r="S821" s="9"/>
      <c r="T821" s="10"/>
      <c r="U821" s="9"/>
      <c r="V821" s="9"/>
    </row>
    <row r="822" ht="12.5" spans="1:22">
      <c r="A822" s="4"/>
      <c r="B822" s="4"/>
      <c r="C822" s="4"/>
      <c r="D822" s="4"/>
      <c r="E822" s="5"/>
      <c r="F822" s="5"/>
      <c r="G822" s="5"/>
      <c r="H822" s="5"/>
      <c r="I822" s="5"/>
      <c r="J822" s="5"/>
      <c r="K822" s="5"/>
      <c r="L822" s="5"/>
      <c r="M822" s="5"/>
      <c r="N822" s="5"/>
      <c r="O822" s="5"/>
      <c r="P822" s="5"/>
      <c r="Q822" s="5"/>
      <c r="R822" s="9"/>
      <c r="S822" s="9"/>
      <c r="T822" s="10"/>
      <c r="U822" s="9"/>
      <c r="V822" s="9"/>
    </row>
    <row r="823" ht="12.5" spans="1:22">
      <c r="A823" s="4"/>
      <c r="B823" s="4"/>
      <c r="C823" s="4"/>
      <c r="D823" s="4"/>
      <c r="E823" s="5"/>
      <c r="F823" s="5"/>
      <c r="G823" s="5"/>
      <c r="H823" s="5"/>
      <c r="I823" s="5"/>
      <c r="J823" s="5"/>
      <c r="K823" s="5"/>
      <c r="L823" s="5"/>
      <c r="M823" s="5"/>
      <c r="N823" s="5"/>
      <c r="O823" s="5"/>
      <c r="P823" s="5"/>
      <c r="Q823" s="5"/>
      <c r="R823" s="9"/>
      <c r="S823" s="9"/>
      <c r="T823" s="10"/>
      <c r="U823" s="9"/>
      <c r="V823" s="9"/>
    </row>
    <row r="824" ht="12.5" spans="1:22">
      <c r="A824" s="4"/>
      <c r="B824" s="4"/>
      <c r="C824" s="4"/>
      <c r="D824" s="4"/>
      <c r="E824" s="5"/>
      <c r="F824" s="5"/>
      <c r="G824" s="5"/>
      <c r="H824" s="5"/>
      <c r="I824" s="5"/>
      <c r="J824" s="5"/>
      <c r="K824" s="5"/>
      <c r="L824" s="5"/>
      <c r="M824" s="5"/>
      <c r="N824" s="5"/>
      <c r="O824" s="5"/>
      <c r="P824" s="5"/>
      <c r="Q824" s="5"/>
      <c r="R824" s="9"/>
      <c r="S824" s="9"/>
      <c r="T824" s="10"/>
      <c r="U824" s="9"/>
      <c r="V824" s="9"/>
    </row>
    <row r="825" ht="12.5" spans="1:22">
      <c r="A825" s="4"/>
      <c r="B825" s="4"/>
      <c r="C825" s="4"/>
      <c r="D825" s="4"/>
      <c r="E825" s="5"/>
      <c r="F825" s="5"/>
      <c r="G825" s="5"/>
      <c r="H825" s="5"/>
      <c r="I825" s="5"/>
      <c r="J825" s="5"/>
      <c r="K825" s="5"/>
      <c r="L825" s="5"/>
      <c r="M825" s="5"/>
      <c r="N825" s="5"/>
      <c r="O825" s="5"/>
      <c r="P825" s="5"/>
      <c r="Q825" s="5"/>
      <c r="R825" s="9"/>
      <c r="S825" s="9"/>
      <c r="T825" s="10"/>
      <c r="U825" s="9"/>
      <c r="V825" s="9"/>
    </row>
    <row r="826" ht="12.5" spans="1:22">
      <c r="A826" s="4"/>
      <c r="B826" s="4"/>
      <c r="C826" s="4"/>
      <c r="D826" s="4"/>
      <c r="E826" s="5"/>
      <c r="F826" s="5"/>
      <c r="G826" s="5"/>
      <c r="H826" s="5"/>
      <c r="I826" s="5"/>
      <c r="J826" s="5"/>
      <c r="K826" s="5"/>
      <c r="L826" s="5"/>
      <c r="M826" s="5"/>
      <c r="N826" s="5"/>
      <c r="O826" s="5"/>
      <c r="P826" s="5"/>
      <c r="Q826" s="5"/>
      <c r="R826" s="9"/>
      <c r="S826" s="9"/>
      <c r="T826" s="10"/>
      <c r="U826" s="9"/>
      <c r="V826" s="9"/>
    </row>
    <row r="827" ht="12.5" spans="1:22">
      <c r="A827" s="4"/>
      <c r="B827" s="4"/>
      <c r="C827" s="4"/>
      <c r="D827" s="4"/>
      <c r="E827" s="5"/>
      <c r="F827" s="5"/>
      <c r="G827" s="5"/>
      <c r="H827" s="5"/>
      <c r="I827" s="5"/>
      <c r="J827" s="5"/>
      <c r="K827" s="5"/>
      <c r="L827" s="5"/>
      <c r="M827" s="5"/>
      <c r="N827" s="5"/>
      <c r="O827" s="5"/>
      <c r="P827" s="5"/>
      <c r="Q827" s="5"/>
      <c r="R827" s="9"/>
      <c r="S827" s="9"/>
      <c r="T827" s="10"/>
      <c r="U827" s="9"/>
      <c r="V827" s="9"/>
    </row>
    <row r="828" ht="12.5" spans="1:22">
      <c r="A828" s="4"/>
      <c r="B828" s="4"/>
      <c r="C828" s="4"/>
      <c r="D828" s="4"/>
      <c r="E828" s="5"/>
      <c r="F828" s="5"/>
      <c r="G828" s="5"/>
      <c r="H828" s="5"/>
      <c r="I828" s="5"/>
      <c r="J828" s="5"/>
      <c r="K828" s="5"/>
      <c r="L828" s="5"/>
      <c r="M828" s="5"/>
      <c r="N828" s="5"/>
      <c r="O828" s="5"/>
      <c r="P828" s="5"/>
      <c r="Q828" s="5"/>
      <c r="R828" s="9"/>
      <c r="S828" s="9"/>
      <c r="T828" s="10"/>
      <c r="U828" s="9"/>
      <c r="V828" s="9"/>
    </row>
    <row r="829" ht="12.5" spans="1:22">
      <c r="A829" s="4"/>
      <c r="B829" s="4"/>
      <c r="C829" s="4"/>
      <c r="D829" s="4"/>
      <c r="E829" s="5"/>
      <c r="F829" s="5"/>
      <c r="G829" s="5"/>
      <c r="H829" s="5"/>
      <c r="I829" s="5"/>
      <c r="J829" s="5"/>
      <c r="K829" s="5"/>
      <c r="L829" s="5"/>
      <c r="M829" s="5"/>
      <c r="N829" s="5"/>
      <c r="O829" s="5"/>
      <c r="P829" s="5"/>
      <c r="Q829" s="5"/>
      <c r="R829" s="9"/>
      <c r="S829" s="9"/>
      <c r="T829" s="10"/>
      <c r="U829" s="9"/>
      <c r="V829" s="9"/>
    </row>
    <row r="830" ht="12.5" spans="1:22">
      <c r="A830" s="4"/>
      <c r="B830" s="4"/>
      <c r="C830" s="4"/>
      <c r="D830" s="4"/>
      <c r="E830" s="5"/>
      <c r="F830" s="5"/>
      <c r="G830" s="5"/>
      <c r="H830" s="5"/>
      <c r="I830" s="5"/>
      <c r="J830" s="5"/>
      <c r="K830" s="5"/>
      <c r="L830" s="5"/>
      <c r="M830" s="5"/>
      <c r="N830" s="5"/>
      <c r="O830" s="5"/>
      <c r="P830" s="5"/>
      <c r="Q830" s="5"/>
      <c r="R830" s="9"/>
      <c r="S830" s="9"/>
      <c r="T830" s="10"/>
      <c r="U830" s="9"/>
      <c r="V830" s="9"/>
    </row>
    <row r="831" ht="12.5" spans="1:22">
      <c r="A831" s="4"/>
      <c r="B831" s="4"/>
      <c r="C831" s="4"/>
      <c r="D831" s="4"/>
      <c r="E831" s="5"/>
      <c r="F831" s="5"/>
      <c r="G831" s="5"/>
      <c r="H831" s="5"/>
      <c r="I831" s="5"/>
      <c r="J831" s="5"/>
      <c r="K831" s="5"/>
      <c r="L831" s="5"/>
      <c r="M831" s="5"/>
      <c r="N831" s="5"/>
      <c r="O831" s="5"/>
      <c r="P831" s="5"/>
      <c r="Q831" s="5"/>
      <c r="R831" s="9"/>
      <c r="S831" s="9"/>
      <c r="T831" s="10"/>
      <c r="U831" s="9"/>
      <c r="V831" s="9"/>
    </row>
    <row r="832" ht="12.5" spans="1:22">
      <c r="A832" s="4"/>
      <c r="B832" s="4"/>
      <c r="C832" s="4"/>
      <c r="D832" s="4"/>
      <c r="E832" s="5"/>
      <c r="F832" s="5"/>
      <c r="G832" s="5"/>
      <c r="H832" s="5"/>
      <c r="I832" s="5"/>
      <c r="J832" s="5"/>
      <c r="K832" s="5"/>
      <c r="L832" s="5"/>
      <c r="M832" s="5"/>
      <c r="N832" s="5"/>
      <c r="O832" s="5"/>
      <c r="P832" s="5"/>
      <c r="Q832" s="5"/>
      <c r="R832" s="9"/>
      <c r="S832" s="9"/>
      <c r="T832" s="10"/>
      <c r="U832" s="9"/>
      <c r="V832" s="9"/>
    </row>
    <row r="833" ht="12.5" spans="1:22">
      <c r="A833" s="4"/>
      <c r="B833" s="4"/>
      <c r="C833" s="4"/>
      <c r="D833" s="4"/>
      <c r="E833" s="5"/>
      <c r="F833" s="5"/>
      <c r="G833" s="5"/>
      <c r="H833" s="5"/>
      <c r="I833" s="5"/>
      <c r="J833" s="5"/>
      <c r="K833" s="5"/>
      <c r="L833" s="5"/>
      <c r="M833" s="5"/>
      <c r="N833" s="5"/>
      <c r="O833" s="5"/>
      <c r="P833" s="5"/>
      <c r="Q833" s="5"/>
      <c r="R833" s="9"/>
      <c r="S833" s="9"/>
      <c r="T833" s="10"/>
      <c r="U833" s="9"/>
      <c r="V833" s="9"/>
    </row>
    <row r="834" ht="12.5" spans="1:22">
      <c r="A834" s="4"/>
      <c r="B834" s="4"/>
      <c r="C834" s="4"/>
      <c r="D834" s="4"/>
      <c r="E834" s="5"/>
      <c r="F834" s="5"/>
      <c r="G834" s="5"/>
      <c r="H834" s="5"/>
      <c r="I834" s="5"/>
      <c r="J834" s="5"/>
      <c r="K834" s="5"/>
      <c r="L834" s="5"/>
      <c r="M834" s="5"/>
      <c r="N834" s="5"/>
      <c r="O834" s="5"/>
      <c r="P834" s="5"/>
      <c r="Q834" s="5"/>
      <c r="R834" s="9"/>
      <c r="S834" s="9"/>
      <c r="T834" s="10"/>
      <c r="U834" s="9"/>
      <c r="V834" s="9"/>
    </row>
    <row r="835" ht="12.5" spans="1:22">
      <c r="A835" s="4"/>
      <c r="B835" s="4"/>
      <c r="C835" s="4"/>
      <c r="D835" s="4"/>
      <c r="E835" s="5"/>
      <c r="F835" s="5"/>
      <c r="G835" s="5"/>
      <c r="H835" s="5"/>
      <c r="I835" s="5"/>
      <c r="J835" s="5"/>
      <c r="K835" s="5"/>
      <c r="L835" s="5"/>
      <c r="M835" s="5"/>
      <c r="N835" s="5"/>
      <c r="O835" s="5"/>
      <c r="P835" s="5"/>
      <c r="Q835" s="5"/>
      <c r="R835" s="9"/>
      <c r="S835" s="9"/>
      <c r="T835" s="10"/>
      <c r="U835" s="9"/>
      <c r="V835" s="9"/>
    </row>
    <row r="836" ht="12.5" spans="1:22">
      <c r="A836" s="4"/>
      <c r="B836" s="4"/>
      <c r="C836" s="4"/>
      <c r="D836" s="4"/>
      <c r="E836" s="5"/>
      <c r="F836" s="5"/>
      <c r="G836" s="5"/>
      <c r="H836" s="5"/>
      <c r="I836" s="5"/>
      <c r="J836" s="5"/>
      <c r="K836" s="5"/>
      <c r="L836" s="5"/>
      <c r="M836" s="5"/>
      <c r="N836" s="5"/>
      <c r="O836" s="5"/>
      <c r="P836" s="5"/>
      <c r="Q836" s="5"/>
      <c r="R836" s="9"/>
      <c r="S836" s="9"/>
      <c r="T836" s="10"/>
      <c r="U836" s="9"/>
      <c r="V836" s="9"/>
    </row>
    <row r="837" ht="12.5" spans="1:22">
      <c r="A837" s="4"/>
      <c r="B837" s="4"/>
      <c r="C837" s="4"/>
      <c r="D837" s="4"/>
      <c r="E837" s="5"/>
      <c r="F837" s="5"/>
      <c r="G837" s="5"/>
      <c r="H837" s="5"/>
      <c r="I837" s="5"/>
      <c r="J837" s="5"/>
      <c r="K837" s="5"/>
      <c r="L837" s="5"/>
      <c r="M837" s="5"/>
      <c r="N837" s="5"/>
      <c r="O837" s="5"/>
      <c r="P837" s="5"/>
      <c r="Q837" s="5"/>
      <c r="R837" s="9"/>
      <c r="S837" s="9"/>
      <c r="T837" s="10"/>
      <c r="U837" s="9"/>
      <c r="V837" s="9"/>
    </row>
    <row r="838" ht="12.5" spans="1:22">
      <c r="A838" s="4"/>
      <c r="B838" s="4"/>
      <c r="C838" s="4"/>
      <c r="D838" s="4"/>
      <c r="E838" s="5"/>
      <c r="F838" s="5"/>
      <c r="G838" s="5"/>
      <c r="H838" s="5"/>
      <c r="I838" s="5"/>
      <c r="J838" s="5"/>
      <c r="K838" s="5"/>
      <c r="L838" s="5"/>
      <c r="M838" s="5"/>
      <c r="N838" s="5"/>
      <c r="O838" s="5"/>
      <c r="P838" s="5"/>
      <c r="Q838" s="5"/>
      <c r="R838" s="9"/>
      <c r="S838" s="9"/>
      <c r="T838" s="10"/>
      <c r="U838" s="9"/>
      <c r="V838" s="9"/>
    </row>
    <row r="839" ht="12.5" spans="1:22">
      <c r="A839" s="4"/>
      <c r="B839" s="4"/>
      <c r="C839" s="4"/>
      <c r="D839" s="4"/>
      <c r="E839" s="5"/>
      <c r="F839" s="5"/>
      <c r="G839" s="5"/>
      <c r="H839" s="5"/>
      <c r="I839" s="5"/>
      <c r="J839" s="5"/>
      <c r="K839" s="5"/>
      <c r="L839" s="5"/>
      <c r="M839" s="5"/>
      <c r="N839" s="5"/>
      <c r="O839" s="5"/>
      <c r="P839" s="5"/>
      <c r="Q839" s="5"/>
      <c r="R839" s="9"/>
      <c r="S839" s="9"/>
      <c r="T839" s="10"/>
      <c r="U839" s="9"/>
      <c r="V839" s="9"/>
    </row>
    <row r="840" ht="12.5" spans="1:22">
      <c r="A840" s="4"/>
      <c r="B840" s="4"/>
      <c r="C840" s="4"/>
      <c r="D840" s="4"/>
      <c r="E840" s="5"/>
      <c r="F840" s="5"/>
      <c r="G840" s="5"/>
      <c r="H840" s="5"/>
      <c r="I840" s="5"/>
      <c r="J840" s="5"/>
      <c r="K840" s="5"/>
      <c r="L840" s="5"/>
      <c r="M840" s="5"/>
      <c r="N840" s="5"/>
      <c r="O840" s="5"/>
      <c r="P840" s="5"/>
      <c r="Q840" s="5"/>
      <c r="R840" s="9"/>
      <c r="S840" s="9"/>
      <c r="T840" s="10"/>
      <c r="U840" s="9"/>
      <c r="V840" s="9"/>
    </row>
    <row r="841" ht="12.5" spans="1:22">
      <c r="A841" s="4"/>
      <c r="B841" s="4"/>
      <c r="C841" s="4"/>
      <c r="D841" s="4"/>
      <c r="E841" s="5"/>
      <c r="F841" s="5"/>
      <c r="G841" s="5"/>
      <c r="H841" s="5"/>
      <c r="I841" s="5"/>
      <c r="J841" s="5"/>
      <c r="K841" s="5"/>
      <c r="L841" s="5"/>
      <c r="M841" s="5"/>
      <c r="N841" s="5"/>
      <c r="O841" s="5"/>
      <c r="P841" s="5"/>
      <c r="Q841" s="5"/>
      <c r="R841" s="9"/>
      <c r="S841" s="9"/>
      <c r="T841" s="10"/>
      <c r="U841" s="9"/>
      <c r="V841" s="9"/>
    </row>
    <row r="842" ht="12.5" spans="1:22">
      <c r="A842" s="4"/>
      <c r="B842" s="4"/>
      <c r="C842" s="4"/>
      <c r="D842" s="4"/>
      <c r="E842" s="5"/>
      <c r="F842" s="5"/>
      <c r="G842" s="5"/>
      <c r="H842" s="5"/>
      <c r="I842" s="5"/>
      <c r="J842" s="5"/>
      <c r="K842" s="5"/>
      <c r="L842" s="5"/>
      <c r="M842" s="5"/>
      <c r="N842" s="5"/>
      <c r="O842" s="5"/>
      <c r="P842" s="5"/>
      <c r="Q842" s="5"/>
      <c r="R842" s="9"/>
      <c r="S842" s="9"/>
      <c r="T842" s="10"/>
      <c r="U842" s="9"/>
      <c r="V842" s="9"/>
    </row>
    <row r="843" ht="12.5" spans="1:22">
      <c r="A843" s="4"/>
      <c r="B843" s="4"/>
      <c r="C843" s="4"/>
      <c r="D843" s="4"/>
      <c r="E843" s="5"/>
      <c r="F843" s="5"/>
      <c r="G843" s="5"/>
      <c r="H843" s="5"/>
      <c r="I843" s="5"/>
      <c r="J843" s="5"/>
      <c r="K843" s="5"/>
      <c r="L843" s="5"/>
      <c r="M843" s="5"/>
      <c r="N843" s="5"/>
      <c r="O843" s="5"/>
      <c r="P843" s="5"/>
      <c r="Q843" s="5"/>
      <c r="R843" s="9"/>
      <c r="S843" s="9"/>
      <c r="T843" s="10"/>
      <c r="U843" s="9"/>
      <c r="V843" s="9"/>
    </row>
    <row r="844" ht="12.5" spans="1:22">
      <c r="A844" s="4"/>
      <c r="B844" s="4"/>
      <c r="C844" s="4"/>
      <c r="D844" s="4"/>
      <c r="E844" s="5"/>
      <c r="F844" s="5"/>
      <c r="G844" s="5"/>
      <c r="H844" s="5"/>
      <c r="I844" s="5"/>
      <c r="J844" s="5"/>
      <c r="K844" s="5"/>
      <c r="L844" s="5"/>
      <c r="M844" s="5"/>
      <c r="N844" s="5"/>
      <c r="O844" s="5"/>
      <c r="P844" s="5"/>
      <c r="Q844" s="5"/>
      <c r="R844" s="9"/>
      <c r="S844" s="9"/>
      <c r="T844" s="10"/>
      <c r="U844" s="9"/>
      <c r="V844" s="9"/>
    </row>
    <row r="845" ht="12.5" spans="1:22">
      <c r="A845" s="4"/>
      <c r="B845" s="4"/>
      <c r="C845" s="4"/>
      <c r="D845" s="4"/>
      <c r="E845" s="5"/>
      <c r="F845" s="5"/>
      <c r="G845" s="5"/>
      <c r="H845" s="5"/>
      <c r="I845" s="5"/>
      <c r="J845" s="5"/>
      <c r="K845" s="5"/>
      <c r="L845" s="5"/>
      <c r="M845" s="5"/>
      <c r="N845" s="5"/>
      <c r="O845" s="5"/>
      <c r="P845" s="5"/>
      <c r="Q845" s="5"/>
      <c r="R845" s="9"/>
      <c r="S845" s="9"/>
      <c r="T845" s="10"/>
      <c r="U845" s="9"/>
      <c r="V845" s="9"/>
    </row>
    <row r="846" ht="12.5" spans="1:22">
      <c r="A846" s="4"/>
      <c r="B846" s="4"/>
      <c r="C846" s="4"/>
      <c r="D846" s="4"/>
      <c r="E846" s="5"/>
      <c r="F846" s="5"/>
      <c r="G846" s="5"/>
      <c r="H846" s="5"/>
      <c r="I846" s="5"/>
      <c r="J846" s="5"/>
      <c r="K846" s="5"/>
      <c r="L846" s="5"/>
      <c r="M846" s="5"/>
      <c r="N846" s="5"/>
      <c r="O846" s="5"/>
      <c r="P846" s="5"/>
      <c r="Q846" s="5"/>
      <c r="R846" s="9"/>
      <c r="S846" s="9"/>
      <c r="T846" s="10"/>
      <c r="U846" s="9"/>
      <c r="V846" s="9"/>
    </row>
    <row r="847" ht="12.5" spans="1:22">
      <c r="A847" s="4"/>
      <c r="B847" s="4"/>
      <c r="C847" s="4"/>
      <c r="D847" s="4"/>
      <c r="E847" s="5"/>
      <c r="F847" s="5"/>
      <c r="G847" s="5"/>
      <c r="H847" s="5"/>
      <c r="I847" s="5"/>
      <c r="J847" s="5"/>
      <c r="K847" s="5"/>
      <c r="L847" s="5"/>
      <c r="M847" s="5"/>
      <c r="N847" s="5"/>
      <c r="O847" s="5"/>
      <c r="P847" s="5"/>
      <c r="Q847" s="5"/>
      <c r="R847" s="9"/>
      <c r="S847" s="9"/>
      <c r="T847" s="10"/>
      <c r="U847" s="9"/>
      <c r="V847" s="9"/>
    </row>
    <row r="848" ht="12.5" spans="1:22">
      <c r="A848" s="4"/>
      <c r="B848" s="4"/>
      <c r="C848" s="4"/>
      <c r="D848" s="4"/>
      <c r="E848" s="5"/>
      <c r="F848" s="5"/>
      <c r="G848" s="5"/>
      <c r="H848" s="5"/>
      <c r="I848" s="5"/>
      <c r="J848" s="5"/>
      <c r="K848" s="5"/>
      <c r="L848" s="5"/>
      <c r="M848" s="5"/>
      <c r="N848" s="5"/>
      <c r="O848" s="5"/>
      <c r="P848" s="5"/>
      <c r="Q848" s="5"/>
      <c r="R848" s="9"/>
      <c r="S848" s="9"/>
      <c r="T848" s="10"/>
      <c r="U848" s="9"/>
      <c r="V848" s="9"/>
    </row>
    <row r="849" ht="12.5" spans="1:22">
      <c r="A849" s="4"/>
      <c r="B849" s="4"/>
      <c r="C849" s="4"/>
      <c r="D849" s="4"/>
      <c r="E849" s="5"/>
      <c r="F849" s="5"/>
      <c r="G849" s="5"/>
      <c r="H849" s="5"/>
      <c r="I849" s="5"/>
      <c r="J849" s="5"/>
      <c r="K849" s="5"/>
      <c r="L849" s="5"/>
      <c r="M849" s="5"/>
      <c r="N849" s="5"/>
      <c r="O849" s="5"/>
      <c r="P849" s="5"/>
      <c r="Q849" s="5"/>
      <c r="R849" s="9"/>
      <c r="S849" s="9"/>
      <c r="T849" s="10"/>
      <c r="U849" s="9"/>
      <c r="V849" s="9"/>
    </row>
    <row r="850" ht="12.5" spans="1:22">
      <c r="A850" s="4"/>
      <c r="B850" s="4"/>
      <c r="C850" s="4"/>
      <c r="D850" s="4"/>
      <c r="E850" s="5"/>
      <c r="F850" s="5"/>
      <c r="G850" s="5"/>
      <c r="H850" s="5"/>
      <c r="I850" s="5"/>
      <c r="J850" s="5"/>
      <c r="K850" s="5"/>
      <c r="L850" s="5"/>
      <c r="M850" s="5"/>
      <c r="N850" s="5"/>
      <c r="O850" s="5"/>
      <c r="P850" s="5"/>
      <c r="Q850" s="5"/>
      <c r="R850" s="9"/>
      <c r="S850" s="9"/>
      <c r="T850" s="10"/>
      <c r="U850" s="9"/>
      <c r="V850" s="9"/>
    </row>
    <row r="851" ht="12.5" spans="1:22">
      <c r="A851" s="4"/>
      <c r="B851" s="4"/>
      <c r="C851" s="4"/>
      <c r="D851" s="4"/>
      <c r="E851" s="5"/>
      <c r="F851" s="5"/>
      <c r="G851" s="5"/>
      <c r="H851" s="5"/>
      <c r="I851" s="5"/>
      <c r="J851" s="5"/>
      <c r="K851" s="5"/>
      <c r="L851" s="5"/>
      <c r="M851" s="5"/>
      <c r="N851" s="5"/>
      <c r="O851" s="5"/>
      <c r="P851" s="5"/>
      <c r="Q851" s="5"/>
      <c r="R851" s="9"/>
      <c r="S851" s="9"/>
      <c r="T851" s="10"/>
      <c r="U851" s="9"/>
      <c r="V851" s="9"/>
    </row>
    <row r="852" ht="12.5" spans="1:22">
      <c r="A852" s="4"/>
      <c r="B852" s="4"/>
      <c r="C852" s="4"/>
      <c r="D852" s="4"/>
      <c r="E852" s="5"/>
      <c r="F852" s="5"/>
      <c r="G852" s="5"/>
      <c r="H852" s="5"/>
      <c r="I852" s="5"/>
      <c r="J852" s="5"/>
      <c r="K852" s="5"/>
      <c r="L852" s="5"/>
      <c r="M852" s="5"/>
      <c r="N852" s="5"/>
      <c r="O852" s="5"/>
      <c r="P852" s="5"/>
      <c r="Q852" s="5"/>
      <c r="R852" s="9"/>
      <c r="S852" s="9"/>
      <c r="T852" s="10"/>
      <c r="U852" s="9"/>
      <c r="V852" s="9"/>
    </row>
    <row r="853" ht="12.5" spans="1:22">
      <c r="A853" s="4"/>
      <c r="B853" s="4"/>
      <c r="C853" s="4"/>
      <c r="D853" s="4"/>
      <c r="E853" s="5"/>
      <c r="F853" s="5"/>
      <c r="G853" s="5"/>
      <c r="H853" s="5"/>
      <c r="I853" s="5"/>
      <c r="J853" s="5"/>
      <c r="K853" s="5"/>
      <c r="L853" s="5"/>
      <c r="M853" s="5"/>
      <c r="N853" s="5"/>
      <c r="O853" s="5"/>
      <c r="P853" s="5"/>
      <c r="Q853" s="5"/>
      <c r="R853" s="9"/>
      <c r="S853" s="9"/>
      <c r="T853" s="10"/>
      <c r="U853" s="9"/>
      <c r="V853" s="9"/>
    </row>
    <row r="854" ht="12.5" spans="1:22">
      <c r="A854" s="4"/>
      <c r="B854" s="4"/>
      <c r="C854" s="4"/>
      <c r="D854" s="4"/>
      <c r="E854" s="5"/>
      <c r="F854" s="5"/>
      <c r="G854" s="5"/>
      <c r="H854" s="5"/>
      <c r="I854" s="5"/>
      <c r="J854" s="5"/>
      <c r="K854" s="5"/>
      <c r="L854" s="5"/>
      <c r="M854" s="5"/>
      <c r="N854" s="5"/>
      <c r="O854" s="5"/>
      <c r="P854" s="5"/>
      <c r="Q854" s="5"/>
      <c r="R854" s="9"/>
      <c r="S854" s="9"/>
      <c r="T854" s="10"/>
      <c r="U854" s="9"/>
      <c r="V854" s="9"/>
    </row>
    <row r="855" ht="12.5" spans="1:22">
      <c r="A855" s="4"/>
      <c r="B855" s="4"/>
      <c r="C855" s="4"/>
      <c r="D855" s="4"/>
      <c r="E855" s="5"/>
      <c r="F855" s="5"/>
      <c r="G855" s="5"/>
      <c r="H855" s="5"/>
      <c r="I855" s="5"/>
      <c r="J855" s="5"/>
      <c r="K855" s="5"/>
      <c r="L855" s="5"/>
      <c r="M855" s="5"/>
      <c r="N855" s="5"/>
      <c r="O855" s="5"/>
      <c r="P855" s="5"/>
      <c r="Q855" s="5"/>
      <c r="R855" s="9"/>
      <c r="S855" s="9"/>
      <c r="T855" s="10"/>
      <c r="U855" s="9"/>
      <c r="V855" s="9"/>
    </row>
    <row r="856" ht="12.5" spans="1:22">
      <c r="A856" s="4"/>
      <c r="B856" s="4"/>
      <c r="C856" s="4"/>
      <c r="D856" s="4"/>
      <c r="E856" s="5"/>
      <c r="F856" s="5"/>
      <c r="G856" s="5"/>
      <c r="H856" s="5"/>
      <c r="I856" s="5"/>
      <c r="J856" s="5"/>
      <c r="K856" s="5"/>
      <c r="L856" s="5"/>
      <c r="M856" s="5"/>
      <c r="N856" s="5"/>
      <c r="O856" s="5"/>
      <c r="P856" s="5"/>
      <c r="Q856" s="5"/>
      <c r="R856" s="9"/>
      <c r="S856" s="9"/>
      <c r="T856" s="10"/>
      <c r="U856" s="9"/>
      <c r="V856" s="9"/>
    </row>
    <row r="857" ht="12.5" spans="1:22">
      <c r="A857" s="4"/>
      <c r="B857" s="4"/>
      <c r="C857" s="4"/>
      <c r="D857" s="4"/>
      <c r="E857" s="5"/>
      <c r="F857" s="5"/>
      <c r="G857" s="5"/>
      <c r="H857" s="5"/>
      <c r="I857" s="5"/>
      <c r="J857" s="5"/>
      <c r="K857" s="5"/>
      <c r="L857" s="5"/>
      <c r="M857" s="5"/>
      <c r="N857" s="5"/>
      <c r="O857" s="5"/>
      <c r="P857" s="5"/>
      <c r="Q857" s="5"/>
      <c r="R857" s="9"/>
      <c r="S857" s="9"/>
      <c r="T857" s="10"/>
      <c r="U857" s="9"/>
      <c r="V857" s="9"/>
    </row>
    <row r="858" ht="12.5" spans="1:22">
      <c r="A858" s="4"/>
      <c r="B858" s="4"/>
      <c r="C858" s="4"/>
      <c r="D858" s="4"/>
      <c r="E858" s="5"/>
      <c r="F858" s="5"/>
      <c r="G858" s="5"/>
      <c r="H858" s="5"/>
      <c r="I858" s="5"/>
      <c r="J858" s="5"/>
      <c r="K858" s="5"/>
      <c r="L858" s="5"/>
      <c r="M858" s="5"/>
      <c r="N858" s="5"/>
      <c r="O858" s="5"/>
      <c r="P858" s="5"/>
      <c r="Q858" s="5"/>
      <c r="R858" s="9"/>
      <c r="S858" s="9"/>
      <c r="T858" s="10"/>
      <c r="U858" s="9"/>
      <c r="V858" s="9"/>
    </row>
    <row r="859" ht="12.5" spans="1:22">
      <c r="A859" s="4"/>
      <c r="B859" s="4"/>
      <c r="C859" s="4"/>
      <c r="D859" s="4"/>
      <c r="E859" s="5"/>
      <c r="F859" s="5"/>
      <c r="G859" s="5"/>
      <c r="H859" s="5"/>
      <c r="I859" s="5"/>
      <c r="J859" s="5"/>
      <c r="K859" s="5"/>
      <c r="L859" s="5"/>
      <c r="M859" s="5"/>
      <c r="N859" s="5"/>
      <c r="O859" s="5"/>
      <c r="P859" s="5"/>
      <c r="Q859" s="5"/>
      <c r="R859" s="9"/>
      <c r="S859" s="9"/>
      <c r="T859" s="10"/>
      <c r="U859" s="9"/>
      <c r="V859" s="9"/>
    </row>
    <row r="860" ht="12.5" spans="1:22">
      <c r="A860" s="4"/>
      <c r="B860" s="4"/>
      <c r="C860" s="4"/>
      <c r="D860" s="4"/>
      <c r="E860" s="5"/>
      <c r="F860" s="5"/>
      <c r="G860" s="5"/>
      <c r="H860" s="5"/>
      <c r="I860" s="5"/>
      <c r="J860" s="5"/>
      <c r="K860" s="5"/>
      <c r="L860" s="5"/>
      <c r="M860" s="5"/>
      <c r="N860" s="5"/>
      <c r="O860" s="5"/>
      <c r="P860" s="5"/>
      <c r="Q860" s="5"/>
      <c r="R860" s="9"/>
      <c r="S860" s="9"/>
      <c r="T860" s="10"/>
      <c r="U860" s="9"/>
      <c r="V860" s="9"/>
    </row>
    <row r="861" ht="12.5" spans="1:22">
      <c r="A861" s="4"/>
      <c r="B861" s="4"/>
      <c r="C861" s="4"/>
      <c r="D861" s="4"/>
      <c r="E861" s="5"/>
      <c r="F861" s="5"/>
      <c r="G861" s="5"/>
      <c r="H861" s="5"/>
      <c r="I861" s="5"/>
      <c r="J861" s="5"/>
      <c r="K861" s="5"/>
      <c r="L861" s="5"/>
      <c r="M861" s="5"/>
      <c r="N861" s="5"/>
      <c r="O861" s="5"/>
      <c r="P861" s="5"/>
      <c r="Q861" s="5"/>
      <c r="R861" s="9"/>
      <c r="S861" s="9"/>
      <c r="T861" s="10"/>
      <c r="U861" s="9"/>
      <c r="V861" s="9"/>
    </row>
    <row r="862" ht="12.5" spans="1:22">
      <c r="A862" s="4"/>
      <c r="B862" s="4"/>
      <c r="C862" s="4"/>
      <c r="D862" s="4"/>
      <c r="E862" s="5"/>
      <c r="F862" s="5"/>
      <c r="G862" s="5"/>
      <c r="H862" s="5"/>
      <c r="I862" s="5"/>
      <c r="J862" s="5"/>
      <c r="K862" s="5"/>
      <c r="L862" s="5"/>
      <c r="M862" s="5"/>
      <c r="N862" s="5"/>
      <c r="O862" s="5"/>
      <c r="P862" s="5"/>
      <c r="Q862" s="5"/>
      <c r="R862" s="9"/>
      <c r="S862" s="9"/>
      <c r="T862" s="10"/>
      <c r="U862" s="9"/>
      <c r="V862" s="9"/>
    </row>
    <row r="863" ht="12.5" spans="1:22">
      <c r="A863" s="4"/>
      <c r="B863" s="4"/>
      <c r="C863" s="4"/>
      <c r="D863" s="4"/>
      <c r="E863" s="5"/>
      <c r="F863" s="5"/>
      <c r="G863" s="5"/>
      <c r="H863" s="5"/>
      <c r="I863" s="5"/>
      <c r="J863" s="5"/>
      <c r="K863" s="5"/>
      <c r="L863" s="5"/>
      <c r="M863" s="5"/>
      <c r="N863" s="5"/>
      <c r="O863" s="5"/>
      <c r="P863" s="5"/>
      <c r="Q863" s="5"/>
      <c r="R863" s="9"/>
      <c r="S863" s="9"/>
      <c r="T863" s="10"/>
      <c r="U863" s="9"/>
      <c r="V863" s="9"/>
    </row>
    <row r="864" ht="12.5" spans="1:22">
      <c r="A864" s="4"/>
      <c r="B864" s="4"/>
      <c r="C864" s="4"/>
      <c r="D864" s="4"/>
      <c r="E864" s="5"/>
      <c r="F864" s="5"/>
      <c r="G864" s="5"/>
      <c r="H864" s="5"/>
      <c r="I864" s="5"/>
      <c r="J864" s="5"/>
      <c r="K864" s="5"/>
      <c r="L864" s="5"/>
      <c r="M864" s="5"/>
      <c r="N864" s="5"/>
      <c r="O864" s="5"/>
      <c r="P864" s="5"/>
      <c r="Q864" s="5"/>
      <c r="R864" s="9"/>
      <c r="S864" s="9"/>
      <c r="T864" s="10"/>
      <c r="U864" s="9"/>
      <c r="V864" s="9"/>
    </row>
    <row r="865" ht="12.5" spans="1:22">
      <c r="A865" s="4"/>
      <c r="B865" s="4"/>
      <c r="C865" s="4"/>
      <c r="D865" s="4"/>
      <c r="E865" s="5"/>
      <c r="F865" s="5"/>
      <c r="G865" s="5"/>
      <c r="H865" s="5"/>
      <c r="I865" s="5"/>
      <c r="J865" s="5"/>
      <c r="K865" s="5"/>
      <c r="L865" s="5"/>
      <c r="M865" s="5"/>
      <c r="N865" s="5"/>
      <c r="O865" s="5"/>
      <c r="P865" s="5"/>
      <c r="Q865" s="5"/>
      <c r="R865" s="9"/>
      <c r="S865" s="9"/>
      <c r="T865" s="10"/>
      <c r="U865" s="9"/>
      <c r="V865" s="9"/>
    </row>
    <row r="866" ht="12.5" spans="1:22">
      <c r="A866" s="4"/>
      <c r="B866" s="4"/>
      <c r="C866" s="4"/>
      <c r="D866" s="4"/>
      <c r="E866" s="5"/>
      <c r="F866" s="5"/>
      <c r="G866" s="5"/>
      <c r="H866" s="5"/>
      <c r="I866" s="5"/>
      <c r="J866" s="5"/>
      <c r="K866" s="5"/>
      <c r="L866" s="5"/>
      <c r="M866" s="5"/>
      <c r="N866" s="5"/>
      <c r="O866" s="5"/>
      <c r="P866" s="5"/>
      <c r="Q866" s="5"/>
      <c r="R866" s="9"/>
      <c r="S866" s="9"/>
      <c r="T866" s="10"/>
      <c r="U866" s="9"/>
      <c r="V866" s="9"/>
    </row>
    <row r="867" ht="12.5" spans="1:22">
      <c r="A867" s="4"/>
      <c r="B867" s="4"/>
      <c r="C867" s="4"/>
      <c r="D867" s="4"/>
      <c r="E867" s="5"/>
      <c r="F867" s="5"/>
      <c r="G867" s="5"/>
      <c r="H867" s="5"/>
      <c r="I867" s="5"/>
      <c r="J867" s="5"/>
      <c r="K867" s="5"/>
      <c r="L867" s="5"/>
      <c r="M867" s="5"/>
      <c r="N867" s="5"/>
      <c r="O867" s="5"/>
      <c r="P867" s="5"/>
      <c r="Q867" s="5"/>
      <c r="R867" s="9"/>
      <c r="S867" s="9"/>
      <c r="T867" s="10"/>
      <c r="U867" s="9"/>
      <c r="V867" s="9"/>
    </row>
    <row r="868" ht="12.5" spans="1:22">
      <c r="A868" s="4"/>
      <c r="B868" s="4"/>
      <c r="C868" s="4"/>
      <c r="D868" s="4"/>
      <c r="E868" s="5"/>
      <c r="F868" s="5"/>
      <c r="G868" s="5"/>
      <c r="H868" s="5"/>
      <c r="I868" s="5"/>
      <c r="J868" s="5"/>
      <c r="K868" s="5"/>
      <c r="L868" s="5"/>
      <c r="M868" s="5"/>
      <c r="N868" s="5"/>
      <c r="O868" s="5"/>
      <c r="P868" s="5"/>
      <c r="Q868" s="5"/>
      <c r="R868" s="9"/>
      <c r="S868" s="9"/>
      <c r="T868" s="10"/>
      <c r="U868" s="9"/>
      <c r="V868" s="9"/>
    </row>
    <row r="869" ht="12.5" spans="1:22">
      <c r="A869" s="4"/>
      <c r="B869" s="4"/>
      <c r="C869" s="4"/>
      <c r="D869" s="4"/>
      <c r="E869" s="5"/>
      <c r="F869" s="5"/>
      <c r="G869" s="5"/>
      <c r="H869" s="5"/>
      <c r="I869" s="5"/>
      <c r="J869" s="5"/>
      <c r="K869" s="5"/>
      <c r="L869" s="5"/>
      <c r="M869" s="5"/>
      <c r="N869" s="5"/>
      <c r="O869" s="5"/>
      <c r="P869" s="5"/>
      <c r="Q869" s="5"/>
      <c r="R869" s="9"/>
      <c r="S869" s="9"/>
      <c r="T869" s="10"/>
      <c r="U869" s="9"/>
      <c r="V869" s="9"/>
    </row>
    <row r="870" ht="12.5" spans="1:22">
      <c r="A870" s="4"/>
      <c r="B870" s="4"/>
      <c r="C870" s="4"/>
      <c r="D870" s="4"/>
      <c r="E870" s="5"/>
      <c r="F870" s="5"/>
      <c r="G870" s="5"/>
      <c r="H870" s="5"/>
      <c r="I870" s="5"/>
      <c r="J870" s="5"/>
      <c r="K870" s="5"/>
      <c r="L870" s="5"/>
      <c r="M870" s="5"/>
      <c r="N870" s="5"/>
      <c r="O870" s="5"/>
      <c r="P870" s="5"/>
      <c r="Q870" s="5"/>
      <c r="R870" s="9"/>
      <c r="S870" s="9"/>
      <c r="T870" s="10"/>
      <c r="U870" s="9"/>
      <c r="V870" s="9"/>
    </row>
    <row r="871" ht="12.5" spans="1:22">
      <c r="A871" s="4"/>
      <c r="B871" s="4"/>
      <c r="C871" s="4"/>
      <c r="D871" s="4"/>
      <c r="E871" s="5"/>
      <c r="F871" s="5"/>
      <c r="G871" s="5"/>
      <c r="H871" s="5"/>
      <c r="I871" s="5"/>
      <c r="J871" s="5"/>
      <c r="K871" s="5"/>
      <c r="L871" s="5"/>
      <c r="M871" s="5"/>
      <c r="N871" s="5"/>
      <c r="O871" s="5"/>
      <c r="P871" s="5"/>
      <c r="Q871" s="5"/>
      <c r="R871" s="9"/>
      <c r="S871" s="9"/>
      <c r="T871" s="10"/>
      <c r="U871" s="9"/>
      <c r="V871" s="9"/>
    </row>
    <row r="872" ht="12.5" spans="1:22">
      <c r="A872" s="4"/>
      <c r="B872" s="4"/>
      <c r="C872" s="4"/>
      <c r="D872" s="4"/>
      <c r="E872" s="5"/>
      <c r="F872" s="5"/>
      <c r="G872" s="5"/>
      <c r="H872" s="5"/>
      <c r="I872" s="5"/>
      <c r="J872" s="5"/>
      <c r="K872" s="5"/>
      <c r="L872" s="5"/>
      <c r="M872" s="5"/>
      <c r="N872" s="5"/>
      <c r="O872" s="5"/>
      <c r="P872" s="5"/>
      <c r="Q872" s="5"/>
      <c r="R872" s="9"/>
      <c r="S872" s="9"/>
      <c r="T872" s="10"/>
      <c r="U872" s="9"/>
      <c r="V872" s="9"/>
    </row>
    <row r="873" ht="12.5" spans="1:22">
      <c r="A873" s="4"/>
      <c r="B873" s="4"/>
      <c r="C873" s="4"/>
      <c r="D873" s="4"/>
      <c r="E873" s="5"/>
      <c r="F873" s="5"/>
      <c r="G873" s="5"/>
      <c r="H873" s="5"/>
      <c r="I873" s="5"/>
      <c r="J873" s="5"/>
      <c r="K873" s="5"/>
      <c r="L873" s="5"/>
      <c r="M873" s="5"/>
      <c r="N873" s="5"/>
      <c r="O873" s="5"/>
      <c r="P873" s="5"/>
      <c r="Q873" s="5"/>
      <c r="R873" s="9"/>
      <c r="S873" s="9"/>
      <c r="T873" s="10"/>
      <c r="U873" s="9"/>
      <c r="V873" s="9"/>
    </row>
    <row r="874" ht="12.5" spans="1:22">
      <c r="A874" s="4"/>
      <c r="B874" s="4"/>
      <c r="C874" s="4"/>
      <c r="D874" s="4"/>
      <c r="E874" s="5"/>
      <c r="F874" s="5"/>
      <c r="G874" s="5"/>
      <c r="H874" s="5"/>
      <c r="I874" s="5"/>
      <c r="J874" s="5"/>
      <c r="K874" s="5"/>
      <c r="L874" s="5"/>
      <c r="M874" s="5"/>
      <c r="N874" s="5"/>
      <c r="O874" s="5"/>
      <c r="P874" s="5"/>
      <c r="Q874" s="5"/>
      <c r="R874" s="9"/>
      <c r="S874" s="9"/>
      <c r="T874" s="10"/>
      <c r="U874" s="9"/>
      <c r="V874" s="9"/>
    </row>
    <row r="875" ht="12.5" spans="1:22">
      <c r="A875" s="4"/>
      <c r="B875" s="4"/>
      <c r="C875" s="4"/>
      <c r="D875" s="4"/>
      <c r="E875" s="5"/>
      <c r="F875" s="5"/>
      <c r="G875" s="5"/>
      <c r="H875" s="5"/>
      <c r="I875" s="5"/>
      <c r="J875" s="5"/>
      <c r="K875" s="5"/>
      <c r="L875" s="5"/>
      <c r="M875" s="5"/>
      <c r="N875" s="5"/>
      <c r="O875" s="5"/>
      <c r="P875" s="5"/>
      <c r="Q875" s="5"/>
      <c r="R875" s="9"/>
      <c r="S875" s="9"/>
      <c r="T875" s="10"/>
      <c r="U875" s="9"/>
      <c r="V875" s="9"/>
    </row>
    <row r="876" ht="12.5" spans="1:22">
      <c r="A876" s="4"/>
      <c r="B876" s="4"/>
      <c r="C876" s="4"/>
      <c r="D876" s="4"/>
      <c r="E876" s="5"/>
      <c r="F876" s="5"/>
      <c r="G876" s="5"/>
      <c r="H876" s="5"/>
      <c r="I876" s="5"/>
      <c r="J876" s="5"/>
      <c r="K876" s="5"/>
      <c r="L876" s="5"/>
      <c r="M876" s="5"/>
      <c r="N876" s="5"/>
      <c r="O876" s="5"/>
      <c r="P876" s="5"/>
      <c r="Q876" s="5"/>
      <c r="R876" s="9"/>
      <c r="S876" s="9"/>
      <c r="T876" s="10"/>
      <c r="U876" s="9"/>
      <c r="V876" s="9"/>
    </row>
    <row r="877" ht="12.5" spans="1:22">
      <c r="A877" s="4"/>
      <c r="B877" s="4"/>
      <c r="C877" s="4"/>
      <c r="D877" s="4"/>
      <c r="E877" s="5"/>
      <c r="F877" s="5"/>
      <c r="G877" s="5"/>
      <c r="H877" s="5"/>
      <c r="I877" s="5"/>
      <c r="J877" s="5"/>
      <c r="K877" s="5"/>
      <c r="L877" s="5"/>
      <c r="M877" s="5"/>
      <c r="N877" s="5"/>
      <c r="O877" s="5"/>
      <c r="P877" s="5"/>
      <c r="Q877" s="5"/>
      <c r="R877" s="9"/>
      <c r="S877" s="9"/>
      <c r="T877" s="10"/>
      <c r="U877" s="9"/>
      <c r="V877" s="9"/>
    </row>
    <row r="878" ht="12.5" spans="1:22">
      <c r="A878" s="4"/>
      <c r="B878" s="4"/>
      <c r="C878" s="4"/>
      <c r="D878" s="4"/>
      <c r="E878" s="5"/>
      <c r="F878" s="5"/>
      <c r="G878" s="5"/>
      <c r="H878" s="5"/>
      <c r="I878" s="5"/>
      <c r="J878" s="5"/>
      <c r="K878" s="5"/>
      <c r="L878" s="5"/>
      <c r="M878" s="5"/>
      <c r="N878" s="5"/>
      <c r="O878" s="5"/>
      <c r="P878" s="5"/>
      <c r="Q878" s="5"/>
      <c r="R878" s="9"/>
      <c r="S878" s="9"/>
      <c r="T878" s="10"/>
      <c r="U878" s="9"/>
      <c r="V878" s="9"/>
    </row>
    <row r="879" ht="12.5" spans="1:22">
      <c r="A879" s="4"/>
      <c r="B879" s="4"/>
      <c r="C879" s="4"/>
      <c r="D879" s="4"/>
      <c r="E879" s="5"/>
      <c r="F879" s="5"/>
      <c r="G879" s="5"/>
      <c r="H879" s="5"/>
      <c r="I879" s="5"/>
      <c r="J879" s="5"/>
      <c r="K879" s="5"/>
      <c r="L879" s="5"/>
      <c r="M879" s="5"/>
      <c r="N879" s="5"/>
      <c r="O879" s="5"/>
      <c r="P879" s="5"/>
      <c r="Q879" s="5"/>
      <c r="R879" s="9"/>
      <c r="S879" s="9"/>
      <c r="T879" s="10"/>
      <c r="U879" s="9"/>
      <c r="V879" s="9"/>
    </row>
    <row r="880" ht="12.5" spans="1:22">
      <c r="A880" s="4"/>
      <c r="B880" s="4"/>
      <c r="C880" s="4"/>
      <c r="D880" s="4"/>
      <c r="E880" s="5"/>
      <c r="F880" s="5"/>
      <c r="G880" s="5"/>
      <c r="H880" s="5"/>
      <c r="I880" s="5"/>
      <c r="J880" s="5"/>
      <c r="K880" s="5"/>
      <c r="L880" s="5"/>
      <c r="M880" s="5"/>
      <c r="N880" s="5"/>
      <c r="O880" s="5"/>
      <c r="P880" s="5"/>
      <c r="Q880" s="5"/>
      <c r="R880" s="9"/>
      <c r="S880" s="9"/>
      <c r="T880" s="10"/>
      <c r="U880" s="9"/>
      <c r="V880" s="9"/>
    </row>
    <row r="881" ht="12.5" spans="1:22">
      <c r="A881" s="4"/>
      <c r="B881" s="4"/>
      <c r="C881" s="4"/>
      <c r="D881" s="4"/>
      <c r="E881" s="5"/>
      <c r="F881" s="5"/>
      <c r="G881" s="5"/>
      <c r="H881" s="5"/>
      <c r="I881" s="5"/>
      <c r="J881" s="5"/>
      <c r="K881" s="5"/>
      <c r="L881" s="5"/>
      <c r="M881" s="5"/>
      <c r="N881" s="5"/>
      <c r="O881" s="5"/>
      <c r="P881" s="5"/>
      <c r="Q881" s="5"/>
      <c r="R881" s="9"/>
      <c r="S881" s="9"/>
      <c r="T881" s="10"/>
      <c r="U881" s="9"/>
      <c r="V881" s="9"/>
    </row>
    <row r="882" ht="12.5" spans="1:22">
      <c r="A882" s="4"/>
      <c r="B882" s="4"/>
      <c r="C882" s="4"/>
      <c r="D882" s="4"/>
      <c r="E882" s="5"/>
      <c r="F882" s="5"/>
      <c r="G882" s="5"/>
      <c r="H882" s="5"/>
      <c r="I882" s="5"/>
      <c r="J882" s="5"/>
      <c r="K882" s="5"/>
      <c r="L882" s="5"/>
      <c r="M882" s="5"/>
      <c r="N882" s="5"/>
      <c r="O882" s="5"/>
      <c r="P882" s="5"/>
      <c r="Q882" s="5"/>
      <c r="R882" s="9"/>
      <c r="S882" s="9"/>
      <c r="T882" s="10"/>
      <c r="U882" s="9"/>
      <c r="V882" s="9"/>
    </row>
    <row r="883" ht="12.5" spans="1:22">
      <c r="A883" s="4"/>
      <c r="B883" s="4"/>
      <c r="C883" s="4"/>
      <c r="D883" s="4"/>
      <c r="E883" s="5"/>
      <c r="F883" s="5"/>
      <c r="G883" s="5"/>
      <c r="H883" s="5"/>
      <c r="I883" s="5"/>
      <c r="J883" s="5"/>
      <c r="K883" s="5"/>
      <c r="L883" s="5"/>
      <c r="M883" s="5"/>
      <c r="N883" s="5"/>
      <c r="O883" s="5"/>
      <c r="P883" s="5"/>
      <c r="Q883" s="5"/>
      <c r="R883" s="9"/>
      <c r="S883" s="9"/>
      <c r="T883" s="10"/>
      <c r="U883" s="9"/>
      <c r="V883" s="9"/>
    </row>
    <row r="884" ht="12.5" spans="1:22">
      <c r="A884" s="4"/>
      <c r="B884" s="4"/>
      <c r="C884" s="4"/>
      <c r="D884" s="4"/>
      <c r="E884" s="5"/>
      <c r="F884" s="5"/>
      <c r="G884" s="5"/>
      <c r="H884" s="5"/>
      <c r="I884" s="5"/>
      <c r="J884" s="5"/>
      <c r="K884" s="5"/>
      <c r="L884" s="5"/>
      <c r="M884" s="5"/>
      <c r="N884" s="5"/>
      <c r="O884" s="5"/>
      <c r="P884" s="5"/>
      <c r="Q884" s="5"/>
      <c r="R884" s="9"/>
      <c r="S884" s="9"/>
      <c r="T884" s="10"/>
      <c r="U884" s="9"/>
      <c r="V884" s="9"/>
    </row>
    <row r="885" ht="12.5" spans="1:22">
      <c r="A885" s="4"/>
      <c r="B885" s="4"/>
      <c r="C885" s="4"/>
      <c r="D885" s="4"/>
      <c r="E885" s="5"/>
      <c r="F885" s="5"/>
      <c r="G885" s="5"/>
      <c r="H885" s="5"/>
      <c r="I885" s="5"/>
      <c r="J885" s="5"/>
      <c r="K885" s="5"/>
      <c r="L885" s="5"/>
      <c r="M885" s="5"/>
      <c r="N885" s="5"/>
      <c r="O885" s="5"/>
      <c r="P885" s="5"/>
      <c r="Q885" s="5"/>
      <c r="R885" s="9"/>
      <c r="S885" s="9"/>
      <c r="T885" s="10"/>
      <c r="U885" s="9"/>
      <c r="V885" s="9"/>
    </row>
    <row r="886" ht="12.5" spans="1:22">
      <c r="A886" s="4"/>
      <c r="B886" s="4"/>
      <c r="C886" s="4"/>
      <c r="D886" s="4"/>
      <c r="E886" s="5"/>
      <c r="F886" s="5"/>
      <c r="G886" s="5"/>
      <c r="H886" s="5"/>
      <c r="I886" s="5"/>
      <c r="J886" s="5"/>
      <c r="K886" s="5"/>
      <c r="L886" s="5"/>
      <c r="M886" s="5"/>
      <c r="N886" s="5"/>
      <c r="O886" s="5"/>
      <c r="P886" s="5"/>
      <c r="Q886" s="5"/>
      <c r="R886" s="9"/>
      <c r="S886" s="9"/>
      <c r="T886" s="10"/>
      <c r="U886" s="9"/>
      <c r="V886" s="9"/>
    </row>
    <row r="887" ht="12.5" spans="1:22">
      <c r="A887" s="4"/>
      <c r="B887" s="4"/>
      <c r="C887" s="4"/>
      <c r="D887" s="4"/>
      <c r="E887" s="5"/>
      <c r="F887" s="5"/>
      <c r="G887" s="5"/>
      <c r="H887" s="5"/>
      <c r="I887" s="5"/>
      <c r="J887" s="5"/>
      <c r="K887" s="5"/>
      <c r="L887" s="5"/>
      <c r="M887" s="5"/>
      <c r="N887" s="5"/>
      <c r="O887" s="5"/>
      <c r="P887" s="5"/>
      <c r="Q887" s="5"/>
      <c r="R887" s="9"/>
      <c r="S887" s="9"/>
      <c r="T887" s="10"/>
      <c r="U887" s="9"/>
      <c r="V887" s="9"/>
    </row>
    <row r="888" ht="12.5" spans="1:22">
      <c r="A888" s="4"/>
      <c r="B888" s="4"/>
      <c r="C888" s="4"/>
      <c r="D888" s="4"/>
      <c r="E888" s="5"/>
      <c r="F888" s="5"/>
      <c r="G888" s="5"/>
      <c r="H888" s="5"/>
      <c r="I888" s="5"/>
      <c r="J888" s="5"/>
      <c r="K888" s="5"/>
      <c r="L888" s="5"/>
      <c r="M888" s="5"/>
      <c r="N888" s="5"/>
      <c r="O888" s="5"/>
      <c r="P888" s="5"/>
      <c r="Q888" s="5"/>
      <c r="R888" s="9"/>
      <c r="S888" s="9"/>
      <c r="T888" s="10"/>
      <c r="U888" s="9"/>
      <c r="V888" s="9"/>
    </row>
    <row r="889" ht="12.5" spans="1:22">
      <c r="A889" s="4"/>
      <c r="B889" s="4"/>
      <c r="C889" s="4"/>
      <c r="D889" s="4"/>
      <c r="E889" s="5"/>
      <c r="F889" s="5"/>
      <c r="G889" s="5"/>
      <c r="H889" s="5"/>
      <c r="I889" s="5"/>
      <c r="J889" s="5"/>
      <c r="K889" s="5"/>
      <c r="L889" s="5"/>
      <c r="M889" s="5"/>
      <c r="N889" s="5"/>
      <c r="O889" s="5"/>
      <c r="P889" s="5"/>
      <c r="Q889" s="5"/>
      <c r="R889" s="9"/>
      <c r="S889" s="9"/>
      <c r="T889" s="10"/>
      <c r="U889" s="9"/>
      <c r="V889" s="9"/>
    </row>
    <row r="890" ht="12.5" spans="1:22">
      <c r="A890" s="4"/>
      <c r="B890" s="4"/>
      <c r="C890" s="4"/>
      <c r="D890" s="4"/>
      <c r="E890" s="5"/>
      <c r="F890" s="5"/>
      <c r="G890" s="5"/>
      <c r="H890" s="5"/>
      <c r="I890" s="5"/>
      <c r="J890" s="5"/>
      <c r="K890" s="5"/>
      <c r="L890" s="5"/>
      <c r="M890" s="5"/>
      <c r="N890" s="5"/>
      <c r="O890" s="5"/>
      <c r="P890" s="5"/>
      <c r="Q890" s="5"/>
      <c r="R890" s="9"/>
      <c r="S890" s="9"/>
      <c r="T890" s="10"/>
      <c r="U890" s="9"/>
      <c r="V890" s="9"/>
    </row>
    <row r="891" ht="12.5" spans="1:22">
      <c r="A891" s="4"/>
      <c r="B891" s="4"/>
      <c r="C891" s="4"/>
      <c r="D891" s="4"/>
      <c r="E891" s="5"/>
      <c r="F891" s="5"/>
      <c r="G891" s="5"/>
      <c r="H891" s="5"/>
      <c r="I891" s="5"/>
      <c r="J891" s="5"/>
      <c r="K891" s="5"/>
      <c r="L891" s="5"/>
      <c r="M891" s="5"/>
      <c r="N891" s="5"/>
      <c r="O891" s="5"/>
      <c r="P891" s="5"/>
      <c r="Q891" s="5"/>
      <c r="R891" s="9"/>
      <c r="S891" s="9"/>
      <c r="T891" s="10"/>
      <c r="U891" s="9"/>
      <c r="V891" s="9"/>
    </row>
    <row r="892" ht="12.5" spans="1:22">
      <c r="A892" s="4"/>
      <c r="B892" s="4"/>
      <c r="C892" s="4"/>
      <c r="D892" s="4"/>
      <c r="E892" s="5"/>
      <c r="F892" s="5"/>
      <c r="G892" s="5"/>
      <c r="H892" s="5"/>
      <c r="I892" s="5"/>
      <c r="J892" s="5"/>
      <c r="K892" s="5"/>
      <c r="L892" s="5"/>
      <c r="M892" s="5"/>
      <c r="N892" s="5"/>
      <c r="O892" s="5"/>
      <c r="P892" s="5"/>
      <c r="Q892" s="5"/>
      <c r="R892" s="9"/>
      <c r="S892" s="9"/>
      <c r="T892" s="10"/>
      <c r="U892" s="9"/>
      <c r="V892" s="9"/>
    </row>
    <row r="893" ht="12.5" spans="1:22">
      <c r="A893" s="4"/>
      <c r="B893" s="4"/>
      <c r="C893" s="4"/>
      <c r="D893" s="4"/>
      <c r="E893" s="5"/>
      <c r="F893" s="5"/>
      <c r="G893" s="5"/>
      <c r="H893" s="5"/>
      <c r="I893" s="5"/>
      <c r="J893" s="5"/>
      <c r="K893" s="5"/>
      <c r="L893" s="5"/>
      <c r="M893" s="5"/>
      <c r="N893" s="5"/>
      <c r="O893" s="5"/>
      <c r="P893" s="5"/>
      <c r="Q893" s="5"/>
      <c r="R893" s="9"/>
      <c r="S893" s="9"/>
      <c r="T893" s="10"/>
      <c r="U893" s="9"/>
      <c r="V893" s="9"/>
    </row>
    <row r="894" ht="12.5" spans="1:22">
      <c r="A894" s="4"/>
      <c r="B894" s="4"/>
      <c r="C894" s="4"/>
      <c r="D894" s="4"/>
      <c r="E894" s="5"/>
      <c r="F894" s="5"/>
      <c r="G894" s="5"/>
      <c r="H894" s="5"/>
      <c r="I894" s="5"/>
      <c r="J894" s="5"/>
      <c r="K894" s="5"/>
      <c r="L894" s="5"/>
      <c r="M894" s="5"/>
      <c r="N894" s="5"/>
      <c r="O894" s="5"/>
      <c r="P894" s="5"/>
      <c r="Q894" s="5"/>
      <c r="R894" s="9"/>
      <c r="S894" s="9"/>
      <c r="T894" s="10"/>
      <c r="U894" s="9"/>
      <c r="V894" s="9"/>
    </row>
    <row r="895" ht="12.5" spans="1:22">
      <c r="A895" s="4"/>
      <c r="B895" s="4"/>
      <c r="C895" s="4"/>
      <c r="D895" s="4"/>
      <c r="E895" s="5"/>
      <c r="F895" s="5"/>
      <c r="G895" s="5"/>
      <c r="H895" s="5"/>
      <c r="I895" s="5"/>
      <c r="J895" s="5"/>
      <c r="K895" s="5"/>
      <c r="L895" s="5"/>
      <c r="M895" s="5"/>
      <c r="N895" s="5"/>
      <c r="O895" s="5"/>
      <c r="P895" s="5"/>
      <c r="Q895" s="5"/>
      <c r="R895" s="9"/>
      <c r="S895" s="9"/>
      <c r="T895" s="10"/>
      <c r="U895" s="9"/>
      <c r="V895" s="9"/>
    </row>
    <row r="896" ht="12.5" spans="1:22">
      <c r="A896" s="4"/>
      <c r="B896" s="4"/>
      <c r="C896" s="4"/>
      <c r="D896" s="4"/>
      <c r="E896" s="5"/>
      <c r="F896" s="5"/>
      <c r="G896" s="5"/>
      <c r="H896" s="5"/>
      <c r="I896" s="5"/>
      <c r="J896" s="5"/>
      <c r="K896" s="5"/>
      <c r="L896" s="5"/>
      <c r="M896" s="5"/>
      <c r="N896" s="5"/>
      <c r="O896" s="5"/>
      <c r="P896" s="5"/>
      <c r="Q896" s="5"/>
      <c r="R896" s="9"/>
      <c r="S896" s="9"/>
      <c r="T896" s="10"/>
      <c r="U896" s="9"/>
      <c r="V896" s="9"/>
    </row>
    <row r="897" ht="12.5" spans="1:22">
      <c r="A897" s="4"/>
      <c r="B897" s="4"/>
      <c r="C897" s="4"/>
      <c r="D897" s="4"/>
      <c r="E897" s="5"/>
      <c r="F897" s="5"/>
      <c r="G897" s="5"/>
      <c r="H897" s="5"/>
      <c r="I897" s="5"/>
      <c r="J897" s="5"/>
      <c r="K897" s="5"/>
      <c r="L897" s="5"/>
      <c r="M897" s="5"/>
      <c r="N897" s="5"/>
      <c r="O897" s="5"/>
      <c r="P897" s="5"/>
      <c r="Q897" s="5"/>
      <c r="R897" s="9"/>
      <c r="S897" s="9"/>
      <c r="T897" s="10"/>
      <c r="U897" s="9"/>
      <c r="V897" s="9"/>
    </row>
    <row r="898" ht="12.5" spans="1:22">
      <c r="A898" s="4"/>
      <c r="B898" s="4"/>
      <c r="C898" s="4"/>
      <c r="D898" s="4"/>
      <c r="E898" s="5"/>
      <c r="F898" s="5"/>
      <c r="G898" s="5"/>
      <c r="H898" s="5"/>
      <c r="I898" s="5"/>
      <c r="J898" s="5"/>
      <c r="K898" s="5"/>
      <c r="L898" s="5"/>
      <c r="M898" s="5"/>
      <c r="N898" s="5"/>
      <c r="O898" s="5"/>
      <c r="P898" s="5"/>
      <c r="Q898" s="5"/>
      <c r="R898" s="9"/>
      <c r="S898" s="9"/>
      <c r="T898" s="10"/>
      <c r="U898" s="9"/>
      <c r="V898" s="9"/>
    </row>
    <row r="899" ht="12.5" spans="1:22">
      <c r="A899" s="4"/>
      <c r="B899" s="4"/>
      <c r="C899" s="4"/>
      <c r="D899" s="4"/>
      <c r="E899" s="5"/>
      <c r="F899" s="5"/>
      <c r="G899" s="5"/>
      <c r="H899" s="5"/>
      <c r="I899" s="5"/>
      <c r="J899" s="5"/>
      <c r="K899" s="5"/>
      <c r="L899" s="5"/>
      <c r="M899" s="5"/>
      <c r="N899" s="5"/>
      <c r="O899" s="5"/>
      <c r="P899" s="5"/>
      <c r="Q899" s="5"/>
      <c r="R899" s="9"/>
      <c r="S899" s="9"/>
      <c r="T899" s="10"/>
      <c r="U899" s="9"/>
      <c r="V899" s="9"/>
    </row>
    <row r="900" ht="12.5" spans="1:22">
      <c r="A900" s="4"/>
      <c r="B900" s="4"/>
      <c r="C900" s="4"/>
      <c r="D900" s="4"/>
      <c r="E900" s="5"/>
      <c r="F900" s="5"/>
      <c r="G900" s="5"/>
      <c r="H900" s="5"/>
      <c r="I900" s="5"/>
      <c r="J900" s="5"/>
      <c r="K900" s="5"/>
      <c r="L900" s="5"/>
      <c r="M900" s="5"/>
      <c r="N900" s="5"/>
      <c r="O900" s="5"/>
      <c r="P900" s="5"/>
      <c r="Q900" s="5"/>
      <c r="R900" s="9"/>
      <c r="S900" s="9"/>
      <c r="T900" s="10"/>
      <c r="U900" s="9"/>
      <c r="V900" s="9"/>
    </row>
    <row r="901" ht="12.5" spans="1:22">
      <c r="A901" s="4"/>
      <c r="B901" s="4"/>
      <c r="C901" s="4"/>
      <c r="D901" s="4"/>
      <c r="E901" s="5"/>
      <c r="F901" s="5"/>
      <c r="G901" s="5"/>
      <c r="H901" s="5"/>
      <c r="I901" s="5"/>
      <c r="J901" s="5"/>
      <c r="K901" s="5"/>
      <c r="L901" s="5"/>
      <c r="M901" s="5"/>
      <c r="N901" s="5"/>
      <c r="O901" s="5"/>
      <c r="P901" s="5"/>
      <c r="Q901" s="5"/>
      <c r="R901" s="9"/>
      <c r="S901" s="9"/>
      <c r="T901" s="10"/>
      <c r="U901" s="9"/>
      <c r="V901" s="9"/>
    </row>
    <row r="902" ht="12.5" spans="1:22">
      <c r="A902" s="4"/>
      <c r="B902" s="4"/>
      <c r="C902" s="4"/>
      <c r="D902" s="4"/>
      <c r="E902" s="5"/>
      <c r="F902" s="5"/>
      <c r="G902" s="5"/>
      <c r="H902" s="5"/>
      <c r="I902" s="5"/>
      <c r="J902" s="5"/>
      <c r="K902" s="5"/>
      <c r="L902" s="5"/>
      <c r="M902" s="5"/>
      <c r="N902" s="5"/>
      <c r="O902" s="5"/>
      <c r="P902" s="5"/>
      <c r="Q902" s="5"/>
      <c r="R902" s="9"/>
      <c r="S902" s="9"/>
      <c r="T902" s="10"/>
      <c r="U902" s="9"/>
      <c r="V902" s="9"/>
    </row>
    <row r="903" ht="12.5" spans="1:22">
      <c r="A903" s="4"/>
      <c r="B903" s="4"/>
      <c r="C903" s="4"/>
      <c r="D903" s="4"/>
      <c r="E903" s="5"/>
      <c r="F903" s="5"/>
      <c r="G903" s="5"/>
      <c r="H903" s="5"/>
      <c r="I903" s="5"/>
      <c r="J903" s="5"/>
      <c r="K903" s="5"/>
      <c r="L903" s="5"/>
      <c r="M903" s="5"/>
      <c r="N903" s="5"/>
      <c r="O903" s="5"/>
      <c r="P903" s="5"/>
      <c r="Q903" s="5"/>
      <c r="R903" s="9"/>
      <c r="S903" s="9"/>
      <c r="T903" s="10"/>
      <c r="U903" s="9"/>
      <c r="V903" s="9"/>
    </row>
    <row r="904" ht="12.5" spans="1:22">
      <c r="A904" s="4"/>
      <c r="B904" s="4"/>
      <c r="C904" s="4"/>
      <c r="D904" s="4"/>
      <c r="E904" s="5"/>
      <c r="F904" s="5"/>
      <c r="G904" s="5"/>
      <c r="H904" s="5"/>
      <c r="I904" s="5"/>
      <c r="J904" s="5"/>
      <c r="K904" s="5"/>
      <c r="L904" s="5"/>
      <c r="M904" s="5"/>
      <c r="N904" s="5"/>
      <c r="O904" s="5"/>
      <c r="P904" s="5"/>
      <c r="Q904" s="5"/>
      <c r="R904" s="9"/>
      <c r="S904" s="9"/>
      <c r="T904" s="10"/>
      <c r="U904" s="9"/>
      <c r="V904" s="9"/>
    </row>
    <row r="905" ht="12.5" spans="1:22">
      <c r="A905" s="4"/>
      <c r="B905" s="4"/>
      <c r="C905" s="4"/>
      <c r="D905" s="4"/>
      <c r="E905" s="5"/>
      <c r="F905" s="5"/>
      <c r="G905" s="5"/>
      <c r="H905" s="5"/>
      <c r="I905" s="5"/>
      <c r="J905" s="5"/>
      <c r="K905" s="5"/>
      <c r="L905" s="5"/>
      <c r="M905" s="5"/>
      <c r="N905" s="5"/>
      <c r="O905" s="5"/>
      <c r="P905" s="5"/>
      <c r="Q905" s="5"/>
      <c r="R905" s="9"/>
      <c r="S905" s="9"/>
      <c r="T905" s="10"/>
      <c r="U905" s="9"/>
      <c r="V905" s="9"/>
    </row>
    <row r="906" ht="12.5" spans="1:22">
      <c r="A906" s="4"/>
      <c r="B906" s="4"/>
      <c r="C906" s="4"/>
      <c r="D906" s="4"/>
      <c r="E906" s="5"/>
      <c r="F906" s="5"/>
      <c r="G906" s="5"/>
      <c r="H906" s="5"/>
      <c r="I906" s="5"/>
      <c r="J906" s="5"/>
      <c r="K906" s="5"/>
      <c r="L906" s="5"/>
      <c r="M906" s="5"/>
      <c r="N906" s="5"/>
      <c r="O906" s="5"/>
      <c r="P906" s="5"/>
      <c r="Q906" s="5"/>
      <c r="R906" s="9"/>
      <c r="S906" s="9"/>
      <c r="T906" s="10"/>
      <c r="U906" s="9"/>
      <c r="V906" s="9"/>
    </row>
    <row r="907" ht="12.5" spans="1:22">
      <c r="A907" s="4"/>
      <c r="B907" s="4"/>
      <c r="C907" s="4"/>
      <c r="D907" s="4"/>
      <c r="E907" s="5"/>
      <c r="F907" s="5"/>
      <c r="G907" s="5"/>
      <c r="H907" s="5"/>
      <c r="I907" s="5"/>
      <c r="J907" s="5"/>
      <c r="K907" s="5"/>
      <c r="L907" s="5"/>
      <c r="M907" s="5"/>
      <c r="N907" s="5"/>
      <c r="O907" s="5"/>
      <c r="P907" s="5"/>
      <c r="Q907" s="5"/>
      <c r="R907" s="9"/>
      <c r="S907" s="9"/>
      <c r="T907" s="10"/>
      <c r="U907" s="9"/>
      <c r="V907" s="9"/>
    </row>
    <row r="908" ht="12.5" spans="1:22">
      <c r="A908" s="4"/>
      <c r="B908" s="4"/>
      <c r="C908" s="4"/>
      <c r="D908" s="4"/>
      <c r="E908" s="5"/>
      <c r="F908" s="5"/>
      <c r="G908" s="5"/>
      <c r="H908" s="5"/>
      <c r="I908" s="5"/>
      <c r="J908" s="5"/>
      <c r="K908" s="5"/>
      <c r="L908" s="5"/>
      <c r="M908" s="5"/>
      <c r="N908" s="5"/>
      <c r="O908" s="5"/>
      <c r="P908" s="5"/>
      <c r="Q908" s="5"/>
      <c r="R908" s="9"/>
      <c r="S908" s="9"/>
      <c r="T908" s="10"/>
      <c r="U908" s="9"/>
      <c r="V908" s="9"/>
    </row>
    <row r="909" ht="12.5" spans="1:22">
      <c r="A909" s="4"/>
      <c r="B909" s="4"/>
      <c r="C909" s="4"/>
      <c r="D909" s="4"/>
      <c r="E909" s="5"/>
      <c r="F909" s="5"/>
      <c r="G909" s="5"/>
      <c r="H909" s="5"/>
      <c r="I909" s="5"/>
      <c r="J909" s="5"/>
      <c r="K909" s="5"/>
      <c r="L909" s="5"/>
      <c r="M909" s="5"/>
      <c r="N909" s="5"/>
      <c r="O909" s="5"/>
      <c r="P909" s="5"/>
      <c r="Q909" s="5"/>
      <c r="R909" s="9"/>
      <c r="S909" s="9"/>
      <c r="T909" s="10"/>
      <c r="U909" s="9"/>
      <c r="V909" s="9"/>
    </row>
    <row r="910" ht="12.5" spans="1:22">
      <c r="A910" s="4"/>
      <c r="B910" s="4"/>
      <c r="C910" s="4"/>
      <c r="D910" s="4"/>
      <c r="E910" s="5"/>
      <c r="F910" s="5"/>
      <c r="G910" s="5"/>
      <c r="H910" s="5"/>
      <c r="I910" s="5"/>
      <c r="J910" s="5"/>
      <c r="K910" s="5"/>
      <c r="L910" s="5"/>
      <c r="M910" s="5"/>
      <c r="N910" s="5"/>
      <c r="O910" s="5"/>
      <c r="P910" s="5"/>
      <c r="Q910" s="5"/>
      <c r="R910" s="9"/>
      <c r="S910" s="9"/>
      <c r="T910" s="10"/>
      <c r="U910" s="9"/>
      <c r="V910" s="9"/>
    </row>
    <row r="911" ht="12.5" spans="1:22">
      <c r="A911" s="4"/>
      <c r="B911" s="4"/>
      <c r="C911" s="4"/>
      <c r="D911" s="4"/>
      <c r="E911" s="5"/>
      <c r="F911" s="5"/>
      <c r="G911" s="5"/>
      <c r="H911" s="5"/>
      <c r="I911" s="5"/>
      <c r="J911" s="5"/>
      <c r="K911" s="5"/>
      <c r="L911" s="5"/>
      <c r="M911" s="5"/>
      <c r="N911" s="5"/>
      <c r="O911" s="5"/>
      <c r="P911" s="5"/>
      <c r="Q911" s="5"/>
      <c r="R911" s="9"/>
      <c r="S911" s="9"/>
      <c r="T911" s="10"/>
      <c r="U911" s="9"/>
      <c r="V911" s="9"/>
    </row>
    <row r="912" ht="12.5" spans="1:22">
      <c r="A912" s="4"/>
      <c r="B912" s="4"/>
      <c r="C912" s="4"/>
      <c r="D912" s="4"/>
      <c r="E912" s="5"/>
      <c r="F912" s="5"/>
      <c r="G912" s="5"/>
      <c r="H912" s="5"/>
      <c r="I912" s="5"/>
      <c r="J912" s="5"/>
      <c r="K912" s="5"/>
      <c r="L912" s="5"/>
      <c r="M912" s="5"/>
      <c r="N912" s="5"/>
      <c r="O912" s="5"/>
      <c r="P912" s="5"/>
      <c r="Q912" s="5"/>
      <c r="R912" s="9"/>
      <c r="S912" s="9"/>
      <c r="T912" s="10"/>
      <c r="U912" s="9"/>
      <c r="V912" s="9"/>
    </row>
    <row r="913" ht="12.5" spans="1:22">
      <c r="A913" s="4"/>
      <c r="B913" s="4"/>
      <c r="C913" s="4"/>
      <c r="D913" s="4"/>
      <c r="E913" s="5"/>
      <c r="F913" s="5"/>
      <c r="G913" s="5"/>
      <c r="H913" s="5"/>
      <c r="I913" s="5"/>
      <c r="J913" s="5"/>
      <c r="K913" s="5"/>
      <c r="L913" s="5"/>
      <c r="M913" s="5"/>
      <c r="N913" s="5"/>
      <c r="O913" s="5"/>
      <c r="P913" s="5"/>
      <c r="Q913" s="5"/>
      <c r="R913" s="9"/>
      <c r="S913" s="9"/>
      <c r="T913" s="10"/>
      <c r="U913" s="9"/>
      <c r="V913" s="9"/>
    </row>
    <row r="914" ht="12.5" spans="1:22">
      <c r="A914" s="4"/>
      <c r="B914" s="4"/>
      <c r="C914" s="4"/>
      <c r="D914" s="4"/>
      <c r="E914" s="5"/>
      <c r="F914" s="5"/>
      <c r="G914" s="5"/>
      <c r="H914" s="5"/>
      <c r="I914" s="5"/>
      <c r="J914" s="5"/>
      <c r="K914" s="5"/>
      <c r="L914" s="5"/>
      <c r="M914" s="5"/>
      <c r="N914" s="5"/>
      <c r="O914" s="5"/>
      <c r="P914" s="5"/>
      <c r="Q914" s="5"/>
      <c r="R914" s="9"/>
      <c r="S914" s="9"/>
      <c r="T914" s="10"/>
      <c r="U914" s="9"/>
      <c r="V914" s="9"/>
    </row>
    <row r="915" ht="12.5" spans="1:22">
      <c r="A915" s="4"/>
      <c r="B915" s="4"/>
      <c r="C915" s="4"/>
      <c r="D915" s="4"/>
      <c r="E915" s="5"/>
      <c r="F915" s="5"/>
      <c r="G915" s="5"/>
      <c r="H915" s="5"/>
      <c r="I915" s="5"/>
      <c r="J915" s="5"/>
      <c r="K915" s="5"/>
      <c r="L915" s="5"/>
      <c r="M915" s="5"/>
      <c r="N915" s="5"/>
      <c r="O915" s="5"/>
      <c r="P915" s="5"/>
      <c r="Q915" s="5"/>
      <c r="R915" s="9"/>
      <c r="S915" s="9"/>
      <c r="T915" s="10"/>
      <c r="U915" s="9"/>
      <c r="V915" s="9"/>
    </row>
    <row r="916" ht="12.5" spans="1:22">
      <c r="A916" s="4"/>
      <c r="B916" s="4"/>
      <c r="C916" s="4"/>
      <c r="D916" s="4"/>
      <c r="E916" s="5"/>
      <c r="F916" s="5"/>
      <c r="G916" s="5"/>
      <c r="H916" s="5"/>
      <c r="I916" s="5"/>
      <c r="J916" s="5"/>
      <c r="K916" s="5"/>
      <c r="L916" s="5"/>
      <c r="M916" s="5"/>
      <c r="N916" s="5"/>
      <c r="O916" s="5"/>
      <c r="P916" s="5"/>
      <c r="Q916" s="5"/>
      <c r="R916" s="9"/>
      <c r="S916" s="9"/>
      <c r="T916" s="10"/>
      <c r="U916" s="9"/>
      <c r="V916" s="9"/>
    </row>
    <row r="917" ht="12.5" spans="1:22">
      <c r="A917" s="4"/>
      <c r="B917" s="4"/>
      <c r="C917" s="4"/>
      <c r="D917" s="4"/>
      <c r="E917" s="5"/>
      <c r="F917" s="5"/>
      <c r="G917" s="5"/>
      <c r="H917" s="5"/>
      <c r="I917" s="5"/>
      <c r="J917" s="5"/>
      <c r="K917" s="5"/>
      <c r="L917" s="5"/>
      <c r="M917" s="5"/>
      <c r="N917" s="5"/>
      <c r="O917" s="5"/>
      <c r="P917" s="5"/>
      <c r="Q917" s="5"/>
      <c r="R917" s="9"/>
      <c r="S917" s="9"/>
      <c r="T917" s="10"/>
      <c r="U917" s="9"/>
      <c r="V917" s="9"/>
    </row>
    <row r="918" ht="12.5" spans="1:22">
      <c r="A918" s="4"/>
      <c r="B918" s="4"/>
      <c r="C918" s="4"/>
      <c r="D918" s="4"/>
      <c r="E918" s="5"/>
      <c r="F918" s="5"/>
      <c r="G918" s="5"/>
      <c r="H918" s="5"/>
      <c r="I918" s="5"/>
      <c r="J918" s="5"/>
      <c r="K918" s="5"/>
      <c r="L918" s="5"/>
      <c r="M918" s="5"/>
      <c r="N918" s="5"/>
      <c r="O918" s="5"/>
      <c r="P918" s="5"/>
      <c r="Q918" s="5"/>
      <c r="R918" s="9"/>
      <c r="S918" s="9"/>
      <c r="T918" s="10"/>
      <c r="U918" s="9"/>
      <c r="V918" s="9"/>
    </row>
    <row r="919" ht="12.5" spans="1:22">
      <c r="A919" s="4"/>
      <c r="B919" s="4"/>
      <c r="C919" s="4"/>
      <c r="D919" s="4"/>
      <c r="E919" s="5"/>
      <c r="F919" s="5"/>
      <c r="G919" s="5"/>
      <c r="H919" s="5"/>
      <c r="I919" s="5"/>
      <c r="J919" s="5"/>
      <c r="K919" s="5"/>
      <c r="L919" s="5"/>
      <c r="M919" s="5"/>
      <c r="N919" s="5"/>
      <c r="O919" s="5"/>
      <c r="P919" s="5"/>
      <c r="Q919" s="5"/>
      <c r="R919" s="9"/>
      <c r="S919" s="9"/>
      <c r="T919" s="10"/>
      <c r="U919" s="9"/>
      <c r="V919" s="9"/>
    </row>
    <row r="920" ht="12.5" spans="1:22">
      <c r="A920" s="4"/>
      <c r="B920" s="4"/>
      <c r="C920" s="4"/>
      <c r="D920" s="4"/>
      <c r="E920" s="5"/>
      <c r="F920" s="5"/>
      <c r="G920" s="5"/>
      <c r="H920" s="5"/>
      <c r="I920" s="5"/>
      <c r="J920" s="5"/>
      <c r="K920" s="5"/>
      <c r="L920" s="5"/>
      <c r="M920" s="5"/>
      <c r="N920" s="5"/>
      <c r="O920" s="5"/>
      <c r="P920" s="5"/>
      <c r="Q920" s="5"/>
      <c r="R920" s="9"/>
      <c r="S920" s="9"/>
      <c r="T920" s="10"/>
      <c r="U920" s="9"/>
      <c r="V920" s="9"/>
    </row>
    <row r="921" ht="12.5" spans="1:22">
      <c r="A921" s="4"/>
      <c r="B921" s="4"/>
      <c r="C921" s="4"/>
      <c r="D921" s="4"/>
      <c r="E921" s="5"/>
      <c r="F921" s="5"/>
      <c r="G921" s="5"/>
      <c r="H921" s="5"/>
      <c r="I921" s="5"/>
      <c r="J921" s="5"/>
      <c r="K921" s="5"/>
      <c r="L921" s="5"/>
      <c r="M921" s="5"/>
      <c r="N921" s="5"/>
      <c r="O921" s="5"/>
      <c r="P921" s="5"/>
      <c r="Q921" s="5"/>
      <c r="R921" s="9"/>
      <c r="S921" s="9"/>
      <c r="T921" s="10"/>
      <c r="U921" s="9"/>
      <c r="V921" s="9"/>
    </row>
    <row r="922" ht="12.5" spans="1:22">
      <c r="A922" s="4"/>
      <c r="B922" s="4"/>
      <c r="C922" s="4"/>
      <c r="D922" s="4"/>
      <c r="E922" s="5"/>
      <c r="F922" s="5"/>
      <c r="G922" s="5"/>
      <c r="H922" s="5"/>
      <c r="I922" s="5"/>
      <c r="J922" s="5"/>
      <c r="K922" s="5"/>
      <c r="L922" s="5"/>
      <c r="M922" s="5"/>
      <c r="N922" s="5"/>
      <c r="O922" s="5"/>
      <c r="P922" s="5"/>
      <c r="Q922" s="5"/>
      <c r="R922" s="9"/>
      <c r="S922" s="9"/>
      <c r="T922" s="10"/>
      <c r="U922" s="9"/>
      <c r="V922" s="9"/>
    </row>
    <row r="923" ht="12.5" spans="1:22">
      <c r="A923" s="4"/>
      <c r="B923" s="4"/>
      <c r="C923" s="4"/>
      <c r="D923" s="4"/>
      <c r="E923" s="5"/>
      <c r="F923" s="5"/>
      <c r="G923" s="5"/>
      <c r="H923" s="5"/>
      <c r="I923" s="5"/>
      <c r="J923" s="5"/>
      <c r="K923" s="5"/>
      <c r="L923" s="5"/>
      <c r="M923" s="5"/>
      <c r="N923" s="5"/>
      <c r="O923" s="5"/>
      <c r="P923" s="5"/>
      <c r="Q923" s="5"/>
      <c r="R923" s="9"/>
      <c r="S923" s="9"/>
      <c r="T923" s="10"/>
      <c r="U923" s="9"/>
      <c r="V923" s="9"/>
    </row>
    <row r="924" ht="12.5" spans="1:22">
      <c r="A924" s="4"/>
      <c r="B924" s="4"/>
      <c r="C924" s="4"/>
      <c r="D924" s="4"/>
      <c r="E924" s="5"/>
      <c r="F924" s="5"/>
      <c r="G924" s="5"/>
      <c r="H924" s="5"/>
      <c r="I924" s="5"/>
      <c r="J924" s="5"/>
      <c r="K924" s="5"/>
      <c r="L924" s="5"/>
      <c r="M924" s="5"/>
      <c r="N924" s="5"/>
      <c r="O924" s="5"/>
      <c r="P924" s="5"/>
      <c r="Q924" s="5"/>
      <c r="R924" s="9"/>
      <c r="S924" s="9"/>
      <c r="T924" s="10"/>
      <c r="U924" s="9"/>
      <c r="V924" s="9"/>
    </row>
    <row r="925" ht="12.5" spans="1:22">
      <c r="A925" s="4"/>
      <c r="B925" s="4"/>
      <c r="C925" s="4"/>
      <c r="D925" s="4"/>
      <c r="E925" s="5"/>
      <c r="F925" s="5"/>
      <c r="G925" s="5"/>
      <c r="H925" s="5"/>
      <c r="I925" s="5"/>
      <c r="J925" s="5"/>
      <c r="K925" s="5"/>
      <c r="L925" s="5"/>
      <c r="M925" s="5"/>
      <c r="N925" s="5"/>
      <c r="O925" s="5"/>
      <c r="P925" s="5"/>
      <c r="Q925" s="5"/>
      <c r="R925" s="9"/>
      <c r="S925" s="9"/>
      <c r="T925" s="10"/>
      <c r="U925" s="9"/>
      <c r="V925" s="9"/>
    </row>
    <row r="926" ht="12.5" spans="1:22">
      <c r="A926" s="4"/>
      <c r="B926" s="4"/>
      <c r="C926" s="4"/>
      <c r="D926" s="4"/>
      <c r="E926" s="5"/>
      <c r="F926" s="5"/>
      <c r="G926" s="5"/>
      <c r="H926" s="5"/>
      <c r="I926" s="5"/>
      <c r="J926" s="5"/>
      <c r="K926" s="5"/>
      <c r="L926" s="5"/>
      <c r="M926" s="5"/>
      <c r="N926" s="5"/>
      <c r="O926" s="5"/>
      <c r="P926" s="5"/>
      <c r="Q926" s="5"/>
      <c r="R926" s="9"/>
      <c r="S926" s="9"/>
      <c r="T926" s="10"/>
      <c r="U926" s="9"/>
      <c r="V926" s="9"/>
    </row>
    <row r="927" ht="12.5" spans="1:22">
      <c r="A927" s="4"/>
      <c r="B927" s="4"/>
      <c r="C927" s="4"/>
      <c r="D927" s="4"/>
      <c r="E927" s="5"/>
      <c r="F927" s="5"/>
      <c r="G927" s="5"/>
      <c r="H927" s="5"/>
      <c r="I927" s="5"/>
      <c r="J927" s="5"/>
      <c r="K927" s="5"/>
      <c r="L927" s="5"/>
      <c r="M927" s="5"/>
      <c r="N927" s="5"/>
      <c r="O927" s="5"/>
      <c r="P927" s="5"/>
      <c r="Q927" s="5"/>
      <c r="R927" s="9"/>
      <c r="S927" s="9"/>
      <c r="T927" s="10"/>
      <c r="U927" s="9"/>
      <c r="V927" s="9"/>
    </row>
    <row r="928" ht="12.5" spans="1:22">
      <c r="A928" s="4"/>
      <c r="B928" s="4"/>
      <c r="C928" s="4"/>
      <c r="D928" s="4"/>
      <c r="E928" s="5"/>
      <c r="F928" s="5"/>
      <c r="G928" s="5"/>
      <c r="H928" s="5"/>
      <c r="I928" s="5"/>
      <c r="J928" s="5"/>
      <c r="K928" s="5"/>
      <c r="L928" s="5"/>
      <c r="M928" s="5"/>
      <c r="N928" s="5"/>
      <c r="O928" s="5"/>
      <c r="P928" s="5"/>
      <c r="Q928" s="5"/>
      <c r="R928" s="9"/>
      <c r="S928" s="9"/>
      <c r="T928" s="10"/>
      <c r="U928" s="9"/>
      <c r="V928" s="9"/>
    </row>
    <row r="929" ht="12.5" spans="1:22">
      <c r="A929" s="4"/>
      <c r="B929" s="4"/>
      <c r="C929" s="4"/>
      <c r="D929" s="4"/>
      <c r="E929" s="5"/>
      <c r="F929" s="5"/>
      <c r="G929" s="5"/>
      <c r="H929" s="5"/>
      <c r="I929" s="5"/>
      <c r="J929" s="5"/>
      <c r="K929" s="5"/>
      <c r="L929" s="5"/>
      <c r="M929" s="5"/>
      <c r="N929" s="5"/>
      <c r="O929" s="5"/>
      <c r="P929" s="5"/>
      <c r="Q929" s="5"/>
      <c r="R929" s="9"/>
      <c r="S929" s="9"/>
      <c r="T929" s="10"/>
      <c r="U929" s="9"/>
      <c r="V929" s="9"/>
    </row>
    <row r="930" ht="12.5" spans="1:22">
      <c r="A930" s="4"/>
      <c r="B930" s="4"/>
      <c r="C930" s="4"/>
      <c r="D930" s="4"/>
      <c r="E930" s="5"/>
      <c r="F930" s="5"/>
      <c r="G930" s="5"/>
      <c r="H930" s="5"/>
      <c r="I930" s="5"/>
      <c r="J930" s="5"/>
      <c r="K930" s="5"/>
      <c r="L930" s="5"/>
      <c r="M930" s="5"/>
      <c r="N930" s="5"/>
      <c r="O930" s="5"/>
      <c r="P930" s="5"/>
      <c r="Q930" s="5"/>
      <c r="R930" s="9"/>
      <c r="S930" s="9"/>
      <c r="T930" s="10"/>
      <c r="U930" s="9"/>
      <c r="V930" s="9"/>
    </row>
    <row r="931" ht="12.5" spans="1:22">
      <c r="A931" s="4"/>
      <c r="B931" s="4"/>
      <c r="C931" s="4"/>
      <c r="D931" s="4"/>
      <c r="E931" s="5"/>
      <c r="F931" s="5"/>
      <c r="G931" s="5"/>
      <c r="H931" s="5"/>
      <c r="I931" s="5"/>
      <c r="J931" s="5"/>
      <c r="K931" s="5"/>
      <c r="L931" s="5"/>
      <c r="M931" s="5"/>
      <c r="N931" s="5"/>
      <c r="O931" s="5"/>
      <c r="P931" s="5"/>
      <c r="Q931" s="5"/>
      <c r="R931" s="9"/>
      <c r="S931" s="9"/>
      <c r="T931" s="10"/>
      <c r="U931" s="9"/>
      <c r="V931" s="9"/>
    </row>
    <row r="932" ht="12.5" spans="1:22">
      <c r="A932" s="4"/>
      <c r="B932" s="4"/>
      <c r="C932" s="4"/>
      <c r="D932" s="4"/>
      <c r="E932" s="5"/>
      <c r="F932" s="5"/>
      <c r="G932" s="5"/>
      <c r="H932" s="5"/>
      <c r="I932" s="5"/>
      <c r="J932" s="5"/>
      <c r="K932" s="5"/>
      <c r="L932" s="5"/>
      <c r="M932" s="5"/>
      <c r="N932" s="5"/>
      <c r="O932" s="5"/>
      <c r="P932" s="5"/>
      <c r="Q932" s="5"/>
      <c r="R932" s="9"/>
      <c r="S932" s="9"/>
      <c r="T932" s="10"/>
      <c r="U932" s="9"/>
      <c r="V932" s="9"/>
    </row>
    <row r="933" ht="12.5" spans="1:22">
      <c r="A933" s="4"/>
      <c r="B933" s="4"/>
      <c r="C933" s="4"/>
      <c r="D933" s="4"/>
      <c r="E933" s="5"/>
      <c r="F933" s="5"/>
      <c r="G933" s="5"/>
      <c r="H933" s="5"/>
      <c r="I933" s="5"/>
      <c r="J933" s="5"/>
      <c r="K933" s="5"/>
      <c r="L933" s="5"/>
      <c r="M933" s="5"/>
      <c r="N933" s="5"/>
      <c r="O933" s="5"/>
      <c r="P933" s="5"/>
      <c r="Q933" s="5"/>
      <c r="R933" s="9"/>
      <c r="S933" s="9"/>
      <c r="T933" s="10"/>
      <c r="U933" s="9"/>
      <c r="V933" s="9"/>
    </row>
    <row r="934" ht="12.5" spans="1:22">
      <c r="A934" s="4"/>
      <c r="B934" s="4"/>
      <c r="C934" s="4"/>
      <c r="D934" s="4"/>
      <c r="E934" s="5"/>
      <c r="F934" s="5"/>
      <c r="G934" s="5"/>
      <c r="H934" s="5"/>
      <c r="I934" s="5"/>
      <c r="J934" s="5"/>
      <c r="K934" s="5"/>
      <c r="L934" s="5"/>
      <c r="M934" s="5"/>
      <c r="N934" s="5"/>
      <c r="O934" s="5"/>
      <c r="P934" s="5"/>
      <c r="Q934" s="5"/>
      <c r="R934" s="9"/>
      <c r="S934" s="9"/>
      <c r="T934" s="10"/>
      <c r="U934" s="9"/>
      <c r="V934" s="9"/>
    </row>
    <row r="935" ht="12.5" spans="1:22">
      <c r="A935" s="4"/>
      <c r="B935" s="4"/>
      <c r="C935" s="4"/>
      <c r="D935" s="4"/>
      <c r="E935" s="5"/>
      <c r="F935" s="5"/>
      <c r="G935" s="5"/>
      <c r="H935" s="5"/>
      <c r="I935" s="5"/>
      <c r="J935" s="5"/>
      <c r="K935" s="5"/>
      <c r="L935" s="5"/>
      <c r="M935" s="5"/>
      <c r="N935" s="5"/>
      <c r="O935" s="5"/>
      <c r="P935" s="5"/>
      <c r="Q935" s="5"/>
      <c r="R935" s="9"/>
      <c r="S935" s="9"/>
      <c r="T935" s="10"/>
      <c r="U935" s="9"/>
      <c r="V935" s="9"/>
    </row>
    <row r="936" ht="12.5" spans="1:22">
      <c r="A936" s="4"/>
      <c r="B936" s="4"/>
      <c r="C936" s="4"/>
      <c r="D936" s="4"/>
      <c r="E936" s="5"/>
      <c r="F936" s="5"/>
      <c r="G936" s="5"/>
      <c r="H936" s="5"/>
      <c r="I936" s="5"/>
      <c r="J936" s="5"/>
      <c r="K936" s="5"/>
      <c r="L936" s="5"/>
      <c r="M936" s="5"/>
      <c r="N936" s="5"/>
      <c r="O936" s="5"/>
      <c r="P936" s="5"/>
      <c r="Q936" s="5"/>
      <c r="R936" s="9"/>
      <c r="S936" s="9"/>
      <c r="T936" s="10"/>
      <c r="U936" s="9"/>
      <c r="V936" s="9"/>
    </row>
    <row r="937" ht="12.5" spans="1:22">
      <c r="A937" s="4"/>
      <c r="B937" s="4"/>
      <c r="C937" s="4"/>
      <c r="D937" s="4"/>
      <c r="E937" s="5"/>
      <c r="F937" s="5"/>
      <c r="G937" s="5"/>
      <c r="H937" s="5"/>
      <c r="I937" s="5"/>
      <c r="J937" s="5"/>
      <c r="K937" s="5"/>
      <c r="L937" s="5"/>
      <c r="M937" s="5"/>
      <c r="N937" s="5"/>
      <c r="O937" s="5"/>
      <c r="P937" s="5"/>
      <c r="Q937" s="5"/>
      <c r="R937" s="9"/>
      <c r="S937" s="9"/>
      <c r="T937" s="10"/>
      <c r="U937" s="9"/>
      <c r="V937" s="9"/>
    </row>
    <row r="938" ht="12.5" spans="1:22">
      <c r="A938" s="4"/>
      <c r="B938" s="4"/>
      <c r="C938" s="4"/>
      <c r="D938" s="4"/>
      <c r="E938" s="5"/>
      <c r="F938" s="5"/>
      <c r="G938" s="5"/>
      <c r="H938" s="5"/>
      <c r="I938" s="5"/>
      <c r="J938" s="5"/>
      <c r="K938" s="5"/>
      <c r="L938" s="5"/>
      <c r="M938" s="5"/>
      <c r="N938" s="5"/>
      <c r="O938" s="5"/>
      <c r="P938" s="5"/>
      <c r="Q938" s="5"/>
      <c r="R938" s="9"/>
      <c r="S938" s="9"/>
      <c r="T938" s="10"/>
      <c r="U938" s="9"/>
      <c r="V938" s="9"/>
    </row>
    <row r="939" ht="12.5" spans="1:22">
      <c r="A939" s="4"/>
      <c r="B939" s="4"/>
      <c r="C939" s="4"/>
      <c r="D939" s="4"/>
      <c r="E939" s="5"/>
      <c r="F939" s="5"/>
      <c r="G939" s="5"/>
      <c r="H939" s="5"/>
      <c r="I939" s="5"/>
      <c r="J939" s="5"/>
      <c r="K939" s="5"/>
      <c r="L939" s="5"/>
      <c r="M939" s="5"/>
      <c r="N939" s="5"/>
      <c r="O939" s="5"/>
      <c r="P939" s="5"/>
      <c r="Q939" s="5"/>
      <c r="R939" s="9"/>
      <c r="S939" s="9"/>
      <c r="T939" s="10"/>
      <c r="U939" s="9"/>
      <c r="V939" s="9"/>
    </row>
    <row r="940" ht="12.5" spans="1:22">
      <c r="A940" s="4"/>
      <c r="B940" s="4"/>
      <c r="C940" s="4"/>
      <c r="D940" s="4"/>
      <c r="E940" s="5"/>
      <c r="F940" s="5"/>
      <c r="G940" s="5"/>
      <c r="H940" s="5"/>
      <c r="I940" s="5"/>
      <c r="J940" s="5"/>
      <c r="K940" s="5"/>
      <c r="L940" s="5"/>
      <c r="M940" s="5"/>
      <c r="N940" s="5"/>
      <c r="O940" s="5"/>
      <c r="P940" s="5"/>
      <c r="Q940" s="5"/>
      <c r="R940" s="9"/>
      <c r="S940" s="9"/>
      <c r="T940" s="10"/>
      <c r="U940" s="9"/>
      <c r="V940" s="9"/>
    </row>
    <row r="941" ht="12.5" spans="1:22">
      <c r="A941" s="4"/>
      <c r="B941" s="4"/>
      <c r="C941" s="4"/>
      <c r="D941" s="4"/>
      <c r="E941" s="5"/>
      <c r="F941" s="5"/>
      <c r="G941" s="5"/>
      <c r="H941" s="5"/>
      <c r="I941" s="5"/>
      <c r="J941" s="5"/>
      <c r="K941" s="5"/>
      <c r="L941" s="5"/>
      <c r="M941" s="5"/>
      <c r="N941" s="5"/>
      <c r="O941" s="5"/>
      <c r="P941" s="5"/>
      <c r="Q941" s="5"/>
      <c r="R941" s="9"/>
      <c r="S941" s="9"/>
      <c r="T941" s="10"/>
      <c r="U941" s="9"/>
      <c r="V941" s="9"/>
    </row>
    <row r="942" ht="12.5" spans="1:22">
      <c r="A942" s="4"/>
      <c r="B942" s="4"/>
      <c r="C942" s="4"/>
      <c r="D942" s="4"/>
      <c r="E942" s="5"/>
      <c r="F942" s="5"/>
      <c r="G942" s="5"/>
      <c r="H942" s="5"/>
      <c r="I942" s="5"/>
      <c r="J942" s="5"/>
      <c r="K942" s="5"/>
      <c r="L942" s="5"/>
      <c r="M942" s="5"/>
      <c r="N942" s="5"/>
      <c r="O942" s="5"/>
      <c r="P942" s="5"/>
      <c r="Q942" s="5"/>
      <c r="R942" s="9"/>
      <c r="S942" s="9"/>
      <c r="T942" s="10"/>
      <c r="U942" s="9"/>
      <c r="V942" s="9"/>
    </row>
    <row r="943" ht="12.5" spans="1:22">
      <c r="A943" s="4"/>
      <c r="B943" s="4"/>
      <c r="C943" s="4"/>
      <c r="D943" s="4"/>
      <c r="E943" s="5"/>
      <c r="F943" s="5"/>
      <c r="G943" s="5"/>
      <c r="H943" s="5"/>
      <c r="I943" s="5"/>
      <c r="J943" s="5"/>
      <c r="K943" s="5"/>
      <c r="L943" s="5"/>
      <c r="M943" s="5"/>
      <c r="N943" s="5"/>
      <c r="O943" s="5"/>
      <c r="P943" s="5"/>
      <c r="Q943" s="5"/>
      <c r="R943" s="9"/>
      <c r="S943" s="9"/>
      <c r="T943" s="10"/>
      <c r="U943" s="9"/>
      <c r="V943" s="9"/>
    </row>
    <row r="944" ht="12.5" spans="1:22">
      <c r="A944" s="4"/>
      <c r="B944" s="4"/>
      <c r="C944" s="4"/>
      <c r="D944" s="4"/>
      <c r="E944" s="5"/>
      <c r="F944" s="5"/>
      <c r="G944" s="5"/>
      <c r="H944" s="5"/>
      <c r="I944" s="5"/>
      <c r="J944" s="5"/>
      <c r="K944" s="5"/>
      <c r="L944" s="5"/>
      <c r="M944" s="5"/>
      <c r="N944" s="5"/>
      <c r="O944" s="5"/>
      <c r="P944" s="5"/>
      <c r="Q944" s="5"/>
      <c r="R944" s="9"/>
      <c r="S944" s="9"/>
      <c r="T944" s="10"/>
      <c r="U944" s="9"/>
      <c r="V944" s="9"/>
    </row>
    <row r="945" ht="12.5" spans="1:22">
      <c r="A945" s="4"/>
      <c r="B945" s="4"/>
      <c r="C945" s="4"/>
      <c r="D945" s="4"/>
      <c r="E945" s="5"/>
      <c r="F945" s="5"/>
      <c r="G945" s="5"/>
      <c r="H945" s="5"/>
      <c r="I945" s="5"/>
      <c r="J945" s="5"/>
      <c r="K945" s="5"/>
      <c r="L945" s="5"/>
      <c r="M945" s="5"/>
      <c r="N945" s="5"/>
      <c r="O945" s="5"/>
      <c r="P945" s="5"/>
      <c r="Q945" s="5"/>
      <c r="R945" s="9"/>
      <c r="S945" s="9"/>
      <c r="T945" s="10"/>
      <c r="U945" s="9"/>
      <c r="V945" s="9"/>
    </row>
    <row r="946" ht="12.5" spans="1:22">
      <c r="A946" s="4"/>
      <c r="B946" s="4"/>
      <c r="C946" s="4"/>
      <c r="D946" s="4"/>
      <c r="E946" s="5"/>
      <c r="F946" s="5"/>
      <c r="G946" s="5"/>
      <c r="H946" s="5"/>
      <c r="I946" s="5"/>
      <c r="J946" s="5"/>
      <c r="K946" s="5"/>
      <c r="L946" s="5"/>
      <c r="M946" s="5"/>
      <c r="N946" s="5"/>
      <c r="O946" s="5"/>
      <c r="P946" s="5"/>
      <c r="Q946" s="5"/>
      <c r="R946" s="9"/>
      <c r="S946" s="9"/>
      <c r="T946" s="10"/>
      <c r="U946" s="9"/>
      <c r="V946" s="9"/>
    </row>
    <row r="947" ht="12.5" spans="1:22">
      <c r="A947" s="4"/>
      <c r="B947" s="4"/>
      <c r="C947" s="4"/>
      <c r="D947" s="4"/>
      <c r="E947" s="5"/>
      <c r="F947" s="5"/>
      <c r="G947" s="5"/>
      <c r="H947" s="5"/>
      <c r="I947" s="5"/>
      <c r="J947" s="5"/>
      <c r="K947" s="5"/>
      <c r="L947" s="5"/>
      <c r="M947" s="5"/>
      <c r="N947" s="5"/>
      <c r="O947" s="5"/>
      <c r="P947" s="5"/>
      <c r="Q947" s="5"/>
      <c r="R947" s="9"/>
      <c r="S947" s="9"/>
      <c r="T947" s="10"/>
      <c r="U947" s="9"/>
      <c r="V947" s="9"/>
    </row>
    <row r="948" ht="12.5" spans="1:22">
      <c r="A948" s="4"/>
      <c r="B948" s="4"/>
      <c r="C948" s="4"/>
      <c r="D948" s="4"/>
      <c r="E948" s="5"/>
      <c r="F948" s="5"/>
      <c r="G948" s="5"/>
      <c r="H948" s="5"/>
      <c r="I948" s="5"/>
      <c r="J948" s="5"/>
      <c r="K948" s="5"/>
      <c r="L948" s="5"/>
      <c r="M948" s="5"/>
      <c r="N948" s="5"/>
      <c r="O948" s="5"/>
      <c r="P948" s="5"/>
      <c r="Q948" s="5"/>
      <c r="R948" s="9"/>
      <c r="S948" s="9"/>
      <c r="T948" s="10"/>
      <c r="U948" s="9"/>
      <c r="V948" s="9"/>
    </row>
    <row r="949" ht="12.5" spans="1:22">
      <c r="A949" s="4"/>
      <c r="B949" s="4"/>
      <c r="C949" s="4"/>
      <c r="D949" s="4"/>
      <c r="E949" s="5"/>
      <c r="F949" s="5"/>
      <c r="G949" s="5"/>
      <c r="H949" s="5"/>
      <c r="I949" s="5"/>
      <c r="J949" s="5"/>
      <c r="K949" s="5"/>
      <c r="L949" s="5"/>
      <c r="M949" s="5"/>
      <c r="N949" s="5"/>
      <c r="O949" s="5"/>
      <c r="P949" s="5"/>
      <c r="Q949" s="5"/>
      <c r="R949" s="9"/>
      <c r="S949" s="9"/>
      <c r="T949" s="10"/>
      <c r="U949" s="9"/>
      <c r="V949" s="9"/>
    </row>
    <row r="950" ht="12.5" spans="1:22">
      <c r="A950" s="4"/>
      <c r="B950" s="4"/>
      <c r="C950" s="4"/>
      <c r="D950" s="4"/>
      <c r="E950" s="5"/>
      <c r="F950" s="5"/>
      <c r="G950" s="5"/>
      <c r="H950" s="5"/>
      <c r="I950" s="5"/>
      <c r="J950" s="5"/>
      <c r="K950" s="5"/>
      <c r="L950" s="5"/>
      <c r="M950" s="5"/>
      <c r="N950" s="5"/>
      <c r="O950" s="5"/>
      <c r="P950" s="5"/>
      <c r="Q950" s="5"/>
      <c r="R950" s="9"/>
      <c r="S950" s="9"/>
      <c r="T950" s="10"/>
      <c r="U950" s="9"/>
      <c r="V950" s="9"/>
    </row>
    <row r="951" ht="12.5" spans="1:22">
      <c r="A951" s="4"/>
      <c r="B951" s="4"/>
      <c r="C951" s="4"/>
      <c r="D951" s="4"/>
      <c r="E951" s="5"/>
      <c r="F951" s="5"/>
      <c r="G951" s="5"/>
      <c r="H951" s="5"/>
      <c r="I951" s="5"/>
      <c r="J951" s="5"/>
      <c r="K951" s="5"/>
      <c r="L951" s="5"/>
      <c r="M951" s="5"/>
      <c r="N951" s="5"/>
      <c r="O951" s="5"/>
      <c r="P951" s="5"/>
      <c r="Q951" s="5"/>
      <c r="R951" s="9"/>
      <c r="S951" s="9"/>
      <c r="T951" s="10"/>
      <c r="U951" s="9"/>
      <c r="V951" s="9"/>
    </row>
    <row r="952" ht="12.5" spans="1:22">
      <c r="A952" s="4"/>
      <c r="B952" s="4"/>
      <c r="C952" s="4"/>
      <c r="D952" s="4"/>
      <c r="E952" s="5"/>
      <c r="F952" s="5"/>
      <c r="G952" s="5"/>
      <c r="H952" s="5"/>
      <c r="I952" s="5"/>
      <c r="J952" s="5"/>
      <c r="K952" s="5"/>
      <c r="L952" s="5"/>
      <c r="M952" s="5"/>
      <c r="N952" s="5"/>
      <c r="O952" s="5"/>
      <c r="P952" s="5"/>
      <c r="Q952" s="5"/>
      <c r="R952" s="9"/>
      <c r="S952" s="9"/>
      <c r="T952" s="10"/>
      <c r="U952" s="9"/>
      <c r="V952" s="9"/>
    </row>
    <row r="953" ht="12.5" spans="1:22">
      <c r="A953" s="4"/>
      <c r="B953" s="4"/>
      <c r="C953" s="4"/>
      <c r="D953" s="4"/>
      <c r="E953" s="5"/>
      <c r="F953" s="5"/>
      <c r="G953" s="5"/>
      <c r="H953" s="5"/>
      <c r="I953" s="5"/>
      <c r="J953" s="5"/>
      <c r="K953" s="5"/>
      <c r="L953" s="5"/>
      <c r="M953" s="5"/>
      <c r="N953" s="5"/>
      <c r="O953" s="5"/>
      <c r="P953" s="5"/>
      <c r="Q953" s="5"/>
      <c r="R953" s="9"/>
      <c r="S953" s="9"/>
      <c r="T953" s="10"/>
      <c r="U953" s="9"/>
      <c r="V953" s="9"/>
    </row>
    <row r="954" ht="12.5" spans="1:22">
      <c r="A954" s="4"/>
      <c r="B954" s="4"/>
      <c r="C954" s="4"/>
      <c r="D954" s="4"/>
      <c r="E954" s="5"/>
      <c r="F954" s="5"/>
      <c r="G954" s="5"/>
      <c r="H954" s="5"/>
      <c r="I954" s="5"/>
      <c r="J954" s="5"/>
      <c r="K954" s="5"/>
      <c r="L954" s="5"/>
      <c r="M954" s="5"/>
      <c r="N954" s="5"/>
      <c r="O954" s="5"/>
      <c r="P954" s="5"/>
      <c r="Q954" s="5"/>
      <c r="R954" s="9"/>
      <c r="S954" s="9"/>
      <c r="T954" s="10"/>
      <c r="U954" s="9"/>
      <c r="V954" s="9"/>
    </row>
    <row r="955" ht="12.5" spans="1:22">
      <c r="A955" s="4"/>
      <c r="B955" s="4"/>
      <c r="C955" s="4"/>
      <c r="D955" s="4"/>
      <c r="E955" s="5"/>
      <c r="F955" s="5"/>
      <c r="G955" s="5"/>
      <c r="H955" s="5"/>
      <c r="I955" s="5"/>
      <c r="J955" s="5"/>
      <c r="K955" s="5"/>
      <c r="L955" s="5"/>
      <c r="M955" s="5"/>
      <c r="N955" s="5"/>
      <c r="O955" s="5"/>
      <c r="P955" s="5"/>
      <c r="Q955" s="5"/>
      <c r="R955" s="9"/>
      <c r="S955" s="9"/>
      <c r="T955" s="10"/>
      <c r="U955" s="9"/>
      <c r="V955" s="9"/>
    </row>
    <row r="956" ht="12.5" spans="1:22">
      <c r="A956" s="4"/>
      <c r="B956" s="4"/>
      <c r="C956" s="4"/>
      <c r="D956" s="4"/>
      <c r="E956" s="5"/>
      <c r="F956" s="5"/>
      <c r="G956" s="5"/>
      <c r="H956" s="5"/>
      <c r="I956" s="5"/>
      <c r="J956" s="5"/>
      <c r="K956" s="5"/>
      <c r="L956" s="5"/>
      <c r="M956" s="5"/>
      <c r="N956" s="5"/>
      <c r="O956" s="5"/>
      <c r="P956" s="5"/>
      <c r="Q956" s="5"/>
      <c r="R956" s="9"/>
      <c r="S956" s="9"/>
      <c r="T956" s="10"/>
      <c r="U956" s="9"/>
      <c r="V956" s="9"/>
    </row>
    <row r="957" ht="12.5" spans="1:22">
      <c r="A957" s="4"/>
      <c r="B957" s="4"/>
      <c r="C957" s="4"/>
      <c r="D957" s="4"/>
      <c r="E957" s="5"/>
      <c r="F957" s="5"/>
      <c r="G957" s="5"/>
      <c r="H957" s="5"/>
      <c r="I957" s="5"/>
      <c r="J957" s="5"/>
      <c r="K957" s="5"/>
      <c r="L957" s="5"/>
      <c r="M957" s="5"/>
      <c r="N957" s="5"/>
      <c r="O957" s="5"/>
      <c r="P957" s="5"/>
      <c r="Q957" s="5"/>
      <c r="R957" s="9"/>
      <c r="S957" s="9"/>
      <c r="T957" s="10"/>
      <c r="U957" s="9"/>
      <c r="V957" s="9"/>
    </row>
    <row r="958" ht="12.5" spans="1:22">
      <c r="A958" s="4"/>
      <c r="B958" s="4"/>
      <c r="C958" s="4"/>
      <c r="D958" s="4"/>
      <c r="E958" s="5"/>
      <c r="F958" s="5"/>
      <c r="G958" s="5"/>
      <c r="H958" s="5"/>
      <c r="I958" s="5"/>
      <c r="J958" s="5"/>
      <c r="K958" s="5"/>
      <c r="L958" s="5"/>
      <c r="M958" s="5"/>
      <c r="N958" s="5"/>
      <c r="O958" s="5"/>
      <c r="P958" s="5"/>
      <c r="Q958" s="5"/>
      <c r="R958" s="9"/>
      <c r="S958" s="9"/>
      <c r="T958" s="10"/>
      <c r="U958" s="9"/>
      <c r="V958" s="9"/>
    </row>
    <row r="959" ht="12.5" spans="1:22">
      <c r="A959" s="4"/>
      <c r="B959" s="4"/>
      <c r="C959" s="4"/>
      <c r="D959" s="4"/>
      <c r="E959" s="5"/>
      <c r="F959" s="5"/>
      <c r="G959" s="5"/>
      <c r="H959" s="5"/>
      <c r="I959" s="5"/>
      <c r="J959" s="5"/>
      <c r="K959" s="5"/>
      <c r="L959" s="5"/>
      <c r="M959" s="5"/>
      <c r="N959" s="5"/>
      <c r="O959" s="5"/>
      <c r="P959" s="5"/>
      <c r="Q959" s="5"/>
      <c r="R959" s="9"/>
      <c r="S959" s="9"/>
      <c r="T959" s="10"/>
      <c r="U959" s="9"/>
      <c r="V959" s="9"/>
    </row>
    <row r="960" ht="12.5" spans="1:22">
      <c r="A960" s="4"/>
      <c r="B960" s="4"/>
      <c r="C960" s="4"/>
      <c r="D960" s="4"/>
      <c r="E960" s="5"/>
      <c r="F960" s="5"/>
      <c r="G960" s="5"/>
      <c r="H960" s="5"/>
      <c r="I960" s="5"/>
      <c r="J960" s="5"/>
      <c r="K960" s="5"/>
      <c r="L960" s="5"/>
      <c r="M960" s="5"/>
      <c r="N960" s="5"/>
      <c r="O960" s="5"/>
      <c r="P960" s="5"/>
      <c r="Q960" s="5"/>
      <c r="R960" s="9"/>
      <c r="S960" s="9"/>
      <c r="T960" s="10"/>
      <c r="U960" s="9"/>
      <c r="V960" s="9"/>
    </row>
    <row r="961" ht="12.5" spans="1:22">
      <c r="A961" s="4"/>
      <c r="B961" s="4"/>
      <c r="C961" s="4"/>
      <c r="D961" s="4"/>
      <c r="E961" s="5"/>
      <c r="F961" s="5"/>
      <c r="G961" s="5"/>
      <c r="H961" s="5"/>
      <c r="I961" s="5"/>
      <c r="J961" s="5"/>
      <c r="K961" s="5"/>
      <c r="L961" s="5"/>
      <c r="M961" s="5"/>
      <c r="N961" s="5"/>
      <c r="O961" s="5"/>
      <c r="P961" s="5"/>
      <c r="Q961" s="5"/>
      <c r="R961" s="9"/>
      <c r="S961" s="9"/>
      <c r="T961" s="10"/>
      <c r="U961" s="9"/>
      <c r="V961" s="9"/>
    </row>
    <row r="962" ht="12.5" spans="1:22">
      <c r="A962" s="4"/>
      <c r="B962" s="4"/>
      <c r="C962" s="4"/>
      <c r="D962" s="4"/>
      <c r="E962" s="5"/>
      <c r="F962" s="5"/>
      <c r="G962" s="5"/>
      <c r="H962" s="5"/>
      <c r="I962" s="5"/>
      <c r="J962" s="5"/>
      <c r="K962" s="5"/>
      <c r="L962" s="5"/>
      <c r="M962" s="5"/>
      <c r="N962" s="5"/>
      <c r="O962" s="5"/>
      <c r="P962" s="5"/>
      <c r="Q962" s="5"/>
      <c r="R962" s="9"/>
      <c r="S962" s="9"/>
      <c r="T962" s="10"/>
      <c r="U962" s="9"/>
      <c r="V962" s="9"/>
    </row>
    <row r="963" ht="12.5" spans="1:22">
      <c r="A963" s="4"/>
      <c r="B963" s="4"/>
      <c r="C963" s="4"/>
      <c r="D963" s="4"/>
      <c r="E963" s="5"/>
      <c r="F963" s="5"/>
      <c r="G963" s="5"/>
      <c r="H963" s="5"/>
      <c r="I963" s="5"/>
      <c r="J963" s="5"/>
      <c r="K963" s="5"/>
      <c r="L963" s="5"/>
      <c r="M963" s="5"/>
      <c r="N963" s="5"/>
      <c r="O963" s="5"/>
      <c r="P963" s="5"/>
      <c r="Q963" s="5"/>
      <c r="R963" s="9"/>
      <c r="S963" s="9"/>
      <c r="T963" s="10"/>
      <c r="U963" s="9"/>
      <c r="V963" s="9"/>
    </row>
    <row r="964" ht="12.5" spans="1:22">
      <c r="A964" s="4"/>
      <c r="B964" s="4"/>
      <c r="C964" s="4"/>
      <c r="D964" s="4"/>
      <c r="E964" s="5"/>
      <c r="F964" s="5"/>
      <c r="G964" s="5"/>
      <c r="H964" s="5"/>
      <c r="I964" s="5"/>
      <c r="J964" s="5"/>
      <c r="K964" s="5"/>
      <c r="L964" s="5"/>
      <c r="M964" s="5"/>
      <c r="N964" s="5"/>
      <c r="O964" s="5"/>
      <c r="P964" s="5"/>
      <c r="Q964" s="5"/>
      <c r="R964" s="9"/>
      <c r="S964" s="9"/>
      <c r="T964" s="10"/>
      <c r="U964" s="9"/>
      <c r="V964" s="9"/>
    </row>
    <row r="965" ht="12.5" spans="1:22">
      <c r="A965" s="4"/>
      <c r="B965" s="4"/>
      <c r="C965" s="4"/>
      <c r="D965" s="4"/>
      <c r="E965" s="5"/>
      <c r="F965" s="5"/>
      <c r="G965" s="5"/>
      <c r="H965" s="5"/>
      <c r="I965" s="5"/>
      <c r="J965" s="5"/>
      <c r="K965" s="5"/>
      <c r="L965" s="5"/>
      <c r="M965" s="5"/>
      <c r="N965" s="5"/>
      <c r="O965" s="5"/>
      <c r="P965" s="5"/>
      <c r="Q965" s="5"/>
      <c r="R965" s="9"/>
      <c r="S965" s="9"/>
      <c r="T965" s="10"/>
      <c r="U965" s="9"/>
      <c r="V965" s="9"/>
    </row>
    <row r="966" ht="12.5" spans="1:22">
      <c r="A966" s="4"/>
      <c r="B966" s="4"/>
      <c r="C966" s="4"/>
      <c r="D966" s="4"/>
      <c r="E966" s="5"/>
      <c r="F966" s="5"/>
      <c r="G966" s="5"/>
      <c r="H966" s="5"/>
      <c r="I966" s="5"/>
      <c r="J966" s="5"/>
      <c r="K966" s="5"/>
      <c r="L966" s="5"/>
      <c r="M966" s="5"/>
      <c r="N966" s="5"/>
      <c r="O966" s="5"/>
      <c r="P966" s="5"/>
      <c r="Q966" s="5"/>
      <c r="R966" s="9"/>
      <c r="S966" s="9"/>
      <c r="T966" s="10"/>
      <c r="U966" s="9"/>
      <c r="V966" s="9"/>
    </row>
    <row r="967" ht="12.5" spans="1:22">
      <c r="A967" s="4"/>
      <c r="B967" s="4"/>
      <c r="C967" s="4"/>
      <c r="D967" s="4"/>
      <c r="E967" s="5"/>
      <c r="F967" s="5"/>
      <c r="G967" s="5"/>
      <c r="H967" s="5"/>
      <c r="I967" s="5"/>
      <c r="J967" s="5"/>
      <c r="K967" s="5"/>
      <c r="L967" s="5"/>
      <c r="M967" s="5"/>
      <c r="N967" s="5"/>
      <c r="O967" s="5"/>
      <c r="P967" s="5"/>
      <c r="Q967" s="5"/>
      <c r="R967" s="9"/>
      <c r="S967" s="9"/>
      <c r="T967" s="10"/>
      <c r="U967" s="9"/>
      <c r="V967" s="9"/>
    </row>
    <row r="968" ht="12.5" spans="1:22">
      <c r="A968" s="4"/>
      <c r="B968" s="4"/>
      <c r="C968" s="4"/>
      <c r="D968" s="4"/>
      <c r="E968" s="5"/>
      <c r="F968" s="5"/>
      <c r="G968" s="5"/>
      <c r="H968" s="5"/>
      <c r="I968" s="5"/>
      <c r="J968" s="5"/>
      <c r="K968" s="5"/>
      <c r="L968" s="5"/>
      <c r="M968" s="5"/>
      <c r="N968" s="5"/>
      <c r="O968" s="5"/>
      <c r="P968" s="5"/>
      <c r="Q968" s="5"/>
      <c r="R968" s="9"/>
      <c r="S968" s="9"/>
      <c r="T968" s="10"/>
      <c r="U968" s="9"/>
      <c r="V968" s="9"/>
    </row>
    <row r="969" ht="12.5" spans="1:22">
      <c r="A969" s="4"/>
      <c r="B969" s="4"/>
      <c r="C969" s="4"/>
      <c r="D969" s="4"/>
      <c r="E969" s="5"/>
      <c r="F969" s="5"/>
      <c r="G969" s="5"/>
      <c r="H969" s="5"/>
      <c r="I969" s="5"/>
      <c r="J969" s="5"/>
      <c r="K969" s="5"/>
      <c r="L969" s="5"/>
      <c r="M969" s="5"/>
      <c r="N969" s="5"/>
      <c r="O969" s="5"/>
      <c r="P969" s="5"/>
      <c r="Q969" s="5"/>
      <c r="R969" s="9"/>
      <c r="S969" s="9"/>
      <c r="T969" s="10"/>
      <c r="U969" s="9"/>
      <c r="V969" s="9"/>
    </row>
    <row r="970" ht="12.5" spans="1:22">
      <c r="A970" s="4"/>
      <c r="B970" s="4"/>
      <c r="C970" s="4"/>
      <c r="D970" s="4"/>
      <c r="E970" s="5"/>
      <c r="F970" s="5"/>
      <c r="G970" s="5"/>
      <c r="H970" s="5"/>
      <c r="I970" s="5"/>
      <c r="J970" s="5"/>
      <c r="K970" s="5"/>
      <c r="L970" s="5"/>
      <c r="M970" s="5"/>
      <c r="N970" s="5"/>
      <c r="O970" s="5"/>
      <c r="P970" s="5"/>
      <c r="Q970" s="5"/>
      <c r="R970" s="9"/>
      <c r="S970" s="9"/>
      <c r="T970" s="10"/>
      <c r="U970" s="9"/>
      <c r="V970" s="9"/>
    </row>
    <row r="971" ht="12.5" spans="1:22">
      <c r="A971" s="4"/>
      <c r="B971" s="4"/>
      <c r="C971" s="4"/>
      <c r="D971" s="4"/>
      <c r="E971" s="5"/>
      <c r="F971" s="5"/>
      <c r="G971" s="5"/>
      <c r="H971" s="5"/>
      <c r="I971" s="5"/>
      <c r="J971" s="5"/>
      <c r="K971" s="5"/>
      <c r="L971" s="5"/>
      <c r="M971" s="5"/>
      <c r="N971" s="5"/>
      <c r="O971" s="5"/>
      <c r="P971" s="5"/>
      <c r="Q971" s="5"/>
      <c r="R971" s="9"/>
      <c r="S971" s="9"/>
      <c r="T971" s="10"/>
      <c r="U971" s="9"/>
      <c r="V971" s="9"/>
    </row>
    <row r="972" ht="12.5" spans="1:22">
      <c r="A972" s="4"/>
      <c r="B972" s="4"/>
      <c r="C972" s="4"/>
      <c r="D972" s="4"/>
      <c r="E972" s="5"/>
      <c r="F972" s="5"/>
      <c r="G972" s="5"/>
      <c r="H972" s="5"/>
      <c r="I972" s="5"/>
      <c r="J972" s="5"/>
      <c r="K972" s="5"/>
      <c r="L972" s="5"/>
      <c r="M972" s="5"/>
      <c r="N972" s="5"/>
      <c r="O972" s="5"/>
      <c r="P972" s="5"/>
      <c r="Q972" s="5"/>
      <c r="R972" s="9"/>
      <c r="S972" s="9"/>
      <c r="T972" s="10"/>
      <c r="U972" s="9"/>
      <c r="V972" s="9"/>
    </row>
    <row r="973" ht="12.5" spans="1:22">
      <c r="A973" s="4"/>
      <c r="B973" s="4"/>
      <c r="C973" s="4"/>
      <c r="D973" s="4"/>
      <c r="E973" s="5"/>
      <c r="F973" s="5"/>
      <c r="G973" s="5"/>
      <c r="H973" s="5"/>
      <c r="I973" s="5"/>
      <c r="J973" s="5"/>
      <c r="K973" s="5"/>
      <c r="L973" s="5"/>
      <c r="M973" s="5"/>
      <c r="N973" s="5"/>
      <c r="O973" s="5"/>
      <c r="P973" s="5"/>
      <c r="Q973" s="5"/>
      <c r="R973" s="9"/>
      <c r="S973" s="9"/>
      <c r="T973" s="10"/>
      <c r="U973" s="9"/>
      <c r="V973" s="9"/>
    </row>
    <row r="974" ht="12.5" spans="1:22">
      <c r="A974" s="4"/>
      <c r="B974" s="4"/>
      <c r="C974" s="4"/>
      <c r="D974" s="4"/>
      <c r="E974" s="5"/>
      <c r="F974" s="5"/>
      <c r="G974" s="5"/>
      <c r="H974" s="5"/>
      <c r="I974" s="5"/>
      <c r="J974" s="5"/>
      <c r="K974" s="5"/>
      <c r="L974" s="5"/>
      <c r="M974" s="5"/>
      <c r="N974" s="5"/>
      <c r="O974" s="5"/>
      <c r="P974" s="5"/>
      <c r="Q974" s="5"/>
      <c r="R974" s="9"/>
      <c r="S974" s="9"/>
      <c r="T974" s="10"/>
      <c r="U974" s="9"/>
      <c r="V974" s="9"/>
    </row>
    <row r="975" ht="12.5" spans="1:22">
      <c r="A975" s="4"/>
      <c r="B975" s="4"/>
      <c r="C975" s="4"/>
      <c r="D975" s="4"/>
      <c r="E975" s="5"/>
      <c r="F975" s="5"/>
      <c r="G975" s="5"/>
      <c r="H975" s="5"/>
      <c r="I975" s="5"/>
      <c r="J975" s="5"/>
      <c r="K975" s="5"/>
      <c r="L975" s="5"/>
      <c r="M975" s="5"/>
      <c r="N975" s="5"/>
      <c r="O975" s="5"/>
      <c r="P975" s="5"/>
      <c r="Q975" s="5"/>
      <c r="R975" s="9"/>
      <c r="S975" s="9"/>
      <c r="T975" s="10"/>
      <c r="U975" s="9"/>
      <c r="V975" s="9"/>
    </row>
    <row r="976" ht="12.5" spans="1:22">
      <c r="A976" s="4"/>
      <c r="B976" s="4"/>
      <c r="C976" s="4"/>
      <c r="D976" s="4"/>
      <c r="E976" s="5"/>
      <c r="F976" s="5"/>
      <c r="G976" s="5"/>
      <c r="H976" s="5"/>
      <c r="I976" s="5"/>
      <c r="J976" s="5"/>
      <c r="K976" s="5"/>
      <c r="L976" s="5"/>
      <c r="M976" s="5"/>
      <c r="N976" s="5"/>
      <c r="O976" s="5"/>
      <c r="P976" s="5"/>
      <c r="Q976" s="5"/>
      <c r="R976" s="9"/>
      <c r="S976" s="9"/>
      <c r="T976" s="10"/>
      <c r="U976" s="9"/>
      <c r="V976" s="9"/>
    </row>
    <row r="977" ht="12.5" spans="1:22">
      <c r="A977" s="4"/>
      <c r="B977" s="4"/>
      <c r="C977" s="4"/>
      <c r="D977" s="4"/>
      <c r="E977" s="5"/>
      <c r="F977" s="5"/>
      <c r="G977" s="5"/>
      <c r="H977" s="5"/>
      <c r="I977" s="5"/>
      <c r="J977" s="5"/>
      <c r="K977" s="5"/>
      <c r="L977" s="5"/>
      <c r="M977" s="5"/>
      <c r="N977" s="5"/>
      <c r="O977" s="5"/>
      <c r="P977" s="5"/>
      <c r="Q977" s="5"/>
      <c r="R977" s="9"/>
      <c r="S977" s="9"/>
      <c r="T977" s="10"/>
      <c r="U977" s="9"/>
      <c r="V977" s="9"/>
    </row>
    <row r="978" ht="12.5" spans="1:22">
      <c r="A978" s="4"/>
      <c r="B978" s="4"/>
      <c r="C978" s="4"/>
      <c r="D978" s="4"/>
      <c r="E978" s="5"/>
      <c r="F978" s="5"/>
      <c r="G978" s="5"/>
      <c r="H978" s="5"/>
      <c r="I978" s="5"/>
      <c r="J978" s="5"/>
      <c r="K978" s="5"/>
      <c r="L978" s="5"/>
      <c r="M978" s="5"/>
      <c r="N978" s="5"/>
      <c r="O978" s="5"/>
      <c r="P978" s="5"/>
      <c r="Q978" s="5"/>
      <c r="R978" s="9"/>
      <c r="S978" s="9"/>
      <c r="T978" s="10"/>
      <c r="U978" s="9"/>
      <c r="V978" s="9"/>
    </row>
    <row r="979" ht="12.5" spans="1:22">
      <c r="A979" s="4"/>
      <c r="B979" s="4"/>
      <c r="C979" s="4"/>
      <c r="D979" s="4"/>
      <c r="E979" s="5"/>
      <c r="F979" s="5"/>
      <c r="G979" s="5"/>
      <c r="H979" s="5"/>
      <c r="I979" s="5"/>
      <c r="J979" s="5"/>
      <c r="K979" s="5"/>
      <c r="L979" s="5"/>
      <c r="M979" s="5"/>
      <c r="N979" s="5"/>
      <c r="O979" s="5"/>
      <c r="P979" s="5"/>
      <c r="Q979" s="5"/>
      <c r="R979" s="9"/>
      <c r="S979" s="9"/>
      <c r="T979" s="10"/>
      <c r="U979" s="9"/>
      <c r="V979" s="9"/>
    </row>
    <row r="980" ht="12.5" spans="1:22">
      <c r="A980" s="4"/>
      <c r="B980" s="4"/>
      <c r="C980" s="4"/>
      <c r="D980" s="4"/>
      <c r="E980" s="5"/>
      <c r="F980" s="5"/>
      <c r="G980" s="5"/>
      <c r="H980" s="5"/>
      <c r="I980" s="5"/>
      <c r="J980" s="5"/>
      <c r="K980" s="5"/>
      <c r="L980" s="5"/>
      <c r="M980" s="5"/>
      <c r="N980" s="5"/>
      <c r="O980" s="5"/>
      <c r="P980" s="5"/>
      <c r="Q980" s="5"/>
      <c r="R980" s="9"/>
      <c r="S980" s="9"/>
      <c r="T980" s="10"/>
      <c r="U980" s="9"/>
      <c r="V980" s="9"/>
    </row>
    <row r="981" ht="12.5" spans="1:22">
      <c r="A981" s="4"/>
      <c r="B981" s="4"/>
      <c r="C981" s="4"/>
      <c r="D981" s="4"/>
      <c r="E981" s="5"/>
      <c r="F981" s="5"/>
      <c r="G981" s="5"/>
      <c r="H981" s="5"/>
      <c r="I981" s="5"/>
      <c r="J981" s="5"/>
      <c r="K981" s="5"/>
      <c r="L981" s="5"/>
      <c r="M981" s="5"/>
      <c r="N981" s="5"/>
      <c r="O981" s="5"/>
      <c r="P981" s="5"/>
      <c r="Q981" s="5"/>
      <c r="R981" s="9"/>
      <c r="S981" s="9"/>
      <c r="T981" s="10"/>
      <c r="U981" s="9"/>
      <c r="V981" s="9"/>
    </row>
    <row r="982" ht="12.5" spans="1:22">
      <c r="A982" s="4"/>
      <c r="B982" s="4"/>
      <c r="C982" s="4"/>
      <c r="D982" s="4"/>
      <c r="E982" s="5"/>
      <c r="F982" s="5"/>
      <c r="G982" s="5"/>
      <c r="H982" s="5"/>
      <c r="I982" s="5"/>
      <c r="J982" s="5"/>
      <c r="K982" s="5"/>
      <c r="L982" s="5"/>
      <c r="M982" s="5"/>
      <c r="N982" s="5"/>
      <c r="O982" s="5"/>
      <c r="P982" s="5"/>
      <c r="Q982" s="5"/>
      <c r="R982" s="9"/>
      <c r="S982" s="9"/>
      <c r="T982" s="10"/>
      <c r="U982" s="9"/>
      <c r="V982" s="9"/>
    </row>
    <row r="983" ht="12.5" spans="1:22">
      <c r="A983" s="4"/>
      <c r="B983" s="4"/>
      <c r="C983" s="4"/>
      <c r="D983" s="4"/>
      <c r="E983" s="5"/>
      <c r="F983" s="5"/>
      <c r="G983" s="5"/>
      <c r="H983" s="5"/>
      <c r="I983" s="5"/>
      <c r="J983" s="5"/>
      <c r="K983" s="5"/>
      <c r="L983" s="5"/>
      <c r="M983" s="5"/>
      <c r="N983" s="5"/>
      <c r="O983" s="5"/>
      <c r="P983" s="5"/>
      <c r="Q983" s="5"/>
      <c r="R983" s="9"/>
      <c r="S983" s="9"/>
      <c r="T983" s="10"/>
      <c r="U983" s="9"/>
      <c r="V983" s="9"/>
    </row>
    <row r="984" ht="12.5" spans="1:22">
      <c r="A984" s="4"/>
      <c r="B984" s="4"/>
      <c r="C984" s="4"/>
      <c r="D984" s="4"/>
      <c r="E984" s="5"/>
      <c r="F984" s="5"/>
      <c r="G984" s="5"/>
      <c r="H984" s="5"/>
      <c r="I984" s="5"/>
      <c r="J984" s="5"/>
      <c r="K984" s="5"/>
      <c r="L984" s="5"/>
      <c r="M984" s="5"/>
      <c r="N984" s="5"/>
      <c r="O984" s="5"/>
      <c r="P984" s="5"/>
      <c r="Q984" s="5"/>
      <c r="R984" s="9"/>
      <c r="S984" s="9"/>
      <c r="T984" s="10"/>
      <c r="U984" s="9"/>
      <c r="V984" s="9"/>
    </row>
    <row r="985" ht="12.5" spans="1:22">
      <c r="A985" s="4"/>
      <c r="B985" s="4"/>
      <c r="C985" s="4"/>
      <c r="D985" s="4"/>
      <c r="E985" s="5"/>
      <c r="F985" s="5"/>
      <c r="G985" s="5"/>
      <c r="H985" s="5"/>
      <c r="I985" s="5"/>
      <c r="J985" s="5"/>
      <c r="K985" s="5"/>
      <c r="L985" s="5"/>
      <c r="M985" s="5"/>
      <c r="N985" s="5"/>
      <c r="O985" s="5"/>
      <c r="P985" s="5"/>
      <c r="Q985" s="5"/>
      <c r="R985" s="9"/>
      <c r="S985" s="9"/>
      <c r="T985" s="10"/>
      <c r="U985" s="9"/>
      <c r="V985" s="9"/>
    </row>
    <row r="986" ht="12.5" spans="1:22">
      <c r="A986" s="4"/>
      <c r="B986" s="4"/>
      <c r="C986" s="4"/>
      <c r="D986" s="4"/>
      <c r="E986" s="5"/>
      <c r="F986" s="5"/>
      <c r="G986" s="5"/>
      <c r="H986" s="5"/>
      <c r="I986" s="5"/>
      <c r="J986" s="5"/>
      <c r="K986" s="5"/>
      <c r="L986" s="5"/>
      <c r="M986" s="5"/>
      <c r="N986" s="5"/>
      <c r="O986" s="5"/>
      <c r="P986" s="5"/>
      <c r="Q986" s="5"/>
      <c r="R986" s="9"/>
      <c r="S986" s="9"/>
      <c r="T986" s="10"/>
      <c r="U986" s="9"/>
      <c r="V986" s="9"/>
    </row>
    <row r="987" ht="12.5" spans="1:22">
      <c r="A987" s="4"/>
      <c r="B987" s="4"/>
      <c r="C987" s="4"/>
      <c r="D987" s="4"/>
      <c r="E987" s="5"/>
      <c r="F987" s="5"/>
      <c r="G987" s="5"/>
      <c r="H987" s="5"/>
      <c r="I987" s="5"/>
      <c r="J987" s="5"/>
      <c r="K987" s="5"/>
      <c r="L987" s="5"/>
      <c r="M987" s="5"/>
      <c r="N987" s="5"/>
      <c r="O987" s="5"/>
      <c r="P987" s="5"/>
      <c r="Q987" s="5"/>
      <c r="R987" s="9"/>
      <c r="S987" s="9"/>
      <c r="T987" s="10"/>
      <c r="U987" s="9"/>
      <c r="V987" s="9"/>
    </row>
    <row r="988" ht="12.5" spans="1:22">
      <c r="A988" s="4"/>
      <c r="B988" s="4"/>
      <c r="C988" s="4"/>
      <c r="D988" s="4"/>
      <c r="E988" s="5"/>
      <c r="F988" s="5"/>
      <c r="G988" s="5"/>
      <c r="H988" s="5"/>
      <c r="I988" s="5"/>
      <c r="J988" s="5"/>
      <c r="K988" s="5"/>
      <c r="L988" s="5"/>
      <c r="M988" s="5"/>
      <c r="N988" s="5"/>
      <c r="O988" s="5"/>
      <c r="P988" s="5"/>
      <c r="Q988" s="5"/>
      <c r="R988" s="9"/>
      <c r="S988" s="9"/>
      <c r="T988" s="10"/>
      <c r="U988" s="9"/>
      <c r="V988" s="9"/>
    </row>
    <row r="989" ht="12.5" spans="1:22">
      <c r="A989" s="4"/>
      <c r="B989" s="4"/>
      <c r="C989" s="4"/>
      <c r="D989" s="4"/>
      <c r="E989" s="5"/>
      <c r="F989" s="5"/>
      <c r="G989" s="5"/>
      <c r="H989" s="5"/>
      <c r="I989" s="5"/>
      <c r="J989" s="5"/>
      <c r="K989" s="5"/>
      <c r="L989" s="5"/>
      <c r="M989" s="5"/>
      <c r="N989" s="5"/>
      <c r="O989" s="5"/>
      <c r="P989" s="5"/>
      <c r="Q989" s="5"/>
      <c r="R989" s="9"/>
      <c r="S989" s="9"/>
      <c r="T989" s="10"/>
      <c r="U989" s="9"/>
      <c r="V989" s="9"/>
    </row>
    <row r="990" ht="12.5" spans="1:22">
      <c r="A990" s="4"/>
      <c r="B990" s="4"/>
      <c r="C990" s="4"/>
      <c r="D990" s="4"/>
      <c r="E990" s="5"/>
      <c r="F990" s="5"/>
      <c r="G990" s="5"/>
      <c r="H990" s="5"/>
      <c r="I990" s="5"/>
      <c r="J990" s="5"/>
      <c r="K990" s="5"/>
      <c r="L990" s="5"/>
      <c r="M990" s="5"/>
      <c r="N990" s="5"/>
      <c r="O990" s="5"/>
      <c r="P990" s="5"/>
      <c r="Q990" s="5"/>
      <c r="R990" s="9"/>
      <c r="S990" s="9"/>
      <c r="T990" s="10"/>
      <c r="U990" s="9"/>
      <c r="V990" s="9"/>
    </row>
    <row r="991" ht="12.5" spans="1:22">
      <c r="A991" s="4"/>
      <c r="B991" s="4"/>
      <c r="C991" s="4"/>
      <c r="D991" s="4"/>
      <c r="E991" s="5"/>
      <c r="F991" s="5"/>
      <c r="G991" s="5"/>
      <c r="H991" s="5"/>
      <c r="I991" s="5"/>
      <c r="J991" s="5"/>
      <c r="K991" s="5"/>
      <c r="L991" s="5"/>
      <c r="M991" s="5"/>
      <c r="N991" s="5"/>
      <c r="O991" s="5"/>
      <c r="P991" s="5"/>
      <c r="Q991" s="5"/>
      <c r="R991" s="9"/>
      <c r="S991" s="9"/>
      <c r="T991" s="10"/>
      <c r="U991" s="9"/>
      <c r="V991" s="9"/>
    </row>
    <row r="992" ht="12.5" spans="1:22">
      <c r="A992" s="4"/>
      <c r="B992" s="4"/>
      <c r="C992" s="4"/>
      <c r="D992" s="4"/>
      <c r="E992" s="5"/>
      <c r="F992" s="5"/>
      <c r="G992" s="5"/>
      <c r="H992" s="5"/>
      <c r="I992" s="5"/>
      <c r="J992" s="5"/>
      <c r="K992" s="5"/>
      <c r="L992" s="5"/>
      <c r="M992" s="5"/>
      <c r="N992" s="5"/>
      <c r="O992" s="5"/>
      <c r="P992" s="5"/>
      <c r="Q992" s="5"/>
      <c r="R992" s="9"/>
      <c r="S992" s="9"/>
      <c r="T992" s="10"/>
      <c r="U992" s="9"/>
      <c r="V992" s="9"/>
    </row>
    <row r="993" ht="12.5" spans="1:22">
      <c r="A993" s="4"/>
      <c r="B993" s="4"/>
      <c r="C993" s="4"/>
      <c r="D993" s="4"/>
      <c r="E993" s="5"/>
      <c r="F993" s="5"/>
      <c r="G993" s="5"/>
      <c r="H993" s="5"/>
      <c r="I993" s="5"/>
      <c r="J993" s="5"/>
      <c r="K993" s="5"/>
      <c r="L993" s="5"/>
      <c r="M993" s="5"/>
      <c r="N993" s="5"/>
      <c r="O993" s="5"/>
      <c r="P993" s="5"/>
      <c r="Q993" s="5"/>
      <c r="R993" s="9"/>
      <c r="S993" s="9"/>
      <c r="T993" s="10"/>
      <c r="U993" s="9"/>
      <c r="V993" s="9"/>
    </row>
    <row r="994" ht="12.5" spans="1:22">
      <c r="A994" s="4"/>
      <c r="B994" s="4"/>
      <c r="C994" s="4"/>
      <c r="D994" s="4"/>
      <c r="E994" s="5"/>
      <c r="F994" s="5"/>
      <c r="G994" s="5"/>
      <c r="H994" s="5"/>
      <c r="I994" s="5"/>
      <c r="J994" s="5"/>
      <c r="K994" s="5"/>
      <c r="L994" s="5"/>
      <c r="M994" s="5"/>
      <c r="N994" s="5"/>
      <c r="O994" s="5"/>
      <c r="P994" s="5"/>
      <c r="Q994" s="5"/>
      <c r="R994" s="9"/>
      <c r="S994" s="9"/>
      <c r="T994" s="10"/>
      <c r="U994" s="9"/>
      <c r="V994" s="9"/>
    </row>
    <row r="995" ht="12.5" spans="1:22">
      <c r="A995" s="4"/>
      <c r="B995" s="4"/>
      <c r="C995" s="4"/>
      <c r="D995" s="4"/>
      <c r="E995" s="5"/>
      <c r="F995" s="5"/>
      <c r="G995" s="5"/>
      <c r="H995" s="5"/>
      <c r="I995" s="5"/>
      <c r="J995" s="5"/>
      <c r="K995" s="5"/>
      <c r="L995" s="5"/>
      <c r="M995" s="5"/>
      <c r="N995" s="5"/>
      <c r="O995" s="5"/>
      <c r="P995" s="5"/>
      <c r="Q995" s="5"/>
      <c r="R995" s="9"/>
      <c r="S995" s="9"/>
      <c r="T995" s="10"/>
      <c r="U995" s="9"/>
      <c r="V995" s="9"/>
    </row>
    <row r="996" ht="12.5" spans="1:22">
      <c r="A996" s="4"/>
      <c r="B996" s="4"/>
      <c r="C996" s="4"/>
      <c r="D996" s="4"/>
      <c r="E996" s="5"/>
      <c r="F996" s="5"/>
      <c r="G996" s="5"/>
      <c r="H996" s="5"/>
      <c r="I996" s="5"/>
      <c r="J996" s="5"/>
      <c r="K996" s="5"/>
      <c r="L996" s="5"/>
      <c r="M996" s="5"/>
      <c r="N996" s="5"/>
      <c r="O996" s="5"/>
      <c r="P996" s="5"/>
      <c r="Q996" s="5"/>
      <c r="R996" s="9"/>
      <c r="S996" s="9"/>
      <c r="T996" s="10"/>
      <c r="U996" s="9"/>
      <c r="V996" s="9"/>
    </row>
    <row r="997" ht="12.5" spans="1:22">
      <c r="A997" s="4"/>
      <c r="B997" s="4"/>
      <c r="C997" s="4"/>
      <c r="D997" s="4"/>
      <c r="E997" s="5"/>
      <c r="F997" s="5"/>
      <c r="G997" s="5"/>
      <c r="H997" s="5"/>
      <c r="I997" s="5"/>
      <c r="J997" s="5"/>
      <c r="K997" s="5"/>
      <c r="L997" s="5"/>
      <c r="M997" s="5"/>
      <c r="N997" s="5"/>
      <c r="O997" s="5"/>
      <c r="P997" s="5"/>
      <c r="Q997" s="5"/>
      <c r="R997" s="9"/>
      <c r="S997" s="9"/>
      <c r="T997" s="10"/>
      <c r="U997" s="9"/>
      <c r="V997" s="9"/>
    </row>
    <row r="998" ht="12.5" spans="1:22">
      <c r="A998" s="4"/>
      <c r="B998" s="4"/>
      <c r="C998" s="4"/>
      <c r="D998" s="4"/>
      <c r="E998" s="5"/>
      <c r="F998" s="5"/>
      <c r="G998" s="5"/>
      <c r="H998" s="5"/>
      <c r="I998" s="5"/>
      <c r="J998" s="5"/>
      <c r="K998" s="5"/>
      <c r="L998" s="5"/>
      <c r="M998" s="5"/>
      <c r="N998" s="5"/>
      <c r="O998" s="5"/>
      <c r="P998" s="5"/>
      <c r="Q998" s="5"/>
      <c r="R998" s="9"/>
      <c r="S998" s="9"/>
      <c r="T998" s="10"/>
      <c r="U998" s="9"/>
      <c r="V998" s="9"/>
    </row>
    <row r="999" ht="12.5" spans="1:22">
      <c r="A999" s="4"/>
      <c r="B999" s="4"/>
      <c r="C999" s="4"/>
      <c r="D999" s="4"/>
      <c r="E999" s="5"/>
      <c r="F999" s="5"/>
      <c r="G999" s="5"/>
      <c r="H999" s="5"/>
      <c r="I999" s="5"/>
      <c r="J999" s="5"/>
      <c r="K999" s="5"/>
      <c r="L999" s="5"/>
      <c r="M999" s="5"/>
      <c r="N999" s="5"/>
      <c r="O999" s="5"/>
      <c r="P999" s="5"/>
      <c r="Q999" s="5"/>
      <c r="R999" s="9"/>
      <c r="S999" s="9"/>
      <c r="T999" s="10"/>
      <c r="U999" s="9"/>
      <c r="V999" s="9"/>
    </row>
    <row r="1000" ht="12.5" spans="1:22">
      <c r="A1000" s="4"/>
      <c r="B1000" s="4"/>
      <c r="C1000" s="4"/>
      <c r="D1000" s="4"/>
      <c r="E1000" s="5"/>
      <c r="F1000" s="5"/>
      <c r="G1000" s="5"/>
      <c r="H1000" s="5"/>
      <c r="I1000" s="5"/>
      <c r="J1000" s="5"/>
      <c r="K1000" s="5"/>
      <c r="L1000" s="5"/>
      <c r="M1000" s="5"/>
      <c r="N1000" s="5"/>
      <c r="O1000" s="5"/>
      <c r="P1000" s="5"/>
      <c r="Q1000" s="5"/>
      <c r="R1000" s="9"/>
      <c r="S1000" s="9"/>
      <c r="T1000" s="10"/>
      <c r="U1000" s="9"/>
      <c r="V1000" s="9"/>
    </row>
  </sheetData>
  <mergeCells count="1">
    <mergeCell ref="X1:Y1"/>
  </mergeCells>
  <dataValidations count="1">
    <dataValidation type="list" allowBlank="1" sqref="T2:T1000">
      <formula1>"1- Registrado,2- Comunicado ao responsável,3- Em análise,4- Resolvido,5- Comunicado a usuária"</formula1>
    </dataValidation>
  </dataValidations>
  <pageMargins left="0.511811024" right="0.511811024" top="0.787401575" bottom="0.787401575" header="0.31496062" footer="0.31496062"/>
  <headerFooter/>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A0F1D17F-1472-453D-9F5B-222FA3D06BCC}">
  <ds:schemaRefs/>
</ds:datastoreItem>
</file>

<file path=customXml/itemProps2.xml><?xml version="1.0" encoding="utf-8"?>
<ds:datastoreItem xmlns:ds="http://schemas.openxmlformats.org/officeDocument/2006/customXml" ds:itemID="{6FF0E5AF-E58B-40EC-8169-9D2D25DEFFB9}">
  <ds:schemaRefs/>
</ds:datastoreItem>
</file>

<file path=customXml/itemProps3.xml><?xml version="1.0" encoding="utf-8"?>
<ds:datastoreItem xmlns:ds="http://schemas.openxmlformats.org/officeDocument/2006/customXml" ds:itemID="{9E2532FF-1B59-4AF8-8906-F4FBCCB8797E}">
  <ds:schemaRefs/>
</ds:datastoreItem>
</file>

<file path=docProps/app.xml><?xml version="1.0" encoding="utf-8"?>
<Properties xmlns="http://schemas.openxmlformats.org/officeDocument/2006/extended-properties" xmlns:vt="http://schemas.openxmlformats.org/officeDocument/2006/docPropsVTypes">
  <Application>Microsoft Excel Online</Application>
  <HeadingPairs>
    <vt:vector size="2" baseType="variant">
      <vt:variant>
        <vt:lpstr>工作表</vt:lpstr>
      </vt:variant>
      <vt:variant>
        <vt:i4>12</vt:i4>
      </vt:variant>
    </vt:vector>
  </HeadingPairs>
  <TitlesOfParts>
    <vt:vector size="12" baseType="lpstr">
      <vt:lpstr>Registro de teleatendimento</vt:lpstr>
      <vt:lpstr>Notificação aos profissionais d</vt:lpstr>
      <vt:lpstr>Avaliação diária</vt:lpstr>
      <vt:lpstr>Dashboard</vt:lpstr>
      <vt:lpstr>Demanda Noturna</vt:lpstr>
      <vt:lpstr>LEGENDA</vt:lpstr>
      <vt:lpstr>Página15</vt:lpstr>
      <vt:lpstr>Página16</vt:lpstr>
      <vt:lpstr>Cadastro - Espelho (não editar)</vt:lpstr>
      <vt:lpstr>Dashboard DN</vt:lpstr>
      <vt:lpstr>Página8</vt:lpstr>
      <vt:lpstr>EventoSentinela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USUARIO</cp:lastModifiedBy>
  <dcterms:created xsi:type="dcterms:W3CDTF">2024-06-06T15:53:00Z</dcterms:created>
  <dcterms:modified xsi:type="dcterms:W3CDTF">2024-06-14T12:39:05Z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0x01010012870657403E0A48BD14F6CEA0357535</vt:lpwstr>
  </property>
  <property fmtid="{D5CDD505-2E9C-101B-9397-08002B2CF9AE}" pid="3" name="MediaServiceImageTags">
    <vt:lpwstr/>
  </property>
  <property fmtid="{D5CDD505-2E9C-101B-9397-08002B2CF9AE}" pid="4" name="ICV">
    <vt:lpwstr>CF3ADA2979E24CD5A2DAEF668F6C2182_12</vt:lpwstr>
  </property>
  <property fmtid="{D5CDD505-2E9C-101B-9397-08002B2CF9AE}" pid="5" name="KSOProductBuildVer">
    <vt:lpwstr>1046-12.2.0.17119</vt:lpwstr>
  </property>
</Properties>
</file>